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90" yWindow="0" windowWidth="17610" windowHeight="11175" tabRatio="949" firstSheet="355" activeTab="355"/>
  </bookViews>
  <sheets>
    <sheet name="Noi suy" sheetId="18" state="hidden" r:id="rId1"/>
    <sheet name="So sanh" sheetId="30" state="hidden" r:id="rId2"/>
    <sheet name="BANG 1.4" sheetId="22" state="hidden" r:id="rId3"/>
    <sheet name="Kangatang" sheetId="70" state="veryHidden" r:id="rId4"/>
    <sheet name="Kangatang_2" sheetId="71" state="veryHidden" r:id="rId5"/>
    <sheet name="Kangatang_3" sheetId="72" state="veryHidden" r:id="rId6"/>
    <sheet name="Kangatang_4" sheetId="73" state="veryHidden" r:id="rId7"/>
    <sheet name="Kangatang_5" sheetId="74" state="veryHidden" r:id="rId8"/>
    <sheet name="Kangatang_6" sheetId="75" state="veryHidden" r:id="rId9"/>
    <sheet name="Kangatang_7" sheetId="76" state="veryHidden" r:id="rId10"/>
    <sheet name="Kangatang_8" sheetId="77" state="veryHidden" r:id="rId11"/>
    <sheet name="Kangatang_9" sheetId="78" state="veryHidden" r:id="rId12"/>
    <sheet name="Kangatang_10" sheetId="79" state="veryHidden" r:id="rId13"/>
    <sheet name="Kangatang_11" sheetId="80" state="veryHidden" r:id="rId14"/>
    <sheet name="Kangatang_12" sheetId="81" state="veryHidden" r:id="rId15"/>
    <sheet name="Kangatang_13" sheetId="82" state="veryHidden" r:id="rId16"/>
    <sheet name="Kangatang_14" sheetId="83" state="veryHidden" r:id="rId17"/>
    <sheet name="Kangatang_15" sheetId="84" state="veryHidden" r:id="rId18"/>
    <sheet name="Kangatang_16" sheetId="85" state="veryHidden" r:id="rId19"/>
    <sheet name="Kangatang_17" sheetId="86" state="veryHidden" r:id="rId20"/>
    <sheet name="Kangatang_18" sheetId="87" state="veryHidden" r:id="rId21"/>
    <sheet name="Kangatang_19" sheetId="88" state="veryHidden" r:id="rId22"/>
    <sheet name="Kangatang_20" sheetId="89" state="veryHidden" r:id="rId23"/>
    <sheet name="Kangatang_21" sheetId="90" state="veryHidden" r:id="rId24"/>
    <sheet name="Kangatang_22" sheetId="91" state="veryHidden" r:id="rId25"/>
    <sheet name="Kangatang_23" sheetId="92" state="veryHidden" r:id="rId26"/>
    <sheet name="Kangatang_24" sheetId="93" state="veryHidden" r:id="rId27"/>
    <sheet name="Kangatang_25" sheetId="94" state="veryHidden" r:id="rId28"/>
    <sheet name="Kangatang_26" sheetId="95" state="veryHidden" r:id="rId29"/>
    <sheet name="Kangatang_27" sheetId="96" state="veryHidden" r:id="rId30"/>
    <sheet name="Kangatang_28" sheetId="97" state="veryHidden" r:id="rId31"/>
    <sheet name="Kangatang_29" sheetId="98" state="veryHidden" r:id="rId32"/>
    <sheet name="Kangatang_30" sheetId="99" state="veryHidden" r:id="rId33"/>
    <sheet name="Kangatang_31" sheetId="100" state="veryHidden" r:id="rId34"/>
    <sheet name="Kangatang_32" sheetId="101" state="veryHidden" r:id="rId35"/>
    <sheet name="Kangatang_33" sheetId="102" state="veryHidden" r:id="rId36"/>
    <sheet name="Kangatang_34" sheetId="103" state="veryHidden" r:id="rId37"/>
    <sheet name="Kangatang_35" sheetId="104" state="veryHidden" r:id="rId38"/>
    <sheet name="Kangatang_36" sheetId="105" state="veryHidden" r:id="rId39"/>
    <sheet name="Kangatang_37" sheetId="106" state="veryHidden" r:id="rId40"/>
    <sheet name="Kangatang_38" sheetId="107" state="veryHidden" r:id="rId41"/>
    <sheet name="Kangatang_39" sheetId="108" state="veryHidden" r:id="rId42"/>
    <sheet name="Kangatang_40" sheetId="109" state="veryHidden" r:id="rId43"/>
    <sheet name="Kangatang_41" sheetId="110" state="veryHidden" r:id="rId44"/>
    <sheet name="Kangatang_42" sheetId="111" state="veryHidden" r:id="rId45"/>
    <sheet name="Kangatang_43" sheetId="112" state="veryHidden" r:id="rId46"/>
    <sheet name="Kangatang_44" sheetId="113" state="veryHidden" r:id="rId47"/>
    <sheet name="Kangatang_45" sheetId="114" state="veryHidden" r:id="rId48"/>
    <sheet name="Kangatang_46" sheetId="115" state="veryHidden" r:id="rId49"/>
    <sheet name="Kangatang_47" sheetId="116" state="veryHidden" r:id="rId50"/>
    <sheet name="Kangatang_48" sheetId="117" state="veryHidden" r:id="rId51"/>
    <sheet name="Kangatang_49" sheetId="118" state="veryHidden" r:id="rId52"/>
    <sheet name="Kangatang_50" sheetId="119" state="veryHidden" r:id="rId53"/>
    <sheet name="Kangatang_51" sheetId="120" state="veryHidden" r:id="rId54"/>
    <sheet name="Kangatang_52" sheetId="121" state="veryHidden" r:id="rId55"/>
    <sheet name="Kangatang_53" sheetId="122" state="veryHidden" r:id="rId56"/>
    <sheet name="Kangatang_54" sheetId="123" state="veryHidden" r:id="rId57"/>
    <sheet name="Kangatang_55" sheetId="124" state="veryHidden" r:id="rId58"/>
    <sheet name="Kangatang_56" sheetId="125" state="veryHidden" r:id="rId59"/>
    <sheet name="Kangatang_57" sheetId="126" state="veryHidden" r:id="rId60"/>
    <sheet name="Kangatang_58" sheetId="127" state="veryHidden" r:id="rId61"/>
    <sheet name="Kangatang_59" sheetId="128" state="veryHidden" r:id="rId62"/>
    <sheet name="Kangatang_60" sheetId="129" state="veryHidden" r:id="rId63"/>
    <sheet name="Kangatang_61" sheetId="130" state="veryHidden" r:id="rId64"/>
    <sheet name="Kangatang_62" sheetId="131" state="veryHidden" r:id="rId65"/>
    <sheet name="Kangatang_63" sheetId="132" state="veryHidden" r:id="rId66"/>
    <sheet name="Kangatang_64" sheetId="133" state="veryHidden" r:id="rId67"/>
    <sheet name="Kangatang_65" sheetId="134" state="veryHidden" r:id="rId68"/>
    <sheet name="Kangatang_66" sheetId="135" state="veryHidden" r:id="rId69"/>
    <sheet name="Kangatang_67" sheetId="136" state="veryHidden" r:id="rId70"/>
    <sheet name="Kangatang_68" sheetId="137" state="veryHidden" r:id="rId71"/>
    <sheet name="Kangatang_69" sheetId="138" state="veryHidden" r:id="rId72"/>
    <sheet name="Kangatang_70" sheetId="139" state="veryHidden" r:id="rId73"/>
    <sheet name="Kangatang_71" sheetId="140" state="veryHidden" r:id="rId74"/>
    <sheet name="Kangatang_72" sheetId="141" state="veryHidden" r:id="rId75"/>
    <sheet name="Kangatang_73" sheetId="142" state="veryHidden" r:id="rId76"/>
    <sheet name="Kangatang_74" sheetId="143" state="veryHidden" r:id="rId77"/>
    <sheet name="Kangatang_75" sheetId="144" state="veryHidden" r:id="rId78"/>
    <sheet name="Kangatang_76" sheetId="145" state="veryHidden" r:id="rId79"/>
    <sheet name="Kangatang_77" sheetId="146" state="veryHidden" r:id="rId80"/>
    <sheet name="Kangatang_78" sheetId="147" state="veryHidden" r:id="rId81"/>
    <sheet name="Kangatang_79" sheetId="148" state="veryHidden" r:id="rId82"/>
    <sheet name="Kangatang_80" sheetId="149" state="veryHidden" r:id="rId83"/>
    <sheet name="Kangatang_81" sheetId="150" state="veryHidden" r:id="rId84"/>
    <sheet name="Kangatang_82" sheetId="151" state="veryHidden" r:id="rId85"/>
    <sheet name="Kangatang_83" sheetId="152" state="veryHidden" r:id="rId86"/>
    <sheet name="Kangatang_84" sheetId="153" state="veryHidden" r:id="rId87"/>
    <sheet name="Kangatang_85" sheetId="154" state="veryHidden" r:id="rId88"/>
    <sheet name="Kangatang_86" sheetId="155" state="veryHidden" r:id="rId89"/>
    <sheet name="Kangatang_87" sheetId="156" state="veryHidden" r:id="rId90"/>
    <sheet name="Kangatang_88" sheetId="157" state="veryHidden" r:id="rId91"/>
    <sheet name="Kangatang_89" sheetId="158" state="veryHidden" r:id="rId92"/>
    <sheet name="Kangatang_90" sheetId="159" state="veryHidden" r:id="rId93"/>
    <sheet name="Kangatang_91" sheetId="160" state="veryHidden" r:id="rId94"/>
    <sheet name="Kangatang_92" sheetId="161" state="veryHidden" r:id="rId95"/>
    <sheet name="Kangatang_93" sheetId="162" state="veryHidden" r:id="rId96"/>
    <sheet name="Kangatang_94" sheetId="163" state="veryHidden" r:id="rId97"/>
    <sheet name="Kangatang_95" sheetId="164" state="veryHidden" r:id="rId98"/>
    <sheet name="Kangatang_96" sheetId="165" state="veryHidden" r:id="rId99"/>
    <sheet name="Kangatang_97" sheetId="166" state="veryHidden" r:id="rId100"/>
    <sheet name="Kangatang_98" sheetId="167" state="veryHidden" r:id="rId101"/>
    <sheet name="Kangatang_99" sheetId="168" state="veryHidden" r:id="rId102"/>
    <sheet name="Kangatang_100" sheetId="169" state="veryHidden" r:id="rId103"/>
    <sheet name="Kangatang_101" sheetId="170" state="veryHidden" r:id="rId104"/>
    <sheet name="Kangatang_102" sheetId="171" state="veryHidden" r:id="rId105"/>
    <sheet name="Kangatang_103" sheetId="172" state="veryHidden" r:id="rId106"/>
    <sheet name="Kangatang_104" sheetId="173" state="veryHidden" r:id="rId107"/>
    <sheet name="Kangatang_105" sheetId="174" state="veryHidden" r:id="rId108"/>
    <sheet name="Kangatang_106" sheetId="175" state="veryHidden" r:id="rId109"/>
    <sheet name="Kangatang_107" sheetId="176" state="veryHidden" r:id="rId110"/>
    <sheet name="Kangatang_108" sheetId="177" state="veryHidden" r:id="rId111"/>
    <sheet name="Kangatang_109" sheetId="178" state="veryHidden" r:id="rId112"/>
    <sheet name="Kangatang_110" sheetId="179" state="veryHidden" r:id="rId113"/>
    <sheet name="Kangatang_111" sheetId="180" state="veryHidden" r:id="rId114"/>
    <sheet name="Kangatang_112" sheetId="181" state="veryHidden" r:id="rId115"/>
    <sheet name="Kangatang_113" sheetId="182" state="veryHidden" r:id="rId116"/>
    <sheet name="Kangatang_114" sheetId="183" state="veryHidden" r:id="rId117"/>
    <sheet name="Kangatang_115" sheetId="184" state="veryHidden" r:id="rId118"/>
    <sheet name="Kangatang_116" sheetId="185" state="veryHidden" r:id="rId119"/>
    <sheet name="Kangatang_117" sheetId="186" state="veryHidden" r:id="rId120"/>
    <sheet name="Kangatang_118" sheetId="187" state="veryHidden" r:id="rId121"/>
    <sheet name="Kangatang_119" sheetId="188" state="veryHidden" r:id="rId122"/>
    <sheet name="Kangatang_120" sheetId="189" state="veryHidden" r:id="rId123"/>
    <sheet name="Kangatang_121" sheetId="190" state="veryHidden" r:id="rId124"/>
    <sheet name="Kangatang_122" sheetId="191" state="veryHidden" r:id="rId125"/>
    <sheet name="Kangatang_123" sheetId="192" state="veryHidden" r:id="rId126"/>
    <sheet name="Kangatang_124" sheetId="193" state="veryHidden" r:id="rId127"/>
    <sheet name="Kangatang_125" sheetId="194" state="veryHidden" r:id="rId128"/>
    <sheet name="Kangatang_126" sheetId="195" state="veryHidden" r:id="rId129"/>
    <sheet name="Kangatang_127" sheetId="196" state="veryHidden" r:id="rId130"/>
    <sheet name="Kangatang_128" sheetId="197" state="veryHidden" r:id="rId131"/>
    <sheet name="Kangatang_129" sheetId="198" state="veryHidden" r:id="rId132"/>
    <sheet name="Kangatang_130" sheetId="199" state="veryHidden" r:id="rId133"/>
    <sheet name="Kangatang_131" sheetId="200" state="veryHidden" r:id="rId134"/>
    <sheet name="Kangatang_132" sheetId="201" state="veryHidden" r:id="rId135"/>
    <sheet name="Kangatang_133" sheetId="202" state="veryHidden" r:id="rId136"/>
    <sheet name="Kangatang_134" sheetId="203" state="veryHidden" r:id="rId137"/>
    <sheet name="Kangatang_135" sheetId="204" state="veryHidden" r:id="rId138"/>
    <sheet name="Kangatang_136" sheetId="205" state="veryHidden" r:id="rId139"/>
    <sheet name="Kangatang_137" sheetId="206" state="veryHidden" r:id="rId140"/>
    <sheet name="Kangatang_138" sheetId="207" state="veryHidden" r:id="rId141"/>
    <sheet name="Kangatang_139" sheetId="208" state="veryHidden" r:id="rId142"/>
    <sheet name="Kangatang_140" sheetId="209" state="veryHidden" r:id="rId143"/>
    <sheet name="Kangatang_141" sheetId="210" state="veryHidden" r:id="rId144"/>
    <sheet name="Kangatang_142" sheetId="211" state="veryHidden" r:id="rId145"/>
    <sheet name="Kangatang_143" sheetId="212" state="veryHidden" r:id="rId146"/>
    <sheet name="Kangatang_144" sheetId="213" state="veryHidden" r:id="rId147"/>
    <sheet name="Kangatang_145" sheetId="214" state="veryHidden" r:id="rId148"/>
    <sheet name="Kangatang_146" sheetId="215" state="veryHidden" r:id="rId149"/>
    <sheet name="Kangatang_147" sheetId="216" state="veryHidden" r:id="rId150"/>
    <sheet name="Kangatang_148" sheetId="217" state="veryHidden" r:id="rId151"/>
    <sheet name="Kangatang_149" sheetId="218" state="veryHidden" r:id="rId152"/>
    <sheet name="Kangatang_150" sheetId="219" state="veryHidden" r:id="rId153"/>
    <sheet name="Kangatang_151" sheetId="220" state="veryHidden" r:id="rId154"/>
    <sheet name="Kangatang_152" sheetId="221" state="veryHidden" r:id="rId155"/>
    <sheet name="Kangatang_153" sheetId="222" state="veryHidden" r:id="rId156"/>
    <sheet name="Kangatang_154" sheetId="223" state="veryHidden" r:id="rId157"/>
    <sheet name="Kangatang_155" sheetId="224" state="veryHidden" r:id="rId158"/>
    <sheet name="Kangatang_156" sheetId="225" state="veryHidden" r:id="rId159"/>
    <sheet name="Kangatang_157" sheetId="226" state="veryHidden" r:id="rId160"/>
    <sheet name="Kangatang_158" sheetId="227" state="veryHidden" r:id="rId161"/>
    <sheet name="Kangatang_159" sheetId="228" state="veryHidden" r:id="rId162"/>
    <sheet name="Kangatang_160" sheetId="229" state="veryHidden" r:id="rId163"/>
    <sheet name="Kangatang_161" sheetId="230" state="veryHidden" r:id="rId164"/>
    <sheet name="Kangatang_162" sheetId="231" state="veryHidden" r:id="rId165"/>
    <sheet name="Kangatang_163" sheetId="232" state="veryHidden" r:id="rId166"/>
    <sheet name="Kangatang_164" sheetId="233" state="veryHidden" r:id="rId167"/>
    <sheet name="Kangatang_165" sheetId="234" state="veryHidden" r:id="rId168"/>
    <sheet name="Kangatang_166" sheetId="235" state="veryHidden" r:id="rId169"/>
    <sheet name="Kangatang_167" sheetId="236" state="veryHidden" r:id="rId170"/>
    <sheet name="Kangatang_168" sheetId="237" state="veryHidden" r:id="rId171"/>
    <sheet name="Kangatang_169" sheetId="238" state="veryHidden" r:id="rId172"/>
    <sheet name="Kangatang_170" sheetId="239" state="veryHidden" r:id="rId173"/>
    <sheet name="Kangatang_171" sheetId="240" state="veryHidden" r:id="rId174"/>
    <sheet name="Kangatang_172" sheetId="241" state="veryHidden" r:id="rId175"/>
    <sheet name="Kangatang_173" sheetId="242" state="veryHidden" r:id="rId176"/>
    <sheet name="Kangatang_174" sheetId="243" state="veryHidden" r:id="rId177"/>
    <sheet name="Kangatang_175" sheetId="244" state="veryHidden" r:id="rId178"/>
    <sheet name="Kangatang_176" sheetId="245" state="veryHidden" r:id="rId179"/>
    <sheet name="Kangatang_177" sheetId="246" state="veryHidden" r:id="rId180"/>
    <sheet name="Kangatang_178" sheetId="247" state="veryHidden" r:id="rId181"/>
    <sheet name="Kangatang_179" sheetId="248" state="veryHidden" r:id="rId182"/>
    <sheet name="Kangatang_180" sheetId="249" state="veryHidden" r:id="rId183"/>
    <sheet name="Kangatang_181" sheetId="250" state="veryHidden" r:id="rId184"/>
    <sheet name="Kangatang_182" sheetId="251" state="veryHidden" r:id="rId185"/>
    <sheet name="Kangatang_183" sheetId="252" state="veryHidden" r:id="rId186"/>
    <sheet name="Kangatang_184" sheetId="253" state="veryHidden" r:id="rId187"/>
    <sheet name="Kangatang_185" sheetId="254" state="veryHidden" r:id="rId188"/>
    <sheet name="Kangatang_186" sheetId="255" state="veryHidden" r:id="rId189"/>
    <sheet name="Kangatang_187" sheetId="256" state="veryHidden" r:id="rId190"/>
    <sheet name="Kangatang_188" sheetId="257" state="veryHidden" r:id="rId191"/>
    <sheet name="Kangatang_189" sheetId="258" state="veryHidden" r:id="rId192"/>
    <sheet name="Kangatang_190" sheetId="259" state="veryHidden" r:id="rId193"/>
    <sheet name="Kangatang_191" sheetId="260" state="veryHidden" r:id="rId194"/>
    <sheet name="Kangatang_192" sheetId="261" state="veryHidden" r:id="rId195"/>
    <sheet name="Kangatang_193" sheetId="262" state="veryHidden" r:id="rId196"/>
    <sheet name="Kangatang_194" sheetId="263" state="veryHidden" r:id="rId197"/>
    <sheet name="Kangatang_195" sheetId="264" state="veryHidden" r:id="rId198"/>
    <sheet name="Kangatang_196" sheetId="265" state="veryHidden" r:id="rId199"/>
    <sheet name="Kangatang_197" sheetId="266" state="veryHidden" r:id="rId200"/>
    <sheet name="Kangatang_198" sheetId="267" state="veryHidden" r:id="rId201"/>
    <sheet name="Kangatang_199" sheetId="268" state="veryHidden" r:id="rId202"/>
    <sheet name="Kangatang_200" sheetId="269" state="veryHidden" r:id="rId203"/>
    <sheet name="Kangatang_201" sheetId="270" state="veryHidden" r:id="rId204"/>
    <sheet name="Kangatang_202" sheetId="271" state="veryHidden" r:id="rId205"/>
    <sheet name="Kangatang_203" sheetId="272" state="veryHidden" r:id="rId206"/>
    <sheet name="Kangatang_204" sheetId="273" state="veryHidden" r:id="rId207"/>
    <sheet name="Kangatang_205" sheetId="274" state="veryHidden" r:id="rId208"/>
    <sheet name="Kangatang_206" sheetId="275" state="veryHidden" r:id="rId209"/>
    <sheet name="Kangatang_207" sheetId="276" state="veryHidden" r:id="rId210"/>
    <sheet name="Kangatang_208" sheetId="277" state="veryHidden" r:id="rId211"/>
    <sheet name="Kangatang_209" sheetId="278" state="veryHidden" r:id="rId212"/>
    <sheet name="Kangatang_210" sheetId="279" state="veryHidden" r:id="rId213"/>
    <sheet name="Kangatang_211" sheetId="280" state="veryHidden" r:id="rId214"/>
    <sheet name="Kangatang_212" sheetId="281" state="veryHidden" r:id="rId215"/>
    <sheet name="Kangatang_213" sheetId="282" state="veryHidden" r:id="rId216"/>
    <sheet name="Kangatang_214" sheetId="283" state="veryHidden" r:id="rId217"/>
    <sheet name="Kangatang_215" sheetId="284" state="veryHidden" r:id="rId218"/>
    <sheet name="Kangatang_216" sheetId="285" state="veryHidden" r:id="rId219"/>
    <sheet name="Kangatang_217" sheetId="286" state="veryHidden" r:id="rId220"/>
    <sheet name="Kangatang_218" sheetId="287" state="veryHidden" r:id="rId221"/>
    <sheet name="Kangatang_219" sheetId="288" state="veryHidden" r:id="rId222"/>
    <sheet name="Kangatang_220" sheetId="289" state="veryHidden" r:id="rId223"/>
    <sheet name="Kangatang_221" sheetId="290" state="veryHidden" r:id="rId224"/>
    <sheet name="Kangatang_222" sheetId="291" state="veryHidden" r:id="rId225"/>
    <sheet name="Kangatang_223" sheetId="292" state="veryHidden" r:id="rId226"/>
    <sheet name="Kangatang_224" sheetId="293" state="veryHidden" r:id="rId227"/>
    <sheet name="Kangatang_225" sheetId="294" state="veryHidden" r:id="rId228"/>
    <sheet name="Kangatang_226" sheetId="295" state="veryHidden" r:id="rId229"/>
    <sheet name="Kangatang_227" sheetId="296" state="veryHidden" r:id="rId230"/>
    <sheet name="Kangatang_228" sheetId="297" state="veryHidden" r:id="rId231"/>
    <sheet name="Kangatang_229" sheetId="298" state="veryHidden" r:id="rId232"/>
    <sheet name="Kangatang_230" sheetId="299" state="veryHidden" r:id="rId233"/>
    <sheet name="Kangatang_231" sheetId="300" state="veryHidden" r:id="rId234"/>
    <sheet name="Kangatang_232" sheetId="301" state="veryHidden" r:id="rId235"/>
    <sheet name="Kangatang_233" sheetId="302" state="veryHidden" r:id="rId236"/>
    <sheet name="Kangatang_234" sheetId="303" state="veryHidden" r:id="rId237"/>
    <sheet name="Kangatang_235" sheetId="304" state="veryHidden" r:id="rId238"/>
    <sheet name="Kangatang_236" sheetId="305" state="veryHidden" r:id="rId239"/>
    <sheet name="Kangatang_237" sheetId="306" state="veryHidden" r:id="rId240"/>
    <sheet name="Kangatang_238" sheetId="307" state="veryHidden" r:id="rId241"/>
    <sheet name="Kangatang_239" sheetId="308" state="veryHidden" r:id="rId242"/>
    <sheet name="Kangatang_240" sheetId="309" state="veryHidden" r:id="rId243"/>
    <sheet name="Kangatang_241" sheetId="310" state="veryHidden" r:id="rId244"/>
    <sheet name="Kangatang_242" sheetId="311" state="veryHidden" r:id="rId245"/>
    <sheet name="Kangatang_243" sheetId="312" state="veryHidden" r:id="rId246"/>
    <sheet name="Kangatang_244" sheetId="313" state="veryHidden" r:id="rId247"/>
    <sheet name="Kangatang_245" sheetId="314" state="veryHidden" r:id="rId248"/>
    <sheet name="Kangatang_246" sheetId="315" state="veryHidden" r:id="rId249"/>
    <sheet name="Kangatang_247" sheetId="316" state="veryHidden" r:id="rId250"/>
    <sheet name="Kangatang_248" sheetId="317" state="veryHidden" r:id="rId251"/>
    <sheet name="Kangatang_249" sheetId="318" state="veryHidden" r:id="rId252"/>
    <sheet name="Kangatang_250" sheetId="319" state="veryHidden" r:id="rId253"/>
    <sheet name="Kangatang_251" sheetId="320" state="veryHidden" r:id="rId254"/>
    <sheet name="Kangatang_252" sheetId="321" state="veryHidden" r:id="rId255"/>
    <sheet name="Kangatang_253" sheetId="322" state="veryHidden" r:id="rId256"/>
    <sheet name="Kangatang_254" sheetId="323" state="veryHidden" r:id="rId257"/>
    <sheet name="Kangatang_255" sheetId="324" state="veryHidden" r:id="rId258"/>
    <sheet name="Kangatang_256" sheetId="325" state="veryHidden" r:id="rId259"/>
    <sheet name="Kangatang_257" sheetId="326" state="veryHidden" r:id="rId260"/>
    <sheet name="Kangatang_258" sheetId="327" state="veryHidden" r:id="rId261"/>
    <sheet name="Kangatang_259" sheetId="328" state="veryHidden" r:id="rId262"/>
    <sheet name="Kangatang_260" sheetId="329" state="veryHidden" r:id="rId263"/>
    <sheet name="Kangatang_261" sheetId="330" state="veryHidden" r:id="rId264"/>
    <sheet name="Kangatang_262" sheetId="331" state="veryHidden" r:id="rId265"/>
    <sheet name="Kangatang_263" sheetId="332" state="veryHidden" r:id="rId266"/>
    <sheet name="Kangatang_264" sheetId="333" state="veryHidden" r:id="rId267"/>
    <sheet name="Kangatang_265" sheetId="334" state="veryHidden" r:id="rId268"/>
    <sheet name="Kangatang_266" sheetId="335" state="veryHidden" r:id="rId269"/>
    <sheet name="Kangatang_267" sheetId="336" state="veryHidden" r:id="rId270"/>
    <sheet name="Kangatang_268" sheetId="337" state="veryHidden" r:id="rId271"/>
    <sheet name="Kangatang_269" sheetId="338" state="veryHidden" r:id="rId272"/>
    <sheet name="Kangatang_270" sheetId="339" state="veryHidden" r:id="rId273"/>
    <sheet name="Kangatang_271" sheetId="340" state="veryHidden" r:id="rId274"/>
    <sheet name="Kangatang_272" sheetId="341" state="veryHidden" r:id="rId275"/>
    <sheet name="Kangatang_273" sheetId="342" state="veryHidden" r:id="rId276"/>
    <sheet name="Kangatang_274" sheetId="343" state="veryHidden" r:id="rId277"/>
    <sheet name="Kangatang_275" sheetId="344" state="veryHidden" r:id="rId278"/>
    <sheet name="Kangatang_276" sheetId="345" state="veryHidden" r:id="rId279"/>
    <sheet name="Kangatang_277" sheetId="346" state="veryHidden" r:id="rId280"/>
    <sheet name="Kangatang_278" sheetId="347" state="veryHidden" r:id="rId281"/>
    <sheet name="Kangatang_279" sheetId="348" state="veryHidden" r:id="rId282"/>
    <sheet name="Kangatang_280" sheetId="349" state="veryHidden" r:id="rId283"/>
    <sheet name="Kangatang_281" sheetId="350" state="veryHidden" r:id="rId284"/>
    <sheet name="Kangatang_282" sheetId="351" state="veryHidden" r:id="rId285"/>
    <sheet name="Kangatang_283" sheetId="352" state="veryHidden" r:id="rId286"/>
    <sheet name="Kangatang_284" sheetId="353" state="veryHidden" r:id="rId287"/>
    <sheet name="Kangatang_285" sheetId="354" state="veryHidden" r:id="rId288"/>
    <sheet name="Kangatang_286" sheetId="355" state="veryHidden" r:id="rId289"/>
    <sheet name="Kangatang_287" sheetId="356" state="veryHidden" r:id="rId290"/>
    <sheet name="Kangatang_288" sheetId="357" state="veryHidden" r:id="rId291"/>
    <sheet name="Kangatang_289" sheetId="358" state="veryHidden" r:id="rId292"/>
    <sheet name="Kangatang_290" sheetId="359" state="veryHidden" r:id="rId293"/>
    <sheet name="Kangatang_291" sheetId="360" state="veryHidden" r:id="rId294"/>
    <sheet name="Kangatang_292" sheetId="361" state="veryHidden" r:id="rId295"/>
    <sheet name="Kangatang_293" sheetId="362" state="veryHidden" r:id=""/>
    <sheet name="Kangatang_294" sheetId="363" state="veryHidden" r:id=""/>
    <sheet name="Kangatang_295" sheetId="364" state="veryHidden" r:id=""/>
    <sheet name="Kangatang_296" sheetId="365" state="veryHidden" r:id=""/>
    <sheet name="Kangatang_297" sheetId="366" state="veryHidden" r:id=""/>
    <sheet name="Kangatang_298" sheetId="367" state="veryHidden" r:id=""/>
    <sheet name="Kangatang_299" sheetId="368" state="veryHidden" r:id=""/>
    <sheet name="Kangatang_300" sheetId="369" state="veryHidden" r:id=""/>
    <sheet name="Kangatang_301" sheetId="370" state="veryHidden" r:id=""/>
    <sheet name="Kangatang_302" sheetId="371" state="veryHidden" r:id=""/>
    <sheet name="Kangatang_303" sheetId="372" state="veryHidden" r:id=""/>
    <sheet name="Kangatang_304" sheetId="373" state="veryHidden" r:id=""/>
    <sheet name="Kangatang_305" sheetId="374" state="veryHidden" r:id=""/>
    <sheet name="Kangatang_306" sheetId="375" state="veryHidden" r:id=""/>
    <sheet name="Kangatang_307" sheetId="376" state="veryHidden" r:id=""/>
    <sheet name="Kangatang_308" sheetId="377" state="veryHidden" r:id=""/>
    <sheet name="Kangatang_309" sheetId="378" state="veryHidden" r:id=""/>
    <sheet name="Kangatang_310" sheetId="379" state="veryHidden" r:id=""/>
    <sheet name="Kangatang_311" sheetId="380" state="veryHidden" r:id=""/>
    <sheet name="Kangatang_312" sheetId="381" state="veryHidden" r:id=""/>
    <sheet name="Kangatang_313" sheetId="382" state="veryHidden" r:id=""/>
    <sheet name="Kangatang_314" sheetId="383" state="veryHidden" r:id=""/>
    <sheet name="Kangatang_315" sheetId="384" state="veryHidden" r:id=""/>
    <sheet name="Kangatang_316" sheetId="385" state="veryHidden" r:id=""/>
    <sheet name="Kangatang_317" sheetId="386" state="veryHidden" r:id=""/>
    <sheet name="Kangatang_318" sheetId="387" state="veryHidden" r:id=""/>
    <sheet name="Kangatang_319" sheetId="388" state="veryHidden" r:id=""/>
    <sheet name="Kangatang_320" sheetId="389" state="veryHidden" r:id=""/>
    <sheet name="Kangatang_321" sheetId="390" state="veryHidden" r:id=""/>
    <sheet name="Kangatang_322" sheetId="391" state="veryHidden" r:id=""/>
    <sheet name="Kangatang_323" sheetId="392" state="veryHidden" r:id=""/>
    <sheet name="Kangatang_324" sheetId="393" state="veryHidden" r:id=""/>
    <sheet name="Kangatang_325" sheetId="394" state="veryHidden" r:id=""/>
    <sheet name="Kangatang_326" sheetId="395" state="veryHidden" r:id=""/>
    <sheet name="Kangatang_327" sheetId="396" state="veryHidden" r:id=""/>
    <sheet name="Kangatang_328" sheetId="397" state="veryHidden" r:id=""/>
    <sheet name="Kangatang_329" sheetId="398" state="veryHidden" r:id=""/>
    <sheet name="Kangatang_330" sheetId="399" state="veryHidden" r:id=""/>
    <sheet name="Kangatang_331" sheetId="400" state="veryHidden" r:id=""/>
    <sheet name="Kangatang_332" sheetId="401" state="veryHidden" r:id=""/>
    <sheet name="Kangatang_333" sheetId="402" state="veryHidden" r:id=""/>
    <sheet name="Kangatang_334" sheetId="403" state="veryHidden" r:id=""/>
    <sheet name="Kangatang_335" sheetId="404" state="veryHidden" r:id=""/>
    <sheet name="Kangatang_336" sheetId="405" state="veryHidden" r:id=""/>
    <sheet name="Kangatang_337" sheetId="406" state="veryHidden" r:id=""/>
    <sheet name="Kangatang_338" sheetId="407" state="veryHidden" r:id=""/>
    <sheet name="Kangatang_339" sheetId="408" state="veryHidden" r:id=""/>
    <sheet name="Kangatang_340" sheetId="409" state="veryHidden" r:id=""/>
    <sheet name="Kangatang_341" sheetId="410" state="veryHidden" r:id=""/>
    <sheet name="Kangatang_342" sheetId="411" state="veryHidden" r:id=""/>
    <sheet name="Kangatang_343" sheetId="412" state="veryHidden" r:id=""/>
    <sheet name="Kangatang_344" sheetId="413" state="veryHidden" r:id=""/>
    <sheet name="Kangatang_345" sheetId="414" state="veryHidden" r:id=""/>
    <sheet name="Kangatang_346" sheetId="415" state="veryHidden" r:id=""/>
    <sheet name="Kangatang_347" sheetId="416" state="veryHidden" r:id=""/>
    <sheet name="Kangatang_348" sheetId="417" state="veryHidden" r:id=""/>
    <sheet name="Kangatang_349" sheetId="418" state="veryHidden" r:id=""/>
    <sheet name="Kangatang_350" sheetId="419" state="veryHidden" r:id=""/>
    <sheet name="Kangatang_351" sheetId="420" state="veryHidden" r:id=""/>
    <sheet name="Kangatang_352" sheetId="421" state="veryHidden" r:id=""/>
    <sheet name="THKP-CT" sheetId="55" r:id="rId296"/>
    <sheet name="THKP-TVĐT" sheetId="54" r:id="rId297"/>
    <sheet name="Chi phí khác" sheetId="66" r:id="rId298"/>
    <sheet name="THKP-HT-Đ" sheetId="2" r:id="rId299"/>
    <sheet name="THKP-HT-XD" sheetId="6" r:id="rId300"/>
    <sheet name="THOPCN04" sheetId="40" r:id="rId301"/>
    <sheet name="ChitietCapngam04" sheetId="39" r:id="rId302"/>
    <sheet name="DM_6060" sheetId="26" state="hidden" r:id="rId303"/>
    <sheet name="Gia VT TB" sheetId="34" state="hidden" r:id="rId304"/>
    <sheet name="DM 1781" sheetId="27" state="hidden" r:id="rId305"/>
    <sheet name="Muong" sheetId="42" state="hidden" r:id="rId306"/>
    <sheet name="MUONG- HAO CAP (2)" sheetId="49" state="hidden" r:id="rId307"/>
    <sheet name="ChitietTNHCngam04" sheetId="45" r:id="rId308"/>
    <sheet name="VL-NC-MTC-TBA" sheetId="50" r:id="rId309"/>
    <sheet name="Chiphithetbi" sheetId="68" r:id="rId310"/>
    <sheet name="THKPTBA" sheetId="64" r:id="rId311"/>
    <sheet name="Chi tiết-TBA" sheetId="51" r:id="rId312"/>
    <sheet name="ChitietTNHCTBA" sheetId="52" r:id="rId313"/>
    <sheet name="THKP-TT-XD" sheetId="59" r:id="rId314"/>
    <sheet name="THKP-TT-Đ" sheetId="56" r:id="rId315"/>
    <sheet name="ChitetCN22" sheetId="63" r:id="rId316"/>
    <sheet name="THCN22" sheetId="57" r:id="rId317"/>
    <sheet name="TNCN22" sheetId="69" r:id="rId318"/>
    <sheet name="Sheet5" sheetId="58" r:id="rId319"/>
    <sheet name="DG203" sheetId="62" r:id="rId320"/>
    <sheet name="Sheet3" sheetId="65" r:id="rId321"/>
    <sheet name="TNHC" sheetId="67" r:id="rId322"/>
    <sheet name="ĐMNC" sheetId="60" r:id="rId323"/>
    <sheet name="MTC" sheetId="61" r:id="rId324"/>
    <sheet name="PPT - HT" sheetId="47" r:id="rId325"/>
    <sheet name="Tủ điện" sheetId="48" state="hidden" r:id="rId326"/>
    <sheet name="PPT Rut gon" sheetId="28" state="hidden" r:id="rId327"/>
    <sheet name="DG VC" sheetId="35" state="hidden" r:id="rId328"/>
    <sheet name="DG VCN" sheetId="36" state="hidden" r:id="rId329"/>
    <sheet name="DM_TT 10" sheetId="25" state="hidden" r:id="rId330"/>
    <sheet name="Luong" sheetId="32" state="hidden" r:id="rId331"/>
  </sheets>
  <externalReferences>
    <externalReference r:id="rId332"/>
    <externalReference r:id="rId333"/>
    <externalReference r:id="rId334"/>
    <externalReference r:id="rId335"/>
    <externalReference r:id="rId336"/>
    <externalReference r:id="rId337"/>
    <externalReference r:id="rId338"/>
  </externalReferences>
  <definedNames>
    <definedName name="\0" localSheetId="367">#REF!</definedName>
    <definedName name="\0" localSheetId="360">#REF!</definedName>
    <definedName name="\0">#REF!</definedName>
    <definedName name="\s" localSheetId="0">#REF!</definedName>
    <definedName name="\s">#REF!</definedName>
    <definedName name="\t" localSheetId="0">#REF!</definedName>
    <definedName name="\t">#REF!</definedName>
    <definedName name="\z" localSheetId="367">#REF!</definedName>
    <definedName name="\z" localSheetId="360">#REF!</definedName>
    <definedName name="\z">#REF!</definedName>
    <definedName name="_">#N/A</definedName>
    <definedName name="_______a129"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_lap1" localSheetId="0">#REF!</definedName>
    <definedName name="_______lap1">#REF!</definedName>
    <definedName name="_______lap2" localSheetId="0">#REF!</definedName>
    <definedName name="_______lap2">#REF!</definedName>
    <definedName name="______a129" localSheetId="0" hidden="1">{"Offgrid",#N/A,FALSE,"OFFGRID";"Region",#N/A,FALSE,"REGION";"Offgrid -2",#N/A,FALSE,"OFFGRID";"WTP",#N/A,FALSE,"WTP";"WTP -2",#N/A,FALSE,"WTP";"Project",#N/A,FALSE,"PROJECT";"Summary -2",#N/A,FALSE,"SUMMARY"}</definedName>
    <definedName name="______a129" hidden="1">{"Offgrid",#N/A,FALSE,"OFFGRID";"Region",#N/A,FALSE,"REGION";"Offgrid -2",#N/A,FALSE,"OFFGRID";"WTP",#N/A,FALSE,"WTP";"WTP -2",#N/A,FALSE,"WTP";"Project",#N/A,FALSE,"PROJECT";"Summary -2",#N/A,FALSE,"SUMMARY"}</definedName>
    <definedName name="______a130" localSheetId="0"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_Goi8" localSheetId="0" hidden="1">{"'Sheet1'!$L$16"}</definedName>
    <definedName name="______Goi8" hidden="1">{"'Sheet1'!$L$16"}</definedName>
    <definedName name="______Lan1" localSheetId="0" hidden="1">{"'Sheet1'!$L$16"}</definedName>
    <definedName name="______Lan1" hidden="1">{"'Sheet1'!$L$16"}</definedName>
    <definedName name="______LAN3" localSheetId="0" hidden="1">{"'Sheet1'!$L$16"}</definedName>
    <definedName name="______LAN3" hidden="1">{"'Sheet1'!$L$16"}</definedName>
    <definedName name="______lap1" localSheetId="0">#REF!</definedName>
    <definedName name="______lap1">#REF!</definedName>
    <definedName name="______lap2" localSheetId="0">#REF!</definedName>
    <definedName name="______lap2">#REF!</definedName>
    <definedName name="______PA3" localSheetId="0" hidden="1">{"'Sheet1'!$L$16"}</definedName>
    <definedName name="______PA3" hidden="1">{"'Sheet1'!$L$16"}</definedName>
    <definedName name="_____a129" localSheetId="0"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0"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Goi8" localSheetId="0" hidden="1">{"'Sheet1'!$L$16"}</definedName>
    <definedName name="_____Goi8" hidden="1">{"'Sheet1'!$L$16"}</definedName>
    <definedName name="_____Lan1" localSheetId="0" hidden="1">{"'Sheet1'!$L$16"}</definedName>
    <definedName name="_____Lan1" hidden="1">{"'Sheet1'!$L$16"}</definedName>
    <definedName name="_____LAN3" localSheetId="0" hidden="1">{"'Sheet1'!$L$16"}</definedName>
    <definedName name="_____LAN3" hidden="1">{"'Sheet1'!$L$16"}</definedName>
    <definedName name="_____lap1" localSheetId="0">#REF!</definedName>
    <definedName name="_____lap1">#REF!</definedName>
    <definedName name="_____lap2" localSheetId="0">#REF!</definedName>
    <definedName name="_____lap2">#REF!</definedName>
    <definedName name="_____PA3" localSheetId="0" hidden="1">{"'Sheet1'!$L$16"}</definedName>
    <definedName name="_____PA3" hidden="1">{"'Sheet1'!$L$16"}</definedName>
    <definedName name="_____TM2" localSheetId="0" hidden="1">{"'Sheet1'!$L$16"}</definedName>
    <definedName name="_____TM2" hidden="1">{"'Sheet1'!$L$16"}</definedName>
    <definedName name="_____tt3" localSheetId="0" hidden="1">{"'Sheet1'!$L$16"}</definedName>
    <definedName name="_____tt3" hidden="1">{"'Sheet1'!$L$16"}</definedName>
    <definedName name="____a129" localSheetId="0"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CON1">#REF!</definedName>
    <definedName name="____CON2">#REF!</definedName>
    <definedName name="____Goi8" localSheetId="0" hidden="1">{"'Sheet1'!$L$16"}</definedName>
    <definedName name="____Goi8" hidden="1">{"'Sheet1'!$L$16"}</definedName>
    <definedName name="____Lan1" localSheetId="0" hidden="1">{"'Sheet1'!$L$16"}</definedName>
    <definedName name="____Lan1" hidden="1">{"'Sheet1'!$L$16"}</definedName>
    <definedName name="____LAN3" localSheetId="0" hidden="1">{"'Sheet1'!$L$16"}</definedName>
    <definedName name="____LAN3" hidden="1">{"'Sheet1'!$L$16"}</definedName>
    <definedName name="____lap1" localSheetId="0">#REF!</definedName>
    <definedName name="____lap1">#REF!</definedName>
    <definedName name="____lap2" localSheetId="0">#REF!</definedName>
    <definedName name="____lap2">#REF!</definedName>
    <definedName name="____NET2">#REF!</definedName>
    <definedName name="____PA3" localSheetId="0" hidden="1">{"'Sheet1'!$L$16"}</definedName>
    <definedName name="____PA3" hidden="1">{"'Sheet1'!$L$16"}</definedName>
    <definedName name="____TM2" localSheetId="0" hidden="1">{"'Sheet1'!$L$16"}</definedName>
    <definedName name="____TM2" hidden="1">{"'Sheet1'!$L$16"}</definedName>
    <definedName name="____tt3" localSheetId="0" hidden="1">{"'Sheet1'!$L$16"}</definedName>
    <definedName name="____tt3" hidden="1">{"'Sheet1'!$L$16"}</definedName>
    <definedName name="___a1" localSheetId="0" hidden="1">{"'Sheet1'!$L$16"}</definedName>
    <definedName name="___a1" hidden="1">{"'Sheet1'!$L$16"}</definedName>
    <definedName name="___a129" localSheetId="0"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CON1" localSheetId="0">#REF!</definedName>
    <definedName name="___CON1">#REF!</definedName>
    <definedName name="___CON2" localSheetId="0">#REF!</definedName>
    <definedName name="___CON2">#REF!</definedName>
    <definedName name="___ddn400">#REF!</definedName>
    <definedName name="___ddn600">#REF!</definedName>
    <definedName name="___Goi8" localSheetId="0" hidden="1">{"'Sheet1'!$L$16"}</definedName>
    <definedName name="___Goi8" hidden="1">{"'Sheet1'!$L$16"}</definedName>
    <definedName name="___Lan1" localSheetId="0" hidden="1">{"'Sheet1'!$L$16"}</definedName>
    <definedName name="___Lan1" hidden="1">{"'Sheet1'!$L$16"}</definedName>
    <definedName name="___LAN3" localSheetId="0" hidden="1">{"'Sheet1'!$L$16"}</definedName>
    <definedName name="___LAN3" hidden="1">{"'Sheet1'!$L$16"}</definedName>
    <definedName name="___lap1" localSheetId="0">#REF!</definedName>
    <definedName name="___lap1">#REF!</definedName>
    <definedName name="___lap2" localSheetId="0">#REF!</definedName>
    <definedName name="___lap2">#REF!</definedName>
    <definedName name="___MAC12">#REF!</definedName>
    <definedName name="___MAC46">#REF!</definedName>
    <definedName name="___NCL100">#REF!</definedName>
    <definedName name="___NCL200">#REF!</definedName>
    <definedName name="___NCL250">#REF!</definedName>
    <definedName name="___NET2" localSheetId="0">#REF!</definedName>
    <definedName name="___NET2">#REF!</definedName>
    <definedName name="___nin190">#REF!</definedName>
    <definedName name="___PA3" localSheetId="0" hidden="1">{"'Sheet1'!$L$16"}</definedName>
    <definedName name="___PA3" hidden="1">{"'Sheet1'!$L$16"}</definedName>
    <definedName name="___sc1">#REF!</definedName>
    <definedName name="___SC2">#REF!</definedName>
    <definedName name="___sc3">#REF!</definedName>
    <definedName name="___SN3">#REF!</definedName>
    <definedName name="___TB1">#REF!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M2" localSheetId="0" hidden="1">{"'Sheet1'!$L$16"}</definedName>
    <definedName name="___TM2" hidden="1">{"'Sheet1'!$L$16"}</definedName>
    <definedName name="___tt3" localSheetId="0" hidden="1">{"'Sheet1'!$L$16"}</definedName>
    <definedName name="___tt3" hidden="1">{"'Sheet1'!$L$16"}</definedName>
    <definedName name="___VL100">#REF!</definedName>
    <definedName name="___VL200">#REF!</definedName>
    <definedName name="___VL250">#REF!</definedName>
    <definedName name="__a1" localSheetId="0"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eh1" localSheetId="0">#REF!</definedName>
    <definedName name="__aeh1">#REF!</definedName>
    <definedName name="__aeh2" localSheetId="0">#REF!</definedName>
    <definedName name="__aeh2">#REF!</definedName>
    <definedName name="__aeh3" localSheetId="0">#REF!</definedName>
    <definedName name="__aeh3">#REF!</definedName>
    <definedName name="__aeh4" localSheetId="0">#REF!</definedName>
    <definedName name="__aeh4">#REF!</definedName>
    <definedName name="__aeh5" localSheetId="0">#REF!</definedName>
    <definedName name="__aeh5">#REF!</definedName>
    <definedName name="__aeq1" localSheetId="0">#REF!</definedName>
    <definedName name="__aeq1">#REF!</definedName>
    <definedName name="__aeq2" localSheetId="0">#REF!</definedName>
    <definedName name="__aeq2">#REF!</definedName>
    <definedName name="__aeq3" localSheetId="0">#REF!</definedName>
    <definedName name="__aeq3">#REF!</definedName>
    <definedName name="__aeq4" localSheetId="0">#REF!</definedName>
    <definedName name="__aeq4">#REF!</definedName>
    <definedName name="__aeq5" localSheetId="0">#REF!</definedName>
    <definedName name="__aeq5">#REF!</definedName>
    <definedName name="__akl1" localSheetId="0">#REF!</definedName>
    <definedName name="__akl1">#REF!</definedName>
    <definedName name="__akl2" localSheetId="0">#REF!</definedName>
    <definedName name="__akl2">#REF!</definedName>
    <definedName name="__akl3" localSheetId="0">#REF!</definedName>
    <definedName name="__akl3">#REF!</definedName>
    <definedName name="__akl4" localSheetId="0">#REF!</definedName>
    <definedName name="__akl4">#REF!</definedName>
    <definedName name="__akl5" localSheetId="0">#REF!</definedName>
    <definedName name="__akl5">#REF!</definedName>
    <definedName name="__ars1" localSheetId="0">#REF!</definedName>
    <definedName name="__ars1">#REF!</definedName>
    <definedName name="__ars2" localSheetId="0">#REF!</definedName>
    <definedName name="__ars2">#REF!</definedName>
    <definedName name="__ars3" localSheetId="0">#REF!</definedName>
    <definedName name="__ars3">#REF!</definedName>
    <definedName name="__ars4" localSheetId="0">#REF!</definedName>
    <definedName name="__ars4">#REF!</definedName>
    <definedName name="__ars5" localSheetId="0">#REF!</definedName>
    <definedName name="__ars5">#REF!</definedName>
    <definedName name="__B240" localSheetId="0">#REF!</definedName>
    <definedName name="__B240">#REF!</definedName>
    <definedName name="__CON1" localSheetId="0">#REF!</definedName>
    <definedName name="__CON1">#REF!</definedName>
    <definedName name="__CON2" localSheetId="0">#REF!</definedName>
    <definedName name="__CON2">#REF!</definedName>
    <definedName name="__ddn400" localSheetId="0">#REF!</definedName>
    <definedName name="__ddn400">#REF!</definedName>
    <definedName name="__ddn600" localSheetId="0">#REF!</definedName>
    <definedName name="__ddn600">#REF!</definedName>
    <definedName name="__Goi8" localSheetId="0" hidden="1">{"'Sheet1'!$L$16"}</definedName>
    <definedName name="__Goi8" hidden="1">{"'Sheet1'!$L$16"}</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keh1" localSheetId="0">#REF!</definedName>
    <definedName name="__keh1">#REF!</definedName>
    <definedName name="__keh2" localSheetId="0">#REF!</definedName>
    <definedName name="__keh2">#REF!</definedName>
    <definedName name="__keh3" localSheetId="0">#REF!</definedName>
    <definedName name="__keh3">#REF!</definedName>
    <definedName name="__keh4" localSheetId="0">#REF!</definedName>
    <definedName name="__keh4">#REF!</definedName>
    <definedName name="__keh5" localSheetId="0">#REF!</definedName>
    <definedName name="__keh5">#REF!</definedName>
    <definedName name="__keq1" localSheetId="0">#REF!</definedName>
    <definedName name="__keq1">#REF!</definedName>
    <definedName name="__keq2" localSheetId="0">#REF!</definedName>
    <definedName name="__keq2">#REF!</definedName>
    <definedName name="__keq3" localSheetId="0">#REF!</definedName>
    <definedName name="__keq3">#REF!</definedName>
    <definedName name="__keq4" localSheetId="0">#REF!</definedName>
    <definedName name="__keq4">#REF!</definedName>
    <definedName name="__keq5" localSheetId="0">#REF!</definedName>
    <definedName name="__keq5">#REF!</definedName>
    <definedName name="__krs1" localSheetId="0">#REF!</definedName>
    <definedName name="__krs1">#REF!</definedName>
    <definedName name="__krs2" localSheetId="0">#REF!</definedName>
    <definedName name="__krs2">#REF!</definedName>
    <definedName name="__krs3" localSheetId="0">#REF!</definedName>
    <definedName name="__krs3">#REF!</definedName>
    <definedName name="__krs4" localSheetId="0">#REF!</definedName>
    <definedName name="__krs4">#REF!</definedName>
    <definedName name="__krs5" localSheetId="0">#REF!</definedName>
    <definedName name="__krs5">#REF!</definedName>
    <definedName name="__kh1" localSheetId="0">#REF!</definedName>
    <definedName name="__kh1">#REF!</definedName>
    <definedName name="__kh2" localSheetId="0">#REF!</definedName>
    <definedName name="__kh2">#REF!</definedName>
    <definedName name="__kh3" localSheetId="0">#REF!</definedName>
    <definedName name="__kh3">#REF!</definedName>
    <definedName name="__kh4" localSheetId="0">#REF!</definedName>
    <definedName name="__kh4">#REF!</definedName>
    <definedName name="__kh5" localSheetId="0">#REF!</definedName>
    <definedName name="__kh5">#REF!</definedName>
    <definedName name="__khl1" localSheetId="0">#REF!</definedName>
    <definedName name="__khl1">#REF!</definedName>
    <definedName name="__khl2" localSheetId="0">#REF!</definedName>
    <definedName name="__khl2">#REF!</definedName>
    <definedName name="__khl3" localSheetId="0">#REF!</definedName>
    <definedName name="__khl3">#REF!</definedName>
    <definedName name="__khl4" localSheetId="0">#REF!</definedName>
    <definedName name="__khl4">#REF!</definedName>
    <definedName name="__khl5" localSheetId="0">#REF!</definedName>
    <definedName name="__khl5">#REF!</definedName>
    <definedName name="__Lan1" localSheetId="0" hidden="1">{"'Sheet1'!$L$16"}</definedName>
    <definedName name="__Lan1" hidden="1">{"'Sheet1'!$L$16"}</definedName>
    <definedName name="__LAN3" localSheetId="0" hidden="1">{"'Sheet1'!$L$16"}</definedName>
    <definedName name="__LAN3" hidden="1">{"'Sheet1'!$L$16"}</definedName>
    <definedName name="__lap1" localSheetId="0">#REF!</definedName>
    <definedName name="__lap1">#REF!</definedName>
    <definedName name="__lap2" localSheetId="0">#REF!</definedName>
    <definedName name="__lap2">#REF!</definedName>
    <definedName name="__MAC12" localSheetId="0">#REF!</definedName>
    <definedName name="__MAC12">#REF!</definedName>
    <definedName name="__MAC46" localSheetId="0">#REF!</definedName>
    <definedName name="__MAC46">#REF!</definedName>
    <definedName name="__NCL100" localSheetId="0">#REF!</definedName>
    <definedName name="__NCL100">#REF!</definedName>
    <definedName name="__NCL200" localSheetId="0">#REF!</definedName>
    <definedName name="__NCL200">#REF!</definedName>
    <definedName name="__NCL250" localSheetId="0">#REF!</definedName>
    <definedName name="__NCL250">#REF!</definedName>
    <definedName name="__NCN15" localSheetId="0" hidden="1">{"'Sheet1'!$L$16"}</definedName>
    <definedName name="__NCN15" hidden="1">{"'Sheet1'!$L$16"}</definedName>
    <definedName name="__NET2" localSheetId="0">#REF!</definedName>
    <definedName name="__NET2">#REF!</definedName>
    <definedName name="__nin190" localSheetId="0">#REF!</definedName>
    <definedName name="__nin190">#REF!</definedName>
    <definedName name="__PA3" localSheetId="0" hidden="1">{"'Sheet1'!$L$16"}</definedName>
    <definedName name="__PA3" hidden="1">{"'Sheet1'!$L$16"}</definedName>
    <definedName name="__sc1" localSheetId="0">#REF!</definedName>
    <definedName name="__sc1">#REF!</definedName>
    <definedName name="__SC2" localSheetId="0">#REF!</definedName>
    <definedName name="__SC2">#REF!</definedName>
    <definedName name="__sc3" localSheetId="0">#REF!</definedName>
    <definedName name="__sc3">#REF!</definedName>
    <definedName name="__SN3" localSheetId="0">#REF!</definedName>
    <definedName name="__SN3">#REF!</definedName>
    <definedName name="__TB1" localSheetId="0">#REF!</definedName>
    <definedName name="__TB1">#REF!</definedName>
    <definedName name="__TEN1" localSheetId="0">#REF!</definedName>
    <definedName name="__TEN1">#REF!</definedName>
    <definedName name="__TL1" localSheetId="0">#REF!</definedName>
    <definedName name="__TL1">#REF!</definedName>
    <definedName name="__TL2" localSheetId="0">#REF!</definedName>
    <definedName name="__TL2">#REF!</definedName>
    <definedName name="__TL3" localSheetId="0">#REF!</definedName>
    <definedName name="__TL3">#REF!</definedName>
    <definedName name="__TLA120" localSheetId="0">#REF!</definedName>
    <definedName name="__TLA120">#REF!</definedName>
    <definedName name="__TLA35" localSheetId="0">#REF!</definedName>
    <definedName name="__TLA35">#REF!</definedName>
    <definedName name="__TLA50" localSheetId="0">#REF!</definedName>
    <definedName name="__TLA50">#REF!</definedName>
    <definedName name="__TLA70" localSheetId="0">#REF!</definedName>
    <definedName name="__TLA70">#REF!</definedName>
    <definedName name="__TLA95" localSheetId="0">#REF!</definedName>
    <definedName name="__TLA95">#REF!</definedName>
    <definedName name="__TM2" localSheetId="0" hidden="1">{"'Sheet1'!$L$16"}</definedName>
    <definedName name="__TM2" hidden="1">{"'Sheet1'!$L$16"}</definedName>
    <definedName name="__tt3" localSheetId="0" hidden="1">{"'Sheet1'!$L$16"}</definedName>
    <definedName name="__tt3" hidden="1">{"'Sheet1'!$L$16"}</definedName>
    <definedName name="__VL100" localSheetId="0">#REF!</definedName>
    <definedName name="__VL100">#REF!</definedName>
    <definedName name="__VL200" localSheetId="0">#REF!</definedName>
    <definedName name="__VL200">#REF!</definedName>
    <definedName name="__VL250" localSheetId="0">#REF!</definedName>
    <definedName name="__VL250">#REF!</definedName>
    <definedName name="_1" localSheetId="361">#REF!</definedName>
    <definedName name="_1" localSheetId="367">#REF!</definedName>
    <definedName name="_1" localSheetId="360">#REF!</definedName>
    <definedName name="_1">#N/A</definedName>
    <definedName name="_1_?" localSheetId="0">#REF!</definedName>
    <definedName name="_1_?">#REF!</definedName>
    <definedName name="_1000A01">#N/A</definedName>
    <definedName name="_1957CotThep">#REF!</definedName>
    <definedName name="_1957DaoDat">#REF!</definedName>
    <definedName name="_1957DoBeTong">#REF!</definedName>
    <definedName name="_1957Door">#REF!</definedName>
    <definedName name="_1957HoanThien">#REF!</definedName>
    <definedName name="_1957Nuoc">#REF!</definedName>
    <definedName name="_1957ThaoDo">#REF!</definedName>
    <definedName name="_1957Xay">#REF!</definedName>
    <definedName name="_1BA2500" localSheetId="0">#REF!</definedName>
    <definedName name="_1BA2500">#REF!</definedName>
    <definedName name="_1BA3250" localSheetId="0">#REF!</definedName>
    <definedName name="_1BA3250">#REF!</definedName>
    <definedName name="_1BA400P" localSheetId="0">#REF!</definedName>
    <definedName name="_1BA400P">#REF!</definedName>
    <definedName name="_1BLnhungkem">#REF!</definedName>
    <definedName name="_1CAP001" localSheetId="0">#REF!</definedName>
    <definedName name="_1CAP001">#REF!</definedName>
    <definedName name="_1CAP011" localSheetId="0">#REF!</definedName>
    <definedName name="_1CAP011">#REF!</definedName>
    <definedName name="_1CAP012" localSheetId="0">#REF!</definedName>
    <definedName name="_1CAP012">#REF!</definedName>
    <definedName name="_1CB">#REF!</definedName>
    <definedName name="_1CDHT03" localSheetId="0">#REF!</definedName>
    <definedName name="_1CDHT03">#REF!</definedName>
    <definedName name="_1CHANG2" localSheetId="0">#REF!</definedName>
    <definedName name="_1CHANG2">#REF!</definedName>
    <definedName name="_1DADOI1" localSheetId="0">#REF!</definedName>
    <definedName name="_1DADOI1">#REF!</definedName>
    <definedName name="_1DAU002" localSheetId="0">#REF!</definedName>
    <definedName name="_1DAU002">#REF!</definedName>
    <definedName name="_1DauNoi">#REF!</definedName>
    <definedName name="_1DayDanDien">#REF!</definedName>
    <definedName name="_1DDAY03" localSheetId="0">#REF!</definedName>
    <definedName name="_1DDAY03">#REF!</definedName>
    <definedName name="_1DDTT01" localSheetId="0">#REF!</definedName>
    <definedName name="_1DDTT01">#REF!</definedName>
    <definedName name="_1DeMongDeNeo">#REF!</definedName>
    <definedName name="_1FCO101" localSheetId="0">#REF!</definedName>
    <definedName name="_1FCO101">#REF!</definedName>
    <definedName name="_1GIA101" localSheetId="0">#REF!</definedName>
    <definedName name="_1GIA101">#REF!</definedName>
    <definedName name="_1HeThongNuoc">#REF!</definedName>
    <definedName name="_1LA1001" localSheetId="0">#REF!</definedName>
    <definedName name="_1LA1001">#REF!</definedName>
    <definedName name="_1LiTi">#REF!</definedName>
    <definedName name="_1MCCBO2" localSheetId="0">#REF!</definedName>
    <definedName name="_1MCCBO2">#REF!</definedName>
    <definedName name="_1NeoChang">#REF!</definedName>
    <definedName name="_1PKCAP1" localSheetId="0">#REF!</definedName>
    <definedName name="_1PKCAP1">#REF!</definedName>
    <definedName name="_1PKIEN2" localSheetId="0">#REF!</definedName>
    <definedName name="_1PKIEN2">#REF!</definedName>
    <definedName name="_1PKTT01" localSheetId="0">#REF!</definedName>
    <definedName name="_1PKTT01">#REF!</definedName>
    <definedName name="_1PKTram">#REF!</definedName>
    <definedName name="_1SuCachDien">#REF!</definedName>
    <definedName name="_1TCD101" localSheetId="0">#REF!</definedName>
    <definedName name="_1TCD101">#REF!</definedName>
    <definedName name="_1TCD201" localSheetId="0">#REF!</definedName>
    <definedName name="_1TCD201">#REF!</definedName>
    <definedName name="_1TCD203" localSheetId="0">#REF!</definedName>
    <definedName name="_1TCD203">#REF!</definedName>
    <definedName name="_1TD2001" localSheetId="0">#REF!</definedName>
    <definedName name="_1TD2001">#REF!</definedName>
    <definedName name="_1Terre">#REF!</definedName>
    <definedName name="_1TIHT01" localSheetId="0">#REF!</definedName>
    <definedName name="_1TIHT01">#REF!</definedName>
    <definedName name="_1TIHT06" localSheetId="0">#REF!</definedName>
    <definedName name="_1TIHT06">#REF!</definedName>
    <definedName name="_1TIHT07" localSheetId="0">#REF!</definedName>
    <definedName name="_1TIHT07">#REF!</definedName>
    <definedName name="_1TuDien">#REF!</definedName>
    <definedName name="_1ThepHinh">#REF!</definedName>
    <definedName name="_1ThepThanhPham">#REF!</definedName>
    <definedName name="_1TRU121" localSheetId="0">#REF!</definedName>
    <definedName name="_1TRU121">#REF!</definedName>
    <definedName name="_1TruDien">#REF!</definedName>
    <definedName name="_2" localSheetId="361">#REF!</definedName>
    <definedName name="_2" localSheetId="367">#REF!</definedName>
    <definedName name="_2" localSheetId="360">#REF!</definedName>
    <definedName name="_2">#N/A</definedName>
    <definedName name="_2_??????" localSheetId="0">#REF!</definedName>
    <definedName name="_2_??????">#REF!</definedName>
    <definedName name="_2BLA100" localSheetId="0">#REF!</definedName>
    <definedName name="_2BLA100">#REF!</definedName>
    <definedName name="_2CHANG1" localSheetId="0">#REF!</definedName>
    <definedName name="_2CHANG1">#REF!</definedName>
    <definedName name="_2CHANG2" localSheetId="0">#REF!</definedName>
    <definedName name="_2CHANG2">#REF!</definedName>
    <definedName name="_2DADOI1" localSheetId="0">#REF!</definedName>
    <definedName name="_2DADOI1">#REF!</definedName>
    <definedName name="_2DAL201" localSheetId="0">#REF!</definedName>
    <definedName name="_2DAL201">#REF!</definedName>
    <definedName name="_2KD0222" localSheetId="0">#REF!</definedName>
    <definedName name="_2KD0222">#REF!</definedName>
    <definedName name="_2TD2001" localSheetId="0">#REF!</definedName>
    <definedName name="_2TD2001">#REF!</definedName>
    <definedName name="_3285BocDo">#REF!</definedName>
    <definedName name="_3285ChatCay">#REF!</definedName>
    <definedName name="_3285DaoDapMongCot">#REF!</definedName>
    <definedName name="_3285DaoRanhTiepDia">#REF!</definedName>
    <definedName name="_3285PhatTuyen">#REF!</definedName>
    <definedName name="_3285VCcogioithucong">#REF!</definedName>
    <definedName name="_3285VCduongdai">#REF!</definedName>
    <definedName name="_3285VCthucong">#REF!</definedName>
    <definedName name="_3983Cable">#REF!</definedName>
    <definedName name="_3983Cosse">#REF!</definedName>
    <definedName name="_3983CotXa">#REF!</definedName>
    <definedName name="_3983DayDanThanhCai">#REF!</definedName>
    <definedName name="_3983MBApp">#REF!</definedName>
    <definedName name="_3983Panel">#REF!</definedName>
    <definedName name="_3983Su">#REF!</definedName>
    <definedName name="_3983Terre">#REF!</definedName>
    <definedName name="_3BLXMD" localSheetId="0">#REF!</definedName>
    <definedName name="_3BLXMD">#REF!</definedName>
    <definedName name="_3BOAG01" localSheetId="0">#REF!</definedName>
    <definedName name="_3BOAG01">#REF!</definedName>
    <definedName name="_3COSSE1" localSheetId="0">#REF!</definedName>
    <definedName name="_3COSSE1">#REF!</definedName>
    <definedName name="_3CTKHAC" localSheetId="0">#REF!</definedName>
    <definedName name="_3CTKHAC">#REF!</definedName>
    <definedName name="_3DMINO1" localSheetId="0">#REF!</definedName>
    <definedName name="_3DMINO1">#REF!</definedName>
    <definedName name="_3DMINO2" localSheetId="0">#REF!</definedName>
    <definedName name="_3DMINO2">#REF!</definedName>
    <definedName name="_3DUPSSS" localSheetId="0">#REF!</definedName>
    <definedName name="_3DUPSSS">#REF!</definedName>
    <definedName name="_3HTTR01" localSheetId="0">#REF!</definedName>
    <definedName name="_3HTTR01">#REF!</definedName>
    <definedName name="_3HTTR02" localSheetId="0">#REF!</definedName>
    <definedName name="_3HTTR02">#REF!</definedName>
    <definedName name="_3HTTR03" localSheetId="0">#REF!</definedName>
    <definedName name="_3HTTR03">#REF!</definedName>
    <definedName name="_3HTTR04" localSheetId="0">#REF!</definedName>
    <definedName name="_3HTTR04">#REF!</definedName>
    <definedName name="_3HTTR05" localSheetId="0">#REF!</definedName>
    <definedName name="_3HTTR05">#REF!</definedName>
    <definedName name="_3PKDOM1" localSheetId="0">#REF!</definedName>
    <definedName name="_3PKDOM1">#REF!</definedName>
    <definedName name="_3PKDOM2" localSheetId="0">#REF!</definedName>
    <definedName name="_3PKDOM2">#REF!</definedName>
    <definedName name="_3TU0609" localSheetId="0">#REF!</definedName>
    <definedName name="_3TU0609">#REF!</definedName>
    <definedName name="_3TRU122" localSheetId="0">#REF!</definedName>
    <definedName name="_3TRU122">#REF!</definedName>
    <definedName name="_430.001" localSheetId="0">#REF!</definedName>
    <definedName name="_430.001">#REF!</definedName>
    <definedName name="_4CNT240" localSheetId="0">#REF!</definedName>
    <definedName name="_4CNT240">#REF!</definedName>
    <definedName name="_4CTL240" localSheetId="0">#REF!</definedName>
    <definedName name="_4CTL240">#REF!</definedName>
    <definedName name="_4FCO100" localSheetId="0">#REF!</definedName>
    <definedName name="_4FCO100">#REF!</definedName>
    <definedName name="_4HDCTT4" localSheetId="0">#REF!</definedName>
    <definedName name="_4HDCTT4">#REF!</definedName>
    <definedName name="_4HNCTT4" localSheetId="0">#REF!</definedName>
    <definedName name="_4HNCTT4">#REF!</definedName>
    <definedName name="_4LBCO01" localSheetId="0">#REF!</definedName>
    <definedName name="_4LBCO01">#REF!</definedName>
    <definedName name="_4OSLCTT" localSheetId="0">#REF!</definedName>
    <definedName name="_4OSLCTT">#REF!</definedName>
    <definedName name="_5080591" localSheetId="0">#REF!</definedName>
    <definedName name="_5080591">#REF!</definedName>
    <definedName name="_7Mong">#REF!</definedName>
    <definedName name="_7Neo">#REF!</definedName>
    <definedName name="_7TiepDia">#REF!</definedName>
    <definedName name="_7Tru">#REF!</definedName>
    <definedName name="_7Xa">#REF!</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{"'Sheet1'!$L$16"}</definedName>
    <definedName name="_a2" hidden="1">{"'Sheet1'!$L$16"}</definedName>
    <definedName name="_aeh1" localSheetId="0">#REF!</definedName>
    <definedName name="_aeh1">#REF!</definedName>
    <definedName name="_aeh2" localSheetId="0">#REF!</definedName>
    <definedName name="_aeh2">#REF!</definedName>
    <definedName name="_aeh3" localSheetId="0">#REF!</definedName>
    <definedName name="_aeh3">#REF!</definedName>
    <definedName name="_aeh4" localSheetId="0">#REF!</definedName>
    <definedName name="_aeh4">#REF!</definedName>
    <definedName name="_aeh5" localSheetId="0">#REF!</definedName>
    <definedName name="_aeh5">#REF!</definedName>
    <definedName name="_aeq1" localSheetId="0">#REF!</definedName>
    <definedName name="_aeq1">#REF!</definedName>
    <definedName name="_aeq2" localSheetId="0">#REF!</definedName>
    <definedName name="_aeq2">#REF!</definedName>
    <definedName name="_aeq3" localSheetId="0">#REF!</definedName>
    <definedName name="_aeq3">#REF!</definedName>
    <definedName name="_aeq4" localSheetId="0">#REF!</definedName>
    <definedName name="_aeq4">#REF!</definedName>
    <definedName name="_aeq5" localSheetId="0">#REF!</definedName>
    <definedName name="_aeq5">#REF!</definedName>
    <definedName name="_akl1" localSheetId="0">#REF!</definedName>
    <definedName name="_akl1">#REF!</definedName>
    <definedName name="_akl2" localSheetId="0">#REF!</definedName>
    <definedName name="_akl2">#REF!</definedName>
    <definedName name="_akl3" localSheetId="0">#REF!</definedName>
    <definedName name="_akl3">#REF!</definedName>
    <definedName name="_akl4" localSheetId="0">#REF!</definedName>
    <definedName name="_akl4">#REF!</definedName>
    <definedName name="_akl5" localSheetId="0">#REF!</definedName>
    <definedName name="_akl5">#REF!</definedName>
    <definedName name="_AMV38">#REF!</definedName>
    <definedName name="_AMV50">#REF!</definedName>
    <definedName name="_AMV70">#REF!</definedName>
    <definedName name="_ars1" localSheetId="0">#REF!</definedName>
    <definedName name="_ars1">#REF!</definedName>
    <definedName name="_ars2" localSheetId="0">#REF!</definedName>
    <definedName name="_ars2">#REF!</definedName>
    <definedName name="_ars3" localSheetId="0">#REF!</definedName>
    <definedName name="_ars3">#REF!</definedName>
    <definedName name="_ars4" localSheetId="0">#REF!</definedName>
    <definedName name="_ars4">#REF!</definedName>
    <definedName name="_ars5" localSheetId="0">#REF!</definedName>
    <definedName name="_ars5">#REF!</definedName>
    <definedName name="_atn1" localSheetId="0">#REF!</definedName>
    <definedName name="_atn1">#REF!</definedName>
    <definedName name="_atn10" localSheetId="0">#REF!</definedName>
    <definedName name="_atn10">#REF!</definedName>
    <definedName name="_atn2" localSheetId="0">#REF!</definedName>
    <definedName name="_atn2">#REF!</definedName>
    <definedName name="_atn3" localSheetId="0">#REF!</definedName>
    <definedName name="_atn3">#REF!</definedName>
    <definedName name="_atn4" localSheetId="0">#REF!</definedName>
    <definedName name="_atn4">#REF!</definedName>
    <definedName name="_atn5" localSheetId="0">#REF!</definedName>
    <definedName name="_atn5">#REF!</definedName>
    <definedName name="_atn6" localSheetId="0">#REF!</definedName>
    <definedName name="_atn6">#REF!</definedName>
    <definedName name="_atn7" localSheetId="0">#REF!</definedName>
    <definedName name="_atn7">#REF!</definedName>
    <definedName name="_atn8" localSheetId="0">#REF!</definedName>
    <definedName name="_atn8">#REF!</definedName>
    <definedName name="_atn9" localSheetId="0">#REF!</definedName>
    <definedName name="_atn9">#REF!</definedName>
    <definedName name="_B221000">#REF!</definedName>
    <definedName name="_B22260">#REF!</definedName>
    <definedName name="_B22460">#REF!</definedName>
    <definedName name="_B22500">#REF!</definedName>
    <definedName name="_B22550">#REF!</definedName>
    <definedName name="_B22650">#REF!</definedName>
    <definedName name="_B22850">#REF!</definedName>
    <definedName name="_B240" localSheetId="0">#REF!</definedName>
    <definedName name="_B240">#REF!</definedName>
    <definedName name="_BTM200">#REF!</definedName>
    <definedName name="_BTM250">#REF!</definedName>
    <definedName name="_CON1" localSheetId="0">#REF!</definedName>
    <definedName name="_CON1">#REF!</definedName>
    <definedName name="_CON2" localSheetId="0">#REF!</definedName>
    <definedName name="_CON2">#REF!</definedName>
    <definedName name="_chl3331">#REF!</definedName>
    <definedName name="_chl3334">#REF!</definedName>
    <definedName name="_d1500" localSheetId="0" hidden="1">{"'Sheet1'!$L$16"}</definedName>
    <definedName name="_d1500" hidden="1">{"'Sheet1'!$L$16"}</definedName>
    <definedName name="_ddn400" localSheetId="0">#REF!</definedName>
    <definedName name="_ddn400">#REF!</definedName>
    <definedName name="_ddn600" localSheetId="0">#REF!</definedName>
    <definedName name="_ddn600">#REF!</definedName>
    <definedName name="_deo1" localSheetId="0">#REF!</definedName>
    <definedName name="_deo1">#REF!</definedName>
    <definedName name="_deo10" localSheetId="0">#REF!</definedName>
    <definedName name="_deo10">#REF!</definedName>
    <definedName name="_deo2" localSheetId="0">#REF!</definedName>
    <definedName name="_deo2">#REF!</definedName>
    <definedName name="_deo3" localSheetId="0">#REF!</definedName>
    <definedName name="_deo3">#REF!</definedName>
    <definedName name="_deo4" localSheetId="0">#REF!</definedName>
    <definedName name="_deo4">#REF!</definedName>
    <definedName name="_deo5" localSheetId="0">#REF!</definedName>
    <definedName name="_deo5">#REF!</definedName>
    <definedName name="_deo6" localSheetId="0">#REF!</definedName>
    <definedName name="_deo6">#REF!</definedName>
    <definedName name="_deo7" localSheetId="0">#REF!</definedName>
    <definedName name="_deo7">#REF!</definedName>
    <definedName name="_deo8" localSheetId="0">#REF!</definedName>
    <definedName name="_deo8">#REF!</definedName>
    <definedName name="_deo9" localSheetId="0">#REF!</definedName>
    <definedName name="_deo9">#REF!</definedName>
    <definedName name="_dky3331">#REF!</definedName>
    <definedName name="_dky3334">#REF!</definedName>
    <definedName name="_Fill" localSheetId="364" hidden="1">#REF!</definedName>
    <definedName name="_Fill" localSheetId="0" hidden="1">#REF!</definedName>
    <definedName name="_Fill" hidden="1">#REF!</definedName>
    <definedName name="_xlnm._FilterDatabase" hidden="1">#REF!</definedName>
    <definedName name="_Goi8" localSheetId="0" hidden="1">{"'Sheet1'!$L$16"}</definedName>
    <definedName name="_Goi8" hidden="1">{"'Sheet1'!$L$16"}</definedName>
    <definedName name="_gia285286">#REF!</definedName>
    <definedName name="_h1" localSheetId="0" hidden="1">{"'Sheet1'!$L$16"}</definedName>
    <definedName name="_h1" hidden="1">{"'Sheet1'!$L$16"}</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keh1" localSheetId="0">#REF!</definedName>
    <definedName name="_keh1">#REF!</definedName>
    <definedName name="_keh2" localSheetId="0">#REF!</definedName>
    <definedName name="_keh2">#REF!</definedName>
    <definedName name="_keh3" localSheetId="0">#REF!</definedName>
    <definedName name="_keh3">#REF!</definedName>
    <definedName name="_keh4" localSheetId="0">#REF!</definedName>
    <definedName name="_keh4">#REF!</definedName>
    <definedName name="_keh5" localSheetId="0">#REF!</definedName>
    <definedName name="_keh5">#REF!</definedName>
    <definedName name="_keq1" localSheetId="0">#REF!</definedName>
    <definedName name="_keq1">#REF!</definedName>
    <definedName name="_keq2" localSheetId="0">#REF!</definedName>
    <definedName name="_keq2">#REF!</definedName>
    <definedName name="_keq3" localSheetId="0">#REF!</definedName>
    <definedName name="_keq3">#REF!</definedName>
    <definedName name="_keq4" localSheetId="0">#REF!</definedName>
    <definedName name="_keq4">#REF!</definedName>
    <definedName name="_keq5" localSheetId="0">#REF!</definedName>
    <definedName name="_keq5">#REF!</definedName>
    <definedName name="_Key1" localSheetId="361" hidden="1">#REF!</definedName>
    <definedName name="_Key1" localSheetId="367" hidden="1">#REF!</definedName>
    <definedName name="_Key1" localSheetId="364" hidden="1">#REF!</definedName>
    <definedName name="_Key1" localSheetId="0" hidden="1">#REF!</definedName>
    <definedName name="_Key1" localSheetId="360" hidden="1">#REF!</definedName>
    <definedName name="_Key1" hidden="1">#REF!</definedName>
    <definedName name="_Key2" localSheetId="361" hidden="1">#REF!</definedName>
    <definedName name="_Key2" localSheetId="367" hidden="1">#REF!</definedName>
    <definedName name="_Key2" localSheetId="364" hidden="1">#REF!</definedName>
    <definedName name="_Key2" localSheetId="0" hidden="1">#REF!</definedName>
    <definedName name="_Key2" localSheetId="360" hidden="1">#REF!</definedName>
    <definedName name="_Key2" hidden="1">#REF!</definedName>
    <definedName name="_KL3" localSheetId="0" hidden="1">{"'Sheet1'!$L$16"}</definedName>
    <definedName name="_KL3" hidden="1">{"'Sheet1'!$L$16"}</definedName>
    <definedName name="_KM130" localSheetId="0" hidden="1">{"'Sheet1'!$L$16"}</definedName>
    <definedName name="_KM130" hidden="1">{"'Sheet1'!$L$16"}</definedName>
    <definedName name="_krs1" localSheetId="0">#REF!</definedName>
    <definedName name="_krs1">#REF!</definedName>
    <definedName name="_krs2" localSheetId="0">#REF!</definedName>
    <definedName name="_krs2">#REF!</definedName>
    <definedName name="_krs3" localSheetId="0">#REF!</definedName>
    <definedName name="_krs3">#REF!</definedName>
    <definedName name="_krs4" localSheetId="0">#REF!</definedName>
    <definedName name="_krs4">#REF!</definedName>
    <definedName name="_krs5" localSheetId="0">#REF!</definedName>
    <definedName name="_krs5">#REF!</definedName>
    <definedName name="_ks40">Luong!$H$90</definedName>
    <definedName name="_KTV122" localSheetId="0" hidden="1">#REF!</definedName>
    <definedName name="_KTV122" hidden="1">#REF!</definedName>
    <definedName name="_KTV222" localSheetId="0" hidden="1">#REF!</definedName>
    <definedName name="_KTV222" hidden="1">#REF!</definedName>
    <definedName name="_kh1" localSheetId="0">#REF!</definedName>
    <definedName name="_kh1">#REF!</definedName>
    <definedName name="_kh2" localSheetId="0">#REF!</definedName>
    <definedName name="_kh2">#REF!</definedName>
    <definedName name="_kh3" localSheetId="0">#REF!</definedName>
    <definedName name="_kh3">#REF!</definedName>
    <definedName name="_kh4" localSheetId="0">#REF!</definedName>
    <definedName name="_kh4">#REF!</definedName>
    <definedName name="_kh5" localSheetId="0">#REF!</definedName>
    <definedName name="_kh5">#REF!</definedName>
    <definedName name="_khl1" localSheetId="0">#REF!</definedName>
    <definedName name="_khl1">#REF!</definedName>
    <definedName name="_khl2" localSheetId="0">#REF!</definedName>
    <definedName name="_khl2">#REF!</definedName>
    <definedName name="_khl3" localSheetId="0">#REF!</definedName>
    <definedName name="_khl3">#REF!</definedName>
    <definedName name="_khl4" localSheetId="0">#REF!</definedName>
    <definedName name="_khl4">#REF!</definedName>
    <definedName name="_khl5" localSheetId="0">#REF!</definedName>
    <definedName name="_khl5">#REF!</definedName>
    <definedName name="_Lan1" localSheetId="0" hidden="1">{"'Sheet1'!$L$16"}</definedName>
    <definedName name="_Lan1" hidden="1">{"'Sheet1'!$L$16"}</definedName>
    <definedName name="_LAN3" localSheetId="0" hidden="1">{"'Sheet1'!$L$16"}</definedName>
    <definedName name="_LAN3" hidden="1">{"'Sheet1'!$L$16"}</definedName>
    <definedName name="_lap1" localSheetId="0">#REF!</definedName>
    <definedName name="_lap1">#REF!</definedName>
    <definedName name="_lap2" localSheetId="0">#REF!</definedName>
    <definedName name="_lap2">#REF!</definedName>
    <definedName name="_lg10">#REF!</definedName>
    <definedName name="_lg30">Luong!$H$25</definedName>
    <definedName name="_lg35">Luong!$H$30</definedName>
    <definedName name="_lg40">Luong!$H$35</definedName>
    <definedName name="_lg45">Luong!$H$40</definedName>
    <definedName name="_ln30">Luong!$G$25</definedName>
    <definedName name="_ln35">Luong!$G$30</definedName>
    <definedName name="_ln40">Luong!$G$35</definedName>
    <definedName name="_ln50">Luong!$G$45</definedName>
    <definedName name="_ln70">Luong!$G$65</definedName>
    <definedName name="_LX114" localSheetId="0" hidden="1">#REF!</definedName>
    <definedName name="_LX114" hidden="1">#REF!</definedName>
    <definedName name="_LX124" localSheetId="0" hidden="1">#REF!</definedName>
    <definedName name="_LX124" hidden="1">#REF!</definedName>
    <definedName name="_LX134" localSheetId="0" hidden="1">#REF!</definedName>
    <definedName name="_LX134" hidden="1">#REF!</definedName>
    <definedName name="_LX144" localSheetId="0" hidden="1">#REF!</definedName>
    <definedName name="_LX144" hidden="1">#REF!</definedName>
    <definedName name="_LX224" localSheetId="0" hidden="1">#REF!</definedName>
    <definedName name="_LX224" hidden="1">#REF!</definedName>
    <definedName name="_LX234" localSheetId="0" hidden="1">#REF!</definedName>
    <definedName name="_LX234" hidden="1">#REF!</definedName>
    <definedName name="_LX244" localSheetId="0" hidden="1">#REF!</definedName>
    <definedName name="_LX244" hidden="1">#REF!</definedName>
    <definedName name="_LX314" localSheetId="0" hidden="1">#REF!</definedName>
    <definedName name="_LX314" hidden="1">#REF!</definedName>
    <definedName name="_LX324" localSheetId="0" hidden="1">#REF!</definedName>
    <definedName name="_LX324" hidden="1">#REF!</definedName>
    <definedName name="_LX334" localSheetId="0" hidden="1">#REF!</definedName>
    <definedName name="_LX334" hidden="1">#REF!</definedName>
    <definedName name="_LX344" localSheetId="0" hidden="1">#REF!</definedName>
    <definedName name="_LX344" hidden="1">#REF!</definedName>
    <definedName name="_MAC12" localSheetId="0">#REF!</definedName>
    <definedName name="_MAC12">#REF!</definedName>
    <definedName name="_MAC46" localSheetId="0">#REF!</definedName>
    <definedName name="_MAC46">#REF!</definedName>
    <definedName name="_MT12" localSheetId="0" hidden="1">#REF!</definedName>
    <definedName name="_MT12" hidden="1">#REF!</definedName>
    <definedName name="_mtc46">#REF!</definedName>
    <definedName name="_NC12" localSheetId="0" hidden="1">#REF!</definedName>
    <definedName name="_NC12" hidden="1">#REF!</definedName>
    <definedName name="_NC13" localSheetId="0" hidden="1">#REF!</definedName>
    <definedName name="_NC13" hidden="1">#REF!</definedName>
    <definedName name="_NC14" localSheetId="0" hidden="1">#REF!</definedName>
    <definedName name="_NC14" hidden="1">#REF!</definedName>
    <definedName name="_NC15" localSheetId="0" hidden="1">#REF!</definedName>
    <definedName name="_NC15" hidden="1">#REF!</definedName>
    <definedName name="_NC16" localSheetId="0" hidden="1">#REF!</definedName>
    <definedName name="_NC16" hidden="1">#REF!</definedName>
    <definedName name="_NC17" localSheetId="0" hidden="1">#REF!</definedName>
    <definedName name="_NC17" hidden="1">#REF!</definedName>
    <definedName name="_NC24" localSheetId="0" hidden="1">#REF!</definedName>
    <definedName name="_NC24" hidden="1">#REF!</definedName>
    <definedName name="_NC25" localSheetId="0" hidden="1">#REF!</definedName>
    <definedName name="_NC25" hidden="1">#REF!</definedName>
    <definedName name="_NC26" localSheetId="0" hidden="1">#REF!</definedName>
    <definedName name="_NC26" hidden="1">#REF!</definedName>
    <definedName name="_NC27" localSheetId="0" hidden="1">#REF!</definedName>
    <definedName name="_NC27" hidden="1">#REF!</definedName>
    <definedName name="_nc285">#REF!</definedName>
    <definedName name="_NC6060">DM_6060!$A$3:$J$456</definedName>
    <definedName name="_NC6061">'DM_TT 10'!$A$4:$S$962</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CN15" localSheetId="0" hidden="1">{"'Sheet1'!$L$16"}</definedName>
    <definedName name="_NCN15" hidden="1">{"'Sheet1'!$L$16"}</definedName>
    <definedName name="_NET2" localSheetId="0">#REF!</definedName>
    <definedName name="_NET2">#REF!</definedName>
    <definedName name="_nin190" localSheetId="0">#REF!</definedName>
    <definedName name="_nin190">#REF!</definedName>
    <definedName name="_Order1" hidden="1">255</definedName>
    <definedName name="_Order2" hidden="1">255</definedName>
    <definedName name="_PA3" localSheetId="0" hidden="1">{"'Sheet1'!$L$16"}</definedName>
    <definedName name="_PA3" hidden="1">{"'Sheet1'!$L$16"}</definedName>
    <definedName name="_pZ1">#REF!</definedName>
    <definedName name="_pZ2">#REF!</definedName>
    <definedName name="_pZ3">#REF!</definedName>
    <definedName name="_RFZ3">#REF!</definedName>
    <definedName name="_ro1">#REF!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CL4" localSheetId="0" hidden="1">{"'Sheet1'!$L$16"}</definedName>
    <definedName name="_SCL4" hidden="1">{"'Sheet1'!$L$16"}</definedName>
    <definedName name="_SN3" localSheetId="0">#REF!</definedName>
    <definedName name="_SN3">#REF!</definedName>
    <definedName name="_Sort" localSheetId="361" hidden="1">#REF!</definedName>
    <definedName name="_Sort" localSheetId="367" hidden="1">#REF!</definedName>
    <definedName name="_Sort" localSheetId="364" hidden="1">#REF!</definedName>
    <definedName name="_Sort" localSheetId="0" hidden="1">#REF!</definedName>
    <definedName name="_Sort" localSheetId="360" hidden="1">#REF!</definedName>
    <definedName name="_Sort" hidden="1">#REF!</definedName>
    <definedName name="_Sortmoi" localSheetId="0" hidden="1">#REF!</definedName>
    <definedName name="_Sortmoi" hidden="1">#REF!</definedName>
    <definedName name="_t4" hidden="1">#REF!</definedName>
    <definedName name="_TB1" localSheetId="0">#REF!</definedName>
    <definedName name="_TB1">#REF!</definedName>
    <definedName name="_tbn3334">#REF!</definedName>
    <definedName name="_TEN1" localSheetId="0">#REF!</definedName>
    <definedName name="_TEN1">#REF!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M107" localSheetId="0" hidden="1">#REF!</definedName>
    <definedName name="_TM107" hidden="1">#REF!</definedName>
    <definedName name="_TM2" localSheetId="0" hidden="1">{"'Sheet1'!$L$16"}</definedName>
    <definedName name="_TM2" hidden="1">{"'Sheet1'!$L$16"}</definedName>
    <definedName name="_TM24" localSheetId="0" hidden="1">#REF!</definedName>
    <definedName name="_TM24" hidden="1">#REF!</definedName>
    <definedName name="_TM307" localSheetId="0" hidden="1">#REF!</definedName>
    <definedName name="_TM307" hidden="1">#REF!</definedName>
    <definedName name="_TM34" localSheetId="0" hidden="1">#REF!</definedName>
    <definedName name="_TM34" hidden="1">#REF!</definedName>
    <definedName name="_TM407" localSheetId="0" hidden="1">#REF!</definedName>
    <definedName name="_TM407" hidden="1">#REF!</definedName>
    <definedName name="_TM507" localSheetId="0" hidden="1">#REF!</definedName>
    <definedName name="_TM507" hidden="1">#REF!</definedName>
    <definedName name="_TM707" localSheetId="0" hidden="1">#REF!</definedName>
    <definedName name="_TM707" hidden="1">#REF!</definedName>
    <definedName name="_TP112" localSheetId="0" hidden="1">#REF!</definedName>
    <definedName name="_TP112" hidden="1">#REF!</definedName>
    <definedName name="_tp2" localSheetId="0">#REF!</definedName>
    <definedName name="_tp2">#REF!</definedName>
    <definedName name="_TP212" localSheetId="0" hidden="1">#REF!</definedName>
    <definedName name="_TP212" hidden="1">#REF!</definedName>
    <definedName name="_TT24" localSheetId="0" hidden="1">#REF!</definedName>
    <definedName name="_TT24" hidden="1">#REF!</definedName>
    <definedName name="_tt3" localSheetId="0" hidden="1">{"'Sheet1'!$L$16"}</definedName>
    <definedName name="_tt3" hidden="1">{"'Sheet1'!$L$16"}</definedName>
    <definedName name="_TT34" localSheetId="0" hidden="1">#REF!</definedName>
    <definedName name="_TT34" hidden="1">#REF!</definedName>
    <definedName name="_TT44" localSheetId="0" hidden="1">#REF!</definedName>
    <definedName name="_TT44" hidden="1">#REF!</definedName>
    <definedName name="_TTR12" localSheetId="0" hidden="1">#REF!</definedName>
    <definedName name="_TTR12" hidden="1">#REF!</definedName>
    <definedName name="_tz593">#REF!</definedName>
    <definedName name="_VL100" localSheetId="0">#REF!</definedName>
    <definedName name="_VL100">#REF!</definedName>
    <definedName name="_VL200" localSheetId="0">#REF!</definedName>
    <definedName name="_VL200">#REF!</definedName>
    <definedName name="_VL250" localSheetId="0">#REF!</definedName>
    <definedName name="_VL250">#REF!</definedName>
    <definedName name="_vl46">#REF!</definedName>
    <definedName name="_xo1">#REF!</definedName>
    <definedName name="A" localSheetId="367">#REF!</definedName>
    <definedName name="A" localSheetId="360">#REF!</definedName>
    <definedName name="A">#REF!</definedName>
    <definedName name="A_kho" localSheetId="0">#REF!</definedName>
    <definedName name="A_kho">#REF!</definedName>
    <definedName name="A_mua" localSheetId="0">#REF!</definedName>
    <definedName name="A_mua">#REF!</definedName>
    <definedName name="A_nam" localSheetId="0">#REF!</definedName>
    <definedName name="A_nam">#REF!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0">#REF!</definedName>
    <definedName name="A120_">#REF!</definedName>
    <definedName name="A185_">#REF!</definedName>
    <definedName name="a1moi" localSheetId="0" hidden="1">{"'Sheet1'!$L$16"}</definedName>
    <definedName name="a1moi" hidden="1">{"'Sheet1'!$L$16"}</definedName>
    <definedName name="A35_" localSheetId="0">#REF!</definedName>
    <definedName name="A35_">#REF!</definedName>
    <definedName name="A50_" localSheetId="0">#REF!</definedName>
    <definedName name="A50_">#REF!</definedName>
    <definedName name="A70_" localSheetId="0">#REF!</definedName>
    <definedName name="A70_">#REF!</definedName>
    <definedName name="A95_" localSheetId="0">#REF!</definedName>
    <definedName name="A95_">#REF!</definedName>
    <definedName name="AA" localSheetId="0">#REF!</definedName>
    <definedName name="AA">#REF!</definedName>
    <definedName name="ABC">#REF!</definedName>
    <definedName name="AC120_" localSheetId="0">#REF!</definedName>
    <definedName name="AC120_">#REF!</definedName>
    <definedName name="AC35_" localSheetId="0">#REF!</definedName>
    <definedName name="AC35_">#REF!</definedName>
    <definedName name="AC50_" localSheetId="0">#REF!</definedName>
    <definedName name="AC50_">#REF!</definedName>
    <definedName name="AC70_" localSheetId="0">#REF!</definedName>
    <definedName name="AC70_">#REF!</definedName>
    <definedName name="AC95_" localSheetId="0">#REF!</definedName>
    <definedName name="AC95_">#REF!</definedName>
    <definedName name="ADAY" localSheetId="0">#REF!</definedName>
    <definedName name="ADAY">#REF!</definedName>
    <definedName name="aeh0" localSheetId="0">#REF!</definedName>
    <definedName name="aeh0">#REF!</definedName>
    <definedName name="aeq0" localSheetId="0">#REF!</definedName>
    <definedName name="aeq0">#REF!</definedName>
    <definedName name="ag15F80">#REF!</definedName>
    <definedName name="ah0" localSheetId="0">#REF!</definedName>
    <definedName name="ah0">#REF!</definedName>
    <definedName name="ah1_" localSheetId="0">#REF!</definedName>
    <definedName name="ah1_">#REF!</definedName>
    <definedName name="ah2_" localSheetId="0">#REF!</definedName>
    <definedName name="ah2_">#REF!</definedName>
    <definedName name="ah3_" localSheetId="0">#REF!</definedName>
    <definedName name="ah3_">#REF!</definedName>
    <definedName name="ah4_" localSheetId="0">#REF!</definedName>
    <definedName name="ah4_">#REF!</definedName>
    <definedName name="ah5_" localSheetId="0">#REF!</definedName>
    <definedName name="ah5_">#REF!</definedName>
    <definedName name="akl0" localSheetId="0">#REF!</definedName>
    <definedName name="akl0">#REF!</definedName>
    <definedName name="All_Item" localSheetId="0">#REF!</definedName>
    <definedName name="All_Item">#REF!</definedName>
    <definedName name="ALPIN">#N/A</definedName>
    <definedName name="ALPJYOU">#N/A</definedName>
    <definedName name="ALPTOI">#N/A</definedName>
    <definedName name="amoi" localSheetId="0" hidden="1">{"'Sheet1'!$L$16"}</definedName>
    <definedName name="amoi" hidden="1">{"'Sheet1'!$L$16"}</definedName>
    <definedName name="AMVH22">#REF!</definedName>
    <definedName name="anscount" hidden="1">1</definedName>
    <definedName name="ANTEN1">#REF!</definedName>
    <definedName name="AP2100_">#REF!</definedName>
    <definedName name="AP2150_">#REF!</definedName>
    <definedName name="AP275_">#REF!</definedName>
    <definedName name="AP3150_">#REF!</definedName>
    <definedName name="AP375_">#REF!</definedName>
    <definedName name="ars0" localSheetId="0">#REF!</definedName>
    <definedName name="ars0">#REF!</definedName>
    <definedName name="AS2DocOpenMode" hidden="1">"AS2DocumentEdit"</definedName>
    <definedName name="ATRAM" localSheetId="0">#REF!</definedName>
    <definedName name="ATRAM">#REF!</definedName>
    <definedName name="aù">#REF!</definedName>
    <definedName name="AV">#REF!</definedName>
    <definedName name="AV35_">#REF!</definedName>
    <definedName name="AV50_">#REF!</definedName>
    <definedName name="ấdasds" localSheetId="0">#REF!</definedName>
    <definedName name="ấdasds">#REF!</definedName>
    <definedName name="B" localSheetId="367">#REF!</definedName>
    <definedName name="B" localSheetId="360">#REF!</definedName>
    <definedName name="B">#REF!</definedName>
    <definedName name="b_240" localSheetId="0">#REF!</definedName>
    <definedName name="b_240">#REF!</definedName>
    <definedName name="b_280" localSheetId="0">#REF!</definedName>
    <definedName name="b_280">#REF!</definedName>
    <definedName name="b_320" localSheetId="0">#REF!</definedName>
    <definedName name="b_320">#REF!</definedName>
    <definedName name="B_bv" localSheetId="0">#REF!</definedName>
    <definedName name="B_bv">#REF!</definedName>
    <definedName name="B_KLXLNX2" localSheetId="0">#REF!</definedName>
    <definedName name="B_KLXLNX2">#REF!</definedName>
    <definedName name="B_tinh" localSheetId="0">#REF!</definedName>
    <definedName name="B_tinh">#REF!</definedName>
    <definedName name="B1260_">#REF!</definedName>
    <definedName name="B16100V">#REF!</definedName>
    <definedName name="B16200V">#REF!</definedName>
    <definedName name="B16230_">#REF!</definedName>
    <definedName name="B16240_">#REF!</definedName>
    <definedName name="B16250_">#REF!</definedName>
    <definedName name="B16260_">#REF!</definedName>
    <definedName name="B16280_">#REF!</definedName>
    <definedName name="B16300_">#REF!</definedName>
    <definedName name="B16300V">#REF!</definedName>
    <definedName name="B16320_">#REF!</definedName>
    <definedName name="B1635_">#REF!</definedName>
    <definedName name="B16350_">#REF!</definedName>
    <definedName name="B1650_">#REF!</definedName>
    <definedName name="B1660_">#REF!</definedName>
    <definedName name="B1680V">#REF!</definedName>
    <definedName name="BacHang">#REF!</definedName>
    <definedName name="bang">#REF!</definedName>
    <definedName name="bang1" localSheetId="0">#REF!</definedName>
    <definedName name="bang2" localSheetId="0">#REF!</definedName>
    <definedName name="bang3" localSheetId="0">#REF!</definedName>
    <definedName name="bang4" localSheetId="0">#REF!</definedName>
    <definedName name="bang5" localSheetId="0">#REF!</definedName>
    <definedName name="bangcdtk">#REF!</definedName>
    <definedName name="Banggia">#REF!</definedName>
    <definedName name="bangheso">#REF!</definedName>
    <definedName name="BangMatDuong" localSheetId="0">#REF!,#REF!</definedName>
    <definedName name="BangMatDuong">#REF!,#REF!</definedName>
    <definedName name="bangtk">#REF!</definedName>
    <definedName name="Bangtonghop">#REF!</definedName>
    <definedName name="Batsudo">#REF!</definedName>
    <definedName name="BatsudoCS">#REF!</definedName>
    <definedName name="Batsudokep">#REF!</definedName>
    <definedName name="Batsuneo">#REF!</definedName>
    <definedName name="Batsuneocs">#REF!</definedName>
    <definedName name="Batsuneokep">#REF!</definedName>
    <definedName name="BB" localSheetId="0">#REF!</definedName>
    <definedName name="BB">#REF!</definedName>
    <definedName name="bbanqt">#REF!</definedName>
    <definedName name="bbkn81">[0]!bbkn81</definedName>
    <definedName name="BC" hidden="1">{"'Sheet1'!$L$16"}</definedName>
    <definedName name="BC16250_">#REF!</definedName>
    <definedName name="begin" localSheetId="0">#REF!</definedName>
    <definedName name="begin">#REF!</definedName>
    <definedName name="bgincd">#REF!</definedName>
    <definedName name="bia">#REF!</definedName>
    <definedName name="blkh" localSheetId="0">#REF!</definedName>
    <definedName name="blkh">#REF!</definedName>
    <definedName name="blkh1" localSheetId="0">#REF!</definedName>
    <definedName name="blkh1">#REF!</definedName>
    <definedName name="BM1250_">#REF!</definedName>
    <definedName name="BM16230_">#REF!</definedName>
    <definedName name="BM16250_">#REF!</definedName>
    <definedName name="BM440_">#REF!</definedName>
    <definedName name="BM660_">#REF!</definedName>
    <definedName name="BNHSC">#REF!</definedName>
    <definedName name="BOQ" localSheetId="0">#REF!</definedName>
    <definedName name="BOQ">#REF!</definedName>
    <definedName name="botri">#REF!</definedName>
    <definedName name="BPTC_daodat">#REF!</definedName>
    <definedName name="BPTC_DungcotBT">#REF!</definedName>
    <definedName name="BPTC_DungcotThep">#REF!</definedName>
    <definedName name="BPTC_keoday">#REF!</definedName>
    <definedName name="BPTC_vanchuyen">#REF!</definedName>
    <definedName name="BT">#REF!</definedName>
    <definedName name="btl" localSheetId="0" hidden="1">{"'Sheet1'!$L$16"}</definedName>
    <definedName name="btl" hidden="1">{"'Sheet1'!$L$16"}</definedName>
    <definedName name="BTLT1pm" localSheetId="0">#REF!</definedName>
    <definedName name="BTLT1pm">#REF!</definedName>
    <definedName name="BTLT3pm" localSheetId="0">#REF!</definedName>
    <definedName name="BTLT3pm">#REF!</definedName>
    <definedName name="BTLTct">#REF!</definedName>
    <definedName name="BTLTHTDL" localSheetId="0">#REF!</definedName>
    <definedName name="BTLTHTDL">#REF!</definedName>
    <definedName name="BTLTHTHH" localSheetId="0">#REF!</definedName>
    <definedName name="BTLTHTHH">#REF!</definedName>
    <definedName name="BTQT" localSheetId="0">#REF!</definedName>
    <definedName name="BTQT">#REF!</definedName>
    <definedName name="BTRAM">#REF!</definedName>
    <definedName name="Bust">#REF!</definedName>
    <definedName name="BVCISUMMARY" localSheetId="0">#REF!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BaMuoi" localSheetId="0" hidden="1">{"'Sheet1'!$L$16"}</definedName>
    <definedName name="c.BaMuoi" hidden="1">{"'Sheet1'!$L$16"}</definedName>
    <definedName name="C.MocTom" localSheetId="0" hidden="1">{"'Sheet1'!$L$16"}</definedName>
    <definedName name="C.MocTom" hidden="1">{"'Sheet1'!$L$16"}</definedName>
    <definedName name="ca" localSheetId="0" hidden="1">{#N/A,#N/A,FALSE,"Chi tiÆt"}</definedName>
    <definedName name="ca" hidden="1">{#N/A,#N/A,FALSE,"Chi tiÆt"}</definedName>
    <definedName name="Caåu_taùch_coïc_ñeå_queùt_bi_tum_coïc_daøi__20m">#REF!</definedName>
    <definedName name="CAMTC">#REF!</definedName>
    <definedName name="cap" localSheetId="0">#REF!</definedName>
    <definedName name="cap">#REF!</definedName>
    <definedName name="cap0.7" localSheetId="0">#REF!</definedName>
    <definedName name="cap0.7">#REF!</definedName>
    <definedName name="capdat" localSheetId="0">#REF!</definedName>
    <definedName name="capdat">#REF!</definedName>
    <definedName name="Category_All" localSheetId="0">#REF!</definedName>
    <definedName name="Category_All">#REF!</definedName>
    <definedName name="CATIN">#N/A</definedName>
    <definedName name="CATJYOU">#N/A</definedName>
    <definedName name="CATSYU">#N/A</definedName>
    <definedName name="CATREC">#N/A</definedName>
    <definedName name="Caùp_nhoâm_A_150">#REF!</definedName>
    <definedName name="CAVT">#REF!</definedName>
    <definedName name="CBPT">#REF!</definedName>
    <definedName name="CBVT">#REF!</definedName>
    <definedName name="CCS" localSheetId="0">#REF!</definedName>
    <definedName name="CCS">#REF!</definedName>
    <definedName name="CDD" localSheetId="0">#REF!</definedName>
    <definedName name="CDD">#REF!</definedName>
    <definedName name="CDDD" localSheetId="0">#REF!</definedName>
    <definedName name="CDDD">#REF!</definedName>
    <definedName name="CDDD1P" localSheetId="0">#REF!</definedName>
    <definedName name="CDDD1P">#REF!</definedName>
    <definedName name="CDDD1PHA" localSheetId="0">#REF!</definedName>
    <definedName name="CDDD1PHA">#REF!</definedName>
    <definedName name="CDDD3PHA" localSheetId="0">#REF!</definedName>
    <definedName name="CDDD3PHA">#REF!</definedName>
    <definedName name="CDVAÄN_CHUYEÅN">#REF!</definedName>
    <definedName name="CDVC">#REF!</definedName>
    <definedName name="CK" localSheetId="0">#REF!</definedName>
    <definedName name="CK">#REF!</definedName>
    <definedName name="CL" localSheetId="0">#REF!</definedName>
    <definedName name="CL">#REF!</definedName>
    <definedName name="clech">#REF!</definedName>
    <definedName name="clvc" localSheetId="0">#REF!</definedName>
    <definedName name="clvc">#REF!</definedName>
    <definedName name="CLVC3">0.1</definedName>
    <definedName name="CLVC35" localSheetId="0">#REF!</definedName>
    <definedName name="CLVC35">#REF!</definedName>
    <definedName name="CLVCTB" localSheetId="0">#REF!</definedName>
    <definedName name="CLVCTB">#REF!</definedName>
    <definedName name="CLVLieu">#REF!</definedName>
    <definedName name="cn_ds" localSheetId="0">#REF!</definedName>
    <definedName name="cn_ds">#REF!</definedName>
    <definedName name="COAT" localSheetId="367">#REF!</definedName>
    <definedName name="COAT" localSheetId="360">#REF!</definedName>
    <definedName name="COAT">#REF!</definedName>
    <definedName name="Cöï_ly_vaän_chuyeãn" localSheetId="0">#REF!</definedName>
    <definedName name="Cöï_ly_vaän_chuyeãn">#REF!</definedName>
    <definedName name="CÖÏ_LY_VAÄN_CHUYEÅN" localSheetId="0">#REF!</definedName>
    <definedName name="CÖÏ_LY_VAÄN_CHUYEÅN">#REF!</definedName>
    <definedName name="COMMON" localSheetId="0">#REF!</definedName>
    <definedName name="COMMON">#REF!</definedName>
    <definedName name="CON_EQP_COS" localSheetId="0">#REF!</definedName>
    <definedName name="CON_EQP_COS">#REF!</definedName>
    <definedName name="CON_EQP_COST" localSheetId="0">#REF!</definedName>
    <definedName name="CON_EQP_COST">#REF!</definedName>
    <definedName name="CONST_EQ" localSheetId="0">#REF!</definedName>
    <definedName name="CONST_EQ">#REF!</definedName>
    <definedName name="Continue">#REF!</definedName>
    <definedName name="CongVattu">#REF!</definedName>
    <definedName name="coso">#REF!</definedName>
    <definedName name="coso2">#REF!</definedName>
    <definedName name="coso3">#REF!</definedName>
    <definedName name="coso4">#REF!</definedName>
    <definedName name="coso5">#REF!</definedName>
    <definedName name="coso6">#REF!</definedName>
    <definedName name="coso7">#REF!</definedName>
    <definedName name="coso8">#REF!</definedName>
    <definedName name="coso9">#REF!</definedName>
    <definedName name="COVER" localSheetId="0">#REF!</definedName>
    <definedName name="COVER">#REF!</definedName>
    <definedName name="CP" localSheetId="0" hidden="1">#REF!</definedName>
    <definedName name="CP" hidden="1">#REF!</definedName>
    <definedName name="CPMTC">#REF!</definedName>
    <definedName name="CPNC">#REF!</definedName>
    <definedName name="CPVC100" localSheetId="0">#REF!</definedName>
    <definedName name="CPVC100">#REF!</definedName>
    <definedName name="CPVC35" localSheetId="0">#REF!</definedName>
    <definedName name="CPVC35">#REF!</definedName>
    <definedName name="CPVCDN" localSheetId="0">#REF!</definedName>
    <definedName name="CPVCDN">#REF!</definedName>
    <definedName name="CPVL">#REF!</definedName>
    <definedName name="CPVLTT">#REF!</definedName>
    <definedName name="CRD" localSheetId="0">#REF!</definedName>
    <definedName name="CRD">#REF!</definedName>
    <definedName name="Criteria_MI" localSheetId="0">#REF!</definedName>
    <definedName name="Criteria_MI">#REF!</definedName>
    <definedName name="CRITINST" localSheetId="0">#REF!</definedName>
    <definedName name="CRITINST">#REF!</definedName>
    <definedName name="CRITPURC" localSheetId="0">#REF!</definedName>
    <definedName name="CRITPURC">#REF!</definedName>
    <definedName name="CRS" localSheetId="0">#REF!</definedName>
    <definedName name="CRS">#REF!</definedName>
    <definedName name="CS" localSheetId="0">#REF!</definedName>
    <definedName name="CS">#REF!</definedName>
    <definedName name="CS_10" localSheetId="361">#REF!</definedName>
    <definedName name="CS_10" localSheetId="367">#REF!</definedName>
    <definedName name="CS_10" localSheetId="0">#REF!</definedName>
    <definedName name="CS_10" localSheetId="360">#REF!</definedName>
    <definedName name="CS_10">#REF!</definedName>
    <definedName name="CS_100" localSheetId="361">#REF!</definedName>
    <definedName name="CS_100" localSheetId="367">#REF!</definedName>
    <definedName name="CS_100" localSheetId="0">#REF!</definedName>
    <definedName name="CS_100" localSheetId="360">#REF!</definedName>
    <definedName name="CS_100">#REF!</definedName>
    <definedName name="CS_10S" localSheetId="361">#REF!</definedName>
    <definedName name="CS_10S" localSheetId="367">#REF!</definedName>
    <definedName name="CS_10S" localSheetId="0">#REF!</definedName>
    <definedName name="CS_10S" localSheetId="360">#REF!</definedName>
    <definedName name="CS_10S">#REF!</definedName>
    <definedName name="CS_120" localSheetId="361">#REF!</definedName>
    <definedName name="CS_120" localSheetId="367">#REF!</definedName>
    <definedName name="CS_120" localSheetId="0">#REF!</definedName>
    <definedName name="CS_120" localSheetId="360">#REF!</definedName>
    <definedName name="CS_120">#REF!</definedName>
    <definedName name="CS_140" localSheetId="361">#REF!</definedName>
    <definedName name="CS_140" localSheetId="367">#REF!</definedName>
    <definedName name="CS_140" localSheetId="0">#REF!</definedName>
    <definedName name="CS_140" localSheetId="360">#REF!</definedName>
    <definedName name="CS_140">#REF!</definedName>
    <definedName name="CS_160" localSheetId="361">#REF!</definedName>
    <definedName name="CS_160" localSheetId="367">#REF!</definedName>
    <definedName name="CS_160" localSheetId="0">#REF!</definedName>
    <definedName name="CS_160" localSheetId="360">#REF!</definedName>
    <definedName name="CS_160">#REF!</definedName>
    <definedName name="CS_20" localSheetId="361">#REF!</definedName>
    <definedName name="CS_20" localSheetId="367">#REF!</definedName>
    <definedName name="CS_20" localSheetId="0">#REF!</definedName>
    <definedName name="CS_20" localSheetId="360">#REF!</definedName>
    <definedName name="CS_20">#REF!</definedName>
    <definedName name="CS_30" localSheetId="361">#REF!</definedName>
    <definedName name="CS_30" localSheetId="367">#REF!</definedName>
    <definedName name="CS_30" localSheetId="0">#REF!</definedName>
    <definedName name="CS_30" localSheetId="360">#REF!</definedName>
    <definedName name="CS_30">#REF!</definedName>
    <definedName name="CS_40" localSheetId="361">#REF!</definedName>
    <definedName name="CS_40" localSheetId="367">#REF!</definedName>
    <definedName name="CS_40" localSheetId="0">#REF!</definedName>
    <definedName name="CS_40" localSheetId="360">#REF!</definedName>
    <definedName name="CS_40">#REF!</definedName>
    <definedName name="CS_40S" localSheetId="361">#REF!</definedName>
    <definedName name="CS_40S" localSheetId="367">#REF!</definedName>
    <definedName name="CS_40S" localSheetId="0">#REF!</definedName>
    <definedName name="CS_40S" localSheetId="360">#REF!</definedName>
    <definedName name="CS_40S">#REF!</definedName>
    <definedName name="CS_5S" localSheetId="361">#REF!</definedName>
    <definedName name="CS_5S" localSheetId="367">#REF!</definedName>
    <definedName name="CS_5S" localSheetId="0">#REF!</definedName>
    <definedName name="CS_5S" localSheetId="360">#REF!</definedName>
    <definedName name="CS_5S">#REF!</definedName>
    <definedName name="CS_60" localSheetId="361">#REF!</definedName>
    <definedName name="CS_60" localSheetId="367">#REF!</definedName>
    <definedName name="CS_60" localSheetId="0">#REF!</definedName>
    <definedName name="CS_60" localSheetId="360">#REF!</definedName>
    <definedName name="CS_60">#REF!</definedName>
    <definedName name="CS_80" localSheetId="361">#REF!</definedName>
    <definedName name="CS_80" localSheetId="367">#REF!</definedName>
    <definedName name="CS_80" localSheetId="0">#REF!</definedName>
    <definedName name="CS_80" localSheetId="360">#REF!</definedName>
    <definedName name="CS_80">#REF!</definedName>
    <definedName name="CS_80S" localSheetId="361">#REF!</definedName>
    <definedName name="CS_80S" localSheetId="367">#REF!</definedName>
    <definedName name="CS_80S" localSheetId="0">#REF!</definedName>
    <definedName name="CS_80S" localSheetId="360">#REF!</definedName>
    <definedName name="CS_80S">#REF!</definedName>
    <definedName name="CS_STD" localSheetId="361">#REF!</definedName>
    <definedName name="CS_STD" localSheetId="367">#REF!</definedName>
    <definedName name="CS_STD" localSheetId="0">#REF!</definedName>
    <definedName name="CS_STD" localSheetId="360">#REF!</definedName>
    <definedName name="CS_STD">#REF!</definedName>
    <definedName name="CS_XS" localSheetId="361">#REF!</definedName>
    <definedName name="CS_XS" localSheetId="367">#REF!</definedName>
    <definedName name="CS_XS" localSheetId="0">#REF!</definedName>
    <definedName name="CS_XS" localSheetId="360">#REF!</definedName>
    <definedName name="CS_XS">#REF!</definedName>
    <definedName name="CS_XXS" localSheetId="361">#REF!</definedName>
    <definedName name="CS_XXS" localSheetId="367">#REF!</definedName>
    <definedName name="CS_XXS" localSheetId="0">#REF!</definedName>
    <definedName name="CS_XXS" localSheetId="360">#REF!</definedName>
    <definedName name="CS_XXS">#REF!</definedName>
    <definedName name="csd3p" localSheetId="0">#REF!</definedName>
    <definedName name="csd3p">#REF!</definedName>
    <definedName name="csddg1p" localSheetId="0">#REF!</definedName>
    <definedName name="csddg1p">#REF!</definedName>
    <definedName name="csddt1p" localSheetId="0">#REF!</definedName>
    <definedName name="csddt1p">#REF!</definedName>
    <definedName name="csht3p" localSheetId="0">#REF!</definedName>
    <definedName name="csht3p">#REF!</definedName>
    <definedName name="ct" localSheetId="0" hidden="1">{"'Sheet1'!$L$16"}</definedName>
    <definedName name="ct" hidden="1">{"'Sheet1'!$L$16"}</definedName>
    <definedName name="ct_tb" localSheetId="0">#REF!</definedName>
    <definedName name="ct_tb">#REF!</definedName>
    <definedName name="ctbbt" localSheetId="0" hidden="1">{"'Sheet1'!$L$16"}</definedName>
    <definedName name="ctbbt" hidden="1">{"'Sheet1'!$L$16"}</definedName>
    <definedName name="CTCT1" localSheetId="0" hidden="1">{"'Sheet1'!$L$16"}</definedName>
    <definedName name="CTCT1" hidden="1">{"'Sheet1'!$L$16"}</definedName>
    <definedName name="ctdn9697" localSheetId="0">#REF!</definedName>
    <definedName name="ctdn9697">#REF!</definedName>
    <definedName name="CTIET" localSheetId="0">#REF!</definedName>
    <definedName name="CTIET">#REF!</definedName>
    <definedName name="ctieu" localSheetId="0" hidden="1">{"'Sheet1'!$L$16"}</definedName>
    <definedName name="ctieu" hidden="1">{"'Sheet1'!$L$16"}</definedName>
    <definedName name="CTL">#REF!</definedName>
    <definedName name="CTH">#REF!</definedName>
    <definedName name="cuoinam">#REF!</definedName>
    <definedName name="CURRENCY" localSheetId="0">#REF!</definedName>
    <definedName name="CURRENCY">#REF!</definedName>
    <definedName name="current">#REF!</definedName>
    <definedName name="CX" localSheetId="0">#REF!</definedName>
    <definedName name="CX">#REF!</definedName>
    <definedName name="CH" localSheetId="0">#REF!</definedName>
    <definedName name="CH">#REF!</definedName>
    <definedName name="chang1pm" localSheetId="0">#REF!</definedName>
    <definedName name="chang1pm">#REF!</definedName>
    <definedName name="chang3pm" localSheetId="0">#REF!</definedName>
    <definedName name="chang3pm">#REF!</definedName>
    <definedName name="changct">#REF!</definedName>
    <definedName name="changht" localSheetId="0">#REF!</definedName>
    <definedName name="changht">#REF!</definedName>
    <definedName name="changHTDL" localSheetId="0">#REF!</definedName>
    <definedName name="changHTDL">#REF!</definedName>
    <definedName name="changHTHH" localSheetId="0">#REF!</definedName>
    <definedName name="changHTHH">#REF!</definedName>
    <definedName name="chay1" localSheetId="0">#REF!</definedName>
    <definedName name="chay1">#REF!</definedName>
    <definedName name="chay10" localSheetId="0">#REF!</definedName>
    <definedName name="chay10">#REF!</definedName>
    <definedName name="chay2" localSheetId="0">#REF!</definedName>
    <definedName name="chay2">#REF!</definedName>
    <definedName name="chay3" localSheetId="0">#REF!</definedName>
    <definedName name="chay3">#REF!</definedName>
    <definedName name="chay4" localSheetId="0">#REF!</definedName>
    <definedName name="chay4">#REF!</definedName>
    <definedName name="chay5" localSheetId="0">#REF!</definedName>
    <definedName name="chay5">#REF!</definedName>
    <definedName name="chay6" localSheetId="0">#REF!</definedName>
    <definedName name="chay6">#REF!</definedName>
    <definedName name="chay7" localSheetId="0">#REF!</definedName>
    <definedName name="chay7">#REF!</definedName>
    <definedName name="chay8" localSheetId="0">#REF!</definedName>
    <definedName name="chay8">#REF!</definedName>
    <definedName name="chay9" localSheetId="0">#REF!</definedName>
    <definedName name="chay9">#REF!</definedName>
    <definedName name="ChiPhiChung">#REF!</definedName>
    <definedName name="chitietbgiang2" localSheetId="0" hidden="1">{"'Sheet1'!$L$16"}</definedName>
    <definedName name="chitietbgiang2" hidden="1">{"'Sheet1'!$L$16"}</definedName>
    <definedName name="chl" localSheetId="0" hidden="1">{"'Sheet1'!$L$16"}</definedName>
    <definedName name="chl" hidden="1">{"'Sheet1'!$L$16"}</definedName>
    <definedName name="chuyen" localSheetId="0" hidden="1">{"'Sheet1'!$L$16"}</definedName>
    <definedName name="chuyen" hidden="1">{"'Sheet1'!$L$16"}</definedName>
    <definedName name="D_7101A_B" localSheetId="0">#REF!</definedName>
    <definedName name="D_7101A_B">#REF!</definedName>
    <definedName name="DACAN">#REF!</definedName>
    <definedName name="danop">#REF!</definedName>
    <definedName name="Data" localSheetId="0">#REF!</definedName>
    <definedName name="Data">#REF!</definedName>
    <definedName name="DATA_DATA2_List" localSheetId="0">#REF!</definedName>
    <definedName name="DATA_DATA2_List">#REF!</definedName>
    <definedName name="data1" localSheetId="0">#REF!</definedName>
    <definedName name="data1">#REF!</definedName>
    <definedName name="_xlnm.Database" localSheetId="0">#REF!</definedName>
    <definedName name="_xlnm.Database">#REF!</definedName>
    <definedName name="Database_MI" localSheetId="0">#REF!</definedName>
    <definedName name="Database_MI">#REF!</definedName>
    <definedName name="DATATKDT" localSheetId="0">#REF!</definedName>
    <definedName name="DATATKDT">#REF!</definedName>
    <definedName name="Day_AC">#REF!</definedName>
    <definedName name="DCKS" hidden="1">{"'Sheet1'!$L$16"}</definedName>
    <definedName name="DCL_35">13127400</definedName>
    <definedName name="dch511a">#REF!</definedName>
    <definedName name="dch511b">#REF!</definedName>
    <definedName name="dch632a">#REF!</definedName>
    <definedName name="dch632b">#REF!</definedName>
    <definedName name="dchcn">#REF!</definedName>
    <definedName name="dchm">#REF!</definedName>
    <definedName name="DD" localSheetId="0">#REF!</definedName>
    <definedName name="DD">#REF!</definedName>
    <definedName name="DDAY" localSheetId="0">#REF!</definedName>
    <definedName name="DDAY">#REF!</definedName>
    <definedName name="del_h" localSheetId="0">#REF!</definedName>
    <definedName name="del_h">#REF!</definedName>
    <definedName name="delw" localSheetId="0">#REF!</definedName>
    <definedName name="delw">#REF!</definedName>
    <definedName name="DENEO">#REF!</definedName>
    <definedName name="dfdsg" localSheetId="0">#REF!,#REF!</definedName>
    <definedName name="dfdsg">#REF!,#REF!</definedName>
    <definedName name="dfgdf" localSheetId="0" hidden="1">#REF!</definedName>
    <definedName name="dfgdf" hidden="1">#REF!</definedName>
    <definedName name="dfgdfg" localSheetId="0" hidden="1">#REF!</definedName>
    <definedName name="dfgdfg" hidden="1">#REF!</definedName>
    <definedName name="dg">#REF!</definedName>
    <definedName name="DG_VC">#REF!</definedName>
    <definedName name="dgbdII">#REF!</definedName>
    <definedName name="DGMONG" localSheetId="0">#REF!</definedName>
    <definedName name="DGMONG">#REF!</definedName>
    <definedName name="DGNC" localSheetId="0">#REF!</definedName>
    <definedName name="DGNC">#REF!</definedName>
    <definedName name="DGNC285">#REF!</definedName>
    <definedName name="dgqndn">#REF!</definedName>
    <definedName name="DGTG">#REF!</definedName>
    <definedName name="DGTP">#REF!</definedName>
    <definedName name="DGTV" localSheetId="0">#REF!</definedName>
    <definedName name="DGTV">#REF!</definedName>
    <definedName name="DGTH_TR">#REF!</definedName>
    <definedName name="dgvc" localSheetId="0">#REF!</definedName>
    <definedName name="dgvc">#REF!</definedName>
    <definedName name="dgvl" localSheetId="0">#REF!</definedName>
    <definedName name="dgvl">#REF!</definedName>
    <definedName name="DGVT" localSheetId="0">#REF!</definedName>
    <definedName name="DGVT">#REF!</definedName>
    <definedName name="DGVUA" localSheetId="0">#REF!</definedName>
    <definedName name="DGVUA">#REF!</definedName>
    <definedName name="DGXDTT" localSheetId="0">#REF!</definedName>
    <definedName name="DGXDTT">#REF!</definedName>
    <definedName name="dgiatru" localSheetId="0">#REF!</definedName>
    <definedName name="dgiatru">#REF!</definedName>
    <definedName name="DiaDiemXD">#REF!</definedName>
    <definedName name="DieãN_GIAÛI">#REF!</definedName>
    <definedName name="DIENKE">#REF!</definedName>
    <definedName name="DIFF" hidden="1">"khác"</definedName>
    <definedName name="dkincd">#REF!</definedName>
    <definedName name="dkljfsdkjf" localSheetId="0" hidden="1">#REF!</definedName>
    <definedName name="dkljfsdkjf" hidden="1">#REF!</definedName>
    <definedName name="dkythue">#REF!</definedName>
    <definedName name="DLCC" localSheetId="0">#REF!</definedName>
    <definedName name="DLCC">#REF!</definedName>
    <definedName name="DM" localSheetId="0">#REF!</definedName>
    <definedName name="DM">#REF!</definedName>
    <definedName name="DM_thuhoi" localSheetId="0">#REF!</definedName>
    <definedName name="DM_thuhoi">#REF!</definedName>
    <definedName name="dm56bxd">#REF!</definedName>
    <definedName name="DMXD">#REF!</definedName>
    <definedName name="Dmxd_tong">#REF!</definedName>
    <definedName name="DMXD1">#REF!</definedName>
    <definedName name="Do" localSheetId="0">#REF!</definedName>
    <definedName name="Do">#REF!</definedName>
    <definedName name="dobt" localSheetId="0">#REF!</definedName>
    <definedName name="dobt">#REF!</definedName>
    <definedName name="Document_array" localSheetId="0">{"Book1","10A2 NDC.xls"}</definedName>
    <definedName name="Document_array">{"Book1","10A2 NDC.xls"}</definedName>
    <definedName name="Documents_array">#REF!</definedName>
    <definedName name="doht">#REF!</definedName>
    <definedName name="dongia" localSheetId="0">#REF!</definedName>
    <definedName name="dongia">#REF!</definedName>
    <definedName name="Dongia_chitiet">#REF!</definedName>
    <definedName name="Dongia_vattu">#REF!</definedName>
    <definedName name="dongia1" localSheetId="0">#REF!</definedName>
    <definedName name="dongia1">#REF!</definedName>
    <definedName name="DONGIA2" localSheetId="0">#REF!</definedName>
    <definedName name="DONGIA2">#REF!</definedName>
    <definedName name="drtyrey" localSheetId="0">BTRAM</definedName>
    <definedName name="drtyrey">BTRAM</definedName>
    <definedName name="DS1p1vc" localSheetId="0">#REF!</definedName>
    <definedName name="DS1p1vc">#REF!</definedName>
    <definedName name="ds1p2nc" localSheetId="0">#REF!</definedName>
    <definedName name="ds1p2nc">#REF!</definedName>
    <definedName name="ds1p2vc" localSheetId="0">#REF!</definedName>
    <definedName name="ds1p2vc">#REF!</definedName>
    <definedName name="ds1p2vl" localSheetId="0">#REF!</definedName>
    <definedName name="ds1p2vl">#REF!</definedName>
    <definedName name="ds1pnc" localSheetId="0">#REF!</definedName>
    <definedName name="ds1pnc">#REF!</definedName>
    <definedName name="ds1pvl" localSheetId="0">#REF!</definedName>
    <definedName name="ds1pvl">#REF!</definedName>
    <definedName name="ds3pctnc" localSheetId="0">#REF!</definedName>
    <definedName name="ds3pctnc">#REF!</definedName>
    <definedName name="ds3pctvc" localSheetId="0">#REF!</definedName>
    <definedName name="ds3pctvc">#REF!</definedName>
    <definedName name="ds3pctvl" localSheetId="0">#REF!</definedName>
    <definedName name="ds3pctvl">#REF!</definedName>
    <definedName name="ds3pmnc" localSheetId="0">#REF!</definedName>
    <definedName name="ds3pmnc">#REF!</definedName>
    <definedName name="ds3pmvc" localSheetId="0">#REF!</definedName>
    <definedName name="ds3pmvc">#REF!</definedName>
    <definedName name="ds3pmvl" localSheetId="0">#REF!</definedName>
    <definedName name="ds3pmvl">#REF!</definedName>
    <definedName name="dsct3pnc" localSheetId="0">#REF!</definedName>
    <definedName name="dsct3pnc">#REF!</definedName>
    <definedName name="dsct3pvl" localSheetId="0">#REF!</definedName>
    <definedName name="dsct3pvl">#REF!</definedName>
    <definedName name="dsfdfs" localSheetId="0">BTRAM</definedName>
    <definedName name="dsfdfs">BTRAM</definedName>
    <definedName name="DsNhom">#REF!</definedName>
    <definedName name="DSPK1p1nc" localSheetId="0">#REF!</definedName>
    <definedName name="DSPK1p1nc">#REF!</definedName>
    <definedName name="DSPK1p1vl" localSheetId="0">#REF!</definedName>
    <definedName name="DSPK1p1vl">#REF!</definedName>
    <definedName name="DSPK1pm">#REF!</definedName>
    <definedName name="DSPK1pnc" localSheetId="0">#REF!</definedName>
    <definedName name="DSPK1pnc">#REF!</definedName>
    <definedName name="DSPK1pvl" localSheetId="0">#REF!</definedName>
    <definedName name="DSPK1pvl">#REF!</definedName>
    <definedName name="DSPK3pct">#REF!</definedName>
    <definedName name="DSPK3pm">#REF!</definedName>
    <definedName name="DSPKhtdl">#REF!</definedName>
    <definedName name="DSPKhthh">#REF!</definedName>
    <definedName name="dssaknhgril" localSheetId="0" hidden="1">#REF!</definedName>
    <definedName name="dssaknhgril" hidden="1">#REF!</definedName>
    <definedName name="DSTD_Clear">#N/A</definedName>
    <definedName name="DSUMDATA" localSheetId="0">#REF!</definedName>
    <definedName name="DSUMDATA">#REF!</definedName>
    <definedName name="DSVLieu">#REF!</definedName>
    <definedName name="dt" localSheetId="0">#REF!</definedName>
    <definedName name="dt">#REF!</definedName>
    <definedName name="DTtuthuchien">[1]HESO!$J$39</definedName>
    <definedName name="DTTVGM163" localSheetId="0" hidden="1">{"'Sheet1'!$L$16"}</definedName>
    <definedName name="DTTVGM163" hidden="1">{"'Sheet1'!$L$16"}</definedName>
    <definedName name="Du_lieu">#REF!</definedName>
    <definedName name="Dulieu">#REF!</definedName>
    <definedName name="dung">#N/A</definedName>
    <definedName name="đa" localSheetId="0">#REF!</definedName>
    <definedName name="đa">#REF!</definedName>
    <definedName name="e" localSheetId="0">#REF!</definedName>
    <definedName name="e">#REF!</definedName>
    <definedName name="ẻghr" localSheetId="0">#REF!</definedName>
    <definedName name="ẻghr">#REF!</definedName>
    <definedName name="End_1" localSheetId="0">#REF!</definedName>
    <definedName name="End_1">#REF!</definedName>
    <definedName name="End_10" localSheetId="0">#REF!</definedName>
    <definedName name="End_10">#REF!</definedName>
    <definedName name="End_11" localSheetId="0">#REF!</definedName>
    <definedName name="End_11">#REF!</definedName>
    <definedName name="End_12" localSheetId="0">#REF!</definedName>
    <definedName name="End_12">#REF!</definedName>
    <definedName name="End_13" localSheetId="0">#REF!</definedName>
    <definedName name="End_13">#REF!</definedName>
    <definedName name="End_2" localSheetId="0">#REF!</definedName>
    <definedName name="End_2">#REF!</definedName>
    <definedName name="End_3" localSheetId="0">#REF!</definedName>
    <definedName name="End_3">#REF!</definedName>
    <definedName name="End_4" localSheetId="0">#REF!</definedName>
    <definedName name="End_4">#REF!</definedName>
    <definedName name="End_5" localSheetId="0">#REF!</definedName>
    <definedName name="End_5">#REF!</definedName>
    <definedName name="End_6" localSheetId="0">#REF!</definedName>
    <definedName name="End_6">#REF!</definedName>
    <definedName name="End_7" localSheetId="0">#REF!</definedName>
    <definedName name="End_7">#REF!</definedName>
    <definedName name="End_8" localSheetId="0">#REF!</definedName>
    <definedName name="End_8">#REF!</definedName>
    <definedName name="End_9" localSheetId="0">#REF!</definedName>
    <definedName name="End_9">#REF!</definedName>
    <definedName name="EQ" localSheetId="367">#REF!</definedName>
    <definedName name="EQ" localSheetId="360">#REF!</definedName>
    <definedName name="EQ">#REF!</definedName>
    <definedName name="eqr" localSheetId="0">#REF!</definedName>
    <definedName name="eqr">#REF!</definedName>
    <definedName name="et" localSheetId="0">#REF!</definedName>
    <definedName name="et">#REF!</definedName>
    <definedName name="eta_G" localSheetId="0">#REF!</definedName>
    <definedName name="eta_G">#REF!</definedName>
    <definedName name="eta_h" localSheetId="0">#REF!</definedName>
    <definedName name="eta_h">#REF!</definedName>
    <definedName name="eta_ht" localSheetId="0">#REF!</definedName>
    <definedName name="eta_ht">#REF!</definedName>
    <definedName name="eta_q" localSheetId="0">#REF!</definedName>
    <definedName name="eta_q">#REF!</definedName>
    <definedName name="eta_qt" localSheetId="0">#REF!</definedName>
    <definedName name="eta_qt">#REF!</definedName>
    <definedName name="eta_T" localSheetId="0">#REF!</definedName>
    <definedName name="eta_T">#REF!</definedName>
    <definedName name="ew">#REF!</definedName>
    <definedName name="Extract_MI" localSheetId="0">#REF!</definedName>
    <definedName name="Extract_MI">#REF!</definedName>
    <definedName name="f" localSheetId="0">#REF!</definedName>
    <definedName name="f">#REF!</definedName>
    <definedName name="f82E46">#REF!</definedName>
    <definedName name="FACTOR" localSheetId="0">#REF!</definedName>
    <definedName name="FACTOR">#REF!</definedName>
    <definedName name="fdgdfg" localSheetId="0" hidden="1">#REF!</definedName>
    <definedName name="fdgdfg" hidden="1">#REF!</definedName>
    <definedName name="FF" localSheetId="0">#REF!</definedName>
    <definedName name="FF">#REF!</definedName>
    <definedName name="FGDFGDFG" localSheetId="367">#REF!</definedName>
    <definedName name="FGDFGDFG" localSheetId="360">#REF!</definedName>
    <definedName name="FGDFGDFG">#REF!</definedName>
    <definedName name="fhu" localSheetId="0" hidden="1">#REF!</definedName>
    <definedName name="fhu" hidden="1">#REF!</definedName>
    <definedName name="FP" localSheetId="367">#REF!</definedName>
    <definedName name="FP" localSheetId="360">#REF!</definedName>
    <definedName name="FP">#REF!</definedName>
    <definedName name="fsdfdsf" localSheetId="0" hidden="1">{"'Sheet1'!$L$16"}</definedName>
    <definedName name="fsdfdsf" hidden="1">{"'Sheet1'!$L$16"}</definedName>
    <definedName name="ft" localSheetId="0" hidden="1">{"'Sheet1'!$L$16"}</definedName>
    <definedName name="ft" hidden="1">{"'Sheet1'!$L$16"}</definedName>
    <definedName name="g" localSheetId="0">#REF!</definedName>
    <definedName name="g">#REF!</definedName>
    <definedName name="Ga_1" localSheetId="0">#REF!</definedName>
    <definedName name="Ga_1">#REF!</definedName>
    <definedName name="Ga_2" localSheetId="0">#REF!</definedName>
    <definedName name="Ga_2">#REF!</definedName>
    <definedName name="Ga_3" localSheetId="0">#REF!</definedName>
    <definedName name="Ga_3">#REF!</definedName>
    <definedName name="Ga_4" localSheetId="0">#REF!</definedName>
    <definedName name="Ga_4">#REF!</definedName>
    <definedName name="Ga_5" localSheetId="0">#REF!</definedName>
    <definedName name="Ga_5">#REF!</definedName>
    <definedName name="gdag" localSheetId="0">#REF!</definedName>
    <definedName name="gdag">#REF!</definedName>
    <definedName name="Gdp">#REF!</definedName>
    <definedName name="GF" hidden="1">{#N/A,#N/A,FALSE,"Chi tiÆt"}</definedName>
    <definedName name="GFGBDF" localSheetId="0" hidden="1">{#N/A,#N/A,FALSE,"Chi tiÆt"}</definedName>
    <definedName name="GFGBDF" hidden="1">{#N/A,#N/A,FALSE,"Chi tiÆt"}</definedName>
    <definedName name="ggg" localSheetId="0" hidden="1">{"'Sheet1'!$L$16"}</definedName>
    <definedName name="ggg" hidden="1">{"'Sheet1'!$L$16"}</definedName>
    <definedName name="gggg" hidden="1">{"'Sheet1'!$L$16"}</definedName>
    <definedName name="ggsf" localSheetId="0" hidden="1">#REF!</definedName>
    <definedName name="ggsf" hidden="1">#REF!</definedName>
    <definedName name="ghj" localSheetId="0" hidden="1">{"'Sheet1'!$L$16"}</definedName>
    <definedName name="ghj" hidden="1">{"'Sheet1'!$L$16"}</definedName>
    <definedName name="gjgkjlk" localSheetId="0" hidden="1">{#N/A,#N/A,FALSE,"Chi tiÆt"}</definedName>
    <definedName name="gjgkjlk" hidden="1">{#N/A,#N/A,FALSE,"Chi tiÆt"}</definedName>
    <definedName name="Gkh">#REF!</definedName>
    <definedName name="gl3p" localSheetId="0">#REF!</definedName>
    <definedName name="gl3p">#REF!</definedName>
    <definedName name="Goi_1" localSheetId="0">#REF!</definedName>
    <definedName name="Goi_1">#REF!</definedName>
    <definedName name="Goi_2" localSheetId="0">#REF!</definedName>
    <definedName name="Goi_2">#REF!</definedName>
    <definedName name="Goi_3" localSheetId="0">#REF!</definedName>
    <definedName name="Goi_3">#REF!</definedName>
    <definedName name="Goi_4" localSheetId="0">#REF!</definedName>
    <definedName name="Goi_4">#REF!</definedName>
    <definedName name="Goi_5" localSheetId="0">#REF!</definedName>
    <definedName name="Goi_5">#REF!</definedName>
    <definedName name="GTB">#REF!</definedName>
    <definedName name="gtdt">#REF!</definedName>
    <definedName name="GTLXQT9">[0]!GTLXQT9</definedName>
    <definedName name="GTT">#REF!</definedName>
    <definedName name="Gtv">#REF!</definedName>
    <definedName name="Gxd">#REF!</definedName>
    <definedName name="Gxdct">#REF!</definedName>
    <definedName name="GIA">#REF!</definedName>
    <definedName name="Gia_CT" localSheetId="0">#REF!</definedName>
    <definedName name="Gia_CT">#REF!</definedName>
    <definedName name="Gia_VT" localSheetId="0">#REF!</definedName>
    <definedName name="Gia_VT">#REF!</definedName>
    <definedName name="GIADNEO">#REF!</definedName>
    <definedName name="giam3331">#REF!</definedName>
    <definedName name="GiaThang" localSheetId="0">#REF!</definedName>
    <definedName name="GiaThang">#REF!</definedName>
    <definedName name="giathep" localSheetId="0">#REF!</definedName>
    <definedName name="giathep">#REF!</definedName>
    <definedName name="GIAVLIEUTN" localSheetId="0">#REF!</definedName>
    <definedName name="GIAVLIEUTN">#REF!</definedName>
    <definedName name="GIAVT" localSheetId="0">#REF!</definedName>
    <definedName name="GIAVT">#REF!</definedName>
    <definedName name="GIAVTTB" localSheetId="0">#REF!</definedName>
    <definedName name="GIAVTTB">#REF!</definedName>
    <definedName name="GiaVTu">#REF!</definedName>
    <definedName name="h" localSheetId="0" hidden="1">{"'Sheet1'!$L$16"}</definedName>
    <definedName name="h" hidden="1">{"'Sheet1'!$L$16"}</definedName>
    <definedName name="h_ds" localSheetId="0">#REF!</definedName>
    <definedName name="h_ds">#REF!</definedName>
    <definedName name="H_THUCTT" localSheetId="0">#REF!</definedName>
    <definedName name="H_THUCTT">#REF!</definedName>
    <definedName name="H_THUCHTHH" localSheetId="0">#REF!</definedName>
    <definedName name="H_THUCHTHH">#REF!</definedName>
    <definedName name="HAHAHHAH" localSheetId="0" hidden="1">#REF!</definedName>
    <definedName name="HAHAHHAH" hidden="1">#REF!</definedName>
    <definedName name="hang" localSheetId="0">#REF!,#REF!,#REF!,#REF!,#REF!</definedName>
    <definedName name="hang">#REF!,#REF!,#REF!,#REF!,#REF!</definedName>
    <definedName name="hang11" localSheetId="0">#REF!,#REF!,#REF!,#REF!,#REF!,#REF!,#REF!</definedName>
    <definedName name="hang11">#REF!,#REF!,#REF!,#REF!,#REF!,#REF!,#REF!</definedName>
    <definedName name="HangMucBTN" localSheetId="0">#REF!</definedName>
    <definedName name="HangMucBTN">#REF!</definedName>
    <definedName name="HangMucCong" localSheetId="0">#REF!</definedName>
    <definedName name="HangMucCong">#REF!</definedName>
    <definedName name="HangMucMatDuong" localSheetId="0">#REF!</definedName>
    <definedName name="HangMucMatDuong">#REF!</definedName>
    <definedName name="HangMucNen" localSheetId="0">#REF!</definedName>
    <definedName name="HangMucNen">#REF!</definedName>
    <definedName name="HangMucViahe" localSheetId="0">#REF!</definedName>
    <definedName name="HangMucViahe">#REF!</definedName>
    <definedName name="HapCKVA" localSheetId="367">#REF!</definedName>
    <definedName name="HapCKVA" localSheetId="360">#REF!</definedName>
    <definedName name="HapCKVA">#REF!</definedName>
    <definedName name="HapCKvar" localSheetId="367">#REF!</definedName>
    <definedName name="HapCKvar" localSheetId="360">#REF!</definedName>
    <definedName name="HapCKvar">#REF!</definedName>
    <definedName name="HapCKW" localSheetId="367">#REF!</definedName>
    <definedName name="HapCKW" localSheetId="360">#REF!</definedName>
    <definedName name="HapCKW">#REF!</definedName>
    <definedName name="HapIKVA" localSheetId="367">#REF!</definedName>
    <definedName name="HapIKVA" localSheetId="360">#REF!</definedName>
    <definedName name="HapIKVA">#REF!</definedName>
    <definedName name="HapIKvar" localSheetId="367">#REF!</definedName>
    <definedName name="HapIKvar" localSheetId="360">#REF!</definedName>
    <definedName name="HapIKvar">#REF!</definedName>
    <definedName name="HapIKW" localSheetId="367">#REF!</definedName>
    <definedName name="HapIKW" localSheetId="360">#REF!</definedName>
    <definedName name="HapIKW">#REF!</definedName>
    <definedName name="HapKVA" localSheetId="367">#REF!</definedName>
    <definedName name="HapKVA" localSheetId="360">#REF!</definedName>
    <definedName name="HapKVA">#REF!</definedName>
    <definedName name="HapSKVA" localSheetId="367">#REF!</definedName>
    <definedName name="HapSKVA" localSheetId="360">#REF!</definedName>
    <definedName name="HapSKVA">#REF!</definedName>
    <definedName name="HapSKW" localSheetId="367">#REF!</definedName>
    <definedName name="HapSKW" localSheetId="360">#REF!</definedName>
    <definedName name="HapSKW">#REF!</definedName>
    <definedName name="haq" localSheetId="0" hidden="1">{"'Sheet1'!$L$16"}</definedName>
    <definedName name="haq" hidden="1">{"'Sheet1'!$L$16"}</definedName>
    <definedName name="HCNA" localSheetId="0" hidden="1">{"'Sheet1'!$L$16"}</definedName>
    <definedName name="HCNA" hidden="1">{"'Sheet1'!$L$16"}</definedName>
    <definedName name="HDGTT" localSheetId="0">#REF!</definedName>
    <definedName name="HDGTT">#REF!</definedName>
    <definedName name="Heä_soá_laép_xaø_H">1.7</definedName>
    <definedName name="heä_soá_sình_laày" localSheetId="0">#REF!</definedName>
    <definedName name="heä_soá_sình_laày">#REF!</definedName>
    <definedName name="Hello">#REF!</definedName>
    <definedName name="heso">#REF!</definedName>
    <definedName name="heso_a1">#REF!</definedName>
    <definedName name="hgkljh" localSheetId="0">#REF!</definedName>
    <definedName name="hgkljh">#REF!</definedName>
    <definedName name="hhg" localSheetId="0">#REF!</definedName>
    <definedName name="hhg">#REF!</definedName>
    <definedName name="HHTT" localSheetId="0">#REF!</definedName>
    <definedName name="HHTT">#REF!</definedName>
    <definedName name="Hinh_thuc">"bangtra"</definedName>
    <definedName name="Hinhthuctru04">#REF!</definedName>
    <definedName name="hjkhkjhk">#REF!</definedName>
    <definedName name="hkgj" localSheetId="0">#REF!</definedName>
    <definedName name="hkgj">#REF!</definedName>
    <definedName name="hm" localSheetId="0">#REF!</definedName>
    <definedName name="hm">#REF!</definedName>
    <definedName name="hoa" localSheetId="0">BTRAM</definedName>
    <definedName name="hoa">BTRAM</definedName>
    <definedName name="HOME_MANP" localSheetId="0">#REF!</definedName>
    <definedName name="HOME_MANP">#REF!</definedName>
    <definedName name="HOMEOFFICE_COST" localSheetId="0">#REF!</definedName>
    <definedName name="HOMEOFFICE_COST">#REF!</definedName>
    <definedName name="Hong" localSheetId="0">#REF!</definedName>
    <definedName name="Hong">#REF!</definedName>
    <definedName name="HpZ" localSheetId="0" hidden="1">#REF!</definedName>
    <definedName name="HpZ" hidden="1">#REF!</definedName>
    <definedName name="HS_docao">#REF!</definedName>
    <definedName name="HS_dungtru">#REF!</definedName>
    <definedName name="HS_keoday">#REF!</definedName>
    <definedName name="HS_lapxa">#REF!</definedName>
    <definedName name="HS_mtc">#REF!</definedName>
    <definedName name="HS_nc">#REF!</definedName>
    <definedName name="HS_vanchuyen">#REF!</definedName>
    <definedName name="Hscs" localSheetId="0">#REF!</definedName>
    <definedName name="Hscs">#REF!</definedName>
    <definedName name="HSCT3">0.1</definedName>
    <definedName name="hsdc" localSheetId="0">#REF!</definedName>
    <definedName name="hsdc">#REF!</definedName>
    <definedName name="hsdc1" localSheetId="0">#REF!</definedName>
    <definedName name="hsdc1">#REF!</definedName>
    <definedName name="HSDN">2.5</definedName>
    <definedName name="hsdp_vttb">#REF!</definedName>
    <definedName name="Hsgia_day">#REF!</definedName>
    <definedName name="HSHH" localSheetId="0">#REF!</definedName>
    <definedName name="HSHH">#REF!</definedName>
    <definedName name="HSHHUT" localSheetId="0">#REF!</definedName>
    <definedName name="HSHHUT">#REF!</definedName>
    <definedName name="HSI" hidden="1">1.8857</definedName>
    <definedName name="HSII" hidden="1">1.8255</definedName>
    <definedName name="HSIII" hidden="1">1.7333</definedName>
    <definedName name="HSIV" hidden="1">1.665</definedName>
    <definedName name="hskd" localSheetId="0">#REF!</definedName>
    <definedName name="hskd">#REF!</definedName>
    <definedName name="hskk" localSheetId="0">#REF!</definedName>
    <definedName name="hskk">#REF!</definedName>
    <definedName name="hskk_dt">#REF!</definedName>
    <definedName name="hskk_kd">#REF!</definedName>
    <definedName name="hskk_xa">#REF!</definedName>
    <definedName name="HSKK35" localSheetId="0">#REF!</definedName>
    <definedName name="HSKK35">#REF!</definedName>
    <definedName name="hslx" localSheetId="0">#REF!</definedName>
    <definedName name="hslx">#REF!</definedName>
    <definedName name="HSLXH">1.7</definedName>
    <definedName name="HSLXP" localSheetId="0">#REF!</definedName>
    <definedName name="HSLXP">#REF!</definedName>
    <definedName name="HSMBT">#REF!</definedName>
    <definedName name="HSTL">#REF!</definedName>
    <definedName name="hstruot">#REF!</definedName>
    <definedName name="HSVC1" localSheetId="0">#REF!</definedName>
    <definedName name="HSVC1">#REF!</definedName>
    <definedName name="HSVC2" localSheetId="0">#REF!</definedName>
    <definedName name="HSVC2">#REF!</definedName>
    <definedName name="HSVC3" localSheetId="0">#REF!</definedName>
    <definedName name="HSVC3">#REF!</definedName>
    <definedName name="htlm" localSheetId="0" hidden="1">{"'Sheet1'!$L$16"}</definedName>
    <definedName name="htlm" hidden="1">{"'Sheet1'!$L$16"}</definedName>
    <definedName name="HTML_CodePage" hidden="1">950</definedName>
    <definedName name="HTML_Control" localSheetId="364" hidden="1">{"'Sheet1'!$L$16"}</definedName>
    <definedName name="HTML_Control" localSheetId="0" hidden="1">{"'Sheet1'!$L$16"}</definedName>
    <definedName name="HTML_Control" hidden="1">{"'Sheet1'!$L$16"}</definedName>
    <definedName name="HTML_Controlmoi" localSheetId="0"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Lmoi" localSheetId="0" hidden="1">{"'Sheet1'!$L$16"}</definedName>
    <definedName name="HTMLmoi" hidden="1">{"'Sheet1'!$L$16"}</definedName>
    <definedName name="HTNC" localSheetId="0">#REF!</definedName>
    <definedName name="HTNC">#REF!</definedName>
    <definedName name="HTVL" localSheetId="0">#REF!</definedName>
    <definedName name="HTVL">#REF!</definedName>
    <definedName name="HTHH" localSheetId="0">#REF!</definedName>
    <definedName name="HTHH">#REF!</definedName>
    <definedName name="hu" localSheetId="0" hidden="1">{"'Sheet1'!$L$16"}</definedName>
    <definedName name="hu" hidden="1">{"'Sheet1'!$L$16"}</definedName>
    <definedName name="huy" localSheetId="364" hidden="1">{"'Sheet1'!$L$16"}</definedName>
    <definedName name="huy" localSheetId="0" hidden="1">{"'Sheet1'!$L$16"}</definedName>
    <definedName name="huy" hidden="1">{"'Sheet1'!$L$16"}</definedName>
    <definedName name="huy1moi" localSheetId="0" hidden="1">{"'Sheet1'!$L$16"}</definedName>
    <definedName name="huy1moi" hidden="1">{"'Sheet1'!$L$16"}</definedName>
    <definedName name="huymoi" localSheetId="0" hidden="1">{"'Sheet1'!$L$16"}</definedName>
    <definedName name="huymoi" hidden="1">{"'Sheet1'!$L$16"}</definedName>
    <definedName name="HVLDP" localSheetId="0">#REF!</definedName>
    <definedName name="HVLDP">#REF!</definedName>
    <definedName name="IDLAB_COST" localSheetId="0">#REF!</definedName>
    <definedName name="IDLAB_COST">#REF!</definedName>
    <definedName name="Idm">#REF!</definedName>
    <definedName name="ill" localSheetId="0">#REF!</definedName>
    <definedName name="ill">#REF!</definedName>
    <definedName name="IND_LAB" localSheetId="0">#REF!</definedName>
    <definedName name="IND_LAB">#REF!</definedName>
    <definedName name="INDMANP" localSheetId="0">#REF!</definedName>
    <definedName name="INDMANP">#REF!</definedName>
    <definedName name="IO" localSheetId="367">#REF!</definedName>
    <definedName name="IO" localSheetId="360">#REF!</definedName>
    <definedName name="IO">#REF!</definedName>
    <definedName name="iuti" localSheetId="0">#REF!</definedName>
    <definedName name="iuti">#REF!</definedName>
    <definedName name="j" localSheetId="0">#REF!</definedName>
    <definedName name="j">#REF!</definedName>
    <definedName name="jjkjk" localSheetId="0">#REF!</definedName>
    <definedName name="jjkjk">#REF!</definedName>
    <definedName name="jkjk" localSheetId="0" hidden="1">{"'Sheet1'!$L$16"}</definedName>
    <definedName name="jkjk" hidden="1">{"'Sheet1'!$L$16"}</definedName>
    <definedName name="jkjlh" localSheetId="0" hidden="1">{#N/A,#N/A,FALSE,"Chi tiÆt"}</definedName>
    <definedName name="jkjlh" hidden="1">{#N/A,#N/A,FALSE,"Chi tiÆt"}</definedName>
    <definedName name="jyrj" localSheetId="0">#REF!</definedName>
    <definedName name="jyrj">#REF!</definedName>
    <definedName name="K" localSheetId="0">#REF!</definedName>
    <definedName name="K">#REF!</definedName>
    <definedName name="K_luong">#REF!</definedName>
    <definedName name="k_tb" localSheetId="0">#REF!</definedName>
    <definedName name="k_tb">#REF!</definedName>
    <definedName name="k2b" localSheetId="0">#REF!</definedName>
    <definedName name="k2b">#REF!</definedName>
    <definedName name="KCThep" hidden="1">{"'Sheet1'!$L$16"}</definedName>
    <definedName name="keh0" localSheetId="0">#REF!</definedName>
    <definedName name="keh0">#REF!</definedName>
    <definedName name="keq0" localSheetId="0">#REF!</definedName>
    <definedName name="keq0">#REF!</definedName>
    <definedName name="kfhj" localSheetId="0">#REF!</definedName>
    <definedName name="kfhj">#REF!</definedName>
    <definedName name="kg">#REF!</definedName>
    <definedName name="kg___km">#REF!</definedName>
    <definedName name="kjk" localSheetId="0">#REF!</definedName>
    <definedName name="kjk">#REF!</definedName>
    <definedName name="kjkf" localSheetId="0">#REF!</definedName>
    <definedName name="kjkf">#REF!</definedName>
    <definedName name="kldd1p">#REF!</definedName>
    <definedName name="KLTH1pm" localSheetId="0">#REF!</definedName>
    <definedName name="KLTH1pm">#REF!</definedName>
    <definedName name="KLTH3pct" localSheetId="0">#REF!</definedName>
    <definedName name="KLTH3pct">#REF!</definedName>
    <definedName name="KLTH3pm" localSheetId="0">#REF!</definedName>
    <definedName name="KLTH3pm">#REF!</definedName>
    <definedName name="KLTHDN" localSheetId="0">#REF!</definedName>
    <definedName name="KLTHDN">#REF!</definedName>
    <definedName name="KLTHhtdl" localSheetId="0">#REF!</definedName>
    <definedName name="KLTHhtdl">#REF!</definedName>
    <definedName name="KLTHhthh" localSheetId="0">#REF!</definedName>
    <definedName name="KLTHhthh">#REF!</definedName>
    <definedName name="KLuong_VTCL1">#REF!</definedName>
    <definedName name="KLuong_VTCL2">#REF!</definedName>
    <definedName name="KLVANKHUON" localSheetId="0">#REF!</definedName>
    <definedName name="KLVANKHUON">#REF!</definedName>
    <definedName name="KLVL" localSheetId="0">#REF!</definedName>
    <definedName name="KLVL">#REF!</definedName>
    <definedName name="KLVLV" localSheetId="0">#REF!</definedName>
    <definedName name="KLVLV">#REF!</definedName>
    <definedName name="kp1ph" localSheetId="0">#REF!</definedName>
    <definedName name="kp1ph">#REF!</definedName>
    <definedName name="KQ" localSheetId="0">IF(ISNUMBER(VALUE(SUBSTITUTE(MID(#REF!&amp;"=",FIND("=",#REF!&amp;"=",1)+1,LEN(#REF!&amp;"=")-FIND("=",#REF!&amp;"=")+1),"=",""))),VALUE(SUBSTITUTE(MID(#REF!&amp;"=",FIND("=",#REF!&amp;"=",1)+1,LEN(#REF!&amp;"=")-FIND("=",#REF!&amp;"=")+1),"=","")),0)</definedName>
    <definedName name="KQ">IF(ISNUMBER(VALUE(SUBSTITUTE(MID(#REF!&amp;"=",FIND("=",#REF!&amp;"=",1)+1,LEN(#REF!&amp;"=")-FIND("=",#REF!&amp;"=")+1),"=",""))),VALUE(SUBSTITUTE(MID(#REF!&amp;"=",FIND("=",#REF!&amp;"=",1)+1,LEN(#REF!&amp;"=")-FIND("=",#REF!&amp;"=")+1),"=","")),0)</definedName>
    <definedName name="kqd_ng" localSheetId="0">#REF!</definedName>
    <definedName name="kqd_ng">#REF!</definedName>
    <definedName name="krs0" localSheetId="0">#REF!</definedName>
    <definedName name="krs0">#REF!</definedName>
    <definedName name="ks" localSheetId="0" hidden="1">{"'Sheet1'!$L$16"}</definedName>
    <definedName name="ks" hidden="1">{"'Sheet1'!$L$16"}</definedName>
    <definedName name="ksbn" localSheetId="0" hidden="1">{"'Sheet1'!$L$16"}</definedName>
    <definedName name="ksbn" hidden="1">{"'Sheet1'!$L$16"}</definedName>
    <definedName name="KSDA" localSheetId="0" hidden="1">{"'Sheet1'!$L$16"}</definedName>
    <definedName name="KSDA" hidden="1">{"'Sheet1'!$L$16"}</definedName>
    <definedName name="kshn" localSheetId="0" hidden="1">{"'Sheet1'!$L$16"}</definedName>
    <definedName name="kshn" hidden="1">{"'Sheet1'!$L$16"}</definedName>
    <definedName name="ksls" localSheetId="0" hidden="1">{"'Sheet1'!$L$16"}</definedName>
    <definedName name="ksls" hidden="1">{"'Sheet1'!$L$16"}</definedName>
    <definedName name="KSTK" localSheetId="0">#REF!</definedName>
    <definedName name="KSTK">#REF!</definedName>
    <definedName name="KVC" localSheetId="0">#REF!</definedName>
    <definedName name="KVC">#REF!</definedName>
    <definedName name="kh" localSheetId="0" hidden="1">#REF!</definedName>
    <definedName name="kh" hidden="1">#REF!</definedName>
    <definedName name="KH_Chang" localSheetId="0">#REF!</definedName>
    <definedName name="KH_Chang">#REF!</definedName>
    <definedName name="kh0" localSheetId="0">#REF!</definedName>
    <definedName name="kh0">#REF!</definedName>
    <definedName name="khai" localSheetId="0">#REF!</definedName>
    <definedName name="khai">#REF!</definedName>
    <definedName name="KHAI1" localSheetId="0">#REF!</definedName>
    <definedName name="KHAI1">#REF!</definedName>
    <definedName name="khanh" localSheetId="0" hidden="1">#REF!</definedName>
    <definedName name="khanh" hidden="1">#REF!</definedName>
    <definedName name="KHANH1" localSheetId="0">#REF!</definedName>
    <definedName name="KHANH1">#REF!</definedName>
    <definedName name="khl0" localSheetId="0">#REF!</definedName>
    <definedName name="khl0">#REF!</definedName>
    <definedName name="khoho">#REF!</definedName>
    <definedName name="khokin">#REF!</definedName>
    <definedName name="khongtruotgia" localSheetId="0" hidden="1">{"'Sheet1'!$L$16"}</definedName>
    <definedName name="khongtruotgia" hidden="1">{"'Sheet1'!$L$16"}</definedName>
    <definedName name="Khu_vuc">#REF!</definedName>
    <definedName name="Khung_culy">#REF!</definedName>
    <definedName name="L" localSheetId="0">#REF!</definedName>
    <definedName name="L">#REF!</definedName>
    <definedName name="L_bn" localSheetId="0">#REF!</definedName>
    <definedName name="L_bn">#REF!</definedName>
    <definedName name="L_bv" localSheetId="0">#REF!</definedName>
    <definedName name="L_bv">#REF!</definedName>
    <definedName name="L_bvpc" localSheetId="0">#REF!</definedName>
    <definedName name="L_bvpc">#REF!</definedName>
    <definedName name="L_c1" localSheetId="0">#REF!</definedName>
    <definedName name="L_c1">#REF!</definedName>
    <definedName name="L_c2" localSheetId="0">#REF!</definedName>
    <definedName name="L_c2">#REF!</definedName>
    <definedName name="L_c3" localSheetId="0">#REF!</definedName>
    <definedName name="L_c3">#REF!</definedName>
    <definedName name="L_c4" localSheetId="0">#REF!</definedName>
    <definedName name="L_c4">#REF!</definedName>
    <definedName name="L_c5" localSheetId="0">#REF!</definedName>
    <definedName name="L_c5">#REF!</definedName>
    <definedName name="L_dpc" localSheetId="0">#REF!</definedName>
    <definedName name="L_dpc">#REF!</definedName>
    <definedName name="L_mong" localSheetId="0">#REF!</definedName>
    <definedName name="L_mong">#REF!</definedName>
    <definedName name="lai" localSheetId="0">#REF!</definedName>
    <definedName name="lai">#REF!</definedName>
    <definedName name="langson" localSheetId="0" hidden="1">{"'Sheet1'!$L$16"}</definedName>
    <definedName name="langson" hidden="1">{"'Sheet1'!$L$16"}</definedName>
    <definedName name="lap1" localSheetId="0">#REF!</definedName>
    <definedName name="lap1">#REF!</definedName>
    <definedName name="lap2" localSheetId="0">#REF!</definedName>
    <definedName name="lap2">#REF!</definedName>
    <definedName name="lilyli" localSheetId="0">#REF!</definedName>
    <definedName name="lilyli">#REF!</definedName>
    <definedName name="Line1">#REF!</definedName>
    <definedName name="Line2">#REF!</definedName>
    <definedName name="Line3">#REF!</definedName>
    <definedName name="ljkl" localSheetId="0">#REF!</definedName>
    <definedName name="ljkl">#REF!</definedName>
    <definedName name="LK_hathe" localSheetId="0">#REF!</definedName>
    <definedName name="LK_hathe">#REF!</definedName>
    <definedName name="Lmk" localSheetId="0">#REF!</definedName>
    <definedName name="Lmk">#REF!</definedName>
    <definedName name="Loai_TD" localSheetId="0">#REF!</definedName>
    <definedName name="Loai_TD">#REF!</definedName>
    <definedName name="LOAI_TRU" localSheetId="0">#REF!</definedName>
    <definedName name="LOAI_TRU">#REF!</definedName>
    <definedName name="LoaiCT">#REF!</definedName>
    <definedName name="Loaïi_TB" localSheetId="0">#REF!</definedName>
    <definedName name="Loaïi_TB">#REF!</definedName>
    <definedName name="Ltuyen" localSheetId="0">#REF!</definedName>
    <definedName name="Ltuyen">#REF!</definedName>
    <definedName name="luill" localSheetId="0">#REF!</definedName>
    <definedName name="luill">#REF!</definedName>
    <definedName name="LuongHTXL" localSheetId="0" hidden="1">#REF!</definedName>
    <definedName name="LuongHTXL" hidden="1">#REF!</definedName>
    <definedName name="LuongPTthuy" localSheetId="0" hidden="1">#REF!</definedName>
    <definedName name="LuongPTthuy" hidden="1">#REF!</definedName>
    <definedName name="lVC" localSheetId="0">#REF!</definedName>
    <definedName name="lVC">#REF!</definedName>
    <definedName name="m" localSheetId="0" hidden="1">{"'Sheet1'!$L$16"}</definedName>
    <definedName name="m" hidden="1">{"'Sheet1'!$L$16"}</definedName>
    <definedName name="M12aavl" localSheetId="0">#REF!</definedName>
    <definedName name="M12aavl">#REF!</definedName>
    <definedName name="M12ba3p" localSheetId="0">#REF!</definedName>
    <definedName name="M12ba3p">#REF!</definedName>
    <definedName name="M12bb1p" localSheetId="0">#REF!</definedName>
    <definedName name="M12bb1p">#REF!</definedName>
    <definedName name="M14bb1p" localSheetId="0">#REF!</definedName>
    <definedName name="M14bb1p">#REF!</definedName>
    <definedName name="M8a" localSheetId="0">#REF!</definedName>
    <definedName name="M8a">#REF!</definedName>
    <definedName name="M8aa" localSheetId="0">#REF!</definedName>
    <definedName name="M8aa">#REF!</definedName>
    <definedName name="m8aanc" localSheetId="0">#REF!</definedName>
    <definedName name="m8aanc">#REF!</definedName>
    <definedName name="m8aavl" localSheetId="0">#REF!</definedName>
    <definedName name="m8aavl">#REF!</definedName>
    <definedName name="MA_DML" localSheetId="0">#REF!</definedName>
    <definedName name="MA_DML">#REF!</definedName>
    <definedName name="Ma3pnc" localSheetId="0">#REF!</definedName>
    <definedName name="Ma3pnc">#REF!</definedName>
    <definedName name="Ma3pvl" localSheetId="0">#REF!</definedName>
    <definedName name="Ma3pvl">#REF!</definedName>
    <definedName name="Maa3pnc" localSheetId="0">#REF!</definedName>
    <definedName name="Maa3pnc">#REF!</definedName>
    <definedName name="Maa3pvl" localSheetId="0">#REF!</definedName>
    <definedName name="Maa3pvl">#REF!</definedName>
    <definedName name="Macro2">#REF!</definedName>
    <definedName name="mahang" localSheetId="0">#REF!</definedName>
    <definedName name="mahang">#REF!</definedName>
    <definedName name="MAJ_CON_EQP" localSheetId="0">#REF!</definedName>
    <definedName name="MAJ_CON_EQP">#REF!</definedName>
    <definedName name="MAT" localSheetId="367">#REF!</definedName>
    <definedName name="MAT" localSheetId="360">#REF!</definedName>
    <definedName name="MAT">#REF!</definedName>
    <definedName name="MAVANKHUON" localSheetId="0">#REF!</definedName>
    <definedName name="MAVANKHUON">#REF!</definedName>
    <definedName name="MaViet">#REF!</definedName>
    <definedName name="MAVLTHDN" localSheetId="0">#REF!</definedName>
    <definedName name="MAVLTHDN">#REF!</definedName>
    <definedName name="MAVLV" localSheetId="0">#REF!</definedName>
    <definedName name="MAVLV">#REF!</definedName>
    <definedName name="MAVT" localSheetId="0">#REF!</definedName>
    <definedName name="MAVT">#REF!</definedName>
    <definedName name="Mba1p" localSheetId="0">#REF!</definedName>
    <definedName name="Mba1p">#REF!</definedName>
    <definedName name="Mba3p" localSheetId="0">#REF!</definedName>
    <definedName name="Mba3p">#REF!</definedName>
    <definedName name="Mbb3p" localSheetId="0">#REF!</definedName>
    <definedName name="Mbb3p">#REF!</definedName>
    <definedName name="mc">#REF!</definedName>
    <definedName name="MF" localSheetId="367">#REF!</definedName>
    <definedName name="MF" localSheetId="360">#REF!</definedName>
    <definedName name="MF">#REF!</definedName>
    <definedName name="MG_A" localSheetId="0">#REF!</definedName>
    <definedName name="MG_A">#REF!</definedName>
    <definedName name="mgiam">#REF!</definedName>
    <definedName name="MHDM">#REF!</definedName>
    <definedName name="minh_1" localSheetId="0">#REF!</definedName>
    <definedName name="minh_1">#REF!</definedName>
    <definedName name="minh_mtk" localSheetId="0">#REF!</definedName>
    <definedName name="minh_mtk">#REF!</definedName>
    <definedName name="mm">#REF!</definedName>
    <definedName name="MNBT" localSheetId="0">#REF!</definedName>
    <definedName name="MNBT">#REF!</definedName>
    <definedName name="MNC" localSheetId="0">#REF!</definedName>
    <definedName name="MNC">#REF!</definedName>
    <definedName name="MNTL" localSheetId="0">#REF!</definedName>
    <definedName name="MNTL">#REF!</definedName>
    <definedName name="MNHL" localSheetId="0">#REF!</definedName>
    <definedName name="MNHL">#REF!</definedName>
    <definedName name="moi" localSheetId="0" hidden="1">{"'Sheet1'!$L$16"}</definedName>
    <definedName name="moi" hidden="1">{"'Sheet1'!$L$16"}</definedName>
    <definedName name="mong1pm">#REF!</definedName>
    <definedName name="mong3pm">#REF!</definedName>
    <definedName name="mongct">#REF!</definedName>
    <definedName name="mongneo1pm">#REF!</definedName>
    <definedName name="mongneo3pm">#REF!</definedName>
    <definedName name="mongneoct">#REF!</definedName>
    <definedName name="Moùng" localSheetId="0">#REF!</definedName>
    <definedName name="Moùng">#REF!</definedName>
    <definedName name="MSCT" localSheetId="0">#REF!</definedName>
    <definedName name="MSCT">#REF!</definedName>
    <definedName name="MSVT_TAM" localSheetId="0">#REF!</definedName>
    <definedName name="MSVT_TAM">#REF!</definedName>
    <definedName name="MT_keoday">#REF!</definedName>
    <definedName name="MTC.I">#REF!</definedName>
    <definedName name="MTC.II">#REF!</definedName>
    <definedName name="MTC.III">#REF!</definedName>
    <definedName name="MTC.IV">#REF!</definedName>
    <definedName name="MTC.IX">#REF!</definedName>
    <definedName name="MTC.V">#REF!</definedName>
    <definedName name="MTC.VI">#REF!</definedName>
    <definedName name="MTC.VII">#REF!</definedName>
    <definedName name="MTC.VIII">#REF!</definedName>
    <definedName name="MTC.X">#REF!</definedName>
    <definedName name="mtc12m200">#REF!</definedName>
    <definedName name="mtc12m250">#REF!</definedName>
    <definedName name="mtcm100lv">#REF!</definedName>
    <definedName name="MTD1105mtc" localSheetId="0">#REF!</definedName>
    <definedName name="MTD1105mtc">#REF!</definedName>
    <definedName name="MTD1105nc" localSheetId="0">#REF!</definedName>
    <definedName name="MTD1105nc">#REF!</definedName>
    <definedName name="MTD1105ncvc" localSheetId="0">#REF!</definedName>
    <definedName name="MTD1105ncvc">#REF!</definedName>
    <definedName name="MTD1105vl" localSheetId="0">#REF!</definedName>
    <definedName name="MTD1105vl">#REF!</definedName>
    <definedName name="MTD1105vlp" localSheetId="0">#REF!</definedName>
    <definedName name="MTD1105vlp">#REF!</definedName>
    <definedName name="mtk" localSheetId="0">#REF!</definedName>
    <definedName name="mtk">#REF!</definedName>
    <definedName name="MTMAC12" localSheetId="0">#REF!</definedName>
    <definedName name="MTMAC12">#REF!</definedName>
    <definedName name="MTN110mtc" localSheetId="0">#REF!</definedName>
    <definedName name="MTN110mtc">#REF!</definedName>
    <definedName name="MTN110nc" localSheetId="0">#REF!</definedName>
    <definedName name="MTN110nc">#REF!</definedName>
    <definedName name="MTN110ncvc" localSheetId="0">#REF!</definedName>
    <definedName name="MTN110ncvc">#REF!</definedName>
    <definedName name="MTN110vl" localSheetId="0">#REF!</definedName>
    <definedName name="MTN110vl">#REF!</definedName>
    <definedName name="MTN110vlp" localSheetId="0">#REF!</definedName>
    <definedName name="MTN110vlp">#REF!</definedName>
    <definedName name="mtram" localSheetId="0">#REF!</definedName>
    <definedName name="mtram">#REF!</definedName>
    <definedName name="n">#REF!</definedName>
    <definedName name="n.s" localSheetId="0">#REF!</definedName>
    <definedName name="n.s">#REF!</definedName>
    <definedName name="N_cv" localSheetId="0">#REF!</definedName>
    <definedName name="N_cv">#REF!</definedName>
    <definedName name="N_cxa" localSheetId="0">#REF!</definedName>
    <definedName name="N_cxa">#REF!</definedName>
    <definedName name="N_dau" localSheetId="0">#REF!</definedName>
    <definedName name="N_dau">#REF!</definedName>
    <definedName name="N_hg" localSheetId="0">#REF!</definedName>
    <definedName name="N_hg">#REF!</definedName>
    <definedName name="N_mt" localSheetId="0">#REF!</definedName>
    <definedName name="N_mt">#REF!</definedName>
    <definedName name="n_ng1" localSheetId="0">#REF!</definedName>
    <definedName name="n_ng1">#REF!</definedName>
    <definedName name="n_ng2" localSheetId="0">#REF!</definedName>
    <definedName name="n_ng2">#REF!</definedName>
    <definedName name="n_ng3" localSheetId="0">#REF!</definedName>
    <definedName name="n_ng3">#REF!</definedName>
    <definedName name="n_tm" localSheetId="0">#REF!</definedName>
    <definedName name="n_tm">#REF!</definedName>
    <definedName name="n1pig" localSheetId="0">#REF!</definedName>
    <definedName name="n1pig">#REF!</definedName>
    <definedName name="N1pIGnc" localSheetId="0">#REF!</definedName>
    <definedName name="N1pIGnc">#REF!</definedName>
    <definedName name="N1pIGvc" localSheetId="0">#REF!</definedName>
    <definedName name="N1pIGvc">#REF!</definedName>
    <definedName name="N1pIGvl" localSheetId="0">#REF!</definedName>
    <definedName name="N1pIGvl">#REF!</definedName>
    <definedName name="n1pind" localSheetId="0">#REF!</definedName>
    <definedName name="n1pind">#REF!</definedName>
    <definedName name="N1pINDnc" localSheetId="0">#REF!</definedName>
    <definedName name="N1pINDnc">#REF!</definedName>
    <definedName name="N1pINDvc" localSheetId="0">#REF!</definedName>
    <definedName name="N1pINDvc">#REF!</definedName>
    <definedName name="N1pINDvl" localSheetId="0">#REF!</definedName>
    <definedName name="N1pINDvl">#REF!</definedName>
    <definedName name="n1pint" localSheetId="0">#REF!</definedName>
    <definedName name="n1pint">#REF!</definedName>
    <definedName name="n1ping" localSheetId="0">#REF!</definedName>
    <definedName name="n1ping">#REF!</definedName>
    <definedName name="N1pINGvc" localSheetId="0">#REF!</definedName>
    <definedName name="N1pINGvc">#REF!</definedName>
    <definedName name="nam" localSheetId="0" hidden="1">{"'Sheet1'!$L$16"}</definedName>
    <definedName name="nam" hidden="1">{"'Sheet1'!$L$16"}</definedName>
    <definedName name="Nbb" localSheetId="0">#REF!</definedName>
    <definedName name="Nbb">#REF!</definedName>
    <definedName name="nc">#REF!</definedName>
    <definedName name="NC.I">#REF!</definedName>
    <definedName name="NC.II">#REF!</definedName>
    <definedName name="NC.III">#REF!</definedName>
    <definedName name="NC.IV">#REF!</definedName>
    <definedName name="NC.IX">#REF!</definedName>
    <definedName name="NC.V">#REF!</definedName>
    <definedName name="NC.VI">#REF!</definedName>
    <definedName name="NC.VII">#REF!</definedName>
    <definedName name="NC.VIII">#REF!</definedName>
    <definedName name="NC.X">#REF!</definedName>
    <definedName name="nc12m200">#REF!</definedName>
    <definedName name="nc3p" localSheetId="0">#REF!</definedName>
    <definedName name="nc3p">#REF!</definedName>
    <definedName name="NCBD100" localSheetId="0">#REF!</definedName>
    <definedName name="NCBD100">#REF!</definedName>
    <definedName name="NCBD200" localSheetId="0">#REF!</definedName>
    <definedName name="NCBD200">#REF!</definedName>
    <definedName name="NCBD250" localSheetId="0">#REF!</definedName>
    <definedName name="NCBD250">#REF!</definedName>
    <definedName name="NCcap0.7" localSheetId="0">#REF!</definedName>
    <definedName name="NCcap0.7">#REF!</definedName>
    <definedName name="NCcap1" localSheetId="0">#REF!</definedName>
    <definedName name="NCcap1">#REF!</definedName>
    <definedName name="NCCT3p" localSheetId="0">#REF!</definedName>
    <definedName name="NCCT3p">#REF!</definedName>
    <definedName name="nctram" localSheetId="0">#REF!</definedName>
    <definedName name="nctram">#REF!</definedName>
    <definedName name="NCVC100" localSheetId="0">#REF!</definedName>
    <definedName name="NCVC100">#REF!</definedName>
    <definedName name="NCVC200" localSheetId="0">#REF!</definedName>
    <definedName name="NCVC200">#REF!</definedName>
    <definedName name="NCVC250" localSheetId="0">#REF!</definedName>
    <definedName name="NCVC250">#REF!</definedName>
    <definedName name="NCVC3P" localSheetId="0">#REF!</definedName>
    <definedName name="NCVC3P">#REF!</definedName>
    <definedName name="NCVCM100">#REF!</definedName>
    <definedName name="NCVCM200">#REF!</definedName>
    <definedName name="Ne" localSheetId="0" hidden="1">{"'Sheet1'!$L$16"}</definedName>
    <definedName name="Ne" hidden="1">{"'Sheet1'!$L$16"}</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ew">#REF!</definedName>
    <definedName name="nig" localSheetId="0">#REF!</definedName>
    <definedName name="nig">#REF!</definedName>
    <definedName name="nig1p" localSheetId="0">#REF!</definedName>
    <definedName name="nig1p">#REF!</definedName>
    <definedName name="nig3p" localSheetId="0">#REF!</definedName>
    <definedName name="nig3p">#REF!</definedName>
    <definedName name="NIGnc" localSheetId="0">#REF!</definedName>
    <definedName name="NIGnc">#REF!</definedName>
    <definedName name="nignc1p" localSheetId="0">#REF!</definedName>
    <definedName name="nignc1p">#REF!</definedName>
    <definedName name="NIGvc" localSheetId="0">#REF!</definedName>
    <definedName name="NIGvc">#REF!</definedName>
    <definedName name="NIGvl" localSheetId="0">#REF!</definedName>
    <definedName name="NIGvl">#REF!</definedName>
    <definedName name="nigvl1p" localSheetId="0">#REF!</definedName>
    <definedName name="nigvl1p">#REF!</definedName>
    <definedName name="nin" localSheetId="0">#REF!</definedName>
    <definedName name="nin">#REF!</definedName>
    <definedName name="nin1903p" localSheetId="0">#REF!</definedName>
    <definedName name="nin1903p">#REF!</definedName>
    <definedName name="nin3p" localSheetId="0">#REF!</definedName>
    <definedName name="nin3p">#REF!</definedName>
    <definedName name="nind" localSheetId="0">#REF!</definedName>
    <definedName name="nind">#REF!</definedName>
    <definedName name="nind1p" localSheetId="0">#REF!</definedName>
    <definedName name="nind1p">#REF!</definedName>
    <definedName name="nind3p" localSheetId="0">#REF!</definedName>
    <definedName name="nind3p">#REF!</definedName>
    <definedName name="NINDnc" localSheetId="0">#REF!</definedName>
    <definedName name="NINDnc">#REF!</definedName>
    <definedName name="nindnc1p" localSheetId="0">#REF!</definedName>
    <definedName name="nindnc1p">#REF!</definedName>
    <definedName name="NINDvc" localSheetId="0">#REF!</definedName>
    <definedName name="NINDvc">#REF!</definedName>
    <definedName name="NINDvl" localSheetId="0">#REF!</definedName>
    <definedName name="NINDvl">#REF!</definedName>
    <definedName name="nindvl1p" localSheetId="0">#REF!</definedName>
    <definedName name="nindvl1p">#REF!</definedName>
    <definedName name="NINnc" localSheetId="0">#REF!</definedName>
    <definedName name="NINnc">#REF!</definedName>
    <definedName name="nint1p" localSheetId="0">#REF!</definedName>
    <definedName name="nint1p">#REF!</definedName>
    <definedName name="nintnc1p" localSheetId="0">#REF!</definedName>
    <definedName name="nintnc1p">#REF!</definedName>
    <definedName name="nintvl1p" localSheetId="0">#REF!</definedName>
    <definedName name="nintvl1p">#REF!</definedName>
    <definedName name="NINvc" localSheetId="0">#REF!</definedName>
    <definedName name="NINvc">#REF!</definedName>
    <definedName name="NINvl" localSheetId="0">#REF!</definedName>
    <definedName name="NINvl">#REF!</definedName>
    <definedName name="ning1p" localSheetId="0">#REF!</definedName>
    <definedName name="ning1p">#REF!</definedName>
    <definedName name="ningnc1p" localSheetId="0">#REF!</definedName>
    <definedName name="ningnc1p">#REF!</definedName>
    <definedName name="ningvl1p" localSheetId="0">#REF!</definedName>
    <definedName name="ningvl1p">#REF!</definedName>
    <definedName name="NINHTHUẬN">#REF!</definedName>
    <definedName name="nl" localSheetId="0">#REF!</definedName>
    <definedName name="nl">#REF!</definedName>
    <definedName name="nl1p" localSheetId="0">#REF!</definedName>
    <definedName name="nl1p">#REF!</definedName>
    <definedName name="nl3p" localSheetId="0">#REF!</definedName>
    <definedName name="nl3p">#REF!</definedName>
    <definedName name="nlht" localSheetId="0">#REF!</definedName>
    <definedName name="nlht">#REF!</definedName>
    <definedName name="NLTK1p" localSheetId="0">#REF!</definedName>
    <definedName name="NLTK1p">#REF!</definedName>
    <definedName name="nn" localSheetId="0">#REF!</definedName>
    <definedName name="nn">#REF!</definedName>
    <definedName name="nn1p" localSheetId="0">#REF!</definedName>
    <definedName name="nn1p">#REF!</definedName>
    <definedName name="nn3p" localSheetId="0">#REF!</definedName>
    <definedName name="nn3p">#REF!</definedName>
    <definedName name="nnn" localSheetId="0" hidden="1">{"'Sheet1'!$L$16"}</definedName>
    <definedName name="nnn" hidden="1">{"'Sheet1'!$L$16"}</definedName>
    <definedName name="NOI_SX_COT">#REF!</definedName>
    <definedName name="NoiSuy_TKP">#REF!</definedName>
    <definedName name="NR_573">#REF!</definedName>
    <definedName name="NR_574">#REF!</definedName>
    <definedName name="NR_575">#REF!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UOCHKHOAN" localSheetId="0" hidden="1">{"'Sheet1'!$L$16"}</definedName>
    <definedName name="NUOCHKHOAN" hidden="1">{"'Sheet1'!$L$16"}</definedName>
    <definedName name="NUOCHKHOANMOI" localSheetId="0" hidden="1">{"'Sheet1'!$L$16"}</definedName>
    <definedName name="NUOCHKHOANMOI" hidden="1">{"'Sheet1'!$L$16"}</definedName>
    <definedName name="nx" localSheetId="0">#REF!</definedName>
    <definedName name="nx">#REF!</definedName>
    <definedName name="NG_NHAP" localSheetId="0">#REF!</definedName>
    <definedName name="NG_NHAP">#REF!</definedName>
    <definedName name="ngu" localSheetId="0" hidden="1">{"'Sheet1'!$L$16"}</definedName>
    <definedName name="ngu" hidden="1">{"'Sheet1'!$L$16"}</definedName>
    <definedName name="ngy">#REF!</definedName>
    <definedName name="NHAÂN_COÂNG" localSheetId="0">BTRAM</definedName>
    <definedName name="NHAÂN_COÂNG">BTRAM</definedName>
    <definedName name="NhanCong" localSheetId="0">#REF!</definedName>
    <definedName name="NhanCong">#REF!</definedName>
    <definedName name="nhjgh">#REF!</definedName>
    <definedName name="nhn" localSheetId="0">#REF!</definedName>
    <definedName name="nhn">#REF!</definedName>
    <definedName name="oo">#REF!</definedName>
    <definedName name="osc" localSheetId="0">#REF!</definedName>
    <definedName name="osc">#REF!</definedName>
    <definedName name="P" localSheetId="367">#REF!</definedName>
    <definedName name="P" localSheetId="360">#REF!</definedName>
    <definedName name="P">#REF!</definedName>
    <definedName name="P_ave" localSheetId="0">#REF!</definedName>
    <definedName name="P_ave">#REF!</definedName>
    <definedName name="P_tb" localSheetId="0">#REF!</definedName>
    <definedName name="P_tb">#REF!</definedName>
    <definedName name="P_tbn" localSheetId="0">#REF!</definedName>
    <definedName name="P_tbn">#REF!</definedName>
    <definedName name="PA" localSheetId="367">#REF!</definedName>
    <definedName name="PA" localSheetId="360">#REF!</definedName>
    <definedName name="PA">#REF!</definedName>
    <definedName name="Pdat" localSheetId="0">#REF!</definedName>
    <definedName name="Pdat">#REF!</definedName>
    <definedName name="Pdb" localSheetId="0">#REF!</definedName>
    <definedName name="Pdb">#REF!</definedName>
    <definedName name="PEJM" localSheetId="367">#REF!</definedName>
    <definedName name="PEJM" localSheetId="360">#REF!</definedName>
    <definedName name="PEJM">#REF!</definedName>
    <definedName name="PF" localSheetId="367">#REF!</definedName>
    <definedName name="PF" localSheetId="360">#REF!</definedName>
    <definedName name="PF">#REF!</definedName>
    <definedName name="PL" localSheetId="0" hidden="1">{"'Sheet1'!$L$16"}</definedName>
    <definedName name="PL" hidden="1">{"'Sheet1'!$L$16"}</definedName>
    <definedName name="PlucBcaoTD" localSheetId="0" hidden="1">{"'Sheet1'!$L$16"}</definedName>
    <definedName name="PlucBcaoTD" hidden="1">{"'Sheet1'!$L$16"}</definedName>
    <definedName name="PP">#REF!</definedName>
    <definedName name="pp_1XDM">#REF!</definedName>
    <definedName name="PP_1XDM_AQ">#REF!</definedName>
    <definedName name="PP_2XDM">#REF!</definedName>
    <definedName name="pp_3NC">#REF!</definedName>
    <definedName name="pp_3XDM">#REF!</definedName>
    <definedName name="PP_CAITAO">#REF!</definedName>
    <definedName name="PP_CT_GT">#REF!</definedName>
    <definedName name="pp_htdl">#REF!</definedName>
    <definedName name="pp1p">#REF!</definedName>
    <definedName name="pp3p" localSheetId="0">#REF!</definedName>
    <definedName name="pp3p">#REF!</definedName>
    <definedName name="ppct" localSheetId="0">#REF!</definedName>
    <definedName name="ppct">#REF!</definedName>
    <definedName name="PRICE" localSheetId="0">#REF!</definedName>
    <definedName name="PRICE">#REF!</definedName>
    <definedName name="PRICE1" localSheetId="0">#REF!</definedName>
    <definedName name="PRICE1">#REF!</definedName>
    <definedName name="_xlnm.Print_Area" localSheetId="357">'Chi phí khác'!$A$1:$H$22</definedName>
    <definedName name="_xlnm.Print_Area" localSheetId="361">ChitietCapngam04!$A$1:$N$73</definedName>
    <definedName name="_xlnm.Print_Area" localSheetId="367">ChitietTNHCngam04!$A$1:$J$8</definedName>
    <definedName name="_xlnm.Print_Area" localSheetId="0">#REF!</definedName>
    <definedName name="_xlnm.Print_Area" localSheetId="355">'THKP-CT'!$B$1:$H$23</definedName>
    <definedName name="_xlnm.Print_Area" localSheetId="358">'THKP-HT-Đ'!$A$1:$E$24</definedName>
    <definedName name="_xlnm.Print_Area" localSheetId="359">'THKP-HT-XD'!$A$1:$E$22</definedName>
    <definedName name="_xlnm.Print_Area" localSheetId="360">THOPCN04!$A$1:$L$15</definedName>
    <definedName name="_xlnm.Print_Area">#REF!</definedName>
    <definedName name="Print_Area_MI" localSheetId="367">#REF!</definedName>
    <definedName name="Print_Area_MI" localSheetId="360">#REF!</definedName>
    <definedName name="Print_Area_MI">#REF!</definedName>
    <definedName name="_xlnm.Print_Titles" localSheetId="361">ChitietCapngam04!$5:$8</definedName>
    <definedName name="_xlnm.Print_Titles" localSheetId="0">#REF!</definedName>
    <definedName name="_xlnm.Print_Titles" localSheetId="386">'PPT Rut gon'!$4:$7</definedName>
    <definedName name="_xlnm.Print_Titles">#REF!</definedName>
    <definedName name="Print_Titles_MI" localSheetId="361">#REF!</definedName>
    <definedName name="Print_Titles_MI" localSheetId="367">#REF!</definedName>
    <definedName name="Print_Titles_MI" localSheetId="0">#REF!</definedName>
    <definedName name="Print_Titles_MI" localSheetId="360">#REF!</definedName>
    <definedName name="Print_Titles_MI">#REF!</definedName>
    <definedName name="PRINTA" localSheetId="361">#REF!</definedName>
    <definedName name="PRINTA" localSheetId="367">#REF!</definedName>
    <definedName name="PRINTA" localSheetId="0">#REF!</definedName>
    <definedName name="PRINTA" localSheetId="360">#REF!</definedName>
    <definedName name="PRINTA">#REF!</definedName>
    <definedName name="PRINTB" localSheetId="0">#REF!</definedName>
    <definedName name="PRINTB">#REF!</definedName>
    <definedName name="PRINTC" localSheetId="0">#REF!</definedName>
    <definedName name="PRINTC">#REF!</definedName>
    <definedName name="prjName" localSheetId="367">#REF!</definedName>
    <definedName name="prjName" localSheetId="360">#REF!</definedName>
    <definedName name="prjName">#REF!</definedName>
    <definedName name="prjNo" localSheetId="367">#REF!</definedName>
    <definedName name="prjNo" localSheetId="360">#REF!</definedName>
    <definedName name="prjNo">#REF!</definedName>
    <definedName name="PROPOSAL" localSheetId="0">#REF!</definedName>
    <definedName name="PROPOSAL">#REF!</definedName>
    <definedName name="PT" localSheetId="0">#REF!</definedName>
    <definedName name="PT">#REF!</definedName>
    <definedName name="ptich3" hidden="1">{"'Sheet1'!$L$16"}</definedName>
    <definedName name="PtichDTL">#N/A</definedName>
    <definedName name="PTL">#REF!</definedName>
    <definedName name="PTNC" localSheetId="0">#REF!</definedName>
    <definedName name="PTNC">#REF!</definedName>
    <definedName name="PTVT" localSheetId="0">#REF!</definedName>
    <definedName name="PTVT">#REF!</definedName>
    <definedName name="PTVT_B" localSheetId="0">#REF!</definedName>
    <definedName name="PTVT_B">#REF!</definedName>
    <definedName name="ptvtgiam" localSheetId="0" hidden="1">{"'Sheet1'!$L$16"}</definedName>
    <definedName name="ptvtgiam" hidden="1">{"'Sheet1'!$L$16"}</definedName>
    <definedName name="PTH">#REF!</definedName>
    <definedName name="phainop">#REF!</definedName>
    <definedName name="phanchia" localSheetId="0" hidden="1">{#N/A,#N/A,FALSE,"Chi tiÆt"}</definedName>
    <definedName name="phanchia" hidden="1">{#N/A,#N/A,FALSE,"Chi tiÆt"}</definedName>
    <definedName name="Phanpha">#REF!</definedName>
    <definedName name="phantich3" hidden="1">{"'Sheet1'!$L$16"}</definedName>
    <definedName name="phongve12KmTN" localSheetId="0" hidden="1">{"'Sheet1'!$L$16"}</definedName>
    <definedName name="phongve12KmTN" hidden="1">{"'Sheet1'!$L$16"}</definedName>
    <definedName name="phongve12KmTN1" localSheetId="0" hidden="1">{"'Sheet1'!$L$16"}</definedName>
    <definedName name="phongve12KmTN1" hidden="1">{"'Sheet1'!$L$16"}</definedName>
    <definedName name="q" localSheetId="0" hidden="1">#REF!</definedName>
    <definedName name="q" hidden="1">#REF!</definedName>
    <definedName name="q_ds" localSheetId="0">#REF!</definedName>
    <definedName name="q_ds">#REF!</definedName>
    <definedName name="QD_66">#REF!</definedName>
    <definedName name="QD_89">#REF!</definedName>
    <definedName name="qdb" localSheetId="0">#REF!</definedName>
    <definedName name="qdb">#REF!</definedName>
    <definedName name="qG" localSheetId="0">#REF!</definedName>
    <definedName name="qG">#REF!</definedName>
    <definedName name="QQ" localSheetId="0" hidden="1">{"'Sheet1'!$L$16"}</definedName>
    <definedName name="QQ" hidden="1">{"'Sheet1'!$L$16"}</definedName>
    <definedName name="qtẻt" localSheetId="0" hidden="1">#REF!</definedName>
    <definedName name="qtẻt" hidden="1">#REF!</definedName>
    <definedName name="quan" localSheetId="0" hidden="1">{"'Sheet1'!$L$16"}</definedName>
    <definedName name="quan" hidden="1">{"'Sheet1'!$L$16"}</definedName>
    <definedName name="ra11p" localSheetId="0">#REF!</definedName>
    <definedName name="ra11p">#REF!</definedName>
    <definedName name="ra13p" localSheetId="0">#REF!</definedName>
    <definedName name="ra13p">#REF!</definedName>
    <definedName name="rack1" localSheetId="0">#REF!</definedName>
    <definedName name="rack1">#REF!</definedName>
    <definedName name="rack2" localSheetId="0">#REF!</definedName>
    <definedName name="rack2">#REF!</definedName>
    <definedName name="rack3" localSheetId="0">#REF!</definedName>
    <definedName name="rack3">#REF!</definedName>
    <definedName name="rack4" localSheetId="0">#REF!</definedName>
    <definedName name="rack4">#REF!</definedName>
    <definedName name="rate">14000</definedName>
    <definedName name="Rctpt">#REF!</definedName>
    <definedName name="re">#REF!</definedName>
    <definedName name="_xlnm.Recorder" localSheetId="0">#REF!</definedName>
    <definedName name="_xlnm.Recorder">#REF!</definedName>
    <definedName name="RECOUT">#N/A</definedName>
    <definedName name="REF" localSheetId="0">#REF!</definedName>
    <definedName name="REF">#REF!</definedName>
    <definedName name="Result21" localSheetId="0" hidden="1">{"'Sheet1'!$L$16"}</definedName>
    <definedName name="Result21" hidden="1">{"'Sheet1'!$L$16"}</definedName>
    <definedName name="RFNZ3">#REF!</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Ld">#REF!</definedName>
    <definedName name="ro0">#REF!</definedName>
    <definedName name="rr">#REF!</definedName>
    <definedName name="RT" localSheetId="367">#REF!</definedName>
    <definedName name="RT" localSheetId="360">#REF!</definedName>
    <definedName name="RT">#REF!</definedName>
    <definedName name="rtt" localSheetId="0">#REF!</definedName>
    <definedName name="rtt">#REF!</definedName>
    <definedName name="ruu" localSheetId="0">#REF!</definedName>
    <definedName name="ruu">#REF!</definedName>
    <definedName name="ry" localSheetId="0">#REF!</definedName>
    <definedName name="ry">#REF!</definedName>
    <definedName name="s" hidden="1">{"'Sheet1'!$L$16"}</definedName>
    <definedName name="S_btn" localSheetId="0">#REF!</definedName>
    <definedName name="S_btn">#REF!</definedName>
    <definedName name="S_md" localSheetId="0">#REF!</definedName>
    <definedName name="S_md">#REF!</definedName>
    <definedName name="S_vh" localSheetId="0">#REF!</definedName>
    <definedName name="S_vh">#REF!</definedName>
    <definedName name="sat_nk">#REF!</definedName>
    <definedName name="sc" localSheetId="0">#REF!</definedName>
    <definedName name="sc">#REF!</definedName>
    <definedName name="SCH" localSheetId="0">#REF!</definedName>
    <definedName name="SCH">#REF!</definedName>
    <definedName name="SCHUYEN">#REF!</definedName>
    <definedName name="SD">[0]!SD</definedName>
    <definedName name="sd1p" localSheetId="0">#REF!</definedName>
    <definedName name="sd1p">#REF!</definedName>
    <definedName name="sd3p" localSheetId="0">#REF!</definedName>
    <definedName name="sd3p">#REF!</definedName>
    <definedName name="Sdat" localSheetId="0">#REF!</definedName>
    <definedName name="Sdat">#REF!</definedName>
    <definedName name="SDMONG" localSheetId="0">#REF!</definedName>
    <definedName name="SDMONG">#REF!</definedName>
    <definedName name="Sđ" localSheetId="0">#REF!</definedName>
    <definedName name="Sđ">#REF!</definedName>
    <definedName name="sencount" hidden="1">1</definedName>
    <definedName name="sfsd" localSheetId="0" hidden="1">{"'Sheet1'!$L$16"}</definedName>
    <definedName name="sfsd" hidden="1">{"'Sheet1'!$L$16"}</definedName>
    <definedName name="sht" localSheetId="0">#REF!</definedName>
    <definedName name="sht">#REF!</definedName>
    <definedName name="sht1p" localSheetId="0">#REF!</definedName>
    <definedName name="sht1p">#REF!</definedName>
    <definedName name="sht3p" localSheetId="0">#REF!</definedName>
    <definedName name="sht3p">#REF!</definedName>
    <definedName name="SIZE" localSheetId="0">#REF!</definedName>
    <definedName name="SIZE">#REF!</definedName>
    <definedName name="SL" localSheetId="367">#REF!</definedName>
    <definedName name="SL" localSheetId="360">#REF!</definedName>
    <definedName name="SL">#REF!</definedName>
    <definedName name="sl_1pha">#REF!</definedName>
    <definedName name="SL_3pha">#REF!</definedName>
    <definedName name="SL_CRD" localSheetId="0">#REF!</definedName>
    <definedName name="SL_CRD">#REF!</definedName>
    <definedName name="SL_CRS" localSheetId="0">#REF!</definedName>
    <definedName name="SL_CRS">#REF!</definedName>
    <definedName name="SL_CS" localSheetId="0">#REF!</definedName>
    <definedName name="SL_CS">#REF!</definedName>
    <definedName name="SL_DD" localSheetId="0">#REF!</definedName>
    <definedName name="SL_DD">#REF!</definedName>
    <definedName name="SL_dz1pha" localSheetId="0">#REF!</definedName>
    <definedName name="SL_dz1pha">#REF!</definedName>
    <definedName name="SL_dz3pha" localSheetId="0">#REF!</definedName>
    <definedName name="SL_dz3pha">#REF!</definedName>
    <definedName name="SL_dzcaitao" localSheetId="0">#REF!</definedName>
    <definedName name="SL_dzcaitao">#REF!</definedName>
    <definedName name="sl_dzdl" localSheetId="0">#REF!</definedName>
    <definedName name="sl_dzdl">#REF!</definedName>
    <definedName name="sl_dzhthh" localSheetId="0">#REF!</definedName>
    <definedName name="sl_dzhthh">#REF!</definedName>
    <definedName name="SL_mach">#REF!</definedName>
    <definedName name="sl_pk1pha">#REF!</definedName>
    <definedName name="SL_pk3pha">#REF!</definedName>
    <definedName name="slBTLT1pm">#REF!</definedName>
    <definedName name="slBTLT3pm">#REF!</definedName>
    <definedName name="slBTLTct">#REF!</definedName>
    <definedName name="slchang1pm">#REF!</definedName>
    <definedName name="slchang3pm">#REF!</definedName>
    <definedName name="slchangct">#REF!</definedName>
    <definedName name="slmong1pm">#REF!</definedName>
    <definedName name="slmong3pm">#REF!</definedName>
    <definedName name="slmongct">#REF!</definedName>
    <definedName name="slmongneo1pm">#REF!</definedName>
    <definedName name="slmongneo3pm">#REF!</definedName>
    <definedName name="slmongneoct">#REF!</definedName>
    <definedName name="sltdll1pm">#REF!</definedName>
    <definedName name="sltdll3pm">#REF!</definedName>
    <definedName name="sltdllct">#REF!</definedName>
    <definedName name="slxa1pm">#REF!</definedName>
    <definedName name="slxa3pm">#REF!</definedName>
    <definedName name="slxact">#REF!</definedName>
    <definedName name="SOÁ_CHUYEÁN">#REF!</definedName>
    <definedName name="soc3p" localSheetId="0">#REF!</definedName>
    <definedName name="soc3p">#REF!</definedName>
    <definedName name="solieu" localSheetId="0">#REF!</definedName>
    <definedName name="solieu">#REF!</definedName>
    <definedName name="SORT" localSheetId="361">#REF!</definedName>
    <definedName name="SORT" localSheetId="367">#REF!</definedName>
    <definedName name="SORT" localSheetId="0">#REF!</definedName>
    <definedName name="SORT" localSheetId="360">#REF!</definedName>
    <definedName name="SORT">#REF!</definedName>
    <definedName name="SP" localSheetId="367">#REF!</definedName>
    <definedName name="SP" localSheetId="360">#REF!</definedName>
    <definedName name="SP">#REF!</definedName>
    <definedName name="Spc" localSheetId="0">#REF!</definedName>
    <definedName name="Spc">#REF!</definedName>
    <definedName name="SPEC" localSheetId="0">#REF!</definedName>
    <definedName name="SPEC">#REF!</definedName>
    <definedName name="SPECSUMMARY" localSheetId="0">#REF!</definedName>
    <definedName name="SPECSUMMARY">#REF!</definedName>
    <definedName name="spk1p">#REF!</definedName>
    <definedName name="Sprack" localSheetId="367">#REF!</definedName>
    <definedName name="Sprack" localSheetId="360">#REF!</definedName>
    <definedName name="Sprack">#REF!</definedName>
    <definedName name="SS" localSheetId="0" hidden="1">{"'Sheet1'!$L$16"}</definedName>
    <definedName name="SS" hidden="1">{"'Sheet1'!$L$16"}</definedName>
    <definedName name="st1p" localSheetId="0">#REF!</definedName>
    <definedName name="st1p">#REF!</definedName>
    <definedName name="st3p" localSheetId="0">#REF!</definedName>
    <definedName name="st3p">#REF!</definedName>
    <definedName name="Start_1" localSheetId="0">#REF!</definedName>
    <definedName name="Start_1">#REF!</definedName>
    <definedName name="Start_10" localSheetId="0">#REF!</definedName>
    <definedName name="Start_10">#REF!</definedName>
    <definedName name="Start_11" localSheetId="0">#REF!</definedName>
    <definedName name="Start_11">#REF!</definedName>
    <definedName name="Start_12" localSheetId="0">#REF!</definedName>
    <definedName name="Start_12">#REF!</definedName>
    <definedName name="Start_13" localSheetId="0">#REF!</definedName>
    <definedName name="Start_13">#REF!</definedName>
    <definedName name="Start_2" localSheetId="0">#REF!</definedName>
    <definedName name="Start_2">#REF!</definedName>
    <definedName name="Start_3" localSheetId="0">#REF!</definedName>
    <definedName name="Start_3">#REF!</definedName>
    <definedName name="Start_4" localSheetId="0">#REF!</definedName>
    <definedName name="Start_4">#REF!</definedName>
    <definedName name="Start_5" localSheetId="0">#REF!</definedName>
    <definedName name="Start_5">#REF!</definedName>
    <definedName name="Start_6" localSheetId="0">#REF!</definedName>
    <definedName name="Start_6">#REF!</definedName>
    <definedName name="Start_7" localSheetId="0">#REF!</definedName>
    <definedName name="Start_7">#REF!</definedName>
    <definedName name="Start_8" localSheetId="0">#REF!</definedName>
    <definedName name="Start_8">#REF!</definedName>
    <definedName name="Start_9" localSheetId="0">#REF!</definedName>
    <definedName name="Start_9">#REF!</definedName>
    <definedName name="Start1" localSheetId="0">#REF!</definedName>
    <definedName name="Start1">#REF!</definedName>
    <definedName name="Start30" localSheetId="0">#REF!</definedName>
    <definedName name="Start30">#REF!</definedName>
    <definedName name="Start31" localSheetId="0">#REF!</definedName>
    <definedName name="Start31">#REF!</definedName>
    <definedName name="Start32" localSheetId="0">#REF!</definedName>
    <definedName name="Start32">#REF!</definedName>
    <definedName name="Start33" localSheetId="0">#REF!</definedName>
    <definedName name="Start33">#REF!</definedName>
    <definedName name="Start34" localSheetId="0">#REF!</definedName>
    <definedName name="Start34">#REF!</definedName>
    <definedName name="Start35" localSheetId="0">#REF!</definedName>
    <definedName name="Start35">#REF!</definedName>
    <definedName name="Start36" localSheetId="0">#REF!</definedName>
    <definedName name="Start36">#REF!</definedName>
    <definedName name="Start37" localSheetId="0">#REF!</definedName>
    <definedName name="Start37">#REF!</definedName>
    <definedName name="Start38" localSheetId="0">#REF!</definedName>
    <definedName name="Start38">#REF!</definedName>
    <definedName name="Start40" localSheetId="0">#REF!</definedName>
    <definedName name="Start40">#REF!</definedName>
    <definedName name="Start41" localSheetId="0">#REF!</definedName>
    <definedName name="Start41">#REF!</definedName>
    <definedName name="Start42" localSheetId="0">#REF!</definedName>
    <definedName name="Start42">#REF!</definedName>
    <definedName name="Start43" localSheetId="0">#REF!</definedName>
    <definedName name="Start43">#REF!</definedName>
    <definedName name="Start44" localSheetId="0">#REF!</definedName>
    <definedName name="Start44">#REF!</definedName>
    <definedName name="StartNhom">#REF!</definedName>
    <definedName name="StartVL">#REF!</definedName>
    <definedName name="SUM" localSheetId="367">#REF!,#REF!</definedName>
    <definedName name="SUM" localSheetId="360">#REF!,#REF!</definedName>
    <definedName name="SUM">#REF!,#REF!</definedName>
    <definedName name="SUMMARY" localSheetId="0">#REF!</definedName>
    <definedName name="SUMMARY">#REF!</definedName>
    <definedName name="SumMTC">#REF!</definedName>
    <definedName name="SumMTC2">#REF!</definedName>
    <definedName name="SumMtcKL">#REF!</definedName>
    <definedName name="SumNC">#REF!</definedName>
    <definedName name="SumNC2">#REF!</definedName>
    <definedName name="SumNCKL">#REF!</definedName>
    <definedName name="SumVL">#REF!</definedName>
    <definedName name="SumVLKL">#REF!</definedName>
    <definedName name="T" localSheetId="361">#REF!</definedName>
    <definedName name="T" localSheetId="367">#REF!</definedName>
    <definedName name="t" localSheetId="0">#REF!</definedName>
    <definedName name="T" localSheetId="360">#REF!</definedName>
    <definedName name="t">#REF!</definedName>
    <definedName name="T.3" localSheetId="0" hidden="1">{"'Sheet1'!$L$16"}</definedName>
    <definedName name="T.3" hidden="1">{"'Sheet1'!$L$16"}</definedName>
    <definedName name="T_chuyen">#REF!</definedName>
    <definedName name="T_HOP" localSheetId="0">#REF!</definedName>
    <definedName name="T_HOP">#REF!</definedName>
    <definedName name="T02_DANH_MUC_CONG_VIEC" localSheetId="0">#REF!</definedName>
    <definedName name="T02_DANH_MUC_CONG_VIEC">#REF!</definedName>
    <definedName name="T03_BANG_GIA_VAT_LIEU" localSheetId="0">#REF!</definedName>
    <definedName name="T03_BANG_GIA_VAT_LIEU">#REF!</definedName>
    <definedName name="T09_DINH_MUC_DU_TOAN" localSheetId="0">#REF!</definedName>
    <definedName name="T09_DINH_MUC_DU_TOAN">#REF!</definedName>
    <definedName name="t101p" localSheetId="0">#REF!</definedName>
    <definedName name="t101p">#REF!</definedName>
    <definedName name="t103p" localSheetId="0">#REF!</definedName>
    <definedName name="t103p">#REF!</definedName>
    <definedName name="t10m" localSheetId="0">#REF!</definedName>
    <definedName name="t10m">#REF!</definedName>
    <definedName name="t10nc1p" localSheetId="0">#REF!</definedName>
    <definedName name="t10nc1p">#REF!</definedName>
    <definedName name="t10vl1p" localSheetId="0">#REF!</definedName>
    <definedName name="t10vl1p">#REF!</definedName>
    <definedName name="t121p" localSheetId="0">#REF!</definedName>
    <definedName name="t121p">#REF!</definedName>
    <definedName name="t123p" localSheetId="0">#REF!</definedName>
    <definedName name="t123p">#REF!</definedName>
    <definedName name="T12nc" localSheetId="0">#REF!</definedName>
    <definedName name="T12nc">#REF!</definedName>
    <definedName name="t12nc3p" localSheetId="0">#REF!</definedName>
    <definedName name="t12nc3p">#REF!</definedName>
    <definedName name="T12vc" localSheetId="0">#REF!</definedName>
    <definedName name="T12vc">#REF!</definedName>
    <definedName name="T12vl" localSheetId="0">#REF!</definedName>
    <definedName name="T12vl">#REF!</definedName>
    <definedName name="t141p" localSheetId="0">#REF!</definedName>
    <definedName name="t141p">#REF!</definedName>
    <definedName name="t143p" localSheetId="0">#REF!</definedName>
    <definedName name="t143p">#REF!</definedName>
    <definedName name="t7m" localSheetId="0">#REF!</definedName>
    <definedName name="t7m">#REF!</definedName>
    <definedName name="t8m" localSheetId="0">#REF!</definedName>
    <definedName name="t8m">#REF!</definedName>
    <definedName name="tam" localSheetId="0" hidden="1">{"'Sheet1'!$L$16"}</definedName>
    <definedName name="tam" hidden="1">{"'Sheet1'!$L$16"}</definedName>
    <definedName name="TamdanTB" localSheetId="0" hidden="1">{"'Sheet1'!$L$16"}</definedName>
    <definedName name="TamdanTB" hidden="1">{"'Sheet1'!$L$16"}</definedName>
    <definedName name="TAMTINH" localSheetId="0">#REF!</definedName>
    <definedName name="TAMTINH">#REF!</definedName>
    <definedName name="TANK" localSheetId="367">#REF!</definedName>
    <definedName name="TANK" localSheetId="360">#REF!</definedName>
    <definedName name="TANK">#REF!</definedName>
    <definedName name="TaxTV">10%</definedName>
    <definedName name="TaxXL">5%</definedName>
    <definedName name="tb">#REF!</definedName>
    <definedName name="TBA" localSheetId="0">#REF!</definedName>
    <definedName name="TBA">#REF!</definedName>
    <definedName name="TBDD" localSheetId="0">#REF!</definedName>
    <definedName name="tbtram" localSheetId="0">#REF!</definedName>
    <definedName name="tbtram">#REF!</definedName>
    <definedName name="TBXD" localSheetId="0">#REF!</definedName>
    <definedName name="TBXD">#REF!</definedName>
    <definedName name="TC" localSheetId="0">#REF!</definedName>
    <definedName name="TC">#REF!</definedName>
    <definedName name="TC_NHANH1" localSheetId="0">#REF!</definedName>
    <definedName name="TC_NHANH1">#REF!</definedName>
    <definedName name="TCTRU">#REF!</definedName>
    <definedName name="td" localSheetId="0">#REF!</definedName>
    <definedName name="td">#REF!</definedName>
    <definedName name="TD1105mtc" localSheetId="0">#REF!</definedName>
    <definedName name="TD1105mtc">#REF!</definedName>
    <definedName name="TD1105nc" localSheetId="0">#REF!</definedName>
    <definedName name="TD1105nc">#REF!</definedName>
    <definedName name="TD1105ncvc" localSheetId="0">#REF!</definedName>
    <definedName name="TD1105ncvc">#REF!</definedName>
    <definedName name="TD1105vl" localSheetId="0">#REF!</definedName>
    <definedName name="TD1105vl">#REF!</definedName>
    <definedName name="TD1105vlp" localSheetId="0">#REF!</definedName>
    <definedName name="TD1105vlp">#REF!</definedName>
    <definedName name="TD12vl" localSheetId="0">#REF!</definedName>
    <definedName name="TD12vl">#REF!</definedName>
    <definedName name="TD1p1nc" localSheetId="0">#REF!</definedName>
    <definedName name="TD1p1nc">#REF!</definedName>
    <definedName name="td1p1vc" localSheetId="0">#REF!</definedName>
    <definedName name="td1p1vc">#REF!</definedName>
    <definedName name="TD1p1vl" localSheetId="0">#REF!</definedName>
    <definedName name="TD1p1vl">#REF!</definedName>
    <definedName name="td3p" localSheetId="0">#REF!</definedName>
    <definedName name="td3p">#REF!</definedName>
    <definedName name="Tdat" localSheetId="0">#REF!</definedName>
    <definedName name="Tdat">#REF!</definedName>
    <definedName name="TDctnc" localSheetId="0">#REF!</definedName>
    <definedName name="TDctnc">#REF!</definedName>
    <definedName name="TDctvc" localSheetId="0">#REF!</definedName>
    <definedName name="TDctvc">#REF!</definedName>
    <definedName name="TDctvl" localSheetId="0">#REF!</definedName>
    <definedName name="TDctvl">#REF!</definedName>
    <definedName name="tdll1pm">#REF!</definedName>
    <definedName name="tdll3pm">#REF!</definedName>
    <definedName name="tdllct">#REF!</definedName>
    <definedName name="tdnc1p" localSheetId="0">#REF!</definedName>
    <definedName name="tdnc1p">#REF!</definedName>
    <definedName name="tdtr2cnc" localSheetId="0">#REF!</definedName>
    <definedName name="tdtr2cnc">#REF!</definedName>
    <definedName name="tdtr2cvl" localSheetId="0">#REF!</definedName>
    <definedName name="tdtr2cvl">#REF!</definedName>
    <definedName name="tdvl1p" localSheetId="0">#REF!</definedName>
    <definedName name="tdvl1p">#REF!</definedName>
    <definedName name="TEÂN_CT">#REF!</definedName>
    <definedName name="TEN" localSheetId="0">#REF!</definedName>
    <definedName name="TEN">#REF!</definedName>
    <definedName name="TEN_CT">#REF!</definedName>
    <definedName name="tencs">#REF!</definedName>
    <definedName name="TENCT" localSheetId="0">#REF!</definedName>
    <definedName name="TENCT">#REF!</definedName>
    <definedName name="TENTIM" localSheetId="0">#REF!</definedName>
    <definedName name="TENTIM">#REF!</definedName>
    <definedName name="test" localSheetId="367">#REF!</definedName>
    <definedName name="test" localSheetId="360">#REF!</definedName>
    <definedName name="test">#REF!</definedName>
    <definedName name="tẻwtwer" localSheetId="0">#REF!</definedName>
    <definedName name="tẻwtwer">#REF!</definedName>
    <definedName name="tg" localSheetId="0">#REF!</definedName>
    <definedName name="tg">#REF!</definedName>
    <definedName name="Tgtgt_xd">#REF!</definedName>
    <definedName name="TIENLUONG">#REF!</definedName>
    <definedName name="TIENVC">#REF!</definedName>
    <definedName name="TITAN" localSheetId="0">#REF!</definedName>
    <definedName name="TITAN">#REF!</definedName>
    <definedName name="tjhtrh" localSheetId="0">#REF!</definedName>
    <definedName name="tjhtrh">#REF!</definedName>
    <definedName name="TK_1pha" localSheetId="0">#REF!</definedName>
    <definedName name="TK_1pha">#REF!</definedName>
    <definedName name="TK_3pha" localSheetId="0">#REF!</definedName>
    <definedName name="TK_3pha">#REF!</definedName>
    <definedName name="TK_caitao" localSheetId="0">#REF!</definedName>
    <definedName name="TK_caitao">#REF!</definedName>
    <definedName name="TK_hathe" localSheetId="0">#REF!</definedName>
    <definedName name="TK_hathe">#REF!</definedName>
    <definedName name="tkhltkyhopty" localSheetId="0" hidden="1">#REF!</definedName>
    <definedName name="tkhltkyhopty" hidden="1">#REF!</definedName>
    <definedName name="TLAC120" localSheetId="0">#REF!</definedName>
    <definedName name="TLAC120">#REF!</definedName>
    <definedName name="TLAC35" localSheetId="0">#REF!</definedName>
    <definedName name="TLAC35">#REF!</definedName>
    <definedName name="TLAC50" localSheetId="0">#REF!</definedName>
    <definedName name="TLAC50">#REF!</definedName>
    <definedName name="TLAC70" localSheetId="0">#REF!</definedName>
    <definedName name="TLAC70">#REF!</definedName>
    <definedName name="TLAC95" localSheetId="0">#REF!</definedName>
    <definedName name="TLAC95">#REF!</definedName>
    <definedName name="TLDPK">#REF!</definedName>
    <definedName name="TLMONG" localSheetId="0">#REF!</definedName>
    <definedName name="TLMONG">#REF!</definedName>
    <definedName name="tlntt">#REF!</definedName>
    <definedName name="TM">[0]!BTRAM</definedName>
    <definedName name="tn" localSheetId="0">#REF!</definedName>
    <definedName name="tn">#REF!</definedName>
    <definedName name="TN110mtc" localSheetId="0">#REF!</definedName>
    <definedName name="TN110mtc">#REF!</definedName>
    <definedName name="TN110nc" localSheetId="0">#REF!</definedName>
    <definedName name="TN110nc">#REF!</definedName>
    <definedName name="TN110ncvc" localSheetId="0">#REF!</definedName>
    <definedName name="TN110ncvc">#REF!</definedName>
    <definedName name="TN110vl" localSheetId="0">#REF!</definedName>
    <definedName name="TN110vl">#REF!</definedName>
    <definedName name="TN110vlp" localSheetId="0">#REF!</definedName>
    <definedName name="TN110vlp">#REF!</definedName>
    <definedName name="TNChiuThue">#REF!</definedName>
    <definedName name="TNL110Amtc" localSheetId="0">#REF!</definedName>
    <definedName name="TNL110Amtc">#REF!</definedName>
    <definedName name="TNL110Anc" localSheetId="0">#REF!</definedName>
    <definedName name="TNL110Anc">#REF!</definedName>
    <definedName name="TNL110Avl" localSheetId="0">#REF!</definedName>
    <definedName name="TNL110Avl">#REF!</definedName>
    <definedName name="TNL110Avlp" localSheetId="0">#REF!</definedName>
    <definedName name="TNL110Avlp">#REF!</definedName>
    <definedName name="TONGDUTOAN" localSheetId="0">#REF!</definedName>
    <definedName name="TONGDUTOAN">#REF!</definedName>
    <definedName name="TOTAL" localSheetId="367">#REF!</definedName>
    <definedName name="TOTAL" localSheetId="360">#REF!</definedName>
    <definedName name="TOTAL">#REF!</definedName>
    <definedName name="totbtoi" localSheetId="0">#REF!</definedName>
    <definedName name="totbtoi">#REF!</definedName>
    <definedName name="tp" localSheetId="0">#REF!</definedName>
    <definedName name="tp">#REF!</definedName>
    <definedName name="TPLRP" localSheetId="0">#REF!</definedName>
    <definedName name="TPLRP">#REF!</definedName>
    <definedName name="tstndn">#REF!</definedName>
    <definedName name="TT" localSheetId="0">#REF!</definedName>
    <definedName name="TT">#REF!</definedName>
    <definedName name="TT_1P" localSheetId="0">#REF!</definedName>
    <definedName name="TT_1P">#REF!</definedName>
    <definedName name="TT_3p" localSheetId="0">#REF!</definedName>
    <definedName name="TT_3p">#REF!</definedName>
    <definedName name="ttbt" localSheetId="0">#REF!</definedName>
    <definedName name="ttbt">#REF!</definedName>
    <definedName name="tto" localSheetId="0">#REF!</definedName>
    <definedName name="tto">#REF!</definedName>
    <definedName name="ttoxtp" localSheetId="0">#REF!</definedName>
    <definedName name="ttoxtp">#REF!</definedName>
    <definedName name="ttronmk" localSheetId="0">#REF!</definedName>
    <definedName name="ttronmk">#REF!</definedName>
    <definedName name="tu" localSheetId="0">#REF!,#REF!</definedName>
    <definedName name="tu">#REF!,#REF!</definedName>
    <definedName name="tudc">#REF!</definedName>
    <definedName name="tuyennhanh" localSheetId="0" hidden="1">{"'Sheet1'!$L$16"}</definedName>
    <definedName name="tuyennhanh" hidden="1">{"'Sheet1'!$L$16"}</definedName>
    <definedName name="tv75nc" localSheetId="0">#REF!</definedName>
    <definedName name="tv75nc">#REF!</definedName>
    <definedName name="tv75vl" localSheetId="0">#REF!</definedName>
    <definedName name="tv75vl">#REF!</definedName>
    <definedName name="TXL">[0]!TXL</definedName>
    <definedName name="ty">1000000000</definedName>
    <definedName name="th" localSheetId="0" hidden="1">{"'Sheet1'!$L$16"}</definedName>
    <definedName name="th" hidden="1">{"'Sheet1'!$L$16"}</definedName>
    <definedName name="tha" localSheetId="0" hidden="1">{"'Sheet1'!$L$16"}</definedName>
    <definedName name="tha" hidden="1">{"'Sheet1'!$L$16"}</definedName>
    <definedName name="Thang" localSheetId="0" hidden="1">{"'Sheet1'!$L$16"}</definedName>
    <definedName name="Thang" hidden="1">{"'Sheet1'!$L$16"}</definedName>
    <definedName name="Thang1" localSheetId="0" hidden="1">{"'Sheet1'!$L$16"}</definedName>
    <definedName name="Thang1" hidden="1">{"'Sheet1'!$L$16"}</definedName>
    <definedName name="thanh" localSheetId="0" hidden="1">{"'Sheet1'!$L$16"}</definedName>
    <definedName name="thanh" hidden="1">{"'Sheet1'!$L$16"}</definedName>
    <definedName name="ThanhTienNen" localSheetId="0">#REF!</definedName>
    <definedName name="ThanhTienNen">#REF!</definedName>
    <definedName name="thao" localSheetId="0" hidden="1">{"'Sheet1'!$L$16"}</definedName>
    <definedName name="thao" hidden="1">{"'Sheet1'!$L$16"}</definedName>
    <definedName name="thg">#REF!</definedName>
    <definedName name="THGO1pnc" localSheetId="0">#REF!</definedName>
    <definedName name="THGO1pnc">#REF!</definedName>
    <definedName name="thht" localSheetId="0">#REF!</definedName>
    <definedName name="thht">#REF!</definedName>
    <definedName name="THI" localSheetId="0">#REF!</definedName>
    <definedName name="THI">#REF!</definedName>
    <definedName name="THK" localSheetId="367">#REF!</definedName>
    <definedName name="THK" localSheetId="360">#REF!</definedName>
    <definedName name="THK">#REF!</definedName>
    <definedName name="thkp3" localSheetId="0">#REF!</definedName>
    <definedName name="thkp3">#REF!</definedName>
    <definedName name="THKP7YT" localSheetId="0" hidden="1">{"'Sheet1'!$L$16"}</definedName>
    <definedName name="THKP7YT" hidden="1">{"'Sheet1'!$L$16"}</definedName>
    <definedName name="THT" localSheetId="0">#REF!</definedName>
    <definedName name="THT">#REF!</definedName>
    <definedName name="thtt" localSheetId="0">#REF!</definedName>
    <definedName name="thtt">#REF!</definedName>
    <definedName name="thu" localSheetId="0" hidden="1">{"'Sheet1'!$L$16"}</definedName>
    <definedName name="thu" hidden="1">{"'Sheet1'!$L$16"}</definedName>
    <definedName name="thuy" localSheetId="0" hidden="1">{"'Sheet1'!$L$16"}</definedName>
    <definedName name="thuy" hidden="1">{"'Sheet1'!$L$16"}</definedName>
    <definedName name="thvlmoi" localSheetId="0" hidden="1">{"'Sheet1'!$L$16"}</definedName>
    <definedName name="thvlmoi" hidden="1">{"'Sheet1'!$L$16"}</definedName>
    <definedName name="thvlmoimoi" localSheetId="0" hidden="1">{"'Sheet1'!$L$16"}</definedName>
    <definedName name="thvlmoimoi" hidden="1">{"'Sheet1'!$L$16"}</definedName>
    <definedName name="TRADE2" localSheetId="0">#REF!</definedName>
    <definedName name="TRADE2">#REF!</definedName>
    <definedName name="TRAM" localSheetId="0">#REF!</definedName>
    <definedName name="TRAM">#REF!</definedName>
    <definedName name="trt" localSheetId="0">#REF!</definedName>
    <definedName name="trt">#REF!</definedName>
    <definedName name="trtr" localSheetId="0">#REF!</definedName>
    <definedName name="trtr">#REF!</definedName>
    <definedName name="TRU">#REF!</definedName>
    <definedName name="trungchuyen" localSheetId="0">#REF!</definedName>
    <definedName name="trungchuyen">#REF!</definedName>
    <definedName name="tryi" localSheetId="0">BTRAM</definedName>
    <definedName name="tryi">BTRAM</definedName>
    <definedName name="uioui" localSheetId="0">#REF!,#REF!</definedName>
    <definedName name="uioui">#REF!,#REF!</definedName>
    <definedName name="ukukl" localSheetId="0">#REF!</definedName>
    <definedName name="ukukl">#REF!</definedName>
    <definedName name="ukyjk">#N/A</definedName>
    <definedName name="uop" localSheetId="0">#REF!</definedName>
    <definedName name="uop">#REF!</definedName>
    <definedName name="UP" localSheetId="367">#REF!,#REF!,#REF!,#REF!,#REF!,#REF!,#REF!,#REF!,#REF!,#REF!,#REF!</definedName>
    <definedName name="UP" localSheetId="360">#REF!,#REF!,#REF!,#REF!,#REF!,#REF!,#REF!,#REF!,#REF!,#REF!,#REF!</definedName>
    <definedName name="UP">#REF!,#REF!,#REF!,#REF!,#REF!,#REF!,#REF!,#REF!,#REF!,#REF!,#REF!</definedName>
    <definedName name="ư" localSheetId="0">#REF!</definedName>
    <definedName name="ư">#REF!</definedName>
    <definedName name="ưet" localSheetId="0">#REF!</definedName>
    <definedName name="ưet">#REF!</definedName>
    <definedName name="ưyrt" localSheetId="0">#REF!</definedName>
    <definedName name="ưyrt">#REF!</definedName>
    <definedName name="v" hidden="1">{"'Sheet1'!$L$16"}</definedName>
    <definedName name="VAÄT_LIEÄU">"ATRAM"</definedName>
    <definedName name="Value0" localSheetId="0">#REF!</definedName>
    <definedName name="Value0">#REF!</definedName>
    <definedName name="Value1" localSheetId="0">#REF!</definedName>
    <definedName name="Value1">#REF!</definedName>
    <definedName name="Value10" localSheetId="0">#REF!</definedName>
    <definedName name="Value10">#REF!</definedName>
    <definedName name="Value11" localSheetId="0">#REF!</definedName>
    <definedName name="Value11">#REF!</definedName>
    <definedName name="Value12" localSheetId="0">#REF!</definedName>
    <definedName name="Value12">#REF!</definedName>
    <definedName name="Value13" localSheetId="0">#REF!</definedName>
    <definedName name="Value13">#REF!</definedName>
    <definedName name="Value14" localSheetId="0">#REF!</definedName>
    <definedName name="Value14">#REF!</definedName>
    <definedName name="Value15" localSheetId="0">#REF!</definedName>
    <definedName name="Value15">#REF!</definedName>
    <definedName name="Value16" localSheetId="0">#REF!</definedName>
    <definedName name="Value16">#REF!</definedName>
    <definedName name="Value17" localSheetId="0">#REF!</definedName>
    <definedName name="Value17">#REF!</definedName>
    <definedName name="Value18" localSheetId="0">#REF!</definedName>
    <definedName name="Value18">#REF!</definedName>
    <definedName name="Value19" localSheetId="0">#REF!</definedName>
    <definedName name="Value19">#REF!</definedName>
    <definedName name="Value2" localSheetId="0">#REF!</definedName>
    <definedName name="Value2">#REF!</definedName>
    <definedName name="Value20" localSheetId="0">#REF!</definedName>
    <definedName name="Value20">#REF!</definedName>
    <definedName name="Value21" localSheetId="0">#REF!</definedName>
    <definedName name="Value21">#REF!</definedName>
    <definedName name="Value22" localSheetId="0">#REF!</definedName>
    <definedName name="Value22">#REF!</definedName>
    <definedName name="Value23" localSheetId="0">#REF!</definedName>
    <definedName name="Value23">#REF!</definedName>
    <definedName name="Value24" localSheetId="0">#REF!</definedName>
    <definedName name="Value24">#REF!</definedName>
    <definedName name="Value25" localSheetId="0">#REF!</definedName>
    <definedName name="Value25">#REF!</definedName>
    <definedName name="Value26" localSheetId="0">#REF!</definedName>
    <definedName name="Value26">#REF!</definedName>
    <definedName name="Value27" localSheetId="0">#REF!</definedName>
    <definedName name="Value27">#REF!</definedName>
    <definedName name="Value28" localSheetId="0">#REF!</definedName>
    <definedName name="Value28">#REF!</definedName>
    <definedName name="Value29" localSheetId="0">#REF!</definedName>
    <definedName name="Value29">#REF!</definedName>
    <definedName name="Value3" localSheetId="0">#REF!</definedName>
    <definedName name="Value3">#REF!</definedName>
    <definedName name="Value30" localSheetId="0">#REF!</definedName>
    <definedName name="Value30">#REF!</definedName>
    <definedName name="Value31" localSheetId="0">#REF!</definedName>
    <definedName name="Value31">#REF!</definedName>
    <definedName name="Value32" localSheetId="0">#REF!</definedName>
    <definedName name="Value32">#REF!</definedName>
    <definedName name="Value33" localSheetId="0">#REF!</definedName>
    <definedName name="Value33">#REF!</definedName>
    <definedName name="Value34" localSheetId="0">#REF!</definedName>
    <definedName name="Value34">#REF!</definedName>
    <definedName name="Value35" localSheetId="0">#REF!</definedName>
    <definedName name="Value35">#REF!</definedName>
    <definedName name="Value36" localSheetId="0">#REF!</definedName>
    <definedName name="Value36">#REF!</definedName>
    <definedName name="Value37" localSheetId="0">#REF!</definedName>
    <definedName name="Value37">#REF!</definedName>
    <definedName name="Value38" localSheetId="0">#REF!</definedName>
    <definedName name="Value38">#REF!</definedName>
    <definedName name="Value39" localSheetId="0">#REF!</definedName>
    <definedName name="Value39">#REF!</definedName>
    <definedName name="Value4" localSheetId="0">#REF!</definedName>
    <definedName name="Value4">#REF!</definedName>
    <definedName name="Value40" localSheetId="0">#REF!</definedName>
    <definedName name="Value40">#REF!</definedName>
    <definedName name="Value41" localSheetId="0">#REF!</definedName>
    <definedName name="Value41">#REF!</definedName>
    <definedName name="Value42" localSheetId="0">#REF!</definedName>
    <definedName name="Value42">#REF!</definedName>
    <definedName name="Value43" localSheetId="0">#REF!</definedName>
    <definedName name="Value43">#REF!</definedName>
    <definedName name="Value44" localSheetId="0">#REF!</definedName>
    <definedName name="Value44">#REF!</definedName>
    <definedName name="Value45" localSheetId="0">#REF!</definedName>
    <definedName name="Value45">#REF!</definedName>
    <definedName name="Value46" localSheetId="0">#REF!</definedName>
    <definedName name="Value46">#REF!</definedName>
    <definedName name="Value47" localSheetId="0">#REF!</definedName>
    <definedName name="Value47">#REF!</definedName>
    <definedName name="Value48" localSheetId="0">#REF!</definedName>
    <definedName name="Value48">#REF!</definedName>
    <definedName name="Value49" localSheetId="0">#REF!</definedName>
    <definedName name="Value49">#REF!</definedName>
    <definedName name="Value5" localSheetId="0">#REF!</definedName>
    <definedName name="Value5">#REF!</definedName>
    <definedName name="Value50" localSheetId="0">#REF!</definedName>
    <definedName name="Value50">#REF!</definedName>
    <definedName name="Value51" localSheetId="0">#REF!</definedName>
    <definedName name="Value51">#REF!</definedName>
    <definedName name="Value52" localSheetId="0">#REF!</definedName>
    <definedName name="Value52">#REF!</definedName>
    <definedName name="Value53" localSheetId="0">#REF!</definedName>
    <definedName name="Value53">#REF!</definedName>
    <definedName name="Value54" localSheetId="0">#REF!</definedName>
    <definedName name="Value54">#REF!</definedName>
    <definedName name="Value55" localSheetId="0">#REF!</definedName>
    <definedName name="Value55">#REF!</definedName>
    <definedName name="Value6" localSheetId="0">#REF!</definedName>
    <definedName name="Value6">#REF!</definedName>
    <definedName name="Value7" localSheetId="0">#REF!</definedName>
    <definedName name="Value7">#REF!</definedName>
    <definedName name="Value8" localSheetId="0">#REF!</definedName>
    <definedName name="Value8">#REF!</definedName>
    <definedName name="Value9" localSheetId="0">#REF!</definedName>
    <definedName name="Value9">#REF!</definedName>
    <definedName name="VARIINST" localSheetId="0">#REF!</definedName>
    <definedName name="VARIINST">#REF!</definedName>
    <definedName name="VARIPURC" localSheetId="0">#REF!</definedName>
    <definedName name="VARIPURC">#REF!</definedName>
    <definedName name="VAT">#REF!</definedName>
    <definedName name="vat_lieu_KVIII">#REF!</definedName>
    <definedName name="Vat_tu" localSheetId="0">#REF!</definedName>
    <definedName name="Vat_tu">#REF!</definedName>
    <definedName name="VatLieu" localSheetId="0">#REF!</definedName>
    <definedName name="VatLieu">#REF!</definedName>
    <definedName name="VatLieuBTN" localSheetId="0">#REF!</definedName>
    <definedName name="VatLieuBTN">#REF!</definedName>
    <definedName name="VATM" localSheetId="0" hidden="1">{"'Sheet1'!$L$16"}</definedName>
    <definedName name="VATM" hidden="1">{"'Sheet1'!$L$16"}</definedName>
    <definedName name="Vattu">#REF!</definedName>
    <definedName name="Vatu">#REF!</definedName>
    <definedName name="vbtchongnuocm300" localSheetId="0">#REF!</definedName>
    <definedName name="vbtchongnuocm300">#REF!</definedName>
    <definedName name="vbtm150" localSheetId="0">#REF!</definedName>
    <definedName name="vbtm150">#REF!</definedName>
    <definedName name="vbtm300" localSheetId="0">#REF!</definedName>
    <definedName name="vbtm300">#REF!</definedName>
    <definedName name="vbtm400" localSheetId="0">#REF!</definedName>
    <definedName name="vbtm400">#REF!</definedName>
    <definedName name="VC" localSheetId="0">#REF!</definedName>
    <definedName name="VC">#REF!</definedName>
    <definedName name="VC_DUONGDAI">#REF!</definedName>
    <definedName name="vccot" localSheetId="0">#REF!</definedName>
    <definedName name="vccot">#REF!</definedName>
    <definedName name="vcdd_a1">#REF!</definedName>
    <definedName name="Vcl" localSheetId="0">#REF!</definedName>
    <definedName name="Vcl">#REF!</definedName>
    <definedName name="vcoto" localSheetId="0" hidden="1">{"'Sheet1'!$L$16"}</definedName>
    <definedName name="vcoto" hidden="1">{"'Sheet1'!$L$16"}</definedName>
    <definedName name="vctb" localSheetId="0">#REF!</definedName>
    <definedName name="vctb">#REF!</definedName>
    <definedName name="vctc">#REF!</definedName>
    <definedName name="VCVBT1" localSheetId="0">#REF!</definedName>
    <definedName name="VCVBT1">#REF!</definedName>
    <definedName name="VCVBT2" localSheetId="0">#REF!</definedName>
    <definedName name="VCVBT2">#REF!</definedName>
    <definedName name="VCHT" localSheetId="0">#REF!</definedName>
    <definedName name="VCHT">#REF!</definedName>
    <definedName name="vd3p" localSheetId="0">#REF!</definedName>
    <definedName name="vd3p">#REF!</definedName>
    <definedName name="Vdd" localSheetId="0">#REF!</definedName>
    <definedName name="Vdd">#REF!</definedName>
    <definedName name="vkcauthang" localSheetId="0">#REF!</definedName>
    <definedName name="vkcauthang">#REF!</definedName>
    <definedName name="vksan" localSheetId="0">#REF!</definedName>
    <definedName name="vksan">#REF!</definedName>
    <definedName name="vl">#REF!</definedName>
    <definedName name="VL_RC1" localSheetId="0">#REF!</definedName>
    <definedName name="VL_RC1">#REF!</definedName>
    <definedName name="VL_RC2" localSheetId="0">#REF!</definedName>
    <definedName name="VL_RC2">#REF!</definedName>
    <definedName name="VL_Rnha" localSheetId="0">#REF!</definedName>
    <definedName name="VL_Rnha">#REF!</definedName>
    <definedName name="VL_RS" localSheetId="0">#REF!</definedName>
    <definedName name="VL_RS">#REF!</definedName>
    <definedName name="vl12m200">#REF!</definedName>
    <definedName name="vl12m250">#REF!</definedName>
    <definedName name="vl3p" localSheetId="0">#REF!</definedName>
    <definedName name="vl3p">#REF!</definedName>
    <definedName name="Vlcap0.7" localSheetId="0">#REF!</definedName>
    <definedName name="Vlcap0.7">#REF!</definedName>
    <definedName name="VLcap1" localSheetId="0">#REF!</definedName>
    <definedName name="VLcap1">#REF!</definedName>
    <definedName name="vlct" localSheetId="0" hidden="1">{"'Sheet1'!$L$16"}</definedName>
    <definedName name="vlct" hidden="1">{"'Sheet1'!$L$16"}</definedName>
    <definedName name="VLCT3p" localSheetId="0">#REF!</definedName>
    <definedName name="VLCT3p">#REF!</definedName>
    <definedName name="vldn400" localSheetId="0">#REF!</definedName>
    <definedName name="vldn400">#REF!</definedName>
    <definedName name="vldn600" localSheetId="0">#REF!</definedName>
    <definedName name="vldn600">#REF!</definedName>
    <definedName name="VLDP" localSheetId="0">#REF!</definedName>
    <definedName name="VLDP">#REF!</definedName>
    <definedName name="VLIEU">#REF!</definedName>
    <definedName name="vlm100lv">#REF!</definedName>
    <definedName name="vltram" localSheetId="0">#REF!</definedName>
    <definedName name="vltram">#REF!</definedName>
    <definedName name="vr3p" localSheetId="0">#REF!</definedName>
    <definedName name="vr3p">#REF!</definedName>
    <definedName name="VT" localSheetId="0">#REF!</definedName>
    <definedName name="VT">#REF!</definedName>
    <definedName name="VTTBname">[1]HESO!$D$365</definedName>
    <definedName name="Vtu" localSheetId="0">#REF!</definedName>
    <definedName name="Vtu">#REF!</definedName>
    <definedName name="VTVUA" localSheetId="0">#REF!</definedName>
    <definedName name="VTVUA">#REF!</definedName>
    <definedName name="vu">#REF!</definedName>
    <definedName name="Vua">#REF!</definedName>
    <definedName name="W" localSheetId="0">#REF!</definedName>
    <definedName name="W">#REF!</definedName>
    <definedName name="w_h" localSheetId="0">#REF!</definedName>
    <definedName name="w_h">#REF!</definedName>
    <definedName name="w_reser" localSheetId="0">#REF!</definedName>
    <definedName name="w_reser">#REF!</definedName>
    <definedName name="w_t" localSheetId="0">#REF!</definedName>
    <definedName name="w_t">#REF!</definedName>
    <definedName name="w_x" localSheetId="0">#REF!</definedName>
    <definedName name="w_x">#REF!</definedName>
    <definedName name="wefw" localSheetId="0">#REF!,#REF!</definedName>
    <definedName name="wefw">#REF!,#REF!</definedName>
    <definedName name="weqwerwerre" localSheetId="0" hidden="1">#REF!</definedName>
    <definedName name="weqwerwerre" hidden="1">#REF!</definedName>
    <definedName name="wG" localSheetId="0">#REF!</definedName>
    <definedName name="wG">#REF!</definedName>
    <definedName name="wout" localSheetId="0">#REF!</definedName>
    <definedName name="wout">#REF!</definedName>
    <definedName name="wrn.aaa." localSheetId="0" hidden="1">{#N/A,#N/A,FALSE,"Sheet1";#N/A,#N/A,FALSE,"Sheet1";#N/A,#N/A,FALSE,"Sheet1"}</definedName>
    <definedName name="wrn.aaa." hidden="1">{#N/A,#N/A,FALSE,"Sheet1";#N/A,#N/A,FALSE,"Sheet1";#N/A,#N/A,FALSE,"Sheet1"}</definedName>
    <definedName name="wrn.cong." localSheetId="0" hidden="1">{#N/A,#N/A,FALSE,"Sheet1"}</definedName>
    <definedName name="wrn.cong." hidden="1">{#N/A,#N/A,FALSE,"Sheet1"}</definedName>
    <definedName name="wrn.chi._.tiÆt." localSheetId="364" hidden="1">{#N/A,#N/A,FALSE,"Chi tiÆt"}</definedName>
    <definedName name="wrn.chi._.tiÆt." localSheetId="0" hidden="1">{#N/A,#N/A,FALSE,"Chi tiÆt"}</definedName>
    <definedName name="wrn.chi._.tiÆt." hidden="1">{#N/A,#N/A,FALSE,"Chi tiÆt"}</definedName>
    <definedName name="wrn.Report." localSheetId="364"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364"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0">#REF!</definedName>
    <definedName name="X">#REF!</definedName>
    <definedName name="X0GFCFw">#REF!</definedName>
    <definedName name="X1GFCFw">#REF!</definedName>
    <definedName name="x1pind" localSheetId="0">#REF!</definedName>
    <definedName name="x1pind">#REF!</definedName>
    <definedName name="X1pINDnc" localSheetId="0">#REF!</definedName>
    <definedName name="X1pINDnc">#REF!</definedName>
    <definedName name="X1pINDvc" localSheetId="0">#REF!</definedName>
    <definedName name="X1pINDvc">#REF!</definedName>
    <definedName name="X1pINDvl" localSheetId="0">#REF!</definedName>
    <definedName name="X1pINDvl">#REF!</definedName>
    <definedName name="x1pint" localSheetId="0">#REF!</definedName>
    <definedName name="x1pint">#REF!</definedName>
    <definedName name="x1ping" localSheetId="0">#REF!</definedName>
    <definedName name="x1ping">#REF!</definedName>
    <definedName name="X1pINGnc" localSheetId="0">#REF!</definedName>
    <definedName name="X1pINGnc">#REF!</definedName>
    <definedName name="X1pINGvc" localSheetId="0">#REF!</definedName>
    <definedName name="X1pINGvc">#REF!</definedName>
    <definedName name="X1pINGvl" localSheetId="0">#REF!</definedName>
    <definedName name="X1pINGvl">#REF!</definedName>
    <definedName name="Xa">#REF!</definedName>
    <definedName name="xa1pm">#REF!</definedName>
    <definedName name="xa3pm">#REF!</definedName>
    <definedName name="xact">#REF!</definedName>
    <definedName name="XBCNCKT">5600</definedName>
    <definedName name="XCCT">0.5</definedName>
    <definedName name="XeMay" localSheetId="0">#REF!</definedName>
    <definedName name="XeMay">#REF!</definedName>
    <definedName name="xfco" localSheetId="0">#REF!</definedName>
    <definedName name="xfco">#REF!</definedName>
    <definedName name="xfco3p" localSheetId="0">#REF!</definedName>
    <definedName name="xfco3p">#REF!</definedName>
    <definedName name="XFCOnc" localSheetId="0">#REF!</definedName>
    <definedName name="XFCOnc">#REF!</definedName>
    <definedName name="xfcotnc" localSheetId="0">#REF!</definedName>
    <definedName name="xfcotnc">#REF!</definedName>
    <definedName name="xfcotvl" localSheetId="0">#REF!</definedName>
    <definedName name="xfcotvl">#REF!</definedName>
    <definedName name="XFCOvl" localSheetId="0">#REF!</definedName>
    <definedName name="XFCOvl">#REF!</definedName>
    <definedName name="xhn" localSheetId="0">#REF!</definedName>
    <definedName name="xhn">#REF!</definedName>
    <definedName name="xig" localSheetId="0">#REF!</definedName>
    <definedName name="xig">#REF!</definedName>
    <definedName name="xig1" localSheetId="0">#REF!</definedName>
    <definedName name="xig1">#REF!</definedName>
    <definedName name="xig1p" localSheetId="0">#REF!</definedName>
    <definedName name="xig1p">#REF!</definedName>
    <definedName name="xig3p" localSheetId="0">#REF!</definedName>
    <definedName name="xig3p">#REF!</definedName>
    <definedName name="XIGnc" localSheetId="0">#REF!</definedName>
    <definedName name="XIGnc">#REF!</definedName>
    <definedName name="XIGvc" localSheetId="0">#REF!</definedName>
    <definedName name="XIGvc">#REF!</definedName>
    <definedName name="XIGvl" localSheetId="0">#REF!</definedName>
    <definedName name="XIGvl">#REF!</definedName>
    <definedName name="xin" localSheetId="0">#REF!</definedName>
    <definedName name="xin">#REF!</definedName>
    <definedName name="xin190" localSheetId="0">#REF!</definedName>
    <definedName name="xin190">#REF!</definedName>
    <definedName name="xin1903p" localSheetId="0">#REF!</definedName>
    <definedName name="xin1903p">#REF!</definedName>
    <definedName name="xin3p" localSheetId="0">#REF!</definedName>
    <definedName name="xin3p">#REF!</definedName>
    <definedName name="xind" localSheetId="0">#REF!</definedName>
    <definedName name="xind">#REF!</definedName>
    <definedName name="xind1p" localSheetId="0">#REF!</definedName>
    <definedName name="xind1p">#REF!</definedName>
    <definedName name="xind3p" localSheetId="0">#REF!</definedName>
    <definedName name="xind3p">#REF!</definedName>
    <definedName name="xindnc1p" localSheetId="0">#REF!</definedName>
    <definedName name="xindnc1p">#REF!</definedName>
    <definedName name="xindvl1p" localSheetId="0">#REF!</definedName>
    <definedName name="xindvl1p">#REF!</definedName>
    <definedName name="XINnc" localSheetId="0">#REF!</definedName>
    <definedName name="XINnc">#REF!</definedName>
    <definedName name="xint1p" localSheetId="0">#REF!</definedName>
    <definedName name="xint1p">#REF!</definedName>
    <definedName name="XINvc" localSheetId="0">#REF!</definedName>
    <definedName name="XINvc">#REF!</definedName>
    <definedName name="XINvl" localSheetId="0">#REF!</definedName>
    <definedName name="XINvl">#REF!</definedName>
    <definedName name="xing1p" localSheetId="0">#REF!</definedName>
    <definedName name="xing1p">#REF!</definedName>
    <definedName name="xingnc1p" localSheetId="0">#REF!</definedName>
    <definedName name="xingnc1p">#REF!</definedName>
    <definedName name="xingvl1p" localSheetId="0">#REF!</definedName>
    <definedName name="xingvl1p">#REF!</definedName>
    <definedName name="xit" localSheetId="0">#REF!</definedName>
    <definedName name="xit">#REF!</definedName>
    <definedName name="xit1" localSheetId="0">#REF!</definedName>
    <definedName name="xit1">#REF!</definedName>
    <definedName name="xit1p" localSheetId="0">#REF!</definedName>
    <definedName name="xit1p">#REF!</definedName>
    <definedName name="xit3p" localSheetId="0">#REF!</definedName>
    <definedName name="xit3p">#REF!</definedName>
    <definedName name="XITnc" localSheetId="0">#REF!</definedName>
    <definedName name="XITnc">#REF!</definedName>
    <definedName name="XITvc" localSheetId="0">#REF!</definedName>
    <definedName name="XITvc">#REF!</definedName>
    <definedName name="XITvl" localSheetId="0">#REF!</definedName>
    <definedName name="XITvl">#REF!</definedName>
    <definedName name="Xl" localSheetId="0">#REF!</definedName>
    <definedName name="Xl">#REF!</definedName>
    <definedName name="xlbs" localSheetId="0">#REF!</definedName>
    <definedName name="xlbs">#REF!</definedName>
    <definedName name="xlttbninh" localSheetId="0" hidden="1">{"'Sheet1'!$L$16"}</definedName>
    <definedName name="xlttbninh" hidden="1">{"'Sheet1'!$L$16"}</definedName>
    <definedName name="xmcax" localSheetId="0">#REF!</definedName>
    <definedName name="xmcax">#REF!</definedName>
    <definedName name="xo0">#REF!</definedName>
    <definedName name="XTKKTTC">7500</definedName>
    <definedName name="xvxcvxc" localSheetId="0" hidden="1">{"'Sheet1'!$L$16"}</definedName>
    <definedName name="xvxcvxc" hidden="1">{"'Sheet1'!$L$16"}</definedName>
    <definedName name="YeuCauBTN" localSheetId="0">#REF!</definedName>
    <definedName name="YeuCauBTN">#REF!</definedName>
    <definedName name="YeuCauCong" localSheetId="0">#REF!</definedName>
    <definedName name="YeuCauCong">#REF!</definedName>
    <definedName name="YeuCauMatDuong" localSheetId="0">#REF!</definedName>
    <definedName name="YeuCauMatDuong">#REF!</definedName>
    <definedName name="YeuCauNen" localSheetId="0">#REF!</definedName>
    <definedName name="YeuCauNen">#REF!</definedName>
    <definedName name="YeuCauViahe" localSheetId="0">#REF!</definedName>
    <definedName name="YeuCauViahe">#REF!</definedName>
    <definedName name="yhjkh" localSheetId="0">#REF!</definedName>
    <definedName name="yhjkh">#REF!</definedName>
    <definedName name="ỵtyj" localSheetId="0">#REF!</definedName>
    <definedName name="ỵtyj">#REF!</definedName>
    <definedName name="ỷy" localSheetId="0">#REF!</definedName>
    <definedName name="ỷy">#REF!</definedName>
    <definedName name="ỵy" localSheetId="0">#REF!</definedName>
    <definedName name="ỵy">#REF!</definedName>
    <definedName name="z" localSheetId="0">#REF!</definedName>
    <definedName name="z">#REF!</definedName>
    <definedName name="Z_B6D82DE0_6701_11DA_9820_00304F1E4471_.wvu.Cols" localSheetId="0" hidden="1">#REF!</definedName>
    <definedName name="Z_B6D82DE0_6701_11DA_9820_00304F1E4471_.wvu.Cols" hidden="1">#REF!</definedName>
    <definedName name="z_hl" localSheetId="0">#REF!</definedName>
    <definedName name="z_hl">#REF!</definedName>
    <definedName name="z_tl" localSheetId="0">#REF!</definedName>
    <definedName name="z_tl">#REF!</definedName>
    <definedName name="Zloadmin">#REF!</definedName>
    <definedName name="ZloadminS">#REF!</definedName>
    <definedName name="ZS1A">#REF!</definedName>
    <definedName name="ZS1C">#REF!</definedName>
    <definedName name="ZXD" localSheetId="0">#REF!</definedName>
    <definedName name="ZXD">#REF!</definedName>
    <definedName name="ZYX" localSheetId="361">#REF!</definedName>
    <definedName name="ZYX" localSheetId="367">#REF!</definedName>
    <definedName name="ZYX" localSheetId="0">#REF!</definedName>
    <definedName name="ZYX" localSheetId="360">#REF!</definedName>
    <definedName name="ZYX">#REF!</definedName>
    <definedName name="ZZZ" localSheetId="361">#REF!</definedName>
    <definedName name="ZZZ" localSheetId="367">#REF!</definedName>
    <definedName name="ZZZ" localSheetId="0">#REF!</definedName>
    <definedName name="ZZZ" localSheetId="360">#REF!</definedName>
    <definedName name="ZZZ">#REF!</definedName>
    <definedName name="zzzz" localSheetId="0" hidden="1">#REF!</definedName>
    <definedName name="zzzz" hidden="1">#REF!</definedName>
    <definedName name="전">#REF!</definedName>
    <definedName name="주택사업본부">#REF!</definedName>
    <definedName name="철구사업본부">#REF!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2" i="39" l="1"/>
  <c r="D130" i="51" l="1"/>
  <c r="G17" i="39"/>
  <c r="H53" i="39"/>
  <c r="G53" i="39"/>
  <c r="F53" i="39"/>
  <c r="H54" i="39"/>
  <c r="G54" i="39"/>
  <c r="F54" i="39"/>
  <c r="H59" i="39"/>
  <c r="G59" i="39"/>
  <c r="F59" i="39"/>
  <c r="H67" i="39"/>
  <c r="G67" i="39"/>
  <c r="F67" i="39"/>
  <c r="G146" i="51"/>
  <c r="G120" i="51"/>
  <c r="H120" i="51"/>
  <c r="I120" i="51"/>
  <c r="J120" i="51"/>
  <c r="F120" i="51"/>
  <c r="H73" i="51"/>
  <c r="G73" i="51"/>
  <c r="G72" i="51"/>
  <c r="H72" i="51"/>
  <c r="I72" i="51"/>
  <c r="J72" i="51"/>
  <c r="F72" i="51"/>
  <c r="G86" i="51"/>
  <c r="H86" i="51"/>
  <c r="I86" i="51"/>
  <c r="F86" i="51"/>
  <c r="G85" i="51"/>
  <c r="H85" i="51"/>
  <c r="I85" i="51"/>
  <c r="F85" i="51"/>
  <c r="G84" i="51"/>
  <c r="H84" i="51"/>
  <c r="I84" i="51"/>
  <c r="J84" i="51"/>
  <c r="F84" i="51"/>
  <c r="G83" i="51"/>
  <c r="H83" i="51"/>
  <c r="I83" i="51"/>
  <c r="J83" i="51"/>
  <c r="F83" i="51"/>
  <c r="G97" i="51"/>
  <c r="H97" i="51"/>
  <c r="I97" i="51"/>
  <c r="J97" i="51"/>
  <c r="F97" i="51"/>
  <c r="G96" i="51"/>
  <c r="H96" i="51"/>
  <c r="I96" i="51"/>
  <c r="J96" i="51"/>
  <c r="F96" i="51"/>
  <c r="H99" i="51"/>
  <c r="I99" i="51"/>
  <c r="J99" i="51"/>
  <c r="J86" i="51" s="1"/>
  <c r="G99" i="51"/>
  <c r="H98" i="51"/>
  <c r="I98" i="51"/>
  <c r="J98" i="51"/>
  <c r="J85" i="51" s="1"/>
  <c r="G98" i="51"/>
  <c r="H112" i="51"/>
  <c r="H111" i="51"/>
  <c r="G112" i="51"/>
  <c r="G111" i="51"/>
  <c r="G110" i="51"/>
  <c r="F110" i="51"/>
  <c r="J12212" i="58"/>
  <c r="J12205" i="58"/>
  <c r="G109" i="51"/>
  <c r="D110" i="51"/>
  <c r="D109" i="51"/>
  <c r="I109" i="51"/>
  <c r="J109" i="51"/>
  <c r="B109" i="51"/>
  <c r="C109" i="51"/>
  <c r="A109" i="51"/>
  <c r="H119" i="51"/>
  <c r="G130" i="51"/>
  <c r="H130" i="51"/>
  <c r="F130" i="51"/>
  <c r="C130" i="51"/>
  <c r="B130" i="51"/>
  <c r="A130" i="51"/>
  <c r="D140" i="51"/>
  <c r="C140" i="51"/>
  <c r="G140" i="51"/>
  <c r="B140" i="51"/>
  <c r="A140" i="51"/>
  <c r="G139" i="51"/>
  <c r="H139" i="51"/>
  <c r="F139" i="51"/>
  <c r="G129" i="51"/>
  <c r="H129" i="51"/>
  <c r="I129" i="51"/>
  <c r="J129" i="51"/>
  <c r="F129" i="51"/>
  <c r="H64" i="51"/>
  <c r="G64" i="51"/>
  <c r="F64" i="51"/>
  <c r="H65" i="51"/>
  <c r="G65" i="51"/>
  <c r="F65" i="51"/>
  <c r="G58" i="51"/>
  <c r="H58" i="51"/>
  <c r="I58" i="51"/>
  <c r="J58" i="51"/>
  <c r="F58" i="51"/>
  <c r="G59" i="51"/>
  <c r="H59" i="51"/>
  <c r="I59" i="51"/>
  <c r="J59" i="51"/>
  <c r="F59" i="51"/>
  <c r="G52" i="51"/>
  <c r="H52" i="51"/>
  <c r="I52" i="51"/>
  <c r="J52" i="51"/>
  <c r="F52" i="51"/>
  <c r="H53" i="51"/>
  <c r="G53" i="51"/>
  <c r="F53" i="51"/>
  <c r="H44" i="51"/>
  <c r="G44" i="51"/>
  <c r="F44" i="51"/>
  <c r="H45" i="51"/>
  <c r="G45" i="51"/>
  <c r="F45" i="51"/>
  <c r="G25" i="51"/>
  <c r="H27" i="51"/>
  <c r="G27" i="51"/>
  <c r="F27" i="51"/>
  <c r="H26" i="51"/>
  <c r="G26" i="51"/>
  <c r="F26" i="51"/>
  <c r="H29" i="51"/>
  <c r="G29" i="51"/>
  <c r="F29" i="51"/>
  <c r="H28" i="51"/>
  <c r="G28" i="51"/>
  <c r="F28" i="51"/>
  <c r="H25" i="51"/>
  <c r="H30" i="51"/>
  <c r="F25" i="51"/>
  <c r="G30" i="51"/>
  <c r="F30" i="51"/>
  <c r="G50" i="63"/>
  <c r="F50" i="63"/>
  <c r="G48" i="63"/>
  <c r="F48" i="63"/>
  <c r="H37" i="63"/>
  <c r="G37" i="63"/>
  <c r="H36" i="63"/>
  <c r="G36" i="63"/>
  <c r="F36" i="63"/>
  <c r="M18" i="39" l="1"/>
  <c r="B7" i="69" l="1"/>
  <c r="A7" i="69"/>
  <c r="B14" i="57"/>
  <c r="C14" i="57"/>
  <c r="D14" i="57"/>
  <c r="A14" i="57"/>
  <c r="N49" i="63"/>
  <c r="H14" i="57" s="1"/>
  <c r="K49" i="63"/>
  <c r="E14" i="57" s="1"/>
  <c r="I14" i="57" s="1"/>
  <c r="M50" i="63"/>
  <c r="M49" i="63" s="1"/>
  <c r="G14" i="57" s="1"/>
  <c r="K14" i="57" s="1"/>
  <c r="L50" i="63"/>
  <c r="L49" i="63" s="1"/>
  <c r="F14" i="57" s="1"/>
  <c r="J14" i="57" s="1"/>
  <c r="D23" i="67" l="1"/>
  <c r="G23" i="67"/>
  <c r="D417" i="67"/>
  <c r="H417" i="67" s="1"/>
  <c r="H409" i="67" s="1"/>
  <c r="D416" i="67"/>
  <c r="H416" i="67" s="1"/>
  <c r="D411" i="67"/>
  <c r="F411" i="67" s="1"/>
  <c r="F409" i="67"/>
  <c r="D408" i="67"/>
  <c r="H408" i="67" s="1"/>
  <c r="D407" i="67"/>
  <c r="H407" i="67" s="1"/>
  <c r="D402" i="67"/>
  <c r="F402" i="67" s="1"/>
  <c r="F400" i="67" s="1"/>
  <c r="D398" i="67"/>
  <c r="H398" i="67" s="1"/>
  <c r="D397" i="67"/>
  <c r="H397" i="67" s="1"/>
  <c r="D392" i="67"/>
  <c r="F392" i="67" s="1"/>
  <c r="D391" i="67"/>
  <c r="F391" i="67" s="1"/>
  <c r="F389" i="67" s="1"/>
  <c r="D383" i="67"/>
  <c r="H383" i="67" s="1"/>
  <c r="D382" i="67"/>
  <c r="H382" i="67" s="1"/>
  <c r="D381" i="67"/>
  <c r="H381" i="67" s="1"/>
  <c r="D376" i="67"/>
  <c r="F376" i="67" s="1"/>
  <c r="D375" i="67"/>
  <c r="F375" i="67" s="1"/>
  <c r="D374" i="67"/>
  <c r="F374" i="67" s="1"/>
  <c r="D373" i="67"/>
  <c r="F373" i="67" s="1"/>
  <c r="D363" i="67"/>
  <c r="H363" i="67" s="1"/>
  <c r="D362" i="67"/>
  <c r="H362" i="67" s="1"/>
  <c r="D361" i="67"/>
  <c r="H361" i="67" s="1"/>
  <c r="H351" i="67" s="1"/>
  <c r="D356" i="67"/>
  <c r="F356" i="67" s="1"/>
  <c r="D355" i="67"/>
  <c r="F355" i="67" s="1"/>
  <c r="D354" i="67"/>
  <c r="F354" i="67" s="1"/>
  <c r="D353" i="67"/>
  <c r="F353" i="67" s="1"/>
  <c r="D350" i="67"/>
  <c r="H350" i="67" s="1"/>
  <c r="D349" i="67"/>
  <c r="H349" i="67" s="1"/>
  <c r="D348" i="67"/>
  <c r="H348" i="67" s="1"/>
  <c r="H338" i="67" s="1"/>
  <c r="D343" i="67"/>
  <c r="F343" i="67" s="1"/>
  <c r="D342" i="67"/>
  <c r="F342" i="67" s="1"/>
  <c r="D341" i="67"/>
  <c r="F341" i="67" s="1"/>
  <c r="F338" i="67" s="1"/>
  <c r="D340" i="67"/>
  <c r="F340" i="67" s="1"/>
  <c r="D337" i="67"/>
  <c r="H337" i="67" s="1"/>
  <c r="D336" i="67"/>
  <c r="H336" i="67" s="1"/>
  <c r="D335" i="67"/>
  <c r="H335" i="67" s="1"/>
  <c r="D330" i="67"/>
  <c r="F330" i="67" s="1"/>
  <c r="D329" i="67"/>
  <c r="F329" i="67" s="1"/>
  <c r="D328" i="67"/>
  <c r="F328" i="67" s="1"/>
  <c r="D327" i="67"/>
  <c r="F327" i="67" s="1"/>
  <c r="D324" i="67"/>
  <c r="H324" i="67" s="1"/>
  <c r="D323" i="67"/>
  <c r="H323" i="67" s="1"/>
  <c r="D322" i="67"/>
  <c r="H322" i="67" s="1"/>
  <c r="D317" i="67"/>
  <c r="F317" i="67" s="1"/>
  <c r="D316" i="67"/>
  <c r="F316" i="67" s="1"/>
  <c r="D315" i="67"/>
  <c r="F315" i="67" s="1"/>
  <c r="D314" i="67"/>
  <c r="F314" i="67" s="1"/>
  <c r="D310" i="67"/>
  <c r="H310" i="67" s="1"/>
  <c r="D309" i="67"/>
  <c r="H309" i="67" s="1"/>
  <c r="D308" i="67"/>
  <c r="H308" i="67" s="1"/>
  <c r="H298" i="67" s="1"/>
  <c r="D303" i="67"/>
  <c r="F303" i="67" s="1"/>
  <c r="D302" i="67"/>
  <c r="F302" i="67" s="1"/>
  <c r="D301" i="67"/>
  <c r="F301" i="67" s="1"/>
  <c r="D300" i="67"/>
  <c r="F300" i="67" s="1"/>
  <c r="D297" i="67"/>
  <c r="H297" i="67" s="1"/>
  <c r="D296" i="67"/>
  <c r="H296" i="67" s="1"/>
  <c r="D295" i="67"/>
  <c r="H295" i="67" s="1"/>
  <c r="D290" i="67"/>
  <c r="F290" i="67" s="1"/>
  <c r="D289" i="67"/>
  <c r="F289" i="67" s="1"/>
  <c r="D288" i="67"/>
  <c r="F288" i="67" s="1"/>
  <c r="D287" i="67"/>
  <c r="F287" i="67" s="1"/>
  <c r="D284" i="67"/>
  <c r="H284" i="67" s="1"/>
  <c r="D283" i="67"/>
  <c r="H283" i="67" s="1"/>
  <c r="D282" i="67"/>
  <c r="H282" i="67" s="1"/>
  <c r="H272" i="67" s="1"/>
  <c r="D277" i="67"/>
  <c r="F277" i="67" s="1"/>
  <c r="D276" i="67"/>
  <c r="F276" i="67" s="1"/>
  <c r="D275" i="67"/>
  <c r="F275" i="67" s="1"/>
  <c r="D274" i="67"/>
  <c r="F274" i="67" s="1"/>
  <c r="F272" i="67" s="1"/>
  <c r="D271" i="67"/>
  <c r="H271" i="67" s="1"/>
  <c r="D270" i="67"/>
  <c r="H270" i="67" s="1"/>
  <c r="D269" i="67"/>
  <c r="H269" i="67" s="1"/>
  <c r="D264" i="67"/>
  <c r="F264" i="67" s="1"/>
  <c r="D263" i="67"/>
  <c r="F263" i="67" s="1"/>
  <c r="D262" i="67"/>
  <c r="F262" i="67" s="1"/>
  <c r="D261" i="67"/>
  <c r="F261" i="67" s="1"/>
  <c r="F259" i="67" s="1"/>
  <c r="D252" i="67"/>
  <c r="H252" i="67" s="1"/>
  <c r="D251" i="67"/>
  <c r="H251" i="67" s="1"/>
  <c r="D250" i="67"/>
  <c r="H250" i="67" s="1"/>
  <c r="D249" i="67"/>
  <c r="H249" i="67" s="1"/>
  <c r="D248" i="67"/>
  <c r="H248" i="67" s="1"/>
  <c r="D247" i="67"/>
  <c r="H247" i="67" s="1"/>
  <c r="D242" i="67"/>
  <c r="F242" i="67" s="1"/>
  <c r="D241" i="67"/>
  <c r="F241" i="67" s="1"/>
  <c r="D240" i="67"/>
  <c r="F240" i="67" s="1"/>
  <c r="D239" i="67"/>
  <c r="F239" i="67" s="1"/>
  <c r="D238" i="67"/>
  <c r="F238" i="67" s="1"/>
  <c r="D237" i="67"/>
  <c r="F237" i="67" s="1"/>
  <c r="D236" i="67"/>
  <c r="F236" i="67" s="1"/>
  <c r="D235" i="67"/>
  <c r="F235" i="67" s="1"/>
  <c r="D227" i="67"/>
  <c r="H227" i="67" s="1"/>
  <c r="D226" i="67"/>
  <c r="H226" i="67" s="1"/>
  <c r="D225" i="67"/>
  <c r="H225" i="67" s="1"/>
  <c r="D224" i="67"/>
  <c r="H224" i="67" s="1"/>
  <c r="D219" i="67"/>
  <c r="F219" i="67" s="1"/>
  <c r="D218" i="67"/>
  <c r="F218" i="67" s="1"/>
  <c r="D217" i="67"/>
  <c r="F217" i="67" s="1"/>
  <c r="D216" i="67"/>
  <c r="F216" i="67" s="1"/>
  <c r="D215" i="67"/>
  <c r="F215" i="67" s="1"/>
  <c r="D212" i="67"/>
  <c r="H212" i="67" s="1"/>
  <c r="D211" i="67"/>
  <c r="H211" i="67" s="1"/>
  <c r="D210" i="67"/>
  <c r="H210" i="67" s="1"/>
  <c r="D205" i="67"/>
  <c r="F205" i="67" s="1"/>
  <c r="D204" i="67"/>
  <c r="F204" i="67" s="1"/>
  <c r="D203" i="67"/>
  <c r="F203" i="67" s="1"/>
  <c r="D202" i="67"/>
  <c r="F202" i="67" s="1"/>
  <c r="D201" i="67"/>
  <c r="F201" i="67" s="1"/>
  <c r="D190" i="67"/>
  <c r="H190" i="67" s="1"/>
  <c r="D189" i="67"/>
  <c r="H189" i="67" s="1"/>
  <c r="D188" i="67"/>
  <c r="H188" i="67" s="1"/>
  <c r="H176" i="67" s="1"/>
  <c r="D183" i="67"/>
  <c r="F183" i="67" s="1"/>
  <c r="D182" i="67"/>
  <c r="F182" i="67" s="1"/>
  <c r="D181" i="67"/>
  <c r="F181" i="67" s="1"/>
  <c r="D180" i="67"/>
  <c r="F180" i="67" s="1"/>
  <c r="D179" i="67"/>
  <c r="F179" i="67" s="1"/>
  <c r="D178" i="67"/>
  <c r="F178" i="67" s="1"/>
  <c r="D175" i="67"/>
  <c r="H175" i="67" s="1"/>
  <c r="D174" i="67"/>
  <c r="H174" i="67" s="1"/>
  <c r="D173" i="67"/>
  <c r="H173" i="67" s="1"/>
  <c r="H161" i="67" s="1"/>
  <c r="G170" i="67"/>
  <c r="D168" i="67"/>
  <c r="F168" i="67" s="1"/>
  <c r="D167" i="67"/>
  <c r="F167" i="67" s="1"/>
  <c r="D166" i="67"/>
  <c r="F166" i="67" s="1"/>
  <c r="D165" i="67"/>
  <c r="F165" i="67" s="1"/>
  <c r="D164" i="67"/>
  <c r="F164" i="67" s="1"/>
  <c r="D163" i="67"/>
  <c r="F163" i="67" s="1"/>
  <c r="I157" i="67"/>
  <c r="I156" i="67"/>
  <c r="I155" i="67"/>
  <c r="I154" i="67"/>
  <c r="D149" i="67"/>
  <c r="H149" i="67" s="1"/>
  <c r="D148" i="67"/>
  <c r="H148" i="67" s="1"/>
  <c r="G145" i="67"/>
  <c r="D143" i="67"/>
  <c r="F143" i="67" s="1"/>
  <c r="D142" i="67"/>
  <c r="F142" i="67" s="1"/>
  <c r="D141" i="67"/>
  <c r="F141" i="67" s="1"/>
  <c r="D140" i="67"/>
  <c r="F140" i="67" s="1"/>
  <c r="D139" i="67"/>
  <c r="F139" i="67" s="1"/>
  <c r="I136" i="67"/>
  <c r="D135" i="67"/>
  <c r="H135" i="67" s="1"/>
  <c r="D134" i="67"/>
  <c r="H134" i="67" s="1"/>
  <c r="H123" i="67" s="1"/>
  <c r="G131" i="67"/>
  <c r="D129" i="67"/>
  <c r="F129" i="67" s="1"/>
  <c r="D128" i="67"/>
  <c r="F128" i="67" s="1"/>
  <c r="D127" i="67"/>
  <c r="F127" i="67" s="1"/>
  <c r="D126" i="67"/>
  <c r="F126" i="67" s="1"/>
  <c r="D125" i="67"/>
  <c r="F125" i="67" s="1"/>
  <c r="D115" i="67"/>
  <c r="H115" i="67" s="1"/>
  <c r="D114" i="67"/>
  <c r="H114" i="67" s="1"/>
  <c r="D113" i="67"/>
  <c r="H113" i="67" s="1"/>
  <c r="G110" i="67"/>
  <c r="D108" i="67"/>
  <c r="F108" i="67" s="1"/>
  <c r="D107" i="67"/>
  <c r="F107" i="67" s="1"/>
  <c r="D106" i="67"/>
  <c r="F106" i="67" s="1"/>
  <c r="D105" i="67"/>
  <c r="F105" i="67" s="1"/>
  <c r="D104" i="67"/>
  <c r="F104" i="67" s="1"/>
  <c r="D95" i="67"/>
  <c r="H95" i="67" s="1"/>
  <c r="D94" i="67"/>
  <c r="H94" i="67" s="1"/>
  <c r="D93" i="67"/>
  <c r="H93" i="67" s="1"/>
  <c r="D92" i="67"/>
  <c r="H92" i="67" s="1"/>
  <c r="D91" i="67"/>
  <c r="H91" i="67" s="1"/>
  <c r="G88" i="67"/>
  <c r="D86" i="67"/>
  <c r="F86" i="67" s="1"/>
  <c r="D85" i="67"/>
  <c r="F85" i="67" s="1"/>
  <c r="D84" i="67"/>
  <c r="F84" i="67" s="1"/>
  <c r="D83" i="67"/>
  <c r="F83" i="67" s="1"/>
  <c r="D82" i="67"/>
  <c r="F82" i="67" s="1"/>
  <c r="D81" i="67"/>
  <c r="F81" i="67" s="1"/>
  <c r="D80" i="67"/>
  <c r="F80" i="67" s="1"/>
  <c r="D77" i="67"/>
  <c r="H77" i="67" s="1"/>
  <c r="D76" i="67"/>
  <c r="H76" i="67" s="1"/>
  <c r="D75" i="67"/>
  <c r="H75" i="67" s="1"/>
  <c r="D74" i="67"/>
  <c r="H74" i="67" s="1"/>
  <c r="D73" i="67"/>
  <c r="H73" i="67" s="1"/>
  <c r="G70" i="67"/>
  <c r="D68" i="67"/>
  <c r="F68" i="67" s="1"/>
  <c r="D67" i="67"/>
  <c r="F67" i="67" s="1"/>
  <c r="D66" i="67"/>
  <c r="F66" i="67" s="1"/>
  <c r="D65" i="67"/>
  <c r="F65" i="67" s="1"/>
  <c r="D64" i="67"/>
  <c r="F64" i="67" s="1"/>
  <c r="D63" i="67"/>
  <c r="F63" i="67" s="1"/>
  <c r="D62" i="67"/>
  <c r="F62" i="67" s="1"/>
  <c r="I54" i="67"/>
  <c r="D53" i="67"/>
  <c r="H53" i="67" s="1"/>
  <c r="D52" i="67"/>
  <c r="H52" i="67" s="1"/>
  <c r="D51" i="67"/>
  <c r="H51" i="67" s="1"/>
  <c r="D50" i="67"/>
  <c r="H50" i="67" s="1"/>
  <c r="D49" i="67"/>
  <c r="H49" i="67" s="1"/>
  <c r="D48" i="67"/>
  <c r="H48" i="67" s="1"/>
  <c r="G45" i="67"/>
  <c r="D43" i="67"/>
  <c r="F43" i="67" s="1"/>
  <c r="D42" i="67"/>
  <c r="F42" i="67" s="1"/>
  <c r="D41" i="67"/>
  <c r="F41" i="67" s="1"/>
  <c r="D40" i="67"/>
  <c r="F40" i="67" s="1"/>
  <c r="D39" i="67"/>
  <c r="F39" i="67" s="1"/>
  <c r="D38" i="67"/>
  <c r="F38" i="67" s="1"/>
  <c r="D37" i="67"/>
  <c r="F37" i="67" s="1"/>
  <c r="D36" i="67"/>
  <c r="F36" i="67" s="1"/>
  <c r="I32" i="67"/>
  <c r="D31" i="67"/>
  <c r="H31" i="67" s="1"/>
  <c r="D30" i="67"/>
  <c r="H30" i="67" s="1"/>
  <c r="D29" i="67"/>
  <c r="H29" i="67" s="1"/>
  <c r="D28" i="67"/>
  <c r="H28" i="67" s="1"/>
  <c r="D27" i="67"/>
  <c r="H27" i="67" s="1"/>
  <c r="D26" i="67"/>
  <c r="H26" i="67" s="1"/>
  <c r="D21" i="67"/>
  <c r="F21" i="67" s="1"/>
  <c r="D20" i="67"/>
  <c r="F20" i="67" s="1"/>
  <c r="D19" i="67"/>
  <c r="F19" i="67" s="1"/>
  <c r="D18" i="67"/>
  <c r="F18" i="67" s="1"/>
  <c r="D17" i="67"/>
  <c r="F17" i="67" s="1"/>
  <c r="D16" i="67"/>
  <c r="F16" i="67" s="1"/>
  <c r="D15" i="67"/>
  <c r="F15" i="67" s="1"/>
  <c r="D14" i="67"/>
  <c r="F14" i="67" s="1"/>
  <c r="G8" i="66"/>
  <c r="H8" i="66" s="1"/>
  <c r="A11" i="57"/>
  <c r="B11" i="57"/>
  <c r="A13" i="57"/>
  <c r="B13" i="57"/>
  <c r="A12" i="57"/>
  <c r="B12" i="57"/>
  <c r="B8" i="57"/>
  <c r="E31" i="63"/>
  <c r="K31" i="63" s="1"/>
  <c r="E125" i="51"/>
  <c r="E89" i="51"/>
  <c r="D8" i="57"/>
  <c r="U10" i="65"/>
  <c r="D45" i="63"/>
  <c r="D48" i="63" s="1"/>
  <c r="D20" i="63"/>
  <c r="N20" i="63" s="1"/>
  <c r="K46" i="63"/>
  <c r="K41" i="63"/>
  <c r="D37" i="63"/>
  <c r="N37" i="63" s="1"/>
  <c r="D36" i="63"/>
  <c r="M36" i="63" s="1"/>
  <c r="K34" i="63"/>
  <c r="K33" i="63"/>
  <c r="K32" i="63"/>
  <c r="N27" i="63"/>
  <c r="N23" i="63" s="1"/>
  <c r="H9" i="57" s="1"/>
  <c r="M27" i="63"/>
  <c r="M23" i="63" s="1"/>
  <c r="G9" i="57" s="1"/>
  <c r="L27" i="63"/>
  <c r="L23" i="63" s="1"/>
  <c r="F9" i="57" s="1"/>
  <c r="K25" i="63"/>
  <c r="K23" i="63" s="1"/>
  <c r="E9" i="57" s="1"/>
  <c r="N22" i="63"/>
  <c r="M22" i="63"/>
  <c r="L22" i="63"/>
  <c r="N21" i="63"/>
  <c r="M21" i="63"/>
  <c r="L21" i="63"/>
  <c r="N19" i="63"/>
  <c r="M19" i="63"/>
  <c r="L19" i="63"/>
  <c r="N18" i="63"/>
  <c r="M18" i="63"/>
  <c r="L18" i="63"/>
  <c r="D17" i="63"/>
  <c r="K15" i="63"/>
  <c r="K14" i="63"/>
  <c r="K13" i="63"/>
  <c r="K12" i="63"/>
  <c r="F325" i="67" l="1"/>
  <c r="L20" i="63"/>
  <c r="M20" i="63"/>
  <c r="H12" i="67"/>
  <c r="G8" i="52" s="1"/>
  <c r="F60" i="67"/>
  <c r="H78" i="67"/>
  <c r="G10" i="52" s="1"/>
  <c r="H34" i="67"/>
  <c r="H199" i="67"/>
  <c r="G7" i="45" s="1"/>
  <c r="H60" i="67"/>
  <c r="F78" i="67"/>
  <c r="E10" i="52" s="1"/>
  <c r="H312" i="67"/>
  <c r="H371" i="67"/>
  <c r="H233" i="67"/>
  <c r="G7" i="69" s="1"/>
  <c r="J7" i="69" s="1"/>
  <c r="J8" i="69" s="1"/>
  <c r="E16" i="56" s="1"/>
  <c r="H285" i="67"/>
  <c r="H137" i="67"/>
  <c r="F298" i="67"/>
  <c r="H389" i="67"/>
  <c r="F137" i="67"/>
  <c r="F213" i="67"/>
  <c r="F161" i="67"/>
  <c r="F176" i="67"/>
  <c r="H102" i="67"/>
  <c r="H259" i="67"/>
  <c r="F34" i="67"/>
  <c r="H213" i="67"/>
  <c r="F312" i="67"/>
  <c r="F199" i="67"/>
  <c r="F233" i="67"/>
  <c r="E7" i="69" s="1"/>
  <c r="H7" i="69" s="1"/>
  <c r="H8" i="69" s="1"/>
  <c r="E10" i="56" s="1"/>
  <c r="F371" i="67"/>
  <c r="F123" i="67"/>
  <c r="H325" i="67"/>
  <c r="F12" i="67"/>
  <c r="H400" i="67"/>
  <c r="F102" i="67"/>
  <c r="F285" i="67"/>
  <c r="F351" i="67"/>
  <c r="G9" i="66"/>
  <c r="H9" i="66" s="1"/>
  <c r="K10" i="63"/>
  <c r="E8" i="57" s="1"/>
  <c r="K29" i="63"/>
  <c r="E11" i="57" s="1"/>
  <c r="N48" i="63"/>
  <c r="N43" i="63" s="1"/>
  <c r="M48" i="63"/>
  <c r="M43" i="63" s="1"/>
  <c r="L48" i="63"/>
  <c r="L43" i="63" s="1"/>
  <c r="N42" i="63"/>
  <c r="N39" i="63" s="1"/>
  <c r="K42" i="63"/>
  <c r="L36" i="63"/>
  <c r="N36" i="63"/>
  <c r="N29" i="63" s="1"/>
  <c r="H11" i="57" s="1"/>
  <c r="N17" i="63"/>
  <c r="N10" i="63" s="1"/>
  <c r="H8" i="57" s="1"/>
  <c r="L37" i="63"/>
  <c r="K45" i="63"/>
  <c r="L17" i="63"/>
  <c r="L10" i="63" s="1"/>
  <c r="F8" i="57" s="1"/>
  <c r="M37" i="63"/>
  <c r="M29" i="63" s="1"/>
  <c r="G11" i="57" s="1"/>
  <c r="M13024" i="58"/>
  <c r="M13015" i="58"/>
  <c r="N13015" i="58" s="1"/>
  <c r="N13007" i="58" s="1"/>
  <c r="M13006" i="58"/>
  <c r="N13006" i="58" s="1"/>
  <c r="N12998" i="58" s="1"/>
  <c r="M12997" i="58"/>
  <c r="N12997" i="58" s="1"/>
  <c r="N12989" i="58" s="1"/>
  <c r="M12988" i="58"/>
  <c r="M12979" i="58"/>
  <c r="M12970" i="58"/>
  <c r="M12961" i="58"/>
  <c r="N12961" i="58" s="1"/>
  <c r="N12953" i="58" s="1"/>
  <c r="M12952" i="58"/>
  <c r="N12952" i="58" s="1"/>
  <c r="N12944" i="58" s="1"/>
  <c r="M12943" i="58"/>
  <c r="N12943" i="58" s="1"/>
  <c r="N12935" i="58" s="1"/>
  <c r="M12880" i="58"/>
  <c r="N12880" i="58" s="1"/>
  <c r="N12873" i="58" s="1"/>
  <c r="M12825" i="58"/>
  <c r="M12816" i="58"/>
  <c r="N12816" i="58" s="1"/>
  <c r="N12808" i="58" s="1"/>
  <c r="M12807" i="58"/>
  <c r="N12807" i="58" s="1"/>
  <c r="N12799" i="58" s="1"/>
  <c r="M12798" i="58"/>
  <c r="N12798" i="58" s="1"/>
  <c r="N12790" i="58" s="1"/>
  <c r="M12789" i="58"/>
  <c r="N12789" i="58" s="1"/>
  <c r="N12781" i="58" s="1"/>
  <c r="M12780" i="58"/>
  <c r="M12771" i="58"/>
  <c r="N12771" i="58" s="1"/>
  <c r="N12763" i="58" s="1"/>
  <c r="M12762" i="58"/>
  <c r="N12762" i="58" s="1"/>
  <c r="N12754" i="58" s="1"/>
  <c r="M12753" i="58"/>
  <c r="N12753" i="58" s="1"/>
  <c r="N12745" i="58" s="1"/>
  <c r="M12744" i="58"/>
  <c r="M12735" i="58"/>
  <c r="M12726" i="58"/>
  <c r="M12717" i="58"/>
  <c r="N12717" i="58" s="1"/>
  <c r="N12709" i="58" s="1"/>
  <c r="M12708" i="58"/>
  <c r="M12699" i="58"/>
  <c r="M12690" i="58"/>
  <c r="M12681" i="58"/>
  <c r="M12672" i="58"/>
  <c r="N12672" i="58" s="1"/>
  <c r="N12664" i="58" s="1"/>
  <c r="M12663" i="58"/>
  <c r="N12663" i="58" s="1"/>
  <c r="N12655" i="58" s="1"/>
  <c r="M12654" i="58"/>
  <c r="N12654" i="58" s="1"/>
  <c r="N12646" i="58" s="1"/>
  <c r="M12645" i="58"/>
  <c r="N12645" i="58" s="1"/>
  <c r="N12637" i="58" s="1"/>
  <c r="M12636" i="58"/>
  <c r="M12627" i="58"/>
  <c r="N12627" i="58" s="1"/>
  <c r="M12626" i="58"/>
  <c r="N12626" i="58" s="1"/>
  <c r="M12608" i="58"/>
  <c r="N12608" i="58" s="1"/>
  <c r="N12598" i="58" s="1"/>
  <c r="M12597" i="58"/>
  <c r="M12586" i="58"/>
  <c r="N12586" i="58" s="1"/>
  <c r="N12576" i="58" s="1"/>
  <c r="M12568" i="58"/>
  <c r="M12552" i="58"/>
  <c r="N12552" i="58" s="1"/>
  <c r="N12544" i="58" s="1"/>
  <c r="M12543" i="58"/>
  <c r="N12543" i="58" s="1"/>
  <c r="N12535" i="58" s="1"/>
  <c r="M12527" i="58"/>
  <c r="N12527" i="58" s="1"/>
  <c r="M12526" i="58"/>
  <c r="N12526" i="58" s="1"/>
  <c r="M12480" i="58"/>
  <c r="N12480" i="58" s="1"/>
  <c r="N12473" i="58" s="1"/>
  <c r="M12472" i="58"/>
  <c r="N12472" i="58" s="1"/>
  <c r="N12465" i="58" s="1"/>
  <c r="M12464" i="58"/>
  <c r="N12464" i="58" s="1"/>
  <c r="N12454" i="58" s="1"/>
  <c r="M12453" i="58"/>
  <c r="N12453" i="58" s="1"/>
  <c r="N12443" i="58" s="1"/>
  <c r="M12442" i="58"/>
  <c r="N12442" i="58" s="1"/>
  <c r="N12432" i="58" s="1"/>
  <c r="M12431" i="58"/>
  <c r="M12420" i="58"/>
  <c r="N12420" i="58" s="1"/>
  <c r="M12419" i="58"/>
  <c r="M12407" i="58"/>
  <c r="N12407" i="58" s="1"/>
  <c r="M12394" i="58"/>
  <c r="N12394" i="58" s="1"/>
  <c r="M12381" i="58"/>
  <c r="M12368" i="58"/>
  <c r="N12368" i="58" s="1"/>
  <c r="M12355" i="58"/>
  <c r="M12342" i="58"/>
  <c r="N12342" i="58" s="1"/>
  <c r="M12341" i="58"/>
  <c r="N12341" i="58" s="1"/>
  <c r="M12332" i="58"/>
  <c r="N12332" i="58" s="1"/>
  <c r="M12331" i="58"/>
  <c r="M12322" i="58"/>
  <c r="N12322" i="58" s="1"/>
  <c r="M12321" i="58"/>
  <c r="N12321" i="58" s="1"/>
  <c r="M12312" i="58"/>
  <c r="N12312" i="58" s="1"/>
  <c r="M12311" i="58"/>
  <c r="N12311" i="58" s="1"/>
  <c r="M12302" i="58"/>
  <c r="N12302" i="58" s="1"/>
  <c r="M12301" i="58"/>
  <c r="N12301" i="58" s="1"/>
  <c r="M12292" i="58"/>
  <c r="N12292" i="58" s="1"/>
  <c r="M12291" i="58"/>
  <c r="M12282" i="58"/>
  <c r="N12282" i="58" s="1"/>
  <c r="M12281" i="58"/>
  <c r="N12281" i="58" s="1"/>
  <c r="M12272" i="58"/>
  <c r="N12272" i="58" s="1"/>
  <c r="M12271" i="58"/>
  <c r="N12271" i="58" s="1"/>
  <c r="M12262" i="58"/>
  <c r="N12262" i="58" s="1"/>
  <c r="M12261" i="58"/>
  <c r="N12261" i="58" s="1"/>
  <c r="M12252" i="58"/>
  <c r="N12252" i="58" s="1"/>
  <c r="M12251" i="58"/>
  <c r="M12099" i="58"/>
  <c r="M12090" i="58"/>
  <c r="N12090" i="58" s="1"/>
  <c r="N12082" i="58" s="1"/>
  <c r="M12081" i="58"/>
  <c r="N12081" i="58" s="1"/>
  <c r="N12073" i="58" s="1"/>
  <c r="M11805" i="58"/>
  <c r="N11805" i="58" s="1"/>
  <c r="N11795" i="58" s="1"/>
  <c r="M11794" i="58"/>
  <c r="M11793" i="58"/>
  <c r="N11793" i="58" s="1"/>
  <c r="M11782" i="58"/>
  <c r="M11771" i="58"/>
  <c r="M11770" i="58"/>
  <c r="N11770" i="58" s="1"/>
  <c r="M11759" i="58"/>
  <c r="M11748" i="58"/>
  <c r="M11747" i="58"/>
  <c r="N11747" i="58" s="1"/>
  <c r="M11736" i="58"/>
  <c r="N11736" i="58" s="1"/>
  <c r="M11735" i="58"/>
  <c r="N11735" i="58" s="1"/>
  <c r="M11723" i="58"/>
  <c r="N11723" i="58" s="1"/>
  <c r="M11722" i="58"/>
  <c r="M11710" i="58"/>
  <c r="N11710" i="58" s="1"/>
  <c r="M11709" i="58"/>
  <c r="N11709" i="58" s="1"/>
  <c r="N11698" i="58" s="1"/>
  <c r="M11407" i="58"/>
  <c r="N11407" i="58" s="1"/>
  <c r="N11393" i="58" s="1"/>
  <c r="H36" i="51" s="1"/>
  <c r="H35" i="51" s="1"/>
  <c r="M11392" i="58"/>
  <c r="N11392" i="58" s="1"/>
  <c r="N11384" i="58" s="1"/>
  <c r="M11383" i="58"/>
  <c r="N11383" i="58" s="1"/>
  <c r="N11375" i="58" s="1"/>
  <c r="M11352" i="58"/>
  <c r="N11352" i="58" s="1"/>
  <c r="N11344" i="58" s="1"/>
  <c r="M11343" i="58"/>
  <c r="N11343" i="58" s="1"/>
  <c r="N11335" i="58" s="1"/>
  <c r="M11334" i="58"/>
  <c r="N11334" i="58" s="1"/>
  <c r="N11324" i="58" s="1"/>
  <c r="M11323" i="58"/>
  <c r="N11323" i="58" s="1"/>
  <c r="N11313" i="58" s="1"/>
  <c r="M11312" i="58"/>
  <c r="M11285" i="58"/>
  <c r="N11285" i="58" s="1"/>
  <c r="N11276" i="58" s="1"/>
  <c r="M11259" i="58"/>
  <c r="N11259" i="58" s="1"/>
  <c r="N11250" i="58" s="1"/>
  <c r="M11249" i="58"/>
  <c r="N11249" i="58" s="1"/>
  <c r="N11240" i="58" s="1"/>
  <c r="M11239" i="58"/>
  <c r="N11239" i="58" s="1"/>
  <c r="N11230" i="58" s="1"/>
  <c r="M11229" i="58"/>
  <c r="N11229" i="58" s="1"/>
  <c r="N11220" i="58" s="1"/>
  <c r="M11219" i="58"/>
  <c r="M11209" i="58"/>
  <c r="N11209" i="58" s="1"/>
  <c r="N11200" i="58" s="1"/>
  <c r="M11199" i="58"/>
  <c r="N11199" i="58" s="1"/>
  <c r="N11190" i="58" s="1"/>
  <c r="M11189" i="58"/>
  <c r="N11189" i="58" s="1"/>
  <c r="N11180" i="58" s="1"/>
  <c r="M11179" i="58"/>
  <c r="N11179" i="58" s="1"/>
  <c r="N11170" i="58" s="1"/>
  <c r="M11169" i="58"/>
  <c r="M11159" i="58"/>
  <c r="M11149" i="58"/>
  <c r="M11135" i="58"/>
  <c r="N11135" i="58" s="1"/>
  <c r="N11122" i="58" s="1"/>
  <c r="M11121" i="58"/>
  <c r="M11107" i="58"/>
  <c r="N11107" i="58" s="1"/>
  <c r="N11094" i="58" s="1"/>
  <c r="M11093" i="58"/>
  <c r="N11093" i="58" s="1"/>
  <c r="N11080" i="58" s="1"/>
  <c r="M11079" i="58"/>
  <c r="N11079" i="58" s="1"/>
  <c r="N11069" i="58" s="1"/>
  <c r="M11068" i="58"/>
  <c r="N11068" i="58" s="1"/>
  <c r="N11058" i="58" s="1"/>
  <c r="M11057" i="58"/>
  <c r="M11046" i="58"/>
  <c r="N11046" i="58" s="1"/>
  <c r="N11036" i="58" s="1"/>
  <c r="M10906" i="58"/>
  <c r="M10895" i="58"/>
  <c r="N10895" i="58" s="1"/>
  <c r="M10884" i="58"/>
  <c r="N10884" i="58" s="1"/>
  <c r="M10873" i="58"/>
  <c r="N10873" i="58" s="1"/>
  <c r="M10872" i="58"/>
  <c r="N10872" i="58" s="1"/>
  <c r="M10862" i="58"/>
  <c r="M10861" i="58"/>
  <c r="M10851" i="58"/>
  <c r="N10851" i="58" s="1"/>
  <c r="M10850" i="58"/>
  <c r="N10850" i="58" s="1"/>
  <c r="M10840" i="58"/>
  <c r="N10840" i="58" s="1"/>
  <c r="M10839" i="58"/>
  <c r="N10839" i="58" s="1"/>
  <c r="M10829" i="58"/>
  <c r="N10829" i="58" s="1"/>
  <c r="M10828" i="58"/>
  <c r="N10828" i="58" s="1"/>
  <c r="M10818" i="58"/>
  <c r="N10818" i="58" s="1"/>
  <c r="M10817" i="58"/>
  <c r="N10817" i="58" s="1"/>
  <c r="M10783" i="58"/>
  <c r="N10783" i="58" s="1"/>
  <c r="M10782" i="58"/>
  <c r="M10772" i="58"/>
  <c r="M10771" i="58"/>
  <c r="N10771" i="58" s="1"/>
  <c r="M10761" i="58"/>
  <c r="N10761" i="58" s="1"/>
  <c r="M10760" i="58"/>
  <c r="N10760" i="58" s="1"/>
  <c r="N10751" i="58" s="1"/>
  <c r="M10750" i="58"/>
  <c r="M10749" i="58"/>
  <c r="M10739" i="58"/>
  <c r="N10739" i="58" s="1"/>
  <c r="M10738" i="58"/>
  <c r="N10738" i="58" s="1"/>
  <c r="M10728" i="58"/>
  <c r="N10728" i="58" s="1"/>
  <c r="M10727" i="58"/>
  <c r="N10727" i="58" s="1"/>
  <c r="N10718" i="58" s="1"/>
  <c r="M10717" i="58"/>
  <c r="N10717" i="58" s="1"/>
  <c r="M10716" i="58"/>
  <c r="N10716" i="58" s="1"/>
  <c r="M10706" i="58"/>
  <c r="N10706" i="58" s="1"/>
  <c r="M10705" i="58"/>
  <c r="N10705" i="58" s="1"/>
  <c r="M10695" i="58"/>
  <c r="N10695" i="58" s="1"/>
  <c r="M10694" i="58"/>
  <c r="M10684" i="58"/>
  <c r="M10683" i="58"/>
  <c r="N10683" i="58" s="1"/>
  <c r="M10673" i="58"/>
  <c r="N10673" i="58" s="1"/>
  <c r="M10672" i="58"/>
  <c r="N10672" i="58" s="1"/>
  <c r="M10662" i="58"/>
  <c r="M10661" i="58"/>
  <c r="M10651" i="58"/>
  <c r="N10651" i="58" s="1"/>
  <c r="M10637" i="58"/>
  <c r="N10637" i="58" s="1"/>
  <c r="N10624" i="58" s="1"/>
  <c r="M10623" i="58"/>
  <c r="M10609" i="58"/>
  <c r="M10595" i="58"/>
  <c r="N10595" i="58" s="1"/>
  <c r="N10582" i="58" s="1"/>
  <c r="M10581" i="58"/>
  <c r="N10581" i="58" s="1"/>
  <c r="N10568" i="58" s="1"/>
  <c r="M10567" i="58"/>
  <c r="N10567" i="58" s="1"/>
  <c r="N10554" i="58" s="1"/>
  <c r="M10553" i="58"/>
  <c r="N10553" i="58" s="1"/>
  <c r="N10542" i="58" s="1"/>
  <c r="M10541" i="58"/>
  <c r="N10541" i="58" s="1"/>
  <c r="N10530" i="58" s="1"/>
  <c r="M10529" i="58"/>
  <c r="M10528" i="58"/>
  <c r="M10516" i="58"/>
  <c r="N10516" i="58" s="1"/>
  <c r="M10515" i="58"/>
  <c r="N10515" i="58" s="1"/>
  <c r="M10503" i="58"/>
  <c r="N10503" i="58" s="1"/>
  <c r="M10502" i="58"/>
  <c r="M10490" i="58"/>
  <c r="N10490" i="58" s="1"/>
  <c r="N10479" i="58" s="1"/>
  <c r="M10478" i="58"/>
  <c r="N10478" i="58" s="1"/>
  <c r="N10467" i="58" s="1"/>
  <c r="M10466" i="58"/>
  <c r="N10466" i="58" s="1"/>
  <c r="N10455" i="58" s="1"/>
  <c r="M10454" i="58"/>
  <c r="N10454" i="58" s="1"/>
  <c r="N10443" i="58" s="1"/>
  <c r="M10442" i="58"/>
  <c r="N10442" i="58" s="1"/>
  <c r="M10441" i="58"/>
  <c r="N10441" i="58" s="1"/>
  <c r="M10429" i="58"/>
  <c r="N10429" i="58" s="1"/>
  <c r="M10428" i="58"/>
  <c r="N10428" i="58" s="1"/>
  <c r="M10416" i="58"/>
  <c r="N10416" i="58" s="1"/>
  <c r="M10415" i="58"/>
  <c r="N10415" i="58" s="1"/>
  <c r="N10404" i="58" s="1"/>
  <c r="M10402" i="58"/>
  <c r="M10393" i="58"/>
  <c r="N10393" i="58" s="1"/>
  <c r="M10392" i="58"/>
  <c r="N10392" i="58" s="1"/>
  <c r="M10383" i="58"/>
  <c r="N10383" i="58" s="1"/>
  <c r="M10382" i="58"/>
  <c r="N10382" i="58" s="1"/>
  <c r="M10342" i="58"/>
  <c r="N10342" i="58" s="1"/>
  <c r="M10331" i="58"/>
  <c r="N10331" i="58" s="1"/>
  <c r="M10330" i="58"/>
  <c r="N10330" i="58" s="1"/>
  <c r="M10329" i="58"/>
  <c r="N10329" i="58" s="1"/>
  <c r="M10319" i="58"/>
  <c r="M10318" i="58"/>
  <c r="N10318" i="58" s="1"/>
  <c r="M10307" i="58"/>
  <c r="N10307" i="58" s="1"/>
  <c r="M10306" i="58"/>
  <c r="N10306" i="58" s="1"/>
  <c r="M10247" i="58"/>
  <c r="M10246" i="58"/>
  <c r="M10235" i="58"/>
  <c r="M10234" i="58"/>
  <c r="M10222" i="58"/>
  <c r="N10222" i="58" s="1"/>
  <c r="M10211" i="58"/>
  <c r="N10211" i="58" s="1"/>
  <c r="M10201" i="58"/>
  <c r="M10171" i="58"/>
  <c r="M10161" i="58"/>
  <c r="N10161" i="58" s="1"/>
  <c r="M10131" i="58"/>
  <c r="N10131" i="58" s="1"/>
  <c r="M10130" i="58"/>
  <c r="N10130" i="58" s="1"/>
  <c r="M10119" i="58"/>
  <c r="M10118" i="58"/>
  <c r="N10118" i="58" s="1"/>
  <c r="M10106" i="58"/>
  <c r="M10094" i="58"/>
  <c r="N10094" i="58" s="1"/>
  <c r="M10082" i="58"/>
  <c r="M10073" i="58"/>
  <c r="M10063" i="58"/>
  <c r="M10053" i="58"/>
  <c r="M10043" i="58"/>
  <c r="N10043" i="58" s="1"/>
  <c r="M10042" i="58"/>
  <c r="N10042" i="58" s="1"/>
  <c r="M10033" i="58"/>
  <c r="N10033" i="58" s="1"/>
  <c r="M10003" i="58"/>
  <c r="N10003" i="58" s="1"/>
  <c r="M10002" i="58"/>
  <c r="M9990" i="58"/>
  <c r="M9979" i="58"/>
  <c r="N9979" i="58" s="1"/>
  <c r="M9978" i="58"/>
  <c r="N9978" i="58" s="1"/>
  <c r="M9966" i="58"/>
  <c r="N9966" i="58" s="1"/>
  <c r="M9955" i="58"/>
  <c r="M9945" i="58"/>
  <c r="M9935" i="58"/>
  <c r="M9905" i="58"/>
  <c r="N9905" i="58" s="1"/>
  <c r="M9875" i="58"/>
  <c r="M9874" i="58"/>
  <c r="M9872" i="58"/>
  <c r="M9863" i="58"/>
  <c r="M9862" i="58"/>
  <c r="N9862" i="58" s="1"/>
  <c r="M9851" i="58"/>
  <c r="N9851" i="58" s="1"/>
  <c r="M9850" i="58"/>
  <c r="N9850" i="58" s="1"/>
  <c r="M9838" i="58"/>
  <c r="N9838" i="58" s="1"/>
  <c r="M9807" i="58"/>
  <c r="N9807" i="58" s="1"/>
  <c r="M9797" i="58"/>
  <c r="N9797" i="58" s="1"/>
  <c r="M9796" i="58"/>
  <c r="N9796" i="58" s="1"/>
  <c r="M9787" i="58"/>
  <c r="N9787" i="58" s="1"/>
  <c r="M9786" i="58"/>
  <c r="N9786" i="58" s="1"/>
  <c r="M9777" i="58"/>
  <c r="N9777" i="58" s="1"/>
  <c r="M9747" i="58"/>
  <c r="N9747" i="58" s="1"/>
  <c r="M9746" i="58"/>
  <c r="M9737" i="58"/>
  <c r="M9726" i="58"/>
  <c r="M9715" i="58"/>
  <c r="N9715" i="58" s="1"/>
  <c r="M9714" i="58"/>
  <c r="N9714" i="58" s="1"/>
  <c r="M9702" i="58"/>
  <c r="N9702" i="58" s="1"/>
  <c r="M9691" i="58"/>
  <c r="M9690" i="58"/>
  <c r="M9688" i="58"/>
  <c r="N9688" i="58" s="1"/>
  <c r="M9679" i="58"/>
  <c r="N9679" i="58" s="1"/>
  <c r="M9678" i="58"/>
  <c r="N9678" i="58" s="1"/>
  <c r="M9626" i="58"/>
  <c r="M9617" i="58"/>
  <c r="M9607" i="58"/>
  <c r="M9606" i="58"/>
  <c r="M9597" i="58"/>
  <c r="M9587" i="58"/>
  <c r="N9587" i="58" s="1"/>
  <c r="M9577" i="58"/>
  <c r="N9577" i="58" s="1"/>
  <c r="M9566" i="58"/>
  <c r="N9566" i="58" s="1"/>
  <c r="M9554" i="58"/>
  <c r="M9542" i="58"/>
  <c r="N9542" i="58" s="1"/>
  <c r="M9540" i="58"/>
  <c r="N9540" i="58" s="1"/>
  <c r="M9531" i="58"/>
  <c r="N9531" i="58" s="1"/>
  <c r="M9530" i="58"/>
  <c r="N9530" i="58" s="1"/>
  <c r="M9529" i="58"/>
  <c r="N9529" i="58" s="1"/>
  <c r="M9518" i="58"/>
  <c r="N9518" i="58" s="1"/>
  <c r="M9507" i="58"/>
  <c r="M9506" i="58"/>
  <c r="M9497" i="58"/>
  <c r="M9467" i="58"/>
  <c r="N9467" i="58" s="1"/>
  <c r="M9457" i="58"/>
  <c r="N9457" i="58" s="1"/>
  <c r="M9427" i="58"/>
  <c r="N9427" i="58" s="1"/>
  <c r="M9417" i="58"/>
  <c r="M9407" i="58"/>
  <c r="M9397" i="58"/>
  <c r="M9396" i="58"/>
  <c r="M9387" i="58"/>
  <c r="N9387" i="58" s="1"/>
  <c r="M9386" i="58"/>
  <c r="M9374" i="58"/>
  <c r="N9374" i="58" s="1"/>
  <c r="M9362" i="58"/>
  <c r="M9351" i="58"/>
  <c r="M9350" i="58"/>
  <c r="M9339" i="58"/>
  <c r="N9339" i="58" s="1"/>
  <c r="M9338" i="58"/>
  <c r="N9338" i="58" s="1"/>
  <c r="M9326" i="58"/>
  <c r="N9326" i="58" s="1"/>
  <c r="M9315" i="58"/>
  <c r="N9315" i="58" s="1"/>
  <c r="M9295" i="58"/>
  <c r="M9285" i="58"/>
  <c r="M9284" i="58"/>
  <c r="N9284" i="58" s="1"/>
  <c r="M9275" i="58"/>
  <c r="M9274" i="58"/>
  <c r="N9274" i="58" s="1"/>
  <c r="M9265" i="58"/>
  <c r="N9265" i="58" s="1"/>
  <c r="M9235" i="58"/>
  <c r="M9225" i="58"/>
  <c r="M9215" i="58"/>
  <c r="M9214" i="58"/>
  <c r="N9214" i="58" s="1"/>
  <c r="M9202" i="58"/>
  <c r="N9202" i="58" s="1"/>
  <c r="M9190" i="58"/>
  <c r="N9190" i="58" s="1"/>
  <c r="M9179" i="58"/>
  <c r="M9178" i="58"/>
  <c r="M9167" i="58"/>
  <c r="M9166" i="58"/>
  <c r="N9166" i="58" s="1"/>
  <c r="M9155" i="58"/>
  <c r="N9155" i="58" s="1"/>
  <c r="M9105" i="58"/>
  <c r="M9095" i="58"/>
  <c r="M9085" i="58"/>
  <c r="N9085" i="58" s="1"/>
  <c r="M9084" i="58"/>
  <c r="N9084" i="58" s="1"/>
  <c r="M9075" i="58"/>
  <c r="N9075" i="58" s="1"/>
  <c r="M9074" i="58"/>
  <c r="N9074" i="58" s="1"/>
  <c r="M9073" i="58"/>
  <c r="N9073" i="58" s="1"/>
  <c r="M9062" i="58"/>
  <c r="N9062" i="58" s="1"/>
  <c r="M9051" i="58"/>
  <c r="N9051" i="58" s="1"/>
  <c r="M9050" i="58"/>
  <c r="M9038" i="58"/>
  <c r="N9038" i="58" s="1"/>
  <c r="M9027" i="58"/>
  <c r="N9027" i="58" s="1"/>
  <c r="N9015" i="58" s="1"/>
  <c r="M9014" i="58"/>
  <c r="N9014" i="58" s="1"/>
  <c r="N9002" i="58" s="1"/>
  <c r="M9001" i="58"/>
  <c r="N9001" i="58" s="1"/>
  <c r="N8989" i="58" s="1"/>
  <c r="M8988" i="58"/>
  <c r="N8988" i="58" s="1"/>
  <c r="N8976" i="58" s="1"/>
  <c r="M8975" i="58"/>
  <c r="N8975" i="58" s="1"/>
  <c r="N8963" i="58" s="1"/>
  <c r="M8962" i="58"/>
  <c r="N8962" i="58" s="1"/>
  <c r="N8950" i="58" s="1"/>
  <c r="M8949" i="58"/>
  <c r="N8949" i="58" s="1"/>
  <c r="N8937" i="58" s="1"/>
  <c r="M8936" i="58"/>
  <c r="N8936" i="58" s="1"/>
  <c r="N8924" i="58" s="1"/>
  <c r="M8923" i="58"/>
  <c r="M8910" i="58"/>
  <c r="M8897" i="58"/>
  <c r="N8897" i="58" s="1"/>
  <c r="N8885" i="58" s="1"/>
  <c r="M8884" i="58"/>
  <c r="M8871" i="58"/>
  <c r="M8858" i="58"/>
  <c r="N8858" i="58" s="1"/>
  <c r="N8846" i="58" s="1"/>
  <c r="M8845" i="58"/>
  <c r="M8831" i="58"/>
  <c r="M8817" i="58"/>
  <c r="N8817" i="58" s="1"/>
  <c r="N8804" i="58" s="1"/>
  <c r="M8803" i="58"/>
  <c r="M8789" i="58"/>
  <c r="M8775" i="58"/>
  <c r="M8761" i="58"/>
  <c r="N8761" i="58" s="1"/>
  <c r="N8748" i="58" s="1"/>
  <c r="M8747" i="58"/>
  <c r="N8747" i="58" s="1"/>
  <c r="N8734" i="58" s="1"/>
  <c r="M8733" i="58"/>
  <c r="N8733" i="58" s="1"/>
  <c r="N8721" i="58" s="1"/>
  <c r="M8720" i="58"/>
  <c r="N8720" i="58" s="1"/>
  <c r="N8708" i="58" s="1"/>
  <c r="M8707" i="58"/>
  <c r="N8707" i="58" s="1"/>
  <c r="N8695" i="58" s="1"/>
  <c r="M8694" i="58"/>
  <c r="M8681" i="58"/>
  <c r="M8668" i="58"/>
  <c r="M8667" i="58"/>
  <c r="M8649" i="58"/>
  <c r="M8648" i="58"/>
  <c r="M8630" i="58"/>
  <c r="N8630" i="58" s="1"/>
  <c r="M8629" i="58"/>
  <c r="M8611" i="58"/>
  <c r="N8611" i="58" s="1"/>
  <c r="M8610" i="58"/>
  <c r="M8592" i="58"/>
  <c r="N8592" i="58" s="1"/>
  <c r="M8591" i="58"/>
  <c r="N8591" i="58" s="1"/>
  <c r="M8573" i="58"/>
  <c r="N8573" i="58" s="1"/>
  <c r="M8572" i="58"/>
  <c r="N8572" i="58" s="1"/>
  <c r="M8554" i="58"/>
  <c r="N8554" i="58" s="1"/>
  <c r="M8553" i="58"/>
  <c r="N8553" i="58" s="1"/>
  <c r="M8535" i="58"/>
  <c r="M8534" i="58"/>
  <c r="M8516" i="58"/>
  <c r="M8515" i="58"/>
  <c r="M8497" i="58"/>
  <c r="N8497" i="58" s="1"/>
  <c r="M8496" i="58"/>
  <c r="M8478" i="58"/>
  <c r="M8477" i="58"/>
  <c r="M8459" i="58"/>
  <c r="M8458" i="58"/>
  <c r="M8432" i="58"/>
  <c r="M8424" i="58"/>
  <c r="N8424" i="58" s="1"/>
  <c r="N8417" i="58" s="1"/>
  <c r="M8416" i="58"/>
  <c r="N8416" i="58" s="1"/>
  <c r="N8409" i="58" s="1"/>
  <c r="M8363" i="58"/>
  <c r="N8363" i="58" s="1"/>
  <c r="N8356" i="58" s="1"/>
  <c r="M5100" i="58"/>
  <c r="N5100" i="58" s="1"/>
  <c r="M5099" i="58"/>
  <c r="N5099" i="58" s="1"/>
  <c r="M5091" i="58"/>
  <c r="N5091" i="58" s="1"/>
  <c r="M5082" i="58"/>
  <c r="N5082" i="58" s="1"/>
  <c r="M5073" i="58"/>
  <c r="N5073" i="58" s="1"/>
  <c r="M5072" i="58"/>
  <c r="N5072" i="58" s="1"/>
  <c r="M5064" i="58"/>
  <c r="M5063" i="58"/>
  <c r="M5055" i="58"/>
  <c r="M5054" i="58"/>
  <c r="M5046" i="58"/>
  <c r="N5046" i="58" s="1"/>
  <c r="M5035" i="58"/>
  <c r="M4960" i="58"/>
  <c r="N4960" i="58" s="1"/>
  <c r="M4948" i="58"/>
  <c r="N4948" i="58" s="1"/>
  <c r="M4942" i="58"/>
  <c r="M4930" i="58"/>
  <c r="M4870" i="58"/>
  <c r="M4864" i="58"/>
  <c r="N4864" i="58" s="1"/>
  <c r="M4846" i="58"/>
  <c r="M4840" i="58"/>
  <c r="M4799" i="58"/>
  <c r="N4799" i="58" s="1"/>
  <c r="M4779" i="58"/>
  <c r="N4779" i="58" s="1"/>
  <c r="M4769" i="58"/>
  <c r="N4769" i="58" s="1"/>
  <c r="M4748" i="58"/>
  <c r="M3975" i="58"/>
  <c r="N3975" i="58" s="1"/>
  <c r="N3967" i="58" s="1"/>
  <c r="M3966" i="58"/>
  <c r="N3966" i="58" s="1"/>
  <c r="N3958" i="58" s="1"/>
  <c r="M3948" i="58"/>
  <c r="N3948" i="58" s="1"/>
  <c r="N3940" i="58" s="1"/>
  <c r="M3939" i="58"/>
  <c r="N3939" i="58" s="1"/>
  <c r="N3931" i="58" s="1"/>
  <c r="M3921" i="58"/>
  <c r="N3921" i="58" s="1"/>
  <c r="N3913" i="58" s="1"/>
  <c r="M3912" i="58"/>
  <c r="M3903" i="58"/>
  <c r="M3894" i="58"/>
  <c r="M3885" i="58"/>
  <c r="M3876" i="58"/>
  <c r="M3858" i="58"/>
  <c r="N3858" i="58" s="1"/>
  <c r="N3850" i="58" s="1"/>
  <c r="M3849" i="58"/>
  <c r="M3840" i="58"/>
  <c r="M3831" i="58"/>
  <c r="M3822" i="58"/>
  <c r="N3822" i="58" s="1"/>
  <c r="N3814" i="58" s="1"/>
  <c r="M3804" i="58"/>
  <c r="N3804" i="58" s="1"/>
  <c r="N3796" i="58" s="1"/>
  <c r="M3795" i="58"/>
  <c r="N3795" i="58" s="1"/>
  <c r="N3787" i="58" s="1"/>
  <c r="M3777" i="58"/>
  <c r="N3777" i="58" s="1"/>
  <c r="N3769" i="58" s="1"/>
  <c r="M3768" i="58"/>
  <c r="N3768" i="58" s="1"/>
  <c r="N3760" i="58" s="1"/>
  <c r="M699" i="58"/>
  <c r="M691" i="58"/>
  <c r="M683" i="58"/>
  <c r="M675" i="58"/>
  <c r="M667" i="58"/>
  <c r="M574" i="58"/>
  <c r="N574" i="58" s="1"/>
  <c r="N567" i="58" s="1"/>
  <c r="M566" i="58"/>
  <c r="N566" i="58" s="1"/>
  <c r="N559" i="58" s="1"/>
  <c r="M558" i="58"/>
  <c r="N558" i="58" s="1"/>
  <c r="N551" i="58" s="1"/>
  <c r="M550" i="58"/>
  <c r="N550" i="58" s="1"/>
  <c r="N543" i="58" s="1"/>
  <c r="M542" i="58"/>
  <c r="N542" i="58" s="1"/>
  <c r="M424" i="58"/>
  <c r="N424" i="58" s="1"/>
  <c r="N417" i="58" s="1"/>
  <c r="M416" i="58"/>
  <c r="N416" i="58" s="1"/>
  <c r="N409" i="58" s="1"/>
  <c r="M408" i="58"/>
  <c r="N408" i="58" s="1"/>
  <c r="N401" i="58" s="1"/>
  <c r="M392" i="58"/>
  <c r="N392" i="58" s="1"/>
  <c r="N385" i="58" s="1"/>
  <c r="M384" i="58"/>
  <c r="N384" i="58" s="1"/>
  <c r="N377" i="58" s="1"/>
  <c r="M376" i="58"/>
  <c r="M368" i="58"/>
  <c r="M360" i="58"/>
  <c r="M352" i="58"/>
  <c r="M344" i="58"/>
  <c r="N344" i="58" s="1"/>
  <c r="N337" i="58" s="1"/>
  <c r="M336" i="58"/>
  <c r="N336" i="58" s="1"/>
  <c r="N329" i="58" s="1"/>
  <c r="M328" i="58"/>
  <c r="M214" i="58"/>
  <c r="M209" i="58"/>
  <c r="N209" i="58" s="1"/>
  <c r="N205" i="58" s="1"/>
  <c r="M204" i="58"/>
  <c r="M199" i="58"/>
  <c r="M10883" i="58"/>
  <c r="M10894" i="58"/>
  <c r="N10894" i="58" s="1"/>
  <c r="M10905" i="58"/>
  <c r="N10905" i="58" s="1"/>
  <c r="N12690" i="58"/>
  <c r="N12682" i="58" s="1"/>
  <c r="N12681" i="58"/>
  <c r="N12673" i="58" s="1"/>
  <c r="N12355" i="58"/>
  <c r="N11782" i="58"/>
  <c r="N11771" i="58"/>
  <c r="N11759" i="58"/>
  <c r="N11749" i="58" s="1"/>
  <c r="N11149" i="58"/>
  <c r="N11136" i="58" s="1"/>
  <c r="N11057" i="58"/>
  <c r="N11047" i="58" s="1"/>
  <c r="N10750" i="58"/>
  <c r="N10749" i="58"/>
  <c r="N10740" i="58" s="1"/>
  <c r="N10623" i="58"/>
  <c r="N10610" i="58" s="1"/>
  <c r="N10609" i="58"/>
  <c r="N10596" i="58" s="1"/>
  <c r="N10529" i="58"/>
  <c r="N10319" i="58"/>
  <c r="N10235" i="58"/>
  <c r="N10234" i="58"/>
  <c r="N9691" i="58"/>
  <c r="N9507" i="58"/>
  <c r="N9407" i="58"/>
  <c r="N9397" i="58"/>
  <c r="N9386" i="58"/>
  <c r="N9351" i="58"/>
  <c r="N9350" i="58"/>
  <c r="N9275" i="58"/>
  <c r="N9235" i="58"/>
  <c r="N8923" i="58"/>
  <c r="N8911" i="58" s="1"/>
  <c r="N8831" i="58"/>
  <c r="N8818" i="58" s="1"/>
  <c r="N8803" i="58"/>
  <c r="N8790" i="58" s="1"/>
  <c r="H16" i="51" s="1"/>
  <c r="H15" i="51" s="1"/>
  <c r="N8789" i="58"/>
  <c r="N8776" i="58" s="1"/>
  <c r="N8775" i="58"/>
  <c r="N8762" i="58" s="1"/>
  <c r="N8478" i="58"/>
  <c r="N8459" i="58"/>
  <c r="N8458" i="58"/>
  <c r="N8432" i="58"/>
  <c r="N8425" i="58" s="1"/>
  <c r="N5035" i="58"/>
  <c r="N4870" i="58"/>
  <c r="N3894" i="58"/>
  <c r="N3886" i="58" s="1"/>
  <c r="N3849" i="58"/>
  <c r="N3841" i="58" s="1"/>
  <c r="N3840" i="58"/>
  <c r="N3832" i="58" s="1"/>
  <c r="N3831" i="58"/>
  <c r="N3823" i="58" s="1"/>
  <c r="N328" i="58"/>
  <c r="N321" i="58" s="1"/>
  <c r="N214" i="58"/>
  <c r="N210" i="58" s="1"/>
  <c r="N204" i="58"/>
  <c r="N200" i="58" s="1"/>
  <c r="N199" i="58"/>
  <c r="N195" i="58" s="1"/>
  <c r="S933" i="61"/>
  <c r="R933" i="61"/>
  <c r="Q933" i="61"/>
  <c r="P933" i="61"/>
  <c r="S932" i="61"/>
  <c r="R932" i="61"/>
  <c r="Q932" i="61"/>
  <c r="P932" i="61"/>
  <c r="S931" i="61"/>
  <c r="R931" i="61"/>
  <c r="Q931" i="61"/>
  <c r="P931" i="61"/>
  <c r="S930" i="61"/>
  <c r="R930" i="61"/>
  <c r="Q930" i="61"/>
  <c r="P930" i="61"/>
  <c r="S929" i="61"/>
  <c r="R929" i="61"/>
  <c r="Q929" i="61"/>
  <c r="P929" i="61"/>
  <c r="S928" i="61"/>
  <c r="R928" i="61"/>
  <c r="Q928" i="61"/>
  <c r="P928" i="61"/>
  <c r="S927" i="61"/>
  <c r="R927" i="61"/>
  <c r="Q927" i="61"/>
  <c r="P927" i="61"/>
  <c r="S926" i="61"/>
  <c r="R926" i="61"/>
  <c r="Q926" i="61"/>
  <c r="P926" i="61"/>
  <c r="S925" i="61"/>
  <c r="R925" i="61"/>
  <c r="Q925" i="61"/>
  <c r="P925" i="61"/>
  <c r="S924" i="61"/>
  <c r="R924" i="61"/>
  <c r="Q924" i="61"/>
  <c r="P924" i="61"/>
  <c r="S923" i="61"/>
  <c r="R923" i="61"/>
  <c r="Q923" i="61"/>
  <c r="P923" i="61"/>
  <c r="S922" i="61"/>
  <c r="R922" i="61"/>
  <c r="Q922" i="61"/>
  <c r="P922" i="61"/>
  <c r="S921" i="61"/>
  <c r="R921" i="61"/>
  <c r="Q921" i="61"/>
  <c r="P921" i="61"/>
  <c r="S920" i="61"/>
  <c r="R920" i="61"/>
  <c r="Q920" i="61"/>
  <c r="P920" i="61"/>
  <c r="O919" i="61"/>
  <c r="S919" i="61" s="1"/>
  <c r="N919" i="61"/>
  <c r="R919" i="61" s="1"/>
  <c r="M919" i="61"/>
  <c r="M10363" i="58" s="1"/>
  <c r="N10363" i="58" s="1"/>
  <c r="L919" i="61"/>
  <c r="P919" i="61" s="1"/>
  <c r="O918" i="61"/>
  <c r="S918" i="61" s="1"/>
  <c r="N918" i="61"/>
  <c r="R918" i="61" s="1"/>
  <c r="M918" i="61"/>
  <c r="L918" i="61"/>
  <c r="P918" i="61" s="1"/>
  <c r="O917" i="61"/>
  <c r="S917" i="61" s="1"/>
  <c r="N917" i="61"/>
  <c r="R917" i="61" s="1"/>
  <c r="M917" i="61"/>
  <c r="L917" i="61"/>
  <c r="P917" i="61" s="1"/>
  <c r="O916" i="61"/>
  <c r="S916" i="61" s="1"/>
  <c r="N916" i="61"/>
  <c r="R916" i="61" s="1"/>
  <c r="M916" i="61"/>
  <c r="L916" i="61"/>
  <c r="P916" i="61" s="1"/>
  <c r="O915" i="61"/>
  <c r="S915" i="61" s="1"/>
  <c r="N915" i="61"/>
  <c r="R915" i="61" s="1"/>
  <c r="M915" i="61"/>
  <c r="L915" i="61"/>
  <c r="P915" i="61" s="1"/>
  <c r="O914" i="61"/>
  <c r="S914" i="61" s="1"/>
  <c r="N914" i="61"/>
  <c r="R914" i="61" s="1"/>
  <c r="M914" i="61"/>
  <c r="M10116" i="58" s="1"/>
  <c r="N10116" i="58" s="1"/>
  <c r="L914" i="61"/>
  <c r="P914" i="61" s="1"/>
  <c r="O913" i="61"/>
  <c r="S913" i="61" s="1"/>
  <c r="N913" i="61"/>
  <c r="R913" i="61" s="1"/>
  <c r="M913" i="61"/>
  <c r="M10062" i="58" s="1"/>
  <c r="L913" i="61"/>
  <c r="P913" i="61" s="1"/>
  <c r="O912" i="61"/>
  <c r="S912" i="61" s="1"/>
  <c r="N912" i="61"/>
  <c r="R912" i="61" s="1"/>
  <c r="M912" i="61"/>
  <c r="L912" i="61"/>
  <c r="P912" i="61" s="1"/>
  <c r="O911" i="61"/>
  <c r="S911" i="61" s="1"/>
  <c r="N911" i="61"/>
  <c r="R911" i="61" s="1"/>
  <c r="M911" i="61"/>
  <c r="L911" i="61"/>
  <c r="P911" i="61" s="1"/>
  <c r="O910" i="61"/>
  <c r="S910" i="61" s="1"/>
  <c r="N910" i="61"/>
  <c r="R910" i="61" s="1"/>
  <c r="M910" i="61"/>
  <c r="M9616" i="58" s="1"/>
  <c r="L910" i="61"/>
  <c r="P910" i="61" s="1"/>
  <c r="O909" i="61"/>
  <c r="S909" i="61" s="1"/>
  <c r="N909" i="61"/>
  <c r="R909" i="61" s="1"/>
  <c r="M909" i="61"/>
  <c r="L909" i="61"/>
  <c r="P909" i="61" s="1"/>
  <c r="O908" i="61"/>
  <c r="S908" i="61" s="1"/>
  <c r="N908" i="61"/>
  <c r="R908" i="61" s="1"/>
  <c r="M908" i="61"/>
  <c r="L908" i="61"/>
  <c r="P908" i="61" s="1"/>
  <c r="O907" i="61"/>
  <c r="S907" i="61" s="1"/>
  <c r="N907" i="61"/>
  <c r="R907" i="61" s="1"/>
  <c r="M907" i="61"/>
  <c r="Q907" i="61" s="1"/>
  <c r="L907" i="61"/>
  <c r="P907" i="61" s="1"/>
  <c r="S906" i="61"/>
  <c r="R906" i="61"/>
  <c r="Q906" i="61"/>
  <c r="P906" i="61"/>
  <c r="S905" i="61"/>
  <c r="R905" i="61"/>
  <c r="Q905" i="61"/>
  <c r="P905" i="61"/>
  <c r="S904" i="61"/>
  <c r="R904" i="61"/>
  <c r="Q904" i="61"/>
  <c r="P904" i="61"/>
  <c r="S903" i="61"/>
  <c r="R903" i="61"/>
  <c r="Q903" i="61"/>
  <c r="P903" i="61"/>
  <c r="S902" i="61"/>
  <c r="R902" i="61"/>
  <c r="Q902" i="61"/>
  <c r="P902" i="61"/>
  <c r="S901" i="61"/>
  <c r="R901" i="61"/>
  <c r="Q901" i="61"/>
  <c r="P901" i="61"/>
  <c r="S900" i="61"/>
  <c r="R900" i="61"/>
  <c r="Q900" i="61"/>
  <c r="P900" i="61"/>
  <c r="S899" i="61"/>
  <c r="R899" i="61"/>
  <c r="Q899" i="61"/>
  <c r="P899" i="61"/>
  <c r="S898" i="61"/>
  <c r="R898" i="61"/>
  <c r="Q898" i="61"/>
  <c r="P898" i="61"/>
  <c r="S897" i="61"/>
  <c r="R897" i="61"/>
  <c r="Q897" i="61"/>
  <c r="P897" i="61"/>
  <c r="S896" i="61"/>
  <c r="R896" i="61"/>
  <c r="Q896" i="61"/>
  <c r="P896" i="61"/>
  <c r="S895" i="61"/>
  <c r="R895" i="61"/>
  <c r="Q895" i="61"/>
  <c r="P895" i="61"/>
  <c r="S894" i="61"/>
  <c r="R894" i="61"/>
  <c r="Q894" i="61"/>
  <c r="P894" i="61"/>
  <c r="S893" i="61"/>
  <c r="R893" i="61"/>
  <c r="Q893" i="61"/>
  <c r="P893" i="61"/>
  <c r="S892" i="61"/>
  <c r="R892" i="61"/>
  <c r="Q892" i="61"/>
  <c r="P892" i="61"/>
  <c r="S891" i="61"/>
  <c r="R891" i="61"/>
  <c r="Q891" i="61"/>
  <c r="P891" i="61"/>
  <c r="S890" i="61"/>
  <c r="R890" i="61"/>
  <c r="Q890" i="61"/>
  <c r="P890" i="61"/>
  <c r="S889" i="61"/>
  <c r="R889" i="61"/>
  <c r="Q889" i="61"/>
  <c r="P889" i="61"/>
  <c r="S888" i="61"/>
  <c r="R888" i="61"/>
  <c r="Q888" i="61"/>
  <c r="P888" i="61"/>
  <c r="S887" i="61"/>
  <c r="R887" i="61"/>
  <c r="Q887" i="61"/>
  <c r="P887" i="61"/>
  <c r="S886" i="61"/>
  <c r="R886" i="61"/>
  <c r="Q886" i="61"/>
  <c r="P886" i="61"/>
  <c r="S885" i="61"/>
  <c r="R885" i="61"/>
  <c r="Q885" i="61"/>
  <c r="P885" i="61"/>
  <c r="S884" i="61"/>
  <c r="R884" i="61"/>
  <c r="Q884" i="61"/>
  <c r="P884" i="61"/>
  <c r="S883" i="61"/>
  <c r="R883" i="61"/>
  <c r="Q883" i="61"/>
  <c r="P883" i="61"/>
  <c r="S882" i="61"/>
  <c r="R882" i="61"/>
  <c r="Q882" i="61"/>
  <c r="P882" i="61"/>
  <c r="S881" i="61"/>
  <c r="R881" i="61"/>
  <c r="Q881" i="61"/>
  <c r="P881" i="61"/>
  <c r="S880" i="61"/>
  <c r="R880" i="61"/>
  <c r="Q880" i="61"/>
  <c r="P880" i="61"/>
  <c r="S879" i="61"/>
  <c r="R879" i="61"/>
  <c r="Q879" i="61"/>
  <c r="P879" i="61"/>
  <c r="S878" i="61"/>
  <c r="R878" i="61"/>
  <c r="Q878" i="61"/>
  <c r="P878" i="61"/>
  <c r="S877" i="61"/>
  <c r="R877" i="61"/>
  <c r="Q877" i="61"/>
  <c r="P877" i="61"/>
  <c r="S876" i="61"/>
  <c r="R876" i="61"/>
  <c r="Q876" i="61"/>
  <c r="P876" i="61"/>
  <c r="S875" i="61"/>
  <c r="R875" i="61"/>
  <c r="Q875" i="61"/>
  <c r="P875" i="61"/>
  <c r="S874" i="61"/>
  <c r="R874" i="61"/>
  <c r="Q874" i="61"/>
  <c r="P874" i="61"/>
  <c r="S873" i="61"/>
  <c r="R873" i="61"/>
  <c r="Q873" i="61"/>
  <c r="P873" i="61"/>
  <c r="S872" i="61"/>
  <c r="R872" i="61"/>
  <c r="Q872" i="61"/>
  <c r="P872" i="61"/>
  <c r="S871" i="61"/>
  <c r="R871" i="61"/>
  <c r="Q871" i="61"/>
  <c r="P871" i="61"/>
  <c r="S870" i="61"/>
  <c r="R870" i="61"/>
  <c r="Q870" i="61"/>
  <c r="P870" i="61"/>
  <c r="S869" i="61"/>
  <c r="R869" i="61"/>
  <c r="Q869" i="61"/>
  <c r="P869" i="61"/>
  <c r="S868" i="61"/>
  <c r="R868" i="61"/>
  <c r="Q868" i="61"/>
  <c r="P868" i="61"/>
  <c r="S867" i="61"/>
  <c r="R867" i="61"/>
  <c r="Q867" i="61"/>
  <c r="P867" i="61"/>
  <c r="S866" i="61"/>
  <c r="R866" i="61"/>
  <c r="Q866" i="61"/>
  <c r="P866" i="61"/>
  <c r="S865" i="61"/>
  <c r="R865" i="61"/>
  <c r="Q865" i="61"/>
  <c r="P865" i="61"/>
  <c r="S864" i="61"/>
  <c r="R864" i="61"/>
  <c r="Q864" i="61"/>
  <c r="P864" i="61"/>
  <c r="S863" i="61"/>
  <c r="R863" i="61"/>
  <c r="Q863" i="61"/>
  <c r="P863" i="61"/>
  <c r="S862" i="61"/>
  <c r="R862" i="61"/>
  <c r="Q862" i="61"/>
  <c r="P862" i="61"/>
  <c r="S861" i="61"/>
  <c r="R861" i="61"/>
  <c r="Q861" i="61"/>
  <c r="P861" i="61"/>
  <c r="S860" i="61"/>
  <c r="R860" i="61"/>
  <c r="Q860" i="61"/>
  <c r="P860" i="61"/>
  <c r="S859" i="61"/>
  <c r="R859" i="61"/>
  <c r="Q859" i="61"/>
  <c r="P859" i="61"/>
  <c r="S858" i="61"/>
  <c r="R858" i="61"/>
  <c r="Q858" i="61"/>
  <c r="P858" i="61"/>
  <c r="S857" i="61"/>
  <c r="R857" i="61"/>
  <c r="Q857" i="61"/>
  <c r="P857" i="61"/>
  <c r="S856" i="61"/>
  <c r="R856" i="61"/>
  <c r="Q856" i="61"/>
  <c r="P856" i="61"/>
  <c r="S855" i="61"/>
  <c r="R855" i="61"/>
  <c r="Q855" i="61"/>
  <c r="P855" i="61"/>
  <c r="S854" i="61"/>
  <c r="R854" i="61"/>
  <c r="Q854" i="61"/>
  <c r="P854" i="61"/>
  <c r="S853" i="61"/>
  <c r="R853" i="61"/>
  <c r="Q853" i="61"/>
  <c r="P853" i="61"/>
  <c r="S852" i="61"/>
  <c r="R852" i="61"/>
  <c r="Q852" i="61"/>
  <c r="P852" i="61"/>
  <c r="S851" i="61"/>
  <c r="R851" i="61"/>
  <c r="Q851" i="61"/>
  <c r="P851" i="61"/>
  <c r="S850" i="61"/>
  <c r="R850" i="61"/>
  <c r="Q850" i="61"/>
  <c r="P850" i="61"/>
  <c r="S849" i="61"/>
  <c r="R849" i="61"/>
  <c r="Q849" i="61"/>
  <c r="P849" i="61"/>
  <c r="S848" i="61"/>
  <c r="R848" i="61"/>
  <c r="Q848" i="61"/>
  <c r="P848" i="61"/>
  <c r="S847" i="61"/>
  <c r="R847" i="61"/>
  <c r="Q847" i="61"/>
  <c r="P847" i="61"/>
  <c r="S846" i="61"/>
  <c r="R846" i="61"/>
  <c r="Q846" i="61"/>
  <c r="P846" i="61"/>
  <c r="S845" i="61"/>
  <c r="R845" i="61"/>
  <c r="Q845" i="61"/>
  <c r="P845" i="61"/>
  <c r="S844" i="61"/>
  <c r="R844" i="61"/>
  <c r="Q844" i="61"/>
  <c r="P844" i="61"/>
  <c r="S843" i="61"/>
  <c r="R843" i="61"/>
  <c r="Q843" i="61"/>
  <c r="P843" i="61"/>
  <c r="S842" i="61"/>
  <c r="R842" i="61"/>
  <c r="Q842" i="61"/>
  <c r="P842" i="61"/>
  <c r="S841" i="61"/>
  <c r="R841" i="61"/>
  <c r="Q841" i="61"/>
  <c r="P841" i="61"/>
  <c r="S840" i="61"/>
  <c r="R840" i="61"/>
  <c r="Q840" i="61"/>
  <c r="P840" i="61"/>
  <c r="S839" i="61"/>
  <c r="R839" i="61"/>
  <c r="Q839" i="61"/>
  <c r="P839" i="61"/>
  <c r="S838" i="61"/>
  <c r="R838" i="61"/>
  <c r="Q838" i="61"/>
  <c r="P838" i="61"/>
  <c r="S837" i="61"/>
  <c r="R837" i="61"/>
  <c r="Q837" i="61"/>
  <c r="P837" i="61"/>
  <c r="S836" i="61"/>
  <c r="R836" i="61"/>
  <c r="Q836" i="61"/>
  <c r="P836" i="61"/>
  <c r="S835" i="61"/>
  <c r="R835" i="61"/>
  <c r="Q835" i="61"/>
  <c r="P835" i="61"/>
  <c r="S834" i="61"/>
  <c r="R834" i="61"/>
  <c r="Q834" i="61"/>
  <c r="P834" i="61"/>
  <c r="S833" i="61"/>
  <c r="R833" i="61"/>
  <c r="Q833" i="61"/>
  <c r="P833" i="61"/>
  <c r="S832" i="61"/>
  <c r="R832" i="61"/>
  <c r="Q832" i="61"/>
  <c r="P832" i="61"/>
  <c r="S831" i="61"/>
  <c r="R831" i="61"/>
  <c r="Q831" i="61"/>
  <c r="P831" i="61"/>
  <c r="S830" i="61"/>
  <c r="R830" i="61"/>
  <c r="Q830" i="61"/>
  <c r="P830" i="61"/>
  <c r="S829" i="61"/>
  <c r="R829" i="61"/>
  <c r="Q829" i="61"/>
  <c r="P829" i="61"/>
  <c r="S828" i="61"/>
  <c r="R828" i="61"/>
  <c r="Q828" i="61"/>
  <c r="P828" i="61"/>
  <c r="S827" i="61"/>
  <c r="R827" i="61"/>
  <c r="Q827" i="61"/>
  <c r="P827" i="61"/>
  <c r="S826" i="61"/>
  <c r="R826" i="61"/>
  <c r="Q826" i="61"/>
  <c r="P826" i="61"/>
  <c r="S825" i="61"/>
  <c r="R825" i="61"/>
  <c r="Q825" i="61"/>
  <c r="P825" i="61"/>
  <c r="S824" i="61"/>
  <c r="R824" i="61"/>
  <c r="Q824" i="61"/>
  <c r="P824" i="61"/>
  <c r="S823" i="61"/>
  <c r="R823" i="61"/>
  <c r="Q823" i="61"/>
  <c r="P823" i="61"/>
  <c r="S822" i="61"/>
  <c r="R822" i="61"/>
  <c r="Q822" i="61"/>
  <c r="P822" i="61"/>
  <c r="S821" i="61"/>
  <c r="R821" i="61"/>
  <c r="Q821" i="61"/>
  <c r="P821" i="61"/>
  <c r="S820" i="61"/>
  <c r="R820" i="61"/>
  <c r="Q820" i="61"/>
  <c r="P820" i="61"/>
  <c r="S819" i="61"/>
  <c r="R819" i="61"/>
  <c r="Q819" i="61"/>
  <c r="P819" i="61"/>
  <c r="S818" i="61"/>
  <c r="R818" i="61"/>
  <c r="Q818" i="61"/>
  <c r="P818" i="61"/>
  <c r="S817" i="61"/>
  <c r="R817" i="61"/>
  <c r="Q817" i="61"/>
  <c r="P817" i="61"/>
  <c r="S816" i="61"/>
  <c r="R816" i="61"/>
  <c r="Q816" i="61"/>
  <c r="P816" i="61"/>
  <c r="S815" i="61"/>
  <c r="R815" i="61"/>
  <c r="Q815" i="61"/>
  <c r="P815" i="61"/>
  <c r="S814" i="61"/>
  <c r="R814" i="61"/>
  <c r="Q814" i="61"/>
  <c r="P814" i="61"/>
  <c r="S813" i="61"/>
  <c r="R813" i="61"/>
  <c r="Q813" i="61"/>
  <c r="P813" i="61"/>
  <c r="S812" i="61"/>
  <c r="R812" i="61"/>
  <c r="Q812" i="61"/>
  <c r="P812" i="61"/>
  <c r="S811" i="61"/>
  <c r="R811" i="61"/>
  <c r="Q811" i="61"/>
  <c r="P811" i="61"/>
  <c r="S810" i="61"/>
  <c r="R810" i="61"/>
  <c r="Q810" i="61"/>
  <c r="P810" i="61"/>
  <c r="S809" i="61"/>
  <c r="R809" i="61"/>
  <c r="Q809" i="61"/>
  <c r="P809" i="61"/>
  <c r="S808" i="61"/>
  <c r="R808" i="61"/>
  <c r="Q808" i="61"/>
  <c r="P808" i="61"/>
  <c r="S807" i="61"/>
  <c r="R807" i="61"/>
  <c r="Q807" i="61"/>
  <c r="P807" i="61"/>
  <c r="S806" i="61"/>
  <c r="R806" i="61"/>
  <c r="Q806" i="61"/>
  <c r="P806" i="61"/>
  <c r="S805" i="61"/>
  <c r="R805" i="61"/>
  <c r="Q805" i="61"/>
  <c r="P805" i="61"/>
  <c r="S804" i="61"/>
  <c r="R804" i="61"/>
  <c r="Q804" i="61"/>
  <c r="P804" i="61"/>
  <c r="S803" i="61"/>
  <c r="R803" i="61"/>
  <c r="Q803" i="61"/>
  <c r="P803" i="61"/>
  <c r="S802" i="61"/>
  <c r="R802" i="61"/>
  <c r="Q802" i="61"/>
  <c r="P802" i="61"/>
  <c r="S801" i="61"/>
  <c r="R801" i="61"/>
  <c r="Q801" i="61"/>
  <c r="P801" i="61"/>
  <c r="S800" i="61"/>
  <c r="R800" i="61"/>
  <c r="Q800" i="61"/>
  <c r="P800" i="61"/>
  <c r="S799" i="61"/>
  <c r="R799" i="61"/>
  <c r="Q799" i="61"/>
  <c r="P799" i="61"/>
  <c r="S798" i="61"/>
  <c r="R798" i="61"/>
  <c r="Q798" i="61"/>
  <c r="P798" i="61"/>
  <c r="S797" i="61"/>
  <c r="R797" i="61"/>
  <c r="Q797" i="61"/>
  <c r="P797" i="61"/>
  <c r="S796" i="61"/>
  <c r="R796" i="61"/>
  <c r="Q796" i="61"/>
  <c r="P796" i="61"/>
  <c r="S795" i="61"/>
  <c r="R795" i="61"/>
  <c r="Q795" i="61"/>
  <c r="P795" i="61"/>
  <c r="S794" i="61"/>
  <c r="R794" i="61"/>
  <c r="Q794" i="61"/>
  <c r="P794" i="61"/>
  <c r="S793" i="61"/>
  <c r="R793" i="61"/>
  <c r="Q793" i="61"/>
  <c r="P793" i="61"/>
  <c r="S792" i="61"/>
  <c r="R792" i="61"/>
  <c r="Q792" i="61"/>
  <c r="P792" i="61"/>
  <c r="S791" i="61"/>
  <c r="R791" i="61"/>
  <c r="Q791" i="61"/>
  <c r="P791" i="61"/>
  <c r="S790" i="61"/>
  <c r="R790" i="61"/>
  <c r="Q790" i="61"/>
  <c r="P790" i="61"/>
  <c r="S789" i="61"/>
  <c r="R789" i="61"/>
  <c r="Q789" i="61"/>
  <c r="P789" i="61"/>
  <c r="S788" i="61"/>
  <c r="R788" i="61"/>
  <c r="Q788" i="61"/>
  <c r="P788" i="61"/>
  <c r="S787" i="61"/>
  <c r="R787" i="61"/>
  <c r="Q787" i="61"/>
  <c r="P787" i="61"/>
  <c r="S786" i="61"/>
  <c r="R786" i="61"/>
  <c r="Q786" i="61"/>
  <c r="P786" i="61"/>
  <c r="S785" i="61"/>
  <c r="R785" i="61"/>
  <c r="Q785" i="61"/>
  <c r="P785" i="61"/>
  <c r="S784" i="61"/>
  <c r="R784" i="61"/>
  <c r="Q784" i="61"/>
  <c r="P784" i="61"/>
  <c r="S783" i="61"/>
  <c r="R783" i="61"/>
  <c r="Q783" i="61"/>
  <c r="P783" i="61"/>
  <c r="S782" i="61"/>
  <c r="R782" i="61"/>
  <c r="Q782" i="61"/>
  <c r="P782" i="61"/>
  <c r="S781" i="61"/>
  <c r="R781" i="61"/>
  <c r="Q781" i="61"/>
  <c r="P781" i="61"/>
  <c r="S780" i="61"/>
  <c r="R780" i="61"/>
  <c r="Q780" i="61"/>
  <c r="P780" i="61"/>
  <c r="S779" i="61"/>
  <c r="R779" i="61"/>
  <c r="Q779" i="61"/>
  <c r="P779" i="61"/>
  <c r="S778" i="61"/>
  <c r="R778" i="61"/>
  <c r="Q778" i="61"/>
  <c r="P778" i="61"/>
  <c r="S777" i="61"/>
  <c r="R777" i="61"/>
  <c r="Q777" i="61"/>
  <c r="P777" i="61"/>
  <c r="S776" i="61"/>
  <c r="R776" i="61"/>
  <c r="Q776" i="61"/>
  <c r="P776" i="61"/>
  <c r="S775" i="61"/>
  <c r="R775" i="61"/>
  <c r="Q775" i="61"/>
  <c r="P775" i="61"/>
  <c r="S774" i="61"/>
  <c r="R774" i="61"/>
  <c r="Q774" i="61"/>
  <c r="P774" i="61"/>
  <c r="S773" i="61"/>
  <c r="R773" i="61"/>
  <c r="Q773" i="61"/>
  <c r="P773" i="61"/>
  <c r="S772" i="61"/>
  <c r="R772" i="61"/>
  <c r="Q772" i="61"/>
  <c r="P772" i="61"/>
  <c r="S771" i="61"/>
  <c r="R771" i="61"/>
  <c r="Q771" i="61"/>
  <c r="P771" i="61"/>
  <c r="S770" i="61"/>
  <c r="R770" i="61"/>
  <c r="Q770" i="61"/>
  <c r="P770" i="61"/>
  <c r="S769" i="61"/>
  <c r="R769" i="61"/>
  <c r="Q769" i="61"/>
  <c r="P769" i="61"/>
  <c r="S768" i="61"/>
  <c r="R768" i="61"/>
  <c r="Q768" i="61"/>
  <c r="P768" i="61"/>
  <c r="S767" i="61"/>
  <c r="R767" i="61"/>
  <c r="Q767" i="61"/>
  <c r="P767" i="61"/>
  <c r="S766" i="61"/>
  <c r="R766" i="61"/>
  <c r="Q766" i="61"/>
  <c r="P766" i="61"/>
  <c r="S765" i="61"/>
  <c r="R765" i="61"/>
  <c r="Q765" i="61"/>
  <c r="P765" i="61"/>
  <c r="S764" i="61"/>
  <c r="R764" i="61"/>
  <c r="Q764" i="61"/>
  <c r="P764" i="61"/>
  <c r="S763" i="61"/>
  <c r="R763" i="61"/>
  <c r="Q763" i="61"/>
  <c r="P763" i="61"/>
  <c r="S762" i="61"/>
  <c r="R762" i="61"/>
  <c r="Q762" i="61"/>
  <c r="P762" i="61"/>
  <c r="S761" i="61"/>
  <c r="R761" i="61"/>
  <c r="Q761" i="61"/>
  <c r="P761" i="61"/>
  <c r="S760" i="61"/>
  <c r="R760" i="61"/>
  <c r="Q760" i="61"/>
  <c r="P760" i="61"/>
  <c r="S759" i="61"/>
  <c r="R759" i="61"/>
  <c r="Q759" i="61"/>
  <c r="P759" i="61"/>
  <c r="S758" i="61"/>
  <c r="R758" i="61"/>
  <c r="Q758" i="61"/>
  <c r="P758" i="61"/>
  <c r="S757" i="61"/>
  <c r="R757" i="61"/>
  <c r="Q757" i="61"/>
  <c r="P757" i="61"/>
  <c r="S756" i="61"/>
  <c r="R756" i="61"/>
  <c r="Q756" i="61"/>
  <c r="P756" i="61"/>
  <c r="S755" i="61"/>
  <c r="R755" i="61"/>
  <c r="Q755" i="61"/>
  <c r="P755" i="61"/>
  <c r="S754" i="61"/>
  <c r="R754" i="61"/>
  <c r="Q754" i="61"/>
  <c r="P754" i="61"/>
  <c r="S753" i="61"/>
  <c r="R753" i="61"/>
  <c r="Q753" i="61"/>
  <c r="P753" i="61"/>
  <c r="S752" i="61"/>
  <c r="R752" i="61"/>
  <c r="Q752" i="61"/>
  <c r="P752" i="61"/>
  <c r="S751" i="61"/>
  <c r="R751" i="61"/>
  <c r="Q751" i="61"/>
  <c r="P751" i="61"/>
  <c r="S750" i="61"/>
  <c r="R750" i="61"/>
  <c r="Q750" i="61"/>
  <c r="P750" i="61"/>
  <c r="S749" i="61"/>
  <c r="R749" i="61"/>
  <c r="Q749" i="61"/>
  <c r="P749" i="61"/>
  <c r="S748" i="61"/>
  <c r="R748" i="61"/>
  <c r="Q748" i="61"/>
  <c r="P748" i="61"/>
  <c r="S747" i="61"/>
  <c r="R747" i="61"/>
  <c r="Q747" i="61"/>
  <c r="P747" i="61"/>
  <c r="S746" i="61"/>
  <c r="R746" i="61"/>
  <c r="Q746" i="61"/>
  <c r="P746" i="61"/>
  <c r="S745" i="61"/>
  <c r="R745" i="61"/>
  <c r="Q745" i="61"/>
  <c r="P745" i="61"/>
  <c r="S744" i="61"/>
  <c r="R744" i="61"/>
  <c r="Q744" i="61"/>
  <c r="P744" i="61"/>
  <c r="S743" i="61"/>
  <c r="R743" i="61"/>
  <c r="Q743" i="61"/>
  <c r="P743" i="61"/>
  <c r="S742" i="61"/>
  <c r="R742" i="61"/>
  <c r="Q742" i="61"/>
  <c r="P742" i="61"/>
  <c r="S741" i="61"/>
  <c r="R741" i="61"/>
  <c r="Q741" i="61"/>
  <c r="P741" i="61"/>
  <c r="S740" i="61"/>
  <c r="R740" i="61"/>
  <c r="Q740" i="61"/>
  <c r="P740" i="61"/>
  <c r="S739" i="61"/>
  <c r="R739" i="61"/>
  <c r="Q739" i="61"/>
  <c r="P739" i="61"/>
  <c r="S738" i="61"/>
  <c r="R738" i="61"/>
  <c r="Q738" i="61"/>
  <c r="P738" i="61"/>
  <c r="S737" i="61"/>
  <c r="R737" i="61"/>
  <c r="Q737" i="61"/>
  <c r="P737" i="61"/>
  <c r="S736" i="61"/>
  <c r="R736" i="61"/>
  <c r="Q736" i="61"/>
  <c r="P736" i="61"/>
  <c r="S735" i="61"/>
  <c r="R735" i="61"/>
  <c r="Q735" i="61"/>
  <c r="P735" i="61"/>
  <c r="S734" i="61"/>
  <c r="R734" i="61"/>
  <c r="Q734" i="61"/>
  <c r="P734" i="61"/>
  <c r="S733" i="61"/>
  <c r="R733" i="61"/>
  <c r="Q733" i="61"/>
  <c r="P733" i="61"/>
  <c r="S732" i="61"/>
  <c r="R732" i="61"/>
  <c r="Q732" i="61"/>
  <c r="P732" i="61"/>
  <c r="S731" i="61"/>
  <c r="R731" i="61"/>
  <c r="Q731" i="61"/>
  <c r="P731" i="61"/>
  <c r="S730" i="61"/>
  <c r="R730" i="61"/>
  <c r="Q730" i="61"/>
  <c r="P730" i="61"/>
  <c r="S729" i="61"/>
  <c r="R729" i="61"/>
  <c r="Q729" i="61"/>
  <c r="P729" i="61"/>
  <c r="S728" i="61"/>
  <c r="R728" i="61"/>
  <c r="Q728" i="61"/>
  <c r="P728" i="61"/>
  <c r="S727" i="61"/>
  <c r="R727" i="61"/>
  <c r="Q727" i="61"/>
  <c r="P727" i="61"/>
  <c r="S726" i="61"/>
  <c r="R726" i="61"/>
  <c r="Q726" i="61"/>
  <c r="P726" i="61"/>
  <c r="S725" i="61"/>
  <c r="R725" i="61"/>
  <c r="Q725" i="61"/>
  <c r="P725" i="61"/>
  <c r="S724" i="61"/>
  <c r="R724" i="61"/>
  <c r="Q724" i="61"/>
  <c r="P724" i="61"/>
  <c r="S723" i="61"/>
  <c r="R723" i="61"/>
  <c r="Q723" i="61"/>
  <c r="P723" i="61"/>
  <c r="S722" i="61"/>
  <c r="R722" i="61"/>
  <c r="Q722" i="61"/>
  <c r="P722" i="61"/>
  <c r="S721" i="61"/>
  <c r="R721" i="61"/>
  <c r="Q721" i="61"/>
  <c r="P721" i="61"/>
  <c r="S720" i="61"/>
  <c r="R720" i="61"/>
  <c r="Q720" i="61"/>
  <c r="P720" i="61"/>
  <c r="S719" i="61"/>
  <c r="R719" i="61"/>
  <c r="Q719" i="61"/>
  <c r="P719" i="61"/>
  <c r="S718" i="61"/>
  <c r="R718" i="61"/>
  <c r="Q718" i="61"/>
  <c r="P718" i="61"/>
  <c r="S717" i="61"/>
  <c r="R717" i="61"/>
  <c r="Q717" i="61"/>
  <c r="P717" i="61"/>
  <c r="S716" i="61"/>
  <c r="R716" i="61"/>
  <c r="Q716" i="61"/>
  <c r="P716" i="61"/>
  <c r="S715" i="61"/>
  <c r="R715" i="61"/>
  <c r="Q715" i="61"/>
  <c r="P715" i="61"/>
  <c r="S714" i="61"/>
  <c r="R714" i="61"/>
  <c r="Q714" i="61"/>
  <c r="P714" i="61"/>
  <c r="S713" i="61"/>
  <c r="R713" i="61"/>
  <c r="Q713" i="61"/>
  <c r="P713" i="61"/>
  <c r="S712" i="61"/>
  <c r="R712" i="61"/>
  <c r="Q712" i="61"/>
  <c r="P712" i="61"/>
  <c r="S711" i="61"/>
  <c r="R711" i="61"/>
  <c r="Q711" i="61"/>
  <c r="P711" i="61"/>
  <c r="S710" i="61"/>
  <c r="R710" i="61"/>
  <c r="Q710" i="61"/>
  <c r="P710" i="61"/>
  <c r="S709" i="61"/>
  <c r="R709" i="61"/>
  <c r="Q709" i="61"/>
  <c r="P709" i="61"/>
  <c r="S708" i="61"/>
  <c r="R708" i="61"/>
  <c r="Q708" i="61"/>
  <c r="P708" i="61"/>
  <c r="S707" i="61"/>
  <c r="R707" i="61"/>
  <c r="Q707" i="61"/>
  <c r="P707" i="61"/>
  <c r="S706" i="61"/>
  <c r="R706" i="61"/>
  <c r="Q706" i="61"/>
  <c r="P706" i="61"/>
  <c r="S705" i="61"/>
  <c r="R705" i="61"/>
  <c r="Q705" i="61"/>
  <c r="P705" i="61"/>
  <c r="S704" i="61"/>
  <c r="R704" i="61"/>
  <c r="Q704" i="61"/>
  <c r="P704" i="61"/>
  <c r="S703" i="61"/>
  <c r="R703" i="61"/>
  <c r="Q703" i="61"/>
  <c r="P703" i="61"/>
  <c r="S702" i="61"/>
  <c r="R702" i="61"/>
  <c r="Q702" i="61"/>
  <c r="P702" i="61"/>
  <c r="S701" i="61"/>
  <c r="R701" i="61"/>
  <c r="Q701" i="61"/>
  <c r="P701" i="61"/>
  <c r="S700" i="61"/>
  <c r="R700" i="61"/>
  <c r="Q700" i="61"/>
  <c r="P700" i="61"/>
  <c r="S699" i="61"/>
  <c r="R699" i="61"/>
  <c r="Q699" i="61"/>
  <c r="P699" i="61"/>
  <c r="S698" i="61"/>
  <c r="R698" i="61"/>
  <c r="Q698" i="61"/>
  <c r="P698" i="61"/>
  <c r="S697" i="61"/>
  <c r="R697" i="61"/>
  <c r="Q697" i="61"/>
  <c r="P697" i="61"/>
  <c r="S696" i="61"/>
  <c r="R696" i="61"/>
  <c r="Q696" i="61"/>
  <c r="P696" i="61"/>
  <c r="S695" i="61"/>
  <c r="R695" i="61"/>
  <c r="Q695" i="61"/>
  <c r="P695" i="61"/>
  <c r="S694" i="61"/>
  <c r="R694" i="61"/>
  <c r="Q694" i="61"/>
  <c r="P694" i="61"/>
  <c r="S693" i="61"/>
  <c r="R693" i="61"/>
  <c r="Q693" i="61"/>
  <c r="P693" i="61"/>
  <c r="S692" i="61"/>
  <c r="R692" i="61"/>
  <c r="Q692" i="61"/>
  <c r="P692" i="61"/>
  <c r="S691" i="61"/>
  <c r="R691" i="61"/>
  <c r="Q691" i="61"/>
  <c r="P691" i="61"/>
  <c r="S690" i="61"/>
  <c r="R690" i="61"/>
  <c r="Q690" i="61"/>
  <c r="P690" i="61"/>
  <c r="S689" i="61"/>
  <c r="R689" i="61"/>
  <c r="Q689" i="61"/>
  <c r="P689" i="61"/>
  <c r="S688" i="61"/>
  <c r="R688" i="61"/>
  <c r="Q688" i="61"/>
  <c r="P688" i="61"/>
  <c r="S687" i="61"/>
  <c r="R687" i="61"/>
  <c r="Q687" i="61"/>
  <c r="P687" i="61"/>
  <c r="S686" i="61"/>
  <c r="R686" i="61"/>
  <c r="Q686" i="61"/>
  <c r="P686" i="61"/>
  <c r="S685" i="61"/>
  <c r="R685" i="61"/>
  <c r="Q685" i="61"/>
  <c r="P685" i="61"/>
  <c r="S684" i="61"/>
  <c r="R684" i="61"/>
  <c r="Q684" i="61"/>
  <c r="P684" i="61"/>
  <c r="S683" i="61"/>
  <c r="R683" i="61"/>
  <c r="Q683" i="61"/>
  <c r="P683" i="61"/>
  <c r="S682" i="61"/>
  <c r="R682" i="61"/>
  <c r="Q682" i="61"/>
  <c r="P682" i="61"/>
  <c r="S681" i="61"/>
  <c r="R681" i="61"/>
  <c r="Q681" i="61"/>
  <c r="P681" i="61"/>
  <c r="S680" i="61"/>
  <c r="R680" i="61"/>
  <c r="Q680" i="61"/>
  <c r="P680" i="61"/>
  <c r="S679" i="61"/>
  <c r="R679" i="61"/>
  <c r="Q679" i="61"/>
  <c r="P679" i="61"/>
  <c r="S678" i="61"/>
  <c r="R678" i="61"/>
  <c r="Q678" i="61"/>
  <c r="P678" i="61"/>
  <c r="S677" i="61"/>
  <c r="R677" i="61"/>
  <c r="Q677" i="61"/>
  <c r="P677" i="61"/>
  <c r="S676" i="61"/>
  <c r="R676" i="61"/>
  <c r="Q676" i="61"/>
  <c r="P676" i="61"/>
  <c r="S675" i="61"/>
  <c r="R675" i="61"/>
  <c r="Q675" i="61"/>
  <c r="P675" i="61"/>
  <c r="S674" i="61"/>
  <c r="R674" i="61"/>
  <c r="Q674" i="61"/>
  <c r="P674" i="61"/>
  <c r="S673" i="61"/>
  <c r="R673" i="61"/>
  <c r="Q673" i="61"/>
  <c r="P673" i="61"/>
  <c r="S672" i="61"/>
  <c r="R672" i="61"/>
  <c r="Q672" i="61"/>
  <c r="P672" i="61"/>
  <c r="S671" i="61"/>
  <c r="R671" i="61"/>
  <c r="Q671" i="61"/>
  <c r="P671" i="61"/>
  <c r="S670" i="61"/>
  <c r="R670" i="61"/>
  <c r="Q670" i="61"/>
  <c r="P670" i="61"/>
  <c r="S669" i="61"/>
  <c r="R669" i="61"/>
  <c r="Q669" i="61"/>
  <c r="P669" i="61"/>
  <c r="S668" i="61"/>
  <c r="R668" i="61"/>
  <c r="Q668" i="61"/>
  <c r="P668" i="61"/>
  <c r="S667" i="61"/>
  <c r="R667" i="61"/>
  <c r="Q667" i="61"/>
  <c r="P667" i="61"/>
  <c r="S666" i="61"/>
  <c r="R666" i="61"/>
  <c r="Q666" i="61"/>
  <c r="P666" i="61"/>
  <c r="S665" i="61"/>
  <c r="R665" i="61"/>
  <c r="Q665" i="61"/>
  <c r="P665" i="61"/>
  <c r="S664" i="61"/>
  <c r="R664" i="61"/>
  <c r="Q664" i="61"/>
  <c r="P664" i="61"/>
  <c r="S663" i="61"/>
  <c r="R663" i="61"/>
  <c r="Q663" i="61"/>
  <c r="P663" i="61"/>
  <c r="S662" i="61"/>
  <c r="R662" i="61"/>
  <c r="Q662" i="61"/>
  <c r="P662" i="61"/>
  <c r="S661" i="61"/>
  <c r="R661" i="61"/>
  <c r="Q661" i="61"/>
  <c r="P661" i="61"/>
  <c r="S660" i="61"/>
  <c r="R660" i="61"/>
  <c r="Q660" i="61"/>
  <c r="P660" i="61"/>
  <c r="S659" i="61"/>
  <c r="R659" i="61"/>
  <c r="Q659" i="61"/>
  <c r="P659" i="61"/>
  <c r="S658" i="61"/>
  <c r="R658" i="61"/>
  <c r="Q658" i="61"/>
  <c r="P658" i="61"/>
  <c r="S657" i="61"/>
  <c r="R657" i="61"/>
  <c r="Q657" i="61"/>
  <c r="P657" i="61"/>
  <c r="S656" i="61"/>
  <c r="R656" i="61"/>
  <c r="Q656" i="61"/>
  <c r="P656" i="61"/>
  <c r="S655" i="61"/>
  <c r="R655" i="61"/>
  <c r="Q655" i="61"/>
  <c r="P655" i="61"/>
  <c r="S654" i="61"/>
  <c r="R654" i="61"/>
  <c r="Q654" i="61"/>
  <c r="P654" i="61"/>
  <c r="S653" i="61"/>
  <c r="R653" i="61"/>
  <c r="Q653" i="61"/>
  <c r="P653" i="61"/>
  <c r="S652" i="61"/>
  <c r="R652" i="61"/>
  <c r="Q652" i="61"/>
  <c r="P652" i="61"/>
  <c r="S651" i="61"/>
  <c r="R651" i="61"/>
  <c r="Q651" i="61"/>
  <c r="P651" i="61"/>
  <c r="S650" i="61"/>
  <c r="R650" i="61"/>
  <c r="Q650" i="61"/>
  <c r="P650" i="61"/>
  <c r="S649" i="61"/>
  <c r="R649" i="61"/>
  <c r="Q649" i="61"/>
  <c r="P649" i="61"/>
  <c r="S648" i="61"/>
  <c r="R648" i="61"/>
  <c r="Q648" i="61"/>
  <c r="P648" i="61"/>
  <c r="S647" i="61"/>
  <c r="R647" i="61"/>
  <c r="Q647" i="61"/>
  <c r="P647" i="61"/>
  <c r="S646" i="61"/>
  <c r="R646" i="61"/>
  <c r="Q646" i="61"/>
  <c r="P646" i="61"/>
  <c r="S645" i="61"/>
  <c r="R645" i="61"/>
  <c r="Q645" i="61"/>
  <c r="P645" i="61"/>
  <c r="S644" i="61"/>
  <c r="R644" i="61"/>
  <c r="Q644" i="61"/>
  <c r="P644" i="61"/>
  <c r="S643" i="61"/>
  <c r="R643" i="61"/>
  <c r="Q643" i="61"/>
  <c r="P643" i="61"/>
  <c r="S642" i="61"/>
  <c r="R642" i="61"/>
  <c r="Q642" i="61"/>
  <c r="P642" i="61"/>
  <c r="S641" i="61"/>
  <c r="R641" i="61"/>
  <c r="Q641" i="61"/>
  <c r="P641" i="61"/>
  <c r="S640" i="61"/>
  <c r="R640" i="61"/>
  <c r="Q640" i="61"/>
  <c r="P640" i="61"/>
  <c r="S639" i="61"/>
  <c r="R639" i="61"/>
  <c r="Q639" i="61"/>
  <c r="P639" i="61"/>
  <c r="S638" i="61"/>
  <c r="R638" i="61"/>
  <c r="Q638" i="61"/>
  <c r="P638" i="61"/>
  <c r="S637" i="61"/>
  <c r="R637" i="61"/>
  <c r="Q637" i="61"/>
  <c r="P637" i="61"/>
  <c r="S636" i="61"/>
  <c r="R636" i="61"/>
  <c r="Q636" i="61"/>
  <c r="P636" i="61"/>
  <c r="S635" i="61"/>
  <c r="R635" i="61"/>
  <c r="Q635" i="61"/>
  <c r="P635" i="61"/>
  <c r="S634" i="61"/>
  <c r="R634" i="61"/>
  <c r="Q634" i="61"/>
  <c r="P634" i="61"/>
  <c r="S633" i="61"/>
  <c r="R633" i="61"/>
  <c r="Q633" i="61"/>
  <c r="P633" i="61"/>
  <c r="S632" i="61"/>
  <c r="R632" i="61"/>
  <c r="Q632" i="61"/>
  <c r="P632" i="61"/>
  <c r="S631" i="61"/>
  <c r="R631" i="61"/>
  <c r="Q631" i="61"/>
  <c r="P631" i="61"/>
  <c r="S630" i="61"/>
  <c r="R630" i="61"/>
  <c r="Q630" i="61"/>
  <c r="P630" i="61"/>
  <c r="S629" i="61"/>
  <c r="R629" i="61"/>
  <c r="Q629" i="61"/>
  <c r="P629" i="61"/>
  <c r="S628" i="61"/>
  <c r="R628" i="61"/>
  <c r="Q628" i="61"/>
  <c r="P628" i="61"/>
  <c r="S627" i="61"/>
  <c r="R627" i="61"/>
  <c r="Q627" i="61"/>
  <c r="P627" i="61"/>
  <c r="S626" i="61"/>
  <c r="R626" i="61"/>
  <c r="Q626" i="61"/>
  <c r="P626" i="61"/>
  <c r="S625" i="61"/>
  <c r="R625" i="61"/>
  <c r="Q625" i="61"/>
  <c r="P625" i="61"/>
  <c r="S624" i="61"/>
  <c r="R624" i="61"/>
  <c r="Q624" i="61"/>
  <c r="P624" i="61"/>
  <c r="S623" i="61"/>
  <c r="R623" i="61"/>
  <c r="Q623" i="61"/>
  <c r="P623" i="61"/>
  <c r="S622" i="61"/>
  <c r="R622" i="61"/>
  <c r="Q622" i="61"/>
  <c r="P622" i="61"/>
  <c r="S621" i="61"/>
  <c r="R621" i="61"/>
  <c r="Q621" i="61"/>
  <c r="P621" i="61"/>
  <c r="S620" i="61"/>
  <c r="R620" i="61"/>
  <c r="Q620" i="61"/>
  <c r="P620" i="61"/>
  <c r="S619" i="61"/>
  <c r="R619" i="61"/>
  <c r="Q619" i="61"/>
  <c r="P619" i="61"/>
  <c r="S618" i="61"/>
  <c r="R618" i="61"/>
  <c r="Q618" i="61"/>
  <c r="P618" i="61"/>
  <c r="S617" i="61"/>
  <c r="R617" i="61"/>
  <c r="Q617" i="61"/>
  <c r="P617" i="61"/>
  <c r="S616" i="61"/>
  <c r="R616" i="61"/>
  <c r="Q616" i="61"/>
  <c r="P616" i="61"/>
  <c r="S615" i="61"/>
  <c r="R615" i="61"/>
  <c r="Q615" i="61"/>
  <c r="P615" i="61"/>
  <c r="S614" i="61"/>
  <c r="R614" i="61"/>
  <c r="Q614" i="61"/>
  <c r="P614" i="61"/>
  <c r="S613" i="61"/>
  <c r="R613" i="61"/>
  <c r="Q613" i="61"/>
  <c r="P613" i="61"/>
  <c r="S612" i="61"/>
  <c r="R612" i="61"/>
  <c r="Q612" i="61"/>
  <c r="P612" i="61"/>
  <c r="S611" i="61"/>
  <c r="R611" i="61"/>
  <c r="Q611" i="61"/>
  <c r="P611" i="61"/>
  <c r="S610" i="61"/>
  <c r="R610" i="61"/>
  <c r="Q610" i="61"/>
  <c r="P610" i="61"/>
  <c r="S609" i="61"/>
  <c r="R609" i="61"/>
  <c r="Q609" i="61"/>
  <c r="P609" i="61"/>
  <c r="S608" i="61"/>
  <c r="R608" i="61"/>
  <c r="Q608" i="61"/>
  <c r="P608" i="61"/>
  <c r="S607" i="61"/>
  <c r="R607" i="61"/>
  <c r="Q607" i="61"/>
  <c r="P607" i="61"/>
  <c r="S606" i="61"/>
  <c r="R606" i="61"/>
  <c r="Q606" i="61"/>
  <c r="P606" i="61"/>
  <c r="S605" i="61"/>
  <c r="R605" i="61"/>
  <c r="Q605" i="61"/>
  <c r="P605" i="61"/>
  <c r="S604" i="61"/>
  <c r="R604" i="61"/>
  <c r="Q604" i="61"/>
  <c r="P604" i="61"/>
  <c r="S603" i="61"/>
  <c r="R603" i="61"/>
  <c r="Q603" i="61"/>
  <c r="P603" i="61"/>
  <c r="S602" i="61"/>
  <c r="R602" i="61"/>
  <c r="Q602" i="61"/>
  <c r="P602" i="61"/>
  <c r="S601" i="61"/>
  <c r="R601" i="61"/>
  <c r="Q601" i="61"/>
  <c r="P601" i="61"/>
  <c r="S600" i="61"/>
  <c r="R600" i="61"/>
  <c r="Q600" i="61"/>
  <c r="P600" i="61"/>
  <c r="S599" i="61"/>
  <c r="R599" i="61"/>
  <c r="Q599" i="61"/>
  <c r="P599" i="61"/>
  <c r="S598" i="61"/>
  <c r="R598" i="61"/>
  <c r="Q598" i="61"/>
  <c r="P598" i="61"/>
  <c r="S597" i="61"/>
  <c r="R597" i="61"/>
  <c r="Q597" i="61"/>
  <c r="P597" i="61"/>
  <c r="S596" i="61"/>
  <c r="R596" i="61"/>
  <c r="Q596" i="61"/>
  <c r="P596" i="61"/>
  <c r="S595" i="61"/>
  <c r="R595" i="61"/>
  <c r="Q595" i="61"/>
  <c r="P595" i="61"/>
  <c r="S594" i="61"/>
  <c r="R594" i="61"/>
  <c r="Q594" i="61"/>
  <c r="P594" i="61"/>
  <c r="S593" i="61"/>
  <c r="R593" i="61"/>
  <c r="Q593" i="61"/>
  <c r="P593" i="61"/>
  <c r="S592" i="61"/>
  <c r="R592" i="61"/>
  <c r="Q592" i="61"/>
  <c r="P592" i="61"/>
  <c r="S591" i="61"/>
  <c r="R591" i="61"/>
  <c r="Q591" i="61"/>
  <c r="P591" i="61"/>
  <c r="S590" i="61"/>
  <c r="R590" i="61"/>
  <c r="Q590" i="61"/>
  <c r="P590" i="61"/>
  <c r="S589" i="61"/>
  <c r="R589" i="61"/>
  <c r="Q589" i="61"/>
  <c r="P589" i="61"/>
  <c r="S588" i="61"/>
  <c r="R588" i="61"/>
  <c r="Q588" i="61"/>
  <c r="P588" i="61"/>
  <c r="S587" i="61"/>
  <c r="R587" i="61"/>
  <c r="Q587" i="61"/>
  <c r="P587" i="61"/>
  <c r="S586" i="61"/>
  <c r="R586" i="61"/>
  <c r="Q586" i="61"/>
  <c r="P586" i="61"/>
  <c r="S585" i="61"/>
  <c r="R585" i="61"/>
  <c r="Q585" i="61"/>
  <c r="P585" i="61"/>
  <c r="S584" i="61"/>
  <c r="R584" i="61"/>
  <c r="Q584" i="61"/>
  <c r="P584" i="61"/>
  <c r="S583" i="61"/>
  <c r="R583" i="61"/>
  <c r="Q583" i="61"/>
  <c r="P583" i="61"/>
  <c r="S582" i="61"/>
  <c r="R582" i="61"/>
  <c r="Q582" i="61"/>
  <c r="P582" i="61"/>
  <c r="S581" i="61"/>
  <c r="R581" i="61"/>
  <c r="Q581" i="61"/>
  <c r="P581" i="61"/>
  <c r="S580" i="61"/>
  <c r="R580" i="61"/>
  <c r="Q580" i="61"/>
  <c r="P580" i="61"/>
  <c r="S579" i="61"/>
  <c r="R579" i="61"/>
  <c r="Q579" i="61"/>
  <c r="P579" i="61"/>
  <c r="S578" i="61"/>
  <c r="R578" i="61"/>
  <c r="Q578" i="61"/>
  <c r="P578" i="61"/>
  <c r="S577" i="61"/>
  <c r="R577" i="61"/>
  <c r="Q577" i="61"/>
  <c r="P577" i="61"/>
  <c r="S576" i="61"/>
  <c r="R576" i="61"/>
  <c r="Q576" i="61"/>
  <c r="P576" i="61"/>
  <c r="S575" i="61"/>
  <c r="R575" i="61"/>
  <c r="Q575" i="61"/>
  <c r="P575" i="61"/>
  <c r="S574" i="61"/>
  <c r="R574" i="61"/>
  <c r="Q574" i="61"/>
  <c r="P574" i="61"/>
  <c r="S573" i="61"/>
  <c r="R573" i="61"/>
  <c r="Q573" i="61"/>
  <c r="P573" i="61"/>
  <c r="S572" i="61"/>
  <c r="R572" i="61"/>
  <c r="Q572" i="61"/>
  <c r="P572" i="61"/>
  <c r="S571" i="61"/>
  <c r="R571" i="61"/>
  <c r="Q571" i="61"/>
  <c r="P571" i="61"/>
  <c r="S570" i="61"/>
  <c r="R570" i="61"/>
  <c r="Q570" i="61"/>
  <c r="P570" i="61"/>
  <c r="S569" i="61"/>
  <c r="R569" i="61"/>
  <c r="Q569" i="61"/>
  <c r="P569" i="61"/>
  <c r="S568" i="61"/>
  <c r="R568" i="61"/>
  <c r="Q568" i="61"/>
  <c r="P568" i="61"/>
  <c r="S567" i="61"/>
  <c r="R567" i="61"/>
  <c r="Q567" i="61"/>
  <c r="P567" i="61"/>
  <c r="S566" i="61"/>
  <c r="R566" i="61"/>
  <c r="Q566" i="61"/>
  <c r="P566" i="61"/>
  <c r="S565" i="61"/>
  <c r="R565" i="61"/>
  <c r="Q565" i="61"/>
  <c r="P565" i="61"/>
  <c r="S564" i="61"/>
  <c r="R564" i="61"/>
  <c r="Q564" i="61"/>
  <c r="P564" i="61"/>
  <c r="S563" i="61"/>
  <c r="R563" i="61"/>
  <c r="Q563" i="61"/>
  <c r="P563" i="61"/>
  <c r="S562" i="61"/>
  <c r="R562" i="61"/>
  <c r="Q562" i="61"/>
  <c r="P562" i="61"/>
  <c r="S561" i="61"/>
  <c r="R561" i="61"/>
  <c r="Q561" i="61"/>
  <c r="P561" i="61"/>
  <c r="S560" i="61"/>
  <c r="R560" i="61"/>
  <c r="Q560" i="61"/>
  <c r="P560" i="61"/>
  <c r="S559" i="61"/>
  <c r="R559" i="61"/>
  <c r="Q559" i="61"/>
  <c r="P559" i="61"/>
  <c r="S558" i="61"/>
  <c r="R558" i="61"/>
  <c r="Q558" i="61"/>
  <c r="P558" i="61"/>
  <c r="S557" i="61"/>
  <c r="R557" i="61"/>
  <c r="Q557" i="61"/>
  <c r="P557" i="61"/>
  <c r="S556" i="61"/>
  <c r="R556" i="61"/>
  <c r="Q556" i="61"/>
  <c r="P556" i="61"/>
  <c r="S555" i="61"/>
  <c r="R555" i="61"/>
  <c r="Q555" i="61"/>
  <c r="P555" i="61"/>
  <c r="S554" i="61"/>
  <c r="R554" i="61"/>
  <c r="Q554" i="61"/>
  <c r="P554" i="61"/>
  <c r="S553" i="61"/>
  <c r="R553" i="61"/>
  <c r="Q553" i="61"/>
  <c r="P553" i="61"/>
  <c r="S552" i="61"/>
  <c r="R552" i="61"/>
  <c r="Q552" i="61"/>
  <c r="P552" i="61"/>
  <c r="S551" i="61"/>
  <c r="R551" i="61"/>
  <c r="Q551" i="61"/>
  <c r="P551" i="61"/>
  <c r="S550" i="61"/>
  <c r="R550" i="61"/>
  <c r="Q550" i="61"/>
  <c r="P550" i="61"/>
  <c r="S549" i="61"/>
  <c r="R549" i="61"/>
  <c r="Q549" i="61"/>
  <c r="P549" i="61"/>
  <c r="S548" i="61"/>
  <c r="R548" i="61"/>
  <c r="Q548" i="61"/>
  <c r="P548" i="61"/>
  <c r="S547" i="61"/>
  <c r="R547" i="61"/>
  <c r="Q547" i="61"/>
  <c r="P547" i="61"/>
  <c r="S546" i="61"/>
  <c r="R546" i="61"/>
  <c r="Q546" i="61"/>
  <c r="P546" i="61"/>
  <c r="S545" i="61"/>
  <c r="R545" i="61"/>
  <c r="Q545" i="61"/>
  <c r="P545" i="61"/>
  <c r="S544" i="61"/>
  <c r="R544" i="61"/>
  <c r="Q544" i="61"/>
  <c r="P544" i="61"/>
  <c r="S543" i="61"/>
  <c r="R543" i="61"/>
  <c r="Q543" i="61"/>
  <c r="P543" i="61"/>
  <c r="S542" i="61"/>
  <c r="R542" i="61"/>
  <c r="Q542" i="61"/>
  <c r="P542" i="61"/>
  <c r="S541" i="61"/>
  <c r="R541" i="61"/>
  <c r="Q541" i="61"/>
  <c r="P541" i="61"/>
  <c r="S540" i="61"/>
  <c r="R540" i="61"/>
  <c r="Q540" i="61"/>
  <c r="P540" i="61"/>
  <c r="S539" i="61"/>
  <c r="R539" i="61"/>
  <c r="Q539" i="61"/>
  <c r="P539" i="61"/>
  <c r="S538" i="61"/>
  <c r="R538" i="61"/>
  <c r="Q538" i="61"/>
  <c r="P538" i="61"/>
  <c r="S537" i="61"/>
  <c r="R537" i="61"/>
  <c r="Q537" i="61"/>
  <c r="P537" i="61"/>
  <c r="S536" i="61"/>
  <c r="R536" i="61"/>
  <c r="Q536" i="61"/>
  <c r="P536" i="61"/>
  <c r="S535" i="61"/>
  <c r="R535" i="61"/>
  <c r="Q535" i="61"/>
  <c r="P535" i="61"/>
  <c r="S534" i="61"/>
  <c r="R534" i="61"/>
  <c r="Q534" i="61"/>
  <c r="P534" i="61"/>
  <c r="S533" i="61"/>
  <c r="R533" i="61"/>
  <c r="Q533" i="61"/>
  <c r="P533" i="61"/>
  <c r="S532" i="61"/>
  <c r="R532" i="61"/>
  <c r="Q532" i="61"/>
  <c r="P532" i="61"/>
  <c r="S531" i="61"/>
  <c r="R531" i="61"/>
  <c r="Q531" i="61"/>
  <c r="P531" i="61"/>
  <c r="S530" i="61"/>
  <c r="R530" i="61"/>
  <c r="Q530" i="61"/>
  <c r="P530" i="61"/>
  <c r="S529" i="61"/>
  <c r="R529" i="61"/>
  <c r="Q529" i="61"/>
  <c r="P529" i="61"/>
  <c r="S528" i="61"/>
  <c r="R528" i="61"/>
  <c r="Q528" i="61"/>
  <c r="P528" i="61"/>
  <c r="S527" i="61"/>
  <c r="R527" i="61"/>
  <c r="Q527" i="61"/>
  <c r="P527" i="61"/>
  <c r="S526" i="61"/>
  <c r="R526" i="61"/>
  <c r="Q526" i="61"/>
  <c r="P526" i="61"/>
  <c r="S525" i="61"/>
  <c r="R525" i="61"/>
  <c r="Q525" i="61"/>
  <c r="P525" i="61"/>
  <c r="S524" i="61"/>
  <c r="R524" i="61"/>
  <c r="Q524" i="61"/>
  <c r="P524" i="61"/>
  <c r="S523" i="61"/>
  <c r="R523" i="61"/>
  <c r="Q523" i="61"/>
  <c r="P523" i="61"/>
  <c r="S522" i="61"/>
  <c r="R522" i="61"/>
  <c r="Q522" i="61"/>
  <c r="P522" i="61"/>
  <c r="S521" i="61"/>
  <c r="R521" i="61"/>
  <c r="Q521" i="61"/>
  <c r="P521" i="61"/>
  <c r="S520" i="61"/>
  <c r="R520" i="61"/>
  <c r="Q520" i="61"/>
  <c r="P520" i="61"/>
  <c r="S519" i="61"/>
  <c r="R519" i="61"/>
  <c r="Q519" i="61"/>
  <c r="P519" i="61"/>
  <c r="S518" i="61"/>
  <c r="R518" i="61"/>
  <c r="Q518" i="61"/>
  <c r="P518" i="61"/>
  <c r="S517" i="61"/>
  <c r="R517" i="61"/>
  <c r="Q517" i="61"/>
  <c r="P517" i="61"/>
  <c r="S516" i="61"/>
  <c r="R516" i="61"/>
  <c r="Q516" i="61"/>
  <c r="P516" i="61"/>
  <c r="S515" i="61"/>
  <c r="R515" i="61"/>
  <c r="Q515" i="61"/>
  <c r="P515" i="61"/>
  <c r="S514" i="61"/>
  <c r="R514" i="61"/>
  <c r="Q514" i="61"/>
  <c r="P514" i="61"/>
  <c r="S513" i="61"/>
  <c r="R513" i="61"/>
  <c r="Q513" i="61"/>
  <c r="P513" i="61"/>
  <c r="S512" i="61"/>
  <c r="R512" i="61"/>
  <c r="Q512" i="61"/>
  <c r="P512" i="61"/>
  <c r="S511" i="61"/>
  <c r="R511" i="61"/>
  <c r="Q511" i="61"/>
  <c r="P511" i="61"/>
  <c r="S510" i="61"/>
  <c r="R510" i="61"/>
  <c r="Q510" i="61"/>
  <c r="P510" i="61"/>
  <c r="S509" i="61"/>
  <c r="R509" i="61"/>
  <c r="Q509" i="61"/>
  <c r="P509" i="61"/>
  <c r="S508" i="61"/>
  <c r="R508" i="61"/>
  <c r="Q508" i="61"/>
  <c r="P508" i="61"/>
  <c r="S507" i="61"/>
  <c r="R507" i="61"/>
  <c r="Q507" i="61"/>
  <c r="P507" i="61"/>
  <c r="S506" i="61"/>
  <c r="R506" i="61"/>
  <c r="Q506" i="61"/>
  <c r="P506" i="61"/>
  <c r="S505" i="61"/>
  <c r="R505" i="61"/>
  <c r="Q505" i="61"/>
  <c r="P505" i="61"/>
  <c r="S504" i="61"/>
  <c r="R504" i="61"/>
  <c r="Q504" i="61"/>
  <c r="P504" i="61"/>
  <c r="S503" i="61"/>
  <c r="R503" i="61"/>
  <c r="Q503" i="61"/>
  <c r="P503" i="61"/>
  <c r="S502" i="61"/>
  <c r="R502" i="61"/>
  <c r="Q502" i="61"/>
  <c r="P502" i="61"/>
  <c r="S501" i="61"/>
  <c r="R501" i="61"/>
  <c r="Q501" i="61"/>
  <c r="P501" i="61"/>
  <c r="S500" i="61"/>
  <c r="R500" i="61"/>
  <c r="Q500" i="61"/>
  <c r="P500" i="61"/>
  <c r="S499" i="61"/>
  <c r="R499" i="61"/>
  <c r="Q499" i="61"/>
  <c r="P499" i="61"/>
  <c r="S498" i="61"/>
  <c r="R498" i="61"/>
  <c r="Q498" i="61"/>
  <c r="P498" i="61"/>
  <c r="S497" i="61"/>
  <c r="R497" i="61"/>
  <c r="Q497" i="61"/>
  <c r="P497" i="61"/>
  <c r="S496" i="61"/>
  <c r="R496" i="61"/>
  <c r="Q496" i="61"/>
  <c r="P496" i="61"/>
  <c r="S495" i="61"/>
  <c r="R495" i="61"/>
  <c r="Q495" i="61"/>
  <c r="P495" i="61"/>
  <c r="S494" i="61"/>
  <c r="R494" i="61"/>
  <c r="Q494" i="61"/>
  <c r="P494" i="61"/>
  <c r="S493" i="61"/>
  <c r="R493" i="61"/>
  <c r="Q493" i="61"/>
  <c r="P493" i="61"/>
  <c r="S492" i="61"/>
  <c r="R492" i="61"/>
  <c r="Q492" i="61"/>
  <c r="P492" i="61"/>
  <c r="S491" i="61"/>
  <c r="R491" i="61"/>
  <c r="Q491" i="61"/>
  <c r="P491" i="61"/>
  <c r="S490" i="61"/>
  <c r="R490" i="61"/>
  <c r="Q490" i="61"/>
  <c r="P490" i="61"/>
  <c r="S489" i="61"/>
  <c r="R489" i="61"/>
  <c r="Q489" i="61"/>
  <c r="P489" i="61"/>
  <c r="S488" i="61"/>
  <c r="R488" i="61"/>
  <c r="Q488" i="61"/>
  <c r="P488" i="61"/>
  <c r="S487" i="61"/>
  <c r="R487" i="61"/>
  <c r="Q487" i="61"/>
  <c r="P487" i="61"/>
  <c r="S486" i="61"/>
  <c r="R486" i="61"/>
  <c r="Q486" i="61"/>
  <c r="P486" i="61"/>
  <c r="S485" i="61"/>
  <c r="R485" i="61"/>
  <c r="Q485" i="61"/>
  <c r="P485" i="61"/>
  <c r="S484" i="61"/>
  <c r="R484" i="61"/>
  <c r="Q484" i="61"/>
  <c r="P484" i="61"/>
  <c r="S483" i="61"/>
  <c r="R483" i="61"/>
  <c r="Q483" i="61"/>
  <c r="P483" i="61"/>
  <c r="S482" i="61"/>
  <c r="R482" i="61"/>
  <c r="Q482" i="61"/>
  <c r="P482" i="61"/>
  <c r="S481" i="61"/>
  <c r="R481" i="61"/>
  <c r="Q481" i="61"/>
  <c r="P481" i="61"/>
  <c r="S480" i="61"/>
  <c r="R480" i="61"/>
  <c r="Q480" i="61"/>
  <c r="P480" i="61"/>
  <c r="S479" i="61"/>
  <c r="R479" i="61"/>
  <c r="Q479" i="61"/>
  <c r="P479" i="61"/>
  <c r="S478" i="61"/>
  <c r="R478" i="61"/>
  <c r="Q478" i="61"/>
  <c r="P478" i="61"/>
  <c r="S477" i="61"/>
  <c r="R477" i="61"/>
  <c r="Q477" i="61"/>
  <c r="P477" i="61"/>
  <c r="S476" i="61"/>
  <c r="R476" i="61"/>
  <c r="Q476" i="61"/>
  <c r="P476" i="61"/>
  <c r="S475" i="61"/>
  <c r="R475" i="61"/>
  <c r="Q475" i="61"/>
  <c r="P475" i="61"/>
  <c r="S474" i="61"/>
  <c r="R474" i="61"/>
  <c r="Q474" i="61"/>
  <c r="P474" i="61"/>
  <c r="S473" i="61"/>
  <c r="R473" i="61"/>
  <c r="Q473" i="61"/>
  <c r="P473" i="61"/>
  <c r="S472" i="61"/>
  <c r="R472" i="61"/>
  <c r="Q472" i="61"/>
  <c r="P472" i="61"/>
  <c r="S471" i="61"/>
  <c r="R471" i="61"/>
  <c r="Q471" i="61"/>
  <c r="P471" i="61"/>
  <c r="S470" i="61"/>
  <c r="R470" i="61"/>
  <c r="Q470" i="61"/>
  <c r="P470" i="61"/>
  <c r="S469" i="61"/>
  <c r="R469" i="61"/>
  <c r="Q469" i="61"/>
  <c r="P469" i="61"/>
  <c r="S468" i="61"/>
  <c r="R468" i="61"/>
  <c r="Q468" i="61"/>
  <c r="P468" i="61"/>
  <c r="S467" i="61"/>
  <c r="R467" i="61"/>
  <c r="Q467" i="61"/>
  <c r="P467" i="61"/>
  <c r="S466" i="61"/>
  <c r="R466" i="61"/>
  <c r="Q466" i="61"/>
  <c r="P466" i="61"/>
  <c r="S465" i="61"/>
  <c r="R465" i="61"/>
  <c r="Q465" i="61"/>
  <c r="P465" i="61"/>
  <c r="S464" i="61"/>
  <c r="R464" i="61"/>
  <c r="Q464" i="61"/>
  <c r="P464" i="61"/>
  <c r="S463" i="61"/>
  <c r="R463" i="61"/>
  <c r="Q463" i="61"/>
  <c r="P463" i="61"/>
  <c r="S462" i="61"/>
  <c r="R462" i="61"/>
  <c r="Q462" i="61"/>
  <c r="P462" i="61"/>
  <c r="S461" i="61"/>
  <c r="R461" i="61"/>
  <c r="Q461" i="61"/>
  <c r="P461" i="61"/>
  <c r="S460" i="61"/>
  <c r="R460" i="61"/>
  <c r="Q460" i="61"/>
  <c r="P460" i="61"/>
  <c r="S459" i="61"/>
  <c r="R459" i="61"/>
  <c r="Q459" i="61"/>
  <c r="P459" i="61"/>
  <c r="S458" i="61"/>
  <c r="R458" i="61"/>
  <c r="Q458" i="61"/>
  <c r="P458" i="61"/>
  <c r="S457" i="61"/>
  <c r="R457" i="61"/>
  <c r="Q457" i="61"/>
  <c r="P457" i="61"/>
  <c r="S456" i="61"/>
  <c r="R456" i="61"/>
  <c r="Q456" i="61"/>
  <c r="P456" i="61"/>
  <c r="S455" i="61"/>
  <c r="R455" i="61"/>
  <c r="Q455" i="61"/>
  <c r="P455" i="61"/>
  <c r="S454" i="61"/>
  <c r="R454" i="61"/>
  <c r="Q454" i="61"/>
  <c r="P454" i="61"/>
  <c r="S453" i="61"/>
  <c r="R453" i="61"/>
  <c r="Q453" i="61"/>
  <c r="P453" i="61"/>
  <c r="S452" i="61"/>
  <c r="R452" i="61"/>
  <c r="Q452" i="61"/>
  <c r="P452" i="61"/>
  <c r="S451" i="61"/>
  <c r="R451" i="61"/>
  <c r="Q451" i="61"/>
  <c r="P451" i="61"/>
  <c r="S450" i="61"/>
  <c r="R450" i="61"/>
  <c r="Q450" i="61"/>
  <c r="P450" i="61"/>
  <c r="S449" i="61"/>
  <c r="R449" i="61"/>
  <c r="Q449" i="61"/>
  <c r="P449" i="61"/>
  <c r="S448" i="61"/>
  <c r="R448" i="61"/>
  <c r="Q448" i="61"/>
  <c r="P448" i="61"/>
  <c r="S447" i="61"/>
  <c r="R447" i="61"/>
  <c r="Q447" i="61"/>
  <c r="P447" i="61"/>
  <c r="S446" i="61"/>
  <c r="R446" i="61"/>
  <c r="Q446" i="61"/>
  <c r="P446" i="61"/>
  <c r="S445" i="61"/>
  <c r="R445" i="61"/>
  <c r="Q445" i="61"/>
  <c r="P445" i="61"/>
  <c r="S444" i="61"/>
  <c r="R444" i="61"/>
  <c r="Q444" i="61"/>
  <c r="P444" i="61"/>
  <c r="S443" i="61"/>
  <c r="R443" i="61"/>
  <c r="Q443" i="61"/>
  <c r="P443" i="61"/>
  <c r="S442" i="61"/>
  <c r="R442" i="61"/>
  <c r="Q442" i="61"/>
  <c r="P442" i="61"/>
  <c r="S441" i="61"/>
  <c r="R441" i="61"/>
  <c r="Q441" i="61"/>
  <c r="P441" i="61"/>
  <c r="S440" i="61"/>
  <c r="R440" i="61"/>
  <c r="Q440" i="61"/>
  <c r="P440" i="61"/>
  <c r="S439" i="61"/>
  <c r="R439" i="61"/>
  <c r="Q439" i="61"/>
  <c r="P439" i="61"/>
  <c r="S438" i="61"/>
  <c r="R438" i="61"/>
  <c r="Q438" i="61"/>
  <c r="P438" i="61"/>
  <c r="S437" i="61"/>
  <c r="R437" i="61"/>
  <c r="Q437" i="61"/>
  <c r="P437" i="61"/>
  <c r="S436" i="61"/>
  <c r="R436" i="61"/>
  <c r="Q436" i="61"/>
  <c r="P436" i="61"/>
  <c r="S435" i="61"/>
  <c r="R435" i="61"/>
  <c r="Q435" i="61"/>
  <c r="P435" i="61"/>
  <c r="S434" i="61"/>
  <c r="R434" i="61"/>
  <c r="Q434" i="61"/>
  <c r="P434" i="61"/>
  <c r="S433" i="61"/>
  <c r="R433" i="61"/>
  <c r="Q433" i="61"/>
  <c r="P433" i="61"/>
  <c r="S432" i="61"/>
  <c r="R432" i="61"/>
  <c r="Q432" i="61"/>
  <c r="P432" i="61"/>
  <c r="S431" i="61"/>
  <c r="R431" i="61"/>
  <c r="Q431" i="61"/>
  <c r="P431" i="61"/>
  <c r="S430" i="61"/>
  <c r="R430" i="61"/>
  <c r="Q430" i="61"/>
  <c r="P430" i="61"/>
  <c r="S429" i="61"/>
  <c r="R429" i="61"/>
  <c r="Q429" i="61"/>
  <c r="P429" i="61"/>
  <c r="S428" i="61"/>
  <c r="R428" i="61"/>
  <c r="Q428" i="61"/>
  <c r="P428" i="61"/>
  <c r="S427" i="61"/>
  <c r="R427" i="61"/>
  <c r="Q427" i="61"/>
  <c r="P427" i="61"/>
  <c r="S426" i="61"/>
  <c r="R426" i="61"/>
  <c r="Q426" i="61"/>
  <c r="P426" i="61"/>
  <c r="S425" i="61"/>
  <c r="R425" i="61"/>
  <c r="Q425" i="61"/>
  <c r="P425" i="61"/>
  <c r="S424" i="61"/>
  <c r="R424" i="61"/>
  <c r="Q424" i="61"/>
  <c r="P424" i="61"/>
  <c r="S423" i="61"/>
  <c r="R423" i="61"/>
  <c r="Q423" i="61"/>
  <c r="P423" i="61"/>
  <c r="S422" i="61"/>
  <c r="R422" i="61"/>
  <c r="Q422" i="61"/>
  <c r="P422" i="61"/>
  <c r="S421" i="61"/>
  <c r="R421" i="61"/>
  <c r="Q421" i="61"/>
  <c r="P421" i="61"/>
  <c r="S420" i="61"/>
  <c r="R420" i="61"/>
  <c r="Q420" i="61"/>
  <c r="P420" i="61"/>
  <c r="S419" i="61"/>
  <c r="R419" i="61"/>
  <c r="Q419" i="61"/>
  <c r="P419" i="61"/>
  <c r="S418" i="61"/>
  <c r="R418" i="61"/>
  <c r="Q418" i="61"/>
  <c r="P418" i="61"/>
  <c r="S417" i="61"/>
  <c r="R417" i="61"/>
  <c r="Q417" i="61"/>
  <c r="P417" i="61"/>
  <c r="S416" i="61"/>
  <c r="R416" i="61"/>
  <c r="Q416" i="61"/>
  <c r="P416" i="61"/>
  <c r="S415" i="61"/>
  <c r="R415" i="61"/>
  <c r="Q415" i="61"/>
  <c r="P415" i="61"/>
  <c r="S414" i="61"/>
  <c r="R414" i="61"/>
  <c r="Q414" i="61"/>
  <c r="P414" i="61"/>
  <c r="S413" i="61"/>
  <c r="R413" i="61"/>
  <c r="Q413" i="61"/>
  <c r="P413" i="61"/>
  <c r="S412" i="61"/>
  <c r="R412" i="61"/>
  <c r="Q412" i="61"/>
  <c r="P412" i="61"/>
  <c r="S411" i="61"/>
  <c r="R411" i="61"/>
  <c r="Q411" i="61"/>
  <c r="P411" i="61"/>
  <c r="S410" i="61"/>
  <c r="R410" i="61"/>
  <c r="Q410" i="61"/>
  <c r="P410" i="61"/>
  <c r="S409" i="61"/>
  <c r="R409" i="61"/>
  <c r="Q409" i="61"/>
  <c r="P409" i="61"/>
  <c r="S408" i="61"/>
  <c r="R408" i="61"/>
  <c r="Q408" i="61"/>
  <c r="P408" i="61"/>
  <c r="S407" i="61"/>
  <c r="R407" i="61"/>
  <c r="Q407" i="61"/>
  <c r="P407" i="61"/>
  <c r="S406" i="61"/>
  <c r="R406" i="61"/>
  <c r="Q406" i="61"/>
  <c r="P406" i="61"/>
  <c r="S405" i="61"/>
  <c r="R405" i="61"/>
  <c r="Q405" i="61"/>
  <c r="P405" i="61"/>
  <c r="S404" i="61"/>
  <c r="R404" i="61"/>
  <c r="Q404" i="61"/>
  <c r="P404" i="61"/>
  <c r="S403" i="61"/>
  <c r="R403" i="61"/>
  <c r="Q403" i="61"/>
  <c r="P403" i="61"/>
  <c r="S402" i="61"/>
  <c r="R402" i="61"/>
  <c r="Q402" i="61"/>
  <c r="P402" i="61"/>
  <c r="S401" i="61"/>
  <c r="R401" i="61"/>
  <c r="Q401" i="61"/>
  <c r="P401" i="61"/>
  <c r="S400" i="61"/>
  <c r="R400" i="61"/>
  <c r="Q400" i="61"/>
  <c r="P400" i="61"/>
  <c r="S399" i="61"/>
  <c r="R399" i="61"/>
  <c r="Q399" i="61"/>
  <c r="P399" i="61"/>
  <c r="S398" i="61"/>
  <c r="R398" i="61"/>
  <c r="Q398" i="61"/>
  <c r="P398" i="61"/>
  <c r="S397" i="61"/>
  <c r="R397" i="61"/>
  <c r="Q397" i="61"/>
  <c r="P397" i="61"/>
  <c r="S396" i="61"/>
  <c r="R396" i="61"/>
  <c r="Q396" i="61"/>
  <c r="P396" i="61"/>
  <c r="S395" i="61"/>
  <c r="R395" i="61"/>
  <c r="Q395" i="61"/>
  <c r="P395" i="61"/>
  <c r="S394" i="61"/>
  <c r="R394" i="61"/>
  <c r="Q394" i="61"/>
  <c r="P394" i="61"/>
  <c r="S393" i="61"/>
  <c r="R393" i="61"/>
  <c r="Q393" i="61"/>
  <c r="P393" i="61"/>
  <c r="S392" i="61"/>
  <c r="R392" i="61"/>
  <c r="Q392" i="61"/>
  <c r="P392" i="61"/>
  <c r="S391" i="61"/>
  <c r="R391" i="61"/>
  <c r="Q391" i="61"/>
  <c r="P391" i="61"/>
  <c r="S390" i="61"/>
  <c r="R390" i="61"/>
  <c r="Q390" i="61"/>
  <c r="P390" i="61"/>
  <c r="S389" i="61"/>
  <c r="R389" i="61"/>
  <c r="Q389" i="61"/>
  <c r="P389" i="61"/>
  <c r="S388" i="61"/>
  <c r="R388" i="61"/>
  <c r="Q388" i="61"/>
  <c r="P388" i="61"/>
  <c r="S387" i="61"/>
  <c r="R387" i="61"/>
  <c r="Q387" i="61"/>
  <c r="P387" i="61"/>
  <c r="S386" i="61"/>
  <c r="R386" i="61"/>
  <c r="Q386" i="61"/>
  <c r="P386" i="61"/>
  <c r="S385" i="61"/>
  <c r="R385" i="61"/>
  <c r="Q385" i="61"/>
  <c r="P385" i="61"/>
  <c r="S384" i="61"/>
  <c r="R384" i="61"/>
  <c r="Q384" i="61"/>
  <c r="P384" i="61"/>
  <c r="S383" i="61"/>
  <c r="R383" i="61"/>
  <c r="Q383" i="61"/>
  <c r="P383" i="61"/>
  <c r="S382" i="61"/>
  <c r="R382" i="61"/>
  <c r="Q382" i="61"/>
  <c r="P382" i="61"/>
  <c r="S381" i="61"/>
  <c r="R381" i="61"/>
  <c r="Q381" i="61"/>
  <c r="P381" i="61"/>
  <c r="S380" i="61"/>
  <c r="R380" i="61"/>
  <c r="Q380" i="61"/>
  <c r="P380" i="61"/>
  <c r="S379" i="61"/>
  <c r="R379" i="61"/>
  <c r="Q379" i="61"/>
  <c r="P379" i="61"/>
  <c r="S378" i="61"/>
  <c r="R378" i="61"/>
  <c r="Q378" i="61"/>
  <c r="P378" i="61"/>
  <c r="S377" i="61"/>
  <c r="R377" i="61"/>
  <c r="Q377" i="61"/>
  <c r="P377" i="61"/>
  <c r="S376" i="61"/>
  <c r="R376" i="61"/>
  <c r="Q376" i="61"/>
  <c r="P376" i="61"/>
  <c r="S375" i="61"/>
  <c r="R375" i="61"/>
  <c r="Q375" i="61"/>
  <c r="P375" i="61"/>
  <c r="S374" i="61"/>
  <c r="R374" i="61"/>
  <c r="Q374" i="61"/>
  <c r="P374" i="61"/>
  <c r="S373" i="61"/>
  <c r="R373" i="61"/>
  <c r="Q373" i="61"/>
  <c r="P373" i="61"/>
  <c r="S372" i="61"/>
  <c r="R372" i="61"/>
  <c r="Q372" i="61"/>
  <c r="P372" i="61"/>
  <c r="S371" i="61"/>
  <c r="R371" i="61"/>
  <c r="Q371" i="61"/>
  <c r="P371" i="61"/>
  <c r="S370" i="61"/>
  <c r="R370" i="61"/>
  <c r="Q370" i="61"/>
  <c r="P370" i="61"/>
  <c r="S369" i="61"/>
  <c r="R369" i="61"/>
  <c r="Q369" i="61"/>
  <c r="P369" i="61"/>
  <c r="S368" i="61"/>
  <c r="R368" i="61"/>
  <c r="Q368" i="61"/>
  <c r="P368" i="61"/>
  <c r="S367" i="61"/>
  <c r="R367" i="61"/>
  <c r="Q367" i="61"/>
  <c r="P367" i="61"/>
  <c r="S366" i="61"/>
  <c r="R366" i="61"/>
  <c r="Q366" i="61"/>
  <c r="P366" i="61"/>
  <c r="S365" i="61"/>
  <c r="R365" i="61"/>
  <c r="Q365" i="61"/>
  <c r="P365" i="61"/>
  <c r="S364" i="61"/>
  <c r="R364" i="61"/>
  <c r="Q364" i="61"/>
  <c r="P364" i="61"/>
  <c r="S363" i="61"/>
  <c r="R363" i="61"/>
  <c r="Q363" i="61"/>
  <c r="P363" i="61"/>
  <c r="S362" i="61"/>
  <c r="R362" i="61"/>
  <c r="Q362" i="61"/>
  <c r="P362" i="61"/>
  <c r="S361" i="61"/>
  <c r="R361" i="61"/>
  <c r="Q361" i="61"/>
  <c r="P361" i="61"/>
  <c r="S360" i="61"/>
  <c r="R360" i="61"/>
  <c r="Q360" i="61"/>
  <c r="P360" i="61"/>
  <c r="S359" i="61"/>
  <c r="R359" i="61"/>
  <c r="Q359" i="61"/>
  <c r="P359" i="61"/>
  <c r="S358" i="61"/>
  <c r="R358" i="61"/>
  <c r="Q358" i="61"/>
  <c r="P358" i="61"/>
  <c r="S357" i="61"/>
  <c r="R357" i="61"/>
  <c r="Q357" i="61"/>
  <c r="P357" i="61"/>
  <c r="S356" i="61"/>
  <c r="R356" i="61"/>
  <c r="Q356" i="61"/>
  <c r="P356" i="61"/>
  <c r="S355" i="61"/>
  <c r="R355" i="61"/>
  <c r="Q355" i="61"/>
  <c r="P355" i="61"/>
  <c r="S354" i="61"/>
  <c r="R354" i="61"/>
  <c r="Q354" i="61"/>
  <c r="P354" i="61"/>
  <c r="S353" i="61"/>
  <c r="R353" i="61"/>
  <c r="Q353" i="61"/>
  <c r="P353" i="61"/>
  <c r="S352" i="61"/>
  <c r="R352" i="61"/>
  <c r="Q352" i="61"/>
  <c r="P352" i="61"/>
  <c r="S351" i="61"/>
  <c r="R351" i="61"/>
  <c r="Q351" i="61"/>
  <c r="P351" i="61"/>
  <c r="S350" i="61"/>
  <c r="R350" i="61"/>
  <c r="Q350" i="61"/>
  <c r="P350" i="61"/>
  <c r="S349" i="61"/>
  <c r="R349" i="61"/>
  <c r="Q349" i="61"/>
  <c r="P349" i="61"/>
  <c r="S348" i="61"/>
  <c r="R348" i="61"/>
  <c r="Q348" i="61"/>
  <c r="P348" i="61"/>
  <c r="S347" i="61"/>
  <c r="R347" i="61"/>
  <c r="Q347" i="61"/>
  <c r="P347" i="61"/>
  <c r="S346" i="61"/>
  <c r="R346" i="61"/>
  <c r="Q346" i="61"/>
  <c r="P346" i="61"/>
  <c r="S345" i="61"/>
  <c r="R345" i="61"/>
  <c r="Q345" i="61"/>
  <c r="P345" i="61"/>
  <c r="S344" i="61"/>
  <c r="R344" i="61"/>
  <c r="Q344" i="61"/>
  <c r="P344" i="61"/>
  <c r="S343" i="61"/>
  <c r="R343" i="61"/>
  <c r="Q343" i="61"/>
  <c r="P343" i="61"/>
  <c r="S342" i="61"/>
  <c r="R342" i="61"/>
  <c r="Q342" i="61"/>
  <c r="P342" i="61"/>
  <c r="S341" i="61"/>
  <c r="R341" i="61"/>
  <c r="Q341" i="61"/>
  <c r="P341" i="61"/>
  <c r="S340" i="61"/>
  <c r="R340" i="61"/>
  <c r="Q340" i="61"/>
  <c r="P340" i="61"/>
  <c r="S339" i="61"/>
  <c r="R339" i="61"/>
  <c r="Q339" i="61"/>
  <c r="P339" i="61"/>
  <c r="S338" i="61"/>
  <c r="R338" i="61"/>
  <c r="Q338" i="61"/>
  <c r="P338" i="61"/>
  <c r="S337" i="61"/>
  <c r="R337" i="61"/>
  <c r="Q337" i="61"/>
  <c r="P337" i="61"/>
  <c r="S336" i="61"/>
  <c r="R336" i="61"/>
  <c r="Q336" i="61"/>
  <c r="P336" i="61"/>
  <c r="S335" i="61"/>
  <c r="R335" i="61"/>
  <c r="Q335" i="61"/>
  <c r="P335" i="61"/>
  <c r="S334" i="61"/>
  <c r="R334" i="61"/>
  <c r="Q334" i="61"/>
  <c r="P334" i="61"/>
  <c r="S333" i="61"/>
  <c r="R333" i="61"/>
  <c r="Q333" i="61"/>
  <c r="P333" i="61"/>
  <c r="S332" i="61"/>
  <c r="R332" i="61"/>
  <c r="Q332" i="61"/>
  <c r="P332" i="61"/>
  <c r="S331" i="61"/>
  <c r="R331" i="61"/>
  <c r="Q331" i="61"/>
  <c r="P331" i="61"/>
  <c r="S330" i="61"/>
  <c r="R330" i="61"/>
  <c r="Q330" i="61"/>
  <c r="P330" i="61"/>
  <c r="S329" i="61"/>
  <c r="R329" i="61"/>
  <c r="Q329" i="61"/>
  <c r="P329" i="61"/>
  <c r="S328" i="61"/>
  <c r="R328" i="61"/>
  <c r="Q328" i="61"/>
  <c r="P328" i="61"/>
  <c r="S327" i="61"/>
  <c r="R327" i="61"/>
  <c r="Q327" i="61"/>
  <c r="P327" i="61"/>
  <c r="S326" i="61"/>
  <c r="R326" i="61"/>
  <c r="Q326" i="61"/>
  <c r="P326" i="61"/>
  <c r="S325" i="61"/>
  <c r="R325" i="61"/>
  <c r="Q325" i="61"/>
  <c r="P325" i="61"/>
  <c r="S324" i="61"/>
  <c r="R324" i="61"/>
  <c r="Q324" i="61"/>
  <c r="P324" i="61"/>
  <c r="S323" i="61"/>
  <c r="R323" i="61"/>
  <c r="Q323" i="61"/>
  <c r="P323" i="61"/>
  <c r="S322" i="61"/>
  <c r="R322" i="61"/>
  <c r="Q322" i="61"/>
  <c r="P322" i="61"/>
  <c r="S321" i="61"/>
  <c r="R321" i="61"/>
  <c r="Q321" i="61"/>
  <c r="P321" i="61"/>
  <c r="S320" i="61"/>
  <c r="R320" i="61"/>
  <c r="Q320" i="61"/>
  <c r="P320" i="61"/>
  <c r="S319" i="61"/>
  <c r="R319" i="61"/>
  <c r="Q319" i="61"/>
  <c r="P319" i="61"/>
  <c r="S318" i="61"/>
  <c r="R318" i="61"/>
  <c r="Q318" i="61"/>
  <c r="P318" i="61"/>
  <c r="S317" i="61"/>
  <c r="R317" i="61"/>
  <c r="Q317" i="61"/>
  <c r="P317" i="61"/>
  <c r="S316" i="61"/>
  <c r="R316" i="61"/>
  <c r="Q316" i="61"/>
  <c r="P316" i="61"/>
  <c r="S315" i="61"/>
  <c r="R315" i="61"/>
  <c r="Q315" i="61"/>
  <c r="P315" i="61"/>
  <c r="S314" i="61"/>
  <c r="R314" i="61"/>
  <c r="Q314" i="61"/>
  <c r="P314" i="61"/>
  <c r="S313" i="61"/>
  <c r="R313" i="61"/>
  <c r="Q313" i="61"/>
  <c r="P313" i="61"/>
  <c r="S312" i="61"/>
  <c r="R312" i="61"/>
  <c r="Q312" i="61"/>
  <c r="P312" i="61"/>
  <c r="S311" i="61"/>
  <c r="R311" i="61"/>
  <c r="Q311" i="61"/>
  <c r="P311" i="61"/>
  <c r="S310" i="61"/>
  <c r="R310" i="61"/>
  <c r="Q310" i="61"/>
  <c r="P310" i="61"/>
  <c r="S309" i="61"/>
  <c r="R309" i="61"/>
  <c r="Q309" i="61"/>
  <c r="P309" i="61"/>
  <c r="S308" i="61"/>
  <c r="R308" i="61"/>
  <c r="Q308" i="61"/>
  <c r="P308" i="61"/>
  <c r="S307" i="61"/>
  <c r="R307" i="61"/>
  <c r="Q307" i="61"/>
  <c r="P307" i="61"/>
  <c r="S306" i="61"/>
  <c r="R306" i="61"/>
  <c r="Q306" i="61"/>
  <c r="P306" i="61"/>
  <c r="S305" i="61"/>
  <c r="R305" i="61"/>
  <c r="Q305" i="61"/>
  <c r="P305" i="61"/>
  <c r="S304" i="61"/>
  <c r="R304" i="61"/>
  <c r="Q304" i="61"/>
  <c r="P304" i="61"/>
  <c r="S303" i="61"/>
  <c r="R303" i="61"/>
  <c r="Q303" i="61"/>
  <c r="P303" i="61"/>
  <c r="S302" i="61"/>
  <c r="R302" i="61"/>
  <c r="Q302" i="61"/>
  <c r="P302" i="61"/>
  <c r="S301" i="61"/>
  <c r="R301" i="61"/>
  <c r="Q301" i="61"/>
  <c r="P301" i="61"/>
  <c r="S300" i="61"/>
  <c r="R300" i="61"/>
  <c r="Q300" i="61"/>
  <c r="P300" i="61"/>
  <c r="S299" i="61"/>
  <c r="R299" i="61"/>
  <c r="Q299" i="61"/>
  <c r="P299" i="61"/>
  <c r="S298" i="61"/>
  <c r="R298" i="61"/>
  <c r="Q298" i="61"/>
  <c r="P298" i="61"/>
  <c r="S297" i="61"/>
  <c r="R297" i="61"/>
  <c r="Q297" i="61"/>
  <c r="P297" i="61"/>
  <c r="S296" i="61"/>
  <c r="R296" i="61"/>
  <c r="Q296" i="61"/>
  <c r="P296" i="61"/>
  <c r="S295" i="61"/>
  <c r="R295" i="61"/>
  <c r="Q295" i="61"/>
  <c r="P295" i="61"/>
  <c r="S294" i="61"/>
  <c r="R294" i="61"/>
  <c r="Q294" i="61"/>
  <c r="P294" i="61"/>
  <c r="S293" i="61"/>
  <c r="R293" i="61"/>
  <c r="Q293" i="61"/>
  <c r="P293" i="61"/>
  <c r="S292" i="61"/>
  <c r="R292" i="61"/>
  <c r="Q292" i="61"/>
  <c r="P292" i="61"/>
  <c r="S291" i="61"/>
  <c r="R291" i="61"/>
  <c r="Q291" i="61"/>
  <c r="P291" i="61"/>
  <c r="S290" i="61"/>
  <c r="R290" i="61"/>
  <c r="Q290" i="61"/>
  <c r="P290" i="61"/>
  <c r="S289" i="61"/>
  <c r="R289" i="61"/>
  <c r="Q289" i="61"/>
  <c r="P289" i="61"/>
  <c r="S288" i="61"/>
  <c r="R288" i="61"/>
  <c r="Q288" i="61"/>
  <c r="P288" i="61"/>
  <c r="S287" i="61"/>
  <c r="R287" i="61"/>
  <c r="Q287" i="61"/>
  <c r="P287" i="61"/>
  <c r="S286" i="61"/>
  <c r="R286" i="61"/>
  <c r="Q286" i="61"/>
  <c r="P286" i="61"/>
  <c r="S285" i="61"/>
  <c r="R285" i="61"/>
  <c r="Q285" i="61"/>
  <c r="P285" i="61"/>
  <c r="S284" i="61"/>
  <c r="R284" i="61"/>
  <c r="Q284" i="61"/>
  <c r="P284" i="61"/>
  <c r="S283" i="61"/>
  <c r="R283" i="61"/>
  <c r="Q283" i="61"/>
  <c r="P283" i="61"/>
  <c r="S282" i="61"/>
  <c r="R282" i="61"/>
  <c r="Q282" i="61"/>
  <c r="P282" i="61"/>
  <c r="S281" i="61"/>
  <c r="R281" i="61"/>
  <c r="Q281" i="61"/>
  <c r="P281" i="61"/>
  <c r="S280" i="61"/>
  <c r="R280" i="61"/>
  <c r="Q280" i="61"/>
  <c r="P280" i="61"/>
  <c r="S279" i="61"/>
  <c r="R279" i="61"/>
  <c r="Q279" i="61"/>
  <c r="P279" i="61"/>
  <c r="S278" i="61"/>
  <c r="R278" i="61"/>
  <c r="Q278" i="61"/>
  <c r="P278" i="61"/>
  <c r="S277" i="61"/>
  <c r="R277" i="61"/>
  <c r="Q277" i="61"/>
  <c r="P277" i="61"/>
  <c r="S276" i="61"/>
  <c r="R276" i="61"/>
  <c r="Q276" i="61"/>
  <c r="P276" i="61"/>
  <c r="S275" i="61"/>
  <c r="R275" i="61"/>
  <c r="Q275" i="61"/>
  <c r="P275" i="61"/>
  <c r="S274" i="61"/>
  <c r="R274" i="61"/>
  <c r="Q274" i="61"/>
  <c r="P274" i="61"/>
  <c r="S273" i="61"/>
  <c r="R273" i="61"/>
  <c r="Q273" i="61"/>
  <c r="P273" i="61"/>
  <c r="S272" i="61"/>
  <c r="R272" i="61"/>
  <c r="Q272" i="61"/>
  <c r="P272" i="61"/>
  <c r="S271" i="61"/>
  <c r="R271" i="61"/>
  <c r="Q271" i="61"/>
  <c r="P271" i="61"/>
  <c r="S270" i="61"/>
  <c r="R270" i="61"/>
  <c r="Q270" i="61"/>
  <c r="P270" i="61"/>
  <c r="S269" i="61"/>
  <c r="R269" i="61"/>
  <c r="Q269" i="61"/>
  <c r="P269" i="61"/>
  <c r="S268" i="61"/>
  <c r="R268" i="61"/>
  <c r="Q268" i="61"/>
  <c r="P268" i="61"/>
  <c r="S267" i="61"/>
  <c r="R267" i="61"/>
  <c r="Q267" i="61"/>
  <c r="P267" i="61"/>
  <c r="S266" i="61"/>
  <c r="R266" i="61"/>
  <c r="Q266" i="61"/>
  <c r="P266" i="61"/>
  <c r="S265" i="61"/>
  <c r="R265" i="61"/>
  <c r="Q265" i="61"/>
  <c r="P265" i="61"/>
  <c r="S264" i="61"/>
  <c r="R264" i="61"/>
  <c r="Q264" i="61"/>
  <c r="P264" i="61"/>
  <c r="S263" i="61"/>
  <c r="R263" i="61"/>
  <c r="Q263" i="61"/>
  <c r="P263" i="61"/>
  <c r="S262" i="61"/>
  <c r="R262" i="61"/>
  <c r="Q262" i="61"/>
  <c r="P262" i="61"/>
  <c r="S261" i="61"/>
  <c r="R261" i="61"/>
  <c r="Q261" i="61"/>
  <c r="P261" i="61"/>
  <c r="S260" i="61"/>
  <c r="R260" i="61"/>
  <c r="Q260" i="61"/>
  <c r="P260" i="61"/>
  <c r="S259" i="61"/>
  <c r="R259" i="61"/>
  <c r="Q259" i="61"/>
  <c r="P259" i="61"/>
  <c r="S258" i="61"/>
  <c r="R258" i="61"/>
  <c r="Q258" i="61"/>
  <c r="P258" i="61"/>
  <c r="S257" i="61"/>
  <c r="R257" i="61"/>
  <c r="Q257" i="61"/>
  <c r="P257" i="61"/>
  <c r="S256" i="61"/>
  <c r="R256" i="61"/>
  <c r="Q256" i="61"/>
  <c r="P256" i="61"/>
  <c r="S255" i="61"/>
  <c r="R255" i="61"/>
  <c r="Q255" i="61"/>
  <c r="P255" i="61"/>
  <c r="S254" i="61"/>
  <c r="R254" i="61"/>
  <c r="Q254" i="61"/>
  <c r="P254" i="61"/>
  <c r="S253" i="61"/>
  <c r="R253" i="61"/>
  <c r="Q253" i="61"/>
  <c r="P253" i="61"/>
  <c r="S252" i="61"/>
  <c r="R252" i="61"/>
  <c r="Q252" i="61"/>
  <c r="P252" i="61"/>
  <c r="S251" i="61"/>
  <c r="R251" i="61"/>
  <c r="Q251" i="61"/>
  <c r="P251" i="61"/>
  <c r="S250" i="61"/>
  <c r="R250" i="61"/>
  <c r="Q250" i="61"/>
  <c r="P250" i="61"/>
  <c r="S249" i="61"/>
  <c r="R249" i="61"/>
  <c r="Q249" i="61"/>
  <c r="P249" i="61"/>
  <c r="S248" i="61"/>
  <c r="R248" i="61"/>
  <c r="Q248" i="61"/>
  <c r="P248" i="61"/>
  <c r="S247" i="61"/>
  <c r="R247" i="61"/>
  <c r="Q247" i="61"/>
  <c r="P247" i="61"/>
  <c r="S246" i="61"/>
  <c r="R246" i="61"/>
  <c r="Q246" i="61"/>
  <c r="P246" i="61"/>
  <c r="S245" i="61"/>
  <c r="R245" i="61"/>
  <c r="Q245" i="61"/>
  <c r="P245" i="61"/>
  <c r="S244" i="61"/>
  <c r="R244" i="61"/>
  <c r="Q244" i="61"/>
  <c r="P244" i="61"/>
  <c r="S243" i="61"/>
  <c r="R243" i="61"/>
  <c r="Q243" i="61"/>
  <c r="P243" i="61"/>
  <c r="S242" i="61"/>
  <c r="R242" i="61"/>
  <c r="Q242" i="61"/>
  <c r="P242" i="61"/>
  <c r="S241" i="61"/>
  <c r="R241" i="61"/>
  <c r="Q241" i="61"/>
  <c r="P241" i="61"/>
  <c r="S240" i="61"/>
  <c r="R240" i="61"/>
  <c r="Q240" i="61"/>
  <c r="P240" i="61"/>
  <c r="S239" i="61"/>
  <c r="R239" i="61"/>
  <c r="Q239" i="61"/>
  <c r="P239" i="61"/>
  <c r="S238" i="61"/>
  <c r="R238" i="61"/>
  <c r="Q238" i="61"/>
  <c r="P238" i="61"/>
  <c r="S237" i="61"/>
  <c r="R237" i="61"/>
  <c r="Q237" i="61"/>
  <c r="P237" i="61"/>
  <c r="S236" i="61"/>
  <c r="R236" i="61"/>
  <c r="Q236" i="61"/>
  <c r="P236" i="61"/>
  <c r="S235" i="61"/>
  <c r="R235" i="61"/>
  <c r="Q235" i="61"/>
  <c r="P235" i="61"/>
  <c r="S234" i="61"/>
  <c r="R234" i="61"/>
  <c r="Q234" i="61"/>
  <c r="P234" i="61"/>
  <c r="S233" i="61"/>
  <c r="R233" i="61"/>
  <c r="Q233" i="61"/>
  <c r="P233" i="61"/>
  <c r="S232" i="61"/>
  <c r="R232" i="61"/>
  <c r="Q232" i="61"/>
  <c r="P232" i="61"/>
  <c r="S231" i="61"/>
  <c r="R231" i="61"/>
  <c r="Q231" i="61"/>
  <c r="P231" i="61"/>
  <c r="S230" i="61"/>
  <c r="R230" i="61"/>
  <c r="Q230" i="61"/>
  <c r="P230" i="61"/>
  <c r="S229" i="61"/>
  <c r="R229" i="61"/>
  <c r="Q229" i="61"/>
  <c r="P229" i="61"/>
  <c r="S228" i="61"/>
  <c r="R228" i="61"/>
  <c r="Q228" i="61"/>
  <c r="P228" i="61"/>
  <c r="S227" i="61"/>
  <c r="R227" i="61"/>
  <c r="Q227" i="61"/>
  <c r="P227" i="61"/>
  <c r="S226" i="61"/>
  <c r="R226" i="61"/>
  <c r="Q226" i="61"/>
  <c r="P226" i="61"/>
  <c r="S225" i="61"/>
  <c r="R225" i="61"/>
  <c r="Q225" i="61"/>
  <c r="P225" i="61"/>
  <c r="S224" i="61"/>
  <c r="R224" i="61"/>
  <c r="Q224" i="61"/>
  <c r="P224" i="61"/>
  <c r="S223" i="61"/>
  <c r="R223" i="61"/>
  <c r="Q223" i="61"/>
  <c r="P223" i="61"/>
  <c r="S222" i="61"/>
  <c r="R222" i="61"/>
  <c r="Q222" i="61"/>
  <c r="P222" i="61"/>
  <c r="S221" i="61"/>
  <c r="R221" i="61"/>
  <c r="Q221" i="61"/>
  <c r="P221" i="61"/>
  <c r="S220" i="61"/>
  <c r="R220" i="61"/>
  <c r="Q220" i="61"/>
  <c r="P220" i="61"/>
  <c r="S219" i="61"/>
  <c r="R219" i="61"/>
  <c r="Q219" i="61"/>
  <c r="P219" i="61"/>
  <c r="S218" i="61"/>
  <c r="R218" i="61"/>
  <c r="Q218" i="61"/>
  <c r="P218" i="61"/>
  <c r="S217" i="61"/>
  <c r="R217" i="61"/>
  <c r="Q217" i="61"/>
  <c r="P217" i="61"/>
  <c r="S216" i="61"/>
  <c r="R216" i="61"/>
  <c r="Q216" i="61"/>
  <c r="P216" i="61"/>
  <c r="S215" i="61"/>
  <c r="R215" i="61"/>
  <c r="Q215" i="61"/>
  <c r="P215" i="61"/>
  <c r="S214" i="61"/>
  <c r="R214" i="61"/>
  <c r="Q214" i="61"/>
  <c r="P214" i="61"/>
  <c r="S213" i="61"/>
  <c r="R213" i="61"/>
  <c r="Q213" i="61"/>
  <c r="P213" i="61"/>
  <c r="S212" i="61"/>
  <c r="R212" i="61"/>
  <c r="Q212" i="61"/>
  <c r="P212" i="61"/>
  <c r="S211" i="61"/>
  <c r="R211" i="61"/>
  <c r="Q211" i="61"/>
  <c r="P211" i="61"/>
  <c r="S210" i="61"/>
  <c r="R210" i="61"/>
  <c r="Q210" i="61"/>
  <c r="P210" i="61"/>
  <c r="S209" i="61"/>
  <c r="R209" i="61"/>
  <c r="Q209" i="61"/>
  <c r="P209" i="61"/>
  <c r="S208" i="61"/>
  <c r="R208" i="61"/>
  <c r="Q208" i="61"/>
  <c r="P208" i="61"/>
  <c r="S207" i="61"/>
  <c r="R207" i="61"/>
  <c r="Q207" i="61"/>
  <c r="P207" i="61"/>
  <c r="S206" i="61"/>
  <c r="R206" i="61"/>
  <c r="Q206" i="61"/>
  <c r="P206" i="61"/>
  <c r="S205" i="61"/>
  <c r="R205" i="61"/>
  <c r="Q205" i="61"/>
  <c r="P205" i="61"/>
  <c r="S204" i="61"/>
  <c r="R204" i="61"/>
  <c r="Q204" i="61"/>
  <c r="P204" i="61"/>
  <c r="S203" i="61"/>
  <c r="R203" i="61"/>
  <c r="Q203" i="61"/>
  <c r="P203" i="61"/>
  <c r="S202" i="61"/>
  <c r="R202" i="61"/>
  <c r="Q202" i="61"/>
  <c r="P202" i="61"/>
  <c r="S201" i="61"/>
  <c r="R201" i="61"/>
  <c r="Q201" i="61"/>
  <c r="P201" i="61"/>
  <c r="S200" i="61"/>
  <c r="R200" i="61"/>
  <c r="Q200" i="61"/>
  <c r="P200" i="61"/>
  <c r="S199" i="61"/>
  <c r="R199" i="61"/>
  <c r="Q199" i="61"/>
  <c r="P199" i="61"/>
  <c r="S198" i="61"/>
  <c r="R198" i="61"/>
  <c r="Q198" i="61"/>
  <c r="P198" i="61"/>
  <c r="S197" i="61"/>
  <c r="R197" i="61"/>
  <c r="Q197" i="61"/>
  <c r="P197" i="61"/>
  <c r="S196" i="61"/>
  <c r="R196" i="61"/>
  <c r="Q196" i="61"/>
  <c r="P196" i="61"/>
  <c r="S195" i="61"/>
  <c r="R195" i="61"/>
  <c r="Q195" i="61"/>
  <c r="P195" i="61"/>
  <c r="S194" i="61"/>
  <c r="R194" i="61"/>
  <c r="Q194" i="61"/>
  <c r="P194" i="61"/>
  <c r="S193" i="61"/>
  <c r="R193" i="61"/>
  <c r="Q193" i="61"/>
  <c r="P193" i="61"/>
  <c r="S192" i="61"/>
  <c r="R192" i="61"/>
  <c r="Q192" i="61"/>
  <c r="P192" i="61"/>
  <c r="S191" i="61"/>
  <c r="R191" i="61"/>
  <c r="Q191" i="61"/>
  <c r="P191" i="61"/>
  <c r="S190" i="61"/>
  <c r="R190" i="61"/>
  <c r="Q190" i="61"/>
  <c r="P190" i="61"/>
  <c r="S189" i="61"/>
  <c r="R189" i="61"/>
  <c r="Q189" i="61"/>
  <c r="P189" i="61"/>
  <c r="S188" i="61"/>
  <c r="R188" i="61"/>
  <c r="Q188" i="61"/>
  <c r="P188" i="61"/>
  <c r="S187" i="61"/>
  <c r="R187" i="61"/>
  <c r="Q187" i="61"/>
  <c r="P187" i="61"/>
  <c r="S186" i="61"/>
  <c r="R186" i="61"/>
  <c r="Q186" i="61"/>
  <c r="P186" i="61"/>
  <c r="S185" i="61"/>
  <c r="R185" i="61"/>
  <c r="Q185" i="61"/>
  <c r="P185" i="61"/>
  <c r="S184" i="61"/>
  <c r="R184" i="61"/>
  <c r="Q184" i="61"/>
  <c r="P184" i="61"/>
  <c r="S183" i="61"/>
  <c r="R183" i="61"/>
  <c r="Q183" i="61"/>
  <c r="P183" i="61"/>
  <c r="S182" i="61"/>
  <c r="R182" i="61"/>
  <c r="Q182" i="61"/>
  <c r="P182" i="61"/>
  <c r="S181" i="61"/>
  <c r="R181" i="61"/>
  <c r="Q181" i="61"/>
  <c r="P181" i="61"/>
  <c r="S180" i="61"/>
  <c r="R180" i="61"/>
  <c r="Q180" i="61"/>
  <c r="P180" i="61"/>
  <c r="S179" i="61"/>
  <c r="R179" i="61"/>
  <c r="Q179" i="61"/>
  <c r="P179" i="61"/>
  <c r="S178" i="61"/>
  <c r="R178" i="61"/>
  <c r="Q178" i="61"/>
  <c r="P178" i="61"/>
  <c r="S177" i="61"/>
  <c r="R177" i="61"/>
  <c r="Q177" i="61"/>
  <c r="P177" i="61"/>
  <c r="S176" i="61"/>
  <c r="R176" i="61"/>
  <c r="Q176" i="61"/>
  <c r="P176" i="61"/>
  <c r="S175" i="61"/>
  <c r="R175" i="61"/>
  <c r="Q175" i="61"/>
  <c r="P175" i="61"/>
  <c r="S174" i="61"/>
  <c r="R174" i="61"/>
  <c r="Q174" i="61"/>
  <c r="P174" i="61"/>
  <c r="S173" i="61"/>
  <c r="R173" i="61"/>
  <c r="Q173" i="61"/>
  <c r="P173" i="61"/>
  <c r="S172" i="61"/>
  <c r="R172" i="61"/>
  <c r="Q172" i="61"/>
  <c r="P172" i="61"/>
  <c r="S171" i="61"/>
  <c r="R171" i="61"/>
  <c r="Q171" i="61"/>
  <c r="P171" i="61"/>
  <c r="S170" i="61"/>
  <c r="R170" i="61"/>
  <c r="Q170" i="61"/>
  <c r="P170" i="61"/>
  <c r="S169" i="61"/>
  <c r="R169" i="61"/>
  <c r="Q169" i="61"/>
  <c r="P169" i="61"/>
  <c r="S168" i="61"/>
  <c r="R168" i="61"/>
  <c r="Q168" i="61"/>
  <c r="P168" i="61"/>
  <c r="S167" i="61"/>
  <c r="R167" i="61"/>
  <c r="Q167" i="61"/>
  <c r="P167" i="61"/>
  <c r="S166" i="61"/>
  <c r="R166" i="61"/>
  <c r="Q166" i="61"/>
  <c r="P166" i="61"/>
  <c r="S165" i="61"/>
  <c r="R165" i="61"/>
  <c r="Q165" i="61"/>
  <c r="P165" i="61"/>
  <c r="S164" i="61"/>
  <c r="R164" i="61"/>
  <c r="Q164" i="61"/>
  <c r="P164" i="61"/>
  <c r="S163" i="61"/>
  <c r="R163" i="61"/>
  <c r="Q163" i="61"/>
  <c r="P163" i="61"/>
  <c r="S162" i="61"/>
  <c r="R162" i="61"/>
  <c r="Q162" i="61"/>
  <c r="P162" i="61"/>
  <c r="S161" i="61"/>
  <c r="R161" i="61"/>
  <c r="Q161" i="61"/>
  <c r="P161" i="61"/>
  <c r="S160" i="61"/>
  <c r="R160" i="61"/>
  <c r="Q160" i="61"/>
  <c r="P160" i="61"/>
  <c r="S159" i="61"/>
  <c r="R159" i="61"/>
  <c r="Q159" i="61"/>
  <c r="P159" i="61"/>
  <c r="S158" i="61"/>
  <c r="R158" i="61"/>
  <c r="Q158" i="61"/>
  <c r="P158" i="61"/>
  <c r="S157" i="61"/>
  <c r="R157" i="61"/>
  <c r="Q157" i="61"/>
  <c r="P157" i="61"/>
  <c r="S156" i="61"/>
  <c r="R156" i="61"/>
  <c r="Q156" i="61"/>
  <c r="P156" i="61"/>
  <c r="S155" i="61"/>
  <c r="R155" i="61"/>
  <c r="Q155" i="61"/>
  <c r="P155" i="61"/>
  <c r="S154" i="61"/>
  <c r="R154" i="61"/>
  <c r="Q154" i="61"/>
  <c r="P154" i="61"/>
  <c r="S153" i="61"/>
  <c r="R153" i="61"/>
  <c r="Q153" i="61"/>
  <c r="P153" i="61"/>
  <c r="S152" i="61"/>
  <c r="R152" i="61"/>
  <c r="Q152" i="61"/>
  <c r="P152" i="61"/>
  <c r="S151" i="61"/>
  <c r="R151" i="61"/>
  <c r="Q151" i="61"/>
  <c r="P151" i="61"/>
  <c r="S150" i="61"/>
  <c r="R150" i="61"/>
  <c r="Q150" i="61"/>
  <c r="P150" i="61"/>
  <c r="S149" i="61"/>
  <c r="R149" i="61"/>
  <c r="Q149" i="61"/>
  <c r="P149" i="61"/>
  <c r="S148" i="61"/>
  <c r="R148" i="61"/>
  <c r="Q148" i="61"/>
  <c r="P148" i="61"/>
  <c r="S147" i="61"/>
  <c r="R147" i="61"/>
  <c r="Q147" i="61"/>
  <c r="P147" i="61"/>
  <c r="S146" i="61"/>
  <c r="R146" i="61"/>
  <c r="Q146" i="61"/>
  <c r="P146" i="61"/>
  <c r="S145" i="61"/>
  <c r="R145" i="61"/>
  <c r="Q145" i="61"/>
  <c r="P145" i="61"/>
  <c r="S144" i="61"/>
  <c r="R144" i="61"/>
  <c r="Q144" i="61"/>
  <c r="P144" i="61"/>
  <c r="S143" i="61"/>
  <c r="R143" i="61"/>
  <c r="Q143" i="61"/>
  <c r="P143" i="61"/>
  <c r="S142" i="61"/>
  <c r="R142" i="61"/>
  <c r="Q142" i="61"/>
  <c r="P142" i="61"/>
  <c r="S141" i="61"/>
  <c r="R141" i="61"/>
  <c r="Q141" i="61"/>
  <c r="P141" i="61"/>
  <c r="S140" i="61"/>
  <c r="R140" i="61"/>
  <c r="Q140" i="61"/>
  <c r="P140" i="61"/>
  <c r="S139" i="61"/>
  <c r="R139" i="61"/>
  <c r="Q139" i="61"/>
  <c r="P139" i="61"/>
  <c r="S138" i="61"/>
  <c r="R138" i="61"/>
  <c r="Q138" i="61"/>
  <c r="P138" i="61"/>
  <c r="S137" i="61"/>
  <c r="R137" i="61"/>
  <c r="Q137" i="61"/>
  <c r="P137" i="61"/>
  <c r="S136" i="61"/>
  <c r="R136" i="61"/>
  <c r="Q136" i="61"/>
  <c r="P136" i="61"/>
  <c r="S135" i="61"/>
  <c r="R135" i="61"/>
  <c r="Q135" i="61"/>
  <c r="P135" i="61"/>
  <c r="S134" i="61"/>
  <c r="R134" i="61"/>
  <c r="Q134" i="61"/>
  <c r="P134" i="61"/>
  <c r="S133" i="61"/>
  <c r="R133" i="61"/>
  <c r="Q133" i="61"/>
  <c r="P133" i="61"/>
  <c r="S132" i="61"/>
  <c r="R132" i="61"/>
  <c r="Q132" i="61"/>
  <c r="P132" i="61"/>
  <c r="S131" i="61"/>
  <c r="R131" i="61"/>
  <c r="Q131" i="61"/>
  <c r="P131" i="61"/>
  <c r="S130" i="61"/>
  <c r="R130" i="61"/>
  <c r="Q130" i="61"/>
  <c r="P130" i="61"/>
  <c r="S129" i="61"/>
  <c r="R129" i="61"/>
  <c r="Q129" i="61"/>
  <c r="P129" i="61"/>
  <c r="S128" i="61"/>
  <c r="R128" i="61"/>
  <c r="Q128" i="61"/>
  <c r="P128" i="61"/>
  <c r="S127" i="61"/>
  <c r="R127" i="61"/>
  <c r="Q127" i="61"/>
  <c r="P127" i="61"/>
  <c r="S126" i="61"/>
  <c r="R126" i="61"/>
  <c r="Q126" i="61"/>
  <c r="P126" i="61"/>
  <c r="S125" i="61"/>
  <c r="R125" i="61"/>
  <c r="Q125" i="61"/>
  <c r="P125" i="61"/>
  <c r="S124" i="61"/>
  <c r="R124" i="61"/>
  <c r="Q124" i="61"/>
  <c r="P124" i="61"/>
  <c r="S123" i="61"/>
  <c r="R123" i="61"/>
  <c r="Q123" i="61"/>
  <c r="P123" i="61"/>
  <c r="S122" i="61"/>
  <c r="R122" i="61"/>
  <c r="Q122" i="61"/>
  <c r="P122" i="61"/>
  <c r="S121" i="61"/>
  <c r="R121" i="61"/>
  <c r="Q121" i="61"/>
  <c r="P121" i="61"/>
  <c r="S120" i="61"/>
  <c r="R120" i="61"/>
  <c r="Q120" i="61"/>
  <c r="P120" i="61"/>
  <c r="S119" i="61"/>
  <c r="R119" i="61"/>
  <c r="Q119" i="61"/>
  <c r="P119" i="61"/>
  <c r="S118" i="61"/>
  <c r="R118" i="61"/>
  <c r="Q118" i="61"/>
  <c r="P118" i="61"/>
  <c r="S117" i="61"/>
  <c r="R117" i="61"/>
  <c r="Q117" i="61"/>
  <c r="P117" i="61"/>
  <c r="S116" i="61"/>
  <c r="R116" i="61"/>
  <c r="Q116" i="61"/>
  <c r="P116" i="61"/>
  <c r="S115" i="61"/>
  <c r="R115" i="61"/>
  <c r="Q115" i="61"/>
  <c r="P115" i="61"/>
  <c r="S114" i="61"/>
  <c r="R114" i="61"/>
  <c r="Q114" i="61"/>
  <c r="P114" i="61"/>
  <c r="S113" i="61"/>
  <c r="R113" i="61"/>
  <c r="Q113" i="61"/>
  <c r="P113" i="61"/>
  <c r="S112" i="61"/>
  <c r="R112" i="61"/>
  <c r="Q112" i="61"/>
  <c r="P112" i="61"/>
  <c r="S111" i="61"/>
  <c r="R111" i="61"/>
  <c r="Q111" i="61"/>
  <c r="P111" i="61"/>
  <c r="S110" i="61"/>
  <c r="R110" i="61"/>
  <c r="Q110" i="61"/>
  <c r="P110" i="61"/>
  <c r="S109" i="61"/>
  <c r="R109" i="61"/>
  <c r="Q109" i="61"/>
  <c r="P109" i="61"/>
  <c r="S108" i="61"/>
  <c r="R108" i="61"/>
  <c r="Q108" i="61"/>
  <c r="P108" i="61"/>
  <c r="S107" i="61"/>
  <c r="R107" i="61"/>
  <c r="Q107" i="61"/>
  <c r="P107" i="61"/>
  <c r="S106" i="61"/>
  <c r="R106" i="61"/>
  <c r="Q106" i="61"/>
  <c r="P106" i="61"/>
  <c r="S105" i="61"/>
  <c r="R105" i="61"/>
  <c r="Q105" i="61"/>
  <c r="P105" i="61"/>
  <c r="S104" i="61"/>
  <c r="R104" i="61"/>
  <c r="Q104" i="61"/>
  <c r="P104" i="61"/>
  <c r="S103" i="61"/>
  <c r="R103" i="61"/>
  <c r="Q103" i="61"/>
  <c r="P103" i="61"/>
  <c r="S102" i="61"/>
  <c r="R102" i="61"/>
  <c r="Q102" i="61"/>
  <c r="P102" i="61"/>
  <c r="S101" i="61"/>
  <c r="R101" i="61"/>
  <c r="Q101" i="61"/>
  <c r="P101" i="61"/>
  <c r="S100" i="61"/>
  <c r="R100" i="61"/>
  <c r="Q100" i="61"/>
  <c r="P100" i="61"/>
  <c r="S99" i="61"/>
  <c r="R99" i="61"/>
  <c r="Q99" i="61"/>
  <c r="P99" i="61"/>
  <c r="S98" i="61"/>
  <c r="R98" i="61"/>
  <c r="Q98" i="61"/>
  <c r="P98" i="61"/>
  <c r="S97" i="61"/>
  <c r="R97" i="61"/>
  <c r="Q97" i="61"/>
  <c r="P97" i="61"/>
  <c r="S96" i="61"/>
  <c r="R96" i="61"/>
  <c r="Q96" i="61"/>
  <c r="P96" i="61"/>
  <c r="S95" i="61"/>
  <c r="R95" i="61"/>
  <c r="Q95" i="61"/>
  <c r="P95" i="61"/>
  <c r="S94" i="61"/>
  <c r="R94" i="61"/>
  <c r="Q94" i="61"/>
  <c r="P94" i="61"/>
  <c r="S93" i="61"/>
  <c r="R93" i="61"/>
  <c r="Q93" i="61"/>
  <c r="P93" i="61"/>
  <c r="S92" i="61"/>
  <c r="R92" i="61"/>
  <c r="Q92" i="61"/>
  <c r="P92" i="61"/>
  <c r="S91" i="61"/>
  <c r="R91" i="61"/>
  <c r="Q91" i="61"/>
  <c r="P91" i="61"/>
  <c r="S90" i="61"/>
  <c r="R90" i="61"/>
  <c r="Q90" i="61"/>
  <c r="P90" i="61"/>
  <c r="S89" i="61"/>
  <c r="R89" i="61"/>
  <c r="Q89" i="61"/>
  <c r="P89" i="61"/>
  <c r="S88" i="61"/>
  <c r="R88" i="61"/>
  <c r="Q88" i="61"/>
  <c r="P88" i="61"/>
  <c r="S87" i="61"/>
  <c r="R87" i="61"/>
  <c r="Q87" i="61"/>
  <c r="P87" i="61"/>
  <c r="S86" i="61"/>
  <c r="R86" i="61"/>
  <c r="Q86" i="61"/>
  <c r="P86" i="61"/>
  <c r="S85" i="61"/>
  <c r="R85" i="61"/>
  <c r="Q85" i="61"/>
  <c r="P85" i="61"/>
  <c r="S84" i="61"/>
  <c r="R84" i="61"/>
  <c r="Q84" i="61"/>
  <c r="P84" i="61"/>
  <c r="S83" i="61"/>
  <c r="R83" i="61"/>
  <c r="Q83" i="61"/>
  <c r="P83" i="61"/>
  <c r="S82" i="61"/>
  <c r="R82" i="61"/>
  <c r="Q82" i="61"/>
  <c r="P82" i="61"/>
  <c r="S81" i="61"/>
  <c r="R81" i="61"/>
  <c r="Q81" i="61"/>
  <c r="P81" i="61"/>
  <c r="S80" i="61"/>
  <c r="R80" i="61"/>
  <c r="Q80" i="61"/>
  <c r="P80" i="61"/>
  <c r="S79" i="61"/>
  <c r="R79" i="61"/>
  <c r="Q79" i="61"/>
  <c r="P79" i="61"/>
  <c r="S78" i="61"/>
  <c r="R78" i="61"/>
  <c r="Q78" i="61"/>
  <c r="P78" i="61"/>
  <c r="S77" i="61"/>
  <c r="R77" i="61"/>
  <c r="Q77" i="61"/>
  <c r="P77" i="61"/>
  <c r="S76" i="61"/>
  <c r="R76" i="61"/>
  <c r="Q76" i="61"/>
  <c r="P76" i="61"/>
  <c r="S75" i="61"/>
  <c r="R75" i="61"/>
  <c r="Q75" i="61"/>
  <c r="P75" i="61"/>
  <c r="S74" i="61"/>
  <c r="R74" i="61"/>
  <c r="Q74" i="61"/>
  <c r="P74" i="61"/>
  <c r="S73" i="61"/>
  <c r="R73" i="61"/>
  <c r="Q73" i="61"/>
  <c r="P73" i="61"/>
  <c r="S72" i="61"/>
  <c r="R72" i="61"/>
  <c r="Q72" i="61"/>
  <c r="P72" i="61"/>
  <c r="S71" i="61"/>
  <c r="R71" i="61"/>
  <c r="Q71" i="61"/>
  <c r="P71" i="61"/>
  <c r="S70" i="61"/>
  <c r="R70" i="61"/>
  <c r="Q70" i="61"/>
  <c r="P70" i="61"/>
  <c r="S69" i="61"/>
  <c r="R69" i="61"/>
  <c r="Q69" i="61"/>
  <c r="P69" i="61"/>
  <c r="S68" i="61"/>
  <c r="R68" i="61"/>
  <c r="Q68" i="61"/>
  <c r="P68" i="61"/>
  <c r="S67" i="61"/>
  <c r="R67" i="61"/>
  <c r="Q67" i="61"/>
  <c r="P67" i="61"/>
  <c r="S66" i="61"/>
  <c r="R66" i="61"/>
  <c r="Q66" i="61"/>
  <c r="P66" i="61"/>
  <c r="S65" i="61"/>
  <c r="R65" i="61"/>
  <c r="Q65" i="61"/>
  <c r="P65" i="61"/>
  <c r="S64" i="61"/>
  <c r="R64" i="61"/>
  <c r="Q64" i="61"/>
  <c r="P64" i="61"/>
  <c r="S63" i="61"/>
  <c r="R63" i="61"/>
  <c r="Q63" i="61"/>
  <c r="P63" i="61"/>
  <c r="S62" i="61"/>
  <c r="R62" i="61"/>
  <c r="Q62" i="61"/>
  <c r="P62" i="61"/>
  <c r="S61" i="61"/>
  <c r="R61" i="61"/>
  <c r="Q61" i="61"/>
  <c r="P61" i="61"/>
  <c r="S60" i="61"/>
  <c r="R60" i="61"/>
  <c r="Q60" i="61"/>
  <c r="P60" i="61"/>
  <c r="S59" i="61"/>
  <c r="R59" i="61"/>
  <c r="Q59" i="61"/>
  <c r="P59" i="61"/>
  <c r="S58" i="61"/>
  <c r="R58" i="61"/>
  <c r="Q58" i="61"/>
  <c r="P58" i="61"/>
  <c r="S57" i="61"/>
  <c r="R57" i="61"/>
  <c r="Q57" i="61"/>
  <c r="P57" i="61"/>
  <c r="S56" i="61"/>
  <c r="R56" i="61"/>
  <c r="Q56" i="61"/>
  <c r="P56" i="61"/>
  <c r="S55" i="61"/>
  <c r="R55" i="61"/>
  <c r="Q55" i="61"/>
  <c r="P55" i="61"/>
  <c r="S54" i="61"/>
  <c r="R54" i="61"/>
  <c r="Q54" i="61"/>
  <c r="P54" i="61"/>
  <c r="S53" i="61"/>
  <c r="R53" i="61"/>
  <c r="Q53" i="61"/>
  <c r="P53" i="61"/>
  <c r="S52" i="61"/>
  <c r="R52" i="61"/>
  <c r="Q52" i="61"/>
  <c r="P52" i="61"/>
  <c r="S51" i="61"/>
  <c r="R51" i="61"/>
  <c r="Q51" i="61"/>
  <c r="P51" i="61"/>
  <c r="S50" i="61"/>
  <c r="R50" i="61"/>
  <c r="Q50" i="61"/>
  <c r="P50" i="61"/>
  <c r="S49" i="61"/>
  <c r="R49" i="61"/>
  <c r="Q49" i="61"/>
  <c r="P49" i="61"/>
  <c r="S48" i="61"/>
  <c r="R48" i="61"/>
  <c r="Q48" i="61"/>
  <c r="P48" i="61"/>
  <c r="S47" i="61"/>
  <c r="R47" i="61"/>
  <c r="Q47" i="61"/>
  <c r="P47" i="61"/>
  <c r="S46" i="61"/>
  <c r="R46" i="61"/>
  <c r="Q46" i="61"/>
  <c r="P46" i="61"/>
  <c r="S45" i="61"/>
  <c r="R45" i="61"/>
  <c r="Q45" i="61"/>
  <c r="P45" i="61"/>
  <c r="S44" i="61"/>
  <c r="R44" i="61"/>
  <c r="Q44" i="61"/>
  <c r="P44" i="61"/>
  <c r="S43" i="61"/>
  <c r="R43" i="61"/>
  <c r="Q43" i="61"/>
  <c r="P43" i="61"/>
  <c r="S42" i="61"/>
  <c r="R42" i="61"/>
  <c r="Q42" i="61"/>
  <c r="P42" i="61"/>
  <c r="S41" i="61"/>
  <c r="R41" i="61"/>
  <c r="Q41" i="61"/>
  <c r="P41" i="61"/>
  <c r="S40" i="61"/>
  <c r="R40" i="61"/>
  <c r="Q40" i="61"/>
  <c r="P40" i="61"/>
  <c r="S39" i="61"/>
  <c r="R39" i="61"/>
  <c r="Q39" i="61"/>
  <c r="P39" i="61"/>
  <c r="S38" i="61"/>
  <c r="R38" i="61"/>
  <c r="Q38" i="61"/>
  <c r="P38" i="61"/>
  <c r="S37" i="61"/>
  <c r="R37" i="61"/>
  <c r="Q37" i="61"/>
  <c r="P37" i="61"/>
  <c r="S36" i="61"/>
  <c r="R36" i="61"/>
  <c r="Q36" i="61"/>
  <c r="P36" i="61"/>
  <c r="S35" i="61"/>
  <c r="R35" i="61"/>
  <c r="Q35" i="61"/>
  <c r="P35" i="61"/>
  <c r="S34" i="61"/>
  <c r="R34" i="61"/>
  <c r="Q34" i="61"/>
  <c r="P34" i="61"/>
  <c r="S33" i="61"/>
  <c r="R33" i="61"/>
  <c r="Q33" i="61"/>
  <c r="P33" i="61"/>
  <c r="S32" i="61"/>
  <c r="R32" i="61"/>
  <c r="Q32" i="61"/>
  <c r="P32" i="61"/>
  <c r="S31" i="61"/>
  <c r="R31" i="61"/>
  <c r="Q31" i="61"/>
  <c r="P31" i="61"/>
  <c r="S30" i="61"/>
  <c r="R30" i="61"/>
  <c r="Q30" i="61"/>
  <c r="P30" i="61"/>
  <c r="S29" i="61"/>
  <c r="R29" i="61"/>
  <c r="Q29" i="61"/>
  <c r="P29" i="61"/>
  <c r="S28" i="61"/>
  <c r="R28" i="61"/>
  <c r="Q28" i="61"/>
  <c r="P28" i="61"/>
  <c r="S27" i="61"/>
  <c r="R27" i="61"/>
  <c r="Q27" i="61"/>
  <c r="P27" i="61"/>
  <c r="S26" i="61"/>
  <c r="R26" i="61"/>
  <c r="Q26" i="61"/>
  <c r="P26" i="61"/>
  <c r="S25" i="61"/>
  <c r="R25" i="61"/>
  <c r="Q25" i="61"/>
  <c r="P25" i="61"/>
  <c r="S24" i="61"/>
  <c r="R24" i="61"/>
  <c r="Q24" i="61"/>
  <c r="P24" i="61"/>
  <c r="S23" i="61"/>
  <c r="R23" i="61"/>
  <c r="Q23" i="61"/>
  <c r="P23" i="61"/>
  <c r="S22" i="61"/>
  <c r="R22" i="61"/>
  <c r="Q22" i="61"/>
  <c r="P22" i="61"/>
  <c r="S21" i="61"/>
  <c r="R21" i="61"/>
  <c r="Q21" i="61"/>
  <c r="P21" i="61"/>
  <c r="S20" i="61"/>
  <c r="R20" i="61"/>
  <c r="Q20" i="61"/>
  <c r="P20" i="61"/>
  <c r="S19" i="61"/>
  <c r="R19" i="61"/>
  <c r="Q19" i="61"/>
  <c r="P19" i="61"/>
  <c r="S18" i="61"/>
  <c r="R18" i="61"/>
  <c r="Q18" i="61"/>
  <c r="P18" i="61"/>
  <c r="S17" i="61"/>
  <c r="R17" i="61"/>
  <c r="Q17" i="61"/>
  <c r="P17" i="61"/>
  <c r="S16" i="61"/>
  <c r="R16" i="61"/>
  <c r="Q16" i="61"/>
  <c r="P16" i="61"/>
  <c r="S15" i="61"/>
  <c r="R15" i="61"/>
  <c r="Q15" i="61"/>
  <c r="P15" i="61"/>
  <c r="S14" i="61"/>
  <c r="R14" i="61"/>
  <c r="Q14" i="61"/>
  <c r="P14" i="61"/>
  <c r="S13" i="61"/>
  <c r="R13" i="61"/>
  <c r="Q13" i="61"/>
  <c r="P13" i="61"/>
  <c r="S12" i="61"/>
  <c r="R12" i="61"/>
  <c r="Q12" i="61"/>
  <c r="P12" i="61"/>
  <c r="S11" i="61"/>
  <c r="R11" i="61"/>
  <c r="Q11" i="61"/>
  <c r="P11" i="61"/>
  <c r="S10" i="61"/>
  <c r="R10" i="61"/>
  <c r="Q10" i="61"/>
  <c r="P10" i="61"/>
  <c r="S9" i="61"/>
  <c r="R9" i="61"/>
  <c r="Q9" i="61"/>
  <c r="P9" i="61"/>
  <c r="C5" i="61"/>
  <c r="D5" i="61" s="1"/>
  <c r="E5" i="61" s="1"/>
  <c r="F5" i="61" s="1"/>
  <c r="G5" i="61" s="1"/>
  <c r="H5" i="61" s="1"/>
  <c r="I5" i="61" s="1"/>
  <c r="J5" i="61" s="1"/>
  <c r="K5" i="61" s="1"/>
  <c r="L5" i="61" s="1"/>
  <c r="M5" i="61" s="1"/>
  <c r="N5" i="61" s="1"/>
  <c r="O5" i="61" s="1"/>
  <c r="P5" i="61" s="1"/>
  <c r="Q5" i="61" s="1"/>
  <c r="R5" i="61" s="1"/>
  <c r="S5" i="61" s="1"/>
  <c r="M3143" i="58"/>
  <c r="K3141" i="58"/>
  <c r="K3135" i="58"/>
  <c r="K3128" i="58"/>
  <c r="K3086" i="58"/>
  <c r="L3086" i="58" s="1"/>
  <c r="L3081" i="58" s="1"/>
  <c r="K3080" i="58"/>
  <c r="L3080" i="58" s="1"/>
  <c r="L3075" i="58" s="1"/>
  <c r="K3074" i="58"/>
  <c r="L3074" i="58" s="1"/>
  <c r="L3069" i="58" s="1"/>
  <c r="K3068" i="58"/>
  <c r="L3068" i="58" s="1"/>
  <c r="L3063" i="58" s="1"/>
  <c r="K3062" i="58"/>
  <c r="L3062" i="58" s="1"/>
  <c r="L3057" i="58" s="1"/>
  <c r="K3056" i="58"/>
  <c r="L3056" i="58" s="1"/>
  <c r="L3051" i="58" s="1"/>
  <c r="K3032" i="58"/>
  <c r="K2984" i="58"/>
  <c r="L2984" i="58" s="1"/>
  <c r="L2979" i="58" s="1"/>
  <c r="K2977" i="58"/>
  <c r="L2977" i="58" s="1"/>
  <c r="L2972" i="58" s="1"/>
  <c r="K2971" i="58"/>
  <c r="L2971" i="58" s="1"/>
  <c r="L2966" i="58" s="1"/>
  <c r="K2965" i="58"/>
  <c r="L2965" i="58" s="1"/>
  <c r="L2960" i="58" s="1"/>
  <c r="K2959" i="58"/>
  <c r="L2959" i="58" s="1"/>
  <c r="L2954" i="58" s="1"/>
  <c r="K2953" i="58"/>
  <c r="K2947" i="58"/>
  <c r="K2941" i="58"/>
  <c r="K2923" i="58"/>
  <c r="L2923" i="58" s="1"/>
  <c r="L2918" i="58" s="1"/>
  <c r="K2875" i="58"/>
  <c r="L2875" i="58" s="1"/>
  <c r="L2870" i="58" s="1"/>
  <c r="K2857" i="58"/>
  <c r="K2851" i="58"/>
  <c r="K2845" i="58"/>
  <c r="K2839" i="58"/>
  <c r="K2827" i="58"/>
  <c r="L2827" i="58" s="1"/>
  <c r="L2822" i="58" s="1"/>
  <c r="K2820" i="58"/>
  <c r="K2808" i="58"/>
  <c r="L2808" i="58" s="1"/>
  <c r="L2803" i="58" s="1"/>
  <c r="K2802" i="58"/>
  <c r="L2802" i="58" s="1"/>
  <c r="L2797" i="58" s="1"/>
  <c r="K2796" i="58"/>
  <c r="L2796" i="58" s="1"/>
  <c r="L2791" i="58" s="1"/>
  <c r="K2790" i="58"/>
  <c r="L2790" i="58" s="1"/>
  <c r="L2785" i="58" s="1"/>
  <c r="K2748" i="58"/>
  <c r="K2724" i="58"/>
  <c r="K2712" i="58"/>
  <c r="L2712" i="58" s="1"/>
  <c r="L2707" i="58" s="1"/>
  <c r="K2700" i="58"/>
  <c r="L2700" i="58" s="1"/>
  <c r="L2695" i="58" s="1"/>
  <c r="K2694" i="58"/>
  <c r="L2694" i="58" s="1"/>
  <c r="L2689" i="58" s="1"/>
  <c r="K2688" i="58"/>
  <c r="L2688" i="58" s="1"/>
  <c r="L2683" i="58" s="1"/>
  <c r="K2657" i="58"/>
  <c r="K2651" i="58"/>
  <c r="K2645" i="58"/>
  <c r="K2608" i="58"/>
  <c r="L2608" i="58" s="1"/>
  <c r="K2590" i="58"/>
  <c r="L2590" i="58" s="1"/>
  <c r="L2585" i="58" s="1"/>
  <c r="K2584" i="58"/>
  <c r="L2584" i="58" s="1"/>
  <c r="L2579" i="58" s="1"/>
  <c r="K2578" i="58"/>
  <c r="L2578" i="58" s="1"/>
  <c r="L2573" i="58" s="1"/>
  <c r="K2572" i="58"/>
  <c r="L2572" i="58" s="1"/>
  <c r="L2567" i="58" s="1"/>
  <c r="K2548" i="58"/>
  <c r="K2536" i="58"/>
  <c r="K2529" i="58"/>
  <c r="K2511" i="58"/>
  <c r="L2511" i="58" s="1"/>
  <c r="L2506" i="58" s="1"/>
  <c r="K2505" i="58"/>
  <c r="L2505" i="58" s="1"/>
  <c r="L2500" i="58" s="1"/>
  <c r="K2481" i="58"/>
  <c r="L2481" i="58" s="1"/>
  <c r="L2476" i="58" s="1"/>
  <c r="K2463" i="58"/>
  <c r="K2433" i="58"/>
  <c r="L2433" i="58" s="1"/>
  <c r="K2421" i="58"/>
  <c r="L2421" i="58" s="1"/>
  <c r="L2416" i="58" s="1"/>
  <c r="K2415" i="58"/>
  <c r="K2409" i="58"/>
  <c r="L2409" i="58" s="1"/>
  <c r="L2404" i="58" s="1"/>
  <c r="K2403" i="58"/>
  <c r="L2403" i="58" s="1"/>
  <c r="L2398" i="58" s="1"/>
  <c r="K2397" i="58"/>
  <c r="L2397" i="58" s="1"/>
  <c r="L2392" i="58" s="1"/>
  <c r="K2391" i="58"/>
  <c r="L2391" i="58" s="1"/>
  <c r="L2386" i="58" s="1"/>
  <c r="K2385" i="58"/>
  <c r="L2385" i="58" s="1"/>
  <c r="L2380" i="58" s="1"/>
  <c r="K2379" i="58"/>
  <c r="L2379" i="58" s="1"/>
  <c r="L2374" i="58" s="1"/>
  <c r="K2355" i="58"/>
  <c r="K2307" i="58"/>
  <c r="L2307" i="58" s="1"/>
  <c r="L2302" i="58" s="1"/>
  <c r="K2295" i="58"/>
  <c r="L2295" i="58" s="1"/>
  <c r="L2290" i="58" s="1"/>
  <c r="K2289" i="58"/>
  <c r="L2289" i="58" s="1"/>
  <c r="L2284" i="58" s="1"/>
  <c r="K2283" i="58"/>
  <c r="L2283" i="58" s="1"/>
  <c r="L2278" i="58" s="1"/>
  <c r="K2277" i="58"/>
  <c r="K2271" i="58"/>
  <c r="K2265" i="58"/>
  <c r="K2259" i="58"/>
  <c r="K2247" i="58"/>
  <c r="K2199" i="58"/>
  <c r="L2199" i="58" s="1"/>
  <c r="L2194" i="58" s="1"/>
  <c r="K2181" i="58"/>
  <c r="K2175" i="58"/>
  <c r="K2169" i="58"/>
  <c r="K2163" i="58"/>
  <c r="K2151" i="58"/>
  <c r="K2144" i="58"/>
  <c r="K2126" i="58"/>
  <c r="L2126" i="58" s="1"/>
  <c r="L2121" i="58" s="1"/>
  <c r="K2102" i="58"/>
  <c r="L2102" i="58" s="1"/>
  <c r="L2097" i="58" s="1"/>
  <c r="K2096" i="58"/>
  <c r="L2096" i="58" s="1"/>
  <c r="L2091" i="58" s="1"/>
  <c r="K2072" i="58"/>
  <c r="K2048" i="58"/>
  <c r="K2036" i="58"/>
  <c r="L2036" i="58" s="1"/>
  <c r="L2031" i="58" s="1"/>
  <c r="K2030" i="58"/>
  <c r="K2024" i="58"/>
  <c r="L2024" i="58" s="1"/>
  <c r="L2019" i="58" s="1"/>
  <c r="K2018" i="58"/>
  <c r="L2018" i="58" s="1"/>
  <c r="L2013" i="58" s="1"/>
  <c r="K1994" i="58"/>
  <c r="K1988" i="58"/>
  <c r="K1982" i="58"/>
  <c r="K1976" i="58"/>
  <c r="K1970" i="58"/>
  <c r="K1934" i="58"/>
  <c r="L1934" i="58" s="1"/>
  <c r="L1929" i="58" s="1"/>
  <c r="K1910" i="58"/>
  <c r="L1910" i="58" s="1"/>
  <c r="L1905" i="58" s="1"/>
  <c r="K1886" i="58"/>
  <c r="K1880" i="58"/>
  <c r="K1874" i="58"/>
  <c r="K1862" i="58"/>
  <c r="K1856" i="58"/>
  <c r="K1844" i="58"/>
  <c r="L1844" i="58" s="1"/>
  <c r="L1839" i="58" s="1"/>
  <c r="K1838" i="58"/>
  <c r="K1832" i="58"/>
  <c r="K1808" i="58"/>
  <c r="L1808" i="58" s="1"/>
  <c r="L1803" i="58" s="1"/>
  <c r="K1766" i="58"/>
  <c r="K1759" i="58"/>
  <c r="K1747" i="58"/>
  <c r="L1747" i="58" s="1"/>
  <c r="L1742" i="58" s="1"/>
  <c r="K1741" i="58"/>
  <c r="L1741" i="58" s="1"/>
  <c r="L1736" i="58" s="1"/>
  <c r="K1735" i="58"/>
  <c r="L1735" i="58" s="1"/>
  <c r="L1730" i="58" s="1"/>
  <c r="K1723" i="58"/>
  <c r="L1723" i="58" s="1"/>
  <c r="L1718" i="58" s="1"/>
  <c r="K1717" i="58"/>
  <c r="L1717" i="58" s="1"/>
  <c r="L1712" i="58" s="1"/>
  <c r="K1711" i="58"/>
  <c r="L1711" i="58" s="1"/>
  <c r="L1706" i="58" s="1"/>
  <c r="K1705" i="58"/>
  <c r="L1705" i="58" s="1"/>
  <c r="L1700" i="58" s="1"/>
  <c r="K1651" i="58"/>
  <c r="L1651" i="58" s="1"/>
  <c r="L1646" i="58" s="1"/>
  <c r="K1633" i="58"/>
  <c r="L1633" i="58" s="1"/>
  <c r="L1628" i="58" s="1"/>
  <c r="K1627" i="58"/>
  <c r="L1627" i="58" s="1"/>
  <c r="L1622" i="58" s="1"/>
  <c r="K1621" i="58"/>
  <c r="L1621" i="58" s="1"/>
  <c r="L1616" i="58" s="1"/>
  <c r="K1615" i="58"/>
  <c r="L1615" i="58" s="1"/>
  <c r="L1610" i="58" s="1"/>
  <c r="K1609" i="58"/>
  <c r="L1609" i="58" s="1"/>
  <c r="L1604" i="58" s="1"/>
  <c r="K1603" i="58"/>
  <c r="K1597" i="58"/>
  <c r="K1591" i="58"/>
  <c r="K1585" i="58"/>
  <c r="K1549" i="58"/>
  <c r="L1549" i="58" s="1"/>
  <c r="L1544" i="58" s="1"/>
  <c r="K1507" i="58"/>
  <c r="K1501" i="58"/>
  <c r="K1495" i="58"/>
  <c r="K1489" i="58"/>
  <c r="K1477" i="58"/>
  <c r="K1470" i="58"/>
  <c r="K1440" i="58"/>
  <c r="L1440" i="58" s="1"/>
  <c r="L1435" i="58" s="1"/>
  <c r="K1434" i="58"/>
  <c r="K1428" i="58"/>
  <c r="L1428" i="58" s="1"/>
  <c r="L1423" i="58" s="1"/>
  <c r="K1422" i="58"/>
  <c r="L1422" i="58" s="1"/>
  <c r="L1417" i="58" s="1"/>
  <c r="K1398" i="58"/>
  <c r="K1374" i="58"/>
  <c r="K1362" i="58"/>
  <c r="L1362" i="58" s="1"/>
  <c r="L1357" i="58" s="1"/>
  <c r="K1356" i="58"/>
  <c r="L1356" i="58" s="1"/>
  <c r="L1351" i="58" s="1"/>
  <c r="K1338" i="58"/>
  <c r="L1338" i="58" s="1"/>
  <c r="L1333" i="58" s="1"/>
  <c r="K1326" i="58"/>
  <c r="L1326" i="58" s="1"/>
  <c r="L1321" i="58" s="1"/>
  <c r="K1320" i="58"/>
  <c r="L1320" i="58" s="1"/>
  <c r="L1315" i="58" s="1"/>
  <c r="K1314" i="58"/>
  <c r="K1308" i="58"/>
  <c r="K1302" i="58"/>
  <c r="K1266" i="58"/>
  <c r="L1266" i="58" s="1"/>
  <c r="L1261" i="58" s="1"/>
  <c r="K1248" i="58"/>
  <c r="L1248" i="58" s="1"/>
  <c r="L1243" i="58" s="1"/>
  <c r="K1230" i="58"/>
  <c r="L1230" i="58" s="1"/>
  <c r="L1225" i="58" s="1"/>
  <c r="K1224" i="58"/>
  <c r="L1224" i="58" s="1"/>
  <c r="L1219" i="58" s="1"/>
  <c r="K1218" i="58"/>
  <c r="K1212" i="58"/>
  <c r="K1206" i="58"/>
  <c r="K1200" i="58"/>
  <c r="K1188" i="58"/>
  <c r="K1181" i="58"/>
  <c r="K1145" i="58"/>
  <c r="L1145" i="58" s="1"/>
  <c r="L1140" i="58" s="1"/>
  <c r="K1115" i="58"/>
  <c r="K1109" i="58"/>
  <c r="K1103" i="58"/>
  <c r="K1091" i="58"/>
  <c r="K1085" i="58"/>
  <c r="K1073" i="58"/>
  <c r="L1073" i="58" s="1"/>
  <c r="L1068" i="58" s="1"/>
  <c r="K1067" i="58"/>
  <c r="L1067" i="58" s="1"/>
  <c r="L1062" i="58" s="1"/>
  <c r="K1061" i="58"/>
  <c r="L1061" i="58" s="1"/>
  <c r="L1056" i="58" s="1"/>
  <c r="K1055" i="58"/>
  <c r="K1049" i="58"/>
  <c r="L1049" i="58" s="1"/>
  <c r="L1044" i="58" s="1"/>
  <c r="K1013" i="58"/>
  <c r="K989" i="58"/>
  <c r="L989" i="58" s="1"/>
  <c r="L984" i="58" s="1"/>
  <c r="K977" i="58"/>
  <c r="L977" i="58" s="1"/>
  <c r="L972" i="58" s="1"/>
  <c r="K971" i="58"/>
  <c r="L971" i="58" s="1"/>
  <c r="L966" i="58" s="1"/>
  <c r="K959" i="58"/>
  <c r="L959" i="58" s="1"/>
  <c r="L954" i="58" s="1"/>
  <c r="K953" i="58"/>
  <c r="L953" i="58" s="1"/>
  <c r="L948" i="58" s="1"/>
  <c r="K947" i="58"/>
  <c r="L947" i="58" s="1"/>
  <c r="L942" i="58" s="1"/>
  <c r="K941" i="58"/>
  <c r="L941" i="58" s="1"/>
  <c r="L936" i="58" s="1"/>
  <c r="K935" i="58"/>
  <c r="L935" i="58" s="1"/>
  <c r="L930" i="58" s="1"/>
  <c r="K929" i="58"/>
  <c r="K881" i="58"/>
  <c r="L881" i="58" s="1"/>
  <c r="L876" i="58" s="1"/>
  <c r="K863" i="58"/>
  <c r="L863" i="58" s="1"/>
  <c r="L858" i="58" s="1"/>
  <c r="K857" i="58"/>
  <c r="L857" i="58" s="1"/>
  <c r="L852" i="58" s="1"/>
  <c r="K851" i="58"/>
  <c r="L851" i="58" s="1"/>
  <c r="L846" i="58" s="1"/>
  <c r="K845" i="58"/>
  <c r="L845" i="58" s="1"/>
  <c r="L840" i="58" s="1"/>
  <c r="K839" i="58"/>
  <c r="K833" i="58"/>
  <c r="K827" i="58"/>
  <c r="K821" i="58"/>
  <c r="K784" i="58"/>
  <c r="L784" i="58" s="1"/>
  <c r="L779" i="58" s="1"/>
  <c r="K760" i="58"/>
  <c r="L760" i="58" s="1"/>
  <c r="L755" i="58" s="1"/>
  <c r="K742" i="58"/>
  <c r="L742" i="58" s="1"/>
  <c r="L737" i="58" s="1"/>
  <c r="K736" i="58"/>
  <c r="K730" i="58"/>
  <c r="K724" i="58"/>
  <c r="K718" i="58"/>
  <c r="K706" i="58"/>
  <c r="K697" i="58"/>
  <c r="K665" i="58"/>
  <c r="L665" i="58" s="1"/>
  <c r="L660" i="58" s="1"/>
  <c r="K659" i="58"/>
  <c r="L659" i="58" s="1"/>
  <c r="L654" i="58" s="1"/>
  <c r="K653" i="58"/>
  <c r="L653" i="58" s="1"/>
  <c r="L648" i="58" s="1"/>
  <c r="K629" i="58"/>
  <c r="K611" i="58"/>
  <c r="K599" i="58"/>
  <c r="K572" i="58"/>
  <c r="L572" i="58" s="1"/>
  <c r="L567" i="58" s="1"/>
  <c r="K548" i="58"/>
  <c r="L548" i="58" s="1"/>
  <c r="L543" i="58" s="1"/>
  <c r="K537" i="58"/>
  <c r="L537" i="58" s="1"/>
  <c r="L533" i="58" s="1"/>
  <c r="K532" i="58"/>
  <c r="L532" i="58" s="1"/>
  <c r="L528" i="58" s="1"/>
  <c r="K527" i="58"/>
  <c r="K509" i="58"/>
  <c r="K497" i="58"/>
  <c r="L497" i="58" s="1"/>
  <c r="L495" i="58" s="1"/>
  <c r="K494" i="58"/>
  <c r="L494" i="58" s="1"/>
  <c r="L492" i="58" s="1"/>
  <c r="K491" i="58"/>
  <c r="L491" i="58" s="1"/>
  <c r="L489" i="58" s="1"/>
  <c r="K482" i="58"/>
  <c r="L482" i="58" s="1"/>
  <c r="L480" i="58" s="1"/>
  <c r="K479" i="58"/>
  <c r="K476" i="58"/>
  <c r="K473" i="58"/>
  <c r="K461" i="58"/>
  <c r="K446" i="58"/>
  <c r="L446" i="58" s="1"/>
  <c r="K428" i="58"/>
  <c r="K422" i="58"/>
  <c r="K414" i="58"/>
  <c r="K406" i="58"/>
  <c r="K390" i="58"/>
  <c r="K382" i="58"/>
  <c r="K366" i="58"/>
  <c r="K358" i="58"/>
  <c r="K350" i="58"/>
  <c r="K320" i="58"/>
  <c r="L320" i="58" s="1"/>
  <c r="L315" i="58" s="1"/>
  <c r="K290" i="58"/>
  <c r="K273" i="58"/>
  <c r="K259" i="58"/>
  <c r="K251" i="58"/>
  <c r="K248" i="58"/>
  <c r="L248" i="58" s="1"/>
  <c r="L246" i="58" s="1"/>
  <c r="K245" i="58"/>
  <c r="L245" i="58" s="1"/>
  <c r="L243" i="58" s="1"/>
  <c r="K242" i="58"/>
  <c r="L242" i="58" s="1"/>
  <c r="L240" i="58" s="1"/>
  <c r="K239" i="58"/>
  <c r="L239" i="58" s="1"/>
  <c r="L237" i="58" s="1"/>
  <c r="K236" i="58"/>
  <c r="L236" i="58" s="1"/>
  <c r="L234" i="58" s="1"/>
  <c r="K233" i="58"/>
  <c r="K230" i="58"/>
  <c r="K227" i="58"/>
  <c r="K224" i="58"/>
  <c r="K221" i="58"/>
  <c r="K212" i="58"/>
  <c r="L212" i="58" s="1"/>
  <c r="L210" i="58" s="1"/>
  <c r="K207" i="58"/>
  <c r="K197" i="58"/>
  <c r="L197" i="58" s="1"/>
  <c r="K191" i="58"/>
  <c r="L191" i="58" s="1"/>
  <c r="L189" i="58" s="1"/>
  <c r="K186" i="58"/>
  <c r="L186" i="58" s="1"/>
  <c r="L184" i="58" s="1"/>
  <c r="K181" i="58"/>
  <c r="K176" i="58"/>
  <c r="L176" i="58" s="1"/>
  <c r="K172" i="58"/>
  <c r="L172" i="58" s="1"/>
  <c r="L170" i="58" s="1"/>
  <c r="K169" i="58"/>
  <c r="L169" i="58" s="1"/>
  <c r="L167" i="58" s="1"/>
  <c r="K166" i="58"/>
  <c r="K163" i="58"/>
  <c r="K160" i="58"/>
  <c r="K157" i="58"/>
  <c r="K154" i="58"/>
  <c r="K148" i="58"/>
  <c r="L148" i="58" s="1"/>
  <c r="L146" i="58" s="1"/>
  <c r="K145" i="58"/>
  <c r="K139" i="58"/>
  <c r="K136" i="58"/>
  <c r="L136" i="58" s="1"/>
  <c r="L134" i="58" s="1"/>
  <c r="K133" i="58"/>
  <c r="K130" i="58"/>
  <c r="L130" i="58" s="1"/>
  <c r="L128" i="58" s="1"/>
  <c r="K127" i="58"/>
  <c r="L127" i="58" s="1"/>
  <c r="L125" i="58" s="1"/>
  <c r="K124" i="58"/>
  <c r="L124" i="58" s="1"/>
  <c r="L122" i="58" s="1"/>
  <c r="K121" i="58"/>
  <c r="L121" i="58" s="1"/>
  <c r="L119" i="58" s="1"/>
  <c r="K118" i="58"/>
  <c r="L118" i="58" s="1"/>
  <c r="L116" i="58" s="1"/>
  <c r="K115" i="58"/>
  <c r="K112" i="58"/>
  <c r="K109" i="58"/>
  <c r="K106" i="58"/>
  <c r="K100" i="58"/>
  <c r="K97" i="58"/>
  <c r="K91" i="58"/>
  <c r="L91" i="58" s="1"/>
  <c r="L89" i="58" s="1"/>
  <c r="K88" i="58"/>
  <c r="L88" i="58" s="1"/>
  <c r="L86" i="58" s="1"/>
  <c r="K85" i="58"/>
  <c r="L85" i="58" s="1"/>
  <c r="L83" i="58" s="1"/>
  <c r="K82" i="58"/>
  <c r="L82" i="58" s="1"/>
  <c r="L80" i="58" s="1"/>
  <c r="K79" i="58"/>
  <c r="L79" i="58" s="1"/>
  <c r="L77" i="58" s="1"/>
  <c r="K76" i="58"/>
  <c r="L76" i="58" s="1"/>
  <c r="L74" i="58" s="1"/>
  <c r="K73" i="58"/>
  <c r="L73" i="58" s="1"/>
  <c r="L71" i="58" s="1"/>
  <c r="K70" i="58"/>
  <c r="L70" i="58" s="1"/>
  <c r="K67" i="58"/>
  <c r="K64" i="58"/>
  <c r="K61" i="58"/>
  <c r="K58" i="58"/>
  <c r="K52" i="58"/>
  <c r="K49" i="58"/>
  <c r="K43" i="58"/>
  <c r="L43" i="58" s="1"/>
  <c r="L41" i="58" s="1"/>
  <c r="K40" i="58"/>
  <c r="L40" i="58" s="1"/>
  <c r="L38" i="58" s="1"/>
  <c r="K37" i="58"/>
  <c r="K34" i="58"/>
  <c r="L34" i="58" s="1"/>
  <c r="L32" i="58" s="1"/>
  <c r="K31" i="58"/>
  <c r="K28" i="58"/>
  <c r="L28" i="58" s="1"/>
  <c r="L26" i="58" s="1"/>
  <c r="K25" i="58"/>
  <c r="L25" i="58" s="1"/>
  <c r="L23" i="58" s="1"/>
  <c r="K22" i="58"/>
  <c r="L22" i="58" s="1"/>
  <c r="L20" i="58" s="1"/>
  <c r="K19" i="58"/>
  <c r="K16" i="58"/>
  <c r="K13" i="58"/>
  <c r="K10" i="58"/>
  <c r="F67" i="60"/>
  <c r="E67" i="60"/>
  <c r="D67" i="60"/>
  <c r="C67" i="60"/>
  <c r="F66" i="60"/>
  <c r="E66" i="60"/>
  <c r="D66" i="60"/>
  <c r="C66" i="60"/>
  <c r="F65" i="60"/>
  <c r="E65" i="60"/>
  <c r="D65" i="60"/>
  <c r="C65" i="60"/>
  <c r="F64" i="60"/>
  <c r="E64" i="60"/>
  <c r="D64" i="60"/>
  <c r="C64" i="60"/>
  <c r="F63" i="60"/>
  <c r="E63" i="60"/>
  <c r="D63" i="60"/>
  <c r="C63" i="60"/>
  <c r="F62" i="60"/>
  <c r="E62" i="60"/>
  <c r="D62" i="60"/>
  <c r="C62" i="60"/>
  <c r="F61" i="60"/>
  <c r="E61" i="60"/>
  <c r="D61" i="60"/>
  <c r="C61" i="60"/>
  <c r="F60" i="60"/>
  <c r="E60" i="60"/>
  <c r="D60" i="60"/>
  <c r="C60" i="60"/>
  <c r="F59" i="60"/>
  <c r="E59" i="60"/>
  <c r="D59" i="60"/>
  <c r="C59" i="60"/>
  <c r="F58" i="60"/>
  <c r="E58" i="60"/>
  <c r="D58" i="60"/>
  <c r="C58" i="60"/>
  <c r="F57" i="60"/>
  <c r="E57" i="60"/>
  <c r="D57" i="60"/>
  <c r="C57" i="60"/>
  <c r="F56" i="60"/>
  <c r="E56" i="60"/>
  <c r="D56" i="60"/>
  <c r="C56" i="60"/>
  <c r="F55" i="60"/>
  <c r="E55" i="60"/>
  <c r="D55" i="60"/>
  <c r="C55" i="60"/>
  <c r="F54" i="60"/>
  <c r="E54" i="60"/>
  <c r="D54" i="60"/>
  <c r="C54" i="60"/>
  <c r="F53" i="60"/>
  <c r="E53" i="60"/>
  <c r="D53" i="60"/>
  <c r="C53" i="60"/>
  <c r="F52" i="60"/>
  <c r="E52" i="60"/>
  <c r="D52" i="60"/>
  <c r="C52" i="60"/>
  <c r="F51" i="60"/>
  <c r="E51" i="60"/>
  <c r="D51" i="60"/>
  <c r="C51" i="60"/>
  <c r="F50" i="60"/>
  <c r="E50" i="60"/>
  <c r="D50" i="60"/>
  <c r="C50" i="60"/>
  <c r="F49" i="60"/>
  <c r="E49" i="60"/>
  <c r="D49" i="60"/>
  <c r="C49" i="60"/>
  <c r="F48" i="60"/>
  <c r="E48" i="60"/>
  <c r="D48" i="60"/>
  <c r="C48" i="60"/>
  <c r="F47" i="60"/>
  <c r="E47" i="60"/>
  <c r="D47" i="60"/>
  <c r="C47" i="60"/>
  <c r="F46" i="60"/>
  <c r="E46" i="60"/>
  <c r="D46" i="60"/>
  <c r="C46" i="60"/>
  <c r="F45" i="60"/>
  <c r="E45" i="60"/>
  <c r="D45" i="60"/>
  <c r="C45" i="60"/>
  <c r="F44" i="60"/>
  <c r="E44" i="60"/>
  <c r="D44" i="60"/>
  <c r="C44" i="60"/>
  <c r="F43" i="60"/>
  <c r="E43" i="60"/>
  <c r="D43" i="60"/>
  <c r="C43" i="60"/>
  <c r="F42" i="60"/>
  <c r="E42" i="60"/>
  <c r="D42" i="60"/>
  <c r="C42" i="60"/>
  <c r="F41" i="60"/>
  <c r="E41" i="60"/>
  <c r="D41" i="60"/>
  <c r="C41" i="60"/>
  <c r="F40" i="60"/>
  <c r="E40" i="60"/>
  <c r="D40" i="60"/>
  <c r="C40" i="60"/>
  <c r="F39" i="60"/>
  <c r="E39" i="60"/>
  <c r="D39" i="60"/>
  <c r="C39" i="60"/>
  <c r="F38" i="60"/>
  <c r="E38" i="60"/>
  <c r="D38" i="60"/>
  <c r="C38" i="60"/>
  <c r="F37" i="60"/>
  <c r="E37" i="60"/>
  <c r="D37" i="60"/>
  <c r="C37" i="60"/>
  <c r="F36" i="60"/>
  <c r="E36" i="60"/>
  <c r="D36" i="60"/>
  <c r="C36" i="60"/>
  <c r="F35" i="60"/>
  <c r="E35" i="60"/>
  <c r="D35" i="60"/>
  <c r="C35" i="60"/>
  <c r="F34" i="60"/>
  <c r="E34" i="60"/>
  <c r="D34" i="60"/>
  <c r="C34" i="60"/>
  <c r="F33" i="60"/>
  <c r="E33" i="60"/>
  <c r="D33" i="60"/>
  <c r="C33" i="60"/>
  <c r="F32" i="60"/>
  <c r="E32" i="60"/>
  <c r="D32" i="60"/>
  <c r="C32" i="60"/>
  <c r="F31" i="60"/>
  <c r="E31" i="60"/>
  <c r="D31" i="60"/>
  <c r="C31" i="60"/>
  <c r="F30" i="60"/>
  <c r="E30" i="60"/>
  <c r="D30" i="60"/>
  <c r="C30" i="60"/>
  <c r="F29" i="60"/>
  <c r="E29" i="60"/>
  <c r="D29" i="60"/>
  <c r="C29" i="60"/>
  <c r="F28" i="60"/>
  <c r="E28" i="60"/>
  <c r="D28" i="60"/>
  <c r="C28" i="60"/>
  <c r="F27" i="60"/>
  <c r="E27" i="60"/>
  <c r="D27" i="60"/>
  <c r="C27" i="60"/>
  <c r="H27" i="60" s="1"/>
  <c r="F26" i="60"/>
  <c r="E26" i="60"/>
  <c r="D26" i="60"/>
  <c r="C26" i="60"/>
  <c r="F25" i="60"/>
  <c r="E25" i="60"/>
  <c r="D25" i="60"/>
  <c r="C25" i="60"/>
  <c r="F24" i="60"/>
  <c r="E24" i="60"/>
  <c r="D24" i="60"/>
  <c r="C24" i="60"/>
  <c r="F23" i="60"/>
  <c r="E23" i="60"/>
  <c r="D23" i="60"/>
  <c r="C23" i="60"/>
  <c r="F22" i="60"/>
  <c r="E22" i="60"/>
  <c r="D22" i="60"/>
  <c r="C22" i="60"/>
  <c r="F21" i="60"/>
  <c r="E21" i="60"/>
  <c r="D21" i="60"/>
  <c r="C21" i="60"/>
  <c r="J20" i="60"/>
  <c r="F20" i="60"/>
  <c r="E20" i="60"/>
  <c r="D20" i="60"/>
  <c r="C20" i="60"/>
  <c r="F19" i="60"/>
  <c r="E19" i="60"/>
  <c r="D19" i="60"/>
  <c r="C19" i="60"/>
  <c r="F18" i="60"/>
  <c r="E18" i="60"/>
  <c r="D18" i="60"/>
  <c r="C18" i="60"/>
  <c r="J17" i="60"/>
  <c r="F17" i="60"/>
  <c r="E17" i="60"/>
  <c r="D17" i="60"/>
  <c r="C17" i="60"/>
  <c r="F16" i="60"/>
  <c r="E16" i="60"/>
  <c r="D16" i="60"/>
  <c r="C16" i="60"/>
  <c r="F15" i="60"/>
  <c r="E15" i="60"/>
  <c r="D15" i="60"/>
  <c r="C15" i="60"/>
  <c r="J14" i="60"/>
  <c r="F14" i="60"/>
  <c r="E14" i="60"/>
  <c r="D14" i="60"/>
  <c r="C14" i="60"/>
  <c r="F13" i="60"/>
  <c r="E13" i="60"/>
  <c r="D13" i="60"/>
  <c r="C13" i="60"/>
  <c r="F12" i="60"/>
  <c r="E12" i="60"/>
  <c r="D12" i="60"/>
  <c r="C12" i="60"/>
  <c r="J13" i="60"/>
  <c r="F11" i="60"/>
  <c r="E11" i="60"/>
  <c r="D11" i="60"/>
  <c r="C11" i="60"/>
  <c r="F10" i="60"/>
  <c r="E10" i="60"/>
  <c r="D10" i="60"/>
  <c r="C10" i="60"/>
  <c r="F9" i="60"/>
  <c r="E9" i="60"/>
  <c r="D9" i="60"/>
  <c r="C9" i="60"/>
  <c r="F8" i="60"/>
  <c r="E8" i="60"/>
  <c r="D8" i="60"/>
  <c r="C8" i="60"/>
  <c r="F7" i="60"/>
  <c r="E7" i="60"/>
  <c r="D7" i="60"/>
  <c r="C7" i="60"/>
  <c r="O13068" i="58"/>
  <c r="P13068" i="58" s="1"/>
  <c r="Q13068" i="58" s="1"/>
  <c r="R13068" i="58" s="1"/>
  <c r="O13067" i="58"/>
  <c r="P13067" i="58" s="1"/>
  <c r="O13066" i="58"/>
  <c r="P13066" i="58" s="1"/>
  <c r="O13065" i="58"/>
  <c r="P13065" i="58" s="1"/>
  <c r="K13065" i="58"/>
  <c r="L13065" i="58" s="1"/>
  <c r="L13061" i="58" s="1"/>
  <c r="O13064" i="58"/>
  <c r="P13064" i="58" s="1"/>
  <c r="O13063" i="58"/>
  <c r="P13063" i="58" s="1"/>
  <c r="O13062" i="58"/>
  <c r="P13062" i="58" s="1"/>
  <c r="O13061" i="58"/>
  <c r="P13061" i="58" s="1"/>
  <c r="Q13061" i="58" s="1"/>
  <c r="N13061" i="58"/>
  <c r="J13061" i="58"/>
  <c r="O13060" i="58"/>
  <c r="P13060" i="58" s="1"/>
  <c r="Q13060" i="58" s="1"/>
  <c r="R13060" i="58" s="1"/>
  <c r="O13059" i="58"/>
  <c r="P13059" i="58" s="1"/>
  <c r="Q13059" i="58" s="1"/>
  <c r="R13059" i="58" s="1"/>
  <c r="K13059" i="58"/>
  <c r="L13059" i="58" s="1"/>
  <c r="L13054" i="58" s="1"/>
  <c r="P13058" i="58"/>
  <c r="O13058" i="58"/>
  <c r="O13057" i="58"/>
  <c r="P13057" i="58" s="1"/>
  <c r="I13057" i="58"/>
  <c r="J13057" i="58" s="1"/>
  <c r="O13056" i="58"/>
  <c r="P13056" i="58" s="1"/>
  <c r="I13056" i="58"/>
  <c r="J13056" i="58" s="1"/>
  <c r="P13055" i="58"/>
  <c r="O13055" i="58"/>
  <c r="O13054" i="58"/>
  <c r="P13054" i="58" s="1"/>
  <c r="Q13054" i="58" s="1"/>
  <c r="N13054" i="58"/>
  <c r="O13053" i="58"/>
  <c r="P13053" i="58" s="1"/>
  <c r="O13052" i="58"/>
  <c r="P13052" i="58" s="1"/>
  <c r="K13052" i="58"/>
  <c r="L13052" i="58" s="1"/>
  <c r="L13047" i="58" s="1"/>
  <c r="O13051" i="58"/>
  <c r="P13051" i="58" s="1"/>
  <c r="O13050" i="58"/>
  <c r="P13050" i="58" s="1"/>
  <c r="I13050" i="58"/>
  <c r="J13050" i="58" s="1"/>
  <c r="O13049" i="58"/>
  <c r="P13049" i="58" s="1"/>
  <c r="I13049" i="58"/>
  <c r="J13049" i="58" s="1"/>
  <c r="O13048" i="58"/>
  <c r="P13048" i="58" s="1"/>
  <c r="O13047" i="58"/>
  <c r="P13047" i="58" s="1"/>
  <c r="Q13047" i="58" s="1"/>
  <c r="N13047" i="58"/>
  <c r="O13046" i="58"/>
  <c r="P13046" i="58" s="1"/>
  <c r="O13045" i="58"/>
  <c r="P13045" i="58" s="1"/>
  <c r="K13045" i="58"/>
  <c r="L13045" i="58" s="1"/>
  <c r="L13040" i="58" s="1"/>
  <c r="O13044" i="58"/>
  <c r="P13044" i="58" s="1"/>
  <c r="O13043" i="58"/>
  <c r="P13043" i="58" s="1"/>
  <c r="I13043" i="58"/>
  <c r="J13043" i="58" s="1"/>
  <c r="O13042" i="58"/>
  <c r="P13042" i="58" s="1"/>
  <c r="I13042" i="58"/>
  <c r="J13042" i="58" s="1"/>
  <c r="O13041" i="58"/>
  <c r="P13041" i="58" s="1"/>
  <c r="Q13040" i="58"/>
  <c r="P13040" i="58"/>
  <c r="O13040" i="58"/>
  <c r="N13040" i="58"/>
  <c r="O13039" i="58"/>
  <c r="P13039" i="58" s="1"/>
  <c r="Q13039" i="58" s="1"/>
  <c r="R13039" i="58" s="1"/>
  <c r="K13039" i="58"/>
  <c r="L13039" i="58" s="1"/>
  <c r="L13033" i="58" s="1"/>
  <c r="O13038" i="58"/>
  <c r="P13038" i="58" s="1"/>
  <c r="O13037" i="58"/>
  <c r="P13037" i="58" s="1"/>
  <c r="I13037" i="58"/>
  <c r="J13037" i="58" s="1"/>
  <c r="O13036" i="58"/>
  <c r="P13036" i="58" s="1"/>
  <c r="I13036" i="58"/>
  <c r="J13036" i="58" s="1"/>
  <c r="O13035" i="58"/>
  <c r="P13035" i="58" s="1"/>
  <c r="I13035" i="58"/>
  <c r="J13035" i="58" s="1"/>
  <c r="O13034" i="58"/>
  <c r="P13034" i="58" s="1"/>
  <c r="O13033" i="58"/>
  <c r="P13033" i="58" s="1"/>
  <c r="Q13033" i="58" s="1"/>
  <c r="N13033" i="58"/>
  <c r="P13032" i="58"/>
  <c r="O13032" i="58"/>
  <c r="K13032" i="58"/>
  <c r="L13032" i="58" s="1"/>
  <c r="L13025" i="58" s="1"/>
  <c r="O13031" i="58"/>
  <c r="P13031" i="58" s="1"/>
  <c r="O13030" i="58"/>
  <c r="P13030" i="58" s="1"/>
  <c r="I13030" i="58"/>
  <c r="J13030" i="58" s="1"/>
  <c r="O13029" i="58"/>
  <c r="P13029" i="58" s="1"/>
  <c r="I13029" i="58"/>
  <c r="J13029" i="58" s="1"/>
  <c r="O13028" i="58"/>
  <c r="P13028" i="58" s="1"/>
  <c r="I13028" i="58"/>
  <c r="J13028" i="58" s="1"/>
  <c r="O13027" i="58"/>
  <c r="P13027" i="58" s="1"/>
  <c r="I13027" i="58"/>
  <c r="J13027" i="58" s="1"/>
  <c r="O13026" i="58"/>
  <c r="P13026" i="58" s="1"/>
  <c r="Q13025" i="58"/>
  <c r="P13025" i="58"/>
  <c r="O13025" i="58"/>
  <c r="N13025" i="58"/>
  <c r="O13024" i="58"/>
  <c r="P13024" i="58" s="1"/>
  <c r="N13024" i="58"/>
  <c r="N13016" i="58" s="1"/>
  <c r="P13023" i="58"/>
  <c r="O13023" i="58"/>
  <c r="O13022" i="58"/>
  <c r="P13022" i="58" s="1"/>
  <c r="O13021" i="58"/>
  <c r="P13021" i="58" s="1"/>
  <c r="K13021" i="58"/>
  <c r="L13021" i="58" s="1"/>
  <c r="L13016" i="58" s="1"/>
  <c r="O13020" i="58"/>
  <c r="P13020" i="58" s="1"/>
  <c r="P13019" i="58"/>
  <c r="O13019" i="58"/>
  <c r="I13019" i="58"/>
  <c r="J13019" i="58" s="1"/>
  <c r="O13018" i="58"/>
  <c r="P13018" i="58" s="1"/>
  <c r="I13018" i="58"/>
  <c r="J13018" i="58" s="1"/>
  <c r="O13017" i="58"/>
  <c r="P13017" i="58" s="1"/>
  <c r="O13016" i="58"/>
  <c r="P13016" i="58" s="1"/>
  <c r="Q13016" i="58" s="1"/>
  <c r="O13015" i="58"/>
  <c r="P13015" i="58" s="1"/>
  <c r="Q13015" i="58" s="1"/>
  <c r="R13015" i="58" s="1"/>
  <c r="O13014" i="58"/>
  <c r="P13014" i="58" s="1"/>
  <c r="P13013" i="58"/>
  <c r="O13013" i="58"/>
  <c r="O13012" i="58"/>
  <c r="P13012" i="58" s="1"/>
  <c r="K13012" i="58"/>
  <c r="L13012" i="58" s="1"/>
  <c r="L13007" i="58" s="1"/>
  <c r="O13011" i="58"/>
  <c r="P13011" i="58" s="1"/>
  <c r="O13010" i="58"/>
  <c r="P13010" i="58" s="1"/>
  <c r="I13010" i="58"/>
  <c r="J13010" i="58" s="1"/>
  <c r="O13009" i="58"/>
  <c r="P13009" i="58" s="1"/>
  <c r="I13009" i="58"/>
  <c r="J13009" i="58" s="1"/>
  <c r="P13008" i="58"/>
  <c r="O13008" i="58"/>
  <c r="O13007" i="58"/>
  <c r="P13007" i="58" s="1"/>
  <c r="Q13007" i="58" s="1"/>
  <c r="O13006" i="58"/>
  <c r="P13006" i="58" s="1"/>
  <c r="O13005" i="58"/>
  <c r="P13005" i="58" s="1"/>
  <c r="O13004" i="58"/>
  <c r="P13004" i="58" s="1"/>
  <c r="O13003" i="58"/>
  <c r="P13003" i="58" s="1"/>
  <c r="K13003" i="58"/>
  <c r="L13003" i="58" s="1"/>
  <c r="L12998" i="58" s="1"/>
  <c r="O13002" i="58"/>
  <c r="P13002" i="58" s="1"/>
  <c r="O13001" i="58"/>
  <c r="P13001" i="58" s="1"/>
  <c r="I13001" i="58"/>
  <c r="J13001" i="58" s="1"/>
  <c r="O13000" i="58"/>
  <c r="P13000" i="58" s="1"/>
  <c r="I13000" i="58"/>
  <c r="J13000" i="58" s="1"/>
  <c r="O12999" i="58"/>
  <c r="P12999" i="58" s="1"/>
  <c r="O12998" i="58"/>
  <c r="P12998" i="58" s="1"/>
  <c r="Q12998" i="58" s="1"/>
  <c r="O12997" i="58"/>
  <c r="P12997" i="58" s="1"/>
  <c r="P12996" i="58"/>
  <c r="O12996" i="58"/>
  <c r="P12995" i="58"/>
  <c r="O12995" i="58"/>
  <c r="O12994" i="58"/>
  <c r="P12994" i="58" s="1"/>
  <c r="K12994" i="58"/>
  <c r="L12994" i="58" s="1"/>
  <c r="L12989" i="58" s="1"/>
  <c r="O12993" i="58"/>
  <c r="P12993" i="58" s="1"/>
  <c r="O12992" i="58"/>
  <c r="P12992" i="58" s="1"/>
  <c r="I12992" i="58"/>
  <c r="J12992" i="58" s="1"/>
  <c r="O12991" i="58"/>
  <c r="P12991" i="58" s="1"/>
  <c r="I12991" i="58"/>
  <c r="J12991" i="58" s="1"/>
  <c r="P12990" i="58"/>
  <c r="O12990" i="58"/>
  <c r="O12989" i="58"/>
  <c r="P12989" i="58" s="1"/>
  <c r="Q12989" i="58" s="1"/>
  <c r="P12988" i="58"/>
  <c r="Q12988" i="58" s="1"/>
  <c r="R12988" i="58" s="1"/>
  <c r="O12988" i="58"/>
  <c r="N12988" i="58"/>
  <c r="N12980" i="58" s="1"/>
  <c r="O12987" i="58"/>
  <c r="P12987" i="58" s="1"/>
  <c r="O12986" i="58"/>
  <c r="P12986" i="58" s="1"/>
  <c r="O12985" i="58"/>
  <c r="P12985" i="58" s="1"/>
  <c r="K12985" i="58"/>
  <c r="L12985" i="58" s="1"/>
  <c r="L12980" i="58" s="1"/>
  <c r="P12984" i="58"/>
  <c r="O12984" i="58"/>
  <c r="O12983" i="58"/>
  <c r="P12983" i="58" s="1"/>
  <c r="I12983" i="58"/>
  <c r="J12983" i="58" s="1"/>
  <c r="O12982" i="58"/>
  <c r="P12982" i="58" s="1"/>
  <c r="I12982" i="58"/>
  <c r="J12982" i="58" s="1"/>
  <c r="O12981" i="58"/>
  <c r="P12981" i="58" s="1"/>
  <c r="O12980" i="58"/>
  <c r="P12980" i="58" s="1"/>
  <c r="Q12980" i="58" s="1"/>
  <c r="O12979" i="58"/>
  <c r="P12979" i="58" s="1"/>
  <c r="N12979" i="58"/>
  <c r="N12971" i="58" s="1"/>
  <c r="O12978" i="58"/>
  <c r="P12978" i="58" s="1"/>
  <c r="O12977" i="58"/>
  <c r="P12977" i="58" s="1"/>
  <c r="O12976" i="58"/>
  <c r="P12976" i="58" s="1"/>
  <c r="K12976" i="58"/>
  <c r="L12976" i="58" s="1"/>
  <c r="L12971" i="58" s="1"/>
  <c r="O12975" i="58"/>
  <c r="P12975" i="58" s="1"/>
  <c r="O12974" i="58"/>
  <c r="P12974" i="58" s="1"/>
  <c r="I12974" i="58"/>
  <c r="J12974" i="58" s="1"/>
  <c r="P12973" i="58"/>
  <c r="O12973" i="58"/>
  <c r="I12973" i="58"/>
  <c r="J12973" i="58" s="1"/>
  <c r="O12972" i="58"/>
  <c r="P12972" i="58" s="1"/>
  <c r="O12971" i="58"/>
  <c r="P12971" i="58" s="1"/>
  <c r="Q12971" i="58" s="1"/>
  <c r="O12970" i="58"/>
  <c r="P12970" i="58" s="1"/>
  <c r="N12970" i="58"/>
  <c r="N12962" i="58" s="1"/>
  <c r="P12969" i="58"/>
  <c r="O12969" i="58"/>
  <c r="O12968" i="58"/>
  <c r="P12968" i="58" s="1"/>
  <c r="O12967" i="58"/>
  <c r="P12967" i="58" s="1"/>
  <c r="L12967" i="58"/>
  <c r="L12962" i="58" s="1"/>
  <c r="K12967" i="58"/>
  <c r="O12966" i="58"/>
  <c r="P12966" i="58" s="1"/>
  <c r="O12965" i="58"/>
  <c r="P12965" i="58" s="1"/>
  <c r="I12965" i="58"/>
  <c r="J12965" i="58" s="1"/>
  <c r="P12964" i="58"/>
  <c r="O12964" i="58"/>
  <c r="I12964" i="58"/>
  <c r="J12964" i="58" s="1"/>
  <c r="J12962" i="58" s="1"/>
  <c r="O12963" i="58"/>
  <c r="P12963" i="58" s="1"/>
  <c r="O12962" i="58"/>
  <c r="P12962" i="58" s="1"/>
  <c r="Q12962" i="58" s="1"/>
  <c r="O12961" i="58"/>
  <c r="P12961" i="58" s="1"/>
  <c r="O12960" i="58"/>
  <c r="P12960" i="58" s="1"/>
  <c r="P12959" i="58"/>
  <c r="O12959" i="58"/>
  <c r="K12959" i="58"/>
  <c r="L12959" i="58" s="1"/>
  <c r="L12953" i="58" s="1"/>
  <c r="O12958" i="58"/>
  <c r="P12958" i="58" s="1"/>
  <c r="P12957" i="58"/>
  <c r="O12957" i="58"/>
  <c r="I12957" i="58"/>
  <c r="J12957" i="58" s="1"/>
  <c r="P12956" i="58"/>
  <c r="O12956" i="58"/>
  <c r="I12956" i="58"/>
  <c r="J12956" i="58" s="1"/>
  <c r="O12955" i="58"/>
  <c r="P12955" i="58" s="1"/>
  <c r="I12955" i="58"/>
  <c r="J12955" i="58" s="1"/>
  <c r="O12954" i="58"/>
  <c r="P12954" i="58" s="1"/>
  <c r="O12953" i="58"/>
  <c r="P12953" i="58" s="1"/>
  <c r="Q12953" i="58" s="1"/>
  <c r="P12952" i="58"/>
  <c r="O12952" i="58"/>
  <c r="O12951" i="58"/>
  <c r="P12951" i="58" s="1"/>
  <c r="O12950" i="58"/>
  <c r="P12950" i="58" s="1"/>
  <c r="K12950" i="58"/>
  <c r="L12950" i="58" s="1"/>
  <c r="L12944" i="58" s="1"/>
  <c r="O12949" i="58"/>
  <c r="P12949" i="58" s="1"/>
  <c r="O12948" i="58"/>
  <c r="P12948" i="58" s="1"/>
  <c r="I12948" i="58"/>
  <c r="J12948" i="58" s="1"/>
  <c r="O12947" i="58"/>
  <c r="P12947" i="58" s="1"/>
  <c r="I12947" i="58"/>
  <c r="J12947" i="58" s="1"/>
  <c r="O12946" i="58"/>
  <c r="P12946" i="58" s="1"/>
  <c r="I12946" i="58"/>
  <c r="J12946" i="58" s="1"/>
  <c r="P12945" i="58"/>
  <c r="O12945" i="58"/>
  <c r="O12944" i="58"/>
  <c r="P12944" i="58" s="1"/>
  <c r="Q12944" i="58" s="1"/>
  <c r="O12943" i="58"/>
  <c r="P12943" i="58" s="1"/>
  <c r="Q12943" i="58" s="1"/>
  <c r="Q12942" i="58" s="1"/>
  <c r="R12942" i="58" s="1"/>
  <c r="O12942" i="58"/>
  <c r="P12942" i="58" s="1"/>
  <c r="O12941" i="58"/>
  <c r="P12941" i="58" s="1"/>
  <c r="K12941" i="58"/>
  <c r="L12941" i="58" s="1"/>
  <c r="L12935" i="58" s="1"/>
  <c r="O12940" i="58"/>
  <c r="P12940" i="58" s="1"/>
  <c r="P12939" i="58"/>
  <c r="O12939" i="58"/>
  <c r="I12939" i="58"/>
  <c r="J12939" i="58" s="1"/>
  <c r="O12938" i="58"/>
  <c r="P12938" i="58" s="1"/>
  <c r="I12938" i="58"/>
  <c r="J12938" i="58" s="1"/>
  <c r="O12937" i="58"/>
  <c r="P12937" i="58" s="1"/>
  <c r="I12937" i="58"/>
  <c r="J12937" i="58" s="1"/>
  <c r="J12935" i="58" s="1"/>
  <c r="P12936" i="58"/>
  <c r="O12936" i="58"/>
  <c r="O12935" i="58"/>
  <c r="P12935" i="58" s="1"/>
  <c r="Q12935" i="58" s="1"/>
  <c r="O12934" i="58"/>
  <c r="P12934" i="58" s="1"/>
  <c r="Q12934" i="58" s="1"/>
  <c r="K12934" i="58"/>
  <c r="L12934" i="58" s="1"/>
  <c r="L12930" i="58" s="1"/>
  <c r="P12933" i="58"/>
  <c r="O12933" i="58"/>
  <c r="O12932" i="58"/>
  <c r="P12932" i="58" s="1"/>
  <c r="I12932" i="58"/>
  <c r="J12932" i="58" s="1"/>
  <c r="J12930" i="58" s="1"/>
  <c r="O12931" i="58"/>
  <c r="P12931" i="58" s="1"/>
  <c r="P12930" i="58"/>
  <c r="Q12930" i="58" s="1"/>
  <c r="O12930" i="58"/>
  <c r="N12930" i="58"/>
  <c r="O12929" i="58"/>
  <c r="P12929" i="58" s="1"/>
  <c r="Q12929" i="58" s="1"/>
  <c r="R12929" i="58" s="1"/>
  <c r="L12929" i="58"/>
  <c r="L12925" i="58" s="1"/>
  <c r="K12929" i="58"/>
  <c r="P12928" i="58"/>
  <c r="O12928" i="58"/>
  <c r="O12927" i="58"/>
  <c r="P12927" i="58" s="1"/>
  <c r="J12927" i="58"/>
  <c r="J12925" i="58" s="1"/>
  <c r="I12927" i="58"/>
  <c r="O12926" i="58"/>
  <c r="P12926" i="58" s="1"/>
  <c r="P12925" i="58"/>
  <c r="Q12925" i="58" s="1"/>
  <c r="O12925" i="58"/>
  <c r="N12925" i="58"/>
  <c r="O12924" i="58"/>
  <c r="P12924" i="58" s="1"/>
  <c r="K12924" i="58"/>
  <c r="L12924" i="58" s="1"/>
  <c r="L12920" i="58" s="1"/>
  <c r="O12923" i="58"/>
  <c r="P12923" i="58" s="1"/>
  <c r="P12922" i="58"/>
  <c r="O12922" i="58"/>
  <c r="I12922" i="58"/>
  <c r="J12922" i="58" s="1"/>
  <c r="J12920" i="58" s="1"/>
  <c r="O12921" i="58"/>
  <c r="P12921" i="58" s="1"/>
  <c r="P12920" i="58"/>
  <c r="Q12920" i="58" s="1"/>
  <c r="O12920" i="58"/>
  <c r="N12920" i="58"/>
  <c r="O12919" i="58"/>
  <c r="P12919" i="58" s="1"/>
  <c r="K12919" i="58"/>
  <c r="L12919" i="58" s="1"/>
  <c r="L12914" i="58" s="1"/>
  <c r="O12918" i="58"/>
  <c r="P12918" i="58" s="1"/>
  <c r="P12917" i="58"/>
  <c r="O12917" i="58"/>
  <c r="I12917" i="58"/>
  <c r="J12917" i="58" s="1"/>
  <c r="O12916" i="58"/>
  <c r="P12916" i="58" s="1"/>
  <c r="I12916" i="58"/>
  <c r="J12916" i="58" s="1"/>
  <c r="J12914" i="58" s="1"/>
  <c r="O12915" i="58"/>
  <c r="P12915" i="58" s="1"/>
  <c r="O12914" i="58"/>
  <c r="P12914" i="58" s="1"/>
  <c r="Q12914" i="58" s="1"/>
  <c r="N12914" i="58"/>
  <c r="O12913" i="58"/>
  <c r="P12913" i="58" s="1"/>
  <c r="Q12913" i="58" s="1"/>
  <c r="R12913" i="58" s="1"/>
  <c r="K12913" i="58"/>
  <c r="L12913" i="58" s="1"/>
  <c r="L12909" i="58" s="1"/>
  <c r="O12912" i="58"/>
  <c r="P12912" i="58" s="1"/>
  <c r="O12911" i="58"/>
  <c r="P12911" i="58" s="1"/>
  <c r="I12911" i="58"/>
  <c r="J12911" i="58" s="1"/>
  <c r="J12909" i="58" s="1"/>
  <c r="O12910" i="58"/>
  <c r="P12910" i="58" s="1"/>
  <c r="P12909" i="58"/>
  <c r="Q12909" i="58" s="1"/>
  <c r="O12909" i="58"/>
  <c r="N12909" i="58"/>
  <c r="O12908" i="58"/>
  <c r="P12908" i="58" s="1"/>
  <c r="L12908" i="58"/>
  <c r="L12902" i="58" s="1"/>
  <c r="K12908" i="58"/>
  <c r="O12907" i="58"/>
  <c r="P12907" i="58" s="1"/>
  <c r="P12906" i="58"/>
  <c r="O12906" i="58"/>
  <c r="I12906" i="58"/>
  <c r="J12906" i="58" s="1"/>
  <c r="P12905" i="58"/>
  <c r="O12905" i="58"/>
  <c r="I12905" i="58"/>
  <c r="J12905" i="58" s="1"/>
  <c r="P12904" i="58"/>
  <c r="O12904" i="58"/>
  <c r="I12904" i="58"/>
  <c r="J12904" i="58" s="1"/>
  <c r="O12903" i="58"/>
  <c r="P12903" i="58" s="1"/>
  <c r="O12902" i="58"/>
  <c r="P12902" i="58" s="1"/>
  <c r="Q12902" i="58" s="1"/>
  <c r="N12902" i="58"/>
  <c r="P12901" i="58"/>
  <c r="O12901" i="58"/>
  <c r="K12901" i="58"/>
  <c r="L12901" i="58" s="1"/>
  <c r="L12895" i="58" s="1"/>
  <c r="P12900" i="58"/>
  <c r="O12900" i="58"/>
  <c r="O12899" i="58"/>
  <c r="P12899" i="58" s="1"/>
  <c r="I12899" i="58"/>
  <c r="J12899" i="58" s="1"/>
  <c r="O12898" i="58"/>
  <c r="P12898" i="58" s="1"/>
  <c r="I12898" i="58"/>
  <c r="J12898" i="58" s="1"/>
  <c r="O12897" i="58"/>
  <c r="P12897" i="58" s="1"/>
  <c r="I12897" i="58"/>
  <c r="J12897" i="58" s="1"/>
  <c r="P12896" i="58"/>
  <c r="O12896" i="58"/>
  <c r="Q12895" i="58"/>
  <c r="P12895" i="58"/>
  <c r="O12895" i="58"/>
  <c r="N12895" i="58"/>
  <c r="O12894" i="58"/>
  <c r="P12894" i="58" s="1"/>
  <c r="Q12894" i="58" s="1"/>
  <c r="R12894" i="58" s="1"/>
  <c r="K12894" i="58"/>
  <c r="L12894" i="58" s="1"/>
  <c r="L12888" i="58" s="1"/>
  <c r="O12893" i="58"/>
  <c r="P12893" i="58" s="1"/>
  <c r="O12892" i="58"/>
  <c r="P12892" i="58" s="1"/>
  <c r="I12892" i="58"/>
  <c r="J12892" i="58" s="1"/>
  <c r="O12891" i="58"/>
  <c r="P12891" i="58" s="1"/>
  <c r="I12891" i="58"/>
  <c r="J12891" i="58" s="1"/>
  <c r="O12890" i="58"/>
  <c r="P12890" i="58" s="1"/>
  <c r="I12890" i="58"/>
  <c r="J12890" i="58" s="1"/>
  <c r="O12889" i="58"/>
  <c r="P12889" i="58" s="1"/>
  <c r="O12888" i="58"/>
  <c r="P12888" i="58" s="1"/>
  <c r="Q12888" i="58" s="1"/>
  <c r="N12888" i="58"/>
  <c r="P12887" i="58"/>
  <c r="Q12887" i="58" s="1"/>
  <c r="R12887" i="58" s="1"/>
  <c r="O12887" i="58"/>
  <c r="K12887" i="58"/>
  <c r="L12887" i="58" s="1"/>
  <c r="L12881" i="58" s="1"/>
  <c r="O12886" i="58"/>
  <c r="P12886" i="58" s="1"/>
  <c r="P12885" i="58"/>
  <c r="O12885" i="58"/>
  <c r="I12885" i="58"/>
  <c r="J12885" i="58" s="1"/>
  <c r="O12884" i="58"/>
  <c r="P12884" i="58" s="1"/>
  <c r="I12884" i="58"/>
  <c r="J12884" i="58" s="1"/>
  <c r="O12883" i="58"/>
  <c r="P12883" i="58" s="1"/>
  <c r="I12883" i="58"/>
  <c r="J12883" i="58" s="1"/>
  <c r="P12882" i="58"/>
  <c r="O12882" i="58"/>
  <c r="O12881" i="58"/>
  <c r="P12881" i="58" s="1"/>
  <c r="Q12881" i="58" s="1"/>
  <c r="N12881" i="58"/>
  <c r="O12880" i="58"/>
  <c r="P12880" i="58" s="1"/>
  <c r="O12879" i="58"/>
  <c r="P12879" i="58" s="1"/>
  <c r="O12878" i="58"/>
  <c r="P12878" i="58" s="1"/>
  <c r="K12878" i="58"/>
  <c r="L12878" i="58" s="1"/>
  <c r="L12873" i="58" s="1"/>
  <c r="O12877" i="58"/>
  <c r="P12877" i="58" s="1"/>
  <c r="O12876" i="58"/>
  <c r="P12876" i="58" s="1"/>
  <c r="I12876" i="58"/>
  <c r="J12876" i="58" s="1"/>
  <c r="P12875" i="58"/>
  <c r="O12875" i="58"/>
  <c r="I12875" i="58"/>
  <c r="J12875" i="58" s="1"/>
  <c r="O12874" i="58"/>
  <c r="P12874" i="58" s="1"/>
  <c r="O12873" i="58"/>
  <c r="P12873" i="58" s="1"/>
  <c r="Q12873" i="58" s="1"/>
  <c r="O12872" i="58"/>
  <c r="P12872" i="58" s="1"/>
  <c r="Q12872" i="58" s="1"/>
  <c r="R12872" i="58" s="1"/>
  <c r="K12872" i="58"/>
  <c r="L12872" i="58" s="1"/>
  <c r="L12866" i="58" s="1"/>
  <c r="O12871" i="58"/>
  <c r="P12871" i="58" s="1"/>
  <c r="O12870" i="58"/>
  <c r="P12870" i="58" s="1"/>
  <c r="I12870" i="58"/>
  <c r="J12870" i="58" s="1"/>
  <c r="O12869" i="58"/>
  <c r="P12869" i="58" s="1"/>
  <c r="J12869" i="58"/>
  <c r="I12869" i="58"/>
  <c r="O12868" i="58"/>
  <c r="P12868" i="58" s="1"/>
  <c r="I12868" i="58"/>
  <c r="J12868" i="58" s="1"/>
  <c r="O12867" i="58"/>
  <c r="P12867" i="58" s="1"/>
  <c r="O12866" i="58"/>
  <c r="P12866" i="58" s="1"/>
  <c r="Q12866" i="58" s="1"/>
  <c r="N12866" i="58"/>
  <c r="O12865" i="58"/>
  <c r="P12865" i="58" s="1"/>
  <c r="Q12865" i="58" s="1"/>
  <c r="R12865" i="58" s="1"/>
  <c r="K12865" i="58"/>
  <c r="L12865" i="58" s="1"/>
  <c r="L12858" i="58" s="1"/>
  <c r="O12864" i="58"/>
  <c r="P12864" i="58" s="1"/>
  <c r="P12863" i="58"/>
  <c r="O12863" i="58"/>
  <c r="I12863" i="58"/>
  <c r="J12863" i="58" s="1"/>
  <c r="O12862" i="58"/>
  <c r="P12862" i="58" s="1"/>
  <c r="I12862" i="58"/>
  <c r="J12862" i="58" s="1"/>
  <c r="P12861" i="58"/>
  <c r="O12861" i="58"/>
  <c r="I12861" i="58"/>
  <c r="J12861" i="58" s="1"/>
  <c r="O12860" i="58"/>
  <c r="P12860" i="58" s="1"/>
  <c r="I12860" i="58"/>
  <c r="J12860" i="58" s="1"/>
  <c r="O12859" i="58"/>
  <c r="P12859" i="58" s="1"/>
  <c r="O12858" i="58"/>
  <c r="P12858" i="58" s="1"/>
  <c r="Q12858" i="58" s="1"/>
  <c r="N12858" i="58"/>
  <c r="O12857" i="58"/>
  <c r="P12857" i="58" s="1"/>
  <c r="K12857" i="58"/>
  <c r="L12857" i="58" s="1"/>
  <c r="L12850" i="58" s="1"/>
  <c r="O12856" i="58"/>
  <c r="P12856" i="58" s="1"/>
  <c r="O12855" i="58"/>
  <c r="P12855" i="58" s="1"/>
  <c r="I12855" i="58"/>
  <c r="J12855" i="58" s="1"/>
  <c r="O12854" i="58"/>
  <c r="P12854" i="58" s="1"/>
  <c r="J12854" i="58"/>
  <c r="I12854" i="58"/>
  <c r="O12853" i="58"/>
  <c r="P12853" i="58" s="1"/>
  <c r="I12853" i="58"/>
  <c r="J12853" i="58" s="1"/>
  <c r="O12852" i="58"/>
  <c r="P12852" i="58" s="1"/>
  <c r="I12852" i="58"/>
  <c r="J12852" i="58" s="1"/>
  <c r="P12851" i="58"/>
  <c r="O12851" i="58"/>
  <c r="O12850" i="58"/>
  <c r="P12850" i="58" s="1"/>
  <c r="Q12850" i="58" s="1"/>
  <c r="N12850" i="58"/>
  <c r="O12849" i="58"/>
  <c r="P12849" i="58" s="1"/>
  <c r="Q12849" i="58" s="1"/>
  <c r="R12849" i="58" s="1"/>
  <c r="L12849" i="58"/>
  <c r="L12842" i="58" s="1"/>
  <c r="K12849" i="58"/>
  <c r="O12848" i="58"/>
  <c r="P12848" i="58" s="1"/>
  <c r="P12847" i="58"/>
  <c r="O12847" i="58"/>
  <c r="I12847" i="58"/>
  <c r="J12847" i="58" s="1"/>
  <c r="O12846" i="58"/>
  <c r="P12846" i="58" s="1"/>
  <c r="J12846" i="58"/>
  <c r="I12846" i="58"/>
  <c r="O12845" i="58"/>
  <c r="P12845" i="58" s="1"/>
  <c r="I12845" i="58"/>
  <c r="J12845" i="58" s="1"/>
  <c r="O12844" i="58"/>
  <c r="P12844" i="58" s="1"/>
  <c r="I12844" i="58"/>
  <c r="J12844" i="58" s="1"/>
  <c r="P12843" i="58"/>
  <c r="O12843" i="58"/>
  <c r="O12842" i="58"/>
  <c r="P12842" i="58" s="1"/>
  <c r="Q12842" i="58" s="1"/>
  <c r="N12842" i="58"/>
  <c r="O12841" i="58"/>
  <c r="P12841" i="58" s="1"/>
  <c r="K12841" i="58"/>
  <c r="L12841" i="58" s="1"/>
  <c r="L12834" i="58" s="1"/>
  <c r="O12840" i="58"/>
  <c r="P12840" i="58" s="1"/>
  <c r="O12839" i="58"/>
  <c r="P12839" i="58" s="1"/>
  <c r="I12839" i="58"/>
  <c r="J12839" i="58" s="1"/>
  <c r="O12838" i="58"/>
  <c r="P12838" i="58" s="1"/>
  <c r="I12838" i="58"/>
  <c r="J12838" i="58" s="1"/>
  <c r="O12837" i="58"/>
  <c r="P12837" i="58" s="1"/>
  <c r="I12837" i="58"/>
  <c r="J12837" i="58" s="1"/>
  <c r="O12836" i="58"/>
  <c r="P12836" i="58" s="1"/>
  <c r="I12836" i="58"/>
  <c r="J12836" i="58" s="1"/>
  <c r="P12835" i="58"/>
  <c r="O12835" i="58"/>
  <c r="O12834" i="58"/>
  <c r="P12834" i="58" s="1"/>
  <c r="Q12834" i="58" s="1"/>
  <c r="N12834" i="58"/>
  <c r="O12833" i="58"/>
  <c r="P12833" i="58" s="1"/>
  <c r="K12833" i="58"/>
  <c r="L12833" i="58" s="1"/>
  <c r="L12826" i="58" s="1"/>
  <c r="P12832" i="58"/>
  <c r="O12832" i="58"/>
  <c r="O12831" i="58"/>
  <c r="P12831" i="58" s="1"/>
  <c r="I12831" i="58"/>
  <c r="J12831" i="58" s="1"/>
  <c r="O12830" i="58"/>
  <c r="P12830" i="58" s="1"/>
  <c r="I12830" i="58"/>
  <c r="J12830" i="58" s="1"/>
  <c r="O12829" i="58"/>
  <c r="P12829" i="58" s="1"/>
  <c r="I12829" i="58"/>
  <c r="J12829" i="58" s="1"/>
  <c r="O12828" i="58"/>
  <c r="P12828" i="58" s="1"/>
  <c r="I12828" i="58"/>
  <c r="J12828" i="58" s="1"/>
  <c r="O12827" i="58"/>
  <c r="P12827" i="58" s="1"/>
  <c r="O12826" i="58"/>
  <c r="P12826" i="58" s="1"/>
  <c r="Q12826" i="58" s="1"/>
  <c r="N12826" i="58"/>
  <c r="O12825" i="58"/>
  <c r="P12825" i="58" s="1"/>
  <c r="N12825" i="58"/>
  <c r="N12817" i="58" s="1"/>
  <c r="O12824" i="58"/>
  <c r="P12824" i="58" s="1"/>
  <c r="O12823" i="58"/>
  <c r="P12823" i="58" s="1"/>
  <c r="K12823" i="58"/>
  <c r="L12823" i="58" s="1"/>
  <c r="L12817" i="58" s="1"/>
  <c r="O12822" i="58"/>
  <c r="P12822" i="58" s="1"/>
  <c r="O12821" i="58"/>
  <c r="P12821" i="58" s="1"/>
  <c r="I12821" i="58"/>
  <c r="J12821" i="58" s="1"/>
  <c r="O12820" i="58"/>
  <c r="P12820" i="58" s="1"/>
  <c r="I12820" i="58"/>
  <c r="J12820" i="58" s="1"/>
  <c r="O12819" i="58"/>
  <c r="P12819" i="58" s="1"/>
  <c r="I12819" i="58"/>
  <c r="J12819" i="58" s="1"/>
  <c r="O12818" i="58"/>
  <c r="P12818" i="58" s="1"/>
  <c r="Q12817" i="58"/>
  <c r="O12817" i="58"/>
  <c r="P12817" i="58" s="1"/>
  <c r="O12816" i="58"/>
  <c r="P12816" i="58" s="1"/>
  <c r="O12815" i="58"/>
  <c r="P12815" i="58" s="1"/>
  <c r="P12814" i="58"/>
  <c r="O12814" i="58"/>
  <c r="K12814" i="58"/>
  <c r="L12814" i="58" s="1"/>
  <c r="O12813" i="58"/>
  <c r="P12813" i="58" s="1"/>
  <c r="P12812" i="58"/>
  <c r="O12812" i="58"/>
  <c r="I12812" i="58"/>
  <c r="J12812" i="58" s="1"/>
  <c r="P12811" i="58"/>
  <c r="O12811" i="58"/>
  <c r="I12811" i="58"/>
  <c r="J12811" i="58" s="1"/>
  <c r="O12810" i="58"/>
  <c r="P12810" i="58" s="1"/>
  <c r="I12810" i="58"/>
  <c r="J12810" i="58" s="1"/>
  <c r="O12809" i="58"/>
  <c r="P12809" i="58" s="1"/>
  <c r="Q12808" i="58"/>
  <c r="P12808" i="58"/>
  <c r="O12808" i="58"/>
  <c r="L12808" i="58"/>
  <c r="O12807" i="58"/>
  <c r="P12807" i="58" s="1"/>
  <c r="Q12807" i="58" s="1"/>
  <c r="P12806" i="58"/>
  <c r="O12806" i="58"/>
  <c r="O12805" i="58"/>
  <c r="P12805" i="58" s="1"/>
  <c r="K12805" i="58"/>
  <c r="L12805" i="58" s="1"/>
  <c r="L12799" i="58" s="1"/>
  <c r="O12804" i="58"/>
  <c r="P12804" i="58" s="1"/>
  <c r="O12803" i="58"/>
  <c r="P12803" i="58" s="1"/>
  <c r="I12803" i="58"/>
  <c r="J12803" i="58" s="1"/>
  <c r="O12802" i="58"/>
  <c r="P12802" i="58" s="1"/>
  <c r="I12802" i="58"/>
  <c r="J12802" i="58" s="1"/>
  <c r="O12801" i="58"/>
  <c r="P12801" i="58" s="1"/>
  <c r="I12801" i="58"/>
  <c r="J12801" i="58" s="1"/>
  <c r="O12800" i="58"/>
  <c r="P12800" i="58" s="1"/>
  <c r="O12799" i="58"/>
  <c r="P12799" i="58" s="1"/>
  <c r="Q12799" i="58" s="1"/>
  <c r="O12798" i="58"/>
  <c r="P12798" i="58" s="1"/>
  <c r="O12797" i="58"/>
  <c r="P12797" i="58" s="1"/>
  <c r="O12796" i="58"/>
  <c r="P12796" i="58" s="1"/>
  <c r="K12796" i="58"/>
  <c r="L12796" i="58" s="1"/>
  <c r="L12790" i="58" s="1"/>
  <c r="P12795" i="58"/>
  <c r="O12795" i="58"/>
  <c r="O12794" i="58"/>
  <c r="P12794" i="58" s="1"/>
  <c r="I12794" i="58"/>
  <c r="J12794" i="58" s="1"/>
  <c r="O12793" i="58"/>
  <c r="P12793" i="58" s="1"/>
  <c r="I12793" i="58"/>
  <c r="J12793" i="58" s="1"/>
  <c r="P12792" i="58"/>
  <c r="O12792" i="58"/>
  <c r="I12792" i="58"/>
  <c r="J12792" i="58" s="1"/>
  <c r="O12791" i="58"/>
  <c r="P12791" i="58" s="1"/>
  <c r="O12790" i="58"/>
  <c r="P12790" i="58" s="1"/>
  <c r="Q12790" i="58" s="1"/>
  <c r="O12789" i="58"/>
  <c r="P12789" i="58" s="1"/>
  <c r="Q12789" i="58" s="1"/>
  <c r="P12788" i="58"/>
  <c r="O12788" i="58"/>
  <c r="P12787" i="58"/>
  <c r="O12787" i="58"/>
  <c r="K12787" i="58"/>
  <c r="L12787" i="58" s="1"/>
  <c r="L12781" i="58" s="1"/>
  <c r="O12786" i="58"/>
  <c r="P12786" i="58" s="1"/>
  <c r="O12785" i="58"/>
  <c r="P12785" i="58" s="1"/>
  <c r="J12785" i="58"/>
  <c r="I12785" i="58"/>
  <c r="O12784" i="58"/>
  <c r="P12784" i="58" s="1"/>
  <c r="I12784" i="58"/>
  <c r="J12784" i="58" s="1"/>
  <c r="O12783" i="58"/>
  <c r="P12783" i="58" s="1"/>
  <c r="I12783" i="58"/>
  <c r="J12783" i="58" s="1"/>
  <c r="J12781" i="58" s="1"/>
  <c r="O12782" i="58"/>
  <c r="P12782" i="58" s="1"/>
  <c r="O12781" i="58"/>
  <c r="P12781" i="58" s="1"/>
  <c r="Q12781" i="58" s="1"/>
  <c r="P12780" i="58"/>
  <c r="O12780" i="58"/>
  <c r="N12780" i="58"/>
  <c r="N12772" i="58" s="1"/>
  <c r="P12779" i="58"/>
  <c r="O12779" i="58"/>
  <c r="O12778" i="58"/>
  <c r="P12778" i="58" s="1"/>
  <c r="K12778" i="58"/>
  <c r="L12778" i="58" s="1"/>
  <c r="O12777" i="58"/>
  <c r="P12777" i="58" s="1"/>
  <c r="P12776" i="58"/>
  <c r="O12776" i="58"/>
  <c r="I12776" i="58"/>
  <c r="J12776" i="58" s="1"/>
  <c r="O12775" i="58"/>
  <c r="P12775" i="58" s="1"/>
  <c r="I12775" i="58"/>
  <c r="J12775" i="58" s="1"/>
  <c r="O12774" i="58"/>
  <c r="P12774" i="58" s="1"/>
  <c r="I12774" i="58"/>
  <c r="J12774" i="58" s="1"/>
  <c r="O12773" i="58"/>
  <c r="P12773" i="58" s="1"/>
  <c r="P12772" i="58"/>
  <c r="Q12772" i="58" s="1"/>
  <c r="O12772" i="58"/>
  <c r="L12772" i="58"/>
  <c r="O12771" i="58"/>
  <c r="P12771" i="58" s="1"/>
  <c r="O12770" i="58"/>
  <c r="P12770" i="58" s="1"/>
  <c r="O12769" i="58"/>
  <c r="P12769" i="58" s="1"/>
  <c r="K12769" i="58"/>
  <c r="L12769" i="58" s="1"/>
  <c r="L12763" i="58" s="1"/>
  <c r="O12768" i="58"/>
  <c r="P12768" i="58" s="1"/>
  <c r="P12767" i="58"/>
  <c r="O12767" i="58"/>
  <c r="I12767" i="58"/>
  <c r="J12767" i="58" s="1"/>
  <c r="O12766" i="58"/>
  <c r="P12766" i="58" s="1"/>
  <c r="J12766" i="58"/>
  <c r="I12766" i="58"/>
  <c r="O12765" i="58"/>
  <c r="P12765" i="58" s="1"/>
  <c r="I12765" i="58"/>
  <c r="J12765" i="58" s="1"/>
  <c r="O12764" i="58"/>
  <c r="P12764" i="58" s="1"/>
  <c r="O12763" i="58"/>
  <c r="P12763" i="58" s="1"/>
  <c r="Q12763" i="58" s="1"/>
  <c r="O12762" i="58"/>
  <c r="P12762" i="58" s="1"/>
  <c r="Q12762" i="58" s="1"/>
  <c r="R12762" i="58" s="1"/>
  <c r="O12761" i="58"/>
  <c r="P12761" i="58" s="1"/>
  <c r="P12760" i="58"/>
  <c r="O12760" i="58"/>
  <c r="K12760" i="58"/>
  <c r="L12760" i="58" s="1"/>
  <c r="L12754" i="58" s="1"/>
  <c r="O12759" i="58"/>
  <c r="P12759" i="58" s="1"/>
  <c r="P12758" i="58"/>
  <c r="O12758" i="58"/>
  <c r="I12758" i="58"/>
  <c r="J12758" i="58" s="1"/>
  <c r="O12757" i="58"/>
  <c r="P12757" i="58" s="1"/>
  <c r="I12757" i="58"/>
  <c r="J12757" i="58" s="1"/>
  <c r="O12756" i="58"/>
  <c r="P12756" i="58" s="1"/>
  <c r="I12756" i="58"/>
  <c r="J12756" i="58" s="1"/>
  <c r="O12755" i="58"/>
  <c r="P12755" i="58" s="1"/>
  <c r="O12754" i="58"/>
  <c r="P12754" i="58" s="1"/>
  <c r="Q12754" i="58" s="1"/>
  <c r="O12753" i="58"/>
  <c r="P12753" i="58" s="1"/>
  <c r="P12752" i="58"/>
  <c r="O12752" i="58"/>
  <c r="O12751" i="58"/>
  <c r="P12751" i="58" s="1"/>
  <c r="K12751" i="58"/>
  <c r="L12751" i="58" s="1"/>
  <c r="L12745" i="58" s="1"/>
  <c r="O12750" i="58"/>
  <c r="P12750" i="58" s="1"/>
  <c r="O12749" i="58"/>
  <c r="P12749" i="58" s="1"/>
  <c r="I12749" i="58"/>
  <c r="J12749" i="58" s="1"/>
  <c r="P12748" i="58"/>
  <c r="O12748" i="58"/>
  <c r="I12748" i="58"/>
  <c r="J12748" i="58" s="1"/>
  <c r="O12747" i="58"/>
  <c r="P12747" i="58" s="1"/>
  <c r="I12747" i="58"/>
  <c r="J12747" i="58" s="1"/>
  <c r="O12746" i="58"/>
  <c r="P12746" i="58" s="1"/>
  <c r="O12745" i="58"/>
  <c r="P12745" i="58" s="1"/>
  <c r="Q12745" i="58" s="1"/>
  <c r="P12744" i="58"/>
  <c r="O12744" i="58"/>
  <c r="N12744" i="58"/>
  <c r="N12736" i="58" s="1"/>
  <c r="O12743" i="58"/>
  <c r="P12743" i="58" s="1"/>
  <c r="O12742" i="58"/>
  <c r="P12742" i="58" s="1"/>
  <c r="K12742" i="58"/>
  <c r="L12742" i="58" s="1"/>
  <c r="L12736" i="58" s="1"/>
  <c r="O12741" i="58"/>
  <c r="P12741" i="58" s="1"/>
  <c r="O12740" i="58"/>
  <c r="P12740" i="58" s="1"/>
  <c r="I12740" i="58"/>
  <c r="J12740" i="58" s="1"/>
  <c r="O12739" i="58"/>
  <c r="P12739" i="58" s="1"/>
  <c r="I12739" i="58"/>
  <c r="J12739" i="58" s="1"/>
  <c r="O12738" i="58"/>
  <c r="P12738" i="58" s="1"/>
  <c r="I12738" i="58"/>
  <c r="J12738" i="58" s="1"/>
  <c r="O12737" i="58"/>
  <c r="P12737" i="58" s="1"/>
  <c r="P12736" i="58"/>
  <c r="Q12736" i="58" s="1"/>
  <c r="O12736" i="58"/>
  <c r="O12735" i="58"/>
  <c r="P12735" i="58" s="1"/>
  <c r="N12735" i="58"/>
  <c r="O12734" i="58"/>
  <c r="P12734" i="58" s="1"/>
  <c r="O12733" i="58"/>
  <c r="P12733" i="58" s="1"/>
  <c r="K12733" i="58"/>
  <c r="L12733" i="58" s="1"/>
  <c r="L12727" i="58" s="1"/>
  <c r="P12732" i="58"/>
  <c r="O12732" i="58"/>
  <c r="O12731" i="58"/>
  <c r="P12731" i="58" s="1"/>
  <c r="I12731" i="58"/>
  <c r="J12731" i="58" s="1"/>
  <c r="P12730" i="58"/>
  <c r="O12730" i="58"/>
  <c r="I12730" i="58"/>
  <c r="J12730" i="58" s="1"/>
  <c r="O12729" i="58"/>
  <c r="P12729" i="58" s="1"/>
  <c r="J12729" i="58"/>
  <c r="I12729" i="58"/>
  <c r="O12728" i="58"/>
  <c r="P12728" i="58" s="1"/>
  <c r="O12727" i="58"/>
  <c r="P12727" i="58" s="1"/>
  <c r="Q12727" i="58" s="1"/>
  <c r="N12727" i="58"/>
  <c r="O12726" i="58"/>
  <c r="P12726" i="58" s="1"/>
  <c r="N12726" i="58"/>
  <c r="N12718" i="58" s="1"/>
  <c r="P12725" i="58"/>
  <c r="O12725" i="58"/>
  <c r="O12724" i="58"/>
  <c r="P12724" i="58" s="1"/>
  <c r="K12724" i="58"/>
  <c r="L12724" i="58" s="1"/>
  <c r="L12718" i="58" s="1"/>
  <c r="O12723" i="58"/>
  <c r="P12723" i="58" s="1"/>
  <c r="P12722" i="58"/>
  <c r="O12722" i="58"/>
  <c r="I12722" i="58"/>
  <c r="J12722" i="58" s="1"/>
  <c r="P12721" i="58"/>
  <c r="O12721" i="58"/>
  <c r="I12721" i="58"/>
  <c r="J12721" i="58" s="1"/>
  <c r="P12720" i="58"/>
  <c r="O12720" i="58"/>
  <c r="I12720" i="58"/>
  <c r="J12720" i="58" s="1"/>
  <c r="O12719" i="58"/>
  <c r="P12719" i="58" s="1"/>
  <c r="P12718" i="58"/>
  <c r="Q12718" i="58" s="1"/>
  <c r="O12718" i="58"/>
  <c r="J12718" i="58"/>
  <c r="O12717" i="58"/>
  <c r="P12717" i="58" s="1"/>
  <c r="P12716" i="58"/>
  <c r="O12716" i="58"/>
  <c r="O12715" i="58"/>
  <c r="P12715" i="58" s="1"/>
  <c r="L12715" i="58"/>
  <c r="L12709" i="58" s="1"/>
  <c r="K12715" i="58"/>
  <c r="O12714" i="58"/>
  <c r="P12714" i="58" s="1"/>
  <c r="O12713" i="58"/>
  <c r="P12713" i="58" s="1"/>
  <c r="I12713" i="58"/>
  <c r="J12713" i="58" s="1"/>
  <c r="O12712" i="58"/>
  <c r="P12712" i="58" s="1"/>
  <c r="I12712" i="58"/>
  <c r="J12712" i="58" s="1"/>
  <c r="O12711" i="58"/>
  <c r="P12711" i="58" s="1"/>
  <c r="I12711" i="58"/>
  <c r="J12711" i="58" s="1"/>
  <c r="O12710" i="58"/>
  <c r="P12710" i="58" s="1"/>
  <c r="P12709" i="58"/>
  <c r="Q12709" i="58" s="1"/>
  <c r="O12709" i="58"/>
  <c r="O12708" i="58"/>
  <c r="P12708" i="58" s="1"/>
  <c r="N12708" i="58"/>
  <c r="N12700" i="58" s="1"/>
  <c r="O12707" i="58"/>
  <c r="P12707" i="58" s="1"/>
  <c r="O12706" i="58"/>
  <c r="P12706" i="58" s="1"/>
  <c r="K12706" i="58"/>
  <c r="L12706" i="58" s="1"/>
  <c r="L12700" i="58" s="1"/>
  <c r="O12705" i="58"/>
  <c r="P12705" i="58" s="1"/>
  <c r="O12704" i="58"/>
  <c r="P12704" i="58" s="1"/>
  <c r="I12704" i="58"/>
  <c r="J12704" i="58" s="1"/>
  <c r="O12703" i="58"/>
  <c r="P12703" i="58" s="1"/>
  <c r="I12703" i="58"/>
  <c r="J12703" i="58" s="1"/>
  <c r="O12702" i="58"/>
  <c r="P12702" i="58" s="1"/>
  <c r="I12702" i="58"/>
  <c r="J12702" i="58" s="1"/>
  <c r="O12701" i="58"/>
  <c r="P12701" i="58" s="1"/>
  <c r="O12700" i="58"/>
  <c r="P12700" i="58" s="1"/>
  <c r="Q12700" i="58" s="1"/>
  <c r="O12699" i="58"/>
  <c r="P12699" i="58" s="1"/>
  <c r="N12699" i="58"/>
  <c r="N12691" i="58" s="1"/>
  <c r="O12698" i="58"/>
  <c r="P12698" i="58" s="1"/>
  <c r="O12697" i="58"/>
  <c r="P12697" i="58" s="1"/>
  <c r="K12697" i="58"/>
  <c r="L12697" i="58" s="1"/>
  <c r="L12691" i="58" s="1"/>
  <c r="O12696" i="58"/>
  <c r="P12696" i="58" s="1"/>
  <c r="O12695" i="58"/>
  <c r="P12695" i="58" s="1"/>
  <c r="I12695" i="58"/>
  <c r="J12695" i="58" s="1"/>
  <c r="O12694" i="58"/>
  <c r="P12694" i="58" s="1"/>
  <c r="I12694" i="58"/>
  <c r="J12694" i="58" s="1"/>
  <c r="O12693" i="58"/>
  <c r="P12693" i="58" s="1"/>
  <c r="I12693" i="58"/>
  <c r="J12693" i="58" s="1"/>
  <c r="O12692" i="58"/>
  <c r="P12692" i="58" s="1"/>
  <c r="O12691" i="58"/>
  <c r="P12691" i="58" s="1"/>
  <c r="Q12691" i="58" s="1"/>
  <c r="O12690" i="58"/>
  <c r="P12690" i="58" s="1"/>
  <c r="O12689" i="58"/>
  <c r="P12689" i="58" s="1"/>
  <c r="O12688" i="58"/>
  <c r="P12688" i="58" s="1"/>
  <c r="K12688" i="58"/>
  <c r="L12688" i="58" s="1"/>
  <c r="L12682" i="58" s="1"/>
  <c r="O12687" i="58"/>
  <c r="P12687" i="58" s="1"/>
  <c r="O12686" i="58"/>
  <c r="P12686" i="58" s="1"/>
  <c r="I12686" i="58"/>
  <c r="J12686" i="58" s="1"/>
  <c r="O12685" i="58"/>
  <c r="P12685" i="58" s="1"/>
  <c r="I12685" i="58"/>
  <c r="J12685" i="58" s="1"/>
  <c r="O12684" i="58"/>
  <c r="P12684" i="58" s="1"/>
  <c r="J12684" i="58"/>
  <c r="I12684" i="58"/>
  <c r="O12683" i="58"/>
  <c r="P12683" i="58" s="1"/>
  <c r="O12682" i="58"/>
  <c r="P12682" i="58" s="1"/>
  <c r="Q12682" i="58" s="1"/>
  <c r="O12681" i="58"/>
  <c r="P12681" i="58" s="1"/>
  <c r="O12680" i="58"/>
  <c r="P12680" i="58" s="1"/>
  <c r="O12679" i="58"/>
  <c r="P12679" i="58" s="1"/>
  <c r="K12679" i="58"/>
  <c r="L12679" i="58" s="1"/>
  <c r="L12673" i="58" s="1"/>
  <c r="O12678" i="58"/>
  <c r="P12678" i="58" s="1"/>
  <c r="O12677" i="58"/>
  <c r="P12677" i="58" s="1"/>
  <c r="I12677" i="58"/>
  <c r="J12677" i="58" s="1"/>
  <c r="O12676" i="58"/>
  <c r="P12676" i="58" s="1"/>
  <c r="I12676" i="58"/>
  <c r="J12676" i="58" s="1"/>
  <c r="P12675" i="58"/>
  <c r="O12675" i="58"/>
  <c r="I12675" i="58"/>
  <c r="J12675" i="58" s="1"/>
  <c r="O12674" i="58"/>
  <c r="P12674" i="58" s="1"/>
  <c r="O12673" i="58"/>
  <c r="P12673" i="58" s="1"/>
  <c r="Q12673" i="58" s="1"/>
  <c r="O12672" i="58"/>
  <c r="P12672" i="58" s="1"/>
  <c r="Q12672" i="58" s="1"/>
  <c r="R12672" i="58" s="1"/>
  <c r="O12671" i="58"/>
  <c r="P12671" i="58" s="1"/>
  <c r="O12670" i="58"/>
  <c r="P12670" i="58" s="1"/>
  <c r="K12670" i="58"/>
  <c r="L12670" i="58" s="1"/>
  <c r="L12664" i="58" s="1"/>
  <c r="O12669" i="58"/>
  <c r="P12669" i="58" s="1"/>
  <c r="O12668" i="58"/>
  <c r="P12668" i="58" s="1"/>
  <c r="I12668" i="58"/>
  <c r="J12668" i="58" s="1"/>
  <c r="O12667" i="58"/>
  <c r="P12667" i="58" s="1"/>
  <c r="I12667" i="58"/>
  <c r="J12667" i="58" s="1"/>
  <c r="O12666" i="58"/>
  <c r="P12666" i="58" s="1"/>
  <c r="I12666" i="58"/>
  <c r="J12666" i="58" s="1"/>
  <c r="O12665" i="58"/>
  <c r="P12665" i="58" s="1"/>
  <c r="O12664" i="58"/>
  <c r="P12664" i="58" s="1"/>
  <c r="Q12664" i="58" s="1"/>
  <c r="Q12663" i="58"/>
  <c r="R12663" i="58" s="1"/>
  <c r="O12663" i="58"/>
  <c r="P12663" i="58" s="1"/>
  <c r="O12662" i="58"/>
  <c r="P12662" i="58" s="1"/>
  <c r="O12661" i="58"/>
  <c r="P12661" i="58" s="1"/>
  <c r="K12661" i="58"/>
  <c r="L12661" i="58" s="1"/>
  <c r="L12655" i="58" s="1"/>
  <c r="O12660" i="58"/>
  <c r="P12660" i="58" s="1"/>
  <c r="O12659" i="58"/>
  <c r="P12659" i="58" s="1"/>
  <c r="I12659" i="58"/>
  <c r="J12659" i="58" s="1"/>
  <c r="O12658" i="58"/>
  <c r="P12658" i="58" s="1"/>
  <c r="I12658" i="58"/>
  <c r="J12658" i="58" s="1"/>
  <c r="O12657" i="58"/>
  <c r="P12657" i="58" s="1"/>
  <c r="I12657" i="58"/>
  <c r="J12657" i="58" s="1"/>
  <c r="P12656" i="58"/>
  <c r="O12656" i="58"/>
  <c r="O12655" i="58"/>
  <c r="P12655" i="58" s="1"/>
  <c r="Q12655" i="58" s="1"/>
  <c r="O12654" i="58"/>
  <c r="P12654" i="58" s="1"/>
  <c r="O12653" i="58"/>
  <c r="P12653" i="58" s="1"/>
  <c r="O12652" i="58"/>
  <c r="P12652" i="58" s="1"/>
  <c r="K12652" i="58"/>
  <c r="L12652" i="58" s="1"/>
  <c r="L12646" i="58" s="1"/>
  <c r="O12651" i="58"/>
  <c r="P12651" i="58" s="1"/>
  <c r="O12650" i="58"/>
  <c r="P12650" i="58" s="1"/>
  <c r="I12650" i="58"/>
  <c r="J12650" i="58" s="1"/>
  <c r="O12649" i="58"/>
  <c r="P12649" i="58" s="1"/>
  <c r="I12649" i="58"/>
  <c r="J12649" i="58" s="1"/>
  <c r="O12648" i="58"/>
  <c r="P12648" i="58" s="1"/>
  <c r="I12648" i="58"/>
  <c r="J12648" i="58" s="1"/>
  <c r="P12647" i="58"/>
  <c r="O12647" i="58"/>
  <c r="O12646" i="58"/>
  <c r="P12646" i="58" s="1"/>
  <c r="Q12646" i="58" s="1"/>
  <c r="P12645" i="58"/>
  <c r="O12645" i="58"/>
  <c r="P12644" i="58"/>
  <c r="O12644" i="58"/>
  <c r="O12643" i="58"/>
  <c r="P12643" i="58" s="1"/>
  <c r="K12643" i="58"/>
  <c r="L12643" i="58" s="1"/>
  <c r="L12637" i="58" s="1"/>
  <c r="O12642" i="58"/>
  <c r="P12642" i="58" s="1"/>
  <c r="P12641" i="58"/>
  <c r="O12641" i="58"/>
  <c r="I12641" i="58"/>
  <c r="J12641" i="58" s="1"/>
  <c r="O12640" i="58"/>
  <c r="P12640" i="58" s="1"/>
  <c r="I12640" i="58"/>
  <c r="J12640" i="58" s="1"/>
  <c r="P12639" i="58"/>
  <c r="O12639" i="58"/>
  <c r="I12639" i="58"/>
  <c r="J12639" i="58" s="1"/>
  <c r="O12638" i="58"/>
  <c r="P12638" i="58" s="1"/>
  <c r="P12637" i="58"/>
  <c r="Q12637" i="58" s="1"/>
  <c r="O12637" i="58"/>
  <c r="O12636" i="58"/>
  <c r="P12636" i="58" s="1"/>
  <c r="N12636" i="58"/>
  <c r="N12628" i="58" s="1"/>
  <c r="P12635" i="58"/>
  <c r="O12635" i="58"/>
  <c r="O12634" i="58"/>
  <c r="P12634" i="58" s="1"/>
  <c r="K12634" i="58"/>
  <c r="L12634" i="58" s="1"/>
  <c r="L12628" i="58" s="1"/>
  <c r="O12633" i="58"/>
  <c r="P12633" i="58" s="1"/>
  <c r="P12632" i="58"/>
  <c r="O12632" i="58"/>
  <c r="I12632" i="58"/>
  <c r="J12632" i="58" s="1"/>
  <c r="O12631" i="58"/>
  <c r="P12631" i="58" s="1"/>
  <c r="I12631" i="58"/>
  <c r="J12631" i="58" s="1"/>
  <c r="O12630" i="58"/>
  <c r="P12630" i="58" s="1"/>
  <c r="I12630" i="58"/>
  <c r="J12630" i="58" s="1"/>
  <c r="O12629" i="58"/>
  <c r="P12629" i="58" s="1"/>
  <c r="O12628" i="58"/>
  <c r="P12628" i="58" s="1"/>
  <c r="Q12628" i="58" s="1"/>
  <c r="O12627" i="58"/>
  <c r="P12627" i="58" s="1"/>
  <c r="P12626" i="58"/>
  <c r="O12626" i="58"/>
  <c r="O12625" i="58"/>
  <c r="P12625" i="58" s="1"/>
  <c r="P12624" i="58"/>
  <c r="O12624" i="58"/>
  <c r="K12624" i="58"/>
  <c r="L12624" i="58" s="1"/>
  <c r="L12617" i="58" s="1"/>
  <c r="O12623" i="58"/>
  <c r="P12623" i="58" s="1"/>
  <c r="O12622" i="58"/>
  <c r="P12622" i="58" s="1"/>
  <c r="I12622" i="58"/>
  <c r="J12622" i="58" s="1"/>
  <c r="O12621" i="58"/>
  <c r="P12621" i="58" s="1"/>
  <c r="I12621" i="58"/>
  <c r="J12621" i="58" s="1"/>
  <c r="O12620" i="58"/>
  <c r="P12620" i="58" s="1"/>
  <c r="I12620" i="58"/>
  <c r="J12620" i="58" s="1"/>
  <c r="O12619" i="58"/>
  <c r="P12619" i="58" s="1"/>
  <c r="J12619" i="58"/>
  <c r="I12619" i="58"/>
  <c r="O12618" i="58"/>
  <c r="P12618" i="58" s="1"/>
  <c r="O12617" i="58"/>
  <c r="P12617" i="58" s="1"/>
  <c r="Q12617" i="58" s="1"/>
  <c r="P12616" i="58"/>
  <c r="O12616" i="58"/>
  <c r="K12616" i="58"/>
  <c r="L12616" i="58" s="1"/>
  <c r="L12609" i="58" s="1"/>
  <c r="O12615" i="58"/>
  <c r="P12615" i="58" s="1"/>
  <c r="O12614" i="58"/>
  <c r="P12614" i="58" s="1"/>
  <c r="I12614" i="58"/>
  <c r="J12614" i="58" s="1"/>
  <c r="P12613" i="58"/>
  <c r="O12613" i="58"/>
  <c r="I12613" i="58"/>
  <c r="J12613" i="58" s="1"/>
  <c r="O12612" i="58"/>
  <c r="P12612" i="58" s="1"/>
  <c r="I12612" i="58"/>
  <c r="J12612" i="58" s="1"/>
  <c r="O12611" i="58"/>
  <c r="P12611" i="58" s="1"/>
  <c r="I12611" i="58"/>
  <c r="J12611" i="58" s="1"/>
  <c r="O12610" i="58"/>
  <c r="P12610" i="58" s="1"/>
  <c r="O12609" i="58"/>
  <c r="P12609" i="58" s="1"/>
  <c r="Q12609" i="58" s="1"/>
  <c r="N12609" i="58"/>
  <c r="O12608" i="58"/>
  <c r="P12608" i="58" s="1"/>
  <c r="O12607" i="58"/>
  <c r="P12607" i="58" s="1"/>
  <c r="O12606" i="58"/>
  <c r="P12606" i="58" s="1"/>
  <c r="K12606" i="58"/>
  <c r="L12606" i="58" s="1"/>
  <c r="L12598" i="58" s="1"/>
  <c r="P12605" i="58"/>
  <c r="O12605" i="58"/>
  <c r="P12604" i="58"/>
  <c r="O12604" i="58"/>
  <c r="I12604" i="58"/>
  <c r="J12604" i="58" s="1"/>
  <c r="O12603" i="58"/>
  <c r="P12603" i="58" s="1"/>
  <c r="I12603" i="58"/>
  <c r="J12603" i="58" s="1"/>
  <c r="P12602" i="58"/>
  <c r="O12602" i="58"/>
  <c r="I12602" i="58"/>
  <c r="J12602" i="58" s="1"/>
  <c r="O12601" i="58"/>
  <c r="P12601" i="58" s="1"/>
  <c r="I12601" i="58"/>
  <c r="J12601" i="58" s="1"/>
  <c r="O12600" i="58"/>
  <c r="P12600" i="58" s="1"/>
  <c r="I12600" i="58"/>
  <c r="J12600" i="58" s="1"/>
  <c r="O12599" i="58"/>
  <c r="P12599" i="58" s="1"/>
  <c r="O12598" i="58"/>
  <c r="P12598" i="58" s="1"/>
  <c r="Q12598" i="58" s="1"/>
  <c r="O12597" i="58"/>
  <c r="P12597" i="58" s="1"/>
  <c r="Q12597" i="58" s="1"/>
  <c r="R12597" i="58" s="1"/>
  <c r="N12597" i="58"/>
  <c r="N12587" i="58" s="1"/>
  <c r="O12596" i="58"/>
  <c r="P12596" i="58" s="1"/>
  <c r="O12595" i="58"/>
  <c r="P12595" i="58" s="1"/>
  <c r="L12595" i="58"/>
  <c r="L12587" i="58" s="1"/>
  <c r="K12595" i="58"/>
  <c r="O12594" i="58"/>
  <c r="P12594" i="58" s="1"/>
  <c r="O12593" i="58"/>
  <c r="P12593" i="58" s="1"/>
  <c r="I12593" i="58"/>
  <c r="J12593" i="58" s="1"/>
  <c r="O12592" i="58"/>
  <c r="P12592" i="58" s="1"/>
  <c r="I12592" i="58"/>
  <c r="J12592" i="58" s="1"/>
  <c r="O12591" i="58"/>
  <c r="P12591" i="58" s="1"/>
  <c r="I12591" i="58"/>
  <c r="J12591" i="58" s="1"/>
  <c r="O12590" i="58"/>
  <c r="P12590" i="58" s="1"/>
  <c r="I12590" i="58"/>
  <c r="J12590" i="58" s="1"/>
  <c r="O12589" i="58"/>
  <c r="P12589" i="58" s="1"/>
  <c r="I12589" i="58"/>
  <c r="J12589" i="58" s="1"/>
  <c r="O12588" i="58"/>
  <c r="P12588" i="58" s="1"/>
  <c r="O12587" i="58"/>
  <c r="P12587" i="58" s="1"/>
  <c r="Q12587" i="58" s="1"/>
  <c r="P12586" i="58"/>
  <c r="O12586" i="58"/>
  <c r="O12585" i="58"/>
  <c r="P12585" i="58" s="1"/>
  <c r="P12584" i="58"/>
  <c r="O12584" i="58"/>
  <c r="K12584" i="58"/>
  <c r="L12584" i="58" s="1"/>
  <c r="L12576" i="58" s="1"/>
  <c r="O12583" i="58"/>
  <c r="P12583" i="58" s="1"/>
  <c r="O12582" i="58"/>
  <c r="P12582" i="58" s="1"/>
  <c r="I12582" i="58"/>
  <c r="J12582" i="58" s="1"/>
  <c r="O12581" i="58"/>
  <c r="P12581" i="58" s="1"/>
  <c r="I12581" i="58"/>
  <c r="J12581" i="58" s="1"/>
  <c r="O12580" i="58"/>
  <c r="P12580" i="58" s="1"/>
  <c r="J12580" i="58"/>
  <c r="I12580" i="58"/>
  <c r="O12579" i="58"/>
  <c r="P12579" i="58" s="1"/>
  <c r="I12579" i="58"/>
  <c r="J12579" i="58" s="1"/>
  <c r="O12578" i="58"/>
  <c r="P12578" i="58" s="1"/>
  <c r="I12578" i="58"/>
  <c r="J12578" i="58" s="1"/>
  <c r="P12577" i="58"/>
  <c r="O12577" i="58"/>
  <c r="O12576" i="58"/>
  <c r="P12576" i="58" s="1"/>
  <c r="Q12576" i="58" s="1"/>
  <c r="O12575" i="58"/>
  <c r="P12575" i="58" s="1"/>
  <c r="L12575" i="58"/>
  <c r="L12569" i="58" s="1"/>
  <c r="K12575" i="58"/>
  <c r="O12574" i="58"/>
  <c r="P12574" i="58" s="1"/>
  <c r="P12573" i="58"/>
  <c r="O12573" i="58"/>
  <c r="I12573" i="58"/>
  <c r="J12573" i="58" s="1"/>
  <c r="O12572" i="58"/>
  <c r="P12572" i="58" s="1"/>
  <c r="I12572" i="58"/>
  <c r="J12572" i="58" s="1"/>
  <c r="P12571" i="58"/>
  <c r="O12571" i="58"/>
  <c r="I12571" i="58"/>
  <c r="J12571" i="58" s="1"/>
  <c r="O12570" i="58"/>
  <c r="P12570" i="58" s="1"/>
  <c r="O12569" i="58"/>
  <c r="P12569" i="58" s="1"/>
  <c r="Q12569" i="58" s="1"/>
  <c r="N12569" i="58"/>
  <c r="O12568" i="58"/>
  <c r="P12568" i="58" s="1"/>
  <c r="Q12568" i="58" s="1"/>
  <c r="R12568" i="58" s="1"/>
  <c r="N12568" i="58"/>
  <c r="N12560" i="58" s="1"/>
  <c r="Q12567" i="58"/>
  <c r="R12567" i="58" s="1"/>
  <c r="P12567" i="58"/>
  <c r="O12567" i="58"/>
  <c r="O12566" i="58"/>
  <c r="P12566" i="58" s="1"/>
  <c r="K12566" i="58"/>
  <c r="L12566" i="58" s="1"/>
  <c r="L12560" i="58" s="1"/>
  <c r="O12565" i="58"/>
  <c r="P12565" i="58" s="1"/>
  <c r="O12564" i="58"/>
  <c r="P12564" i="58" s="1"/>
  <c r="I12564" i="58"/>
  <c r="J12564" i="58" s="1"/>
  <c r="P12563" i="58"/>
  <c r="O12563" i="58"/>
  <c r="I12563" i="58"/>
  <c r="J12563" i="58" s="1"/>
  <c r="O12562" i="58"/>
  <c r="P12562" i="58" s="1"/>
  <c r="J12562" i="58"/>
  <c r="I12562" i="58"/>
  <c r="O12561" i="58"/>
  <c r="P12561" i="58" s="1"/>
  <c r="P12560" i="58"/>
  <c r="Q12560" i="58" s="1"/>
  <c r="O12560" i="58"/>
  <c r="O12559" i="58"/>
  <c r="P12559" i="58" s="1"/>
  <c r="K12559" i="58"/>
  <c r="L12559" i="58" s="1"/>
  <c r="L12553" i="58" s="1"/>
  <c r="O12558" i="58"/>
  <c r="P12558" i="58" s="1"/>
  <c r="P12557" i="58"/>
  <c r="O12557" i="58"/>
  <c r="I12557" i="58"/>
  <c r="J12557" i="58" s="1"/>
  <c r="O12556" i="58"/>
  <c r="P12556" i="58" s="1"/>
  <c r="I12556" i="58"/>
  <c r="J12556" i="58" s="1"/>
  <c r="P12555" i="58"/>
  <c r="O12555" i="58"/>
  <c r="I12555" i="58"/>
  <c r="J12555" i="58" s="1"/>
  <c r="O12554" i="58"/>
  <c r="P12554" i="58" s="1"/>
  <c r="O12553" i="58"/>
  <c r="P12553" i="58" s="1"/>
  <c r="Q12553" i="58" s="1"/>
  <c r="N12553" i="58"/>
  <c r="P12552" i="58"/>
  <c r="Q12552" i="58" s="1"/>
  <c r="R12552" i="58" s="1"/>
  <c r="O12552" i="58"/>
  <c r="P12551" i="58"/>
  <c r="O12551" i="58"/>
  <c r="O12550" i="58"/>
  <c r="P12550" i="58" s="1"/>
  <c r="K12550" i="58"/>
  <c r="L12550" i="58" s="1"/>
  <c r="L12544" i="58" s="1"/>
  <c r="O12549" i="58"/>
  <c r="P12549" i="58" s="1"/>
  <c r="P12548" i="58"/>
  <c r="O12548" i="58"/>
  <c r="I12548" i="58"/>
  <c r="J12548" i="58" s="1"/>
  <c r="O12547" i="58"/>
  <c r="P12547" i="58" s="1"/>
  <c r="I12547" i="58"/>
  <c r="J12547" i="58" s="1"/>
  <c r="O12546" i="58"/>
  <c r="P12546" i="58" s="1"/>
  <c r="I12546" i="58"/>
  <c r="J12546" i="58" s="1"/>
  <c r="O12545" i="58"/>
  <c r="P12545" i="58" s="1"/>
  <c r="P12544" i="58"/>
  <c r="Q12544" i="58" s="1"/>
  <c r="O12544" i="58"/>
  <c r="O12543" i="58"/>
  <c r="P12543" i="58" s="1"/>
  <c r="O12542" i="58"/>
  <c r="P12542" i="58" s="1"/>
  <c r="O12541" i="58"/>
  <c r="P12541" i="58" s="1"/>
  <c r="K12541" i="58"/>
  <c r="L12541" i="58" s="1"/>
  <c r="L12535" i="58" s="1"/>
  <c r="O12540" i="58"/>
  <c r="P12540" i="58" s="1"/>
  <c r="O12539" i="58"/>
  <c r="P12539" i="58" s="1"/>
  <c r="I12539" i="58"/>
  <c r="J12539" i="58" s="1"/>
  <c r="O12538" i="58"/>
  <c r="P12538" i="58" s="1"/>
  <c r="I12538" i="58"/>
  <c r="J12538" i="58" s="1"/>
  <c r="O12537" i="58"/>
  <c r="P12537" i="58" s="1"/>
  <c r="I12537" i="58"/>
  <c r="J12537" i="58" s="1"/>
  <c r="P12536" i="58"/>
  <c r="O12536" i="58"/>
  <c r="Q12535" i="58"/>
  <c r="Q12534" i="58" s="1"/>
  <c r="P12535" i="58"/>
  <c r="O12535" i="58"/>
  <c r="P12534" i="58"/>
  <c r="O12534" i="58"/>
  <c r="K12534" i="58"/>
  <c r="L12534" i="58" s="1"/>
  <c r="L12528" i="58" s="1"/>
  <c r="O12533" i="58"/>
  <c r="P12533" i="58" s="1"/>
  <c r="O12532" i="58"/>
  <c r="P12532" i="58" s="1"/>
  <c r="I12532" i="58"/>
  <c r="J12532" i="58" s="1"/>
  <c r="O12531" i="58"/>
  <c r="P12531" i="58" s="1"/>
  <c r="I12531" i="58"/>
  <c r="J12531" i="58" s="1"/>
  <c r="O12530" i="58"/>
  <c r="P12530" i="58" s="1"/>
  <c r="I12530" i="58"/>
  <c r="J12530" i="58" s="1"/>
  <c r="O12529" i="58"/>
  <c r="P12529" i="58" s="1"/>
  <c r="P12528" i="58"/>
  <c r="Q12528" i="58" s="1"/>
  <c r="O12528" i="58"/>
  <c r="N12528" i="58"/>
  <c r="O12527" i="58"/>
  <c r="P12527" i="58" s="1"/>
  <c r="O12526" i="58"/>
  <c r="P12526" i="58" s="1"/>
  <c r="O12525" i="58"/>
  <c r="P12525" i="58" s="1"/>
  <c r="O12524" i="58"/>
  <c r="P12524" i="58" s="1"/>
  <c r="K12524" i="58"/>
  <c r="L12524" i="58" s="1"/>
  <c r="L12513" i="58" s="1"/>
  <c r="O12523" i="58"/>
  <c r="P12523" i="58" s="1"/>
  <c r="O12522" i="58"/>
  <c r="P12522" i="58" s="1"/>
  <c r="I12522" i="58"/>
  <c r="J12522" i="58" s="1"/>
  <c r="O12521" i="58"/>
  <c r="P12521" i="58" s="1"/>
  <c r="I12521" i="58"/>
  <c r="J12521" i="58" s="1"/>
  <c r="P12520" i="58"/>
  <c r="O12520" i="58"/>
  <c r="I12520" i="58"/>
  <c r="J12520" i="58" s="1"/>
  <c r="O12519" i="58"/>
  <c r="P12519" i="58" s="1"/>
  <c r="J12519" i="58"/>
  <c r="I12519" i="58"/>
  <c r="O12518" i="58"/>
  <c r="P12518" i="58" s="1"/>
  <c r="I12518" i="58"/>
  <c r="J12518" i="58" s="1"/>
  <c r="O12517" i="58"/>
  <c r="P12517" i="58" s="1"/>
  <c r="I12517" i="58"/>
  <c r="J12517" i="58" s="1"/>
  <c r="O12516" i="58"/>
  <c r="P12516" i="58" s="1"/>
  <c r="I12516" i="58"/>
  <c r="J12516" i="58" s="1"/>
  <c r="O12515" i="58"/>
  <c r="P12515" i="58" s="1"/>
  <c r="I12515" i="58"/>
  <c r="J12515" i="58" s="1"/>
  <c r="O12514" i="58"/>
  <c r="P12514" i="58" s="1"/>
  <c r="P12513" i="58"/>
  <c r="Q12513" i="58" s="1"/>
  <c r="O12513" i="58"/>
  <c r="P12512" i="58"/>
  <c r="O12512" i="58"/>
  <c r="K12512" i="58"/>
  <c r="L12512" i="58" s="1"/>
  <c r="L12508" i="58" s="1"/>
  <c r="O12511" i="58"/>
  <c r="P12511" i="58" s="1"/>
  <c r="O12510" i="58"/>
  <c r="P12510" i="58" s="1"/>
  <c r="I12510" i="58"/>
  <c r="J12510" i="58" s="1"/>
  <c r="J12508" i="58" s="1"/>
  <c r="O12509" i="58"/>
  <c r="P12509" i="58" s="1"/>
  <c r="O12508" i="58"/>
  <c r="P12508" i="58" s="1"/>
  <c r="Q12508" i="58" s="1"/>
  <c r="N12508" i="58"/>
  <c r="O12507" i="58"/>
  <c r="P12507" i="58" s="1"/>
  <c r="K12507" i="58"/>
  <c r="L12507" i="58" s="1"/>
  <c r="L12503" i="58" s="1"/>
  <c r="O12506" i="58"/>
  <c r="P12506" i="58" s="1"/>
  <c r="O12505" i="58"/>
  <c r="P12505" i="58" s="1"/>
  <c r="I12505" i="58"/>
  <c r="J12505" i="58" s="1"/>
  <c r="J12503" i="58" s="1"/>
  <c r="O12504" i="58"/>
  <c r="P12504" i="58" s="1"/>
  <c r="O12503" i="58"/>
  <c r="P12503" i="58" s="1"/>
  <c r="Q12503" i="58" s="1"/>
  <c r="N12503" i="58"/>
  <c r="O12502" i="58"/>
  <c r="P12502" i="58" s="1"/>
  <c r="K12502" i="58"/>
  <c r="L12502" i="58" s="1"/>
  <c r="L12500" i="58" s="1"/>
  <c r="O12501" i="58"/>
  <c r="P12501" i="58" s="1"/>
  <c r="O12500" i="58"/>
  <c r="P12500" i="58" s="1"/>
  <c r="Q12500" i="58" s="1"/>
  <c r="N12500" i="58"/>
  <c r="J12500" i="58"/>
  <c r="O12499" i="58"/>
  <c r="P12499" i="58" s="1"/>
  <c r="Q12499" i="58" s="1"/>
  <c r="R12499" i="58" s="1"/>
  <c r="K12499" i="58"/>
  <c r="L12499" i="58" s="1"/>
  <c r="L12496" i="58" s="1"/>
  <c r="O12498" i="58"/>
  <c r="P12498" i="58" s="1"/>
  <c r="O12497" i="58"/>
  <c r="P12497" i="58" s="1"/>
  <c r="O12496" i="58"/>
  <c r="P12496" i="58" s="1"/>
  <c r="Q12496" i="58" s="1"/>
  <c r="N12496" i="58"/>
  <c r="J12496" i="58"/>
  <c r="Q12489" i="58"/>
  <c r="O12489" i="58"/>
  <c r="P12489" i="58" s="1"/>
  <c r="K12489" i="58"/>
  <c r="L12489" i="58" s="1"/>
  <c r="L12487" i="58" s="1"/>
  <c r="O12488" i="58"/>
  <c r="P12488" i="58" s="1"/>
  <c r="P12487" i="58"/>
  <c r="Q12487" i="58" s="1"/>
  <c r="O12487" i="58"/>
  <c r="N12487" i="58"/>
  <c r="J12487" i="58"/>
  <c r="O12486" i="58"/>
  <c r="P12486" i="58" s="1"/>
  <c r="K12486" i="58"/>
  <c r="L12486" i="58" s="1"/>
  <c r="L12484" i="58" s="1"/>
  <c r="O12485" i="58"/>
  <c r="P12485" i="58" s="1"/>
  <c r="Q12484" i="58"/>
  <c r="O12484" i="58"/>
  <c r="P12484" i="58" s="1"/>
  <c r="N12484" i="58"/>
  <c r="J12484" i="58"/>
  <c r="O12483" i="58"/>
  <c r="P12483" i="58" s="1"/>
  <c r="L12483" i="58"/>
  <c r="L12481" i="58" s="1"/>
  <c r="K12483" i="58"/>
  <c r="O12482" i="58"/>
  <c r="P12482" i="58" s="1"/>
  <c r="P12481" i="58"/>
  <c r="Q12481" i="58" s="1"/>
  <c r="O12481" i="58"/>
  <c r="N12481" i="58"/>
  <c r="J12481" i="58"/>
  <c r="P12480" i="58"/>
  <c r="O12480" i="58"/>
  <c r="O12479" i="58"/>
  <c r="P12479" i="58" s="1"/>
  <c r="O12478" i="58"/>
  <c r="P12478" i="58" s="1"/>
  <c r="K12478" i="58"/>
  <c r="L12478" i="58" s="1"/>
  <c r="L12473" i="58" s="1"/>
  <c r="P12477" i="58"/>
  <c r="O12477" i="58"/>
  <c r="O12476" i="58"/>
  <c r="P12476" i="58" s="1"/>
  <c r="I12476" i="58"/>
  <c r="J12476" i="58" s="1"/>
  <c r="O12475" i="58"/>
  <c r="P12475" i="58" s="1"/>
  <c r="I12475" i="58"/>
  <c r="J12475" i="58" s="1"/>
  <c r="P12474" i="58"/>
  <c r="O12474" i="58"/>
  <c r="P12473" i="58"/>
  <c r="Q12473" i="58" s="1"/>
  <c r="O12473" i="58"/>
  <c r="P12472" i="58"/>
  <c r="O12472" i="58"/>
  <c r="O12471" i="58"/>
  <c r="P12471" i="58" s="1"/>
  <c r="O12470" i="58"/>
  <c r="P12470" i="58" s="1"/>
  <c r="K12470" i="58"/>
  <c r="L12470" i="58" s="1"/>
  <c r="L12465" i="58" s="1"/>
  <c r="O12469" i="58"/>
  <c r="P12469" i="58" s="1"/>
  <c r="P12468" i="58"/>
  <c r="O12468" i="58"/>
  <c r="I12468" i="58"/>
  <c r="J12468" i="58" s="1"/>
  <c r="P12467" i="58"/>
  <c r="O12467" i="58"/>
  <c r="I12467" i="58"/>
  <c r="J12467" i="58" s="1"/>
  <c r="P12466" i="58"/>
  <c r="O12466" i="58"/>
  <c r="O12465" i="58"/>
  <c r="P12465" i="58" s="1"/>
  <c r="Q12465" i="58" s="1"/>
  <c r="O12464" i="58"/>
  <c r="P12464" i="58" s="1"/>
  <c r="O12463" i="58"/>
  <c r="P12463" i="58" s="1"/>
  <c r="O12462" i="58"/>
  <c r="P12462" i="58" s="1"/>
  <c r="K12462" i="58"/>
  <c r="L12462" i="58" s="1"/>
  <c r="L12454" i="58" s="1"/>
  <c r="O12461" i="58"/>
  <c r="P12461" i="58" s="1"/>
  <c r="O12460" i="58"/>
  <c r="P12460" i="58" s="1"/>
  <c r="I12460" i="58"/>
  <c r="J12460" i="58" s="1"/>
  <c r="P12459" i="58"/>
  <c r="O12459" i="58"/>
  <c r="I12459" i="58"/>
  <c r="J12459" i="58" s="1"/>
  <c r="O12458" i="58"/>
  <c r="P12458" i="58" s="1"/>
  <c r="I12458" i="58"/>
  <c r="J12458" i="58" s="1"/>
  <c r="O12457" i="58"/>
  <c r="P12457" i="58" s="1"/>
  <c r="I12457" i="58"/>
  <c r="J12457" i="58" s="1"/>
  <c r="O12456" i="58"/>
  <c r="P12456" i="58" s="1"/>
  <c r="I12456" i="58"/>
  <c r="J12456" i="58" s="1"/>
  <c r="O12455" i="58"/>
  <c r="P12455" i="58" s="1"/>
  <c r="O12454" i="58"/>
  <c r="P12454" i="58" s="1"/>
  <c r="Q12454" i="58" s="1"/>
  <c r="O12453" i="58"/>
  <c r="P12453" i="58" s="1"/>
  <c r="Q12453" i="58" s="1"/>
  <c r="R12453" i="58" s="1"/>
  <c r="O12452" i="58"/>
  <c r="P12452" i="58" s="1"/>
  <c r="O12451" i="58"/>
  <c r="P12451" i="58" s="1"/>
  <c r="K12451" i="58"/>
  <c r="L12451" i="58" s="1"/>
  <c r="L12443" i="58" s="1"/>
  <c r="O12450" i="58"/>
  <c r="P12450" i="58" s="1"/>
  <c r="P12449" i="58"/>
  <c r="O12449" i="58"/>
  <c r="I12449" i="58"/>
  <c r="J12449" i="58" s="1"/>
  <c r="O12448" i="58"/>
  <c r="P12448" i="58" s="1"/>
  <c r="I12448" i="58"/>
  <c r="J12448" i="58" s="1"/>
  <c r="O12447" i="58"/>
  <c r="P12447" i="58" s="1"/>
  <c r="J12447" i="58"/>
  <c r="I12447" i="58"/>
  <c r="P12446" i="58"/>
  <c r="O12446" i="58"/>
  <c r="I12446" i="58"/>
  <c r="J12446" i="58" s="1"/>
  <c r="O12445" i="58"/>
  <c r="P12445" i="58" s="1"/>
  <c r="I12445" i="58"/>
  <c r="J12445" i="58" s="1"/>
  <c r="O12444" i="58"/>
  <c r="P12444" i="58" s="1"/>
  <c r="O12443" i="58"/>
  <c r="P12443" i="58" s="1"/>
  <c r="Q12443" i="58" s="1"/>
  <c r="O12442" i="58"/>
  <c r="P12442" i="58" s="1"/>
  <c r="P12441" i="58"/>
  <c r="O12441" i="58"/>
  <c r="O12440" i="58"/>
  <c r="P12440" i="58" s="1"/>
  <c r="K12440" i="58"/>
  <c r="L12440" i="58" s="1"/>
  <c r="L12432" i="58" s="1"/>
  <c r="O12439" i="58"/>
  <c r="P12439" i="58" s="1"/>
  <c r="P12438" i="58"/>
  <c r="O12438" i="58"/>
  <c r="I12438" i="58"/>
  <c r="J12438" i="58" s="1"/>
  <c r="O12437" i="58"/>
  <c r="P12437" i="58" s="1"/>
  <c r="I12437" i="58"/>
  <c r="J12437" i="58" s="1"/>
  <c r="O12436" i="58"/>
  <c r="P12436" i="58" s="1"/>
  <c r="I12436" i="58"/>
  <c r="J12436" i="58" s="1"/>
  <c r="O12435" i="58"/>
  <c r="P12435" i="58" s="1"/>
  <c r="I12435" i="58"/>
  <c r="J12435" i="58" s="1"/>
  <c r="O12434" i="58"/>
  <c r="P12434" i="58" s="1"/>
  <c r="I12434" i="58"/>
  <c r="J12434" i="58" s="1"/>
  <c r="P12433" i="58"/>
  <c r="O12433" i="58"/>
  <c r="Q12432" i="58"/>
  <c r="O12432" i="58"/>
  <c r="P12432" i="58" s="1"/>
  <c r="P12431" i="58"/>
  <c r="O12431" i="58"/>
  <c r="N12431" i="58"/>
  <c r="N12421" i="58" s="1"/>
  <c r="O12430" i="58"/>
  <c r="P12430" i="58" s="1"/>
  <c r="P12429" i="58"/>
  <c r="O12429" i="58"/>
  <c r="K12429" i="58"/>
  <c r="L12429" i="58" s="1"/>
  <c r="L12421" i="58" s="1"/>
  <c r="O12428" i="58"/>
  <c r="P12428" i="58" s="1"/>
  <c r="O12427" i="58"/>
  <c r="P12427" i="58" s="1"/>
  <c r="I12427" i="58"/>
  <c r="J12427" i="58" s="1"/>
  <c r="P12426" i="58"/>
  <c r="O12426" i="58"/>
  <c r="J12426" i="58"/>
  <c r="I12426" i="58"/>
  <c r="O12425" i="58"/>
  <c r="P12425" i="58" s="1"/>
  <c r="I12425" i="58"/>
  <c r="J12425" i="58" s="1"/>
  <c r="O12424" i="58"/>
  <c r="P12424" i="58" s="1"/>
  <c r="I12424" i="58"/>
  <c r="J12424" i="58" s="1"/>
  <c r="O12423" i="58"/>
  <c r="P12423" i="58" s="1"/>
  <c r="I12423" i="58"/>
  <c r="J12423" i="58" s="1"/>
  <c r="O12422" i="58"/>
  <c r="P12422" i="58" s="1"/>
  <c r="O12421" i="58"/>
  <c r="P12421" i="58" s="1"/>
  <c r="Q12421" i="58" s="1"/>
  <c r="O12420" i="58"/>
  <c r="P12420" i="58" s="1"/>
  <c r="O12419" i="58"/>
  <c r="P12419" i="58" s="1"/>
  <c r="N12419" i="58"/>
  <c r="P12418" i="58"/>
  <c r="O12418" i="58"/>
  <c r="O12417" i="58"/>
  <c r="P12417" i="58" s="1"/>
  <c r="K12417" i="58"/>
  <c r="L12417" i="58" s="1"/>
  <c r="L12408" i="58" s="1"/>
  <c r="O12416" i="58"/>
  <c r="P12416" i="58" s="1"/>
  <c r="O12415" i="58"/>
  <c r="P12415" i="58" s="1"/>
  <c r="I12415" i="58"/>
  <c r="J12415" i="58" s="1"/>
  <c r="O12414" i="58"/>
  <c r="P12414" i="58" s="1"/>
  <c r="I12414" i="58"/>
  <c r="J12414" i="58" s="1"/>
  <c r="O12413" i="58"/>
  <c r="P12413" i="58" s="1"/>
  <c r="J12413" i="58"/>
  <c r="I12413" i="58"/>
  <c r="O12412" i="58"/>
  <c r="P12412" i="58" s="1"/>
  <c r="I12412" i="58"/>
  <c r="J12412" i="58" s="1"/>
  <c r="P12411" i="58"/>
  <c r="O12411" i="58"/>
  <c r="I12411" i="58"/>
  <c r="J12411" i="58" s="1"/>
  <c r="P12410" i="58"/>
  <c r="O12410" i="58"/>
  <c r="I12410" i="58"/>
  <c r="J12410" i="58" s="1"/>
  <c r="O12409" i="58"/>
  <c r="P12409" i="58" s="1"/>
  <c r="O12408" i="58"/>
  <c r="P12408" i="58" s="1"/>
  <c r="Q12408" i="58" s="1"/>
  <c r="O12407" i="58"/>
  <c r="P12407" i="58" s="1"/>
  <c r="Q12407" i="58" s="1"/>
  <c r="R12407" i="58" s="1"/>
  <c r="O12406" i="58"/>
  <c r="P12406" i="58" s="1"/>
  <c r="O12405" i="58"/>
  <c r="P12405" i="58" s="1"/>
  <c r="O12404" i="58"/>
  <c r="P12404" i="58" s="1"/>
  <c r="K12404" i="58"/>
  <c r="L12404" i="58" s="1"/>
  <c r="L12395" i="58" s="1"/>
  <c r="P12403" i="58"/>
  <c r="O12403" i="58"/>
  <c r="O12402" i="58"/>
  <c r="P12402" i="58" s="1"/>
  <c r="I12402" i="58"/>
  <c r="J12402" i="58" s="1"/>
  <c r="O12401" i="58"/>
  <c r="P12401" i="58" s="1"/>
  <c r="I12401" i="58"/>
  <c r="J12401" i="58" s="1"/>
  <c r="O12400" i="58"/>
  <c r="P12400" i="58" s="1"/>
  <c r="I12400" i="58"/>
  <c r="J12400" i="58" s="1"/>
  <c r="O12399" i="58"/>
  <c r="P12399" i="58" s="1"/>
  <c r="I12399" i="58"/>
  <c r="J12399" i="58" s="1"/>
  <c r="O12398" i="58"/>
  <c r="P12398" i="58" s="1"/>
  <c r="I12398" i="58"/>
  <c r="J12398" i="58" s="1"/>
  <c r="O12397" i="58"/>
  <c r="P12397" i="58" s="1"/>
  <c r="I12397" i="58"/>
  <c r="J12397" i="58" s="1"/>
  <c r="O12396" i="58"/>
  <c r="P12396" i="58" s="1"/>
  <c r="O12395" i="58"/>
  <c r="P12395" i="58" s="1"/>
  <c r="Q12395" i="58" s="1"/>
  <c r="O12394" i="58"/>
  <c r="P12394" i="58" s="1"/>
  <c r="Q12394" i="58" s="1"/>
  <c r="R12394" i="58" s="1"/>
  <c r="O12393" i="58"/>
  <c r="P12393" i="58" s="1"/>
  <c r="O12392" i="58"/>
  <c r="P12392" i="58" s="1"/>
  <c r="O12391" i="58"/>
  <c r="P12391" i="58" s="1"/>
  <c r="K12391" i="58"/>
  <c r="L12391" i="58" s="1"/>
  <c r="L12382" i="58" s="1"/>
  <c r="O12390" i="58"/>
  <c r="P12390" i="58" s="1"/>
  <c r="O12389" i="58"/>
  <c r="P12389" i="58" s="1"/>
  <c r="I12389" i="58"/>
  <c r="J12389" i="58" s="1"/>
  <c r="P12388" i="58"/>
  <c r="O12388" i="58"/>
  <c r="I12388" i="58"/>
  <c r="J12388" i="58" s="1"/>
  <c r="O12387" i="58"/>
  <c r="P12387" i="58" s="1"/>
  <c r="I12387" i="58"/>
  <c r="J12387" i="58" s="1"/>
  <c r="O12386" i="58"/>
  <c r="P12386" i="58" s="1"/>
  <c r="I12386" i="58"/>
  <c r="J12386" i="58" s="1"/>
  <c r="P12385" i="58"/>
  <c r="O12385" i="58"/>
  <c r="I12385" i="58"/>
  <c r="J12385" i="58" s="1"/>
  <c r="P12384" i="58"/>
  <c r="O12384" i="58"/>
  <c r="I12384" i="58"/>
  <c r="J12384" i="58" s="1"/>
  <c r="O12383" i="58"/>
  <c r="P12383" i="58" s="1"/>
  <c r="O12382" i="58"/>
  <c r="P12382" i="58" s="1"/>
  <c r="Q12382" i="58" s="1"/>
  <c r="O12381" i="58"/>
  <c r="P12381" i="58" s="1"/>
  <c r="N12381" i="58"/>
  <c r="O12380" i="58"/>
  <c r="P12380" i="58" s="1"/>
  <c r="O12379" i="58"/>
  <c r="P12379" i="58" s="1"/>
  <c r="O12378" i="58"/>
  <c r="P12378" i="58" s="1"/>
  <c r="K12378" i="58"/>
  <c r="L12378" i="58" s="1"/>
  <c r="L12369" i="58" s="1"/>
  <c r="O12377" i="58"/>
  <c r="P12377" i="58" s="1"/>
  <c r="O12376" i="58"/>
  <c r="P12376" i="58" s="1"/>
  <c r="I12376" i="58"/>
  <c r="J12376" i="58" s="1"/>
  <c r="O12375" i="58"/>
  <c r="P12375" i="58" s="1"/>
  <c r="I12375" i="58"/>
  <c r="J12375" i="58" s="1"/>
  <c r="O12374" i="58"/>
  <c r="P12374" i="58" s="1"/>
  <c r="I12374" i="58"/>
  <c r="J12374" i="58" s="1"/>
  <c r="O12373" i="58"/>
  <c r="P12373" i="58" s="1"/>
  <c r="I12373" i="58"/>
  <c r="J12373" i="58" s="1"/>
  <c r="O12372" i="58"/>
  <c r="P12372" i="58" s="1"/>
  <c r="I12372" i="58"/>
  <c r="J12372" i="58" s="1"/>
  <c r="O12371" i="58"/>
  <c r="P12371" i="58" s="1"/>
  <c r="I12371" i="58"/>
  <c r="J12371" i="58" s="1"/>
  <c r="O12370" i="58"/>
  <c r="P12370" i="58" s="1"/>
  <c r="Q12369" i="58"/>
  <c r="O12369" i="58"/>
  <c r="P12369" i="58" s="1"/>
  <c r="P12368" i="58"/>
  <c r="O12368" i="58"/>
  <c r="P12367" i="58"/>
  <c r="O12367" i="58"/>
  <c r="O12366" i="58"/>
  <c r="P12366" i="58" s="1"/>
  <c r="O12365" i="58"/>
  <c r="P12365" i="58" s="1"/>
  <c r="K12365" i="58"/>
  <c r="L12365" i="58" s="1"/>
  <c r="L12356" i="58" s="1"/>
  <c r="P12364" i="58"/>
  <c r="O12364" i="58"/>
  <c r="O12363" i="58"/>
  <c r="P12363" i="58" s="1"/>
  <c r="I12363" i="58"/>
  <c r="J12363" i="58" s="1"/>
  <c r="O12362" i="58"/>
  <c r="P12362" i="58" s="1"/>
  <c r="I12362" i="58"/>
  <c r="J12362" i="58" s="1"/>
  <c r="P12361" i="58"/>
  <c r="O12361" i="58"/>
  <c r="I12361" i="58"/>
  <c r="J12361" i="58" s="1"/>
  <c r="P12360" i="58"/>
  <c r="O12360" i="58"/>
  <c r="I12360" i="58"/>
  <c r="J12360" i="58" s="1"/>
  <c r="O12359" i="58"/>
  <c r="P12359" i="58" s="1"/>
  <c r="I12359" i="58"/>
  <c r="J12359" i="58" s="1"/>
  <c r="O12358" i="58"/>
  <c r="P12358" i="58" s="1"/>
  <c r="I12358" i="58"/>
  <c r="J12358" i="58" s="1"/>
  <c r="O12357" i="58"/>
  <c r="P12357" i="58" s="1"/>
  <c r="Q12356" i="58"/>
  <c r="P12356" i="58"/>
  <c r="O12356" i="58"/>
  <c r="O12355" i="58"/>
  <c r="P12355" i="58" s="1"/>
  <c r="O12354" i="58"/>
  <c r="P12354" i="58" s="1"/>
  <c r="O12353" i="58"/>
  <c r="P12353" i="58" s="1"/>
  <c r="O12352" i="58"/>
  <c r="P12352" i="58" s="1"/>
  <c r="K12352" i="58"/>
  <c r="L12352" i="58" s="1"/>
  <c r="L12343" i="58" s="1"/>
  <c r="O12351" i="58"/>
  <c r="P12351" i="58" s="1"/>
  <c r="O12350" i="58"/>
  <c r="P12350" i="58" s="1"/>
  <c r="J12350" i="58"/>
  <c r="I12350" i="58"/>
  <c r="O12349" i="58"/>
  <c r="P12349" i="58" s="1"/>
  <c r="I12349" i="58"/>
  <c r="J12349" i="58" s="1"/>
  <c r="O12348" i="58"/>
  <c r="P12348" i="58" s="1"/>
  <c r="I12348" i="58"/>
  <c r="J12348" i="58" s="1"/>
  <c r="O12347" i="58"/>
  <c r="P12347" i="58" s="1"/>
  <c r="I12347" i="58"/>
  <c r="J12347" i="58" s="1"/>
  <c r="O12346" i="58"/>
  <c r="P12346" i="58" s="1"/>
  <c r="I12346" i="58"/>
  <c r="J12346" i="58" s="1"/>
  <c r="O12345" i="58"/>
  <c r="P12345" i="58" s="1"/>
  <c r="I12345" i="58"/>
  <c r="J12345" i="58" s="1"/>
  <c r="O12344" i="58"/>
  <c r="P12344" i="58" s="1"/>
  <c r="O12343" i="58"/>
  <c r="P12343" i="58" s="1"/>
  <c r="Q12343" i="58" s="1"/>
  <c r="O12342" i="58"/>
  <c r="P12342" i="58" s="1"/>
  <c r="Q12342" i="58" s="1"/>
  <c r="R12342" i="58" s="1"/>
  <c r="P12341" i="58"/>
  <c r="O12341" i="58"/>
  <c r="O12340" i="58"/>
  <c r="P12340" i="58" s="1"/>
  <c r="O12339" i="58"/>
  <c r="P12339" i="58" s="1"/>
  <c r="K12339" i="58"/>
  <c r="L12339" i="58" s="1"/>
  <c r="L12333" i="58" s="1"/>
  <c r="O12338" i="58"/>
  <c r="P12338" i="58" s="1"/>
  <c r="O12337" i="58"/>
  <c r="P12337" i="58" s="1"/>
  <c r="I12337" i="58"/>
  <c r="J12337" i="58" s="1"/>
  <c r="O12336" i="58"/>
  <c r="P12336" i="58" s="1"/>
  <c r="I12336" i="58"/>
  <c r="J12336" i="58" s="1"/>
  <c r="O12335" i="58"/>
  <c r="P12335" i="58" s="1"/>
  <c r="I12335" i="58"/>
  <c r="J12335" i="58" s="1"/>
  <c r="P12334" i="58"/>
  <c r="O12334" i="58"/>
  <c r="P12333" i="58"/>
  <c r="Q12333" i="58" s="1"/>
  <c r="O12333" i="58"/>
  <c r="O12332" i="58"/>
  <c r="P12332" i="58" s="1"/>
  <c r="Q12332" i="58" s="1"/>
  <c r="O12331" i="58"/>
  <c r="P12331" i="58" s="1"/>
  <c r="N12331" i="58"/>
  <c r="O12330" i="58"/>
  <c r="P12330" i="58" s="1"/>
  <c r="P12329" i="58"/>
  <c r="O12329" i="58"/>
  <c r="K12329" i="58"/>
  <c r="L12329" i="58" s="1"/>
  <c r="L12323" i="58" s="1"/>
  <c r="O12328" i="58"/>
  <c r="P12328" i="58" s="1"/>
  <c r="O12327" i="58"/>
  <c r="P12327" i="58" s="1"/>
  <c r="I12327" i="58"/>
  <c r="J12327" i="58" s="1"/>
  <c r="O12326" i="58"/>
  <c r="P12326" i="58" s="1"/>
  <c r="J12326" i="58"/>
  <c r="I12326" i="58"/>
  <c r="O12325" i="58"/>
  <c r="P12325" i="58" s="1"/>
  <c r="I12325" i="58"/>
  <c r="J12325" i="58" s="1"/>
  <c r="O12324" i="58"/>
  <c r="P12324" i="58" s="1"/>
  <c r="O12323" i="58"/>
  <c r="P12323" i="58" s="1"/>
  <c r="Q12323" i="58" s="1"/>
  <c r="O12322" i="58"/>
  <c r="P12322" i="58" s="1"/>
  <c r="Q12322" i="58" s="1"/>
  <c r="R12322" i="58" s="1"/>
  <c r="O12321" i="58"/>
  <c r="P12321" i="58" s="1"/>
  <c r="O12320" i="58"/>
  <c r="P12320" i="58" s="1"/>
  <c r="O12319" i="58"/>
  <c r="P12319" i="58" s="1"/>
  <c r="K12319" i="58"/>
  <c r="L12319" i="58" s="1"/>
  <c r="L12313" i="58" s="1"/>
  <c r="O12318" i="58"/>
  <c r="P12318" i="58" s="1"/>
  <c r="O12317" i="58"/>
  <c r="P12317" i="58" s="1"/>
  <c r="I12317" i="58"/>
  <c r="J12317" i="58" s="1"/>
  <c r="P12316" i="58"/>
  <c r="O12316" i="58"/>
  <c r="I12316" i="58"/>
  <c r="J12316" i="58" s="1"/>
  <c r="O12315" i="58"/>
  <c r="P12315" i="58" s="1"/>
  <c r="J12315" i="58"/>
  <c r="I12315" i="58"/>
  <c r="P12314" i="58"/>
  <c r="O12314" i="58"/>
  <c r="O12313" i="58"/>
  <c r="P12313" i="58" s="1"/>
  <c r="Q12313" i="58" s="1"/>
  <c r="O12312" i="58"/>
  <c r="P12312" i="58" s="1"/>
  <c r="O12311" i="58"/>
  <c r="P12311" i="58" s="1"/>
  <c r="O12310" i="58"/>
  <c r="P12310" i="58" s="1"/>
  <c r="O12309" i="58"/>
  <c r="P12309" i="58" s="1"/>
  <c r="K12309" i="58"/>
  <c r="L12309" i="58" s="1"/>
  <c r="L12303" i="58" s="1"/>
  <c r="O12308" i="58"/>
  <c r="P12308" i="58" s="1"/>
  <c r="O12307" i="58"/>
  <c r="P12307" i="58" s="1"/>
  <c r="I12307" i="58"/>
  <c r="J12307" i="58" s="1"/>
  <c r="O12306" i="58"/>
  <c r="P12306" i="58" s="1"/>
  <c r="I12306" i="58"/>
  <c r="J12306" i="58" s="1"/>
  <c r="P12305" i="58"/>
  <c r="O12305" i="58"/>
  <c r="I12305" i="58"/>
  <c r="J12305" i="58" s="1"/>
  <c r="O12304" i="58"/>
  <c r="P12304" i="58" s="1"/>
  <c r="O12303" i="58"/>
  <c r="P12303" i="58" s="1"/>
  <c r="Q12303" i="58" s="1"/>
  <c r="P12302" i="58"/>
  <c r="O12302" i="58"/>
  <c r="O12301" i="58"/>
  <c r="P12301" i="58" s="1"/>
  <c r="P12300" i="58"/>
  <c r="O12300" i="58"/>
  <c r="O12299" i="58"/>
  <c r="P12299" i="58" s="1"/>
  <c r="K12299" i="58"/>
  <c r="L12299" i="58" s="1"/>
  <c r="L12293" i="58" s="1"/>
  <c r="O12298" i="58"/>
  <c r="P12298" i="58" s="1"/>
  <c r="O12297" i="58"/>
  <c r="P12297" i="58" s="1"/>
  <c r="I12297" i="58"/>
  <c r="J12297" i="58" s="1"/>
  <c r="O12296" i="58"/>
  <c r="P12296" i="58" s="1"/>
  <c r="I12296" i="58"/>
  <c r="J12296" i="58" s="1"/>
  <c r="O12295" i="58"/>
  <c r="P12295" i="58" s="1"/>
  <c r="I12295" i="58"/>
  <c r="J12295" i="58" s="1"/>
  <c r="O12294" i="58"/>
  <c r="P12294" i="58" s="1"/>
  <c r="O12293" i="58"/>
  <c r="P12293" i="58" s="1"/>
  <c r="Q12293" i="58" s="1"/>
  <c r="O12292" i="58"/>
  <c r="P12292" i="58" s="1"/>
  <c r="O12291" i="58"/>
  <c r="P12291" i="58" s="1"/>
  <c r="N12291" i="58"/>
  <c r="O12290" i="58"/>
  <c r="P12290" i="58" s="1"/>
  <c r="O12289" i="58"/>
  <c r="P12289" i="58" s="1"/>
  <c r="K12289" i="58"/>
  <c r="L12289" i="58" s="1"/>
  <c r="L12283" i="58" s="1"/>
  <c r="O12288" i="58"/>
  <c r="P12288" i="58" s="1"/>
  <c r="P12287" i="58"/>
  <c r="O12287" i="58"/>
  <c r="I12287" i="58"/>
  <c r="J12287" i="58" s="1"/>
  <c r="O12286" i="58"/>
  <c r="P12286" i="58" s="1"/>
  <c r="I12286" i="58"/>
  <c r="J12286" i="58" s="1"/>
  <c r="O12285" i="58"/>
  <c r="P12285" i="58" s="1"/>
  <c r="I12285" i="58"/>
  <c r="J12285" i="58" s="1"/>
  <c r="O12284" i="58"/>
  <c r="P12284" i="58" s="1"/>
  <c r="P12283" i="58"/>
  <c r="Q12283" i="58" s="1"/>
  <c r="O12283" i="58"/>
  <c r="O12282" i="58"/>
  <c r="P12282" i="58" s="1"/>
  <c r="P12281" i="58"/>
  <c r="O12281" i="58"/>
  <c r="O12280" i="58"/>
  <c r="P12280" i="58" s="1"/>
  <c r="P12279" i="58"/>
  <c r="O12279" i="58"/>
  <c r="K12279" i="58"/>
  <c r="L12279" i="58" s="1"/>
  <c r="L12273" i="58" s="1"/>
  <c r="O12278" i="58"/>
  <c r="P12278" i="58" s="1"/>
  <c r="P12277" i="58"/>
  <c r="O12277" i="58"/>
  <c r="I12277" i="58"/>
  <c r="J12277" i="58" s="1"/>
  <c r="O12276" i="58"/>
  <c r="P12276" i="58" s="1"/>
  <c r="I12276" i="58"/>
  <c r="J12276" i="58" s="1"/>
  <c r="O12275" i="58"/>
  <c r="P12275" i="58" s="1"/>
  <c r="I12275" i="58"/>
  <c r="J12275" i="58" s="1"/>
  <c r="O12274" i="58"/>
  <c r="P12274" i="58" s="1"/>
  <c r="O12273" i="58"/>
  <c r="P12273" i="58" s="1"/>
  <c r="Q12273" i="58" s="1"/>
  <c r="O12272" i="58"/>
  <c r="P12272" i="58" s="1"/>
  <c r="O12271" i="58"/>
  <c r="P12271" i="58" s="1"/>
  <c r="P12270" i="58"/>
  <c r="O12270" i="58"/>
  <c r="O12269" i="58"/>
  <c r="P12269" i="58" s="1"/>
  <c r="K12269" i="58"/>
  <c r="L12269" i="58" s="1"/>
  <c r="L12263" i="58" s="1"/>
  <c r="O12268" i="58"/>
  <c r="P12268" i="58" s="1"/>
  <c r="P12267" i="58"/>
  <c r="O12267" i="58"/>
  <c r="I12267" i="58"/>
  <c r="J12267" i="58" s="1"/>
  <c r="O12266" i="58"/>
  <c r="P12266" i="58" s="1"/>
  <c r="I12266" i="58"/>
  <c r="J12266" i="58" s="1"/>
  <c r="O12265" i="58"/>
  <c r="P12265" i="58" s="1"/>
  <c r="I12265" i="58"/>
  <c r="J12265" i="58" s="1"/>
  <c r="P12264" i="58"/>
  <c r="O12264" i="58"/>
  <c r="O12263" i="58"/>
  <c r="P12263" i="58" s="1"/>
  <c r="Q12263" i="58" s="1"/>
  <c r="O12262" i="58"/>
  <c r="P12262" i="58" s="1"/>
  <c r="O12261" i="58"/>
  <c r="P12261" i="58" s="1"/>
  <c r="O12260" i="58"/>
  <c r="P12260" i="58" s="1"/>
  <c r="O12259" i="58"/>
  <c r="P12259" i="58" s="1"/>
  <c r="K12259" i="58"/>
  <c r="L12259" i="58" s="1"/>
  <c r="L12253" i="58" s="1"/>
  <c r="O12258" i="58"/>
  <c r="P12258" i="58" s="1"/>
  <c r="P12257" i="58"/>
  <c r="O12257" i="58"/>
  <c r="I12257" i="58"/>
  <c r="J12257" i="58" s="1"/>
  <c r="P12256" i="58"/>
  <c r="O12256" i="58"/>
  <c r="I12256" i="58"/>
  <c r="J12256" i="58" s="1"/>
  <c r="O12255" i="58"/>
  <c r="P12255" i="58" s="1"/>
  <c r="I12255" i="58"/>
  <c r="J12255" i="58" s="1"/>
  <c r="O12254" i="58"/>
  <c r="P12254" i="58" s="1"/>
  <c r="O12253" i="58"/>
  <c r="P12253" i="58" s="1"/>
  <c r="Q12253" i="58" s="1"/>
  <c r="O12252" i="58"/>
  <c r="P12252" i="58" s="1"/>
  <c r="O12251" i="58"/>
  <c r="P12251" i="58" s="1"/>
  <c r="N12251" i="58"/>
  <c r="P12250" i="58"/>
  <c r="O12250" i="58"/>
  <c r="O12249" i="58"/>
  <c r="P12249" i="58" s="1"/>
  <c r="K12249" i="58"/>
  <c r="L12249" i="58" s="1"/>
  <c r="O12248" i="58"/>
  <c r="P12248" i="58" s="1"/>
  <c r="O12247" i="58"/>
  <c r="P12247" i="58" s="1"/>
  <c r="I12247" i="58"/>
  <c r="J12247" i="58" s="1"/>
  <c r="O12246" i="58"/>
  <c r="P12246" i="58" s="1"/>
  <c r="I12246" i="58"/>
  <c r="J12246" i="58" s="1"/>
  <c r="O12245" i="58"/>
  <c r="P12245" i="58" s="1"/>
  <c r="I12245" i="58"/>
  <c r="J12245" i="58" s="1"/>
  <c r="O12244" i="58"/>
  <c r="P12244" i="58" s="1"/>
  <c r="O12243" i="58"/>
  <c r="P12243" i="58" s="1"/>
  <c r="Q12243" i="58" s="1"/>
  <c r="L12243" i="58"/>
  <c r="O12242" i="58"/>
  <c r="P12242" i="58" s="1"/>
  <c r="L12242" i="58"/>
  <c r="L12236" i="58" s="1"/>
  <c r="K12242" i="58"/>
  <c r="O12241" i="58"/>
  <c r="P12241" i="58" s="1"/>
  <c r="P12240" i="58"/>
  <c r="O12240" i="58"/>
  <c r="I12240" i="58"/>
  <c r="J12240" i="58" s="1"/>
  <c r="O12239" i="58"/>
  <c r="P12239" i="58" s="1"/>
  <c r="I12239" i="58"/>
  <c r="J12239" i="58" s="1"/>
  <c r="O12238" i="58"/>
  <c r="P12238" i="58" s="1"/>
  <c r="I12238" i="58"/>
  <c r="J12238" i="58" s="1"/>
  <c r="O12237" i="58"/>
  <c r="P12237" i="58" s="1"/>
  <c r="O12236" i="58"/>
  <c r="P12236" i="58" s="1"/>
  <c r="Q12236" i="58" s="1"/>
  <c r="N12236" i="58"/>
  <c r="P12235" i="58"/>
  <c r="O12235" i="58"/>
  <c r="K12235" i="58"/>
  <c r="L12235" i="58" s="1"/>
  <c r="L12229" i="58" s="1"/>
  <c r="O12234" i="58"/>
  <c r="P12234" i="58" s="1"/>
  <c r="O12233" i="58"/>
  <c r="P12233" i="58" s="1"/>
  <c r="I12233" i="58"/>
  <c r="J12233" i="58" s="1"/>
  <c r="O12232" i="58"/>
  <c r="P12232" i="58" s="1"/>
  <c r="I12232" i="58"/>
  <c r="J12232" i="58" s="1"/>
  <c r="O12231" i="58"/>
  <c r="P12231" i="58" s="1"/>
  <c r="I12231" i="58"/>
  <c r="J12231" i="58" s="1"/>
  <c r="O12230" i="58"/>
  <c r="P12230" i="58" s="1"/>
  <c r="P12229" i="58"/>
  <c r="Q12229" i="58" s="1"/>
  <c r="O12229" i="58"/>
  <c r="N12229" i="58"/>
  <c r="O12228" i="58"/>
  <c r="P12228" i="58" s="1"/>
  <c r="K12228" i="58"/>
  <c r="L12228" i="58" s="1"/>
  <c r="L12222" i="58" s="1"/>
  <c r="O12227" i="58"/>
  <c r="P12227" i="58" s="1"/>
  <c r="O12226" i="58"/>
  <c r="P12226" i="58" s="1"/>
  <c r="I12226" i="58"/>
  <c r="J12226" i="58" s="1"/>
  <c r="O12225" i="58"/>
  <c r="P12225" i="58" s="1"/>
  <c r="I12225" i="58"/>
  <c r="J12225" i="58" s="1"/>
  <c r="P12224" i="58"/>
  <c r="O12224" i="58"/>
  <c r="I12224" i="58"/>
  <c r="J12224" i="58" s="1"/>
  <c r="O12223" i="58"/>
  <c r="P12223" i="58" s="1"/>
  <c r="Q12222" i="58"/>
  <c r="P12222" i="58"/>
  <c r="O12222" i="58"/>
  <c r="N12222" i="58"/>
  <c r="O12221" i="58"/>
  <c r="P12221" i="58" s="1"/>
  <c r="Q12221" i="58" s="1"/>
  <c r="R12221" i="58" s="1"/>
  <c r="K12221" i="58"/>
  <c r="L12221" i="58" s="1"/>
  <c r="L12215" i="58" s="1"/>
  <c r="O12220" i="58"/>
  <c r="P12220" i="58" s="1"/>
  <c r="O12219" i="58"/>
  <c r="P12219" i="58" s="1"/>
  <c r="I12219" i="58"/>
  <c r="J12219" i="58" s="1"/>
  <c r="O12218" i="58"/>
  <c r="P12218" i="58" s="1"/>
  <c r="I12218" i="58"/>
  <c r="J12218" i="58" s="1"/>
  <c r="O12217" i="58"/>
  <c r="P12217" i="58" s="1"/>
  <c r="J12217" i="58"/>
  <c r="I12217" i="58"/>
  <c r="O12216" i="58"/>
  <c r="P12216" i="58" s="1"/>
  <c r="O12215" i="58"/>
  <c r="P12215" i="58" s="1"/>
  <c r="Q12215" i="58" s="1"/>
  <c r="N12215" i="58"/>
  <c r="O12214" i="58"/>
  <c r="P12214" i="58" s="1"/>
  <c r="K12214" i="58"/>
  <c r="L12214" i="58" s="1"/>
  <c r="L12208" i="58" s="1"/>
  <c r="O12213" i="58"/>
  <c r="P12213" i="58" s="1"/>
  <c r="O12212" i="58"/>
  <c r="P12212" i="58" s="1"/>
  <c r="I12212" i="58"/>
  <c r="O12211" i="58"/>
  <c r="P12211" i="58" s="1"/>
  <c r="I12211" i="58"/>
  <c r="J12211" i="58" s="1"/>
  <c r="P12210" i="58"/>
  <c r="O12210" i="58"/>
  <c r="I12210" i="58"/>
  <c r="J12210" i="58" s="1"/>
  <c r="O12209" i="58"/>
  <c r="P12209" i="58" s="1"/>
  <c r="O12208" i="58"/>
  <c r="P12208" i="58" s="1"/>
  <c r="Q12208" i="58" s="1"/>
  <c r="N12208" i="58"/>
  <c r="P12207" i="58"/>
  <c r="O12207" i="58"/>
  <c r="K12207" i="58"/>
  <c r="L12207" i="58" s="1"/>
  <c r="L12201" i="58" s="1"/>
  <c r="P12206" i="58"/>
  <c r="O12206" i="58"/>
  <c r="O12205" i="58"/>
  <c r="P12205" i="58" s="1"/>
  <c r="I12205" i="58"/>
  <c r="O12204" i="58"/>
  <c r="P12204" i="58" s="1"/>
  <c r="I12204" i="58"/>
  <c r="J12204" i="58" s="1"/>
  <c r="P12203" i="58"/>
  <c r="O12203" i="58"/>
  <c r="I12203" i="58"/>
  <c r="J12203" i="58" s="1"/>
  <c r="P12202" i="58"/>
  <c r="O12202" i="58"/>
  <c r="O12201" i="58"/>
  <c r="P12201" i="58" s="1"/>
  <c r="Q12201" i="58" s="1"/>
  <c r="N12201" i="58"/>
  <c r="P12200" i="58"/>
  <c r="O12200" i="58"/>
  <c r="K12200" i="58"/>
  <c r="L12200" i="58" s="1"/>
  <c r="L12194" i="58" s="1"/>
  <c r="O12199" i="58"/>
  <c r="P12199" i="58" s="1"/>
  <c r="O12198" i="58"/>
  <c r="P12198" i="58" s="1"/>
  <c r="I12198" i="58"/>
  <c r="J12198" i="58" s="1"/>
  <c r="O12197" i="58"/>
  <c r="P12197" i="58" s="1"/>
  <c r="I12197" i="58"/>
  <c r="J12197" i="58" s="1"/>
  <c r="O12196" i="58"/>
  <c r="P12196" i="58" s="1"/>
  <c r="I12196" i="58"/>
  <c r="J12196" i="58" s="1"/>
  <c r="O12195" i="58"/>
  <c r="P12195" i="58" s="1"/>
  <c r="O12194" i="58"/>
  <c r="P12194" i="58" s="1"/>
  <c r="N12194" i="58"/>
  <c r="O12193" i="58"/>
  <c r="P12193" i="58" s="1"/>
  <c r="K12193" i="58"/>
  <c r="L12193" i="58" s="1"/>
  <c r="O12192" i="58"/>
  <c r="P12192" i="58" s="1"/>
  <c r="O12191" i="58"/>
  <c r="P12191" i="58" s="1"/>
  <c r="I12191" i="58"/>
  <c r="J12191" i="58" s="1"/>
  <c r="P12190" i="58"/>
  <c r="O12190" i="58"/>
  <c r="I12190" i="58"/>
  <c r="J12190" i="58" s="1"/>
  <c r="O12189" i="58"/>
  <c r="P12189" i="58" s="1"/>
  <c r="J12189" i="58"/>
  <c r="I12189" i="58"/>
  <c r="O12188" i="58"/>
  <c r="P12188" i="58" s="1"/>
  <c r="O12187" i="58"/>
  <c r="P12187" i="58" s="1"/>
  <c r="N12187" i="58"/>
  <c r="L12187" i="58"/>
  <c r="O12186" i="58"/>
  <c r="P12186" i="58" s="1"/>
  <c r="K12186" i="58"/>
  <c r="L12186" i="58" s="1"/>
  <c r="L12180" i="58" s="1"/>
  <c r="O12185" i="58"/>
  <c r="P12185" i="58" s="1"/>
  <c r="P12184" i="58"/>
  <c r="O12184" i="58"/>
  <c r="J12184" i="58"/>
  <c r="I12184" i="58"/>
  <c r="O12183" i="58"/>
  <c r="P12183" i="58" s="1"/>
  <c r="J12183" i="58"/>
  <c r="I12183" i="58"/>
  <c r="O12182" i="58"/>
  <c r="P12182" i="58" s="1"/>
  <c r="I12182" i="58"/>
  <c r="J12182" i="58" s="1"/>
  <c r="O12181" i="58"/>
  <c r="P12181" i="58" s="1"/>
  <c r="O12180" i="58"/>
  <c r="P12180" i="58" s="1"/>
  <c r="N12180" i="58"/>
  <c r="O12179" i="58"/>
  <c r="P12179" i="58" s="1"/>
  <c r="K12179" i="58"/>
  <c r="L12179" i="58" s="1"/>
  <c r="L12173" i="58" s="1"/>
  <c r="O12178" i="58"/>
  <c r="P12178" i="58" s="1"/>
  <c r="P12177" i="58"/>
  <c r="O12177" i="58"/>
  <c r="I12177" i="58"/>
  <c r="J12177" i="58" s="1"/>
  <c r="O12176" i="58"/>
  <c r="P12176" i="58" s="1"/>
  <c r="I12176" i="58"/>
  <c r="J12176" i="58" s="1"/>
  <c r="O12175" i="58"/>
  <c r="P12175" i="58" s="1"/>
  <c r="I12175" i="58"/>
  <c r="J12175" i="58" s="1"/>
  <c r="O12174" i="58"/>
  <c r="P12174" i="58" s="1"/>
  <c r="P12173" i="58"/>
  <c r="O12173" i="58"/>
  <c r="N12173" i="58"/>
  <c r="O12172" i="58"/>
  <c r="P12172" i="58" s="1"/>
  <c r="K12172" i="58"/>
  <c r="L12172" i="58" s="1"/>
  <c r="L12166" i="58" s="1"/>
  <c r="O12171" i="58"/>
  <c r="P12171" i="58" s="1"/>
  <c r="O12170" i="58"/>
  <c r="P12170" i="58" s="1"/>
  <c r="I12170" i="58"/>
  <c r="J12170" i="58" s="1"/>
  <c r="O12169" i="58"/>
  <c r="P12169" i="58" s="1"/>
  <c r="I12169" i="58"/>
  <c r="J12169" i="58" s="1"/>
  <c r="O12168" i="58"/>
  <c r="P12168" i="58" s="1"/>
  <c r="I12168" i="58"/>
  <c r="J12168" i="58" s="1"/>
  <c r="O12167" i="58"/>
  <c r="P12167" i="58" s="1"/>
  <c r="O12166" i="58"/>
  <c r="P12166" i="58" s="1"/>
  <c r="N12166" i="58"/>
  <c r="O12165" i="58"/>
  <c r="P12165" i="58" s="1"/>
  <c r="K12165" i="58"/>
  <c r="L12165" i="58" s="1"/>
  <c r="L12159" i="58" s="1"/>
  <c r="O12164" i="58"/>
  <c r="P12164" i="58" s="1"/>
  <c r="O12163" i="58"/>
  <c r="P12163" i="58" s="1"/>
  <c r="I12163" i="58"/>
  <c r="J12163" i="58" s="1"/>
  <c r="O12162" i="58"/>
  <c r="P12162" i="58" s="1"/>
  <c r="I12162" i="58"/>
  <c r="J12162" i="58" s="1"/>
  <c r="O12161" i="58"/>
  <c r="P12161" i="58" s="1"/>
  <c r="I12161" i="58"/>
  <c r="J12161" i="58" s="1"/>
  <c r="O12160" i="58"/>
  <c r="P12160" i="58" s="1"/>
  <c r="O12159" i="58"/>
  <c r="P12159" i="58" s="1"/>
  <c r="N12159" i="58"/>
  <c r="O12158" i="58"/>
  <c r="P12158" i="58" s="1"/>
  <c r="K12158" i="58"/>
  <c r="L12158" i="58" s="1"/>
  <c r="L12152" i="58" s="1"/>
  <c r="O12157" i="58"/>
  <c r="P12157" i="58" s="1"/>
  <c r="O12156" i="58"/>
  <c r="P12156" i="58" s="1"/>
  <c r="I12156" i="58"/>
  <c r="J12156" i="58" s="1"/>
  <c r="O12155" i="58"/>
  <c r="P12155" i="58" s="1"/>
  <c r="I12155" i="58"/>
  <c r="J12155" i="58" s="1"/>
  <c r="P12154" i="58"/>
  <c r="O12154" i="58"/>
  <c r="I12154" i="58"/>
  <c r="J12154" i="58" s="1"/>
  <c r="O12153" i="58"/>
  <c r="P12153" i="58" s="1"/>
  <c r="O12152" i="58"/>
  <c r="P12152" i="58" s="1"/>
  <c r="Q12152" i="58" s="1"/>
  <c r="Q12151" i="58" s="1"/>
  <c r="R12151" i="58" s="1"/>
  <c r="N12152" i="58"/>
  <c r="O12151" i="58"/>
  <c r="P12151" i="58" s="1"/>
  <c r="K12151" i="58"/>
  <c r="L12151" i="58" s="1"/>
  <c r="L12145" i="58" s="1"/>
  <c r="O12150" i="58"/>
  <c r="P12150" i="58" s="1"/>
  <c r="O12149" i="58"/>
  <c r="P12149" i="58" s="1"/>
  <c r="I12149" i="58"/>
  <c r="J12149" i="58" s="1"/>
  <c r="O12148" i="58"/>
  <c r="P12148" i="58" s="1"/>
  <c r="I12148" i="58"/>
  <c r="J12148" i="58" s="1"/>
  <c r="O12147" i="58"/>
  <c r="P12147" i="58" s="1"/>
  <c r="I12147" i="58"/>
  <c r="J12147" i="58" s="1"/>
  <c r="O12146" i="58"/>
  <c r="P12146" i="58" s="1"/>
  <c r="O12145" i="58"/>
  <c r="P12145" i="58" s="1"/>
  <c r="Q12145" i="58" s="1"/>
  <c r="N12145" i="58"/>
  <c r="O12144" i="58"/>
  <c r="P12144" i="58" s="1"/>
  <c r="Q12144" i="58" s="1"/>
  <c r="K12144" i="58"/>
  <c r="L12144" i="58" s="1"/>
  <c r="L12138" i="58" s="1"/>
  <c r="O12143" i="58"/>
  <c r="P12143" i="58" s="1"/>
  <c r="O12142" i="58"/>
  <c r="P12142" i="58" s="1"/>
  <c r="I12142" i="58"/>
  <c r="J12142" i="58" s="1"/>
  <c r="O12141" i="58"/>
  <c r="P12141" i="58" s="1"/>
  <c r="I12141" i="58"/>
  <c r="J12141" i="58" s="1"/>
  <c r="O12140" i="58"/>
  <c r="P12140" i="58" s="1"/>
  <c r="I12140" i="58"/>
  <c r="J12140" i="58" s="1"/>
  <c r="O12139" i="58"/>
  <c r="P12139" i="58" s="1"/>
  <c r="O12138" i="58"/>
  <c r="P12138" i="58" s="1"/>
  <c r="Q12138" i="58" s="1"/>
  <c r="N12138" i="58"/>
  <c r="P12137" i="58"/>
  <c r="Q12137" i="58" s="1"/>
  <c r="R12137" i="58" s="1"/>
  <c r="O12137" i="58"/>
  <c r="K12137" i="58"/>
  <c r="L12137" i="58" s="1"/>
  <c r="L12131" i="58" s="1"/>
  <c r="P12136" i="58"/>
  <c r="O12136" i="58"/>
  <c r="O12135" i="58"/>
  <c r="P12135" i="58" s="1"/>
  <c r="I12135" i="58"/>
  <c r="J12135" i="58" s="1"/>
  <c r="O12134" i="58"/>
  <c r="P12134" i="58" s="1"/>
  <c r="I12134" i="58"/>
  <c r="J12134" i="58" s="1"/>
  <c r="P12133" i="58"/>
  <c r="O12133" i="58"/>
  <c r="J12133" i="58"/>
  <c r="I12133" i="58"/>
  <c r="O12132" i="58"/>
  <c r="P12132" i="58" s="1"/>
  <c r="O12131" i="58"/>
  <c r="P12131" i="58" s="1"/>
  <c r="Q12131" i="58" s="1"/>
  <c r="N12131" i="58"/>
  <c r="O12130" i="58"/>
  <c r="P12130" i="58" s="1"/>
  <c r="K12130" i="58"/>
  <c r="L12130" i="58" s="1"/>
  <c r="L12124" i="58" s="1"/>
  <c r="O12129" i="58"/>
  <c r="P12129" i="58" s="1"/>
  <c r="P12128" i="58"/>
  <c r="O12128" i="58"/>
  <c r="I12128" i="58"/>
  <c r="J12128" i="58" s="1"/>
  <c r="J12124" i="58" s="1"/>
  <c r="O12127" i="58"/>
  <c r="P12127" i="58" s="1"/>
  <c r="I12127" i="58"/>
  <c r="J12127" i="58" s="1"/>
  <c r="P12126" i="58"/>
  <c r="O12126" i="58"/>
  <c r="I12126" i="58"/>
  <c r="J12126" i="58" s="1"/>
  <c r="O12125" i="58"/>
  <c r="P12125" i="58" s="1"/>
  <c r="O12124" i="58"/>
  <c r="P12124" i="58" s="1"/>
  <c r="Q12124" i="58" s="1"/>
  <c r="N12124" i="58"/>
  <c r="P12123" i="58"/>
  <c r="O12123" i="58"/>
  <c r="K12123" i="58"/>
  <c r="L12123" i="58" s="1"/>
  <c r="L12118" i="58" s="1"/>
  <c r="O12122" i="58"/>
  <c r="P12122" i="58" s="1"/>
  <c r="O12121" i="58"/>
  <c r="P12121" i="58" s="1"/>
  <c r="I12121" i="58"/>
  <c r="J12121" i="58" s="1"/>
  <c r="O12120" i="58"/>
  <c r="P12120" i="58" s="1"/>
  <c r="I12120" i="58"/>
  <c r="J12120" i="58" s="1"/>
  <c r="O12119" i="58"/>
  <c r="P12119" i="58" s="1"/>
  <c r="O12118" i="58"/>
  <c r="P12118" i="58" s="1"/>
  <c r="Q12118" i="58" s="1"/>
  <c r="N12118" i="58"/>
  <c r="O12117" i="58"/>
  <c r="P12117" i="58" s="1"/>
  <c r="L12117" i="58"/>
  <c r="L12112" i="58" s="1"/>
  <c r="K12117" i="58"/>
  <c r="O12116" i="58"/>
  <c r="P12116" i="58" s="1"/>
  <c r="P12115" i="58"/>
  <c r="O12115" i="58"/>
  <c r="I12115" i="58"/>
  <c r="J12115" i="58" s="1"/>
  <c r="O12114" i="58"/>
  <c r="P12114" i="58" s="1"/>
  <c r="I12114" i="58"/>
  <c r="J12114" i="58" s="1"/>
  <c r="O12113" i="58"/>
  <c r="P12113" i="58" s="1"/>
  <c r="O12112" i="58"/>
  <c r="P12112" i="58" s="1"/>
  <c r="Q12112" i="58" s="1"/>
  <c r="N12112" i="58"/>
  <c r="P12111" i="58"/>
  <c r="O12111" i="58"/>
  <c r="K12111" i="58"/>
  <c r="L12111" i="58" s="1"/>
  <c r="O12110" i="58"/>
  <c r="P12110" i="58" s="1"/>
  <c r="P12109" i="58"/>
  <c r="O12109" i="58"/>
  <c r="I12109" i="58"/>
  <c r="J12109" i="58" s="1"/>
  <c r="O12108" i="58"/>
  <c r="P12108" i="58" s="1"/>
  <c r="I12108" i="58"/>
  <c r="J12108" i="58" s="1"/>
  <c r="J12106" i="58" s="1"/>
  <c r="O12107" i="58"/>
  <c r="P12107" i="58" s="1"/>
  <c r="O12106" i="58"/>
  <c r="P12106" i="58" s="1"/>
  <c r="Q12106" i="58" s="1"/>
  <c r="N12106" i="58"/>
  <c r="L12106" i="58"/>
  <c r="P12105" i="58"/>
  <c r="O12105" i="58"/>
  <c r="L12105" i="58"/>
  <c r="L12100" i="58" s="1"/>
  <c r="K12105" i="58"/>
  <c r="O12104" i="58"/>
  <c r="P12104" i="58" s="1"/>
  <c r="O12103" i="58"/>
  <c r="P12103" i="58" s="1"/>
  <c r="I12103" i="58"/>
  <c r="J12103" i="58" s="1"/>
  <c r="P12102" i="58"/>
  <c r="O12102" i="58"/>
  <c r="I12102" i="58"/>
  <c r="J12102" i="58" s="1"/>
  <c r="O12101" i="58"/>
  <c r="P12101" i="58" s="1"/>
  <c r="P12100" i="58"/>
  <c r="Q12100" i="58" s="1"/>
  <c r="O12100" i="58"/>
  <c r="N12100" i="58"/>
  <c r="O12099" i="58"/>
  <c r="P12099" i="58" s="1"/>
  <c r="N12099" i="58"/>
  <c r="N12091" i="58" s="1"/>
  <c r="P12098" i="58"/>
  <c r="O12098" i="58"/>
  <c r="O12097" i="58"/>
  <c r="P12097" i="58" s="1"/>
  <c r="K12097" i="58"/>
  <c r="L12097" i="58" s="1"/>
  <c r="L12091" i="58" s="1"/>
  <c r="O12096" i="58"/>
  <c r="P12096" i="58" s="1"/>
  <c r="O12095" i="58"/>
  <c r="P12095" i="58" s="1"/>
  <c r="J12095" i="58"/>
  <c r="I12095" i="58"/>
  <c r="O12094" i="58"/>
  <c r="P12094" i="58" s="1"/>
  <c r="I12094" i="58"/>
  <c r="J12094" i="58" s="1"/>
  <c r="O12093" i="58"/>
  <c r="P12093" i="58" s="1"/>
  <c r="J12093" i="58"/>
  <c r="I12093" i="58"/>
  <c r="O12092" i="58"/>
  <c r="P12092" i="58" s="1"/>
  <c r="O12091" i="58"/>
  <c r="P12091" i="58" s="1"/>
  <c r="Q12091" i="58" s="1"/>
  <c r="O12090" i="58"/>
  <c r="P12090" i="58" s="1"/>
  <c r="O12089" i="58"/>
  <c r="P12089" i="58" s="1"/>
  <c r="O12088" i="58"/>
  <c r="P12088" i="58" s="1"/>
  <c r="K12088" i="58"/>
  <c r="L12088" i="58" s="1"/>
  <c r="L12082" i="58" s="1"/>
  <c r="P12087" i="58"/>
  <c r="O12087" i="58"/>
  <c r="O12086" i="58"/>
  <c r="P12086" i="58" s="1"/>
  <c r="I12086" i="58"/>
  <c r="J12086" i="58" s="1"/>
  <c r="O12085" i="58"/>
  <c r="P12085" i="58" s="1"/>
  <c r="I12085" i="58"/>
  <c r="J12085" i="58" s="1"/>
  <c r="P12084" i="58"/>
  <c r="O12084" i="58"/>
  <c r="I12084" i="58"/>
  <c r="J12084" i="58" s="1"/>
  <c r="O12083" i="58"/>
  <c r="P12083" i="58" s="1"/>
  <c r="O12082" i="58"/>
  <c r="P12082" i="58" s="1"/>
  <c r="Q12082" i="58" s="1"/>
  <c r="O12081" i="58"/>
  <c r="P12081" i="58" s="1"/>
  <c r="Q12081" i="58" s="1"/>
  <c r="R12081" i="58" s="1"/>
  <c r="O12080" i="58"/>
  <c r="P12080" i="58" s="1"/>
  <c r="P12079" i="58"/>
  <c r="O12079" i="58"/>
  <c r="K12079" i="58"/>
  <c r="L12079" i="58" s="1"/>
  <c r="L12073" i="58" s="1"/>
  <c r="O12078" i="58"/>
  <c r="P12078" i="58" s="1"/>
  <c r="O12077" i="58"/>
  <c r="P12077" i="58" s="1"/>
  <c r="I12077" i="58"/>
  <c r="J12077" i="58" s="1"/>
  <c r="O12076" i="58"/>
  <c r="P12076" i="58" s="1"/>
  <c r="I12076" i="58"/>
  <c r="J12076" i="58" s="1"/>
  <c r="P12075" i="58"/>
  <c r="O12075" i="58"/>
  <c r="I12075" i="58"/>
  <c r="J12075" i="58" s="1"/>
  <c r="O12074" i="58"/>
  <c r="P12074" i="58" s="1"/>
  <c r="P12073" i="58"/>
  <c r="Q12073" i="58" s="1"/>
  <c r="Q12072" i="58" s="1"/>
  <c r="R12072" i="58" s="1"/>
  <c r="O12073" i="58"/>
  <c r="O12072" i="58"/>
  <c r="P12072" i="58" s="1"/>
  <c r="K12072" i="58"/>
  <c r="L12072" i="58" s="1"/>
  <c r="L12066" i="58" s="1"/>
  <c r="O12071" i="58"/>
  <c r="P12071" i="58" s="1"/>
  <c r="O12070" i="58"/>
  <c r="P12070" i="58" s="1"/>
  <c r="I12070" i="58"/>
  <c r="J12070" i="58" s="1"/>
  <c r="O12069" i="58"/>
  <c r="P12069" i="58" s="1"/>
  <c r="I12069" i="58"/>
  <c r="J12069" i="58" s="1"/>
  <c r="O12068" i="58"/>
  <c r="P12068" i="58" s="1"/>
  <c r="I12068" i="58"/>
  <c r="J12068" i="58" s="1"/>
  <c r="O12067" i="58"/>
  <c r="P12067" i="58" s="1"/>
  <c r="O12066" i="58"/>
  <c r="P12066" i="58" s="1"/>
  <c r="Q12066" i="58" s="1"/>
  <c r="N12066" i="58"/>
  <c r="P12065" i="58"/>
  <c r="O12065" i="58"/>
  <c r="K12065" i="58"/>
  <c r="L12065" i="58" s="1"/>
  <c r="L12059" i="58" s="1"/>
  <c r="O12064" i="58"/>
  <c r="P12064" i="58" s="1"/>
  <c r="O12063" i="58"/>
  <c r="P12063" i="58" s="1"/>
  <c r="I12063" i="58"/>
  <c r="J12063" i="58" s="1"/>
  <c r="O12062" i="58"/>
  <c r="P12062" i="58" s="1"/>
  <c r="I12062" i="58"/>
  <c r="J12062" i="58" s="1"/>
  <c r="O12061" i="58"/>
  <c r="P12061" i="58" s="1"/>
  <c r="I12061" i="58"/>
  <c r="J12061" i="58" s="1"/>
  <c r="J12059" i="58" s="1"/>
  <c r="O12060" i="58"/>
  <c r="P12060" i="58" s="1"/>
  <c r="P12059" i="58"/>
  <c r="Q12059" i="58" s="1"/>
  <c r="O12059" i="58"/>
  <c r="N12059" i="58"/>
  <c r="O12058" i="58"/>
  <c r="P12058" i="58" s="1"/>
  <c r="K12058" i="58"/>
  <c r="L12058" i="58" s="1"/>
  <c r="L12052" i="58" s="1"/>
  <c r="O12057" i="58"/>
  <c r="P12057" i="58" s="1"/>
  <c r="O12056" i="58"/>
  <c r="P12056" i="58" s="1"/>
  <c r="I12056" i="58"/>
  <c r="J12056" i="58" s="1"/>
  <c r="O12055" i="58"/>
  <c r="P12055" i="58" s="1"/>
  <c r="I12055" i="58"/>
  <c r="J12055" i="58" s="1"/>
  <c r="O12054" i="58"/>
  <c r="P12054" i="58" s="1"/>
  <c r="I12054" i="58"/>
  <c r="J12054" i="58" s="1"/>
  <c r="J12052" i="58" s="1"/>
  <c r="O12053" i="58"/>
  <c r="P12053" i="58" s="1"/>
  <c r="O12052" i="58"/>
  <c r="P12052" i="58" s="1"/>
  <c r="Q12052" i="58" s="1"/>
  <c r="N12052" i="58"/>
  <c r="P12051" i="58"/>
  <c r="Q12051" i="58" s="1"/>
  <c r="R12051" i="58" s="1"/>
  <c r="O12051" i="58"/>
  <c r="K12051" i="58"/>
  <c r="L12051" i="58" s="1"/>
  <c r="L12045" i="58" s="1"/>
  <c r="P12050" i="58"/>
  <c r="O12050" i="58"/>
  <c r="O12049" i="58"/>
  <c r="P12049" i="58" s="1"/>
  <c r="I12049" i="58"/>
  <c r="J12049" i="58" s="1"/>
  <c r="O12048" i="58"/>
  <c r="P12048" i="58" s="1"/>
  <c r="I12048" i="58"/>
  <c r="J12048" i="58" s="1"/>
  <c r="P12047" i="58"/>
  <c r="O12047" i="58"/>
  <c r="I12047" i="58"/>
  <c r="J12047" i="58" s="1"/>
  <c r="O12046" i="58"/>
  <c r="P12046" i="58" s="1"/>
  <c r="P12045" i="58"/>
  <c r="Q12045" i="58" s="1"/>
  <c r="O12045" i="58"/>
  <c r="N12045" i="58"/>
  <c r="O12044" i="58"/>
  <c r="P12044" i="58" s="1"/>
  <c r="K12044" i="58"/>
  <c r="L12044" i="58" s="1"/>
  <c r="L12038" i="58" s="1"/>
  <c r="O12043" i="58"/>
  <c r="P12043" i="58" s="1"/>
  <c r="O12042" i="58"/>
  <c r="P12042" i="58" s="1"/>
  <c r="I12042" i="58"/>
  <c r="J12042" i="58" s="1"/>
  <c r="O12041" i="58"/>
  <c r="P12041" i="58" s="1"/>
  <c r="I12041" i="58"/>
  <c r="J12041" i="58" s="1"/>
  <c r="O12040" i="58"/>
  <c r="P12040" i="58" s="1"/>
  <c r="I12040" i="58"/>
  <c r="J12040" i="58" s="1"/>
  <c r="P12039" i="58"/>
  <c r="O12039" i="58"/>
  <c r="O12038" i="58"/>
  <c r="P12038" i="58" s="1"/>
  <c r="Q12038" i="58" s="1"/>
  <c r="N12038" i="58"/>
  <c r="O12037" i="58"/>
  <c r="P12037" i="58" s="1"/>
  <c r="Q12037" i="58" s="1"/>
  <c r="R12037" i="58" s="1"/>
  <c r="K12037" i="58"/>
  <c r="L12037" i="58" s="1"/>
  <c r="L12031" i="58" s="1"/>
  <c r="O12036" i="58"/>
  <c r="P12036" i="58" s="1"/>
  <c r="Q12036" i="58" s="1"/>
  <c r="R12036" i="58" s="1"/>
  <c r="O12035" i="58"/>
  <c r="P12035" i="58" s="1"/>
  <c r="I12035" i="58"/>
  <c r="J12035" i="58" s="1"/>
  <c r="O12034" i="58"/>
  <c r="P12034" i="58" s="1"/>
  <c r="I12034" i="58"/>
  <c r="J12034" i="58" s="1"/>
  <c r="P12033" i="58"/>
  <c r="O12033" i="58"/>
  <c r="I12033" i="58"/>
  <c r="J12033" i="58" s="1"/>
  <c r="O12032" i="58"/>
  <c r="P12032" i="58" s="1"/>
  <c r="O12031" i="58"/>
  <c r="P12031" i="58" s="1"/>
  <c r="Q12031" i="58" s="1"/>
  <c r="N12031" i="58"/>
  <c r="O12030" i="58"/>
  <c r="P12030" i="58" s="1"/>
  <c r="K12030" i="58"/>
  <c r="L12030" i="58" s="1"/>
  <c r="L12024" i="58" s="1"/>
  <c r="O12029" i="58"/>
  <c r="P12029" i="58" s="1"/>
  <c r="O12028" i="58"/>
  <c r="P12028" i="58" s="1"/>
  <c r="I12028" i="58"/>
  <c r="J12028" i="58" s="1"/>
  <c r="O12027" i="58"/>
  <c r="P12027" i="58" s="1"/>
  <c r="I12027" i="58"/>
  <c r="J12027" i="58" s="1"/>
  <c r="O12026" i="58"/>
  <c r="P12026" i="58" s="1"/>
  <c r="J12026" i="58"/>
  <c r="I12026" i="58"/>
  <c r="O12025" i="58"/>
  <c r="P12025" i="58" s="1"/>
  <c r="O12024" i="58"/>
  <c r="P12024" i="58" s="1"/>
  <c r="Q12024" i="58" s="1"/>
  <c r="N12024" i="58"/>
  <c r="O12023" i="58"/>
  <c r="P12023" i="58" s="1"/>
  <c r="K12023" i="58"/>
  <c r="L12023" i="58" s="1"/>
  <c r="L12017" i="58" s="1"/>
  <c r="O12022" i="58"/>
  <c r="P12022" i="58" s="1"/>
  <c r="P12021" i="58"/>
  <c r="O12021" i="58"/>
  <c r="I12021" i="58"/>
  <c r="J12021" i="58" s="1"/>
  <c r="O12020" i="58"/>
  <c r="P12020" i="58" s="1"/>
  <c r="I12020" i="58"/>
  <c r="J12020" i="58" s="1"/>
  <c r="O12019" i="58"/>
  <c r="P12019" i="58" s="1"/>
  <c r="J12019" i="58"/>
  <c r="J12017" i="58" s="1"/>
  <c r="I12019" i="58"/>
  <c r="O12018" i="58"/>
  <c r="P12018" i="58" s="1"/>
  <c r="O12017" i="58"/>
  <c r="P12017" i="58" s="1"/>
  <c r="Q12017" i="58" s="1"/>
  <c r="N12017" i="58"/>
  <c r="O12016" i="58"/>
  <c r="P12016" i="58" s="1"/>
  <c r="K12016" i="58"/>
  <c r="L12016" i="58" s="1"/>
  <c r="L12010" i="58" s="1"/>
  <c r="P12015" i="58"/>
  <c r="O12015" i="58"/>
  <c r="P12014" i="58"/>
  <c r="O12014" i="58"/>
  <c r="I12014" i="58"/>
  <c r="J12014" i="58" s="1"/>
  <c r="O12013" i="58"/>
  <c r="P12013" i="58" s="1"/>
  <c r="I12013" i="58"/>
  <c r="J12013" i="58" s="1"/>
  <c r="O12012" i="58"/>
  <c r="P12012" i="58" s="1"/>
  <c r="I12012" i="58"/>
  <c r="J12012" i="58" s="1"/>
  <c r="O12011" i="58"/>
  <c r="P12011" i="58" s="1"/>
  <c r="O12010" i="58"/>
  <c r="P12010" i="58" s="1"/>
  <c r="Q12010" i="58" s="1"/>
  <c r="N12010" i="58"/>
  <c r="O12009" i="58"/>
  <c r="P12009" i="58" s="1"/>
  <c r="K12009" i="58"/>
  <c r="L12009" i="58" s="1"/>
  <c r="L12003" i="58" s="1"/>
  <c r="O12008" i="58"/>
  <c r="P12008" i="58" s="1"/>
  <c r="O12007" i="58"/>
  <c r="P12007" i="58" s="1"/>
  <c r="I12007" i="58"/>
  <c r="J12007" i="58" s="1"/>
  <c r="O12006" i="58"/>
  <c r="P12006" i="58" s="1"/>
  <c r="I12006" i="58"/>
  <c r="J12006" i="58" s="1"/>
  <c r="J12003" i="58" s="1"/>
  <c r="O12005" i="58"/>
  <c r="P12005" i="58" s="1"/>
  <c r="I12005" i="58"/>
  <c r="J12005" i="58" s="1"/>
  <c r="O12004" i="58"/>
  <c r="P12004" i="58" s="1"/>
  <c r="Q12003" i="58"/>
  <c r="P12003" i="58"/>
  <c r="O12003" i="58"/>
  <c r="N12003" i="58"/>
  <c r="O12002" i="58"/>
  <c r="P12002" i="58" s="1"/>
  <c r="K12002" i="58"/>
  <c r="L12002" i="58" s="1"/>
  <c r="L11996" i="58" s="1"/>
  <c r="O12001" i="58"/>
  <c r="P12001" i="58" s="1"/>
  <c r="O12000" i="58"/>
  <c r="P12000" i="58" s="1"/>
  <c r="I12000" i="58"/>
  <c r="J12000" i="58" s="1"/>
  <c r="O11999" i="58"/>
  <c r="P11999" i="58" s="1"/>
  <c r="I11999" i="58"/>
  <c r="J11999" i="58" s="1"/>
  <c r="O11998" i="58"/>
  <c r="P11998" i="58" s="1"/>
  <c r="I11998" i="58"/>
  <c r="J11998" i="58" s="1"/>
  <c r="O11997" i="58"/>
  <c r="P11997" i="58" s="1"/>
  <c r="O11996" i="58"/>
  <c r="P11996" i="58" s="1"/>
  <c r="Q11996" i="58" s="1"/>
  <c r="Q11995" i="58" s="1"/>
  <c r="R11995" i="58" s="1"/>
  <c r="N11996" i="58"/>
  <c r="O11995" i="58"/>
  <c r="P11995" i="58" s="1"/>
  <c r="K11995" i="58"/>
  <c r="L11995" i="58" s="1"/>
  <c r="L11990" i="58" s="1"/>
  <c r="O11994" i="58"/>
  <c r="P11994" i="58" s="1"/>
  <c r="O11993" i="58"/>
  <c r="P11993" i="58" s="1"/>
  <c r="I11993" i="58"/>
  <c r="J11993" i="58" s="1"/>
  <c r="O11992" i="58"/>
  <c r="P11992" i="58" s="1"/>
  <c r="I11992" i="58"/>
  <c r="J11992" i="58" s="1"/>
  <c r="O11991" i="58"/>
  <c r="P11991" i="58" s="1"/>
  <c r="O11990" i="58"/>
  <c r="P11990" i="58" s="1"/>
  <c r="Q11990" i="58" s="1"/>
  <c r="N11990" i="58"/>
  <c r="O11989" i="58"/>
  <c r="P11989" i="58" s="1"/>
  <c r="K11989" i="58"/>
  <c r="L11989" i="58" s="1"/>
  <c r="L11984" i="58" s="1"/>
  <c r="P11988" i="58"/>
  <c r="O11988" i="58"/>
  <c r="O11987" i="58"/>
  <c r="P11987" i="58" s="1"/>
  <c r="I11987" i="58"/>
  <c r="J11987" i="58" s="1"/>
  <c r="O11986" i="58"/>
  <c r="P11986" i="58" s="1"/>
  <c r="I11986" i="58"/>
  <c r="J11986" i="58" s="1"/>
  <c r="O11985" i="58"/>
  <c r="P11985" i="58" s="1"/>
  <c r="P11984" i="58"/>
  <c r="Q11984" i="58" s="1"/>
  <c r="O11984" i="58"/>
  <c r="N11984" i="58"/>
  <c r="O11983" i="58"/>
  <c r="P11983" i="58" s="1"/>
  <c r="Q11983" i="58" s="1"/>
  <c r="K11983" i="58"/>
  <c r="L11983" i="58" s="1"/>
  <c r="L11978" i="58" s="1"/>
  <c r="O11982" i="58"/>
  <c r="P11982" i="58" s="1"/>
  <c r="P11981" i="58"/>
  <c r="O11981" i="58"/>
  <c r="I11981" i="58"/>
  <c r="J11981" i="58" s="1"/>
  <c r="P11980" i="58"/>
  <c r="O11980" i="58"/>
  <c r="I11980" i="58"/>
  <c r="J11980" i="58" s="1"/>
  <c r="P11979" i="58"/>
  <c r="O11979" i="58"/>
  <c r="O11978" i="58"/>
  <c r="P11978" i="58" s="1"/>
  <c r="Q11978" i="58" s="1"/>
  <c r="N11978" i="58"/>
  <c r="O11977" i="58"/>
  <c r="P11977" i="58" s="1"/>
  <c r="Q11977" i="58" s="1"/>
  <c r="K11977" i="58"/>
  <c r="L11977" i="58" s="1"/>
  <c r="L11972" i="58" s="1"/>
  <c r="O11976" i="58"/>
  <c r="P11976" i="58" s="1"/>
  <c r="O11975" i="58"/>
  <c r="P11975" i="58" s="1"/>
  <c r="J11975" i="58"/>
  <c r="I11975" i="58"/>
  <c r="O11974" i="58"/>
  <c r="P11974" i="58" s="1"/>
  <c r="I11974" i="58"/>
  <c r="J11974" i="58" s="1"/>
  <c r="P11973" i="58"/>
  <c r="O11973" i="58"/>
  <c r="P11972" i="58"/>
  <c r="Q11972" i="58" s="1"/>
  <c r="O11972" i="58"/>
  <c r="N11972" i="58"/>
  <c r="O11971" i="58"/>
  <c r="P11971" i="58" s="1"/>
  <c r="K11971" i="58"/>
  <c r="L11971" i="58" s="1"/>
  <c r="L11966" i="58" s="1"/>
  <c r="O11970" i="58"/>
  <c r="P11970" i="58" s="1"/>
  <c r="P11969" i="58"/>
  <c r="O11969" i="58"/>
  <c r="I11969" i="58"/>
  <c r="J11969" i="58" s="1"/>
  <c r="P11968" i="58"/>
  <c r="O11968" i="58"/>
  <c r="I11968" i="58"/>
  <c r="J11968" i="58" s="1"/>
  <c r="O11967" i="58"/>
  <c r="P11967" i="58" s="1"/>
  <c r="Q11966" i="58"/>
  <c r="P11966" i="58"/>
  <c r="O11966" i="58"/>
  <c r="N11966" i="58"/>
  <c r="O11965" i="58"/>
  <c r="P11965" i="58" s="1"/>
  <c r="K11965" i="58"/>
  <c r="L11965" i="58" s="1"/>
  <c r="L11960" i="58" s="1"/>
  <c r="P11964" i="58"/>
  <c r="O11964" i="58"/>
  <c r="O11963" i="58"/>
  <c r="P11963" i="58" s="1"/>
  <c r="I11963" i="58"/>
  <c r="J11963" i="58" s="1"/>
  <c r="O11962" i="58"/>
  <c r="P11962" i="58" s="1"/>
  <c r="J11962" i="58"/>
  <c r="I11962" i="58"/>
  <c r="O11961" i="58"/>
  <c r="P11961" i="58" s="1"/>
  <c r="O11960" i="58"/>
  <c r="P11960" i="58" s="1"/>
  <c r="Q11960" i="58" s="1"/>
  <c r="N11960" i="58"/>
  <c r="O11959" i="58"/>
  <c r="P11959" i="58" s="1"/>
  <c r="K11959" i="58"/>
  <c r="L11959" i="58" s="1"/>
  <c r="L11954" i="58" s="1"/>
  <c r="O11958" i="58"/>
  <c r="P11958" i="58" s="1"/>
  <c r="P11957" i="58"/>
  <c r="O11957" i="58"/>
  <c r="I11957" i="58"/>
  <c r="J11957" i="58" s="1"/>
  <c r="O11956" i="58"/>
  <c r="P11956" i="58" s="1"/>
  <c r="I11956" i="58"/>
  <c r="J11956" i="58" s="1"/>
  <c r="O11955" i="58"/>
  <c r="P11955" i="58" s="1"/>
  <c r="O11954" i="58"/>
  <c r="P11954" i="58" s="1"/>
  <c r="Q11954" i="58" s="1"/>
  <c r="N11954" i="58"/>
  <c r="P11953" i="58"/>
  <c r="O11953" i="58"/>
  <c r="K11953" i="58"/>
  <c r="L11953" i="58" s="1"/>
  <c r="L11948" i="58" s="1"/>
  <c r="O11952" i="58"/>
  <c r="P11952" i="58" s="1"/>
  <c r="O11951" i="58"/>
  <c r="P11951" i="58" s="1"/>
  <c r="I11951" i="58"/>
  <c r="J11951" i="58" s="1"/>
  <c r="O11950" i="58"/>
  <c r="P11950" i="58" s="1"/>
  <c r="I11950" i="58"/>
  <c r="J11950" i="58" s="1"/>
  <c r="J11948" i="58" s="1"/>
  <c r="O11949" i="58"/>
  <c r="P11949" i="58" s="1"/>
  <c r="O11948" i="58"/>
  <c r="P11948" i="58" s="1"/>
  <c r="Q11948" i="58" s="1"/>
  <c r="N11948" i="58"/>
  <c r="P11947" i="58"/>
  <c r="O11947" i="58"/>
  <c r="K11947" i="58"/>
  <c r="L11947" i="58" s="1"/>
  <c r="L11942" i="58" s="1"/>
  <c r="P11946" i="58"/>
  <c r="O11946" i="58"/>
  <c r="O11945" i="58"/>
  <c r="P11945" i="58" s="1"/>
  <c r="I11945" i="58"/>
  <c r="J11945" i="58" s="1"/>
  <c r="O11944" i="58"/>
  <c r="P11944" i="58" s="1"/>
  <c r="I11944" i="58"/>
  <c r="J11944" i="58" s="1"/>
  <c r="O11943" i="58"/>
  <c r="P11943" i="58" s="1"/>
  <c r="P11942" i="58"/>
  <c r="Q11942" i="58" s="1"/>
  <c r="O11942" i="58"/>
  <c r="N11942" i="58"/>
  <c r="P11941" i="58"/>
  <c r="O11941" i="58"/>
  <c r="K11941" i="58"/>
  <c r="L11941" i="58" s="1"/>
  <c r="L11936" i="58" s="1"/>
  <c r="P11940" i="58"/>
  <c r="O11940" i="58"/>
  <c r="P11939" i="58"/>
  <c r="O11939" i="58"/>
  <c r="I11939" i="58"/>
  <c r="J11939" i="58" s="1"/>
  <c r="O11938" i="58"/>
  <c r="P11938" i="58" s="1"/>
  <c r="I11938" i="58"/>
  <c r="J11938" i="58" s="1"/>
  <c r="O11937" i="58"/>
  <c r="P11937" i="58" s="1"/>
  <c r="O11936" i="58"/>
  <c r="P11936" i="58" s="1"/>
  <c r="Q11936" i="58" s="1"/>
  <c r="N11936" i="58"/>
  <c r="O11935" i="58"/>
  <c r="P11935" i="58" s="1"/>
  <c r="K11935" i="58"/>
  <c r="L11935" i="58" s="1"/>
  <c r="L11930" i="58" s="1"/>
  <c r="O11934" i="58"/>
  <c r="P11934" i="58" s="1"/>
  <c r="O11933" i="58"/>
  <c r="P11933" i="58" s="1"/>
  <c r="I11933" i="58"/>
  <c r="J11933" i="58" s="1"/>
  <c r="J11930" i="58" s="1"/>
  <c r="O11932" i="58"/>
  <c r="P11932" i="58" s="1"/>
  <c r="I11932" i="58"/>
  <c r="J11932" i="58" s="1"/>
  <c r="P11931" i="58"/>
  <c r="O11931" i="58"/>
  <c r="Q11930" i="58"/>
  <c r="O11930" i="58"/>
  <c r="P11930" i="58" s="1"/>
  <c r="N11930" i="58"/>
  <c r="P11929" i="58"/>
  <c r="O11929" i="58"/>
  <c r="K11929" i="58"/>
  <c r="L11929" i="58" s="1"/>
  <c r="L11924" i="58" s="1"/>
  <c r="O11928" i="58"/>
  <c r="P11928" i="58" s="1"/>
  <c r="O11927" i="58"/>
  <c r="P11927" i="58" s="1"/>
  <c r="I11927" i="58"/>
  <c r="J11927" i="58" s="1"/>
  <c r="O11926" i="58"/>
  <c r="P11926" i="58" s="1"/>
  <c r="I11926" i="58"/>
  <c r="J11926" i="58" s="1"/>
  <c r="P11925" i="58"/>
  <c r="O11925" i="58"/>
  <c r="P11924" i="58"/>
  <c r="Q11924" i="58" s="1"/>
  <c r="O11924" i="58"/>
  <c r="N11924" i="58"/>
  <c r="O11923" i="58"/>
  <c r="P11923" i="58" s="1"/>
  <c r="K11923" i="58"/>
  <c r="L11923" i="58" s="1"/>
  <c r="L11918" i="58" s="1"/>
  <c r="P11922" i="58"/>
  <c r="O11922" i="58"/>
  <c r="O11921" i="58"/>
  <c r="P11921" i="58" s="1"/>
  <c r="I11921" i="58"/>
  <c r="J11921" i="58" s="1"/>
  <c r="O11920" i="58"/>
  <c r="P11920" i="58" s="1"/>
  <c r="I11920" i="58"/>
  <c r="J11920" i="58" s="1"/>
  <c r="O11919" i="58"/>
  <c r="P11919" i="58" s="1"/>
  <c r="P11918" i="58"/>
  <c r="Q11918" i="58" s="1"/>
  <c r="O11918" i="58"/>
  <c r="N11918" i="58"/>
  <c r="P11917" i="58"/>
  <c r="O11917" i="58"/>
  <c r="K11917" i="58"/>
  <c r="L11917" i="58" s="1"/>
  <c r="L11912" i="58" s="1"/>
  <c r="O11916" i="58"/>
  <c r="P11916" i="58" s="1"/>
  <c r="O11915" i="58"/>
  <c r="P11915" i="58" s="1"/>
  <c r="I11915" i="58"/>
  <c r="J11915" i="58" s="1"/>
  <c r="O11914" i="58"/>
  <c r="P11914" i="58" s="1"/>
  <c r="I11914" i="58"/>
  <c r="J11914" i="58" s="1"/>
  <c r="J11912" i="58" s="1"/>
  <c r="O11913" i="58"/>
  <c r="P11913" i="58" s="1"/>
  <c r="O11912" i="58"/>
  <c r="P11912" i="58" s="1"/>
  <c r="Q11912" i="58" s="1"/>
  <c r="N11912" i="58"/>
  <c r="O11911" i="58"/>
  <c r="P11911" i="58" s="1"/>
  <c r="L11911" i="58"/>
  <c r="K11911" i="58"/>
  <c r="O11910" i="58"/>
  <c r="P11910" i="58" s="1"/>
  <c r="O11909" i="58"/>
  <c r="P11909" i="58" s="1"/>
  <c r="I11909" i="58"/>
  <c r="J11909" i="58" s="1"/>
  <c r="P11908" i="58"/>
  <c r="O11908" i="58"/>
  <c r="I11908" i="58"/>
  <c r="J11908" i="58" s="1"/>
  <c r="O11907" i="58"/>
  <c r="P11907" i="58" s="1"/>
  <c r="O11906" i="58"/>
  <c r="P11906" i="58" s="1"/>
  <c r="Q11906" i="58" s="1"/>
  <c r="N11906" i="58"/>
  <c r="L11906" i="58"/>
  <c r="J11906" i="58"/>
  <c r="P11905" i="58"/>
  <c r="O11905" i="58"/>
  <c r="L11905" i="58"/>
  <c r="L11900" i="58" s="1"/>
  <c r="K11905" i="58"/>
  <c r="O11904" i="58"/>
  <c r="P11904" i="58" s="1"/>
  <c r="P11903" i="58"/>
  <c r="O11903" i="58"/>
  <c r="I11903" i="58"/>
  <c r="J11903" i="58" s="1"/>
  <c r="O11902" i="58"/>
  <c r="P11902" i="58" s="1"/>
  <c r="I11902" i="58"/>
  <c r="J11902" i="58" s="1"/>
  <c r="J11900" i="58" s="1"/>
  <c r="O11901" i="58"/>
  <c r="P11901" i="58" s="1"/>
  <c r="P11900" i="58"/>
  <c r="Q11900" i="58" s="1"/>
  <c r="O11900" i="58"/>
  <c r="N11900" i="58"/>
  <c r="P11899" i="58"/>
  <c r="O11899" i="58"/>
  <c r="K11899" i="58"/>
  <c r="L11899" i="58" s="1"/>
  <c r="L11894" i="58" s="1"/>
  <c r="O11898" i="58"/>
  <c r="P11898" i="58" s="1"/>
  <c r="O11897" i="58"/>
  <c r="P11897" i="58" s="1"/>
  <c r="I11897" i="58"/>
  <c r="J11897" i="58" s="1"/>
  <c r="O11896" i="58"/>
  <c r="P11896" i="58" s="1"/>
  <c r="I11896" i="58"/>
  <c r="J11896" i="58" s="1"/>
  <c r="O11895" i="58"/>
  <c r="P11895" i="58" s="1"/>
  <c r="O11894" i="58"/>
  <c r="P11894" i="58" s="1"/>
  <c r="Q11894" i="58" s="1"/>
  <c r="N11894" i="58"/>
  <c r="P11893" i="58"/>
  <c r="O11893" i="58"/>
  <c r="K11893" i="58"/>
  <c r="L11893" i="58" s="1"/>
  <c r="L11886" i="58" s="1"/>
  <c r="O11892" i="58"/>
  <c r="P11892" i="58" s="1"/>
  <c r="O11891" i="58"/>
  <c r="P11891" i="58" s="1"/>
  <c r="J11891" i="58"/>
  <c r="I11891" i="58"/>
  <c r="P11890" i="58"/>
  <c r="O11890" i="58"/>
  <c r="I11890" i="58"/>
  <c r="J11890" i="58" s="1"/>
  <c r="O11889" i="58"/>
  <c r="P11889" i="58" s="1"/>
  <c r="J11889" i="58"/>
  <c r="I11889" i="58"/>
  <c r="O11888" i="58"/>
  <c r="P11888" i="58" s="1"/>
  <c r="I11888" i="58"/>
  <c r="J11888" i="58" s="1"/>
  <c r="O11887" i="58"/>
  <c r="P11887" i="58" s="1"/>
  <c r="P11886" i="58"/>
  <c r="Q11886" i="58" s="1"/>
  <c r="O11886" i="58"/>
  <c r="N11886" i="58"/>
  <c r="O11885" i="58"/>
  <c r="P11885" i="58" s="1"/>
  <c r="L11885" i="58"/>
  <c r="L11878" i="58" s="1"/>
  <c r="K11885" i="58"/>
  <c r="O11884" i="58"/>
  <c r="P11884" i="58" s="1"/>
  <c r="P11883" i="58"/>
  <c r="O11883" i="58"/>
  <c r="I11883" i="58"/>
  <c r="J11883" i="58" s="1"/>
  <c r="O11882" i="58"/>
  <c r="P11882" i="58" s="1"/>
  <c r="I11882" i="58"/>
  <c r="J11882" i="58" s="1"/>
  <c r="O11881" i="58"/>
  <c r="P11881" i="58" s="1"/>
  <c r="I11881" i="58"/>
  <c r="J11881" i="58" s="1"/>
  <c r="O11880" i="58"/>
  <c r="P11880" i="58" s="1"/>
  <c r="I11880" i="58"/>
  <c r="J11880" i="58" s="1"/>
  <c r="P11879" i="58"/>
  <c r="O11879" i="58"/>
  <c r="O11878" i="58"/>
  <c r="P11878" i="58" s="1"/>
  <c r="Q11878" i="58" s="1"/>
  <c r="N11878" i="58"/>
  <c r="O11877" i="58"/>
  <c r="P11877" i="58" s="1"/>
  <c r="K11877" i="58"/>
  <c r="L11877" i="58" s="1"/>
  <c r="L11870" i="58" s="1"/>
  <c r="O11876" i="58"/>
  <c r="P11876" i="58" s="1"/>
  <c r="P11875" i="58"/>
  <c r="O11875" i="58"/>
  <c r="I11875" i="58"/>
  <c r="J11875" i="58" s="1"/>
  <c r="P11874" i="58"/>
  <c r="O11874" i="58"/>
  <c r="I11874" i="58"/>
  <c r="J11874" i="58" s="1"/>
  <c r="O11873" i="58"/>
  <c r="P11873" i="58" s="1"/>
  <c r="I11873" i="58"/>
  <c r="J11873" i="58" s="1"/>
  <c r="O11872" i="58"/>
  <c r="P11872" i="58" s="1"/>
  <c r="J11872" i="58"/>
  <c r="I11872" i="58"/>
  <c r="O11871" i="58"/>
  <c r="P11871" i="58" s="1"/>
  <c r="Q11870" i="58"/>
  <c r="P11870" i="58"/>
  <c r="O11870" i="58"/>
  <c r="N11870" i="58"/>
  <c r="O11869" i="58"/>
  <c r="P11869" i="58" s="1"/>
  <c r="K11869" i="58"/>
  <c r="L11869" i="58" s="1"/>
  <c r="O11868" i="58"/>
  <c r="P11868" i="58" s="1"/>
  <c r="O11867" i="58"/>
  <c r="P11867" i="58" s="1"/>
  <c r="I11867" i="58"/>
  <c r="J11867" i="58" s="1"/>
  <c r="O11866" i="58"/>
  <c r="P11866" i="58" s="1"/>
  <c r="I11866" i="58"/>
  <c r="J11866" i="58" s="1"/>
  <c r="P11865" i="58"/>
  <c r="O11865" i="58"/>
  <c r="I11865" i="58"/>
  <c r="J11865" i="58" s="1"/>
  <c r="O11864" i="58"/>
  <c r="P11864" i="58" s="1"/>
  <c r="I11864" i="58"/>
  <c r="J11864" i="58" s="1"/>
  <c r="O11863" i="58"/>
  <c r="P11863" i="58" s="1"/>
  <c r="P11862" i="58"/>
  <c r="Q11862" i="58" s="1"/>
  <c r="O11862" i="58"/>
  <c r="N11862" i="58"/>
  <c r="L11862" i="58"/>
  <c r="P11861" i="58"/>
  <c r="Q11861" i="58" s="1"/>
  <c r="R11861" i="58" s="1"/>
  <c r="O11861" i="58"/>
  <c r="K11861" i="58"/>
  <c r="L11861" i="58" s="1"/>
  <c r="L11854" i="58" s="1"/>
  <c r="O11860" i="58"/>
  <c r="P11860" i="58" s="1"/>
  <c r="Q11860" i="58" s="1"/>
  <c r="R11860" i="58" s="1"/>
  <c r="O11859" i="58"/>
  <c r="P11859" i="58" s="1"/>
  <c r="I11859" i="58"/>
  <c r="J11859" i="58" s="1"/>
  <c r="P11858" i="58"/>
  <c r="O11858" i="58"/>
  <c r="I11858" i="58"/>
  <c r="J11858" i="58" s="1"/>
  <c r="O11857" i="58"/>
  <c r="P11857" i="58" s="1"/>
  <c r="I11857" i="58"/>
  <c r="J11857" i="58" s="1"/>
  <c r="O11856" i="58"/>
  <c r="P11856" i="58" s="1"/>
  <c r="I11856" i="58"/>
  <c r="J11856" i="58" s="1"/>
  <c r="O11855" i="58"/>
  <c r="P11855" i="58" s="1"/>
  <c r="O11854" i="58"/>
  <c r="P11854" i="58" s="1"/>
  <c r="Q11854" i="58" s="1"/>
  <c r="N11854" i="58"/>
  <c r="O11853" i="58"/>
  <c r="P11853" i="58" s="1"/>
  <c r="K11853" i="58"/>
  <c r="L11853" i="58" s="1"/>
  <c r="L11846" i="58" s="1"/>
  <c r="O11852" i="58"/>
  <c r="P11852" i="58" s="1"/>
  <c r="P11851" i="58"/>
  <c r="O11851" i="58"/>
  <c r="I11851" i="58"/>
  <c r="J11851" i="58" s="1"/>
  <c r="O11850" i="58"/>
  <c r="P11850" i="58" s="1"/>
  <c r="I11850" i="58"/>
  <c r="J11850" i="58" s="1"/>
  <c r="O11849" i="58"/>
  <c r="P11849" i="58" s="1"/>
  <c r="I11849" i="58"/>
  <c r="J11849" i="58" s="1"/>
  <c r="O11848" i="58"/>
  <c r="P11848" i="58" s="1"/>
  <c r="I11848" i="58"/>
  <c r="J11848" i="58" s="1"/>
  <c r="O11847" i="58"/>
  <c r="P11847" i="58" s="1"/>
  <c r="O11846" i="58"/>
  <c r="P11846" i="58" s="1"/>
  <c r="Q11846" i="58" s="1"/>
  <c r="N11846" i="58"/>
  <c r="O11845" i="58"/>
  <c r="P11845" i="58" s="1"/>
  <c r="K11845" i="58"/>
  <c r="L11845" i="58" s="1"/>
  <c r="O11844" i="58"/>
  <c r="P11844" i="58" s="1"/>
  <c r="O11843" i="58"/>
  <c r="P11843" i="58" s="1"/>
  <c r="J11843" i="58"/>
  <c r="I11843" i="58"/>
  <c r="O11842" i="58"/>
  <c r="P11842" i="58" s="1"/>
  <c r="J11842" i="58"/>
  <c r="I11842" i="58"/>
  <c r="O11841" i="58"/>
  <c r="P11841" i="58" s="1"/>
  <c r="I11841" i="58"/>
  <c r="J11841" i="58" s="1"/>
  <c r="O11840" i="58"/>
  <c r="P11840" i="58" s="1"/>
  <c r="I11840" i="58"/>
  <c r="J11840" i="58" s="1"/>
  <c r="O11839" i="58"/>
  <c r="P11839" i="58" s="1"/>
  <c r="O11838" i="58"/>
  <c r="P11838" i="58" s="1"/>
  <c r="Q11838" i="58" s="1"/>
  <c r="N11838" i="58"/>
  <c r="L11838" i="58"/>
  <c r="J11838" i="58"/>
  <c r="O11837" i="58"/>
  <c r="P11837" i="58" s="1"/>
  <c r="K11837" i="58"/>
  <c r="L11837" i="58" s="1"/>
  <c r="L11830" i="58" s="1"/>
  <c r="O11836" i="58"/>
  <c r="P11836" i="58" s="1"/>
  <c r="P11835" i="58"/>
  <c r="O11835" i="58"/>
  <c r="I11835" i="58"/>
  <c r="J11835" i="58" s="1"/>
  <c r="O11834" i="58"/>
  <c r="P11834" i="58" s="1"/>
  <c r="I11834" i="58"/>
  <c r="J11834" i="58" s="1"/>
  <c r="O11833" i="58"/>
  <c r="P11833" i="58" s="1"/>
  <c r="I11833" i="58"/>
  <c r="J11833" i="58" s="1"/>
  <c r="O11832" i="58"/>
  <c r="P11832" i="58" s="1"/>
  <c r="I11832" i="58"/>
  <c r="J11832" i="58" s="1"/>
  <c r="O11831" i="58"/>
  <c r="P11831" i="58" s="1"/>
  <c r="O11830" i="58"/>
  <c r="P11830" i="58" s="1"/>
  <c r="Q11830" i="58" s="1"/>
  <c r="N11830" i="58"/>
  <c r="P11829" i="58"/>
  <c r="O11829" i="58"/>
  <c r="K11829" i="58"/>
  <c r="L11829" i="58" s="1"/>
  <c r="L11822" i="58" s="1"/>
  <c r="P11828" i="58"/>
  <c r="O11828" i="58"/>
  <c r="O11827" i="58"/>
  <c r="P11827" i="58" s="1"/>
  <c r="I11827" i="58"/>
  <c r="J11827" i="58" s="1"/>
  <c r="O11826" i="58"/>
  <c r="P11826" i="58" s="1"/>
  <c r="I11826" i="58"/>
  <c r="J11826" i="58" s="1"/>
  <c r="P11825" i="58"/>
  <c r="O11825" i="58"/>
  <c r="I11825" i="58"/>
  <c r="J11825" i="58" s="1"/>
  <c r="O11824" i="58"/>
  <c r="P11824" i="58" s="1"/>
  <c r="I11824" i="58"/>
  <c r="J11824" i="58" s="1"/>
  <c r="O11823" i="58"/>
  <c r="P11823" i="58" s="1"/>
  <c r="O11822" i="58"/>
  <c r="P11822" i="58" s="1"/>
  <c r="Q11822" i="58" s="1"/>
  <c r="N11822" i="58"/>
  <c r="P11821" i="58"/>
  <c r="O11821" i="58"/>
  <c r="K11821" i="58"/>
  <c r="L11821" i="58" s="1"/>
  <c r="L11814" i="58" s="1"/>
  <c r="O11820" i="58"/>
  <c r="P11820" i="58" s="1"/>
  <c r="O11819" i="58"/>
  <c r="P11819" i="58" s="1"/>
  <c r="I11819" i="58"/>
  <c r="J11819" i="58" s="1"/>
  <c r="P11818" i="58"/>
  <c r="O11818" i="58"/>
  <c r="I11818" i="58"/>
  <c r="J11818" i="58" s="1"/>
  <c r="O11817" i="58"/>
  <c r="P11817" i="58" s="1"/>
  <c r="I11817" i="58"/>
  <c r="J11817" i="58" s="1"/>
  <c r="P11816" i="58"/>
  <c r="O11816" i="58"/>
  <c r="I11816" i="58"/>
  <c r="J11816" i="58" s="1"/>
  <c r="P11815" i="58"/>
  <c r="O11815" i="58"/>
  <c r="O11814" i="58"/>
  <c r="P11814" i="58" s="1"/>
  <c r="Q11814" i="58" s="1"/>
  <c r="N11814" i="58"/>
  <c r="O11813" i="58"/>
  <c r="P11813" i="58" s="1"/>
  <c r="Q11813" i="58" s="1"/>
  <c r="K11813" i="58"/>
  <c r="L11813" i="58" s="1"/>
  <c r="L11806" i="58" s="1"/>
  <c r="P11812" i="58"/>
  <c r="O11812" i="58"/>
  <c r="O11811" i="58"/>
  <c r="P11811" i="58" s="1"/>
  <c r="I11811" i="58"/>
  <c r="J11811" i="58" s="1"/>
  <c r="O11810" i="58"/>
  <c r="P11810" i="58" s="1"/>
  <c r="I11810" i="58"/>
  <c r="J11810" i="58" s="1"/>
  <c r="P11809" i="58"/>
  <c r="O11809" i="58"/>
  <c r="I11809" i="58"/>
  <c r="J11809" i="58" s="1"/>
  <c r="O11808" i="58"/>
  <c r="P11808" i="58" s="1"/>
  <c r="I11808" i="58"/>
  <c r="J11808" i="58" s="1"/>
  <c r="O11807" i="58"/>
  <c r="P11807" i="58" s="1"/>
  <c r="O11806" i="58"/>
  <c r="P11806" i="58" s="1"/>
  <c r="Q11806" i="58" s="1"/>
  <c r="N11806" i="58"/>
  <c r="P11805" i="58"/>
  <c r="O11805" i="58"/>
  <c r="O11804" i="58"/>
  <c r="P11804" i="58" s="1"/>
  <c r="O11803" i="58"/>
  <c r="P11803" i="58" s="1"/>
  <c r="K11803" i="58"/>
  <c r="L11803" i="58" s="1"/>
  <c r="L11795" i="58" s="1"/>
  <c r="P11802" i="58"/>
  <c r="O11802" i="58"/>
  <c r="P11801" i="58"/>
  <c r="O11801" i="58"/>
  <c r="I11801" i="58"/>
  <c r="J11801" i="58" s="1"/>
  <c r="O11800" i="58"/>
  <c r="P11800" i="58" s="1"/>
  <c r="I11800" i="58"/>
  <c r="J11800" i="58" s="1"/>
  <c r="O11799" i="58"/>
  <c r="P11799" i="58" s="1"/>
  <c r="I11799" i="58"/>
  <c r="J11799" i="58" s="1"/>
  <c r="P11798" i="58"/>
  <c r="O11798" i="58"/>
  <c r="I11798" i="58"/>
  <c r="J11798" i="58" s="1"/>
  <c r="P11797" i="58"/>
  <c r="O11797" i="58"/>
  <c r="I11797" i="58"/>
  <c r="J11797" i="58" s="1"/>
  <c r="P11796" i="58"/>
  <c r="O11796" i="58"/>
  <c r="O11795" i="58"/>
  <c r="P11795" i="58" s="1"/>
  <c r="Q11795" i="58" s="1"/>
  <c r="P11794" i="58"/>
  <c r="O11794" i="58"/>
  <c r="N11794" i="58"/>
  <c r="N11783" i="58" s="1"/>
  <c r="O11793" i="58"/>
  <c r="P11793" i="58" s="1"/>
  <c r="O11792" i="58"/>
  <c r="P11792" i="58" s="1"/>
  <c r="O11791" i="58"/>
  <c r="P11791" i="58" s="1"/>
  <c r="K11791" i="58"/>
  <c r="L11791" i="58" s="1"/>
  <c r="P11790" i="58"/>
  <c r="O11790" i="58"/>
  <c r="O11789" i="58"/>
  <c r="P11789" i="58" s="1"/>
  <c r="I11789" i="58"/>
  <c r="J11789" i="58" s="1"/>
  <c r="O11788" i="58"/>
  <c r="P11788" i="58" s="1"/>
  <c r="I11788" i="58"/>
  <c r="J11788" i="58" s="1"/>
  <c r="O11787" i="58"/>
  <c r="P11787" i="58" s="1"/>
  <c r="J11787" i="58"/>
  <c r="I11787" i="58"/>
  <c r="O11786" i="58"/>
  <c r="P11786" i="58" s="1"/>
  <c r="I11786" i="58"/>
  <c r="J11786" i="58" s="1"/>
  <c r="P11785" i="58"/>
  <c r="O11785" i="58"/>
  <c r="I11785" i="58"/>
  <c r="J11785" i="58" s="1"/>
  <c r="O11784" i="58"/>
  <c r="P11784" i="58" s="1"/>
  <c r="O11783" i="58"/>
  <c r="P11783" i="58" s="1"/>
  <c r="Q11783" i="58" s="1"/>
  <c r="L11783" i="58"/>
  <c r="P11782" i="58"/>
  <c r="O11782" i="58"/>
  <c r="O11781" i="58"/>
  <c r="P11781" i="58" s="1"/>
  <c r="O11780" i="58"/>
  <c r="P11780" i="58" s="1"/>
  <c r="K11780" i="58"/>
  <c r="L11780" i="58" s="1"/>
  <c r="L11772" i="58" s="1"/>
  <c r="P11779" i="58"/>
  <c r="O11779" i="58"/>
  <c r="P11778" i="58"/>
  <c r="O11778" i="58"/>
  <c r="I11778" i="58"/>
  <c r="J11778" i="58" s="1"/>
  <c r="O11777" i="58"/>
  <c r="P11777" i="58" s="1"/>
  <c r="I11777" i="58"/>
  <c r="J11777" i="58" s="1"/>
  <c r="O11776" i="58"/>
  <c r="P11776" i="58" s="1"/>
  <c r="I11776" i="58"/>
  <c r="J11776" i="58" s="1"/>
  <c r="O11775" i="58"/>
  <c r="P11775" i="58" s="1"/>
  <c r="I11775" i="58"/>
  <c r="J11775" i="58" s="1"/>
  <c r="O11774" i="58"/>
  <c r="P11774" i="58" s="1"/>
  <c r="I11774" i="58"/>
  <c r="J11774" i="58" s="1"/>
  <c r="O11773" i="58"/>
  <c r="P11773" i="58" s="1"/>
  <c r="Q11772" i="58"/>
  <c r="P11772" i="58"/>
  <c r="O11772" i="58"/>
  <c r="N11772" i="58"/>
  <c r="O11771" i="58"/>
  <c r="P11771" i="58" s="1"/>
  <c r="O11770" i="58"/>
  <c r="P11770" i="58" s="1"/>
  <c r="O11769" i="58"/>
  <c r="P11769" i="58" s="1"/>
  <c r="O11768" i="58"/>
  <c r="P11768" i="58" s="1"/>
  <c r="K11768" i="58"/>
  <c r="L11768" i="58" s="1"/>
  <c r="L11760" i="58" s="1"/>
  <c r="O11767" i="58"/>
  <c r="P11767" i="58" s="1"/>
  <c r="O11766" i="58"/>
  <c r="P11766" i="58" s="1"/>
  <c r="I11766" i="58"/>
  <c r="J11766" i="58" s="1"/>
  <c r="P11765" i="58"/>
  <c r="O11765" i="58"/>
  <c r="I11765" i="58"/>
  <c r="J11765" i="58" s="1"/>
  <c r="O11764" i="58"/>
  <c r="P11764" i="58" s="1"/>
  <c r="I11764" i="58"/>
  <c r="J11764" i="58" s="1"/>
  <c r="O11763" i="58"/>
  <c r="P11763" i="58" s="1"/>
  <c r="I11763" i="58"/>
  <c r="J11763" i="58" s="1"/>
  <c r="O11762" i="58"/>
  <c r="P11762" i="58" s="1"/>
  <c r="I11762" i="58"/>
  <c r="J11762" i="58" s="1"/>
  <c r="O11761" i="58"/>
  <c r="P11761" i="58" s="1"/>
  <c r="O11760" i="58"/>
  <c r="P11760" i="58" s="1"/>
  <c r="Q11760" i="58" s="1"/>
  <c r="P11759" i="58"/>
  <c r="O11759" i="58"/>
  <c r="P11758" i="58"/>
  <c r="O11758" i="58"/>
  <c r="O11757" i="58"/>
  <c r="P11757" i="58" s="1"/>
  <c r="K11757" i="58"/>
  <c r="L11757" i="58" s="1"/>
  <c r="L11749" i="58" s="1"/>
  <c r="O11756" i="58"/>
  <c r="P11756" i="58" s="1"/>
  <c r="P11755" i="58"/>
  <c r="O11755" i="58"/>
  <c r="I11755" i="58"/>
  <c r="J11755" i="58" s="1"/>
  <c r="O11754" i="58"/>
  <c r="P11754" i="58" s="1"/>
  <c r="I11754" i="58"/>
  <c r="J11754" i="58" s="1"/>
  <c r="O11753" i="58"/>
  <c r="P11753" i="58" s="1"/>
  <c r="I11753" i="58"/>
  <c r="J11753" i="58" s="1"/>
  <c r="P11752" i="58"/>
  <c r="O11752" i="58"/>
  <c r="J11752" i="58"/>
  <c r="I11752" i="58"/>
  <c r="P11751" i="58"/>
  <c r="O11751" i="58"/>
  <c r="I11751" i="58"/>
  <c r="J11751" i="58" s="1"/>
  <c r="P11750" i="58"/>
  <c r="O11750" i="58"/>
  <c r="P11749" i="58"/>
  <c r="Q11749" i="58" s="1"/>
  <c r="O11749" i="58"/>
  <c r="O11748" i="58"/>
  <c r="P11748" i="58" s="1"/>
  <c r="N11748" i="58"/>
  <c r="O11747" i="58"/>
  <c r="P11747" i="58" s="1"/>
  <c r="O11746" i="58"/>
  <c r="P11746" i="58" s="1"/>
  <c r="O11745" i="58"/>
  <c r="P11745" i="58" s="1"/>
  <c r="L11745" i="58"/>
  <c r="L11737" i="58" s="1"/>
  <c r="K11745" i="58"/>
  <c r="O11744" i="58"/>
  <c r="P11744" i="58" s="1"/>
  <c r="O11743" i="58"/>
  <c r="P11743" i="58" s="1"/>
  <c r="I11743" i="58"/>
  <c r="J11743" i="58" s="1"/>
  <c r="O11742" i="58"/>
  <c r="P11742" i="58" s="1"/>
  <c r="I11742" i="58"/>
  <c r="J11742" i="58" s="1"/>
  <c r="P11741" i="58"/>
  <c r="O11741" i="58"/>
  <c r="I11741" i="58"/>
  <c r="J11741" i="58" s="1"/>
  <c r="P11740" i="58"/>
  <c r="O11740" i="58"/>
  <c r="I11740" i="58"/>
  <c r="J11740" i="58" s="1"/>
  <c r="O11739" i="58"/>
  <c r="P11739" i="58" s="1"/>
  <c r="I11739" i="58"/>
  <c r="J11739" i="58" s="1"/>
  <c r="P11738" i="58"/>
  <c r="O11738" i="58"/>
  <c r="P11737" i="58"/>
  <c r="Q11737" i="58" s="1"/>
  <c r="O11737" i="58"/>
  <c r="P11736" i="58"/>
  <c r="O11736" i="58"/>
  <c r="O11735" i="58"/>
  <c r="P11735" i="58" s="1"/>
  <c r="P11734" i="58"/>
  <c r="O11734" i="58"/>
  <c r="O11733" i="58"/>
  <c r="P11733" i="58" s="1"/>
  <c r="L11733" i="58"/>
  <c r="L11724" i="58" s="1"/>
  <c r="K11733" i="58"/>
  <c r="O11732" i="58"/>
  <c r="P11732" i="58" s="1"/>
  <c r="O11731" i="58"/>
  <c r="P11731" i="58" s="1"/>
  <c r="I11731" i="58"/>
  <c r="J11731" i="58" s="1"/>
  <c r="P11730" i="58"/>
  <c r="O11730" i="58"/>
  <c r="I11730" i="58"/>
  <c r="J11730" i="58" s="1"/>
  <c r="P11729" i="58"/>
  <c r="O11729" i="58"/>
  <c r="I11729" i="58"/>
  <c r="J11729" i="58" s="1"/>
  <c r="O11728" i="58"/>
  <c r="P11728" i="58" s="1"/>
  <c r="J11728" i="58"/>
  <c r="I11728" i="58"/>
  <c r="P11727" i="58"/>
  <c r="O11727" i="58"/>
  <c r="I11727" i="58"/>
  <c r="J11727" i="58" s="1"/>
  <c r="O11726" i="58"/>
  <c r="P11726" i="58" s="1"/>
  <c r="I11726" i="58"/>
  <c r="J11726" i="58" s="1"/>
  <c r="P11725" i="58"/>
  <c r="O11725" i="58"/>
  <c r="P11724" i="58"/>
  <c r="Q11724" i="58" s="1"/>
  <c r="O11724" i="58"/>
  <c r="O11723" i="58"/>
  <c r="P11723" i="58" s="1"/>
  <c r="P11722" i="58"/>
  <c r="O11722" i="58"/>
  <c r="N11722" i="58"/>
  <c r="O11721" i="58"/>
  <c r="P11721" i="58" s="1"/>
  <c r="P11720" i="58"/>
  <c r="O11720" i="58"/>
  <c r="K11720" i="58"/>
  <c r="L11720" i="58" s="1"/>
  <c r="L11711" i="58" s="1"/>
  <c r="P11719" i="58"/>
  <c r="O11719" i="58"/>
  <c r="P11718" i="58"/>
  <c r="O11718" i="58"/>
  <c r="I11718" i="58"/>
  <c r="J11718" i="58" s="1"/>
  <c r="O11717" i="58"/>
  <c r="P11717" i="58" s="1"/>
  <c r="I11717" i="58"/>
  <c r="J11717" i="58" s="1"/>
  <c r="O11716" i="58"/>
  <c r="P11716" i="58" s="1"/>
  <c r="I11716" i="58"/>
  <c r="J11716" i="58" s="1"/>
  <c r="O11715" i="58"/>
  <c r="P11715" i="58" s="1"/>
  <c r="I11715" i="58"/>
  <c r="J11715" i="58" s="1"/>
  <c r="O11714" i="58"/>
  <c r="P11714" i="58" s="1"/>
  <c r="I11714" i="58"/>
  <c r="J11714" i="58" s="1"/>
  <c r="O11713" i="58"/>
  <c r="P11713" i="58" s="1"/>
  <c r="I11713" i="58"/>
  <c r="J11713" i="58" s="1"/>
  <c r="O11712" i="58"/>
  <c r="P11712" i="58" s="1"/>
  <c r="O11711" i="58"/>
  <c r="P11711" i="58" s="1"/>
  <c r="Q11711" i="58" s="1"/>
  <c r="O11710" i="58"/>
  <c r="P11710" i="58" s="1"/>
  <c r="Q11710" i="58" s="1"/>
  <c r="R11710" i="58" s="1"/>
  <c r="O11709" i="58"/>
  <c r="P11709" i="58" s="1"/>
  <c r="O11708" i="58"/>
  <c r="P11708" i="58" s="1"/>
  <c r="O11707" i="58"/>
  <c r="P11707" i="58" s="1"/>
  <c r="K11707" i="58"/>
  <c r="L11707" i="58" s="1"/>
  <c r="L11698" i="58" s="1"/>
  <c r="O11706" i="58"/>
  <c r="P11706" i="58" s="1"/>
  <c r="O11705" i="58"/>
  <c r="P11705" i="58" s="1"/>
  <c r="I11705" i="58"/>
  <c r="J11705" i="58" s="1"/>
  <c r="P11704" i="58"/>
  <c r="O11704" i="58"/>
  <c r="I11704" i="58"/>
  <c r="J11704" i="58" s="1"/>
  <c r="O11703" i="58"/>
  <c r="P11703" i="58" s="1"/>
  <c r="I11703" i="58"/>
  <c r="J11703" i="58" s="1"/>
  <c r="O11702" i="58"/>
  <c r="P11702" i="58" s="1"/>
  <c r="I11702" i="58"/>
  <c r="J11702" i="58" s="1"/>
  <c r="O11701" i="58"/>
  <c r="P11701" i="58" s="1"/>
  <c r="I11701" i="58"/>
  <c r="J11701" i="58" s="1"/>
  <c r="O11700" i="58"/>
  <c r="P11700" i="58" s="1"/>
  <c r="I11700" i="58"/>
  <c r="J11700" i="58" s="1"/>
  <c r="O11699" i="58"/>
  <c r="P11699" i="58" s="1"/>
  <c r="P11698" i="58"/>
  <c r="Q11698" i="58" s="1"/>
  <c r="O11698" i="58"/>
  <c r="P11697" i="58"/>
  <c r="O11697" i="58"/>
  <c r="K11697" i="58"/>
  <c r="L11697" i="58" s="1"/>
  <c r="O11696" i="58"/>
  <c r="P11696" i="58" s="1"/>
  <c r="O11695" i="58"/>
  <c r="P11695" i="58" s="1"/>
  <c r="I11695" i="58"/>
  <c r="J11695" i="58" s="1"/>
  <c r="O11694" i="58"/>
  <c r="P11694" i="58" s="1"/>
  <c r="I11694" i="58"/>
  <c r="J11694" i="58" s="1"/>
  <c r="O11693" i="58"/>
  <c r="P11693" i="58" s="1"/>
  <c r="I11693" i="58"/>
  <c r="J11693" i="58" s="1"/>
  <c r="O11692" i="58"/>
  <c r="P11692" i="58" s="1"/>
  <c r="I11692" i="58"/>
  <c r="J11692" i="58" s="1"/>
  <c r="O11691" i="58"/>
  <c r="P11691" i="58" s="1"/>
  <c r="I11691" i="58"/>
  <c r="J11691" i="58" s="1"/>
  <c r="P11690" i="58"/>
  <c r="O11690" i="58"/>
  <c r="P11689" i="58"/>
  <c r="Q11689" i="58" s="1"/>
  <c r="O11689" i="58"/>
  <c r="N11689" i="58"/>
  <c r="L11689" i="58"/>
  <c r="O11688" i="58"/>
  <c r="P11688" i="58" s="1"/>
  <c r="Q11688" i="58" s="1"/>
  <c r="K11688" i="58"/>
  <c r="L11688" i="58" s="1"/>
  <c r="L11680" i="58" s="1"/>
  <c r="O11687" i="58"/>
  <c r="P11687" i="58" s="1"/>
  <c r="P11686" i="58"/>
  <c r="O11686" i="58"/>
  <c r="I11686" i="58"/>
  <c r="J11686" i="58" s="1"/>
  <c r="O11685" i="58"/>
  <c r="P11685" i="58" s="1"/>
  <c r="I11685" i="58"/>
  <c r="J11685" i="58" s="1"/>
  <c r="O11684" i="58"/>
  <c r="P11684" i="58" s="1"/>
  <c r="I11684" i="58"/>
  <c r="J11684" i="58" s="1"/>
  <c r="O11683" i="58"/>
  <c r="P11683" i="58" s="1"/>
  <c r="I11683" i="58"/>
  <c r="J11683" i="58" s="1"/>
  <c r="P11682" i="58"/>
  <c r="O11682" i="58"/>
  <c r="I11682" i="58"/>
  <c r="J11682" i="58" s="1"/>
  <c r="P11681" i="58"/>
  <c r="O11681" i="58"/>
  <c r="P11680" i="58"/>
  <c r="Q11680" i="58" s="1"/>
  <c r="O11680" i="58"/>
  <c r="N11680" i="58"/>
  <c r="O11679" i="58"/>
  <c r="P11679" i="58" s="1"/>
  <c r="K11679" i="58"/>
  <c r="L11679" i="58" s="1"/>
  <c r="P11678" i="58"/>
  <c r="O11678" i="58"/>
  <c r="O11677" i="58"/>
  <c r="P11677" i="58" s="1"/>
  <c r="I11677" i="58"/>
  <c r="J11677" i="58" s="1"/>
  <c r="O11676" i="58"/>
  <c r="P11676" i="58" s="1"/>
  <c r="I11676" i="58"/>
  <c r="J11676" i="58" s="1"/>
  <c r="P11675" i="58"/>
  <c r="O11675" i="58"/>
  <c r="I11675" i="58"/>
  <c r="J11675" i="58" s="1"/>
  <c r="O11674" i="58"/>
  <c r="P11674" i="58" s="1"/>
  <c r="I11674" i="58"/>
  <c r="J11674" i="58" s="1"/>
  <c r="P11673" i="58"/>
  <c r="O11673" i="58"/>
  <c r="O11672" i="58"/>
  <c r="P11672" i="58" s="1"/>
  <c r="Q11672" i="58" s="1"/>
  <c r="N11672" i="58"/>
  <c r="L11672" i="58"/>
  <c r="O11671" i="58"/>
  <c r="P11671" i="58" s="1"/>
  <c r="Q11671" i="58" s="1"/>
  <c r="R11671" i="58" s="1"/>
  <c r="K11671" i="58"/>
  <c r="L11671" i="58" s="1"/>
  <c r="L11663" i="58" s="1"/>
  <c r="O11670" i="58"/>
  <c r="P11670" i="58" s="1"/>
  <c r="O11669" i="58"/>
  <c r="P11669" i="58" s="1"/>
  <c r="I11669" i="58"/>
  <c r="J11669" i="58" s="1"/>
  <c r="O11668" i="58"/>
  <c r="P11668" i="58" s="1"/>
  <c r="J11668" i="58"/>
  <c r="I11668" i="58"/>
  <c r="O11667" i="58"/>
  <c r="P11667" i="58" s="1"/>
  <c r="I11667" i="58"/>
  <c r="J11667" i="58" s="1"/>
  <c r="O11666" i="58"/>
  <c r="P11666" i="58" s="1"/>
  <c r="I11666" i="58"/>
  <c r="J11666" i="58" s="1"/>
  <c r="O11665" i="58"/>
  <c r="P11665" i="58" s="1"/>
  <c r="I11665" i="58"/>
  <c r="J11665" i="58" s="1"/>
  <c r="O11664" i="58"/>
  <c r="P11664" i="58" s="1"/>
  <c r="O11663" i="58"/>
  <c r="P11663" i="58" s="1"/>
  <c r="Q11663" i="58" s="1"/>
  <c r="N11663" i="58"/>
  <c r="P11662" i="58"/>
  <c r="O11662" i="58"/>
  <c r="K11662" i="58"/>
  <c r="L11662" i="58" s="1"/>
  <c r="L11654" i="58" s="1"/>
  <c r="O11661" i="58"/>
  <c r="P11661" i="58" s="1"/>
  <c r="O11660" i="58"/>
  <c r="P11660" i="58" s="1"/>
  <c r="I11660" i="58"/>
  <c r="J11660" i="58" s="1"/>
  <c r="P11659" i="58"/>
  <c r="O11659" i="58"/>
  <c r="I11659" i="58"/>
  <c r="J11659" i="58" s="1"/>
  <c r="O11658" i="58"/>
  <c r="P11658" i="58" s="1"/>
  <c r="I11658" i="58"/>
  <c r="J11658" i="58" s="1"/>
  <c r="O11657" i="58"/>
  <c r="P11657" i="58" s="1"/>
  <c r="J11657" i="58"/>
  <c r="I11657" i="58"/>
  <c r="P11656" i="58"/>
  <c r="O11656" i="58"/>
  <c r="I11656" i="58"/>
  <c r="J11656" i="58" s="1"/>
  <c r="O11655" i="58"/>
  <c r="P11655" i="58" s="1"/>
  <c r="O11654" i="58"/>
  <c r="P11654" i="58" s="1"/>
  <c r="Q11654" i="58" s="1"/>
  <c r="N11654" i="58"/>
  <c r="O11653" i="58"/>
  <c r="P11653" i="58" s="1"/>
  <c r="K11653" i="58"/>
  <c r="L11653" i="58" s="1"/>
  <c r="L11645" i="58" s="1"/>
  <c r="O11652" i="58"/>
  <c r="P11652" i="58" s="1"/>
  <c r="O11651" i="58"/>
  <c r="P11651" i="58" s="1"/>
  <c r="I11651" i="58"/>
  <c r="J11651" i="58" s="1"/>
  <c r="O11650" i="58"/>
  <c r="P11650" i="58" s="1"/>
  <c r="I11650" i="58"/>
  <c r="J11650" i="58" s="1"/>
  <c r="O11649" i="58"/>
  <c r="P11649" i="58" s="1"/>
  <c r="I11649" i="58"/>
  <c r="J11649" i="58" s="1"/>
  <c r="O11648" i="58"/>
  <c r="P11648" i="58" s="1"/>
  <c r="I11648" i="58"/>
  <c r="J11648" i="58" s="1"/>
  <c r="O11647" i="58"/>
  <c r="P11647" i="58" s="1"/>
  <c r="I11647" i="58"/>
  <c r="J11647" i="58" s="1"/>
  <c r="O11646" i="58"/>
  <c r="P11646" i="58" s="1"/>
  <c r="O11645" i="58"/>
  <c r="P11645" i="58" s="1"/>
  <c r="Q11645" i="58" s="1"/>
  <c r="N11645" i="58"/>
  <c r="P11644" i="58"/>
  <c r="Q11644" i="58" s="1"/>
  <c r="Q11643" i="58" s="1"/>
  <c r="R11643" i="58" s="1"/>
  <c r="O11644" i="58"/>
  <c r="K11644" i="58"/>
  <c r="L11644" i="58" s="1"/>
  <c r="L11636" i="58" s="1"/>
  <c r="O11643" i="58"/>
  <c r="P11643" i="58" s="1"/>
  <c r="P11642" i="58"/>
  <c r="O11642" i="58"/>
  <c r="I11642" i="58"/>
  <c r="J11642" i="58" s="1"/>
  <c r="O11641" i="58"/>
  <c r="P11641" i="58" s="1"/>
  <c r="I11641" i="58"/>
  <c r="J11641" i="58" s="1"/>
  <c r="O11640" i="58"/>
  <c r="P11640" i="58" s="1"/>
  <c r="I11640" i="58"/>
  <c r="J11640" i="58" s="1"/>
  <c r="P11639" i="58"/>
  <c r="O11639" i="58"/>
  <c r="I11639" i="58"/>
  <c r="J11639" i="58" s="1"/>
  <c r="O11638" i="58"/>
  <c r="P11638" i="58" s="1"/>
  <c r="I11638" i="58"/>
  <c r="J11638" i="58" s="1"/>
  <c r="P11637" i="58"/>
  <c r="O11637" i="58"/>
  <c r="O11636" i="58"/>
  <c r="P11636" i="58" s="1"/>
  <c r="Q11636" i="58" s="1"/>
  <c r="N11636" i="58"/>
  <c r="O11635" i="58"/>
  <c r="P11635" i="58" s="1"/>
  <c r="K11635" i="58"/>
  <c r="L11635" i="58" s="1"/>
  <c r="L11626" i="58" s="1"/>
  <c r="O11634" i="58"/>
  <c r="P11634" i="58" s="1"/>
  <c r="O11633" i="58"/>
  <c r="P11633" i="58" s="1"/>
  <c r="I11633" i="58"/>
  <c r="J11633" i="58" s="1"/>
  <c r="O11632" i="58"/>
  <c r="P11632" i="58" s="1"/>
  <c r="I11632" i="58"/>
  <c r="J11632" i="58" s="1"/>
  <c r="P11631" i="58"/>
  <c r="O11631" i="58"/>
  <c r="J11631" i="58"/>
  <c r="I11631" i="58"/>
  <c r="O11630" i="58"/>
  <c r="P11630" i="58" s="1"/>
  <c r="I11630" i="58"/>
  <c r="J11630" i="58" s="1"/>
  <c r="O11629" i="58"/>
  <c r="P11629" i="58" s="1"/>
  <c r="I11629" i="58"/>
  <c r="J11629" i="58" s="1"/>
  <c r="O11628" i="58"/>
  <c r="P11628" i="58" s="1"/>
  <c r="I11628" i="58"/>
  <c r="J11628" i="58" s="1"/>
  <c r="O11627" i="58"/>
  <c r="P11627" i="58" s="1"/>
  <c r="P11626" i="58"/>
  <c r="Q11626" i="58" s="1"/>
  <c r="O11626" i="58"/>
  <c r="N11626" i="58"/>
  <c r="P11625" i="58"/>
  <c r="O11625" i="58"/>
  <c r="K11625" i="58"/>
  <c r="L11625" i="58" s="1"/>
  <c r="L11616" i="58" s="1"/>
  <c r="P11624" i="58"/>
  <c r="O11624" i="58"/>
  <c r="O11623" i="58"/>
  <c r="P11623" i="58" s="1"/>
  <c r="J11623" i="58"/>
  <c r="I11623" i="58"/>
  <c r="P11622" i="58"/>
  <c r="O11622" i="58"/>
  <c r="I11622" i="58"/>
  <c r="J11622" i="58" s="1"/>
  <c r="P11621" i="58"/>
  <c r="O11621" i="58"/>
  <c r="J11621" i="58"/>
  <c r="I11621" i="58"/>
  <c r="O11620" i="58"/>
  <c r="P11620" i="58" s="1"/>
  <c r="I11620" i="58"/>
  <c r="J11620" i="58" s="1"/>
  <c r="O11619" i="58"/>
  <c r="P11619" i="58" s="1"/>
  <c r="I11619" i="58"/>
  <c r="J11619" i="58" s="1"/>
  <c r="O11618" i="58"/>
  <c r="P11618" i="58" s="1"/>
  <c r="I11618" i="58"/>
  <c r="J11618" i="58" s="1"/>
  <c r="O11617" i="58"/>
  <c r="P11617" i="58" s="1"/>
  <c r="P11616" i="58"/>
  <c r="Q11616" i="58" s="1"/>
  <c r="O11616" i="58"/>
  <c r="N11616" i="58"/>
  <c r="O11615" i="58"/>
  <c r="P11615" i="58" s="1"/>
  <c r="Q11615" i="58" s="1"/>
  <c r="K11615" i="58"/>
  <c r="L11615" i="58" s="1"/>
  <c r="L11606" i="58" s="1"/>
  <c r="O11614" i="58"/>
  <c r="P11614" i="58" s="1"/>
  <c r="O11613" i="58"/>
  <c r="P11613" i="58" s="1"/>
  <c r="I11613" i="58"/>
  <c r="J11613" i="58" s="1"/>
  <c r="O11612" i="58"/>
  <c r="P11612" i="58" s="1"/>
  <c r="I11612" i="58"/>
  <c r="J11612" i="58" s="1"/>
  <c r="P11611" i="58"/>
  <c r="O11611" i="58"/>
  <c r="I11611" i="58"/>
  <c r="J11611" i="58" s="1"/>
  <c r="P11610" i="58"/>
  <c r="O11610" i="58"/>
  <c r="I11610" i="58"/>
  <c r="J11610" i="58" s="1"/>
  <c r="O11609" i="58"/>
  <c r="P11609" i="58" s="1"/>
  <c r="I11609" i="58"/>
  <c r="J11609" i="58" s="1"/>
  <c r="O11608" i="58"/>
  <c r="P11608" i="58" s="1"/>
  <c r="I11608" i="58"/>
  <c r="J11608" i="58" s="1"/>
  <c r="P11607" i="58"/>
  <c r="O11607" i="58"/>
  <c r="O11606" i="58"/>
  <c r="P11606" i="58" s="1"/>
  <c r="Q11606" i="58" s="1"/>
  <c r="N11606" i="58"/>
  <c r="P11605" i="58"/>
  <c r="O11605" i="58"/>
  <c r="K11605" i="58"/>
  <c r="L11605" i="58" s="1"/>
  <c r="L11596" i="58" s="1"/>
  <c r="O11604" i="58"/>
  <c r="P11604" i="58" s="1"/>
  <c r="O11603" i="58"/>
  <c r="P11603" i="58" s="1"/>
  <c r="I11603" i="58"/>
  <c r="J11603" i="58" s="1"/>
  <c r="O11602" i="58"/>
  <c r="P11602" i="58" s="1"/>
  <c r="I11602" i="58"/>
  <c r="J11602" i="58" s="1"/>
  <c r="O11601" i="58"/>
  <c r="P11601" i="58" s="1"/>
  <c r="I11601" i="58"/>
  <c r="J11601" i="58" s="1"/>
  <c r="P11600" i="58"/>
  <c r="O11600" i="58"/>
  <c r="I11600" i="58"/>
  <c r="J11600" i="58" s="1"/>
  <c r="O11599" i="58"/>
  <c r="P11599" i="58" s="1"/>
  <c r="I11599" i="58"/>
  <c r="J11599" i="58" s="1"/>
  <c r="P11598" i="58"/>
  <c r="O11598" i="58"/>
  <c r="I11598" i="58"/>
  <c r="J11598" i="58" s="1"/>
  <c r="P11597" i="58"/>
  <c r="O11597" i="58"/>
  <c r="Q11596" i="58"/>
  <c r="O11596" i="58"/>
  <c r="P11596" i="58" s="1"/>
  <c r="N11596" i="58"/>
  <c r="O11595" i="58"/>
  <c r="P11595" i="58" s="1"/>
  <c r="Q11595" i="58" s="1"/>
  <c r="K11595" i="58"/>
  <c r="L11595" i="58" s="1"/>
  <c r="L11586" i="58" s="1"/>
  <c r="O11594" i="58"/>
  <c r="P11594" i="58" s="1"/>
  <c r="O11593" i="58"/>
  <c r="P11593" i="58" s="1"/>
  <c r="J11593" i="58"/>
  <c r="I11593" i="58"/>
  <c r="O11592" i="58"/>
  <c r="P11592" i="58" s="1"/>
  <c r="I11592" i="58"/>
  <c r="J11592" i="58" s="1"/>
  <c r="O11591" i="58"/>
  <c r="P11591" i="58" s="1"/>
  <c r="I11591" i="58"/>
  <c r="J11591" i="58" s="1"/>
  <c r="P11590" i="58"/>
  <c r="O11590" i="58"/>
  <c r="I11590" i="58"/>
  <c r="J11590" i="58" s="1"/>
  <c r="O11589" i="58"/>
  <c r="P11589" i="58" s="1"/>
  <c r="I11589" i="58"/>
  <c r="J11589" i="58" s="1"/>
  <c r="O11588" i="58"/>
  <c r="P11588" i="58" s="1"/>
  <c r="I11588" i="58"/>
  <c r="J11588" i="58" s="1"/>
  <c r="P11587" i="58"/>
  <c r="O11587" i="58"/>
  <c r="O11586" i="58"/>
  <c r="P11586" i="58" s="1"/>
  <c r="Q11586" i="58" s="1"/>
  <c r="N11586" i="58"/>
  <c r="O11585" i="58"/>
  <c r="P11585" i="58" s="1"/>
  <c r="K11585" i="58"/>
  <c r="L11585" i="58" s="1"/>
  <c r="L11576" i="58" s="1"/>
  <c r="P11584" i="58"/>
  <c r="O11584" i="58"/>
  <c r="O11583" i="58"/>
  <c r="P11583" i="58" s="1"/>
  <c r="I11583" i="58"/>
  <c r="J11583" i="58" s="1"/>
  <c r="O11582" i="58"/>
  <c r="P11582" i="58" s="1"/>
  <c r="I11582" i="58"/>
  <c r="J11582" i="58" s="1"/>
  <c r="O11581" i="58"/>
  <c r="P11581" i="58" s="1"/>
  <c r="J11581" i="58"/>
  <c r="I11581" i="58"/>
  <c r="P11580" i="58"/>
  <c r="O11580" i="58"/>
  <c r="I11580" i="58"/>
  <c r="J11580" i="58" s="1"/>
  <c r="O11579" i="58"/>
  <c r="P11579" i="58" s="1"/>
  <c r="I11579" i="58"/>
  <c r="J11579" i="58" s="1"/>
  <c r="O11578" i="58"/>
  <c r="P11578" i="58" s="1"/>
  <c r="I11578" i="58"/>
  <c r="J11578" i="58" s="1"/>
  <c r="O11577" i="58"/>
  <c r="P11577" i="58" s="1"/>
  <c r="O11576" i="58"/>
  <c r="P11576" i="58" s="1"/>
  <c r="Q11576" i="58" s="1"/>
  <c r="N11576" i="58"/>
  <c r="O11575" i="58"/>
  <c r="P11575" i="58" s="1"/>
  <c r="K11575" i="58"/>
  <c r="L11575" i="58" s="1"/>
  <c r="L11566" i="58" s="1"/>
  <c r="O11574" i="58"/>
  <c r="P11574" i="58" s="1"/>
  <c r="O11573" i="58"/>
  <c r="P11573" i="58" s="1"/>
  <c r="J11573" i="58"/>
  <c r="I11573" i="58"/>
  <c r="O11572" i="58"/>
  <c r="P11572" i="58" s="1"/>
  <c r="I11572" i="58"/>
  <c r="J11572" i="58" s="1"/>
  <c r="O11571" i="58"/>
  <c r="P11571" i="58" s="1"/>
  <c r="I11571" i="58"/>
  <c r="J11571" i="58" s="1"/>
  <c r="O11570" i="58"/>
  <c r="P11570" i="58" s="1"/>
  <c r="I11570" i="58"/>
  <c r="J11570" i="58" s="1"/>
  <c r="O11569" i="58"/>
  <c r="P11569" i="58" s="1"/>
  <c r="I11569" i="58"/>
  <c r="J11569" i="58" s="1"/>
  <c r="O11568" i="58"/>
  <c r="P11568" i="58" s="1"/>
  <c r="I11568" i="58"/>
  <c r="J11568" i="58" s="1"/>
  <c r="O11567" i="58"/>
  <c r="P11567" i="58" s="1"/>
  <c r="O11566" i="58"/>
  <c r="P11566" i="58" s="1"/>
  <c r="Q11566" i="58" s="1"/>
  <c r="N11566" i="58"/>
  <c r="O11565" i="58"/>
  <c r="P11565" i="58" s="1"/>
  <c r="K11565" i="58"/>
  <c r="L11565" i="58" s="1"/>
  <c r="L11556" i="58" s="1"/>
  <c r="O11564" i="58"/>
  <c r="P11564" i="58" s="1"/>
  <c r="O11563" i="58"/>
  <c r="P11563" i="58" s="1"/>
  <c r="I11563" i="58"/>
  <c r="J11563" i="58" s="1"/>
  <c r="P11562" i="58"/>
  <c r="O11562" i="58"/>
  <c r="I11562" i="58"/>
  <c r="J11562" i="58" s="1"/>
  <c r="O11561" i="58"/>
  <c r="P11561" i="58" s="1"/>
  <c r="I11561" i="58"/>
  <c r="J11561" i="58" s="1"/>
  <c r="P11560" i="58"/>
  <c r="O11560" i="58"/>
  <c r="I11560" i="58"/>
  <c r="J11560" i="58" s="1"/>
  <c r="O11559" i="58"/>
  <c r="P11559" i="58" s="1"/>
  <c r="I11559" i="58"/>
  <c r="J11559" i="58" s="1"/>
  <c r="O11558" i="58"/>
  <c r="P11558" i="58" s="1"/>
  <c r="I11558" i="58"/>
  <c r="J11558" i="58" s="1"/>
  <c r="O11557" i="58"/>
  <c r="P11557" i="58" s="1"/>
  <c r="O11556" i="58"/>
  <c r="P11556" i="58" s="1"/>
  <c r="Q11556" i="58" s="1"/>
  <c r="N11556" i="58"/>
  <c r="P11555" i="58"/>
  <c r="O11555" i="58"/>
  <c r="K11555" i="58"/>
  <c r="L11555" i="58" s="1"/>
  <c r="L11546" i="58" s="1"/>
  <c r="O11554" i="58"/>
  <c r="P11554" i="58" s="1"/>
  <c r="P11553" i="58"/>
  <c r="O11553" i="58"/>
  <c r="I11553" i="58"/>
  <c r="J11553" i="58" s="1"/>
  <c r="O11552" i="58"/>
  <c r="P11552" i="58" s="1"/>
  <c r="I11552" i="58"/>
  <c r="J11552" i="58" s="1"/>
  <c r="O11551" i="58"/>
  <c r="P11551" i="58" s="1"/>
  <c r="I11551" i="58"/>
  <c r="J11551" i="58" s="1"/>
  <c r="P11550" i="58"/>
  <c r="O11550" i="58"/>
  <c r="I11550" i="58"/>
  <c r="J11550" i="58" s="1"/>
  <c r="O11549" i="58"/>
  <c r="P11549" i="58" s="1"/>
  <c r="I11549" i="58"/>
  <c r="J11549" i="58" s="1"/>
  <c r="P11548" i="58"/>
  <c r="O11548" i="58"/>
  <c r="I11548" i="58"/>
  <c r="J11548" i="58" s="1"/>
  <c r="O11547" i="58"/>
  <c r="P11547" i="58" s="1"/>
  <c r="O11546" i="58"/>
  <c r="P11546" i="58" s="1"/>
  <c r="Q11546" i="58" s="1"/>
  <c r="N11546" i="58"/>
  <c r="O11545" i="58"/>
  <c r="P11545" i="58" s="1"/>
  <c r="K11545" i="58"/>
  <c r="L11545" i="58" s="1"/>
  <c r="L11536" i="58" s="1"/>
  <c r="O11544" i="58"/>
  <c r="P11544" i="58" s="1"/>
  <c r="O11543" i="58"/>
  <c r="P11543" i="58" s="1"/>
  <c r="I11543" i="58"/>
  <c r="J11543" i="58" s="1"/>
  <c r="P11542" i="58"/>
  <c r="O11542" i="58"/>
  <c r="I11542" i="58"/>
  <c r="J11542" i="58" s="1"/>
  <c r="P11541" i="58"/>
  <c r="O11541" i="58"/>
  <c r="I11541" i="58"/>
  <c r="J11541" i="58" s="1"/>
  <c r="P11540" i="58"/>
  <c r="O11540" i="58"/>
  <c r="I11540" i="58"/>
  <c r="J11540" i="58" s="1"/>
  <c r="P11539" i="58"/>
  <c r="O11539" i="58"/>
  <c r="I11539" i="58"/>
  <c r="J11539" i="58" s="1"/>
  <c r="O11538" i="58"/>
  <c r="P11538" i="58" s="1"/>
  <c r="I11538" i="58"/>
  <c r="J11538" i="58" s="1"/>
  <c r="O11537" i="58"/>
  <c r="P11537" i="58" s="1"/>
  <c r="O11536" i="58"/>
  <c r="P11536" i="58" s="1"/>
  <c r="Q11536" i="58" s="1"/>
  <c r="N11536" i="58"/>
  <c r="O11535" i="58"/>
  <c r="P11535" i="58" s="1"/>
  <c r="K11535" i="58"/>
  <c r="L11535" i="58" s="1"/>
  <c r="L11526" i="58" s="1"/>
  <c r="O11534" i="58"/>
  <c r="P11534" i="58" s="1"/>
  <c r="O11533" i="58"/>
  <c r="P11533" i="58" s="1"/>
  <c r="I11533" i="58"/>
  <c r="J11533" i="58" s="1"/>
  <c r="P11532" i="58"/>
  <c r="O11532" i="58"/>
  <c r="J11532" i="58"/>
  <c r="I11532" i="58"/>
  <c r="O11531" i="58"/>
  <c r="P11531" i="58" s="1"/>
  <c r="I11531" i="58"/>
  <c r="J11531" i="58" s="1"/>
  <c r="O11530" i="58"/>
  <c r="P11530" i="58" s="1"/>
  <c r="I11530" i="58"/>
  <c r="J11530" i="58" s="1"/>
  <c r="P11529" i="58"/>
  <c r="O11529" i="58"/>
  <c r="I11529" i="58"/>
  <c r="J11529" i="58" s="1"/>
  <c r="P11528" i="58"/>
  <c r="O11528" i="58"/>
  <c r="I11528" i="58"/>
  <c r="J11528" i="58" s="1"/>
  <c r="O11527" i="58"/>
  <c r="P11527" i="58" s="1"/>
  <c r="O11526" i="58"/>
  <c r="P11526" i="58" s="1"/>
  <c r="Q11526" i="58" s="1"/>
  <c r="N11526" i="58"/>
  <c r="O11525" i="58"/>
  <c r="P11525" i="58" s="1"/>
  <c r="K11525" i="58"/>
  <c r="L11525" i="58" s="1"/>
  <c r="L11516" i="58" s="1"/>
  <c r="O11524" i="58"/>
  <c r="P11524" i="58" s="1"/>
  <c r="O11523" i="58"/>
  <c r="P11523" i="58" s="1"/>
  <c r="I11523" i="58"/>
  <c r="J11523" i="58" s="1"/>
  <c r="O11522" i="58"/>
  <c r="P11522" i="58" s="1"/>
  <c r="I11522" i="58"/>
  <c r="J11522" i="58" s="1"/>
  <c r="O11521" i="58"/>
  <c r="P11521" i="58" s="1"/>
  <c r="I11521" i="58"/>
  <c r="J11521" i="58" s="1"/>
  <c r="P11520" i="58"/>
  <c r="O11520" i="58"/>
  <c r="I11520" i="58"/>
  <c r="J11520" i="58" s="1"/>
  <c r="O11519" i="58"/>
  <c r="P11519" i="58" s="1"/>
  <c r="J11519" i="58"/>
  <c r="I11519" i="58"/>
  <c r="O11518" i="58"/>
  <c r="P11518" i="58" s="1"/>
  <c r="I11518" i="58"/>
  <c r="J11518" i="58" s="1"/>
  <c r="O11517" i="58"/>
  <c r="P11517" i="58" s="1"/>
  <c r="P11516" i="58"/>
  <c r="Q11516" i="58" s="1"/>
  <c r="O11516" i="58"/>
  <c r="N11516" i="58"/>
  <c r="P11515" i="58"/>
  <c r="Q11515" i="58" s="1"/>
  <c r="R11515" i="58" s="1"/>
  <c r="O11515" i="58"/>
  <c r="K11515" i="58"/>
  <c r="L11515" i="58" s="1"/>
  <c r="L11507" i="58" s="1"/>
  <c r="O11514" i="58"/>
  <c r="P11514" i="58" s="1"/>
  <c r="O11513" i="58"/>
  <c r="P11513" i="58" s="1"/>
  <c r="I11513" i="58"/>
  <c r="J11513" i="58" s="1"/>
  <c r="O11512" i="58"/>
  <c r="P11512" i="58" s="1"/>
  <c r="I11512" i="58"/>
  <c r="J11512" i="58" s="1"/>
  <c r="P11511" i="58"/>
  <c r="O11511" i="58"/>
  <c r="I11511" i="58"/>
  <c r="J11511" i="58" s="1"/>
  <c r="O11510" i="58"/>
  <c r="P11510" i="58" s="1"/>
  <c r="I11510" i="58"/>
  <c r="J11510" i="58" s="1"/>
  <c r="P11509" i="58"/>
  <c r="O11509" i="58"/>
  <c r="I11509" i="58"/>
  <c r="J11509" i="58" s="1"/>
  <c r="O11508" i="58"/>
  <c r="P11508" i="58" s="1"/>
  <c r="O11507" i="58"/>
  <c r="P11507" i="58" s="1"/>
  <c r="Q11507" i="58" s="1"/>
  <c r="N11507" i="58"/>
  <c r="O11506" i="58"/>
  <c r="P11506" i="58" s="1"/>
  <c r="Q11506" i="58" s="1"/>
  <c r="R11506" i="58" s="1"/>
  <c r="K11506" i="58"/>
  <c r="L11506" i="58" s="1"/>
  <c r="O11505" i="58"/>
  <c r="P11505" i="58" s="1"/>
  <c r="Q11505" i="58" s="1"/>
  <c r="R11505" i="58" s="1"/>
  <c r="O11504" i="58"/>
  <c r="P11504" i="58" s="1"/>
  <c r="I11504" i="58"/>
  <c r="J11504" i="58" s="1"/>
  <c r="O11503" i="58"/>
  <c r="P11503" i="58" s="1"/>
  <c r="J11503" i="58"/>
  <c r="I11503" i="58"/>
  <c r="O11502" i="58"/>
  <c r="P11502" i="58" s="1"/>
  <c r="I11502" i="58"/>
  <c r="J11502" i="58" s="1"/>
  <c r="O11501" i="58"/>
  <c r="P11501" i="58" s="1"/>
  <c r="I11501" i="58"/>
  <c r="J11501" i="58" s="1"/>
  <c r="O11500" i="58"/>
  <c r="P11500" i="58" s="1"/>
  <c r="I11500" i="58"/>
  <c r="J11500" i="58" s="1"/>
  <c r="O11499" i="58"/>
  <c r="P11499" i="58" s="1"/>
  <c r="O11498" i="58"/>
  <c r="P11498" i="58" s="1"/>
  <c r="Q11498" i="58" s="1"/>
  <c r="N11498" i="58"/>
  <c r="L11498" i="58"/>
  <c r="O11497" i="58"/>
  <c r="P11497" i="58" s="1"/>
  <c r="Q11497" i="58" s="1"/>
  <c r="L11497" i="58"/>
  <c r="L11489" i="58" s="1"/>
  <c r="K11497" i="58"/>
  <c r="O11496" i="58"/>
  <c r="P11496" i="58" s="1"/>
  <c r="O11495" i="58"/>
  <c r="P11495" i="58" s="1"/>
  <c r="I11495" i="58"/>
  <c r="J11495" i="58" s="1"/>
  <c r="P11494" i="58"/>
  <c r="O11494" i="58"/>
  <c r="I11494" i="58"/>
  <c r="J11494" i="58" s="1"/>
  <c r="O11493" i="58"/>
  <c r="P11493" i="58" s="1"/>
  <c r="I11493" i="58"/>
  <c r="J11493" i="58" s="1"/>
  <c r="O11492" i="58"/>
  <c r="P11492" i="58" s="1"/>
  <c r="I11492" i="58"/>
  <c r="J11492" i="58" s="1"/>
  <c r="O11491" i="58"/>
  <c r="P11491" i="58" s="1"/>
  <c r="I11491" i="58"/>
  <c r="J11491" i="58" s="1"/>
  <c r="P11490" i="58"/>
  <c r="O11490" i="58"/>
  <c r="Q11489" i="58"/>
  <c r="O11489" i="58"/>
  <c r="P11489" i="58" s="1"/>
  <c r="N11489" i="58"/>
  <c r="P11488" i="58"/>
  <c r="O11488" i="58"/>
  <c r="K11488" i="58"/>
  <c r="L11488" i="58" s="1"/>
  <c r="L11480" i="58" s="1"/>
  <c r="O11487" i="58"/>
  <c r="P11487" i="58" s="1"/>
  <c r="O11486" i="58"/>
  <c r="P11486" i="58" s="1"/>
  <c r="I11486" i="58"/>
  <c r="J11486" i="58" s="1"/>
  <c r="O11485" i="58"/>
  <c r="P11485" i="58" s="1"/>
  <c r="J11485" i="58"/>
  <c r="I11485" i="58"/>
  <c r="O11484" i="58"/>
  <c r="P11484" i="58" s="1"/>
  <c r="I11484" i="58"/>
  <c r="J11484" i="58" s="1"/>
  <c r="O11483" i="58"/>
  <c r="P11483" i="58" s="1"/>
  <c r="I11483" i="58"/>
  <c r="J11483" i="58" s="1"/>
  <c r="J11480" i="58" s="1"/>
  <c r="P11482" i="58"/>
  <c r="O11482" i="58"/>
  <c r="I11482" i="58"/>
  <c r="J11482" i="58" s="1"/>
  <c r="O11481" i="58"/>
  <c r="P11481" i="58" s="1"/>
  <c r="O11480" i="58"/>
  <c r="P11480" i="58" s="1"/>
  <c r="Q11480" i="58" s="1"/>
  <c r="N11480" i="58"/>
  <c r="O11479" i="58"/>
  <c r="P11479" i="58" s="1"/>
  <c r="K11479" i="58"/>
  <c r="L11479" i="58" s="1"/>
  <c r="L11471" i="58" s="1"/>
  <c r="P11478" i="58"/>
  <c r="O11478" i="58"/>
  <c r="O11477" i="58"/>
  <c r="P11477" i="58" s="1"/>
  <c r="I11477" i="58"/>
  <c r="J11477" i="58" s="1"/>
  <c r="O11476" i="58"/>
  <c r="P11476" i="58" s="1"/>
  <c r="I11476" i="58"/>
  <c r="J11476" i="58" s="1"/>
  <c r="O11475" i="58"/>
  <c r="P11475" i="58" s="1"/>
  <c r="I11475" i="58"/>
  <c r="J11475" i="58" s="1"/>
  <c r="P11474" i="58"/>
  <c r="O11474" i="58"/>
  <c r="I11474" i="58"/>
  <c r="J11474" i="58" s="1"/>
  <c r="O11473" i="58"/>
  <c r="P11473" i="58" s="1"/>
  <c r="I11473" i="58"/>
  <c r="J11473" i="58" s="1"/>
  <c r="O11472" i="58"/>
  <c r="P11472" i="58" s="1"/>
  <c r="Q11471" i="58"/>
  <c r="P11471" i="58"/>
  <c r="O11471" i="58"/>
  <c r="N11471" i="58"/>
  <c r="O11470" i="58"/>
  <c r="P11470" i="58" s="1"/>
  <c r="K11470" i="58"/>
  <c r="L11470" i="58" s="1"/>
  <c r="L11462" i="58" s="1"/>
  <c r="P11469" i="58"/>
  <c r="O11469" i="58"/>
  <c r="O11468" i="58"/>
  <c r="P11468" i="58" s="1"/>
  <c r="I11468" i="58"/>
  <c r="J11468" i="58" s="1"/>
  <c r="O11467" i="58"/>
  <c r="P11467" i="58" s="1"/>
  <c r="I11467" i="58"/>
  <c r="J11467" i="58" s="1"/>
  <c r="O11466" i="58"/>
  <c r="P11466" i="58" s="1"/>
  <c r="I11466" i="58"/>
  <c r="J11466" i="58" s="1"/>
  <c r="O11465" i="58"/>
  <c r="P11465" i="58" s="1"/>
  <c r="I11465" i="58"/>
  <c r="J11465" i="58" s="1"/>
  <c r="O11464" i="58"/>
  <c r="P11464" i="58" s="1"/>
  <c r="I11464" i="58"/>
  <c r="J11464" i="58" s="1"/>
  <c r="O11463" i="58"/>
  <c r="P11463" i="58" s="1"/>
  <c r="O11462" i="58"/>
  <c r="P11462" i="58" s="1"/>
  <c r="Q11462" i="58" s="1"/>
  <c r="N11462" i="58"/>
  <c r="O11461" i="58"/>
  <c r="P11461" i="58" s="1"/>
  <c r="K11461" i="58"/>
  <c r="L11461" i="58" s="1"/>
  <c r="L11453" i="58" s="1"/>
  <c r="O11460" i="58"/>
  <c r="P11460" i="58" s="1"/>
  <c r="O11459" i="58"/>
  <c r="P11459" i="58" s="1"/>
  <c r="I11459" i="58"/>
  <c r="J11459" i="58" s="1"/>
  <c r="O11458" i="58"/>
  <c r="P11458" i="58" s="1"/>
  <c r="I11458" i="58"/>
  <c r="J11458" i="58" s="1"/>
  <c r="O11457" i="58"/>
  <c r="P11457" i="58" s="1"/>
  <c r="J11457" i="58"/>
  <c r="I11457" i="58"/>
  <c r="O11456" i="58"/>
  <c r="P11456" i="58" s="1"/>
  <c r="I11456" i="58"/>
  <c r="J11456" i="58" s="1"/>
  <c r="O11455" i="58"/>
  <c r="P11455" i="58" s="1"/>
  <c r="I11455" i="58"/>
  <c r="J11455" i="58" s="1"/>
  <c r="O11454" i="58"/>
  <c r="P11454" i="58" s="1"/>
  <c r="P11453" i="58"/>
  <c r="Q11453" i="58" s="1"/>
  <c r="O11453" i="58"/>
  <c r="N11453" i="58"/>
  <c r="O11452" i="58"/>
  <c r="P11452" i="58" s="1"/>
  <c r="K11452" i="58"/>
  <c r="L11452" i="58" s="1"/>
  <c r="L11444" i="58" s="1"/>
  <c r="O11451" i="58"/>
  <c r="P11451" i="58" s="1"/>
  <c r="O11450" i="58"/>
  <c r="P11450" i="58" s="1"/>
  <c r="I11450" i="58"/>
  <c r="J11450" i="58" s="1"/>
  <c r="O11449" i="58"/>
  <c r="P11449" i="58" s="1"/>
  <c r="J11449" i="58"/>
  <c r="I11449" i="58"/>
  <c r="P11448" i="58"/>
  <c r="O11448" i="58"/>
  <c r="I11448" i="58"/>
  <c r="J11448" i="58" s="1"/>
  <c r="P11447" i="58"/>
  <c r="O11447" i="58"/>
  <c r="I11447" i="58"/>
  <c r="J11447" i="58" s="1"/>
  <c r="O11446" i="58"/>
  <c r="P11446" i="58" s="1"/>
  <c r="I11446" i="58"/>
  <c r="J11446" i="58" s="1"/>
  <c r="O11445" i="58"/>
  <c r="P11445" i="58" s="1"/>
  <c r="O11444" i="58"/>
  <c r="P11444" i="58" s="1"/>
  <c r="Q11444" i="58" s="1"/>
  <c r="N11444" i="58"/>
  <c r="O11443" i="58"/>
  <c r="P11443" i="58" s="1"/>
  <c r="K11443" i="58"/>
  <c r="L11443" i="58" s="1"/>
  <c r="L11435" i="58" s="1"/>
  <c r="O11442" i="58"/>
  <c r="P11442" i="58" s="1"/>
  <c r="O11441" i="58"/>
  <c r="P11441" i="58" s="1"/>
  <c r="I11441" i="58"/>
  <c r="J11441" i="58" s="1"/>
  <c r="O11440" i="58"/>
  <c r="P11440" i="58" s="1"/>
  <c r="I11440" i="58"/>
  <c r="J11440" i="58" s="1"/>
  <c r="P11439" i="58"/>
  <c r="O11439" i="58"/>
  <c r="I11439" i="58"/>
  <c r="J11439" i="58" s="1"/>
  <c r="P11438" i="58"/>
  <c r="O11438" i="58"/>
  <c r="J11438" i="58"/>
  <c r="I11438" i="58"/>
  <c r="P11437" i="58"/>
  <c r="O11437" i="58"/>
  <c r="I11437" i="58"/>
  <c r="J11437" i="58" s="1"/>
  <c r="O11436" i="58"/>
  <c r="P11436" i="58" s="1"/>
  <c r="P11435" i="58"/>
  <c r="Q11435" i="58" s="1"/>
  <c r="O11435" i="58"/>
  <c r="N11435" i="58"/>
  <c r="O11434" i="58"/>
  <c r="P11434" i="58" s="1"/>
  <c r="K11434" i="58"/>
  <c r="L11434" i="58" s="1"/>
  <c r="L11426" i="58" s="1"/>
  <c r="P11433" i="58"/>
  <c r="O11433" i="58"/>
  <c r="O11432" i="58"/>
  <c r="P11432" i="58" s="1"/>
  <c r="I11432" i="58"/>
  <c r="J11432" i="58" s="1"/>
  <c r="P11431" i="58"/>
  <c r="O11431" i="58"/>
  <c r="I11431" i="58"/>
  <c r="J11431" i="58" s="1"/>
  <c r="O11430" i="58"/>
  <c r="P11430" i="58" s="1"/>
  <c r="I11430" i="58"/>
  <c r="J11430" i="58" s="1"/>
  <c r="O11429" i="58"/>
  <c r="P11429" i="58" s="1"/>
  <c r="I11429" i="58"/>
  <c r="J11429" i="58" s="1"/>
  <c r="O11428" i="58"/>
  <c r="P11428" i="58" s="1"/>
  <c r="I11428" i="58"/>
  <c r="J11428" i="58" s="1"/>
  <c r="O11427" i="58"/>
  <c r="P11427" i="58" s="1"/>
  <c r="O11426" i="58"/>
  <c r="P11426" i="58" s="1"/>
  <c r="Q11426" i="58" s="1"/>
  <c r="N11426" i="58"/>
  <c r="O11425" i="58"/>
  <c r="P11425" i="58" s="1"/>
  <c r="K11425" i="58"/>
  <c r="L11425" i="58" s="1"/>
  <c r="L11417" i="58" s="1"/>
  <c r="O11424" i="58"/>
  <c r="P11424" i="58" s="1"/>
  <c r="P11423" i="58"/>
  <c r="O11423" i="58"/>
  <c r="I11423" i="58"/>
  <c r="J11423" i="58" s="1"/>
  <c r="O11422" i="58"/>
  <c r="P11422" i="58" s="1"/>
  <c r="I11422" i="58"/>
  <c r="J11422" i="58" s="1"/>
  <c r="O11421" i="58"/>
  <c r="P11421" i="58" s="1"/>
  <c r="I11421" i="58"/>
  <c r="J11421" i="58" s="1"/>
  <c r="O11420" i="58"/>
  <c r="P11420" i="58" s="1"/>
  <c r="I11420" i="58"/>
  <c r="J11420" i="58" s="1"/>
  <c r="O11419" i="58"/>
  <c r="P11419" i="58" s="1"/>
  <c r="I11419" i="58"/>
  <c r="J11419" i="58" s="1"/>
  <c r="P11418" i="58"/>
  <c r="O11418" i="58"/>
  <c r="O11417" i="58"/>
  <c r="P11417" i="58" s="1"/>
  <c r="Q11417" i="58" s="1"/>
  <c r="N11417" i="58"/>
  <c r="O11416" i="58"/>
  <c r="P11416" i="58" s="1"/>
  <c r="Q11416" i="58" s="1"/>
  <c r="K11416" i="58"/>
  <c r="L11416" i="58" s="1"/>
  <c r="L11408" i="58" s="1"/>
  <c r="O11415" i="58"/>
  <c r="P11415" i="58" s="1"/>
  <c r="P11414" i="58"/>
  <c r="O11414" i="58"/>
  <c r="I11414" i="58"/>
  <c r="J11414" i="58" s="1"/>
  <c r="O11413" i="58"/>
  <c r="P11413" i="58" s="1"/>
  <c r="I11413" i="58"/>
  <c r="J11413" i="58" s="1"/>
  <c r="O11412" i="58"/>
  <c r="P11412" i="58" s="1"/>
  <c r="I11412" i="58"/>
  <c r="J11412" i="58" s="1"/>
  <c r="O11411" i="58"/>
  <c r="P11411" i="58" s="1"/>
  <c r="I11411" i="58"/>
  <c r="J11411" i="58" s="1"/>
  <c r="O11410" i="58"/>
  <c r="P11410" i="58" s="1"/>
  <c r="I11410" i="58"/>
  <c r="J11410" i="58" s="1"/>
  <c r="O11409" i="58"/>
  <c r="P11409" i="58" s="1"/>
  <c r="O11408" i="58"/>
  <c r="P11408" i="58" s="1"/>
  <c r="Q11408" i="58" s="1"/>
  <c r="N11408" i="58"/>
  <c r="O11407" i="58"/>
  <c r="P11407" i="58" s="1"/>
  <c r="O11406" i="58"/>
  <c r="P11406" i="58" s="1"/>
  <c r="O11405" i="58"/>
  <c r="P11405" i="58" s="1"/>
  <c r="K11405" i="58"/>
  <c r="L11405" i="58" s="1"/>
  <c r="L11393" i="58" s="1"/>
  <c r="G36" i="51" s="1"/>
  <c r="G35" i="51" s="1"/>
  <c r="O11404" i="58"/>
  <c r="P11404" i="58" s="1"/>
  <c r="O11403" i="58"/>
  <c r="P11403" i="58" s="1"/>
  <c r="I11403" i="58"/>
  <c r="J11403" i="58" s="1"/>
  <c r="O11402" i="58"/>
  <c r="P11402" i="58" s="1"/>
  <c r="I11402" i="58"/>
  <c r="J11402" i="58" s="1"/>
  <c r="O11401" i="58"/>
  <c r="P11401" i="58" s="1"/>
  <c r="I11401" i="58"/>
  <c r="J11401" i="58" s="1"/>
  <c r="O11400" i="58"/>
  <c r="P11400" i="58" s="1"/>
  <c r="I11400" i="58"/>
  <c r="J11400" i="58" s="1"/>
  <c r="O11399" i="58"/>
  <c r="P11399" i="58" s="1"/>
  <c r="I11399" i="58"/>
  <c r="J11399" i="58" s="1"/>
  <c r="O11398" i="58"/>
  <c r="P11398" i="58" s="1"/>
  <c r="I11398" i="58"/>
  <c r="J11398" i="58" s="1"/>
  <c r="O11397" i="58"/>
  <c r="P11397" i="58" s="1"/>
  <c r="I11397" i="58"/>
  <c r="J11397" i="58" s="1"/>
  <c r="P11396" i="58"/>
  <c r="O11396" i="58"/>
  <c r="I11396" i="58"/>
  <c r="J11396" i="58" s="1"/>
  <c r="O11395" i="58"/>
  <c r="P11395" i="58" s="1"/>
  <c r="I11395" i="58"/>
  <c r="J11395" i="58" s="1"/>
  <c r="P11394" i="58"/>
  <c r="O11394" i="58"/>
  <c r="O11393" i="58"/>
  <c r="P11393" i="58" s="1"/>
  <c r="Q11393" i="58" s="1"/>
  <c r="O11392" i="58"/>
  <c r="P11392" i="58" s="1"/>
  <c r="O11391" i="58"/>
  <c r="P11391" i="58" s="1"/>
  <c r="O11390" i="58"/>
  <c r="P11390" i="58" s="1"/>
  <c r="K11390" i="58"/>
  <c r="L11390" i="58" s="1"/>
  <c r="L11384" i="58" s="1"/>
  <c r="O11389" i="58"/>
  <c r="P11389" i="58" s="1"/>
  <c r="O11388" i="58"/>
  <c r="P11388" i="58" s="1"/>
  <c r="I11388" i="58"/>
  <c r="J11388" i="58" s="1"/>
  <c r="P11387" i="58"/>
  <c r="O11387" i="58"/>
  <c r="I11387" i="58"/>
  <c r="J11387" i="58" s="1"/>
  <c r="O11386" i="58"/>
  <c r="P11386" i="58" s="1"/>
  <c r="I11386" i="58"/>
  <c r="J11386" i="58" s="1"/>
  <c r="O11385" i="58"/>
  <c r="P11385" i="58" s="1"/>
  <c r="P11384" i="58"/>
  <c r="Q11384" i="58" s="1"/>
  <c r="O11384" i="58"/>
  <c r="O11383" i="58"/>
  <c r="P11383" i="58" s="1"/>
  <c r="O11382" i="58"/>
  <c r="P11382" i="58" s="1"/>
  <c r="O11381" i="58"/>
  <c r="P11381" i="58" s="1"/>
  <c r="K11381" i="58"/>
  <c r="L11381" i="58" s="1"/>
  <c r="L11375" i="58" s="1"/>
  <c r="P11380" i="58"/>
  <c r="O11380" i="58"/>
  <c r="O11379" i="58"/>
  <c r="P11379" i="58" s="1"/>
  <c r="I11379" i="58"/>
  <c r="J11379" i="58" s="1"/>
  <c r="O11378" i="58"/>
  <c r="P11378" i="58" s="1"/>
  <c r="I11378" i="58"/>
  <c r="J11378" i="58" s="1"/>
  <c r="O11377" i="58"/>
  <c r="P11377" i="58" s="1"/>
  <c r="I11377" i="58"/>
  <c r="J11377" i="58" s="1"/>
  <c r="J11375" i="58" s="1"/>
  <c r="P11376" i="58"/>
  <c r="O11376" i="58"/>
  <c r="O11375" i="58"/>
  <c r="P11375" i="58" s="1"/>
  <c r="Q11375" i="58" s="1"/>
  <c r="O11374" i="58"/>
  <c r="P11374" i="58" s="1"/>
  <c r="K11374" i="58"/>
  <c r="L11374" i="58" s="1"/>
  <c r="L11369" i="58" s="1"/>
  <c r="O11373" i="58"/>
  <c r="P11373" i="58" s="1"/>
  <c r="O11372" i="58"/>
  <c r="P11372" i="58" s="1"/>
  <c r="I11372" i="58"/>
  <c r="J11372" i="58" s="1"/>
  <c r="P11371" i="58"/>
  <c r="O11371" i="58"/>
  <c r="I11371" i="58"/>
  <c r="J11371" i="58" s="1"/>
  <c r="O11370" i="58"/>
  <c r="P11370" i="58" s="1"/>
  <c r="O11369" i="58"/>
  <c r="P11369" i="58" s="1"/>
  <c r="Q11369" i="58" s="1"/>
  <c r="N11369" i="58"/>
  <c r="O11368" i="58"/>
  <c r="P11368" i="58" s="1"/>
  <c r="K11368" i="58"/>
  <c r="L11368" i="58" s="1"/>
  <c r="L11361" i="58" s="1"/>
  <c r="O11367" i="58"/>
  <c r="P11367" i="58" s="1"/>
  <c r="O11366" i="58"/>
  <c r="P11366" i="58" s="1"/>
  <c r="I11366" i="58"/>
  <c r="J11366" i="58" s="1"/>
  <c r="O11365" i="58"/>
  <c r="P11365" i="58" s="1"/>
  <c r="I11365" i="58"/>
  <c r="J11365" i="58" s="1"/>
  <c r="O11364" i="58"/>
  <c r="P11364" i="58" s="1"/>
  <c r="I11364" i="58"/>
  <c r="J11364" i="58" s="1"/>
  <c r="P11363" i="58"/>
  <c r="O11363" i="58"/>
  <c r="I11363" i="58"/>
  <c r="J11363" i="58" s="1"/>
  <c r="O11362" i="58"/>
  <c r="P11362" i="58" s="1"/>
  <c r="P11361" i="58"/>
  <c r="Q11361" i="58" s="1"/>
  <c r="O11361" i="58"/>
  <c r="N11361" i="58"/>
  <c r="P11360" i="58"/>
  <c r="O11360" i="58"/>
  <c r="K11360" i="58"/>
  <c r="L11360" i="58" s="1"/>
  <c r="L11353" i="58" s="1"/>
  <c r="O11359" i="58"/>
  <c r="P11359" i="58" s="1"/>
  <c r="O11358" i="58"/>
  <c r="P11358" i="58" s="1"/>
  <c r="I11358" i="58"/>
  <c r="J11358" i="58" s="1"/>
  <c r="O11357" i="58"/>
  <c r="P11357" i="58" s="1"/>
  <c r="I11357" i="58"/>
  <c r="J11357" i="58" s="1"/>
  <c r="O11356" i="58"/>
  <c r="P11356" i="58" s="1"/>
  <c r="I11356" i="58"/>
  <c r="J11356" i="58" s="1"/>
  <c r="O11355" i="58"/>
  <c r="P11355" i="58" s="1"/>
  <c r="I11355" i="58"/>
  <c r="J11355" i="58" s="1"/>
  <c r="O11354" i="58"/>
  <c r="P11354" i="58" s="1"/>
  <c r="O11353" i="58"/>
  <c r="P11353" i="58" s="1"/>
  <c r="Q11353" i="58" s="1"/>
  <c r="N11353" i="58"/>
  <c r="O11352" i="58"/>
  <c r="P11352" i="58" s="1"/>
  <c r="O11351" i="58"/>
  <c r="P11351" i="58" s="1"/>
  <c r="O11350" i="58"/>
  <c r="P11350" i="58" s="1"/>
  <c r="K11350" i="58"/>
  <c r="L11350" i="58" s="1"/>
  <c r="L11344" i="58" s="1"/>
  <c r="O11349" i="58"/>
  <c r="P11349" i="58" s="1"/>
  <c r="O11348" i="58"/>
  <c r="P11348" i="58" s="1"/>
  <c r="I11348" i="58"/>
  <c r="J11348" i="58" s="1"/>
  <c r="O11347" i="58"/>
  <c r="P11347" i="58" s="1"/>
  <c r="I11347" i="58"/>
  <c r="J11347" i="58" s="1"/>
  <c r="P11346" i="58"/>
  <c r="O11346" i="58"/>
  <c r="I11346" i="58"/>
  <c r="J11346" i="58" s="1"/>
  <c r="O11345" i="58"/>
  <c r="P11345" i="58" s="1"/>
  <c r="P11344" i="58"/>
  <c r="Q11344" i="58" s="1"/>
  <c r="O11344" i="58"/>
  <c r="O11343" i="58"/>
  <c r="P11343" i="58" s="1"/>
  <c r="P11342" i="58"/>
  <c r="O11342" i="58"/>
  <c r="O11341" i="58"/>
  <c r="P11341" i="58" s="1"/>
  <c r="K11341" i="58"/>
  <c r="L11341" i="58" s="1"/>
  <c r="L11335" i="58" s="1"/>
  <c r="O11340" i="58"/>
  <c r="P11340" i="58" s="1"/>
  <c r="P11339" i="58"/>
  <c r="O11339" i="58"/>
  <c r="I11339" i="58"/>
  <c r="J11339" i="58" s="1"/>
  <c r="P11338" i="58"/>
  <c r="O11338" i="58"/>
  <c r="I11338" i="58"/>
  <c r="J11338" i="58" s="1"/>
  <c r="O11337" i="58"/>
  <c r="P11337" i="58" s="1"/>
  <c r="I11337" i="58"/>
  <c r="J11337" i="58" s="1"/>
  <c r="P11336" i="58"/>
  <c r="O11336" i="58"/>
  <c r="P11335" i="58"/>
  <c r="Q11335" i="58" s="1"/>
  <c r="O11335" i="58"/>
  <c r="P11334" i="58"/>
  <c r="Q11334" i="58" s="1"/>
  <c r="R11334" i="58" s="1"/>
  <c r="O11334" i="58"/>
  <c r="O11333" i="58"/>
  <c r="P11333" i="58" s="1"/>
  <c r="P11332" i="58"/>
  <c r="O11332" i="58"/>
  <c r="K11332" i="58"/>
  <c r="L11332" i="58" s="1"/>
  <c r="L11324" i="58" s="1"/>
  <c r="O11331" i="58"/>
  <c r="P11331" i="58" s="1"/>
  <c r="O11330" i="58"/>
  <c r="P11330" i="58" s="1"/>
  <c r="I11330" i="58"/>
  <c r="J11330" i="58" s="1"/>
  <c r="O11329" i="58"/>
  <c r="P11329" i="58" s="1"/>
  <c r="I11329" i="58"/>
  <c r="J11329" i="58" s="1"/>
  <c r="O11328" i="58"/>
  <c r="P11328" i="58" s="1"/>
  <c r="I11328" i="58"/>
  <c r="J11328" i="58" s="1"/>
  <c r="P11327" i="58"/>
  <c r="O11327" i="58"/>
  <c r="I11327" i="58"/>
  <c r="J11327" i="58" s="1"/>
  <c r="O11326" i="58"/>
  <c r="P11326" i="58" s="1"/>
  <c r="I11326" i="58"/>
  <c r="J11326" i="58" s="1"/>
  <c r="O11325" i="58"/>
  <c r="P11325" i="58" s="1"/>
  <c r="O11324" i="58"/>
  <c r="P11324" i="58" s="1"/>
  <c r="Q11324" i="58" s="1"/>
  <c r="O11323" i="58"/>
  <c r="P11323" i="58" s="1"/>
  <c r="O11322" i="58"/>
  <c r="P11322" i="58" s="1"/>
  <c r="O11321" i="58"/>
  <c r="P11321" i="58" s="1"/>
  <c r="K11321" i="58"/>
  <c r="L11321" i="58" s="1"/>
  <c r="L11313" i="58" s="1"/>
  <c r="O11320" i="58"/>
  <c r="P11320" i="58" s="1"/>
  <c r="O11319" i="58"/>
  <c r="P11319" i="58" s="1"/>
  <c r="I11319" i="58"/>
  <c r="J11319" i="58" s="1"/>
  <c r="P11318" i="58"/>
  <c r="O11318" i="58"/>
  <c r="I11318" i="58"/>
  <c r="J11318" i="58" s="1"/>
  <c r="O11317" i="58"/>
  <c r="P11317" i="58" s="1"/>
  <c r="I11317" i="58"/>
  <c r="J11317" i="58" s="1"/>
  <c r="O11316" i="58"/>
  <c r="P11316" i="58" s="1"/>
  <c r="I11316" i="58"/>
  <c r="J11316" i="58" s="1"/>
  <c r="P11315" i="58"/>
  <c r="O11315" i="58"/>
  <c r="I11315" i="58"/>
  <c r="J11315" i="58" s="1"/>
  <c r="O11314" i="58"/>
  <c r="P11314" i="58" s="1"/>
  <c r="O11313" i="58"/>
  <c r="P11313" i="58" s="1"/>
  <c r="Q11313" i="58" s="1"/>
  <c r="O11312" i="58"/>
  <c r="P11312" i="58" s="1"/>
  <c r="N11312" i="58"/>
  <c r="N11302" i="58" s="1"/>
  <c r="P11311" i="58"/>
  <c r="O11311" i="58"/>
  <c r="P11310" i="58"/>
  <c r="O11310" i="58"/>
  <c r="K11310" i="58"/>
  <c r="L11310" i="58" s="1"/>
  <c r="L11302" i="58" s="1"/>
  <c r="P11309" i="58"/>
  <c r="O11309" i="58"/>
  <c r="O11308" i="58"/>
  <c r="P11308" i="58" s="1"/>
  <c r="I11308" i="58"/>
  <c r="J11308" i="58" s="1"/>
  <c r="O11307" i="58"/>
  <c r="P11307" i="58" s="1"/>
  <c r="I11307" i="58"/>
  <c r="J11307" i="58" s="1"/>
  <c r="P11306" i="58"/>
  <c r="O11306" i="58"/>
  <c r="I11306" i="58"/>
  <c r="J11306" i="58" s="1"/>
  <c r="O11305" i="58"/>
  <c r="P11305" i="58" s="1"/>
  <c r="I11305" i="58"/>
  <c r="J11305" i="58" s="1"/>
  <c r="P11304" i="58"/>
  <c r="O11304" i="58"/>
  <c r="J11304" i="58"/>
  <c r="I11304" i="58"/>
  <c r="O11303" i="58"/>
  <c r="P11303" i="58" s="1"/>
  <c r="O11302" i="58"/>
  <c r="P11302" i="58" s="1"/>
  <c r="Q11302" i="58" s="1"/>
  <c r="P11301" i="58"/>
  <c r="Q11301" i="58" s="1"/>
  <c r="R11301" i="58" s="1"/>
  <c r="O11301" i="58"/>
  <c r="K11301" i="58"/>
  <c r="L11301" i="58" s="1"/>
  <c r="L11294" i="58" s="1"/>
  <c r="O11300" i="58"/>
  <c r="P11300" i="58" s="1"/>
  <c r="O11299" i="58"/>
  <c r="P11299" i="58" s="1"/>
  <c r="I11299" i="58"/>
  <c r="J11299" i="58" s="1"/>
  <c r="O11298" i="58"/>
  <c r="P11298" i="58" s="1"/>
  <c r="I11298" i="58"/>
  <c r="J11298" i="58" s="1"/>
  <c r="P11297" i="58"/>
  <c r="O11297" i="58"/>
  <c r="I11297" i="58"/>
  <c r="J11297" i="58" s="1"/>
  <c r="P11296" i="58"/>
  <c r="O11296" i="58"/>
  <c r="J11296" i="58"/>
  <c r="I11296" i="58"/>
  <c r="O11295" i="58"/>
  <c r="P11295" i="58" s="1"/>
  <c r="O11294" i="58"/>
  <c r="P11294" i="58" s="1"/>
  <c r="Q11294" i="58" s="1"/>
  <c r="N11294" i="58"/>
  <c r="O11293" i="58"/>
  <c r="P11293" i="58" s="1"/>
  <c r="K11293" i="58"/>
  <c r="L11293" i="58" s="1"/>
  <c r="L11286" i="58" s="1"/>
  <c r="O11292" i="58"/>
  <c r="P11292" i="58" s="1"/>
  <c r="O11291" i="58"/>
  <c r="P11291" i="58" s="1"/>
  <c r="I11291" i="58"/>
  <c r="J11291" i="58" s="1"/>
  <c r="P11290" i="58"/>
  <c r="O11290" i="58"/>
  <c r="I11290" i="58"/>
  <c r="J11290" i="58" s="1"/>
  <c r="O11289" i="58"/>
  <c r="P11289" i="58" s="1"/>
  <c r="I11289" i="58"/>
  <c r="J11289" i="58" s="1"/>
  <c r="O11288" i="58"/>
  <c r="P11288" i="58" s="1"/>
  <c r="I11288" i="58"/>
  <c r="J11288" i="58" s="1"/>
  <c r="P11287" i="58"/>
  <c r="O11287" i="58"/>
  <c r="O11286" i="58"/>
  <c r="P11286" i="58" s="1"/>
  <c r="Q11286" i="58" s="1"/>
  <c r="N11286" i="58"/>
  <c r="O11285" i="58"/>
  <c r="P11285" i="58" s="1"/>
  <c r="Q11285" i="58" s="1"/>
  <c r="O11284" i="58"/>
  <c r="P11284" i="58" s="1"/>
  <c r="P11283" i="58"/>
  <c r="O11283" i="58"/>
  <c r="K11283" i="58"/>
  <c r="L11283" i="58" s="1"/>
  <c r="L11276" i="58" s="1"/>
  <c r="O11282" i="58"/>
  <c r="P11282" i="58" s="1"/>
  <c r="O11281" i="58"/>
  <c r="P11281" i="58" s="1"/>
  <c r="I11281" i="58"/>
  <c r="J11281" i="58" s="1"/>
  <c r="O11280" i="58"/>
  <c r="P11280" i="58" s="1"/>
  <c r="I11280" i="58"/>
  <c r="J11280" i="58" s="1"/>
  <c r="O11279" i="58"/>
  <c r="P11279" i="58" s="1"/>
  <c r="I11279" i="58"/>
  <c r="J11279" i="58" s="1"/>
  <c r="J11276" i="58" s="1"/>
  <c r="P11278" i="58"/>
  <c r="O11278" i="58"/>
  <c r="J11278" i="58"/>
  <c r="I11278" i="58"/>
  <c r="P11277" i="58"/>
  <c r="O11277" i="58"/>
  <c r="O11276" i="58"/>
  <c r="P11276" i="58" s="1"/>
  <c r="Q11276" i="58" s="1"/>
  <c r="O11275" i="58"/>
  <c r="P11275" i="58" s="1"/>
  <c r="K11275" i="58"/>
  <c r="L11275" i="58" s="1"/>
  <c r="L11268" i="58" s="1"/>
  <c r="O11274" i="58"/>
  <c r="P11274" i="58" s="1"/>
  <c r="O11273" i="58"/>
  <c r="P11273" i="58" s="1"/>
  <c r="I11273" i="58"/>
  <c r="J11273" i="58" s="1"/>
  <c r="P11272" i="58"/>
  <c r="O11272" i="58"/>
  <c r="J11272" i="58"/>
  <c r="I11272" i="58"/>
  <c r="O11271" i="58"/>
  <c r="P11271" i="58" s="1"/>
  <c r="I11271" i="58"/>
  <c r="J11271" i="58" s="1"/>
  <c r="O11270" i="58"/>
  <c r="P11270" i="58" s="1"/>
  <c r="I11270" i="58"/>
  <c r="J11270" i="58" s="1"/>
  <c r="O11269" i="58"/>
  <c r="P11269" i="58" s="1"/>
  <c r="P11268" i="58"/>
  <c r="Q11268" i="58" s="1"/>
  <c r="O11268" i="58"/>
  <c r="N11268" i="58"/>
  <c r="O11267" i="58"/>
  <c r="P11267" i="58" s="1"/>
  <c r="K11267" i="58"/>
  <c r="L11267" i="58" s="1"/>
  <c r="L11260" i="58" s="1"/>
  <c r="P11266" i="58"/>
  <c r="O11266" i="58"/>
  <c r="O11265" i="58"/>
  <c r="P11265" i="58" s="1"/>
  <c r="I11265" i="58"/>
  <c r="J11265" i="58" s="1"/>
  <c r="O11264" i="58"/>
  <c r="P11264" i="58" s="1"/>
  <c r="I11264" i="58"/>
  <c r="J11264" i="58" s="1"/>
  <c r="O11263" i="58"/>
  <c r="P11263" i="58" s="1"/>
  <c r="I11263" i="58"/>
  <c r="J11263" i="58" s="1"/>
  <c r="O11262" i="58"/>
  <c r="P11262" i="58" s="1"/>
  <c r="J11262" i="58"/>
  <c r="I11262" i="58"/>
  <c r="O11261" i="58"/>
  <c r="P11261" i="58" s="1"/>
  <c r="Q11260" i="58"/>
  <c r="P11260" i="58"/>
  <c r="O11260" i="58"/>
  <c r="N11260" i="58"/>
  <c r="O11259" i="58"/>
  <c r="P11259" i="58" s="1"/>
  <c r="O11258" i="58"/>
  <c r="P11258" i="58" s="1"/>
  <c r="O11257" i="58"/>
  <c r="P11257" i="58" s="1"/>
  <c r="K11257" i="58"/>
  <c r="L11257" i="58" s="1"/>
  <c r="L11250" i="58" s="1"/>
  <c r="P11256" i="58"/>
  <c r="O11256" i="58"/>
  <c r="O11255" i="58"/>
  <c r="P11255" i="58" s="1"/>
  <c r="I11255" i="58"/>
  <c r="J11255" i="58" s="1"/>
  <c r="O11254" i="58"/>
  <c r="P11254" i="58" s="1"/>
  <c r="J11254" i="58"/>
  <c r="I11254" i="58"/>
  <c r="O11253" i="58"/>
  <c r="P11253" i="58" s="1"/>
  <c r="I11253" i="58"/>
  <c r="J11253" i="58" s="1"/>
  <c r="O11252" i="58"/>
  <c r="P11252" i="58" s="1"/>
  <c r="I11252" i="58"/>
  <c r="J11252" i="58" s="1"/>
  <c r="O11251" i="58"/>
  <c r="P11251" i="58" s="1"/>
  <c r="O11250" i="58"/>
  <c r="P11250" i="58" s="1"/>
  <c r="Q11250" i="58" s="1"/>
  <c r="O11249" i="58"/>
  <c r="P11249" i="58" s="1"/>
  <c r="O11248" i="58"/>
  <c r="P11248" i="58" s="1"/>
  <c r="P11247" i="58"/>
  <c r="O11247" i="58"/>
  <c r="K11247" i="58"/>
  <c r="L11247" i="58" s="1"/>
  <c r="L11240" i="58" s="1"/>
  <c r="P11246" i="58"/>
  <c r="O11246" i="58"/>
  <c r="O11245" i="58"/>
  <c r="P11245" i="58" s="1"/>
  <c r="I11245" i="58"/>
  <c r="J11245" i="58" s="1"/>
  <c r="P11244" i="58"/>
  <c r="O11244" i="58"/>
  <c r="I11244" i="58"/>
  <c r="J11244" i="58" s="1"/>
  <c r="O11243" i="58"/>
  <c r="P11243" i="58" s="1"/>
  <c r="J11243" i="58"/>
  <c r="I11243" i="58"/>
  <c r="O11242" i="58"/>
  <c r="P11242" i="58" s="1"/>
  <c r="I11242" i="58"/>
  <c r="J11242" i="58" s="1"/>
  <c r="O11241" i="58"/>
  <c r="P11241" i="58" s="1"/>
  <c r="Q11240" i="58"/>
  <c r="P11240" i="58"/>
  <c r="O11240" i="58"/>
  <c r="P11239" i="58"/>
  <c r="O11239" i="58"/>
  <c r="O11238" i="58"/>
  <c r="P11238" i="58" s="1"/>
  <c r="P11237" i="58"/>
  <c r="O11237" i="58"/>
  <c r="K11237" i="58"/>
  <c r="L11237" i="58" s="1"/>
  <c r="O11236" i="58"/>
  <c r="P11236" i="58" s="1"/>
  <c r="O11235" i="58"/>
  <c r="P11235" i="58" s="1"/>
  <c r="J11235" i="58"/>
  <c r="I11235" i="58"/>
  <c r="O11234" i="58"/>
  <c r="P11234" i="58" s="1"/>
  <c r="I11234" i="58"/>
  <c r="J11234" i="58" s="1"/>
  <c r="O11233" i="58"/>
  <c r="P11233" i="58" s="1"/>
  <c r="I11233" i="58"/>
  <c r="J11233" i="58" s="1"/>
  <c r="O11232" i="58"/>
  <c r="P11232" i="58" s="1"/>
  <c r="I11232" i="58"/>
  <c r="J11232" i="58" s="1"/>
  <c r="O11231" i="58"/>
  <c r="P11231" i="58" s="1"/>
  <c r="P11230" i="58"/>
  <c r="Q11230" i="58" s="1"/>
  <c r="O11230" i="58"/>
  <c r="L11230" i="58"/>
  <c r="O11229" i="58"/>
  <c r="P11229" i="58" s="1"/>
  <c r="O11228" i="58"/>
  <c r="P11228" i="58" s="1"/>
  <c r="O11227" i="58"/>
  <c r="P11227" i="58" s="1"/>
  <c r="K11227" i="58"/>
  <c r="L11227" i="58" s="1"/>
  <c r="L11220" i="58" s="1"/>
  <c r="O11226" i="58"/>
  <c r="P11226" i="58" s="1"/>
  <c r="P11225" i="58"/>
  <c r="O11225" i="58"/>
  <c r="I11225" i="58"/>
  <c r="J11225" i="58" s="1"/>
  <c r="O11224" i="58"/>
  <c r="P11224" i="58" s="1"/>
  <c r="I11224" i="58"/>
  <c r="J11224" i="58" s="1"/>
  <c r="P11223" i="58"/>
  <c r="O11223" i="58"/>
  <c r="I11223" i="58"/>
  <c r="J11223" i="58" s="1"/>
  <c r="O11222" i="58"/>
  <c r="P11222" i="58" s="1"/>
  <c r="I11222" i="58"/>
  <c r="J11222" i="58" s="1"/>
  <c r="O11221" i="58"/>
  <c r="P11221" i="58" s="1"/>
  <c r="O11220" i="58"/>
  <c r="P11220" i="58" s="1"/>
  <c r="Q11220" i="58" s="1"/>
  <c r="P11219" i="58"/>
  <c r="Q11219" i="58" s="1"/>
  <c r="R11219" i="58" s="1"/>
  <c r="O11219" i="58"/>
  <c r="N11219" i="58"/>
  <c r="N11210" i="58" s="1"/>
  <c r="P11218" i="58"/>
  <c r="O11218" i="58"/>
  <c r="O11217" i="58"/>
  <c r="P11217" i="58" s="1"/>
  <c r="K11217" i="58"/>
  <c r="L11217" i="58" s="1"/>
  <c r="L11210" i="58" s="1"/>
  <c r="P11216" i="58"/>
  <c r="O11216" i="58"/>
  <c r="P11215" i="58"/>
  <c r="O11215" i="58"/>
  <c r="I11215" i="58"/>
  <c r="J11215" i="58" s="1"/>
  <c r="O11214" i="58"/>
  <c r="P11214" i="58" s="1"/>
  <c r="I11214" i="58"/>
  <c r="J11214" i="58" s="1"/>
  <c r="O11213" i="58"/>
  <c r="P11213" i="58" s="1"/>
  <c r="I11213" i="58"/>
  <c r="J11213" i="58" s="1"/>
  <c r="O11212" i="58"/>
  <c r="P11212" i="58" s="1"/>
  <c r="I11212" i="58"/>
  <c r="J11212" i="58" s="1"/>
  <c r="O11211" i="58"/>
  <c r="P11211" i="58" s="1"/>
  <c r="O11210" i="58"/>
  <c r="P11210" i="58" s="1"/>
  <c r="Q11210" i="58" s="1"/>
  <c r="P11209" i="58"/>
  <c r="O11209" i="58"/>
  <c r="P11208" i="58"/>
  <c r="O11208" i="58"/>
  <c r="O11207" i="58"/>
  <c r="P11207" i="58" s="1"/>
  <c r="K11207" i="58"/>
  <c r="L11207" i="58" s="1"/>
  <c r="L11200" i="58" s="1"/>
  <c r="O11206" i="58"/>
  <c r="P11206" i="58" s="1"/>
  <c r="P11205" i="58"/>
  <c r="O11205" i="58"/>
  <c r="J11205" i="58"/>
  <c r="I11205" i="58"/>
  <c r="O11204" i="58"/>
  <c r="P11204" i="58" s="1"/>
  <c r="I11204" i="58"/>
  <c r="J11204" i="58" s="1"/>
  <c r="P11203" i="58"/>
  <c r="O11203" i="58"/>
  <c r="I11203" i="58"/>
  <c r="J11203" i="58" s="1"/>
  <c r="P11202" i="58"/>
  <c r="O11202" i="58"/>
  <c r="I11202" i="58"/>
  <c r="J11202" i="58" s="1"/>
  <c r="O11201" i="58"/>
  <c r="P11201" i="58" s="1"/>
  <c r="O11200" i="58"/>
  <c r="P11200" i="58" s="1"/>
  <c r="Q11200" i="58" s="1"/>
  <c r="Q11199" i="58" s="1"/>
  <c r="R11199" i="58" s="1"/>
  <c r="O11199" i="58"/>
  <c r="P11199" i="58" s="1"/>
  <c r="O11198" i="58"/>
  <c r="P11198" i="58" s="1"/>
  <c r="O11197" i="58"/>
  <c r="P11197" i="58" s="1"/>
  <c r="K11197" i="58"/>
  <c r="L11197" i="58" s="1"/>
  <c r="L11190" i="58" s="1"/>
  <c r="O11196" i="58"/>
  <c r="P11196" i="58" s="1"/>
  <c r="O11195" i="58"/>
  <c r="P11195" i="58" s="1"/>
  <c r="I11195" i="58"/>
  <c r="J11195" i="58" s="1"/>
  <c r="O11194" i="58"/>
  <c r="P11194" i="58" s="1"/>
  <c r="I11194" i="58"/>
  <c r="J11194" i="58" s="1"/>
  <c r="O11193" i="58"/>
  <c r="P11193" i="58" s="1"/>
  <c r="J11193" i="58"/>
  <c r="I11193" i="58"/>
  <c r="O11192" i="58"/>
  <c r="P11192" i="58" s="1"/>
  <c r="J11192" i="58"/>
  <c r="I11192" i="58"/>
  <c r="O11191" i="58"/>
  <c r="P11191" i="58" s="1"/>
  <c r="O11190" i="58"/>
  <c r="P11190" i="58" s="1"/>
  <c r="Q11190" i="58" s="1"/>
  <c r="O11189" i="58"/>
  <c r="P11189" i="58" s="1"/>
  <c r="O11188" i="58"/>
  <c r="P11188" i="58" s="1"/>
  <c r="O11187" i="58"/>
  <c r="P11187" i="58" s="1"/>
  <c r="K11187" i="58"/>
  <c r="L11187" i="58" s="1"/>
  <c r="P11186" i="58"/>
  <c r="O11186" i="58"/>
  <c r="O11185" i="58"/>
  <c r="P11185" i="58" s="1"/>
  <c r="I11185" i="58"/>
  <c r="J11185" i="58" s="1"/>
  <c r="O11184" i="58"/>
  <c r="P11184" i="58" s="1"/>
  <c r="I11184" i="58"/>
  <c r="J11184" i="58" s="1"/>
  <c r="O11183" i="58"/>
  <c r="P11183" i="58" s="1"/>
  <c r="I11183" i="58"/>
  <c r="J11183" i="58" s="1"/>
  <c r="P11182" i="58"/>
  <c r="O11182" i="58"/>
  <c r="I11182" i="58"/>
  <c r="J11182" i="58" s="1"/>
  <c r="O11181" i="58"/>
  <c r="P11181" i="58" s="1"/>
  <c r="O11180" i="58"/>
  <c r="P11180" i="58" s="1"/>
  <c r="Q11180" i="58" s="1"/>
  <c r="L11180" i="58"/>
  <c r="O11179" i="58"/>
  <c r="P11179" i="58" s="1"/>
  <c r="O11178" i="58"/>
  <c r="P11178" i="58" s="1"/>
  <c r="O11177" i="58"/>
  <c r="P11177" i="58" s="1"/>
  <c r="K11177" i="58"/>
  <c r="L11177" i="58" s="1"/>
  <c r="L11170" i="58" s="1"/>
  <c r="O11176" i="58"/>
  <c r="P11176" i="58" s="1"/>
  <c r="O11175" i="58"/>
  <c r="P11175" i="58" s="1"/>
  <c r="I11175" i="58"/>
  <c r="J11175" i="58" s="1"/>
  <c r="P11174" i="58"/>
  <c r="O11174" i="58"/>
  <c r="I11174" i="58"/>
  <c r="J11174" i="58" s="1"/>
  <c r="O11173" i="58"/>
  <c r="P11173" i="58" s="1"/>
  <c r="I11173" i="58"/>
  <c r="J11173" i="58" s="1"/>
  <c r="O11172" i="58"/>
  <c r="P11172" i="58" s="1"/>
  <c r="I11172" i="58"/>
  <c r="J11172" i="58" s="1"/>
  <c r="P11171" i="58"/>
  <c r="O11171" i="58"/>
  <c r="P11170" i="58"/>
  <c r="Q11170" i="58" s="1"/>
  <c r="O11170" i="58"/>
  <c r="P11169" i="58"/>
  <c r="O11169" i="58"/>
  <c r="N11169" i="58"/>
  <c r="N11160" i="58" s="1"/>
  <c r="O11168" i="58"/>
  <c r="P11168" i="58" s="1"/>
  <c r="P11167" i="58"/>
  <c r="O11167" i="58"/>
  <c r="L11167" i="58"/>
  <c r="L11160" i="58" s="1"/>
  <c r="K11167" i="58"/>
  <c r="O11166" i="58"/>
  <c r="P11166" i="58" s="1"/>
  <c r="O11165" i="58"/>
  <c r="P11165" i="58" s="1"/>
  <c r="I11165" i="58"/>
  <c r="J11165" i="58" s="1"/>
  <c r="O11164" i="58"/>
  <c r="P11164" i="58" s="1"/>
  <c r="I11164" i="58"/>
  <c r="J11164" i="58" s="1"/>
  <c r="O11163" i="58"/>
  <c r="P11163" i="58" s="1"/>
  <c r="I11163" i="58"/>
  <c r="J11163" i="58" s="1"/>
  <c r="O11162" i="58"/>
  <c r="P11162" i="58" s="1"/>
  <c r="I11162" i="58"/>
  <c r="J11162" i="58" s="1"/>
  <c r="P11161" i="58"/>
  <c r="O11161" i="58"/>
  <c r="Q11160" i="58"/>
  <c r="P11160" i="58"/>
  <c r="O11160" i="58"/>
  <c r="O11159" i="58"/>
  <c r="P11159" i="58" s="1"/>
  <c r="Q11159" i="58" s="1"/>
  <c r="R11159" i="58" s="1"/>
  <c r="N11159" i="58"/>
  <c r="N11150" i="58" s="1"/>
  <c r="O11158" i="58"/>
  <c r="P11158" i="58" s="1"/>
  <c r="Q11158" i="58" s="1"/>
  <c r="R11158" i="58" s="1"/>
  <c r="O11157" i="58"/>
  <c r="P11157" i="58" s="1"/>
  <c r="K11157" i="58"/>
  <c r="L11157" i="58" s="1"/>
  <c r="L11150" i="58" s="1"/>
  <c r="O11156" i="58"/>
  <c r="P11156" i="58" s="1"/>
  <c r="P11155" i="58"/>
  <c r="O11155" i="58"/>
  <c r="J11155" i="58"/>
  <c r="I11155" i="58"/>
  <c r="O11154" i="58"/>
  <c r="P11154" i="58" s="1"/>
  <c r="J11154" i="58"/>
  <c r="I11154" i="58"/>
  <c r="O11153" i="58"/>
  <c r="P11153" i="58" s="1"/>
  <c r="I11153" i="58"/>
  <c r="J11153" i="58" s="1"/>
  <c r="P11152" i="58"/>
  <c r="O11152" i="58"/>
  <c r="I11152" i="58"/>
  <c r="J11152" i="58" s="1"/>
  <c r="P11151" i="58"/>
  <c r="O11151" i="58"/>
  <c r="O11150" i="58"/>
  <c r="P11150" i="58" s="1"/>
  <c r="Q11150" i="58" s="1"/>
  <c r="O11149" i="58"/>
  <c r="P11149" i="58" s="1"/>
  <c r="P11148" i="58"/>
  <c r="O11148" i="58"/>
  <c r="P11147" i="58"/>
  <c r="O11147" i="58"/>
  <c r="K11147" i="58"/>
  <c r="L11147" i="58" s="1"/>
  <c r="L11136" i="58" s="1"/>
  <c r="O11146" i="58"/>
  <c r="P11146" i="58" s="1"/>
  <c r="O11145" i="58"/>
  <c r="P11145" i="58" s="1"/>
  <c r="I11145" i="58"/>
  <c r="J11145" i="58" s="1"/>
  <c r="P11144" i="58"/>
  <c r="O11144" i="58"/>
  <c r="I11144" i="58"/>
  <c r="J11144" i="58" s="1"/>
  <c r="O11143" i="58"/>
  <c r="P11143" i="58" s="1"/>
  <c r="I11143" i="58"/>
  <c r="J11143" i="58" s="1"/>
  <c r="O11142" i="58"/>
  <c r="P11142" i="58" s="1"/>
  <c r="I11142" i="58"/>
  <c r="J11142" i="58" s="1"/>
  <c r="O11141" i="58"/>
  <c r="P11141" i="58" s="1"/>
  <c r="I11141" i="58"/>
  <c r="J11141" i="58" s="1"/>
  <c r="O11140" i="58"/>
  <c r="P11140" i="58" s="1"/>
  <c r="J11140" i="58"/>
  <c r="I11140" i="58"/>
  <c r="O11139" i="58"/>
  <c r="P11139" i="58" s="1"/>
  <c r="I11139" i="58"/>
  <c r="J11139" i="58" s="1"/>
  <c r="O11138" i="58"/>
  <c r="P11138" i="58" s="1"/>
  <c r="I11138" i="58"/>
  <c r="J11138" i="58" s="1"/>
  <c r="P11137" i="58"/>
  <c r="O11137" i="58"/>
  <c r="O11136" i="58"/>
  <c r="P11136" i="58" s="1"/>
  <c r="Q11136" i="58" s="1"/>
  <c r="P11135" i="58"/>
  <c r="Q11135" i="58" s="1"/>
  <c r="R11135" i="58" s="1"/>
  <c r="O11135" i="58"/>
  <c r="P11134" i="58"/>
  <c r="O11134" i="58"/>
  <c r="O11133" i="58"/>
  <c r="P11133" i="58" s="1"/>
  <c r="K11133" i="58"/>
  <c r="L11133" i="58" s="1"/>
  <c r="L11122" i="58" s="1"/>
  <c r="O11132" i="58"/>
  <c r="P11132" i="58" s="1"/>
  <c r="O11131" i="58"/>
  <c r="P11131" i="58" s="1"/>
  <c r="I11131" i="58"/>
  <c r="J11131" i="58" s="1"/>
  <c r="O11130" i="58"/>
  <c r="P11130" i="58" s="1"/>
  <c r="I11130" i="58"/>
  <c r="J11130" i="58" s="1"/>
  <c r="P11129" i="58"/>
  <c r="O11129" i="58"/>
  <c r="I11129" i="58"/>
  <c r="J11129" i="58" s="1"/>
  <c r="P11128" i="58"/>
  <c r="O11128" i="58"/>
  <c r="I11128" i="58"/>
  <c r="J11128" i="58" s="1"/>
  <c r="O11127" i="58"/>
  <c r="P11127" i="58" s="1"/>
  <c r="I11127" i="58"/>
  <c r="J11127" i="58" s="1"/>
  <c r="P11126" i="58"/>
  <c r="O11126" i="58"/>
  <c r="I11126" i="58"/>
  <c r="J11126" i="58" s="1"/>
  <c r="O11125" i="58"/>
  <c r="P11125" i="58" s="1"/>
  <c r="I11125" i="58"/>
  <c r="J11125" i="58" s="1"/>
  <c r="O11124" i="58"/>
  <c r="P11124" i="58" s="1"/>
  <c r="I11124" i="58"/>
  <c r="J11124" i="58" s="1"/>
  <c r="O11123" i="58"/>
  <c r="P11123" i="58" s="1"/>
  <c r="O11122" i="58"/>
  <c r="P11122" i="58" s="1"/>
  <c r="Q11122" i="58" s="1"/>
  <c r="O11121" i="58"/>
  <c r="P11121" i="58" s="1"/>
  <c r="N11121" i="58"/>
  <c r="N11108" i="58" s="1"/>
  <c r="O11120" i="58"/>
  <c r="P11120" i="58" s="1"/>
  <c r="O11119" i="58"/>
  <c r="P11119" i="58" s="1"/>
  <c r="K11119" i="58"/>
  <c r="L11119" i="58" s="1"/>
  <c r="O11118" i="58"/>
  <c r="P11118" i="58" s="1"/>
  <c r="P11117" i="58"/>
  <c r="O11117" i="58"/>
  <c r="I11117" i="58"/>
  <c r="J11117" i="58" s="1"/>
  <c r="O11116" i="58"/>
  <c r="P11116" i="58" s="1"/>
  <c r="I11116" i="58"/>
  <c r="J11116" i="58" s="1"/>
  <c r="O11115" i="58"/>
  <c r="P11115" i="58" s="1"/>
  <c r="I11115" i="58"/>
  <c r="J11115" i="58" s="1"/>
  <c r="O11114" i="58"/>
  <c r="P11114" i="58" s="1"/>
  <c r="I11114" i="58"/>
  <c r="J11114" i="58" s="1"/>
  <c r="O11113" i="58"/>
  <c r="P11113" i="58" s="1"/>
  <c r="I11113" i="58"/>
  <c r="J11113" i="58" s="1"/>
  <c r="O11112" i="58"/>
  <c r="P11112" i="58" s="1"/>
  <c r="J11112" i="58"/>
  <c r="I11112" i="58"/>
  <c r="P11111" i="58"/>
  <c r="O11111" i="58"/>
  <c r="I11111" i="58"/>
  <c r="J11111" i="58" s="1"/>
  <c r="O11110" i="58"/>
  <c r="P11110" i="58" s="1"/>
  <c r="I11110" i="58"/>
  <c r="J11110" i="58" s="1"/>
  <c r="O11109" i="58"/>
  <c r="P11109" i="58" s="1"/>
  <c r="P11108" i="58"/>
  <c r="Q11108" i="58" s="1"/>
  <c r="O11108" i="58"/>
  <c r="L11108" i="58"/>
  <c r="O11107" i="58"/>
  <c r="P11107" i="58" s="1"/>
  <c r="O11106" i="58"/>
  <c r="P11106" i="58" s="1"/>
  <c r="O11105" i="58"/>
  <c r="P11105" i="58" s="1"/>
  <c r="L11105" i="58"/>
  <c r="L11094" i="58" s="1"/>
  <c r="K11105" i="58"/>
  <c r="O11104" i="58"/>
  <c r="P11104" i="58" s="1"/>
  <c r="O11103" i="58"/>
  <c r="P11103" i="58" s="1"/>
  <c r="I11103" i="58"/>
  <c r="J11103" i="58" s="1"/>
  <c r="O11102" i="58"/>
  <c r="P11102" i="58" s="1"/>
  <c r="I11102" i="58"/>
  <c r="J11102" i="58" s="1"/>
  <c r="O11101" i="58"/>
  <c r="P11101" i="58" s="1"/>
  <c r="I11101" i="58"/>
  <c r="J11101" i="58" s="1"/>
  <c r="O11100" i="58"/>
  <c r="P11100" i="58" s="1"/>
  <c r="J11100" i="58"/>
  <c r="I11100" i="58"/>
  <c r="O11099" i="58"/>
  <c r="P11099" i="58" s="1"/>
  <c r="I11099" i="58"/>
  <c r="J11099" i="58" s="1"/>
  <c r="O11098" i="58"/>
  <c r="P11098" i="58" s="1"/>
  <c r="I11098" i="58"/>
  <c r="J11098" i="58" s="1"/>
  <c r="O11097" i="58"/>
  <c r="P11097" i="58" s="1"/>
  <c r="I11097" i="58"/>
  <c r="J11097" i="58" s="1"/>
  <c r="O11096" i="58"/>
  <c r="P11096" i="58" s="1"/>
  <c r="J11096" i="58"/>
  <c r="I11096" i="58"/>
  <c r="P11095" i="58"/>
  <c r="O11095" i="58"/>
  <c r="Q11094" i="58"/>
  <c r="P11094" i="58"/>
  <c r="O11094" i="58"/>
  <c r="O11093" i="58"/>
  <c r="P11093" i="58" s="1"/>
  <c r="O11092" i="58"/>
  <c r="P11092" i="58" s="1"/>
  <c r="O11091" i="58"/>
  <c r="P11091" i="58" s="1"/>
  <c r="K11091" i="58"/>
  <c r="L11091" i="58" s="1"/>
  <c r="L11080" i="58" s="1"/>
  <c r="P11090" i="58"/>
  <c r="O11090" i="58"/>
  <c r="O11089" i="58"/>
  <c r="P11089" i="58" s="1"/>
  <c r="I11089" i="58"/>
  <c r="J11089" i="58" s="1"/>
  <c r="O11088" i="58"/>
  <c r="P11088" i="58" s="1"/>
  <c r="I11088" i="58"/>
  <c r="J11088" i="58" s="1"/>
  <c r="P11087" i="58"/>
  <c r="O11087" i="58"/>
  <c r="I11087" i="58"/>
  <c r="J11087" i="58" s="1"/>
  <c r="P11086" i="58"/>
  <c r="O11086" i="58"/>
  <c r="I11086" i="58"/>
  <c r="J11086" i="58" s="1"/>
  <c r="O11085" i="58"/>
  <c r="P11085" i="58" s="1"/>
  <c r="J11085" i="58"/>
  <c r="I11085" i="58"/>
  <c r="P11084" i="58"/>
  <c r="O11084" i="58"/>
  <c r="I11084" i="58"/>
  <c r="J11084" i="58" s="1"/>
  <c r="O11083" i="58"/>
  <c r="P11083" i="58" s="1"/>
  <c r="J11083" i="58"/>
  <c r="I11083" i="58"/>
  <c r="O11082" i="58"/>
  <c r="P11082" i="58" s="1"/>
  <c r="I11082" i="58"/>
  <c r="J11082" i="58" s="1"/>
  <c r="O11081" i="58"/>
  <c r="P11081" i="58" s="1"/>
  <c r="P11080" i="58"/>
  <c r="Q11080" i="58" s="1"/>
  <c r="O11080" i="58"/>
  <c r="P11079" i="58"/>
  <c r="O11079" i="58"/>
  <c r="O11078" i="58"/>
  <c r="P11078" i="58" s="1"/>
  <c r="P11077" i="58"/>
  <c r="O11077" i="58"/>
  <c r="K11077" i="58"/>
  <c r="L11077" i="58" s="1"/>
  <c r="L11069" i="58" s="1"/>
  <c r="P11076" i="58"/>
  <c r="O11076" i="58"/>
  <c r="O11075" i="58"/>
  <c r="P11075" i="58" s="1"/>
  <c r="I11075" i="58"/>
  <c r="J11075" i="58" s="1"/>
  <c r="P11074" i="58"/>
  <c r="O11074" i="58"/>
  <c r="I11074" i="58"/>
  <c r="J11074" i="58" s="1"/>
  <c r="O11073" i="58"/>
  <c r="P11073" i="58" s="1"/>
  <c r="I11073" i="58"/>
  <c r="J11073" i="58" s="1"/>
  <c r="P11072" i="58"/>
  <c r="O11072" i="58"/>
  <c r="I11072" i="58"/>
  <c r="J11072" i="58" s="1"/>
  <c r="O11071" i="58"/>
  <c r="P11071" i="58" s="1"/>
  <c r="I11071" i="58"/>
  <c r="J11071" i="58" s="1"/>
  <c r="O11070" i="58"/>
  <c r="P11070" i="58" s="1"/>
  <c r="O11069" i="58"/>
  <c r="P11069" i="58" s="1"/>
  <c r="Q11069" i="58" s="1"/>
  <c r="O11068" i="58"/>
  <c r="P11068" i="58" s="1"/>
  <c r="Q11068" i="58" s="1"/>
  <c r="O11067" i="58"/>
  <c r="P11067" i="58" s="1"/>
  <c r="P11066" i="58"/>
  <c r="O11066" i="58"/>
  <c r="K11066" i="58"/>
  <c r="L11066" i="58" s="1"/>
  <c r="L11058" i="58" s="1"/>
  <c r="O11065" i="58"/>
  <c r="P11065" i="58" s="1"/>
  <c r="O11064" i="58"/>
  <c r="P11064" i="58" s="1"/>
  <c r="I11064" i="58"/>
  <c r="J11064" i="58" s="1"/>
  <c r="P11063" i="58"/>
  <c r="O11063" i="58"/>
  <c r="I11063" i="58"/>
  <c r="J11063" i="58" s="1"/>
  <c r="P11062" i="58"/>
  <c r="O11062" i="58"/>
  <c r="I11062" i="58"/>
  <c r="J11062" i="58" s="1"/>
  <c r="P11061" i="58"/>
  <c r="O11061" i="58"/>
  <c r="I11061" i="58"/>
  <c r="J11061" i="58" s="1"/>
  <c r="O11060" i="58"/>
  <c r="P11060" i="58" s="1"/>
  <c r="I11060" i="58"/>
  <c r="J11060" i="58" s="1"/>
  <c r="O11059" i="58"/>
  <c r="P11059" i="58" s="1"/>
  <c r="O11058" i="58"/>
  <c r="P11058" i="58" s="1"/>
  <c r="Q11058" i="58" s="1"/>
  <c r="P11057" i="58"/>
  <c r="O11057" i="58"/>
  <c r="O11056" i="58"/>
  <c r="P11056" i="58" s="1"/>
  <c r="O11055" i="58"/>
  <c r="P11055" i="58" s="1"/>
  <c r="K11055" i="58"/>
  <c r="L11055" i="58" s="1"/>
  <c r="L11047" i="58" s="1"/>
  <c r="P11054" i="58"/>
  <c r="O11054" i="58"/>
  <c r="P11053" i="58"/>
  <c r="O11053" i="58"/>
  <c r="I11053" i="58"/>
  <c r="J11053" i="58" s="1"/>
  <c r="P11052" i="58"/>
  <c r="O11052" i="58"/>
  <c r="I11052" i="58"/>
  <c r="J11052" i="58" s="1"/>
  <c r="P11051" i="58"/>
  <c r="O11051" i="58"/>
  <c r="I11051" i="58"/>
  <c r="J11051" i="58" s="1"/>
  <c r="O11050" i="58"/>
  <c r="P11050" i="58" s="1"/>
  <c r="I11050" i="58"/>
  <c r="J11050" i="58" s="1"/>
  <c r="O11049" i="58"/>
  <c r="P11049" i="58" s="1"/>
  <c r="I11049" i="58"/>
  <c r="J11049" i="58" s="1"/>
  <c r="O11048" i="58"/>
  <c r="P11048" i="58" s="1"/>
  <c r="P11047" i="58"/>
  <c r="Q11047" i="58" s="1"/>
  <c r="O11047" i="58"/>
  <c r="O11046" i="58"/>
  <c r="P11046" i="58" s="1"/>
  <c r="Q11046" i="58" s="1"/>
  <c r="R11046" i="58" s="1"/>
  <c r="O11045" i="58"/>
  <c r="P11045" i="58" s="1"/>
  <c r="Q11045" i="58" s="1"/>
  <c r="R11045" i="58" s="1"/>
  <c r="P11044" i="58"/>
  <c r="Q11044" i="58" s="1"/>
  <c r="R11044" i="58" s="1"/>
  <c r="O11044" i="58"/>
  <c r="K11044" i="58"/>
  <c r="L11044" i="58" s="1"/>
  <c r="L11036" i="58" s="1"/>
  <c r="O11043" i="58"/>
  <c r="P11043" i="58" s="1"/>
  <c r="O11042" i="58"/>
  <c r="P11042" i="58" s="1"/>
  <c r="I11042" i="58"/>
  <c r="J11042" i="58" s="1"/>
  <c r="P11041" i="58"/>
  <c r="O11041" i="58"/>
  <c r="I11041" i="58"/>
  <c r="J11041" i="58" s="1"/>
  <c r="P11040" i="58"/>
  <c r="O11040" i="58"/>
  <c r="I11040" i="58"/>
  <c r="J11040" i="58" s="1"/>
  <c r="P11039" i="58"/>
  <c r="O11039" i="58"/>
  <c r="I11039" i="58"/>
  <c r="J11039" i="58" s="1"/>
  <c r="O11038" i="58"/>
  <c r="P11038" i="58" s="1"/>
  <c r="I11038" i="58"/>
  <c r="J11038" i="58" s="1"/>
  <c r="P11037" i="58"/>
  <c r="O11037" i="58"/>
  <c r="O11036" i="58"/>
  <c r="P11036" i="58" s="1"/>
  <c r="Q11036" i="58" s="1"/>
  <c r="P11035" i="58"/>
  <c r="O11035" i="58"/>
  <c r="K11035" i="58"/>
  <c r="L11035" i="58" s="1"/>
  <c r="L11030" i="58" s="1"/>
  <c r="P11034" i="58"/>
  <c r="O11034" i="58"/>
  <c r="O11033" i="58"/>
  <c r="P11033" i="58" s="1"/>
  <c r="I11033" i="58"/>
  <c r="J11033" i="58" s="1"/>
  <c r="O11032" i="58"/>
  <c r="P11032" i="58" s="1"/>
  <c r="I11032" i="58"/>
  <c r="J11032" i="58" s="1"/>
  <c r="P11031" i="58"/>
  <c r="O11031" i="58"/>
  <c r="P11030" i="58"/>
  <c r="Q11030" i="58" s="1"/>
  <c r="O11030" i="58"/>
  <c r="N11030" i="58"/>
  <c r="O11029" i="58"/>
  <c r="P11029" i="58" s="1"/>
  <c r="K11029" i="58"/>
  <c r="L11029" i="58" s="1"/>
  <c r="L11024" i="58" s="1"/>
  <c r="O11028" i="58"/>
  <c r="P11028" i="58" s="1"/>
  <c r="O11027" i="58"/>
  <c r="P11027" i="58" s="1"/>
  <c r="I11027" i="58"/>
  <c r="J11027" i="58" s="1"/>
  <c r="O11026" i="58"/>
  <c r="P11026" i="58" s="1"/>
  <c r="I11026" i="58"/>
  <c r="J11026" i="58" s="1"/>
  <c r="P11025" i="58"/>
  <c r="O11025" i="58"/>
  <c r="O11024" i="58"/>
  <c r="P11024" i="58" s="1"/>
  <c r="Q11024" i="58" s="1"/>
  <c r="N11024" i="58"/>
  <c r="P11023" i="58"/>
  <c r="O11023" i="58"/>
  <c r="K11023" i="58"/>
  <c r="L11023" i="58" s="1"/>
  <c r="L11018" i="58" s="1"/>
  <c r="O11022" i="58"/>
  <c r="P11022" i="58" s="1"/>
  <c r="P11021" i="58"/>
  <c r="O11021" i="58"/>
  <c r="I11021" i="58"/>
  <c r="J11021" i="58" s="1"/>
  <c r="O11020" i="58"/>
  <c r="P11020" i="58" s="1"/>
  <c r="I11020" i="58"/>
  <c r="J11020" i="58" s="1"/>
  <c r="J11018" i="58" s="1"/>
  <c r="O11019" i="58"/>
  <c r="P11019" i="58" s="1"/>
  <c r="O11018" i="58"/>
  <c r="P11018" i="58" s="1"/>
  <c r="Q11018" i="58" s="1"/>
  <c r="N11018" i="58"/>
  <c r="O11017" i="58"/>
  <c r="P11017" i="58" s="1"/>
  <c r="K11017" i="58"/>
  <c r="L11017" i="58" s="1"/>
  <c r="L11011" i="58" s="1"/>
  <c r="P11016" i="58"/>
  <c r="O11016" i="58"/>
  <c r="O11015" i="58"/>
  <c r="P11015" i="58" s="1"/>
  <c r="I11015" i="58"/>
  <c r="J11015" i="58" s="1"/>
  <c r="O11014" i="58"/>
  <c r="P11014" i="58" s="1"/>
  <c r="I11014" i="58"/>
  <c r="J11014" i="58" s="1"/>
  <c r="O11013" i="58"/>
  <c r="P11013" i="58" s="1"/>
  <c r="J11013" i="58"/>
  <c r="J11011" i="58" s="1"/>
  <c r="I11013" i="58"/>
  <c r="O11012" i="58"/>
  <c r="P11012" i="58" s="1"/>
  <c r="P11011" i="58"/>
  <c r="Q11011" i="58" s="1"/>
  <c r="O11011" i="58"/>
  <c r="N11011" i="58"/>
  <c r="O11010" i="58"/>
  <c r="P11010" i="58" s="1"/>
  <c r="K11010" i="58"/>
  <c r="L11010" i="58" s="1"/>
  <c r="L11004" i="58" s="1"/>
  <c r="P11009" i="58"/>
  <c r="O11009" i="58"/>
  <c r="P11008" i="58"/>
  <c r="O11008" i="58"/>
  <c r="J11008" i="58"/>
  <c r="I11008" i="58"/>
  <c r="O11007" i="58"/>
  <c r="P11007" i="58" s="1"/>
  <c r="I11007" i="58"/>
  <c r="J11007" i="58" s="1"/>
  <c r="O11006" i="58"/>
  <c r="P11006" i="58" s="1"/>
  <c r="I11006" i="58"/>
  <c r="J11006" i="58" s="1"/>
  <c r="P11005" i="58"/>
  <c r="O11005" i="58"/>
  <c r="P11004" i="58"/>
  <c r="Q11004" i="58" s="1"/>
  <c r="O11004" i="58"/>
  <c r="N11004" i="58"/>
  <c r="O11003" i="58"/>
  <c r="P11003" i="58" s="1"/>
  <c r="K11003" i="58"/>
  <c r="L11003" i="58" s="1"/>
  <c r="L10999" i="58" s="1"/>
  <c r="O11002" i="58"/>
  <c r="P11002" i="58" s="1"/>
  <c r="O11001" i="58"/>
  <c r="P11001" i="58" s="1"/>
  <c r="I11001" i="58"/>
  <c r="J11001" i="58" s="1"/>
  <c r="J10999" i="58" s="1"/>
  <c r="O11000" i="58"/>
  <c r="P11000" i="58" s="1"/>
  <c r="P10999" i="58"/>
  <c r="Q10999" i="58" s="1"/>
  <c r="O10999" i="58"/>
  <c r="N10999" i="58"/>
  <c r="O10998" i="58"/>
  <c r="P10998" i="58" s="1"/>
  <c r="Q10998" i="58" s="1"/>
  <c r="R10998" i="58" s="1"/>
  <c r="K10998" i="58"/>
  <c r="L10998" i="58" s="1"/>
  <c r="L10994" i="58" s="1"/>
  <c r="O10997" i="58"/>
  <c r="P10997" i="58" s="1"/>
  <c r="P10996" i="58"/>
  <c r="O10996" i="58"/>
  <c r="J10996" i="58"/>
  <c r="J10994" i="58" s="1"/>
  <c r="I10996" i="58"/>
  <c r="O10995" i="58"/>
  <c r="P10995" i="58" s="1"/>
  <c r="O10994" i="58"/>
  <c r="P10994" i="58" s="1"/>
  <c r="Q10994" i="58" s="1"/>
  <c r="N10994" i="58"/>
  <c r="O10993" i="58"/>
  <c r="P10993" i="58" s="1"/>
  <c r="K10993" i="58"/>
  <c r="L10993" i="58" s="1"/>
  <c r="L10989" i="58" s="1"/>
  <c r="O10992" i="58"/>
  <c r="P10992" i="58" s="1"/>
  <c r="O10991" i="58"/>
  <c r="P10991" i="58" s="1"/>
  <c r="I10991" i="58"/>
  <c r="J10991" i="58" s="1"/>
  <c r="J10989" i="58" s="1"/>
  <c r="O10990" i="58"/>
  <c r="P10990" i="58" s="1"/>
  <c r="P10989" i="58"/>
  <c r="Q10989" i="58" s="1"/>
  <c r="O10989" i="58"/>
  <c r="N10989" i="58"/>
  <c r="O10988" i="58"/>
  <c r="P10988" i="58" s="1"/>
  <c r="K10988" i="58"/>
  <c r="L10988" i="58" s="1"/>
  <c r="L10984" i="58" s="1"/>
  <c r="P10987" i="58"/>
  <c r="O10987" i="58"/>
  <c r="P10986" i="58"/>
  <c r="O10986" i="58"/>
  <c r="I10986" i="58"/>
  <c r="J10986" i="58" s="1"/>
  <c r="J10984" i="58" s="1"/>
  <c r="P10985" i="58"/>
  <c r="O10985" i="58"/>
  <c r="O10984" i="58"/>
  <c r="P10984" i="58" s="1"/>
  <c r="Q10984" i="58" s="1"/>
  <c r="N10984" i="58"/>
  <c r="O10983" i="58"/>
  <c r="P10983" i="58" s="1"/>
  <c r="Q10983" i="58" s="1"/>
  <c r="R10983" i="58" s="1"/>
  <c r="K10983" i="58"/>
  <c r="L10983" i="58" s="1"/>
  <c r="L10979" i="58" s="1"/>
  <c r="O10982" i="58"/>
  <c r="P10982" i="58" s="1"/>
  <c r="O10981" i="58"/>
  <c r="P10981" i="58" s="1"/>
  <c r="I10981" i="58"/>
  <c r="J10981" i="58" s="1"/>
  <c r="O10980" i="58"/>
  <c r="P10980" i="58" s="1"/>
  <c r="O10979" i="58"/>
  <c r="P10979" i="58" s="1"/>
  <c r="Q10979" i="58" s="1"/>
  <c r="N10979" i="58"/>
  <c r="J10979" i="58"/>
  <c r="O10978" i="58"/>
  <c r="P10978" i="58" s="1"/>
  <c r="Q10978" i="58" s="1"/>
  <c r="R10978" i="58" s="1"/>
  <c r="K10978" i="58"/>
  <c r="L10978" i="58" s="1"/>
  <c r="L10971" i="58" s="1"/>
  <c r="O10977" i="58"/>
  <c r="P10977" i="58" s="1"/>
  <c r="O10976" i="58"/>
  <c r="P10976" i="58" s="1"/>
  <c r="I10976" i="58"/>
  <c r="J10976" i="58" s="1"/>
  <c r="O10975" i="58"/>
  <c r="P10975" i="58" s="1"/>
  <c r="I10975" i="58"/>
  <c r="J10975" i="58" s="1"/>
  <c r="P10974" i="58"/>
  <c r="O10974" i="58"/>
  <c r="I10974" i="58"/>
  <c r="J10974" i="58" s="1"/>
  <c r="P10973" i="58"/>
  <c r="O10973" i="58"/>
  <c r="I10973" i="58"/>
  <c r="J10973" i="58" s="1"/>
  <c r="O10972" i="58"/>
  <c r="P10972" i="58" s="1"/>
  <c r="O10971" i="58"/>
  <c r="P10971" i="58" s="1"/>
  <c r="Q10971" i="58" s="1"/>
  <c r="N10971" i="58"/>
  <c r="O10970" i="58"/>
  <c r="P10970" i="58" s="1"/>
  <c r="L10970" i="58"/>
  <c r="L10963" i="58" s="1"/>
  <c r="K10970" i="58"/>
  <c r="O10969" i="58"/>
  <c r="P10969" i="58" s="1"/>
  <c r="O10968" i="58"/>
  <c r="P10968" i="58" s="1"/>
  <c r="I10968" i="58"/>
  <c r="J10968" i="58" s="1"/>
  <c r="P10967" i="58"/>
  <c r="O10967" i="58"/>
  <c r="I10967" i="58"/>
  <c r="J10967" i="58" s="1"/>
  <c r="O10966" i="58"/>
  <c r="P10966" i="58" s="1"/>
  <c r="I10966" i="58"/>
  <c r="J10966" i="58" s="1"/>
  <c r="O10965" i="58"/>
  <c r="P10965" i="58" s="1"/>
  <c r="I10965" i="58"/>
  <c r="J10965" i="58" s="1"/>
  <c r="O10964" i="58"/>
  <c r="P10964" i="58" s="1"/>
  <c r="O10963" i="58"/>
  <c r="P10963" i="58" s="1"/>
  <c r="Q10963" i="58" s="1"/>
  <c r="N10963" i="58"/>
  <c r="P10962" i="58"/>
  <c r="O10962" i="58"/>
  <c r="L10962" i="58"/>
  <c r="L10955" i="58" s="1"/>
  <c r="K10962" i="58"/>
  <c r="O10961" i="58"/>
  <c r="P10961" i="58" s="1"/>
  <c r="P10960" i="58"/>
  <c r="O10960" i="58"/>
  <c r="J10960" i="58"/>
  <c r="I10960" i="58"/>
  <c r="P10959" i="58"/>
  <c r="O10959" i="58"/>
  <c r="I10959" i="58"/>
  <c r="J10959" i="58" s="1"/>
  <c r="O10958" i="58"/>
  <c r="P10958" i="58" s="1"/>
  <c r="I10958" i="58"/>
  <c r="J10958" i="58" s="1"/>
  <c r="O10957" i="58"/>
  <c r="P10957" i="58" s="1"/>
  <c r="I10957" i="58"/>
  <c r="J10957" i="58" s="1"/>
  <c r="O10956" i="58"/>
  <c r="P10956" i="58" s="1"/>
  <c r="O10955" i="58"/>
  <c r="P10955" i="58" s="1"/>
  <c r="Q10955" i="58" s="1"/>
  <c r="N10955" i="58"/>
  <c r="P10954" i="58"/>
  <c r="O10954" i="58"/>
  <c r="K10954" i="58"/>
  <c r="L10954" i="58" s="1"/>
  <c r="L10947" i="58" s="1"/>
  <c r="O10953" i="58"/>
  <c r="P10953" i="58" s="1"/>
  <c r="O10952" i="58"/>
  <c r="P10952" i="58" s="1"/>
  <c r="I10952" i="58"/>
  <c r="J10952" i="58" s="1"/>
  <c r="P10951" i="58"/>
  <c r="O10951" i="58"/>
  <c r="I10951" i="58"/>
  <c r="J10951" i="58" s="1"/>
  <c r="O10950" i="58"/>
  <c r="P10950" i="58" s="1"/>
  <c r="I10950" i="58"/>
  <c r="J10950" i="58" s="1"/>
  <c r="O10949" i="58"/>
  <c r="P10949" i="58" s="1"/>
  <c r="I10949" i="58"/>
  <c r="J10949" i="58" s="1"/>
  <c r="O10948" i="58"/>
  <c r="P10948" i="58" s="1"/>
  <c r="O10947" i="58"/>
  <c r="P10947" i="58" s="1"/>
  <c r="Q10947" i="58" s="1"/>
  <c r="N10947" i="58"/>
  <c r="O10946" i="58"/>
  <c r="P10946" i="58" s="1"/>
  <c r="Q10946" i="58" s="1"/>
  <c r="R10946" i="58" s="1"/>
  <c r="K10946" i="58"/>
  <c r="L10946" i="58" s="1"/>
  <c r="L10939" i="58" s="1"/>
  <c r="P10945" i="58"/>
  <c r="O10945" i="58"/>
  <c r="O10944" i="58"/>
  <c r="P10944" i="58" s="1"/>
  <c r="I10944" i="58"/>
  <c r="J10944" i="58" s="1"/>
  <c r="P10943" i="58"/>
  <c r="O10943" i="58"/>
  <c r="I10943" i="58"/>
  <c r="J10943" i="58" s="1"/>
  <c r="O10942" i="58"/>
  <c r="P10942" i="58" s="1"/>
  <c r="I10942" i="58"/>
  <c r="J10942" i="58" s="1"/>
  <c r="O10941" i="58"/>
  <c r="P10941" i="58" s="1"/>
  <c r="I10941" i="58"/>
  <c r="J10941" i="58" s="1"/>
  <c r="P10940" i="58"/>
  <c r="O10940" i="58"/>
  <c r="O10939" i="58"/>
  <c r="P10939" i="58" s="1"/>
  <c r="Q10939" i="58" s="1"/>
  <c r="N10939" i="58"/>
  <c r="O10938" i="58"/>
  <c r="P10938" i="58" s="1"/>
  <c r="Q10938" i="58" s="1"/>
  <c r="R10938" i="58" s="1"/>
  <c r="K10938" i="58"/>
  <c r="L10938" i="58" s="1"/>
  <c r="L10931" i="58" s="1"/>
  <c r="O10937" i="58"/>
  <c r="P10937" i="58" s="1"/>
  <c r="Q10937" i="58" s="1"/>
  <c r="P10936" i="58"/>
  <c r="O10936" i="58"/>
  <c r="I10936" i="58"/>
  <c r="J10936" i="58" s="1"/>
  <c r="O10935" i="58"/>
  <c r="P10935" i="58" s="1"/>
  <c r="I10935" i="58"/>
  <c r="J10935" i="58" s="1"/>
  <c r="P10934" i="58"/>
  <c r="O10934" i="58"/>
  <c r="I10934" i="58"/>
  <c r="J10934" i="58" s="1"/>
  <c r="O10933" i="58"/>
  <c r="P10933" i="58" s="1"/>
  <c r="I10933" i="58"/>
  <c r="J10933" i="58" s="1"/>
  <c r="P10932" i="58"/>
  <c r="O10932" i="58"/>
  <c r="O10931" i="58"/>
  <c r="P10931" i="58" s="1"/>
  <c r="Q10931" i="58" s="1"/>
  <c r="N10931" i="58"/>
  <c r="P10930" i="58"/>
  <c r="O10930" i="58"/>
  <c r="L10930" i="58"/>
  <c r="L10923" i="58" s="1"/>
  <c r="K10930" i="58"/>
  <c r="O10929" i="58"/>
  <c r="P10929" i="58" s="1"/>
  <c r="P10928" i="58"/>
  <c r="O10928" i="58"/>
  <c r="I10928" i="58"/>
  <c r="J10928" i="58" s="1"/>
  <c r="O10927" i="58"/>
  <c r="P10927" i="58" s="1"/>
  <c r="I10927" i="58"/>
  <c r="J10927" i="58" s="1"/>
  <c r="O10926" i="58"/>
  <c r="P10926" i="58" s="1"/>
  <c r="I10926" i="58"/>
  <c r="J10926" i="58" s="1"/>
  <c r="P10925" i="58"/>
  <c r="O10925" i="58"/>
  <c r="I10925" i="58"/>
  <c r="J10925" i="58" s="1"/>
  <c r="O10924" i="58"/>
  <c r="P10924" i="58" s="1"/>
  <c r="Q10923" i="58"/>
  <c r="O10923" i="58"/>
  <c r="P10923" i="58" s="1"/>
  <c r="N10923" i="58"/>
  <c r="O10922" i="58"/>
  <c r="P10922" i="58" s="1"/>
  <c r="K10922" i="58"/>
  <c r="L10922" i="58" s="1"/>
  <c r="L10915" i="58" s="1"/>
  <c r="O10921" i="58"/>
  <c r="P10921" i="58" s="1"/>
  <c r="O10920" i="58"/>
  <c r="P10920" i="58" s="1"/>
  <c r="I10920" i="58"/>
  <c r="J10920" i="58" s="1"/>
  <c r="O10919" i="58"/>
  <c r="P10919" i="58" s="1"/>
  <c r="I10919" i="58"/>
  <c r="J10919" i="58" s="1"/>
  <c r="O10918" i="58"/>
  <c r="P10918" i="58" s="1"/>
  <c r="I10918" i="58"/>
  <c r="J10918" i="58" s="1"/>
  <c r="P10917" i="58"/>
  <c r="O10917" i="58"/>
  <c r="I10917" i="58"/>
  <c r="J10917" i="58" s="1"/>
  <c r="O10916" i="58"/>
  <c r="P10916" i="58" s="1"/>
  <c r="O10915" i="58"/>
  <c r="P10915" i="58" s="1"/>
  <c r="Q10915" i="58" s="1"/>
  <c r="N10915" i="58"/>
  <c r="O10914" i="58"/>
  <c r="P10914" i="58" s="1"/>
  <c r="K10914" i="58"/>
  <c r="L10914" i="58" s="1"/>
  <c r="L10907" i="58" s="1"/>
  <c r="O10913" i="58"/>
  <c r="P10913" i="58" s="1"/>
  <c r="O10912" i="58"/>
  <c r="P10912" i="58" s="1"/>
  <c r="I10912" i="58"/>
  <c r="J10912" i="58" s="1"/>
  <c r="P10911" i="58"/>
  <c r="O10911" i="58"/>
  <c r="I10911" i="58"/>
  <c r="J10911" i="58" s="1"/>
  <c r="O10910" i="58"/>
  <c r="P10910" i="58" s="1"/>
  <c r="I10910" i="58"/>
  <c r="J10910" i="58" s="1"/>
  <c r="O10909" i="58"/>
  <c r="P10909" i="58" s="1"/>
  <c r="I10909" i="58"/>
  <c r="J10909" i="58" s="1"/>
  <c r="O10908" i="58"/>
  <c r="P10908" i="58" s="1"/>
  <c r="O10907" i="58"/>
  <c r="P10907" i="58" s="1"/>
  <c r="Q10907" i="58" s="1"/>
  <c r="N10907" i="58"/>
  <c r="O10906" i="58"/>
  <c r="P10906" i="58" s="1"/>
  <c r="Q10906" i="58" s="1"/>
  <c r="N10906" i="58"/>
  <c r="P10905" i="58"/>
  <c r="O10905" i="58"/>
  <c r="O10904" i="58"/>
  <c r="P10904" i="58" s="1"/>
  <c r="O10903" i="58"/>
  <c r="P10903" i="58" s="1"/>
  <c r="L10903" i="58"/>
  <c r="L10896" i="58" s="1"/>
  <c r="K10903" i="58"/>
  <c r="P10902" i="58"/>
  <c r="O10902" i="58"/>
  <c r="O10901" i="58"/>
  <c r="P10901" i="58" s="1"/>
  <c r="I10901" i="58"/>
  <c r="J10901" i="58" s="1"/>
  <c r="O10900" i="58"/>
  <c r="P10900" i="58" s="1"/>
  <c r="I10900" i="58"/>
  <c r="J10900" i="58" s="1"/>
  <c r="O10899" i="58"/>
  <c r="P10899" i="58" s="1"/>
  <c r="I10899" i="58"/>
  <c r="J10899" i="58" s="1"/>
  <c r="P10898" i="58"/>
  <c r="O10898" i="58"/>
  <c r="I10898" i="58"/>
  <c r="J10898" i="58" s="1"/>
  <c r="O10897" i="58"/>
  <c r="P10897" i="58" s="1"/>
  <c r="O10896" i="58"/>
  <c r="P10896" i="58" s="1"/>
  <c r="Q10896" i="58" s="1"/>
  <c r="Q10895" i="58"/>
  <c r="R10895" i="58" s="1"/>
  <c r="O10895" i="58"/>
  <c r="P10895" i="58" s="1"/>
  <c r="O10894" i="58"/>
  <c r="P10894" i="58" s="1"/>
  <c r="O10893" i="58"/>
  <c r="P10893" i="58" s="1"/>
  <c r="O10892" i="58"/>
  <c r="P10892" i="58" s="1"/>
  <c r="K10892" i="58"/>
  <c r="L10892" i="58" s="1"/>
  <c r="L10885" i="58" s="1"/>
  <c r="O10891" i="58"/>
  <c r="P10891" i="58" s="1"/>
  <c r="O10890" i="58"/>
  <c r="P10890" i="58" s="1"/>
  <c r="I10890" i="58"/>
  <c r="J10890" i="58" s="1"/>
  <c r="O10889" i="58"/>
  <c r="P10889" i="58" s="1"/>
  <c r="I10889" i="58"/>
  <c r="J10889" i="58" s="1"/>
  <c r="O10888" i="58"/>
  <c r="P10888" i="58" s="1"/>
  <c r="I10888" i="58"/>
  <c r="J10888" i="58" s="1"/>
  <c r="P10887" i="58"/>
  <c r="O10887" i="58"/>
  <c r="I10887" i="58"/>
  <c r="J10887" i="58" s="1"/>
  <c r="O10886" i="58"/>
  <c r="P10886" i="58" s="1"/>
  <c r="O10885" i="58"/>
  <c r="P10885" i="58" s="1"/>
  <c r="Q10885" i="58" s="1"/>
  <c r="O10884" i="58"/>
  <c r="P10884" i="58" s="1"/>
  <c r="O10883" i="58"/>
  <c r="P10883" i="58" s="1"/>
  <c r="N10883" i="58"/>
  <c r="O10882" i="58"/>
  <c r="P10882" i="58" s="1"/>
  <c r="P10881" i="58"/>
  <c r="O10881" i="58"/>
  <c r="K10881" i="58"/>
  <c r="L10881" i="58" s="1"/>
  <c r="L10874" i="58" s="1"/>
  <c r="O10880" i="58"/>
  <c r="P10880" i="58" s="1"/>
  <c r="O10879" i="58"/>
  <c r="P10879" i="58" s="1"/>
  <c r="J10879" i="58"/>
  <c r="I10879" i="58"/>
  <c r="O10878" i="58"/>
  <c r="P10878" i="58" s="1"/>
  <c r="I10878" i="58"/>
  <c r="J10878" i="58" s="1"/>
  <c r="O10877" i="58"/>
  <c r="P10877" i="58" s="1"/>
  <c r="I10877" i="58"/>
  <c r="J10877" i="58" s="1"/>
  <c r="O10876" i="58"/>
  <c r="P10876" i="58" s="1"/>
  <c r="I10876" i="58"/>
  <c r="J10876" i="58" s="1"/>
  <c r="P10875" i="58"/>
  <c r="O10875" i="58"/>
  <c r="P10874" i="58"/>
  <c r="Q10874" i="58" s="1"/>
  <c r="O10874" i="58"/>
  <c r="O10873" i="58"/>
  <c r="P10873" i="58" s="1"/>
  <c r="Q10873" i="58" s="1"/>
  <c r="R10873" i="58" s="1"/>
  <c r="P10872" i="58"/>
  <c r="O10872" i="58"/>
  <c r="O10871" i="58"/>
  <c r="P10871" i="58" s="1"/>
  <c r="O10870" i="58"/>
  <c r="P10870" i="58" s="1"/>
  <c r="K10870" i="58"/>
  <c r="L10870" i="58" s="1"/>
  <c r="L10863" i="58" s="1"/>
  <c r="O10869" i="58"/>
  <c r="P10869" i="58" s="1"/>
  <c r="O10868" i="58"/>
  <c r="P10868" i="58" s="1"/>
  <c r="I10868" i="58"/>
  <c r="J10868" i="58" s="1"/>
  <c r="P10867" i="58"/>
  <c r="O10867" i="58"/>
  <c r="I10867" i="58"/>
  <c r="J10867" i="58" s="1"/>
  <c r="O10866" i="58"/>
  <c r="P10866" i="58" s="1"/>
  <c r="I10866" i="58"/>
  <c r="J10866" i="58" s="1"/>
  <c r="P10865" i="58"/>
  <c r="O10865" i="58"/>
  <c r="I10865" i="58"/>
  <c r="J10865" i="58" s="1"/>
  <c r="O10864" i="58"/>
  <c r="P10864" i="58" s="1"/>
  <c r="O10863" i="58"/>
  <c r="P10863" i="58" s="1"/>
  <c r="Q10863" i="58" s="1"/>
  <c r="O10862" i="58"/>
  <c r="P10862" i="58" s="1"/>
  <c r="N10862" i="58"/>
  <c r="O10861" i="58"/>
  <c r="P10861" i="58" s="1"/>
  <c r="N10861" i="58"/>
  <c r="O10860" i="58"/>
  <c r="P10860" i="58" s="1"/>
  <c r="O10859" i="58"/>
  <c r="P10859" i="58" s="1"/>
  <c r="K10859" i="58"/>
  <c r="L10859" i="58" s="1"/>
  <c r="L10852" i="58" s="1"/>
  <c r="O10858" i="58"/>
  <c r="P10858" i="58" s="1"/>
  <c r="O10857" i="58"/>
  <c r="P10857" i="58" s="1"/>
  <c r="I10857" i="58"/>
  <c r="J10857" i="58" s="1"/>
  <c r="O10856" i="58"/>
  <c r="P10856" i="58" s="1"/>
  <c r="I10856" i="58"/>
  <c r="J10856" i="58" s="1"/>
  <c r="O10855" i="58"/>
  <c r="P10855" i="58" s="1"/>
  <c r="I10855" i="58"/>
  <c r="J10855" i="58" s="1"/>
  <c r="O10854" i="58"/>
  <c r="P10854" i="58" s="1"/>
  <c r="I10854" i="58"/>
  <c r="J10854" i="58" s="1"/>
  <c r="P10853" i="58"/>
  <c r="O10853" i="58"/>
  <c r="P10852" i="58"/>
  <c r="Q10852" i="58" s="1"/>
  <c r="O10852" i="58"/>
  <c r="P10851" i="58"/>
  <c r="Q10851" i="58" s="1"/>
  <c r="R10851" i="58" s="1"/>
  <c r="O10851" i="58"/>
  <c r="O10850" i="58"/>
  <c r="P10850" i="58" s="1"/>
  <c r="Q10850" i="58" s="1"/>
  <c r="R10850" i="58" s="1"/>
  <c r="P10849" i="58"/>
  <c r="O10849" i="58"/>
  <c r="P10848" i="58"/>
  <c r="O10848" i="58"/>
  <c r="K10848" i="58"/>
  <c r="L10848" i="58" s="1"/>
  <c r="L10841" i="58" s="1"/>
  <c r="O10847" i="58"/>
  <c r="P10847" i="58" s="1"/>
  <c r="O10846" i="58"/>
  <c r="P10846" i="58" s="1"/>
  <c r="J10846" i="58"/>
  <c r="I10846" i="58"/>
  <c r="O10845" i="58"/>
  <c r="P10845" i="58" s="1"/>
  <c r="I10845" i="58"/>
  <c r="J10845" i="58" s="1"/>
  <c r="P10844" i="58"/>
  <c r="O10844" i="58"/>
  <c r="I10844" i="58"/>
  <c r="J10844" i="58" s="1"/>
  <c r="P10843" i="58"/>
  <c r="O10843" i="58"/>
  <c r="I10843" i="58"/>
  <c r="J10843" i="58" s="1"/>
  <c r="O10842" i="58"/>
  <c r="P10842" i="58" s="1"/>
  <c r="O10841" i="58"/>
  <c r="P10841" i="58" s="1"/>
  <c r="Q10841" i="58" s="1"/>
  <c r="O10840" i="58"/>
  <c r="P10840" i="58" s="1"/>
  <c r="O10839" i="58"/>
  <c r="P10839" i="58" s="1"/>
  <c r="O10838" i="58"/>
  <c r="P10838" i="58" s="1"/>
  <c r="O10837" i="58"/>
  <c r="P10837" i="58" s="1"/>
  <c r="K10837" i="58"/>
  <c r="L10837" i="58" s="1"/>
  <c r="L10830" i="58" s="1"/>
  <c r="O10836" i="58"/>
  <c r="P10836" i="58" s="1"/>
  <c r="O10835" i="58"/>
  <c r="P10835" i="58" s="1"/>
  <c r="I10835" i="58"/>
  <c r="J10835" i="58" s="1"/>
  <c r="O10834" i="58"/>
  <c r="P10834" i="58" s="1"/>
  <c r="J10834" i="58"/>
  <c r="I10834" i="58"/>
  <c r="O10833" i="58"/>
  <c r="P10833" i="58" s="1"/>
  <c r="I10833" i="58"/>
  <c r="J10833" i="58" s="1"/>
  <c r="O10832" i="58"/>
  <c r="P10832" i="58" s="1"/>
  <c r="J10832" i="58"/>
  <c r="I10832" i="58"/>
  <c r="P10831" i="58"/>
  <c r="O10831" i="58"/>
  <c r="O10830" i="58"/>
  <c r="P10830" i="58" s="1"/>
  <c r="Q10830" i="58" s="1"/>
  <c r="O10829" i="58"/>
  <c r="P10829" i="58" s="1"/>
  <c r="O10828" i="58"/>
  <c r="P10828" i="58" s="1"/>
  <c r="O10827" i="58"/>
  <c r="P10827" i="58" s="1"/>
  <c r="P10826" i="58"/>
  <c r="O10826" i="58"/>
  <c r="K10826" i="58"/>
  <c r="L10826" i="58" s="1"/>
  <c r="L10819" i="58" s="1"/>
  <c r="O10825" i="58"/>
  <c r="P10825" i="58" s="1"/>
  <c r="O10824" i="58"/>
  <c r="P10824" i="58" s="1"/>
  <c r="I10824" i="58"/>
  <c r="J10824" i="58" s="1"/>
  <c r="O10823" i="58"/>
  <c r="P10823" i="58" s="1"/>
  <c r="I10823" i="58"/>
  <c r="J10823" i="58" s="1"/>
  <c r="O10822" i="58"/>
  <c r="P10822" i="58" s="1"/>
  <c r="I10822" i="58"/>
  <c r="J10822" i="58" s="1"/>
  <c r="O10821" i="58"/>
  <c r="P10821" i="58" s="1"/>
  <c r="I10821" i="58"/>
  <c r="J10821" i="58" s="1"/>
  <c r="O10820" i="58"/>
  <c r="P10820" i="58" s="1"/>
  <c r="P10819" i="58"/>
  <c r="Q10819" i="58" s="1"/>
  <c r="O10819" i="58"/>
  <c r="O10818" i="58"/>
  <c r="P10818" i="58" s="1"/>
  <c r="P10817" i="58"/>
  <c r="O10817" i="58"/>
  <c r="O10816" i="58"/>
  <c r="P10816" i="58" s="1"/>
  <c r="P10815" i="58"/>
  <c r="O10815" i="58"/>
  <c r="K10815" i="58"/>
  <c r="L10815" i="58" s="1"/>
  <c r="L10808" i="58" s="1"/>
  <c r="O10814" i="58"/>
  <c r="P10814" i="58" s="1"/>
  <c r="O10813" i="58"/>
  <c r="P10813" i="58" s="1"/>
  <c r="I10813" i="58"/>
  <c r="J10813" i="58" s="1"/>
  <c r="O10812" i="58"/>
  <c r="P10812" i="58" s="1"/>
  <c r="I10812" i="58"/>
  <c r="J10812" i="58" s="1"/>
  <c r="P10811" i="58"/>
  <c r="O10811" i="58"/>
  <c r="I10811" i="58"/>
  <c r="J10811" i="58" s="1"/>
  <c r="O10810" i="58"/>
  <c r="P10810" i="58" s="1"/>
  <c r="I10810" i="58"/>
  <c r="J10810" i="58" s="1"/>
  <c r="O10809" i="58"/>
  <c r="P10809" i="58" s="1"/>
  <c r="P10808" i="58"/>
  <c r="Q10808" i="58" s="1"/>
  <c r="O10808" i="58"/>
  <c r="O10807" i="58"/>
  <c r="P10807" i="58" s="1"/>
  <c r="K10807" i="58"/>
  <c r="L10807" i="58" s="1"/>
  <c r="L10800" i="58" s="1"/>
  <c r="P10806" i="58"/>
  <c r="O10806" i="58"/>
  <c r="P10805" i="58"/>
  <c r="O10805" i="58"/>
  <c r="I10805" i="58"/>
  <c r="J10805" i="58" s="1"/>
  <c r="O10804" i="58"/>
  <c r="P10804" i="58" s="1"/>
  <c r="I10804" i="58"/>
  <c r="J10804" i="58" s="1"/>
  <c r="P10803" i="58"/>
  <c r="O10803" i="58"/>
  <c r="I10803" i="58"/>
  <c r="J10803" i="58" s="1"/>
  <c r="O10802" i="58"/>
  <c r="P10802" i="58" s="1"/>
  <c r="I10802" i="58"/>
  <c r="J10802" i="58" s="1"/>
  <c r="P10801" i="58"/>
  <c r="O10801" i="58"/>
  <c r="Q10800" i="58"/>
  <c r="Q10799" i="58" s="1"/>
  <c r="R10799" i="58" s="1"/>
  <c r="O10800" i="58"/>
  <c r="P10800" i="58" s="1"/>
  <c r="N10800" i="58"/>
  <c r="P10799" i="58"/>
  <c r="O10799" i="58"/>
  <c r="K10799" i="58"/>
  <c r="L10799" i="58" s="1"/>
  <c r="O10798" i="58"/>
  <c r="P10798" i="58" s="1"/>
  <c r="P10797" i="58"/>
  <c r="O10797" i="58"/>
  <c r="I10797" i="58"/>
  <c r="J10797" i="58" s="1"/>
  <c r="O10796" i="58"/>
  <c r="P10796" i="58" s="1"/>
  <c r="I10796" i="58"/>
  <c r="J10796" i="58" s="1"/>
  <c r="P10795" i="58"/>
  <c r="O10795" i="58"/>
  <c r="I10795" i="58"/>
  <c r="J10795" i="58" s="1"/>
  <c r="P10794" i="58"/>
  <c r="O10794" i="58"/>
  <c r="J10794" i="58"/>
  <c r="I10794" i="58"/>
  <c r="O10793" i="58"/>
  <c r="P10793" i="58" s="1"/>
  <c r="O10792" i="58"/>
  <c r="P10792" i="58" s="1"/>
  <c r="Q10792" i="58" s="1"/>
  <c r="N10792" i="58"/>
  <c r="L10792" i="58"/>
  <c r="O10791" i="58"/>
  <c r="P10791" i="58" s="1"/>
  <c r="Q10791" i="58" s="1"/>
  <c r="R10791" i="58" s="1"/>
  <c r="L10791" i="58"/>
  <c r="K10791" i="58"/>
  <c r="O10790" i="58"/>
  <c r="P10790" i="58" s="1"/>
  <c r="O10789" i="58"/>
  <c r="P10789" i="58" s="1"/>
  <c r="I10789" i="58"/>
  <c r="J10789" i="58" s="1"/>
  <c r="O10788" i="58"/>
  <c r="P10788" i="58" s="1"/>
  <c r="I10788" i="58"/>
  <c r="J10788" i="58" s="1"/>
  <c r="O10787" i="58"/>
  <c r="P10787" i="58" s="1"/>
  <c r="I10787" i="58"/>
  <c r="J10787" i="58" s="1"/>
  <c r="O10786" i="58"/>
  <c r="P10786" i="58" s="1"/>
  <c r="I10786" i="58"/>
  <c r="J10786" i="58" s="1"/>
  <c r="P10785" i="58"/>
  <c r="O10785" i="58"/>
  <c r="P10784" i="58"/>
  <c r="Q10784" i="58" s="1"/>
  <c r="O10784" i="58"/>
  <c r="N10784" i="58"/>
  <c r="L10784" i="58"/>
  <c r="O10783" i="58"/>
  <c r="P10783" i="58" s="1"/>
  <c r="O10782" i="58"/>
  <c r="P10782" i="58" s="1"/>
  <c r="N10782" i="58"/>
  <c r="O10781" i="58"/>
  <c r="P10781" i="58" s="1"/>
  <c r="O10780" i="58"/>
  <c r="P10780" i="58" s="1"/>
  <c r="K10780" i="58"/>
  <c r="L10780" i="58" s="1"/>
  <c r="L10773" i="58" s="1"/>
  <c r="O10779" i="58"/>
  <c r="P10779" i="58" s="1"/>
  <c r="O10778" i="58"/>
  <c r="P10778" i="58" s="1"/>
  <c r="I10778" i="58"/>
  <c r="J10778" i="58" s="1"/>
  <c r="P10777" i="58"/>
  <c r="O10777" i="58"/>
  <c r="I10777" i="58"/>
  <c r="J10777" i="58" s="1"/>
  <c r="O10776" i="58"/>
  <c r="P10776" i="58" s="1"/>
  <c r="I10776" i="58"/>
  <c r="J10776" i="58" s="1"/>
  <c r="O10775" i="58"/>
  <c r="P10775" i="58" s="1"/>
  <c r="I10775" i="58"/>
  <c r="J10775" i="58" s="1"/>
  <c r="O10774" i="58"/>
  <c r="P10774" i="58" s="1"/>
  <c r="O10773" i="58"/>
  <c r="P10773" i="58" s="1"/>
  <c r="Q10773" i="58" s="1"/>
  <c r="O10772" i="58"/>
  <c r="P10772" i="58" s="1"/>
  <c r="Q10772" i="58" s="1"/>
  <c r="R10772" i="58" s="1"/>
  <c r="N10772" i="58"/>
  <c r="O10771" i="58"/>
  <c r="P10771" i="58" s="1"/>
  <c r="Q10771" i="58" s="1"/>
  <c r="R10771" i="58" s="1"/>
  <c r="O10770" i="58"/>
  <c r="P10770" i="58" s="1"/>
  <c r="P10769" i="58"/>
  <c r="O10769" i="58"/>
  <c r="K10769" i="58"/>
  <c r="L10769" i="58" s="1"/>
  <c r="L10762" i="58" s="1"/>
  <c r="O10768" i="58"/>
  <c r="P10768" i="58" s="1"/>
  <c r="O10767" i="58"/>
  <c r="P10767" i="58" s="1"/>
  <c r="I10767" i="58"/>
  <c r="J10767" i="58" s="1"/>
  <c r="P10766" i="58"/>
  <c r="O10766" i="58"/>
  <c r="I10766" i="58"/>
  <c r="J10766" i="58" s="1"/>
  <c r="O10765" i="58"/>
  <c r="P10765" i="58" s="1"/>
  <c r="I10765" i="58"/>
  <c r="J10765" i="58" s="1"/>
  <c r="O10764" i="58"/>
  <c r="P10764" i="58" s="1"/>
  <c r="I10764" i="58"/>
  <c r="J10764" i="58" s="1"/>
  <c r="O10763" i="58"/>
  <c r="P10763" i="58" s="1"/>
  <c r="O10762" i="58"/>
  <c r="P10762" i="58" s="1"/>
  <c r="Q10762" i="58" s="1"/>
  <c r="O10761" i="58"/>
  <c r="P10761" i="58" s="1"/>
  <c r="Q10761" i="58" s="1"/>
  <c r="R10761" i="58" s="1"/>
  <c r="O10760" i="58"/>
  <c r="P10760" i="58" s="1"/>
  <c r="P10759" i="58"/>
  <c r="O10759" i="58"/>
  <c r="P10758" i="58"/>
  <c r="O10758" i="58"/>
  <c r="K10758" i="58"/>
  <c r="L10758" i="58" s="1"/>
  <c r="L10751" i="58" s="1"/>
  <c r="O10757" i="58"/>
  <c r="P10757" i="58" s="1"/>
  <c r="P10756" i="58"/>
  <c r="O10756" i="58"/>
  <c r="I10756" i="58"/>
  <c r="J10756" i="58" s="1"/>
  <c r="P10755" i="58"/>
  <c r="O10755" i="58"/>
  <c r="J10755" i="58"/>
  <c r="I10755" i="58"/>
  <c r="O10754" i="58"/>
  <c r="P10754" i="58" s="1"/>
  <c r="I10754" i="58"/>
  <c r="J10754" i="58" s="1"/>
  <c r="O10753" i="58"/>
  <c r="P10753" i="58" s="1"/>
  <c r="I10753" i="58"/>
  <c r="J10753" i="58" s="1"/>
  <c r="O10752" i="58"/>
  <c r="P10752" i="58" s="1"/>
  <c r="P10751" i="58"/>
  <c r="Q10751" i="58" s="1"/>
  <c r="O10751" i="58"/>
  <c r="P10750" i="58"/>
  <c r="O10750" i="58"/>
  <c r="O10749" i="58"/>
  <c r="P10749" i="58" s="1"/>
  <c r="O10748" i="58"/>
  <c r="P10748" i="58" s="1"/>
  <c r="P10747" i="58"/>
  <c r="O10747" i="58"/>
  <c r="K10747" i="58"/>
  <c r="L10747" i="58" s="1"/>
  <c r="L10740" i="58" s="1"/>
  <c r="O10746" i="58"/>
  <c r="P10746" i="58" s="1"/>
  <c r="P10745" i="58"/>
  <c r="O10745" i="58"/>
  <c r="I10745" i="58"/>
  <c r="J10745" i="58" s="1"/>
  <c r="P10744" i="58"/>
  <c r="O10744" i="58"/>
  <c r="I10744" i="58"/>
  <c r="J10744" i="58" s="1"/>
  <c r="O10743" i="58"/>
  <c r="P10743" i="58" s="1"/>
  <c r="I10743" i="58"/>
  <c r="J10743" i="58" s="1"/>
  <c r="O10742" i="58"/>
  <c r="P10742" i="58" s="1"/>
  <c r="I10742" i="58"/>
  <c r="J10742" i="58" s="1"/>
  <c r="O10741" i="58"/>
  <c r="P10741" i="58" s="1"/>
  <c r="O10740" i="58"/>
  <c r="P10740" i="58" s="1"/>
  <c r="Q10740" i="58" s="1"/>
  <c r="O10739" i="58"/>
  <c r="P10739" i="58" s="1"/>
  <c r="O10738" i="58"/>
  <c r="P10738" i="58" s="1"/>
  <c r="O10737" i="58"/>
  <c r="P10737" i="58" s="1"/>
  <c r="O10736" i="58"/>
  <c r="P10736" i="58" s="1"/>
  <c r="K10736" i="58"/>
  <c r="L10736" i="58" s="1"/>
  <c r="L10729" i="58" s="1"/>
  <c r="O10735" i="58"/>
  <c r="P10735" i="58" s="1"/>
  <c r="O10734" i="58"/>
  <c r="P10734" i="58" s="1"/>
  <c r="I10734" i="58"/>
  <c r="J10734" i="58" s="1"/>
  <c r="O10733" i="58"/>
  <c r="P10733" i="58" s="1"/>
  <c r="I10733" i="58"/>
  <c r="J10733" i="58" s="1"/>
  <c r="O10732" i="58"/>
  <c r="P10732" i="58" s="1"/>
  <c r="I10732" i="58"/>
  <c r="J10732" i="58" s="1"/>
  <c r="P10731" i="58"/>
  <c r="O10731" i="58"/>
  <c r="I10731" i="58"/>
  <c r="J10731" i="58" s="1"/>
  <c r="O10730" i="58"/>
  <c r="P10730" i="58" s="1"/>
  <c r="O10729" i="58"/>
  <c r="P10729" i="58" s="1"/>
  <c r="Q10729" i="58" s="1"/>
  <c r="O10728" i="58"/>
  <c r="P10728" i="58" s="1"/>
  <c r="O10727" i="58"/>
  <c r="P10727" i="58" s="1"/>
  <c r="P10726" i="58"/>
  <c r="O10726" i="58"/>
  <c r="O10725" i="58"/>
  <c r="P10725" i="58" s="1"/>
  <c r="K10725" i="58"/>
  <c r="L10725" i="58" s="1"/>
  <c r="L10718" i="58" s="1"/>
  <c r="O10724" i="58"/>
  <c r="P10724" i="58" s="1"/>
  <c r="O10723" i="58"/>
  <c r="P10723" i="58" s="1"/>
  <c r="I10723" i="58"/>
  <c r="J10723" i="58" s="1"/>
  <c r="O10722" i="58"/>
  <c r="P10722" i="58" s="1"/>
  <c r="I10722" i="58"/>
  <c r="J10722" i="58" s="1"/>
  <c r="O10721" i="58"/>
  <c r="P10721" i="58" s="1"/>
  <c r="J10721" i="58"/>
  <c r="I10721" i="58"/>
  <c r="P10720" i="58"/>
  <c r="O10720" i="58"/>
  <c r="J10720" i="58"/>
  <c r="I10720" i="58"/>
  <c r="O10719" i="58"/>
  <c r="P10719" i="58" s="1"/>
  <c r="P10718" i="58"/>
  <c r="Q10718" i="58" s="1"/>
  <c r="O10718" i="58"/>
  <c r="Q10717" i="58"/>
  <c r="R10717" i="58" s="1"/>
  <c r="O10717" i="58"/>
  <c r="P10717" i="58" s="1"/>
  <c r="O10716" i="58"/>
  <c r="P10716" i="58" s="1"/>
  <c r="P10715" i="58"/>
  <c r="O10715" i="58"/>
  <c r="O10714" i="58"/>
  <c r="P10714" i="58" s="1"/>
  <c r="L10714" i="58"/>
  <c r="L10707" i="58" s="1"/>
  <c r="K10714" i="58"/>
  <c r="P10713" i="58"/>
  <c r="O10713" i="58"/>
  <c r="O10712" i="58"/>
  <c r="P10712" i="58" s="1"/>
  <c r="I10712" i="58"/>
  <c r="J10712" i="58" s="1"/>
  <c r="O10711" i="58"/>
  <c r="P10711" i="58" s="1"/>
  <c r="I10711" i="58"/>
  <c r="J10711" i="58" s="1"/>
  <c r="O10710" i="58"/>
  <c r="P10710" i="58" s="1"/>
  <c r="I10710" i="58"/>
  <c r="J10710" i="58" s="1"/>
  <c r="O10709" i="58"/>
  <c r="P10709" i="58" s="1"/>
  <c r="I10709" i="58"/>
  <c r="J10709" i="58" s="1"/>
  <c r="O10708" i="58"/>
  <c r="P10708" i="58" s="1"/>
  <c r="Q10707" i="58"/>
  <c r="P10707" i="58"/>
  <c r="O10707" i="58"/>
  <c r="O10706" i="58"/>
  <c r="P10706" i="58" s="1"/>
  <c r="O10705" i="58"/>
  <c r="P10705" i="58" s="1"/>
  <c r="P10704" i="58"/>
  <c r="O10704" i="58"/>
  <c r="O10703" i="58"/>
  <c r="P10703" i="58" s="1"/>
  <c r="K10703" i="58"/>
  <c r="L10703" i="58" s="1"/>
  <c r="L10696" i="58" s="1"/>
  <c r="P10702" i="58"/>
  <c r="O10702" i="58"/>
  <c r="P10701" i="58"/>
  <c r="O10701" i="58"/>
  <c r="I10701" i="58"/>
  <c r="J10701" i="58" s="1"/>
  <c r="O10700" i="58"/>
  <c r="P10700" i="58" s="1"/>
  <c r="I10700" i="58"/>
  <c r="J10700" i="58" s="1"/>
  <c r="O10699" i="58"/>
  <c r="P10699" i="58" s="1"/>
  <c r="I10699" i="58"/>
  <c r="J10699" i="58" s="1"/>
  <c r="O10698" i="58"/>
  <c r="P10698" i="58" s="1"/>
  <c r="I10698" i="58"/>
  <c r="J10698" i="58" s="1"/>
  <c r="O10697" i="58"/>
  <c r="P10697" i="58" s="1"/>
  <c r="O10696" i="58"/>
  <c r="P10696" i="58" s="1"/>
  <c r="Q10696" i="58" s="1"/>
  <c r="O10695" i="58"/>
  <c r="P10695" i="58" s="1"/>
  <c r="O10694" i="58"/>
  <c r="P10694" i="58" s="1"/>
  <c r="N10694" i="58"/>
  <c r="P10693" i="58"/>
  <c r="O10693" i="58"/>
  <c r="O10692" i="58"/>
  <c r="P10692" i="58" s="1"/>
  <c r="K10692" i="58"/>
  <c r="L10692" i="58" s="1"/>
  <c r="L10685" i="58" s="1"/>
  <c r="O10691" i="58"/>
  <c r="P10691" i="58" s="1"/>
  <c r="O10690" i="58"/>
  <c r="P10690" i="58" s="1"/>
  <c r="I10690" i="58"/>
  <c r="J10690" i="58" s="1"/>
  <c r="O10689" i="58"/>
  <c r="P10689" i="58" s="1"/>
  <c r="J10689" i="58"/>
  <c r="I10689" i="58"/>
  <c r="O10688" i="58"/>
  <c r="P10688" i="58" s="1"/>
  <c r="I10688" i="58"/>
  <c r="J10688" i="58" s="1"/>
  <c r="O10687" i="58"/>
  <c r="P10687" i="58" s="1"/>
  <c r="I10687" i="58"/>
  <c r="J10687" i="58" s="1"/>
  <c r="O10686" i="58"/>
  <c r="P10686" i="58" s="1"/>
  <c r="P10685" i="58"/>
  <c r="Q10685" i="58" s="1"/>
  <c r="O10685" i="58"/>
  <c r="P10684" i="58"/>
  <c r="O10684" i="58"/>
  <c r="N10684" i="58"/>
  <c r="O10683" i="58"/>
  <c r="P10683" i="58" s="1"/>
  <c r="O10682" i="58"/>
  <c r="P10682" i="58" s="1"/>
  <c r="P10681" i="58"/>
  <c r="O10681" i="58"/>
  <c r="L10681" i="58"/>
  <c r="L10674" i="58" s="1"/>
  <c r="K10681" i="58"/>
  <c r="O10680" i="58"/>
  <c r="P10680" i="58" s="1"/>
  <c r="O10679" i="58"/>
  <c r="P10679" i="58" s="1"/>
  <c r="I10679" i="58"/>
  <c r="J10679" i="58" s="1"/>
  <c r="P10678" i="58"/>
  <c r="O10678" i="58"/>
  <c r="I10678" i="58"/>
  <c r="J10678" i="58" s="1"/>
  <c r="O10677" i="58"/>
  <c r="P10677" i="58" s="1"/>
  <c r="I10677" i="58"/>
  <c r="J10677" i="58" s="1"/>
  <c r="O10676" i="58"/>
  <c r="P10676" i="58" s="1"/>
  <c r="I10676" i="58"/>
  <c r="J10676" i="58" s="1"/>
  <c r="O10675" i="58"/>
  <c r="P10675" i="58" s="1"/>
  <c r="P10674" i="58"/>
  <c r="Q10674" i="58" s="1"/>
  <c r="O10674" i="58"/>
  <c r="P10673" i="58"/>
  <c r="O10673" i="58"/>
  <c r="O10672" i="58"/>
  <c r="P10672" i="58" s="1"/>
  <c r="P10671" i="58"/>
  <c r="O10671" i="58"/>
  <c r="O10670" i="58"/>
  <c r="P10670" i="58" s="1"/>
  <c r="K10670" i="58"/>
  <c r="L10670" i="58" s="1"/>
  <c r="L10663" i="58" s="1"/>
  <c r="O10669" i="58"/>
  <c r="P10669" i="58" s="1"/>
  <c r="P10668" i="58"/>
  <c r="O10668" i="58"/>
  <c r="I10668" i="58"/>
  <c r="J10668" i="58" s="1"/>
  <c r="O10667" i="58"/>
  <c r="P10667" i="58" s="1"/>
  <c r="I10667" i="58"/>
  <c r="J10667" i="58" s="1"/>
  <c r="O10666" i="58"/>
  <c r="P10666" i="58" s="1"/>
  <c r="I10666" i="58"/>
  <c r="J10666" i="58" s="1"/>
  <c r="P10665" i="58"/>
  <c r="O10665" i="58"/>
  <c r="I10665" i="58"/>
  <c r="J10665" i="58" s="1"/>
  <c r="P10664" i="58"/>
  <c r="O10664" i="58"/>
  <c r="Q10663" i="58"/>
  <c r="O10663" i="58"/>
  <c r="P10663" i="58" s="1"/>
  <c r="O10662" i="58"/>
  <c r="P10662" i="58" s="1"/>
  <c r="Q10662" i="58" s="1"/>
  <c r="R10662" i="58" s="1"/>
  <c r="N10662" i="58"/>
  <c r="O10661" i="58"/>
  <c r="P10661" i="58" s="1"/>
  <c r="N10661" i="58"/>
  <c r="N10652" i="58" s="1"/>
  <c r="O10660" i="58"/>
  <c r="P10660" i="58" s="1"/>
  <c r="O10659" i="58"/>
  <c r="P10659" i="58" s="1"/>
  <c r="K10659" i="58"/>
  <c r="L10659" i="58" s="1"/>
  <c r="O10658" i="58"/>
  <c r="P10658" i="58" s="1"/>
  <c r="O10657" i="58"/>
  <c r="P10657" i="58" s="1"/>
  <c r="I10657" i="58"/>
  <c r="J10657" i="58" s="1"/>
  <c r="O10656" i="58"/>
  <c r="P10656" i="58" s="1"/>
  <c r="J10656" i="58"/>
  <c r="I10656" i="58"/>
  <c r="P10655" i="58"/>
  <c r="O10655" i="58"/>
  <c r="I10655" i="58"/>
  <c r="J10655" i="58" s="1"/>
  <c r="P10654" i="58"/>
  <c r="O10654" i="58"/>
  <c r="I10654" i="58"/>
  <c r="J10654" i="58" s="1"/>
  <c r="O10653" i="58"/>
  <c r="P10653" i="58" s="1"/>
  <c r="Q10652" i="58"/>
  <c r="O10652" i="58"/>
  <c r="P10652" i="58" s="1"/>
  <c r="L10652" i="58"/>
  <c r="P10651" i="58"/>
  <c r="O10651" i="58"/>
  <c r="O10650" i="58"/>
  <c r="P10650" i="58" s="1"/>
  <c r="O10649" i="58"/>
  <c r="P10649" i="58" s="1"/>
  <c r="K10649" i="58"/>
  <c r="L10649" i="58" s="1"/>
  <c r="L10638" i="58" s="1"/>
  <c r="O10648" i="58"/>
  <c r="P10648" i="58" s="1"/>
  <c r="O10647" i="58"/>
  <c r="P10647" i="58" s="1"/>
  <c r="I10647" i="58"/>
  <c r="J10647" i="58" s="1"/>
  <c r="O10646" i="58"/>
  <c r="P10646" i="58" s="1"/>
  <c r="I10646" i="58"/>
  <c r="J10646" i="58" s="1"/>
  <c r="O10645" i="58"/>
  <c r="P10645" i="58" s="1"/>
  <c r="I10645" i="58"/>
  <c r="J10645" i="58" s="1"/>
  <c r="O10644" i="58"/>
  <c r="P10644" i="58" s="1"/>
  <c r="I10644" i="58"/>
  <c r="J10644" i="58" s="1"/>
  <c r="O10643" i="58"/>
  <c r="P10643" i="58" s="1"/>
  <c r="J10643" i="58"/>
  <c r="I10643" i="58"/>
  <c r="P10642" i="58"/>
  <c r="O10642" i="58"/>
  <c r="I10642" i="58"/>
  <c r="J10642" i="58" s="1"/>
  <c r="P10641" i="58"/>
  <c r="O10641" i="58"/>
  <c r="I10641" i="58"/>
  <c r="J10641" i="58" s="1"/>
  <c r="O10640" i="58"/>
  <c r="P10640" i="58" s="1"/>
  <c r="I10640" i="58"/>
  <c r="J10640" i="58" s="1"/>
  <c r="P10639" i="58"/>
  <c r="O10639" i="58"/>
  <c r="P10638" i="58"/>
  <c r="Q10638" i="58" s="1"/>
  <c r="O10638" i="58"/>
  <c r="N10638" i="58"/>
  <c r="P10637" i="58"/>
  <c r="O10637" i="58"/>
  <c r="P10636" i="58"/>
  <c r="O10636" i="58"/>
  <c r="O10635" i="58"/>
  <c r="P10635" i="58" s="1"/>
  <c r="K10635" i="58"/>
  <c r="L10635" i="58" s="1"/>
  <c r="L10624" i="58" s="1"/>
  <c r="P10634" i="58"/>
  <c r="O10634" i="58"/>
  <c r="P10633" i="58"/>
  <c r="O10633" i="58"/>
  <c r="I10633" i="58"/>
  <c r="J10633" i="58" s="1"/>
  <c r="O10632" i="58"/>
  <c r="P10632" i="58" s="1"/>
  <c r="J10632" i="58"/>
  <c r="I10632" i="58"/>
  <c r="O10631" i="58"/>
  <c r="P10631" i="58" s="1"/>
  <c r="I10631" i="58"/>
  <c r="J10631" i="58" s="1"/>
  <c r="O10630" i="58"/>
  <c r="P10630" i="58" s="1"/>
  <c r="I10630" i="58"/>
  <c r="J10630" i="58" s="1"/>
  <c r="O10629" i="58"/>
  <c r="P10629" i="58" s="1"/>
  <c r="I10629" i="58"/>
  <c r="J10629" i="58" s="1"/>
  <c r="P10628" i="58"/>
  <c r="O10628" i="58"/>
  <c r="I10628" i="58"/>
  <c r="J10628" i="58" s="1"/>
  <c r="O10627" i="58"/>
  <c r="P10627" i="58" s="1"/>
  <c r="I10627" i="58"/>
  <c r="J10627" i="58" s="1"/>
  <c r="P10626" i="58"/>
  <c r="O10626" i="58"/>
  <c r="I10626" i="58"/>
  <c r="J10626" i="58" s="1"/>
  <c r="O10625" i="58"/>
  <c r="P10625" i="58" s="1"/>
  <c r="O10624" i="58"/>
  <c r="P10624" i="58" s="1"/>
  <c r="Q10624" i="58" s="1"/>
  <c r="O10623" i="58"/>
  <c r="P10623" i="58" s="1"/>
  <c r="Q10623" i="58" s="1"/>
  <c r="R10623" i="58" s="1"/>
  <c r="O10622" i="58"/>
  <c r="P10622" i="58" s="1"/>
  <c r="P10621" i="58"/>
  <c r="O10621" i="58"/>
  <c r="K10621" i="58"/>
  <c r="L10621" i="58" s="1"/>
  <c r="L10610" i="58" s="1"/>
  <c r="O10620" i="58"/>
  <c r="P10620" i="58" s="1"/>
  <c r="O10619" i="58"/>
  <c r="P10619" i="58" s="1"/>
  <c r="I10619" i="58"/>
  <c r="J10619" i="58" s="1"/>
  <c r="O10618" i="58"/>
  <c r="P10618" i="58" s="1"/>
  <c r="I10618" i="58"/>
  <c r="J10618" i="58" s="1"/>
  <c r="O10617" i="58"/>
  <c r="P10617" i="58" s="1"/>
  <c r="I10617" i="58"/>
  <c r="J10617" i="58" s="1"/>
  <c r="P10616" i="58"/>
  <c r="O10616" i="58"/>
  <c r="J10616" i="58"/>
  <c r="I10616" i="58"/>
  <c r="P10615" i="58"/>
  <c r="O10615" i="58"/>
  <c r="J10615" i="58"/>
  <c r="I10615" i="58"/>
  <c r="P10614" i="58"/>
  <c r="O10614" i="58"/>
  <c r="I10614" i="58"/>
  <c r="J10614" i="58" s="1"/>
  <c r="P10613" i="58"/>
  <c r="O10613" i="58"/>
  <c r="I10613" i="58"/>
  <c r="J10613" i="58" s="1"/>
  <c r="O10612" i="58"/>
  <c r="P10612" i="58" s="1"/>
  <c r="I10612" i="58"/>
  <c r="J10612" i="58" s="1"/>
  <c r="O10611" i="58"/>
  <c r="P10611" i="58" s="1"/>
  <c r="Q10610" i="58"/>
  <c r="O10610" i="58"/>
  <c r="P10610" i="58" s="1"/>
  <c r="O10609" i="58"/>
  <c r="P10609" i="58" s="1"/>
  <c r="O10608" i="58"/>
  <c r="P10608" i="58" s="1"/>
  <c r="O10607" i="58"/>
  <c r="P10607" i="58" s="1"/>
  <c r="K10607" i="58"/>
  <c r="L10607" i="58" s="1"/>
  <c r="L10596" i="58" s="1"/>
  <c r="O10606" i="58"/>
  <c r="P10606" i="58" s="1"/>
  <c r="O10605" i="58"/>
  <c r="P10605" i="58" s="1"/>
  <c r="I10605" i="58"/>
  <c r="J10605" i="58" s="1"/>
  <c r="O10604" i="58"/>
  <c r="P10604" i="58" s="1"/>
  <c r="I10604" i="58"/>
  <c r="J10604" i="58" s="1"/>
  <c r="O10603" i="58"/>
  <c r="P10603" i="58" s="1"/>
  <c r="I10603" i="58"/>
  <c r="J10603" i="58" s="1"/>
  <c r="O10602" i="58"/>
  <c r="P10602" i="58" s="1"/>
  <c r="I10602" i="58"/>
  <c r="J10602" i="58" s="1"/>
  <c r="P10601" i="58"/>
  <c r="O10601" i="58"/>
  <c r="I10601" i="58"/>
  <c r="J10601" i="58" s="1"/>
  <c r="O10600" i="58"/>
  <c r="P10600" i="58" s="1"/>
  <c r="I10600" i="58"/>
  <c r="J10600" i="58" s="1"/>
  <c r="O10599" i="58"/>
  <c r="P10599" i="58" s="1"/>
  <c r="I10599" i="58"/>
  <c r="J10599" i="58" s="1"/>
  <c r="O10598" i="58"/>
  <c r="P10598" i="58" s="1"/>
  <c r="I10598" i="58"/>
  <c r="J10598" i="58" s="1"/>
  <c r="O10597" i="58"/>
  <c r="P10597" i="58" s="1"/>
  <c r="P10596" i="58"/>
  <c r="Q10596" i="58" s="1"/>
  <c r="Q10595" i="58" s="1"/>
  <c r="R10595" i="58" s="1"/>
  <c r="O10596" i="58"/>
  <c r="P10595" i="58"/>
  <c r="O10595" i="58"/>
  <c r="O10594" i="58"/>
  <c r="P10594" i="58" s="1"/>
  <c r="O10593" i="58"/>
  <c r="P10593" i="58" s="1"/>
  <c r="K10593" i="58"/>
  <c r="L10593" i="58" s="1"/>
  <c r="L10582" i="58" s="1"/>
  <c r="P10592" i="58"/>
  <c r="O10592" i="58"/>
  <c r="O10591" i="58"/>
  <c r="P10591" i="58" s="1"/>
  <c r="I10591" i="58"/>
  <c r="J10591" i="58" s="1"/>
  <c r="O10590" i="58"/>
  <c r="P10590" i="58" s="1"/>
  <c r="J10590" i="58"/>
  <c r="I10590" i="58"/>
  <c r="O10589" i="58"/>
  <c r="P10589" i="58" s="1"/>
  <c r="I10589" i="58"/>
  <c r="J10589" i="58" s="1"/>
  <c r="O10588" i="58"/>
  <c r="P10588" i="58" s="1"/>
  <c r="I10588" i="58"/>
  <c r="J10588" i="58" s="1"/>
  <c r="O10587" i="58"/>
  <c r="P10587" i="58" s="1"/>
  <c r="I10587" i="58"/>
  <c r="J10587" i="58" s="1"/>
  <c r="O10586" i="58"/>
  <c r="P10586" i="58" s="1"/>
  <c r="I10586" i="58"/>
  <c r="J10586" i="58" s="1"/>
  <c r="P10585" i="58"/>
  <c r="O10585" i="58"/>
  <c r="I10585" i="58"/>
  <c r="J10585" i="58" s="1"/>
  <c r="O10584" i="58"/>
  <c r="P10584" i="58" s="1"/>
  <c r="I10584" i="58"/>
  <c r="J10584" i="58" s="1"/>
  <c r="O10583" i="58"/>
  <c r="P10583" i="58" s="1"/>
  <c r="O10582" i="58"/>
  <c r="P10582" i="58" s="1"/>
  <c r="Q10582" i="58" s="1"/>
  <c r="P10581" i="58"/>
  <c r="O10581" i="58"/>
  <c r="O10580" i="58"/>
  <c r="P10580" i="58" s="1"/>
  <c r="P10579" i="58"/>
  <c r="O10579" i="58"/>
  <c r="K10579" i="58"/>
  <c r="L10579" i="58" s="1"/>
  <c r="L10568" i="58" s="1"/>
  <c r="O10578" i="58"/>
  <c r="P10578" i="58" s="1"/>
  <c r="O10577" i="58"/>
  <c r="P10577" i="58" s="1"/>
  <c r="I10577" i="58"/>
  <c r="J10577" i="58" s="1"/>
  <c r="O10576" i="58"/>
  <c r="P10576" i="58" s="1"/>
  <c r="I10576" i="58"/>
  <c r="J10576" i="58" s="1"/>
  <c r="O10575" i="58"/>
  <c r="P10575" i="58" s="1"/>
  <c r="I10575" i="58"/>
  <c r="J10575" i="58" s="1"/>
  <c r="O10574" i="58"/>
  <c r="P10574" i="58" s="1"/>
  <c r="I10574" i="58"/>
  <c r="J10574" i="58" s="1"/>
  <c r="O10573" i="58"/>
  <c r="P10573" i="58" s="1"/>
  <c r="I10573" i="58"/>
  <c r="J10573" i="58" s="1"/>
  <c r="O10572" i="58"/>
  <c r="P10572" i="58" s="1"/>
  <c r="J10572" i="58"/>
  <c r="I10572" i="58"/>
  <c r="O10571" i="58"/>
  <c r="P10571" i="58" s="1"/>
  <c r="I10571" i="58"/>
  <c r="J10571" i="58" s="1"/>
  <c r="O10570" i="58"/>
  <c r="P10570" i="58" s="1"/>
  <c r="I10570" i="58"/>
  <c r="J10570" i="58" s="1"/>
  <c r="O10569" i="58"/>
  <c r="P10569" i="58" s="1"/>
  <c r="P10568" i="58"/>
  <c r="Q10568" i="58" s="1"/>
  <c r="O10568" i="58"/>
  <c r="O10567" i="58"/>
  <c r="P10567" i="58" s="1"/>
  <c r="O10566" i="58"/>
  <c r="P10566" i="58" s="1"/>
  <c r="O10565" i="58"/>
  <c r="P10565" i="58" s="1"/>
  <c r="K10565" i="58"/>
  <c r="L10565" i="58" s="1"/>
  <c r="L10554" i="58" s="1"/>
  <c r="O10564" i="58"/>
  <c r="P10564" i="58" s="1"/>
  <c r="P10563" i="58"/>
  <c r="O10563" i="58"/>
  <c r="I10563" i="58"/>
  <c r="J10563" i="58" s="1"/>
  <c r="O10562" i="58"/>
  <c r="P10562" i="58" s="1"/>
  <c r="I10562" i="58"/>
  <c r="J10562" i="58" s="1"/>
  <c r="P10561" i="58"/>
  <c r="O10561" i="58"/>
  <c r="I10561" i="58"/>
  <c r="J10561" i="58" s="1"/>
  <c r="O10560" i="58"/>
  <c r="P10560" i="58" s="1"/>
  <c r="I10560" i="58"/>
  <c r="J10560" i="58" s="1"/>
  <c r="P10559" i="58"/>
  <c r="O10559" i="58"/>
  <c r="I10559" i="58"/>
  <c r="J10559" i="58" s="1"/>
  <c r="P10558" i="58"/>
  <c r="O10558" i="58"/>
  <c r="I10558" i="58"/>
  <c r="J10558" i="58" s="1"/>
  <c r="O10557" i="58"/>
  <c r="P10557" i="58" s="1"/>
  <c r="I10557" i="58"/>
  <c r="J10557" i="58" s="1"/>
  <c r="O10556" i="58"/>
  <c r="P10556" i="58" s="1"/>
  <c r="I10556" i="58"/>
  <c r="J10556" i="58" s="1"/>
  <c r="P10555" i="58"/>
  <c r="O10555" i="58"/>
  <c r="O10554" i="58"/>
  <c r="P10554" i="58" s="1"/>
  <c r="Q10554" i="58" s="1"/>
  <c r="O10553" i="58"/>
  <c r="P10553" i="58" s="1"/>
  <c r="O10552" i="58"/>
  <c r="P10552" i="58" s="1"/>
  <c r="P10551" i="58"/>
  <c r="O10551" i="58"/>
  <c r="K10551" i="58"/>
  <c r="L10551" i="58" s="1"/>
  <c r="L10542" i="58" s="1"/>
  <c r="O10550" i="58"/>
  <c r="P10550" i="58" s="1"/>
  <c r="P10549" i="58"/>
  <c r="O10549" i="58"/>
  <c r="I10549" i="58"/>
  <c r="J10549" i="58" s="1"/>
  <c r="P10548" i="58"/>
  <c r="O10548" i="58"/>
  <c r="I10548" i="58"/>
  <c r="J10548" i="58" s="1"/>
  <c r="O10547" i="58"/>
  <c r="P10547" i="58" s="1"/>
  <c r="I10547" i="58"/>
  <c r="J10547" i="58" s="1"/>
  <c r="O10546" i="58"/>
  <c r="P10546" i="58" s="1"/>
  <c r="J10546" i="58"/>
  <c r="I10546" i="58"/>
  <c r="P10545" i="58"/>
  <c r="O10545" i="58"/>
  <c r="I10545" i="58"/>
  <c r="J10545" i="58" s="1"/>
  <c r="O10544" i="58"/>
  <c r="P10544" i="58" s="1"/>
  <c r="I10544" i="58"/>
  <c r="J10544" i="58" s="1"/>
  <c r="O10543" i="58"/>
  <c r="P10543" i="58" s="1"/>
  <c r="Q10542" i="58"/>
  <c r="P10542" i="58"/>
  <c r="O10542" i="58"/>
  <c r="O10541" i="58"/>
  <c r="P10541" i="58" s="1"/>
  <c r="O10540" i="58"/>
  <c r="P10540" i="58" s="1"/>
  <c r="P10539" i="58"/>
  <c r="O10539" i="58"/>
  <c r="K10539" i="58"/>
  <c r="L10539" i="58" s="1"/>
  <c r="L10530" i="58" s="1"/>
  <c r="O10538" i="58"/>
  <c r="P10538" i="58" s="1"/>
  <c r="O10537" i="58"/>
  <c r="P10537" i="58" s="1"/>
  <c r="I10537" i="58"/>
  <c r="J10537" i="58" s="1"/>
  <c r="O10536" i="58"/>
  <c r="P10536" i="58" s="1"/>
  <c r="I10536" i="58"/>
  <c r="J10536" i="58" s="1"/>
  <c r="O10535" i="58"/>
  <c r="P10535" i="58" s="1"/>
  <c r="I10535" i="58"/>
  <c r="J10535" i="58" s="1"/>
  <c r="P10534" i="58"/>
  <c r="O10534" i="58"/>
  <c r="I10534" i="58"/>
  <c r="J10534" i="58" s="1"/>
  <c r="O10533" i="58"/>
  <c r="P10533" i="58" s="1"/>
  <c r="I10533" i="58"/>
  <c r="J10533" i="58" s="1"/>
  <c r="O10532" i="58"/>
  <c r="P10532" i="58" s="1"/>
  <c r="I10532" i="58"/>
  <c r="J10532" i="58" s="1"/>
  <c r="P10531" i="58"/>
  <c r="O10531" i="58"/>
  <c r="O10530" i="58"/>
  <c r="P10530" i="58" s="1"/>
  <c r="Q10530" i="58" s="1"/>
  <c r="O10529" i="58"/>
  <c r="P10529" i="58" s="1"/>
  <c r="O10528" i="58"/>
  <c r="P10528" i="58" s="1"/>
  <c r="N10528" i="58"/>
  <c r="N10517" i="58" s="1"/>
  <c r="P10527" i="58"/>
  <c r="O10527" i="58"/>
  <c r="O10526" i="58"/>
  <c r="P10526" i="58" s="1"/>
  <c r="K10526" i="58"/>
  <c r="L10526" i="58" s="1"/>
  <c r="L10517" i="58" s="1"/>
  <c r="O10525" i="58"/>
  <c r="P10525" i="58" s="1"/>
  <c r="O10524" i="58"/>
  <c r="P10524" i="58" s="1"/>
  <c r="I10524" i="58"/>
  <c r="J10524" i="58" s="1"/>
  <c r="P10523" i="58"/>
  <c r="O10523" i="58"/>
  <c r="I10523" i="58"/>
  <c r="J10523" i="58" s="1"/>
  <c r="O10522" i="58"/>
  <c r="P10522" i="58" s="1"/>
  <c r="I10522" i="58"/>
  <c r="J10522" i="58" s="1"/>
  <c r="O10521" i="58"/>
  <c r="P10521" i="58" s="1"/>
  <c r="I10521" i="58"/>
  <c r="J10521" i="58" s="1"/>
  <c r="O10520" i="58"/>
  <c r="P10520" i="58" s="1"/>
  <c r="I10520" i="58"/>
  <c r="J10520" i="58" s="1"/>
  <c r="O10519" i="58"/>
  <c r="P10519" i="58" s="1"/>
  <c r="I10519" i="58"/>
  <c r="J10519" i="58" s="1"/>
  <c r="P10518" i="58"/>
  <c r="O10518" i="58"/>
  <c r="O10517" i="58"/>
  <c r="P10517" i="58" s="1"/>
  <c r="Q10517" i="58" s="1"/>
  <c r="O10516" i="58"/>
  <c r="P10516" i="58" s="1"/>
  <c r="Q10516" i="58" s="1"/>
  <c r="R10516" i="58" s="1"/>
  <c r="O10515" i="58"/>
  <c r="P10515" i="58" s="1"/>
  <c r="O10514" i="58"/>
  <c r="P10514" i="58" s="1"/>
  <c r="O10513" i="58"/>
  <c r="P10513" i="58" s="1"/>
  <c r="K10513" i="58"/>
  <c r="L10513" i="58" s="1"/>
  <c r="L10504" i="58" s="1"/>
  <c r="O10512" i="58"/>
  <c r="P10512" i="58" s="1"/>
  <c r="P10511" i="58"/>
  <c r="O10511" i="58"/>
  <c r="J10511" i="58"/>
  <c r="I10511" i="58"/>
  <c r="O10510" i="58"/>
  <c r="P10510" i="58" s="1"/>
  <c r="I10510" i="58"/>
  <c r="J10510" i="58" s="1"/>
  <c r="O10509" i="58"/>
  <c r="P10509" i="58" s="1"/>
  <c r="I10509" i="58"/>
  <c r="J10509" i="58" s="1"/>
  <c r="O10508" i="58"/>
  <c r="P10508" i="58" s="1"/>
  <c r="J10508" i="58"/>
  <c r="I10508" i="58"/>
  <c r="P10507" i="58"/>
  <c r="O10507" i="58"/>
  <c r="I10507" i="58"/>
  <c r="J10507" i="58" s="1"/>
  <c r="J10504" i="58" s="1"/>
  <c r="O10506" i="58"/>
  <c r="P10506" i="58" s="1"/>
  <c r="I10506" i="58"/>
  <c r="J10506" i="58" s="1"/>
  <c r="P10505" i="58"/>
  <c r="O10505" i="58"/>
  <c r="P10504" i="58"/>
  <c r="Q10504" i="58" s="1"/>
  <c r="O10504" i="58"/>
  <c r="O10503" i="58"/>
  <c r="P10503" i="58" s="1"/>
  <c r="O10502" i="58"/>
  <c r="P10502" i="58" s="1"/>
  <c r="N10502" i="58"/>
  <c r="O10501" i="58"/>
  <c r="P10501" i="58" s="1"/>
  <c r="O10500" i="58"/>
  <c r="P10500" i="58" s="1"/>
  <c r="K10500" i="58"/>
  <c r="L10500" i="58" s="1"/>
  <c r="L10491" i="58" s="1"/>
  <c r="O10499" i="58"/>
  <c r="P10499" i="58" s="1"/>
  <c r="O10498" i="58"/>
  <c r="P10498" i="58" s="1"/>
  <c r="I10498" i="58"/>
  <c r="J10498" i="58" s="1"/>
  <c r="O10497" i="58"/>
  <c r="P10497" i="58" s="1"/>
  <c r="I10497" i="58"/>
  <c r="J10497" i="58" s="1"/>
  <c r="O10496" i="58"/>
  <c r="P10496" i="58" s="1"/>
  <c r="I10496" i="58"/>
  <c r="J10496" i="58" s="1"/>
  <c r="O10495" i="58"/>
  <c r="P10495" i="58" s="1"/>
  <c r="I10495" i="58"/>
  <c r="J10495" i="58" s="1"/>
  <c r="O10494" i="58"/>
  <c r="P10494" i="58" s="1"/>
  <c r="I10494" i="58"/>
  <c r="J10494" i="58" s="1"/>
  <c r="O10493" i="58"/>
  <c r="P10493" i="58" s="1"/>
  <c r="I10493" i="58"/>
  <c r="J10493" i="58" s="1"/>
  <c r="O10492" i="58"/>
  <c r="P10492" i="58" s="1"/>
  <c r="O10491" i="58"/>
  <c r="P10491" i="58" s="1"/>
  <c r="Q10491" i="58" s="1"/>
  <c r="O10490" i="58"/>
  <c r="P10490" i="58" s="1"/>
  <c r="Q10490" i="58" s="1"/>
  <c r="R10490" i="58" s="1"/>
  <c r="O10489" i="58"/>
  <c r="P10489" i="58" s="1"/>
  <c r="O10488" i="58"/>
  <c r="P10488" i="58" s="1"/>
  <c r="K10488" i="58"/>
  <c r="L10488" i="58" s="1"/>
  <c r="L10479" i="58" s="1"/>
  <c r="O10487" i="58"/>
  <c r="P10487" i="58" s="1"/>
  <c r="O10486" i="58"/>
  <c r="P10486" i="58" s="1"/>
  <c r="I10486" i="58"/>
  <c r="J10486" i="58" s="1"/>
  <c r="O10485" i="58"/>
  <c r="P10485" i="58" s="1"/>
  <c r="I10485" i="58"/>
  <c r="J10485" i="58" s="1"/>
  <c r="P10484" i="58"/>
  <c r="O10484" i="58"/>
  <c r="I10484" i="58"/>
  <c r="J10484" i="58" s="1"/>
  <c r="O10483" i="58"/>
  <c r="P10483" i="58" s="1"/>
  <c r="I10483" i="58"/>
  <c r="J10483" i="58" s="1"/>
  <c r="O10482" i="58"/>
  <c r="P10482" i="58" s="1"/>
  <c r="I10482" i="58"/>
  <c r="J10482" i="58" s="1"/>
  <c r="O10481" i="58"/>
  <c r="P10481" i="58" s="1"/>
  <c r="I10481" i="58"/>
  <c r="J10481" i="58" s="1"/>
  <c r="O10480" i="58"/>
  <c r="P10480" i="58" s="1"/>
  <c r="Q10479" i="58"/>
  <c r="P10479" i="58"/>
  <c r="O10479" i="58"/>
  <c r="O10478" i="58"/>
  <c r="P10478" i="58" s="1"/>
  <c r="P10477" i="58"/>
  <c r="O10477" i="58"/>
  <c r="O10476" i="58"/>
  <c r="P10476" i="58" s="1"/>
  <c r="K10476" i="58"/>
  <c r="L10476" i="58" s="1"/>
  <c r="L10467" i="58" s="1"/>
  <c r="P10475" i="58"/>
  <c r="O10475" i="58"/>
  <c r="O10474" i="58"/>
  <c r="P10474" i="58" s="1"/>
  <c r="I10474" i="58"/>
  <c r="J10474" i="58" s="1"/>
  <c r="O10473" i="58"/>
  <c r="P10473" i="58" s="1"/>
  <c r="I10473" i="58"/>
  <c r="J10473" i="58" s="1"/>
  <c r="P10472" i="58"/>
  <c r="O10472" i="58"/>
  <c r="I10472" i="58"/>
  <c r="J10472" i="58" s="1"/>
  <c r="O10471" i="58"/>
  <c r="P10471" i="58" s="1"/>
  <c r="J10471" i="58"/>
  <c r="I10471" i="58"/>
  <c r="O10470" i="58"/>
  <c r="P10470" i="58" s="1"/>
  <c r="I10470" i="58"/>
  <c r="J10470" i="58" s="1"/>
  <c r="O10469" i="58"/>
  <c r="P10469" i="58" s="1"/>
  <c r="I10469" i="58"/>
  <c r="J10469" i="58" s="1"/>
  <c r="O10468" i="58"/>
  <c r="P10468" i="58" s="1"/>
  <c r="O10467" i="58"/>
  <c r="P10467" i="58" s="1"/>
  <c r="Q10467" i="58" s="1"/>
  <c r="O10466" i="58"/>
  <c r="P10466" i="58" s="1"/>
  <c r="P10465" i="58"/>
  <c r="O10465" i="58"/>
  <c r="O10464" i="58"/>
  <c r="P10464" i="58" s="1"/>
  <c r="K10464" i="58"/>
  <c r="L10464" i="58" s="1"/>
  <c r="L10455" i="58" s="1"/>
  <c r="P10463" i="58"/>
  <c r="O10463" i="58"/>
  <c r="P10462" i="58"/>
  <c r="O10462" i="58"/>
  <c r="J10462" i="58"/>
  <c r="I10462" i="58"/>
  <c r="O10461" i="58"/>
  <c r="P10461" i="58" s="1"/>
  <c r="I10461" i="58"/>
  <c r="J10461" i="58" s="1"/>
  <c r="O10460" i="58"/>
  <c r="P10460" i="58" s="1"/>
  <c r="I10460" i="58"/>
  <c r="J10460" i="58" s="1"/>
  <c r="P10459" i="58"/>
  <c r="O10459" i="58"/>
  <c r="I10459" i="58"/>
  <c r="J10459" i="58" s="1"/>
  <c r="O10458" i="58"/>
  <c r="P10458" i="58" s="1"/>
  <c r="I10458" i="58"/>
  <c r="J10458" i="58" s="1"/>
  <c r="P10457" i="58"/>
  <c r="O10457" i="58"/>
  <c r="I10457" i="58"/>
  <c r="J10457" i="58" s="1"/>
  <c r="O10456" i="58"/>
  <c r="P10456" i="58" s="1"/>
  <c r="O10455" i="58"/>
  <c r="P10455" i="58" s="1"/>
  <c r="Q10455" i="58" s="1"/>
  <c r="O10454" i="58"/>
  <c r="P10454" i="58" s="1"/>
  <c r="Q10454" i="58" s="1"/>
  <c r="R10454" i="58" s="1"/>
  <c r="O10453" i="58"/>
  <c r="P10453" i="58" s="1"/>
  <c r="O10452" i="58"/>
  <c r="P10452" i="58" s="1"/>
  <c r="K10452" i="58"/>
  <c r="L10452" i="58" s="1"/>
  <c r="L10443" i="58" s="1"/>
  <c r="O10451" i="58"/>
  <c r="P10451" i="58" s="1"/>
  <c r="O10450" i="58"/>
  <c r="P10450" i="58" s="1"/>
  <c r="I10450" i="58"/>
  <c r="J10450" i="58" s="1"/>
  <c r="O10449" i="58"/>
  <c r="P10449" i="58" s="1"/>
  <c r="I10449" i="58"/>
  <c r="J10449" i="58" s="1"/>
  <c r="O10448" i="58"/>
  <c r="P10448" i="58" s="1"/>
  <c r="I10448" i="58"/>
  <c r="J10448" i="58" s="1"/>
  <c r="P10447" i="58"/>
  <c r="O10447" i="58"/>
  <c r="I10447" i="58"/>
  <c r="J10447" i="58" s="1"/>
  <c r="P10446" i="58"/>
  <c r="O10446" i="58"/>
  <c r="I10446" i="58"/>
  <c r="J10446" i="58" s="1"/>
  <c r="O10445" i="58"/>
  <c r="P10445" i="58" s="1"/>
  <c r="I10445" i="58"/>
  <c r="J10445" i="58" s="1"/>
  <c r="P10444" i="58"/>
  <c r="O10444" i="58"/>
  <c r="O10443" i="58"/>
  <c r="P10443" i="58" s="1"/>
  <c r="Q10443" i="58" s="1"/>
  <c r="P10442" i="58"/>
  <c r="O10442" i="58"/>
  <c r="O10441" i="58"/>
  <c r="P10441" i="58" s="1"/>
  <c r="O10440" i="58"/>
  <c r="P10440" i="58" s="1"/>
  <c r="O10439" i="58"/>
  <c r="P10439" i="58" s="1"/>
  <c r="K10439" i="58"/>
  <c r="L10439" i="58" s="1"/>
  <c r="L10430" i="58" s="1"/>
  <c r="O10438" i="58"/>
  <c r="P10438" i="58" s="1"/>
  <c r="O10437" i="58"/>
  <c r="P10437" i="58" s="1"/>
  <c r="I10437" i="58"/>
  <c r="J10437" i="58" s="1"/>
  <c r="O10436" i="58"/>
  <c r="P10436" i="58" s="1"/>
  <c r="I10436" i="58"/>
  <c r="J10436" i="58" s="1"/>
  <c r="P10435" i="58"/>
  <c r="O10435" i="58"/>
  <c r="I10435" i="58"/>
  <c r="J10435" i="58" s="1"/>
  <c r="P10434" i="58"/>
  <c r="O10434" i="58"/>
  <c r="I10434" i="58"/>
  <c r="J10434" i="58" s="1"/>
  <c r="O10433" i="58"/>
  <c r="P10433" i="58" s="1"/>
  <c r="I10433" i="58"/>
  <c r="J10433" i="58" s="1"/>
  <c r="O10432" i="58"/>
  <c r="P10432" i="58" s="1"/>
  <c r="I10432" i="58"/>
  <c r="J10432" i="58" s="1"/>
  <c r="P10431" i="58"/>
  <c r="O10431" i="58"/>
  <c r="P10430" i="58"/>
  <c r="Q10430" i="58" s="1"/>
  <c r="O10430" i="58"/>
  <c r="P10429" i="58"/>
  <c r="O10429" i="58"/>
  <c r="O10428" i="58"/>
  <c r="P10428" i="58" s="1"/>
  <c r="O10427" i="58"/>
  <c r="P10427" i="58" s="1"/>
  <c r="O10426" i="58"/>
  <c r="P10426" i="58" s="1"/>
  <c r="K10426" i="58"/>
  <c r="L10426" i="58" s="1"/>
  <c r="L10417" i="58" s="1"/>
  <c r="P10425" i="58"/>
  <c r="O10425" i="58"/>
  <c r="O10424" i="58"/>
  <c r="P10424" i="58" s="1"/>
  <c r="I10424" i="58"/>
  <c r="J10424" i="58" s="1"/>
  <c r="P10423" i="58"/>
  <c r="O10423" i="58"/>
  <c r="J10423" i="58"/>
  <c r="I10423" i="58"/>
  <c r="P10422" i="58"/>
  <c r="O10422" i="58"/>
  <c r="I10422" i="58"/>
  <c r="J10422" i="58" s="1"/>
  <c r="P10421" i="58"/>
  <c r="O10421" i="58"/>
  <c r="I10421" i="58"/>
  <c r="J10421" i="58" s="1"/>
  <c r="O10420" i="58"/>
  <c r="P10420" i="58" s="1"/>
  <c r="I10420" i="58"/>
  <c r="J10420" i="58" s="1"/>
  <c r="O10419" i="58"/>
  <c r="P10419" i="58" s="1"/>
  <c r="I10419" i="58"/>
  <c r="J10419" i="58" s="1"/>
  <c r="O10418" i="58"/>
  <c r="P10418" i="58" s="1"/>
  <c r="O10417" i="58"/>
  <c r="P10417" i="58" s="1"/>
  <c r="Q10417" i="58" s="1"/>
  <c r="O10416" i="58"/>
  <c r="P10416" i="58" s="1"/>
  <c r="O10415" i="58"/>
  <c r="P10415" i="58" s="1"/>
  <c r="O10414" i="58"/>
  <c r="P10414" i="58" s="1"/>
  <c r="P10413" i="58"/>
  <c r="O10413" i="58"/>
  <c r="K10413" i="58"/>
  <c r="L10413" i="58" s="1"/>
  <c r="L10404" i="58" s="1"/>
  <c r="O10412" i="58"/>
  <c r="P10412" i="58" s="1"/>
  <c r="O10411" i="58"/>
  <c r="P10411" i="58" s="1"/>
  <c r="I10411" i="58"/>
  <c r="J10411" i="58" s="1"/>
  <c r="P10410" i="58"/>
  <c r="O10410" i="58"/>
  <c r="J10410" i="58"/>
  <c r="I10410" i="58"/>
  <c r="O10409" i="58"/>
  <c r="P10409" i="58" s="1"/>
  <c r="I10409" i="58"/>
  <c r="J10409" i="58" s="1"/>
  <c r="O10408" i="58"/>
  <c r="P10408" i="58" s="1"/>
  <c r="I10408" i="58"/>
  <c r="J10408" i="58" s="1"/>
  <c r="O10407" i="58"/>
  <c r="P10407" i="58" s="1"/>
  <c r="I10407" i="58"/>
  <c r="J10407" i="58" s="1"/>
  <c r="O10406" i="58"/>
  <c r="P10406" i="58" s="1"/>
  <c r="J10406" i="58"/>
  <c r="I10406" i="58"/>
  <c r="O10405" i="58"/>
  <c r="P10405" i="58" s="1"/>
  <c r="O10404" i="58"/>
  <c r="P10404" i="58" s="1"/>
  <c r="Q10404" i="58" s="1"/>
  <c r="O10403" i="58"/>
  <c r="P10403" i="58" s="1"/>
  <c r="O10402" i="58"/>
  <c r="P10402" i="58" s="1"/>
  <c r="N10402" i="58"/>
  <c r="O10401" i="58"/>
  <c r="P10401" i="58" s="1"/>
  <c r="P10400" i="58"/>
  <c r="O10400" i="58"/>
  <c r="K10400" i="58"/>
  <c r="L10400" i="58" s="1"/>
  <c r="L10394" i="58" s="1"/>
  <c r="O10399" i="58"/>
  <c r="P10399" i="58" s="1"/>
  <c r="O10398" i="58"/>
  <c r="P10398" i="58" s="1"/>
  <c r="I10398" i="58"/>
  <c r="J10398" i="58" s="1"/>
  <c r="O10397" i="58"/>
  <c r="P10397" i="58" s="1"/>
  <c r="I10397" i="58"/>
  <c r="J10397" i="58" s="1"/>
  <c r="O10396" i="58"/>
  <c r="P10396" i="58" s="1"/>
  <c r="I10396" i="58"/>
  <c r="J10396" i="58" s="1"/>
  <c r="O10395" i="58"/>
  <c r="P10395" i="58" s="1"/>
  <c r="O10394" i="58"/>
  <c r="P10394" i="58" s="1"/>
  <c r="Q10394" i="58" s="1"/>
  <c r="O10393" i="58"/>
  <c r="P10393" i="58" s="1"/>
  <c r="O10392" i="58"/>
  <c r="P10392" i="58" s="1"/>
  <c r="O10391" i="58"/>
  <c r="P10391" i="58" s="1"/>
  <c r="O10390" i="58"/>
  <c r="P10390" i="58" s="1"/>
  <c r="K10390" i="58"/>
  <c r="L10390" i="58" s="1"/>
  <c r="L10384" i="58" s="1"/>
  <c r="O10389" i="58"/>
  <c r="P10389" i="58" s="1"/>
  <c r="O10388" i="58"/>
  <c r="P10388" i="58" s="1"/>
  <c r="I10388" i="58"/>
  <c r="J10388" i="58" s="1"/>
  <c r="O10387" i="58"/>
  <c r="P10387" i="58" s="1"/>
  <c r="I10387" i="58"/>
  <c r="J10387" i="58" s="1"/>
  <c r="O10386" i="58"/>
  <c r="P10386" i="58" s="1"/>
  <c r="I10386" i="58"/>
  <c r="J10386" i="58" s="1"/>
  <c r="O10385" i="58"/>
  <c r="P10385" i="58" s="1"/>
  <c r="O10384" i="58"/>
  <c r="P10384" i="58" s="1"/>
  <c r="Q10384" i="58" s="1"/>
  <c r="O10383" i="58"/>
  <c r="P10383" i="58" s="1"/>
  <c r="P10382" i="58"/>
  <c r="O10382" i="58"/>
  <c r="O10381" i="58"/>
  <c r="P10381" i="58" s="1"/>
  <c r="O10380" i="58"/>
  <c r="P10380" i="58" s="1"/>
  <c r="K10380" i="58"/>
  <c r="L10380" i="58" s="1"/>
  <c r="L10374" i="58" s="1"/>
  <c r="P10379" i="58"/>
  <c r="O10379" i="58"/>
  <c r="O10378" i="58"/>
  <c r="P10378" i="58" s="1"/>
  <c r="J10378" i="58"/>
  <c r="I10378" i="58"/>
  <c r="P10377" i="58"/>
  <c r="O10377" i="58"/>
  <c r="I10377" i="58"/>
  <c r="J10377" i="58" s="1"/>
  <c r="P10376" i="58"/>
  <c r="O10376" i="58"/>
  <c r="I10376" i="58"/>
  <c r="J10376" i="58" s="1"/>
  <c r="P10375" i="58"/>
  <c r="O10375" i="58"/>
  <c r="O10374" i="58"/>
  <c r="P10374" i="58" s="1"/>
  <c r="Q10374" i="58" s="1"/>
  <c r="Q10373" i="58"/>
  <c r="R10373" i="58" s="1"/>
  <c r="O10373" i="58"/>
  <c r="P10373" i="58" s="1"/>
  <c r="P10372" i="58"/>
  <c r="O10372" i="58"/>
  <c r="O10371" i="58"/>
  <c r="P10371" i="58" s="1"/>
  <c r="O10370" i="58"/>
  <c r="P10370" i="58" s="1"/>
  <c r="L10370" i="58"/>
  <c r="L10364" i="58" s="1"/>
  <c r="K10370" i="58"/>
  <c r="O10369" i="58"/>
  <c r="P10369" i="58" s="1"/>
  <c r="O10368" i="58"/>
  <c r="P10368" i="58" s="1"/>
  <c r="J10368" i="58"/>
  <c r="I10368" i="58"/>
  <c r="P10367" i="58"/>
  <c r="O10367" i="58"/>
  <c r="I10367" i="58"/>
  <c r="J10367" i="58" s="1"/>
  <c r="P10366" i="58"/>
  <c r="O10366" i="58"/>
  <c r="I10366" i="58"/>
  <c r="J10366" i="58" s="1"/>
  <c r="O10365" i="58"/>
  <c r="P10365" i="58" s="1"/>
  <c r="P10364" i="58"/>
  <c r="Q10364" i="58" s="1"/>
  <c r="O10364" i="58"/>
  <c r="O10363" i="58"/>
  <c r="P10363" i="58" s="1"/>
  <c r="O10362" i="58"/>
  <c r="P10362" i="58" s="1"/>
  <c r="O10361" i="58"/>
  <c r="P10361" i="58" s="1"/>
  <c r="P10360" i="58"/>
  <c r="O10360" i="58"/>
  <c r="K10360" i="58"/>
  <c r="L10360" i="58" s="1"/>
  <c r="L10354" i="58" s="1"/>
  <c r="O10359" i="58"/>
  <c r="P10359" i="58" s="1"/>
  <c r="O10358" i="58"/>
  <c r="P10358" i="58" s="1"/>
  <c r="I10358" i="58"/>
  <c r="J10358" i="58" s="1"/>
  <c r="O10357" i="58"/>
  <c r="P10357" i="58" s="1"/>
  <c r="I10357" i="58"/>
  <c r="J10357" i="58" s="1"/>
  <c r="O10356" i="58"/>
  <c r="P10356" i="58" s="1"/>
  <c r="I10356" i="58"/>
  <c r="J10356" i="58" s="1"/>
  <c r="P10355" i="58"/>
  <c r="O10355" i="58"/>
  <c r="O10354" i="58"/>
  <c r="P10354" i="58" s="1"/>
  <c r="Q10354" i="58" s="1"/>
  <c r="P10353" i="58"/>
  <c r="O10353" i="58"/>
  <c r="O10352" i="58"/>
  <c r="P10352" i="58" s="1"/>
  <c r="O10351" i="58"/>
  <c r="P10351" i="58" s="1"/>
  <c r="O10350" i="58"/>
  <c r="P10350" i="58" s="1"/>
  <c r="K10350" i="58"/>
  <c r="L10350" i="58" s="1"/>
  <c r="L10344" i="58" s="1"/>
  <c r="O10349" i="58"/>
  <c r="P10349" i="58" s="1"/>
  <c r="P10348" i="58"/>
  <c r="O10348" i="58"/>
  <c r="I10348" i="58"/>
  <c r="J10348" i="58" s="1"/>
  <c r="P10347" i="58"/>
  <c r="O10347" i="58"/>
  <c r="I10347" i="58"/>
  <c r="J10347" i="58" s="1"/>
  <c r="O10346" i="58"/>
  <c r="P10346" i="58" s="1"/>
  <c r="I10346" i="58"/>
  <c r="J10346" i="58" s="1"/>
  <c r="P10345" i="58"/>
  <c r="O10345" i="58"/>
  <c r="O10344" i="58"/>
  <c r="P10344" i="58" s="1"/>
  <c r="Q10344" i="58" s="1"/>
  <c r="O10343" i="58"/>
  <c r="P10343" i="58" s="1"/>
  <c r="O10342" i="58"/>
  <c r="P10342" i="58" s="1"/>
  <c r="O10341" i="58"/>
  <c r="P10341" i="58" s="1"/>
  <c r="O10340" i="58"/>
  <c r="P10340" i="58" s="1"/>
  <c r="P10339" i="58"/>
  <c r="O10339" i="58"/>
  <c r="O10338" i="58"/>
  <c r="P10338" i="58" s="1"/>
  <c r="K10338" i="58"/>
  <c r="L10338" i="58" s="1"/>
  <c r="L10332" i="58" s="1"/>
  <c r="O10337" i="58"/>
  <c r="P10337" i="58" s="1"/>
  <c r="O10336" i="58"/>
  <c r="P10336" i="58" s="1"/>
  <c r="I10336" i="58"/>
  <c r="J10336" i="58" s="1"/>
  <c r="O10335" i="58"/>
  <c r="P10335" i="58" s="1"/>
  <c r="I10335" i="58"/>
  <c r="J10335" i="58" s="1"/>
  <c r="O10334" i="58"/>
  <c r="P10334" i="58" s="1"/>
  <c r="I10334" i="58"/>
  <c r="J10334" i="58" s="1"/>
  <c r="O10333" i="58"/>
  <c r="P10333" i="58" s="1"/>
  <c r="O10332" i="58"/>
  <c r="P10332" i="58" s="1"/>
  <c r="Q10332" i="58" s="1"/>
  <c r="P10331" i="58"/>
  <c r="O10331" i="58"/>
  <c r="P10330" i="58"/>
  <c r="O10330" i="58"/>
  <c r="O10329" i="58"/>
  <c r="P10329" i="58" s="1"/>
  <c r="P10328" i="58"/>
  <c r="O10328" i="58"/>
  <c r="P10327" i="58"/>
  <c r="O10327" i="58"/>
  <c r="O10326" i="58"/>
  <c r="P10326" i="58" s="1"/>
  <c r="K10326" i="58"/>
  <c r="L10326" i="58" s="1"/>
  <c r="L10320" i="58" s="1"/>
  <c r="O10325" i="58"/>
  <c r="P10325" i="58" s="1"/>
  <c r="O10324" i="58"/>
  <c r="P10324" i="58" s="1"/>
  <c r="I10324" i="58"/>
  <c r="J10324" i="58" s="1"/>
  <c r="P10323" i="58"/>
  <c r="O10323" i="58"/>
  <c r="I10323" i="58"/>
  <c r="J10323" i="58" s="1"/>
  <c r="O10322" i="58"/>
  <c r="P10322" i="58" s="1"/>
  <c r="I10322" i="58"/>
  <c r="J10322" i="58" s="1"/>
  <c r="O10321" i="58"/>
  <c r="P10321" i="58" s="1"/>
  <c r="Q10320" i="58"/>
  <c r="O10320" i="58"/>
  <c r="P10320" i="58" s="1"/>
  <c r="O10319" i="58"/>
  <c r="P10319" i="58" s="1"/>
  <c r="O10318" i="58"/>
  <c r="P10318" i="58" s="1"/>
  <c r="O10317" i="58"/>
  <c r="P10317" i="58" s="1"/>
  <c r="P10316" i="58"/>
  <c r="O10316" i="58"/>
  <c r="O10315" i="58"/>
  <c r="P10315" i="58" s="1"/>
  <c r="P10314" i="58"/>
  <c r="O10314" i="58"/>
  <c r="K10314" i="58"/>
  <c r="L10314" i="58" s="1"/>
  <c r="L10308" i="58" s="1"/>
  <c r="O10313" i="58"/>
  <c r="P10313" i="58" s="1"/>
  <c r="O10312" i="58"/>
  <c r="P10312" i="58" s="1"/>
  <c r="I10312" i="58"/>
  <c r="J10312" i="58" s="1"/>
  <c r="P10311" i="58"/>
  <c r="O10311" i="58"/>
  <c r="I10311" i="58"/>
  <c r="J10311" i="58" s="1"/>
  <c r="O10310" i="58"/>
  <c r="P10310" i="58" s="1"/>
  <c r="I10310" i="58"/>
  <c r="J10310" i="58" s="1"/>
  <c r="J10308" i="58" s="1"/>
  <c r="O10309" i="58"/>
  <c r="P10309" i="58" s="1"/>
  <c r="O10308" i="58"/>
  <c r="P10308" i="58" s="1"/>
  <c r="Q10308" i="58" s="1"/>
  <c r="O10307" i="58"/>
  <c r="P10307" i="58" s="1"/>
  <c r="P10306" i="58"/>
  <c r="O10306" i="58"/>
  <c r="O10305" i="58"/>
  <c r="P10305" i="58" s="1"/>
  <c r="O10304" i="58"/>
  <c r="P10304" i="58" s="1"/>
  <c r="K10304" i="58"/>
  <c r="L10304" i="58" s="1"/>
  <c r="L10298" i="58" s="1"/>
  <c r="P10303" i="58"/>
  <c r="O10303" i="58"/>
  <c r="P10302" i="58"/>
  <c r="O10302" i="58"/>
  <c r="I10302" i="58"/>
  <c r="J10302" i="58" s="1"/>
  <c r="O10301" i="58"/>
  <c r="P10301" i="58" s="1"/>
  <c r="J10301" i="58"/>
  <c r="I10301" i="58"/>
  <c r="O10300" i="58"/>
  <c r="P10300" i="58" s="1"/>
  <c r="I10300" i="58"/>
  <c r="J10300" i="58" s="1"/>
  <c r="J10298" i="58" s="1"/>
  <c r="O10299" i="58"/>
  <c r="P10299" i="58" s="1"/>
  <c r="O10298" i="58"/>
  <c r="P10298" i="58" s="1"/>
  <c r="Q10298" i="58" s="1"/>
  <c r="P10297" i="58"/>
  <c r="O10297" i="58"/>
  <c r="O10296" i="58"/>
  <c r="P10296" i="58" s="1"/>
  <c r="O10295" i="58"/>
  <c r="P10295" i="58" s="1"/>
  <c r="O10294" i="58"/>
  <c r="P10294" i="58" s="1"/>
  <c r="K10294" i="58"/>
  <c r="L10294" i="58" s="1"/>
  <c r="L10288" i="58" s="1"/>
  <c r="O10293" i="58"/>
  <c r="P10293" i="58" s="1"/>
  <c r="O10292" i="58"/>
  <c r="P10292" i="58" s="1"/>
  <c r="I10292" i="58"/>
  <c r="J10292" i="58" s="1"/>
  <c r="O10291" i="58"/>
  <c r="P10291" i="58" s="1"/>
  <c r="I10291" i="58"/>
  <c r="J10291" i="58" s="1"/>
  <c r="O10290" i="58"/>
  <c r="P10290" i="58" s="1"/>
  <c r="J10290" i="58"/>
  <c r="I10290" i="58"/>
  <c r="O10289" i="58"/>
  <c r="P10289" i="58" s="1"/>
  <c r="O10288" i="58"/>
  <c r="P10288" i="58" s="1"/>
  <c r="Q10288" i="58" s="1"/>
  <c r="O10287" i="58"/>
  <c r="P10287" i="58" s="1"/>
  <c r="O10286" i="58"/>
  <c r="P10286" i="58" s="1"/>
  <c r="P10285" i="58"/>
  <c r="O10285" i="58"/>
  <c r="O10284" i="58"/>
  <c r="P10284" i="58" s="1"/>
  <c r="K10284" i="58"/>
  <c r="L10284" i="58" s="1"/>
  <c r="L10278" i="58" s="1"/>
  <c r="O10283" i="58"/>
  <c r="P10283" i="58" s="1"/>
  <c r="O10282" i="58"/>
  <c r="P10282" i="58" s="1"/>
  <c r="J10282" i="58"/>
  <c r="I10282" i="58"/>
  <c r="O10281" i="58"/>
  <c r="P10281" i="58" s="1"/>
  <c r="I10281" i="58"/>
  <c r="J10281" i="58" s="1"/>
  <c r="O10280" i="58"/>
  <c r="P10280" i="58" s="1"/>
  <c r="I10280" i="58"/>
  <c r="J10280" i="58" s="1"/>
  <c r="J10278" i="58" s="1"/>
  <c r="O10279" i="58"/>
  <c r="P10279" i="58" s="1"/>
  <c r="O10278" i="58"/>
  <c r="P10278" i="58" s="1"/>
  <c r="Q10278" i="58" s="1"/>
  <c r="O10277" i="58"/>
  <c r="P10277" i="58" s="1"/>
  <c r="P10276" i="58"/>
  <c r="O10276" i="58"/>
  <c r="O10275" i="58"/>
  <c r="P10275" i="58" s="1"/>
  <c r="O10274" i="58"/>
  <c r="P10274" i="58" s="1"/>
  <c r="K10274" i="58"/>
  <c r="L10274" i="58" s="1"/>
  <c r="L10268" i="58" s="1"/>
  <c r="P10273" i="58"/>
  <c r="O10273" i="58"/>
  <c r="P10272" i="58"/>
  <c r="O10272" i="58"/>
  <c r="I10272" i="58"/>
  <c r="J10272" i="58" s="1"/>
  <c r="O10271" i="58"/>
  <c r="P10271" i="58" s="1"/>
  <c r="I10271" i="58"/>
  <c r="J10271" i="58" s="1"/>
  <c r="O10270" i="58"/>
  <c r="P10270" i="58" s="1"/>
  <c r="I10270" i="58"/>
  <c r="J10270" i="58" s="1"/>
  <c r="O10269" i="58"/>
  <c r="P10269" i="58" s="1"/>
  <c r="O10268" i="58"/>
  <c r="P10268" i="58" s="1"/>
  <c r="Q10268" i="58" s="1"/>
  <c r="O10267" i="58"/>
  <c r="P10267" i="58" s="1"/>
  <c r="O10266" i="58"/>
  <c r="P10266" i="58" s="1"/>
  <c r="O10265" i="58"/>
  <c r="P10265" i="58" s="1"/>
  <c r="O10264" i="58"/>
  <c r="P10264" i="58" s="1"/>
  <c r="K10264" i="58"/>
  <c r="L10264" i="58" s="1"/>
  <c r="L10258" i="58" s="1"/>
  <c r="O10263" i="58"/>
  <c r="P10263" i="58" s="1"/>
  <c r="O10262" i="58"/>
  <c r="P10262" i="58" s="1"/>
  <c r="I10262" i="58"/>
  <c r="J10262" i="58" s="1"/>
  <c r="O10261" i="58"/>
  <c r="P10261" i="58" s="1"/>
  <c r="I10261" i="58"/>
  <c r="J10261" i="58" s="1"/>
  <c r="O10260" i="58"/>
  <c r="P10260" i="58" s="1"/>
  <c r="I10260" i="58"/>
  <c r="J10260" i="58" s="1"/>
  <c r="O10259" i="58"/>
  <c r="P10259" i="58" s="1"/>
  <c r="O10258" i="58"/>
  <c r="P10258" i="58" s="1"/>
  <c r="Q10258" i="58" s="1"/>
  <c r="O10257" i="58"/>
  <c r="P10257" i="58" s="1"/>
  <c r="P10256" i="58"/>
  <c r="O10256" i="58"/>
  <c r="O10255" i="58"/>
  <c r="P10255" i="58" s="1"/>
  <c r="O10254" i="58"/>
  <c r="P10254" i="58" s="1"/>
  <c r="K10254" i="58"/>
  <c r="L10254" i="58" s="1"/>
  <c r="L10248" i="58" s="1"/>
  <c r="O10253" i="58"/>
  <c r="P10253" i="58" s="1"/>
  <c r="O10252" i="58"/>
  <c r="P10252" i="58" s="1"/>
  <c r="I10252" i="58"/>
  <c r="J10252" i="58" s="1"/>
  <c r="O10251" i="58"/>
  <c r="P10251" i="58" s="1"/>
  <c r="I10251" i="58"/>
  <c r="J10251" i="58" s="1"/>
  <c r="P10250" i="58"/>
  <c r="O10250" i="58"/>
  <c r="I10250" i="58"/>
  <c r="J10250" i="58" s="1"/>
  <c r="P10249" i="58"/>
  <c r="O10249" i="58"/>
  <c r="O10248" i="58"/>
  <c r="P10248" i="58" s="1"/>
  <c r="Q10248" i="58" s="1"/>
  <c r="P10247" i="58"/>
  <c r="Q10247" i="58" s="1"/>
  <c r="R10247" i="58" s="1"/>
  <c r="O10247" i="58"/>
  <c r="N10247" i="58"/>
  <c r="O10246" i="58"/>
  <c r="P10246" i="58" s="1"/>
  <c r="N10246" i="58"/>
  <c r="O10245" i="58"/>
  <c r="P10245" i="58" s="1"/>
  <c r="O10244" i="58"/>
  <c r="P10244" i="58" s="1"/>
  <c r="O10243" i="58"/>
  <c r="P10243" i="58" s="1"/>
  <c r="O10242" i="58"/>
  <c r="P10242" i="58" s="1"/>
  <c r="K10242" i="58"/>
  <c r="L10242" i="58" s="1"/>
  <c r="L10236" i="58" s="1"/>
  <c r="O10241" i="58"/>
  <c r="P10241" i="58" s="1"/>
  <c r="O10240" i="58"/>
  <c r="P10240" i="58" s="1"/>
  <c r="I10240" i="58"/>
  <c r="J10240" i="58" s="1"/>
  <c r="O10239" i="58"/>
  <c r="P10239" i="58" s="1"/>
  <c r="I10239" i="58"/>
  <c r="J10239" i="58" s="1"/>
  <c r="O10238" i="58"/>
  <c r="P10238" i="58" s="1"/>
  <c r="I10238" i="58"/>
  <c r="J10238" i="58" s="1"/>
  <c r="O10237" i="58"/>
  <c r="P10237" i="58" s="1"/>
  <c r="O10236" i="58"/>
  <c r="P10236" i="58" s="1"/>
  <c r="Q10236" i="58" s="1"/>
  <c r="O10235" i="58"/>
  <c r="P10235" i="58" s="1"/>
  <c r="P10234" i="58"/>
  <c r="O10234" i="58"/>
  <c r="O10233" i="58"/>
  <c r="P10233" i="58" s="1"/>
  <c r="O10232" i="58"/>
  <c r="P10232" i="58" s="1"/>
  <c r="P10231" i="58"/>
  <c r="O10231" i="58"/>
  <c r="O10230" i="58"/>
  <c r="P10230" i="58" s="1"/>
  <c r="K10230" i="58"/>
  <c r="L10230" i="58" s="1"/>
  <c r="L10224" i="58" s="1"/>
  <c r="P10229" i="58"/>
  <c r="O10229" i="58"/>
  <c r="O10228" i="58"/>
  <c r="P10228" i="58" s="1"/>
  <c r="I10228" i="58"/>
  <c r="J10228" i="58" s="1"/>
  <c r="P10227" i="58"/>
  <c r="O10227" i="58"/>
  <c r="I10227" i="58"/>
  <c r="J10227" i="58" s="1"/>
  <c r="P10226" i="58"/>
  <c r="O10226" i="58"/>
  <c r="I10226" i="58"/>
  <c r="J10226" i="58" s="1"/>
  <c r="O10225" i="58"/>
  <c r="P10225" i="58" s="1"/>
  <c r="P10224" i="58"/>
  <c r="Q10224" i="58" s="1"/>
  <c r="O10224" i="58"/>
  <c r="O10223" i="58"/>
  <c r="P10223" i="58" s="1"/>
  <c r="O10222" i="58"/>
  <c r="P10222" i="58" s="1"/>
  <c r="O10221" i="58"/>
  <c r="P10221" i="58" s="1"/>
  <c r="O10220" i="58"/>
  <c r="P10220" i="58" s="1"/>
  <c r="O10219" i="58"/>
  <c r="P10219" i="58" s="1"/>
  <c r="O10218" i="58"/>
  <c r="P10218" i="58" s="1"/>
  <c r="K10218" i="58"/>
  <c r="L10218" i="58" s="1"/>
  <c r="L10212" i="58" s="1"/>
  <c r="O10217" i="58"/>
  <c r="P10217" i="58" s="1"/>
  <c r="O10216" i="58"/>
  <c r="P10216" i="58" s="1"/>
  <c r="I10216" i="58"/>
  <c r="J10216" i="58" s="1"/>
  <c r="O10215" i="58"/>
  <c r="P10215" i="58" s="1"/>
  <c r="I10215" i="58"/>
  <c r="J10215" i="58" s="1"/>
  <c r="O10214" i="58"/>
  <c r="P10214" i="58" s="1"/>
  <c r="I10214" i="58"/>
  <c r="J10214" i="58" s="1"/>
  <c r="P10213" i="58"/>
  <c r="O10213" i="58"/>
  <c r="O10212" i="58"/>
  <c r="P10212" i="58" s="1"/>
  <c r="Q10212" i="58" s="1"/>
  <c r="O10211" i="58"/>
  <c r="P10211" i="58" s="1"/>
  <c r="Q10211" i="58" s="1"/>
  <c r="R10211" i="58" s="1"/>
  <c r="P10210" i="58"/>
  <c r="Q10210" i="58" s="1"/>
  <c r="R10210" i="58" s="1"/>
  <c r="O10210" i="58"/>
  <c r="P10209" i="58"/>
  <c r="O10209" i="58"/>
  <c r="P10208" i="58"/>
  <c r="O10208" i="58"/>
  <c r="K10208" i="58"/>
  <c r="L10208" i="58" s="1"/>
  <c r="L10202" i="58" s="1"/>
  <c r="O10207" i="58"/>
  <c r="P10207" i="58" s="1"/>
  <c r="O10206" i="58"/>
  <c r="P10206" i="58" s="1"/>
  <c r="J10206" i="58"/>
  <c r="I10206" i="58"/>
  <c r="O10205" i="58"/>
  <c r="P10205" i="58" s="1"/>
  <c r="I10205" i="58"/>
  <c r="J10205" i="58" s="1"/>
  <c r="O10204" i="58"/>
  <c r="P10204" i="58" s="1"/>
  <c r="I10204" i="58"/>
  <c r="J10204" i="58" s="1"/>
  <c r="O10203" i="58"/>
  <c r="P10203" i="58" s="1"/>
  <c r="P10202" i="58"/>
  <c r="Q10202" i="58" s="1"/>
  <c r="O10202" i="58"/>
  <c r="P10201" i="58"/>
  <c r="O10201" i="58"/>
  <c r="N10201" i="58"/>
  <c r="O10200" i="58"/>
  <c r="P10200" i="58" s="1"/>
  <c r="P10199" i="58"/>
  <c r="O10199" i="58"/>
  <c r="P10198" i="58"/>
  <c r="O10198" i="58"/>
  <c r="K10198" i="58"/>
  <c r="L10198" i="58" s="1"/>
  <c r="L10192" i="58" s="1"/>
  <c r="O10197" i="58"/>
  <c r="P10197" i="58" s="1"/>
  <c r="O10196" i="58"/>
  <c r="P10196" i="58" s="1"/>
  <c r="I10196" i="58"/>
  <c r="J10196" i="58" s="1"/>
  <c r="P10195" i="58"/>
  <c r="O10195" i="58"/>
  <c r="I10195" i="58"/>
  <c r="J10195" i="58" s="1"/>
  <c r="O10194" i="58"/>
  <c r="P10194" i="58" s="1"/>
  <c r="I10194" i="58"/>
  <c r="J10194" i="58" s="1"/>
  <c r="J10192" i="58" s="1"/>
  <c r="O10193" i="58"/>
  <c r="P10193" i="58" s="1"/>
  <c r="O10192" i="58"/>
  <c r="P10192" i="58" s="1"/>
  <c r="Q10192" i="58" s="1"/>
  <c r="P10191" i="58"/>
  <c r="O10191" i="58"/>
  <c r="O10190" i="58"/>
  <c r="P10190" i="58" s="1"/>
  <c r="O10189" i="58"/>
  <c r="P10189" i="58" s="1"/>
  <c r="O10188" i="58"/>
  <c r="P10188" i="58" s="1"/>
  <c r="K10188" i="58"/>
  <c r="L10188" i="58" s="1"/>
  <c r="L10182" i="58" s="1"/>
  <c r="O10187" i="58"/>
  <c r="P10187" i="58" s="1"/>
  <c r="P10186" i="58"/>
  <c r="O10186" i="58"/>
  <c r="I10186" i="58"/>
  <c r="J10186" i="58" s="1"/>
  <c r="O10185" i="58"/>
  <c r="P10185" i="58" s="1"/>
  <c r="I10185" i="58"/>
  <c r="J10185" i="58" s="1"/>
  <c r="O10184" i="58"/>
  <c r="P10184" i="58" s="1"/>
  <c r="I10184" i="58"/>
  <c r="J10184" i="58" s="1"/>
  <c r="P10183" i="58"/>
  <c r="O10183" i="58"/>
  <c r="O10182" i="58"/>
  <c r="P10182" i="58" s="1"/>
  <c r="Q10182" i="58" s="1"/>
  <c r="Q10181" i="58" s="1"/>
  <c r="R10181" i="58" s="1"/>
  <c r="P10181" i="58"/>
  <c r="O10181" i="58"/>
  <c r="O10180" i="58"/>
  <c r="P10180" i="58" s="1"/>
  <c r="O10179" i="58"/>
  <c r="P10179" i="58" s="1"/>
  <c r="O10178" i="58"/>
  <c r="P10178" i="58" s="1"/>
  <c r="K10178" i="58"/>
  <c r="L10178" i="58" s="1"/>
  <c r="L10172" i="58" s="1"/>
  <c r="O10177" i="58"/>
  <c r="P10177" i="58" s="1"/>
  <c r="O10176" i="58"/>
  <c r="P10176" i="58" s="1"/>
  <c r="I10176" i="58"/>
  <c r="J10176" i="58" s="1"/>
  <c r="P10175" i="58"/>
  <c r="O10175" i="58"/>
  <c r="J10175" i="58"/>
  <c r="I10175" i="58"/>
  <c r="O10174" i="58"/>
  <c r="P10174" i="58" s="1"/>
  <c r="I10174" i="58"/>
  <c r="J10174" i="58" s="1"/>
  <c r="P10173" i="58"/>
  <c r="O10173" i="58"/>
  <c r="P10172" i="58"/>
  <c r="Q10172" i="58" s="1"/>
  <c r="O10172" i="58"/>
  <c r="O10171" i="58"/>
  <c r="P10171" i="58" s="1"/>
  <c r="N10171" i="58"/>
  <c r="O10170" i="58"/>
  <c r="P10170" i="58" s="1"/>
  <c r="O10169" i="58"/>
  <c r="P10169" i="58" s="1"/>
  <c r="P10168" i="58"/>
  <c r="O10168" i="58"/>
  <c r="K10168" i="58"/>
  <c r="L10168" i="58" s="1"/>
  <c r="L10162" i="58" s="1"/>
  <c r="O10167" i="58"/>
  <c r="P10167" i="58" s="1"/>
  <c r="O10166" i="58"/>
  <c r="P10166" i="58" s="1"/>
  <c r="I10166" i="58"/>
  <c r="J10166" i="58" s="1"/>
  <c r="O10165" i="58"/>
  <c r="P10165" i="58" s="1"/>
  <c r="I10165" i="58"/>
  <c r="J10165" i="58" s="1"/>
  <c r="O10164" i="58"/>
  <c r="P10164" i="58" s="1"/>
  <c r="I10164" i="58"/>
  <c r="J10164" i="58" s="1"/>
  <c r="O10163" i="58"/>
  <c r="P10163" i="58" s="1"/>
  <c r="O10162" i="58"/>
  <c r="P10162" i="58" s="1"/>
  <c r="Q10162" i="58" s="1"/>
  <c r="Q10161" i="58" s="1"/>
  <c r="R10161" i="58" s="1"/>
  <c r="P10161" i="58"/>
  <c r="O10161" i="58"/>
  <c r="O10160" i="58"/>
  <c r="P10160" i="58" s="1"/>
  <c r="P10159" i="58"/>
  <c r="O10159" i="58"/>
  <c r="P10158" i="58"/>
  <c r="O10158" i="58"/>
  <c r="K10158" i="58"/>
  <c r="L10158" i="58" s="1"/>
  <c r="O10157" i="58"/>
  <c r="P10157" i="58" s="1"/>
  <c r="O10156" i="58"/>
  <c r="P10156" i="58" s="1"/>
  <c r="I10156" i="58"/>
  <c r="J10156" i="58" s="1"/>
  <c r="P10155" i="58"/>
  <c r="O10155" i="58"/>
  <c r="I10155" i="58"/>
  <c r="J10155" i="58" s="1"/>
  <c r="O10154" i="58"/>
  <c r="P10154" i="58" s="1"/>
  <c r="I10154" i="58"/>
  <c r="J10154" i="58" s="1"/>
  <c r="O10153" i="58"/>
  <c r="P10153" i="58" s="1"/>
  <c r="O10152" i="58"/>
  <c r="P10152" i="58" s="1"/>
  <c r="Q10152" i="58" s="1"/>
  <c r="L10152" i="58"/>
  <c r="P10151" i="58"/>
  <c r="O10151" i="58"/>
  <c r="P10150" i="58"/>
  <c r="O10150" i="58"/>
  <c r="O10149" i="58"/>
  <c r="P10149" i="58" s="1"/>
  <c r="O10148" i="58"/>
  <c r="P10148" i="58" s="1"/>
  <c r="K10148" i="58"/>
  <c r="L10148" i="58" s="1"/>
  <c r="L10142" i="58" s="1"/>
  <c r="O10147" i="58"/>
  <c r="P10147" i="58" s="1"/>
  <c r="P10146" i="58"/>
  <c r="O10146" i="58"/>
  <c r="I10146" i="58"/>
  <c r="J10146" i="58" s="1"/>
  <c r="P10145" i="58"/>
  <c r="O10145" i="58"/>
  <c r="I10145" i="58"/>
  <c r="J10145" i="58" s="1"/>
  <c r="P10144" i="58"/>
  <c r="O10144" i="58"/>
  <c r="I10144" i="58"/>
  <c r="J10144" i="58" s="1"/>
  <c r="O10143" i="58"/>
  <c r="P10143" i="58" s="1"/>
  <c r="O10142" i="58"/>
  <c r="P10142" i="58" s="1"/>
  <c r="Q10142" i="58" s="1"/>
  <c r="O10141" i="58"/>
  <c r="P10141" i="58" s="1"/>
  <c r="O10140" i="58"/>
  <c r="P10140" i="58" s="1"/>
  <c r="O10139" i="58"/>
  <c r="P10139" i="58" s="1"/>
  <c r="O10138" i="58"/>
  <c r="P10138" i="58" s="1"/>
  <c r="K10138" i="58"/>
  <c r="L10138" i="58" s="1"/>
  <c r="L10132" i="58" s="1"/>
  <c r="P10137" i="58"/>
  <c r="O10137" i="58"/>
  <c r="O10136" i="58"/>
  <c r="P10136" i="58" s="1"/>
  <c r="I10136" i="58"/>
  <c r="J10136" i="58" s="1"/>
  <c r="O10135" i="58"/>
  <c r="P10135" i="58" s="1"/>
  <c r="I10135" i="58"/>
  <c r="J10135" i="58" s="1"/>
  <c r="O10134" i="58"/>
  <c r="P10134" i="58" s="1"/>
  <c r="I10134" i="58"/>
  <c r="J10134" i="58" s="1"/>
  <c r="O10133" i="58"/>
  <c r="P10133" i="58" s="1"/>
  <c r="O10132" i="58"/>
  <c r="P10132" i="58" s="1"/>
  <c r="Q10132" i="58" s="1"/>
  <c r="O10131" i="58"/>
  <c r="P10131" i="58" s="1"/>
  <c r="Q10131" i="58" s="1"/>
  <c r="R10131" i="58" s="1"/>
  <c r="P10130" i="58"/>
  <c r="O10130" i="58"/>
  <c r="P10129" i="58"/>
  <c r="O10129" i="58"/>
  <c r="O10128" i="58"/>
  <c r="P10128" i="58" s="1"/>
  <c r="O10127" i="58"/>
  <c r="P10127" i="58" s="1"/>
  <c r="O10126" i="58"/>
  <c r="P10126" i="58" s="1"/>
  <c r="K10126" i="58"/>
  <c r="L10126" i="58" s="1"/>
  <c r="L10120" i="58" s="1"/>
  <c r="P10125" i="58"/>
  <c r="O10125" i="58"/>
  <c r="P10124" i="58"/>
  <c r="O10124" i="58"/>
  <c r="I10124" i="58"/>
  <c r="J10124" i="58" s="1"/>
  <c r="O10123" i="58"/>
  <c r="P10123" i="58" s="1"/>
  <c r="J10123" i="58"/>
  <c r="I10123" i="58"/>
  <c r="O10122" i="58"/>
  <c r="P10122" i="58" s="1"/>
  <c r="I10122" i="58"/>
  <c r="J10122" i="58" s="1"/>
  <c r="O10121" i="58"/>
  <c r="P10121" i="58" s="1"/>
  <c r="O10120" i="58"/>
  <c r="P10120" i="58" s="1"/>
  <c r="Q10120" i="58" s="1"/>
  <c r="O10119" i="58"/>
  <c r="P10119" i="58" s="1"/>
  <c r="N10119" i="58"/>
  <c r="O10118" i="58"/>
  <c r="P10118" i="58" s="1"/>
  <c r="O10117" i="58"/>
  <c r="P10117" i="58" s="1"/>
  <c r="O10116" i="58"/>
  <c r="P10116" i="58" s="1"/>
  <c r="O10115" i="58"/>
  <c r="P10115" i="58" s="1"/>
  <c r="P10114" i="58"/>
  <c r="O10114" i="58"/>
  <c r="K10114" i="58"/>
  <c r="L10114" i="58" s="1"/>
  <c r="O10113" i="58"/>
  <c r="P10113" i="58" s="1"/>
  <c r="O10112" i="58"/>
  <c r="P10112" i="58" s="1"/>
  <c r="I10112" i="58"/>
  <c r="J10112" i="58" s="1"/>
  <c r="O10111" i="58"/>
  <c r="P10111" i="58" s="1"/>
  <c r="I10111" i="58"/>
  <c r="J10111" i="58" s="1"/>
  <c r="O10110" i="58"/>
  <c r="P10110" i="58" s="1"/>
  <c r="I10110" i="58"/>
  <c r="J10110" i="58" s="1"/>
  <c r="O10109" i="58"/>
  <c r="P10109" i="58" s="1"/>
  <c r="P10108" i="58"/>
  <c r="Q10108" i="58" s="1"/>
  <c r="O10108" i="58"/>
  <c r="L10108" i="58"/>
  <c r="O10107" i="58"/>
  <c r="P10107" i="58" s="1"/>
  <c r="O10106" i="58"/>
  <c r="P10106" i="58" s="1"/>
  <c r="N10106" i="58"/>
  <c r="O10105" i="58"/>
  <c r="P10105" i="58" s="1"/>
  <c r="O10104" i="58"/>
  <c r="P10104" i="58" s="1"/>
  <c r="O10103" i="58"/>
  <c r="P10103" i="58" s="1"/>
  <c r="P10102" i="58"/>
  <c r="O10102" i="58"/>
  <c r="K10102" i="58"/>
  <c r="L10102" i="58" s="1"/>
  <c r="L10096" i="58" s="1"/>
  <c r="O10101" i="58"/>
  <c r="P10101" i="58" s="1"/>
  <c r="O10100" i="58"/>
  <c r="P10100" i="58" s="1"/>
  <c r="I10100" i="58"/>
  <c r="J10100" i="58" s="1"/>
  <c r="P10099" i="58"/>
  <c r="O10099" i="58"/>
  <c r="I10099" i="58"/>
  <c r="J10099" i="58" s="1"/>
  <c r="O10098" i="58"/>
  <c r="P10098" i="58" s="1"/>
  <c r="I10098" i="58"/>
  <c r="J10098" i="58" s="1"/>
  <c r="O10097" i="58"/>
  <c r="P10097" i="58" s="1"/>
  <c r="O10096" i="58"/>
  <c r="P10096" i="58" s="1"/>
  <c r="Q10096" i="58" s="1"/>
  <c r="O10095" i="58"/>
  <c r="P10095" i="58" s="1"/>
  <c r="Q10095" i="58" s="1"/>
  <c r="R10095" i="58" s="1"/>
  <c r="P10094" i="58"/>
  <c r="Q10094" i="58" s="1"/>
  <c r="R10094" i="58" s="1"/>
  <c r="O10094" i="58"/>
  <c r="O10093" i="58"/>
  <c r="P10093" i="58" s="1"/>
  <c r="O10092" i="58"/>
  <c r="P10092" i="58" s="1"/>
  <c r="O10091" i="58"/>
  <c r="P10091" i="58" s="1"/>
  <c r="O10090" i="58"/>
  <c r="P10090" i="58" s="1"/>
  <c r="K10090" i="58"/>
  <c r="L10090" i="58" s="1"/>
  <c r="P10089" i="58"/>
  <c r="O10089" i="58"/>
  <c r="O10088" i="58"/>
  <c r="P10088" i="58" s="1"/>
  <c r="I10088" i="58"/>
  <c r="J10088" i="58" s="1"/>
  <c r="O10087" i="58"/>
  <c r="P10087" i="58" s="1"/>
  <c r="I10087" i="58"/>
  <c r="J10087" i="58" s="1"/>
  <c r="O10086" i="58"/>
  <c r="P10086" i="58" s="1"/>
  <c r="I10086" i="58"/>
  <c r="J10086" i="58" s="1"/>
  <c r="O10085" i="58"/>
  <c r="P10085" i="58" s="1"/>
  <c r="O10084" i="58"/>
  <c r="P10084" i="58" s="1"/>
  <c r="Q10084" i="58" s="1"/>
  <c r="Q10083" i="58" s="1"/>
  <c r="R10083" i="58" s="1"/>
  <c r="L10084" i="58"/>
  <c r="P10083" i="58"/>
  <c r="O10083" i="58"/>
  <c r="O10082" i="58"/>
  <c r="P10082" i="58" s="1"/>
  <c r="N10082" i="58"/>
  <c r="O10081" i="58"/>
  <c r="P10081" i="58" s="1"/>
  <c r="O10080" i="58"/>
  <c r="P10080" i="58" s="1"/>
  <c r="K10080" i="58"/>
  <c r="L10080" i="58" s="1"/>
  <c r="L10074" i="58" s="1"/>
  <c r="O10079" i="58"/>
  <c r="P10079" i="58" s="1"/>
  <c r="O10078" i="58"/>
  <c r="P10078" i="58" s="1"/>
  <c r="I10078" i="58"/>
  <c r="J10078" i="58" s="1"/>
  <c r="P10077" i="58"/>
  <c r="O10077" i="58"/>
  <c r="J10077" i="58"/>
  <c r="I10077" i="58"/>
  <c r="O10076" i="58"/>
  <c r="P10076" i="58" s="1"/>
  <c r="I10076" i="58"/>
  <c r="J10076" i="58" s="1"/>
  <c r="O10075" i="58"/>
  <c r="P10075" i="58" s="1"/>
  <c r="P10074" i="58"/>
  <c r="Q10074" i="58" s="1"/>
  <c r="O10074" i="58"/>
  <c r="O10073" i="58"/>
  <c r="P10073" i="58" s="1"/>
  <c r="N10073" i="58"/>
  <c r="O10072" i="58"/>
  <c r="P10072" i="58" s="1"/>
  <c r="P10071" i="58"/>
  <c r="O10071" i="58"/>
  <c r="O10070" i="58"/>
  <c r="P10070" i="58" s="1"/>
  <c r="K10070" i="58"/>
  <c r="L10070" i="58" s="1"/>
  <c r="L10064" i="58" s="1"/>
  <c r="O10069" i="58"/>
  <c r="P10069" i="58" s="1"/>
  <c r="O10068" i="58"/>
  <c r="P10068" i="58" s="1"/>
  <c r="I10068" i="58"/>
  <c r="J10068" i="58" s="1"/>
  <c r="O10067" i="58"/>
  <c r="P10067" i="58" s="1"/>
  <c r="I10067" i="58"/>
  <c r="J10067" i="58" s="1"/>
  <c r="O10066" i="58"/>
  <c r="P10066" i="58" s="1"/>
  <c r="I10066" i="58"/>
  <c r="J10066" i="58" s="1"/>
  <c r="P10065" i="58"/>
  <c r="O10065" i="58"/>
  <c r="O10064" i="58"/>
  <c r="P10064" i="58" s="1"/>
  <c r="Q10064" i="58" s="1"/>
  <c r="J10064" i="58"/>
  <c r="O10063" i="58"/>
  <c r="P10063" i="58" s="1"/>
  <c r="N10063" i="58"/>
  <c r="O10062" i="58"/>
  <c r="P10062" i="58" s="1"/>
  <c r="N10062" i="58"/>
  <c r="O10061" i="58"/>
  <c r="P10061" i="58" s="1"/>
  <c r="O10060" i="58"/>
  <c r="P10060" i="58" s="1"/>
  <c r="K10060" i="58"/>
  <c r="L10060" i="58" s="1"/>
  <c r="L10054" i="58" s="1"/>
  <c r="P10059" i="58"/>
  <c r="O10059" i="58"/>
  <c r="P10058" i="58"/>
  <c r="O10058" i="58"/>
  <c r="I10058" i="58"/>
  <c r="J10058" i="58" s="1"/>
  <c r="O10057" i="58"/>
  <c r="P10057" i="58" s="1"/>
  <c r="J10057" i="58"/>
  <c r="I10057" i="58"/>
  <c r="P10056" i="58"/>
  <c r="O10056" i="58"/>
  <c r="I10056" i="58"/>
  <c r="J10056" i="58" s="1"/>
  <c r="P10055" i="58"/>
  <c r="O10055" i="58"/>
  <c r="O10054" i="58"/>
  <c r="P10054" i="58" s="1"/>
  <c r="Q10054" i="58" s="1"/>
  <c r="O10053" i="58"/>
  <c r="P10053" i="58" s="1"/>
  <c r="N10053" i="58"/>
  <c r="O10052" i="58"/>
  <c r="P10052" i="58" s="1"/>
  <c r="O10051" i="58"/>
  <c r="P10051" i="58" s="1"/>
  <c r="O10050" i="58"/>
  <c r="P10050" i="58" s="1"/>
  <c r="K10050" i="58"/>
  <c r="L10050" i="58" s="1"/>
  <c r="L10044" i="58" s="1"/>
  <c r="O10049" i="58"/>
  <c r="P10049" i="58" s="1"/>
  <c r="O10048" i="58"/>
  <c r="P10048" i="58" s="1"/>
  <c r="I10048" i="58"/>
  <c r="J10048" i="58" s="1"/>
  <c r="O10047" i="58"/>
  <c r="P10047" i="58" s="1"/>
  <c r="I10047" i="58"/>
  <c r="J10047" i="58" s="1"/>
  <c r="P10046" i="58"/>
  <c r="O10046" i="58"/>
  <c r="I10046" i="58"/>
  <c r="J10046" i="58" s="1"/>
  <c r="O10045" i="58"/>
  <c r="P10045" i="58" s="1"/>
  <c r="O10044" i="58"/>
  <c r="P10044" i="58" s="1"/>
  <c r="Q10044" i="58" s="1"/>
  <c r="O10043" i="58"/>
  <c r="P10043" i="58" s="1"/>
  <c r="Q10043" i="58" s="1"/>
  <c r="R10043" i="58" s="1"/>
  <c r="O10042" i="58"/>
  <c r="P10042" i="58" s="1"/>
  <c r="Q10042" i="58" s="1"/>
  <c r="O10041" i="58"/>
  <c r="P10041" i="58" s="1"/>
  <c r="O10040" i="58"/>
  <c r="P10040" i="58" s="1"/>
  <c r="L10040" i="58"/>
  <c r="L10034" i="58" s="1"/>
  <c r="K10040" i="58"/>
  <c r="P10039" i="58"/>
  <c r="O10039" i="58"/>
  <c r="P10038" i="58"/>
  <c r="O10038" i="58"/>
  <c r="I10038" i="58"/>
  <c r="J10038" i="58" s="1"/>
  <c r="O10037" i="58"/>
  <c r="P10037" i="58" s="1"/>
  <c r="I10037" i="58"/>
  <c r="J10037" i="58" s="1"/>
  <c r="O10036" i="58"/>
  <c r="P10036" i="58" s="1"/>
  <c r="I10036" i="58"/>
  <c r="J10036" i="58" s="1"/>
  <c r="P10035" i="58"/>
  <c r="O10035" i="58"/>
  <c r="O10034" i="58"/>
  <c r="P10034" i="58" s="1"/>
  <c r="Q10034" i="58" s="1"/>
  <c r="O10033" i="58"/>
  <c r="P10033" i="58" s="1"/>
  <c r="O10032" i="58"/>
  <c r="P10032" i="58" s="1"/>
  <c r="P10031" i="58"/>
  <c r="O10031" i="58"/>
  <c r="O10030" i="58"/>
  <c r="P10030" i="58" s="1"/>
  <c r="K10030" i="58"/>
  <c r="L10030" i="58" s="1"/>
  <c r="L10024" i="58" s="1"/>
  <c r="O10029" i="58"/>
  <c r="P10029" i="58" s="1"/>
  <c r="O10028" i="58"/>
  <c r="P10028" i="58" s="1"/>
  <c r="J10028" i="58"/>
  <c r="I10028" i="58"/>
  <c r="P10027" i="58"/>
  <c r="O10027" i="58"/>
  <c r="I10027" i="58"/>
  <c r="J10027" i="58" s="1"/>
  <c r="O10026" i="58"/>
  <c r="P10026" i="58" s="1"/>
  <c r="I10026" i="58"/>
  <c r="J10026" i="58" s="1"/>
  <c r="O10025" i="58"/>
  <c r="P10025" i="58" s="1"/>
  <c r="Q10024" i="58"/>
  <c r="P10024" i="58"/>
  <c r="O10024" i="58"/>
  <c r="O10023" i="58"/>
  <c r="P10023" i="58" s="1"/>
  <c r="O10022" i="58"/>
  <c r="P10022" i="58" s="1"/>
  <c r="O10021" i="58"/>
  <c r="P10021" i="58" s="1"/>
  <c r="O10020" i="58"/>
  <c r="P10020" i="58" s="1"/>
  <c r="K10020" i="58"/>
  <c r="L10020" i="58" s="1"/>
  <c r="L10014" i="58" s="1"/>
  <c r="O10019" i="58"/>
  <c r="P10019" i="58" s="1"/>
  <c r="P10018" i="58"/>
  <c r="O10018" i="58"/>
  <c r="I10018" i="58"/>
  <c r="J10018" i="58" s="1"/>
  <c r="O10017" i="58"/>
  <c r="P10017" i="58" s="1"/>
  <c r="I10017" i="58"/>
  <c r="J10017" i="58" s="1"/>
  <c r="P10016" i="58"/>
  <c r="O10016" i="58"/>
  <c r="I10016" i="58"/>
  <c r="J10016" i="58" s="1"/>
  <c r="O10015" i="58"/>
  <c r="P10015" i="58" s="1"/>
  <c r="O10014" i="58"/>
  <c r="P10014" i="58" s="1"/>
  <c r="Q10014" i="58" s="1"/>
  <c r="O10013" i="58"/>
  <c r="P10013" i="58" s="1"/>
  <c r="O10012" i="58"/>
  <c r="P10012" i="58" s="1"/>
  <c r="O10011" i="58"/>
  <c r="P10011" i="58" s="1"/>
  <c r="O10010" i="58"/>
  <c r="P10010" i="58" s="1"/>
  <c r="K10010" i="58"/>
  <c r="L10010" i="58" s="1"/>
  <c r="L10004" i="58" s="1"/>
  <c r="O10009" i="58"/>
  <c r="P10009" i="58" s="1"/>
  <c r="P10008" i="58"/>
  <c r="O10008" i="58"/>
  <c r="J10008" i="58"/>
  <c r="I10008" i="58"/>
  <c r="O10007" i="58"/>
  <c r="P10007" i="58" s="1"/>
  <c r="I10007" i="58"/>
  <c r="J10007" i="58" s="1"/>
  <c r="O10006" i="58"/>
  <c r="P10006" i="58" s="1"/>
  <c r="I10006" i="58"/>
  <c r="J10006" i="58" s="1"/>
  <c r="P10005" i="58"/>
  <c r="O10005" i="58"/>
  <c r="O10004" i="58"/>
  <c r="P10004" i="58" s="1"/>
  <c r="Q10004" i="58" s="1"/>
  <c r="O10003" i="58"/>
  <c r="P10003" i="58" s="1"/>
  <c r="P10002" i="58"/>
  <c r="O10002" i="58"/>
  <c r="N10002" i="58"/>
  <c r="O10001" i="58"/>
  <c r="P10001" i="58" s="1"/>
  <c r="O10000" i="58"/>
  <c r="P10000" i="58" s="1"/>
  <c r="O9999" i="58"/>
  <c r="P9999" i="58" s="1"/>
  <c r="O9998" i="58"/>
  <c r="P9998" i="58" s="1"/>
  <c r="K9998" i="58"/>
  <c r="L9998" i="58" s="1"/>
  <c r="L9992" i="58" s="1"/>
  <c r="O9997" i="58"/>
  <c r="P9997" i="58" s="1"/>
  <c r="P9996" i="58"/>
  <c r="O9996" i="58"/>
  <c r="I9996" i="58"/>
  <c r="J9996" i="58" s="1"/>
  <c r="P9995" i="58"/>
  <c r="O9995" i="58"/>
  <c r="I9995" i="58"/>
  <c r="J9995" i="58" s="1"/>
  <c r="O9994" i="58"/>
  <c r="P9994" i="58" s="1"/>
  <c r="I9994" i="58"/>
  <c r="J9994" i="58" s="1"/>
  <c r="O9993" i="58"/>
  <c r="P9993" i="58" s="1"/>
  <c r="O9992" i="58"/>
  <c r="P9992" i="58" s="1"/>
  <c r="Q9992" i="58" s="1"/>
  <c r="O9991" i="58"/>
  <c r="P9991" i="58" s="1"/>
  <c r="O9990" i="58"/>
  <c r="P9990" i="58" s="1"/>
  <c r="N9990" i="58"/>
  <c r="O9989" i="58"/>
  <c r="P9989" i="58" s="1"/>
  <c r="O9988" i="58"/>
  <c r="P9988" i="58" s="1"/>
  <c r="P9987" i="58"/>
  <c r="O9987" i="58"/>
  <c r="O9986" i="58"/>
  <c r="P9986" i="58" s="1"/>
  <c r="K9986" i="58"/>
  <c r="L9986" i="58" s="1"/>
  <c r="L9980" i="58" s="1"/>
  <c r="O9985" i="58"/>
  <c r="P9985" i="58" s="1"/>
  <c r="O9984" i="58"/>
  <c r="P9984" i="58" s="1"/>
  <c r="I9984" i="58"/>
  <c r="J9984" i="58" s="1"/>
  <c r="O9983" i="58"/>
  <c r="P9983" i="58" s="1"/>
  <c r="I9983" i="58"/>
  <c r="J9983" i="58" s="1"/>
  <c r="O9982" i="58"/>
  <c r="P9982" i="58" s="1"/>
  <c r="I9982" i="58"/>
  <c r="J9982" i="58" s="1"/>
  <c r="O9981" i="58"/>
  <c r="P9981" i="58" s="1"/>
  <c r="O9980" i="58"/>
  <c r="P9980" i="58" s="1"/>
  <c r="Q9980" i="58" s="1"/>
  <c r="O9979" i="58"/>
  <c r="P9979" i="58" s="1"/>
  <c r="Q9979" i="58" s="1"/>
  <c r="R9979" i="58" s="1"/>
  <c r="P9978" i="58"/>
  <c r="O9978" i="58"/>
  <c r="O9977" i="58"/>
  <c r="P9977" i="58" s="1"/>
  <c r="O9976" i="58"/>
  <c r="P9976" i="58" s="1"/>
  <c r="O9975" i="58"/>
  <c r="P9975" i="58" s="1"/>
  <c r="O9974" i="58"/>
  <c r="P9974" i="58" s="1"/>
  <c r="K9974" i="58"/>
  <c r="L9974" i="58" s="1"/>
  <c r="L9968" i="58" s="1"/>
  <c r="O9973" i="58"/>
  <c r="P9973" i="58" s="1"/>
  <c r="O9972" i="58"/>
  <c r="P9972" i="58" s="1"/>
  <c r="I9972" i="58"/>
  <c r="J9972" i="58" s="1"/>
  <c r="O9971" i="58"/>
  <c r="P9971" i="58" s="1"/>
  <c r="I9971" i="58"/>
  <c r="J9971" i="58" s="1"/>
  <c r="O9970" i="58"/>
  <c r="P9970" i="58" s="1"/>
  <c r="I9970" i="58"/>
  <c r="J9970" i="58" s="1"/>
  <c r="O9969" i="58"/>
  <c r="P9969" i="58" s="1"/>
  <c r="O9968" i="58"/>
  <c r="P9968" i="58" s="1"/>
  <c r="Q9968" i="58" s="1"/>
  <c r="O9967" i="58"/>
  <c r="P9967" i="58" s="1"/>
  <c r="Q9967" i="58" s="1"/>
  <c r="R9967" i="58" s="1"/>
  <c r="O9966" i="58"/>
  <c r="P9966" i="58" s="1"/>
  <c r="O9965" i="58"/>
  <c r="P9965" i="58" s="1"/>
  <c r="O9964" i="58"/>
  <c r="P9964" i="58" s="1"/>
  <c r="O9963" i="58"/>
  <c r="P9963" i="58" s="1"/>
  <c r="O9962" i="58"/>
  <c r="P9962" i="58" s="1"/>
  <c r="K9962" i="58"/>
  <c r="L9962" i="58" s="1"/>
  <c r="L9956" i="58" s="1"/>
  <c r="P9961" i="58"/>
  <c r="O9961" i="58"/>
  <c r="O9960" i="58"/>
  <c r="P9960" i="58" s="1"/>
  <c r="I9960" i="58"/>
  <c r="J9960" i="58" s="1"/>
  <c r="O9959" i="58"/>
  <c r="P9959" i="58" s="1"/>
  <c r="I9959" i="58"/>
  <c r="J9959" i="58" s="1"/>
  <c r="O9958" i="58"/>
  <c r="P9958" i="58" s="1"/>
  <c r="I9958" i="58"/>
  <c r="J9958" i="58" s="1"/>
  <c r="O9957" i="58"/>
  <c r="P9957" i="58" s="1"/>
  <c r="O9956" i="58"/>
  <c r="P9956" i="58" s="1"/>
  <c r="Q9956" i="58" s="1"/>
  <c r="O9955" i="58"/>
  <c r="P9955" i="58" s="1"/>
  <c r="Q9955" i="58" s="1"/>
  <c r="R9955" i="58" s="1"/>
  <c r="N9955" i="58"/>
  <c r="O9954" i="58"/>
  <c r="P9954" i="58" s="1"/>
  <c r="P9953" i="58"/>
  <c r="O9953" i="58"/>
  <c r="P9952" i="58"/>
  <c r="O9952" i="58"/>
  <c r="K9952" i="58"/>
  <c r="L9952" i="58" s="1"/>
  <c r="L9946" i="58" s="1"/>
  <c r="O9951" i="58"/>
  <c r="P9951" i="58" s="1"/>
  <c r="O9950" i="58"/>
  <c r="P9950" i="58" s="1"/>
  <c r="I9950" i="58"/>
  <c r="J9950" i="58" s="1"/>
  <c r="P9949" i="58"/>
  <c r="O9949" i="58"/>
  <c r="I9949" i="58"/>
  <c r="J9949" i="58" s="1"/>
  <c r="O9948" i="58"/>
  <c r="P9948" i="58" s="1"/>
  <c r="J9948" i="58"/>
  <c r="I9948" i="58"/>
  <c r="P9947" i="58"/>
  <c r="O9947" i="58"/>
  <c r="Q9946" i="58"/>
  <c r="O9946" i="58"/>
  <c r="P9946" i="58" s="1"/>
  <c r="O9945" i="58"/>
  <c r="P9945" i="58" s="1"/>
  <c r="Q9945" i="58" s="1"/>
  <c r="N9945" i="58"/>
  <c r="P9944" i="58"/>
  <c r="O9944" i="58"/>
  <c r="O9943" i="58"/>
  <c r="P9943" i="58" s="1"/>
  <c r="O9942" i="58"/>
  <c r="P9942" i="58" s="1"/>
  <c r="K9942" i="58"/>
  <c r="L9942" i="58" s="1"/>
  <c r="L9936" i="58" s="1"/>
  <c r="P9941" i="58"/>
  <c r="O9941" i="58"/>
  <c r="O9940" i="58"/>
  <c r="P9940" i="58" s="1"/>
  <c r="I9940" i="58"/>
  <c r="J9940" i="58" s="1"/>
  <c r="O9939" i="58"/>
  <c r="P9939" i="58" s="1"/>
  <c r="I9939" i="58"/>
  <c r="J9939" i="58" s="1"/>
  <c r="O9938" i="58"/>
  <c r="P9938" i="58" s="1"/>
  <c r="I9938" i="58"/>
  <c r="J9938" i="58" s="1"/>
  <c r="J9936" i="58" s="1"/>
  <c r="P9937" i="58"/>
  <c r="O9937" i="58"/>
  <c r="O9936" i="58"/>
  <c r="P9936" i="58" s="1"/>
  <c r="Q9936" i="58" s="1"/>
  <c r="O9935" i="58"/>
  <c r="P9935" i="58" s="1"/>
  <c r="N9935" i="58"/>
  <c r="O9934" i="58"/>
  <c r="P9934" i="58" s="1"/>
  <c r="P9933" i="58"/>
  <c r="O9933" i="58"/>
  <c r="P9932" i="58"/>
  <c r="O9932" i="58"/>
  <c r="K9932" i="58"/>
  <c r="L9932" i="58" s="1"/>
  <c r="L9926" i="58" s="1"/>
  <c r="O9931" i="58"/>
  <c r="P9931" i="58" s="1"/>
  <c r="O9930" i="58"/>
  <c r="P9930" i="58" s="1"/>
  <c r="I9930" i="58"/>
  <c r="J9930" i="58" s="1"/>
  <c r="O9929" i="58"/>
  <c r="P9929" i="58" s="1"/>
  <c r="I9929" i="58"/>
  <c r="J9929" i="58" s="1"/>
  <c r="P9928" i="58"/>
  <c r="O9928" i="58"/>
  <c r="I9928" i="58"/>
  <c r="J9928" i="58" s="1"/>
  <c r="O9927" i="58"/>
  <c r="P9927" i="58" s="1"/>
  <c r="Q9926" i="58"/>
  <c r="Q9925" i="58" s="1"/>
  <c r="R9925" i="58" s="1"/>
  <c r="P9926" i="58"/>
  <c r="O9926" i="58"/>
  <c r="O9925" i="58"/>
  <c r="P9925" i="58" s="1"/>
  <c r="O9924" i="58"/>
  <c r="P9924" i="58" s="1"/>
  <c r="O9923" i="58"/>
  <c r="P9923" i="58" s="1"/>
  <c r="O9922" i="58"/>
  <c r="P9922" i="58" s="1"/>
  <c r="K9922" i="58"/>
  <c r="L9922" i="58" s="1"/>
  <c r="L9916" i="58" s="1"/>
  <c r="O9921" i="58"/>
  <c r="P9921" i="58" s="1"/>
  <c r="O9920" i="58"/>
  <c r="P9920" i="58" s="1"/>
  <c r="I9920" i="58"/>
  <c r="J9920" i="58" s="1"/>
  <c r="O9919" i="58"/>
  <c r="P9919" i="58" s="1"/>
  <c r="I9919" i="58"/>
  <c r="J9919" i="58" s="1"/>
  <c r="O9918" i="58"/>
  <c r="P9918" i="58" s="1"/>
  <c r="I9918" i="58"/>
  <c r="J9918" i="58" s="1"/>
  <c r="O9917" i="58"/>
  <c r="P9917" i="58" s="1"/>
  <c r="O9916" i="58"/>
  <c r="P9916" i="58" s="1"/>
  <c r="Q9916" i="58" s="1"/>
  <c r="O9915" i="58"/>
  <c r="P9915" i="58" s="1"/>
  <c r="Q9915" i="58" s="1"/>
  <c r="R9915" i="58" s="1"/>
  <c r="O9914" i="58"/>
  <c r="P9914" i="58" s="1"/>
  <c r="O9913" i="58"/>
  <c r="P9913" i="58" s="1"/>
  <c r="O9912" i="58"/>
  <c r="P9912" i="58" s="1"/>
  <c r="K9912" i="58"/>
  <c r="L9912" i="58" s="1"/>
  <c r="L9906" i="58" s="1"/>
  <c r="O9911" i="58"/>
  <c r="P9911" i="58" s="1"/>
  <c r="O9910" i="58"/>
  <c r="P9910" i="58" s="1"/>
  <c r="I9910" i="58"/>
  <c r="J9910" i="58" s="1"/>
  <c r="P9909" i="58"/>
  <c r="O9909" i="58"/>
  <c r="J9909" i="58"/>
  <c r="I9909" i="58"/>
  <c r="O9908" i="58"/>
  <c r="P9908" i="58" s="1"/>
  <c r="I9908" i="58"/>
  <c r="J9908" i="58" s="1"/>
  <c r="P9907" i="58"/>
  <c r="O9907" i="58"/>
  <c r="O9906" i="58"/>
  <c r="P9906" i="58" s="1"/>
  <c r="Q9906" i="58" s="1"/>
  <c r="Q9905" i="58" s="1"/>
  <c r="R9905" i="58" s="1"/>
  <c r="O9905" i="58"/>
  <c r="P9905" i="58" s="1"/>
  <c r="O9904" i="58"/>
  <c r="P9904" i="58" s="1"/>
  <c r="O9903" i="58"/>
  <c r="P9903" i="58" s="1"/>
  <c r="O9902" i="58"/>
  <c r="P9902" i="58" s="1"/>
  <c r="K9902" i="58"/>
  <c r="L9902" i="58" s="1"/>
  <c r="L9896" i="58" s="1"/>
  <c r="O9901" i="58"/>
  <c r="P9901" i="58" s="1"/>
  <c r="O9900" i="58"/>
  <c r="P9900" i="58" s="1"/>
  <c r="I9900" i="58"/>
  <c r="J9900" i="58" s="1"/>
  <c r="O9899" i="58"/>
  <c r="P9899" i="58" s="1"/>
  <c r="I9899" i="58"/>
  <c r="J9899" i="58" s="1"/>
  <c r="O9898" i="58"/>
  <c r="P9898" i="58" s="1"/>
  <c r="I9898" i="58"/>
  <c r="J9898" i="58" s="1"/>
  <c r="O9897" i="58"/>
  <c r="P9897" i="58" s="1"/>
  <c r="O9896" i="58"/>
  <c r="P9896" i="58" s="1"/>
  <c r="Q9896" i="58" s="1"/>
  <c r="O9895" i="58"/>
  <c r="P9895" i="58" s="1"/>
  <c r="P9894" i="58"/>
  <c r="O9894" i="58"/>
  <c r="O9893" i="58"/>
  <c r="P9893" i="58" s="1"/>
  <c r="P9892" i="58"/>
  <c r="O9892" i="58"/>
  <c r="K9892" i="58"/>
  <c r="L9892" i="58" s="1"/>
  <c r="L9886" i="58" s="1"/>
  <c r="P9891" i="58"/>
  <c r="O9891" i="58"/>
  <c r="P9890" i="58"/>
  <c r="O9890" i="58"/>
  <c r="I9890" i="58"/>
  <c r="J9890" i="58" s="1"/>
  <c r="P9889" i="58"/>
  <c r="O9889" i="58"/>
  <c r="I9889" i="58"/>
  <c r="J9889" i="58" s="1"/>
  <c r="O9888" i="58"/>
  <c r="P9888" i="58" s="1"/>
  <c r="I9888" i="58"/>
  <c r="J9888" i="58" s="1"/>
  <c r="O9887" i="58"/>
  <c r="P9887" i="58" s="1"/>
  <c r="Q9886" i="58"/>
  <c r="Q9885" i="58" s="1"/>
  <c r="O9886" i="58"/>
  <c r="P9886" i="58" s="1"/>
  <c r="O9885" i="58"/>
  <c r="P9885" i="58" s="1"/>
  <c r="P9884" i="58"/>
  <c r="O9884" i="58"/>
  <c r="P9883" i="58"/>
  <c r="O9883" i="58"/>
  <c r="O9882" i="58"/>
  <c r="P9882" i="58" s="1"/>
  <c r="L9882" i="58"/>
  <c r="L9876" i="58" s="1"/>
  <c r="K9882" i="58"/>
  <c r="O9881" i="58"/>
  <c r="P9881" i="58" s="1"/>
  <c r="P9880" i="58"/>
  <c r="O9880" i="58"/>
  <c r="I9880" i="58"/>
  <c r="J9880" i="58" s="1"/>
  <c r="O9879" i="58"/>
  <c r="P9879" i="58" s="1"/>
  <c r="I9879" i="58"/>
  <c r="J9879" i="58" s="1"/>
  <c r="O9878" i="58"/>
  <c r="P9878" i="58" s="1"/>
  <c r="I9878" i="58"/>
  <c r="J9878" i="58" s="1"/>
  <c r="O9877" i="58"/>
  <c r="P9877" i="58" s="1"/>
  <c r="O9876" i="58"/>
  <c r="P9876" i="58" s="1"/>
  <c r="Q9876" i="58" s="1"/>
  <c r="O9875" i="58"/>
  <c r="P9875" i="58" s="1"/>
  <c r="N9875" i="58"/>
  <c r="P9874" i="58"/>
  <c r="O9874" i="58"/>
  <c r="N9874" i="58"/>
  <c r="O9873" i="58"/>
  <c r="P9873" i="58" s="1"/>
  <c r="O9872" i="58"/>
  <c r="P9872" i="58" s="1"/>
  <c r="N9872" i="58"/>
  <c r="P9871" i="58"/>
  <c r="O9871" i="58"/>
  <c r="O9870" i="58"/>
  <c r="P9870" i="58" s="1"/>
  <c r="K9870" i="58"/>
  <c r="L9870" i="58" s="1"/>
  <c r="L9864" i="58" s="1"/>
  <c r="P9869" i="58"/>
  <c r="O9869" i="58"/>
  <c r="P9868" i="58"/>
  <c r="O9868" i="58"/>
  <c r="I9868" i="58"/>
  <c r="J9868" i="58" s="1"/>
  <c r="P9867" i="58"/>
  <c r="O9867" i="58"/>
  <c r="I9867" i="58"/>
  <c r="J9867" i="58" s="1"/>
  <c r="O9866" i="58"/>
  <c r="P9866" i="58" s="1"/>
  <c r="I9866" i="58"/>
  <c r="J9866" i="58" s="1"/>
  <c r="O9865" i="58"/>
  <c r="P9865" i="58" s="1"/>
  <c r="O9864" i="58"/>
  <c r="P9864" i="58" s="1"/>
  <c r="Q9864" i="58" s="1"/>
  <c r="O9863" i="58"/>
  <c r="P9863" i="58" s="1"/>
  <c r="N9863" i="58"/>
  <c r="O9862" i="58"/>
  <c r="P9862" i="58" s="1"/>
  <c r="O9861" i="58"/>
  <c r="P9861" i="58" s="1"/>
  <c r="P9860" i="58"/>
  <c r="O9860" i="58"/>
  <c r="P9859" i="58"/>
  <c r="O9859" i="58"/>
  <c r="O9858" i="58"/>
  <c r="P9858" i="58" s="1"/>
  <c r="K9858" i="58"/>
  <c r="L9858" i="58" s="1"/>
  <c r="L9852" i="58" s="1"/>
  <c r="O9857" i="58"/>
  <c r="P9857" i="58" s="1"/>
  <c r="O9856" i="58"/>
  <c r="P9856" i="58" s="1"/>
  <c r="I9856" i="58"/>
  <c r="J9856" i="58" s="1"/>
  <c r="O9855" i="58"/>
  <c r="P9855" i="58" s="1"/>
  <c r="I9855" i="58"/>
  <c r="J9855" i="58" s="1"/>
  <c r="O9854" i="58"/>
  <c r="P9854" i="58" s="1"/>
  <c r="I9854" i="58"/>
  <c r="J9854" i="58" s="1"/>
  <c r="O9853" i="58"/>
  <c r="P9853" i="58" s="1"/>
  <c r="Q9852" i="58"/>
  <c r="P9852" i="58"/>
  <c r="O9852" i="58"/>
  <c r="O9851" i="58"/>
  <c r="P9851" i="58" s="1"/>
  <c r="O9850" i="58"/>
  <c r="P9850" i="58" s="1"/>
  <c r="P9849" i="58"/>
  <c r="O9849" i="58"/>
  <c r="P9848" i="58"/>
  <c r="O9848" i="58"/>
  <c r="O9847" i="58"/>
  <c r="P9847" i="58" s="1"/>
  <c r="O9846" i="58"/>
  <c r="P9846" i="58" s="1"/>
  <c r="K9846" i="58"/>
  <c r="L9846" i="58" s="1"/>
  <c r="L9840" i="58" s="1"/>
  <c r="P9845" i="58"/>
  <c r="O9845" i="58"/>
  <c r="P9844" i="58"/>
  <c r="O9844" i="58"/>
  <c r="I9844" i="58"/>
  <c r="J9844" i="58" s="1"/>
  <c r="O9843" i="58"/>
  <c r="P9843" i="58" s="1"/>
  <c r="I9843" i="58"/>
  <c r="J9843" i="58" s="1"/>
  <c r="P9842" i="58"/>
  <c r="O9842" i="58"/>
  <c r="I9842" i="58"/>
  <c r="J9842" i="58" s="1"/>
  <c r="O9841" i="58"/>
  <c r="P9841" i="58" s="1"/>
  <c r="Q9840" i="58"/>
  <c r="O9840" i="58"/>
  <c r="P9840" i="58" s="1"/>
  <c r="O9839" i="58"/>
  <c r="P9839" i="58" s="1"/>
  <c r="O9838" i="58"/>
  <c r="P9838" i="58" s="1"/>
  <c r="O9837" i="58"/>
  <c r="P9837" i="58" s="1"/>
  <c r="O9836" i="58"/>
  <c r="P9836" i="58" s="1"/>
  <c r="O9835" i="58"/>
  <c r="P9835" i="58" s="1"/>
  <c r="O9834" i="58"/>
  <c r="P9834" i="58" s="1"/>
  <c r="K9834" i="58"/>
  <c r="L9834" i="58" s="1"/>
  <c r="L9828" i="58" s="1"/>
  <c r="O9833" i="58"/>
  <c r="P9833" i="58" s="1"/>
  <c r="O9832" i="58"/>
  <c r="P9832" i="58" s="1"/>
  <c r="I9832" i="58"/>
  <c r="J9832" i="58" s="1"/>
  <c r="O9831" i="58"/>
  <c r="P9831" i="58" s="1"/>
  <c r="I9831" i="58"/>
  <c r="J9831" i="58" s="1"/>
  <c r="O9830" i="58"/>
  <c r="P9830" i="58" s="1"/>
  <c r="I9830" i="58"/>
  <c r="J9830" i="58" s="1"/>
  <c r="O9829" i="58"/>
  <c r="P9829" i="58" s="1"/>
  <c r="O9828" i="58"/>
  <c r="P9828" i="58" s="1"/>
  <c r="Q9828" i="58" s="1"/>
  <c r="O9827" i="58"/>
  <c r="P9827" i="58" s="1"/>
  <c r="O9826" i="58"/>
  <c r="P9826" i="58" s="1"/>
  <c r="P9825" i="58"/>
  <c r="O9825" i="58"/>
  <c r="O9824" i="58"/>
  <c r="P9824" i="58" s="1"/>
  <c r="L9824" i="58"/>
  <c r="L9818" i="58" s="1"/>
  <c r="K9824" i="58"/>
  <c r="O9823" i="58"/>
  <c r="P9823" i="58" s="1"/>
  <c r="O9822" i="58"/>
  <c r="P9822" i="58" s="1"/>
  <c r="I9822" i="58"/>
  <c r="J9822" i="58" s="1"/>
  <c r="O9821" i="58"/>
  <c r="P9821" i="58" s="1"/>
  <c r="I9821" i="58"/>
  <c r="J9821" i="58" s="1"/>
  <c r="O9820" i="58"/>
  <c r="P9820" i="58" s="1"/>
  <c r="I9820" i="58"/>
  <c r="J9820" i="58" s="1"/>
  <c r="P9819" i="58"/>
  <c r="O9819" i="58"/>
  <c r="P9818" i="58"/>
  <c r="Q9818" i="58" s="1"/>
  <c r="O9818" i="58"/>
  <c r="O9817" i="58"/>
  <c r="P9817" i="58" s="1"/>
  <c r="Q9817" i="58" s="1"/>
  <c r="R9817" i="58" s="1"/>
  <c r="O9816" i="58"/>
  <c r="P9816" i="58" s="1"/>
  <c r="O9815" i="58"/>
  <c r="P9815" i="58" s="1"/>
  <c r="O9814" i="58"/>
  <c r="P9814" i="58" s="1"/>
  <c r="K9814" i="58"/>
  <c r="L9814" i="58" s="1"/>
  <c r="L9808" i="58" s="1"/>
  <c r="O9813" i="58"/>
  <c r="P9813" i="58" s="1"/>
  <c r="O9812" i="58"/>
  <c r="P9812" i="58" s="1"/>
  <c r="I9812" i="58"/>
  <c r="J9812" i="58" s="1"/>
  <c r="P9811" i="58"/>
  <c r="O9811" i="58"/>
  <c r="I9811" i="58"/>
  <c r="J9811" i="58" s="1"/>
  <c r="O9810" i="58"/>
  <c r="P9810" i="58" s="1"/>
  <c r="I9810" i="58"/>
  <c r="J9810" i="58" s="1"/>
  <c r="P9809" i="58"/>
  <c r="O9809" i="58"/>
  <c r="O9808" i="58"/>
  <c r="P9808" i="58" s="1"/>
  <c r="Q9808" i="58" s="1"/>
  <c r="P9807" i="58"/>
  <c r="O9807" i="58"/>
  <c r="O9806" i="58"/>
  <c r="P9806" i="58" s="1"/>
  <c r="P9805" i="58"/>
  <c r="O9805" i="58"/>
  <c r="O9804" i="58"/>
  <c r="P9804" i="58" s="1"/>
  <c r="K9804" i="58"/>
  <c r="L9804" i="58" s="1"/>
  <c r="L9798" i="58" s="1"/>
  <c r="O9803" i="58"/>
  <c r="P9803" i="58" s="1"/>
  <c r="P9802" i="58"/>
  <c r="O9802" i="58"/>
  <c r="I9802" i="58"/>
  <c r="J9802" i="58" s="1"/>
  <c r="O9801" i="58"/>
  <c r="P9801" i="58" s="1"/>
  <c r="I9801" i="58"/>
  <c r="J9801" i="58" s="1"/>
  <c r="O9800" i="58"/>
  <c r="P9800" i="58" s="1"/>
  <c r="I9800" i="58"/>
  <c r="J9800" i="58" s="1"/>
  <c r="O9799" i="58"/>
  <c r="P9799" i="58" s="1"/>
  <c r="O9798" i="58"/>
  <c r="P9798" i="58" s="1"/>
  <c r="Q9798" i="58" s="1"/>
  <c r="P9797" i="58"/>
  <c r="O9797" i="58"/>
  <c r="O9796" i="58"/>
  <c r="P9796" i="58" s="1"/>
  <c r="O9795" i="58"/>
  <c r="P9795" i="58" s="1"/>
  <c r="O9794" i="58"/>
  <c r="P9794" i="58" s="1"/>
  <c r="K9794" i="58"/>
  <c r="L9794" i="58" s="1"/>
  <c r="L9788" i="58" s="1"/>
  <c r="O9793" i="58"/>
  <c r="P9793" i="58" s="1"/>
  <c r="P9792" i="58"/>
  <c r="O9792" i="58"/>
  <c r="I9792" i="58"/>
  <c r="J9792" i="58" s="1"/>
  <c r="O9791" i="58"/>
  <c r="P9791" i="58" s="1"/>
  <c r="I9791" i="58"/>
  <c r="J9791" i="58" s="1"/>
  <c r="P9790" i="58"/>
  <c r="O9790" i="58"/>
  <c r="I9790" i="58"/>
  <c r="J9790" i="58" s="1"/>
  <c r="P9789" i="58"/>
  <c r="O9789" i="58"/>
  <c r="O9788" i="58"/>
  <c r="P9788" i="58" s="1"/>
  <c r="Q9788" i="58" s="1"/>
  <c r="Q9787" i="58" s="1"/>
  <c r="R9787" i="58" s="1"/>
  <c r="O9787" i="58"/>
  <c r="P9787" i="58" s="1"/>
  <c r="O9786" i="58"/>
  <c r="P9786" i="58" s="1"/>
  <c r="O9785" i="58"/>
  <c r="P9785" i="58" s="1"/>
  <c r="P9784" i="58"/>
  <c r="O9784" i="58"/>
  <c r="K9784" i="58"/>
  <c r="L9784" i="58" s="1"/>
  <c r="L9778" i="58" s="1"/>
  <c r="O9783" i="58"/>
  <c r="P9783" i="58" s="1"/>
  <c r="O9782" i="58"/>
  <c r="P9782" i="58" s="1"/>
  <c r="I9782" i="58"/>
  <c r="J9782" i="58" s="1"/>
  <c r="O9781" i="58"/>
  <c r="P9781" i="58" s="1"/>
  <c r="I9781" i="58"/>
  <c r="J9781" i="58" s="1"/>
  <c r="O9780" i="58"/>
  <c r="P9780" i="58" s="1"/>
  <c r="I9780" i="58"/>
  <c r="J9780" i="58" s="1"/>
  <c r="P9779" i="58"/>
  <c r="O9779" i="58"/>
  <c r="Q9778" i="58"/>
  <c r="P9778" i="58"/>
  <c r="O9778" i="58"/>
  <c r="O9777" i="58"/>
  <c r="P9777" i="58" s="1"/>
  <c r="P9776" i="58"/>
  <c r="O9776" i="58"/>
  <c r="P9775" i="58"/>
  <c r="O9775" i="58"/>
  <c r="O9774" i="58"/>
  <c r="P9774" i="58" s="1"/>
  <c r="K9774" i="58"/>
  <c r="L9774" i="58" s="1"/>
  <c r="L9768" i="58" s="1"/>
  <c r="O9773" i="58"/>
  <c r="P9773" i="58" s="1"/>
  <c r="O9772" i="58"/>
  <c r="P9772" i="58" s="1"/>
  <c r="I9772" i="58"/>
  <c r="J9772" i="58" s="1"/>
  <c r="O9771" i="58"/>
  <c r="P9771" i="58" s="1"/>
  <c r="I9771" i="58"/>
  <c r="J9771" i="58" s="1"/>
  <c r="P9770" i="58"/>
  <c r="O9770" i="58"/>
  <c r="I9770" i="58"/>
  <c r="J9770" i="58" s="1"/>
  <c r="O9769" i="58"/>
  <c r="P9769" i="58" s="1"/>
  <c r="P9768" i="58"/>
  <c r="Q9768" i="58" s="1"/>
  <c r="O9768" i="58"/>
  <c r="P9767" i="58"/>
  <c r="Q9767" i="58" s="1"/>
  <c r="R9767" i="58" s="1"/>
  <c r="O9767" i="58"/>
  <c r="O9766" i="58"/>
  <c r="P9766" i="58" s="1"/>
  <c r="Q9766" i="58" s="1"/>
  <c r="R9766" i="58" s="1"/>
  <c r="O9765" i="58"/>
  <c r="P9765" i="58" s="1"/>
  <c r="O9764" i="58"/>
  <c r="P9764" i="58" s="1"/>
  <c r="L9764" i="58"/>
  <c r="L9758" i="58" s="1"/>
  <c r="K9764" i="58"/>
  <c r="O9763" i="58"/>
  <c r="P9763" i="58" s="1"/>
  <c r="O9762" i="58"/>
  <c r="P9762" i="58" s="1"/>
  <c r="I9762" i="58"/>
  <c r="J9762" i="58" s="1"/>
  <c r="O9761" i="58"/>
  <c r="P9761" i="58" s="1"/>
  <c r="I9761" i="58"/>
  <c r="J9761" i="58" s="1"/>
  <c r="O9760" i="58"/>
  <c r="P9760" i="58" s="1"/>
  <c r="I9760" i="58"/>
  <c r="J9760" i="58" s="1"/>
  <c r="O9759" i="58"/>
  <c r="P9759" i="58" s="1"/>
  <c r="P9758" i="58"/>
  <c r="Q9758" i="58" s="1"/>
  <c r="O9758" i="58"/>
  <c r="O9757" i="58"/>
  <c r="P9757" i="58" s="1"/>
  <c r="Q9757" i="58" s="1"/>
  <c r="R9757" i="58" s="1"/>
  <c r="O9756" i="58"/>
  <c r="P9756" i="58" s="1"/>
  <c r="O9755" i="58"/>
  <c r="P9755" i="58" s="1"/>
  <c r="P9754" i="58"/>
  <c r="O9754" i="58"/>
  <c r="K9754" i="58"/>
  <c r="L9754" i="58" s="1"/>
  <c r="L9748" i="58" s="1"/>
  <c r="O9753" i="58"/>
  <c r="P9753" i="58" s="1"/>
  <c r="O9752" i="58"/>
  <c r="P9752" i="58" s="1"/>
  <c r="I9752" i="58"/>
  <c r="J9752" i="58" s="1"/>
  <c r="O9751" i="58"/>
  <c r="P9751" i="58" s="1"/>
  <c r="J9751" i="58"/>
  <c r="I9751" i="58"/>
  <c r="P9750" i="58"/>
  <c r="O9750" i="58"/>
  <c r="I9750" i="58"/>
  <c r="J9750" i="58" s="1"/>
  <c r="O9749" i="58"/>
  <c r="P9749" i="58" s="1"/>
  <c r="P9748" i="58"/>
  <c r="Q9748" i="58" s="1"/>
  <c r="O9748" i="58"/>
  <c r="P9747" i="58"/>
  <c r="O9747" i="58"/>
  <c r="O9746" i="58"/>
  <c r="P9746" i="58" s="1"/>
  <c r="N9746" i="58"/>
  <c r="O9745" i="58"/>
  <c r="P9745" i="58" s="1"/>
  <c r="P9744" i="58"/>
  <c r="O9744" i="58"/>
  <c r="K9744" i="58"/>
  <c r="L9744" i="58" s="1"/>
  <c r="L9738" i="58" s="1"/>
  <c r="O9743" i="58"/>
  <c r="P9743" i="58" s="1"/>
  <c r="O9742" i="58"/>
  <c r="P9742" i="58" s="1"/>
  <c r="I9742" i="58"/>
  <c r="J9742" i="58" s="1"/>
  <c r="O9741" i="58"/>
  <c r="P9741" i="58" s="1"/>
  <c r="I9741" i="58"/>
  <c r="J9741" i="58" s="1"/>
  <c r="O9740" i="58"/>
  <c r="P9740" i="58" s="1"/>
  <c r="I9740" i="58"/>
  <c r="J9740" i="58" s="1"/>
  <c r="O9739" i="58"/>
  <c r="P9739" i="58" s="1"/>
  <c r="O9738" i="58"/>
  <c r="P9738" i="58" s="1"/>
  <c r="Q9738" i="58" s="1"/>
  <c r="N9738" i="58"/>
  <c r="O9737" i="58"/>
  <c r="P9737" i="58" s="1"/>
  <c r="N9737" i="58"/>
  <c r="P9736" i="58"/>
  <c r="O9736" i="58"/>
  <c r="P9735" i="58"/>
  <c r="O9735" i="58"/>
  <c r="O9734" i="58"/>
  <c r="P9734" i="58" s="1"/>
  <c r="K9734" i="58"/>
  <c r="L9734" i="58" s="1"/>
  <c r="L9728" i="58" s="1"/>
  <c r="P9733" i="58"/>
  <c r="O9733" i="58"/>
  <c r="O9732" i="58"/>
  <c r="P9732" i="58" s="1"/>
  <c r="I9732" i="58"/>
  <c r="J9732" i="58" s="1"/>
  <c r="O9731" i="58"/>
  <c r="P9731" i="58" s="1"/>
  <c r="I9731" i="58"/>
  <c r="J9731" i="58" s="1"/>
  <c r="O9730" i="58"/>
  <c r="P9730" i="58" s="1"/>
  <c r="J9730" i="58"/>
  <c r="I9730" i="58"/>
  <c r="P9729" i="58"/>
  <c r="O9729" i="58"/>
  <c r="P9728" i="58"/>
  <c r="Q9728" i="58" s="1"/>
  <c r="O9728" i="58"/>
  <c r="O9727" i="58"/>
  <c r="P9727" i="58" s="1"/>
  <c r="O9726" i="58"/>
  <c r="P9726" i="58" s="1"/>
  <c r="N9726" i="58"/>
  <c r="O9725" i="58"/>
  <c r="P9725" i="58" s="1"/>
  <c r="O9724" i="58"/>
  <c r="P9724" i="58" s="1"/>
  <c r="P9723" i="58"/>
  <c r="O9723" i="58"/>
  <c r="O9722" i="58"/>
  <c r="P9722" i="58" s="1"/>
  <c r="K9722" i="58"/>
  <c r="L9722" i="58" s="1"/>
  <c r="L9716" i="58" s="1"/>
  <c r="O9721" i="58"/>
  <c r="P9721" i="58" s="1"/>
  <c r="O9720" i="58"/>
  <c r="P9720" i="58" s="1"/>
  <c r="I9720" i="58"/>
  <c r="J9720" i="58" s="1"/>
  <c r="O9719" i="58"/>
  <c r="P9719" i="58" s="1"/>
  <c r="I9719" i="58"/>
  <c r="J9719" i="58" s="1"/>
  <c r="O9718" i="58"/>
  <c r="P9718" i="58" s="1"/>
  <c r="I9718" i="58"/>
  <c r="J9718" i="58" s="1"/>
  <c r="O9717" i="58"/>
  <c r="P9717" i="58" s="1"/>
  <c r="O9716" i="58"/>
  <c r="P9716" i="58" s="1"/>
  <c r="Q9716" i="58" s="1"/>
  <c r="P9715" i="58"/>
  <c r="O9715" i="58"/>
  <c r="P9714" i="58"/>
  <c r="O9714" i="58"/>
  <c r="O9713" i="58"/>
  <c r="P9713" i="58" s="1"/>
  <c r="O9712" i="58"/>
  <c r="P9712" i="58" s="1"/>
  <c r="P9711" i="58"/>
  <c r="O9711" i="58"/>
  <c r="O9710" i="58"/>
  <c r="P9710" i="58" s="1"/>
  <c r="K9710" i="58"/>
  <c r="L9710" i="58" s="1"/>
  <c r="L9704" i="58" s="1"/>
  <c r="O9709" i="58"/>
  <c r="P9709" i="58" s="1"/>
  <c r="O9708" i="58"/>
  <c r="P9708" i="58" s="1"/>
  <c r="I9708" i="58"/>
  <c r="J9708" i="58" s="1"/>
  <c r="O9707" i="58"/>
  <c r="P9707" i="58" s="1"/>
  <c r="I9707" i="58"/>
  <c r="J9707" i="58" s="1"/>
  <c r="O9706" i="58"/>
  <c r="P9706" i="58" s="1"/>
  <c r="I9706" i="58"/>
  <c r="J9706" i="58" s="1"/>
  <c r="O9705" i="58"/>
  <c r="P9705" i="58" s="1"/>
  <c r="O9704" i="58"/>
  <c r="P9704" i="58" s="1"/>
  <c r="Q9704" i="58" s="1"/>
  <c r="O9703" i="58"/>
  <c r="P9703" i="58" s="1"/>
  <c r="Q9703" i="58" s="1"/>
  <c r="R9703" i="58" s="1"/>
  <c r="O9702" i="58"/>
  <c r="P9702" i="58" s="1"/>
  <c r="O9701" i="58"/>
  <c r="P9701" i="58" s="1"/>
  <c r="O9700" i="58"/>
  <c r="P9700" i="58" s="1"/>
  <c r="O9699" i="58"/>
  <c r="P9699" i="58" s="1"/>
  <c r="O9698" i="58"/>
  <c r="P9698" i="58" s="1"/>
  <c r="K9698" i="58"/>
  <c r="L9698" i="58" s="1"/>
  <c r="L9692" i="58" s="1"/>
  <c r="O9697" i="58"/>
  <c r="P9697" i="58" s="1"/>
  <c r="O9696" i="58"/>
  <c r="P9696" i="58" s="1"/>
  <c r="I9696" i="58"/>
  <c r="J9696" i="58" s="1"/>
  <c r="O9695" i="58"/>
  <c r="P9695" i="58" s="1"/>
  <c r="I9695" i="58"/>
  <c r="J9695" i="58" s="1"/>
  <c r="O9694" i="58"/>
  <c r="P9694" i="58" s="1"/>
  <c r="I9694" i="58"/>
  <c r="J9694" i="58" s="1"/>
  <c r="O9693" i="58"/>
  <c r="P9693" i="58" s="1"/>
  <c r="P9692" i="58"/>
  <c r="Q9692" i="58" s="1"/>
  <c r="O9692" i="58"/>
  <c r="O9691" i="58"/>
  <c r="P9691" i="58" s="1"/>
  <c r="P9690" i="58"/>
  <c r="O9690" i="58"/>
  <c r="N9690" i="58"/>
  <c r="O9689" i="58"/>
  <c r="P9689" i="58" s="1"/>
  <c r="P9688" i="58"/>
  <c r="O9688" i="58"/>
  <c r="O9687" i="58"/>
  <c r="P9687" i="58" s="1"/>
  <c r="O9686" i="58"/>
  <c r="P9686" i="58" s="1"/>
  <c r="K9686" i="58"/>
  <c r="L9686" i="58" s="1"/>
  <c r="L9680" i="58" s="1"/>
  <c r="O9685" i="58"/>
  <c r="P9685" i="58" s="1"/>
  <c r="O9684" i="58"/>
  <c r="P9684" i="58" s="1"/>
  <c r="I9684" i="58"/>
  <c r="J9684" i="58" s="1"/>
  <c r="O9683" i="58"/>
  <c r="P9683" i="58" s="1"/>
  <c r="I9683" i="58"/>
  <c r="J9683" i="58" s="1"/>
  <c r="P9682" i="58"/>
  <c r="O9682" i="58"/>
  <c r="I9682" i="58"/>
  <c r="J9682" i="58" s="1"/>
  <c r="O9681" i="58"/>
  <c r="P9681" i="58" s="1"/>
  <c r="O9680" i="58"/>
  <c r="P9680" i="58" s="1"/>
  <c r="Q9680" i="58" s="1"/>
  <c r="O9679" i="58"/>
  <c r="P9679" i="58" s="1"/>
  <c r="Q9679" i="58" s="1"/>
  <c r="P9678" i="58"/>
  <c r="O9678" i="58"/>
  <c r="O9677" i="58"/>
  <c r="P9677" i="58" s="1"/>
  <c r="O9676" i="58"/>
  <c r="P9676" i="58" s="1"/>
  <c r="O9675" i="58"/>
  <c r="P9675" i="58" s="1"/>
  <c r="O9674" i="58"/>
  <c r="P9674" i="58" s="1"/>
  <c r="L9674" i="58"/>
  <c r="L9668" i="58" s="1"/>
  <c r="K9674" i="58"/>
  <c r="O9673" i="58"/>
  <c r="P9673" i="58" s="1"/>
  <c r="O9672" i="58"/>
  <c r="P9672" i="58" s="1"/>
  <c r="I9672" i="58"/>
  <c r="J9672" i="58" s="1"/>
  <c r="O9671" i="58"/>
  <c r="P9671" i="58" s="1"/>
  <c r="I9671" i="58"/>
  <c r="J9671" i="58" s="1"/>
  <c r="O9670" i="58"/>
  <c r="P9670" i="58" s="1"/>
  <c r="I9670" i="58"/>
  <c r="J9670" i="58" s="1"/>
  <c r="O9669" i="58"/>
  <c r="P9669" i="58" s="1"/>
  <c r="O9668" i="58"/>
  <c r="P9668" i="58" s="1"/>
  <c r="Q9668" i="58" s="1"/>
  <c r="O9667" i="58"/>
  <c r="P9667" i="58" s="1"/>
  <c r="O9666" i="58"/>
  <c r="P9666" i="58" s="1"/>
  <c r="O9665" i="58"/>
  <c r="P9665" i="58" s="1"/>
  <c r="P9664" i="58"/>
  <c r="O9664" i="58"/>
  <c r="K9664" i="58"/>
  <c r="L9664" i="58" s="1"/>
  <c r="L9658" i="58" s="1"/>
  <c r="O9663" i="58"/>
  <c r="P9663" i="58" s="1"/>
  <c r="O9662" i="58"/>
  <c r="P9662" i="58" s="1"/>
  <c r="I9662" i="58"/>
  <c r="J9662" i="58" s="1"/>
  <c r="O9661" i="58"/>
  <c r="P9661" i="58" s="1"/>
  <c r="I9661" i="58"/>
  <c r="J9661" i="58" s="1"/>
  <c r="O9660" i="58"/>
  <c r="P9660" i="58" s="1"/>
  <c r="I9660" i="58"/>
  <c r="J9660" i="58" s="1"/>
  <c r="P9659" i="58"/>
  <c r="O9659" i="58"/>
  <c r="O9658" i="58"/>
  <c r="P9658" i="58" s="1"/>
  <c r="Q9658" i="58" s="1"/>
  <c r="O9657" i="58"/>
  <c r="P9657" i="58" s="1"/>
  <c r="Q9657" i="58" s="1"/>
  <c r="R9657" i="58" s="1"/>
  <c r="O9656" i="58"/>
  <c r="P9656" i="58" s="1"/>
  <c r="P9655" i="58"/>
  <c r="O9655" i="58"/>
  <c r="P9654" i="58"/>
  <c r="O9654" i="58"/>
  <c r="K9654" i="58"/>
  <c r="L9654" i="58" s="1"/>
  <c r="L9648" i="58" s="1"/>
  <c r="O9653" i="58"/>
  <c r="P9653" i="58" s="1"/>
  <c r="P9652" i="58"/>
  <c r="O9652" i="58"/>
  <c r="I9652" i="58"/>
  <c r="J9652" i="58" s="1"/>
  <c r="P9651" i="58"/>
  <c r="O9651" i="58"/>
  <c r="I9651" i="58"/>
  <c r="J9651" i="58" s="1"/>
  <c r="O9650" i="58"/>
  <c r="P9650" i="58" s="1"/>
  <c r="J9650" i="58"/>
  <c r="I9650" i="58"/>
  <c r="O9649" i="58"/>
  <c r="P9649" i="58" s="1"/>
  <c r="O9648" i="58"/>
  <c r="P9648" i="58" s="1"/>
  <c r="Q9648" i="58" s="1"/>
  <c r="O9647" i="58"/>
  <c r="P9647" i="58" s="1"/>
  <c r="O9646" i="58"/>
  <c r="P9646" i="58" s="1"/>
  <c r="O9645" i="58"/>
  <c r="P9645" i="58" s="1"/>
  <c r="O9644" i="58"/>
  <c r="P9644" i="58" s="1"/>
  <c r="K9644" i="58"/>
  <c r="L9644" i="58" s="1"/>
  <c r="L9638" i="58" s="1"/>
  <c r="O9643" i="58"/>
  <c r="P9643" i="58" s="1"/>
  <c r="O9642" i="58"/>
  <c r="P9642" i="58" s="1"/>
  <c r="I9642" i="58"/>
  <c r="J9642" i="58" s="1"/>
  <c r="O9641" i="58"/>
  <c r="P9641" i="58" s="1"/>
  <c r="I9641" i="58"/>
  <c r="J9641" i="58" s="1"/>
  <c r="O9640" i="58"/>
  <c r="P9640" i="58" s="1"/>
  <c r="I9640" i="58"/>
  <c r="J9640" i="58" s="1"/>
  <c r="O9639" i="58"/>
  <c r="P9639" i="58" s="1"/>
  <c r="O9638" i="58"/>
  <c r="P9638" i="58" s="1"/>
  <c r="Q9638" i="58" s="1"/>
  <c r="O9637" i="58"/>
  <c r="P9637" i="58" s="1"/>
  <c r="O9636" i="58"/>
  <c r="P9636" i="58" s="1"/>
  <c r="O9635" i="58"/>
  <c r="P9635" i="58" s="1"/>
  <c r="O9634" i="58"/>
  <c r="P9634" i="58" s="1"/>
  <c r="L9634" i="58"/>
  <c r="L9628" i="58" s="1"/>
  <c r="K9634" i="58"/>
  <c r="O9633" i="58"/>
  <c r="P9633" i="58" s="1"/>
  <c r="O9632" i="58"/>
  <c r="P9632" i="58" s="1"/>
  <c r="I9632" i="58"/>
  <c r="J9632" i="58" s="1"/>
  <c r="O9631" i="58"/>
  <c r="P9631" i="58" s="1"/>
  <c r="J9631" i="58"/>
  <c r="I9631" i="58"/>
  <c r="O9630" i="58"/>
  <c r="P9630" i="58" s="1"/>
  <c r="I9630" i="58"/>
  <c r="J9630" i="58" s="1"/>
  <c r="O9629" i="58"/>
  <c r="P9629" i="58" s="1"/>
  <c r="O9628" i="58"/>
  <c r="P9628" i="58" s="1"/>
  <c r="Q9628" i="58" s="1"/>
  <c r="Q9627" i="58"/>
  <c r="R9627" i="58" s="1"/>
  <c r="P9627" i="58"/>
  <c r="O9627" i="58"/>
  <c r="O9626" i="58"/>
  <c r="P9626" i="58" s="1"/>
  <c r="N9626" i="58"/>
  <c r="O9625" i="58"/>
  <c r="P9625" i="58" s="1"/>
  <c r="P9624" i="58"/>
  <c r="O9624" i="58"/>
  <c r="K9624" i="58"/>
  <c r="L9624" i="58" s="1"/>
  <c r="L9618" i="58" s="1"/>
  <c r="P9623" i="58"/>
  <c r="O9623" i="58"/>
  <c r="O9622" i="58"/>
  <c r="P9622" i="58" s="1"/>
  <c r="I9622" i="58"/>
  <c r="J9622" i="58" s="1"/>
  <c r="O9621" i="58"/>
  <c r="P9621" i="58" s="1"/>
  <c r="I9621" i="58"/>
  <c r="J9621" i="58" s="1"/>
  <c r="J9618" i="58" s="1"/>
  <c r="P9620" i="58"/>
  <c r="O9620" i="58"/>
  <c r="I9620" i="58"/>
  <c r="J9620" i="58" s="1"/>
  <c r="O9619" i="58"/>
  <c r="P9619" i="58" s="1"/>
  <c r="O9618" i="58"/>
  <c r="P9618" i="58" s="1"/>
  <c r="Q9618" i="58" s="1"/>
  <c r="O9617" i="58"/>
  <c r="P9617" i="58" s="1"/>
  <c r="N9617" i="58"/>
  <c r="O9616" i="58"/>
  <c r="P9616" i="58" s="1"/>
  <c r="N9616" i="58"/>
  <c r="O9615" i="58"/>
  <c r="P9615" i="58" s="1"/>
  <c r="P9614" i="58"/>
  <c r="O9614" i="58"/>
  <c r="K9614" i="58"/>
  <c r="L9614" i="58" s="1"/>
  <c r="L9608" i="58" s="1"/>
  <c r="O9613" i="58"/>
  <c r="P9613" i="58" s="1"/>
  <c r="O9612" i="58"/>
  <c r="P9612" i="58" s="1"/>
  <c r="I9612" i="58"/>
  <c r="J9612" i="58" s="1"/>
  <c r="O9611" i="58"/>
  <c r="P9611" i="58" s="1"/>
  <c r="I9611" i="58"/>
  <c r="J9611" i="58" s="1"/>
  <c r="O9610" i="58"/>
  <c r="P9610" i="58" s="1"/>
  <c r="I9610" i="58"/>
  <c r="J9610" i="58" s="1"/>
  <c r="O9609" i="58"/>
  <c r="P9609" i="58" s="1"/>
  <c r="O9608" i="58"/>
  <c r="P9608" i="58" s="1"/>
  <c r="Q9608" i="58" s="1"/>
  <c r="P9607" i="58"/>
  <c r="O9607" i="58"/>
  <c r="N9607" i="58"/>
  <c r="O9606" i="58"/>
  <c r="P9606" i="58" s="1"/>
  <c r="N9606" i="58"/>
  <c r="O9605" i="58"/>
  <c r="P9605" i="58" s="1"/>
  <c r="O9604" i="58"/>
  <c r="P9604" i="58" s="1"/>
  <c r="K9604" i="58"/>
  <c r="L9604" i="58" s="1"/>
  <c r="L9598" i="58" s="1"/>
  <c r="O9603" i="58"/>
  <c r="P9603" i="58" s="1"/>
  <c r="O9602" i="58"/>
  <c r="P9602" i="58" s="1"/>
  <c r="I9602" i="58"/>
  <c r="J9602" i="58" s="1"/>
  <c r="O9601" i="58"/>
  <c r="P9601" i="58" s="1"/>
  <c r="I9601" i="58"/>
  <c r="J9601" i="58" s="1"/>
  <c r="O9600" i="58"/>
  <c r="P9600" i="58" s="1"/>
  <c r="I9600" i="58"/>
  <c r="J9600" i="58" s="1"/>
  <c r="O9599" i="58"/>
  <c r="P9599" i="58" s="1"/>
  <c r="Q9598" i="58"/>
  <c r="P9598" i="58"/>
  <c r="O9598" i="58"/>
  <c r="P9597" i="58"/>
  <c r="O9597" i="58"/>
  <c r="N9597" i="58"/>
  <c r="P9596" i="58"/>
  <c r="O9596" i="58"/>
  <c r="P9595" i="58"/>
  <c r="O9595" i="58"/>
  <c r="P9594" i="58"/>
  <c r="O9594" i="58"/>
  <c r="K9594" i="58"/>
  <c r="L9594" i="58" s="1"/>
  <c r="L9588" i="58" s="1"/>
  <c r="P9593" i="58"/>
  <c r="O9593" i="58"/>
  <c r="O9592" i="58"/>
  <c r="P9592" i="58" s="1"/>
  <c r="I9592" i="58"/>
  <c r="J9592" i="58" s="1"/>
  <c r="O9591" i="58"/>
  <c r="P9591" i="58" s="1"/>
  <c r="J9591" i="58"/>
  <c r="I9591" i="58"/>
  <c r="O9590" i="58"/>
  <c r="P9590" i="58" s="1"/>
  <c r="I9590" i="58"/>
  <c r="J9590" i="58" s="1"/>
  <c r="O9589" i="58"/>
  <c r="P9589" i="58" s="1"/>
  <c r="P9588" i="58"/>
  <c r="Q9588" i="58" s="1"/>
  <c r="O9588" i="58"/>
  <c r="O9587" i="58"/>
  <c r="P9587" i="58" s="1"/>
  <c r="O9586" i="58"/>
  <c r="P9586" i="58" s="1"/>
  <c r="O9585" i="58"/>
  <c r="P9585" i="58" s="1"/>
  <c r="O9584" i="58"/>
  <c r="P9584" i="58" s="1"/>
  <c r="K9584" i="58"/>
  <c r="L9584" i="58" s="1"/>
  <c r="L9578" i="58" s="1"/>
  <c r="P9583" i="58"/>
  <c r="O9583" i="58"/>
  <c r="O9582" i="58"/>
  <c r="P9582" i="58" s="1"/>
  <c r="I9582" i="58"/>
  <c r="J9582" i="58" s="1"/>
  <c r="O9581" i="58"/>
  <c r="P9581" i="58" s="1"/>
  <c r="I9581" i="58"/>
  <c r="J9581" i="58" s="1"/>
  <c r="O9580" i="58"/>
  <c r="P9580" i="58" s="1"/>
  <c r="I9580" i="58"/>
  <c r="J9580" i="58" s="1"/>
  <c r="O9579" i="58"/>
  <c r="P9579" i="58" s="1"/>
  <c r="O9578" i="58"/>
  <c r="P9578" i="58" s="1"/>
  <c r="Q9578" i="58" s="1"/>
  <c r="O9577" i="58"/>
  <c r="P9577" i="58" s="1"/>
  <c r="Q9577" i="58" s="1"/>
  <c r="R9577" i="58" s="1"/>
  <c r="O9576" i="58"/>
  <c r="P9576" i="58" s="1"/>
  <c r="O9575" i="58"/>
  <c r="P9575" i="58" s="1"/>
  <c r="O9574" i="58"/>
  <c r="P9574" i="58" s="1"/>
  <c r="K9574" i="58"/>
  <c r="L9574" i="58" s="1"/>
  <c r="L9568" i="58" s="1"/>
  <c r="O9573" i="58"/>
  <c r="P9573" i="58" s="1"/>
  <c r="O9572" i="58"/>
  <c r="P9572" i="58" s="1"/>
  <c r="I9572" i="58"/>
  <c r="J9572" i="58" s="1"/>
  <c r="O9571" i="58"/>
  <c r="P9571" i="58" s="1"/>
  <c r="I9571" i="58"/>
  <c r="J9571" i="58" s="1"/>
  <c r="O9570" i="58"/>
  <c r="P9570" i="58" s="1"/>
  <c r="I9570" i="58"/>
  <c r="J9570" i="58" s="1"/>
  <c r="O9569" i="58"/>
  <c r="P9569" i="58" s="1"/>
  <c r="O9568" i="58"/>
  <c r="P9568" i="58" s="1"/>
  <c r="Q9568" i="58" s="1"/>
  <c r="O9567" i="58"/>
  <c r="P9567" i="58" s="1"/>
  <c r="O9566" i="58"/>
  <c r="P9566" i="58" s="1"/>
  <c r="P9565" i="58"/>
  <c r="O9565" i="58"/>
  <c r="O9564" i="58"/>
  <c r="P9564" i="58" s="1"/>
  <c r="P9563" i="58"/>
  <c r="O9563" i="58"/>
  <c r="P9562" i="58"/>
  <c r="O9562" i="58"/>
  <c r="K9562" i="58"/>
  <c r="L9562" i="58" s="1"/>
  <c r="L9556" i="58" s="1"/>
  <c r="O9561" i="58"/>
  <c r="P9561" i="58" s="1"/>
  <c r="P9560" i="58"/>
  <c r="O9560" i="58"/>
  <c r="I9560" i="58"/>
  <c r="J9560" i="58" s="1"/>
  <c r="P9559" i="58"/>
  <c r="O9559" i="58"/>
  <c r="I9559" i="58"/>
  <c r="J9559" i="58" s="1"/>
  <c r="O9558" i="58"/>
  <c r="P9558" i="58" s="1"/>
  <c r="I9558" i="58"/>
  <c r="J9558" i="58" s="1"/>
  <c r="O9557" i="58"/>
  <c r="P9557" i="58" s="1"/>
  <c r="Q9556" i="58"/>
  <c r="P9556" i="58"/>
  <c r="O9556" i="58"/>
  <c r="O9555" i="58"/>
  <c r="P9555" i="58" s="1"/>
  <c r="O9554" i="58"/>
  <c r="P9554" i="58" s="1"/>
  <c r="N9554" i="58"/>
  <c r="O9553" i="58"/>
  <c r="P9553" i="58" s="1"/>
  <c r="P9552" i="58"/>
  <c r="O9552" i="58"/>
  <c r="O9551" i="58"/>
  <c r="P9551" i="58" s="1"/>
  <c r="O9550" i="58"/>
  <c r="P9550" i="58" s="1"/>
  <c r="K9550" i="58"/>
  <c r="L9550" i="58" s="1"/>
  <c r="L9544" i="58" s="1"/>
  <c r="O9549" i="58"/>
  <c r="P9549" i="58" s="1"/>
  <c r="O9548" i="58"/>
  <c r="P9548" i="58" s="1"/>
  <c r="I9548" i="58"/>
  <c r="J9548" i="58" s="1"/>
  <c r="O9547" i="58"/>
  <c r="P9547" i="58" s="1"/>
  <c r="I9547" i="58"/>
  <c r="J9547" i="58" s="1"/>
  <c r="O9546" i="58"/>
  <c r="P9546" i="58" s="1"/>
  <c r="I9546" i="58"/>
  <c r="J9546" i="58" s="1"/>
  <c r="O9545" i="58"/>
  <c r="P9545" i="58" s="1"/>
  <c r="O9544" i="58"/>
  <c r="P9544" i="58" s="1"/>
  <c r="Q9544" i="58" s="1"/>
  <c r="Q9543" i="58"/>
  <c r="R9543" i="58" s="1"/>
  <c r="O9543" i="58"/>
  <c r="P9543" i="58" s="1"/>
  <c r="O9542" i="58"/>
  <c r="P9542" i="58" s="1"/>
  <c r="O9541" i="58"/>
  <c r="P9541" i="58" s="1"/>
  <c r="O9540" i="58"/>
  <c r="P9540" i="58" s="1"/>
  <c r="O9539" i="58"/>
  <c r="P9539" i="58" s="1"/>
  <c r="O9538" i="58"/>
  <c r="P9538" i="58" s="1"/>
  <c r="K9538" i="58"/>
  <c r="L9538" i="58" s="1"/>
  <c r="L9532" i="58" s="1"/>
  <c r="O9537" i="58"/>
  <c r="P9537" i="58" s="1"/>
  <c r="O9536" i="58"/>
  <c r="P9536" i="58" s="1"/>
  <c r="I9536" i="58"/>
  <c r="J9536" i="58" s="1"/>
  <c r="O9535" i="58"/>
  <c r="P9535" i="58" s="1"/>
  <c r="I9535" i="58"/>
  <c r="J9535" i="58" s="1"/>
  <c r="O9534" i="58"/>
  <c r="P9534" i="58" s="1"/>
  <c r="I9534" i="58"/>
  <c r="J9534" i="58" s="1"/>
  <c r="O9533" i="58"/>
  <c r="P9533" i="58" s="1"/>
  <c r="O9532" i="58"/>
  <c r="P9532" i="58" s="1"/>
  <c r="Q9532" i="58" s="1"/>
  <c r="O9531" i="58"/>
  <c r="P9531" i="58" s="1"/>
  <c r="O9530" i="58"/>
  <c r="P9530" i="58" s="1"/>
  <c r="O9529" i="58"/>
  <c r="P9529" i="58" s="1"/>
  <c r="O9528" i="58"/>
  <c r="P9528" i="58" s="1"/>
  <c r="P9527" i="58"/>
  <c r="O9527" i="58"/>
  <c r="O9526" i="58"/>
  <c r="P9526" i="58" s="1"/>
  <c r="K9526" i="58"/>
  <c r="L9526" i="58" s="1"/>
  <c r="L9520" i="58" s="1"/>
  <c r="O9525" i="58"/>
  <c r="P9525" i="58" s="1"/>
  <c r="O9524" i="58"/>
  <c r="P9524" i="58" s="1"/>
  <c r="I9524" i="58"/>
  <c r="J9524" i="58" s="1"/>
  <c r="O9523" i="58"/>
  <c r="P9523" i="58" s="1"/>
  <c r="I9523" i="58"/>
  <c r="J9523" i="58" s="1"/>
  <c r="O9522" i="58"/>
  <c r="P9522" i="58" s="1"/>
  <c r="J9522" i="58"/>
  <c r="I9522" i="58"/>
  <c r="O9521" i="58"/>
  <c r="P9521" i="58" s="1"/>
  <c r="P9520" i="58"/>
  <c r="Q9520" i="58" s="1"/>
  <c r="O9520" i="58"/>
  <c r="P9519" i="58"/>
  <c r="O9519" i="58"/>
  <c r="O9518" i="58"/>
  <c r="P9518" i="58" s="1"/>
  <c r="O9517" i="58"/>
  <c r="P9517" i="58" s="1"/>
  <c r="O9516" i="58"/>
  <c r="P9516" i="58" s="1"/>
  <c r="O9515" i="58"/>
  <c r="P9515" i="58" s="1"/>
  <c r="O9514" i="58"/>
  <c r="P9514" i="58" s="1"/>
  <c r="K9514" i="58"/>
  <c r="L9514" i="58" s="1"/>
  <c r="L9508" i="58" s="1"/>
  <c r="O9513" i="58"/>
  <c r="P9513" i="58" s="1"/>
  <c r="O9512" i="58"/>
  <c r="P9512" i="58" s="1"/>
  <c r="I9512" i="58"/>
  <c r="J9512" i="58" s="1"/>
  <c r="O9511" i="58"/>
  <c r="P9511" i="58" s="1"/>
  <c r="I9511" i="58"/>
  <c r="J9511" i="58" s="1"/>
  <c r="O9510" i="58"/>
  <c r="P9510" i="58" s="1"/>
  <c r="I9510" i="58"/>
  <c r="J9510" i="58" s="1"/>
  <c r="P9509" i="58"/>
  <c r="O9509" i="58"/>
  <c r="P9508" i="58"/>
  <c r="Q9508" i="58" s="1"/>
  <c r="O9508" i="58"/>
  <c r="P9507" i="58"/>
  <c r="O9507" i="58"/>
  <c r="O9506" i="58"/>
  <c r="P9506" i="58" s="1"/>
  <c r="N9506" i="58"/>
  <c r="N9498" i="58" s="1"/>
  <c r="O9505" i="58"/>
  <c r="P9505" i="58" s="1"/>
  <c r="O9504" i="58"/>
  <c r="P9504" i="58" s="1"/>
  <c r="K9504" i="58"/>
  <c r="L9504" i="58" s="1"/>
  <c r="L9498" i="58" s="1"/>
  <c r="O9503" i="58"/>
  <c r="P9503" i="58" s="1"/>
  <c r="P9502" i="58"/>
  <c r="O9502" i="58"/>
  <c r="I9502" i="58"/>
  <c r="J9502" i="58" s="1"/>
  <c r="O9501" i="58"/>
  <c r="P9501" i="58" s="1"/>
  <c r="I9501" i="58"/>
  <c r="J9501" i="58" s="1"/>
  <c r="O9500" i="58"/>
  <c r="P9500" i="58" s="1"/>
  <c r="I9500" i="58"/>
  <c r="J9500" i="58" s="1"/>
  <c r="O9499" i="58"/>
  <c r="P9499" i="58" s="1"/>
  <c r="P9498" i="58"/>
  <c r="Q9498" i="58" s="1"/>
  <c r="O9498" i="58"/>
  <c r="O9497" i="58"/>
  <c r="P9497" i="58" s="1"/>
  <c r="N9497" i="58"/>
  <c r="O9496" i="58"/>
  <c r="P9496" i="58" s="1"/>
  <c r="P9495" i="58"/>
  <c r="O9495" i="58"/>
  <c r="O9494" i="58"/>
  <c r="P9494" i="58" s="1"/>
  <c r="K9494" i="58"/>
  <c r="L9494" i="58" s="1"/>
  <c r="L9488" i="58" s="1"/>
  <c r="O9493" i="58"/>
  <c r="P9493" i="58" s="1"/>
  <c r="O9492" i="58"/>
  <c r="P9492" i="58" s="1"/>
  <c r="I9492" i="58"/>
  <c r="J9492" i="58" s="1"/>
  <c r="P9491" i="58"/>
  <c r="O9491" i="58"/>
  <c r="I9491" i="58"/>
  <c r="J9491" i="58" s="1"/>
  <c r="O9490" i="58"/>
  <c r="P9490" i="58" s="1"/>
  <c r="I9490" i="58"/>
  <c r="J9490" i="58" s="1"/>
  <c r="O9489" i="58"/>
  <c r="P9489" i="58" s="1"/>
  <c r="P9488" i="58"/>
  <c r="Q9488" i="58" s="1"/>
  <c r="O9488" i="58"/>
  <c r="P9487" i="58"/>
  <c r="O9487" i="58"/>
  <c r="P9486" i="58"/>
  <c r="O9486" i="58"/>
  <c r="O9485" i="58"/>
  <c r="P9485" i="58" s="1"/>
  <c r="P9484" i="58"/>
  <c r="O9484" i="58"/>
  <c r="K9484" i="58"/>
  <c r="L9484" i="58" s="1"/>
  <c r="L9478" i="58" s="1"/>
  <c r="O9483" i="58"/>
  <c r="P9483" i="58" s="1"/>
  <c r="O9482" i="58"/>
  <c r="P9482" i="58" s="1"/>
  <c r="I9482" i="58"/>
  <c r="J9482" i="58" s="1"/>
  <c r="P9481" i="58"/>
  <c r="O9481" i="58"/>
  <c r="I9481" i="58"/>
  <c r="J9481" i="58" s="1"/>
  <c r="P9480" i="58"/>
  <c r="O9480" i="58"/>
  <c r="J9480" i="58"/>
  <c r="I9480" i="58"/>
  <c r="P9479" i="58"/>
  <c r="O9479" i="58"/>
  <c r="Q9478" i="58"/>
  <c r="Q9477" i="58" s="1"/>
  <c r="R9477" i="58" s="1"/>
  <c r="P9478" i="58"/>
  <c r="O9478" i="58"/>
  <c r="O9477" i="58"/>
  <c r="P9477" i="58" s="1"/>
  <c r="O9476" i="58"/>
  <c r="P9476" i="58" s="1"/>
  <c r="O9475" i="58"/>
  <c r="P9475" i="58" s="1"/>
  <c r="P9474" i="58"/>
  <c r="O9474" i="58"/>
  <c r="K9474" i="58"/>
  <c r="L9474" i="58" s="1"/>
  <c r="L9468" i="58" s="1"/>
  <c r="P9473" i="58"/>
  <c r="O9473" i="58"/>
  <c r="O9472" i="58"/>
  <c r="P9472" i="58" s="1"/>
  <c r="I9472" i="58"/>
  <c r="J9472" i="58" s="1"/>
  <c r="P9471" i="58"/>
  <c r="O9471" i="58"/>
  <c r="I9471" i="58"/>
  <c r="J9471" i="58" s="1"/>
  <c r="O9470" i="58"/>
  <c r="P9470" i="58" s="1"/>
  <c r="I9470" i="58"/>
  <c r="J9470" i="58" s="1"/>
  <c r="O9469" i="58"/>
  <c r="P9469" i="58" s="1"/>
  <c r="O9468" i="58"/>
  <c r="P9468" i="58" s="1"/>
  <c r="Q9468" i="58" s="1"/>
  <c r="O9467" i="58"/>
  <c r="P9467" i="58" s="1"/>
  <c r="Q9467" i="58" s="1"/>
  <c r="R9467" i="58" s="1"/>
  <c r="P9466" i="58"/>
  <c r="O9466" i="58"/>
  <c r="O9465" i="58"/>
  <c r="P9465" i="58" s="1"/>
  <c r="O9464" i="58"/>
  <c r="P9464" i="58" s="1"/>
  <c r="K9464" i="58"/>
  <c r="L9464" i="58" s="1"/>
  <c r="L9458" i="58" s="1"/>
  <c r="O9463" i="58"/>
  <c r="P9463" i="58" s="1"/>
  <c r="P9462" i="58"/>
  <c r="O9462" i="58"/>
  <c r="I9462" i="58"/>
  <c r="J9462" i="58" s="1"/>
  <c r="P9461" i="58"/>
  <c r="O9461" i="58"/>
  <c r="I9461" i="58"/>
  <c r="J9461" i="58" s="1"/>
  <c r="O9460" i="58"/>
  <c r="P9460" i="58" s="1"/>
  <c r="I9460" i="58"/>
  <c r="J9460" i="58" s="1"/>
  <c r="O9459" i="58"/>
  <c r="P9459" i="58" s="1"/>
  <c r="P9458" i="58"/>
  <c r="Q9458" i="58" s="1"/>
  <c r="Q9457" i="58" s="1"/>
  <c r="R9457" i="58" s="1"/>
  <c r="O9458" i="58"/>
  <c r="O9457" i="58"/>
  <c r="P9457" i="58" s="1"/>
  <c r="P9456" i="58"/>
  <c r="O9456" i="58"/>
  <c r="O9455" i="58"/>
  <c r="P9455" i="58" s="1"/>
  <c r="P9454" i="58"/>
  <c r="O9454" i="58"/>
  <c r="L9454" i="58"/>
  <c r="L9448" i="58" s="1"/>
  <c r="K9454" i="58"/>
  <c r="O9453" i="58"/>
  <c r="P9453" i="58" s="1"/>
  <c r="P9452" i="58"/>
  <c r="O9452" i="58"/>
  <c r="I9452" i="58"/>
  <c r="J9452" i="58" s="1"/>
  <c r="O9451" i="58"/>
  <c r="P9451" i="58" s="1"/>
  <c r="I9451" i="58"/>
  <c r="J9451" i="58" s="1"/>
  <c r="O9450" i="58"/>
  <c r="P9450" i="58" s="1"/>
  <c r="I9450" i="58"/>
  <c r="J9450" i="58" s="1"/>
  <c r="O9449" i="58"/>
  <c r="P9449" i="58" s="1"/>
  <c r="P9448" i="58"/>
  <c r="Q9448" i="58" s="1"/>
  <c r="O9448" i="58"/>
  <c r="P9447" i="58"/>
  <c r="O9447" i="58"/>
  <c r="O9446" i="58"/>
  <c r="P9446" i="58" s="1"/>
  <c r="O9445" i="58"/>
  <c r="P9445" i="58" s="1"/>
  <c r="O9444" i="58"/>
  <c r="P9444" i="58" s="1"/>
  <c r="K9444" i="58"/>
  <c r="L9444" i="58" s="1"/>
  <c r="L9438" i="58" s="1"/>
  <c r="P9443" i="58"/>
  <c r="O9443" i="58"/>
  <c r="O9442" i="58"/>
  <c r="P9442" i="58" s="1"/>
  <c r="I9442" i="58"/>
  <c r="J9442" i="58" s="1"/>
  <c r="O9441" i="58"/>
  <c r="P9441" i="58" s="1"/>
  <c r="I9441" i="58"/>
  <c r="J9441" i="58" s="1"/>
  <c r="O9440" i="58"/>
  <c r="P9440" i="58" s="1"/>
  <c r="J9440" i="58"/>
  <c r="I9440" i="58"/>
  <c r="O9439" i="58"/>
  <c r="P9439" i="58" s="1"/>
  <c r="O9438" i="58"/>
  <c r="P9438" i="58" s="1"/>
  <c r="Q9438" i="58" s="1"/>
  <c r="O9437" i="58"/>
  <c r="P9437" i="58" s="1"/>
  <c r="P9436" i="58"/>
  <c r="O9436" i="58"/>
  <c r="O9435" i="58"/>
  <c r="P9435" i="58" s="1"/>
  <c r="O9434" i="58"/>
  <c r="P9434" i="58" s="1"/>
  <c r="K9434" i="58"/>
  <c r="L9434" i="58" s="1"/>
  <c r="L9428" i="58" s="1"/>
  <c r="P9433" i="58"/>
  <c r="O9433" i="58"/>
  <c r="O9432" i="58"/>
  <c r="P9432" i="58" s="1"/>
  <c r="I9432" i="58"/>
  <c r="J9432" i="58" s="1"/>
  <c r="O9431" i="58"/>
  <c r="P9431" i="58" s="1"/>
  <c r="I9431" i="58"/>
  <c r="J9431" i="58" s="1"/>
  <c r="O9430" i="58"/>
  <c r="P9430" i="58" s="1"/>
  <c r="I9430" i="58"/>
  <c r="J9430" i="58" s="1"/>
  <c r="O9429" i="58"/>
  <c r="P9429" i="58" s="1"/>
  <c r="O9428" i="58"/>
  <c r="P9428" i="58" s="1"/>
  <c r="Q9428" i="58" s="1"/>
  <c r="Q9427" i="58"/>
  <c r="R9427" i="58" s="1"/>
  <c r="P9427" i="58"/>
  <c r="O9427" i="58"/>
  <c r="P9426" i="58"/>
  <c r="Q9426" i="58" s="1"/>
  <c r="O9426" i="58"/>
  <c r="O9425" i="58"/>
  <c r="P9425" i="58" s="1"/>
  <c r="P9424" i="58"/>
  <c r="O9424" i="58"/>
  <c r="K9424" i="58"/>
  <c r="L9424" i="58" s="1"/>
  <c r="L9418" i="58" s="1"/>
  <c r="P9423" i="58"/>
  <c r="O9423" i="58"/>
  <c r="O9422" i="58"/>
  <c r="P9422" i="58" s="1"/>
  <c r="I9422" i="58"/>
  <c r="J9422" i="58" s="1"/>
  <c r="P9421" i="58"/>
  <c r="O9421" i="58"/>
  <c r="I9421" i="58"/>
  <c r="J9421" i="58" s="1"/>
  <c r="O9420" i="58"/>
  <c r="P9420" i="58" s="1"/>
  <c r="I9420" i="58"/>
  <c r="J9420" i="58" s="1"/>
  <c r="O9419" i="58"/>
  <c r="P9419" i="58" s="1"/>
  <c r="P9418" i="58"/>
  <c r="Q9418" i="58" s="1"/>
  <c r="O9418" i="58"/>
  <c r="O9417" i="58"/>
  <c r="P9417" i="58" s="1"/>
  <c r="N9417" i="58"/>
  <c r="O9416" i="58"/>
  <c r="P9416" i="58" s="1"/>
  <c r="O9415" i="58"/>
  <c r="P9415" i="58" s="1"/>
  <c r="O9414" i="58"/>
  <c r="P9414" i="58" s="1"/>
  <c r="K9414" i="58"/>
  <c r="L9414" i="58" s="1"/>
  <c r="L9408" i="58" s="1"/>
  <c r="O9413" i="58"/>
  <c r="P9413" i="58" s="1"/>
  <c r="O9412" i="58"/>
  <c r="P9412" i="58" s="1"/>
  <c r="I9412" i="58"/>
  <c r="J9412" i="58" s="1"/>
  <c r="O9411" i="58"/>
  <c r="P9411" i="58" s="1"/>
  <c r="I9411" i="58"/>
  <c r="J9411" i="58" s="1"/>
  <c r="P9410" i="58"/>
  <c r="O9410" i="58"/>
  <c r="I9410" i="58"/>
  <c r="J9410" i="58" s="1"/>
  <c r="O9409" i="58"/>
  <c r="P9409" i="58" s="1"/>
  <c r="O9408" i="58"/>
  <c r="P9408" i="58" s="1"/>
  <c r="Q9408" i="58" s="1"/>
  <c r="O9407" i="58"/>
  <c r="P9407" i="58" s="1"/>
  <c r="Q9407" i="58" s="1"/>
  <c r="P9406" i="58"/>
  <c r="O9406" i="58"/>
  <c r="P9405" i="58"/>
  <c r="O9405" i="58"/>
  <c r="O9404" i="58"/>
  <c r="P9404" i="58" s="1"/>
  <c r="K9404" i="58"/>
  <c r="L9404" i="58" s="1"/>
  <c r="L9398" i="58" s="1"/>
  <c r="O9403" i="58"/>
  <c r="P9403" i="58" s="1"/>
  <c r="O9402" i="58"/>
  <c r="P9402" i="58" s="1"/>
  <c r="J9402" i="58"/>
  <c r="I9402" i="58"/>
  <c r="P9401" i="58"/>
  <c r="O9401" i="58"/>
  <c r="I9401" i="58"/>
  <c r="J9401" i="58" s="1"/>
  <c r="O9400" i="58"/>
  <c r="P9400" i="58" s="1"/>
  <c r="I9400" i="58"/>
  <c r="J9400" i="58" s="1"/>
  <c r="O9399" i="58"/>
  <c r="P9399" i="58" s="1"/>
  <c r="O9398" i="58"/>
  <c r="P9398" i="58" s="1"/>
  <c r="Q9398" i="58" s="1"/>
  <c r="Q9397" i="58" s="1"/>
  <c r="R9397" i="58"/>
  <c r="P9397" i="58"/>
  <c r="O9397" i="58"/>
  <c r="P9396" i="58"/>
  <c r="Q9396" i="58" s="1"/>
  <c r="R9396" i="58" s="1"/>
  <c r="O9396" i="58"/>
  <c r="N9396" i="58"/>
  <c r="O9395" i="58"/>
  <c r="P9395" i="58" s="1"/>
  <c r="P9394" i="58"/>
  <c r="O9394" i="58"/>
  <c r="K9394" i="58"/>
  <c r="L9394" i="58" s="1"/>
  <c r="L9388" i="58" s="1"/>
  <c r="O9393" i="58"/>
  <c r="P9393" i="58" s="1"/>
  <c r="O9392" i="58"/>
  <c r="P9392" i="58" s="1"/>
  <c r="I9392" i="58"/>
  <c r="J9392" i="58" s="1"/>
  <c r="O9391" i="58"/>
  <c r="P9391" i="58" s="1"/>
  <c r="I9391" i="58"/>
  <c r="J9391" i="58" s="1"/>
  <c r="P9390" i="58"/>
  <c r="O9390" i="58"/>
  <c r="I9390" i="58"/>
  <c r="J9390" i="58" s="1"/>
  <c r="P9389" i="58"/>
  <c r="O9389" i="58"/>
  <c r="P9388" i="58"/>
  <c r="Q9388" i="58" s="1"/>
  <c r="O9388" i="58"/>
  <c r="O9387" i="58"/>
  <c r="P9387" i="58" s="1"/>
  <c r="O9386" i="58"/>
  <c r="P9386" i="58" s="1"/>
  <c r="P9385" i="58"/>
  <c r="O9385" i="58"/>
  <c r="P9384" i="58"/>
  <c r="O9384" i="58"/>
  <c r="O9383" i="58"/>
  <c r="P9383" i="58" s="1"/>
  <c r="P9382" i="58"/>
  <c r="O9382" i="58"/>
  <c r="K9382" i="58"/>
  <c r="L9382" i="58" s="1"/>
  <c r="L9376" i="58" s="1"/>
  <c r="O9381" i="58"/>
  <c r="P9381" i="58" s="1"/>
  <c r="P9380" i="58"/>
  <c r="O9380" i="58"/>
  <c r="I9380" i="58"/>
  <c r="J9380" i="58" s="1"/>
  <c r="P9379" i="58"/>
  <c r="O9379" i="58"/>
  <c r="I9379" i="58"/>
  <c r="J9379" i="58" s="1"/>
  <c r="O9378" i="58"/>
  <c r="P9378" i="58" s="1"/>
  <c r="I9378" i="58"/>
  <c r="J9378" i="58" s="1"/>
  <c r="O9377" i="58"/>
  <c r="P9377" i="58" s="1"/>
  <c r="O9376" i="58"/>
  <c r="P9376" i="58" s="1"/>
  <c r="Q9376" i="58" s="1"/>
  <c r="O9375" i="58"/>
  <c r="P9375" i="58" s="1"/>
  <c r="P9374" i="58"/>
  <c r="O9374" i="58"/>
  <c r="O9373" i="58"/>
  <c r="P9373" i="58" s="1"/>
  <c r="O9372" i="58"/>
  <c r="P9372" i="58" s="1"/>
  <c r="O9371" i="58"/>
  <c r="P9371" i="58" s="1"/>
  <c r="O9370" i="58"/>
  <c r="P9370" i="58" s="1"/>
  <c r="L9370" i="58"/>
  <c r="L9364" i="58" s="1"/>
  <c r="K9370" i="58"/>
  <c r="O9369" i="58"/>
  <c r="P9369" i="58" s="1"/>
  <c r="O9368" i="58"/>
  <c r="P9368" i="58" s="1"/>
  <c r="I9368" i="58"/>
  <c r="J9368" i="58" s="1"/>
  <c r="P9367" i="58"/>
  <c r="O9367" i="58"/>
  <c r="I9367" i="58"/>
  <c r="J9367" i="58" s="1"/>
  <c r="O9366" i="58"/>
  <c r="P9366" i="58" s="1"/>
  <c r="I9366" i="58"/>
  <c r="J9366" i="58" s="1"/>
  <c r="O9365" i="58"/>
  <c r="P9365" i="58" s="1"/>
  <c r="O9364" i="58"/>
  <c r="P9364" i="58" s="1"/>
  <c r="Q9364" i="58" s="1"/>
  <c r="J9364" i="58"/>
  <c r="O9363" i="58"/>
  <c r="P9363" i="58" s="1"/>
  <c r="O9362" i="58"/>
  <c r="P9362" i="58" s="1"/>
  <c r="N9362" i="58"/>
  <c r="P9361" i="58"/>
  <c r="O9361" i="58"/>
  <c r="O9360" i="58"/>
  <c r="P9360" i="58" s="1"/>
  <c r="P9359" i="58"/>
  <c r="O9359" i="58"/>
  <c r="O9358" i="58"/>
  <c r="P9358" i="58" s="1"/>
  <c r="K9358" i="58"/>
  <c r="L9358" i="58" s="1"/>
  <c r="L9352" i="58" s="1"/>
  <c r="O9357" i="58"/>
  <c r="P9357" i="58" s="1"/>
  <c r="O9356" i="58"/>
  <c r="P9356" i="58" s="1"/>
  <c r="I9356" i="58"/>
  <c r="J9356" i="58" s="1"/>
  <c r="J9352" i="58" s="1"/>
  <c r="P9355" i="58"/>
  <c r="O9355" i="58"/>
  <c r="J9355" i="58"/>
  <c r="I9355" i="58"/>
  <c r="P9354" i="58"/>
  <c r="O9354" i="58"/>
  <c r="I9354" i="58"/>
  <c r="J9354" i="58" s="1"/>
  <c r="O9353" i="58"/>
  <c r="P9353" i="58" s="1"/>
  <c r="O9352" i="58"/>
  <c r="P9352" i="58" s="1"/>
  <c r="Q9352" i="58" s="1"/>
  <c r="P9351" i="58"/>
  <c r="O9351" i="58"/>
  <c r="P9350" i="58"/>
  <c r="O9350" i="58"/>
  <c r="O9349" i="58"/>
  <c r="P9349" i="58" s="1"/>
  <c r="O9348" i="58"/>
  <c r="P9348" i="58" s="1"/>
  <c r="O9347" i="58"/>
  <c r="P9347" i="58" s="1"/>
  <c r="O9346" i="58"/>
  <c r="P9346" i="58" s="1"/>
  <c r="K9346" i="58"/>
  <c r="L9346" i="58" s="1"/>
  <c r="L9340" i="58" s="1"/>
  <c r="O9345" i="58"/>
  <c r="P9345" i="58" s="1"/>
  <c r="O9344" i="58"/>
  <c r="P9344" i="58" s="1"/>
  <c r="I9344" i="58"/>
  <c r="J9344" i="58" s="1"/>
  <c r="O9343" i="58"/>
  <c r="P9343" i="58" s="1"/>
  <c r="I9343" i="58"/>
  <c r="J9343" i="58" s="1"/>
  <c r="O9342" i="58"/>
  <c r="P9342" i="58" s="1"/>
  <c r="I9342" i="58"/>
  <c r="J9342" i="58" s="1"/>
  <c r="O9341" i="58"/>
  <c r="P9341" i="58" s="1"/>
  <c r="O9340" i="58"/>
  <c r="P9340" i="58" s="1"/>
  <c r="Q9340" i="58" s="1"/>
  <c r="P9339" i="58"/>
  <c r="O9339" i="58"/>
  <c r="O9338" i="58"/>
  <c r="P9338" i="58" s="1"/>
  <c r="O9337" i="58"/>
  <c r="P9337" i="58" s="1"/>
  <c r="O9336" i="58"/>
  <c r="P9336" i="58" s="1"/>
  <c r="O9335" i="58"/>
  <c r="P9335" i="58" s="1"/>
  <c r="O9334" i="58"/>
  <c r="P9334" i="58" s="1"/>
  <c r="K9334" i="58"/>
  <c r="L9334" i="58" s="1"/>
  <c r="L9328" i="58" s="1"/>
  <c r="P9333" i="58"/>
  <c r="O9333" i="58"/>
  <c r="O9332" i="58"/>
  <c r="P9332" i="58" s="1"/>
  <c r="I9332" i="58"/>
  <c r="J9332" i="58" s="1"/>
  <c r="O9331" i="58"/>
  <c r="P9331" i="58" s="1"/>
  <c r="I9331" i="58"/>
  <c r="J9331" i="58" s="1"/>
  <c r="O9330" i="58"/>
  <c r="P9330" i="58" s="1"/>
  <c r="I9330" i="58"/>
  <c r="J9330" i="58" s="1"/>
  <c r="O9329" i="58"/>
  <c r="P9329" i="58" s="1"/>
  <c r="Q9328" i="58"/>
  <c r="O9328" i="58"/>
  <c r="P9328" i="58" s="1"/>
  <c r="O9327" i="58"/>
  <c r="P9327" i="58" s="1"/>
  <c r="O9326" i="58"/>
  <c r="P9326" i="58" s="1"/>
  <c r="O9325" i="58"/>
  <c r="P9325" i="58" s="1"/>
  <c r="O9324" i="58"/>
  <c r="P9324" i="58" s="1"/>
  <c r="P9323" i="58"/>
  <c r="O9323" i="58"/>
  <c r="O9322" i="58"/>
  <c r="P9322" i="58" s="1"/>
  <c r="K9322" i="58"/>
  <c r="L9322" i="58" s="1"/>
  <c r="L9316" i="58" s="1"/>
  <c r="O9321" i="58"/>
  <c r="P9321" i="58" s="1"/>
  <c r="O9320" i="58"/>
  <c r="P9320" i="58" s="1"/>
  <c r="I9320" i="58"/>
  <c r="J9320" i="58" s="1"/>
  <c r="O9319" i="58"/>
  <c r="P9319" i="58" s="1"/>
  <c r="I9319" i="58"/>
  <c r="J9319" i="58" s="1"/>
  <c r="O9318" i="58"/>
  <c r="P9318" i="58" s="1"/>
  <c r="J9318" i="58"/>
  <c r="I9318" i="58"/>
  <c r="O9317" i="58"/>
  <c r="P9317" i="58" s="1"/>
  <c r="O9316" i="58"/>
  <c r="P9316" i="58" s="1"/>
  <c r="Q9316" i="58" s="1"/>
  <c r="O9315" i="58"/>
  <c r="P9315" i="58" s="1"/>
  <c r="O9314" i="58"/>
  <c r="P9314" i="58" s="1"/>
  <c r="O9313" i="58"/>
  <c r="P9313" i="58" s="1"/>
  <c r="O9312" i="58"/>
  <c r="P9312" i="58" s="1"/>
  <c r="L9312" i="58"/>
  <c r="L9306" i="58" s="1"/>
  <c r="K9312" i="58"/>
  <c r="P9311" i="58"/>
  <c r="O9311" i="58"/>
  <c r="O9310" i="58"/>
  <c r="P9310" i="58" s="1"/>
  <c r="I9310" i="58"/>
  <c r="J9310" i="58" s="1"/>
  <c r="O9309" i="58"/>
  <c r="P9309" i="58" s="1"/>
  <c r="I9309" i="58"/>
  <c r="J9309" i="58" s="1"/>
  <c r="P9308" i="58"/>
  <c r="O9308" i="58"/>
  <c r="I9308" i="58"/>
  <c r="J9308" i="58" s="1"/>
  <c r="O9307" i="58"/>
  <c r="P9307" i="58" s="1"/>
  <c r="P9306" i="58"/>
  <c r="Q9306" i="58" s="1"/>
  <c r="O9306" i="58"/>
  <c r="O9305" i="58"/>
  <c r="P9305" i="58" s="1"/>
  <c r="O9304" i="58"/>
  <c r="P9304" i="58" s="1"/>
  <c r="O9303" i="58"/>
  <c r="P9303" i="58" s="1"/>
  <c r="O9302" i="58"/>
  <c r="P9302" i="58" s="1"/>
  <c r="K9302" i="58"/>
  <c r="L9302" i="58" s="1"/>
  <c r="L9296" i="58" s="1"/>
  <c r="P9301" i="58"/>
  <c r="O9301" i="58"/>
  <c r="O9300" i="58"/>
  <c r="P9300" i="58" s="1"/>
  <c r="I9300" i="58"/>
  <c r="J9300" i="58" s="1"/>
  <c r="P9299" i="58"/>
  <c r="O9299" i="58"/>
  <c r="I9299" i="58"/>
  <c r="J9299" i="58" s="1"/>
  <c r="O9298" i="58"/>
  <c r="P9298" i="58" s="1"/>
  <c r="I9298" i="58"/>
  <c r="J9298" i="58" s="1"/>
  <c r="P9297" i="58"/>
  <c r="O9297" i="58"/>
  <c r="O9296" i="58"/>
  <c r="P9296" i="58" s="1"/>
  <c r="Q9296" i="58" s="1"/>
  <c r="O9295" i="58"/>
  <c r="P9295" i="58" s="1"/>
  <c r="Q9295" i="58" s="1"/>
  <c r="R9295" i="58" s="1"/>
  <c r="N9295" i="58"/>
  <c r="O9294" i="58"/>
  <c r="P9294" i="58" s="1"/>
  <c r="P9293" i="58"/>
  <c r="O9293" i="58"/>
  <c r="O9292" i="58"/>
  <c r="P9292" i="58" s="1"/>
  <c r="K9292" i="58"/>
  <c r="L9292" i="58" s="1"/>
  <c r="L9286" i="58" s="1"/>
  <c r="P9291" i="58"/>
  <c r="O9291" i="58"/>
  <c r="P9290" i="58"/>
  <c r="O9290" i="58"/>
  <c r="I9290" i="58"/>
  <c r="J9290" i="58" s="1"/>
  <c r="O9289" i="58"/>
  <c r="P9289" i="58" s="1"/>
  <c r="I9289" i="58"/>
  <c r="J9289" i="58" s="1"/>
  <c r="O9288" i="58"/>
  <c r="P9288" i="58" s="1"/>
  <c r="I9288" i="58"/>
  <c r="J9288" i="58" s="1"/>
  <c r="O9287" i="58"/>
  <c r="P9287" i="58" s="1"/>
  <c r="P9286" i="58"/>
  <c r="Q9286" i="58" s="1"/>
  <c r="O9286" i="58"/>
  <c r="P9285" i="58"/>
  <c r="O9285" i="58"/>
  <c r="N9285" i="58"/>
  <c r="O9284" i="58"/>
  <c r="P9284" i="58" s="1"/>
  <c r="O9283" i="58"/>
  <c r="P9283" i="58" s="1"/>
  <c r="O9282" i="58"/>
  <c r="P9282" i="58" s="1"/>
  <c r="K9282" i="58"/>
  <c r="L9282" i="58" s="1"/>
  <c r="L9276" i="58" s="1"/>
  <c r="O9281" i="58"/>
  <c r="P9281" i="58" s="1"/>
  <c r="O9280" i="58"/>
  <c r="P9280" i="58" s="1"/>
  <c r="I9280" i="58"/>
  <c r="J9280" i="58" s="1"/>
  <c r="O9279" i="58"/>
  <c r="P9279" i="58" s="1"/>
  <c r="I9279" i="58"/>
  <c r="J9279" i="58" s="1"/>
  <c r="O9278" i="58"/>
  <c r="P9278" i="58" s="1"/>
  <c r="I9278" i="58"/>
  <c r="J9278" i="58" s="1"/>
  <c r="O9277" i="58"/>
  <c r="P9277" i="58" s="1"/>
  <c r="Q9276" i="58"/>
  <c r="O9276" i="58"/>
  <c r="P9276" i="58" s="1"/>
  <c r="O9275" i="58"/>
  <c r="P9275" i="58" s="1"/>
  <c r="O9274" i="58"/>
  <c r="P9274" i="58" s="1"/>
  <c r="O9273" i="58"/>
  <c r="P9273" i="58" s="1"/>
  <c r="O9272" i="58"/>
  <c r="P9272" i="58" s="1"/>
  <c r="K9272" i="58"/>
  <c r="L9272" i="58" s="1"/>
  <c r="L9266" i="58" s="1"/>
  <c r="O9271" i="58"/>
  <c r="P9271" i="58" s="1"/>
  <c r="O9270" i="58"/>
  <c r="P9270" i="58" s="1"/>
  <c r="J9270" i="58"/>
  <c r="I9270" i="58"/>
  <c r="O9269" i="58"/>
  <c r="P9269" i="58" s="1"/>
  <c r="I9269" i="58"/>
  <c r="J9269" i="58" s="1"/>
  <c r="O9268" i="58"/>
  <c r="P9268" i="58" s="1"/>
  <c r="I9268" i="58"/>
  <c r="J9268" i="58" s="1"/>
  <c r="P9267" i="58"/>
  <c r="O9267" i="58"/>
  <c r="O9266" i="58"/>
  <c r="P9266" i="58" s="1"/>
  <c r="Q9266" i="58" s="1"/>
  <c r="O9265" i="58"/>
  <c r="P9265" i="58" s="1"/>
  <c r="O9264" i="58"/>
  <c r="P9264" i="58" s="1"/>
  <c r="P9263" i="58"/>
  <c r="O9263" i="58"/>
  <c r="O9262" i="58"/>
  <c r="P9262" i="58" s="1"/>
  <c r="K9262" i="58"/>
  <c r="L9262" i="58" s="1"/>
  <c r="L9256" i="58" s="1"/>
  <c r="O9261" i="58"/>
  <c r="P9261" i="58" s="1"/>
  <c r="O9260" i="58"/>
  <c r="P9260" i="58" s="1"/>
  <c r="I9260" i="58"/>
  <c r="J9260" i="58" s="1"/>
  <c r="O9259" i="58"/>
  <c r="P9259" i="58" s="1"/>
  <c r="I9259" i="58"/>
  <c r="J9259" i="58" s="1"/>
  <c r="O9258" i="58"/>
  <c r="P9258" i="58" s="1"/>
  <c r="I9258" i="58"/>
  <c r="J9258" i="58" s="1"/>
  <c r="O9257" i="58"/>
  <c r="P9257" i="58" s="1"/>
  <c r="P9256" i="58"/>
  <c r="Q9256" i="58" s="1"/>
  <c r="O9256" i="58"/>
  <c r="P9255" i="58"/>
  <c r="O9255" i="58"/>
  <c r="O9254" i="58"/>
  <c r="P9254" i="58" s="1"/>
  <c r="O9253" i="58"/>
  <c r="P9253" i="58" s="1"/>
  <c r="P9252" i="58"/>
  <c r="O9252" i="58"/>
  <c r="K9252" i="58"/>
  <c r="L9252" i="58" s="1"/>
  <c r="L9246" i="58" s="1"/>
  <c r="O9251" i="58"/>
  <c r="P9251" i="58" s="1"/>
  <c r="O9250" i="58"/>
  <c r="P9250" i="58" s="1"/>
  <c r="I9250" i="58"/>
  <c r="J9250" i="58" s="1"/>
  <c r="O9249" i="58"/>
  <c r="P9249" i="58" s="1"/>
  <c r="I9249" i="58"/>
  <c r="J9249" i="58" s="1"/>
  <c r="O9248" i="58"/>
  <c r="P9248" i="58" s="1"/>
  <c r="I9248" i="58"/>
  <c r="J9248" i="58" s="1"/>
  <c r="O9247" i="58"/>
  <c r="P9247" i="58" s="1"/>
  <c r="P9246" i="58"/>
  <c r="Q9246" i="58" s="1"/>
  <c r="O9246" i="58"/>
  <c r="O9245" i="58"/>
  <c r="P9245" i="58" s="1"/>
  <c r="Q9245" i="58" s="1"/>
  <c r="R9245" i="58" s="1"/>
  <c r="O9244" i="58"/>
  <c r="P9244" i="58" s="1"/>
  <c r="P9243" i="58"/>
  <c r="O9243" i="58"/>
  <c r="O9242" i="58"/>
  <c r="P9242" i="58" s="1"/>
  <c r="K9242" i="58"/>
  <c r="L9242" i="58" s="1"/>
  <c r="L9236" i="58" s="1"/>
  <c r="O9241" i="58"/>
  <c r="P9241" i="58" s="1"/>
  <c r="O9240" i="58"/>
  <c r="P9240" i="58" s="1"/>
  <c r="I9240" i="58"/>
  <c r="J9240" i="58" s="1"/>
  <c r="O9239" i="58"/>
  <c r="P9239" i="58" s="1"/>
  <c r="I9239" i="58"/>
  <c r="J9239" i="58" s="1"/>
  <c r="P9238" i="58"/>
  <c r="O9238" i="58"/>
  <c r="I9238" i="58"/>
  <c r="J9238" i="58" s="1"/>
  <c r="O9237" i="58"/>
  <c r="P9237" i="58" s="1"/>
  <c r="O9236" i="58"/>
  <c r="P9236" i="58" s="1"/>
  <c r="Q9236" i="58" s="1"/>
  <c r="P9235" i="58"/>
  <c r="O9235" i="58"/>
  <c r="P9234" i="58"/>
  <c r="O9234" i="58"/>
  <c r="O9233" i="58"/>
  <c r="P9233" i="58" s="1"/>
  <c r="O9232" i="58"/>
  <c r="P9232" i="58" s="1"/>
  <c r="L9232" i="58"/>
  <c r="K9232" i="58"/>
  <c r="P9231" i="58"/>
  <c r="O9231" i="58"/>
  <c r="O9230" i="58"/>
  <c r="P9230" i="58" s="1"/>
  <c r="I9230" i="58"/>
  <c r="J9230" i="58" s="1"/>
  <c r="O9229" i="58"/>
  <c r="P9229" i="58" s="1"/>
  <c r="I9229" i="58"/>
  <c r="J9229" i="58" s="1"/>
  <c r="O9228" i="58"/>
  <c r="P9228" i="58" s="1"/>
  <c r="I9228" i="58"/>
  <c r="J9228" i="58" s="1"/>
  <c r="O9227" i="58"/>
  <c r="P9227" i="58" s="1"/>
  <c r="O9226" i="58"/>
  <c r="P9226" i="58" s="1"/>
  <c r="Q9226" i="58" s="1"/>
  <c r="L9226" i="58"/>
  <c r="O9225" i="58"/>
  <c r="P9225" i="58" s="1"/>
  <c r="N9225" i="58"/>
  <c r="P9224" i="58"/>
  <c r="O9224" i="58"/>
  <c r="O9223" i="58"/>
  <c r="P9223" i="58" s="1"/>
  <c r="O9222" i="58"/>
  <c r="P9222" i="58" s="1"/>
  <c r="K9222" i="58"/>
  <c r="L9222" i="58" s="1"/>
  <c r="L9216" i="58" s="1"/>
  <c r="O9221" i="58"/>
  <c r="P9221" i="58" s="1"/>
  <c r="O9220" i="58"/>
  <c r="P9220" i="58" s="1"/>
  <c r="J9220" i="58"/>
  <c r="I9220" i="58"/>
  <c r="O9219" i="58"/>
  <c r="P9219" i="58" s="1"/>
  <c r="I9219" i="58"/>
  <c r="J9219" i="58" s="1"/>
  <c r="O9218" i="58"/>
  <c r="P9218" i="58" s="1"/>
  <c r="I9218" i="58"/>
  <c r="J9218" i="58" s="1"/>
  <c r="O9217" i="58"/>
  <c r="P9217" i="58" s="1"/>
  <c r="O9216" i="58"/>
  <c r="P9216" i="58" s="1"/>
  <c r="Q9216" i="58" s="1"/>
  <c r="P9215" i="58"/>
  <c r="O9215" i="58"/>
  <c r="N9215" i="58"/>
  <c r="O9214" i="58"/>
  <c r="P9214" i="58" s="1"/>
  <c r="O9213" i="58"/>
  <c r="P9213" i="58" s="1"/>
  <c r="O9212" i="58"/>
  <c r="P9212" i="58" s="1"/>
  <c r="O9211" i="58"/>
  <c r="P9211" i="58" s="1"/>
  <c r="P9210" i="58"/>
  <c r="O9210" i="58"/>
  <c r="K9210" i="58"/>
  <c r="L9210" i="58" s="1"/>
  <c r="L9204" i="58" s="1"/>
  <c r="O9209" i="58"/>
  <c r="P9209" i="58" s="1"/>
  <c r="O9208" i="58"/>
  <c r="P9208" i="58" s="1"/>
  <c r="I9208" i="58"/>
  <c r="J9208" i="58" s="1"/>
  <c r="O9207" i="58"/>
  <c r="P9207" i="58" s="1"/>
  <c r="I9207" i="58"/>
  <c r="J9207" i="58" s="1"/>
  <c r="O9206" i="58"/>
  <c r="P9206" i="58" s="1"/>
  <c r="I9206" i="58"/>
  <c r="J9206" i="58" s="1"/>
  <c r="O9205" i="58"/>
  <c r="P9205" i="58" s="1"/>
  <c r="O9204" i="58"/>
  <c r="P9204" i="58" s="1"/>
  <c r="Q9204" i="58" s="1"/>
  <c r="O9203" i="58"/>
  <c r="P9203" i="58" s="1"/>
  <c r="O9202" i="58"/>
  <c r="P9202" i="58" s="1"/>
  <c r="O9201" i="58"/>
  <c r="P9201" i="58" s="1"/>
  <c r="O9200" i="58"/>
  <c r="P9200" i="58" s="1"/>
  <c r="O9199" i="58"/>
  <c r="P9199" i="58" s="1"/>
  <c r="O9198" i="58"/>
  <c r="P9198" i="58" s="1"/>
  <c r="L9198" i="58"/>
  <c r="L9192" i="58" s="1"/>
  <c r="K9198" i="58"/>
  <c r="O9197" i="58"/>
  <c r="P9197" i="58" s="1"/>
  <c r="O9196" i="58"/>
  <c r="P9196" i="58" s="1"/>
  <c r="I9196" i="58"/>
  <c r="J9196" i="58" s="1"/>
  <c r="O9195" i="58"/>
  <c r="P9195" i="58" s="1"/>
  <c r="I9195" i="58"/>
  <c r="J9195" i="58" s="1"/>
  <c r="O9194" i="58"/>
  <c r="P9194" i="58" s="1"/>
  <c r="I9194" i="58"/>
  <c r="J9194" i="58" s="1"/>
  <c r="O9193" i="58"/>
  <c r="P9193" i="58" s="1"/>
  <c r="O9192" i="58"/>
  <c r="P9192" i="58" s="1"/>
  <c r="Q9192" i="58" s="1"/>
  <c r="P9191" i="58"/>
  <c r="O9191" i="58"/>
  <c r="O9190" i="58"/>
  <c r="P9190" i="58" s="1"/>
  <c r="P9189" i="58"/>
  <c r="O9189" i="58"/>
  <c r="O9188" i="58"/>
  <c r="P9188" i="58" s="1"/>
  <c r="O9187" i="58"/>
  <c r="P9187" i="58" s="1"/>
  <c r="P9186" i="58"/>
  <c r="O9186" i="58"/>
  <c r="K9186" i="58"/>
  <c r="L9186" i="58" s="1"/>
  <c r="L9180" i="58" s="1"/>
  <c r="O9185" i="58"/>
  <c r="P9185" i="58" s="1"/>
  <c r="O9184" i="58"/>
  <c r="P9184" i="58" s="1"/>
  <c r="I9184" i="58"/>
  <c r="J9184" i="58" s="1"/>
  <c r="P9183" i="58"/>
  <c r="O9183" i="58"/>
  <c r="J9183" i="58"/>
  <c r="I9183" i="58"/>
  <c r="O9182" i="58"/>
  <c r="P9182" i="58" s="1"/>
  <c r="J9182" i="58"/>
  <c r="I9182" i="58"/>
  <c r="P9181" i="58"/>
  <c r="O9181" i="58"/>
  <c r="O9180" i="58"/>
  <c r="P9180" i="58" s="1"/>
  <c r="Q9180" i="58" s="1"/>
  <c r="O9179" i="58"/>
  <c r="P9179" i="58" s="1"/>
  <c r="N9179" i="58"/>
  <c r="O9178" i="58"/>
  <c r="P9178" i="58" s="1"/>
  <c r="N9178" i="58"/>
  <c r="P9177" i="58"/>
  <c r="O9177" i="58"/>
  <c r="P9176" i="58"/>
  <c r="O9176" i="58"/>
  <c r="O9175" i="58"/>
  <c r="P9175" i="58" s="1"/>
  <c r="O9174" i="58"/>
  <c r="P9174" i="58" s="1"/>
  <c r="K9174" i="58"/>
  <c r="L9174" i="58" s="1"/>
  <c r="L9168" i="58" s="1"/>
  <c r="O9173" i="58"/>
  <c r="P9173" i="58" s="1"/>
  <c r="O9172" i="58"/>
  <c r="P9172" i="58" s="1"/>
  <c r="I9172" i="58"/>
  <c r="J9172" i="58" s="1"/>
  <c r="O9171" i="58"/>
  <c r="P9171" i="58" s="1"/>
  <c r="I9171" i="58"/>
  <c r="J9171" i="58" s="1"/>
  <c r="O9170" i="58"/>
  <c r="P9170" i="58" s="1"/>
  <c r="I9170" i="58"/>
  <c r="J9170" i="58" s="1"/>
  <c r="O9169" i="58"/>
  <c r="P9169" i="58" s="1"/>
  <c r="O9168" i="58"/>
  <c r="P9168" i="58" s="1"/>
  <c r="Q9168" i="58" s="1"/>
  <c r="O9167" i="58"/>
  <c r="P9167" i="58" s="1"/>
  <c r="N9167" i="58"/>
  <c r="P9166" i="58"/>
  <c r="O9166" i="58"/>
  <c r="P9165" i="58"/>
  <c r="O9165" i="58"/>
  <c r="P9164" i="58"/>
  <c r="O9164" i="58"/>
  <c r="O9163" i="58"/>
  <c r="P9163" i="58" s="1"/>
  <c r="O9162" i="58"/>
  <c r="P9162" i="58" s="1"/>
  <c r="K9162" i="58"/>
  <c r="L9162" i="58" s="1"/>
  <c r="L9156" i="58" s="1"/>
  <c r="O9161" i="58"/>
  <c r="P9161" i="58" s="1"/>
  <c r="O9160" i="58"/>
  <c r="P9160" i="58" s="1"/>
  <c r="I9160" i="58"/>
  <c r="J9160" i="58" s="1"/>
  <c r="O9159" i="58"/>
  <c r="P9159" i="58" s="1"/>
  <c r="J9159" i="58"/>
  <c r="I9159" i="58"/>
  <c r="O9158" i="58"/>
  <c r="P9158" i="58" s="1"/>
  <c r="I9158" i="58"/>
  <c r="J9158" i="58" s="1"/>
  <c r="O9157" i="58"/>
  <c r="P9157" i="58" s="1"/>
  <c r="O9156" i="58"/>
  <c r="P9156" i="58" s="1"/>
  <c r="Q9156" i="58" s="1"/>
  <c r="P9155" i="58"/>
  <c r="O9155" i="58"/>
  <c r="O9154" i="58"/>
  <c r="P9154" i="58" s="1"/>
  <c r="P9153" i="58"/>
  <c r="O9153" i="58"/>
  <c r="O9152" i="58"/>
  <c r="P9152" i="58" s="1"/>
  <c r="L9152" i="58"/>
  <c r="L9146" i="58" s="1"/>
  <c r="K9152" i="58"/>
  <c r="O9151" i="58"/>
  <c r="P9151" i="58" s="1"/>
  <c r="O9150" i="58"/>
  <c r="P9150" i="58" s="1"/>
  <c r="I9150" i="58"/>
  <c r="J9150" i="58" s="1"/>
  <c r="O9149" i="58"/>
  <c r="P9149" i="58" s="1"/>
  <c r="I9149" i="58"/>
  <c r="J9149" i="58" s="1"/>
  <c r="P9148" i="58"/>
  <c r="O9148" i="58"/>
  <c r="I9148" i="58"/>
  <c r="J9148" i="58" s="1"/>
  <c r="O9147" i="58"/>
  <c r="P9147" i="58" s="1"/>
  <c r="O9146" i="58"/>
  <c r="P9146" i="58" s="1"/>
  <c r="Q9146" i="58" s="1"/>
  <c r="O9145" i="58"/>
  <c r="P9145" i="58" s="1"/>
  <c r="O9144" i="58"/>
  <c r="P9144" i="58" s="1"/>
  <c r="P9143" i="58"/>
  <c r="O9143" i="58"/>
  <c r="P9142" i="58"/>
  <c r="O9142" i="58"/>
  <c r="L9142" i="58"/>
  <c r="L9136" i="58" s="1"/>
  <c r="K9142" i="58"/>
  <c r="O9141" i="58"/>
  <c r="P9141" i="58" s="1"/>
  <c r="O9140" i="58"/>
  <c r="P9140" i="58" s="1"/>
  <c r="I9140" i="58"/>
  <c r="J9140" i="58" s="1"/>
  <c r="P9139" i="58"/>
  <c r="O9139" i="58"/>
  <c r="I9139" i="58"/>
  <c r="J9139" i="58" s="1"/>
  <c r="O9138" i="58"/>
  <c r="P9138" i="58" s="1"/>
  <c r="I9138" i="58"/>
  <c r="J9138" i="58" s="1"/>
  <c r="P9137" i="58"/>
  <c r="O9137" i="58"/>
  <c r="P9136" i="58"/>
  <c r="Q9136" i="58" s="1"/>
  <c r="O9136" i="58"/>
  <c r="P9135" i="58"/>
  <c r="O9135" i="58"/>
  <c r="O9134" i="58"/>
  <c r="P9134" i="58" s="1"/>
  <c r="O9133" i="58"/>
  <c r="P9133" i="58" s="1"/>
  <c r="O9132" i="58"/>
  <c r="P9132" i="58" s="1"/>
  <c r="K9132" i="58"/>
  <c r="L9132" i="58" s="1"/>
  <c r="L9126" i="58" s="1"/>
  <c r="O9131" i="58"/>
  <c r="P9131" i="58" s="1"/>
  <c r="P9130" i="58"/>
  <c r="O9130" i="58"/>
  <c r="I9130" i="58"/>
  <c r="J9130" i="58" s="1"/>
  <c r="O9129" i="58"/>
  <c r="P9129" i="58" s="1"/>
  <c r="I9129" i="58"/>
  <c r="J9129" i="58" s="1"/>
  <c r="O9128" i="58"/>
  <c r="P9128" i="58" s="1"/>
  <c r="I9128" i="58"/>
  <c r="J9128" i="58" s="1"/>
  <c r="P9127" i="58"/>
  <c r="O9127" i="58"/>
  <c r="P9126" i="58"/>
  <c r="Q9126" i="58" s="1"/>
  <c r="O9126" i="58"/>
  <c r="O9125" i="58"/>
  <c r="P9125" i="58" s="1"/>
  <c r="O9124" i="58"/>
  <c r="P9124" i="58" s="1"/>
  <c r="O9123" i="58"/>
  <c r="P9123" i="58" s="1"/>
  <c r="O9122" i="58"/>
  <c r="P9122" i="58" s="1"/>
  <c r="K9122" i="58"/>
  <c r="L9122" i="58" s="1"/>
  <c r="O9121" i="58"/>
  <c r="P9121" i="58" s="1"/>
  <c r="O9120" i="58"/>
  <c r="P9120" i="58" s="1"/>
  <c r="I9120" i="58"/>
  <c r="J9120" i="58" s="1"/>
  <c r="O9119" i="58"/>
  <c r="P9119" i="58" s="1"/>
  <c r="I9119" i="58"/>
  <c r="J9119" i="58" s="1"/>
  <c r="O9118" i="58"/>
  <c r="P9118" i="58" s="1"/>
  <c r="I9118" i="58"/>
  <c r="J9118" i="58" s="1"/>
  <c r="O9117" i="58"/>
  <c r="P9117" i="58" s="1"/>
  <c r="O9116" i="58"/>
  <c r="P9116" i="58" s="1"/>
  <c r="Q9116" i="58" s="1"/>
  <c r="L9116" i="58"/>
  <c r="O9115" i="58"/>
  <c r="P9115" i="58" s="1"/>
  <c r="O9114" i="58"/>
  <c r="P9114" i="58" s="1"/>
  <c r="O9113" i="58"/>
  <c r="P9113" i="58" s="1"/>
  <c r="O9112" i="58"/>
  <c r="P9112" i="58" s="1"/>
  <c r="K9112" i="58"/>
  <c r="L9112" i="58" s="1"/>
  <c r="L9106" i="58" s="1"/>
  <c r="O9111" i="58"/>
  <c r="P9111" i="58" s="1"/>
  <c r="P9110" i="58"/>
  <c r="O9110" i="58"/>
  <c r="J9110" i="58"/>
  <c r="I9110" i="58"/>
  <c r="O9109" i="58"/>
  <c r="P9109" i="58" s="1"/>
  <c r="J9109" i="58"/>
  <c r="I9109" i="58"/>
  <c r="O9108" i="58"/>
  <c r="P9108" i="58" s="1"/>
  <c r="I9108" i="58"/>
  <c r="J9108" i="58" s="1"/>
  <c r="O9107" i="58"/>
  <c r="P9107" i="58" s="1"/>
  <c r="O9106" i="58"/>
  <c r="P9106" i="58" s="1"/>
  <c r="Q9106" i="58" s="1"/>
  <c r="P9105" i="58"/>
  <c r="O9105" i="58"/>
  <c r="N9105" i="58"/>
  <c r="P9104" i="58"/>
  <c r="O9104" i="58"/>
  <c r="O9103" i="58"/>
  <c r="P9103" i="58" s="1"/>
  <c r="O9102" i="58"/>
  <c r="P9102" i="58" s="1"/>
  <c r="K9102" i="58"/>
  <c r="L9102" i="58" s="1"/>
  <c r="L9096" i="58" s="1"/>
  <c r="O9101" i="58"/>
  <c r="P9101" i="58" s="1"/>
  <c r="O9100" i="58"/>
  <c r="P9100" i="58" s="1"/>
  <c r="I9100" i="58"/>
  <c r="J9100" i="58" s="1"/>
  <c r="P9099" i="58"/>
  <c r="O9099" i="58"/>
  <c r="J9099" i="58"/>
  <c r="I9099" i="58"/>
  <c r="O9098" i="58"/>
  <c r="P9098" i="58" s="1"/>
  <c r="I9098" i="58"/>
  <c r="J9098" i="58" s="1"/>
  <c r="O9097" i="58"/>
  <c r="P9097" i="58" s="1"/>
  <c r="O9096" i="58"/>
  <c r="P9096" i="58" s="1"/>
  <c r="Q9096" i="58" s="1"/>
  <c r="O9095" i="58"/>
  <c r="P9095" i="58" s="1"/>
  <c r="Q9095" i="58" s="1"/>
  <c r="Q9094" i="58" s="1"/>
  <c r="R9094" i="58" s="1"/>
  <c r="N9095" i="58"/>
  <c r="P9094" i="58"/>
  <c r="O9094" i="58"/>
  <c r="O9093" i="58"/>
  <c r="P9093" i="58" s="1"/>
  <c r="O9092" i="58"/>
  <c r="P9092" i="58" s="1"/>
  <c r="K9092" i="58"/>
  <c r="L9092" i="58" s="1"/>
  <c r="L9086" i="58" s="1"/>
  <c r="P9091" i="58"/>
  <c r="O9091" i="58"/>
  <c r="O9090" i="58"/>
  <c r="P9090" i="58" s="1"/>
  <c r="I9090" i="58"/>
  <c r="J9090" i="58" s="1"/>
  <c r="P9089" i="58"/>
  <c r="O9089" i="58"/>
  <c r="I9089" i="58"/>
  <c r="J9089" i="58" s="1"/>
  <c r="O9088" i="58"/>
  <c r="P9088" i="58" s="1"/>
  <c r="I9088" i="58"/>
  <c r="J9088" i="58" s="1"/>
  <c r="O9087" i="58"/>
  <c r="P9087" i="58" s="1"/>
  <c r="O9086" i="58"/>
  <c r="P9086" i="58" s="1"/>
  <c r="Q9086" i="58" s="1"/>
  <c r="O9085" i="58"/>
  <c r="P9085" i="58" s="1"/>
  <c r="Q9085" i="58" s="1"/>
  <c r="R9085" i="58" s="1"/>
  <c r="O9084" i="58"/>
  <c r="P9084" i="58" s="1"/>
  <c r="Q9084" i="58" s="1"/>
  <c r="R9084" i="58" s="1"/>
  <c r="O9083" i="58"/>
  <c r="P9083" i="58" s="1"/>
  <c r="O9082" i="58"/>
  <c r="P9082" i="58" s="1"/>
  <c r="K9082" i="58"/>
  <c r="L9082" i="58" s="1"/>
  <c r="L9076" i="58" s="1"/>
  <c r="O9081" i="58"/>
  <c r="P9081" i="58" s="1"/>
  <c r="O9080" i="58"/>
  <c r="P9080" i="58" s="1"/>
  <c r="I9080" i="58"/>
  <c r="J9080" i="58" s="1"/>
  <c r="O9079" i="58"/>
  <c r="P9079" i="58" s="1"/>
  <c r="I9079" i="58"/>
  <c r="J9079" i="58" s="1"/>
  <c r="O9078" i="58"/>
  <c r="P9078" i="58" s="1"/>
  <c r="I9078" i="58"/>
  <c r="J9078" i="58" s="1"/>
  <c r="O9077" i="58"/>
  <c r="P9077" i="58" s="1"/>
  <c r="O9076" i="58"/>
  <c r="P9076" i="58" s="1"/>
  <c r="Q9076" i="58" s="1"/>
  <c r="P9075" i="58"/>
  <c r="Q9075" i="58" s="1"/>
  <c r="R9075" i="58" s="1"/>
  <c r="O9075" i="58"/>
  <c r="O9074" i="58"/>
  <c r="P9074" i="58" s="1"/>
  <c r="Q9074" i="58" s="1"/>
  <c r="R9074" i="58" s="1"/>
  <c r="O9073" i="58"/>
  <c r="P9073" i="58" s="1"/>
  <c r="O9072" i="58"/>
  <c r="P9072" i="58" s="1"/>
  <c r="O9071" i="58"/>
  <c r="P9071" i="58" s="1"/>
  <c r="O9070" i="58"/>
  <c r="P9070" i="58" s="1"/>
  <c r="K9070" i="58"/>
  <c r="L9070" i="58" s="1"/>
  <c r="L9064" i="58" s="1"/>
  <c r="O9069" i="58"/>
  <c r="P9069" i="58" s="1"/>
  <c r="O9068" i="58"/>
  <c r="P9068" i="58" s="1"/>
  <c r="I9068" i="58"/>
  <c r="J9068" i="58" s="1"/>
  <c r="O9067" i="58"/>
  <c r="P9067" i="58" s="1"/>
  <c r="J9067" i="58"/>
  <c r="I9067" i="58"/>
  <c r="O9066" i="58"/>
  <c r="P9066" i="58" s="1"/>
  <c r="I9066" i="58"/>
  <c r="J9066" i="58" s="1"/>
  <c r="P9065" i="58"/>
  <c r="O9065" i="58"/>
  <c r="O9064" i="58"/>
  <c r="P9064" i="58" s="1"/>
  <c r="Q9064" i="58" s="1"/>
  <c r="O9063" i="58"/>
  <c r="P9063" i="58" s="1"/>
  <c r="O9062" i="58"/>
  <c r="P9062" i="58" s="1"/>
  <c r="P9061" i="58"/>
  <c r="O9061" i="58"/>
  <c r="O9060" i="58"/>
  <c r="P9060" i="58" s="1"/>
  <c r="P9059" i="58"/>
  <c r="O9059" i="58"/>
  <c r="O9058" i="58"/>
  <c r="P9058" i="58" s="1"/>
  <c r="K9058" i="58"/>
  <c r="L9058" i="58" s="1"/>
  <c r="L9052" i="58" s="1"/>
  <c r="O9057" i="58"/>
  <c r="P9057" i="58" s="1"/>
  <c r="O9056" i="58"/>
  <c r="P9056" i="58" s="1"/>
  <c r="J9056" i="58"/>
  <c r="I9056" i="58"/>
  <c r="O9055" i="58"/>
  <c r="P9055" i="58" s="1"/>
  <c r="I9055" i="58"/>
  <c r="J9055" i="58" s="1"/>
  <c r="O9054" i="58"/>
  <c r="P9054" i="58" s="1"/>
  <c r="I9054" i="58"/>
  <c r="J9054" i="58" s="1"/>
  <c r="O9053" i="58"/>
  <c r="P9053" i="58" s="1"/>
  <c r="O9052" i="58"/>
  <c r="P9052" i="58" s="1"/>
  <c r="Q9052" i="58" s="1"/>
  <c r="O9051" i="58"/>
  <c r="P9051" i="58" s="1"/>
  <c r="Q9051" i="58" s="1"/>
  <c r="R9051" i="58" s="1"/>
  <c r="O9050" i="58"/>
  <c r="P9050" i="58" s="1"/>
  <c r="N9050" i="58"/>
  <c r="O9049" i="58"/>
  <c r="P9049" i="58" s="1"/>
  <c r="P9048" i="58"/>
  <c r="O9048" i="58"/>
  <c r="O9047" i="58"/>
  <c r="P9047" i="58" s="1"/>
  <c r="P9046" i="58"/>
  <c r="O9046" i="58"/>
  <c r="K9046" i="58"/>
  <c r="L9046" i="58" s="1"/>
  <c r="L9040" i="58" s="1"/>
  <c r="O9045" i="58"/>
  <c r="P9045" i="58" s="1"/>
  <c r="O9044" i="58"/>
  <c r="P9044" i="58" s="1"/>
  <c r="I9044" i="58"/>
  <c r="J9044" i="58" s="1"/>
  <c r="O9043" i="58"/>
  <c r="P9043" i="58" s="1"/>
  <c r="I9043" i="58"/>
  <c r="J9043" i="58" s="1"/>
  <c r="P9042" i="58"/>
  <c r="O9042" i="58"/>
  <c r="I9042" i="58"/>
  <c r="J9042" i="58" s="1"/>
  <c r="O9041" i="58"/>
  <c r="P9041" i="58" s="1"/>
  <c r="O9040" i="58"/>
  <c r="P9040" i="58" s="1"/>
  <c r="Q9040" i="58" s="1"/>
  <c r="O9039" i="58"/>
  <c r="P9039" i="58" s="1"/>
  <c r="O9038" i="58"/>
  <c r="P9038" i="58" s="1"/>
  <c r="O9037" i="58"/>
  <c r="P9037" i="58" s="1"/>
  <c r="O9036" i="58"/>
  <c r="P9036" i="58" s="1"/>
  <c r="O9035" i="58"/>
  <c r="P9035" i="58" s="1"/>
  <c r="O9034" i="58"/>
  <c r="P9034" i="58" s="1"/>
  <c r="K9034" i="58"/>
  <c r="L9034" i="58" s="1"/>
  <c r="L9028" i="58" s="1"/>
  <c r="P9033" i="58"/>
  <c r="O9033" i="58"/>
  <c r="O9032" i="58"/>
  <c r="P9032" i="58" s="1"/>
  <c r="I9032" i="58"/>
  <c r="J9032" i="58" s="1"/>
  <c r="O9031" i="58"/>
  <c r="P9031" i="58" s="1"/>
  <c r="I9031" i="58"/>
  <c r="J9031" i="58" s="1"/>
  <c r="O9030" i="58"/>
  <c r="P9030" i="58" s="1"/>
  <c r="I9030" i="58"/>
  <c r="J9030" i="58" s="1"/>
  <c r="O9029" i="58"/>
  <c r="P9029" i="58" s="1"/>
  <c r="Q9028" i="58"/>
  <c r="O9028" i="58"/>
  <c r="P9028" i="58" s="1"/>
  <c r="O9027" i="58"/>
  <c r="P9027" i="58" s="1"/>
  <c r="O9026" i="58"/>
  <c r="P9026" i="58" s="1"/>
  <c r="O9025" i="58"/>
  <c r="P9025" i="58" s="1"/>
  <c r="K9025" i="58"/>
  <c r="L9025" i="58" s="1"/>
  <c r="L9015" i="58" s="1"/>
  <c r="O9024" i="58"/>
  <c r="P9024" i="58" s="1"/>
  <c r="O9023" i="58"/>
  <c r="P9023" i="58" s="1"/>
  <c r="I9023" i="58"/>
  <c r="J9023" i="58" s="1"/>
  <c r="O9022" i="58"/>
  <c r="P9022" i="58" s="1"/>
  <c r="I9022" i="58"/>
  <c r="J9022" i="58" s="1"/>
  <c r="O9021" i="58"/>
  <c r="P9021" i="58" s="1"/>
  <c r="I9021" i="58"/>
  <c r="J9021" i="58" s="1"/>
  <c r="O9020" i="58"/>
  <c r="P9020" i="58" s="1"/>
  <c r="I9020" i="58"/>
  <c r="J9020" i="58" s="1"/>
  <c r="O9019" i="58"/>
  <c r="P9019" i="58" s="1"/>
  <c r="I9019" i="58"/>
  <c r="J9019" i="58" s="1"/>
  <c r="O9018" i="58"/>
  <c r="P9018" i="58" s="1"/>
  <c r="I9018" i="58"/>
  <c r="J9018" i="58" s="1"/>
  <c r="P9017" i="58"/>
  <c r="O9017" i="58"/>
  <c r="I9017" i="58"/>
  <c r="J9017" i="58" s="1"/>
  <c r="O9016" i="58"/>
  <c r="P9016" i="58" s="1"/>
  <c r="O9015" i="58"/>
  <c r="P9015" i="58" s="1"/>
  <c r="Q9015" i="58" s="1"/>
  <c r="O9014" i="58"/>
  <c r="P9014" i="58" s="1"/>
  <c r="Q9014" i="58" s="1"/>
  <c r="R9014" i="58" s="1"/>
  <c r="O9013" i="58"/>
  <c r="P9013" i="58" s="1"/>
  <c r="O9012" i="58"/>
  <c r="P9012" i="58" s="1"/>
  <c r="K9012" i="58"/>
  <c r="L9012" i="58" s="1"/>
  <c r="L9002" i="58" s="1"/>
  <c r="O9011" i="58"/>
  <c r="P9011" i="58" s="1"/>
  <c r="P9010" i="58"/>
  <c r="O9010" i="58"/>
  <c r="I9010" i="58"/>
  <c r="J9010" i="58" s="1"/>
  <c r="O9009" i="58"/>
  <c r="P9009" i="58" s="1"/>
  <c r="I9009" i="58"/>
  <c r="J9009" i="58" s="1"/>
  <c r="P9008" i="58"/>
  <c r="O9008" i="58"/>
  <c r="I9008" i="58"/>
  <c r="J9008" i="58" s="1"/>
  <c r="O9007" i="58"/>
  <c r="P9007" i="58" s="1"/>
  <c r="I9007" i="58"/>
  <c r="J9007" i="58" s="1"/>
  <c r="O9006" i="58"/>
  <c r="P9006" i="58" s="1"/>
  <c r="I9006" i="58"/>
  <c r="J9006" i="58" s="1"/>
  <c r="O9005" i="58"/>
  <c r="P9005" i="58" s="1"/>
  <c r="I9005" i="58"/>
  <c r="J9005" i="58" s="1"/>
  <c r="O9004" i="58"/>
  <c r="P9004" i="58" s="1"/>
  <c r="I9004" i="58"/>
  <c r="J9004" i="58" s="1"/>
  <c r="O9003" i="58"/>
  <c r="P9003" i="58" s="1"/>
  <c r="O9002" i="58"/>
  <c r="P9002" i="58" s="1"/>
  <c r="Q9002" i="58" s="1"/>
  <c r="O9001" i="58"/>
  <c r="P9001" i="58" s="1"/>
  <c r="O9000" i="58"/>
  <c r="P9000" i="58" s="1"/>
  <c r="O8999" i="58"/>
  <c r="P8999" i="58" s="1"/>
  <c r="K8999" i="58"/>
  <c r="L8999" i="58" s="1"/>
  <c r="L8989" i="58" s="1"/>
  <c r="O8998" i="58"/>
  <c r="P8998" i="58" s="1"/>
  <c r="O8997" i="58"/>
  <c r="P8997" i="58" s="1"/>
  <c r="I8997" i="58"/>
  <c r="J8997" i="58" s="1"/>
  <c r="P8996" i="58"/>
  <c r="O8996" i="58"/>
  <c r="I8996" i="58"/>
  <c r="J8996" i="58" s="1"/>
  <c r="O8995" i="58"/>
  <c r="P8995" i="58" s="1"/>
  <c r="I8995" i="58"/>
  <c r="J8995" i="58" s="1"/>
  <c r="O8994" i="58"/>
  <c r="P8994" i="58" s="1"/>
  <c r="I8994" i="58"/>
  <c r="J8994" i="58" s="1"/>
  <c r="O8993" i="58"/>
  <c r="P8993" i="58" s="1"/>
  <c r="I8993" i="58"/>
  <c r="J8993" i="58" s="1"/>
  <c r="O8992" i="58"/>
  <c r="P8992" i="58" s="1"/>
  <c r="I8992" i="58"/>
  <c r="J8992" i="58" s="1"/>
  <c r="O8991" i="58"/>
  <c r="P8991" i="58" s="1"/>
  <c r="I8991" i="58"/>
  <c r="J8991" i="58" s="1"/>
  <c r="O8990" i="58"/>
  <c r="P8990" i="58" s="1"/>
  <c r="O8989" i="58"/>
  <c r="P8989" i="58" s="1"/>
  <c r="Q8989" i="58" s="1"/>
  <c r="O8988" i="58"/>
  <c r="P8988" i="58" s="1"/>
  <c r="Q8988" i="58" s="1"/>
  <c r="R8988" i="58" s="1"/>
  <c r="O8987" i="58"/>
  <c r="P8987" i="58" s="1"/>
  <c r="O8986" i="58"/>
  <c r="P8986" i="58" s="1"/>
  <c r="K8986" i="58"/>
  <c r="L8986" i="58" s="1"/>
  <c r="L8976" i="58" s="1"/>
  <c r="O8985" i="58"/>
  <c r="P8985" i="58" s="1"/>
  <c r="O8984" i="58"/>
  <c r="P8984" i="58" s="1"/>
  <c r="I8984" i="58"/>
  <c r="J8984" i="58" s="1"/>
  <c r="O8983" i="58"/>
  <c r="P8983" i="58" s="1"/>
  <c r="I8983" i="58"/>
  <c r="J8983" i="58" s="1"/>
  <c r="O8982" i="58"/>
  <c r="P8982" i="58" s="1"/>
  <c r="J8982" i="58"/>
  <c r="I8982" i="58"/>
  <c r="P8981" i="58"/>
  <c r="O8981" i="58"/>
  <c r="I8981" i="58"/>
  <c r="J8981" i="58" s="1"/>
  <c r="P8980" i="58"/>
  <c r="O8980" i="58"/>
  <c r="I8980" i="58"/>
  <c r="J8980" i="58" s="1"/>
  <c r="O8979" i="58"/>
  <c r="P8979" i="58" s="1"/>
  <c r="I8979" i="58"/>
  <c r="J8979" i="58" s="1"/>
  <c r="O8978" i="58"/>
  <c r="P8978" i="58" s="1"/>
  <c r="I8978" i="58"/>
  <c r="J8978" i="58" s="1"/>
  <c r="O8977" i="58"/>
  <c r="P8977" i="58" s="1"/>
  <c r="O8976" i="58"/>
  <c r="P8976" i="58" s="1"/>
  <c r="Q8976" i="58" s="1"/>
  <c r="P8975" i="58"/>
  <c r="O8975" i="58"/>
  <c r="P8974" i="58"/>
  <c r="O8974" i="58"/>
  <c r="O8973" i="58"/>
  <c r="P8973" i="58" s="1"/>
  <c r="K8973" i="58"/>
  <c r="L8973" i="58" s="1"/>
  <c r="L8963" i="58" s="1"/>
  <c r="O8972" i="58"/>
  <c r="P8972" i="58" s="1"/>
  <c r="O8971" i="58"/>
  <c r="P8971" i="58" s="1"/>
  <c r="I8971" i="58"/>
  <c r="J8971" i="58" s="1"/>
  <c r="O8970" i="58"/>
  <c r="P8970" i="58" s="1"/>
  <c r="I8970" i="58"/>
  <c r="J8970" i="58" s="1"/>
  <c r="O8969" i="58"/>
  <c r="P8969" i="58" s="1"/>
  <c r="I8969" i="58"/>
  <c r="J8969" i="58" s="1"/>
  <c r="O8968" i="58"/>
  <c r="P8968" i="58" s="1"/>
  <c r="I8968" i="58"/>
  <c r="J8968" i="58" s="1"/>
  <c r="O8967" i="58"/>
  <c r="P8967" i="58" s="1"/>
  <c r="I8967" i="58"/>
  <c r="J8967" i="58" s="1"/>
  <c r="O8966" i="58"/>
  <c r="P8966" i="58" s="1"/>
  <c r="I8966" i="58"/>
  <c r="J8966" i="58" s="1"/>
  <c r="O8965" i="58"/>
  <c r="P8965" i="58" s="1"/>
  <c r="I8965" i="58"/>
  <c r="J8965" i="58" s="1"/>
  <c r="O8964" i="58"/>
  <c r="P8964" i="58" s="1"/>
  <c r="P8963" i="58"/>
  <c r="Q8963" i="58" s="1"/>
  <c r="O8963" i="58"/>
  <c r="O8962" i="58"/>
  <c r="P8962" i="58" s="1"/>
  <c r="P8961" i="58"/>
  <c r="O8961" i="58"/>
  <c r="O8960" i="58"/>
  <c r="P8960" i="58" s="1"/>
  <c r="K8960" i="58"/>
  <c r="L8960" i="58" s="1"/>
  <c r="L8950" i="58" s="1"/>
  <c r="P8959" i="58"/>
  <c r="O8959" i="58"/>
  <c r="O8958" i="58"/>
  <c r="P8958" i="58" s="1"/>
  <c r="I8958" i="58"/>
  <c r="J8958" i="58" s="1"/>
  <c r="O8957" i="58"/>
  <c r="P8957" i="58" s="1"/>
  <c r="I8957" i="58"/>
  <c r="J8957" i="58" s="1"/>
  <c r="O8956" i="58"/>
  <c r="P8956" i="58" s="1"/>
  <c r="J8956" i="58"/>
  <c r="I8956" i="58"/>
  <c r="O8955" i="58"/>
  <c r="P8955" i="58" s="1"/>
  <c r="I8955" i="58"/>
  <c r="J8955" i="58" s="1"/>
  <c r="O8954" i="58"/>
  <c r="P8954" i="58" s="1"/>
  <c r="I8954" i="58"/>
  <c r="J8954" i="58" s="1"/>
  <c r="O8953" i="58"/>
  <c r="P8953" i="58" s="1"/>
  <c r="I8953" i="58"/>
  <c r="J8953" i="58" s="1"/>
  <c r="O8952" i="58"/>
  <c r="P8952" i="58" s="1"/>
  <c r="I8952" i="58"/>
  <c r="J8952" i="58" s="1"/>
  <c r="O8951" i="58"/>
  <c r="P8951" i="58" s="1"/>
  <c r="O8950" i="58"/>
  <c r="P8950" i="58" s="1"/>
  <c r="Q8950" i="58" s="1"/>
  <c r="P8949" i="58"/>
  <c r="O8949" i="58"/>
  <c r="P8948" i="58"/>
  <c r="O8948" i="58"/>
  <c r="O8947" i="58"/>
  <c r="P8947" i="58" s="1"/>
  <c r="K8947" i="58"/>
  <c r="L8947" i="58" s="1"/>
  <c r="L8937" i="58" s="1"/>
  <c r="O8946" i="58"/>
  <c r="P8946" i="58" s="1"/>
  <c r="O8945" i="58"/>
  <c r="P8945" i="58" s="1"/>
  <c r="I8945" i="58"/>
  <c r="J8945" i="58" s="1"/>
  <c r="O8944" i="58"/>
  <c r="P8944" i="58" s="1"/>
  <c r="I8944" i="58"/>
  <c r="J8944" i="58" s="1"/>
  <c r="O8943" i="58"/>
  <c r="P8943" i="58" s="1"/>
  <c r="I8943" i="58"/>
  <c r="J8943" i="58" s="1"/>
  <c r="O8942" i="58"/>
  <c r="P8942" i="58" s="1"/>
  <c r="I8942" i="58"/>
  <c r="J8942" i="58" s="1"/>
  <c r="O8941" i="58"/>
  <c r="P8941" i="58" s="1"/>
  <c r="I8941" i="58"/>
  <c r="J8941" i="58" s="1"/>
  <c r="O8940" i="58"/>
  <c r="P8940" i="58" s="1"/>
  <c r="I8940" i="58"/>
  <c r="J8940" i="58" s="1"/>
  <c r="O8939" i="58"/>
  <c r="P8939" i="58" s="1"/>
  <c r="I8939" i="58"/>
  <c r="J8939" i="58" s="1"/>
  <c r="O8938" i="58"/>
  <c r="P8938" i="58" s="1"/>
  <c r="P8937" i="58"/>
  <c r="Q8937" i="58" s="1"/>
  <c r="Q8936" i="58" s="1"/>
  <c r="R8936" i="58" s="1"/>
  <c r="O8937" i="58"/>
  <c r="O8936" i="58"/>
  <c r="P8936" i="58" s="1"/>
  <c r="O8935" i="58"/>
  <c r="P8935" i="58" s="1"/>
  <c r="O8934" i="58"/>
  <c r="P8934" i="58" s="1"/>
  <c r="K8934" i="58"/>
  <c r="L8934" i="58" s="1"/>
  <c r="L8924" i="58" s="1"/>
  <c r="P8933" i="58"/>
  <c r="O8933" i="58"/>
  <c r="P8932" i="58"/>
  <c r="O8932" i="58"/>
  <c r="I8932" i="58"/>
  <c r="J8932" i="58" s="1"/>
  <c r="O8931" i="58"/>
  <c r="P8931" i="58" s="1"/>
  <c r="J8931" i="58"/>
  <c r="I8931" i="58"/>
  <c r="P8930" i="58"/>
  <c r="O8930" i="58"/>
  <c r="I8930" i="58"/>
  <c r="J8930" i="58" s="1"/>
  <c r="P8929" i="58"/>
  <c r="O8929" i="58"/>
  <c r="I8929" i="58"/>
  <c r="J8929" i="58" s="1"/>
  <c r="O8928" i="58"/>
  <c r="P8928" i="58" s="1"/>
  <c r="I8928" i="58"/>
  <c r="J8928" i="58" s="1"/>
  <c r="O8927" i="58"/>
  <c r="P8927" i="58" s="1"/>
  <c r="I8927" i="58"/>
  <c r="J8927" i="58" s="1"/>
  <c r="P8926" i="58"/>
  <c r="O8926" i="58"/>
  <c r="I8926" i="58"/>
  <c r="J8926" i="58" s="1"/>
  <c r="O8925" i="58"/>
  <c r="P8925" i="58" s="1"/>
  <c r="O8924" i="58"/>
  <c r="P8924" i="58" s="1"/>
  <c r="Q8924" i="58" s="1"/>
  <c r="O8923" i="58"/>
  <c r="P8923" i="58" s="1"/>
  <c r="Q8923" i="58" s="1"/>
  <c r="R8923" i="58" s="1"/>
  <c r="O8922" i="58"/>
  <c r="P8922" i="58" s="1"/>
  <c r="O8921" i="58"/>
  <c r="P8921" i="58" s="1"/>
  <c r="K8921" i="58"/>
  <c r="L8921" i="58" s="1"/>
  <c r="L8911" i="58" s="1"/>
  <c r="O8920" i="58"/>
  <c r="P8920" i="58" s="1"/>
  <c r="O8919" i="58"/>
  <c r="P8919" i="58" s="1"/>
  <c r="I8919" i="58"/>
  <c r="J8919" i="58" s="1"/>
  <c r="O8918" i="58"/>
  <c r="P8918" i="58" s="1"/>
  <c r="I8918" i="58"/>
  <c r="J8918" i="58" s="1"/>
  <c r="O8917" i="58"/>
  <c r="P8917" i="58" s="1"/>
  <c r="I8917" i="58"/>
  <c r="J8917" i="58" s="1"/>
  <c r="O8916" i="58"/>
  <c r="P8916" i="58" s="1"/>
  <c r="I8916" i="58"/>
  <c r="J8916" i="58" s="1"/>
  <c r="O8915" i="58"/>
  <c r="P8915" i="58" s="1"/>
  <c r="I8915" i="58"/>
  <c r="J8915" i="58" s="1"/>
  <c r="O8914" i="58"/>
  <c r="P8914" i="58" s="1"/>
  <c r="I8914" i="58"/>
  <c r="J8914" i="58" s="1"/>
  <c r="O8913" i="58"/>
  <c r="P8913" i="58" s="1"/>
  <c r="I8913" i="58"/>
  <c r="J8913" i="58" s="1"/>
  <c r="O8912" i="58"/>
  <c r="P8912" i="58" s="1"/>
  <c r="O8911" i="58"/>
  <c r="P8911" i="58" s="1"/>
  <c r="Q8911" i="58" s="1"/>
  <c r="O8910" i="58"/>
  <c r="P8910" i="58" s="1"/>
  <c r="N8910" i="58"/>
  <c r="N8898" i="58" s="1"/>
  <c r="O8909" i="58"/>
  <c r="P8909" i="58" s="1"/>
  <c r="O8908" i="58"/>
  <c r="P8908" i="58" s="1"/>
  <c r="K8908" i="58"/>
  <c r="L8908" i="58" s="1"/>
  <c r="L8898" i="58" s="1"/>
  <c r="O8907" i="58"/>
  <c r="P8907" i="58" s="1"/>
  <c r="O8906" i="58"/>
  <c r="P8906" i="58" s="1"/>
  <c r="I8906" i="58"/>
  <c r="J8906" i="58" s="1"/>
  <c r="P8905" i="58"/>
  <c r="O8905" i="58"/>
  <c r="J8905" i="58"/>
  <c r="I8905" i="58"/>
  <c r="O8904" i="58"/>
  <c r="P8904" i="58" s="1"/>
  <c r="I8904" i="58"/>
  <c r="J8904" i="58" s="1"/>
  <c r="P8903" i="58"/>
  <c r="O8903" i="58"/>
  <c r="I8903" i="58"/>
  <c r="J8903" i="58" s="1"/>
  <c r="O8902" i="58"/>
  <c r="P8902" i="58" s="1"/>
  <c r="I8902" i="58"/>
  <c r="J8902" i="58" s="1"/>
  <c r="O8901" i="58"/>
  <c r="P8901" i="58" s="1"/>
  <c r="I8901" i="58"/>
  <c r="J8901" i="58" s="1"/>
  <c r="O8900" i="58"/>
  <c r="P8900" i="58" s="1"/>
  <c r="I8900" i="58"/>
  <c r="J8900" i="58" s="1"/>
  <c r="P8899" i="58"/>
  <c r="O8899" i="58"/>
  <c r="O8898" i="58"/>
  <c r="P8898" i="58" s="1"/>
  <c r="Q8898" i="58" s="1"/>
  <c r="P8897" i="58"/>
  <c r="Q8897" i="58" s="1"/>
  <c r="O8897" i="58"/>
  <c r="O8896" i="58"/>
  <c r="P8896" i="58" s="1"/>
  <c r="P8895" i="58"/>
  <c r="O8895" i="58"/>
  <c r="K8895" i="58"/>
  <c r="L8895" i="58" s="1"/>
  <c r="O8894" i="58"/>
  <c r="P8894" i="58" s="1"/>
  <c r="O8893" i="58"/>
  <c r="P8893" i="58" s="1"/>
  <c r="I8893" i="58"/>
  <c r="J8893" i="58" s="1"/>
  <c r="O8892" i="58"/>
  <c r="P8892" i="58" s="1"/>
  <c r="I8892" i="58"/>
  <c r="J8892" i="58" s="1"/>
  <c r="O8891" i="58"/>
  <c r="P8891" i="58" s="1"/>
  <c r="I8891" i="58"/>
  <c r="J8891" i="58" s="1"/>
  <c r="O8890" i="58"/>
  <c r="P8890" i="58" s="1"/>
  <c r="I8890" i="58"/>
  <c r="J8890" i="58" s="1"/>
  <c r="O8889" i="58"/>
  <c r="P8889" i="58" s="1"/>
  <c r="I8889" i="58"/>
  <c r="J8889" i="58" s="1"/>
  <c r="O8888" i="58"/>
  <c r="P8888" i="58" s="1"/>
  <c r="I8888" i="58"/>
  <c r="J8888" i="58" s="1"/>
  <c r="O8887" i="58"/>
  <c r="P8887" i="58" s="1"/>
  <c r="I8887" i="58"/>
  <c r="J8887" i="58" s="1"/>
  <c r="O8886" i="58"/>
  <c r="P8886" i="58" s="1"/>
  <c r="O8885" i="58"/>
  <c r="P8885" i="58" s="1"/>
  <c r="Q8885" i="58" s="1"/>
  <c r="L8885" i="58"/>
  <c r="O8884" i="58"/>
  <c r="P8884" i="58" s="1"/>
  <c r="N8884" i="58"/>
  <c r="N8872" i="58" s="1"/>
  <c r="P8883" i="58"/>
  <c r="O8883" i="58"/>
  <c r="P8882" i="58"/>
  <c r="O8882" i="58"/>
  <c r="K8882" i="58"/>
  <c r="L8882" i="58" s="1"/>
  <c r="L8872" i="58" s="1"/>
  <c r="O8881" i="58"/>
  <c r="P8881" i="58" s="1"/>
  <c r="O8880" i="58"/>
  <c r="P8880" i="58" s="1"/>
  <c r="I8880" i="58"/>
  <c r="J8880" i="58" s="1"/>
  <c r="O8879" i="58"/>
  <c r="P8879" i="58" s="1"/>
  <c r="I8879" i="58"/>
  <c r="J8879" i="58" s="1"/>
  <c r="O8878" i="58"/>
  <c r="P8878" i="58" s="1"/>
  <c r="I8878" i="58"/>
  <c r="J8878" i="58" s="1"/>
  <c r="P8877" i="58"/>
  <c r="O8877" i="58"/>
  <c r="I8877" i="58"/>
  <c r="J8877" i="58" s="1"/>
  <c r="O8876" i="58"/>
  <c r="P8876" i="58" s="1"/>
  <c r="J8876" i="58"/>
  <c r="I8876" i="58"/>
  <c r="O8875" i="58"/>
  <c r="P8875" i="58" s="1"/>
  <c r="I8875" i="58"/>
  <c r="J8875" i="58" s="1"/>
  <c r="O8874" i="58"/>
  <c r="P8874" i="58" s="1"/>
  <c r="J8874" i="58"/>
  <c r="I8874" i="58"/>
  <c r="O8873" i="58"/>
  <c r="P8873" i="58" s="1"/>
  <c r="O8872" i="58"/>
  <c r="P8872" i="58" s="1"/>
  <c r="Q8872" i="58" s="1"/>
  <c r="P8871" i="58"/>
  <c r="O8871" i="58"/>
  <c r="N8871" i="58"/>
  <c r="N8859" i="58" s="1"/>
  <c r="O8870" i="58"/>
  <c r="P8870" i="58" s="1"/>
  <c r="O8869" i="58"/>
  <c r="P8869" i="58" s="1"/>
  <c r="K8869" i="58"/>
  <c r="L8869" i="58" s="1"/>
  <c r="L8859" i="58" s="1"/>
  <c r="O8868" i="58"/>
  <c r="P8868" i="58" s="1"/>
  <c r="O8867" i="58"/>
  <c r="P8867" i="58" s="1"/>
  <c r="I8867" i="58"/>
  <c r="J8867" i="58" s="1"/>
  <c r="O8866" i="58"/>
  <c r="P8866" i="58" s="1"/>
  <c r="I8866" i="58"/>
  <c r="J8866" i="58" s="1"/>
  <c r="P8865" i="58"/>
  <c r="O8865" i="58"/>
  <c r="I8865" i="58"/>
  <c r="J8865" i="58" s="1"/>
  <c r="P8864" i="58"/>
  <c r="O8864" i="58"/>
  <c r="I8864" i="58"/>
  <c r="J8864" i="58" s="1"/>
  <c r="O8863" i="58"/>
  <c r="P8863" i="58" s="1"/>
  <c r="I8863" i="58"/>
  <c r="J8863" i="58" s="1"/>
  <c r="O8862" i="58"/>
  <c r="P8862" i="58" s="1"/>
  <c r="I8862" i="58"/>
  <c r="J8862" i="58" s="1"/>
  <c r="O8861" i="58"/>
  <c r="P8861" i="58" s="1"/>
  <c r="I8861" i="58"/>
  <c r="J8861" i="58" s="1"/>
  <c r="P8860" i="58"/>
  <c r="O8860" i="58"/>
  <c r="O8859" i="58"/>
  <c r="P8859" i="58" s="1"/>
  <c r="Q8859" i="58" s="1"/>
  <c r="P8858" i="58"/>
  <c r="O8858" i="58"/>
  <c r="P8857" i="58"/>
  <c r="O8857" i="58"/>
  <c r="O8856" i="58"/>
  <c r="P8856" i="58" s="1"/>
  <c r="K8856" i="58"/>
  <c r="L8856" i="58" s="1"/>
  <c r="L8846" i="58" s="1"/>
  <c r="P8855" i="58"/>
  <c r="O8855" i="58"/>
  <c r="P8854" i="58"/>
  <c r="O8854" i="58"/>
  <c r="I8854" i="58"/>
  <c r="J8854" i="58" s="1"/>
  <c r="P8853" i="58"/>
  <c r="O8853" i="58"/>
  <c r="I8853" i="58"/>
  <c r="J8853" i="58" s="1"/>
  <c r="O8852" i="58"/>
  <c r="P8852" i="58" s="1"/>
  <c r="I8852" i="58"/>
  <c r="J8852" i="58" s="1"/>
  <c r="P8851" i="58"/>
  <c r="O8851" i="58"/>
  <c r="I8851" i="58"/>
  <c r="J8851" i="58" s="1"/>
  <c r="O8850" i="58"/>
  <c r="P8850" i="58" s="1"/>
  <c r="I8850" i="58"/>
  <c r="J8850" i="58" s="1"/>
  <c r="O8849" i="58"/>
  <c r="P8849" i="58" s="1"/>
  <c r="I8849" i="58"/>
  <c r="J8849" i="58" s="1"/>
  <c r="P8848" i="58"/>
  <c r="O8848" i="58"/>
  <c r="I8848" i="58"/>
  <c r="J8848" i="58" s="1"/>
  <c r="O8847" i="58"/>
  <c r="P8847" i="58" s="1"/>
  <c r="O8846" i="58"/>
  <c r="P8846" i="58" s="1"/>
  <c r="Q8846" i="58" s="1"/>
  <c r="P8845" i="58"/>
  <c r="O8845" i="58"/>
  <c r="N8845" i="58"/>
  <c r="N8832" i="58" s="1"/>
  <c r="O8844" i="58"/>
  <c r="P8844" i="58" s="1"/>
  <c r="P8843" i="58"/>
  <c r="O8843" i="58"/>
  <c r="K8843" i="58"/>
  <c r="L8843" i="58" s="1"/>
  <c r="L8832" i="58" s="1"/>
  <c r="O8842" i="58"/>
  <c r="P8842" i="58" s="1"/>
  <c r="P8841" i="58"/>
  <c r="O8841" i="58"/>
  <c r="I8841" i="58"/>
  <c r="J8841" i="58" s="1"/>
  <c r="O8840" i="58"/>
  <c r="P8840" i="58" s="1"/>
  <c r="I8840" i="58"/>
  <c r="J8840" i="58" s="1"/>
  <c r="O8839" i="58"/>
  <c r="P8839" i="58" s="1"/>
  <c r="I8839" i="58"/>
  <c r="J8839" i="58" s="1"/>
  <c r="O8838" i="58"/>
  <c r="P8838" i="58" s="1"/>
  <c r="I8838" i="58"/>
  <c r="J8838" i="58" s="1"/>
  <c r="P8837" i="58"/>
  <c r="O8837" i="58"/>
  <c r="I8837" i="58"/>
  <c r="J8837" i="58" s="1"/>
  <c r="O8836" i="58"/>
  <c r="P8836" i="58" s="1"/>
  <c r="I8836" i="58"/>
  <c r="J8836" i="58" s="1"/>
  <c r="O8835" i="58"/>
  <c r="P8835" i="58" s="1"/>
  <c r="I8835" i="58"/>
  <c r="J8835" i="58" s="1"/>
  <c r="O8834" i="58"/>
  <c r="P8834" i="58" s="1"/>
  <c r="I8834" i="58"/>
  <c r="J8834" i="58" s="1"/>
  <c r="O8833" i="58"/>
  <c r="P8833" i="58" s="1"/>
  <c r="O8832" i="58"/>
  <c r="P8832" i="58" s="1"/>
  <c r="Q8832" i="58" s="1"/>
  <c r="O8831" i="58"/>
  <c r="P8831" i="58" s="1"/>
  <c r="O8830" i="58"/>
  <c r="P8830" i="58" s="1"/>
  <c r="O8829" i="58"/>
  <c r="P8829" i="58" s="1"/>
  <c r="K8829" i="58"/>
  <c r="L8829" i="58" s="1"/>
  <c r="L8818" i="58" s="1"/>
  <c r="O8828" i="58"/>
  <c r="P8828" i="58" s="1"/>
  <c r="P8827" i="58"/>
  <c r="O8827" i="58"/>
  <c r="I8827" i="58"/>
  <c r="J8827" i="58" s="1"/>
  <c r="O8826" i="58"/>
  <c r="P8826" i="58" s="1"/>
  <c r="I8826" i="58"/>
  <c r="J8826" i="58" s="1"/>
  <c r="O8825" i="58"/>
  <c r="P8825" i="58" s="1"/>
  <c r="I8825" i="58"/>
  <c r="J8825" i="58" s="1"/>
  <c r="O8824" i="58"/>
  <c r="P8824" i="58" s="1"/>
  <c r="I8824" i="58"/>
  <c r="J8824" i="58" s="1"/>
  <c r="O8823" i="58"/>
  <c r="P8823" i="58" s="1"/>
  <c r="I8823" i="58"/>
  <c r="J8823" i="58" s="1"/>
  <c r="P8822" i="58"/>
  <c r="O8822" i="58"/>
  <c r="I8822" i="58"/>
  <c r="J8822" i="58" s="1"/>
  <c r="O8821" i="58"/>
  <c r="P8821" i="58" s="1"/>
  <c r="I8821" i="58"/>
  <c r="J8821" i="58" s="1"/>
  <c r="P8820" i="58"/>
  <c r="O8820" i="58"/>
  <c r="I8820" i="58"/>
  <c r="J8820" i="58" s="1"/>
  <c r="O8819" i="58"/>
  <c r="P8819" i="58" s="1"/>
  <c r="O8818" i="58"/>
  <c r="P8818" i="58" s="1"/>
  <c r="Q8818" i="58" s="1"/>
  <c r="P8817" i="58"/>
  <c r="O8817" i="58"/>
  <c r="O8816" i="58"/>
  <c r="P8816" i="58" s="1"/>
  <c r="O8815" i="58"/>
  <c r="P8815" i="58" s="1"/>
  <c r="K8815" i="58"/>
  <c r="L8815" i="58" s="1"/>
  <c r="L8804" i="58" s="1"/>
  <c r="O8814" i="58"/>
  <c r="P8814" i="58" s="1"/>
  <c r="O8813" i="58"/>
  <c r="P8813" i="58" s="1"/>
  <c r="I8813" i="58"/>
  <c r="J8813" i="58" s="1"/>
  <c r="O8812" i="58"/>
  <c r="P8812" i="58" s="1"/>
  <c r="J8812" i="58"/>
  <c r="I8812" i="58"/>
  <c r="O8811" i="58"/>
  <c r="P8811" i="58" s="1"/>
  <c r="I8811" i="58"/>
  <c r="J8811" i="58" s="1"/>
  <c r="P8810" i="58"/>
  <c r="O8810" i="58"/>
  <c r="I8810" i="58"/>
  <c r="J8810" i="58" s="1"/>
  <c r="O8809" i="58"/>
  <c r="P8809" i="58" s="1"/>
  <c r="I8809" i="58"/>
  <c r="J8809" i="58" s="1"/>
  <c r="O8808" i="58"/>
  <c r="P8808" i="58" s="1"/>
  <c r="I8808" i="58"/>
  <c r="J8808" i="58" s="1"/>
  <c r="O8807" i="58"/>
  <c r="P8807" i="58" s="1"/>
  <c r="I8807" i="58"/>
  <c r="J8807" i="58" s="1"/>
  <c r="O8806" i="58"/>
  <c r="P8806" i="58" s="1"/>
  <c r="I8806" i="58"/>
  <c r="J8806" i="58" s="1"/>
  <c r="O8805" i="58"/>
  <c r="P8805" i="58" s="1"/>
  <c r="Q8804" i="58"/>
  <c r="P8804" i="58"/>
  <c r="O8804" i="58"/>
  <c r="O8803" i="58"/>
  <c r="P8803" i="58" s="1"/>
  <c r="O8802" i="58"/>
  <c r="P8802" i="58" s="1"/>
  <c r="O8801" i="58"/>
  <c r="P8801" i="58" s="1"/>
  <c r="K8801" i="58"/>
  <c r="L8801" i="58" s="1"/>
  <c r="L8790" i="58" s="1"/>
  <c r="G16" i="51" s="1"/>
  <c r="G15" i="51" s="1"/>
  <c r="O8800" i="58"/>
  <c r="P8800" i="58" s="1"/>
  <c r="P8799" i="58"/>
  <c r="O8799" i="58"/>
  <c r="I8799" i="58"/>
  <c r="J8799" i="58" s="1"/>
  <c r="O8798" i="58"/>
  <c r="P8798" i="58" s="1"/>
  <c r="I8798" i="58"/>
  <c r="J8798" i="58" s="1"/>
  <c r="O8797" i="58"/>
  <c r="P8797" i="58" s="1"/>
  <c r="J8797" i="58"/>
  <c r="I8797" i="58"/>
  <c r="P8796" i="58"/>
  <c r="O8796" i="58"/>
  <c r="I8796" i="58"/>
  <c r="J8796" i="58" s="1"/>
  <c r="O8795" i="58"/>
  <c r="P8795" i="58" s="1"/>
  <c r="I8795" i="58"/>
  <c r="J8795" i="58" s="1"/>
  <c r="O8794" i="58"/>
  <c r="P8794" i="58" s="1"/>
  <c r="I8794" i="58"/>
  <c r="J8794" i="58" s="1"/>
  <c r="O8793" i="58"/>
  <c r="P8793" i="58" s="1"/>
  <c r="I8793" i="58"/>
  <c r="J8793" i="58" s="1"/>
  <c r="O8792" i="58"/>
  <c r="P8792" i="58" s="1"/>
  <c r="I8792" i="58"/>
  <c r="J8792" i="58" s="1"/>
  <c r="P8791" i="58"/>
  <c r="O8791" i="58"/>
  <c r="O8790" i="58"/>
  <c r="P8790" i="58" s="1"/>
  <c r="Q8790" i="58" s="1"/>
  <c r="O8789" i="58"/>
  <c r="P8789" i="58" s="1"/>
  <c r="O8788" i="58"/>
  <c r="P8788" i="58" s="1"/>
  <c r="O8787" i="58"/>
  <c r="P8787" i="58" s="1"/>
  <c r="L8787" i="58"/>
  <c r="L8776" i="58" s="1"/>
  <c r="K8787" i="58"/>
  <c r="O8786" i="58"/>
  <c r="P8786" i="58" s="1"/>
  <c r="O8785" i="58"/>
  <c r="P8785" i="58" s="1"/>
  <c r="I8785" i="58"/>
  <c r="J8785" i="58" s="1"/>
  <c r="O8784" i="58"/>
  <c r="P8784" i="58" s="1"/>
  <c r="I8784" i="58"/>
  <c r="J8784" i="58" s="1"/>
  <c r="P8783" i="58"/>
  <c r="O8783" i="58"/>
  <c r="I8783" i="58"/>
  <c r="J8783" i="58" s="1"/>
  <c r="O8782" i="58"/>
  <c r="P8782" i="58" s="1"/>
  <c r="I8782" i="58"/>
  <c r="J8782" i="58" s="1"/>
  <c r="O8781" i="58"/>
  <c r="P8781" i="58" s="1"/>
  <c r="I8781" i="58"/>
  <c r="J8781" i="58" s="1"/>
  <c r="O8780" i="58"/>
  <c r="P8780" i="58" s="1"/>
  <c r="I8780" i="58"/>
  <c r="J8780" i="58" s="1"/>
  <c r="O8779" i="58"/>
  <c r="P8779" i="58" s="1"/>
  <c r="J8779" i="58"/>
  <c r="I8779" i="58"/>
  <c r="O8778" i="58"/>
  <c r="P8778" i="58" s="1"/>
  <c r="J8778" i="58"/>
  <c r="I8778" i="58"/>
  <c r="O8777" i="58"/>
  <c r="P8777" i="58" s="1"/>
  <c r="O8776" i="58"/>
  <c r="P8776" i="58" s="1"/>
  <c r="Q8776" i="58" s="1"/>
  <c r="O8775" i="58"/>
  <c r="P8775" i="58" s="1"/>
  <c r="O8774" i="58"/>
  <c r="P8774" i="58" s="1"/>
  <c r="O8773" i="58"/>
  <c r="P8773" i="58" s="1"/>
  <c r="K8773" i="58"/>
  <c r="L8773" i="58" s="1"/>
  <c r="L8762" i="58" s="1"/>
  <c r="P8772" i="58"/>
  <c r="O8772" i="58"/>
  <c r="P8771" i="58"/>
  <c r="O8771" i="58"/>
  <c r="I8771" i="58"/>
  <c r="J8771" i="58" s="1"/>
  <c r="O8770" i="58"/>
  <c r="P8770" i="58" s="1"/>
  <c r="I8770" i="58"/>
  <c r="J8770" i="58" s="1"/>
  <c r="O8769" i="58"/>
  <c r="P8769" i="58" s="1"/>
  <c r="J8769" i="58"/>
  <c r="I8769" i="58"/>
  <c r="P8768" i="58"/>
  <c r="O8768" i="58"/>
  <c r="J8768" i="58"/>
  <c r="I8768" i="58"/>
  <c r="O8767" i="58"/>
  <c r="P8767" i="58" s="1"/>
  <c r="I8767" i="58"/>
  <c r="J8767" i="58" s="1"/>
  <c r="O8766" i="58"/>
  <c r="P8766" i="58" s="1"/>
  <c r="I8766" i="58"/>
  <c r="J8766" i="58" s="1"/>
  <c r="O8765" i="58"/>
  <c r="P8765" i="58" s="1"/>
  <c r="I8765" i="58"/>
  <c r="J8765" i="58" s="1"/>
  <c r="O8764" i="58"/>
  <c r="P8764" i="58" s="1"/>
  <c r="I8764" i="58"/>
  <c r="J8764" i="58" s="1"/>
  <c r="O8763" i="58"/>
  <c r="P8763" i="58" s="1"/>
  <c r="O8762" i="58"/>
  <c r="P8762" i="58" s="1"/>
  <c r="Q8762" i="58" s="1"/>
  <c r="P8761" i="58"/>
  <c r="Q8761" i="58" s="1"/>
  <c r="R8761" i="58" s="1"/>
  <c r="O8761" i="58"/>
  <c r="O8760" i="58"/>
  <c r="P8760" i="58" s="1"/>
  <c r="O8759" i="58"/>
  <c r="P8759" i="58" s="1"/>
  <c r="K8759" i="58"/>
  <c r="L8759" i="58" s="1"/>
  <c r="L8748" i="58" s="1"/>
  <c r="O8758" i="58"/>
  <c r="P8758" i="58" s="1"/>
  <c r="O8757" i="58"/>
  <c r="P8757" i="58" s="1"/>
  <c r="I8757" i="58"/>
  <c r="J8757" i="58" s="1"/>
  <c r="O8756" i="58"/>
  <c r="P8756" i="58" s="1"/>
  <c r="I8756" i="58"/>
  <c r="J8756" i="58" s="1"/>
  <c r="O8755" i="58"/>
  <c r="P8755" i="58" s="1"/>
  <c r="I8755" i="58"/>
  <c r="J8755" i="58" s="1"/>
  <c r="O8754" i="58"/>
  <c r="P8754" i="58" s="1"/>
  <c r="I8754" i="58"/>
  <c r="J8754" i="58" s="1"/>
  <c r="P8753" i="58"/>
  <c r="O8753" i="58"/>
  <c r="I8753" i="58"/>
  <c r="J8753" i="58" s="1"/>
  <c r="O8752" i="58"/>
  <c r="P8752" i="58" s="1"/>
  <c r="I8752" i="58"/>
  <c r="J8752" i="58" s="1"/>
  <c r="O8751" i="58"/>
  <c r="P8751" i="58" s="1"/>
  <c r="I8751" i="58"/>
  <c r="J8751" i="58" s="1"/>
  <c r="P8750" i="58"/>
  <c r="O8750" i="58"/>
  <c r="I8750" i="58"/>
  <c r="J8750" i="58" s="1"/>
  <c r="O8749" i="58"/>
  <c r="P8749" i="58" s="1"/>
  <c r="O8748" i="58"/>
  <c r="P8748" i="58" s="1"/>
  <c r="Q8748" i="58" s="1"/>
  <c r="O8747" i="58"/>
  <c r="P8747" i="58" s="1"/>
  <c r="Q8747" i="58" s="1"/>
  <c r="R8747" i="58" s="1"/>
  <c r="O8746" i="58"/>
  <c r="P8746" i="58" s="1"/>
  <c r="Q8746" i="58" s="1"/>
  <c r="R8746" i="58" s="1"/>
  <c r="O8745" i="58"/>
  <c r="P8745" i="58" s="1"/>
  <c r="K8745" i="58"/>
  <c r="L8745" i="58" s="1"/>
  <c r="L8734" i="58" s="1"/>
  <c r="O8744" i="58"/>
  <c r="P8744" i="58" s="1"/>
  <c r="O8743" i="58"/>
  <c r="P8743" i="58" s="1"/>
  <c r="I8743" i="58"/>
  <c r="J8743" i="58" s="1"/>
  <c r="O8742" i="58"/>
  <c r="P8742" i="58" s="1"/>
  <c r="I8742" i="58"/>
  <c r="J8742" i="58" s="1"/>
  <c r="O8741" i="58"/>
  <c r="P8741" i="58" s="1"/>
  <c r="I8741" i="58"/>
  <c r="J8741" i="58" s="1"/>
  <c r="O8740" i="58"/>
  <c r="P8740" i="58" s="1"/>
  <c r="I8740" i="58"/>
  <c r="J8740" i="58" s="1"/>
  <c r="P8739" i="58"/>
  <c r="O8739" i="58"/>
  <c r="I8739" i="58"/>
  <c r="J8739" i="58" s="1"/>
  <c r="O8738" i="58"/>
  <c r="P8738" i="58" s="1"/>
  <c r="I8738" i="58"/>
  <c r="J8738" i="58" s="1"/>
  <c r="O8737" i="58"/>
  <c r="P8737" i="58" s="1"/>
  <c r="I8737" i="58"/>
  <c r="J8737" i="58" s="1"/>
  <c r="O8736" i="58"/>
  <c r="P8736" i="58" s="1"/>
  <c r="I8736" i="58"/>
  <c r="J8736" i="58" s="1"/>
  <c r="O8735" i="58"/>
  <c r="P8735" i="58" s="1"/>
  <c r="Q8734" i="58"/>
  <c r="O8734" i="58"/>
  <c r="P8734" i="58" s="1"/>
  <c r="O8733" i="58"/>
  <c r="P8733" i="58" s="1"/>
  <c r="Q8733" i="58" s="1"/>
  <c r="R8733" i="58" s="1"/>
  <c r="O8732" i="58"/>
  <c r="P8732" i="58" s="1"/>
  <c r="O8731" i="58"/>
  <c r="P8731" i="58" s="1"/>
  <c r="L8731" i="58"/>
  <c r="L8721" i="58" s="1"/>
  <c r="K8731" i="58"/>
  <c r="P8730" i="58"/>
  <c r="O8730" i="58"/>
  <c r="O8729" i="58"/>
  <c r="P8729" i="58" s="1"/>
  <c r="I8729" i="58"/>
  <c r="J8729" i="58" s="1"/>
  <c r="O8728" i="58"/>
  <c r="P8728" i="58" s="1"/>
  <c r="I8728" i="58"/>
  <c r="J8728" i="58" s="1"/>
  <c r="O8727" i="58"/>
  <c r="P8727" i="58" s="1"/>
  <c r="I8727" i="58"/>
  <c r="J8727" i="58" s="1"/>
  <c r="O8726" i="58"/>
  <c r="P8726" i="58" s="1"/>
  <c r="I8726" i="58"/>
  <c r="J8726" i="58" s="1"/>
  <c r="O8725" i="58"/>
  <c r="P8725" i="58" s="1"/>
  <c r="I8725" i="58"/>
  <c r="J8725" i="58" s="1"/>
  <c r="O8724" i="58"/>
  <c r="P8724" i="58" s="1"/>
  <c r="I8724" i="58"/>
  <c r="J8724" i="58" s="1"/>
  <c r="O8723" i="58"/>
  <c r="P8723" i="58" s="1"/>
  <c r="I8723" i="58"/>
  <c r="J8723" i="58" s="1"/>
  <c r="O8722" i="58"/>
  <c r="P8722" i="58" s="1"/>
  <c r="O8721" i="58"/>
  <c r="P8721" i="58" s="1"/>
  <c r="Q8721" i="58" s="1"/>
  <c r="P8720" i="58"/>
  <c r="O8720" i="58"/>
  <c r="O8719" i="58"/>
  <c r="P8719" i="58" s="1"/>
  <c r="O8718" i="58"/>
  <c r="P8718" i="58" s="1"/>
  <c r="L8718" i="58"/>
  <c r="L8708" i="58" s="1"/>
  <c r="K8718" i="58"/>
  <c r="O8717" i="58"/>
  <c r="P8717" i="58" s="1"/>
  <c r="O8716" i="58"/>
  <c r="P8716" i="58" s="1"/>
  <c r="I8716" i="58"/>
  <c r="J8716" i="58" s="1"/>
  <c r="O8715" i="58"/>
  <c r="P8715" i="58" s="1"/>
  <c r="I8715" i="58"/>
  <c r="J8715" i="58" s="1"/>
  <c r="P8714" i="58"/>
  <c r="O8714" i="58"/>
  <c r="I8714" i="58"/>
  <c r="J8714" i="58" s="1"/>
  <c r="O8713" i="58"/>
  <c r="P8713" i="58" s="1"/>
  <c r="J8713" i="58"/>
  <c r="I8713" i="58"/>
  <c r="O8712" i="58"/>
  <c r="P8712" i="58" s="1"/>
  <c r="I8712" i="58"/>
  <c r="J8712" i="58" s="1"/>
  <c r="O8711" i="58"/>
  <c r="P8711" i="58" s="1"/>
  <c r="I8711" i="58"/>
  <c r="J8711" i="58" s="1"/>
  <c r="O8710" i="58"/>
  <c r="P8710" i="58" s="1"/>
  <c r="J8710" i="58"/>
  <c r="I8710" i="58"/>
  <c r="P8709" i="58"/>
  <c r="O8709" i="58"/>
  <c r="P8708" i="58"/>
  <c r="Q8708" i="58" s="1"/>
  <c r="O8708" i="58"/>
  <c r="O8707" i="58"/>
  <c r="P8707" i="58" s="1"/>
  <c r="O8706" i="58"/>
  <c r="P8706" i="58" s="1"/>
  <c r="O8705" i="58"/>
  <c r="P8705" i="58" s="1"/>
  <c r="K8705" i="58"/>
  <c r="L8705" i="58" s="1"/>
  <c r="L8695" i="58" s="1"/>
  <c r="O8704" i="58"/>
  <c r="P8704" i="58" s="1"/>
  <c r="O8703" i="58"/>
  <c r="P8703" i="58" s="1"/>
  <c r="I8703" i="58"/>
  <c r="J8703" i="58" s="1"/>
  <c r="P8702" i="58"/>
  <c r="O8702" i="58"/>
  <c r="J8702" i="58"/>
  <c r="I8702" i="58"/>
  <c r="P8701" i="58"/>
  <c r="O8701" i="58"/>
  <c r="I8701" i="58"/>
  <c r="J8701" i="58" s="1"/>
  <c r="O8700" i="58"/>
  <c r="P8700" i="58" s="1"/>
  <c r="I8700" i="58"/>
  <c r="J8700" i="58" s="1"/>
  <c r="P8699" i="58"/>
  <c r="O8699" i="58"/>
  <c r="I8699" i="58"/>
  <c r="J8699" i="58" s="1"/>
  <c r="P8698" i="58"/>
  <c r="O8698" i="58"/>
  <c r="I8698" i="58"/>
  <c r="J8698" i="58" s="1"/>
  <c r="O8697" i="58"/>
  <c r="P8697" i="58" s="1"/>
  <c r="I8697" i="58"/>
  <c r="J8697" i="58" s="1"/>
  <c r="P8696" i="58"/>
  <c r="O8696" i="58"/>
  <c r="O8695" i="58"/>
  <c r="P8695" i="58" s="1"/>
  <c r="Q8695" i="58" s="1"/>
  <c r="O8694" i="58"/>
  <c r="P8694" i="58" s="1"/>
  <c r="N8694" i="58"/>
  <c r="N8682" i="58" s="1"/>
  <c r="O8693" i="58"/>
  <c r="P8693" i="58" s="1"/>
  <c r="O8692" i="58"/>
  <c r="P8692" i="58" s="1"/>
  <c r="K8692" i="58"/>
  <c r="L8692" i="58" s="1"/>
  <c r="L8682" i="58" s="1"/>
  <c r="O8691" i="58"/>
  <c r="P8691" i="58" s="1"/>
  <c r="O8690" i="58"/>
  <c r="P8690" i="58" s="1"/>
  <c r="I8690" i="58"/>
  <c r="J8690" i="58" s="1"/>
  <c r="P8689" i="58"/>
  <c r="O8689" i="58"/>
  <c r="I8689" i="58"/>
  <c r="J8689" i="58" s="1"/>
  <c r="O8688" i="58"/>
  <c r="P8688" i="58" s="1"/>
  <c r="I8688" i="58"/>
  <c r="J8688" i="58" s="1"/>
  <c r="P8687" i="58"/>
  <c r="O8687" i="58"/>
  <c r="I8687" i="58"/>
  <c r="J8687" i="58" s="1"/>
  <c r="O8686" i="58"/>
  <c r="P8686" i="58" s="1"/>
  <c r="J8686" i="58"/>
  <c r="I8686" i="58"/>
  <c r="P8685" i="58"/>
  <c r="O8685" i="58"/>
  <c r="I8685" i="58"/>
  <c r="J8685" i="58" s="1"/>
  <c r="O8684" i="58"/>
  <c r="P8684" i="58" s="1"/>
  <c r="I8684" i="58"/>
  <c r="J8684" i="58" s="1"/>
  <c r="P8683" i="58"/>
  <c r="O8683" i="58"/>
  <c r="O8682" i="58"/>
  <c r="P8682" i="58" s="1"/>
  <c r="Q8682" i="58" s="1"/>
  <c r="O8681" i="58"/>
  <c r="P8681" i="58" s="1"/>
  <c r="N8681" i="58"/>
  <c r="N8669" i="58" s="1"/>
  <c r="O8680" i="58"/>
  <c r="P8680" i="58" s="1"/>
  <c r="P8679" i="58"/>
  <c r="O8679" i="58"/>
  <c r="K8679" i="58"/>
  <c r="L8679" i="58" s="1"/>
  <c r="L8669" i="58" s="1"/>
  <c r="O8678" i="58"/>
  <c r="P8678" i="58" s="1"/>
  <c r="O8677" i="58"/>
  <c r="P8677" i="58" s="1"/>
  <c r="I8677" i="58"/>
  <c r="J8677" i="58" s="1"/>
  <c r="P8676" i="58"/>
  <c r="O8676" i="58"/>
  <c r="J8676" i="58"/>
  <c r="I8676" i="58"/>
  <c r="P8675" i="58"/>
  <c r="O8675" i="58"/>
  <c r="I8675" i="58"/>
  <c r="J8675" i="58" s="1"/>
  <c r="O8674" i="58"/>
  <c r="P8674" i="58" s="1"/>
  <c r="I8674" i="58"/>
  <c r="J8674" i="58" s="1"/>
  <c r="O8673" i="58"/>
  <c r="P8673" i="58" s="1"/>
  <c r="I8673" i="58"/>
  <c r="J8673" i="58" s="1"/>
  <c r="P8672" i="58"/>
  <c r="O8672" i="58"/>
  <c r="I8672" i="58"/>
  <c r="J8672" i="58" s="1"/>
  <c r="O8671" i="58"/>
  <c r="P8671" i="58" s="1"/>
  <c r="I8671" i="58"/>
  <c r="J8671" i="58" s="1"/>
  <c r="P8670" i="58"/>
  <c r="O8670" i="58"/>
  <c r="O8669" i="58"/>
  <c r="P8669" i="58" s="1"/>
  <c r="Q8669" i="58" s="1"/>
  <c r="O8668" i="58"/>
  <c r="P8668" i="58" s="1"/>
  <c r="N8668" i="58"/>
  <c r="O8667" i="58"/>
  <c r="P8667" i="58" s="1"/>
  <c r="N8667" i="58"/>
  <c r="O8666" i="58"/>
  <c r="P8666" i="58" s="1"/>
  <c r="O8665" i="58"/>
  <c r="P8665" i="58" s="1"/>
  <c r="K8665" i="58"/>
  <c r="L8665" i="58" s="1"/>
  <c r="L8650" i="58" s="1"/>
  <c r="O8664" i="58"/>
  <c r="P8664" i="58" s="1"/>
  <c r="O8663" i="58"/>
  <c r="P8663" i="58" s="1"/>
  <c r="I8663" i="58"/>
  <c r="J8663" i="58" s="1"/>
  <c r="O8662" i="58"/>
  <c r="P8662" i="58" s="1"/>
  <c r="I8662" i="58"/>
  <c r="J8662" i="58" s="1"/>
  <c r="O8661" i="58"/>
  <c r="P8661" i="58" s="1"/>
  <c r="J8661" i="58"/>
  <c r="I8661" i="58"/>
  <c r="O8660" i="58"/>
  <c r="P8660" i="58" s="1"/>
  <c r="I8660" i="58"/>
  <c r="J8660" i="58" s="1"/>
  <c r="P8659" i="58"/>
  <c r="O8659" i="58"/>
  <c r="I8659" i="58"/>
  <c r="J8659" i="58" s="1"/>
  <c r="O8658" i="58"/>
  <c r="P8658" i="58" s="1"/>
  <c r="I8658" i="58"/>
  <c r="J8658" i="58" s="1"/>
  <c r="O8657" i="58"/>
  <c r="P8657" i="58" s="1"/>
  <c r="I8657" i="58"/>
  <c r="J8657" i="58" s="1"/>
  <c r="O8656" i="58"/>
  <c r="P8656" i="58" s="1"/>
  <c r="I8656" i="58"/>
  <c r="J8656" i="58" s="1"/>
  <c r="O8655" i="58"/>
  <c r="P8655" i="58" s="1"/>
  <c r="I8655" i="58"/>
  <c r="J8655" i="58" s="1"/>
  <c r="P8654" i="58"/>
  <c r="O8654" i="58"/>
  <c r="I8654" i="58"/>
  <c r="J8654" i="58" s="1"/>
  <c r="O8653" i="58"/>
  <c r="P8653" i="58" s="1"/>
  <c r="I8653" i="58"/>
  <c r="J8653" i="58" s="1"/>
  <c r="O8652" i="58"/>
  <c r="P8652" i="58" s="1"/>
  <c r="I8652" i="58"/>
  <c r="J8652" i="58" s="1"/>
  <c r="P8651" i="58"/>
  <c r="O8651" i="58"/>
  <c r="Q8650" i="58"/>
  <c r="O8650" i="58"/>
  <c r="P8650" i="58" s="1"/>
  <c r="O8649" i="58"/>
  <c r="P8649" i="58" s="1"/>
  <c r="Q8649" i="58" s="1"/>
  <c r="R8649" i="58" s="1"/>
  <c r="N8649" i="58"/>
  <c r="O8648" i="58"/>
  <c r="P8648" i="58" s="1"/>
  <c r="Q8648" i="58" s="1"/>
  <c r="R8648" i="58" s="1"/>
  <c r="N8648" i="58"/>
  <c r="P8647" i="58"/>
  <c r="O8647" i="58"/>
  <c r="O8646" i="58"/>
  <c r="P8646" i="58" s="1"/>
  <c r="K8646" i="58"/>
  <c r="L8646" i="58" s="1"/>
  <c r="L8631" i="58" s="1"/>
  <c r="O8645" i="58"/>
  <c r="P8645" i="58" s="1"/>
  <c r="O8644" i="58"/>
  <c r="P8644" i="58" s="1"/>
  <c r="I8644" i="58"/>
  <c r="J8644" i="58" s="1"/>
  <c r="O8643" i="58"/>
  <c r="P8643" i="58" s="1"/>
  <c r="I8643" i="58"/>
  <c r="J8643" i="58" s="1"/>
  <c r="P8642" i="58"/>
  <c r="O8642" i="58"/>
  <c r="I8642" i="58"/>
  <c r="J8642" i="58" s="1"/>
  <c r="O8641" i="58"/>
  <c r="P8641" i="58" s="1"/>
  <c r="I8641" i="58"/>
  <c r="J8641" i="58" s="1"/>
  <c r="O8640" i="58"/>
  <c r="P8640" i="58" s="1"/>
  <c r="I8640" i="58"/>
  <c r="J8640" i="58" s="1"/>
  <c r="P8639" i="58"/>
  <c r="O8639" i="58"/>
  <c r="I8639" i="58"/>
  <c r="J8639" i="58" s="1"/>
  <c r="O8638" i="58"/>
  <c r="P8638" i="58" s="1"/>
  <c r="I8638" i="58"/>
  <c r="J8638" i="58" s="1"/>
  <c r="P8637" i="58"/>
  <c r="O8637" i="58"/>
  <c r="J8637" i="58"/>
  <c r="I8637" i="58"/>
  <c r="O8636" i="58"/>
  <c r="P8636" i="58" s="1"/>
  <c r="I8636" i="58"/>
  <c r="J8636" i="58" s="1"/>
  <c r="O8635" i="58"/>
  <c r="P8635" i="58" s="1"/>
  <c r="I8635" i="58"/>
  <c r="J8635" i="58" s="1"/>
  <c r="O8634" i="58"/>
  <c r="P8634" i="58" s="1"/>
  <c r="I8634" i="58"/>
  <c r="J8634" i="58" s="1"/>
  <c r="O8633" i="58"/>
  <c r="P8633" i="58" s="1"/>
  <c r="I8633" i="58"/>
  <c r="J8633" i="58" s="1"/>
  <c r="O8632" i="58"/>
  <c r="P8632" i="58" s="1"/>
  <c r="O8631" i="58"/>
  <c r="P8631" i="58" s="1"/>
  <c r="Q8631" i="58" s="1"/>
  <c r="O8630" i="58"/>
  <c r="P8630" i="58" s="1"/>
  <c r="O8629" i="58"/>
  <c r="P8629" i="58" s="1"/>
  <c r="N8629" i="58"/>
  <c r="O8628" i="58"/>
  <c r="P8628" i="58" s="1"/>
  <c r="O8627" i="58"/>
  <c r="P8627" i="58" s="1"/>
  <c r="K8627" i="58"/>
  <c r="L8627" i="58" s="1"/>
  <c r="O8626" i="58"/>
  <c r="P8626" i="58" s="1"/>
  <c r="O8625" i="58"/>
  <c r="P8625" i="58" s="1"/>
  <c r="I8625" i="58"/>
  <c r="J8625" i="58" s="1"/>
  <c r="O8624" i="58"/>
  <c r="P8624" i="58" s="1"/>
  <c r="I8624" i="58"/>
  <c r="J8624" i="58" s="1"/>
  <c r="O8623" i="58"/>
  <c r="P8623" i="58" s="1"/>
  <c r="I8623" i="58"/>
  <c r="J8623" i="58" s="1"/>
  <c r="O8622" i="58"/>
  <c r="P8622" i="58" s="1"/>
  <c r="I8622" i="58"/>
  <c r="J8622" i="58" s="1"/>
  <c r="O8621" i="58"/>
  <c r="P8621" i="58" s="1"/>
  <c r="I8621" i="58"/>
  <c r="J8621" i="58" s="1"/>
  <c r="O8620" i="58"/>
  <c r="P8620" i="58" s="1"/>
  <c r="I8620" i="58"/>
  <c r="J8620" i="58" s="1"/>
  <c r="O8619" i="58"/>
  <c r="P8619" i="58" s="1"/>
  <c r="I8619" i="58"/>
  <c r="J8619" i="58" s="1"/>
  <c r="O8618" i="58"/>
  <c r="P8618" i="58" s="1"/>
  <c r="I8618" i="58"/>
  <c r="J8618" i="58" s="1"/>
  <c r="O8617" i="58"/>
  <c r="P8617" i="58" s="1"/>
  <c r="I8617" i="58"/>
  <c r="J8617" i="58" s="1"/>
  <c r="O8616" i="58"/>
  <c r="P8616" i="58" s="1"/>
  <c r="I8616" i="58"/>
  <c r="J8616" i="58" s="1"/>
  <c r="O8615" i="58"/>
  <c r="P8615" i="58" s="1"/>
  <c r="J8615" i="58"/>
  <c r="I8615" i="58"/>
  <c r="O8614" i="58"/>
  <c r="P8614" i="58" s="1"/>
  <c r="I8614" i="58"/>
  <c r="J8614" i="58" s="1"/>
  <c r="O8613" i="58"/>
  <c r="P8613" i="58" s="1"/>
  <c r="O8612" i="58"/>
  <c r="P8612" i="58" s="1"/>
  <c r="Q8612" i="58" s="1"/>
  <c r="L8612" i="58"/>
  <c r="O8611" i="58"/>
  <c r="P8611" i="58" s="1"/>
  <c r="O8610" i="58"/>
  <c r="P8610" i="58" s="1"/>
  <c r="N8610" i="58"/>
  <c r="O8609" i="58"/>
  <c r="P8609" i="58" s="1"/>
  <c r="P8608" i="58"/>
  <c r="O8608" i="58"/>
  <c r="K8608" i="58"/>
  <c r="L8608" i="58" s="1"/>
  <c r="L8593" i="58" s="1"/>
  <c r="P8607" i="58"/>
  <c r="O8607" i="58"/>
  <c r="O8606" i="58"/>
  <c r="P8606" i="58" s="1"/>
  <c r="I8606" i="58"/>
  <c r="J8606" i="58" s="1"/>
  <c r="O8605" i="58"/>
  <c r="P8605" i="58" s="1"/>
  <c r="I8605" i="58"/>
  <c r="J8605" i="58" s="1"/>
  <c r="O8604" i="58"/>
  <c r="P8604" i="58" s="1"/>
  <c r="I8604" i="58"/>
  <c r="J8604" i="58" s="1"/>
  <c r="P8603" i="58"/>
  <c r="O8603" i="58"/>
  <c r="I8603" i="58"/>
  <c r="J8603" i="58" s="1"/>
  <c r="O8602" i="58"/>
  <c r="P8602" i="58" s="1"/>
  <c r="I8602" i="58"/>
  <c r="J8602" i="58" s="1"/>
  <c r="O8601" i="58"/>
  <c r="P8601" i="58" s="1"/>
  <c r="I8601" i="58"/>
  <c r="J8601" i="58" s="1"/>
  <c r="O8600" i="58"/>
  <c r="P8600" i="58" s="1"/>
  <c r="I8600" i="58"/>
  <c r="J8600" i="58" s="1"/>
  <c r="O8599" i="58"/>
  <c r="P8599" i="58" s="1"/>
  <c r="I8599" i="58"/>
  <c r="J8599" i="58" s="1"/>
  <c r="P8598" i="58"/>
  <c r="O8598" i="58"/>
  <c r="I8598" i="58"/>
  <c r="J8598" i="58" s="1"/>
  <c r="O8597" i="58"/>
  <c r="P8597" i="58" s="1"/>
  <c r="I8597" i="58"/>
  <c r="J8597" i="58" s="1"/>
  <c r="O8596" i="58"/>
  <c r="P8596" i="58" s="1"/>
  <c r="J8596" i="58"/>
  <c r="I8596" i="58"/>
  <c r="O8595" i="58"/>
  <c r="P8595" i="58" s="1"/>
  <c r="I8595" i="58"/>
  <c r="J8595" i="58" s="1"/>
  <c r="O8594" i="58"/>
  <c r="P8594" i="58" s="1"/>
  <c r="O8593" i="58"/>
  <c r="P8593" i="58" s="1"/>
  <c r="Q8593" i="58" s="1"/>
  <c r="Q8592" i="58" s="1"/>
  <c r="R8592" i="58" s="1"/>
  <c r="O8592" i="58"/>
  <c r="P8592" i="58" s="1"/>
  <c r="O8591" i="58"/>
  <c r="P8591" i="58" s="1"/>
  <c r="O8590" i="58"/>
  <c r="P8590" i="58" s="1"/>
  <c r="O8589" i="58"/>
  <c r="P8589" i="58" s="1"/>
  <c r="K8589" i="58"/>
  <c r="L8589" i="58" s="1"/>
  <c r="L8574" i="58" s="1"/>
  <c r="O8588" i="58"/>
  <c r="P8588" i="58" s="1"/>
  <c r="O8587" i="58"/>
  <c r="P8587" i="58" s="1"/>
  <c r="I8587" i="58"/>
  <c r="J8587" i="58" s="1"/>
  <c r="O8586" i="58"/>
  <c r="P8586" i="58" s="1"/>
  <c r="I8586" i="58"/>
  <c r="J8586" i="58" s="1"/>
  <c r="O8585" i="58"/>
  <c r="P8585" i="58" s="1"/>
  <c r="I8585" i="58"/>
  <c r="J8585" i="58" s="1"/>
  <c r="P8584" i="58"/>
  <c r="O8584" i="58"/>
  <c r="I8584" i="58"/>
  <c r="J8584" i="58" s="1"/>
  <c r="O8583" i="58"/>
  <c r="P8583" i="58" s="1"/>
  <c r="I8583" i="58"/>
  <c r="J8583" i="58" s="1"/>
  <c r="O8582" i="58"/>
  <c r="P8582" i="58" s="1"/>
  <c r="I8582" i="58"/>
  <c r="J8582" i="58" s="1"/>
  <c r="O8581" i="58"/>
  <c r="P8581" i="58" s="1"/>
  <c r="J8581" i="58"/>
  <c r="I8581" i="58"/>
  <c r="O8580" i="58"/>
  <c r="P8580" i="58" s="1"/>
  <c r="I8580" i="58"/>
  <c r="J8580" i="58" s="1"/>
  <c r="O8579" i="58"/>
  <c r="P8579" i="58" s="1"/>
  <c r="I8579" i="58"/>
  <c r="J8579" i="58" s="1"/>
  <c r="O8578" i="58"/>
  <c r="P8578" i="58" s="1"/>
  <c r="I8578" i="58"/>
  <c r="J8578" i="58" s="1"/>
  <c r="O8577" i="58"/>
  <c r="P8577" i="58" s="1"/>
  <c r="I8577" i="58"/>
  <c r="J8577" i="58" s="1"/>
  <c r="P8576" i="58"/>
  <c r="O8576" i="58"/>
  <c r="I8576" i="58"/>
  <c r="J8576" i="58" s="1"/>
  <c r="O8575" i="58"/>
  <c r="P8575" i="58" s="1"/>
  <c r="O8574" i="58"/>
  <c r="P8574" i="58" s="1"/>
  <c r="Q8574" i="58" s="1"/>
  <c r="O8573" i="58"/>
  <c r="P8573" i="58" s="1"/>
  <c r="O8572" i="58"/>
  <c r="P8572" i="58" s="1"/>
  <c r="O8571" i="58"/>
  <c r="P8571" i="58" s="1"/>
  <c r="O8570" i="58"/>
  <c r="P8570" i="58" s="1"/>
  <c r="K8570" i="58"/>
  <c r="L8570" i="58" s="1"/>
  <c r="L8555" i="58" s="1"/>
  <c r="O8569" i="58"/>
  <c r="P8569" i="58" s="1"/>
  <c r="P8568" i="58"/>
  <c r="O8568" i="58"/>
  <c r="I8568" i="58"/>
  <c r="J8568" i="58" s="1"/>
  <c r="O8567" i="58"/>
  <c r="P8567" i="58" s="1"/>
  <c r="J8567" i="58"/>
  <c r="I8567" i="58"/>
  <c r="P8566" i="58"/>
  <c r="O8566" i="58"/>
  <c r="I8566" i="58"/>
  <c r="J8566" i="58" s="1"/>
  <c r="O8565" i="58"/>
  <c r="P8565" i="58" s="1"/>
  <c r="I8565" i="58"/>
  <c r="J8565" i="58" s="1"/>
  <c r="O8564" i="58"/>
  <c r="P8564" i="58" s="1"/>
  <c r="I8564" i="58"/>
  <c r="J8564" i="58" s="1"/>
  <c r="O8563" i="58"/>
  <c r="P8563" i="58" s="1"/>
  <c r="I8563" i="58"/>
  <c r="J8563" i="58" s="1"/>
  <c r="O8562" i="58"/>
  <c r="P8562" i="58" s="1"/>
  <c r="I8562" i="58"/>
  <c r="J8562" i="58" s="1"/>
  <c r="O8561" i="58"/>
  <c r="P8561" i="58" s="1"/>
  <c r="I8561" i="58"/>
  <c r="J8561" i="58" s="1"/>
  <c r="P8560" i="58"/>
  <c r="O8560" i="58"/>
  <c r="I8560" i="58"/>
  <c r="J8560" i="58" s="1"/>
  <c r="O8559" i="58"/>
  <c r="P8559" i="58" s="1"/>
  <c r="I8559" i="58"/>
  <c r="J8559" i="58" s="1"/>
  <c r="O8558" i="58"/>
  <c r="P8558" i="58" s="1"/>
  <c r="I8558" i="58"/>
  <c r="J8558" i="58" s="1"/>
  <c r="P8557" i="58"/>
  <c r="O8557" i="58"/>
  <c r="J8557" i="58"/>
  <c r="I8557" i="58"/>
  <c r="P8556" i="58"/>
  <c r="O8556" i="58"/>
  <c r="O8555" i="58"/>
  <c r="P8555" i="58" s="1"/>
  <c r="Q8555" i="58" s="1"/>
  <c r="O8554" i="58"/>
  <c r="P8554" i="58" s="1"/>
  <c r="Q8554" i="58" s="1"/>
  <c r="R8554" i="58" s="1"/>
  <c r="O8553" i="58"/>
  <c r="P8553" i="58" s="1"/>
  <c r="P8552" i="58"/>
  <c r="O8552" i="58"/>
  <c r="O8551" i="58"/>
  <c r="P8551" i="58" s="1"/>
  <c r="K8551" i="58"/>
  <c r="L8551" i="58" s="1"/>
  <c r="L8536" i="58" s="1"/>
  <c r="O8550" i="58"/>
  <c r="P8550" i="58" s="1"/>
  <c r="O8549" i="58"/>
  <c r="P8549" i="58" s="1"/>
  <c r="I8549" i="58"/>
  <c r="J8549" i="58" s="1"/>
  <c r="O8548" i="58"/>
  <c r="P8548" i="58" s="1"/>
  <c r="I8548" i="58"/>
  <c r="J8548" i="58" s="1"/>
  <c r="O8547" i="58"/>
  <c r="P8547" i="58" s="1"/>
  <c r="I8547" i="58"/>
  <c r="J8547" i="58" s="1"/>
  <c r="P8546" i="58"/>
  <c r="O8546" i="58"/>
  <c r="I8546" i="58"/>
  <c r="J8546" i="58" s="1"/>
  <c r="O8545" i="58"/>
  <c r="P8545" i="58" s="1"/>
  <c r="I8545" i="58"/>
  <c r="J8545" i="58" s="1"/>
  <c r="O8544" i="58"/>
  <c r="P8544" i="58" s="1"/>
  <c r="I8544" i="58"/>
  <c r="J8544" i="58" s="1"/>
  <c r="O8543" i="58"/>
  <c r="P8543" i="58" s="1"/>
  <c r="I8543" i="58"/>
  <c r="J8543" i="58" s="1"/>
  <c r="O8542" i="58"/>
  <c r="P8542" i="58" s="1"/>
  <c r="I8542" i="58"/>
  <c r="J8542" i="58" s="1"/>
  <c r="O8541" i="58"/>
  <c r="P8541" i="58" s="1"/>
  <c r="J8541" i="58"/>
  <c r="I8541" i="58"/>
  <c r="P8540" i="58"/>
  <c r="O8540" i="58"/>
  <c r="J8540" i="58"/>
  <c r="I8540" i="58"/>
  <c r="O8539" i="58"/>
  <c r="P8539" i="58" s="1"/>
  <c r="I8539" i="58"/>
  <c r="J8539" i="58" s="1"/>
  <c r="P8538" i="58"/>
  <c r="O8538" i="58"/>
  <c r="I8538" i="58"/>
  <c r="J8538" i="58" s="1"/>
  <c r="O8537" i="58"/>
  <c r="P8537" i="58" s="1"/>
  <c r="O8536" i="58"/>
  <c r="P8536" i="58" s="1"/>
  <c r="Q8536" i="58" s="1"/>
  <c r="P8535" i="58"/>
  <c r="O8535" i="58"/>
  <c r="N8535" i="58"/>
  <c r="P8534" i="58"/>
  <c r="O8534" i="58"/>
  <c r="N8534" i="58"/>
  <c r="O8533" i="58"/>
  <c r="P8533" i="58" s="1"/>
  <c r="O8532" i="58"/>
  <c r="P8532" i="58" s="1"/>
  <c r="K8532" i="58"/>
  <c r="L8532" i="58" s="1"/>
  <c r="L8517" i="58" s="1"/>
  <c r="P8531" i="58"/>
  <c r="O8531" i="58"/>
  <c r="O8530" i="58"/>
  <c r="P8530" i="58" s="1"/>
  <c r="I8530" i="58"/>
  <c r="J8530" i="58" s="1"/>
  <c r="P8529" i="58"/>
  <c r="O8529" i="58"/>
  <c r="I8529" i="58"/>
  <c r="J8529" i="58" s="1"/>
  <c r="O8528" i="58"/>
  <c r="P8528" i="58" s="1"/>
  <c r="I8528" i="58"/>
  <c r="J8528" i="58" s="1"/>
  <c r="O8527" i="58"/>
  <c r="P8527" i="58" s="1"/>
  <c r="I8527" i="58"/>
  <c r="J8527" i="58" s="1"/>
  <c r="O8526" i="58"/>
  <c r="P8526" i="58" s="1"/>
  <c r="I8526" i="58"/>
  <c r="J8526" i="58" s="1"/>
  <c r="O8525" i="58"/>
  <c r="P8525" i="58" s="1"/>
  <c r="I8525" i="58"/>
  <c r="J8525" i="58" s="1"/>
  <c r="O8524" i="58"/>
  <c r="P8524" i="58" s="1"/>
  <c r="J8524" i="58"/>
  <c r="I8524" i="58"/>
  <c r="P8523" i="58"/>
  <c r="O8523" i="58"/>
  <c r="I8523" i="58"/>
  <c r="J8523" i="58" s="1"/>
  <c r="P8522" i="58"/>
  <c r="O8522" i="58"/>
  <c r="I8522" i="58"/>
  <c r="J8522" i="58" s="1"/>
  <c r="P8521" i="58"/>
  <c r="O8521" i="58"/>
  <c r="I8521" i="58"/>
  <c r="J8521" i="58" s="1"/>
  <c r="O8520" i="58"/>
  <c r="P8520" i="58" s="1"/>
  <c r="J8520" i="58"/>
  <c r="I8520" i="58"/>
  <c r="O8519" i="58"/>
  <c r="P8519" i="58" s="1"/>
  <c r="I8519" i="58"/>
  <c r="J8519" i="58" s="1"/>
  <c r="P8518" i="58"/>
  <c r="O8518" i="58"/>
  <c r="O8517" i="58"/>
  <c r="P8517" i="58" s="1"/>
  <c r="Q8517" i="58" s="1"/>
  <c r="O8516" i="58"/>
  <c r="P8516" i="58" s="1"/>
  <c r="N8516" i="58"/>
  <c r="O8515" i="58"/>
  <c r="P8515" i="58" s="1"/>
  <c r="N8515" i="58"/>
  <c r="O8514" i="58"/>
  <c r="P8514" i="58" s="1"/>
  <c r="O8513" i="58"/>
  <c r="P8513" i="58" s="1"/>
  <c r="K8513" i="58"/>
  <c r="L8513" i="58" s="1"/>
  <c r="L8498" i="58" s="1"/>
  <c r="O8512" i="58"/>
  <c r="P8512" i="58" s="1"/>
  <c r="O8511" i="58"/>
  <c r="P8511" i="58" s="1"/>
  <c r="I8511" i="58"/>
  <c r="J8511" i="58" s="1"/>
  <c r="O8510" i="58"/>
  <c r="P8510" i="58" s="1"/>
  <c r="I8510" i="58"/>
  <c r="J8510" i="58" s="1"/>
  <c r="O8509" i="58"/>
  <c r="P8509" i="58" s="1"/>
  <c r="J8509" i="58"/>
  <c r="I8509" i="58"/>
  <c r="P8508" i="58"/>
  <c r="O8508" i="58"/>
  <c r="I8508" i="58"/>
  <c r="J8508" i="58" s="1"/>
  <c r="O8507" i="58"/>
  <c r="P8507" i="58" s="1"/>
  <c r="I8507" i="58"/>
  <c r="J8507" i="58" s="1"/>
  <c r="O8506" i="58"/>
  <c r="P8506" i="58" s="1"/>
  <c r="I8506" i="58"/>
  <c r="J8506" i="58" s="1"/>
  <c r="O8505" i="58"/>
  <c r="P8505" i="58" s="1"/>
  <c r="I8505" i="58"/>
  <c r="J8505" i="58" s="1"/>
  <c r="O8504" i="58"/>
  <c r="P8504" i="58" s="1"/>
  <c r="I8504" i="58"/>
  <c r="J8504" i="58" s="1"/>
  <c r="O8503" i="58"/>
  <c r="P8503" i="58" s="1"/>
  <c r="J8503" i="58"/>
  <c r="I8503" i="58"/>
  <c r="P8502" i="58"/>
  <c r="O8502" i="58"/>
  <c r="I8502" i="58"/>
  <c r="J8502" i="58" s="1"/>
  <c r="P8501" i="58"/>
  <c r="O8501" i="58"/>
  <c r="I8501" i="58"/>
  <c r="J8501" i="58" s="1"/>
  <c r="O8500" i="58"/>
  <c r="P8500" i="58" s="1"/>
  <c r="I8500" i="58"/>
  <c r="J8500" i="58" s="1"/>
  <c r="O8499" i="58"/>
  <c r="P8499" i="58" s="1"/>
  <c r="P8498" i="58"/>
  <c r="Q8498" i="58" s="1"/>
  <c r="O8498" i="58"/>
  <c r="O8497" i="58"/>
  <c r="P8497" i="58" s="1"/>
  <c r="O8496" i="58"/>
  <c r="P8496" i="58" s="1"/>
  <c r="N8496" i="58"/>
  <c r="O8495" i="58"/>
  <c r="P8495" i="58" s="1"/>
  <c r="O8494" i="58"/>
  <c r="P8494" i="58" s="1"/>
  <c r="K8494" i="58"/>
  <c r="L8494" i="58" s="1"/>
  <c r="L8479" i="58" s="1"/>
  <c r="O8493" i="58"/>
  <c r="P8493" i="58" s="1"/>
  <c r="O8492" i="58"/>
  <c r="P8492" i="58" s="1"/>
  <c r="I8492" i="58"/>
  <c r="J8492" i="58" s="1"/>
  <c r="O8491" i="58"/>
  <c r="P8491" i="58" s="1"/>
  <c r="J8491" i="58"/>
  <c r="I8491" i="58"/>
  <c r="O8490" i="58"/>
  <c r="P8490" i="58" s="1"/>
  <c r="I8490" i="58"/>
  <c r="J8490" i="58" s="1"/>
  <c r="P8489" i="58"/>
  <c r="O8489" i="58"/>
  <c r="J8489" i="58"/>
  <c r="I8489" i="58"/>
  <c r="P8488" i="58"/>
  <c r="O8488" i="58"/>
  <c r="I8488" i="58"/>
  <c r="J8488" i="58" s="1"/>
  <c r="O8487" i="58"/>
  <c r="P8487" i="58" s="1"/>
  <c r="I8487" i="58"/>
  <c r="J8487" i="58" s="1"/>
  <c r="P8486" i="58"/>
  <c r="O8486" i="58"/>
  <c r="J8486" i="58"/>
  <c r="I8486" i="58"/>
  <c r="O8485" i="58"/>
  <c r="P8485" i="58" s="1"/>
  <c r="I8485" i="58"/>
  <c r="J8485" i="58" s="1"/>
  <c r="O8484" i="58"/>
  <c r="P8484" i="58" s="1"/>
  <c r="J8484" i="58"/>
  <c r="I8484" i="58"/>
  <c r="P8483" i="58"/>
  <c r="O8483" i="58"/>
  <c r="I8483" i="58"/>
  <c r="J8483" i="58" s="1"/>
  <c r="O8482" i="58"/>
  <c r="P8482" i="58" s="1"/>
  <c r="I8482" i="58"/>
  <c r="J8482" i="58" s="1"/>
  <c r="O8481" i="58"/>
  <c r="P8481" i="58" s="1"/>
  <c r="I8481" i="58"/>
  <c r="J8481" i="58" s="1"/>
  <c r="P8480" i="58"/>
  <c r="O8480" i="58"/>
  <c r="O8479" i="58"/>
  <c r="P8479" i="58" s="1"/>
  <c r="Q8479" i="58" s="1"/>
  <c r="O8478" i="58"/>
  <c r="P8478" i="58" s="1"/>
  <c r="O8477" i="58"/>
  <c r="P8477" i="58" s="1"/>
  <c r="N8477" i="58"/>
  <c r="P8476" i="58"/>
  <c r="O8476" i="58"/>
  <c r="O8475" i="58"/>
  <c r="P8475" i="58" s="1"/>
  <c r="K8475" i="58"/>
  <c r="L8475" i="58" s="1"/>
  <c r="L8460" i="58" s="1"/>
  <c r="O8474" i="58"/>
  <c r="P8474" i="58" s="1"/>
  <c r="O8473" i="58"/>
  <c r="P8473" i="58" s="1"/>
  <c r="J8473" i="58"/>
  <c r="I8473" i="58"/>
  <c r="O8472" i="58"/>
  <c r="P8472" i="58" s="1"/>
  <c r="I8472" i="58"/>
  <c r="J8472" i="58" s="1"/>
  <c r="O8471" i="58"/>
  <c r="P8471" i="58" s="1"/>
  <c r="I8471" i="58"/>
  <c r="J8471" i="58" s="1"/>
  <c r="P8470" i="58"/>
  <c r="O8470" i="58"/>
  <c r="I8470" i="58"/>
  <c r="J8470" i="58" s="1"/>
  <c r="O8469" i="58"/>
  <c r="P8469" i="58" s="1"/>
  <c r="I8469" i="58"/>
  <c r="J8469" i="58" s="1"/>
  <c r="O8468" i="58"/>
  <c r="P8468" i="58" s="1"/>
  <c r="I8468" i="58"/>
  <c r="J8468" i="58" s="1"/>
  <c r="O8467" i="58"/>
  <c r="P8467" i="58" s="1"/>
  <c r="I8467" i="58"/>
  <c r="J8467" i="58" s="1"/>
  <c r="O8466" i="58"/>
  <c r="P8466" i="58" s="1"/>
  <c r="I8466" i="58"/>
  <c r="J8466" i="58" s="1"/>
  <c r="O8465" i="58"/>
  <c r="P8465" i="58" s="1"/>
  <c r="I8465" i="58"/>
  <c r="J8465" i="58" s="1"/>
  <c r="P8464" i="58"/>
  <c r="O8464" i="58"/>
  <c r="I8464" i="58"/>
  <c r="J8464" i="58" s="1"/>
  <c r="O8463" i="58"/>
  <c r="P8463" i="58" s="1"/>
  <c r="I8463" i="58"/>
  <c r="J8463" i="58" s="1"/>
  <c r="P8462" i="58"/>
  <c r="O8462" i="58"/>
  <c r="I8462" i="58"/>
  <c r="J8462" i="58" s="1"/>
  <c r="P8461" i="58"/>
  <c r="O8461" i="58"/>
  <c r="O8460" i="58"/>
  <c r="P8460" i="58" s="1"/>
  <c r="Q8460" i="58" s="1"/>
  <c r="O8459" i="58"/>
  <c r="P8459" i="58" s="1"/>
  <c r="Q8459" i="58" s="1"/>
  <c r="P8458" i="58"/>
  <c r="O8458" i="58"/>
  <c r="P8457" i="58"/>
  <c r="O8457" i="58"/>
  <c r="O8456" i="58"/>
  <c r="P8456" i="58" s="1"/>
  <c r="K8456" i="58"/>
  <c r="L8456" i="58" s="1"/>
  <c r="L8441" i="58" s="1"/>
  <c r="O8455" i="58"/>
  <c r="P8455" i="58" s="1"/>
  <c r="O8454" i="58"/>
  <c r="P8454" i="58" s="1"/>
  <c r="J8454" i="58"/>
  <c r="I8454" i="58"/>
  <c r="O8453" i="58"/>
  <c r="P8453" i="58" s="1"/>
  <c r="I8453" i="58"/>
  <c r="J8453" i="58" s="1"/>
  <c r="P8452" i="58"/>
  <c r="O8452" i="58"/>
  <c r="I8452" i="58"/>
  <c r="J8452" i="58" s="1"/>
  <c r="P8451" i="58"/>
  <c r="O8451" i="58"/>
  <c r="I8451" i="58"/>
  <c r="J8451" i="58" s="1"/>
  <c r="O8450" i="58"/>
  <c r="P8450" i="58" s="1"/>
  <c r="I8450" i="58"/>
  <c r="J8450" i="58" s="1"/>
  <c r="P8449" i="58"/>
  <c r="O8449" i="58"/>
  <c r="I8449" i="58"/>
  <c r="J8449" i="58" s="1"/>
  <c r="O8448" i="58"/>
  <c r="P8448" i="58" s="1"/>
  <c r="I8448" i="58"/>
  <c r="J8448" i="58" s="1"/>
  <c r="O8447" i="58"/>
  <c r="P8447" i="58" s="1"/>
  <c r="I8447" i="58"/>
  <c r="J8447" i="58" s="1"/>
  <c r="O8446" i="58"/>
  <c r="P8446" i="58" s="1"/>
  <c r="I8446" i="58"/>
  <c r="J8446" i="58" s="1"/>
  <c r="O8445" i="58"/>
  <c r="P8445" i="58" s="1"/>
  <c r="I8445" i="58"/>
  <c r="J8445" i="58" s="1"/>
  <c r="O8444" i="58"/>
  <c r="P8444" i="58" s="1"/>
  <c r="I8444" i="58"/>
  <c r="J8444" i="58" s="1"/>
  <c r="O8443" i="58"/>
  <c r="P8443" i="58" s="1"/>
  <c r="I8443" i="58"/>
  <c r="J8443" i="58" s="1"/>
  <c r="O8442" i="58"/>
  <c r="P8442" i="58" s="1"/>
  <c r="O8441" i="58"/>
  <c r="P8441" i="58" s="1"/>
  <c r="Q8441" i="58" s="1"/>
  <c r="P8440" i="58"/>
  <c r="Q8440" i="58" s="1"/>
  <c r="R8440" i="58" s="1"/>
  <c r="O8440" i="58"/>
  <c r="K8440" i="58"/>
  <c r="L8440" i="58" s="1"/>
  <c r="L8433" i="58" s="1"/>
  <c r="O8439" i="58"/>
  <c r="P8439" i="58" s="1"/>
  <c r="O8438" i="58"/>
  <c r="P8438" i="58" s="1"/>
  <c r="I8438" i="58"/>
  <c r="J8438" i="58" s="1"/>
  <c r="Q8437" i="58"/>
  <c r="J8437" i="58"/>
  <c r="I8437" i="58"/>
  <c r="Q8436" i="58"/>
  <c r="I8436" i="58"/>
  <c r="J8436" i="58" s="1"/>
  <c r="O8435" i="58"/>
  <c r="P8435" i="58" s="1"/>
  <c r="I8435" i="58"/>
  <c r="J8435" i="58" s="1"/>
  <c r="O8434" i="58"/>
  <c r="P8434" i="58" s="1"/>
  <c r="P8433" i="58"/>
  <c r="Q8433" i="58" s="1"/>
  <c r="O8433" i="58"/>
  <c r="N8433" i="58"/>
  <c r="P8432" i="58"/>
  <c r="O8432" i="58"/>
  <c r="O8431" i="58"/>
  <c r="P8431" i="58" s="1"/>
  <c r="O8430" i="58"/>
  <c r="P8430" i="58" s="1"/>
  <c r="K8430" i="58"/>
  <c r="L8430" i="58" s="1"/>
  <c r="L8425" i="58" s="1"/>
  <c r="O8429" i="58"/>
  <c r="P8429" i="58" s="1"/>
  <c r="P8428" i="58"/>
  <c r="O8428" i="58"/>
  <c r="I8428" i="58"/>
  <c r="J8428" i="58" s="1"/>
  <c r="O8427" i="58"/>
  <c r="P8427" i="58" s="1"/>
  <c r="I8427" i="58"/>
  <c r="J8427" i="58" s="1"/>
  <c r="J8425" i="58" s="1"/>
  <c r="O8426" i="58"/>
  <c r="P8426" i="58" s="1"/>
  <c r="O8425" i="58"/>
  <c r="P8425" i="58" s="1"/>
  <c r="Q8425" i="58" s="1"/>
  <c r="O8424" i="58"/>
  <c r="P8424" i="58" s="1"/>
  <c r="P8423" i="58"/>
  <c r="O8423" i="58"/>
  <c r="O8422" i="58"/>
  <c r="P8422" i="58" s="1"/>
  <c r="L8422" i="58"/>
  <c r="L8417" i="58" s="1"/>
  <c r="K8422" i="58"/>
  <c r="O8421" i="58"/>
  <c r="P8421" i="58" s="1"/>
  <c r="O8420" i="58"/>
  <c r="P8420" i="58" s="1"/>
  <c r="I8420" i="58"/>
  <c r="J8420" i="58" s="1"/>
  <c r="O8419" i="58"/>
  <c r="P8419" i="58" s="1"/>
  <c r="I8419" i="58"/>
  <c r="J8419" i="58" s="1"/>
  <c r="O8418" i="58"/>
  <c r="P8418" i="58" s="1"/>
  <c r="O8417" i="58"/>
  <c r="P8417" i="58" s="1"/>
  <c r="Q8417" i="58" s="1"/>
  <c r="O8416" i="58"/>
  <c r="P8416" i="58" s="1"/>
  <c r="Q8416" i="58" s="1"/>
  <c r="R8416" i="58" s="1"/>
  <c r="O8415" i="58"/>
  <c r="P8415" i="58" s="1"/>
  <c r="P8414" i="58"/>
  <c r="O8414" i="58"/>
  <c r="K8414" i="58"/>
  <c r="L8414" i="58" s="1"/>
  <c r="L8409" i="58" s="1"/>
  <c r="O8413" i="58"/>
  <c r="P8413" i="58" s="1"/>
  <c r="O8412" i="58"/>
  <c r="P8412" i="58" s="1"/>
  <c r="I8412" i="58"/>
  <c r="J8412" i="58" s="1"/>
  <c r="O8411" i="58"/>
  <c r="P8411" i="58" s="1"/>
  <c r="I8411" i="58"/>
  <c r="J8411" i="58" s="1"/>
  <c r="O8410" i="58"/>
  <c r="P8410" i="58" s="1"/>
  <c r="O8409" i="58"/>
  <c r="P8409" i="58" s="1"/>
  <c r="Q8409" i="58" s="1"/>
  <c r="J8409" i="58"/>
  <c r="O8408" i="58"/>
  <c r="P8408" i="58" s="1"/>
  <c r="Q8408" i="58" s="1"/>
  <c r="R8408" i="58" s="1"/>
  <c r="K8408" i="58"/>
  <c r="L8408" i="58" s="1"/>
  <c r="L8406" i="58" s="1"/>
  <c r="O8407" i="58"/>
  <c r="P8407" i="58" s="1"/>
  <c r="O8406" i="58"/>
  <c r="P8406" i="58" s="1"/>
  <c r="Q8406" i="58" s="1"/>
  <c r="N8406" i="58"/>
  <c r="J8406" i="58"/>
  <c r="O8405" i="58"/>
  <c r="P8405" i="58" s="1"/>
  <c r="K8405" i="58"/>
  <c r="L8405" i="58" s="1"/>
  <c r="L8399" i="58" s="1"/>
  <c r="O8404" i="58"/>
  <c r="P8404" i="58" s="1"/>
  <c r="P8403" i="58"/>
  <c r="O8403" i="58"/>
  <c r="I8403" i="58"/>
  <c r="J8403" i="58" s="1"/>
  <c r="O8402" i="58"/>
  <c r="P8402" i="58" s="1"/>
  <c r="I8402" i="58"/>
  <c r="J8402" i="58" s="1"/>
  <c r="O8401" i="58"/>
  <c r="P8401" i="58" s="1"/>
  <c r="I8401" i="58"/>
  <c r="J8401" i="58" s="1"/>
  <c r="P8400" i="58"/>
  <c r="O8400" i="58"/>
  <c r="O8399" i="58"/>
  <c r="P8399" i="58" s="1"/>
  <c r="N8399" i="58"/>
  <c r="O8398" i="58"/>
  <c r="P8398" i="58" s="1"/>
  <c r="K8398" i="58"/>
  <c r="L8398" i="58" s="1"/>
  <c r="L8392" i="58" s="1"/>
  <c r="O8397" i="58"/>
  <c r="P8397" i="58" s="1"/>
  <c r="O8396" i="58"/>
  <c r="P8396" i="58" s="1"/>
  <c r="I8396" i="58"/>
  <c r="J8396" i="58" s="1"/>
  <c r="O8395" i="58"/>
  <c r="P8395" i="58" s="1"/>
  <c r="I8395" i="58"/>
  <c r="J8395" i="58" s="1"/>
  <c r="O8394" i="58"/>
  <c r="P8394" i="58" s="1"/>
  <c r="I8394" i="58"/>
  <c r="J8394" i="58" s="1"/>
  <c r="O8393" i="58"/>
  <c r="P8393" i="58" s="1"/>
  <c r="O8392" i="58"/>
  <c r="P8392" i="58" s="1"/>
  <c r="N8392" i="58"/>
  <c r="O8391" i="58"/>
  <c r="P8391" i="58" s="1"/>
  <c r="K8391" i="58"/>
  <c r="L8391" i="58" s="1"/>
  <c r="L8385" i="58" s="1"/>
  <c r="O8390" i="58"/>
  <c r="P8390" i="58" s="1"/>
  <c r="O8389" i="58"/>
  <c r="P8389" i="58" s="1"/>
  <c r="I8389" i="58"/>
  <c r="J8389" i="58" s="1"/>
  <c r="O8388" i="58"/>
  <c r="P8388" i="58" s="1"/>
  <c r="I8388" i="58"/>
  <c r="J8388" i="58" s="1"/>
  <c r="O8387" i="58"/>
  <c r="P8387" i="58" s="1"/>
  <c r="I8387" i="58"/>
  <c r="J8387" i="58" s="1"/>
  <c r="O8386" i="58"/>
  <c r="P8386" i="58" s="1"/>
  <c r="P8385" i="58"/>
  <c r="O8385" i="58"/>
  <c r="N8385" i="58"/>
  <c r="P8384" i="58"/>
  <c r="O8384" i="58"/>
  <c r="K8384" i="58"/>
  <c r="L8384" i="58" s="1"/>
  <c r="L8378" i="58" s="1"/>
  <c r="O8383" i="58"/>
  <c r="P8383" i="58" s="1"/>
  <c r="O8382" i="58"/>
  <c r="P8382" i="58" s="1"/>
  <c r="I8382" i="58"/>
  <c r="J8382" i="58" s="1"/>
  <c r="O8381" i="58"/>
  <c r="P8381" i="58" s="1"/>
  <c r="I8381" i="58"/>
  <c r="J8381" i="58" s="1"/>
  <c r="O8380" i="58"/>
  <c r="P8380" i="58" s="1"/>
  <c r="I8380" i="58"/>
  <c r="J8380" i="58" s="1"/>
  <c r="P8379" i="58"/>
  <c r="O8379" i="58"/>
  <c r="O8378" i="58"/>
  <c r="P8378" i="58" s="1"/>
  <c r="N8378" i="58"/>
  <c r="P8377" i="58"/>
  <c r="O8377" i="58"/>
  <c r="K8377" i="58"/>
  <c r="L8377" i="58" s="1"/>
  <c r="L8371" i="58" s="1"/>
  <c r="O8376" i="58"/>
  <c r="P8376" i="58" s="1"/>
  <c r="O8375" i="58"/>
  <c r="P8375" i="58" s="1"/>
  <c r="I8375" i="58"/>
  <c r="J8375" i="58" s="1"/>
  <c r="P8374" i="58"/>
  <c r="O8374" i="58"/>
  <c r="I8374" i="58"/>
  <c r="J8374" i="58" s="1"/>
  <c r="O8373" i="58"/>
  <c r="P8373" i="58" s="1"/>
  <c r="I8373" i="58"/>
  <c r="J8373" i="58" s="1"/>
  <c r="O8372" i="58"/>
  <c r="P8372" i="58" s="1"/>
  <c r="O8371" i="58"/>
  <c r="P8371" i="58" s="1"/>
  <c r="N8371" i="58"/>
  <c r="O8370" i="58"/>
  <c r="P8370" i="58" s="1"/>
  <c r="L8370" i="58"/>
  <c r="L8364" i="58" s="1"/>
  <c r="K8370" i="58"/>
  <c r="O8369" i="58"/>
  <c r="P8369" i="58" s="1"/>
  <c r="O8368" i="58"/>
  <c r="P8368" i="58" s="1"/>
  <c r="I8368" i="58"/>
  <c r="J8368" i="58" s="1"/>
  <c r="O8367" i="58"/>
  <c r="P8367" i="58" s="1"/>
  <c r="J8367" i="58"/>
  <c r="I8367" i="58"/>
  <c r="O8366" i="58"/>
  <c r="P8366" i="58" s="1"/>
  <c r="I8366" i="58"/>
  <c r="J8366" i="58" s="1"/>
  <c r="O8365" i="58"/>
  <c r="P8365" i="58" s="1"/>
  <c r="O8364" i="58"/>
  <c r="P8364" i="58" s="1"/>
  <c r="N8364" i="58"/>
  <c r="O8363" i="58"/>
  <c r="P8363" i="58" s="1"/>
  <c r="O8362" i="58"/>
  <c r="P8362" i="58" s="1"/>
  <c r="O8361" i="58"/>
  <c r="P8361" i="58" s="1"/>
  <c r="K8361" i="58"/>
  <c r="L8361" i="58" s="1"/>
  <c r="P8360" i="58"/>
  <c r="O8360" i="58"/>
  <c r="P8359" i="58"/>
  <c r="O8359" i="58"/>
  <c r="I8359" i="58"/>
  <c r="J8359" i="58" s="1"/>
  <c r="P8358" i="58"/>
  <c r="O8358" i="58"/>
  <c r="I8358" i="58"/>
  <c r="J8358" i="58" s="1"/>
  <c r="O8357" i="58"/>
  <c r="P8357" i="58" s="1"/>
  <c r="O8356" i="58"/>
  <c r="P8356" i="58" s="1"/>
  <c r="Q8356" i="58" s="1"/>
  <c r="L8356" i="58"/>
  <c r="O8355" i="58"/>
  <c r="P8355" i="58" s="1"/>
  <c r="O8354" i="58"/>
  <c r="P8354" i="58" s="1"/>
  <c r="O8353" i="58"/>
  <c r="P8353" i="58" s="1"/>
  <c r="K8353" i="58"/>
  <c r="L8353" i="58" s="1"/>
  <c r="L8351" i="58" s="1"/>
  <c r="P8352" i="58"/>
  <c r="O8352" i="58"/>
  <c r="O8351" i="58"/>
  <c r="P8351" i="58" s="1"/>
  <c r="Q8351" i="58" s="1"/>
  <c r="J8351" i="58"/>
  <c r="O8350" i="58"/>
  <c r="P8350" i="58" s="1"/>
  <c r="O8349" i="58"/>
  <c r="P8349" i="58" s="1"/>
  <c r="O8348" i="58"/>
  <c r="P8348" i="58" s="1"/>
  <c r="K8348" i="58"/>
  <c r="L8348" i="58" s="1"/>
  <c r="L8346" i="58" s="1"/>
  <c r="O8347" i="58"/>
  <c r="P8347" i="58" s="1"/>
  <c r="O8346" i="58"/>
  <c r="P8346" i="58" s="1"/>
  <c r="Q8346" i="58" s="1"/>
  <c r="J8346" i="58"/>
  <c r="Q8345" i="58"/>
  <c r="O8345" i="58"/>
  <c r="P8345" i="58" s="1"/>
  <c r="O8344" i="58"/>
  <c r="P8344" i="58" s="1"/>
  <c r="P8343" i="58"/>
  <c r="O8343" i="58"/>
  <c r="K8343" i="58"/>
  <c r="L8343" i="58" s="1"/>
  <c r="L8341" i="58" s="1"/>
  <c r="O8342" i="58"/>
  <c r="P8342" i="58" s="1"/>
  <c r="O8341" i="58"/>
  <c r="P8341" i="58" s="1"/>
  <c r="Q8341" i="58" s="1"/>
  <c r="J8341" i="58"/>
  <c r="O8340" i="58"/>
  <c r="P8340" i="58" s="1"/>
  <c r="P8339" i="58"/>
  <c r="O8339" i="58"/>
  <c r="O8338" i="58"/>
  <c r="P8338" i="58" s="1"/>
  <c r="K8338" i="58"/>
  <c r="L8338" i="58" s="1"/>
  <c r="O8337" i="58"/>
  <c r="P8337" i="58" s="1"/>
  <c r="O8336" i="58"/>
  <c r="P8336" i="58" s="1"/>
  <c r="Q8336" i="58" s="1"/>
  <c r="L8336" i="58"/>
  <c r="J8336" i="58"/>
  <c r="O8335" i="58"/>
  <c r="P8335" i="58" s="1"/>
  <c r="Q8335" i="58" s="1"/>
  <c r="R8335" i="58" s="1"/>
  <c r="P8334" i="58"/>
  <c r="O8334" i="58"/>
  <c r="O8333" i="58"/>
  <c r="P8333" i="58" s="1"/>
  <c r="K8333" i="58"/>
  <c r="L8333" i="58" s="1"/>
  <c r="L8331" i="58" s="1"/>
  <c r="P8332" i="58"/>
  <c r="O8332" i="58"/>
  <c r="O8331" i="58"/>
  <c r="P8331" i="58" s="1"/>
  <c r="Q8331" i="58" s="1"/>
  <c r="J8331" i="58"/>
  <c r="O8330" i="58"/>
  <c r="P8330" i="58" s="1"/>
  <c r="P8329" i="58"/>
  <c r="O8329" i="58"/>
  <c r="O8328" i="58"/>
  <c r="P8328" i="58" s="1"/>
  <c r="K8328" i="58"/>
  <c r="L8328" i="58" s="1"/>
  <c r="L8326" i="58" s="1"/>
  <c r="P8327" i="58"/>
  <c r="O8327" i="58"/>
  <c r="P8326" i="58"/>
  <c r="Q8326" i="58" s="1"/>
  <c r="O8326" i="58"/>
  <c r="J8326" i="58"/>
  <c r="R8325" i="58"/>
  <c r="O8325" i="58"/>
  <c r="P8325" i="58" s="1"/>
  <c r="Q8325" i="58" s="1"/>
  <c r="O8324" i="58"/>
  <c r="P8324" i="58" s="1"/>
  <c r="O8323" i="58"/>
  <c r="P8323" i="58" s="1"/>
  <c r="K8323" i="58"/>
  <c r="L8323" i="58" s="1"/>
  <c r="L8321" i="58" s="1"/>
  <c r="P8322" i="58"/>
  <c r="O8322" i="58"/>
  <c r="O8321" i="58"/>
  <c r="P8321" i="58" s="1"/>
  <c r="Q8321" i="58" s="1"/>
  <c r="J8321" i="58"/>
  <c r="P8320" i="58"/>
  <c r="O8320" i="58"/>
  <c r="O8319" i="58"/>
  <c r="P8319" i="58" s="1"/>
  <c r="O8318" i="58"/>
  <c r="P8318" i="58" s="1"/>
  <c r="K8318" i="58"/>
  <c r="L8318" i="58" s="1"/>
  <c r="L8316" i="58" s="1"/>
  <c r="O8317" i="58"/>
  <c r="P8317" i="58" s="1"/>
  <c r="O8316" i="58"/>
  <c r="P8316" i="58" s="1"/>
  <c r="Q8316" i="58" s="1"/>
  <c r="J8316" i="58"/>
  <c r="O8315" i="58"/>
  <c r="P8315" i="58" s="1"/>
  <c r="P8314" i="58"/>
  <c r="O8314" i="58"/>
  <c r="P8313" i="58"/>
  <c r="O8313" i="58"/>
  <c r="K8313" i="58"/>
  <c r="L8313" i="58" s="1"/>
  <c r="P8312" i="58"/>
  <c r="O8312" i="58"/>
  <c r="O8311" i="58"/>
  <c r="P8311" i="58" s="1"/>
  <c r="Q8311" i="58" s="1"/>
  <c r="L8311" i="58"/>
  <c r="J8311" i="58"/>
  <c r="O8310" i="58"/>
  <c r="P8310" i="58" s="1"/>
  <c r="Q8310" i="58" s="1"/>
  <c r="R8310" i="58" s="1"/>
  <c r="O8309" i="58"/>
  <c r="P8309" i="58" s="1"/>
  <c r="O8308" i="58"/>
  <c r="P8308" i="58" s="1"/>
  <c r="K8308" i="58"/>
  <c r="L8308" i="58" s="1"/>
  <c r="L8306" i="58" s="1"/>
  <c r="O8307" i="58"/>
  <c r="P8307" i="58" s="1"/>
  <c r="O8306" i="58"/>
  <c r="P8306" i="58" s="1"/>
  <c r="Q8306" i="58" s="1"/>
  <c r="J8306" i="58"/>
  <c r="O8305" i="58"/>
  <c r="P8305" i="58" s="1"/>
  <c r="K8305" i="58"/>
  <c r="L8305" i="58" s="1"/>
  <c r="L8291" i="58" s="1"/>
  <c r="O8304" i="58"/>
  <c r="P8304" i="58" s="1"/>
  <c r="P8303" i="58"/>
  <c r="O8303" i="58"/>
  <c r="J8303" i="58"/>
  <c r="I8303" i="58"/>
  <c r="O8302" i="58"/>
  <c r="P8302" i="58" s="1"/>
  <c r="I8302" i="58"/>
  <c r="J8302" i="58" s="1"/>
  <c r="O8301" i="58"/>
  <c r="P8301" i="58" s="1"/>
  <c r="I8301" i="58"/>
  <c r="J8301" i="58" s="1"/>
  <c r="O8300" i="58"/>
  <c r="P8300" i="58" s="1"/>
  <c r="I8300" i="58"/>
  <c r="J8300" i="58" s="1"/>
  <c r="O8299" i="58"/>
  <c r="P8299" i="58" s="1"/>
  <c r="I8299" i="58"/>
  <c r="J8299" i="58" s="1"/>
  <c r="O8298" i="58"/>
  <c r="P8298" i="58" s="1"/>
  <c r="I8298" i="58"/>
  <c r="J8298" i="58" s="1"/>
  <c r="O8297" i="58"/>
  <c r="P8297" i="58" s="1"/>
  <c r="I8297" i="58"/>
  <c r="J8297" i="58" s="1"/>
  <c r="O8296" i="58"/>
  <c r="P8296" i="58" s="1"/>
  <c r="I8296" i="58"/>
  <c r="J8296" i="58" s="1"/>
  <c r="P8295" i="58"/>
  <c r="O8295" i="58"/>
  <c r="I8295" i="58"/>
  <c r="J8295" i="58" s="1"/>
  <c r="O8294" i="58"/>
  <c r="P8294" i="58" s="1"/>
  <c r="I8294" i="58"/>
  <c r="J8294" i="58" s="1"/>
  <c r="O8293" i="58"/>
  <c r="P8293" i="58" s="1"/>
  <c r="I8293" i="58"/>
  <c r="J8293" i="58" s="1"/>
  <c r="O8292" i="58"/>
  <c r="P8292" i="58" s="1"/>
  <c r="O8291" i="58"/>
  <c r="P8291" i="58" s="1"/>
  <c r="Q8291" i="58" s="1"/>
  <c r="N8291" i="58"/>
  <c r="O8290" i="58"/>
  <c r="P8290" i="58" s="1"/>
  <c r="K8290" i="58"/>
  <c r="L8290" i="58" s="1"/>
  <c r="L8276" i="58" s="1"/>
  <c r="O8289" i="58"/>
  <c r="P8289" i="58" s="1"/>
  <c r="O8288" i="58"/>
  <c r="P8288" i="58" s="1"/>
  <c r="I8288" i="58"/>
  <c r="J8288" i="58" s="1"/>
  <c r="O8287" i="58"/>
  <c r="P8287" i="58" s="1"/>
  <c r="I8287" i="58"/>
  <c r="J8287" i="58" s="1"/>
  <c r="O8286" i="58"/>
  <c r="P8286" i="58" s="1"/>
  <c r="I8286" i="58"/>
  <c r="J8286" i="58" s="1"/>
  <c r="O8285" i="58"/>
  <c r="P8285" i="58" s="1"/>
  <c r="I8285" i="58"/>
  <c r="J8285" i="58" s="1"/>
  <c r="P8284" i="58"/>
  <c r="O8284" i="58"/>
  <c r="I8284" i="58"/>
  <c r="J8284" i="58" s="1"/>
  <c r="P8283" i="58"/>
  <c r="O8283" i="58"/>
  <c r="I8283" i="58"/>
  <c r="J8283" i="58" s="1"/>
  <c r="O8282" i="58"/>
  <c r="P8282" i="58" s="1"/>
  <c r="I8282" i="58"/>
  <c r="J8282" i="58" s="1"/>
  <c r="O8281" i="58"/>
  <c r="P8281" i="58" s="1"/>
  <c r="I8281" i="58"/>
  <c r="J8281" i="58" s="1"/>
  <c r="P8280" i="58"/>
  <c r="O8280" i="58"/>
  <c r="I8280" i="58"/>
  <c r="J8280" i="58" s="1"/>
  <c r="O8279" i="58"/>
  <c r="P8279" i="58" s="1"/>
  <c r="J8279" i="58"/>
  <c r="I8279" i="58"/>
  <c r="O8278" i="58"/>
  <c r="P8278" i="58" s="1"/>
  <c r="I8278" i="58"/>
  <c r="J8278" i="58" s="1"/>
  <c r="O8277" i="58"/>
  <c r="P8277" i="58" s="1"/>
  <c r="O8276" i="58"/>
  <c r="P8276" i="58" s="1"/>
  <c r="Q8276" i="58" s="1"/>
  <c r="N8276" i="58"/>
  <c r="O8275" i="58"/>
  <c r="P8275" i="58" s="1"/>
  <c r="L8275" i="58"/>
  <c r="L8261" i="58" s="1"/>
  <c r="K8275" i="58"/>
  <c r="P8274" i="58"/>
  <c r="O8274" i="58"/>
  <c r="O8273" i="58"/>
  <c r="P8273" i="58" s="1"/>
  <c r="I8273" i="58"/>
  <c r="J8273" i="58" s="1"/>
  <c r="O8272" i="58"/>
  <c r="P8272" i="58" s="1"/>
  <c r="I8272" i="58"/>
  <c r="J8272" i="58" s="1"/>
  <c r="O8271" i="58"/>
  <c r="P8271" i="58" s="1"/>
  <c r="I8271" i="58"/>
  <c r="J8271" i="58" s="1"/>
  <c r="O8270" i="58"/>
  <c r="P8270" i="58" s="1"/>
  <c r="I8270" i="58"/>
  <c r="J8270" i="58" s="1"/>
  <c r="P8269" i="58"/>
  <c r="O8269" i="58"/>
  <c r="I8269" i="58"/>
  <c r="J8269" i="58" s="1"/>
  <c r="O8268" i="58"/>
  <c r="P8268" i="58" s="1"/>
  <c r="I8268" i="58"/>
  <c r="J8268" i="58" s="1"/>
  <c r="O8267" i="58"/>
  <c r="P8267" i="58" s="1"/>
  <c r="I8267" i="58"/>
  <c r="J8267" i="58" s="1"/>
  <c r="P8266" i="58"/>
  <c r="O8266" i="58"/>
  <c r="I8266" i="58"/>
  <c r="J8266" i="58" s="1"/>
  <c r="O8265" i="58"/>
  <c r="P8265" i="58" s="1"/>
  <c r="I8265" i="58"/>
  <c r="J8265" i="58" s="1"/>
  <c r="O8264" i="58"/>
  <c r="P8264" i="58" s="1"/>
  <c r="I8264" i="58"/>
  <c r="J8264" i="58" s="1"/>
  <c r="O8263" i="58"/>
  <c r="P8263" i="58" s="1"/>
  <c r="I8263" i="58"/>
  <c r="J8263" i="58" s="1"/>
  <c r="O8262" i="58"/>
  <c r="P8262" i="58" s="1"/>
  <c r="P8261" i="58"/>
  <c r="Q8261" i="58" s="1"/>
  <c r="O8261" i="58"/>
  <c r="N8261" i="58"/>
  <c r="O8260" i="58"/>
  <c r="P8260" i="58" s="1"/>
  <c r="Q8260" i="58" s="1"/>
  <c r="R8260" i="58" s="1"/>
  <c r="K8260" i="58"/>
  <c r="L8260" i="58" s="1"/>
  <c r="L8246" i="58" s="1"/>
  <c r="O8259" i="58"/>
  <c r="P8259" i="58" s="1"/>
  <c r="O8258" i="58"/>
  <c r="P8258" i="58" s="1"/>
  <c r="I8258" i="58"/>
  <c r="J8258" i="58" s="1"/>
  <c r="O8257" i="58"/>
  <c r="P8257" i="58" s="1"/>
  <c r="I8257" i="58"/>
  <c r="J8257" i="58" s="1"/>
  <c r="P8256" i="58"/>
  <c r="O8256" i="58"/>
  <c r="I8256" i="58"/>
  <c r="J8256" i="58" s="1"/>
  <c r="O8255" i="58"/>
  <c r="P8255" i="58" s="1"/>
  <c r="I8255" i="58"/>
  <c r="J8255" i="58" s="1"/>
  <c r="O8254" i="58"/>
  <c r="P8254" i="58" s="1"/>
  <c r="I8254" i="58"/>
  <c r="J8254" i="58" s="1"/>
  <c r="O8253" i="58"/>
  <c r="P8253" i="58" s="1"/>
  <c r="I8253" i="58"/>
  <c r="J8253" i="58" s="1"/>
  <c r="O8252" i="58"/>
  <c r="P8252" i="58" s="1"/>
  <c r="I8252" i="58"/>
  <c r="J8252" i="58" s="1"/>
  <c r="P8251" i="58"/>
  <c r="O8251" i="58"/>
  <c r="J8251" i="58"/>
  <c r="I8251" i="58"/>
  <c r="O8250" i="58"/>
  <c r="P8250" i="58" s="1"/>
  <c r="I8250" i="58"/>
  <c r="J8250" i="58" s="1"/>
  <c r="O8249" i="58"/>
  <c r="P8249" i="58" s="1"/>
  <c r="I8249" i="58"/>
  <c r="J8249" i="58" s="1"/>
  <c r="O8248" i="58"/>
  <c r="P8248" i="58" s="1"/>
  <c r="I8248" i="58"/>
  <c r="J8248" i="58" s="1"/>
  <c r="P8247" i="58"/>
  <c r="O8247" i="58"/>
  <c r="Q8246" i="58"/>
  <c r="O8246" i="58"/>
  <c r="P8246" i="58" s="1"/>
  <c r="N8246" i="58"/>
  <c r="O8245" i="58"/>
  <c r="P8245" i="58" s="1"/>
  <c r="K8245" i="58"/>
  <c r="L8245" i="58" s="1"/>
  <c r="L8231" i="58" s="1"/>
  <c r="P8244" i="58"/>
  <c r="O8244" i="58"/>
  <c r="O8243" i="58"/>
  <c r="P8243" i="58" s="1"/>
  <c r="I8243" i="58"/>
  <c r="J8243" i="58" s="1"/>
  <c r="O8242" i="58"/>
  <c r="P8242" i="58" s="1"/>
  <c r="I8242" i="58"/>
  <c r="J8242" i="58" s="1"/>
  <c r="O8241" i="58"/>
  <c r="P8241" i="58" s="1"/>
  <c r="I8241" i="58"/>
  <c r="J8241" i="58" s="1"/>
  <c r="O8240" i="58"/>
  <c r="P8240" i="58" s="1"/>
  <c r="I8240" i="58"/>
  <c r="J8240" i="58" s="1"/>
  <c r="P8239" i="58"/>
  <c r="O8239" i="58"/>
  <c r="I8239" i="58"/>
  <c r="J8239" i="58" s="1"/>
  <c r="O8238" i="58"/>
  <c r="P8238" i="58" s="1"/>
  <c r="I8238" i="58"/>
  <c r="J8238" i="58" s="1"/>
  <c r="O8237" i="58"/>
  <c r="P8237" i="58" s="1"/>
  <c r="I8237" i="58"/>
  <c r="J8237" i="58" s="1"/>
  <c r="O8236" i="58"/>
  <c r="P8236" i="58" s="1"/>
  <c r="I8236" i="58"/>
  <c r="J8236" i="58" s="1"/>
  <c r="O8235" i="58"/>
  <c r="P8235" i="58" s="1"/>
  <c r="I8235" i="58"/>
  <c r="J8235" i="58" s="1"/>
  <c r="O8234" i="58"/>
  <c r="P8234" i="58" s="1"/>
  <c r="J8234" i="58"/>
  <c r="I8234" i="58"/>
  <c r="O8233" i="58"/>
  <c r="P8233" i="58" s="1"/>
  <c r="I8233" i="58"/>
  <c r="J8233" i="58" s="1"/>
  <c r="O8232" i="58"/>
  <c r="P8232" i="58" s="1"/>
  <c r="P8231" i="58"/>
  <c r="Q8231" i="58" s="1"/>
  <c r="O8231" i="58"/>
  <c r="N8231" i="58"/>
  <c r="O8230" i="58"/>
  <c r="P8230" i="58" s="1"/>
  <c r="K8230" i="58"/>
  <c r="L8230" i="58" s="1"/>
  <c r="L8216" i="58" s="1"/>
  <c r="O8229" i="58"/>
  <c r="P8229" i="58" s="1"/>
  <c r="O8228" i="58"/>
  <c r="P8228" i="58" s="1"/>
  <c r="I8228" i="58"/>
  <c r="J8228" i="58" s="1"/>
  <c r="O8227" i="58"/>
  <c r="P8227" i="58" s="1"/>
  <c r="I8227" i="58"/>
  <c r="J8227" i="58" s="1"/>
  <c r="O8226" i="58"/>
  <c r="P8226" i="58" s="1"/>
  <c r="I8226" i="58"/>
  <c r="J8226" i="58" s="1"/>
  <c r="O8225" i="58"/>
  <c r="P8225" i="58" s="1"/>
  <c r="I8225" i="58"/>
  <c r="J8225" i="58" s="1"/>
  <c r="O8224" i="58"/>
  <c r="P8224" i="58" s="1"/>
  <c r="I8224" i="58"/>
  <c r="J8224" i="58" s="1"/>
  <c r="O8223" i="58"/>
  <c r="P8223" i="58" s="1"/>
  <c r="I8223" i="58"/>
  <c r="J8223" i="58" s="1"/>
  <c r="O8222" i="58"/>
  <c r="P8222" i="58" s="1"/>
  <c r="I8222" i="58"/>
  <c r="J8222" i="58" s="1"/>
  <c r="O8221" i="58"/>
  <c r="P8221" i="58" s="1"/>
  <c r="I8221" i="58"/>
  <c r="J8221" i="58" s="1"/>
  <c r="O8220" i="58"/>
  <c r="P8220" i="58" s="1"/>
  <c r="I8220" i="58"/>
  <c r="J8220" i="58" s="1"/>
  <c r="O8219" i="58"/>
  <c r="P8219" i="58" s="1"/>
  <c r="I8219" i="58"/>
  <c r="J8219" i="58" s="1"/>
  <c r="O8218" i="58"/>
  <c r="P8218" i="58" s="1"/>
  <c r="I8218" i="58"/>
  <c r="J8218" i="58" s="1"/>
  <c r="O8217" i="58"/>
  <c r="P8217" i="58" s="1"/>
  <c r="Q8216" i="58"/>
  <c r="O8216" i="58"/>
  <c r="P8216" i="58" s="1"/>
  <c r="N8216" i="58"/>
  <c r="P8215" i="58"/>
  <c r="O8215" i="58"/>
  <c r="K8215" i="58"/>
  <c r="L8215" i="58" s="1"/>
  <c r="L8201" i="58" s="1"/>
  <c r="O8214" i="58"/>
  <c r="P8214" i="58" s="1"/>
  <c r="P8213" i="58"/>
  <c r="O8213" i="58"/>
  <c r="I8213" i="58"/>
  <c r="J8213" i="58" s="1"/>
  <c r="O8212" i="58"/>
  <c r="P8212" i="58" s="1"/>
  <c r="J8212" i="58"/>
  <c r="I8212" i="58"/>
  <c r="O8211" i="58"/>
  <c r="P8211" i="58" s="1"/>
  <c r="I8211" i="58"/>
  <c r="J8211" i="58" s="1"/>
  <c r="O8210" i="58"/>
  <c r="P8210" i="58" s="1"/>
  <c r="I8210" i="58"/>
  <c r="J8210" i="58" s="1"/>
  <c r="P8209" i="58"/>
  <c r="O8209" i="58"/>
  <c r="I8209" i="58"/>
  <c r="J8209" i="58" s="1"/>
  <c r="O8208" i="58"/>
  <c r="P8208" i="58" s="1"/>
  <c r="J8208" i="58"/>
  <c r="I8208" i="58"/>
  <c r="O8207" i="58"/>
  <c r="P8207" i="58" s="1"/>
  <c r="I8207" i="58"/>
  <c r="J8207" i="58" s="1"/>
  <c r="O8206" i="58"/>
  <c r="P8206" i="58" s="1"/>
  <c r="I8206" i="58"/>
  <c r="J8206" i="58" s="1"/>
  <c r="P8205" i="58"/>
  <c r="O8205" i="58"/>
  <c r="I8205" i="58"/>
  <c r="J8205" i="58" s="1"/>
  <c r="P8204" i="58"/>
  <c r="O8204" i="58"/>
  <c r="I8204" i="58"/>
  <c r="J8204" i="58" s="1"/>
  <c r="O8203" i="58"/>
  <c r="P8203" i="58" s="1"/>
  <c r="I8203" i="58"/>
  <c r="J8203" i="58" s="1"/>
  <c r="O8202" i="58"/>
  <c r="P8202" i="58" s="1"/>
  <c r="O8201" i="58"/>
  <c r="P8201" i="58" s="1"/>
  <c r="Q8201" i="58" s="1"/>
  <c r="N8201" i="58"/>
  <c r="O8200" i="58"/>
  <c r="P8200" i="58" s="1"/>
  <c r="K8200" i="58"/>
  <c r="L8200" i="58" s="1"/>
  <c r="L8186" i="58" s="1"/>
  <c r="P8199" i="58"/>
  <c r="O8199" i="58"/>
  <c r="O8198" i="58"/>
  <c r="P8198" i="58" s="1"/>
  <c r="I8198" i="58"/>
  <c r="J8198" i="58" s="1"/>
  <c r="O8197" i="58"/>
  <c r="P8197" i="58" s="1"/>
  <c r="I8197" i="58"/>
  <c r="J8197" i="58" s="1"/>
  <c r="O8196" i="58"/>
  <c r="P8196" i="58" s="1"/>
  <c r="I8196" i="58"/>
  <c r="J8196" i="58" s="1"/>
  <c r="P8195" i="58"/>
  <c r="O8195" i="58"/>
  <c r="J8195" i="58"/>
  <c r="I8195" i="58"/>
  <c r="O8194" i="58"/>
  <c r="P8194" i="58" s="1"/>
  <c r="I8194" i="58"/>
  <c r="J8194" i="58" s="1"/>
  <c r="O8193" i="58"/>
  <c r="P8193" i="58" s="1"/>
  <c r="I8193" i="58"/>
  <c r="J8193" i="58" s="1"/>
  <c r="P8192" i="58"/>
  <c r="O8192" i="58"/>
  <c r="I8192" i="58"/>
  <c r="J8192" i="58" s="1"/>
  <c r="O8191" i="58"/>
  <c r="P8191" i="58" s="1"/>
  <c r="I8191" i="58"/>
  <c r="J8191" i="58" s="1"/>
  <c r="O8190" i="58"/>
  <c r="P8190" i="58" s="1"/>
  <c r="I8190" i="58"/>
  <c r="J8190" i="58" s="1"/>
  <c r="P8189" i="58"/>
  <c r="O8189" i="58"/>
  <c r="I8189" i="58"/>
  <c r="J8189" i="58" s="1"/>
  <c r="O8188" i="58"/>
  <c r="P8188" i="58" s="1"/>
  <c r="I8188" i="58"/>
  <c r="J8188" i="58" s="1"/>
  <c r="O8187" i="58"/>
  <c r="P8187" i="58" s="1"/>
  <c r="P8186" i="58"/>
  <c r="Q8186" i="58" s="1"/>
  <c r="O8186" i="58"/>
  <c r="N8186" i="58"/>
  <c r="P8185" i="58"/>
  <c r="O8185" i="58"/>
  <c r="K8185" i="58"/>
  <c r="L8185" i="58" s="1"/>
  <c r="L8171" i="58" s="1"/>
  <c r="O8184" i="58"/>
  <c r="P8184" i="58" s="1"/>
  <c r="P8183" i="58"/>
  <c r="O8183" i="58"/>
  <c r="J8183" i="58"/>
  <c r="I8183" i="58"/>
  <c r="O8182" i="58"/>
  <c r="P8182" i="58" s="1"/>
  <c r="I8182" i="58"/>
  <c r="J8182" i="58" s="1"/>
  <c r="O8181" i="58"/>
  <c r="P8181" i="58" s="1"/>
  <c r="I8181" i="58"/>
  <c r="J8181" i="58" s="1"/>
  <c r="O8180" i="58"/>
  <c r="P8180" i="58" s="1"/>
  <c r="I8180" i="58"/>
  <c r="J8180" i="58" s="1"/>
  <c r="O8179" i="58"/>
  <c r="P8179" i="58" s="1"/>
  <c r="I8179" i="58"/>
  <c r="J8179" i="58" s="1"/>
  <c r="P8178" i="58"/>
  <c r="O8178" i="58"/>
  <c r="J8178" i="58"/>
  <c r="I8178" i="58"/>
  <c r="O8177" i="58"/>
  <c r="P8177" i="58" s="1"/>
  <c r="I8177" i="58"/>
  <c r="J8177" i="58" s="1"/>
  <c r="O8176" i="58"/>
  <c r="P8176" i="58" s="1"/>
  <c r="I8176" i="58"/>
  <c r="J8176" i="58" s="1"/>
  <c r="O8175" i="58"/>
  <c r="P8175" i="58" s="1"/>
  <c r="I8175" i="58"/>
  <c r="J8175" i="58" s="1"/>
  <c r="O8174" i="58"/>
  <c r="P8174" i="58" s="1"/>
  <c r="I8174" i="58"/>
  <c r="J8174" i="58" s="1"/>
  <c r="P8173" i="58"/>
  <c r="O8173" i="58"/>
  <c r="I8173" i="58"/>
  <c r="J8173" i="58" s="1"/>
  <c r="O8172" i="58"/>
  <c r="P8172" i="58" s="1"/>
  <c r="O8171" i="58"/>
  <c r="P8171" i="58" s="1"/>
  <c r="Q8171" i="58" s="1"/>
  <c r="N8171" i="58"/>
  <c r="O8170" i="58"/>
  <c r="P8170" i="58" s="1"/>
  <c r="K8170" i="58"/>
  <c r="L8170" i="58" s="1"/>
  <c r="L8156" i="58" s="1"/>
  <c r="O8169" i="58"/>
  <c r="P8169" i="58" s="1"/>
  <c r="O8168" i="58"/>
  <c r="P8168" i="58" s="1"/>
  <c r="I8168" i="58"/>
  <c r="J8168" i="58" s="1"/>
  <c r="O8167" i="58"/>
  <c r="P8167" i="58" s="1"/>
  <c r="I8167" i="58"/>
  <c r="J8167" i="58" s="1"/>
  <c r="P8166" i="58"/>
  <c r="O8166" i="58"/>
  <c r="I8166" i="58"/>
  <c r="J8166" i="58" s="1"/>
  <c r="O8165" i="58"/>
  <c r="P8165" i="58" s="1"/>
  <c r="I8165" i="58"/>
  <c r="J8165" i="58" s="1"/>
  <c r="O8164" i="58"/>
  <c r="P8164" i="58" s="1"/>
  <c r="I8164" i="58"/>
  <c r="J8164" i="58" s="1"/>
  <c r="P8163" i="58"/>
  <c r="O8163" i="58"/>
  <c r="I8163" i="58"/>
  <c r="J8163" i="58" s="1"/>
  <c r="O8162" i="58"/>
  <c r="P8162" i="58" s="1"/>
  <c r="I8162" i="58"/>
  <c r="J8162" i="58" s="1"/>
  <c r="O8161" i="58"/>
  <c r="P8161" i="58" s="1"/>
  <c r="I8161" i="58"/>
  <c r="J8161" i="58" s="1"/>
  <c r="O8160" i="58"/>
  <c r="P8160" i="58" s="1"/>
  <c r="I8160" i="58"/>
  <c r="J8160" i="58" s="1"/>
  <c r="O8159" i="58"/>
  <c r="P8159" i="58" s="1"/>
  <c r="I8159" i="58"/>
  <c r="J8159" i="58" s="1"/>
  <c r="P8158" i="58"/>
  <c r="O8158" i="58"/>
  <c r="I8158" i="58"/>
  <c r="J8158" i="58" s="1"/>
  <c r="O8157" i="58"/>
  <c r="P8157" i="58" s="1"/>
  <c r="O8156" i="58"/>
  <c r="P8156" i="58" s="1"/>
  <c r="Q8156" i="58" s="1"/>
  <c r="N8156" i="58"/>
  <c r="O8155" i="58"/>
  <c r="P8155" i="58" s="1"/>
  <c r="K8155" i="58"/>
  <c r="L8155" i="58" s="1"/>
  <c r="L8141" i="58" s="1"/>
  <c r="O8154" i="58"/>
  <c r="P8154" i="58" s="1"/>
  <c r="O8153" i="58"/>
  <c r="P8153" i="58" s="1"/>
  <c r="I8153" i="58"/>
  <c r="J8153" i="58" s="1"/>
  <c r="O8152" i="58"/>
  <c r="P8152" i="58" s="1"/>
  <c r="I8152" i="58"/>
  <c r="J8152" i="58" s="1"/>
  <c r="O8151" i="58"/>
  <c r="P8151" i="58" s="1"/>
  <c r="I8151" i="58"/>
  <c r="J8151" i="58" s="1"/>
  <c r="P8150" i="58"/>
  <c r="O8150" i="58"/>
  <c r="I8150" i="58"/>
  <c r="J8150" i="58" s="1"/>
  <c r="O8149" i="58"/>
  <c r="P8149" i="58" s="1"/>
  <c r="I8149" i="58"/>
  <c r="J8149" i="58" s="1"/>
  <c r="O8148" i="58"/>
  <c r="P8148" i="58" s="1"/>
  <c r="I8148" i="58"/>
  <c r="J8148" i="58" s="1"/>
  <c r="P8147" i="58"/>
  <c r="O8147" i="58"/>
  <c r="I8147" i="58"/>
  <c r="J8147" i="58" s="1"/>
  <c r="O8146" i="58"/>
  <c r="P8146" i="58" s="1"/>
  <c r="I8146" i="58"/>
  <c r="J8146" i="58" s="1"/>
  <c r="O8145" i="58"/>
  <c r="P8145" i="58" s="1"/>
  <c r="I8145" i="58"/>
  <c r="J8145" i="58" s="1"/>
  <c r="O8144" i="58"/>
  <c r="P8144" i="58" s="1"/>
  <c r="I8144" i="58"/>
  <c r="J8144" i="58" s="1"/>
  <c r="P8143" i="58"/>
  <c r="O8143" i="58"/>
  <c r="I8143" i="58"/>
  <c r="J8143" i="58" s="1"/>
  <c r="P8142" i="58"/>
  <c r="O8142" i="58"/>
  <c r="O8141" i="58"/>
  <c r="P8141" i="58" s="1"/>
  <c r="Q8141" i="58" s="1"/>
  <c r="N8141" i="58"/>
  <c r="O8140" i="58"/>
  <c r="P8140" i="58" s="1"/>
  <c r="K8140" i="58"/>
  <c r="L8140" i="58" s="1"/>
  <c r="L8126" i="58" s="1"/>
  <c r="O8139" i="58"/>
  <c r="P8139" i="58" s="1"/>
  <c r="O8138" i="58"/>
  <c r="P8138" i="58" s="1"/>
  <c r="I8138" i="58"/>
  <c r="J8138" i="58" s="1"/>
  <c r="P8137" i="58"/>
  <c r="O8137" i="58"/>
  <c r="I8137" i="58"/>
  <c r="J8137" i="58" s="1"/>
  <c r="O8136" i="58"/>
  <c r="P8136" i="58" s="1"/>
  <c r="I8136" i="58"/>
  <c r="J8136" i="58" s="1"/>
  <c r="O8135" i="58"/>
  <c r="P8135" i="58" s="1"/>
  <c r="I8135" i="58"/>
  <c r="J8135" i="58" s="1"/>
  <c r="O8134" i="58"/>
  <c r="P8134" i="58" s="1"/>
  <c r="J8134" i="58"/>
  <c r="I8134" i="58"/>
  <c r="P8133" i="58"/>
  <c r="O8133" i="58"/>
  <c r="I8133" i="58"/>
  <c r="J8133" i="58" s="1"/>
  <c r="O8132" i="58"/>
  <c r="P8132" i="58" s="1"/>
  <c r="I8132" i="58"/>
  <c r="J8132" i="58" s="1"/>
  <c r="O8131" i="58"/>
  <c r="P8131" i="58" s="1"/>
  <c r="I8131" i="58"/>
  <c r="J8131" i="58" s="1"/>
  <c r="P8130" i="58"/>
  <c r="O8130" i="58"/>
  <c r="I8130" i="58"/>
  <c r="J8130" i="58" s="1"/>
  <c r="P8129" i="58"/>
  <c r="O8129" i="58"/>
  <c r="I8129" i="58"/>
  <c r="J8129" i="58" s="1"/>
  <c r="O8128" i="58"/>
  <c r="P8128" i="58" s="1"/>
  <c r="I8128" i="58"/>
  <c r="J8128" i="58" s="1"/>
  <c r="O8127" i="58"/>
  <c r="P8127" i="58" s="1"/>
  <c r="O8126" i="58"/>
  <c r="P8126" i="58" s="1"/>
  <c r="Q8126" i="58" s="1"/>
  <c r="N8126" i="58"/>
  <c r="O8125" i="58"/>
  <c r="P8125" i="58" s="1"/>
  <c r="K8125" i="58"/>
  <c r="L8125" i="58" s="1"/>
  <c r="L8111" i="58" s="1"/>
  <c r="P8124" i="58"/>
  <c r="O8124" i="58"/>
  <c r="P8123" i="58"/>
  <c r="O8123" i="58"/>
  <c r="I8123" i="58"/>
  <c r="J8123" i="58" s="1"/>
  <c r="P8122" i="58"/>
  <c r="O8122" i="58"/>
  <c r="I8122" i="58"/>
  <c r="J8122" i="58" s="1"/>
  <c r="P8121" i="58"/>
  <c r="O8121" i="58"/>
  <c r="I8121" i="58"/>
  <c r="J8121" i="58" s="1"/>
  <c r="O8120" i="58"/>
  <c r="P8120" i="58" s="1"/>
  <c r="I8120" i="58"/>
  <c r="J8120" i="58" s="1"/>
  <c r="O8119" i="58"/>
  <c r="P8119" i="58" s="1"/>
  <c r="I8119" i="58"/>
  <c r="J8119" i="58" s="1"/>
  <c r="O8118" i="58"/>
  <c r="P8118" i="58" s="1"/>
  <c r="I8118" i="58"/>
  <c r="J8118" i="58" s="1"/>
  <c r="P8117" i="58"/>
  <c r="O8117" i="58"/>
  <c r="I8117" i="58"/>
  <c r="J8117" i="58" s="1"/>
  <c r="O8116" i="58"/>
  <c r="P8116" i="58" s="1"/>
  <c r="I8116" i="58"/>
  <c r="J8116" i="58" s="1"/>
  <c r="O8115" i="58"/>
  <c r="P8115" i="58" s="1"/>
  <c r="I8115" i="58"/>
  <c r="J8115" i="58" s="1"/>
  <c r="O8114" i="58"/>
  <c r="P8114" i="58" s="1"/>
  <c r="I8114" i="58"/>
  <c r="J8114" i="58" s="1"/>
  <c r="O8113" i="58"/>
  <c r="P8113" i="58" s="1"/>
  <c r="I8113" i="58"/>
  <c r="J8113" i="58" s="1"/>
  <c r="O8112" i="58"/>
  <c r="P8112" i="58" s="1"/>
  <c r="O8111" i="58"/>
  <c r="P8111" i="58" s="1"/>
  <c r="Q8111" i="58" s="1"/>
  <c r="N8111" i="58"/>
  <c r="O8110" i="58"/>
  <c r="P8110" i="58" s="1"/>
  <c r="K8110" i="58"/>
  <c r="L8110" i="58" s="1"/>
  <c r="L8096" i="58" s="1"/>
  <c r="P8109" i="58"/>
  <c r="O8109" i="58"/>
  <c r="P8108" i="58"/>
  <c r="O8108" i="58"/>
  <c r="I8108" i="58"/>
  <c r="J8108" i="58" s="1"/>
  <c r="O8107" i="58"/>
  <c r="P8107" i="58" s="1"/>
  <c r="I8107" i="58"/>
  <c r="J8107" i="58" s="1"/>
  <c r="O8106" i="58"/>
  <c r="P8106" i="58" s="1"/>
  <c r="I8106" i="58"/>
  <c r="J8106" i="58" s="1"/>
  <c r="O8105" i="58"/>
  <c r="P8105" i="58" s="1"/>
  <c r="I8105" i="58"/>
  <c r="J8105" i="58" s="1"/>
  <c r="P8104" i="58"/>
  <c r="O8104" i="58"/>
  <c r="I8104" i="58"/>
  <c r="J8104" i="58" s="1"/>
  <c r="O8103" i="58"/>
  <c r="P8103" i="58" s="1"/>
  <c r="J8103" i="58"/>
  <c r="I8103" i="58"/>
  <c r="P8102" i="58"/>
  <c r="O8102" i="58"/>
  <c r="I8102" i="58"/>
  <c r="J8102" i="58" s="1"/>
  <c r="O8101" i="58"/>
  <c r="P8101" i="58" s="1"/>
  <c r="I8101" i="58"/>
  <c r="J8101" i="58" s="1"/>
  <c r="O8100" i="58"/>
  <c r="P8100" i="58" s="1"/>
  <c r="I8100" i="58"/>
  <c r="J8100" i="58" s="1"/>
  <c r="O8099" i="58"/>
  <c r="P8099" i="58" s="1"/>
  <c r="I8099" i="58"/>
  <c r="J8099" i="58" s="1"/>
  <c r="O8098" i="58"/>
  <c r="P8098" i="58" s="1"/>
  <c r="I8098" i="58"/>
  <c r="J8098" i="58" s="1"/>
  <c r="P8097" i="58"/>
  <c r="O8097" i="58"/>
  <c r="P8096" i="58"/>
  <c r="Q8096" i="58" s="1"/>
  <c r="O8096" i="58"/>
  <c r="N8096" i="58"/>
  <c r="P8095" i="58"/>
  <c r="Q8095" i="58" s="1"/>
  <c r="R8095" i="58" s="1"/>
  <c r="O8095" i="58"/>
  <c r="K8095" i="58"/>
  <c r="L8095" i="58" s="1"/>
  <c r="L8089" i="58" s="1"/>
  <c r="O8094" i="58"/>
  <c r="P8094" i="58" s="1"/>
  <c r="Q8094" i="58" s="1"/>
  <c r="O8093" i="58"/>
  <c r="P8093" i="58" s="1"/>
  <c r="I8093" i="58"/>
  <c r="J8093" i="58" s="1"/>
  <c r="P8092" i="58"/>
  <c r="O8092" i="58"/>
  <c r="I8092" i="58"/>
  <c r="J8092" i="58" s="1"/>
  <c r="O8091" i="58"/>
  <c r="P8091" i="58" s="1"/>
  <c r="I8091" i="58"/>
  <c r="J8091" i="58" s="1"/>
  <c r="O8090" i="58"/>
  <c r="P8090" i="58" s="1"/>
  <c r="O8089" i="58"/>
  <c r="P8089" i="58" s="1"/>
  <c r="Q8089" i="58" s="1"/>
  <c r="N8089" i="58"/>
  <c r="O8088" i="58"/>
  <c r="P8088" i="58" s="1"/>
  <c r="Q8088" i="58" s="1"/>
  <c r="K8088" i="58"/>
  <c r="L8088" i="58" s="1"/>
  <c r="L8082" i="58" s="1"/>
  <c r="O8087" i="58"/>
  <c r="P8087" i="58" s="1"/>
  <c r="O8086" i="58"/>
  <c r="P8086" i="58" s="1"/>
  <c r="I8086" i="58"/>
  <c r="J8086" i="58" s="1"/>
  <c r="P8085" i="58"/>
  <c r="O8085" i="58"/>
  <c r="I8085" i="58"/>
  <c r="J8085" i="58" s="1"/>
  <c r="O8084" i="58"/>
  <c r="P8084" i="58" s="1"/>
  <c r="I8084" i="58"/>
  <c r="J8084" i="58" s="1"/>
  <c r="P8083" i="58"/>
  <c r="O8083" i="58"/>
  <c r="O8082" i="58"/>
  <c r="P8082" i="58" s="1"/>
  <c r="Q8082" i="58" s="1"/>
  <c r="N8082" i="58"/>
  <c r="O8081" i="58"/>
  <c r="P8081" i="58" s="1"/>
  <c r="Q8081" i="58" s="1"/>
  <c r="R8081" i="58" s="1"/>
  <c r="K8081" i="58"/>
  <c r="L8081" i="58" s="1"/>
  <c r="L8075" i="58" s="1"/>
  <c r="O8080" i="58"/>
  <c r="P8080" i="58" s="1"/>
  <c r="O8079" i="58"/>
  <c r="P8079" i="58" s="1"/>
  <c r="J8079" i="58"/>
  <c r="I8079" i="58"/>
  <c r="O8078" i="58"/>
  <c r="P8078" i="58" s="1"/>
  <c r="I8078" i="58"/>
  <c r="J8078" i="58" s="1"/>
  <c r="O8077" i="58"/>
  <c r="P8077" i="58" s="1"/>
  <c r="I8077" i="58"/>
  <c r="J8077" i="58" s="1"/>
  <c r="P8076" i="58"/>
  <c r="O8076" i="58"/>
  <c r="O8075" i="58"/>
  <c r="P8075" i="58" s="1"/>
  <c r="Q8075" i="58" s="1"/>
  <c r="N8075" i="58"/>
  <c r="P8074" i="58"/>
  <c r="O8074" i="58"/>
  <c r="K8074" i="58"/>
  <c r="L8074" i="58" s="1"/>
  <c r="L8068" i="58" s="1"/>
  <c r="O8073" i="58"/>
  <c r="P8073" i="58" s="1"/>
  <c r="O8072" i="58"/>
  <c r="P8072" i="58" s="1"/>
  <c r="I8072" i="58"/>
  <c r="J8072" i="58" s="1"/>
  <c r="P8071" i="58"/>
  <c r="O8071" i="58"/>
  <c r="I8071" i="58"/>
  <c r="J8071" i="58" s="1"/>
  <c r="J8068" i="58" s="1"/>
  <c r="O8070" i="58"/>
  <c r="P8070" i="58" s="1"/>
  <c r="I8070" i="58"/>
  <c r="J8070" i="58" s="1"/>
  <c r="O8069" i="58"/>
  <c r="P8069" i="58" s="1"/>
  <c r="P8068" i="58"/>
  <c r="Q8068" i="58" s="1"/>
  <c r="O8068" i="58"/>
  <c r="N8068" i="58"/>
  <c r="P8067" i="58"/>
  <c r="O8067" i="58"/>
  <c r="K8067" i="58"/>
  <c r="L8067" i="58" s="1"/>
  <c r="L8061" i="58" s="1"/>
  <c r="O8066" i="58"/>
  <c r="P8066" i="58" s="1"/>
  <c r="O8065" i="58"/>
  <c r="P8065" i="58" s="1"/>
  <c r="I8065" i="58"/>
  <c r="J8065" i="58" s="1"/>
  <c r="O8064" i="58"/>
  <c r="P8064" i="58" s="1"/>
  <c r="I8064" i="58"/>
  <c r="J8064" i="58" s="1"/>
  <c r="O8063" i="58"/>
  <c r="P8063" i="58" s="1"/>
  <c r="I8063" i="58"/>
  <c r="J8063" i="58" s="1"/>
  <c r="O8062" i="58"/>
  <c r="P8062" i="58" s="1"/>
  <c r="O8061" i="58"/>
  <c r="P8061" i="58" s="1"/>
  <c r="Q8061" i="58" s="1"/>
  <c r="N8061" i="58"/>
  <c r="P8060" i="58"/>
  <c r="O8060" i="58"/>
  <c r="K8060" i="58"/>
  <c r="L8060" i="58" s="1"/>
  <c r="L8054" i="58" s="1"/>
  <c r="P8059" i="58"/>
  <c r="O8059" i="58"/>
  <c r="O8058" i="58"/>
  <c r="P8058" i="58" s="1"/>
  <c r="I8058" i="58"/>
  <c r="J8058" i="58" s="1"/>
  <c r="P8057" i="58"/>
  <c r="O8057" i="58"/>
  <c r="I8057" i="58"/>
  <c r="J8057" i="58" s="1"/>
  <c r="O8056" i="58"/>
  <c r="P8056" i="58" s="1"/>
  <c r="I8056" i="58"/>
  <c r="J8056" i="58" s="1"/>
  <c r="O8055" i="58"/>
  <c r="P8055" i="58" s="1"/>
  <c r="O8054" i="58"/>
  <c r="P8054" i="58" s="1"/>
  <c r="Q8054" i="58" s="1"/>
  <c r="N8054" i="58"/>
  <c r="O8053" i="58"/>
  <c r="P8053" i="58" s="1"/>
  <c r="K8053" i="58"/>
  <c r="L8053" i="58" s="1"/>
  <c r="L8047" i="58" s="1"/>
  <c r="P8052" i="58"/>
  <c r="O8052" i="58"/>
  <c r="O8051" i="58"/>
  <c r="P8051" i="58" s="1"/>
  <c r="I8051" i="58"/>
  <c r="J8051" i="58" s="1"/>
  <c r="O8050" i="58"/>
  <c r="P8050" i="58" s="1"/>
  <c r="I8050" i="58"/>
  <c r="J8050" i="58" s="1"/>
  <c r="O8049" i="58"/>
  <c r="P8049" i="58" s="1"/>
  <c r="I8049" i="58"/>
  <c r="J8049" i="58" s="1"/>
  <c r="O8048" i="58"/>
  <c r="P8048" i="58" s="1"/>
  <c r="P8047" i="58"/>
  <c r="Q8047" i="58" s="1"/>
  <c r="Q8046" i="58" s="1"/>
  <c r="R8046" i="58" s="1"/>
  <c r="O8047" i="58"/>
  <c r="N8047" i="58"/>
  <c r="O8046" i="58"/>
  <c r="P8046" i="58" s="1"/>
  <c r="K8046" i="58"/>
  <c r="L8046" i="58" s="1"/>
  <c r="L8040" i="58" s="1"/>
  <c r="O8045" i="58"/>
  <c r="P8045" i="58" s="1"/>
  <c r="P8044" i="58"/>
  <c r="O8044" i="58"/>
  <c r="I8044" i="58"/>
  <c r="J8044" i="58" s="1"/>
  <c r="O8043" i="58"/>
  <c r="P8043" i="58" s="1"/>
  <c r="I8043" i="58"/>
  <c r="J8043" i="58" s="1"/>
  <c r="O8042" i="58"/>
  <c r="P8042" i="58" s="1"/>
  <c r="I8042" i="58"/>
  <c r="J8042" i="58" s="1"/>
  <c r="P8041" i="58"/>
  <c r="O8041" i="58"/>
  <c r="O8040" i="58"/>
  <c r="P8040" i="58" s="1"/>
  <c r="Q8040" i="58" s="1"/>
  <c r="N8040" i="58"/>
  <c r="O8039" i="58"/>
  <c r="P8039" i="58" s="1"/>
  <c r="K8039" i="58"/>
  <c r="L8039" i="58" s="1"/>
  <c r="L8033" i="58" s="1"/>
  <c r="P8038" i="58"/>
  <c r="O8038" i="58"/>
  <c r="O8037" i="58"/>
  <c r="P8037" i="58" s="1"/>
  <c r="I8037" i="58"/>
  <c r="J8037" i="58" s="1"/>
  <c r="P8036" i="58"/>
  <c r="O8036" i="58"/>
  <c r="I8036" i="58"/>
  <c r="J8036" i="58" s="1"/>
  <c r="O8035" i="58"/>
  <c r="P8035" i="58" s="1"/>
  <c r="I8035" i="58"/>
  <c r="J8035" i="58" s="1"/>
  <c r="O8034" i="58"/>
  <c r="P8034" i="58" s="1"/>
  <c r="O8033" i="58"/>
  <c r="P8033" i="58" s="1"/>
  <c r="Q8033" i="58" s="1"/>
  <c r="N8033" i="58"/>
  <c r="O8032" i="58"/>
  <c r="P8032" i="58" s="1"/>
  <c r="K8032" i="58"/>
  <c r="L8032" i="58" s="1"/>
  <c r="L8026" i="58" s="1"/>
  <c r="P8031" i="58"/>
  <c r="O8031" i="58"/>
  <c r="O8030" i="58"/>
  <c r="P8030" i="58" s="1"/>
  <c r="I8030" i="58"/>
  <c r="J8030" i="58" s="1"/>
  <c r="O8029" i="58"/>
  <c r="P8029" i="58" s="1"/>
  <c r="I8029" i="58"/>
  <c r="J8029" i="58" s="1"/>
  <c r="P8028" i="58"/>
  <c r="O8028" i="58"/>
  <c r="I8028" i="58"/>
  <c r="J8028" i="58" s="1"/>
  <c r="O8027" i="58"/>
  <c r="P8027" i="58" s="1"/>
  <c r="O8026" i="58"/>
  <c r="P8026" i="58" s="1"/>
  <c r="Q8026" i="58" s="1"/>
  <c r="N8026" i="58"/>
  <c r="P8025" i="58"/>
  <c r="O8025" i="58"/>
  <c r="K8025" i="58"/>
  <c r="L8025" i="58" s="1"/>
  <c r="O8024" i="58"/>
  <c r="P8024" i="58" s="1"/>
  <c r="P8023" i="58"/>
  <c r="O8023" i="58"/>
  <c r="I8023" i="58"/>
  <c r="J8023" i="58" s="1"/>
  <c r="O8022" i="58"/>
  <c r="P8022" i="58" s="1"/>
  <c r="I8022" i="58"/>
  <c r="J8022" i="58" s="1"/>
  <c r="P8021" i="58"/>
  <c r="O8021" i="58"/>
  <c r="I8021" i="58"/>
  <c r="J8021" i="58" s="1"/>
  <c r="O8020" i="58"/>
  <c r="P8020" i="58" s="1"/>
  <c r="O8019" i="58"/>
  <c r="P8019" i="58" s="1"/>
  <c r="Q8019" i="58" s="1"/>
  <c r="N8019" i="58"/>
  <c r="L8019" i="58"/>
  <c r="O8018" i="58"/>
  <c r="P8018" i="58" s="1"/>
  <c r="K8018" i="58"/>
  <c r="L8018" i="58" s="1"/>
  <c r="L8012" i="58" s="1"/>
  <c r="P8017" i="58"/>
  <c r="O8017" i="58"/>
  <c r="O8016" i="58"/>
  <c r="P8016" i="58" s="1"/>
  <c r="I8016" i="58"/>
  <c r="J8016" i="58" s="1"/>
  <c r="O8015" i="58"/>
  <c r="P8015" i="58" s="1"/>
  <c r="I8015" i="58"/>
  <c r="J8015" i="58" s="1"/>
  <c r="P8014" i="58"/>
  <c r="O8014" i="58"/>
  <c r="I8014" i="58"/>
  <c r="J8014" i="58" s="1"/>
  <c r="O8013" i="58"/>
  <c r="P8013" i="58" s="1"/>
  <c r="P8012" i="58"/>
  <c r="Q8012" i="58" s="1"/>
  <c r="O8012" i="58"/>
  <c r="N8012" i="58"/>
  <c r="O8011" i="58"/>
  <c r="P8011" i="58" s="1"/>
  <c r="L8011" i="58"/>
  <c r="K8011" i="58"/>
  <c r="O8010" i="58"/>
  <c r="P8010" i="58" s="1"/>
  <c r="O8009" i="58"/>
  <c r="P8009" i="58" s="1"/>
  <c r="I8009" i="58"/>
  <c r="J8009" i="58" s="1"/>
  <c r="O8008" i="58"/>
  <c r="P8008" i="58" s="1"/>
  <c r="I8008" i="58"/>
  <c r="J8008" i="58" s="1"/>
  <c r="O8007" i="58"/>
  <c r="P8007" i="58" s="1"/>
  <c r="I8007" i="58"/>
  <c r="J8007" i="58" s="1"/>
  <c r="P8006" i="58"/>
  <c r="O8006" i="58"/>
  <c r="O8005" i="58"/>
  <c r="P8005" i="58" s="1"/>
  <c r="Q8005" i="58" s="1"/>
  <c r="N8005" i="58"/>
  <c r="L8005" i="58"/>
  <c r="O8004" i="58"/>
  <c r="P8004" i="58" s="1"/>
  <c r="K8004" i="58"/>
  <c r="L8004" i="58" s="1"/>
  <c r="L7998" i="58" s="1"/>
  <c r="O8003" i="58"/>
  <c r="P8003" i="58" s="1"/>
  <c r="O8002" i="58"/>
  <c r="P8002" i="58" s="1"/>
  <c r="I8002" i="58"/>
  <c r="J8002" i="58" s="1"/>
  <c r="O8001" i="58"/>
  <c r="P8001" i="58" s="1"/>
  <c r="I8001" i="58"/>
  <c r="J8001" i="58" s="1"/>
  <c r="O8000" i="58"/>
  <c r="P8000" i="58" s="1"/>
  <c r="J8000" i="58"/>
  <c r="I8000" i="58"/>
  <c r="P7999" i="58"/>
  <c r="O7999" i="58"/>
  <c r="O7998" i="58"/>
  <c r="P7998" i="58" s="1"/>
  <c r="Q7998" i="58" s="1"/>
  <c r="N7998" i="58"/>
  <c r="O7997" i="58"/>
  <c r="P7997" i="58" s="1"/>
  <c r="K7997" i="58"/>
  <c r="L7997" i="58" s="1"/>
  <c r="L7983" i="58" s="1"/>
  <c r="O7996" i="58"/>
  <c r="P7996" i="58" s="1"/>
  <c r="O7995" i="58"/>
  <c r="P7995" i="58" s="1"/>
  <c r="I7995" i="58"/>
  <c r="J7995" i="58" s="1"/>
  <c r="O7994" i="58"/>
  <c r="P7994" i="58" s="1"/>
  <c r="I7994" i="58"/>
  <c r="J7994" i="58" s="1"/>
  <c r="O7993" i="58"/>
  <c r="P7993" i="58" s="1"/>
  <c r="I7993" i="58"/>
  <c r="J7993" i="58" s="1"/>
  <c r="O7992" i="58"/>
  <c r="P7992" i="58" s="1"/>
  <c r="I7992" i="58"/>
  <c r="J7992" i="58" s="1"/>
  <c r="O7991" i="58"/>
  <c r="P7991" i="58" s="1"/>
  <c r="I7991" i="58"/>
  <c r="J7991" i="58" s="1"/>
  <c r="O7990" i="58"/>
  <c r="P7990" i="58" s="1"/>
  <c r="I7990" i="58"/>
  <c r="J7990" i="58" s="1"/>
  <c r="O7989" i="58"/>
  <c r="P7989" i="58" s="1"/>
  <c r="I7989" i="58"/>
  <c r="J7989" i="58" s="1"/>
  <c r="O7988" i="58"/>
  <c r="P7988" i="58" s="1"/>
  <c r="I7988" i="58"/>
  <c r="J7988" i="58" s="1"/>
  <c r="O7987" i="58"/>
  <c r="P7987" i="58" s="1"/>
  <c r="I7987" i="58"/>
  <c r="J7987" i="58" s="1"/>
  <c r="P7986" i="58"/>
  <c r="O7986" i="58"/>
  <c r="I7986" i="58"/>
  <c r="J7986" i="58" s="1"/>
  <c r="O7985" i="58"/>
  <c r="P7985" i="58" s="1"/>
  <c r="I7985" i="58"/>
  <c r="J7985" i="58" s="1"/>
  <c r="O7984" i="58"/>
  <c r="P7984" i="58" s="1"/>
  <c r="P7983" i="58"/>
  <c r="Q7983" i="58" s="1"/>
  <c r="O7983" i="58"/>
  <c r="N7983" i="58"/>
  <c r="O7982" i="58"/>
  <c r="P7982" i="58" s="1"/>
  <c r="Q7982" i="58" s="1"/>
  <c r="R7982" i="58" s="1"/>
  <c r="K7982" i="58"/>
  <c r="L7982" i="58" s="1"/>
  <c r="L7968" i="58" s="1"/>
  <c r="O7981" i="58"/>
  <c r="P7981" i="58" s="1"/>
  <c r="O7980" i="58"/>
  <c r="P7980" i="58" s="1"/>
  <c r="I7980" i="58"/>
  <c r="J7980" i="58" s="1"/>
  <c r="O7979" i="58"/>
  <c r="P7979" i="58" s="1"/>
  <c r="I7979" i="58"/>
  <c r="J7979" i="58" s="1"/>
  <c r="O7978" i="58"/>
  <c r="P7978" i="58" s="1"/>
  <c r="I7978" i="58"/>
  <c r="J7978" i="58" s="1"/>
  <c r="O7977" i="58"/>
  <c r="P7977" i="58" s="1"/>
  <c r="I7977" i="58"/>
  <c r="J7977" i="58" s="1"/>
  <c r="O7976" i="58"/>
  <c r="P7976" i="58" s="1"/>
  <c r="I7976" i="58"/>
  <c r="J7976" i="58" s="1"/>
  <c r="O7975" i="58"/>
  <c r="P7975" i="58" s="1"/>
  <c r="I7975" i="58"/>
  <c r="J7975" i="58" s="1"/>
  <c r="O7974" i="58"/>
  <c r="P7974" i="58" s="1"/>
  <c r="I7974" i="58"/>
  <c r="J7974" i="58" s="1"/>
  <c r="O7973" i="58"/>
  <c r="P7973" i="58" s="1"/>
  <c r="I7973" i="58"/>
  <c r="J7973" i="58" s="1"/>
  <c r="O7972" i="58"/>
  <c r="P7972" i="58" s="1"/>
  <c r="I7972" i="58"/>
  <c r="J7972" i="58" s="1"/>
  <c r="P7971" i="58"/>
  <c r="O7971" i="58"/>
  <c r="I7971" i="58"/>
  <c r="J7971" i="58" s="1"/>
  <c r="O7970" i="58"/>
  <c r="P7970" i="58" s="1"/>
  <c r="I7970" i="58"/>
  <c r="J7970" i="58" s="1"/>
  <c r="O7969" i="58"/>
  <c r="P7969" i="58" s="1"/>
  <c r="O7968" i="58"/>
  <c r="P7968" i="58" s="1"/>
  <c r="Q7968" i="58" s="1"/>
  <c r="N7968" i="58"/>
  <c r="O7967" i="58"/>
  <c r="P7967" i="58" s="1"/>
  <c r="K7967" i="58"/>
  <c r="L7967" i="58" s="1"/>
  <c r="L7953" i="58" s="1"/>
  <c r="O7966" i="58"/>
  <c r="P7966" i="58" s="1"/>
  <c r="O7965" i="58"/>
  <c r="P7965" i="58" s="1"/>
  <c r="I7965" i="58"/>
  <c r="J7965" i="58" s="1"/>
  <c r="O7964" i="58"/>
  <c r="P7964" i="58" s="1"/>
  <c r="I7964" i="58"/>
  <c r="J7964" i="58" s="1"/>
  <c r="O7963" i="58"/>
  <c r="P7963" i="58" s="1"/>
  <c r="I7963" i="58"/>
  <c r="J7963" i="58" s="1"/>
  <c r="O7962" i="58"/>
  <c r="P7962" i="58" s="1"/>
  <c r="I7962" i="58"/>
  <c r="J7962" i="58" s="1"/>
  <c r="O7961" i="58"/>
  <c r="P7961" i="58" s="1"/>
  <c r="I7961" i="58"/>
  <c r="J7961" i="58" s="1"/>
  <c r="O7960" i="58"/>
  <c r="P7960" i="58" s="1"/>
  <c r="I7960" i="58"/>
  <c r="J7960" i="58" s="1"/>
  <c r="O7959" i="58"/>
  <c r="P7959" i="58" s="1"/>
  <c r="I7959" i="58"/>
  <c r="J7959" i="58" s="1"/>
  <c r="O7958" i="58"/>
  <c r="P7958" i="58" s="1"/>
  <c r="J7958" i="58"/>
  <c r="I7958" i="58"/>
  <c r="O7957" i="58"/>
  <c r="P7957" i="58" s="1"/>
  <c r="I7957" i="58"/>
  <c r="J7957" i="58" s="1"/>
  <c r="O7956" i="58"/>
  <c r="P7956" i="58" s="1"/>
  <c r="I7956" i="58"/>
  <c r="J7956" i="58" s="1"/>
  <c r="O7955" i="58"/>
  <c r="P7955" i="58" s="1"/>
  <c r="I7955" i="58"/>
  <c r="J7955" i="58" s="1"/>
  <c r="O7954" i="58"/>
  <c r="P7954" i="58" s="1"/>
  <c r="O7953" i="58"/>
  <c r="P7953" i="58" s="1"/>
  <c r="Q7953" i="58" s="1"/>
  <c r="N7953" i="58"/>
  <c r="O7952" i="58"/>
  <c r="P7952" i="58" s="1"/>
  <c r="K7952" i="58"/>
  <c r="L7952" i="58" s="1"/>
  <c r="L7938" i="58" s="1"/>
  <c r="O7951" i="58"/>
  <c r="P7951" i="58" s="1"/>
  <c r="P7950" i="58"/>
  <c r="O7950" i="58"/>
  <c r="J7950" i="58"/>
  <c r="I7950" i="58"/>
  <c r="O7949" i="58"/>
  <c r="P7949" i="58" s="1"/>
  <c r="I7949" i="58"/>
  <c r="J7949" i="58" s="1"/>
  <c r="O7948" i="58"/>
  <c r="P7948" i="58" s="1"/>
  <c r="I7948" i="58"/>
  <c r="J7948" i="58" s="1"/>
  <c r="O7947" i="58"/>
  <c r="P7947" i="58" s="1"/>
  <c r="I7947" i="58"/>
  <c r="J7947" i="58" s="1"/>
  <c r="O7946" i="58"/>
  <c r="P7946" i="58" s="1"/>
  <c r="I7946" i="58"/>
  <c r="J7946" i="58" s="1"/>
  <c r="O7945" i="58"/>
  <c r="P7945" i="58" s="1"/>
  <c r="I7945" i="58"/>
  <c r="J7945" i="58" s="1"/>
  <c r="O7944" i="58"/>
  <c r="P7944" i="58" s="1"/>
  <c r="I7944" i="58"/>
  <c r="J7944" i="58" s="1"/>
  <c r="O7943" i="58"/>
  <c r="P7943" i="58" s="1"/>
  <c r="I7943" i="58"/>
  <c r="J7943" i="58" s="1"/>
  <c r="O7942" i="58"/>
  <c r="P7942" i="58" s="1"/>
  <c r="I7942" i="58"/>
  <c r="J7942" i="58" s="1"/>
  <c r="O7941" i="58"/>
  <c r="P7941" i="58" s="1"/>
  <c r="J7941" i="58"/>
  <c r="I7941" i="58"/>
  <c r="O7940" i="58"/>
  <c r="P7940" i="58" s="1"/>
  <c r="I7940" i="58"/>
  <c r="J7940" i="58" s="1"/>
  <c r="O7939" i="58"/>
  <c r="P7939" i="58" s="1"/>
  <c r="O7938" i="58"/>
  <c r="P7938" i="58" s="1"/>
  <c r="Q7938" i="58" s="1"/>
  <c r="N7938" i="58"/>
  <c r="O7937" i="58"/>
  <c r="P7937" i="58" s="1"/>
  <c r="K7937" i="58"/>
  <c r="L7937" i="58" s="1"/>
  <c r="L7923" i="58" s="1"/>
  <c r="O7936" i="58"/>
  <c r="P7936" i="58" s="1"/>
  <c r="O7935" i="58"/>
  <c r="P7935" i="58" s="1"/>
  <c r="I7935" i="58"/>
  <c r="J7935" i="58" s="1"/>
  <c r="O7934" i="58"/>
  <c r="P7934" i="58" s="1"/>
  <c r="I7934" i="58"/>
  <c r="J7934" i="58" s="1"/>
  <c r="O7933" i="58"/>
  <c r="P7933" i="58" s="1"/>
  <c r="I7933" i="58"/>
  <c r="J7933" i="58" s="1"/>
  <c r="O7932" i="58"/>
  <c r="P7932" i="58" s="1"/>
  <c r="I7932" i="58"/>
  <c r="J7932" i="58" s="1"/>
  <c r="P7931" i="58"/>
  <c r="O7931" i="58"/>
  <c r="I7931" i="58"/>
  <c r="J7931" i="58" s="1"/>
  <c r="O7930" i="58"/>
  <c r="P7930" i="58" s="1"/>
  <c r="I7930" i="58"/>
  <c r="J7930" i="58" s="1"/>
  <c r="P7929" i="58"/>
  <c r="O7929" i="58"/>
  <c r="I7929" i="58"/>
  <c r="J7929" i="58" s="1"/>
  <c r="P7928" i="58"/>
  <c r="O7928" i="58"/>
  <c r="J7928" i="58"/>
  <c r="I7928" i="58"/>
  <c r="O7927" i="58"/>
  <c r="P7927" i="58" s="1"/>
  <c r="I7927" i="58"/>
  <c r="J7927" i="58" s="1"/>
  <c r="P7926" i="58"/>
  <c r="O7926" i="58"/>
  <c r="I7926" i="58"/>
  <c r="J7926" i="58" s="1"/>
  <c r="O7925" i="58"/>
  <c r="P7925" i="58" s="1"/>
  <c r="J7925" i="58"/>
  <c r="I7925" i="58"/>
  <c r="O7924" i="58"/>
  <c r="P7924" i="58" s="1"/>
  <c r="O7923" i="58"/>
  <c r="P7923" i="58" s="1"/>
  <c r="Q7923" i="58" s="1"/>
  <c r="N7923" i="58"/>
  <c r="O7922" i="58"/>
  <c r="P7922" i="58" s="1"/>
  <c r="K7922" i="58"/>
  <c r="L7922" i="58" s="1"/>
  <c r="L7908" i="58" s="1"/>
  <c r="O7921" i="58"/>
  <c r="P7921" i="58" s="1"/>
  <c r="O7920" i="58"/>
  <c r="P7920" i="58" s="1"/>
  <c r="J7920" i="58"/>
  <c r="I7920" i="58"/>
  <c r="O7919" i="58"/>
  <c r="P7919" i="58" s="1"/>
  <c r="I7919" i="58"/>
  <c r="J7919" i="58" s="1"/>
  <c r="O7918" i="58"/>
  <c r="P7918" i="58" s="1"/>
  <c r="I7918" i="58"/>
  <c r="J7918" i="58" s="1"/>
  <c r="P7917" i="58"/>
  <c r="O7917" i="58"/>
  <c r="I7917" i="58"/>
  <c r="J7917" i="58" s="1"/>
  <c r="O7916" i="58"/>
  <c r="P7916" i="58" s="1"/>
  <c r="I7916" i="58"/>
  <c r="J7916" i="58" s="1"/>
  <c r="O7915" i="58"/>
  <c r="P7915" i="58" s="1"/>
  <c r="I7915" i="58"/>
  <c r="J7915" i="58" s="1"/>
  <c r="O7914" i="58"/>
  <c r="P7914" i="58" s="1"/>
  <c r="I7914" i="58"/>
  <c r="J7914" i="58" s="1"/>
  <c r="P7913" i="58"/>
  <c r="O7913" i="58"/>
  <c r="I7913" i="58"/>
  <c r="J7913" i="58" s="1"/>
  <c r="O7912" i="58"/>
  <c r="P7912" i="58" s="1"/>
  <c r="I7912" i="58"/>
  <c r="J7912" i="58" s="1"/>
  <c r="O7911" i="58"/>
  <c r="P7911" i="58" s="1"/>
  <c r="I7911" i="58"/>
  <c r="J7911" i="58" s="1"/>
  <c r="O7910" i="58"/>
  <c r="P7910" i="58" s="1"/>
  <c r="I7910" i="58"/>
  <c r="J7910" i="58" s="1"/>
  <c r="O7909" i="58"/>
  <c r="P7909" i="58" s="1"/>
  <c r="O7908" i="58"/>
  <c r="P7908" i="58" s="1"/>
  <c r="Q7908" i="58" s="1"/>
  <c r="N7908" i="58"/>
  <c r="P7907" i="58"/>
  <c r="Q7907" i="58" s="1"/>
  <c r="R7907" i="58" s="1"/>
  <c r="O7907" i="58"/>
  <c r="K7907" i="58"/>
  <c r="L7907" i="58" s="1"/>
  <c r="O7906" i="58"/>
  <c r="P7906" i="58" s="1"/>
  <c r="Q7906" i="58" s="1"/>
  <c r="R7906" i="58" s="1"/>
  <c r="O7905" i="58"/>
  <c r="P7905" i="58" s="1"/>
  <c r="Q7905" i="58" s="1"/>
  <c r="R7905" i="58" s="1"/>
  <c r="I7905" i="58"/>
  <c r="J7905" i="58" s="1"/>
  <c r="P7904" i="58"/>
  <c r="O7904" i="58"/>
  <c r="I7904" i="58"/>
  <c r="J7904" i="58" s="1"/>
  <c r="P7903" i="58"/>
  <c r="O7903" i="58"/>
  <c r="I7903" i="58"/>
  <c r="J7903" i="58" s="1"/>
  <c r="O7902" i="58"/>
  <c r="P7902" i="58" s="1"/>
  <c r="I7902" i="58"/>
  <c r="J7902" i="58" s="1"/>
  <c r="O7901" i="58"/>
  <c r="P7901" i="58" s="1"/>
  <c r="I7901" i="58"/>
  <c r="J7901" i="58" s="1"/>
  <c r="O7900" i="58"/>
  <c r="P7900" i="58" s="1"/>
  <c r="I7900" i="58"/>
  <c r="J7900" i="58" s="1"/>
  <c r="O7899" i="58"/>
  <c r="P7899" i="58" s="1"/>
  <c r="J7899" i="58"/>
  <c r="I7899" i="58"/>
  <c r="O7898" i="58"/>
  <c r="P7898" i="58" s="1"/>
  <c r="J7898" i="58"/>
  <c r="I7898" i="58"/>
  <c r="P7897" i="58"/>
  <c r="O7897" i="58"/>
  <c r="I7897" i="58"/>
  <c r="J7897" i="58" s="1"/>
  <c r="O7896" i="58"/>
  <c r="P7896" i="58" s="1"/>
  <c r="I7896" i="58"/>
  <c r="J7896" i="58" s="1"/>
  <c r="P7895" i="58"/>
  <c r="O7895" i="58"/>
  <c r="I7895" i="58"/>
  <c r="J7895" i="58" s="1"/>
  <c r="O7894" i="58"/>
  <c r="P7894" i="58" s="1"/>
  <c r="O7893" i="58"/>
  <c r="P7893" i="58" s="1"/>
  <c r="Q7893" i="58" s="1"/>
  <c r="N7893" i="58"/>
  <c r="L7893" i="58"/>
  <c r="O7892" i="58"/>
  <c r="P7892" i="58" s="1"/>
  <c r="K7892" i="58"/>
  <c r="L7892" i="58" s="1"/>
  <c r="L7878" i="58" s="1"/>
  <c r="O7891" i="58"/>
  <c r="P7891" i="58" s="1"/>
  <c r="O7890" i="58"/>
  <c r="P7890" i="58" s="1"/>
  <c r="I7890" i="58"/>
  <c r="J7890" i="58" s="1"/>
  <c r="O7889" i="58"/>
  <c r="P7889" i="58" s="1"/>
  <c r="I7889" i="58"/>
  <c r="J7889" i="58" s="1"/>
  <c r="O7888" i="58"/>
  <c r="P7888" i="58" s="1"/>
  <c r="I7888" i="58"/>
  <c r="J7888" i="58" s="1"/>
  <c r="O7887" i="58"/>
  <c r="P7887" i="58" s="1"/>
  <c r="I7887" i="58"/>
  <c r="J7887" i="58" s="1"/>
  <c r="O7886" i="58"/>
  <c r="P7886" i="58" s="1"/>
  <c r="I7886" i="58"/>
  <c r="J7886" i="58" s="1"/>
  <c r="P7885" i="58"/>
  <c r="O7885" i="58"/>
  <c r="I7885" i="58"/>
  <c r="J7885" i="58" s="1"/>
  <c r="O7884" i="58"/>
  <c r="P7884" i="58" s="1"/>
  <c r="I7884" i="58"/>
  <c r="J7884" i="58" s="1"/>
  <c r="O7883" i="58"/>
  <c r="P7883" i="58" s="1"/>
  <c r="I7883" i="58"/>
  <c r="J7883" i="58" s="1"/>
  <c r="O7882" i="58"/>
  <c r="P7882" i="58" s="1"/>
  <c r="I7882" i="58"/>
  <c r="J7882" i="58" s="1"/>
  <c r="O7881" i="58"/>
  <c r="P7881" i="58" s="1"/>
  <c r="I7881" i="58"/>
  <c r="J7881" i="58" s="1"/>
  <c r="O7880" i="58"/>
  <c r="P7880" i="58" s="1"/>
  <c r="I7880" i="58"/>
  <c r="J7880" i="58" s="1"/>
  <c r="O7879" i="58"/>
  <c r="P7879" i="58" s="1"/>
  <c r="Q7878" i="58"/>
  <c r="O7878" i="58"/>
  <c r="P7878" i="58" s="1"/>
  <c r="N7878" i="58"/>
  <c r="O7877" i="58"/>
  <c r="P7877" i="58" s="1"/>
  <c r="K7877" i="58"/>
  <c r="L7877" i="58" s="1"/>
  <c r="L7863" i="58" s="1"/>
  <c r="O7876" i="58"/>
  <c r="P7876" i="58" s="1"/>
  <c r="O7875" i="58"/>
  <c r="P7875" i="58" s="1"/>
  <c r="J7875" i="58"/>
  <c r="I7875" i="58"/>
  <c r="O7874" i="58"/>
  <c r="P7874" i="58" s="1"/>
  <c r="I7874" i="58"/>
  <c r="J7874" i="58" s="1"/>
  <c r="O7873" i="58"/>
  <c r="P7873" i="58" s="1"/>
  <c r="I7873" i="58"/>
  <c r="J7873" i="58" s="1"/>
  <c r="O7872" i="58"/>
  <c r="P7872" i="58" s="1"/>
  <c r="I7872" i="58"/>
  <c r="J7872" i="58" s="1"/>
  <c r="O7871" i="58"/>
  <c r="P7871" i="58" s="1"/>
  <c r="I7871" i="58"/>
  <c r="J7871" i="58" s="1"/>
  <c r="P7870" i="58"/>
  <c r="O7870" i="58"/>
  <c r="I7870" i="58"/>
  <c r="J7870" i="58" s="1"/>
  <c r="O7869" i="58"/>
  <c r="P7869" i="58" s="1"/>
  <c r="I7869" i="58"/>
  <c r="J7869" i="58" s="1"/>
  <c r="P7868" i="58"/>
  <c r="O7868" i="58"/>
  <c r="I7868" i="58"/>
  <c r="J7868" i="58" s="1"/>
  <c r="O7867" i="58"/>
  <c r="P7867" i="58" s="1"/>
  <c r="J7867" i="58"/>
  <c r="I7867" i="58"/>
  <c r="O7866" i="58"/>
  <c r="P7866" i="58" s="1"/>
  <c r="I7866" i="58"/>
  <c r="J7866" i="58" s="1"/>
  <c r="O7865" i="58"/>
  <c r="P7865" i="58" s="1"/>
  <c r="I7865" i="58"/>
  <c r="J7865" i="58" s="1"/>
  <c r="O7864" i="58"/>
  <c r="P7864" i="58" s="1"/>
  <c r="O7863" i="58"/>
  <c r="P7863" i="58" s="1"/>
  <c r="Q7863" i="58" s="1"/>
  <c r="N7863" i="58"/>
  <c r="P7862" i="58"/>
  <c r="O7862" i="58"/>
  <c r="K7862" i="58"/>
  <c r="L7862" i="58" s="1"/>
  <c r="L7848" i="58" s="1"/>
  <c r="O7861" i="58"/>
  <c r="P7861" i="58" s="1"/>
  <c r="O7860" i="58"/>
  <c r="P7860" i="58" s="1"/>
  <c r="I7860" i="58"/>
  <c r="J7860" i="58" s="1"/>
  <c r="O7859" i="58"/>
  <c r="P7859" i="58" s="1"/>
  <c r="I7859" i="58"/>
  <c r="J7859" i="58" s="1"/>
  <c r="O7858" i="58"/>
  <c r="P7858" i="58" s="1"/>
  <c r="I7858" i="58"/>
  <c r="J7858" i="58" s="1"/>
  <c r="O7857" i="58"/>
  <c r="P7857" i="58" s="1"/>
  <c r="J7857" i="58"/>
  <c r="I7857" i="58"/>
  <c r="O7856" i="58"/>
  <c r="P7856" i="58" s="1"/>
  <c r="I7856" i="58"/>
  <c r="J7856" i="58" s="1"/>
  <c r="O7855" i="58"/>
  <c r="P7855" i="58" s="1"/>
  <c r="I7855" i="58"/>
  <c r="J7855" i="58" s="1"/>
  <c r="O7854" i="58"/>
  <c r="P7854" i="58" s="1"/>
  <c r="I7854" i="58"/>
  <c r="J7854" i="58" s="1"/>
  <c r="O7853" i="58"/>
  <c r="P7853" i="58" s="1"/>
  <c r="I7853" i="58"/>
  <c r="J7853" i="58" s="1"/>
  <c r="P7852" i="58"/>
  <c r="O7852" i="58"/>
  <c r="I7852" i="58"/>
  <c r="J7852" i="58" s="1"/>
  <c r="O7851" i="58"/>
  <c r="P7851" i="58" s="1"/>
  <c r="I7851" i="58"/>
  <c r="J7851" i="58" s="1"/>
  <c r="O7850" i="58"/>
  <c r="P7850" i="58" s="1"/>
  <c r="I7850" i="58"/>
  <c r="J7850" i="58" s="1"/>
  <c r="O7849" i="58"/>
  <c r="P7849" i="58" s="1"/>
  <c r="O7848" i="58"/>
  <c r="P7848" i="58" s="1"/>
  <c r="Q7848" i="58" s="1"/>
  <c r="N7848" i="58"/>
  <c r="O7847" i="58"/>
  <c r="P7847" i="58" s="1"/>
  <c r="K7847" i="58"/>
  <c r="L7847" i="58" s="1"/>
  <c r="L7833" i="58" s="1"/>
  <c r="O7846" i="58"/>
  <c r="P7846" i="58" s="1"/>
  <c r="O7845" i="58"/>
  <c r="P7845" i="58" s="1"/>
  <c r="I7845" i="58"/>
  <c r="J7845" i="58" s="1"/>
  <c r="O7844" i="58"/>
  <c r="P7844" i="58" s="1"/>
  <c r="I7844" i="58"/>
  <c r="J7844" i="58" s="1"/>
  <c r="O7843" i="58"/>
  <c r="P7843" i="58" s="1"/>
  <c r="I7843" i="58"/>
  <c r="J7843" i="58" s="1"/>
  <c r="O7842" i="58"/>
  <c r="P7842" i="58" s="1"/>
  <c r="I7842" i="58"/>
  <c r="J7842" i="58" s="1"/>
  <c r="O7841" i="58"/>
  <c r="P7841" i="58" s="1"/>
  <c r="I7841" i="58"/>
  <c r="J7841" i="58" s="1"/>
  <c r="O7840" i="58"/>
  <c r="P7840" i="58" s="1"/>
  <c r="I7840" i="58"/>
  <c r="J7840" i="58" s="1"/>
  <c r="O7839" i="58"/>
  <c r="P7839" i="58" s="1"/>
  <c r="I7839" i="58"/>
  <c r="J7839" i="58" s="1"/>
  <c r="P7838" i="58"/>
  <c r="O7838" i="58"/>
  <c r="I7838" i="58"/>
  <c r="J7838" i="58" s="1"/>
  <c r="O7837" i="58"/>
  <c r="P7837" i="58" s="1"/>
  <c r="J7837" i="58"/>
  <c r="I7837" i="58"/>
  <c r="O7836" i="58"/>
  <c r="P7836" i="58" s="1"/>
  <c r="I7836" i="58"/>
  <c r="J7836" i="58" s="1"/>
  <c r="O7835" i="58"/>
  <c r="P7835" i="58" s="1"/>
  <c r="I7835" i="58"/>
  <c r="J7835" i="58" s="1"/>
  <c r="P7834" i="58"/>
  <c r="O7834" i="58"/>
  <c r="O7833" i="58"/>
  <c r="P7833" i="58" s="1"/>
  <c r="Q7833" i="58" s="1"/>
  <c r="N7833" i="58"/>
  <c r="O7832" i="58"/>
  <c r="P7832" i="58" s="1"/>
  <c r="K7832" i="58"/>
  <c r="L7832" i="58" s="1"/>
  <c r="L7818" i="58" s="1"/>
  <c r="O7831" i="58"/>
  <c r="P7831" i="58" s="1"/>
  <c r="P7830" i="58"/>
  <c r="O7830" i="58"/>
  <c r="I7830" i="58"/>
  <c r="J7830" i="58" s="1"/>
  <c r="O7829" i="58"/>
  <c r="P7829" i="58" s="1"/>
  <c r="I7829" i="58"/>
  <c r="J7829" i="58" s="1"/>
  <c r="O7828" i="58"/>
  <c r="P7828" i="58" s="1"/>
  <c r="I7828" i="58"/>
  <c r="J7828" i="58" s="1"/>
  <c r="O7827" i="58"/>
  <c r="P7827" i="58" s="1"/>
  <c r="J7827" i="58"/>
  <c r="I7827" i="58"/>
  <c r="O7826" i="58"/>
  <c r="P7826" i="58" s="1"/>
  <c r="I7826" i="58"/>
  <c r="J7826" i="58" s="1"/>
  <c r="O7825" i="58"/>
  <c r="P7825" i="58" s="1"/>
  <c r="I7825" i="58"/>
  <c r="J7825" i="58" s="1"/>
  <c r="O7824" i="58"/>
  <c r="P7824" i="58" s="1"/>
  <c r="I7824" i="58"/>
  <c r="J7824" i="58" s="1"/>
  <c r="O7823" i="58"/>
  <c r="P7823" i="58" s="1"/>
  <c r="I7823" i="58"/>
  <c r="J7823" i="58" s="1"/>
  <c r="O7822" i="58"/>
  <c r="P7822" i="58" s="1"/>
  <c r="I7822" i="58"/>
  <c r="J7822" i="58" s="1"/>
  <c r="O7821" i="58"/>
  <c r="P7821" i="58" s="1"/>
  <c r="I7821" i="58"/>
  <c r="J7821" i="58" s="1"/>
  <c r="O7820" i="58"/>
  <c r="P7820" i="58" s="1"/>
  <c r="I7820" i="58"/>
  <c r="J7820" i="58" s="1"/>
  <c r="O7819" i="58"/>
  <c r="P7819" i="58" s="1"/>
  <c r="O7818" i="58"/>
  <c r="P7818" i="58" s="1"/>
  <c r="Q7818" i="58" s="1"/>
  <c r="N7818" i="58"/>
  <c r="O7817" i="58"/>
  <c r="P7817" i="58" s="1"/>
  <c r="K7817" i="58"/>
  <c r="L7817" i="58" s="1"/>
  <c r="L7803" i="58" s="1"/>
  <c r="O7816" i="58"/>
  <c r="P7816" i="58" s="1"/>
  <c r="O7815" i="58"/>
  <c r="P7815" i="58" s="1"/>
  <c r="I7815" i="58"/>
  <c r="J7815" i="58" s="1"/>
  <c r="O7814" i="58"/>
  <c r="P7814" i="58" s="1"/>
  <c r="I7814" i="58"/>
  <c r="J7814" i="58" s="1"/>
  <c r="O7813" i="58"/>
  <c r="P7813" i="58" s="1"/>
  <c r="I7813" i="58"/>
  <c r="J7813" i="58" s="1"/>
  <c r="O7812" i="58"/>
  <c r="P7812" i="58" s="1"/>
  <c r="I7812" i="58"/>
  <c r="J7812" i="58" s="1"/>
  <c r="O7811" i="58"/>
  <c r="P7811" i="58" s="1"/>
  <c r="I7811" i="58"/>
  <c r="J7811" i="58" s="1"/>
  <c r="O7810" i="58"/>
  <c r="P7810" i="58" s="1"/>
  <c r="I7810" i="58"/>
  <c r="J7810" i="58" s="1"/>
  <c r="O7809" i="58"/>
  <c r="P7809" i="58" s="1"/>
  <c r="I7809" i="58"/>
  <c r="J7809" i="58" s="1"/>
  <c r="P7808" i="58"/>
  <c r="O7808" i="58"/>
  <c r="I7808" i="58"/>
  <c r="J7808" i="58" s="1"/>
  <c r="O7807" i="58"/>
  <c r="P7807" i="58" s="1"/>
  <c r="J7807" i="58"/>
  <c r="I7807" i="58"/>
  <c r="O7806" i="58"/>
  <c r="P7806" i="58" s="1"/>
  <c r="I7806" i="58"/>
  <c r="J7806" i="58" s="1"/>
  <c r="O7805" i="58"/>
  <c r="P7805" i="58" s="1"/>
  <c r="I7805" i="58"/>
  <c r="J7805" i="58" s="1"/>
  <c r="O7804" i="58"/>
  <c r="P7804" i="58" s="1"/>
  <c r="O7803" i="58"/>
  <c r="P7803" i="58" s="1"/>
  <c r="Q7803" i="58" s="1"/>
  <c r="N7803" i="58"/>
  <c r="O7802" i="58"/>
  <c r="P7802" i="58" s="1"/>
  <c r="Q7802" i="58" s="1"/>
  <c r="R7802" i="58" s="1"/>
  <c r="K7802" i="58"/>
  <c r="L7802" i="58" s="1"/>
  <c r="L7788" i="58" s="1"/>
  <c r="O7801" i="58"/>
  <c r="P7801" i="58" s="1"/>
  <c r="O7800" i="58"/>
  <c r="P7800" i="58" s="1"/>
  <c r="I7800" i="58"/>
  <c r="J7800" i="58" s="1"/>
  <c r="O7799" i="58"/>
  <c r="P7799" i="58" s="1"/>
  <c r="I7799" i="58"/>
  <c r="J7799" i="58" s="1"/>
  <c r="O7798" i="58"/>
  <c r="P7798" i="58" s="1"/>
  <c r="I7798" i="58"/>
  <c r="J7798" i="58" s="1"/>
  <c r="O7797" i="58"/>
  <c r="P7797" i="58" s="1"/>
  <c r="I7797" i="58"/>
  <c r="J7797" i="58" s="1"/>
  <c r="O7796" i="58"/>
  <c r="P7796" i="58" s="1"/>
  <c r="I7796" i="58"/>
  <c r="J7796" i="58" s="1"/>
  <c r="O7795" i="58"/>
  <c r="P7795" i="58" s="1"/>
  <c r="I7795" i="58"/>
  <c r="J7795" i="58" s="1"/>
  <c r="O7794" i="58"/>
  <c r="P7794" i="58" s="1"/>
  <c r="I7794" i="58"/>
  <c r="J7794" i="58" s="1"/>
  <c r="O7793" i="58"/>
  <c r="P7793" i="58" s="1"/>
  <c r="I7793" i="58"/>
  <c r="J7793" i="58" s="1"/>
  <c r="O7792" i="58"/>
  <c r="P7792" i="58" s="1"/>
  <c r="J7792" i="58"/>
  <c r="I7792" i="58"/>
  <c r="P7791" i="58"/>
  <c r="O7791" i="58"/>
  <c r="I7791" i="58"/>
  <c r="J7791" i="58" s="1"/>
  <c r="O7790" i="58"/>
  <c r="P7790" i="58" s="1"/>
  <c r="I7790" i="58"/>
  <c r="J7790" i="58" s="1"/>
  <c r="P7789" i="58"/>
  <c r="O7789" i="58"/>
  <c r="O7788" i="58"/>
  <c r="P7788" i="58" s="1"/>
  <c r="Q7788" i="58" s="1"/>
  <c r="N7788" i="58"/>
  <c r="P7787" i="58"/>
  <c r="O7787" i="58"/>
  <c r="K7787" i="58"/>
  <c r="L7787" i="58" s="1"/>
  <c r="L7781" i="58" s="1"/>
  <c r="P7786" i="58"/>
  <c r="O7786" i="58"/>
  <c r="O7785" i="58"/>
  <c r="P7785" i="58" s="1"/>
  <c r="I7785" i="58"/>
  <c r="J7785" i="58" s="1"/>
  <c r="O7784" i="58"/>
  <c r="P7784" i="58" s="1"/>
  <c r="I7784" i="58"/>
  <c r="J7784" i="58" s="1"/>
  <c r="O7783" i="58"/>
  <c r="P7783" i="58" s="1"/>
  <c r="I7783" i="58"/>
  <c r="J7783" i="58" s="1"/>
  <c r="O7782" i="58"/>
  <c r="P7782" i="58" s="1"/>
  <c r="O7781" i="58"/>
  <c r="P7781" i="58" s="1"/>
  <c r="Q7781" i="58" s="1"/>
  <c r="N7781" i="58"/>
  <c r="O7780" i="58"/>
  <c r="P7780" i="58" s="1"/>
  <c r="L7780" i="58"/>
  <c r="L7774" i="58" s="1"/>
  <c r="K7780" i="58"/>
  <c r="O7779" i="58"/>
  <c r="P7779" i="58" s="1"/>
  <c r="O7778" i="58"/>
  <c r="P7778" i="58" s="1"/>
  <c r="I7778" i="58"/>
  <c r="J7778" i="58" s="1"/>
  <c r="J7774" i="58" s="1"/>
  <c r="O7777" i="58"/>
  <c r="P7777" i="58" s="1"/>
  <c r="I7777" i="58"/>
  <c r="J7777" i="58" s="1"/>
  <c r="P7776" i="58"/>
  <c r="O7776" i="58"/>
  <c r="I7776" i="58"/>
  <c r="J7776" i="58" s="1"/>
  <c r="O7775" i="58"/>
  <c r="P7775" i="58" s="1"/>
  <c r="O7774" i="58"/>
  <c r="P7774" i="58" s="1"/>
  <c r="Q7774" i="58" s="1"/>
  <c r="N7774" i="58"/>
  <c r="O7773" i="58"/>
  <c r="P7773" i="58" s="1"/>
  <c r="Q7773" i="58" s="1"/>
  <c r="R7773" i="58" s="1"/>
  <c r="L7773" i="58"/>
  <c r="L7767" i="58" s="1"/>
  <c r="K7773" i="58"/>
  <c r="P7772" i="58"/>
  <c r="O7772" i="58"/>
  <c r="O7771" i="58"/>
  <c r="P7771" i="58" s="1"/>
  <c r="I7771" i="58"/>
  <c r="J7771" i="58" s="1"/>
  <c r="P7770" i="58"/>
  <c r="O7770" i="58"/>
  <c r="I7770" i="58"/>
  <c r="J7770" i="58" s="1"/>
  <c r="O7769" i="58"/>
  <c r="P7769" i="58" s="1"/>
  <c r="I7769" i="58"/>
  <c r="J7769" i="58" s="1"/>
  <c r="O7768" i="58"/>
  <c r="P7768" i="58" s="1"/>
  <c r="O7767" i="58"/>
  <c r="P7767" i="58" s="1"/>
  <c r="Q7767" i="58" s="1"/>
  <c r="N7767" i="58"/>
  <c r="P7766" i="58"/>
  <c r="O7766" i="58"/>
  <c r="K7766" i="58"/>
  <c r="L7766" i="58" s="1"/>
  <c r="L7760" i="58" s="1"/>
  <c r="P7765" i="58"/>
  <c r="O7765" i="58"/>
  <c r="O7764" i="58"/>
  <c r="P7764" i="58" s="1"/>
  <c r="I7764" i="58"/>
  <c r="J7764" i="58" s="1"/>
  <c r="O7763" i="58"/>
  <c r="P7763" i="58" s="1"/>
  <c r="I7763" i="58"/>
  <c r="J7763" i="58" s="1"/>
  <c r="O7762" i="58"/>
  <c r="P7762" i="58" s="1"/>
  <c r="I7762" i="58"/>
  <c r="J7762" i="58" s="1"/>
  <c r="O7761" i="58"/>
  <c r="P7761" i="58" s="1"/>
  <c r="O7760" i="58"/>
  <c r="P7760" i="58" s="1"/>
  <c r="Q7760" i="58" s="1"/>
  <c r="N7760" i="58"/>
  <c r="P7759" i="58"/>
  <c r="O7759" i="58"/>
  <c r="L7759" i="58"/>
  <c r="L7753" i="58" s="1"/>
  <c r="K7759" i="58"/>
  <c r="P7758" i="58"/>
  <c r="O7758" i="58"/>
  <c r="P7757" i="58"/>
  <c r="O7757" i="58"/>
  <c r="I7757" i="58"/>
  <c r="J7757" i="58" s="1"/>
  <c r="O7756" i="58"/>
  <c r="P7756" i="58" s="1"/>
  <c r="J7756" i="58"/>
  <c r="I7756" i="58"/>
  <c r="P7755" i="58"/>
  <c r="O7755" i="58"/>
  <c r="I7755" i="58"/>
  <c r="J7755" i="58" s="1"/>
  <c r="O7754" i="58"/>
  <c r="P7754" i="58" s="1"/>
  <c r="O7753" i="58"/>
  <c r="P7753" i="58" s="1"/>
  <c r="Q7753" i="58" s="1"/>
  <c r="Q7752" i="58" s="1"/>
  <c r="R7752" i="58" s="1"/>
  <c r="N7753" i="58"/>
  <c r="O7752" i="58"/>
  <c r="P7752" i="58" s="1"/>
  <c r="K7752" i="58"/>
  <c r="L7752" i="58" s="1"/>
  <c r="O7751" i="58"/>
  <c r="P7751" i="58" s="1"/>
  <c r="O7750" i="58"/>
  <c r="P7750" i="58" s="1"/>
  <c r="I7750" i="58"/>
  <c r="J7750" i="58" s="1"/>
  <c r="O7749" i="58"/>
  <c r="P7749" i="58" s="1"/>
  <c r="I7749" i="58"/>
  <c r="J7749" i="58" s="1"/>
  <c r="O7748" i="58"/>
  <c r="P7748" i="58" s="1"/>
  <c r="J7748" i="58"/>
  <c r="I7748" i="58"/>
  <c r="O7747" i="58"/>
  <c r="P7747" i="58" s="1"/>
  <c r="O7746" i="58"/>
  <c r="P7746" i="58" s="1"/>
  <c r="Q7746" i="58" s="1"/>
  <c r="N7746" i="58"/>
  <c r="L7746" i="58"/>
  <c r="O7745" i="58"/>
  <c r="P7745" i="58" s="1"/>
  <c r="K7745" i="58"/>
  <c r="L7745" i="58" s="1"/>
  <c r="L7739" i="58" s="1"/>
  <c r="O7744" i="58"/>
  <c r="P7744" i="58" s="1"/>
  <c r="O7743" i="58"/>
  <c r="P7743" i="58" s="1"/>
  <c r="I7743" i="58"/>
  <c r="J7743" i="58" s="1"/>
  <c r="O7742" i="58"/>
  <c r="P7742" i="58" s="1"/>
  <c r="J7742" i="58"/>
  <c r="I7742" i="58"/>
  <c r="O7741" i="58"/>
  <c r="P7741" i="58" s="1"/>
  <c r="I7741" i="58"/>
  <c r="J7741" i="58" s="1"/>
  <c r="O7740" i="58"/>
  <c r="P7740" i="58" s="1"/>
  <c r="O7739" i="58"/>
  <c r="P7739" i="58" s="1"/>
  <c r="Q7739" i="58" s="1"/>
  <c r="N7739" i="58"/>
  <c r="O7738" i="58"/>
  <c r="P7738" i="58" s="1"/>
  <c r="K7738" i="58"/>
  <c r="L7738" i="58" s="1"/>
  <c r="L7732" i="58" s="1"/>
  <c r="O7737" i="58"/>
  <c r="P7737" i="58" s="1"/>
  <c r="O7736" i="58"/>
  <c r="P7736" i="58" s="1"/>
  <c r="I7736" i="58"/>
  <c r="J7736" i="58" s="1"/>
  <c r="O7735" i="58"/>
  <c r="P7735" i="58" s="1"/>
  <c r="I7735" i="58"/>
  <c r="J7735" i="58" s="1"/>
  <c r="O7734" i="58"/>
  <c r="P7734" i="58" s="1"/>
  <c r="I7734" i="58"/>
  <c r="J7734" i="58" s="1"/>
  <c r="O7733" i="58"/>
  <c r="P7733" i="58" s="1"/>
  <c r="O7732" i="58"/>
  <c r="P7732" i="58" s="1"/>
  <c r="Q7732" i="58" s="1"/>
  <c r="N7732" i="58"/>
  <c r="O7731" i="58"/>
  <c r="P7731" i="58" s="1"/>
  <c r="K7731" i="58"/>
  <c r="L7731" i="58" s="1"/>
  <c r="L7725" i="58" s="1"/>
  <c r="P7730" i="58"/>
  <c r="O7730" i="58"/>
  <c r="P7729" i="58"/>
  <c r="O7729" i="58"/>
  <c r="I7729" i="58"/>
  <c r="J7729" i="58" s="1"/>
  <c r="O7728" i="58"/>
  <c r="P7728" i="58" s="1"/>
  <c r="I7728" i="58"/>
  <c r="J7728" i="58" s="1"/>
  <c r="O7727" i="58"/>
  <c r="P7727" i="58" s="1"/>
  <c r="I7727" i="58"/>
  <c r="J7727" i="58" s="1"/>
  <c r="O7726" i="58"/>
  <c r="P7726" i="58" s="1"/>
  <c r="O7725" i="58"/>
  <c r="P7725" i="58" s="1"/>
  <c r="Q7725" i="58" s="1"/>
  <c r="N7725" i="58"/>
  <c r="O7724" i="58"/>
  <c r="P7724" i="58" s="1"/>
  <c r="K7724" i="58"/>
  <c r="L7724" i="58" s="1"/>
  <c r="O7723" i="58"/>
  <c r="P7723" i="58" s="1"/>
  <c r="P7722" i="58"/>
  <c r="O7722" i="58"/>
  <c r="I7722" i="58"/>
  <c r="J7722" i="58" s="1"/>
  <c r="O7721" i="58"/>
  <c r="P7721" i="58" s="1"/>
  <c r="I7721" i="58"/>
  <c r="J7721" i="58" s="1"/>
  <c r="O7720" i="58"/>
  <c r="P7720" i="58" s="1"/>
  <c r="I7720" i="58"/>
  <c r="J7720" i="58" s="1"/>
  <c r="O7719" i="58"/>
  <c r="P7719" i="58" s="1"/>
  <c r="O7718" i="58"/>
  <c r="P7718" i="58" s="1"/>
  <c r="Q7718" i="58" s="1"/>
  <c r="N7718" i="58"/>
  <c r="L7718" i="58"/>
  <c r="O7717" i="58"/>
  <c r="P7717" i="58" s="1"/>
  <c r="K7717" i="58"/>
  <c r="L7717" i="58" s="1"/>
  <c r="L7711" i="58" s="1"/>
  <c r="O7716" i="58"/>
  <c r="P7716" i="58" s="1"/>
  <c r="O7715" i="58"/>
  <c r="P7715" i="58" s="1"/>
  <c r="I7715" i="58"/>
  <c r="J7715" i="58" s="1"/>
  <c r="O7714" i="58"/>
  <c r="P7714" i="58" s="1"/>
  <c r="I7714" i="58"/>
  <c r="J7714" i="58" s="1"/>
  <c r="O7713" i="58"/>
  <c r="P7713" i="58" s="1"/>
  <c r="I7713" i="58"/>
  <c r="J7713" i="58" s="1"/>
  <c r="O7712" i="58"/>
  <c r="P7712" i="58" s="1"/>
  <c r="O7711" i="58"/>
  <c r="P7711" i="58" s="1"/>
  <c r="Q7711" i="58" s="1"/>
  <c r="N7711" i="58"/>
  <c r="J7711" i="58"/>
  <c r="P7710" i="58"/>
  <c r="Q7710" i="58" s="1"/>
  <c r="R7710" i="58" s="1"/>
  <c r="O7710" i="58"/>
  <c r="K7710" i="58"/>
  <c r="L7710" i="58" s="1"/>
  <c r="L7704" i="58" s="1"/>
  <c r="O7709" i="58"/>
  <c r="P7709" i="58" s="1"/>
  <c r="O7708" i="58"/>
  <c r="P7708" i="58" s="1"/>
  <c r="I7708" i="58"/>
  <c r="J7708" i="58" s="1"/>
  <c r="O7707" i="58"/>
  <c r="P7707" i="58" s="1"/>
  <c r="I7707" i="58"/>
  <c r="J7707" i="58" s="1"/>
  <c r="O7706" i="58"/>
  <c r="P7706" i="58" s="1"/>
  <c r="I7706" i="58"/>
  <c r="J7706" i="58" s="1"/>
  <c r="O7705" i="58"/>
  <c r="P7705" i="58" s="1"/>
  <c r="O7704" i="58"/>
  <c r="P7704" i="58" s="1"/>
  <c r="Q7704" i="58" s="1"/>
  <c r="N7704" i="58"/>
  <c r="O7703" i="58"/>
  <c r="P7703" i="58" s="1"/>
  <c r="Q7703" i="58" s="1"/>
  <c r="K7703" i="58"/>
  <c r="L7703" i="58" s="1"/>
  <c r="L7697" i="58" s="1"/>
  <c r="P7702" i="58"/>
  <c r="O7702" i="58"/>
  <c r="O7701" i="58"/>
  <c r="P7701" i="58" s="1"/>
  <c r="I7701" i="58"/>
  <c r="J7701" i="58" s="1"/>
  <c r="O7700" i="58"/>
  <c r="P7700" i="58" s="1"/>
  <c r="I7700" i="58"/>
  <c r="J7700" i="58" s="1"/>
  <c r="O7699" i="58"/>
  <c r="P7699" i="58" s="1"/>
  <c r="I7699" i="58"/>
  <c r="J7699" i="58" s="1"/>
  <c r="O7698" i="58"/>
  <c r="P7698" i="58" s="1"/>
  <c r="O7697" i="58"/>
  <c r="P7697" i="58" s="1"/>
  <c r="Q7697" i="58" s="1"/>
  <c r="N7697" i="58"/>
  <c r="P7696" i="58"/>
  <c r="O7696" i="58"/>
  <c r="K7696" i="58"/>
  <c r="L7696" i="58" s="1"/>
  <c r="L7690" i="58" s="1"/>
  <c r="O7695" i="58"/>
  <c r="P7695" i="58" s="1"/>
  <c r="O7694" i="58"/>
  <c r="P7694" i="58" s="1"/>
  <c r="I7694" i="58"/>
  <c r="J7694" i="58" s="1"/>
  <c r="O7693" i="58"/>
  <c r="P7693" i="58" s="1"/>
  <c r="J7693" i="58"/>
  <c r="I7693" i="58"/>
  <c r="O7692" i="58"/>
  <c r="P7692" i="58" s="1"/>
  <c r="I7692" i="58"/>
  <c r="J7692" i="58" s="1"/>
  <c r="O7691" i="58"/>
  <c r="P7691" i="58" s="1"/>
  <c r="O7690" i="58"/>
  <c r="P7690" i="58" s="1"/>
  <c r="Q7690" i="58" s="1"/>
  <c r="N7690" i="58"/>
  <c r="O7689" i="58"/>
  <c r="P7689" i="58" s="1"/>
  <c r="Q7689" i="58" s="1"/>
  <c r="K7689" i="58"/>
  <c r="L7689" i="58" s="1"/>
  <c r="L7675" i="58" s="1"/>
  <c r="P7688" i="58"/>
  <c r="O7688" i="58"/>
  <c r="O7687" i="58"/>
  <c r="P7687" i="58" s="1"/>
  <c r="I7687" i="58"/>
  <c r="J7687" i="58" s="1"/>
  <c r="O7686" i="58"/>
  <c r="P7686" i="58" s="1"/>
  <c r="I7686" i="58"/>
  <c r="J7686" i="58" s="1"/>
  <c r="O7685" i="58"/>
  <c r="P7685" i="58" s="1"/>
  <c r="I7685" i="58"/>
  <c r="J7685" i="58" s="1"/>
  <c r="P7684" i="58"/>
  <c r="O7684" i="58"/>
  <c r="I7684" i="58"/>
  <c r="J7684" i="58" s="1"/>
  <c r="P7683" i="58"/>
  <c r="O7683" i="58"/>
  <c r="I7683" i="58"/>
  <c r="J7683" i="58" s="1"/>
  <c r="O7682" i="58"/>
  <c r="P7682" i="58" s="1"/>
  <c r="I7682" i="58"/>
  <c r="J7682" i="58" s="1"/>
  <c r="O7681" i="58"/>
  <c r="P7681" i="58" s="1"/>
  <c r="I7681" i="58"/>
  <c r="J7681" i="58" s="1"/>
  <c r="O7680" i="58"/>
  <c r="P7680" i="58" s="1"/>
  <c r="I7680" i="58"/>
  <c r="J7680" i="58" s="1"/>
  <c r="O7679" i="58"/>
  <c r="P7679" i="58" s="1"/>
  <c r="I7679" i="58"/>
  <c r="J7679" i="58" s="1"/>
  <c r="O7678" i="58"/>
  <c r="P7678" i="58" s="1"/>
  <c r="I7678" i="58"/>
  <c r="J7678" i="58" s="1"/>
  <c r="O7677" i="58"/>
  <c r="P7677" i="58" s="1"/>
  <c r="I7677" i="58"/>
  <c r="J7677" i="58" s="1"/>
  <c r="O7676" i="58"/>
  <c r="P7676" i="58" s="1"/>
  <c r="O7675" i="58"/>
  <c r="P7675" i="58" s="1"/>
  <c r="Q7675" i="58" s="1"/>
  <c r="N7675" i="58"/>
  <c r="O7674" i="58"/>
  <c r="P7674" i="58" s="1"/>
  <c r="K7674" i="58"/>
  <c r="L7674" i="58" s="1"/>
  <c r="L7660" i="58" s="1"/>
  <c r="O7673" i="58"/>
  <c r="P7673" i="58" s="1"/>
  <c r="O7672" i="58"/>
  <c r="P7672" i="58" s="1"/>
  <c r="I7672" i="58"/>
  <c r="J7672" i="58" s="1"/>
  <c r="O7671" i="58"/>
  <c r="P7671" i="58" s="1"/>
  <c r="I7671" i="58"/>
  <c r="J7671" i="58" s="1"/>
  <c r="O7670" i="58"/>
  <c r="P7670" i="58" s="1"/>
  <c r="I7670" i="58"/>
  <c r="J7670" i="58" s="1"/>
  <c r="O7669" i="58"/>
  <c r="P7669" i="58" s="1"/>
  <c r="I7669" i="58"/>
  <c r="J7669" i="58" s="1"/>
  <c r="O7668" i="58"/>
  <c r="P7668" i="58" s="1"/>
  <c r="I7668" i="58"/>
  <c r="J7668" i="58" s="1"/>
  <c r="O7667" i="58"/>
  <c r="P7667" i="58" s="1"/>
  <c r="I7667" i="58"/>
  <c r="J7667" i="58" s="1"/>
  <c r="O7666" i="58"/>
  <c r="P7666" i="58" s="1"/>
  <c r="J7666" i="58"/>
  <c r="I7666" i="58"/>
  <c r="O7665" i="58"/>
  <c r="P7665" i="58" s="1"/>
  <c r="I7665" i="58"/>
  <c r="J7665" i="58" s="1"/>
  <c r="O7664" i="58"/>
  <c r="P7664" i="58" s="1"/>
  <c r="I7664" i="58"/>
  <c r="J7664" i="58" s="1"/>
  <c r="O7663" i="58"/>
  <c r="P7663" i="58" s="1"/>
  <c r="I7663" i="58"/>
  <c r="J7663" i="58" s="1"/>
  <c r="O7662" i="58"/>
  <c r="P7662" i="58" s="1"/>
  <c r="I7662" i="58"/>
  <c r="J7662" i="58" s="1"/>
  <c r="P7661" i="58"/>
  <c r="O7661" i="58"/>
  <c r="O7660" i="58"/>
  <c r="P7660" i="58" s="1"/>
  <c r="Q7660" i="58" s="1"/>
  <c r="N7660" i="58"/>
  <c r="O7659" i="58"/>
  <c r="P7659" i="58" s="1"/>
  <c r="Q7659" i="58" s="1"/>
  <c r="R7659" i="58" s="1"/>
  <c r="K7659" i="58"/>
  <c r="L7659" i="58" s="1"/>
  <c r="L7645" i="58" s="1"/>
  <c r="O7658" i="58"/>
  <c r="P7658" i="58" s="1"/>
  <c r="Q7658" i="58" s="1"/>
  <c r="R7658" i="58" s="1"/>
  <c r="O7657" i="58"/>
  <c r="P7657" i="58" s="1"/>
  <c r="I7657" i="58"/>
  <c r="J7657" i="58" s="1"/>
  <c r="O7656" i="58"/>
  <c r="P7656" i="58" s="1"/>
  <c r="I7656" i="58"/>
  <c r="J7656" i="58" s="1"/>
  <c r="O7655" i="58"/>
  <c r="P7655" i="58" s="1"/>
  <c r="I7655" i="58"/>
  <c r="J7655" i="58" s="1"/>
  <c r="O7654" i="58"/>
  <c r="P7654" i="58" s="1"/>
  <c r="I7654" i="58"/>
  <c r="J7654" i="58" s="1"/>
  <c r="O7653" i="58"/>
  <c r="P7653" i="58" s="1"/>
  <c r="I7653" i="58"/>
  <c r="J7653" i="58" s="1"/>
  <c r="O7652" i="58"/>
  <c r="P7652" i="58" s="1"/>
  <c r="I7652" i="58"/>
  <c r="J7652" i="58" s="1"/>
  <c r="O7651" i="58"/>
  <c r="P7651" i="58" s="1"/>
  <c r="I7651" i="58"/>
  <c r="J7651" i="58" s="1"/>
  <c r="O7650" i="58"/>
  <c r="P7650" i="58" s="1"/>
  <c r="I7650" i="58"/>
  <c r="J7650" i="58" s="1"/>
  <c r="P7649" i="58"/>
  <c r="O7649" i="58"/>
  <c r="I7649" i="58"/>
  <c r="J7649" i="58" s="1"/>
  <c r="P7648" i="58"/>
  <c r="O7648" i="58"/>
  <c r="I7648" i="58"/>
  <c r="J7648" i="58" s="1"/>
  <c r="P7647" i="58"/>
  <c r="O7647" i="58"/>
  <c r="I7647" i="58"/>
  <c r="J7647" i="58" s="1"/>
  <c r="O7646" i="58"/>
  <c r="P7646" i="58" s="1"/>
  <c r="P7645" i="58"/>
  <c r="Q7645" i="58" s="1"/>
  <c r="O7645" i="58"/>
  <c r="N7645" i="58"/>
  <c r="O7644" i="58"/>
  <c r="P7644" i="58" s="1"/>
  <c r="Q7644" i="58" s="1"/>
  <c r="R7644" i="58" s="1"/>
  <c r="K7644" i="58"/>
  <c r="L7644" i="58" s="1"/>
  <c r="L7630" i="58" s="1"/>
  <c r="O7643" i="58"/>
  <c r="P7643" i="58" s="1"/>
  <c r="O7642" i="58"/>
  <c r="P7642" i="58" s="1"/>
  <c r="J7642" i="58"/>
  <c r="I7642" i="58"/>
  <c r="O7641" i="58"/>
  <c r="P7641" i="58" s="1"/>
  <c r="I7641" i="58"/>
  <c r="J7641" i="58" s="1"/>
  <c r="O7640" i="58"/>
  <c r="P7640" i="58" s="1"/>
  <c r="I7640" i="58"/>
  <c r="J7640" i="58" s="1"/>
  <c r="O7639" i="58"/>
  <c r="P7639" i="58" s="1"/>
  <c r="J7639" i="58"/>
  <c r="I7639" i="58"/>
  <c r="O7638" i="58"/>
  <c r="P7638" i="58" s="1"/>
  <c r="I7638" i="58"/>
  <c r="J7638" i="58" s="1"/>
  <c r="O7637" i="58"/>
  <c r="P7637" i="58" s="1"/>
  <c r="I7637" i="58"/>
  <c r="J7637" i="58" s="1"/>
  <c r="O7636" i="58"/>
  <c r="P7636" i="58" s="1"/>
  <c r="I7636" i="58"/>
  <c r="J7636" i="58" s="1"/>
  <c r="O7635" i="58"/>
  <c r="P7635" i="58" s="1"/>
  <c r="J7635" i="58"/>
  <c r="I7635" i="58"/>
  <c r="O7634" i="58"/>
  <c r="P7634" i="58" s="1"/>
  <c r="I7634" i="58"/>
  <c r="J7634" i="58" s="1"/>
  <c r="O7633" i="58"/>
  <c r="P7633" i="58" s="1"/>
  <c r="J7633" i="58"/>
  <c r="I7633" i="58"/>
  <c r="P7632" i="58"/>
  <c r="O7632" i="58"/>
  <c r="I7632" i="58"/>
  <c r="J7632" i="58" s="1"/>
  <c r="O7631" i="58"/>
  <c r="P7631" i="58" s="1"/>
  <c r="O7630" i="58"/>
  <c r="P7630" i="58" s="1"/>
  <c r="Q7630" i="58" s="1"/>
  <c r="N7630" i="58"/>
  <c r="O7629" i="58"/>
  <c r="P7629" i="58" s="1"/>
  <c r="Q7629" i="58" s="1"/>
  <c r="R7629" i="58" s="1"/>
  <c r="L7629" i="58"/>
  <c r="L7615" i="58" s="1"/>
  <c r="K7629" i="58"/>
  <c r="P7628" i="58"/>
  <c r="O7628" i="58"/>
  <c r="O7627" i="58"/>
  <c r="P7627" i="58" s="1"/>
  <c r="I7627" i="58"/>
  <c r="J7627" i="58" s="1"/>
  <c r="P7626" i="58"/>
  <c r="O7626" i="58"/>
  <c r="I7626" i="58"/>
  <c r="J7626" i="58" s="1"/>
  <c r="O7625" i="58"/>
  <c r="P7625" i="58" s="1"/>
  <c r="I7625" i="58"/>
  <c r="J7625" i="58" s="1"/>
  <c r="O7624" i="58"/>
  <c r="P7624" i="58" s="1"/>
  <c r="I7624" i="58"/>
  <c r="J7624" i="58" s="1"/>
  <c r="O7623" i="58"/>
  <c r="P7623" i="58" s="1"/>
  <c r="I7623" i="58"/>
  <c r="J7623" i="58" s="1"/>
  <c r="O7622" i="58"/>
  <c r="P7622" i="58" s="1"/>
  <c r="I7622" i="58"/>
  <c r="J7622" i="58" s="1"/>
  <c r="O7621" i="58"/>
  <c r="P7621" i="58" s="1"/>
  <c r="I7621" i="58"/>
  <c r="J7621" i="58" s="1"/>
  <c r="O7620" i="58"/>
  <c r="P7620" i="58" s="1"/>
  <c r="I7620" i="58"/>
  <c r="J7620" i="58" s="1"/>
  <c r="P7619" i="58"/>
  <c r="O7619" i="58"/>
  <c r="I7619" i="58"/>
  <c r="J7619" i="58" s="1"/>
  <c r="O7618" i="58"/>
  <c r="P7618" i="58" s="1"/>
  <c r="I7618" i="58"/>
  <c r="J7618" i="58" s="1"/>
  <c r="O7617" i="58"/>
  <c r="P7617" i="58" s="1"/>
  <c r="I7617" i="58"/>
  <c r="J7617" i="58" s="1"/>
  <c r="O7616" i="58"/>
  <c r="P7616" i="58" s="1"/>
  <c r="O7615" i="58"/>
  <c r="P7615" i="58" s="1"/>
  <c r="Q7615" i="58" s="1"/>
  <c r="N7615" i="58"/>
  <c r="P7614" i="58"/>
  <c r="O7614" i="58"/>
  <c r="K7614" i="58"/>
  <c r="L7614" i="58" s="1"/>
  <c r="L7600" i="58" s="1"/>
  <c r="P7613" i="58"/>
  <c r="O7613" i="58"/>
  <c r="O7612" i="58"/>
  <c r="P7612" i="58" s="1"/>
  <c r="I7612" i="58"/>
  <c r="J7612" i="58" s="1"/>
  <c r="O7611" i="58"/>
  <c r="P7611" i="58" s="1"/>
  <c r="I7611" i="58"/>
  <c r="J7611" i="58" s="1"/>
  <c r="P7610" i="58"/>
  <c r="O7610" i="58"/>
  <c r="J7610" i="58"/>
  <c r="I7610" i="58"/>
  <c r="O7609" i="58"/>
  <c r="P7609" i="58" s="1"/>
  <c r="I7609" i="58"/>
  <c r="J7609" i="58" s="1"/>
  <c r="O7608" i="58"/>
  <c r="P7608" i="58" s="1"/>
  <c r="I7608" i="58"/>
  <c r="J7608" i="58" s="1"/>
  <c r="O7607" i="58"/>
  <c r="P7607" i="58" s="1"/>
  <c r="I7607" i="58"/>
  <c r="J7607" i="58" s="1"/>
  <c r="P7606" i="58"/>
  <c r="O7606" i="58"/>
  <c r="I7606" i="58"/>
  <c r="J7606" i="58" s="1"/>
  <c r="O7605" i="58"/>
  <c r="P7605" i="58" s="1"/>
  <c r="I7605" i="58"/>
  <c r="J7605" i="58" s="1"/>
  <c r="O7604" i="58"/>
  <c r="P7604" i="58" s="1"/>
  <c r="I7604" i="58"/>
  <c r="J7604" i="58" s="1"/>
  <c r="O7603" i="58"/>
  <c r="P7603" i="58" s="1"/>
  <c r="I7603" i="58"/>
  <c r="J7603" i="58" s="1"/>
  <c r="O7602" i="58"/>
  <c r="P7602" i="58" s="1"/>
  <c r="I7602" i="58"/>
  <c r="J7602" i="58" s="1"/>
  <c r="O7601" i="58"/>
  <c r="P7601" i="58" s="1"/>
  <c r="O7600" i="58"/>
  <c r="P7600" i="58" s="1"/>
  <c r="Q7600" i="58" s="1"/>
  <c r="N7600" i="58"/>
  <c r="O7599" i="58"/>
  <c r="P7599" i="58" s="1"/>
  <c r="K7599" i="58"/>
  <c r="L7599" i="58" s="1"/>
  <c r="L7585" i="58" s="1"/>
  <c r="O7598" i="58"/>
  <c r="P7598" i="58" s="1"/>
  <c r="O7597" i="58"/>
  <c r="P7597" i="58" s="1"/>
  <c r="I7597" i="58"/>
  <c r="J7597" i="58" s="1"/>
  <c r="O7596" i="58"/>
  <c r="P7596" i="58" s="1"/>
  <c r="I7596" i="58"/>
  <c r="J7596" i="58" s="1"/>
  <c r="O7595" i="58"/>
  <c r="P7595" i="58" s="1"/>
  <c r="I7595" i="58"/>
  <c r="J7595" i="58" s="1"/>
  <c r="O7594" i="58"/>
  <c r="P7594" i="58" s="1"/>
  <c r="I7594" i="58"/>
  <c r="J7594" i="58" s="1"/>
  <c r="P7593" i="58"/>
  <c r="O7593" i="58"/>
  <c r="I7593" i="58"/>
  <c r="J7593" i="58" s="1"/>
  <c r="O7592" i="58"/>
  <c r="P7592" i="58" s="1"/>
  <c r="J7592" i="58"/>
  <c r="I7592" i="58"/>
  <c r="O7591" i="58"/>
  <c r="P7591" i="58" s="1"/>
  <c r="I7591" i="58"/>
  <c r="J7591" i="58" s="1"/>
  <c r="P7590" i="58"/>
  <c r="O7590" i="58"/>
  <c r="I7590" i="58"/>
  <c r="J7590" i="58" s="1"/>
  <c r="O7589" i="58"/>
  <c r="P7589" i="58" s="1"/>
  <c r="I7589" i="58"/>
  <c r="J7589" i="58" s="1"/>
  <c r="P7588" i="58"/>
  <c r="O7588" i="58"/>
  <c r="I7588" i="58"/>
  <c r="J7588" i="58" s="1"/>
  <c r="O7587" i="58"/>
  <c r="P7587" i="58" s="1"/>
  <c r="I7587" i="58"/>
  <c r="J7587" i="58" s="1"/>
  <c r="O7586" i="58"/>
  <c r="P7586" i="58" s="1"/>
  <c r="P7585" i="58"/>
  <c r="Q7585" i="58" s="1"/>
  <c r="O7585" i="58"/>
  <c r="N7585" i="58"/>
  <c r="O7584" i="58"/>
  <c r="P7584" i="58" s="1"/>
  <c r="K7584" i="58"/>
  <c r="L7584" i="58" s="1"/>
  <c r="L7570" i="58" s="1"/>
  <c r="O7583" i="58"/>
  <c r="P7583" i="58" s="1"/>
  <c r="O7582" i="58"/>
  <c r="P7582" i="58" s="1"/>
  <c r="I7582" i="58"/>
  <c r="J7582" i="58" s="1"/>
  <c r="O7581" i="58"/>
  <c r="P7581" i="58" s="1"/>
  <c r="I7581" i="58"/>
  <c r="J7581" i="58" s="1"/>
  <c r="O7580" i="58"/>
  <c r="P7580" i="58" s="1"/>
  <c r="I7580" i="58"/>
  <c r="J7580" i="58" s="1"/>
  <c r="O7579" i="58"/>
  <c r="P7579" i="58" s="1"/>
  <c r="I7579" i="58"/>
  <c r="J7579" i="58" s="1"/>
  <c r="O7578" i="58"/>
  <c r="P7578" i="58" s="1"/>
  <c r="I7578" i="58"/>
  <c r="J7578" i="58" s="1"/>
  <c r="O7577" i="58"/>
  <c r="P7577" i="58" s="1"/>
  <c r="J7577" i="58"/>
  <c r="I7577" i="58"/>
  <c r="O7576" i="58"/>
  <c r="P7576" i="58" s="1"/>
  <c r="I7576" i="58"/>
  <c r="J7576" i="58" s="1"/>
  <c r="P7575" i="58"/>
  <c r="O7575" i="58"/>
  <c r="I7575" i="58"/>
  <c r="J7575" i="58" s="1"/>
  <c r="O7574" i="58"/>
  <c r="P7574" i="58" s="1"/>
  <c r="I7574" i="58"/>
  <c r="J7574" i="58" s="1"/>
  <c r="O7573" i="58"/>
  <c r="P7573" i="58" s="1"/>
  <c r="I7573" i="58"/>
  <c r="J7573" i="58" s="1"/>
  <c r="O7572" i="58"/>
  <c r="P7572" i="58" s="1"/>
  <c r="I7572" i="58"/>
  <c r="J7572" i="58" s="1"/>
  <c r="O7571" i="58"/>
  <c r="P7571" i="58" s="1"/>
  <c r="O7570" i="58"/>
  <c r="P7570" i="58" s="1"/>
  <c r="Q7570" i="58" s="1"/>
  <c r="N7570" i="58"/>
  <c r="O7569" i="58"/>
  <c r="P7569" i="58" s="1"/>
  <c r="K7569" i="58"/>
  <c r="L7569" i="58" s="1"/>
  <c r="L7555" i="58" s="1"/>
  <c r="O7568" i="58"/>
  <c r="P7568" i="58" s="1"/>
  <c r="O7567" i="58"/>
  <c r="P7567" i="58" s="1"/>
  <c r="J7567" i="58"/>
  <c r="I7567" i="58"/>
  <c r="O7566" i="58"/>
  <c r="P7566" i="58" s="1"/>
  <c r="I7566" i="58"/>
  <c r="J7566" i="58" s="1"/>
  <c r="P7565" i="58"/>
  <c r="O7565" i="58"/>
  <c r="I7565" i="58"/>
  <c r="J7565" i="58" s="1"/>
  <c r="P7564" i="58"/>
  <c r="O7564" i="58"/>
  <c r="I7564" i="58"/>
  <c r="J7564" i="58" s="1"/>
  <c r="O7563" i="58"/>
  <c r="P7563" i="58" s="1"/>
  <c r="I7563" i="58"/>
  <c r="J7563" i="58" s="1"/>
  <c r="O7562" i="58"/>
  <c r="P7562" i="58" s="1"/>
  <c r="I7562" i="58"/>
  <c r="J7562" i="58" s="1"/>
  <c r="O7561" i="58"/>
  <c r="P7561" i="58" s="1"/>
  <c r="I7561" i="58"/>
  <c r="J7561" i="58" s="1"/>
  <c r="O7560" i="58"/>
  <c r="P7560" i="58" s="1"/>
  <c r="J7560" i="58"/>
  <c r="I7560" i="58"/>
  <c r="O7559" i="58"/>
  <c r="P7559" i="58" s="1"/>
  <c r="I7559" i="58"/>
  <c r="J7559" i="58" s="1"/>
  <c r="O7558" i="58"/>
  <c r="P7558" i="58" s="1"/>
  <c r="I7558" i="58"/>
  <c r="J7558" i="58" s="1"/>
  <c r="P7557" i="58"/>
  <c r="O7557" i="58"/>
  <c r="I7557" i="58"/>
  <c r="J7557" i="58" s="1"/>
  <c r="O7556" i="58"/>
  <c r="P7556" i="58" s="1"/>
  <c r="Q7555" i="58"/>
  <c r="Q7554" i="58" s="1"/>
  <c r="R7554" i="58" s="1"/>
  <c r="O7555" i="58"/>
  <c r="P7555" i="58" s="1"/>
  <c r="N7555" i="58"/>
  <c r="O7554" i="58"/>
  <c r="P7554" i="58" s="1"/>
  <c r="K7554" i="58"/>
  <c r="L7554" i="58" s="1"/>
  <c r="L7540" i="58" s="1"/>
  <c r="O7553" i="58"/>
  <c r="P7553" i="58" s="1"/>
  <c r="O7552" i="58"/>
  <c r="P7552" i="58" s="1"/>
  <c r="I7552" i="58"/>
  <c r="J7552" i="58" s="1"/>
  <c r="O7551" i="58"/>
  <c r="P7551" i="58" s="1"/>
  <c r="I7551" i="58"/>
  <c r="J7551" i="58" s="1"/>
  <c r="O7550" i="58"/>
  <c r="P7550" i="58" s="1"/>
  <c r="I7550" i="58"/>
  <c r="J7550" i="58" s="1"/>
  <c r="O7549" i="58"/>
  <c r="P7549" i="58" s="1"/>
  <c r="I7549" i="58"/>
  <c r="J7549" i="58" s="1"/>
  <c r="O7548" i="58"/>
  <c r="P7548" i="58" s="1"/>
  <c r="J7548" i="58"/>
  <c r="I7548" i="58"/>
  <c r="O7547" i="58"/>
  <c r="P7547" i="58" s="1"/>
  <c r="I7547" i="58"/>
  <c r="J7547" i="58" s="1"/>
  <c r="O7546" i="58"/>
  <c r="P7546" i="58" s="1"/>
  <c r="I7546" i="58"/>
  <c r="J7546" i="58" s="1"/>
  <c r="O7545" i="58"/>
  <c r="P7545" i="58" s="1"/>
  <c r="I7545" i="58"/>
  <c r="J7545" i="58" s="1"/>
  <c r="O7544" i="58"/>
  <c r="P7544" i="58" s="1"/>
  <c r="I7544" i="58"/>
  <c r="J7544" i="58" s="1"/>
  <c r="O7543" i="58"/>
  <c r="P7543" i="58" s="1"/>
  <c r="J7543" i="58"/>
  <c r="I7543" i="58"/>
  <c r="O7542" i="58"/>
  <c r="P7542" i="58" s="1"/>
  <c r="I7542" i="58"/>
  <c r="J7542" i="58" s="1"/>
  <c r="O7541" i="58"/>
  <c r="P7541" i="58" s="1"/>
  <c r="O7540" i="58"/>
  <c r="P7540" i="58" s="1"/>
  <c r="Q7540" i="58" s="1"/>
  <c r="N7540" i="58"/>
  <c r="P7539" i="58"/>
  <c r="O7539" i="58"/>
  <c r="K7539" i="58"/>
  <c r="L7539" i="58" s="1"/>
  <c r="L7525" i="58" s="1"/>
  <c r="O7538" i="58"/>
  <c r="P7538" i="58" s="1"/>
  <c r="O7537" i="58"/>
  <c r="P7537" i="58" s="1"/>
  <c r="I7537" i="58"/>
  <c r="J7537" i="58" s="1"/>
  <c r="P7536" i="58"/>
  <c r="O7536" i="58"/>
  <c r="I7536" i="58"/>
  <c r="J7536" i="58" s="1"/>
  <c r="O7535" i="58"/>
  <c r="P7535" i="58" s="1"/>
  <c r="I7535" i="58"/>
  <c r="J7535" i="58" s="1"/>
  <c r="P7534" i="58"/>
  <c r="O7534" i="58"/>
  <c r="I7534" i="58"/>
  <c r="J7534" i="58" s="1"/>
  <c r="O7533" i="58"/>
  <c r="P7533" i="58" s="1"/>
  <c r="I7533" i="58"/>
  <c r="J7533" i="58" s="1"/>
  <c r="P7532" i="58"/>
  <c r="O7532" i="58"/>
  <c r="I7532" i="58"/>
  <c r="J7532" i="58" s="1"/>
  <c r="P7531" i="58"/>
  <c r="O7531" i="58"/>
  <c r="I7531" i="58"/>
  <c r="J7531" i="58" s="1"/>
  <c r="O7530" i="58"/>
  <c r="P7530" i="58" s="1"/>
  <c r="I7530" i="58"/>
  <c r="J7530" i="58" s="1"/>
  <c r="O7529" i="58"/>
  <c r="P7529" i="58" s="1"/>
  <c r="I7529" i="58"/>
  <c r="J7529" i="58" s="1"/>
  <c r="O7528" i="58"/>
  <c r="P7528" i="58" s="1"/>
  <c r="I7528" i="58"/>
  <c r="J7528" i="58" s="1"/>
  <c r="P7527" i="58"/>
  <c r="O7527" i="58"/>
  <c r="J7527" i="58"/>
  <c r="I7527" i="58"/>
  <c r="O7526" i="58"/>
  <c r="P7526" i="58" s="1"/>
  <c r="O7525" i="58"/>
  <c r="P7525" i="58" s="1"/>
  <c r="Q7525" i="58" s="1"/>
  <c r="N7525" i="58"/>
  <c r="O7524" i="58"/>
  <c r="P7524" i="58" s="1"/>
  <c r="Q7524" i="58" s="1"/>
  <c r="R7524" i="58" s="1"/>
  <c r="K7524" i="58"/>
  <c r="L7524" i="58" s="1"/>
  <c r="O7523" i="58"/>
  <c r="P7523" i="58" s="1"/>
  <c r="Q7523" i="58" s="1"/>
  <c r="R7523" i="58" s="1"/>
  <c r="O7522" i="58"/>
  <c r="P7522" i="58" s="1"/>
  <c r="I7522" i="58"/>
  <c r="J7522" i="58" s="1"/>
  <c r="O7521" i="58"/>
  <c r="P7521" i="58" s="1"/>
  <c r="I7521" i="58"/>
  <c r="J7521" i="58" s="1"/>
  <c r="O7520" i="58"/>
  <c r="P7520" i="58" s="1"/>
  <c r="J7520" i="58"/>
  <c r="I7520" i="58"/>
  <c r="O7519" i="58"/>
  <c r="P7519" i="58" s="1"/>
  <c r="I7519" i="58"/>
  <c r="J7519" i="58" s="1"/>
  <c r="O7518" i="58"/>
  <c r="P7518" i="58" s="1"/>
  <c r="I7518" i="58"/>
  <c r="J7518" i="58" s="1"/>
  <c r="O7517" i="58"/>
  <c r="P7517" i="58" s="1"/>
  <c r="J7517" i="58"/>
  <c r="I7517" i="58"/>
  <c r="O7516" i="58"/>
  <c r="P7516" i="58" s="1"/>
  <c r="I7516" i="58"/>
  <c r="J7516" i="58" s="1"/>
  <c r="O7515" i="58"/>
  <c r="P7515" i="58" s="1"/>
  <c r="I7515" i="58"/>
  <c r="J7515" i="58" s="1"/>
  <c r="O7514" i="58"/>
  <c r="P7514" i="58" s="1"/>
  <c r="J7514" i="58"/>
  <c r="I7514" i="58"/>
  <c r="O7513" i="58"/>
  <c r="P7513" i="58" s="1"/>
  <c r="I7513" i="58"/>
  <c r="J7513" i="58" s="1"/>
  <c r="P7512" i="58"/>
  <c r="O7512" i="58"/>
  <c r="I7512" i="58"/>
  <c r="J7512" i="58" s="1"/>
  <c r="O7511" i="58"/>
  <c r="P7511" i="58" s="1"/>
  <c r="O7510" i="58"/>
  <c r="P7510" i="58" s="1"/>
  <c r="Q7510" i="58" s="1"/>
  <c r="N7510" i="58"/>
  <c r="L7510" i="58"/>
  <c r="O7509" i="58"/>
  <c r="P7509" i="58" s="1"/>
  <c r="Q7509" i="58" s="1"/>
  <c r="R7509" i="58" s="1"/>
  <c r="K7509" i="58"/>
  <c r="L7509" i="58" s="1"/>
  <c r="L7495" i="58" s="1"/>
  <c r="O7508" i="58"/>
  <c r="P7508" i="58" s="1"/>
  <c r="P7507" i="58"/>
  <c r="O7507" i="58"/>
  <c r="J7507" i="58"/>
  <c r="I7507" i="58"/>
  <c r="O7506" i="58"/>
  <c r="P7506" i="58" s="1"/>
  <c r="I7506" i="58"/>
  <c r="J7506" i="58" s="1"/>
  <c r="O7505" i="58"/>
  <c r="P7505" i="58" s="1"/>
  <c r="J7505" i="58"/>
  <c r="I7505" i="58"/>
  <c r="O7504" i="58"/>
  <c r="P7504" i="58" s="1"/>
  <c r="I7504" i="58"/>
  <c r="J7504" i="58" s="1"/>
  <c r="O7503" i="58"/>
  <c r="P7503" i="58" s="1"/>
  <c r="I7503" i="58"/>
  <c r="J7503" i="58" s="1"/>
  <c r="P7502" i="58"/>
  <c r="O7502" i="58"/>
  <c r="I7502" i="58"/>
  <c r="J7502" i="58" s="1"/>
  <c r="O7501" i="58"/>
  <c r="P7501" i="58" s="1"/>
  <c r="I7501" i="58"/>
  <c r="J7501" i="58" s="1"/>
  <c r="O7500" i="58"/>
  <c r="P7500" i="58" s="1"/>
  <c r="I7500" i="58"/>
  <c r="J7500" i="58" s="1"/>
  <c r="O7499" i="58"/>
  <c r="P7499" i="58" s="1"/>
  <c r="I7499" i="58"/>
  <c r="J7499" i="58" s="1"/>
  <c r="O7498" i="58"/>
  <c r="P7498" i="58" s="1"/>
  <c r="I7498" i="58"/>
  <c r="J7498" i="58" s="1"/>
  <c r="O7497" i="58"/>
  <c r="P7497" i="58" s="1"/>
  <c r="I7497" i="58"/>
  <c r="J7497" i="58" s="1"/>
  <c r="P7496" i="58"/>
  <c r="O7496" i="58"/>
  <c r="O7495" i="58"/>
  <c r="P7495" i="58" s="1"/>
  <c r="Q7495" i="58" s="1"/>
  <c r="N7495" i="58"/>
  <c r="P7494" i="58"/>
  <c r="O7494" i="58"/>
  <c r="K7494" i="58"/>
  <c r="L7494" i="58" s="1"/>
  <c r="L7480" i="58" s="1"/>
  <c r="O7493" i="58"/>
  <c r="P7493" i="58" s="1"/>
  <c r="O7492" i="58"/>
  <c r="P7492" i="58" s="1"/>
  <c r="I7492" i="58"/>
  <c r="J7492" i="58" s="1"/>
  <c r="O7491" i="58"/>
  <c r="P7491" i="58" s="1"/>
  <c r="I7491" i="58"/>
  <c r="J7491" i="58" s="1"/>
  <c r="O7490" i="58"/>
  <c r="P7490" i="58" s="1"/>
  <c r="I7490" i="58"/>
  <c r="J7490" i="58" s="1"/>
  <c r="O7489" i="58"/>
  <c r="P7489" i="58" s="1"/>
  <c r="I7489" i="58"/>
  <c r="J7489" i="58" s="1"/>
  <c r="O7488" i="58"/>
  <c r="P7488" i="58" s="1"/>
  <c r="I7488" i="58"/>
  <c r="J7488" i="58" s="1"/>
  <c r="O7487" i="58"/>
  <c r="P7487" i="58" s="1"/>
  <c r="I7487" i="58"/>
  <c r="J7487" i="58" s="1"/>
  <c r="P7486" i="58"/>
  <c r="O7486" i="58"/>
  <c r="J7486" i="58"/>
  <c r="I7486" i="58"/>
  <c r="O7485" i="58"/>
  <c r="P7485" i="58" s="1"/>
  <c r="I7485" i="58"/>
  <c r="J7485" i="58" s="1"/>
  <c r="O7484" i="58"/>
  <c r="P7484" i="58" s="1"/>
  <c r="I7484" i="58"/>
  <c r="J7484" i="58" s="1"/>
  <c r="O7483" i="58"/>
  <c r="P7483" i="58" s="1"/>
  <c r="I7483" i="58"/>
  <c r="J7483" i="58" s="1"/>
  <c r="O7482" i="58"/>
  <c r="P7482" i="58" s="1"/>
  <c r="I7482" i="58"/>
  <c r="J7482" i="58" s="1"/>
  <c r="O7481" i="58"/>
  <c r="P7481" i="58" s="1"/>
  <c r="O7480" i="58"/>
  <c r="P7480" i="58" s="1"/>
  <c r="Q7480" i="58" s="1"/>
  <c r="N7480" i="58"/>
  <c r="P7479" i="58"/>
  <c r="O7479" i="58"/>
  <c r="K7479" i="58"/>
  <c r="L7479" i="58" s="1"/>
  <c r="L7473" i="58" s="1"/>
  <c r="O7478" i="58"/>
  <c r="P7478" i="58" s="1"/>
  <c r="O7477" i="58"/>
  <c r="P7477" i="58" s="1"/>
  <c r="I7477" i="58"/>
  <c r="J7477" i="58" s="1"/>
  <c r="O7476" i="58"/>
  <c r="P7476" i="58" s="1"/>
  <c r="I7476" i="58"/>
  <c r="J7476" i="58" s="1"/>
  <c r="O7475" i="58"/>
  <c r="P7475" i="58" s="1"/>
  <c r="I7475" i="58"/>
  <c r="J7475" i="58" s="1"/>
  <c r="J7473" i="58" s="1"/>
  <c r="O7474" i="58"/>
  <c r="P7474" i="58" s="1"/>
  <c r="P7473" i="58"/>
  <c r="Q7473" i="58" s="1"/>
  <c r="O7473" i="58"/>
  <c r="N7473" i="58"/>
  <c r="O7472" i="58"/>
  <c r="P7472" i="58" s="1"/>
  <c r="K7472" i="58"/>
  <c r="L7472" i="58" s="1"/>
  <c r="L7466" i="58" s="1"/>
  <c r="O7471" i="58"/>
  <c r="P7471" i="58" s="1"/>
  <c r="O7470" i="58"/>
  <c r="P7470" i="58" s="1"/>
  <c r="I7470" i="58"/>
  <c r="J7470" i="58" s="1"/>
  <c r="O7469" i="58"/>
  <c r="P7469" i="58" s="1"/>
  <c r="I7469" i="58"/>
  <c r="J7469" i="58" s="1"/>
  <c r="O7468" i="58"/>
  <c r="P7468" i="58" s="1"/>
  <c r="I7468" i="58"/>
  <c r="J7468" i="58" s="1"/>
  <c r="P7467" i="58"/>
  <c r="O7467" i="58"/>
  <c r="O7466" i="58"/>
  <c r="P7466" i="58" s="1"/>
  <c r="Q7466" i="58" s="1"/>
  <c r="N7466" i="58"/>
  <c r="O7465" i="58"/>
  <c r="P7465" i="58" s="1"/>
  <c r="L7465" i="58"/>
  <c r="L7459" i="58" s="1"/>
  <c r="K7465" i="58"/>
  <c r="O7464" i="58"/>
  <c r="P7464" i="58" s="1"/>
  <c r="O7463" i="58"/>
  <c r="P7463" i="58" s="1"/>
  <c r="I7463" i="58"/>
  <c r="J7463" i="58" s="1"/>
  <c r="O7462" i="58"/>
  <c r="P7462" i="58" s="1"/>
  <c r="I7462" i="58"/>
  <c r="J7462" i="58" s="1"/>
  <c r="O7461" i="58"/>
  <c r="P7461" i="58" s="1"/>
  <c r="I7461" i="58"/>
  <c r="J7461" i="58" s="1"/>
  <c r="O7460" i="58"/>
  <c r="P7460" i="58" s="1"/>
  <c r="O7459" i="58"/>
  <c r="P7459" i="58" s="1"/>
  <c r="Q7459" i="58" s="1"/>
  <c r="N7459" i="58"/>
  <c r="O7458" i="58"/>
  <c r="P7458" i="58" s="1"/>
  <c r="Q7458" i="58" s="1"/>
  <c r="R7458" i="58" s="1"/>
  <c r="K7458" i="58"/>
  <c r="L7458" i="58" s="1"/>
  <c r="L7452" i="58" s="1"/>
  <c r="O7457" i="58"/>
  <c r="P7457" i="58" s="1"/>
  <c r="O7456" i="58"/>
  <c r="P7456" i="58" s="1"/>
  <c r="I7456" i="58"/>
  <c r="J7456" i="58" s="1"/>
  <c r="O7455" i="58"/>
  <c r="P7455" i="58" s="1"/>
  <c r="J7455" i="58"/>
  <c r="I7455" i="58"/>
  <c r="O7454" i="58"/>
  <c r="P7454" i="58" s="1"/>
  <c r="I7454" i="58"/>
  <c r="J7454" i="58" s="1"/>
  <c r="P7453" i="58"/>
  <c r="O7453" i="58"/>
  <c r="O7452" i="58"/>
  <c r="P7452" i="58" s="1"/>
  <c r="Q7452" i="58" s="1"/>
  <c r="N7452" i="58"/>
  <c r="O7451" i="58"/>
  <c r="P7451" i="58" s="1"/>
  <c r="K7451" i="58"/>
  <c r="L7451" i="58" s="1"/>
  <c r="L7445" i="58" s="1"/>
  <c r="O7450" i="58"/>
  <c r="P7450" i="58" s="1"/>
  <c r="O7449" i="58"/>
  <c r="P7449" i="58" s="1"/>
  <c r="I7449" i="58"/>
  <c r="J7449" i="58" s="1"/>
  <c r="P7448" i="58"/>
  <c r="O7448" i="58"/>
  <c r="I7448" i="58"/>
  <c r="J7448" i="58" s="1"/>
  <c r="P7447" i="58"/>
  <c r="O7447" i="58"/>
  <c r="I7447" i="58"/>
  <c r="J7447" i="58" s="1"/>
  <c r="P7446" i="58"/>
  <c r="O7446" i="58"/>
  <c r="O7445" i="58"/>
  <c r="P7445" i="58" s="1"/>
  <c r="Q7445" i="58" s="1"/>
  <c r="N7445" i="58"/>
  <c r="O7444" i="58"/>
  <c r="P7444" i="58" s="1"/>
  <c r="Q7444" i="58" s="1"/>
  <c r="R7444" i="58" s="1"/>
  <c r="K7444" i="58"/>
  <c r="L7444" i="58" s="1"/>
  <c r="L7438" i="58" s="1"/>
  <c r="Q7443" i="58"/>
  <c r="R7443" i="58" s="1"/>
  <c r="O7443" i="58"/>
  <c r="P7443" i="58" s="1"/>
  <c r="O7442" i="58"/>
  <c r="P7442" i="58" s="1"/>
  <c r="I7442" i="58"/>
  <c r="J7442" i="58" s="1"/>
  <c r="O7441" i="58"/>
  <c r="P7441" i="58" s="1"/>
  <c r="I7441" i="58"/>
  <c r="J7441" i="58" s="1"/>
  <c r="O7440" i="58"/>
  <c r="P7440" i="58" s="1"/>
  <c r="I7440" i="58"/>
  <c r="J7440" i="58" s="1"/>
  <c r="P7439" i="58"/>
  <c r="O7439" i="58"/>
  <c r="O7438" i="58"/>
  <c r="P7438" i="58" s="1"/>
  <c r="Q7438" i="58" s="1"/>
  <c r="N7438" i="58"/>
  <c r="O7437" i="58"/>
  <c r="P7437" i="58" s="1"/>
  <c r="L7437" i="58"/>
  <c r="L7431" i="58" s="1"/>
  <c r="K7437" i="58"/>
  <c r="O7436" i="58"/>
  <c r="P7436" i="58" s="1"/>
  <c r="P7435" i="58"/>
  <c r="O7435" i="58"/>
  <c r="I7435" i="58"/>
  <c r="J7435" i="58" s="1"/>
  <c r="O7434" i="58"/>
  <c r="P7434" i="58" s="1"/>
  <c r="I7434" i="58"/>
  <c r="J7434" i="58" s="1"/>
  <c r="O7433" i="58"/>
  <c r="P7433" i="58" s="1"/>
  <c r="I7433" i="58"/>
  <c r="J7433" i="58" s="1"/>
  <c r="P7432" i="58"/>
  <c r="O7432" i="58"/>
  <c r="O7431" i="58"/>
  <c r="P7431" i="58" s="1"/>
  <c r="Q7431" i="58" s="1"/>
  <c r="N7431" i="58"/>
  <c r="O7430" i="58"/>
  <c r="P7430" i="58" s="1"/>
  <c r="Q7430" i="58" s="1"/>
  <c r="R7430" i="58" s="1"/>
  <c r="K7430" i="58"/>
  <c r="L7430" i="58" s="1"/>
  <c r="L7424" i="58" s="1"/>
  <c r="P7429" i="58"/>
  <c r="O7429" i="58"/>
  <c r="O7428" i="58"/>
  <c r="P7428" i="58" s="1"/>
  <c r="I7428" i="58"/>
  <c r="J7428" i="58" s="1"/>
  <c r="O7427" i="58"/>
  <c r="P7427" i="58" s="1"/>
  <c r="I7427" i="58"/>
  <c r="J7427" i="58" s="1"/>
  <c r="O7426" i="58"/>
  <c r="P7426" i="58" s="1"/>
  <c r="J7426" i="58"/>
  <c r="I7426" i="58"/>
  <c r="O7425" i="58"/>
  <c r="P7425" i="58" s="1"/>
  <c r="O7424" i="58"/>
  <c r="P7424" i="58" s="1"/>
  <c r="Q7424" i="58" s="1"/>
  <c r="N7424" i="58"/>
  <c r="O7423" i="58"/>
  <c r="P7423" i="58" s="1"/>
  <c r="K7423" i="58"/>
  <c r="L7423" i="58" s="1"/>
  <c r="L7417" i="58" s="1"/>
  <c r="P7422" i="58"/>
  <c r="O7422" i="58"/>
  <c r="P7421" i="58"/>
  <c r="O7421" i="58"/>
  <c r="I7421" i="58"/>
  <c r="J7421" i="58" s="1"/>
  <c r="O7420" i="58"/>
  <c r="P7420" i="58" s="1"/>
  <c r="I7420" i="58"/>
  <c r="J7420" i="58" s="1"/>
  <c r="O7419" i="58"/>
  <c r="P7419" i="58" s="1"/>
  <c r="I7419" i="58"/>
  <c r="J7419" i="58" s="1"/>
  <c r="P7418" i="58"/>
  <c r="O7418" i="58"/>
  <c r="P7417" i="58"/>
  <c r="Q7417" i="58" s="1"/>
  <c r="O7417" i="58"/>
  <c r="N7417" i="58"/>
  <c r="O7416" i="58"/>
  <c r="P7416" i="58" s="1"/>
  <c r="K7416" i="58"/>
  <c r="L7416" i="58" s="1"/>
  <c r="L7410" i="58" s="1"/>
  <c r="O7415" i="58"/>
  <c r="P7415" i="58" s="1"/>
  <c r="O7414" i="58"/>
  <c r="P7414" i="58" s="1"/>
  <c r="I7414" i="58"/>
  <c r="J7414" i="58" s="1"/>
  <c r="P7413" i="58"/>
  <c r="O7413" i="58"/>
  <c r="I7413" i="58"/>
  <c r="J7413" i="58" s="1"/>
  <c r="O7412" i="58"/>
  <c r="P7412" i="58" s="1"/>
  <c r="I7412" i="58"/>
  <c r="J7412" i="58" s="1"/>
  <c r="O7411" i="58"/>
  <c r="P7411" i="58" s="1"/>
  <c r="O7410" i="58"/>
  <c r="P7410" i="58" s="1"/>
  <c r="Q7410" i="58" s="1"/>
  <c r="N7410" i="58"/>
  <c r="P7409" i="58"/>
  <c r="O7409" i="58"/>
  <c r="K7409" i="58"/>
  <c r="L7409" i="58" s="1"/>
  <c r="L7403" i="58" s="1"/>
  <c r="O7408" i="58"/>
  <c r="P7408" i="58" s="1"/>
  <c r="O7407" i="58"/>
  <c r="P7407" i="58" s="1"/>
  <c r="I7407" i="58"/>
  <c r="J7407" i="58" s="1"/>
  <c r="O7406" i="58"/>
  <c r="P7406" i="58" s="1"/>
  <c r="I7406" i="58"/>
  <c r="J7406" i="58" s="1"/>
  <c r="O7405" i="58"/>
  <c r="P7405" i="58" s="1"/>
  <c r="I7405" i="58"/>
  <c r="J7405" i="58" s="1"/>
  <c r="O7404" i="58"/>
  <c r="P7404" i="58" s="1"/>
  <c r="O7403" i="58"/>
  <c r="P7403" i="58" s="1"/>
  <c r="Q7403" i="58" s="1"/>
  <c r="N7403" i="58"/>
  <c r="O7402" i="58"/>
  <c r="P7402" i="58" s="1"/>
  <c r="K7402" i="58"/>
  <c r="L7402" i="58" s="1"/>
  <c r="L7396" i="58" s="1"/>
  <c r="O7401" i="58"/>
  <c r="P7401" i="58" s="1"/>
  <c r="O7400" i="58"/>
  <c r="P7400" i="58" s="1"/>
  <c r="I7400" i="58"/>
  <c r="J7400" i="58" s="1"/>
  <c r="O7399" i="58"/>
  <c r="P7399" i="58" s="1"/>
  <c r="J7399" i="58"/>
  <c r="I7399" i="58"/>
  <c r="P7398" i="58"/>
  <c r="O7398" i="58"/>
  <c r="I7398" i="58"/>
  <c r="J7398" i="58" s="1"/>
  <c r="O7397" i="58"/>
  <c r="P7397" i="58" s="1"/>
  <c r="O7396" i="58"/>
  <c r="P7396" i="58" s="1"/>
  <c r="Q7396" i="58" s="1"/>
  <c r="N7396" i="58"/>
  <c r="O7395" i="58"/>
  <c r="P7395" i="58" s="1"/>
  <c r="Q7395" i="58" s="1"/>
  <c r="K7395" i="58"/>
  <c r="L7395" i="58" s="1"/>
  <c r="L7389" i="58" s="1"/>
  <c r="P7394" i="58"/>
  <c r="O7394" i="58"/>
  <c r="O7393" i="58"/>
  <c r="P7393" i="58" s="1"/>
  <c r="I7393" i="58"/>
  <c r="J7393" i="58" s="1"/>
  <c r="O7392" i="58"/>
  <c r="P7392" i="58" s="1"/>
  <c r="I7392" i="58"/>
  <c r="J7392" i="58" s="1"/>
  <c r="J7389" i="58" s="1"/>
  <c r="P7391" i="58"/>
  <c r="O7391" i="58"/>
  <c r="J7391" i="58"/>
  <c r="I7391" i="58"/>
  <c r="O7390" i="58"/>
  <c r="P7390" i="58" s="1"/>
  <c r="O7389" i="58"/>
  <c r="P7389" i="58" s="1"/>
  <c r="Q7389" i="58" s="1"/>
  <c r="Q7388" i="58" s="1"/>
  <c r="N7389" i="58"/>
  <c r="O7388" i="58"/>
  <c r="P7388" i="58" s="1"/>
  <c r="K7388" i="58"/>
  <c r="L7388" i="58" s="1"/>
  <c r="L7382" i="58" s="1"/>
  <c r="O7387" i="58"/>
  <c r="P7387" i="58" s="1"/>
  <c r="P7386" i="58"/>
  <c r="O7386" i="58"/>
  <c r="I7386" i="58"/>
  <c r="J7386" i="58" s="1"/>
  <c r="O7385" i="58"/>
  <c r="P7385" i="58" s="1"/>
  <c r="I7385" i="58"/>
  <c r="J7385" i="58" s="1"/>
  <c r="P7384" i="58"/>
  <c r="O7384" i="58"/>
  <c r="I7384" i="58"/>
  <c r="J7384" i="58" s="1"/>
  <c r="O7383" i="58"/>
  <c r="P7383" i="58" s="1"/>
  <c r="Q7382" i="58"/>
  <c r="O7382" i="58"/>
  <c r="P7382" i="58" s="1"/>
  <c r="N7382" i="58"/>
  <c r="O7381" i="58"/>
  <c r="P7381" i="58" s="1"/>
  <c r="L7381" i="58"/>
  <c r="L7367" i="58" s="1"/>
  <c r="K7381" i="58"/>
  <c r="O7380" i="58"/>
  <c r="P7380" i="58" s="1"/>
  <c r="O7379" i="58"/>
  <c r="P7379" i="58" s="1"/>
  <c r="J7379" i="58"/>
  <c r="I7379" i="58"/>
  <c r="O7378" i="58"/>
  <c r="P7378" i="58" s="1"/>
  <c r="I7378" i="58"/>
  <c r="J7378" i="58" s="1"/>
  <c r="O7377" i="58"/>
  <c r="P7377" i="58" s="1"/>
  <c r="I7377" i="58"/>
  <c r="J7377" i="58" s="1"/>
  <c r="O7376" i="58"/>
  <c r="P7376" i="58" s="1"/>
  <c r="I7376" i="58"/>
  <c r="J7376" i="58" s="1"/>
  <c r="O7375" i="58"/>
  <c r="P7375" i="58" s="1"/>
  <c r="I7375" i="58"/>
  <c r="J7375" i="58" s="1"/>
  <c r="O7374" i="58"/>
  <c r="P7374" i="58" s="1"/>
  <c r="J7374" i="58"/>
  <c r="I7374" i="58"/>
  <c r="O7373" i="58"/>
  <c r="P7373" i="58" s="1"/>
  <c r="I7373" i="58"/>
  <c r="J7373" i="58" s="1"/>
  <c r="O7372" i="58"/>
  <c r="P7372" i="58" s="1"/>
  <c r="I7372" i="58"/>
  <c r="J7372" i="58" s="1"/>
  <c r="P7371" i="58"/>
  <c r="O7371" i="58"/>
  <c r="I7371" i="58"/>
  <c r="J7371" i="58" s="1"/>
  <c r="O7370" i="58"/>
  <c r="P7370" i="58" s="1"/>
  <c r="J7370" i="58"/>
  <c r="I7370" i="58"/>
  <c r="O7369" i="58"/>
  <c r="P7369" i="58" s="1"/>
  <c r="J7369" i="58"/>
  <c r="I7369" i="58"/>
  <c r="O7368" i="58"/>
  <c r="P7368" i="58" s="1"/>
  <c r="O7367" i="58"/>
  <c r="P7367" i="58" s="1"/>
  <c r="Q7367" i="58" s="1"/>
  <c r="N7367" i="58"/>
  <c r="O7366" i="58"/>
  <c r="P7366" i="58" s="1"/>
  <c r="K7366" i="58"/>
  <c r="L7366" i="58" s="1"/>
  <c r="L7352" i="58" s="1"/>
  <c r="O7365" i="58"/>
  <c r="P7365" i="58" s="1"/>
  <c r="O7364" i="58"/>
  <c r="P7364" i="58" s="1"/>
  <c r="I7364" i="58"/>
  <c r="J7364" i="58" s="1"/>
  <c r="O7363" i="58"/>
  <c r="P7363" i="58" s="1"/>
  <c r="I7363" i="58"/>
  <c r="J7363" i="58" s="1"/>
  <c r="O7362" i="58"/>
  <c r="P7362" i="58" s="1"/>
  <c r="I7362" i="58"/>
  <c r="J7362" i="58" s="1"/>
  <c r="O7361" i="58"/>
  <c r="P7361" i="58" s="1"/>
  <c r="I7361" i="58"/>
  <c r="J7361" i="58" s="1"/>
  <c r="O7360" i="58"/>
  <c r="P7360" i="58" s="1"/>
  <c r="I7360" i="58"/>
  <c r="J7360" i="58" s="1"/>
  <c r="P7359" i="58"/>
  <c r="O7359" i="58"/>
  <c r="I7359" i="58"/>
  <c r="J7359" i="58" s="1"/>
  <c r="P7358" i="58"/>
  <c r="O7358" i="58"/>
  <c r="I7358" i="58"/>
  <c r="J7358" i="58" s="1"/>
  <c r="O7357" i="58"/>
  <c r="P7357" i="58" s="1"/>
  <c r="I7357" i="58"/>
  <c r="J7357" i="58" s="1"/>
  <c r="O7356" i="58"/>
  <c r="P7356" i="58" s="1"/>
  <c r="I7356" i="58"/>
  <c r="J7356" i="58" s="1"/>
  <c r="O7355" i="58"/>
  <c r="P7355" i="58" s="1"/>
  <c r="I7355" i="58"/>
  <c r="J7355" i="58" s="1"/>
  <c r="P7354" i="58"/>
  <c r="O7354" i="58"/>
  <c r="I7354" i="58"/>
  <c r="J7354" i="58" s="1"/>
  <c r="O7353" i="58"/>
  <c r="P7353" i="58" s="1"/>
  <c r="O7352" i="58"/>
  <c r="P7352" i="58" s="1"/>
  <c r="Q7352" i="58" s="1"/>
  <c r="N7352" i="58"/>
  <c r="P7351" i="58"/>
  <c r="O7351" i="58"/>
  <c r="K7351" i="58"/>
  <c r="L7351" i="58" s="1"/>
  <c r="L7337" i="58" s="1"/>
  <c r="O7350" i="58"/>
  <c r="P7350" i="58" s="1"/>
  <c r="O7349" i="58"/>
  <c r="P7349" i="58" s="1"/>
  <c r="I7349" i="58"/>
  <c r="J7349" i="58" s="1"/>
  <c r="O7348" i="58"/>
  <c r="P7348" i="58" s="1"/>
  <c r="I7348" i="58"/>
  <c r="J7348" i="58" s="1"/>
  <c r="P7347" i="58"/>
  <c r="O7347" i="58"/>
  <c r="I7347" i="58"/>
  <c r="J7347" i="58" s="1"/>
  <c r="O7346" i="58"/>
  <c r="P7346" i="58" s="1"/>
  <c r="I7346" i="58"/>
  <c r="J7346" i="58" s="1"/>
  <c r="O7345" i="58"/>
  <c r="P7345" i="58" s="1"/>
  <c r="I7345" i="58"/>
  <c r="J7345" i="58" s="1"/>
  <c r="O7344" i="58"/>
  <c r="P7344" i="58" s="1"/>
  <c r="I7344" i="58"/>
  <c r="J7344" i="58" s="1"/>
  <c r="O7343" i="58"/>
  <c r="P7343" i="58" s="1"/>
  <c r="I7343" i="58"/>
  <c r="J7343" i="58" s="1"/>
  <c r="O7342" i="58"/>
  <c r="P7342" i="58" s="1"/>
  <c r="I7342" i="58"/>
  <c r="J7342" i="58" s="1"/>
  <c r="O7341" i="58"/>
  <c r="P7341" i="58" s="1"/>
  <c r="I7341" i="58"/>
  <c r="J7341" i="58" s="1"/>
  <c r="P7340" i="58"/>
  <c r="O7340" i="58"/>
  <c r="J7340" i="58"/>
  <c r="I7340" i="58"/>
  <c r="O7339" i="58"/>
  <c r="P7339" i="58" s="1"/>
  <c r="I7339" i="58"/>
  <c r="J7339" i="58" s="1"/>
  <c r="O7338" i="58"/>
  <c r="P7338" i="58" s="1"/>
  <c r="P7337" i="58"/>
  <c r="Q7337" i="58" s="1"/>
  <c r="O7337" i="58"/>
  <c r="N7337" i="58"/>
  <c r="O7336" i="58"/>
  <c r="P7336" i="58" s="1"/>
  <c r="K7336" i="58"/>
  <c r="L7336" i="58" s="1"/>
  <c r="L7322" i="58" s="1"/>
  <c r="O7335" i="58"/>
  <c r="P7335" i="58" s="1"/>
  <c r="P7334" i="58"/>
  <c r="O7334" i="58"/>
  <c r="J7334" i="58"/>
  <c r="I7334" i="58"/>
  <c r="O7333" i="58"/>
  <c r="P7333" i="58" s="1"/>
  <c r="I7333" i="58"/>
  <c r="J7333" i="58" s="1"/>
  <c r="O7332" i="58"/>
  <c r="P7332" i="58" s="1"/>
  <c r="I7332" i="58"/>
  <c r="J7332" i="58" s="1"/>
  <c r="O7331" i="58"/>
  <c r="P7331" i="58" s="1"/>
  <c r="J7331" i="58"/>
  <c r="I7331" i="58"/>
  <c r="O7330" i="58"/>
  <c r="P7330" i="58" s="1"/>
  <c r="I7330" i="58"/>
  <c r="J7330" i="58" s="1"/>
  <c r="O7329" i="58"/>
  <c r="P7329" i="58" s="1"/>
  <c r="I7329" i="58"/>
  <c r="J7329" i="58" s="1"/>
  <c r="O7328" i="58"/>
  <c r="P7328" i="58" s="1"/>
  <c r="J7328" i="58"/>
  <c r="I7328" i="58"/>
  <c r="O7327" i="58"/>
  <c r="P7327" i="58" s="1"/>
  <c r="I7327" i="58"/>
  <c r="J7327" i="58" s="1"/>
  <c r="P7326" i="58"/>
  <c r="O7326" i="58"/>
  <c r="I7326" i="58"/>
  <c r="J7326" i="58" s="1"/>
  <c r="O7325" i="58"/>
  <c r="P7325" i="58" s="1"/>
  <c r="I7325" i="58"/>
  <c r="J7325" i="58" s="1"/>
  <c r="O7324" i="58"/>
  <c r="P7324" i="58" s="1"/>
  <c r="I7324" i="58"/>
  <c r="J7324" i="58" s="1"/>
  <c r="O7323" i="58"/>
  <c r="P7323" i="58" s="1"/>
  <c r="O7322" i="58"/>
  <c r="P7322" i="58" s="1"/>
  <c r="Q7322" i="58" s="1"/>
  <c r="N7322" i="58"/>
  <c r="O7321" i="58"/>
  <c r="P7321" i="58" s="1"/>
  <c r="K7321" i="58"/>
  <c r="L7321" i="58" s="1"/>
  <c r="L7307" i="58" s="1"/>
  <c r="O7320" i="58"/>
  <c r="P7320" i="58" s="1"/>
  <c r="O7319" i="58"/>
  <c r="P7319" i="58" s="1"/>
  <c r="I7319" i="58"/>
  <c r="J7319" i="58" s="1"/>
  <c r="O7318" i="58"/>
  <c r="P7318" i="58" s="1"/>
  <c r="I7318" i="58"/>
  <c r="J7318" i="58" s="1"/>
  <c r="O7317" i="58"/>
  <c r="P7317" i="58" s="1"/>
  <c r="I7317" i="58"/>
  <c r="J7317" i="58" s="1"/>
  <c r="O7316" i="58"/>
  <c r="P7316" i="58" s="1"/>
  <c r="I7316" i="58"/>
  <c r="J7316" i="58" s="1"/>
  <c r="O7315" i="58"/>
  <c r="P7315" i="58" s="1"/>
  <c r="I7315" i="58"/>
  <c r="J7315" i="58" s="1"/>
  <c r="O7314" i="58"/>
  <c r="P7314" i="58" s="1"/>
  <c r="I7314" i="58"/>
  <c r="J7314" i="58" s="1"/>
  <c r="P7313" i="58"/>
  <c r="O7313" i="58"/>
  <c r="I7313" i="58"/>
  <c r="J7313" i="58" s="1"/>
  <c r="O7312" i="58"/>
  <c r="P7312" i="58" s="1"/>
  <c r="I7312" i="58"/>
  <c r="J7312" i="58" s="1"/>
  <c r="P7311" i="58"/>
  <c r="O7311" i="58"/>
  <c r="I7311" i="58"/>
  <c r="J7311" i="58" s="1"/>
  <c r="O7310" i="58"/>
  <c r="P7310" i="58" s="1"/>
  <c r="I7310" i="58"/>
  <c r="J7310" i="58" s="1"/>
  <c r="O7309" i="58"/>
  <c r="P7309" i="58" s="1"/>
  <c r="I7309" i="58"/>
  <c r="J7309" i="58" s="1"/>
  <c r="P7308" i="58"/>
  <c r="O7308" i="58"/>
  <c r="P7307" i="58"/>
  <c r="Q7307" i="58" s="1"/>
  <c r="O7307" i="58"/>
  <c r="N7307" i="58"/>
  <c r="O7306" i="58"/>
  <c r="P7306" i="58" s="1"/>
  <c r="K7306" i="58"/>
  <c r="L7306" i="58" s="1"/>
  <c r="L7292" i="58" s="1"/>
  <c r="O7305" i="58"/>
  <c r="P7305" i="58" s="1"/>
  <c r="O7304" i="58"/>
  <c r="P7304" i="58" s="1"/>
  <c r="I7304" i="58"/>
  <c r="J7304" i="58" s="1"/>
  <c r="O7303" i="58"/>
  <c r="P7303" i="58" s="1"/>
  <c r="I7303" i="58"/>
  <c r="J7303" i="58" s="1"/>
  <c r="O7302" i="58"/>
  <c r="P7302" i="58" s="1"/>
  <c r="I7302" i="58"/>
  <c r="J7302" i="58" s="1"/>
  <c r="O7301" i="58"/>
  <c r="P7301" i="58" s="1"/>
  <c r="I7301" i="58"/>
  <c r="J7301" i="58" s="1"/>
  <c r="O7300" i="58"/>
  <c r="P7300" i="58" s="1"/>
  <c r="I7300" i="58"/>
  <c r="J7300" i="58" s="1"/>
  <c r="O7299" i="58"/>
  <c r="P7299" i="58" s="1"/>
  <c r="I7299" i="58"/>
  <c r="J7299" i="58" s="1"/>
  <c r="O7298" i="58"/>
  <c r="P7298" i="58" s="1"/>
  <c r="I7298" i="58"/>
  <c r="J7298" i="58" s="1"/>
  <c r="O7297" i="58"/>
  <c r="P7297" i="58" s="1"/>
  <c r="I7297" i="58"/>
  <c r="J7297" i="58" s="1"/>
  <c r="O7296" i="58"/>
  <c r="P7296" i="58" s="1"/>
  <c r="I7296" i="58"/>
  <c r="J7296" i="58" s="1"/>
  <c r="O7295" i="58"/>
  <c r="P7295" i="58" s="1"/>
  <c r="I7295" i="58"/>
  <c r="J7295" i="58" s="1"/>
  <c r="O7294" i="58"/>
  <c r="P7294" i="58" s="1"/>
  <c r="I7294" i="58"/>
  <c r="J7294" i="58" s="1"/>
  <c r="O7293" i="58"/>
  <c r="P7293" i="58" s="1"/>
  <c r="O7292" i="58"/>
  <c r="P7292" i="58" s="1"/>
  <c r="Q7292" i="58" s="1"/>
  <c r="N7292" i="58"/>
  <c r="P7291" i="58"/>
  <c r="Q7291" i="58" s="1"/>
  <c r="R7291" i="58" s="1"/>
  <c r="O7291" i="58"/>
  <c r="K7291" i="58"/>
  <c r="L7291" i="58" s="1"/>
  <c r="L7277" i="58" s="1"/>
  <c r="O7290" i="58"/>
  <c r="P7290" i="58" s="1"/>
  <c r="O7289" i="58"/>
  <c r="P7289" i="58" s="1"/>
  <c r="I7289" i="58"/>
  <c r="J7289" i="58" s="1"/>
  <c r="O7288" i="58"/>
  <c r="P7288" i="58" s="1"/>
  <c r="I7288" i="58"/>
  <c r="J7288" i="58" s="1"/>
  <c r="O7287" i="58"/>
  <c r="P7287" i="58" s="1"/>
  <c r="I7287" i="58"/>
  <c r="J7287" i="58" s="1"/>
  <c r="P7286" i="58"/>
  <c r="O7286" i="58"/>
  <c r="I7286" i="58"/>
  <c r="J7286" i="58" s="1"/>
  <c r="O7285" i="58"/>
  <c r="P7285" i="58" s="1"/>
  <c r="I7285" i="58"/>
  <c r="J7285" i="58" s="1"/>
  <c r="O7284" i="58"/>
  <c r="P7284" i="58" s="1"/>
  <c r="I7284" i="58"/>
  <c r="J7284" i="58" s="1"/>
  <c r="O7283" i="58"/>
  <c r="P7283" i="58" s="1"/>
  <c r="J7283" i="58"/>
  <c r="I7283" i="58"/>
  <c r="O7282" i="58"/>
  <c r="P7282" i="58" s="1"/>
  <c r="I7282" i="58"/>
  <c r="J7282" i="58" s="1"/>
  <c r="O7281" i="58"/>
  <c r="P7281" i="58" s="1"/>
  <c r="I7281" i="58"/>
  <c r="J7281" i="58" s="1"/>
  <c r="O7280" i="58"/>
  <c r="P7280" i="58" s="1"/>
  <c r="I7280" i="58"/>
  <c r="J7280" i="58" s="1"/>
  <c r="O7279" i="58"/>
  <c r="P7279" i="58" s="1"/>
  <c r="I7279" i="58"/>
  <c r="J7279" i="58" s="1"/>
  <c r="O7278" i="58"/>
  <c r="P7278" i="58" s="1"/>
  <c r="P7277" i="58"/>
  <c r="Q7277" i="58" s="1"/>
  <c r="O7277" i="58"/>
  <c r="N7277" i="58"/>
  <c r="O7276" i="58"/>
  <c r="P7276" i="58" s="1"/>
  <c r="Q7276" i="58" s="1"/>
  <c r="R7276" i="58" s="1"/>
  <c r="K7276" i="58"/>
  <c r="L7276" i="58" s="1"/>
  <c r="L7270" i="58" s="1"/>
  <c r="P7275" i="58"/>
  <c r="O7275" i="58"/>
  <c r="O7274" i="58"/>
  <c r="P7274" i="58" s="1"/>
  <c r="I7274" i="58"/>
  <c r="J7274" i="58" s="1"/>
  <c r="O7273" i="58"/>
  <c r="P7273" i="58" s="1"/>
  <c r="I7273" i="58"/>
  <c r="J7273" i="58" s="1"/>
  <c r="O7272" i="58"/>
  <c r="P7272" i="58" s="1"/>
  <c r="I7272" i="58"/>
  <c r="J7272" i="58" s="1"/>
  <c r="O7271" i="58"/>
  <c r="P7271" i="58" s="1"/>
  <c r="O7270" i="58"/>
  <c r="P7270" i="58" s="1"/>
  <c r="Q7270" i="58" s="1"/>
  <c r="Q7269" i="58" s="1"/>
  <c r="R7269" i="58" s="1"/>
  <c r="N7270" i="58"/>
  <c r="P7269" i="58"/>
  <c r="O7269" i="58"/>
  <c r="K7269" i="58"/>
  <c r="L7269" i="58" s="1"/>
  <c r="L7263" i="58" s="1"/>
  <c r="O7268" i="58"/>
  <c r="P7268" i="58" s="1"/>
  <c r="O7267" i="58"/>
  <c r="P7267" i="58" s="1"/>
  <c r="I7267" i="58"/>
  <c r="J7267" i="58" s="1"/>
  <c r="O7266" i="58"/>
  <c r="P7266" i="58" s="1"/>
  <c r="I7266" i="58"/>
  <c r="J7266" i="58" s="1"/>
  <c r="P7265" i="58"/>
  <c r="O7265" i="58"/>
  <c r="I7265" i="58"/>
  <c r="J7265" i="58" s="1"/>
  <c r="P7264" i="58"/>
  <c r="O7264" i="58"/>
  <c r="Q7263" i="58"/>
  <c r="P7263" i="58"/>
  <c r="O7263" i="58"/>
  <c r="N7263" i="58"/>
  <c r="O7262" i="58"/>
  <c r="P7262" i="58" s="1"/>
  <c r="L7262" i="58"/>
  <c r="L7256" i="58" s="1"/>
  <c r="K7262" i="58"/>
  <c r="O7261" i="58"/>
  <c r="P7261" i="58" s="1"/>
  <c r="O7260" i="58"/>
  <c r="P7260" i="58" s="1"/>
  <c r="I7260" i="58"/>
  <c r="J7260" i="58" s="1"/>
  <c r="O7259" i="58"/>
  <c r="P7259" i="58" s="1"/>
  <c r="I7259" i="58"/>
  <c r="J7259" i="58" s="1"/>
  <c r="O7258" i="58"/>
  <c r="P7258" i="58" s="1"/>
  <c r="J7258" i="58"/>
  <c r="I7258" i="58"/>
  <c r="O7257" i="58"/>
  <c r="P7257" i="58" s="1"/>
  <c r="O7256" i="58"/>
  <c r="P7256" i="58" s="1"/>
  <c r="Q7256" i="58" s="1"/>
  <c r="N7256" i="58"/>
  <c r="O7255" i="58"/>
  <c r="P7255" i="58" s="1"/>
  <c r="K7255" i="58"/>
  <c r="L7255" i="58" s="1"/>
  <c r="L7249" i="58" s="1"/>
  <c r="O7254" i="58"/>
  <c r="P7254" i="58" s="1"/>
  <c r="O7253" i="58"/>
  <c r="P7253" i="58" s="1"/>
  <c r="I7253" i="58"/>
  <c r="J7253" i="58" s="1"/>
  <c r="O7252" i="58"/>
  <c r="P7252" i="58" s="1"/>
  <c r="I7252" i="58"/>
  <c r="J7252" i="58" s="1"/>
  <c r="P7251" i="58"/>
  <c r="O7251" i="58"/>
  <c r="I7251" i="58"/>
  <c r="J7251" i="58" s="1"/>
  <c r="O7250" i="58"/>
  <c r="P7250" i="58" s="1"/>
  <c r="P7249" i="58"/>
  <c r="Q7249" i="58" s="1"/>
  <c r="O7249" i="58"/>
  <c r="N7249" i="58"/>
  <c r="O7248" i="58"/>
  <c r="P7248" i="58" s="1"/>
  <c r="K7248" i="58"/>
  <c r="L7248" i="58" s="1"/>
  <c r="L7242" i="58" s="1"/>
  <c r="P7247" i="58"/>
  <c r="O7247" i="58"/>
  <c r="O7246" i="58"/>
  <c r="P7246" i="58" s="1"/>
  <c r="I7246" i="58"/>
  <c r="J7246" i="58" s="1"/>
  <c r="P7245" i="58"/>
  <c r="O7245" i="58"/>
  <c r="I7245" i="58"/>
  <c r="J7245" i="58" s="1"/>
  <c r="O7244" i="58"/>
  <c r="P7244" i="58" s="1"/>
  <c r="I7244" i="58"/>
  <c r="J7244" i="58" s="1"/>
  <c r="O7243" i="58"/>
  <c r="P7243" i="58" s="1"/>
  <c r="Q7242" i="58"/>
  <c r="O7242" i="58"/>
  <c r="P7242" i="58" s="1"/>
  <c r="N7242" i="58"/>
  <c r="O7241" i="58"/>
  <c r="P7241" i="58" s="1"/>
  <c r="Q7241" i="58" s="1"/>
  <c r="R7241" i="58" s="1"/>
  <c r="K7241" i="58"/>
  <c r="L7241" i="58" s="1"/>
  <c r="L7235" i="58" s="1"/>
  <c r="O7240" i="58"/>
  <c r="P7240" i="58" s="1"/>
  <c r="O7239" i="58"/>
  <c r="P7239" i="58" s="1"/>
  <c r="I7239" i="58"/>
  <c r="J7239" i="58" s="1"/>
  <c r="O7238" i="58"/>
  <c r="P7238" i="58" s="1"/>
  <c r="I7238" i="58"/>
  <c r="J7238" i="58" s="1"/>
  <c r="P7237" i="58"/>
  <c r="O7237" i="58"/>
  <c r="I7237" i="58"/>
  <c r="J7237" i="58" s="1"/>
  <c r="O7236" i="58"/>
  <c r="P7236" i="58" s="1"/>
  <c r="O7235" i="58"/>
  <c r="P7235" i="58" s="1"/>
  <c r="Q7235" i="58" s="1"/>
  <c r="N7235" i="58"/>
  <c r="O7234" i="58"/>
  <c r="P7234" i="58" s="1"/>
  <c r="K7234" i="58"/>
  <c r="L7234" i="58" s="1"/>
  <c r="L7228" i="58" s="1"/>
  <c r="O7233" i="58"/>
  <c r="P7233" i="58" s="1"/>
  <c r="O7232" i="58"/>
  <c r="P7232" i="58" s="1"/>
  <c r="J7232" i="58"/>
  <c r="I7232" i="58"/>
  <c r="O7231" i="58"/>
  <c r="P7231" i="58" s="1"/>
  <c r="I7231" i="58"/>
  <c r="J7231" i="58" s="1"/>
  <c r="O7230" i="58"/>
  <c r="P7230" i="58" s="1"/>
  <c r="I7230" i="58"/>
  <c r="J7230" i="58" s="1"/>
  <c r="P7229" i="58"/>
  <c r="O7229" i="58"/>
  <c r="O7228" i="58"/>
  <c r="P7228" i="58" s="1"/>
  <c r="Q7228" i="58" s="1"/>
  <c r="N7228" i="58"/>
  <c r="O7227" i="58"/>
  <c r="P7227" i="58" s="1"/>
  <c r="K7227" i="58"/>
  <c r="L7227" i="58" s="1"/>
  <c r="O7226" i="58"/>
  <c r="P7226" i="58" s="1"/>
  <c r="O7225" i="58"/>
  <c r="P7225" i="58" s="1"/>
  <c r="I7225" i="58"/>
  <c r="J7225" i="58" s="1"/>
  <c r="O7224" i="58"/>
  <c r="P7224" i="58" s="1"/>
  <c r="I7224" i="58"/>
  <c r="J7224" i="58" s="1"/>
  <c r="P7223" i="58"/>
  <c r="O7223" i="58"/>
  <c r="I7223" i="58"/>
  <c r="J7223" i="58" s="1"/>
  <c r="O7222" i="58"/>
  <c r="P7222" i="58" s="1"/>
  <c r="I7222" i="58"/>
  <c r="J7222" i="58" s="1"/>
  <c r="P7221" i="58"/>
  <c r="O7221" i="58"/>
  <c r="J7221" i="58"/>
  <c r="I7221" i="58"/>
  <c r="P7220" i="58"/>
  <c r="O7220" i="58"/>
  <c r="I7220" i="58"/>
  <c r="J7220" i="58" s="1"/>
  <c r="O7219" i="58"/>
  <c r="P7219" i="58" s="1"/>
  <c r="I7219" i="58"/>
  <c r="J7219" i="58" s="1"/>
  <c r="O7218" i="58"/>
  <c r="P7218" i="58" s="1"/>
  <c r="I7218" i="58"/>
  <c r="J7218" i="58" s="1"/>
  <c r="O7217" i="58"/>
  <c r="P7217" i="58" s="1"/>
  <c r="I7217" i="58"/>
  <c r="J7217" i="58" s="1"/>
  <c r="O7216" i="58"/>
  <c r="P7216" i="58" s="1"/>
  <c r="I7216" i="58"/>
  <c r="J7216" i="58" s="1"/>
  <c r="O7215" i="58"/>
  <c r="P7215" i="58" s="1"/>
  <c r="O7214" i="58"/>
  <c r="P7214" i="58" s="1"/>
  <c r="Q7214" i="58" s="1"/>
  <c r="N7214" i="58"/>
  <c r="L7214" i="58"/>
  <c r="O7213" i="58"/>
  <c r="P7213" i="58" s="1"/>
  <c r="K7213" i="58"/>
  <c r="L7213" i="58" s="1"/>
  <c r="L7200" i="58" s="1"/>
  <c r="O7212" i="58"/>
  <c r="P7212" i="58" s="1"/>
  <c r="P7211" i="58"/>
  <c r="O7211" i="58"/>
  <c r="I7211" i="58"/>
  <c r="J7211" i="58" s="1"/>
  <c r="O7210" i="58"/>
  <c r="P7210" i="58" s="1"/>
  <c r="J7210" i="58"/>
  <c r="I7210" i="58"/>
  <c r="O7209" i="58"/>
  <c r="P7209" i="58" s="1"/>
  <c r="I7209" i="58"/>
  <c r="J7209" i="58" s="1"/>
  <c r="O7208" i="58"/>
  <c r="P7208" i="58" s="1"/>
  <c r="I7208" i="58"/>
  <c r="J7208" i="58" s="1"/>
  <c r="O7207" i="58"/>
  <c r="P7207" i="58" s="1"/>
  <c r="I7207" i="58"/>
  <c r="J7207" i="58" s="1"/>
  <c r="O7206" i="58"/>
  <c r="P7206" i="58" s="1"/>
  <c r="I7206" i="58"/>
  <c r="J7206" i="58" s="1"/>
  <c r="O7205" i="58"/>
  <c r="P7205" i="58" s="1"/>
  <c r="I7205" i="58"/>
  <c r="J7205" i="58" s="1"/>
  <c r="O7204" i="58"/>
  <c r="P7204" i="58" s="1"/>
  <c r="I7204" i="58"/>
  <c r="J7204" i="58" s="1"/>
  <c r="O7203" i="58"/>
  <c r="P7203" i="58" s="1"/>
  <c r="I7203" i="58"/>
  <c r="J7203" i="58" s="1"/>
  <c r="P7202" i="58"/>
  <c r="O7202" i="58"/>
  <c r="I7202" i="58"/>
  <c r="J7202" i="58" s="1"/>
  <c r="O7201" i="58"/>
  <c r="P7201" i="58" s="1"/>
  <c r="O7200" i="58"/>
  <c r="P7200" i="58" s="1"/>
  <c r="Q7200" i="58" s="1"/>
  <c r="N7200" i="58"/>
  <c r="O7199" i="58"/>
  <c r="P7199" i="58" s="1"/>
  <c r="K7199" i="58"/>
  <c r="L7199" i="58" s="1"/>
  <c r="L7186" i="58" s="1"/>
  <c r="O7198" i="58"/>
  <c r="P7198" i="58" s="1"/>
  <c r="O7197" i="58"/>
  <c r="P7197" i="58" s="1"/>
  <c r="I7197" i="58"/>
  <c r="J7197" i="58" s="1"/>
  <c r="O7196" i="58"/>
  <c r="P7196" i="58" s="1"/>
  <c r="I7196" i="58"/>
  <c r="J7196" i="58" s="1"/>
  <c r="O7195" i="58"/>
  <c r="P7195" i="58" s="1"/>
  <c r="I7195" i="58"/>
  <c r="J7195" i="58" s="1"/>
  <c r="P7194" i="58"/>
  <c r="O7194" i="58"/>
  <c r="I7194" i="58"/>
  <c r="J7194" i="58" s="1"/>
  <c r="O7193" i="58"/>
  <c r="P7193" i="58" s="1"/>
  <c r="I7193" i="58"/>
  <c r="J7193" i="58" s="1"/>
  <c r="P7192" i="58"/>
  <c r="O7192" i="58"/>
  <c r="I7192" i="58"/>
  <c r="J7192" i="58" s="1"/>
  <c r="O7191" i="58"/>
  <c r="P7191" i="58" s="1"/>
  <c r="I7191" i="58"/>
  <c r="J7191" i="58" s="1"/>
  <c r="O7190" i="58"/>
  <c r="P7190" i="58" s="1"/>
  <c r="I7190" i="58"/>
  <c r="J7190" i="58" s="1"/>
  <c r="O7189" i="58"/>
  <c r="P7189" i="58" s="1"/>
  <c r="I7189" i="58"/>
  <c r="J7189" i="58" s="1"/>
  <c r="O7188" i="58"/>
  <c r="P7188" i="58" s="1"/>
  <c r="I7188" i="58"/>
  <c r="J7188" i="58" s="1"/>
  <c r="P7187" i="58"/>
  <c r="O7187" i="58"/>
  <c r="P7186" i="58"/>
  <c r="Q7186" i="58" s="1"/>
  <c r="O7186" i="58"/>
  <c r="N7186" i="58"/>
  <c r="O7185" i="58"/>
  <c r="P7185" i="58" s="1"/>
  <c r="L7185" i="58"/>
  <c r="L7172" i="58" s="1"/>
  <c r="K7185" i="58"/>
  <c r="O7184" i="58"/>
  <c r="P7184" i="58" s="1"/>
  <c r="O7183" i="58"/>
  <c r="P7183" i="58" s="1"/>
  <c r="I7183" i="58"/>
  <c r="J7183" i="58" s="1"/>
  <c r="O7182" i="58"/>
  <c r="P7182" i="58" s="1"/>
  <c r="I7182" i="58"/>
  <c r="J7182" i="58" s="1"/>
  <c r="O7181" i="58"/>
  <c r="P7181" i="58" s="1"/>
  <c r="I7181" i="58"/>
  <c r="J7181" i="58" s="1"/>
  <c r="O7180" i="58"/>
  <c r="P7180" i="58" s="1"/>
  <c r="I7180" i="58"/>
  <c r="J7180" i="58" s="1"/>
  <c r="O7179" i="58"/>
  <c r="P7179" i="58" s="1"/>
  <c r="I7179" i="58"/>
  <c r="J7179" i="58" s="1"/>
  <c r="O7178" i="58"/>
  <c r="P7178" i="58" s="1"/>
  <c r="I7178" i="58"/>
  <c r="J7178" i="58" s="1"/>
  <c r="O7177" i="58"/>
  <c r="P7177" i="58" s="1"/>
  <c r="I7177" i="58"/>
  <c r="J7177" i="58" s="1"/>
  <c r="O7176" i="58"/>
  <c r="P7176" i="58" s="1"/>
  <c r="I7176" i="58"/>
  <c r="J7176" i="58" s="1"/>
  <c r="O7175" i="58"/>
  <c r="P7175" i="58" s="1"/>
  <c r="I7175" i="58"/>
  <c r="J7175" i="58" s="1"/>
  <c r="O7174" i="58"/>
  <c r="P7174" i="58" s="1"/>
  <c r="I7174" i="58"/>
  <c r="J7174" i="58" s="1"/>
  <c r="O7173" i="58"/>
  <c r="P7173" i="58" s="1"/>
  <c r="P7172" i="58"/>
  <c r="Q7172" i="58" s="1"/>
  <c r="O7172" i="58"/>
  <c r="N7172" i="58"/>
  <c r="O7171" i="58"/>
  <c r="P7171" i="58" s="1"/>
  <c r="K7171" i="58"/>
  <c r="L7171" i="58" s="1"/>
  <c r="L7158" i="58" s="1"/>
  <c r="O7170" i="58"/>
  <c r="P7170" i="58" s="1"/>
  <c r="O7169" i="58"/>
  <c r="P7169" i="58" s="1"/>
  <c r="I7169" i="58"/>
  <c r="J7169" i="58" s="1"/>
  <c r="O7168" i="58"/>
  <c r="P7168" i="58" s="1"/>
  <c r="I7168" i="58"/>
  <c r="J7168" i="58" s="1"/>
  <c r="O7167" i="58"/>
  <c r="P7167" i="58" s="1"/>
  <c r="I7167" i="58"/>
  <c r="J7167" i="58" s="1"/>
  <c r="O7166" i="58"/>
  <c r="P7166" i="58" s="1"/>
  <c r="I7166" i="58"/>
  <c r="J7166" i="58" s="1"/>
  <c r="O7165" i="58"/>
  <c r="P7165" i="58" s="1"/>
  <c r="I7165" i="58"/>
  <c r="J7165" i="58" s="1"/>
  <c r="P7164" i="58"/>
  <c r="O7164" i="58"/>
  <c r="I7164" i="58"/>
  <c r="J7164" i="58" s="1"/>
  <c r="O7163" i="58"/>
  <c r="P7163" i="58" s="1"/>
  <c r="I7163" i="58"/>
  <c r="J7163" i="58" s="1"/>
  <c r="O7162" i="58"/>
  <c r="P7162" i="58" s="1"/>
  <c r="I7162" i="58"/>
  <c r="J7162" i="58" s="1"/>
  <c r="O7161" i="58"/>
  <c r="P7161" i="58" s="1"/>
  <c r="I7161" i="58"/>
  <c r="J7161" i="58" s="1"/>
  <c r="O7160" i="58"/>
  <c r="P7160" i="58" s="1"/>
  <c r="I7160" i="58"/>
  <c r="J7160" i="58" s="1"/>
  <c r="P7159" i="58"/>
  <c r="O7159" i="58"/>
  <c r="P7158" i="58"/>
  <c r="Q7158" i="58" s="1"/>
  <c r="O7158" i="58"/>
  <c r="N7158" i="58"/>
  <c r="Q7157" i="58"/>
  <c r="R7157" i="58" s="1"/>
  <c r="O7157" i="58"/>
  <c r="P7157" i="58" s="1"/>
  <c r="K7157" i="58"/>
  <c r="L7157" i="58" s="1"/>
  <c r="L7144" i="58" s="1"/>
  <c r="P7156" i="58"/>
  <c r="O7156" i="58"/>
  <c r="O7155" i="58"/>
  <c r="P7155" i="58" s="1"/>
  <c r="I7155" i="58"/>
  <c r="J7155" i="58" s="1"/>
  <c r="O7154" i="58"/>
  <c r="P7154" i="58" s="1"/>
  <c r="I7154" i="58"/>
  <c r="J7154" i="58" s="1"/>
  <c r="O7153" i="58"/>
  <c r="P7153" i="58" s="1"/>
  <c r="I7153" i="58"/>
  <c r="J7153" i="58" s="1"/>
  <c r="O7152" i="58"/>
  <c r="P7152" i="58" s="1"/>
  <c r="I7152" i="58"/>
  <c r="J7152" i="58" s="1"/>
  <c r="O7151" i="58"/>
  <c r="P7151" i="58" s="1"/>
  <c r="I7151" i="58"/>
  <c r="J7151" i="58" s="1"/>
  <c r="O7150" i="58"/>
  <c r="P7150" i="58" s="1"/>
  <c r="I7150" i="58"/>
  <c r="J7150" i="58" s="1"/>
  <c r="J7144" i="58" s="1"/>
  <c r="O7149" i="58"/>
  <c r="P7149" i="58" s="1"/>
  <c r="I7149" i="58"/>
  <c r="J7149" i="58" s="1"/>
  <c r="O7148" i="58"/>
  <c r="P7148" i="58" s="1"/>
  <c r="I7148" i="58"/>
  <c r="J7148" i="58" s="1"/>
  <c r="O7147" i="58"/>
  <c r="P7147" i="58" s="1"/>
  <c r="I7147" i="58"/>
  <c r="J7147" i="58" s="1"/>
  <c r="O7146" i="58"/>
  <c r="P7146" i="58" s="1"/>
  <c r="I7146" i="58"/>
  <c r="J7146" i="58" s="1"/>
  <c r="O7145" i="58"/>
  <c r="P7145" i="58" s="1"/>
  <c r="O7144" i="58"/>
  <c r="P7144" i="58" s="1"/>
  <c r="Q7144" i="58" s="1"/>
  <c r="N7144" i="58"/>
  <c r="O7143" i="58"/>
  <c r="P7143" i="58" s="1"/>
  <c r="K7143" i="58"/>
  <c r="L7143" i="58" s="1"/>
  <c r="L7130" i="58" s="1"/>
  <c r="O7142" i="58"/>
  <c r="P7142" i="58" s="1"/>
  <c r="O7141" i="58"/>
  <c r="P7141" i="58" s="1"/>
  <c r="I7141" i="58"/>
  <c r="J7141" i="58" s="1"/>
  <c r="O7140" i="58"/>
  <c r="P7140" i="58" s="1"/>
  <c r="I7140" i="58"/>
  <c r="J7140" i="58" s="1"/>
  <c r="O7139" i="58"/>
  <c r="P7139" i="58" s="1"/>
  <c r="I7139" i="58"/>
  <c r="J7139" i="58" s="1"/>
  <c r="P7138" i="58"/>
  <c r="O7138" i="58"/>
  <c r="I7138" i="58"/>
  <c r="J7138" i="58" s="1"/>
  <c r="O7137" i="58"/>
  <c r="P7137" i="58" s="1"/>
  <c r="I7137" i="58"/>
  <c r="J7137" i="58" s="1"/>
  <c r="O7136" i="58"/>
  <c r="P7136" i="58" s="1"/>
  <c r="I7136" i="58"/>
  <c r="J7136" i="58" s="1"/>
  <c r="O7135" i="58"/>
  <c r="P7135" i="58" s="1"/>
  <c r="I7135" i="58"/>
  <c r="J7135" i="58" s="1"/>
  <c r="P7134" i="58"/>
  <c r="O7134" i="58"/>
  <c r="I7134" i="58"/>
  <c r="J7134" i="58" s="1"/>
  <c r="O7133" i="58"/>
  <c r="P7133" i="58" s="1"/>
  <c r="I7133" i="58"/>
  <c r="J7133" i="58" s="1"/>
  <c r="P7132" i="58"/>
  <c r="O7132" i="58"/>
  <c r="J7132" i="58"/>
  <c r="I7132" i="58"/>
  <c r="P7131" i="58"/>
  <c r="O7131" i="58"/>
  <c r="O7130" i="58"/>
  <c r="P7130" i="58" s="1"/>
  <c r="Q7130" i="58" s="1"/>
  <c r="N7130" i="58"/>
  <c r="O7129" i="58"/>
  <c r="P7129" i="58" s="1"/>
  <c r="K7129" i="58"/>
  <c r="L7129" i="58" s="1"/>
  <c r="L7116" i="58" s="1"/>
  <c r="O7128" i="58"/>
  <c r="P7128" i="58" s="1"/>
  <c r="P7127" i="58"/>
  <c r="O7127" i="58"/>
  <c r="I7127" i="58"/>
  <c r="J7127" i="58" s="1"/>
  <c r="O7126" i="58"/>
  <c r="P7126" i="58" s="1"/>
  <c r="I7126" i="58"/>
  <c r="J7126" i="58" s="1"/>
  <c r="P7125" i="58"/>
  <c r="O7125" i="58"/>
  <c r="I7125" i="58"/>
  <c r="J7125" i="58" s="1"/>
  <c r="O7124" i="58"/>
  <c r="P7124" i="58" s="1"/>
  <c r="I7124" i="58"/>
  <c r="J7124" i="58" s="1"/>
  <c r="O7123" i="58"/>
  <c r="P7123" i="58" s="1"/>
  <c r="I7123" i="58"/>
  <c r="J7123" i="58" s="1"/>
  <c r="O7122" i="58"/>
  <c r="P7122" i="58" s="1"/>
  <c r="I7122" i="58"/>
  <c r="J7122" i="58" s="1"/>
  <c r="P7121" i="58"/>
  <c r="O7121" i="58"/>
  <c r="I7121" i="58"/>
  <c r="J7121" i="58" s="1"/>
  <c r="P7120" i="58"/>
  <c r="O7120" i="58"/>
  <c r="J7120" i="58"/>
  <c r="I7120" i="58"/>
  <c r="O7119" i="58"/>
  <c r="P7119" i="58" s="1"/>
  <c r="I7119" i="58"/>
  <c r="J7119" i="58" s="1"/>
  <c r="O7118" i="58"/>
  <c r="P7118" i="58" s="1"/>
  <c r="I7118" i="58"/>
  <c r="J7118" i="58" s="1"/>
  <c r="O7117" i="58"/>
  <c r="P7117" i="58" s="1"/>
  <c r="O7116" i="58"/>
  <c r="P7116" i="58" s="1"/>
  <c r="Q7116" i="58" s="1"/>
  <c r="N7116" i="58"/>
  <c r="P7115" i="58"/>
  <c r="O7115" i="58"/>
  <c r="K7115" i="58"/>
  <c r="L7115" i="58" s="1"/>
  <c r="L7102" i="58" s="1"/>
  <c r="O7114" i="58"/>
  <c r="P7114" i="58" s="1"/>
  <c r="O7113" i="58"/>
  <c r="P7113" i="58" s="1"/>
  <c r="I7113" i="58"/>
  <c r="J7113" i="58" s="1"/>
  <c r="P7112" i="58"/>
  <c r="O7112" i="58"/>
  <c r="I7112" i="58"/>
  <c r="J7112" i="58" s="1"/>
  <c r="O7111" i="58"/>
  <c r="P7111" i="58" s="1"/>
  <c r="I7111" i="58"/>
  <c r="J7111" i="58" s="1"/>
  <c r="O7110" i="58"/>
  <c r="P7110" i="58" s="1"/>
  <c r="I7110" i="58"/>
  <c r="J7110" i="58" s="1"/>
  <c r="O7109" i="58"/>
  <c r="P7109" i="58" s="1"/>
  <c r="I7109" i="58"/>
  <c r="J7109" i="58" s="1"/>
  <c r="O7108" i="58"/>
  <c r="P7108" i="58" s="1"/>
  <c r="J7108" i="58"/>
  <c r="I7108" i="58"/>
  <c r="P7107" i="58"/>
  <c r="O7107" i="58"/>
  <c r="I7107" i="58"/>
  <c r="J7107" i="58" s="1"/>
  <c r="O7106" i="58"/>
  <c r="P7106" i="58" s="1"/>
  <c r="I7106" i="58"/>
  <c r="J7106" i="58" s="1"/>
  <c r="O7105" i="58"/>
  <c r="P7105" i="58" s="1"/>
  <c r="I7105" i="58"/>
  <c r="J7105" i="58" s="1"/>
  <c r="O7104" i="58"/>
  <c r="P7104" i="58" s="1"/>
  <c r="I7104" i="58"/>
  <c r="J7104" i="58" s="1"/>
  <c r="O7103" i="58"/>
  <c r="P7103" i="58" s="1"/>
  <c r="O7102" i="58"/>
  <c r="P7102" i="58" s="1"/>
  <c r="Q7102" i="58" s="1"/>
  <c r="N7102" i="58"/>
  <c r="Q7101" i="58"/>
  <c r="R7101" i="58" s="1"/>
  <c r="O7101" i="58"/>
  <c r="P7101" i="58" s="1"/>
  <c r="K7101" i="58"/>
  <c r="L7101" i="58" s="1"/>
  <c r="L7088" i="58" s="1"/>
  <c r="O7100" i="58"/>
  <c r="P7100" i="58" s="1"/>
  <c r="O7099" i="58"/>
  <c r="P7099" i="58" s="1"/>
  <c r="I7099" i="58"/>
  <c r="J7099" i="58" s="1"/>
  <c r="O7098" i="58"/>
  <c r="P7098" i="58" s="1"/>
  <c r="I7098" i="58"/>
  <c r="J7098" i="58" s="1"/>
  <c r="O7097" i="58"/>
  <c r="P7097" i="58" s="1"/>
  <c r="I7097" i="58"/>
  <c r="J7097" i="58" s="1"/>
  <c r="O7096" i="58"/>
  <c r="P7096" i="58" s="1"/>
  <c r="I7096" i="58"/>
  <c r="J7096" i="58" s="1"/>
  <c r="O7095" i="58"/>
  <c r="P7095" i="58" s="1"/>
  <c r="I7095" i="58"/>
  <c r="J7095" i="58" s="1"/>
  <c r="O7094" i="58"/>
  <c r="P7094" i="58" s="1"/>
  <c r="I7094" i="58"/>
  <c r="J7094" i="58" s="1"/>
  <c r="O7093" i="58"/>
  <c r="P7093" i="58" s="1"/>
  <c r="I7093" i="58"/>
  <c r="J7093" i="58" s="1"/>
  <c r="O7092" i="58"/>
  <c r="P7092" i="58" s="1"/>
  <c r="I7092" i="58"/>
  <c r="J7092" i="58" s="1"/>
  <c r="O7091" i="58"/>
  <c r="P7091" i="58" s="1"/>
  <c r="I7091" i="58"/>
  <c r="J7091" i="58" s="1"/>
  <c r="O7090" i="58"/>
  <c r="P7090" i="58" s="1"/>
  <c r="I7090" i="58"/>
  <c r="J7090" i="58" s="1"/>
  <c r="O7089" i="58"/>
  <c r="P7089" i="58" s="1"/>
  <c r="O7088" i="58"/>
  <c r="P7088" i="58" s="1"/>
  <c r="Q7088" i="58" s="1"/>
  <c r="N7088" i="58"/>
  <c r="P7087" i="58"/>
  <c r="O7087" i="58"/>
  <c r="K7087" i="58"/>
  <c r="L7087" i="58" s="1"/>
  <c r="L7074" i="58" s="1"/>
  <c r="O7086" i="58"/>
  <c r="P7086" i="58" s="1"/>
  <c r="O7085" i="58"/>
  <c r="P7085" i="58" s="1"/>
  <c r="I7085" i="58"/>
  <c r="J7085" i="58" s="1"/>
  <c r="O7084" i="58"/>
  <c r="P7084" i="58" s="1"/>
  <c r="I7084" i="58"/>
  <c r="J7084" i="58" s="1"/>
  <c r="O7083" i="58"/>
  <c r="P7083" i="58" s="1"/>
  <c r="I7083" i="58"/>
  <c r="J7083" i="58" s="1"/>
  <c r="O7082" i="58"/>
  <c r="P7082" i="58" s="1"/>
  <c r="I7082" i="58"/>
  <c r="J7082" i="58" s="1"/>
  <c r="O7081" i="58"/>
  <c r="P7081" i="58" s="1"/>
  <c r="I7081" i="58"/>
  <c r="J7081" i="58" s="1"/>
  <c r="O7080" i="58"/>
  <c r="P7080" i="58" s="1"/>
  <c r="I7080" i="58"/>
  <c r="J7080" i="58" s="1"/>
  <c r="P7079" i="58"/>
  <c r="O7079" i="58"/>
  <c r="I7079" i="58"/>
  <c r="J7079" i="58" s="1"/>
  <c r="O7078" i="58"/>
  <c r="P7078" i="58" s="1"/>
  <c r="I7078" i="58"/>
  <c r="J7078" i="58" s="1"/>
  <c r="P7077" i="58"/>
  <c r="O7077" i="58"/>
  <c r="I7077" i="58"/>
  <c r="J7077" i="58" s="1"/>
  <c r="O7076" i="58"/>
  <c r="P7076" i="58" s="1"/>
  <c r="I7076" i="58"/>
  <c r="J7076" i="58" s="1"/>
  <c r="O7075" i="58"/>
  <c r="P7075" i="58" s="1"/>
  <c r="O7074" i="58"/>
  <c r="P7074" i="58" s="1"/>
  <c r="Q7074" i="58" s="1"/>
  <c r="N7074" i="58"/>
  <c r="P7073" i="58"/>
  <c r="O7073" i="58"/>
  <c r="L7073" i="58"/>
  <c r="L7060" i="58" s="1"/>
  <c r="K7073" i="58"/>
  <c r="P7072" i="58"/>
  <c r="O7072" i="58"/>
  <c r="O7071" i="58"/>
  <c r="P7071" i="58" s="1"/>
  <c r="I7071" i="58"/>
  <c r="J7071" i="58" s="1"/>
  <c r="O7070" i="58"/>
  <c r="P7070" i="58" s="1"/>
  <c r="I7070" i="58"/>
  <c r="J7070" i="58" s="1"/>
  <c r="O7069" i="58"/>
  <c r="P7069" i="58" s="1"/>
  <c r="J7069" i="58"/>
  <c r="I7069" i="58"/>
  <c r="O7068" i="58"/>
  <c r="P7068" i="58" s="1"/>
  <c r="I7068" i="58"/>
  <c r="J7068" i="58" s="1"/>
  <c r="P7067" i="58"/>
  <c r="O7067" i="58"/>
  <c r="I7067" i="58"/>
  <c r="J7067" i="58" s="1"/>
  <c r="O7066" i="58"/>
  <c r="P7066" i="58" s="1"/>
  <c r="I7066" i="58"/>
  <c r="J7066" i="58" s="1"/>
  <c r="O7065" i="58"/>
  <c r="P7065" i="58" s="1"/>
  <c r="I7065" i="58"/>
  <c r="J7065" i="58" s="1"/>
  <c r="O7064" i="58"/>
  <c r="P7064" i="58" s="1"/>
  <c r="I7064" i="58"/>
  <c r="J7064" i="58" s="1"/>
  <c r="O7063" i="58"/>
  <c r="P7063" i="58" s="1"/>
  <c r="I7063" i="58"/>
  <c r="J7063" i="58" s="1"/>
  <c r="O7062" i="58"/>
  <c r="P7062" i="58" s="1"/>
  <c r="I7062" i="58"/>
  <c r="J7062" i="58" s="1"/>
  <c r="O7061" i="58"/>
  <c r="P7061" i="58" s="1"/>
  <c r="O7060" i="58"/>
  <c r="P7060" i="58" s="1"/>
  <c r="Q7060" i="58" s="1"/>
  <c r="N7060" i="58"/>
  <c r="O7059" i="58"/>
  <c r="P7059" i="58" s="1"/>
  <c r="K7059" i="58"/>
  <c r="L7059" i="58" s="1"/>
  <c r="L7046" i="58" s="1"/>
  <c r="P7058" i="58"/>
  <c r="O7058" i="58"/>
  <c r="O7057" i="58"/>
  <c r="P7057" i="58" s="1"/>
  <c r="I7057" i="58"/>
  <c r="J7057" i="58" s="1"/>
  <c r="P7056" i="58"/>
  <c r="O7056" i="58"/>
  <c r="I7056" i="58"/>
  <c r="J7056" i="58" s="1"/>
  <c r="O7055" i="58"/>
  <c r="P7055" i="58" s="1"/>
  <c r="I7055" i="58"/>
  <c r="J7055" i="58" s="1"/>
  <c r="P7054" i="58"/>
  <c r="O7054" i="58"/>
  <c r="I7054" i="58"/>
  <c r="J7054" i="58" s="1"/>
  <c r="O7053" i="58"/>
  <c r="P7053" i="58" s="1"/>
  <c r="I7053" i="58"/>
  <c r="J7053" i="58" s="1"/>
  <c r="O7052" i="58"/>
  <c r="P7052" i="58" s="1"/>
  <c r="J7052" i="58"/>
  <c r="I7052" i="58"/>
  <c r="O7051" i="58"/>
  <c r="P7051" i="58" s="1"/>
  <c r="I7051" i="58"/>
  <c r="J7051" i="58" s="1"/>
  <c r="P7050" i="58"/>
  <c r="O7050" i="58"/>
  <c r="J7050" i="58"/>
  <c r="I7050" i="58"/>
  <c r="O7049" i="58"/>
  <c r="P7049" i="58" s="1"/>
  <c r="I7049" i="58"/>
  <c r="J7049" i="58" s="1"/>
  <c r="O7048" i="58"/>
  <c r="P7048" i="58" s="1"/>
  <c r="I7048" i="58"/>
  <c r="J7048" i="58" s="1"/>
  <c r="O7047" i="58"/>
  <c r="P7047" i="58" s="1"/>
  <c r="O7046" i="58"/>
  <c r="P7046" i="58" s="1"/>
  <c r="Q7046" i="58" s="1"/>
  <c r="N7046" i="58"/>
  <c r="Q7045" i="58"/>
  <c r="R7045" i="58" s="1"/>
  <c r="O7045" i="58"/>
  <c r="P7045" i="58" s="1"/>
  <c r="K7045" i="58"/>
  <c r="L7045" i="58" s="1"/>
  <c r="L7032" i="58" s="1"/>
  <c r="O7044" i="58"/>
  <c r="P7044" i="58" s="1"/>
  <c r="O7043" i="58"/>
  <c r="P7043" i="58" s="1"/>
  <c r="I7043" i="58"/>
  <c r="J7043" i="58" s="1"/>
  <c r="O7042" i="58"/>
  <c r="P7042" i="58" s="1"/>
  <c r="I7042" i="58"/>
  <c r="J7042" i="58" s="1"/>
  <c r="P7041" i="58"/>
  <c r="O7041" i="58"/>
  <c r="I7041" i="58"/>
  <c r="J7041" i="58" s="1"/>
  <c r="O7040" i="58"/>
  <c r="P7040" i="58" s="1"/>
  <c r="I7040" i="58"/>
  <c r="J7040" i="58" s="1"/>
  <c r="O7039" i="58"/>
  <c r="P7039" i="58" s="1"/>
  <c r="I7039" i="58"/>
  <c r="J7039" i="58" s="1"/>
  <c r="O7038" i="58"/>
  <c r="P7038" i="58" s="1"/>
  <c r="I7038" i="58"/>
  <c r="J7038" i="58" s="1"/>
  <c r="P7037" i="58"/>
  <c r="O7037" i="58"/>
  <c r="I7037" i="58"/>
  <c r="J7037" i="58" s="1"/>
  <c r="O7036" i="58"/>
  <c r="P7036" i="58" s="1"/>
  <c r="I7036" i="58"/>
  <c r="J7036" i="58" s="1"/>
  <c r="O7035" i="58"/>
  <c r="P7035" i="58" s="1"/>
  <c r="I7035" i="58"/>
  <c r="J7035" i="58" s="1"/>
  <c r="O7034" i="58"/>
  <c r="P7034" i="58" s="1"/>
  <c r="I7034" i="58"/>
  <c r="J7034" i="58" s="1"/>
  <c r="P7033" i="58"/>
  <c r="O7033" i="58"/>
  <c r="O7032" i="58"/>
  <c r="P7032" i="58" s="1"/>
  <c r="Q7032" i="58" s="1"/>
  <c r="N7032" i="58"/>
  <c r="P7031" i="58"/>
  <c r="Q7031" i="58" s="1"/>
  <c r="R7031" i="58" s="1"/>
  <c r="O7031" i="58"/>
  <c r="L7031" i="58"/>
  <c r="L7025" i="58" s="1"/>
  <c r="K7031" i="58"/>
  <c r="P7030" i="58"/>
  <c r="O7030" i="58"/>
  <c r="P7029" i="58"/>
  <c r="O7029" i="58"/>
  <c r="I7029" i="58"/>
  <c r="J7029" i="58" s="1"/>
  <c r="O7028" i="58"/>
  <c r="P7028" i="58" s="1"/>
  <c r="I7028" i="58"/>
  <c r="J7028" i="58" s="1"/>
  <c r="O7027" i="58"/>
  <c r="P7027" i="58" s="1"/>
  <c r="I7027" i="58"/>
  <c r="J7027" i="58" s="1"/>
  <c r="P7026" i="58"/>
  <c r="O7026" i="58"/>
  <c r="O7025" i="58"/>
  <c r="P7025" i="58" s="1"/>
  <c r="Q7025" i="58" s="1"/>
  <c r="N7025" i="58"/>
  <c r="O7024" i="58"/>
  <c r="P7024" i="58" s="1"/>
  <c r="K7024" i="58"/>
  <c r="L7024" i="58" s="1"/>
  <c r="L7018" i="58" s="1"/>
  <c r="O7023" i="58"/>
  <c r="P7023" i="58" s="1"/>
  <c r="O7022" i="58"/>
  <c r="P7022" i="58" s="1"/>
  <c r="I7022" i="58"/>
  <c r="J7022" i="58" s="1"/>
  <c r="O7021" i="58"/>
  <c r="P7021" i="58" s="1"/>
  <c r="I7021" i="58"/>
  <c r="J7021" i="58" s="1"/>
  <c r="O7020" i="58"/>
  <c r="P7020" i="58" s="1"/>
  <c r="I7020" i="58"/>
  <c r="J7020" i="58" s="1"/>
  <c r="O7019" i="58"/>
  <c r="P7019" i="58" s="1"/>
  <c r="O7018" i="58"/>
  <c r="P7018" i="58" s="1"/>
  <c r="Q7018" i="58" s="1"/>
  <c r="N7018" i="58"/>
  <c r="P7017" i="58"/>
  <c r="Q7017" i="58" s="1"/>
  <c r="R7017" i="58" s="1"/>
  <c r="O7017" i="58"/>
  <c r="K7017" i="58"/>
  <c r="L7017" i="58" s="1"/>
  <c r="L7011" i="58" s="1"/>
  <c r="O7016" i="58"/>
  <c r="P7016" i="58" s="1"/>
  <c r="Q7016" i="58" s="1"/>
  <c r="P7015" i="58"/>
  <c r="O7015" i="58"/>
  <c r="I7015" i="58"/>
  <c r="J7015" i="58" s="1"/>
  <c r="O7014" i="58"/>
  <c r="P7014" i="58" s="1"/>
  <c r="I7014" i="58"/>
  <c r="J7014" i="58" s="1"/>
  <c r="O7013" i="58"/>
  <c r="P7013" i="58" s="1"/>
  <c r="I7013" i="58"/>
  <c r="J7013" i="58" s="1"/>
  <c r="O7012" i="58"/>
  <c r="P7012" i="58" s="1"/>
  <c r="O7011" i="58"/>
  <c r="P7011" i="58" s="1"/>
  <c r="Q7011" i="58" s="1"/>
  <c r="N7011" i="58"/>
  <c r="R7010" i="58"/>
  <c r="O7010" i="58"/>
  <c r="P7010" i="58" s="1"/>
  <c r="Q7010" i="58" s="1"/>
  <c r="K7010" i="58"/>
  <c r="L7010" i="58" s="1"/>
  <c r="L7004" i="58" s="1"/>
  <c r="O7009" i="58"/>
  <c r="P7009" i="58" s="1"/>
  <c r="O7008" i="58"/>
  <c r="P7008" i="58" s="1"/>
  <c r="I7008" i="58"/>
  <c r="J7008" i="58" s="1"/>
  <c r="O7007" i="58"/>
  <c r="P7007" i="58" s="1"/>
  <c r="I7007" i="58"/>
  <c r="J7007" i="58" s="1"/>
  <c r="O7006" i="58"/>
  <c r="P7006" i="58" s="1"/>
  <c r="I7006" i="58"/>
  <c r="J7006" i="58" s="1"/>
  <c r="P7005" i="58"/>
  <c r="O7005" i="58"/>
  <c r="O7004" i="58"/>
  <c r="P7004" i="58" s="1"/>
  <c r="Q7004" i="58" s="1"/>
  <c r="N7004" i="58"/>
  <c r="O7003" i="58"/>
  <c r="P7003" i="58" s="1"/>
  <c r="K7003" i="58"/>
  <c r="L7003" i="58" s="1"/>
  <c r="L6997" i="58" s="1"/>
  <c r="O7002" i="58"/>
  <c r="P7002" i="58" s="1"/>
  <c r="P7001" i="58"/>
  <c r="O7001" i="58"/>
  <c r="I7001" i="58"/>
  <c r="J7001" i="58" s="1"/>
  <c r="O7000" i="58"/>
  <c r="P7000" i="58" s="1"/>
  <c r="I7000" i="58"/>
  <c r="J7000" i="58" s="1"/>
  <c r="P6999" i="58"/>
  <c r="O6999" i="58"/>
  <c r="J6999" i="58"/>
  <c r="I6999" i="58"/>
  <c r="O6998" i="58"/>
  <c r="P6998" i="58" s="1"/>
  <c r="P6997" i="58"/>
  <c r="Q6997" i="58" s="1"/>
  <c r="O6997" i="58"/>
  <c r="N6997" i="58"/>
  <c r="O6996" i="58"/>
  <c r="P6996" i="58" s="1"/>
  <c r="K6996" i="58"/>
  <c r="L6996" i="58" s="1"/>
  <c r="L6990" i="58" s="1"/>
  <c r="O6995" i="58"/>
  <c r="P6995" i="58" s="1"/>
  <c r="O6994" i="58"/>
  <c r="P6994" i="58" s="1"/>
  <c r="I6994" i="58"/>
  <c r="J6994" i="58" s="1"/>
  <c r="O6993" i="58"/>
  <c r="P6993" i="58" s="1"/>
  <c r="I6993" i="58"/>
  <c r="J6993" i="58" s="1"/>
  <c r="O6992" i="58"/>
  <c r="P6992" i="58" s="1"/>
  <c r="I6992" i="58"/>
  <c r="J6992" i="58" s="1"/>
  <c r="P6991" i="58"/>
  <c r="O6991" i="58"/>
  <c r="O6990" i="58"/>
  <c r="P6990" i="58" s="1"/>
  <c r="Q6990" i="58" s="1"/>
  <c r="N6990" i="58"/>
  <c r="P6989" i="58"/>
  <c r="O6989" i="58"/>
  <c r="K6989" i="58"/>
  <c r="L6989" i="58" s="1"/>
  <c r="L6983" i="58" s="1"/>
  <c r="O6988" i="58"/>
  <c r="P6988" i="58" s="1"/>
  <c r="O6987" i="58"/>
  <c r="P6987" i="58" s="1"/>
  <c r="I6987" i="58"/>
  <c r="J6987" i="58" s="1"/>
  <c r="P6986" i="58"/>
  <c r="O6986" i="58"/>
  <c r="I6986" i="58"/>
  <c r="J6986" i="58" s="1"/>
  <c r="O6985" i="58"/>
  <c r="P6985" i="58" s="1"/>
  <c r="J6985" i="58"/>
  <c r="J6983" i="58" s="1"/>
  <c r="I6985" i="58"/>
  <c r="O6984" i="58"/>
  <c r="P6984" i="58" s="1"/>
  <c r="O6983" i="58"/>
  <c r="P6983" i="58" s="1"/>
  <c r="Q6983" i="58" s="1"/>
  <c r="N6983" i="58"/>
  <c r="O6982" i="58"/>
  <c r="P6982" i="58" s="1"/>
  <c r="K6982" i="58"/>
  <c r="L6982" i="58" s="1"/>
  <c r="L6976" i="58" s="1"/>
  <c r="O6981" i="58"/>
  <c r="P6981" i="58" s="1"/>
  <c r="O6980" i="58"/>
  <c r="P6980" i="58" s="1"/>
  <c r="I6980" i="58"/>
  <c r="J6980" i="58" s="1"/>
  <c r="O6979" i="58"/>
  <c r="P6979" i="58" s="1"/>
  <c r="I6979" i="58"/>
  <c r="J6979" i="58" s="1"/>
  <c r="O6978" i="58"/>
  <c r="P6978" i="58" s="1"/>
  <c r="I6978" i="58"/>
  <c r="J6978" i="58" s="1"/>
  <c r="O6977" i="58"/>
  <c r="P6977" i="58" s="1"/>
  <c r="O6976" i="58"/>
  <c r="P6976" i="58" s="1"/>
  <c r="Q6976" i="58" s="1"/>
  <c r="Q6975" i="58" s="1"/>
  <c r="R6975" i="58" s="1"/>
  <c r="N6976" i="58"/>
  <c r="O6975" i="58"/>
  <c r="P6975" i="58" s="1"/>
  <c r="L6975" i="58"/>
  <c r="L6969" i="58" s="1"/>
  <c r="K6975" i="58"/>
  <c r="O6974" i="58"/>
  <c r="P6974" i="58" s="1"/>
  <c r="Q6974" i="58" s="1"/>
  <c r="R6974" i="58" s="1"/>
  <c r="O6973" i="58"/>
  <c r="P6973" i="58" s="1"/>
  <c r="I6973" i="58"/>
  <c r="J6973" i="58" s="1"/>
  <c r="P6972" i="58"/>
  <c r="O6972" i="58"/>
  <c r="I6972" i="58"/>
  <c r="J6972" i="58" s="1"/>
  <c r="O6971" i="58"/>
  <c r="P6971" i="58" s="1"/>
  <c r="I6971" i="58"/>
  <c r="J6971" i="58" s="1"/>
  <c r="O6970" i="58"/>
  <c r="P6970" i="58" s="1"/>
  <c r="O6969" i="58"/>
  <c r="P6969" i="58" s="1"/>
  <c r="Q6969" i="58" s="1"/>
  <c r="N6969" i="58"/>
  <c r="O6968" i="58"/>
  <c r="P6968" i="58" s="1"/>
  <c r="K6968" i="58"/>
  <c r="L6968" i="58" s="1"/>
  <c r="L6962" i="58" s="1"/>
  <c r="O6967" i="58"/>
  <c r="P6967" i="58" s="1"/>
  <c r="O6966" i="58"/>
  <c r="P6966" i="58" s="1"/>
  <c r="I6966" i="58"/>
  <c r="J6966" i="58" s="1"/>
  <c r="O6965" i="58"/>
  <c r="P6965" i="58" s="1"/>
  <c r="I6965" i="58"/>
  <c r="J6965" i="58" s="1"/>
  <c r="O6964" i="58"/>
  <c r="P6964" i="58" s="1"/>
  <c r="I6964" i="58"/>
  <c r="J6964" i="58" s="1"/>
  <c r="O6963" i="58"/>
  <c r="P6963" i="58" s="1"/>
  <c r="O6962" i="58"/>
  <c r="P6962" i="58" s="1"/>
  <c r="Q6962" i="58" s="1"/>
  <c r="N6962" i="58"/>
  <c r="O6961" i="58"/>
  <c r="P6961" i="58" s="1"/>
  <c r="L6961" i="58"/>
  <c r="L6955" i="58" s="1"/>
  <c r="K6961" i="58"/>
  <c r="O6960" i="58"/>
  <c r="P6960" i="58" s="1"/>
  <c r="O6959" i="58"/>
  <c r="P6959" i="58" s="1"/>
  <c r="I6959" i="58"/>
  <c r="J6959" i="58" s="1"/>
  <c r="O6958" i="58"/>
  <c r="P6958" i="58" s="1"/>
  <c r="J6958" i="58"/>
  <c r="I6958" i="58"/>
  <c r="O6957" i="58"/>
  <c r="P6957" i="58" s="1"/>
  <c r="J6957" i="58"/>
  <c r="I6957" i="58"/>
  <c r="P6956" i="58"/>
  <c r="O6956" i="58"/>
  <c r="O6955" i="58"/>
  <c r="P6955" i="58" s="1"/>
  <c r="Q6955" i="58" s="1"/>
  <c r="N6955" i="58"/>
  <c r="P6954" i="58"/>
  <c r="O6954" i="58"/>
  <c r="K6954" i="58"/>
  <c r="L6954" i="58" s="1"/>
  <c r="L6948" i="58" s="1"/>
  <c r="O6953" i="58"/>
  <c r="P6953" i="58" s="1"/>
  <c r="P6952" i="58"/>
  <c r="O6952" i="58"/>
  <c r="I6952" i="58"/>
  <c r="J6952" i="58" s="1"/>
  <c r="O6951" i="58"/>
  <c r="P6951" i="58" s="1"/>
  <c r="I6951" i="58"/>
  <c r="J6951" i="58" s="1"/>
  <c r="O6950" i="58"/>
  <c r="P6950" i="58" s="1"/>
  <c r="I6950" i="58"/>
  <c r="J6950" i="58" s="1"/>
  <c r="O6949" i="58"/>
  <c r="P6949" i="58" s="1"/>
  <c r="O6948" i="58"/>
  <c r="P6948" i="58" s="1"/>
  <c r="Q6948" i="58" s="1"/>
  <c r="N6948" i="58"/>
  <c r="P6947" i="58"/>
  <c r="Q6947" i="58" s="1"/>
  <c r="R6947" i="58" s="1"/>
  <c r="O6947" i="58"/>
  <c r="K6947" i="58"/>
  <c r="L6947" i="58" s="1"/>
  <c r="L6941" i="58" s="1"/>
  <c r="O6946" i="58"/>
  <c r="P6946" i="58" s="1"/>
  <c r="P6945" i="58"/>
  <c r="O6945" i="58"/>
  <c r="J6945" i="58"/>
  <c r="I6945" i="58"/>
  <c r="O6944" i="58"/>
  <c r="P6944" i="58" s="1"/>
  <c r="I6944" i="58"/>
  <c r="J6944" i="58" s="1"/>
  <c r="P6943" i="58"/>
  <c r="O6943" i="58"/>
  <c r="J6943" i="58"/>
  <c r="J6941" i="58" s="1"/>
  <c r="I6943" i="58"/>
  <c r="O6942" i="58"/>
  <c r="P6942" i="58" s="1"/>
  <c r="O6941" i="58"/>
  <c r="P6941" i="58" s="1"/>
  <c r="Q6941" i="58" s="1"/>
  <c r="N6941" i="58"/>
  <c r="O6940" i="58"/>
  <c r="P6940" i="58" s="1"/>
  <c r="K6940" i="58"/>
  <c r="L6940" i="58" s="1"/>
  <c r="L6934" i="58" s="1"/>
  <c r="O6939" i="58"/>
  <c r="P6939" i="58" s="1"/>
  <c r="O6938" i="58"/>
  <c r="P6938" i="58" s="1"/>
  <c r="I6938" i="58"/>
  <c r="J6938" i="58" s="1"/>
  <c r="O6937" i="58"/>
  <c r="P6937" i="58" s="1"/>
  <c r="I6937" i="58"/>
  <c r="J6937" i="58" s="1"/>
  <c r="O6936" i="58"/>
  <c r="P6936" i="58" s="1"/>
  <c r="I6936" i="58"/>
  <c r="J6936" i="58" s="1"/>
  <c r="O6935" i="58"/>
  <c r="P6935" i="58" s="1"/>
  <c r="O6934" i="58"/>
  <c r="P6934" i="58" s="1"/>
  <c r="Q6934" i="58" s="1"/>
  <c r="N6934" i="58"/>
  <c r="P6933" i="58"/>
  <c r="O6933" i="58"/>
  <c r="K6933" i="58"/>
  <c r="L6933" i="58" s="1"/>
  <c r="L6919" i="58" s="1"/>
  <c r="P6932" i="58"/>
  <c r="O6932" i="58"/>
  <c r="P6931" i="58"/>
  <c r="O6931" i="58"/>
  <c r="I6931" i="58"/>
  <c r="J6931" i="58" s="1"/>
  <c r="O6930" i="58"/>
  <c r="P6930" i="58" s="1"/>
  <c r="I6930" i="58"/>
  <c r="J6930" i="58" s="1"/>
  <c r="P6929" i="58"/>
  <c r="O6929" i="58"/>
  <c r="I6929" i="58"/>
  <c r="J6929" i="58" s="1"/>
  <c r="O6928" i="58"/>
  <c r="P6928" i="58" s="1"/>
  <c r="I6928" i="58"/>
  <c r="J6928" i="58" s="1"/>
  <c r="O6927" i="58"/>
  <c r="P6927" i="58" s="1"/>
  <c r="I6927" i="58"/>
  <c r="J6927" i="58" s="1"/>
  <c r="O6926" i="58"/>
  <c r="P6926" i="58" s="1"/>
  <c r="I6926" i="58"/>
  <c r="J6926" i="58" s="1"/>
  <c r="O6925" i="58"/>
  <c r="P6925" i="58" s="1"/>
  <c r="J6925" i="58"/>
  <c r="I6925" i="58"/>
  <c r="O6924" i="58"/>
  <c r="P6924" i="58" s="1"/>
  <c r="J6924" i="58"/>
  <c r="I6924" i="58"/>
  <c r="O6923" i="58"/>
  <c r="P6923" i="58" s="1"/>
  <c r="I6923" i="58"/>
  <c r="J6923" i="58" s="1"/>
  <c r="O6922" i="58"/>
  <c r="P6922" i="58" s="1"/>
  <c r="I6922" i="58"/>
  <c r="J6922" i="58" s="1"/>
  <c r="O6921" i="58"/>
  <c r="P6921" i="58" s="1"/>
  <c r="I6921" i="58"/>
  <c r="J6921" i="58" s="1"/>
  <c r="O6920" i="58"/>
  <c r="P6920" i="58" s="1"/>
  <c r="P6919" i="58"/>
  <c r="Q6919" i="58" s="1"/>
  <c r="O6919" i="58"/>
  <c r="N6919" i="58"/>
  <c r="O6918" i="58"/>
  <c r="P6918" i="58" s="1"/>
  <c r="K6918" i="58"/>
  <c r="L6918" i="58" s="1"/>
  <c r="L6904" i="58" s="1"/>
  <c r="O6917" i="58"/>
  <c r="P6917" i="58" s="1"/>
  <c r="O6916" i="58"/>
  <c r="P6916" i="58" s="1"/>
  <c r="I6916" i="58"/>
  <c r="J6916" i="58" s="1"/>
  <c r="O6915" i="58"/>
  <c r="P6915" i="58" s="1"/>
  <c r="I6915" i="58"/>
  <c r="J6915" i="58" s="1"/>
  <c r="P6914" i="58"/>
  <c r="O6914" i="58"/>
  <c r="I6914" i="58"/>
  <c r="J6914" i="58" s="1"/>
  <c r="O6913" i="58"/>
  <c r="P6913" i="58" s="1"/>
  <c r="I6913" i="58"/>
  <c r="J6913" i="58" s="1"/>
  <c r="O6912" i="58"/>
  <c r="P6912" i="58" s="1"/>
  <c r="I6912" i="58"/>
  <c r="J6912" i="58" s="1"/>
  <c r="P6911" i="58"/>
  <c r="O6911" i="58"/>
  <c r="I6911" i="58"/>
  <c r="J6911" i="58" s="1"/>
  <c r="P6910" i="58"/>
  <c r="O6910" i="58"/>
  <c r="I6910" i="58"/>
  <c r="J6910" i="58" s="1"/>
  <c r="O6909" i="58"/>
  <c r="P6909" i="58" s="1"/>
  <c r="I6909" i="58"/>
  <c r="J6909" i="58" s="1"/>
  <c r="O6908" i="58"/>
  <c r="P6908" i="58" s="1"/>
  <c r="I6908" i="58"/>
  <c r="J6908" i="58" s="1"/>
  <c r="O6907" i="58"/>
  <c r="P6907" i="58" s="1"/>
  <c r="I6907" i="58"/>
  <c r="J6907" i="58" s="1"/>
  <c r="O6906" i="58"/>
  <c r="P6906" i="58" s="1"/>
  <c r="I6906" i="58"/>
  <c r="J6906" i="58" s="1"/>
  <c r="O6905" i="58"/>
  <c r="P6905" i="58" s="1"/>
  <c r="O6904" i="58"/>
  <c r="P6904" i="58" s="1"/>
  <c r="Q6904" i="58" s="1"/>
  <c r="N6904" i="58"/>
  <c r="O6903" i="58"/>
  <c r="P6903" i="58" s="1"/>
  <c r="K6903" i="58"/>
  <c r="L6903" i="58" s="1"/>
  <c r="L6889" i="58" s="1"/>
  <c r="O6902" i="58"/>
  <c r="P6902" i="58" s="1"/>
  <c r="P6901" i="58"/>
  <c r="O6901" i="58"/>
  <c r="I6901" i="58"/>
  <c r="J6901" i="58" s="1"/>
  <c r="O6900" i="58"/>
  <c r="P6900" i="58" s="1"/>
  <c r="I6900" i="58"/>
  <c r="J6900" i="58" s="1"/>
  <c r="O6899" i="58"/>
  <c r="P6899" i="58" s="1"/>
  <c r="I6899" i="58"/>
  <c r="J6899" i="58" s="1"/>
  <c r="P6898" i="58"/>
  <c r="O6898" i="58"/>
  <c r="I6898" i="58"/>
  <c r="J6898" i="58" s="1"/>
  <c r="O6897" i="58"/>
  <c r="P6897" i="58" s="1"/>
  <c r="I6897" i="58"/>
  <c r="J6897" i="58" s="1"/>
  <c r="O6896" i="58"/>
  <c r="P6896" i="58" s="1"/>
  <c r="I6896" i="58"/>
  <c r="J6896" i="58" s="1"/>
  <c r="O6895" i="58"/>
  <c r="P6895" i="58" s="1"/>
  <c r="I6895" i="58"/>
  <c r="J6895" i="58" s="1"/>
  <c r="O6894" i="58"/>
  <c r="P6894" i="58" s="1"/>
  <c r="I6894" i="58"/>
  <c r="J6894" i="58" s="1"/>
  <c r="P6893" i="58"/>
  <c r="O6893" i="58"/>
  <c r="I6893" i="58"/>
  <c r="J6893" i="58" s="1"/>
  <c r="O6892" i="58"/>
  <c r="P6892" i="58" s="1"/>
  <c r="I6892" i="58"/>
  <c r="J6892" i="58" s="1"/>
  <c r="O6891" i="58"/>
  <c r="P6891" i="58" s="1"/>
  <c r="I6891" i="58"/>
  <c r="J6891" i="58" s="1"/>
  <c r="P6890" i="58"/>
  <c r="O6890" i="58"/>
  <c r="O6889" i="58"/>
  <c r="P6889" i="58" s="1"/>
  <c r="Q6889" i="58" s="1"/>
  <c r="N6889" i="58"/>
  <c r="P6888" i="58"/>
  <c r="Q6888" i="58" s="1"/>
  <c r="O6888" i="58"/>
  <c r="K6888" i="58"/>
  <c r="L6888" i="58" s="1"/>
  <c r="L6874" i="58" s="1"/>
  <c r="O6887" i="58"/>
  <c r="P6887" i="58" s="1"/>
  <c r="O6886" i="58"/>
  <c r="P6886" i="58" s="1"/>
  <c r="I6886" i="58"/>
  <c r="J6886" i="58" s="1"/>
  <c r="O6885" i="58"/>
  <c r="P6885" i="58" s="1"/>
  <c r="I6885" i="58"/>
  <c r="J6885" i="58" s="1"/>
  <c r="O6884" i="58"/>
  <c r="P6884" i="58" s="1"/>
  <c r="I6884" i="58"/>
  <c r="J6884" i="58" s="1"/>
  <c r="O6883" i="58"/>
  <c r="P6883" i="58" s="1"/>
  <c r="I6883" i="58"/>
  <c r="J6883" i="58" s="1"/>
  <c r="O6882" i="58"/>
  <c r="P6882" i="58" s="1"/>
  <c r="I6882" i="58"/>
  <c r="J6882" i="58" s="1"/>
  <c r="O6881" i="58"/>
  <c r="P6881" i="58" s="1"/>
  <c r="I6881" i="58"/>
  <c r="J6881" i="58" s="1"/>
  <c r="O6880" i="58"/>
  <c r="P6880" i="58" s="1"/>
  <c r="I6880" i="58"/>
  <c r="J6880" i="58" s="1"/>
  <c r="O6879" i="58"/>
  <c r="P6879" i="58" s="1"/>
  <c r="I6879" i="58"/>
  <c r="J6879" i="58" s="1"/>
  <c r="O6878" i="58"/>
  <c r="P6878" i="58" s="1"/>
  <c r="I6878" i="58"/>
  <c r="J6878" i="58" s="1"/>
  <c r="O6877" i="58"/>
  <c r="P6877" i="58" s="1"/>
  <c r="I6877" i="58"/>
  <c r="J6877" i="58" s="1"/>
  <c r="O6876" i="58"/>
  <c r="P6876" i="58" s="1"/>
  <c r="I6876" i="58"/>
  <c r="J6876" i="58" s="1"/>
  <c r="O6875" i="58"/>
  <c r="P6875" i="58" s="1"/>
  <c r="O6874" i="58"/>
  <c r="P6874" i="58" s="1"/>
  <c r="Q6874" i="58" s="1"/>
  <c r="N6874" i="58"/>
  <c r="O6873" i="58"/>
  <c r="P6873" i="58" s="1"/>
  <c r="K6873" i="58"/>
  <c r="L6873" i="58" s="1"/>
  <c r="L6859" i="58" s="1"/>
  <c r="P6872" i="58"/>
  <c r="O6872" i="58"/>
  <c r="P6871" i="58"/>
  <c r="O6871" i="58"/>
  <c r="I6871" i="58"/>
  <c r="J6871" i="58" s="1"/>
  <c r="O6870" i="58"/>
  <c r="P6870" i="58" s="1"/>
  <c r="I6870" i="58"/>
  <c r="J6870" i="58" s="1"/>
  <c r="O6869" i="58"/>
  <c r="P6869" i="58" s="1"/>
  <c r="I6869" i="58"/>
  <c r="J6869" i="58" s="1"/>
  <c r="O6868" i="58"/>
  <c r="P6868" i="58" s="1"/>
  <c r="I6868" i="58"/>
  <c r="J6868" i="58" s="1"/>
  <c r="O6867" i="58"/>
  <c r="P6867" i="58" s="1"/>
  <c r="I6867" i="58"/>
  <c r="J6867" i="58" s="1"/>
  <c r="O6866" i="58"/>
  <c r="P6866" i="58" s="1"/>
  <c r="I6866" i="58"/>
  <c r="J6866" i="58" s="1"/>
  <c r="O6865" i="58"/>
  <c r="P6865" i="58" s="1"/>
  <c r="I6865" i="58"/>
  <c r="J6865" i="58" s="1"/>
  <c r="O6864" i="58"/>
  <c r="P6864" i="58" s="1"/>
  <c r="I6864" i="58"/>
  <c r="J6864" i="58" s="1"/>
  <c r="O6863" i="58"/>
  <c r="P6863" i="58" s="1"/>
  <c r="J6863" i="58"/>
  <c r="I6863" i="58"/>
  <c r="O6862" i="58"/>
  <c r="P6862" i="58" s="1"/>
  <c r="I6862" i="58"/>
  <c r="J6862" i="58" s="1"/>
  <c r="O6861" i="58"/>
  <c r="P6861" i="58" s="1"/>
  <c r="I6861" i="58"/>
  <c r="J6861" i="58" s="1"/>
  <c r="P6860" i="58"/>
  <c r="O6860" i="58"/>
  <c r="P6859" i="58"/>
  <c r="Q6859" i="58" s="1"/>
  <c r="O6859" i="58"/>
  <c r="N6859" i="58"/>
  <c r="O6858" i="58"/>
  <c r="P6858" i="58" s="1"/>
  <c r="Q6858" i="58" s="1"/>
  <c r="R6858" i="58" s="1"/>
  <c r="K6858" i="58"/>
  <c r="L6858" i="58" s="1"/>
  <c r="L6844" i="58" s="1"/>
  <c r="O6857" i="58"/>
  <c r="P6857" i="58" s="1"/>
  <c r="O6856" i="58"/>
  <c r="P6856" i="58" s="1"/>
  <c r="I6856" i="58"/>
  <c r="J6856" i="58" s="1"/>
  <c r="O6855" i="58"/>
  <c r="P6855" i="58" s="1"/>
  <c r="I6855" i="58"/>
  <c r="J6855" i="58" s="1"/>
  <c r="P6854" i="58"/>
  <c r="O6854" i="58"/>
  <c r="I6854" i="58"/>
  <c r="J6854" i="58" s="1"/>
  <c r="O6853" i="58"/>
  <c r="P6853" i="58" s="1"/>
  <c r="I6853" i="58"/>
  <c r="J6853" i="58" s="1"/>
  <c r="O6852" i="58"/>
  <c r="P6852" i="58" s="1"/>
  <c r="I6852" i="58"/>
  <c r="J6852" i="58" s="1"/>
  <c r="O6851" i="58"/>
  <c r="P6851" i="58" s="1"/>
  <c r="J6851" i="58"/>
  <c r="I6851" i="58"/>
  <c r="O6850" i="58"/>
  <c r="P6850" i="58" s="1"/>
  <c r="I6850" i="58"/>
  <c r="J6850" i="58" s="1"/>
  <c r="O6849" i="58"/>
  <c r="P6849" i="58" s="1"/>
  <c r="I6849" i="58"/>
  <c r="J6849" i="58" s="1"/>
  <c r="O6848" i="58"/>
  <c r="P6848" i="58" s="1"/>
  <c r="I6848" i="58"/>
  <c r="J6848" i="58" s="1"/>
  <c r="P6847" i="58"/>
  <c r="O6847" i="58"/>
  <c r="I6847" i="58"/>
  <c r="J6847" i="58" s="1"/>
  <c r="O6846" i="58"/>
  <c r="P6846" i="58" s="1"/>
  <c r="I6846" i="58"/>
  <c r="J6846" i="58" s="1"/>
  <c r="O6845" i="58"/>
  <c r="P6845" i="58" s="1"/>
  <c r="P6844" i="58"/>
  <c r="Q6844" i="58" s="1"/>
  <c r="O6844" i="58"/>
  <c r="N6844" i="58"/>
  <c r="O6843" i="58"/>
  <c r="P6843" i="58" s="1"/>
  <c r="K6843" i="58"/>
  <c r="L6843" i="58" s="1"/>
  <c r="L6829" i="58" s="1"/>
  <c r="O6842" i="58"/>
  <c r="P6842" i="58" s="1"/>
  <c r="O6841" i="58"/>
  <c r="P6841" i="58" s="1"/>
  <c r="I6841" i="58"/>
  <c r="J6841" i="58" s="1"/>
  <c r="O6840" i="58"/>
  <c r="P6840" i="58" s="1"/>
  <c r="I6840" i="58"/>
  <c r="J6840" i="58" s="1"/>
  <c r="P6839" i="58"/>
  <c r="O6839" i="58"/>
  <c r="I6839" i="58"/>
  <c r="J6839" i="58" s="1"/>
  <c r="O6838" i="58"/>
  <c r="P6838" i="58" s="1"/>
  <c r="J6838" i="58"/>
  <c r="I6838" i="58"/>
  <c r="O6837" i="58"/>
  <c r="P6837" i="58" s="1"/>
  <c r="I6837" i="58"/>
  <c r="J6837" i="58" s="1"/>
  <c r="O6836" i="58"/>
  <c r="P6836" i="58" s="1"/>
  <c r="I6836" i="58"/>
  <c r="J6836" i="58" s="1"/>
  <c r="O6835" i="58"/>
  <c r="P6835" i="58" s="1"/>
  <c r="I6835" i="58"/>
  <c r="J6835" i="58" s="1"/>
  <c r="O6834" i="58"/>
  <c r="P6834" i="58" s="1"/>
  <c r="I6834" i="58"/>
  <c r="J6834" i="58" s="1"/>
  <c r="O6833" i="58"/>
  <c r="P6833" i="58" s="1"/>
  <c r="I6833" i="58"/>
  <c r="J6833" i="58" s="1"/>
  <c r="O6832" i="58"/>
  <c r="P6832" i="58" s="1"/>
  <c r="I6832" i="58"/>
  <c r="J6832" i="58" s="1"/>
  <c r="O6831" i="58"/>
  <c r="P6831" i="58" s="1"/>
  <c r="I6831" i="58"/>
  <c r="J6831" i="58" s="1"/>
  <c r="O6830" i="58"/>
  <c r="P6830" i="58" s="1"/>
  <c r="O6829" i="58"/>
  <c r="P6829" i="58" s="1"/>
  <c r="Q6829" i="58" s="1"/>
  <c r="N6829" i="58"/>
  <c r="O6828" i="58"/>
  <c r="P6828" i="58" s="1"/>
  <c r="Q6828" i="58" s="1"/>
  <c r="R6828" i="58" s="1"/>
  <c r="K6828" i="58"/>
  <c r="L6828" i="58" s="1"/>
  <c r="L6814" i="58" s="1"/>
  <c r="O6827" i="58"/>
  <c r="P6827" i="58" s="1"/>
  <c r="Q6827" i="58" s="1"/>
  <c r="O6826" i="58"/>
  <c r="P6826" i="58" s="1"/>
  <c r="I6826" i="58"/>
  <c r="J6826" i="58" s="1"/>
  <c r="O6825" i="58"/>
  <c r="P6825" i="58" s="1"/>
  <c r="I6825" i="58"/>
  <c r="J6825" i="58" s="1"/>
  <c r="O6824" i="58"/>
  <c r="P6824" i="58" s="1"/>
  <c r="I6824" i="58"/>
  <c r="J6824" i="58" s="1"/>
  <c r="O6823" i="58"/>
  <c r="P6823" i="58" s="1"/>
  <c r="I6823" i="58"/>
  <c r="J6823" i="58" s="1"/>
  <c r="O6822" i="58"/>
  <c r="P6822" i="58" s="1"/>
  <c r="J6822" i="58"/>
  <c r="I6822" i="58"/>
  <c r="O6821" i="58"/>
  <c r="P6821" i="58" s="1"/>
  <c r="J6821" i="58"/>
  <c r="I6821" i="58"/>
  <c r="O6820" i="58"/>
  <c r="P6820" i="58" s="1"/>
  <c r="I6820" i="58"/>
  <c r="J6820" i="58" s="1"/>
  <c r="O6819" i="58"/>
  <c r="P6819" i="58" s="1"/>
  <c r="I6819" i="58"/>
  <c r="J6819" i="58" s="1"/>
  <c r="O6818" i="58"/>
  <c r="P6818" i="58" s="1"/>
  <c r="J6818" i="58"/>
  <c r="I6818" i="58"/>
  <c r="O6817" i="58"/>
  <c r="P6817" i="58" s="1"/>
  <c r="I6817" i="58"/>
  <c r="J6817" i="58" s="1"/>
  <c r="O6816" i="58"/>
  <c r="P6816" i="58" s="1"/>
  <c r="I6816" i="58"/>
  <c r="J6816" i="58" s="1"/>
  <c r="O6815" i="58"/>
  <c r="P6815" i="58" s="1"/>
  <c r="O6814" i="58"/>
  <c r="P6814" i="58" s="1"/>
  <c r="Q6814" i="58" s="1"/>
  <c r="N6814" i="58"/>
  <c r="O6813" i="58"/>
  <c r="P6813" i="58" s="1"/>
  <c r="K6813" i="58"/>
  <c r="L6813" i="58" s="1"/>
  <c r="L6799" i="58" s="1"/>
  <c r="O6812" i="58"/>
  <c r="P6812" i="58" s="1"/>
  <c r="O6811" i="58"/>
  <c r="P6811" i="58" s="1"/>
  <c r="I6811" i="58"/>
  <c r="J6811" i="58" s="1"/>
  <c r="P6810" i="58"/>
  <c r="O6810" i="58"/>
  <c r="I6810" i="58"/>
  <c r="J6810" i="58" s="1"/>
  <c r="P6809" i="58"/>
  <c r="O6809" i="58"/>
  <c r="I6809" i="58"/>
  <c r="J6809" i="58" s="1"/>
  <c r="O6808" i="58"/>
  <c r="P6808" i="58" s="1"/>
  <c r="I6808" i="58"/>
  <c r="J6808" i="58" s="1"/>
  <c r="P6807" i="58"/>
  <c r="O6807" i="58"/>
  <c r="I6807" i="58"/>
  <c r="J6807" i="58" s="1"/>
  <c r="O6806" i="58"/>
  <c r="P6806" i="58" s="1"/>
  <c r="I6806" i="58"/>
  <c r="J6806" i="58" s="1"/>
  <c r="O6805" i="58"/>
  <c r="P6805" i="58" s="1"/>
  <c r="I6805" i="58"/>
  <c r="J6805" i="58" s="1"/>
  <c r="P6804" i="58"/>
  <c r="O6804" i="58"/>
  <c r="I6804" i="58"/>
  <c r="J6804" i="58" s="1"/>
  <c r="O6803" i="58"/>
  <c r="P6803" i="58" s="1"/>
  <c r="I6803" i="58"/>
  <c r="J6803" i="58" s="1"/>
  <c r="O6802" i="58"/>
  <c r="P6802" i="58" s="1"/>
  <c r="I6802" i="58"/>
  <c r="J6802" i="58" s="1"/>
  <c r="O6801" i="58"/>
  <c r="P6801" i="58" s="1"/>
  <c r="I6801" i="58"/>
  <c r="J6801" i="58" s="1"/>
  <c r="O6800" i="58"/>
  <c r="P6800" i="58" s="1"/>
  <c r="O6799" i="58"/>
  <c r="P6799" i="58" s="1"/>
  <c r="Q6799" i="58" s="1"/>
  <c r="N6799" i="58"/>
  <c r="O6798" i="58"/>
  <c r="P6798" i="58" s="1"/>
  <c r="K6798" i="58"/>
  <c r="L6798" i="58" s="1"/>
  <c r="L6784" i="58" s="1"/>
  <c r="O6797" i="58"/>
  <c r="P6797" i="58" s="1"/>
  <c r="O6796" i="58"/>
  <c r="P6796" i="58" s="1"/>
  <c r="I6796" i="58"/>
  <c r="J6796" i="58" s="1"/>
  <c r="O6795" i="58"/>
  <c r="P6795" i="58" s="1"/>
  <c r="I6795" i="58"/>
  <c r="J6795" i="58" s="1"/>
  <c r="O6794" i="58"/>
  <c r="P6794" i="58" s="1"/>
  <c r="I6794" i="58"/>
  <c r="J6794" i="58" s="1"/>
  <c r="P6793" i="58"/>
  <c r="O6793" i="58"/>
  <c r="I6793" i="58"/>
  <c r="J6793" i="58" s="1"/>
  <c r="P6792" i="58"/>
  <c r="O6792" i="58"/>
  <c r="I6792" i="58"/>
  <c r="J6792" i="58" s="1"/>
  <c r="O6791" i="58"/>
  <c r="P6791" i="58" s="1"/>
  <c r="I6791" i="58"/>
  <c r="J6791" i="58" s="1"/>
  <c r="O6790" i="58"/>
  <c r="P6790" i="58" s="1"/>
  <c r="I6790" i="58"/>
  <c r="J6790" i="58" s="1"/>
  <c r="O6789" i="58"/>
  <c r="P6789" i="58" s="1"/>
  <c r="I6789" i="58"/>
  <c r="J6789" i="58" s="1"/>
  <c r="O6788" i="58"/>
  <c r="P6788" i="58" s="1"/>
  <c r="I6788" i="58"/>
  <c r="J6788" i="58" s="1"/>
  <c r="O6787" i="58"/>
  <c r="P6787" i="58" s="1"/>
  <c r="I6787" i="58"/>
  <c r="J6787" i="58" s="1"/>
  <c r="P6786" i="58"/>
  <c r="O6786" i="58"/>
  <c r="I6786" i="58"/>
  <c r="J6786" i="58" s="1"/>
  <c r="O6785" i="58"/>
  <c r="P6785" i="58" s="1"/>
  <c r="O6784" i="58"/>
  <c r="P6784" i="58" s="1"/>
  <c r="Q6784" i="58" s="1"/>
  <c r="N6784" i="58"/>
  <c r="O6783" i="58"/>
  <c r="P6783" i="58" s="1"/>
  <c r="K6783" i="58"/>
  <c r="L6783" i="58" s="1"/>
  <c r="L6769" i="58" s="1"/>
  <c r="O6782" i="58"/>
  <c r="P6782" i="58" s="1"/>
  <c r="O6781" i="58"/>
  <c r="P6781" i="58" s="1"/>
  <c r="I6781" i="58"/>
  <c r="J6781" i="58" s="1"/>
  <c r="O6780" i="58"/>
  <c r="P6780" i="58" s="1"/>
  <c r="I6780" i="58"/>
  <c r="J6780" i="58" s="1"/>
  <c r="O6779" i="58"/>
  <c r="P6779" i="58" s="1"/>
  <c r="I6779" i="58"/>
  <c r="J6779" i="58" s="1"/>
  <c r="O6778" i="58"/>
  <c r="P6778" i="58" s="1"/>
  <c r="J6778" i="58"/>
  <c r="I6778" i="58"/>
  <c r="O6777" i="58"/>
  <c r="P6777" i="58" s="1"/>
  <c r="I6777" i="58"/>
  <c r="J6777" i="58" s="1"/>
  <c r="O6776" i="58"/>
  <c r="P6776" i="58" s="1"/>
  <c r="I6776" i="58"/>
  <c r="J6776" i="58" s="1"/>
  <c r="O6775" i="58"/>
  <c r="P6775" i="58" s="1"/>
  <c r="I6775" i="58"/>
  <c r="J6775" i="58" s="1"/>
  <c r="P6774" i="58"/>
  <c r="O6774" i="58"/>
  <c r="J6774" i="58"/>
  <c r="I6774" i="58"/>
  <c r="O6773" i="58"/>
  <c r="P6773" i="58" s="1"/>
  <c r="I6773" i="58"/>
  <c r="J6773" i="58" s="1"/>
  <c r="O6772" i="58"/>
  <c r="P6772" i="58" s="1"/>
  <c r="I6772" i="58"/>
  <c r="J6772" i="58" s="1"/>
  <c r="P6771" i="58"/>
  <c r="O6771" i="58"/>
  <c r="I6771" i="58"/>
  <c r="J6771" i="58" s="1"/>
  <c r="O6770" i="58"/>
  <c r="P6770" i="58" s="1"/>
  <c r="O6769" i="58"/>
  <c r="P6769" i="58" s="1"/>
  <c r="Q6769" i="58" s="1"/>
  <c r="N6769" i="58"/>
  <c r="O6768" i="58"/>
  <c r="P6768" i="58" s="1"/>
  <c r="K6768" i="58"/>
  <c r="L6768" i="58" s="1"/>
  <c r="L6754" i="58" s="1"/>
  <c r="O6767" i="58"/>
  <c r="P6767" i="58" s="1"/>
  <c r="P6766" i="58"/>
  <c r="O6766" i="58"/>
  <c r="I6766" i="58"/>
  <c r="J6766" i="58" s="1"/>
  <c r="O6765" i="58"/>
  <c r="P6765" i="58" s="1"/>
  <c r="I6765" i="58"/>
  <c r="J6765" i="58" s="1"/>
  <c r="O6764" i="58"/>
  <c r="P6764" i="58" s="1"/>
  <c r="I6764" i="58"/>
  <c r="J6764" i="58" s="1"/>
  <c r="O6763" i="58"/>
  <c r="P6763" i="58" s="1"/>
  <c r="I6763" i="58"/>
  <c r="J6763" i="58" s="1"/>
  <c r="O6762" i="58"/>
  <c r="P6762" i="58" s="1"/>
  <c r="I6762" i="58"/>
  <c r="J6762" i="58" s="1"/>
  <c r="O6761" i="58"/>
  <c r="P6761" i="58" s="1"/>
  <c r="I6761" i="58"/>
  <c r="J6761" i="58" s="1"/>
  <c r="P6760" i="58"/>
  <c r="O6760" i="58"/>
  <c r="J6760" i="58"/>
  <c r="I6760" i="58"/>
  <c r="O6759" i="58"/>
  <c r="P6759" i="58" s="1"/>
  <c r="I6759" i="58"/>
  <c r="J6759" i="58" s="1"/>
  <c r="P6758" i="58"/>
  <c r="O6758" i="58"/>
  <c r="J6758" i="58"/>
  <c r="I6758" i="58"/>
  <c r="O6757" i="58"/>
  <c r="P6757" i="58" s="1"/>
  <c r="I6757" i="58"/>
  <c r="J6757" i="58" s="1"/>
  <c r="O6756" i="58"/>
  <c r="P6756" i="58" s="1"/>
  <c r="J6756" i="58"/>
  <c r="I6756" i="58"/>
  <c r="P6755" i="58"/>
  <c r="O6755" i="58"/>
  <c r="O6754" i="58"/>
  <c r="P6754" i="58" s="1"/>
  <c r="Q6754" i="58" s="1"/>
  <c r="N6754" i="58"/>
  <c r="O6753" i="58"/>
  <c r="P6753" i="58" s="1"/>
  <c r="K6753" i="58"/>
  <c r="L6753" i="58" s="1"/>
  <c r="O6752" i="58"/>
  <c r="P6752" i="58" s="1"/>
  <c r="O6751" i="58"/>
  <c r="P6751" i="58" s="1"/>
  <c r="I6751" i="58"/>
  <c r="J6751" i="58" s="1"/>
  <c r="P6750" i="58"/>
  <c r="O6750" i="58"/>
  <c r="I6750" i="58"/>
  <c r="J6750" i="58" s="1"/>
  <c r="O6749" i="58"/>
  <c r="P6749" i="58" s="1"/>
  <c r="I6749" i="58"/>
  <c r="J6749" i="58" s="1"/>
  <c r="O6748" i="58"/>
  <c r="P6748" i="58" s="1"/>
  <c r="I6748" i="58"/>
  <c r="J6748" i="58" s="1"/>
  <c r="O6747" i="58"/>
  <c r="P6747" i="58" s="1"/>
  <c r="I6747" i="58"/>
  <c r="J6747" i="58" s="1"/>
  <c r="O6746" i="58"/>
  <c r="P6746" i="58" s="1"/>
  <c r="J6746" i="58"/>
  <c r="I6746" i="58"/>
  <c r="O6745" i="58"/>
  <c r="P6745" i="58" s="1"/>
  <c r="J6745" i="58"/>
  <c r="I6745" i="58"/>
  <c r="O6744" i="58"/>
  <c r="P6744" i="58" s="1"/>
  <c r="I6744" i="58"/>
  <c r="J6744" i="58" s="1"/>
  <c r="O6743" i="58"/>
  <c r="P6743" i="58" s="1"/>
  <c r="J6743" i="58"/>
  <c r="I6743" i="58"/>
  <c r="P6742" i="58"/>
  <c r="O6742" i="58"/>
  <c r="I6742" i="58"/>
  <c r="J6742" i="58" s="1"/>
  <c r="O6741" i="58"/>
  <c r="P6741" i="58" s="1"/>
  <c r="I6741" i="58"/>
  <c r="J6741" i="58" s="1"/>
  <c r="O6740" i="58"/>
  <c r="P6740" i="58" s="1"/>
  <c r="O6739" i="58"/>
  <c r="P6739" i="58" s="1"/>
  <c r="Q6739" i="58" s="1"/>
  <c r="N6739" i="58"/>
  <c r="L6739" i="58"/>
  <c r="O6738" i="58"/>
  <c r="P6738" i="58" s="1"/>
  <c r="K6738" i="58"/>
  <c r="L6738" i="58" s="1"/>
  <c r="L6724" i="58" s="1"/>
  <c r="O6737" i="58"/>
  <c r="P6737" i="58" s="1"/>
  <c r="P6736" i="58"/>
  <c r="O6736" i="58"/>
  <c r="I6736" i="58"/>
  <c r="J6736" i="58" s="1"/>
  <c r="O6735" i="58"/>
  <c r="P6735" i="58" s="1"/>
  <c r="I6735" i="58"/>
  <c r="J6735" i="58" s="1"/>
  <c r="O6734" i="58"/>
  <c r="P6734" i="58" s="1"/>
  <c r="J6734" i="58"/>
  <c r="I6734" i="58"/>
  <c r="P6733" i="58"/>
  <c r="O6733" i="58"/>
  <c r="I6733" i="58"/>
  <c r="J6733" i="58" s="1"/>
  <c r="O6732" i="58"/>
  <c r="P6732" i="58" s="1"/>
  <c r="I6732" i="58"/>
  <c r="J6732" i="58" s="1"/>
  <c r="O6731" i="58"/>
  <c r="P6731" i="58" s="1"/>
  <c r="I6731" i="58"/>
  <c r="J6731" i="58" s="1"/>
  <c r="O6730" i="58"/>
  <c r="P6730" i="58" s="1"/>
  <c r="I6730" i="58"/>
  <c r="J6730" i="58" s="1"/>
  <c r="O6729" i="58"/>
  <c r="P6729" i="58" s="1"/>
  <c r="I6729" i="58"/>
  <c r="J6729" i="58" s="1"/>
  <c r="P6728" i="58"/>
  <c r="O6728" i="58"/>
  <c r="I6728" i="58"/>
  <c r="J6728" i="58" s="1"/>
  <c r="P6727" i="58"/>
  <c r="O6727" i="58"/>
  <c r="I6727" i="58"/>
  <c r="J6727" i="58" s="1"/>
  <c r="O6726" i="58"/>
  <c r="P6726" i="58" s="1"/>
  <c r="I6726" i="58"/>
  <c r="J6726" i="58" s="1"/>
  <c r="O6725" i="58"/>
  <c r="P6725" i="58" s="1"/>
  <c r="O6724" i="58"/>
  <c r="P6724" i="58" s="1"/>
  <c r="Q6724" i="58" s="1"/>
  <c r="Q6723" i="58" s="1"/>
  <c r="R6723" i="58" s="1"/>
  <c r="N6724" i="58"/>
  <c r="O6723" i="58"/>
  <c r="P6723" i="58" s="1"/>
  <c r="K6723" i="58"/>
  <c r="L6723" i="58" s="1"/>
  <c r="L6709" i="58" s="1"/>
  <c r="P6722" i="58"/>
  <c r="O6722" i="58"/>
  <c r="O6721" i="58"/>
  <c r="P6721" i="58" s="1"/>
  <c r="I6721" i="58"/>
  <c r="J6721" i="58" s="1"/>
  <c r="O6720" i="58"/>
  <c r="P6720" i="58" s="1"/>
  <c r="I6720" i="58"/>
  <c r="J6720" i="58" s="1"/>
  <c r="O6719" i="58"/>
  <c r="P6719" i="58" s="1"/>
  <c r="I6719" i="58"/>
  <c r="J6719" i="58" s="1"/>
  <c r="O6718" i="58"/>
  <c r="P6718" i="58" s="1"/>
  <c r="I6718" i="58"/>
  <c r="J6718" i="58" s="1"/>
  <c r="O6717" i="58"/>
  <c r="P6717" i="58" s="1"/>
  <c r="I6717" i="58"/>
  <c r="J6717" i="58" s="1"/>
  <c r="O6716" i="58"/>
  <c r="P6716" i="58" s="1"/>
  <c r="I6716" i="58"/>
  <c r="J6716" i="58" s="1"/>
  <c r="O6715" i="58"/>
  <c r="P6715" i="58" s="1"/>
  <c r="I6715" i="58"/>
  <c r="J6715" i="58" s="1"/>
  <c r="O6714" i="58"/>
  <c r="P6714" i="58" s="1"/>
  <c r="I6714" i="58"/>
  <c r="J6714" i="58" s="1"/>
  <c r="O6713" i="58"/>
  <c r="P6713" i="58" s="1"/>
  <c r="I6713" i="58"/>
  <c r="J6713" i="58" s="1"/>
  <c r="O6712" i="58"/>
  <c r="P6712" i="58" s="1"/>
  <c r="I6712" i="58"/>
  <c r="J6712" i="58" s="1"/>
  <c r="O6711" i="58"/>
  <c r="P6711" i="58" s="1"/>
  <c r="I6711" i="58"/>
  <c r="J6711" i="58" s="1"/>
  <c r="O6710" i="58"/>
  <c r="P6710" i="58" s="1"/>
  <c r="O6709" i="58"/>
  <c r="P6709" i="58" s="1"/>
  <c r="Q6709" i="58" s="1"/>
  <c r="N6709" i="58"/>
  <c r="P6708" i="58"/>
  <c r="O6708" i="58"/>
  <c r="K6708" i="58"/>
  <c r="L6708" i="58" s="1"/>
  <c r="L6694" i="58" s="1"/>
  <c r="O6707" i="58"/>
  <c r="P6707" i="58" s="1"/>
  <c r="O6706" i="58"/>
  <c r="P6706" i="58" s="1"/>
  <c r="I6706" i="58"/>
  <c r="J6706" i="58" s="1"/>
  <c r="O6705" i="58"/>
  <c r="P6705" i="58" s="1"/>
  <c r="I6705" i="58"/>
  <c r="J6705" i="58" s="1"/>
  <c r="O6704" i="58"/>
  <c r="P6704" i="58" s="1"/>
  <c r="I6704" i="58"/>
  <c r="J6704" i="58" s="1"/>
  <c r="P6703" i="58"/>
  <c r="O6703" i="58"/>
  <c r="I6703" i="58"/>
  <c r="J6703" i="58" s="1"/>
  <c r="O6702" i="58"/>
  <c r="P6702" i="58" s="1"/>
  <c r="I6702" i="58"/>
  <c r="J6702" i="58" s="1"/>
  <c r="O6701" i="58"/>
  <c r="P6701" i="58" s="1"/>
  <c r="I6701" i="58"/>
  <c r="J6701" i="58" s="1"/>
  <c r="O6700" i="58"/>
  <c r="P6700" i="58" s="1"/>
  <c r="I6700" i="58"/>
  <c r="J6700" i="58" s="1"/>
  <c r="O6699" i="58"/>
  <c r="P6699" i="58" s="1"/>
  <c r="I6699" i="58"/>
  <c r="J6699" i="58" s="1"/>
  <c r="O6698" i="58"/>
  <c r="P6698" i="58" s="1"/>
  <c r="I6698" i="58"/>
  <c r="J6698" i="58" s="1"/>
  <c r="O6697" i="58"/>
  <c r="P6697" i="58" s="1"/>
  <c r="I6697" i="58"/>
  <c r="J6697" i="58" s="1"/>
  <c r="O6696" i="58"/>
  <c r="P6696" i="58" s="1"/>
  <c r="I6696" i="58"/>
  <c r="J6696" i="58" s="1"/>
  <c r="P6695" i="58"/>
  <c r="O6695" i="58"/>
  <c r="O6694" i="58"/>
  <c r="P6694" i="58" s="1"/>
  <c r="Q6694" i="58" s="1"/>
  <c r="N6694" i="58"/>
  <c r="P6693" i="58"/>
  <c r="O6693" i="58"/>
  <c r="K6693" i="58"/>
  <c r="L6693" i="58" s="1"/>
  <c r="L6679" i="58" s="1"/>
  <c r="O6692" i="58"/>
  <c r="P6692" i="58" s="1"/>
  <c r="O6691" i="58"/>
  <c r="P6691" i="58" s="1"/>
  <c r="I6691" i="58"/>
  <c r="J6691" i="58" s="1"/>
  <c r="P6690" i="58"/>
  <c r="O6690" i="58"/>
  <c r="I6690" i="58"/>
  <c r="J6690" i="58" s="1"/>
  <c r="O6689" i="58"/>
  <c r="P6689" i="58" s="1"/>
  <c r="I6689" i="58"/>
  <c r="J6689" i="58" s="1"/>
  <c r="O6688" i="58"/>
  <c r="P6688" i="58" s="1"/>
  <c r="I6688" i="58"/>
  <c r="J6688" i="58" s="1"/>
  <c r="O6687" i="58"/>
  <c r="P6687" i="58" s="1"/>
  <c r="I6687" i="58"/>
  <c r="J6687" i="58" s="1"/>
  <c r="P6686" i="58"/>
  <c r="O6686" i="58"/>
  <c r="I6686" i="58"/>
  <c r="J6686" i="58" s="1"/>
  <c r="O6685" i="58"/>
  <c r="P6685" i="58" s="1"/>
  <c r="I6685" i="58"/>
  <c r="J6685" i="58" s="1"/>
  <c r="O6684" i="58"/>
  <c r="P6684" i="58" s="1"/>
  <c r="I6684" i="58"/>
  <c r="J6684" i="58" s="1"/>
  <c r="O6683" i="58"/>
  <c r="P6683" i="58" s="1"/>
  <c r="I6683" i="58"/>
  <c r="J6683" i="58" s="1"/>
  <c r="O6682" i="58"/>
  <c r="P6682" i="58" s="1"/>
  <c r="I6682" i="58"/>
  <c r="J6682" i="58" s="1"/>
  <c r="O6681" i="58"/>
  <c r="P6681" i="58" s="1"/>
  <c r="I6681" i="58"/>
  <c r="J6681" i="58" s="1"/>
  <c r="O6680" i="58"/>
  <c r="P6680" i="58" s="1"/>
  <c r="O6679" i="58"/>
  <c r="P6679" i="58" s="1"/>
  <c r="Q6679" i="58" s="1"/>
  <c r="N6679" i="58"/>
  <c r="O6678" i="58"/>
  <c r="P6678" i="58" s="1"/>
  <c r="K6678" i="58"/>
  <c r="L6678" i="58" s="1"/>
  <c r="L6664" i="58" s="1"/>
  <c r="P6677" i="58"/>
  <c r="O6677" i="58"/>
  <c r="P6676" i="58"/>
  <c r="O6676" i="58"/>
  <c r="J6676" i="58"/>
  <c r="I6676" i="58"/>
  <c r="P6675" i="58"/>
  <c r="O6675" i="58"/>
  <c r="I6675" i="58"/>
  <c r="J6675" i="58" s="1"/>
  <c r="O6674" i="58"/>
  <c r="P6674" i="58" s="1"/>
  <c r="I6674" i="58"/>
  <c r="J6674" i="58" s="1"/>
  <c r="O6673" i="58"/>
  <c r="P6673" i="58" s="1"/>
  <c r="I6673" i="58"/>
  <c r="J6673" i="58" s="1"/>
  <c r="O6672" i="58"/>
  <c r="P6672" i="58" s="1"/>
  <c r="I6672" i="58"/>
  <c r="J6672" i="58" s="1"/>
  <c r="P6671" i="58"/>
  <c r="O6671" i="58"/>
  <c r="I6671" i="58"/>
  <c r="J6671" i="58" s="1"/>
  <c r="O6670" i="58"/>
  <c r="P6670" i="58" s="1"/>
  <c r="I6670" i="58"/>
  <c r="J6670" i="58" s="1"/>
  <c r="P6669" i="58"/>
  <c r="O6669" i="58"/>
  <c r="I6669" i="58"/>
  <c r="J6669" i="58" s="1"/>
  <c r="P6668" i="58"/>
  <c r="O6668" i="58"/>
  <c r="I6668" i="58"/>
  <c r="J6668" i="58" s="1"/>
  <c r="O6667" i="58"/>
  <c r="P6667" i="58" s="1"/>
  <c r="I6667" i="58"/>
  <c r="J6667" i="58" s="1"/>
  <c r="O6666" i="58"/>
  <c r="P6666" i="58" s="1"/>
  <c r="I6666" i="58"/>
  <c r="J6666" i="58" s="1"/>
  <c r="P6665" i="58"/>
  <c r="O6665" i="58"/>
  <c r="O6664" i="58"/>
  <c r="P6664" i="58" s="1"/>
  <c r="Q6664" i="58" s="1"/>
  <c r="N6664" i="58"/>
  <c r="P6663" i="58"/>
  <c r="Q6663" i="58" s="1"/>
  <c r="O6663" i="58"/>
  <c r="K6663" i="58"/>
  <c r="L6663" i="58" s="1"/>
  <c r="L6649" i="58" s="1"/>
  <c r="O6662" i="58"/>
  <c r="P6662" i="58" s="1"/>
  <c r="O6661" i="58"/>
  <c r="P6661" i="58" s="1"/>
  <c r="I6661" i="58"/>
  <c r="J6661" i="58" s="1"/>
  <c r="O6660" i="58"/>
  <c r="P6660" i="58" s="1"/>
  <c r="I6660" i="58"/>
  <c r="J6660" i="58" s="1"/>
  <c r="O6659" i="58"/>
  <c r="P6659" i="58" s="1"/>
  <c r="I6659" i="58"/>
  <c r="J6659" i="58" s="1"/>
  <c r="P6658" i="58"/>
  <c r="O6658" i="58"/>
  <c r="J6658" i="58"/>
  <c r="I6658" i="58"/>
  <c r="O6657" i="58"/>
  <c r="P6657" i="58" s="1"/>
  <c r="I6657" i="58"/>
  <c r="J6657" i="58" s="1"/>
  <c r="O6656" i="58"/>
  <c r="P6656" i="58" s="1"/>
  <c r="I6656" i="58"/>
  <c r="J6656" i="58" s="1"/>
  <c r="O6655" i="58"/>
  <c r="P6655" i="58" s="1"/>
  <c r="I6655" i="58"/>
  <c r="J6655" i="58" s="1"/>
  <c r="O6654" i="58"/>
  <c r="P6654" i="58" s="1"/>
  <c r="I6654" i="58"/>
  <c r="J6654" i="58" s="1"/>
  <c r="O6653" i="58"/>
  <c r="P6653" i="58" s="1"/>
  <c r="I6653" i="58"/>
  <c r="J6653" i="58" s="1"/>
  <c r="O6652" i="58"/>
  <c r="P6652" i="58" s="1"/>
  <c r="I6652" i="58"/>
  <c r="J6652" i="58" s="1"/>
  <c r="O6651" i="58"/>
  <c r="P6651" i="58" s="1"/>
  <c r="I6651" i="58"/>
  <c r="J6651" i="58" s="1"/>
  <c r="O6650" i="58"/>
  <c r="P6650" i="58" s="1"/>
  <c r="O6649" i="58"/>
  <c r="P6649" i="58" s="1"/>
  <c r="Q6649" i="58" s="1"/>
  <c r="N6649" i="58"/>
  <c r="O6648" i="58"/>
  <c r="P6648" i="58" s="1"/>
  <c r="K6648" i="58"/>
  <c r="L6648" i="58" s="1"/>
  <c r="L6634" i="58" s="1"/>
  <c r="P6647" i="58"/>
  <c r="O6647" i="58"/>
  <c r="O6646" i="58"/>
  <c r="P6646" i="58" s="1"/>
  <c r="J6646" i="58"/>
  <c r="I6646" i="58"/>
  <c r="O6645" i="58"/>
  <c r="P6645" i="58" s="1"/>
  <c r="I6645" i="58"/>
  <c r="J6645" i="58" s="1"/>
  <c r="P6644" i="58"/>
  <c r="O6644" i="58"/>
  <c r="I6644" i="58"/>
  <c r="J6644" i="58" s="1"/>
  <c r="O6643" i="58"/>
  <c r="P6643" i="58" s="1"/>
  <c r="J6643" i="58"/>
  <c r="I6643" i="58"/>
  <c r="O6642" i="58"/>
  <c r="P6642" i="58" s="1"/>
  <c r="I6642" i="58"/>
  <c r="J6642" i="58" s="1"/>
  <c r="O6641" i="58"/>
  <c r="P6641" i="58" s="1"/>
  <c r="I6641" i="58"/>
  <c r="J6641" i="58" s="1"/>
  <c r="O6640" i="58"/>
  <c r="P6640" i="58" s="1"/>
  <c r="I6640" i="58"/>
  <c r="J6640" i="58" s="1"/>
  <c r="O6639" i="58"/>
  <c r="P6639" i="58" s="1"/>
  <c r="I6639" i="58"/>
  <c r="J6639" i="58" s="1"/>
  <c r="O6638" i="58"/>
  <c r="P6638" i="58" s="1"/>
  <c r="I6638" i="58"/>
  <c r="J6638" i="58" s="1"/>
  <c r="O6637" i="58"/>
  <c r="P6637" i="58" s="1"/>
  <c r="I6637" i="58"/>
  <c r="J6637" i="58" s="1"/>
  <c r="P6636" i="58"/>
  <c r="O6636" i="58"/>
  <c r="I6636" i="58"/>
  <c r="J6636" i="58" s="1"/>
  <c r="O6635" i="58"/>
  <c r="P6635" i="58" s="1"/>
  <c r="O6634" i="58"/>
  <c r="P6634" i="58" s="1"/>
  <c r="Q6634" i="58" s="1"/>
  <c r="N6634" i="58"/>
  <c r="O6633" i="58"/>
  <c r="P6633" i="58" s="1"/>
  <c r="K6633" i="58"/>
  <c r="L6633" i="58" s="1"/>
  <c r="L6619" i="58" s="1"/>
  <c r="O6632" i="58"/>
  <c r="P6632" i="58" s="1"/>
  <c r="O6631" i="58"/>
  <c r="P6631" i="58" s="1"/>
  <c r="I6631" i="58"/>
  <c r="J6631" i="58" s="1"/>
  <c r="P6630" i="58"/>
  <c r="O6630" i="58"/>
  <c r="I6630" i="58"/>
  <c r="J6630" i="58" s="1"/>
  <c r="O6629" i="58"/>
  <c r="P6629" i="58" s="1"/>
  <c r="I6629" i="58"/>
  <c r="J6629" i="58" s="1"/>
  <c r="P6628" i="58"/>
  <c r="O6628" i="58"/>
  <c r="I6628" i="58"/>
  <c r="J6628" i="58" s="1"/>
  <c r="O6627" i="58"/>
  <c r="P6627" i="58" s="1"/>
  <c r="I6627" i="58"/>
  <c r="J6627" i="58" s="1"/>
  <c r="O6626" i="58"/>
  <c r="P6626" i="58" s="1"/>
  <c r="I6626" i="58"/>
  <c r="J6626" i="58" s="1"/>
  <c r="P6625" i="58"/>
  <c r="O6625" i="58"/>
  <c r="I6625" i="58"/>
  <c r="J6625" i="58" s="1"/>
  <c r="O6624" i="58"/>
  <c r="P6624" i="58" s="1"/>
  <c r="I6624" i="58"/>
  <c r="J6624" i="58" s="1"/>
  <c r="O6623" i="58"/>
  <c r="P6623" i="58" s="1"/>
  <c r="I6623" i="58"/>
  <c r="J6623" i="58" s="1"/>
  <c r="O6622" i="58"/>
  <c r="P6622" i="58" s="1"/>
  <c r="I6622" i="58"/>
  <c r="J6622" i="58" s="1"/>
  <c r="O6621" i="58"/>
  <c r="P6621" i="58" s="1"/>
  <c r="I6621" i="58"/>
  <c r="J6621" i="58" s="1"/>
  <c r="O6620" i="58"/>
  <c r="P6620" i="58" s="1"/>
  <c r="O6619" i="58"/>
  <c r="P6619" i="58" s="1"/>
  <c r="Q6619" i="58" s="1"/>
  <c r="N6619" i="58"/>
  <c r="O6618" i="58"/>
  <c r="P6618" i="58" s="1"/>
  <c r="K6618" i="58"/>
  <c r="L6618" i="58" s="1"/>
  <c r="L6604" i="58" s="1"/>
  <c r="O6617" i="58"/>
  <c r="P6617" i="58" s="1"/>
  <c r="P6616" i="58"/>
  <c r="O6616" i="58"/>
  <c r="I6616" i="58"/>
  <c r="J6616" i="58" s="1"/>
  <c r="P6615" i="58"/>
  <c r="O6615" i="58"/>
  <c r="I6615" i="58"/>
  <c r="J6615" i="58" s="1"/>
  <c r="P6614" i="58"/>
  <c r="O6614" i="58"/>
  <c r="I6614" i="58"/>
  <c r="J6614" i="58" s="1"/>
  <c r="O6613" i="58"/>
  <c r="P6613" i="58" s="1"/>
  <c r="I6613" i="58"/>
  <c r="J6613" i="58" s="1"/>
  <c r="P6612" i="58"/>
  <c r="O6612" i="58"/>
  <c r="J6612" i="58"/>
  <c r="I6612" i="58"/>
  <c r="O6611" i="58"/>
  <c r="P6611" i="58" s="1"/>
  <c r="J6611" i="58"/>
  <c r="I6611" i="58"/>
  <c r="P6610" i="58"/>
  <c r="O6610" i="58"/>
  <c r="I6610" i="58"/>
  <c r="J6610" i="58" s="1"/>
  <c r="O6609" i="58"/>
  <c r="P6609" i="58" s="1"/>
  <c r="I6609" i="58"/>
  <c r="J6609" i="58" s="1"/>
  <c r="P6608" i="58"/>
  <c r="O6608" i="58"/>
  <c r="I6608" i="58"/>
  <c r="J6608" i="58" s="1"/>
  <c r="O6607" i="58"/>
  <c r="P6607" i="58" s="1"/>
  <c r="I6607" i="58"/>
  <c r="J6607" i="58" s="1"/>
  <c r="P6606" i="58"/>
  <c r="O6606" i="58"/>
  <c r="I6606" i="58"/>
  <c r="J6606" i="58" s="1"/>
  <c r="O6605" i="58"/>
  <c r="P6605" i="58" s="1"/>
  <c r="O6604" i="58"/>
  <c r="P6604" i="58" s="1"/>
  <c r="Q6604" i="58" s="1"/>
  <c r="N6604" i="58"/>
  <c r="O6603" i="58"/>
  <c r="P6603" i="58" s="1"/>
  <c r="K6603" i="58"/>
  <c r="L6603" i="58" s="1"/>
  <c r="L6589" i="58" s="1"/>
  <c r="O6602" i="58"/>
  <c r="P6602" i="58" s="1"/>
  <c r="O6601" i="58"/>
  <c r="P6601" i="58" s="1"/>
  <c r="I6601" i="58"/>
  <c r="J6601" i="58" s="1"/>
  <c r="P6600" i="58"/>
  <c r="O6600" i="58"/>
  <c r="I6600" i="58"/>
  <c r="J6600" i="58" s="1"/>
  <c r="O6599" i="58"/>
  <c r="P6599" i="58" s="1"/>
  <c r="I6599" i="58"/>
  <c r="J6599" i="58" s="1"/>
  <c r="O6598" i="58"/>
  <c r="P6598" i="58" s="1"/>
  <c r="I6598" i="58"/>
  <c r="J6598" i="58" s="1"/>
  <c r="O6597" i="58"/>
  <c r="P6597" i="58" s="1"/>
  <c r="I6597" i="58"/>
  <c r="J6597" i="58" s="1"/>
  <c r="O6596" i="58"/>
  <c r="P6596" i="58" s="1"/>
  <c r="I6596" i="58"/>
  <c r="J6596" i="58" s="1"/>
  <c r="O6595" i="58"/>
  <c r="P6595" i="58" s="1"/>
  <c r="I6595" i="58"/>
  <c r="J6595" i="58" s="1"/>
  <c r="O6594" i="58"/>
  <c r="P6594" i="58" s="1"/>
  <c r="I6594" i="58"/>
  <c r="J6594" i="58" s="1"/>
  <c r="O6593" i="58"/>
  <c r="P6593" i="58" s="1"/>
  <c r="I6593" i="58"/>
  <c r="J6593" i="58" s="1"/>
  <c r="O6592" i="58"/>
  <c r="P6592" i="58" s="1"/>
  <c r="J6592" i="58"/>
  <c r="I6592" i="58"/>
  <c r="O6591" i="58"/>
  <c r="P6591" i="58" s="1"/>
  <c r="I6591" i="58"/>
  <c r="J6591" i="58" s="1"/>
  <c r="O6590" i="58"/>
  <c r="P6590" i="58" s="1"/>
  <c r="Q6589" i="58"/>
  <c r="P6589" i="58"/>
  <c r="O6589" i="58"/>
  <c r="N6589" i="58"/>
  <c r="P6588" i="58"/>
  <c r="O6588" i="58"/>
  <c r="K6588" i="58"/>
  <c r="L6588" i="58" s="1"/>
  <c r="L6574" i="58" s="1"/>
  <c r="O6587" i="58"/>
  <c r="P6587" i="58" s="1"/>
  <c r="O6586" i="58"/>
  <c r="P6586" i="58" s="1"/>
  <c r="I6586" i="58"/>
  <c r="J6586" i="58" s="1"/>
  <c r="P6585" i="58"/>
  <c r="O6585" i="58"/>
  <c r="I6585" i="58"/>
  <c r="J6585" i="58" s="1"/>
  <c r="P6584" i="58"/>
  <c r="O6584" i="58"/>
  <c r="I6584" i="58"/>
  <c r="J6584" i="58" s="1"/>
  <c r="P6583" i="58"/>
  <c r="O6583" i="58"/>
  <c r="I6583" i="58"/>
  <c r="J6583" i="58" s="1"/>
  <c r="P6582" i="58"/>
  <c r="O6582" i="58"/>
  <c r="I6582" i="58"/>
  <c r="J6582" i="58" s="1"/>
  <c r="O6581" i="58"/>
  <c r="P6581" i="58" s="1"/>
  <c r="I6581" i="58"/>
  <c r="J6581" i="58" s="1"/>
  <c r="O6580" i="58"/>
  <c r="P6580" i="58" s="1"/>
  <c r="I6580" i="58"/>
  <c r="J6580" i="58" s="1"/>
  <c r="P6579" i="58"/>
  <c r="O6579" i="58"/>
  <c r="I6579" i="58"/>
  <c r="J6579" i="58" s="1"/>
  <c r="O6578" i="58"/>
  <c r="P6578" i="58" s="1"/>
  <c r="I6578" i="58"/>
  <c r="J6578" i="58" s="1"/>
  <c r="P6577" i="58"/>
  <c r="O6577" i="58"/>
  <c r="I6577" i="58"/>
  <c r="J6577" i="58" s="1"/>
  <c r="P6576" i="58"/>
  <c r="O6576" i="58"/>
  <c r="I6576" i="58"/>
  <c r="J6576" i="58" s="1"/>
  <c r="O6575" i="58"/>
  <c r="P6575" i="58" s="1"/>
  <c r="P6574" i="58"/>
  <c r="Q6574" i="58" s="1"/>
  <c r="O6574" i="58"/>
  <c r="N6574" i="58"/>
  <c r="O6573" i="58"/>
  <c r="P6573" i="58" s="1"/>
  <c r="L6573" i="58"/>
  <c r="L6559" i="58" s="1"/>
  <c r="K6573" i="58"/>
  <c r="O6572" i="58"/>
  <c r="P6572" i="58" s="1"/>
  <c r="O6571" i="58"/>
  <c r="P6571" i="58" s="1"/>
  <c r="I6571" i="58"/>
  <c r="J6571" i="58" s="1"/>
  <c r="O6570" i="58"/>
  <c r="P6570" i="58" s="1"/>
  <c r="I6570" i="58"/>
  <c r="J6570" i="58" s="1"/>
  <c r="O6569" i="58"/>
  <c r="P6569" i="58" s="1"/>
  <c r="I6569" i="58"/>
  <c r="J6569" i="58" s="1"/>
  <c r="O6568" i="58"/>
  <c r="P6568" i="58" s="1"/>
  <c r="I6568" i="58"/>
  <c r="J6568" i="58" s="1"/>
  <c r="O6567" i="58"/>
  <c r="P6567" i="58" s="1"/>
  <c r="I6567" i="58"/>
  <c r="J6567" i="58" s="1"/>
  <c r="O6566" i="58"/>
  <c r="P6566" i="58" s="1"/>
  <c r="I6566" i="58"/>
  <c r="J6566" i="58" s="1"/>
  <c r="O6565" i="58"/>
  <c r="P6565" i="58" s="1"/>
  <c r="I6565" i="58"/>
  <c r="J6565" i="58" s="1"/>
  <c r="O6564" i="58"/>
  <c r="P6564" i="58" s="1"/>
  <c r="I6564" i="58"/>
  <c r="J6564" i="58" s="1"/>
  <c r="O6563" i="58"/>
  <c r="P6563" i="58" s="1"/>
  <c r="I6563" i="58"/>
  <c r="J6563" i="58" s="1"/>
  <c r="O6562" i="58"/>
  <c r="P6562" i="58" s="1"/>
  <c r="I6562" i="58"/>
  <c r="J6562" i="58" s="1"/>
  <c r="O6561" i="58"/>
  <c r="P6561" i="58" s="1"/>
  <c r="I6561" i="58"/>
  <c r="J6561" i="58" s="1"/>
  <c r="O6560" i="58"/>
  <c r="P6560" i="58" s="1"/>
  <c r="P6559" i="58"/>
  <c r="Q6559" i="58" s="1"/>
  <c r="O6559" i="58"/>
  <c r="N6559" i="58"/>
  <c r="P6558" i="58"/>
  <c r="O6558" i="58"/>
  <c r="K6558" i="58"/>
  <c r="L6558" i="58" s="1"/>
  <c r="L6544" i="58" s="1"/>
  <c r="P6557" i="58"/>
  <c r="O6557" i="58"/>
  <c r="O6556" i="58"/>
  <c r="P6556" i="58" s="1"/>
  <c r="I6556" i="58"/>
  <c r="J6556" i="58" s="1"/>
  <c r="O6555" i="58"/>
  <c r="P6555" i="58" s="1"/>
  <c r="J6555" i="58"/>
  <c r="I6555" i="58"/>
  <c r="O6554" i="58"/>
  <c r="P6554" i="58" s="1"/>
  <c r="I6554" i="58"/>
  <c r="J6554" i="58" s="1"/>
  <c r="O6553" i="58"/>
  <c r="P6553" i="58" s="1"/>
  <c r="I6553" i="58"/>
  <c r="J6553" i="58" s="1"/>
  <c r="O6552" i="58"/>
  <c r="P6552" i="58" s="1"/>
  <c r="I6552" i="58"/>
  <c r="J6552" i="58" s="1"/>
  <c r="P6551" i="58"/>
  <c r="O6551" i="58"/>
  <c r="I6551" i="58"/>
  <c r="J6551" i="58" s="1"/>
  <c r="O6550" i="58"/>
  <c r="P6550" i="58" s="1"/>
  <c r="J6550" i="58"/>
  <c r="I6550" i="58"/>
  <c r="O6549" i="58"/>
  <c r="P6549" i="58" s="1"/>
  <c r="I6549" i="58"/>
  <c r="J6549" i="58" s="1"/>
  <c r="O6548" i="58"/>
  <c r="P6548" i="58" s="1"/>
  <c r="I6548" i="58"/>
  <c r="J6548" i="58" s="1"/>
  <c r="O6547" i="58"/>
  <c r="P6547" i="58" s="1"/>
  <c r="I6547" i="58"/>
  <c r="J6547" i="58" s="1"/>
  <c r="P6546" i="58"/>
  <c r="O6546" i="58"/>
  <c r="I6546" i="58"/>
  <c r="J6546" i="58" s="1"/>
  <c r="O6545" i="58"/>
  <c r="P6545" i="58" s="1"/>
  <c r="O6544" i="58"/>
  <c r="P6544" i="58" s="1"/>
  <c r="Q6544" i="58" s="1"/>
  <c r="Q6543" i="58" s="1"/>
  <c r="R6543" i="58" s="1"/>
  <c r="N6544" i="58"/>
  <c r="O6543" i="58"/>
  <c r="P6543" i="58" s="1"/>
  <c r="L6543" i="58"/>
  <c r="L6529" i="58" s="1"/>
  <c r="K6543" i="58"/>
  <c r="O6542" i="58"/>
  <c r="P6542" i="58" s="1"/>
  <c r="O6541" i="58"/>
  <c r="P6541" i="58" s="1"/>
  <c r="I6541" i="58"/>
  <c r="J6541" i="58" s="1"/>
  <c r="O6540" i="58"/>
  <c r="P6540" i="58" s="1"/>
  <c r="I6540" i="58"/>
  <c r="J6540" i="58" s="1"/>
  <c r="P6539" i="58"/>
  <c r="O6539" i="58"/>
  <c r="I6539" i="58"/>
  <c r="J6539" i="58" s="1"/>
  <c r="O6538" i="58"/>
  <c r="P6538" i="58" s="1"/>
  <c r="I6538" i="58"/>
  <c r="J6538" i="58" s="1"/>
  <c r="P6537" i="58"/>
  <c r="O6537" i="58"/>
  <c r="I6537" i="58"/>
  <c r="J6537" i="58" s="1"/>
  <c r="P6536" i="58"/>
  <c r="O6536" i="58"/>
  <c r="I6536" i="58"/>
  <c r="J6536" i="58" s="1"/>
  <c r="O6535" i="58"/>
  <c r="P6535" i="58" s="1"/>
  <c r="I6535" i="58"/>
  <c r="J6535" i="58" s="1"/>
  <c r="O6534" i="58"/>
  <c r="P6534" i="58" s="1"/>
  <c r="I6534" i="58"/>
  <c r="J6534" i="58" s="1"/>
  <c r="P6533" i="58"/>
  <c r="O6533" i="58"/>
  <c r="I6533" i="58"/>
  <c r="J6533" i="58" s="1"/>
  <c r="O6532" i="58"/>
  <c r="P6532" i="58" s="1"/>
  <c r="I6532" i="58"/>
  <c r="J6532" i="58" s="1"/>
  <c r="O6531" i="58"/>
  <c r="P6531" i="58" s="1"/>
  <c r="I6531" i="58"/>
  <c r="J6531" i="58" s="1"/>
  <c r="O6530" i="58"/>
  <c r="P6530" i="58" s="1"/>
  <c r="O6529" i="58"/>
  <c r="P6529" i="58" s="1"/>
  <c r="Q6529" i="58" s="1"/>
  <c r="N6529" i="58"/>
  <c r="O6528" i="58"/>
  <c r="P6528" i="58" s="1"/>
  <c r="K6528" i="58"/>
  <c r="L6528" i="58" s="1"/>
  <c r="L6514" i="58" s="1"/>
  <c r="P6527" i="58"/>
  <c r="O6527" i="58"/>
  <c r="O6526" i="58"/>
  <c r="P6526" i="58" s="1"/>
  <c r="I6526" i="58"/>
  <c r="J6526" i="58" s="1"/>
  <c r="O6525" i="58"/>
  <c r="P6525" i="58" s="1"/>
  <c r="I6525" i="58"/>
  <c r="J6525" i="58" s="1"/>
  <c r="O6524" i="58"/>
  <c r="P6524" i="58" s="1"/>
  <c r="I6524" i="58"/>
  <c r="J6524" i="58" s="1"/>
  <c r="O6523" i="58"/>
  <c r="P6523" i="58" s="1"/>
  <c r="J6523" i="58"/>
  <c r="I6523" i="58"/>
  <c r="O6522" i="58"/>
  <c r="P6522" i="58" s="1"/>
  <c r="I6522" i="58"/>
  <c r="J6522" i="58" s="1"/>
  <c r="O6521" i="58"/>
  <c r="P6521" i="58" s="1"/>
  <c r="I6521" i="58"/>
  <c r="J6521" i="58" s="1"/>
  <c r="P6520" i="58"/>
  <c r="O6520" i="58"/>
  <c r="I6520" i="58"/>
  <c r="J6520" i="58" s="1"/>
  <c r="P6519" i="58"/>
  <c r="O6519" i="58"/>
  <c r="I6519" i="58"/>
  <c r="J6519" i="58" s="1"/>
  <c r="O6518" i="58"/>
  <c r="P6518" i="58" s="1"/>
  <c r="I6518" i="58"/>
  <c r="J6518" i="58" s="1"/>
  <c r="P6517" i="58"/>
  <c r="O6517" i="58"/>
  <c r="I6517" i="58"/>
  <c r="J6517" i="58" s="1"/>
  <c r="P6516" i="58"/>
  <c r="O6516" i="58"/>
  <c r="I6516" i="58"/>
  <c r="J6516" i="58" s="1"/>
  <c r="O6515" i="58"/>
  <c r="P6515" i="58" s="1"/>
  <c r="O6514" i="58"/>
  <c r="P6514" i="58" s="1"/>
  <c r="Q6514" i="58" s="1"/>
  <c r="N6514" i="58"/>
  <c r="O6513" i="58"/>
  <c r="P6513" i="58" s="1"/>
  <c r="K6513" i="58"/>
  <c r="L6513" i="58" s="1"/>
  <c r="L6507" i="58" s="1"/>
  <c r="O6512" i="58"/>
  <c r="P6512" i="58" s="1"/>
  <c r="O6511" i="58"/>
  <c r="P6511" i="58" s="1"/>
  <c r="J6511" i="58"/>
  <c r="I6511" i="58"/>
  <c r="O6510" i="58"/>
  <c r="P6510" i="58" s="1"/>
  <c r="I6510" i="58"/>
  <c r="J6510" i="58" s="1"/>
  <c r="O6509" i="58"/>
  <c r="P6509" i="58" s="1"/>
  <c r="I6509" i="58"/>
  <c r="J6509" i="58" s="1"/>
  <c r="O6508" i="58"/>
  <c r="P6508" i="58" s="1"/>
  <c r="O6507" i="58"/>
  <c r="P6507" i="58" s="1"/>
  <c r="Q6507" i="58" s="1"/>
  <c r="N6507" i="58"/>
  <c r="P6506" i="58"/>
  <c r="O6506" i="58"/>
  <c r="K6506" i="58"/>
  <c r="L6506" i="58" s="1"/>
  <c r="L6500" i="58" s="1"/>
  <c r="P6505" i="58"/>
  <c r="O6505" i="58"/>
  <c r="P6504" i="58"/>
  <c r="O6504" i="58"/>
  <c r="I6504" i="58"/>
  <c r="J6504" i="58" s="1"/>
  <c r="O6503" i="58"/>
  <c r="P6503" i="58" s="1"/>
  <c r="I6503" i="58"/>
  <c r="J6503" i="58" s="1"/>
  <c r="P6502" i="58"/>
  <c r="O6502" i="58"/>
  <c r="I6502" i="58"/>
  <c r="J6502" i="58" s="1"/>
  <c r="O6501" i="58"/>
  <c r="P6501" i="58" s="1"/>
  <c r="P6500" i="58"/>
  <c r="Q6500" i="58" s="1"/>
  <c r="O6500" i="58"/>
  <c r="N6500" i="58"/>
  <c r="O6499" i="58"/>
  <c r="P6499" i="58" s="1"/>
  <c r="K6499" i="58"/>
  <c r="L6499" i="58" s="1"/>
  <c r="L6493" i="58" s="1"/>
  <c r="O6498" i="58"/>
  <c r="P6498" i="58" s="1"/>
  <c r="P6497" i="58"/>
  <c r="O6497" i="58"/>
  <c r="I6497" i="58"/>
  <c r="J6497" i="58" s="1"/>
  <c r="O6496" i="58"/>
  <c r="P6496" i="58" s="1"/>
  <c r="I6496" i="58"/>
  <c r="J6496" i="58" s="1"/>
  <c r="O6495" i="58"/>
  <c r="P6495" i="58" s="1"/>
  <c r="I6495" i="58"/>
  <c r="J6495" i="58" s="1"/>
  <c r="P6494" i="58"/>
  <c r="O6494" i="58"/>
  <c r="O6493" i="58"/>
  <c r="P6493" i="58" s="1"/>
  <c r="Q6493" i="58" s="1"/>
  <c r="N6493" i="58"/>
  <c r="O6492" i="58"/>
  <c r="P6492" i="58" s="1"/>
  <c r="K6492" i="58"/>
  <c r="L6492" i="58" s="1"/>
  <c r="L6486" i="58" s="1"/>
  <c r="O6491" i="58"/>
  <c r="P6491" i="58" s="1"/>
  <c r="P6490" i="58"/>
  <c r="O6490" i="58"/>
  <c r="I6490" i="58"/>
  <c r="J6490" i="58" s="1"/>
  <c r="O6489" i="58"/>
  <c r="P6489" i="58" s="1"/>
  <c r="I6489" i="58"/>
  <c r="J6489" i="58" s="1"/>
  <c r="O6488" i="58"/>
  <c r="P6488" i="58" s="1"/>
  <c r="I6488" i="58"/>
  <c r="J6488" i="58" s="1"/>
  <c r="P6487" i="58"/>
  <c r="O6487" i="58"/>
  <c r="O6486" i="58"/>
  <c r="P6486" i="58" s="1"/>
  <c r="Q6486" i="58" s="1"/>
  <c r="N6486" i="58"/>
  <c r="O6485" i="58"/>
  <c r="P6485" i="58" s="1"/>
  <c r="Q6485" i="58" s="1"/>
  <c r="K6485" i="58"/>
  <c r="L6485" i="58" s="1"/>
  <c r="L6479" i="58" s="1"/>
  <c r="O6484" i="58"/>
  <c r="P6484" i="58" s="1"/>
  <c r="O6483" i="58"/>
  <c r="P6483" i="58" s="1"/>
  <c r="I6483" i="58"/>
  <c r="J6483" i="58" s="1"/>
  <c r="O6482" i="58"/>
  <c r="P6482" i="58" s="1"/>
  <c r="I6482" i="58"/>
  <c r="J6482" i="58" s="1"/>
  <c r="O6481" i="58"/>
  <c r="P6481" i="58" s="1"/>
  <c r="I6481" i="58"/>
  <c r="J6481" i="58" s="1"/>
  <c r="O6480" i="58"/>
  <c r="P6480" i="58" s="1"/>
  <c r="O6479" i="58"/>
  <c r="P6479" i="58" s="1"/>
  <c r="Q6479" i="58" s="1"/>
  <c r="N6479" i="58"/>
  <c r="O6478" i="58"/>
  <c r="P6478" i="58" s="1"/>
  <c r="K6478" i="58"/>
  <c r="L6478" i="58" s="1"/>
  <c r="L6472" i="58" s="1"/>
  <c r="G42" i="63" s="1"/>
  <c r="M42" i="63" s="1"/>
  <c r="M39" i="63" s="1"/>
  <c r="O6477" i="58"/>
  <c r="P6477" i="58" s="1"/>
  <c r="P6476" i="58"/>
  <c r="O6476" i="58"/>
  <c r="I6476" i="58"/>
  <c r="J6476" i="58" s="1"/>
  <c r="O6475" i="58"/>
  <c r="P6475" i="58" s="1"/>
  <c r="I6475" i="58"/>
  <c r="J6475" i="58" s="1"/>
  <c r="O6474" i="58"/>
  <c r="P6474" i="58" s="1"/>
  <c r="I6474" i="58"/>
  <c r="J6474" i="58" s="1"/>
  <c r="O6473" i="58"/>
  <c r="P6473" i="58" s="1"/>
  <c r="O6472" i="58"/>
  <c r="P6472" i="58" s="1"/>
  <c r="Q6472" i="58" s="1"/>
  <c r="N6472" i="58"/>
  <c r="P6471" i="58"/>
  <c r="O6471" i="58"/>
  <c r="K6471" i="58"/>
  <c r="L6471" i="58" s="1"/>
  <c r="L6465" i="58" s="1"/>
  <c r="O6470" i="58"/>
  <c r="P6470" i="58" s="1"/>
  <c r="P6469" i="58"/>
  <c r="O6469" i="58"/>
  <c r="I6469" i="58"/>
  <c r="J6469" i="58" s="1"/>
  <c r="O6468" i="58"/>
  <c r="P6468" i="58" s="1"/>
  <c r="I6468" i="58"/>
  <c r="J6468" i="58" s="1"/>
  <c r="O6467" i="58"/>
  <c r="P6467" i="58" s="1"/>
  <c r="I6467" i="58"/>
  <c r="J6467" i="58" s="1"/>
  <c r="P6466" i="58"/>
  <c r="O6466" i="58"/>
  <c r="Q6465" i="58"/>
  <c r="O6465" i="58"/>
  <c r="P6465" i="58" s="1"/>
  <c r="N6465" i="58"/>
  <c r="O6464" i="58"/>
  <c r="P6464" i="58" s="1"/>
  <c r="K6464" i="58"/>
  <c r="L6464" i="58" s="1"/>
  <c r="L6458" i="58" s="1"/>
  <c r="O6463" i="58"/>
  <c r="P6463" i="58" s="1"/>
  <c r="P6462" i="58"/>
  <c r="O6462" i="58"/>
  <c r="I6462" i="58"/>
  <c r="J6462" i="58" s="1"/>
  <c r="O6461" i="58"/>
  <c r="P6461" i="58" s="1"/>
  <c r="I6461" i="58"/>
  <c r="J6461" i="58" s="1"/>
  <c r="O6460" i="58"/>
  <c r="P6460" i="58" s="1"/>
  <c r="I6460" i="58"/>
  <c r="J6460" i="58" s="1"/>
  <c r="P6459" i="58"/>
  <c r="O6459" i="58"/>
  <c r="P6458" i="58"/>
  <c r="Q6458" i="58" s="1"/>
  <c r="O6458" i="58"/>
  <c r="N6458" i="58"/>
  <c r="O6457" i="58"/>
  <c r="P6457" i="58" s="1"/>
  <c r="Q6457" i="58" s="1"/>
  <c r="K6457" i="58"/>
  <c r="L6457" i="58" s="1"/>
  <c r="L6451" i="58" s="1"/>
  <c r="O6456" i="58"/>
  <c r="P6456" i="58" s="1"/>
  <c r="O6455" i="58"/>
  <c r="P6455" i="58" s="1"/>
  <c r="I6455" i="58"/>
  <c r="J6455" i="58" s="1"/>
  <c r="O6454" i="58"/>
  <c r="P6454" i="58" s="1"/>
  <c r="I6454" i="58"/>
  <c r="J6454" i="58" s="1"/>
  <c r="O6453" i="58"/>
  <c r="P6453" i="58" s="1"/>
  <c r="J6453" i="58"/>
  <c r="I6453" i="58"/>
  <c r="O6452" i="58"/>
  <c r="P6452" i="58" s="1"/>
  <c r="P6451" i="58"/>
  <c r="Q6451" i="58" s="1"/>
  <c r="O6451" i="58"/>
  <c r="N6451" i="58"/>
  <c r="P6450" i="58"/>
  <c r="O6450" i="58"/>
  <c r="K6450" i="58"/>
  <c r="L6450" i="58" s="1"/>
  <c r="L6444" i="58" s="1"/>
  <c r="O6449" i="58"/>
  <c r="P6449" i="58" s="1"/>
  <c r="O6448" i="58"/>
  <c r="P6448" i="58" s="1"/>
  <c r="I6448" i="58"/>
  <c r="J6448" i="58" s="1"/>
  <c r="O6447" i="58"/>
  <c r="P6447" i="58" s="1"/>
  <c r="I6447" i="58"/>
  <c r="J6447" i="58" s="1"/>
  <c r="P6446" i="58"/>
  <c r="O6446" i="58"/>
  <c r="I6446" i="58"/>
  <c r="J6446" i="58" s="1"/>
  <c r="P6445" i="58"/>
  <c r="O6445" i="58"/>
  <c r="O6444" i="58"/>
  <c r="P6444" i="58" s="1"/>
  <c r="Q6444" i="58" s="1"/>
  <c r="N6444" i="58"/>
  <c r="O6443" i="58"/>
  <c r="P6443" i="58" s="1"/>
  <c r="K6443" i="58"/>
  <c r="L6443" i="58" s="1"/>
  <c r="L6437" i="58" s="1"/>
  <c r="O6442" i="58"/>
  <c r="P6442" i="58" s="1"/>
  <c r="O6441" i="58"/>
  <c r="P6441" i="58" s="1"/>
  <c r="I6441" i="58"/>
  <c r="J6441" i="58" s="1"/>
  <c r="P6440" i="58"/>
  <c r="O6440" i="58"/>
  <c r="I6440" i="58"/>
  <c r="J6440" i="58" s="1"/>
  <c r="O6439" i="58"/>
  <c r="P6439" i="58" s="1"/>
  <c r="I6439" i="58"/>
  <c r="J6439" i="58" s="1"/>
  <c r="O6438" i="58"/>
  <c r="P6438" i="58" s="1"/>
  <c r="O6437" i="58"/>
  <c r="P6437" i="58" s="1"/>
  <c r="Q6437" i="58" s="1"/>
  <c r="N6437" i="58"/>
  <c r="O6436" i="58"/>
  <c r="P6436" i="58" s="1"/>
  <c r="K6436" i="58"/>
  <c r="L6436" i="58" s="1"/>
  <c r="L6430" i="58" s="1"/>
  <c r="P6435" i="58"/>
  <c r="O6435" i="58"/>
  <c r="O6434" i="58"/>
  <c r="P6434" i="58" s="1"/>
  <c r="I6434" i="58"/>
  <c r="J6434" i="58" s="1"/>
  <c r="O6433" i="58"/>
  <c r="P6433" i="58" s="1"/>
  <c r="I6433" i="58"/>
  <c r="J6433" i="58" s="1"/>
  <c r="O6432" i="58"/>
  <c r="P6432" i="58" s="1"/>
  <c r="I6432" i="58"/>
  <c r="J6432" i="58" s="1"/>
  <c r="O6431" i="58"/>
  <c r="P6431" i="58" s="1"/>
  <c r="O6430" i="58"/>
  <c r="P6430" i="58" s="1"/>
  <c r="Q6430" i="58" s="1"/>
  <c r="N6430" i="58"/>
  <c r="O6429" i="58"/>
  <c r="P6429" i="58" s="1"/>
  <c r="K6429" i="58"/>
  <c r="L6429" i="58" s="1"/>
  <c r="L6423" i="58" s="1"/>
  <c r="O6428" i="58"/>
  <c r="P6428" i="58" s="1"/>
  <c r="O6427" i="58"/>
  <c r="P6427" i="58" s="1"/>
  <c r="I6427" i="58"/>
  <c r="J6427" i="58" s="1"/>
  <c r="O6426" i="58"/>
  <c r="P6426" i="58" s="1"/>
  <c r="I6426" i="58"/>
  <c r="J6426" i="58" s="1"/>
  <c r="O6425" i="58"/>
  <c r="P6425" i="58" s="1"/>
  <c r="I6425" i="58"/>
  <c r="J6425" i="58" s="1"/>
  <c r="J6423" i="58" s="1"/>
  <c r="O6424" i="58"/>
  <c r="P6424" i="58" s="1"/>
  <c r="O6423" i="58"/>
  <c r="P6423" i="58" s="1"/>
  <c r="Q6423" i="58" s="1"/>
  <c r="N6423" i="58"/>
  <c r="O6422" i="58"/>
  <c r="P6422" i="58" s="1"/>
  <c r="Q6422" i="58" s="1"/>
  <c r="R6422" i="58" s="1"/>
  <c r="L6422" i="58"/>
  <c r="K6422" i="58"/>
  <c r="O6421" i="58"/>
  <c r="P6421" i="58" s="1"/>
  <c r="O6420" i="58"/>
  <c r="P6420" i="58" s="1"/>
  <c r="I6420" i="58"/>
  <c r="J6420" i="58" s="1"/>
  <c r="P6419" i="58"/>
  <c r="O6419" i="58"/>
  <c r="I6419" i="58"/>
  <c r="J6419" i="58" s="1"/>
  <c r="O6418" i="58"/>
  <c r="P6418" i="58" s="1"/>
  <c r="I6418" i="58"/>
  <c r="J6418" i="58" s="1"/>
  <c r="O6417" i="58"/>
  <c r="P6417" i="58" s="1"/>
  <c r="O6416" i="58"/>
  <c r="P6416" i="58" s="1"/>
  <c r="Q6416" i="58" s="1"/>
  <c r="N6416" i="58"/>
  <c r="L6416" i="58"/>
  <c r="O6415" i="58"/>
  <c r="P6415" i="58" s="1"/>
  <c r="K6415" i="58"/>
  <c r="L6415" i="58" s="1"/>
  <c r="L6403" i="58" s="1"/>
  <c r="O6414" i="58"/>
  <c r="P6414" i="58" s="1"/>
  <c r="O6413" i="58"/>
  <c r="P6413" i="58" s="1"/>
  <c r="I6413" i="58"/>
  <c r="J6413" i="58" s="1"/>
  <c r="O6412" i="58"/>
  <c r="P6412" i="58" s="1"/>
  <c r="J6412" i="58"/>
  <c r="I6412" i="58"/>
  <c r="O6411" i="58"/>
  <c r="P6411" i="58" s="1"/>
  <c r="I6411" i="58"/>
  <c r="J6411" i="58" s="1"/>
  <c r="O6410" i="58"/>
  <c r="P6410" i="58" s="1"/>
  <c r="I6410" i="58"/>
  <c r="J6410" i="58" s="1"/>
  <c r="O6409" i="58"/>
  <c r="P6409" i="58" s="1"/>
  <c r="I6409" i="58"/>
  <c r="J6409" i="58" s="1"/>
  <c r="O6408" i="58"/>
  <c r="P6408" i="58" s="1"/>
  <c r="I6408" i="58"/>
  <c r="J6408" i="58" s="1"/>
  <c r="O6407" i="58"/>
  <c r="P6407" i="58" s="1"/>
  <c r="I6407" i="58"/>
  <c r="J6407" i="58" s="1"/>
  <c r="O6406" i="58"/>
  <c r="P6406" i="58" s="1"/>
  <c r="I6406" i="58"/>
  <c r="J6406" i="58" s="1"/>
  <c r="O6405" i="58"/>
  <c r="P6405" i="58" s="1"/>
  <c r="I6405" i="58"/>
  <c r="J6405" i="58" s="1"/>
  <c r="O6404" i="58"/>
  <c r="P6404" i="58" s="1"/>
  <c r="Q6403" i="58"/>
  <c r="O6403" i="58"/>
  <c r="P6403" i="58" s="1"/>
  <c r="N6403" i="58"/>
  <c r="O6402" i="58"/>
  <c r="P6402" i="58" s="1"/>
  <c r="K6402" i="58"/>
  <c r="L6402" i="58" s="1"/>
  <c r="L6390" i="58" s="1"/>
  <c r="O6401" i="58"/>
  <c r="P6401" i="58" s="1"/>
  <c r="O6400" i="58"/>
  <c r="P6400" i="58" s="1"/>
  <c r="I6400" i="58"/>
  <c r="J6400" i="58" s="1"/>
  <c r="O6399" i="58"/>
  <c r="P6399" i="58" s="1"/>
  <c r="I6399" i="58"/>
  <c r="J6399" i="58" s="1"/>
  <c r="P6398" i="58"/>
  <c r="O6398" i="58"/>
  <c r="I6398" i="58"/>
  <c r="J6398" i="58" s="1"/>
  <c r="O6397" i="58"/>
  <c r="P6397" i="58" s="1"/>
  <c r="I6397" i="58"/>
  <c r="J6397" i="58" s="1"/>
  <c r="O6396" i="58"/>
  <c r="P6396" i="58" s="1"/>
  <c r="I6396" i="58"/>
  <c r="J6396" i="58" s="1"/>
  <c r="O6395" i="58"/>
  <c r="P6395" i="58" s="1"/>
  <c r="I6395" i="58"/>
  <c r="J6395" i="58" s="1"/>
  <c r="O6394" i="58"/>
  <c r="P6394" i="58" s="1"/>
  <c r="I6394" i="58"/>
  <c r="J6394" i="58" s="1"/>
  <c r="O6393" i="58"/>
  <c r="P6393" i="58" s="1"/>
  <c r="I6393" i="58"/>
  <c r="J6393" i="58" s="1"/>
  <c r="O6392" i="58"/>
  <c r="P6392" i="58" s="1"/>
  <c r="I6392" i="58"/>
  <c r="J6392" i="58" s="1"/>
  <c r="O6391" i="58"/>
  <c r="P6391" i="58" s="1"/>
  <c r="P6390" i="58"/>
  <c r="Q6390" i="58" s="1"/>
  <c r="Q6389" i="58" s="1"/>
  <c r="R6389" i="58" s="1"/>
  <c r="O6390" i="58"/>
  <c r="N6390" i="58"/>
  <c r="O6389" i="58"/>
  <c r="P6389" i="58" s="1"/>
  <c r="K6389" i="58"/>
  <c r="L6389" i="58" s="1"/>
  <c r="L6377" i="58" s="1"/>
  <c r="O6388" i="58"/>
  <c r="P6388" i="58" s="1"/>
  <c r="Q6388" i="58" s="1"/>
  <c r="R6388" i="58" s="1"/>
  <c r="O6387" i="58"/>
  <c r="P6387" i="58" s="1"/>
  <c r="I6387" i="58"/>
  <c r="J6387" i="58" s="1"/>
  <c r="O6386" i="58"/>
  <c r="P6386" i="58" s="1"/>
  <c r="I6386" i="58"/>
  <c r="J6386" i="58" s="1"/>
  <c r="O6385" i="58"/>
  <c r="P6385" i="58" s="1"/>
  <c r="I6385" i="58"/>
  <c r="J6385" i="58" s="1"/>
  <c r="O6384" i="58"/>
  <c r="P6384" i="58" s="1"/>
  <c r="I6384" i="58"/>
  <c r="J6384" i="58" s="1"/>
  <c r="O6383" i="58"/>
  <c r="P6383" i="58" s="1"/>
  <c r="I6383" i="58"/>
  <c r="J6383" i="58" s="1"/>
  <c r="O6382" i="58"/>
  <c r="P6382" i="58" s="1"/>
  <c r="I6382" i="58"/>
  <c r="J6382" i="58" s="1"/>
  <c r="O6381" i="58"/>
  <c r="P6381" i="58" s="1"/>
  <c r="I6381" i="58"/>
  <c r="J6381" i="58" s="1"/>
  <c r="O6380" i="58"/>
  <c r="P6380" i="58" s="1"/>
  <c r="I6380" i="58"/>
  <c r="J6380" i="58" s="1"/>
  <c r="O6379" i="58"/>
  <c r="P6379" i="58" s="1"/>
  <c r="I6379" i="58"/>
  <c r="J6379" i="58" s="1"/>
  <c r="O6378" i="58"/>
  <c r="P6378" i="58" s="1"/>
  <c r="O6377" i="58"/>
  <c r="P6377" i="58" s="1"/>
  <c r="Q6377" i="58" s="1"/>
  <c r="N6377" i="58"/>
  <c r="O6376" i="58"/>
  <c r="P6376" i="58" s="1"/>
  <c r="K6376" i="58"/>
  <c r="L6376" i="58" s="1"/>
  <c r="L6364" i="58" s="1"/>
  <c r="P6375" i="58"/>
  <c r="O6375" i="58"/>
  <c r="O6374" i="58"/>
  <c r="P6374" i="58" s="1"/>
  <c r="I6374" i="58"/>
  <c r="J6374" i="58" s="1"/>
  <c r="P6373" i="58"/>
  <c r="O6373" i="58"/>
  <c r="J6373" i="58"/>
  <c r="I6373" i="58"/>
  <c r="O6372" i="58"/>
  <c r="P6372" i="58" s="1"/>
  <c r="I6372" i="58"/>
  <c r="J6372" i="58" s="1"/>
  <c r="O6371" i="58"/>
  <c r="P6371" i="58" s="1"/>
  <c r="I6371" i="58"/>
  <c r="J6371" i="58" s="1"/>
  <c r="O6370" i="58"/>
  <c r="P6370" i="58" s="1"/>
  <c r="I6370" i="58"/>
  <c r="J6370" i="58" s="1"/>
  <c r="O6369" i="58"/>
  <c r="P6369" i="58" s="1"/>
  <c r="I6369" i="58"/>
  <c r="J6369" i="58" s="1"/>
  <c r="P6368" i="58"/>
  <c r="O6368" i="58"/>
  <c r="J6368" i="58"/>
  <c r="I6368" i="58"/>
  <c r="O6367" i="58"/>
  <c r="P6367" i="58" s="1"/>
  <c r="I6367" i="58"/>
  <c r="J6367" i="58" s="1"/>
  <c r="O6366" i="58"/>
  <c r="P6366" i="58" s="1"/>
  <c r="I6366" i="58"/>
  <c r="J6366" i="58" s="1"/>
  <c r="O6365" i="58"/>
  <c r="P6365" i="58" s="1"/>
  <c r="O6364" i="58"/>
  <c r="P6364" i="58" s="1"/>
  <c r="Q6364" i="58" s="1"/>
  <c r="N6364" i="58"/>
  <c r="O6363" i="58"/>
  <c r="P6363" i="58" s="1"/>
  <c r="K6363" i="58"/>
  <c r="L6363" i="58" s="1"/>
  <c r="L6351" i="58" s="1"/>
  <c r="O6362" i="58"/>
  <c r="P6362" i="58" s="1"/>
  <c r="O6361" i="58"/>
  <c r="P6361" i="58" s="1"/>
  <c r="I6361" i="58"/>
  <c r="J6361" i="58" s="1"/>
  <c r="O6360" i="58"/>
  <c r="P6360" i="58" s="1"/>
  <c r="I6360" i="58"/>
  <c r="J6360" i="58" s="1"/>
  <c r="P6359" i="58"/>
  <c r="O6359" i="58"/>
  <c r="I6359" i="58"/>
  <c r="J6359" i="58" s="1"/>
  <c r="O6358" i="58"/>
  <c r="P6358" i="58" s="1"/>
  <c r="J6358" i="58"/>
  <c r="I6358" i="58"/>
  <c r="P6357" i="58"/>
  <c r="O6357" i="58"/>
  <c r="I6357" i="58"/>
  <c r="J6357" i="58" s="1"/>
  <c r="P6356" i="58"/>
  <c r="O6356" i="58"/>
  <c r="I6356" i="58"/>
  <c r="J6356" i="58" s="1"/>
  <c r="O6355" i="58"/>
  <c r="P6355" i="58" s="1"/>
  <c r="I6355" i="58"/>
  <c r="J6355" i="58" s="1"/>
  <c r="O6354" i="58"/>
  <c r="P6354" i="58" s="1"/>
  <c r="I6354" i="58"/>
  <c r="J6354" i="58" s="1"/>
  <c r="O6353" i="58"/>
  <c r="P6353" i="58" s="1"/>
  <c r="I6353" i="58"/>
  <c r="J6353" i="58" s="1"/>
  <c r="O6352" i="58"/>
  <c r="P6352" i="58" s="1"/>
  <c r="O6351" i="58"/>
  <c r="P6351" i="58" s="1"/>
  <c r="Q6351" i="58" s="1"/>
  <c r="N6351" i="58"/>
  <c r="P6350" i="58"/>
  <c r="O6350" i="58"/>
  <c r="K6350" i="58"/>
  <c r="L6350" i="58" s="1"/>
  <c r="L6338" i="58" s="1"/>
  <c r="O6349" i="58"/>
  <c r="P6349" i="58" s="1"/>
  <c r="O6348" i="58"/>
  <c r="P6348" i="58" s="1"/>
  <c r="I6348" i="58"/>
  <c r="J6348" i="58" s="1"/>
  <c r="P6347" i="58"/>
  <c r="O6347" i="58"/>
  <c r="I6347" i="58"/>
  <c r="J6347" i="58" s="1"/>
  <c r="P6346" i="58"/>
  <c r="O6346" i="58"/>
  <c r="I6346" i="58"/>
  <c r="J6346" i="58" s="1"/>
  <c r="O6345" i="58"/>
  <c r="P6345" i="58" s="1"/>
  <c r="I6345" i="58"/>
  <c r="J6345" i="58" s="1"/>
  <c r="O6344" i="58"/>
  <c r="P6344" i="58" s="1"/>
  <c r="I6344" i="58"/>
  <c r="J6344" i="58" s="1"/>
  <c r="O6343" i="58"/>
  <c r="P6343" i="58" s="1"/>
  <c r="I6343" i="58"/>
  <c r="J6343" i="58" s="1"/>
  <c r="O6342" i="58"/>
  <c r="P6342" i="58" s="1"/>
  <c r="I6342" i="58"/>
  <c r="J6342" i="58" s="1"/>
  <c r="P6341" i="58"/>
  <c r="O6341" i="58"/>
  <c r="I6341" i="58"/>
  <c r="J6341" i="58" s="1"/>
  <c r="O6340" i="58"/>
  <c r="P6340" i="58" s="1"/>
  <c r="I6340" i="58"/>
  <c r="J6340" i="58" s="1"/>
  <c r="O6339" i="58"/>
  <c r="P6339" i="58" s="1"/>
  <c r="O6338" i="58"/>
  <c r="P6338" i="58" s="1"/>
  <c r="Q6338" i="58" s="1"/>
  <c r="N6338" i="58"/>
  <c r="O6337" i="58"/>
  <c r="P6337" i="58" s="1"/>
  <c r="Q6337" i="58" s="1"/>
  <c r="R6337" i="58" s="1"/>
  <c r="K6337" i="58"/>
  <c r="L6337" i="58" s="1"/>
  <c r="L6325" i="58" s="1"/>
  <c r="O6336" i="58"/>
  <c r="P6336" i="58" s="1"/>
  <c r="P6335" i="58"/>
  <c r="O6335" i="58"/>
  <c r="I6335" i="58"/>
  <c r="J6335" i="58" s="1"/>
  <c r="O6334" i="58"/>
  <c r="P6334" i="58" s="1"/>
  <c r="I6334" i="58"/>
  <c r="J6334" i="58" s="1"/>
  <c r="O6333" i="58"/>
  <c r="P6333" i="58" s="1"/>
  <c r="I6333" i="58"/>
  <c r="J6333" i="58" s="1"/>
  <c r="O6332" i="58"/>
  <c r="P6332" i="58" s="1"/>
  <c r="I6332" i="58"/>
  <c r="J6332" i="58" s="1"/>
  <c r="O6331" i="58"/>
  <c r="P6331" i="58" s="1"/>
  <c r="I6331" i="58"/>
  <c r="J6331" i="58" s="1"/>
  <c r="O6330" i="58"/>
  <c r="P6330" i="58" s="1"/>
  <c r="I6330" i="58"/>
  <c r="J6330" i="58" s="1"/>
  <c r="O6329" i="58"/>
  <c r="P6329" i="58" s="1"/>
  <c r="I6329" i="58"/>
  <c r="J6329" i="58" s="1"/>
  <c r="O6328" i="58"/>
  <c r="P6328" i="58" s="1"/>
  <c r="I6328" i="58"/>
  <c r="J6328" i="58" s="1"/>
  <c r="O6327" i="58"/>
  <c r="P6327" i="58" s="1"/>
  <c r="I6327" i="58"/>
  <c r="J6327" i="58" s="1"/>
  <c r="O6326" i="58"/>
  <c r="P6326" i="58" s="1"/>
  <c r="O6325" i="58"/>
  <c r="P6325" i="58" s="1"/>
  <c r="Q6325" i="58" s="1"/>
  <c r="N6325" i="58"/>
  <c r="O6324" i="58"/>
  <c r="P6324" i="58" s="1"/>
  <c r="K6324" i="58"/>
  <c r="L6324" i="58" s="1"/>
  <c r="L6312" i="58" s="1"/>
  <c r="O6323" i="58"/>
  <c r="P6323" i="58" s="1"/>
  <c r="O6322" i="58"/>
  <c r="P6322" i="58" s="1"/>
  <c r="I6322" i="58"/>
  <c r="J6322" i="58" s="1"/>
  <c r="O6321" i="58"/>
  <c r="P6321" i="58" s="1"/>
  <c r="I6321" i="58"/>
  <c r="J6321" i="58" s="1"/>
  <c r="O6320" i="58"/>
  <c r="P6320" i="58" s="1"/>
  <c r="I6320" i="58"/>
  <c r="J6320" i="58" s="1"/>
  <c r="O6319" i="58"/>
  <c r="P6319" i="58" s="1"/>
  <c r="I6319" i="58"/>
  <c r="J6319" i="58" s="1"/>
  <c r="P6318" i="58"/>
  <c r="O6318" i="58"/>
  <c r="I6318" i="58"/>
  <c r="J6318" i="58" s="1"/>
  <c r="O6317" i="58"/>
  <c r="P6317" i="58" s="1"/>
  <c r="I6317" i="58"/>
  <c r="J6317" i="58" s="1"/>
  <c r="O6316" i="58"/>
  <c r="P6316" i="58" s="1"/>
  <c r="J6316" i="58"/>
  <c r="I6316" i="58"/>
  <c r="O6315" i="58"/>
  <c r="P6315" i="58" s="1"/>
  <c r="I6315" i="58"/>
  <c r="J6315" i="58" s="1"/>
  <c r="O6314" i="58"/>
  <c r="P6314" i="58" s="1"/>
  <c r="I6314" i="58"/>
  <c r="J6314" i="58" s="1"/>
  <c r="O6313" i="58"/>
  <c r="P6313" i="58" s="1"/>
  <c r="O6312" i="58"/>
  <c r="P6312" i="58" s="1"/>
  <c r="Q6312" i="58" s="1"/>
  <c r="N6312" i="58"/>
  <c r="O6311" i="58"/>
  <c r="P6311" i="58" s="1"/>
  <c r="K6311" i="58"/>
  <c r="L6311" i="58" s="1"/>
  <c r="L6299" i="58" s="1"/>
  <c r="O6310" i="58"/>
  <c r="P6310" i="58" s="1"/>
  <c r="O6309" i="58"/>
  <c r="P6309" i="58" s="1"/>
  <c r="I6309" i="58"/>
  <c r="J6309" i="58" s="1"/>
  <c r="P6308" i="58"/>
  <c r="O6308" i="58"/>
  <c r="I6308" i="58"/>
  <c r="J6308" i="58" s="1"/>
  <c r="O6307" i="58"/>
  <c r="P6307" i="58" s="1"/>
  <c r="I6307" i="58"/>
  <c r="J6307" i="58" s="1"/>
  <c r="O6306" i="58"/>
  <c r="P6306" i="58" s="1"/>
  <c r="I6306" i="58"/>
  <c r="J6306" i="58" s="1"/>
  <c r="O6305" i="58"/>
  <c r="P6305" i="58" s="1"/>
  <c r="I6305" i="58"/>
  <c r="J6305" i="58" s="1"/>
  <c r="O6304" i="58"/>
  <c r="P6304" i="58" s="1"/>
  <c r="I6304" i="58"/>
  <c r="J6304" i="58" s="1"/>
  <c r="O6303" i="58"/>
  <c r="P6303" i="58" s="1"/>
  <c r="I6303" i="58"/>
  <c r="J6303" i="58" s="1"/>
  <c r="O6302" i="58"/>
  <c r="P6302" i="58" s="1"/>
  <c r="I6302" i="58"/>
  <c r="J6302" i="58" s="1"/>
  <c r="P6301" i="58"/>
  <c r="O6301" i="58"/>
  <c r="I6301" i="58"/>
  <c r="J6301" i="58" s="1"/>
  <c r="O6300" i="58"/>
  <c r="P6300" i="58" s="1"/>
  <c r="O6299" i="58"/>
  <c r="P6299" i="58" s="1"/>
  <c r="Q6299" i="58" s="1"/>
  <c r="N6299" i="58"/>
  <c r="O6298" i="58"/>
  <c r="P6298" i="58" s="1"/>
  <c r="Q6298" i="58" s="1"/>
  <c r="R6298" i="58" s="1"/>
  <c r="K6298" i="58"/>
  <c r="L6298" i="58" s="1"/>
  <c r="L6286" i="58" s="1"/>
  <c r="P6297" i="58"/>
  <c r="Q6297" i="58" s="1"/>
  <c r="R6297" i="58" s="1"/>
  <c r="O6297" i="58"/>
  <c r="P6296" i="58"/>
  <c r="O6296" i="58"/>
  <c r="I6296" i="58"/>
  <c r="J6296" i="58" s="1"/>
  <c r="O6295" i="58"/>
  <c r="P6295" i="58" s="1"/>
  <c r="I6295" i="58"/>
  <c r="J6295" i="58" s="1"/>
  <c r="O6294" i="58"/>
  <c r="P6294" i="58" s="1"/>
  <c r="I6294" i="58"/>
  <c r="J6294" i="58" s="1"/>
  <c r="P6293" i="58"/>
  <c r="O6293" i="58"/>
  <c r="I6293" i="58"/>
  <c r="J6293" i="58" s="1"/>
  <c r="O6292" i="58"/>
  <c r="P6292" i="58" s="1"/>
  <c r="I6292" i="58"/>
  <c r="J6292" i="58" s="1"/>
  <c r="O6291" i="58"/>
  <c r="P6291" i="58" s="1"/>
  <c r="I6291" i="58"/>
  <c r="J6291" i="58" s="1"/>
  <c r="O6290" i="58"/>
  <c r="P6290" i="58" s="1"/>
  <c r="I6290" i="58"/>
  <c r="J6290" i="58" s="1"/>
  <c r="O6289" i="58"/>
  <c r="P6289" i="58" s="1"/>
  <c r="I6289" i="58"/>
  <c r="J6289" i="58" s="1"/>
  <c r="P6288" i="58"/>
  <c r="O6288" i="58"/>
  <c r="I6288" i="58"/>
  <c r="J6288" i="58" s="1"/>
  <c r="O6287" i="58"/>
  <c r="P6287" i="58" s="1"/>
  <c r="O6286" i="58"/>
  <c r="P6286" i="58" s="1"/>
  <c r="Q6286" i="58" s="1"/>
  <c r="N6286" i="58"/>
  <c r="O6285" i="58"/>
  <c r="P6285" i="58" s="1"/>
  <c r="K6285" i="58"/>
  <c r="L6285" i="58" s="1"/>
  <c r="O6284" i="58"/>
  <c r="P6284" i="58" s="1"/>
  <c r="O6283" i="58"/>
  <c r="P6283" i="58" s="1"/>
  <c r="I6283" i="58"/>
  <c r="J6283" i="58" s="1"/>
  <c r="P6282" i="58"/>
  <c r="O6282" i="58"/>
  <c r="I6282" i="58"/>
  <c r="J6282" i="58" s="1"/>
  <c r="O6281" i="58"/>
  <c r="P6281" i="58" s="1"/>
  <c r="I6281" i="58"/>
  <c r="J6281" i="58" s="1"/>
  <c r="O6280" i="58"/>
  <c r="P6280" i="58" s="1"/>
  <c r="I6280" i="58"/>
  <c r="J6280" i="58" s="1"/>
  <c r="O6279" i="58"/>
  <c r="P6279" i="58" s="1"/>
  <c r="I6279" i="58"/>
  <c r="J6279" i="58" s="1"/>
  <c r="O6278" i="58"/>
  <c r="P6278" i="58" s="1"/>
  <c r="I6278" i="58"/>
  <c r="J6278" i="58" s="1"/>
  <c r="O6277" i="58"/>
  <c r="P6277" i="58" s="1"/>
  <c r="I6277" i="58"/>
  <c r="J6277" i="58" s="1"/>
  <c r="O6276" i="58"/>
  <c r="P6276" i="58" s="1"/>
  <c r="I6276" i="58"/>
  <c r="J6276" i="58" s="1"/>
  <c r="P6275" i="58"/>
  <c r="O6275" i="58"/>
  <c r="I6275" i="58"/>
  <c r="J6275" i="58" s="1"/>
  <c r="O6274" i="58"/>
  <c r="P6274" i="58" s="1"/>
  <c r="P6273" i="58"/>
  <c r="Q6273" i="58" s="1"/>
  <c r="O6273" i="58"/>
  <c r="N6273" i="58"/>
  <c r="L6273" i="58"/>
  <c r="O6272" i="58"/>
  <c r="P6272" i="58" s="1"/>
  <c r="Q6272" i="58" s="1"/>
  <c r="K6272" i="58"/>
  <c r="L6272" i="58" s="1"/>
  <c r="L6260" i="58" s="1"/>
  <c r="O6271" i="58"/>
  <c r="P6271" i="58" s="1"/>
  <c r="O6270" i="58"/>
  <c r="P6270" i="58" s="1"/>
  <c r="I6270" i="58"/>
  <c r="J6270" i="58" s="1"/>
  <c r="O6269" i="58"/>
  <c r="P6269" i="58" s="1"/>
  <c r="I6269" i="58"/>
  <c r="J6269" i="58" s="1"/>
  <c r="O6268" i="58"/>
  <c r="P6268" i="58" s="1"/>
  <c r="I6268" i="58"/>
  <c r="J6268" i="58" s="1"/>
  <c r="P6267" i="58"/>
  <c r="O6267" i="58"/>
  <c r="I6267" i="58"/>
  <c r="J6267" i="58" s="1"/>
  <c r="O6266" i="58"/>
  <c r="P6266" i="58" s="1"/>
  <c r="J6266" i="58"/>
  <c r="I6266" i="58"/>
  <c r="O6265" i="58"/>
  <c r="P6265" i="58" s="1"/>
  <c r="I6265" i="58"/>
  <c r="J6265" i="58" s="1"/>
  <c r="O6264" i="58"/>
  <c r="P6264" i="58" s="1"/>
  <c r="I6264" i="58"/>
  <c r="J6264" i="58" s="1"/>
  <c r="O6263" i="58"/>
  <c r="P6263" i="58" s="1"/>
  <c r="I6263" i="58"/>
  <c r="J6263" i="58" s="1"/>
  <c r="O6262" i="58"/>
  <c r="P6262" i="58" s="1"/>
  <c r="I6262" i="58"/>
  <c r="J6262" i="58" s="1"/>
  <c r="O6261" i="58"/>
  <c r="P6261" i="58" s="1"/>
  <c r="O6260" i="58"/>
  <c r="P6260" i="58" s="1"/>
  <c r="Q6260" i="58" s="1"/>
  <c r="N6260" i="58"/>
  <c r="O6259" i="58"/>
  <c r="P6259" i="58" s="1"/>
  <c r="K6259" i="58"/>
  <c r="L6259" i="58" s="1"/>
  <c r="O6258" i="58"/>
  <c r="P6258" i="58" s="1"/>
  <c r="O6257" i="58"/>
  <c r="P6257" i="58" s="1"/>
  <c r="I6257" i="58"/>
  <c r="J6257" i="58" s="1"/>
  <c r="O6256" i="58"/>
  <c r="P6256" i="58" s="1"/>
  <c r="I6256" i="58"/>
  <c r="J6256" i="58" s="1"/>
  <c r="O6255" i="58"/>
  <c r="P6255" i="58" s="1"/>
  <c r="I6255" i="58"/>
  <c r="J6255" i="58" s="1"/>
  <c r="O6254" i="58"/>
  <c r="P6254" i="58" s="1"/>
  <c r="I6254" i="58"/>
  <c r="J6254" i="58" s="1"/>
  <c r="O6253" i="58"/>
  <c r="P6253" i="58" s="1"/>
  <c r="I6253" i="58"/>
  <c r="J6253" i="58" s="1"/>
  <c r="O6252" i="58"/>
  <c r="P6252" i="58" s="1"/>
  <c r="I6252" i="58"/>
  <c r="J6252" i="58" s="1"/>
  <c r="O6251" i="58"/>
  <c r="P6251" i="58" s="1"/>
  <c r="I6251" i="58"/>
  <c r="J6251" i="58" s="1"/>
  <c r="O6250" i="58"/>
  <c r="P6250" i="58" s="1"/>
  <c r="I6250" i="58"/>
  <c r="J6250" i="58" s="1"/>
  <c r="P6249" i="58"/>
  <c r="O6249" i="58"/>
  <c r="I6249" i="58"/>
  <c r="J6249" i="58" s="1"/>
  <c r="O6248" i="58"/>
  <c r="P6248" i="58" s="1"/>
  <c r="O6247" i="58"/>
  <c r="P6247" i="58" s="1"/>
  <c r="Q6247" i="58" s="1"/>
  <c r="N6247" i="58"/>
  <c r="L6247" i="58"/>
  <c r="P6246" i="58"/>
  <c r="Q6246" i="58" s="1"/>
  <c r="R6246" i="58" s="1"/>
  <c r="O6246" i="58"/>
  <c r="K6246" i="58"/>
  <c r="L6246" i="58" s="1"/>
  <c r="L6234" i="58" s="1"/>
  <c r="O6245" i="58"/>
  <c r="P6245" i="58" s="1"/>
  <c r="O6244" i="58"/>
  <c r="P6244" i="58" s="1"/>
  <c r="I6244" i="58"/>
  <c r="J6244" i="58" s="1"/>
  <c r="P6243" i="58"/>
  <c r="O6243" i="58"/>
  <c r="I6243" i="58"/>
  <c r="J6243" i="58" s="1"/>
  <c r="O6242" i="58"/>
  <c r="P6242" i="58" s="1"/>
  <c r="I6242" i="58"/>
  <c r="J6242" i="58" s="1"/>
  <c r="O6241" i="58"/>
  <c r="P6241" i="58" s="1"/>
  <c r="I6241" i="58"/>
  <c r="J6241" i="58" s="1"/>
  <c r="O6240" i="58"/>
  <c r="P6240" i="58" s="1"/>
  <c r="I6240" i="58"/>
  <c r="J6240" i="58" s="1"/>
  <c r="O6239" i="58"/>
  <c r="P6239" i="58" s="1"/>
  <c r="I6239" i="58"/>
  <c r="J6239" i="58" s="1"/>
  <c r="O6238" i="58"/>
  <c r="P6238" i="58" s="1"/>
  <c r="I6238" i="58"/>
  <c r="J6238" i="58" s="1"/>
  <c r="O6237" i="58"/>
  <c r="P6237" i="58" s="1"/>
  <c r="I6237" i="58"/>
  <c r="J6237" i="58" s="1"/>
  <c r="O6236" i="58"/>
  <c r="P6236" i="58" s="1"/>
  <c r="I6236" i="58"/>
  <c r="J6236" i="58" s="1"/>
  <c r="O6235" i="58"/>
  <c r="P6235" i="58" s="1"/>
  <c r="O6234" i="58"/>
  <c r="P6234" i="58" s="1"/>
  <c r="Q6234" i="58" s="1"/>
  <c r="N6234" i="58"/>
  <c r="O6233" i="58"/>
  <c r="P6233" i="58" s="1"/>
  <c r="K6233" i="58"/>
  <c r="L6233" i="58" s="1"/>
  <c r="L6221" i="58" s="1"/>
  <c r="O6232" i="58"/>
  <c r="P6232" i="58" s="1"/>
  <c r="P6231" i="58"/>
  <c r="O6231" i="58"/>
  <c r="I6231" i="58"/>
  <c r="J6231" i="58" s="1"/>
  <c r="O6230" i="58"/>
  <c r="P6230" i="58" s="1"/>
  <c r="I6230" i="58"/>
  <c r="J6230" i="58" s="1"/>
  <c r="O6229" i="58"/>
  <c r="P6229" i="58" s="1"/>
  <c r="I6229" i="58"/>
  <c r="J6229" i="58" s="1"/>
  <c r="O6228" i="58"/>
  <c r="P6228" i="58" s="1"/>
  <c r="I6228" i="58"/>
  <c r="J6228" i="58" s="1"/>
  <c r="O6227" i="58"/>
  <c r="P6227" i="58" s="1"/>
  <c r="I6227" i="58"/>
  <c r="J6227" i="58" s="1"/>
  <c r="O6226" i="58"/>
  <c r="P6226" i="58" s="1"/>
  <c r="I6226" i="58"/>
  <c r="J6226" i="58" s="1"/>
  <c r="O6225" i="58"/>
  <c r="P6225" i="58" s="1"/>
  <c r="I6225" i="58"/>
  <c r="J6225" i="58" s="1"/>
  <c r="O6224" i="58"/>
  <c r="P6224" i="58" s="1"/>
  <c r="I6224" i="58"/>
  <c r="J6224" i="58" s="1"/>
  <c r="O6223" i="58"/>
  <c r="P6223" i="58" s="1"/>
  <c r="I6223" i="58"/>
  <c r="J6223" i="58" s="1"/>
  <c r="P6222" i="58"/>
  <c r="O6222" i="58"/>
  <c r="O6221" i="58"/>
  <c r="P6221" i="58" s="1"/>
  <c r="Q6221" i="58" s="1"/>
  <c r="N6221" i="58"/>
  <c r="P6220" i="58"/>
  <c r="Q6220" i="58" s="1"/>
  <c r="R6220" i="58" s="1"/>
  <c r="O6220" i="58"/>
  <c r="L6220" i="58"/>
  <c r="L6208" i="58" s="1"/>
  <c r="K6220" i="58"/>
  <c r="O6219" i="58"/>
  <c r="P6219" i="58" s="1"/>
  <c r="Q6219" i="58" s="1"/>
  <c r="R6219" i="58" s="1"/>
  <c r="O6218" i="58"/>
  <c r="P6218" i="58" s="1"/>
  <c r="I6218" i="58"/>
  <c r="J6218" i="58" s="1"/>
  <c r="O6217" i="58"/>
  <c r="P6217" i="58" s="1"/>
  <c r="I6217" i="58"/>
  <c r="J6217" i="58" s="1"/>
  <c r="O6216" i="58"/>
  <c r="P6216" i="58" s="1"/>
  <c r="I6216" i="58"/>
  <c r="J6216" i="58" s="1"/>
  <c r="P6215" i="58"/>
  <c r="O6215" i="58"/>
  <c r="I6215" i="58"/>
  <c r="J6215" i="58" s="1"/>
  <c r="O6214" i="58"/>
  <c r="P6214" i="58" s="1"/>
  <c r="I6214" i="58"/>
  <c r="J6214" i="58" s="1"/>
  <c r="O6213" i="58"/>
  <c r="P6213" i="58" s="1"/>
  <c r="I6213" i="58"/>
  <c r="J6213" i="58" s="1"/>
  <c r="O6212" i="58"/>
  <c r="P6212" i="58" s="1"/>
  <c r="I6212" i="58"/>
  <c r="J6212" i="58" s="1"/>
  <c r="P6211" i="58"/>
  <c r="O6211" i="58"/>
  <c r="I6211" i="58"/>
  <c r="J6211" i="58" s="1"/>
  <c r="O6210" i="58"/>
  <c r="P6210" i="58" s="1"/>
  <c r="I6210" i="58"/>
  <c r="J6210" i="58" s="1"/>
  <c r="O6209" i="58"/>
  <c r="P6209" i="58" s="1"/>
  <c r="O6208" i="58"/>
  <c r="P6208" i="58" s="1"/>
  <c r="Q6208" i="58" s="1"/>
  <c r="N6208" i="58"/>
  <c r="O6207" i="58"/>
  <c r="P6207" i="58" s="1"/>
  <c r="K6207" i="58"/>
  <c r="L6207" i="58" s="1"/>
  <c r="L6195" i="58" s="1"/>
  <c r="P6206" i="58"/>
  <c r="O6206" i="58"/>
  <c r="O6205" i="58"/>
  <c r="P6205" i="58" s="1"/>
  <c r="I6205" i="58"/>
  <c r="J6205" i="58" s="1"/>
  <c r="O6204" i="58"/>
  <c r="P6204" i="58" s="1"/>
  <c r="I6204" i="58"/>
  <c r="J6204" i="58" s="1"/>
  <c r="O6203" i="58"/>
  <c r="P6203" i="58" s="1"/>
  <c r="I6203" i="58"/>
  <c r="J6203" i="58" s="1"/>
  <c r="O6202" i="58"/>
  <c r="P6202" i="58" s="1"/>
  <c r="I6202" i="58"/>
  <c r="J6202" i="58" s="1"/>
  <c r="O6201" i="58"/>
  <c r="P6201" i="58" s="1"/>
  <c r="I6201" i="58"/>
  <c r="J6201" i="58" s="1"/>
  <c r="P6200" i="58"/>
  <c r="O6200" i="58"/>
  <c r="I6200" i="58"/>
  <c r="J6200" i="58" s="1"/>
  <c r="O6199" i="58"/>
  <c r="P6199" i="58" s="1"/>
  <c r="I6199" i="58"/>
  <c r="J6199" i="58" s="1"/>
  <c r="O6198" i="58"/>
  <c r="P6198" i="58" s="1"/>
  <c r="I6198" i="58"/>
  <c r="J6198" i="58" s="1"/>
  <c r="O6197" i="58"/>
  <c r="P6197" i="58" s="1"/>
  <c r="I6197" i="58"/>
  <c r="J6197" i="58" s="1"/>
  <c r="O6196" i="58"/>
  <c r="P6196" i="58" s="1"/>
  <c r="O6195" i="58"/>
  <c r="P6195" i="58" s="1"/>
  <c r="Q6195" i="58" s="1"/>
  <c r="N6195" i="58"/>
  <c r="P6194" i="58"/>
  <c r="O6194" i="58"/>
  <c r="K6194" i="58"/>
  <c r="L6194" i="58" s="1"/>
  <c r="L6182" i="58" s="1"/>
  <c r="O6193" i="58"/>
  <c r="P6193" i="58" s="1"/>
  <c r="O6192" i="58"/>
  <c r="P6192" i="58" s="1"/>
  <c r="I6192" i="58"/>
  <c r="J6192" i="58" s="1"/>
  <c r="O6191" i="58"/>
  <c r="P6191" i="58" s="1"/>
  <c r="I6191" i="58"/>
  <c r="J6191" i="58" s="1"/>
  <c r="O6190" i="58"/>
  <c r="P6190" i="58" s="1"/>
  <c r="I6190" i="58"/>
  <c r="J6190" i="58" s="1"/>
  <c r="O6189" i="58"/>
  <c r="P6189" i="58" s="1"/>
  <c r="I6189" i="58"/>
  <c r="J6189" i="58" s="1"/>
  <c r="O6188" i="58"/>
  <c r="P6188" i="58" s="1"/>
  <c r="I6188" i="58"/>
  <c r="J6188" i="58" s="1"/>
  <c r="O6187" i="58"/>
  <c r="P6187" i="58" s="1"/>
  <c r="I6187" i="58"/>
  <c r="J6187" i="58" s="1"/>
  <c r="O6186" i="58"/>
  <c r="P6186" i="58" s="1"/>
  <c r="I6186" i="58"/>
  <c r="J6186" i="58" s="1"/>
  <c r="O6185" i="58"/>
  <c r="P6185" i="58" s="1"/>
  <c r="J6185" i="58"/>
  <c r="I6185" i="58"/>
  <c r="O6184" i="58"/>
  <c r="P6184" i="58" s="1"/>
  <c r="I6184" i="58"/>
  <c r="J6184" i="58" s="1"/>
  <c r="O6183" i="58"/>
  <c r="P6183" i="58" s="1"/>
  <c r="O6182" i="58"/>
  <c r="P6182" i="58" s="1"/>
  <c r="Q6182" i="58" s="1"/>
  <c r="N6182" i="58"/>
  <c r="O6181" i="58"/>
  <c r="P6181" i="58" s="1"/>
  <c r="K6181" i="58"/>
  <c r="L6181" i="58" s="1"/>
  <c r="L6169" i="58" s="1"/>
  <c r="O6180" i="58"/>
  <c r="P6180" i="58" s="1"/>
  <c r="O6179" i="58"/>
  <c r="P6179" i="58" s="1"/>
  <c r="I6179" i="58"/>
  <c r="J6179" i="58" s="1"/>
  <c r="O6178" i="58"/>
  <c r="P6178" i="58" s="1"/>
  <c r="I6178" i="58"/>
  <c r="J6178" i="58" s="1"/>
  <c r="O6177" i="58"/>
  <c r="P6177" i="58" s="1"/>
  <c r="I6177" i="58"/>
  <c r="J6177" i="58" s="1"/>
  <c r="O6176" i="58"/>
  <c r="P6176" i="58" s="1"/>
  <c r="I6176" i="58"/>
  <c r="J6176" i="58" s="1"/>
  <c r="O6175" i="58"/>
  <c r="P6175" i="58" s="1"/>
  <c r="I6175" i="58"/>
  <c r="J6175" i="58" s="1"/>
  <c r="P6174" i="58"/>
  <c r="O6174" i="58"/>
  <c r="I6174" i="58"/>
  <c r="J6174" i="58" s="1"/>
  <c r="O6173" i="58"/>
  <c r="P6173" i="58" s="1"/>
  <c r="I6173" i="58"/>
  <c r="J6173" i="58" s="1"/>
  <c r="O6172" i="58"/>
  <c r="P6172" i="58" s="1"/>
  <c r="I6172" i="58"/>
  <c r="J6172" i="58" s="1"/>
  <c r="O6171" i="58"/>
  <c r="P6171" i="58" s="1"/>
  <c r="I6171" i="58"/>
  <c r="J6171" i="58" s="1"/>
  <c r="P6170" i="58"/>
  <c r="O6170" i="58"/>
  <c r="O6169" i="58"/>
  <c r="P6169" i="58" s="1"/>
  <c r="Q6169" i="58" s="1"/>
  <c r="N6169" i="58"/>
  <c r="O6168" i="58"/>
  <c r="P6168" i="58" s="1"/>
  <c r="K6168" i="58"/>
  <c r="L6168" i="58" s="1"/>
  <c r="L6156" i="58" s="1"/>
  <c r="P6167" i="58"/>
  <c r="O6167" i="58"/>
  <c r="O6166" i="58"/>
  <c r="P6166" i="58" s="1"/>
  <c r="I6166" i="58"/>
  <c r="J6166" i="58" s="1"/>
  <c r="O6165" i="58"/>
  <c r="P6165" i="58" s="1"/>
  <c r="I6165" i="58"/>
  <c r="J6165" i="58" s="1"/>
  <c r="O6164" i="58"/>
  <c r="P6164" i="58" s="1"/>
  <c r="I6164" i="58"/>
  <c r="J6164" i="58" s="1"/>
  <c r="O6163" i="58"/>
  <c r="P6163" i="58" s="1"/>
  <c r="I6163" i="58"/>
  <c r="J6163" i="58" s="1"/>
  <c r="O6162" i="58"/>
  <c r="P6162" i="58" s="1"/>
  <c r="I6162" i="58"/>
  <c r="J6162" i="58" s="1"/>
  <c r="O6161" i="58"/>
  <c r="P6161" i="58" s="1"/>
  <c r="I6161" i="58"/>
  <c r="J6161" i="58" s="1"/>
  <c r="P6160" i="58"/>
  <c r="O6160" i="58"/>
  <c r="I6160" i="58"/>
  <c r="J6160" i="58" s="1"/>
  <c r="O6159" i="58"/>
  <c r="P6159" i="58" s="1"/>
  <c r="I6159" i="58"/>
  <c r="J6159" i="58" s="1"/>
  <c r="O6158" i="58"/>
  <c r="P6158" i="58" s="1"/>
  <c r="J6158" i="58"/>
  <c r="I6158" i="58"/>
  <c r="P6157" i="58"/>
  <c r="O6157" i="58"/>
  <c r="Q6156" i="58"/>
  <c r="O6156" i="58"/>
  <c r="P6156" i="58" s="1"/>
  <c r="N6156" i="58"/>
  <c r="O6155" i="58"/>
  <c r="P6155" i="58" s="1"/>
  <c r="Q6155" i="58" s="1"/>
  <c r="R6155" i="58" s="1"/>
  <c r="K6155" i="58"/>
  <c r="L6155" i="58" s="1"/>
  <c r="L6143" i="58" s="1"/>
  <c r="O6154" i="58"/>
  <c r="P6154" i="58" s="1"/>
  <c r="O6153" i="58"/>
  <c r="P6153" i="58" s="1"/>
  <c r="J6153" i="58"/>
  <c r="I6153" i="58"/>
  <c r="O6152" i="58"/>
  <c r="P6152" i="58" s="1"/>
  <c r="I6152" i="58"/>
  <c r="J6152" i="58" s="1"/>
  <c r="O6151" i="58"/>
  <c r="P6151" i="58" s="1"/>
  <c r="I6151" i="58"/>
  <c r="J6151" i="58" s="1"/>
  <c r="O6150" i="58"/>
  <c r="P6150" i="58" s="1"/>
  <c r="I6150" i="58"/>
  <c r="J6150" i="58" s="1"/>
  <c r="O6149" i="58"/>
  <c r="P6149" i="58" s="1"/>
  <c r="I6149" i="58"/>
  <c r="J6149" i="58" s="1"/>
  <c r="O6148" i="58"/>
  <c r="P6148" i="58" s="1"/>
  <c r="I6148" i="58"/>
  <c r="J6148" i="58" s="1"/>
  <c r="O6147" i="58"/>
  <c r="P6147" i="58" s="1"/>
  <c r="I6147" i="58"/>
  <c r="J6147" i="58" s="1"/>
  <c r="O6146" i="58"/>
  <c r="P6146" i="58" s="1"/>
  <c r="I6146" i="58"/>
  <c r="J6146" i="58" s="1"/>
  <c r="O6145" i="58"/>
  <c r="P6145" i="58" s="1"/>
  <c r="I6145" i="58"/>
  <c r="J6145" i="58" s="1"/>
  <c r="O6144" i="58"/>
  <c r="P6144" i="58" s="1"/>
  <c r="O6143" i="58"/>
  <c r="P6143" i="58" s="1"/>
  <c r="Q6143" i="58" s="1"/>
  <c r="N6143" i="58"/>
  <c r="O6142" i="58"/>
  <c r="P6142" i="58" s="1"/>
  <c r="Q6142" i="58" s="1"/>
  <c r="R6142" i="58" s="1"/>
  <c r="K6142" i="58"/>
  <c r="L6142" i="58" s="1"/>
  <c r="L6130" i="58" s="1"/>
  <c r="O6141" i="58"/>
  <c r="P6141" i="58" s="1"/>
  <c r="P6140" i="58"/>
  <c r="O6140" i="58"/>
  <c r="I6140" i="58"/>
  <c r="J6140" i="58" s="1"/>
  <c r="P6139" i="58"/>
  <c r="O6139" i="58"/>
  <c r="I6139" i="58"/>
  <c r="J6139" i="58" s="1"/>
  <c r="O6138" i="58"/>
  <c r="P6138" i="58" s="1"/>
  <c r="I6138" i="58"/>
  <c r="J6138" i="58" s="1"/>
  <c r="O6137" i="58"/>
  <c r="P6137" i="58" s="1"/>
  <c r="I6137" i="58"/>
  <c r="J6137" i="58" s="1"/>
  <c r="P6136" i="58"/>
  <c r="O6136" i="58"/>
  <c r="I6136" i="58"/>
  <c r="J6136" i="58" s="1"/>
  <c r="P6135" i="58"/>
  <c r="O6135" i="58"/>
  <c r="I6135" i="58"/>
  <c r="J6135" i="58" s="1"/>
  <c r="P6134" i="58"/>
  <c r="O6134" i="58"/>
  <c r="I6134" i="58"/>
  <c r="J6134" i="58" s="1"/>
  <c r="P6133" i="58"/>
  <c r="O6133" i="58"/>
  <c r="J6133" i="58"/>
  <c r="I6133" i="58"/>
  <c r="O6132" i="58"/>
  <c r="P6132" i="58" s="1"/>
  <c r="I6132" i="58"/>
  <c r="J6132" i="58" s="1"/>
  <c r="O6131" i="58"/>
  <c r="P6131" i="58" s="1"/>
  <c r="O6130" i="58"/>
  <c r="P6130" i="58" s="1"/>
  <c r="Q6130" i="58" s="1"/>
  <c r="N6130" i="58"/>
  <c r="O6129" i="58"/>
  <c r="P6129" i="58" s="1"/>
  <c r="K6129" i="58"/>
  <c r="L6129" i="58" s="1"/>
  <c r="L6117" i="58" s="1"/>
  <c r="O6128" i="58"/>
  <c r="P6128" i="58" s="1"/>
  <c r="O6127" i="58"/>
  <c r="P6127" i="58" s="1"/>
  <c r="I6127" i="58"/>
  <c r="J6127" i="58" s="1"/>
  <c r="P6126" i="58"/>
  <c r="O6126" i="58"/>
  <c r="I6126" i="58"/>
  <c r="J6126" i="58" s="1"/>
  <c r="O6125" i="58"/>
  <c r="P6125" i="58" s="1"/>
  <c r="I6125" i="58"/>
  <c r="J6125" i="58" s="1"/>
  <c r="P6124" i="58"/>
  <c r="O6124" i="58"/>
  <c r="I6124" i="58"/>
  <c r="J6124" i="58" s="1"/>
  <c r="O6123" i="58"/>
  <c r="P6123" i="58" s="1"/>
  <c r="I6123" i="58"/>
  <c r="J6123" i="58" s="1"/>
  <c r="O6122" i="58"/>
  <c r="P6122" i="58" s="1"/>
  <c r="I6122" i="58"/>
  <c r="J6122" i="58" s="1"/>
  <c r="O6121" i="58"/>
  <c r="P6121" i="58" s="1"/>
  <c r="I6121" i="58"/>
  <c r="J6121" i="58" s="1"/>
  <c r="O6120" i="58"/>
  <c r="P6120" i="58" s="1"/>
  <c r="I6120" i="58"/>
  <c r="J6120" i="58" s="1"/>
  <c r="O6119" i="58"/>
  <c r="P6119" i="58" s="1"/>
  <c r="I6119" i="58"/>
  <c r="J6119" i="58" s="1"/>
  <c r="P6118" i="58"/>
  <c r="O6118" i="58"/>
  <c r="O6117" i="58"/>
  <c r="P6117" i="58" s="1"/>
  <c r="Q6117" i="58" s="1"/>
  <c r="N6117" i="58"/>
  <c r="O6116" i="58"/>
  <c r="P6116" i="58" s="1"/>
  <c r="K6116" i="58"/>
  <c r="L6116" i="58" s="1"/>
  <c r="L6104" i="58" s="1"/>
  <c r="O6115" i="58"/>
  <c r="P6115" i="58" s="1"/>
  <c r="P6114" i="58"/>
  <c r="O6114" i="58"/>
  <c r="I6114" i="58"/>
  <c r="J6114" i="58" s="1"/>
  <c r="O6113" i="58"/>
  <c r="P6113" i="58" s="1"/>
  <c r="J6113" i="58"/>
  <c r="I6113" i="58"/>
  <c r="P6112" i="58"/>
  <c r="O6112" i="58"/>
  <c r="I6112" i="58"/>
  <c r="J6112" i="58" s="1"/>
  <c r="O6111" i="58"/>
  <c r="P6111" i="58" s="1"/>
  <c r="I6111" i="58"/>
  <c r="J6111" i="58" s="1"/>
  <c r="O6110" i="58"/>
  <c r="P6110" i="58" s="1"/>
  <c r="I6110" i="58"/>
  <c r="J6110" i="58" s="1"/>
  <c r="O6109" i="58"/>
  <c r="P6109" i="58" s="1"/>
  <c r="I6109" i="58"/>
  <c r="J6109" i="58" s="1"/>
  <c r="P6108" i="58"/>
  <c r="O6108" i="58"/>
  <c r="J6108" i="58"/>
  <c r="I6108" i="58"/>
  <c r="P6107" i="58"/>
  <c r="O6107" i="58"/>
  <c r="I6107" i="58"/>
  <c r="J6107" i="58" s="1"/>
  <c r="O6106" i="58"/>
  <c r="P6106" i="58" s="1"/>
  <c r="I6106" i="58"/>
  <c r="J6106" i="58" s="1"/>
  <c r="O6105" i="58"/>
  <c r="P6105" i="58" s="1"/>
  <c r="O6104" i="58"/>
  <c r="P6104" i="58" s="1"/>
  <c r="Q6104" i="58" s="1"/>
  <c r="N6104" i="58"/>
  <c r="O6103" i="58"/>
  <c r="P6103" i="58" s="1"/>
  <c r="Q6103" i="58" s="1"/>
  <c r="R6103" i="58" s="1"/>
  <c r="K6103" i="58"/>
  <c r="L6103" i="58" s="1"/>
  <c r="L6091" i="58" s="1"/>
  <c r="O6102" i="58"/>
  <c r="P6102" i="58" s="1"/>
  <c r="O6101" i="58"/>
  <c r="P6101" i="58" s="1"/>
  <c r="I6101" i="58"/>
  <c r="J6101" i="58" s="1"/>
  <c r="O6100" i="58"/>
  <c r="P6100" i="58" s="1"/>
  <c r="I6100" i="58"/>
  <c r="J6100" i="58" s="1"/>
  <c r="P6099" i="58"/>
  <c r="O6099" i="58"/>
  <c r="I6099" i="58"/>
  <c r="J6099" i="58" s="1"/>
  <c r="O6098" i="58"/>
  <c r="P6098" i="58" s="1"/>
  <c r="I6098" i="58"/>
  <c r="J6098" i="58" s="1"/>
  <c r="O6097" i="58"/>
  <c r="P6097" i="58" s="1"/>
  <c r="I6097" i="58"/>
  <c r="J6097" i="58" s="1"/>
  <c r="O6096" i="58"/>
  <c r="P6096" i="58" s="1"/>
  <c r="I6096" i="58"/>
  <c r="J6096" i="58" s="1"/>
  <c r="O6095" i="58"/>
  <c r="P6095" i="58" s="1"/>
  <c r="I6095" i="58"/>
  <c r="J6095" i="58" s="1"/>
  <c r="O6094" i="58"/>
  <c r="P6094" i="58" s="1"/>
  <c r="I6094" i="58"/>
  <c r="J6094" i="58" s="1"/>
  <c r="O6093" i="58"/>
  <c r="P6093" i="58" s="1"/>
  <c r="I6093" i="58"/>
  <c r="J6093" i="58" s="1"/>
  <c r="O6092" i="58"/>
  <c r="P6092" i="58" s="1"/>
  <c r="O6091" i="58"/>
  <c r="P6091" i="58" s="1"/>
  <c r="Q6091" i="58" s="1"/>
  <c r="N6091" i="58"/>
  <c r="O6090" i="58"/>
  <c r="P6090" i="58" s="1"/>
  <c r="K6090" i="58"/>
  <c r="L6090" i="58" s="1"/>
  <c r="L6078" i="58" s="1"/>
  <c r="O6089" i="58"/>
  <c r="P6089" i="58" s="1"/>
  <c r="P6088" i="58"/>
  <c r="O6088" i="58"/>
  <c r="I6088" i="58"/>
  <c r="J6088" i="58" s="1"/>
  <c r="O6087" i="58"/>
  <c r="P6087" i="58" s="1"/>
  <c r="I6087" i="58"/>
  <c r="J6087" i="58" s="1"/>
  <c r="O6086" i="58"/>
  <c r="P6086" i="58" s="1"/>
  <c r="I6086" i="58"/>
  <c r="J6086" i="58" s="1"/>
  <c r="O6085" i="58"/>
  <c r="P6085" i="58" s="1"/>
  <c r="I6085" i="58"/>
  <c r="J6085" i="58" s="1"/>
  <c r="O6084" i="58"/>
  <c r="P6084" i="58" s="1"/>
  <c r="I6084" i="58"/>
  <c r="J6084" i="58" s="1"/>
  <c r="O6083" i="58"/>
  <c r="P6083" i="58" s="1"/>
  <c r="I6083" i="58"/>
  <c r="J6083" i="58" s="1"/>
  <c r="O6082" i="58"/>
  <c r="P6082" i="58" s="1"/>
  <c r="I6082" i="58"/>
  <c r="J6082" i="58" s="1"/>
  <c r="P6081" i="58"/>
  <c r="O6081" i="58"/>
  <c r="I6081" i="58"/>
  <c r="J6081" i="58" s="1"/>
  <c r="O6080" i="58"/>
  <c r="P6080" i="58" s="1"/>
  <c r="I6080" i="58"/>
  <c r="J6080" i="58" s="1"/>
  <c r="P6079" i="58"/>
  <c r="O6079" i="58"/>
  <c r="Q6078" i="58"/>
  <c r="O6078" i="58"/>
  <c r="P6078" i="58" s="1"/>
  <c r="N6078" i="58"/>
  <c r="P6077" i="58"/>
  <c r="O6077" i="58"/>
  <c r="K6077" i="58"/>
  <c r="L6077" i="58" s="1"/>
  <c r="L6065" i="58" s="1"/>
  <c r="O6076" i="58"/>
  <c r="P6076" i="58" s="1"/>
  <c r="P6075" i="58"/>
  <c r="O6075" i="58"/>
  <c r="I6075" i="58"/>
  <c r="J6075" i="58" s="1"/>
  <c r="O6074" i="58"/>
  <c r="P6074" i="58" s="1"/>
  <c r="I6074" i="58"/>
  <c r="J6074" i="58" s="1"/>
  <c r="P6073" i="58"/>
  <c r="O6073" i="58"/>
  <c r="I6073" i="58"/>
  <c r="J6073" i="58" s="1"/>
  <c r="O6072" i="58"/>
  <c r="P6072" i="58" s="1"/>
  <c r="I6072" i="58"/>
  <c r="J6072" i="58" s="1"/>
  <c r="O6071" i="58"/>
  <c r="P6071" i="58" s="1"/>
  <c r="I6071" i="58"/>
  <c r="J6071" i="58" s="1"/>
  <c r="P6070" i="58"/>
  <c r="O6070" i="58"/>
  <c r="I6070" i="58"/>
  <c r="J6070" i="58" s="1"/>
  <c r="O6069" i="58"/>
  <c r="P6069" i="58" s="1"/>
  <c r="I6069" i="58"/>
  <c r="J6069" i="58" s="1"/>
  <c r="O6068" i="58"/>
  <c r="P6068" i="58" s="1"/>
  <c r="I6068" i="58"/>
  <c r="J6068" i="58" s="1"/>
  <c r="O6067" i="58"/>
  <c r="P6067" i="58" s="1"/>
  <c r="J6067" i="58"/>
  <c r="I6067" i="58"/>
  <c r="O6066" i="58"/>
  <c r="P6066" i="58" s="1"/>
  <c r="O6065" i="58"/>
  <c r="P6065" i="58" s="1"/>
  <c r="Q6065" i="58" s="1"/>
  <c r="N6065" i="58"/>
  <c r="O6064" i="58"/>
  <c r="P6064" i="58" s="1"/>
  <c r="K6064" i="58"/>
  <c r="L6064" i="58" s="1"/>
  <c r="L6052" i="58" s="1"/>
  <c r="O6063" i="58"/>
  <c r="P6063" i="58" s="1"/>
  <c r="P6062" i="58"/>
  <c r="O6062" i="58"/>
  <c r="I6062" i="58"/>
  <c r="J6062" i="58" s="1"/>
  <c r="O6061" i="58"/>
  <c r="P6061" i="58" s="1"/>
  <c r="I6061" i="58"/>
  <c r="J6061" i="58" s="1"/>
  <c r="P6060" i="58"/>
  <c r="O6060" i="58"/>
  <c r="I6060" i="58"/>
  <c r="J6060" i="58" s="1"/>
  <c r="O6059" i="58"/>
  <c r="P6059" i="58" s="1"/>
  <c r="I6059" i="58"/>
  <c r="J6059" i="58" s="1"/>
  <c r="O6058" i="58"/>
  <c r="P6058" i="58" s="1"/>
  <c r="I6058" i="58"/>
  <c r="J6058" i="58" s="1"/>
  <c r="P6057" i="58"/>
  <c r="O6057" i="58"/>
  <c r="I6057" i="58"/>
  <c r="J6057" i="58" s="1"/>
  <c r="O6056" i="58"/>
  <c r="P6056" i="58" s="1"/>
  <c r="J6056" i="58"/>
  <c r="I6056" i="58"/>
  <c r="O6055" i="58"/>
  <c r="P6055" i="58" s="1"/>
  <c r="J6055" i="58"/>
  <c r="I6055" i="58"/>
  <c r="O6054" i="58"/>
  <c r="P6054" i="58" s="1"/>
  <c r="I6054" i="58"/>
  <c r="J6054" i="58" s="1"/>
  <c r="P6053" i="58"/>
  <c r="O6053" i="58"/>
  <c r="O6052" i="58"/>
  <c r="P6052" i="58" s="1"/>
  <c r="Q6052" i="58" s="1"/>
  <c r="N6052" i="58"/>
  <c r="O6051" i="58"/>
  <c r="P6051" i="58" s="1"/>
  <c r="K6051" i="58"/>
  <c r="L6051" i="58" s="1"/>
  <c r="L6045" i="58" s="1"/>
  <c r="P6050" i="58"/>
  <c r="O6050" i="58"/>
  <c r="P6049" i="58"/>
  <c r="O6049" i="58"/>
  <c r="I6049" i="58"/>
  <c r="J6049" i="58" s="1"/>
  <c r="O6048" i="58"/>
  <c r="P6048" i="58" s="1"/>
  <c r="I6048" i="58"/>
  <c r="J6048" i="58" s="1"/>
  <c r="O6047" i="58"/>
  <c r="P6047" i="58" s="1"/>
  <c r="I6047" i="58"/>
  <c r="J6047" i="58" s="1"/>
  <c r="O6046" i="58"/>
  <c r="P6046" i="58" s="1"/>
  <c r="O6045" i="58"/>
  <c r="P6045" i="58" s="1"/>
  <c r="Q6045" i="58" s="1"/>
  <c r="N6045" i="58"/>
  <c r="O6044" i="58"/>
  <c r="P6044" i="58" s="1"/>
  <c r="K6044" i="58"/>
  <c r="L6044" i="58" s="1"/>
  <c r="L6038" i="58" s="1"/>
  <c r="P6043" i="58"/>
  <c r="O6043" i="58"/>
  <c r="O6042" i="58"/>
  <c r="P6042" i="58" s="1"/>
  <c r="I6042" i="58"/>
  <c r="J6042" i="58" s="1"/>
  <c r="O6041" i="58"/>
  <c r="P6041" i="58" s="1"/>
  <c r="I6041" i="58"/>
  <c r="J6041" i="58" s="1"/>
  <c r="P6040" i="58"/>
  <c r="O6040" i="58"/>
  <c r="I6040" i="58"/>
  <c r="J6040" i="58" s="1"/>
  <c r="O6039" i="58"/>
  <c r="P6039" i="58" s="1"/>
  <c r="O6038" i="58"/>
  <c r="P6038" i="58" s="1"/>
  <c r="Q6038" i="58" s="1"/>
  <c r="N6038" i="58"/>
  <c r="O6037" i="58"/>
  <c r="P6037" i="58" s="1"/>
  <c r="L6037" i="58"/>
  <c r="L6031" i="58" s="1"/>
  <c r="K6037" i="58"/>
  <c r="O6036" i="58"/>
  <c r="P6036" i="58" s="1"/>
  <c r="O6035" i="58"/>
  <c r="P6035" i="58" s="1"/>
  <c r="I6035" i="58"/>
  <c r="J6035" i="58" s="1"/>
  <c r="O6034" i="58"/>
  <c r="P6034" i="58" s="1"/>
  <c r="J6034" i="58"/>
  <c r="I6034" i="58"/>
  <c r="O6033" i="58"/>
  <c r="P6033" i="58" s="1"/>
  <c r="I6033" i="58"/>
  <c r="J6033" i="58" s="1"/>
  <c r="O6032" i="58"/>
  <c r="P6032" i="58" s="1"/>
  <c r="O6031" i="58"/>
  <c r="P6031" i="58" s="1"/>
  <c r="Q6031" i="58" s="1"/>
  <c r="N6031" i="58"/>
  <c r="O6030" i="58"/>
  <c r="P6030" i="58" s="1"/>
  <c r="Q6030" i="58" s="1"/>
  <c r="K6030" i="58"/>
  <c r="L6030" i="58" s="1"/>
  <c r="L6024" i="58" s="1"/>
  <c r="O6029" i="58"/>
  <c r="P6029" i="58" s="1"/>
  <c r="O6028" i="58"/>
  <c r="P6028" i="58" s="1"/>
  <c r="I6028" i="58"/>
  <c r="J6028" i="58" s="1"/>
  <c r="O6027" i="58"/>
  <c r="P6027" i="58" s="1"/>
  <c r="I6027" i="58"/>
  <c r="J6027" i="58" s="1"/>
  <c r="P6026" i="58"/>
  <c r="O6026" i="58"/>
  <c r="J6026" i="58"/>
  <c r="I6026" i="58"/>
  <c r="O6025" i="58"/>
  <c r="P6025" i="58" s="1"/>
  <c r="O6024" i="58"/>
  <c r="P6024" i="58" s="1"/>
  <c r="Q6024" i="58" s="1"/>
  <c r="N6024" i="58"/>
  <c r="O6023" i="58"/>
  <c r="P6023" i="58" s="1"/>
  <c r="K6023" i="58"/>
  <c r="L6023" i="58" s="1"/>
  <c r="L6017" i="58" s="1"/>
  <c r="O6022" i="58"/>
  <c r="P6022" i="58" s="1"/>
  <c r="O6021" i="58"/>
  <c r="P6021" i="58" s="1"/>
  <c r="I6021" i="58"/>
  <c r="J6021" i="58" s="1"/>
  <c r="O6020" i="58"/>
  <c r="P6020" i="58" s="1"/>
  <c r="I6020" i="58"/>
  <c r="J6020" i="58" s="1"/>
  <c r="O6019" i="58"/>
  <c r="P6019" i="58" s="1"/>
  <c r="I6019" i="58"/>
  <c r="J6019" i="58" s="1"/>
  <c r="O6018" i="58"/>
  <c r="P6018" i="58" s="1"/>
  <c r="O6017" i="58"/>
  <c r="P6017" i="58" s="1"/>
  <c r="Q6017" i="58" s="1"/>
  <c r="N6017" i="58"/>
  <c r="P6016" i="58"/>
  <c r="O6016" i="58"/>
  <c r="K6016" i="58"/>
  <c r="L6016" i="58" s="1"/>
  <c r="L6010" i="58" s="1"/>
  <c r="O6015" i="58"/>
  <c r="P6015" i="58" s="1"/>
  <c r="O6014" i="58"/>
  <c r="P6014" i="58" s="1"/>
  <c r="I6014" i="58"/>
  <c r="J6014" i="58" s="1"/>
  <c r="O6013" i="58"/>
  <c r="P6013" i="58" s="1"/>
  <c r="I6013" i="58"/>
  <c r="J6013" i="58" s="1"/>
  <c r="O6012" i="58"/>
  <c r="P6012" i="58" s="1"/>
  <c r="J6012" i="58"/>
  <c r="I6012" i="58"/>
  <c r="O6011" i="58"/>
  <c r="P6011" i="58" s="1"/>
  <c r="O6010" i="58"/>
  <c r="P6010" i="58" s="1"/>
  <c r="Q6010" i="58" s="1"/>
  <c r="N6010" i="58"/>
  <c r="O6009" i="58"/>
  <c r="P6009" i="58" s="1"/>
  <c r="K6009" i="58"/>
  <c r="L6009" i="58" s="1"/>
  <c r="L6003" i="58" s="1"/>
  <c r="P6008" i="58"/>
  <c r="O6008" i="58"/>
  <c r="P6007" i="58"/>
  <c r="O6007" i="58"/>
  <c r="I6007" i="58"/>
  <c r="J6007" i="58" s="1"/>
  <c r="O6006" i="58"/>
  <c r="P6006" i="58" s="1"/>
  <c r="I6006" i="58"/>
  <c r="J6006" i="58" s="1"/>
  <c r="P6005" i="58"/>
  <c r="O6005" i="58"/>
  <c r="I6005" i="58"/>
  <c r="J6005" i="58" s="1"/>
  <c r="O6004" i="58"/>
  <c r="P6004" i="58" s="1"/>
  <c r="O6003" i="58"/>
  <c r="P6003" i="58" s="1"/>
  <c r="Q6003" i="58" s="1"/>
  <c r="N6003" i="58"/>
  <c r="O6002" i="58"/>
  <c r="P6002" i="58" s="1"/>
  <c r="L6002" i="58"/>
  <c r="L5996" i="58" s="1"/>
  <c r="K6002" i="58"/>
  <c r="O6001" i="58"/>
  <c r="P6001" i="58" s="1"/>
  <c r="P6000" i="58"/>
  <c r="O6000" i="58"/>
  <c r="I6000" i="58"/>
  <c r="J6000" i="58" s="1"/>
  <c r="O5999" i="58"/>
  <c r="P5999" i="58" s="1"/>
  <c r="I5999" i="58"/>
  <c r="J5999" i="58" s="1"/>
  <c r="O5998" i="58"/>
  <c r="P5998" i="58" s="1"/>
  <c r="I5998" i="58"/>
  <c r="J5998" i="58" s="1"/>
  <c r="O5997" i="58"/>
  <c r="P5997" i="58" s="1"/>
  <c r="O5996" i="58"/>
  <c r="P5996" i="58" s="1"/>
  <c r="Q5996" i="58" s="1"/>
  <c r="N5996" i="58"/>
  <c r="O5995" i="58"/>
  <c r="P5995" i="58" s="1"/>
  <c r="Q5995" i="58" s="1"/>
  <c r="R5995" i="58" s="1"/>
  <c r="K5995" i="58"/>
  <c r="L5995" i="58" s="1"/>
  <c r="L5989" i="58" s="1"/>
  <c r="O5994" i="58"/>
  <c r="P5994" i="58" s="1"/>
  <c r="O5993" i="58"/>
  <c r="P5993" i="58" s="1"/>
  <c r="I5993" i="58"/>
  <c r="J5993" i="58" s="1"/>
  <c r="O5992" i="58"/>
  <c r="P5992" i="58" s="1"/>
  <c r="I5992" i="58"/>
  <c r="J5992" i="58" s="1"/>
  <c r="O5991" i="58"/>
  <c r="P5991" i="58" s="1"/>
  <c r="I5991" i="58"/>
  <c r="J5991" i="58" s="1"/>
  <c r="O5990" i="58"/>
  <c r="P5990" i="58" s="1"/>
  <c r="O5989" i="58"/>
  <c r="P5989" i="58" s="1"/>
  <c r="Q5989" i="58" s="1"/>
  <c r="N5989" i="58"/>
  <c r="O5988" i="58"/>
  <c r="P5988" i="58" s="1"/>
  <c r="K5988" i="58"/>
  <c r="L5988" i="58" s="1"/>
  <c r="L5982" i="58" s="1"/>
  <c r="O5987" i="58"/>
  <c r="P5987" i="58" s="1"/>
  <c r="O5986" i="58"/>
  <c r="P5986" i="58" s="1"/>
  <c r="I5986" i="58"/>
  <c r="J5986" i="58" s="1"/>
  <c r="O5985" i="58"/>
  <c r="P5985" i="58" s="1"/>
  <c r="I5985" i="58"/>
  <c r="J5985" i="58" s="1"/>
  <c r="P5984" i="58"/>
  <c r="O5984" i="58"/>
  <c r="I5984" i="58"/>
  <c r="J5984" i="58" s="1"/>
  <c r="J5982" i="58" s="1"/>
  <c r="O5983" i="58"/>
  <c r="P5983" i="58" s="1"/>
  <c r="O5982" i="58"/>
  <c r="P5982" i="58" s="1"/>
  <c r="Q5982" i="58" s="1"/>
  <c r="N5982" i="58"/>
  <c r="O5981" i="58"/>
  <c r="P5981" i="58" s="1"/>
  <c r="Q5981" i="58" s="1"/>
  <c r="K5981" i="58"/>
  <c r="L5981" i="58" s="1"/>
  <c r="L5975" i="58" s="1"/>
  <c r="O5980" i="58"/>
  <c r="P5980" i="58" s="1"/>
  <c r="O5979" i="58"/>
  <c r="P5979" i="58" s="1"/>
  <c r="I5979" i="58"/>
  <c r="J5979" i="58" s="1"/>
  <c r="O5978" i="58"/>
  <c r="P5978" i="58" s="1"/>
  <c r="I5978" i="58"/>
  <c r="J5978" i="58" s="1"/>
  <c r="O5977" i="58"/>
  <c r="P5977" i="58" s="1"/>
  <c r="I5977" i="58"/>
  <c r="J5977" i="58" s="1"/>
  <c r="P5976" i="58"/>
  <c r="O5976" i="58"/>
  <c r="O5975" i="58"/>
  <c r="P5975" i="58" s="1"/>
  <c r="Q5975" i="58" s="1"/>
  <c r="N5975" i="58"/>
  <c r="P5974" i="58"/>
  <c r="O5974" i="58"/>
  <c r="L5974" i="58"/>
  <c r="L5968" i="58" s="1"/>
  <c r="K5974" i="58"/>
  <c r="O5973" i="58"/>
  <c r="P5973" i="58" s="1"/>
  <c r="O5972" i="58"/>
  <c r="P5972" i="58" s="1"/>
  <c r="I5972" i="58"/>
  <c r="J5972" i="58" s="1"/>
  <c r="O5971" i="58"/>
  <c r="P5971" i="58" s="1"/>
  <c r="I5971" i="58"/>
  <c r="J5971" i="58" s="1"/>
  <c r="O5970" i="58"/>
  <c r="P5970" i="58" s="1"/>
  <c r="I5970" i="58"/>
  <c r="J5970" i="58" s="1"/>
  <c r="O5969" i="58"/>
  <c r="P5969" i="58" s="1"/>
  <c r="P5968" i="58"/>
  <c r="Q5968" i="58" s="1"/>
  <c r="O5968" i="58"/>
  <c r="N5968" i="58"/>
  <c r="O5967" i="58"/>
  <c r="P5967" i="58" s="1"/>
  <c r="K5967" i="58"/>
  <c r="L5967" i="58" s="1"/>
  <c r="L5961" i="58" s="1"/>
  <c r="P5966" i="58"/>
  <c r="O5966" i="58"/>
  <c r="P5965" i="58"/>
  <c r="O5965" i="58"/>
  <c r="I5965" i="58"/>
  <c r="J5965" i="58" s="1"/>
  <c r="P5964" i="58"/>
  <c r="O5964" i="58"/>
  <c r="I5964" i="58"/>
  <c r="J5964" i="58" s="1"/>
  <c r="O5963" i="58"/>
  <c r="P5963" i="58" s="1"/>
  <c r="I5963" i="58"/>
  <c r="J5963" i="58" s="1"/>
  <c r="O5962" i="58"/>
  <c r="P5962" i="58" s="1"/>
  <c r="O5961" i="58"/>
  <c r="P5961" i="58" s="1"/>
  <c r="Q5961" i="58" s="1"/>
  <c r="N5961" i="58"/>
  <c r="P5960" i="58"/>
  <c r="O5960" i="58"/>
  <c r="K5960" i="58"/>
  <c r="L5960" i="58" s="1"/>
  <c r="O5959" i="58"/>
  <c r="P5959" i="58" s="1"/>
  <c r="P5958" i="58"/>
  <c r="O5958" i="58"/>
  <c r="I5958" i="58"/>
  <c r="J5958" i="58" s="1"/>
  <c r="P5957" i="58"/>
  <c r="O5957" i="58"/>
  <c r="I5957" i="58"/>
  <c r="J5957" i="58" s="1"/>
  <c r="P5956" i="58"/>
  <c r="O5956" i="58"/>
  <c r="I5956" i="58"/>
  <c r="J5956" i="58" s="1"/>
  <c r="O5955" i="58"/>
  <c r="P5955" i="58" s="1"/>
  <c r="O5954" i="58"/>
  <c r="P5954" i="58" s="1"/>
  <c r="Q5954" i="58" s="1"/>
  <c r="N5954" i="58"/>
  <c r="L5954" i="58"/>
  <c r="O5953" i="58"/>
  <c r="P5953" i="58" s="1"/>
  <c r="K5953" i="58"/>
  <c r="L5953" i="58" s="1"/>
  <c r="L5941" i="58" s="1"/>
  <c r="O5952" i="58"/>
  <c r="P5952" i="58" s="1"/>
  <c r="O5951" i="58"/>
  <c r="P5951" i="58" s="1"/>
  <c r="I5951" i="58"/>
  <c r="J5951" i="58" s="1"/>
  <c r="O5950" i="58"/>
  <c r="P5950" i="58" s="1"/>
  <c r="J5950" i="58"/>
  <c r="I5950" i="58"/>
  <c r="P5949" i="58"/>
  <c r="O5949" i="58"/>
  <c r="I5949" i="58"/>
  <c r="J5949" i="58" s="1"/>
  <c r="O5948" i="58"/>
  <c r="P5948" i="58" s="1"/>
  <c r="I5948" i="58"/>
  <c r="J5948" i="58" s="1"/>
  <c r="O5947" i="58"/>
  <c r="P5947" i="58" s="1"/>
  <c r="I5947" i="58"/>
  <c r="J5947" i="58" s="1"/>
  <c r="O5946" i="58"/>
  <c r="P5946" i="58" s="1"/>
  <c r="I5946" i="58"/>
  <c r="J5946" i="58" s="1"/>
  <c r="O5945" i="58"/>
  <c r="P5945" i="58" s="1"/>
  <c r="I5945" i="58"/>
  <c r="J5945" i="58" s="1"/>
  <c r="O5944" i="58"/>
  <c r="P5944" i="58" s="1"/>
  <c r="I5944" i="58"/>
  <c r="J5944" i="58" s="1"/>
  <c r="O5943" i="58"/>
  <c r="P5943" i="58" s="1"/>
  <c r="I5943" i="58"/>
  <c r="J5943" i="58" s="1"/>
  <c r="O5942" i="58"/>
  <c r="P5942" i="58" s="1"/>
  <c r="O5941" i="58"/>
  <c r="P5941" i="58" s="1"/>
  <c r="Q5941" i="58" s="1"/>
  <c r="N5941" i="58"/>
  <c r="O5940" i="58"/>
  <c r="P5940" i="58" s="1"/>
  <c r="K5940" i="58"/>
  <c r="L5940" i="58" s="1"/>
  <c r="L5928" i="58" s="1"/>
  <c r="O5939" i="58"/>
  <c r="P5939" i="58" s="1"/>
  <c r="O5938" i="58"/>
  <c r="P5938" i="58" s="1"/>
  <c r="I5938" i="58"/>
  <c r="J5938" i="58" s="1"/>
  <c r="P5937" i="58"/>
  <c r="O5937" i="58"/>
  <c r="I5937" i="58"/>
  <c r="J5937" i="58" s="1"/>
  <c r="P5936" i="58"/>
  <c r="O5936" i="58"/>
  <c r="I5936" i="58"/>
  <c r="J5936" i="58" s="1"/>
  <c r="P5935" i="58"/>
  <c r="O5935" i="58"/>
  <c r="I5935" i="58"/>
  <c r="J5935" i="58" s="1"/>
  <c r="O5934" i="58"/>
  <c r="P5934" i="58" s="1"/>
  <c r="I5934" i="58"/>
  <c r="J5934" i="58" s="1"/>
  <c r="O5933" i="58"/>
  <c r="P5933" i="58" s="1"/>
  <c r="I5933" i="58"/>
  <c r="J5933" i="58" s="1"/>
  <c r="O5932" i="58"/>
  <c r="P5932" i="58" s="1"/>
  <c r="I5932" i="58"/>
  <c r="J5932" i="58" s="1"/>
  <c r="O5931" i="58"/>
  <c r="P5931" i="58" s="1"/>
  <c r="I5931" i="58"/>
  <c r="J5931" i="58" s="1"/>
  <c r="O5930" i="58"/>
  <c r="P5930" i="58" s="1"/>
  <c r="J5930" i="58"/>
  <c r="I5930" i="58"/>
  <c r="O5929" i="58"/>
  <c r="P5929" i="58" s="1"/>
  <c r="O5928" i="58"/>
  <c r="P5928" i="58" s="1"/>
  <c r="Q5928" i="58" s="1"/>
  <c r="N5928" i="58"/>
  <c r="O5927" i="58"/>
  <c r="P5927" i="58" s="1"/>
  <c r="K5927" i="58"/>
  <c r="L5927" i="58" s="1"/>
  <c r="L5915" i="58" s="1"/>
  <c r="O5926" i="58"/>
  <c r="P5926" i="58" s="1"/>
  <c r="O5925" i="58"/>
  <c r="P5925" i="58" s="1"/>
  <c r="J5925" i="58"/>
  <c r="I5925" i="58"/>
  <c r="O5924" i="58"/>
  <c r="P5924" i="58" s="1"/>
  <c r="J5924" i="58"/>
  <c r="I5924" i="58"/>
  <c r="P5923" i="58"/>
  <c r="O5923" i="58"/>
  <c r="I5923" i="58"/>
  <c r="J5923" i="58" s="1"/>
  <c r="O5922" i="58"/>
  <c r="P5922" i="58" s="1"/>
  <c r="I5922" i="58"/>
  <c r="J5922" i="58" s="1"/>
  <c r="O5921" i="58"/>
  <c r="P5921" i="58" s="1"/>
  <c r="I5921" i="58"/>
  <c r="J5921" i="58" s="1"/>
  <c r="O5920" i="58"/>
  <c r="P5920" i="58" s="1"/>
  <c r="I5920" i="58"/>
  <c r="J5920" i="58" s="1"/>
  <c r="O5919" i="58"/>
  <c r="P5919" i="58" s="1"/>
  <c r="I5919" i="58"/>
  <c r="J5919" i="58" s="1"/>
  <c r="O5918" i="58"/>
  <c r="P5918" i="58" s="1"/>
  <c r="I5918" i="58"/>
  <c r="J5918" i="58" s="1"/>
  <c r="O5917" i="58"/>
  <c r="P5917" i="58" s="1"/>
  <c r="I5917" i="58"/>
  <c r="J5917" i="58" s="1"/>
  <c r="O5916" i="58"/>
  <c r="P5916" i="58" s="1"/>
  <c r="O5915" i="58"/>
  <c r="P5915" i="58" s="1"/>
  <c r="Q5915" i="58" s="1"/>
  <c r="N5915" i="58"/>
  <c r="P5914" i="58"/>
  <c r="Q5914" i="58" s="1"/>
  <c r="O5914" i="58"/>
  <c r="K5914" i="58"/>
  <c r="L5914" i="58" s="1"/>
  <c r="L5902" i="58" s="1"/>
  <c r="O5913" i="58"/>
  <c r="P5913" i="58" s="1"/>
  <c r="O5912" i="58"/>
  <c r="P5912" i="58" s="1"/>
  <c r="I5912" i="58"/>
  <c r="J5912" i="58" s="1"/>
  <c r="O5911" i="58"/>
  <c r="P5911" i="58" s="1"/>
  <c r="I5911" i="58"/>
  <c r="J5911" i="58" s="1"/>
  <c r="O5910" i="58"/>
  <c r="P5910" i="58" s="1"/>
  <c r="I5910" i="58"/>
  <c r="J5910" i="58" s="1"/>
  <c r="O5909" i="58"/>
  <c r="P5909" i="58" s="1"/>
  <c r="I5909" i="58"/>
  <c r="J5909" i="58" s="1"/>
  <c r="O5908" i="58"/>
  <c r="P5908" i="58" s="1"/>
  <c r="I5908" i="58"/>
  <c r="J5908" i="58" s="1"/>
  <c r="O5907" i="58"/>
  <c r="P5907" i="58" s="1"/>
  <c r="J5907" i="58"/>
  <c r="I5907" i="58"/>
  <c r="O5906" i="58"/>
  <c r="P5906" i="58" s="1"/>
  <c r="I5906" i="58"/>
  <c r="J5906" i="58" s="1"/>
  <c r="O5905" i="58"/>
  <c r="P5905" i="58" s="1"/>
  <c r="I5905" i="58"/>
  <c r="J5905" i="58" s="1"/>
  <c r="O5904" i="58"/>
  <c r="P5904" i="58" s="1"/>
  <c r="J5904" i="58"/>
  <c r="I5904" i="58"/>
  <c r="P5903" i="58"/>
  <c r="O5903" i="58"/>
  <c r="O5902" i="58"/>
  <c r="P5902" i="58" s="1"/>
  <c r="Q5902" i="58" s="1"/>
  <c r="N5902" i="58"/>
  <c r="O5901" i="58"/>
  <c r="P5901" i="58" s="1"/>
  <c r="Q5901" i="58" s="1"/>
  <c r="R5901" i="58" s="1"/>
  <c r="L5901" i="58"/>
  <c r="L5889" i="58" s="1"/>
  <c r="K5901" i="58"/>
  <c r="P5900" i="58"/>
  <c r="Q5900" i="58" s="1"/>
  <c r="R5900" i="58" s="1"/>
  <c r="O5900" i="58"/>
  <c r="O5899" i="58"/>
  <c r="P5899" i="58" s="1"/>
  <c r="I5899" i="58"/>
  <c r="J5899" i="58" s="1"/>
  <c r="P5898" i="58"/>
  <c r="O5898" i="58"/>
  <c r="I5898" i="58"/>
  <c r="J5898" i="58" s="1"/>
  <c r="O5897" i="58"/>
  <c r="P5897" i="58" s="1"/>
  <c r="I5897" i="58"/>
  <c r="J5897" i="58" s="1"/>
  <c r="O5896" i="58"/>
  <c r="P5896" i="58" s="1"/>
  <c r="I5896" i="58"/>
  <c r="J5896" i="58" s="1"/>
  <c r="P5895" i="58"/>
  <c r="O5895" i="58"/>
  <c r="I5895" i="58"/>
  <c r="J5895" i="58" s="1"/>
  <c r="P5894" i="58"/>
  <c r="O5894" i="58"/>
  <c r="J5894" i="58"/>
  <c r="I5894" i="58"/>
  <c r="O5893" i="58"/>
  <c r="P5893" i="58" s="1"/>
  <c r="I5893" i="58"/>
  <c r="J5893" i="58" s="1"/>
  <c r="P5892" i="58"/>
  <c r="O5892" i="58"/>
  <c r="I5892" i="58"/>
  <c r="J5892" i="58" s="1"/>
  <c r="O5891" i="58"/>
  <c r="P5891" i="58" s="1"/>
  <c r="I5891" i="58"/>
  <c r="J5891" i="58" s="1"/>
  <c r="P5890" i="58"/>
  <c r="O5890" i="58"/>
  <c r="P5889" i="58"/>
  <c r="Q5889" i="58" s="1"/>
  <c r="O5889" i="58"/>
  <c r="N5889" i="58"/>
  <c r="O5888" i="58"/>
  <c r="P5888" i="58" s="1"/>
  <c r="K5888" i="58"/>
  <c r="L5888" i="58" s="1"/>
  <c r="L5876" i="58" s="1"/>
  <c r="O5887" i="58"/>
  <c r="P5887" i="58" s="1"/>
  <c r="P5886" i="58"/>
  <c r="O5886" i="58"/>
  <c r="J5886" i="58"/>
  <c r="I5886" i="58"/>
  <c r="O5885" i="58"/>
  <c r="P5885" i="58" s="1"/>
  <c r="I5885" i="58"/>
  <c r="J5885" i="58" s="1"/>
  <c r="O5884" i="58"/>
  <c r="P5884" i="58" s="1"/>
  <c r="I5884" i="58"/>
  <c r="J5884" i="58" s="1"/>
  <c r="O5883" i="58"/>
  <c r="P5883" i="58" s="1"/>
  <c r="I5883" i="58"/>
  <c r="J5883" i="58" s="1"/>
  <c r="O5882" i="58"/>
  <c r="P5882" i="58" s="1"/>
  <c r="I5882" i="58"/>
  <c r="J5882" i="58" s="1"/>
  <c r="P5881" i="58"/>
  <c r="O5881" i="58"/>
  <c r="I5881" i="58"/>
  <c r="J5881" i="58" s="1"/>
  <c r="O5880" i="58"/>
  <c r="P5880" i="58" s="1"/>
  <c r="I5880" i="58"/>
  <c r="J5880" i="58" s="1"/>
  <c r="O5879" i="58"/>
  <c r="P5879" i="58" s="1"/>
  <c r="I5879" i="58"/>
  <c r="J5879" i="58" s="1"/>
  <c r="O5878" i="58"/>
  <c r="P5878" i="58" s="1"/>
  <c r="I5878" i="58"/>
  <c r="J5878" i="58" s="1"/>
  <c r="O5877" i="58"/>
  <c r="P5877" i="58" s="1"/>
  <c r="O5876" i="58"/>
  <c r="P5876" i="58" s="1"/>
  <c r="Q5876" i="58" s="1"/>
  <c r="N5876" i="58"/>
  <c r="P5875" i="58"/>
  <c r="Q5875" i="58" s="1"/>
  <c r="R5875" i="58" s="1"/>
  <c r="O5875" i="58"/>
  <c r="K5875" i="58"/>
  <c r="L5875" i="58" s="1"/>
  <c r="L5863" i="58" s="1"/>
  <c r="P5874" i="58"/>
  <c r="O5874" i="58"/>
  <c r="O5873" i="58"/>
  <c r="P5873" i="58" s="1"/>
  <c r="I5873" i="58"/>
  <c r="J5873" i="58" s="1"/>
  <c r="P5872" i="58"/>
  <c r="O5872" i="58"/>
  <c r="I5872" i="58"/>
  <c r="J5872" i="58" s="1"/>
  <c r="O5871" i="58"/>
  <c r="P5871" i="58" s="1"/>
  <c r="I5871" i="58"/>
  <c r="J5871" i="58" s="1"/>
  <c r="O5870" i="58"/>
  <c r="P5870" i="58" s="1"/>
  <c r="I5870" i="58"/>
  <c r="J5870" i="58" s="1"/>
  <c r="O5869" i="58"/>
  <c r="P5869" i="58" s="1"/>
  <c r="I5869" i="58"/>
  <c r="J5869" i="58" s="1"/>
  <c r="O5868" i="58"/>
  <c r="P5868" i="58" s="1"/>
  <c r="I5868" i="58"/>
  <c r="J5868" i="58" s="1"/>
  <c r="O5867" i="58"/>
  <c r="P5867" i="58" s="1"/>
  <c r="I5867" i="58"/>
  <c r="J5867" i="58" s="1"/>
  <c r="O5866" i="58"/>
  <c r="P5866" i="58" s="1"/>
  <c r="I5866" i="58"/>
  <c r="J5866" i="58" s="1"/>
  <c r="P5865" i="58"/>
  <c r="O5865" i="58"/>
  <c r="J5865" i="58"/>
  <c r="I5865" i="58"/>
  <c r="O5864" i="58"/>
  <c r="P5864" i="58" s="1"/>
  <c r="O5863" i="58"/>
  <c r="P5863" i="58" s="1"/>
  <c r="Q5863" i="58" s="1"/>
  <c r="N5863" i="58"/>
  <c r="O5862" i="58"/>
  <c r="P5862" i="58" s="1"/>
  <c r="Q5862" i="58" s="1"/>
  <c r="R5862" i="58" s="1"/>
  <c r="K5862" i="58"/>
  <c r="L5862" i="58" s="1"/>
  <c r="L5850" i="58" s="1"/>
  <c r="Q5861" i="58"/>
  <c r="O5861" i="58"/>
  <c r="P5861" i="58" s="1"/>
  <c r="O5860" i="58"/>
  <c r="P5860" i="58" s="1"/>
  <c r="J5860" i="58"/>
  <c r="I5860" i="58"/>
  <c r="O5859" i="58"/>
  <c r="P5859" i="58" s="1"/>
  <c r="I5859" i="58"/>
  <c r="J5859" i="58" s="1"/>
  <c r="O5858" i="58"/>
  <c r="P5858" i="58" s="1"/>
  <c r="I5858" i="58"/>
  <c r="J5858" i="58" s="1"/>
  <c r="P5857" i="58"/>
  <c r="O5857" i="58"/>
  <c r="I5857" i="58"/>
  <c r="J5857" i="58" s="1"/>
  <c r="P5856" i="58"/>
  <c r="O5856" i="58"/>
  <c r="I5856" i="58"/>
  <c r="J5856" i="58" s="1"/>
  <c r="O5855" i="58"/>
  <c r="P5855" i="58" s="1"/>
  <c r="I5855" i="58"/>
  <c r="J5855" i="58" s="1"/>
  <c r="O5854" i="58"/>
  <c r="P5854" i="58" s="1"/>
  <c r="I5854" i="58"/>
  <c r="J5854" i="58" s="1"/>
  <c r="O5853" i="58"/>
  <c r="P5853" i="58" s="1"/>
  <c r="I5853" i="58"/>
  <c r="J5853" i="58" s="1"/>
  <c r="O5852" i="58"/>
  <c r="P5852" i="58" s="1"/>
  <c r="I5852" i="58"/>
  <c r="J5852" i="58" s="1"/>
  <c r="O5851" i="58"/>
  <c r="P5851" i="58" s="1"/>
  <c r="O5850" i="58"/>
  <c r="P5850" i="58" s="1"/>
  <c r="Q5850" i="58" s="1"/>
  <c r="N5850" i="58"/>
  <c r="P5849" i="58"/>
  <c r="Q5849" i="58" s="1"/>
  <c r="R5849" i="58" s="1"/>
  <c r="O5849" i="58"/>
  <c r="K5849" i="58"/>
  <c r="L5849" i="58" s="1"/>
  <c r="L5837" i="58" s="1"/>
  <c r="O5848" i="58"/>
  <c r="P5848" i="58" s="1"/>
  <c r="O5847" i="58"/>
  <c r="P5847" i="58" s="1"/>
  <c r="J5847" i="58"/>
  <c r="I5847" i="58"/>
  <c r="O5846" i="58"/>
  <c r="P5846" i="58" s="1"/>
  <c r="I5846" i="58"/>
  <c r="J5846" i="58" s="1"/>
  <c r="P5845" i="58"/>
  <c r="O5845" i="58"/>
  <c r="J5845" i="58"/>
  <c r="I5845" i="58"/>
  <c r="O5844" i="58"/>
  <c r="P5844" i="58" s="1"/>
  <c r="I5844" i="58"/>
  <c r="J5844" i="58" s="1"/>
  <c r="O5843" i="58"/>
  <c r="P5843" i="58" s="1"/>
  <c r="I5843" i="58"/>
  <c r="J5843" i="58" s="1"/>
  <c r="O5842" i="58"/>
  <c r="P5842" i="58" s="1"/>
  <c r="I5842" i="58"/>
  <c r="J5842" i="58" s="1"/>
  <c r="O5841" i="58"/>
  <c r="P5841" i="58" s="1"/>
  <c r="J5841" i="58"/>
  <c r="I5841" i="58"/>
  <c r="P5840" i="58"/>
  <c r="O5840" i="58"/>
  <c r="I5840" i="58"/>
  <c r="J5840" i="58" s="1"/>
  <c r="O5839" i="58"/>
  <c r="P5839" i="58" s="1"/>
  <c r="I5839" i="58"/>
  <c r="J5839" i="58" s="1"/>
  <c r="O5838" i="58"/>
  <c r="P5838" i="58" s="1"/>
  <c r="O5837" i="58"/>
  <c r="P5837" i="58" s="1"/>
  <c r="Q5837" i="58" s="1"/>
  <c r="N5837" i="58"/>
  <c r="O5836" i="58"/>
  <c r="P5836" i="58" s="1"/>
  <c r="K5836" i="58"/>
  <c r="L5836" i="58" s="1"/>
  <c r="L5824" i="58" s="1"/>
  <c r="O5835" i="58"/>
  <c r="P5835" i="58" s="1"/>
  <c r="O5834" i="58"/>
  <c r="P5834" i="58" s="1"/>
  <c r="I5834" i="58"/>
  <c r="J5834" i="58" s="1"/>
  <c r="O5833" i="58"/>
  <c r="P5833" i="58" s="1"/>
  <c r="I5833" i="58"/>
  <c r="J5833" i="58" s="1"/>
  <c r="O5832" i="58"/>
  <c r="P5832" i="58" s="1"/>
  <c r="I5832" i="58"/>
  <c r="J5832" i="58" s="1"/>
  <c r="O5831" i="58"/>
  <c r="P5831" i="58" s="1"/>
  <c r="I5831" i="58"/>
  <c r="J5831" i="58" s="1"/>
  <c r="O5830" i="58"/>
  <c r="P5830" i="58" s="1"/>
  <c r="I5830" i="58"/>
  <c r="J5830" i="58" s="1"/>
  <c r="P5829" i="58"/>
  <c r="O5829" i="58"/>
  <c r="I5829" i="58"/>
  <c r="J5829" i="58" s="1"/>
  <c r="O5828" i="58"/>
  <c r="P5828" i="58" s="1"/>
  <c r="I5828" i="58"/>
  <c r="J5828" i="58" s="1"/>
  <c r="O5827" i="58"/>
  <c r="P5827" i="58" s="1"/>
  <c r="I5827" i="58"/>
  <c r="J5827" i="58" s="1"/>
  <c r="P5826" i="58"/>
  <c r="O5826" i="58"/>
  <c r="I5826" i="58"/>
  <c r="J5826" i="58" s="1"/>
  <c r="O5825" i="58"/>
  <c r="P5825" i="58" s="1"/>
  <c r="O5824" i="58"/>
  <c r="P5824" i="58" s="1"/>
  <c r="Q5824" i="58" s="1"/>
  <c r="N5824" i="58"/>
  <c r="P5823" i="58"/>
  <c r="Q5823" i="58" s="1"/>
  <c r="R5823" i="58" s="1"/>
  <c r="O5823" i="58"/>
  <c r="K5823" i="58"/>
  <c r="L5823" i="58" s="1"/>
  <c r="L5811" i="58" s="1"/>
  <c r="O5822" i="58"/>
  <c r="P5822" i="58" s="1"/>
  <c r="O5821" i="58"/>
  <c r="P5821" i="58" s="1"/>
  <c r="I5821" i="58"/>
  <c r="J5821" i="58" s="1"/>
  <c r="O5820" i="58"/>
  <c r="P5820" i="58" s="1"/>
  <c r="I5820" i="58"/>
  <c r="J5820" i="58" s="1"/>
  <c r="O5819" i="58"/>
  <c r="P5819" i="58" s="1"/>
  <c r="I5819" i="58"/>
  <c r="J5819" i="58" s="1"/>
  <c r="O5818" i="58"/>
  <c r="P5818" i="58" s="1"/>
  <c r="I5818" i="58"/>
  <c r="J5818" i="58" s="1"/>
  <c r="O5817" i="58"/>
  <c r="P5817" i="58" s="1"/>
  <c r="I5817" i="58"/>
  <c r="J5817" i="58" s="1"/>
  <c r="O5816" i="58"/>
  <c r="P5816" i="58" s="1"/>
  <c r="I5816" i="58"/>
  <c r="J5816" i="58" s="1"/>
  <c r="P5815" i="58"/>
  <c r="O5815" i="58"/>
  <c r="I5815" i="58"/>
  <c r="J5815" i="58" s="1"/>
  <c r="O5814" i="58"/>
  <c r="P5814" i="58" s="1"/>
  <c r="I5814" i="58"/>
  <c r="J5814" i="58" s="1"/>
  <c r="O5813" i="58"/>
  <c r="P5813" i="58" s="1"/>
  <c r="I5813" i="58"/>
  <c r="J5813" i="58" s="1"/>
  <c r="O5812" i="58"/>
  <c r="P5812" i="58" s="1"/>
  <c r="O5811" i="58"/>
  <c r="P5811" i="58" s="1"/>
  <c r="Q5811" i="58" s="1"/>
  <c r="N5811" i="58"/>
  <c r="P5810" i="58"/>
  <c r="Q5810" i="58" s="1"/>
  <c r="R5810" i="58" s="1"/>
  <c r="O5810" i="58"/>
  <c r="K5810" i="58"/>
  <c r="L5810" i="58" s="1"/>
  <c r="L5798" i="58" s="1"/>
  <c r="O5809" i="58"/>
  <c r="P5809" i="58" s="1"/>
  <c r="Q5809" i="58" s="1"/>
  <c r="R5809" i="58" s="1"/>
  <c r="P5808" i="58"/>
  <c r="Q5808" i="58" s="1"/>
  <c r="R5808" i="58" s="1"/>
  <c r="O5808" i="58"/>
  <c r="I5808" i="58"/>
  <c r="J5808" i="58" s="1"/>
  <c r="O5807" i="58"/>
  <c r="P5807" i="58" s="1"/>
  <c r="I5807" i="58"/>
  <c r="J5807" i="58" s="1"/>
  <c r="O5806" i="58"/>
  <c r="P5806" i="58" s="1"/>
  <c r="I5806" i="58"/>
  <c r="J5806" i="58" s="1"/>
  <c r="O5805" i="58"/>
  <c r="P5805" i="58" s="1"/>
  <c r="I5805" i="58"/>
  <c r="J5805" i="58" s="1"/>
  <c r="O5804" i="58"/>
  <c r="P5804" i="58" s="1"/>
  <c r="J5804" i="58"/>
  <c r="I5804" i="58"/>
  <c r="O5803" i="58"/>
  <c r="P5803" i="58" s="1"/>
  <c r="I5803" i="58"/>
  <c r="J5803" i="58" s="1"/>
  <c r="P5802" i="58"/>
  <c r="O5802" i="58"/>
  <c r="I5802" i="58"/>
  <c r="J5802" i="58" s="1"/>
  <c r="O5801" i="58"/>
  <c r="P5801" i="58" s="1"/>
  <c r="I5801" i="58"/>
  <c r="J5801" i="58" s="1"/>
  <c r="O5800" i="58"/>
  <c r="P5800" i="58" s="1"/>
  <c r="I5800" i="58"/>
  <c r="J5800" i="58" s="1"/>
  <c r="O5799" i="58"/>
  <c r="P5799" i="58" s="1"/>
  <c r="O5798" i="58"/>
  <c r="P5798" i="58" s="1"/>
  <c r="Q5798" i="58" s="1"/>
  <c r="N5798" i="58"/>
  <c r="O5797" i="58"/>
  <c r="P5797" i="58" s="1"/>
  <c r="K5797" i="58"/>
  <c r="L5797" i="58" s="1"/>
  <c r="L5785" i="58" s="1"/>
  <c r="O5796" i="58"/>
  <c r="P5796" i="58" s="1"/>
  <c r="O5795" i="58"/>
  <c r="P5795" i="58" s="1"/>
  <c r="I5795" i="58"/>
  <c r="J5795" i="58" s="1"/>
  <c r="O5794" i="58"/>
  <c r="P5794" i="58" s="1"/>
  <c r="I5794" i="58"/>
  <c r="J5794" i="58" s="1"/>
  <c r="O5793" i="58"/>
  <c r="P5793" i="58" s="1"/>
  <c r="I5793" i="58"/>
  <c r="J5793" i="58" s="1"/>
  <c r="O5792" i="58"/>
  <c r="P5792" i="58" s="1"/>
  <c r="I5792" i="58"/>
  <c r="J5792" i="58" s="1"/>
  <c r="O5791" i="58"/>
  <c r="P5791" i="58" s="1"/>
  <c r="I5791" i="58"/>
  <c r="J5791" i="58" s="1"/>
  <c r="O5790" i="58"/>
  <c r="P5790" i="58" s="1"/>
  <c r="I5790" i="58"/>
  <c r="J5790" i="58" s="1"/>
  <c r="O5789" i="58"/>
  <c r="P5789" i="58" s="1"/>
  <c r="I5789" i="58"/>
  <c r="J5789" i="58" s="1"/>
  <c r="O5788" i="58"/>
  <c r="P5788" i="58" s="1"/>
  <c r="I5788" i="58"/>
  <c r="J5788" i="58" s="1"/>
  <c r="P5787" i="58"/>
  <c r="O5787" i="58"/>
  <c r="I5787" i="58"/>
  <c r="J5787" i="58" s="1"/>
  <c r="O5786" i="58"/>
  <c r="P5786" i="58" s="1"/>
  <c r="O5785" i="58"/>
  <c r="P5785" i="58" s="1"/>
  <c r="Q5785" i="58" s="1"/>
  <c r="N5785" i="58"/>
  <c r="O5784" i="58"/>
  <c r="P5784" i="58" s="1"/>
  <c r="K5784" i="58"/>
  <c r="L5784" i="58" s="1"/>
  <c r="L5772" i="58" s="1"/>
  <c r="O5783" i="58"/>
  <c r="P5783" i="58" s="1"/>
  <c r="O5782" i="58"/>
  <c r="P5782" i="58" s="1"/>
  <c r="I5782" i="58"/>
  <c r="J5782" i="58" s="1"/>
  <c r="P5781" i="58"/>
  <c r="O5781" i="58"/>
  <c r="I5781" i="58"/>
  <c r="J5781" i="58" s="1"/>
  <c r="O5780" i="58"/>
  <c r="P5780" i="58" s="1"/>
  <c r="I5780" i="58"/>
  <c r="J5780" i="58" s="1"/>
  <c r="O5779" i="58"/>
  <c r="P5779" i="58" s="1"/>
  <c r="J5779" i="58"/>
  <c r="I5779" i="58"/>
  <c r="P5778" i="58"/>
  <c r="O5778" i="58"/>
  <c r="I5778" i="58"/>
  <c r="J5778" i="58" s="1"/>
  <c r="P5777" i="58"/>
  <c r="O5777" i="58"/>
  <c r="I5777" i="58"/>
  <c r="J5777" i="58" s="1"/>
  <c r="O5776" i="58"/>
  <c r="P5776" i="58" s="1"/>
  <c r="I5776" i="58"/>
  <c r="J5776" i="58" s="1"/>
  <c r="P5775" i="58"/>
  <c r="O5775" i="58"/>
  <c r="I5775" i="58"/>
  <c r="J5775" i="58" s="1"/>
  <c r="O5774" i="58"/>
  <c r="P5774" i="58" s="1"/>
  <c r="I5774" i="58"/>
  <c r="J5774" i="58" s="1"/>
  <c r="O5773" i="58"/>
  <c r="P5773" i="58" s="1"/>
  <c r="P5772" i="58"/>
  <c r="Q5772" i="58" s="1"/>
  <c r="O5772" i="58"/>
  <c r="N5772" i="58"/>
  <c r="O5771" i="58"/>
  <c r="P5771" i="58" s="1"/>
  <c r="K5771" i="58"/>
  <c r="L5771" i="58" s="1"/>
  <c r="L5765" i="58" s="1"/>
  <c r="O5770" i="58"/>
  <c r="P5770" i="58" s="1"/>
  <c r="O5769" i="58"/>
  <c r="P5769" i="58" s="1"/>
  <c r="I5769" i="58"/>
  <c r="J5769" i="58" s="1"/>
  <c r="P5768" i="58"/>
  <c r="O5768" i="58"/>
  <c r="I5768" i="58"/>
  <c r="J5768" i="58" s="1"/>
  <c r="O5767" i="58"/>
  <c r="P5767" i="58" s="1"/>
  <c r="I5767" i="58"/>
  <c r="J5767" i="58" s="1"/>
  <c r="O5766" i="58"/>
  <c r="P5766" i="58" s="1"/>
  <c r="Q5765" i="58"/>
  <c r="P5765" i="58"/>
  <c r="O5765" i="58"/>
  <c r="N5765" i="58"/>
  <c r="O5764" i="58"/>
  <c r="P5764" i="58" s="1"/>
  <c r="L5764" i="58"/>
  <c r="L5758" i="58" s="1"/>
  <c r="K5764" i="58"/>
  <c r="O5763" i="58"/>
  <c r="P5763" i="58" s="1"/>
  <c r="P5762" i="58"/>
  <c r="O5762" i="58"/>
  <c r="I5762" i="58"/>
  <c r="J5762" i="58" s="1"/>
  <c r="O5761" i="58"/>
  <c r="P5761" i="58" s="1"/>
  <c r="I5761" i="58"/>
  <c r="J5761" i="58" s="1"/>
  <c r="O5760" i="58"/>
  <c r="P5760" i="58" s="1"/>
  <c r="I5760" i="58"/>
  <c r="J5760" i="58" s="1"/>
  <c r="O5759" i="58"/>
  <c r="P5759" i="58" s="1"/>
  <c r="P5758" i="58"/>
  <c r="Q5758" i="58" s="1"/>
  <c r="O5758" i="58"/>
  <c r="N5758" i="58"/>
  <c r="O5757" i="58"/>
  <c r="P5757" i="58" s="1"/>
  <c r="K5757" i="58"/>
  <c r="L5757" i="58" s="1"/>
  <c r="L5751" i="58" s="1"/>
  <c r="O5756" i="58"/>
  <c r="P5756" i="58" s="1"/>
  <c r="O5755" i="58"/>
  <c r="P5755" i="58" s="1"/>
  <c r="I5755" i="58"/>
  <c r="J5755" i="58" s="1"/>
  <c r="O5754" i="58"/>
  <c r="P5754" i="58" s="1"/>
  <c r="I5754" i="58"/>
  <c r="J5754" i="58" s="1"/>
  <c r="O5753" i="58"/>
  <c r="P5753" i="58" s="1"/>
  <c r="I5753" i="58"/>
  <c r="J5753" i="58" s="1"/>
  <c r="O5752" i="58"/>
  <c r="P5752" i="58" s="1"/>
  <c r="O5751" i="58"/>
  <c r="P5751" i="58" s="1"/>
  <c r="Q5751" i="58" s="1"/>
  <c r="N5751" i="58"/>
  <c r="P5750" i="58"/>
  <c r="Q5750" i="58" s="1"/>
  <c r="R5750" i="58" s="1"/>
  <c r="O5750" i="58"/>
  <c r="K5750" i="58"/>
  <c r="L5750" i="58" s="1"/>
  <c r="L5744" i="58" s="1"/>
  <c r="O5749" i="58"/>
  <c r="P5749" i="58" s="1"/>
  <c r="P5748" i="58"/>
  <c r="O5748" i="58"/>
  <c r="I5748" i="58"/>
  <c r="J5748" i="58" s="1"/>
  <c r="P5747" i="58"/>
  <c r="O5747" i="58"/>
  <c r="I5747" i="58"/>
  <c r="J5747" i="58" s="1"/>
  <c r="O5746" i="58"/>
  <c r="P5746" i="58" s="1"/>
  <c r="I5746" i="58"/>
  <c r="J5746" i="58" s="1"/>
  <c r="O5745" i="58"/>
  <c r="P5745" i="58" s="1"/>
  <c r="O5744" i="58"/>
  <c r="P5744" i="58" s="1"/>
  <c r="Q5744" i="58" s="1"/>
  <c r="N5744" i="58"/>
  <c r="O5743" i="58"/>
  <c r="P5743" i="58" s="1"/>
  <c r="K5743" i="58"/>
  <c r="L5743" i="58" s="1"/>
  <c r="L5737" i="58" s="1"/>
  <c r="P5742" i="58"/>
  <c r="O5742" i="58"/>
  <c r="O5741" i="58"/>
  <c r="P5741" i="58" s="1"/>
  <c r="I5741" i="58"/>
  <c r="J5741" i="58" s="1"/>
  <c r="O5740" i="58"/>
  <c r="P5740" i="58" s="1"/>
  <c r="I5740" i="58"/>
  <c r="J5740" i="58" s="1"/>
  <c r="O5739" i="58"/>
  <c r="P5739" i="58" s="1"/>
  <c r="I5739" i="58"/>
  <c r="J5739" i="58" s="1"/>
  <c r="O5738" i="58"/>
  <c r="P5738" i="58" s="1"/>
  <c r="O5737" i="58"/>
  <c r="P5737" i="58" s="1"/>
  <c r="Q5737" i="58" s="1"/>
  <c r="N5737" i="58"/>
  <c r="O5736" i="58"/>
  <c r="P5736" i="58" s="1"/>
  <c r="K5736" i="58"/>
  <c r="L5736" i="58" s="1"/>
  <c r="L5730" i="58" s="1"/>
  <c r="P5735" i="58"/>
  <c r="O5735" i="58"/>
  <c r="P5734" i="58"/>
  <c r="O5734" i="58"/>
  <c r="I5734" i="58"/>
  <c r="J5734" i="58" s="1"/>
  <c r="O5733" i="58"/>
  <c r="P5733" i="58" s="1"/>
  <c r="I5733" i="58"/>
  <c r="J5733" i="58" s="1"/>
  <c r="O5732" i="58"/>
  <c r="P5732" i="58" s="1"/>
  <c r="I5732" i="58"/>
  <c r="J5732" i="58" s="1"/>
  <c r="O5731" i="58"/>
  <c r="P5731" i="58" s="1"/>
  <c r="O5730" i="58"/>
  <c r="P5730" i="58" s="1"/>
  <c r="Q5730" i="58" s="1"/>
  <c r="N5730" i="58"/>
  <c r="O5729" i="58"/>
  <c r="P5729" i="58" s="1"/>
  <c r="K5729" i="58"/>
  <c r="L5729" i="58" s="1"/>
  <c r="L5723" i="58" s="1"/>
  <c r="O5728" i="58"/>
  <c r="P5728" i="58" s="1"/>
  <c r="O5727" i="58"/>
  <c r="P5727" i="58" s="1"/>
  <c r="I5727" i="58"/>
  <c r="J5727" i="58" s="1"/>
  <c r="O5726" i="58"/>
  <c r="P5726" i="58" s="1"/>
  <c r="I5726" i="58"/>
  <c r="J5726" i="58" s="1"/>
  <c r="P5725" i="58"/>
  <c r="O5725" i="58"/>
  <c r="I5725" i="58"/>
  <c r="J5725" i="58" s="1"/>
  <c r="O5724" i="58"/>
  <c r="P5724" i="58" s="1"/>
  <c r="O5723" i="58"/>
  <c r="P5723" i="58" s="1"/>
  <c r="Q5723" i="58" s="1"/>
  <c r="N5723" i="58"/>
  <c r="O5722" i="58"/>
  <c r="P5722" i="58" s="1"/>
  <c r="Q5722" i="58" s="1"/>
  <c r="R5722" i="58" s="1"/>
  <c r="K5722" i="58"/>
  <c r="L5722" i="58" s="1"/>
  <c r="L5716" i="58" s="1"/>
  <c r="O5721" i="58"/>
  <c r="P5721" i="58" s="1"/>
  <c r="I5721" i="58"/>
  <c r="J5721" i="58" s="1"/>
  <c r="O5720" i="58"/>
  <c r="P5720" i="58" s="1"/>
  <c r="J5720" i="58"/>
  <c r="I5720" i="58"/>
  <c r="O5719" i="58"/>
  <c r="P5719" i="58" s="1"/>
  <c r="I5719" i="58"/>
  <c r="J5719" i="58" s="1"/>
  <c r="O5718" i="58"/>
  <c r="P5718" i="58" s="1"/>
  <c r="I5718" i="58"/>
  <c r="J5718" i="58" s="1"/>
  <c r="O5717" i="58"/>
  <c r="P5717" i="58" s="1"/>
  <c r="O5716" i="58"/>
  <c r="P5716" i="58" s="1"/>
  <c r="Q5716" i="58" s="1"/>
  <c r="N5716" i="58"/>
  <c r="O5715" i="58"/>
  <c r="P5715" i="58" s="1"/>
  <c r="K5715" i="58"/>
  <c r="L5715" i="58" s="1"/>
  <c r="L5709" i="58" s="1"/>
  <c r="O5714" i="58"/>
  <c r="P5714" i="58" s="1"/>
  <c r="I5714" i="58"/>
  <c r="J5714" i="58" s="1"/>
  <c r="O5713" i="58"/>
  <c r="P5713" i="58" s="1"/>
  <c r="I5713" i="58"/>
  <c r="J5713" i="58" s="1"/>
  <c r="O5712" i="58"/>
  <c r="P5712" i="58" s="1"/>
  <c r="I5712" i="58"/>
  <c r="J5712" i="58" s="1"/>
  <c r="P5711" i="58"/>
  <c r="O5711" i="58"/>
  <c r="I5711" i="58"/>
  <c r="J5711" i="58" s="1"/>
  <c r="O5710" i="58"/>
  <c r="P5710" i="58" s="1"/>
  <c r="O5709" i="58"/>
  <c r="P5709" i="58" s="1"/>
  <c r="Q5709" i="58" s="1"/>
  <c r="N5709" i="58"/>
  <c r="O5708" i="58"/>
  <c r="P5708" i="58" s="1"/>
  <c r="Q5708" i="58" s="1"/>
  <c r="R5708" i="58" s="1"/>
  <c r="K5708" i="58"/>
  <c r="L5708" i="58" s="1"/>
  <c r="L5702" i="58" s="1"/>
  <c r="O5707" i="58"/>
  <c r="P5707" i="58" s="1"/>
  <c r="I5707" i="58"/>
  <c r="J5707" i="58" s="1"/>
  <c r="O5706" i="58"/>
  <c r="P5706" i="58" s="1"/>
  <c r="I5706" i="58"/>
  <c r="J5706" i="58" s="1"/>
  <c r="P5705" i="58"/>
  <c r="O5705" i="58"/>
  <c r="I5705" i="58"/>
  <c r="J5705" i="58" s="1"/>
  <c r="O5704" i="58"/>
  <c r="P5704" i="58" s="1"/>
  <c r="I5704" i="58"/>
  <c r="J5704" i="58" s="1"/>
  <c r="O5703" i="58"/>
  <c r="P5703" i="58" s="1"/>
  <c r="O5702" i="58"/>
  <c r="P5702" i="58" s="1"/>
  <c r="Q5702" i="58" s="1"/>
  <c r="N5702" i="58"/>
  <c r="O5701" i="58"/>
  <c r="P5701" i="58" s="1"/>
  <c r="K5701" i="58"/>
  <c r="L5701" i="58" s="1"/>
  <c r="L5695" i="58" s="1"/>
  <c r="P5700" i="58"/>
  <c r="O5700" i="58"/>
  <c r="I5700" i="58"/>
  <c r="J5700" i="58" s="1"/>
  <c r="O5699" i="58"/>
  <c r="P5699" i="58" s="1"/>
  <c r="I5699" i="58"/>
  <c r="J5699" i="58" s="1"/>
  <c r="P5698" i="58"/>
  <c r="O5698" i="58"/>
  <c r="I5698" i="58"/>
  <c r="J5698" i="58" s="1"/>
  <c r="O5697" i="58"/>
  <c r="P5697" i="58" s="1"/>
  <c r="I5697" i="58"/>
  <c r="J5697" i="58" s="1"/>
  <c r="O5696" i="58"/>
  <c r="P5696" i="58" s="1"/>
  <c r="O5695" i="58"/>
  <c r="P5695" i="58" s="1"/>
  <c r="Q5695" i="58" s="1"/>
  <c r="N5695" i="58"/>
  <c r="O5694" i="58"/>
  <c r="P5694" i="58" s="1"/>
  <c r="K5694" i="58"/>
  <c r="L5694" i="58" s="1"/>
  <c r="L5688" i="58" s="1"/>
  <c r="O5693" i="58"/>
  <c r="P5693" i="58" s="1"/>
  <c r="I5693" i="58"/>
  <c r="J5693" i="58" s="1"/>
  <c r="P5692" i="58"/>
  <c r="O5692" i="58"/>
  <c r="I5692" i="58"/>
  <c r="J5692" i="58" s="1"/>
  <c r="P5691" i="58"/>
  <c r="O5691" i="58"/>
  <c r="I5691" i="58"/>
  <c r="J5691" i="58" s="1"/>
  <c r="O5690" i="58"/>
  <c r="P5690" i="58" s="1"/>
  <c r="J5690" i="58"/>
  <c r="I5690" i="58"/>
  <c r="O5689" i="58"/>
  <c r="P5689" i="58" s="1"/>
  <c r="O5688" i="58"/>
  <c r="P5688" i="58" s="1"/>
  <c r="Q5688" i="58" s="1"/>
  <c r="N5688" i="58"/>
  <c r="O5687" i="58"/>
  <c r="P5687" i="58" s="1"/>
  <c r="Q5687" i="58" s="1"/>
  <c r="R5687" i="58" s="1"/>
  <c r="K5687" i="58"/>
  <c r="L5687" i="58" s="1"/>
  <c r="L5681" i="58" s="1"/>
  <c r="P5686" i="58"/>
  <c r="O5686" i="58"/>
  <c r="I5686" i="58"/>
  <c r="J5686" i="58" s="1"/>
  <c r="O5685" i="58"/>
  <c r="P5685" i="58" s="1"/>
  <c r="I5685" i="58"/>
  <c r="J5685" i="58" s="1"/>
  <c r="O5684" i="58"/>
  <c r="P5684" i="58" s="1"/>
  <c r="I5684" i="58"/>
  <c r="J5684" i="58" s="1"/>
  <c r="O5683" i="58"/>
  <c r="P5683" i="58" s="1"/>
  <c r="I5683" i="58"/>
  <c r="J5683" i="58" s="1"/>
  <c r="O5682" i="58"/>
  <c r="P5682" i="58" s="1"/>
  <c r="O5681" i="58"/>
  <c r="P5681" i="58" s="1"/>
  <c r="Q5681" i="58" s="1"/>
  <c r="N5681" i="58"/>
  <c r="P5680" i="58"/>
  <c r="Q5680" i="58" s="1"/>
  <c r="R5680" i="58" s="1"/>
  <c r="O5680" i="58"/>
  <c r="L5680" i="58"/>
  <c r="L5674" i="58" s="1"/>
  <c r="K5680" i="58"/>
  <c r="O5679" i="58"/>
  <c r="P5679" i="58" s="1"/>
  <c r="I5679" i="58"/>
  <c r="J5679" i="58" s="1"/>
  <c r="P5678" i="58"/>
  <c r="O5678" i="58"/>
  <c r="I5678" i="58"/>
  <c r="J5678" i="58" s="1"/>
  <c r="P5677" i="58"/>
  <c r="O5677" i="58"/>
  <c r="I5677" i="58"/>
  <c r="J5677" i="58" s="1"/>
  <c r="O5676" i="58"/>
  <c r="P5676" i="58" s="1"/>
  <c r="I5676" i="58"/>
  <c r="J5676" i="58" s="1"/>
  <c r="O5675" i="58"/>
  <c r="P5675" i="58" s="1"/>
  <c r="O5674" i="58"/>
  <c r="P5674" i="58" s="1"/>
  <c r="Q5674" i="58" s="1"/>
  <c r="N5674" i="58"/>
  <c r="O5673" i="58"/>
  <c r="P5673" i="58" s="1"/>
  <c r="K5673" i="58"/>
  <c r="L5673" i="58" s="1"/>
  <c r="L5667" i="58" s="1"/>
  <c r="G73" i="39" s="1"/>
  <c r="O5672" i="58"/>
  <c r="P5672" i="58" s="1"/>
  <c r="I5672" i="58"/>
  <c r="J5672" i="58" s="1"/>
  <c r="P5671" i="58"/>
  <c r="O5671" i="58"/>
  <c r="I5671" i="58"/>
  <c r="J5671" i="58" s="1"/>
  <c r="O5670" i="58"/>
  <c r="P5670" i="58" s="1"/>
  <c r="I5670" i="58"/>
  <c r="J5670" i="58" s="1"/>
  <c r="O5669" i="58"/>
  <c r="P5669" i="58" s="1"/>
  <c r="I5669" i="58"/>
  <c r="J5669" i="58" s="1"/>
  <c r="O5668" i="58"/>
  <c r="P5668" i="58" s="1"/>
  <c r="O5667" i="58"/>
  <c r="P5667" i="58" s="1"/>
  <c r="Q5667" i="58" s="1"/>
  <c r="N5667" i="58"/>
  <c r="P5666" i="58"/>
  <c r="O5666" i="58"/>
  <c r="K5666" i="58"/>
  <c r="L5666" i="58" s="1"/>
  <c r="L5660" i="58" s="1"/>
  <c r="O5665" i="58"/>
  <c r="P5665" i="58" s="1"/>
  <c r="J5665" i="58"/>
  <c r="I5665" i="58"/>
  <c r="P5664" i="58"/>
  <c r="O5664" i="58"/>
  <c r="I5664" i="58"/>
  <c r="J5664" i="58" s="1"/>
  <c r="O5663" i="58"/>
  <c r="P5663" i="58" s="1"/>
  <c r="I5663" i="58"/>
  <c r="J5663" i="58" s="1"/>
  <c r="O5662" i="58"/>
  <c r="P5662" i="58" s="1"/>
  <c r="I5662" i="58"/>
  <c r="J5662" i="58" s="1"/>
  <c r="P5661" i="58"/>
  <c r="O5661" i="58"/>
  <c r="O5660" i="58"/>
  <c r="P5660" i="58" s="1"/>
  <c r="Q5660" i="58" s="1"/>
  <c r="N5660" i="58"/>
  <c r="P5659" i="58"/>
  <c r="O5659" i="58"/>
  <c r="K5659" i="58"/>
  <c r="L5659" i="58" s="1"/>
  <c r="L5653" i="58" s="1"/>
  <c r="O5658" i="58"/>
  <c r="P5658" i="58" s="1"/>
  <c r="I5658" i="58"/>
  <c r="J5658" i="58" s="1"/>
  <c r="O5657" i="58"/>
  <c r="P5657" i="58" s="1"/>
  <c r="J5657" i="58"/>
  <c r="I5657" i="58"/>
  <c r="O5656" i="58"/>
  <c r="P5656" i="58" s="1"/>
  <c r="I5656" i="58"/>
  <c r="J5656" i="58" s="1"/>
  <c r="O5655" i="58"/>
  <c r="P5655" i="58" s="1"/>
  <c r="I5655" i="58"/>
  <c r="J5655" i="58" s="1"/>
  <c r="P5654" i="58"/>
  <c r="O5654" i="58"/>
  <c r="Q5653" i="58"/>
  <c r="P5653" i="58"/>
  <c r="O5653" i="58"/>
  <c r="N5653" i="58"/>
  <c r="O5652" i="58"/>
  <c r="P5652" i="58" s="1"/>
  <c r="K5652" i="58"/>
  <c r="L5652" i="58" s="1"/>
  <c r="L5646" i="58" s="1"/>
  <c r="O5651" i="58"/>
  <c r="P5651" i="58" s="1"/>
  <c r="I5651" i="58"/>
  <c r="J5651" i="58" s="1"/>
  <c r="P5650" i="58"/>
  <c r="O5650" i="58"/>
  <c r="I5650" i="58"/>
  <c r="J5650" i="58" s="1"/>
  <c r="O5649" i="58"/>
  <c r="P5649" i="58" s="1"/>
  <c r="I5649" i="58"/>
  <c r="J5649" i="58" s="1"/>
  <c r="O5648" i="58"/>
  <c r="P5648" i="58" s="1"/>
  <c r="J5648" i="58"/>
  <c r="I5648" i="58"/>
  <c r="P5647" i="58"/>
  <c r="O5647" i="58"/>
  <c r="O5646" i="58"/>
  <c r="P5646" i="58" s="1"/>
  <c r="Q5646" i="58" s="1"/>
  <c r="N5646" i="58"/>
  <c r="O5645" i="58"/>
  <c r="P5645" i="58" s="1"/>
  <c r="K5645" i="58"/>
  <c r="L5645" i="58" s="1"/>
  <c r="L5639" i="58" s="1"/>
  <c r="O5644" i="58"/>
  <c r="P5644" i="58" s="1"/>
  <c r="I5644" i="58"/>
  <c r="J5644" i="58" s="1"/>
  <c r="O5643" i="58"/>
  <c r="P5643" i="58" s="1"/>
  <c r="I5643" i="58"/>
  <c r="J5643" i="58" s="1"/>
  <c r="O5642" i="58"/>
  <c r="P5642" i="58" s="1"/>
  <c r="I5642" i="58"/>
  <c r="J5642" i="58" s="1"/>
  <c r="O5641" i="58"/>
  <c r="P5641" i="58" s="1"/>
  <c r="J5641" i="58"/>
  <c r="I5641" i="58"/>
  <c r="P5640" i="58"/>
  <c r="O5640" i="58"/>
  <c r="Q5639" i="58"/>
  <c r="O5639" i="58"/>
  <c r="P5639" i="58" s="1"/>
  <c r="N5639" i="58"/>
  <c r="O5638" i="58"/>
  <c r="P5638" i="58" s="1"/>
  <c r="K5638" i="58"/>
  <c r="L5638" i="58" s="1"/>
  <c r="L5632" i="58" s="1"/>
  <c r="O5637" i="58"/>
  <c r="P5637" i="58" s="1"/>
  <c r="I5637" i="58"/>
  <c r="J5637" i="58" s="1"/>
  <c r="O5636" i="58"/>
  <c r="P5636" i="58" s="1"/>
  <c r="I5636" i="58"/>
  <c r="J5636" i="58" s="1"/>
  <c r="P5635" i="58"/>
  <c r="O5635" i="58"/>
  <c r="J5635" i="58"/>
  <c r="I5635" i="58"/>
  <c r="P5634" i="58"/>
  <c r="O5634" i="58"/>
  <c r="I5634" i="58"/>
  <c r="J5634" i="58" s="1"/>
  <c r="O5633" i="58"/>
  <c r="P5633" i="58" s="1"/>
  <c r="O5632" i="58"/>
  <c r="P5632" i="58" s="1"/>
  <c r="Q5632" i="58" s="1"/>
  <c r="N5632" i="58"/>
  <c r="O5631" i="58"/>
  <c r="P5631" i="58" s="1"/>
  <c r="K5631" i="58"/>
  <c r="L5631" i="58" s="1"/>
  <c r="L5625" i="58" s="1"/>
  <c r="O5630" i="58"/>
  <c r="P5630" i="58" s="1"/>
  <c r="I5630" i="58"/>
  <c r="J5630" i="58" s="1"/>
  <c r="P5629" i="58"/>
  <c r="O5629" i="58"/>
  <c r="J5629" i="58"/>
  <c r="I5629" i="58"/>
  <c r="O5628" i="58"/>
  <c r="P5628" i="58" s="1"/>
  <c r="I5628" i="58"/>
  <c r="J5628" i="58" s="1"/>
  <c r="O5627" i="58"/>
  <c r="P5627" i="58" s="1"/>
  <c r="I5627" i="58"/>
  <c r="J5627" i="58" s="1"/>
  <c r="O5626" i="58"/>
  <c r="P5626" i="58" s="1"/>
  <c r="O5625" i="58"/>
  <c r="P5625" i="58" s="1"/>
  <c r="Q5625" i="58" s="1"/>
  <c r="N5625" i="58"/>
  <c r="P5624" i="58"/>
  <c r="O5624" i="58"/>
  <c r="L5624" i="58"/>
  <c r="L5618" i="58" s="1"/>
  <c r="K5624" i="58"/>
  <c r="P5623" i="58"/>
  <c r="O5623" i="58"/>
  <c r="J5623" i="58"/>
  <c r="I5623" i="58"/>
  <c r="O5622" i="58"/>
  <c r="P5622" i="58" s="1"/>
  <c r="I5622" i="58"/>
  <c r="J5622" i="58" s="1"/>
  <c r="O5621" i="58"/>
  <c r="P5621" i="58" s="1"/>
  <c r="I5621" i="58"/>
  <c r="J5621" i="58" s="1"/>
  <c r="P5620" i="58"/>
  <c r="O5620" i="58"/>
  <c r="J5620" i="58"/>
  <c r="I5620" i="58"/>
  <c r="P5619" i="58"/>
  <c r="O5619" i="58"/>
  <c r="P5618" i="58"/>
  <c r="Q5618" i="58" s="1"/>
  <c r="O5618" i="58"/>
  <c r="N5618" i="58"/>
  <c r="O5617" i="58"/>
  <c r="P5617" i="58" s="1"/>
  <c r="K5617" i="58"/>
  <c r="L5617" i="58" s="1"/>
  <c r="O5616" i="58"/>
  <c r="P5616" i="58" s="1"/>
  <c r="P5615" i="58"/>
  <c r="O5615" i="58"/>
  <c r="I5615" i="58"/>
  <c r="J5615" i="58" s="1"/>
  <c r="O5614" i="58"/>
  <c r="P5614" i="58" s="1"/>
  <c r="I5614" i="58"/>
  <c r="J5614" i="58" s="1"/>
  <c r="O5613" i="58"/>
  <c r="P5613" i="58" s="1"/>
  <c r="I5613" i="58"/>
  <c r="J5613" i="58" s="1"/>
  <c r="P5612" i="58"/>
  <c r="O5612" i="58"/>
  <c r="I5612" i="58"/>
  <c r="J5612" i="58" s="1"/>
  <c r="O5611" i="58"/>
  <c r="P5611" i="58" s="1"/>
  <c r="I5611" i="58"/>
  <c r="J5611" i="58" s="1"/>
  <c r="O5610" i="58"/>
  <c r="P5610" i="58" s="1"/>
  <c r="P5609" i="58"/>
  <c r="Q5609" i="58" s="1"/>
  <c r="O5609" i="58"/>
  <c r="N5609" i="58"/>
  <c r="L5609" i="58"/>
  <c r="O5608" i="58"/>
  <c r="P5608" i="58" s="1"/>
  <c r="L5608" i="58"/>
  <c r="L5599" i="58" s="1"/>
  <c r="K5608" i="58"/>
  <c r="P5607" i="58"/>
  <c r="O5607" i="58"/>
  <c r="P5606" i="58"/>
  <c r="O5606" i="58"/>
  <c r="J5606" i="58"/>
  <c r="I5606" i="58"/>
  <c r="O5605" i="58"/>
  <c r="P5605" i="58" s="1"/>
  <c r="I5605" i="58"/>
  <c r="J5605" i="58" s="1"/>
  <c r="O5604" i="58"/>
  <c r="P5604" i="58" s="1"/>
  <c r="I5604" i="58"/>
  <c r="J5604" i="58" s="1"/>
  <c r="O5603" i="58"/>
  <c r="P5603" i="58" s="1"/>
  <c r="I5603" i="58"/>
  <c r="J5603" i="58" s="1"/>
  <c r="P5602" i="58"/>
  <c r="O5602" i="58"/>
  <c r="I5602" i="58"/>
  <c r="J5602" i="58" s="1"/>
  <c r="O5601" i="58"/>
  <c r="P5601" i="58" s="1"/>
  <c r="J5601" i="58"/>
  <c r="I5601" i="58"/>
  <c r="P5600" i="58"/>
  <c r="O5600" i="58"/>
  <c r="O5599" i="58"/>
  <c r="P5599" i="58" s="1"/>
  <c r="Q5599" i="58" s="1"/>
  <c r="N5599" i="58"/>
  <c r="O5598" i="58"/>
  <c r="P5598" i="58" s="1"/>
  <c r="K5598" i="58"/>
  <c r="L5598" i="58" s="1"/>
  <c r="L5589" i="58" s="1"/>
  <c r="O5597" i="58"/>
  <c r="P5597" i="58" s="1"/>
  <c r="O5596" i="58"/>
  <c r="P5596" i="58" s="1"/>
  <c r="I5596" i="58"/>
  <c r="J5596" i="58" s="1"/>
  <c r="P5595" i="58"/>
  <c r="O5595" i="58"/>
  <c r="I5595" i="58"/>
  <c r="J5595" i="58" s="1"/>
  <c r="O5594" i="58"/>
  <c r="P5594" i="58" s="1"/>
  <c r="I5594" i="58"/>
  <c r="J5594" i="58" s="1"/>
  <c r="O5593" i="58"/>
  <c r="P5593" i="58" s="1"/>
  <c r="I5593" i="58"/>
  <c r="J5593" i="58" s="1"/>
  <c r="O5592" i="58"/>
  <c r="P5592" i="58" s="1"/>
  <c r="I5592" i="58"/>
  <c r="J5592" i="58" s="1"/>
  <c r="O5591" i="58"/>
  <c r="P5591" i="58" s="1"/>
  <c r="J5591" i="58"/>
  <c r="I5591" i="58"/>
  <c r="P5590" i="58"/>
  <c r="O5590" i="58"/>
  <c r="O5589" i="58"/>
  <c r="P5589" i="58" s="1"/>
  <c r="Q5589" i="58" s="1"/>
  <c r="N5589" i="58"/>
  <c r="O5588" i="58"/>
  <c r="P5588" i="58" s="1"/>
  <c r="K5588" i="58"/>
  <c r="L5588" i="58" s="1"/>
  <c r="L5579" i="58" s="1"/>
  <c r="O5587" i="58"/>
  <c r="P5587" i="58" s="1"/>
  <c r="O5586" i="58"/>
  <c r="P5586" i="58" s="1"/>
  <c r="J5586" i="58"/>
  <c r="I5586" i="58"/>
  <c r="O5585" i="58"/>
  <c r="P5585" i="58" s="1"/>
  <c r="I5585" i="58"/>
  <c r="J5585" i="58" s="1"/>
  <c r="P5584" i="58"/>
  <c r="O5584" i="58"/>
  <c r="J5584" i="58"/>
  <c r="I5584" i="58"/>
  <c r="O5583" i="58"/>
  <c r="P5583" i="58" s="1"/>
  <c r="I5583" i="58"/>
  <c r="J5583" i="58" s="1"/>
  <c r="P5582" i="58"/>
  <c r="O5582" i="58"/>
  <c r="I5582" i="58"/>
  <c r="J5582" i="58" s="1"/>
  <c r="O5581" i="58"/>
  <c r="P5581" i="58" s="1"/>
  <c r="I5581" i="58"/>
  <c r="J5581" i="58" s="1"/>
  <c r="O5580" i="58"/>
  <c r="P5580" i="58" s="1"/>
  <c r="O5579" i="58"/>
  <c r="P5579" i="58" s="1"/>
  <c r="Q5579" i="58" s="1"/>
  <c r="N5579" i="58"/>
  <c r="O5578" i="58"/>
  <c r="P5578" i="58" s="1"/>
  <c r="K5578" i="58"/>
  <c r="L5578" i="58" s="1"/>
  <c r="L5570" i="58" s="1"/>
  <c r="P5577" i="58"/>
  <c r="O5577" i="58"/>
  <c r="O5576" i="58"/>
  <c r="P5576" i="58" s="1"/>
  <c r="I5576" i="58"/>
  <c r="J5576" i="58" s="1"/>
  <c r="O5575" i="58"/>
  <c r="P5575" i="58" s="1"/>
  <c r="I5575" i="58"/>
  <c r="J5575" i="58" s="1"/>
  <c r="O5574" i="58"/>
  <c r="P5574" i="58" s="1"/>
  <c r="J5574" i="58"/>
  <c r="I5574" i="58"/>
  <c r="O5573" i="58"/>
  <c r="P5573" i="58" s="1"/>
  <c r="I5573" i="58"/>
  <c r="J5573" i="58" s="1"/>
  <c r="O5572" i="58"/>
  <c r="P5572" i="58" s="1"/>
  <c r="I5572" i="58"/>
  <c r="J5572" i="58" s="1"/>
  <c r="O5571" i="58"/>
  <c r="P5571" i="58" s="1"/>
  <c r="O5570" i="58"/>
  <c r="P5570" i="58" s="1"/>
  <c r="Q5570" i="58" s="1"/>
  <c r="N5570" i="58"/>
  <c r="O5569" i="58"/>
  <c r="P5569" i="58" s="1"/>
  <c r="K5569" i="58"/>
  <c r="L5569" i="58" s="1"/>
  <c r="L5561" i="58" s="1"/>
  <c r="O5568" i="58"/>
  <c r="P5568" i="58" s="1"/>
  <c r="O5567" i="58"/>
  <c r="P5567" i="58" s="1"/>
  <c r="I5567" i="58"/>
  <c r="J5567" i="58" s="1"/>
  <c r="P5566" i="58"/>
  <c r="O5566" i="58"/>
  <c r="I5566" i="58"/>
  <c r="J5566" i="58" s="1"/>
  <c r="P5565" i="58"/>
  <c r="O5565" i="58"/>
  <c r="I5565" i="58"/>
  <c r="J5565" i="58" s="1"/>
  <c r="O5564" i="58"/>
  <c r="P5564" i="58" s="1"/>
  <c r="I5564" i="58"/>
  <c r="J5564" i="58" s="1"/>
  <c r="O5563" i="58"/>
  <c r="P5563" i="58" s="1"/>
  <c r="I5563" i="58"/>
  <c r="J5563" i="58" s="1"/>
  <c r="O5562" i="58"/>
  <c r="P5562" i="58" s="1"/>
  <c r="O5561" i="58"/>
  <c r="P5561" i="58" s="1"/>
  <c r="Q5561" i="58" s="1"/>
  <c r="N5561" i="58"/>
  <c r="P5560" i="58"/>
  <c r="O5560" i="58"/>
  <c r="K5560" i="58"/>
  <c r="L5560" i="58" s="1"/>
  <c r="L5552" i="58" s="1"/>
  <c r="O5559" i="58"/>
  <c r="P5559" i="58" s="1"/>
  <c r="O5558" i="58"/>
  <c r="P5558" i="58" s="1"/>
  <c r="O5557" i="58"/>
  <c r="P5557" i="58" s="1"/>
  <c r="I5557" i="58"/>
  <c r="J5557" i="58" s="1"/>
  <c r="O5556" i="58"/>
  <c r="P5556" i="58" s="1"/>
  <c r="I5556" i="58"/>
  <c r="J5556" i="58" s="1"/>
  <c r="O5555" i="58"/>
  <c r="P5555" i="58" s="1"/>
  <c r="I5555" i="58"/>
  <c r="J5555" i="58" s="1"/>
  <c r="O5554" i="58"/>
  <c r="P5554" i="58" s="1"/>
  <c r="I5554" i="58"/>
  <c r="J5554" i="58" s="1"/>
  <c r="P5553" i="58"/>
  <c r="O5553" i="58"/>
  <c r="O5552" i="58"/>
  <c r="P5552" i="58" s="1"/>
  <c r="Q5552" i="58" s="1"/>
  <c r="N5552" i="58"/>
  <c r="P5551" i="58"/>
  <c r="O5551" i="58"/>
  <c r="K5551" i="58"/>
  <c r="L5551" i="58" s="1"/>
  <c r="L5543" i="58" s="1"/>
  <c r="P5550" i="58"/>
  <c r="O5550" i="58"/>
  <c r="P5549" i="58"/>
  <c r="O5549" i="58"/>
  <c r="O5548" i="58"/>
  <c r="P5548" i="58" s="1"/>
  <c r="I5548" i="58"/>
  <c r="J5548" i="58" s="1"/>
  <c r="O5547" i="58"/>
  <c r="P5547" i="58" s="1"/>
  <c r="I5547" i="58"/>
  <c r="J5547" i="58" s="1"/>
  <c r="O5546" i="58"/>
  <c r="P5546" i="58" s="1"/>
  <c r="I5546" i="58"/>
  <c r="J5546" i="58" s="1"/>
  <c r="O5545" i="58"/>
  <c r="P5545" i="58" s="1"/>
  <c r="I5545" i="58"/>
  <c r="J5545" i="58" s="1"/>
  <c r="O5544" i="58"/>
  <c r="P5544" i="58" s="1"/>
  <c r="O5543" i="58"/>
  <c r="P5543" i="58" s="1"/>
  <c r="Q5543" i="58" s="1"/>
  <c r="N5543" i="58"/>
  <c r="P5542" i="58"/>
  <c r="Q5542" i="58" s="1"/>
  <c r="R5542" i="58" s="1"/>
  <c r="O5542" i="58"/>
  <c r="K5542" i="58"/>
  <c r="L5542" i="58" s="1"/>
  <c r="L5534" i="58" s="1"/>
  <c r="P5541" i="58"/>
  <c r="O5541" i="58"/>
  <c r="O5540" i="58"/>
  <c r="P5540" i="58" s="1"/>
  <c r="O5539" i="58"/>
  <c r="P5539" i="58" s="1"/>
  <c r="I5539" i="58"/>
  <c r="J5539" i="58" s="1"/>
  <c r="O5538" i="58"/>
  <c r="P5538" i="58" s="1"/>
  <c r="I5538" i="58"/>
  <c r="J5538" i="58" s="1"/>
  <c r="O5537" i="58"/>
  <c r="P5537" i="58" s="1"/>
  <c r="I5537" i="58"/>
  <c r="J5537" i="58" s="1"/>
  <c r="O5536" i="58"/>
  <c r="P5536" i="58" s="1"/>
  <c r="I5536" i="58"/>
  <c r="J5536" i="58" s="1"/>
  <c r="O5535" i="58"/>
  <c r="P5535" i="58" s="1"/>
  <c r="O5534" i="58"/>
  <c r="P5534" i="58" s="1"/>
  <c r="Q5534" i="58" s="1"/>
  <c r="N5534" i="58"/>
  <c r="O5533" i="58"/>
  <c r="P5533" i="58" s="1"/>
  <c r="K5533" i="58"/>
  <c r="L5533" i="58" s="1"/>
  <c r="L5526" i="58" s="1"/>
  <c r="O5532" i="58"/>
  <c r="P5532" i="58" s="1"/>
  <c r="O5531" i="58"/>
  <c r="P5531" i="58" s="1"/>
  <c r="I5531" i="58"/>
  <c r="J5531" i="58" s="1"/>
  <c r="O5530" i="58"/>
  <c r="P5530" i="58" s="1"/>
  <c r="J5530" i="58"/>
  <c r="I5530" i="58"/>
  <c r="O5529" i="58"/>
  <c r="P5529" i="58" s="1"/>
  <c r="I5529" i="58"/>
  <c r="J5529" i="58" s="1"/>
  <c r="O5528" i="58"/>
  <c r="P5528" i="58" s="1"/>
  <c r="I5528" i="58"/>
  <c r="J5528" i="58" s="1"/>
  <c r="O5527" i="58"/>
  <c r="P5527" i="58" s="1"/>
  <c r="Q5526" i="58"/>
  <c r="O5526" i="58"/>
  <c r="P5526" i="58" s="1"/>
  <c r="N5526" i="58"/>
  <c r="O5525" i="58"/>
  <c r="P5525" i="58" s="1"/>
  <c r="K5525" i="58"/>
  <c r="L5525" i="58" s="1"/>
  <c r="L5518" i="58" s="1"/>
  <c r="O5524" i="58"/>
  <c r="P5524" i="58" s="1"/>
  <c r="O5523" i="58"/>
  <c r="P5523" i="58" s="1"/>
  <c r="I5523" i="58"/>
  <c r="J5523" i="58" s="1"/>
  <c r="O5522" i="58"/>
  <c r="P5522" i="58" s="1"/>
  <c r="I5522" i="58"/>
  <c r="J5522" i="58" s="1"/>
  <c r="P5521" i="58"/>
  <c r="O5521" i="58"/>
  <c r="I5521" i="58"/>
  <c r="J5521" i="58" s="1"/>
  <c r="O5520" i="58"/>
  <c r="P5520" i="58" s="1"/>
  <c r="I5520" i="58"/>
  <c r="J5520" i="58" s="1"/>
  <c r="P5519" i="58"/>
  <c r="O5519" i="58"/>
  <c r="O5518" i="58"/>
  <c r="P5518" i="58" s="1"/>
  <c r="Q5518" i="58" s="1"/>
  <c r="N5518" i="58"/>
  <c r="O5517" i="58"/>
  <c r="P5517" i="58" s="1"/>
  <c r="K5517" i="58"/>
  <c r="L5517" i="58" s="1"/>
  <c r="L5510" i="58" s="1"/>
  <c r="P5516" i="58"/>
  <c r="O5516" i="58"/>
  <c r="O5515" i="58"/>
  <c r="P5515" i="58" s="1"/>
  <c r="J5515" i="58"/>
  <c r="I5515" i="58"/>
  <c r="O5514" i="58"/>
  <c r="P5514" i="58" s="1"/>
  <c r="I5514" i="58"/>
  <c r="J5514" i="58" s="1"/>
  <c r="O5513" i="58"/>
  <c r="P5513" i="58" s="1"/>
  <c r="I5513" i="58"/>
  <c r="J5513" i="58" s="1"/>
  <c r="P5512" i="58"/>
  <c r="O5512" i="58"/>
  <c r="I5512" i="58"/>
  <c r="J5512" i="58" s="1"/>
  <c r="O5511" i="58"/>
  <c r="P5511" i="58" s="1"/>
  <c r="O5510" i="58"/>
  <c r="P5510" i="58" s="1"/>
  <c r="Q5510" i="58" s="1"/>
  <c r="N5510" i="58"/>
  <c r="O5509" i="58"/>
  <c r="P5509" i="58" s="1"/>
  <c r="K5509" i="58"/>
  <c r="L5509" i="58" s="1"/>
  <c r="L5502" i="58" s="1"/>
  <c r="O5508" i="58"/>
  <c r="P5508" i="58" s="1"/>
  <c r="O5507" i="58"/>
  <c r="P5507" i="58" s="1"/>
  <c r="I5507" i="58"/>
  <c r="J5507" i="58" s="1"/>
  <c r="O5506" i="58"/>
  <c r="P5506" i="58" s="1"/>
  <c r="I5506" i="58"/>
  <c r="J5506" i="58" s="1"/>
  <c r="O5505" i="58"/>
  <c r="P5505" i="58" s="1"/>
  <c r="I5505" i="58"/>
  <c r="J5505" i="58" s="1"/>
  <c r="O5504" i="58"/>
  <c r="P5504" i="58" s="1"/>
  <c r="I5504" i="58"/>
  <c r="J5504" i="58" s="1"/>
  <c r="O5503" i="58"/>
  <c r="P5503" i="58" s="1"/>
  <c r="O5502" i="58"/>
  <c r="P5502" i="58" s="1"/>
  <c r="Q5502" i="58" s="1"/>
  <c r="N5502" i="58"/>
  <c r="O5501" i="58"/>
  <c r="P5501" i="58" s="1"/>
  <c r="Q5501" i="58" s="1"/>
  <c r="R5501" i="58" s="1"/>
  <c r="K5501" i="58"/>
  <c r="L5501" i="58" s="1"/>
  <c r="L5494" i="58" s="1"/>
  <c r="P5500" i="58"/>
  <c r="O5500" i="58"/>
  <c r="O5499" i="58"/>
  <c r="P5499" i="58" s="1"/>
  <c r="I5499" i="58"/>
  <c r="J5499" i="58" s="1"/>
  <c r="O5498" i="58"/>
  <c r="P5498" i="58" s="1"/>
  <c r="I5498" i="58"/>
  <c r="J5498" i="58" s="1"/>
  <c r="P5497" i="58"/>
  <c r="O5497" i="58"/>
  <c r="I5497" i="58"/>
  <c r="J5497" i="58" s="1"/>
  <c r="O5496" i="58"/>
  <c r="P5496" i="58" s="1"/>
  <c r="J5496" i="58"/>
  <c r="I5496" i="58"/>
  <c r="P5495" i="58"/>
  <c r="O5495" i="58"/>
  <c r="O5494" i="58"/>
  <c r="P5494" i="58" s="1"/>
  <c r="Q5494" i="58" s="1"/>
  <c r="N5494" i="58"/>
  <c r="O5493" i="58"/>
  <c r="P5493" i="58" s="1"/>
  <c r="K5493" i="58"/>
  <c r="L5493" i="58" s="1"/>
  <c r="L5486" i="58" s="1"/>
  <c r="O5492" i="58"/>
  <c r="P5492" i="58" s="1"/>
  <c r="O5491" i="58"/>
  <c r="P5491" i="58" s="1"/>
  <c r="I5491" i="58"/>
  <c r="J5491" i="58" s="1"/>
  <c r="P5490" i="58"/>
  <c r="O5490" i="58"/>
  <c r="I5490" i="58"/>
  <c r="J5490" i="58" s="1"/>
  <c r="O5489" i="58"/>
  <c r="P5489" i="58" s="1"/>
  <c r="I5489" i="58"/>
  <c r="J5489" i="58" s="1"/>
  <c r="O5488" i="58"/>
  <c r="P5488" i="58" s="1"/>
  <c r="I5488" i="58"/>
  <c r="J5488" i="58" s="1"/>
  <c r="P5487" i="58"/>
  <c r="O5487" i="58"/>
  <c r="O5486" i="58"/>
  <c r="P5486" i="58" s="1"/>
  <c r="Q5486" i="58" s="1"/>
  <c r="N5486" i="58"/>
  <c r="O5485" i="58"/>
  <c r="P5485" i="58" s="1"/>
  <c r="Q5485" i="58" s="1"/>
  <c r="R5485" i="58" s="1"/>
  <c r="K5485" i="58"/>
  <c r="L5485" i="58" s="1"/>
  <c r="L5478" i="58" s="1"/>
  <c r="O5484" i="58"/>
  <c r="P5484" i="58" s="1"/>
  <c r="Q5484" i="58" s="1"/>
  <c r="R5484" i="58" s="1"/>
  <c r="P5483" i="58"/>
  <c r="O5483" i="58"/>
  <c r="J5483" i="58"/>
  <c r="I5483" i="58"/>
  <c r="O5482" i="58"/>
  <c r="P5482" i="58" s="1"/>
  <c r="I5482" i="58"/>
  <c r="J5482" i="58" s="1"/>
  <c r="O5481" i="58"/>
  <c r="P5481" i="58" s="1"/>
  <c r="J5481" i="58"/>
  <c r="I5481" i="58"/>
  <c r="O5480" i="58"/>
  <c r="P5480" i="58" s="1"/>
  <c r="I5480" i="58"/>
  <c r="J5480" i="58" s="1"/>
  <c r="O5479" i="58"/>
  <c r="P5479" i="58" s="1"/>
  <c r="O5478" i="58"/>
  <c r="P5478" i="58" s="1"/>
  <c r="Q5478" i="58" s="1"/>
  <c r="N5478" i="58"/>
  <c r="O5477" i="58"/>
  <c r="P5477" i="58" s="1"/>
  <c r="L5477" i="58"/>
  <c r="L5470" i="58" s="1"/>
  <c r="K5477" i="58"/>
  <c r="P5476" i="58"/>
  <c r="O5476" i="58"/>
  <c r="O5475" i="58"/>
  <c r="P5475" i="58" s="1"/>
  <c r="I5475" i="58"/>
  <c r="J5475" i="58" s="1"/>
  <c r="O5474" i="58"/>
  <c r="P5474" i="58" s="1"/>
  <c r="I5474" i="58"/>
  <c r="J5474" i="58" s="1"/>
  <c r="O5473" i="58"/>
  <c r="P5473" i="58" s="1"/>
  <c r="I5473" i="58"/>
  <c r="J5473" i="58" s="1"/>
  <c r="O5472" i="58"/>
  <c r="P5472" i="58" s="1"/>
  <c r="I5472" i="58"/>
  <c r="J5472" i="58" s="1"/>
  <c r="O5471" i="58"/>
  <c r="P5471" i="58" s="1"/>
  <c r="P5470" i="58"/>
  <c r="Q5470" i="58" s="1"/>
  <c r="O5470" i="58"/>
  <c r="N5470" i="58"/>
  <c r="O5469" i="58"/>
  <c r="P5469" i="58" s="1"/>
  <c r="K5469" i="58"/>
  <c r="L5469" i="58" s="1"/>
  <c r="L5462" i="58" s="1"/>
  <c r="O5468" i="58"/>
  <c r="P5468" i="58" s="1"/>
  <c r="O5467" i="58"/>
  <c r="P5467" i="58" s="1"/>
  <c r="I5467" i="58"/>
  <c r="J5467" i="58" s="1"/>
  <c r="O5466" i="58"/>
  <c r="P5466" i="58" s="1"/>
  <c r="J5466" i="58"/>
  <c r="I5466" i="58"/>
  <c r="O5465" i="58"/>
  <c r="P5465" i="58" s="1"/>
  <c r="I5465" i="58"/>
  <c r="J5465" i="58" s="1"/>
  <c r="O5464" i="58"/>
  <c r="P5464" i="58" s="1"/>
  <c r="I5464" i="58"/>
  <c r="J5464" i="58" s="1"/>
  <c r="O5463" i="58"/>
  <c r="P5463" i="58" s="1"/>
  <c r="O5462" i="58"/>
  <c r="P5462" i="58" s="1"/>
  <c r="Q5462" i="58" s="1"/>
  <c r="N5462" i="58"/>
  <c r="O5461" i="58"/>
  <c r="P5461" i="58" s="1"/>
  <c r="K5461" i="58"/>
  <c r="L5461" i="58" s="1"/>
  <c r="L5454" i="58" s="1"/>
  <c r="O5460" i="58"/>
  <c r="P5460" i="58" s="1"/>
  <c r="O5459" i="58"/>
  <c r="P5459" i="58" s="1"/>
  <c r="I5459" i="58"/>
  <c r="J5459" i="58" s="1"/>
  <c r="P5458" i="58"/>
  <c r="O5458" i="58"/>
  <c r="I5458" i="58"/>
  <c r="J5458" i="58" s="1"/>
  <c r="O5457" i="58"/>
  <c r="P5457" i="58" s="1"/>
  <c r="I5457" i="58"/>
  <c r="J5457" i="58" s="1"/>
  <c r="O5456" i="58"/>
  <c r="P5456" i="58" s="1"/>
  <c r="I5456" i="58"/>
  <c r="J5456" i="58" s="1"/>
  <c r="O5455" i="58"/>
  <c r="P5455" i="58" s="1"/>
  <c r="Q5454" i="58"/>
  <c r="O5454" i="58"/>
  <c r="P5454" i="58" s="1"/>
  <c r="N5454" i="58"/>
  <c r="O5453" i="58"/>
  <c r="P5453" i="58" s="1"/>
  <c r="K5453" i="58"/>
  <c r="L5453" i="58" s="1"/>
  <c r="L5446" i="58" s="1"/>
  <c r="P5452" i="58"/>
  <c r="O5452" i="58"/>
  <c r="O5451" i="58"/>
  <c r="P5451" i="58" s="1"/>
  <c r="I5451" i="58"/>
  <c r="J5451" i="58" s="1"/>
  <c r="P5450" i="58"/>
  <c r="O5450" i="58"/>
  <c r="I5450" i="58"/>
  <c r="J5450" i="58" s="1"/>
  <c r="O5449" i="58"/>
  <c r="P5449" i="58" s="1"/>
  <c r="I5449" i="58"/>
  <c r="J5449" i="58" s="1"/>
  <c r="O5448" i="58"/>
  <c r="P5448" i="58" s="1"/>
  <c r="I5448" i="58"/>
  <c r="J5448" i="58" s="1"/>
  <c r="O5447" i="58"/>
  <c r="P5447" i="58" s="1"/>
  <c r="O5446" i="58"/>
  <c r="P5446" i="58" s="1"/>
  <c r="Q5446" i="58" s="1"/>
  <c r="N5446" i="58"/>
  <c r="P5445" i="58"/>
  <c r="O5445" i="58"/>
  <c r="K5445" i="58"/>
  <c r="L5445" i="58" s="1"/>
  <c r="L5438" i="58" s="1"/>
  <c r="O5444" i="58"/>
  <c r="P5444" i="58" s="1"/>
  <c r="O5443" i="58"/>
  <c r="P5443" i="58" s="1"/>
  <c r="I5443" i="58"/>
  <c r="J5443" i="58" s="1"/>
  <c r="O5442" i="58"/>
  <c r="P5442" i="58" s="1"/>
  <c r="I5442" i="58"/>
  <c r="J5442" i="58" s="1"/>
  <c r="O5441" i="58"/>
  <c r="P5441" i="58" s="1"/>
  <c r="I5441" i="58"/>
  <c r="J5441" i="58" s="1"/>
  <c r="O5440" i="58"/>
  <c r="P5440" i="58" s="1"/>
  <c r="I5440" i="58"/>
  <c r="J5440" i="58" s="1"/>
  <c r="O5439" i="58"/>
  <c r="P5439" i="58" s="1"/>
  <c r="O5438" i="58"/>
  <c r="P5438" i="58" s="1"/>
  <c r="Q5438" i="58" s="1"/>
  <c r="N5438" i="58"/>
  <c r="O5437" i="58"/>
  <c r="P5437" i="58" s="1"/>
  <c r="K5437" i="58"/>
  <c r="L5437" i="58" s="1"/>
  <c r="L5430" i="58" s="1"/>
  <c r="O5436" i="58"/>
  <c r="P5436" i="58" s="1"/>
  <c r="O5435" i="58"/>
  <c r="P5435" i="58" s="1"/>
  <c r="J5435" i="58"/>
  <c r="I5435" i="58"/>
  <c r="O5434" i="58"/>
  <c r="P5434" i="58" s="1"/>
  <c r="I5434" i="58"/>
  <c r="J5434" i="58" s="1"/>
  <c r="P5433" i="58"/>
  <c r="O5433" i="58"/>
  <c r="I5433" i="58"/>
  <c r="J5433" i="58" s="1"/>
  <c r="O5432" i="58"/>
  <c r="P5432" i="58" s="1"/>
  <c r="I5432" i="58"/>
  <c r="J5432" i="58" s="1"/>
  <c r="O5431" i="58"/>
  <c r="P5431" i="58" s="1"/>
  <c r="O5430" i="58"/>
  <c r="P5430" i="58" s="1"/>
  <c r="Q5430" i="58" s="1"/>
  <c r="N5430" i="58"/>
  <c r="O5429" i="58"/>
  <c r="P5429" i="58" s="1"/>
  <c r="K5429" i="58"/>
  <c r="L5429" i="58" s="1"/>
  <c r="L5422" i="58" s="1"/>
  <c r="O5428" i="58"/>
  <c r="P5428" i="58" s="1"/>
  <c r="P5427" i="58"/>
  <c r="O5427" i="58"/>
  <c r="I5427" i="58"/>
  <c r="J5427" i="58" s="1"/>
  <c r="O5426" i="58"/>
  <c r="P5426" i="58" s="1"/>
  <c r="I5426" i="58"/>
  <c r="J5426" i="58" s="1"/>
  <c r="O5425" i="58"/>
  <c r="P5425" i="58" s="1"/>
  <c r="I5425" i="58"/>
  <c r="J5425" i="58" s="1"/>
  <c r="O5424" i="58"/>
  <c r="P5424" i="58" s="1"/>
  <c r="I5424" i="58"/>
  <c r="J5424" i="58" s="1"/>
  <c r="O5423" i="58"/>
  <c r="P5423" i="58" s="1"/>
  <c r="P5422" i="58"/>
  <c r="Q5422" i="58" s="1"/>
  <c r="O5422" i="58"/>
  <c r="N5422" i="58"/>
  <c r="O5421" i="58"/>
  <c r="P5421" i="58" s="1"/>
  <c r="L5421" i="58"/>
  <c r="L5414" i="58" s="1"/>
  <c r="K5421" i="58"/>
  <c r="O5420" i="58"/>
  <c r="P5420" i="58" s="1"/>
  <c r="O5419" i="58"/>
  <c r="P5419" i="58" s="1"/>
  <c r="I5419" i="58"/>
  <c r="J5419" i="58" s="1"/>
  <c r="P5418" i="58"/>
  <c r="O5418" i="58"/>
  <c r="I5418" i="58"/>
  <c r="J5418" i="58" s="1"/>
  <c r="O5417" i="58"/>
  <c r="P5417" i="58" s="1"/>
  <c r="I5417" i="58"/>
  <c r="J5417" i="58" s="1"/>
  <c r="O5416" i="58"/>
  <c r="P5416" i="58" s="1"/>
  <c r="J5416" i="58"/>
  <c r="I5416" i="58"/>
  <c r="O5415" i="58"/>
  <c r="P5415" i="58" s="1"/>
  <c r="O5414" i="58"/>
  <c r="P5414" i="58" s="1"/>
  <c r="Q5414" i="58" s="1"/>
  <c r="N5414" i="58"/>
  <c r="O5413" i="58"/>
  <c r="P5413" i="58" s="1"/>
  <c r="K5413" i="58"/>
  <c r="L5413" i="58" s="1"/>
  <c r="L5407" i="58" s="1"/>
  <c r="O5412" i="58"/>
  <c r="P5412" i="58" s="1"/>
  <c r="O5411" i="58"/>
  <c r="P5411" i="58" s="1"/>
  <c r="I5411" i="58"/>
  <c r="J5411" i="58" s="1"/>
  <c r="O5410" i="58"/>
  <c r="P5410" i="58" s="1"/>
  <c r="I5410" i="58"/>
  <c r="J5410" i="58" s="1"/>
  <c r="O5409" i="58"/>
  <c r="P5409" i="58" s="1"/>
  <c r="I5409" i="58"/>
  <c r="J5409" i="58" s="1"/>
  <c r="P5408" i="58"/>
  <c r="O5408" i="58"/>
  <c r="P5407" i="58"/>
  <c r="Q5407" i="58" s="1"/>
  <c r="O5407" i="58"/>
  <c r="N5407" i="58"/>
  <c r="P5406" i="58"/>
  <c r="Q5406" i="58" s="1"/>
  <c r="O5406" i="58"/>
  <c r="K5406" i="58"/>
  <c r="L5406" i="58" s="1"/>
  <c r="L5400" i="58" s="1"/>
  <c r="O5405" i="58"/>
  <c r="P5405" i="58" s="1"/>
  <c r="O5404" i="58"/>
  <c r="P5404" i="58" s="1"/>
  <c r="I5404" i="58"/>
  <c r="J5404" i="58" s="1"/>
  <c r="P5403" i="58"/>
  <c r="O5403" i="58"/>
  <c r="I5403" i="58"/>
  <c r="J5403" i="58" s="1"/>
  <c r="P5402" i="58"/>
  <c r="O5402" i="58"/>
  <c r="J5402" i="58"/>
  <c r="I5402" i="58"/>
  <c r="O5401" i="58"/>
  <c r="P5401" i="58" s="1"/>
  <c r="P5400" i="58"/>
  <c r="Q5400" i="58" s="1"/>
  <c r="O5400" i="58"/>
  <c r="N5400" i="58"/>
  <c r="O5399" i="58"/>
  <c r="P5399" i="58" s="1"/>
  <c r="L5399" i="58"/>
  <c r="L5393" i="58" s="1"/>
  <c r="K5399" i="58"/>
  <c r="O5398" i="58"/>
  <c r="P5398" i="58" s="1"/>
  <c r="O5397" i="58"/>
  <c r="P5397" i="58" s="1"/>
  <c r="J5397" i="58"/>
  <c r="I5397" i="58"/>
  <c r="O5396" i="58"/>
  <c r="P5396" i="58" s="1"/>
  <c r="J5396" i="58"/>
  <c r="I5396" i="58"/>
  <c r="O5395" i="58"/>
  <c r="P5395" i="58" s="1"/>
  <c r="I5395" i="58"/>
  <c r="J5395" i="58" s="1"/>
  <c r="O5394" i="58"/>
  <c r="P5394" i="58" s="1"/>
  <c r="P5393" i="58"/>
  <c r="Q5393" i="58" s="1"/>
  <c r="O5393" i="58"/>
  <c r="N5393" i="58"/>
  <c r="O5392" i="58"/>
  <c r="P5392" i="58" s="1"/>
  <c r="Q5392" i="58" s="1"/>
  <c r="L5392" i="58"/>
  <c r="L5386" i="58" s="1"/>
  <c r="K5392" i="58"/>
  <c r="P5391" i="58"/>
  <c r="O5391" i="58"/>
  <c r="O5390" i="58"/>
  <c r="P5390" i="58" s="1"/>
  <c r="I5390" i="58"/>
  <c r="J5390" i="58" s="1"/>
  <c r="P5389" i="58"/>
  <c r="O5389" i="58"/>
  <c r="I5389" i="58"/>
  <c r="J5389" i="58" s="1"/>
  <c r="O5388" i="58"/>
  <c r="P5388" i="58" s="1"/>
  <c r="I5388" i="58"/>
  <c r="J5388" i="58" s="1"/>
  <c r="O5387" i="58"/>
  <c r="P5387" i="58" s="1"/>
  <c r="O5386" i="58"/>
  <c r="P5386" i="58" s="1"/>
  <c r="Q5386" i="58" s="1"/>
  <c r="N5386" i="58"/>
  <c r="O5385" i="58"/>
  <c r="P5385" i="58" s="1"/>
  <c r="L5385" i="58"/>
  <c r="L5379" i="58" s="1"/>
  <c r="K5385" i="58"/>
  <c r="O5384" i="58"/>
  <c r="P5384" i="58" s="1"/>
  <c r="O5383" i="58"/>
  <c r="P5383" i="58" s="1"/>
  <c r="I5383" i="58"/>
  <c r="J5383" i="58" s="1"/>
  <c r="O5382" i="58"/>
  <c r="P5382" i="58" s="1"/>
  <c r="I5382" i="58"/>
  <c r="J5382" i="58" s="1"/>
  <c r="O5381" i="58"/>
  <c r="P5381" i="58" s="1"/>
  <c r="I5381" i="58"/>
  <c r="J5381" i="58" s="1"/>
  <c r="O5380" i="58"/>
  <c r="P5380" i="58" s="1"/>
  <c r="O5379" i="58"/>
  <c r="P5379" i="58" s="1"/>
  <c r="Q5379" i="58" s="1"/>
  <c r="N5379" i="58"/>
  <c r="O5378" i="58"/>
  <c r="P5378" i="58" s="1"/>
  <c r="Q5378" i="58" s="1"/>
  <c r="R5378" i="58" s="1"/>
  <c r="K5378" i="58"/>
  <c r="L5378" i="58" s="1"/>
  <c r="L5372" i="58" s="1"/>
  <c r="O5377" i="58"/>
  <c r="P5377" i="58" s="1"/>
  <c r="P5376" i="58"/>
  <c r="O5376" i="58"/>
  <c r="I5376" i="58"/>
  <c r="J5376" i="58" s="1"/>
  <c r="O5375" i="58"/>
  <c r="P5375" i="58" s="1"/>
  <c r="I5375" i="58"/>
  <c r="J5375" i="58" s="1"/>
  <c r="O5374" i="58"/>
  <c r="P5374" i="58" s="1"/>
  <c r="I5374" i="58"/>
  <c r="J5374" i="58" s="1"/>
  <c r="O5373" i="58"/>
  <c r="P5373" i="58" s="1"/>
  <c r="O5372" i="58"/>
  <c r="P5372" i="58" s="1"/>
  <c r="Q5372" i="58" s="1"/>
  <c r="N5372" i="58"/>
  <c r="O5371" i="58"/>
  <c r="P5371" i="58" s="1"/>
  <c r="K5371" i="58"/>
  <c r="L5371" i="58" s="1"/>
  <c r="L5365" i="58" s="1"/>
  <c r="O5370" i="58"/>
  <c r="P5370" i="58" s="1"/>
  <c r="O5369" i="58"/>
  <c r="P5369" i="58" s="1"/>
  <c r="I5369" i="58"/>
  <c r="J5369" i="58" s="1"/>
  <c r="O5368" i="58"/>
  <c r="P5368" i="58" s="1"/>
  <c r="I5368" i="58"/>
  <c r="J5368" i="58" s="1"/>
  <c r="O5367" i="58"/>
  <c r="P5367" i="58" s="1"/>
  <c r="I5367" i="58"/>
  <c r="J5367" i="58" s="1"/>
  <c r="O5366" i="58"/>
  <c r="P5366" i="58" s="1"/>
  <c r="O5365" i="58"/>
  <c r="P5365" i="58" s="1"/>
  <c r="Q5365" i="58" s="1"/>
  <c r="N5365" i="58"/>
  <c r="O5364" i="58"/>
  <c r="P5364" i="58" s="1"/>
  <c r="Q5364" i="58" s="1"/>
  <c r="R5364" i="58" s="1"/>
  <c r="L5364" i="58"/>
  <c r="L5358" i="58" s="1"/>
  <c r="K5364" i="58"/>
  <c r="P5363" i="58"/>
  <c r="O5363" i="58"/>
  <c r="P5362" i="58"/>
  <c r="O5362" i="58"/>
  <c r="I5362" i="58"/>
  <c r="J5362" i="58" s="1"/>
  <c r="O5361" i="58"/>
  <c r="P5361" i="58" s="1"/>
  <c r="I5361" i="58"/>
  <c r="J5361" i="58" s="1"/>
  <c r="P5360" i="58"/>
  <c r="O5360" i="58"/>
  <c r="I5360" i="58"/>
  <c r="J5360" i="58" s="1"/>
  <c r="O5359" i="58"/>
  <c r="P5359" i="58" s="1"/>
  <c r="O5358" i="58"/>
  <c r="P5358" i="58" s="1"/>
  <c r="Q5358" i="58" s="1"/>
  <c r="N5358" i="58"/>
  <c r="O5357" i="58"/>
  <c r="P5357" i="58" s="1"/>
  <c r="L5357" i="58"/>
  <c r="L5351" i="58" s="1"/>
  <c r="K5357" i="58"/>
  <c r="O5356" i="58"/>
  <c r="P5356" i="58" s="1"/>
  <c r="O5355" i="58"/>
  <c r="P5355" i="58" s="1"/>
  <c r="I5355" i="58"/>
  <c r="J5355" i="58" s="1"/>
  <c r="O5354" i="58"/>
  <c r="P5354" i="58" s="1"/>
  <c r="I5354" i="58"/>
  <c r="J5354" i="58" s="1"/>
  <c r="O5353" i="58"/>
  <c r="P5353" i="58" s="1"/>
  <c r="I5353" i="58"/>
  <c r="J5353" i="58" s="1"/>
  <c r="O5352" i="58"/>
  <c r="P5352" i="58" s="1"/>
  <c r="O5351" i="58"/>
  <c r="P5351" i="58" s="1"/>
  <c r="Q5351" i="58" s="1"/>
  <c r="N5351" i="58"/>
  <c r="J5351" i="58"/>
  <c r="P5350" i="58"/>
  <c r="O5350" i="58"/>
  <c r="K5350" i="58"/>
  <c r="L5350" i="58" s="1"/>
  <c r="L5344" i="58" s="1"/>
  <c r="O5349" i="58"/>
  <c r="P5349" i="58" s="1"/>
  <c r="O5348" i="58"/>
  <c r="P5348" i="58" s="1"/>
  <c r="I5348" i="58"/>
  <c r="J5348" i="58" s="1"/>
  <c r="P5347" i="58"/>
  <c r="O5347" i="58"/>
  <c r="I5347" i="58"/>
  <c r="J5347" i="58" s="1"/>
  <c r="O5346" i="58"/>
  <c r="P5346" i="58" s="1"/>
  <c r="I5346" i="58"/>
  <c r="J5346" i="58" s="1"/>
  <c r="P5345" i="58"/>
  <c r="O5345" i="58"/>
  <c r="O5344" i="58"/>
  <c r="P5344" i="58" s="1"/>
  <c r="Q5344" i="58" s="1"/>
  <c r="N5344" i="58"/>
  <c r="O5343" i="58"/>
  <c r="P5343" i="58" s="1"/>
  <c r="K5343" i="58"/>
  <c r="L5343" i="58" s="1"/>
  <c r="L5337" i="58" s="1"/>
  <c r="P5342" i="58"/>
  <c r="O5342" i="58"/>
  <c r="O5341" i="58"/>
  <c r="P5341" i="58" s="1"/>
  <c r="I5341" i="58"/>
  <c r="J5341" i="58" s="1"/>
  <c r="O5340" i="58"/>
  <c r="P5340" i="58" s="1"/>
  <c r="I5340" i="58"/>
  <c r="J5340" i="58" s="1"/>
  <c r="O5339" i="58"/>
  <c r="P5339" i="58" s="1"/>
  <c r="I5339" i="58"/>
  <c r="J5339" i="58" s="1"/>
  <c r="J5337" i="58" s="1"/>
  <c r="P5338" i="58"/>
  <c r="O5338" i="58"/>
  <c r="O5337" i="58"/>
  <c r="P5337" i="58" s="1"/>
  <c r="Q5337" i="58" s="1"/>
  <c r="N5337" i="58"/>
  <c r="O5336" i="58"/>
  <c r="P5336" i="58" s="1"/>
  <c r="K5336" i="58"/>
  <c r="L5336" i="58" s="1"/>
  <c r="L5330" i="58" s="1"/>
  <c r="O5335" i="58"/>
  <c r="P5335" i="58" s="1"/>
  <c r="O5334" i="58"/>
  <c r="P5334" i="58" s="1"/>
  <c r="I5334" i="58"/>
  <c r="J5334" i="58" s="1"/>
  <c r="P5333" i="58"/>
  <c r="O5333" i="58"/>
  <c r="J5333" i="58"/>
  <c r="I5333" i="58"/>
  <c r="P5332" i="58"/>
  <c r="O5332" i="58"/>
  <c r="J5332" i="58"/>
  <c r="I5332" i="58"/>
  <c r="O5331" i="58"/>
  <c r="P5331" i="58" s="1"/>
  <c r="O5330" i="58"/>
  <c r="P5330" i="58" s="1"/>
  <c r="Q5330" i="58" s="1"/>
  <c r="N5330" i="58"/>
  <c r="O5329" i="58"/>
  <c r="P5329" i="58" s="1"/>
  <c r="K5329" i="58"/>
  <c r="L5329" i="58" s="1"/>
  <c r="L5323" i="58" s="1"/>
  <c r="O5328" i="58"/>
  <c r="P5328" i="58" s="1"/>
  <c r="O5327" i="58"/>
  <c r="P5327" i="58" s="1"/>
  <c r="I5327" i="58"/>
  <c r="J5327" i="58" s="1"/>
  <c r="O5326" i="58"/>
  <c r="P5326" i="58" s="1"/>
  <c r="I5326" i="58"/>
  <c r="J5326" i="58" s="1"/>
  <c r="P5325" i="58"/>
  <c r="O5325" i="58"/>
  <c r="J5325" i="58"/>
  <c r="I5325" i="58"/>
  <c r="O5324" i="58"/>
  <c r="P5324" i="58" s="1"/>
  <c r="Q5323" i="58"/>
  <c r="O5323" i="58"/>
  <c r="P5323" i="58" s="1"/>
  <c r="N5323" i="58"/>
  <c r="O5322" i="58"/>
  <c r="P5322" i="58" s="1"/>
  <c r="Q5322" i="58" s="1"/>
  <c r="R5322" i="58" s="1"/>
  <c r="K5322" i="58"/>
  <c r="L5322" i="58" s="1"/>
  <c r="L5316" i="58" s="1"/>
  <c r="O5321" i="58"/>
  <c r="P5321" i="58" s="1"/>
  <c r="O5320" i="58"/>
  <c r="P5320" i="58" s="1"/>
  <c r="I5320" i="58"/>
  <c r="J5320" i="58" s="1"/>
  <c r="O5319" i="58"/>
  <c r="P5319" i="58" s="1"/>
  <c r="I5319" i="58"/>
  <c r="J5319" i="58" s="1"/>
  <c r="O5318" i="58"/>
  <c r="P5318" i="58" s="1"/>
  <c r="I5318" i="58"/>
  <c r="J5318" i="58" s="1"/>
  <c r="P5317" i="58"/>
  <c r="O5317" i="58"/>
  <c r="O5316" i="58"/>
  <c r="P5316" i="58" s="1"/>
  <c r="Q5316" i="58" s="1"/>
  <c r="N5316" i="58"/>
  <c r="P5315" i="58"/>
  <c r="O5315" i="58"/>
  <c r="K5315" i="58"/>
  <c r="L5315" i="58" s="1"/>
  <c r="L5309" i="58" s="1"/>
  <c r="O5314" i="58"/>
  <c r="P5314" i="58" s="1"/>
  <c r="O5313" i="58"/>
  <c r="P5313" i="58" s="1"/>
  <c r="I5313" i="58"/>
  <c r="J5313" i="58" s="1"/>
  <c r="O5312" i="58"/>
  <c r="P5312" i="58" s="1"/>
  <c r="I5312" i="58"/>
  <c r="J5312" i="58" s="1"/>
  <c r="O5311" i="58"/>
  <c r="P5311" i="58" s="1"/>
  <c r="I5311" i="58"/>
  <c r="J5311" i="58" s="1"/>
  <c r="P5310" i="58"/>
  <c r="O5310" i="58"/>
  <c r="O5309" i="58"/>
  <c r="P5309" i="58" s="1"/>
  <c r="Q5309" i="58" s="1"/>
  <c r="N5309" i="58"/>
  <c r="O5308" i="58"/>
  <c r="P5308" i="58" s="1"/>
  <c r="K5308" i="58"/>
  <c r="L5308" i="58" s="1"/>
  <c r="L5300" i="58" s="1"/>
  <c r="O5307" i="58"/>
  <c r="P5307" i="58" s="1"/>
  <c r="O5306" i="58"/>
  <c r="P5306" i="58" s="1"/>
  <c r="I5306" i="58"/>
  <c r="J5306" i="58" s="1"/>
  <c r="O5305" i="58"/>
  <c r="P5305" i="58" s="1"/>
  <c r="I5305" i="58"/>
  <c r="J5305" i="58" s="1"/>
  <c r="O5304" i="58"/>
  <c r="P5304" i="58" s="1"/>
  <c r="I5304" i="58"/>
  <c r="J5304" i="58" s="1"/>
  <c r="O5303" i="58"/>
  <c r="P5303" i="58" s="1"/>
  <c r="I5303" i="58"/>
  <c r="J5303" i="58" s="1"/>
  <c r="P5302" i="58"/>
  <c r="O5302" i="58"/>
  <c r="J5302" i="58"/>
  <c r="I5302" i="58"/>
  <c r="O5301" i="58"/>
  <c r="P5301" i="58" s="1"/>
  <c r="O5300" i="58"/>
  <c r="P5300" i="58" s="1"/>
  <c r="Q5300" i="58" s="1"/>
  <c r="N5300" i="58"/>
  <c r="O5299" i="58"/>
  <c r="P5299" i="58" s="1"/>
  <c r="K5299" i="58"/>
  <c r="L5299" i="58" s="1"/>
  <c r="L5291" i="58" s="1"/>
  <c r="O5298" i="58"/>
  <c r="P5298" i="58" s="1"/>
  <c r="O5297" i="58"/>
  <c r="P5297" i="58" s="1"/>
  <c r="I5297" i="58"/>
  <c r="J5297" i="58" s="1"/>
  <c r="O5296" i="58"/>
  <c r="P5296" i="58" s="1"/>
  <c r="J5296" i="58"/>
  <c r="I5296" i="58"/>
  <c r="P5295" i="58"/>
  <c r="O5295" i="58"/>
  <c r="I5295" i="58"/>
  <c r="J5295" i="58" s="1"/>
  <c r="O5294" i="58"/>
  <c r="P5294" i="58" s="1"/>
  <c r="I5294" i="58"/>
  <c r="J5294" i="58" s="1"/>
  <c r="O5293" i="58"/>
  <c r="P5293" i="58" s="1"/>
  <c r="I5293" i="58"/>
  <c r="J5293" i="58" s="1"/>
  <c r="O5292" i="58"/>
  <c r="P5292" i="58" s="1"/>
  <c r="O5291" i="58"/>
  <c r="P5291" i="58" s="1"/>
  <c r="Q5291" i="58" s="1"/>
  <c r="N5291" i="58"/>
  <c r="O5290" i="58"/>
  <c r="P5290" i="58" s="1"/>
  <c r="K5290" i="58"/>
  <c r="L5290" i="58" s="1"/>
  <c r="L5282" i="58" s="1"/>
  <c r="G17" i="63" s="1"/>
  <c r="M17" i="63" s="1"/>
  <c r="M10" i="63" s="1"/>
  <c r="G8" i="57" s="1"/>
  <c r="K8" i="57" s="1"/>
  <c r="O5289" i="58"/>
  <c r="P5289" i="58" s="1"/>
  <c r="O5288" i="58"/>
  <c r="P5288" i="58" s="1"/>
  <c r="I5288" i="58"/>
  <c r="J5288" i="58" s="1"/>
  <c r="P5287" i="58"/>
  <c r="O5287" i="58"/>
  <c r="J5287" i="58"/>
  <c r="I5287" i="58"/>
  <c r="O5286" i="58"/>
  <c r="P5286" i="58" s="1"/>
  <c r="I5286" i="58"/>
  <c r="J5286" i="58" s="1"/>
  <c r="O5285" i="58"/>
  <c r="P5285" i="58" s="1"/>
  <c r="I5285" i="58"/>
  <c r="J5285" i="58" s="1"/>
  <c r="O5284" i="58"/>
  <c r="P5284" i="58" s="1"/>
  <c r="I5284" i="58"/>
  <c r="J5284" i="58" s="1"/>
  <c r="O5283" i="58"/>
  <c r="P5283" i="58" s="1"/>
  <c r="O5282" i="58"/>
  <c r="P5282" i="58" s="1"/>
  <c r="Q5282" i="58" s="1"/>
  <c r="N5282" i="58"/>
  <c r="O5281" i="58"/>
  <c r="P5281" i="58" s="1"/>
  <c r="Q5281" i="58" s="1"/>
  <c r="K5281" i="58"/>
  <c r="L5281" i="58" s="1"/>
  <c r="L5273" i="58" s="1"/>
  <c r="O5280" i="58"/>
  <c r="P5280" i="58" s="1"/>
  <c r="O5279" i="58"/>
  <c r="P5279" i="58" s="1"/>
  <c r="J5279" i="58"/>
  <c r="I5279" i="58"/>
  <c r="O5278" i="58"/>
  <c r="P5278" i="58" s="1"/>
  <c r="I5278" i="58"/>
  <c r="J5278" i="58" s="1"/>
  <c r="O5277" i="58"/>
  <c r="P5277" i="58" s="1"/>
  <c r="I5277" i="58"/>
  <c r="J5277" i="58" s="1"/>
  <c r="O5276" i="58"/>
  <c r="P5276" i="58" s="1"/>
  <c r="I5276" i="58"/>
  <c r="J5276" i="58" s="1"/>
  <c r="O5275" i="58"/>
  <c r="P5275" i="58" s="1"/>
  <c r="I5275" i="58"/>
  <c r="J5275" i="58" s="1"/>
  <c r="P5274" i="58"/>
  <c r="O5274" i="58"/>
  <c r="O5273" i="58"/>
  <c r="P5273" i="58" s="1"/>
  <c r="Q5273" i="58" s="1"/>
  <c r="N5273" i="58"/>
  <c r="O5272" i="58"/>
  <c r="P5272" i="58" s="1"/>
  <c r="K5272" i="58"/>
  <c r="L5272" i="58" s="1"/>
  <c r="L5264" i="58" s="1"/>
  <c r="P5271" i="58"/>
  <c r="O5271" i="58"/>
  <c r="O5270" i="58"/>
  <c r="P5270" i="58" s="1"/>
  <c r="I5270" i="58"/>
  <c r="J5270" i="58" s="1"/>
  <c r="O5269" i="58"/>
  <c r="P5269" i="58" s="1"/>
  <c r="I5269" i="58"/>
  <c r="J5269" i="58" s="1"/>
  <c r="O5268" i="58"/>
  <c r="P5268" i="58" s="1"/>
  <c r="I5268" i="58"/>
  <c r="J5268" i="58" s="1"/>
  <c r="P5267" i="58"/>
  <c r="O5267" i="58"/>
  <c r="I5267" i="58"/>
  <c r="J5267" i="58" s="1"/>
  <c r="P5266" i="58"/>
  <c r="O5266" i="58"/>
  <c r="I5266" i="58"/>
  <c r="J5266" i="58" s="1"/>
  <c r="P5265" i="58"/>
  <c r="O5265" i="58"/>
  <c r="P5264" i="58"/>
  <c r="Q5264" i="58" s="1"/>
  <c r="Q5263" i="58" s="1"/>
  <c r="R5263" i="58" s="1"/>
  <c r="O5264" i="58"/>
  <c r="N5264" i="58"/>
  <c r="O5263" i="58"/>
  <c r="P5263" i="58" s="1"/>
  <c r="K5263" i="58"/>
  <c r="L5263" i="58" s="1"/>
  <c r="L5255" i="58" s="1"/>
  <c r="O5262" i="58"/>
  <c r="P5262" i="58" s="1"/>
  <c r="O5261" i="58"/>
  <c r="P5261" i="58" s="1"/>
  <c r="I5261" i="58"/>
  <c r="J5261" i="58" s="1"/>
  <c r="O5260" i="58"/>
  <c r="P5260" i="58" s="1"/>
  <c r="I5260" i="58"/>
  <c r="J5260" i="58" s="1"/>
  <c r="O5259" i="58"/>
  <c r="P5259" i="58" s="1"/>
  <c r="I5259" i="58"/>
  <c r="J5259" i="58" s="1"/>
  <c r="O5258" i="58"/>
  <c r="P5258" i="58" s="1"/>
  <c r="I5258" i="58"/>
  <c r="J5258" i="58" s="1"/>
  <c r="P5257" i="58"/>
  <c r="O5257" i="58"/>
  <c r="I5257" i="58"/>
  <c r="J5257" i="58" s="1"/>
  <c r="O5256" i="58"/>
  <c r="P5256" i="58" s="1"/>
  <c r="O5255" i="58"/>
  <c r="P5255" i="58" s="1"/>
  <c r="Q5255" i="58" s="1"/>
  <c r="N5255" i="58"/>
  <c r="O5254" i="58"/>
  <c r="P5254" i="58" s="1"/>
  <c r="K5254" i="58"/>
  <c r="L5254" i="58" s="1"/>
  <c r="L5246" i="58" s="1"/>
  <c r="O5253" i="58"/>
  <c r="P5253" i="58" s="1"/>
  <c r="O5252" i="58"/>
  <c r="P5252" i="58" s="1"/>
  <c r="I5252" i="58"/>
  <c r="J5252" i="58" s="1"/>
  <c r="O5251" i="58"/>
  <c r="P5251" i="58" s="1"/>
  <c r="I5251" i="58"/>
  <c r="J5251" i="58" s="1"/>
  <c r="P5250" i="58"/>
  <c r="O5250" i="58"/>
  <c r="I5250" i="58"/>
  <c r="J5250" i="58" s="1"/>
  <c r="P5249" i="58"/>
  <c r="O5249" i="58"/>
  <c r="I5249" i="58"/>
  <c r="J5249" i="58" s="1"/>
  <c r="O5248" i="58"/>
  <c r="P5248" i="58" s="1"/>
  <c r="I5248" i="58"/>
  <c r="J5248" i="58" s="1"/>
  <c r="O5247" i="58"/>
  <c r="P5247" i="58" s="1"/>
  <c r="O5246" i="58"/>
  <c r="P5246" i="58" s="1"/>
  <c r="Q5246" i="58" s="1"/>
  <c r="N5246" i="58"/>
  <c r="O5245" i="58"/>
  <c r="P5245" i="58" s="1"/>
  <c r="Q5245" i="58" s="1"/>
  <c r="K5245" i="58"/>
  <c r="L5245" i="58" s="1"/>
  <c r="L5237" i="58" s="1"/>
  <c r="O5244" i="58"/>
  <c r="P5244" i="58" s="1"/>
  <c r="O5243" i="58"/>
  <c r="P5243" i="58" s="1"/>
  <c r="I5243" i="58"/>
  <c r="J5243" i="58" s="1"/>
  <c r="O5242" i="58"/>
  <c r="P5242" i="58" s="1"/>
  <c r="I5242" i="58"/>
  <c r="J5242" i="58" s="1"/>
  <c r="O5241" i="58"/>
  <c r="P5241" i="58" s="1"/>
  <c r="I5241" i="58"/>
  <c r="J5241" i="58" s="1"/>
  <c r="O5240" i="58"/>
  <c r="P5240" i="58" s="1"/>
  <c r="I5240" i="58"/>
  <c r="J5240" i="58" s="1"/>
  <c r="P5239" i="58"/>
  <c r="O5239" i="58"/>
  <c r="I5239" i="58"/>
  <c r="J5239" i="58" s="1"/>
  <c r="J5237" i="58" s="1"/>
  <c r="O5238" i="58"/>
  <c r="P5238" i="58" s="1"/>
  <c r="O5237" i="58"/>
  <c r="P5237" i="58" s="1"/>
  <c r="Q5237" i="58" s="1"/>
  <c r="Q5236" i="58" s="1"/>
  <c r="R5236" i="58" s="1"/>
  <c r="N5237" i="58"/>
  <c r="O5236" i="58"/>
  <c r="P5236" i="58" s="1"/>
  <c r="K5236" i="58"/>
  <c r="L5236" i="58" s="1"/>
  <c r="L5228" i="58" s="1"/>
  <c r="P5235" i="58"/>
  <c r="O5235" i="58"/>
  <c r="P5234" i="58"/>
  <c r="O5234" i="58"/>
  <c r="I5234" i="58"/>
  <c r="J5234" i="58" s="1"/>
  <c r="O5233" i="58"/>
  <c r="P5233" i="58" s="1"/>
  <c r="I5233" i="58"/>
  <c r="J5233" i="58" s="1"/>
  <c r="O5232" i="58"/>
  <c r="P5232" i="58" s="1"/>
  <c r="I5232" i="58"/>
  <c r="J5232" i="58" s="1"/>
  <c r="O5231" i="58"/>
  <c r="P5231" i="58" s="1"/>
  <c r="I5231" i="58"/>
  <c r="J5231" i="58" s="1"/>
  <c r="O5230" i="58"/>
  <c r="P5230" i="58" s="1"/>
  <c r="I5230" i="58"/>
  <c r="J5230" i="58" s="1"/>
  <c r="O5229" i="58"/>
  <c r="P5229" i="58" s="1"/>
  <c r="O5228" i="58"/>
  <c r="P5228" i="58" s="1"/>
  <c r="Q5228" i="58" s="1"/>
  <c r="N5228" i="58"/>
  <c r="O5227" i="58"/>
  <c r="P5227" i="58" s="1"/>
  <c r="K5227" i="58"/>
  <c r="L5227" i="58" s="1"/>
  <c r="L5219" i="58" s="1"/>
  <c r="P5226" i="58"/>
  <c r="O5226" i="58"/>
  <c r="O5225" i="58"/>
  <c r="P5225" i="58" s="1"/>
  <c r="I5225" i="58"/>
  <c r="J5225" i="58" s="1"/>
  <c r="O5224" i="58"/>
  <c r="P5224" i="58" s="1"/>
  <c r="I5224" i="58"/>
  <c r="J5224" i="58" s="1"/>
  <c r="O5223" i="58"/>
  <c r="P5223" i="58" s="1"/>
  <c r="I5223" i="58"/>
  <c r="J5223" i="58" s="1"/>
  <c r="O5222" i="58"/>
  <c r="P5222" i="58" s="1"/>
  <c r="J5222" i="58"/>
  <c r="I5222" i="58"/>
  <c r="O5221" i="58"/>
  <c r="P5221" i="58" s="1"/>
  <c r="I5221" i="58"/>
  <c r="J5221" i="58" s="1"/>
  <c r="P5220" i="58"/>
  <c r="O5220" i="58"/>
  <c r="O5219" i="58"/>
  <c r="P5219" i="58" s="1"/>
  <c r="Q5219" i="58" s="1"/>
  <c r="N5219" i="58"/>
  <c r="P5218" i="58"/>
  <c r="O5218" i="58"/>
  <c r="K5218" i="58"/>
  <c r="L5218" i="58" s="1"/>
  <c r="L5210" i="58" s="1"/>
  <c r="O5217" i="58"/>
  <c r="P5217" i="58" s="1"/>
  <c r="O5216" i="58"/>
  <c r="P5216" i="58" s="1"/>
  <c r="I5216" i="58"/>
  <c r="J5216" i="58" s="1"/>
  <c r="P5215" i="58"/>
  <c r="O5215" i="58"/>
  <c r="I5215" i="58"/>
  <c r="J5215" i="58" s="1"/>
  <c r="O5214" i="58"/>
  <c r="P5214" i="58" s="1"/>
  <c r="J5214" i="58"/>
  <c r="I5214" i="58"/>
  <c r="P5213" i="58"/>
  <c r="O5213" i="58"/>
  <c r="I5213" i="58"/>
  <c r="J5213" i="58" s="1"/>
  <c r="O5212" i="58"/>
  <c r="P5212" i="58" s="1"/>
  <c r="I5212" i="58"/>
  <c r="J5212" i="58" s="1"/>
  <c r="O5211" i="58"/>
  <c r="P5211" i="58" s="1"/>
  <c r="O5210" i="58"/>
  <c r="P5210" i="58" s="1"/>
  <c r="Q5210" i="58" s="1"/>
  <c r="N5210" i="58"/>
  <c r="O5209" i="58"/>
  <c r="P5209" i="58" s="1"/>
  <c r="K5209" i="58"/>
  <c r="L5209" i="58" s="1"/>
  <c r="L5201" i="58" s="1"/>
  <c r="P5208" i="58"/>
  <c r="O5208" i="58"/>
  <c r="O5207" i="58"/>
  <c r="P5207" i="58" s="1"/>
  <c r="I5207" i="58"/>
  <c r="J5207" i="58" s="1"/>
  <c r="O5206" i="58"/>
  <c r="P5206" i="58" s="1"/>
  <c r="I5206" i="58"/>
  <c r="J5206" i="58" s="1"/>
  <c r="O5205" i="58"/>
  <c r="P5205" i="58" s="1"/>
  <c r="I5205" i="58"/>
  <c r="J5205" i="58" s="1"/>
  <c r="O5204" i="58"/>
  <c r="P5204" i="58" s="1"/>
  <c r="I5204" i="58"/>
  <c r="J5204" i="58" s="1"/>
  <c r="O5203" i="58"/>
  <c r="P5203" i="58" s="1"/>
  <c r="I5203" i="58"/>
  <c r="J5203" i="58" s="1"/>
  <c r="O5202" i="58"/>
  <c r="P5202" i="58" s="1"/>
  <c r="O5201" i="58"/>
  <c r="P5201" i="58" s="1"/>
  <c r="Q5201" i="58" s="1"/>
  <c r="N5201" i="58"/>
  <c r="O5200" i="58"/>
  <c r="P5200" i="58" s="1"/>
  <c r="Q5200" i="58" s="1"/>
  <c r="R5200" i="58" s="1"/>
  <c r="K5200" i="58"/>
  <c r="L5200" i="58" s="1"/>
  <c r="L5192" i="58" s="1"/>
  <c r="O5199" i="58"/>
  <c r="P5199" i="58" s="1"/>
  <c r="O5198" i="58"/>
  <c r="P5198" i="58" s="1"/>
  <c r="I5198" i="58"/>
  <c r="J5198" i="58" s="1"/>
  <c r="O5197" i="58"/>
  <c r="P5197" i="58" s="1"/>
  <c r="I5197" i="58"/>
  <c r="J5197" i="58" s="1"/>
  <c r="P5196" i="58"/>
  <c r="O5196" i="58"/>
  <c r="J5196" i="58"/>
  <c r="I5196" i="58"/>
  <c r="O5195" i="58"/>
  <c r="P5195" i="58" s="1"/>
  <c r="I5195" i="58"/>
  <c r="J5195" i="58" s="1"/>
  <c r="O5194" i="58"/>
  <c r="P5194" i="58" s="1"/>
  <c r="I5194" i="58"/>
  <c r="J5194" i="58" s="1"/>
  <c r="O5193" i="58"/>
  <c r="P5193" i="58" s="1"/>
  <c r="O5192" i="58"/>
  <c r="P5192" i="58" s="1"/>
  <c r="Q5192" i="58" s="1"/>
  <c r="N5192" i="58"/>
  <c r="P5191" i="58"/>
  <c r="O5191" i="58"/>
  <c r="K5191" i="58"/>
  <c r="L5191" i="58" s="1"/>
  <c r="L5183" i="58" s="1"/>
  <c r="O5190" i="58"/>
  <c r="P5190" i="58" s="1"/>
  <c r="O5189" i="58"/>
  <c r="P5189" i="58" s="1"/>
  <c r="I5189" i="58"/>
  <c r="J5189" i="58" s="1"/>
  <c r="O5188" i="58"/>
  <c r="P5188" i="58" s="1"/>
  <c r="I5188" i="58"/>
  <c r="J5188" i="58" s="1"/>
  <c r="O5187" i="58"/>
  <c r="P5187" i="58" s="1"/>
  <c r="I5187" i="58"/>
  <c r="J5187" i="58" s="1"/>
  <c r="O5186" i="58"/>
  <c r="P5186" i="58" s="1"/>
  <c r="I5186" i="58"/>
  <c r="J5186" i="58" s="1"/>
  <c r="O5185" i="58"/>
  <c r="P5185" i="58" s="1"/>
  <c r="I5185" i="58"/>
  <c r="J5185" i="58" s="1"/>
  <c r="O5184" i="58"/>
  <c r="P5184" i="58" s="1"/>
  <c r="O5183" i="58"/>
  <c r="P5183" i="58" s="1"/>
  <c r="Q5183" i="58" s="1"/>
  <c r="N5183" i="58"/>
  <c r="P5182" i="58"/>
  <c r="Q5182" i="58" s="1"/>
  <c r="R5182" i="58" s="1"/>
  <c r="O5182" i="58"/>
  <c r="K5182" i="58"/>
  <c r="L5182" i="58" s="1"/>
  <c r="L5177" i="58" s="1"/>
  <c r="O5181" i="58"/>
  <c r="P5181" i="58" s="1"/>
  <c r="O5180" i="58"/>
  <c r="P5180" i="58" s="1"/>
  <c r="I5180" i="58"/>
  <c r="J5180" i="58" s="1"/>
  <c r="O5179" i="58"/>
  <c r="P5179" i="58" s="1"/>
  <c r="I5179" i="58"/>
  <c r="J5179" i="58" s="1"/>
  <c r="O5178" i="58"/>
  <c r="P5178" i="58" s="1"/>
  <c r="O5177" i="58"/>
  <c r="P5177" i="58" s="1"/>
  <c r="Q5177" i="58" s="1"/>
  <c r="N5177" i="58"/>
  <c r="O5176" i="58"/>
  <c r="P5176" i="58" s="1"/>
  <c r="Q5176" i="58" s="1"/>
  <c r="R5176" i="58" s="1"/>
  <c r="K5176" i="58"/>
  <c r="L5176" i="58" s="1"/>
  <c r="L5171" i="58" s="1"/>
  <c r="O5175" i="58"/>
  <c r="P5175" i="58" s="1"/>
  <c r="P5174" i="58"/>
  <c r="O5174" i="58"/>
  <c r="I5174" i="58"/>
  <c r="J5174" i="58" s="1"/>
  <c r="O5173" i="58"/>
  <c r="P5173" i="58" s="1"/>
  <c r="I5173" i="58"/>
  <c r="J5173" i="58" s="1"/>
  <c r="J5171" i="58" s="1"/>
  <c r="O5172" i="58"/>
  <c r="P5172" i="58" s="1"/>
  <c r="P5171" i="58"/>
  <c r="Q5171" i="58" s="1"/>
  <c r="O5171" i="58"/>
  <c r="N5171" i="58"/>
  <c r="O5170" i="58"/>
  <c r="P5170" i="58" s="1"/>
  <c r="K5170" i="58"/>
  <c r="L5170" i="58" s="1"/>
  <c r="L5163" i="58" s="1"/>
  <c r="O5169" i="58"/>
  <c r="P5169" i="58" s="1"/>
  <c r="O5168" i="58"/>
  <c r="P5168" i="58" s="1"/>
  <c r="I5168" i="58"/>
  <c r="J5168" i="58" s="1"/>
  <c r="O5167" i="58"/>
  <c r="P5167" i="58" s="1"/>
  <c r="I5167" i="58"/>
  <c r="J5167" i="58" s="1"/>
  <c r="P5166" i="58"/>
  <c r="O5166" i="58"/>
  <c r="I5166" i="58"/>
  <c r="J5166" i="58" s="1"/>
  <c r="O5165" i="58"/>
  <c r="P5165" i="58" s="1"/>
  <c r="I5165" i="58"/>
  <c r="J5165" i="58" s="1"/>
  <c r="P5164" i="58"/>
  <c r="O5164" i="58"/>
  <c r="O5163" i="58"/>
  <c r="P5163" i="58" s="1"/>
  <c r="Q5163" i="58" s="1"/>
  <c r="N5163" i="58"/>
  <c r="Q5162" i="58"/>
  <c r="R5162" i="58" s="1"/>
  <c r="P5162" i="58"/>
  <c r="O5162" i="58"/>
  <c r="K5162" i="58"/>
  <c r="L5162" i="58" s="1"/>
  <c r="L5155" i="58" s="1"/>
  <c r="O5161" i="58"/>
  <c r="P5161" i="58" s="1"/>
  <c r="O5160" i="58"/>
  <c r="P5160" i="58" s="1"/>
  <c r="I5160" i="58"/>
  <c r="J5160" i="58" s="1"/>
  <c r="P5159" i="58"/>
  <c r="O5159" i="58"/>
  <c r="I5159" i="58"/>
  <c r="J5159" i="58" s="1"/>
  <c r="O5158" i="58"/>
  <c r="P5158" i="58" s="1"/>
  <c r="I5158" i="58"/>
  <c r="J5158" i="58" s="1"/>
  <c r="P5157" i="58"/>
  <c r="O5157" i="58"/>
  <c r="I5157" i="58"/>
  <c r="J5157" i="58" s="1"/>
  <c r="O5156" i="58"/>
  <c r="P5156" i="58" s="1"/>
  <c r="Q5155" i="58"/>
  <c r="O5155" i="58"/>
  <c r="P5155" i="58" s="1"/>
  <c r="N5155" i="58"/>
  <c r="O5154" i="58"/>
  <c r="P5154" i="58" s="1"/>
  <c r="K5154" i="58"/>
  <c r="L5154" i="58" s="1"/>
  <c r="L5148" i="58" s="1"/>
  <c r="O5153" i="58"/>
  <c r="P5153" i="58" s="1"/>
  <c r="O5152" i="58"/>
  <c r="P5152" i="58" s="1"/>
  <c r="I5152" i="58"/>
  <c r="J5152" i="58" s="1"/>
  <c r="O5151" i="58"/>
  <c r="P5151" i="58" s="1"/>
  <c r="I5151" i="58"/>
  <c r="J5151" i="58" s="1"/>
  <c r="P5150" i="58"/>
  <c r="O5150" i="58"/>
  <c r="I5150" i="58"/>
  <c r="J5150" i="58" s="1"/>
  <c r="P5149" i="58"/>
  <c r="O5149" i="58"/>
  <c r="P5148" i="58"/>
  <c r="Q5148" i="58" s="1"/>
  <c r="Q5147" i="58" s="1"/>
  <c r="R5147" i="58" s="1"/>
  <c r="O5148" i="58"/>
  <c r="N5148" i="58"/>
  <c r="O5147" i="58"/>
  <c r="P5147" i="58" s="1"/>
  <c r="K5147" i="58"/>
  <c r="L5147" i="58" s="1"/>
  <c r="L5141" i="58" s="1"/>
  <c r="O5146" i="58"/>
  <c r="P5146" i="58" s="1"/>
  <c r="O5145" i="58"/>
  <c r="P5145" i="58" s="1"/>
  <c r="I5145" i="58"/>
  <c r="J5145" i="58" s="1"/>
  <c r="O5144" i="58"/>
  <c r="P5144" i="58" s="1"/>
  <c r="I5144" i="58"/>
  <c r="J5144" i="58" s="1"/>
  <c r="O5143" i="58"/>
  <c r="P5143" i="58" s="1"/>
  <c r="I5143" i="58"/>
  <c r="J5143" i="58" s="1"/>
  <c r="O5142" i="58"/>
  <c r="P5142" i="58" s="1"/>
  <c r="O5141" i="58"/>
  <c r="P5141" i="58" s="1"/>
  <c r="Q5141" i="58" s="1"/>
  <c r="N5141" i="58"/>
  <c r="O5140" i="58"/>
  <c r="P5140" i="58" s="1"/>
  <c r="Q5140" i="58" s="1"/>
  <c r="R5140" i="58" s="1"/>
  <c r="K5140" i="58"/>
  <c r="L5140" i="58" s="1"/>
  <c r="L5134" i="58" s="1"/>
  <c r="O5139" i="58"/>
  <c r="P5139" i="58" s="1"/>
  <c r="O5138" i="58"/>
  <c r="P5138" i="58" s="1"/>
  <c r="I5138" i="58"/>
  <c r="J5138" i="58" s="1"/>
  <c r="P5137" i="58"/>
  <c r="O5137" i="58"/>
  <c r="I5137" i="58"/>
  <c r="J5137" i="58" s="1"/>
  <c r="O5136" i="58"/>
  <c r="P5136" i="58" s="1"/>
  <c r="I5136" i="58"/>
  <c r="J5136" i="58" s="1"/>
  <c r="O5135" i="58"/>
  <c r="P5135" i="58" s="1"/>
  <c r="O5134" i="58"/>
  <c r="P5134" i="58" s="1"/>
  <c r="Q5134" i="58" s="1"/>
  <c r="N5134" i="58"/>
  <c r="O5133" i="58"/>
  <c r="P5133" i="58" s="1"/>
  <c r="K5133" i="58"/>
  <c r="L5133" i="58" s="1"/>
  <c r="L5127" i="58" s="1"/>
  <c r="O5132" i="58"/>
  <c r="P5132" i="58" s="1"/>
  <c r="O5131" i="58"/>
  <c r="P5131" i="58" s="1"/>
  <c r="I5131" i="58"/>
  <c r="J5131" i="58" s="1"/>
  <c r="O5130" i="58"/>
  <c r="P5130" i="58" s="1"/>
  <c r="I5130" i="58"/>
  <c r="J5130" i="58" s="1"/>
  <c r="P5129" i="58"/>
  <c r="O5129" i="58"/>
  <c r="I5129" i="58"/>
  <c r="J5129" i="58" s="1"/>
  <c r="O5128" i="58"/>
  <c r="P5128" i="58" s="1"/>
  <c r="O5127" i="58"/>
  <c r="P5127" i="58" s="1"/>
  <c r="Q5127" i="58" s="1"/>
  <c r="N5127" i="58"/>
  <c r="O5126" i="58"/>
  <c r="P5126" i="58" s="1"/>
  <c r="K5126" i="58"/>
  <c r="L5126" i="58" s="1"/>
  <c r="L5119" i="58" s="1"/>
  <c r="O5125" i="58"/>
  <c r="P5125" i="58" s="1"/>
  <c r="P5124" i="58"/>
  <c r="O5124" i="58"/>
  <c r="I5124" i="58"/>
  <c r="J5124" i="58" s="1"/>
  <c r="O5123" i="58"/>
  <c r="P5123" i="58" s="1"/>
  <c r="I5123" i="58"/>
  <c r="J5123" i="58" s="1"/>
  <c r="O5122" i="58"/>
  <c r="P5122" i="58" s="1"/>
  <c r="I5122" i="58"/>
  <c r="J5122" i="58" s="1"/>
  <c r="P5121" i="58"/>
  <c r="O5121" i="58"/>
  <c r="I5121" i="58"/>
  <c r="J5121" i="58" s="1"/>
  <c r="O5120" i="58"/>
  <c r="P5120" i="58" s="1"/>
  <c r="P5119" i="58"/>
  <c r="Q5119" i="58" s="1"/>
  <c r="O5119" i="58"/>
  <c r="N5119" i="58"/>
  <c r="O5118" i="58"/>
  <c r="P5118" i="58" s="1"/>
  <c r="K5118" i="58"/>
  <c r="L5118" i="58" s="1"/>
  <c r="L5116" i="58" s="1"/>
  <c r="P5117" i="58"/>
  <c r="O5117" i="58"/>
  <c r="P5116" i="58"/>
  <c r="Q5116" i="58" s="1"/>
  <c r="O5116" i="58"/>
  <c r="N5116" i="58"/>
  <c r="J5116" i="58"/>
  <c r="O5115" i="58"/>
  <c r="P5115" i="58" s="1"/>
  <c r="K5115" i="58"/>
  <c r="L5115" i="58" s="1"/>
  <c r="L5113" i="58" s="1"/>
  <c r="P5114" i="58"/>
  <c r="O5114" i="58"/>
  <c r="Q5113" i="58"/>
  <c r="P5113" i="58"/>
  <c r="O5113" i="58"/>
  <c r="N5113" i="58"/>
  <c r="J5113" i="58"/>
  <c r="P5112" i="58"/>
  <c r="O5112" i="58"/>
  <c r="K5112" i="58"/>
  <c r="L5112" i="58" s="1"/>
  <c r="L5110" i="58" s="1"/>
  <c r="O5111" i="58"/>
  <c r="P5111" i="58" s="1"/>
  <c r="Q5110" i="58"/>
  <c r="Q5109" i="58" s="1"/>
  <c r="O5110" i="58"/>
  <c r="P5110" i="58" s="1"/>
  <c r="N5110" i="58"/>
  <c r="J5110" i="58"/>
  <c r="O5109" i="58"/>
  <c r="P5109" i="58" s="1"/>
  <c r="K5109" i="58"/>
  <c r="L5109" i="58" s="1"/>
  <c r="L5107" i="58" s="1"/>
  <c r="O5108" i="58"/>
  <c r="P5108" i="58" s="1"/>
  <c r="P5107" i="58"/>
  <c r="Q5107" i="58" s="1"/>
  <c r="Q5106" i="58" s="1"/>
  <c r="R5106" i="58" s="1"/>
  <c r="O5107" i="58"/>
  <c r="N5107" i="58"/>
  <c r="J5107" i="58"/>
  <c r="P5106" i="58"/>
  <c r="O5106" i="58"/>
  <c r="L5106" i="58"/>
  <c r="L5104" i="58" s="1"/>
  <c r="K5106" i="58"/>
  <c r="O5105" i="58"/>
  <c r="P5105" i="58" s="1"/>
  <c r="O5104" i="58"/>
  <c r="P5104" i="58" s="1"/>
  <c r="Q5104" i="58" s="1"/>
  <c r="N5104" i="58"/>
  <c r="J5104" i="58"/>
  <c r="O5103" i="58"/>
  <c r="P5103" i="58" s="1"/>
  <c r="K5103" i="58"/>
  <c r="L5103" i="58" s="1"/>
  <c r="L5101" i="58" s="1"/>
  <c r="P5102" i="58"/>
  <c r="O5102" i="58"/>
  <c r="O5101" i="58"/>
  <c r="P5101" i="58" s="1"/>
  <c r="Q5101" i="58" s="1"/>
  <c r="N5101" i="58"/>
  <c r="J5101" i="58"/>
  <c r="O5100" i="58"/>
  <c r="P5100" i="58" s="1"/>
  <c r="O5099" i="58"/>
  <c r="P5099" i="58" s="1"/>
  <c r="P5098" i="58"/>
  <c r="O5098" i="58"/>
  <c r="O5097" i="58"/>
  <c r="P5097" i="58" s="1"/>
  <c r="L5097" i="58"/>
  <c r="L5092" i="58" s="1"/>
  <c r="K5097" i="58"/>
  <c r="O5096" i="58"/>
  <c r="P5096" i="58" s="1"/>
  <c r="O5095" i="58"/>
  <c r="P5095" i="58" s="1"/>
  <c r="I5095" i="58"/>
  <c r="J5095" i="58" s="1"/>
  <c r="P5094" i="58"/>
  <c r="O5094" i="58"/>
  <c r="I5094" i="58"/>
  <c r="J5094" i="58" s="1"/>
  <c r="J5092" i="58" s="1"/>
  <c r="O5093" i="58"/>
  <c r="P5093" i="58" s="1"/>
  <c r="O5092" i="58"/>
  <c r="P5092" i="58" s="1"/>
  <c r="Q5092" i="58" s="1"/>
  <c r="P5091" i="58"/>
  <c r="O5091" i="58"/>
  <c r="O5090" i="58"/>
  <c r="P5090" i="58" s="1"/>
  <c r="O5089" i="58"/>
  <c r="P5089" i="58" s="1"/>
  <c r="O5088" i="58"/>
  <c r="P5088" i="58" s="1"/>
  <c r="K5088" i="58"/>
  <c r="L5088" i="58" s="1"/>
  <c r="L5083" i="58" s="1"/>
  <c r="O5087" i="58"/>
  <c r="P5087" i="58" s="1"/>
  <c r="O5086" i="58"/>
  <c r="P5086" i="58" s="1"/>
  <c r="J5086" i="58"/>
  <c r="I5086" i="58"/>
  <c r="P5085" i="58"/>
  <c r="O5085" i="58"/>
  <c r="I5085" i="58"/>
  <c r="J5085" i="58" s="1"/>
  <c r="J5083" i="58" s="1"/>
  <c r="P5084" i="58"/>
  <c r="O5084" i="58"/>
  <c r="O5083" i="58"/>
  <c r="P5083" i="58" s="1"/>
  <c r="Q5083" i="58" s="1"/>
  <c r="P5082" i="58"/>
  <c r="Q5082" i="58" s="1"/>
  <c r="O5082" i="58"/>
  <c r="O5081" i="58"/>
  <c r="P5081" i="58" s="1"/>
  <c r="O5080" i="58"/>
  <c r="P5080" i="58" s="1"/>
  <c r="O5079" i="58"/>
  <c r="P5079" i="58" s="1"/>
  <c r="K5079" i="58"/>
  <c r="L5079" i="58" s="1"/>
  <c r="L5074" i="58" s="1"/>
  <c r="O5078" i="58"/>
  <c r="P5078" i="58" s="1"/>
  <c r="O5077" i="58"/>
  <c r="P5077" i="58" s="1"/>
  <c r="I5077" i="58"/>
  <c r="J5077" i="58" s="1"/>
  <c r="P5076" i="58"/>
  <c r="O5076" i="58"/>
  <c r="I5076" i="58"/>
  <c r="J5076" i="58" s="1"/>
  <c r="O5075" i="58"/>
  <c r="P5075" i="58" s="1"/>
  <c r="Q5074" i="58"/>
  <c r="O5074" i="58"/>
  <c r="P5074" i="58" s="1"/>
  <c r="J5074" i="58"/>
  <c r="O5073" i="58"/>
  <c r="P5073" i="58" s="1"/>
  <c r="O5072" i="58"/>
  <c r="P5072" i="58" s="1"/>
  <c r="O5071" i="58"/>
  <c r="P5071" i="58" s="1"/>
  <c r="O5070" i="58"/>
  <c r="P5070" i="58" s="1"/>
  <c r="K5070" i="58"/>
  <c r="L5070" i="58" s="1"/>
  <c r="O5069" i="58"/>
  <c r="P5069" i="58" s="1"/>
  <c r="O5068" i="58"/>
  <c r="P5068" i="58" s="1"/>
  <c r="I5068" i="58"/>
  <c r="J5068" i="58" s="1"/>
  <c r="O5067" i="58"/>
  <c r="P5067" i="58" s="1"/>
  <c r="I5067" i="58"/>
  <c r="J5067" i="58" s="1"/>
  <c r="J5065" i="58" s="1"/>
  <c r="P5066" i="58"/>
  <c r="O5066" i="58"/>
  <c r="P5065" i="58"/>
  <c r="Q5065" i="58" s="1"/>
  <c r="O5065" i="58"/>
  <c r="L5065" i="58"/>
  <c r="O5064" i="58"/>
  <c r="P5064" i="58" s="1"/>
  <c r="N5064" i="58"/>
  <c r="O5063" i="58"/>
  <c r="P5063" i="58" s="1"/>
  <c r="N5063" i="58"/>
  <c r="O5062" i="58"/>
  <c r="P5062" i="58" s="1"/>
  <c r="P5061" i="58"/>
  <c r="O5061" i="58"/>
  <c r="K5061" i="58"/>
  <c r="L5061" i="58" s="1"/>
  <c r="L5056" i="58" s="1"/>
  <c r="O5060" i="58"/>
  <c r="P5060" i="58" s="1"/>
  <c r="O5059" i="58"/>
  <c r="P5059" i="58" s="1"/>
  <c r="J5059" i="58"/>
  <c r="I5059" i="58"/>
  <c r="O5058" i="58"/>
  <c r="P5058" i="58" s="1"/>
  <c r="I5058" i="58"/>
  <c r="J5058" i="58" s="1"/>
  <c r="O5057" i="58"/>
  <c r="P5057" i="58" s="1"/>
  <c r="O5056" i="58"/>
  <c r="P5056" i="58" s="1"/>
  <c r="Q5056" i="58" s="1"/>
  <c r="Q5055" i="58"/>
  <c r="R5055" i="58" s="1"/>
  <c r="P5055" i="58"/>
  <c r="O5055" i="58"/>
  <c r="N5055" i="58"/>
  <c r="O5054" i="58"/>
  <c r="P5054" i="58" s="1"/>
  <c r="N5054" i="58"/>
  <c r="P5053" i="58"/>
  <c r="O5053" i="58"/>
  <c r="O5052" i="58"/>
  <c r="P5052" i="58" s="1"/>
  <c r="K5052" i="58"/>
  <c r="L5052" i="58" s="1"/>
  <c r="L5047" i="58" s="1"/>
  <c r="O5051" i="58"/>
  <c r="P5051" i="58" s="1"/>
  <c r="O5050" i="58"/>
  <c r="P5050" i="58" s="1"/>
  <c r="I5050" i="58"/>
  <c r="J5050" i="58" s="1"/>
  <c r="P5049" i="58"/>
  <c r="O5049" i="58"/>
  <c r="I5049" i="58"/>
  <c r="J5049" i="58" s="1"/>
  <c r="J5047" i="58" s="1"/>
  <c r="O5048" i="58"/>
  <c r="P5048" i="58" s="1"/>
  <c r="P5047" i="58"/>
  <c r="Q5047" i="58" s="1"/>
  <c r="O5047" i="58"/>
  <c r="O5046" i="58"/>
  <c r="P5046" i="58" s="1"/>
  <c r="O5045" i="58"/>
  <c r="P5045" i="58" s="1"/>
  <c r="O5044" i="58"/>
  <c r="P5044" i="58" s="1"/>
  <c r="O5043" i="58"/>
  <c r="P5043" i="58" s="1"/>
  <c r="K5043" i="58"/>
  <c r="L5043" i="58" s="1"/>
  <c r="L5036" i="58" s="1"/>
  <c r="O5042" i="58"/>
  <c r="P5042" i="58" s="1"/>
  <c r="O5041" i="58"/>
  <c r="P5041" i="58" s="1"/>
  <c r="I5041" i="58"/>
  <c r="J5041" i="58" s="1"/>
  <c r="O5040" i="58"/>
  <c r="P5040" i="58" s="1"/>
  <c r="I5040" i="58"/>
  <c r="J5040" i="58" s="1"/>
  <c r="O5039" i="58"/>
  <c r="P5039" i="58" s="1"/>
  <c r="I5039" i="58"/>
  <c r="J5039" i="58" s="1"/>
  <c r="O5038" i="58"/>
  <c r="P5038" i="58" s="1"/>
  <c r="I5038" i="58"/>
  <c r="J5038" i="58" s="1"/>
  <c r="O5037" i="58"/>
  <c r="P5037" i="58" s="1"/>
  <c r="Q5036" i="58"/>
  <c r="O5036" i="58"/>
  <c r="P5036" i="58" s="1"/>
  <c r="O5035" i="58"/>
  <c r="P5035" i="58" s="1"/>
  <c r="P5034" i="58"/>
  <c r="O5034" i="58"/>
  <c r="O5033" i="58"/>
  <c r="P5033" i="58" s="1"/>
  <c r="P5032" i="58"/>
  <c r="O5032" i="58"/>
  <c r="K5032" i="58"/>
  <c r="L5032" i="58" s="1"/>
  <c r="L5024" i="58" s="1"/>
  <c r="O5031" i="58"/>
  <c r="P5031" i="58" s="1"/>
  <c r="P5030" i="58"/>
  <c r="O5030" i="58"/>
  <c r="I5030" i="58"/>
  <c r="J5030" i="58" s="1"/>
  <c r="O5029" i="58"/>
  <c r="P5029" i="58" s="1"/>
  <c r="J5029" i="58"/>
  <c r="I5029" i="58"/>
  <c r="O5028" i="58"/>
  <c r="P5028" i="58" s="1"/>
  <c r="I5028" i="58"/>
  <c r="J5028" i="58" s="1"/>
  <c r="O5027" i="58"/>
  <c r="P5027" i="58" s="1"/>
  <c r="I5027" i="58"/>
  <c r="J5027" i="58" s="1"/>
  <c r="O5026" i="58"/>
  <c r="P5026" i="58" s="1"/>
  <c r="O5025" i="58"/>
  <c r="P5025" i="58" s="1"/>
  <c r="O5024" i="58"/>
  <c r="P5024" i="58" s="1"/>
  <c r="Q5024" i="58" s="1"/>
  <c r="P5023" i="58"/>
  <c r="O5023" i="58"/>
  <c r="K5023" i="58"/>
  <c r="L5023" i="58" s="1"/>
  <c r="L5017" i="58" s="1"/>
  <c r="O5022" i="58"/>
  <c r="P5022" i="58" s="1"/>
  <c r="O5021" i="58"/>
  <c r="P5021" i="58" s="1"/>
  <c r="I5021" i="58"/>
  <c r="J5021" i="58" s="1"/>
  <c r="O5020" i="58"/>
  <c r="P5020" i="58" s="1"/>
  <c r="I5020" i="58"/>
  <c r="J5020" i="58" s="1"/>
  <c r="O5019" i="58"/>
  <c r="P5019" i="58" s="1"/>
  <c r="I5019" i="58"/>
  <c r="J5019" i="58" s="1"/>
  <c r="P5018" i="58"/>
  <c r="O5018" i="58"/>
  <c r="O5017" i="58"/>
  <c r="P5017" i="58" s="1"/>
  <c r="Q5017" i="58" s="1"/>
  <c r="N5017" i="58"/>
  <c r="O5016" i="58"/>
  <c r="P5016" i="58" s="1"/>
  <c r="K5016" i="58"/>
  <c r="L5016" i="58" s="1"/>
  <c r="L5010" i="58" s="1"/>
  <c r="O5015" i="58"/>
  <c r="P5015" i="58" s="1"/>
  <c r="O5014" i="58"/>
  <c r="P5014" i="58" s="1"/>
  <c r="I5014" i="58"/>
  <c r="J5014" i="58" s="1"/>
  <c r="O5013" i="58"/>
  <c r="P5013" i="58" s="1"/>
  <c r="I5013" i="58"/>
  <c r="J5013" i="58" s="1"/>
  <c r="P5012" i="58"/>
  <c r="O5012" i="58"/>
  <c r="J5012" i="58"/>
  <c r="I5012" i="58"/>
  <c r="O5011" i="58"/>
  <c r="P5011" i="58" s="1"/>
  <c r="O5010" i="58"/>
  <c r="P5010" i="58" s="1"/>
  <c r="Q5010" i="58" s="1"/>
  <c r="N5010" i="58"/>
  <c r="O5009" i="58"/>
  <c r="P5009" i="58" s="1"/>
  <c r="Q5009" i="58" s="1"/>
  <c r="R5009" i="58" s="1"/>
  <c r="K5009" i="58"/>
  <c r="L5009" i="58" s="1"/>
  <c r="L5003" i="58" s="1"/>
  <c r="O5008" i="58"/>
  <c r="P5008" i="58" s="1"/>
  <c r="O5007" i="58"/>
  <c r="P5007" i="58" s="1"/>
  <c r="I5007" i="58"/>
  <c r="J5007" i="58" s="1"/>
  <c r="O5006" i="58"/>
  <c r="P5006" i="58" s="1"/>
  <c r="I5006" i="58"/>
  <c r="J5006" i="58" s="1"/>
  <c r="O5005" i="58"/>
  <c r="P5005" i="58" s="1"/>
  <c r="I5005" i="58"/>
  <c r="J5005" i="58" s="1"/>
  <c r="O5004" i="58"/>
  <c r="P5004" i="58" s="1"/>
  <c r="Q5003" i="58"/>
  <c r="O5003" i="58"/>
  <c r="P5003" i="58" s="1"/>
  <c r="N5003" i="58"/>
  <c r="P5002" i="58"/>
  <c r="O5002" i="58"/>
  <c r="K5002" i="58"/>
  <c r="L5002" i="58" s="1"/>
  <c r="L4996" i="58" s="1"/>
  <c r="O5001" i="58"/>
  <c r="P5001" i="58" s="1"/>
  <c r="P5000" i="58"/>
  <c r="O5000" i="58"/>
  <c r="I5000" i="58"/>
  <c r="J5000" i="58" s="1"/>
  <c r="J4996" i="58" s="1"/>
  <c r="O4999" i="58"/>
  <c r="P4999" i="58" s="1"/>
  <c r="I4999" i="58"/>
  <c r="J4999" i="58" s="1"/>
  <c r="P4998" i="58"/>
  <c r="O4998" i="58"/>
  <c r="I4998" i="58"/>
  <c r="J4998" i="58" s="1"/>
  <c r="O4997" i="58"/>
  <c r="P4997" i="58" s="1"/>
  <c r="O4996" i="58"/>
  <c r="P4996" i="58" s="1"/>
  <c r="Q4996" i="58" s="1"/>
  <c r="Q4995" i="58" s="1"/>
  <c r="R4995" i="58" s="1"/>
  <c r="N4996" i="58"/>
  <c r="P4995" i="58"/>
  <c r="O4995" i="58"/>
  <c r="K4995" i="58"/>
  <c r="L4995" i="58" s="1"/>
  <c r="L4989" i="58" s="1"/>
  <c r="O4994" i="58"/>
  <c r="P4994" i="58" s="1"/>
  <c r="O4993" i="58"/>
  <c r="P4993" i="58" s="1"/>
  <c r="I4993" i="58"/>
  <c r="J4993" i="58" s="1"/>
  <c r="P4992" i="58"/>
  <c r="O4992" i="58"/>
  <c r="I4992" i="58"/>
  <c r="J4992" i="58" s="1"/>
  <c r="P4991" i="58"/>
  <c r="O4991" i="58"/>
  <c r="I4991" i="58"/>
  <c r="J4991" i="58" s="1"/>
  <c r="P4990" i="58"/>
  <c r="O4990" i="58"/>
  <c r="O4989" i="58"/>
  <c r="P4989" i="58" s="1"/>
  <c r="Q4989" i="58" s="1"/>
  <c r="N4989" i="58"/>
  <c r="P4988" i="58"/>
  <c r="O4988" i="58"/>
  <c r="K4988" i="58"/>
  <c r="L4988" i="58" s="1"/>
  <c r="L4982" i="58" s="1"/>
  <c r="O4987" i="58"/>
  <c r="P4987" i="58" s="1"/>
  <c r="O4986" i="58"/>
  <c r="P4986" i="58" s="1"/>
  <c r="I4986" i="58"/>
  <c r="J4986" i="58" s="1"/>
  <c r="O4985" i="58"/>
  <c r="P4985" i="58" s="1"/>
  <c r="J4985" i="58"/>
  <c r="I4985" i="58"/>
  <c r="O4984" i="58"/>
  <c r="P4984" i="58" s="1"/>
  <c r="I4984" i="58"/>
  <c r="J4984" i="58" s="1"/>
  <c r="O4983" i="58"/>
  <c r="P4983" i="58" s="1"/>
  <c r="P4982" i="58"/>
  <c r="Q4982" i="58" s="1"/>
  <c r="O4982" i="58"/>
  <c r="N4982" i="58"/>
  <c r="O4981" i="58"/>
  <c r="P4981" i="58" s="1"/>
  <c r="K4981" i="58"/>
  <c r="L4981" i="58" s="1"/>
  <c r="L4975" i="58" s="1"/>
  <c r="P4980" i="58"/>
  <c r="O4980" i="58"/>
  <c r="O4979" i="58"/>
  <c r="P4979" i="58" s="1"/>
  <c r="I4979" i="58"/>
  <c r="J4979" i="58" s="1"/>
  <c r="O4978" i="58"/>
  <c r="P4978" i="58" s="1"/>
  <c r="I4978" i="58"/>
  <c r="J4978" i="58" s="1"/>
  <c r="O4977" i="58"/>
  <c r="P4977" i="58" s="1"/>
  <c r="I4977" i="58"/>
  <c r="J4977" i="58" s="1"/>
  <c r="J4975" i="58" s="1"/>
  <c r="O4976" i="58"/>
  <c r="P4976" i="58" s="1"/>
  <c r="O4975" i="58"/>
  <c r="P4975" i="58" s="1"/>
  <c r="Q4975" i="58" s="1"/>
  <c r="N4975" i="58"/>
  <c r="O4974" i="58"/>
  <c r="P4974" i="58" s="1"/>
  <c r="Q4974" i="58" s="1"/>
  <c r="R4974" i="58" s="1"/>
  <c r="K4974" i="58"/>
  <c r="L4974" i="58" s="1"/>
  <c r="L4968" i="58" s="1"/>
  <c r="O4973" i="58"/>
  <c r="P4973" i="58" s="1"/>
  <c r="O4972" i="58"/>
  <c r="P4972" i="58" s="1"/>
  <c r="I4972" i="58"/>
  <c r="J4972" i="58" s="1"/>
  <c r="O4971" i="58"/>
  <c r="P4971" i="58" s="1"/>
  <c r="I4971" i="58"/>
  <c r="J4971" i="58" s="1"/>
  <c r="J4968" i="58" s="1"/>
  <c r="P4970" i="58"/>
  <c r="O4970" i="58"/>
  <c r="I4970" i="58"/>
  <c r="J4970" i="58" s="1"/>
  <c r="O4969" i="58"/>
  <c r="P4969" i="58" s="1"/>
  <c r="O4968" i="58"/>
  <c r="P4968" i="58" s="1"/>
  <c r="Q4968" i="58" s="1"/>
  <c r="N4968" i="58"/>
  <c r="P4967" i="58"/>
  <c r="Q4967" i="58" s="1"/>
  <c r="R4967" i="58" s="1"/>
  <c r="O4967" i="58"/>
  <c r="O4966" i="58"/>
  <c r="P4966" i="58" s="1"/>
  <c r="O4965" i="58"/>
  <c r="P4965" i="58" s="1"/>
  <c r="O4964" i="58"/>
  <c r="P4964" i="58" s="1"/>
  <c r="K4964" i="58"/>
  <c r="L4964" i="58" s="1"/>
  <c r="L4962" i="58" s="1"/>
  <c r="O4963" i="58"/>
  <c r="P4963" i="58" s="1"/>
  <c r="O4962" i="58"/>
  <c r="P4962" i="58" s="1"/>
  <c r="Q4962" i="58" s="1"/>
  <c r="J4962" i="58"/>
  <c r="P4961" i="58"/>
  <c r="O4961" i="58"/>
  <c r="O4960" i="58"/>
  <c r="P4960" i="58" s="1"/>
  <c r="P4959" i="58"/>
  <c r="O4959" i="58"/>
  <c r="P4958" i="58"/>
  <c r="O4958" i="58"/>
  <c r="K4958" i="58"/>
  <c r="L4958" i="58" s="1"/>
  <c r="L4956" i="58" s="1"/>
  <c r="O4957" i="58"/>
  <c r="P4957" i="58" s="1"/>
  <c r="P4956" i="58"/>
  <c r="Q4956" i="58" s="1"/>
  <c r="O4956" i="58"/>
  <c r="J4956" i="58"/>
  <c r="O4955" i="58"/>
  <c r="P4955" i="58" s="1"/>
  <c r="Q4955" i="58" s="1"/>
  <c r="R4955" i="58" s="1"/>
  <c r="O4954" i="58"/>
  <c r="P4954" i="58" s="1"/>
  <c r="O4953" i="58"/>
  <c r="P4953" i="58" s="1"/>
  <c r="O4952" i="58"/>
  <c r="P4952" i="58" s="1"/>
  <c r="K4952" i="58"/>
  <c r="L4952" i="58" s="1"/>
  <c r="L4950" i="58" s="1"/>
  <c r="O4951" i="58"/>
  <c r="P4951" i="58" s="1"/>
  <c r="O4950" i="58"/>
  <c r="P4950" i="58" s="1"/>
  <c r="Q4950" i="58" s="1"/>
  <c r="J4950" i="58"/>
  <c r="O4949" i="58"/>
  <c r="P4949" i="58" s="1"/>
  <c r="Q4949" i="58" s="1"/>
  <c r="R4949" i="58" s="1"/>
  <c r="O4948" i="58"/>
  <c r="P4948" i="58" s="1"/>
  <c r="P4947" i="58"/>
  <c r="O4947" i="58"/>
  <c r="O4946" i="58"/>
  <c r="P4946" i="58" s="1"/>
  <c r="K4946" i="58"/>
  <c r="L4946" i="58" s="1"/>
  <c r="O4945" i="58"/>
  <c r="P4945" i="58" s="1"/>
  <c r="O4944" i="58"/>
  <c r="P4944" i="58" s="1"/>
  <c r="Q4944" i="58" s="1"/>
  <c r="L4944" i="58"/>
  <c r="J4944" i="58"/>
  <c r="Q4943" i="58"/>
  <c r="R4943" i="58" s="1"/>
  <c r="O4943" i="58"/>
  <c r="P4943" i="58" s="1"/>
  <c r="P4942" i="58"/>
  <c r="O4942" i="58"/>
  <c r="N4942" i="58"/>
  <c r="O4941" i="58"/>
  <c r="P4941" i="58" s="1"/>
  <c r="O4940" i="58"/>
  <c r="P4940" i="58" s="1"/>
  <c r="L4940" i="58"/>
  <c r="L4938" i="58" s="1"/>
  <c r="K4940" i="58"/>
  <c r="O4939" i="58"/>
  <c r="P4939" i="58" s="1"/>
  <c r="O4938" i="58"/>
  <c r="P4938" i="58" s="1"/>
  <c r="Q4938" i="58" s="1"/>
  <c r="J4938" i="58"/>
  <c r="P4937" i="58"/>
  <c r="O4937" i="58"/>
  <c r="P4936" i="58"/>
  <c r="O4936" i="58"/>
  <c r="O4935" i="58"/>
  <c r="P4935" i="58" s="1"/>
  <c r="P4934" i="58"/>
  <c r="O4934" i="58"/>
  <c r="K4934" i="58"/>
  <c r="L4934" i="58" s="1"/>
  <c r="L4932" i="58" s="1"/>
  <c r="P4933" i="58"/>
  <c r="O4933" i="58"/>
  <c r="O4932" i="58"/>
  <c r="P4932" i="58" s="1"/>
  <c r="Q4932" i="58" s="1"/>
  <c r="Q4931" i="58" s="1"/>
  <c r="R4931" i="58" s="1"/>
  <c r="J4932" i="58"/>
  <c r="P4931" i="58"/>
  <c r="O4931" i="58"/>
  <c r="O4930" i="58"/>
  <c r="P4930" i="58" s="1"/>
  <c r="N4930" i="58"/>
  <c r="P4929" i="58"/>
  <c r="O4929" i="58"/>
  <c r="P4928" i="58"/>
  <c r="O4928" i="58"/>
  <c r="L4928" i="58"/>
  <c r="K4928" i="58"/>
  <c r="O4927" i="58"/>
  <c r="P4927" i="58" s="1"/>
  <c r="P4926" i="58"/>
  <c r="Q4926" i="58" s="1"/>
  <c r="O4926" i="58"/>
  <c r="L4926" i="58"/>
  <c r="J4926" i="58"/>
  <c r="O4925" i="58"/>
  <c r="P4925" i="58" s="1"/>
  <c r="P4924" i="58"/>
  <c r="O4924" i="58"/>
  <c r="O4923" i="58"/>
  <c r="P4923" i="58" s="1"/>
  <c r="O4922" i="58"/>
  <c r="P4922" i="58" s="1"/>
  <c r="K4922" i="58"/>
  <c r="L4922" i="58" s="1"/>
  <c r="L4920" i="58" s="1"/>
  <c r="O4921" i="58"/>
  <c r="P4921" i="58" s="1"/>
  <c r="O4920" i="58"/>
  <c r="P4920" i="58" s="1"/>
  <c r="Q4920" i="58" s="1"/>
  <c r="J4920" i="58"/>
  <c r="O4919" i="58"/>
  <c r="P4919" i="58" s="1"/>
  <c r="Q4919" i="58" s="1"/>
  <c r="O4918" i="58"/>
  <c r="P4918" i="58" s="1"/>
  <c r="P4917" i="58"/>
  <c r="O4917" i="58"/>
  <c r="O4916" i="58"/>
  <c r="P4916" i="58" s="1"/>
  <c r="K4916" i="58"/>
  <c r="L4916" i="58" s="1"/>
  <c r="L4914" i="58" s="1"/>
  <c r="O4915" i="58"/>
  <c r="P4915" i="58" s="1"/>
  <c r="P4914" i="58"/>
  <c r="Q4914" i="58" s="1"/>
  <c r="O4914" i="58"/>
  <c r="J4914" i="58"/>
  <c r="P4913" i="58"/>
  <c r="O4913" i="58"/>
  <c r="O4912" i="58"/>
  <c r="P4912" i="58" s="1"/>
  <c r="O4911" i="58"/>
  <c r="P4911" i="58" s="1"/>
  <c r="O4910" i="58"/>
  <c r="P4910" i="58" s="1"/>
  <c r="K4910" i="58"/>
  <c r="L4910" i="58" s="1"/>
  <c r="L4908" i="58" s="1"/>
  <c r="O4909" i="58"/>
  <c r="P4909" i="58" s="1"/>
  <c r="O4908" i="58"/>
  <c r="P4908" i="58" s="1"/>
  <c r="Q4908" i="58" s="1"/>
  <c r="J4908" i="58"/>
  <c r="R4907" i="58"/>
  <c r="P4907" i="58"/>
  <c r="Q4907" i="58" s="1"/>
  <c r="O4907" i="58"/>
  <c r="O4906" i="58"/>
  <c r="P4906" i="58" s="1"/>
  <c r="P4905" i="58"/>
  <c r="O4905" i="58"/>
  <c r="O4904" i="58"/>
  <c r="P4904" i="58" s="1"/>
  <c r="K4904" i="58"/>
  <c r="L4904" i="58" s="1"/>
  <c r="L4902" i="58" s="1"/>
  <c r="O4903" i="58"/>
  <c r="P4903" i="58" s="1"/>
  <c r="O4902" i="58"/>
  <c r="P4902" i="58" s="1"/>
  <c r="Q4902" i="58" s="1"/>
  <c r="J4902" i="58"/>
  <c r="P4901" i="58"/>
  <c r="O4901" i="58"/>
  <c r="O4900" i="58"/>
  <c r="P4900" i="58" s="1"/>
  <c r="O4899" i="58"/>
  <c r="P4899" i="58" s="1"/>
  <c r="O4898" i="58"/>
  <c r="P4898" i="58" s="1"/>
  <c r="K4898" i="58"/>
  <c r="L4898" i="58" s="1"/>
  <c r="L4896" i="58" s="1"/>
  <c r="P4897" i="58"/>
  <c r="O4897" i="58"/>
  <c r="O4896" i="58"/>
  <c r="P4896" i="58" s="1"/>
  <c r="Q4896" i="58" s="1"/>
  <c r="J4896" i="58"/>
  <c r="O4895" i="58"/>
  <c r="P4895" i="58" s="1"/>
  <c r="O4894" i="58"/>
  <c r="P4894" i="58" s="1"/>
  <c r="O4893" i="58"/>
  <c r="P4893" i="58" s="1"/>
  <c r="O4892" i="58"/>
  <c r="P4892" i="58" s="1"/>
  <c r="K4892" i="58"/>
  <c r="L4892" i="58" s="1"/>
  <c r="L4890" i="58" s="1"/>
  <c r="P4891" i="58"/>
  <c r="O4891" i="58"/>
  <c r="O4890" i="58"/>
  <c r="P4890" i="58" s="1"/>
  <c r="Q4890" i="58" s="1"/>
  <c r="J4890" i="58"/>
  <c r="P4889" i="58"/>
  <c r="O4889" i="58"/>
  <c r="P4888" i="58"/>
  <c r="O4888" i="58"/>
  <c r="P4887" i="58"/>
  <c r="O4887" i="58"/>
  <c r="P4886" i="58"/>
  <c r="O4886" i="58"/>
  <c r="K4886" i="58"/>
  <c r="L4886" i="58" s="1"/>
  <c r="L4884" i="58" s="1"/>
  <c r="O4885" i="58"/>
  <c r="P4885" i="58" s="1"/>
  <c r="P4884" i="58"/>
  <c r="Q4884" i="58" s="1"/>
  <c r="Q4883" i="58" s="1"/>
  <c r="R4883" i="58" s="1"/>
  <c r="O4884" i="58"/>
  <c r="J4884" i="58"/>
  <c r="O4883" i="58"/>
  <c r="P4883" i="58" s="1"/>
  <c r="O4882" i="58"/>
  <c r="P4882" i="58" s="1"/>
  <c r="O4881" i="58"/>
  <c r="P4881" i="58" s="1"/>
  <c r="O4880" i="58"/>
  <c r="P4880" i="58" s="1"/>
  <c r="K4880" i="58"/>
  <c r="L4880" i="58" s="1"/>
  <c r="L4878" i="58" s="1"/>
  <c r="O4879" i="58"/>
  <c r="P4879" i="58" s="1"/>
  <c r="P4878" i="58"/>
  <c r="Q4878" i="58" s="1"/>
  <c r="O4878" i="58"/>
  <c r="J4878" i="58"/>
  <c r="O4877" i="58"/>
  <c r="P4877" i="58" s="1"/>
  <c r="O4876" i="58"/>
  <c r="P4876" i="58" s="1"/>
  <c r="P4875" i="58"/>
  <c r="O4875" i="58"/>
  <c r="P4874" i="58"/>
  <c r="O4874" i="58"/>
  <c r="K4874" i="58"/>
  <c r="L4874" i="58" s="1"/>
  <c r="L4872" i="58" s="1"/>
  <c r="O4873" i="58"/>
  <c r="P4873" i="58" s="1"/>
  <c r="O4872" i="58"/>
  <c r="P4872" i="58" s="1"/>
  <c r="Q4872" i="58" s="1"/>
  <c r="J4872" i="58"/>
  <c r="O4871" i="58"/>
  <c r="P4871" i="58" s="1"/>
  <c r="Q4871" i="58" s="1"/>
  <c r="R4871" i="58" s="1"/>
  <c r="O4870" i="58"/>
  <c r="P4870" i="58" s="1"/>
  <c r="O4869" i="58"/>
  <c r="P4869" i="58" s="1"/>
  <c r="O4868" i="58"/>
  <c r="P4868" i="58" s="1"/>
  <c r="K4868" i="58"/>
  <c r="L4868" i="58" s="1"/>
  <c r="L4866" i="58" s="1"/>
  <c r="P4867" i="58"/>
  <c r="O4867" i="58"/>
  <c r="O4866" i="58"/>
  <c r="P4866" i="58" s="1"/>
  <c r="Q4866" i="58" s="1"/>
  <c r="J4866" i="58"/>
  <c r="O4865" i="58"/>
  <c r="P4865" i="58" s="1"/>
  <c r="Q4865" i="58" s="1"/>
  <c r="P4864" i="58"/>
  <c r="O4864" i="58"/>
  <c r="O4863" i="58"/>
  <c r="P4863" i="58" s="1"/>
  <c r="O4862" i="58"/>
  <c r="P4862" i="58" s="1"/>
  <c r="K4862" i="58"/>
  <c r="L4862" i="58" s="1"/>
  <c r="L4860" i="58" s="1"/>
  <c r="P4861" i="58"/>
  <c r="O4861" i="58"/>
  <c r="O4860" i="58"/>
  <c r="P4860" i="58" s="1"/>
  <c r="Q4860" i="58" s="1"/>
  <c r="J4860" i="58"/>
  <c r="O4859" i="58"/>
  <c r="P4859" i="58" s="1"/>
  <c r="O4858" i="58"/>
  <c r="P4858" i="58" s="1"/>
  <c r="O4857" i="58"/>
  <c r="P4857" i="58" s="1"/>
  <c r="O4856" i="58"/>
  <c r="P4856" i="58" s="1"/>
  <c r="K4856" i="58"/>
  <c r="L4856" i="58" s="1"/>
  <c r="L4854" i="58" s="1"/>
  <c r="O4855" i="58"/>
  <c r="P4855" i="58" s="1"/>
  <c r="Q4854" i="58"/>
  <c r="O4854" i="58"/>
  <c r="P4854" i="58" s="1"/>
  <c r="J4854" i="58"/>
  <c r="O4853" i="58"/>
  <c r="P4853" i="58" s="1"/>
  <c r="O4852" i="58"/>
  <c r="P4852" i="58" s="1"/>
  <c r="O4851" i="58"/>
  <c r="P4851" i="58" s="1"/>
  <c r="P4850" i="58"/>
  <c r="O4850" i="58"/>
  <c r="K4850" i="58"/>
  <c r="L4850" i="58" s="1"/>
  <c r="L4848" i="58" s="1"/>
  <c r="O4849" i="58"/>
  <c r="P4849" i="58" s="1"/>
  <c r="O4848" i="58"/>
  <c r="P4848" i="58" s="1"/>
  <c r="Q4848" i="58" s="1"/>
  <c r="J4848" i="58"/>
  <c r="O4847" i="58"/>
  <c r="P4847" i="58" s="1"/>
  <c r="Q4847" i="58" s="1"/>
  <c r="R4847" i="58" s="1"/>
  <c r="O4846" i="58"/>
  <c r="P4846" i="58" s="1"/>
  <c r="Q4846" i="58" s="1"/>
  <c r="N4846" i="58"/>
  <c r="P4845" i="58"/>
  <c r="O4845" i="58"/>
  <c r="O4844" i="58"/>
  <c r="P4844" i="58" s="1"/>
  <c r="K4844" i="58"/>
  <c r="L4844" i="58" s="1"/>
  <c r="L4842" i="58" s="1"/>
  <c r="O4843" i="58"/>
  <c r="P4843" i="58" s="1"/>
  <c r="Q4842" i="58"/>
  <c r="O4842" i="58"/>
  <c r="P4842" i="58" s="1"/>
  <c r="J4842" i="58"/>
  <c r="O4841" i="58"/>
  <c r="P4841" i="58" s="1"/>
  <c r="O4840" i="58"/>
  <c r="P4840" i="58" s="1"/>
  <c r="N4840" i="58"/>
  <c r="P4839" i="58"/>
  <c r="O4839" i="58"/>
  <c r="O4838" i="58"/>
  <c r="P4838" i="58" s="1"/>
  <c r="K4838" i="58"/>
  <c r="L4838" i="58" s="1"/>
  <c r="L4836" i="58" s="1"/>
  <c r="P4837" i="58"/>
  <c r="O4837" i="58"/>
  <c r="P4836" i="58"/>
  <c r="Q4836" i="58" s="1"/>
  <c r="O4836" i="58"/>
  <c r="J4836" i="58"/>
  <c r="O4835" i="58"/>
  <c r="P4835" i="58" s="1"/>
  <c r="O4834" i="58"/>
  <c r="P4834" i="58" s="1"/>
  <c r="O4833" i="58"/>
  <c r="P4833" i="58" s="1"/>
  <c r="K4833" i="58"/>
  <c r="L4833" i="58" s="1"/>
  <c r="L4827" i="58" s="1"/>
  <c r="P4832" i="58"/>
  <c r="O4832" i="58"/>
  <c r="P4831" i="58"/>
  <c r="O4831" i="58"/>
  <c r="I4831" i="58"/>
  <c r="J4831" i="58" s="1"/>
  <c r="O4830" i="58"/>
  <c r="P4830" i="58" s="1"/>
  <c r="I4830" i="58"/>
  <c r="J4830" i="58" s="1"/>
  <c r="P4829" i="58"/>
  <c r="O4829" i="58"/>
  <c r="I4829" i="58"/>
  <c r="J4829" i="58" s="1"/>
  <c r="O4828" i="58"/>
  <c r="P4828" i="58" s="1"/>
  <c r="O4827" i="58"/>
  <c r="P4827" i="58" s="1"/>
  <c r="Q4827" i="58" s="1"/>
  <c r="P4826" i="58"/>
  <c r="O4826" i="58"/>
  <c r="P4825" i="58"/>
  <c r="O4825" i="58"/>
  <c r="P4824" i="58"/>
  <c r="O4824" i="58"/>
  <c r="K4824" i="58"/>
  <c r="L4824" i="58" s="1"/>
  <c r="L4818" i="58" s="1"/>
  <c r="O4823" i="58"/>
  <c r="P4823" i="58" s="1"/>
  <c r="P4822" i="58"/>
  <c r="O4822" i="58"/>
  <c r="I4822" i="58"/>
  <c r="J4822" i="58" s="1"/>
  <c r="O4821" i="58"/>
  <c r="P4821" i="58" s="1"/>
  <c r="I4821" i="58"/>
  <c r="J4821" i="58" s="1"/>
  <c r="O4820" i="58"/>
  <c r="P4820" i="58" s="1"/>
  <c r="I4820" i="58"/>
  <c r="J4820" i="58" s="1"/>
  <c r="P4819" i="58"/>
  <c r="O4819" i="58"/>
  <c r="Q4818" i="58"/>
  <c r="O4818" i="58"/>
  <c r="P4818" i="58" s="1"/>
  <c r="O4817" i="58"/>
  <c r="P4817" i="58" s="1"/>
  <c r="O4816" i="58"/>
  <c r="P4816" i="58" s="1"/>
  <c r="O4815" i="58"/>
  <c r="P4815" i="58" s="1"/>
  <c r="K4815" i="58"/>
  <c r="L4815" i="58" s="1"/>
  <c r="L4809" i="58" s="1"/>
  <c r="O4814" i="58"/>
  <c r="P4814" i="58" s="1"/>
  <c r="O4813" i="58"/>
  <c r="P4813" i="58" s="1"/>
  <c r="I4813" i="58"/>
  <c r="J4813" i="58" s="1"/>
  <c r="O4812" i="58"/>
  <c r="P4812" i="58" s="1"/>
  <c r="I4812" i="58"/>
  <c r="J4812" i="58" s="1"/>
  <c r="P4811" i="58"/>
  <c r="O4811" i="58"/>
  <c r="I4811" i="58"/>
  <c r="J4811" i="58" s="1"/>
  <c r="O4810" i="58"/>
  <c r="P4810" i="58" s="1"/>
  <c r="P4809" i="58"/>
  <c r="Q4809" i="58" s="1"/>
  <c r="O4809" i="58"/>
  <c r="O4808" i="58"/>
  <c r="P4808" i="58" s="1"/>
  <c r="Q4808" i="58" s="1"/>
  <c r="R4808" i="58" s="1"/>
  <c r="O4807" i="58"/>
  <c r="P4807" i="58" s="1"/>
  <c r="O4806" i="58"/>
  <c r="P4806" i="58" s="1"/>
  <c r="K4806" i="58"/>
  <c r="L4806" i="58" s="1"/>
  <c r="L4800" i="58" s="1"/>
  <c r="O4805" i="58"/>
  <c r="P4805" i="58" s="1"/>
  <c r="P4804" i="58"/>
  <c r="O4804" i="58"/>
  <c r="J4804" i="58"/>
  <c r="J4800" i="58" s="1"/>
  <c r="I4804" i="58"/>
  <c r="O4803" i="58"/>
  <c r="P4803" i="58" s="1"/>
  <c r="I4803" i="58"/>
  <c r="J4803" i="58" s="1"/>
  <c r="O4802" i="58"/>
  <c r="P4802" i="58" s="1"/>
  <c r="I4802" i="58"/>
  <c r="J4802" i="58" s="1"/>
  <c r="O4801" i="58"/>
  <c r="P4801" i="58" s="1"/>
  <c r="P4800" i="58"/>
  <c r="Q4800" i="58" s="1"/>
  <c r="O4800" i="58"/>
  <c r="O4799" i="58"/>
  <c r="P4799" i="58" s="1"/>
  <c r="O4798" i="58"/>
  <c r="P4798" i="58" s="1"/>
  <c r="P4797" i="58"/>
  <c r="O4797" i="58"/>
  <c r="O4796" i="58"/>
  <c r="P4796" i="58" s="1"/>
  <c r="K4796" i="58"/>
  <c r="L4796" i="58" s="1"/>
  <c r="L4790" i="58" s="1"/>
  <c r="O4795" i="58"/>
  <c r="P4795" i="58" s="1"/>
  <c r="O4794" i="58"/>
  <c r="P4794" i="58" s="1"/>
  <c r="I4794" i="58"/>
  <c r="J4794" i="58" s="1"/>
  <c r="O4793" i="58"/>
  <c r="P4793" i="58" s="1"/>
  <c r="I4793" i="58"/>
  <c r="J4793" i="58" s="1"/>
  <c r="O4792" i="58"/>
  <c r="P4792" i="58" s="1"/>
  <c r="J4792" i="58"/>
  <c r="I4792" i="58"/>
  <c r="O4791" i="58"/>
  <c r="P4791" i="58" s="1"/>
  <c r="P4790" i="58"/>
  <c r="Q4790" i="58" s="1"/>
  <c r="Q4789" i="58" s="1"/>
  <c r="O4790" i="58"/>
  <c r="R4789" i="58"/>
  <c r="P4789" i="58"/>
  <c r="O4789" i="58"/>
  <c r="O4788" i="58"/>
  <c r="P4788" i="58" s="1"/>
  <c r="P4787" i="58"/>
  <c r="O4787" i="58"/>
  <c r="O4786" i="58"/>
  <c r="P4786" i="58" s="1"/>
  <c r="K4786" i="58"/>
  <c r="L4786" i="58" s="1"/>
  <c r="P4785" i="58"/>
  <c r="O4785" i="58"/>
  <c r="O4784" i="58"/>
  <c r="P4784" i="58" s="1"/>
  <c r="I4784" i="58"/>
  <c r="J4784" i="58" s="1"/>
  <c r="O4783" i="58"/>
  <c r="P4783" i="58" s="1"/>
  <c r="I4783" i="58"/>
  <c r="J4783" i="58" s="1"/>
  <c r="P4782" i="58"/>
  <c r="O4782" i="58"/>
  <c r="I4782" i="58"/>
  <c r="J4782" i="58" s="1"/>
  <c r="O4781" i="58"/>
  <c r="P4781" i="58" s="1"/>
  <c r="O4780" i="58"/>
  <c r="P4780" i="58" s="1"/>
  <c r="Q4780" i="58" s="1"/>
  <c r="L4780" i="58"/>
  <c r="O4779" i="58"/>
  <c r="P4779" i="58" s="1"/>
  <c r="O4778" i="58"/>
  <c r="P4778" i="58" s="1"/>
  <c r="P4777" i="58"/>
  <c r="O4777" i="58"/>
  <c r="O4776" i="58"/>
  <c r="P4776" i="58" s="1"/>
  <c r="K4776" i="58"/>
  <c r="L4776" i="58" s="1"/>
  <c r="L4770" i="58" s="1"/>
  <c r="O4775" i="58"/>
  <c r="P4775" i="58" s="1"/>
  <c r="P4774" i="58"/>
  <c r="O4774" i="58"/>
  <c r="I4774" i="58"/>
  <c r="J4774" i="58" s="1"/>
  <c r="O4773" i="58"/>
  <c r="P4773" i="58" s="1"/>
  <c r="I4773" i="58"/>
  <c r="J4773" i="58" s="1"/>
  <c r="O4772" i="58"/>
  <c r="P4772" i="58" s="1"/>
  <c r="J4772" i="58"/>
  <c r="I4772" i="58"/>
  <c r="P4771" i="58"/>
  <c r="O4771" i="58"/>
  <c r="O4770" i="58"/>
  <c r="P4770" i="58" s="1"/>
  <c r="Q4770" i="58" s="1"/>
  <c r="P4769" i="58"/>
  <c r="O4769" i="58"/>
  <c r="O4768" i="58"/>
  <c r="P4768" i="58" s="1"/>
  <c r="O4767" i="58"/>
  <c r="P4767" i="58" s="1"/>
  <c r="O4766" i="58"/>
  <c r="P4766" i="58" s="1"/>
  <c r="K4766" i="58"/>
  <c r="L4766" i="58" s="1"/>
  <c r="L4759" i="58" s="1"/>
  <c r="O4765" i="58"/>
  <c r="P4765" i="58" s="1"/>
  <c r="O4764" i="58"/>
  <c r="P4764" i="58" s="1"/>
  <c r="I4764" i="58"/>
  <c r="J4764" i="58" s="1"/>
  <c r="O4763" i="58"/>
  <c r="P4763" i="58" s="1"/>
  <c r="I4763" i="58"/>
  <c r="J4763" i="58" s="1"/>
  <c r="O4762" i="58"/>
  <c r="P4762" i="58" s="1"/>
  <c r="I4762" i="58"/>
  <c r="J4762" i="58" s="1"/>
  <c r="O4761" i="58"/>
  <c r="P4761" i="58" s="1"/>
  <c r="O4760" i="58"/>
  <c r="P4760" i="58" s="1"/>
  <c r="O4759" i="58"/>
  <c r="P4759" i="58" s="1"/>
  <c r="Q4759" i="58" s="1"/>
  <c r="O4758" i="58"/>
  <c r="P4758" i="58" s="1"/>
  <c r="Q4758" i="58" s="1"/>
  <c r="R4758" i="58" s="1"/>
  <c r="P4757" i="58"/>
  <c r="O4757" i="58"/>
  <c r="P4756" i="58"/>
  <c r="O4756" i="58"/>
  <c r="P4755" i="58"/>
  <c r="O4755" i="58"/>
  <c r="K4755" i="58"/>
  <c r="L4755" i="58" s="1"/>
  <c r="L4749" i="58" s="1"/>
  <c r="P4754" i="58"/>
  <c r="O4754" i="58"/>
  <c r="O4753" i="58"/>
  <c r="P4753" i="58" s="1"/>
  <c r="I4753" i="58"/>
  <c r="J4753" i="58" s="1"/>
  <c r="O4752" i="58"/>
  <c r="P4752" i="58" s="1"/>
  <c r="I4752" i="58"/>
  <c r="J4752" i="58" s="1"/>
  <c r="P4751" i="58"/>
  <c r="O4751" i="58"/>
  <c r="I4751" i="58"/>
  <c r="J4751" i="58" s="1"/>
  <c r="O4750" i="58"/>
  <c r="P4750" i="58" s="1"/>
  <c r="O4749" i="58"/>
  <c r="P4749" i="58" s="1"/>
  <c r="Q4749" i="58" s="1"/>
  <c r="O4748" i="58"/>
  <c r="P4748" i="58" s="1"/>
  <c r="N4748" i="58"/>
  <c r="O4747" i="58"/>
  <c r="P4747" i="58" s="1"/>
  <c r="P4746" i="58"/>
  <c r="O4746" i="58"/>
  <c r="O4745" i="58"/>
  <c r="P4745" i="58" s="1"/>
  <c r="K4745" i="58"/>
  <c r="L4745" i="58" s="1"/>
  <c r="L4739" i="58" s="1"/>
  <c r="O4744" i="58"/>
  <c r="P4744" i="58" s="1"/>
  <c r="O4743" i="58"/>
  <c r="P4743" i="58" s="1"/>
  <c r="I4743" i="58"/>
  <c r="J4743" i="58" s="1"/>
  <c r="O4742" i="58"/>
  <c r="P4742" i="58" s="1"/>
  <c r="J4742" i="58"/>
  <c r="I4742" i="58"/>
  <c r="P4741" i="58"/>
  <c r="O4741" i="58"/>
  <c r="I4741" i="58"/>
  <c r="J4741" i="58" s="1"/>
  <c r="P4740" i="58"/>
  <c r="O4740" i="58"/>
  <c r="O4739" i="58"/>
  <c r="P4739" i="58" s="1"/>
  <c r="Q4739" i="58" s="1"/>
  <c r="O4738" i="58"/>
  <c r="P4738" i="58" s="1"/>
  <c r="O4737" i="58"/>
  <c r="P4737" i="58" s="1"/>
  <c r="O4736" i="58"/>
  <c r="P4736" i="58" s="1"/>
  <c r="K4736" i="58"/>
  <c r="L4736" i="58" s="1"/>
  <c r="L4730" i="58" s="1"/>
  <c r="O4735" i="58"/>
  <c r="P4735" i="58" s="1"/>
  <c r="O4734" i="58"/>
  <c r="P4734" i="58" s="1"/>
  <c r="I4734" i="58"/>
  <c r="J4734" i="58" s="1"/>
  <c r="O4733" i="58"/>
  <c r="P4733" i="58" s="1"/>
  <c r="I4733" i="58"/>
  <c r="J4733" i="58" s="1"/>
  <c r="O4732" i="58"/>
  <c r="P4732" i="58" s="1"/>
  <c r="I4732" i="58"/>
  <c r="J4732" i="58" s="1"/>
  <c r="O4731" i="58"/>
  <c r="P4731" i="58" s="1"/>
  <c r="O4730" i="58"/>
  <c r="P4730" i="58" s="1"/>
  <c r="Q4730" i="58" s="1"/>
  <c r="Q4729" i="58" s="1"/>
  <c r="R4729" i="58" s="1"/>
  <c r="O4729" i="58"/>
  <c r="P4729" i="58" s="1"/>
  <c r="O4728" i="58"/>
  <c r="P4728" i="58" s="1"/>
  <c r="Q4728" i="58" s="1"/>
  <c r="O4727" i="58"/>
  <c r="P4727" i="58" s="1"/>
  <c r="K4727" i="58"/>
  <c r="L4727" i="58" s="1"/>
  <c r="L4721" i="58" s="1"/>
  <c r="P4726" i="58"/>
  <c r="O4726" i="58"/>
  <c r="P4725" i="58"/>
  <c r="O4725" i="58"/>
  <c r="J4725" i="58"/>
  <c r="I4725" i="58"/>
  <c r="O4724" i="58"/>
  <c r="P4724" i="58" s="1"/>
  <c r="J4724" i="58"/>
  <c r="I4724" i="58"/>
  <c r="O4723" i="58"/>
  <c r="P4723" i="58" s="1"/>
  <c r="I4723" i="58"/>
  <c r="J4723" i="58" s="1"/>
  <c r="J4721" i="58" s="1"/>
  <c r="P4722" i="58"/>
  <c r="O4722" i="58"/>
  <c r="P4721" i="58"/>
  <c r="Q4721" i="58" s="1"/>
  <c r="O4721" i="58"/>
  <c r="P4720" i="58"/>
  <c r="O4720" i="58"/>
  <c r="O4719" i="58"/>
  <c r="P4719" i="58" s="1"/>
  <c r="O4718" i="58"/>
  <c r="P4718" i="58" s="1"/>
  <c r="K4718" i="58"/>
  <c r="L4718" i="58" s="1"/>
  <c r="L4712" i="58" s="1"/>
  <c r="P4717" i="58"/>
  <c r="O4717" i="58"/>
  <c r="O4716" i="58"/>
  <c r="P4716" i="58" s="1"/>
  <c r="I4716" i="58"/>
  <c r="J4716" i="58" s="1"/>
  <c r="P4715" i="58"/>
  <c r="O4715" i="58"/>
  <c r="I4715" i="58"/>
  <c r="J4715" i="58" s="1"/>
  <c r="P4714" i="58"/>
  <c r="O4714" i="58"/>
  <c r="I4714" i="58"/>
  <c r="J4714" i="58" s="1"/>
  <c r="J4712" i="58" s="1"/>
  <c r="O4713" i="58"/>
  <c r="P4713" i="58" s="1"/>
  <c r="O4712" i="58"/>
  <c r="P4712" i="58" s="1"/>
  <c r="Q4712" i="58" s="1"/>
  <c r="P4711" i="58"/>
  <c r="O4711" i="58"/>
  <c r="P4710" i="58"/>
  <c r="O4710" i="58"/>
  <c r="P4709" i="58"/>
  <c r="O4709" i="58"/>
  <c r="K4709" i="58"/>
  <c r="L4709" i="58" s="1"/>
  <c r="O4708" i="58"/>
  <c r="P4708" i="58" s="1"/>
  <c r="O4707" i="58"/>
  <c r="P4707" i="58" s="1"/>
  <c r="I4707" i="58"/>
  <c r="J4707" i="58" s="1"/>
  <c r="O4706" i="58"/>
  <c r="P4706" i="58" s="1"/>
  <c r="I4706" i="58"/>
  <c r="J4706" i="58" s="1"/>
  <c r="P4705" i="58"/>
  <c r="O4705" i="58"/>
  <c r="J4705" i="58"/>
  <c r="I4705" i="58"/>
  <c r="O4704" i="58"/>
  <c r="P4704" i="58" s="1"/>
  <c r="O4703" i="58"/>
  <c r="P4703" i="58" s="1"/>
  <c r="Q4703" i="58" s="1"/>
  <c r="L4703" i="58"/>
  <c r="O4702" i="58"/>
  <c r="P4702" i="58" s="1"/>
  <c r="O4701" i="58"/>
  <c r="P4701" i="58" s="1"/>
  <c r="O4700" i="58"/>
  <c r="P4700" i="58" s="1"/>
  <c r="K4700" i="58"/>
  <c r="L4700" i="58" s="1"/>
  <c r="L4694" i="58" s="1"/>
  <c r="O4699" i="58"/>
  <c r="P4699" i="58" s="1"/>
  <c r="O4698" i="58"/>
  <c r="P4698" i="58" s="1"/>
  <c r="I4698" i="58"/>
  <c r="J4698" i="58" s="1"/>
  <c r="O4697" i="58"/>
  <c r="P4697" i="58" s="1"/>
  <c r="J4697" i="58"/>
  <c r="I4697" i="58"/>
  <c r="O4696" i="58"/>
  <c r="P4696" i="58" s="1"/>
  <c r="I4696" i="58"/>
  <c r="J4696" i="58" s="1"/>
  <c r="P4695" i="58"/>
  <c r="O4695" i="58"/>
  <c r="O4694" i="58"/>
  <c r="P4694" i="58" s="1"/>
  <c r="Q4694" i="58" s="1"/>
  <c r="O4693" i="58"/>
  <c r="P4693" i="58" s="1"/>
  <c r="P4692" i="58"/>
  <c r="O4692" i="58"/>
  <c r="O4691" i="58"/>
  <c r="P4691" i="58" s="1"/>
  <c r="K4691" i="58"/>
  <c r="L4691" i="58" s="1"/>
  <c r="L4685" i="58" s="1"/>
  <c r="P4690" i="58"/>
  <c r="O4690" i="58"/>
  <c r="O4689" i="58"/>
  <c r="P4689" i="58" s="1"/>
  <c r="I4689" i="58"/>
  <c r="J4689" i="58" s="1"/>
  <c r="O4688" i="58"/>
  <c r="P4688" i="58" s="1"/>
  <c r="I4688" i="58"/>
  <c r="J4688" i="58" s="1"/>
  <c r="O4687" i="58"/>
  <c r="P4687" i="58" s="1"/>
  <c r="I4687" i="58"/>
  <c r="J4687" i="58" s="1"/>
  <c r="O4686" i="58"/>
  <c r="P4686" i="58" s="1"/>
  <c r="O4685" i="58"/>
  <c r="P4685" i="58" s="1"/>
  <c r="Q4685" i="58" s="1"/>
  <c r="O4684" i="58"/>
  <c r="P4684" i="58" s="1"/>
  <c r="O4683" i="58"/>
  <c r="P4683" i="58" s="1"/>
  <c r="P4682" i="58"/>
  <c r="O4682" i="58"/>
  <c r="L4682" i="58"/>
  <c r="L4676" i="58" s="1"/>
  <c r="K4682" i="58"/>
  <c r="O4681" i="58"/>
  <c r="P4681" i="58" s="1"/>
  <c r="O4680" i="58"/>
  <c r="P4680" i="58" s="1"/>
  <c r="I4680" i="58"/>
  <c r="J4680" i="58" s="1"/>
  <c r="O4679" i="58"/>
  <c r="P4679" i="58" s="1"/>
  <c r="I4679" i="58"/>
  <c r="J4679" i="58" s="1"/>
  <c r="O4678" i="58"/>
  <c r="P4678" i="58" s="1"/>
  <c r="I4678" i="58"/>
  <c r="J4678" i="58" s="1"/>
  <c r="O4677" i="58"/>
  <c r="P4677" i="58" s="1"/>
  <c r="P4676" i="58"/>
  <c r="Q4676" i="58" s="1"/>
  <c r="O4676" i="58"/>
  <c r="O4675" i="58"/>
  <c r="P4675" i="58" s="1"/>
  <c r="O4674" i="58"/>
  <c r="P4674" i="58" s="1"/>
  <c r="O4673" i="58"/>
  <c r="P4673" i="58" s="1"/>
  <c r="L4673" i="58"/>
  <c r="L4667" i="58" s="1"/>
  <c r="K4673" i="58"/>
  <c r="O4672" i="58"/>
  <c r="P4672" i="58" s="1"/>
  <c r="O4671" i="58"/>
  <c r="P4671" i="58" s="1"/>
  <c r="I4671" i="58"/>
  <c r="J4671" i="58" s="1"/>
  <c r="O4670" i="58"/>
  <c r="P4670" i="58" s="1"/>
  <c r="I4670" i="58"/>
  <c r="J4670" i="58" s="1"/>
  <c r="P4669" i="58"/>
  <c r="O4669" i="58"/>
  <c r="I4669" i="58"/>
  <c r="J4669" i="58" s="1"/>
  <c r="O4668" i="58"/>
  <c r="P4668" i="58" s="1"/>
  <c r="O4667" i="58"/>
  <c r="P4667" i="58" s="1"/>
  <c r="Q4667" i="58" s="1"/>
  <c r="P4666" i="58"/>
  <c r="Q4666" i="58" s="1"/>
  <c r="R4666" i="58" s="1"/>
  <c r="O4666" i="58"/>
  <c r="O4665" i="58"/>
  <c r="P4665" i="58" s="1"/>
  <c r="O4664" i="58"/>
  <c r="P4664" i="58" s="1"/>
  <c r="K4664" i="58"/>
  <c r="L4664" i="58" s="1"/>
  <c r="L4658" i="58" s="1"/>
  <c r="O4663" i="58"/>
  <c r="P4663" i="58" s="1"/>
  <c r="P4662" i="58"/>
  <c r="O4662" i="58"/>
  <c r="I4662" i="58"/>
  <c r="J4662" i="58" s="1"/>
  <c r="O4661" i="58"/>
  <c r="P4661" i="58" s="1"/>
  <c r="J4661" i="58"/>
  <c r="I4661" i="58"/>
  <c r="P4660" i="58"/>
  <c r="O4660" i="58"/>
  <c r="I4660" i="58"/>
  <c r="J4660" i="58" s="1"/>
  <c r="O4659" i="58"/>
  <c r="P4659" i="58" s="1"/>
  <c r="O4658" i="58"/>
  <c r="P4658" i="58" s="1"/>
  <c r="Q4658" i="58" s="1"/>
  <c r="O4657" i="58"/>
  <c r="P4657" i="58" s="1"/>
  <c r="Q4657" i="58" s="1"/>
  <c r="O4656" i="58"/>
  <c r="P4656" i="58" s="1"/>
  <c r="P4655" i="58"/>
  <c r="O4655" i="58"/>
  <c r="K4655" i="58"/>
  <c r="L4655" i="58" s="1"/>
  <c r="L4649" i="58" s="1"/>
  <c r="O4654" i="58"/>
  <c r="P4654" i="58" s="1"/>
  <c r="P4653" i="58"/>
  <c r="O4653" i="58"/>
  <c r="I4653" i="58"/>
  <c r="J4653" i="58" s="1"/>
  <c r="O4652" i="58"/>
  <c r="P4652" i="58" s="1"/>
  <c r="I4652" i="58"/>
  <c r="J4652" i="58" s="1"/>
  <c r="P4651" i="58"/>
  <c r="O4651" i="58"/>
  <c r="I4651" i="58"/>
  <c r="J4651" i="58" s="1"/>
  <c r="O4650" i="58"/>
  <c r="P4650" i="58" s="1"/>
  <c r="P4649" i="58"/>
  <c r="Q4649" i="58" s="1"/>
  <c r="O4649" i="58"/>
  <c r="P4648" i="58"/>
  <c r="O4648" i="58"/>
  <c r="O4647" i="58"/>
  <c r="P4647" i="58" s="1"/>
  <c r="P4646" i="58"/>
  <c r="O4646" i="58"/>
  <c r="K4646" i="58"/>
  <c r="L4646" i="58" s="1"/>
  <c r="L4640" i="58" s="1"/>
  <c r="P4645" i="58"/>
  <c r="O4645" i="58"/>
  <c r="O4644" i="58"/>
  <c r="P4644" i="58" s="1"/>
  <c r="J4644" i="58"/>
  <c r="I4644" i="58"/>
  <c r="O4643" i="58"/>
  <c r="P4643" i="58" s="1"/>
  <c r="I4643" i="58"/>
  <c r="J4643" i="58" s="1"/>
  <c r="O4642" i="58"/>
  <c r="P4642" i="58" s="1"/>
  <c r="I4642" i="58"/>
  <c r="J4642" i="58" s="1"/>
  <c r="O4641" i="58"/>
  <c r="P4641" i="58" s="1"/>
  <c r="O4640" i="58"/>
  <c r="P4640" i="58" s="1"/>
  <c r="Q4640" i="58" s="1"/>
  <c r="P4639" i="58"/>
  <c r="Q4639" i="58" s="1"/>
  <c r="O4639" i="58"/>
  <c r="O4638" i="58"/>
  <c r="P4638" i="58" s="1"/>
  <c r="P4637" i="58"/>
  <c r="O4637" i="58"/>
  <c r="K4637" i="58"/>
  <c r="L4637" i="58" s="1"/>
  <c r="L4631" i="58" s="1"/>
  <c r="O4636" i="58"/>
  <c r="P4636" i="58" s="1"/>
  <c r="P4635" i="58"/>
  <c r="O4635" i="58"/>
  <c r="J4635" i="58"/>
  <c r="I4635" i="58"/>
  <c r="O4634" i="58"/>
  <c r="P4634" i="58" s="1"/>
  <c r="I4634" i="58"/>
  <c r="J4634" i="58" s="1"/>
  <c r="O4633" i="58"/>
  <c r="P4633" i="58" s="1"/>
  <c r="I4633" i="58"/>
  <c r="J4633" i="58" s="1"/>
  <c r="O4632" i="58"/>
  <c r="P4632" i="58" s="1"/>
  <c r="Q4631" i="58"/>
  <c r="P4631" i="58"/>
  <c r="O4631" i="58"/>
  <c r="O4630" i="58"/>
  <c r="P4630" i="58" s="1"/>
  <c r="Q4630" i="58" s="1"/>
  <c r="R4630" i="58" s="1"/>
  <c r="P4629" i="58"/>
  <c r="O4629" i="58"/>
  <c r="O4628" i="58"/>
  <c r="P4628" i="58" s="1"/>
  <c r="L4628" i="58"/>
  <c r="L4622" i="58" s="1"/>
  <c r="K4628" i="58"/>
  <c r="O4627" i="58"/>
  <c r="P4627" i="58" s="1"/>
  <c r="O4626" i="58"/>
  <c r="P4626" i="58" s="1"/>
  <c r="I4626" i="58"/>
  <c r="J4626" i="58" s="1"/>
  <c r="O4625" i="58"/>
  <c r="P4625" i="58" s="1"/>
  <c r="I4625" i="58"/>
  <c r="J4625" i="58" s="1"/>
  <c r="P4624" i="58"/>
  <c r="O4624" i="58"/>
  <c r="I4624" i="58"/>
  <c r="J4624" i="58" s="1"/>
  <c r="P4623" i="58"/>
  <c r="O4623" i="58"/>
  <c r="O4622" i="58"/>
  <c r="P4622" i="58" s="1"/>
  <c r="Q4622" i="58" s="1"/>
  <c r="O4621" i="58"/>
  <c r="P4621" i="58" s="1"/>
  <c r="O4620" i="58"/>
  <c r="P4620" i="58" s="1"/>
  <c r="O4619" i="58"/>
  <c r="P4619" i="58" s="1"/>
  <c r="K4619" i="58"/>
  <c r="L4619" i="58" s="1"/>
  <c r="L4613" i="58" s="1"/>
  <c r="P4618" i="58"/>
  <c r="O4618" i="58"/>
  <c r="O4617" i="58"/>
  <c r="P4617" i="58" s="1"/>
  <c r="I4617" i="58"/>
  <c r="J4617" i="58" s="1"/>
  <c r="P4616" i="58"/>
  <c r="O4616" i="58"/>
  <c r="I4616" i="58"/>
  <c r="J4616" i="58" s="1"/>
  <c r="O4615" i="58"/>
  <c r="P4615" i="58" s="1"/>
  <c r="I4615" i="58"/>
  <c r="J4615" i="58" s="1"/>
  <c r="O4614" i="58"/>
  <c r="P4614" i="58" s="1"/>
  <c r="O4613" i="58"/>
  <c r="P4613" i="58" s="1"/>
  <c r="Q4613" i="58" s="1"/>
  <c r="O4612" i="58"/>
  <c r="P4612" i="58" s="1"/>
  <c r="P4611" i="58"/>
  <c r="O4611" i="58"/>
  <c r="O4610" i="58"/>
  <c r="P4610" i="58" s="1"/>
  <c r="K4610" i="58"/>
  <c r="L4610" i="58" s="1"/>
  <c r="L4604" i="58" s="1"/>
  <c r="P4609" i="58"/>
  <c r="O4609" i="58"/>
  <c r="P4608" i="58"/>
  <c r="O4608" i="58"/>
  <c r="I4608" i="58"/>
  <c r="J4608" i="58" s="1"/>
  <c r="O4607" i="58"/>
  <c r="P4607" i="58" s="1"/>
  <c r="I4607" i="58"/>
  <c r="J4607" i="58" s="1"/>
  <c r="O4606" i="58"/>
  <c r="P4606" i="58" s="1"/>
  <c r="I4606" i="58"/>
  <c r="J4606" i="58" s="1"/>
  <c r="O4605" i="58"/>
  <c r="P4605" i="58" s="1"/>
  <c r="O4604" i="58"/>
  <c r="P4604" i="58" s="1"/>
  <c r="Q4604" i="58" s="1"/>
  <c r="O4603" i="58"/>
  <c r="P4603" i="58" s="1"/>
  <c r="Q4603" i="58" s="1"/>
  <c r="R4603" i="58" s="1"/>
  <c r="P4602" i="58"/>
  <c r="O4602" i="58"/>
  <c r="P4601" i="58"/>
  <c r="O4601" i="58"/>
  <c r="K4601" i="58"/>
  <c r="L4601" i="58" s="1"/>
  <c r="L4595" i="58" s="1"/>
  <c r="O4600" i="58"/>
  <c r="P4600" i="58" s="1"/>
  <c r="O4599" i="58"/>
  <c r="P4599" i="58" s="1"/>
  <c r="J4599" i="58"/>
  <c r="I4599" i="58"/>
  <c r="O4598" i="58"/>
  <c r="P4598" i="58" s="1"/>
  <c r="I4598" i="58"/>
  <c r="J4598" i="58" s="1"/>
  <c r="O4597" i="58"/>
  <c r="P4597" i="58" s="1"/>
  <c r="J4597" i="58"/>
  <c r="I4597" i="58"/>
  <c r="O4596" i="58"/>
  <c r="P4596" i="58" s="1"/>
  <c r="O4595" i="58"/>
  <c r="P4595" i="58" s="1"/>
  <c r="Q4595" i="58" s="1"/>
  <c r="O4594" i="58"/>
  <c r="P4594" i="58" s="1"/>
  <c r="O4593" i="58"/>
  <c r="P4593" i="58" s="1"/>
  <c r="O4592" i="58"/>
  <c r="P4592" i="58" s="1"/>
  <c r="L4592" i="58"/>
  <c r="L4586" i="58" s="1"/>
  <c r="K4592" i="58"/>
  <c r="P4591" i="58"/>
  <c r="O4591" i="58"/>
  <c r="P4590" i="58"/>
  <c r="O4590" i="58"/>
  <c r="J4590" i="58"/>
  <c r="I4590" i="58"/>
  <c r="O4589" i="58"/>
  <c r="P4589" i="58" s="1"/>
  <c r="I4589" i="58"/>
  <c r="J4589" i="58" s="1"/>
  <c r="O4588" i="58"/>
  <c r="P4588" i="58" s="1"/>
  <c r="I4588" i="58"/>
  <c r="J4588" i="58" s="1"/>
  <c r="O4587" i="58"/>
  <c r="P4587" i="58" s="1"/>
  <c r="O4586" i="58"/>
  <c r="P4586" i="58" s="1"/>
  <c r="Q4586" i="58" s="1"/>
  <c r="P4585" i="58"/>
  <c r="Q4585" i="58" s="1"/>
  <c r="R4585" i="58" s="1"/>
  <c r="O4585" i="58"/>
  <c r="P4584" i="58"/>
  <c r="O4584" i="58"/>
  <c r="O4583" i="58"/>
  <c r="P4583" i="58" s="1"/>
  <c r="K4583" i="58"/>
  <c r="L4583" i="58" s="1"/>
  <c r="L4577" i="58" s="1"/>
  <c r="O4582" i="58"/>
  <c r="P4582" i="58" s="1"/>
  <c r="O4581" i="58"/>
  <c r="P4581" i="58" s="1"/>
  <c r="I4581" i="58"/>
  <c r="J4581" i="58" s="1"/>
  <c r="P4580" i="58"/>
  <c r="O4580" i="58"/>
  <c r="I4580" i="58"/>
  <c r="J4580" i="58" s="1"/>
  <c r="O4579" i="58"/>
  <c r="P4579" i="58" s="1"/>
  <c r="I4579" i="58"/>
  <c r="J4579" i="58" s="1"/>
  <c r="O4578" i="58"/>
  <c r="P4578" i="58" s="1"/>
  <c r="O4577" i="58"/>
  <c r="P4577" i="58" s="1"/>
  <c r="Q4577" i="58" s="1"/>
  <c r="O4576" i="58"/>
  <c r="P4576" i="58" s="1"/>
  <c r="Q4576" i="58" s="1"/>
  <c r="R4576" i="58" s="1"/>
  <c r="O4575" i="58"/>
  <c r="P4575" i="58" s="1"/>
  <c r="Q4575" i="58" s="1"/>
  <c r="R4575" i="58" s="1"/>
  <c r="P4574" i="58"/>
  <c r="O4574" i="58"/>
  <c r="K4574" i="58"/>
  <c r="L4574" i="58" s="1"/>
  <c r="L4568" i="58" s="1"/>
  <c r="O4573" i="58"/>
  <c r="P4573" i="58" s="1"/>
  <c r="O4572" i="58"/>
  <c r="P4572" i="58" s="1"/>
  <c r="I4572" i="58"/>
  <c r="J4572" i="58" s="1"/>
  <c r="O4571" i="58"/>
  <c r="P4571" i="58" s="1"/>
  <c r="I4571" i="58"/>
  <c r="J4571" i="58" s="1"/>
  <c r="O4570" i="58"/>
  <c r="P4570" i="58" s="1"/>
  <c r="I4570" i="58"/>
  <c r="J4570" i="58" s="1"/>
  <c r="O4569" i="58"/>
  <c r="P4569" i="58" s="1"/>
  <c r="O4568" i="58"/>
  <c r="P4568" i="58" s="1"/>
  <c r="Q4568" i="58" s="1"/>
  <c r="P4567" i="58"/>
  <c r="Q4567" i="58" s="1"/>
  <c r="R4567" i="58" s="1"/>
  <c r="O4567" i="58"/>
  <c r="R4566" i="58"/>
  <c r="P4566" i="58"/>
  <c r="Q4566" i="58" s="1"/>
  <c r="O4566" i="58"/>
  <c r="O4565" i="58"/>
  <c r="P4565" i="58" s="1"/>
  <c r="K4565" i="58"/>
  <c r="L4565" i="58" s="1"/>
  <c r="L4558" i="58" s="1"/>
  <c r="O4564" i="58"/>
  <c r="P4564" i="58" s="1"/>
  <c r="O4563" i="58"/>
  <c r="P4563" i="58" s="1"/>
  <c r="I4563" i="58"/>
  <c r="J4563" i="58" s="1"/>
  <c r="O4562" i="58"/>
  <c r="P4562" i="58" s="1"/>
  <c r="I4562" i="58"/>
  <c r="J4562" i="58" s="1"/>
  <c r="P4561" i="58"/>
  <c r="O4561" i="58"/>
  <c r="I4561" i="58"/>
  <c r="J4561" i="58" s="1"/>
  <c r="P4560" i="58"/>
  <c r="O4560" i="58"/>
  <c r="I4560" i="58"/>
  <c r="J4560" i="58" s="1"/>
  <c r="O4559" i="58"/>
  <c r="P4559" i="58" s="1"/>
  <c r="Q4558" i="58"/>
  <c r="Q4557" i="58" s="1"/>
  <c r="R4557" i="58" s="1"/>
  <c r="O4558" i="58"/>
  <c r="P4558" i="58" s="1"/>
  <c r="O4557" i="58"/>
  <c r="P4557" i="58" s="1"/>
  <c r="K4557" i="58"/>
  <c r="L4557" i="58" s="1"/>
  <c r="L4551" i="58" s="1"/>
  <c r="O4556" i="58"/>
  <c r="P4556" i="58" s="1"/>
  <c r="O4555" i="58"/>
  <c r="P4555" i="58" s="1"/>
  <c r="I4555" i="58"/>
  <c r="J4555" i="58" s="1"/>
  <c r="O4554" i="58"/>
  <c r="P4554" i="58" s="1"/>
  <c r="I4554" i="58"/>
  <c r="J4554" i="58" s="1"/>
  <c r="O4553" i="58"/>
  <c r="P4553" i="58" s="1"/>
  <c r="I4553" i="58"/>
  <c r="J4553" i="58" s="1"/>
  <c r="O4552" i="58"/>
  <c r="P4552" i="58" s="1"/>
  <c r="O4551" i="58"/>
  <c r="P4551" i="58" s="1"/>
  <c r="Q4551" i="58" s="1"/>
  <c r="N4551" i="58"/>
  <c r="P4550" i="58"/>
  <c r="O4550" i="58"/>
  <c r="K4550" i="58"/>
  <c r="L4550" i="58" s="1"/>
  <c r="L4544" i="58" s="1"/>
  <c r="O4549" i="58"/>
  <c r="P4549" i="58" s="1"/>
  <c r="O4548" i="58"/>
  <c r="P4548" i="58" s="1"/>
  <c r="J4548" i="58"/>
  <c r="I4548" i="58"/>
  <c r="O4547" i="58"/>
  <c r="P4547" i="58" s="1"/>
  <c r="I4547" i="58"/>
  <c r="J4547" i="58" s="1"/>
  <c r="O4546" i="58"/>
  <c r="P4546" i="58" s="1"/>
  <c r="I4546" i="58"/>
  <c r="J4546" i="58" s="1"/>
  <c r="O4545" i="58"/>
  <c r="P4545" i="58" s="1"/>
  <c r="O4544" i="58"/>
  <c r="P4544" i="58" s="1"/>
  <c r="Q4544" i="58" s="1"/>
  <c r="N4544" i="58"/>
  <c r="P4543" i="58"/>
  <c r="O4543" i="58"/>
  <c r="K4543" i="58"/>
  <c r="L4543" i="58" s="1"/>
  <c r="L4537" i="58" s="1"/>
  <c r="P4542" i="58"/>
  <c r="O4542" i="58"/>
  <c r="O4541" i="58"/>
  <c r="P4541" i="58" s="1"/>
  <c r="I4541" i="58"/>
  <c r="J4541" i="58" s="1"/>
  <c r="P4540" i="58"/>
  <c r="O4540" i="58"/>
  <c r="I4540" i="58"/>
  <c r="J4540" i="58" s="1"/>
  <c r="P4539" i="58"/>
  <c r="O4539" i="58"/>
  <c r="I4539" i="58"/>
  <c r="J4539" i="58" s="1"/>
  <c r="P4538" i="58"/>
  <c r="O4538" i="58"/>
  <c r="P4537" i="58"/>
  <c r="Q4537" i="58" s="1"/>
  <c r="O4537" i="58"/>
  <c r="N4537" i="58"/>
  <c r="O4536" i="58"/>
  <c r="P4536" i="58" s="1"/>
  <c r="K4536" i="58"/>
  <c r="L4536" i="58" s="1"/>
  <c r="L4530" i="58" s="1"/>
  <c r="O4535" i="58"/>
  <c r="P4535" i="58" s="1"/>
  <c r="O4534" i="58"/>
  <c r="P4534" i="58" s="1"/>
  <c r="I4534" i="58"/>
  <c r="J4534" i="58" s="1"/>
  <c r="O4533" i="58"/>
  <c r="P4533" i="58" s="1"/>
  <c r="I4533" i="58"/>
  <c r="J4533" i="58" s="1"/>
  <c r="O4532" i="58"/>
  <c r="P4532" i="58" s="1"/>
  <c r="I4532" i="58"/>
  <c r="J4532" i="58" s="1"/>
  <c r="J4530" i="58" s="1"/>
  <c r="O4531" i="58"/>
  <c r="P4531" i="58" s="1"/>
  <c r="O4530" i="58"/>
  <c r="P4530" i="58" s="1"/>
  <c r="Q4530" i="58" s="1"/>
  <c r="N4530" i="58"/>
  <c r="O4529" i="58"/>
  <c r="P4529" i="58" s="1"/>
  <c r="K4529" i="58"/>
  <c r="L4529" i="58" s="1"/>
  <c r="L4523" i="58" s="1"/>
  <c r="O4528" i="58"/>
  <c r="P4528" i="58" s="1"/>
  <c r="P4527" i="58"/>
  <c r="O4527" i="58"/>
  <c r="I4527" i="58"/>
  <c r="J4527" i="58" s="1"/>
  <c r="O4526" i="58"/>
  <c r="P4526" i="58" s="1"/>
  <c r="I4526" i="58"/>
  <c r="J4526" i="58" s="1"/>
  <c r="O4525" i="58"/>
  <c r="P4525" i="58" s="1"/>
  <c r="I4525" i="58"/>
  <c r="J4525" i="58" s="1"/>
  <c r="O4524" i="58"/>
  <c r="P4524" i="58" s="1"/>
  <c r="O4523" i="58"/>
  <c r="P4523" i="58" s="1"/>
  <c r="Q4523" i="58" s="1"/>
  <c r="N4523" i="58"/>
  <c r="O4522" i="58"/>
  <c r="P4522" i="58" s="1"/>
  <c r="K4522" i="58"/>
  <c r="L4522" i="58" s="1"/>
  <c r="O4521" i="58"/>
  <c r="P4521" i="58" s="1"/>
  <c r="O4520" i="58"/>
  <c r="P4520" i="58" s="1"/>
  <c r="I4520" i="58"/>
  <c r="J4520" i="58" s="1"/>
  <c r="O4519" i="58"/>
  <c r="P4519" i="58" s="1"/>
  <c r="I4519" i="58"/>
  <c r="J4519" i="58" s="1"/>
  <c r="P4518" i="58"/>
  <c r="O4518" i="58"/>
  <c r="I4518" i="58"/>
  <c r="J4518" i="58" s="1"/>
  <c r="O4517" i="58"/>
  <c r="P4517" i="58" s="1"/>
  <c r="O4516" i="58"/>
  <c r="P4516" i="58" s="1"/>
  <c r="Q4516" i="58" s="1"/>
  <c r="N4516" i="58"/>
  <c r="L4516" i="58"/>
  <c r="P4515" i="58"/>
  <c r="O4515" i="58"/>
  <c r="K4515" i="58"/>
  <c r="L4515" i="58" s="1"/>
  <c r="L4509" i="58" s="1"/>
  <c r="O4514" i="58"/>
  <c r="P4514" i="58" s="1"/>
  <c r="P4513" i="58"/>
  <c r="O4513" i="58"/>
  <c r="I4513" i="58"/>
  <c r="J4513" i="58" s="1"/>
  <c r="O4512" i="58"/>
  <c r="P4512" i="58" s="1"/>
  <c r="I4512" i="58"/>
  <c r="J4512" i="58" s="1"/>
  <c r="O4511" i="58"/>
  <c r="P4511" i="58" s="1"/>
  <c r="I4511" i="58"/>
  <c r="J4511" i="58" s="1"/>
  <c r="O4510" i="58"/>
  <c r="P4510" i="58" s="1"/>
  <c r="O4509" i="58"/>
  <c r="P4509" i="58" s="1"/>
  <c r="Q4509" i="58" s="1"/>
  <c r="N4509" i="58"/>
  <c r="O4508" i="58"/>
  <c r="P4508" i="58" s="1"/>
  <c r="K4508" i="58"/>
  <c r="L4508" i="58" s="1"/>
  <c r="O4507" i="58"/>
  <c r="P4507" i="58" s="1"/>
  <c r="O4506" i="58"/>
  <c r="P4506" i="58" s="1"/>
  <c r="I4506" i="58"/>
  <c r="J4506" i="58" s="1"/>
  <c r="O4505" i="58"/>
  <c r="P4505" i="58" s="1"/>
  <c r="I4505" i="58"/>
  <c r="J4505" i="58" s="1"/>
  <c r="O4504" i="58"/>
  <c r="P4504" i="58" s="1"/>
  <c r="I4504" i="58"/>
  <c r="J4504" i="58" s="1"/>
  <c r="O4503" i="58"/>
  <c r="P4503" i="58" s="1"/>
  <c r="P4502" i="58"/>
  <c r="Q4502" i="58" s="1"/>
  <c r="O4502" i="58"/>
  <c r="N4502" i="58"/>
  <c r="L4502" i="58"/>
  <c r="P4501" i="58"/>
  <c r="O4501" i="58"/>
  <c r="K4501" i="58"/>
  <c r="L4501" i="58" s="1"/>
  <c r="O4500" i="58"/>
  <c r="P4500" i="58" s="1"/>
  <c r="O4499" i="58"/>
  <c r="P4499" i="58" s="1"/>
  <c r="I4499" i="58"/>
  <c r="J4499" i="58" s="1"/>
  <c r="O4498" i="58"/>
  <c r="P4498" i="58" s="1"/>
  <c r="I4498" i="58"/>
  <c r="J4498" i="58" s="1"/>
  <c r="O4497" i="58"/>
  <c r="P4497" i="58" s="1"/>
  <c r="I4497" i="58"/>
  <c r="J4497" i="58" s="1"/>
  <c r="P4496" i="58"/>
  <c r="O4496" i="58"/>
  <c r="O4495" i="58"/>
  <c r="P4495" i="58" s="1"/>
  <c r="Q4495" i="58" s="1"/>
  <c r="N4495" i="58"/>
  <c r="L4495" i="58"/>
  <c r="O4494" i="58"/>
  <c r="P4494" i="58" s="1"/>
  <c r="K4494" i="58"/>
  <c r="L4494" i="58" s="1"/>
  <c r="L4488" i="58" s="1"/>
  <c r="O4493" i="58"/>
  <c r="P4493" i="58" s="1"/>
  <c r="O4492" i="58"/>
  <c r="P4492" i="58" s="1"/>
  <c r="I4492" i="58"/>
  <c r="J4492" i="58" s="1"/>
  <c r="O4491" i="58"/>
  <c r="P4491" i="58" s="1"/>
  <c r="I4491" i="58"/>
  <c r="J4491" i="58" s="1"/>
  <c r="O4490" i="58"/>
  <c r="P4490" i="58" s="1"/>
  <c r="I4490" i="58"/>
  <c r="J4490" i="58" s="1"/>
  <c r="O4489" i="58"/>
  <c r="P4489" i="58" s="1"/>
  <c r="O4488" i="58"/>
  <c r="P4488" i="58" s="1"/>
  <c r="Q4488" i="58" s="1"/>
  <c r="N4488" i="58"/>
  <c r="O4487" i="58"/>
  <c r="P4487" i="58" s="1"/>
  <c r="Q4487" i="58" s="1"/>
  <c r="R4487" i="58" s="1"/>
  <c r="K4487" i="58"/>
  <c r="L4487" i="58" s="1"/>
  <c r="L4481" i="58" s="1"/>
  <c r="O4486" i="58"/>
  <c r="P4486" i="58" s="1"/>
  <c r="O4485" i="58"/>
  <c r="P4485" i="58" s="1"/>
  <c r="I4485" i="58"/>
  <c r="J4485" i="58" s="1"/>
  <c r="O4484" i="58"/>
  <c r="P4484" i="58" s="1"/>
  <c r="I4484" i="58"/>
  <c r="J4484" i="58" s="1"/>
  <c r="O4483" i="58"/>
  <c r="P4483" i="58" s="1"/>
  <c r="I4483" i="58"/>
  <c r="J4483" i="58" s="1"/>
  <c r="O4482" i="58"/>
  <c r="P4482" i="58" s="1"/>
  <c r="O4481" i="58"/>
  <c r="P4481" i="58" s="1"/>
  <c r="Q4481" i="58" s="1"/>
  <c r="N4481" i="58"/>
  <c r="O4480" i="58"/>
  <c r="P4480" i="58" s="1"/>
  <c r="L4480" i="58"/>
  <c r="L4474" i="58" s="1"/>
  <c r="K4480" i="58"/>
  <c r="P4479" i="58"/>
  <c r="O4479" i="58"/>
  <c r="P4478" i="58"/>
  <c r="O4478" i="58"/>
  <c r="I4478" i="58"/>
  <c r="J4478" i="58" s="1"/>
  <c r="P4477" i="58"/>
  <c r="O4477" i="58"/>
  <c r="I4477" i="58"/>
  <c r="J4477" i="58" s="1"/>
  <c r="O4476" i="58"/>
  <c r="P4476" i="58" s="1"/>
  <c r="I4476" i="58"/>
  <c r="J4476" i="58" s="1"/>
  <c r="P4475" i="58"/>
  <c r="O4475" i="58"/>
  <c r="P4474" i="58"/>
  <c r="Q4474" i="58" s="1"/>
  <c r="O4474" i="58"/>
  <c r="N4474" i="58"/>
  <c r="O4473" i="58"/>
  <c r="P4473" i="58" s="1"/>
  <c r="K4473" i="58"/>
  <c r="L4473" i="58" s="1"/>
  <c r="L4467" i="58" s="1"/>
  <c r="O4472" i="58"/>
  <c r="P4472" i="58" s="1"/>
  <c r="O4471" i="58"/>
  <c r="P4471" i="58" s="1"/>
  <c r="I4471" i="58"/>
  <c r="J4471" i="58" s="1"/>
  <c r="O4470" i="58"/>
  <c r="P4470" i="58" s="1"/>
  <c r="I4470" i="58"/>
  <c r="J4470" i="58" s="1"/>
  <c r="P4469" i="58"/>
  <c r="O4469" i="58"/>
  <c r="I4469" i="58"/>
  <c r="J4469" i="58" s="1"/>
  <c r="O4468" i="58"/>
  <c r="P4468" i="58" s="1"/>
  <c r="P4467" i="58"/>
  <c r="Q4467" i="58" s="1"/>
  <c r="O4467" i="58"/>
  <c r="N4467" i="58"/>
  <c r="O4466" i="58"/>
  <c r="P4466" i="58" s="1"/>
  <c r="Q4466" i="58" s="1"/>
  <c r="R4466" i="58" s="1"/>
  <c r="K4466" i="58"/>
  <c r="L4466" i="58" s="1"/>
  <c r="L4460" i="58" s="1"/>
  <c r="P4465" i="58"/>
  <c r="O4465" i="58"/>
  <c r="O4464" i="58"/>
  <c r="P4464" i="58" s="1"/>
  <c r="I4464" i="58"/>
  <c r="J4464" i="58" s="1"/>
  <c r="O4463" i="58"/>
  <c r="P4463" i="58" s="1"/>
  <c r="I4463" i="58"/>
  <c r="J4463" i="58" s="1"/>
  <c r="O4462" i="58"/>
  <c r="P4462" i="58" s="1"/>
  <c r="I4462" i="58"/>
  <c r="J4462" i="58" s="1"/>
  <c r="O4461" i="58"/>
  <c r="P4461" i="58" s="1"/>
  <c r="O4460" i="58"/>
  <c r="P4460" i="58" s="1"/>
  <c r="Q4460" i="58" s="1"/>
  <c r="N4460" i="58"/>
  <c r="O4459" i="58"/>
  <c r="P4459" i="58" s="1"/>
  <c r="Q4459" i="58" s="1"/>
  <c r="R4459" i="58" s="1"/>
  <c r="K4459" i="58"/>
  <c r="L4459" i="58" s="1"/>
  <c r="L4453" i="58" s="1"/>
  <c r="O4458" i="58"/>
  <c r="P4458" i="58" s="1"/>
  <c r="Q4458" i="58" s="1"/>
  <c r="R4458" i="58" s="1"/>
  <c r="O4457" i="58"/>
  <c r="P4457" i="58" s="1"/>
  <c r="Q4457" i="58" s="1"/>
  <c r="R4457" i="58" s="1"/>
  <c r="I4457" i="58"/>
  <c r="J4457" i="58" s="1"/>
  <c r="O4456" i="58"/>
  <c r="P4456" i="58" s="1"/>
  <c r="I4456" i="58"/>
  <c r="J4456" i="58" s="1"/>
  <c r="O4455" i="58"/>
  <c r="P4455" i="58" s="1"/>
  <c r="I4455" i="58"/>
  <c r="J4455" i="58" s="1"/>
  <c r="O4454" i="58"/>
  <c r="P4454" i="58" s="1"/>
  <c r="P4453" i="58"/>
  <c r="Q4453" i="58" s="1"/>
  <c r="O4453" i="58"/>
  <c r="N4453" i="58"/>
  <c r="O4452" i="58"/>
  <c r="P4452" i="58" s="1"/>
  <c r="K4452" i="58"/>
  <c r="L4452" i="58" s="1"/>
  <c r="L4446" i="58" s="1"/>
  <c r="O4451" i="58"/>
  <c r="P4451" i="58" s="1"/>
  <c r="O4450" i="58"/>
  <c r="P4450" i="58" s="1"/>
  <c r="I4450" i="58"/>
  <c r="J4450" i="58" s="1"/>
  <c r="P4449" i="58"/>
  <c r="O4449" i="58"/>
  <c r="I4449" i="58"/>
  <c r="J4449" i="58" s="1"/>
  <c r="P4448" i="58"/>
  <c r="O4448" i="58"/>
  <c r="I4448" i="58"/>
  <c r="J4448" i="58" s="1"/>
  <c r="O4447" i="58"/>
  <c r="P4447" i="58" s="1"/>
  <c r="Q4446" i="58"/>
  <c r="O4446" i="58"/>
  <c r="P4446" i="58" s="1"/>
  <c r="N4446" i="58"/>
  <c r="O4445" i="58"/>
  <c r="P4445" i="58" s="1"/>
  <c r="K4445" i="58"/>
  <c r="L4445" i="58" s="1"/>
  <c r="L4439" i="58" s="1"/>
  <c r="O4444" i="58"/>
  <c r="P4444" i="58" s="1"/>
  <c r="O4443" i="58"/>
  <c r="P4443" i="58" s="1"/>
  <c r="I4443" i="58"/>
  <c r="J4443" i="58" s="1"/>
  <c r="O4442" i="58"/>
  <c r="P4442" i="58" s="1"/>
  <c r="I4442" i="58"/>
  <c r="J4442" i="58" s="1"/>
  <c r="O4441" i="58"/>
  <c r="P4441" i="58" s="1"/>
  <c r="I4441" i="58"/>
  <c r="J4441" i="58" s="1"/>
  <c r="O4440" i="58"/>
  <c r="P4440" i="58" s="1"/>
  <c r="Q4439" i="58"/>
  <c r="O4439" i="58"/>
  <c r="P4439" i="58" s="1"/>
  <c r="N4439" i="58"/>
  <c r="O4438" i="58"/>
  <c r="P4438" i="58" s="1"/>
  <c r="Q4438" i="58" s="1"/>
  <c r="R4438" i="58" s="1"/>
  <c r="K4438" i="58"/>
  <c r="L4438" i="58" s="1"/>
  <c r="L4432" i="58" s="1"/>
  <c r="O4437" i="58"/>
  <c r="P4437" i="58" s="1"/>
  <c r="Q4437" i="58" s="1"/>
  <c r="R4437" i="58" s="1"/>
  <c r="O4436" i="58"/>
  <c r="P4436" i="58" s="1"/>
  <c r="Q4436" i="58" s="1"/>
  <c r="I4436" i="58"/>
  <c r="J4436" i="58" s="1"/>
  <c r="O4435" i="58"/>
  <c r="P4435" i="58" s="1"/>
  <c r="I4435" i="58"/>
  <c r="J4435" i="58" s="1"/>
  <c r="O4434" i="58"/>
  <c r="P4434" i="58" s="1"/>
  <c r="I4434" i="58"/>
  <c r="J4434" i="58" s="1"/>
  <c r="O4433" i="58"/>
  <c r="P4433" i="58" s="1"/>
  <c r="P4432" i="58"/>
  <c r="Q4432" i="58" s="1"/>
  <c r="O4432" i="58"/>
  <c r="N4432" i="58"/>
  <c r="O4431" i="58"/>
  <c r="P4431" i="58" s="1"/>
  <c r="K4431" i="58"/>
  <c r="L4431" i="58" s="1"/>
  <c r="L4425" i="58" s="1"/>
  <c r="O4430" i="58"/>
  <c r="P4430" i="58" s="1"/>
  <c r="O4429" i="58"/>
  <c r="P4429" i="58" s="1"/>
  <c r="I4429" i="58"/>
  <c r="J4429" i="58" s="1"/>
  <c r="O4428" i="58"/>
  <c r="P4428" i="58" s="1"/>
  <c r="I4428" i="58"/>
  <c r="J4428" i="58" s="1"/>
  <c r="P4427" i="58"/>
  <c r="O4427" i="58"/>
  <c r="I4427" i="58"/>
  <c r="J4427" i="58" s="1"/>
  <c r="O4426" i="58"/>
  <c r="P4426" i="58" s="1"/>
  <c r="Q4425" i="58"/>
  <c r="P4425" i="58"/>
  <c r="O4425" i="58"/>
  <c r="N4425" i="58"/>
  <c r="Q4424" i="58"/>
  <c r="R4424" i="58" s="1"/>
  <c r="O4424" i="58"/>
  <c r="P4424" i="58" s="1"/>
  <c r="K4424" i="58"/>
  <c r="L4424" i="58" s="1"/>
  <c r="L4418" i="58" s="1"/>
  <c r="O4423" i="58"/>
  <c r="P4423" i="58" s="1"/>
  <c r="Q4423" i="58" s="1"/>
  <c r="P4422" i="58"/>
  <c r="O4422" i="58"/>
  <c r="I4422" i="58"/>
  <c r="J4422" i="58" s="1"/>
  <c r="O4421" i="58"/>
  <c r="P4421" i="58" s="1"/>
  <c r="I4421" i="58"/>
  <c r="J4421" i="58" s="1"/>
  <c r="O4420" i="58"/>
  <c r="P4420" i="58" s="1"/>
  <c r="J4420" i="58"/>
  <c r="I4420" i="58"/>
  <c r="P4419" i="58"/>
  <c r="O4419" i="58"/>
  <c r="O4418" i="58"/>
  <c r="P4418" i="58" s="1"/>
  <c r="Q4418" i="58" s="1"/>
  <c r="N4418" i="58"/>
  <c r="P4417" i="58"/>
  <c r="O4417" i="58"/>
  <c r="K4417" i="58"/>
  <c r="L4417" i="58" s="1"/>
  <c r="L4411" i="58" s="1"/>
  <c r="O4416" i="58"/>
  <c r="P4416" i="58" s="1"/>
  <c r="P4415" i="58"/>
  <c r="O4415" i="58"/>
  <c r="I4415" i="58"/>
  <c r="J4415" i="58" s="1"/>
  <c r="P4414" i="58"/>
  <c r="O4414" i="58"/>
  <c r="I4414" i="58"/>
  <c r="J4414" i="58" s="1"/>
  <c r="O4413" i="58"/>
  <c r="P4413" i="58" s="1"/>
  <c r="I4413" i="58"/>
  <c r="J4413" i="58" s="1"/>
  <c r="O4412" i="58"/>
  <c r="P4412" i="58" s="1"/>
  <c r="O4411" i="58"/>
  <c r="P4411" i="58" s="1"/>
  <c r="Q4411" i="58" s="1"/>
  <c r="N4411" i="58"/>
  <c r="P4410" i="58"/>
  <c r="O4410" i="58"/>
  <c r="K4410" i="58"/>
  <c r="L4410" i="58" s="1"/>
  <c r="L4404" i="58" s="1"/>
  <c r="P4409" i="58"/>
  <c r="O4409" i="58"/>
  <c r="P4408" i="58"/>
  <c r="O4408" i="58"/>
  <c r="I4408" i="58"/>
  <c r="J4408" i="58" s="1"/>
  <c r="O4407" i="58"/>
  <c r="P4407" i="58" s="1"/>
  <c r="I4407" i="58"/>
  <c r="J4407" i="58" s="1"/>
  <c r="O4406" i="58"/>
  <c r="P4406" i="58" s="1"/>
  <c r="I4406" i="58"/>
  <c r="J4406" i="58" s="1"/>
  <c r="O4405" i="58"/>
  <c r="P4405" i="58" s="1"/>
  <c r="P4404" i="58"/>
  <c r="Q4404" i="58" s="1"/>
  <c r="O4404" i="58"/>
  <c r="N4404" i="58"/>
  <c r="P4403" i="58"/>
  <c r="O4403" i="58"/>
  <c r="K4403" i="58"/>
  <c r="L4403" i="58" s="1"/>
  <c r="L4397" i="58" s="1"/>
  <c r="O4402" i="58"/>
  <c r="P4402" i="58" s="1"/>
  <c r="O4401" i="58"/>
  <c r="P4401" i="58" s="1"/>
  <c r="I4401" i="58"/>
  <c r="J4401" i="58" s="1"/>
  <c r="O4400" i="58"/>
  <c r="P4400" i="58" s="1"/>
  <c r="I4400" i="58"/>
  <c r="J4400" i="58" s="1"/>
  <c r="O4399" i="58"/>
  <c r="P4399" i="58" s="1"/>
  <c r="I4399" i="58"/>
  <c r="J4399" i="58" s="1"/>
  <c r="O4398" i="58"/>
  <c r="P4398" i="58" s="1"/>
  <c r="O4397" i="58"/>
  <c r="P4397" i="58" s="1"/>
  <c r="Q4397" i="58" s="1"/>
  <c r="N4397" i="58"/>
  <c r="O4396" i="58"/>
  <c r="P4396" i="58" s="1"/>
  <c r="Q4396" i="58" s="1"/>
  <c r="R4396" i="58" s="1"/>
  <c r="K4396" i="58"/>
  <c r="L4396" i="58" s="1"/>
  <c r="L4390" i="58" s="1"/>
  <c r="P4395" i="58"/>
  <c r="O4395" i="58"/>
  <c r="O4394" i="58"/>
  <c r="P4394" i="58" s="1"/>
  <c r="I4394" i="58"/>
  <c r="J4394" i="58" s="1"/>
  <c r="P4393" i="58"/>
  <c r="O4393" i="58"/>
  <c r="I4393" i="58"/>
  <c r="J4393" i="58" s="1"/>
  <c r="P4392" i="58"/>
  <c r="O4392" i="58"/>
  <c r="I4392" i="58"/>
  <c r="J4392" i="58" s="1"/>
  <c r="O4391" i="58"/>
  <c r="P4391" i="58" s="1"/>
  <c r="O4390" i="58"/>
  <c r="P4390" i="58" s="1"/>
  <c r="Q4390" i="58" s="1"/>
  <c r="N4390" i="58"/>
  <c r="P4389" i="58"/>
  <c r="Q4389" i="58" s="1"/>
  <c r="R4389" i="58" s="1"/>
  <c r="O4389" i="58"/>
  <c r="K4389" i="58"/>
  <c r="L4389" i="58" s="1"/>
  <c r="L4383" i="58" s="1"/>
  <c r="O4388" i="58"/>
  <c r="P4388" i="58" s="1"/>
  <c r="O4387" i="58"/>
  <c r="P4387" i="58" s="1"/>
  <c r="I4387" i="58"/>
  <c r="J4387" i="58" s="1"/>
  <c r="O4386" i="58"/>
  <c r="P4386" i="58" s="1"/>
  <c r="I4386" i="58"/>
  <c r="J4386" i="58" s="1"/>
  <c r="O4385" i="58"/>
  <c r="P4385" i="58" s="1"/>
  <c r="I4385" i="58"/>
  <c r="J4385" i="58" s="1"/>
  <c r="O4384" i="58"/>
  <c r="P4384" i="58" s="1"/>
  <c r="O4383" i="58"/>
  <c r="P4383" i="58" s="1"/>
  <c r="Q4383" i="58" s="1"/>
  <c r="N4383" i="58"/>
  <c r="O4382" i="58"/>
  <c r="P4382" i="58" s="1"/>
  <c r="Q4382" i="58" s="1"/>
  <c r="Q4381" i="58" s="1"/>
  <c r="R4381" i="58" s="1"/>
  <c r="K4382" i="58"/>
  <c r="L4382" i="58" s="1"/>
  <c r="L4376" i="58" s="1"/>
  <c r="O4381" i="58"/>
  <c r="P4381" i="58" s="1"/>
  <c r="O4380" i="58"/>
  <c r="P4380" i="58" s="1"/>
  <c r="I4380" i="58"/>
  <c r="J4380" i="58" s="1"/>
  <c r="O4379" i="58"/>
  <c r="P4379" i="58" s="1"/>
  <c r="I4379" i="58"/>
  <c r="J4379" i="58" s="1"/>
  <c r="O4378" i="58"/>
  <c r="P4378" i="58" s="1"/>
  <c r="I4378" i="58"/>
  <c r="J4378" i="58" s="1"/>
  <c r="O4377" i="58"/>
  <c r="P4377" i="58" s="1"/>
  <c r="P4376" i="58"/>
  <c r="Q4376" i="58" s="1"/>
  <c r="O4376" i="58"/>
  <c r="N4376" i="58"/>
  <c r="O4375" i="58"/>
  <c r="P4375" i="58" s="1"/>
  <c r="L4375" i="58"/>
  <c r="L4369" i="58" s="1"/>
  <c r="K4375" i="58"/>
  <c r="O4374" i="58"/>
  <c r="P4374" i="58" s="1"/>
  <c r="O4373" i="58"/>
  <c r="P4373" i="58" s="1"/>
  <c r="I4373" i="58"/>
  <c r="J4373" i="58" s="1"/>
  <c r="O4372" i="58"/>
  <c r="P4372" i="58" s="1"/>
  <c r="I4372" i="58"/>
  <c r="J4372" i="58" s="1"/>
  <c r="O4371" i="58"/>
  <c r="P4371" i="58" s="1"/>
  <c r="I4371" i="58"/>
  <c r="J4371" i="58" s="1"/>
  <c r="O4370" i="58"/>
  <c r="P4370" i="58" s="1"/>
  <c r="O4369" i="58"/>
  <c r="P4369" i="58" s="1"/>
  <c r="Q4369" i="58" s="1"/>
  <c r="N4369" i="58"/>
  <c r="O4368" i="58"/>
  <c r="P4368" i="58" s="1"/>
  <c r="K4368" i="58"/>
  <c r="L4368" i="58" s="1"/>
  <c r="L4362" i="58" s="1"/>
  <c r="O4367" i="58"/>
  <c r="P4367" i="58" s="1"/>
  <c r="O4366" i="58"/>
  <c r="P4366" i="58" s="1"/>
  <c r="I4366" i="58"/>
  <c r="J4366" i="58" s="1"/>
  <c r="O4365" i="58"/>
  <c r="P4365" i="58" s="1"/>
  <c r="I4365" i="58"/>
  <c r="J4365" i="58" s="1"/>
  <c r="O4364" i="58"/>
  <c r="P4364" i="58" s="1"/>
  <c r="I4364" i="58"/>
  <c r="J4364" i="58" s="1"/>
  <c r="O4363" i="58"/>
  <c r="P4363" i="58" s="1"/>
  <c r="O4362" i="58"/>
  <c r="P4362" i="58" s="1"/>
  <c r="Q4362" i="58" s="1"/>
  <c r="N4362" i="58"/>
  <c r="P4361" i="58"/>
  <c r="Q4361" i="58" s="1"/>
  <c r="R4361" i="58" s="1"/>
  <c r="O4361" i="58"/>
  <c r="K4361" i="58"/>
  <c r="L4361" i="58" s="1"/>
  <c r="L4355" i="58" s="1"/>
  <c r="O4360" i="58"/>
  <c r="P4360" i="58" s="1"/>
  <c r="O4359" i="58"/>
  <c r="P4359" i="58" s="1"/>
  <c r="I4359" i="58"/>
  <c r="J4359" i="58" s="1"/>
  <c r="P4358" i="58"/>
  <c r="O4358" i="58"/>
  <c r="J4358" i="58"/>
  <c r="I4358" i="58"/>
  <c r="O4357" i="58"/>
  <c r="P4357" i="58" s="1"/>
  <c r="I4357" i="58"/>
  <c r="J4357" i="58" s="1"/>
  <c r="O4356" i="58"/>
  <c r="P4356" i="58" s="1"/>
  <c r="O4355" i="58"/>
  <c r="P4355" i="58" s="1"/>
  <c r="Q4355" i="58" s="1"/>
  <c r="Q4354" i="58" s="1"/>
  <c r="R4354" i="58" s="1"/>
  <c r="N4355" i="58"/>
  <c r="O4354" i="58"/>
  <c r="P4354" i="58" s="1"/>
  <c r="K4354" i="58"/>
  <c r="L4354" i="58" s="1"/>
  <c r="L4348" i="58" s="1"/>
  <c r="O4353" i="58"/>
  <c r="P4353" i="58" s="1"/>
  <c r="O4352" i="58"/>
  <c r="P4352" i="58" s="1"/>
  <c r="J4352" i="58"/>
  <c r="I4352" i="58"/>
  <c r="O4351" i="58"/>
  <c r="P4351" i="58" s="1"/>
  <c r="I4351" i="58"/>
  <c r="J4351" i="58" s="1"/>
  <c r="O4350" i="58"/>
  <c r="P4350" i="58" s="1"/>
  <c r="I4350" i="58"/>
  <c r="J4350" i="58" s="1"/>
  <c r="O4349" i="58"/>
  <c r="P4349" i="58" s="1"/>
  <c r="O4348" i="58"/>
  <c r="P4348" i="58" s="1"/>
  <c r="Q4348" i="58" s="1"/>
  <c r="N4348" i="58"/>
  <c r="P4347" i="58"/>
  <c r="O4347" i="58"/>
  <c r="K4347" i="58"/>
  <c r="L4347" i="58" s="1"/>
  <c r="L4341" i="58" s="1"/>
  <c r="O4346" i="58"/>
  <c r="P4346" i="58" s="1"/>
  <c r="P4345" i="58"/>
  <c r="O4345" i="58"/>
  <c r="J4345" i="58"/>
  <c r="I4345" i="58"/>
  <c r="O4344" i="58"/>
  <c r="P4344" i="58" s="1"/>
  <c r="I4344" i="58"/>
  <c r="J4344" i="58" s="1"/>
  <c r="P4343" i="58"/>
  <c r="O4343" i="58"/>
  <c r="I4343" i="58"/>
  <c r="J4343" i="58" s="1"/>
  <c r="O4342" i="58"/>
  <c r="P4342" i="58" s="1"/>
  <c r="O4341" i="58"/>
  <c r="P4341" i="58" s="1"/>
  <c r="Q4341" i="58" s="1"/>
  <c r="N4341" i="58"/>
  <c r="O4340" i="58"/>
  <c r="P4340" i="58" s="1"/>
  <c r="Q4340" i="58" s="1"/>
  <c r="R4340" i="58" s="1"/>
  <c r="K4340" i="58"/>
  <c r="L4340" i="58" s="1"/>
  <c r="L4334" i="58" s="1"/>
  <c r="P4339" i="58"/>
  <c r="O4339" i="58"/>
  <c r="O4338" i="58"/>
  <c r="P4338" i="58" s="1"/>
  <c r="I4338" i="58"/>
  <c r="J4338" i="58" s="1"/>
  <c r="O4337" i="58"/>
  <c r="P4337" i="58" s="1"/>
  <c r="I4337" i="58"/>
  <c r="J4337" i="58" s="1"/>
  <c r="P4336" i="58"/>
  <c r="O4336" i="58"/>
  <c r="I4336" i="58"/>
  <c r="J4336" i="58" s="1"/>
  <c r="O4335" i="58"/>
  <c r="P4335" i="58" s="1"/>
  <c r="O4334" i="58"/>
  <c r="P4334" i="58" s="1"/>
  <c r="Q4334" i="58" s="1"/>
  <c r="Q4333" i="58" s="1"/>
  <c r="R4333" i="58" s="1"/>
  <c r="N4334" i="58"/>
  <c r="O4333" i="58"/>
  <c r="P4333" i="58" s="1"/>
  <c r="L4333" i="58"/>
  <c r="L4327" i="58" s="1"/>
  <c r="K4333" i="58"/>
  <c r="P4332" i="58"/>
  <c r="O4332" i="58"/>
  <c r="P4331" i="58"/>
  <c r="O4331" i="58"/>
  <c r="I4331" i="58"/>
  <c r="J4331" i="58" s="1"/>
  <c r="O4330" i="58"/>
  <c r="P4330" i="58" s="1"/>
  <c r="I4330" i="58"/>
  <c r="J4330" i="58" s="1"/>
  <c r="O4329" i="58"/>
  <c r="P4329" i="58" s="1"/>
  <c r="I4329" i="58"/>
  <c r="J4329" i="58" s="1"/>
  <c r="O4328" i="58"/>
  <c r="P4328" i="58" s="1"/>
  <c r="O4327" i="58"/>
  <c r="P4327" i="58" s="1"/>
  <c r="Q4327" i="58" s="1"/>
  <c r="N4327" i="58"/>
  <c r="P4326" i="58"/>
  <c r="Q4326" i="58" s="1"/>
  <c r="R4326" i="58" s="1"/>
  <c r="O4326" i="58"/>
  <c r="K4326" i="58"/>
  <c r="L4326" i="58" s="1"/>
  <c r="L4320" i="58" s="1"/>
  <c r="P4325" i="58"/>
  <c r="Q4325" i="58" s="1"/>
  <c r="R4325" i="58" s="1"/>
  <c r="O4325" i="58"/>
  <c r="O4324" i="58"/>
  <c r="P4324" i="58" s="1"/>
  <c r="I4324" i="58"/>
  <c r="J4324" i="58" s="1"/>
  <c r="O4323" i="58"/>
  <c r="P4323" i="58" s="1"/>
  <c r="I4323" i="58"/>
  <c r="J4323" i="58" s="1"/>
  <c r="O4322" i="58"/>
  <c r="P4322" i="58" s="1"/>
  <c r="J4322" i="58"/>
  <c r="I4322" i="58"/>
  <c r="O4321" i="58"/>
  <c r="P4321" i="58" s="1"/>
  <c r="O4320" i="58"/>
  <c r="P4320" i="58" s="1"/>
  <c r="Q4320" i="58" s="1"/>
  <c r="N4320" i="58"/>
  <c r="O4319" i="58"/>
  <c r="P4319" i="58" s="1"/>
  <c r="K4319" i="58"/>
  <c r="L4319" i="58" s="1"/>
  <c r="L4313" i="58" s="1"/>
  <c r="O4318" i="58"/>
  <c r="P4318" i="58" s="1"/>
  <c r="O4317" i="58"/>
  <c r="P4317" i="58" s="1"/>
  <c r="I4317" i="58"/>
  <c r="J4317" i="58" s="1"/>
  <c r="O4316" i="58"/>
  <c r="P4316" i="58" s="1"/>
  <c r="I4316" i="58"/>
  <c r="J4316" i="58" s="1"/>
  <c r="P4315" i="58"/>
  <c r="O4315" i="58"/>
  <c r="I4315" i="58"/>
  <c r="J4315" i="58" s="1"/>
  <c r="O4314" i="58"/>
  <c r="P4314" i="58" s="1"/>
  <c r="O4313" i="58"/>
  <c r="P4313" i="58" s="1"/>
  <c r="Q4313" i="58" s="1"/>
  <c r="N4313" i="58"/>
  <c r="O4312" i="58"/>
  <c r="P4312" i="58" s="1"/>
  <c r="K4312" i="58"/>
  <c r="L4312" i="58" s="1"/>
  <c r="L4306" i="58" s="1"/>
  <c r="P4311" i="58"/>
  <c r="O4311" i="58"/>
  <c r="O4310" i="58"/>
  <c r="P4310" i="58" s="1"/>
  <c r="I4310" i="58"/>
  <c r="J4310" i="58" s="1"/>
  <c r="O4309" i="58"/>
  <c r="P4309" i="58" s="1"/>
  <c r="J4309" i="58"/>
  <c r="I4309" i="58"/>
  <c r="O4308" i="58"/>
  <c r="P4308" i="58" s="1"/>
  <c r="J4308" i="58"/>
  <c r="I4308" i="58"/>
  <c r="P4307" i="58"/>
  <c r="O4307" i="58"/>
  <c r="O4306" i="58"/>
  <c r="P4306" i="58" s="1"/>
  <c r="Q4306" i="58" s="1"/>
  <c r="N4306" i="58"/>
  <c r="P4305" i="58"/>
  <c r="Q4305" i="58" s="1"/>
  <c r="R4305" i="58" s="1"/>
  <c r="O4305" i="58"/>
  <c r="K4305" i="58"/>
  <c r="L4305" i="58" s="1"/>
  <c r="L4299" i="58" s="1"/>
  <c r="O4304" i="58"/>
  <c r="P4304" i="58" s="1"/>
  <c r="O4303" i="58"/>
  <c r="P4303" i="58" s="1"/>
  <c r="I4303" i="58"/>
  <c r="J4303" i="58" s="1"/>
  <c r="O4302" i="58"/>
  <c r="P4302" i="58" s="1"/>
  <c r="I4302" i="58"/>
  <c r="J4302" i="58" s="1"/>
  <c r="O4301" i="58"/>
  <c r="P4301" i="58" s="1"/>
  <c r="J4301" i="58"/>
  <c r="I4301" i="58"/>
  <c r="O4300" i="58"/>
  <c r="P4300" i="58" s="1"/>
  <c r="O4299" i="58"/>
  <c r="P4299" i="58" s="1"/>
  <c r="Q4299" i="58" s="1"/>
  <c r="N4299" i="58"/>
  <c r="O4298" i="58"/>
  <c r="P4298" i="58" s="1"/>
  <c r="Q4298" i="58" s="1"/>
  <c r="R4298" i="58" s="1"/>
  <c r="K4298" i="58"/>
  <c r="L4298" i="58" s="1"/>
  <c r="L4292" i="58" s="1"/>
  <c r="O4297" i="58"/>
  <c r="P4297" i="58" s="1"/>
  <c r="O4296" i="58"/>
  <c r="P4296" i="58" s="1"/>
  <c r="I4296" i="58"/>
  <c r="J4296" i="58" s="1"/>
  <c r="O4295" i="58"/>
  <c r="P4295" i="58" s="1"/>
  <c r="I4295" i="58"/>
  <c r="J4295" i="58" s="1"/>
  <c r="P4294" i="58"/>
  <c r="O4294" i="58"/>
  <c r="I4294" i="58"/>
  <c r="J4294" i="58" s="1"/>
  <c r="P4293" i="58"/>
  <c r="O4293" i="58"/>
  <c r="O4292" i="58"/>
  <c r="P4292" i="58" s="1"/>
  <c r="Q4292" i="58" s="1"/>
  <c r="N4292" i="58"/>
  <c r="O4291" i="58"/>
  <c r="P4291" i="58" s="1"/>
  <c r="K4291" i="58"/>
  <c r="L4291" i="58" s="1"/>
  <c r="L4285" i="58" s="1"/>
  <c r="O4290" i="58"/>
  <c r="P4290" i="58" s="1"/>
  <c r="P4289" i="58"/>
  <c r="O4289" i="58"/>
  <c r="I4289" i="58"/>
  <c r="J4289" i="58" s="1"/>
  <c r="O4288" i="58"/>
  <c r="P4288" i="58" s="1"/>
  <c r="I4288" i="58"/>
  <c r="J4288" i="58" s="1"/>
  <c r="O4287" i="58"/>
  <c r="P4287" i="58" s="1"/>
  <c r="J4287" i="58"/>
  <c r="I4287" i="58"/>
  <c r="P4286" i="58"/>
  <c r="O4286" i="58"/>
  <c r="O4285" i="58"/>
  <c r="P4285" i="58" s="1"/>
  <c r="Q4285" i="58" s="1"/>
  <c r="N4285" i="58"/>
  <c r="P4284" i="58"/>
  <c r="O4284" i="58"/>
  <c r="K4284" i="58"/>
  <c r="L4284" i="58" s="1"/>
  <c r="L4278" i="58" s="1"/>
  <c r="P4283" i="58"/>
  <c r="O4283" i="58"/>
  <c r="O4282" i="58"/>
  <c r="P4282" i="58" s="1"/>
  <c r="I4282" i="58"/>
  <c r="J4282" i="58" s="1"/>
  <c r="O4281" i="58"/>
  <c r="P4281" i="58" s="1"/>
  <c r="I4281" i="58"/>
  <c r="J4281" i="58" s="1"/>
  <c r="O4280" i="58"/>
  <c r="P4280" i="58" s="1"/>
  <c r="I4280" i="58"/>
  <c r="J4280" i="58" s="1"/>
  <c r="O4279" i="58"/>
  <c r="P4279" i="58" s="1"/>
  <c r="O4278" i="58"/>
  <c r="P4278" i="58" s="1"/>
  <c r="Q4278" i="58" s="1"/>
  <c r="N4278" i="58"/>
  <c r="O4277" i="58"/>
  <c r="P4277" i="58" s="1"/>
  <c r="Q4277" i="58" s="1"/>
  <c r="K4277" i="58"/>
  <c r="L4277" i="58" s="1"/>
  <c r="L4271" i="58" s="1"/>
  <c r="O4276" i="58"/>
  <c r="P4276" i="58" s="1"/>
  <c r="O4275" i="58"/>
  <c r="P4275" i="58" s="1"/>
  <c r="I4275" i="58"/>
  <c r="J4275" i="58" s="1"/>
  <c r="O4274" i="58"/>
  <c r="P4274" i="58" s="1"/>
  <c r="I4274" i="58"/>
  <c r="J4274" i="58" s="1"/>
  <c r="O4273" i="58"/>
  <c r="P4273" i="58" s="1"/>
  <c r="I4273" i="58"/>
  <c r="J4273" i="58" s="1"/>
  <c r="P4272" i="58"/>
  <c r="O4272" i="58"/>
  <c r="O4271" i="58"/>
  <c r="P4271" i="58" s="1"/>
  <c r="Q4271" i="58" s="1"/>
  <c r="N4271" i="58"/>
  <c r="O4270" i="58"/>
  <c r="P4270" i="58" s="1"/>
  <c r="K4270" i="58"/>
  <c r="L4270" i="58" s="1"/>
  <c r="L4264" i="58" s="1"/>
  <c r="O4269" i="58"/>
  <c r="P4269" i="58" s="1"/>
  <c r="O4268" i="58"/>
  <c r="P4268" i="58" s="1"/>
  <c r="I4268" i="58"/>
  <c r="J4268" i="58" s="1"/>
  <c r="O4267" i="58"/>
  <c r="P4267" i="58" s="1"/>
  <c r="I4267" i="58"/>
  <c r="J4267" i="58" s="1"/>
  <c r="O4266" i="58"/>
  <c r="P4266" i="58" s="1"/>
  <c r="I4266" i="58"/>
  <c r="J4266" i="58" s="1"/>
  <c r="O4265" i="58"/>
  <c r="P4265" i="58" s="1"/>
  <c r="P4264" i="58"/>
  <c r="Q4264" i="58" s="1"/>
  <c r="O4264" i="58"/>
  <c r="N4264" i="58"/>
  <c r="O4263" i="58"/>
  <c r="P4263" i="58" s="1"/>
  <c r="K4263" i="58"/>
  <c r="L4263" i="58" s="1"/>
  <c r="L4257" i="58" s="1"/>
  <c r="O4262" i="58"/>
  <c r="P4262" i="58" s="1"/>
  <c r="O4261" i="58"/>
  <c r="P4261" i="58" s="1"/>
  <c r="I4261" i="58"/>
  <c r="J4261" i="58" s="1"/>
  <c r="P4260" i="58"/>
  <c r="O4260" i="58"/>
  <c r="I4260" i="58"/>
  <c r="J4260" i="58" s="1"/>
  <c r="O4259" i="58"/>
  <c r="P4259" i="58" s="1"/>
  <c r="I4259" i="58"/>
  <c r="J4259" i="58" s="1"/>
  <c r="P4258" i="58"/>
  <c r="O4258" i="58"/>
  <c r="O4257" i="58"/>
  <c r="P4257" i="58" s="1"/>
  <c r="Q4257" i="58" s="1"/>
  <c r="N4257" i="58"/>
  <c r="O4255" i="58"/>
  <c r="P4255" i="58" s="1"/>
  <c r="K4255" i="58"/>
  <c r="L4255" i="58" s="1"/>
  <c r="L4253" i="58" s="1"/>
  <c r="O4254" i="58"/>
  <c r="P4254" i="58" s="1"/>
  <c r="O4253" i="58"/>
  <c r="P4253" i="58" s="1"/>
  <c r="Q4253" i="58" s="1"/>
  <c r="N4253" i="58"/>
  <c r="J4253" i="58"/>
  <c r="O4252" i="58"/>
  <c r="P4252" i="58" s="1"/>
  <c r="K4252" i="58"/>
  <c r="L4252" i="58" s="1"/>
  <c r="L4250" i="58" s="1"/>
  <c r="P4251" i="58"/>
  <c r="O4251" i="58"/>
  <c r="O4250" i="58"/>
  <c r="P4250" i="58" s="1"/>
  <c r="Q4250" i="58" s="1"/>
  <c r="N4250" i="58"/>
  <c r="J4250" i="58"/>
  <c r="P4249" i="58"/>
  <c r="O4249" i="58"/>
  <c r="K4249" i="58"/>
  <c r="L4249" i="58" s="1"/>
  <c r="L4247" i="58" s="1"/>
  <c r="O4248" i="58"/>
  <c r="P4248" i="58" s="1"/>
  <c r="O4247" i="58"/>
  <c r="P4247" i="58" s="1"/>
  <c r="Q4247" i="58" s="1"/>
  <c r="N4247" i="58"/>
  <c r="J4247" i="58"/>
  <c r="O4246" i="58"/>
  <c r="P4246" i="58" s="1"/>
  <c r="K4246" i="58"/>
  <c r="L4246" i="58" s="1"/>
  <c r="L4244" i="58" s="1"/>
  <c r="O4245" i="58"/>
  <c r="P4245" i="58" s="1"/>
  <c r="P4244" i="58"/>
  <c r="Q4244" i="58" s="1"/>
  <c r="O4244" i="58"/>
  <c r="N4244" i="58"/>
  <c r="J4244" i="58"/>
  <c r="O4243" i="58"/>
  <c r="P4243" i="58" s="1"/>
  <c r="K4243" i="58"/>
  <c r="L4243" i="58" s="1"/>
  <c r="O4242" i="58"/>
  <c r="P4242" i="58" s="1"/>
  <c r="O4241" i="58"/>
  <c r="P4241" i="58" s="1"/>
  <c r="Q4241" i="58" s="1"/>
  <c r="N4241" i="58"/>
  <c r="L4241" i="58"/>
  <c r="J4241" i="58"/>
  <c r="O4240" i="58"/>
  <c r="P4240" i="58" s="1"/>
  <c r="L4240" i="58"/>
  <c r="L4238" i="58" s="1"/>
  <c r="K4240" i="58"/>
  <c r="O4239" i="58"/>
  <c r="P4239" i="58" s="1"/>
  <c r="P4238" i="58"/>
  <c r="Q4238" i="58" s="1"/>
  <c r="O4238" i="58"/>
  <c r="N4238" i="58"/>
  <c r="J4238" i="58"/>
  <c r="O4237" i="58"/>
  <c r="P4237" i="58" s="1"/>
  <c r="K4237" i="58"/>
  <c r="L4237" i="58" s="1"/>
  <c r="L4235" i="58" s="1"/>
  <c r="P4236" i="58"/>
  <c r="O4236" i="58"/>
  <c r="O4235" i="58"/>
  <c r="P4235" i="58" s="1"/>
  <c r="Q4235" i="58" s="1"/>
  <c r="N4235" i="58"/>
  <c r="J4235" i="58"/>
  <c r="P4234" i="58"/>
  <c r="O4234" i="58"/>
  <c r="K4234" i="58"/>
  <c r="L4234" i="58" s="1"/>
  <c r="L4229" i="58" s="1"/>
  <c r="O4233" i="58"/>
  <c r="P4233" i="58" s="1"/>
  <c r="O4232" i="58"/>
  <c r="P4232" i="58" s="1"/>
  <c r="I4232" i="58"/>
  <c r="J4232" i="58" s="1"/>
  <c r="P4231" i="58"/>
  <c r="O4231" i="58"/>
  <c r="I4231" i="58"/>
  <c r="J4231" i="58" s="1"/>
  <c r="P4230" i="58"/>
  <c r="O4230" i="58"/>
  <c r="O4229" i="58"/>
  <c r="P4229" i="58" s="1"/>
  <c r="Q4229" i="58" s="1"/>
  <c r="N4229" i="58"/>
  <c r="O4228" i="58"/>
  <c r="P4228" i="58" s="1"/>
  <c r="Q4228" i="58" s="1"/>
  <c r="R4228" i="58" s="1"/>
  <c r="K4228" i="58"/>
  <c r="L4228" i="58" s="1"/>
  <c r="L4223" i="58" s="1"/>
  <c r="Q4227" i="58"/>
  <c r="R4227" i="58" s="1"/>
  <c r="O4227" i="58"/>
  <c r="P4227" i="58" s="1"/>
  <c r="P4226" i="58"/>
  <c r="O4226" i="58"/>
  <c r="I4226" i="58"/>
  <c r="J4226" i="58" s="1"/>
  <c r="O4225" i="58"/>
  <c r="P4225" i="58" s="1"/>
  <c r="I4225" i="58"/>
  <c r="J4225" i="58" s="1"/>
  <c r="J4223" i="58" s="1"/>
  <c r="P4224" i="58"/>
  <c r="O4224" i="58"/>
  <c r="P4223" i="58"/>
  <c r="Q4223" i="58" s="1"/>
  <c r="O4223" i="58"/>
  <c r="N4223" i="58"/>
  <c r="O4222" i="58"/>
  <c r="P4222" i="58" s="1"/>
  <c r="K4222" i="58"/>
  <c r="L4222" i="58" s="1"/>
  <c r="L4217" i="58" s="1"/>
  <c r="O4221" i="58"/>
  <c r="P4221" i="58" s="1"/>
  <c r="O4220" i="58"/>
  <c r="P4220" i="58" s="1"/>
  <c r="J4220" i="58"/>
  <c r="I4220" i="58"/>
  <c r="O4219" i="58"/>
  <c r="P4219" i="58" s="1"/>
  <c r="I4219" i="58"/>
  <c r="J4219" i="58" s="1"/>
  <c r="O4218" i="58"/>
  <c r="P4218" i="58" s="1"/>
  <c r="O4217" i="58"/>
  <c r="P4217" i="58" s="1"/>
  <c r="Q4217" i="58" s="1"/>
  <c r="N4217" i="58"/>
  <c r="O4216" i="58"/>
  <c r="P4216" i="58" s="1"/>
  <c r="K4216" i="58"/>
  <c r="L4216" i="58" s="1"/>
  <c r="L4211" i="58" s="1"/>
  <c r="P4215" i="58"/>
  <c r="O4215" i="58"/>
  <c r="P4214" i="58"/>
  <c r="O4214" i="58"/>
  <c r="I4214" i="58"/>
  <c r="J4214" i="58" s="1"/>
  <c r="O4213" i="58"/>
  <c r="P4213" i="58" s="1"/>
  <c r="I4213" i="58"/>
  <c r="J4213" i="58" s="1"/>
  <c r="O4212" i="58"/>
  <c r="P4212" i="58" s="1"/>
  <c r="O4211" i="58"/>
  <c r="P4211" i="58" s="1"/>
  <c r="Q4211" i="58" s="1"/>
  <c r="N4211" i="58"/>
  <c r="O4210" i="58"/>
  <c r="P4210" i="58" s="1"/>
  <c r="Q4210" i="58" s="1"/>
  <c r="L4210" i="58"/>
  <c r="L4205" i="58" s="1"/>
  <c r="K4210" i="58"/>
  <c r="P4209" i="58"/>
  <c r="O4209" i="58"/>
  <c r="P4208" i="58"/>
  <c r="O4208" i="58"/>
  <c r="I4208" i="58"/>
  <c r="J4208" i="58" s="1"/>
  <c r="O4207" i="58"/>
  <c r="P4207" i="58" s="1"/>
  <c r="I4207" i="58"/>
  <c r="J4207" i="58" s="1"/>
  <c r="J4205" i="58" s="1"/>
  <c r="O4206" i="58"/>
  <c r="P4206" i="58" s="1"/>
  <c r="P4205" i="58"/>
  <c r="Q4205" i="58" s="1"/>
  <c r="O4205" i="58"/>
  <c r="N4205" i="58"/>
  <c r="O4204" i="58"/>
  <c r="P4204" i="58" s="1"/>
  <c r="K4204" i="58"/>
  <c r="L4204" i="58" s="1"/>
  <c r="L4199" i="58" s="1"/>
  <c r="P4203" i="58"/>
  <c r="O4203" i="58"/>
  <c r="O4202" i="58"/>
  <c r="P4202" i="58" s="1"/>
  <c r="I4202" i="58"/>
  <c r="J4202" i="58" s="1"/>
  <c r="P4201" i="58"/>
  <c r="O4201" i="58"/>
  <c r="I4201" i="58"/>
  <c r="J4201" i="58" s="1"/>
  <c r="P4200" i="58"/>
  <c r="O4200" i="58"/>
  <c r="O4199" i="58"/>
  <c r="P4199" i="58" s="1"/>
  <c r="Q4199" i="58" s="1"/>
  <c r="N4199" i="58"/>
  <c r="O4198" i="58"/>
  <c r="P4198" i="58" s="1"/>
  <c r="Q4198" i="58" s="1"/>
  <c r="R4198" i="58" s="1"/>
  <c r="K4198" i="58"/>
  <c r="L4198" i="58" s="1"/>
  <c r="O4197" i="58"/>
  <c r="P4197" i="58" s="1"/>
  <c r="Q4197" i="58" s="1"/>
  <c r="O4196" i="58"/>
  <c r="P4196" i="58" s="1"/>
  <c r="J4196" i="58"/>
  <c r="I4196" i="58"/>
  <c r="O4195" i="58"/>
  <c r="P4195" i="58" s="1"/>
  <c r="I4195" i="58"/>
  <c r="J4195" i="58" s="1"/>
  <c r="O4194" i="58"/>
  <c r="P4194" i="58" s="1"/>
  <c r="O4193" i="58"/>
  <c r="P4193" i="58" s="1"/>
  <c r="Q4193" i="58" s="1"/>
  <c r="N4193" i="58"/>
  <c r="L4193" i="58"/>
  <c r="O4192" i="58"/>
  <c r="P4192" i="58" s="1"/>
  <c r="K4192" i="58"/>
  <c r="L4192" i="58" s="1"/>
  <c r="L4187" i="58" s="1"/>
  <c r="O4191" i="58"/>
  <c r="P4191" i="58" s="1"/>
  <c r="O4190" i="58"/>
  <c r="P4190" i="58" s="1"/>
  <c r="I4190" i="58"/>
  <c r="J4190" i="58" s="1"/>
  <c r="O4189" i="58"/>
  <c r="P4189" i="58" s="1"/>
  <c r="I4189" i="58"/>
  <c r="J4189" i="58" s="1"/>
  <c r="P4188" i="58"/>
  <c r="O4188" i="58"/>
  <c r="P4187" i="58"/>
  <c r="Q4187" i="58" s="1"/>
  <c r="O4187" i="58"/>
  <c r="N4187" i="58"/>
  <c r="O4186" i="58"/>
  <c r="P4186" i="58" s="1"/>
  <c r="K4186" i="58"/>
  <c r="L4186" i="58" s="1"/>
  <c r="L4181" i="58" s="1"/>
  <c r="O4185" i="58"/>
  <c r="P4185" i="58" s="1"/>
  <c r="O4184" i="58"/>
  <c r="P4184" i="58" s="1"/>
  <c r="I4184" i="58"/>
  <c r="J4184" i="58" s="1"/>
  <c r="O4183" i="58"/>
  <c r="P4183" i="58" s="1"/>
  <c r="I4183" i="58"/>
  <c r="J4183" i="58" s="1"/>
  <c r="P4182" i="58"/>
  <c r="O4182" i="58"/>
  <c r="P4181" i="58"/>
  <c r="Q4181" i="58" s="1"/>
  <c r="O4181" i="58"/>
  <c r="N4181" i="58"/>
  <c r="O4180" i="58"/>
  <c r="P4180" i="58" s="1"/>
  <c r="L4180" i="58"/>
  <c r="L4175" i="58" s="1"/>
  <c r="K4180" i="58"/>
  <c r="O4179" i="58"/>
  <c r="P4179" i="58" s="1"/>
  <c r="O4178" i="58"/>
  <c r="P4178" i="58" s="1"/>
  <c r="I4178" i="58"/>
  <c r="J4178" i="58" s="1"/>
  <c r="O4177" i="58"/>
  <c r="P4177" i="58" s="1"/>
  <c r="I4177" i="58"/>
  <c r="J4177" i="58" s="1"/>
  <c r="J4175" i="58" s="1"/>
  <c r="O4176" i="58"/>
  <c r="P4176" i="58" s="1"/>
  <c r="P4175" i="58"/>
  <c r="Q4175" i="58" s="1"/>
  <c r="O4175" i="58"/>
  <c r="N4175" i="58"/>
  <c r="O4174" i="58"/>
  <c r="P4174" i="58" s="1"/>
  <c r="K4174" i="58"/>
  <c r="L4174" i="58" s="1"/>
  <c r="L4169" i="58" s="1"/>
  <c r="O4173" i="58"/>
  <c r="P4173" i="58" s="1"/>
  <c r="O4172" i="58"/>
  <c r="P4172" i="58" s="1"/>
  <c r="I4172" i="58"/>
  <c r="J4172" i="58" s="1"/>
  <c r="O4171" i="58"/>
  <c r="P4171" i="58" s="1"/>
  <c r="I4171" i="58"/>
  <c r="J4171" i="58" s="1"/>
  <c r="O4170" i="58"/>
  <c r="P4170" i="58" s="1"/>
  <c r="O4169" i="58"/>
  <c r="P4169" i="58" s="1"/>
  <c r="Q4169" i="58" s="1"/>
  <c r="N4169" i="58"/>
  <c r="P4168" i="58"/>
  <c r="Q4168" i="58" s="1"/>
  <c r="R4168" i="58" s="1"/>
  <c r="O4168" i="58"/>
  <c r="K4168" i="58"/>
  <c r="L4168" i="58" s="1"/>
  <c r="L4163" i="58" s="1"/>
  <c r="O4167" i="58"/>
  <c r="P4167" i="58" s="1"/>
  <c r="Q4167" i="58" s="1"/>
  <c r="R4167" i="58" s="1"/>
  <c r="O4166" i="58"/>
  <c r="P4166" i="58" s="1"/>
  <c r="I4166" i="58"/>
  <c r="J4166" i="58" s="1"/>
  <c r="P4165" i="58"/>
  <c r="O4165" i="58"/>
  <c r="I4165" i="58"/>
  <c r="J4165" i="58" s="1"/>
  <c r="J4163" i="58" s="1"/>
  <c r="O4164" i="58"/>
  <c r="P4164" i="58" s="1"/>
  <c r="O4163" i="58"/>
  <c r="P4163" i="58" s="1"/>
  <c r="Q4163" i="58" s="1"/>
  <c r="N4163" i="58"/>
  <c r="O4162" i="58"/>
  <c r="P4162" i="58" s="1"/>
  <c r="K4162" i="58"/>
  <c r="L4162" i="58" s="1"/>
  <c r="L4157" i="58" s="1"/>
  <c r="P4161" i="58"/>
  <c r="O4161" i="58"/>
  <c r="P4160" i="58"/>
  <c r="O4160" i="58"/>
  <c r="I4160" i="58"/>
  <c r="J4160" i="58" s="1"/>
  <c r="O4159" i="58"/>
  <c r="P4159" i="58" s="1"/>
  <c r="I4159" i="58"/>
  <c r="J4159" i="58" s="1"/>
  <c r="O4158" i="58"/>
  <c r="P4158" i="58" s="1"/>
  <c r="O4157" i="58"/>
  <c r="P4157" i="58" s="1"/>
  <c r="Q4157" i="58" s="1"/>
  <c r="N4157" i="58"/>
  <c r="O4156" i="58"/>
  <c r="P4156" i="58" s="1"/>
  <c r="K4156" i="58"/>
  <c r="L4156" i="58" s="1"/>
  <c r="L4151" i="58" s="1"/>
  <c r="O4155" i="58"/>
  <c r="P4155" i="58" s="1"/>
  <c r="O4154" i="58"/>
  <c r="P4154" i="58" s="1"/>
  <c r="I4154" i="58"/>
  <c r="J4154" i="58" s="1"/>
  <c r="O4153" i="58"/>
  <c r="P4153" i="58" s="1"/>
  <c r="I4153" i="58"/>
  <c r="J4153" i="58" s="1"/>
  <c r="O4152" i="58"/>
  <c r="P4152" i="58" s="1"/>
  <c r="O4151" i="58"/>
  <c r="P4151" i="58" s="1"/>
  <c r="Q4151" i="58" s="1"/>
  <c r="N4151" i="58"/>
  <c r="P4150" i="58"/>
  <c r="O4150" i="58"/>
  <c r="K4150" i="58"/>
  <c r="L4150" i="58" s="1"/>
  <c r="L4145" i="58" s="1"/>
  <c r="O4149" i="58"/>
  <c r="P4149" i="58" s="1"/>
  <c r="O4148" i="58"/>
  <c r="P4148" i="58" s="1"/>
  <c r="I4148" i="58"/>
  <c r="J4148" i="58" s="1"/>
  <c r="P4147" i="58"/>
  <c r="O4147" i="58"/>
  <c r="I4147" i="58"/>
  <c r="J4147" i="58" s="1"/>
  <c r="O4146" i="58"/>
  <c r="P4146" i="58" s="1"/>
  <c r="O4145" i="58"/>
  <c r="P4145" i="58" s="1"/>
  <c r="Q4145" i="58" s="1"/>
  <c r="N4145" i="58"/>
  <c r="P4144" i="58"/>
  <c r="O4144" i="58"/>
  <c r="K4144" i="58"/>
  <c r="L4144" i="58" s="1"/>
  <c r="L4139" i="58" s="1"/>
  <c r="O4143" i="58"/>
  <c r="P4143" i="58" s="1"/>
  <c r="O4142" i="58"/>
  <c r="P4142" i="58" s="1"/>
  <c r="I4142" i="58"/>
  <c r="J4142" i="58" s="1"/>
  <c r="O4141" i="58"/>
  <c r="P4141" i="58" s="1"/>
  <c r="I4141" i="58"/>
  <c r="J4141" i="58" s="1"/>
  <c r="P4140" i="58"/>
  <c r="O4140" i="58"/>
  <c r="P4139" i="58"/>
  <c r="Q4139" i="58" s="1"/>
  <c r="O4139" i="58"/>
  <c r="N4139" i="58"/>
  <c r="O4138" i="58"/>
  <c r="P4138" i="58" s="1"/>
  <c r="K4138" i="58"/>
  <c r="L4138" i="58" s="1"/>
  <c r="L4133" i="58" s="1"/>
  <c r="O4137" i="58"/>
  <c r="P4137" i="58" s="1"/>
  <c r="P4136" i="58"/>
  <c r="O4136" i="58"/>
  <c r="I4136" i="58"/>
  <c r="J4136" i="58" s="1"/>
  <c r="O4135" i="58"/>
  <c r="P4135" i="58" s="1"/>
  <c r="I4135" i="58"/>
  <c r="J4135" i="58" s="1"/>
  <c r="O4134" i="58"/>
  <c r="P4134" i="58" s="1"/>
  <c r="O4133" i="58"/>
  <c r="P4133" i="58" s="1"/>
  <c r="Q4133" i="58" s="1"/>
  <c r="N4133" i="58"/>
  <c r="O4132" i="58"/>
  <c r="P4132" i="58" s="1"/>
  <c r="K4132" i="58"/>
  <c r="L4132" i="58" s="1"/>
  <c r="L4127" i="58" s="1"/>
  <c r="O4131" i="58"/>
  <c r="P4131" i="58" s="1"/>
  <c r="P4130" i="58"/>
  <c r="O4130" i="58"/>
  <c r="J4130" i="58"/>
  <c r="I4130" i="58"/>
  <c r="O4129" i="58"/>
  <c r="P4129" i="58" s="1"/>
  <c r="I4129" i="58"/>
  <c r="J4129" i="58" s="1"/>
  <c r="O4128" i="58"/>
  <c r="P4128" i="58" s="1"/>
  <c r="P4127" i="58"/>
  <c r="Q4127" i="58" s="1"/>
  <c r="O4127" i="58"/>
  <c r="N4127" i="58"/>
  <c r="O4126" i="58"/>
  <c r="P4126" i="58" s="1"/>
  <c r="Q4126" i="58" s="1"/>
  <c r="R4126" i="58" s="1"/>
  <c r="K4126" i="58"/>
  <c r="L4126" i="58" s="1"/>
  <c r="L4121" i="58" s="1"/>
  <c r="O4125" i="58"/>
  <c r="P4125" i="58" s="1"/>
  <c r="O4124" i="58"/>
  <c r="P4124" i="58" s="1"/>
  <c r="I4124" i="58"/>
  <c r="J4124" i="58" s="1"/>
  <c r="O4123" i="58"/>
  <c r="P4123" i="58" s="1"/>
  <c r="I4123" i="58"/>
  <c r="J4123" i="58" s="1"/>
  <c r="O4122" i="58"/>
  <c r="P4122" i="58" s="1"/>
  <c r="O4121" i="58"/>
  <c r="P4121" i="58" s="1"/>
  <c r="Q4121" i="58" s="1"/>
  <c r="N4121" i="58"/>
  <c r="J4121" i="58"/>
  <c r="O4120" i="58"/>
  <c r="P4120" i="58" s="1"/>
  <c r="Q4120" i="58" s="1"/>
  <c r="K4120" i="58"/>
  <c r="L4120" i="58" s="1"/>
  <c r="L4115" i="58" s="1"/>
  <c r="O4119" i="58"/>
  <c r="P4119" i="58" s="1"/>
  <c r="O4118" i="58"/>
  <c r="P4118" i="58" s="1"/>
  <c r="I4118" i="58"/>
  <c r="J4118" i="58" s="1"/>
  <c r="O4117" i="58"/>
  <c r="P4117" i="58" s="1"/>
  <c r="J4117" i="58"/>
  <c r="I4117" i="58"/>
  <c r="O4116" i="58"/>
  <c r="P4116" i="58" s="1"/>
  <c r="O4115" i="58"/>
  <c r="P4115" i="58" s="1"/>
  <c r="Q4115" i="58" s="1"/>
  <c r="N4115" i="58"/>
  <c r="O4114" i="58"/>
  <c r="P4114" i="58" s="1"/>
  <c r="K4114" i="58"/>
  <c r="L4114" i="58" s="1"/>
  <c r="L4109" i="58" s="1"/>
  <c r="O4113" i="58"/>
  <c r="P4113" i="58" s="1"/>
  <c r="O4112" i="58"/>
  <c r="P4112" i="58" s="1"/>
  <c r="I4112" i="58"/>
  <c r="J4112" i="58" s="1"/>
  <c r="J4109" i="58" s="1"/>
  <c r="O4111" i="58"/>
  <c r="P4111" i="58" s="1"/>
  <c r="I4111" i="58"/>
  <c r="J4111" i="58" s="1"/>
  <c r="O4110" i="58"/>
  <c r="P4110" i="58" s="1"/>
  <c r="O4109" i="58"/>
  <c r="P4109" i="58" s="1"/>
  <c r="Q4109" i="58" s="1"/>
  <c r="N4109" i="58"/>
  <c r="O4108" i="58"/>
  <c r="P4108" i="58" s="1"/>
  <c r="K4108" i="58"/>
  <c r="L4108" i="58" s="1"/>
  <c r="L4103" i="58" s="1"/>
  <c r="P4107" i="58"/>
  <c r="O4107" i="58"/>
  <c r="O4106" i="58"/>
  <c r="P4106" i="58" s="1"/>
  <c r="I4106" i="58"/>
  <c r="J4106" i="58" s="1"/>
  <c r="O4105" i="58"/>
  <c r="P4105" i="58" s="1"/>
  <c r="I4105" i="58"/>
  <c r="J4105" i="58" s="1"/>
  <c r="O4104" i="58"/>
  <c r="P4104" i="58" s="1"/>
  <c r="P4103" i="58"/>
  <c r="Q4103" i="58" s="1"/>
  <c r="O4103" i="58"/>
  <c r="N4103" i="58"/>
  <c r="O4102" i="58"/>
  <c r="P4102" i="58" s="1"/>
  <c r="K4102" i="58"/>
  <c r="L4102" i="58" s="1"/>
  <c r="L4097" i="58" s="1"/>
  <c r="O4101" i="58"/>
  <c r="P4101" i="58" s="1"/>
  <c r="O4100" i="58"/>
  <c r="P4100" i="58" s="1"/>
  <c r="J4100" i="58"/>
  <c r="I4100" i="58"/>
  <c r="P4099" i="58"/>
  <c r="O4099" i="58"/>
  <c r="I4099" i="58"/>
  <c r="J4099" i="58" s="1"/>
  <c r="O4098" i="58"/>
  <c r="P4098" i="58" s="1"/>
  <c r="O4097" i="58"/>
  <c r="P4097" i="58" s="1"/>
  <c r="Q4097" i="58" s="1"/>
  <c r="N4097" i="58"/>
  <c r="J4097" i="58"/>
  <c r="P4096" i="58"/>
  <c r="Q4096" i="58" s="1"/>
  <c r="R4096" i="58" s="1"/>
  <c r="O4096" i="58"/>
  <c r="K4096" i="58"/>
  <c r="L4096" i="58" s="1"/>
  <c r="L4091" i="58" s="1"/>
  <c r="O4095" i="58"/>
  <c r="P4095" i="58" s="1"/>
  <c r="O4094" i="58"/>
  <c r="P4094" i="58" s="1"/>
  <c r="I4094" i="58"/>
  <c r="J4094" i="58" s="1"/>
  <c r="O4093" i="58"/>
  <c r="P4093" i="58" s="1"/>
  <c r="I4093" i="58"/>
  <c r="J4093" i="58" s="1"/>
  <c r="O4092" i="58"/>
  <c r="P4092" i="58" s="1"/>
  <c r="O4091" i="58"/>
  <c r="P4091" i="58" s="1"/>
  <c r="Q4091" i="58" s="1"/>
  <c r="N4091" i="58"/>
  <c r="P4090" i="58"/>
  <c r="O4090" i="58"/>
  <c r="K4090" i="58"/>
  <c r="L4090" i="58" s="1"/>
  <c r="L4085" i="58" s="1"/>
  <c r="O4089" i="58"/>
  <c r="P4089" i="58" s="1"/>
  <c r="O4088" i="58"/>
  <c r="P4088" i="58" s="1"/>
  <c r="I4088" i="58"/>
  <c r="J4088" i="58" s="1"/>
  <c r="P4087" i="58"/>
  <c r="O4087" i="58"/>
  <c r="I4087" i="58"/>
  <c r="J4087" i="58" s="1"/>
  <c r="P4086" i="58"/>
  <c r="O4086" i="58"/>
  <c r="O4085" i="58"/>
  <c r="P4085" i="58" s="1"/>
  <c r="Q4085" i="58" s="1"/>
  <c r="N4085" i="58"/>
  <c r="O4084" i="58"/>
  <c r="P4084" i="58" s="1"/>
  <c r="K4084" i="58"/>
  <c r="L4084" i="58" s="1"/>
  <c r="L4079" i="58" s="1"/>
  <c r="O4083" i="58"/>
  <c r="P4083" i="58" s="1"/>
  <c r="O4082" i="58"/>
  <c r="P4082" i="58" s="1"/>
  <c r="I4082" i="58"/>
  <c r="J4082" i="58" s="1"/>
  <c r="O4081" i="58"/>
  <c r="P4081" i="58" s="1"/>
  <c r="J4081" i="58"/>
  <c r="I4081" i="58"/>
  <c r="O4080" i="58"/>
  <c r="P4080" i="58" s="1"/>
  <c r="O4079" i="58"/>
  <c r="P4079" i="58" s="1"/>
  <c r="Q4079" i="58" s="1"/>
  <c r="N4079" i="58"/>
  <c r="O4078" i="58"/>
  <c r="P4078" i="58" s="1"/>
  <c r="K4078" i="58"/>
  <c r="L4078" i="58" s="1"/>
  <c r="L4073" i="58" s="1"/>
  <c r="O4077" i="58"/>
  <c r="P4077" i="58" s="1"/>
  <c r="P4076" i="58"/>
  <c r="O4076" i="58"/>
  <c r="J4076" i="58"/>
  <c r="I4076" i="58"/>
  <c r="O4075" i="58"/>
  <c r="P4075" i="58" s="1"/>
  <c r="I4075" i="58"/>
  <c r="J4075" i="58" s="1"/>
  <c r="O4074" i="58"/>
  <c r="P4074" i="58" s="1"/>
  <c r="O4073" i="58"/>
  <c r="P4073" i="58" s="1"/>
  <c r="Q4073" i="58" s="1"/>
  <c r="N4073" i="58"/>
  <c r="O4072" i="58"/>
  <c r="P4072" i="58" s="1"/>
  <c r="Q4072" i="58" s="1"/>
  <c r="R4072" i="58" s="1"/>
  <c r="K4072" i="58"/>
  <c r="L4072" i="58" s="1"/>
  <c r="L4067" i="58" s="1"/>
  <c r="O4071" i="58"/>
  <c r="P4071" i="58" s="1"/>
  <c r="P4070" i="58"/>
  <c r="O4070" i="58"/>
  <c r="I4070" i="58"/>
  <c r="J4070" i="58" s="1"/>
  <c r="O4069" i="58"/>
  <c r="P4069" i="58" s="1"/>
  <c r="I4069" i="58"/>
  <c r="J4069" i="58" s="1"/>
  <c r="O4068" i="58"/>
  <c r="P4068" i="58" s="1"/>
  <c r="O4067" i="58"/>
  <c r="P4067" i="58" s="1"/>
  <c r="Q4067" i="58" s="1"/>
  <c r="N4067" i="58"/>
  <c r="O4066" i="58"/>
  <c r="P4066" i="58" s="1"/>
  <c r="K4066" i="58"/>
  <c r="L4066" i="58" s="1"/>
  <c r="L4061" i="58" s="1"/>
  <c r="O4065" i="58"/>
  <c r="P4065" i="58" s="1"/>
  <c r="P4064" i="58"/>
  <c r="O4064" i="58"/>
  <c r="I4064" i="58"/>
  <c r="J4064" i="58" s="1"/>
  <c r="O4063" i="58"/>
  <c r="P4063" i="58" s="1"/>
  <c r="I4063" i="58"/>
  <c r="J4063" i="58" s="1"/>
  <c r="O4062" i="58"/>
  <c r="P4062" i="58" s="1"/>
  <c r="O4061" i="58"/>
  <c r="P4061" i="58" s="1"/>
  <c r="Q4061" i="58" s="1"/>
  <c r="N4061" i="58"/>
  <c r="O4060" i="58"/>
  <c r="P4060" i="58" s="1"/>
  <c r="K4060" i="58"/>
  <c r="L4060" i="58" s="1"/>
  <c r="L4055" i="58" s="1"/>
  <c r="O4059" i="58"/>
  <c r="P4059" i="58" s="1"/>
  <c r="O4058" i="58"/>
  <c r="P4058" i="58" s="1"/>
  <c r="I4058" i="58"/>
  <c r="J4058" i="58" s="1"/>
  <c r="O4057" i="58"/>
  <c r="P4057" i="58" s="1"/>
  <c r="I4057" i="58"/>
  <c r="J4057" i="58" s="1"/>
  <c r="P4056" i="58"/>
  <c r="O4056" i="58"/>
  <c r="O4055" i="58"/>
  <c r="P4055" i="58" s="1"/>
  <c r="Q4055" i="58" s="1"/>
  <c r="N4055" i="58"/>
  <c r="P4054" i="58"/>
  <c r="O4054" i="58"/>
  <c r="K4054" i="58"/>
  <c r="L4054" i="58" s="1"/>
  <c r="L4049" i="58" s="1"/>
  <c r="O4053" i="58"/>
  <c r="P4053" i="58" s="1"/>
  <c r="O4052" i="58"/>
  <c r="P4052" i="58" s="1"/>
  <c r="I4052" i="58"/>
  <c r="J4052" i="58" s="1"/>
  <c r="O4051" i="58"/>
  <c r="P4051" i="58" s="1"/>
  <c r="I4051" i="58"/>
  <c r="J4051" i="58" s="1"/>
  <c r="O4050" i="58"/>
  <c r="P4050" i="58" s="1"/>
  <c r="O4049" i="58"/>
  <c r="P4049" i="58" s="1"/>
  <c r="Q4049" i="58" s="1"/>
  <c r="N4049" i="58"/>
  <c r="O4048" i="58"/>
  <c r="P4048" i="58" s="1"/>
  <c r="K4048" i="58"/>
  <c r="L4048" i="58" s="1"/>
  <c r="L4043" i="58" s="1"/>
  <c r="O4047" i="58"/>
  <c r="P4047" i="58" s="1"/>
  <c r="O4046" i="58"/>
  <c r="P4046" i="58" s="1"/>
  <c r="I4046" i="58"/>
  <c r="J4046" i="58" s="1"/>
  <c r="O4045" i="58"/>
  <c r="P4045" i="58" s="1"/>
  <c r="I4045" i="58"/>
  <c r="J4045" i="58" s="1"/>
  <c r="J4043" i="58" s="1"/>
  <c r="O4044" i="58"/>
  <c r="P4044" i="58" s="1"/>
  <c r="O4043" i="58"/>
  <c r="P4043" i="58" s="1"/>
  <c r="Q4043" i="58" s="1"/>
  <c r="N4043" i="58"/>
  <c r="O4042" i="58"/>
  <c r="P4042" i="58" s="1"/>
  <c r="K4042" i="58"/>
  <c r="L4042" i="58" s="1"/>
  <c r="L4037" i="58" s="1"/>
  <c r="O4041" i="58"/>
  <c r="P4041" i="58" s="1"/>
  <c r="O4040" i="58"/>
  <c r="P4040" i="58" s="1"/>
  <c r="I4040" i="58"/>
  <c r="J4040" i="58" s="1"/>
  <c r="O4039" i="58"/>
  <c r="P4039" i="58" s="1"/>
  <c r="I4039" i="58"/>
  <c r="J4039" i="58" s="1"/>
  <c r="P4038" i="58"/>
  <c r="O4038" i="58"/>
  <c r="O4037" i="58"/>
  <c r="P4037" i="58" s="1"/>
  <c r="Q4037" i="58" s="1"/>
  <c r="N4037" i="58"/>
  <c r="O4036" i="58"/>
  <c r="P4036" i="58" s="1"/>
  <c r="K4036" i="58"/>
  <c r="L4036" i="58" s="1"/>
  <c r="L4031" i="58" s="1"/>
  <c r="O4035" i="58"/>
  <c r="P4035" i="58" s="1"/>
  <c r="P4034" i="58"/>
  <c r="O4034" i="58"/>
  <c r="I4034" i="58"/>
  <c r="J4034" i="58" s="1"/>
  <c r="O4033" i="58"/>
  <c r="P4033" i="58" s="1"/>
  <c r="I4033" i="58"/>
  <c r="J4033" i="58" s="1"/>
  <c r="O4032" i="58"/>
  <c r="P4032" i="58" s="1"/>
  <c r="O4031" i="58"/>
  <c r="P4031" i="58" s="1"/>
  <c r="Q4031" i="58" s="1"/>
  <c r="N4031" i="58"/>
  <c r="P4030" i="58"/>
  <c r="O4030" i="58"/>
  <c r="K4030" i="58"/>
  <c r="L4030" i="58" s="1"/>
  <c r="L4025" i="58" s="1"/>
  <c r="O4029" i="58"/>
  <c r="P4029" i="58" s="1"/>
  <c r="O4028" i="58"/>
  <c r="P4028" i="58" s="1"/>
  <c r="I4028" i="58"/>
  <c r="J4028" i="58" s="1"/>
  <c r="O4027" i="58"/>
  <c r="P4027" i="58" s="1"/>
  <c r="I4027" i="58"/>
  <c r="J4027" i="58" s="1"/>
  <c r="O4026" i="58"/>
  <c r="P4026" i="58" s="1"/>
  <c r="O4025" i="58"/>
  <c r="P4025" i="58" s="1"/>
  <c r="Q4025" i="58" s="1"/>
  <c r="N4025" i="58"/>
  <c r="O4024" i="58"/>
  <c r="P4024" i="58" s="1"/>
  <c r="K4024" i="58"/>
  <c r="L4024" i="58" s="1"/>
  <c r="O4023" i="58"/>
  <c r="P4023" i="58" s="1"/>
  <c r="O4022" i="58"/>
  <c r="P4022" i="58" s="1"/>
  <c r="I4022" i="58"/>
  <c r="J4022" i="58" s="1"/>
  <c r="P4021" i="58"/>
  <c r="O4021" i="58"/>
  <c r="J4021" i="58"/>
  <c r="I4021" i="58"/>
  <c r="P4020" i="58"/>
  <c r="O4020" i="58"/>
  <c r="O4019" i="58"/>
  <c r="P4019" i="58" s="1"/>
  <c r="Q4019" i="58" s="1"/>
  <c r="N4019" i="58"/>
  <c r="L4019" i="58"/>
  <c r="Q4018" i="58"/>
  <c r="R4018" i="58" s="1"/>
  <c r="O4018" i="58"/>
  <c r="P4018" i="58" s="1"/>
  <c r="K4018" i="58"/>
  <c r="L4018" i="58" s="1"/>
  <c r="L4013" i="58" s="1"/>
  <c r="O4017" i="58"/>
  <c r="P4017" i="58" s="1"/>
  <c r="O4016" i="58"/>
  <c r="P4016" i="58" s="1"/>
  <c r="I4016" i="58"/>
  <c r="J4016" i="58" s="1"/>
  <c r="O4015" i="58"/>
  <c r="P4015" i="58" s="1"/>
  <c r="I4015" i="58"/>
  <c r="J4015" i="58" s="1"/>
  <c r="O4014" i="58"/>
  <c r="P4014" i="58" s="1"/>
  <c r="O4013" i="58"/>
  <c r="P4013" i="58" s="1"/>
  <c r="Q4013" i="58" s="1"/>
  <c r="N4013" i="58"/>
  <c r="P4012" i="58"/>
  <c r="O4012" i="58"/>
  <c r="K4012" i="58"/>
  <c r="L4012" i="58" s="1"/>
  <c r="L4007" i="58" s="1"/>
  <c r="O4011" i="58"/>
  <c r="P4011" i="58" s="1"/>
  <c r="O4010" i="58"/>
  <c r="P4010" i="58" s="1"/>
  <c r="I4010" i="58"/>
  <c r="J4010" i="58" s="1"/>
  <c r="O4009" i="58"/>
  <c r="P4009" i="58" s="1"/>
  <c r="I4009" i="58"/>
  <c r="J4009" i="58" s="1"/>
  <c r="P4008" i="58"/>
  <c r="O4008" i="58"/>
  <c r="O4007" i="58"/>
  <c r="P4007" i="58" s="1"/>
  <c r="Q4007" i="58" s="1"/>
  <c r="N4007" i="58"/>
  <c r="O4006" i="58"/>
  <c r="P4006" i="58" s="1"/>
  <c r="K4006" i="58"/>
  <c r="L4006" i="58" s="1"/>
  <c r="L4001" i="58" s="1"/>
  <c r="O4005" i="58"/>
  <c r="P4005" i="58" s="1"/>
  <c r="O4004" i="58"/>
  <c r="P4004" i="58" s="1"/>
  <c r="J4004" i="58"/>
  <c r="I4004" i="58"/>
  <c r="P4003" i="58"/>
  <c r="O4003" i="58"/>
  <c r="I4003" i="58"/>
  <c r="J4003" i="58" s="1"/>
  <c r="O4002" i="58"/>
  <c r="P4002" i="58" s="1"/>
  <c r="O4001" i="58"/>
  <c r="P4001" i="58" s="1"/>
  <c r="Q4001" i="58" s="1"/>
  <c r="N4001" i="58"/>
  <c r="O4000" i="58"/>
  <c r="P4000" i="58" s="1"/>
  <c r="Q4000" i="58" s="1"/>
  <c r="R4000" i="58" s="1"/>
  <c r="K4000" i="58"/>
  <c r="L4000" i="58" s="1"/>
  <c r="L3995" i="58" s="1"/>
  <c r="O3999" i="58"/>
  <c r="P3999" i="58" s="1"/>
  <c r="P3998" i="58"/>
  <c r="O3998" i="58"/>
  <c r="I3998" i="58"/>
  <c r="J3998" i="58" s="1"/>
  <c r="O3997" i="58"/>
  <c r="P3997" i="58" s="1"/>
  <c r="I3997" i="58"/>
  <c r="J3997" i="58" s="1"/>
  <c r="O3996" i="58"/>
  <c r="P3996" i="58" s="1"/>
  <c r="O3995" i="58"/>
  <c r="P3995" i="58" s="1"/>
  <c r="Q3995" i="58" s="1"/>
  <c r="N3995" i="58"/>
  <c r="O3994" i="58"/>
  <c r="P3994" i="58" s="1"/>
  <c r="K3994" i="58"/>
  <c r="L3994" i="58" s="1"/>
  <c r="L3989" i="58" s="1"/>
  <c r="O3993" i="58"/>
  <c r="P3993" i="58" s="1"/>
  <c r="O3992" i="58"/>
  <c r="P3992" i="58" s="1"/>
  <c r="I3992" i="58"/>
  <c r="J3992" i="58" s="1"/>
  <c r="O3991" i="58"/>
  <c r="P3991" i="58" s="1"/>
  <c r="I3991" i="58"/>
  <c r="J3991" i="58" s="1"/>
  <c r="O3990" i="58"/>
  <c r="P3990" i="58" s="1"/>
  <c r="P3989" i="58"/>
  <c r="Q3989" i="58" s="1"/>
  <c r="O3989" i="58"/>
  <c r="N3989" i="58"/>
  <c r="O3988" i="58"/>
  <c r="P3988" i="58" s="1"/>
  <c r="L3988" i="58"/>
  <c r="L3983" i="58" s="1"/>
  <c r="K3988" i="58"/>
  <c r="P3987" i="58"/>
  <c r="O3987" i="58"/>
  <c r="O3986" i="58"/>
  <c r="P3986" i="58" s="1"/>
  <c r="I3986" i="58"/>
  <c r="J3986" i="58" s="1"/>
  <c r="O3985" i="58"/>
  <c r="P3985" i="58" s="1"/>
  <c r="I3985" i="58"/>
  <c r="J3985" i="58" s="1"/>
  <c r="J3983" i="58" s="1"/>
  <c r="O3984" i="58"/>
  <c r="P3984" i="58" s="1"/>
  <c r="O3983" i="58"/>
  <c r="P3983" i="58" s="1"/>
  <c r="Q3983" i="58" s="1"/>
  <c r="N3983" i="58"/>
  <c r="O3982" i="58"/>
  <c r="P3982" i="58" s="1"/>
  <c r="K3982" i="58"/>
  <c r="L3982" i="58" s="1"/>
  <c r="L3977" i="58" s="1"/>
  <c r="O3981" i="58"/>
  <c r="P3981" i="58" s="1"/>
  <c r="O3980" i="58"/>
  <c r="P3980" i="58" s="1"/>
  <c r="I3980" i="58"/>
  <c r="J3980" i="58" s="1"/>
  <c r="O3979" i="58"/>
  <c r="P3979" i="58" s="1"/>
  <c r="I3979" i="58"/>
  <c r="J3979" i="58" s="1"/>
  <c r="O3978" i="58"/>
  <c r="P3978" i="58" s="1"/>
  <c r="O3977" i="58"/>
  <c r="P3977" i="58" s="1"/>
  <c r="Q3977" i="58" s="1"/>
  <c r="N3977" i="58"/>
  <c r="P3975" i="58"/>
  <c r="O3975" i="58"/>
  <c r="O3974" i="58"/>
  <c r="P3974" i="58" s="1"/>
  <c r="O3973" i="58"/>
  <c r="P3973" i="58" s="1"/>
  <c r="L3973" i="58"/>
  <c r="L3967" i="58" s="1"/>
  <c r="K3973" i="58"/>
  <c r="O3972" i="58"/>
  <c r="P3972" i="58" s="1"/>
  <c r="O3971" i="58"/>
  <c r="P3971" i="58" s="1"/>
  <c r="I3971" i="58"/>
  <c r="J3971" i="58" s="1"/>
  <c r="O3970" i="58"/>
  <c r="P3970" i="58" s="1"/>
  <c r="I3970" i="58"/>
  <c r="J3970" i="58" s="1"/>
  <c r="O3969" i="58"/>
  <c r="P3969" i="58" s="1"/>
  <c r="I3969" i="58"/>
  <c r="J3969" i="58" s="1"/>
  <c r="O3968" i="58"/>
  <c r="P3968" i="58" s="1"/>
  <c r="Q3967" i="58"/>
  <c r="O3967" i="58"/>
  <c r="P3967" i="58" s="1"/>
  <c r="Q3966" i="58"/>
  <c r="R3966" i="58" s="1"/>
  <c r="O3966" i="58"/>
  <c r="P3966" i="58" s="1"/>
  <c r="O3965" i="58"/>
  <c r="P3965" i="58" s="1"/>
  <c r="Q3965" i="58" s="1"/>
  <c r="O3964" i="58"/>
  <c r="P3964" i="58" s="1"/>
  <c r="L3964" i="58"/>
  <c r="L3958" i="58" s="1"/>
  <c r="K3964" i="58"/>
  <c r="O3963" i="58"/>
  <c r="P3963" i="58" s="1"/>
  <c r="O3962" i="58"/>
  <c r="P3962" i="58" s="1"/>
  <c r="I3962" i="58"/>
  <c r="J3962" i="58" s="1"/>
  <c r="O3961" i="58"/>
  <c r="P3961" i="58" s="1"/>
  <c r="I3961" i="58"/>
  <c r="J3961" i="58" s="1"/>
  <c r="O3960" i="58"/>
  <c r="P3960" i="58" s="1"/>
  <c r="I3960" i="58"/>
  <c r="J3960" i="58" s="1"/>
  <c r="O3959" i="58"/>
  <c r="P3959" i="58" s="1"/>
  <c r="O3958" i="58"/>
  <c r="P3958" i="58" s="1"/>
  <c r="Q3958" i="58" s="1"/>
  <c r="O3957" i="58"/>
  <c r="P3957" i="58" s="1"/>
  <c r="Q3957" i="58" s="1"/>
  <c r="R3957" i="58" s="1"/>
  <c r="O3956" i="58"/>
  <c r="P3956" i="58" s="1"/>
  <c r="O3955" i="58"/>
  <c r="P3955" i="58" s="1"/>
  <c r="K3955" i="58"/>
  <c r="L3955" i="58" s="1"/>
  <c r="L3949" i="58" s="1"/>
  <c r="O3954" i="58"/>
  <c r="P3954" i="58" s="1"/>
  <c r="O3953" i="58"/>
  <c r="P3953" i="58" s="1"/>
  <c r="I3953" i="58"/>
  <c r="J3953" i="58" s="1"/>
  <c r="P3952" i="58"/>
  <c r="O3952" i="58"/>
  <c r="J3952" i="58"/>
  <c r="I3952" i="58"/>
  <c r="P3951" i="58"/>
  <c r="O3951" i="58"/>
  <c r="I3951" i="58"/>
  <c r="J3951" i="58" s="1"/>
  <c r="O3950" i="58"/>
  <c r="P3950" i="58" s="1"/>
  <c r="O3949" i="58"/>
  <c r="P3949" i="58" s="1"/>
  <c r="Q3949" i="58" s="1"/>
  <c r="O3948" i="58"/>
  <c r="P3948" i="58" s="1"/>
  <c r="Q3948" i="58" s="1"/>
  <c r="R3948" i="58" s="1"/>
  <c r="P3947" i="58"/>
  <c r="O3947" i="58"/>
  <c r="O3946" i="58"/>
  <c r="P3946" i="58" s="1"/>
  <c r="K3946" i="58"/>
  <c r="L3946" i="58" s="1"/>
  <c r="L3940" i="58" s="1"/>
  <c r="O3945" i="58"/>
  <c r="P3945" i="58" s="1"/>
  <c r="O3944" i="58"/>
  <c r="P3944" i="58" s="1"/>
  <c r="I3944" i="58"/>
  <c r="J3944" i="58" s="1"/>
  <c r="O3943" i="58"/>
  <c r="P3943" i="58" s="1"/>
  <c r="I3943" i="58"/>
  <c r="J3943" i="58" s="1"/>
  <c r="O3942" i="58"/>
  <c r="P3942" i="58" s="1"/>
  <c r="I3942" i="58"/>
  <c r="J3942" i="58" s="1"/>
  <c r="O3941" i="58"/>
  <c r="P3941" i="58" s="1"/>
  <c r="O3940" i="58"/>
  <c r="P3940" i="58" s="1"/>
  <c r="Q3940" i="58" s="1"/>
  <c r="Q3939" i="58"/>
  <c r="R3939" i="58" s="1"/>
  <c r="O3939" i="58"/>
  <c r="P3939" i="58" s="1"/>
  <c r="P3938" i="58"/>
  <c r="Q3938" i="58" s="1"/>
  <c r="R3938" i="58" s="1"/>
  <c r="O3938" i="58"/>
  <c r="P3937" i="58"/>
  <c r="O3937" i="58"/>
  <c r="K3937" i="58"/>
  <c r="L3937" i="58" s="1"/>
  <c r="L3931" i="58" s="1"/>
  <c r="O3936" i="58"/>
  <c r="P3936" i="58" s="1"/>
  <c r="O3935" i="58"/>
  <c r="P3935" i="58" s="1"/>
  <c r="I3935" i="58"/>
  <c r="J3935" i="58" s="1"/>
  <c r="P3934" i="58"/>
  <c r="O3934" i="58"/>
  <c r="I3934" i="58"/>
  <c r="J3934" i="58" s="1"/>
  <c r="O3933" i="58"/>
  <c r="P3933" i="58" s="1"/>
  <c r="I3933" i="58"/>
  <c r="J3933" i="58" s="1"/>
  <c r="O3932" i="58"/>
  <c r="P3932" i="58" s="1"/>
  <c r="O3931" i="58"/>
  <c r="P3931" i="58" s="1"/>
  <c r="Q3931" i="58" s="1"/>
  <c r="O3930" i="58"/>
  <c r="P3930" i="58" s="1"/>
  <c r="O3929" i="58"/>
  <c r="P3929" i="58" s="1"/>
  <c r="O3928" i="58"/>
  <c r="P3928" i="58" s="1"/>
  <c r="K3928" i="58"/>
  <c r="L3928" i="58" s="1"/>
  <c r="L3922" i="58" s="1"/>
  <c r="O3927" i="58"/>
  <c r="P3927" i="58" s="1"/>
  <c r="O3926" i="58"/>
  <c r="P3926" i="58" s="1"/>
  <c r="J3926" i="58"/>
  <c r="I3926" i="58"/>
  <c r="P3925" i="58"/>
  <c r="O3925" i="58"/>
  <c r="I3925" i="58"/>
  <c r="J3925" i="58" s="1"/>
  <c r="O3924" i="58"/>
  <c r="P3924" i="58" s="1"/>
  <c r="I3924" i="58"/>
  <c r="J3924" i="58" s="1"/>
  <c r="O3923" i="58"/>
  <c r="P3923" i="58" s="1"/>
  <c r="O3922" i="58"/>
  <c r="P3922" i="58" s="1"/>
  <c r="Q3922" i="58" s="1"/>
  <c r="J3922" i="58"/>
  <c r="O3921" i="58"/>
  <c r="P3921" i="58" s="1"/>
  <c r="O3920" i="58"/>
  <c r="P3920" i="58" s="1"/>
  <c r="O3919" i="58"/>
  <c r="P3919" i="58" s="1"/>
  <c r="K3919" i="58"/>
  <c r="L3919" i="58" s="1"/>
  <c r="O3918" i="58"/>
  <c r="P3918" i="58" s="1"/>
  <c r="O3917" i="58"/>
  <c r="P3917" i="58" s="1"/>
  <c r="J3917" i="58"/>
  <c r="I3917" i="58"/>
  <c r="P3916" i="58"/>
  <c r="O3916" i="58"/>
  <c r="I3916" i="58"/>
  <c r="J3916" i="58" s="1"/>
  <c r="O3915" i="58"/>
  <c r="P3915" i="58" s="1"/>
  <c r="I3915" i="58"/>
  <c r="J3915" i="58" s="1"/>
  <c r="J3913" i="58" s="1"/>
  <c r="O3914" i="58"/>
  <c r="P3914" i="58" s="1"/>
  <c r="P3913" i="58"/>
  <c r="Q3913" i="58" s="1"/>
  <c r="O3913" i="58"/>
  <c r="L3913" i="58"/>
  <c r="O3912" i="58"/>
  <c r="P3912" i="58" s="1"/>
  <c r="N3912" i="58"/>
  <c r="N3904" i="58" s="1"/>
  <c r="P3911" i="58"/>
  <c r="O3911" i="58"/>
  <c r="O3910" i="58"/>
  <c r="P3910" i="58" s="1"/>
  <c r="K3910" i="58"/>
  <c r="L3910" i="58" s="1"/>
  <c r="L3904" i="58" s="1"/>
  <c r="O3909" i="58"/>
  <c r="P3909" i="58" s="1"/>
  <c r="P3908" i="58"/>
  <c r="O3908" i="58"/>
  <c r="I3908" i="58"/>
  <c r="J3908" i="58" s="1"/>
  <c r="O3907" i="58"/>
  <c r="P3907" i="58" s="1"/>
  <c r="I3907" i="58"/>
  <c r="J3907" i="58" s="1"/>
  <c r="P3906" i="58"/>
  <c r="O3906" i="58"/>
  <c r="J3906" i="58"/>
  <c r="I3906" i="58"/>
  <c r="O3905" i="58"/>
  <c r="P3905" i="58" s="1"/>
  <c r="O3904" i="58"/>
  <c r="P3904" i="58" s="1"/>
  <c r="Q3904" i="58" s="1"/>
  <c r="O3903" i="58"/>
  <c r="P3903" i="58" s="1"/>
  <c r="N3903" i="58"/>
  <c r="O3902" i="58"/>
  <c r="P3902" i="58" s="1"/>
  <c r="O3901" i="58"/>
  <c r="P3901" i="58" s="1"/>
  <c r="K3901" i="58"/>
  <c r="L3901" i="58" s="1"/>
  <c r="L3895" i="58" s="1"/>
  <c r="P3900" i="58"/>
  <c r="O3900" i="58"/>
  <c r="O3899" i="58"/>
  <c r="P3899" i="58" s="1"/>
  <c r="I3899" i="58"/>
  <c r="J3899" i="58" s="1"/>
  <c r="O3898" i="58"/>
  <c r="P3898" i="58" s="1"/>
  <c r="I3898" i="58"/>
  <c r="J3898" i="58" s="1"/>
  <c r="P3897" i="58"/>
  <c r="O3897" i="58"/>
  <c r="J3897" i="58"/>
  <c r="I3897" i="58"/>
  <c r="P3896" i="58"/>
  <c r="O3896" i="58"/>
  <c r="P3895" i="58"/>
  <c r="Q3895" i="58" s="1"/>
  <c r="O3895" i="58"/>
  <c r="N3895" i="58"/>
  <c r="O3894" i="58"/>
  <c r="P3894" i="58" s="1"/>
  <c r="O3893" i="58"/>
  <c r="P3893" i="58" s="1"/>
  <c r="P3892" i="58"/>
  <c r="O3892" i="58"/>
  <c r="K3892" i="58"/>
  <c r="L3892" i="58" s="1"/>
  <c r="L3886" i="58" s="1"/>
  <c r="O3891" i="58"/>
  <c r="P3891" i="58" s="1"/>
  <c r="O3890" i="58"/>
  <c r="P3890" i="58" s="1"/>
  <c r="I3890" i="58"/>
  <c r="J3890" i="58" s="1"/>
  <c r="O3889" i="58"/>
  <c r="P3889" i="58" s="1"/>
  <c r="I3889" i="58"/>
  <c r="J3889" i="58" s="1"/>
  <c r="O3888" i="58"/>
  <c r="P3888" i="58" s="1"/>
  <c r="I3888" i="58"/>
  <c r="J3888" i="58" s="1"/>
  <c r="P3887" i="58"/>
  <c r="O3887" i="58"/>
  <c r="O3886" i="58"/>
  <c r="P3886" i="58" s="1"/>
  <c r="Q3886" i="58" s="1"/>
  <c r="P3885" i="58"/>
  <c r="O3885" i="58"/>
  <c r="N3885" i="58"/>
  <c r="N3877" i="58" s="1"/>
  <c r="O3884" i="58"/>
  <c r="P3884" i="58" s="1"/>
  <c r="O3883" i="58"/>
  <c r="P3883" i="58" s="1"/>
  <c r="K3883" i="58"/>
  <c r="L3883" i="58" s="1"/>
  <c r="L3877" i="58" s="1"/>
  <c r="O3882" i="58"/>
  <c r="P3882" i="58" s="1"/>
  <c r="P3881" i="58"/>
  <c r="O3881" i="58"/>
  <c r="I3881" i="58"/>
  <c r="J3881" i="58" s="1"/>
  <c r="O3880" i="58"/>
  <c r="P3880" i="58" s="1"/>
  <c r="I3880" i="58"/>
  <c r="J3880" i="58" s="1"/>
  <c r="P3879" i="58"/>
  <c r="O3879" i="58"/>
  <c r="J3879" i="58"/>
  <c r="I3879" i="58"/>
  <c r="O3878" i="58"/>
  <c r="P3878" i="58" s="1"/>
  <c r="O3877" i="58"/>
  <c r="P3877" i="58" s="1"/>
  <c r="Q3877" i="58" s="1"/>
  <c r="O3876" i="58"/>
  <c r="P3876" i="58" s="1"/>
  <c r="N3876" i="58"/>
  <c r="N3868" i="58" s="1"/>
  <c r="O3875" i="58"/>
  <c r="P3875" i="58" s="1"/>
  <c r="O3874" i="58"/>
  <c r="P3874" i="58" s="1"/>
  <c r="K3874" i="58"/>
  <c r="L3874" i="58" s="1"/>
  <c r="L3868" i="58" s="1"/>
  <c r="O3873" i="58"/>
  <c r="P3873" i="58" s="1"/>
  <c r="O3872" i="58"/>
  <c r="P3872" i="58" s="1"/>
  <c r="I3872" i="58"/>
  <c r="J3872" i="58" s="1"/>
  <c r="P3871" i="58"/>
  <c r="O3871" i="58"/>
  <c r="I3871" i="58"/>
  <c r="J3871" i="58" s="1"/>
  <c r="P3870" i="58"/>
  <c r="O3870" i="58"/>
  <c r="I3870" i="58"/>
  <c r="J3870" i="58" s="1"/>
  <c r="O3869" i="58"/>
  <c r="P3869" i="58" s="1"/>
  <c r="O3868" i="58"/>
  <c r="P3868" i="58" s="1"/>
  <c r="Q3868" i="58" s="1"/>
  <c r="O3867" i="58"/>
  <c r="P3867" i="58" s="1"/>
  <c r="O3866" i="58"/>
  <c r="P3866" i="58" s="1"/>
  <c r="O3865" i="58"/>
  <c r="P3865" i="58" s="1"/>
  <c r="K3865" i="58"/>
  <c r="L3865" i="58" s="1"/>
  <c r="L3859" i="58" s="1"/>
  <c r="O3864" i="58"/>
  <c r="P3864" i="58" s="1"/>
  <c r="O3863" i="58"/>
  <c r="P3863" i="58" s="1"/>
  <c r="I3863" i="58"/>
  <c r="J3863" i="58" s="1"/>
  <c r="O3862" i="58"/>
  <c r="P3862" i="58" s="1"/>
  <c r="I3862" i="58"/>
  <c r="J3862" i="58" s="1"/>
  <c r="P3861" i="58"/>
  <c r="O3861" i="58"/>
  <c r="J3861" i="58"/>
  <c r="I3861" i="58"/>
  <c r="P3860" i="58"/>
  <c r="O3860" i="58"/>
  <c r="O3859" i="58"/>
  <c r="P3859" i="58" s="1"/>
  <c r="Q3859" i="58" s="1"/>
  <c r="O3858" i="58"/>
  <c r="P3858" i="58" s="1"/>
  <c r="P3857" i="58"/>
  <c r="O3857" i="58"/>
  <c r="P3856" i="58"/>
  <c r="O3856" i="58"/>
  <c r="K3856" i="58"/>
  <c r="L3856" i="58" s="1"/>
  <c r="L3850" i="58" s="1"/>
  <c r="O3855" i="58"/>
  <c r="P3855" i="58" s="1"/>
  <c r="P3854" i="58"/>
  <c r="O3854" i="58"/>
  <c r="I3854" i="58"/>
  <c r="J3854" i="58" s="1"/>
  <c r="O3853" i="58"/>
  <c r="P3853" i="58" s="1"/>
  <c r="I3853" i="58"/>
  <c r="J3853" i="58" s="1"/>
  <c r="O3852" i="58"/>
  <c r="P3852" i="58" s="1"/>
  <c r="I3852" i="58"/>
  <c r="J3852" i="58" s="1"/>
  <c r="J3850" i="58" s="1"/>
  <c r="O3851" i="58"/>
  <c r="P3851" i="58" s="1"/>
  <c r="O3850" i="58"/>
  <c r="P3850" i="58" s="1"/>
  <c r="Q3850" i="58" s="1"/>
  <c r="O3849" i="58"/>
  <c r="P3849" i="58" s="1"/>
  <c r="P3848" i="58"/>
  <c r="O3848" i="58"/>
  <c r="O3847" i="58"/>
  <c r="P3847" i="58" s="1"/>
  <c r="K3847" i="58"/>
  <c r="L3847" i="58" s="1"/>
  <c r="L3841" i="58" s="1"/>
  <c r="O3846" i="58"/>
  <c r="P3846" i="58" s="1"/>
  <c r="O3845" i="58"/>
  <c r="P3845" i="58" s="1"/>
  <c r="I3845" i="58"/>
  <c r="J3845" i="58" s="1"/>
  <c r="O3844" i="58"/>
  <c r="P3844" i="58" s="1"/>
  <c r="I3844" i="58"/>
  <c r="J3844" i="58" s="1"/>
  <c r="O3843" i="58"/>
  <c r="P3843" i="58" s="1"/>
  <c r="I3843" i="58"/>
  <c r="J3843" i="58" s="1"/>
  <c r="O3842" i="58"/>
  <c r="P3842" i="58" s="1"/>
  <c r="P3841" i="58"/>
  <c r="Q3841" i="58" s="1"/>
  <c r="O3841" i="58"/>
  <c r="P3840" i="58"/>
  <c r="O3840" i="58"/>
  <c r="P3839" i="58"/>
  <c r="O3839" i="58"/>
  <c r="O3838" i="58"/>
  <c r="P3838" i="58" s="1"/>
  <c r="K3838" i="58"/>
  <c r="L3838" i="58" s="1"/>
  <c r="L3832" i="58" s="1"/>
  <c r="O3837" i="58"/>
  <c r="P3837" i="58" s="1"/>
  <c r="O3836" i="58"/>
  <c r="P3836" i="58" s="1"/>
  <c r="I3836" i="58"/>
  <c r="J3836" i="58" s="1"/>
  <c r="O3835" i="58"/>
  <c r="P3835" i="58" s="1"/>
  <c r="I3835" i="58"/>
  <c r="J3835" i="58" s="1"/>
  <c r="P3834" i="58"/>
  <c r="O3834" i="58"/>
  <c r="J3834" i="58"/>
  <c r="I3834" i="58"/>
  <c r="P3833" i="58"/>
  <c r="O3833" i="58"/>
  <c r="Q3832" i="58"/>
  <c r="O3832" i="58"/>
  <c r="P3832" i="58" s="1"/>
  <c r="P3831" i="58"/>
  <c r="O3831" i="58"/>
  <c r="O3830" i="58"/>
  <c r="P3830" i="58" s="1"/>
  <c r="O3829" i="58"/>
  <c r="P3829" i="58" s="1"/>
  <c r="K3829" i="58"/>
  <c r="L3829" i="58" s="1"/>
  <c r="L3823" i="58" s="1"/>
  <c r="P3828" i="58"/>
  <c r="O3828" i="58"/>
  <c r="O3827" i="58"/>
  <c r="P3827" i="58" s="1"/>
  <c r="I3827" i="58"/>
  <c r="J3827" i="58" s="1"/>
  <c r="O3826" i="58"/>
  <c r="P3826" i="58" s="1"/>
  <c r="I3826" i="58"/>
  <c r="J3826" i="58" s="1"/>
  <c r="O3825" i="58"/>
  <c r="P3825" i="58" s="1"/>
  <c r="I3825" i="58"/>
  <c r="J3825" i="58" s="1"/>
  <c r="J3823" i="58" s="1"/>
  <c r="O3824" i="58"/>
  <c r="P3824" i="58" s="1"/>
  <c r="O3823" i="58"/>
  <c r="P3823" i="58" s="1"/>
  <c r="O3822" i="58"/>
  <c r="P3822" i="58" s="1"/>
  <c r="P3821" i="58"/>
  <c r="O3821" i="58"/>
  <c r="O3820" i="58"/>
  <c r="P3820" i="58" s="1"/>
  <c r="K3820" i="58"/>
  <c r="L3820" i="58" s="1"/>
  <c r="L3814" i="58" s="1"/>
  <c r="O3819" i="58"/>
  <c r="P3819" i="58" s="1"/>
  <c r="P3818" i="58"/>
  <c r="O3818" i="58"/>
  <c r="I3818" i="58"/>
  <c r="J3818" i="58" s="1"/>
  <c r="O3817" i="58"/>
  <c r="P3817" i="58" s="1"/>
  <c r="I3817" i="58"/>
  <c r="J3817" i="58" s="1"/>
  <c r="P3816" i="58"/>
  <c r="O3816" i="58"/>
  <c r="J3816" i="58"/>
  <c r="I3816" i="58"/>
  <c r="O3815" i="58"/>
  <c r="P3815" i="58" s="1"/>
  <c r="P3814" i="58"/>
  <c r="O3814" i="58"/>
  <c r="O3813" i="58"/>
  <c r="P3813" i="58" s="1"/>
  <c r="P3812" i="58"/>
  <c r="O3812" i="58"/>
  <c r="O3811" i="58"/>
  <c r="P3811" i="58" s="1"/>
  <c r="K3811" i="58"/>
  <c r="L3811" i="58" s="1"/>
  <c r="L3805" i="58" s="1"/>
  <c r="P3810" i="58"/>
  <c r="O3810" i="58"/>
  <c r="O3809" i="58"/>
  <c r="P3809" i="58" s="1"/>
  <c r="J3809" i="58"/>
  <c r="I3809" i="58"/>
  <c r="P3808" i="58"/>
  <c r="O3808" i="58"/>
  <c r="I3808" i="58"/>
  <c r="J3808" i="58" s="1"/>
  <c r="P3807" i="58"/>
  <c r="O3807" i="58"/>
  <c r="I3807" i="58"/>
  <c r="J3807" i="58" s="1"/>
  <c r="P3806" i="58"/>
  <c r="O3806" i="58"/>
  <c r="O3805" i="58"/>
  <c r="P3805" i="58" s="1"/>
  <c r="O3804" i="58"/>
  <c r="P3804" i="58" s="1"/>
  <c r="O3803" i="58"/>
  <c r="P3803" i="58" s="1"/>
  <c r="P3802" i="58"/>
  <c r="O3802" i="58"/>
  <c r="L3802" i="58"/>
  <c r="K3802" i="58"/>
  <c r="O3801" i="58"/>
  <c r="P3801" i="58" s="1"/>
  <c r="O3800" i="58"/>
  <c r="P3800" i="58" s="1"/>
  <c r="I3800" i="58"/>
  <c r="J3800" i="58" s="1"/>
  <c r="O3799" i="58"/>
  <c r="P3799" i="58" s="1"/>
  <c r="I3799" i="58"/>
  <c r="J3799" i="58" s="1"/>
  <c r="O3798" i="58"/>
  <c r="P3798" i="58" s="1"/>
  <c r="I3798" i="58"/>
  <c r="J3798" i="58" s="1"/>
  <c r="O3797" i="58"/>
  <c r="P3797" i="58" s="1"/>
  <c r="O3796" i="58"/>
  <c r="P3796" i="58" s="1"/>
  <c r="L3796" i="58"/>
  <c r="O3795" i="58"/>
  <c r="P3795" i="58" s="1"/>
  <c r="O3794" i="58"/>
  <c r="P3794" i="58" s="1"/>
  <c r="P3793" i="58"/>
  <c r="O3793" i="58"/>
  <c r="K3793" i="58"/>
  <c r="L3793" i="58" s="1"/>
  <c r="L3787" i="58" s="1"/>
  <c r="O3792" i="58"/>
  <c r="P3792" i="58" s="1"/>
  <c r="P3791" i="58"/>
  <c r="O3791" i="58"/>
  <c r="I3791" i="58"/>
  <c r="J3791" i="58" s="1"/>
  <c r="O3790" i="58"/>
  <c r="P3790" i="58" s="1"/>
  <c r="I3790" i="58"/>
  <c r="J3790" i="58" s="1"/>
  <c r="P3789" i="58"/>
  <c r="O3789" i="58"/>
  <c r="I3789" i="58"/>
  <c r="J3789" i="58" s="1"/>
  <c r="O3788" i="58"/>
  <c r="P3788" i="58" s="1"/>
  <c r="O3787" i="58"/>
  <c r="P3787" i="58" s="1"/>
  <c r="P3786" i="58"/>
  <c r="O3786" i="58"/>
  <c r="O3785" i="58"/>
  <c r="P3785" i="58" s="1"/>
  <c r="P3784" i="58"/>
  <c r="O3784" i="58"/>
  <c r="K3784" i="58"/>
  <c r="L3784" i="58" s="1"/>
  <c r="L3778" i="58" s="1"/>
  <c r="O3783" i="58"/>
  <c r="P3783" i="58" s="1"/>
  <c r="O3782" i="58"/>
  <c r="P3782" i="58" s="1"/>
  <c r="I3782" i="58"/>
  <c r="J3782" i="58" s="1"/>
  <c r="O3781" i="58"/>
  <c r="P3781" i="58" s="1"/>
  <c r="I3781" i="58"/>
  <c r="J3781" i="58" s="1"/>
  <c r="P3780" i="58"/>
  <c r="O3780" i="58"/>
  <c r="I3780" i="58"/>
  <c r="J3780" i="58" s="1"/>
  <c r="O3779" i="58"/>
  <c r="P3779" i="58" s="1"/>
  <c r="P3778" i="58"/>
  <c r="O3778" i="58"/>
  <c r="O3777" i="58"/>
  <c r="P3777" i="58" s="1"/>
  <c r="O3776" i="58"/>
  <c r="P3776" i="58" s="1"/>
  <c r="O3775" i="58"/>
  <c r="P3775" i="58" s="1"/>
  <c r="K3775" i="58"/>
  <c r="L3775" i="58" s="1"/>
  <c r="L3769" i="58" s="1"/>
  <c r="O3774" i="58"/>
  <c r="P3774" i="58" s="1"/>
  <c r="O3773" i="58"/>
  <c r="P3773" i="58" s="1"/>
  <c r="I3773" i="58"/>
  <c r="J3773" i="58" s="1"/>
  <c r="O3772" i="58"/>
  <c r="P3772" i="58" s="1"/>
  <c r="I3772" i="58"/>
  <c r="J3772" i="58" s="1"/>
  <c r="O3771" i="58"/>
  <c r="P3771" i="58" s="1"/>
  <c r="I3771" i="58"/>
  <c r="J3771" i="58" s="1"/>
  <c r="O3770" i="58"/>
  <c r="P3770" i="58" s="1"/>
  <c r="O3769" i="58"/>
  <c r="P3769" i="58" s="1"/>
  <c r="O3768" i="58"/>
  <c r="P3768" i="58" s="1"/>
  <c r="P3767" i="58"/>
  <c r="O3767" i="58"/>
  <c r="O3766" i="58"/>
  <c r="P3766" i="58" s="1"/>
  <c r="K3766" i="58"/>
  <c r="L3766" i="58" s="1"/>
  <c r="L3760" i="58" s="1"/>
  <c r="O3765" i="58"/>
  <c r="P3765" i="58" s="1"/>
  <c r="O3764" i="58"/>
  <c r="P3764" i="58" s="1"/>
  <c r="I3764" i="58"/>
  <c r="J3764" i="58" s="1"/>
  <c r="O3763" i="58"/>
  <c r="P3763" i="58" s="1"/>
  <c r="I3763" i="58"/>
  <c r="J3763" i="58" s="1"/>
  <c r="O3762" i="58"/>
  <c r="P3762" i="58" s="1"/>
  <c r="I3762" i="58"/>
  <c r="J3762" i="58" s="1"/>
  <c r="P3761" i="58"/>
  <c r="O3761" i="58"/>
  <c r="O3760" i="58"/>
  <c r="P3760" i="58" s="1"/>
  <c r="P3759" i="58"/>
  <c r="O3759" i="58"/>
  <c r="K3759" i="58"/>
  <c r="L3759" i="58" s="1"/>
  <c r="L3757" i="58" s="1"/>
  <c r="O3758" i="58"/>
  <c r="P3758" i="58" s="1"/>
  <c r="O3757" i="58"/>
  <c r="P3757" i="58" s="1"/>
  <c r="Q3757" i="58" s="1"/>
  <c r="N3757" i="58"/>
  <c r="J3757" i="58"/>
  <c r="O3756" i="58"/>
  <c r="P3756" i="58" s="1"/>
  <c r="Q3756" i="58" s="1"/>
  <c r="L3756" i="58"/>
  <c r="L3754" i="58" s="1"/>
  <c r="K3756" i="58"/>
  <c r="O3755" i="58"/>
  <c r="P3755" i="58" s="1"/>
  <c r="O3754" i="58"/>
  <c r="P3754" i="58" s="1"/>
  <c r="Q3754" i="58" s="1"/>
  <c r="N3754" i="58"/>
  <c r="J3754" i="58"/>
  <c r="O3753" i="58"/>
  <c r="P3753" i="58" s="1"/>
  <c r="K3753" i="58"/>
  <c r="L3753" i="58" s="1"/>
  <c r="L3751" i="58" s="1"/>
  <c r="P3752" i="58"/>
  <c r="O3752" i="58"/>
  <c r="O3751" i="58"/>
  <c r="P3751" i="58" s="1"/>
  <c r="Q3751" i="58" s="1"/>
  <c r="N3751" i="58"/>
  <c r="J3751" i="58"/>
  <c r="O3750" i="58"/>
  <c r="P3750" i="58" s="1"/>
  <c r="K3750" i="58"/>
  <c r="L3750" i="58" s="1"/>
  <c r="L3748" i="58" s="1"/>
  <c r="P3749" i="58"/>
  <c r="O3749" i="58"/>
  <c r="P3748" i="58"/>
  <c r="Q3748" i="58" s="1"/>
  <c r="Q3747" i="58" s="1"/>
  <c r="O3748" i="58"/>
  <c r="N3748" i="58"/>
  <c r="J3748" i="58"/>
  <c r="O3747" i="58"/>
  <c r="P3747" i="58" s="1"/>
  <c r="K3747" i="58"/>
  <c r="L3747" i="58" s="1"/>
  <c r="L3745" i="58" s="1"/>
  <c r="P3746" i="58"/>
  <c r="O3746" i="58"/>
  <c r="O3745" i="58"/>
  <c r="P3745" i="58" s="1"/>
  <c r="Q3745" i="58" s="1"/>
  <c r="N3745" i="58"/>
  <c r="J3745" i="58"/>
  <c r="O3744" i="58"/>
  <c r="P3744" i="58" s="1"/>
  <c r="Q3744" i="58" s="1"/>
  <c r="L3744" i="58"/>
  <c r="L3742" i="58" s="1"/>
  <c r="K3744" i="58"/>
  <c r="P3743" i="58"/>
  <c r="O3743" i="58"/>
  <c r="O3742" i="58"/>
  <c r="P3742" i="58" s="1"/>
  <c r="Q3742" i="58" s="1"/>
  <c r="N3742" i="58"/>
  <c r="J3742" i="58"/>
  <c r="O3741" i="58"/>
  <c r="P3741" i="58" s="1"/>
  <c r="K3741" i="58"/>
  <c r="L3741" i="58" s="1"/>
  <c r="L3739" i="58" s="1"/>
  <c r="O3740" i="58"/>
  <c r="P3740" i="58" s="1"/>
  <c r="O3739" i="58"/>
  <c r="P3739" i="58" s="1"/>
  <c r="Q3739" i="58" s="1"/>
  <c r="N3739" i="58"/>
  <c r="J3739" i="58"/>
  <c r="O3738" i="58"/>
  <c r="P3738" i="58" s="1"/>
  <c r="Q3738" i="58" s="1"/>
  <c r="K3738" i="58"/>
  <c r="L3738" i="58" s="1"/>
  <c r="L3736" i="58" s="1"/>
  <c r="P3737" i="58"/>
  <c r="O3737" i="58"/>
  <c r="O3736" i="58"/>
  <c r="P3736" i="58" s="1"/>
  <c r="Q3736" i="58" s="1"/>
  <c r="N3736" i="58"/>
  <c r="J3736" i="58"/>
  <c r="P3735" i="58"/>
  <c r="O3735" i="58"/>
  <c r="K3735" i="58"/>
  <c r="L3735" i="58" s="1"/>
  <c r="L3733" i="58" s="1"/>
  <c r="O3734" i="58"/>
  <c r="P3734" i="58" s="1"/>
  <c r="O3733" i="58"/>
  <c r="P3733" i="58" s="1"/>
  <c r="Q3733" i="58" s="1"/>
  <c r="N3733" i="58"/>
  <c r="J3733" i="58"/>
  <c r="O3732" i="58"/>
  <c r="P3732" i="58" s="1"/>
  <c r="K3732" i="58"/>
  <c r="L3732" i="58" s="1"/>
  <c r="L3730" i="58" s="1"/>
  <c r="O3731" i="58"/>
  <c r="P3731" i="58" s="1"/>
  <c r="O3730" i="58"/>
  <c r="P3730" i="58" s="1"/>
  <c r="Q3730" i="58" s="1"/>
  <c r="N3730" i="58"/>
  <c r="J3730" i="58"/>
  <c r="O3729" i="58"/>
  <c r="P3729" i="58" s="1"/>
  <c r="K3729" i="58"/>
  <c r="L3729" i="58" s="1"/>
  <c r="L3727" i="58" s="1"/>
  <c r="O3728" i="58"/>
  <c r="P3728" i="58" s="1"/>
  <c r="O3727" i="58"/>
  <c r="P3727" i="58" s="1"/>
  <c r="Q3727" i="58" s="1"/>
  <c r="N3727" i="58"/>
  <c r="J3727" i="58"/>
  <c r="O3726" i="58"/>
  <c r="P3726" i="58" s="1"/>
  <c r="Q3726" i="58" s="1"/>
  <c r="R3726" i="58" s="1"/>
  <c r="K3726" i="58"/>
  <c r="L3726" i="58" s="1"/>
  <c r="L3724" i="58" s="1"/>
  <c r="O3725" i="58"/>
  <c r="P3725" i="58" s="1"/>
  <c r="O3724" i="58"/>
  <c r="P3724" i="58" s="1"/>
  <c r="Q3724" i="58" s="1"/>
  <c r="N3724" i="58"/>
  <c r="J3724" i="58"/>
  <c r="O3723" i="58"/>
  <c r="P3723" i="58" s="1"/>
  <c r="K3723" i="58"/>
  <c r="L3723" i="58" s="1"/>
  <c r="O3722" i="58"/>
  <c r="P3722" i="58" s="1"/>
  <c r="O3721" i="58"/>
  <c r="P3721" i="58" s="1"/>
  <c r="Q3721" i="58" s="1"/>
  <c r="N3721" i="58"/>
  <c r="L3721" i="58"/>
  <c r="J3721" i="58"/>
  <c r="P3720" i="58"/>
  <c r="Q3720" i="58" s="1"/>
  <c r="R3720" i="58" s="1"/>
  <c r="O3720" i="58"/>
  <c r="L3720" i="58"/>
  <c r="K3720" i="58"/>
  <c r="O3719" i="58"/>
  <c r="P3719" i="58" s="1"/>
  <c r="O3718" i="58"/>
  <c r="P3718" i="58" s="1"/>
  <c r="Q3718" i="58" s="1"/>
  <c r="N3718" i="58"/>
  <c r="L3718" i="58"/>
  <c r="J3718" i="58"/>
  <c r="O3717" i="58"/>
  <c r="P3717" i="58" s="1"/>
  <c r="L3717" i="58"/>
  <c r="L3715" i="58" s="1"/>
  <c r="K3717" i="58"/>
  <c r="O3716" i="58"/>
  <c r="P3716" i="58" s="1"/>
  <c r="O3715" i="58"/>
  <c r="P3715" i="58" s="1"/>
  <c r="Q3715" i="58" s="1"/>
  <c r="N3715" i="58"/>
  <c r="J3715" i="58"/>
  <c r="O3714" i="58"/>
  <c r="P3714" i="58" s="1"/>
  <c r="L3714" i="58"/>
  <c r="K3714" i="58"/>
  <c r="O3713" i="58"/>
  <c r="P3713" i="58" s="1"/>
  <c r="O3712" i="58"/>
  <c r="P3712" i="58" s="1"/>
  <c r="Q3712" i="58" s="1"/>
  <c r="N3712" i="58"/>
  <c r="L3712" i="58"/>
  <c r="J3712" i="58"/>
  <c r="O3711" i="58"/>
  <c r="P3711" i="58" s="1"/>
  <c r="K3711" i="58"/>
  <c r="L3711" i="58" s="1"/>
  <c r="L3709" i="58" s="1"/>
  <c r="O3710" i="58"/>
  <c r="P3710" i="58" s="1"/>
  <c r="O3709" i="58"/>
  <c r="P3709" i="58" s="1"/>
  <c r="Q3709" i="58" s="1"/>
  <c r="N3709" i="58"/>
  <c r="J3709" i="58"/>
  <c r="O3708" i="58"/>
  <c r="P3708" i="58" s="1"/>
  <c r="K3708" i="58"/>
  <c r="L3708" i="58" s="1"/>
  <c r="L3706" i="58" s="1"/>
  <c r="O3707" i="58"/>
  <c r="P3707" i="58" s="1"/>
  <c r="O3706" i="58"/>
  <c r="P3706" i="58" s="1"/>
  <c r="Q3706" i="58" s="1"/>
  <c r="N3706" i="58"/>
  <c r="J3706" i="58"/>
  <c r="O3705" i="58"/>
  <c r="P3705" i="58" s="1"/>
  <c r="Q3705" i="58" s="1"/>
  <c r="R3705" i="58" s="1"/>
  <c r="K3705" i="58"/>
  <c r="L3705" i="58" s="1"/>
  <c r="L3703" i="58" s="1"/>
  <c r="O3704" i="58"/>
  <c r="P3704" i="58" s="1"/>
  <c r="O3703" i="58"/>
  <c r="P3703" i="58" s="1"/>
  <c r="Q3703" i="58" s="1"/>
  <c r="N3703" i="58"/>
  <c r="J3703" i="58"/>
  <c r="P3702" i="58"/>
  <c r="Q3702" i="58" s="1"/>
  <c r="R3702" i="58" s="1"/>
  <c r="O3702" i="58"/>
  <c r="K3702" i="58"/>
  <c r="L3702" i="58" s="1"/>
  <c r="O3701" i="58"/>
  <c r="P3701" i="58" s="1"/>
  <c r="O3700" i="58"/>
  <c r="P3700" i="58" s="1"/>
  <c r="Q3700" i="58" s="1"/>
  <c r="N3700" i="58"/>
  <c r="L3700" i="58"/>
  <c r="J3700" i="58"/>
  <c r="O3699" i="58"/>
  <c r="P3699" i="58" s="1"/>
  <c r="Q3699" i="58" s="1"/>
  <c r="R3699" i="58" s="1"/>
  <c r="K3699" i="58"/>
  <c r="L3699" i="58" s="1"/>
  <c r="L3697" i="58" s="1"/>
  <c r="O3698" i="58"/>
  <c r="P3698" i="58" s="1"/>
  <c r="O3697" i="58"/>
  <c r="P3697" i="58" s="1"/>
  <c r="Q3697" i="58" s="1"/>
  <c r="Q3696" i="58" s="1"/>
  <c r="R3696" i="58" s="1"/>
  <c r="N3697" i="58"/>
  <c r="J3697" i="58"/>
  <c r="P3696" i="58"/>
  <c r="O3696" i="58"/>
  <c r="K3696" i="58"/>
  <c r="L3696" i="58" s="1"/>
  <c r="L3694" i="58" s="1"/>
  <c r="O3695" i="58"/>
  <c r="P3695" i="58" s="1"/>
  <c r="O3694" i="58"/>
  <c r="P3694" i="58" s="1"/>
  <c r="Q3694" i="58" s="1"/>
  <c r="N3694" i="58"/>
  <c r="J3694" i="58"/>
  <c r="O3693" i="58"/>
  <c r="P3693" i="58" s="1"/>
  <c r="K3693" i="58"/>
  <c r="L3693" i="58" s="1"/>
  <c r="O3692" i="58"/>
  <c r="P3692" i="58" s="1"/>
  <c r="O3691" i="58"/>
  <c r="P3691" i="58" s="1"/>
  <c r="Q3691" i="58" s="1"/>
  <c r="Q3690" i="58" s="1"/>
  <c r="R3690" i="58" s="1"/>
  <c r="N3691" i="58"/>
  <c r="L3691" i="58"/>
  <c r="J3691" i="58"/>
  <c r="P3690" i="58"/>
  <c r="O3690" i="58"/>
  <c r="K3690" i="58"/>
  <c r="L3690" i="58" s="1"/>
  <c r="L3688" i="58" s="1"/>
  <c r="O3689" i="58"/>
  <c r="P3689" i="58" s="1"/>
  <c r="O3688" i="58"/>
  <c r="P3688" i="58" s="1"/>
  <c r="Q3688" i="58" s="1"/>
  <c r="N3688" i="58"/>
  <c r="J3688" i="58"/>
  <c r="P3687" i="58"/>
  <c r="O3687" i="58"/>
  <c r="K3687" i="58"/>
  <c r="L3687" i="58" s="1"/>
  <c r="L3685" i="58" s="1"/>
  <c r="O3686" i="58"/>
  <c r="P3686" i="58" s="1"/>
  <c r="O3685" i="58"/>
  <c r="P3685" i="58" s="1"/>
  <c r="Q3685" i="58" s="1"/>
  <c r="N3685" i="58"/>
  <c r="J3685" i="58"/>
  <c r="P3684" i="58"/>
  <c r="O3684" i="58"/>
  <c r="K3684" i="58"/>
  <c r="L3684" i="58" s="1"/>
  <c r="L3682" i="58" s="1"/>
  <c r="P3683" i="58"/>
  <c r="O3683" i="58"/>
  <c r="Q3682" i="58"/>
  <c r="O3682" i="58"/>
  <c r="P3682" i="58" s="1"/>
  <c r="N3682" i="58"/>
  <c r="J3682" i="58"/>
  <c r="P3681" i="58"/>
  <c r="O3681" i="58"/>
  <c r="K3681" i="58"/>
  <c r="L3681" i="58" s="1"/>
  <c r="L3679" i="58" s="1"/>
  <c r="O3680" i="58"/>
  <c r="P3680" i="58" s="1"/>
  <c r="O3679" i="58"/>
  <c r="P3679" i="58" s="1"/>
  <c r="Q3679" i="58" s="1"/>
  <c r="N3679" i="58"/>
  <c r="J3679" i="58"/>
  <c r="P3678" i="58"/>
  <c r="O3678" i="58"/>
  <c r="K3678" i="58"/>
  <c r="L3678" i="58" s="1"/>
  <c r="L3676" i="58" s="1"/>
  <c r="O3677" i="58"/>
  <c r="P3677" i="58" s="1"/>
  <c r="O3676" i="58"/>
  <c r="P3676" i="58" s="1"/>
  <c r="Q3676" i="58" s="1"/>
  <c r="N3676" i="58"/>
  <c r="J3676" i="58"/>
  <c r="O3675" i="58"/>
  <c r="P3675" i="58" s="1"/>
  <c r="K3675" i="58"/>
  <c r="L3675" i="58" s="1"/>
  <c r="P3674" i="58"/>
  <c r="O3674" i="58"/>
  <c r="O3673" i="58"/>
  <c r="P3673" i="58" s="1"/>
  <c r="Q3673" i="58" s="1"/>
  <c r="N3673" i="58"/>
  <c r="L3673" i="58"/>
  <c r="J3673" i="58"/>
  <c r="O3672" i="58"/>
  <c r="P3672" i="58" s="1"/>
  <c r="K3672" i="58"/>
  <c r="L3672" i="58" s="1"/>
  <c r="L3670" i="58" s="1"/>
  <c r="O3671" i="58"/>
  <c r="P3671" i="58" s="1"/>
  <c r="O3670" i="58"/>
  <c r="P3670" i="58" s="1"/>
  <c r="Q3670" i="58" s="1"/>
  <c r="N3670" i="58"/>
  <c r="J3670" i="58"/>
  <c r="O3669" i="58"/>
  <c r="P3669" i="58" s="1"/>
  <c r="K3669" i="58"/>
  <c r="L3669" i="58" s="1"/>
  <c r="L3667" i="58" s="1"/>
  <c r="O3668" i="58"/>
  <c r="P3668" i="58" s="1"/>
  <c r="O3667" i="58"/>
  <c r="P3667" i="58" s="1"/>
  <c r="Q3667" i="58" s="1"/>
  <c r="N3667" i="58"/>
  <c r="J3667" i="58"/>
  <c r="O3666" i="58"/>
  <c r="P3666" i="58" s="1"/>
  <c r="K3666" i="58"/>
  <c r="L3666" i="58" s="1"/>
  <c r="L3664" i="58" s="1"/>
  <c r="O3665" i="58"/>
  <c r="P3665" i="58" s="1"/>
  <c r="O3664" i="58"/>
  <c r="P3664" i="58" s="1"/>
  <c r="Q3664" i="58" s="1"/>
  <c r="N3664" i="58"/>
  <c r="J3664" i="58"/>
  <c r="O3663" i="58"/>
  <c r="P3663" i="58" s="1"/>
  <c r="K3663" i="58"/>
  <c r="L3663" i="58" s="1"/>
  <c r="L3661" i="58" s="1"/>
  <c r="O3662" i="58"/>
  <c r="P3662" i="58" s="1"/>
  <c r="P3661" i="58"/>
  <c r="Q3661" i="58" s="1"/>
  <c r="O3661" i="58"/>
  <c r="N3661" i="58"/>
  <c r="J3661" i="58"/>
  <c r="O3660" i="58"/>
  <c r="P3660" i="58" s="1"/>
  <c r="K3660" i="58"/>
  <c r="L3660" i="58" s="1"/>
  <c r="L3658" i="58" s="1"/>
  <c r="O3659" i="58"/>
  <c r="P3659" i="58" s="1"/>
  <c r="O3658" i="58"/>
  <c r="P3658" i="58" s="1"/>
  <c r="Q3658" i="58" s="1"/>
  <c r="N3658" i="58"/>
  <c r="J3658" i="58"/>
  <c r="O3657" i="58"/>
  <c r="P3657" i="58" s="1"/>
  <c r="K3657" i="58"/>
  <c r="L3657" i="58" s="1"/>
  <c r="L3655" i="58" s="1"/>
  <c r="P3656" i="58"/>
  <c r="O3656" i="58"/>
  <c r="O3655" i="58"/>
  <c r="P3655" i="58" s="1"/>
  <c r="Q3655" i="58" s="1"/>
  <c r="N3655" i="58"/>
  <c r="J3655" i="58"/>
  <c r="O3654" i="58"/>
  <c r="P3654" i="58" s="1"/>
  <c r="K3654" i="58"/>
  <c r="L3654" i="58" s="1"/>
  <c r="L3652" i="58" s="1"/>
  <c r="P3653" i="58"/>
  <c r="O3653" i="58"/>
  <c r="Q3652" i="58"/>
  <c r="O3652" i="58"/>
  <c r="P3652" i="58" s="1"/>
  <c r="N3652" i="58"/>
  <c r="J3652" i="58"/>
  <c r="O3651" i="58"/>
  <c r="P3651" i="58" s="1"/>
  <c r="Q3651" i="58" s="1"/>
  <c r="L3651" i="58"/>
  <c r="L3649" i="58" s="1"/>
  <c r="K3651" i="58"/>
  <c r="P3650" i="58"/>
  <c r="O3650" i="58"/>
  <c r="Q3649" i="58"/>
  <c r="O3649" i="58"/>
  <c r="P3649" i="58" s="1"/>
  <c r="N3649" i="58"/>
  <c r="J3649" i="58"/>
  <c r="O3648" i="58"/>
  <c r="P3648" i="58" s="1"/>
  <c r="K3648" i="58"/>
  <c r="L3648" i="58" s="1"/>
  <c r="L3646" i="58" s="1"/>
  <c r="P3647" i="58"/>
  <c r="O3647" i="58"/>
  <c r="O3646" i="58"/>
  <c r="P3646" i="58" s="1"/>
  <c r="Q3646" i="58" s="1"/>
  <c r="N3646" i="58"/>
  <c r="J3646" i="58"/>
  <c r="O3645" i="58"/>
  <c r="P3645" i="58" s="1"/>
  <c r="K3645" i="58"/>
  <c r="L3645" i="58" s="1"/>
  <c r="L3643" i="58" s="1"/>
  <c r="O3644" i="58"/>
  <c r="P3644" i="58" s="1"/>
  <c r="O3643" i="58"/>
  <c r="P3643" i="58" s="1"/>
  <c r="Q3643" i="58" s="1"/>
  <c r="N3643" i="58"/>
  <c r="J3643" i="58"/>
  <c r="O3642" i="58"/>
  <c r="P3642" i="58" s="1"/>
  <c r="K3642" i="58"/>
  <c r="L3642" i="58" s="1"/>
  <c r="L3640" i="58" s="1"/>
  <c r="P3641" i="58"/>
  <c r="O3641" i="58"/>
  <c r="O3640" i="58"/>
  <c r="P3640" i="58" s="1"/>
  <c r="Q3640" i="58" s="1"/>
  <c r="N3640" i="58"/>
  <c r="J3640" i="58"/>
  <c r="O3639" i="58"/>
  <c r="P3639" i="58" s="1"/>
  <c r="Q3639" i="58" s="1"/>
  <c r="R3639" i="58" s="1"/>
  <c r="K3639" i="58"/>
  <c r="L3639" i="58" s="1"/>
  <c r="L3637" i="58" s="1"/>
  <c r="O3638" i="58"/>
  <c r="P3638" i="58" s="1"/>
  <c r="Q3638" i="58" s="1"/>
  <c r="O3637" i="58"/>
  <c r="P3637" i="58" s="1"/>
  <c r="Q3637" i="58" s="1"/>
  <c r="N3637" i="58"/>
  <c r="J3637" i="58"/>
  <c r="O3636" i="58"/>
  <c r="P3636" i="58" s="1"/>
  <c r="K3636" i="58"/>
  <c r="L3636" i="58" s="1"/>
  <c r="L3634" i="58" s="1"/>
  <c r="O3635" i="58"/>
  <c r="P3635" i="58" s="1"/>
  <c r="O3634" i="58"/>
  <c r="P3634" i="58" s="1"/>
  <c r="Q3634" i="58" s="1"/>
  <c r="N3634" i="58"/>
  <c r="J3634" i="58"/>
  <c r="O3633" i="58"/>
  <c r="P3633" i="58" s="1"/>
  <c r="K3633" i="58"/>
  <c r="L3633" i="58" s="1"/>
  <c r="L3631" i="58" s="1"/>
  <c r="O3632" i="58"/>
  <c r="P3632" i="58" s="1"/>
  <c r="O3631" i="58"/>
  <c r="P3631" i="58" s="1"/>
  <c r="Q3631" i="58" s="1"/>
  <c r="N3631" i="58"/>
  <c r="J3631" i="58"/>
  <c r="O3630" i="58"/>
  <c r="P3630" i="58" s="1"/>
  <c r="K3630" i="58"/>
  <c r="L3630" i="58" s="1"/>
  <c r="L3628" i="58" s="1"/>
  <c r="O3629" i="58"/>
  <c r="P3629" i="58" s="1"/>
  <c r="Q3628" i="58"/>
  <c r="P3628" i="58"/>
  <c r="O3628" i="58"/>
  <c r="N3628" i="58"/>
  <c r="J3628" i="58"/>
  <c r="P3627" i="58"/>
  <c r="Q3627" i="58" s="1"/>
  <c r="R3627" i="58" s="1"/>
  <c r="O3627" i="58"/>
  <c r="K3627" i="58"/>
  <c r="L3627" i="58" s="1"/>
  <c r="L3625" i="58" s="1"/>
  <c r="O3626" i="58"/>
  <c r="P3626" i="58" s="1"/>
  <c r="O3625" i="58"/>
  <c r="P3625" i="58" s="1"/>
  <c r="Q3625" i="58" s="1"/>
  <c r="N3625" i="58"/>
  <c r="J3625" i="58"/>
  <c r="O3624" i="58"/>
  <c r="P3624" i="58" s="1"/>
  <c r="K3624" i="58"/>
  <c r="L3624" i="58" s="1"/>
  <c r="L3622" i="58" s="1"/>
  <c r="P3623" i="58"/>
  <c r="O3623" i="58"/>
  <c r="O3622" i="58"/>
  <c r="P3622" i="58" s="1"/>
  <c r="Q3622" i="58" s="1"/>
  <c r="N3622" i="58"/>
  <c r="J3622" i="58"/>
  <c r="O3621" i="58"/>
  <c r="P3621" i="58" s="1"/>
  <c r="Q3621" i="58" s="1"/>
  <c r="R3621" i="58" s="1"/>
  <c r="K3621" i="58"/>
  <c r="L3621" i="58" s="1"/>
  <c r="L3619" i="58" s="1"/>
  <c r="O3620" i="58"/>
  <c r="P3620" i="58" s="1"/>
  <c r="O3619" i="58"/>
  <c r="P3619" i="58" s="1"/>
  <c r="Q3619" i="58" s="1"/>
  <c r="N3619" i="58"/>
  <c r="J3619" i="58"/>
  <c r="P3618" i="58"/>
  <c r="O3618" i="58"/>
  <c r="K3618" i="58"/>
  <c r="L3618" i="58" s="1"/>
  <c r="L3616" i="58" s="1"/>
  <c r="O3617" i="58"/>
  <c r="P3617" i="58" s="1"/>
  <c r="P3616" i="58"/>
  <c r="Q3616" i="58" s="1"/>
  <c r="O3616" i="58"/>
  <c r="N3616" i="58"/>
  <c r="J3616" i="58"/>
  <c r="O3615" i="58"/>
  <c r="P3615" i="58" s="1"/>
  <c r="K3615" i="58"/>
  <c r="L3615" i="58" s="1"/>
  <c r="L3613" i="58" s="1"/>
  <c r="O3614" i="58"/>
  <c r="P3614" i="58" s="1"/>
  <c r="O3613" i="58"/>
  <c r="P3613" i="58" s="1"/>
  <c r="Q3613" i="58" s="1"/>
  <c r="N3613" i="58"/>
  <c r="J3613" i="58"/>
  <c r="O3612" i="58"/>
  <c r="P3612" i="58" s="1"/>
  <c r="K3612" i="58"/>
  <c r="L3612" i="58" s="1"/>
  <c r="L3610" i="58" s="1"/>
  <c r="P3611" i="58"/>
  <c r="O3611" i="58"/>
  <c r="O3610" i="58"/>
  <c r="P3610" i="58" s="1"/>
  <c r="Q3610" i="58" s="1"/>
  <c r="N3610" i="58"/>
  <c r="J3610" i="58"/>
  <c r="O3609" i="58"/>
  <c r="P3609" i="58" s="1"/>
  <c r="Q3609" i="58" s="1"/>
  <c r="R3609" i="58" s="1"/>
  <c r="K3609" i="58"/>
  <c r="L3609" i="58" s="1"/>
  <c r="L3607" i="58" s="1"/>
  <c r="O3608" i="58"/>
  <c r="P3608" i="58" s="1"/>
  <c r="Q3608" i="58" s="1"/>
  <c r="R3608" i="58" s="1"/>
  <c r="O3607" i="58"/>
  <c r="P3607" i="58" s="1"/>
  <c r="Q3607" i="58" s="1"/>
  <c r="N3607" i="58"/>
  <c r="J3607" i="58"/>
  <c r="O3606" i="58"/>
  <c r="P3606" i="58" s="1"/>
  <c r="K3606" i="58"/>
  <c r="L3606" i="58" s="1"/>
  <c r="L3604" i="58" s="1"/>
  <c r="P3605" i="58"/>
  <c r="O3605" i="58"/>
  <c r="P3604" i="58"/>
  <c r="Q3604" i="58" s="1"/>
  <c r="O3604" i="58"/>
  <c r="N3604" i="58"/>
  <c r="J3604" i="58"/>
  <c r="O3603" i="58"/>
  <c r="P3603" i="58" s="1"/>
  <c r="K3603" i="58"/>
  <c r="L3603" i="58" s="1"/>
  <c r="L3601" i="58" s="1"/>
  <c r="O3602" i="58"/>
  <c r="P3602" i="58" s="1"/>
  <c r="O3601" i="58"/>
  <c r="P3601" i="58" s="1"/>
  <c r="Q3601" i="58" s="1"/>
  <c r="N3601" i="58"/>
  <c r="J3601" i="58"/>
  <c r="O3600" i="58"/>
  <c r="P3600" i="58" s="1"/>
  <c r="K3600" i="58"/>
  <c r="L3600" i="58" s="1"/>
  <c r="L3598" i="58" s="1"/>
  <c r="P3599" i="58"/>
  <c r="O3599" i="58"/>
  <c r="O3598" i="58"/>
  <c r="P3598" i="58" s="1"/>
  <c r="Q3598" i="58" s="1"/>
  <c r="N3598" i="58"/>
  <c r="J3598" i="58"/>
  <c r="P3597" i="58"/>
  <c r="Q3597" i="58" s="1"/>
  <c r="Q3596" i="58" s="1"/>
  <c r="R3596" i="58" s="1"/>
  <c r="O3597" i="58"/>
  <c r="K3597" i="58"/>
  <c r="L3597" i="58" s="1"/>
  <c r="L3595" i="58" s="1"/>
  <c r="P3596" i="58"/>
  <c r="O3596" i="58"/>
  <c r="O3595" i="58"/>
  <c r="P3595" i="58" s="1"/>
  <c r="Q3595" i="58" s="1"/>
  <c r="N3595" i="58"/>
  <c r="J3595" i="58"/>
  <c r="O3594" i="58"/>
  <c r="P3594" i="58" s="1"/>
  <c r="Q3594" i="58" s="1"/>
  <c r="K3594" i="58"/>
  <c r="L3594" i="58" s="1"/>
  <c r="L3592" i="58" s="1"/>
  <c r="O3593" i="58"/>
  <c r="P3593" i="58" s="1"/>
  <c r="O3592" i="58"/>
  <c r="P3592" i="58" s="1"/>
  <c r="Q3592" i="58" s="1"/>
  <c r="N3592" i="58"/>
  <c r="J3592" i="58"/>
  <c r="O3591" i="58"/>
  <c r="P3591" i="58" s="1"/>
  <c r="Q3591" i="58" s="1"/>
  <c r="K3591" i="58"/>
  <c r="L3591" i="58" s="1"/>
  <c r="L3589" i="58" s="1"/>
  <c r="O3590" i="58"/>
  <c r="P3590" i="58" s="1"/>
  <c r="O3589" i="58"/>
  <c r="P3589" i="58" s="1"/>
  <c r="Q3589" i="58" s="1"/>
  <c r="N3589" i="58"/>
  <c r="J3589" i="58"/>
  <c r="O3588" i="58"/>
  <c r="P3588" i="58" s="1"/>
  <c r="Q3588" i="58" s="1"/>
  <c r="R3588" i="58" s="1"/>
  <c r="K3588" i="58"/>
  <c r="L3588" i="58" s="1"/>
  <c r="L3586" i="58" s="1"/>
  <c r="O3587" i="58"/>
  <c r="P3587" i="58" s="1"/>
  <c r="O3586" i="58"/>
  <c r="P3586" i="58" s="1"/>
  <c r="Q3586" i="58" s="1"/>
  <c r="N3586" i="58"/>
  <c r="J3586" i="58"/>
  <c r="O3585" i="58"/>
  <c r="P3585" i="58" s="1"/>
  <c r="K3585" i="58"/>
  <c r="L3585" i="58" s="1"/>
  <c r="L3583" i="58" s="1"/>
  <c r="P3584" i="58"/>
  <c r="O3584" i="58"/>
  <c r="O3583" i="58"/>
  <c r="P3583" i="58" s="1"/>
  <c r="Q3583" i="58" s="1"/>
  <c r="N3583" i="58"/>
  <c r="J3583" i="58"/>
  <c r="O3582" i="58"/>
  <c r="P3582" i="58" s="1"/>
  <c r="K3582" i="58"/>
  <c r="L3582" i="58" s="1"/>
  <c r="L3580" i="58" s="1"/>
  <c r="O3581" i="58"/>
  <c r="P3581" i="58" s="1"/>
  <c r="O3580" i="58"/>
  <c r="P3580" i="58" s="1"/>
  <c r="Q3580" i="58" s="1"/>
  <c r="N3580" i="58"/>
  <c r="J3580" i="58"/>
  <c r="O3579" i="58"/>
  <c r="P3579" i="58" s="1"/>
  <c r="Q3579" i="58" s="1"/>
  <c r="K3579" i="58"/>
  <c r="L3579" i="58" s="1"/>
  <c r="L3577" i="58" s="1"/>
  <c r="O3578" i="58"/>
  <c r="P3578" i="58" s="1"/>
  <c r="O3577" i="58"/>
  <c r="P3577" i="58" s="1"/>
  <c r="Q3577" i="58" s="1"/>
  <c r="N3577" i="58"/>
  <c r="J3577" i="58"/>
  <c r="P3576" i="58"/>
  <c r="O3576" i="58"/>
  <c r="K3576" i="58"/>
  <c r="L3576" i="58" s="1"/>
  <c r="L3574" i="58" s="1"/>
  <c r="O3575" i="58"/>
  <c r="P3575" i="58" s="1"/>
  <c r="O3574" i="58"/>
  <c r="P3574" i="58" s="1"/>
  <c r="Q3574" i="58" s="1"/>
  <c r="N3574" i="58"/>
  <c r="J3574" i="58"/>
  <c r="O3573" i="58"/>
  <c r="P3573" i="58" s="1"/>
  <c r="K3573" i="58"/>
  <c r="L3573" i="58" s="1"/>
  <c r="O3572" i="58"/>
  <c r="P3572" i="58" s="1"/>
  <c r="O3571" i="58"/>
  <c r="P3571" i="58" s="1"/>
  <c r="Q3571" i="58" s="1"/>
  <c r="N3571" i="58"/>
  <c r="L3571" i="58"/>
  <c r="J3571" i="58"/>
  <c r="P3570" i="58"/>
  <c r="O3570" i="58"/>
  <c r="L3570" i="58"/>
  <c r="L3568" i="58" s="1"/>
  <c r="K3570" i="58"/>
  <c r="O3569" i="58"/>
  <c r="P3569" i="58" s="1"/>
  <c r="O3568" i="58"/>
  <c r="P3568" i="58" s="1"/>
  <c r="Q3568" i="58" s="1"/>
  <c r="N3568" i="58"/>
  <c r="J3568" i="58"/>
  <c r="O3567" i="58"/>
  <c r="P3567" i="58" s="1"/>
  <c r="K3567" i="58"/>
  <c r="L3567" i="58" s="1"/>
  <c r="L3565" i="58" s="1"/>
  <c r="O3566" i="58"/>
  <c r="P3566" i="58" s="1"/>
  <c r="O3565" i="58"/>
  <c r="P3565" i="58" s="1"/>
  <c r="Q3565" i="58" s="1"/>
  <c r="N3565" i="58"/>
  <c r="J3565" i="58"/>
  <c r="O3564" i="58"/>
  <c r="P3564" i="58" s="1"/>
  <c r="K3564" i="58"/>
  <c r="L3564" i="58" s="1"/>
  <c r="L3562" i="58" s="1"/>
  <c r="O3563" i="58"/>
  <c r="P3563" i="58" s="1"/>
  <c r="Q3562" i="58"/>
  <c r="P3562" i="58"/>
  <c r="O3562" i="58"/>
  <c r="N3562" i="58"/>
  <c r="J3562" i="58"/>
  <c r="P3561" i="58"/>
  <c r="O3561" i="58"/>
  <c r="K3561" i="58"/>
  <c r="L3561" i="58" s="1"/>
  <c r="L3559" i="58" s="1"/>
  <c r="O3560" i="58"/>
  <c r="P3560" i="58" s="1"/>
  <c r="O3559" i="58"/>
  <c r="P3559" i="58" s="1"/>
  <c r="Q3559" i="58" s="1"/>
  <c r="N3559" i="58"/>
  <c r="J3559" i="58"/>
  <c r="P3558" i="58"/>
  <c r="O3558" i="58"/>
  <c r="L3558" i="58"/>
  <c r="L3556" i="58" s="1"/>
  <c r="K3558" i="58"/>
  <c r="O3557" i="58"/>
  <c r="P3557" i="58" s="1"/>
  <c r="P3556" i="58"/>
  <c r="Q3556" i="58" s="1"/>
  <c r="O3556" i="58"/>
  <c r="N3556" i="58"/>
  <c r="J3556" i="58"/>
  <c r="P3555" i="58"/>
  <c r="O3555" i="58"/>
  <c r="L3555" i="58"/>
  <c r="L3553" i="58" s="1"/>
  <c r="K3555" i="58"/>
  <c r="O3554" i="58"/>
  <c r="P3554" i="58" s="1"/>
  <c r="O3553" i="58"/>
  <c r="P3553" i="58" s="1"/>
  <c r="Q3553" i="58" s="1"/>
  <c r="N3553" i="58"/>
  <c r="J3553" i="58"/>
  <c r="O3552" i="58"/>
  <c r="P3552" i="58" s="1"/>
  <c r="Q3552" i="58" s="1"/>
  <c r="R3552" i="58" s="1"/>
  <c r="K3552" i="58"/>
  <c r="L3552" i="58" s="1"/>
  <c r="L3550" i="58" s="1"/>
  <c r="O3551" i="58"/>
  <c r="P3551" i="58" s="1"/>
  <c r="O3550" i="58"/>
  <c r="P3550" i="58" s="1"/>
  <c r="Q3550" i="58" s="1"/>
  <c r="N3550" i="58"/>
  <c r="J3550" i="58"/>
  <c r="O3549" i="58"/>
  <c r="P3549" i="58" s="1"/>
  <c r="Q3549" i="58" s="1"/>
  <c r="R3549" i="58" s="1"/>
  <c r="K3549" i="58"/>
  <c r="L3549" i="58" s="1"/>
  <c r="O3548" i="58"/>
  <c r="P3548" i="58" s="1"/>
  <c r="Q3548" i="58" s="1"/>
  <c r="R3548" i="58" s="1"/>
  <c r="O3547" i="58"/>
  <c r="P3547" i="58" s="1"/>
  <c r="Q3547" i="58" s="1"/>
  <c r="R3547" i="58" s="1"/>
  <c r="N3547" i="58"/>
  <c r="L3547" i="58"/>
  <c r="J3547" i="58"/>
  <c r="P3546" i="58"/>
  <c r="O3546" i="58"/>
  <c r="K3546" i="58"/>
  <c r="L3546" i="58" s="1"/>
  <c r="O3545" i="58"/>
  <c r="P3545" i="58" s="1"/>
  <c r="O3544" i="58"/>
  <c r="P3544" i="58" s="1"/>
  <c r="Q3544" i="58" s="1"/>
  <c r="N3544" i="58"/>
  <c r="L3544" i="58"/>
  <c r="J3544" i="58"/>
  <c r="O3543" i="58"/>
  <c r="P3543" i="58" s="1"/>
  <c r="K3543" i="58"/>
  <c r="L3543" i="58" s="1"/>
  <c r="L3541" i="58" s="1"/>
  <c r="O3542" i="58"/>
  <c r="P3542" i="58" s="1"/>
  <c r="Q3541" i="58"/>
  <c r="P3541" i="58"/>
  <c r="O3541" i="58"/>
  <c r="N3541" i="58"/>
  <c r="J3541" i="58"/>
  <c r="P3540" i="58"/>
  <c r="O3540" i="58"/>
  <c r="K3540" i="58"/>
  <c r="L3540" i="58" s="1"/>
  <c r="L3538" i="58" s="1"/>
  <c r="O3539" i="58"/>
  <c r="P3539" i="58" s="1"/>
  <c r="O3538" i="58"/>
  <c r="P3538" i="58" s="1"/>
  <c r="Q3538" i="58" s="1"/>
  <c r="N3538" i="58"/>
  <c r="J3538" i="58"/>
  <c r="O3537" i="58"/>
  <c r="P3537" i="58" s="1"/>
  <c r="K3537" i="58"/>
  <c r="L3537" i="58" s="1"/>
  <c r="L3535" i="58" s="1"/>
  <c r="O3536" i="58"/>
  <c r="P3536" i="58" s="1"/>
  <c r="O3535" i="58"/>
  <c r="P3535" i="58" s="1"/>
  <c r="Q3535" i="58" s="1"/>
  <c r="N3535" i="58"/>
  <c r="J3535" i="58"/>
  <c r="O3534" i="58"/>
  <c r="P3534" i="58" s="1"/>
  <c r="K3534" i="58"/>
  <c r="L3534" i="58" s="1"/>
  <c r="L3532" i="58" s="1"/>
  <c r="O3533" i="58"/>
  <c r="P3533" i="58" s="1"/>
  <c r="P3532" i="58"/>
  <c r="Q3532" i="58" s="1"/>
  <c r="O3532" i="58"/>
  <c r="N3532" i="58"/>
  <c r="J3532" i="58"/>
  <c r="O3531" i="58"/>
  <c r="P3531" i="58" s="1"/>
  <c r="K3531" i="58"/>
  <c r="L3531" i="58" s="1"/>
  <c r="O3530" i="58"/>
  <c r="P3530" i="58" s="1"/>
  <c r="O3529" i="58"/>
  <c r="P3529" i="58" s="1"/>
  <c r="Q3529" i="58" s="1"/>
  <c r="N3529" i="58"/>
  <c r="L3529" i="58"/>
  <c r="J3529" i="58"/>
  <c r="O3528" i="58"/>
  <c r="P3528" i="58" s="1"/>
  <c r="K3528" i="58"/>
  <c r="L3528" i="58" s="1"/>
  <c r="L3526" i="58" s="1"/>
  <c r="O3527" i="58"/>
  <c r="P3527" i="58" s="1"/>
  <c r="O3526" i="58"/>
  <c r="P3526" i="58" s="1"/>
  <c r="Q3526" i="58" s="1"/>
  <c r="Q3525" i="58" s="1"/>
  <c r="R3525" i="58" s="1"/>
  <c r="N3526" i="58"/>
  <c r="J3526" i="58"/>
  <c r="O3525" i="58"/>
  <c r="P3525" i="58" s="1"/>
  <c r="K3525" i="58"/>
  <c r="L3525" i="58" s="1"/>
  <c r="O3524" i="58"/>
  <c r="P3524" i="58" s="1"/>
  <c r="P3523" i="58"/>
  <c r="Q3523" i="58" s="1"/>
  <c r="O3523" i="58"/>
  <c r="N3523" i="58"/>
  <c r="L3523" i="58"/>
  <c r="J3523" i="58"/>
  <c r="P3522" i="58"/>
  <c r="O3522" i="58"/>
  <c r="K3522" i="58"/>
  <c r="L3522" i="58" s="1"/>
  <c r="L3520" i="58" s="1"/>
  <c r="O3521" i="58"/>
  <c r="P3521" i="58" s="1"/>
  <c r="O3520" i="58"/>
  <c r="P3520" i="58" s="1"/>
  <c r="Q3520" i="58" s="1"/>
  <c r="N3520" i="58"/>
  <c r="J3520" i="58"/>
  <c r="O3519" i="58"/>
  <c r="P3519" i="58" s="1"/>
  <c r="K3519" i="58"/>
  <c r="L3519" i="58" s="1"/>
  <c r="L3517" i="58" s="1"/>
  <c r="P3518" i="58"/>
  <c r="O3518" i="58"/>
  <c r="O3517" i="58"/>
  <c r="P3517" i="58" s="1"/>
  <c r="Q3517" i="58" s="1"/>
  <c r="N3517" i="58"/>
  <c r="J3517" i="58"/>
  <c r="O3516" i="58"/>
  <c r="P3516" i="58" s="1"/>
  <c r="K3516" i="58"/>
  <c r="L3516" i="58" s="1"/>
  <c r="L3514" i="58" s="1"/>
  <c r="P3515" i="58"/>
  <c r="O3515" i="58"/>
  <c r="O3514" i="58"/>
  <c r="P3514" i="58" s="1"/>
  <c r="Q3514" i="58" s="1"/>
  <c r="N3514" i="58"/>
  <c r="J3514" i="58"/>
  <c r="O3513" i="58"/>
  <c r="P3513" i="58" s="1"/>
  <c r="K3513" i="58"/>
  <c r="L3513" i="58" s="1"/>
  <c r="P3512" i="58"/>
  <c r="O3512" i="58"/>
  <c r="Q3511" i="58"/>
  <c r="O3511" i="58"/>
  <c r="P3511" i="58" s="1"/>
  <c r="N3511" i="58"/>
  <c r="L3511" i="58"/>
  <c r="J3511" i="58"/>
  <c r="O3510" i="58"/>
  <c r="P3510" i="58" s="1"/>
  <c r="K3510" i="58"/>
  <c r="L3510" i="58" s="1"/>
  <c r="L3508" i="58" s="1"/>
  <c r="O3509" i="58"/>
  <c r="P3509" i="58" s="1"/>
  <c r="O3508" i="58"/>
  <c r="P3508" i="58" s="1"/>
  <c r="Q3508" i="58" s="1"/>
  <c r="N3508" i="58"/>
  <c r="J3508" i="58"/>
  <c r="O3507" i="58"/>
  <c r="P3507" i="58" s="1"/>
  <c r="K3507" i="58"/>
  <c r="L3507" i="58" s="1"/>
  <c r="L3505" i="58" s="1"/>
  <c r="P3506" i="58"/>
  <c r="O3506" i="58"/>
  <c r="O3505" i="58"/>
  <c r="P3505" i="58" s="1"/>
  <c r="Q3505" i="58" s="1"/>
  <c r="N3505" i="58"/>
  <c r="J3505" i="58"/>
  <c r="O3504" i="58"/>
  <c r="P3504" i="58" s="1"/>
  <c r="L3504" i="58"/>
  <c r="L3502" i="58" s="1"/>
  <c r="K3504" i="58"/>
  <c r="O3503" i="58"/>
  <c r="P3503" i="58" s="1"/>
  <c r="O3502" i="58"/>
  <c r="P3502" i="58" s="1"/>
  <c r="Q3502" i="58" s="1"/>
  <c r="N3502" i="58"/>
  <c r="J3502" i="58"/>
  <c r="O3501" i="58"/>
  <c r="P3501" i="58" s="1"/>
  <c r="K3501" i="58"/>
  <c r="L3501" i="58" s="1"/>
  <c r="L3499" i="58" s="1"/>
  <c r="O3500" i="58"/>
  <c r="P3500" i="58" s="1"/>
  <c r="O3499" i="58"/>
  <c r="P3499" i="58" s="1"/>
  <c r="Q3499" i="58" s="1"/>
  <c r="N3499" i="58"/>
  <c r="J3499" i="58"/>
  <c r="O3498" i="58"/>
  <c r="P3498" i="58" s="1"/>
  <c r="K3498" i="58"/>
  <c r="L3498" i="58" s="1"/>
  <c r="L3496" i="58" s="1"/>
  <c r="O3497" i="58"/>
  <c r="P3497" i="58" s="1"/>
  <c r="P3496" i="58"/>
  <c r="Q3496" i="58" s="1"/>
  <c r="O3496" i="58"/>
  <c r="N3496" i="58"/>
  <c r="J3496" i="58"/>
  <c r="O3495" i="58"/>
  <c r="P3495" i="58" s="1"/>
  <c r="Q3495" i="58" s="1"/>
  <c r="K3495" i="58"/>
  <c r="L3495" i="58" s="1"/>
  <c r="L3493" i="58" s="1"/>
  <c r="O3494" i="58"/>
  <c r="P3494" i="58" s="1"/>
  <c r="O3493" i="58"/>
  <c r="P3493" i="58" s="1"/>
  <c r="Q3493" i="58" s="1"/>
  <c r="N3493" i="58"/>
  <c r="J3493" i="58"/>
  <c r="O3492" i="58"/>
  <c r="P3492" i="58" s="1"/>
  <c r="Q3492" i="58" s="1"/>
  <c r="R3492" i="58" s="1"/>
  <c r="K3492" i="58"/>
  <c r="L3492" i="58" s="1"/>
  <c r="L3490" i="58" s="1"/>
  <c r="P3491" i="58"/>
  <c r="O3491" i="58"/>
  <c r="O3490" i="58"/>
  <c r="P3490" i="58" s="1"/>
  <c r="Q3490" i="58" s="1"/>
  <c r="N3490" i="58"/>
  <c r="J3490" i="58"/>
  <c r="O3489" i="58"/>
  <c r="P3489" i="58" s="1"/>
  <c r="Q3489" i="58" s="1"/>
  <c r="R3489" i="58" s="1"/>
  <c r="K3489" i="58"/>
  <c r="L3489" i="58" s="1"/>
  <c r="L3487" i="58" s="1"/>
  <c r="O3488" i="58"/>
  <c r="P3488" i="58" s="1"/>
  <c r="Q3488" i="58" s="1"/>
  <c r="R3488" i="58" s="1"/>
  <c r="O3487" i="58"/>
  <c r="P3487" i="58" s="1"/>
  <c r="Q3487" i="58" s="1"/>
  <c r="R3487" i="58" s="1"/>
  <c r="N3487" i="58"/>
  <c r="J3487" i="58"/>
  <c r="O3486" i="58"/>
  <c r="P3486" i="58" s="1"/>
  <c r="K3486" i="58"/>
  <c r="L3486" i="58" s="1"/>
  <c r="L3484" i="58" s="1"/>
  <c r="O3485" i="58"/>
  <c r="P3485" i="58" s="1"/>
  <c r="O3484" i="58"/>
  <c r="P3484" i="58" s="1"/>
  <c r="Q3484" i="58" s="1"/>
  <c r="N3484" i="58"/>
  <c r="J3484" i="58"/>
  <c r="O3483" i="58"/>
  <c r="P3483" i="58" s="1"/>
  <c r="K3483" i="58"/>
  <c r="L3483" i="58" s="1"/>
  <c r="L3481" i="58" s="1"/>
  <c r="O3482" i="58"/>
  <c r="P3482" i="58" s="1"/>
  <c r="P3481" i="58"/>
  <c r="Q3481" i="58" s="1"/>
  <c r="O3481" i="58"/>
  <c r="N3481" i="58"/>
  <c r="J3481" i="58"/>
  <c r="P3480" i="58"/>
  <c r="O3480" i="58"/>
  <c r="L3480" i="58"/>
  <c r="L3478" i="58" s="1"/>
  <c r="K3480" i="58"/>
  <c r="P3479" i="58"/>
  <c r="O3479" i="58"/>
  <c r="O3478" i="58"/>
  <c r="P3478" i="58" s="1"/>
  <c r="Q3478" i="58" s="1"/>
  <c r="N3478" i="58"/>
  <c r="J3478" i="58"/>
  <c r="O3477" i="58"/>
  <c r="P3477" i="58" s="1"/>
  <c r="Q3477" i="58" s="1"/>
  <c r="R3477" i="58" s="1"/>
  <c r="K3477" i="58"/>
  <c r="L3477" i="58" s="1"/>
  <c r="L3475" i="58" s="1"/>
  <c r="O3476" i="58"/>
  <c r="P3476" i="58" s="1"/>
  <c r="O3475" i="58"/>
  <c r="P3475" i="58" s="1"/>
  <c r="Q3475" i="58" s="1"/>
  <c r="N3475" i="58"/>
  <c r="J3475" i="58"/>
  <c r="O3474" i="58"/>
  <c r="P3474" i="58" s="1"/>
  <c r="K3474" i="58"/>
  <c r="L3474" i="58" s="1"/>
  <c r="L3472" i="58" s="1"/>
  <c r="O3473" i="58"/>
  <c r="P3473" i="58" s="1"/>
  <c r="O3472" i="58"/>
  <c r="P3472" i="58" s="1"/>
  <c r="Q3472" i="58" s="1"/>
  <c r="N3472" i="58"/>
  <c r="J3472" i="58"/>
  <c r="O3471" i="58"/>
  <c r="P3471" i="58" s="1"/>
  <c r="K3471" i="58"/>
  <c r="L3471" i="58" s="1"/>
  <c r="L3469" i="58" s="1"/>
  <c r="P3470" i="58"/>
  <c r="O3470" i="58"/>
  <c r="O3469" i="58"/>
  <c r="P3469" i="58" s="1"/>
  <c r="Q3469" i="58" s="1"/>
  <c r="N3469" i="58"/>
  <c r="J3469" i="58"/>
  <c r="O3468" i="58"/>
  <c r="P3468" i="58" s="1"/>
  <c r="K3468" i="58"/>
  <c r="L3468" i="58" s="1"/>
  <c r="L3466" i="58" s="1"/>
  <c r="P3467" i="58"/>
  <c r="O3467" i="58"/>
  <c r="O3466" i="58"/>
  <c r="P3466" i="58" s="1"/>
  <c r="Q3466" i="58" s="1"/>
  <c r="N3466" i="58"/>
  <c r="J3466" i="58"/>
  <c r="P3465" i="58"/>
  <c r="O3465" i="58"/>
  <c r="K3465" i="58"/>
  <c r="L3465" i="58" s="1"/>
  <c r="L3463" i="58" s="1"/>
  <c r="O3464" i="58"/>
  <c r="P3464" i="58" s="1"/>
  <c r="P3463" i="58"/>
  <c r="Q3463" i="58" s="1"/>
  <c r="O3463" i="58"/>
  <c r="N3463" i="58"/>
  <c r="J3463" i="58"/>
  <c r="P3462" i="58"/>
  <c r="O3462" i="58"/>
  <c r="K3462" i="58"/>
  <c r="L3462" i="58" s="1"/>
  <c r="L3460" i="58" s="1"/>
  <c r="P3461" i="58"/>
  <c r="O3461" i="58"/>
  <c r="O3460" i="58"/>
  <c r="P3460" i="58" s="1"/>
  <c r="Q3460" i="58" s="1"/>
  <c r="N3460" i="58"/>
  <c r="J3460" i="58"/>
  <c r="O3459" i="58"/>
  <c r="P3459" i="58" s="1"/>
  <c r="Q3459" i="58" s="1"/>
  <c r="R3459" i="58" s="1"/>
  <c r="K3459" i="58"/>
  <c r="L3459" i="58" s="1"/>
  <c r="L3457" i="58" s="1"/>
  <c r="O3458" i="58"/>
  <c r="P3458" i="58" s="1"/>
  <c r="Q3458" i="58" s="1"/>
  <c r="R3458" i="58" s="1"/>
  <c r="O3457" i="58"/>
  <c r="P3457" i="58" s="1"/>
  <c r="Q3457" i="58" s="1"/>
  <c r="N3457" i="58"/>
  <c r="J3457" i="58"/>
  <c r="Q3456" i="58"/>
  <c r="R3456" i="58" s="1"/>
  <c r="O3456" i="58"/>
  <c r="P3456" i="58" s="1"/>
  <c r="L3456" i="58"/>
  <c r="L3454" i="58" s="1"/>
  <c r="K3456" i="58"/>
  <c r="O3455" i="58"/>
  <c r="P3455" i="58" s="1"/>
  <c r="O3454" i="58"/>
  <c r="P3454" i="58" s="1"/>
  <c r="Q3454" i="58" s="1"/>
  <c r="N3454" i="58"/>
  <c r="J3454" i="58"/>
  <c r="O3453" i="58"/>
  <c r="P3453" i="58" s="1"/>
  <c r="Q3453" i="58" s="1"/>
  <c r="L3453" i="58"/>
  <c r="L3451" i="58" s="1"/>
  <c r="K3453" i="58"/>
  <c r="O3452" i="58"/>
  <c r="P3452" i="58" s="1"/>
  <c r="O3451" i="58"/>
  <c r="P3451" i="58" s="1"/>
  <c r="Q3451" i="58" s="1"/>
  <c r="N3451" i="58"/>
  <c r="J3451" i="58"/>
  <c r="O3450" i="58"/>
  <c r="P3450" i="58" s="1"/>
  <c r="Q3450" i="58" s="1"/>
  <c r="K3450" i="58"/>
  <c r="L3450" i="58" s="1"/>
  <c r="L3448" i="58" s="1"/>
  <c r="O3449" i="58"/>
  <c r="P3449" i="58" s="1"/>
  <c r="O3448" i="58"/>
  <c r="P3448" i="58" s="1"/>
  <c r="Q3448" i="58" s="1"/>
  <c r="N3448" i="58"/>
  <c r="J3448" i="58"/>
  <c r="O3447" i="58"/>
  <c r="P3447" i="58" s="1"/>
  <c r="L3447" i="58"/>
  <c r="L3445" i="58" s="1"/>
  <c r="K3447" i="58"/>
  <c r="O3446" i="58"/>
  <c r="P3446" i="58" s="1"/>
  <c r="O3445" i="58"/>
  <c r="P3445" i="58" s="1"/>
  <c r="Q3445" i="58" s="1"/>
  <c r="N3445" i="58"/>
  <c r="J3445" i="58"/>
  <c r="O3444" i="58"/>
  <c r="P3444" i="58" s="1"/>
  <c r="K3444" i="58"/>
  <c r="L3444" i="58" s="1"/>
  <c r="L3442" i="58" s="1"/>
  <c r="P3443" i="58"/>
  <c r="O3443" i="58"/>
  <c r="O3442" i="58"/>
  <c r="P3442" i="58" s="1"/>
  <c r="Q3442" i="58" s="1"/>
  <c r="N3442" i="58"/>
  <c r="J3442" i="58"/>
  <c r="O3441" i="58"/>
  <c r="P3441" i="58" s="1"/>
  <c r="K3441" i="58"/>
  <c r="L3441" i="58" s="1"/>
  <c r="L3439" i="58" s="1"/>
  <c r="O3440" i="58"/>
  <c r="P3440" i="58" s="1"/>
  <c r="O3439" i="58"/>
  <c r="P3439" i="58" s="1"/>
  <c r="Q3439" i="58" s="1"/>
  <c r="N3439" i="58"/>
  <c r="J3439" i="58"/>
  <c r="O3438" i="58"/>
  <c r="P3438" i="58" s="1"/>
  <c r="Q3438" i="58" s="1"/>
  <c r="K3438" i="58"/>
  <c r="L3438" i="58" s="1"/>
  <c r="L3436" i="58" s="1"/>
  <c r="O3437" i="58"/>
  <c r="P3437" i="58" s="1"/>
  <c r="O3436" i="58"/>
  <c r="P3436" i="58" s="1"/>
  <c r="Q3436" i="58" s="1"/>
  <c r="N3436" i="58"/>
  <c r="J3436" i="58"/>
  <c r="O3435" i="58"/>
  <c r="P3435" i="58" s="1"/>
  <c r="Q3435" i="58" s="1"/>
  <c r="K3435" i="58"/>
  <c r="L3435" i="58" s="1"/>
  <c r="L3433" i="58" s="1"/>
  <c r="P3434" i="58"/>
  <c r="O3434" i="58"/>
  <c r="O3433" i="58"/>
  <c r="P3433" i="58" s="1"/>
  <c r="Q3433" i="58" s="1"/>
  <c r="N3433" i="58"/>
  <c r="J3433" i="58"/>
  <c r="Q3432" i="58"/>
  <c r="P3432" i="58"/>
  <c r="O3432" i="58"/>
  <c r="K3432" i="58"/>
  <c r="L3432" i="58" s="1"/>
  <c r="L3430" i="58" s="1"/>
  <c r="O3431" i="58"/>
  <c r="P3431" i="58" s="1"/>
  <c r="O3430" i="58"/>
  <c r="P3430" i="58" s="1"/>
  <c r="Q3430" i="58" s="1"/>
  <c r="N3430" i="58"/>
  <c r="J3430" i="58"/>
  <c r="O3429" i="58"/>
  <c r="P3429" i="58" s="1"/>
  <c r="Q3429" i="58" s="1"/>
  <c r="K3429" i="58"/>
  <c r="L3429" i="58" s="1"/>
  <c r="L3427" i="58" s="1"/>
  <c r="O3428" i="58"/>
  <c r="P3428" i="58" s="1"/>
  <c r="O3427" i="58"/>
  <c r="P3427" i="58" s="1"/>
  <c r="Q3427" i="58" s="1"/>
  <c r="N3427" i="58"/>
  <c r="J3427" i="58"/>
  <c r="P3426" i="58"/>
  <c r="O3426" i="58"/>
  <c r="L3426" i="58"/>
  <c r="L3424" i="58" s="1"/>
  <c r="K3426" i="58"/>
  <c r="O3425" i="58"/>
  <c r="P3425" i="58" s="1"/>
  <c r="O3424" i="58"/>
  <c r="P3424" i="58" s="1"/>
  <c r="Q3424" i="58" s="1"/>
  <c r="N3424" i="58"/>
  <c r="J3424" i="58"/>
  <c r="P3423" i="58"/>
  <c r="Q3423" i="58" s="1"/>
  <c r="O3423" i="58"/>
  <c r="K3423" i="58"/>
  <c r="L3423" i="58" s="1"/>
  <c r="O3422" i="58"/>
  <c r="P3422" i="58" s="1"/>
  <c r="O3421" i="58"/>
  <c r="P3421" i="58" s="1"/>
  <c r="Q3421" i="58" s="1"/>
  <c r="N3421" i="58"/>
  <c r="L3421" i="58"/>
  <c r="J3421" i="58"/>
  <c r="O3420" i="58"/>
  <c r="P3420" i="58" s="1"/>
  <c r="K3420" i="58"/>
  <c r="L3420" i="58" s="1"/>
  <c r="L3418" i="58" s="1"/>
  <c r="O3419" i="58"/>
  <c r="P3419" i="58" s="1"/>
  <c r="O3418" i="58"/>
  <c r="P3418" i="58" s="1"/>
  <c r="Q3418" i="58" s="1"/>
  <c r="N3418" i="58"/>
  <c r="J3418" i="58"/>
  <c r="O3417" i="58"/>
  <c r="P3417" i="58" s="1"/>
  <c r="K3417" i="58"/>
  <c r="L3417" i="58" s="1"/>
  <c r="L3415" i="58" s="1"/>
  <c r="O3416" i="58"/>
  <c r="P3416" i="58" s="1"/>
  <c r="O3415" i="58"/>
  <c r="P3415" i="58" s="1"/>
  <c r="Q3415" i="58" s="1"/>
  <c r="N3415" i="58"/>
  <c r="J3415" i="58"/>
  <c r="P3414" i="58"/>
  <c r="O3414" i="58"/>
  <c r="L3414" i="58"/>
  <c r="L3412" i="58" s="1"/>
  <c r="K3414" i="58"/>
  <c r="O3413" i="58"/>
  <c r="P3413" i="58" s="1"/>
  <c r="O3412" i="58"/>
  <c r="P3412" i="58" s="1"/>
  <c r="Q3412" i="58" s="1"/>
  <c r="N3412" i="58"/>
  <c r="J3412" i="58"/>
  <c r="O3411" i="58"/>
  <c r="P3411" i="58" s="1"/>
  <c r="Q3411" i="58" s="1"/>
  <c r="R3411" i="58" s="1"/>
  <c r="K3411" i="58"/>
  <c r="L3411" i="58" s="1"/>
  <c r="O3410" i="58"/>
  <c r="P3410" i="58" s="1"/>
  <c r="O3409" i="58"/>
  <c r="P3409" i="58" s="1"/>
  <c r="Q3409" i="58" s="1"/>
  <c r="N3409" i="58"/>
  <c r="L3409" i="58"/>
  <c r="J3409" i="58"/>
  <c r="O3408" i="58"/>
  <c r="P3408" i="58" s="1"/>
  <c r="Q3408" i="58" s="1"/>
  <c r="R3408" i="58" s="1"/>
  <c r="L3408" i="58"/>
  <c r="L3406" i="58" s="1"/>
  <c r="K3408" i="58"/>
  <c r="O3407" i="58"/>
  <c r="P3407" i="58" s="1"/>
  <c r="P3406" i="58"/>
  <c r="Q3406" i="58" s="1"/>
  <c r="O3406" i="58"/>
  <c r="N3406" i="58"/>
  <c r="J3406" i="58"/>
  <c r="P3405" i="58"/>
  <c r="Q3405" i="58" s="1"/>
  <c r="R3405" i="58" s="1"/>
  <c r="O3405" i="58"/>
  <c r="K3405" i="58"/>
  <c r="L3405" i="58" s="1"/>
  <c r="L3403" i="58" s="1"/>
  <c r="O3404" i="58"/>
  <c r="P3404" i="58" s="1"/>
  <c r="O3403" i="58"/>
  <c r="P3403" i="58" s="1"/>
  <c r="Q3403" i="58" s="1"/>
  <c r="N3403" i="58"/>
  <c r="J3403" i="58"/>
  <c r="O3402" i="58"/>
  <c r="P3402" i="58" s="1"/>
  <c r="K3402" i="58"/>
  <c r="L3402" i="58" s="1"/>
  <c r="O3401" i="58"/>
  <c r="P3401" i="58" s="1"/>
  <c r="O3400" i="58"/>
  <c r="P3400" i="58" s="1"/>
  <c r="Q3400" i="58" s="1"/>
  <c r="N3400" i="58"/>
  <c r="L3400" i="58"/>
  <c r="J3400" i="58"/>
  <c r="P3399" i="58"/>
  <c r="O3399" i="58"/>
  <c r="K3399" i="58"/>
  <c r="L3399" i="58" s="1"/>
  <c r="L3397" i="58" s="1"/>
  <c r="O3398" i="58"/>
  <c r="P3398" i="58" s="1"/>
  <c r="O3397" i="58"/>
  <c r="P3397" i="58" s="1"/>
  <c r="Q3397" i="58" s="1"/>
  <c r="Q3396" i="58" s="1"/>
  <c r="R3396" i="58" s="1"/>
  <c r="N3397" i="58"/>
  <c r="J3397" i="58"/>
  <c r="O3396" i="58"/>
  <c r="P3396" i="58" s="1"/>
  <c r="K3396" i="58"/>
  <c r="L3396" i="58" s="1"/>
  <c r="O3395" i="58"/>
  <c r="P3395" i="58" s="1"/>
  <c r="P3394" i="58"/>
  <c r="Q3394" i="58" s="1"/>
  <c r="O3394" i="58"/>
  <c r="N3394" i="58"/>
  <c r="L3394" i="58"/>
  <c r="J3394" i="58"/>
  <c r="O3393" i="58"/>
  <c r="P3393" i="58" s="1"/>
  <c r="K3393" i="58"/>
  <c r="L3393" i="58" s="1"/>
  <c r="L3391" i="58" s="1"/>
  <c r="O3392" i="58"/>
  <c r="P3392" i="58" s="1"/>
  <c r="P3391" i="58"/>
  <c r="Q3391" i="58" s="1"/>
  <c r="O3391" i="58"/>
  <c r="N3391" i="58"/>
  <c r="J3391" i="58"/>
  <c r="O3390" i="58"/>
  <c r="P3390" i="58" s="1"/>
  <c r="K3390" i="58"/>
  <c r="L3390" i="58" s="1"/>
  <c r="L3388" i="58" s="1"/>
  <c r="O3389" i="58"/>
  <c r="P3389" i="58" s="1"/>
  <c r="O3388" i="58"/>
  <c r="P3388" i="58" s="1"/>
  <c r="Q3388" i="58" s="1"/>
  <c r="Q3387" i="58" s="1"/>
  <c r="R3387" i="58" s="1"/>
  <c r="N3388" i="58"/>
  <c r="J3388" i="58"/>
  <c r="P3387" i="58"/>
  <c r="O3387" i="58"/>
  <c r="K3387" i="58"/>
  <c r="L3387" i="58" s="1"/>
  <c r="L3385" i="58" s="1"/>
  <c r="O3386" i="58"/>
  <c r="P3386" i="58" s="1"/>
  <c r="O3385" i="58"/>
  <c r="P3385" i="58" s="1"/>
  <c r="Q3385" i="58" s="1"/>
  <c r="N3385" i="58"/>
  <c r="J3385" i="58"/>
  <c r="P3384" i="58"/>
  <c r="O3384" i="58"/>
  <c r="K3384" i="58"/>
  <c r="L3384" i="58" s="1"/>
  <c r="L3382" i="58" s="1"/>
  <c r="P3383" i="58"/>
  <c r="O3383" i="58"/>
  <c r="P3382" i="58"/>
  <c r="Q3382" i="58" s="1"/>
  <c r="O3382" i="58"/>
  <c r="N3382" i="58"/>
  <c r="J3382" i="58"/>
  <c r="O3381" i="58"/>
  <c r="P3381" i="58" s="1"/>
  <c r="K3381" i="58"/>
  <c r="L3381" i="58" s="1"/>
  <c r="L3379" i="58" s="1"/>
  <c r="O3380" i="58"/>
  <c r="P3380" i="58" s="1"/>
  <c r="O3379" i="58"/>
  <c r="P3379" i="58" s="1"/>
  <c r="Q3379" i="58" s="1"/>
  <c r="N3379" i="58"/>
  <c r="J3379" i="58"/>
  <c r="O3378" i="58"/>
  <c r="P3378" i="58" s="1"/>
  <c r="K3378" i="58"/>
  <c r="L3378" i="58" s="1"/>
  <c r="O3377" i="58"/>
  <c r="P3377" i="58" s="1"/>
  <c r="P3376" i="58"/>
  <c r="Q3376" i="58" s="1"/>
  <c r="O3376" i="58"/>
  <c r="N3376" i="58"/>
  <c r="L3376" i="58"/>
  <c r="J3376" i="58"/>
  <c r="O3375" i="58"/>
  <c r="P3375" i="58" s="1"/>
  <c r="K3375" i="58"/>
  <c r="L3375" i="58" s="1"/>
  <c r="O3374" i="58"/>
  <c r="P3374" i="58" s="1"/>
  <c r="O3373" i="58"/>
  <c r="P3373" i="58" s="1"/>
  <c r="Q3373" i="58" s="1"/>
  <c r="N3373" i="58"/>
  <c r="L3373" i="58"/>
  <c r="J3373" i="58"/>
  <c r="P3372" i="58"/>
  <c r="O3372" i="58"/>
  <c r="K3372" i="58"/>
  <c r="L3372" i="58" s="1"/>
  <c r="L3370" i="58" s="1"/>
  <c r="P3371" i="58"/>
  <c r="O3371" i="58"/>
  <c r="O3370" i="58"/>
  <c r="P3370" i="58" s="1"/>
  <c r="Q3370" i="58" s="1"/>
  <c r="N3370" i="58"/>
  <c r="J3370" i="58"/>
  <c r="O3369" i="58"/>
  <c r="P3369" i="58" s="1"/>
  <c r="K3369" i="58"/>
  <c r="L3369" i="58" s="1"/>
  <c r="L3367" i="58" s="1"/>
  <c r="O3368" i="58"/>
  <c r="P3368" i="58" s="1"/>
  <c r="Q3367" i="58"/>
  <c r="O3367" i="58"/>
  <c r="P3367" i="58" s="1"/>
  <c r="N3367" i="58"/>
  <c r="J3367" i="58"/>
  <c r="O3366" i="58"/>
  <c r="P3366" i="58" s="1"/>
  <c r="K3366" i="58"/>
  <c r="L3366" i="58" s="1"/>
  <c r="L3364" i="58" s="1"/>
  <c r="O3365" i="58"/>
  <c r="P3365" i="58" s="1"/>
  <c r="O3364" i="58"/>
  <c r="P3364" i="58" s="1"/>
  <c r="Q3364" i="58" s="1"/>
  <c r="N3364" i="58"/>
  <c r="J3364" i="58"/>
  <c r="O3363" i="58"/>
  <c r="P3363" i="58" s="1"/>
  <c r="K3363" i="58"/>
  <c r="L3363" i="58" s="1"/>
  <c r="O3362" i="58"/>
  <c r="P3362" i="58" s="1"/>
  <c r="O3361" i="58"/>
  <c r="P3361" i="58" s="1"/>
  <c r="Q3361" i="58" s="1"/>
  <c r="N3361" i="58"/>
  <c r="L3361" i="58"/>
  <c r="J3361" i="58"/>
  <c r="O3360" i="58"/>
  <c r="P3360" i="58" s="1"/>
  <c r="K3360" i="58"/>
  <c r="L3360" i="58" s="1"/>
  <c r="O3359" i="58"/>
  <c r="P3359" i="58" s="1"/>
  <c r="O3358" i="58"/>
  <c r="P3358" i="58" s="1"/>
  <c r="Q3358" i="58" s="1"/>
  <c r="N3358" i="58"/>
  <c r="L3358" i="58"/>
  <c r="J3358" i="58"/>
  <c r="O3357" i="58"/>
  <c r="P3357" i="58" s="1"/>
  <c r="K3357" i="58"/>
  <c r="L3357" i="58" s="1"/>
  <c r="L3355" i="58" s="1"/>
  <c r="O3356" i="58"/>
  <c r="P3356" i="58" s="1"/>
  <c r="O3355" i="58"/>
  <c r="P3355" i="58" s="1"/>
  <c r="Q3355" i="58" s="1"/>
  <c r="N3355" i="58"/>
  <c r="J3355" i="58"/>
  <c r="O3354" i="58"/>
  <c r="P3354" i="58" s="1"/>
  <c r="K3354" i="58"/>
  <c r="L3354" i="58" s="1"/>
  <c r="L3352" i="58" s="1"/>
  <c r="P3353" i="58"/>
  <c r="O3353" i="58"/>
  <c r="O3352" i="58"/>
  <c r="P3352" i="58" s="1"/>
  <c r="Q3352" i="58" s="1"/>
  <c r="N3352" i="58"/>
  <c r="J3352" i="58"/>
  <c r="O3351" i="58"/>
  <c r="P3351" i="58" s="1"/>
  <c r="K3351" i="58"/>
  <c r="L3351" i="58" s="1"/>
  <c r="L3349" i="58" s="1"/>
  <c r="O3350" i="58"/>
  <c r="P3350" i="58" s="1"/>
  <c r="O3349" i="58"/>
  <c r="P3349" i="58" s="1"/>
  <c r="Q3349" i="58" s="1"/>
  <c r="N3349" i="58"/>
  <c r="J3349" i="58"/>
  <c r="O3348" i="58"/>
  <c r="P3348" i="58" s="1"/>
  <c r="K3348" i="58"/>
  <c r="L3348" i="58" s="1"/>
  <c r="L3346" i="58" s="1"/>
  <c r="P3347" i="58"/>
  <c r="O3347" i="58"/>
  <c r="O3346" i="58"/>
  <c r="P3346" i="58" s="1"/>
  <c r="Q3346" i="58" s="1"/>
  <c r="N3346" i="58"/>
  <c r="J3346" i="58"/>
  <c r="O3345" i="58"/>
  <c r="P3345" i="58" s="1"/>
  <c r="K3345" i="58"/>
  <c r="L3345" i="58" s="1"/>
  <c r="L3343" i="58" s="1"/>
  <c r="O3344" i="58"/>
  <c r="P3344" i="58" s="1"/>
  <c r="O3343" i="58"/>
  <c r="P3343" i="58" s="1"/>
  <c r="Q3343" i="58" s="1"/>
  <c r="N3343" i="58"/>
  <c r="J3343" i="58"/>
  <c r="O3342" i="58"/>
  <c r="P3342" i="58" s="1"/>
  <c r="K3342" i="58"/>
  <c r="L3342" i="58" s="1"/>
  <c r="L3340" i="58" s="1"/>
  <c r="O3341" i="58"/>
  <c r="P3341" i="58" s="1"/>
  <c r="P3340" i="58"/>
  <c r="Q3340" i="58" s="1"/>
  <c r="O3340" i="58"/>
  <c r="N3340" i="58"/>
  <c r="J3340" i="58"/>
  <c r="O3339" i="58"/>
  <c r="P3339" i="58" s="1"/>
  <c r="K3339" i="58"/>
  <c r="L3339" i="58" s="1"/>
  <c r="L3337" i="58" s="1"/>
  <c r="O3338" i="58"/>
  <c r="P3338" i="58" s="1"/>
  <c r="O3337" i="58"/>
  <c r="P3337" i="58" s="1"/>
  <c r="Q3337" i="58" s="1"/>
  <c r="N3337" i="58"/>
  <c r="J3337" i="58"/>
  <c r="O3336" i="58"/>
  <c r="P3336" i="58" s="1"/>
  <c r="K3336" i="58"/>
  <c r="L3336" i="58" s="1"/>
  <c r="L3334" i="58" s="1"/>
  <c r="O3335" i="58"/>
  <c r="P3335" i="58" s="1"/>
  <c r="P3334" i="58"/>
  <c r="Q3334" i="58" s="1"/>
  <c r="O3334" i="58"/>
  <c r="N3334" i="58"/>
  <c r="J3334" i="58"/>
  <c r="O3333" i="58"/>
  <c r="P3333" i="58" s="1"/>
  <c r="K3333" i="58"/>
  <c r="L3333" i="58" s="1"/>
  <c r="L3331" i="58" s="1"/>
  <c r="P3332" i="58"/>
  <c r="O3332" i="58"/>
  <c r="P3331" i="58"/>
  <c r="Q3331" i="58" s="1"/>
  <c r="O3331" i="58"/>
  <c r="N3331" i="58"/>
  <c r="J3331" i="58"/>
  <c r="O3330" i="58"/>
  <c r="P3330" i="58" s="1"/>
  <c r="K3330" i="58"/>
  <c r="L3330" i="58" s="1"/>
  <c r="L3328" i="58" s="1"/>
  <c r="O3329" i="58"/>
  <c r="P3329" i="58" s="1"/>
  <c r="Q3328" i="58"/>
  <c r="P3328" i="58"/>
  <c r="O3328" i="58"/>
  <c r="N3328" i="58"/>
  <c r="J3328" i="58"/>
  <c r="O3327" i="58"/>
  <c r="P3327" i="58" s="1"/>
  <c r="K3327" i="58"/>
  <c r="L3327" i="58" s="1"/>
  <c r="L3325" i="58" s="1"/>
  <c r="P3326" i="58"/>
  <c r="O3326" i="58"/>
  <c r="Q3325" i="58"/>
  <c r="O3325" i="58"/>
  <c r="P3325" i="58" s="1"/>
  <c r="N3325" i="58"/>
  <c r="J3325" i="58"/>
  <c r="O3324" i="58"/>
  <c r="P3324" i="58" s="1"/>
  <c r="K3324" i="58"/>
  <c r="L3324" i="58" s="1"/>
  <c r="L3322" i="58" s="1"/>
  <c r="O3323" i="58"/>
  <c r="P3323" i="58" s="1"/>
  <c r="Q3322" i="58"/>
  <c r="P3322" i="58"/>
  <c r="O3322" i="58"/>
  <c r="N3322" i="58"/>
  <c r="J3322" i="58"/>
  <c r="P3321" i="58"/>
  <c r="O3321" i="58"/>
  <c r="K3321" i="58"/>
  <c r="L3321" i="58" s="1"/>
  <c r="L3319" i="58" s="1"/>
  <c r="O3320" i="58"/>
  <c r="P3320" i="58" s="1"/>
  <c r="P3319" i="58"/>
  <c r="Q3319" i="58" s="1"/>
  <c r="O3319" i="58"/>
  <c r="N3319" i="58"/>
  <c r="J3319" i="58"/>
  <c r="O3318" i="58"/>
  <c r="P3318" i="58" s="1"/>
  <c r="K3318" i="58"/>
  <c r="L3318" i="58" s="1"/>
  <c r="L3316" i="58" s="1"/>
  <c r="O3317" i="58"/>
  <c r="P3317" i="58" s="1"/>
  <c r="Q3316" i="58"/>
  <c r="P3316" i="58"/>
  <c r="O3316" i="58"/>
  <c r="N3316" i="58"/>
  <c r="J3316" i="58"/>
  <c r="O3315" i="58"/>
  <c r="P3315" i="58" s="1"/>
  <c r="K3315" i="58"/>
  <c r="L3315" i="58" s="1"/>
  <c r="L3313" i="58" s="1"/>
  <c r="P3314" i="58"/>
  <c r="O3314" i="58"/>
  <c r="Q3313" i="58"/>
  <c r="O3313" i="58"/>
  <c r="P3313" i="58" s="1"/>
  <c r="N3313" i="58"/>
  <c r="J3313" i="58"/>
  <c r="O3312" i="58"/>
  <c r="P3312" i="58" s="1"/>
  <c r="Q3312" i="58" s="1"/>
  <c r="R3312" i="58" s="1"/>
  <c r="K3312" i="58"/>
  <c r="L3312" i="58" s="1"/>
  <c r="L3310" i="58" s="1"/>
  <c r="O3311" i="58"/>
  <c r="P3311" i="58" s="1"/>
  <c r="P3310" i="58"/>
  <c r="Q3310" i="58" s="1"/>
  <c r="O3310" i="58"/>
  <c r="N3310" i="58"/>
  <c r="J3310" i="58"/>
  <c r="P3309" i="58"/>
  <c r="O3309" i="58"/>
  <c r="K3309" i="58"/>
  <c r="L3309" i="58" s="1"/>
  <c r="L3307" i="58" s="1"/>
  <c r="O3308" i="58"/>
  <c r="P3308" i="58" s="1"/>
  <c r="Q3307" i="58"/>
  <c r="O3307" i="58"/>
  <c r="P3307" i="58" s="1"/>
  <c r="N3307" i="58"/>
  <c r="J3307" i="58"/>
  <c r="O3306" i="58"/>
  <c r="P3306" i="58" s="1"/>
  <c r="Q3306" i="58" s="1"/>
  <c r="R3306" i="58" s="1"/>
  <c r="K3306" i="58"/>
  <c r="L3306" i="58" s="1"/>
  <c r="L3304" i="58" s="1"/>
  <c r="P3305" i="58"/>
  <c r="O3305" i="58"/>
  <c r="O3304" i="58"/>
  <c r="P3304" i="58" s="1"/>
  <c r="Q3304" i="58" s="1"/>
  <c r="N3304" i="58"/>
  <c r="J3304" i="58"/>
  <c r="O3303" i="58"/>
  <c r="P3303" i="58" s="1"/>
  <c r="K3303" i="58"/>
  <c r="L3303" i="58" s="1"/>
  <c r="L3301" i="58" s="1"/>
  <c r="O3302" i="58"/>
  <c r="P3302" i="58" s="1"/>
  <c r="O3301" i="58"/>
  <c r="P3301" i="58" s="1"/>
  <c r="Q3301" i="58" s="1"/>
  <c r="N3301" i="58"/>
  <c r="J3301" i="58"/>
  <c r="O3300" i="58"/>
  <c r="P3300" i="58" s="1"/>
  <c r="K3300" i="58"/>
  <c r="L3300" i="58" s="1"/>
  <c r="L3298" i="58" s="1"/>
  <c r="O3299" i="58"/>
  <c r="P3299" i="58" s="1"/>
  <c r="O3298" i="58"/>
  <c r="P3298" i="58" s="1"/>
  <c r="Q3298" i="58" s="1"/>
  <c r="N3298" i="58"/>
  <c r="J3298" i="58"/>
  <c r="O3297" i="58"/>
  <c r="P3297" i="58" s="1"/>
  <c r="K3297" i="58"/>
  <c r="L3297" i="58" s="1"/>
  <c r="L3295" i="58" s="1"/>
  <c r="P3296" i="58"/>
  <c r="O3296" i="58"/>
  <c r="O3295" i="58"/>
  <c r="P3295" i="58" s="1"/>
  <c r="Q3295" i="58" s="1"/>
  <c r="N3295" i="58"/>
  <c r="J3295" i="58"/>
  <c r="P3294" i="58"/>
  <c r="Q3294" i="58" s="1"/>
  <c r="O3294" i="58"/>
  <c r="K3294" i="58"/>
  <c r="L3294" i="58" s="1"/>
  <c r="L3292" i="58" s="1"/>
  <c r="O3293" i="58"/>
  <c r="P3293" i="58" s="1"/>
  <c r="O3292" i="58"/>
  <c r="P3292" i="58" s="1"/>
  <c r="Q3292" i="58" s="1"/>
  <c r="N3292" i="58"/>
  <c r="J3292" i="58"/>
  <c r="O3291" i="58"/>
  <c r="P3291" i="58" s="1"/>
  <c r="K3291" i="58"/>
  <c r="L3291" i="58" s="1"/>
  <c r="L3289" i="58" s="1"/>
  <c r="P3290" i="58"/>
  <c r="O3290" i="58"/>
  <c r="O3289" i="58"/>
  <c r="P3289" i="58" s="1"/>
  <c r="Q3289" i="58" s="1"/>
  <c r="N3289" i="58"/>
  <c r="J3289" i="58"/>
  <c r="P3288" i="58"/>
  <c r="O3288" i="58"/>
  <c r="K3288" i="58"/>
  <c r="L3288" i="58" s="1"/>
  <c r="L3286" i="58" s="1"/>
  <c r="P3287" i="58"/>
  <c r="O3287" i="58"/>
  <c r="O3286" i="58"/>
  <c r="P3286" i="58" s="1"/>
  <c r="Q3286" i="58" s="1"/>
  <c r="N3286" i="58"/>
  <c r="J3286" i="58"/>
  <c r="O3285" i="58"/>
  <c r="P3285" i="58" s="1"/>
  <c r="Q3285" i="58" s="1"/>
  <c r="K3285" i="58"/>
  <c r="L3285" i="58" s="1"/>
  <c r="L3283" i="58" s="1"/>
  <c r="P3284" i="58"/>
  <c r="O3284" i="58"/>
  <c r="O3283" i="58"/>
  <c r="P3283" i="58" s="1"/>
  <c r="Q3283" i="58" s="1"/>
  <c r="N3283" i="58"/>
  <c r="J3283" i="58"/>
  <c r="P3282" i="58"/>
  <c r="O3282" i="58"/>
  <c r="K3282" i="58"/>
  <c r="L3282" i="58" s="1"/>
  <c r="L3280" i="58" s="1"/>
  <c r="P3281" i="58"/>
  <c r="O3281" i="58"/>
  <c r="O3280" i="58"/>
  <c r="P3280" i="58" s="1"/>
  <c r="Q3280" i="58" s="1"/>
  <c r="N3280" i="58"/>
  <c r="J3280" i="58"/>
  <c r="O3279" i="58"/>
  <c r="P3279" i="58" s="1"/>
  <c r="Q3279" i="58" s="1"/>
  <c r="K3279" i="58"/>
  <c r="L3279" i="58" s="1"/>
  <c r="L3277" i="58" s="1"/>
  <c r="P3278" i="58"/>
  <c r="O3278" i="58"/>
  <c r="O3277" i="58"/>
  <c r="P3277" i="58" s="1"/>
  <c r="Q3277" i="58" s="1"/>
  <c r="N3277" i="58"/>
  <c r="J3277" i="58"/>
  <c r="P3276" i="58"/>
  <c r="O3276" i="58"/>
  <c r="L3276" i="58"/>
  <c r="L3274" i="58" s="1"/>
  <c r="K3276" i="58"/>
  <c r="O3275" i="58"/>
  <c r="P3275" i="58" s="1"/>
  <c r="O3274" i="58"/>
  <c r="P3274" i="58" s="1"/>
  <c r="Q3274" i="58" s="1"/>
  <c r="N3274" i="58"/>
  <c r="J3274" i="58"/>
  <c r="O3273" i="58"/>
  <c r="P3273" i="58" s="1"/>
  <c r="Q3273" i="58" s="1"/>
  <c r="K3273" i="58"/>
  <c r="L3273" i="58" s="1"/>
  <c r="L3271" i="58" s="1"/>
  <c r="P3272" i="58"/>
  <c r="O3272" i="58"/>
  <c r="O3271" i="58"/>
  <c r="P3271" i="58" s="1"/>
  <c r="Q3271" i="58" s="1"/>
  <c r="N3271" i="58"/>
  <c r="J3271" i="58"/>
  <c r="O3270" i="58"/>
  <c r="P3270" i="58" s="1"/>
  <c r="K3270" i="58"/>
  <c r="L3270" i="58" s="1"/>
  <c r="L3268" i="58" s="1"/>
  <c r="O3269" i="58"/>
  <c r="P3269" i="58" s="1"/>
  <c r="O3268" i="58"/>
  <c r="P3268" i="58" s="1"/>
  <c r="Q3268" i="58" s="1"/>
  <c r="N3268" i="58"/>
  <c r="J3268" i="58"/>
  <c r="O3267" i="58"/>
  <c r="P3267" i="58" s="1"/>
  <c r="Q3267" i="58" s="1"/>
  <c r="R3267" i="58" s="1"/>
  <c r="K3267" i="58"/>
  <c r="L3267" i="58" s="1"/>
  <c r="L3265" i="58" s="1"/>
  <c r="O3266" i="58"/>
  <c r="P3266" i="58" s="1"/>
  <c r="Q3266" i="58" s="1"/>
  <c r="R3266" i="58" s="1"/>
  <c r="Q3265" i="58"/>
  <c r="O3265" i="58"/>
  <c r="P3265" i="58" s="1"/>
  <c r="N3265" i="58"/>
  <c r="J3265" i="58"/>
  <c r="O3264" i="58"/>
  <c r="P3264" i="58" s="1"/>
  <c r="K3264" i="58"/>
  <c r="L3264" i="58" s="1"/>
  <c r="L3262" i="58" s="1"/>
  <c r="O3263" i="58"/>
  <c r="P3263" i="58" s="1"/>
  <c r="O3262" i="58"/>
  <c r="P3262" i="58" s="1"/>
  <c r="Q3262" i="58" s="1"/>
  <c r="N3262" i="58"/>
  <c r="J3262" i="58"/>
  <c r="O3261" i="58"/>
  <c r="P3261" i="58" s="1"/>
  <c r="Q3261" i="58" s="1"/>
  <c r="R3261" i="58" s="1"/>
  <c r="K3261" i="58"/>
  <c r="L3261" i="58" s="1"/>
  <c r="L3259" i="58" s="1"/>
  <c r="O3260" i="58"/>
  <c r="P3260" i="58" s="1"/>
  <c r="O3259" i="58"/>
  <c r="P3259" i="58" s="1"/>
  <c r="Q3259" i="58" s="1"/>
  <c r="N3259" i="58"/>
  <c r="J3259" i="58"/>
  <c r="O3258" i="58"/>
  <c r="P3258" i="58" s="1"/>
  <c r="L3258" i="58"/>
  <c r="L3256" i="58" s="1"/>
  <c r="K3258" i="58"/>
  <c r="P3257" i="58"/>
  <c r="O3257" i="58"/>
  <c r="P3256" i="58"/>
  <c r="Q3256" i="58" s="1"/>
  <c r="O3256" i="58"/>
  <c r="N3256" i="58"/>
  <c r="J3256" i="58"/>
  <c r="O3255" i="58"/>
  <c r="P3255" i="58" s="1"/>
  <c r="K3255" i="58"/>
  <c r="L3255" i="58" s="1"/>
  <c r="L3253" i="58" s="1"/>
  <c r="O3254" i="58"/>
  <c r="P3254" i="58" s="1"/>
  <c r="O3253" i="58"/>
  <c r="P3253" i="58" s="1"/>
  <c r="Q3253" i="58" s="1"/>
  <c r="N3253" i="58"/>
  <c r="J3253" i="58"/>
  <c r="O3252" i="58"/>
  <c r="P3252" i="58" s="1"/>
  <c r="L3252" i="58"/>
  <c r="L3250" i="58" s="1"/>
  <c r="K3252" i="58"/>
  <c r="O3251" i="58"/>
  <c r="P3251" i="58" s="1"/>
  <c r="O3250" i="58"/>
  <c r="P3250" i="58" s="1"/>
  <c r="Q3250" i="58" s="1"/>
  <c r="N3250" i="58"/>
  <c r="J3250" i="58"/>
  <c r="O3249" i="58"/>
  <c r="P3249" i="58" s="1"/>
  <c r="K3249" i="58"/>
  <c r="L3249" i="58" s="1"/>
  <c r="L3247" i="58" s="1"/>
  <c r="O3248" i="58"/>
  <c r="P3248" i="58" s="1"/>
  <c r="O3247" i="58"/>
  <c r="P3247" i="58" s="1"/>
  <c r="Q3247" i="58" s="1"/>
  <c r="N3247" i="58"/>
  <c r="J3247" i="58"/>
  <c r="O3246" i="58"/>
  <c r="P3246" i="58" s="1"/>
  <c r="Q3246" i="58" s="1"/>
  <c r="R3246" i="58" s="1"/>
  <c r="K3246" i="58"/>
  <c r="L3246" i="58" s="1"/>
  <c r="L3244" i="58" s="1"/>
  <c r="O3245" i="58"/>
  <c r="P3245" i="58" s="1"/>
  <c r="O3244" i="58"/>
  <c r="P3244" i="58" s="1"/>
  <c r="Q3244" i="58" s="1"/>
  <c r="N3244" i="58"/>
  <c r="J3244" i="58"/>
  <c r="O3243" i="58"/>
  <c r="P3243" i="58" s="1"/>
  <c r="Q3243" i="58" s="1"/>
  <c r="R3243" i="58" s="1"/>
  <c r="K3243" i="58"/>
  <c r="L3243" i="58" s="1"/>
  <c r="L3241" i="58" s="1"/>
  <c r="O3242" i="58"/>
  <c r="P3242" i="58" s="1"/>
  <c r="P3241" i="58"/>
  <c r="Q3241" i="58" s="1"/>
  <c r="O3241" i="58"/>
  <c r="N3241" i="58"/>
  <c r="J3241" i="58"/>
  <c r="O3240" i="58"/>
  <c r="P3240" i="58" s="1"/>
  <c r="Q3240" i="58" s="1"/>
  <c r="R3240" i="58" s="1"/>
  <c r="K3240" i="58"/>
  <c r="L3240" i="58" s="1"/>
  <c r="L3238" i="58" s="1"/>
  <c r="O3239" i="58"/>
  <c r="P3239" i="58" s="1"/>
  <c r="P3238" i="58"/>
  <c r="Q3238" i="58" s="1"/>
  <c r="O3238" i="58"/>
  <c r="N3238" i="58"/>
  <c r="J3238" i="58"/>
  <c r="O3237" i="58"/>
  <c r="P3237" i="58" s="1"/>
  <c r="L3237" i="58"/>
  <c r="K3237" i="58"/>
  <c r="O3236" i="58"/>
  <c r="P3236" i="58" s="1"/>
  <c r="O3235" i="58"/>
  <c r="P3235" i="58" s="1"/>
  <c r="Q3235" i="58" s="1"/>
  <c r="N3235" i="58"/>
  <c r="L3235" i="58"/>
  <c r="J3235" i="58"/>
  <c r="P3234" i="58"/>
  <c r="O3234" i="58"/>
  <c r="K3234" i="58"/>
  <c r="L3234" i="58" s="1"/>
  <c r="L3232" i="58" s="1"/>
  <c r="O3233" i="58"/>
  <c r="P3233" i="58" s="1"/>
  <c r="O3232" i="58"/>
  <c r="P3232" i="58" s="1"/>
  <c r="Q3232" i="58" s="1"/>
  <c r="N3232" i="58"/>
  <c r="J3232" i="58"/>
  <c r="O3231" i="58"/>
  <c r="P3231" i="58" s="1"/>
  <c r="K3231" i="58"/>
  <c r="L3231" i="58" s="1"/>
  <c r="L3229" i="58" s="1"/>
  <c r="O3230" i="58"/>
  <c r="P3230" i="58" s="1"/>
  <c r="O3229" i="58"/>
  <c r="P3229" i="58" s="1"/>
  <c r="Q3229" i="58" s="1"/>
  <c r="N3229" i="58"/>
  <c r="J3229" i="58"/>
  <c r="Q3228" i="58"/>
  <c r="R3228" i="58" s="1"/>
  <c r="O3228" i="58"/>
  <c r="P3228" i="58" s="1"/>
  <c r="K3228" i="58"/>
  <c r="L3228" i="58" s="1"/>
  <c r="L3226" i="58" s="1"/>
  <c r="O3227" i="58"/>
  <c r="P3227" i="58" s="1"/>
  <c r="P3226" i="58"/>
  <c r="Q3226" i="58" s="1"/>
  <c r="O3226" i="58"/>
  <c r="N3226" i="58"/>
  <c r="J3226" i="58"/>
  <c r="P3225" i="58"/>
  <c r="O3225" i="58"/>
  <c r="K3225" i="58"/>
  <c r="L3225" i="58" s="1"/>
  <c r="L3223" i="58" s="1"/>
  <c r="O3224" i="58"/>
  <c r="P3224" i="58" s="1"/>
  <c r="O3223" i="58"/>
  <c r="P3223" i="58" s="1"/>
  <c r="Q3223" i="58" s="1"/>
  <c r="N3223" i="58"/>
  <c r="J3223" i="58"/>
  <c r="O3222" i="58"/>
  <c r="P3222" i="58" s="1"/>
  <c r="K3222" i="58"/>
  <c r="L3222" i="58" s="1"/>
  <c r="L3220" i="58" s="1"/>
  <c r="P3221" i="58"/>
  <c r="O3221" i="58"/>
  <c r="O3220" i="58"/>
  <c r="P3220" i="58" s="1"/>
  <c r="Q3220" i="58" s="1"/>
  <c r="N3220" i="58"/>
  <c r="J3220" i="58"/>
  <c r="O3219" i="58"/>
  <c r="P3219" i="58" s="1"/>
  <c r="K3219" i="58"/>
  <c r="L3219" i="58" s="1"/>
  <c r="L3217" i="58" s="1"/>
  <c r="O3218" i="58"/>
  <c r="P3218" i="58" s="1"/>
  <c r="Q3217" i="58"/>
  <c r="O3217" i="58"/>
  <c r="P3217" i="58" s="1"/>
  <c r="N3217" i="58"/>
  <c r="J3217" i="58"/>
  <c r="O3216" i="58"/>
  <c r="P3216" i="58" s="1"/>
  <c r="K3216" i="58"/>
  <c r="L3216" i="58" s="1"/>
  <c r="P3215" i="58"/>
  <c r="O3215" i="58"/>
  <c r="O3214" i="58"/>
  <c r="P3214" i="58" s="1"/>
  <c r="Q3214" i="58" s="1"/>
  <c r="N3214" i="58"/>
  <c r="L3214" i="58"/>
  <c r="J3214" i="58"/>
  <c r="O3213" i="58"/>
  <c r="P3213" i="58" s="1"/>
  <c r="Q3213" i="58" s="1"/>
  <c r="R3213" i="58" s="1"/>
  <c r="K3213" i="58"/>
  <c r="L3213" i="58" s="1"/>
  <c r="L3211" i="58" s="1"/>
  <c r="O3212" i="58"/>
  <c r="P3212" i="58" s="1"/>
  <c r="O3211" i="58"/>
  <c r="P3211" i="58" s="1"/>
  <c r="Q3211" i="58" s="1"/>
  <c r="N3211" i="58"/>
  <c r="J3211" i="58"/>
  <c r="O3210" i="58"/>
  <c r="P3210" i="58" s="1"/>
  <c r="K3210" i="58"/>
  <c r="L3210" i="58" s="1"/>
  <c r="L3208" i="58" s="1"/>
  <c r="P3209" i="58"/>
  <c r="O3209" i="58"/>
  <c r="O3208" i="58"/>
  <c r="P3208" i="58" s="1"/>
  <c r="Q3208" i="58" s="1"/>
  <c r="N3208" i="58"/>
  <c r="J3208" i="58"/>
  <c r="O3207" i="58"/>
  <c r="P3207" i="58" s="1"/>
  <c r="K3207" i="58"/>
  <c r="L3207" i="58" s="1"/>
  <c r="L3205" i="58" s="1"/>
  <c r="O3206" i="58"/>
  <c r="P3206" i="58" s="1"/>
  <c r="O3205" i="58"/>
  <c r="P3205" i="58" s="1"/>
  <c r="Q3205" i="58" s="1"/>
  <c r="N3205" i="58"/>
  <c r="J3205" i="58"/>
  <c r="O3204" i="58"/>
  <c r="P3204" i="58" s="1"/>
  <c r="K3204" i="58"/>
  <c r="L3204" i="58" s="1"/>
  <c r="L3202" i="58" s="1"/>
  <c r="P3203" i="58"/>
  <c r="O3203" i="58"/>
  <c r="Q3202" i="58"/>
  <c r="O3202" i="58"/>
  <c r="P3202" i="58" s="1"/>
  <c r="N3202" i="58"/>
  <c r="J3202" i="58"/>
  <c r="O3201" i="58"/>
  <c r="P3201" i="58" s="1"/>
  <c r="K3201" i="58"/>
  <c r="L3201" i="58" s="1"/>
  <c r="L3199" i="58" s="1"/>
  <c r="O3200" i="58"/>
  <c r="P3200" i="58" s="1"/>
  <c r="O3199" i="58"/>
  <c r="P3199" i="58" s="1"/>
  <c r="Q3199" i="58" s="1"/>
  <c r="N3199" i="58"/>
  <c r="J3199" i="58"/>
  <c r="O3198" i="58"/>
  <c r="P3198" i="58" s="1"/>
  <c r="K3198" i="58"/>
  <c r="L3198" i="58" s="1"/>
  <c r="L3196" i="58" s="1"/>
  <c r="P3197" i="58"/>
  <c r="O3197" i="58"/>
  <c r="Q3196" i="58"/>
  <c r="O3196" i="58"/>
  <c r="P3196" i="58" s="1"/>
  <c r="N3196" i="58"/>
  <c r="J3196" i="58"/>
  <c r="O3195" i="58"/>
  <c r="P3195" i="58" s="1"/>
  <c r="K3195" i="58"/>
  <c r="L3195" i="58" s="1"/>
  <c r="L3193" i="58" s="1"/>
  <c r="O3194" i="58"/>
  <c r="P3194" i="58" s="1"/>
  <c r="O3193" i="58"/>
  <c r="P3193" i="58" s="1"/>
  <c r="Q3193" i="58" s="1"/>
  <c r="N3193" i="58"/>
  <c r="J3193" i="58"/>
  <c r="O3192" i="58"/>
  <c r="P3192" i="58" s="1"/>
  <c r="K3192" i="58"/>
  <c r="L3192" i="58" s="1"/>
  <c r="L3190" i="58" s="1"/>
  <c r="O3191" i="58"/>
  <c r="P3191" i="58" s="1"/>
  <c r="P3190" i="58"/>
  <c r="Q3190" i="58" s="1"/>
  <c r="O3190" i="58"/>
  <c r="N3190" i="58"/>
  <c r="J3190" i="58"/>
  <c r="O3189" i="58"/>
  <c r="P3189" i="58" s="1"/>
  <c r="K3189" i="58"/>
  <c r="L3189" i="58" s="1"/>
  <c r="L3187" i="58" s="1"/>
  <c r="O3188" i="58"/>
  <c r="P3188" i="58" s="1"/>
  <c r="O3187" i="58"/>
  <c r="P3187" i="58" s="1"/>
  <c r="Q3187" i="58" s="1"/>
  <c r="N3187" i="58"/>
  <c r="J3187" i="58"/>
  <c r="O3186" i="58"/>
  <c r="P3186" i="58" s="1"/>
  <c r="K3186" i="58"/>
  <c r="L3186" i="58" s="1"/>
  <c r="L3184" i="58" s="1"/>
  <c r="O3185" i="58"/>
  <c r="P3185" i="58" s="1"/>
  <c r="O3184" i="58"/>
  <c r="P3184" i="58" s="1"/>
  <c r="Q3184" i="58" s="1"/>
  <c r="N3184" i="58"/>
  <c r="J3184" i="58"/>
  <c r="O3183" i="58"/>
  <c r="P3183" i="58" s="1"/>
  <c r="Q3183" i="58" s="1"/>
  <c r="R3183" i="58" s="1"/>
  <c r="K3183" i="58"/>
  <c r="L3183" i="58" s="1"/>
  <c r="L3181" i="58" s="1"/>
  <c r="O3182" i="58"/>
  <c r="P3182" i="58" s="1"/>
  <c r="Q3182" i="58" s="1"/>
  <c r="R3182" i="58" s="1"/>
  <c r="O3181" i="58"/>
  <c r="P3181" i="58" s="1"/>
  <c r="Q3181" i="58" s="1"/>
  <c r="N3181" i="58"/>
  <c r="J3181" i="58"/>
  <c r="O3180" i="58"/>
  <c r="P3180" i="58" s="1"/>
  <c r="K3180" i="58"/>
  <c r="L3180" i="58" s="1"/>
  <c r="L3178" i="58" s="1"/>
  <c r="P3179" i="58"/>
  <c r="O3179" i="58"/>
  <c r="Q3178" i="58"/>
  <c r="O3178" i="58"/>
  <c r="P3178" i="58" s="1"/>
  <c r="N3178" i="58"/>
  <c r="J3178" i="58"/>
  <c r="O3177" i="58"/>
  <c r="P3177" i="58" s="1"/>
  <c r="K3177" i="58"/>
  <c r="L3177" i="58" s="1"/>
  <c r="L3175" i="58" s="1"/>
  <c r="O3176" i="58"/>
  <c r="P3176" i="58" s="1"/>
  <c r="P3175" i="58"/>
  <c r="Q3175" i="58" s="1"/>
  <c r="O3175" i="58"/>
  <c r="N3175" i="58"/>
  <c r="J3175" i="58"/>
  <c r="P3174" i="58"/>
  <c r="O3174" i="58"/>
  <c r="K3174" i="58"/>
  <c r="L3174" i="58" s="1"/>
  <c r="L3172" i="58" s="1"/>
  <c r="O3173" i="58"/>
  <c r="P3173" i="58" s="1"/>
  <c r="O3172" i="58"/>
  <c r="P3172" i="58" s="1"/>
  <c r="Q3172" i="58" s="1"/>
  <c r="Q3171" i="58" s="1"/>
  <c r="R3171" i="58" s="1"/>
  <c r="N3172" i="58"/>
  <c r="J3172" i="58"/>
  <c r="O3171" i="58"/>
  <c r="P3171" i="58" s="1"/>
  <c r="K3171" i="58"/>
  <c r="L3171" i="58" s="1"/>
  <c r="L3169" i="58" s="1"/>
  <c r="O3170" i="58"/>
  <c r="P3170" i="58" s="1"/>
  <c r="Q3169" i="58"/>
  <c r="O3169" i="58"/>
  <c r="P3169" i="58" s="1"/>
  <c r="N3169" i="58"/>
  <c r="J3169" i="58"/>
  <c r="O3168" i="58"/>
  <c r="P3168" i="58" s="1"/>
  <c r="K3168" i="58"/>
  <c r="L3168" i="58" s="1"/>
  <c r="L3166" i="58" s="1"/>
  <c r="O3167" i="58"/>
  <c r="P3167" i="58" s="1"/>
  <c r="O3166" i="58"/>
  <c r="P3166" i="58" s="1"/>
  <c r="Q3166" i="58" s="1"/>
  <c r="N3166" i="58"/>
  <c r="J3166" i="58"/>
  <c r="O3165" i="58"/>
  <c r="P3165" i="58" s="1"/>
  <c r="Q3165" i="58" s="1"/>
  <c r="K3165" i="58"/>
  <c r="L3165" i="58" s="1"/>
  <c r="L3163" i="58" s="1"/>
  <c r="P3164" i="58"/>
  <c r="O3164" i="58"/>
  <c r="O3163" i="58"/>
  <c r="P3163" i="58" s="1"/>
  <c r="Q3163" i="58" s="1"/>
  <c r="N3163" i="58"/>
  <c r="J3163" i="58"/>
  <c r="O3162" i="58"/>
  <c r="P3162" i="58" s="1"/>
  <c r="Q3162" i="58" s="1"/>
  <c r="R3162" i="58" s="1"/>
  <c r="K3162" i="58"/>
  <c r="L3162" i="58" s="1"/>
  <c r="L3160" i="58" s="1"/>
  <c r="O3161" i="58"/>
  <c r="P3161" i="58" s="1"/>
  <c r="Q3161" i="58" s="1"/>
  <c r="O3160" i="58"/>
  <c r="P3160" i="58" s="1"/>
  <c r="Q3160" i="58" s="1"/>
  <c r="N3160" i="58"/>
  <c r="J3160" i="58"/>
  <c r="O3159" i="58"/>
  <c r="P3159" i="58" s="1"/>
  <c r="K3159" i="58"/>
  <c r="L3159" i="58" s="1"/>
  <c r="L3157" i="58" s="1"/>
  <c r="O3158" i="58"/>
  <c r="P3158" i="58" s="1"/>
  <c r="Q3157" i="58"/>
  <c r="O3157" i="58"/>
  <c r="P3157" i="58" s="1"/>
  <c r="N3157" i="58"/>
  <c r="J3157" i="58"/>
  <c r="O3156" i="58"/>
  <c r="P3156" i="58" s="1"/>
  <c r="Q3156" i="58" s="1"/>
  <c r="R3156" i="58" s="1"/>
  <c r="K3156" i="58"/>
  <c r="L3156" i="58" s="1"/>
  <c r="L3154" i="58" s="1"/>
  <c r="O3155" i="58"/>
  <c r="P3155" i="58" s="1"/>
  <c r="Q3154" i="58"/>
  <c r="P3154" i="58"/>
  <c r="O3154" i="58"/>
  <c r="N3154" i="58"/>
  <c r="J3154" i="58"/>
  <c r="O3153" i="58"/>
  <c r="P3153" i="58" s="1"/>
  <c r="Q3153" i="58" s="1"/>
  <c r="R3153" i="58" s="1"/>
  <c r="K3153" i="58"/>
  <c r="L3153" i="58" s="1"/>
  <c r="L3151" i="58" s="1"/>
  <c r="O3152" i="58"/>
  <c r="P3152" i="58" s="1"/>
  <c r="O3151" i="58"/>
  <c r="P3151" i="58" s="1"/>
  <c r="Q3151" i="58" s="1"/>
  <c r="N3151" i="58"/>
  <c r="J3151" i="58"/>
  <c r="O3150" i="58"/>
  <c r="P3150" i="58" s="1"/>
  <c r="L3150" i="58"/>
  <c r="L3148" i="58" s="1"/>
  <c r="K3150" i="58"/>
  <c r="P3149" i="58"/>
  <c r="O3149" i="58"/>
  <c r="O3148" i="58"/>
  <c r="P3148" i="58" s="1"/>
  <c r="Q3148" i="58" s="1"/>
  <c r="N3148" i="58"/>
  <c r="J3148" i="58"/>
  <c r="P3147" i="58"/>
  <c r="Q3147" i="58" s="1"/>
  <c r="R3147" i="58" s="1"/>
  <c r="O3147" i="58"/>
  <c r="K3147" i="58"/>
  <c r="L3147" i="58" s="1"/>
  <c r="L3145" i="58" s="1"/>
  <c r="O3146" i="58"/>
  <c r="P3146" i="58" s="1"/>
  <c r="O3145" i="58"/>
  <c r="P3145" i="58" s="1"/>
  <c r="Q3145" i="58" s="1"/>
  <c r="N3145" i="58"/>
  <c r="J3145" i="58"/>
  <c r="P3143" i="58"/>
  <c r="N3143" i="58"/>
  <c r="P3142" i="58"/>
  <c r="O3141" i="58"/>
  <c r="P3141" i="58" s="1"/>
  <c r="L3141" i="58"/>
  <c r="L3136" i="58" s="1"/>
  <c r="O3140" i="58"/>
  <c r="P3140" i="58" s="1"/>
  <c r="O3139" i="58"/>
  <c r="P3139" i="58" s="1"/>
  <c r="I3139" i="58"/>
  <c r="J3139" i="58" s="1"/>
  <c r="O3138" i="58"/>
  <c r="P3138" i="58" s="1"/>
  <c r="I3138" i="58"/>
  <c r="J3138" i="58" s="1"/>
  <c r="O3137" i="58"/>
  <c r="P3137" i="58" s="1"/>
  <c r="O3136" i="58"/>
  <c r="P3136" i="58" s="1"/>
  <c r="Q3136" i="58" s="1"/>
  <c r="N3136" i="58"/>
  <c r="P3135" i="58"/>
  <c r="Q3135" i="58" s="1"/>
  <c r="R3135" i="58" s="1"/>
  <c r="O3135" i="58"/>
  <c r="L3135" i="58"/>
  <c r="L3130" i="58" s="1"/>
  <c r="O3134" i="58"/>
  <c r="P3134" i="58" s="1"/>
  <c r="O3133" i="58"/>
  <c r="P3133" i="58" s="1"/>
  <c r="I3133" i="58"/>
  <c r="J3133" i="58" s="1"/>
  <c r="O3132" i="58"/>
  <c r="P3132" i="58" s="1"/>
  <c r="I3132" i="58"/>
  <c r="J3132" i="58" s="1"/>
  <c r="O3131" i="58"/>
  <c r="P3131" i="58" s="1"/>
  <c r="O3130" i="58"/>
  <c r="P3130" i="58" s="1"/>
  <c r="Q3130" i="58" s="1"/>
  <c r="N3130" i="58"/>
  <c r="O3128" i="58"/>
  <c r="P3128" i="58" s="1"/>
  <c r="L3128" i="58"/>
  <c r="L3123" i="58" s="1"/>
  <c r="O3127" i="58"/>
  <c r="P3127" i="58" s="1"/>
  <c r="O3126" i="58"/>
  <c r="P3126" i="58" s="1"/>
  <c r="I3126" i="58"/>
  <c r="J3126" i="58" s="1"/>
  <c r="P3125" i="58"/>
  <c r="O3125" i="58"/>
  <c r="I3125" i="58"/>
  <c r="J3125" i="58" s="1"/>
  <c r="O3124" i="58"/>
  <c r="P3124" i="58" s="1"/>
  <c r="O3123" i="58"/>
  <c r="P3123" i="58" s="1"/>
  <c r="Q3123" i="58" s="1"/>
  <c r="N3123" i="58"/>
  <c r="O3122" i="58"/>
  <c r="P3122" i="58" s="1"/>
  <c r="O3121" i="58"/>
  <c r="P3121" i="58" s="1"/>
  <c r="O3120" i="58"/>
  <c r="P3120" i="58" s="1"/>
  <c r="I3120" i="58"/>
  <c r="J3120" i="58" s="1"/>
  <c r="J3117" i="58" s="1"/>
  <c r="O3119" i="58"/>
  <c r="P3119" i="58" s="1"/>
  <c r="I3119" i="58"/>
  <c r="J3119" i="58" s="1"/>
  <c r="O3118" i="58"/>
  <c r="P3118" i="58" s="1"/>
  <c r="O3117" i="58"/>
  <c r="P3117" i="58" s="1"/>
  <c r="Q3117" i="58" s="1"/>
  <c r="N3117" i="58"/>
  <c r="O3116" i="58"/>
  <c r="P3116" i="58" s="1"/>
  <c r="Q3116" i="58" s="1"/>
  <c r="R3116" i="58" s="1"/>
  <c r="O3115" i="58"/>
  <c r="P3115" i="58" s="1"/>
  <c r="O3114" i="58"/>
  <c r="P3114" i="58" s="1"/>
  <c r="I3114" i="58"/>
  <c r="J3114" i="58" s="1"/>
  <c r="O3113" i="58"/>
  <c r="P3113" i="58" s="1"/>
  <c r="I3113" i="58"/>
  <c r="J3113" i="58" s="1"/>
  <c r="O3112" i="58"/>
  <c r="P3112" i="58" s="1"/>
  <c r="O3111" i="58"/>
  <c r="P3111" i="58" s="1"/>
  <c r="Q3111" i="58" s="1"/>
  <c r="N3111" i="58"/>
  <c r="O3110" i="58"/>
  <c r="P3110" i="58" s="1"/>
  <c r="O3109" i="58"/>
  <c r="P3109" i="58" s="1"/>
  <c r="O3108" i="58"/>
  <c r="P3108" i="58" s="1"/>
  <c r="J3108" i="58"/>
  <c r="J3105" i="58" s="1"/>
  <c r="I3108" i="58"/>
  <c r="O3107" i="58"/>
  <c r="P3107" i="58" s="1"/>
  <c r="J3107" i="58"/>
  <c r="I3107" i="58"/>
  <c r="P3106" i="58"/>
  <c r="O3106" i="58"/>
  <c r="O3105" i="58"/>
  <c r="P3105" i="58" s="1"/>
  <c r="Q3105" i="58" s="1"/>
  <c r="N3105" i="58"/>
  <c r="O3104" i="58"/>
  <c r="P3104" i="58" s="1"/>
  <c r="O3103" i="58"/>
  <c r="P3103" i="58" s="1"/>
  <c r="O3102" i="58"/>
  <c r="P3102" i="58" s="1"/>
  <c r="I3102" i="58"/>
  <c r="J3102" i="58" s="1"/>
  <c r="P3101" i="58"/>
  <c r="O3101" i="58"/>
  <c r="I3101" i="58"/>
  <c r="J3101" i="58" s="1"/>
  <c r="O3100" i="58"/>
  <c r="P3100" i="58" s="1"/>
  <c r="O3099" i="58"/>
  <c r="P3099" i="58" s="1"/>
  <c r="Q3099" i="58" s="1"/>
  <c r="N3099" i="58"/>
  <c r="O3098" i="58"/>
  <c r="P3098" i="58" s="1"/>
  <c r="O3097" i="58"/>
  <c r="P3097" i="58" s="1"/>
  <c r="O3096" i="58"/>
  <c r="P3096" i="58" s="1"/>
  <c r="I3096" i="58"/>
  <c r="J3096" i="58" s="1"/>
  <c r="P3095" i="58"/>
  <c r="O3095" i="58"/>
  <c r="I3095" i="58"/>
  <c r="J3095" i="58" s="1"/>
  <c r="O3094" i="58"/>
  <c r="P3094" i="58" s="1"/>
  <c r="O3093" i="58"/>
  <c r="P3093" i="58" s="1"/>
  <c r="Q3093" i="58" s="1"/>
  <c r="N3093" i="58"/>
  <c r="O3092" i="58"/>
  <c r="P3092" i="58" s="1"/>
  <c r="Q3092" i="58" s="1"/>
  <c r="R3092" i="58" s="1"/>
  <c r="O3091" i="58"/>
  <c r="P3091" i="58" s="1"/>
  <c r="O3090" i="58"/>
  <c r="P3090" i="58" s="1"/>
  <c r="I3090" i="58"/>
  <c r="J3090" i="58" s="1"/>
  <c r="O3089" i="58"/>
  <c r="P3089" i="58" s="1"/>
  <c r="I3089" i="58"/>
  <c r="J3089" i="58" s="1"/>
  <c r="O3088" i="58"/>
  <c r="P3088" i="58" s="1"/>
  <c r="O3087" i="58"/>
  <c r="P3087" i="58" s="1"/>
  <c r="Q3087" i="58" s="1"/>
  <c r="Q3086" i="58" s="1"/>
  <c r="R3086" i="58" s="1"/>
  <c r="N3087" i="58"/>
  <c r="O3086" i="58"/>
  <c r="P3086" i="58" s="1"/>
  <c r="O3085" i="58"/>
  <c r="P3085" i="58" s="1"/>
  <c r="O3084" i="58"/>
  <c r="P3084" i="58" s="1"/>
  <c r="I3084" i="58"/>
  <c r="J3084" i="58" s="1"/>
  <c r="O3083" i="58"/>
  <c r="P3083" i="58" s="1"/>
  <c r="I3083" i="58"/>
  <c r="J3083" i="58" s="1"/>
  <c r="P3082" i="58"/>
  <c r="O3082" i="58"/>
  <c r="O3081" i="58"/>
  <c r="P3081" i="58" s="1"/>
  <c r="Q3081" i="58" s="1"/>
  <c r="N3081" i="58"/>
  <c r="O3080" i="58"/>
  <c r="P3080" i="58" s="1"/>
  <c r="Q3080" i="58" s="1"/>
  <c r="R3080" i="58" s="1"/>
  <c r="P3079" i="58"/>
  <c r="O3079" i="58"/>
  <c r="O3078" i="58"/>
  <c r="P3078" i="58" s="1"/>
  <c r="I3078" i="58"/>
  <c r="J3078" i="58" s="1"/>
  <c r="J3075" i="58" s="1"/>
  <c r="O3077" i="58"/>
  <c r="P3077" i="58" s="1"/>
  <c r="J3077" i="58"/>
  <c r="I3077" i="58"/>
  <c r="O3076" i="58"/>
  <c r="P3076" i="58" s="1"/>
  <c r="O3075" i="58"/>
  <c r="P3075" i="58" s="1"/>
  <c r="Q3075" i="58" s="1"/>
  <c r="N3075" i="58"/>
  <c r="O3074" i="58"/>
  <c r="P3074" i="58" s="1"/>
  <c r="Q3074" i="58" s="1"/>
  <c r="O3073" i="58"/>
  <c r="P3073" i="58" s="1"/>
  <c r="O3072" i="58"/>
  <c r="P3072" i="58" s="1"/>
  <c r="I3072" i="58"/>
  <c r="J3072" i="58" s="1"/>
  <c r="O3071" i="58"/>
  <c r="P3071" i="58" s="1"/>
  <c r="I3071" i="58"/>
  <c r="J3071" i="58" s="1"/>
  <c r="P3070" i="58"/>
  <c r="O3070" i="58"/>
  <c r="O3069" i="58"/>
  <c r="P3069" i="58" s="1"/>
  <c r="Q3069" i="58" s="1"/>
  <c r="N3069" i="58"/>
  <c r="P3068" i="58"/>
  <c r="O3068" i="58"/>
  <c r="P3067" i="58"/>
  <c r="O3067" i="58"/>
  <c r="O3066" i="58"/>
  <c r="P3066" i="58" s="1"/>
  <c r="I3066" i="58"/>
  <c r="J3066" i="58" s="1"/>
  <c r="P3065" i="58"/>
  <c r="O3065" i="58"/>
  <c r="I3065" i="58"/>
  <c r="J3065" i="58" s="1"/>
  <c r="O3064" i="58"/>
  <c r="P3064" i="58" s="1"/>
  <c r="O3063" i="58"/>
  <c r="P3063" i="58" s="1"/>
  <c r="Q3063" i="58" s="1"/>
  <c r="N3063" i="58"/>
  <c r="O3062" i="58"/>
  <c r="P3062" i="58" s="1"/>
  <c r="P3061" i="58"/>
  <c r="O3061" i="58"/>
  <c r="O3060" i="58"/>
  <c r="P3060" i="58" s="1"/>
  <c r="I3060" i="58"/>
  <c r="J3060" i="58" s="1"/>
  <c r="O3059" i="58"/>
  <c r="P3059" i="58" s="1"/>
  <c r="I3059" i="58"/>
  <c r="J3059" i="58" s="1"/>
  <c r="J3057" i="58" s="1"/>
  <c r="O3058" i="58"/>
  <c r="P3058" i="58" s="1"/>
  <c r="O3057" i="58"/>
  <c r="P3057" i="58" s="1"/>
  <c r="Q3057" i="58" s="1"/>
  <c r="N3057" i="58"/>
  <c r="O3056" i="58"/>
  <c r="P3056" i="58" s="1"/>
  <c r="O3055" i="58"/>
  <c r="P3055" i="58" s="1"/>
  <c r="O3054" i="58"/>
  <c r="P3054" i="58" s="1"/>
  <c r="I3054" i="58"/>
  <c r="J3054" i="58" s="1"/>
  <c r="P3053" i="58"/>
  <c r="O3053" i="58"/>
  <c r="I3053" i="58"/>
  <c r="J3053" i="58" s="1"/>
  <c r="P3052" i="58"/>
  <c r="O3052" i="58"/>
  <c r="P3051" i="58"/>
  <c r="Q3051" i="58" s="1"/>
  <c r="O3051" i="58"/>
  <c r="N3051" i="58"/>
  <c r="O3050" i="58"/>
  <c r="P3050" i="58" s="1"/>
  <c r="O3049" i="58"/>
  <c r="P3049" i="58" s="1"/>
  <c r="O3048" i="58"/>
  <c r="P3048" i="58" s="1"/>
  <c r="I3048" i="58"/>
  <c r="J3048" i="58" s="1"/>
  <c r="O3047" i="58"/>
  <c r="P3047" i="58" s="1"/>
  <c r="I3047" i="58"/>
  <c r="J3047" i="58" s="1"/>
  <c r="J3045" i="58" s="1"/>
  <c r="O3046" i="58"/>
  <c r="P3046" i="58" s="1"/>
  <c r="O3045" i="58"/>
  <c r="P3045" i="58" s="1"/>
  <c r="Q3045" i="58" s="1"/>
  <c r="Q3044" i="58" s="1"/>
  <c r="R3044" i="58" s="1"/>
  <c r="N3045" i="58"/>
  <c r="O3044" i="58"/>
  <c r="P3044" i="58" s="1"/>
  <c r="O3043" i="58"/>
  <c r="P3043" i="58" s="1"/>
  <c r="O3042" i="58"/>
  <c r="P3042" i="58" s="1"/>
  <c r="I3042" i="58"/>
  <c r="J3042" i="58" s="1"/>
  <c r="O3041" i="58"/>
  <c r="P3041" i="58" s="1"/>
  <c r="I3041" i="58"/>
  <c r="J3041" i="58" s="1"/>
  <c r="J3039" i="58" s="1"/>
  <c r="P3040" i="58"/>
  <c r="O3040" i="58"/>
  <c r="O3039" i="58"/>
  <c r="P3039" i="58" s="1"/>
  <c r="Q3039" i="58" s="1"/>
  <c r="N3039" i="58"/>
  <c r="O3038" i="58"/>
  <c r="P3038" i="58" s="1"/>
  <c r="Q3038" i="58" s="1"/>
  <c r="R3038" i="58" s="1"/>
  <c r="P3037" i="58"/>
  <c r="Q3037" i="58" s="1"/>
  <c r="R3037" i="58" s="1"/>
  <c r="O3037" i="58"/>
  <c r="P3036" i="58"/>
  <c r="O3036" i="58"/>
  <c r="I3036" i="58"/>
  <c r="J3036" i="58" s="1"/>
  <c r="O3035" i="58"/>
  <c r="P3035" i="58" s="1"/>
  <c r="I3035" i="58"/>
  <c r="J3035" i="58" s="1"/>
  <c r="O3034" i="58"/>
  <c r="P3034" i="58" s="1"/>
  <c r="O3033" i="58"/>
  <c r="P3033" i="58" s="1"/>
  <c r="Q3033" i="58" s="1"/>
  <c r="N3033" i="58"/>
  <c r="O3032" i="58"/>
  <c r="P3032" i="58" s="1"/>
  <c r="L3032" i="58"/>
  <c r="L3027" i="58" s="1"/>
  <c r="P3031" i="58"/>
  <c r="O3031" i="58"/>
  <c r="P3030" i="58"/>
  <c r="O3030" i="58"/>
  <c r="I3030" i="58"/>
  <c r="J3030" i="58" s="1"/>
  <c r="P3029" i="58"/>
  <c r="O3029" i="58"/>
  <c r="I3029" i="58"/>
  <c r="J3029" i="58" s="1"/>
  <c r="O3028" i="58"/>
  <c r="P3028" i="58" s="1"/>
  <c r="O3027" i="58"/>
  <c r="P3027" i="58" s="1"/>
  <c r="Q3027" i="58" s="1"/>
  <c r="N3027" i="58"/>
  <c r="O3026" i="58"/>
  <c r="P3026" i="58" s="1"/>
  <c r="O3025" i="58"/>
  <c r="P3025" i="58" s="1"/>
  <c r="O3024" i="58"/>
  <c r="P3024" i="58" s="1"/>
  <c r="I3024" i="58"/>
  <c r="J3024" i="58" s="1"/>
  <c r="O3023" i="58"/>
  <c r="P3023" i="58" s="1"/>
  <c r="I3023" i="58"/>
  <c r="J3023" i="58" s="1"/>
  <c r="O3022" i="58"/>
  <c r="P3022" i="58" s="1"/>
  <c r="O3021" i="58"/>
  <c r="P3021" i="58" s="1"/>
  <c r="Q3021" i="58" s="1"/>
  <c r="N3021" i="58"/>
  <c r="P3020" i="58"/>
  <c r="O3020" i="58"/>
  <c r="P3019" i="58"/>
  <c r="O3019" i="58"/>
  <c r="O3018" i="58"/>
  <c r="P3018" i="58" s="1"/>
  <c r="I3018" i="58"/>
  <c r="J3018" i="58" s="1"/>
  <c r="O3017" i="58"/>
  <c r="P3017" i="58" s="1"/>
  <c r="I3017" i="58"/>
  <c r="J3017" i="58" s="1"/>
  <c r="J3015" i="58" s="1"/>
  <c r="O3016" i="58"/>
  <c r="P3016" i="58" s="1"/>
  <c r="P3015" i="58"/>
  <c r="Q3015" i="58" s="1"/>
  <c r="O3015" i="58"/>
  <c r="N3015" i="58"/>
  <c r="O3014" i="58"/>
  <c r="P3014" i="58" s="1"/>
  <c r="O3013" i="58"/>
  <c r="P3013" i="58" s="1"/>
  <c r="P3012" i="58"/>
  <c r="O3012" i="58"/>
  <c r="J3012" i="58"/>
  <c r="I3012" i="58"/>
  <c r="O3011" i="58"/>
  <c r="P3011" i="58" s="1"/>
  <c r="I3011" i="58"/>
  <c r="J3011" i="58" s="1"/>
  <c r="O3010" i="58"/>
  <c r="P3010" i="58" s="1"/>
  <c r="P3009" i="58"/>
  <c r="Q3009" i="58" s="1"/>
  <c r="O3009" i="58"/>
  <c r="N3009" i="58"/>
  <c r="O3008" i="58"/>
  <c r="P3008" i="58" s="1"/>
  <c r="O3007" i="58"/>
  <c r="P3007" i="58" s="1"/>
  <c r="O3006" i="58"/>
  <c r="P3006" i="58" s="1"/>
  <c r="I3006" i="58"/>
  <c r="J3006" i="58" s="1"/>
  <c r="O3005" i="58"/>
  <c r="P3005" i="58" s="1"/>
  <c r="I3005" i="58"/>
  <c r="J3005" i="58" s="1"/>
  <c r="O3004" i="58"/>
  <c r="P3004" i="58" s="1"/>
  <c r="P3003" i="58"/>
  <c r="Q3003" i="58" s="1"/>
  <c r="O3003" i="58"/>
  <c r="N3003" i="58"/>
  <c r="O3002" i="58"/>
  <c r="P3002" i="58" s="1"/>
  <c r="Q3002" i="58" s="1"/>
  <c r="P3001" i="58"/>
  <c r="O3001" i="58"/>
  <c r="P3000" i="58"/>
  <c r="O3000" i="58"/>
  <c r="I3000" i="58"/>
  <c r="J3000" i="58" s="1"/>
  <c r="O2999" i="58"/>
  <c r="P2999" i="58" s="1"/>
  <c r="I2999" i="58"/>
  <c r="J2999" i="58" s="1"/>
  <c r="O2998" i="58"/>
  <c r="P2998" i="58" s="1"/>
  <c r="O2997" i="58"/>
  <c r="P2997" i="58" s="1"/>
  <c r="Q2997" i="58" s="1"/>
  <c r="N2997" i="58"/>
  <c r="P2996" i="58"/>
  <c r="O2996" i="58"/>
  <c r="O2995" i="58"/>
  <c r="P2995" i="58" s="1"/>
  <c r="O2994" i="58"/>
  <c r="P2994" i="58" s="1"/>
  <c r="I2994" i="58"/>
  <c r="J2994" i="58" s="1"/>
  <c r="P2993" i="58"/>
  <c r="O2993" i="58"/>
  <c r="J2993" i="58"/>
  <c r="I2993" i="58"/>
  <c r="O2992" i="58"/>
  <c r="P2992" i="58" s="1"/>
  <c r="O2991" i="58"/>
  <c r="P2991" i="58" s="1"/>
  <c r="Q2991" i="58" s="1"/>
  <c r="N2991" i="58"/>
  <c r="O2990" i="58"/>
  <c r="P2990" i="58" s="1"/>
  <c r="O2989" i="58"/>
  <c r="P2989" i="58" s="1"/>
  <c r="O2988" i="58"/>
  <c r="P2988" i="58" s="1"/>
  <c r="I2988" i="58"/>
  <c r="J2988" i="58" s="1"/>
  <c r="O2987" i="58"/>
  <c r="P2987" i="58" s="1"/>
  <c r="I2987" i="58"/>
  <c r="J2987" i="58" s="1"/>
  <c r="O2986" i="58"/>
  <c r="P2986" i="58" s="1"/>
  <c r="O2985" i="58"/>
  <c r="P2985" i="58" s="1"/>
  <c r="Q2985" i="58" s="1"/>
  <c r="N2985" i="58"/>
  <c r="O2984" i="58"/>
  <c r="P2984" i="58" s="1"/>
  <c r="O2983" i="58"/>
  <c r="P2983" i="58" s="1"/>
  <c r="P2982" i="58"/>
  <c r="O2982" i="58"/>
  <c r="I2982" i="58"/>
  <c r="J2982" i="58" s="1"/>
  <c r="O2981" i="58"/>
  <c r="P2981" i="58" s="1"/>
  <c r="I2981" i="58"/>
  <c r="J2981" i="58" s="1"/>
  <c r="O2980" i="58"/>
  <c r="P2980" i="58" s="1"/>
  <c r="Q2979" i="58"/>
  <c r="P2979" i="58"/>
  <c r="O2979" i="58"/>
  <c r="N2979" i="58"/>
  <c r="P2977" i="58"/>
  <c r="O2977" i="58"/>
  <c r="O2976" i="58"/>
  <c r="P2976" i="58" s="1"/>
  <c r="O2975" i="58"/>
  <c r="P2975" i="58" s="1"/>
  <c r="I2975" i="58"/>
  <c r="J2975" i="58" s="1"/>
  <c r="O2974" i="58"/>
  <c r="P2974" i="58" s="1"/>
  <c r="I2974" i="58"/>
  <c r="J2974" i="58" s="1"/>
  <c r="J2972" i="58" s="1"/>
  <c r="O2973" i="58"/>
  <c r="P2973" i="58" s="1"/>
  <c r="O2972" i="58"/>
  <c r="P2972" i="58" s="1"/>
  <c r="Q2972" i="58" s="1"/>
  <c r="N2972" i="58"/>
  <c r="O2971" i="58"/>
  <c r="P2971" i="58" s="1"/>
  <c r="O2970" i="58"/>
  <c r="P2970" i="58" s="1"/>
  <c r="P2969" i="58"/>
  <c r="O2969" i="58"/>
  <c r="I2969" i="58"/>
  <c r="J2969" i="58" s="1"/>
  <c r="O2968" i="58"/>
  <c r="P2968" i="58" s="1"/>
  <c r="I2968" i="58"/>
  <c r="J2968" i="58" s="1"/>
  <c r="J2966" i="58" s="1"/>
  <c r="O2967" i="58"/>
  <c r="P2967" i="58" s="1"/>
  <c r="P2966" i="58"/>
  <c r="Q2966" i="58" s="1"/>
  <c r="O2966" i="58"/>
  <c r="N2966" i="58"/>
  <c r="O2965" i="58"/>
  <c r="P2965" i="58" s="1"/>
  <c r="O2964" i="58"/>
  <c r="P2964" i="58" s="1"/>
  <c r="O2963" i="58"/>
  <c r="P2963" i="58" s="1"/>
  <c r="I2963" i="58"/>
  <c r="J2963" i="58" s="1"/>
  <c r="O2962" i="58"/>
  <c r="P2962" i="58" s="1"/>
  <c r="I2962" i="58"/>
  <c r="J2962" i="58" s="1"/>
  <c r="O2961" i="58"/>
  <c r="P2961" i="58" s="1"/>
  <c r="O2960" i="58"/>
  <c r="P2960" i="58" s="1"/>
  <c r="Q2960" i="58" s="1"/>
  <c r="N2960" i="58"/>
  <c r="O2959" i="58"/>
  <c r="P2959" i="58" s="1"/>
  <c r="Q2959" i="58" s="1"/>
  <c r="P2958" i="58"/>
  <c r="O2958" i="58"/>
  <c r="O2957" i="58"/>
  <c r="P2957" i="58" s="1"/>
  <c r="I2957" i="58"/>
  <c r="J2957" i="58" s="1"/>
  <c r="O2956" i="58"/>
  <c r="P2956" i="58" s="1"/>
  <c r="I2956" i="58"/>
  <c r="J2956" i="58" s="1"/>
  <c r="O2955" i="58"/>
  <c r="P2955" i="58" s="1"/>
  <c r="O2954" i="58"/>
  <c r="P2954" i="58" s="1"/>
  <c r="Q2954" i="58" s="1"/>
  <c r="N2954" i="58"/>
  <c r="O2953" i="58"/>
  <c r="P2953" i="58" s="1"/>
  <c r="L2953" i="58"/>
  <c r="O2952" i="58"/>
  <c r="P2952" i="58" s="1"/>
  <c r="O2951" i="58"/>
  <c r="P2951" i="58" s="1"/>
  <c r="I2951" i="58"/>
  <c r="J2951" i="58" s="1"/>
  <c r="O2950" i="58"/>
  <c r="P2950" i="58" s="1"/>
  <c r="I2950" i="58"/>
  <c r="J2950" i="58" s="1"/>
  <c r="O2949" i="58"/>
  <c r="P2949" i="58" s="1"/>
  <c r="O2948" i="58"/>
  <c r="P2948" i="58" s="1"/>
  <c r="Q2948" i="58" s="1"/>
  <c r="N2948" i="58"/>
  <c r="L2948" i="58"/>
  <c r="O2947" i="58"/>
  <c r="P2947" i="58" s="1"/>
  <c r="Q2947" i="58" s="1"/>
  <c r="R2947" i="58" s="1"/>
  <c r="L2947" i="58"/>
  <c r="L2942" i="58" s="1"/>
  <c r="O2946" i="58"/>
  <c r="P2946" i="58" s="1"/>
  <c r="O2945" i="58"/>
  <c r="P2945" i="58" s="1"/>
  <c r="I2945" i="58"/>
  <c r="J2945" i="58" s="1"/>
  <c r="O2944" i="58"/>
  <c r="P2944" i="58" s="1"/>
  <c r="I2944" i="58"/>
  <c r="J2944" i="58" s="1"/>
  <c r="O2943" i="58"/>
  <c r="P2943" i="58" s="1"/>
  <c r="O2942" i="58"/>
  <c r="P2942" i="58" s="1"/>
  <c r="Q2942" i="58" s="1"/>
  <c r="N2942" i="58"/>
  <c r="O2941" i="58"/>
  <c r="P2941" i="58" s="1"/>
  <c r="Q2941" i="58" s="1"/>
  <c r="R2941" i="58" s="1"/>
  <c r="L2941" i="58"/>
  <c r="L2936" i="58" s="1"/>
  <c r="O2940" i="58"/>
  <c r="P2940" i="58" s="1"/>
  <c r="Q2940" i="58" s="1"/>
  <c r="R2940" i="58" s="1"/>
  <c r="O2939" i="58"/>
  <c r="P2939" i="58" s="1"/>
  <c r="I2939" i="58"/>
  <c r="J2939" i="58" s="1"/>
  <c r="O2938" i="58"/>
  <c r="P2938" i="58" s="1"/>
  <c r="I2938" i="58"/>
  <c r="J2938" i="58" s="1"/>
  <c r="O2937" i="58"/>
  <c r="P2937" i="58" s="1"/>
  <c r="O2936" i="58"/>
  <c r="P2936" i="58" s="1"/>
  <c r="Q2936" i="58" s="1"/>
  <c r="N2936" i="58"/>
  <c r="J2936" i="58"/>
  <c r="O2935" i="58"/>
  <c r="P2935" i="58" s="1"/>
  <c r="O2934" i="58"/>
  <c r="P2934" i="58" s="1"/>
  <c r="O2933" i="58"/>
  <c r="P2933" i="58" s="1"/>
  <c r="J2933" i="58"/>
  <c r="I2933" i="58"/>
  <c r="P2932" i="58"/>
  <c r="O2932" i="58"/>
  <c r="I2932" i="58"/>
  <c r="J2932" i="58" s="1"/>
  <c r="J2930" i="58" s="1"/>
  <c r="O2931" i="58"/>
  <c r="P2931" i="58" s="1"/>
  <c r="O2930" i="58"/>
  <c r="P2930" i="58" s="1"/>
  <c r="Q2930" i="58" s="1"/>
  <c r="N2930" i="58"/>
  <c r="O2929" i="58"/>
  <c r="P2929" i="58" s="1"/>
  <c r="O2928" i="58"/>
  <c r="P2928" i="58" s="1"/>
  <c r="O2927" i="58"/>
  <c r="P2927" i="58" s="1"/>
  <c r="I2927" i="58"/>
  <c r="J2927" i="58" s="1"/>
  <c r="J2924" i="58" s="1"/>
  <c r="O2926" i="58"/>
  <c r="P2926" i="58" s="1"/>
  <c r="I2926" i="58"/>
  <c r="J2926" i="58" s="1"/>
  <c r="O2925" i="58"/>
  <c r="P2925" i="58" s="1"/>
  <c r="O2924" i="58"/>
  <c r="P2924" i="58" s="1"/>
  <c r="Q2924" i="58" s="1"/>
  <c r="N2924" i="58"/>
  <c r="P2923" i="58"/>
  <c r="Q2923" i="58" s="1"/>
  <c r="R2923" i="58" s="1"/>
  <c r="O2923" i="58"/>
  <c r="O2922" i="58"/>
  <c r="P2922" i="58" s="1"/>
  <c r="O2921" i="58"/>
  <c r="P2921" i="58" s="1"/>
  <c r="I2921" i="58"/>
  <c r="J2921" i="58" s="1"/>
  <c r="P2920" i="58"/>
  <c r="O2920" i="58"/>
  <c r="I2920" i="58"/>
  <c r="J2920" i="58" s="1"/>
  <c r="O2919" i="58"/>
  <c r="P2919" i="58" s="1"/>
  <c r="O2918" i="58"/>
  <c r="P2918" i="58" s="1"/>
  <c r="Q2918" i="58" s="1"/>
  <c r="N2918" i="58"/>
  <c r="O2917" i="58"/>
  <c r="P2917" i="58" s="1"/>
  <c r="P2916" i="58"/>
  <c r="O2916" i="58"/>
  <c r="P2915" i="58"/>
  <c r="O2915" i="58"/>
  <c r="I2915" i="58"/>
  <c r="J2915" i="58" s="1"/>
  <c r="O2914" i="58"/>
  <c r="P2914" i="58" s="1"/>
  <c r="I2914" i="58"/>
  <c r="J2914" i="58" s="1"/>
  <c r="P2913" i="58"/>
  <c r="O2913" i="58"/>
  <c r="Q2912" i="58"/>
  <c r="O2912" i="58"/>
  <c r="P2912" i="58" s="1"/>
  <c r="N2912" i="58"/>
  <c r="O2911" i="58"/>
  <c r="P2911" i="58" s="1"/>
  <c r="O2910" i="58"/>
  <c r="P2910" i="58" s="1"/>
  <c r="O2909" i="58"/>
  <c r="P2909" i="58" s="1"/>
  <c r="I2909" i="58"/>
  <c r="J2909" i="58" s="1"/>
  <c r="P2908" i="58"/>
  <c r="O2908" i="58"/>
  <c r="I2908" i="58"/>
  <c r="J2908" i="58" s="1"/>
  <c r="P2907" i="58"/>
  <c r="O2907" i="58"/>
  <c r="O2906" i="58"/>
  <c r="P2906" i="58" s="1"/>
  <c r="Q2906" i="58" s="1"/>
  <c r="N2906" i="58"/>
  <c r="O2905" i="58"/>
  <c r="P2905" i="58" s="1"/>
  <c r="O2904" i="58"/>
  <c r="P2904" i="58" s="1"/>
  <c r="O2903" i="58"/>
  <c r="P2903" i="58" s="1"/>
  <c r="I2903" i="58"/>
  <c r="J2903" i="58" s="1"/>
  <c r="O2902" i="58"/>
  <c r="P2902" i="58" s="1"/>
  <c r="I2902" i="58"/>
  <c r="J2902" i="58" s="1"/>
  <c r="O2901" i="58"/>
  <c r="P2901" i="58" s="1"/>
  <c r="Q2900" i="58"/>
  <c r="O2900" i="58"/>
  <c r="P2900" i="58" s="1"/>
  <c r="N2900" i="58"/>
  <c r="O2899" i="58"/>
  <c r="P2899" i="58" s="1"/>
  <c r="O2898" i="58"/>
  <c r="P2898" i="58" s="1"/>
  <c r="P2897" i="58"/>
  <c r="O2897" i="58"/>
  <c r="J2897" i="58"/>
  <c r="I2897" i="58"/>
  <c r="O2896" i="58"/>
  <c r="P2896" i="58" s="1"/>
  <c r="I2896" i="58"/>
  <c r="J2896" i="58" s="1"/>
  <c r="O2895" i="58"/>
  <c r="P2895" i="58" s="1"/>
  <c r="P2894" i="58"/>
  <c r="Q2894" i="58" s="1"/>
  <c r="O2894" i="58"/>
  <c r="N2894" i="58"/>
  <c r="O2893" i="58"/>
  <c r="P2893" i="58" s="1"/>
  <c r="O2892" i="58"/>
  <c r="P2892" i="58" s="1"/>
  <c r="O2891" i="58"/>
  <c r="P2891" i="58" s="1"/>
  <c r="I2891" i="58"/>
  <c r="J2891" i="58" s="1"/>
  <c r="O2890" i="58"/>
  <c r="P2890" i="58" s="1"/>
  <c r="I2890" i="58"/>
  <c r="J2890" i="58" s="1"/>
  <c r="O2889" i="58"/>
  <c r="P2889" i="58" s="1"/>
  <c r="O2888" i="58"/>
  <c r="P2888" i="58" s="1"/>
  <c r="Q2888" i="58" s="1"/>
  <c r="N2888" i="58"/>
  <c r="O2887" i="58"/>
  <c r="P2887" i="58" s="1"/>
  <c r="O2886" i="58"/>
  <c r="P2886" i="58" s="1"/>
  <c r="P2885" i="58"/>
  <c r="O2885" i="58"/>
  <c r="I2885" i="58"/>
  <c r="J2885" i="58" s="1"/>
  <c r="O2884" i="58"/>
  <c r="P2884" i="58" s="1"/>
  <c r="I2884" i="58"/>
  <c r="J2884" i="58" s="1"/>
  <c r="O2883" i="58"/>
  <c r="P2883" i="58" s="1"/>
  <c r="P2882" i="58"/>
  <c r="Q2882" i="58" s="1"/>
  <c r="O2882" i="58"/>
  <c r="N2882" i="58"/>
  <c r="O2881" i="58"/>
  <c r="P2881" i="58" s="1"/>
  <c r="O2880" i="58"/>
  <c r="P2880" i="58" s="1"/>
  <c r="O2879" i="58"/>
  <c r="P2879" i="58" s="1"/>
  <c r="I2879" i="58"/>
  <c r="J2879" i="58" s="1"/>
  <c r="O2878" i="58"/>
  <c r="P2878" i="58" s="1"/>
  <c r="I2878" i="58"/>
  <c r="J2878" i="58" s="1"/>
  <c r="O2877" i="58"/>
  <c r="P2877" i="58" s="1"/>
  <c r="O2876" i="58"/>
  <c r="P2876" i="58" s="1"/>
  <c r="Q2876" i="58" s="1"/>
  <c r="N2876" i="58"/>
  <c r="P2875" i="58"/>
  <c r="Q2875" i="58" s="1"/>
  <c r="R2875" i="58" s="1"/>
  <c r="O2875" i="58"/>
  <c r="P2874" i="58"/>
  <c r="O2874" i="58"/>
  <c r="P2873" i="58"/>
  <c r="O2873" i="58"/>
  <c r="I2873" i="58"/>
  <c r="J2873" i="58" s="1"/>
  <c r="O2872" i="58"/>
  <c r="P2872" i="58" s="1"/>
  <c r="I2872" i="58"/>
  <c r="J2872" i="58" s="1"/>
  <c r="O2871" i="58"/>
  <c r="P2871" i="58" s="1"/>
  <c r="O2870" i="58"/>
  <c r="P2870" i="58" s="1"/>
  <c r="Q2870" i="58" s="1"/>
  <c r="N2870" i="58"/>
  <c r="P2869" i="58"/>
  <c r="O2869" i="58"/>
  <c r="O2868" i="58"/>
  <c r="P2868" i="58" s="1"/>
  <c r="O2867" i="58"/>
  <c r="P2867" i="58" s="1"/>
  <c r="I2867" i="58"/>
  <c r="J2867" i="58" s="1"/>
  <c r="J2864" i="58" s="1"/>
  <c r="O2866" i="58"/>
  <c r="P2866" i="58" s="1"/>
  <c r="I2866" i="58"/>
  <c r="J2866" i="58" s="1"/>
  <c r="O2865" i="58"/>
  <c r="P2865" i="58" s="1"/>
  <c r="O2864" i="58"/>
  <c r="P2864" i="58" s="1"/>
  <c r="Q2864" i="58" s="1"/>
  <c r="N2864" i="58"/>
  <c r="O2863" i="58"/>
  <c r="P2863" i="58" s="1"/>
  <c r="O2862" i="58"/>
  <c r="P2862" i="58" s="1"/>
  <c r="O2861" i="58"/>
  <c r="P2861" i="58" s="1"/>
  <c r="I2861" i="58"/>
  <c r="J2861" i="58" s="1"/>
  <c r="O2860" i="58"/>
  <c r="P2860" i="58" s="1"/>
  <c r="J2860" i="58"/>
  <c r="I2860" i="58"/>
  <c r="P2859" i="58"/>
  <c r="O2859" i="58"/>
  <c r="O2858" i="58"/>
  <c r="P2858" i="58" s="1"/>
  <c r="Q2858" i="58" s="1"/>
  <c r="N2858" i="58"/>
  <c r="P2857" i="58"/>
  <c r="O2857" i="58"/>
  <c r="L2857" i="58"/>
  <c r="L2852" i="58" s="1"/>
  <c r="O2856" i="58"/>
  <c r="P2856" i="58" s="1"/>
  <c r="O2855" i="58"/>
  <c r="P2855" i="58" s="1"/>
  <c r="I2855" i="58"/>
  <c r="J2855" i="58" s="1"/>
  <c r="P2854" i="58"/>
  <c r="O2854" i="58"/>
  <c r="I2854" i="58"/>
  <c r="J2854" i="58" s="1"/>
  <c r="O2853" i="58"/>
  <c r="P2853" i="58" s="1"/>
  <c r="O2852" i="58"/>
  <c r="P2852" i="58" s="1"/>
  <c r="Q2852" i="58" s="1"/>
  <c r="N2852" i="58"/>
  <c r="O2851" i="58"/>
  <c r="P2851" i="58" s="1"/>
  <c r="L2851" i="58"/>
  <c r="L2846" i="58" s="1"/>
  <c r="P2850" i="58"/>
  <c r="O2850" i="58"/>
  <c r="O2849" i="58"/>
  <c r="P2849" i="58" s="1"/>
  <c r="I2849" i="58"/>
  <c r="J2849" i="58" s="1"/>
  <c r="O2848" i="58"/>
  <c r="P2848" i="58" s="1"/>
  <c r="I2848" i="58"/>
  <c r="J2848" i="58" s="1"/>
  <c r="O2847" i="58"/>
  <c r="P2847" i="58" s="1"/>
  <c r="O2846" i="58"/>
  <c r="P2846" i="58" s="1"/>
  <c r="Q2846" i="58" s="1"/>
  <c r="N2846" i="58"/>
  <c r="O2845" i="58"/>
  <c r="P2845" i="58" s="1"/>
  <c r="Q2845" i="58" s="1"/>
  <c r="R2845" i="58" s="1"/>
  <c r="L2845" i="58"/>
  <c r="L2840" i="58" s="1"/>
  <c r="O2844" i="58"/>
  <c r="P2844" i="58" s="1"/>
  <c r="O2843" i="58"/>
  <c r="P2843" i="58" s="1"/>
  <c r="I2843" i="58"/>
  <c r="J2843" i="58" s="1"/>
  <c r="O2842" i="58"/>
  <c r="P2842" i="58" s="1"/>
  <c r="I2842" i="58"/>
  <c r="J2842" i="58" s="1"/>
  <c r="O2841" i="58"/>
  <c r="P2841" i="58" s="1"/>
  <c r="O2840" i="58"/>
  <c r="P2840" i="58" s="1"/>
  <c r="Q2840" i="58" s="1"/>
  <c r="N2840" i="58"/>
  <c r="O2839" i="58"/>
  <c r="P2839" i="58" s="1"/>
  <c r="Q2839" i="58" s="1"/>
  <c r="R2839" i="58" s="1"/>
  <c r="L2839" i="58"/>
  <c r="L2834" i="58" s="1"/>
  <c r="O2838" i="58"/>
  <c r="P2838" i="58" s="1"/>
  <c r="P2837" i="58"/>
  <c r="O2837" i="58"/>
  <c r="I2837" i="58"/>
  <c r="J2837" i="58" s="1"/>
  <c r="O2836" i="58"/>
  <c r="P2836" i="58" s="1"/>
  <c r="J2836" i="58"/>
  <c r="J2834" i="58" s="1"/>
  <c r="I2836" i="58"/>
  <c r="O2835" i="58"/>
  <c r="P2835" i="58" s="1"/>
  <c r="O2834" i="58"/>
  <c r="P2834" i="58" s="1"/>
  <c r="Q2834" i="58" s="1"/>
  <c r="N2834" i="58"/>
  <c r="O2833" i="58"/>
  <c r="P2833" i="58" s="1"/>
  <c r="O2832" i="58"/>
  <c r="P2832" i="58" s="1"/>
  <c r="O2831" i="58"/>
  <c r="P2831" i="58" s="1"/>
  <c r="I2831" i="58"/>
  <c r="J2831" i="58" s="1"/>
  <c r="P2830" i="58"/>
  <c r="O2830" i="58"/>
  <c r="I2830" i="58"/>
  <c r="J2830" i="58" s="1"/>
  <c r="O2829" i="58"/>
  <c r="P2829" i="58" s="1"/>
  <c r="O2828" i="58"/>
  <c r="P2828" i="58" s="1"/>
  <c r="Q2828" i="58" s="1"/>
  <c r="N2828" i="58"/>
  <c r="P2827" i="58"/>
  <c r="O2827" i="58"/>
  <c r="P2826" i="58"/>
  <c r="O2826" i="58"/>
  <c r="O2825" i="58"/>
  <c r="P2825" i="58" s="1"/>
  <c r="I2825" i="58"/>
  <c r="J2825" i="58" s="1"/>
  <c r="P2824" i="58"/>
  <c r="O2824" i="58"/>
  <c r="I2824" i="58"/>
  <c r="J2824" i="58" s="1"/>
  <c r="O2823" i="58"/>
  <c r="P2823" i="58" s="1"/>
  <c r="P2822" i="58"/>
  <c r="Q2822" i="58" s="1"/>
  <c r="O2822" i="58"/>
  <c r="N2822" i="58"/>
  <c r="O2820" i="58"/>
  <c r="P2820" i="58" s="1"/>
  <c r="Q2820" i="58" s="1"/>
  <c r="R2820" i="58" s="1"/>
  <c r="L2820" i="58"/>
  <c r="L2815" i="58" s="1"/>
  <c r="O2819" i="58"/>
  <c r="P2819" i="58" s="1"/>
  <c r="O2818" i="58"/>
  <c r="P2818" i="58" s="1"/>
  <c r="I2818" i="58"/>
  <c r="J2818" i="58" s="1"/>
  <c r="O2817" i="58"/>
  <c r="P2817" i="58" s="1"/>
  <c r="I2817" i="58"/>
  <c r="J2817" i="58" s="1"/>
  <c r="P2816" i="58"/>
  <c r="O2816" i="58"/>
  <c r="O2815" i="58"/>
  <c r="P2815" i="58" s="1"/>
  <c r="Q2815" i="58" s="1"/>
  <c r="N2815" i="58"/>
  <c r="O2814" i="58"/>
  <c r="P2814" i="58" s="1"/>
  <c r="O2813" i="58"/>
  <c r="P2813" i="58" s="1"/>
  <c r="O2812" i="58"/>
  <c r="P2812" i="58" s="1"/>
  <c r="I2812" i="58"/>
  <c r="J2812" i="58" s="1"/>
  <c r="O2811" i="58"/>
  <c r="P2811" i="58" s="1"/>
  <c r="I2811" i="58"/>
  <c r="J2811" i="58" s="1"/>
  <c r="P2810" i="58"/>
  <c r="O2810" i="58"/>
  <c r="O2809" i="58"/>
  <c r="P2809" i="58" s="1"/>
  <c r="Q2809" i="58" s="1"/>
  <c r="N2809" i="58"/>
  <c r="O2808" i="58"/>
  <c r="P2808" i="58" s="1"/>
  <c r="O2807" i="58"/>
  <c r="P2807" i="58" s="1"/>
  <c r="O2806" i="58"/>
  <c r="P2806" i="58" s="1"/>
  <c r="I2806" i="58"/>
  <c r="J2806" i="58" s="1"/>
  <c r="O2805" i="58"/>
  <c r="P2805" i="58" s="1"/>
  <c r="I2805" i="58"/>
  <c r="J2805" i="58" s="1"/>
  <c r="P2804" i="58"/>
  <c r="O2804" i="58"/>
  <c r="O2803" i="58"/>
  <c r="P2803" i="58" s="1"/>
  <c r="Q2803" i="58" s="1"/>
  <c r="N2803" i="58"/>
  <c r="O2802" i="58"/>
  <c r="P2802" i="58" s="1"/>
  <c r="Q2802" i="58" s="1"/>
  <c r="R2802" i="58" s="1"/>
  <c r="O2801" i="58"/>
  <c r="P2801" i="58" s="1"/>
  <c r="P2800" i="58"/>
  <c r="O2800" i="58"/>
  <c r="I2800" i="58"/>
  <c r="J2800" i="58" s="1"/>
  <c r="O2799" i="58"/>
  <c r="P2799" i="58" s="1"/>
  <c r="I2799" i="58"/>
  <c r="J2799" i="58" s="1"/>
  <c r="J2797" i="58" s="1"/>
  <c r="O2798" i="58"/>
  <c r="P2798" i="58" s="1"/>
  <c r="P2797" i="58"/>
  <c r="Q2797" i="58" s="1"/>
  <c r="O2797" i="58"/>
  <c r="N2797" i="58"/>
  <c r="O2796" i="58"/>
  <c r="P2796" i="58" s="1"/>
  <c r="P2795" i="58"/>
  <c r="O2795" i="58"/>
  <c r="O2794" i="58"/>
  <c r="P2794" i="58" s="1"/>
  <c r="I2794" i="58"/>
  <c r="J2794" i="58" s="1"/>
  <c r="O2793" i="58"/>
  <c r="P2793" i="58" s="1"/>
  <c r="I2793" i="58"/>
  <c r="J2793" i="58" s="1"/>
  <c r="O2792" i="58"/>
  <c r="P2792" i="58" s="1"/>
  <c r="O2791" i="58"/>
  <c r="P2791" i="58" s="1"/>
  <c r="Q2791" i="58" s="1"/>
  <c r="N2791" i="58"/>
  <c r="O2790" i="58"/>
  <c r="P2790" i="58" s="1"/>
  <c r="O2789" i="58"/>
  <c r="P2789" i="58" s="1"/>
  <c r="P2788" i="58"/>
  <c r="O2788" i="58"/>
  <c r="I2788" i="58"/>
  <c r="J2788" i="58" s="1"/>
  <c r="O2787" i="58"/>
  <c r="P2787" i="58" s="1"/>
  <c r="I2787" i="58"/>
  <c r="J2787" i="58" s="1"/>
  <c r="O2786" i="58"/>
  <c r="P2786" i="58" s="1"/>
  <c r="P2785" i="58"/>
  <c r="Q2785" i="58" s="1"/>
  <c r="O2785" i="58"/>
  <c r="N2785" i="58"/>
  <c r="O2784" i="58"/>
  <c r="P2784" i="58" s="1"/>
  <c r="O2783" i="58"/>
  <c r="P2783" i="58" s="1"/>
  <c r="O2782" i="58"/>
  <c r="P2782" i="58" s="1"/>
  <c r="I2782" i="58"/>
  <c r="J2782" i="58" s="1"/>
  <c r="O2781" i="58"/>
  <c r="P2781" i="58" s="1"/>
  <c r="I2781" i="58"/>
  <c r="J2781" i="58" s="1"/>
  <c r="O2780" i="58"/>
  <c r="P2780" i="58" s="1"/>
  <c r="O2779" i="58"/>
  <c r="P2779" i="58" s="1"/>
  <c r="Q2779" i="58" s="1"/>
  <c r="N2779" i="58"/>
  <c r="P2778" i="58"/>
  <c r="O2778" i="58"/>
  <c r="O2777" i="58"/>
  <c r="P2777" i="58" s="1"/>
  <c r="P2776" i="58"/>
  <c r="O2776" i="58"/>
  <c r="I2776" i="58"/>
  <c r="J2776" i="58" s="1"/>
  <c r="O2775" i="58"/>
  <c r="P2775" i="58" s="1"/>
  <c r="I2775" i="58"/>
  <c r="J2775" i="58" s="1"/>
  <c r="J2773" i="58" s="1"/>
  <c r="O2774" i="58"/>
  <c r="P2774" i="58" s="1"/>
  <c r="P2773" i="58"/>
  <c r="Q2773" i="58" s="1"/>
  <c r="O2773" i="58"/>
  <c r="N2773" i="58"/>
  <c r="O2772" i="58"/>
  <c r="P2772" i="58" s="1"/>
  <c r="Q2772" i="58" s="1"/>
  <c r="R2772" i="58" s="1"/>
  <c r="O2771" i="58"/>
  <c r="P2771" i="58" s="1"/>
  <c r="O2770" i="58"/>
  <c r="P2770" i="58" s="1"/>
  <c r="I2770" i="58"/>
  <c r="J2770" i="58" s="1"/>
  <c r="O2769" i="58"/>
  <c r="P2769" i="58" s="1"/>
  <c r="I2769" i="58"/>
  <c r="J2769" i="58" s="1"/>
  <c r="O2768" i="58"/>
  <c r="P2768" i="58" s="1"/>
  <c r="O2767" i="58"/>
  <c r="P2767" i="58" s="1"/>
  <c r="Q2767" i="58" s="1"/>
  <c r="N2767" i="58"/>
  <c r="O2766" i="58"/>
  <c r="P2766" i="58" s="1"/>
  <c r="Q2766" i="58" s="1"/>
  <c r="O2765" i="58"/>
  <c r="P2765" i="58" s="1"/>
  <c r="O2764" i="58"/>
  <c r="P2764" i="58" s="1"/>
  <c r="I2764" i="58"/>
  <c r="J2764" i="58" s="1"/>
  <c r="O2763" i="58"/>
  <c r="P2763" i="58" s="1"/>
  <c r="I2763" i="58"/>
  <c r="J2763" i="58" s="1"/>
  <c r="P2762" i="58"/>
  <c r="O2762" i="58"/>
  <c r="O2761" i="58"/>
  <c r="P2761" i="58" s="1"/>
  <c r="Q2761" i="58" s="1"/>
  <c r="N2761" i="58"/>
  <c r="O2760" i="58"/>
  <c r="P2760" i="58" s="1"/>
  <c r="Q2760" i="58" s="1"/>
  <c r="O2759" i="58"/>
  <c r="P2759" i="58" s="1"/>
  <c r="O2758" i="58"/>
  <c r="P2758" i="58" s="1"/>
  <c r="I2758" i="58"/>
  <c r="J2758" i="58" s="1"/>
  <c r="J2755" i="58" s="1"/>
  <c r="O2757" i="58"/>
  <c r="P2757" i="58" s="1"/>
  <c r="I2757" i="58"/>
  <c r="J2757" i="58" s="1"/>
  <c r="O2756" i="58"/>
  <c r="P2756" i="58" s="1"/>
  <c r="O2755" i="58"/>
  <c r="P2755" i="58" s="1"/>
  <c r="Q2755" i="58" s="1"/>
  <c r="N2755" i="58"/>
  <c r="Q2754" i="58"/>
  <c r="R2754" i="58" s="1"/>
  <c r="O2754" i="58"/>
  <c r="P2754" i="58" s="1"/>
  <c r="O2753" i="58"/>
  <c r="P2753" i="58" s="1"/>
  <c r="O2752" i="58"/>
  <c r="P2752" i="58" s="1"/>
  <c r="I2752" i="58"/>
  <c r="J2752" i="58" s="1"/>
  <c r="O2751" i="58"/>
  <c r="P2751" i="58" s="1"/>
  <c r="I2751" i="58"/>
  <c r="J2751" i="58" s="1"/>
  <c r="P2750" i="58"/>
  <c r="O2750" i="58"/>
  <c r="O2749" i="58"/>
  <c r="P2749" i="58" s="1"/>
  <c r="Q2749" i="58" s="1"/>
  <c r="N2749" i="58"/>
  <c r="O2748" i="58"/>
  <c r="P2748" i="58" s="1"/>
  <c r="L2748" i="58"/>
  <c r="L2743" i="58" s="1"/>
  <c r="O2747" i="58"/>
  <c r="P2747" i="58" s="1"/>
  <c r="O2746" i="58"/>
  <c r="P2746" i="58" s="1"/>
  <c r="I2746" i="58"/>
  <c r="J2746" i="58" s="1"/>
  <c r="O2745" i="58"/>
  <c r="P2745" i="58" s="1"/>
  <c r="I2745" i="58"/>
  <c r="J2745" i="58" s="1"/>
  <c r="O2744" i="58"/>
  <c r="P2744" i="58" s="1"/>
  <c r="O2743" i="58"/>
  <c r="P2743" i="58" s="1"/>
  <c r="Q2743" i="58" s="1"/>
  <c r="N2743" i="58"/>
  <c r="O2742" i="58"/>
  <c r="P2742" i="58" s="1"/>
  <c r="O2741" i="58"/>
  <c r="P2741" i="58" s="1"/>
  <c r="P2740" i="58"/>
  <c r="O2740" i="58"/>
  <c r="I2740" i="58"/>
  <c r="J2740" i="58" s="1"/>
  <c r="O2739" i="58"/>
  <c r="P2739" i="58" s="1"/>
  <c r="I2739" i="58"/>
  <c r="J2739" i="58" s="1"/>
  <c r="O2738" i="58"/>
  <c r="P2738" i="58" s="1"/>
  <c r="P2737" i="58"/>
  <c r="Q2737" i="58" s="1"/>
  <c r="O2737" i="58"/>
  <c r="N2737" i="58"/>
  <c r="P2736" i="58"/>
  <c r="Q2736" i="58" s="1"/>
  <c r="R2736" i="58" s="1"/>
  <c r="O2736" i="58"/>
  <c r="O2735" i="58"/>
  <c r="P2735" i="58" s="1"/>
  <c r="O2734" i="58"/>
  <c r="P2734" i="58" s="1"/>
  <c r="I2734" i="58"/>
  <c r="J2734" i="58" s="1"/>
  <c r="O2733" i="58"/>
  <c r="P2733" i="58" s="1"/>
  <c r="I2733" i="58"/>
  <c r="J2733" i="58" s="1"/>
  <c r="J2731" i="58" s="1"/>
  <c r="O2732" i="58"/>
  <c r="P2732" i="58" s="1"/>
  <c r="Q2731" i="58"/>
  <c r="O2731" i="58"/>
  <c r="P2731" i="58" s="1"/>
  <c r="N2731" i="58"/>
  <c r="O2730" i="58"/>
  <c r="P2730" i="58" s="1"/>
  <c r="O2729" i="58"/>
  <c r="P2729" i="58" s="1"/>
  <c r="O2728" i="58"/>
  <c r="P2728" i="58" s="1"/>
  <c r="I2728" i="58"/>
  <c r="J2728" i="58" s="1"/>
  <c r="O2727" i="58"/>
  <c r="P2727" i="58" s="1"/>
  <c r="I2727" i="58"/>
  <c r="J2727" i="58" s="1"/>
  <c r="O2726" i="58"/>
  <c r="P2726" i="58" s="1"/>
  <c r="O2725" i="58"/>
  <c r="P2725" i="58" s="1"/>
  <c r="Q2725" i="58" s="1"/>
  <c r="N2725" i="58"/>
  <c r="O2724" i="58"/>
  <c r="P2724" i="58" s="1"/>
  <c r="L2724" i="58"/>
  <c r="L2719" i="58" s="1"/>
  <c r="P2723" i="58"/>
  <c r="O2723" i="58"/>
  <c r="O2722" i="58"/>
  <c r="P2722" i="58" s="1"/>
  <c r="I2722" i="58"/>
  <c r="J2722" i="58" s="1"/>
  <c r="O2721" i="58"/>
  <c r="P2721" i="58" s="1"/>
  <c r="I2721" i="58"/>
  <c r="J2721" i="58" s="1"/>
  <c r="O2720" i="58"/>
  <c r="P2720" i="58" s="1"/>
  <c r="O2719" i="58"/>
  <c r="P2719" i="58" s="1"/>
  <c r="Q2719" i="58" s="1"/>
  <c r="N2719" i="58"/>
  <c r="O2718" i="58"/>
  <c r="P2718" i="58" s="1"/>
  <c r="Q2718" i="58" s="1"/>
  <c r="Q2717" i="58" s="1"/>
  <c r="R2717" i="58" s="1"/>
  <c r="O2717" i="58"/>
  <c r="P2717" i="58" s="1"/>
  <c r="O2716" i="58"/>
  <c r="P2716" i="58" s="1"/>
  <c r="I2716" i="58"/>
  <c r="J2716" i="58" s="1"/>
  <c r="O2715" i="58"/>
  <c r="P2715" i="58" s="1"/>
  <c r="I2715" i="58"/>
  <c r="J2715" i="58" s="1"/>
  <c r="O2714" i="58"/>
  <c r="P2714" i="58" s="1"/>
  <c r="O2713" i="58"/>
  <c r="P2713" i="58" s="1"/>
  <c r="Q2713" i="58" s="1"/>
  <c r="N2713" i="58"/>
  <c r="O2712" i="58"/>
  <c r="P2712" i="58" s="1"/>
  <c r="O2711" i="58"/>
  <c r="P2711" i="58" s="1"/>
  <c r="P2710" i="58"/>
  <c r="O2710" i="58"/>
  <c r="J2710" i="58"/>
  <c r="I2710" i="58"/>
  <c r="O2709" i="58"/>
  <c r="P2709" i="58" s="1"/>
  <c r="I2709" i="58"/>
  <c r="J2709" i="58" s="1"/>
  <c r="O2708" i="58"/>
  <c r="P2708" i="58" s="1"/>
  <c r="O2707" i="58"/>
  <c r="P2707" i="58" s="1"/>
  <c r="Q2707" i="58" s="1"/>
  <c r="N2707" i="58"/>
  <c r="O2706" i="58"/>
  <c r="P2706" i="58" s="1"/>
  <c r="P2705" i="58"/>
  <c r="O2705" i="58"/>
  <c r="O2704" i="58"/>
  <c r="P2704" i="58" s="1"/>
  <c r="I2704" i="58"/>
  <c r="J2704" i="58" s="1"/>
  <c r="O2703" i="58"/>
  <c r="P2703" i="58" s="1"/>
  <c r="I2703" i="58"/>
  <c r="J2703" i="58" s="1"/>
  <c r="O2702" i="58"/>
  <c r="P2702" i="58" s="1"/>
  <c r="O2701" i="58"/>
  <c r="P2701" i="58" s="1"/>
  <c r="Q2701" i="58" s="1"/>
  <c r="N2701" i="58"/>
  <c r="O2700" i="58"/>
  <c r="P2700" i="58" s="1"/>
  <c r="O2699" i="58"/>
  <c r="P2699" i="58" s="1"/>
  <c r="O2698" i="58"/>
  <c r="P2698" i="58" s="1"/>
  <c r="I2698" i="58"/>
  <c r="J2698" i="58" s="1"/>
  <c r="O2697" i="58"/>
  <c r="P2697" i="58" s="1"/>
  <c r="I2697" i="58"/>
  <c r="J2697" i="58" s="1"/>
  <c r="O2696" i="58"/>
  <c r="P2696" i="58" s="1"/>
  <c r="O2695" i="58"/>
  <c r="P2695" i="58" s="1"/>
  <c r="Q2695" i="58" s="1"/>
  <c r="N2695" i="58"/>
  <c r="O2694" i="58"/>
  <c r="P2694" i="58" s="1"/>
  <c r="O2693" i="58"/>
  <c r="P2693" i="58" s="1"/>
  <c r="O2692" i="58"/>
  <c r="P2692" i="58" s="1"/>
  <c r="I2692" i="58"/>
  <c r="J2692" i="58" s="1"/>
  <c r="O2691" i="58"/>
  <c r="P2691" i="58" s="1"/>
  <c r="I2691" i="58"/>
  <c r="J2691" i="58" s="1"/>
  <c r="O2690" i="58"/>
  <c r="P2690" i="58" s="1"/>
  <c r="O2689" i="58"/>
  <c r="P2689" i="58" s="1"/>
  <c r="Q2689" i="58" s="1"/>
  <c r="N2689" i="58"/>
  <c r="O2688" i="58"/>
  <c r="P2688" i="58" s="1"/>
  <c r="P2687" i="58"/>
  <c r="O2687" i="58"/>
  <c r="O2686" i="58"/>
  <c r="P2686" i="58" s="1"/>
  <c r="I2686" i="58"/>
  <c r="J2686" i="58" s="1"/>
  <c r="O2685" i="58"/>
  <c r="P2685" i="58" s="1"/>
  <c r="I2685" i="58"/>
  <c r="J2685" i="58" s="1"/>
  <c r="P2684" i="58"/>
  <c r="O2684" i="58"/>
  <c r="O2683" i="58"/>
  <c r="P2683" i="58" s="1"/>
  <c r="Q2683" i="58" s="1"/>
  <c r="N2683" i="58"/>
  <c r="O2681" i="58"/>
  <c r="P2681" i="58" s="1"/>
  <c r="Q2681" i="58" s="1"/>
  <c r="R2681" i="58" s="1"/>
  <c r="O2680" i="58"/>
  <c r="P2680" i="58" s="1"/>
  <c r="Q2680" i="58" s="1"/>
  <c r="R2680" i="58" s="1"/>
  <c r="O2679" i="58"/>
  <c r="P2679" i="58" s="1"/>
  <c r="I2679" i="58"/>
  <c r="J2679" i="58" s="1"/>
  <c r="O2678" i="58"/>
  <c r="P2678" i="58" s="1"/>
  <c r="I2678" i="58"/>
  <c r="J2678" i="58" s="1"/>
  <c r="J2676" i="58" s="1"/>
  <c r="O2677" i="58"/>
  <c r="P2677" i="58" s="1"/>
  <c r="P2676" i="58"/>
  <c r="Q2676" i="58" s="1"/>
  <c r="O2676" i="58"/>
  <c r="N2676" i="58"/>
  <c r="P2675" i="58"/>
  <c r="O2675" i="58"/>
  <c r="O2674" i="58"/>
  <c r="P2674" i="58" s="1"/>
  <c r="O2673" i="58"/>
  <c r="P2673" i="58" s="1"/>
  <c r="I2673" i="58"/>
  <c r="J2673" i="58" s="1"/>
  <c r="O2672" i="58"/>
  <c r="P2672" i="58" s="1"/>
  <c r="J2672" i="58"/>
  <c r="I2672" i="58"/>
  <c r="O2671" i="58"/>
  <c r="P2671" i="58" s="1"/>
  <c r="O2670" i="58"/>
  <c r="P2670" i="58" s="1"/>
  <c r="Q2670" i="58" s="1"/>
  <c r="N2670" i="58"/>
  <c r="O2669" i="58"/>
  <c r="P2669" i="58" s="1"/>
  <c r="P2668" i="58"/>
  <c r="O2668" i="58"/>
  <c r="O2667" i="58"/>
  <c r="P2667" i="58" s="1"/>
  <c r="I2667" i="58"/>
  <c r="J2667" i="58" s="1"/>
  <c r="O2666" i="58"/>
  <c r="P2666" i="58" s="1"/>
  <c r="I2666" i="58"/>
  <c r="J2666" i="58" s="1"/>
  <c r="O2665" i="58"/>
  <c r="P2665" i="58" s="1"/>
  <c r="O2664" i="58"/>
  <c r="P2664" i="58" s="1"/>
  <c r="Q2664" i="58" s="1"/>
  <c r="N2664" i="58"/>
  <c r="O2663" i="58"/>
  <c r="P2663" i="58" s="1"/>
  <c r="Q2663" i="58" s="1"/>
  <c r="R2663" i="58" s="1"/>
  <c r="O2662" i="58"/>
  <c r="P2662" i="58" s="1"/>
  <c r="O2661" i="58"/>
  <c r="P2661" i="58" s="1"/>
  <c r="I2661" i="58"/>
  <c r="J2661" i="58" s="1"/>
  <c r="O2660" i="58"/>
  <c r="P2660" i="58" s="1"/>
  <c r="I2660" i="58"/>
  <c r="J2660" i="58" s="1"/>
  <c r="O2659" i="58"/>
  <c r="P2659" i="58" s="1"/>
  <c r="O2658" i="58"/>
  <c r="P2658" i="58" s="1"/>
  <c r="Q2658" i="58" s="1"/>
  <c r="N2658" i="58"/>
  <c r="P2657" i="58"/>
  <c r="O2657" i="58"/>
  <c r="L2657" i="58"/>
  <c r="P2656" i="58"/>
  <c r="O2656" i="58"/>
  <c r="P2655" i="58"/>
  <c r="O2655" i="58"/>
  <c r="I2655" i="58"/>
  <c r="J2655" i="58" s="1"/>
  <c r="O2654" i="58"/>
  <c r="P2654" i="58" s="1"/>
  <c r="I2654" i="58"/>
  <c r="J2654" i="58" s="1"/>
  <c r="O2653" i="58"/>
  <c r="P2653" i="58" s="1"/>
  <c r="O2652" i="58"/>
  <c r="P2652" i="58" s="1"/>
  <c r="Q2652" i="58" s="1"/>
  <c r="N2652" i="58"/>
  <c r="L2652" i="58"/>
  <c r="O2651" i="58"/>
  <c r="P2651" i="58" s="1"/>
  <c r="L2651" i="58"/>
  <c r="L2646" i="58" s="1"/>
  <c r="O2650" i="58"/>
  <c r="P2650" i="58" s="1"/>
  <c r="O2649" i="58"/>
  <c r="P2649" i="58" s="1"/>
  <c r="I2649" i="58"/>
  <c r="J2649" i="58" s="1"/>
  <c r="P2648" i="58"/>
  <c r="O2648" i="58"/>
  <c r="I2648" i="58"/>
  <c r="J2648" i="58" s="1"/>
  <c r="J2646" i="58" s="1"/>
  <c r="O2647" i="58"/>
  <c r="P2647" i="58" s="1"/>
  <c r="O2646" i="58"/>
  <c r="P2646" i="58" s="1"/>
  <c r="Q2646" i="58" s="1"/>
  <c r="N2646" i="58"/>
  <c r="O2645" i="58"/>
  <c r="P2645" i="58" s="1"/>
  <c r="L2645" i="58"/>
  <c r="L2640" i="58" s="1"/>
  <c r="O2644" i="58"/>
  <c r="P2644" i="58" s="1"/>
  <c r="O2643" i="58"/>
  <c r="P2643" i="58" s="1"/>
  <c r="J2643" i="58"/>
  <c r="J2640" i="58" s="1"/>
  <c r="I2643" i="58"/>
  <c r="O2642" i="58"/>
  <c r="P2642" i="58" s="1"/>
  <c r="I2642" i="58"/>
  <c r="J2642" i="58" s="1"/>
  <c r="O2641" i="58"/>
  <c r="P2641" i="58" s="1"/>
  <c r="O2640" i="58"/>
  <c r="P2640" i="58" s="1"/>
  <c r="Q2640" i="58" s="1"/>
  <c r="N2640" i="58"/>
  <c r="O2639" i="58"/>
  <c r="P2639" i="58" s="1"/>
  <c r="O2638" i="58"/>
  <c r="P2638" i="58" s="1"/>
  <c r="O2637" i="58"/>
  <c r="P2637" i="58" s="1"/>
  <c r="I2637" i="58"/>
  <c r="J2637" i="58" s="1"/>
  <c r="O2636" i="58"/>
  <c r="P2636" i="58" s="1"/>
  <c r="J2636" i="58"/>
  <c r="I2636" i="58"/>
  <c r="O2635" i="58"/>
  <c r="P2635" i="58" s="1"/>
  <c r="O2634" i="58"/>
  <c r="P2634" i="58" s="1"/>
  <c r="Q2634" i="58" s="1"/>
  <c r="N2634" i="58"/>
  <c r="O2633" i="58"/>
  <c r="P2633" i="58" s="1"/>
  <c r="Q2633" i="58" s="1"/>
  <c r="R2633" i="58" s="1"/>
  <c r="O2632" i="58"/>
  <c r="P2632" i="58" s="1"/>
  <c r="O2631" i="58"/>
  <c r="P2631" i="58" s="1"/>
  <c r="I2631" i="58"/>
  <c r="J2631" i="58" s="1"/>
  <c r="O2630" i="58"/>
  <c r="P2630" i="58" s="1"/>
  <c r="I2630" i="58"/>
  <c r="J2630" i="58" s="1"/>
  <c r="O2629" i="58"/>
  <c r="P2629" i="58" s="1"/>
  <c r="P2628" i="58"/>
  <c r="Q2628" i="58" s="1"/>
  <c r="O2628" i="58"/>
  <c r="N2628" i="58"/>
  <c r="O2626" i="58"/>
  <c r="P2626" i="58" s="1"/>
  <c r="Q2626" i="58" s="1"/>
  <c r="O2625" i="58"/>
  <c r="P2625" i="58" s="1"/>
  <c r="O2624" i="58"/>
  <c r="P2624" i="58" s="1"/>
  <c r="I2624" i="58"/>
  <c r="J2624" i="58" s="1"/>
  <c r="O2623" i="58"/>
  <c r="P2623" i="58" s="1"/>
  <c r="I2623" i="58"/>
  <c r="J2623" i="58" s="1"/>
  <c r="J2621" i="58" s="1"/>
  <c r="O2622" i="58"/>
  <c r="P2622" i="58" s="1"/>
  <c r="O2621" i="58"/>
  <c r="P2621" i="58" s="1"/>
  <c r="Q2621" i="58" s="1"/>
  <c r="Q2620" i="58" s="1"/>
  <c r="R2620" i="58" s="1"/>
  <c r="N2621" i="58"/>
  <c r="O2620" i="58"/>
  <c r="P2620" i="58" s="1"/>
  <c r="O2619" i="58"/>
  <c r="P2619" i="58" s="1"/>
  <c r="P2618" i="58"/>
  <c r="O2618" i="58"/>
  <c r="I2618" i="58"/>
  <c r="J2618" i="58" s="1"/>
  <c r="P2617" i="58"/>
  <c r="O2617" i="58"/>
  <c r="I2617" i="58"/>
  <c r="J2617" i="58" s="1"/>
  <c r="O2616" i="58"/>
  <c r="P2616" i="58" s="1"/>
  <c r="P2615" i="58"/>
  <c r="Q2615" i="58" s="1"/>
  <c r="O2615" i="58"/>
  <c r="N2615" i="58"/>
  <c r="O2614" i="58"/>
  <c r="P2614" i="58" s="1"/>
  <c r="P2613" i="58"/>
  <c r="O2613" i="58"/>
  <c r="O2612" i="58"/>
  <c r="P2612" i="58" s="1"/>
  <c r="I2612" i="58"/>
  <c r="J2612" i="58" s="1"/>
  <c r="O2611" i="58"/>
  <c r="P2611" i="58" s="1"/>
  <c r="I2611" i="58"/>
  <c r="J2611" i="58" s="1"/>
  <c r="O2610" i="58"/>
  <c r="P2610" i="58" s="1"/>
  <c r="O2609" i="58"/>
  <c r="P2609" i="58" s="1"/>
  <c r="Q2609" i="58" s="1"/>
  <c r="N2609" i="58"/>
  <c r="J2609" i="58"/>
  <c r="O2608" i="58"/>
  <c r="P2608" i="58" s="1"/>
  <c r="O2607" i="58"/>
  <c r="P2607" i="58" s="1"/>
  <c r="O2606" i="58"/>
  <c r="P2606" i="58" s="1"/>
  <c r="I2606" i="58"/>
  <c r="J2606" i="58" s="1"/>
  <c r="O2605" i="58"/>
  <c r="P2605" i="58" s="1"/>
  <c r="I2605" i="58"/>
  <c r="J2605" i="58" s="1"/>
  <c r="O2604" i="58"/>
  <c r="P2604" i="58" s="1"/>
  <c r="O2603" i="58"/>
  <c r="P2603" i="58" s="1"/>
  <c r="Q2603" i="58" s="1"/>
  <c r="N2603" i="58"/>
  <c r="L2603" i="58"/>
  <c r="O2602" i="58"/>
  <c r="P2602" i="58" s="1"/>
  <c r="O2601" i="58"/>
  <c r="P2601" i="58" s="1"/>
  <c r="P2600" i="58"/>
  <c r="O2600" i="58"/>
  <c r="I2600" i="58"/>
  <c r="J2600" i="58" s="1"/>
  <c r="O2599" i="58"/>
  <c r="P2599" i="58" s="1"/>
  <c r="I2599" i="58"/>
  <c r="J2599" i="58" s="1"/>
  <c r="P2598" i="58"/>
  <c r="O2598" i="58"/>
  <c r="O2597" i="58"/>
  <c r="P2597" i="58" s="1"/>
  <c r="Q2597" i="58" s="1"/>
  <c r="N2597" i="58"/>
  <c r="O2596" i="58"/>
  <c r="P2596" i="58" s="1"/>
  <c r="O2595" i="58"/>
  <c r="P2595" i="58" s="1"/>
  <c r="O2594" i="58"/>
  <c r="P2594" i="58" s="1"/>
  <c r="I2594" i="58"/>
  <c r="J2594" i="58" s="1"/>
  <c r="P2593" i="58"/>
  <c r="O2593" i="58"/>
  <c r="I2593" i="58"/>
  <c r="J2593" i="58" s="1"/>
  <c r="O2592" i="58"/>
  <c r="P2592" i="58" s="1"/>
  <c r="O2591" i="58"/>
  <c r="P2591" i="58" s="1"/>
  <c r="Q2591" i="58" s="1"/>
  <c r="N2591" i="58"/>
  <c r="O2590" i="58"/>
  <c r="P2590" i="58" s="1"/>
  <c r="O2589" i="58"/>
  <c r="P2589" i="58" s="1"/>
  <c r="O2588" i="58"/>
  <c r="P2588" i="58" s="1"/>
  <c r="I2588" i="58"/>
  <c r="J2588" i="58" s="1"/>
  <c r="P2587" i="58"/>
  <c r="O2587" i="58"/>
  <c r="I2587" i="58"/>
  <c r="J2587" i="58" s="1"/>
  <c r="J2585" i="58" s="1"/>
  <c r="O2586" i="58"/>
  <c r="P2586" i="58" s="1"/>
  <c r="P2585" i="58"/>
  <c r="Q2585" i="58" s="1"/>
  <c r="O2585" i="58"/>
  <c r="N2585" i="58"/>
  <c r="P2584" i="58"/>
  <c r="Q2584" i="58" s="1"/>
  <c r="R2584" i="58" s="1"/>
  <c r="O2584" i="58"/>
  <c r="O2583" i="58"/>
  <c r="P2583" i="58" s="1"/>
  <c r="P2582" i="58"/>
  <c r="O2582" i="58"/>
  <c r="I2582" i="58"/>
  <c r="J2582" i="58" s="1"/>
  <c r="O2581" i="58"/>
  <c r="P2581" i="58" s="1"/>
  <c r="I2581" i="58"/>
  <c r="J2581" i="58" s="1"/>
  <c r="P2580" i="58"/>
  <c r="O2580" i="58"/>
  <c r="P2579" i="58"/>
  <c r="Q2579" i="58" s="1"/>
  <c r="O2579" i="58"/>
  <c r="N2579" i="58"/>
  <c r="O2578" i="58"/>
  <c r="P2578" i="58" s="1"/>
  <c r="O2577" i="58"/>
  <c r="P2577" i="58" s="1"/>
  <c r="O2576" i="58"/>
  <c r="P2576" i="58" s="1"/>
  <c r="I2576" i="58"/>
  <c r="J2576" i="58" s="1"/>
  <c r="O2575" i="58"/>
  <c r="P2575" i="58" s="1"/>
  <c r="I2575" i="58"/>
  <c r="J2575" i="58" s="1"/>
  <c r="O2574" i="58"/>
  <c r="P2574" i="58" s="1"/>
  <c r="O2573" i="58"/>
  <c r="P2573" i="58" s="1"/>
  <c r="Q2573" i="58" s="1"/>
  <c r="N2573" i="58"/>
  <c r="O2572" i="58"/>
  <c r="P2572" i="58" s="1"/>
  <c r="P2571" i="58"/>
  <c r="O2571" i="58"/>
  <c r="O2570" i="58"/>
  <c r="P2570" i="58" s="1"/>
  <c r="I2570" i="58"/>
  <c r="J2570" i="58" s="1"/>
  <c r="P2569" i="58"/>
  <c r="O2569" i="58"/>
  <c r="I2569" i="58"/>
  <c r="J2569" i="58" s="1"/>
  <c r="O2568" i="58"/>
  <c r="P2568" i="58" s="1"/>
  <c r="O2567" i="58"/>
  <c r="P2567" i="58" s="1"/>
  <c r="Q2567" i="58" s="1"/>
  <c r="N2567" i="58"/>
  <c r="O2566" i="58"/>
  <c r="P2566" i="58" s="1"/>
  <c r="Q2566" i="58" s="1"/>
  <c r="R2566" i="58" s="1"/>
  <c r="P2565" i="58"/>
  <c r="O2565" i="58"/>
  <c r="O2564" i="58"/>
  <c r="P2564" i="58" s="1"/>
  <c r="J2564" i="58"/>
  <c r="J2561" i="58" s="1"/>
  <c r="I2564" i="58"/>
  <c r="P2563" i="58"/>
  <c r="O2563" i="58"/>
  <c r="I2563" i="58"/>
  <c r="J2563" i="58" s="1"/>
  <c r="O2562" i="58"/>
  <c r="P2562" i="58" s="1"/>
  <c r="O2561" i="58"/>
  <c r="P2561" i="58" s="1"/>
  <c r="Q2561" i="58" s="1"/>
  <c r="N2561" i="58"/>
  <c r="O2560" i="58"/>
  <c r="P2560" i="58" s="1"/>
  <c r="Q2560" i="58" s="1"/>
  <c r="O2559" i="58"/>
  <c r="P2559" i="58" s="1"/>
  <c r="O2558" i="58"/>
  <c r="P2558" i="58" s="1"/>
  <c r="I2558" i="58"/>
  <c r="J2558" i="58" s="1"/>
  <c r="O2557" i="58"/>
  <c r="P2557" i="58" s="1"/>
  <c r="I2557" i="58"/>
  <c r="J2557" i="58" s="1"/>
  <c r="O2556" i="58"/>
  <c r="P2556" i="58" s="1"/>
  <c r="P2555" i="58"/>
  <c r="Q2555" i="58" s="1"/>
  <c r="O2555" i="58"/>
  <c r="N2555" i="58"/>
  <c r="O2554" i="58"/>
  <c r="P2554" i="58" s="1"/>
  <c r="O2553" i="58"/>
  <c r="P2553" i="58" s="1"/>
  <c r="P2552" i="58"/>
  <c r="O2552" i="58"/>
  <c r="I2552" i="58"/>
  <c r="J2552" i="58" s="1"/>
  <c r="O2551" i="58"/>
  <c r="P2551" i="58" s="1"/>
  <c r="I2551" i="58"/>
  <c r="J2551" i="58" s="1"/>
  <c r="J2549" i="58" s="1"/>
  <c r="O2550" i="58"/>
  <c r="P2550" i="58" s="1"/>
  <c r="P2549" i="58"/>
  <c r="Q2549" i="58" s="1"/>
  <c r="O2549" i="58"/>
  <c r="N2549" i="58"/>
  <c r="O2548" i="58"/>
  <c r="P2548" i="58" s="1"/>
  <c r="L2548" i="58"/>
  <c r="L2543" i="58" s="1"/>
  <c r="O2547" i="58"/>
  <c r="P2547" i="58" s="1"/>
  <c r="O2546" i="58"/>
  <c r="P2546" i="58" s="1"/>
  <c r="I2546" i="58"/>
  <c r="J2546" i="58" s="1"/>
  <c r="O2545" i="58"/>
  <c r="P2545" i="58" s="1"/>
  <c r="I2545" i="58"/>
  <c r="J2545" i="58" s="1"/>
  <c r="O2544" i="58"/>
  <c r="P2544" i="58" s="1"/>
  <c r="O2543" i="58"/>
  <c r="P2543" i="58" s="1"/>
  <c r="Q2543" i="58" s="1"/>
  <c r="N2543" i="58"/>
  <c r="O2542" i="58"/>
  <c r="P2542" i="58" s="1"/>
  <c r="Q2542" i="58" s="1"/>
  <c r="R2542" i="58" s="1"/>
  <c r="O2541" i="58"/>
  <c r="P2541" i="58" s="1"/>
  <c r="O2540" i="58"/>
  <c r="P2540" i="58" s="1"/>
  <c r="I2540" i="58"/>
  <c r="J2540" i="58" s="1"/>
  <c r="O2539" i="58"/>
  <c r="P2539" i="58" s="1"/>
  <c r="I2539" i="58"/>
  <c r="J2539" i="58" s="1"/>
  <c r="O2538" i="58"/>
  <c r="P2538" i="58" s="1"/>
  <c r="O2537" i="58"/>
  <c r="P2537" i="58" s="1"/>
  <c r="Q2537" i="58" s="1"/>
  <c r="N2537" i="58"/>
  <c r="O2536" i="58"/>
  <c r="P2536" i="58" s="1"/>
  <c r="Q2536" i="58" s="1"/>
  <c r="R2536" i="58" s="1"/>
  <c r="L2536" i="58"/>
  <c r="L2531" i="58" s="1"/>
  <c r="O2535" i="58"/>
  <c r="P2535" i="58" s="1"/>
  <c r="O2534" i="58"/>
  <c r="P2534" i="58" s="1"/>
  <c r="I2534" i="58"/>
  <c r="J2534" i="58" s="1"/>
  <c r="P2533" i="58"/>
  <c r="O2533" i="58"/>
  <c r="J2533" i="58"/>
  <c r="I2533" i="58"/>
  <c r="O2532" i="58"/>
  <c r="P2532" i="58" s="1"/>
  <c r="O2531" i="58"/>
  <c r="P2531" i="58" s="1"/>
  <c r="Q2531" i="58" s="1"/>
  <c r="N2531" i="58"/>
  <c r="P2529" i="58"/>
  <c r="O2529" i="58"/>
  <c r="L2529" i="58"/>
  <c r="L2524" i="58" s="1"/>
  <c r="O2528" i="58"/>
  <c r="P2528" i="58" s="1"/>
  <c r="O2527" i="58"/>
  <c r="P2527" i="58" s="1"/>
  <c r="I2527" i="58"/>
  <c r="J2527" i="58" s="1"/>
  <c r="O2526" i="58"/>
  <c r="P2526" i="58" s="1"/>
  <c r="I2526" i="58"/>
  <c r="J2526" i="58" s="1"/>
  <c r="J2524" i="58" s="1"/>
  <c r="O2525" i="58"/>
  <c r="P2525" i="58" s="1"/>
  <c r="P2524" i="58"/>
  <c r="Q2524" i="58" s="1"/>
  <c r="O2524" i="58"/>
  <c r="N2524" i="58"/>
  <c r="O2523" i="58"/>
  <c r="P2523" i="58" s="1"/>
  <c r="O2522" i="58"/>
  <c r="P2522" i="58" s="1"/>
  <c r="O2521" i="58"/>
  <c r="P2521" i="58" s="1"/>
  <c r="I2521" i="58"/>
  <c r="J2521" i="58" s="1"/>
  <c r="O2520" i="58"/>
  <c r="P2520" i="58" s="1"/>
  <c r="I2520" i="58"/>
  <c r="J2520" i="58" s="1"/>
  <c r="O2519" i="58"/>
  <c r="P2519" i="58" s="1"/>
  <c r="O2518" i="58"/>
  <c r="P2518" i="58" s="1"/>
  <c r="Q2518" i="58" s="1"/>
  <c r="N2518" i="58"/>
  <c r="O2517" i="58"/>
  <c r="P2517" i="58" s="1"/>
  <c r="O2516" i="58"/>
  <c r="P2516" i="58" s="1"/>
  <c r="O2515" i="58"/>
  <c r="P2515" i="58" s="1"/>
  <c r="I2515" i="58"/>
  <c r="J2515" i="58" s="1"/>
  <c r="O2514" i="58"/>
  <c r="P2514" i="58" s="1"/>
  <c r="I2514" i="58"/>
  <c r="J2514" i="58" s="1"/>
  <c r="O2513" i="58"/>
  <c r="P2513" i="58" s="1"/>
  <c r="O2512" i="58"/>
  <c r="P2512" i="58" s="1"/>
  <c r="Q2512" i="58" s="1"/>
  <c r="N2512" i="58"/>
  <c r="O2511" i="58"/>
  <c r="P2511" i="58" s="1"/>
  <c r="Q2511" i="58" s="1"/>
  <c r="R2511" i="58" s="1"/>
  <c r="O2510" i="58"/>
  <c r="P2510" i="58" s="1"/>
  <c r="Q2510" i="58" s="1"/>
  <c r="R2510" i="58" s="1"/>
  <c r="O2509" i="58"/>
  <c r="P2509" i="58" s="1"/>
  <c r="I2509" i="58"/>
  <c r="J2509" i="58" s="1"/>
  <c r="O2508" i="58"/>
  <c r="P2508" i="58" s="1"/>
  <c r="I2508" i="58"/>
  <c r="J2508" i="58" s="1"/>
  <c r="O2507" i="58"/>
  <c r="P2507" i="58" s="1"/>
  <c r="O2506" i="58"/>
  <c r="P2506" i="58" s="1"/>
  <c r="Q2506" i="58" s="1"/>
  <c r="N2506" i="58"/>
  <c r="O2505" i="58"/>
  <c r="P2505" i="58" s="1"/>
  <c r="O2504" i="58"/>
  <c r="P2504" i="58" s="1"/>
  <c r="O2503" i="58"/>
  <c r="P2503" i="58" s="1"/>
  <c r="J2503" i="58"/>
  <c r="I2503" i="58"/>
  <c r="O2502" i="58"/>
  <c r="P2502" i="58" s="1"/>
  <c r="I2502" i="58"/>
  <c r="J2502" i="58" s="1"/>
  <c r="O2501" i="58"/>
  <c r="P2501" i="58" s="1"/>
  <c r="P2500" i="58"/>
  <c r="Q2500" i="58" s="1"/>
  <c r="O2500" i="58"/>
  <c r="N2500" i="58"/>
  <c r="O2499" i="58"/>
  <c r="P2499" i="58" s="1"/>
  <c r="O2498" i="58"/>
  <c r="P2498" i="58" s="1"/>
  <c r="O2497" i="58"/>
  <c r="P2497" i="58" s="1"/>
  <c r="J2497" i="58"/>
  <c r="I2497" i="58"/>
  <c r="O2496" i="58"/>
  <c r="P2496" i="58" s="1"/>
  <c r="J2496" i="58"/>
  <c r="I2496" i="58"/>
  <c r="P2495" i="58"/>
  <c r="O2495" i="58"/>
  <c r="O2494" i="58"/>
  <c r="P2494" i="58" s="1"/>
  <c r="Q2494" i="58" s="1"/>
  <c r="N2494" i="58"/>
  <c r="O2493" i="58"/>
  <c r="P2493" i="58" s="1"/>
  <c r="O2492" i="58"/>
  <c r="P2492" i="58" s="1"/>
  <c r="O2491" i="58"/>
  <c r="P2491" i="58" s="1"/>
  <c r="I2491" i="58"/>
  <c r="J2491" i="58" s="1"/>
  <c r="O2490" i="58"/>
  <c r="P2490" i="58" s="1"/>
  <c r="J2490" i="58"/>
  <c r="J2488" i="58" s="1"/>
  <c r="I2490" i="58"/>
  <c r="O2489" i="58"/>
  <c r="P2489" i="58" s="1"/>
  <c r="O2488" i="58"/>
  <c r="P2488" i="58" s="1"/>
  <c r="Q2488" i="58" s="1"/>
  <c r="N2488" i="58"/>
  <c r="O2487" i="58"/>
  <c r="P2487" i="58" s="1"/>
  <c r="P2486" i="58"/>
  <c r="O2486" i="58"/>
  <c r="O2485" i="58"/>
  <c r="P2485" i="58" s="1"/>
  <c r="I2485" i="58"/>
  <c r="J2485" i="58" s="1"/>
  <c r="O2484" i="58"/>
  <c r="P2484" i="58" s="1"/>
  <c r="I2484" i="58"/>
  <c r="J2484" i="58" s="1"/>
  <c r="J2482" i="58" s="1"/>
  <c r="O2483" i="58"/>
  <c r="P2483" i="58" s="1"/>
  <c r="P2482" i="58"/>
  <c r="Q2482" i="58" s="1"/>
  <c r="O2482" i="58"/>
  <c r="N2482" i="58"/>
  <c r="O2481" i="58"/>
  <c r="P2481" i="58" s="1"/>
  <c r="O2480" i="58"/>
  <c r="P2480" i="58" s="1"/>
  <c r="O2479" i="58"/>
  <c r="P2479" i="58" s="1"/>
  <c r="I2479" i="58"/>
  <c r="J2479" i="58" s="1"/>
  <c r="O2478" i="58"/>
  <c r="P2478" i="58" s="1"/>
  <c r="I2478" i="58"/>
  <c r="J2478" i="58" s="1"/>
  <c r="P2477" i="58"/>
  <c r="O2477" i="58"/>
  <c r="O2476" i="58"/>
  <c r="P2476" i="58" s="1"/>
  <c r="Q2476" i="58" s="1"/>
  <c r="N2476" i="58"/>
  <c r="O2475" i="58"/>
  <c r="P2475" i="58" s="1"/>
  <c r="O2474" i="58"/>
  <c r="P2474" i="58" s="1"/>
  <c r="O2473" i="58"/>
  <c r="P2473" i="58" s="1"/>
  <c r="I2473" i="58"/>
  <c r="J2473" i="58" s="1"/>
  <c r="P2472" i="58"/>
  <c r="O2472" i="58"/>
  <c r="I2472" i="58"/>
  <c r="J2472" i="58" s="1"/>
  <c r="O2471" i="58"/>
  <c r="P2471" i="58" s="1"/>
  <c r="O2470" i="58"/>
  <c r="P2470" i="58" s="1"/>
  <c r="Q2470" i="58" s="1"/>
  <c r="N2470" i="58"/>
  <c r="O2469" i="58"/>
  <c r="P2469" i="58" s="1"/>
  <c r="O2468" i="58"/>
  <c r="P2468" i="58" s="1"/>
  <c r="O2467" i="58"/>
  <c r="P2467" i="58" s="1"/>
  <c r="I2467" i="58"/>
  <c r="J2467" i="58" s="1"/>
  <c r="O2466" i="58"/>
  <c r="P2466" i="58" s="1"/>
  <c r="I2466" i="58"/>
  <c r="J2466" i="58" s="1"/>
  <c r="O2465" i="58"/>
  <c r="P2465" i="58" s="1"/>
  <c r="O2464" i="58"/>
  <c r="P2464" i="58" s="1"/>
  <c r="Q2464" i="58" s="1"/>
  <c r="N2464" i="58"/>
  <c r="O2463" i="58"/>
  <c r="P2463" i="58" s="1"/>
  <c r="Q2463" i="58" s="1"/>
  <c r="R2463" i="58" s="1"/>
  <c r="L2463" i="58"/>
  <c r="L2458" i="58" s="1"/>
  <c r="O2462" i="58"/>
  <c r="P2462" i="58" s="1"/>
  <c r="O2461" i="58"/>
  <c r="P2461" i="58" s="1"/>
  <c r="J2461" i="58"/>
  <c r="I2461" i="58"/>
  <c r="O2460" i="58"/>
  <c r="P2460" i="58" s="1"/>
  <c r="I2460" i="58"/>
  <c r="J2460" i="58" s="1"/>
  <c r="P2459" i="58"/>
  <c r="O2459" i="58"/>
  <c r="P2458" i="58"/>
  <c r="Q2458" i="58" s="1"/>
  <c r="O2458" i="58"/>
  <c r="N2458" i="58"/>
  <c r="O2457" i="58"/>
  <c r="P2457" i="58" s="1"/>
  <c r="O2456" i="58"/>
  <c r="P2456" i="58" s="1"/>
  <c r="O2455" i="58"/>
  <c r="P2455" i="58" s="1"/>
  <c r="I2455" i="58"/>
  <c r="J2455" i="58" s="1"/>
  <c r="O2454" i="58"/>
  <c r="P2454" i="58" s="1"/>
  <c r="I2454" i="58"/>
  <c r="J2454" i="58" s="1"/>
  <c r="J2452" i="58" s="1"/>
  <c r="O2453" i="58"/>
  <c r="P2453" i="58" s="1"/>
  <c r="O2452" i="58"/>
  <c r="P2452" i="58" s="1"/>
  <c r="Q2452" i="58" s="1"/>
  <c r="N2452" i="58"/>
  <c r="O2451" i="58"/>
  <c r="P2451" i="58" s="1"/>
  <c r="O2450" i="58"/>
  <c r="P2450" i="58" s="1"/>
  <c r="O2449" i="58"/>
  <c r="P2449" i="58" s="1"/>
  <c r="I2449" i="58"/>
  <c r="J2449" i="58" s="1"/>
  <c r="O2448" i="58"/>
  <c r="P2448" i="58" s="1"/>
  <c r="J2448" i="58"/>
  <c r="I2448" i="58"/>
  <c r="O2447" i="58"/>
  <c r="P2447" i="58" s="1"/>
  <c r="O2446" i="58"/>
  <c r="P2446" i="58" s="1"/>
  <c r="Q2446" i="58" s="1"/>
  <c r="N2446" i="58"/>
  <c r="O2445" i="58"/>
  <c r="P2445" i="58" s="1"/>
  <c r="O2444" i="58"/>
  <c r="P2444" i="58" s="1"/>
  <c r="P2443" i="58"/>
  <c r="O2443" i="58"/>
  <c r="I2443" i="58"/>
  <c r="J2443" i="58" s="1"/>
  <c r="O2442" i="58"/>
  <c r="P2442" i="58" s="1"/>
  <c r="I2442" i="58"/>
  <c r="J2442" i="58" s="1"/>
  <c r="O2441" i="58"/>
  <c r="P2441" i="58" s="1"/>
  <c r="O2440" i="58"/>
  <c r="P2440" i="58" s="1"/>
  <c r="Q2440" i="58" s="1"/>
  <c r="N2440" i="58"/>
  <c r="O2439" i="58"/>
  <c r="P2439" i="58" s="1"/>
  <c r="P2438" i="58"/>
  <c r="O2438" i="58"/>
  <c r="P2437" i="58"/>
  <c r="O2437" i="58"/>
  <c r="I2437" i="58"/>
  <c r="J2437" i="58" s="1"/>
  <c r="P2436" i="58"/>
  <c r="O2436" i="58"/>
  <c r="I2436" i="58"/>
  <c r="J2436" i="58" s="1"/>
  <c r="O2435" i="58"/>
  <c r="P2435" i="58" s="1"/>
  <c r="P2434" i="58"/>
  <c r="Q2434" i="58" s="1"/>
  <c r="O2434" i="58"/>
  <c r="N2434" i="58"/>
  <c r="P2433" i="58"/>
  <c r="O2433" i="58"/>
  <c r="O2432" i="58"/>
  <c r="P2432" i="58" s="1"/>
  <c r="O2431" i="58"/>
  <c r="P2431" i="58" s="1"/>
  <c r="I2431" i="58"/>
  <c r="J2431" i="58" s="1"/>
  <c r="O2430" i="58"/>
  <c r="P2430" i="58" s="1"/>
  <c r="I2430" i="58"/>
  <c r="J2430" i="58" s="1"/>
  <c r="O2429" i="58"/>
  <c r="P2429" i="58" s="1"/>
  <c r="O2428" i="58"/>
  <c r="P2428" i="58" s="1"/>
  <c r="Q2428" i="58" s="1"/>
  <c r="N2428" i="58"/>
  <c r="L2428" i="58"/>
  <c r="O2427" i="58"/>
  <c r="P2427" i="58" s="1"/>
  <c r="Q2427" i="58" s="1"/>
  <c r="R2427" i="58" s="1"/>
  <c r="O2426" i="58"/>
  <c r="P2426" i="58" s="1"/>
  <c r="O2425" i="58"/>
  <c r="P2425" i="58" s="1"/>
  <c r="I2425" i="58"/>
  <c r="J2425" i="58" s="1"/>
  <c r="P2424" i="58"/>
  <c r="O2424" i="58"/>
  <c r="I2424" i="58"/>
  <c r="J2424" i="58" s="1"/>
  <c r="O2423" i="58"/>
  <c r="P2423" i="58" s="1"/>
  <c r="O2422" i="58"/>
  <c r="P2422" i="58" s="1"/>
  <c r="Q2422" i="58" s="1"/>
  <c r="N2422" i="58"/>
  <c r="O2421" i="58"/>
  <c r="P2421" i="58" s="1"/>
  <c r="P2420" i="58"/>
  <c r="O2420" i="58"/>
  <c r="O2419" i="58"/>
  <c r="P2419" i="58" s="1"/>
  <c r="I2419" i="58"/>
  <c r="J2419" i="58" s="1"/>
  <c r="O2418" i="58"/>
  <c r="P2418" i="58" s="1"/>
  <c r="I2418" i="58"/>
  <c r="J2418" i="58" s="1"/>
  <c r="O2417" i="58"/>
  <c r="P2417" i="58" s="1"/>
  <c r="O2416" i="58"/>
  <c r="P2416" i="58" s="1"/>
  <c r="Q2416" i="58" s="1"/>
  <c r="N2416" i="58"/>
  <c r="O2415" i="58"/>
  <c r="P2415" i="58" s="1"/>
  <c r="L2415" i="58"/>
  <c r="L2410" i="58" s="1"/>
  <c r="O2414" i="58"/>
  <c r="P2414" i="58" s="1"/>
  <c r="O2413" i="58"/>
  <c r="P2413" i="58" s="1"/>
  <c r="I2413" i="58"/>
  <c r="J2413" i="58" s="1"/>
  <c r="O2412" i="58"/>
  <c r="P2412" i="58" s="1"/>
  <c r="I2412" i="58"/>
  <c r="J2412" i="58" s="1"/>
  <c r="O2411" i="58"/>
  <c r="P2411" i="58" s="1"/>
  <c r="O2410" i="58"/>
  <c r="P2410" i="58" s="1"/>
  <c r="Q2410" i="58" s="1"/>
  <c r="N2410" i="58"/>
  <c r="O2409" i="58"/>
  <c r="P2409" i="58" s="1"/>
  <c r="O2408" i="58"/>
  <c r="P2408" i="58" s="1"/>
  <c r="P2407" i="58"/>
  <c r="O2407" i="58"/>
  <c r="I2407" i="58"/>
  <c r="J2407" i="58" s="1"/>
  <c r="O2406" i="58"/>
  <c r="P2406" i="58" s="1"/>
  <c r="I2406" i="58"/>
  <c r="J2406" i="58" s="1"/>
  <c r="O2405" i="58"/>
  <c r="P2405" i="58" s="1"/>
  <c r="O2404" i="58"/>
  <c r="P2404" i="58" s="1"/>
  <c r="Q2404" i="58" s="1"/>
  <c r="N2404" i="58"/>
  <c r="O2403" i="58"/>
  <c r="P2403" i="58" s="1"/>
  <c r="P2402" i="58"/>
  <c r="O2402" i="58"/>
  <c r="O2401" i="58"/>
  <c r="P2401" i="58" s="1"/>
  <c r="I2401" i="58"/>
  <c r="J2401" i="58" s="1"/>
  <c r="O2400" i="58"/>
  <c r="P2400" i="58" s="1"/>
  <c r="I2400" i="58"/>
  <c r="J2400" i="58" s="1"/>
  <c r="O2399" i="58"/>
  <c r="P2399" i="58" s="1"/>
  <c r="O2398" i="58"/>
  <c r="P2398" i="58" s="1"/>
  <c r="Q2398" i="58" s="1"/>
  <c r="N2398" i="58"/>
  <c r="O2397" i="58"/>
  <c r="P2397" i="58" s="1"/>
  <c r="O2396" i="58"/>
  <c r="P2396" i="58" s="1"/>
  <c r="P2395" i="58"/>
  <c r="O2395" i="58"/>
  <c r="I2395" i="58"/>
  <c r="J2395" i="58" s="1"/>
  <c r="O2394" i="58"/>
  <c r="P2394" i="58" s="1"/>
  <c r="I2394" i="58"/>
  <c r="J2394" i="58" s="1"/>
  <c r="J2392" i="58" s="1"/>
  <c r="O2393" i="58"/>
  <c r="P2393" i="58" s="1"/>
  <c r="O2392" i="58"/>
  <c r="P2392" i="58" s="1"/>
  <c r="Q2392" i="58" s="1"/>
  <c r="N2392" i="58"/>
  <c r="O2391" i="58"/>
  <c r="P2391" i="58" s="1"/>
  <c r="O2390" i="58"/>
  <c r="P2390" i="58" s="1"/>
  <c r="O2389" i="58"/>
  <c r="P2389" i="58" s="1"/>
  <c r="I2389" i="58"/>
  <c r="J2389" i="58" s="1"/>
  <c r="O2388" i="58"/>
  <c r="P2388" i="58" s="1"/>
  <c r="I2388" i="58"/>
  <c r="J2388" i="58" s="1"/>
  <c r="J2386" i="58" s="1"/>
  <c r="O2387" i="58"/>
  <c r="P2387" i="58" s="1"/>
  <c r="Q2386" i="58"/>
  <c r="O2386" i="58"/>
  <c r="P2386" i="58" s="1"/>
  <c r="N2386" i="58"/>
  <c r="O2385" i="58"/>
  <c r="P2385" i="58" s="1"/>
  <c r="P2384" i="58"/>
  <c r="O2384" i="58"/>
  <c r="O2383" i="58"/>
  <c r="P2383" i="58" s="1"/>
  <c r="I2383" i="58"/>
  <c r="J2383" i="58" s="1"/>
  <c r="O2382" i="58"/>
  <c r="P2382" i="58" s="1"/>
  <c r="I2382" i="58"/>
  <c r="J2382" i="58" s="1"/>
  <c r="O2381" i="58"/>
  <c r="P2381" i="58" s="1"/>
  <c r="O2380" i="58"/>
  <c r="P2380" i="58" s="1"/>
  <c r="Q2380" i="58" s="1"/>
  <c r="N2380" i="58"/>
  <c r="O2379" i="58"/>
  <c r="P2379" i="58" s="1"/>
  <c r="Q2379" i="58" s="1"/>
  <c r="R2379" i="58" s="1"/>
  <c r="O2378" i="58"/>
  <c r="P2378" i="58" s="1"/>
  <c r="O2377" i="58"/>
  <c r="P2377" i="58" s="1"/>
  <c r="I2377" i="58"/>
  <c r="J2377" i="58" s="1"/>
  <c r="O2376" i="58"/>
  <c r="P2376" i="58" s="1"/>
  <c r="I2376" i="58"/>
  <c r="J2376" i="58" s="1"/>
  <c r="O2375" i="58"/>
  <c r="P2375" i="58" s="1"/>
  <c r="O2374" i="58"/>
  <c r="P2374" i="58" s="1"/>
  <c r="Q2374" i="58" s="1"/>
  <c r="N2374" i="58"/>
  <c r="O2373" i="58"/>
  <c r="P2373" i="58" s="1"/>
  <c r="Q2373" i="58" s="1"/>
  <c r="O2372" i="58"/>
  <c r="P2372" i="58" s="1"/>
  <c r="O2371" i="58"/>
  <c r="P2371" i="58" s="1"/>
  <c r="I2371" i="58"/>
  <c r="J2371" i="58" s="1"/>
  <c r="O2370" i="58"/>
  <c r="P2370" i="58" s="1"/>
  <c r="I2370" i="58"/>
  <c r="J2370" i="58" s="1"/>
  <c r="P2369" i="58"/>
  <c r="O2369" i="58"/>
  <c r="O2368" i="58"/>
  <c r="P2368" i="58" s="1"/>
  <c r="Q2368" i="58" s="1"/>
  <c r="N2368" i="58"/>
  <c r="O2367" i="58"/>
  <c r="P2367" i="58" s="1"/>
  <c r="P2366" i="58"/>
  <c r="O2366" i="58"/>
  <c r="O2365" i="58"/>
  <c r="P2365" i="58" s="1"/>
  <c r="I2365" i="58"/>
  <c r="J2365" i="58" s="1"/>
  <c r="O2364" i="58"/>
  <c r="P2364" i="58" s="1"/>
  <c r="I2364" i="58"/>
  <c r="J2364" i="58" s="1"/>
  <c r="P2363" i="58"/>
  <c r="O2363" i="58"/>
  <c r="P2362" i="58"/>
  <c r="Q2362" i="58" s="1"/>
  <c r="O2362" i="58"/>
  <c r="N2362" i="58"/>
  <c r="P2361" i="58"/>
  <c r="O2361" i="58"/>
  <c r="O2360" i="58"/>
  <c r="P2360" i="58" s="1"/>
  <c r="O2359" i="58"/>
  <c r="P2359" i="58" s="1"/>
  <c r="I2359" i="58"/>
  <c r="J2359" i="58" s="1"/>
  <c r="P2358" i="58"/>
  <c r="O2358" i="58"/>
  <c r="I2358" i="58"/>
  <c r="J2358" i="58" s="1"/>
  <c r="O2357" i="58"/>
  <c r="P2357" i="58" s="1"/>
  <c r="O2356" i="58"/>
  <c r="P2356" i="58" s="1"/>
  <c r="Q2356" i="58" s="1"/>
  <c r="Q2355" i="58" s="1"/>
  <c r="N2356" i="58"/>
  <c r="R2355" i="58"/>
  <c r="P2355" i="58"/>
  <c r="O2355" i="58"/>
  <c r="L2355" i="58"/>
  <c r="L2350" i="58" s="1"/>
  <c r="O2354" i="58"/>
  <c r="P2354" i="58" s="1"/>
  <c r="P2353" i="58"/>
  <c r="O2353" i="58"/>
  <c r="I2353" i="58"/>
  <c r="J2353" i="58" s="1"/>
  <c r="O2352" i="58"/>
  <c r="P2352" i="58" s="1"/>
  <c r="I2352" i="58"/>
  <c r="J2352" i="58" s="1"/>
  <c r="J2350" i="58" s="1"/>
  <c r="O2351" i="58"/>
  <c r="P2351" i="58" s="1"/>
  <c r="O2350" i="58"/>
  <c r="P2350" i="58" s="1"/>
  <c r="Q2350" i="58" s="1"/>
  <c r="N2350" i="58"/>
  <c r="O2349" i="58"/>
  <c r="P2349" i="58" s="1"/>
  <c r="O2348" i="58"/>
  <c r="P2348" i="58" s="1"/>
  <c r="O2347" i="58"/>
  <c r="P2347" i="58" s="1"/>
  <c r="I2347" i="58"/>
  <c r="J2347" i="58" s="1"/>
  <c r="O2346" i="58"/>
  <c r="P2346" i="58" s="1"/>
  <c r="I2346" i="58"/>
  <c r="J2346" i="58" s="1"/>
  <c r="O2345" i="58"/>
  <c r="P2345" i="58" s="1"/>
  <c r="O2344" i="58"/>
  <c r="P2344" i="58" s="1"/>
  <c r="Q2344" i="58" s="1"/>
  <c r="N2344" i="58"/>
  <c r="O2343" i="58"/>
  <c r="P2343" i="58" s="1"/>
  <c r="O2342" i="58"/>
  <c r="P2342" i="58" s="1"/>
  <c r="O2341" i="58"/>
  <c r="P2341" i="58" s="1"/>
  <c r="I2341" i="58"/>
  <c r="J2341" i="58" s="1"/>
  <c r="P2340" i="58"/>
  <c r="O2340" i="58"/>
  <c r="I2340" i="58"/>
  <c r="J2340" i="58" s="1"/>
  <c r="O2339" i="58"/>
  <c r="P2339" i="58" s="1"/>
  <c r="O2338" i="58"/>
  <c r="P2338" i="58" s="1"/>
  <c r="Q2338" i="58" s="1"/>
  <c r="N2338" i="58"/>
  <c r="P2337" i="58"/>
  <c r="O2337" i="58"/>
  <c r="P2336" i="58"/>
  <c r="O2336" i="58"/>
  <c r="O2335" i="58"/>
  <c r="P2335" i="58" s="1"/>
  <c r="I2335" i="58"/>
  <c r="J2335" i="58" s="1"/>
  <c r="O2334" i="58"/>
  <c r="P2334" i="58" s="1"/>
  <c r="I2334" i="58"/>
  <c r="J2334" i="58" s="1"/>
  <c r="P2333" i="58"/>
  <c r="O2333" i="58"/>
  <c r="O2332" i="58"/>
  <c r="P2332" i="58" s="1"/>
  <c r="Q2332" i="58" s="1"/>
  <c r="Q2331" i="58" s="1"/>
  <c r="N2332" i="58"/>
  <c r="P2331" i="58"/>
  <c r="O2331" i="58"/>
  <c r="P2330" i="58"/>
  <c r="O2330" i="58"/>
  <c r="O2329" i="58"/>
  <c r="P2329" i="58" s="1"/>
  <c r="I2329" i="58"/>
  <c r="J2329" i="58" s="1"/>
  <c r="O2328" i="58"/>
  <c r="P2328" i="58" s="1"/>
  <c r="I2328" i="58"/>
  <c r="J2328" i="58" s="1"/>
  <c r="O2327" i="58"/>
  <c r="P2327" i="58" s="1"/>
  <c r="O2326" i="58"/>
  <c r="P2326" i="58" s="1"/>
  <c r="Q2326" i="58" s="1"/>
  <c r="N2326" i="58"/>
  <c r="O2325" i="58"/>
  <c r="P2325" i="58" s="1"/>
  <c r="P2324" i="58"/>
  <c r="O2324" i="58"/>
  <c r="O2323" i="58"/>
  <c r="P2323" i="58" s="1"/>
  <c r="I2323" i="58"/>
  <c r="J2323" i="58" s="1"/>
  <c r="O2322" i="58"/>
  <c r="P2322" i="58" s="1"/>
  <c r="I2322" i="58"/>
  <c r="J2322" i="58" s="1"/>
  <c r="J2320" i="58" s="1"/>
  <c r="O2321" i="58"/>
  <c r="P2321" i="58" s="1"/>
  <c r="O2320" i="58"/>
  <c r="P2320" i="58" s="1"/>
  <c r="Q2320" i="58" s="1"/>
  <c r="N2320" i="58"/>
  <c r="O2319" i="58"/>
  <c r="P2319" i="58" s="1"/>
  <c r="O2318" i="58"/>
  <c r="P2318" i="58" s="1"/>
  <c r="O2317" i="58"/>
  <c r="P2317" i="58" s="1"/>
  <c r="I2317" i="58"/>
  <c r="J2317" i="58" s="1"/>
  <c r="O2316" i="58"/>
  <c r="P2316" i="58" s="1"/>
  <c r="I2316" i="58"/>
  <c r="J2316" i="58" s="1"/>
  <c r="O2315" i="58"/>
  <c r="P2315" i="58" s="1"/>
  <c r="P2314" i="58"/>
  <c r="Q2314" i="58" s="1"/>
  <c r="O2314" i="58"/>
  <c r="N2314" i="58"/>
  <c r="O2313" i="58"/>
  <c r="P2313" i="58" s="1"/>
  <c r="O2312" i="58"/>
  <c r="P2312" i="58" s="1"/>
  <c r="O2311" i="58"/>
  <c r="P2311" i="58" s="1"/>
  <c r="I2311" i="58"/>
  <c r="J2311" i="58" s="1"/>
  <c r="O2310" i="58"/>
  <c r="P2310" i="58" s="1"/>
  <c r="I2310" i="58"/>
  <c r="J2310" i="58" s="1"/>
  <c r="O2309" i="58"/>
  <c r="P2309" i="58" s="1"/>
  <c r="O2308" i="58"/>
  <c r="P2308" i="58" s="1"/>
  <c r="Q2308" i="58" s="1"/>
  <c r="N2308" i="58"/>
  <c r="O2307" i="58"/>
  <c r="P2307" i="58" s="1"/>
  <c r="Q2307" i="58" s="1"/>
  <c r="R2307" i="58" s="1"/>
  <c r="P2306" i="58"/>
  <c r="O2306" i="58"/>
  <c r="P2305" i="58"/>
  <c r="O2305" i="58"/>
  <c r="J2305" i="58"/>
  <c r="I2305" i="58"/>
  <c r="O2304" i="58"/>
  <c r="P2304" i="58" s="1"/>
  <c r="I2304" i="58"/>
  <c r="J2304" i="58" s="1"/>
  <c r="O2303" i="58"/>
  <c r="P2303" i="58" s="1"/>
  <c r="O2302" i="58"/>
  <c r="P2302" i="58" s="1"/>
  <c r="Q2302" i="58" s="1"/>
  <c r="N2302" i="58"/>
  <c r="O2301" i="58"/>
  <c r="P2301" i="58" s="1"/>
  <c r="O2300" i="58"/>
  <c r="P2300" i="58" s="1"/>
  <c r="P2299" i="58"/>
  <c r="O2299" i="58"/>
  <c r="I2299" i="58"/>
  <c r="J2299" i="58" s="1"/>
  <c r="P2298" i="58"/>
  <c r="O2298" i="58"/>
  <c r="J2298" i="58"/>
  <c r="J2296" i="58" s="1"/>
  <c r="I2298" i="58"/>
  <c r="P2297" i="58"/>
  <c r="O2297" i="58"/>
  <c r="O2296" i="58"/>
  <c r="P2296" i="58" s="1"/>
  <c r="Q2296" i="58" s="1"/>
  <c r="N2296" i="58"/>
  <c r="O2295" i="58"/>
  <c r="P2295" i="58" s="1"/>
  <c r="O2294" i="58"/>
  <c r="P2294" i="58" s="1"/>
  <c r="P2293" i="58"/>
  <c r="O2293" i="58"/>
  <c r="I2293" i="58"/>
  <c r="J2293" i="58" s="1"/>
  <c r="O2292" i="58"/>
  <c r="P2292" i="58" s="1"/>
  <c r="J2292" i="58"/>
  <c r="J2290" i="58" s="1"/>
  <c r="I2292" i="58"/>
  <c r="O2291" i="58"/>
  <c r="P2291" i="58" s="1"/>
  <c r="O2290" i="58"/>
  <c r="P2290" i="58" s="1"/>
  <c r="Q2290" i="58" s="1"/>
  <c r="N2290" i="58"/>
  <c r="O2289" i="58"/>
  <c r="P2289" i="58" s="1"/>
  <c r="O2288" i="58"/>
  <c r="P2288" i="58" s="1"/>
  <c r="O2287" i="58"/>
  <c r="P2287" i="58" s="1"/>
  <c r="I2287" i="58"/>
  <c r="J2287" i="58" s="1"/>
  <c r="O2286" i="58"/>
  <c r="P2286" i="58" s="1"/>
  <c r="I2286" i="58"/>
  <c r="J2286" i="58" s="1"/>
  <c r="O2285" i="58"/>
  <c r="P2285" i="58" s="1"/>
  <c r="O2284" i="58"/>
  <c r="P2284" i="58" s="1"/>
  <c r="Q2284" i="58" s="1"/>
  <c r="N2284" i="58"/>
  <c r="P2283" i="58"/>
  <c r="Q2283" i="58" s="1"/>
  <c r="O2283" i="58"/>
  <c r="O2282" i="58"/>
  <c r="P2282" i="58" s="1"/>
  <c r="O2281" i="58"/>
  <c r="P2281" i="58" s="1"/>
  <c r="I2281" i="58"/>
  <c r="J2281" i="58" s="1"/>
  <c r="O2280" i="58"/>
  <c r="P2280" i="58" s="1"/>
  <c r="I2280" i="58"/>
  <c r="J2280" i="58" s="1"/>
  <c r="J2278" i="58" s="1"/>
  <c r="P2279" i="58"/>
  <c r="O2279" i="58"/>
  <c r="O2278" i="58"/>
  <c r="P2278" i="58" s="1"/>
  <c r="Q2278" i="58" s="1"/>
  <c r="N2278" i="58"/>
  <c r="O2277" i="58"/>
  <c r="P2277" i="58" s="1"/>
  <c r="L2277" i="58"/>
  <c r="L2272" i="58" s="1"/>
  <c r="P2276" i="58"/>
  <c r="O2276" i="58"/>
  <c r="O2275" i="58"/>
  <c r="P2275" i="58" s="1"/>
  <c r="I2275" i="58"/>
  <c r="J2275" i="58" s="1"/>
  <c r="O2274" i="58"/>
  <c r="P2274" i="58" s="1"/>
  <c r="I2274" i="58"/>
  <c r="J2274" i="58" s="1"/>
  <c r="O2273" i="58"/>
  <c r="P2273" i="58" s="1"/>
  <c r="O2272" i="58"/>
  <c r="P2272" i="58" s="1"/>
  <c r="Q2272" i="58" s="1"/>
  <c r="N2272" i="58"/>
  <c r="P2271" i="58"/>
  <c r="O2271" i="58"/>
  <c r="L2271" i="58"/>
  <c r="L2266" i="58" s="1"/>
  <c r="O2270" i="58"/>
  <c r="P2270" i="58" s="1"/>
  <c r="O2269" i="58"/>
  <c r="P2269" i="58" s="1"/>
  <c r="I2269" i="58"/>
  <c r="J2269" i="58" s="1"/>
  <c r="O2268" i="58"/>
  <c r="P2268" i="58" s="1"/>
  <c r="I2268" i="58"/>
  <c r="J2268" i="58" s="1"/>
  <c r="P2267" i="58"/>
  <c r="O2267" i="58"/>
  <c r="O2266" i="58"/>
  <c r="P2266" i="58" s="1"/>
  <c r="Q2266" i="58" s="1"/>
  <c r="N2266" i="58"/>
  <c r="O2265" i="58"/>
  <c r="P2265" i="58" s="1"/>
  <c r="L2265" i="58"/>
  <c r="O2264" i="58"/>
  <c r="P2264" i="58" s="1"/>
  <c r="O2263" i="58"/>
  <c r="P2263" i="58" s="1"/>
  <c r="I2263" i="58"/>
  <c r="J2263" i="58" s="1"/>
  <c r="O2262" i="58"/>
  <c r="P2262" i="58" s="1"/>
  <c r="I2262" i="58"/>
  <c r="J2262" i="58" s="1"/>
  <c r="O2261" i="58"/>
  <c r="P2261" i="58" s="1"/>
  <c r="O2260" i="58"/>
  <c r="P2260" i="58" s="1"/>
  <c r="Q2260" i="58" s="1"/>
  <c r="N2260" i="58"/>
  <c r="L2260" i="58"/>
  <c r="P2259" i="58"/>
  <c r="O2259" i="58"/>
  <c r="L2259" i="58"/>
  <c r="L2254" i="58" s="1"/>
  <c r="O2258" i="58"/>
  <c r="P2258" i="58" s="1"/>
  <c r="P2257" i="58"/>
  <c r="O2257" i="58"/>
  <c r="I2257" i="58"/>
  <c r="J2257" i="58" s="1"/>
  <c r="O2256" i="58"/>
  <c r="P2256" i="58" s="1"/>
  <c r="I2256" i="58"/>
  <c r="J2256" i="58" s="1"/>
  <c r="O2255" i="58"/>
  <c r="P2255" i="58" s="1"/>
  <c r="O2254" i="58"/>
  <c r="P2254" i="58" s="1"/>
  <c r="Q2254" i="58" s="1"/>
  <c r="N2254" i="58"/>
  <c r="O2253" i="58"/>
  <c r="P2253" i="58" s="1"/>
  <c r="O2252" i="58"/>
  <c r="P2252" i="58" s="1"/>
  <c r="P2251" i="58"/>
  <c r="O2251" i="58"/>
  <c r="I2251" i="58"/>
  <c r="J2251" i="58" s="1"/>
  <c r="J2248" i="58" s="1"/>
  <c r="O2250" i="58"/>
  <c r="P2250" i="58" s="1"/>
  <c r="I2250" i="58"/>
  <c r="J2250" i="58" s="1"/>
  <c r="O2249" i="58"/>
  <c r="P2249" i="58" s="1"/>
  <c r="O2248" i="58"/>
  <c r="P2248" i="58" s="1"/>
  <c r="Q2248" i="58" s="1"/>
  <c r="N2248" i="58"/>
  <c r="O2247" i="58"/>
  <c r="P2247" i="58" s="1"/>
  <c r="L2247" i="58"/>
  <c r="L2242" i="58" s="1"/>
  <c r="P2246" i="58"/>
  <c r="O2246" i="58"/>
  <c r="O2245" i="58"/>
  <c r="P2245" i="58" s="1"/>
  <c r="I2245" i="58"/>
  <c r="J2245" i="58" s="1"/>
  <c r="J2242" i="58" s="1"/>
  <c r="O2244" i="58"/>
  <c r="P2244" i="58" s="1"/>
  <c r="I2244" i="58"/>
  <c r="J2244" i="58" s="1"/>
  <c r="O2243" i="58"/>
  <c r="P2243" i="58" s="1"/>
  <c r="O2242" i="58"/>
  <c r="P2242" i="58" s="1"/>
  <c r="Q2242" i="58" s="1"/>
  <c r="N2242" i="58"/>
  <c r="P2241" i="58"/>
  <c r="Q2241" i="58" s="1"/>
  <c r="R2241" i="58" s="1"/>
  <c r="O2241" i="58"/>
  <c r="O2240" i="58"/>
  <c r="P2240" i="58" s="1"/>
  <c r="Q2240" i="58" s="1"/>
  <c r="R2240" i="58" s="1"/>
  <c r="O2239" i="58"/>
  <c r="P2239" i="58" s="1"/>
  <c r="I2239" i="58"/>
  <c r="J2239" i="58" s="1"/>
  <c r="J2236" i="58" s="1"/>
  <c r="P2238" i="58"/>
  <c r="O2238" i="58"/>
  <c r="I2238" i="58"/>
  <c r="J2238" i="58" s="1"/>
  <c r="O2237" i="58"/>
  <c r="P2237" i="58" s="1"/>
  <c r="O2236" i="58"/>
  <c r="P2236" i="58" s="1"/>
  <c r="Q2236" i="58" s="1"/>
  <c r="N2236" i="58"/>
  <c r="O2235" i="58"/>
  <c r="P2235" i="58" s="1"/>
  <c r="Q2235" i="58" s="1"/>
  <c r="P2234" i="58"/>
  <c r="O2234" i="58"/>
  <c r="O2233" i="58"/>
  <c r="P2233" i="58" s="1"/>
  <c r="I2233" i="58"/>
  <c r="J2233" i="58" s="1"/>
  <c r="O2232" i="58"/>
  <c r="P2232" i="58" s="1"/>
  <c r="I2232" i="58"/>
  <c r="J2232" i="58" s="1"/>
  <c r="P2231" i="58"/>
  <c r="O2231" i="58"/>
  <c r="O2230" i="58"/>
  <c r="P2230" i="58" s="1"/>
  <c r="Q2230" i="58" s="1"/>
  <c r="N2230" i="58"/>
  <c r="O2229" i="58"/>
  <c r="P2229" i="58" s="1"/>
  <c r="P2228" i="58"/>
  <c r="O2228" i="58"/>
  <c r="O2227" i="58"/>
  <c r="P2227" i="58" s="1"/>
  <c r="J2227" i="58"/>
  <c r="I2227" i="58"/>
  <c r="O2226" i="58"/>
  <c r="P2226" i="58" s="1"/>
  <c r="I2226" i="58"/>
  <c r="J2226" i="58" s="1"/>
  <c r="O2225" i="58"/>
  <c r="P2225" i="58" s="1"/>
  <c r="O2224" i="58"/>
  <c r="P2224" i="58" s="1"/>
  <c r="Q2224" i="58" s="1"/>
  <c r="N2224" i="58"/>
  <c r="O2223" i="58"/>
  <c r="P2223" i="58" s="1"/>
  <c r="O2222" i="58"/>
  <c r="P2222" i="58" s="1"/>
  <c r="O2221" i="58"/>
  <c r="P2221" i="58" s="1"/>
  <c r="I2221" i="58"/>
  <c r="J2221" i="58" s="1"/>
  <c r="O2220" i="58"/>
  <c r="P2220" i="58" s="1"/>
  <c r="I2220" i="58"/>
  <c r="J2220" i="58" s="1"/>
  <c r="O2219" i="58"/>
  <c r="P2219" i="58" s="1"/>
  <c r="O2218" i="58"/>
  <c r="P2218" i="58" s="1"/>
  <c r="Q2218" i="58" s="1"/>
  <c r="N2218" i="58"/>
  <c r="O2217" i="58"/>
  <c r="P2217" i="58" s="1"/>
  <c r="O2216" i="58"/>
  <c r="P2216" i="58" s="1"/>
  <c r="O2215" i="58"/>
  <c r="P2215" i="58" s="1"/>
  <c r="I2215" i="58"/>
  <c r="J2215" i="58" s="1"/>
  <c r="O2214" i="58"/>
  <c r="P2214" i="58" s="1"/>
  <c r="I2214" i="58"/>
  <c r="J2214" i="58" s="1"/>
  <c r="O2213" i="58"/>
  <c r="P2213" i="58" s="1"/>
  <c r="P2212" i="58"/>
  <c r="Q2212" i="58" s="1"/>
  <c r="O2212" i="58"/>
  <c r="N2212" i="58"/>
  <c r="O2211" i="58"/>
  <c r="P2211" i="58" s="1"/>
  <c r="O2210" i="58"/>
  <c r="P2210" i="58" s="1"/>
  <c r="P2209" i="58"/>
  <c r="O2209" i="58"/>
  <c r="I2209" i="58"/>
  <c r="J2209" i="58" s="1"/>
  <c r="O2208" i="58"/>
  <c r="P2208" i="58" s="1"/>
  <c r="I2208" i="58"/>
  <c r="J2208" i="58" s="1"/>
  <c r="O2207" i="58"/>
  <c r="P2207" i="58" s="1"/>
  <c r="Q2206" i="58"/>
  <c r="P2206" i="58"/>
  <c r="O2206" i="58"/>
  <c r="N2206" i="58"/>
  <c r="P2205" i="58"/>
  <c r="O2205" i="58"/>
  <c r="O2204" i="58"/>
  <c r="P2204" i="58" s="1"/>
  <c r="O2203" i="58"/>
  <c r="P2203" i="58" s="1"/>
  <c r="I2203" i="58"/>
  <c r="J2203" i="58" s="1"/>
  <c r="P2202" i="58"/>
  <c r="O2202" i="58"/>
  <c r="I2202" i="58"/>
  <c r="J2202" i="58" s="1"/>
  <c r="O2201" i="58"/>
  <c r="P2201" i="58" s="1"/>
  <c r="O2200" i="58"/>
  <c r="P2200" i="58" s="1"/>
  <c r="Q2200" i="58" s="1"/>
  <c r="N2200" i="58"/>
  <c r="O2199" i="58"/>
  <c r="P2199" i="58" s="1"/>
  <c r="O2198" i="58"/>
  <c r="P2198" i="58" s="1"/>
  <c r="O2197" i="58"/>
  <c r="P2197" i="58" s="1"/>
  <c r="I2197" i="58"/>
  <c r="J2197" i="58" s="1"/>
  <c r="P2196" i="58"/>
  <c r="O2196" i="58"/>
  <c r="I2196" i="58"/>
  <c r="J2196" i="58" s="1"/>
  <c r="O2195" i="58"/>
  <c r="P2195" i="58" s="1"/>
  <c r="O2194" i="58"/>
  <c r="P2194" i="58" s="1"/>
  <c r="Q2194" i="58" s="1"/>
  <c r="Q2193" i="58" s="1"/>
  <c r="R2193" i="58" s="1"/>
  <c r="N2194" i="58"/>
  <c r="P2193" i="58"/>
  <c r="O2193" i="58"/>
  <c r="O2192" i="58"/>
  <c r="P2192" i="58" s="1"/>
  <c r="O2191" i="58"/>
  <c r="P2191" i="58" s="1"/>
  <c r="I2191" i="58"/>
  <c r="J2191" i="58" s="1"/>
  <c r="O2190" i="58"/>
  <c r="P2190" i="58" s="1"/>
  <c r="I2190" i="58"/>
  <c r="J2190" i="58" s="1"/>
  <c r="O2189" i="58"/>
  <c r="P2189" i="58" s="1"/>
  <c r="O2188" i="58"/>
  <c r="P2188" i="58" s="1"/>
  <c r="Q2188" i="58" s="1"/>
  <c r="N2188" i="58"/>
  <c r="O2187" i="58"/>
  <c r="P2187" i="58" s="1"/>
  <c r="P2186" i="58"/>
  <c r="O2186" i="58"/>
  <c r="O2185" i="58"/>
  <c r="P2185" i="58" s="1"/>
  <c r="I2185" i="58"/>
  <c r="J2185" i="58" s="1"/>
  <c r="O2184" i="58"/>
  <c r="P2184" i="58" s="1"/>
  <c r="I2184" i="58"/>
  <c r="J2184" i="58" s="1"/>
  <c r="O2183" i="58"/>
  <c r="P2183" i="58" s="1"/>
  <c r="O2182" i="58"/>
  <c r="P2182" i="58" s="1"/>
  <c r="Q2182" i="58" s="1"/>
  <c r="N2182" i="58"/>
  <c r="P2181" i="58"/>
  <c r="O2181" i="58"/>
  <c r="L2181" i="58"/>
  <c r="L2176" i="58" s="1"/>
  <c r="P2180" i="58"/>
  <c r="O2180" i="58"/>
  <c r="O2179" i="58"/>
  <c r="P2179" i="58" s="1"/>
  <c r="I2179" i="58"/>
  <c r="J2179" i="58" s="1"/>
  <c r="P2178" i="58"/>
  <c r="O2178" i="58"/>
  <c r="I2178" i="58"/>
  <c r="J2178" i="58" s="1"/>
  <c r="O2177" i="58"/>
  <c r="P2177" i="58" s="1"/>
  <c r="O2176" i="58"/>
  <c r="P2176" i="58" s="1"/>
  <c r="Q2176" i="58" s="1"/>
  <c r="N2176" i="58"/>
  <c r="P2175" i="58"/>
  <c r="O2175" i="58"/>
  <c r="L2175" i="58"/>
  <c r="L2170" i="58" s="1"/>
  <c r="O2174" i="58"/>
  <c r="P2174" i="58" s="1"/>
  <c r="O2173" i="58"/>
  <c r="P2173" i="58" s="1"/>
  <c r="I2173" i="58"/>
  <c r="J2173" i="58" s="1"/>
  <c r="O2172" i="58"/>
  <c r="P2172" i="58" s="1"/>
  <c r="I2172" i="58"/>
  <c r="J2172" i="58" s="1"/>
  <c r="O2171" i="58"/>
  <c r="P2171" i="58" s="1"/>
  <c r="O2170" i="58"/>
  <c r="P2170" i="58" s="1"/>
  <c r="Q2170" i="58" s="1"/>
  <c r="N2170" i="58"/>
  <c r="O2169" i="58"/>
  <c r="P2169" i="58" s="1"/>
  <c r="L2169" i="58"/>
  <c r="L2164" i="58" s="1"/>
  <c r="O2168" i="58"/>
  <c r="P2168" i="58" s="1"/>
  <c r="O2167" i="58"/>
  <c r="P2167" i="58" s="1"/>
  <c r="I2167" i="58"/>
  <c r="J2167" i="58" s="1"/>
  <c r="O2166" i="58"/>
  <c r="P2166" i="58" s="1"/>
  <c r="I2166" i="58"/>
  <c r="J2166" i="58" s="1"/>
  <c r="O2165" i="58"/>
  <c r="P2165" i="58" s="1"/>
  <c r="O2164" i="58"/>
  <c r="P2164" i="58" s="1"/>
  <c r="Q2164" i="58" s="1"/>
  <c r="N2164" i="58"/>
  <c r="O2163" i="58"/>
  <c r="P2163" i="58" s="1"/>
  <c r="L2163" i="58"/>
  <c r="L2158" i="58" s="1"/>
  <c r="O2162" i="58"/>
  <c r="P2162" i="58" s="1"/>
  <c r="O2161" i="58"/>
  <c r="P2161" i="58" s="1"/>
  <c r="I2161" i="58"/>
  <c r="J2161" i="58" s="1"/>
  <c r="O2160" i="58"/>
  <c r="P2160" i="58" s="1"/>
  <c r="I2160" i="58"/>
  <c r="J2160" i="58" s="1"/>
  <c r="J2158" i="58" s="1"/>
  <c r="O2159" i="58"/>
  <c r="P2159" i="58" s="1"/>
  <c r="O2158" i="58"/>
  <c r="P2158" i="58" s="1"/>
  <c r="Q2158" i="58" s="1"/>
  <c r="Q2157" i="58" s="1"/>
  <c r="R2157" i="58" s="1"/>
  <c r="N2158" i="58"/>
  <c r="O2157" i="58"/>
  <c r="P2157" i="58" s="1"/>
  <c r="O2156" i="58"/>
  <c r="P2156" i="58" s="1"/>
  <c r="O2155" i="58"/>
  <c r="P2155" i="58" s="1"/>
  <c r="I2155" i="58"/>
  <c r="J2155" i="58" s="1"/>
  <c r="P2154" i="58"/>
  <c r="O2154" i="58"/>
  <c r="I2154" i="58"/>
  <c r="J2154" i="58" s="1"/>
  <c r="O2153" i="58"/>
  <c r="P2153" i="58" s="1"/>
  <c r="O2152" i="58"/>
  <c r="P2152" i="58" s="1"/>
  <c r="Q2152" i="58" s="1"/>
  <c r="N2152" i="58"/>
  <c r="O2151" i="58"/>
  <c r="P2151" i="58" s="1"/>
  <c r="Q2151" i="58" s="1"/>
  <c r="R2151" i="58" s="1"/>
  <c r="L2151" i="58"/>
  <c r="L2146" i="58" s="1"/>
  <c r="P2150" i="58"/>
  <c r="O2150" i="58"/>
  <c r="O2149" i="58"/>
  <c r="P2149" i="58" s="1"/>
  <c r="I2149" i="58"/>
  <c r="J2149" i="58" s="1"/>
  <c r="P2148" i="58"/>
  <c r="O2148" i="58"/>
  <c r="I2148" i="58"/>
  <c r="J2148" i="58" s="1"/>
  <c r="O2147" i="58"/>
  <c r="P2147" i="58" s="1"/>
  <c r="O2146" i="58"/>
  <c r="P2146" i="58" s="1"/>
  <c r="Q2146" i="58" s="1"/>
  <c r="N2146" i="58"/>
  <c r="O2144" i="58"/>
  <c r="P2144" i="58" s="1"/>
  <c r="Q2144" i="58" s="1"/>
  <c r="R2144" i="58" s="1"/>
  <c r="L2144" i="58"/>
  <c r="L2139" i="58" s="1"/>
  <c r="O2143" i="58"/>
  <c r="P2143" i="58" s="1"/>
  <c r="P2142" i="58"/>
  <c r="O2142" i="58"/>
  <c r="I2142" i="58"/>
  <c r="J2142" i="58" s="1"/>
  <c r="O2141" i="58"/>
  <c r="P2141" i="58" s="1"/>
  <c r="I2141" i="58"/>
  <c r="J2141" i="58" s="1"/>
  <c r="O2140" i="58"/>
  <c r="P2140" i="58" s="1"/>
  <c r="O2139" i="58"/>
  <c r="P2139" i="58" s="1"/>
  <c r="Q2139" i="58" s="1"/>
  <c r="N2139" i="58"/>
  <c r="P2138" i="58"/>
  <c r="O2138" i="58"/>
  <c r="O2137" i="58"/>
  <c r="P2137" i="58" s="1"/>
  <c r="O2136" i="58"/>
  <c r="P2136" i="58" s="1"/>
  <c r="I2136" i="58"/>
  <c r="J2136" i="58" s="1"/>
  <c r="O2135" i="58"/>
  <c r="P2135" i="58" s="1"/>
  <c r="I2135" i="58"/>
  <c r="J2135" i="58" s="1"/>
  <c r="O2134" i="58"/>
  <c r="P2134" i="58" s="1"/>
  <c r="O2133" i="58"/>
  <c r="P2133" i="58" s="1"/>
  <c r="Q2133" i="58" s="1"/>
  <c r="N2133" i="58"/>
  <c r="O2132" i="58"/>
  <c r="P2132" i="58" s="1"/>
  <c r="O2131" i="58"/>
  <c r="P2131" i="58" s="1"/>
  <c r="O2130" i="58"/>
  <c r="P2130" i="58" s="1"/>
  <c r="I2130" i="58"/>
  <c r="J2130" i="58" s="1"/>
  <c r="O2129" i="58"/>
  <c r="P2129" i="58" s="1"/>
  <c r="I2129" i="58"/>
  <c r="J2129" i="58" s="1"/>
  <c r="J2127" i="58" s="1"/>
  <c r="O2128" i="58"/>
  <c r="P2128" i="58" s="1"/>
  <c r="O2127" i="58"/>
  <c r="P2127" i="58" s="1"/>
  <c r="Q2127" i="58" s="1"/>
  <c r="N2127" i="58"/>
  <c r="O2126" i="58"/>
  <c r="P2126" i="58" s="1"/>
  <c r="O2125" i="58"/>
  <c r="P2125" i="58" s="1"/>
  <c r="O2124" i="58"/>
  <c r="P2124" i="58" s="1"/>
  <c r="I2124" i="58"/>
  <c r="J2124" i="58" s="1"/>
  <c r="O2123" i="58"/>
  <c r="P2123" i="58" s="1"/>
  <c r="I2123" i="58"/>
  <c r="J2123" i="58" s="1"/>
  <c r="O2122" i="58"/>
  <c r="P2122" i="58" s="1"/>
  <c r="O2121" i="58"/>
  <c r="P2121" i="58" s="1"/>
  <c r="Q2121" i="58" s="1"/>
  <c r="N2121" i="58"/>
  <c r="O2120" i="58"/>
  <c r="P2120" i="58" s="1"/>
  <c r="O2119" i="58"/>
  <c r="P2119" i="58" s="1"/>
  <c r="O2118" i="58"/>
  <c r="P2118" i="58" s="1"/>
  <c r="I2118" i="58"/>
  <c r="J2118" i="58" s="1"/>
  <c r="O2117" i="58"/>
  <c r="P2117" i="58" s="1"/>
  <c r="I2117" i="58"/>
  <c r="J2117" i="58" s="1"/>
  <c r="O2116" i="58"/>
  <c r="P2116" i="58" s="1"/>
  <c r="O2115" i="58"/>
  <c r="P2115" i="58" s="1"/>
  <c r="Q2115" i="58" s="1"/>
  <c r="N2115" i="58"/>
  <c r="O2114" i="58"/>
  <c r="P2114" i="58" s="1"/>
  <c r="O2113" i="58"/>
  <c r="P2113" i="58" s="1"/>
  <c r="O2112" i="58"/>
  <c r="P2112" i="58" s="1"/>
  <c r="I2112" i="58"/>
  <c r="J2112" i="58" s="1"/>
  <c r="O2111" i="58"/>
  <c r="P2111" i="58" s="1"/>
  <c r="I2111" i="58"/>
  <c r="J2111" i="58" s="1"/>
  <c r="O2110" i="58"/>
  <c r="P2110" i="58" s="1"/>
  <c r="O2109" i="58"/>
  <c r="P2109" i="58" s="1"/>
  <c r="Q2109" i="58" s="1"/>
  <c r="N2109" i="58"/>
  <c r="O2108" i="58"/>
  <c r="P2108" i="58" s="1"/>
  <c r="O2107" i="58"/>
  <c r="P2107" i="58" s="1"/>
  <c r="O2106" i="58"/>
  <c r="P2106" i="58" s="1"/>
  <c r="I2106" i="58"/>
  <c r="J2106" i="58" s="1"/>
  <c r="P2105" i="58"/>
  <c r="O2105" i="58"/>
  <c r="I2105" i="58"/>
  <c r="J2105" i="58" s="1"/>
  <c r="J2103" i="58" s="1"/>
  <c r="P2104" i="58"/>
  <c r="O2104" i="58"/>
  <c r="P2103" i="58"/>
  <c r="Q2103" i="58" s="1"/>
  <c r="O2103" i="58"/>
  <c r="N2103" i="58"/>
  <c r="O2102" i="58"/>
  <c r="P2102" i="58" s="1"/>
  <c r="O2101" i="58"/>
  <c r="P2101" i="58" s="1"/>
  <c r="P2100" i="58"/>
  <c r="O2100" i="58"/>
  <c r="I2100" i="58"/>
  <c r="J2100" i="58" s="1"/>
  <c r="O2099" i="58"/>
  <c r="P2099" i="58" s="1"/>
  <c r="I2099" i="58"/>
  <c r="J2099" i="58" s="1"/>
  <c r="J2097" i="58" s="1"/>
  <c r="O2098" i="58"/>
  <c r="P2098" i="58" s="1"/>
  <c r="O2097" i="58"/>
  <c r="P2097" i="58" s="1"/>
  <c r="Q2097" i="58" s="1"/>
  <c r="N2097" i="58"/>
  <c r="O2096" i="58"/>
  <c r="P2096" i="58" s="1"/>
  <c r="Q2096" i="58" s="1"/>
  <c r="R2096" i="58" s="1"/>
  <c r="O2095" i="58"/>
  <c r="P2095" i="58" s="1"/>
  <c r="O2094" i="58"/>
  <c r="P2094" i="58" s="1"/>
  <c r="I2094" i="58"/>
  <c r="J2094" i="58" s="1"/>
  <c r="P2093" i="58"/>
  <c r="O2093" i="58"/>
  <c r="I2093" i="58"/>
  <c r="J2093" i="58" s="1"/>
  <c r="O2092" i="58"/>
  <c r="P2092" i="58" s="1"/>
  <c r="O2091" i="58"/>
  <c r="P2091" i="58" s="1"/>
  <c r="Q2091" i="58" s="1"/>
  <c r="N2091" i="58"/>
  <c r="O2090" i="58"/>
  <c r="P2090" i="58" s="1"/>
  <c r="O2089" i="58"/>
  <c r="P2089" i="58" s="1"/>
  <c r="O2088" i="58"/>
  <c r="P2088" i="58" s="1"/>
  <c r="I2088" i="58"/>
  <c r="J2088" i="58" s="1"/>
  <c r="O2087" i="58"/>
  <c r="P2087" i="58" s="1"/>
  <c r="I2087" i="58"/>
  <c r="J2087" i="58" s="1"/>
  <c r="P2086" i="58"/>
  <c r="O2086" i="58"/>
  <c r="O2085" i="58"/>
  <c r="P2085" i="58" s="1"/>
  <c r="Q2085" i="58" s="1"/>
  <c r="N2085" i="58"/>
  <c r="P2084" i="58"/>
  <c r="O2084" i="58"/>
  <c r="O2083" i="58"/>
  <c r="P2083" i="58" s="1"/>
  <c r="O2082" i="58"/>
  <c r="P2082" i="58" s="1"/>
  <c r="I2082" i="58"/>
  <c r="J2082" i="58" s="1"/>
  <c r="P2081" i="58"/>
  <c r="O2081" i="58"/>
  <c r="J2081" i="58"/>
  <c r="I2081" i="58"/>
  <c r="P2080" i="58"/>
  <c r="O2080" i="58"/>
  <c r="O2079" i="58"/>
  <c r="P2079" i="58" s="1"/>
  <c r="Q2079" i="58" s="1"/>
  <c r="N2079" i="58"/>
  <c r="O2078" i="58"/>
  <c r="P2078" i="58" s="1"/>
  <c r="O2077" i="58"/>
  <c r="P2077" i="58" s="1"/>
  <c r="O2076" i="58"/>
  <c r="P2076" i="58" s="1"/>
  <c r="I2076" i="58"/>
  <c r="J2076" i="58" s="1"/>
  <c r="P2075" i="58"/>
  <c r="O2075" i="58"/>
  <c r="I2075" i="58"/>
  <c r="J2075" i="58" s="1"/>
  <c r="O2074" i="58"/>
  <c r="P2074" i="58" s="1"/>
  <c r="O2073" i="58"/>
  <c r="P2073" i="58" s="1"/>
  <c r="Q2073" i="58" s="1"/>
  <c r="N2073" i="58"/>
  <c r="O2072" i="58"/>
  <c r="P2072" i="58" s="1"/>
  <c r="L2072" i="58"/>
  <c r="L2067" i="58" s="1"/>
  <c r="O2071" i="58"/>
  <c r="P2071" i="58" s="1"/>
  <c r="O2070" i="58"/>
  <c r="P2070" i="58" s="1"/>
  <c r="I2070" i="58"/>
  <c r="J2070" i="58" s="1"/>
  <c r="O2069" i="58"/>
  <c r="P2069" i="58" s="1"/>
  <c r="J2069" i="58"/>
  <c r="I2069" i="58"/>
  <c r="O2068" i="58"/>
  <c r="P2068" i="58" s="1"/>
  <c r="O2067" i="58"/>
  <c r="P2067" i="58" s="1"/>
  <c r="Q2067" i="58" s="1"/>
  <c r="N2067" i="58"/>
  <c r="O2066" i="58"/>
  <c r="P2066" i="58" s="1"/>
  <c r="O2065" i="58"/>
  <c r="P2065" i="58" s="1"/>
  <c r="O2064" i="58"/>
  <c r="P2064" i="58" s="1"/>
  <c r="I2064" i="58"/>
  <c r="J2064" i="58" s="1"/>
  <c r="P2063" i="58"/>
  <c r="O2063" i="58"/>
  <c r="I2063" i="58"/>
  <c r="J2063" i="58" s="1"/>
  <c r="O2062" i="58"/>
  <c r="P2062" i="58" s="1"/>
  <c r="O2061" i="58"/>
  <c r="P2061" i="58" s="1"/>
  <c r="Q2061" i="58" s="1"/>
  <c r="N2061" i="58"/>
  <c r="O2060" i="58"/>
  <c r="P2060" i="58" s="1"/>
  <c r="O2059" i="58"/>
  <c r="P2059" i="58" s="1"/>
  <c r="O2058" i="58"/>
  <c r="P2058" i="58" s="1"/>
  <c r="I2058" i="58"/>
  <c r="J2058" i="58" s="1"/>
  <c r="O2057" i="58"/>
  <c r="P2057" i="58" s="1"/>
  <c r="I2057" i="58"/>
  <c r="J2057" i="58" s="1"/>
  <c r="P2056" i="58"/>
  <c r="O2056" i="58"/>
  <c r="O2055" i="58"/>
  <c r="P2055" i="58" s="1"/>
  <c r="Q2055" i="58" s="1"/>
  <c r="N2055" i="58"/>
  <c r="O2054" i="58"/>
  <c r="P2054" i="58" s="1"/>
  <c r="O2053" i="58"/>
  <c r="P2053" i="58" s="1"/>
  <c r="O2052" i="58"/>
  <c r="P2052" i="58" s="1"/>
  <c r="J2052" i="58"/>
  <c r="I2052" i="58"/>
  <c r="O2051" i="58"/>
  <c r="P2051" i="58" s="1"/>
  <c r="I2051" i="58"/>
  <c r="J2051" i="58" s="1"/>
  <c r="J2049" i="58" s="1"/>
  <c r="O2050" i="58"/>
  <c r="P2050" i="58" s="1"/>
  <c r="O2049" i="58"/>
  <c r="P2049" i="58" s="1"/>
  <c r="Q2049" i="58" s="1"/>
  <c r="N2049" i="58"/>
  <c r="Q2048" i="58"/>
  <c r="R2048" i="58" s="1"/>
  <c r="P2048" i="58"/>
  <c r="O2048" i="58"/>
  <c r="L2048" i="58"/>
  <c r="L2043" i="58" s="1"/>
  <c r="O2047" i="58"/>
  <c r="P2047" i="58" s="1"/>
  <c r="O2046" i="58"/>
  <c r="P2046" i="58" s="1"/>
  <c r="I2046" i="58"/>
  <c r="J2046" i="58" s="1"/>
  <c r="O2045" i="58"/>
  <c r="P2045" i="58" s="1"/>
  <c r="I2045" i="58"/>
  <c r="J2045" i="58" s="1"/>
  <c r="O2044" i="58"/>
  <c r="P2044" i="58" s="1"/>
  <c r="O2043" i="58"/>
  <c r="P2043" i="58" s="1"/>
  <c r="Q2043" i="58" s="1"/>
  <c r="N2043" i="58"/>
  <c r="O2042" i="58"/>
  <c r="P2042" i="58" s="1"/>
  <c r="Q2042" i="58" s="1"/>
  <c r="R2042" i="58" s="1"/>
  <c r="O2041" i="58"/>
  <c r="P2041" i="58" s="1"/>
  <c r="O2040" i="58"/>
  <c r="P2040" i="58" s="1"/>
  <c r="I2040" i="58"/>
  <c r="J2040" i="58" s="1"/>
  <c r="P2039" i="58"/>
  <c r="O2039" i="58"/>
  <c r="I2039" i="58"/>
  <c r="J2039" i="58" s="1"/>
  <c r="P2038" i="58"/>
  <c r="O2038" i="58"/>
  <c r="O2037" i="58"/>
  <c r="P2037" i="58" s="1"/>
  <c r="Q2037" i="58" s="1"/>
  <c r="N2037" i="58"/>
  <c r="J2037" i="58"/>
  <c r="O2036" i="58"/>
  <c r="P2036" i="58" s="1"/>
  <c r="O2035" i="58"/>
  <c r="P2035" i="58" s="1"/>
  <c r="O2034" i="58"/>
  <c r="P2034" i="58" s="1"/>
  <c r="I2034" i="58"/>
  <c r="J2034" i="58" s="1"/>
  <c r="O2033" i="58"/>
  <c r="P2033" i="58" s="1"/>
  <c r="I2033" i="58"/>
  <c r="J2033" i="58" s="1"/>
  <c r="O2032" i="58"/>
  <c r="P2032" i="58" s="1"/>
  <c r="O2031" i="58"/>
  <c r="P2031" i="58" s="1"/>
  <c r="Q2031" i="58" s="1"/>
  <c r="N2031" i="58"/>
  <c r="O2030" i="58"/>
  <c r="P2030" i="58" s="1"/>
  <c r="L2030" i="58"/>
  <c r="L2025" i="58" s="1"/>
  <c r="O2029" i="58"/>
  <c r="P2029" i="58" s="1"/>
  <c r="O2028" i="58"/>
  <c r="P2028" i="58" s="1"/>
  <c r="I2028" i="58"/>
  <c r="J2028" i="58" s="1"/>
  <c r="O2027" i="58"/>
  <c r="P2027" i="58" s="1"/>
  <c r="I2027" i="58"/>
  <c r="J2027" i="58" s="1"/>
  <c r="O2026" i="58"/>
  <c r="P2026" i="58" s="1"/>
  <c r="O2025" i="58"/>
  <c r="P2025" i="58" s="1"/>
  <c r="Q2025" i="58" s="1"/>
  <c r="N2025" i="58"/>
  <c r="O2024" i="58"/>
  <c r="P2024" i="58" s="1"/>
  <c r="Q2024" i="58" s="1"/>
  <c r="R2024" i="58" s="1"/>
  <c r="O2023" i="58"/>
  <c r="P2023" i="58" s="1"/>
  <c r="P2022" i="58"/>
  <c r="O2022" i="58"/>
  <c r="I2022" i="58"/>
  <c r="J2022" i="58" s="1"/>
  <c r="O2021" i="58"/>
  <c r="P2021" i="58" s="1"/>
  <c r="I2021" i="58"/>
  <c r="J2021" i="58" s="1"/>
  <c r="O2020" i="58"/>
  <c r="P2020" i="58" s="1"/>
  <c r="O2019" i="58"/>
  <c r="P2019" i="58" s="1"/>
  <c r="Q2019" i="58" s="1"/>
  <c r="N2019" i="58"/>
  <c r="P2018" i="58"/>
  <c r="Q2018" i="58" s="1"/>
  <c r="R2018" i="58" s="1"/>
  <c r="O2018" i="58"/>
  <c r="P2017" i="58"/>
  <c r="O2017" i="58"/>
  <c r="O2016" i="58"/>
  <c r="P2016" i="58" s="1"/>
  <c r="I2016" i="58"/>
  <c r="J2016" i="58" s="1"/>
  <c r="P2015" i="58"/>
  <c r="O2015" i="58"/>
  <c r="I2015" i="58"/>
  <c r="J2015" i="58" s="1"/>
  <c r="O2014" i="58"/>
  <c r="P2014" i="58" s="1"/>
  <c r="O2013" i="58"/>
  <c r="P2013" i="58" s="1"/>
  <c r="Q2013" i="58" s="1"/>
  <c r="N2013" i="58"/>
  <c r="O2012" i="58"/>
  <c r="P2012" i="58" s="1"/>
  <c r="O2011" i="58"/>
  <c r="P2011" i="58" s="1"/>
  <c r="P2010" i="58"/>
  <c r="O2010" i="58"/>
  <c r="I2010" i="58"/>
  <c r="J2010" i="58" s="1"/>
  <c r="O2009" i="58"/>
  <c r="P2009" i="58" s="1"/>
  <c r="I2009" i="58"/>
  <c r="J2009" i="58" s="1"/>
  <c r="J2007" i="58" s="1"/>
  <c r="O2008" i="58"/>
  <c r="P2008" i="58" s="1"/>
  <c r="Q2007" i="58"/>
  <c r="O2007" i="58"/>
  <c r="P2007" i="58" s="1"/>
  <c r="N2007" i="58"/>
  <c r="O2006" i="58"/>
  <c r="P2006" i="58" s="1"/>
  <c r="Q2006" i="58" s="1"/>
  <c r="R2006" i="58" s="1"/>
  <c r="P2005" i="58"/>
  <c r="O2005" i="58"/>
  <c r="P2004" i="58"/>
  <c r="O2004" i="58"/>
  <c r="I2004" i="58"/>
  <c r="J2004" i="58" s="1"/>
  <c r="O2003" i="58"/>
  <c r="P2003" i="58" s="1"/>
  <c r="I2003" i="58"/>
  <c r="J2003" i="58" s="1"/>
  <c r="J2001" i="58" s="1"/>
  <c r="P2002" i="58"/>
  <c r="O2002" i="58"/>
  <c r="Q2001" i="58"/>
  <c r="O2001" i="58"/>
  <c r="P2001" i="58" s="1"/>
  <c r="N2001" i="58"/>
  <c r="O2000" i="58"/>
  <c r="P2000" i="58" s="1"/>
  <c r="O1999" i="58"/>
  <c r="P1999" i="58" s="1"/>
  <c r="O1998" i="58"/>
  <c r="P1998" i="58" s="1"/>
  <c r="I1998" i="58"/>
  <c r="J1998" i="58" s="1"/>
  <c r="O1997" i="58"/>
  <c r="P1997" i="58" s="1"/>
  <c r="I1997" i="58"/>
  <c r="J1997" i="58" s="1"/>
  <c r="O1996" i="58"/>
  <c r="P1996" i="58" s="1"/>
  <c r="O1995" i="58"/>
  <c r="P1995" i="58" s="1"/>
  <c r="Q1995" i="58" s="1"/>
  <c r="N1995" i="58"/>
  <c r="O1994" i="58"/>
  <c r="P1994" i="58" s="1"/>
  <c r="L1994" i="58"/>
  <c r="L1989" i="58" s="1"/>
  <c r="O1993" i="58"/>
  <c r="P1993" i="58" s="1"/>
  <c r="O1992" i="58"/>
  <c r="P1992" i="58" s="1"/>
  <c r="I1992" i="58"/>
  <c r="J1992" i="58" s="1"/>
  <c r="O1991" i="58"/>
  <c r="P1991" i="58" s="1"/>
  <c r="I1991" i="58"/>
  <c r="J1991" i="58" s="1"/>
  <c r="O1990" i="58"/>
  <c r="P1990" i="58" s="1"/>
  <c r="O1989" i="58"/>
  <c r="P1989" i="58" s="1"/>
  <c r="Q1989" i="58" s="1"/>
  <c r="N1989" i="58"/>
  <c r="O1988" i="58"/>
  <c r="P1988" i="58" s="1"/>
  <c r="Q1988" i="58" s="1"/>
  <c r="R1988" i="58" s="1"/>
  <c r="L1988" i="58"/>
  <c r="L1983" i="58" s="1"/>
  <c r="O1987" i="58"/>
  <c r="P1987" i="58" s="1"/>
  <c r="O1986" i="58"/>
  <c r="P1986" i="58" s="1"/>
  <c r="I1986" i="58"/>
  <c r="J1986" i="58" s="1"/>
  <c r="O1985" i="58"/>
  <c r="P1985" i="58" s="1"/>
  <c r="I1985" i="58"/>
  <c r="J1985" i="58" s="1"/>
  <c r="O1984" i="58"/>
  <c r="P1984" i="58" s="1"/>
  <c r="O1983" i="58"/>
  <c r="P1983" i="58" s="1"/>
  <c r="Q1983" i="58" s="1"/>
  <c r="N1983" i="58"/>
  <c r="P1982" i="58"/>
  <c r="O1982" i="58"/>
  <c r="L1982" i="58"/>
  <c r="L1977" i="58" s="1"/>
  <c r="P1981" i="58"/>
  <c r="O1981" i="58"/>
  <c r="O1980" i="58"/>
  <c r="P1980" i="58" s="1"/>
  <c r="I1980" i="58"/>
  <c r="J1980" i="58" s="1"/>
  <c r="O1979" i="58"/>
  <c r="P1979" i="58" s="1"/>
  <c r="I1979" i="58"/>
  <c r="J1979" i="58" s="1"/>
  <c r="O1978" i="58"/>
  <c r="P1978" i="58" s="1"/>
  <c r="O1977" i="58"/>
  <c r="P1977" i="58" s="1"/>
  <c r="Q1977" i="58" s="1"/>
  <c r="N1977" i="58"/>
  <c r="O1976" i="58"/>
  <c r="P1976" i="58" s="1"/>
  <c r="Q1976" i="58" s="1"/>
  <c r="L1976" i="58"/>
  <c r="L1971" i="58" s="1"/>
  <c r="O1975" i="58"/>
  <c r="P1975" i="58" s="1"/>
  <c r="O1974" i="58"/>
  <c r="P1974" i="58" s="1"/>
  <c r="I1974" i="58"/>
  <c r="J1974" i="58" s="1"/>
  <c r="O1973" i="58"/>
  <c r="P1973" i="58" s="1"/>
  <c r="I1973" i="58"/>
  <c r="J1973" i="58" s="1"/>
  <c r="O1972" i="58"/>
  <c r="P1972" i="58" s="1"/>
  <c r="O1971" i="58"/>
  <c r="P1971" i="58" s="1"/>
  <c r="Q1971" i="58" s="1"/>
  <c r="N1971" i="58"/>
  <c r="O1970" i="58"/>
  <c r="P1970" i="58" s="1"/>
  <c r="Q1970" i="58" s="1"/>
  <c r="R1970" i="58" s="1"/>
  <c r="L1970" i="58"/>
  <c r="L1965" i="58" s="1"/>
  <c r="P1969" i="58"/>
  <c r="O1969" i="58"/>
  <c r="O1968" i="58"/>
  <c r="P1968" i="58" s="1"/>
  <c r="I1968" i="58"/>
  <c r="J1968" i="58" s="1"/>
  <c r="P1967" i="58"/>
  <c r="O1967" i="58"/>
  <c r="I1967" i="58"/>
  <c r="J1967" i="58" s="1"/>
  <c r="O1966" i="58"/>
  <c r="P1966" i="58" s="1"/>
  <c r="P1965" i="58"/>
  <c r="Q1965" i="58" s="1"/>
  <c r="O1965" i="58"/>
  <c r="N1965" i="58"/>
  <c r="O1964" i="58"/>
  <c r="P1964" i="58" s="1"/>
  <c r="O1963" i="58"/>
  <c r="P1963" i="58" s="1"/>
  <c r="P1962" i="58"/>
  <c r="O1962" i="58"/>
  <c r="I1962" i="58"/>
  <c r="J1962" i="58" s="1"/>
  <c r="O1961" i="58"/>
  <c r="P1961" i="58" s="1"/>
  <c r="I1961" i="58"/>
  <c r="J1961" i="58" s="1"/>
  <c r="O1960" i="58"/>
  <c r="P1960" i="58" s="1"/>
  <c r="O1959" i="58"/>
  <c r="P1959" i="58" s="1"/>
  <c r="Q1959" i="58" s="1"/>
  <c r="N1959" i="58"/>
  <c r="P1958" i="58"/>
  <c r="Q1958" i="58" s="1"/>
  <c r="R1958" i="58" s="1"/>
  <c r="O1958" i="58"/>
  <c r="O1957" i="58"/>
  <c r="P1957" i="58" s="1"/>
  <c r="P1956" i="58"/>
  <c r="O1956" i="58"/>
  <c r="I1956" i="58"/>
  <c r="J1956" i="58" s="1"/>
  <c r="P1955" i="58"/>
  <c r="O1955" i="58"/>
  <c r="I1955" i="58"/>
  <c r="J1955" i="58" s="1"/>
  <c r="J1953" i="58" s="1"/>
  <c r="O1954" i="58"/>
  <c r="P1954" i="58" s="1"/>
  <c r="O1953" i="58"/>
  <c r="P1953" i="58" s="1"/>
  <c r="Q1953" i="58" s="1"/>
  <c r="Q1952" i="58" s="1"/>
  <c r="N1953" i="58"/>
  <c r="R1952" i="58"/>
  <c r="P1952" i="58"/>
  <c r="O1952" i="58"/>
  <c r="O1951" i="58"/>
  <c r="P1951" i="58" s="1"/>
  <c r="P1950" i="58"/>
  <c r="O1950" i="58"/>
  <c r="I1950" i="58"/>
  <c r="J1950" i="58" s="1"/>
  <c r="O1949" i="58"/>
  <c r="P1949" i="58" s="1"/>
  <c r="I1949" i="58"/>
  <c r="J1949" i="58" s="1"/>
  <c r="O1948" i="58"/>
  <c r="P1948" i="58" s="1"/>
  <c r="O1947" i="58"/>
  <c r="P1947" i="58" s="1"/>
  <c r="Q1947" i="58" s="1"/>
  <c r="N1947" i="58"/>
  <c r="O1946" i="58"/>
  <c r="P1946" i="58" s="1"/>
  <c r="O1945" i="58"/>
  <c r="P1945" i="58" s="1"/>
  <c r="P1944" i="58"/>
  <c r="O1944" i="58"/>
  <c r="I1944" i="58"/>
  <c r="J1944" i="58" s="1"/>
  <c r="O1943" i="58"/>
  <c r="P1943" i="58" s="1"/>
  <c r="I1943" i="58"/>
  <c r="J1943" i="58" s="1"/>
  <c r="O1942" i="58"/>
  <c r="P1942" i="58" s="1"/>
  <c r="P1941" i="58"/>
  <c r="Q1941" i="58" s="1"/>
  <c r="O1941" i="58"/>
  <c r="N1941" i="58"/>
  <c r="O1940" i="58"/>
  <c r="P1940" i="58" s="1"/>
  <c r="Q1940" i="58" s="1"/>
  <c r="R1940" i="58" s="1"/>
  <c r="O1939" i="58"/>
  <c r="P1939" i="58" s="1"/>
  <c r="O1938" i="58"/>
  <c r="P1938" i="58" s="1"/>
  <c r="I1938" i="58"/>
  <c r="J1938" i="58" s="1"/>
  <c r="O1937" i="58"/>
  <c r="P1937" i="58" s="1"/>
  <c r="I1937" i="58"/>
  <c r="J1937" i="58" s="1"/>
  <c r="P1936" i="58"/>
  <c r="O1936" i="58"/>
  <c r="O1935" i="58"/>
  <c r="P1935" i="58" s="1"/>
  <c r="Q1935" i="58" s="1"/>
  <c r="N1935" i="58"/>
  <c r="O1934" i="58"/>
  <c r="P1934" i="58" s="1"/>
  <c r="Q1934" i="58" s="1"/>
  <c r="R1934" i="58" s="1"/>
  <c r="O1933" i="58"/>
  <c r="P1933" i="58" s="1"/>
  <c r="Q1933" i="58" s="1"/>
  <c r="R1933" i="58" s="1"/>
  <c r="O1932" i="58"/>
  <c r="P1932" i="58" s="1"/>
  <c r="I1932" i="58"/>
  <c r="J1932" i="58" s="1"/>
  <c r="P1931" i="58"/>
  <c r="O1931" i="58"/>
  <c r="I1931" i="58"/>
  <c r="J1931" i="58" s="1"/>
  <c r="O1930" i="58"/>
  <c r="P1930" i="58" s="1"/>
  <c r="O1929" i="58"/>
  <c r="P1929" i="58" s="1"/>
  <c r="Q1929" i="58" s="1"/>
  <c r="Q1928" i="58" s="1"/>
  <c r="R1928" i="58" s="1"/>
  <c r="N1929" i="58"/>
  <c r="O1928" i="58"/>
  <c r="P1928" i="58" s="1"/>
  <c r="O1927" i="58"/>
  <c r="P1927" i="58" s="1"/>
  <c r="O1926" i="58"/>
  <c r="P1926" i="58" s="1"/>
  <c r="I1926" i="58"/>
  <c r="J1926" i="58" s="1"/>
  <c r="O1925" i="58"/>
  <c r="P1925" i="58" s="1"/>
  <c r="I1925" i="58"/>
  <c r="J1925" i="58" s="1"/>
  <c r="O1924" i="58"/>
  <c r="P1924" i="58" s="1"/>
  <c r="O1923" i="58"/>
  <c r="P1923" i="58" s="1"/>
  <c r="Q1923" i="58" s="1"/>
  <c r="N1923" i="58"/>
  <c r="O1922" i="58"/>
  <c r="P1922" i="58" s="1"/>
  <c r="Q1922" i="58" s="1"/>
  <c r="R1922" i="58" s="1"/>
  <c r="O1921" i="58"/>
  <c r="P1921" i="58" s="1"/>
  <c r="Q1921" i="58" s="1"/>
  <c r="R1921" i="58" s="1"/>
  <c r="O1920" i="58"/>
  <c r="P1920" i="58" s="1"/>
  <c r="I1920" i="58"/>
  <c r="J1920" i="58" s="1"/>
  <c r="O1919" i="58"/>
  <c r="P1919" i="58" s="1"/>
  <c r="J1919" i="58"/>
  <c r="I1919" i="58"/>
  <c r="P1918" i="58"/>
  <c r="O1918" i="58"/>
  <c r="O1917" i="58"/>
  <c r="P1917" i="58" s="1"/>
  <c r="Q1917" i="58" s="1"/>
  <c r="N1917" i="58"/>
  <c r="O1916" i="58"/>
  <c r="P1916" i="58" s="1"/>
  <c r="Q1916" i="58" s="1"/>
  <c r="R1916" i="58" s="1"/>
  <c r="O1915" i="58"/>
  <c r="P1915" i="58" s="1"/>
  <c r="Q1915" i="58" s="1"/>
  <c r="R1915" i="58" s="1"/>
  <c r="P1914" i="58"/>
  <c r="O1914" i="58"/>
  <c r="I1914" i="58"/>
  <c r="J1914" i="58" s="1"/>
  <c r="O1913" i="58"/>
  <c r="P1913" i="58" s="1"/>
  <c r="I1913" i="58"/>
  <c r="J1913" i="58" s="1"/>
  <c r="O1912" i="58"/>
  <c r="P1912" i="58" s="1"/>
  <c r="O1911" i="58"/>
  <c r="P1911" i="58" s="1"/>
  <c r="Q1911" i="58" s="1"/>
  <c r="N1911" i="58"/>
  <c r="O1910" i="58"/>
  <c r="P1910" i="58" s="1"/>
  <c r="O1909" i="58"/>
  <c r="P1909" i="58" s="1"/>
  <c r="O1908" i="58"/>
  <c r="P1908" i="58" s="1"/>
  <c r="I1908" i="58"/>
  <c r="J1908" i="58" s="1"/>
  <c r="O1907" i="58"/>
  <c r="P1907" i="58" s="1"/>
  <c r="I1907" i="58"/>
  <c r="J1907" i="58" s="1"/>
  <c r="O1906" i="58"/>
  <c r="P1906" i="58" s="1"/>
  <c r="O1905" i="58"/>
  <c r="P1905" i="58" s="1"/>
  <c r="Q1905" i="58" s="1"/>
  <c r="N1905" i="58"/>
  <c r="O1904" i="58"/>
  <c r="P1904" i="58" s="1"/>
  <c r="P1903" i="58"/>
  <c r="O1903" i="58"/>
  <c r="O1902" i="58"/>
  <c r="P1902" i="58" s="1"/>
  <c r="I1902" i="58"/>
  <c r="J1902" i="58" s="1"/>
  <c r="P1901" i="58"/>
  <c r="O1901" i="58"/>
  <c r="I1901" i="58"/>
  <c r="J1901" i="58" s="1"/>
  <c r="O1900" i="58"/>
  <c r="P1900" i="58" s="1"/>
  <c r="O1899" i="58"/>
  <c r="P1899" i="58" s="1"/>
  <c r="Q1899" i="58" s="1"/>
  <c r="N1899" i="58"/>
  <c r="O1898" i="58"/>
  <c r="P1898" i="58" s="1"/>
  <c r="Q1898" i="58" s="1"/>
  <c r="R1898" i="58" s="1"/>
  <c r="P1897" i="58"/>
  <c r="Q1897" i="58" s="1"/>
  <c r="R1897" i="58" s="1"/>
  <c r="O1897" i="58"/>
  <c r="O1896" i="58"/>
  <c r="P1896" i="58" s="1"/>
  <c r="J1896" i="58"/>
  <c r="I1896" i="58"/>
  <c r="O1895" i="58"/>
  <c r="P1895" i="58" s="1"/>
  <c r="I1895" i="58"/>
  <c r="J1895" i="58" s="1"/>
  <c r="P1894" i="58"/>
  <c r="O1894" i="58"/>
  <c r="O1893" i="58"/>
  <c r="P1893" i="58" s="1"/>
  <c r="Q1893" i="58" s="1"/>
  <c r="N1893" i="58"/>
  <c r="O1892" i="58"/>
  <c r="P1892" i="58" s="1"/>
  <c r="O1891" i="58"/>
  <c r="P1891" i="58" s="1"/>
  <c r="O1890" i="58"/>
  <c r="P1890" i="58" s="1"/>
  <c r="I1890" i="58"/>
  <c r="J1890" i="58" s="1"/>
  <c r="O1889" i="58"/>
  <c r="P1889" i="58" s="1"/>
  <c r="I1889" i="58"/>
  <c r="J1889" i="58" s="1"/>
  <c r="O1888" i="58"/>
  <c r="P1888" i="58" s="1"/>
  <c r="O1887" i="58"/>
  <c r="P1887" i="58" s="1"/>
  <c r="Q1887" i="58" s="1"/>
  <c r="N1887" i="58"/>
  <c r="O1886" i="58"/>
  <c r="P1886" i="58" s="1"/>
  <c r="L1886" i="58"/>
  <c r="L1881" i="58" s="1"/>
  <c r="P1885" i="58"/>
  <c r="O1885" i="58"/>
  <c r="O1884" i="58"/>
  <c r="P1884" i="58" s="1"/>
  <c r="I1884" i="58"/>
  <c r="J1884" i="58" s="1"/>
  <c r="O1883" i="58"/>
  <c r="P1883" i="58" s="1"/>
  <c r="I1883" i="58"/>
  <c r="J1883" i="58" s="1"/>
  <c r="P1882" i="58"/>
  <c r="O1882" i="58"/>
  <c r="O1881" i="58"/>
  <c r="P1881" i="58" s="1"/>
  <c r="Q1881" i="58" s="1"/>
  <c r="N1881" i="58"/>
  <c r="O1880" i="58"/>
  <c r="P1880" i="58" s="1"/>
  <c r="L1880" i="58"/>
  <c r="L1875" i="58" s="1"/>
  <c r="O1879" i="58"/>
  <c r="P1879" i="58" s="1"/>
  <c r="P1878" i="58"/>
  <c r="O1878" i="58"/>
  <c r="I1878" i="58"/>
  <c r="J1878" i="58" s="1"/>
  <c r="O1877" i="58"/>
  <c r="P1877" i="58" s="1"/>
  <c r="I1877" i="58"/>
  <c r="J1877" i="58" s="1"/>
  <c r="O1876" i="58"/>
  <c r="P1876" i="58" s="1"/>
  <c r="O1875" i="58"/>
  <c r="P1875" i="58" s="1"/>
  <c r="Q1875" i="58" s="1"/>
  <c r="N1875" i="58"/>
  <c r="O1874" i="58"/>
  <c r="P1874" i="58" s="1"/>
  <c r="L1874" i="58"/>
  <c r="L1869" i="58" s="1"/>
  <c r="O1873" i="58"/>
  <c r="P1873" i="58" s="1"/>
  <c r="O1872" i="58"/>
  <c r="P1872" i="58" s="1"/>
  <c r="I1872" i="58"/>
  <c r="J1872" i="58" s="1"/>
  <c r="P1871" i="58"/>
  <c r="O1871" i="58"/>
  <c r="I1871" i="58"/>
  <c r="J1871" i="58" s="1"/>
  <c r="P1870" i="58"/>
  <c r="O1870" i="58"/>
  <c r="O1869" i="58"/>
  <c r="P1869" i="58" s="1"/>
  <c r="Q1869" i="58" s="1"/>
  <c r="N1869" i="58"/>
  <c r="O1868" i="58"/>
  <c r="P1868" i="58" s="1"/>
  <c r="O1867" i="58"/>
  <c r="P1867" i="58" s="1"/>
  <c r="O1866" i="58"/>
  <c r="P1866" i="58" s="1"/>
  <c r="I1866" i="58"/>
  <c r="J1866" i="58" s="1"/>
  <c r="O1865" i="58"/>
  <c r="P1865" i="58" s="1"/>
  <c r="I1865" i="58"/>
  <c r="J1865" i="58" s="1"/>
  <c r="O1864" i="58"/>
  <c r="P1864" i="58" s="1"/>
  <c r="O1863" i="58"/>
  <c r="P1863" i="58" s="1"/>
  <c r="Q1863" i="58" s="1"/>
  <c r="N1863" i="58"/>
  <c r="O1862" i="58"/>
  <c r="P1862" i="58" s="1"/>
  <c r="L1862" i="58"/>
  <c r="L1857" i="58" s="1"/>
  <c r="O1861" i="58"/>
  <c r="P1861" i="58" s="1"/>
  <c r="O1860" i="58"/>
  <c r="P1860" i="58" s="1"/>
  <c r="I1860" i="58"/>
  <c r="J1860" i="58" s="1"/>
  <c r="J1857" i="58" s="1"/>
  <c r="O1859" i="58"/>
  <c r="P1859" i="58" s="1"/>
  <c r="J1859" i="58"/>
  <c r="I1859" i="58"/>
  <c r="O1858" i="58"/>
  <c r="P1858" i="58" s="1"/>
  <c r="O1857" i="58"/>
  <c r="P1857" i="58" s="1"/>
  <c r="Q1857" i="58" s="1"/>
  <c r="N1857" i="58"/>
  <c r="P1856" i="58"/>
  <c r="O1856" i="58"/>
  <c r="L1856" i="58"/>
  <c r="P1855" i="58"/>
  <c r="O1855" i="58"/>
  <c r="P1854" i="58"/>
  <c r="O1854" i="58"/>
  <c r="J1854" i="58"/>
  <c r="I1854" i="58"/>
  <c r="O1853" i="58"/>
  <c r="P1853" i="58" s="1"/>
  <c r="I1853" i="58"/>
  <c r="J1853" i="58" s="1"/>
  <c r="O1852" i="58"/>
  <c r="P1852" i="58" s="1"/>
  <c r="O1851" i="58"/>
  <c r="P1851" i="58" s="1"/>
  <c r="Q1851" i="58" s="1"/>
  <c r="Q1850" i="58" s="1"/>
  <c r="R1850" i="58" s="1"/>
  <c r="N1851" i="58"/>
  <c r="L1851" i="58"/>
  <c r="P1850" i="58"/>
  <c r="O1850" i="58"/>
  <c r="P1849" i="58"/>
  <c r="O1849" i="58"/>
  <c r="O1848" i="58"/>
  <c r="P1848" i="58" s="1"/>
  <c r="J1848" i="58"/>
  <c r="I1848" i="58"/>
  <c r="P1847" i="58"/>
  <c r="O1847" i="58"/>
  <c r="I1847" i="58"/>
  <c r="J1847" i="58" s="1"/>
  <c r="P1846" i="58"/>
  <c r="O1846" i="58"/>
  <c r="O1845" i="58"/>
  <c r="P1845" i="58" s="1"/>
  <c r="Q1845" i="58" s="1"/>
  <c r="N1845" i="58"/>
  <c r="O1844" i="58"/>
  <c r="P1844" i="58" s="1"/>
  <c r="Q1844" i="58" s="1"/>
  <c r="R1844" i="58" s="1"/>
  <c r="O1843" i="58"/>
  <c r="P1843" i="58" s="1"/>
  <c r="P1842" i="58"/>
  <c r="O1842" i="58"/>
  <c r="I1842" i="58"/>
  <c r="J1842" i="58" s="1"/>
  <c r="O1841" i="58"/>
  <c r="P1841" i="58" s="1"/>
  <c r="J1841" i="58"/>
  <c r="I1841" i="58"/>
  <c r="O1840" i="58"/>
  <c r="P1840" i="58" s="1"/>
  <c r="O1839" i="58"/>
  <c r="P1839" i="58" s="1"/>
  <c r="Q1839" i="58" s="1"/>
  <c r="N1839" i="58"/>
  <c r="O1838" i="58"/>
  <c r="P1838" i="58" s="1"/>
  <c r="L1838" i="58"/>
  <c r="L1833" i="58" s="1"/>
  <c r="O1837" i="58"/>
  <c r="P1837" i="58" s="1"/>
  <c r="O1836" i="58"/>
  <c r="P1836" i="58" s="1"/>
  <c r="I1836" i="58"/>
  <c r="J1836" i="58" s="1"/>
  <c r="P1835" i="58"/>
  <c r="O1835" i="58"/>
  <c r="I1835" i="58"/>
  <c r="J1835" i="58" s="1"/>
  <c r="P1834" i="58"/>
  <c r="O1834" i="58"/>
  <c r="P1833" i="58"/>
  <c r="Q1833" i="58" s="1"/>
  <c r="O1833" i="58"/>
  <c r="N1833" i="58"/>
  <c r="O1832" i="58"/>
  <c r="P1832" i="58" s="1"/>
  <c r="L1832" i="58"/>
  <c r="L1827" i="58" s="1"/>
  <c r="P1831" i="58"/>
  <c r="O1831" i="58"/>
  <c r="O1830" i="58"/>
  <c r="P1830" i="58" s="1"/>
  <c r="I1830" i="58"/>
  <c r="J1830" i="58" s="1"/>
  <c r="O1829" i="58"/>
  <c r="P1829" i="58" s="1"/>
  <c r="I1829" i="58"/>
  <c r="J1829" i="58" s="1"/>
  <c r="O1828" i="58"/>
  <c r="P1828" i="58" s="1"/>
  <c r="O1827" i="58"/>
  <c r="P1827" i="58" s="1"/>
  <c r="Q1827" i="58" s="1"/>
  <c r="Q1826" i="58" s="1"/>
  <c r="R1826" i="58" s="1"/>
  <c r="N1827" i="58"/>
  <c r="O1826" i="58"/>
  <c r="P1826" i="58" s="1"/>
  <c r="O1825" i="58"/>
  <c r="P1825" i="58" s="1"/>
  <c r="O1824" i="58"/>
  <c r="P1824" i="58" s="1"/>
  <c r="I1824" i="58"/>
  <c r="J1824" i="58" s="1"/>
  <c r="O1823" i="58"/>
  <c r="P1823" i="58" s="1"/>
  <c r="I1823" i="58"/>
  <c r="J1823" i="58" s="1"/>
  <c r="O1822" i="58"/>
  <c r="P1822" i="58" s="1"/>
  <c r="O1821" i="58"/>
  <c r="P1821" i="58" s="1"/>
  <c r="Q1821" i="58" s="1"/>
  <c r="N1821" i="58"/>
  <c r="O1820" i="58"/>
  <c r="P1820" i="58" s="1"/>
  <c r="Q1820" i="58" s="1"/>
  <c r="R1820" i="58" s="1"/>
  <c r="O1819" i="58"/>
  <c r="P1819" i="58" s="1"/>
  <c r="P1818" i="58"/>
  <c r="O1818" i="58"/>
  <c r="I1818" i="58"/>
  <c r="J1818" i="58" s="1"/>
  <c r="J1815" i="58" s="1"/>
  <c r="P1817" i="58"/>
  <c r="O1817" i="58"/>
  <c r="I1817" i="58"/>
  <c r="J1817" i="58" s="1"/>
  <c r="O1816" i="58"/>
  <c r="P1816" i="58" s="1"/>
  <c r="O1815" i="58"/>
  <c r="P1815" i="58" s="1"/>
  <c r="Q1815" i="58" s="1"/>
  <c r="N1815" i="58"/>
  <c r="O1814" i="58"/>
  <c r="P1814" i="58" s="1"/>
  <c r="O1813" i="58"/>
  <c r="P1813" i="58" s="1"/>
  <c r="O1812" i="58"/>
  <c r="P1812" i="58" s="1"/>
  <c r="I1812" i="58"/>
  <c r="J1812" i="58" s="1"/>
  <c r="O1811" i="58"/>
  <c r="P1811" i="58" s="1"/>
  <c r="J1811" i="58"/>
  <c r="I1811" i="58"/>
  <c r="O1810" i="58"/>
  <c r="P1810" i="58" s="1"/>
  <c r="P1809" i="58"/>
  <c r="Q1809" i="58" s="1"/>
  <c r="O1809" i="58"/>
  <c r="N1809" i="58"/>
  <c r="P1808" i="58"/>
  <c r="O1808" i="58"/>
  <c r="O1807" i="58"/>
  <c r="P1807" i="58" s="1"/>
  <c r="O1806" i="58"/>
  <c r="P1806" i="58" s="1"/>
  <c r="I1806" i="58"/>
  <c r="J1806" i="58" s="1"/>
  <c r="O1805" i="58"/>
  <c r="P1805" i="58" s="1"/>
  <c r="I1805" i="58"/>
  <c r="J1805" i="58" s="1"/>
  <c r="O1804" i="58"/>
  <c r="P1804" i="58" s="1"/>
  <c r="O1803" i="58"/>
  <c r="P1803" i="58" s="1"/>
  <c r="Q1803" i="58" s="1"/>
  <c r="N1803" i="58"/>
  <c r="O1802" i="58"/>
  <c r="P1802" i="58" s="1"/>
  <c r="P1801" i="58"/>
  <c r="O1801" i="58"/>
  <c r="O1800" i="58"/>
  <c r="P1800" i="58" s="1"/>
  <c r="I1800" i="58"/>
  <c r="J1800" i="58" s="1"/>
  <c r="O1799" i="58"/>
  <c r="P1799" i="58" s="1"/>
  <c r="I1799" i="58"/>
  <c r="J1799" i="58" s="1"/>
  <c r="O1798" i="58"/>
  <c r="P1798" i="58" s="1"/>
  <c r="O1797" i="58"/>
  <c r="P1797" i="58" s="1"/>
  <c r="Q1797" i="58" s="1"/>
  <c r="N1797" i="58"/>
  <c r="O1796" i="58"/>
  <c r="P1796" i="58" s="1"/>
  <c r="Q1796" i="58" s="1"/>
  <c r="R1796" i="58" s="1"/>
  <c r="O1795" i="58"/>
  <c r="P1795" i="58" s="1"/>
  <c r="O1794" i="58"/>
  <c r="P1794" i="58" s="1"/>
  <c r="I1794" i="58"/>
  <c r="J1794" i="58" s="1"/>
  <c r="P1793" i="58"/>
  <c r="O1793" i="58"/>
  <c r="I1793" i="58"/>
  <c r="J1793" i="58" s="1"/>
  <c r="P1792" i="58"/>
  <c r="O1792" i="58"/>
  <c r="O1791" i="58"/>
  <c r="P1791" i="58" s="1"/>
  <c r="Q1791" i="58" s="1"/>
  <c r="N1791" i="58"/>
  <c r="O1790" i="58"/>
  <c r="P1790" i="58" s="1"/>
  <c r="Q1790" i="58" s="1"/>
  <c r="R1790" i="58" s="1"/>
  <c r="O1789" i="58"/>
  <c r="P1789" i="58" s="1"/>
  <c r="O1788" i="58"/>
  <c r="P1788" i="58" s="1"/>
  <c r="I1788" i="58"/>
  <c r="J1788" i="58" s="1"/>
  <c r="O1787" i="58"/>
  <c r="P1787" i="58" s="1"/>
  <c r="I1787" i="58"/>
  <c r="J1787" i="58" s="1"/>
  <c r="O1786" i="58"/>
  <c r="P1786" i="58" s="1"/>
  <c r="O1785" i="58"/>
  <c r="P1785" i="58" s="1"/>
  <c r="Q1785" i="58" s="1"/>
  <c r="N1785" i="58"/>
  <c r="O1784" i="58"/>
  <c r="P1784" i="58" s="1"/>
  <c r="O1783" i="58"/>
  <c r="P1783" i="58" s="1"/>
  <c r="P1782" i="58"/>
  <c r="O1782" i="58"/>
  <c r="I1782" i="58"/>
  <c r="J1782" i="58" s="1"/>
  <c r="P1781" i="58"/>
  <c r="O1781" i="58"/>
  <c r="I1781" i="58"/>
  <c r="J1781" i="58" s="1"/>
  <c r="O1780" i="58"/>
  <c r="P1780" i="58" s="1"/>
  <c r="O1779" i="58"/>
  <c r="P1779" i="58" s="1"/>
  <c r="Q1779" i="58" s="1"/>
  <c r="N1779" i="58"/>
  <c r="O1778" i="58"/>
  <c r="P1778" i="58" s="1"/>
  <c r="Q1778" i="58" s="1"/>
  <c r="R1778" i="58" s="1"/>
  <c r="O1777" i="58"/>
  <c r="P1777" i="58" s="1"/>
  <c r="O1776" i="58"/>
  <c r="P1776" i="58" s="1"/>
  <c r="I1776" i="58"/>
  <c r="J1776" i="58" s="1"/>
  <c r="O1775" i="58"/>
  <c r="P1775" i="58" s="1"/>
  <c r="I1775" i="58"/>
  <c r="J1775" i="58" s="1"/>
  <c r="O1774" i="58"/>
  <c r="P1774" i="58" s="1"/>
  <c r="O1773" i="58"/>
  <c r="P1773" i="58" s="1"/>
  <c r="Q1773" i="58" s="1"/>
  <c r="N1773" i="58"/>
  <c r="P1772" i="58"/>
  <c r="O1772" i="58"/>
  <c r="O1771" i="58"/>
  <c r="P1771" i="58" s="1"/>
  <c r="O1770" i="58"/>
  <c r="P1770" i="58" s="1"/>
  <c r="I1770" i="58"/>
  <c r="J1770" i="58" s="1"/>
  <c r="P1769" i="58"/>
  <c r="O1769" i="58"/>
  <c r="I1769" i="58"/>
  <c r="J1769" i="58" s="1"/>
  <c r="J1767" i="58" s="1"/>
  <c r="O1768" i="58"/>
  <c r="P1768" i="58" s="1"/>
  <c r="O1767" i="58"/>
  <c r="P1767" i="58" s="1"/>
  <c r="Q1767" i="58" s="1"/>
  <c r="N1767" i="58"/>
  <c r="P1766" i="58"/>
  <c r="O1766" i="58"/>
  <c r="L1766" i="58"/>
  <c r="L1761" i="58" s="1"/>
  <c r="P1765" i="58"/>
  <c r="O1765" i="58"/>
  <c r="O1764" i="58"/>
  <c r="P1764" i="58" s="1"/>
  <c r="I1764" i="58"/>
  <c r="J1764" i="58" s="1"/>
  <c r="O1763" i="58"/>
  <c r="P1763" i="58" s="1"/>
  <c r="I1763" i="58"/>
  <c r="J1763" i="58" s="1"/>
  <c r="J1761" i="58" s="1"/>
  <c r="P1762" i="58"/>
  <c r="O1762" i="58"/>
  <c r="O1761" i="58"/>
  <c r="P1761" i="58" s="1"/>
  <c r="Q1761" i="58" s="1"/>
  <c r="N1761" i="58"/>
  <c r="O1759" i="58"/>
  <c r="P1759" i="58" s="1"/>
  <c r="L1759" i="58"/>
  <c r="L1754" i="58" s="1"/>
  <c r="O1758" i="58"/>
  <c r="P1758" i="58" s="1"/>
  <c r="O1757" i="58"/>
  <c r="P1757" i="58" s="1"/>
  <c r="I1757" i="58"/>
  <c r="J1757" i="58" s="1"/>
  <c r="P1756" i="58"/>
  <c r="O1756" i="58"/>
  <c r="I1756" i="58"/>
  <c r="J1756" i="58" s="1"/>
  <c r="P1755" i="58"/>
  <c r="O1755" i="58"/>
  <c r="O1754" i="58"/>
  <c r="P1754" i="58" s="1"/>
  <c r="Q1754" i="58" s="1"/>
  <c r="N1754" i="58"/>
  <c r="O1753" i="58"/>
  <c r="P1753" i="58" s="1"/>
  <c r="Q1753" i="58" s="1"/>
  <c r="O1752" i="58"/>
  <c r="P1752" i="58" s="1"/>
  <c r="O1751" i="58"/>
  <c r="P1751" i="58" s="1"/>
  <c r="I1751" i="58"/>
  <c r="J1751" i="58" s="1"/>
  <c r="O1750" i="58"/>
  <c r="P1750" i="58" s="1"/>
  <c r="I1750" i="58"/>
  <c r="J1750" i="58" s="1"/>
  <c r="O1749" i="58"/>
  <c r="P1749" i="58" s="1"/>
  <c r="O1748" i="58"/>
  <c r="P1748" i="58" s="1"/>
  <c r="Q1748" i="58" s="1"/>
  <c r="N1748" i="58"/>
  <c r="O1747" i="58"/>
  <c r="P1747" i="58" s="1"/>
  <c r="P1746" i="58"/>
  <c r="O1746" i="58"/>
  <c r="P1745" i="58"/>
  <c r="O1745" i="58"/>
  <c r="I1745" i="58"/>
  <c r="J1745" i="58" s="1"/>
  <c r="O1744" i="58"/>
  <c r="P1744" i="58" s="1"/>
  <c r="I1744" i="58"/>
  <c r="J1744" i="58" s="1"/>
  <c r="J1742" i="58" s="1"/>
  <c r="P1743" i="58"/>
  <c r="O1743" i="58"/>
  <c r="O1742" i="58"/>
  <c r="P1742" i="58" s="1"/>
  <c r="Q1742" i="58" s="1"/>
  <c r="N1742" i="58"/>
  <c r="O1741" i="58"/>
  <c r="P1741" i="58" s="1"/>
  <c r="O1740" i="58"/>
  <c r="P1740" i="58" s="1"/>
  <c r="O1739" i="58"/>
  <c r="P1739" i="58" s="1"/>
  <c r="I1739" i="58"/>
  <c r="J1739" i="58" s="1"/>
  <c r="O1738" i="58"/>
  <c r="P1738" i="58" s="1"/>
  <c r="I1738" i="58"/>
  <c r="J1738" i="58" s="1"/>
  <c r="O1737" i="58"/>
  <c r="P1737" i="58" s="1"/>
  <c r="P1736" i="58"/>
  <c r="Q1736" i="58" s="1"/>
  <c r="O1736" i="58"/>
  <c r="N1736" i="58"/>
  <c r="O1735" i="58"/>
  <c r="P1735" i="58" s="1"/>
  <c r="O1734" i="58"/>
  <c r="P1734" i="58" s="1"/>
  <c r="P1733" i="58"/>
  <c r="O1733" i="58"/>
  <c r="I1733" i="58"/>
  <c r="J1733" i="58" s="1"/>
  <c r="O1732" i="58"/>
  <c r="P1732" i="58" s="1"/>
  <c r="I1732" i="58"/>
  <c r="J1732" i="58" s="1"/>
  <c r="O1731" i="58"/>
  <c r="P1731" i="58" s="1"/>
  <c r="O1730" i="58"/>
  <c r="P1730" i="58" s="1"/>
  <c r="Q1730" i="58" s="1"/>
  <c r="N1730" i="58"/>
  <c r="O1729" i="58"/>
  <c r="P1729" i="58" s="1"/>
  <c r="Q1729" i="58" s="1"/>
  <c r="O1728" i="58"/>
  <c r="P1728" i="58" s="1"/>
  <c r="O1727" i="58"/>
  <c r="P1727" i="58" s="1"/>
  <c r="I1727" i="58"/>
  <c r="J1727" i="58" s="1"/>
  <c r="O1726" i="58"/>
  <c r="P1726" i="58" s="1"/>
  <c r="I1726" i="58"/>
  <c r="J1726" i="58" s="1"/>
  <c r="P1725" i="58"/>
  <c r="O1725" i="58"/>
  <c r="O1724" i="58"/>
  <c r="P1724" i="58" s="1"/>
  <c r="Q1724" i="58" s="1"/>
  <c r="N1724" i="58"/>
  <c r="O1723" i="58"/>
  <c r="P1723" i="58" s="1"/>
  <c r="O1722" i="58"/>
  <c r="P1722" i="58" s="1"/>
  <c r="O1721" i="58"/>
  <c r="P1721" i="58" s="1"/>
  <c r="I1721" i="58"/>
  <c r="J1721" i="58" s="1"/>
  <c r="O1720" i="58"/>
  <c r="P1720" i="58" s="1"/>
  <c r="I1720" i="58"/>
  <c r="J1720" i="58" s="1"/>
  <c r="J1718" i="58" s="1"/>
  <c r="O1719" i="58"/>
  <c r="P1719" i="58" s="1"/>
  <c r="O1718" i="58"/>
  <c r="P1718" i="58" s="1"/>
  <c r="Q1718" i="58" s="1"/>
  <c r="N1718" i="58"/>
  <c r="Q1717" i="58"/>
  <c r="R1717" i="58" s="1"/>
  <c r="P1717" i="58"/>
  <c r="O1717" i="58"/>
  <c r="P1716" i="58"/>
  <c r="O1716" i="58"/>
  <c r="O1715" i="58"/>
  <c r="P1715" i="58" s="1"/>
  <c r="I1715" i="58"/>
  <c r="J1715" i="58" s="1"/>
  <c r="O1714" i="58"/>
  <c r="P1714" i="58" s="1"/>
  <c r="I1714" i="58"/>
  <c r="J1714" i="58" s="1"/>
  <c r="J1712" i="58" s="1"/>
  <c r="O1713" i="58"/>
  <c r="P1713" i="58" s="1"/>
  <c r="P1712" i="58"/>
  <c r="Q1712" i="58" s="1"/>
  <c r="O1712" i="58"/>
  <c r="N1712" i="58"/>
  <c r="O1711" i="58"/>
  <c r="P1711" i="58" s="1"/>
  <c r="Q1711" i="58" s="1"/>
  <c r="R1711" i="58" s="1"/>
  <c r="O1710" i="58"/>
  <c r="P1710" i="58" s="1"/>
  <c r="O1709" i="58"/>
  <c r="P1709" i="58" s="1"/>
  <c r="I1709" i="58"/>
  <c r="J1709" i="58" s="1"/>
  <c r="O1708" i="58"/>
  <c r="P1708" i="58" s="1"/>
  <c r="I1708" i="58"/>
  <c r="J1708" i="58" s="1"/>
  <c r="O1707" i="58"/>
  <c r="P1707" i="58" s="1"/>
  <c r="O1706" i="58"/>
  <c r="P1706" i="58" s="1"/>
  <c r="Q1706" i="58" s="1"/>
  <c r="N1706" i="58"/>
  <c r="O1705" i="58"/>
  <c r="P1705" i="58" s="1"/>
  <c r="O1704" i="58"/>
  <c r="P1704" i="58" s="1"/>
  <c r="O1703" i="58"/>
  <c r="P1703" i="58" s="1"/>
  <c r="J1703" i="58"/>
  <c r="I1703" i="58"/>
  <c r="O1702" i="58"/>
  <c r="P1702" i="58" s="1"/>
  <c r="I1702" i="58"/>
  <c r="J1702" i="58" s="1"/>
  <c r="O1701" i="58"/>
  <c r="P1701" i="58" s="1"/>
  <c r="P1700" i="58"/>
  <c r="Q1700" i="58" s="1"/>
  <c r="O1700" i="58"/>
  <c r="N1700" i="58"/>
  <c r="O1699" i="58"/>
  <c r="P1699" i="58" s="1"/>
  <c r="O1698" i="58"/>
  <c r="P1698" i="58" s="1"/>
  <c r="P1697" i="58"/>
  <c r="O1697" i="58"/>
  <c r="I1697" i="58"/>
  <c r="J1697" i="58" s="1"/>
  <c r="O1696" i="58"/>
  <c r="P1696" i="58" s="1"/>
  <c r="I1696" i="58"/>
  <c r="J1696" i="58" s="1"/>
  <c r="O1695" i="58"/>
  <c r="P1695" i="58" s="1"/>
  <c r="O1694" i="58"/>
  <c r="P1694" i="58" s="1"/>
  <c r="Q1694" i="58" s="1"/>
  <c r="N1694" i="58"/>
  <c r="O1693" i="58"/>
  <c r="P1693" i="58" s="1"/>
  <c r="Q1693" i="58" s="1"/>
  <c r="R1693" i="58" s="1"/>
  <c r="P1692" i="58"/>
  <c r="O1692" i="58"/>
  <c r="P1691" i="58"/>
  <c r="O1691" i="58"/>
  <c r="I1691" i="58"/>
  <c r="J1691" i="58" s="1"/>
  <c r="O1690" i="58"/>
  <c r="P1690" i="58" s="1"/>
  <c r="J1690" i="58"/>
  <c r="I1690" i="58"/>
  <c r="O1689" i="58"/>
  <c r="P1689" i="58" s="1"/>
  <c r="O1688" i="58"/>
  <c r="P1688" i="58" s="1"/>
  <c r="Q1688" i="58" s="1"/>
  <c r="N1688" i="58"/>
  <c r="O1687" i="58"/>
  <c r="P1687" i="58" s="1"/>
  <c r="O1686" i="58"/>
  <c r="P1686" i="58" s="1"/>
  <c r="O1685" i="58"/>
  <c r="P1685" i="58" s="1"/>
  <c r="I1685" i="58"/>
  <c r="J1685" i="58" s="1"/>
  <c r="P1684" i="58"/>
  <c r="O1684" i="58"/>
  <c r="I1684" i="58"/>
  <c r="J1684" i="58" s="1"/>
  <c r="O1683" i="58"/>
  <c r="P1683" i="58" s="1"/>
  <c r="O1682" i="58"/>
  <c r="P1682" i="58" s="1"/>
  <c r="Q1682" i="58" s="1"/>
  <c r="N1682" i="58"/>
  <c r="P1681" i="58"/>
  <c r="Q1681" i="58" s="1"/>
  <c r="R1681" i="58" s="1"/>
  <c r="O1681" i="58"/>
  <c r="O1680" i="58"/>
  <c r="P1680" i="58" s="1"/>
  <c r="O1679" i="58"/>
  <c r="P1679" i="58" s="1"/>
  <c r="I1679" i="58"/>
  <c r="J1679" i="58" s="1"/>
  <c r="O1678" i="58"/>
  <c r="P1678" i="58" s="1"/>
  <c r="I1678" i="58"/>
  <c r="J1678" i="58" s="1"/>
  <c r="O1677" i="58"/>
  <c r="P1677" i="58" s="1"/>
  <c r="Q1676" i="58"/>
  <c r="P1676" i="58"/>
  <c r="O1676" i="58"/>
  <c r="N1676" i="58"/>
  <c r="O1675" i="58"/>
  <c r="P1675" i="58" s="1"/>
  <c r="O1674" i="58"/>
  <c r="P1674" i="58" s="1"/>
  <c r="P1673" i="58"/>
  <c r="O1673" i="58"/>
  <c r="J1673" i="58"/>
  <c r="I1673" i="58"/>
  <c r="O1672" i="58"/>
  <c r="P1672" i="58" s="1"/>
  <c r="I1672" i="58"/>
  <c r="J1672" i="58" s="1"/>
  <c r="J1670" i="58" s="1"/>
  <c r="O1671" i="58"/>
  <c r="P1671" i="58" s="1"/>
  <c r="O1670" i="58"/>
  <c r="P1670" i="58" s="1"/>
  <c r="Q1670" i="58" s="1"/>
  <c r="N1670" i="58"/>
  <c r="O1669" i="58"/>
  <c r="P1669" i="58" s="1"/>
  <c r="O1668" i="58"/>
  <c r="P1668" i="58" s="1"/>
  <c r="P1667" i="58"/>
  <c r="O1667" i="58"/>
  <c r="J1667" i="58"/>
  <c r="I1667" i="58"/>
  <c r="O1666" i="58"/>
  <c r="P1666" i="58" s="1"/>
  <c r="I1666" i="58"/>
  <c r="J1666" i="58" s="1"/>
  <c r="J1664" i="58" s="1"/>
  <c r="O1665" i="58"/>
  <c r="P1665" i="58" s="1"/>
  <c r="P1664" i="58"/>
  <c r="Q1664" i="58" s="1"/>
  <c r="O1664" i="58"/>
  <c r="N1664" i="58"/>
  <c r="O1663" i="58"/>
  <c r="P1663" i="58" s="1"/>
  <c r="Q1663" i="58" s="1"/>
  <c r="R1663" i="58" s="1"/>
  <c r="O1662" i="58"/>
  <c r="P1662" i="58" s="1"/>
  <c r="Q1662" i="58" s="1"/>
  <c r="O1661" i="58"/>
  <c r="P1661" i="58" s="1"/>
  <c r="I1661" i="58"/>
  <c r="J1661" i="58" s="1"/>
  <c r="O1660" i="58"/>
  <c r="P1660" i="58" s="1"/>
  <c r="I1660" i="58"/>
  <c r="J1660" i="58" s="1"/>
  <c r="O1659" i="58"/>
  <c r="P1659" i="58" s="1"/>
  <c r="O1658" i="58"/>
  <c r="P1658" i="58" s="1"/>
  <c r="Q1658" i="58" s="1"/>
  <c r="N1658" i="58"/>
  <c r="O1657" i="58"/>
  <c r="P1657" i="58" s="1"/>
  <c r="P1656" i="58"/>
  <c r="O1656" i="58"/>
  <c r="O1655" i="58"/>
  <c r="P1655" i="58" s="1"/>
  <c r="I1655" i="58"/>
  <c r="J1655" i="58" s="1"/>
  <c r="O1654" i="58"/>
  <c r="P1654" i="58" s="1"/>
  <c r="I1654" i="58"/>
  <c r="J1654" i="58" s="1"/>
  <c r="O1653" i="58"/>
  <c r="P1653" i="58" s="1"/>
  <c r="P1652" i="58"/>
  <c r="Q1652" i="58" s="1"/>
  <c r="O1652" i="58"/>
  <c r="N1652" i="58"/>
  <c r="O1651" i="58"/>
  <c r="P1651" i="58" s="1"/>
  <c r="O1650" i="58"/>
  <c r="P1650" i="58" s="1"/>
  <c r="O1649" i="58"/>
  <c r="P1649" i="58" s="1"/>
  <c r="I1649" i="58"/>
  <c r="J1649" i="58" s="1"/>
  <c r="O1648" i="58"/>
  <c r="P1648" i="58" s="1"/>
  <c r="I1648" i="58"/>
  <c r="J1648" i="58" s="1"/>
  <c r="O1647" i="58"/>
  <c r="P1647" i="58" s="1"/>
  <c r="O1646" i="58"/>
  <c r="P1646" i="58" s="1"/>
  <c r="Q1646" i="58" s="1"/>
  <c r="N1646" i="58"/>
  <c r="O1645" i="58"/>
  <c r="P1645" i="58" s="1"/>
  <c r="P1644" i="58"/>
  <c r="O1644" i="58"/>
  <c r="O1643" i="58"/>
  <c r="P1643" i="58" s="1"/>
  <c r="I1643" i="58"/>
  <c r="J1643" i="58" s="1"/>
  <c r="O1642" i="58"/>
  <c r="P1642" i="58" s="1"/>
  <c r="I1642" i="58"/>
  <c r="J1642" i="58" s="1"/>
  <c r="O1641" i="58"/>
  <c r="P1641" i="58" s="1"/>
  <c r="O1640" i="58"/>
  <c r="P1640" i="58" s="1"/>
  <c r="Q1640" i="58" s="1"/>
  <c r="N1640" i="58"/>
  <c r="O1639" i="58"/>
  <c r="P1639" i="58" s="1"/>
  <c r="O1638" i="58"/>
  <c r="P1638" i="58" s="1"/>
  <c r="O1637" i="58"/>
  <c r="P1637" i="58" s="1"/>
  <c r="I1637" i="58"/>
  <c r="J1637" i="58" s="1"/>
  <c r="P1636" i="58"/>
  <c r="O1636" i="58"/>
  <c r="I1636" i="58"/>
  <c r="J1636" i="58" s="1"/>
  <c r="O1635" i="58"/>
  <c r="P1635" i="58" s="1"/>
  <c r="O1634" i="58"/>
  <c r="P1634" i="58" s="1"/>
  <c r="Q1634" i="58" s="1"/>
  <c r="N1634" i="58"/>
  <c r="P1633" i="58"/>
  <c r="O1633" i="58"/>
  <c r="O1632" i="58"/>
  <c r="P1632" i="58" s="1"/>
  <c r="O1631" i="58"/>
  <c r="P1631" i="58" s="1"/>
  <c r="J1631" i="58"/>
  <c r="I1631" i="58"/>
  <c r="O1630" i="58"/>
  <c r="P1630" i="58" s="1"/>
  <c r="I1630" i="58"/>
  <c r="J1630" i="58" s="1"/>
  <c r="P1629" i="58"/>
  <c r="O1629" i="58"/>
  <c r="O1628" i="58"/>
  <c r="P1628" i="58" s="1"/>
  <c r="Q1628" i="58" s="1"/>
  <c r="N1628" i="58"/>
  <c r="O1627" i="58"/>
  <c r="P1627" i="58" s="1"/>
  <c r="O1626" i="58"/>
  <c r="P1626" i="58" s="1"/>
  <c r="O1625" i="58"/>
  <c r="P1625" i="58" s="1"/>
  <c r="I1625" i="58"/>
  <c r="J1625" i="58" s="1"/>
  <c r="O1624" i="58"/>
  <c r="P1624" i="58" s="1"/>
  <c r="I1624" i="58"/>
  <c r="J1624" i="58" s="1"/>
  <c r="J1622" i="58" s="1"/>
  <c r="O1623" i="58"/>
  <c r="P1623" i="58" s="1"/>
  <c r="O1622" i="58"/>
  <c r="P1622" i="58" s="1"/>
  <c r="Q1622" i="58" s="1"/>
  <c r="N1622" i="58"/>
  <c r="O1621" i="58"/>
  <c r="P1621" i="58" s="1"/>
  <c r="O1620" i="58"/>
  <c r="P1620" i="58" s="1"/>
  <c r="O1619" i="58"/>
  <c r="P1619" i="58" s="1"/>
  <c r="I1619" i="58"/>
  <c r="J1619" i="58" s="1"/>
  <c r="O1618" i="58"/>
  <c r="P1618" i="58" s="1"/>
  <c r="I1618" i="58"/>
  <c r="J1618" i="58" s="1"/>
  <c r="O1617" i="58"/>
  <c r="P1617" i="58" s="1"/>
  <c r="P1616" i="58"/>
  <c r="Q1616" i="58" s="1"/>
  <c r="O1616" i="58"/>
  <c r="N1616" i="58"/>
  <c r="O1615" i="58"/>
  <c r="P1615" i="58" s="1"/>
  <c r="O1614" i="58"/>
  <c r="P1614" i="58" s="1"/>
  <c r="O1613" i="58"/>
  <c r="P1613" i="58" s="1"/>
  <c r="I1613" i="58"/>
  <c r="J1613" i="58" s="1"/>
  <c r="O1612" i="58"/>
  <c r="P1612" i="58" s="1"/>
  <c r="I1612" i="58"/>
  <c r="J1612" i="58" s="1"/>
  <c r="P1611" i="58"/>
  <c r="O1611" i="58"/>
  <c r="O1610" i="58"/>
  <c r="P1610" i="58" s="1"/>
  <c r="Q1610" i="58" s="1"/>
  <c r="N1610" i="58"/>
  <c r="P1609" i="58"/>
  <c r="O1609" i="58"/>
  <c r="O1608" i="58"/>
  <c r="P1608" i="58" s="1"/>
  <c r="O1607" i="58"/>
  <c r="P1607" i="58" s="1"/>
  <c r="J1607" i="58"/>
  <c r="J1604" i="58" s="1"/>
  <c r="I1607" i="58"/>
  <c r="P1606" i="58"/>
  <c r="O1606" i="58"/>
  <c r="I1606" i="58"/>
  <c r="J1606" i="58" s="1"/>
  <c r="O1605" i="58"/>
  <c r="P1605" i="58" s="1"/>
  <c r="O1604" i="58"/>
  <c r="P1604" i="58" s="1"/>
  <c r="Q1604" i="58" s="1"/>
  <c r="N1604" i="58"/>
  <c r="P1603" i="58"/>
  <c r="Q1603" i="58" s="1"/>
  <c r="O1603" i="58"/>
  <c r="L1603" i="58"/>
  <c r="L1598" i="58" s="1"/>
  <c r="O1602" i="58"/>
  <c r="P1602" i="58" s="1"/>
  <c r="O1601" i="58"/>
  <c r="P1601" i="58" s="1"/>
  <c r="I1601" i="58"/>
  <c r="J1601" i="58" s="1"/>
  <c r="O1600" i="58"/>
  <c r="P1600" i="58" s="1"/>
  <c r="I1600" i="58"/>
  <c r="J1600" i="58" s="1"/>
  <c r="O1599" i="58"/>
  <c r="P1599" i="58" s="1"/>
  <c r="O1598" i="58"/>
  <c r="P1598" i="58" s="1"/>
  <c r="Q1598" i="58" s="1"/>
  <c r="N1598" i="58"/>
  <c r="O1597" i="58"/>
  <c r="P1597" i="58" s="1"/>
  <c r="L1597" i="58"/>
  <c r="L1592" i="58" s="1"/>
  <c r="P1596" i="58"/>
  <c r="O1596" i="58"/>
  <c r="O1595" i="58"/>
  <c r="P1595" i="58" s="1"/>
  <c r="J1595" i="58"/>
  <c r="I1595" i="58"/>
  <c r="O1594" i="58"/>
  <c r="P1594" i="58" s="1"/>
  <c r="I1594" i="58"/>
  <c r="J1594" i="58" s="1"/>
  <c r="P1593" i="58"/>
  <c r="O1593" i="58"/>
  <c r="Q1592" i="58"/>
  <c r="P1592" i="58"/>
  <c r="O1592" i="58"/>
  <c r="N1592" i="58"/>
  <c r="P1591" i="58"/>
  <c r="O1591" i="58"/>
  <c r="L1591" i="58"/>
  <c r="L1586" i="58" s="1"/>
  <c r="O1590" i="58"/>
  <c r="P1590" i="58" s="1"/>
  <c r="O1589" i="58"/>
  <c r="P1589" i="58" s="1"/>
  <c r="I1589" i="58"/>
  <c r="J1589" i="58" s="1"/>
  <c r="O1588" i="58"/>
  <c r="P1588" i="58" s="1"/>
  <c r="I1588" i="58"/>
  <c r="J1588" i="58" s="1"/>
  <c r="O1587" i="58"/>
  <c r="P1587" i="58" s="1"/>
  <c r="O1586" i="58"/>
  <c r="P1586" i="58" s="1"/>
  <c r="Q1586" i="58" s="1"/>
  <c r="N1586" i="58"/>
  <c r="O1585" i="58"/>
  <c r="P1585" i="58" s="1"/>
  <c r="Q1585" i="58" s="1"/>
  <c r="R1585" i="58" s="1"/>
  <c r="L1585" i="58"/>
  <c r="L1580" i="58" s="1"/>
  <c r="O1584" i="58"/>
  <c r="P1584" i="58" s="1"/>
  <c r="O1583" i="58"/>
  <c r="P1583" i="58" s="1"/>
  <c r="I1583" i="58"/>
  <c r="J1583" i="58" s="1"/>
  <c r="P1582" i="58"/>
  <c r="O1582" i="58"/>
  <c r="I1582" i="58"/>
  <c r="J1582" i="58" s="1"/>
  <c r="O1581" i="58"/>
  <c r="P1581" i="58" s="1"/>
  <c r="O1580" i="58"/>
  <c r="P1580" i="58" s="1"/>
  <c r="Q1580" i="58" s="1"/>
  <c r="N1580" i="58"/>
  <c r="O1579" i="58"/>
  <c r="P1579" i="58" s="1"/>
  <c r="O1578" i="58"/>
  <c r="P1578" i="58" s="1"/>
  <c r="O1577" i="58"/>
  <c r="P1577" i="58" s="1"/>
  <c r="I1577" i="58"/>
  <c r="J1577" i="58" s="1"/>
  <c r="J1574" i="58" s="1"/>
  <c r="O1576" i="58"/>
  <c r="P1576" i="58" s="1"/>
  <c r="I1576" i="58"/>
  <c r="J1576" i="58" s="1"/>
  <c r="O1575" i="58"/>
  <c r="P1575" i="58" s="1"/>
  <c r="O1574" i="58"/>
  <c r="P1574" i="58" s="1"/>
  <c r="Q1574" i="58" s="1"/>
  <c r="N1574" i="58"/>
  <c r="P1573" i="58"/>
  <c r="O1573" i="58"/>
  <c r="P1572" i="58"/>
  <c r="O1572" i="58"/>
  <c r="O1571" i="58"/>
  <c r="P1571" i="58" s="1"/>
  <c r="I1571" i="58"/>
  <c r="J1571" i="58" s="1"/>
  <c r="O1570" i="58"/>
  <c r="P1570" i="58" s="1"/>
  <c r="I1570" i="58"/>
  <c r="J1570" i="58" s="1"/>
  <c r="P1569" i="58"/>
  <c r="O1569" i="58"/>
  <c r="P1568" i="58"/>
  <c r="Q1568" i="58" s="1"/>
  <c r="O1568" i="58"/>
  <c r="N1568" i="58"/>
  <c r="P1567" i="58"/>
  <c r="O1567" i="58"/>
  <c r="P1566" i="58"/>
  <c r="O1566" i="58"/>
  <c r="O1565" i="58"/>
  <c r="P1565" i="58" s="1"/>
  <c r="I1565" i="58"/>
  <c r="J1565" i="58" s="1"/>
  <c r="O1564" i="58"/>
  <c r="P1564" i="58" s="1"/>
  <c r="I1564" i="58"/>
  <c r="J1564" i="58" s="1"/>
  <c r="O1563" i="58"/>
  <c r="P1563" i="58" s="1"/>
  <c r="O1562" i="58"/>
  <c r="P1562" i="58" s="1"/>
  <c r="Q1562" i="58" s="1"/>
  <c r="N1562" i="58"/>
  <c r="P1561" i="58"/>
  <c r="O1561" i="58"/>
  <c r="O1560" i="58"/>
  <c r="P1560" i="58" s="1"/>
  <c r="O1559" i="58"/>
  <c r="P1559" i="58" s="1"/>
  <c r="I1559" i="58"/>
  <c r="J1559" i="58" s="1"/>
  <c r="P1558" i="58"/>
  <c r="O1558" i="58"/>
  <c r="I1558" i="58"/>
  <c r="J1558" i="58" s="1"/>
  <c r="P1557" i="58"/>
  <c r="O1557" i="58"/>
  <c r="O1556" i="58"/>
  <c r="P1556" i="58" s="1"/>
  <c r="Q1556" i="58" s="1"/>
  <c r="N1556" i="58"/>
  <c r="O1555" i="58"/>
  <c r="P1555" i="58" s="1"/>
  <c r="O1554" i="58"/>
  <c r="P1554" i="58" s="1"/>
  <c r="O1553" i="58"/>
  <c r="P1553" i="58" s="1"/>
  <c r="I1553" i="58"/>
  <c r="J1553" i="58" s="1"/>
  <c r="O1552" i="58"/>
  <c r="P1552" i="58" s="1"/>
  <c r="I1552" i="58"/>
  <c r="J1552" i="58" s="1"/>
  <c r="O1551" i="58"/>
  <c r="P1551" i="58" s="1"/>
  <c r="Q1550" i="58"/>
  <c r="O1550" i="58"/>
  <c r="P1550" i="58" s="1"/>
  <c r="N1550" i="58"/>
  <c r="O1549" i="58"/>
  <c r="P1549" i="58" s="1"/>
  <c r="O1548" i="58"/>
  <c r="P1548" i="58" s="1"/>
  <c r="O1547" i="58"/>
  <c r="P1547" i="58" s="1"/>
  <c r="I1547" i="58"/>
  <c r="J1547" i="58" s="1"/>
  <c r="O1546" i="58"/>
  <c r="P1546" i="58" s="1"/>
  <c r="I1546" i="58"/>
  <c r="J1546" i="58" s="1"/>
  <c r="P1545" i="58"/>
  <c r="O1545" i="58"/>
  <c r="O1544" i="58"/>
  <c r="P1544" i="58" s="1"/>
  <c r="Q1544" i="58" s="1"/>
  <c r="N1544" i="58"/>
  <c r="O1543" i="58"/>
  <c r="P1543" i="58" s="1"/>
  <c r="O1542" i="58"/>
  <c r="P1542" i="58" s="1"/>
  <c r="O1541" i="58"/>
  <c r="P1541" i="58" s="1"/>
  <c r="I1541" i="58"/>
  <c r="J1541" i="58" s="1"/>
  <c r="P1540" i="58"/>
  <c r="O1540" i="58"/>
  <c r="I1540" i="58"/>
  <c r="J1540" i="58" s="1"/>
  <c r="J1538" i="58" s="1"/>
  <c r="O1539" i="58"/>
  <c r="P1539" i="58" s="1"/>
  <c r="O1538" i="58"/>
  <c r="P1538" i="58" s="1"/>
  <c r="Q1538" i="58" s="1"/>
  <c r="N1538" i="58"/>
  <c r="O1537" i="58"/>
  <c r="P1537" i="58" s="1"/>
  <c r="Q1537" i="58" s="1"/>
  <c r="R1537" i="58" s="1"/>
  <c r="O1536" i="58"/>
  <c r="P1536" i="58" s="1"/>
  <c r="O1535" i="58"/>
  <c r="P1535" i="58" s="1"/>
  <c r="I1535" i="58"/>
  <c r="J1535" i="58" s="1"/>
  <c r="P1534" i="58"/>
  <c r="O1534" i="58"/>
  <c r="I1534" i="58"/>
  <c r="J1534" i="58" s="1"/>
  <c r="P1533" i="58"/>
  <c r="O1533" i="58"/>
  <c r="O1532" i="58"/>
  <c r="P1532" i="58" s="1"/>
  <c r="Q1532" i="58" s="1"/>
  <c r="N1532" i="58"/>
  <c r="O1531" i="58"/>
  <c r="P1531" i="58" s="1"/>
  <c r="Q1531" i="58" s="1"/>
  <c r="R1531" i="58" s="1"/>
  <c r="O1530" i="58"/>
  <c r="P1530" i="58" s="1"/>
  <c r="O1529" i="58"/>
  <c r="P1529" i="58" s="1"/>
  <c r="I1529" i="58"/>
  <c r="J1529" i="58" s="1"/>
  <c r="O1528" i="58"/>
  <c r="P1528" i="58" s="1"/>
  <c r="I1528" i="58"/>
  <c r="J1528" i="58" s="1"/>
  <c r="O1527" i="58"/>
  <c r="P1527" i="58" s="1"/>
  <c r="O1526" i="58"/>
  <c r="P1526" i="58" s="1"/>
  <c r="Q1526" i="58" s="1"/>
  <c r="N1526" i="58"/>
  <c r="O1525" i="58"/>
  <c r="P1525" i="58" s="1"/>
  <c r="O1524" i="58"/>
  <c r="P1524" i="58" s="1"/>
  <c r="P1523" i="58"/>
  <c r="O1523" i="58"/>
  <c r="I1523" i="58"/>
  <c r="J1523" i="58" s="1"/>
  <c r="O1522" i="58"/>
  <c r="P1522" i="58" s="1"/>
  <c r="I1522" i="58"/>
  <c r="J1522" i="58" s="1"/>
  <c r="O1521" i="58"/>
  <c r="P1521" i="58" s="1"/>
  <c r="O1520" i="58"/>
  <c r="P1520" i="58" s="1"/>
  <c r="Q1520" i="58" s="1"/>
  <c r="Q1519" i="58" s="1"/>
  <c r="N1520" i="58"/>
  <c r="O1519" i="58"/>
  <c r="P1519" i="58" s="1"/>
  <c r="O1518" i="58"/>
  <c r="P1518" i="58" s="1"/>
  <c r="O1517" i="58"/>
  <c r="P1517" i="58" s="1"/>
  <c r="I1517" i="58"/>
  <c r="J1517" i="58" s="1"/>
  <c r="O1516" i="58"/>
  <c r="P1516" i="58" s="1"/>
  <c r="I1516" i="58"/>
  <c r="J1516" i="58" s="1"/>
  <c r="O1515" i="58"/>
  <c r="P1515" i="58" s="1"/>
  <c r="Q1514" i="58"/>
  <c r="O1514" i="58"/>
  <c r="P1514" i="58" s="1"/>
  <c r="N1514" i="58"/>
  <c r="O1513" i="58"/>
  <c r="P1513" i="58" s="1"/>
  <c r="Q1513" i="58" s="1"/>
  <c r="R1513" i="58" s="1"/>
  <c r="O1512" i="58"/>
  <c r="P1512" i="58" s="1"/>
  <c r="P1511" i="58"/>
  <c r="O1511" i="58"/>
  <c r="I1511" i="58"/>
  <c r="J1511" i="58" s="1"/>
  <c r="O1510" i="58"/>
  <c r="P1510" i="58" s="1"/>
  <c r="J1510" i="58"/>
  <c r="I1510" i="58"/>
  <c r="O1509" i="58"/>
  <c r="P1509" i="58" s="1"/>
  <c r="O1508" i="58"/>
  <c r="P1508" i="58" s="1"/>
  <c r="Q1508" i="58" s="1"/>
  <c r="N1508" i="58"/>
  <c r="P1507" i="58"/>
  <c r="O1507" i="58"/>
  <c r="L1507" i="58"/>
  <c r="L1502" i="58" s="1"/>
  <c r="O1506" i="58"/>
  <c r="P1506" i="58" s="1"/>
  <c r="O1505" i="58"/>
  <c r="P1505" i="58" s="1"/>
  <c r="I1505" i="58"/>
  <c r="J1505" i="58" s="1"/>
  <c r="O1504" i="58"/>
  <c r="P1504" i="58" s="1"/>
  <c r="I1504" i="58"/>
  <c r="J1504" i="58" s="1"/>
  <c r="P1503" i="58"/>
  <c r="O1503" i="58"/>
  <c r="O1502" i="58"/>
  <c r="P1502" i="58" s="1"/>
  <c r="Q1502" i="58" s="1"/>
  <c r="N1502" i="58"/>
  <c r="O1501" i="58"/>
  <c r="P1501" i="58" s="1"/>
  <c r="L1501" i="58"/>
  <c r="L1496" i="58" s="1"/>
  <c r="O1500" i="58"/>
  <c r="P1500" i="58" s="1"/>
  <c r="O1499" i="58"/>
  <c r="P1499" i="58" s="1"/>
  <c r="I1499" i="58"/>
  <c r="J1499" i="58" s="1"/>
  <c r="O1498" i="58"/>
  <c r="P1498" i="58" s="1"/>
  <c r="I1498" i="58"/>
  <c r="J1498" i="58" s="1"/>
  <c r="O1497" i="58"/>
  <c r="P1497" i="58" s="1"/>
  <c r="O1496" i="58"/>
  <c r="P1496" i="58" s="1"/>
  <c r="Q1496" i="58" s="1"/>
  <c r="N1496" i="58"/>
  <c r="O1495" i="58"/>
  <c r="P1495" i="58" s="1"/>
  <c r="Q1495" i="58" s="1"/>
  <c r="L1495" i="58"/>
  <c r="L1490" i="58" s="1"/>
  <c r="O1494" i="58"/>
  <c r="P1494" i="58" s="1"/>
  <c r="O1493" i="58"/>
  <c r="P1493" i="58" s="1"/>
  <c r="I1493" i="58"/>
  <c r="J1493" i="58" s="1"/>
  <c r="O1492" i="58"/>
  <c r="P1492" i="58" s="1"/>
  <c r="I1492" i="58"/>
  <c r="J1492" i="58" s="1"/>
  <c r="O1491" i="58"/>
  <c r="P1491" i="58" s="1"/>
  <c r="P1490" i="58"/>
  <c r="Q1490" i="58" s="1"/>
  <c r="O1490" i="58"/>
  <c r="N1490" i="58"/>
  <c r="R1489" i="58"/>
  <c r="Q1489" i="58"/>
  <c r="P1489" i="58"/>
  <c r="O1489" i="58"/>
  <c r="L1489" i="58"/>
  <c r="L1484" i="58" s="1"/>
  <c r="O1488" i="58"/>
  <c r="P1488" i="58" s="1"/>
  <c r="O1487" i="58"/>
  <c r="P1487" i="58" s="1"/>
  <c r="J1487" i="58"/>
  <c r="I1487" i="58"/>
  <c r="O1486" i="58"/>
  <c r="P1486" i="58" s="1"/>
  <c r="I1486" i="58"/>
  <c r="J1486" i="58" s="1"/>
  <c r="O1485" i="58"/>
  <c r="P1485" i="58" s="1"/>
  <c r="P1484" i="58"/>
  <c r="Q1484" i="58" s="1"/>
  <c r="O1484" i="58"/>
  <c r="N1484" i="58"/>
  <c r="O1483" i="58"/>
  <c r="P1483" i="58" s="1"/>
  <c r="Q1483" i="58" s="1"/>
  <c r="R1483" i="58" s="1"/>
  <c r="P1482" i="58"/>
  <c r="O1482" i="58"/>
  <c r="O1481" i="58"/>
  <c r="P1481" i="58" s="1"/>
  <c r="I1481" i="58"/>
  <c r="J1481" i="58" s="1"/>
  <c r="O1480" i="58"/>
  <c r="P1480" i="58" s="1"/>
  <c r="I1480" i="58"/>
  <c r="J1480" i="58" s="1"/>
  <c r="O1479" i="58"/>
  <c r="P1479" i="58" s="1"/>
  <c r="Q1478" i="58"/>
  <c r="O1478" i="58"/>
  <c r="P1478" i="58" s="1"/>
  <c r="N1478" i="58"/>
  <c r="O1477" i="58"/>
  <c r="P1477" i="58" s="1"/>
  <c r="Q1477" i="58" s="1"/>
  <c r="R1477" i="58" s="1"/>
  <c r="L1477" i="58"/>
  <c r="L1472" i="58" s="1"/>
  <c r="P1476" i="58"/>
  <c r="Q1476" i="58" s="1"/>
  <c r="R1476" i="58" s="1"/>
  <c r="O1476" i="58"/>
  <c r="P1475" i="58"/>
  <c r="O1475" i="58"/>
  <c r="I1475" i="58"/>
  <c r="J1475" i="58" s="1"/>
  <c r="O1474" i="58"/>
  <c r="P1474" i="58" s="1"/>
  <c r="I1474" i="58"/>
  <c r="J1474" i="58" s="1"/>
  <c r="O1473" i="58"/>
  <c r="P1473" i="58" s="1"/>
  <c r="O1472" i="58"/>
  <c r="P1472" i="58" s="1"/>
  <c r="Q1472" i="58" s="1"/>
  <c r="N1472" i="58"/>
  <c r="O1470" i="58"/>
  <c r="P1470" i="58" s="1"/>
  <c r="L1470" i="58"/>
  <c r="L1465" i="58" s="1"/>
  <c r="O1469" i="58"/>
  <c r="P1469" i="58" s="1"/>
  <c r="O1468" i="58"/>
  <c r="P1468" i="58" s="1"/>
  <c r="I1468" i="58"/>
  <c r="J1468" i="58" s="1"/>
  <c r="P1467" i="58"/>
  <c r="O1467" i="58"/>
  <c r="I1467" i="58"/>
  <c r="J1467" i="58" s="1"/>
  <c r="O1466" i="58"/>
  <c r="P1466" i="58" s="1"/>
  <c r="O1465" i="58"/>
  <c r="P1465" i="58" s="1"/>
  <c r="Q1465" i="58" s="1"/>
  <c r="N1465" i="58"/>
  <c r="O1464" i="58"/>
  <c r="P1464" i="58" s="1"/>
  <c r="O1463" i="58"/>
  <c r="P1463" i="58" s="1"/>
  <c r="O1462" i="58"/>
  <c r="P1462" i="58" s="1"/>
  <c r="I1462" i="58"/>
  <c r="J1462" i="58" s="1"/>
  <c r="O1461" i="58"/>
  <c r="P1461" i="58" s="1"/>
  <c r="I1461" i="58"/>
  <c r="J1461" i="58" s="1"/>
  <c r="J1459" i="58" s="1"/>
  <c r="O1460" i="58"/>
  <c r="P1460" i="58" s="1"/>
  <c r="O1459" i="58"/>
  <c r="P1459" i="58" s="1"/>
  <c r="Q1459" i="58" s="1"/>
  <c r="Q1458" i="58" s="1"/>
  <c r="R1458" i="58" s="1"/>
  <c r="N1459" i="58"/>
  <c r="O1458" i="58"/>
  <c r="P1458" i="58" s="1"/>
  <c r="O1457" i="58"/>
  <c r="P1457" i="58" s="1"/>
  <c r="O1456" i="58"/>
  <c r="P1456" i="58" s="1"/>
  <c r="I1456" i="58"/>
  <c r="J1456" i="58" s="1"/>
  <c r="O1455" i="58"/>
  <c r="P1455" i="58" s="1"/>
  <c r="I1455" i="58"/>
  <c r="J1455" i="58" s="1"/>
  <c r="J1453" i="58" s="1"/>
  <c r="O1454" i="58"/>
  <c r="P1454" i="58" s="1"/>
  <c r="O1453" i="58"/>
  <c r="P1453" i="58" s="1"/>
  <c r="Q1453" i="58" s="1"/>
  <c r="N1453" i="58"/>
  <c r="O1452" i="58"/>
  <c r="P1452" i="58" s="1"/>
  <c r="Q1452" i="58" s="1"/>
  <c r="R1452" i="58" s="1"/>
  <c r="O1451" i="58"/>
  <c r="P1451" i="58" s="1"/>
  <c r="Q1451" i="58" s="1"/>
  <c r="O1450" i="58"/>
  <c r="P1450" i="58" s="1"/>
  <c r="J1450" i="58"/>
  <c r="I1450" i="58"/>
  <c r="O1449" i="58"/>
  <c r="P1449" i="58" s="1"/>
  <c r="I1449" i="58"/>
  <c r="J1449" i="58" s="1"/>
  <c r="O1448" i="58"/>
  <c r="P1448" i="58" s="1"/>
  <c r="P1447" i="58"/>
  <c r="Q1447" i="58" s="1"/>
  <c r="O1447" i="58"/>
  <c r="N1447" i="58"/>
  <c r="O1446" i="58"/>
  <c r="P1446" i="58" s="1"/>
  <c r="O1445" i="58"/>
  <c r="P1445" i="58" s="1"/>
  <c r="O1444" i="58"/>
  <c r="P1444" i="58" s="1"/>
  <c r="I1444" i="58"/>
  <c r="J1444" i="58" s="1"/>
  <c r="O1443" i="58"/>
  <c r="P1443" i="58" s="1"/>
  <c r="J1443" i="58"/>
  <c r="I1443" i="58"/>
  <c r="O1442" i="58"/>
  <c r="P1442" i="58" s="1"/>
  <c r="O1441" i="58"/>
  <c r="P1441" i="58" s="1"/>
  <c r="Q1441" i="58" s="1"/>
  <c r="N1441" i="58"/>
  <c r="O1440" i="58"/>
  <c r="P1440" i="58" s="1"/>
  <c r="O1439" i="58"/>
  <c r="P1439" i="58" s="1"/>
  <c r="O1438" i="58"/>
  <c r="P1438" i="58" s="1"/>
  <c r="I1438" i="58"/>
  <c r="J1438" i="58" s="1"/>
  <c r="O1437" i="58"/>
  <c r="P1437" i="58" s="1"/>
  <c r="I1437" i="58"/>
  <c r="J1437" i="58" s="1"/>
  <c r="O1436" i="58"/>
  <c r="P1436" i="58" s="1"/>
  <c r="O1435" i="58"/>
  <c r="P1435" i="58" s="1"/>
  <c r="Q1435" i="58" s="1"/>
  <c r="N1435" i="58"/>
  <c r="P1434" i="58"/>
  <c r="O1434" i="58"/>
  <c r="L1434" i="58"/>
  <c r="L1429" i="58" s="1"/>
  <c r="O1433" i="58"/>
  <c r="P1433" i="58" s="1"/>
  <c r="O1432" i="58"/>
  <c r="P1432" i="58" s="1"/>
  <c r="I1432" i="58"/>
  <c r="J1432" i="58" s="1"/>
  <c r="O1431" i="58"/>
  <c r="P1431" i="58" s="1"/>
  <c r="I1431" i="58"/>
  <c r="J1431" i="58" s="1"/>
  <c r="O1430" i="58"/>
  <c r="P1430" i="58" s="1"/>
  <c r="O1429" i="58"/>
  <c r="P1429" i="58" s="1"/>
  <c r="Q1429" i="58" s="1"/>
  <c r="N1429" i="58"/>
  <c r="P1428" i="58"/>
  <c r="O1428" i="58"/>
  <c r="P1427" i="58"/>
  <c r="O1427" i="58"/>
  <c r="P1426" i="58"/>
  <c r="O1426" i="58"/>
  <c r="I1426" i="58"/>
  <c r="J1426" i="58" s="1"/>
  <c r="P1425" i="58"/>
  <c r="O1425" i="58"/>
  <c r="I1425" i="58"/>
  <c r="J1425" i="58" s="1"/>
  <c r="J1423" i="58" s="1"/>
  <c r="P1424" i="58"/>
  <c r="O1424" i="58"/>
  <c r="O1423" i="58"/>
  <c r="P1423" i="58" s="1"/>
  <c r="Q1423" i="58" s="1"/>
  <c r="N1423" i="58"/>
  <c r="O1422" i="58"/>
  <c r="P1422" i="58" s="1"/>
  <c r="O1421" i="58"/>
  <c r="P1421" i="58" s="1"/>
  <c r="O1420" i="58"/>
  <c r="P1420" i="58" s="1"/>
  <c r="I1420" i="58"/>
  <c r="J1420" i="58" s="1"/>
  <c r="O1419" i="58"/>
  <c r="P1419" i="58" s="1"/>
  <c r="I1419" i="58"/>
  <c r="J1419" i="58" s="1"/>
  <c r="O1418" i="58"/>
  <c r="P1418" i="58" s="1"/>
  <c r="O1417" i="58"/>
  <c r="P1417" i="58" s="1"/>
  <c r="Q1417" i="58" s="1"/>
  <c r="N1417" i="58"/>
  <c r="P1416" i="58"/>
  <c r="O1416" i="58"/>
  <c r="O1415" i="58"/>
  <c r="P1415" i="58" s="1"/>
  <c r="O1414" i="58"/>
  <c r="P1414" i="58" s="1"/>
  <c r="I1414" i="58"/>
  <c r="J1414" i="58" s="1"/>
  <c r="O1413" i="58"/>
  <c r="P1413" i="58" s="1"/>
  <c r="I1413" i="58"/>
  <c r="J1413" i="58" s="1"/>
  <c r="J1411" i="58" s="1"/>
  <c r="P1412" i="58"/>
  <c r="O1412" i="58"/>
  <c r="O1411" i="58"/>
  <c r="P1411" i="58" s="1"/>
  <c r="Q1411" i="58" s="1"/>
  <c r="N1411" i="58"/>
  <c r="O1410" i="58"/>
  <c r="P1410" i="58" s="1"/>
  <c r="O1409" i="58"/>
  <c r="P1409" i="58" s="1"/>
  <c r="O1408" i="58"/>
  <c r="P1408" i="58" s="1"/>
  <c r="J1408" i="58"/>
  <c r="I1408" i="58"/>
  <c r="O1407" i="58"/>
  <c r="P1407" i="58" s="1"/>
  <c r="I1407" i="58"/>
  <c r="J1407" i="58" s="1"/>
  <c r="J1405" i="58" s="1"/>
  <c r="O1406" i="58"/>
  <c r="P1406" i="58" s="1"/>
  <c r="O1405" i="58"/>
  <c r="P1405" i="58" s="1"/>
  <c r="Q1405" i="58" s="1"/>
  <c r="N1405" i="58"/>
  <c r="O1404" i="58"/>
  <c r="P1404" i="58" s="1"/>
  <c r="P1403" i="58"/>
  <c r="O1403" i="58"/>
  <c r="O1402" i="58"/>
  <c r="P1402" i="58" s="1"/>
  <c r="I1402" i="58"/>
  <c r="J1402" i="58" s="1"/>
  <c r="P1401" i="58"/>
  <c r="O1401" i="58"/>
  <c r="I1401" i="58"/>
  <c r="J1401" i="58" s="1"/>
  <c r="P1400" i="58"/>
  <c r="O1400" i="58"/>
  <c r="P1399" i="58"/>
  <c r="Q1399" i="58" s="1"/>
  <c r="O1399" i="58"/>
  <c r="N1399" i="58"/>
  <c r="O1398" i="58"/>
  <c r="P1398" i="58" s="1"/>
  <c r="L1398" i="58"/>
  <c r="L1393" i="58" s="1"/>
  <c r="O1397" i="58"/>
  <c r="P1397" i="58" s="1"/>
  <c r="O1396" i="58"/>
  <c r="P1396" i="58" s="1"/>
  <c r="I1396" i="58"/>
  <c r="J1396" i="58" s="1"/>
  <c r="J1393" i="58" s="1"/>
  <c r="P1395" i="58"/>
  <c r="O1395" i="58"/>
  <c r="I1395" i="58"/>
  <c r="J1395" i="58" s="1"/>
  <c r="O1394" i="58"/>
  <c r="P1394" i="58" s="1"/>
  <c r="O1393" i="58"/>
  <c r="P1393" i="58" s="1"/>
  <c r="Q1393" i="58" s="1"/>
  <c r="N1393" i="58"/>
  <c r="P1392" i="58"/>
  <c r="O1392" i="58"/>
  <c r="O1391" i="58"/>
  <c r="P1391" i="58" s="1"/>
  <c r="O1390" i="58"/>
  <c r="P1390" i="58" s="1"/>
  <c r="I1390" i="58"/>
  <c r="J1390" i="58" s="1"/>
  <c r="O1389" i="58"/>
  <c r="P1389" i="58" s="1"/>
  <c r="I1389" i="58"/>
  <c r="J1389" i="58" s="1"/>
  <c r="O1388" i="58"/>
  <c r="P1388" i="58" s="1"/>
  <c r="O1387" i="58"/>
  <c r="P1387" i="58" s="1"/>
  <c r="Q1387" i="58" s="1"/>
  <c r="N1387" i="58"/>
  <c r="P1386" i="58"/>
  <c r="O1386" i="58"/>
  <c r="O1385" i="58"/>
  <c r="P1385" i="58" s="1"/>
  <c r="O1384" i="58"/>
  <c r="P1384" i="58" s="1"/>
  <c r="I1384" i="58"/>
  <c r="J1384" i="58" s="1"/>
  <c r="O1383" i="58"/>
  <c r="P1383" i="58" s="1"/>
  <c r="J1383" i="58"/>
  <c r="I1383" i="58"/>
  <c r="O1382" i="58"/>
  <c r="P1382" i="58" s="1"/>
  <c r="O1381" i="58"/>
  <c r="P1381" i="58" s="1"/>
  <c r="Q1381" i="58" s="1"/>
  <c r="N1381" i="58"/>
  <c r="O1380" i="58"/>
  <c r="P1380" i="58" s="1"/>
  <c r="O1379" i="58"/>
  <c r="P1379" i="58" s="1"/>
  <c r="P1378" i="58"/>
  <c r="O1378" i="58"/>
  <c r="I1378" i="58"/>
  <c r="J1378" i="58" s="1"/>
  <c r="O1377" i="58"/>
  <c r="P1377" i="58" s="1"/>
  <c r="I1377" i="58"/>
  <c r="J1377" i="58" s="1"/>
  <c r="O1376" i="58"/>
  <c r="P1376" i="58" s="1"/>
  <c r="O1375" i="58"/>
  <c r="P1375" i="58" s="1"/>
  <c r="Q1375" i="58" s="1"/>
  <c r="N1375" i="58"/>
  <c r="O1374" i="58"/>
  <c r="P1374" i="58" s="1"/>
  <c r="L1374" i="58"/>
  <c r="L1369" i="58" s="1"/>
  <c r="O1373" i="58"/>
  <c r="P1373" i="58" s="1"/>
  <c r="O1372" i="58"/>
  <c r="P1372" i="58" s="1"/>
  <c r="I1372" i="58"/>
  <c r="J1372" i="58" s="1"/>
  <c r="J1369" i="58" s="1"/>
  <c r="O1371" i="58"/>
  <c r="P1371" i="58" s="1"/>
  <c r="I1371" i="58"/>
  <c r="J1371" i="58" s="1"/>
  <c r="O1370" i="58"/>
  <c r="P1370" i="58" s="1"/>
  <c r="O1369" i="58"/>
  <c r="P1369" i="58" s="1"/>
  <c r="Q1369" i="58" s="1"/>
  <c r="N1369" i="58"/>
  <c r="P1368" i="58"/>
  <c r="Q1368" i="58" s="1"/>
  <c r="R1368" i="58" s="1"/>
  <c r="O1368" i="58"/>
  <c r="P1367" i="58"/>
  <c r="O1367" i="58"/>
  <c r="O1366" i="58"/>
  <c r="P1366" i="58" s="1"/>
  <c r="I1366" i="58"/>
  <c r="J1366" i="58" s="1"/>
  <c r="O1365" i="58"/>
  <c r="P1365" i="58" s="1"/>
  <c r="I1365" i="58"/>
  <c r="J1365" i="58" s="1"/>
  <c r="O1364" i="58"/>
  <c r="P1364" i="58" s="1"/>
  <c r="O1363" i="58"/>
  <c r="P1363" i="58" s="1"/>
  <c r="Q1363" i="58" s="1"/>
  <c r="N1363" i="58"/>
  <c r="O1362" i="58"/>
  <c r="P1362" i="58" s="1"/>
  <c r="O1361" i="58"/>
  <c r="P1361" i="58" s="1"/>
  <c r="O1360" i="58"/>
  <c r="P1360" i="58" s="1"/>
  <c r="I1360" i="58"/>
  <c r="J1360" i="58" s="1"/>
  <c r="O1359" i="58"/>
  <c r="P1359" i="58" s="1"/>
  <c r="I1359" i="58"/>
  <c r="J1359" i="58" s="1"/>
  <c r="O1358" i="58"/>
  <c r="P1358" i="58" s="1"/>
  <c r="O1357" i="58"/>
  <c r="P1357" i="58" s="1"/>
  <c r="Q1357" i="58" s="1"/>
  <c r="N1357" i="58"/>
  <c r="O1356" i="58"/>
  <c r="P1356" i="58" s="1"/>
  <c r="O1355" i="58"/>
  <c r="P1355" i="58" s="1"/>
  <c r="O1354" i="58"/>
  <c r="P1354" i="58" s="1"/>
  <c r="I1354" i="58"/>
  <c r="J1354" i="58" s="1"/>
  <c r="P1353" i="58"/>
  <c r="O1353" i="58"/>
  <c r="I1353" i="58"/>
  <c r="J1353" i="58" s="1"/>
  <c r="O1352" i="58"/>
  <c r="P1352" i="58" s="1"/>
  <c r="O1351" i="58"/>
  <c r="P1351" i="58" s="1"/>
  <c r="Q1351" i="58" s="1"/>
  <c r="N1351" i="58"/>
  <c r="O1350" i="58"/>
  <c r="P1350" i="58" s="1"/>
  <c r="Q1350" i="58" s="1"/>
  <c r="R1350" i="58" s="1"/>
  <c r="O1349" i="58"/>
  <c r="P1349" i="58" s="1"/>
  <c r="O1348" i="58"/>
  <c r="P1348" i="58" s="1"/>
  <c r="I1348" i="58"/>
  <c r="J1348" i="58" s="1"/>
  <c r="O1347" i="58"/>
  <c r="P1347" i="58" s="1"/>
  <c r="I1347" i="58"/>
  <c r="J1347" i="58" s="1"/>
  <c r="O1346" i="58"/>
  <c r="P1346" i="58" s="1"/>
  <c r="O1345" i="58"/>
  <c r="P1345" i="58" s="1"/>
  <c r="Q1345" i="58" s="1"/>
  <c r="N1345" i="58"/>
  <c r="O1344" i="58"/>
  <c r="P1344" i="58" s="1"/>
  <c r="O1343" i="58"/>
  <c r="P1343" i="58" s="1"/>
  <c r="O1342" i="58"/>
  <c r="P1342" i="58" s="1"/>
  <c r="I1342" i="58"/>
  <c r="J1342" i="58" s="1"/>
  <c r="O1341" i="58"/>
  <c r="P1341" i="58" s="1"/>
  <c r="I1341" i="58"/>
  <c r="J1341" i="58" s="1"/>
  <c r="J1339" i="58" s="1"/>
  <c r="O1340" i="58"/>
  <c r="P1340" i="58" s="1"/>
  <c r="O1339" i="58"/>
  <c r="P1339" i="58" s="1"/>
  <c r="Q1339" i="58" s="1"/>
  <c r="N1339" i="58"/>
  <c r="P1338" i="58"/>
  <c r="Q1338" i="58" s="1"/>
  <c r="R1338" i="58" s="1"/>
  <c r="O1338" i="58"/>
  <c r="O1337" i="58"/>
  <c r="P1337" i="58" s="1"/>
  <c r="O1336" i="58"/>
  <c r="P1336" i="58" s="1"/>
  <c r="I1336" i="58"/>
  <c r="J1336" i="58" s="1"/>
  <c r="O1335" i="58"/>
  <c r="P1335" i="58" s="1"/>
  <c r="I1335" i="58"/>
  <c r="J1335" i="58" s="1"/>
  <c r="J1333" i="58" s="1"/>
  <c r="O1334" i="58"/>
  <c r="P1334" i="58" s="1"/>
  <c r="O1333" i="58"/>
  <c r="P1333" i="58" s="1"/>
  <c r="Q1333" i="58" s="1"/>
  <c r="N1333" i="58"/>
  <c r="O1332" i="58"/>
  <c r="P1332" i="58" s="1"/>
  <c r="Q1332" i="58" s="1"/>
  <c r="R1332" i="58" s="1"/>
  <c r="O1331" i="58"/>
  <c r="P1331" i="58" s="1"/>
  <c r="O1330" i="58"/>
  <c r="P1330" i="58" s="1"/>
  <c r="I1330" i="58"/>
  <c r="J1330" i="58" s="1"/>
  <c r="O1329" i="58"/>
  <c r="P1329" i="58" s="1"/>
  <c r="I1329" i="58"/>
  <c r="J1329" i="58" s="1"/>
  <c r="O1328" i="58"/>
  <c r="P1328" i="58" s="1"/>
  <c r="Q1327" i="58"/>
  <c r="O1327" i="58"/>
  <c r="P1327" i="58" s="1"/>
  <c r="N1327" i="58"/>
  <c r="O1326" i="58"/>
  <c r="P1326" i="58" s="1"/>
  <c r="O1325" i="58"/>
  <c r="P1325" i="58" s="1"/>
  <c r="O1324" i="58"/>
  <c r="P1324" i="58" s="1"/>
  <c r="I1324" i="58"/>
  <c r="J1324" i="58" s="1"/>
  <c r="O1323" i="58"/>
  <c r="P1323" i="58" s="1"/>
  <c r="I1323" i="58"/>
  <c r="J1323" i="58" s="1"/>
  <c r="J1321" i="58" s="1"/>
  <c r="O1322" i="58"/>
  <c r="P1322" i="58" s="1"/>
  <c r="O1321" i="58"/>
  <c r="P1321" i="58" s="1"/>
  <c r="Q1321" i="58" s="1"/>
  <c r="N1321" i="58"/>
  <c r="O1320" i="58"/>
  <c r="P1320" i="58" s="1"/>
  <c r="Q1320" i="58" s="1"/>
  <c r="R1320" i="58" s="1"/>
  <c r="O1319" i="58"/>
  <c r="P1319" i="58" s="1"/>
  <c r="O1318" i="58"/>
  <c r="P1318" i="58" s="1"/>
  <c r="I1318" i="58"/>
  <c r="J1318" i="58" s="1"/>
  <c r="J1315" i="58" s="1"/>
  <c r="O1317" i="58"/>
  <c r="P1317" i="58" s="1"/>
  <c r="J1317" i="58"/>
  <c r="I1317" i="58"/>
  <c r="P1316" i="58"/>
  <c r="O1316" i="58"/>
  <c r="O1315" i="58"/>
  <c r="P1315" i="58" s="1"/>
  <c r="Q1315" i="58" s="1"/>
  <c r="N1315" i="58"/>
  <c r="O1314" i="58"/>
  <c r="P1314" i="58" s="1"/>
  <c r="Q1314" i="58" s="1"/>
  <c r="L1314" i="58"/>
  <c r="L1309" i="58" s="1"/>
  <c r="P1313" i="58"/>
  <c r="O1313" i="58"/>
  <c r="O1312" i="58"/>
  <c r="P1312" i="58" s="1"/>
  <c r="I1312" i="58"/>
  <c r="J1312" i="58" s="1"/>
  <c r="O1311" i="58"/>
  <c r="P1311" i="58" s="1"/>
  <c r="I1311" i="58"/>
  <c r="J1311" i="58" s="1"/>
  <c r="O1310" i="58"/>
  <c r="P1310" i="58" s="1"/>
  <c r="O1309" i="58"/>
  <c r="P1309" i="58" s="1"/>
  <c r="Q1309" i="58" s="1"/>
  <c r="N1309" i="58"/>
  <c r="P1308" i="58"/>
  <c r="O1308" i="58"/>
  <c r="L1308" i="58"/>
  <c r="L1303" i="58" s="1"/>
  <c r="O1307" i="58"/>
  <c r="P1307" i="58" s="1"/>
  <c r="O1306" i="58"/>
  <c r="P1306" i="58" s="1"/>
  <c r="I1306" i="58"/>
  <c r="J1306" i="58" s="1"/>
  <c r="P1305" i="58"/>
  <c r="O1305" i="58"/>
  <c r="I1305" i="58"/>
  <c r="J1305" i="58" s="1"/>
  <c r="P1304" i="58"/>
  <c r="O1304" i="58"/>
  <c r="O1303" i="58"/>
  <c r="P1303" i="58" s="1"/>
  <c r="Q1303" i="58" s="1"/>
  <c r="N1303" i="58"/>
  <c r="O1302" i="58"/>
  <c r="P1302" i="58" s="1"/>
  <c r="L1302" i="58"/>
  <c r="L1297" i="58" s="1"/>
  <c r="O1301" i="58"/>
  <c r="P1301" i="58" s="1"/>
  <c r="O1300" i="58"/>
  <c r="P1300" i="58" s="1"/>
  <c r="I1300" i="58"/>
  <c r="J1300" i="58" s="1"/>
  <c r="O1299" i="58"/>
  <c r="P1299" i="58" s="1"/>
  <c r="I1299" i="58"/>
  <c r="J1299" i="58" s="1"/>
  <c r="J1297" i="58" s="1"/>
  <c r="O1298" i="58"/>
  <c r="P1298" i="58" s="1"/>
  <c r="O1297" i="58"/>
  <c r="P1297" i="58" s="1"/>
  <c r="Q1297" i="58" s="1"/>
  <c r="N1297" i="58"/>
  <c r="O1296" i="58"/>
  <c r="P1296" i="58" s="1"/>
  <c r="Q1296" i="58" s="1"/>
  <c r="R1296" i="58" s="1"/>
  <c r="O1295" i="58"/>
  <c r="P1295" i="58" s="1"/>
  <c r="P1294" i="58"/>
  <c r="O1294" i="58"/>
  <c r="I1294" i="58"/>
  <c r="J1294" i="58" s="1"/>
  <c r="O1293" i="58"/>
  <c r="P1293" i="58" s="1"/>
  <c r="I1293" i="58"/>
  <c r="J1293" i="58" s="1"/>
  <c r="P1292" i="58"/>
  <c r="O1292" i="58"/>
  <c r="O1291" i="58"/>
  <c r="P1291" i="58" s="1"/>
  <c r="Q1291" i="58" s="1"/>
  <c r="N1291" i="58"/>
  <c r="O1290" i="58"/>
  <c r="P1290" i="58" s="1"/>
  <c r="Q1290" i="58" s="1"/>
  <c r="O1289" i="58"/>
  <c r="P1289" i="58" s="1"/>
  <c r="O1288" i="58"/>
  <c r="P1288" i="58" s="1"/>
  <c r="I1288" i="58"/>
  <c r="J1288" i="58" s="1"/>
  <c r="O1287" i="58"/>
  <c r="P1287" i="58" s="1"/>
  <c r="I1287" i="58"/>
  <c r="J1287" i="58" s="1"/>
  <c r="J1285" i="58" s="1"/>
  <c r="O1286" i="58"/>
  <c r="P1286" i="58" s="1"/>
  <c r="Q1285" i="58"/>
  <c r="P1285" i="58"/>
  <c r="O1285" i="58"/>
  <c r="N1285" i="58"/>
  <c r="O1284" i="58"/>
  <c r="P1284" i="58" s="1"/>
  <c r="O1283" i="58"/>
  <c r="P1283" i="58" s="1"/>
  <c r="O1282" i="58"/>
  <c r="P1282" i="58" s="1"/>
  <c r="I1282" i="58"/>
  <c r="J1282" i="58" s="1"/>
  <c r="O1281" i="58"/>
  <c r="P1281" i="58" s="1"/>
  <c r="I1281" i="58"/>
  <c r="J1281" i="58" s="1"/>
  <c r="O1280" i="58"/>
  <c r="P1280" i="58" s="1"/>
  <c r="O1279" i="58"/>
  <c r="P1279" i="58" s="1"/>
  <c r="Q1279" i="58" s="1"/>
  <c r="N1279" i="58"/>
  <c r="P1278" i="58"/>
  <c r="Q1278" i="58" s="1"/>
  <c r="O1278" i="58"/>
  <c r="O1277" i="58"/>
  <c r="P1277" i="58" s="1"/>
  <c r="O1276" i="58"/>
  <c r="P1276" i="58" s="1"/>
  <c r="I1276" i="58"/>
  <c r="J1276" i="58" s="1"/>
  <c r="O1275" i="58"/>
  <c r="P1275" i="58" s="1"/>
  <c r="I1275" i="58"/>
  <c r="J1275" i="58" s="1"/>
  <c r="P1274" i="58"/>
  <c r="O1274" i="58"/>
  <c r="P1273" i="58"/>
  <c r="Q1273" i="58" s="1"/>
  <c r="O1273" i="58"/>
  <c r="N1273" i="58"/>
  <c r="O1272" i="58"/>
  <c r="P1272" i="58" s="1"/>
  <c r="Q1272" i="58" s="1"/>
  <c r="O1271" i="58"/>
  <c r="P1271" i="58" s="1"/>
  <c r="O1270" i="58"/>
  <c r="P1270" i="58" s="1"/>
  <c r="I1270" i="58"/>
  <c r="J1270" i="58" s="1"/>
  <c r="P1269" i="58"/>
  <c r="O1269" i="58"/>
  <c r="I1269" i="58"/>
  <c r="J1269" i="58" s="1"/>
  <c r="O1268" i="58"/>
  <c r="P1268" i="58" s="1"/>
  <c r="O1267" i="58"/>
  <c r="P1267" i="58" s="1"/>
  <c r="Q1267" i="58" s="1"/>
  <c r="N1267" i="58"/>
  <c r="O1266" i="58"/>
  <c r="P1266" i="58" s="1"/>
  <c r="Q1266" i="58" s="1"/>
  <c r="R1266" i="58" s="1"/>
  <c r="O1265" i="58"/>
  <c r="P1265" i="58" s="1"/>
  <c r="Q1265" i="58" s="1"/>
  <c r="R1265" i="58" s="1"/>
  <c r="O1264" i="58"/>
  <c r="P1264" i="58" s="1"/>
  <c r="I1264" i="58"/>
  <c r="J1264" i="58" s="1"/>
  <c r="O1263" i="58"/>
  <c r="P1263" i="58" s="1"/>
  <c r="I1263" i="58"/>
  <c r="J1263" i="58" s="1"/>
  <c r="J1261" i="58" s="1"/>
  <c r="O1262" i="58"/>
  <c r="P1262" i="58" s="1"/>
  <c r="P1261" i="58"/>
  <c r="Q1261" i="58" s="1"/>
  <c r="O1261" i="58"/>
  <c r="N1261" i="58"/>
  <c r="O1260" i="58"/>
  <c r="P1260" i="58" s="1"/>
  <c r="P1259" i="58"/>
  <c r="O1259" i="58"/>
  <c r="O1258" i="58"/>
  <c r="P1258" i="58" s="1"/>
  <c r="I1258" i="58"/>
  <c r="J1258" i="58" s="1"/>
  <c r="O1257" i="58"/>
  <c r="P1257" i="58" s="1"/>
  <c r="I1257" i="58"/>
  <c r="J1257" i="58" s="1"/>
  <c r="O1256" i="58"/>
  <c r="P1256" i="58" s="1"/>
  <c r="O1255" i="58"/>
  <c r="P1255" i="58" s="1"/>
  <c r="Q1255" i="58" s="1"/>
  <c r="N1255" i="58"/>
  <c r="O1254" i="58"/>
  <c r="P1254" i="58" s="1"/>
  <c r="Q1254" i="58" s="1"/>
  <c r="R1254" i="58" s="1"/>
  <c r="O1253" i="58"/>
  <c r="P1253" i="58" s="1"/>
  <c r="Q1253" i="58" s="1"/>
  <c r="R1253" i="58" s="1"/>
  <c r="P1252" i="58"/>
  <c r="O1252" i="58"/>
  <c r="I1252" i="58"/>
  <c r="J1252" i="58" s="1"/>
  <c r="P1251" i="58"/>
  <c r="O1251" i="58"/>
  <c r="I1251" i="58"/>
  <c r="J1251" i="58" s="1"/>
  <c r="J1249" i="58" s="1"/>
  <c r="O1250" i="58"/>
  <c r="P1250" i="58" s="1"/>
  <c r="O1249" i="58"/>
  <c r="P1249" i="58" s="1"/>
  <c r="Q1249" i="58" s="1"/>
  <c r="N1249" i="58"/>
  <c r="O1248" i="58"/>
  <c r="P1248" i="58" s="1"/>
  <c r="O1247" i="58"/>
  <c r="P1247" i="58" s="1"/>
  <c r="O1246" i="58"/>
  <c r="P1246" i="58" s="1"/>
  <c r="I1246" i="58"/>
  <c r="J1246" i="58" s="1"/>
  <c r="O1245" i="58"/>
  <c r="P1245" i="58" s="1"/>
  <c r="I1245" i="58"/>
  <c r="J1245" i="58" s="1"/>
  <c r="O1244" i="58"/>
  <c r="P1244" i="58" s="1"/>
  <c r="O1243" i="58"/>
  <c r="P1243" i="58" s="1"/>
  <c r="Q1243" i="58" s="1"/>
  <c r="N1243" i="58"/>
  <c r="O1242" i="58"/>
  <c r="P1242" i="58" s="1"/>
  <c r="Q1242" i="58" s="1"/>
  <c r="R1242" i="58" s="1"/>
  <c r="O1241" i="58"/>
  <c r="P1241" i="58" s="1"/>
  <c r="O1240" i="58"/>
  <c r="P1240" i="58" s="1"/>
  <c r="I1240" i="58"/>
  <c r="J1240" i="58" s="1"/>
  <c r="O1239" i="58"/>
  <c r="P1239" i="58" s="1"/>
  <c r="I1239" i="58"/>
  <c r="J1239" i="58" s="1"/>
  <c r="J1237" i="58" s="1"/>
  <c r="O1238" i="58"/>
  <c r="P1238" i="58" s="1"/>
  <c r="O1237" i="58"/>
  <c r="P1237" i="58" s="1"/>
  <c r="Q1237" i="58" s="1"/>
  <c r="N1237" i="58"/>
  <c r="O1236" i="58"/>
  <c r="P1236" i="58" s="1"/>
  <c r="O1235" i="58"/>
  <c r="P1235" i="58" s="1"/>
  <c r="O1234" i="58"/>
  <c r="P1234" i="58" s="1"/>
  <c r="I1234" i="58"/>
  <c r="J1234" i="58" s="1"/>
  <c r="O1233" i="58"/>
  <c r="P1233" i="58" s="1"/>
  <c r="I1233" i="58"/>
  <c r="J1233" i="58" s="1"/>
  <c r="O1232" i="58"/>
  <c r="P1232" i="58" s="1"/>
  <c r="P1231" i="58"/>
  <c r="Q1231" i="58" s="1"/>
  <c r="O1231" i="58"/>
  <c r="N1231" i="58"/>
  <c r="O1230" i="58"/>
  <c r="P1230" i="58" s="1"/>
  <c r="P1229" i="58"/>
  <c r="O1229" i="58"/>
  <c r="O1228" i="58"/>
  <c r="P1228" i="58" s="1"/>
  <c r="J1228" i="58"/>
  <c r="I1228" i="58"/>
  <c r="O1227" i="58"/>
  <c r="P1227" i="58" s="1"/>
  <c r="I1227" i="58"/>
  <c r="J1227" i="58" s="1"/>
  <c r="O1226" i="58"/>
  <c r="P1226" i="58" s="1"/>
  <c r="Q1225" i="58"/>
  <c r="O1225" i="58"/>
  <c r="P1225" i="58" s="1"/>
  <c r="N1225" i="58"/>
  <c r="O1224" i="58"/>
  <c r="P1224" i="58" s="1"/>
  <c r="O1223" i="58"/>
  <c r="P1223" i="58" s="1"/>
  <c r="O1222" i="58"/>
  <c r="P1222" i="58" s="1"/>
  <c r="I1222" i="58"/>
  <c r="J1222" i="58" s="1"/>
  <c r="O1221" i="58"/>
  <c r="P1221" i="58" s="1"/>
  <c r="I1221" i="58"/>
  <c r="J1221" i="58" s="1"/>
  <c r="O1220" i="58"/>
  <c r="P1220" i="58" s="1"/>
  <c r="O1219" i="58"/>
  <c r="P1219" i="58" s="1"/>
  <c r="Q1219" i="58" s="1"/>
  <c r="N1219" i="58"/>
  <c r="O1218" i="58"/>
  <c r="P1218" i="58" s="1"/>
  <c r="L1218" i="58"/>
  <c r="L1213" i="58" s="1"/>
  <c r="O1217" i="58"/>
  <c r="P1217" i="58" s="1"/>
  <c r="O1216" i="58"/>
  <c r="P1216" i="58" s="1"/>
  <c r="I1216" i="58"/>
  <c r="J1216" i="58" s="1"/>
  <c r="P1215" i="58"/>
  <c r="O1215" i="58"/>
  <c r="I1215" i="58"/>
  <c r="J1215" i="58" s="1"/>
  <c r="J1213" i="58" s="1"/>
  <c r="O1214" i="58"/>
  <c r="P1214" i="58" s="1"/>
  <c r="O1213" i="58"/>
  <c r="P1213" i="58" s="1"/>
  <c r="Q1213" i="58" s="1"/>
  <c r="N1213" i="58"/>
  <c r="P1212" i="58"/>
  <c r="O1212" i="58"/>
  <c r="L1212" i="58"/>
  <c r="L1207" i="58" s="1"/>
  <c r="P1211" i="58"/>
  <c r="O1211" i="58"/>
  <c r="O1210" i="58"/>
  <c r="P1210" i="58" s="1"/>
  <c r="I1210" i="58"/>
  <c r="J1210" i="58" s="1"/>
  <c r="O1209" i="58"/>
  <c r="P1209" i="58" s="1"/>
  <c r="I1209" i="58"/>
  <c r="J1209" i="58" s="1"/>
  <c r="O1208" i="58"/>
  <c r="P1208" i="58" s="1"/>
  <c r="O1207" i="58"/>
  <c r="P1207" i="58" s="1"/>
  <c r="Q1207" i="58" s="1"/>
  <c r="N1207" i="58"/>
  <c r="O1206" i="58"/>
  <c r="P1206" i="58" s="1"/>
  <c r="Q1206" i="58" s="1"/>
  <c r="R1206" i="58" s="1"/>
  <c r="L1206" i="58"/>
  <c r="L1201" i="58" s="1"/>
  <c r="O1205" i="58"/>
  <c r="P1205" i="58" s="1"/>
  <c r="Q1205" i="58" s="1"/>
  <c r="R1205" i="58" s="1"/>
  <c r="O1204" i="58"/>
  <c r="P1204" i="58" s="1"/>
  <c r="I1204" i="58"/>
  <c r="J1204" i="58" s="1"/>
  <c r="O1203" i="58"/>
  <c r="P1203" i="58" s="1"/>
  <c r="I1203" i="58"/>
  <c r="J1203" i="58" s="1"/>
  <c r="O1202" i="58"/>
  <c r="P1202" i="58" s="1"/>
  <c r="O1201" i="58"/>
  <c r="P1201" i="58" s="1"/>
  <c r="Q1201" i="58" s="1"/>
  <c r="N1201" i="58"/>
  <c r="P1200" i="58"/>
  <c r="O1200" i="58"/>
  <c r="L1200" i="58"/>
  <c r="L1195" i="58" s="1"/>
  <c r="O1199" i="58"/>
  <c r="P1199" i="58" s="1"/>
  <c r="O1198" i="58"/>
  <c r="P1198" i="58" s="1"/>
  <c r="I1198" i="58"/>
  <c r="J1198" i="58" s="1"/>
  <c r="O1197" i="58"/>
  <c r="P1197" i="58" s="1"/>
  <c r="I1197" i="58"/>
  <c r="J1197" i="58" s="1"/>
  <c r="O1196" i="58"/>
  <c r="P1196" i="58" s="1"/>
  <c r="O1195" i="58"/>
  <c r="P1195" i="58" s="1"/>
  <c r="Q1195" i="58" s="1"/>
  <c r="N1195" i="58"/>
  <c r="O1194" i="58"/>
  <c r="P1194" i="58" s="1"/>
  <c r="Q1194" i="58" s="1"/>
  <c r="R1194" i="58" s="1"/>
  <c r="P1193" i="58"/>
  <c r="Q1193" i="58" s="1"/>
  <c r="O1193" i="58"/>
  <c r="O1192" i="58"/>
  <c r="P1192" i="58" s="1"/>
  <c r="I1192" i="58"/>
  <c r="J1192" i="58" s="1"/>
  <c r="O1191" i="58"/>
  <c r="P1191" i="58" s="1"/>
  <c r="I1191" i="58"/>
  <c r="J1191" i="58" s="1"/>
  <c r="O1190" i="58"/>
  <c r="P1190" i="58" s="1"/>
  <c r="O1189" i="58"/>
  <c r="P1189" i="58" s="1"/>
  <c r="Q1189" i="58" s="1"/>
  <c r="N1189" i="58"/>
  <c r="O1188" i="58"/>
  <c r="P1188" i="58" s="1"/>
  <c r="L1188" i="58"/>
  <c r="L1183" i="58" s="1"/>
  <c r="O1187" i="58"/>
  <c r="P1187" i="58" s="1"/>
  <c r="O1186" i="58"/>
  <c r="P1186" i="58" s="1"/>
  <c r="I1186" i="58"/>
  <c r="J1186" i="58" s="1"/>
  <c r="P1185" i="58"/>
  <c r="O1185" i="58"/>
  <c r="I1185" i="58"/>
  <c r="J1185" i="58" s="1"/>
  <c r="O1184" i="58"/>
  <c r="P1184" i="58" s="1"/>
  <c r="O1183" i="58"/>
  <c r="P1183" i="58" s="1"/>
  <c r="Q1183" i="58" s="1"/>
  <c r="N1183" i="58"/>
  <c r="O1181" i="58"/>
  <c r="P1181" i="58" s="1"/>
  <c r="L1181" i="58"/>
  <c r="L1176" i="58" s="1"/>
  <c r="O1180" i="58"/>
  <c r="P1180" i="58" s="1"/>
  <c r="O1179" i="58"/>
  <c r="P1179" i="58" s="1"/>
  <c r="I1179" i="58"/>
  <c r="J1179" i="58" s="1"/>
  <c r="J1176" i="58" s="1"/>
  <c r="O1178" i="58"/>
  <c r="P1178" i="58" s="1"/>
  <c r="I1178" i="58"/>
  <c r="J1178" i="58" s="1"/>
  <c r="O1177" i="58"/>
  <c r="P1177" i="58" s="1"/>
  <c r="O1176" i="58"/>
  <c r="P1176" i="58" s="1"/>
  <c r="Q1176" i="58" s="1"/>
  <c r="N1176" i="58"/>
  <c r="O1175" i="58"/>
  <c r="P1175" i="58" s="1"/>
  <c r="P1174" i="58"/>
  <c r="O1174" i="58"/>
  <c r="O1173" i="58"/>
  <c r="P1173" i="58" s="1"/>
  <c r="I1173" i="58"/>
  <c r="J1173" i="58" s="1"/>
  <c r="O1172" i="58"/>
  <c r="P1172" i="58" s="1"/>
  <c r="I1172" i="58"/>
  <c r="J1172" i="58" s="1"/>
  <c r="J1170" i="58" s="1"/>
  <c r="O1171" i="58"/>
  <c r="P1171" i="58" s="1"/>
  <c r="O1170" i="58"/>
  <c r="P1170" i="58" s="1"/>
  <c r="Q1170" i="58" s="1"/>
  <c r="Q1169" i="58" s="1"/>
  <c r="R1169" i="58" s="1"/>
  <c r="N1170" i="58"/>
  <c r="O1169" i="58"/>
  <c r="P1169" i="58" s="1"/>
  <c r="O1168" i="58"/>
  <c r="P1168" i="58" s="1"/>
  <c r="O1167" i="58"/>
  <c r="P1167" i="58" s="1"/>
  <c r="I1167" i="58"/>
  <c r="J1167" i="58" s="1"/>
  <c r="O1166" i="58"/>
  <c r="P1166" i="58" s="1"/>
  <c r="I1166" i="58"/>
  <c r="J1166" i="58" s="1"/>
  <c r="O1165" i="58"/>
  <c r="P1165" i="58" s="1"/>
  <c r="O1164" i="58"/>
  <c r="P1164" i="58" s="1"/>
  <c r="Q1164" i="58" s="1"/>
  <c r="N1164" i="58"/>
  <c r="P1163" i="58"/>
  <c r="O1163" i="58"/>
  <c r="P1162" i="58"/>
  <c r="O1162" i="58"/>
  <c r="O1161" i="58"/>
  <c r="P1161" i="58" s="1"/>
  <c r="I1161" i="58"/>
  <c r="J1161" i="58" s="1"/>
  <c r="O1160" i="58"/>
  <c r="P1160" i="58" s="1"/>
  <c r="I1160" i="58"/>
  <c r="J1160" i="58" s="1"/>
  <c r="O1159" i="58"/>
  <c r="P1159" i="58" s="1"/>
  <c r="P1158" i="58"/>
  <c r="Q1158" i="58" s="1"/>
  <c r="O1158" i="58"/>
  <c r="N1158" i="58"/>
  <c r="O1157" i="58"/>
  <c r="P1157" i="58" s="1"/>
  <c r="Q1157" i="58" s="1"/>
  <c r="R1157" i="58" s="1"/>
  <c r="O1156" i="58"/>
  <c r="P1156" i="58" s="1"/>
  <c r="Q1156" i="58" s="1"/>
  <c r="R1156" i="58" s="1"/>
  <c r="O1155" i="58"/>
  <c r="P1155" i="58" s="1"/>
  <c r="Q1155" i="58" s="1"/>
  <c r="R1155" i="58" s="1"/>
  <c r="I1155" i="58"/>
  <c r="J1155" i="58" s="1"/>
  <c r="O1154" i="58"/>
  <c r="P1154" i="58" s="1"/>
  <c r="Q1154" i="58" s="1"/>
  <c r="R1154" i="58" s="1"/>
  <c r="I1154" i="58"/>
  <c r="J1154" i="58" s="1"/>
  <c r="O1153" i="58"/>
  <c r="P1153" i="58" s="1"/>
  <c r="P1152" i="58"/>
  <c r="Q1152" i="58" s="1"/>
  <c r="O1152" i="58"/>
  <c r="N1152" i="58"/>
  <c r="P1151" i="58"/>
  <c r="O1151" i="58"/>
  <c r="O1150" i="58"/>
  <c r="P1150" i="58" s="1"/>
  <c r="O1149" i="58"/>
  <c r="P1149" i="58" s="1"/>
  <c r="I1149" i="58"/>
  <c r="J1149" i="58" s="1"/>
  <c r="O1148" i="58"/>
  <c r="P1148" i="58" s="1"/>
  <c r="I1148" i="58"/>
  <c r="J1148" i="58" s="1"/>
  <c r="O1147" i="58"/>
  <c r="P1147" i="58" s="1"/>
  <c r="O1146" i="58"/>
  <c r="P1146" i="58" s="1"/>
  <c r="Q1146" i="58" s="1"/>
  <c r="N1146" i="58"/>
  <c r="O1145" i="58"/>
  <c r="P1145" i="58" s="1"/>
  <c r="O1144" i="58"/>
  <c r="P1144" i="58" s="1"/>
  <c r="O1143" i="58"/>
  <c r="P1143" i="58" s="1"/>
  <c r="I1143" i="58"/>
  <c r="J1143" i="58" s="1"/>
  <c r="O1142" i="58"/>
  <c r="P1142" i="58" s="1"/>
  <c r="I1142" i="58"/>
  <c r="J1142" i="58" s="1"/>
  <c r="O1141" i="58"/>
  <c r="P1141" i="58" s="1"/>
  <c r="O1140" i="58"/>
  <c r="P1140" i="58" s="1"/>
  <c r="Q1140" i="58" s="1"/>
  <c r="N1140" i="58"/>
  <c r="P1139" i="58"/>
  <c r="O1139" i="58"/>
  <c r="O1138" i="58"/>
  <c r="P1138" i="58" s="1"/>
  <c r="P1137" i="58"/>
  <c r="O1137" i="58"/>
  <c r="I1137" i="58"/>
  <c r="J1137" i="58" s="1"/>
  <c r="O1136" i="58"/>
  <c r="P1136" i="58" s="1"/>
  <c r="I1136" i="58"/>
  <c r="J1136" i="58" s="1"/>
  <c r="O1135" i="58"/>
  <c r="P1135" i="58" s="1"/>
  <c r="O1134" i="58"/>
  <c r="P1134" i="58" s="1"/>
  <c r="Q1134" i="58" s="1"/>
  <c r="N1134" i="58"/>
  <c r="O1133" i="58"/>
  <c r="P1133" i="58" s="1"/>
  <c r="O1132" i="58"/>
  <c r="P1132" i="58" s="1"/>
  <c r="O1131" i="58"/>
  <c r="P1131" i="58" s="1"/>
  <c r="I1131" i="58"/>
  <c r="J1131" i="58" s="1"/>
  <c r="P1130" i="58"/>
  <c r="O1130" i="58"/>
  <c r="I1130" i="58"/>
  <c r="J1130" i="58" s="1"/>
  <c r="O1129" i="58"/>
  <c r="P1129" i="58" s="1"/>
  <c r="Q1128" i="58"/>
  <c r="O1128" i="58"/>
  <c r="P1128" i="58" s="1"/>
  <c r="N1128" i="58"/>
  <c r="O1127" i="58"/>
  <c r="P1127" i="58" s="1"/>
  <c r="Q1127" i="58" s="1"/>
  <c r="R1127" i="58" s="1"/>
  <c r="O1126" i="58"/>
  <c r="P1126" i="58" s="1"/>
  <c r="O1125" i="58"/>
  <c r="P1125" i="58" s="1"/>
  <c r="I1125" i="58"/>
  <c r="J1125" i="58" s="1"/>
  <c r="O1124" i="58"/>
  <c r="P1124" i="58" s="1"/>
  <c r="I1124" i="58"/>
  <c r="J1124" i="58" s="1"/>
  <c r="O1123" i="58"/>
  <c r="P1123" i="58" s="1"/>
  <c r="O1122" i="58"/>
  <c r="P1122" i="58" s="1"/>
  <c r="Q1122" i="58" s="1"/>
  <c r="N1122" i="58"/>
  <c r="P1121" i="58"/>
  <c r="O1121" i="58"/>
  <c r="P1120" i="58"/>
  <c r="O1120" i="58"/>
  <c r="O1119" i="58"/>
  <c r="P1119" i="58" s="1"/>
  <c r="I1119" i="58"/>
  <c r="J1119" i="58" s="1"/>
  <c r="O1118" i="58"/>
  <c r="P1118" i="58" s="1"/>
  <c r="I1118" i="58"/>
  <c r="J1118" i="58" s="1"/>
  <c r="O1117" i="58"/>
  <c r="P1117" i="58" s="1"/>
  <c r="O1116" i="58"/>
  <c r="P1116" i="58" s="1"/>
  <c r="Q1116" i="58" s="1"/>
  <c r="N1116" i="58"/>
  <c r="O1115" i="58"/>
  <c r="P1115" i="58" s="1"/>
  <c r="Q1115" i="58" s="1"/>
  <c r="L1115" i="58"/>
  <c r="L1110" i="58" s="1"/>
  <c r="O1114" i="58"/>
  <c r="P1114" i="58" s="1"/>
  <c r="O1113" i="58"/>
  <c r="P1113" i="58" s="1"/>
  <c r="I1113" i="58"/>
  <c r="J1113" i="58" s="1"/>
  <c r="O1112" i="58"/>
  <c r="P1112" i="58" s="1"/>
  <c r="I1112" i="58"/>
  <c r="J1112" i="58" s="1"/>
  <c r="P1111" i="58"/>
  <c r="O1111" i="58"/>
  <c r="O1110" i="58"/>
  <c r="P1110" i="58" s="1"/>
  <c r="Q1110" i="58" s="1"/>
  <c r="N1110" i="58"/>
  <c r="O1109" i="58"/>
  <c r="P1109" i="58" s="1"/>
  <c r="L1109" i="58"/>
  <c r="O1108" i="58"/>
  <c r="P1108" i="58" s="1"/>
  <c r="P1107" i="58"/>
  <c r="O1107" i="58"/>
  <c r="I1107" i="58"/>
  <c r="J1107" i="58" s="1"/>
  <c r="O1106" i="58"/>
  <c r="P1106" i="58" s="1"/>
  <c r="I1106" i="58"/>
  <c r="J1106" i="58" s="1"/>
  <c r="O1105" i="58"/>
  <c r="P1105" i="58" s="1"/>
  <c r="P1104" i="58"/>
  <c r="Q1104" i="58" s="1"/>
  <c r="O1104" i="58"/>
  <c r="N1104" i="58"/>
  <c r="L1104" i="58"/>
  <c r="O1103" i="58"/>
  <c r="P1103" i="58" s="1"/>
  <c r="L1103" i="58"/>
  <c r="L1098" i="58" s="1"/>
  <c r="O1102" i="58"/>
  <c r="P1102" i="58" s="1"/>
  <c r="O1101" i="58"/>
  <c r="P1101" i="58" s="1"/>
  <c r="I1101" i="58"/>
  <c r="J1101" i="58" s="1"/>
  <c r="O1100" i="58"/>
  <c r="P1100" i="58" s="1"/>
  <c r="I1100" i="58"/>
  <c r="J1100" i="58" s="1"/>
  <c r="J1098" i="58" s="1"/>
  <c r="O1099" i="58"/>
  <c r="P1099" i="58" s="1"/>
  <c r="O1098" i="58"/>
  <c r="P1098" i="58" s="1"/>
  <c r="Q1098" i="58" s="1"/>
  <c r="N1098" i="58"/>
  <c r="O1097" i="58"/>
  <c r="P1097" i="58" s="1"/>
  <c r="Q1097" i="58" s="1"/>
  <c r="R1097" i="58" s="1"/>
  <c r="P1096" i="58"/>
  <c r="O1096" i="58"/>
  <c r="O1095" i="58"/>
  <c r="P1095" i="58" s="1"/>
  <c r="I1095" i="58"/>
  <c r="J1095" i="58" s="1"/>
  <c r="J1092" i="58" s="1"/>
  <c r="O1094" i="58"/>
  <c r="P1094" i="58" s="1"/>
  <c r="I1094" i="58"/>
  <c r="J1094" i="58" s="1"/>
  <c r="O1093" i="58"/>
  <c r="P1093" i="58" s="1"/>
  <c r="O1092" i="58"/>
  <c r="P1092" i="58" s="1"/>
  <c r="Q1092" i="58" s="1"/>
  <c r="N1092" i="58"/>
  <c r="O1091" i="58"/>
  <c r="P1091" i="58" s="1"/>
  <c r="L1091" i="58"/>
  <c r="L1086" i="58" s="1"/>
  <c r="O1090" i="58"/>
  <c r="P1090" i="58" s="1"/>
  <c r="O1089" i="58"/>
  <c r="P1089" i="58" s="1"/>
  <c r="I1089" i="58"/>
  <c r="J1089" i="58" s="1"/>
  <c r="O1088" i="58"/>
  <c r="P1088" i="58" s="1"/>
  <c r="I1088" i="58"/>
  <c r="J1088" i="58" s="1"/>
  <c r="J1086" i="58" s="1"/>
  <c r="P1087" i="58"/>
  <c r="O1087" i="58"/>
  <c r="O1086" i="58"/>
  <c r="P1086" i="58" s="1"/>
  <c r="Q1086" i="58" s="1"/>
  <c r="N1086" i="58"/>
  <c r="P1085" i="58"/>
  <c r="O1085" i="58"/>
  <c r="L1085" i="58"/>
  <c r="L1080" i="58" s="1"/>
  <c r="P1084" i="58"/>
  <c r="O1084" i="58"/>
  <c r="O1083" i="58"/>
  <c r="P1083" i="58" s="1"/>
  <c r="I1083" i="58"/>
  <c r="J1083" i="58" s="1"/>
  <c r="O1082" i="58"/>
  <c r="P1082" i="58" s="1"/>
  <c r="I1082" i="58"/>
  <c r="J1082" i="58" s="1"/>
  <c r="O1081" i="58"/>
  <c r="P1081" i="58" s="1"/>
  <c r="P1080" i="58"/>
  <c r="Q1080" i="58" s="1"/>
  <c r="O1080" i="58"/>
  <c r="N1080" i="58"/>
  <c r="P1079" i="58"/>
  <c r="O1079" i="58"/>
  <c r="P1078" i="58"/>
  <c r="O1078" i="58"/>
  <c r="O1077" i="58"/>
  <c r="P1077" i="58" s="1"/>
  <c r="I1077" i="58"/>
  <c r="J1077" i="58" s="1"/>
  <c r="O1076" i="58"/>
  <c r="P1076" i="58" s="1"/>
  <c r="I1076" i="58"/>
  <c r="J1076" i="58" s="1"/>
  <c r="J1074" i="58" s="1"/>
  <c r="O1075" i="58"/>
  <c r="P1075" i="58" s="1"/>
  <c r="O1074" i="58"/>
  <c r="P1074" i="58" s="1"/>
  <c r="Q1074" i="58" s="1"/>
  <c r="N1074" i="58"/>
  <c r="O1073" i="58"/>
  <c r="P1073" i="58" s="1"/>
  <c r="P1072" i="58"/>
  <c r="O1072" i="58"/>
  <c r="O1071" i="58"/>
  <c r="P1071" i="58" s="1"/>
  <c r="I1071" i="58"/>
  <c r="J1071" i="58" s="1"/>
  <c r="O1070" i="58"/>
  <c r="P1070" i="58" s="1"/>
  <c r="I1070" i="58"/>
  <c r="J1070" i="58" s="1"/>
  <c r="O1069" i="58"/>
  <c r="P1069" i="58" s="1"/>
  <c r="P1068" i="58"/>
  <c r="Q1068" i="58" s="1"/>
  <c r="O1068" i="58"/>
  <c r="N1068" i="58"/>
  <c r="O1067" i="58"/>
  <c r="P1067" i="58" s="1"/>
  <c r="Q1067" i="58" s="1"/>
  <c r="O1066" i="58"/>
  <c r="P1066" i="58" s="1"/>
  <c r="O1065" i="58"/>
  <c r="P1065" i="58" s="1"/>
  <c r="I1065" i="58"/>
  <c r="J1065" i="58" s="1"/>
  <c r="O1064" i="58"/>
  <c r="P1064" i="58" s="1"/>
  <c r="I1064" i="58"/>
  <c r="J1064" i="58" s="1"/>
  <c r="P1063" i="58"/>
  <c r="O1063" i="58"/>
  <c r="O1062" i="58"/>
  <c r="P1062" i="58" s="1"/>
  <c r="Q1062" i="58" s="1"/>
  <c r="N1062" i="58"/>
  <c r="O1061" i="58"/>
  <c r="P1061" i="58" s="1"/>
  <c r="O1060" i="58"/>
  <c r="P1060" i="58" s="1"/>
  <c r="O1059" i="58"/>
  <c r="P1059" i="58" s="1"/>
  <c r="I1059" i="58"/>
  <c r="J1059" i="58" s="1"/>
  <c r="O1058" i="58"/>
  <c r="P1058" i="58" s="1"/>
  <c r="I1058" i="58"/>
  <c r="J1058" i="58" s="1"/>
  <c r="J1056" i="58" s="1"/>
  <c r="O1057" i="58"/>
  <c r="P1057" i="58" s="1"/>
  <c r="Q1056" i="58"/>
  <c r="P1056" i="58"/>
  <c r="O1056" i="58"/>
  <c r="N1056" i="58"/>
  <c r="O1055" i="58"/>
  <c r="P1055" i="58" s="1"/>
  <c r="L1055" i="58"/>
  <c r="L1050" i="58" s="1"/>
  <c r="P1054" i="58"/>
  <c r="O1054" i="58"/>
  <c r="O1053" i="58"/>
  <c r="P1053" i="58" s="1"/>
  <c r="I1053" i="58"/>
  <c r="J1053" i="58" s="1"/>
  <c r="O1052" i="58"/>
  <c r="P1052" i="58" s="1"/>
  <c r="I1052" i="58"/>
  <c r="J1052" i="58" s="1"/>
  <c r="O1051" i="58"/>
  <c r="P1051" i="58" s="1"/>
  <c r="Q1050" i="58"/>
  <c r="P1050" i="58"/>
  <c r="O1050" i="58"/>
  <c r="N1050" i="58"/>
  <c r="O1049" i="58"/>
  <c r="P1049" i="58" s="1"/>
  <c r="O1048" i="58"/>
  <c r="P1048" i="58" s="1"/>
  <c r="O1047" i="58"/>
  <c r="P1047" i="58" s="1"/>
  <c r="I1047" i="58"/>
  <c r="J1047" i="58" s="1"/>
  <c r="O1046" i="58"/>
  <c r="P1046" i="58" s="1"/>
  <c r="I1046" i="58"/>
  <c r="J1046" i="58" s="1"/>
  <c r="J1044" i="58" s="1"/>
  <c r="O1045" i="58"/>
  <c r="P1045" i="58" s="1"/>
  <c r="O1044" i="58"/>
  <c r="P1044" i="58" s="1"/>
  <c r="Q1044" i="58" s="1"/>
  <c r="N1044" i="58"/>
  <c r="O1043" i="58"/>
  <c r="P1043" i="58" s="1"/>
  <c r="Q1043" i="58" s="1"/>
  <c r="R1043" i="58" s="1"/>
  <c r="O1042" i="58"/>
  <c r="P1042" i="58" s="1"/>
  <c r="P1041" i="58"/>
  <c r="O1041" i="58"/>
  <c r="I1041" i="58"/>
  <c r="J1041" i="58" s="1"/>
  <c r="O1040" i="58"/>
  <c r="P1040" i="58" s="1"/>
  <c r="I1040" i="58"/>
  <c r="J1040" i="58" s="1"/>
  <c r="O1039" i="58"/>
  <c r="P1039" i="58" s="1"/>
  <c r="P1038" i="58"/>
  <c r="Q1038" i="58" s="1"/>
  <c r="O1038" i="58"/>
  <c r="N1038" i="58"/>
  <c r="O1037" i="58"/>
  <c r="P1037" i="58" s="1"/>
  <c r="Q1037" i="58" s="1"/>
  <c r="R1037" i="58" s="1"/>
  <c r="O1036" i="58"/>
  <c r="P1036" i="58" s="1"/>
  <c r="O1035" i="58"/>
  <c r="P1035" i="58" s="1"/>
  <c r="I1035" i="58"/>
  <c r="J1035" i="58" s="1"/>
  <c r="O1034" i="58"/>
  <c r="P1034" i="58" s="1"/>
  <c r="I1034" i="58"/>
  <c r="J1034" i="58" s="1"/>
  <c r="P1033" i="58"/>
  <c r="O1033" i="58"/>
  <c r="O1032" i="58"/>
  <c r="P1032" i="58" s="1"/>
  <c r="Q1032" i="58" s="1"/>
  <c r="N1032" i="58"/>
  <c r="O1031" i="58"/>
  <c r="P1031" i="58" s="1"/>
  <c r="P1030" i="58"/>
  <c r="O1030" i="58"/>
  <c r="O1029" i="58"/>
  <c r="P1029" i="58" s="1"/>
  <c r="I1029" i="58"/>
  <c r="J1029" i="58" s="1"/>
  <c r="O1028" i="58"/>
  <c r="P1028" i="58" s="1"/>
  <c r="I1028" i="58"/>
  <c r="J1028" i="58" s="1"/>
  <c r="O1027" i="58"/>
  <c r="P1027" i="58" s="1"/>
  <c r="O1026" i="58"/>
  <c r="P1026" i="58" s="1"/>
  <c r="Q1026" i="58" s="1"/>
  <c r="N1026" i="58"/>
  <c r="J1026" i="58"/>
  <c r="O1025" i="58"/>
  <c r="P1025" i="58" s="1"/>
  <c r="O1024" i="58"/>
  <c r="P1024" i="58" s="1"/>
  <c r="P1023" i="58"/>
  <c r="O1023" i="58"/>
  <c r="I1023" i="58"/>
  <c r="J1023" i="58" s="1"/>
  <c r="O1022" i="58"/>
  <c r="P1022" i="58" s="1"/>
  <c r="I1022" i="58"/>
  <c r="J1022" i="58" s="1"/>
  <c r="J1020" i="58" s="1"/>
  <c r="O1021" i="58"/>
  <c r="P1021" i="58" s="1"/>
  <c r="O1020" i="58"/>
  <c r="P1020" i="58" s="1"/>
  <c r="Q1020" i="58" s="1"/>
  <c r="N1020" i="58"/>
  <c r="O1019" i="58"/>
  <c r="P1019" i="58" s="1"/>
  <c r="O1018" i="58"/>
  <c r="P1018" i="58" s="1"/>
  <c r="O1017" i="58"/>
  <c r="P1017" i="58" s="1"/>
  <c r="I1017" i="58"/>
  <c r="J1017" i="58" s="1"/>
  <c r="O1016" i="58"/>
  <c r="P1016" i="58" s="1"/>
  <c r="I1016" i="58"/>
  <c r="J1016" i="58" s="1"/>
  <c r="O1015" i="58"/>
  <c r="P1015" i="58" s="1"/>
  <c r="O1014" i="58"/>
  <c r="P1014" i="58" s="1"/>
  <c r="Q1014" i="58" s="1"/>
  <c r="N1014" i="58"/>
  <c r="P1013" i="58"/>
  <c r="O1013" i="58"/>
  <c r="L1013" i="58"/>
  <c r="L1008" i="58" s="1"/>
  <c r="O1012" i="58"/>
  <c r="P1012" i="58" s="1"/>
  <c r="O1011" i="58"/>
  <c r="P1011" i="58" s="1"/>
  <c r="I1011" i="58"/>
  <c r="J1011" i="58" s="1"/>
  <c r="O1010" i="58"/>
  <c r="P1010" i="58" s="1"/>
  <c r="I1010" i="58"/>
  <c r="J1010" i="58" s="1"/>
  <c r="O1009" i="58"/>
  <c r="P1009" i="58" s="1"/>
  <c r="P1008" i="58"/>
  <c r="Q1008" i="58" s="1"/>
  <c r="O1008" i="58"/>
  <c r="N1008" i="58"/>
  <c r="O1007" i="58"/>
  <c r="P1007" i="58" s="1"/>
  <c r="O1006" i="58"/>
  <c r="P1006" i="58" s="1"/>
  <c r="O1005" i="58"/>
  <c r="P1005" i="58" s="1"/>
  <c r="I1005" i="58"/>
  <c r="J1005" i="58" s="1"/>
  <c r="O1004" i="58"/>
  <c r="P1004" i="58" s="1"/>
  <c r="I1004" i="58"/>
  <c r="J1004" i="58" s="1"/>
  <c r="O1003" i="58"/>
  <c r="P1003" i="58" s="1"/>
  <c r="O1002" i="58"/>
  <c r="P1002" i="58" s="1"/>
  <c r="Q1002" i="58" s="1"/>
  <c r="N1002" i="58"/>
  <c r="O1001" i="58"/>
  <c r="P1001" i="58" s="1"/>
  <c r="Q1001" i="58" s="1"/>
  <c r="R1001" i="58" s="1"/>
  <c r="P1000" i="58"/>
  <c r="Q1000" i="58" s="1"/>
  <c r="R1000" i="58" s="1"/>
  <c r="O1000" i="58"/>
  <c r="O999" i="58"/>
  <c r="P999" i="58" s="1"/>
  <c r="I999" i="58"/>
  <c r="J999" i="58" s="1"/>
  <c r="O998" i="58"/>
  <c r="P998" i="58" s="1"/>
  <c r="I998" i="58"/>
  <c r="J998" i="58" s="1"/>
  <c r="O997" i="58"/>
  <c r="P997" i="58" s="1"/>
  <c r="O996" i="58"/>
  <c r="P996" i="58" s="1"/>
  <c r="Q996" i="58" s="1"/>
  <c r="N996" i="58"/>
  <c r="O995" i="58"/>
  <c r="P995" i="58" s="1"/>
  <c r="O994" i="58"/>
  <c r="P994" i="58" s="1"/>
  <c r="P993" i="58"/>
  <c r="O993" i="58"/>
  <c r="I993" i="58"/>
  <c r="J993" i="58" s="1"/>
  <c r="O992" i="58"/>
  <c r="P992" i="58" s="1"/>
  <c r="I992" i="58"/>
  <c r="J992" i="58" s="1"/>
  <c r="O991" i="58"/>
  <c r="P991" i="58" s="1"/>
  <c r="Q990" i="58"/>
  <c r="P990" i="58"/>
  <c r="O990" i="58"/>
  <c r="N990" i="58"/>
  <c r="O989" i="58"/>
  <c r="P989" i="58" s="1"/>
  <c r="O988" i="58"/>
  <c r="P988" i="58" s="1"/>
  <c r="O987" i="58"/>
  <c r="P987" i="58" s="1"/>
  <c r="I987" i="58"/>
  <c r="J987" i="58" s="1"/>
  <c r="O986" i="58"/>
  <c r="P986" i="58" s="1"/>
  <c r="I986" i="58"/>
  <c r="J986" i="58" s="1"/>
  <c r="J984" i="58" s="1"/>
  <c r="O985" i="58"/>
  <c r="P985" i="58" s="1"/>
  <c r="O984" i="58"/>
  <c r="P984" i="58" s="1"/>
  <c r="Q984" i="58" s="1"/>
  <c r="N984" i="58"/>
  <c r="P983" i="58"/>
  <c r="O983" i="58"/>
  <c r="O982" i="58"/>
  <c r="P982" i="58" s="1"/>
  <c r="O981" i="58"/>
  <c r="P981" i="58" s="1"/>
  <c r="I981" i="58"/>
  <c r="J981" i="58" s="1"/>
  <c r="P980" i="58"/>
  <c r="O980" i="58"/>
  <c r="I980" i="58"/>
  <c r="J980" i="58" s="1"/>
  <c r="O979" i="58"/>
  <c r="P979" i="58" s="1"/>
  <c r="O978" i="58"/>
  <c r="P978" i="58" s="1"/>
  <c r="Q978" i="58" s="1"/>
  <c r="N978" i="58"/>
  <c r="O977" i="58"/>
  <c r="P977" i="58" s="1"/>
  <c r="O976" i="58"/>
  <c r="P976" i="58" s="1"/>
  <c r="P975" i="58"/>
  <c r="O975" i="58"/>
  <c r="I975" i="58"/>
  <c r="J975" i="58" s="1"/>
  <c r="O974" i="58"/>
  <c r="P974" i="58" s="1"/>
  <c r="J974" i="58"/>
  <c r="I974" i="58"/>
  <c r="O973" i="58"/>
  <c r="P973" i="58" s="1"/>
  <c r="O972" i="58"/>
  <c r="P972" i="58" s="1"/>
  <c r="Q972" i="58" s="1"/>
  <c r="N972" i="58"/>
  <c r="O971" i="58"/>
  <c r="P971" i="58" s="1"/>
  <c r="P970" i="58"/>
  <c r="O970" i="58"/>
  <c r="O969" i="58"/>
  <c r="P969" i="58" s="1"/>
  <c r="I969" i="58"/>
  <c r="J969" i="58" s="1"/>
  <c r="P968" i="58"/>
  <c r="O968" i="58"/>
  <c r="I968" i="58"/>
  <c r="J968" i="58" s="1"/>
  <c r="O967" i="58"/>
  <c r="P967" i="58" s="1"/>
  <c r="Q966" i="58"/>
  <c r="O966" i="58"/>
  <c r="P966" i="58" s="1"/>
  <c r="N966" i="58"/>
  <c r="O965" i="58"/>
  <c r="P965" i="58" s="1"/>
  <c r="Q965" i="58" s="1"/>
  <c r="R965" i="58" s="1"/>
  <c r="O964" i="58"/>
  <c r="P964" i="58" s="1"/>
  <c r="Q964" i="58" s="1"/>
  <c r="R964" i="58" s="1"/>
  <c r="O963" i="58"/>
  <c r="P963" i="58" s="1"/>
  <c r="I963" i="58"/>
  <c r="J963" i="58" s="1"/>
  <c r="O962" i="58"/>
  <c r="P962" i="58" s="1"/>
  <c r="I962" i="58"/>
  <c r="J962" i="58" s="1"/>
  <c r="O961" i="58"/>
  <c r="P961" i="58" s="1"/>
  <c r="P960" i="58"/>
  <c r="Q960" i="58" s="1"/>
  <c r="O960" i="58"/>
  <c r="N960" i="58"/>
  <c r="P959" i="58"/>
  <c r="O959" i="58"/>
  <c r="O958" i="58"/>
  <c r="P958" i="58" s="1"/>
  <c r="P957" i="58"/>
  <c r="O957" i="58"/>
  <c r="I957" i="58"/>
  <c r="J957" i="58" s="1"/>
  <c r="O956" i="58"/>
  <c r="P956" i="58" s="1"/>
  <c r="I956" i="58"/>
  <c r="J956" i="58" s="1"/>
  <c r="P955" i="58"/>
  <c r="O955" i="58"/>
  <c r="P954" i="58"/>
  <c r="Q954" i="58" s="1"/>
  <c r="O954" i="58"/>
  <c r="N954" i="58"/>
  <c r="P953" i="58"/>
  <c r="O953" i="58"/>
  <c r="P952" i="58"/>
  <c r="O952" i="58"/>
  <c r="O951" i="58"/>
  <c r="P951" i="58" s="1"/>
  <c r="I951" i="58"/>
  <c r="J951" i="58" s="1"/>
  <c r="O950" i="58"/>
  <c r="P950" i="58" s="1"/>
  <c r="I950" i="58"/>
  <c r="J950" i="58" s="1"/>
  <c r="O949" i="58"/>
  <c r="P949" i="58" s="1"/>
  <c r="O948" i="58"/>
  <c r="P948" i="58" s="1"/>
  <c r="Q948" i="58" s="1"/>
  <c r="N948" i="58"/>
  <c r="O947" i="58"/>
  <c r="P947" i="58" s="1"/>
  <c r="Q947" i="58" s="1"/>
  <c r="R947" i="58" s="1"/>
  <c r="O946" i="58"/>
  <c r="P946" i="58" s="1"/>
  <c r="Q946" i="58" s="1"/>
  <c r="R946" i="58" s="1"/>
  <c r="P945" i="58"/>
  <c r="Q945" i="58" s="1"/>
  <c r="R945" i="58" s="1"/>
  <c r="O945" i="58"/>
  <c r="I945" i="58"/>
  <c r="J945" i="58" s="1"/>
  <c r="P944" i="58"/>
  <c r="O944" i="58"/>
  <c r="I944" i="58"/>
  <c r="J944" i="58" s="1"/>
  <c r="O943" i="58"/>
  <c r="P943" i="58" s="1"/>
  <c r="P942" i="58"/>
  <c r="Q942" i="58" s="1"/>
  <c r="O942" i="58"/>
  <c r="N942" i="58"/>
  <c r="O941" i="58"/>
  <c r="P941" i="58" s="1"/>
  <c r="O940" i="58"/>
  <c r="P940" i="58" s="1"/>
  <c r="O939" i="58"/>
  <c r="P939" i="58" s="1"/>
  <c r="I939" i="58"/>
  <c r="J939" i="58" s="1"/>
  <c r="O938" i="58"/>
  <c r="P938" i="58" s="1"/>
  <c r="I938" i="58"/>
  <c r="J938" i="58" s="1"/>
  <c r="P937" i="58"/>
  <c r="O937" i="58"/>
  <c r="O936" i="58"/>
  <c r="P936" i="58" s="1"/>
  <c r="Q936" i="58" s="1"/>
  <c r="N936" i="58"/>
  <c r="O935" i="58"/>
  <c r="P935" i="58" s="1"/>
  <c r="O934" i="58"/>
  <c r="P934" i="58" s="1"/>
  <c r="O933" i="58"/>
  <c r="P933" i="58" s="1"/>
  <c r="I933" i="58"/>
  <c r="J933" i="58" s="1"/>
  <c r="O932" i="58"/>
  <c r="P932" i="58" s="1"/>
  <c r="I932" i="58"/>
  <c r="J932" i="58" s="1"/>
  <c r="J930" i="58" s="1"/>
  <c r="O931" i="58"/>
  <c r="P931" i="58" s="1"/>
  <c r="O930" i="58"/>
  <c r="P930" i="58" s="1"/>
  <c r="Q930" i="58" s="1"/>
  <c r="N930" i="58"/>
  <c r="O929" i="58"/>
  <c r="P929" i="58" s="1"/>
  <c r="L929" i="58"/>
  <c r="L924" i="58" s="1"/>
  <c r="O928" i="58"/>
  <c r="P928" i="58" s="1"/>
  <c r="O927" i="58"/>
  <c r="P927" i="58" s="1"/>
  <c r="I927" i="58"/>
  <c r="J927" i="58" s="1"/>
  <c r="J924" i="58" s="1"/>
  <c r="P926" i="58"/>
  <c r="O926" i="58"/>
  <c r="J926" i="58"/>
  <c r="I926" i="58"/>
  <c r="O925" i="58"/>
  <c r="P925" i="58" s="1"/>
  <c r="O924" i="58"/>
  <c r="P924" i="58" s="1"/>
  <c r="Q924" i="58" s="1"/>
  <c r="N924" i="58"/>
  <c r="O923" i="58"/>
  <c r="P923" i="58" s="1"/>
  <c r="Q923" i="58" s="1"/>
  <c r="R923" i="58" s="1"/>
  <c r="O922" i="58"/>
  <c r="P922" i="58" s="1"/>
  <c r="P921" i="58"/>
  <c r="O921" i="58"/>
  <c r="I921" i="58"/>
  <c r="J921" i="58" s="1"/>
  <c r="O920" i="58"/>
  <c r="P920" i="58" s="1"/>
  <c r="I920" i="58"/>
  <c r="J920" i="58" s="1"/>
  <c r="O919" i="58"/>
  <c r="P919" i="58" s="1"/>
  <c r="O918" i="58"/>
  <c r="P918" i="58" s="1"/>
  <c r="Q918" i="58" s="1"/>
  <c r="N918" i="58"/>
  <c r="P917" i="58"/>
  <c r="O917" i="58"/>
  <c r="O916" i="58"/>
  <c r="P916" i="58" s="1"/>
  <c r="O915" i="58"/>
  <c r="P915" i="58" s="1"/>
  <c r="I915" i="58"/>
  <c r="J915" i="58" s="1"/>
  <c r="O914" i="58"/>
  <c r="P914" i="58" s="1"/>
  <c r="I914" i="58"/>
  <c r="J914" i="58" s="1"/>
  <c r="J912" i="58" s="1"/>
  <c r="O913" i="58"/>
  <c r="P913" i="58" s="1"/>
  <c r="O912" i="58"/>
  <c r="P912" i="58" s="1"/>
  <c r="Q912" i="58" s="1"/>
  <c r="N912" i="58"/>
  <c r="O911" i="58"/>
  <c r="P911" i="58" s="1"/>
  <c r="O910" i="58"/>
  <c r="P910" i="58" s="1"/>
  <c r="O909" i="58"/>
  <c r="P909" i="58" s="1"/>
  <c r="I909" i="58"/>
  <c r="J909" i="58" s="1"/>
  <c r="O908" i="58"/>
  <c r="P908" i="58" s="1"/>
  <c r="I908" i="58"/>
  <c r="J908" i="58" s="1"/>
  <c r="O907" i="58"/>
  <c r="P907" i="58" s="1"/>
  <c r="O906" i="58"/>
  <c r="P906" i="58" s="1"/>
  <c r="Q906" i="58" s="1"/>
  <c r="N906" i="58"/>
  <c r="P905" i="58"/>
  <c r="Q905" i="58" s="1"/>
  <c r="R905" i="58" s="1"/>
  <c r="O905" i="58"/>
  <c r="O904" i="58"/>
  <c r="P904" i="58" s="1"/>
  <c r="O903" i="58"/>
  <c r="P903" i="58" s="1"/>
  <c r="I903" i="58"/>
  <c r="J903" i="58" s="1"/>
  <c r="P902" i="58"/>
  <c r="O902" i="58"/>
  <c r="I902" i="58"/>
  <c r="J902" i="58" s="1"/>
  <c r="P901" i="58"/>
  <c r="O901" i="58"/>
  <c r="O900" i="58"/>
  <c r="P900" i="58" s="1"/>
  <c r="Q900" i="58" s="1"/>
  <c r="N900" i="58"/>
  <c r="O899" i="58"/>
  <c r="P899" i="58" s="1"/>
  <c r="P898" i="58"/>
  <c r="O898" i="58"/>
  <c r="O897" i="58"/>
  <c r="P897" i="58" s="1"/>
  <c r="I897" i="58"/>
  <c r="J897" i="58" s="1"/>
  <c r="P896" i="58"/>
  <c r="O896" i="58"/>
  <c r="I896" i="58"/>
  <c r="J896" i="58" s="1"/>
  <c r="O895" i="58"/>
  <c r="P895" i="58" s="1"/>
  <c r="O894" i="58"/>
  <c r="P894" i="58" s="1"/>
  <c r="Q894" i="58" s="1"/>
  <c r="N894" i="58"/>
  <c r="O893" i="58"/>
  <c r="P893" i="58" s="1"/>
  <c r="O892" i="58"/>
  <c r="P892" i="58" s="1"/>
  <c r="O891" i="58"/>
  <c r="P891" i="58" s="1"/>
  <c r="I891" i="58"/>
  <c r="J891" i="58" s="1"/>
  <c r="O890" i="58"/>
  <c r="P890" i="58" s="1"/>
  <c r="I890" i="58"/>
  <c r="J890" i="58" s="1"/>
  <c r="O889" i="58"/>
  <c r="P889" i="58" s="1"/>
  <c r="O888" i="58"/>
  <c r="P888" i="58" s="1"/>
  <c r="Q888" i="58" s="1"/>
  <c r="N888" i="58"/>
  <c r="O887" i="58"/>
  <c r="P887" i="58" s="1"/>
  <c r="Q887" i="58" s="1"/>
  <c r="R887" i="58" s="1"/>
  <c r="O886" i="58"/>
  <c r="P886" i="58" s="1"/>
  <c r="Q886" i="58" s="1"/>
  <c r="R886" i="58" s="1"/>
  <c r="P885" i="58"/>
  <c r="O885" i="58"/>
  <c r="I885" i="58"/>
  <c r="J885" i="58" s="1"/>
  <c r="P884" i="58"/>
  <c r="O884" i="58"/>
  <c r="I884" i="58"/>
  <c r="J884" i="58" s="1"/>
  <c r="J882" i="58" s="1"/>
  <c r="O883" i="58"/>
  <c r="P883" i="58" s="1"/>
  <c r="Q882" i="58"/>
  <c r="O882" i="58"/>
  <c r="P882" i="58" s="1"/>
  <c r="N882" i="58"/>
  <c r="O881" i="58"/>
  <c r="P881" i="58" s="1"/>
  <c r="O880" i="58"/>
  <c r="P880" i="58" s="1"/>
  <c r="O879" i="58"/>
  <c r="P879" i="58" s="1"/>
  <c r="I879" i="58"/>
  <c r="J879" i="58" s="1"/>
  <c r="O878" i="58"/>
  <c r="P878" i="58" s="1"/>
  <c r="I878" i="58"/>
  <c r="J878" i="58" s="1"/>
  <c r="J876" i="58" s="1"/>
  <c r="O877" i="58"/>
  <c r="P877" i="58" s="1"/>
  <c r="O876" i="58"/>
  <c r="P876" i="58" s="1"/>
  <c r="Q876" i="58" s="1"/>
  <c r="N876" i="58"/>
  <c r="O875" i="58"/>
  <c r="P875" i="58" s="1"/>
  <c r="O874" i="58"/>
  <c r="P874" i="58" s="1"/>
  <c r="O873" i="58"/>
  <c r="P873" i="58" s="1"/>
  <c r="J873" i="58"/>
  <c r="I873" i="58"/>
  <c r="O872" i="58"/>
  <c r="P872" i="58" s="1"/>
  <c r="I872" i="58"/>
  <c r="J872" i="58" s="1"/>
  <c r="O871" i="58"/>
  <c r="P871" i="58" s="1"/>
  <c r="O870" i="58"/>
  <c r="P870" i="58" s="1"/>
  <c r="Q870" i="58" s="1"/>
  <c r="N870" i="58"/>
  <c r="O869" i="58"/>
  <c r="P869" i="58" s="1"/>
  <c r="O868" i="58"/>
  <c r="P868" i="58" s="1"/>
  <c r="O867" i="58"/>
  <c r="P867" i="58" s="1"/>
  <c r="I867" i="58"/>
  <c r="J867" i="58" s="1"/>
  <c r="O866" i="58"/>
  <c r="P866" i="58" s="1"/>
  <c r="I866" i="58"/>
  <c r="J866" i="58" s="1"/>
  <c r="O865" i="58"/>
  <c r="P865" i="58" s="1"/>
  <c r="P864" i="58"/>
  <c r="Q864" i="58" s="1"/>
  <c r="O864" i="58"/>
  <c r="N864" i="58"/>
  <c r="O863" i="58"/>
  <c r="P863" i="58" s="1"/>
  <c r="O862" i="58"/>
  <c r="P862" i="58" s="1"/>
  <c r="O861" i="58"/>
  <c r="P861" i="58" s="1"/>
  <c r="I861" i="58"/>
  <c r="J861" i="58" s="1"/>
  <c r="P860" i="58"/>
  <c r="O860" i="58"/>
  <c r="I860" i="58"/>
  <c r="J860" i="58" s="1"/>
  <c r="J858" i="58" s="1"/>
  <c r="O859" i="58"/>
  <c r="P859" i="58" s="1"/>
  <c r="P858" i="58"/>
  <c r="Q858" i="58" s="1"/>
  <c r="O858" i="58"/>
  <c r="N858" i="58"/>
  <c r="O857" i="58"/>
  <c r="P857" i="58" s="1"/>
  <c r="Q857" i="58" s="1"/>
  <c r="O856" i="58"/>
  <c r="P856" i="58" s="1"/>
  <c r="O855" i="58"/>
  <c r="P855" i="58" s="1"/>
  <c r="I855" i="58"/>
  <c r="J855" i="58" s="1"/>
  <c r="O854" i="58"/>
  <c r="P854" i="58" s="1"/>
  <c r="I854" i="58"/>
  <c r="J854" i="58" s="1"/>
  <c r="O853" i="58"/>
  <c r="P853" i="58" s="1"/>
  <c r="O852" i="58"/>
  <c r="P852" i="58" s="1"/>
  <c r="Q852" i="58" s="1"/>
  <c r="N852" i="58"/>
  <c r="O851" i="58"/>
  <c r="P851" i="58" s="1"/>
  <c r="Q851" i="58" s="1"/>
  <c r="R851" i="58" s="1"/>
  <c r="O850" i="58"/>
  <c r="P850" i="58" s="1"/>
  <c r="O849" i="58"/>
  <c r="P849" i="58" s="1"/>
  <c r="I849" i="58"/>
  <c r="J849" i="58" s="1"/>
  <c r="O848" i="58"/>
  <c r="P848" i="58" s="1"/>
  <c r="I848" i="58"/>
  <c r="J848" i="58" s="1"/>
  <c r="J846" i="58" s="1"/>
  <c r="O847" i="58"/>
  <c r="P847" i="58" s="1"/>
  <c r="O846" i="58"/>
  <c r="P846" i="58" s="1"/>
  <c r="Q846" i="58" s="1"/>
  <c r="N846" i="58"/>
  <c r="P845" i="58"/>
  <c r="O845" i="58"/>
  <c r="P844" i="58"/>
  <c r="O844" i="58"/>
  <c r="O843" i="58"/>
  <c r="P843" i="58" s="1"/>
  <c r="I843" i="58"/>
  <c r="J843" i="58" s="1"/>
  <c r="P842" i="58"/>
  <c r="O842" i="58"/>
  <c r="I842" i="58"/>
  <c r="J842" i="58" s="1"/>
  <c r="O841" i="58"/>
  <c r="P841" i="58" s="1"/>
  <c r="O840" i="58"/>
  <c r="P840" i="58" s="1"/>
  <c r="Q840" i="58" s="1"/>
  <c r="N840" i="58"/>
  <c r="O839" i="58"/>
  <c r="P839" i="58" s="1"/>
  <c r="Q839" i="58" s="1"/>
  <c r="L839" i="58"/>
  <c r="L834" i="58" s="1"/>
  <c r="P838" i="58"/>
  <c r="O838" i="58"/>
  <c r="O837" i="58"/>
  <c r="P837" i="58" s="1"/>
  <c r="I837" i="58"/>
  <c r="J837" i="58" s="1"/>
  <c r="O836" i="58"/>
  <c r="P836" i="58" s="1"/>
  <c r="I836" i="58"/>
  <c r="J836" i="58" s="1"/>
  <c r="P835" i="58"/>
  <c r="O835" i="58"/>
  <c r="O834" i="58"/>
  <c r="P834" i="58" s="1"/>
  <c r="Q834" i="58" s="1"/>
  <c r="N834" i="58"/>
  <c r="O833" i="58"/>
  <c r="P833" i="58" s="1"/>
  <c r="L833" i="58"/>
  <c r="L828" i="58" s="1"/>
  <c r="O832" i="58"/>
  <c r="P832" i="58" s="1"/>
  <c r="O831" i="58"/>
  <c r="P831" i="58" s="1"/>
  <c r="I831" i="58"/>
  <c r="J831" i="58" s="1"/>
  <c r="O830" i="58"/>
  <c r="P830" i="58" s="1"/>
  <c r="J830" i="58"/>
  <c r="I830" i="58"/>
  <c r="O829" i="58"/>
  <c r="P829" i="58" s="1"/>
  <c r="O828" i="58"/>
  <c r="P828" i="58" s="1"/>
  <c r="Q828" i="58" s="1"/>
  <c r="N828" i="58"/>
  <c r="O827" i="58"/>
  <c r="P827" i="58" s="1"/>
  <c r="L827" i="58"/>
  <c r="L822" i="58" s="1"/>
  <c r="P826" i="58"/>
  <c r="O826" i="58"/>
  <c r="O825" i="58"/>
  <c r="P825" i="58" s="1"/>
  <c r="I825" i="58"/>
  <c r="J825" i="58" s="1"/>
  <c r="O824" i="58"/>
  <c r="P824" i="58" s="1"/>
  <c r="I824" i="58"/>
  <c r="J824" i="58" s="1"/>
  <c r="O823" i="58"/>
  <c r="P823" i="58" s="1"/>
  <c r="O822" i="58"/>
  <c r="P822" i="58" s="1"/>
  <c r="Q822" i="58" s="1"/>
  <c r="N822" i="58"/>
  <c r="P821" i="58"/>
  <c r="Q821" i="58" s="1"/>
  <c r="R821" i="58" s="1"/>
  <c r="O821" i="58"/>
  <c r="L821" i="58"/>
  <c r="L816" i="58" s="1"/>
  <c r="O820" i="58"/>
  <c r="P820" i="58" s="1"/>
  <c r="P819" i="58"/>
  <c r="O819" i="58"/>
  <c r="I819" i="58"/>
  <c r="J819" i="58" s="1"/>
  <c r="O818" i="58"/>
  <c r="P818" i="58" s="1"/>
  <c r="I818" i="58"/>
  <c r="J818" i="58" s="1"/>
  <c r="O817" i="58"/>
  <c r="P817" i="58" s="1"/>
  <c r="O816" i="58"/>
  <c r="P816" i="58" s="1"/>
  <c r="Q816" i="58" s="1"/>
  <c r="N816" i="58"/>
  <c r="O815" i="58"/>
  <c r="P815" i="58" s="1"/>
  <c r="O814" i="58"/>
  <c r="P814" i="58" s="1"/>
  <c r="O813" i="58"/>
  <c r="P813" i="58" s="1"/>
  <c r="I813" i="58"/>
  <c r="J813" i="58" s="1"/>
  <c r="O812" i="58"/>
  <c r="P812" i="58" s="1"/>
  <c r="I812" i="58"/>
  <c r="J812" i="58" s="1"/>
  <c r="J810" i="58" s="1"/>
  <c r="O811" i="58"/>
  <c r="P811" i="58" s="1"/>
  <c r="O810" i="58"/>
  <c r="P810" i="58" s="1"/>
  <c r="Q810" i="58" s="1"/>
  <c r="N810" i="58"/>
  <c r="O809" i="58"/>
  <c r="P809" i="58" s="1"/>
  <c r="O808" i="58"/>
  <c r="P808" i="58" s="1"/>
  <c r="O807" i="58"/>
  <c r="P807" i="58" s="1"/>
  <c r="I807" i="58"/>
  <c r="J807" i="58" s="1"/>
  <c r="O806" i="58"/>
  <c r="P806" i="58" s="1"/>
  <c r="I806" i="58"/>
  <c r="J806" i="58" s="1"/>
  <c r="J804" i="58" s="1"/>
  <c r="O805" i="58"/>
  <c r="P805" i="58" s="1"/>
  <c r="P804" i="58"/>
  <c r="Q804" i="58" s="1"/>
  <c r="O804" i="58"/>
  <c r="N804" i="58"/>
  <c r="P803" i="58"/>
  <c r="O803" i="58"/>
  <c r="O802" i="58"/>
  <c r="P802" i="58" s="1"/>
  <c r="O801" i="58"/>
  <c r="P801" i="58" s="1"/>
  <c r="I801" i="58"/>
  <c r="J801" i="58" s="1"/>
  <c r="O800" i="58"/>
  <c r="P800" i="58" s="1"/>
  <c r="I800" i="58"/>
  <c r="J800" i="58" s="1"/>
  <c r="O799" i="58"/>
  <c r="P799" i="58" s="1"/>
  <c r="O798" i="58"/>
  <c r="P798" i="58" s="1"/>
  <c r="Q798" i="58" s="1"/>
  <c r="N798" i="58"/>
  <c r="O796" i="58"/>
  <c r="P796" i="58" s="1"/>
  <c r="P795" i="58"/>
  <c r="O795" i="58"/>
  <c r="P794" i="58"/>
  <c r="O794" i="58"/>
  <c r="I794" i="58"/>
  <c r="J794" i="58" s="1"/>
  <c r="O793" i="58"/>
  <c r="P793" i="58" s="1"/>
  <c r="I793" i="58"/>
  <c r="J793" i="58" s="1"/>
  <c r="O792" i="58"/>
  <c r="P792" i="58" s="1"/>
  <c r="P791" i="58"/>
  <c r="Q791" i="58" s="1"/>
  <c r="O791" i="58"/>
  <c r="N791" i="58"/>
  <c r="O790" i="58"/>
  <c r="P790" i="58" s="1"/>
  <c r="Q790" i="58" s="1"/>
  <c r="R790" i="58" s="1"/>
  <c r="O789" i="58"/>
  <c r="P789" i="58" s="1"/>
  <c r="O788" i="58"/>
  <c r="P788" i="58" s="1"/>
  <c r="I788" i="58"/>
  <c r="J788" i="58" s="1"/>
  <c r="O787" i="58"/>
  <c r="P787" i="58" s="1"/>
  <c r="J787" i="58"/>
  <c r="I787" i="58"/>
  <c r="O786" i="58"/>
  <c r="P786" i="58" s="1"/>
  <c r="O785" i="58"/>
  <c r="P785" i="58" s="1"/>
  <c r="Q785" i="58" s="1"/>
  <c r="N785" i="58"/>
  <c r="O784" i="58"/>
  <c r="P784" i="58" s="1"/>
  <c r="O783" i="58"/>
  <c r="P783" i="58" s="1"/>
  <c r="P782" i="58"/>
  <c r="O782" i="58"/>
  <c r="J782" i="58"/>
  <c r="I782" i="58"/>
  <c r="O781" i="58"/>
  <c r="P781" i="58" s="1"/>
  <c r="I781" i="58"/>
  <c r="J781" i="58" s="1"/>
  <c r="P780" i="58"/>
  <c r="O780" i="58"/>
  <c r="P779" i="58"/>
  <c r="Q779" i="58" s="1"/>
  <c r="O779" i="58"/>
  <c r="N779" i="58"/>
  <c r="O778" i="58"/>
  <c r="P778" i="58" s="1"/>
  <c r="O777" i="58"/>
  <c r="P777" i="58" s="1"/>
  <c r="O776" i="58"/>
  <c r="P776" i="58" s="1"/>
  <c r="I776" i="58"/>
  <c r="J776" i="58" s="1"/>
  <c r="O775" i="58"/>
  <c r="P775" i="58" s="1"/>
  <c r="I775" i="58"/>
  <c r="J775" i="58" s="1"/>
  <c r="O774" i="58"/>
  <c r="P774" i="58" s="1"/>
  <c r="O773" i="58"/>
  <c r="P773" i="58" s="1"/>
  <c r="Q773" i="58" s="1"/>
  <c r="N773" i="58"/>
  <c r="O772" i="58"/>
  <c r="P772" i="58" s="1"/>
  <c r="O771" i="58"/>
  <c r="P771" i="58" s="1"/>
  <c r="O770" i="58"/>
  <c r="P770" i="58" s="1"/>
  <c r="I770" i="58"/>
  <c r="J770" i="58" s="1"/>
  <c r="O769" i="58"/>
  <c r="P769" i="58" s="1"/>
  <c r="I769" i="58"/>
  <c r="J769" i="58" s="1"/>
  <c r="J767" i="58" s="1"/>
  <c r="O768" i="58"/>
  <c r="P768" i="58" s="1"/>
  <c r="O767" i="58"/>
  <c r="P767" i="58" s="1"/>
  <c r="Q767" i="58" s="1"/>
  <c r="N767" i="58"/>
  <c r="O766" i="58"/>
  <c r="P766" i="58" s="1"/>
  <c r="Q766" i="58" s="1"/>
  <c r="R766" i="58" s="1"/>
  <c r="P765" i="58"/>
  <c r="O765" i="58"/>
  <c r="P764" i="58"/>
  <c r="O764" i="58"/>
  <c r="I764" i="58"/>
  <c r="J764" i="58" s="1"/>
  <c r="O763" i="58"/>
  <c r="P763" i="58" s="1"/>
  <c r="I763" i="58"/>
  <c r="J763" i="58" s="1"/>
  <c r="O762" i="58"/>
  <c r="P762" i="58" s="1"/>
  <c r="Q761" i="58"/>
  <c r="P761" i="58"/>
  <c r="O761" i="58"/>
  <c r="N761" i="58"/>
  <c r="O760" i="58"/>
  <c r="P760" i="58" s="1"/>
  <c r="Q760" i="58" s="1"/>
  <c r="R760" i="58" s="1"/>
  <c r="O759" i="58"/>
  <c r="P759" i="58" s="1"/>
  <c r="Q759" i="58" s="1"/>
  <c r="R759" i="58" s="1"/>
  <c r="O758" i="58"/>
  <c r="P758" i="58" s="1"/>
  <c r="I758" i="58"/>
  <c r="J758" i="58" s="1"/>
  <c r="O757" i="58"/>
  <c r="P757" i="58" s="1"/>
  <c r="I757" i="58"/>
  <c r="J757" i="58" s="1"/>
  <c r="O756" i="58"/>
  <c r="P756" i="58" s="1"/>
  <c r="O755" i="58"/>
  <c r="P755" i="58" s="1"/>
  <c r="Q755" i="58" s="1"/>
  <c r="N755" i="58"/>
  <c r="O754" i="58"/>
  <c r="P754" i="58" s="1"/>
  <c r="Q754" i="58" s="1"/>
  <c r="O753" i="58"/>
  <c r="P753" i="58" s="1"/>
  <c r="O752" i="58"/>
  <c r="P752" i="58" s="1"/>
  <c r="I752" i="58"/>
  <c r="J752" i="58" s="1"/>
  <c r="O751" i="58"/>
  <c r="P751" i="58" s="1"/>
  <c r="I751" i="58"/>
  <c r="J751" i="58" s="1"/>
  <c r="O750" i="58"/>
  <c r="P750" i="58" s="1"/>
  <c r="P749" i="58"/>
  <c r="Q749" i="58" s="1"/>
  <c r="O749" i="58"/>
  <c r="N749" i="58"/>
  <c r="O748" i="58"/>
  <c r="P748" i="58" s="1"/>
  <c r="O747" i="58"/>
  <c r="P747" i="58" s="1"/>
  <c r="O746" i="58"/>
  <c r="P746" i="58" s="1"/>
  <c r="I746" i="58"/>
  <c r="J746" i="58" s="1"/>
  <c r="O745" i="58"/>
  <c r="P745" i="58" s="1"/>
  <c r="I745" i="58"/>
  <c r="J745" i="58" s="1"/>
  <c r="O744" i="58"/>
  <c r="P744" i="58" s="1"/>
  <c r="O743" i="58"/>
  <c r="P743" i="58" s="1"/>
  <c r="Q743" i="58" s="1"/>
  <c r="N743" i="58"/>
  <c r="O742" i="58"/>
  <c r="P742" i="58" s="1"/>
  <c r="P741" i="58"/>
  <c r="O741" i="58"/>
  <c r="O740" i="58"/>
  <c r="P740" i="58" s="1"/>
  <c r="I740" i="58"/>
  <c r="J740" i="58" s="1"/>
  <c r="O739" i="58"/>
  <c r="P739" i="58" s="1"/>
  <c r="J739" i="58"/>
  <c r="I739" i="58"/>
  <c r="O738" i="58"/>
  <c r="P738" i="58" s="1"/>
  <c r="P737" i="58"/>
  <c r="Q737" i="58" s="1"/>
  <c r="O737" i="58"/>
  <c r="N737" i="58"/>
  <c r="O736" i="58"/>
  <c r="P736" i="58" s="1"/>
  <c r="Q736" i="58" s="1"/>
  <c r="R736" i="58" s="1"/>
  <c r="L736" i="58"/>
  <c r="L731" i="58" s="1"/>
  <c r="O735" i="58"/>
  <c r="P735" i="58" s="1"/>
  <c r="Q735" i="58" s="1"/>
  <c r="R735" i="58" s="1"/>
  <c r="O734" i="58"/>
  <c r="P734" i="58" s="1"/>
  <c r="Q734" i="58" s="1"/>
  <c r="R734" i="58" s="1"/>
  <c r="J734" i="58"/>
  <c r="J731" i="58" s="1"/>
  <c r="I734" i="58"/>
  <c r="P733" i="58"/>
  <c r="O733" i="58"/>
  <c r="I733" i="58"/>
  <c r="J733" i="58" s="1"/>
  <c r="O732" i="58"/>
  <c r="P732" i="58" s="1"/>
  <c r="P731" i="58"/>
  <c r="Q731" i="58" s="1"/>
  <c r="O731" i="58"/>
  <c r="N731" i="58"/>
  <c r="O730" i="58"/>
  <c r="P730" i="58" s="1"/>
  <c r="Q730" i="58" s="1"/>
  <c r="R730" i="58" s="1"/>
  <c r="L730" i="58"/>
  <c r="L725" i="58" s="1"/>
  <c r="O729" i="58"/>
  <c r="P729" i="58" s="1"/>
  <c r="O728" i="58"/>
  <c r="P728" i="58" s="1"/>
  <c r="I728" i="58"/>
  <c r="J728" i="58" s="1"/>
  <c r="O727" i="58"/>
  <c r="P727" i="58" s="1"/>
  <c r="I727" i="58"/>
  <c r="J727" i="58" s="1"/>
  <c r="O726" i="58"/>
  <c r="P726" i="58" s="1"/>
  <c r="O725" i="58"/>
  <c r="P725" i="58" s="1"/>
  <c r="Q725" i="58" s="1"/>
  <c r="N725" i="58"/>
  <c r="O724" i="58"/>
  <c r="P724" i="58" s="1"/>
  <c r="Q724" i="58" s="1"/>
  <c r="R724" i="58" s="1"/>
  <c r="L724" i="58"/>
  <c r="L719" i="58" s="1"/>
  <c r="O723" i="58"/>
  <c r="P723" i="58" s="1"/>
  <c r="O722" i="58"/>
  <c r="P722" i="58" s="1"/>
  <c r="I722" i="58"/>
  <c r="J722" i="58" s="1"/>
  <c r="O721" i="58"/>
  <c r="P721" i="58" s="1"/>
  <c r="J721" i="58"/>
  <c r="I721" i="58"/>
  <c r="O720" i="58"/>
  <c r="P720" i="58" s="1"/>
  <c r="O719" i="58"/>
  <c r="P719" i="58" s="1"/>
  <c r="Q719" i="58" s="1"/>
  <c r="N719" i="58"/>
  <c r="O718" i="58"/>
  <c r="P718" i="58" s="1"/>
  <c r="L718" i="58"/>
  <c r="L713" i="58" s="1"/>
  <c r="O717" i="58"/>
  <c r="P717" i="58" s="1"/>
  <c r="O716" i="58"/>
  <c r="P716" i="58" s="1"/>
  <c r="I716" i="58"/>
  <c r="J716" i="58" s="1"/>
  <c r="O715" i="58"/>
  <c r="P715" i="58" s="1"/>
  <c r="I715" i="58"/>
  <c r="J715" i="58" s="1"/>
  <c r="O714" i="58"/>
  <c r="P714" i="58" s="1"/>
  <c r="P713" i="58"/>
  <c r="Q713" i="58" s="1"/>
  <c r="O713" i="58"/>
  <c r="N713" i="58"/>
  <c r="O712" i="58"/>
  <c r="P712" i="58" s="1"/>
  <c r="O711" i="58"/>
  <c r="P711" i="58" s="1"/>
  <c r="P710" i="58"/>
  <c r="O710" i="58"/>
  <c r="I710" i="58"/>
  <c r="J710" i="58" s="1"/>
  <c r="P709" i="58"/>
  <c r="O709" i="58"/>
  <c r="I709" i="58"/>
  <c r="J709" i="58" s="1"/>
  <c r="J707" i="58" s="1"/>
  <c r="O708" i="58"/>
  <c r="P708" i="58" s="1"/>
  <c r="O707" i="58"/>
  <c r="P707" i="58" s="1"/>
  <c r="Q707" i="58" s="1"/>
  <c r="N707" i="58"/>
  <c r="P706" i="58"/>
  <c r="O706" i="58"/>
  <c r="L706" i="58"/>
  <c r="L701" i="58" s="1"/>
  <c r="O705" i="58"/>
  <c r="P705" i="58" s="1"/>
  <c r="O704" i="58"/>
  <c r="P704" i="58" s="1"/>
  <c r="I704" i="58"/>
  <c r="J704" i="58" s="1"/>
  <c r="O703" i="58"/>
  <c r="P703" i="58" s="1"/>
  <c r="I703" i="58"/>
  <c r="J703" i="58" s="1"/>
  <c r="P702" i="58"/>
  <c r="O702" i="58"/>
  <c r="O701" i="58"/>
  <c r="P701" i="58" s="1"/>
  <c r="Q701" i="58" s="1"/>
  <c r="N701" i="58"/>
  <c r="O699" i="58"/>
  <c r="P699" i="58" s="1"/>
  <c r="N699" i="58"/>
  <c r="N692" i="58" s="1"/>
  <c r="O698" i="58"/>
  <c r="P698" i="58" s="1"/>
  <c r="O697" i="58"/>
  <c r="P697" i="58" s="1"/>
  <c r="L697" i="58"/>
  <c r="L692" i="58" s="1"/>
  <c r="O696" i="58"/>
  <c r="P696" i="58" s="1"/>
  <c r="O695" i="58"/>
  <c r="P695" i="58" s="1"/>
  <c r="I695" i="58"/>
  <c r="J695" i="58" s="1"/>
  <c r="O694" i="58"/>
  <c r="P694" i="58" s="1"/>
  <c r="I694" i="58"/>
  <c r="J694" i="58" s="1"/>
  <c r="O693" i="58"/>
  <c r="P693" i="58" s="1"/>
  <c r="P692" i="58"/>
  <c r="Q692" i="58" s="1"/>
  <c r="O692" i="58"/>
  <c r="O691" i="58"/>
  <c r="P691" i="58" s="1"/>
  <c r="N691" i="58"/>
  <c r="N684" i="58" s="1"/>
  <c r="O690" i="58"/>
  <c r="P690" i="58" s="1"/>
  <c r="O689" i="58"/>
  <c r="P689" i="58" s="1"/>
  <c r="O688" i="58"/>
  <c r="P688" i="58" s="1"/>
  <c r="O687" i="58"/>
  <c r="P687" i="58" s="1"/>
  <c r="I687" i="58"/>
  <c r="J687" i="58" s="1"/>
  <c r="O686" i="58"/>
  <c r="P686" i="58" s="1"/>
  <c r="I686" i="58"/>
  <c r="J686" i="58" s="1"/>
  <c r="O685" i="58"/>
  <c r="P685" i="58" s="1"/>
  <c r="O684" i="58"/>
  <c r="P684" i="58" s="1"/>
  <c r="Q684" i="58" s="1"/>
  <c r="O683" i="58"/>
  <c r="P683" i="58" s="1"/>
  <c r="N683" i="58"/>
  <c r="N676" i="58" s="1"/>
  <c r="O682" i="58"/>
  <c r="P682" i="58" s="1"/>
  <c r="O681" i="58"/>
  <c r="P681" i="58" s="1"/>
  <c r="O680" i="58"/>
  <c r="P680" i="58" s="1"/>
  <c r="O679" i="58"/>
  <c r="P679" i="58" s="1"/>
  <c r="I679" i="58"/>
  <c r="J679" i="58" s="1"/>
  <c r="O678" i="58"/>
  <c r="P678" i="58" s="1"/>
  <c r="I678" i="58"/>
  <c r="J678" i="58" s="1"/>
  <c r="O677" i="58"/>
  <c r="P677" i="58" s="1"/>
  <c r="O676" i="58"/>
  <c r="P676" i="58" s="1"/>
  <c r="Q676" i="58" s="1"/>
  <c r="O675" i="58"/>
  <c r="P675" i="58" s="1"/>
  <c r="N675" i="58"/>
  <c r="P674" i="58"/>
  <c r="O674" i="58"/>
  <c r="O673" i="58"/>
  <c r="P673" i="58" s="1"/>
  <c r="P672" i="58"/>
  <c r="O672" i="58"/>
  <c r="P671" i="58"/>
  <c r="O671" i="58"/>
  <c r="I671" i="58"/>
  <c r="J671" i="58" s="1"/>
  <c r="P670" i="58"/>
  <c r="O670" i="58"/>
  <c r="I670" i="58"/>
  <c r="J670" i="58" s="1"/>
  <c r="P669" i="58"/>
  <c r="O669" i="58"/>
  <c r="P668" i="58"/>
  <c r="Q668" i="58" s="1"/>
  <c r="O668" i="58"/>
  <c r="N668" i="58"/>
  <c r="P667" i="58"/>
  <c r="O667" i="58"/>
  <c r="N667" i="58"/>
  <c r="N660" i="58" s="1"/>
  <c r="O666" i="58"/>
  <c r="P666" i="58" s="1"/>
  <c r="O665" i="58"/>
  <c r="P665" i="58" s="1"/>
  <c r="P664" i="58"/>
  <c r="O664" i="58"/>
  <c r="O663" i="58"/>
  <c r="P663" i="58" s="1"/>
  <c r="I663" i="58"/>
  <c r="J663" i="58" s="1"/>
  <c r="O662" i="58"/>
  <c r="P662" i="58" s="1"/>
  <c r="J662" i="58"/>
  <c r="J660" i="58" s="1"/>
  <c r="I662" i="58"/>
  <c r="O661" i="58"/>
  <c r="P661" i="58" s="1"/>
  <c r="O660" i="58"/>
  <c r="P660" i="58" s="1"/>
  <c r="Q660" i="58" s="1"/>
  <c r="O659" i="58"/>
  <c r="P659" i="58" s="1"/>
  <c r="Q659" i="58" s="1"/>
  <c r="O658" i="58"/>
  <c r="P658" i="58" s="1"/>
  <c r="O657" i="58"/>
  <c r="P657" i="58" s="1"/>
  <c r="I657" i="58"/>
  <c r="J657" i="58" s="1"/>
  <c r="O656" i="58"/>
  <c r="P656" i="58" s="1"/>
  <c r="I656" i="58"/>
  <c r="J656" i="58" s="1"/>
  <c r="O655" i="58"/>
  <c r="P655" i="58" s="1"/>
  <c r="P654" i="58"/>
  <c r="Q654" i="58" s="1"/>
  <c r="O654" i="58"/>
  <c r="N654" i="58"/>
  <c r="O653" i="58"/>
  <c r="P653" i="58" s="1"/>
  <c r="O652" i="58"/>
  <c r="P652" i="58" s="1"/>
  <c r="O651" i="58"/>
  <c r="P651" i="58" s="1"/>
  <c r="I651" i="58"/>
  <c r="J651" i="58" s="1"/>
  <c r="O650" i="58"/>
  <c r="P650" i="58" s="1"/>
  <c r="I650" i="58"/>
  <c r="J650" i="58" s="1"/>
  <c r="O649" i="58"/>
  <c r="P649" i="58" s="1"/>
  <c r="O648" i="58"/>
  <c r="P648" i="58" s="1"/>
  <c r="Q648" i="58" s="1"/>
  <c r="N648" i="58"/>
  <c r="O647" i="58"/>
  <c r="P647" i="58" s="1"/>
  <c r="Q647" i="58" s="1"/>
  <c r="P646" i="58"/>
  <c r="O646" i="58"/>
  <c r="O645" i="58"/>
  <c r="P645" i="58" s="1"/>
  <c r="I645" i="58"/>
  <c r="J645" i="58" s="1"/>
  <c r="O644" i="58"/>
  <c r="P644" i="58" s="1"/>
  <c r="I644" i="58"/>
  <c r="J644" i="58" s="1"/>
  <c r="P643" i="58"/>
  <c r="O643" i="58"/>
  <c r="O642" i="58"/>
  <c r="P642" i="58" s="1"/>
  <c r="Q642" i="58" s="1"/>
  <c r="N642" i="58"/>
  <c r="O641" i="58"/>
  <c r="P641" i="58" s="1"/>
  <c r="O640" i="58"/>
  <c r="P640" i="58" s="1"/>
  <c r="O639" i="58"/>
  <c r="P639" i="58" s="1"/>
  <c r="J639" i="58"/>
  <c r="I639" i="58"/>
  <c r="O638" i="58"/>
  <c r="P638" i="58" s="1"/>
  <c r="J638" i="58"/>
  <c r="J636" i="58" s="1"/>
  <c r="I638" i="58"/>
  <c r="O637" i="58"/>
  <c r="P637" i="58" s="1"/>
  <c r="O636" i="58"/>
  <c r="P636" i="58" s="1"/>
  <c r="Q636" i="58" s="1"/>
  <c r="N636" i="58"/>
  <c r="O635" i="58"/>
  <c r="P635" i="58" s="1"/>
  <c r="P634" i="58"/>
  <c r="O634" i="58"/>
  <c r="O633" i="58"/>
  <c r="P633" i="58" s="1"/>
  <c r="I633" i="58"/>
  <c r="J633" i="58" s="1"/>
  <c r="O632" i="58"/>
  <c r="P632" i="58" s="1"/>
  <c r="I632" i="58"/>
  <c r="J632" i="58" s="1"/>
  <c r="O631" i="58"/>
  <c r="P631" i="58" s="1"/>
  <c r="O630" i="58"/>
  <c r="P630" i="58" s="1"/>
  <c r="Q630" i="58" s="1"/>
  <c r="N630" i="58"/>
  <c r="O629" i="58"/>
  <c r="P629" i="58" s="1"/>
  <c r="L629" i="58"/>
  <c r="L624" i="58" s="1"/>
  <c r="O628" i="58"/>
  <c r="P628" i="58" s="1"/>
  <c r="O627" i="58"/>
  <c r="P627" i="58" s="1"/>
  <c r="I627" i="58"/>
  <c r="J627" i="58" s="1"/>
  <c r="P626" i="58"/>
  <c r="O626" i="58"/>
  <c r="I626" i="58"/>
  <c r="J626" i="58" s="1"/>
  <c r="O625" i="58"/>
  <c r="P625" i="58" s="1"/>
  <c r="P624" i="58"/>
  <c r="Q624" i="58" s="1"/>
  <c r="O624" i="58"/>
  <c r="N624" i="58"/>
  <c r="O623" i="58"/>
  <c r="P623" i="58" s="1"/>
  <c r="Q623" i="58" s="1"/>
  <c r="R623" i="58" s="1"/>
  <c r="O622" i="58"/>
  <c r="P622" i="58" s="1"/>
  <c r="O621" i="58"/>
  <c r="P621" i="58" s="1"/>
  <c r="I621" i="58"/>
  <c r="J621" i="58" s="1"/>
  <c r="O620" i="58"/>
  <c r="P620" i="58" s="1"/>
  <c r="I620" i="58"/>
  <c r="J620" i="58" s="1"/>
  <c r="O619" i="58"/>
  <c r="P619" i="58" s="1"/>
  <c r="P618" i="58"/>
  <c r="Q618" i="58" s="1"/>
  <c r="O618" i="58"/>
  <c r="N618" i="58"/>
  <c r="O617" i="58"/>
  <c r="P617" i="58" s="1"/>
  <c r="P616" i="58"/>
  <c r="O616" i="58"/>
  <c r="O615" i="58"/>
  <c r="P615" i="58" s="1"/>
  <c r="I615" i="58"/>
  <c r="J615" i="58" s="1"/>
  <c r="O614" i="58"/>
  <c r="P614" i="58" s="1"/>
  <c r="I614" i="58"/>
  <c r="J614" i="58" s="1"/>
  <c r="O613" i="58"/>
  <c r="P613" i="58" s="1"/>
  <c r="O612" i="58"/>
  <c r="P612" i="58" s="1"/>
  <c r="Q612" i="58" s="1"/>
  <c r="N612" i="58"/>
  <c r="P611" i="58"/>
  <c r="O611" i="58"/>
  <c r="L611" i="58"/>
  <c r="O610" i="58"/>
  <c r="P610" i="58" s="1"/>
  <c r="O609" i="58"/>
  <c r="P609" i="58" s="1"/>
  <c r="I609" i="58"/>
  <c r="J609" i="58" s="1"/>
  <c r="O608" i="58"/>
  <c r="P608" i="58" s="1"/>
  <c r="I608" i="58"/>
  <c r="J608" i="58" s="1"/>
  <c r="O607" i="58"/>
  <c r="P607" i="58" s="1"/>
  <c r="O606" i="58"/>
  <c r="P606" i="58" s="1"/>
  <c r="Q606" i="58" s="1"/>
  <c r="N606" i="58"/>
  <c r="L606" i="58"/>
  <c r="O605" i="58"/>
  <c r="P605" i="58" s="1"/>
  <c r="O604" i="58"/>
  <c r="P604" i="58" s="1"/>
  <c r="O603" i="58"/>
  <c r="P603" i="58" s="1"/>
  <c r="J603" i="58"/>
  <c r="I603" i="58"/>
  <c r="O602" i="58"/>
  <c r="P602" i="58" s="1"/>
  <c r="I602" i="58"/>
  <c r="J602" i="58" s="1"/>
  <c r="O601" i="58"/>
  <c r="P601" i="58" s="1"/>
  <c r="O600" i="58"/>
  <c r="P600" i="58" s="1"/>
  <c r="Q600" i="58" s="1"/>
  <c r="N600" i="58"/>
  <c r="O599" i="58"/>
  <c r="P599" i="58" s="1"/>
  <c r="L599" i="58"/>
  <c r="L594" i="58" s="1"/>
  <c r="O598" i="58"/>
  <c r="P598" i="58" s="1"/>
  <c r="O597" i="58"/>
  <c r="P597" i="58" s="1"/>
  <c r="I597" i="58"/>
  <c r="J597" i="58" s="1"/>
  <c r="P596" i="58"/>
  <c r="O596" i="58"/>
  <c r="J596" i="58"/>
  <c r="I596" i="58"/>
  <c r="O595" i="58"/>
  <c r="P595" i="58" s="1"/>
  <c r="O594" i="58"/>
  <c r="P594" i="58" s="1"/>
  <c r="Q594" i="58" s="1"/>
  <c r="N594" i="58"/>
  <c r="O593" i="58"/>
  <c r="P593" i="58" s="1"/>
  <c r="P592" i="58"/>
  <c r="O592" i="58"/>
  <c r="O591" i="58"/>
  <c r="P591" i="58" s="1"/>
  <c r="I591" i="58"/>
  <c r="J591" i="58" s="1"/>
  <c r="O590" i="58"/>
  <c r="P590" i="58" s="1"/>
  <c r="I590" i="58"/>
  <c r="J590" i="58" s="1"/>
  <c r="O589" i="58"/>
  <c r="P589" i="58" s="1"/>
  <c r="P588" i="58"/>
  <c r="Q588" i="58" s="1"/>
  <c r="O588" i="58"/>
  <c r="N588" i="58"/>
  <c r="O587" i="58"/>
  <c r="P587" i="58" s="1"/>
  <c r="O586" i="58"/>
  <c r="P586" i="58" s="1"/>
  <c r="O585" i="58"/>
  <c r="P585" i="58" s="1"/>
  <c r="I585" i="58"/>
  <c r="J585" i="58" s="1"/>
  <c r="O584" i="58"/>
  <c r="P584" i="58" s="1"/>
  <c r="I584" i="58"/>
  <c r="J584" i="58" s="1"/>
  <c r="O583" i="58"/>
  <c r="P583" i="58" s="1"/>
  <c r="O582" i="58"/>
  <c r="P582" i="58" s="1"/>
  <c r="Q582" i="58" s="1"/>
  <c r="N582" i="58"/>
  <c r="O581" i="58"/>
  <c r="P581" i="58" s="1"/>
  <c r="Q581" i="58" s="1"/>
  <c r="R581" i="58" s="1"/>
  <c r="O580" i="58"/>
  <c r="P580" i="58" s="1"/>
  <c r="O579" i="58"/>
  <c r="P579" i="58" s="1"/>
  <c r="I579" i="58"/>
  <c r="J579" i="58" s="1"/>
  <c r="O578" i="58"/>
  <c r="P578" i="58" s="1"/>
  <c r="I578" i="58"/>
  <c r="J578" i="58" s="1"/>
  <c r="O577" i="58"/>
  <c r="P577" i="58" s="1"/>
  <c r="O576" i="58"/>
  <c r="P576" i="58" s="1"/>
  <c r="Q576" i="58" s="1"/>
  <c r="N576" i="58"/>
  <c r="O574" i="58"/>
  <c r="P574" i="58" s="1"/>
  <c r="Q574" i="58" s="1"/>
  <c r="R574" i="58" s="1"/>
  <c r="P573" i="58"/>
  <c r="O573" i="58"/>
  <c r="O572" i="58"/>
  <c r="P572" i="58" s="1"/>
  <c r="O571" i="58"/>
  <c r="P571" i="58" s="1"/>
  <c r="O570" i="58"/>
  <c r="P570" i="58" s="1"/>
  <c r="I570" i="58"/>
  <c r="J570" i="58" s="1"/>
  <c r="O569" i="58"/>
  <c r="P569" i="58" s="1"/>
  <c r="I569" i="58"/>
  <c r="J569" i="58" s="1"/>
  <c r="O568" i="58"/>
  <c r="P568" i="58" s="1"/>
  <c r="O567" i="58"/>
  <c r="P567" i="58" s="1"/>
  <c r="Q567" i="58" s="1"/>
  <c r="O566" i="58"/>
  <c r="P566" i="58" s="1"/>
  <c r="O565" i="58"/>
  <c r="P565" i="58" s="1"/>
  <c r="O564" i="58"/>
  <c r="P564" i="58" s="1"/>
  <c r="O563" i="58"/>
  <c r="P563" i="58" s="1"/>
  <c r="O562" i="58"/>
  <c r="P562" i="58" s="1"/>
  <c r="I562" i="58"/>
  <c r="J562" i="58" s="1"/>
  <c r="O561" i="58"/>
  <c r="P561" i="58" s="1"/>
  <c r="I561" i="58"/>
  <c r="J561" i="58" s="1"/>
  <c r="O560" i="58"/>
  <c r="P560" i="58" s="1"/>
  <c r="O559" i="58"/>
  <c r="P559" i="58" s="1"/>
  <c r="Q559" i="58" s="1"/>
  <c r="O558" i="58"/>
  <c r="P558" i="58" s="1"/>
  <c r="P557" i="58"/>
  <c r="O557" i="58"/>
  <c r="O556" i="58"/>
  <c r="P556" i="58" s="1"/>
  <c r="O555" i="58"/>
  <c r="P555" i="58" s="1"/>
  <c r="P554" i="58"/>
  <c r="O554" i="58"/>
  <c r="I554" i="58"/>
  <c r="J554" i="58" s="1"/>
  <c r="O553" i="58"/>
  <c r="P553" i="58" s="1"/>
  <c r="I553" i="58"/>
  <c r="J553" i="58" s="1"/>
  <c r="O552" i="58"/>
  <c r="P552" i="58" s="1"/>
  <c r="O551" i="58"/>
  <c r="P551" i="58" s="1"/>
  <c r="Q551" i="58" s="1"/>
  <c r="O550" i="58"/>
  <c r="P550" i="58" s="1"/>
  <c r="P549" i="58"/>
  <c r="O549" i="58"/>
  <c r="O548" i="58"/>
  <c r="P548" i="58" s="1"/>
  <c r="O547" i="58"/>
  <c r="P547" i="58" s="1"/>
  <c r="O546" i="58"/>
  <c r="P546" i="58" s="1"/>
  <c r="I546" i="58"/>
  <c r="J546" i="58" s="1"/>
  <c r="O545" i="58"/>
  <c r="P545" i="58" s="1"/>
  <c r="I545" i="58"/>
  <c r="J545" i="58" s="1"/>
  <c r="P544" i="58"/>
  <c r="O544" i="58"/>
  <c r="O543" i="58"/>
  <c r="P543" i="58" s="1"/>
  <c r="Q543" i="58" s="1"/>
  <c r="O542" i="58"/>
  <c r="P542" i="58" s="1"/>
  <c r="O541" i="58"/>
  <c r="P541" i="58" s="1"/>
  <c r="O540" i="58"/>
  <c r="P540" i="58" s="1"/>
  <c r="P539" i="58"/>
  <c r="O539" i="58"/>
  <c r="O538" i="58"/>
  <c r="P538" i="58" s="1"/>
  <c r="Q538" i="58" s="1"/>
  <c r="N538" i="58"/>
  <c r="J538" i="58"/>
  <c r="O537" i="58"/>
  <c r="P537" i="58" s="1"/>
  <c r="O536" i="58"/>
  <c r="P536" i="58" s="1"/>
  <c r="O535" i="58"/>
  <c r="P535" i="58" s="1"/>
  <c r="I535" i="58"/>
  <c r="J535" i="58" s="1"/>
  <c r="J533" i="58" s="1"/>
  <c r="O534" i="58"/>
  <c r="P534" i="58" s="1"/>
  <c r="O533" i="58"/>
  <c r="P533" i="58" s="1"/>
  <c r="Q533" i="58" s="1"/>
  <c r="N533" i="58"/>
  <c r="O532" i="58"/>
  <c r="P532" i="58" s="1"/>
  <c r="O531" i="58"/>
  <c r="P531" i="58" s="1"/>
  <c r="O530" i="58"/>
  <c r="P530" i="58" s="1"/>
  <c r="I530" i="58"/>
  <c r="J530" i="58" s="1"/>
  <c r="J528" i="58" s="1"/>
  <c r="O529" i="58"/>
  <c r="P529" i="58" s="1"/>
  <c r="O528" i="58"/>
  <c r="P528" i="58" s="1"/>
  <c r="Q528" i="58" s="1"/>
  <c r="N528" i="58"/>
  <c r="O527" i="58"/>
  <c r="P527" i="58" s="1"/>
  <c r="L527" i="58"/>
  <c r="L523" i="58" s="1"/>
  <c r="O526" i="58"/>
  <c r="P526" i="58" s="1"/>
  <c r="O525" i="58"/>
  <c r="P525" i="58" s="1"/>
  <c r="I525" i="58"/>
  <c r="J525" i="58" s="1"/>
  <c r="J523" i="58" s="1"/>
  <c r="O524" i="58"/>
  <c r="P524" i="58" s="1"/>
  <c r="O523" i="58"/>
  <c r="P523" i="58" s="1"/>
  <c r="Q523" i="58" s="1"/>
  <c r="N523" i="58"/>
  <c r="O521" i="58"/>
  <c r="P521" i="58" s="1"/>
  <c r="Q521" i="58" s="1"/>
  <c r="R521" i="58" s="1"/>
  <c r="O520" i="58"/>
  <c r="P520" i="58" s="1"/>
  <c r="O519" i="58"/>
  <c r="P519" i="58" s="1"/>
  <c r="Q519" i="58" s="1"/>
  <c r="N519" i="58"/>
  <c r="J519" i="58"/>
  <c r="O518" i="58"/>
  <c r="P518" i="58" s="1"/>
  <c r="O517" i="58"/>
  <c r="P517" i="58" s="1"/>
  <c r="O516" i="58"/>
  <c r="P516" i="58" s="1"/>
  <c r="Q516" i="58" s="1"/>
  <c r="N516" i="58"/>
  <c r="J516" i="58"/>
  <c r="O515" i="58"/>
  <c r="P515" i="58" s="1"/>
  <c r="O514" i="58"/>
  <c r="P514" i="58" s="1"/>
  <c r="O513" i="58"/>
  <c r="P513" i="58" s="1"/>
  <c r="Q513" i="58" s="1"/>
  <c r="N513" i="58"/>
  <c r="J513" i="58"/>
  <c r="O512" i="58"/>
  <c r="P512" i="58" s="1"/>
  <c r="O511" i="58"/>
  <c r="P511" i="58" s="1"/>
  <c r="O510" i="58"/>
  <c r="P510" i="58" s="1"/>
  <c r="Q510" i="58" s="1"/>
  <c r="N510" i="58"/>
  <c r="J510" i="58"/>
  <c r="P509" i="58"/>
  <c r="O509" i="58"/>
  <c r="L509" i="58"/>
  <c r="L507" i="58" s="1"/>
  <c r="O508" i="58"/>
  <c r="P508" i="58" s="1"/>
  <c r="O507" i="58"/>
  <c r="P507" i="58" s="1"/>
  <c r="Q507" i="58" s="1"/>
  <c r="N507" i="58"/>
  <c r="J507" i="58"/>
  <c r="O506" i="58"/>
  <c r="P506" i="58" s="1"/>
  <c r="O505" i="58"/>
  <c r="P505" i="58" s="1"/>
  <c r="P504" i="58"/>
  <c r="Q504" i="58" s="1"/>
  <c r="O504" i="58"/>
  <c r="N504" i="58"/>
  <c r="J504" i="58"/>
  <c r="O503" i="58"/>
  <c r="P503" i="58" s="1"/>
  <c r="O502" i="58"/>
  <c r="P502" i="58" s="1"/>
  <c r="O501" i="58"/>
  <c r="P501" i="58" s="1"/>
  <c r="Q501" i="58" s="1"/>
  <c r="N501" i="58"/>
  <c r="J501" i="58"/>
  <c r="O500" i="58"/>
  <c r="P500" i="58" s="1"/>
  <c r="O499" i="58"/>
  <c r="P499" i="58" s="1"/>
  <c r="O498" i="58"/>
  <c r="P498" i="58" s="1"/>
  <c r="Q498" i="58" s="1"/>
  <c r="N498" i="58"/>
  <c r="J498" i="58"/>
  <c r="O497" i="58"/>
  <c r="P497" i="58" s="1"/>
  <c r="P496" i="58"/>
  <c r="O496" i="58"/>
  <c r="O495" i="58"/>
  <c r="P495" i="58" s="1"/>
  <c r="Q495" i="58" s="1"/>
  <c r="N495" i="58"/>
  <c r="J495" i="58"/>
  <c r="O494" i="58"/>
  <c r="P494" i="58" s="1"/>
  <c r="O493" i="58"/>
  <c r="P493" i="58" s="1"/>
  <c r="O492" i="58"/>
  <c r="P492" i="58" s="1"/>
  <c r="Q492" i="58" s="1"/>
  <c r="N492" i="58"/>
  <c r="J492" i="58"/>
  <c r="O491" i="58"/>
  <c r="P491" i="58" s="1"/>
  <c r="O490" i="58"/>
  <c r="P490" i="58" s="1"/>
  <c r="P489" i="58"/>
  <c r="Q489" i="58" s="1"/>
  <c r="O489" i="58"/>
  <c r="N489" i="58"/>
  <c r="J489" i="58"/>
  <c r="O488" i="58"/>
  <c r="P488" i="58" s="1"/>
  <c r="Q488" i="58" s="1"/>
  <c r="R488" i="58" s="1"/>
  <c r="O487" i="58"/>
  <c r="P487" i="58" s="1"/>
  <c r="O486" i="58"/>
  <c r="P486" i="58" s="1"/>
  <c r="Q486" i="58" s="1"/>
  <c r="N486" i="58"/>
  <c r="J486" i="58"/>
  <c r="O485" i="58"/>
  <c r="P485" i="58" s="1"/>
  <c r="P484" i="58"/>
  <c r="O484" i="58"/>
  <c r="P483" i="58"/>
  <c r="Q483" i="58" s="1"/>
  <c r="O483" i="58"/>
  <c r="N483" i="58"/>
  <c r="J483" i="58"/>
  <c r="O482" i="58"/>
  <c r="P482" i="58" s="1"/>
  <c r="O481" i="58"/>
  <c r="P481" i="58" s="1"/>
  <c r="O480" i="58"/>
  <c r="P480" i="58" s="1"/>
  <c r="Q480" i="58" s="1"/>
  <c r="N480" i="58"/>
  <c r="J480" i="58"/>
  <c r="O479" i="58"/>
  <c r="P479" i="58" s="1"/>
  <c r="Q479" i="58" s="1"/>
  <c r="R479" i="58" s="1"/>
  <c r="L479" i="58"/>
  <c r="L477" i="58" s="1"/>
  <c r="P478" i="58"/>
  <c r="O478" i="58"/>
  <c r="O477" i="58"/>
  <c r="P477" i="58" s="1"/>
  <c r="Q477" i="58" s="1"/>
  <c r="N477" i="58"/>
  <c r="J477" i="58"/>
  <c r="O476" i="58"/>
  <c r="P476" i="58" s="1"/>
  <c r="L476" i="58"/>
  <c r="O475" i="58"/>
  <c r="P475" i="58" s="1"/>
  <c r="O474" i="58"/>
  <c r="P474" i="58" s="1"/>
  <c r="Q474" i="58" s="1"/>
  <c r="N474" i="58"/>
  <c r="L474" i="58"/>
  <c r="J474" i="58"/>
  <c r="O473" i="58"/>
  <c r="P473" i="58" s="1"/>
  <c r="L473" i="58"/>
  <c r="L471" i="58" s="1"/>
  <c r="O472" i="58"/>
  <c r="P472" i="58" s="1"/>
  <c r="P471" i="58"/>
  <c r="Q471" i="58" s="1"/>
  <c r="O471" i="58"/>
  <c r="N471" i="58"/>
  <c r="J471" i="58"/>
  <c r="O470" i="58"/>
  <c r="P470" i="58" s="1"/>
  <c r="O469" i="58"/>
  <c r="P469" i="58" s="1"/>
  <c r="O468" i="58"/>
  <c r="P468" i="58" s="1"/>
  <c r="Q468" i="58" s="1"/>
  <c r="N468" i="58"/>
  <c r="J468" i="58"/>
  <c r="O467" i="58"/>
  <c r="P467" i="58" s="1"/>
  <c r="P466" i="58"/>
  <c r="O466" i="58"/>
  <c r="O465" i="58"/>
  <c r="P465" i="58" s="1"/>
  <c r="Q465" i="58" s="1"/>
  <c r="N465" i="58"/>
  <c r="J465" i="58"/>
  <c r="O464" i="58"/>
  <c r="P464" i="58" s="1"/>
  <c r="Q464" i="58" s="1"/>
  <c r="R464" i="58" s="1"/>
  <c r="P463" i="58"/>
  <c r="Q463" i="58" s="1"/>
  <c r="R463" i="58" s="1"/>
  <c r="O463" i="58"/>
  <c r="O462" i="58"/>
  <c r="P462" i="58" s="1"/>
  <c r="Q462" i="58" s="1"/>
  <c r="N462" i="58"/>
  <c r="J462" i="58"/>
  <c r="O461" i="58"/>
  <c r="P461" i="58" s="1"/>
  <c r="L461" i="58"/>
  <c r="L459" i="58" s="1"/>
  <c r="O460" i="58"/>
  <c r="P460" i="58" s="1"/>
  <c r="O459" i="58"/>
  <c r="P459" i="58" s="1"/>
  <c r="Q459" i="58" s="1"/>
  <c r="N459" i="58"/>
  <c r="J459" i="58"/>
  <c r="O458" i="58"/>
  <c r="P458" i="58" s="1"/>
  <c r="O457" i="58"/>
  <c r="P457" i="58" s="1"/>
  <c r="O456" i="58"/>
  <c r="P456" i="58" s="1"/>
  <c r="Q456" i="58" s="1"/>
  <c r="N456" i="58"/>
  <c r="J456" i="58"/>
  <c r="O455" i="58"/>
  <c r="P455" i="58" s="1"/>
  <c r="O454" i="58"/>
  <c r="P454" i="58" s="1"/>
  <c r="Q453" i="58"/>
  <c r="O453" i="58"/>
  <c r="P453" i="58" s="1"/>
  <c r="N453" i="58"/>
  <c r="J453" i="58"/>
  <c r="O452" i="58"/>
  <c r="P452" i="58" s="1"/>
  <c r="O451" i="58"/>
  <c r="P451" i="58" s="1"/>
  <c r="O450" i="58"/>
  <c r="P450" i="58" s="1"/>
  <c r="Q450" i="58" s="1"/>
  <c r="N450" i="58"/>
  <c r="J450" i="58"/>
  <c r="O449" i="58"/>
  <c r="P449" i="58" s="1"/>
  <c r="Q449" i="58" s="1"/>
  <c r="R449" i="58" s="1"/>
  <c r="O448" i="58"/>
  <c r="P448" i="58" s="1"/>
  <c r="P447" i="58"/>
  <c r="Q447" i="58" s="1"/>
  <c r="O447" i="58"/>
  <c r="N447" i="58"/>
  <c r="J447" i="58"/>
  <c r="P446" i="58"/>
  <c r="O446" i="58"/>
  <c r="O445" i="58"/>
  <c r="P445" i="58" s="1"/>
  <c r="O444" i="58"/>
  <c r="P444" i="58" s="1"/>
  <c r="Q444" i="58" s="1"/>
  <c r="N444" i="58"/>
  <c r="L444" i="58"/>
  <c r="J444" i="58"/>
  <c r="O443" i="58"/>
  <c r="P443" i="58" s="1"/>
  <c r="O442" i="58"/>
  <c r="P442" i="58" s="1"/>
  <c r="O441" i="58"/>
  <c r="P441" i="58" s="1"/>
  <c r="Q441" i="58" s="1"/>
  <c r="N441" i="58"/>
  <c r="J441" i="58"/>
  <c r="O440" i="58"/>
  <c r="P440" i="58" s="1"/>
  <c r="O439" i="58"/>
  <c r="P439" i="58" s="1"/>
  <c r="O438" i="58"/>
  <c r="P438" i="58" s="1"/>
  <c r="Q438" i="58" s="1"/>
  <c r="N438" i="58"/>
  <c r="J438" i="58"/>
  <c r="O437" i="58"/>
  <c r="P437" i="58" s="1"/>
  <c r="Q437" i="58" s="1"/>
  <c r="P436" i="58"/>
  <c r="O436" i="58"/>
  <c r="O435" i="58"/>
  <c r="P435" i="58" s="1"/>
  <c r="Q435" i="58" s="1"/>
  <c r="N435" i="58"/>
  <c r="J435" i="58"/>
  <c r="O434" i="58"/>
  <c r="P434" i="58" s="1"/>
  <c r="O433" i="58"/>
  <c r="P433" i="58" s="1"/>
  <c r="O432" i="58"/>
  <c r="P432" i="58" s="1"/>
  <c r="Q432" i="58" s="1"/>
  <c r="N432" i="58"/>
  <c r="J432" i="58"/>
  <c r="O431" i="58"/>
  <c r="P431" i="58" s="1"/>
  <c r="P430" i="58"/>
  <c r="O430" i="58"/>
  <c r="O429" i="58"/>
  <c r="P429" i="58" s="1"/>
  <c r="Q429" i="58" s="1"/>
  <c r="N429" i="58"/>
  <c r="J429" i="58"/>
  <c r="O428" i="58"/>
  <c r="P428" i="58" s="1"/>
  <c r="L428" i="58"/>
  <c r="O427" i="58"/>
  <c r="P427" i="58" s="1"/>
  <c r="O426" i="58"/>
  <c r="P426" i="58" s="1"/>
  <c r="Q426" i="58" s="1"/>
  <c r="N426" i="58"/>
  <c r="L426" i="58"/>
  <c r="J426" i="58"/>
  <c r="O424" i="58"/>
  <c r="P424" i="58" s="1"/>
  <c r="O423" i="58"/>
  <c r="P423" i="58" s="1"/>
  <c r="O422" i="58"/>
  <c r="P422" i="58" s="1"/>
  <c r="L422" i="58"/>
  <c r="L417" i="58" s="1"/>
  <c r="O421" i="58"/>
  <c r="P421" i="58" s="1"/>
  <c r="O420" i="58"/>
  <c r="P420" i="58" s="1"/>
  <c r="I420" i="58"/>
  <c r="J420" i="58" s="1"/>
  <c r="J417" i="58" s="1"/>
  <c r="O419" i="58"/>
  <c r="P419" i="58" s="1"/>
  <c r="I419" i="58"/>
  <c r="J419" i="58" s="1"/>
  <c r="O418" i="58"/>
  <c r="P418" i="58" s="1"/>
  <c r="P417" i="58"/>
  <c r="Q417" i="58" s="1"/>
  <c r="O417" i="58"/>
  <c r="O416" i="58"/>
  <c r="P416" i="58" s="1"/>
  <c r="Q416" i="58" s="1"/>
  <c r="R416" i="58" s="1"/>
  <c r="O415" i="58"/>
  <c r="P415" i="58" s="1"/>
  <c r="O414" i="58"/>
  <c r="P414" i="58" s="1"/>
  <c r="L414" i="58"/>
  <c r="L409" i="58" s="1"/>
  <c r="O413" i="58"/>
  <c r="P413" i="58" s="1"/>
  <c r="O412" i="58"/>
  <c r="P412" i="58" s="1"/>
  <c r="J412" i="58"/>
  <c r="I412" i="58"/>
  <c r="O411" i="58"/>
  <c r="P411" i="58" s="1"/>
  <c r="I411" i="58"/>
  <c r="J411" i="58" s="1"/>
  <c r="O410" i="58"/>
  <c r="P410" i="58" s="1"/>
  <c r="P409" i="58"/>
  <c r="Q409" i="58" s="1"/>
  <c r="O409" i="58"/>
  <c r="O408" i="58"/>
  <c r="P408" i="58" s="1"/>
  <c r="O407" i="58"/>
  <c r="P407" i="58" s="1"/>
  <c r="O406" i="58"/>
  <c r="P406" i="58" s="1"/>
  <c r="L406" i="58"/>
  <c r="P405" i="58"/>
  <c r="O405" i="58"/>
  <c r="O404" i="58"/>
  <c r="P404" i="58" s="1"/>
  <c r="I404" i="58"/>
  <c r="J404" i="58" s="1"/>
  <c r="O403" i="58"/>
  <c r="P403" i="58" s="1"/>
  <c r="I403" i="58"/>
  <c r="J403" i="58" s="1"/>
  <c r="O402" i="58"/>
  <c r="P402" i="58" s="1"/>
  <c r="O401" i="58"/>
  <c r="P401" i="58" s="1"/>
  <c r="Q401" i="58" s="1"/>
  <c r="L401" i="58"/>
  <c r="P400" i="58"/>
  <c r="O400" i="58"/>
  <c r="O399" i="58"/>
  <c r="P399" i="58" s="1"/>
  <c r="O398" i="58"/>
  <c r="P398" i="58" s="1"/>
  <c r="P397" i="58"/>
  <c r="O397" i="58"/>
  <c r="O396" i="58"/>
  <c r="P396" i="58" s="1"/>
  <c r="I396" i="58"/>
  <c r="J396" i="58" s="1"/>
  <c r="O395" i="58"/>
  <c r="P395" i="58" s="1"/>
  <c r="I395" i="58"/>
  <c r="J395" i="58" s="1"/>
  <c r="O394" i="58"/>
  <c r="P394" i="58" s="1"/>
  <c r="O393" i="58"/>
  <c r="P393" i="58" s="1"/>
  <c r="Q393" i="58" s="1"/>
  <c r="O392" i="58"/>
  <c r="P392" i="58" s="1"/>
  <c r="P391" i="58"/>
  <c r="O391" i="58"/>
  <c r="O390" i="58"/>
  <c r="P390" i="58" s="1"/>
  <c r="L390" i="58"/>
  <c r="L385" i="58" s="1"/>
  <c r="P389" i="58"/>
  <c r="O389" i="58"/>
  <c r="O388" i="58"/>
  <c r="P388" i="58" s="1"/>
  <c r="I388" i="58"/>
  <c r="J388" i="58" s="1"/>
  <c r="O387" i="58"/>
  <c r="P387" i="58" s="1"/>
  <c r="I387" i="58"/>
  <c r="J387" i="58" s="1"/>
  <c r="O386" i="58"/>
  <c r="P386" i="58" s="1"/>
  <c r="Q385" i="58"/>
  <c r="O385" i="58"/>
  <c r="P385" i="58" s="1"/>
  <c r="O384" i="58"/>
  <c r="P384" i="58" s="1"/>
  <c r="Q384" i="58" s="1"/>
  <c r="R384" i="58" s="1"/>
  <c r="O383" i="58"/>
  <c r="P383" i="58" s="1"/>
  <c r="O382" i="58"/>
  <c r="P382" i="58" s="1"/>
  <c r="L382" i="58"/>
  <c r="L377" i="58" s="1"/>
  <c r="P381" i="58"/>
  <c r="O381" i="58"/>
  <c r="O380" i="58"/>
  <c r="P380" i="58" s="1"/>
  <c r="I380" i="58"/>
  <c r="J380" i="58" s="1"/>
  <c r="O379" i="58"/>
  <c r="P379" i="58" s="1"/>
  <c r="I379" i="58"/>
  <c r="J379" i="58" s="1"/>
  <c r="O378" i="58"/>
  <c r="P378" i="58" s="1"/>
  <c r="O377" i="58"/>
  <c r="P377" i="58" s="1"/>
  <c r="Q377" i="58" s="1"/>
  <c r="P376" i="58"/>
  <c r="O376" i="58"/>
  <c r="N376" i="58"/>
  <c r="N369" i="58" s="1"/>
  <c r="O375" i="58"/>
  <c r="P375" i="58" s="1"/>
  <c r="O374" i="58"/>
  <c r="P374" i="58" s="1"/>
  <c r="O373" i="58"/>
  <c r="P373" i="58" s="1"/>
  <c r="O372" i="58"/>
  <c r="P372" i="58" s="1"/>
  <c r="I372" i="58"/>
  <c r="J372" i="58" s="1"/>
  <c r="O371" i="58"/>
  <c r="P371" i="58" s="1"/>
  <c r="I371" i="58"/>
  <c r="J371" i="58" s="1"/>
  <c r="J369" i="58" s="1"/>
  <c r="P370" i="58"/>
  <c r="O370" i="58"/>
  <c r="O369" i="58"/>
  <c r="P369" i="58" s="1"/>
  <c r="Q369" i="58" s="1"/>
  <c r="O368" i="58"/>
  <c r="P368" i="58" s="1"/>
  <c r="Q368" i="58" s="1"/>
  <c r="R368" i="58" s="1"/>
  <c r="N368" i="58"/>
  <c r="N361" i="58" s="1"/>
  <c r="O367" i="58"/>
  <c r="P367" i="58" s="1"/>
  <c r="P366" i="58"/>
  <c r="O366" i="58"/>
  <c r="L366" i="58"/>
  <c r="L361" i="58" s="1"/>
  <c r="O365" i="58"/>
  <c r="P365" i="58" s="1"/>
  <c r="P364" i="58"/>
  <c r="O364" i="58"/>
  <c r="I364" i="58"/>
  <c r="J364" i="58" s="1"/>
  <c r="O363" i="58"/>
  <c r="P363" i="58" s="1"/>
  <c r="I363" i="58"/>
  <c r="J363" i="58" s="1"/>
  <c r="O362" i="58"/>
  <c r="P362" i="58" s="1"/>
  <c r="P361" i="58"/>
  <c r="Q361" i="58" s="1"/>
  <c r="O361" i="58"/>
  <c r="O360" i="58"/>
  <c r="P360" i="58" s="1"/>
  <c r="N360" i="58"/>
  <c r="N353" i="58" s="1"/>
  <c r="O359" i="58"/>
  <c r="P359" i="58" s="1"/>
  <c r="P358" i="58"/>
  <c r="O358" i="58"/>
  <c r="L358" i="58"/>
  <c r="L353" i="58" s="1"/>
  <c r="O357" i="58"/>
  <c r="P357" i="58" s="1"/>
  <c r="P356" i="58"/>
  <c r="O356" i="58"/>
  <c r="I356" i="58"/>
  <c r="J356" i="58" s="1"/>
  <c r="O355" i="58"/>
  <c r="P355" i="58" s="1"/>
  <c r="J355" i="58"/>
  <c r="I355" i="58"/>
  <c r="O354" i="58"/>
  <c r="P354" i="58" s="1"/>
  <c r="O353" i="58"/>
  <c r="P353" i="58" s="1"/>
  <c r="Q353" i="58" s="1"/>
  <c r="O352" i="58"/>
  <c r="P352" i="58" s="1"/>
  <c r="N352" i="58"/>
  <c r="N345" i="58" s="1"/>
  <c r="O351" i="58"/>
  <c r="P351" i="58" s="1"/>
  <c r="O350" i="58"/>
  <c r="P350" i="58" s="1"/>
  <c r="L350" i="58"/>
  <c r="L345" i="58" s="1"/>
  <c r="O349" i="58"/>
  <c r="P349" i="58" s="1"/>
  <c r="O348" i="58"/>
  <c r="P348" i="58" s="1"/>
  <c r="I348" i="58"/>
  <c r="J348" i="58" s="1"/>
  <c r="O347" i="58"/>
  <c r="P347" i="58" s="1"/>
  <c r="I347" i="58"/>
  <c r="J347" i="58" s="1"/>
  <c r="O346" i="58"/>
  <c r="P346" i="58" s="1"/>
  <c r="O345" i="58"/>
  <c r="P345" i="58" s="1"/>
  <c r="Q345" i="58" s="1"/>
  <c r="O344" i="58"/>
  <c r="P344" i="58" s="1"/>
  <c r="P343" i="58"/>
  <c r="O343" i="58"/>
  <c r="O342" i="58"/>
  <c r="P342" i="58" s="1"/>
  <c r="O341" i="58"/>
  <c r="P341" i="58" s="1"/>
  <c r="O340" i="58"/>
  <c r="P340" i="58" s="1"/>
  <c r="I340" i="58"/>
  <c r="J340" i="58" s="1"/>
  <c r="P339" i="58"/>
  <c r="O339" i="58"/>
  <c r="I339" i="58"/>
  <c r="J339" i="58" s="1"/>
  <c r="O338" i="58"/>
  <c r="P338" i="58" s="1"/>
  <c r="O337" i="58"/>
  <c r="P337" i="58" s="1"/>
  <c r="Q337" i="58" s="1"/>
  <c r="O336" i="58"/>
  <c r="P336" i="58" s="1"/>
  <c r="Q336" i="58" s="1"/>
  <c r="R336" i="58" s="1"/>
  <c r="P335" i="58"/>
  <c r="Q335" i="58" s="1"/>
  <c r="R335" i="58" s="1"/>
  <c r="O335" i="58"/>
  <c r="O334" i="58"/>
  <c r="P334" i="58" s="1"/>
  <c r="O333" i="58"/>
  <c r="P333" i="58" s="1"/>
  <c r="O332" i="58"/>
  <c r="P332" i="58" s="1"/>
  <c r="I332" i="58"/>
  <c r="J332" i="58" s="1"/>
  <c r="O331" i="58"/>
  <c r="P331" i="58" s="1"/>
  <c r="I331" i="58"/>
  <c r="J331" i="58" s="1"/>
  <c r="P330" i="58"/>
  <c r="O330" i="58"/>
  <c r="P329" i="58"/>
  <c r="Q329" i="58" s="1"/>
  <c r="O329" i="58"/>
  <c r="O328" i="58"/>
  <c r="P328" i="58" s="1"/>
  <c r="O327" i="58"/>
  <c r="P327" i="58" s="1"/>
  <c r="O326" i="58"/>
  <c r="P326" i="58" s="1"/>
  <c r="P325" i="58"/>
  <c r="O325" i="58"/>
  <c r="O324" i="58"/>
  <c r="P324" i="58" s="1"/>
  <c r="I324" i="58"/>
  <c r="J324" i="58" s="1"/>
  <c r="O323" i="58"/>
  <c r="P323" i="58" s="1"/>
  <c r="I323" i="58"/>
  <c r="J323" i="58" s="1"/>
  <c r="O322" i="58"/>
  <c r="P322" i="58" s="1"/>
  <c r="O321" i="58"/>
  <c r="P321" i="58" s="1"/>
  <c r="Q321" i="58" s="1"/>
  <c r="Q320" i="58" s="1"/>
  <c r="R320" i="58" s="1"/>
  <c r="O320" i="58"/>
  <c r="P320" i="58" s="1"/>
  <c r="O319" i="58"/>
  <c r="P319" i="58" s="1"/>
  <c r="O318" i="58"/>
  <c r="P318" i="58" s="1"/>
  <c r="I318" i="58"/>
  <c r="J318" i="58" s="1"/>
  <c r="O317" i="58"/>
  <c r="P317" i="58" s="1"/>
  <c r="I317" i="58"/>
  <c r="J317" i="58" s="1"/>
  <c r="O316" i="58"/>
  <c r="P316" i="58" s="1"/>
  <c r="O315" i="58"/>
  <c r="P315" i="58" s="1"/>
  <c r="Q315" i="58" s="1"/>
  <c r="N315" i="58"/>
  <c r="O314" i="58"/>
  <c r="P314" i="58" s="1"/>
  <c r="P313" i="58"/>
  <c r="O313" i="58"/>
  <c r="O312" i="58"/>
  <c r="P312" i="58" s="1"/>
  <c r="I312" i="58"/>
  <c r="J312" i="58" s="1"/>
  <c r="O311" i="58"/>
  <c r="P311" i="58" s="1"/>
  <c r="I311" i="58"/>
  <c r="J311" i="58" s="1"/>
  <c r="O310" i="58"/>
  <c r="P310" i="58" s="1"/>
  <c r="O309" i="58"/>
  <c r="P309" i="58" s="1"/>
  <c r="Q309" i="58" s="1"/>
  <c r="N309" i="58"/>
  <c r="P308" i="58"/>
  <c r="Q308" i="58" s="1"/>
  <c r="R308" i="58" s="1"/>
  <c r="O308" i="58"/>
  <c r="O307" i="58"/>
  <c r="P307" i="58" s="1"/>
  <c r="O306" i="58"/>
  <c r="P306" i="58" s="1"/>
  <c r="I306" i="58"/>
  <c r="J306" i="58" s="1"/>
  <c r="O305" i="58"/>
  <c r="P305" i="58" s="1"/>
  <c r="I305" i="58"/>
  <c r="J305" i="58" s="1"/>
  <c r="J303" i="58" s="1"/>
  <c r="O304" i="58"/>
  <c r="P304" i="58" s="1"/>
  <c r="O303" i="58"/>
  <c r="P303" i="58" s="1"/>
  <c r="Q303" i="58" s="1"/>
  <c r="N303" i="58"/>
  <c r="O302" i="58"/>
  <c r="P302" i="58" s="1"/>
  <c r="O301" i="58"/>
  <c r="P301" i="58" s="1"/>
  <c r="O300" i="58"/>
  <c r="P300" i="58" s="1"/>
  <c r="I300" i="58"/>
  <c r="J300" i="58" s="1"/>
  <c r="O299" i="58"/>
  <c r="P299" i="58" s="1"/>
  <c r="J299" i="58"/>
  <c r="I299" i="58"/>
  <c r="O298" i="58"/>
  <c r="P298" i="58" s="1"/>
  <c r="O297" i="58"/>
  <c r="P297" i="58" s="1"/>
  <c r="Q297" i="58" s="1"/>
  <c r="N297" i="58"/>
  <c r="O296" i="58"/>
  <c r="P296" i="58" s="1"/>
  <c r="O295" i="58"/>
  <c r="P295" i="58" s="1"/>
  <c r="O294" i="58"/>
  <c r="P294" i="58" s="1"/>
  <c r="I294" i="58"/>
  <c r="J294" i="58" s="1"/>
  <c r="O293" i="58"/>
  <c r="P293" i="58" s="1"/>
  <c r="I293" i="58"/>
  <c r="J293" i="58" s="1"/>
  <c r="P292" i="58"/>
  <c r="O292" i="58"/>
  <c r="O291" i="58"/>
  <c r="P291" i="58" s="1"/>
  <c r="Q291" i="58" s="1"/>
  <c r="N291" i="58"/>
  <c r="O290" i="58"/>
  <c r="P290" i="58" s="1"/>
  <c r="L290" i="58"/>
  <c r="L285" i="58" s="1"/>
  <c r="O289" i="58"/>
  <c r="P289" i="58" s="1"/>
  <c r="O288" i="58"/>
  <c r="P288" i="58" s="1"/>
  <c r="I288" i="58"/>
  <c r="J288" i="58" s="1"/>
  <c r="O287" i="58"/>
  <c r="P287" i="58" s="1"/>
  <c r="I287" i="58"/>
  <c r="J287" i="58" s="1"/>
  <c r="J285" i="58" s="1"/>
  <c r="O286" i="58"/>
  <c r="P286" i="58" s="1"/>
  <c r="O285" i="58"/>
  <c r="P285" i="58" s="1"/>
  <c r="Q285" i="58" s="1"/>
  <c r="N285" i="58"/>
  <c r="O284" i="58"/>
  <c r="P284" i="58" s="1"/>
  <c r="O283" i="58"/>
  <c r="P283" i="58" s="1"/>
  <c r="P282" i="58"/>
  <c r="O282" i="58"/>
  <c r="I282" i="58"/>
  <c r="J282" i="58" s="1"/>
  <c r="O281" i="58"/>
  <c r="P281" i="58" s="1"/>
  <c r="I281" i="58"/>
  <c r="J281" i="58" s="1"/>
  <c r="O280" i="58"/>
  <c r="P280" i="58" s="1"/>
  <c r="O279" i="58"/>
  <c r="P279" i="58" s="1"/>
  <c r="Q279" i="58" s="1"/>
  <c r="N279" i="58"/>
  <c r="O278" i="58"/>
  <c r="P278" i="58" s="1"/>
  <c r="P277" i="58"/>
  <c r="O277" i="58"/>
  <c r="I277" i="58"/>
  <c r="J277" i="58" s="1"/>
  <c r="P276" i="58"/>
  <c r="O276" i="58"/>
  <c r="I276" i="58"/>
  <c r="J276" i="58" s="1"/>
  <c r="O275" i="58"/>
  <c r="P275" i="58" s="1"/>
  <c r="O274" i="58"/>
  <c r="P274" i="58" s="1"/>
  <c r="Q274" i="58" s="1"/>
  <c r="N274" i="58"/>
  <c r="O273" i="58"/>
  <c r="P273" i="58" s="1"/>
  <c r="L273" i="58"/>
  <c r="L267" i="58" s="1"/>
  <c r="O272" i="58"/>
  <c r="P272" i="58" s="1"/>
  <c r="O271" i="58"/>
  <c r="P271" i="58" s="1"/>
  <c r="J271" i="58"/>
  <c r="I271" i="58"/>
  <c r="O270" i="58"/>
  <c r="P270" i="58" s="1"/>
  <c r="I270" i="58"/>
  <c r="J270" i="58" s="1"/>
  <c r="O269" i="58"/>
  <c r="P269" i="58" s="1"/>
  <c r="I269" i="58"/>
  <c r="J269" i="58" s="1"/>
  <c r="P268" i="58"/>
  <c r="O268" i="58"/>
  <c r="O267" i="58"/>
  <c r="P267" i="58" s="1"/>
  <c r="Q267" i="58" s="1"/>
  <c r="N267" i="58"/>
  <c r="O266" i="58"/>
  <c r="P266" i="58" s="1"/>
  <c r="Q266" i="58" s="1"/>
  <c r="R266" i="58" s="1"/>
  <c r="O265" i="58"/>
  <c r="P265" i="58" s="1"/>
  <c r="O264" i="58"/>
  <c r="P264" i="58" s="1"/>
  <c r="I264" i="58"/>
  <c r="J264" i="58" s="1"/>
  <c r="O263" i="58"/>
  <c r="P263" i="58" s="1"/>
  <c r="J263" i="58"/>
  <c r="I263" i="58"/>
  <c r="O262" i="58"/>
  <c r="P262" i="58" s="1"/>
  <c r="I262" i="58"/>
  <c r="J262" i="58" s="1"/>
  <c r="O261" i="58"/>
  <c r="P261" i="58" s="1"/>
  <c r="O260" i="58"/>
  <c r="P260" i="58" s="1"/>
  <c r="Q260" i="58" s="1"/>
  <c r="N260" i="58"/>
  <c r="O259" i="58"/>
  <c r="P259" i="58" s="1"/>
  <c r="L259" i="58"/>
  <c r="L253" i="58" s="1"/>
  <c r="O258" i="58"/>
  <c r="P258" i="58" s="1"/>
  <c r="O257" i="58"/>
  <c r="P257" i="58" s="1"/>
  <c r="I257" i="58"/>
  <c r="J257" i="58" s="1"/>
  <c r="O256" i="58"/>
  <c r="P256" i="58" s="1"/>
  <c r="I256" i="58"/>
  <c r="J256" i="58" s="1"/>
  <c r="O255" i="58"/>
  <c r="P255" i="58" s="1"/>
  <c r="I255" i="58"/>
  <c r="J255" i="58" s="1"/>
  <c r="O254" i="58"/>
  <c r="P254" i="58" s="1"/>
  <c r="O253" i="58"/>
  <c r="P253" i="58" s="1"/>
  <c r="Q253" i="58" s="1"/>
  <c r="N253" i="58"/>
  <c r="P251" i="58"/>
  <c r="Q251" i="58" s="1"/>
  <c r="R251" i="58" s="1"/>
  <c r="O251" i="58"/>
  <c r="L251" i="58"/>
  <c r="L249" i="58" s="1"/>
  <c r="O250" i="58"/>
  <c r="P250" i="58" s="1"/>
  <c r="O249" i="58"/>
  <c r="P249" i="58" s="1"/>
  <c r="Q249" i="58" s="1"/>
  <c r="N249" i="58"/>
  <c r="J249" i="58"/>
  <c r="P248" i="58"/>
  <c r="Q248" i="58" s="1"/>
  <c r="O248" i="58"/>
  <c r="O247" i="58"/>
  <c r="P247" i="58" s="1"/>
  <c r="O246" i="58"/>
  <c r="P246" i="58" s="1"/>
  <c r="Q246" i="58" s="1"/>
  <c r="N246" i="58"/>
  <c r="J246" i="58"/>
  <c r="O245" i="58"/>
  <c r="P245" i="58" s="1"/>
  <c r="Q245" i="58" s="1"/>
  <c r="R245" i="58" s="1"/>
  <c r="O244" i="58"/>
  <c r="P244" i="58" s="1"/>
  <c r="O243" i="58"/>
  <c r="P243" i="58" s="1"/>
  <c r="Q243" i="58" s="1"/>
  <c r="N243" i="58"/>
  <c r="J243" i="58"/>
  <c r="O242" i="58"/>
  <c r="P242" i="58" s="1"/>
  <c r="O241" i="58"/>
  <c r="P241" i="58" s="1"/>
  <c r="O240" i="58"/>
  <c r="P240" i="58" s="1"/>
  <c r="Q240" i="58" s="1"/>
  <c r="N240" i="58"/>
  <c r="J240" i="58"/>
  <c r="O239" i="58"/>
  <c r="P239" i="58" s="1"/>
  <c r="Q239" i="58" s="1"/>
  <c r="P238" i="58"/>
  <c r="O238" i="58"/>
  <c r="O237" i="58"/>
  <c r="P237" i="58" s="1"/>
  <c r="Q237" i="58" s="1"/>
  <c r="N237" i="58"/>
  <c r="J237" i="58"/>
  <c r="O236" i="58"/>
  <c r="P236" i="58" s="1"/>
  <c r="Q236" i="58" s="1"/>
  <c r="R236" i="58" s="1"/>
  <c r="O235" i="58"/>
  <c r="P235" i="58" s="1"/>
  <c r="Q235" i="58" s="1"/>
  <c r="R235" i="58" s="1"/>
  <c r="O234" i="58"/>
  <c r="P234" i="58" s="1"/>
  <c r="Q234" i="58" s="1"/>
  <c r="R234" i="58" s="1"/>
  <c r="N234" i="58"/>
  <c r="J234" i="58"/>
  <c r="O233" i="58"/>
  <c r="P233" i="58" s="1"/>
  <c r="L233" i="58"/>
  <c r="L231" i="58" s="1"/>
  <c r="P232" i="58"/>
  <c r="O232" i="58"/>
  <c r="O231" i="58"/>
  <c r="P231" i="58" s="1"/>
  <c r="Q231" i="58" s="1"/>
  <c r="N231" i="58"/>
  <c r="J231" i="58"/>
  <c r="O230" i="58"/>
  <c r="P230" i="58" s="1"/>
  <c r="Q230" i="58" s="1"/>
  <c r="R230" i="58" s="1"/>
  <c r="L230" i="58"/>
  <c r="O229" i="58"/>
  <c r="P229" i="58" s="1"/>
  <c r="O228" i="58"/>
  <c r="P228" i="58" s="1"/>
  <c r="Q228" i="58" s="1"/>
  <c r="N228" i="58"/>
  <c r="L228" i="58"/>
  <c r="J228" i="58"/>
  <c r="O227" i="58"/>
  <c r="P227" i="58" s="1"/>
  <c r="Q227" i="58" s="1"/>
  <c r="R227" i="58" s="1"/>
  <c r="L227" i="58"/>
  <c r="L225" i="58" s="1"/>
  <c r="O226" i="58"/>
  <c r="P226" i="58" s="1"/>
  <c r="O225" i="58"/>
  <c r="P225" i="58" s="1"/>
  <c r="Q225" i="58" s="1"/>
  <c r="N225" i="58"/>
  <c r="J225" i="58"/>
  <c r="P224" i="58"/>
  <c r="Q224" i="58" s="1"/>
  <c r="R224" i="58" s="1"/>
  <c r="O224" i="58"/>
  <c r="L224" i="58"/>
  <c r="L222" i="58" s="1"/>
  <c r="O223" i="58"/>
  <c r="P223" i="58" s="1"/>
  <c r="O222" i="58"/>
  <c r="P222" i="58" s="1"/>
  <c r="Q222" i="58" s="1"/>
  <c r="N222" i="58"/>
  <c r="J222" i="58"/>
  <c r="O221" i="58"/>
  <c r="P221" i="58" s="1"/>
  <c r="L221" i="58"/>
  <c r="L219" i="58" s="1"/>
  <c r="O220" i="58"/>
  <c r="P220" i="58" s="1"/>
  <c r="O219" i="58"/>
  <c r="P219" i="58" s="1"/>
  <c r="Q219" i="58" s="1"/>
  <c r="N219" i="58"/>
  <c r="J219" i="58"/>
  <c r="O218" i="58"/>
  <c r="P218" i="58" s="1"/>
  <c r="O217" i="58"/>
  <c r="P217" i="58" s="1"/>
  <c r="O216" i="58"/>
  <c r="P216" i="58" s="1"/>
  <c r="Q216" i="58" s="1"/>
  <c r="N216" i="58"/>
  <c r="J216" i="58"/>
  <c r="O214" i="58"/>
  <c r="P214" i="58" s="1"/>
  <c r="Q214" i="58" s="1"/>
  <c r="R214" i="58" s="1"/>
  <c r="O213" i="58"/>
  <c r="P213" i="58" s="1"/>
  <c r="P212" i="58"/>
  <c r="O212" i="58"/>
  <c r="O211" i="58"/>
  <c r="P211" i="58" s="1"/>
  <c r="O210" i="58"/>
  <c r="P210" i="58" s="1"/>
  <c r="Q210" i="58" s="1"/>
  <c r="J210" i="58"/>
  <c r="P209" i="58"/>
  <c r="O209" i="58"/>
  <c r="O208" i="58"/>
  <c r="P208" i="58" s="1"/>
  <c r="O207" i="58"/>
  <c r="P207" i="58" s="1"/>
  <c r="L207" i="58"/>
  <c r="L205" i="58" s="1"/>
  <c r="P206" i="58"/>
  <c r="O206" i="58"/>
  <c r="O205" i="58"/>
  <c r="P205" i="58" s="1"/>
  <c r="Q205" i="58" s="1"/>
  <c r="J205" i="58"/>
  <c r="O204" i="58"/>
  <c r="P204" i="58" s="1"/>
  <c r="Q204" i="58" s="1"/>
  <c r="O203" i="58"/>
  <c r="P203" i="58" s="1"/>
  <c r="O202" i="58"/>
  <c r="P202" i="58" s="1"/>
  <c r="O201" i="58"/>
  <c r="P201" i="58" s="1"/>
  <c r="P200" i="58"/>
  <c r="Q200" i="58" s="1"/>
  <c r="O200" i="58"/>
  <c r="J200" i="58"/>
  <c r="O199" i="58"/>
  <c r="P199" i="58" s="1"/>
  <c r="O198" i="58"/>
  <c r="P198" i="58" s="1"/>
  <c r="P197" i="58"/>
  <c r="O197" i="58"/>
  <c r="O196" i="58"/>
  <c r="P196" i="58" s="1"/>
  <c r="O195" i="58"/>
  <c r="P195" i="58" s="1"/>
  <c r="Q195" i="58" s="1"/>
  <c r="L195" i="58"/>
  <c r="J195" i="58"/>
  <c r="O193" i="58"/>
  <c r="P193" i="58" s="1"/>
  <c r="O192" i="58"/>
  <c r="P192" i="58" s="1"/>
  <c r="P191" i="58"/>
  <c r="O191" i="58"/>
  <c r="O190" i="58"/>
  <c r="P190" i="58" s="1"/>
  <c r="P189" i="58"/>
  <c r="Q189" i="58" s="1"/>
  <c r="O189" i="58"/>
  <c r="J189" i="58"/>
  <c r="O188" i="58"/>
  <c r="P188" i="58" s="1"/>
  <c r="O187" i="58"/>
  <c r="P187" i="58" s="1"/>
  <c r="O186" i="58"/>
  <c r="P186" i="58" s="1"/>
  <c r="O185" i="58"/>
  <c r="P185" i="58" s="1"/>
  <c r="P184" i="58"/>
  <c r="Q184" i="58" s="1"/>
  <c r="O184" i="58"/>
  <c r="J184" i="58"/>
  <c r="O183" i="58"/>
  <c r="P183" i="58" s="1"/>
  <c r="O182" i="58"/>
  <c r="P182" i="58" s="1"/>
  <c r="O181" i="58"/>
  <c r="P181" i="58" s="1"/>
  <c r="L181" i="58"/>
  <c r="L179" i="58" s="1"/>
  <c r="O180" i="58"/>
  <c r="P180" i="58" s="1"/>
  <c r="O179" i="58"/>
  <c r="P179" i="58" s="1"/>
  <c r="Q179" i="58" s="1"/>
  <c r="J179" i="58"/>
  <c r="P178" i="58"/>
  <c r="O178" i="58"/>
  <c r="O177" i="58"/>
  <c r="P177" i="58" s="1"/>
  <c r="O176" i="58"/>
  <c r="P176" i="58" s="1"/>
  <c r="P175" i="58"/>
  <c r="O175" i="58"/>
  <c r="O174" i="58"/>
  <c r="P174" i="58" s="1"/>
  <c r="Q174" i="58" s="1"/>
  <c r="L174" i="58"/>
  <c r="J174" i="58"/>
  <c r="O172" i="58"/>
  <c r="P172" i="58" s="1"/>
  <c r="Q172" i="58" s="1"/>
  <c r="O171" i="58"/>
  <c r="P171" i="58" s="1"/>
  <c r="O170" i="58"/>
  <c r="P170" i="58" s="1"/>
  <c r="Q170" i="58" s="1"/>
  <c r="N170" i="58"/>
  <c r="J170" i="58"/>
  <c r="O169" i="58"/>
  <c r="P169" i="58" s="1"/>
  <c r="O168" i="58"/>
  <c r="P168" i="58" s="1"/>
  <c r="O167" i="58"/>
  <c r="P167" i="58" s="1"/>
  <c r="Q167" i="58" s="1"/>
  <c r="N167" i="58"/>
  <c r="J167" i="58"/>
  <c r="O166" i="58"/>
  <c r="P166" i="58" s="1"/>
  <c r="L166" i="58"/>
  <c r="L164" i="58" s="1"/>
  <c r="P165" i="58"/>
  <c r="O165" i="58"/>
  <c r="O164" i="58"/>
  <c r="P164" i="58" s="1"/>
  <c r="Q164" i="58" s="1"/>
  <c r="N164" i="58"/>
  <c r="J164" i="58"/>
  <c r="P163" i="58"/>
  <c r="O163" i="58"/>
  <c r="L163" i="58"/>
  <c r="L161" i="58" s="1"/>
  <c r="O162" i="58"/>
  <c r="P162" i="58" s="1"/>
  <c r="O161" i="58"/>
  <c r="P161" i="58" s="1"/>
  <c r="Q161" i="58" s="1"/>
  <c r="N161" i="58"/>
  <c r="J161" i="58"/>
  <c r="O160" i="58"/>
  <c r="P160" i="58" s="1"/>
  <c r="Q160" i="58" s="1"/>
  <c r="R160" i="58" s="1"/>
  <c r="L160" i="58"/>
  <c r="L158" i="58" s="1"/>
  <c r="O159" i="58"/>
  <c r="P159" i="58" s="1"/>
  <c r="O158" i="58"/>
  <c r="P158" i="58" s="1"/>
  <c r="Q158" i="58" s="1"/>
  <c r="N158" i="58"/>
  <c r="J158" i="58"/>
  <c r="O157" i="58"/>
  <c r="P157" i="58" s="1"/>
  <c r="L157" i="58"/>
  <c r="L155" i="58" s="1"/>
  <c r="P156" i="58"/>
  <c r="O156" i="58"/>
  <c r="O155" i="58"/>
  <c r="P155" i="58" s="1"/>
  <c r="Q155" i="58" s="1"/>
  <c r="N155" i="58"/>
  <c r="J155" i="58"/>
  <c r="O154" i="58"/>
  <c r="P154" i="58" s="1"/>
  <c r="L154" i="58"/>
  <c r="O153" i="58"/>
  <c r="P153" i="58" s="1"/>
  <c r="O152" i="58"/>
  <c r="P152" i="58" s="1"/>
  <c r="Q152" i="58" s="1"/>
  <c r="N152" i="58"/>
  <c r="L152" i="58"/>
  <c r="J152" i="58"/>
  <c r="O151" i="58"/>
  <c r="P151" i="58" s="1"/>
  <c r="P150" i="58"/>
  <c r="O150" i="58"/>
  <c r="P149" i="58"/>
  <c r="Q149" i="58" s="1"/>
  <c r="O149" i="58"/>
  <c r="N149" i="58"/>
  <c r="J149" i="58"/>
  <c r="P148" i="58"/>
  <c r="O148" i="58"/>
  <c r="O147" i="58"/>
  <c r="P147" i="58" s="1"/>
  <c r="O146" i="58"/>
  <c r="P146" i="58" s="1"/>
  <c r="Q146" i="58" s="1"/>
  <c r="N146" i="58"/>
  <c r="J146" i="58"/>
  <c r="O145" i="58"/>
  <c r="P145" i="58" s="1"/>
  <c r="L145" i="58"/>
  <c r="L143" i="58" s="1"/>
  <c r="O144" i="58"/>
  <c r="P144" i="58" s="1"/>
  <c r="P143" i="58"/>
  <c r="Q143" i="58" s="1"/>
  <c r="O143" i="58"/>
  <c r="N143" i="58"/>
  <c r="J143" i="58"/>
  <c r="P142" i="58"/>
  <c r="O142" i="58"/>
  <c r="O141" i="58"/>
  <c r="P141" i="58" s="1"/>
  <c r="O140" i="58"/>
  <c r="P140" i="58" s="1"/>
  <c r="Q140" i="58" s="1"/>
  <c r="N140" i="58"/>
  <c r="J140" i="58"/>
  <c r="O139" i="58"/>
  <c r="P139" i="58" s="1"/>
  <c r="L139" i="58"/>
  <c r="L137" i="58" s="1"/>
  <c r="O138" i="58"/>
  <c r="P138" i="58" s="1"/>
  <c r="O137" i="58"/>
  <c r="P137" i="58" s="1"/>
  <c r="Q137" i="58" s="1"/>
  <c r="N137" i="58"/>
  <c r="J137" i="58"/>
  <c r="O136" i="58"/>
  <c r="P136" i="58" s="1"/>
  <c r="O135" i="58"/>
  <c r="P135" i="58" s="1"/>
  <c r="O134" i="58"/>
  <c r="P134" i="58" s="1"/>
  <c r="Q134" i="58" s="1"/>
  <c r="N134" i="58"/>
  <c r="J134" i="58"/>
  <c r="O133" i="58"/>
  <c r="P133" i="58" s="1"/>
  <c r="L133" i="58"/>
  <c r="L131" i="58" s="1"/>
  <c r="P132" i="58"/>
  <c r="O132" i="58"/>
  <c r="O131" i="58"/>
  <c r="P131" i="58" s="1"/>
  <c r="Q131" i="58" s="1"/>
  <c r="N131" i="58"/>
  <c r="J131" i="58"/>
  <c r="O130" i="58"/>
  <c r="P130" i="58" s="1"/>
  <c r="O129" i="58"/>
  <c r="P129" i="58" s="1"/>
  <c r="O128" i="58"/>
  <c r="P128" i="58" s="1"/>
  <c r="Q128" i="58" s="1"/>
  <c r="N128" i="58"/>
  <c r="J128" i="58"/>
  <c r="O127" i="58"/>
  <c r="P127" i="58" s="1"/>
  <c r="Q127" i="58" s="1"/>
  <c r="R127" i="58" s="1"/>
  <c r="O126" i="58"/>
  <c r="P126" i="58" s="1"/>
  <c r="O125" i="58"/>
  <c r="P125" i="58" s="1"/>
  <c r="Q125" i="58" s="1"/>
  <c r="N125" i="58"/>
  <c r="J125" i="58"/>
  <c r="O124" i="58"/>
  <c r="P124" i="58" s="1"/>
  <c r="P123" i="58"/>
  <c r="O123" i="58"/>
  <c r="O122" i="58"/>
  <c r="P122" i="58" s="1"/>
  <c r="Q122" i="58" s="1"/>
  <c r="N122" i="58"/>
  <c r="J122" i="58"/>
  <c r="O121" i="58"/>
  <c r="P121" i="58" s="1"/>
  <c r="O120" i="58"/>
  <c r="P120" i="58" s="1"/>
  <c r="O119" i="58"/>
  <c r="P119" i="58" s="1"/>
  <c r="Q119" i="58" s="1"/>
  <c r="N119" i="58"/>
  <c r="J119" i="58"/>
  <c r="O118" i="58"/>
  <c r="P118" i="58" s="1"/>
  <c r="O117" i="58"/>
  <c r="P117" i="58" s="1"/>
  <c r="O116" i="58"/>
  <c r="P116" i="58" s="1"/>
  <c r="Q116" i="58" s="1"/>
  <c r="N116" i="58"/>
  <c r="J116" i="58"/>
  <c r="P115" i="58"/>
  <c r="O115" i="58"/>
  <c r="L115" i="58"/>
  <c r="L113" i="58" s="1"/>
  <c r="O114" i="58"/>
  <c r="P114" i="58" s="1"/>
  <c r="O113" i="58"/>
  <c r="P113" i="58" s="1"/>
  <c r="Q113" i="58" s="1"/>
  <c r="N113" i="58"/>
  <c r="J113" i="58"/>
  <c r="O112" i="58"/>
  <c r="P112" i="58" s="1"/>
  <c r="L112" i="58"/>
  <c r="O111" i="58"/>
  <c r="P111" i="58" s="1"/>
  <c r="O110" i="58"/>
  <c r="P110" i="58" s="1"/>
  <c r="Q110" i="58" s="1"/>
  <c r="N110" i="58"/>
  <c r="L110" i="58"/>
  <c r="J110" i="58"/>
  <c r="R109" i="58"/>
  <c r="P109" i="58"/>
  <c r="Q109" i="58" s="1"/>
  <c r="O109" i="58"/>
  <c r="L109" i="58"/>
  <c r="L107" i="58" s="1"/>
  <c r="P108" i="58"/>
  <c r="O108" i="58"/>
  <c r="O107" i="58"/>
  <c r="P107" i="58" s="1"/>
  <c r="Q107" i="58" s="1"/>
  <c r="N107" i="58"/>
  <c r="J107" i="58"/>
  <c r="O106" i="58"/>
  <c r="P106" i="58" s="1"/>
  <c r="L106" i="58"/>
  <c r="O105" i="58"/>
  <c r="P105" i="58" s="1"/>
  <c r="O104" i="58"/>
  <c r="P104" i="58" s="1"/>
  <c r="Q104" i="58" s="1"/>
  <c r="N104" i="58"/>
  <c r="L104" i="58"/>
  <c r="J104" i="58"/>
  <c r="O103" i="58"/>
  <c r="P103" i="58" s="1"/>
  <c r="Q103" i="58" s="1"/>
  <c r="R103" i="58" s="1"/>
  <c r="O102" i="58"/>
  <c r="P102" i="58" s="1"/>
  <c r="Q102" i="58" s="1"/>
  <c r="R102" i="58" s="1"/>
  <c r="P101" i="58"/>
  <c r="Q101" i="58" s="1"/>
  <c r="R101" i="58" s="1"/>
  <c r="O101" i="58"/>
  <c r="N101" i="58"/>
  <c r="J101" i="58"/>
  <c r="O100" i="58"/>
  <c r="P100" i="58" s="1"/>
  <c r="L100" i="58"/>
  <c r="L98" i="58" s="1"/>
  <c r="P99" i="58"/>
  <c r="O99" i="58"/>
  <c r="O98" i="58"/>
  <c r="P98" i="58" s="1"/>
  <c r="Q98" i="58" s="1"/>
  <c r="N98" i="58"/>
  <c r="J98" i="58"/>
  <c r="O97" i="58"/>
  <c r="P97" i="58" s="1"/>
  <c r="L97" i="58"/>
  <c r="L95" i="58" s="1"/>
  <c r="O96" i="58"/>
  <c r="P96" i="58" s="1"/>
  <c r="O95" i="58"/>
  <c r="P95" i="58" s="1"/>
  <c r="Q95" i="58" s="1"/>
  <c r="N95" i="58"/>
  <c r="J95" i="58"/>
  <c r="O94" i="58"/>
  <c r="P94" i="58" s="1"/>
  <c r="O93" i="58"/>
  <c r="P93" i="58" s="1"/>
  <c r="O92" i="58"/>
  <c r="P92" i="58" s="1"/>
  <c r="Q92" i="58" s="1"/>
  <c r="N92" i="58"/>
  <c r="J92" i="58"/>
  <c r="O91" i="58"/>
  <c r="P91" i="58" s="1"/>
  <c r="Q91" i="58" s="1"/>
  <c r="R91" i="58" s="1"/>
  <c r="O90" i="58"/>
  <c r="P90" i="58" s="1"/>
  <c r="O89" i="58"/>
  <c r="P89" i="58" s="1"/>
  <c r="Q89" i="58" s="1"/>
  <c r="N89" i="58"/>
  <c r="J89" i="58"/>
  <c r="O88" i="58"/>
  <c r="P88" i="58" s="1"/>
  <c r="O87" i="58"/>
  <c r="P87" i="58" s="1"/>
  <c r="O86" i="58"/>
  <c r="P86" i="58" s="1"/>
  <c r="Q86" i="58" s="1"/>
  <c r="N86" i="58"/>
  <c r="J86" i="58"/>
  <c r="O85" i="58"/>
  <c r="P85" i="58" s="1"/>
  <c r="O84" i="58"/>
  <c r="P84" i="58" s="1"/>
  <c r="O83" i="58"/>
  <c r="P83" i="58" s="1"/>
  <c r="Q83" i="58" s="1"/>
  <c r="N83" i="58"/>
  <c r="J83" i="58"/>
  <c r="O82" i="58"/>
  <c r="P82" i="58" s="1"/>
  <c r="O81" i="58"/>
  <c r="P81" i="58" s="1"/>
  <c r="P80" i="58"/>
  <c r="Q80" i="58" s="1"/>
  <c r="O80" i="58"/>
  <c r="N80" i="58"/>
  <c r="J80" i="58"/>
  <c r="O79" i="58"/>
  <c r="P79" i="58" s="1"/>
  <c r="P78" i="58"/>
  <c r="O78" i="58"/>
  <c r="O77" i="58"/>
  <c r="P77" i="58" s="1"/>
  <c r="Q77" i="58" s="1"/>
  <c r="N77" i="58"/>
  <c r="J77" i="58"/>
  <c r="O76" i="58"/>
  <c r="P76" i="58" s="1"/>
  <c r="Q76" i="58" s="1"/>
  <c r="O75" i="58"/>
  <c r="P75" i="58" s="1"/>
  <c r="O74" i="58"/>
  <c r="P74" i="58" s="1"/>
  <c r="Q74" i="58" s="1"/>
  <c r="N74" i="58"/>
  <c r="J74" i="58"/>
  <c r="P73" i="58"/>
  <c r="O73" i="58"/>
  <c r="O72" i="58"/>
  <c r="P72" i="58" s="1"/>
  <c r="O71" i="58"/>
  <c r="P71" i="58" s="1"/>
  <c r="Q71" i="58" s="1"/>
  <c r="N71" i="58"/>
  <c r="J71" i="58"/>
  <c r="O70" i="58"/>
  <c r="P70" i="58" s="1"/>
  <c r="Q70" i="58" s="1"/>
  <c r="R70" i="58" s="1"/>
  <c r="O69" i="58"/>
  <c r="P69" i="58" s="1"/>
  <c r="O68" i="58"/>
  <c r="P68" i="58" s="1"/>
  <c r="Q68" i="58" s="1"/>
  <c r="N68" i="58"/>
  <c r="L68" i="58"/>
  <c r="J68" i="58"/>
  <c r="P67" i="58"/>
  <c r="O67" i="58"/>
  <c r="L67" i="58"/>
  <c r="L65" i="58" s="1"/>
  <c r="O66" i="58"/>
  <c r="P66" i="58" s="1"/>
  <c r="O65" i="58"/>
  <c r="P65" i="58" s="1"/>
  <c r="Q65" i="58" s="1"/>
  <c r="N65" i="58"/>
  <c r="J65" i="58"/>
  <c r="O64" i="58"/>
  <c r="P64" i="58" s="1"/>
  <c r="Q64" i="58" s="1"/>
  <c r="R64" i="58" s="1"/>
  <c r="L64" i="58"/>
  <c r="L62" i="58" s="1"/>
  <c r="O63" i="58"/>
  <c r="P63" i="58" s="1"/>
  <c r="Q63" i="58" s="1"/>
  <c r="R63" i="58" s="1"/>
  <c r="O62" i="58"/>
  <c r="P62" i="58" s="1"/>
  <c r="Q62" i="58" s="1"/>
  <c r="R62" i="58" s="1"/>
  <c r="N62" i="58"/>
  <c r="J62" i="58"/>
  <c r="P61" i="58"/>
  <c r="O61" i="58"/>
  <c r="L61" i="58"/>
  <c r="L59" i="58" s="1"/>
  <c r="O60" i="58"/>
  <c r="P60" i="58" s="1"/>
  <c r="O59" i="58"/>
  <c r="P59" i="58" s="1"/>
  <c r="Q59" i="58" s="1"/>
  <c r="N59" i="58"/>
  <c r="J59" i="58"/>
  <c r="O58" i="58"/>
  <c r="P58" i="58" s="1"/>
  <c r="L58" i="58"/>
  <c r="L56" i="58" s="1"/>
  <c r="P57" i="58"/>
  <c r="O57" i="58"/>
  <c r="O56" i="58"/>
  <c r="P56" i="58" s="1"/>
  <c r="Q56" i="58" s="1"/>
  <c r="N56" i="58"/>
  <c r="J56" i="58"/>
  <c r="O55" i="58"/>
  <c r="P55" i="58" s="1"/>
  <c r="O54" i="58"/>
  <c r="P54" i="58" s="1"/>
  <c r="P53" i="58"/>
  <c r="Q53" i="58" s="1"/>
  <c r="O53" i="58"/>
  <c r="N53" i="58"/>
  <c r="J53" i="58"/>
  <c r="O52" i="58"/>
  <c r="P52" i="58" s="1"/>
  <c r="L52" i="58"/>
  <c r="L50" i="58" s="1"/>
  <c r="P51" i="58"/>
  <c r="O51" i="58"/>
  <c r="O50" i="58"/>
  <c r="P50" i="58" s="1"/>
  <c r="Q50" i="58" s="1"/>
  <c r="N50" i="58"/>
  <c r="J50" i="58"/>
  <c r="O49" i="58"/>
  <c r="P49" i="58" s="1"/>
  <c r="L49" i="58"/>
  <c r="L47" i="58" s="1"/>
  <c r="O48" i="58"/>
  <c r="P48" i="58" s="1"/>
  <c r="Q47" i="58"/>
  <c r="P47" i="58"/>
  <c r="O47" i="58"/>
  <c r="N47" i="58"/>
  <c r="J47" i="58"/>
  <c r="O46" i="58"/>
  <c r="P46" i="58" s="1"/>
  <c r="P45" i="58"/>
  <c r="O45" i="58"/>
  <c r="O44" i="58"/>
  <c r="P44" i="58" s="1"/>
  <c r="Q44" i="58" s="1"/>
  <c r="N44" i="58"/>
  <c r="J44" i="58"/>
  <c r="O43" i="58"/>
  <c r="P43" i="58" s="1"/>
  <c r="O42" i="58"/>
  <c r="P42" i="58" s="1"/>
  <c r="O41" i="58"/>
  <c r="P41" i="58" s="1"/>
  <c r="Q41" i="58" s="1"/>
  <c r="N41" i="58"/>
  <c r="J41" i="58"/>
  <c r="O40" i="58"/>
  <c r="P40" i="58" s="1"/>
  <c r="O39" i="58"/>
  <c r="P39" i="58" s="1"/>
  <c r="O38" i="58"/>
  <c r="P38" i="58" s="1"/>
  <c r="Q38" i="58" s="1"/>
  <c r="N38" i="58"/>
  <c r="J38" i="58"/>
  <c r="O37" i="58"/>
  <c r="P37" i="58" s="1"/>
  <c r="L37" i="58"/>
  <c r="L35" i="58" s="1"/>
  <c r="O36" i="58"/>
  <c r="P36" i="58" s="1"/>
  <c r="O35" i="58"/>
  <c r="P35" i="58" s="1"/>
  <c r="Q35" i="58" s="1"/>
  <c r="N35" i="58"/>
  <c r="J35" i="58"/>
  <c r="O34" i="58"/>
  <c r="P34" i="58" s="1"/>
  <c r="Q34" i="58" s="1"/>
  <c r="R34" i="58" s="1"/>
  <c r="O33" i="58"/>
  <c r="P33" i="58" s="1"/>
  <c r="O32" i="58"/>
  <c r="P32" i="58" s="1"/>
  <c r="Q32" i="58" s="1"/>
  <c r="N32" i="58"/>
  <c r="J32" i="58"/>
  <c r="O31" i="58"/>
  <c r="P31" i="58" s="1"/>
  <c r="L31" i="58"/>
  <c r="L29" i="58" s="1"/>
  <c r="P30" i="58"/>
  <c r="O30" i="58"/>
  <c r="O29" i="58"/>
  <c r="P29" i="58" s="1"/>
  <c r="Q29" i="58" s="1"/>
  <c r="N29" i="58"/>
  <c r="J29" i="58"/>
  <c r="O28" i="58"/>
  <c r="P28" i="58" s="1"/>
  <c r="Q28" i="58" s="1"/>
  <c r="P27" i="58"/>
  <c r="O27" i="58"/>
  <c r="P26" i="58"/>
  <c r="Q26" i="58" s="1"/>
  <c r="O26" i="58"/>
  <c r="N26" i="58"/>
  <c r="J26" i="58"/>
  <c r="O25" i="58"/>
  <c r="P25" i="58" s="1"/>
  <c r="O24" i="58"/>
  <c r="P24" i="58" s="1"/>
  <c r="O23" i="58"/>
  <c r="P23" i="58" s="1"/>
  <c r="Q23" i="58" s="1"/>
  <c r="N23" i="58"/>
  <c r="J23" i="58"/>
  <c r="O22" i="58"/>
  <c r="P22" i="58" s="1"/>
  <c r="O21" i="58"/>
  <c r="P21" i="58" s="1"/>
  <c r="O20" i="58"/>
  <c r="P20" i="58" s="1"/>
  <c r="Q20" i="58" s="1"/>
  <c r="N20" i="58"/>
  <c r="J20" i="58"/>
  <c r="O19" i="58"/>
  <c r="P19" i="58" s="1"/>
  <c r="L19" i="58"/>
  <c r="L17" i="58" s="1"/>
  <c r="O18" i="58"/>
  <c r="P18" i="58" s="1"/>
  <c r="O17" i="58"/>
  <c r="P17" i="58" s="1"/>
  <c r="Q17" i="58" s="1"/>
  <c r="N17" i="58"/>
  <c r="J17" i="58"/>
  <c r="O16" i="58"/>
  <c r="P16" i="58" s="1"/>
  <c r="L16" i="58"/>
  <c r="O15" i="58"/>
  <c r="P15" i="58" s="1"/>
  <c r="O14" i="58"/>
  <c r="P14" i="58" s="1"/>
  <c r="Q14" i="58" s="1"/>
  <c r="N14" i="58"/>
  <c r="L14" i="58"/>
  <c r="J14" i="58"/>
  <c r="P13" i="58"/>
  <c r="O13" i="58"/>
  <c r="L13" i="58"/>
  <c r="L11" i="58" s="1"/>
  <c r="O12" i="58"/>
  <c r="P12" i="58" s="1"/>
  <c r="O11" i="58"/>
  <c r="P11" i="58" s="1"/>
  <c r="Q11" i="58" s="1"/>
  <c r="N11" i="58"/>
  <c r="J11" i="58"/>
  <c r="O10" i="58"/>
  <c r="P10" i="58" s="1"/>
  <c r="L10" i="58"/>
  <c r="P9" i="58"/>
  <c r="O9" i="58"/>
  <c r="Q8" i="58"/>
  <c r="O8" i="58"/>
  <c r="N8" i="58"/>
  <c r="L8" i="58"/>
  <c r="J8" i="58"/>
  <c r="E135" i="51"/>
  <c r="C13" i="57"/>
  <c r="C11" i="57"/>
  <c r="B10" i="57"/>
  <c r="J9" i="57"/>
  <c r="C9" i="57"/>
  <c r="B9" i="57"/>
  <c r="A9" i="57"/>
  <c r="L8" i="57"/>
  <c r="C8" i="57"/>
  <c r="A8" i="57"/>
  <c r="B7" i="57"/>
  <c r="Q1518" i="58" l="1"/>
  <c r="R1518" i="58" s="1"/>
  <c r="R1519" i="58"/>
  <c r="Q27" i="58"/>
  <c r="R27" i="58" s="1"/>
  <c r="R28" i="58"/>
  <c r="R3160" i="58"/>
  <c r="R3161" i="58"/>
  <c r="Q3323" i="58"/>
  <c r="Q1090" i="58"/>
  <c r="R1090" i="58" s="1"/>
  <c r="R3394" i="58"/>
  <c r="Q1041" i="58"/>
  <c r="R1041" i="58" s="1"/>
  <c r="Q2072" i="58"/>
  <c r="Q3013" i="58"/>
  <c r="R5245" i="58"/>
  <c r="Q5244" i="58"/>
  <c r="Q9145" i="58"/>
  <c r="Q1066" i="58"/>
  <c r="R1066" i="58" s="1"/>
  <c r="R1067" i="58"/>
  <c r="Q3578" i="58"/>
  <c r="R3578" i="58" s="1"/>
  <c r="Q1042" i="58"/>
  <c r="R1042" i="58" s="1"/>
  <c r="Q4435" i="58"/>
  <c r="R4435" i="58" s="1"/>
  <c r="R4436" i="58"/>
  <c r="Q7015" i="58"/>
  <c r="R7015" i="58" s="1"/>
  <c r="R7016" i="58"/>
  <c r="R5392" i="58"/>
  <c r="Q5391" i="58"/>
  <c r="Q1060" i="58"/>
  <c r="R1060" i="58" s="1"/>
  <c r="Q2349" i="58"/>
  <c r="Q136" i="58"/>
  <c r="R136" i="58" s="1"/>
  <c r="Q1188" i="58"/>
  <c r="R1188" i="58" s="1"/>
  <c r="R3285" i="58"/>
  <c r="Q3284" i="58"/>
  <c r="R3284" i="58" s="1"/>
  <c r="Q2078" i="58"/>
  <c r="Q5261" i="58"/>
  <c r="Q549" i="58"/>
  <c r="R549" i="58" s="1"/>
  <c r="Q494" i="58"/>
  <c r="Q278" i="58"/>
  <c r="Q277" i="58" s="1"/>
  <c r="J1110" i="58"/>
  <c r="Q1230" i="58"/>
  <c r="Q2819" i="58"/>
  <c r="Q2990" i="58"/>
  <c r="R3637" i="58"/>
  <c r="R3638" i="58"/>
  <c r="Q440" i="58"/>
  <c r="Q133" i="58"/>
  <c r="J2979" i="58"/>
  <c r="Q5492" i="58"/>
  <c r="R5492" i="58" s="1"/>
  <c r="J2314" i="58"/>
  <c r="Q2801" i="58"/>
  <c r="Q5357" i="58"/>
  <c r="R5357" i="58" s="1"/>
  <c r="Q242" i="58"/>
  <c r="R242" i="58" s="1"/>
  <c r="J2591" i="58"/>
  <c r="Q40" i="58"/>
  <c r="R40" i="58" s="1"/>
  <c r="Q88" i="58"/>
  <c r="Q169" i="58"/>
  <c r="R169" i="58" s="1"/>
  <c r="Q188" i="58"/>
  <c r="Q209" i="58"/>
  <c r="Q478" i="58"/>
  <c r="Q587" i="58"/>
  <c r="Q653" i="58"/>
  <c r="Q789" i="58"/>
  <c r="R789" i="58" s="1"/>
  <c r="Q935" i="58"/>
  <c r="Q934" i="58" s="1"/>
  <c r="R934" i="58" s="1"/>
  <c r="Q1186" i="58"/>
  <c r="J1225" i="58"/>
  <c r="J1417" i="58"/>
  <c r="Q1583" i="58"/>
  <c r="J1706" i="58"/>
  <c r="Q1741" i="58"/>
  <c r="R1741" i="58" s="1"/>
  <c r="Q1766" i="58"/>
  <c r="Q1982" i="58"/>
  <c r="J1989" i="58"/>
  <c r="Q2084" i="58"/>
  <c r="Q2083" i="58" s="1"/>
  <c r="Q2455" i="58"/>
  <c r="R2455" i="58" s="1"/>
  <c r="J2555" i="58"/>
  <c r="Q3036" i="58"/>
  <c r="R3036" i="58" s="1"/>
  <c r="Q3062" i="58"/>
  <c r="R3062" i="58" s="1"/>
  <c r="Q3527" i="58"/>
  <c r="Q3570" i="58"/>
  <c r="R3570" i="58" s="1"/>
  <c r="Q4006" i="58"/>
  <c r="Q4005" i="58" s="1"/>
  <c r="Q4486" i="58"/>
  <c r="R4486" i="58" s="1"/>
  <c r="J4780" i="58"/>
  <c r="J6444" i="58"/>
  <c r="Q9285" i="58"/>
  <c r="R9285" i="58" s="1"/>
  <c r="Q33" i="58"/>
  <c r="Q67" i="58"/>
  <c r="Q344" i="58"/>
  <c r="R344" i="58" s="1"/>
  <c r="J377" i="58"/>
  <c r="J576" i="58"/>
  <c r="Q758" i="58"/>
  <c r="Q845" i="58"/>
  <c r="Q863" i="58"/>
  <c r="R863" i="58" s="1"/>
  <c r="Q904" i="58"/>
  <c r="R904" i="58" s="1"/>
  <c r="Q953" i="58"/>
  <c r="R953" i="58" s="1"/>
  <c r="Q1145" i="58"/>
  <c r="R1145" i="58" s="1"/>
  <c r="Q1187" i="58"/>
  <c r="R1187" i="58" s="1"/>
  <c r="Q1584" i="58"/>
  <c r="R1584" i="58" s="1"/>
  <c r="Q1716" i="58"/>
  <c r="J1809" i="58"/>
  <c r="Q1843" i="58"/>
  <c r="R1843" i="58" s="1"/>
  <c r="Q1920" i="58"/>
  <c r="R1920" i="58" s="1"/>
  <c r="Q2041" i="58"/>
  <c r="R2041" i="58" s="1"/>
  <c r="Q2175" i="58"/>
  <c r="Q2192" i="58"/>
  <c r="R2192" i="58" s="1"/>
  <c r="Q2971" i="58"/>
  <c r="R2971" i="58" s="1"/>
  <c r="Q3212" i="58"/>
  <c r="R3212" i="58" s="1"/>
  <c r="Q3311" i="58"/>
  <c r="Q3564" i="58"/>
  <c r="R3564" i="58" s="1"/>
  <c r="Q3624" i="58"/>
  <c r="J3796" i="58"/>
  <c r="Q4030" i="58"/>
  <c r="Q5191" i="58"/>
  <c r="Q5398" i="58"/>
  <c r="R5398" i="58" s="1"/>
  <c r="Q5412" i="58"/>
  <c r="R8345" i="58"/>
  <c r="Q8344" i="58"/>
  <c r="R8344" i="58" s="1"/>
  <c r="Q2289" i="58"/>
  <c r="R2289" i="58" s="1"/>
  <c r="Q22" i="58"/>
  <c r="R22" i="58" s="1"/>
  <c r="Q213" i="58"/>
  <c r="R213" i="58" s="1"/>
  <c r="Q265" i="58"/>
  <c r="R265" i="58" s="1"/>
  <c r="R2718" i="58"/>
  <c r="Q3528" i="58"/>
  <c r="R3528" i="58" s="1"/>
  <c r="Q5299" i="58"/>
  <c r="R5299" i="58" s="1"/>
  <c r="Q5343" i="58"/>
  <c r="R5343" i="58" s="1"/>
  <c r="Q36" i="58"/>
  <c r="R36" i="58" s="1"/>
  <c r="R462" i="58"/>
  <c r="J1803" i="58"/>
  <c r="Q1892" i="58"/>
  <c r="Q2742" i="58"/>
  <c r="R2742" i="58" s="1"/>
  <c r="J5709" i="58"/>
  <c r="J2332" i="58"/>
  <c r="Q383" i="58"/>
  <c r="R383" i="58" s="1"/>
  <c r="Q641" i="58"/>
  <c r="R641" i="58" s="1"/>
  <c r="Q850" i="58"/>
  <c r="R850" i="58" s="1"/>
  <c r="J948" i="58"/>
  <c r="Q1501" i="58"/>
  <c r="R1501" i="58" s="1"/>
  <c r="Q1548" i="58"/>
  <c r="R1548" i="58" s="1"/>
  <c r="Q1705" i="58"/>
  <c r="R1705" i="58" s="1"/>
  <c r="Q2445" i="58"/>
  <c r="R2445" i="58" s="1"/>
  <c r="Q2712" i="58"/>
  <c r="J2725" i="58"/>
  <c r="Q3128" i="58"/>
  <c r="Q3615" i="58"/>
  <c r="Q4237" i="58"/>
  <c r="R4237" i="58" s="1"/>
  <c r="Q5315" i="58"/>
  <c r="Q5959" i="58"/>
  <c r="R5959" i="58" s="1"/>
  <c r="Q6194" i="58"/>
  <c r="R6194" i="58" s="1"/>
  <c r="Q6324" i="58"/>
  <c r="R6324" i="58" s="1"/>
  <c r="Q9863" i="58"/>
  <c r="R9863" i="58" s="1"/>
  <c r="Q212" i="58"/>
  <c r="R212" i="58" s="1"/>
  <c r="Q2143" i="58"/>
  <c r="R2143" i="58" s="1"/>
  <c r="J2380" i="58"/>
  <c r="Q1555" i="58"/>
  <c r="R1555" i="58" s="1"/>
  <c r="Q5429" i="58"/>
  <c r="R3607" i="58"/>
  <c r="Q1602" i="58"/>
  <c r="R1602" i="58" s="1"/>
  <c r="Q2210" i="58"/>
  <c r="R2210" i="58" s="1"/>
  <c r="Q6662" i="58"/>
  <c r="R6662" i="58" s="1"/>
  <c r="R6663" i="58"/>
  <c r="Q899" i="58"/>
  <c r="Q375" i="58"/>
  <c r="Q476" i="58"/>
  <c r="R476" i="58" s="1"/>
  <c r="J551" i="58"/>
  <c r="Q667" i="58"/>
  <c r="R667" i="58" s="1"/>
  <c r="Q683" i="58"/>
  <c r="R683" i="58" s="1"/>
  <c r="J785" i="58"/>
  <c r="Q1054" i="58"/>
  <c r="R1054" i="58" s="1"/>
  <c r="J1122" i="58"/>
  <c r="Q1549" i="58"/>
  <c r="R1549" i="58" s="1"/>
  <c r="J1610" i="58"/>
  <c r="Q1964" i="58"/>
  <c r="Q2259" i="58"/>
  <c r="Q3104" i="58"/>
  <c r="R3104" i="58" s="1"/>
  <c r="Q3146" i="58"/>
  <c r="R3146" i="58" s="1"/>
  <c r="Q3885" i="58"/>
  <c r="Q4403" i="58"/>
  <c r="Q4410" i="58"/>
  <c r="R4410" i="58" s="1"/>
  <c r="Q4683" i="58"/>
  <c r="R4683" i="58" s="1"/>
  <c r="Q4906" i="58"/>
  <c r="R4906" i="58" s="1"/>
  <c r="Q5091" i="58"/>
  <c r="R5091" i="58" s="1"/>
  <c r="Q5100" i="58"/>
  <c r="R5100" i="58" s="1"/>
  <c r="Q5638" i="58"/>
  <c r="R5638" i="58" s="1"/>
  <c r="Q3698" i="58"/>
  <c r="Q3503" i="58"/>
  <c r="R3503" i="58" s="1"/>
  <c r="J618" i="58"/>
  <c r="Q1422" i="58"/>
  <c r="Q1289" i="58"/>
  <c r="R1289" i="58" s="1"/>
  <c r="Q4422" i="58"/>
  <c r="Q2475" i="58"/>
  <c r="R2475" i="58" s="1"/>
  <c r="Q25" i="58"/>
  <c r="R25" i="58" s="1"/>
  <c r="J761" i="58"/>
  <c r="Q1240" i="58"/>
  <c r="R1240" i="58" s="1"/>
  <c r="Q1308" i="58"/>
  <c r="Q1848" i="58"/>
  <c r="Q2229" i="58"/>
  <c r="Q2282" i="58"/>
  <c r="R2282" i="58" s="1"/>
  <c r="R2283" i="58"/>
  <c r="Q4036" i="58"/>
  <c r="R4036" i="58" s="1"/>
  <c r="Q4675" i="58"/>
  <c r="Q4889" i="58"/>
  <c r="Q4757" i="58"/>
  <c r="Q5405" i="58"/>
  <c r="R5405" i="58" s="1"/>
  <c r="R5406" i="58"/>
  <c r="Q3007" i="58"/>
  <c r="Q4602" i="58"/>
  <c r="Q37" i="58"/>
  <c r="R37" i="58" s="1"/>
  <c r="Q166" i="58"/>
  <c r="R166" i="58" s="1"/>
  <c r="Q640" i="58"/>
  <c r="Q1547" i="58"/>
  <c r="Q94" i="58"/>
  <c r="Q223" i="58"/>
  <c r="Q46" i="58"/>
  <c r="R46" i="58" s="1"/>
  <c r="Q79" i="58"/>
  <c r="R79" i="58" s="1"/>
  <c r="Q148" i="58"/>
  <c r="R148" i="58" s="1"/>
  <c r="J840" i="58"/>
  <c r="Q917" i="58"/>
  <c r="R917" i="58" s="1"/>
  <c r="J1116" i="58"/>
  <c r="J1628" i="58"/>
  <c r="J1688" i="58"/>
  <c r="Q3431" i="58"/>
  <c r="R3431" i="58" s="1"/>
  <c r="Q10" i="58"/>
  <c r="Q820" i="58"/>
  <c r="Q1085" i="58"/>
  <c r="Q1126" i="58"/>
  <c r="Q1241" i="58"/>
  <c r="R1241" i="58" s="1"/>
  <c r="Q1284" i="58"/>
  <c r="Q1573" i="58"/>
  <c r="R1573" i="58" s="1"/>
  <c r="Q2378" i="58"/>
  <c r="R2378" i="58" s="1"/>
  <c r="Q2487" i="58"/>
  <c r="R2487" i="58" s="1"/>
  <c r="Q2572" i="58"/>
  <c r="J2579" i="58"/>
  <c r="Q3035" i="58"/>
  <c r="R3035" i="58" s="1"/>
  <c r="J3111" i="58"/>
  <c r="Q3465" i="58"/>
  <c r="Q3471" i="58"/>
  <c r="Q3735" i="58"/>
  <c r="Q5631" i="58"/>
  <c r="R5631" i="58" s="1"/>
  <c r="Q7862" i="58"/>
  <c r="Q9179" i="58"/>
  <c r="R9179" i="58" s="1"/>
  <c r="Q9667" i="58"/>
  <c r="R9667" i="58" s="1"/>
  <c r="Q8343" i="58"/>
  <c r="R8343" i="58" s="1"/>
  <c r="Q1049" i="58"/>
  <c r="Q1302" i="58"/>
  <c r="Q1488" i="58"/>
  <c r="J1508" i="58"/>
  <c r="Q1675" i="58"/>
  <c r="R1675" i="58" s="1"/>
  <c r="Q1723" i="58"/>
  <c r="Q1849" i="58"/>
  <c r="R1849" i="58" s="1"/>
  <c r="Q2120" i="58"/>
  <c r="R2120" i="58" s="1"/>
  <c r="Q2462" i="58"/>
  <c r="Q2675" i="58"/>
  <c r="R3283" i="58"/>
  <c r="Q3540" i="58"/>
  <c r="R3540" i="58" s="1"/>
  <c r="Q3576" i="58"/>
  <c r="R3576" i="58" s="1"/>
  <c r="Q3729" i="58"/>
  <c r="Q3728" i="58" s="1"/>
  <c r="R3728" i="58" s="1"/>
  <c r="J3778" i="58"/>
  <c r="Q4156" i="58"/>
  <c r="R4156" i="58" s="1"/>
  <c r="J4827" i="58"/>
  <c r="Q4853" i="58"/>
  <c r="Q6492" i="58"/>
  <c r="Q108" i="58"/>
  <c r="R108" i="58" s="1"/>
  <c r="Q360" i="58"/>
  <c r="Q376" i="58"/>
  <c r="R376" i="58" s="1"/>
  <c r="Q446" i="58"/>
  <c r="R446" i="58" s="1"/>
  <c r="Q491" i="58"/>
  <c r="R491" i="58" s="1"/>
  <c r="J692" i="58"/>
  <c r="Q772" i="58"/>
  <c r="J779" i="58"/>
  <c r="J852" i="58"/>
  <c r="Q959" i="58"/>
  <c r="R959" i="58" s="1"/>
  <c r="Q1079" i="58"/>
  <c r="R1079" i="58" s="1"/>
  <c r="Q1103" i="58"/>
  <c r="R1103" i="58" s="1"/>
  <c r="Q1567" i="58"/>
  <c r="R1567" i="58" s="1"/>
  <c r="J1580" i="58"/>
  <c r="Q1699" i="58"/>
  <c r="R1699" i="58" s="1"/>
  <c r="J1833" i="58"/>
  <c r="J2109" i="58"/>
  <c r="Q2253" i="58"/>
  <c r="R2253" i="58" s="1"/>
  <c r="Q2415" i="58"/>
  <c r="R2415" i="58" s="1"/>
  <c r="Q2851" i="58"/>
  <c r="R2851" i="58" s="1"/>
  <c r="Q4102" i="58"/>
  <c r="J4133" i="58"/>
  <c r="J4292" i="58"/>
  <c r="J4313" i="58"/>
  <c r="Q5757" i="58"/>
  <c r="R5757" i="58" s="1"/>
  <c r="J612" i="58"/>
  <c r="Q1061" i="58"/>
  <c r="R1061" i="58" s="1"/>
  <c r="Q1091" i="58"/>
  <c r="R1091" i="58" s="1"/>
  <c r="Q1168" i="58"/>
  <c r="Q1326" i="58"/>
  <c r="R1326" i="58" s="1"/>
  <c r="J1387" i="58"/>
  <c r="J1496" i="58"/>
  <c r="Q1525" i="58"/>
  <c r="J1694" i="58"/>
  <c r="Q1880" i="58"/>
  <c r="J1947" i="58"/>
  <c r="Q2000" i="58"/>
  <c r="R2000" i="58" s="1"/>
  <c r="Q2367" i="58"/>
  <c r="J2658" i="58"/>
  <c r="J2779" i="58"/>
  <c r="Q3026" i="58"/>
  <c r="J3136" i="58"/>
  <c r="Q3249" i="58"/>
  <c r="R3249" i="58" s="1"/>
  <c r="Q5701" i="58"/>
  <c r="Q6477" i="58"/>
  <c r="R6477" i="58" s="1"/>
  <c r="J2260" i="58"/>
  <c r="Q2337" i="58"/>
  <c r="R2337" i="58" s="1"/>
  <c r="Q2457" i="58"/>
  <c r="R2457" i="58" s="1"/>
  <c r="J2518" i="58"/>
  <c r="Q2699" i="58"/>
  <c r="R2699" i="58" s="1"/>
  <c r="J2828" i="58"/>
  <c r="Q3848" i="58"/>
  <c r="Q4166" i="58"/>
  <c r="Q4304" i="58"/>
  <c r="J4446" i="58"/>
  <c r="J4488" i="58"/>
  <c r="Q4942" i="58"/>
  <c r="R4942" i="58" s="1"/>
  <c r="Q4981" i="58"/>
  <c r="R4981" i="58" s="1"/>
  <c r="J5478" i="58"/>
  <c r="Q10383" i="58"/>
  <c r="J668" i="58"/>
  <c r="Q1031" i="58"/>
  <c r="Q1543" i="58"/>
  <c r="Q1542" i="58" s="1"/>
  <c r="Q1674" i="58"/>
  <c r="Q1734" i="58"/>
  <c r="J1911" i="58"/>
  <c r="Q2385" i="58"/>
  <c r="R2385" i="58" s="1"/>
  <c r="J2870" i="58"/>
  <c r="Q3618" i="58"/>
  <c r="Q3681" i="58"/>
  <c r="R3681" i="58" s="1"/>
  <c r="Q3752" i="58"/>
  <c r="Q3857" i="58"/>
  <c r="R3857" i="58" s="1"/>
  <c r="Q4339" i="58"/>
  <c r="R4339" i="58" s="1"/>
  <c r="Q4799" i="58"/>
  <c r="R4799" i="58" s="1"/>
  <c r="Q5161" i="58"/>
  <c r="R5161" i="58" s="1"/>
  <c r="J5365" i="58"/>
  <c r="Q7479" i="58"/>
  <c r="R7479" i="58" s="1"/>
  <c r="J279" i="58"/>
  <c r="Q482" i="58"/>
  <c r="R482" i="58" s="1"/>
  <c r="Q503" i="58"/>
  <c r="Q548" i="58"/>
  <c r="Q875" i="58"/>
  <c r="R875" i="58" s="1"/>
  <c r="Q971" i="58"/>
  <c r="J1556" i="58"/>
  <c r="Q1904" i="58"/>
  <c r="R1904" i="58" s="1"/>
  <c r="Q82" i="58"/>
  <c r="Q778" i="58"/>
  <c r="R778" i="58" s="1"/>
  <c r="Q941" i="58"/>
  <c r="R941" i="58" s="1"/>
  <c r="Q1055" i="58"/>
  <c r="R1055" i="58" s="1"/>
  <c r="J1484" i="58"/>
  <c r="Q1651" i="58"/>
  <c r="R1651" i="58" s="1"/>
  <c r="Q1735" i="58"/>
  <c r="R1735" i="58" s="1"/>
  <c r="J1748" i="58"/>
  <c r="J1797" i="58"/>
  <c r="J1941" i="58"/>
  <c r="Q2211" i="58"/>
  <c r="R2211" i="58" s="1"/>
  <c r="Q2451" i="58"/>
  <c r="R2451" i="58" s="1"/>
  <c r="Q2481" i="58"/>
  <c r="Q2578" i="58"/>
  <c r="Q2965" i="58"/>
  <c r="R2965" i="58" s="1"/>
  <c r="Q3159" i="58"/>
  <c r="Q3462" i="58"/>
  <c r="R3462" i="58" s="1"/>
  <c r="Q3606" i="58"/>
  <c r="Q3708" i="58"/>
  <c r="R3708" i="58" s="1"/>
  <c r="J4073" i="58"/>
  <c r="J4181" i="58"/>
  <c r="Q4353" i="58"/>
  <c r="J4439" i="58"/>
  <c r="Q4485" i="58"/>
  <c r="R4485" i="58" s="1"/>
  <c r="Q4522" i="58"/>
  <c r="Q5807" i="58"/>
  <c r="R5807" i="58" s="1"/>
  <c r="Q6387" i="58"/>
  <c r="Q7129" i="58"/>
  <c r="J9532" i="58"/>
  <c r="Q10331" i="58"/>
  <c r="R10331" i="58" s="1"/>
  <c r="Q7044" i="58"/>
  <c r="R7044" i="58" s="1"/>
  <c r="Q130" i="58"/>
  <c r="R130" i="58" s="1"/>
  <c r="Q290" i="58"/>
  <c r="Q497" i="58"/>
  <c r="Q515" i="58"/>
  <c r="Q532" i="58"/>
  <c r="R532" i="58" s="1"/>
  <c r="Q550" i="58"/>
  <c r="R550" i="58" s="1"/>
  <c r="Q1260" i="58"/>
  <c r="Q1470" i="58"/>
  <c r="Q1507" i="58"/>
  <c r="J1682" i="58"/>
  <c r="J1779" i="58"/>
  <c r="J1785" i="58"/>
  <c r="Q1951" i="58"/>
  <c r="R1951" i="58" s="1"/>
  <c r="Q1957" i="58"/>
  <c r="R1957" i="58" s="1"/>
  <c r="J2031" i="58"/>
  <c r="Q2054" i="58"/>
  <c r="Q2306" i="58"/>
  <c r="Q2325" i="58"/>
  <c r="R2325" i="58" s="1"/>
  <c r="Q2377" i="58"/>
  <c r="J2512" i="58"/>
  <c r="J2537" i="58"/>
  <c r="J2567" i="58"/>
  <c r="J2670" i="58"/>
  <c r="Q2784" i="58"/>
  <c r="Q2939" i="58"/>
  <c r="R2939" i="58" s="1"/>
  <c r="Q3309" i="58"/>
  <c r="R3309" i="58" s="1"/>
  <c r="Q3315" i="58"/>
  <c r="Q3327" i="58"/>
  <c r="Q3354" i="58"/>
  <c r="R3354" i="58" s="1"/>
  <c r="Q3474" i="58"/>
  <c r="R3474" i="58" s="1"/>
  <c r="Q3531" i="58"/>
  <c r="Q4226" i="58"/>
  <c r="Q4225" i="58" s="1"/>
  <c r="R4225" i="58" s="1"/>
  <c r="Q4252" i="58"/>
  <c r="R4252" i="58" s="1"/>
  <c r="Q4961" i="58"/>
  <c r="R4961" i="58" s="1"/>
  <c r="Q5099" i="58"/>
  <c r="R5099" i="58" s="1"/>
  <c r="Q5637" i="58"/>
  <c r="R5637" i="58" s="1"/>
  <c r="Q9797" i="58"/>
  <c r="R9797" i="58" s="1"/>
  <c r="Q10343" i="58"/>
  <c r="R10906" i="58"/>
  <c r="Q10905" i="58"/>
  <c r="J2170" i="58"/>
  <c r="J2326" i="58"/>
  <c r="Q2935" i="58"/>
  <c r="R2935" i="58" s="1"/>
  <c r="J2942" i="58"/>
  <c r="Q3195" i="58"/>
  <c r="Q3366" i="58"/>
  <c r="Q3566" i="58"/>
  <c r="J3868" i="58"/>
  <c r="J4019" i="58"/>
  <c r="Q4684" i="58"/>
  <c r="R4684" i="58" s="1"/>
  <c r="Q4841" i="58"/>
  <c r="R4841" i="58" s="1"/>
  <c r="J4989" i="58"/>
  <c r="Q5035" i="58"/>
  <c r="R5035" i="58" s="1"/>
  <c r="Q5444" i="58"/>
  <c r="J5003" i="58"/>
  <c r="Q5783" i="58"/>
  <c r="Q6633" i="58"/>
  <c r="Q7170" i="58"/>
  <c r="J9488" i="58"/>
  <c r="Q39" i="58"/>
  <c r="R39" i="58" s="1"/>
  <c r="Q85" i="58"/>
  <c r="Q124" i="58"/>
  <c r="Q193" i="58"/>
  <c r="R193" i="58" s="1"/>
  <c r="Q506" i="58"/>
  <c r="J942" i="58"/>
  <c r="Q1457" i="58"/>
  <c r="R1457" i="58" s="1"/>
  <c r="J1616" i="58"/>
  <c r="Q1939" i="58"/>
  <c r="R1939" i="58" s="1"/>
  <c r="J2085" i="58"/>
  <c r="Q2095" i="58"/>
  <c r="R2095" i="58" s="1"/>
  <c r="J2146" i="58"/>
  <c r="Q2187" i="58"/>
  <c r="R2187" i="58" s="1"/>
  <c r="Q2277" i="58"/>
  <c r="Q2881" i="58"/>
  <c r="R2881" i="58" s="1"/>
  <c r="Q3008" i="58"/>
  <c r="R3008" i="58" s="1"/>
  <c r="R3181" i="58"/>
  <c r="Q3473" i="58"/>
  <c r="R3473" i="58" s="1"/>
  <c r="Q3567" i="58"/>
  <c r="R3567" i="58" s="1"/>
  <c r="Q3849" i="58"/>
  <c r="R3849" i="58" s="1"/>
  <c r="Q3994" i="58"/>
  <c r="R3994" i="58" s="1"/>
  <c r="Q4023" i="58"/>
  <c r="R4023" i="58" s="1"/>
  <c r="J4037" i="58"/>
  <c r="J4157" i="58"/>
  <c r="Q4263" i="58"/>
  <c r="Q4284" i="58"/>
  <c r="Q4291" i="58"/>
  <c r="Q4368" i="58"/>
  <c r="R4368" i="58" s="1"/>
  <c r="J4481" i="58"/>
  <c r="J4770" i="58"/>
  <c r="J5358" i="58"/>
  <c r="Q6767" i="58"/>
  <c r="R6767" i="58" s="1"/>
  <c r="Q8305" i="58"/>
  <c r="R8305" i="58" s="1"/>
  <c r="Q8415" i="58"/>
  <c r="R8415" i="58" s="1"/>
  <c r="J3093" i="58"/>
  <c r="Q3251" i="58"/>
  <c r="R3251" i="58" s="1"/>
  <c r="Q3257" i="58"/>
  <c r="Q3270" i="58"/>
  <c r="Q3276" i="58"/>
  <c r="Q3275" i="58" s="1"/>
  <c r="Q3288" i="58"/>
  <c r="Q3395" i="58"/>
  <c r="R3395" i="58" s="1"/>
  <c r="Q3444" i="58"/>
  <c r="Q3468" i="58"/>
  <c r="Q3467" i="58" s="1"/>
  <c r="Q4216" i="58"/>
  <c r="Q4347" i="58"/>
  <c r="R4347" i="58" s="1"/>
  <c r="J4404" i="58"/>
  <c r="J4544" i="58"/>
  <c r="Q4648" i="58"/>
  <c r="R4648" i="58" s="1"/>
  <c r="Q5046" i="58"/>
  <c r="Q5054" i="58"/>
  <c r="Q5053" i="58" s="1"/>
  <c r="R5053" i="58" s="1"/>
  <c r="Q5209" i="58"/>
  <c r="R5209" i="58" s="1"/>
  <c r="Q5445" i="58"/>
  <c r="R5445" i="58" s="1"/>
  <c r="Q5749" i="58"/>
  <c r="R5749" i="58" s="1"/>
  <c r="Q6207" i="58"/>
  <c r="R6207" i="58" s="1"/>
  <c r="Q6323" i="58"/>
  <c r="Q7268" i="58"/>
  <c r="Q9425" i="58"/>
  <c r="R9425" i="58" s="1"/>
  <c r="R9426" i="58"/>
  <c r="J2284" i="58"/>
  <c r="J2344" i="58"/>
  <c r="Q2456" i="58"/>
  <c r="R2456" i="58" s="1"/>
  <c r="Q2493" i="58"/>
  <c r="R2493" i="58" s="1"/>
  <c r="Q2554" i="58"/>
  <c r="Q2583" i="58"/>
  <c r="Q2582" i="58" s="1"/>
  <c r="J2664" i="58"/>
  <c r="Q2748" i="58"/>
  <c r="R2748" i="58" s="1"/>
  <c r="J2912" i="58"/>
  <c r="Q3150" i="58"/>
  <c r="Q3155" i="58"/>
  <c r="Q3227" i="58"/>
  <c r="Q3420" i="58"/>
  <c r="R3420" i="58" s="1"/>
  <c r="Q3504" i="58"/>
  <c r="R3504" i="58" s="1"/>
  <c r="Q3612" i="58"/>
  <c r="R3612" i="58" s="1"/>
  <c r="Q3753" i="58"/>
  <c r="R3753" i="58" s="1"/>
  <c r="Q4024" i="58"/>
  <c r="R4024" i="58" s="1"/>
  <c r="J4031" i="58"/>
  <c r="J4187" i="58"/>
  <c r="Q4693" i="58"/>
  <c r="R4693" i="58" s="1"/>
  <c r="J4818" i="58"/>
  <c r="Q4966" i="58"/>
  <c r="R4966" i="58" s="1"/>
  <c r="Q5533" i="58"/>
  <c r="R5533" i="58" s="1"/>
  <c r="Q5541" i="58"/>
  <c r="R5541" i="58" s="1"/>
  <c r="Q5771" i="58"/>
  <c r="R5771" i="58" s="1"/>
  <c r="Q6768" i="58"/>
  <c r="R6768" i="58" s="1"/>
  <c r="Q7599" i="58"/>
  <c r="Q10393" i="58"/>
  <c r="Q5960" i="58"/>
  <c r="R5960" i="58" s="1"/>
  <c r="Q6002" i="58"/>
  <c r="R6002" i="58" s="1"/>
  <c r="Q8018" i="58"/>
  <c r="Q11662" i="58"/>
  <c r="R11662" i="58" s="1"/>
  <c r="Q3416" i="58"/>
  <c r="Q3447" i="58"/>
  <c r="Q3876" i="58"/>
  <c r="J4622" i="58"/>
  <c r="Q4779" i="58"/>
  <c r="Q5064" i="58"/>
  <c r="Q5063" i="58" s="1"/>
  <c r="Q5103" i="58"/>
  <c r="J5141" i="58"/>
  <c r="Q5262" i="58"/>
  <c r="R5262" i="58" s="1"/>
  <c r="J5681" i="58"/>
  <c r="Q5939" i="58"/>
  <c r="R5939" i="58" s="1"/>
  <c r="J6403" i="58"/>
  <c r="Q7336" i="58"/>
  <c r="R7336" i="58" s="1"/>
  <c r="J7382" i="58"/>
  <c r="Q8320" i="58"/>
  <c r="R8320" i="58" s="1"/>
  <c r="Q9607" i="58"/>
  <c r="Q11496" i="58"/>
  <c r="R11496" i="58" s="1"/>
  <c r="R11497" i="58"/>
  <c r="J11689" i="58"/>
  <c r="Q2869" i="58"/>
  <c r="R2869" i="58" s="1"/>
  <c r="Q2917" i="58"/>
  <c r="R2917" i="58" s="1"/>
  <c r="J3009" i="58"/>
  <c r="Q3032" i="58"/>
  <c r="Q3252" i="58"/>
  <c r="R3252" i="58" s="1"/>
  <c r="Q3258" i="58"/>
  <c r="R3258" i="58" s="1"/>
  <c r="Q3303" i="58"/>
  <c r="R3303" i="58" s="1"/>
  <c r="Q3345" i="58"/>
  <c r="Q3417" i="58"/>
  <c r="R3417" i="58" s="1"/>
  <c r="Q3717" i="58"/>
  <c r="R3717" i="58" s="1"/>
  <c r="J4151" i="58"/>
  <c r="J4169" i="58"/>
  <c r="Q4186" i="58"/>
  <c r="J4257" i="58"/>
  <c r="Q4941" i="58"/>
  <c r="R4941" i="58" s="1"/>
  <c r="Q5399" i="58"/>
  <c r="R5399" i="58" s="1"/>
  <c r="Q6181" i="58"/>
  <c r="R6181" i="58" s="1"/>
  <c r="Q6450" i="58"/>
  <c r="R6450" i="58" s="1"/>
  <c r="Q9115" i="58"/>
  <c r="R9115" i="58" s="1"/>
  <c r="Q9617" i="58"/>
  <c r="R9617" i="58" s="1"/>
  <c r="N10054" i="58"/>
  <c r="Q11452" i="58"/>
  <c r="R11452" i="58" s="1"/>
  <c r="J5534" i="58"/>
  <c r="Q5560" i="58"/>
  <c r="Q5797" i="58"/>
  <c r="Q5796" i="58" s="1"/>
  <c r="Q5974" i="58"/>
  <c r="R5974" i="58" s="1"/>
  <c r="Q6350" i="58"/>
  <c r="Q7030" i="58"/>
  <c r="R7030" i="58" s="1"/>
  <c r="Q7539" i="58"/>
  <c r="R7539" i="58" s="1"/>
  <c r="J10430" i="58"/>
  <c r="Q10683" i="58"/>
  <c r="R10683" i="58" s="1"/>
  <c r="Q3999" i="58"/>
  <c r="R3999" i="58" s="1"/>
  <c r="J4199" i="58"/>
  <c r="J4467" i="58"/>
  <c r="J4586" i="58"/>
  <c r="Q4882" i="58"/>
  <c r="Q5659" i="58"/>
  <c r="R5659" i="58" s="1"/>
  <c r="Q5673" i="58"/>
  <c r="Q5748" i="58"/>
  <c r="Q10466" i="58"/>
  <c r="Q10465" i="58" s="1"/>
  <c r="R10465" i="58" s="1"/>
  <c r="Q10608" i="58"/>
  <c r="R10608" i="58" s="1"/>
  <c r="Q11209" i="58"/>
  <c r="Q12806" i="58"/>
  <c r="R12806" i="58" s="1"/>
  <c r="J7466" i="58"/>
  <c r="J7803" i="58"/>
  <c r="Q8552" i="58"/>
  <c r="R8552" i="58" s="1"/>
  <c r="J9266" i="58"/>
  <c r="Q9476" i="58"/>
  <c r="R9476" i="58" s="1"/>
  <c r="J7459" i="58"/>
  <c r="Q8774" i="58"/>
  <c r="R8774" i="58" s="1"/>
  <c r="Q9747" i="58"/>
  <c r="R9747" i="58" s="1"/>
  <c r="R9945" i="58"/>
  <c r="Q9944" i="58"/>
  <c r="Q10884" i="58"/>
  <c r="Q6856" i="58"/>
  <c r="Q7262" i="58"/>
  <c r="R7262" i="58" s="1"/>
  <c r="Q7892" i="58"/>
  <c r="R7892" i="58" s="1"/>
  <c r="Q7937" i="58"/>
  <c r="R7937" i="58" s="1"/>
  <c r="Q8038" i="58"/>
  <c r="R8038" i="58" s="1"/>
  <c r="N8650" i="58"/>
  <c r="Q8759" i="58"/>
  <c r="R8759" i="58" s="1"/>
  <c r="Q9027" i="58"/>
  <c r="Q9294" i="58"/>
  <c r="R9294" i="58" s="1"/>
  <c r="Q9387" i="58"/>
  <c r="Q9715" i="58"/>
  <c r="Q11614" i="58"/>
  <c r="R11614" i="58" s="1"/>
  <c r="R11615" i="58"/>
  <c r="Q12441" i="58"/>
  <c r="J5183" i="58"/>
  <c r="Q5385" i="58"/>
  <c r="Q5679" i="58"/>
  <c r="R5679" i="58" s="1"/>
  <c r="Q5756" i="58"/>
  <c r="R5756" i="58" s="1"/>
  <c r="Q6429" i="58"/>
  <c r="R6429" i="58" s="1"/>
  <c r="Q6857" i="58"/>
  <c r="R6857" i="58" s="1"/>
  <c r="Q7255" i="58"/>
  <c r="R7255" i="58" s="1"/>
  <c r="J9180" i="58"/>
  <c r="Q10673" i="58"/>
  <c r="R10673" i="58" s="1"/>
  <c r="Q12442" i="58"/>
  <c r="R12442" i="58" s="1"/>
  <c r="Q6478" i="58"/>
  <c r="R6478" i="58" s="1"/>
  <c r="Q6708" i="58"/>
  <c r="R6708" i="58" s="1"/>
  <c r="Q6798" i="58"/>
  <c r="R6798" i="58" s="1"/>
  <c r="Q7213" i="58"/>
  <c r="R7213" i="58" s="1"/>
  <c r="Q7248" i="58"/>
  <c r="Q7614" i="58"/>
  <c r="Q7745" i="58"/>
  <c r="R7745" i="58" s="1"/>
  <c r="Q8039" i="58"/>
  <c r="R8039" i="58" s="1"/>
  <c r="Q8053" i="58"/>
  <c r="Q8052" i="58" s="1"/>
  <c r="Q8432" i="58"/>
  <c r="R8432" i="58" s="1"/>
  <c r="J9408" i="58"/>
  <c r="J9578" i="58"/>
  <c r="Q10319" i="58"/>
  <c r="R10319" i="58" s="1"/>
  <c r="Q10829" i="58"/>
  <c r="R10829" i="58" s="1"/>
  <c r="Q6982" i="58"/>
  <c r="Q7059" i="58"/>
  <c r="J8040" i="58"/>
  <c r="J8054" i="58"/>
  <c r="Q9616" i="58"/>
  <c r="R9616" i="58" s="1"/>
  <c r="Q11248" i="58"/>
  <c r="Q8591" i="58"/>
  <c r="Q9049" i="58"/>
  <c r="Q9406" i="58"/>
  <c r="R9406" i="58" s="1"/>
  <c r="R9407" i="58"/>
  <c r="Q10033" i="58"/>
  <c r="Q10267" i="58"/>
  <c r="R10267" i="58" s="1"/>
  <c r="Q5413" i="58"/>
  <c r="R5413" i="58" s="1"/>
  <c r="Q5493" i="58"/>
  <c r="R5493" i="58" s="1"/>
  <c r="Q5784" i="58"/>
  <c r="R5784" i="58" s="1"/>
  <c r="Q6051" i="58"/>
  <c r="R6051" i="58" s="1"/>
  <c r="J6472" i="58"/>
  <c r="F42" i="63" s="1"/>
  <c r="L42" i="63" s="1"/>
  <c r="L39" i="63" s="1"/>
  <c r="J6962" i="58"/>
  <c r="J7263" i="58"/>
  <c r="J7396" i="58"/>
  <c r="Q7751" i="58"/>
  <c r="Q8110" i="58"/>
  <c r="Q8275" i="58"/>
  <c r="Q8339" i="58"/>
  <c r="R8339" i="58" s="1"/>
  <c r="J8371" i="58"/>
  <c r="Q8435" i="58"/>
  <c r="R8435" i="58" s="1"/>
  <c r="Q8760" i="58"/>
  <c r="R8760" i="58" s="1"/>
  <c r="J9236" i="58"/>
  <c r="Q9542" i="58"/>
  <c r="Q9541" i="58" s="1"/>
  <c r="Q11293" i="58"/>
  <c r="R11293" i="58" s="1"/>
  <c r="Q2700" i="58"/>
  <c r="R2700" i="58" s="1"/>
  <c r="J2767" i="58"/>
  <c r="J2791" i="58"/>
  <c r="J2858" i="58"/>
  <c r="Q2970" i="58"/>
  <c r="R2970" i="58" s="1"/>
  <c r="Q3014" i="58"/>
  <c r="R3014" i="58" s="1"/>
  <c r="Q3056" i="58"/>
  <c r="R3056" i="58" s="1"/>
  <c r="Q3168" i="58"/>
  <c r="R3168" i="58" s="1"/>
  <c r="Q3300" i="58"/>
  <c r="Q3324" i="58"/>
  <c r="R3324" i="58" s="1"/>
  <c r="Q3476" i="58"/>
  <c r="Q3585" i="58"/>
  <c r="Q3695" i="58"/>
  <c r="R3695" i="58" s="1"/>
  <c r="Q3741" i="58"/>
  <c r="Q3858" i="58"/>
  <c r="R3858" i="58" s="1"/>
  <c r="J3886" i="58"/>
  <c r="J4091" i="58"/>
  <c r="Q4192" i="58"/>
  <c r="R4192" i="58" s="1"/>
  <c r="J4229" i="58"/>
  <c r="J4334" i="58"/>
  <c r="Q4360" i="58"/>
  <c r="R4360" i="58" s="1"/>
  <c r="Q4870" i="58"/>
  <c r="R4870" i="58" s="1"/>
  <c r="Q5461" i="58"/>
  <c r="Q5617" i="58"/>
  <c r="Q5940" i="58"/>
  <c r="R5940" i="58" s="1"/>
  <c r="Q6996" i="58"/>
  <c r="R6996" i="58" s="1"/>
  <c r="Q7171" i="58"/>
  <c r="R7171" i="58" s="1"/>
  <c r="Q8003" i="58"/>
  <c r="R8003" i="58" s="1"/>
  <c r="J8364" i="58"/>
  <c r="Q8497" i="58"/>
  <c r="Q8496" i="58" s="1"/>
  <c r="R8496" i="58" s="1"/>
  <c r="Q9050" i="58"/>
  <c r="R9050" i="58" s="1"/>
  <c r="Q9255" i="58"/>
  <c r="Q9567" i="58"/>
  <c r="J6500" i="58"/>
  <c r="Q6528" i="58"/>
  <c r="R6528" i="58" s="1"/>
  <c r="Q6918" i="58"/>
  <c r="R6918" i="58" s="1"/>
  <c r="J6955" i="58"/>
  <c r="Q6989" i="58"/>
  <c r="Q7024" i="58"/>
  <c r="R7024" i="58" s="1"/>
  <c r="Q7351" i="58"/>
  <c r="R7351" i="58" s="1"/>
  <c r="Q7628" i="58"/>
  <c r="Q7627" i="58" s="1"/>
  <c r="R7627" i="58" s="1"/>
  <c r="Q8303" i="58"/>
  <c r="R8303" i="58" s="1"/>
  <c r="Q8340" i="58"/>
  <c r="R8340" i="58" s="1"/>
  <c r="J8356" i="58"/>
  <c r="R8436" i="58"/>
  <c r="Q10093" i="58"/>
  <c r="R10093" i="58" s="1"/>
  <c r="Q10684" i="58"/>
  <c r="R10684" i="58" s="1"/>
  <c r="Q11929" i="58"/>
  <c r="R11929" i="58" s="1"/>
  <c r="Q12488" i="58"/>
  <c r="R12487" i="58" s="1"/>
  <c r="R12489" i="58"/>
  <c r="Q13044" i="58"/>
  <c r="Q5588" i="58"/>
  <c r="R5588" i="58" s="1"/>
  <c r="Q5658" i="58"/>
  <c r="J7249" i="58"/>
  <c r="Q7366" i="58"/>
  <c r="Q7891" i="58"/>
  <c r="R7891" i="58" s="1"/>
  <c r="Q7922" i="58"/>
  <c r="R7922" i="58" s="1"/>
  <c r="Q8215" i="58"/>
  <c r="R8215" i="58" s="1"/>
  <c r="Q8304" i="58"/>
  <c r="R8304" i="58" s="1"/>
  <c r="J8385" i="58"/>
  <c r="Q8478" i="58"/>
  <c r="R8478" i="58" s="1"/>
  <c r="Q9626" i="58"/>
  <c r="R9626" i="58" s="1"/>
  <c r="Q9691" i="58"/>
  <c r="Q9727" i="58"/>
  <c r="Q10277" i="58"/>
  <c r="Q908" i="61"/>
  <c r="M8355" i="58"/>
  <c r="N8355" i="58" s="1"/>
  <c r="N8351" i="58" s="1"/>
  <c r="M8330" i="58"/>
  <c r="N8330" i="58" s="1"/>
  <c r="N8326" i="58" s="1"/>
  <c r="M8325" i="58"/>
  <c r="N8325" i="58" s="1"/>
  <c r="N8321" i="58" s="1"/>
  <c r="M8320" i="58"/>
  <c r="N8320" i="58" s="1"/>
  <c r="N8316" i="58" s="1"/>
  <c r="M8315" i="58"/>
  <c r="N8315" i="58" s="1"/>
  <c r="N8311" i="58" s="1"/>
  <c r="M8310" i="58"/>
  <c r="N8310" i="58" s="1"/>
  <c r="N8306" i="58" s="1"/>
  <c r="M8350" i="58"/>
  <c r="N8350" i="58" s="1"/>
  <c r="N8346" i="58" s="1"/>
  <c r="M8345" i="58"/>
  <c r="N8345" i="58" s="1"/>
  <c r="N8341" i="58" s="1"/>
  <c r="M8340" i="58"/>
  <c r="N8340" i="58" s="1"/>
  <c r="N8336" i="58" s="1"/>
  <c r="M8335" i="58"/>
  <c r="N8335" i="58" s="1"/>
  <c r="N8331" i="58" s="1"/>
  <c r="Q912" i="61"/>
  <c r="M10341" i="58"/>
  <c r="N10341" i="58" s="1"/>
  <c r="M10221" i="58"/>
  <c r="N10221" i="58" s="1"/>
  <c r="M10093" i="58"/>
  <c r="N10093" i="58" s="1"/>
  <c r="M9965" i="58"/>
  <c r="N9965" i="58" s="1"/>
  <c r="M9837" i="58"/>
  <c r="N9837" i="58" s="1"/>
  <c r="M9701" i="58"/>
  <c r="N9701" i="58" s="1"/>
  <c r="M9565" i="58"/>
  <c r="N9565" i="58" s="1"/>
  <c r="M9517" i="58"/>
  <c r="N9517" i="58" s="1"/>
  <c r="M9373" i="58"/>
  <c r="N9373" i="58" s="1"/>
  <c r="M9325" i="58"/>
  <c r="N9325" i="58" s="1"/>
  <c r="M9189" i="58"/>
  <c r="N9189" i="58" s="1"/>
  <c r="M9061" i="58"/>
  <c r="N9061" i="58" s="1"/>
  <c r="M9849" i="58"/>
  <c r="N9849" i="58" s="1"/>
  <c r="M9213" i="58"/>
  <c r="N9213" i="58" s="1"/>
  <c r="M10001" i="58"/>
  <c r="N10001" i="58" s="1"/>
  <c r="M9385" i="58"/>
  <c r="N9385" i="58" s="1"/>
  <c r="M10105" i="58"/>
  <c r="N10105" i="58" s="1"/>
  <c r="M9553" i="58"/>
  <c r="N9553" i="58" s="1"/>
  <c r="M9725" i="58"/>
  <c r="N9725" i="58" s="1"/>
  <c r="M9037" i="58"/>
  <c r="N9037" i="58" s="1"/>
  <c r="M9201" i="58"/>
  <c r="N9201" i="58" s="1"/>
  <c r="M9977" i="58"/>
  <c r="N9977" i="58" s="1"/>
  <c r="N9968" i="58" s="1"/>
  <c r="M9361" i="58"/>
  <c r="N9361" i="58" s="1"/>
  <c r="N9352" i="58" s="1"/>
  <c r="M9713" i="58"/>
  <c r="N9713" i="58" s="1"/>
  <c r="N9704" i="58" s="1"/>
  <c r="M10317" i="58"/>
  <c r="N10317" i="58" s="1"/>
  <c r="N10308" i="58" s="1"/>
  <c r="M9349" i="58"/>
  <c r="N9349" i="58" s="1"/>
  <c r="M9689" i="58"/>
  <c r="N9689" i="58" s="1"/>
  <c r="M10129" i="58"/>
  <c r="N10129" i="58" s="1"/>
  <c r="M9861" i="58"/>
  <c r="N9861" i="58" s="1"/>
  <c r="N9852" i="58" s="1"/>
  <c r="M9989" i="58"/>
  <c r="N9989" i="58" s="1"/>
  <c r="M9165" i="58"/>
  <c r="N9165" i="58" s="1"/>
  <c r="M10245" i="58"/>
  <c r="N10245" i="58" s="1"/>
  <c r="M10117" i="58"/>
  <c r="N10117" i="58" s="1"/>
  <c r="M9541" i="58"/>
  <c r="N9541" i="58" s="1"/>
  <c r="M9677" i="58"/>
  <c r="N9677" i="58" s="1"/>
  <c r="N9668" i="58" s="1"/>
  <c r="M9049" i="58"/>
  <c r="N9049" i="58" s="1"/>
  <c r="M9337" i="58"/>
  <c r="N9337" i="58" s="1"/>
  <c r="M9177" i="58"/>
  <c r="N9177" i="58" s="1"/>
  <c r="N9168" i="58" s="1"/>
  <c r="M9873" i="58"/>
  <c r="N9873" i="58" s="1"/>
  <c r="Q916" i="61"/>
  <c r="M4961" i="58"/>
  <c r="N4961" i="58" s="1"/>
  <c r="M4913" i="58"/>
  <c r="N4913" i="58" s="1"/>
  <c r="M4865" i="58"/>
  <c r="N4865" i="58" s="1"/>
  <c r="M4684" i="58"/>
  <c r="N4684" i="58" s="1"/>
  <c r="N4676" i="58" s="1"/>
  <c r="M4955" i="58"/>
  <c r="N4955" i="58" s="1"/>
  <c r="M4778" i="58"/>
  <c r="N4778" i="58" s="1"/>
  <c r="M4657" i="58"/>
  <c r="N4657" i="58" s="1"/>
  <c r="N4649" i="58" s="1"/>
  <c r="M183" i="58"/>
  <c r="N183" i="58" s="1"/>
  <c r="N179" i="58" s="1"/>
  <c r="M4949" i="58"/>
  <c r="N4949" i="58" s="1"/>
  <c r="M4859" i="58"/>
  <c r="N4859" i="58" s="1"/>
  <c r="M4768" i="58"/>
  <c r="N4768" i="58" s="1"/>
  <c r="M4621" i="58"/>
  <c r="N4621" i="58" s="1"/>
  <c r="N4613" i="58" s="1"/>
  <c r="M4853" i="58"/>
  <c r="N4853" i="58" s="1"/>
  <c r="M4612" i="58"/>
  <c r="N4612" i="58" s="1"/>
  <c r="N4604" i="58" s="1"/>
  <c r="M4907" i="58"/>
  <c r="N4907" i="58" s="1"/>
  <c r="M4757" i="58"/>
  <c r="N4757" i="58" s="1"/>
  <c r="M4603" i="58"/>
  <c r="N4603" i="58" s="1"/>
  <c r="N4595" i="58" s="1"/>
  <c r="M4967" i="58"/>
  <c r="N4967" i="58" s="1"/>
  <c r="M4901" i="58"/>
  <c r="N4901" i="58" s="1"/>
  <c r="M4847" i="58"/>
  <c r="N4847" i="58" s="1"/>
  <c r="N4842" i="58" s="1"/>
  <c r="M4594" i="58"/>
  <c r="N4594" i="58" s="1"/>
  <c r="N4586" i="58" s="1"/>
  <c r="M4835" i="58"/>
  <c r="N4835" i="58" s="1"/>
  <c r="N4827" i="58" s="1"/>
  <c r="M4693" i="58"/>
  <c r="N4693" i="58" s="1"/>
  <c r="N4685" i="58" s="1"/>
  <c r="M4919" i="58"/>
  <c r="N4919" i="58" s="1"/>
  <c r="M4826" i="58"/>
  <c r="N4826" i="58" s="1"/>
  <c r="N4818" i="58" s="1"/>
  <c r="M4675" i="58"/>
  <c r="N4675" i="58" s="1"/>
  <c r="N4667" i="58" s="1"/>
  <c r="M4895" i="58"/>
  <c r="N4895" i="58" s="1"/>
  <c r="M4817" i="58"/>
  <c r="N4817" i="58" s="1"/>
  <c r="N4809" i="58" s="1"/>
  <c r="M4666" i="58"/>
  <c r="N4666" i="58" s="1"/>
  <c r="N4658" i="58" s="1"/>
  <c r="M4808" i="58"/>
  <c r="N4808" i="58" s="1"/>
  <c r="N4800" i="58" s="1"/>
  <c r="M4889" i="58"/>
  <c r="N4889" i="58" s="1"/>
  <c r="M4639" i="58"/>
  <c r="N4639" i="58" s="1"/>
  <c r="N4631" i="58" s="1"/>
  <c r="M4798" i="58"/>
  <c r="N4798" i="58" s="1"/>
  <c r="N4790" i="58" s="1"/>
  <c r="M4630" i="58"/>
  <c r="N4630" i="58" s="1"/>
  <c r="N4622" i="58" s="1"/>
  <c r="M4925" i="58"/>
  <c r="N4925" i="58" s="1"/>
  <c r="M4747" i="58"/>
  <c r="N4747" i="58" s="1"/>
  <c r="M4883" i="58"/>
  <c r="N4883" i="58" s="1"/>
  <c r="M4738" i="58"/>
  <c r="N4738" i="58" s="1"/>
  <c r="N4730" i="58" s="1"/>
  <c r="M4729" i="58"/>
  <c r="N4729" i="58" s="1"/>
  <c r="N4721" i="58" s="1"/>
  <c r="M4877" i="58"/>
  <c r="N4877" i="58" s="1"/>
  <c r="M4720" i="58"/>
  <c r="N4720" i="58" s="1"/>
  <c r="N4712" i="58" s="1"/>
  <c r="M4711" i="58"/>
  <c r="N4711" i="58" s="1"/>
  <c r="N4703" i="58" s="1"/>
  <c r="M4585" i="58"/>
  <c r="N4585" i="58" s="1"/>
  <c r="N4577" i="58" s="1"/>
  <c r="M193" i="58"/>
  <c r="N193" i="58" s="1"/>
  <c r="N189" i="58" s="1"/>
  <c r="M4931" i="58"/>
  <c r="N4931" i="58" s="1"/>
  <c r="N4926" i="58" s="1"/>
  <c r="M4576" i="58"/>
  <c r="N4576" i="58" s="1"/>
  <c r="N4568" i="58" s="1"/>
  <c r="M188" i="58"/>
  <c r="N188" i="58" s="1"/>
  <c r="N184" i="58" s="1"/>
  <c r="M4567" i="58"/>
  <c r="N4567" i="58" s="1"/>
  <c r="N4558" i="58" s="1"/>
  <c r="M178" i="58"/>
  <c r="N178" i="58" s="1"/>
  <c r="N174" i="58" s="1"/>
  <c r="M4871" i="58"/>
  <c r="N4871" i="58" s="1"/>
  <c r="M4788" i="58"/>
  <c r="N4788" i="58" s="1"/>
  <c r="M4702" i="58"/>
  <c r="N4702" i="58" s="1"/>
  <c r="N4694" i="58" s="1"/>
  <c r="M4648" i="58"/>
  <c r="N4648" i="58" s="1"/>
  <c r="N4640" i="58" s="1"/>
  <c r="M4943" i="58"/>
  <c r="N4943" i="58" s="1"/>
  <c r="N4938" i="58" s="1"/>
  <c r="M4937" i="58"/>
  <c r="N4937" i="58" s="1"/>
  <c r="M4841" i="58"/>
  <c r="N4841" i="58" s="1"/>
  <c r="M10233" i="58"/>
  <c r="N10233" i="58" s="1"/>
  <c r="Q8611" i="58"/>
  <c r="R8611" i="58" s="1"/>
  <c r="Q9647" i="58"/>
  <c r="R9647" i="58" s="1"/>
  <c r="Q10402" i="58"/>
  <c r="J11030" i="58"/>
  <c r="Q12105" i="58"/>
  <c r="R12105" i="58" s="1"/>
  <c r="Q12420" i="58"/>
  <c r="R12420" i="58" s="1"/>
  <c r="Q12798" i="58"/>
  <c r="Q12970" i="58"/>
  <c r="Q13046" i="58"/>
  <c r="R13046" i="58" s="1"/>
  <c r="Q12847" i="58"/>
  <c r="J8089" i="58"/>
  <c r="J8433" i="58"/>
  <c r="Q8553" i="58"/>
  <c r="R8553" i="58" s="1"/>
  <c r="Q10403" i="58"/>
  <c r="R10403" i="58" s="1"/>
  <c r="Q10760" i="58"/>
  <c r="J10852" i="58"/>
  <c r="Q11661" i="58"/>
  <c r="R11661" i="58" s="1"/>
  <c r="Q12099" i="58"/>
  <c r="R12099" i="58" s="1"/>
  <c r="Q8707" i="58"/>
  <c r="Q8870" i="58"/>
  <c r="J9728" i="58"/>
  <c r="Q9954" i="58"/>
  <c r="R9954" i="58" s="1"/>
  <c r="Q10073" i="58"/>
  <c r="R10073" i="58" s="1"/>
  <c r="Q10962" i="58"/>
  <c r="R10962" i="58" s="1"/>
  <c r="Q11479" i="58"/>
  <c r="Q11736" i="58"/>
  <c r="J12091" i="58"/>
  <c r="Q12559" i="58"/>
  <c r="Q12735" i="58"/>
  <c r="R12735" i="58" s="1"/>
  <c r="Q8004" i="58"/>
  <c r="R8004" i="58" s="1"/>
  <c r="Q8140" i="58"/>
  <c r="R8140" i="58" s="1"/>
  <c r="Q8405" i="58"/>
  <c r="N9096" i="58"/>
  <c r="Q9191" i="58"/>
  <c r="J9216" i="58"/>
  <c r="Q9225" i="58"/>
  <c r="Q10372" i="58"/>
  <c r="R10372" i="58" s="1"/>
  <c r="Q10567" i="58"/>
  <c r="R10567" i="58" s="1"/>
  <c r="Q10607" i="58"/>
  <c r="R10607" i="58" s="1"/>
  <c r="Q12214" i="58"/>
  <c r="R12214" i="58" s="1"/>
  <c r="J9168" i="58"/>
  <c r="J9340" i="58"/>
  <c r="J10172" i="58"/>
  <c r="Q11078" i="58"/>
  <c r="Q11635" i="58"/>
  <c r="Q11771" i="58"/>
  <c r="R11771" i="58" s="1"/>
  <c r="Q12636" i="58"/>
  <c r="R12636" i="58" s="1"/>
  <c r="Q8315" i="58"/>
  <c r="R8315" i="58" s="1"/>
  <c r="Q8775" i="58"/>
  <c r="R8775" i="58" s="1"/>
  <c r="Q9063" i="58"/>
  <c r="R9063" i="58" s="1"/>
  <c r="Q9966" i="58"/>
  <c r="R9966" i="58" s="1"/>
  <c r="J10455" i="58"/>
  <c r="J10685" i="58"/>
  <c r="Q10930" i="58"/>
  <c r="Q11392" i="58"/>
  <c r="R11392" i="58" s="1"/>
  <c r="Q11905" i="58"/>
  <c r="J11918" i="58"/>
  <c r="Q12023" i="58"/>
  <c r="R12023" i="58" s="1"/>
  <c r="Q12527" i="58"/>
  <c r="Q12526" i="58" s="1"/>
  <c r="R12526" i="58" s="1"/>
  <c r="J9316" i="58"/>
  <c r="J9680" i="58"/>
  <c r="Q9851" i="58"/>
  <c r="Q10023" i="58"/>
  <c r="R10023" i="58" s="1"/>
  <c r="Q10362" i="58"/>
  <c r="R10362" i="58" s="1"/>
  <c r="J10404" i="58"/>
  <c r="Q11079" i="58"/>
  <c r="R11079" i="58" s="1"/>
  <c r="Q11093" i="58"/>
  <c r="R11093" i="58" s="1"/>
  <c r="Q11259" i="58"/>
  <c r="Q11460" i="58"/>
  <c r="Q11575" i="58"/>
  <c r="R11575" i="58" s="1"/>
  <c r="Q11877" i="58"/>
  <c r="R11877" i="58" s="1"/>
  <c r="Q11965" i="58"/>
  <c r="R11965" i="58" s="1"/>
  <c r="Q13052" i="58"/>
  <c r="Q9351" i="58"/>
  <c r="J9758" i="58"/>
  <c r="J9896" i="58"/>
  <c r="Q10266" i="58"/>
  <c r="R10266" i="58" s="1"/>
  <c r="Q10297" i="58"/>
  <c r="R10297" i="58" s="1"/>
  <c r="Q10363" i="58"/>
  <c r="R10363" i="58" s="1"/>
  <c r="Q10609" i="58"/>
  <c r="R10609" i="58" s="1"/>
  <c r="Q10790" i="58"/>
  <c r="R10790" i="58" s="1"/>
  <c r="J10808" i="58"/>
  <c r="Q11003" i="58"/>
  <c r="Q11023" i="58"/>
  <c r="Q11545" i="58"/>
  <c r="J11760" i="58"/>
  <c r="Q11911" i="58"/>
  <c r="R11911" i="58" s="1"/>
  <c r="Q11971" i="58"/>
  <c r="R11971" i="58" s="1"/>
  <c r="Q8845" i="58"/>
  <c r="R8845" i="58" s="1"/>
  <c r="Q8871" i="58"/>
  <c r="R8871" i="58" s="1"/>
  <c r="Q8975" i="58"/>
  <c r="R8975" i="58" s="1"/>
  <c r="J9226" i="58"/>
  <c r="Q9235" i="58"/>
  <c r="R9235" i="58" s="1"/>
  <c r="Q9327" i="58"/>
  <c r="R9327" i="58" s="1"/>
  <c r="N9388" i="58"/>
  <c r="Q9924" i="58"/>
  <c r="R9924" i="58" s="1"/>
  <c r="Q10429" i="58"/>
  <c r="J11058" i="58"/>
  <c r="Q11461" i="58"/>
  <c r="R11461" i="58" s="1"/>
  <c r="Q11885" i="58"/>
  <c r="R11885" i="58" s="1"/>
  <c r="Q11959" i="58"/>
  <c r="Q12780" i="58"/>
  <c r="R12780" i="58" s="1"/>
  <c r="Q10622" i="58"/>
  <c r="R10622" i="58" s="1"/>
  <c r="J11036" i="58"/>
  <c r="Q11149" i="58"/>
  <c r="J11498" i="58"/>
  <c r="Q11584" i="58"/>
  <c r="J11672" i="58"/>
  <c r="Q11709" i="58"/>
  <c r="R11709" i="58" s="1"/>
  <c r="Q11759" i="58"/>
  <c r="R11759" i="58" s="1"/>
  <c r="Q11909" i="58"/>
  <c r="J12045" i="58"/>
  <c r="N8441" i="58"/>
  <c r="J11966" i="58"/>
  <c r="Q10257" i="58"/>
  <c r="J10344" i="58"/>
  <c r="Q10503" i="58"/>
  <c r="R10503" i="58" s="1"/>
  <c r="Q10783" i="58"/>
  <c r="Q11121" i="58"/>
  <c r="R11121" i="58" s="1"/>
  <c r="Q11157" i="58"/>
  <c r="R11157" i="58" s="1"/>
  <c r="Q11249" i="58"/>
  <c r="R11249" i="58" s="1"/>
  <c r="Q11275" i="58"/>
  <c r="Q11585" i="58"/>
  <c r="R11585" i="58" s="1"/>
  <c r="Q12486" i="58"/>
  <c r="R12486" i="58" s="1"/>
  <c r="Q12923" i="58"/>
  <c r="R12923" i="58" s="1"/>
  <c r="Q11625" i="58"/>
  <c r="Q12472" i="58"/>
  <c r="R12472" i="58" s="1"/>
  <c r="Q12480" i="58"/>
  <c r="Q12479" i="58" s="1"/>
  <c r="R12479" i="58" s="1"/>
  <c r="J11344" i="58"/>
  <c r="J11384" i="58"/>
  <c r="Q11884" i="58"/>
  <c r="J12131" i="58"/>
  <c r="J12138" i="58"/>
  <c r="J12145" i="58"/>
  <c r="J12283" i="58"/>
  <c r="N10852" i="58"/>
  <c r="Q10988" i="58"/>
  <c r="R10988" i="58" s="1"/>
  <c r="Q11229" i="58"/>
  <c r="R11229" i="58" s="1"/>
  <c r="Q11525" i="58"/>
  <c r="R11525" i="58" s="1"/>
  <c r="Q11565" i="58"/>
  <c r="Q12058" i="58"/>
  <c r="R12058" i="58" s="1"/>
  <c r="Q12321" i="58"/>
  <c r="R12321" i="58" s="1"/>
  <c r="Q12368" i="58"/>
  <c r="Q12908" i="58"/>
  <c r="D186" i="67"/>
  <c r="G186" i="67" s="1"/>
  <c r="D171" i="67"/>
  <c r="G171" i="67" s="1"/>
  <c r="G161" i="67" s="1"/>
  <c r="I161" i="67" s="1"/>
  <c r="D146" i="67"/>
  <c r="G146" i="67" s="1"/>
  <c r="G137" i="67" s="1"/>
  <c r="I137" i="67" s="1"/>
  <c r="D132" i="67"/>
  <c r="G132" i="67" s="1"/>
  <c r="G123" i="67" s="1"/>
  <c r="I123" i="67" s="1"/>
  <c r="D111" i="67"/>
  <c r="G111" i="67" s="1"/>
  <c r="G102" i="67" s="1"/>
  <c r="I102" i="67" s="1"/>
  <c r="D89" i="67"/>
  <c r="G89" i="67" s="1"/>
  <c r="G78" i="67" s="1"/>
  <c r="D71" i="67"/>
  <c r="G71" i="67" s="1"/>
  <c r="G60" i="67" s="1"/>
  <c r="D379" i="67"/>
  <c r="G379" i="67" s="1"/>
  <c r="D46" i="67"/>
  <c r="G46" i="67" s="1"/>
  <c r="G34" i="67" s="1"/>
  <c r="I34" i="67" s="1"/>
  <c r="D24" i="67"/>
  <c r="G24" i="67" s="1"/>
  <c r="G12" i="67" s="1"/>
  <c r="F8" i="52" s="1"/>
  <c r="D245" i="67"/>
  <c r="G245" i="67" s="1"/>
  <c r="D222" i="67"/>
  <c r="G222" i="67" s="1"/>
  <c r="D208" i="67"/>
  <c r="G208" i="67" s="1"/>
  <c r="Q12200" i="58"/>
  <c r="R12200" i="58" s="1"/>
  <c r="Q12207" i="58"/>
  <c r="R12207" i="58" s="1"/>
  <c r="Q12282" i="58"/>
  <c r="Q12825" i="58"/>
  <c r="R12825" i="58" s="1"/>
  <c r="Q12864" i="58"/>
  <c r="Q12863" i="58" s="1"/>
  <c r="R12863" i="58" s="1"/>
  <c r="M10244" i="58"/>
  <c r="N10244" i="58" s="1"/>
  <c r="J9788" i="58"/>
  <c r="J10132" i="58"/>
  <c r="J10224" i="58"/>
  <c r="Q10661" i="58"/>
  <c r="J11230" i="58"/>
  <c r="Q11443" i="58"/>
  <c r="R11443" i="58" s="1"/>
  <c r="J11894" i="58"/>
  <c r="Q11923" i="58"/>
  <c r="R11923" i="58" s="1"/>
  <c r="J11936" i="58"/>
  <c r="Q12608" i="58"/>
  <c r="R12608" i="58" s="1"/>
  <c r="J12628" i="58"/>
  <c r="Q12662" i="58"/>
  <c r="R12662" i="58" s="1"/>
  <c r="Q12671" i="58"/>
  <c r="Q13031" i="58"/>
  <c r="Q11670" i="58"/>
  <c r="R11670" i="58" s="1"/>
  <c r="J12598" i="58"/>
  <c r="J12902" i="58"/>
  <c r="Q12924" i="58"/>
  <c r="R12924" i="58" s="1"/>
  <c r="Q11218" i="58"/>
  <c r="R11218" i="58" s="1"/>
  <c r="Q11239" i="58"/>
  <c r="Q11383" i="58"/>
  <c r="R11383" i="58" s="1"/>
  <c r="Q11555" i="58"/>
  <c r="R11555" i="58" s="1"/>
  <c r="J11680" i="58"/>
  <c r="Q11910" i="58"/>
  <c r="R11910" i="58" s="1"/>
  <c r="J11990" i="58"/>
  <c r="Q12292" i="58"/>
  <c r="R12292" i="58" s="1"/>
  <c r="Q12341" i="58"/>
  <c r="R12341" i="58" s="1"/>
  <c r="J12560" i="58"/>
  <c r="Q12952" i="58"/>
  <c r="Q910" i="61"/>
  <c r="M10352" i="58"/>
  <c r="N10352" i="58" s="1"/>
  <c r="M10160" i="58"/>
  <c r="N10160" i="58" s="1"/>
  <c r="M10032" i="58"/>
  <c r="N10032" i="58" s="1"/>
  <c r="N10024" i="58" s="1"/>
  <c r="M9904" i="58"/>
  <c r="N9904" i="58" s="1"/>
  <c r="M9776" i="58"/>
  <c r="N9776" i="58" s="1"/>
  <c r="N9768" i="58" s="1"/>
  <c r="M9576" i="58"/>
  <c r="N9576" i="58" s="1"/>
  <c r="N9568" i="58" s="1"/>
  <c r="M9264" i="58"/>
  <c r="N9264" i="58" s="1"/>
  <c r="M10150" i="58"/>
  <c r="N10150" i="58" s="1"/>
  <c r="M10022" i="58"/>
  <c r="N10022" i="58" s="1"/>
  <c r="M9894" i="58"/>
  <c r="N9894" i="58" s="1"/>
  <c r="M9766" i="58"/>
  <c r="N9766" i="58" s="1"/>
  <c r="M9446" i="58"/>
  <c r="N9446" i="58" s="1"/>
  <c r="M9254" i="58"/>
  <c r="N9254" i="58" s="1"/>
  <c r="N9246" i="58" s="1"/>
  <c r="M10276" i="58"/>
  <c r="N10276" i="58" s="1"/>
  <c r="N10268" i="58" s="1"/>
  <c r="M10140" i="58"/>
  <c r="N10140" i="58" s="1"/>
  <c r="N10132" i="58" s="1"/>
  <c r="M10012" i="58"/>
  <c r="N10012" i="58" s="1"/>
  <c r="N10004" i="58" s="1"/>
  <c r="M9884" i="58"/>
  <c r="N9884" i="58" s="1"/>
  <c r="M9756" i="58"/>
  <c r="N9756" i="58" s="1"/>
  <c r="M9436" i="58"/>
  <c r="N9436" i="58" s="1"/>
  <c r="M9244" i="58"/>
  <c r="N9244" i="58" s="1"/>
  <c r="M9736" i="58"/>
  <c r="N9736" i="58" s="1"/>
  <c r="M10266" i="58"/>
  <c r="N10266" i="58" s="1"/>
  <c r="M9114" i="58"/>
  <c r="N9114" i="58" s="1"/>
  <c r="M10362" i="58"/>
  <c r="N10362" i="58" s="1"/>
  <c r="N10354" i="58" s="1"/>
  <c r="M10256" i="58"/>
  <c r="N10256" i="58" s="1"/>
  <c r="M9914" i="58"/>
  <c r="N9914" i="58" s="1"/>
  <c r="M9104" i="58"/>
  <c r="N9104" i="58" s="1"/>
  <c r="M9596" i="58"/>
  <c r="N9596" i="58" s="1"/>
  <c r="M9586" i="58"/>
  <c r="N9586" i="58" s="1"/>
  <c r="N9578" i="58" s="1"/>
  <c r="M9234" i="58"/>
  <c r="N9234" i="58" s="1"/>
  <c r="N9226" i="58" s="1"/>
  <c r="M10170" i="58"/>
  <c r="N10170" i="58" s="1"/>
  <c r="N10162" i="58" s="1"/>
  <c r="M9224" i="58"/>
  <c r="N9224" i="58" s="1"/>
  <c r="N9216" i="58" s="1"/>
  <c r="M9426" i="58"/>
  <c r="N9426" i="58" s="1"/>
  <c r="M9094" i="58"/>
  <c r="N9094" i="58" s="1"/>
  <c r="N9086" i="58" s="1"/>
  <c r="M9416" i="58"/>
  <c r="N9416" i="58" s="1"/>
  <c r="N9408" i="58" s="1"/>
  <c r="M9406" i="58"/>
  <c r="N9406" i="58" s="1"/>
  <c r="N9398" i="58" s="1"/>
  <c r="Q914" i="61"/>
  <c r="M10232" i="58"/>
  <c r="N10232" i="58" s="1"/>
  <c r="N10224" i="58" s="1"/>
  <c r="M10104" i="58"/>
  <c r="N10104" i="58" s="1"/>
  <c r="M9976" i="58"/>
  <c r="N9976" i="58" s="1"/>
  <c r="M9848" i="58"/>
  <c r="N9848" i="58" s="1"/>
  <c r="M9712" i="58"/>
  <c r="N9712" i="58" s="1"/>
  <c r="M9528" i="58"/>
  <c r="N9528" i="58" s="1"/>
  <c r="M9384" i="58"/>
  <c r="N9384" i="58" s="1"/>
  <c r="M9336" i="58"/>
  <c r="N9336" i="58" s="1"/>
  <c r="N9328" i="58" s="1"/>
  <c r="M9200" i="58"/>
  <c r="N9200" i="58" s="1"/>
  <c r="N9192" i="58" s="1"/>
  <c r="M9072" i="58"/>
  <c r="N9072" i="58" s="1"/>
  <c r="N9064" i="58" s="1"/>
  <c r="M10340" i="58"/>
  <c r="N10340" i="58" s="1"/>
  <c r="M10220" i="58"/>
  <c r="N10220" i="58" s="1"/>
  <c r="M10092" i="58"/>
  <c r="N10092" i="58" s="1"/>
  <c r="N10084" i="58" s="1"/>
  <c r="M9964" i="58"/>
  <c r="N9964" i="58" s="1"/>
  <c r="N9956" i="58" s="1"/>
  <c r="M9836" i="58"/>
  <c r="N9836" i="58" s="1"/>
  <c r="M9700" i="58"/>
  <c r="N9700" i="58" s="1"/>
  <c r="M9564" i="58"/>
  <c r="N9564" i="58" s="1"/>
  <c r="M9516" i="58"/>
  <c r="N9516" i="58" s="1"/>
  <c r="M9372" i="58"/>
  <c r="N9372" i="58" s="1"/>
  <c r="M9324" i="58"/>
  <c r="N9324" i="58" s="1"/>
  <c r="M9188" i="58"/>
  <c r="N9188" i="58" s="1"/>
  <c r="M9060" i="58"/>
  <c r="N9060" i="58" s="1"/>
  <c r="M9676" i="58"/>
  <c r="N9676" i="58" s="1"/>
  <c r="M9048" i="58"/>
  <c r="N9048" i="58" s="1"/>
  <c r="N9040" i="58" s="1"/>
  <c r="M10372" i="58"/>
  <c r="N10372" i="58" s="1"/>
  <c r="N10364" i="58" s="1"/>
  <c r="M9212" i="58"/>
  <c r="N9212" i="58" s="1"/>
  <c r="N9204" i="58" s="1"/>
  <c r="M10000" i="58"/>
  <c r="N10000" i="58" s="1"/>
  <c r="M9552" i="58"/>
  <c r="N9552" i="58" s="1"/>
  <c r="M9724" i="58"/>
  <c r="N9724" i="58" s="1"/>
  <c r="M9036" i="58"/>
  <c r="N9036" i="58" s="1"/>
  <c r="M10328" i="58"/>
  <c r="N10328" i="58" s="1"/>
  <c r="M9164" i="58"/>
  <c r="N9164" i="58" s="1"/>
  <c r="M9360" i="58"/>
  <c r="N9360" i="58" s="1"/>
  <c r="M10316" i="58"/>
  <c r="N10316" i="58" s="1"/>
  <c r="M9348" i="58"/>
  <c r="N9348" i="58" s="1"/>
  <c r="M9176" i="58"/>
  <c r="N9176" i="58" s="1"/>
  <c r="M10128" i="58"/>
  <c r="N10128" i="58" s="1"/>
  <c r="N10120" i="58" s="1"/>
  <c r="M9860" i="58"/>
  <c r="N9860" i="58" s="1"/>
  <c r="M9988" i="58"/>
  <c r="N9988" i="58" s="1"/>
  <c r="Q918" i="61"/>
  <c r="M4954" i="58"/>
  <c r="N4954" i="58" s="1"/>
  <c r="N4950" i="58" s="1"/>
  <c r="M4906" i="58"/>
  <c r="N4906" i="58" s="1"/>
  <c r="N4902" i="58" s="1"/>
  <c r="M4858" i="58"/>
  <c r="N4858" i="58" s="1"/>
  <c r="N4854" i="58" s="1"/>
  <c r="M5045" i="58"/>
  <c r="N5045" i="58" s="1"/>
  <c r="M4918" i="58"/>
  <c r="N4918" i="58" s="1"/>
  <c r="M4912" i="58"/>
  <c r="N4912" i="58" s="1"/>
  <c r="N4908" i="58" s="1"/>
  <c r="M5034" i="58"/>
  <c r="N5034" i="58" s="1"/>
  <c r="M4852" i="58"/>
  <c r="N4852" i="58" s="1"/>
  <c r="M4966" i="58"/>
  <c r="N4966" i="58" s="1"/>
  <c r="N4962" i="58" s="1"/>
  <c r="M4900" i="58"/>
  <c r="N4900" i="58" s="1"/>
  <c r="M4924" i="58"/>
  <c r="N4924" i="58" s="1"/>
  <c r="M4894" i="58"/>
  <c r="N4894" i="58" s="1"/>
  <c r="M4888" i="58"/>
  <c r="N4888" i="58" s="1"/>
  <c r="M4882" i="58"/>
  <c r="N4882" i="58" s="1"/>
  <c r="M4876" i="58"/>
  <c r="N4876" i="58" s="1"/>
  <c r="M4936" i="58"/>
  <c r="N4936" i="58" s="1"/>
  <c r="N4932" i="58" s="1"/>
  <c r="N5092" i="58"/>
  <c r="K2639" i="58"/>
  <c r="L2639" i="58" s="1"/>
  <c r="L2634" i="58" s="1"/>
  <c r="K605" i="58"/>
  <c r="L605" i="58" s="1"/>
  <c r="L600" i="58" s="1"/>
  <c r="K512" i="58"/>
  <c r="L512" i="58" s="1"/>
  <c r="L510" i="58" s="1"/>
  <c r="K464" i="58"/>
  <c r="L464" i="58" s="1"/>
  <c r="L462" i="58" s="1"/>
  <c r="K689" i="58"/>
  <c r="L689" i="58" s="1"/>
  <c r="L684" i="58" s="1"/>
  <c r="K587" i="58"/>
  <c r="L587" i="58" s="1"/>
  <c r="L582" i="58" s="1"/>
  <c r="K503" i="58"/>
  <c r="L503" i="58" s="1"/>
  <c r="L501" i="58" s="1"/>
  <c r="K455" i="58"/>
  <c r="L455" i="58" s="1"/>
  <c r="L453" i="58" s="1"/>
  <c r="K2675" i="58"/>
  <c r="L2675" i="58" s="1"/>
  <c r="L2670" i="58" s="1"/>
  <c r="K681" i="58"/>
  <c r="L681" i="58" s="1"/>
  <c r="L676" i="58" s="1"/>
  <c r="K564" i="58"/>
  <c r="L564" i="58" s="1"/>
  <c r="L559" i="58" s="1"/>
  <c r="K488" i="58"/>
  <c r="L488" i="58" s="1"/>
  <c r="L486" i="58" s="1"/>
  <c r="K434" i="58"/>
  <c r="L434" i="58" s="1"/>
  <c r="L432" i="58" s="1"/>
  <c r="K2669" i="58"/>
  <c r="L2669" i="58" s="1"/>
  <c r="L2664" i="58" s="1"/>
  <c r="K673" i="58"/>
  <c r="L673" i="58" s="1"/>
  <c r="L668" i="58" s="1"/>
  <c r="K556" i="58"/>
  <c r="L556" i="58" s="1"/>
  <c r="L551" i="58" s="1"/>
  <c r="K485" i="58"/>
  <c r="L485" i="58" s="1"/>
  <c r="L483" i="58" s="1"/>
  <c r="K431" i="58"/>
  <c r="L431" i="58" s="1"/>
  <c r="L429" i="58" s="1"/>
  <c r="K2663" i="58"/>
  <c r="L2663" i="58" s="1"/>
  <c r="L2658" i="58" s="1"/>
  <c r="K2633" i="58"/>
  <c r="L2633" i="58" s="1"/>
  <c r="L2628" i="58" s="1"/>
  <c r="K647" i="58"/>
  <c r="L647" i="58" s="1"/>
  <c r="L642" i="58" s="1"/>
  <c r="K521" i="58"/>
  <c r="L521" i="58" s="1"/>
  <c r="L519" i="58" s="1"/>
  <c r="K458" i="58"/>
  <c r="L458" i="58" s="1"/>
  <c r="L456" i="58" s="1"/>
  <c r="K641" i="58"/>
  <c r="L641" i="58" s="1"/>
  <c r="L636" i="58" s="1"/>
  <c r="K518" i="58"/>
  <c r="L518" i="58" s="1"/>
  <c r="L516" i="58" s="1"/>
  <c r="K452" i="58"/>
  <c r="L452" i="58" s="1"/>
  <c r="L450" i="58" s="1"/>
  <c r="K635" i="58"/>
  <c r="L635" i="58" s="1"/>
  <c r="L630" i="58" s="1"/>
  <c r="K515" i="58"/>
  <c r="L515" i="58" s="1"/>
  <c r="L513" i="58" s="1"/>
  <c r="K449" i="58"/>
  <c r="L449" i="58" s="1"/>
  <c r="L447" i="58" s="1"/>
  <c r="K623" i="58"/>
  <c r="L623" i="58" s="1"/>
  <c r="L618" i="58" s="1"/>
  <c r="K506" i="58"/>
  <c r="L506" i="58" s="1"/>
  <c r="L504" i="58" s="1"/>
  <c r="K443" i="58"/>
  <c r="L443" i="58" s="1"/>
  <c r="L441" i="58" s="1"/>
  <c r="K617" i="58"/>
  <c r="L617" i="58" s="1"/>
  <c r="L612" i="58" s="1"/>
  <c r="K500" i="58"/>
  <c r="L500" i="58" s="1"/>
  <c r="L498" i="58" s="1"/>
  <c r="K440" i="58"/>
  <c r="L440" i="58" s="1"/>
  <c r="L438" i="58" s="1"/>
  <c r="K437" i="58"/>
  <c r="L437" i="58" s="1"/>
  <c r="L435" i="58" s="1"/>
  <c r="K540" i="58"/>
  <c r="L540" i="58" s="1"/>
  <c r="L538" i="58" s="1"/>
  <c r="K2681" i="58"/>
  <c r="L2681" i="58" s="1"/>
  <c r="L2676" i="58" s="1"/>
  <c r="J12664" i="58"/>
  <c r="Q13045" i="58"/>
  <c r="R13045" i="58" s="1"/>
  <c r="N9276" i="58"/>
  <c r="Q12833" i="58"/>
  <c r="R12833" i="58" s="1"/>
  <c r="Q12893" i="58"/>
  <c r="R12893" i="58" s="1"/>
  <c r="Q13038" i="58"/>
  <c r="R13038" i="58" s="1"/>
  <c r="J13054" i="58"/>
  <c r="K467" i="58"/>
  <c r="L467" i="58" s="1"/>
  <c r="L465" i="58" s="1"/>
  <c r="K581" i="58"/>
  <c r="L581" i="58" s="1"/>
  <c r="L576" i="58" s="1"/>
  <c r="Q12117" i="58"/>
  <c r="Q12464" i="58"/>
  <c r="J12617" i="58"/>
  <c r="J12817" i="58"/>
  <c r="D333" i="67"/>
  <c r="G333" i="67" s="1"/>
  <c r="D306" i="67"/>
  <c r="G306" i="67" s="1"/>
  <c r="D293" i="67"/>
  <c r="G293" i="67" s="1"/>
  <c r="D320" i="67"/>
  <c r="G320" i="67" s="1"/>
  <c r="D414" i="67"/>
  <c r="G414" i="67" s="1"/>
  <c r="D405" i="67"/>
  <c r="G405" i="67" s="1"/>
  <c r="D280" i="67"/>
  <c r="G280" i="67" s="1"/>
  <c r="D395" i="67"/>
  <c r="G395" i="67" s="1"/>
  <c r="D267" i="67"/>
  <c r="G267" i="67" s="1"/>
  <c r="D359" i="67"/>
  <c r="G359" i="67" s="1"/>
  <c r="D346" i="67"/>
  <c r="G346" i="67" s="1"/>
  <c r="K3122" i="58"/>
  <c r="L3122" i="58" s="1"/>
  <c r="L3117" i="58" s="1"/>
  <c r="K3026" i="58"/>
  <c r="L3026" i="58" s="1"/>
  <c r="L3021" i="58" s="1"/>
  <c r="K2929" i="58"/>
  <c r="L2929" i="58" s="1"/>
  <c r="L2924" i="58" s="1"/>
  <c r="K2833" i="58"/>
  <c r="L2833" i="58" s="1"/>
  <c r="L2828" i="58" s="1"/>
  <c r="K2736" i="58"/>
  <c r="L2736" i="58" s="1"/>
  <c r="L2731" i="58" s="1"/>
  <c r="K2542" i="58"/>
  <c r="L2542" i="58" s="1"/>
  <c r="L2537" i="58" s="1"/>
  <c r="K2445" i="58"/>
  <c r="L2445" i="58" s="1"/>
  <c r="L2440" i="58" s="1"/>
  <c r="K2349" i="58"/>
  <c r="L2349" i="58" s="1"/>
  <c r="L2344" i="58" s="1"/>
  <c r="K2253" i="58"/>
  <c r="L2253" i="58" s="1"/>
  <c r="L2248" i="58" s="1"/>
  <c r="K2157" i="58"/>
  <c r="L2157" i="58" s="1"/>
  <c r="L2152" i="58" s="1"/>
  <c r="K2060" i="58"/>
  <c r="L2060" i="58" s="1"/>
  <c r="L2055" i="58" s="1"/>
  <c r="K1964" i="58"/>
  <c r="L1964" i="58" s="1"/>
  <c r="L1959" i="58" s="1"/>
  <c r="K1868" i="58"/>
  <c r="L1868" i="58" s="1"/>
  <c r="L1863" i="58" s="1"/>
  <c r="K1772" i="58"/>
  <c r="L1772" i="58" s="1"/>
  <c r="L1767" i="58" s="1"/>
  <c r="K1675" i="58"/>
  <c r="L1675" i="58" s="1"/>
  <c r="L1670" i="58" s="1"/>
  <c r="K1579" i="58"/>
  <c r="L1579" i="58" s="1"/>
  <c r="L1574" i="58" s="1"/>
  <c r="K1483" i="58"/>
  <c r="L1483" i="58" s="1"/>
  <c r="L1478" i="58" s="1"/>
  <c r="K1386" i="58"/>
  <c r="L1386" i="58" s="1"/>
  <c r="L1381" i="58" s="1"/>
  <c r="K1290" i="58"/>
  <c r="L1290" i="58" s="1"/>
  <c r="L1285" i="58" s="1"/>
  <c r="K1194" i="58"/>
  <c r="L1194" i="58" s="1"/>
  <c r="L1189" i="58" s="1"/>
  <c r="K1097" i="58"/>
  <c r="L1097" i="58" s="1"/>
  <c r="L1092" i="58" s="1"/>
  <c r="K1001" i="58"/>
  <c r="L1001" i="58" s="1"/>
  <c r="L996" i="58" s="1"/>
  <c r="K905" i="58"/>
  <c r="L905" i="58" s="1"/>
  <c r="L900" i="58" s="1"/>
  <c r="K809" i="58"/>
  <c r="L809" i="58" s="1"/>
  <c r="L804" i="58" s="1"/>
  <c r="K712" i="58"/>
  <c r="L712" i="58" s="1"/>
  <c r="L707" i="58" s="1"/>
  <c r="K398" i="58"/>
  <c r="L398" i="58" s="1"/>
  <c r="L393" i="58" s="1"/>
  <c r="K284" i="58"/>
  <c r="L284" i="58" s="1"/>
  <c r="L279" i="58" s="1"/>
  <c r="K3104" i="58"/>
  <c r="L3104" i="58" s="1"/>
  <c r="L3099" i="58" s="1"/>
  <c r="K3008" i="58"/>
  <c r="L3008" i="58" s="1"/>
  <c r="L3003" i="58" s="1"/>
  <c r="K2911" i="58"/>
  <c r="L2911" i="58" s="1"/>
  <c r="L2906" i="58" s="1"/>
  <c r="K2814" i="58"/>
  <c r="L2814" i="58" s="1"/>
  <c r="L2809" i="58" s="1"/>
  <c r="K2718" i="58"/>
  <c r="L2718" i="58" s="1"/>
  <c r="L2713" i="58" s="1"/>
  <c r="K2620" i="58"/>
  <c r="L2620" i="58" s="1"/>
  <c r="L2615" i="58" s="1"/>
  <c r="K2523" i="58"/>
  <c r="L2523" i="58" s="1"/>
  <c r="L2518" i="58" s="1"/>
  <c r="K2427" i="58"/>
  <c r="L2427" i="58" s="1"/>
  <c r="L2422" i="58" s="1"/>
  <c r="K2331" i="58"/>
  <c r="L2331" i="58" s="1"/>
  <c r="L2326" i="58" s="1"/>
  <c r="K2235" i="58"/>
  <c r="L2235" i="58" s="1"/>
  <c r="L2230" i="58" s="1"/>
  <c r="K2138" i="58"/>
  <c r="L2138" i="58" s="1"/>
  <c r="L2133" i="58" s="1"/>
  <c r="K2042" i="58"/>
  <c r="L2042" i="58" s="1"/>
  <c r="L2037" i="58" s="1"/>
  <c r="K1946" i="58"/>
  <c r="L1946" i="58" s="1"/>
  <c r="L1941" i="58" s="1"/>
  <c r="K1850" i="58"/>
  <c r="L1850" i="58" s="1"/>
  <c r="L1845" i="58" s="1"/>
  <c r="K1753" i="58"/>
  <c r="L1753" i="58" s="1"/>
  <c r="L1748" i="58" s="1"/>
  <c r="K1657" i="58"/>
  <c r="L1657" i="58" s="1"/>
  <c r="L1652" i="58" s="1"/>
  <c r="K1561" i="58"/>
  <c r="L1561" i="58" s="1"/>
  <c r="L1556" i="58" s="1"/>
  <c r="K1464" i="58"/>
  <c r="L1464" i="58" s="1"/>
  <c r="L1459" i="58" s="1"/>
  <c r="K1368" i="58"/>
  <c r="L1368" i="58" s="1"/>
  <c r="L1363" i="58" s="1"/>
  <c r="K1272" i="58"/>
  <c r="L1272" i="58" s="1"/>
  <c r="L1267" i="58" s="1"/>
  <c r="K1175" i="58"/>
  <c r="L1175" i="58" s="1"/>
  <c r="L1170" i="58" s="1"/>
  <c r="K1079" i="58"/>
  <c r="L1079" i="58" s="1"/>
  <c r="L1074" i="58" s="1"/>
  <c r="K983" i="58"/>
  <c r="L983" i="58" s="1"/>
  <c r="L978" i="58" s="1"/>
  <c r="K887" i="58"/>
  <c r="L887" i="58" s="1"/>
  <c r="L882" i="58" s="1"/>
  <c r="K790" i="58"/>
  <c r="L790" i="58" s="1"/>
  <c r="L785" i="58" s="1"/>
  <c r="K374" i="58"/>
  <c r="L374" i="58" s="1"/>
  <c r="L369" i="58" s="1"/>
  <c r="K266" i="58"/>
  <c r="L266" i="58" s="1"/>
  <c r="L260" i="58" s="1"/>
  <c r="K3116" i="58"/>
  <c r="L3116" i="58" s="1"/>
  <c r="L3111" i="58" s="1"/>
  <c r="K3002" i="58"/>
  <c r="L3002" i="58" s="1"/>
  <c r="L2997" i="58" s="1"/>
  <c r="K2893" i="58"/>
  <c r="L2893" i="58" s="1"/>
  <c r="L2888" i="58" s="1"/>
  <c r="K2784" i="58"/>
  <c r="L2784" i="58" s="1"/>
  <c r="L2779" i="58" s="1"/>
  <c r="K2566" i="58"/>
  <c r="L2566" i="58" s="1"/>
  <c r="L2561" i="58" s="1"/>
  <c r="K2457" i="58"/>
  <c r="L2457" i="58" s="1"/>
  <c r="L2452" i="58" s="1"/>
  <c r="K2343" i="58"/>
  <c r="L2343" i="58" s="1"/>
  <c r="L2338" i="58" s="1"/>
  <c r="K2229" i="58"/>
  <c r="L2229" i="58" s="1"/>
  <c r="L2224" i="58" s="1"/>
  <c r="K2120" i="58"/>
  <c r="L2120" i="58" s="1"/>
  <c r="L2115" i="58" s="1"/>
  <c r="K2012" i="58"/>
  <c r="L2012" i="58" s="1"/>
  <c r="L2007" i="58" s="1"/>
  <c r="K1904" i="58"/>
  <c r="L1904" i="58" s="1"/>
  <c r="L1899" i="58" s="1"/>
  <c r="K1796" i="58"/>
  <c r="L1796" i="58" s="1"/>
  <c r="L1791" i="58" s="1"/>
  <c r="K1687" i="58"/>
  <c r="L1687" i="58" s="1"/>
  <c r="L1682" i="58" s="1"/>
  <c r="K1573" i="58"/>
  <c r="L1573" i="58" s="1"/>
  <c r="L1568" i="58" s="1"/>
  <c r="K1458" i="58"/>
  <c r="L1458" i="58" s="1"/>
  <c r="L1453" i="58" s="1"/>
  <c r="K1350" i="58"/>
  <c r="L1350" i="58" s="1"/>
  <c r="L1345" i="58" s="1"/>
  <c r="K1242" i="58"/>
  <c r="L1242" i="58" s="1"/>
  <c r="L1237" i="58" s="1"/>
  <c r="K1133" i="58"/>
  <c r="L1133" i="58" s="1"/>
  <c r="L1128" i="58" s="1"/>
  <c r="K1025" i="58"/>
  <c r="L1025" i="58" s="1"/>
  <c r="L1020" i="58" s="1"/>
  <c r="K917" i="58"/>
  <c r="L917" i="58" s="1"/>
  <c r="L912" i="58" s="1"/>
  <c r="K803" i="58"/>
  <c r="L803" i="58" s="1"/>
  <c r="L798" i="58" s="1"/>
  <c r="K308" i="58"/>
  <c r="L308" i="58" s="1"/>
  <c r="L303" i="58" s="1"/>
  <c r="K3110" i="58"/>
  <c r="L3110" i="58" s="1"/>
  <c r="L3105" i="58" s="1"/>
  <c r="K2996" i="58"/>
  <c r="L2996" i="58" s="1"/>
  <c r="L2991" i="58" s="1"/>
  <c r="K2887" i="58"/>
  <c r="L2887" i="58" s="1"/>
  <c r="L2882" i="58" s="1"/>
  <c r="K2778" i="58"/>
  <c r="L2778" i="58" s="1"/>
  <c r="L2773" i="58" s="1"/>
  <c r="K2560" i="58"/>
  <c r="L2560" i="58" s="1"/>
  <c r="L2555" i="58" s="1"/>
  <c r="K2451" i="58"/>
  <c r="L2451" i="58" s="1"/>
  <c r="L2446" i="58" s="1"/>
  <c r="K2337" i="58"/>
  <c r="L2337" i="58" s="1"/>
  <c r="L2332" i="58" s="1"/>
  <c r="K2223" i="58"/>
  <c r="L2223" i="58" s="1"/>
  <c r="L2218" i="58" s="1"/>
  <c r="K2114" i="58"/>
  <c r="L2114" i="58" s="1"/>
  <c r="L2109" i="58" s="1"/>
  <c r="K2006" i="58"/>
  <c r="L2006" i="58" s="1"/>
  <c r="L2001" i="58" s="1"/>
  <c r="K1898" i="58"/>
  <c r="L1898" i="58" s="1"/>
  <c r="L1893" i="58" s="1"/>
  <c r="K1790" i="58"/>
  <c r="L1790" i="58" s="1"/>
  <c r="L1785" i="58" s="1"/>
  <c r="K1681" i="58"/>
  <c r="L1681" i="58" s="1"/>
  <c r="L1676" i="58" s="1"/>
  <c r="K1567" i="58"/>
  <c r="L1567" i="58" s="1"/>
  <c r="L1562" i="58" s="1"/>
  <c r="K1452" i="58"/>
  <c r="L1452" i="58" s="1"/>
  <c r="L1447" i="58" s="1"/>
  <c r="K1344" i="58"/>
  <c r="L1344" i="58" s="1"/>
  <c r="L1339" i="58" s="1"/>
  <c r="K1236" i="58"/>
  <c r="L1236" i="58" s="1"/>
  <c r="L1231" i="58" s="1"/>
  <c r="K1127" i="58"/>
  <c r="L1127" i="58" s="1"/>
  <c r="L1122" i="58" s="1"/>
  <c r="K1019" i="58"/>
  <c r="L1019" i="58" s="1"/>
  <c r="L1014" i="58" s="1"/>
  <c r="K911" i="58"/>
  <c r="L911" i="58" s="1"/>
  <c r="L906" i="58" s="1"/>
  <c r="K796" i="58"/>
  <c r="L796" i="58" s="1"/>
  <c r="L791" i="58" s="1"/>
  <c r="K302" i="58"/>
  <c r="L302" i="58" s="1"/>
  <c r="L297" i="58" s="1"/>
  <c r="K3098" i="58"/>
  <c r="L3098" i="58" s="1"/>
  <c r="L3093" i="58" s="1"/>
  <c r="K2990" i="58"/>
  <c r="L2990" i="58" s="1"/>
  <c r="L2985" i="58" s="1"/>
  <c r="K2881" i="58"/>
  <c r="L2881" i="58" s="1"/>
  <c r="L2876" i="58" s="1"/>
  <c r="K2772" i="58"/>
  <c r="L2772" i="58" s="1"/>
  <c r="L2767" i="58" s="1"/>
  <c r="K2554" i="58"/>
  <c r="L2554" i="58" s="1"/>
  <c r="L2549" i="58" s="1"/>
  <c r="K2439" i="58"/>
  <c r="L2439" i="58" s="1"/>
  <c r="L2434" i="58" s="1"/>
  <c r="K2325" i="58"/>
  <c r="L2325" i="58" s="1"/>
  <c r="L2320" i="58" s="1"/>
  <c r="K2217" i="58"/>
  <c r="L2217" i="58" s="1"/>
  <c r="L2212" i="58" s="1"/>
  <c r="K2108" i="58"/>
  <c r="L2108" i="58" s="1"/>
  <c r="L2103" i="58" s="1"/>
  <c r="K2000" i="58"/>
  <c r="L2000" i="58" s="1"/>
  <c r="L1995" i="58" s="1"/>
  <c r="K1892" i="58"/>
  <c r="L1892" i="58" s="1"/>
  <c r="L1887" i="58" s="1"/>
  <c r="K1784" i="58"/>
  <c r="L1784" i="58" s="1"/>
  <c r="L1779" i="58" s="1"/>
  <c r="K1669" i="58"/>
  <c r="L1669" i="58" s="1"/>
  <c r="L1664" i="58" s="1"/>
  <c r="K1555" i="58"/>
  <c r="L1555" i="58" s="1"/>
  <c r="L1550" i="58" s="1"/>
  <c r="K1446" i="58"/>
  <c r="L1446" i="58" s="1"/>
  <c r="L1441" i="58" s="1"/>
  <c r="K3050" i="58"/>
  <c r="L3050" i="58" s="1"/>
  <c r="L3045" i="58" s="1"/>
  <c r="K2917" i="58"/>
  <c r="L2917" i="58" s="1"/>
  <c r="L2912" i="58" s="1"/>
  <c r="K2766" i="58"/>
  <c r="L2766" i="58" s="1"/>
  <c r="L2761" i="58" s="1"/>
  <c r="K2499" i="58"/>
  <c r="L2499" i="58" s="1"/>
  <c r="L2494" i="58" s="1"/>
  <c r="K2373" i="58"/>
  <c r="L2373" i="58" s="1"/>
  <c r="L2368" i="58" s="1"/>
  <c r="K2241" i="58"/>
  <c r="L2241" i="58" s="1"/>
  <c r="L2236" i="58" s="1"/>
  <c r="K2090" i="58"/>
  <c r="L2090" i="58" s="1"/>
  <c r="L2085" i="58" s="1"/>
  <c r="K1958" i="58"/>
  <c r="L1958" i="58" s="1"/>
  <c r="L1953" i="58" s="1"/>
  <c r="K1826" i="58"/>
  <c r="L1826" i="58" s="1"/>
  <c r="L1821" i="58" s="1"/>
  <c r="K1699" i="58"/>
  <c r="L1699" i="58" s="1"/>
  <c r="L1694" i="58" s="1"/>
  <c r="K1543" i="58"/>
  <c r="L1543" i="58" s="1"/>
  <c r="L1538" i="58" s="1"/>
  <c r="K1416" i="58"/>
  <c r="L1416" i="58" s="1"/>
  <c r="L1411" i="58" s="1"/>
  <c r="K1296" i="58"/>
  <c r="L1296" i="58" s="1"/>
  <c r="L1291" i="58" s="1"/>
  <c r="K1163" i="58"/>
  <c r="L1163" i="58" s="1"/>
  <c r="L1158" i="58" s="1"/>
  <c r="K1043" i="58"/>
  <c r="L1043" i="58" s="1"/>
  <c r="L1038" i="58" s="1"/>
  <c r="K923" i="58"/>
  <c r="L923" i="58" s="1"/>
  <c r="L918" i="58" s="1"/>
  <c r="K778" i="58"/>
  <c r="L778" i="58" s="1"/>
  <c r="L773" i="58" s="1"/>
  <c r="K342" i="58"/>
  <c r="L342" i="58" s="1"/>
  <c r="L337" i="58" s="1"/>
  <c r="K3044" i="58"/>
  <c r="L3044" i="58" s="1"/>
  <c r="L3039" i="58" s="1"/>
  <c r="K2905" i="58"/>
  <c r="L2905" i="58" s="1"/>
  <c r="L2900" i="58" s="1"/>
  <c r="K2760" i="58"/>
  <c r="L2760" i="58" s="1"/>
  <c r="L2755" i="58" s="1"/>
  <c r="K2626" i="58"/>
  <c r="L2626" i="58" s="1"/>
  <c r="L2621" i="58" s="1"/>
  <c r="K2493" i="58"/>
  <c r="L2493" i="58" s="1"/>
  <c r="L2488" i="58" s="1"/>
  <c r="K2367" i="58"/>
  <c r="L2367" i="58" s="1"/>
  <c r="L2362" i="58" s="1"/>
  <c r="K2211" i="58"/>
  <c r="L2211" i="58" s="1"/>
  <c r="L2206" i="58" s="1"/>
  <c r="K2084" i="58"/>
  <c r="L2084" i="58" s="1"/>
  <c r="L2079" i="58" s="1"/>
  <c r="K1952" i="58"/>
  <c r="L1952" i="58" s="1"/>
  <c r="L1947" i="58" s="1"/>
  <c r="K1820" i="58"/>
  <c r="L1820" i="58" s="1"/>
  <c r="L1815" i="58" s="1"/>
  <c r="K1693" i="58"/>
  <c r="L1693" i="58" s="1"/>
  <c r="L1688" i="58" s="1"/>
  <c r="K1537" i="58"/>
  <c r="L1537" i="58" s="1"/>
  <c r="L1532" i="58" s="1"/>
  <c r="K1410" i="58"/>
  <c r="L1410" i="58" s="1"/>
  <c r="L1405" i="58" s="1"/>
  <c r="K1284" i="58"/>
  <c r="L1284" i="58" s="1"/>
  <c r="L1279" i="58" s="1"/>
  <c r="K1157" i="58"/>
  <c r="L1157" i="58" s="1"/>
  <c r="L1152" i="58" s="1"/>
  <c r="K1037" i="58"/>
  <c r="L1037" i="58" s="1"/>
  <c r="L1032" i="58" s="1"/>
  <c r="K899" i="58"/>
  <c r="L899" i="58" s="1"/>
  <c r="L894" i="58" s="1"/>
  <c r="K772" i="58"/>
  <c r="L772" i="58" s="1"/>
  <c r="L767" i="58" s="1"/>
  <c r="K334" i="58"/>
  <c r="L334" i="58" s="1"/>
  <c r="L329" i="58" s="1"/>
  <c r="K3038" i="58"/>
  <c r="L3038" i="58" s="1"/>
  <c r="L3033" i="58" s="1"/>
  <c r="K2899" i="58"/>
  <c r="L2899" i="58" s="1"/>
  <c r="L2894" i="58" s="1"/>
  <c r="K2754" i="58"/>
  <c r="L2754" i="58" s="1"/>
  <c r="L2749" i="58" s="1"/>
  <c r="K2614" i="58"/>
  <c r="L2614" i="58" s="1"/>
  <c r="L2609" i="58" s="1"/>
  <c r="K2487" i="58"/>
  <c r="L2487" i="58" s="1"/>
  <c r="L2482" i="58" s="1"/>
  <c r="K2361" i="58"/>
  <c r="L2361" i="58" s="1"/>
  <c r="L2356" i="58" s="1"/>
  <c r="K2205" i="58"/>
  <c r="L2205" i="58" s="1"/>
  <c r="L2200" i="58" s="1"/>
  <c r="K2078" i="58"/>
  <c r="L2078" i="58" s="1"/>
  <c r="L2073" i="58" s="1"/>
  <c r="K1940" i="58"/>
  <c r="L1940" i="58" s="1"/>
  <c r="L1935" i="58" s="1"/>
  <c r="K1814" i="58"/>
  <c r="L1814" i="58" s="1"/>
  <c r="L1809" i="58" s="1"/>
  <c r="K1663" i="58"/>
  <c r="L1663" i="58" s="1"/>
  <c r="L1658" i="58" s="1"/>
  <c r="K1531" i="58"/>
  <c r="L1531" i="58" s="1"/>
  <c r="L1526" i="58" s="1"/>
  <c r="K1404" i="58"/>
  <c r="L1404" i="58" s="1"/>
  <c r="L1399" i="58" s="1"/>
  <c r="K1278" i="58"/>
  <c r="L1278" i="58" s="1"/>
  <c r="L1273" i="58" s="1"/>
  <c r="K1151" i="58"/>
  <c r="L1151" i="58" s="1"/>
  <c r="L1146" i="58" s="1"/>
  <c r="K1031" i="58"/>
  <c r="L1031" i="58" s="1"/>
  <c r="L1026" i="58" s="1"/>
  <c r="K893" i="58"/>
  <c r="L893" i="58" s="1"/>
  <c r="L888" i="58" s="1"/>
  <c r="K766" i="58"/>
  <c r="L766" i="58" s="1"/>
  <c r="L761" i="58" s="1"/>
  <c r="K326" i="58"/>
  <c r="L326" i="58" s="1"/>
  <c r="L321" i="58" s="1"/>
  <c r="K3020" i="58"/>
  <c r="L3020" i="58" s="1"/>
  <c r="L3015" i="58" s="1"/>
  <c r="K2869" i="58"/>
  <c r="L2869" i="58" s="1"/>
  <c r="L2864" i="58" s="1"/>
  <c r="K2742" i="58"/>
  <c r="L2742" i="58" s="1"/>
  <c r="L2737" i="58" s="1"/>
  <c r="K2602" i="58"/>
  <c r="L2602" i="58" s="1"/>
  <c r="L2597" i="58" s="1"/>
  <c r="K2475" i="58"/>
  <c r="L2475" i="58" s="1"/>
  <c r="L2470" i="58" s="1"/>
  <c r="K2319" i="58"/>
  <c r="L2319" i="58" s="1"/>
  <c r="L2314" i="58" s="1"/>
  <c r="K2193" i="58"/>
  <c r="L2193" i="58" s="1"/>
  <c r="L2188" i="58" s="1"/>
  <c r="K2066" i="58"/>
  <c r="L2066" i="58" s="1"/>
  <c r="L2061" i="58" s="1"/>
  <c r="K1928" i="58"/>
  <c r="L1928" i="58" s="1"/>
  <c r="L1923" i="58" s="1"/>
  <c r="K1802" i="58"/>
  <c r="L1802" i="58" s="1"/>
  <c r="L1797" i="58" s="1"/>
  <c r="K1645" i="58"/>
  <c r="L1645" i="58" s="1"/>
  <c r="L1640" i="58" s="1"/>
  <c r="K1519" i="58"/>
  <c r="L1519" i="58" s="1"/>
  <c r="L1514" i="58" s="1"/>
  <c r="K1392" i="58"/>
  <c r="L1392" i="58" s="1"/>
  <c r="L1387" i="58" s="1"/>
  <c r="K1260" i="58"/>
  <c r="L1260" i="58" s="1"/>
  <c r="L1255" i="58" s="1"/>
  <c r="K1139" i="58"/>
  <c r="L1139" i="58" s="1"/>
  <c r="L1134" i="58" s="1"/>
  <c r="K1007" i="58"/>
  <c r="L1007" i="58" s="1"/>
  <c r="L1002" i="58" s="1"/>
  <c r="K875" i="58"/>
  <c r="L875" i="58" s="1"/>
  <c r="L870" i="58" s="1"/>
  <c r="K754" i="58"/>
  <c r="L754" i="58" s="1"/>
  <c r="L749" i="58" s="1"/>
  <c r="K314" i="58"/>
  <c r="L314" i="58" s="1"/>
  <c r="L309" i="58" s="1"/>
  <c r="K3014" i="58"/>
  <c r="L3014" i="58" s="1"/>
  <c r="L3009" i="58" s="1"/>
  <c r="K2863" i="58"/>
  <c r="L2863" i="58" s="1"/>
  <c r="L2858" i="58" s="1"/>
  <c r="K2730" i="58"/>
  <c r="L2730" i="58" s="1"/>
  <c r="L2725" i="58" s="1"/>
  <c r="K2596" i="58"/>
  <c r="L2596" i="58" s="1"/>
  <c r="L2591" i="58" s="1"/>
  <c r="K2469" i="58"/>
  <c r="L2469" i="58" s="1"/>
  <c r="L2464" i="58" s="1"/>
  <c r="K2313" i="58"/>
  <c r="L2313" i="58" s="1"/>
  <c r="L2308" i="58" s="1"/>
  <c r="K2187" i="58"/>
  <c r="L2187" i="58" s="1"/>
  <c r="L2182" i="58" s="1"/>
  <c r="K2054" i="58"/>
  <c r="L2054" i="58" s="1"/>
  <c r="L2049" i="58" s="1"/>
  <c r="K1922" i="58"/>
  <c r="L1922" i="58" s="1"/>
  <c r="L1917" i="58" s="1"/>
  <c r="K1778" i="58"/>
  <c r="L1778" i="58" s="1"/>
  <c r="L1773" i="58" s="1"/>
  <c r="K1639" i="58"/>
  <c r="L1639" i="58" s="1"/>
  <c r="L1634" i="58" s="1"/>
  <c r="K1513" i="58"/>
  <c r="L1513" i="58" s="1"/>
  <c r="L1508" i="58" s="1"/>
  <c r="K1380" i="58"/>
  <c r="L1380" i="58" s="1"/>
  <c r="L1375" i="58" s="1"/>
  <c r="K1254" i="58"/>
  <c r="L1254" i="58" s="1"/>
  <c r="L1249" i="58" s="1"/>
  <c r="K1121" i="58"/>
  <c r="L1121" i="58" s="1"/>
  <c r="L1116" i="58" s="1"/>
  <c r="K995" i="58"/>
  <c r="L995" i="58" s="1"/>
  <c r="L990" i="58" s="1"/>
  <c r="K869" i="58"/>
  <c r="L869" i="58" s="1"/>
  <c r="L864" i="58" s="1"/>
  <c r="K748" i="58"/>
  <c r="L748" i="58" s="1"/>
  <c r="L743" i="58" s="1"/>
  <c r="K296" i="58"/>
  <c r="L296" i="58" s="1"/>
  <c r="L291" i="58" s="1"/>
  <c r="K278" i="58"/>
  <c r="L278" i="58" s="1"/>
  <c r="L274" i="58" s="1"/>
  <c r="K470" i="58"/>
  <c r="L470" i="58" s="1"/>
  <c r="L468" i="58" s="1"/>
  <c r="K593" i="58"/>
  <c r="L593" i="58" s="1"/>
  <c r="L588" i="58" s="1"/>
  <c r="K815" i="58"/>
  <c r="L815" i="58" s="1"/>
  <c r="L810" i="58" s="1"/>
  <c r="K965" i="58"/>
  <c r="L965" i="58" s="1"/>
  <c r="L960" i="58" s="1"/>
  <c r="K1169" i="58"/>
  <c r="L1169" i="58" s="1"/>
  <c r="L1164" i="58" s="1"/>
  <c r="K1332" i="58"/>
  <c r="L1332" i="58" s="1"/>
  <c r="L1327" i="58" s="1"/>
  <c r="K1525" i="58"/>
  <c r="L1525" i="58" s="1"/>
  <c r="L1520" i="58" s="1"/>
  <c r="K1729" i="58"/>
  <c r="L1729" i="58" s="1"/>
  <c r="L1724" i="58" s="1"/>
  <c r="K1916" i="58"/>
  <c r="L1916" i="58" s="1"/>
  <c r="L1911" i="58" s="1"/>
  <c r="K2132" i="58"/>
  <c r="L2132" i="58" s="1"/>
  <c r="L2127" i="58" s="1"/>
  <c r="K2301" i="58"/>
  <c r="L2301" i="58" s="1"/>
  <c r="L2296" i="58" s="1"/>
  <c r="K2517" i="58"/>
  <c r="L2517" i="58" s="1"/>
  <c r="L2512" i="58" s="1"/>
  <c r="K2706" i="58"/>
  <c r="L2706" i="58" s="1"/>
  <c r="L2701" i="58" s="1"/>
  <c r="K2935" i="58"/>
  <c r="L2935" i="58" s="1"/>
  <c r="L2930" i="58" s="1"/>
  <c r="K3092" i="58"/>
  <c r="L3092" i="58" s="1"/>
  <c r="L3087" i="58" s="1"/>
  <c r="Q12961" i="58"/>
  <c r="M9806" i="58"/>
  <c r="N9806" i="58" s="1"/>
  <c r="N9798" i="58" s="1"/>
  <c r="M9944" i="58"/>
  <c r="N9944" i="58" s="1"/>
  <c r="N9936" i="58" s="1"/>
  <c r="M10052" i="58"/>
  <c r="N10052" i="58" s="1"/>
  <c r="N10044" i="58" s="1"/>
  <c r="J12953" i="58"/>
  <c r="I60" i="67"/>
  <c r="M9816" i="58"/>
  <c r="N9816" i="58" s="1"/>
  <c r="M9954" i="58"/>
  <c r="N9954" i="58" s="1"/>
  <c r="Q12150" i="58"/>
  <c r="R12150" i="58" s="1"/>
  <c r="Q12228" i="58"/>
  <c r="J13016" i="58"/>
  <c r="Q13032" i="58"/>
  <c r="R13032" i="58" s="1"/>
  <c r="Q909" i="61"/>
  <c r="M12354" i="58"/>
  <c r="N12354" i="58" s="1"/>
  <c r="N12343" i="58" s="1"/>
  <c r="M12406" i="58"/>
  <c r="N12406" i="58" s="1"/>
  <c r="N12395" i="58" s="1"/>
  <c r="M12393" i="58"/>
  <c r="N12393" i="58" s="1"/>
  <c r="M12380" i="58"/>
  <c r="N12380" i="58" s="1"/>
  <c r="N12369" i="58" s="1"/>
  <c r="Q913" i="61"/>
  <c r="M10296" i="58"/>
  <c r="N10296" i="58" s="1"/>
  <c r="M9656" i="58"/>
  <c r="N9656" i="58" s="1"/>
  <c r="M9456" i="58"/>
  <c r="N9456" i="58" s="1"/>
  <c r="M9144" i="58"/>
  <c r="N9144" i="58" s="1"/>
  <c r="M10286" i="58"/>
  <c r="N10286" i="58" s="1"/>
  <c r="M9646" i="58"/>
  <c r="N9646" i="58" s="1"/>
  <c r="M9134" i="58"/>
  <c r="N9134" i="58" s="1"/>
  <c r="M9636" i="58"/>
  <c r="N9636" i="58" s="1"/>
  <c r="M9124" i="58"/>
  <c r="N9124" i="58" s="1"/>
  <c r="M10200" i="58"/>
  <c r="N10200" i="58" s="1"/>
  <c r="N10192" i="58" s="1"/>
  <c r="M9934" i="58"/>
  <c r="N9934" i="58" s="1"/>
  <c r="M9314" i="58"/>
  <c r="N9314" i="58" s="1"/>
  <c r="M9486" i="58"/>
  <c r="N9486" i="58" s="1"/>
  <c r="N9478" i="58" s="1"/>
  <c r="M10190" i="58"/>
  <c r="N10190" i="58" s="1"/>
  <c r="N10182" i="58" s="1"/>
  <c r="M9924" i="58"/>
  <c r="N9924" i="58" s="1"/>
  <c r="N9916" i="58" s="1"/>
  <c r="M9666" i="58"/>
  <c r="N9666" i="58" s="1"/>
  <c r="N9658" i="58" s="1"/>
  <c r="M9304" i="58"/>
  <c r="N9304" i="58" s="1"/>
  <c r="M9826" i="58"/>
  <c r="N9826" i="58" s="1"/>
  <c r="N9818" i="58" s="1"/>
  <c r="M9476" i="58"/>
  <c r="N9476" i="58" s="1"/>
  <c r="M10180" i="58"/>
  <c r="N10180" i="58" s="1"/>
  <c r="M9294" i="58"/>
  <c r="N9294" i="58" s="1"/>
  <c r="Q917" i="61"/>
  <c r="M400" i="58"/>
  <c r="N400" i="58" s="1"/>
  <c r="N393" i="58" s="1"/>
  <c r="M9154" i="58"/>
  <c r="N9154" i="58" s="1"/>
  <c r="M9466" i="58"/>
  <c r="N9466" i="58" s="1"/>
  <c r="N9458" i="58" s="1"/>
  <c r="M12367" i="58"/>
  <c r="N12367" i="58" s="1"/>
  <c r="N12356" i="58" s="1"/>
  <c r="J12159" i="58"/>
  <c r="J12208" i="58"/>
  <c r="G119" i="51" s="1"/>
  <c r="Q12272" i="58"/>
  <c r="R12272" i="58" s="1"/>
  <c r="Q12498" i="58"/>
  <c r="Q12871" i="58"/>
  <c r="M10072" i="58"/>
  <c r="N10072" i="58" s="1"/>
  <c r="M9496" i="58"/>
  <c r="N9496" i="58" s="1"/>
  <c r="N9488" i="58" s="1"/>
  <c r="M10210" i="58"/>
  <c r="N10210" i="58" s="1"/>
  <c r="M9543" i="58"/>
  <c r="N9543" i="58" s="1"/>
  <c r="M9627" i="58"/>
  <c r="N9627" i="58" s="1"/>
  <c r="M9817" i="58"/>
  <c r="N9817" i="58" s="1"/>
  <c r="M10083" i="58"/>
  <c r="N10083" i="58" s="1"/>
  <c r="N10074" i="58" s="1"/>
  <c r="M10353" i="58"/>
  <c r="N10353" i="58" s="1"/>
  <c r="M9363" i="58"/>
  <c r="N9363" i="58" s="1"/>
  <c r="M9657" i="58"/>
  <c r="N9657" i="58" s="1"/>
  <c r="M9915" i="58"/>
  <c r="N9915" i="58" s="1"/>
  <c r="M9991" i="58"/>
  <c r="N9991" i="58" s="1"/>
  <c r="N9980" i="58" s="1"/>
  <c r="M10181" i="58"/>
  <c r="N10181" i="58" s="1"/>
  <c r="M10257" i="58"/>
  <c r="N10257" i="58" s="1"/>
  <c r="N10248" i="58" s="1"/>
  <c r="N10729" i="58"/>
  <c r="M9203" i="58"/>
  <c r="N9203" i="58" s="1"/>
  <c r="M9477" i="58"/>
  <c r="N9477" i="58" s="1"/>
  <c r="M9827" i="58"/>
  <c r="N9827" i="58" s="1"/>
  <c r="Q12848" i="58"/>
  <c r="R12848" i="58" s="1"/>
  <c r="Q911" i="61"/>
  <c r="M5090" i="58"/>
  <c r="N5090" i="58" s="1"/>
  <c r="N5083" i="58" s="1"/>
  <c r="M5081" i="58"/>
  <c r="N5081" i="58" s="1"/>
  <c r="Q915" i="61"/>
  <c r="M4789" i="58"/>
  <c r="N4789" i="58" s="1"/>
  <c r="M3957" i="58"/>
  <c r="N3957" i="58" s="1"/>
  <c r="N3949" i="58" s="1"/>
  <c r="M3813" i="58"/>
  <c r="N3813" i="58" s="1"/>
  <c r="N3805" i="58" s="1"/>
  <c r="M3930" i="58"/>
  <c r="N3930" i="58" s="1"/>
  <c r="N3922" i="58" s="1"/>
  <c r="M3786" i="58"/>
  <c r="N3786" i="58" s="1"/>
  <c r="N3778" i="58" s="1"/>
  <c r="Q919" i="61"/>
  <c r="M10343" i="58"/>
  <c r="N10343" i="58" s="1"/>
  <c r="M10287" i="58"/>
  <c r="N10287" i="58" s="1"/>
  <c r="N10278" i="58" s="1"/>
  <c r="M10223" i="58"/>
  <c r="N10223" i="58" s="1"/>
  <c r="M10151" i="58"/>
  <c r="N10151" i="58" s="1"/>
  <c r="N10142" i="58" s="1"/>
  <c r="M10095" i="58"/>
  <c r="N10095" i="58" s="1"/>
  <c r="M10023" i="58"/>
  <c r="N10023" i="58" s="1"/>
  <c r="M9967" i="58"/>
  <c r="N9967" i="58" s="1"/>
  <c r="M9895" i="58"/>
  <c r="N9895" i="58" s="1"/>
  <c r="M9839" i="58"/>
  <c r="N9839" i="58" s="1"/>
  <c r="M9767" i="58"/>
  <c r="N9767" i="58" s="1"/>
  <c r="M9703" i="58"/>
  <c r="N9703" i="58" s="1"/>
  <c r="M9647" i="58"/>
  <c r="N9647" i="58" s="1"/>
  <c r="N9638" i="58" s="1"/>
  <c r="M9567" i="58"/>
  <c r="N9567" i="58" s="1"/>
  <c r="M9519" i="58"/>
  <c r="N9519" i="58" s="1"/>
  <c r="M9447" i="58"/>
  <c r="N9447" i="58" s="1"/>
  <c r="N9438" i="58" s="1"/>
  <c r="M9375" i="58"/>
  <c r="N9375" i="58" s="1"/>
  <c r="M9327" i="58"/>
  <c r="N9327" i="58" s="1"/>
  <c r="N9316" i="58" s="1"/>
  <c r="M9255" i="58"/>
  <c r="N9255" i="58" s="1"/>
  <c r="M9191" i="58"/>
  <c r="N9191" i="58" s="1"/>
  <c r="N9180" i="58" s="1"/>
  <c r="M9135" i="58"/>
  <c r="N9135" i="58" s="1"/>
  <c r="N9126" i="58" s="1"/>
  <c r="M9063" i="58"/>
  <c r="N9063" i="58" s="1"/>
  <c r="M10277" i="58"/>
  <c r="N10277" i="58" s="1"/>
  <c r="M10141" i="58"/>
  <c r="N10141" i="58" s="1"/>
  <c r="M10013" i="58"/>
  <c r="N10013" i="58" s="1"/>
  <c r="M9885" i="58"/>
  <c r="N9885" i="58" s="1"/>
  <c r="M9757" i="58"/>
  <c r="N9757" i="58" s="1"/>
  <c r="M9637" i="58"/>
  <c r="N9637" i="58" s="1"/>
  <c r="N9628" i="58" s="1"/>
  <c r="M9437" i="58"/>
  <c r="N9437" i="58" s="1"/>
  <c r="M9245" i="58"/>
  <c r="N9245" i="58" s="1"/>
  <c r="M9125" i="58"/>
  <c r="N9125" i="58" s="1"/>
  <c r="M10403" i="58"/>
  <c r="N10403" i="58" s="1"/>
  <c r="M3867" i="58"/>
  <c r="N3867" i="58" s="1"/>
  <c r="N3859" i="58" s="1"/>
  <c r="M4758" i="58"/>
  <c r="N4758" i="58" s="1"/>
  <c r="N4749" i="58" s="1"/>
  <c r="M9039" i="58"/>
  <c r="N9039" i="58" s="1"/>
  <c r="M9115" i="58"/>
  <c r="N9115" i="58" s="1"/>
  <c r="N9106" i="58" s="1"/>
  <c r="M9305" i="58"/>
  <c r="N9305" i="58" s="1"/>
  <c r="N9296" i="58" s="1"/>
  <c r="M9667" i="58"/>
  <c r="N9667" i="58" s="1"/>
  <c r="M9727" i="58"/>
  <c r="N9727" i="58" s="1"/>
  <c r="M9925" i="58"/>
  <c r="N9925" i="58" s="1"/>
  <c r="M10191" i="58"/>
  <c r="N10191" i="58" s="1"/>
  <c r="M10267" i="58"/>
  <c r="N10267" i="58" s="1"/>
  <c r="J12866" i="58"/>
  <c r="J12980" i="58"/>
  <c r="Q13058" i="58"/>
  <c r="M9145" i="58"/>
  <c r="N9145" i="58" s="1"/>
  <c r="N9136" i="58" s="1"/>
  <c r="M9487" i="58"/>
  <c r="N9487" i="58" s="1"/>
  <c r="M9555" i="58"/>
  <c r="N9555" i="58" s="1"/>
  <c r="N9544" i="58" s="1"/>
  <c r="M10107" i="58"/>
  <c r="N10107" i="58" s="1"/>
  <c r="N10096" i="58" s="1"/>
  <c r="M10297" i="58"/>
  <c r="N10297" i="58" s="1"/>
  <c r="M10373" i="58"/>
  <c r="N10373" i="58" s="1"/>
  <c r="N8536" i="58"/>
  <c r="K46" i="58"/>
  <c r="L46" i="58" s="1"/>
  <c r="L44" i="58" s="1"/>
  <c r="K94" i="58"/>
  <c r="L94" i="58" s="1"/>
  <c r="L92" i="58" s="1"/>
  <c r="K142" i="58"/>
  <c r="L142" i="58" s="1"/>
  <c r="L140" i="58" s="1"/>
  <c r="K202" i="58"/>
  <c r="L202" i="58" s="1"/>
  <c r="L200" i="58" s="1"/>
  <c r="N8555" i="58"/>
  <c r="N11737" i="58"/>
  <c r="K43" i="63"/>
  <c r="E13" i="57" s="1"/>
  <c r="I13" i="57" s="1"/>
  <c r="Q12979" i="58"/>
  <c r="R12979" i="58" s="1"/>
  <c r="Q12987" i="58"/>
  <c r="Q13053" i="58"/>
  <c r="R13053" i="58" s="1"/>
  <c r="K55" i="58"/>
  <c r="L55" i="58" s="1"/>
  <c r="L53" i="58" s="1"/>
  <c r="K103" i="58"/>
  <c r="L103" i="58" s="1"/>
  <c r="L101" i="58" s="1"/>
  <c r="K151" i="58"/>
  <c r="L151" i="58" s="1"/>
  <c r="L149" i="58" s="1"/>
  <c r="K218" i="58"/>
  <c r="L218" i="58" s="1"/>
  <c r="L216" i="58" s="1"/>
  <c r="J1008" i="58"/>
  <c r="J4432" i="58"/>
  <c r="J3130" i="58"/>
  <c r="J4676" i="58"/>
  <c r="J906" i="58"/>
  <c r="J713" i="58"/>
  <c r="J1255" i="58"/>
  <c r="J2422" i="58"/>
  <c r="J1002" i="58"/>
  <c r="J1219" i="58"/>
  <c r="J2882" i="58"/>
  <c r="J1598" i="58"/>
  <c r="J2948" i="58"/>
  <c r="J582" i="58"/>
  <c r="J624" i="58"/>
  <c r="J828" i="58"/>
  <c r="J1514" i="58"/>
  <c r="J1520" i="58"/>
  <c r="J4425" i="58"/>
  <c r="J1821" i="58"/>
  <c r="J401" i="58"/>
  <c r="J954" i="58"/>
  <c r="J2434" i="58"/>
  <c r="J7256" i="58"/>
  <c r="J2918" i="58"/>
  <c r="J2152" i="58"/>
  <c r="J1134" i="58"/>
  <c r="J1050" i="58"/>
  <c r="J588" i="58"/>
  <c r="J5177" i="58"/>
  <c r="J654" i="58"/>
  <c r="J755" i="58"/>
  <c r="J972" i="58"/>
  <c r="J1128" i="58"/>
  <c r="J1267" i="58"/>
  <c r="J1971" i="58"/>
  <c r="J2164" i="58"/>
  <c r="J2206" i="58"/>
  <c r="J2615" i="58"/>
  <c r="J2683" i="58"/>
  <c r="J3787" i="58"/>
  <c r="J4649" i="58"/>
  <c r="J6451" i="58"/>
  <c r="J8082" i="58"/>
  <c r="J3087" i="58"/>
  <c r="J1381" i="58"/>
  <c r="J1676" i="58"/>
  <c r="J8748" i="58"/>
  <c r="J1375" i="58"/>
  <c r="J5824" i="58"/>
  <c r="J2628" i="58"/>
  <c r="J3895" i="58"/>
  <c r="J3977" i="58"/>
  <c r="J4271" i="58"/>
  <c r="J6038" i="58"/>
  <c r="J1724" i="58"/>
  <c r="E7" i="45"/>
  <c r="J1164" i="58"/>
  <c r="J1345" i="58"/>
  <c r="J7322" i="58"/>
  <c r="J4703" i="58"/>
  <c r="J4139" i="58"/>
  <c r="J1887" i="58"/>
  <c r="J1562" i="58"/>
  <c r="J2266" i="58"/>
  <c r="J2272" i="58"/>
  <c r="J2404" i="58"/>
  <c r="J2440" i="58"/>
  <c r="J2991" i="58"/>
  <c r="J4397" i="58"/>
  <c r="J4551" i="58"/>
  <c r="J5264" i="58"/>
  <c r="J2428" i="58"/>
  <c r="J888" i="58"/>
  <c r="J1502" i="58"/>
  <c r="J8498" i="58"/>
  <c r="J2212" i="58"/>
  <c r="J1532" i="58"/>
  <c r="J1014" i="58"/>
  <c r="J385" i="58"/>
  <c r="J1363" i="58"/>
  <c r="J1875" i="58"/>
  <c r="J1881" i="58"/>
  <c r="J1917" i="58"/>
  <c r="J1965" i="58"/>
  <c r="J2061" i="58"/>
  <c r="J3069" i="58"/>
  <c r="J3832" i="58"/>
  <c r="J4061" i="58"/>
  <c r="J816" i="58"/>
  <c r="J2719" i="58"/>
  <c r="J676" i="58"/>
  <c r="J2067" i="58"/>
  <c r="J2840" i="58"/>
  <c r="J3989" i="58"/>
  <c r="J6664" i="58"/>
  <c r="J749" i="58"/>
  <c r="J1923" i="58"/>
  <c r="J630" i="58"/>
  <c r="J1189" i="58"/>
  <c r="J1231" i="58"/>
  <c r="J1291" i="58"/>
  <c r="J2338" i="58"/>
  <c r="J2374" i="58"/>
  <c r="J2737" i="58"/>
  <c r="J2985" i="58"/>
  <c r="J5954" i="58"/>
  <c r="J6024" i="58"/>
  <c r="J6065" i="58"/>
  <c r="J10034" i="58"/>
  <c r="J5502" i="58"/>
  <c r="J684" i="58"/>
  <c r="J2906" i="58"/>
  <c r="J7893" i="58"/>
  <c r="J2043" i="58"/>
  <c r="J1080" i="58"/>
  <c r="J393" i="58"/>
  <c r="J409" i="58"/>
  <c r="J337" i="58"/>
  <c r="J648" i="58"/>
  <c r="J864" i="58"/>
  <c r="J1146" i="58"/>
  <c r="J1959" i="58"/>
  <c r="J2398" i="58"/>
  <c r="J2476" i="58"/>
  <c r="J2506" i="58"/>
  <c r="J2573" i="58"/>
  <c r="J2652" i="58"/>
  <c r="J3063" i="58"/>
  <c r="J4285" i="58"/>
  <c r="J5660" i="58"/>
  <c r="J6017" i="58"/>
  <c r="J7540" i="58"/>
  <c r="J2470" i="58"/>
  <c r="J1646" i="58"/>
  <c r="J1303" i="58"/>
  <c r="J4327" i="58"/>
  <c r="J321" i="58"/>
  <c r="J329" i="58"/>
  <c r="J345" i="58"/>
  <c r="J1038" i="58"/>
  <c r="J1140" i="58"/>
  <c r="J1526" i="58"/>
  <c r="J1568" i="58"/>
  <c r="J1791" i="58"/>
  <c r="J1995" i="58"/>
  <c r="J2055" i="58"/>
  <c r="J2368" i="58"/>
  <c r="J2543" i="58"/>
  <c r="J2822" i="58"/>
  <c r="J3021" i="58"/>
  <c r="J3814" i="58"/>
  <c r="J4502" i="58"/>
  <c r="J5134" i="58"/>
  <c r="J7697" i="58"/>
  <c r="J7704" i="58"/>
  <c r="J7675" i="58"/>
  <c r="J543" i="58"/>
  <c r="J600" i="58"/>
  <c r="J1201" i="58"/>
  <c r="J1700" i="58"/>
  <c r="J1754" i="58"/>
  <c r="J1851" i="58"/>
  <c r="J2356" i="58"/>
  <c r="J2500" i="58"/>
  <c r="J2531" i="58"/>
  <c r="J4604" i="58"/>
  <c r="J4749" i="58"/>
  <c r="J5024" i="58"/>
  <c r="J5228" i="58"/>
  <c r="J6143" i="58"/>
  <c r="J6299" i="58"/>
  <c r="J559" i="58"/>
  <c r="J834" i="58"/>
  <c r="J978" i="58"/>
  <c r="J1447" i="58"/>
  <c r="J1490" i="58"/>
  <c r="J1899" i="58"/>
  <c r="J1935" i="58"/>
  <c r="J1983" i="58"/>
  <c r="J2308" i="58"/>
  <c r="J2458" i="58"/>
  <c r="J2494" i="58"/>
  <c r="J2603" i="58"/>
  <c r="J2695" i="58"/>
  <c r="J3051" i="58"/>
  <c r="J3859" i="58"/>
  <c r="J3958" i="58"/>
  <c r="J4115" i="58"/>
  <c r="J4217" i="58"/>
  <c r="J4348" i="58"/>
  <c r="J4982" i="58"/>
  <c r="J5344" i="58"/>
  <c r="J5510" i="58"/>
  <c r="J6195" i="58"/>
  <c r="J6724" i="58"/>
  <c r="J267" i="58"/>
  <c r="J315" i="58"/>
  <c r="J725" i="58"/>
  <c r="J743" i="58"/>
  <c r="J773" i="58"/>
  <c r="J870" i="58"/>
  <c r="J1158" i="58"/>
  <c r="J1243" i="58"/>
  <c r="J1478" i="58"/>
  <c r="J1977" i="58"/>
  <c r="J2073" i="58"/>
  <c r="J2224" i="58"/>
  <c r="J3003" i="58"/>
  <c r="J4558" i="58"/>
  <c r="J7410" i="58"/>
  <c r="J9156" i="58"/>
  <c r="J642" i="58"/>
  <c r="J1062" i="58"/>
  <c r="J1195" i="58"/>
  <c r="J1279" i="58"/>
  <c r="J1327" i="58"/>
  <c r="J1357" i="58"/>
  <c r="J1435" i="58"/>
  <c r="J1441" i="58"/>
  <c r="J1544" i="58"/>
  <c r="J1586" i="58"/>
  <c r="J1592" i="58"/>
  <c r="J1658" i="58"/>
  <c r="J1736" i="58"/>
  <c r="J1839" i="58"/>
  <c r="J2091" i="58"/>
  <c r="J2597" i="58"/>
  <c r="J2761" i="58"/>
  <c r="J2785" i="58"/>
  <c r="J4355" i="58"/>
  <c r="J4595" i="58"/>
  <c r="J5639" i="58"/>
  <c r="J7445" i="58"/>
  <c r="J936" i="58"/>
  <c r="J1068" i="58"/>
  <c r="J1652" i="58"/>
  <c r="J1893" i="58"/>
  <c r="J2019" i="58"/>
  <c r="J2115" i="58"/>
  <c r="J2139" i="58"/>
  <c r="J2302" i="58"/>
  <c r="J2815" i="58"/>
  <c r="J2997" i="58"/>
  <c r="J3967" i="58"/>
  <c r="J3995" i="58"/>
  <c r="J4320" i="58"/>
  <c r="J4495" i="58"/>
  <c r="J4613" i="58"/>
  <c r="J5486" i="58"/>
  <c r="J5744" i="58"/>
  <c r="J6169" i="58"/>
  <c r="J6364" i="58"/>
  <c r="J6416" i="58"/>
  <c r="J7367" i="58"/>
  <c r="J9096" i="58"/>
  <c r="J5758" i="58"/>
  <c r="J6156" i="58"/>
  <c r="J309" i="58"/>
  <c r="J719" i="58"/>
  <c r="J966" i="58"/>
  <c r="J1104" i="58"/>
  <c r="J1309" i="58"/>
  <c r="J1351" i="58"/>
  <c r="J1429" i="58"/>
  <c r="J2013" i="58"/>
  <c r="J2133" i="58"/>
  <c r="J2182" i="58"/>
  <c r="J2634" i="58"/>
  <c r="J2689" i="58"/>
  <c r="J2713" i="58"/>
  <c r="J2749" i="58"/>
  <c r="J2852" i="58"/>
  <c r="J2888" i="58"/>
  <c r="J2954" i="58"/>
  <c r="J4055" i="58"/>
  <c r="J4067" i="58"/>
  <c r="J4079" i="58"/>
  <c r="J4667" i="58"/>
  <c r="J5219" i="58"/>
  <c r="J5393" i="58"/>
  <c r="J6031" i="58"/>
  <c r="J7833" i="58"/>
  <c r="J9544" i="58"/>
  <c r="J4369" i="58"/>
  <c r="J4376" i="58"/>
  <c r="J4568" i="58"/>
  <c r="J4730" i="58"/>
  <c r="J5316" i="58"/>
  <c r="J5811" i="58"/>
  <c r="J5902" i="58"/>
  <c r="J8399" i="58"/>
  <c r="J8790" i="58"/>
  <c r="F16" i="51" s="1"/>
  <c r="F15" i="51" s="1"/>
  <c r="J9876" i="58"/>
  <c r="J10236" i="58"/>
  <c r="J4383" i="58"/>
  <c r="J5996" i="58"/>
  <c r="J6507" i="58"/>
  <c r="J6919" i="58"/>
  <c r="J7158" i="58"/>
  <c r="J12709" i="58"/>
  <c r="J10517" i="58"/>
  <c r="J6182" i="58"/>
  <c r="J6325" i="58"/>
  <c r="J6390" i="58"/>
  <c r="J12544" i="58"/>
  <c r="J12858" i="58"/>
  <c r="J5737" i="58"/>
  <c r="J6351" i="58"/>
  <c r="J7214" i="58"/>
  <c r="J7781" i="58"/>
  <c r="J7923" i="58"/>
  <c r="J9064" i="58"/>
  <c r="J9246" i="58"/>
  <c r="J9478" i="58"/>
  <c r="J2960" i="58"/>
  <c r="J9716" i="58"/>
  <c r="J11180" i="58"/>
  <c r="J12369" i="58"/>
  <c r="J4685" i="58"/>
  <c r="J5695" i="58"/>
  <c r="J5772" i="58"/>
  <c r="J6117" i="58"/>
  <c r="J6493" i="58"/>
  <c r="J6859" i="58"/>
  <c r="J9116" i="58"/>
  <c r="J9980" i="58"/>
  <c r="J4631" i="58"/>
  <c r="J5330" i="58"/>
  <c r="J5430" i="58"/>
  <c r="J8216" i="58"/>
  <c r="J9052" i="58"/>
  <c r="J9376" i="58"/>
  <c r="J9692" i="58"/>
  <c r="J11047" i="58"/>
  <c r="J11556" i="58"/>
  <c r="J5148" i="58"/>
  <c r="J6010" i="58"/>
  <c r="J6604" i="58"/>
  <c r="J7718" i="58"/>
  <c r="J8026" i="58"/>
  <c r="J9916" i="58"/>
  <c r="J10096" i="58"/>
  <c r="J11698" i="58"/>
  <c r="J5379" i="58"/>
  <c r="J6990" i="58"/>
  <c r="J7739" i="58"/>
  <c r="J10467" i="58"/>
  <c r="J6679" i="58"/>
  <c r="J6814" i="58"/>
  <c r="J9106" i="58"/>
  <c r="J10863" i="58"/>
  <c r="J11783" i="58"/>
  <c r="J5968" i="58"/>
  <c r="J6286" i="58"/>
  <c r="J8989" i="58"/>
  <c r="J9418" i="58"/>
  <c r="J11313" i="58"/>
  <c r="J12166" i="58"/>
  <c r="J12173" i="58"/>
  <c r="J12243" i="58"/>
  <c r="J12895" i="58"/>
  <c r="J6574" i="58"/>
  <c r="J7004" i="58"/>
  <c r="J7228" i="58"/>
  <c r="J9628" i="58"/>
  <c r="J11190" i="58"/>
  <c r="J11286" i="58"/>
  <c r="J12727" i="58"/>
  <c r="J12187" i="58"/>
  <c r="J6045" i="58"/>
  <c r="J6969" i="58"/>
  <c r="J7011" i="58"/>
  <c r="J8721" i="58"/>
  <c r="J9926" i="58"/>
  <c r="J11069" i="58"/>
  <c r="J11636" i="58"/>
  <c r="J12432" i="58"/>
  <c r="J12700" i="58"/>
  <c r="J8832" i="58"/>
  <c r="J9738" i="58"/>
  <c r="J10955" i="58"/>
  <c r="J11294" i="58"/>
  <c r="J12736" i="58"/>
  <c r="J8047" i="58"/>
  <c r="J8963" i="58"/>
  <c r="J8976" i="58"/>
  <c r="J9286" i="58"/>
  <c r="J9398" i="58"/>
  <c r="J9840" i="58"/>
  <c r="J9992" i="58"/>
  <c r="J10542" i="58"/>
  <c r="J10792" i="58"/>
  <c r="J11353" i="58"/>
  <c r="J11645" i="58"/>
  <c r="J12024" i="58"/>
  <c r="J12587" i="58"/>
  <c r="J12646" i="58"/>
  <c r="J12834" i="58"/>
  <c r="J12443" i="58"/>
  <c r="J12842" i="58"/>
  <c r="J8005" i="58"/>
  <c r="J8682" i="58"/>
  <c r="J9508" i="58"/>
  <c r="J10248" i="58"/>
  <c r="J10841" i="58"/>
  <c r="J13007" i="58"/>
  <c r="J9086" i="58"/>
  <c r="J9638" i="58"/>
  <c r="J9648" i="58"/>
  <c r="J9778" i="58"/>
  <c r="J10773" i="58"/>
  <c r="J11616" i="58"/>
  <c r="J12808" i="58"/>
  <c r="J9306" i="58"/>
  <c r="J9388" i="58"/>
  <c r="J10320" i="58"/>
  <c r="J11749" i="58"/>
  <c r="J12323" i="58"/>
  <c r="J7746" i="58"/>
  <c r="J8392" i="58"/>
  <c r="J8517" i="58"/>
  <c r="J9428" i="58"/>
  <c r="J9748" i="58"/>
  <c r="J9864" i="58"/>
  <c r="J10182" i="58"/>
  <c r="J12944" i="58"/>
  <c r="J10108" i="58"/>
  <c r="J10443" i="58"/>
  <c r="J10696" i="58"/>
  <c r="J10718" i="58"/>
  <c r="J10740" i="58"/>
  <c r="J10819" i="58"/>
  <c r="J11507" i="58"/>
  <c r="J11546" i="58"/>
  <c r="J12082" i="58"/>
  <c r="J10874" i="58"/>
  <c r="J11170" i="58"/>
  <c r="J11335" i="58"/>
  <c r="J11361" i="58"/>
  <c r="J12112" i="58"/>
  <c r="J12152" i="58"/>
  <c r="J11200" i="58"/>
  <c r="J11435" i="58"/>
  <c r="J11444" i="58"/>
  <c r="J11654" i="58"/>
  <c r="J12073" i="58"/>
  <c r="J12303" i="58"/>
  <c r="J11080" i="58"/>
  <c r="J11369" i="58"/>
  <c r="J11954" i="58"/>
  <c r="J12215" i="58"/>
  <c r="J12333" i="58"/>
  <c r="I12" i="67"/>
  <c r="E8" i="52"/>
  <c r="J10084" i="58"/>
  <c r="J10638" i="58"/>
  <c r="J11024" i="58"/>
  <c r="J11606" i="58"/>
  <c r="J11924" i="58"/>
  <c r="J12031" i="58"/>
  <c r="J12535" i="58"/>
  <c r="J12553" i="58"/>
  <c r="J12754" i="58"/>
  <c r="J12881" i="58"/>
  <c r="J10332" i="58"/>
  <c r="J11150" i="58"/>
  <c r="J11711" i="58"/>
  <c r="J11822" i="58"/>
  <c r="J12180" i="58"/>
  <c r="J12201" i="58"/>
  <c r="F109" i="51" s="1"/>
  <c r="J12421" i="58"/>
  <c r="J12691" i="58"/>
  <c r="J13040" i="58"/>
  <c r="J10784" i="58"/>
  <c r="J10931" i="58"/>
  <c r="J11972" i="58"/>
  <c r="J12873" i="58"/>
  <c r="J10384" i="58"/>
  <c r="J10674" i="58"/>
  <c r="J11160" i="58"/>
  <c r="J11453" i="58"/>
  <c r="J12222" i="58"/>
  <c r="J12465" i="58"/>
  <c r="J12682" i="58"/>
  <c r="J12763" i="58"/>
  <c r="J12888" i="58"/>
  <c r="H13" i="57"/>
  <c r="L13" i="57" s="1"/>
  <c r="F13" i="57"/>
  <c r="J13" i="57" s="1"/>
  <c r="G13" i="57"/>
  <c r="K13" i="57" s="1"/>
  <c r="K9" i="57"/>
  <c r="K7" i="57" s="1"/>
  <c r="E11" i="59" s="1"/>
  <c r="E10" i="59" s="1"/>
  <c r="L9" i="57"/>
  <c r="L7" i="57" s="1"/>
  <c r="E13" i="59" s="1"/>
  <c r="E12" i="59" s="1"/>
  <c r="L29" i="63"/>
  <c r="F11" i="57" s="1"/>
  <c r="N11724" i="58"/>
  <c r="N4944" i="58"/>
  <c r="N9648" i="58"/>
  <c r="N10696" i="58"/>
  <c r="N10430" i="58"/>
  <c r="N4920" i="58"/>
  <c r="N8593" i="58"/>
  <c r="N9748" i="58"/>
  <c r="N10707" i="58"/>
  <c r="N10152" i="58"/>
  <c r="N9076" i="58"/>
  <c r="N4770" i="58"/>
  <c r="N10685" i="58"/>
  <c r="N9340" i="58"/>
  <c r="N12408" i="58"/>
  <c r="N9532" i="58"/>
  <c r="N9926" i="58"/>
  <c r="N8498" i="58"/>
  <c r="N9608" i="58"/>
  <c r="N12313" i="58"/>
  <c r="N10762" i="58"/>
  <c r="N4896" i="58"/>
  <c r="N9028" i="58"/>
  <c r="N10663" i="58"/>
  <c r="N10896" i="58"/>
  <c r="N10504" i="58"/>
  <c r="N10885" i="58"/>
  <c r="N9306" i="58"/>
  <c r="N9896" i="58"/>
  <c r="N12333" i="58"/>
  <c r="N9146" i="58"/>
  <c r="N9266" i="58"/>
  <c r="N9778" i="58"/>
  <c r="N10034" i="58"/>
  <c r="N4860" i="58"/>
  <c r="N9828" i="58"/>
  <c r="N9256" i="58"/>
  <c r="N9906" i="58"/>
  <c r="N12263" i="58"/>
  <c r="N10491" i="58"/>
  <c r="N12253" i="58"/>
  <c r="N4872" i="58"/>
  <c r="N8631" i="58"/>
  <c r="N12283" i="58"/>
  <c r="N9758" i="58"/>
  <c r="N12293" i="58"/>
  <c r="N5065" i="58"/>
  <c r="N9618" i="58"/>
  <c r="N10202" i="58"/>
  <c r="N9376" i="58"/>
  <c r="N9840" i="58"/>
  <c r="N10417" i="58"/>
  <c r="N4780" i="58"/>
  <c r="N9520" i="58"/>
  <c r="N12323" i="58"/>
  <c r="N9588" i="58"/>
  <c r="N12513" i="58"/>
  <c r="N9886" i="58"/>
  <c r="N4759" i="58"/>
  <c r="N9364" i="58"/>
  <c r="N10332" i="58"/>
  <c r="N12617" i="58"/>
  <c r="N9692" i="58"/>
  <c r="N10841" i="58"/>
  <c r="N9286" i="58"/>
  <c r="N9598" i="58"/>
  <c r="N4836" i="58"/>
  <c r="N10064" i="58"/>
  <c r="N12303" i="58"/>
  <c r="N5074" i="58"/>
  <c r="N9680" i="58"/>
  <c r="N8517" i="58"/>
  <c r="N12382" i="58"/>
  <c r="N9728" i="58"/>
  <c r="N10014" i="58"/>
  <c r="J18" i="60"/>
  <c r="D244" i="67" s="1"/>
  <c r="G244" i="67" s="1"/>
  <c r="G233" i="67" s="1"/>
  <c r="J15" i="60"/>
  <c r="J19" i="60"/>
  <c r="J16" i="60"/>
  <c r="Q1728" i="58"/>
  <c r="R1729" i="58"/>
  <c r="Q2060" i="58"/>
  <c r="R2060" i="58" s="1"/>
  <c r="Q1638" i="58"/>
  <c r="Q112" i="58"/>
  <c r="R112" i="58" s="1"/>
  <c r="Q1301" i="58"/>
  <c r="R1302" i="58"/>
  <c r="R3447" i="58"/>
  <c r="Q3446" i="58"/>
  <c r="Q1450" i="58"/>
  <c r="R1450" i="58" s="1"/>
  <c r="R1451" i="58"/>
  <c r="Q263" i="58"/>
  <c r="Q1404" i="58"/>
  <c r="R1404" i="58" s="1"/>
  <c r="Q3375" i="58"/>
  <c r="R3375" i="58" s="1"/>
  <c r="Q3434" i="58"/>
  <c r="R3434" i="58" s="1"/>
  <c r="R3435" i="58"/>
  <c r="Q3831" i="58"/>
  <c r="Q3982" i="58"/>
  <c r="R3982" i="58" s="1"/>
  <c r="Q16" i="58"/>
  <c r="Q73" i="58"/>
  <c r="Q139" i="58"/>
  <c r="R278" i="58"/>
  <c r="R971" i="58"/>
  <c r="Q970" i="58"/>
  <c r="Q1981" i="58"/>
  <c r="R1981" i="58" s="1"/>
  <c r="R1982" i="58"/>
  <c r="R3475" i="58"/>
  <c r="R3476" i="58"/>
  <c r="Q4150" i="58"/>
  <c r="Q1185" i="58"/>
  <c r="R1186" i="58"/>
  <c r="Q3921" i="58"/>
  <c r="Q4543" i="58"/>
  <c r="R4543" i="58" s="1"/>
  <c r="Q115" i="58"/>
  <c r="R115" i="58" s="1"/>
  <c r="Q221" i="58"/>
  <c r="R221" i="58" s="1"/>
  <c r="Q611" i="58"/>
  <c r="R611" i="58" s="1"/>
  <c r="Q144" i="58"/>
  <c r="Q2523" i="58"/>
  <c r="R2523" i="58" s="1"/>
  <c r="R3074" i="58"/>
  <c r="Q3073" i="58"/>
  <c r="R3322" i="58"/>
  <c r="R3323" i="58"/>
  <c r="R3615" i="58"/>
  <c r="Q3614" i="58"/>
  <c r="Q203" i="58"/>
  <c r="R203" i="58" s="1"/>
  <c r="R204" i="58"/>
  <c r="Q1030" i="58"/>
  <c r="R1030" i="58" s="1"/>
  <c r="R1031" i="58"/>
  <c r="Q1657" i="58"/>
  <c r="R1657" i="58" s="1"/>
  <c r="R10" i="58"/>
  <c r="Q9" i="58"/>
  <c r="Q3218" i="58"/>
  <c r="Q58" i="58"/>
  <c r="Q658" i="58"/>
  <c r="R659" i="58"/>
  <c r="Q1121" i="58"/>
  <c r="Q1151" i="58"/>
  <c r="R1151" i="58" s="1"/>
  <c r="R1260" i="58"/>
  <c r="Q1259" i="58"/>
  <c r="Q1409" i="58"/>
  <c r="Q1597" i="58"/>
  <c r="Q1633" i="58"/>
  <c r="Q1842" i="58"/>
  <c r="Q3320" i="58"/>
  <c r="Q3437" i="58"/>
  <c r="R3438" i="58"/>
  <c r="Q3693" i="58"/>
  <c r="R3694" i="58"/>
  <c r="Q2077" i="58"/>
  <c r="R2078" i="58"/>
  <c r="Q1747" i="58"/>
  <c r="Q4402" i="58"/>
  <c r="R4403" i="58"/>
  <c r="Q1052" i="58"/>
  <c r="Q1582" i="58"/>
  <c r="R1583" i="58"/>
  <c r="Q1277" i="58"/>
  <c r="R1278" i="58"/>
  <c r="R3527" i="58"/>
  <c r="R3526" i="58"/>
  <c r="Q220" i="58"/>
  <c r="Q610" i="58"/>
  <c r="R610" i="58" s="1"/>
  <c r="Q753" i="58"/>
  <c r="R753" i="58" s="1"/>
  <c r="R754" i="58"/>
  <c r="Q838" i="58"/>
  <c r="R838" i="58" s="1"/>
  <c r="R839" i="58"/>
  <c r="Q1963" i="58"/>
  <c r="R1964" i="58"/>
  <c r="Q2958" i="58"/>
  <c r="R2959" i="58"/>
  <c r="R3756" i="58"/>
  <c r="Q3755" i="58"/>
  <c r="R4120" i="58"/>
  <c r="Q4119" i="58"/>
  <c r="Q436" i="58"/>
  <c r="R437" i="58"/>
  <c r="Q1752" i="58"/>
  <c r="R1752" i="58" s="1"/>
  <c r="R1753" i="58"/>
  <c r="R3310" i="58"/>
  <c r="R3311" i="58"/>
  <c r="Q1263" i="58"/>
  <c r="Q2053" i="58"/>
  <c r="R2054" i="58"/>
  <c r="Q4612" i="58"/>
  <c r="Q7394" i="58"/>
  <c r="R7394" i="58" s="1"/>
  <c r="R7395" i="58"/>
  <c r="Q177" i="58"/>
  <c r="Q302" i="58"/>
  <c r="R302" i="58" s="1"/>
  <c r="R758" i="58"/>
  <c r="Q757" i="58"/>
  <c r="R757" i="58" s="1"/>
  <c r="Q2433" i="58"/>
  <c r="R85" i="58"/>
  <c r="Q84" i="58"/>
  <c r="Q3558" i="58"/>
  <c r="R3558" i="58" s="1"/>
  <c r="Q123" i="58"/>
  <c r="R123" i="58" s="1"/>
  <c r="R124" i="58"/>
  <c r="Q2904" i="58"/>
  <c r="Q171" i="58"/>
  <c r="R171" i="58" s="1"/>
  <c r="R172" i="58"/>
  <c r="Q856" i="58"/>
  <c r="R857" i="58"/>
  <c r="R4277" i="58"/>
  <c r="Q4276" i="58"/>
  <c r="R4276" i="58" s="1"/>
  <c r="Q31" i="58"/>
  <c r="R31" i="58" s="1"/>
  <c r="Q247" i="58"/>
  <c r="R247" i="58" s="1"/>
  <c r="R248" i="58"/>
  <c r="Q374" i="58"/>
  <c r="R375" i="58"/>
  <c r="R935" i="58"/>
  <c r="Q1007" i="58"/>
  <c r="R1007" i="58" s="1"/>
  <c r="Q1482" i="58"/>
  <c r="R1482" i="58" s="1"/>
  <c r="Q3390" i="58"/>
  <c r="R3390" i="58" s="1"/>
  <c r="Q1114" i="58"/>
  <c r="R1115" i="58"/>
  <c r="Q301" i="58"/>
  <c r="Q537" i="58"/>
  <c r="Q1048" i="58"/>
  <c r="R1049" i="58"/>
  <c r="Q1217" i="58"/>
  <c r="Q1661" i="58"/>
  <c r="R1662" i="58"/>
  <c r="R3150" i="58"/>
  <c r="Q3149" i="58"/>
  <c r="Q4240" i="58"/>
  <c r="R4240" i="58" s="1"/>
  <c r="R1272" i="58"/>
  <c r="Q1271" i="58"/>
  <c r="R1271" i="58" s="1"/>
  <c r="Q4521" i="58"/>
  <c r="R4522" i="58"/>
  <c r="R82" i="58"/>
  <c r="Q81" i="58"/>
  <c r="Q428" i="58"/>
  <c r="Q815" i="58"/>
  <c r="R1495" i="58"/>
  <c r="Q1494" i="58"/>
  <c r="R1494" i="58" s="1"/>
  <c r="Q2142" i="58"/>
  <c r="Q2800" i="58"/>
  <c r="R2801" i="58"/>
  <c r="Q163" i="58"/>
  <c r="Q742" i="58"/>
  <c r="Q1949" i="58"/>
  <c r="R486" i="58"/>
  <c r="Q3452" i="58"/>
  <c r="R3452" i="58" s="1"/>
  <c r="R3453" i="58"/>
  <c r="R4757" i="58"/>
  <c r="Q4756" i="58"/>
  <c r="Q154" i="58"/>
  <c r="R154" i="58" s="1"/>
  <c r="Q217" i="58"/>
  <c r="R217" i="58" s="1"/>
  <c r="Q314" i="58"/>
  <c r="R1193" i="58"/>
  <c r="Q1192" i="58"/>
  <c r="Q1814" i="58"/>
  <c r="Q4702" i="58"/>
  <c r="R3002" i="58"/>
  <c r="Q3001" i="58"/>
  <c r="Q45" i="58"/>
  <c r="R45" i="58" s="1"/>
  <c r="Q87" i="58"/>
  <c r="R88" i="58"/>
  <c r="Q182" i="58"/>
  <c r="J260" i="58"/>
  <c r="Q1073" i="58"/>
  <c r="R1073" i="58" s="1"/>
  <c r="Q1710" i="58"/>
  <c r="R1710" i="58" s="1"/>
  <c r="Q1819" i="58"/>
  <c r="R2626" i="58"/>
  <c r="Q2625" i="58"/>
  <c r="R2625" i="58" s="1"/>
  <c r="Q3573" i="58"/>
  <c r="R3573" i="58" s="1"/>
  <c r="Q3678" i="58"/>
  <c r="R3678" i="58" s="1"/>
  <c r="Q3381" i="58"/>
  <c r="Q3414" i="58"/>
  <c r="R3414" i="58" s="1"/>
  <c r="R3472" i="58"/>
  <c r="R3698" i="58"/>
  <c r="R3697" i="58"/>
  <c r="Q2217" i="58"/>
  <c r="R2217" i="58" s="1"/>
  <c r="R3729" i="58"/>
  <c r="Q7387" i="58"/>
  <c r="R7388" i="58"/>
  <c r="Q21" i="58"/>
  <c r="R21" i="58" s="1"/>
  <c r="Q118" i="58"/>
  <c r="R118" i="58" s="1"/>
  <c r="Q250" i="58"/>
  <c r="R250" i="58" s="1"/>
  <c r="Q629" i="58"/>
  <c r="Q2439" i="58"/>
  <c r="R2439" i="58" s="1"/>
  <c r="Q2454" i="58"/>
  <c r="R3624" i="58"/>
  <c r="Q3623" i="58"/>
  <c r="Q3734" i="58"/>
  <c r="R3735" i="58"/>
  <c r="Q431" i="58"/>
  <c r="R431" i="58" s="1"/>
  <c r="Q445" i="58"/>
  <c r="R445" i="58" s="1"/>
  <c r="R519" i="58"/>
  <c r="Q1975" i="58"/>
  <c r="R1975" i="58" s="1"/>
  <c r="R1976" i="58"/>
  <c r="Q3839" i="58"/>
  <c r="Q4101" i="58"/>
  <c r="R4101" i="58" s="1"/>
  <c r="R4102" i="58"/>
  <c r="Q573" i="58"/>
  <c r="Q635" i="58"/>
  <c r="R635" i="58" s="1"/>
  <c r="R3597" i="58"/>
  <c r="Q4236" i="58"/>
  <c r="Q467" i="58"/>
  <c r="R467" i="58" s="1"/>
  <c r="Q922" i="58"/>
  <c r="R922" i="58" s="1"/>
  <c r="Q995" i="58"/>
  <c r="Q580" i="58"/>
  <c r="Q1380" i="58"/>
  <c r="R4186" i="58"/>
  <c r="Q4185" i="58"/>
  <c r="Q4869" i="58"/>
  <c r="Q5243" i="58"/>
  <c r="R5243" i="58" s="1"/>
  <c r="R5244" i="58"/>
  <c r="Q319" i="58"/>
  <c r="R319" i="58" s="1"/>
  <c r="Q558" i="58"/>
  <c r="Q958" i="58"/>
  <c r="Q963" i="58"/>
  <c r="R963" i="58" s="1"/>
  <c r="R2583" i="58"/>
  <c r="Q43" i="58"/>
  <c r="Q129" i="58"/>
  <c r="J606" i="58"/>
  <c r="Q765" i="58"/>
  <c r="Q827" i="58"/>
  <c r="Q903" i="58"/>
  <c r="J1032" i="58"/>
  <c r="Q1609" i="58"/>
  <c r="R1609" i="58" s="1"/>
  <c r="Q1668" i="58"/>
  <c r="Q2426" i="58"/>
  <c r="Q2688" i="58"/>
  <c r="Q2694" i="58"/>
  <c r="Q2778" i="58"/>
  <c r="R2778" i="58" s="1"/>
  <c r="J2900" i="58"/>
  <c r="Q3055" i="58"/>
  <c r="R3055" i="58" s="1"/>
  <c r="Q3231" i="58"/>
  <c r="R3231" i="58" s="1"/>
  <c r="Q3507" i="58"/>
  <c r="Q3684" i="58"/>
  <c r="R4226" i="58"/>
  <c r="Q4319" i="58"/>
  <c r="Q4881" i="58"/>
  <c r="R4881" i="58" s="1"/>
  <c r="R4882" i="58"/>
  <c r="Q6271" i="58"/>
  <c r="R6271" i="58" s="1"/>
  <c r="R6272" i="58"/>
  <c r="Q8355" i="58"/>
  <c r="Q2547" i="58"/>
  <c r="Q3441" i="58"/>
  <c r="R5064" i="58"/>
  <c r="Q803" i="58"/>
  <c r="Q1344" i="58"/>
  <c r="R1344" i="58" s="1"/>
  <c r="R3145" i="58"/>
  <c r="Q3143" i="58"/>
  <c r="R3143" i="58" s="1"/>
  <c r="Q4918" i="58"/>
  <c r="R4919" i="58"/>
  <c r="Q3930" i="58"/>
  <c r="R3930" i="58" s="1"/>
  <c r="Q4638" i="58"/>
  <c r="R4639" i="58"/>
  <c r="Q18" i="58"/>
  <c r="Q75" i="58"/>
  <c r="R76" i="58"/>
  <c r="Q1053" i="58"/>
  <c r="R1053" i="58" s="1"/>
  <c r="Q1181" i="58"/>
  <c r="Q1579" i="58"/>
  <c r="Q2247" i="58"/>
  <c r="R2247" i="58" s="1"/>
  <c r="R12943" i="58"/>
  <c r="Q233" i="58"/>
  <c r="Q2186" i="58"/>
  <c r="Q2619" i="58"/>
  <c r="R2819" i="58"/>
  <c r="Q2818" i="58"/>
  <c r="Q3372" i="58"/>
  <c r="J5282" i="58"/>
  <c r="Q6349" i="58"/>
  <c r="R6350" i="58"/>
  <c r="Q52" i="58"/>
  <c r="Q106" i="58"/>
  <c r="R106" i="58" s="1"/>
  <c r="R107" i="58"/>
  <c r="Q392" i="58"/>
  <c r="Q442" i="58"/>
  <c r="Q756" i="58"/>
  <c r="Q833" i="58"/>
  <c r="Q1428" i="58"/>
  <c r="Q1590" i="58"/>
  <c r="R1590" i="58" s="1"/>
  <c r="Q1777" i="58"/>
  <c r="Q2138" i="58"/>
  <c r="R2760" i="58"/>
  <c r="Q2759" i="58"/>
  <c r="R2766" i="58"/>
  <c r="Q2765" i="58"/>
  <c r="R2765" i="58" s="1"/>
  <c r="Q3384" i="58"/>
  <c r="R3384" i="58" s="1"/>
  <c r="R3502" i="58"/>
  <c r="Q3593" i="58"/>
  <c r="R3594" i="58"/>
  <c r="Q3746" i="58"/>
  <c r="R3746" i="58" s="1"/>
  <c r="R3747" i="58"/>
  <c r="Q4549" i="58"/>
  <c r="Q19" i="58"/>
  <c r="R19" i="58" s="1"/>
  <c r="Q90" i="58"/>
  <c r="Q238" i="58"/>
  <c r="R239" i="58"/>
  <c r="Q244" i="58"/>
  <c r="Q423" i="58"/>
  <c r="Q433" i="58"/>
  <c r="Q622" i="58"/>
  <c r="Q1072" i="58"/>
  <c r="Q1566" i="58"/>
  <c r="R1566" i="58" s="1"/>
  <c r="Q1765" i="58"/>
  <c r="R1765" i="58" s="1"/>
  <c r="R1766" i="58"/>
  <c r="R2367" i="58"/>
  <c r="Q2366" i="58"/>
  <c r="R2366" i="58" s="1"/>
  <c r="Q2372" i="58"/>
  <c r="R2372" i="58" s="1"/>
  <c r="R2373" i="58"/>
  <c r="R3026" i="58"/>
  <c r="Q3025" i="58"/>
  <c r="Q3206" i="58"/>
  <c r="R3523" i="58"/>
  <c r="Q3533" i="58"/>
  <c r="R3533" i="58" s="1"/>
  <c r="Q3964" i="58"/>
  <c r="R3965" i="58"/>
  <c r="Q4131" i="58"/>
  <c r="Q4312" i="58"/>
  <c r="R4312" i="58" s="1"/>
  <c r="R5560" i="58"/>
  <c r="Q5559" i="58"/>
  <c r="R5559" i="58" s="1"/>
  <c r="R444" i="58"/>
  <c r="Q1349" i="58"/>
  <c r="Q1627" i="58"/>
  <c r="R1627" i="58" s="1"/>
  <c r="Q2102" i="58"/>
  <c r="R3468" i="58"/>
  <c r="Q3534" i="58"/>
  <c r="R3534" i="58" s="1"/>
  <c r="R3579" i="58"/>
  <c r="Q3590" i="58"/>
  <c r="R3590" i="58" s="1"/>
  <c r="R3591" i="58"/>
  <c r="Q3600" i="58"/>
  <c r="R3606" i="58"/>
  <c r="Q3605" i="58"/>
  <c r="R3605" i="58" s="1"/>
  <c r="Q12997" i="58"/>
  <c r="R12997" i="58" s="1"/>
  <c r="Q1386" i="58"/>
  <c r="R1386" i="58" s="1"/>
  <c r="R1603" i="58"/>
  <c r="Q3575" i="58"/>
  <c r="Q921" i="58"/>
  <c r="Q3110" i="58"/>
  <c r="R3110" i="58" s="1"/>
  <c r="R3423" i="58"/>
  <c r="Q3422" i="58"/>
  <c r="R3422" i="58" s="1"/>
  <c r="R4602" i="58"/>
  <c r="Q4601" i="58"/>
  <c r="Q1313" i="58"/>
  <c r="R1313" i="58" s="1"/>
  <c r="R1314" i="58"/>
  <c r="R38" i="58"/>
  <c r="R3154" i="58"/>
  <c r="R3155" i="58"/>
  <c r="R3279" i="58"/>
  <c r="Q3278" i="58"/>
  <c r="Q3428" i="58"/>
  <c r="R3429" i="58"/>
  <c r="Q352" i="58"/>
  <c r="R352" i="58" s="1"/>
  <c r="Q408" i="58"/>
  <c r="Q452" i="58"/>
  <c r="R452" i="58" s="1"/>
  <c r="Q566" i="58"/>
  <c r="Q706" i="58"/>
  <c r="Q723" i="58"/>
  <c r="R723" i="58" s="1"/>
  <c r="Q944" i="58"/>
  <c r="Q999" i="58"/>
  <c r="R999" i="58" s="1"/>
  <c r="Q1013" i="58"/>
  <c r="R1013" i="58" s="1"/>
  <c r="Q1019" i="58"/>
  <c r="R1019" i="58" s="1"/>
  <c r="Q1029" i="58"/>
  <c r="Q1040" i="58"/>
  <c r="Q1295" i="58"/>
  <c r="R1295" i="58" s="1"/>
  <c r="Q1362" i="58"/>
  <c r="Q1398" i="58"/>
  <c r="Q2204" i="58"/>
  <c r="Q2535" i="58"/>
  <c r="Q2602" i="58"/>
  <c r="Q2833" i="58"/>
  <c r="R3165" i="58"/>
  <c r="Q3164" i="58"/>
  <c r="R3164" i="58" s="1"/>
  <c r="Q3237" i="58"/>
  <c r="R3237" i="58" s="1"/>
  <c r="R3315" i="58"/>
  <c r="Q3314" i="58"/>
  <c r="R3471" i="58"/>
  <c r="Q3470" i="58"/>
  <c r="Q3480" i="58"/>
  <c r="Q3642" i="58"/>
  <c r="Q3743" i="58"/>
  <c r="R3744" i="58"/>
  <c r="J3760" i="58"/>
  <c r="J4025" i="58"/>
  <c r="Q24" i="58"/>
  <c r="Q78" i="58"/>
  <c r="Q121" i="58"/>
  <c r="Q159" i="58"/>
  <c r="R159" i="58" s="1"/>
  <c r="Q168" i="58"/>
  <c r="J291" i="58"/>
  <c r="Q443" i="58"/>
  <c r="R443" i="58" s="1"/>
  <c r="Q466" i="58"/>
  <c r="R466" i="58" s="1"/>
  <c r="Q485" i="58"/>
  <c r="Q509" i="58"/>
  <c r="Q1175" i="58"/>
  <c r="Q1204" i="58"/>
  <c r="Q1236" i="58"/>
  <c r="Q1561" i="58"/>
  <c r="R1561" i="58" s="1"/>
  <c r="Q1772" i="58"/>
  <c r="Q2040" i="58"/>
  <c r="Q2174" i="58"/>
  <c r="R2175" i="58"/>
  <c r="Q2391" i="58"/>
  <c r="Q2893" i="58"/>
  <c r="Q2964" i="58"/>
  <c r="R2964" i="58" s="1"/>
  <c r="Q3180" i="58"/>
  <c r="Q4108" i="58"/>
  <c r="R4210" i="58"/>
  <c r="Q4209" i="58"/>
  <c r="Q4296" i="58"/>
  <c r="Q4864" i="58"/>
  <c r="R4864" i="58" s="1"/>
  <c r="R4865" i="58"/>
  <c r="Q5298" i="58"/>
  <c r="R5298" i="58" s="1"/>
  <c r="J5889" i="58"/>
  <c r="Q593" i="58"/>
  <c r="Q2559" i="58"/>
  <c r="R2560" i="58"/>
  <c r="Q2305" i="58"/>
  <c r="R2305" i="58" s="1"/>
  <c r="R2306" i="58"/>
  <c r="Q952" i="58"/>
  <c r="R952" i="58" s="1"/>
  <c r="J1399" i="58"/>
  <c r="Q2234" i="58"/>
  <c r="R2235" i="58"/>
  <c r="Q3293" i="58"/>
  <c r="R3294" i="58"/>
  <c r="Q3725" i="58"/>
  <c r="R3725" i="58" s="1"/>
  <c r="Q3740" i="58"/>
  <c r="R3740" i="58" s="1"/>
  <c r="R3741" i="58"/>
  <c r="R4657" i="58"/>
  <c r="Q4656" i="58"/>
  <c r="R4656" i="58" s="1"/>
  <c r="Q1325" i="58"/>
  <c r="R1325" i="58" s="1"/>
  <c r="Q3272" i="58"/>
  <c r="R3273" i="58"/>
  <c r="Q3912" i="58"/>
  <c r="Q153" i="58"/>
  <c r="Q1059" i="58"/>
  <c r="R1059" i="58" s="1"/>
  <c r="Q2330" i="58"/>
  <c r="R2331" i="58"/>
  <c r="Q2777" i="58"/>
  <c r="R3327" i="58"/>
  <c r="Q3326" i="58"/>
  <c r="Q4196" i="58"/>
  <c r="R4196" i="58" s="1"/>
  <c r="R4197" i="58"/>
  <c r="R4382" i="58"/>
  <c r="Q307" i="58"/>
  <c r="R307" i="58" s="1"/>
  <c r="Q424" i="58"/>
  <c r="R424" i="58" s="1"/>
  <c r="Q434" i="58"/>
  <c r="R434" i="58" s="1"/>
  <c r="Q448" i="58"/>
  <c r="Q461" i="58"/>
  <c r="Q475" i="58"/>
  <c r="R475" i="58" s="1"/>
  <c r="Q490" i="58"/>
  <c r="Q500" i="58"/>
  <c r="Q691" i="58"/>
  <c r="R691" i="58" s="1"/>
  <c r="J701" i="58"/>
  <c r="J822" i="58"/>
  <c r="Q849" i="58"/>
  <c r="R849" i="58" s="1"/>
  <c r="Q869" i="58"/>
  <c r="Q885" i="58"/>
  <c r="Q1139" i="58"/>
  <c r="Q1144" i="58"/>
  <c r="Q1456" i="58"/>
  <c r="J1465" i="58"/>
  <c r="Q1692" i="58"/>
  <c r="R1692" i="58" s="1"/>
  <c r="Q1919" i="58"/>
  <c r="R1919" i="58" s="1"/>
  <c r="Q2012" i="58"/>
  <c r="Q2023" i="58"/>
  <c r="Q2169" i="58"/>
  <c r="Q2335" i="58"/>
  <c r="Q2403" i="58"/>
  <c r="Q2529" i="58"/>
  <c r="R2529" i="58" s="1"/>
  <c r="Q2590" i="58"/>
  <c r="Q2662" i="58"/>
  <c r="Q2669" i="58"/>
  <c r="Q2969" i="58"/>
  <c r="Q3186" i="58"/>
  <c r="Q3867" i="58"/>
  <c r="R3867" i="58" s="1"/>
  <c r="Q4452" i="58"/>
  <c r="Q5280" i="58"/>
  <c r="R5280" i="58" s="1"/>
  <c r="R5281" i="58"/>
  <c r="Q6029" i="58"/>
  <c r="R6030" i="58"/>
  <c r="Q49" i="58"/>
  <c r="Q151" i="58"/>
  <c r="Q178" i="58"/>
  <c r="R178" i="58" s="1"/>
  <c r="J361" i="58"/>
  <c r="Q718" i="58"/>
  <c r="Q748" i="58"/>
  <c r="Q777" i="58"/>
  <c r="J918" i="58"/>
  <c r="Q1025" i="58"/>
  <c r="Q1133" i="58"/>
  <c r="Q1264" i="58"/>
  <c r="R1264" i="58" s="1"/>
  <c r="R1290" i="58"/>
  <c r="Q1392" i="58"/>
  <c r="R1392" i="58" s="1"/>
  <c r="Q1500" i="58"/>
  <c r="Q1687" i="58"/>
  <c r="R1687" i="58" s="1"/>
  <c r="R1723" i="58"/>
  <c r="Q1722" i="58"/>
  <c r="R1722" i="58" s="1"/>
  <c r="Q1862" i="58"/>
  <c r="R1862" i="58" s="1"/>
  <c r="Q2066" i="58"/>
  <c r="Q2239" i="58"/>
  <c r="J2464" i="58"/>
  <c r="J2743" i="58"/>
  <c r="J2809" i="58"/>
  <c r="Q2827" i="58"/>
  <c r="Q3020" i="58"/>
  <c r="Q3222" i="58"/>
  <c r="Q3341" i="58"/>
  <c r="Q4297" i="58"/>
  <c r="R4297" i="58" s="1"/>
  <c r="Q264" i="58"/>
  <c r="R264" i="58" s="1"/>
  <c r="Q306" i="58"/>
  <c r="R306" i="58" s="1"/>
  <c r="Q367" i="58"/>
  <c r="Q605" i="58"/>
  <c r="R605" i="58" s="1"/>
  <c r="Q732" i="58"/>
  <c r="Q1109" i="58"/>
  <c r="R1109" i="58" s="1"/>
  <c r="Q1252" i="58"/>
  <c r="R1252" i="58" s="1"/>
  <c r="Q1416" i="58"/>
  <c r="Q1487" i="58"/>
  <c r="R1488" i="58"/>
  <c r="Q1493" i="58"/>
  <c r="R1493" i="58" s="1"/>
  <c r="Q1512" i="58"/>
  <c r="R1512" i="58" s="1"/>
  <c r="Q1591" i="58"/>
  <c r="R1591" i="58" s="1"/>
  <c r="Q1621" i="58"/>
  <c r="Q1639" i="58"/>
  <c r="R1639" i="58" s="1"/>
  <c r="Q1740" i="58"/>
  <c r="R1740" i="58" s="1"/>
  <c r="Q1759" i="58"/>
  <c r="Q1910" i="58"/>
  <c r="R1910" i="58" s="1"/>
  <c r="Q1994" i="58"/>
  <c r="Q2094" i="58"/>
  <c r="J2176" i="58"/>
  <c r="J2218" i="58"/>
  <c r="Q2265" i="58"/>
  <c r="R2265" i="58" s="1"/>
  <c r="Q2548" i="58"/>
  <c r="R2548" i="58" s="1"/>
  <c r="J3099" i="58"/>
  <c r="Q3302" i="58"/>
  <c r="R3302" i="58" s="1"/>
  <c r="Q3537" i="58"/>
  <c r="R3537" i="58" s="1"/>
  <c r="Q4035" i="58"/>
  <c r="R4035" i="58" s="1"/>
  <c r="R4675" i="58"/>
  <c r="Q4674" i="58"/>
  <c r="Q5736" i="58"/>
  <c r="Q6115" i="58"/>
  <c r="Q646" i="58"/>
  <c r="R647" i="58"/>
  <c r="Q788" i="58"/>
  <c r="Q983" i="58"/>
  <c r="R983" i="58" s="1"/>
  <c r="Q1247" i="58"/>
  <c r="R1247" i="58" s="1"/>
  <c r="J1273" i="58"/>
  <c r="Q1337" i="58"/>
  <c r="Q1669" i="58"/>
  <c r="R1669" i="58" s="1"/>
  <c r="J1773" i="58"/>
  <c r="Q1784" i="58"/>
  <c r="Q1802" i="58"/>
  <c r="R1802" i="58" s="1"/>
  <c r="Q1895" i="58"/>
  <c r="J1929" i="58"/>
  <c r="Q1980" i="58"/>
  <c r="Q2005" i="58"/>
  <c r="Q2036" i="58"/>
  <c r="R2036" i="58" s="1"/>
  <c r="Q2108" i="58"/>
  <c r="R2108" i="58" s="1"/>
  <c r="Q2114" i="58"/>
  <c r="Q2199" i="58"/>
  <c r="R2199" i="58" s="1"/>
  <c r="J2446" i="58"/>
  <c r="Q2790" i="58"/>
  <c r="Q3122" i="58"/>
  <c r="R3122" i="58" s="1"/>
  <c r="Q3239" i="58"/>
  <c r="R3239" i="58" s="1"/>
  <c r="Q3264" i="58"/>
  <c r="R3264" i="58" s="1"/>
  <c r="Q3399" i="58"/>
  <c r="R3399" i="58" s="1"/>
  <c r="Q3449" i="58"/>
  <c r="R3449" i="58" s="1"/>
  <c r="R3450" i="58"/>
  <c r="Q3555" i="58"/>
  <c r="R3555" i="58" s="1"/>
  <c r="J4001" i="58"/>
  <c r="Q4022" i="58"/>
  <c r="Q4233" i="58"/>
  <c r="R6888" i="58"/>
  <c r="Q6887" i="58"/>
  <c r="Q2090" i="58"/>
  <c r="Q2469" i="58"/>
  <c r="Q2639" i="58"/>
  <c r="Q2644" i="58"/>
  <c r="Q3152" i="58"/>
  <c r="Q3198" i="58"/>
  <c r="R3198" i="58" s="1"/>
  <c r="Q3630" i="58"/>
  <c r="Q4113" i="58"/>
  <c r="N4739" i="58"/>
  <c r="Q6168" i="58"/>
  <c r="Q334" i="58"/>
  <c r="R334" i="58" s="1"/>
  <c r="Q382" i="58"/>
  <c r="Q473" i="58"/>
  <c r="R473" i="58" s="1"/>
  <c r="J900" i="58"/>
  <c r="Q911" i="58"/>
  <c r="Q1385" i="58"/>
  <c r="Q1535" i="58"/>
  <c r="Q1679" i="58"/>
  <c r="Q1808" i="58"/>
  <c r="R1808" i="58" s="1"/>
  <c r="R2084" i="58"/>
  <c r="Q2205" i="58"/>
  <c r="R2205" i="58" s="1"/>
  <c r="J2230" i="58"/>
  <c r="J2254" i="58"/>
  <c r="J2362" i="58"/>
  <c r="J2416" i="58"/>
  <c r="Q2724" i="58"/>
  <c r="Q2730" i="58"/>
  <c r="R2730" i="58" s="1"/>
  <c r="J2846" i="58"/>
  <c r="Q3291" i="58"/>
  <c r="Q3666" i="58"/>
  <c r="J3805" i="58"/>
  <c r="J4007" i="58"/>
  <c r="J4013" i="58"/>
  <c r="Q4053" i="58"/>
  <c r="J4390" i="58"/>
  <c r="R4728" i="58"/>
  <c r="Q4727" i="58"/>
  <c r="J5400" i="58"/>
  <c r="Q135" i="58"/>
  <c r="Q531" i="58"/>
  <c r="Q675" i="58"/>
  <c r="R675" i="58" s="1"/>
  <c r="Q733" i="58"/>
  <c r="R733" i="58" s="1"/>
  <c r="Q809" i="58"/>
  <c r="R809" i="58" s="1"/>
  <c r="Q837" i="58"/>
  <c r="Q874" i="58"/>
  <c r="J1207" i="58"/>
  <c r="Q1218" i="58"/>
  <c r="R1218" i="58" s="1"/>
  <c r="Q1403" i="58"/>
  <c r="Q1440" i="58"/>
  <c r="Q1445" i="58"/>
  <c r="Q1464" i="58"/>
  <c r="Q1475" i="58"/>
  <c r="R1475" i="58" s="1"/>
  <c r="Q1565" i="58"/>
  <c r="R1565" i="58" s="1"/>
  <c r="Q1601" i="58"/>
  <c r="R1601" i="58" s="1"/>
  <c r="J1640" i="58"/>
  <c r="Q1680" i="58"/>
  <c r="R1680" i="58" s="1"/>
  <c r="Q1789" i="58"/>
  <c r="Q1832" i="58"/>
  <c r="R1832" i="58" s="1"/>
  <c r="J1869" i="58"/>
  <c r="Q1896" i="58"/>
  <c r="R1896" i="58" s="1"/>
  <c r="J1905" i="58"/>
  <c r="Q2163" i="58"/>
  <c r="R2163" i="58" s="1"/>
  <c r="J2188" i="58"/>
  <c r="Q2438" i="58"/>
  <c r="Q2857" i="58"/>
  <c r="Q2921" i="58"/>
  <c r="Q2938" i="58"/>
  <c r="R3032" i="58"/>
  <c r="Q3031" i="58"/>
  <c r="J3123" i="58"/>
  <c r="Q3582" i="58"/>
  <c r="Q3626" i="58"/>
  <c r="R3626" i="58" s="1"/>
  <c r="Q4042" i="58"/>
  <c r="J4085" i="58"/>
  <c r="Q4125" i="58"/>
  <c r="R4423" i="58"/>
  <c r="Q5199" i="58"/>
  <c r="R5199" i="58" s="1"/>
  <c r="Q5314" i="58"/>
  <c r="R5314" i="58" s="1"/>
  <c r="R5315" i="58"/>
  <c r="J6221" i="58"/>
  <c r="Q6285" i="58"/>
  <c r="Q520" i="58"/>
  <c r="R520" i="58" s="1"/>
  <c r="J737" i="58"/>
  <c r="J798" i="58"/>
  <c r="Q929" i="58"/>
  <c r="J996" i="58"/>
  <c r="Q1224" i="58"/>
  <c r="R1224" i="58" s="1"/>
  <c r="Q1248" i="58"/>
  <c r="R1248" i="58" s="1"/>
  <c r="Q1294" i="58"/>
  <c r="Q1319" i="58"/>
  <c r="R1319" i="58" s="1"/>
  <c r="Q1536" i="58"/>
  <c r="R1536" i="58" s="1"/>
  <c r="J1550" i="58"/>
  <c r="Q1794" i="58"/>
  <c r="J2194" i="58"/>
  <c r="Q2288" i="58"/>
  <c r="R2288" i="58" s="1"/>
  <c r="Q2301" i="58"/>
  <c r="Q2444" i="58"/>
  <c r="Q2565" i="58"/>
  <c r="R2565" i="58" s="1"/>
  <c r="Q2880" i="58"/>
  <c r="Q3091" i="58"/>
  <c r="Q3297" i="58"/>
  <c r="R3495" i="58"/>
  <c r="Q3494" i="58"/>
  <c r="R3494" i="58" s="1"/>
  <c r="R3651" i="58"/>
  <c r="Q3650" i="58"/>
  <c r="R3650" i="58" s="1"/>
  <c r="R3876" i="58"/>
  <c r="Q3875" i="58"/>
  <c r="Q3956" i="58"/>
  <c r="R3956" i="58" s="1"/>
  <c r="J5210" i="58"/>
  <c r="J5462" i="58"/>
  <c r="Q5587" i="58"/>
  <c r="J5723" i="58"/>
  <c r="Q8087" i="58"/>
  <c r="R8088" i="58"/>
  <c r="Q1656" i="58"/>
  <c r="J1845" i="58"/>
  <c r="Q1927" i="58"/>
  <c r="Q1932" i="58"/>
  <c r="R1932" i="58" s="1"/>
  <c r="Q1946" i="58"/>
  <c r="Q1956" i="58"/>
  <c r="Q2486" i="58"/>
  <c r="Q2608" i="58"/>
  <c r="R2608" i="58" s="1"/>
  <c r="Q2651" i="58"/>
  <c r="R2651" i="58" s="1"/>
  <c r="Q3050" i="58"/>
  <c r="Q3061" i="58"/>
  <c r="Q3079" i="58"/>
  <c r="Q3225" i="58"/>
  <c r="R3225" i="58" s="1"/>
  <c r="Q3236" i="58"/>
  <c r="R3236" i="58" s="1"/>
  <c r="R3265" i="58"/>
  <c r="Q3402" i="58"/>
  <c r="R3402" i="58" s="1"/>
  <c r="R3457" i="58"/>
  <c r="Q3516" i="58"/>
  <c r="Q3543" i="58"/>
  <c r="Q3657" i="58"/>
  <c r="Q3672" i="58"/>
  <c r="Q3687" i="58"/>
  <c r="Q3711" i="58"/>
  <c r="Q3732" i="58"/>
  <c r="R3732" i="58" s="1"/>
  <c r="Q3893" i="58"/>
  <c r="Q3973" i="58"/>
  <c r="Q4180" i="58"/>
  <c r="R4180" i="58" s="1"/>
  <c r="Q5133" i="58"/>
  <c r="R5133" i="58" s="1"/>
  <c r="Q5260" i="58"/>
  <c r="R5261" i="58"/>
  <c r="Q2624" i="58"/>
  <c r="R2624" i="58" s="1"/>
  <c r="Q2838" i="58"/>
  <c r="Q2963" i="58"/>
  <c r="Q3068" i="58"/>
  <c r="R3250" i="58"/>
  <c r="Q3330" i="58"/>
  <c r="R3330" i="58" s="1"/>
  <c r="Q3455" i="58"/>
  <c r="Q3551" i="58"/>
  <c r="Q3737" i="58"/>
  <c r="R3737" i="58" s="1"/>
  <c r="R3738" i="58"/>
  <c r="J3940" i="58"/>
  <c r="Q3947" i="58"/>
  <c r="R3947" i="58" s="1"/>
  <c r="Q3975" i="58"/>
  <c r="R3975" i="58" s="1"/>
  <c r="J4049" i="58"/>
  <c r="Q4066" i="58"/>
  <c r="Q4270" i="58"/>
  <c r="J4739" i="58"/>
  <c r="J4759" i="58"/>
  <c r="Q4845" i="58"/>
  <c r="R4845" i="58" s="1"/>
  <c r="R4846" i="58"/>
  <c r="N4914" i="58"/>
  <c r="J5017" i="58"/>
  <c r="J5291" i="58"/>
  <c r="Q5421" i="58"/>
  <c r="R5421" i="58" s="1"/>
  <c r="J5454" i="58"/>
  <c r="Q6995" i="58"/>
  <c r="R6995" i="58" s="1"/>
  <c r="R7703" i="58"/>
  <c r="Q7702" i="58"/>
  <c r="Q8414" i="58"/>
  <c r="R8459" i="58"/>
  <c r="Q8458" i="58"/>
  <c r="R8870" i="58"/>
  <c r="Q8869" i="58"/>
  <c r="R8869" i="58" s="1"/>
  <c r="J13047" i="58"/>
  <c r="J274" i="58"/>
  <c r="Q458" i="58"/>
  <c r="Q699" i="58"/>
  <c r="Q1410" i="58"/>
  <c r="R1410" i="58" s="1"/>
  <c r="Q1615" i="58"/>
  <c r="R1615" i="58" s="1"/>
  <c r="Q1856" i="58"/>
  <c r="R1856" i="58" s="1"/>
  <c r="Q2631" i="58"/>
  <c r="Q3333" i="58"/>
  <c r="R5617" i="58"/>
  <c r="Q5616" i="58"/>
  <c r="Q117" i="58"/>
  <c r="Q415" i="58"/>
  <c r="Q430" i="58"/>
  <c r="Q487" i="58"/>
  <c r="R487" i="58" s="1"/>
  <c r="Q518" i="58"/>
  <c r="Q784" i="58"/>
  <c r="Q1434" i="58"/>
  <c r="Q1987" i="58"/>
  <c r="R1987" i="58" s="1"/>
  <c r="Q2162" i="58"/>
  <c r="R2162" i="58" s="1"/>
  <c r="Q2198" i="58"/>
  <c r="Q2215" i="58"/>
  <c r="Q2271" i="58"/>
  <c r="Q2343" i="58"/>
  <c r="R2343" i="58" s="1"/>
  <c r="Q2632" i="58"/>
  <c r="R2632" i="58" s="1"/>
  <c r="Q2771" i="58"/>
  <c r="R2771" i="58" s="1"/>
  <c r="Q3645" i="58"/>
  <c r="Q4048" i="58"/>
  <c r="R4048" i="58" s="1"/>
  <c r="Q4162" i="58"/>
  <c r="J4509" i="58"/>
  <c r="J4658" i="58"/>
  <c r="Q4665" i="58"/>
  <c r="R4665" i="58" s="1"/>
  <c r="Q4682" i="58"/>
  <c r="Q5848" i="58"/>
  <c r="Q8896" i="58"/>
  <c r="R8897" i="58"/>
  <c r="Q30" i="58"/>
  <c r="Q940" i="58"/>
  <c r="Q1096" i="58"/>
  <c r="Q1517" i="58"/>
  <c r="Q1868" i="58"/>
  <c r="Q11189" i="58"/>
  <c r="R26" i="58"/>
  <c r="Q114" i="58"/>
  <c r="J297" i="58"/>
  <c r="Q617" i="58"/>
  <c r="Q796" i="58"/>
  <c r="R796" i="58" s="1"/>
  <c r="Q951" i="58"/>
  <c r="J990" i="58"/>
  <c r="Q1036" i="58"/>
  <c r="Q1709" i="58"/>
  <c r="Q1974" i="58"/>
  <c r="Q2047" i="58"/>
  <c r="R2047" i="58" s="1"/>
  <c r="J2121" i="58"/>
  <c r="Q2295" i="58"/>
  <c r="R2295" i="58" s="1"/>
  <c r="Q2645" i="58"/>
  <c r="R2645" i="58" s="1"/>
  <c r="Q2863" i="58"/>
  <c r="R2863" i="58" s="1"/>
  <c r="J2876" i="58"/>
  <c r="Q2905" i="58"/>
  <c r="R2905" i="58" s="1"/>
  <c r="Q3043" i="58"/>
  <c r="Q3201" i="58"/>
  <c r="R3201" i="58" s="1"/>
  <c r="Q3254" i="58"/>
  <c r="R3254" i="58" s="1"/>
  <c r="R3388" i="58"/>
  <c r="Q3524" i="58"/>
  <c r="R3524" i="58" s="1"/>
  <c r="Q3636" i="58"/>
  <c r="R3636" i="58" s="1"/>
  <c r="R3745" i="58"/>
  <c r="Q4346" i="58"/>
  <c r="Q4380" i="58"/>
  <c r="Q4465" i="58"/>
  <c r="Q4550" i="58"/>
  <c r="R4550" i="58" s="1"/>
  <c r="Q5336" i="58"/>
  <c r="R6827" i="58"/>
  <c r="Q6826" i="58"/>
  <c r="J7046" i="58"/>
  <c r="Q1108" i="58"/>
  <c r="Q1331" i="58"/>
  <c r="Q1343" i="58"/>
  <c r="Q2657" i="58"/>
  <c r="R2657" i="58" s="1"/>
  <c r="Q2706" i="58"/>
  <c r="R2706" i="58" s="1"/>
  <c r="Q3170" i="58"/>
  <c r="Q3308" i="58"/>
  <c r="Q3404" i="58"/>
  <c r="Q100" i="58"/>
  <c r="Q142" i="58"/>
  <c r="R142" i="58" s="1"/>
  <c r="Q229" i="58"/>
  <c r="R229" i="58" s="1"/>
  <c r="J253" i="58"/>
  <c r="Q400" i="58"/>
  <c r="Q455" i="58"/>
  <c r="Q729" i="58"/>
  <c r="Q881" i="58"/>
  <c r="R881" i="58" s="1"/>
  <c r="J960" i="58"/>
  <c r="Q1150" i="58"/>
  <c r="R1150" i="58" s="1"/>
  <c r="Q1288" i="58"/>
  <c r="Q1374" i="58"/>
  <c r="Q1825" i="58"/>
  <c r="R1825" i="58" s="1"/>
  <c r="J1863" i="58"/>
  <c r="Q1950" i="58"/>
  <c r="R1950" i="58" s="1"/>
  <c r="Q2216" i="58"/>
  <c r="R2216" i="58" s="1"/>
  <c r="Q2313" i="58"/>
  <c r="R2313" i="58" s="1"/>
  <c r="Q2421" i="58"/>
  <c r="Q2499" i="58"/>
  <c r="R2499" i="58" s="1"/>
  <c r="J3081" i="58"/>
  <c r="Q3098" i="58"/>
  <c r="Q3142" i="58"/>
  <c r="Q3210" i="58"/>
  <c r="Q3329" i="58"/>
  <c r="R3329" i="58" s="1"/>
  <c r="Q3342" i="58"/>
  <c r="R3342" i="58" s="1"/>
  <c r="Q3369" i="58"/>
  <c r="R3369" i="58" s="1"/>
  <c r="Q3620" i="58"/>
  <c r="Q3750" i="58"/>
  <c r="Q3865" i="58"/>
  <c r="R3865" i="58" s="1"/>
  <c r="Q3894" i="58"/>
  <c r="R3894" i="58" s="1"/>
  <c r="Q4138" i="58"/>
  <c r="R4138" i="58" s="1"/>
  <c r="Q4144" i="58"/>
  <c r="Q4375" i="58"/>
  <c r="Q4409" i="58"/>
  <c r="Q4515" i="58"/>
  <c r="J5438" i="58"/>
  <c r="Q8025" i="58"/>
  <c r="R8025" i="58" s="1"/>
  <c r="Q1914" i="58"/>
  <c r="R1914" i="58" s="1"/>
  <c r="Q55" i="58"/>
  <c r="R55" i="58" s="1"/>
  <c r="Q199" i="58"/>
  <c r="R199" i="58" s="1"/>
  <c r="Q273" i="58"/>
  <c r="Q666" i="58"/>
  <c r="Q893" i="58"/>
  <c r="R893" i="58" s="1"/>
  <c r="Q1065" i="58"/>
  <c r="R1065" i="58" s="1"/>
  <c r="Q1077" i="58"/>
  <c r="J1183" i="58"/>
  <c r="Q1481" i="58"/>
  <c r="R1481" i="58" s="1"/>
  <c r="Q1691" i="58"/>
  <c r="R1691" i="58" s="1"/>
  <c r="Q1795" i="58"/>
  <c r="R1795" i="58" s="1"/>
  <c r="Q2017" i="58"/>
  <c r="Q2336" i="58"/>
  <c r="R2336" i="58" s="1"/>
  <c r="Q2996" i="58"/>
  <c r="R2996" i="58" s="1"/>
  <c r="J3027" i="58"/>
  <c r="Q3357" i="58"/>
  <c r="R3357" i="58" s="1"/>
  <c r="Q3393" i="58"/>
  <c r="R3393" i="58" s="1"/>
  <c r="Q3491" i="58"/>
  <c r="R3491" i="58" s="1"/>
  <c r="Q3561" i="58"/>
  <c r="R3604" i="58"/>
  <c r="Q3603" i="58"/>
  <c r="Q3654" i="58"/>
  <c r="Q3669" i="58"/>
  <c r="R3669" i="58" s="1"/>
  <c r="Q3723" i="58"/>
  <c r="R3723" i="58" s="1"/>
  <c r="J3769" i="58"/>
  <c r="Q4060" i="58"/>
  <c r="R4060" i="58" s="1"/>
  <c r="Q4084" i="58"/>
  <c r="Q4224" i="58"/>
  <c r="J4264" i="58"/>
  <c r="J4418" i="58"/>
  <c r="Q4500" i="58"/>
  <c r="Q5023" i="58"/>
  <c r="Q7227" i="58"/>
  <c r="R7227" i="58" s="1"/>
  <c r="Q7233" i="58"/>
  <c r="R7233" i="58" s="1"/>
  <c r="Q145" i="58"/>
  <c r="R145" i="58" s="1"/>
  <c r="J894" i="58"/>
  <c r="Q4059" i="58"/>
  <c r="R4059" i="58" s="1"/>
  <c r="Q4494" i="58"/>
  <c r="Q4594" i="58"/>
  <c r="Q13" i="58"/>
  <c r="R13" i="58" s="1"/>
  <c r="Q97" i="58"/>
  <c r="R97" i="58" s="1"/>
  <c r="Q111" i="58"/>
  <c r="R111" i="58" s="1"/>
  <c r="Q183" i="58"/>
  <c r="R183" i="58" s="1"/>
  <c r="Q284" i="58"/>
  <c r="R284" i="58" s="1"/>
  <c r="Q343" i="58"/>
  <c r="J353" i="58"/>
  <c r="Q512" i="58"/>
  <c r="Q527" i="58"/>
  <c r="J567" i="58"/>
  <c r="Q599" i="58"/>
  <c r="Q752" i="58"/>
  <c r="R752" i="58" s="1"/>
  <c r="J791" i="58"/>
  <c r="Q977" i="58"/>
  <c r="R977" i="58" s="1"/>
  <c r="Q1089" i="58"/>
  <c r="R1089" i="58" s="1"/>
  <c r="Q1200" i="58"/>
  <c r="R1200" i="58" s="1"/>
  <c r="Q1239" i="58"/>
  <c r="R1239" i="58" s="1"/>
  <c r="Q1356" i="58"/>
  <c r="J1472" i="58"/>
  <c r="Q2181" i="58"/>
  <c r="R2181" i="58" s="1"/>
  <c r="Q2287" i="58"/>
  <c r="R2287" i="58" s="1"/>
  <c r="Q2716" i="58"/>
  <c r="R2716" i="58" s="1"/>
  <c r="Q2953" i="58"/>
  <c r="R2953" i="58" s="1"/>
  <c r="Q3034" i="58"/>
  <c r="Q3255" i="58"/>
  <c r="R3255" i="58" s="1"/>
  <c r="Q3305" i="58"/>
  <c r="R3305" i="58" s="1"/>
  <c r="R3432" i="58"/>
  <c r="Q3519" i="58"/>
  <c r="Q3563" i="58"/>
  <c r="Q3866" i="58"/>
  <c r="R3866" i="58" s="1"/>
  <c r="J4103" i="58"/>
  <c r="Q4455" i="58"/>
  <c r="Q4584" i="58"/>
  <c r="Q4629" i="58"/>
  <c r="R5109" i="58"/>
  <c r="Q5108" i="58"/>
  <c r="R5108" i="58" s="1"/>
  <c r="Q6233" i="58"/>
  <c r="R6233" i="58" s="1"/>
  <c r="J6619" i="58"/>
  <c r="J7186" i="58"/>
  <c r="Q9224" i="58"/>
  <c r="R9225" i="58"/>
  <c r="Q61" i="58"/>
  <c r="R61" i="58" s="1"/>
  <c r="Q218" i="58"/>
  <c r="R218" i="58" s="1"/>
  <c r="Q1153" i="58"/>
  <c r="Q69" i="58"/>
  <c r="Q126" i="58"/>
  <c r="Q157" i="58"/>
  <c r="Q226" i="58"/>
  <c r="R226" i="58" s="1"/>
  <c r="Q259" i="58"/>
  <c r="R259" i="58" s="1"/>
  <c r="Q296" i="58"/>
  <c r="R296" i="58" s="1"/>
  <c r="Q328" i="58"/>
  <c r="R328" i="58" s="1"/>
  <c r="Q470" i="58"/>
  <c r="R470" i="58" s="1"/>
  <c r="Q542" i="58"/>
  <c r="R542" i="58" s="1"/>
  <c r="J594" i="58"/>
  <c r="Q712" i="58"/>
  <c r="Q933" i="58"/>
  <c r="R933" i="58" s="1"/>
  <c r="Q989" i="58"/>
  <c r="R989" i="58" s="1"/>
  <c r="Q1078" i="58"/>
  <c r="R1078" i="58" s="1"/>
  <c r="Q1212" i="58"/>
  <c r="Q1270" i="58"/>
  <c r="Q1312" i="58"/>
  <c r="R1312" i="58" s="1"/>
  <c r="Q1367" i="58"/>
  <c r="Q1446" i="58"/>
  <c r="R1446" i="58" s="1"/>
  <c r="Q1530" i="58"/>
  <c r="R1530" i="58" s="1"/>
  <c r="Q1554" i="58"/>
  <c r="R1554" i="58" s="1"/>
  <c r="J1730" i="58"/>
  <c r="Q1874" i="58"/>
  <c r="Q1886" i="58"/>
  <c r="J2025" i="58"/>
  <c r="J2079" i="58"/>
  <c r="Q2119" i="58"/>
  <c r="R2119" i="58" s="1"/>
  <c r="Q2304" i="58"/>
  <c r="R2304" i="58" s="1"/>
  <c r="Q2361" i="58"/>
  <c r="R2361" i="58" s="1"/>
  <c r="Q2397" i="58"/>
  <c r="R2397" i="58" s="1"/>
  <c r="J2410" i="58"/>
  <c r="Q2509" i="58"/>
  <c r="J2701" i="58"/>
  <c r="Q2735" i="58"/>
  <c r="R2735" i="58" s="1"/>
  <c r="J2803" i="58"/>
  <c r="Q2874" i="58"/>
  <c r="Q2929" i="58"/>
  <c r="R2929" i="58" s="1"/>
  <c r="Q2977" i="58"/>
  <c r="Q3109" i="58"/>
  <c r="R3109" i="58" s="1"/>
  <c r="Q3167" i="58"/>
  <c r="R3211" i="58"/>
  <c r="Q3242" i="58"/>
  <c r="Q3318" i="58"/>
  <c r="Q3401" i="58"/>
  <c r="R3401" i="58" s="1"/>
  <c r="Q3483" i="58"/>
  <c r="Q3546" i="58"/>
  <c r="Q3701" i="58"/>
  <c r="R3701" i="58" s="1"/>
  <c r="Q3714" i="58"/>
  <c r="R3714" i="58" s="1"/>
  <c r="Q3840" i="58"/>
  <c r="R3840" i="58" s="1"/>
  <c r="J3904" i="58"/>
  <c r="Q4012" i="58"/>
  <c r="R4012" i="58" s="1"/>
  <c r="J4341" i="58"/>
  <c r="Q4655" i="58"/>
  <c r="R4655" i="58" s="1"/>
  <c r="Q4711" i="58"/>
  <c r="Q5598" i="58"/>
  <c r="R5861" i="58"/>
  <c r="Q5860" i="58"/>
  <c r="R5860" i="58" s="1"/>
  <c r="R5981" i="58"/>
  <c r="Q5980" i="58"/>
  <c r="R5980" i="58" s="1"/>
  <c r="Q6259" i="58"/>
  <c r="R6259" i="58" s="1"/>
  <c r="Q6428" i="58"/>
  <c r="R6428" i="58" s="1"/>
  <c r="Q6940" i="58"/>
  <c r="R6940" i="58" s="1"/>
  <c r="R6982" i="58"/>
  <c r="Q6981" i="58"/>
  <c r="Q8535" i="58"/>
  <c r="Q8668" i="58"/>
  <c r="Q5052" i="58"/>
  <c r="R5052" i="58" s="1"/>
  <c r="Q2030" i="58"/>
  <c r="Q2132" i="58"/>
  <c r="Q2319" i="58"/>
  <c r="R2319" i="58" s="1"/>
  <c r="Q2505" i="58"/>
  <c r="R2505" i="58" s="1"/>
  <c r="Q2814" i="58"/>
  <c r="R2814" i="58" s="1"/>
  <c r="Q2844" i="58"/>
  <c r="R2844" i="58" s="1"/>
  <c r="Q3207" i="58"/>
  <c r="R3207" i="58" s="1"/>
  <c r="Q3339" i="58"/>
  <c r="R3421" i="58"/>
  <c r="Q3501" i="58"/>
  <c r="Q3663" i="58"/>
  <c r="J4193" i="58"/>
  <c r="Q4255" i="58"/>
  <c r="Q4748" i="58"/>
  <c r="R4748" i="58" s="1"/>
  <c r="N5036" i="58"/>
  <c r="R5054" i="58"/>
  <c r="Q5081" i="58"/>
  <c r="R5082" i="58"/>
  <c r="Q5227" i="58"/>
  <c r="R5227" i="58" s="1"/>
  <c r="Q5342" i="58"/>
  <c r="Q5927" i="58"/>
  <c r="R8053" i="58"/>
  <c r="Q3974" i="58"/>
  <c r="R3974" i="58" s="1"/>
  <c r="Q4434" i="58"/>
  <c r="Q1511" i="58"/>
  <c r="J1634" i="58"/>
  <c r="Q1645" i="58"/>
  <c r="R1645" i="58" s="1"/>
  <c r="Q2246" i="58"/>
  <c r="Q2281" i="58"/>
  <c r="Q2450" i="58"/>
  <c r="R2450" i="58" s="1"/>
  <c r="Q2614" i="58"/>
  <c r="J2707" i="58"/>
  <c r="Q2887" i="58"/>
  <c r="R2887" i="58" s="1"/>
  <c r="Q3134" i="58"/>
  <c r="R3134" i="58" s="1"/>
  <c r="R3163" i="58"/>
  <c r="Q3177" i="58"/>
  <c r="Q3219" i="58"/>
  <c r="R3219" i="58" s="1"/>
  <c r="Q3248" i="58"/>
  <c r="Q3282" i="58"/>
  <c r="Q3321" i="58"/>
  <c r="R3321" i="58" s="1"/>
  <c r="Q3351" i="58"/>
  <c r="Q3363" i="58"/>
  <c r="R3363" i="58" s="1"/>
  <c r="R3433" i="58"/>
  <c r="Q3513" i="58"/>
  <c r="J3877" i="58"/>
  <c r="Q4078" i="58"/>
  <c r="Q4094" i="58"/>
  <c r="R4094" i="58" s="1"/>
  <c r="Q4174" i="58"/>
  <c r="R4174" i="58" s="1"/>
  <c r="Q4234" i="58"/>
  <c r="R4234" i="58" s="1"/>
  <c r="Q4251" i="58"/>
  <c r="R4251" i="58" s="1"/>
  <c r="Q4332" i="58"/>
  <c r="R4332" i="58" s="1"/>
  <c r="Q4417" i="58"/>
  <c r="R4417" i="58" s="1"/>
  <c r="Q4456" i="58"/>
  <c r="R4456" i="58" s="1"/>
  <c r="R4889" i="58"/>
  <c r="Q4888" i="58"/>
  <c r="Q4913" i="58"/>
  <c r="R4913" i="58" s="1"/>
  <c r="J5255" i="58"/>
  <c r="Q5509" i="58"/>
  <c r="R5658" i="58"/>
  <c r="Q5657" i="58"/>
  <c r="R5657" i="58" s="1"/>
  <c r="J6338" i="58"/>
  <c r="Q6442" i="58"/>
  <c r="Q2191" i="58"/>
  <c r="R2191" i="58" s="1"/>
  <c r="J4809" i="58"/>
  <c r="Q5126" i="58"/>
  <c r="Q2899" i="58"/>
  <c r="R2899" i="58" s="1"/>
  <c r="Q2984" i="58"/>
  <c r="Q3085" i="58"/>
  <c r="R3085" i="58" s="1"/>
  <c r="Q3389" i="58"/>
  <c r="R3389" i="58" s="1"/>
  <c r="Q3410" i="58"/>
  <c r="Q3539" i="58"/>
  <c r="Q3557" i="58"/>
  <c r="R3577" i="58"/>
  <c r="Q3648" i="58"/>
  <c r="Q3707" i="58"/>
  <c r="R3707" i="58" s="1"/>
  <c r="Q3988" i="58"/>
  <c r="Q4017" i="58"/>
  <c r="R4017" i="58" s="1"/>
  <c r="Q4132" i="58"/>
  <c r="R4132" i="58" s="1"/>
  <c r="Q4388" i="58"/>
  <c r="J4411" i="58"/>
  <c r="J4523" i="58"/>
  <c r="Q4529" i="58"/>
  <c r="Q5350" i="58"/>
  <c r="J5543" i="58"/>
  <c r="Q5770" i="58"/>
  <c r="J5785" i="58"/>
  <c r="J6312" i="58"/>
  <c r="Q6558" i="58"/>
  <c r="Q6588" i="58"/>
  <c r="Q7494" i="58"/>
  <c r="R7494" i="58" s="1"/>
  <c r="Q7724" i="58"/>
  <c r="R7724" i="58" s="1"/>
  <c r="Q2770" i="58"/>
  <c r="R3595" i="58"/>
  <c r="Q8051" i="58"/>
  <c r="R8052" i="58"/>
  <c r="Q1102" i="58"/>
  <c r="J1827" i="58"/>
  <c r="Q1838" i="58"/>
  <c r="Q2223" i="58"/>
  <c r="R2223" i="58" s="1"/>
  <c r="Q2371" i="58"/>
  <c r="Q2409" i="58"/>
  <c r="Q2541" i="58"/>
  <c r="Q2796" i="58"/>
  <c r="R2796" i="58" s="1"/>
  <c r="Q2922" i="58"/>
  <c r="R2922" i="58" s="1"/>
  <c r="J3033" i="58"/>
  <c r="Q3192" i="58"/>
  <c r="Q3234" i="58"/>
  <c r="R3234" i="58" s="1"/>
  <c r="Q3426" i="58"/>
  <c r="R3448" i="58"/>
  <c r="Q3486" i="58"/>
  <c r="Q3633" i="58"/>
  <c r="R3633" i="58" s="1"/>
  <c r="Q3660" i="58"/>
  <c r="Q3689" i="58"/>
  <c r="Q3719" i="58"/>
  <c r="R3719" i="58" s="1"/>
  <c r="Q3903" i="58"/>
  <c r="J3931" i="58"/>
  <c r="Q4090" i="58"/>
  <c r="Q4095" i="58"/>
  <c r="R4095" i="58" s="1"/>
  <c r="J4362" i="58"/>
  <c r="J4460" i="58"/>
  <c r="J4537" i="58"/>
  <c r="Q4807" i="58"/>
  <c r="Q4852" i="58"/>
  <c r="R4852" i="58" s="1"/>
  <c r="R4853" i="58"/>
  <c r="J5163" i="58"/>
  <c r="R5191" i="58"/>
  <c r="Q5190" i="58"/>
  <c r="J5414" i="58"/>
  <c r="Q5694" i="58"/>
  <c r="Q6023" i="58"/>
  <c r="J6529" i="58"/>
  <c r="Q6961" i="58"/>
  <c r="R6961" i="58" s="1"/>
  <c r="R7059" i="58"/>
  <c r="Q7058" i="58"/>
  <c r="J7510" i="58"/>
  <c r="Q3233" i="58"/>
  <c r="Q3413" i="58"/>
  <c r="J5036" i="58"/>
  <c r="R9691" i="58"/>
  <c r="Q9690" i="58"/>
  <c r="J1152" i="58"/>
  <c r="Q1163" i="58"/>
  <c r="Q1969" i="58"/>
  <c r="Q2126" i="58"/>
  <c r="Q2150" i="58"/>
  <c r="J2200" i="58"/>
  <c r="Q2354" i="58"/>
  <c r="R2354" i="58" s="1"/>
  <c r="Q2517" i="58"/>
  <c r="Q2596" i="58"/>
  <c r="Q2753" i="58"/>
  <c r="Q2808" i="58"/>
  <c r="J2894" i="58"/>
  <c r="Q2911" i="58"/>
  <c r="R2911" i="58" s="1"/>
  <c r="Q2946" i="58"/>
  <c r="Q3115" i="58"/>
  <c r="Q3174" i="58"/>
  <c r="R3174" i="58" s="1"/>
  <c r="Q3204" i="58"/>
  <c r="Q3245" i="58"/>
  <c r="Q3336" i="58"/>
  <c r="R3430" i="58"/>
  <c r="Q3498" i="58"/>
  <c r="Q3510" i="58"/>
  <c r="R3510" i="58" s="1"/>
  <c r="Q3554" i="58"/>
  <c r="R3554" i="58" s="1"/>
  <c r="Q3675" i="58"/>
  <c r="R3675" i="58" s="1"/>
  <c r="R3727" i="58"/>
  <c r="R3739" i="58"/>
  <c r="Q4054" i="58"/>
  <c r="R4054" i="58" s="1"/>
  <c r="Q4071" i="58"/>
  <c r="R4071" i="58" s="1"/>
  <c r="J4211" i="58"/>
  <c r="J4278" i="58"/>
  <c r="Q4324" i="58"/>
  <c r="R4324" i="58" s="1"/>
  <c r="Q4565" i="58"/>
  <c r="Q4980" i="58"/>
  <c r="N5024" i="58"/>
  <c r="Q5477" i="58"/>
  <c r="R5701" i="58"/>
  <c r="Q5700" i="58"/>
  <c r="R5700" i="58" s="1"/>
  <c r="J6104" i="58"/>
  <c r="Q2156" i="58"/>
  <c r="Q3722" i="58"/>
  <c r="J8776" i="58"/>
  <c r="Q2679" i="58"/>
  <c r="Q2764" i="58"/>
  <c r="Q2934" i="58"/>
  <c r="Q3103" i="58"/>
  <c r="R3103" i="58" s="1"/>
  <c r="Q3189" i="58"/>
  <c r="R3189" i="58" s="1"/>
  <c r="Q3216" i="58"/>
  <c r="R3216" i="58" s="1"/>
  <c r="Q3260" i="58"/>
  <c r="R3260" i="58" s="1"/>
  <c r="Q3348" i="58"/>
  <c r="R3348" i="58" s="1"/>
  <c r="Q3360" i="58"/>
  <c r="Q3386" i="58"/>
  <c r="Q3407" i="58"/>
  <c r="R3589" i="58"/>
  <c r="Q3704" i="58"/>
  <c r="R3704" i="58" s="1"/>
  <c r="J3841" i="58"/>
  <c r="Q3937" i="58"/>
  <c r="J3949" i="58"/>
  <c r="Q3981" i="58"/>
  <c r="Q4204" i="58"/>
  <c r="Q4338" i="58"/>
  <c r="Q4431" i="58"/>
  <c r="Q4859" i="58"/>
  <c r="Q4948" i="58"/>
  <c r="Q5608" i="58"/>
  <c r="R5608" i="58" s="1"/>
  <c r="Q4331" i="58"/>
  <c r="R4331" i="58" s="1"/>
  <c r="Q4367" i="58"/>
  <c r="Q4574" i="58"/>
  <c r="R5107" i="58"/>
  <c r="Q6603" i="58"/>
  <c r="R6603" i="58" s="1"/>
  <c r="Q10749" i="58"/>
  <c r="Q5451" i="58"/>
  <c r="J5850" i="58"/>
  <c r="R5914" i="58"/>
  <c r="Q5913" i="58"/>
  <c r="R5913" i="58" s="1"/>
  <c r="Q6218" i="58"/>
  <c r="J7555" i="58"/>
  <c r="Q4877" i="58"/>
  <c r="R4877" i="58" s="1"/>
  <c r="Q4900" i="58"/>
  <c r="Q5073" i="58"/>
  <c r="Q5132" i="58"/>
  <c r="R5132" i="58" s="1"/>
  <c r="Q5160" i="58"/>
  <c r="J5246" i="58"/>
  <c r="Q5578" i="58"/>
  <c r="Q5645" i="58"/>
  <c r="J6559" i="58"/>
  <c r="J7102" i="58"/>
  <c r="J7495" i="58"/>
  <c r="J4640" i="58"/>
  <c r="J4694" i="58"/>
  <c r="Q4895" i="58"/>
  <c r="Q4988" i="58"/>
  <c r="R4988" i="58" s="1"/>
  <c r="Q5002" i="58"/>
  <c r="J5300" i="58"/>
  <c r="Q5313" i="58"/>
  <c r="R5313" i="58" s="1"/>
  <c r="Q5356" i="58"/>
  <c r="J5446" i="58"/>
  <c r="Q5624" i="58"/>
  <c r="J5688" i="58"/>
  <c r="Q5822" i="58"/>
  <c r="R5822" i="58" s="1"/>
  <c r="Q5953" i="58"/>
  <c r="R5953" i="58" s="1"/>
  <c r="Q6001" i="58"/>
  <c r="J7292" i="58"/>
  <c r="J7307" i="58"/>
  <c r="Q7437" i="58"/>
  <c r="R7437" i="58" s="1"/>
  <c r="Q8184" i="58"/>
  <c r="Q4239" i="58"/>
  <c r="R4239" i="58" s="1"/>
  <c r="J4306" i="58"/>
  <c r="J4453" i="58"/>
  <c r="Q4621" i="58"/>
  <c r="R4621" i="58" s="1"/>
  <c r="Q5118" i="58"/>
  <c r="Q5453" i="58"/>
  <c r="R5453" i="58" s="1"/>
  <c r="Q5558" i="58"/>
  <c r="R5558" i="58" s="1"/>
  <c r="J5579" i="58"/>
  <c r="Q6193" i="58"/>
  <c r="R6193" i="58" s="1"/>
  <c r="Q6363" i="58"/>
  <c r="R6363" i="58" s="1"/>
  <c r="Q6456" i="58"/>
  <c r="R6457" i="58"/>
  <c r="Q6573" i="58"/>
  <c r="J6934" i="58"/>
  <c r="J7337" i="58"/>
  <c r="J8111" i="58"/>
  <c r="J4474" i="58"/>
  <c r="Q4484" i="58"/>
  <c r="R4484" i="58" s="1"/>
  <c r="J4516" i="58"/>
  <c r="Q4901" i="58"/>
  <c r="R4901" i="58" s="1"/>
  <c r="Q4930" i="58"/>
  <c r="R4930" i="58" s="1"/>
  <c r="Q4954" i="58"/>
  <c r="R4954" i="58" s="1"/>
  <c r="Q5139" i="58"/>
  <c r="R5139" i="58" s="1"/>
  <c r="J5201" i="58"/>
  <c r="Q5329" i="58"/>
  <c r="R5329" i="58" s="1"/>
  <c r="J5470" i="58"/>
  <c r="Q5551" i="58"/>
  <c r="J5589" i="58"/>
  <c r="J5653" i="58"/>
  <c r="Q5899" i="58"/>
  <c r="J5941" i="58"/>
  <c r="Q6129" i="58"/>
  <c r="J6208" i="58"/>
  <c r="Q6954" i="58"/>
  <c r="R6954" i="58" s="1"/>
  <c r="Q7100" i="58"/>
  <c r="R7100" i="58" s="1"/>
  <c r="J7277" i="58"/>
  <c r="Q4249" i="58"/>
  <c r="Q4445" i="58"/>
  <c r="Q4556" i="58"/>
  <c r="Q4788" i="58"/>
  <c r="J4790" i="58"/>
  <c r="Q4817" i="58"/>
  <c r="Q4925" i="58"/>
  <c r="R4925" i="58" s="1"/>
  <c r="J5056" i="58"/>
  <c r="J5192" i="58"/>
  <c r="J5876" i="58"/>
  <c r="Q6141" i="58"/>
  <c r="Q6443" i="58"/>
  <c r="R6443" i="58" s="1"/>
  <c r="Q6648" i="58"/>
  <c r="R6648" i="58" s="1"/>
  <c r="J6754" i="58"/>
  <c r="Q6766" i="58"/>
  <c r="Q7275" i="58"/>
  <c r="Q7436" i="58"/>
  <c r="Q7442" i="58"/>
  <c r="Q7657" i="58"/>
  <c r="Q9155" i="58"/>
  <c r="R9155" i="58" s="1"/>
  <c r="Q4473" i="58"/>
  <c r="Q4973" i="58"/>
  <c r="J5646" i="58"/>
  <c r="Q6016" i="58"/>
  <c r="Q6245" i="58"/>
  <c r="Q6415" i="58"/>
  <c r="R6485" i="58"/>
  <c r="Q6484" i="58"/>
  <c r="R6484" i="58" s="1"/>
  <c r="J6904" i="58"/>
  <c r="Q7099" i="58"/>
  <c r="R7099" i="58" s="1"/>
  <c r="J7424" i="58"/>
  <c r="J7660" i="58"/>
  <c r="J8631" i="58"/>
  <c r="Q3856" i="58"/>
  <c r="Q4246" i="58"/>
  <c r="R4246" i="58" s="1"/>
  <c r="Q4480" i="58"/>
  <c r="J5010" i="58"/>
  <c r="Q5154" i="58"/>
  <c r="R5154" i="58" s="1"/>
  <c r="Q5272" i="58"/>
  <c r="J5561" i="58"/>
  <c r="J5632" i="58"/>
  <c r="J6052" i="58"/>
  <c r="Q6258" i="58"/>
  <c r="J6458" i="58"/>
  <c r="J6589" i="58"/>
  <c r="J7172" i="58"/>
  <c r="Q7643" i="58"/>
  <c r="R7643" i="58" s="1"/>
  <c r="Q8031" i="58"/>
  <c r="J8555" i="58"/>
  <c r="Q4034" i="58"/>
  <c r="Q4114" i="58"/>
  <c r="R4114" i="58" s="1"/>
  <c r="J4145" i="58"/>
  <c r="Q4536" i="58"/>
  <c r="Q4835" i="58"/>
  <c r="R4835" i="58" s="1"/>
  <c r="N4848" i="58"/>
  <c r="N4956" i="58"/>
  <c r="N5056" i="58"/>
  <c r="Q5090" i="58"/>
  <c r="Q5175" i="58"/>
  <c r="J5372" i="58"/>
  <c r="J5422" i="58"/>
  <c r="J5526" i="58"/>
  <c r="J5599" i="58"/>
  <c r="Q5873" i="58"/>
  <c r="Q6513" i="58"/>
  <c r="J6544" i="58"/>
  <c r="J6889" i="58"/>
  <c r="Q7087" i="58"/>
  <c r="R7087" i="58" s="1"/>
  <c r="Q7416" i="58"/>
  <c r="J7585" i="58"/>
  <c r="Q9026" i="58"/>
  <c r="R9027" i="58"/>
  <c r="Q3522" i="58"/>
  <c r="J4127" i="58"/>
  <c r="Q4191" i="58"/>
  <c r="Q4508" i="58"/>
  <c r="R4508" i="58" s="1"/>
  <c r="Q4664" i="58"/>
  <c r="Q4738" i="58"/>
  <c r="Q4826" i="58"/>
  <c r="R4826" i="58" s="1"/>
  <c r="Q4880" i="58"/>
  <c r="Q4937" i="58"/>
  <c r="Q4986" i="58"/>
  <c r="N5047" i="58"/>
  <c r="J5155" i="58"/>
  <c r="Q5254" i="58"/>
  <c r="J5309" i="58"/>
  <c r="Q5321" i="58"/>
  <c r="R5321" i="58" s="1"/>
  <c r="J5674" i="58"/>
  <c r="Q6402" i="58"/>
  <c r="R6402" i="58" s="1"/>
  <c r="Q6499" i="58"/>
  <c r="Q6527" i="58"/>
  <c r="Q7709" i="58"/>
  <c r="R7709" i="58" s="1"/>
  <c r="Q7817" i="58"/>
  <c r="Q8551" i="58"/>
  <c r="Q8789" i="58"/>
  <c r="R8789" i="58" s="1"/>
  <c r="Q9587" i="58"/>
  <c r="R9587" i="58" s="1"/>
  <c r="Q3378" i="58"/>
  <c r="Q3587" i="58"/>
  <c r="Q4243" i="58"/>
  <c r="R4243" i="58" s="1"/>
  <c r="Q4395" i="58"/>
  <c r="Q4501" i="58"/>
  <c r="R4501" i="58" s="1"/>
  <c r="J4577" i="58"/>
  <c r="Q4769" i="58"/>
  <c r="R4769" i="58" s="1"/>
  <c r="Q4987" i="58"/>
  <c r="R4987" i="58" s="1"/>
  <c r="Q5008" i="58"/>
  <c r="Q5208" i="58"/>
  <c r="R5208" i="58" s="1"/>
  <c r="J5386" i="58"/>
  <c r="J5618" i="58"/>
  <c r="J5765" i="58"/>
  <c r="Q5874" i="58"/>
  <c r="R5874" i="58" s="1"/>
  <c r="Q6783" i="58"/>
  <c r="R6783" i="58" s="1"/>
  <c r="Q6813" i="58"/>
  <c r="R6813" i="58" s="1"/>
  <c r="Q7409" i="58"/>
  <c r="R7689" i="58"/>
  <c r="Q7688" i="58"/>
  <c r="Q7766" i="58"/>
  <c r="Q7996" i="58"/>
  <c r="R7996" i="58" s="1"/>
  <c r="J8291" i="58"/>
  <c r="R8707" i="58"/>
  <c r="Q8706" i="58"/>
  <c r="Q5112" i="58"/>
  <c r="R5112" i="58" s="1"/>
  <c r="Q5715" i="58"/>
  <c r="Q5836" i="58"/>
  <c r="R5836" i="58" s="1"/>
  <c r="Q5888" i="58"/>
  <c r="R5888" i="58" s="1"/>
  <c r="J5975" i="58"/>
  <c r="Q6090" i="58"/>
  <c r="Q6180" i="58"/>
  <c r="Q6311" i="58"/>
  <c r="Q6421" i="58"/>
  <c r="R6421" i="58" s="1"/>
  <c r="J6514" i="58"/>
  <c r="Q6678" i="58"/>
  <c r="R6678" i="58" s="1"/>
  <c r="J6694" i="58"/>
  <c r="J6799" i="58"/>
  <c r="Q6873" i="58"/>
  <c r="Q7199" i="58"/>
  <c r="R7199" i="58" s="1"/>
  <c r="J8650" i="58"/>
  <c r="R9679" i="58"/>
  <c r="Q9678" i="58"/>
  <c r="R9678" i="58" s="1"/>
  <c r="N4866" i="58"/>
  <c r="Q4905" i="58"/>
  <c r="R4905" i="58" s="1"/>
  <c r="Q4960" i="58"/>
  <c r="R4960" i="58" s="1"/>
  <c r="Q5146" i="58"/>
  <c r="R5146" i="58" s="1"/>
  <c r="Q5226" i="58"/>
  <c r="Q5242" i="58"/>
  <c r="Q5371" i="58"/>
  <c r="J5518" i="58"/>
  <c r="J5609" i="58"/>
  <c r="J5625" i="58"/>
  <c r="Q5686" i="58"/>
  <c r="Q5729" i="58"/>
  <c r="Q5958" i="58"/>
  <c r="J5961" i="58"/>
  <c r="J6003" i="58"/>
  <c r="Q6077" i="58"/>
  <c r="Q6296" i="58"/>
  <c r="Q6692" i="58"/>
  <c r="Q6973" i="58"/>
  <c r="Q7522" i="58"/>
  <c r="R7522" i="58" s="1"/>
  <c r="R8094" i="58"/>
  <c r="Q8093" i="58"/>
  <c r="R8093" i="58" s="1"/>
  <c r="Q8324" i="58"/>
  <c r="R8324" i="58" s="1"/>
  <c r="J8708" i="58"/>
  <c r="Q9038" i="58"/>
  <c r="R9255" i="58"/>
  <c r="Q9254" i="58"/>
  <c r="R9254" i="58" s="1"/>
  <c r="Q4863" i="58"/>
  <c r="R4863" i="58" s="1"/>
  <c r="Q4994" i="58"/>
  <c r="J5127" i="58"/>
  <c r="Q5290" i="58"/>
  <c r="Q5707" i="58"/>
  <c r="R5707" i="58" s="1"/>
  <c r="J5928" i="58"/>
  <c r="Q5987" i="58"/>
  <c r="Q6037" i="58"/>
  <c r="R6037" i="58" s="1"/>
  <c r="Q6362" i="58"/>
  <c r="R6362" i="58" s="1"/>
  <c r="J6430" i="58"/>
  <c r="Q6436" i="58"/>
  <c r="R6436" i="58" s="1"/>
  <c r="J6479" i="58"/>
  <c r="J7032" i="58"/>
  <c r="J7130" i="58"/>
  <c r="J7270" i="58"/>
  <c r="Q7381" i="58"/>
  <c r="Q7674" i="58"/>
  <c r="Q7801" i="58"/>
  <c r="R7801" i="58" s="1"/>
  <c r="Q8011" i="58"/>
  <c r="Q9895" i="58"/>
  <c r="R9895" i="58" s="1"/>
  <c r="J4299" i="58"/>
  <c r="R5104" i="58"/>
  <c r="J5273" i="58"/>
  <c r="Q5404" i="58"/>
  <c r="R5404" i="58" s="1"/>
  <c r="Q5437" i="58"/>
  <c r="Q5499" i="58"/>
  <c r="Q5743" i="58"/>
  <c r="Q6064" i="58"/>
  <c r="Q6903" i="58"/>
  <c r="Q6933" i="58"/>
  <c r="J7074" i="58"/>
  <c r="Q7569" i="58"/>
  <c r="R7569" i="58" s="1"/>
  <c r="J7600" i="58"/>
  <c r="J8019" i="58"/>
  <c r="J8186" i="58"/>
  <c r="Q9243" i="58"/>
  <c r="R9243" i="58" s="1"/>
  <c r="Q4222" i="58"/>
  <c r="Q4720" i="58"/>
  <c r="R4720" i="58" s="1"/>
  <c r="Q4953" i="58"/>
  <c r="Q5016" i="58"/>
  <c r="J5119" i="58"/>
  <c r="Q5308" i="58"/>
  <c r="R5308" i="58" s="1"/>
  <c r="Q5678" i="58"/>
  <c r="Q5806" i="58"/>
  <c r="Q5859" i="58"/>
  <c r="R5859" i="58" s="1"/>
  <c r="J6260" i="58"/>
  <c r="Q6661" i="58"/>
  <c r="J6769" i="58"/>
  <c r="R7628" i="58"/>
  <c r="J7732" i="58"/>
  <c r="Q7981" i="58"/>
  <c r="J8612" i="58"/>
  <c r="Q5105" i="58"/>
  <c r="R5105" i="58" s="1"/>
  <c r="J5323" i="58"/>
  <c r="J5407" i="58"/>
  <c r="Q5491" i="58"/>
  <c r="R5491" i="58" s="1"/>
  <c r="J5494" i="58"/>
  <c r="Q5607" i="58"/>
  <c r="R5607" i="58" s="1"/>
  <c r="J5702" i="58"/>
  <c r="J5751" i="58"/>
  <c r="Q5912" i="58"/>
  <c r="Q5973" i="58"/>
  <c r="R5973" i="58" s="1"/>
  <c r="Q5988" i="58"/>
  <c r="R5988" i="58" s="1"/>
  <c r="J6130" i="58"/>
  <c r="Q6231" i="58"/>
  <c r="Q6376" i="58"/>
  <c r="J6634" i="58"/>
  <c r="Q6738" i="58"/>
  <c r="J6844" i="58"/>
  <c r="J7235" i="58"/>
  <c r="Q7846" i="58"/>
  <c r="J7953" i="58"/>
  <c r="Q8109" i="58"/>
  <c r="R8110" i="58"/>
  <c r="Q5235" i="58"/>
  <c r="Q5517" i="58"/>
  <c r="Q5764" i="58"/>
  <c r="R5764" i="58" s="1"/>
  <c r="J5798" i="58"/>
  <c r="Q5952" i="58"/>
  <c r="J6273" i="58"/>
  <c r="J6486" i="58"/>
  <c r="J6874" i="58"/>
  <c r="J7200" i="58"/>
  <c r="Q7234" i="58"/>
  <c r="R7234" i="58" s="1"/>
  <c r="J7242" i="58"/>
  <c r="J7525" i="58"/>
  <c r="J7908" i="58"/>
  <c r="Q8309" i="58"/>
  <c r="Q9167" i="58"/>
  <c r="R9167" i="58" s="1"/>
  <c r="Q5557" i="58"/>
  <c r="R5557" i="58" s="1"/>
  <c r="J5570" i="58"/>
  <c r="J5667" i="58"/>
  <c r="F73" i="39" s="1"/>
  <c r="Q5994" i="58"/>
  <c r="Q6009" i="58"/>
  <c r="Q6044" i="58"/>
  <c r="R6044" i="58" s="1"/>
  <c r="J6234" i="58"/>
  <c r="J6465" i="58"/>
  <c r="J7025" i="58"/>
  <c r="Q7212" i="58"/>
  <c r="Q7306" i="58"/>
  <c r="Q7553" i="58"/>
  <c r="R7553" i="58" s="1"/>
  <c r="J7863" i="58"/>
  <c r="R9095" i="58"/>
  <c r="J9438" i="58"/>
  <c r="R9567" i="58"/>
  <c r="Q9566" i="58"/>
  <c r="Q5098" i="58"/>
  <c r="R5098" i="58" s="1"/>
  <c r="Q5218" i="58"/>
  <c r="R5218" i="58" s="1"/>
  <c r="Q5452" i="58"/>
  <c r="R5452" i="58" s="1"/>
  <c r="J5552" i="58"/>
  <c r="J5730" i="58"/>
  <c r="Q5967" i="58"/>
  <c r="Q6102" i="58"/>
  <c r="Q6232" i="58"/>
  <c r="R6232" i="58" s="1"/>
  <c r="Q6270" i="58"/>
  <c r="R6270" i="58" s="1"/>
  <c r="J6437" i="58"/>
  <c r="J6829" i="58"/>
  <c r="J6948" i="58"/>
  <c r="J7431" i="58"/>
  <c r="J7615" i="58"/>
  <c r="Q7952" i="58"/>
  <c r="Q9265" i="58"/>
  <c r="Q5115" i="58"/>
  <c r="Q5153" i="58"/>
  <c r="R5153" i="58" s="1"/>
  <c r="Q5469" i="58"/>
  <c r="R5469" i="58" s="1"/>
  <c r="Q5500" i="58"/>
  <c r="R5500" i="58" s="1"/>
  <c r="J5837" i="58"/>
  <c r="J5989" i="58"/>
  <c r="Q6116" i="58"/>
  <c r="R6116" i="58" s="1"/>
  <c r="Q6506" i="58"/>
  <c r="Q6542" i="58"/>
  <c r="Q6693" i="58"/>
  <c r="R6693" i="58" s="1"/>
  <c r="J6739" i="58"/>
  <c r="Q7967" i="58"/>
  <c r="R7967" i="58" s="1"/>
  <c r="Q8720" i="58"/>
  <c r="R8720" i="58" s="1"/>
  <c r="J8859" i="58"/>
  <c r="Q9350" i="58"/>
  <c r="R9351" i="58"/>
  <c r="N10320" i="58"/>
  <c r="Q5170" i="58"/>
  <c r="R5170" i="58" s="1"/>
  <c r="Q5181" i="58"/>
  <c r="Q5377" i="58"/>
  <c r="Q5525" i="58"/>
  <c r="J5716" i="58"/>
  <c r="Q5979" i="58"/>
  <c r="J6377" i="58"/>
  <c r="Q6602" i="58"/>
  <c r="Q6722" i="58"/>
  <c r="Q6812" i="58"/>
  <c r="Q6968" i="58"/>
  <c r="Q7073" i="58"/>
  <c r="R7073" i="58" s="1"/>
  <c r="Q7472" i="58"/>
  <c r="R7472" i="58" s="1"/>
  <c r="J7645" i="58"/>
  <c r="J7690" i="58"/>
  <c r="Q7696" i="58"/>
  <c r="R7696" i="58" s="1"/>
  <c r="Q7832" i="58"/>
  <c r="R7832" i="58" s="1"/>
  <c r="J8246" i="58"/>
  <c r="Q8630" i="58"/>
  <c r="Q5198" i="58"/>
  <c r="Q5363" i="58"/>
  <c r="R5363" i="58" s="1"/>
  <c r="Q5483" i="58"/>
  <c r="Q5569" i="58"/>
  <c r="R5569" i="58" s="1"/>
  <c r="Q5652" i="58"/>
  <c r="R5652" i="58" s="1"/>
  <c r="Q5666" i="58"/>
  <c r="R5666" i="58" s="1"/>
  <c r="Q5721" i="58"/>
  <c r="J5915" i="58"/>
  <c r="J6078" i="58"/>
  <c r="Q6336" i="58"/>
  <c r="R6336" i="58" s="1"/>
  <c r="J6784" i="58"/>
  <c r="J6976" i="58"/>
  <c r="Q6994" i="58"/>
  <c r="Q7009" i="58"/>
  <c r="Q7023" i="58"/>
  <c r="J7060" i="58"/>
  <c r="Q7115" i="58"/>
  <c r="Q7156" i="58"/>
  <c r="R7156" i="58" s="1"/>
  <c r="J7403" i="58"/>
  <c r="Q7429" i="58"/>
  <c r="Q7451" i="58"/>
  <c r="Q7457" i="58"/>
  <c r="J7480" i="58"/>
  <c r="Q7936" i="58"/>
  <c r="R7936" i="58" s="1"/>
  <c r="J7968" i="58"/>
  <c r="Q8139" i="58"/>
  <c r="Q8259" i="58"/>
  <c r="R8259" i="58" s="1"/>
  <c r="Q8573" i="58"/>
  <c r="R8573" i="58" s="1"/>
  <c r="Q9114" i="58"/>
  <c r="R9114" i="58" s="1"/>
  <c r="R9387" i="58"/>
  <c r="Q9386" i="58"/>
  <c r="R9386" i="58" s="1"/>
  <c r="J9852" i="58"/>
  <c r="Q6677" i="58"/>
  <c r="J6709" i="58"/>
  <c r="Q6843" i="58"/>
  <c r="J7352" i="58"/>
  <c r="Q7423" i="58"/>
  <c r="R7423" i="58" s="1"/>
  <c r="Q7521" i="58"/>
  <c r="R7521" i="58" s="1"/>
  <c r="Q7695" i="58"/>
  <c r="J8075" i="58"/>
  <c r="J8231" i="58"/>
  <c r="Q8439" i="58"/>
  <c r="Q8910" i="58"/>
  <c r="R8910" i="58" s="1"/>
  <c r="Q9135" i="58"/>
  <c r="R10661" i="58"/>
  <c r="Q10660" i="58"/>
  <c r="Q6154" i="58"/>
  <c r="R6154" i="58" s="1"/>
  <c r="Q6464" i="58"/>
  <c r="R6464" i="58" s="1"/>
  <c r="Q6471" i="58"/>
  <c r="R6471" i="58" s="1"/>
  <c r="J6649" i="58"/>
  <c r="Q7254" i="58"/>
  <c r="Q7402" i="58"/>
  <c r="J7570" i="58"/>
  <c r="Q7717" i="58"/>
  <c r="R7717" i="58" s="1"/>
  <c r="J7938" i="58"/>
  <c r="J8261" i="58"/>
  <c r="Q8404" i="58"/>
  <c r="R8405" i="58"/>
  <c r="Q8647" i="58"/>
  <c r="J8804" i="58"/>
  <c r="J8924" i="58"/>
  <c r="Q9506" i="58"/>
  <c r="J5863" i="58"/>
  <c r="J6247" i="58"/>
  <c r="J6997" i="58"/>
  <c r="Q7321" i="58"/>
  <c r="R7321" i="58" s="1"/>
  <c r="Q7465" i="58"/>
  <c r="R7465" i="58" s="1"/>
  <c r="Q7493" i="58"/>
  <c r="R7493" i="58" s="1"/>
  <c r="Q7508" i="58"/>
  <c r="R7508" i="58" s="1"/>
  <c r="J7630" i="58"/>
  <c r="Q7759" i="58"/>
  <c r="Q7904" i="58"/>
  <c r="Q8342" i="58"/>
  <c r="R8342" i="58" s="1"/>
  <c r="R8497" i="58"/>
  <c r="Q8817" i="58"/>
  <c r="Q9519" i="58"/>
  <c r="R9519" i="58" s="1"/>
  <c r="Q9531" i="58"/>
  <c r="R9531" i="58" s="1"/>
  <c r="Q6753" i="58"/>
  <c r="R6753" i="58" s="1"/>
  <c r="J7438" i="58"/>
  <c r="Q7731" i="58"/>
  <c r="Q7771" i="58"/>
  <c r="J8460" i="58"/>
  <c r="J8695" i="58"/>
  <c r="J8762" i="58"/>
  <c r="Q9215" i="58"/>
  <c r="Q9487" i="58"/>
  <c r="J6091" i="58"/>
  <c r="Q6206" i="58"/>
  <c r="Q6618" i="58"/>
  <c r="J7018" i="58"/>
  <c r="J7088" i="58"/>
  <c r="Q7143" i="58"/>
  <c r="R7143" i="58" s="1"/>
  <c r="Q7185" i="58"/>
  <c r="R7185" i="58" s="1"/>
  <c r="J7417" i="58"/>
  <c r="J7452" i="58"/>
  <c r="J7760" i="58"/>
  <c r="J7878" i="58"/>
  <c r="Q8318" i="58"/>
  <c r="J8417" i="58"/>
  <c r="Q8681" i="58"/>
  <c r="R8681" i="58" s="1"/>
  <c r="J8846" i="58"/>
  <c r="Q9105" i="58"/>
  <c r="R9105" i="58" s="1"/>
  <c r="Q9827" i="58"/>
  <c r="R9827" i="58" s="1"/>
  <c r="Q10092" i="58"/>
  <c r="Q7003" i="58"/>
  <c r="R7003" i="58" s="1"/>
  <c r="Q7043" i="58"/>
  <c r="R7043" i="58" s="1"/>
  <c r="J7116" i="58"/>
  <c r="Q7290" i="58"/>
  <c r="R7290" i="58" s="1"/>
  <c r="Q7350" i="58"/>
  <c r="Q7723" i="58"/>
  <c r="J7788" i="58"/>
  <c r="J7998" i="58"/>
  <c r="Q8037" i="58"/>
  <c r="R8037" i="58" s="1"/>
  <c r="Q8258" i="58"/>
  <c r="Q8319" i="58"/>
  <c r="R8319" i="58" s="1"/>
  <c r="J8378" i="58"/>
  <c r="Q9475" i="58"/>
  <c r="J9556" i="58"/>
  <c r="Q7198" i="58"/>
  <c r="R7198" i="58" s="1"/>
  <c r="J7848" i="58"/>
  <c r="Q7877" i="58"/>
  <c r="R7877" i="58" s="1"/>
  <c r="Q8060" i="58"/>
  <c r="Q8200" i="58"/>
  <c r="Q8338" i="58"/>
  <c r="J8593" i="58"/>
  <c r="Q8694" i="58"/>
  <c r="J9040" i="58"/>
  <c r="Q9093" i="58"/>
  <c r="R9093" i="58" s="1"/>
  <c r="N9156" i="58"/>
  <c r="J9658" i="58"/>
  <c r="Q7537" i="58"/>
  <c r="Q7626" i="58"/>
  <c r="Q7787" i="58"/>
  <c r="R7787" i="58" s="1"/>
  <c r="Q8079" i="58"/>
  <c r="Q8213" i="58"/>
  <c r="R8213" i="58" s="1"/>
  <c r="J8536" i="58"/>
  <c r="J8818" i="58"/>
  <c r="J8950" i="58"/>
  <c r="Q7708" i="58"/>
  <c r="Q8074" i="58"/>
  <c r="R8074" i="58" s="1"/>
  <c r="J8126" i="58"/>
  <c r="J9146" i="58"/>
  <c r="J7725" i="58"/>
  <c r="Q7920" i="58"/>
  <c r="Q7997" i="58"/>
  <c r="R7997" i="58" s="1"/>
  <c r="J8033" i="58"/>
  <c r="J8201" i="58"/>
  <c r="J8276" i="58"/>
  <c r="N8574" i="58"/>
  <c r="Q8732" i="58"/>
  <c r="Q8844" i="58"/>
  <c r="J9015" i="58"/>
  <c r="Q9293" i="58"/>
  <c r="R9293" i="58" s="1"/>
  <c r="Q9597" i="58"/>
  <c r="R9597" i="58" s="1"/>
  <c r="Q7538" i="58"/>
  <c r="R7538" i="58" s="1"/>
  <c r="Q7584" i="58"/>
  <c r="Q7780" i="58"/>
  <c r="J7818" i="58"/>
  <c r="Q7890" i="58"/>
  <c r="J7983" i="58"/>
  <c r="J8171" i="58"/>
  <c r="Q8719" i="58"/>
  <c r="Q8858" i="58"/>
  <c r="Q9001" i="58"/>
  <c r="Q9518" i="58"/>
  <c r="R9518" i="58" s="1"/>
  <c r="Q7029" i="58"/>
  <c r="R7029" i="58" s="1"/>
  <c r="Q7471" i="58"/>
  <c r="Q7921" i="58"/>
  <c r="R7921" i="58" s="1"/>
  <c r="Q8092" i="58"/>
  <c r="J8141" i="58"/>
  <c r="Q8290" i="58"/>
  <c r="Q8477" i="58"/>
  <c r="R8477" i="58" s="1"/>
  <c r="Q8884" i="58"/>
  <c r="N9864" i="58"/>
  <c r="R10042" i="58"/>
  <c r="Q10041" i="58"/>
  <c r="R10041" i="58" s="1"/>
  <c r="Q6946" i="58"/>
  <c r="R6946" i="58" s="1"/>
  <c r="Q7240" i="58"/>
  <c r="Q7744" i="58"/>
  <c r="R7744" i="58" s="1"/>
  <c r="Q8032" i="58"/>
  <c r="R8032" i="58" s="1"/>
  <c r="Q8125" i="58"/>
  <c r="Q8434" i="58"/>
  <c r="R8434" i="58" s="1"/>
  <c r="J8669" i="58"/>
  <c r="Q9466" i="58"/>
  <c r="J9598" i="58"/>
  <c r="Q11782" i="58"/>
  <c r="R11782" i="58" s="1"/>
  <c r="Q11904" i="58"/>
  <c r="R11905" i="58"/>
  <c r="J7753" i="58"/>
  <c r="J7767" i="58"/>
  <c r="Q7772" i="58"/>
  <c r="R7772" i="58" s="1"/>
  <c r="J8012" i="58"/>
  <c r="Q8214" i="58"/>
  <c r="R8214" i="58" s="1"/>
  <c r="Q8330" i="58"/>
  <c r="R8330" i="58" s="1"/>
  <c r="Q8407" i="58"/>
  <c r="J8441" i="58"/>
  <c r="N8460" i="58"/>
  <c r="J8479" i="58"/>
  <c r="Q8680" i="58"/>
  <c r="Q9447" i="58"/>
  <c r="N9788" i="58"/>
  <c r="R11584" i="58"/>
  <c r="Q11583" i="58"/>
  <c r="R11583" i="58" s="1"/>
  <c r="J8061" i="58"/>
  <c r="Q8230" i="58"/>
  <c r="Q8334" i="58"/>
  <c r="R8334" i="58" s="1"/>
  <c r="J8898" i="58"/>
  <c r="J8911" i="58"/>
  <c r="Q8935" i="58"/>
  <c r="R8935" i="58" s="1"/>
  <c r="Q8949" i="58"/>
  <c r="Q8962" i="58"/>
  <c r="R8962" i="58" s="1"/>
  <c r="J9028" i="58"/>
  <c r="Q9072" i="58"/>
  <c r="J9076" i="58"/>
  <c r="Q9796" i="58"/>
  <c r="R9796" i="58" s="1"/>
  <c r="R10033" i="58"/>
  <c r="Q10032" i="58"/>
  <c r="Q7738" i="58"/>
  <c r="J8096" i="58"/>
  <c r="Q8170" i="58"/>
  <c r="Q8185" i="58"/>
  <c r="R8185" i="58" s="1"/>
  <c r="Q8245" i="58"/>
  <c r="Q8350" i="58"/>
  <c r="R8350" i="58" s="1"/>
  <c r="Q8773" i="58"/>
  <c r="Q8831" i="58"/>
  <c r="Q9083" i="58"/>
  <c r="Q9375" i="58"/>
  <c r="R9375" i="58" s="1"/>
  <c r="N9448" i="58"/>
  <c r="Q7831" i="58"/>
  <c r="R7831" i="58" s="1"/>
  <c r="Q8045" i="58"/>
  <c r="R8045" i="58" s="1"/>
  <c r="Q8431" i="58"/>
  <c r="J8734" i="58"/>
  <c r="J9448" i="58"/>
  <c r="R10760" i="58"/>
  <c r="Q10759" i="58"/>
  <c r="Q10954" i="58"/>
  <c r="Q11441" i="58"/>
  <c r="Q7800" i="58"/>
  <c r="R7800" i="58" s="1"/>
  <c r="Q7847" i="58"/>
  <c r="R7847" i="58" s="1"/>
  <c r="Q8067" i="58"/>
  <c r="Q8572" i="58"/>
  <c r="J8872" i="58"/>
  <c r="J9204" i="58"/>
  <c r="Q9275" i="58"/>
  <c r="R9275" i="58" s="1"/>
  <c r="Q9586" i="58"/>
  <c r="Q9645" i="58"/>
  <c r="R9645" i="58" s="1"/>
  <c r="R10937" i="58"/>
  <c r="Q10936" i="58"/>
  <c r="Q8973" i="58"/>
  <c r="R8973" i="58" s="1"/>
  <c r="J9126" i="58"/>
  <c r="R9542" i="58"/>
  <c r="R9727" i="58"/>
  <c r="Q9726" i="58"/>
  <c r="R9726" i="58" s="1"/>
  <c r="R9885" i="58"/>
  <c r="Q9884" i="58"/>
  <c r="Q10107" i="58"/>
  <c r="R10107" i="58" s="1"/>
  <c r="Q8080" i="58"/>
  <c r="R8080" i="58" s="1"/>
  <c r="J8156" i="58"/>
  <c r="N8479" i="58"/>
  <c r="J8574" i="58"/>
  <c r="N8612" i="58"/>
  <c r="J8937" i="58"/>
  <c r="Q9039" i="58"/>
  <c r="R9039" i="58" s="1"/>
  <c r="N9052" i="58"/>
  <c r="Q9405" i="58"/>
  <c r="R9405" i="58" s="1"/>
  <c r="N9428" i="58"/>
  <c r="J9768" i="58"/>
  <c r="Q10728" i="58"/>
  <c r="R11285" i="58"/>
  <c r="Q11284" i="58"/>
  <c r="J8885" i="58"/>
  <c r="Q8974" i="58"/>
  <c r="R8974" i="58" s="1"/>
  <c r="J9002" i="58"/>
  <c r="Q9154" i="58"/>
  <c r="J9256" i="58"/>
  <c r="J9276" i="58"/>
  <c r="J9328" i="58"/>
  <c r="Q10119" i="58"/>
  <c r="Q10245" i="58"/>
  <c r="R10245" i="58" s="1"/>
  <c r="Q10256" i="58"/>
  <c r="R10256" i="58" s="1"/>
  <c r="R10257" i="58"/>
  <c r="Q8424" i="58"/>
  <c r="Q9244" i="58"/>
  <c r="R9244" i="58" s="1"/>
  <c r="Q9305" i="58"/>
  <c r="N9418" i="58"/>
  <c r="N9508" i="58"/>
  <c r="J9608" i="58"/>
  <c r="Q9914" i="58"/>
  <c r="Q9965" i="58"/>
  <c r="Q8155" i="58"/>
  <c r="Q8516" i="58"/>
  <c r="Q8745" i="58"/>
  <c r="Q8803" i="58"/>
  <c r="J9136" i="58"/>
  <c r="Q9576" i="58"/>
  <c r="Q9702" i="58"/>
  <c r="Q9746" i="58"/>
  <c r="R9746" i="58" s="1"/>
  <c r="Q9875" i="58"/>
  <c r="J9906" i="58"/>
  <c r="N9946" i="58"/>
  <c r="Q9978" i="58"/>
  <c r="Q8922" i="58"/>
  <c r="Q9073" i="58"/>
  <c r="R9073" i="58" s="1"/>
  <c r="Q9125" i="58"/>
  <c r="J9192" i="58"/>
  <c r="Q9363" i="58"/>
  <c r="Q9497" i="58"/>
  <c r="J9886" i="58"/>
  <c r="Q9935" i="58"/>
  <c r="R9935" i="58" s="1"/>
  <c r="Q10013" i="58"/>
  <c r="N10258" i="58"/>
  <c r="Q10986" i="58"/>
  <c r="Q8788" i="58"/>
  <c r="J9458" i="58"/>
  <c r="N10108" i="58"/>
  <c r="J9818" i="58"/>
  <c r="J10014" i="58"/>
  <c r="J10120" i="58"/>
  <c r="Q10234" i="58"/>
  <c r="Q10330" i="58"/>
  <c r="R11068" i="58"/>
  <c r="Q11067" i="58"/>
  <c r="Q9437" i="58"/>
  <c r="J9468" i="58"/>
  <c r="J9588" i="58"/>
  <c r="J9668" i="58"/>
  <c r="J9704" i="58"/>
  <c r="Q10342" i="58"/>
  <c r="R10343" i="58"/>
  <c r="N10394" i="58"/>
  <c r="Q10515" i="58"/>
  <c r="R10515" i="58" s="1"/>
  <c r="J10568" i="58"/>
  <c r="Q10750" i="58"/>
  <c r="R10750" i="58" s="1"/>
  <c r="Q9284" i="58"/>
  <c r="Q9424" i="58"/>
  <c r="Q9666" i="58"/>
  <c r="R9666" i="58" s="1"/>
  <c r="J9808" i="58"/>
  <c r="R10383" i="58"/>
  <c r="Q10382" i="58"/>
  <c r="Q10637" i="58"/>
  <c r="R10905" i="58"/>
  <c r="Q10904" i="58"/>
  <c r="Q8987" i="58"/>
  <c r="R8987" i="58" s="1"/>
  <c r="Q9013" i="58"/>
  <c r="Q9253" i="58"/>
  <c r="R9253" i="58" s="1"/>
  <c r="Q9456" i="58"/>
  <c r="R9456" i="58" s="1"/>
  <c r="J9498" i="58"/>
  <c r="Q9555" i="58"/>
  <c r="Q9656" i="58"/>
  <c r="N9808" i="58"/>
  <c r="Q9991" i="58"/>
  <c r="R9991" i="58" s="1"/>
  <c r="Q10235" i="58"/>
  <c r="R10235" i="58" s="1"/>
  <c r="Q11653" i="58"/>
  <c r="Q9315" i="58"/>
  <c r="R9315" i="58" s="1"/>
  <c r="Q9395" i="58"/>
  <c r="R9395" i="58" s="1"/>
  <c r="J9520" i="58"/>
  <c r="Q9677" i="58"/>
  <c r="Q9816" i="58"/>
  <c r="Q9923" i="58"/>
  <c r="J9968" i="58"/>
  <c r="Q10982" i="58"/>
  <c r="R11565" i="58"/>
  <c r="Q11564" i="58"/>
  <c r="Q9507" i="58"/>
  <c r="R9507" i="58" s="1"/>
  <c r="N9716" i="58"/>
  <c r="J9798" i="58"/>
  <c r="Q9862" i="58"/>
  <c r="J10142" i="58"/>
  <c r="Q9417" i="58"/>
  <c r="Q10002" i="58"/>
  <c r="J10374" i="58"/>
  <c r="Q10682" i="58"/>
  <c r="J9296" i="58"/>
  <c r="Q9339" i="58"/>
  <c r="Q9737" i="58"/>
  <c r="R9737" i="58" s="1"/>
  <c r="Q9777" i="58"/>
  <c r="R9777" i="58" s="1"/>
  <c r="Q9786" i="58"/>
  <c r="J9946" i="58"/>
  <c r="N10236" i="58"/>
  <c r="Q10265" i="58"/>
  <c r="Q10987" i="58"/>
  <c r="R10987" i="58" s="1"/>
  <c r="Q11169" i="58"/>
  <c r="R11169" i="58" s="1"/>
  <c r="Q9530" i="58"/>
  <c r="R9530" i="58" s="1"/>
  <c r="J10162" i="58"/>
  <c r="Q10672" i="58"/>
  <c r="Q10848" i="58"/>
  <c r="R10848" i="58" s="1"/>
  <c r="Q11077" i="58"/>
  <c r="R11078" i="58"/>
  <c r="J11526" i="58"/>
  <c r="Q11976" i="58"/>
  <c r="R11977" i="58"/>
  <c r="Q9625" i="58"/>
  <c r="Q9904" i="58"/>
  <c r="R9904" i="58" s="1"/>
  <c r="J9956" i="58"/>
  <c r="N10212" i="58"/>
  <c r="Q10296" i="58"/>
  <c r="R10296" i="58" s="1"/>
  <c r="N10374" i="58"/>
  <c r="Q10478" i="58"/>
  <c r="Q9203" i="58"/>
  <c r="R9203" i="58" s="1"/>
  <c r="Q9637" i="58"/>
  <c r="R9637" i="58" s="1"/>
  <c r="Q9646" i="58"/>
  <c r="R9646" i="58" s="1"/>
  <c r="Q9725" i="58"/>
  <c r="Q9765" i="58"/>
  <c r="R9765" i="58" s="1"/>
  <c r="Q9953" i="58"/>
  <c r="N9992" i="58"/>
  <c r="Q10022" i="58"/>
  <c r="R10022" i="58" s="1"/>
  <c r="Q10063" i="58"/>
  <c r="J10212" i="58"/>
  <c r="Q10353" i="58"/>
  <c r="Q10489" i="58"/>
  <c r="R10489" i="58" s="1"/>
  <c r="Q10894" i="58"/>
  <c r="R10894" i="58" s="1"/>
  <c r="J11136" i="58"/>
  <c r="J10024" i="58"/>
  <c r="Q10141" i="58"/>
  <c r="J10364" i="58"/>
  <c r="Q10594" i="58"/>
  <c r="J10624" i="58"/>
  <c r="Q11488" i="58"/>
  <c r="Q12753" i="58"/>
  <c r="R12753" i="58" s="1"/>
  <c r="J10044" i="58"/>
  <c r="N10298" i="58"/>
  <c r="J10417" i="58"/>
  <c r="J10491" i="58"/>
  <c r="J10530" i="58"/>
  <c r="Q10566" i="58"/>
  <c r="Q10818" i="58"/>
  <c r="Q12654" i="58"/>
  <c r="J9568" i="58"/>
  <c r="J10152" i="58"/>
  <c r="J10202" i="58"/>
  <c r="R10466" i="58"/>
  <c r="J10729" i="58"/>
  <c r="Q10798" i="58"/>
  <c r="Q10872" i="58"/>
  <c r="J11094" i="58"/>
  <c r="Q11267" i="58"/>
  <c r="R11736" i="58"/>
  <c r="Q11735" i="58"/>
  <c r="Q9839" i="58"/>
  <c r="R9839" i="58" s="1"/>
  <c r="Q10287" i="58"/>
  <c r="J10394" i="58"/>
  <c r="J10907" i="58"/>
  <c r="Q11035" i="58"/>
  <c r="J11122" i="58"/>
  <c r="J10054" i="58"/>
  <c r="Q10201" i="58"/>
  <c r="J10268" i="58"/>
  <c r="Q10307" i="58"/>
  <c r="Q10442" i="58"/>
  <c r="Q10553" i="58"/>
  <c r="J10663" i="58"/>
  <c r="Q10970" i="58"/>
  <c r="R11884" i="58"/>
  <c r="Q11883" i="58"/>
  <c r="R12144" i="58"/>
  <c r="Q12143" i="58"/>
  <c r="R12143" i="58" s="1"/>
  <c r="Q9756" i="58"/>
  <c r="Q10003" i="58"/>
  <c r="R10003" i="58" s="1"/>
  <c r="Q10072" i="58"/>
  <c r="Q10160" i="58"/>
  <c r="Q10171" i="58"/>
  <c r="J10479" i="58"/>
  <c r="J10582" i="58"/>
  <c r="Q10977" i="58"/>
  <c r="Q11179" i="58"/>
  <c r="Q11360" i="58"/>
  <c r="R11360" i="58" s="1"/>
  <c r="J11302" i="58"/>
  <c r="R13044" i="58"/>
  <c r="Q13043" i="58"/>
  <c r="N10819" i="58"/>
  <c r="J10915" i="58"/>
  <c r="Q11057" i="58"/>
  <c r="Q11274" i="58"/>
  <c r="R11274" i="58" s="1"/>
  <c r="R11275" i="58"/>
  <c r="Q11434" i="58"/>
  <c r="Q11554" i="58"/>
  <c r="Q10716" i="58"/>
  <c r="R10716" i="58" s="1"/>
  <c r="Q10806" i="58"/>
  <c r="R10806" i="58" s="1"/>
  <c r="N10830" i="58"/>
  <c r="Q11581" i="58"/>
  <c r="Q12355" i="58"/>
  <c r="N10874" i="58"/>
  <c r="Q11017" i="58"/>
  <c r="J10596" i="58"/>
  <c r="J10610" i="58"/>
  <c r="J10652" i="58"/>
  <c r="N10674" i="58"/>
  <c r="Q10914" i="58"/>
  <c r="J10939" i="58"/>
  <c r="R11416" i="58"/>
  <c r="Q11415" i="58"/>
  <c r="R11415" i="58" s="1"/>
  <c r="Q11723" i="58"/>
  <c r="Q11837" i="58"/>
  <c r="R11837" i="58" s="1"/>
  <c r="Q11941" i="58"/>
  <c r="J10004" i="58"/>
  <c r="Q10318" i="58"/>
  <c r="Q10706" i="58"/>
  <c r="R10706" i="58" s="1"/>
  <c r="J10751" i="58"/>
  <c r="Q10840" i="58"/>
  <c r="R10840" i="58" s="1"/>
  <c r="J11268" i="58"/>
  <c r="J11426" i="58"/>
  <c r="Q11470" i="58"/>
  <c r="R11470" i="58" s="1"/>
  <c r="Q11524" i="58"/>
  <c r="J11772" i="58"/>
  <c r="R11959" i="58"/>
  <c r="Q11958" i="58"/>
  <c r="R11958" i="58" s="1"/>
  <c r="Q9807" i="58"/>
  <c r="Q10082" i="58"/>
  <c r="Q10130" i="58"/>
  <c r="Q10180" i="58"/>
  <c r="R10180" i="58" s="1"/>
  <c r="Q10223" i="58"/>
  <c r="J10354" i="58"/>
  <c r="J10554" i="58"/>
  <c r="J10923" i="58"/>
  <c r="Q10960" i="58"/>
  <c r="R10960" i="58" s="1"/>
  <c r="Q11042" i="58"/>
  <c r="Q11134" i="58"/>
  <c r="J10258" i="58"/>
  <c r="Q10961" i="58"/>
  <c r="R10961" i="58" s="1"/>
  <c r="Q11148" i="58"/>
  <c r="R11149" i="58"/>
  <c r="J11324" i="58"/>
  <c r="Q11391" i="58"/>
  <c r="R11391" i="58" s="1"/>
  <c r="Q11594" i="58"/>
  <c r="R11595" i="58"/>
  <c r="Q11624" i="58"/>
  <c r="R11625" i="58"/>
  <c r="Q11679" i="58"/>
  <c r="R11679" i="58" s="1"/>
  <c r="Q10053" i="58"/>
  <c r="Q10371" i="58"/>
  <c r="N10384" i="58"/>
  <c r="Q10416" i="58"/>
  <c r="R10416" i="58" s="1"/>
  <c r="Q10541" i="58"/>
  <c r="R10541" i="58" s="1"/>
  <c r="J10800" i="58"/>
  <c r="Q10807" i="58"/>
  <c r="R10807" i="58" s="1"/>
  <c r="N10808" i="58"/>
  <c r="Q10862" i="58"/>
  <c r="R10862" i="58" s="1"/>
  <c r="J10896" i="58"/>
  <c r="J10947" i="58"/>
  <c r="Q11168" i="58"/>
  <c r="J11210" i="58"/>
  <c r="J11220" i="58"/>
  <c r="Q11574" i="58"/>
  <c r="R11688" i="58"/>
  <c r="Q11687" i="58"/>
  <c r="J10074" i="58"/>
  <c r="Q10151" i="58"/>
  <c r="Q10453" i="58"/>
  <c r="Q10464" i="58"/>
  <c r="Q10651" i="58"/>
  <c r="Q10695" i="58"/>
  <c r="R10695" i="58" s="1"/>
  <c r="J10762" i="58"/>
  <c r="N10773" i="58"/>
  <c r="Q11092" i="58"/>
  <c r="Q11333" i="58"/>
  <c r="Q11343" i="58"/>
  <c r="J11417" i="58"/>
  <c r="Q11868" i="58"/>
  <c r="R11983" i="58"/>
  <c r="Q11982" i="58"/>
  <c r="J9828" i="58"/>
  <c r="Q10191" i="58"/>
  <c r="R10191" i="58" s="1"/>
  <c r="Q10209" i="58"/>
  <c r="R10209" i="58" s="1"/>
  <c r="Q10246" i="58"/>
  <c r="R10246" i="58" s="1"/>
  <c r="J10288" i="58"/>
  <c r="Q10529" i="58"/>
  <c r="Q10581" i="58"/>
  <c r="Q10621" i="58"/>
  <c r="J10830" i="58"/>
  <c r="Q10921" i="58"/>
  <c r="J11004" i="58"/>
  <c r="Q11120" i="58"/>
  <c r="Q11217" i="58"/>
  <c r="J11240" i="58"/>
  <c r="Q11312" i="58"/>
  <c r="R11312" i="58" s="1"/>
  <c r="Q11514" i="58"/>
  <c r="R11514" i="58" s="1"/>
  <c r="Q11829" i="58"/>
  <c r="R11829" i="58" s="1"/>
  <c r="Q10996" i="58"/>
  <c r="R10996" i="58" s="1"/>
  <c r="Q11292" i="58"/>
  <c r="Q11300" i="58"/>
  <c r="R11644" i="58"/>
  <c r="Q11660" i="58"/>
  <c r="J11862" i="58"/>
  <c r="Q12111" i="58"/>
  <c r="Q10739" i="58"/>
  <c r="R10739" i="58" s="1"/>
  <c r="Q10849" i="58"/>
  <c r="R10849" i="58" s="1"/>
  <c r="Q10945" i="58"/>
  <c r="R10945" i="58" s="1"/>
  <c r="J10971" i="58"/>
  <c r="Q11029" i="58"/>
  <c r="J11108" i="58"/>
  <c r="Q11198" i="58"/>
  <c r="J11393" i="58"/>
  <c r="F36" i="51" s="1"/>
  <c r="F35" i="51" s="1"/>
  <c r="J11408" i="58"/>
  <c r="Q11414" i="58"/>
  <c r="R11414" i="58" s="1"/>
  <c r="Q12148" i="58"/>
  <c r="Q11010" i="58"/>
  <c r="R11010" i="58" s="1"/>
  <c r="Q11805" i="58"/>
  <c r="Q11853" i="58"/>
  <c r="R11853" i="58" s="1"/>
  <c r="Q11947" i="58"/>
  <c r="R11947" i="58" s="1"/>
  <c r="J10885" i="58"/>
  <c r="J10963" i="58"/>
  <c r="Q10993" i="58"/>
  <c r="R10993" i="58" s="1"/>
  <c r="Q11043" i="58"/>
  <c r="R11043" i="58" s="1"/>
  <c r="J11566" i="58"/>
  <c r="Q10502" i="58"/>
  <c r="J10707" i="58"/>
  <c r="Q10789" i="58"/>
  <c r="Q10839" i="58"/>
  <c r="Q10922" i="58"/>
  <c r="R10922" i="58" s="1"/>
  <c r="Q11107" i="58"/>
  <c r="R11107" i="58" s="1"/>
  <c r="Q11390" i="58"/>
  <c r="J11462" i="58"/>
  <c r="J11596" i="58"/>
  <c r="J11846" i="58"/>
  <c r="Q12035" i="58"/>
  <c r="Q12312" i="58"/>
  <c r="Q10770" i="58"/>
  <c r="R10770" i="58" s="1"/>
  <c r="J11471" i="58"/>
  <c r="Q11642" i="58"/>
  <c r="R11642" i="58" s="1"/>
  <c r="Q11876" i="58"/>
  <c r="Q11451" i="58"/>
  <c r="N10863" i="58"/>
  <c r="Q11407" i="58"/>
  <c r="J11489" i="58"/>
  <c r="Q11535" i="58"/>
  <c r="R11535" i="58" s="1"/>
  <c r="Q11582" i="58"/>
  <c r="R11582" i="58" s="1"/>
  <c r="Q11794" i="58"/>
  <c r="J11806" i="58"/>
  <c r="Q12149" i="58"/>
  <c r="R12149" i="58" s="1"/>
  <c r="J12273" i="58"/>
  <c r="Q11228" i="58"/>
  <c r="R11228" i="58" s="1"/>
  <c r="Q11323" i="58"/>
  <c r="Q11352" i="58"/>
  <c r="R11352" i="58" s="1"/>
  <c r="Q11504" i="58"/>
  <c r="J11576" i="58"/>
  <c r="J11870" i="58"/>
  <c r="Q10997" i="58"/>
  <c r="R10997" i="58" s="1"/>
  <c r="J11250" i="58"/>
  <c r="Q11311" i="58"/>
  <c r="R11311" i="58" s="1"/>
  <c r="J11586" i="58"/>
  <c r="R11813" i="58"/>
  <c r="Q11812" i="58"/>
  <c r="R11812" i="58" s="1"/>
  <c r="Q12463" i="58"/>
  <c r="R12463" i="58" s="1"/>
  <c r="R12464" i="58"/>
  <c r="J11886" i="58"/>
  <c r="Q12065" i="58"/>
  <c r="J12118" i="58"/>
  <c r="Q12485" i="58"/>
  <c r="R12485" i="58" s="1"/>
  <c r="Q11374" i="58"/>
  <c r="R11374" i="58" s="1"/>
  <c r="J11516" i="58"/>
  <c r="J11626" i="58"/>
  <c r="N11711" i="58"/>
  <c r="N11760" i="58"/>
  <c r="Q11821" i="58"/>
  <c r="R11821" i="58" s="1"/>
  <c r="J11854" i="58"/>
  <c r="Q11970" i="58"/>
  <c r="R11970" i="58" s="1"/>
  <c r="Q12080" i="58"/>
  <c r="J11260" i="58"/>
  <c r="Q11605" i="58"/>
  <c r="Q11613" i="58"/>
  <c r="J11737" i="58"/>
  <c r="J11978" i="58"/>
  <c r="Q12104" i="58"/>
  <c r="Q11368" i="58"/>
  <c r="Q11495" i="58"/>
  <c r="R11495" i="58" s="1"/>
  <c r="J11536" i="58"/>
  <c r="Q11770" i="58"/>
  <c r="J11878" i="58"/>
  <c r="Q11425" i="58"/>
  <c r="R11425" i="58" s="1"/>
  <c r="Q11899" i="58"/>
  <c r="R11899" i="58" s="1"/>
  <c r="Q12136" i="58"/>
  <c r="Q11382" i="58"/>
  <c r="J11663" i="58"/>
  <c r="Q11828" i="58"/>
  <c r="Q11893" i="58"/>
  <c r="J11814" i="58"/>
  <c r="J11942" i="58"/>
  <c r="Q11442" i="58"/>
  <c r="R11442" i="58" s="1"/>
  <c r="Q11748" i="58"/>
  <c r="J11830" i="58"/>
  <c r="Q11869" i="58"/>
  <c r="R11869" i="58" s="1"/>
  <c r="Q11957" i="58"/>
  <c r="J11960" i="58"/>
  <c r="J12100" i="58"/>
  <c r="Q12291" i="58"/>
  <c r="R12291" i="58" s="1"/>
  <c r="Q11953" i="58"/>
  <c r="R11953" i="58" s="1"/>
  <c r="Q12381" i="58"/>
  <c r="R12381" i="58" s="1"/>
  <c r="R12488" i="58"/>
  <c r="R12527" i="58"/>
  <c r="Q12615" i="58"/>
  <c r="J11795" i="58"/>
  <c r="Q11927" i="58"/>
  <c r="Q11988" i="58"/>
  <c r="Q12002" i="58"/>
  <c r="N12273" i="58"/>
  <c r="Q12406" i="58"/>
  <c r="R12484" i="58"/>
  <c r="J11724" i="58"/>
  <c r="J12010" i="58"/>
  <c r="Q12016" i="58"/>
  <c r="Q11845" i="58"/>
  <c r="Q11928" i="58"/>
  <c r="R11928" i="58" s="1"/>
  <c r="Q12030" i="58"/>
  <c r="R12030" i="58" s="1"/>
  <c r="J12038" i="58"/>
  <c r="J12253" i="58"/>
  <c r="J12382" i="58"/>
  <c r="R12480" i="58"/>
  <c r="J12194" i="58"/>
  <c r="J12263" i="58"/>
  <c r="J12395" i="58"/>
  <c r="Q11935" i="58"/>
  <c r="Q12009" i="58"/>
  <c r="R12009" i="58" s="1"/>
  <c r="Q12071" i="58"/>
  <c r="Q11697" i="58"/>
  <c r="Q11917" i="58"/>
  <c r="Q11964" i="58"/>
  <c r="Q11989" i="58"/>
  <c r="R11989" i="58" s="1"/>
  <c r="Q12130" i="58"/>
  <c r="Q12220" i="58"/>
  <c r="Q11859" i="58"/>
  <c r="Q12050" i="58"/>
  <c r="R12559" i="58"/>
  <c r="Q12558" i="58"/>
  <c r="J11996" i="58"/>
  <c r="J12293" i="58"/>
  <c r="J12408" i="58"/>
  <c r="Q11708" i="58"/>
  <c r="Q11820" i="58"/>
  <c r="J11984" i="58"/>
  <c r="Q11994" i="58"/>
  <c r="R11994" i="58" s="1"/>
  <c r="J12066" i="58"/>
  <c r="J12229" i="58"/>
  <c r="R12332" i="58"/>
  <c r="Q12331" i="58"/>
  <c r="Q12550" i="58"/>
  <c r="R12550" i="58" s="1"/>
  <c r="Q12044" i="58"/>
  <c r="R12044" i="58" s="1"/>
  <c r="Q12090" i="58"/>
  <c r="R12090" i="58" s="1"/>
  <c r="Q12098" i="58"/>
  <c r="Q12471" i="58"/>
  <c r="R12471" i="58" s="1"/>
  <c r="J12313" i="58"/>
  <c r="J12454" i="58"/>
  <c r="Q12483" i="58"/>
  <c r="Q12879" i="58"/>
  <c r="Q12262" i="58"/>
  <c r="R12262" i="58" s="1"/>
  <c r="Q12213" i="58"/>
  <c r="J12513" i="58"/>
  <c r="Q12123" i="58"/>
  <c r="R12123" i="58" s="1"/>
  <c r="J12236" i="58"/>
  <c r="Q12393" i="58"/>
  <c r="Q12690" i="58"/>
  <c r="R12690" i="58" s="1"/>
  <c r="Q12744" i="58"/>
  <c r="R12744" i="58" s="1"/>
  <c r="J12790" i="58"/>
  <c r="Q12242" i="58"/>
  <c r="R12242" i="58" s="1"/>
  <c r="J12343" i="58"/>
  <c r="Q12533" i="58"/>
  <c r="R12534" i="58"/>
  <c r="N12243" i="58"/>
  <c r="Q12645" i="58"/>
  <c r="R12645" i="58" s="1"/>
  <c r="Q12771" i="58"/>
  <c r="J12576" i="58"/>
  <c r="Q12320" i="58"/>
  <c r="J12356" i="58"/>
  <c r="Q12431" i="58"/>
  <c r="J12569" i="58"/>
  <c r="J12637" i="58"/>
  <c r="Q12419" i="58"/>
  <c r="Q12452" i="58"/>
  <c r="R12452" i="58" s="1"/>
  <c r="R12498" i="58"/>
  <c r="Q12497" i="58"/>
  <c r="Q12543" i="58"/>
  <c r="Q12575" i="58"/>
  <c r="Q12841" i="58"/>
  <c r="R12841" i="58" s="1"/>
  <c r="Q12235" i="58"/>
  <c r="R12235" i="58" s="1"/>
  <c r="Q12252" i="58"/>
  <c r="J12655" i="58"/>
  <c r="J12473" i="58"/>
  <c r="J12528" i="58"/>
  <c r="Q12681" i="58"/>
  <c r="R12681" i="58" s="1"/>
  <c r="Q12733" i="58"/>
  <c r="R12733" i="58" s="1"/>
  <c r="Q12302" i="58"/>
  <c r="Q12340" i="58"/>
  <c r="Q12566" i="58"/>
  <c r="R12566" i="58" s="1"/>
  <c r="Q12689" i="58"/>
  <c r="R12689" i="58" s="1"/>
  <c r="Q12717" i="58"/>
  <c r="R12717" i="58" s="1"/>
  <c r="Q12511" i="58"/>
  <c r="J12609" i="58"/>
  <c r="J12673" i="58"/>
  <c r="Q12816" i="58"/>
  <c r="R12816" i="58" s="1"/>
  <c r="Q12502" i="58"/>
  <c r="R12502" i="58" s="1"/>
  <c r="Q12525" i="58"/>
  <c r="R12525" i="58" s="1"/>
  <c r="Q12586" i="58"/>
  <c r="R12586" i="58" s="1"/>
  <c r="Q12726" i="58"/>
  <c r="Q12743" i="58"/>
  <c r="R12743" i="58" s="1"/>
  <c r="Q12788" i="58"/>
  <c r="R12788" i="58" s="1"/>
  <c r="R12789" i="58"/>
  <c r="Q12933" i="58"/>
  <c r="R12934" i="58"/>
  <c r="Q13024" i="58"/>
  <c r="Q12507" i="58"/>
  <c r="R12507" i="58" s="1"/>
  <c r="Q12928" i="58"/>
  <c r="Q12512" i="58"/>
  <c r="R12512" i="58" s="1"/>
  <c r="R12807" i="58"/>
  <c r="Q12478" i="58"/>
  <c r="J12799" i="58"/>
  <c r="Q12761" i="58"/>
  <c r="Q12779" i="58"/>
  <c r="R12779" i="58" s="1"/>
  <c r="Q12699" i="58"/>
  <c r="R12699" i="58" s="1"/>
  <c r="Q12596" i="58"/>
  <c r="R12596" i="58" s="1"/>
  <c r="Q12607" i="58"/>
  <c r="R12607" i="58" s="1"/>
  <c r="Q12885" i="58"/>
  <c r="Q12565" i="58"/>
  <c r="R12565" i="58" s="1"/>
  <c r="Q12635" i="58"/>
  <c r="R12635" i="58" s="1"/>
  <c r="Q12707" i="58"/>
  <c r="J12971" i="58"/>
  <c r="Q12627" i="58"/>
  <c r="J12745" i="58"/>
  <c r="Q12551" i="58"/>
  <c r="R12551" i="58" s="1"/>
  <c r="Q12708" i="58"/>
  <c r="R12708" i="58" s="1"/>
  <c r="J12989" i="58"/>
  <c r="J13025" i="58"/>
  <c r="J12850" i="58"/>
  <c r="Q12901" i="58"/>
  <c r="J12998" i="58"/>
  <c r="J12772" i="58"/>
  <c r="Q13005" i="58"/>
  <c r="R13005" i="58" s="1"/>
  <c r="Q12886" i="58"/>
  <c r="R12886" i="58" s="1"/>
  <c r="Q12616" i="58"/>
  <c r="R12616" i="58" s="1"/>
  <c r="Q12734" i="58"/>
  <c r="R12734" i="58" s="1"/>
  <c r="Q12919" i="58"/>
  <c r="Q12880" i="58"/>
  <c r="R12880" i="58" s="1"/>
  <c r="Q12805" i="58"/>
  <c r="R12805" i="58" s="1"/>
  <c r="Q13014" i="58"/>
  <c r="J12826" i="58"/>
  <c r="Q12912" i="58"/>
  <c r="R12912" i="58" s="1"/>
  <c r="Q12941" i="58"/>
  <c r="Q13006" i="58"/>
  <c r="R13006" i="58" s="1"/>
  <c r="Q12857" i="58"/>
  <c r="R12857" i="58" s="1"/>
  <c r="Q13067" i="58"/>
  <c r="R13067" i="58" s="1"/>
  <c r="J13033" i="58"/>
  <c r="I8" i="57"/>
  <c r="J8" i="57"/>
  <c r="J7" i="57" s="1"/>
  <c r="E9" i="59" s="1"/>
  <c r="I9" i="57"/>
  <c r="Q8610" i="58" l="1"/>
  <c r="R7599" i="58"/>
  <c r="Q7598" i="58"/>
  <c r="R5385" i="58"/>
  <c r="Q5384" i="58"/>
  <c r="Q5383" i="58" s="1"/>
  <c r="R5391" i="58"/>
  <c r="Q5390" i="58"/>
  <c r="R4664" i="58"/>
  <c r="Q4663" i="58"/>
  <c r="R5509" i="58"/>
  <c r="Q5508" i="58"/>
  <c r="R4674" i="58"/>
  <c r="Q4673" i="58"/>
  <c r="Q5397" i="58"/>
  <c r="R5397" i="58" s="1"/>
  <c r="R1301" i="58"/>
  <c r="Q1300" i="58"/>
  <c r="R1300" i="58" s="1"/>
  <c r="R2990" i="58"/>
  <c r="Q2989" i="58"/>
  <c r="R622" i="58"/>
  <c r="Q621" i="58"/>
  <c r="R621" i="58" s="1"/>
  <c r="Q2952" i="58"/>
  <c r="R558" i="58"/>
  <c r="Q557" i="58"/>
  <c r="Q12" i="58"/>
  <c r="R139" i="58"/>
  <c r="Q138" i="58"/>
  <c r="R9049" i="58"/>
  <c r="Q9048" i="58"/>
  <c r="Q7613" i="58"/>
  <c r="R7614" i="58"/>
  <c r="R12441" i="58"/>
  <c r="Q12440" i="58"/>
  <c r="R12440" i="58" s="1"/>
  <c r="R2481" i="58"/>
  <c r="Q2480" i="58"/>
  <c r="R2083" i="58"/>
  <c r="Q2082" i="58"/>
  <c r="R188" i="58"/>
  <c r="Q187" i="58"/>
  <c r="R10839" i="58"/>
  <c r="Q10838" i="58"/>
  <c r="R9690" i="58"/>
  <c r="Q9689" i="58"/>
  <c r="R9689" i="58" s="1"/>
  <c r="R12419" i="58"/>
  <c r="Q12418" i="58"/>
  <c r="R12418" i="58" s="1"/>
  <c r="R11451" i="58"/>
  <c r="Q11450" i="58"/>
  <c r="R11450" i="58" s="1"/>
  <c r="R9447" i="58"/>
  <c r="Q9446" i="58"/>
  <c r="R9446" i="58" s="1"/>
  <c r="R1040" i="58"/>
  <c r="Q1039" i="58"/>
  <c r="R1039" i="58" s="1"/>
  <c r="R3013" i="58"/>
  <c r="Q3012" i="58"/>
  <c r="R9083" i="58"/>
  <c r="Q9082" i="58"/>
  <c r="R6296" i="58"/>
  <c r="Q6295" i="58"/>
  <c r="R6295" i="58" s="1"/>
  <c r="Q5403" i="58"/>
  <c r="R3242" i="58"/>
  <c r="R3241" i="58"/>
  <c r="R12901" i="58"/>
  <c r="Q12900" i="58"/>
  <c r="R12900" i="58" s="1"/>
  <c r="R11368" i="58"/>
  <c r="Q11367" i="58"/>
  <c r="Q8868" i="58"/>
  <c r="R8868" i="58" s="1"/>
  <c r="Q202" i="58"/>
  <c r="Q201" i="58" s="1"/>
  <c r="R5673" i="58"/>
  <c r="Q5672" i="58"/>
  <c r="R9944" i="58"/>
  <c r="Q9943" i="58"/>
  <c r="Q2577" i="58"/>
  <c r="R2577" i="58" s="1"/>
  <c r="R2578" i="58"/>
  <c r="R3848" i="58"/>
  <c r="Q3847" i="58"/>
  <c r="R5429" i="58"/>
  <c r="Q5428" i="58"/>
  <c r="R209" i="58"/>
  <c r="Q208" i="58"/>
  <c r="R208" i="58" s="1"/>
  <c r="Q12815" i="58"/>
  <c r="R10141" i="58"/>
  <c r="Q10140" i="58"/>
  <c r="R8773" i="58"/>
  <c r="Q8772" i="58"/>
  <c r="Q2650" i="58"/>
  <c r="R8668" i="58"/>
  <c r="Q8667" i="58"/>
  <c r="R8667" i="58" s="1"/>
  <c r="Q7552" i="58"/>
  <c r="Q1938" i="58"/>
  <c r="R8414" i="58"/>
  <c r="Q8413" i="58"/>
  <c r="R8413" i="58" s="1"/>
  <c r="Q12856" i="58"/>
  <c r="Q12661" i="58"/>
  <c r="R12661" i="58" s="1"/>
  <c r="R12065" i="58"/>
  <c r="Q12064" i="58"/>
  <c r="R12064" i="58" s="1"/>
  <c r="R12312" i="58"/>
  <c r="Q12311" i="58"/>
  <c r="R12311" i="58" s="1"/>
  <c r="Q9385" i="58"/>
  <c r="R9385" i="58" s="1"/>
  <c r="R9702" i="58"/>
  <c r="Q9701" i="58"/>
  <c r="Q6470" i="58"/>
  <c r="R6470" i="58" s="1"/>
  <c r="R5160" i="58"/>
  <c r="Q5159" i="58"/>
  <c r="R5159" i="58" s="1"/>
  <c r="R7058" i="58"/>
  <c r="Q7057" i="58"/>
  <c r="Q3108" i="58"/>
  <c r="R5587" i="58"/>
  <c r="Q5586" i="58"/>
  <c r="R465" i="58"/>
  <c r="Q1909" i="58"/>
  <c r="R3693" i="58"/>
  <c r="Q3692" i="58"/>
  <c r="R3692" i="58" s="1"/>
  <c r="R73" i="58"/>
  <c r="Q72" i="58"/>
  <c r="R72" i="58" s="1"/>
  <c r="R13058" i="58"/>
  <c r="Q13057" i="58"/>
  <c r="R13057" i="58" s="1"/>
  <c r="R12847" i="58"/>
  <c r="Q12846" i="58"/>
  <c r="R3300" i="58"/>
  <c r="Q3299" i="58"/>
  <c r="R8275" i="58"/>
  <c r="Q8274" i="58"/>
  <c r="R8274" i="58" s="1"/>
  <c r="Q8590" i="58"/>
  <c r="R8591" i="58"/>
  <c r="R7248" i="58"/>
  <c r="Q7247" i="58"/>
  <c r="R5063" i="58"/>
  <c r="Q5062" i="58"/>
  <c r="R5062" i="58" s="1"/>
  <c r="R7129" i="58"/>
  <c r="Q7128" i="58"/>
  <c r="R548" i="58"/>
  <c r="Q547" i="58"/>
  <c r="R5952" i="58"/>
  <c r="Q5951" i="58"/>
  <c r="Q1246" i="58"/>
  <c r="R1246" i="58" s="1"/>
  <c r="R233" i="58"/>
  <c r="Q232" i="58"/>
  <c r="R232" i="58" s="1"/>
  <c r="R2958" i="58"/>
  <c r="Q2957" i="58"/>
  <c r="R3444" i="58"/>
  <c r="Q3443" i="58"/>
  <c r="R1308" i="58"/>
  <c r="Q1307" i="58"/>
  <c r="R11976" i="58"/>
  <c r="Q11975" i="58"/>
  <c r="R11975" i="58" s="1"/>
  <c r="R7952" i="58"/>
  <c r="Q7951" i="58"/>
  <c r="Q10428" i="58"/>
  <c r="R10429" i="58"/>
  <c r="R640" i="58"/>
  <c r="Q639" i="58"/>
  <c r="R12885" i="58"/>
  <c r="Q12884" i="58"/>
  <c r="R12952" i="58"/>
  <c r="Q12951" i="58"/>
  <c r="R12951" i="58" s="1"/>
  <c r="Q12281" i="58"/>
  <c r="R12282" i="58"/>
  <c r="R12908" i="58"/>
  <c r="Q12907" i="58"/>
  <c r="Q12906" i="58" s="1"/>
  <c r="R7268" i="58"/>
  <c r="Q7267" i="58"/>
  <c r="Q7266" i="58" s="1"/>
  <c r="R1085" i="58"/>
  <c r="Q1084" i="58"/>
  <c r="R4030" i="58"/>
  <c r="Q4029" i="58"/>
  <c r="Q12506" i="58"/>
  <c r="R455" i="58"/>
  <c r="Q454" i="58"/>
  <c r="R2330" i="58"/>
  <c r="Q2329" i="58"/>
  <c r="Q12367" i="58"/>
  <c r="R12368" i="58"/>
  <c r="R3275" i="58"/>
  <c r="R3274" i="58"/>
  <c r="R7862" i="58"/>
  <c r="Q7861" i="58"/>
  <c r="R11904" i="58"/>
  <c r="Q11903" i="58"/>
  <c r="R11903" i="58" s="1"/>
  <c r="R2169" i="58"/>
  <c r="Q2168" i="58"/>
  <c r="R3345" i="58"/>
  <c r="Q3344" i="58"/>
  <c r="R3227" i="58"/>
  <c r="R3226" i="58"/>
  <c r="R9816" i="58"/>
  <c r="Q9815" i="58"/>
  <c r="R4304" i="58"/>
  <c r="Q4303" i="58"/>
  <c r="R2712" i="58"/>
  <c r="Q2711" i="58"/>
  <c r="R2072" i="58"/>
  <c r="Q2071" i="58"/>
  <c r="R2071" i="58" s="1"/>
  <c r="R9677" i="58"/>
  <c r="Q9676" i="58"/>
  <c r="R9676" i="58" s="1"/>
  <c r="Q10606" i="58"/>
  <c r="R8572" i="58"/>
  <c r="Q8571" i="58"/>
  <c r="R8338" i="58"/>
  <c r="Q8337" i="58"/>
  <c r="R8630" i="58"/>
  <c r="Q8629" i="58"/>
  <c r="Q5362" i="58"/>
  <c r="R4738" i="58"/>
  <c r="Q4737" i="58"/>
  <c r="R4737" i="58" s="1"/>
  <c r="R5645" i="58"/>
  <c r="Q5644" i="58"/>
  <c r="R5644" i="58" s="1"/>
  <c r="R4066" i="58"/>
  <c r="Q4065" i="58"/>
  <c r="R4065" i="58" s="1"/>
  <c r="R6029" i="58"/>
  <c r="Q6028" i="58"/>
  <c r="Q6027" i="58" s="1"/>
  <c r="R10884" i="58"/>
  <c r="Q10883" i="58"/>
  <c r="R4166" i="58"/>
  <c r="Q4165" i="58"/>
  <c r="R772" i="58"/>
  <c r="Q771" i="58"/>
  <c r="R8067" i="58"/>
  <c r="Q8066" i="58"/>
  <c r="R8200" i="58"/>
  <c r="Q8199" i="58"/>
  <c r="R5578" i="58"/>
  <c r="Q5577" i="58"/>
  <c r="R5577" i="58" s="1"/>
  <c r="R4380" i="58"/>
  <c r="Q4379" i="58"/>
  <c r="R4379" i="58" s="1"/>
  <c r="R8087" i="58"/>
  <c r="Q8086" i="58"/>
  <c r="R8086" i="58" s="1"/>
  <c r="R1980" i="58"/>
  <c r="Q1979" i="58"/>
  <c r="R3381" i="58"/>
  <c r="Q3380" i="58"/>
  <c r="R3379" i="58" s="1"/>
  <c r="Q11273" i="58"/>
  <c r="Q11272" i="58" s="1"/>
  <c r="R12864" i="58"/>
  <c r="R11613" i="58"/>
  <c r="Q11612" i="58"/>
  <c r="R9135" i="58"/>
  <c r="Q9134" i="58"/>
  <c r="R9134" i="58" s="1"/>
  <c r="Q7086" i="58"/>
  <c r="R7086" i="58" s="1"/>
  <c r="Q5821" i="58"/>
  <c r="R5821" i="58" s="1"/>
  <c r="R1511" i="58"/>
  <c r="Q1510" i="58"/>
  <c r="R3308" i="58"/>
  <c r="R3307" i="58"/>
  <c r="Q3383" i="58"/>
  <c r="R3383" i="58" s="1"/>
  <c r="R3020" i="58"/>
  <c r="Q3019" i="58"/>
  <c r="R1133" i="58"/>
  <c r="Q1132" i="58"/>
  <c r="R1132" i="58" s="1"/>
  <c r="R2893" i="58"/>
  <c r="Q2892" i="58"/>
  <c r="Q12978" i="58"/>
  <c r="R13052" i="58"/>
  <c r="Q13051" i="58"/>
  <c r="R11479" i="58"/>
  <c r="Q11478" i="58"/>
  <c r="Q11247" i="58"/>
  <c r="R11248" i="58"/>
  <c r="R6387" i="58"/>
  <c r="Q6386" i="58"/>
  <c r="R503" i="58"/>
  <c r="Q502" i="58"/>
  <c r="R1367" i="58"/>
  <c r="Q1366" i="58"/>
  <c r="Q1365" i="58" s="1"/>
  <c r="R2590" i="58"/>
  <c r="Q2589" i="58"/>
  <c r="R6602" i="58"/>
  <c r="Q6601" i="58"/>
  <c r="Q2741" i="58"/>
  <c r="R3684" i="58"/>
  <c r="Q3683" i="58"/>
  <c r="R3683" i="58" s="1"/>
  <c r="R182" i="58"/>
  <c r="Q181" i="58"/>
  <c r="R181" i="58" s="1"/>
  <c r="R2403" i="58"/>
  <c r="Q2402" i="58"/>
  <c r="R12340" i="58"/>
  <c r="Q12339" i="58"/>
  <c r="Q7830" i="58"/>
  <c r="R11189" i="58"/>
  <c r="Q11188" i="58"/>
  <c r="R129" i="58"/>
  <c r="R128" i="58"/>
  <c r="Q12870" i="58"/>
  <c r="R12870" i="58" s="1"/>
  <c r="R12871" i="58"/>
  <c r="R12961" i="58"/>
  <c r="Q12960" i="58"/>
  <c r="R12960" i="58" s="1"/>
  <c r="R440" i="58"/>
  <c r="Q439" i="58"/>
  <c r="R3441" i="58"/>
  <c r="Q3440" i="58"/>
  <c r="R3440" i="58" s="1"/>
  <c r="Q5747" i="58"/>
  <c r="R5748" i="58"/>
  <c r="R7442" i="58"/>
  <c r="Q7441" i="58"/>
  <c r="R7441" i="58" s="1"/>
  <c r="Q3419" i="58"/>
  <c r="R3419" i="58" s="1"/>
  <c r="R4144" i="58"/>
  <c r="Q4143" i="58"/>
  <c r="R4143" i="58" s="1"/>
  <c r="R8458" i="58"/>
  <c r="Q8457" i="58"/>
  <c r="R8457" i="58" s="1"/>
  <c r="Q12206" i="58"/>
  <c r="R12206" i="58" s="1"/>
  <c r="R11605" i="58"/>
  <c r="Q11604" i="58"/>
  <c r="R10053" i="58"/>
  <c r="Q10052" i="58"/>
  <c r="R10052" i="58" s="1"/>
  <c r="R11134" i="58"/>
  <c r="Q11133" i="58"/>
  <c r="R11133" i="58" s="1"/>
  <c r="R10954" i="58"/>
  <c r="Q10953" i="58"/>
  <c r="R5356" i="58"/>
  <c r="Q5355" i="58"/>
  <c r="R5073" i="58"/>
  <c r="Q5072" i="58"/>
  <c r="R5770" i="58"/>
  <c r="Q5769" i="58"/>
  <c r="R1036" i="58"/>
  <c r="Q1035" i="58"/>
  <c r="Q2396" i="58"/>
  <c r="R2827" i="58"/>
  <c r="Q2826" i="58"/>
  <c r="R1025" i="58"/>
  <c r="Q1024" i="58"/>
  <c r="R1024" i="58" s="1"/>
  <c r="R2391" i="58"/>
  <c r="Q2390" i="58"/>
  <c r="Q2389" i="58" s="1"/>
  <c r="R1048" i="58"/>
  <c r="Q1047" i="58"/>
  <c r="R1047" i="58" s="1"/>
  <c r="R12970" i="58"/>
  <c r="Q12969" i="58"/>
  <c r="R5461" i="58"/>
  <c r="Q5460" i="58"/>
  <c r="R7751" i="58"/>
  <c r="Q7750" i="58"/>
  <c r="R67" i="58"/>
  <c r="Q66" i="58"/>
  <c r="R66" i="58" s="1"/>
  <c r="N9556" i="58"/>
  <c r="R5783" i="58"/>
  <c r="Q5782" i="58"/>
  <c r="R2784" i="58"/>
  <c r="Q2783" i="58"/>
  <c r="R1470" i="58"/>
  <c r="Q1469" i="58"/>
  <c r="R4150" i="58"/>
  <c r="Q4149" i="58"/>
  <c r="R4338" i="58"/>
  <c r="Q4337" i="58"/>
  <c r="R10904" i="58"/>
  <c r="Q10903" i="58"/>
  <c r="R10903" i="58" s="1"/>
  <c r="Q9795" i="58"/>
  <c r="R9795" i="58" s="1"/>
  <c r="Q3230" i="58"/>
  <c r="R5848" i="58"/>
  <c r="Q5847" i="58"/>
  <c r="R12798" i="58"/>
  <c r="Q12797" i="58"/>
  <c r="R6633" i="58"/>
  <c r="Q6632" i="58"/>
  <c r="R1507" i="58"/>
  <c r="Q1506" i="58"/>
  <c r="R33" i="58"/>
  <c r="R32" i="58"/>
  <c r="Q12271" i="58"/>
  <c r="R12271" i="58" s="1"/>
  <c r="Q9166" i="58"/>
  <c r="R6968" i="58"/>
  <c r="Q6967" i="58"/>
  <c r="R6129" i="58"/>
  <c r="Q6128" i="58"/>
  <c r="R1838" i="58"/>
  <c r="Q1837" i="58"/>
  <c r="Q3392" i="58"/>
  <c r="R3392" i="58" s="1"/>
  <c r="R3455" i="58"/>
  <c r="R3454" i="58"/>
  <c r="Q3054" i="58"/>
  <c r="Q2384" i="58"/>
  <c r="Q2383" i="58" s="1"/>
  <c r="Q1553" i="58"/>
  <c r="R1553" i="58" s="1"/>
  <c r="R3235" i="58"/>
  <c r="R2619" i="58"/>
  <c r="Q2618" i="58"/>
  <c r="R4756" i="58"/>
  <c r="Q4755" i="58"/>
  <c r="Q4754" i="58" s="1"/>
  <c r="R1277" i="58"/>
  <c r="Q1276" i="58"/>
  <c r="Q11459" i="58"/>
  <c r="R11459" i="58" s="1"/>
  <c r="R11460" i="58"/>
  <c r="R223" i="58"/>
  <c r="R222" i="58"/>
  <c r="R2229" i="58"/>
  <c r="Q2228" i="58"/>
  <c r="R1102" i="58"/>
  <c r="Q1101" i="58"/>
  <c r="R1101" i="58" s="1"/>
  <c r="R5126" i="58"/>
  <c r="Q5125" i="58"/>
  <c r="R5125" i="58" s="1"/>
  <c r="R5927" i="58"/>
  <c r="Q5926" i="58"/>
  <c r="R3293" i="58"/>
  <c r="R3292" i="58"/>
  <c r="E13" i="56"/>
  <c r="F7" i="69"/>
  <c r="I7" i="69" s="1"/>
  <c r="I8" i="69" s="1"/>
  <c r="I233" i="67"/>
  <c r="R11003" i="58"/>
  <c r="Q11002" i="58"/>
  <c r="R4284" i="58"/>
  <c r="Q4283" i="58"/>
  <c r="R1547" i="58"/>
  <c r="Q1546" i="58"/>
  <c r="R1546" i="58" s="1"/>
  <c r="R10581" i="58"/>
  <c r="Q10580" i="58"/>
  <c r="Q10579" i="58" s="1"/>
  <c r="R7451" i="58"/>
  <c r="Q7450" i="58"/>
  <c r="R6180" i="58"/>
  <c r="Q6179" i="58"/>
  <c r="Q6178" i="58" s="1"/>
  <c r="R13031" i="58"/>
  <c r="Q13030" i="58"/>
  <c r="Q4262" i="58"/>
  <c r="R4263" i="58"/>
  <c r="R1126" i="58"/>
  <c r="Q1125" i="58"/>
  <c r="R1892" i="58"/>
  <c r="Q1891" i="58"/>
  <c r="Q10040" i="58"/>
  <c r="R10040" i="58" s="1"/>
  <c r="R6573" i="58"/>
  <c r="Q6572" i="58"/>
  <c r="R12117" i="58"/>
  <c r="Q12116" i="58"/>
  <c r="R12671" i="58"/>
  <c r="Q12670" i="58"/>
  <c r="R12670" i="58" s="1"/>
  <c r="Q3287" i="58"/>
  <c r="R3288" i="58"/>
  <c r="Q12824" i="58"/>
  <c r="Q12823" i="58" s="1"/>
  <c r="R12406" i="58"/>
  <c r="Q12405" i="58"/>
  <c r="Q9776" i="58"/>
  <c r="R5483" i="58"/>
  <c r="Q5482" i="58"/>
  <c r="R11909" i="58"/>
  <c r="Q11908" i="58"/>
  <c r="R10393" i="58"/>
  <c r="Q10392" i="58"/>
  <c r="R6323" i="58"/>
  <c r="Q6322" i="58"/>
  <c r="R820" i="58"/>
  <c r="Q819" i="58"/>
  <c r="R3128" i="58"/>
  <c r="Q3127" i="58"/>
  <c r="R12933" i="58"/>
  <c r="Q12932" i="58"/>
  <c r="R11876" i="58"/>
  <c r="Q11875" i="58"/>
  <c r="R11875" i="58" s="1"/>
  <c r="Q690" i="58"/>
  <c r="R690" i="58" s="1"/>
  <c r="R1963" i="58"/>
  <c r="Q1962" i="58"/>
  <c r="R1962" i="58" s="1"/>
  <c r="Q9178" i="58"/>
  <c r="R2349" i="58"/>
  <c r="Q2348" i="58"/>
  <c r="Q2347" i="58" s="1"/>
  <c r="R12002" i="58"/>
  <c r="Q12001" i="58"/>
  <c r="R11883" i="58"/>
  <c r="Q11882" i="58"/>
  <c r="R11882" i="58" s="1"/>
  <c r="R6206" i="58"/>
  <c r="Q6205" i="58"/>
  <c r="R7766" i="58"/>
  <c r="Q7765" i="58"/>
  <c r="R3451" i="58"/>
  <c r="R4869" i="58"/>
  <c r="Q4868" i="58"/>
  <c r="R10783" i="58"/>
  <c r="Q10782" i="58"/>
  <c r="R6989" i="58"/>
  <c r="Q6988" i="58"/>
  <c r="R10353" i="58"/>
  <c r="Q10352" i="58"/>
  <c r="R10352" i="58" s="1"/>
  <c r="Q7507" i="58"/>
  <c r="R7507" i="58" s="1"/>
  <c r="R8404" i="58"/>
  <c r="Q8403" i="58"/>
  <c r="Q8402" i="58" s="1"/>
  <c r="R9265" i="58"/>
  <c r="Q9264" i="58"/>
  <c r="R9264" i="58" s="1"/>
  <c r="Q4924" i="58"/>
  <c r="R7688" i="58"/>
  <c r="Q7687" i="58"/>
  <c r="R7687" i="58" s="1"/>
  <c r="R5477" i="58"/>
  <c r="Q5476" i="58"/>
  <c r="R5476" i="58" s="1"/>
  <c r="R5350" i="58"/>
  <c r="Q5349" i="58"/>
  <c r="Q5348" i="58" s="1"/>
  <c r="R343" i="58"/>
  <c r="Q342" i="58"/>
  <c r="Q341" i="58" s="1"/>
  <c r="R3711" i="58"/>
  <c r="Q3710" i="58"/>
  <c r="Q1088" i="58"/>
  <c r="R428" i="58"/>
  <c r="Q427" i="58"/>
  <c r="R3755" i="58"/>
  <c r="R3754" i="58"/>
  <c r="R3921" i="58"/>
  <c r="Q3920" i="58"/>
  <c r="R10930" i="58"/>
  <c r="Q10929" i="58"/>
  <c r="Q10514" i="58"/>
  <c r="R10970" i="58"/>
  <c r="Q10969" i="58"/>
  <c r="R10969" i="58" s="1"/>
  <c r="Q10021" i="58"/>
  <c r="Q9252" i="58"/>
  <c r="R9252" i="58" s="1"/>
  <c r="R12879" i="58"/>
  <c r="Q12878" i="58"/>
  <c r="R12878" i="58" s="1"/>
  <c r="R9625" i="58"/>
  <c r="Q9624" i="58"/>
  <c r="R7409" i="58"/>
  <c r="Q7408" i="58"/>
  <c r="R7408" i="58" s="1"/>
  <c r="Q7995" i="58"/>
  <c r="Q5938" i="58"/>
  <c r="R4584" i="58"/>
  <c r="Q4583" i="58"/>
  <c r="Q4311" i="58"/>
  <c r="R4311" i="58" s="1"/>
  <c r="Q1006" i="58"/>
  <c r="R1006" i="58" s="1"/>
  <c r="R1385" i="58"/>
  <c r="Q1384" i="58"/>
  <c r="R1384" i="58" s="1"/>
  <c r="R44" i="58"/>
  <c r="R2102" i="58"/>
  <c r="Q2101" i="58"/>
  <c r="R2101" i="58" s="1"/>
  <c r="R2186" i="58"/>
  <c r="Q2185" i="58"/>
  <c r="R4319" i="58"/>
  <c r="Q4318" i="58"/>
  <c r="R1185" i="58"/>
  <c r="Q1184" i="58"/>
  <c r="N9468" i="58"/>
  <c r="R11023" i="58"/>
  <c r="Q11022" i="58"/>
  <c r="R11259" i="58"/>
  <c r="Q11258" i="58"/>
  <c r="R4291" i="58"/>
  <c r="Q4290" i="58"/>
  <c r="R5444" i="58"/>
  <c r="Q5443" i="58"/>
  <c r="R5443" i="58" s="1"/>
  <c r="R94" i="58"/>
  <c r="Q93" i="58"/>
  <c r="R1848" i="58"/>
  <c r="Q1847" i="58"/>
  <c r="R5412" i="58"/>
  <c r="Q5411" i="58"/>
  <c r="R1716" i="58"/>
  <c r="Q1715" i="58"/>
  <c r="R1715" i="58" s="1"/>
  <c r="R537" i="58"/>
  <c r="Q536" i="58"/>
  <c r="R3703" i="58"/>
  <c r="Q4330" i="58"/>
  <c r="N9116" i="58"/>
  <c r="Q3998" i="58"/>
  <c r="Q3536" i="58"/>
  <c r="R3536" i="58" s="1"/>
  <c r="R216" i="58"/>
  <c r="Q105" i="58"/>
  <c r="R104" i="58" s="1"/>
  <c r="R2433" i="58"/>
  <c r="Q2432" i="58"/>
  <c r="R1728" i="58"/>
  <c r="Q1727" i="58"/>
  <c r="R12228" i="58"/>
  <c r="Q12227" i="58"/>
  <c r="R9851" i="58"/>
  <c r="Q9850" i="58"/>
  <c r="R2554" i="58"/>
  <c r="Q2553" i="58"/>
  <c r="R2377" i="58"/>
  <c r="Q2376" i="58"/>
  <c r="R497" i="58"/>
  <c r="Q496" i="58"/>
  <c r="R360" i="58"/>
  <c r="Q359" i="58"/>
  <c r="Q2850" i="58"/>
  <c r="R494" i="58"/>
  <c r="Q493" i="58"/>
  <c r="R5103" i="58"/>
  <c r="Q5102" i="58"/>
  <c r="Q2698" i="58"/>
  <c r="R1674" i="58"/>
  <c r="Q1673" i="58"/>
  <c r="N4884" i="58"/>
  <c r="Q7786" i="58"/>
  <c r="R4888" i="58"/>
  <c r="Q4887" i="58"/>
  <c r="Q2607" i="58"/>
  <c r="Q11641" i="58"/>
  <c r="Q11640" i="58" s="1"/>
  <c r="Q10847" i="58"/>
  <c r="Q6939" i="58"/>
  <c r="R6939" i="58" s="1"/>
  <c r="Q8934" i="58"/>
  <c r="Q8933" i="58" s="1"/>
  <c r="Q5540" i="58"/>
  <c r="R1543" i="58"/>
  <c r="Q11758" i="58"/>
  <c r="Q6036" i="58"/>
  <c r="R6036" i="58" s="1"/>
  <c r="Q4058" i="58"/>
  <c r="R3328" i="58"/>
  <c r="Q3374" i="58"/>
  <c r="Q1986" i="58"/>
  <c r="R4727" i="58"/>
  <c r="Q4726" i="58"/>
  <c r="R4726" i="58" s="1"/>
  <c r="R228" i="58"/>
  <c r="Q1764" i="58"/>
  <c r="R1764" i="58" s="1"/>
  <c r="Q4965" i="58"/>
  <c r="R4965" i="58" s="1"/>
  <c r="R249" i="58"/>
  <c r="Q211" i="58"/>
  <c r="Q2504" i="58"/>
  <c r="R2504" i="58" s="1"/>
  <c r="Q4912" i="58"/>
  <c r="Q609" i="58"/>
  <c r="R5046" i="58"/>
  <c r="Q5045" i="58"/>
  <c r="Q9326" i="58"/>
  <c r="R290" i="58"/>
  <c r="Q289" i="58"/>
  <c r="R3885" i="58"/>
  <c r="Q3884" i="58"/>
  <c r="R845" i="58"/>
  <c r="Q844" i="58"/>
  <c r="Q2474" i="58"/>
  <c r="Q4155" i="58"/>
  <c r="R3270" i="58"/>
  <c r="Q3269" i="58"/>
  <c r="R3269" i="58" s="1"/>
  <c r="R3465" i="58"/>
  <c r="Q3464" i="58"/>
  <c r="R2759" i="58"/>
  <c r="Q2758" i="58"/>
  <c r="R2758" i="58" s="1"/>
  <c r="Q9190" i="58"/>
  <c r="R9191" i="58"/>
  <c r="Q8476" i="58"/>
  <c r="Q8475" i="58" s="1"/>
  <c r="Q8024" i="58"/>
  <c r="Q682" i="58"/>
  <c r="R6506" i="58"/>
  <c r="Q6505" i="58"/>
  <c r="R6505" i="58" s="1"/>
  <c r="Q6153" i="58"/>
  <c r="R6153" i="58" s="1"/>
  <c r="R2874" i="58"/>
  <c r="Q2873" i="58"/>
  <c r="R2873" i="58" s="1"/>
  <c r="Q2995" i="58"/>
  <c r="R2995" i="58" s="1"/>
  <c r="R2426" i="58"/>
  <c r="Q2425" i="58"/>
  <c r="Q2424" i="58" s="1"/>
  <c r="Q1903" i="58"/>
  <c r="Q1861" i="58"/>
  <c r="Q5755" i="58"/>
  <c r="R5755" i="58" s="1"/>
  <c r="D207" i="67"/>
  <c r="G207" i="67" s="1"/>
  <c r="G199" i="67" s="1"/>
  <c r="D185" i="67"/>
  <c r="G185" i="67" s="1"/>
  <c r="G176" i="67" s="1"/>
  <c r="I176" i="67" s="1"/>
  <c r="D394" i="67"/>
  <c r="G394" i="67" s="1"/>
  <c r="G389" i="67" s="1"/>
  <c r="I389" i="67" s="1"/>
  <c r="D378" i="67"/>
  <c r="G378" i="67" s="1"/>
  <c r="G371" i="67" s="1"/>
  <c r="I371" i="67" s="1"/>
  <c r="D221" i="67"/>
  <c r="G221" i="67" s="1"/>
  <c r="G213" i="67" s="1"/>
  <c r="I213" i="67" s="1"/>
  <c r="R11239" i="58"/>
  <c r="Q11238" i="58"/>
  <c r="Q11156" i="58"/>
  <c r="Q8495" i="58"/>
  <c r="R3416" i="58"/>
  <c r="R3415" i="58"/>
  <c r="Q4692" i="58"/>
  <c r="Q3993" i="58"/>
  <c r="Q192" i="58"/>
  <c r="R6492" i="58"/>
  <c r="Q6491" i="58"/>
  <c r="R6491" i="58" s="1"/>
  <c r="R2572" i="58"/>
  <c r="Q2571" i="58"/>
  <c r="Q481" i="58"/>
  <c r="R1230" i="58"/>
  <c r="Q1229" i="58"/>
  <c r="Q3224" i="58"/>
  <c r="R9339" i="58"/>
  <c r="Q9338" i="58"/>
  <c r="Q9337" i="58" s="1"/>
  <c r="Q4323" i="58"/>
  <c r="Q2264" i="58"/>
  <c r="R2264" i="58" s="1"/>
  <c r="Q7464" i="58"/>
  <c r="R7464" i="58" s="1"/>
  <c r="R4006" i="58"/>
  <c r="R10402" i="58"/>
  <c r="Q10401" i="58"/>
  <c r="Q7716" i="58"/>
  <c r="Q2623" i="58"/>
  <c r="R2623" i="58" s="1"/>
  <c r="R35" i="58"/>
  <c r="Q12549" i="58"/>
  <c r="Q6427" i="58"/>
  <c r="Q5636" i="58"/>
  <c r="Q6192" i="58"/>
  <c r="R6192" i="58" s="1"/>
  <c r="Q1560" i="58"/>
  <c r="R1560" i="58" s="1"/>
  <c r="Q7478" i="58"/>
  <c r="Q7477" i="58" s="1"/>
  <c r="Q6707" i="58"/>
  <c r="R6707" i="58" s="1"/>
  <c r="Q7002" i="58"/>
  <c r="R7002" i="58" s="1"/>
  <c r="Q6797" i="58"/>
  <c r="Q6796" i="58" s="1"/>
  <c r="Q2059" i="58"/>
  <c r="R2059" i="58" s="1"/>
  <c r="R9224" i="58"/>
  <c r="Q9223" i="58"/>
  <c r="R9223" i="58" s="1"/>
  <c r="Q1739" i="58"/>
  <c r="Q2118" i="58"/>
  <c r="Q2117" i="58" s="1"/>
  <c r="R3276" i="58"/>
  <c r="Q634" i="58"/>
  <c r="Q165" i="58"/>
  <c r="R3724" i="58"/>
  <c r="Q9665" i="58"/>
  <c r="Q7014" i="58"/>
  <c r="Q6917" i="58"/>
  <c r="R6917" i="58" s="1"/>
  <c r="Q5420" i="58"/>
  <c r="Q4542" i="58"/>
  <c r="Q4541" i="58" s="1"/>
  <c r="Q5297" i="58"/>
  <c r="Q4359" i="58"/>
  <c r="R4359" i="58" s="1"/>
  <c r="R246" i="58"/>
  <c r="Q3572" i="58"/>
  <c r="R3572" i="58" s="1"/>
  <c r="Q1918" i="58"/>
  <c r="Q2180" i="58"/>
  <c r="Q1589" i="58"/>
  <c r="Q751" i="58"/>
  <c r="Q3864" i="58"/>
  <c r="Q60" i="58"/>
  <c r="R60" i="58" s="1"/>
  <c r="Q1608" i="58"/>
  <c r="Q9234" i="58"/>
  <c r="R11635" i="58"/>
  <c r="Q11634" i="58"/>
  <c r="R9607" i="58"/>
  <c r="Q9606" i="58"/>
  <c r="R1168" i="58"/>
  <c r="Q1167" i="58"/>
  <c r="Q1650" i="58"/>
  <c r="Q916" i="58"/>
  <c r="Q2868" i="58"/>
  <c r="Q862" i="58"/>
  <c r="R1734" i="58"/>
  <c r="Q1733" i="58"/>
  <c r="R2675" i="58"/>
  <c r="Q2674" i="58"/>
  <c r="R1880" i="58"/>
  <c r="Q1879" i="58"/>
  <c r="R2462" i="58"/>
  <c r="Q2461" i="58"/>
  <c r="R3245" i="58"/>
  <c r="R3244" i="58"/>
  <c r="R3304" i="58"/>
  <c r="Q4778" i="58"/>
  <c r="R4779" i="58"/>
  <c r="R3257" i="58"/>
  <c r="R3256" i="58"/>
  <c r="Q12922" i="58"/>
  <c r="Q10992" i="58"/>
  <c r="Q2498" i="58"/>
  <c r="Q10276" i="58"/>
  <c r="R10277" i="58"/>
  <c r="R506" i="58"/>
  <c r="Q505" i="58"/>
  <c r="R515" i="58"/>
  <c r="Q514" i="58"/>
  <c r="Q4352" i="58"/>
  <c r="R4353" i="58"/>
  <c r="R1525" i="58"/>
  <c r="Q1524" i="58"/>
  <c r="R3007" i="58"/>
  <c r="Q3006" i="58"/>
  <c r="R4422" i="58"/>
  <c r="Q4421" i="58"/>
  <c r="Q5532" i="58"/>
  <c r="Q5279" i="58"/>
  <c r="Q3731" i="58"/>
  <c r="R3731" i="58" s="1"/>
  <c r="Q3263" i="58"/>
  <c r="R3263" i="58" s="1"/>
  <c r="Q3713" i="58"/>
  <c r="R170" i="58"/>
  <c r="Q12832" i="58"/>
  <c r="Q8333" i="58"/>
  <c r="R8333" i="58" s="1"/>
  <c r="Q8323" i="58"/>
  <c r="R8323" i="58" s="1"/>
  <c r="Q9615" i="58"/>
  <c r="Q9614" i="58" s="1"/>
  <c r="Q12680" i="58"/>
  <c r="R12680" i="58" s="1"/>
  <c r="Q12142" i="58"/>
  <c r="R12142" i="58" s="1"/>
  <c r="Q11009" i="58"/>
  <c r="Q8302" i="58"/>
  <c r="Q6647" i="58"/>
  <c r="R6647" i="58" s="1"/>
  <c r="Q7335" i="58"/>
  <c r="Q5307" i="58"/>
  <c r="R5307" i="58" s="1"/>
  <c r="Q6953" i="58"/>
  <c r="Q1572" i="58"/>
  <c r="Q1571" i="58" s="1"/>
  <c r="Q1751" i="58"/>
  <c r="Q4179" i="58"/>
  <c r="Q4195" i="58"/>
  <c r="R4195" i="58" s="1"/>
  <c r="Q1721" i="58"/>
  <c r="R1721" i="58" s="1"/>
  <c r="Q2916" i="58"/>
  <c r="R2916" i="58" s="1"/>
  <c r="Q2522" i="58"/>
  <c r="Q2521" i="58" s="1"/>
  <c r="Q4507" i="58"/>
  <c r="Q1855" i="58"/>
  <c r="R1855" i="58" s="1"/>
  <c r="Q4876" i="58"/>
  <c r="R4876" i="58" s="1"/>
  <c r="Q3668" i="58"/>
  <c r="Q892" i="58"/>
  <c r="Q54" i="58"/>
  <c r="R54" i="58" s="1"/>
  <c r="D332" i="67"/>
  <c r="G332" i="67" s="1"/>
  <c r="G325" i="67" s="1"/>
  <c r="I325" i="67" s="1"/>
  <c r="D305" i="67"/>
  <c r="G305" i="67" s="1"/>
  <c r="G298" i="67" s="1"/>
  <c r="I298" i="67" s="1"/>
  <c r="D319" i="67"/>
  <c r="G319" i="67" s="1"/>
  <c r="G312" i="67" s="1"/>
  <c r="I312" i="67" s="1"/>
  <c r="D413" i="67"/>
  <c r="G413" i="67" s="1"/>
  <c r="G409" i="67" s="1"/>
  <c r="I409" i="67" s="1"/>
  <c r="D404" i="67"/>
  <c r="G404" i="67" s="1"/>
  <c r="G400" i="67" s="1"/>
  <c r="I400" i="67" s="1"/>
  <c r="D292" i="67"/>
  <c r="G292" i="67" s="1"/>
  <c r="G285" i="67" s="1"/>
  <c r="I285" i="67" s="1"/>
  <c r="D279" i="67"/>
  <c r="G279" i="67" s="1"/>
  <c r="G272" i="67" s="1"/>
  <c r="I272" i="67" s="1"/>
  <c r="D266" i="67"/>
  <c r="G266" i="67" s="1"/>
  <c r="G259" i="67" s="1"/>
  <c r="I259" i="67" s="1"/>
  <c r="D358" i="67"/>
  <c r="G358" i="67" s="1"/>
  <c r="G351" i="67" s="1"/>
  <c r="I351" i="67" s="1"/>
  <c r="D345" i="67"/>
  <c r="G345" i="67" s="1"/>
  <c r="G338" i="67" s="1"/>
  <c r="I338" i="67" s="1"/>
  <c r="R12987" i="58"/>
  <c r="Q12986" i="58"/>
  <c r="N10172" i="58"/>
  <c r="R3566" i="58"/>
  <c r="R3565" i="58"/>
  <c r="R3531" i="58"/>
  <c r="Q3530" i="58"/>
  <c r="Q8314" i="58"/>
  <c r="Q2492" i="58"/>
  <c r="R899" i="58"/>
  <c r="Q898" i="58"/>
  <c r="Q1704" i="58"/>
  <c r="Q11208" i="58"/>
  <c r="R11209" i="58"/>
  <c r="R3366" i="58"/>
  <c r="Q3365" i="58"/>
  <c r="R3752" i="58"/>
  <c r="R3751" i="58"/>
  <c r="Q1698" i="58"/>
  <c r="R1422" i="58"/>
  <c r="Q1421" i="58"/>
  <c r="R653" i="58"/>
  <c r="Q652" i="58"/>
  <c r="Q241" i="58"/>
  <c r="R2669" i="58"/>
  <c r="Q2668" i="58"/>
  <c r="R3585" i="58"/>
  <c r="Q3584" i="58"/>
  <c r="R2277" i="58"/>
  <c r="Q2276" i="58"/>
  <c r="Q7261" i="58"/>
  <c r="R3195" i="58"/>
  <c r="Q3194" i="58"/>
  <c r="R2259" i="58"/>
  <c r="Q2258" i="58"/>
  <c r="R587" i="58"/>
  <c r="Q586" i="58"/>
  <c r="Q2414" i="58"/>
  <c r="R9145" i="58"/>
  <c r="Q9144" i="58"/>
  <c r="Q12996" i="58"/>
  <c r="Q10361" i="58"/>
  <c r="Q8002" i="58"/>
  <c r="R9487" i="58"/>
  <c r="Q9486" i="58"/>
  <c r="R9486" i="58" s="1"/>
  <c r="Q7393" i="58"/>
  <c r="Q7392" i="58" s="1"/>
  <c r="Q5034" i="58"/>
  <c r="Q5556" i="58"/>
  <c r="Q5555" i="58" s="1"/>
  <c r="Q3569" i="58"/>
  <c r="R3569" i="58" s="1"/>
  <c r="Q2747" i="58"/>
  <c r="R2747" i="58" s="1"/>
  <c r="Q1480" i="58"/>
  <c r="Q1479" i="58" s="1"/>
  <c r="R5797" i="58"/>
  <c r="R2662" i="58"/>
  <c r="Q2661" i="58"/>
  <c r="Q3716" i="58"/>
  <c r="R3716" i="58" s="1"/>
  <c r="N10288" i="58"/>
  <c r="N9876" i="58"/>
  <c r="N10344" i="58"/>
  <c r="Q11669" i="58"/>
  <c r="R6856" i="58"/>
  <c r="Q6855" i="58"/>
  <c r="Q8758" i="58"/>
  <c r="R4216" i="58"/>
  <c r="Q4215" i="58"/>
  <c r="R7170" i="58"/>
  <c r="Q7169" i="58"/>
  <c r="R1284" i="58"/>
  <c r="Q1283" i="58"/>
  <c r="Q6476" i="58"/>
  <c r="Q2324" i="58"/>
  <c r="R478" i="58"/>
  <c r="R477" i="58"/>
  <c r="Q132" i="58"/>
  <c r="R133" i="58"/>
  <c r="Q9714" i="58"/>
  <c r="R9715" i="58"/>
  <c r="Q8017" i="58"/>
  <c r="R8018" i="58"/>
  <c r="Q4647" i="58"/>
  <c r="Q11922" i="58"/>
  <c r="N4878" i="58"/>
  <c r="Q12892" i="58"/>
  <c r="Q12199" i="58"/>
  <c r="Q6449" i="58"/>
  <c r="Q3680" i="58"/>
  <c r="Q10828" i="58"/>
  <c r="Q2209" i="58"/>
  <c r="Q6050" i="58"/>
  <c r="Q4798" i="58"/>
  <c r="Q9062" i="58"/>
  <c r="Q3611" i="58"/>
  <c r="Q147" i="58"/>
  <c r="Q5630" i="58"/>
  <c r="Q3461" i="58"/>
  <c r="N4890" i="58"/>
  <c r="Q12057" i="58"/>
  <c r="R11545" i="58"/>
  <c r="Q11544" i="58"/>
  <c r="R3159" i="58"/>
  <c r="Q3158" i="58"/>
  <c r="Q2252" i="58"/>
  <c r="Q12022" i="58"/>
  <c r="Q4940" i="58"/>
  <c r="N9236" i="58"/>
  <c r="I78" i="67"/>
  <c r="F10" i="52"/>
  <c r="Q13037" i="58"/>
  <c r="R7366" i="58"/>
  <c r="Q7365" i="58"/>
  <c r="Q3353" i="58"/>
  <c r="Q3617" i="58"/>
  <c r="R3618" i="58"/>
  <c r="Q4840" i="58"/>
  <c r="Q1999" i="58"/>
  <c r="R10478" i="58"/>
  <c r="Q10477" i="58"/>
  <c r="R8817" i="58"/>
  <c r="Q8816" i="58"/>
  <c r="Q8212" i="58"/>
  <c r="R1918" i="58"/>
  <c r="R1917" i="58"/>
  <c r="Q12679" i="58"/>
  <c r="R10580" i="58"/>
  <c r="Q7799" i="58"/>
  <c r="R2301" i="58"/>
  <c r="Q2300" i="58"/>
  <c r="R11820" i="58"/>
  <c r="Q11819" i="58"/>
  <c r="Q11523" i="58"/>
  <c r="R11524" i="58"/>
  <c r="R9965" i="58"/>
  <c r="Q9964" i="58"/>
  <c r="R6102" i="58"/>
  <c r="Q6101" i="58"/>
  <c r="R4937" i="58"/>
  <c r="Q4936" i="58"/>
  <c r="Q1318" i="58"/>
  <c r="R75" i="58"/>
  <c r="R74" i="58"/>
  <c r="R11697" i="58"/>
  <c r="Q11696" i="58"/>
  <c r="Q12135" i="58"/>
  <c r="R12136" i="58"/>
  <c r="R9038" i="58"/>
  <c r="Q9037" i="58"/>
  <c r="R3730" i="58"/>
  <c r="R9" i="58"/>
  <c r="R8" i="58"/>
  <c r="R11708" i="58"/>
  <c r="Q11707" i="58"/>
  <c r="Q11351" i="58"/>
  <c r="R11092" i="58"/>
  <c r="Q11091" i="58"/>
  <c r="Q8883" i="58"/>
  <c r="R8884" i="58"/>
  <c r="R9350" i="58"/>
  <c r="Q9349" i="58"/>
  <c r="R5517" i="58"/>
  <c r="Q5516" i="58"/>
  <c r="R5016" i="58"/>
  <c r="Q5015" i="58"/>
  <c r="R5715" i="58"/>
  <c r="Q5714" i="58"/>
  <c r="R4880" i="58"/>
  <c r="Q4879" i="58"/>
  <c r="R5540" i="58"/>
  <c r="Q5539" i="58"/>
  <c r="R4113" i="58"/>
  <c r="Q4112" i="58"/>
  <c r="R10977" i="58"/>
  <c r="Q10976" i="58"/>
  <c r="R10265" i="58"/>
  <c r="Q10264" i="58"/>
  <c r="R6601" i="58"/>
  <c r="Q6600" i="58"/>
  <c r="R5482" i="58"/>
  <c r="Q5481" i="58"/>
  <c r="R6128" i="58"/>
  <c r="Q6127" i="58"/>
  <c r="R3501" i="58"/>
  <c r="Q3500" i="58"/>
  <c r="R1572" i="58"/>
  <c r="Q2468" i="58"/>
  <c r="R2469" i="58"/>
  <c r="R81" i="58"/>
  <c r="R80" i="58"/>
  <c r="R12483" i="58"/>
  <c r="Q12482" i="58"/>
  <c r="Q11974" i="58"/>
  <c r="R8629" i="58"/>
  <c r="Q8628" i="58"/>
  <c r="R5355" i="58"/>
  <c r="Q5354" i="58"/>
  <c r="R2833" i="58"/>
  <c r="Q2832" i="58"/>
  <c r="R12884" i="58"/>
  <c r="Q12883" i="58"/>
  <c r="Q10902" i="58"/>
  <c r="Q9990" i="58"/>
  <c r="R7780" i="58"/>
  <c r="Q7779" i="58"/>
  <c r="R8011" i="58"/>
  <c r="Q8010" i="58"/>
  <c r="R4179" i="58"/>
  <c r="Q4178" i="58"/>
  <c r="Q12688" i="58"/>
  <c r="Q12290" i="58"/>
  <c r="Q12234" i="58"/>
  <c r="R11845" i="58"/>
  <c r="Q11844" i="58"/>
  <c r="R11828" i="58"/>
  <c r="Q11827" i="58"/>
  <c r="Q11852" i="58"/>
  <c r="Q12008" i="58"/>
  <c r="R10789" i="58"/>
  <c r="Q10788" i="58"/>
  <c r="Q10769" i="58"/>
  <c r="Q11513" i="58"/>
  <c r="R10223" i="58"/>
  <c r="Q10222" i="58"/>
  <c r="Q11373" i="58"/>
  <c r="Q10738" i="58"/>
  <c r="Q10255" i="58"/>
  <c r="R10682" i="58"/>
  <c r="Q10681" i="58"/>
  <c r="R11367" i="58"/>
  <c r="Q11366" i="58"/>
  <c r="R9013" i="58"/>
  <c r="Q9012" i="58"/>
  <c r="R10986" i="58"/>
  <c r="Q10985" i="58"/>
  <c r="R9497" i="58"/>
  <c r="Q9496" i="58"/>
  <c r="R8831" i="58"/>
  <c r="Q8830" i="58"/>
  <c r="R9082" i="58"/>
  <c r="Q9081" i="58"/>
  <c r="R7402" i="58"/>
  <c r="Q7401" i="58"/>
  <c r="Q10805" i="58"/>
  <c r="R5525" i="58"/>
  <c r="Q5524" i="58"/>
  <c r="R7765" i="58"/>
  <c r="Q7764" i="58"/>
  <c r="Q8972" i="58"/>
  <c r="R5235" i="58"/>
  <c r="Q5234" i="58"/>
  <c r="R6376" i="58"/>
  <c r="Q6375" i="58"/>
  <c r="R5806" i="58"/>
  <c r="Q5805" i="58"/>
  <c r="R5290" i="58"/>
  <c r="Q5289" i="58"/>
  <c r="Q7013" i="58"/>
  <c r="R7014" i="58"/>
  <c r="R6456" i="58"/>
  <c r="Q6455" i="58"/>
  <c r="R4663" i="58"/>
  <c r="Q4662" i="58"/>
  <c r="R4900" i="58"/>
  <c r="Q4899" i="58"/>
  <c r="R5403" i="58"/>
  <c r="Q5402" i="58"/>
  <c r="R3413" i="58"/>
  <c r="R3412" i="58"/>
  <c r="R4529" i="58"/>
  <c r="Q4528" i="58"/>
  <c r="R3539" i="58"/>
  <c r="R3538" i="58"/>
  <c r="R6953" i="58"/>
  <c r="Q6952" i="58"/>
  <c r="R1356" i="58"/>
  <c r="Q1355" i="58"/>
  <c r="R1727" i="58"/>
  <c r="Q1726" i="58"/>
  <c r="R1108" i="58"/>
  <c r="Q1107" i="58"/>
  <c r="Q1449" i="58"/>
  <c r="R3553" i="58"/>
  <c r="Q6469" i="58"/>
  <c r="R1861" i="58"/>
  <c r="Q1860" i="58"/>
  <c r="Q2318" i="58"/>
  <c r="Q3677" i="58"/>
  <c r="R5736" i="58"/>
  <c r="Q5735" i="58"/>
  <c r="R885" i="58"/>
  <c r="Q884" i="58"/>
  <c r="R2602" i="58"/>
  <c r="Q2601" i="58"/>
  <c r="R5926" i="58"/>
  <c r="Q5925" i="58"/>
  <c r="R4521" i="58"/>
  <c r="Q4520" i="58"/>
  <c r="R301" i="58"/>
  <c r="Q300" i="58"/>
  <c r="Q1714" i="58"/>
  <c r="R220" i="58"/>
  <c r="R219" i="58"/>
  <c r="R12707" i="58"/>
  <c r="Q12706" i="58"/>
  <c r="R11770" i="58"/>
  <c r="Q11769" i="58"/>
  <c r="R10342" i="58"/>
  <c r="Q10341" i="58"/>
  <c r="R3587" i="58"/>
  <c r="R3586" i="58"/>
  <c r="R69" i="58"/>
  <c r="R68" i="58"/>
  <c r="R3672" i="58"/>
  <c r="Q3671" i="58"/>
  <c r="R11748" i="58"/>
  <c r="Q11747" i="58"/>
  <c r="R8302" i="58"/>
  <c r="Q8301" i="58"/>
  <c r="R3722" i="58"/>
  <c r="R3721" i="58"/>
  <c r="R12252" i="58"/>
  <c r="Q12251" i="58"/>
  <c r="R9284" i="58"/>
  <c r="Q9283" i="58"/>
  <c r="R7708" i="58"/>
  <c r="Q7707" i="58"/>
  <c r="R5873" i="58"/>
  <c r="Q5872" i="58"/>
  <c r="R2030" i="58"/>
  <c r="Q2029" i="58"/>
  <c r="R1895" i="58"/>
  <c r="Q1894" i="58"/>
  <c r="R3186" i="58"/>
  <c r="Q3185" i="58"/>
  <c r="Q741" i="58"/>
  <c r="R742" i="58"/>
  <c r="R12320" i="58"/>
  <c r="Q12319" i="58"/>
  <c r="Q8108" i="58"/>
  <c r="R8109" i="58"/>
  <c r="R2082" i="58"/>
  <c r="Q2081" i="58"/>
  <c r="R2017" i="58"/>
  <c r="Q2016" i="58"/>
  <c r="R430" i="58"/>
  <c r="R429" i="58"/>
  <c r="R3079" i="58"/>
  <c r="Q3078" i="58"/>
  <c r="R1440" i="58"/>
  <c r="Q1439" i="58"/>
  <c r="R24" i="58"/>
  <c r="R23" i="58"/>
  <c r="R7890" i="58"/>
  <c r="Q7889" i="58"/>
  <c r="R8184" i="58"/>
  <c r="Q8183" i="58"/>
  <c r="R4078" i="58"/>
  <c r="Q4077" i="58"/>
  <c r="R2509" i="58"/>
  <c r="Q2508" i="58"/>
  <c r="R527" i="58"/>
  <c r="Q526" i="58"/>
  <c r="R2639" i="58"/>
  <c r="Q2638" i="58"/>
  <c r="Q12634" i="58"/>
  <c r="Q9794" i="58"/>
  <c r="Q7935" i="58"/>
  <c r="R4912" i="58"/>
  <c r="Q4911" i="58"/>
  <c r="Q12270" i="58"/>
  <c r="R6843" i="58"/>
  <c r="Q6842" i="58"/>
  <c r="R2198" i="58"/>
  <c r="Q2197" i="58"/>
  <c r="R3031" i="58"/>
  <c r="Q3030" i="58"/>
  <c r="R3206" i="58"/>
  <c r="R3205" i="58"/>
  <c r="Q7085" i="58"/>
  <c r="R4953" i="58"/>
  <c r="Q4952" i="58"/>
  <c r="Q12122" i="58"/>
  <c r="R12130" i="58"/>
  <c r="Q12129" i="58"/>
  <c r="Q11881" i="58"/>
  <c r="R10929" i="58"/>
  <c r="Q10928" i="58"/>
  <c r="R11148" i="58"/>
  <c r="Q11147" i="58"/>
  <c r="R11581" i="58"/>
  <c r="Q11580" i="58"/>
  <c r="Q11734" i="58"/>
  <c r="R11735" i="58"/>
  <c r="Q10062" i="58"/>
  <c r="R10063" i="58"/>
  <c r="R9656" i="58"/>
  <c r="Q9655" i="58"/>
  <c r="R10234" i="58"/>
  <c r="Q10233" i="58"/>
  <c r="R9154" i="58"/>
  <c r="Q9153" i="58"/>
  <c r="R7626" i="58"/>
  <c r="Q7625" i="58"/>
  <c r="Q6916" i="58"/>
  <c r="Q7686" i="58"/>
  <c r="Q7903" i="58"/>
  <c r="R7904" i="58"/>
  <c r="R6677" i="58"/>
  <c r="Q6676" i="58"/>
  <c r="R7457" i="58"/>
  <c r="Q7456" i="58"/>
  <c r="Q6335" i="58"/>
  <c r="Q6972" i="58"/>
  <c r="R6973" i="58"/>
  <c r="R4395" i="58"/>
  <c r="Q4394" i="58"/>
  <c r="R8551" i="58"/>
  <c r="Q8550" i="58"/>
  <c r="R9026" i="58"/>
  <c r="Q9025" i="58"/>
  <c r="Q7042" i="58"/>
  <c r="Q6043" i="58"/>
  <c r="Q7966" i="58"/>
  <c r="R6415" i="58"/>
  <c r="Q6414" i="58"/>
  <c r="Q4851" i="58"/>
  <c r="Q5312" i="58"/>
  <c r="R4980" i="58"/>
  <c r="Q4979" i="58"/>
  <c r="R3233" i="58"/>
  <c r="R3232" i="58"/>
  <c r="R5694" i="58"/>
  <c r="Q5693" i="58"/>
  <c r="R3486" i="58"/>
  <c r="Q3485" i="58"/>
  <c r="R2409" i="58"/>
  <c r="Q2408" i="58"/>
  <c r="R3410" i="58"/>
  <c r="R3409" i="58"/>
  <c r="R5081" i="58"/>
  <c r="Q5080" i="58"/>
  <c r="R4238" i="58"/>
  <c r="Q4011" i="58"/>
  <c r="R3439" i="58"/>
  <c r="Q4093" i="58"/>
  <c r="R3091" i="58"/>
  <c r="Q3090" i="58"/>
  <c r="R2938" i="58"/>
  <c r="Q2937" i="58"/>
  <c r="R4053" i="58"/>
  <c r="Q4052" i="58"/>
  <c r="R3630" i="58"/>
  <c r="Q3629" i="58"/>
  <c r="Q3509" i="58"/>
  <c r="R2432" i="58"/>
  <c r="Q2431" i="58"/>
  <c r="R2174" i="58"/>
  <c r="Q2173" i="58"/>
  <c r="R2535" i="58"/>
  <c r="Q2534" i="58"/>
  <c r="R706" i="58"/>
  <c r="Q705" i="58"/>
  <c r="Q3838" i="58"/>
  <c r="R3839" i="58"/>
  <c r="Q276" i="58"/>
  <c r="R277" i="58"/>
  <c r="R1638" i="58"/>
  <c r="Q1637" i="58"/>
  <c r="R11917" i="58"/>
  <c r="Q11916" i="58"/>
  <c r="R12001" i="58"/>
  <c r="Q12000" i="58"/>
  <c r="R5743" i="58"/>
  <c r="Q5742" i="58"/>
  <c r="R5686" i="58"/>
  <c r="Q5685" i="58"/>
  <c r="R3380" i="58"/>
  <c r="R3224" i="58"/>
  <c r="R3223" i="58"/>
  <c r="Q12760" i="58"/>
  <c r="R12761" i="58"/>
  <c r="R10013" i="58"/>
  <c r="Q10012" i="58"/>
  <c r="R5008" i="58"/>
  <c r="Q5007" i="58"/>
  <c r="R8031" i="58"/>
  <c r="Q8030" i="58"/>
  <c r="R2132" i="58"/>
  <c r="Q2131" i="58"/>
  <c r="Q12097" i="58"/>
  <c r="R12098" i="58"/>
  <c r="R6499" i="58"/>
  <c r="Q6498" i="58"/>
  <c r="Q2312" i="58"/>
  <c r="R777" i="58"/>
  <c r="Q776" i="58"/>
  <c r="R3278" i="58"/>
  <c r="R3277" i="58"/>
  <c r="R1542" i="58"/>
  <c r="Q1541" i="58"/>
  <c r="R10553" i="58"/>
  <c r="Q10552" i="58"/>
  <c r="R11564" i="58"/>
  <c r="Q11563" i="58"/>
  <c r="Q10051" i="58"/>
  <c r="R5847" i="58"/>
  <c r="Q5846" i="58"/>
  <c r="R3736" i="58"/>
  <c r="Q11874" i="58"/>
  <c r="Q10893" i="58"/>
  <c r="R9001" i="58"/>
  <c r="Q9000" i="58"/>
  <c r="R8079" i="58"/>
  <c r="Q8078" i="58"/>
  <c r="Q7232" i="58"/>
  <c r="R1709" i="58"/>
  <c r="Q1708" i="58"/>
  <c r="R2724" i="58"/>
  <c r="Q2723" i="58"/>
  <c r="R718" i="58"/>
  <c r="Q717" i="58"/>
  <c r="R2547" i="58"/>
  <c r="Q2546" i="58"/>
  <c r="R1582" i="58"/>
  <c r="Q1581" i="58"/>
  <c r="R11198" i="58"/>
  <c r="Q11197" i="58"/>
  <c r="R10371" i="58"/>
  <c r="Q10370" i="58"/>
  <c r="Q9113" i="58"/>
  <c r="R5912" i="58"/>
  <c r="Q5911" i="58"/>
  <c r="R4536" i="58"/>
  <c r="Q4535" i="58"/>
  <c r="R3561" i="58"/>
  <c r="Q3560" i="58"/>
  <c r="R3050" i="58"/>
  <c r="Q3049" i="58"/>
  <c r="R6115" i="58"/>
  <c r="Q6114" i="58"/>
  <c r="R12824" i="58"/>
  <c r="R11927" i="58"/>
  <c r="Q11926" i="58"/>
  <c r="Q10106" i="58"/>
  <c r="Q10727" i="58"/>
  <c r="R10728" i="58"/>
  <c r="R2156" i="58"/>
  <c r="Q2155" i="58"/>
  <c r="R4270" i="58"/>
  <c r="Q4269" i="58"/>
  <c r="Q12462" i="58"/>
  <c r="R10621" i="58"/>
  <c r="Q10620" i="58"/>
  <c r="Q12089" i="58"/>
  <c r="Q7520" i="58"/>
  <c r="Q4194" i="58"/>
  <c r="R3645" i="58"/>
  <c r="Q3644" i="58"/>
  <c r="R1500" i="58"/>
  <c r="Q1499" i="58"/>
  <c r="Q3863" i="58"/>
  <c r="R3864" i="58"/>
  <c r="R3073" i="58"/>
  <c r="Q3072" i="58"/>
  <c r="Q12212" i="58"/>
  <c r="R12213" i="58"/>
  <c r="R11407" i="58"/>
  <c r="Q11406" i="58"/>
  <c r="R11029" i="58"/>
  <c r="Q11028" i="58"/>
  <c r="R10651" i="58"/>
  <c r="Q10650" i="58"/>
  <c r="R10130" i="58"/>
  <c r="Q10129" i="58"/>
  <c r="R10883" i="58"/>
  <c r="Q10882" i="58"/>
  <c r="R11723" i="58"/>
  <c r="Q11722" i="58"/>
  <c r="Q11310" i="58"/>
  <c r="R10201" i="58"/>
  <c r="Q10200" i="58"/>
  <c r="Q9934" i="58"/>
  <c r="R9363" i="58"/>
  <c r="Q9362" i="58"/>
  <c r="Q9596" i="58"/>
  <c r="R10936" i="58"/>
  <c r="Q10935" i="58"/>
  <c r="R7738" i="58"/>
  <c r="Q7737" i="58"/>
  <c r="R9072" i="58"/>
  <c r="Q9071" i="58"/>
  <c r="R7598" i="58"/>
  <c r="Q7597" i="58"/>
  <c r="Q9529" i="58"/>
  <c r="R7537" i="58"/>
  <c r="Q7536" i="58"/>
  <c r="Q7028" i="58"/>
  <c r="R5377" i="58"/>
  <c r="Q5376" i="58"/>
  <c r="Q5699" i="58"/>
  <c r="Q4725" i="58"/>
  <c r="R5678" i="58"/>
  <c r="Q5677" i="58"/>
  <c r="R5072" i="58"/>
  <c r="Q5071" i="58"/>
  <c r="Q7568" i="58"/>
  <c r="R4034" i="58"/>
  <c r="Q4033" i="58"/>
  <c r="R4542" i="58"/>
  <c r="Q7422" i="58"/>
  <c r="R2168" i="58"/>
  <c r="Q2167" i="58"/>
  <c r="R2371" i="58"/>
  <c r="Q2370" i="58"/>
  <c r="R4224" i="58"/>
  <c r="R4223" i="58"/>
  <c r="R1374" i="58"/>
  <c r="Q1373" i="58"/>
  <c r="R458" i="58"/>
  <c r="Q457" i="58"/>
  <c r="R2921" i="58"/>
  <c r="Q2920" i="58"/>
  <c r="R6887" i="58"/>
  <c r="Q6886" i="58"/>
  <c r="R3493" i="58"/>
  <c r="R1337" i="58"/>
  <c r="Q1336" i="58"/>
  <c r="R3743" i="58"/>
  <c r="R3742" i="58"/>
  <c r="R2204" i="58"/>
  <c r="Q2203" i="58"/>
  <c r="Q12043" i="58"/>
  <c r="R433" i="58"/>
  <c r="R432" i="58"/>
  <c r="R3593" i="58"/>
  <c r="R3592" i="58"/>
  <c r="R1380" i="58"/>
  <c r="Q1379" i="58"/>
  <c r="R3734" i="58"/>
  <c r="R3733" i="58"/>
  <c r="R1814" i="58"/>
  <c r="Q1813" i="58"/>
  <c r="Q180" i="58"/>
  <c r="Q12725" i="58"/>
  <c r="R12726" i="58"/>
  <c r="R12405" i="58"/>
  <c r="Q12404" i="58"/>
  <c r="R12506" i="58"/>
  <c r="Q12505" i="58"/>
  <c r="R10914" i="58"/>
  <c r="Q10913" i="58"/>
  <c r="R10818" i="58"/>
  <c r="Q10817" i="58"/>
  <c r="R8092" i="58"/>
  <c r="Q8091" i="58"/>
  <c r="R6903" i="58"/>
  <c r="Q6902" i="58"/>
  <c r="R6527" i="58"/>
  <c r="Q6526" i="58"/>
  <c r="R6766" i="58"/>
  <c r="Q6765" i="58"/>
  <c r="Q2420" i="58"/>
  <c r="R2421" i="58"/>
  <c r="R874" i="58"/>
  <c r="Q873" i="58"/>
  <c r="R1204" i="58"/>
  <c r="Q1203" i="58"/>
  <c r="R144" i="58"/>
  <c r="R143" i="58"/>
  <c r="R12080" i="58"/>
  <c r="Q12079" i="58"/>
  <c r="R10151" i="58"/>
  <c r="Q10150" i="58"/>
  <c r="R8066" i="58"/>
  <c r="Q8065" i="58"/>
  <c r="R815" i="58"/>
  <c r="Q814" i="58"/>
  <c r="R10566" i="58"/>
  <c r="Q10565" i="58"/>
  <c r="R9978" i="58"/>
  <c r="Q9977" i="58"/>
  <c r="R5272" i="58"/>
  <c r="Q5271" i="58"/>
  <c r="R3248" i="58"/>
  <c r="R3247" i="58"/>
  <c r="R1886" i="58"/>
  <c r="Q1885" i="58"/>
  <c r="R837" i="58"/>
  <c r="Q836" i="58"/>
  <c r="Q11322" i="58"/>
  <c r="R11323" i="58"/>
  <c r="R8922" i="58"/>
  <c r="Q8921" i="58"/>
  <c r="R1739" i="58"/>
  <c r="Q1738" i="58"/>
  <c r="R1938" i="58"/>
  <c r="Q1937" i="58"/>
  <c r="R4507" i="58"/>
  <c r="Q4506" i="58"/>
  <c r="R12932" i="58"/>
  <c r="Q12931" i="58"/>
  <c r="Q6504" i="58"/>
  <c r="R6258" i="58"/>
  <c r="Q6257" i="58"/>
  <c r="R5342" i="58"/>
  <c r="Q5341" i="58"/>
  <c r="R4455" i="58"/>
  <c r="Q4454" i="58"/>
  <c r="R3061" i="58"/>
  <c r="Q3060" i="58"/>
  <c r="Q12918" i="58"/>
  <c r="R12919" i="58"/>
  <c r="Q7098" i="58"/>
  <c r="Q2576" i="58"/>
  <c r="R1331" i="58"/>
  <c r="Q1330" i="58"/>
  <c r="R3543" i="58"/>
  <c r="Q3542" i="58"/>
  <c r="R2607" i="58"/>
  <c r="Q2606" i="58"/>
  <c r="R13014" i="58"/>
  <c r="Q13013" i="58"/>
  <c r="Q12862" i="58"/>
  <c r="Q10959" i="58"/>
  <c r="R8803" i="58"/>
  <c r="Q8802" i="58"/>
  <c r="Q7506" i="58"/>
  <c r="R3336" i="58"/>
  <c r="Q3335" i="58"/>
  <c r="R1409" i="58"/>
  <c r="Q1408" i="58"/>
  <c r="R12111" i="58"/>
  <c r="Q12110" i="58"/>
  <c r="Q13066" i="58"/>
  <c r="Q12742" i="58"/>
  <c r="Q12950" i="58"/>
  <c r="Q12470" i="58"/>
  <c r="R12627" i="58"/>
  <c r="Q12626" i="58"/>
  <c r="Q12921" i="58"/>
  <c r="R12922" i="58"/>
  <c r="Q12595" i="58"/>
  <c r="R12815" i="58"/>
  <c r="Q12814" i="58"/>
  <c r="R12478" i="58"/>
  <c r="Q12477" i="58"/>
  <c r="Q12869" i="58"/>
  <c r="R12302" i="58"/>
  <c r="Q12301" i="58"/>
  <c r="R12575" i="58"/>
  <c r="Q12574" i="58"/>
  <c r="Q12644" i="58"/>
  <c r="Q12787" i="58"/>
  <c r="Q12205" i="58"/>
  <c r="R12071" i="58"/>
  <c r="Q12070" i="58"/>
  <c r="Q11678" i="58"/>
  <c r="Q11969" i="58"/>
  <c r="Q11458" i="58"/>
  <c r="Q10715" i="58"/>
  <c r="R10082" i="58"/>
  <c r="Q10081" i="58"/>
  <c r="Q10861" i="58"/>
  <c r="R11017" i="58"/>
  <c r="Q11016" i="58"/>
  <c r="R13043" i="58"/>
  <c r="Q13042" i="58"/>
  <c r="R9756" i="58"/>
  <c r="Q9755" i="58"/>
  <c r="R11267" i="58"/>
  <c r="Q11266" i="58"/>
  <c r="Q10593" i="58"/>
  <c r="R10594" i="58"/>
  <c r="R9417" i="58"/>
  <c r="Q9416" i="58"/>
  <c r="Q10179" i="58"/>
  <c r="Q9894" i="58"/>
  <c r="Q9517" i="58"/>
  <c r="R8516" i="58"/>
  <c r="Q8515" i="58"/>
  <c r="R8476" i="58"/>
  <c r="Q8909" i="58"/>
  <c r="R8230" i="58"/>
  <c r="Q8229" i="58"/>
  <c r="Q9374" i="58"/>
  <c r="R7584" i="58"/>
  <c r="Q7583" i="58"/>
  <c r="R7759" i="58"/>
  <c r="Q7758" i="58"/>
  <c r="R10660" i="58"/>
  <c r="Q10659" i="58"/>
  <c r="Q7428" i="58"/>
  <c r="R7429" i="58"/>
  <c r="R5349" i="58"/>
  <c r="Q6401" i="58"/>
  <c r="Q5320" i="58"/>
  <c r="Q5643" i="58"/>
  <c r="R6311" i="58"/>
  <c r="Q6310" i="58"/>
  <c r="Q4310" i="58"/>
  <c r="R7817" i="58"/>
  <c r="Q7816" i="58"/>
  <c r="R4473" i="58"/>
  <c r="Q4472" i="58"/>
  <c r="R6205" i="58"/>
  <c r="Q6204" i="58"/>
  <c r="R5624" i="58"/>
  <c r="Q5623" i="58"/>
  <c r="R6218" i="58"/>
  <c r="Q6217" i="58"/>
  <c r="R10749" i="58"/>
  <c r="Q10748" i="58"/>
  <c r="R2764" i="58"/>
  <c r="Q2763" i="58"/>
  <c r="R2150" i="58"/>
  <c r="Q2149" i="58"/>
  <c r="Q3425" i="58"/>
  <c r="R3426" i="58"/>
  <c r="R3230" i="58"/>
  <c r="R3229" i="58"/>
  <c r="R5598" i="58"/>
  <c r="Q5597" i="58"/>
  <c r="Q5615" i="58"/>
  <c r="R5616" i="58"/>
  <c r="R3973" i="58"/>
  <c r="Q3972" i="58"/>
  <c r="R135" i="58"/>
  <c r="R134" i="58"/>
  <c r="Q1383" i="58"/>
  <c r="R2335" i="58"/>
  <c r="Q2334" i="58"/>
  <c r="R3326" i="58"/>
  <c r="R3325" i="58"/>
  <c r="Q1978" i="58"/>
  <c r="R1979" i="58"/>
  <c r="R566" i="58"/>
  <c r="Q565" i="58"/>
  <c r="R423" i="58"/>
  <c r="Q422" i="58"/>
  <c r="R1428" i="58"/>
  <c r="Q1427" i="58"/>
  <c r="R6349" i="58"/>
  <c r="Q6348" i="58"/>
  <c r="R2142" i="58"/>
  <c r="Q2141" i="58"/>
  <c r="R59" i="58"/>
  <c r="R3437" i="58"/>
  <c r="R3436" i="58"/>
  <c r="R10092" i="58"/>
  <c r="Q10091" i="58"/>
  <c r="R7981" i="58"/>
  <c r="Q7980" i="58"/>
  <c r="R5226" i="58"/>
  <c r="Q5225" i="58"/>
  <c r="R2281" i="58"/>
  <c r="Q2280" i="58"/>
  <c r="R12771" i="58"/>
  <c r="Q12770" i="58"/>
  <c r="R6812" i="58"/>
  <c r="Q6811" i="58"/>
  <c r="R2753" i="58"/>
  <c r="Q2752" i="58"/>
  <c r="R121" i="58"/>
  <c r="Q120" i="58"/>
  <c r="R756" i="58"/>
  <c r="R755" i="58"/>
  <c r="R2904" i="58"/>
  <c r="Q2903" i="58"/>
  <c r="R12016" i="58"/>
  <c r="Q12015" i="58"/>
  <c r="R10287" i="58"/>
  <c r="Q10286" i="58"/>
  <c r="Q9675" i="58"/>
  <c r="R2118" i="58"/>
  <c r="R1445" i="58"/>
  <c r="Q1444" i="58"/>
  <c r="R2644" i="58"/>
  <c r="Q2643" i="58"/>
  <c r="R748" i="58"/>
  <c r="Q747" i="58"/>
  <c r="R2582" i="58"/>
  <c r="Q2581" i="58"/>
  <c r="R11988" i="58"/>
  <c r="Q11987" i="58"/>
  <c r="R8694" i="58"/>
  <c r="Q8693" i="58"/>
  <c r="R5721" i="58"/>
  <c r="Q5720" i="58"/>
  <c r="R1656" i="58"/>
  <c r="Q1655" i="58"/>
  <c r="R1535" i="58"/>
  <c r="Q1534" i="58"/>
  <c r="R732" i="58"/>
  <c r="R731" i="58"/>
  <c r="R8788" i="58"/>
  <c r="Q8787" i="58"/>
  <c r="Q9242" i="58"/>
  <c r="R8680" i="58"/>
  <c r="Q8679" i="58"/>
  <c r="R7471" i="58"/>
  <c r="Q7470" i="58"/>
  <c r="R7247" i="58"/>
  <c r="Q7246" i="58"/>
  <c r="R5586" i="58"/>
  <c r="Q5585" i="58"/>
  <c r="R5499" i="58"/>
  <c r="Q5498" i="58"/>
  <c r="R3262" i="58"/>
  <c r="R3272" i="58"/>
  <c r="R3271" i="58"/>
  <c r="R903" i="58"/>
  <c r="Q902" i="58"/>
  <c r="R1052" i="58"/>
  <c r="Q1051" i="58"/>
  <c r="Q12752" i="58"/>
  <c r="R12220" i="58"/>
  <c r="Q12219" i="58"/>
  <c r="R11893" i="58"/>
  <c r="Q11892" i="58"/>
  <c r="R9665" i="58"/>
  <c r="Q9664" i="58"/>
  <c r="R6994" i="58"/>
  <c r="Q6993" i="58"/>
  <c r="R5437" i="58"/>
  <c r="Q5436" i="58"/>
  <c r="R3516" i="58"/>
  <c r="Q3515" i="58"/>
  <c r="R3034" i="58"/>
  <c r="R3033" i="58"/>
  <c r="Q12716" i="58"/>
  <c r="Q13056" i="58"/>
  <c r="Q12959" i="58"/>
  <c r="Q13004" i="58"/>
  <c r="Q12732" i="58"/>
  <c r="R12331" i="58"/>
  <c r="Q12330" i="58"/>
  <c r="R12907" i="58"/>
  <c r="Q12524" i="58"/>
  <c r="R12928" i="58"/>
  <c r="Q12927" i="58"/>
  <c r="R12543" i="58"/>
  <c r="Q12542" i="58"/>
  <c r="Q12840" i="58"/>
  <c r="Q12029" i="58"/>
  <c r="Q12241" i="58"/>
  <c r="R11390" i="58"/>
  <c r="Q11389" i="58"/>
  <c r="Q11299" i="58"/>
  <c r="R11300" i="58"/>
  <c r="R11868" i="58"/>
  <c r="Q11867" i="58"/>
  <c r="R11002" i="58"/>
  <c r="Q11001" i="58"/>
  <c r="Q9736" i="58"/>
  <c r="R8424" i="58"/>
  <c r="Q8423" i="58"/>
  <c r="R9541" i="58"/>
  <c r="Q9540" i="58"/>
  <c r="Q9644" i="58"/>
  <c r="R8290" i="58"/>
  <c r="Q8289" i="58"/>
  <c r="R8844" i="58"/>
  <c r="Q8843" i="58"/>
  <c r="Q7743" i="58"/>
  <c r="R7254" i="58"/>
  <c r="Q7253" i="58"/>
  <c r="Q5328" i="58"/>
  <c r="R7393" i="58"/>
  <c r="R6967" i="58"/>
  <c r="Q6966" i="58"/>
  <c r="R6231" i="58"/>
  <c r="Q6230" i="58"/>
  <c r="R5987" i="58"/>
  <c r="Q5986" i="58"/>
  <c r="Q6294" i="58"/>
  <c r="R4191" i="58"/>
  <c r="Q4190" i="58"/>
  <c r="Q6420" i="58"/>
  <c r="R5175" i="58"/>
  <c r="Q5174" i="58"/>
  <c r="R6245" i="58"/>
  <c r="Q6244" i="58"/>
  <c r="Q7289" i="58"/>
  <c r="R4948" i="58"/>
  <c r="Q4947" i="58"/>
  <c r="R2679" i="58"/>
  <c r="Q2678" i="58"/>
  <c r="Q4736" i="58"/>
  <c r="R2946" i="58"/>
  <c r="Q2945" i="58"/>
  <c r="R2126" i="58"/>
  <c r="Q2125" i="58"/>
  <c r="R3301" i="58"/>
  <c r="R8535" i="58"/>
  <c r="Q8534" i="58"/>
  <c r="Q1251" i="58"/>
  <c r="Q3674" i="58"/>
  <c r="Q2910" i="58"/>
  <c r="R1288" i="58"/>
  <c r="Q1287" i="58"/>
  <c r="R1035" i="58"/>
  <c r="Q1034" i="58"/>
  <c r="R71" i="58"/>
  <c r="R2114" i="58"/>
  <c r="Q2113" i="58"/>
  <c r="R3642" i="58"/>
  <c r="Q3641" i="58"/>
  <c r="R3575" i="58"/>
  <c r="R3574" i="58"/>
  <c r="R2694" i="58"/>
  <c r="Q2693" i="58"/>
  <c r="R3623" i="58"/>
  <c r="R3622" i="58"/>
  <c r="R158" i="58"/>
  <c r="R3320" i="58"/>
  <c r="R3319" i="58"/>
  <c r="Q604" i="58"/>
  <c r="Q12606" i="58"/>
  <c r="R7695" i="58"/>
  <c r="Q7694" i="58"/>
  <c r="R2808" i="58"/>
  <c r="Q2807" i="58"/>
  <c r="Q12451" i="58"/>
  <c r="R12615" i="58"/>
  <c r="Q12614" i="58"/>
  <c r="Q6938" i="58"/>
  <c r="R3378" i="58"/>
  <c r="Q3377" i="58"/>
  <c r="R3619" i="58"/>
  <c r="R3620" i="58"/>
  <c r="R3108" i="58"/>
  <c r="Q3107" i="58"/>
  <c r="R4236" i="58"/>
  <c r="R4235" i="58"/>
  <c r="R7830" i="58"/>
  <c r="Q7829" i="58"/>
  <c r="R7416" i="58"/>
  <c r="Q7415" i="58"/>
  <c r="R2246" i="58"/>
  <c r="Q2245" i="58"/>
  <c r="R1661" i="58"/>
  <c r="Q1660" i="58"/>
  <c r="R3446" i="58"/>
  <c r="R3445" i="58"/>
  <c r="R7023" i="58"/>
  <c r="Q7022" i="58"/>
  <c r="R6542" i="58"/>
  <c r="Q6541" i="58"/>
  <c r="R8772" i="58"/>
  <c r="Q8771" i="58"/>
  <c r="R3603" i="58"/>
  <c r="Q3602" i="58"/>
  <c r="R18" i="58"/>
  <c r="R17" i="58"/>
  <c r="R11441" i="58"/>
  <c r="Q11440" i="58"/>
  <c r="R8433" i="58"/>
  <c r="R7657" i="58"/>
  <c r="Q7656" i="58"/>
  <c r="R114" i="58"/>
  <c r="R113" i="58"/>
  <c r="R4233" i="58"/>
  <c r="Q4232" i="58"/>
  <c r="R436" i="58"/>
  <c r="R435" i="58"/>
  <c r="R13024" i="58"/>
  <c r="Q13023" i="58"/>
  <c r="R12856" i="58"/>
  <c r="Q12855" i="58"/>
  <c r="Q6035" i="58"/>
  <c r="R4500" i="58"/>
  <c r="Q4499" i="58"/>
  <c r="R10361" i="58"/>
  <c r="Q10360" i="58"/>
  <c r="R6023" i="58"/>
  <c r="Q6022" i="58"/>
  <c r="R4022" i="58"/>
  <c r="Q4021" i="58"/>
  <c r="R11982" i="58"/>
  <c r="Q11981" i="58"/>
  <c r="R11434" i="58"/>
  <c r="Q11433" i="58"/>
  <c r="R8745" i="58"/>
  <c r="Q8744" i="58"/>
  <c r="Q9104" i="58"/>
  <c r="R7846" i="58"/>
  <c r="Q7845" i="58"/>
  <c r="Q6000" i="58"/>
  <c r="R6001" i="58"/>
  <c r="Q4275" i="58"/>
  <c r="R3660" i="58"/>
  <c r="Q3659" i="58"/>
  <c r="Q12911" i="58"/>
  <c r="R12393" i="58"/>
  <c r="Q12392" i="58"/>
  <c r="Q12439" i="58"/>
  <c r="Q12501" i="58"/>
  <c r="R12050" i="58"/>
  <c r="Q12049" i="58"/>
  <c r="Q11993" i="58"/>
  <c r="Q11898" i="58"/>
  <c r="Q11469" i="58"/>
  <c r="R12148" i="58"/>
  <c r="Q12147" i="58"/>
  <c r="R11292" i="58"/>
  <c r="Q11291" i="58"/>
  <c r="R10529" i="58"/>
  <c r="Q10528" i="58"/>
  <c r="R10464" i="58"/>
  <c r="Q10463" i="58"/>
  <c r="R9807" i="58"/>
  <c r="Q9806" i="58"/>
  <c r="R10171" i="58"/>
  <c r="Q10170" i="58"/>
  <c r="Q10671" i="58"/>
  <c r="R10672" i="58"/>
  <c r="R9786" i="58"/>
  <c r="Q9785" i="58"/>
  <c r="R9862" i="58"/>
  <c r="Q9861" i="58"/>
  <c r="Q9202" i="58"/>
  <c r="R8155" i="58"/>
  <c r="Q8154" i="58"/>
  <c r="R8403" i="58"/>
  <c r="R7723" i="58"/>
  <c r="Q7722" i="58"/>
  <c r="R6618" i="58"/>
  <c r="Q6617" i="58"/>
  <c r="Q8273" i="58"/>
  <c r="Q7320" i="58"/>
  <c r="Q7305" i="58"/>
  <c r="R7306" i="58"/>
  <c r="R8309" i="58"/>
  <c r="Q8308" i="58"/>
  <c r="Q8073" i="58"/>
  <c r="Q7673" i="58"/>
  <c r="R7674" i="58"/>
  <c r="R5958" i="58"/>
  <c r="Q5957" i="58"/>
  <c r="R5090" i="58"/>
  <c r="Q5089" i="58"/>
  <c r="R4480" i="58"/>
  <c r="Q4479" i="58"/>
  <c r="R6141" i="58"/>
  <c r="Q6140" i="58"/>
  <c r="Q5972" i="58"/>
  <c r="R3532" i="58"/>
  <c r="R5190" i="58"/>
  <c r="Q5189" i="58"/>
  <c r="R4388" i="58"/>
  <c r="Q4387" i="58"/>
  <c r="R6442" i="58"/>
  <c r="Q6441" i="58"/>
  <c r="R1212" i="58"/>
  <c r="Q1211" i="58"/>
  <c r="R3563" i="58"/>
  <c r="R3562" i="58"/>
  <c r="R7552" i="58"/>
  <c r="Q7551" i="58"/>
  <c r="R940" i="58"/>
  <c r="Q939" i="58"/>
  <c r="R2838" i="58"/>
  <c r="Q2837" i="58"/>
  <c r="R1956" i="58"/>
  <c r="Q1955" i="58"/>
  <c r="R2777" i="58"/>
  <c r="Q2776" i="58"/>
  <c r="Q3632" i="58"/>
  <c r="R1398" i="58"/>
  <c r="Q1397" i="58"/>
  <c r="R244" i="58"/>
  <c r="R243" i="58"/>
  <c r="R2688" i="58"/>
  <c r="Q2687" i="58"/>
  <c r="R995" i="58"/>
  <c r="Q994" i="58"/>
  <c r="R892" i="58"/>
  <c r="Q891" i="58"/>
  <c r="R1949" i="58"/>
  <c r="Q1948" i="58"/>
  <c r="R3149" i="58"/>
  <c r="R3148" i="58"/>
  <c r="Q1391" i="58"/>
  <c r="R454" i="58"/>
  <c r="R453" i="58"/>
  <c r="R9624" i="58"/>
  <c r="Q9623" i="58"/>
  <c r="R8431" i="58"/>
  <c r="Q8430" i="58"/>
  <c r="R6558" i="58"/>
  <c r="Q6557" i="58"/>
  <c r="R3713" i="58"/>
  <c r="R3712" i="58"/>
  <c r="R3218" i="58"/>
  <c r="R3217" i="58"/>
  <c r="R12941" i="58"/>
  <c r="Q12940" i="58"/>
  <c r="R12511" i="58"/>
  <c r="Q12510" i="58"/>
  <c r="R10921" i="58"/>
  <c r="Q10920" i="58"/>
  <c r="R10382" i="58"/>
  <c r="Q10381" i="58"/>
  <c r="R8706" i="58"/>
  <c r="Q8705" i="58"/>
  <c r="R7995" i="58"/>
  <c r="Q7994" i="58"/>
  <c r="R3318" i="58"/>
  <c r="Q3317" i="58"/>
  <c r="R4494" i="58"/>
  <c r="Q4493" i="58"/>
  <c r="R1464" i="58"/>
  <c r="Q1463" i="58"/>
  <c r="R4601" i="58"/>
  <c r="Q4600" i="58"/>
  <c r="R2952" i="58"/>
  <c r="Q2951" i="58"/>
  <c r="R12431" i="58"/>
  <c r="Q12430" i="58"/>
  <c r="R11758" i="58"/>
  <c r="Q11757" i="58"/>
  <c r="Q11593" i="58"/>
  <c r="R11594" i="58"/>
  <c r="R9586" i="58"/>
  <c r="Q9585" i="58"/>
  <c r="Q10031" i="58"/>
  <c r="R10032" i="58"/>
  <c r="R10428" i="58"/>
  <c r="Q10427" i="58"/>
  <c r="R3654" i="58"/>
  <c r="Q3653" i="58"/>
  <c r="R3657" i="58"/>
  <c r="Q3656" i="58"/>
  <c r="R78" i="58"/>
  <c r="R77" i="58"/>
  <c r="R314" i="58"/>
  <c r="Q313" i="58"/>
  <c r="Q10295" i="58"/>
  <c r="R9914" i="58"/>
  <c r="Q9913" i="58"/>
  <c r="R8318" i="58"/>
  <c r="Q8317" i="58"/>
  <c r="R1874" i="58"/>
  <c r="Q1873" i="58"/>
  <c r="R557" i="58"/>
  <c r="Q556" i="58"/>
  <c r="R2271" i="58"/>
  <c r="Q2270" i="58"/>
  <c r="R1608" i="58"/>
  <c r="Q1607" i="58"/>
  <c r="R11179" i="58"/>
  <c r="Q11178" i="58"/>
  <c r="R6722" i="58"/>
  <c r="Q6721" i="58"/>
  <c r="R6009" i="58"/>
  <c r="Q6008" i="58"/>
  <c r="R5279" i="58"/>
  <c r="Q5278" i="58"/>
  <c r="R5428" i="58"/>
  <c r="Q5427" i="58"/>
  <c r="R5118" i="58"/>
  <c r="Q5117" i="58"/>
  <c r="R3498" i="58"/>
  <c r="Q3497" i="58"/>
  <c r="R3663" i="58"/>
  <c r="Q3662" i="58"/>
  <c r="R1038" i="58"/>
  <c r="Q2968" i="58"/>
  <c r="R2969" i="58"/>
  <c r="R7771" i="58"/>
  <c r="Q7770" i="58"/>
  <c r="R5967" i="58"/>
  <c r="Q5966" i="58"/>
  <c r="R512" i="58"/>
  <c r="Q511" i="58"/>
  <c r="Q11553" i="58"/>
  <c r="R11554" i="58"/>
  <c r="Q10758" i="58"/>
  <c r="R10759" i="58"/>
  <c r="R8647" i="58"/>
  <c r="Q8646" i="58"/>
  <c r="R5362" i="58"/>
  <c r="Q5361" i="58"/>
  <c r="R3689" i="58"/>
  <c r="R3688" i="58"/>
  <c r="R4549" i="58"/>
  <c r="Q4548" i="58"/>
  <c r="R11653" i="58"/>
  <c r="Q11652" i="58"/>
  <c r="R8719" i="58"/>
  <c r="Q8718" i="58"/>
  <c r="Q7226" i="58"/>
  <c r="R699" i="58"/>
  <c r="Q698" i="58"/>
  <c r="R3297" i="58"/>
  <c r="Q3296" i="58"/>
  <c r="R4296" i="58"/>
  <c r="Q4295" i="58"/>
  <c r="Q2729" i="58"/>
  <c r="R3025" i="58"/>
  <c r="Q3024" i="58"/>
  <c r="R2180" i="58"/>
  <c r="Q2179" i="58"/>
  <c r="R827" i="58"/>
  <c r="Q826" i="58"/>
  <c r="R84" i="58"/>
  <c r="R83" i="58"/>
  <c r="Q12778" i="58"/>
  <c r="Q12698" i="58"/>
  <c r="R12496" i="58"/>
  <c r="R12497" i="58"/>
  <c r="Q12585" i="58"/>
  <c r="Q12380" i="58"/>
  <c r="Q11781" i="58"/>
  <c r="R10502" i="58"/>
  <c r="Q10501" i="58"/>
  <c r="Q11952" i="58"/>
  <c r="Q11227" i="58"/>
  <c r="Q10995" i="58"/>
  <c r="R11343" i="58"/>
  <c r="Q11342" i="58"/>
  <c r="R10453" i="58"/>
  <c r="Q10452" i="58"/>
  <c r="Q10159" i="58"/>
  <c r="R10160" i="58"/>
  <c r="Q9826" i="58"/>
  <c r="R9437" i="58"/>
  <c r="Q9436" i="58"/>
  <c r="R8002" i="58"/>
  <c r="Q8001" i="58"/>
  <c r="Q7440" i="58"/>
  <c r="R6661" i="58"/>
  <c r="Q6660" i="58"/>
  <c r="R6933" i="58"/>
  <c r="Q6932" i="58"/>
  <c r="R5242" i="58"/>
  <c r="Q5241" i="58"/>
  <c r="Q6191" i="58"/>
  <c r="R3998" i="58"/>
  <c r="Q3997" i="58"/>
  <c r="R4788" i="58"/>
  <c r="Q4787" i="58"/>
  <c r="Q7197" i="58"/>
  <c r="R4859" i="58"/>
  <c r="Q4858" i="58"/>
  <c r="R3407" i="58"/>
  <c r="R3406" i="58"/>
  <c r="R1969" i="58"/>
  <c r="Q1968" i="58"/>
  <c r="R4090" i="58"/>
  <c r="Q4089" i="58"/>
  <c r="R6588" i="58"/>
  <c r="Q6587" i="58"/>
  <c r="R4323" i="58"/>
  <c r="Q4322" i="58"/>
  <c r="Q6435" i="58"/>
  <c r="R4594" i="58"/>
  <c r="Q4593" i="58"/>
  <c r="R1077" i="58"/>
  <c r="Q1076" i="58"/>
  <c r="Q5335" i="58"/>
  <c r="R5336" i="58"/>
  <c r="R3333" i="58"/>
  <c r="Q3332" i="58"/>
  <c r="R1946" i="58"/>
  <c r="Q1945" i="58"/>
  <c r="R4330" i="58"/>
  <c r="Q4329" i="58"/>
  <c r="R1480" i="58"/>
  <c r="Q7072" i="58"/>
  <c r="Q6361" i="58"/>
  <c r="R593" i="58"/>
  <c r="Q592" i="58"/>
  <c r="R168" i="58"/>
  <c r="R167" i="58"/>
  <c r="R3480" i="58"/>
  <c r="Q3479" i="58"/>
  <c r="R4918" i="58"/>
  <c r="Q4917" i="58"/>
  <c r="R43" i="58"/>
  <c r="Q42" i="58"/>
  <c r="R58" i="58"/>
  <c r="Q57" i="58"/>
  <c r="R263" i="58"/>
  <c r="Q262" i="58"/>
  <c r="R5979" i="58"/>
  <c r="Q5978" i="58"/>
  <c r="R7212" i="58"/>
  <c r="Q7211" i="58"/>
  <c r="R6090" i="58"/>
  <c r="Q6089" i="58"/>
  <c r="R4986" i="58"/>
  <c r="Q4985" i="58"/>
  <c r="R6168" i="58"/>
  <c r="Q6167" i="58"/>
  <c r="R4887" i="58"/>
  <c r="Q4886" i="58"/>
  <c r="R10002" i="58"/>
  <c r="Q10001" i="58"/>
  <c r="Q5475" i="58"/>
  <c r="R5899" i="58"/>
  <c r="Q5898" i="58"/>
  <c r="R1294" i="58"/>
  <c r="Q1293" i="58"/>
  <c r="R646" i="58"/>
  <c r="Q645" i="58"/>
  <c r="R1349" i="58"/>
  <c r="Q1348" i="58"/>
  <c r="R1589" i="58"/>
  <c r="Q1588" i="58"/>
  <c r="Q11359" i="58"/>
  <c r="R10318" i="58"/>
  <c r="Q10317" i="58"/>
  <c r="R5769" i="58"/>
  <c r="Q5768" i="58"/>
  <c r="R6873" i="58"/>
  <c r="Q6872" i="58"/>
  <c r="R12533" i="58"/>
  <c r="Q12532" i="58"/>
  <c r="R11805" i="58"/>
  <c r="Q11804" i="58"/>
  <c r="R10838" i="58"/>
  <c r="Q10837" i="58"/>
  <c r="R9305" i="58"/>
  <c r="Q9304" i="58"/>
  <c r="R8439" i="58"/>
  <c r="Q8438" i="58"/>
  <c r="R629" i="58"/>
  <c r="Q628" i="58"/>
  <c r="R11273" i="58"/>
  <c r="R7009" i="58"/>
  <c r="Q7008" i="58"/>
  <c r="R5451" i="58"/>
  <c r="Q5450" i="58"/>
  <c r="R1343" i="58"/>
  <c r="Q1342" i="58"/>
  <c r="R415" i="58"/>
  <c r="Q414" i="58"/>
  <c r="R2559" i="58"/>
  <c r="Q2558" i="58"/>
  <c r="Q3599" i="58"/>
  <c r="R3600" i="58"/>
  <c r="R12558" i="58"/>
  <c r="Q12557" i="58"/>
  <c r="R11941" i="58"/>
  <c r="Q11940" i="58"/>
  <c r="R7240" i="58"/>
  <c r="Q7239" i="58"/>
  <c r="R5994" i="58"/>
  <c r="Q5993" i="58"/>
  <c r="R7716" i="58"/>
  <c r="Q7715" i="58"/>
  <c r="R4375" i="58"/>
  <c r="Q4374" i="58"/>
  <c r="R2215" i="58"/>
  <c r="Q2214" i="58"/>
  <c r="R2234" i="58"/>
  <c r="Q2233" i="58"/>
  <c r="R2053" i="58"/>
  <c r="Q2052" i="58"/>
  <c r="Q12564" i="58"/>
  <c r="Q11034" i="58"/>
  <c r="R11035" i="58"/>
  <c r="R2541" i="58"/>
  <c r="Q2540" i="58"/>
  <c r="Q12548" i="58"/>
  <c r="R12549" i="58"/>
  <c r="R11574" i="58"/>
  <c r="Q11573" i="58"/>
  <c r="R7731" i="58"/>
  <c r="Q7730" i="58"/>
  <c r="R2934" i="58"/>
  <c r="Q2933" i="58"/>
  <c r="Q11946" i="58"/>
  <c r="R11859" i="58"/>
  <c r="Q11858" i="58"/>
  <c r="R11964" i="58"/>
  <c r="Q11963" i="58"/>
  <c r="R11935" i="58"/>
  <c r="Q11934" i="58"/>
  <c r="Q12261" i="58"/>
  <c r="Q11836" i="58"/>
  <c r="R11333" i="58"/>
  <c r="Q11332" i="58"/>
  <c r="R11624" i="58"/>
  <c r="Q11623" i="58"/>
  <c r="R11042" i="58"/>
  <c r="Q11041" i="58"/>
  <c r="Q10705" i="58"/>
  <c r="Q12804" i="58"/>
  <c r="R9953" i="58"/>
  <c r="Q9952" i="58"/>
  <c r="Q10415" i="58"/>
  <c r="R9555" i="58"/>
  <c r="Q9554" i="58"/>
  <c r="Q9263" i="58"/>
  <c r="Q8986" i="58"/>
  <c r="Q10244" i="58"/>
  <c r="R8732" i="58"/>
  <c r="Q8731" i="58"/>
  <c r="R7920" i="58"/>
  <c r="Q7919" i="58"/>
  <c r="R9506" i="58"/>
  <c r="Q9505" i="58"/>
  <c r="Q6960" i="58"/>
  <c r="R8139" i="58"/>
  <c r="Q8138" i="58"/>
  <c r="R6179" i="58"/>
  <c r="R5198" i="58"/>
  <c r="Q5197" i="58"/>
  <c r="R6692" i="58"/>
  <c r="Q6691" i="58"/>
  <c r="R5729" i="58"/>
  <c r="Q5728" i="58"/>
  <c r="R3386" i="58"/>
  <c r="R3385" i="58"/>
  <c r="Q4242" i="58"/>
  <c r="R126" i="58"/>
  <c r="R125" i="58"/>
  <c r="R3519" i="58"/>
  <c r="Q3518" i="58"/>
  <c r="Q3749" i="58"/>
  <c r="R3750" i="58"/>
  <c r="R30" i="58"/>
  <c r="R29" i="58"/>
  <c r="R4318" i="58"/>
  <c r="Q4317" i="58"/>
  <c r="Q1324" i="58"/>
  <c r="R2396" i="58"/>
  <c r="Q2395" i="58"/>
  <c r="R1679" i="58"/>
  <c r="Q1678" i="58"/>
  <c r="R2239" i="58"/>
  <c r="Q2238" i="58"/>
  <c r="R3470" i="58"/>
  <c r="R3469" i="58"/>
  <c r="R238" i="58"/>
  <c r="R237" i="58"/>
  <c r="R833" i="58"/>
  <c r="Q832" i="58"/>
  <c r="Q373" i="58"/>
  <c r="R374" i="58"/>
  <c r="Q1149" i="58"/>
  <c r="R12" i="58"/>
  <c r="R11" i="58"/>
  <c r="R11794" i="58"/>
  <c r="Q11793" i="58"/>
  <c r="R11660" i="58"/>
  <c r="Q11659" i="58"/>
  <c r="R10072" i="58"/>
  <c r="Q10071" i="58"/>
  <c r="R11488" i="58"/>
  <c r="Q11487" i="58"/>
  <c r="Q11066" i="58"/>
  <c r="R11067" i="58"/>
  <c r="R10119" i="58"/>
  <c r="Q10118" i="58"/>
  <c r="Q11413" i="58"/>
  <c r="Q9133" i="58"/>
  <c r="R8125" i="58"/>
  <c r="Q8124" i="58"/>
  <c r="R7478" i="58"/>
  <c r="Q9292" i="58"/>
  <c r="R8060" i="58"/>
  <c r="Q8059" i="58"/>
  <c r="R8258" i="58"/>
  <c r="Q8257" i="58"/>
  <c r="R6322" i="58"/>
  <c r="Q6321" i="58"/>
  <c r="Q5152" i="58"/>
  <c r="R6064" i="58"/>
  <c r="Q6063" i="58"/>
  <c r="R7381" i="58"/>
  <c r="Q7380" i="58"/>
  <c r="R4994" i="58"/>
  <c r="Q4993" i="58"/>
  <c r="Q5568" i="58"/>
  <c r="R3522" i="58"/>
  <c r="Q3521" i="58"/>
  <c r="Q5217" i="58"/>
  <c r="R4556" i="58"/>
  <c r="Q4555" i="58"/>
  <c r="Q7184" i="58"/>
  <c r="Q5138" i="58"/>
  <c r="Q6490" i="58"/>
  <c r="Q5207" i="58"/>
  <c r="Q4768" i="58"/>
  <c r="R4431" i="58"/>
  <c r="Q4430" i="58"/>
  <c r="R3360" i="58"/>
  <c r="Q3359" i="58"/>
  <c r="R4565" i="58"/>
  <c r="Q4564" i="58"/>
  <c r="R3259" i="58"/>
  <c r="Q4483" i="58"/>
  <c r="R2977" i="58"/>
  <c r="Q2976" i="58"/>
  <c r="R666" i="58"/>
  <c r="Q665" i="58"/>
  <c r="R3404" i="58"/>
  <c r="R3403" i="58"/>
  <c r="Q4654" i="58"/>
  <c r="Q3188" i="58"/>
  <c r="R2631" i="58"/>
  <c r="Q2630" i="58"/>
  <c r="Q6646" i="58"/>
  <c r="R1403" i="58"/>
  <c r="Q1402" i="58"/>
  <c r="R3253" i="58"/>
  <c r="R500" i="58"/>
  <c r="Q499" i="58"/>
  <c r="R536" i="58"/>
  <c r="Q535" i="58"/>
  <c r="R3372" i="58"/>
  <c r="Q3371" i="58"/>
  <c r="Q2360" i="58"/>
  <c r="Q3173" i="58"/>
  <c r="R474" i="58"/>
  <c r="R1114" i="58"/>
  <c r="Q1113" i="58"/>
  <c r="R1263" i="58"/>
  <c r="Q1262" i="58"/>
  <c r="Q4245" i="58"/>
  <c r="Q2872" i="58"/>
  <c r="Q11056" i="58"/>
  <c r="R11057" i="58"/>
  <c r="Q10871" i="58"/>
  <c r="R10872" i="58"/>
  <c r="Q9314" i="58"/>
  <c r="R8949" i="58"/>
  <c r="Q8948" i="58"/>
  <c r="Q9688" i="58"/>
  <c r="Q6752" i="58"/>
  <c r="Q6269" i="58"/>
  <c r="R7436" i="58"/>
  <c r="Q7435" i="58"/>
  <c r="Q6463" i="58"/>
  <c r="Q6483" i="58"/>
  <c r="Q4620" i="58"/>
  <c r="Q6945" i="58"/>
  <c r="Q4806" i="58"/>
  <c r="R4807" i="58"/>
  <c r="Q5651" i="58"/>
  <c r="R3210" i="58"/>
  <c r="Q3209" i="58"/>
  <c r="R729" i="58"/>
  <c r="Q728" i="58"/>
  <c r="Q3215" i="58"/>
  <c r="R3127" i="58"/>
  <c r="Q3126" i="58"/>
  <c r="R2498" i="58"/>
  <c r="Q2497" i="58"/>
  <c r="R3893" i="58"/>
  <c r="Q3892" i="58"/>
  <c r="Q2856" i="58"/>
  <c r="R2857" i="58"/>
  <c r="R1366" i="58"/>
  <c r="Q5468" i="58"/>
  <c r="R2090" i="58"/>
  <c r="Q2089" i="58"/>
  <c r="R1184" i="58"/>
  <c r="R1183" i="58"/>
  <c r="R490" i="58"/>
  <c r="R489" i="58"/>
  <c r="R1510" i="58"/>
  <c r="Q1509" i="58"/>
  <c r="R3180" i="58"/>
  <c r="Q3179" i="58"/>
  <c r="R3313" i="58"/>
  <c r="R3314" i="58"/>
  <c r="R1362" i="58"/>
  <c r="Q1361" i="58"/>
  <c r="R442" i="58"/>
  <c r="R441" i="58"/>
  <c r="Q764" i="58"/>
  <c r="R765" i="58"/>
  <c r="R580" i="58"/>
  <c r="Q579" i="58"/>
  <c r="R87" i="58"/>
  <c r="R86" i="58"/>
  <c r="R4119" i="58"/>
  <c r="Q4118" i="58"/>
  <c r="R1121" i="58"/>
  <c r="Q1120" i="58"/>
  <c r="Q608" i="58"/>
  <c r="R609" i="58"/>
  <c r="R12035" i="58"/>
  <c r="Q12034" i="58"/>
  <c r="Q10694" i="58"/>
  <c r="Q10441" i="58"/>
  <c r="R10442" i="58"/>
  <c r="Q11494" i="58"/>
  <c r="R10798" i="58"/>
  <c r="Q10797" i="58"/>
  <c r="R9725" i="58"/>
  <c r="Q9724" i="58"/>
  <c r="R10982" i="58"/>
  <c r="Q10981" i="58"/>
  <c r="R9875" i="58"/>
  <c r="Q9874" i="58"/>
  <c r="Q9636" i="58"/>
  <c r="Q10208" i="58"/>
  <c r="R9884" i="58"/>
  <c r="Q9883" i="58"/>
  <c r="Q9745" i="58"/>
  <c r="Q9404" i="58"/>
  <c r="R5181" i="58"/>
  <c r="Q5180" i="58"/>
  <c r="R6738" i="58"/>
  <c r="Q6737" i="58"/>
  <c r="R6077" i="58"/>
  <c r="Q6076" i="58"/>
  <c r="R5254" i="58"/>
  <c r="Q5253" i="58"/>
  <c r="Q5169" i="58"/>
  <c r="R3856" i="58"/>
  <c r="Q3855" i="58"/>
  <c r="R4445" i="58"/>
  <c r="Q4444" i="58"/>
  <c r="Q7155" i="58"/>
  <c r="Q5858" i="58"/>
  <c r="Q7876" i="58"/>
  <c r="Q5001" i="58"/>
  <c r="R5002" i="58"/>
  <c r="R4574" i="58"/>
  <c r="Q4573" i="58"/>
  <c r="R3204" i="58"/>
  <c r="Q3203" i="58"/>
  <c r="R2596" i="58"/>
  <c r="Q2595" i="58"/>
  <c r="R1163" i="58"/>
  <c r="Q1162" i="58"/>
  <c r="R3920" i="58"/>
  <c r="Q3919" i="58"/>
  <c r="R3339" i="58"/>
  <c r="Q3338" i="58"/>
  <c r="Q4862" i="58"/>
  <c r="R712" i="58"/>
  <c r="Q711" i="58"/>
  <c r="R1153" i="58"/>
  <c r="R1152" i="58"/>
  <c r="Q2353" i="58"/>
  <c r="Q3141" i="58"/>
  <c r="R3142" i="58"/>
  <c r="R3170" i="58"/>
  <c r="R3169" i="58"/>
  <c r="R951" i="58"/>
  <c r="Q950" i="58"/>
  <c r="R8896" i="58"/>
  <c r="Q8895" i="58"/>
  <c r="R202" i="58"/>
  <c r="R1794" i="58"/>
  <c r="Q1793" i="58"/>
  <c r="R929" i="58"/>
  <c r="Q928" i="58"/>
  <c r="R1837" i="58"/>
  <c r="Q1836" i="58"/>
  <c r="R911" i="58"/>
  <c r="Q910" i="58"/>
  <c r="Q1831" i="58"/>
  <c r="R1487" i="58"/>
  <c r="Q1486" i="58"/>
  <c r="R3341" i="58"/>
  <c r="R3340" i="58"/>
  <c r="Q1455" i="58"/>
  <c r="R1456" i="58"/>
  <c r="Q4719" i="58"/>
  <c r="R509" i="58"/>
  <c r="Q508" i="58"/>
  <c r="R408" i="58"/>
  <c r="Q407" i="58"/>
  <c r="R4131" i="58"/>
  <c r="Q4130" i="58"/>
  <c r="Q1801" i="58"/>
  <c r="R1579" i="58"/>
  <c r="Q1578" i="58"/>
  <c r="Q8354" i="58"/>
  <c r="R8355" i="58"/>
  <c r="Q3929" i="58"/>
  <c r="Q1902" i="58"/>
  <c r="R1903" i="58"/>
  <c r="Q1191" i="58"/>
  <c r="R1192" i="58"/>
  <c r="Q198" i="58"/>
  <c r="Q11956" i="58"/>
  <c r="R11957" i="58"/>
  <c r="R11504" i="58"/>
  <c r="Q11503" i="58"/>
  <c r="R11217" i="58"/>
  <c r="Q11216" i="58"/>
  <c r="Q10636" i="58"/>
  <c r="R10637" i="58"/>
  <c r="R9125" i="58"/>
  <c r="Q9124" i="58"/>
  <c r="Q11534" i="58"/>
  <c r="R8245" i="58"/>
  <c r="Q8244" i="58"/>
  <c r="Q9455" i="58"/>
  <c r="R8407" i="58"/>
  <c r="R8406" i="58"/>
  <c r="Q8857" i="58"/>
  <c r="R8858" i="58"/>
  <c r="Q8044" i="58"/>
  <c r="Q9214" i="58"/>
  <c r="R9215" i="58"/>
  <c r="Q7142" i="58"/>
  <c r="Q9222" i="58"/>
  <c r="Q5665" i="58"/>
  <c r="Q5490" i="58"/>
  <c r="R6016" i="58"/>
  <c r="Q6015" i="58"/>
  <c r="Q5145" i="58"/>
  <c r="R7275" i="58"/>
  <c r="Q7274" i="58"/>
  <c r="R4249" i="58"/>
  <c r="Q4248" i="58"/>
  <c r="Q5835" i="58"/>
  <c r="R4367" i="58"/>
  <c r="Q4366" i="58"/>
  <c r="R4204" i="58"/>
  <c r="Q4203" i="58"/>
  <c r="R3903" i="58"/>
  <c r="Q3902" i="58"/>
  <c r="R3351" i="58"/>
  <c r="Q3350" i="58"/>
  <c r="Q4070" i="58"/>
  <c r="R3098" i="58"/>
  <c r="Q3097" i="58"/>
  <c r="Q2485" i="58"/>
  <c r="R2486" i="58"/>
  <c r="R4125" i="58"/>
  <c r="Q4124" i="58"/>
  <c r="R3400" i="58"/>
  <c r="R788" i="58"/>
  <c r="Q787" i="58"/>
  <c r="R2066" i="58"/>
  <c r="Q2065" i="58"/>
  <c r="R4452" i="58"/>
  <c r="Q4451" i="58"/>
  <c r="Q1311" i="58"/>
  <c r="R461" i="58"/>
  <c r="Q460" i="58"/>
  <c r="R153" i="58"/>
  <c r="R152" i="58"/>
  <c r="Q3200" i="58"/>
  <c r="Q1559" i="58"/>
  <c r="R803" i="58"/>
  <c r="Q802" i="58"/>
  <c r="Q1807" i="58"/>
  <c r="R2454" i="58"/>
  <c r="Q2453" i="58"/>
  <c r="R1819" i="58"/>
  <c r="Q1818" i="58"/>
  <c r="Q795" i="58"/>
  <c r="R163" i="58"/>
  <c r="Q162" i="58"/>
  <c r="Q5051" i="58"/>
  <c r="Q11686" i="58"/>
  <c r="R11687" i="58"/>
  <c r="Q11167" i="58"/>
  <c r="R11168" i="58"/>
  <c r="Q10968" i="58"/>
  <c r="R12654" i="58"/>
  <c r="Q12653" i="58"/>
  <c r="R9424" i="58"/>
  <c r="Q9423" i="58"/>
  <c r="Q11811" i="58"/>
  <c r="R9466" i="58"/>
  <c r="Q9465" i="58"/>
  <c r="R9475" i="58"/>
  <c r="Q9474" i="58"/>
  <c r="Q8036" i="58"/>
  <c r="Q8349" i="58"/>
  <c r="R5384" i="58"/>
  <c r="R6513" i="58"/>
  <c r="Q6512" i="58"/>
  <c r="Q7642" i="58"/>
  <c r="R5551" i="58"/>
  <c r="Q5550" i="58"/>
  <c r="Q5887" i="58"/>
  <c r="R3981" i="58"/>
  <c r="Q3980" i="58"/>
  <c r="R2517" i="58"/>
  <c r="Q2516" i="58"/>
  <c r="Q3347" i="58"/>
  <c r="Q4904" i="58"/>
  <c r="R4711" i="58"/>
  <c r="Q4710" i="58"/>
  <c r="R3546" i="58"/>
  <c r="Q3545" i="58"/>
  <c r="Q5131" i="58"/>
  <c r="R273" i="58"/>
  <c r="Q272" i="58"/>
  <c r="R1868" i="58"/>
  <c r="Q1867" i="58"/>
  <c r="Q5111" i="58"/>
  <c r="R2444" i="58"/>
  <c r="Q2443" i="58"/>
  <c r="R1789" i="58"/>
  <c r="Q1788" i="58"/>
  <c r="R448" i="58"/>
  <c r="R447" i="58"/>
  <c r="R5101" i="58"/>
  <c r="R5102" i="58"/>
  <c r="R1072" i="58"/>
  <c r="Q1071" i="58"/>
  <c r="R1777" i="58"/>
  <c r="Q1776" i="58"/>
  <c r="R3507" i="58"/>
  <c r="Q3506" i="58"/>
  <c r="R1668" i="58"/>
  <c r="Q1667" i="58"/>
  <c r="Q5097" i="58"/>
  <c r="Q4401" i="58"/>
  <c r="R4402" i="58"/>
  <c r="Q2076" i="58"/>
  <c r="R2077" i="58"/>
  <c r="R658" i="58"/>
  <c r="Q657" i="58"/>
  <c r="R16" i="58"/>
  <c r="Q15" i="58"/>
  <c r="Q11381" i="58"/>
  <c r="R11382" i="58"/>
  <c r="R12104" i="58"/>
  <c r="Q12103" i="58"/>
  <c r="Q11119" i="58"/>
  <c r="R11120" i="58"/>
  <c r="R10307" i="58"/>
  <c r="Q10306" i="58"/>
  <c r="R11077" i="58"/>
  <c r="Q11076" i="58"/>
  <c r="Q9903" i="58"/>
  <c r="Q9838" i="58"/>
  <c r="R8170" i="58"/>
  <c r="Q8169" i="58"/>
  <c r="Q9394" i="58"/>
  <c r="R7350" i="58"/>
  <c r="Q7349" i="58"/>
  <c r="Q10540" i="58"/>
  <c r="R8341" i="58"/>
  <c r="R7115" i="58"/>
  <c r="Q7114" i="58"/>
  <c r="Q8961" i="58"/>
  <c r="Q9565" i="58"/>
  <c r="R9566" i="58"/>
  <c r="Q9092" i="58"/>
  <c r="Q5706" i="58"/>
  <c r="Q4834" i="58"/>
  <c r="Q8329" i="58"/>
  <c r="R3115" i="58"/>
  <c r="Q3114" i="58"/>
  <c r="R3483" i="58"/>
  <c r="Q3482" i="58"/>
  <c r="Q2928" i="58"/>
  <c r="R4149" i="58"/>
  <c r="Q4148" i="58"/>
  <c r="R3043" i="58"/>
  <c r="Q3042" i="58"/>
  <c r="R1517" i="58"/>
  <c r="Q1516" i="58"/>
  <c r="R1434" i="58"/>
  <c r="Q1433" i="58"/>
  <c r="R117" i="58"/>
  <c r="R116" i="58"/>
  <c r="R4042" i="58"/>
  <c r="Q4041" i="58"/>
  <c r="R2438" i="58"/>
  <c r="Q2437" i="58"/>
  <c r="R531" i="58"/>
  <c r="Q530" i="58"/>
  <c r="Q2342" i="58"/>
  <c r="Q4173" i="58"/>
  <c r="R1416" i="58"/>
  <c r="Q1415" i="58"/>
  <c r="R3222" i="58"/>
  <c r="Q3221" i="58"/>
  <c r="R1144" i="58"/>
  <c r="Q1143" i="58"/>
  <c r="R3912" i="58"/>
  <c r="Q3911" i="58"/>
  <c r="R1029" i="58"/>
  <c r="Q1028" i="58"/>
  <c r="Q6782" i="58"/>
  <c r="R52" i="58"/>
  <c r="Q51" i="58"/>
  <c r="R2818" i="58"/>
  <c r="Q2817" i="58"/>
  <c r="Q3398" i="58"/>
  <c r="R4185" i="58"/>
  <c r="Q4184" i="58"/>
  <c r="Q1644" i="58"/>
  <c r="Q4378" i="58"/>
  <c r="R1217" i="58"/>
  <c r="Q1216" i="58"/>
  <c r="R856" i="58"/>
  <c r="Q855" i="58"/>
  <c r="R177" i="58"/>
  <c r="Q176" i="58"/>
  <c r="Q4100" i="58"/>
  <c r="Q541" i="58"/>
  <c r="R53" i="58"/>
  <c r="Q11424" i="58"/>
  <c r="Q11106" i="58"/>
  <c r="R12355" i="58"/>
  <c r="Q12354" i="58"/>
  <c r="Q10944" i="58"/>
  <c r="Q10488" i="58"/>
  <c r="Q9922" i="58"/>
  <c r="R9923" i="58"/>
  <c r="Q10190" i="58"/>
  <c r="Q10329" i="58"/>
  <c r="R10330" i="58"/>
  <c r="R9576" i="58"/>
  <c r="Q9575" i="58"/>
  <c r="Q9764" i="58"/>
  <c r="Q11283" i="58"/>
  <c r="R11284" i="58"/>
  <c r="Q8322" i="58"/>
  <c r="Q7492" i="58"/>
  <c r="R8024" i="58"/>
  <c r="Q8023" i="58"/>
  <c r="Q9274" i="58"/>
  <c r="R5115" i="58"/>
  <c r="Q5114" i="58"/>
  <c r="R4222" i="58"/>
  <c r="Q4221" i="58"/>
  <c r="R5371" i="58"/>
  <c r="Q5370" i="58"/>
  <c r="Q5606" i="58"/>
  <c r="Q4972" i="58"/>
  <c r="R4973" i="58"/>
  <c r="Q4825" i="58"/>
  <c r="R4868" i="58"/>
  <c r="Q4867" i="58"/>
  <c r="R4895" i="58"/>
  <c r="Q4894" i="58"/>
  <c r="Q3102" i="58"/>
  <c r="R8051" i="58"/>
  <c r="Q8050" i="58"/>
  <c r="R2741" i="58"/>
  <c r="Q2740" i="58"/>
  <c r="R5023" i="58"/>
  <c r="Q5022" i="58"/>
  <c r="R400" i="58"/>
  <c r="Q399" i="58"/>
  <c r="Q6825" i="58"/>
  <c r="R6826" i="58"/>
  <c r="R1974" i="58"/>
  <c r="Q1973" i="58"/>
  <c r="R1986" i="58"/>
  <c r="Q1985" i="58"/>
  <c r="Q5763" i="58"/>
  <c r="Q469" i="58"/>
  <c r="R4262" i="58"/>
  <c r="Q4261" i="58"/>
  <c r="R1139" i="58"/>
  <c r="Q1138" i="58"/>
  <c r="R634" i="58"/>
  <c r="Q633" i="58"/>
  <c r="R921" i="58"/>
  <c r="Q920" i="58"/>
  <c r="R1181" i="58"/>
  <c r="Q1180" i="58"/>
  <c r="R4005" i="58"/>
  <c r="Q4004" i="58"/>
  <c r="Q1746" i="58"/>
  <c r="R1747" i="58"/>
  <c r="R1633" i="58"/>
  <c r="Q1632" i="58"/>
  <c r="Q4959" i="58"/>
  <c r="Q4816" i="58"/>
  <c r="R4817" i="58"/>
  <c r="Q3936" i="58"/>
  <c r="R3937" i="58"/>
  <c r="R3557" i="58"/>
  <c r="R3556" i="58"/>
  <c r="R3282" i="58"/>
  <c r="Q3281" i="58"/>
  <c r="R4255" i="58"/>
  <c r="Q4254" i="58"/>
  <c r="R1270" i="58"/>
  <c r="Q1269" i="58"/>
  <c r="R3718" i="58"/>
  <c r="R599" i="58"/>
  <c r="Q598" i="58"/>
  <c r="Q4929" i="58"/>
  <c r="R1096" i="58"/>
  <c r="Q1095" i="58"/>
  <c r="R7702" i="58"/>
  <c r="Q7701" i="58"/>
  <c r="R2963" i="58"/>
  <c r="Q2962" i="58"/>
  <c r="R2329" i="58"/>
  <c r="Q2328" i="58"/>
  <c r="Q1758" i="58"/>
  <c r="R1759" i="58"/>
  <c r="R1088" i="58"/>
  <c r="Q1087" i="58"/>
  <c r="R1236" i="58"/>
  <c r="Q1235" i="58"/>
  <c r="Q2886" i="58"/>
  <c r="R3428" i="58"/>
  <c r="R3427" i="58"/>
  <c r="Q3000" i="58"/>
  <c r="R3001" i="58"/>
  <c r="R2800" i="58"/>
  <c r="Q2799" i="58"/>
  <c r="R3391" i="58"/>
  <c r="R1597" i="58"/>
  <c r="Q1596" i="58"/>
  <c r="Q451" i="58"/>
  <c r="Q969" i="58"/>
  <c r="R970" i="58"/>
  <c r="R3551" i="58"/>
  <c r="R3550" i="58"/>
  <c r="Q1783" i="58"/>
  <c r="R1784" i="58"/>
  <c r="R869" i="58"/>
  <c r="Q868" i="58"/>
  <c r="Q4208" i="58"/>
  <c r="R4209" i="58"/>
  <c r="R2040" i="58"/>
  <c r="Q2039" i="58"/>
  <c r="R2138" i="58"/>
  <c r="Q2137" i="58"/>
  <c r="Q3368" i="58"/>
  <c r="Q1720" i="58"/>
  <c r="Q283" i="58"/>
  <c r="Q3830" i="58"/>
  <c r="R3831" i="58"/>
  <c r="R122" i="58"/>
  <c r="R3192" i="58"/>
  <c r="Q3191" i="58"/>
  <c r="R3177" i="58"/>
  <c r="Q3176" i="58"/>
  <c r="Q4164" i="58"/>
  <c r="R4165" i="58"/>
  <c r="Q2795" i="58"/>
  <c r="R617" i="58"/>
  <c r="Q616" i="58"/>
  <c r="R4162" i="58"/>
  <c r="Q4161" i="58"/>
  <c r="R2880" i="58"/>
  <c r="Q2879" i="58"/>
  <c r="Q3955" i="58"/>
  <c r="Q2564" i="58"/>
  <c r="R5796" i="58"/>
  <c r="Q5795" i="58"/>
  <c r="Q3362" i="58"/>
  <c r="R2790" i="58"/>
  <c r="Q2789" i="58"/>
  <c r="Q2035" i="58"/>
  <c r="R1175" i="58"/>
  <c r="Q1174" i="58"/>
  <c r="R3238" i="58"/>
  <c r="Q1564" i="58"/>
  <c r="R3964" i="58"/>
  <c r="Q3963" i="58"/>
  <c r="Q2528" i="58"/>
  <c r="Q2862" i="58"/>
  <c r="Q391" i="58"/>
  <c r="R392" i="58"/>
  <c r="Q2705" i="58"/>
  <c r="Q1492" i="58"/>
  <c r="Q4137" i="58"/>
  <c r="Q295" i="58"/>
  <c r="Q96" i="58"/>
  <c r="Q4611" i="58"/>
  <c r="R4612" i="58"/>
  <c r="Q2161" i="58"/>
  <c r="Q1258" i="58"/>
  <c r="R1259" i="58"/>
  <c r="R1847" i="58"/>
  <c r="Q1846" i="58"/>
  <c r="R4434" i="58"/>
  <c r="Q4433" i="58"/>
  <c r="R3166" i="58"/>
  <c r="R3167" i="58"/>
  <c r="R4084" i="58"/>
  <c r="Q4083" i="58"/>
  <c r="R3418" i="58"/>
  <c r="Q2734" i="58"/>
  <c r="R784" i="58"/>
  <c r="Q783" i="58"/>
  <c r="R5260" i="58"/>
  <c r="Q5259" i="58"/>
  <c r="Q1926" i="58"/>
  <c r="R1927" i="58"/>
  <c r="Q2222" i="58"/>
  <c r="Q6284" i="58"/>
  <c r="R6285" i="58"/>
  <c r="R382" i="58"/>
  <c r="Q381" i="58"/>
  <c r="Q3356" i="58"/>
  <c r="R3700" i="58"/>
  <c r="R1621" i="58"/>
  <c r="Q1620" i="58"/>
  <c r="Q472" i="58"/>
  <c r="Q1824" i="58"/>
  <c r="R2023" i="58"/>
  <c r="Q2022" i="58"/>
  <c r="Q4107" i="58"/>
  <c r="R4108" i="58"/>
  <c r="Q1913" i="58"/>
  <c r="Q484" i="58"/>
  <c r="R485" i="58"/>
  <c r="Q848" i="58"/>
  <c r="R90" i="58"/>
  <c r="R89" i="58"/>
  <c r="Q4844" i="58"/>
  <c r="Q2365" i="58"/>
  <c r="Q962" i="58"/>
  <c r="Q3635" i="58"/>
  <c r="Q4701" i="58"/>
  <c r="R4702" i="58"/>
  <c r="Q1223" i="58"/>
  <c r="Q2107" i="58"/>
  <c r="Q1238" i="58"/>
  <c r="R3988" i="58"/>
  <c r="Q3987" i="58"/>
  <c r="R2614" i="58"/>
  <c r="Q2613" i="58"/>
  <c r="Q3133" i="58"/>
  <c r="Q4628" i="58"/>
  <c r="R4629" i="58"/>
  <c r="Q4064" i="58"/>
  <c r="Q4464" i="58"/>
  <c r="R4465" i="58"/>
  <c r="Q2715" i="58"/>
  <c r="R3875" i="58"/>
  <c r="Q3874" i="58"/>
  <c r="Q3581" i="58"/>
  <c r="R3582" i="58"/>
  <c r="R3666" i="58"/>
  <c r="Q3665" i="58"/>
  <c r="R3152" i="58"/>
  <c r="R3151" i="58"/>
  <c r="Q2286" i="58"/>
  <c r="R3649" i="58"/>
  <c r="Q2813" i="58"/>
  <c r="R367" i="58"/>
  <c r="Q366" i="58"/>
  <c r="R151" i="58"/>
  <c r="Q150" i="58"/>
  <c r="R2012" i="58"/>
  <c r="Q2011" i="58"/>
  <c r="Q976" i="58"/>
  <c r="R944" i="58"/>
  <c r="Q943" i="58"/>
  <c r="R225" i="58"/>
  <c r="Q3946" i="58"/>
  <c r="Q305" i="58"/>
  <c r="Q1012" i="58"/>
  <c r="Q3121" i="58"/>
  <c r="Q1058" i="58"/>
  <c r="R138" i="58"/>
  <c r="R137" i="58"/>
  <c r="Q2898" i="58"/>
  <c r="Q1841" i="58"/>
  <c r="R1842" i="58"/>
  <c r="R2984" i="58"/>
  <c r="Q2983" i="58"/>
  <c r="Q1529" i="58"/>
  <c r="R4515" i="58"/>
  <c r="Q4514" i="58"/>
  <c r="Q4016" i="58"/>
  <c r="R4682" i="58"/>
  <c r="Q4681" i="58"/>
  <c r="Q2617" i="58"/>
  <c r="R2618" i="58"/>
  <c r="Q2190" i="58"/>
  <c r="Q1199" i="58"/>
  <c r="R3625" i="58"/>
  <c r="Q2004" i="58"/>
  <c r="R2005" i="58"/>
  <c r="Q2093" i="58"/>
  <c r="R2094" i="58"/>
  <c r="Q1614" i="58"/>
  <c r="Q1771" i="58"/>
  <c r="R1772" i="58"/>
  <c r="Q1626" i="58"/>
  <c r="Q4747" i="58"/>
  <c r="Q988" i="58"/>
  <c r="Q2843" i="58"/>
  <c r="Q1686" i="58"/>
  <c r="Q982" i="58"/>
  <c r="Q141" i="58"/>
  <c r="R3613" i="58"/>
  <c r="R3614" i="58"/>
  <c r="Q674" i="58"/>
  <c r="R3513" i="58"/>
  <c r="Q3512" i="58"/>
  <c r="Q3084" i="58"/>
  <c r="R100" i="58"/>
  <c r="Q99" i="58"/>
  <c r="Q5656" i="58"/>
  <c r="Q4345" i="58"/>
  <c r="R4346" i="58"/>
  <c r="Q1600" i="58"/>
  <c r="R65" i="58"/>
  <c r="Q932" i="58"/>
  <c r="Q722" i="58"/>
  <c r="Q258" i="58"/>
  <c r="Q689" i="58"/>
  <c r="Q4637" i="58"/>
  <c r="R4638" i="58"/>
  <c r="R4250" i="58"/>
  <c r="Q333" i="58"/>
  <c r="Q880" i="58"/>
  <c r="R20" i="58"/>
  <c r="R6981" i="58"/>
  <c r="Q6980" i="58"/>
  <c r="R4409" i="58"/>
  <c r="Q4408" i="58"/>
  <c r="R3490" i="58"/>
  <c r="R518" i="58"/>
  <c r="Q517" i="58"/>
  <c r="Q2656" i="58"/>
  <c r="Q1931" i="58"/>
  <c r="R3706" i="58"/>
  <c r="R1994" i="58"/>
  <c r="Q1993" i="58"/>
  <c r="Q4047" i="58"/>
  <c r="R49" i="58"/>
  <c r="Q48" i="58"/>
  <c r="Q4416" i="58"/>
  <c r="R3466" i="58"/>
  <c r="R3467" i="58"/>
  <c r="Q1018" i="58"/>
  <c r="Q572" i="58"/>
  <c r="R573" i="58"/>
  <c r="Q2294" i="58"/>
  <c r="Q1005" i="58"/>
  <c r="Q2449" i="58"/>
  <c r="Q318" i="58"/>
  <c r="R2770" i="58"/>
  <c r="Q2769" i="58"/>
  <c r="R3648" i="58"/>
  <c r="Q3647" i="58"/>
  <c r="Q156" i="58"/>
  <c r="R157" i="58"/>
  <c r="Q2046" i="58"/>
  <c r="R3068" i="58"/>
  <c r="Q3067" i="58"/>
  <c r="Q3686" i="58"/>
  <c r="R3687" i="58"/>
  <c r="Q1690" i="58"/>
  <c r="Q3290" i="58"/>
  <c r="R3291" i="58"/>
  <c r="Q808" i="58"/>
  <c r="Q1474" i="58"/>
  <c r="Q2303" i="58"/>
  <c r="Q998" i="58"/>
  <c r="Q3197" i="58"/>
  <c r="Q351" i="58"/>
  <c r="Q957" i="58"/>
  <c r="R958" i="58"/>
  <c r="R110" i="58"/>
  <c r="R7387" i="58"/>
  <c r="Q7386" i="58"/>
  <c r="Q327" i="58"/>
  <c r="Q1763" i="58"/>
  <c r="Q1064" i="58"/>
  <c r="I7" i="57"/>
  <c r="E8" i="59" s="1"/>
  <c r="E7" i="59" s="1"/>
  <c r="E6" i="59" s="1"/>
  <c r="Q8456" i="58" l="1"/>
  <c r="Q8412" i="58"/>
  <c r="R8412" i="58" s="1"/>
  <c r="R8610" i="58"/>
  <c r="Q8609" i="58"/>
  <c r="R12199" i="58"/>
  <c r="Q12198" i="58"/>
  <c r="R1698" i="58"/>
  <c r="Q1697" i="58"/>
  <c r="Q1649" i="58"/>
  <c r="R1650" i="58"/>
  <c r="R12339" i="58"/>
  <c r="Q12338" i="58"/>
  <c r="R1999" i="58"/>
  <c r="Q1998" i="58"/>
  <c r="R1469" i="58"/>
  <c r="Q1468" i="58"/>
  <c r="R4840" i="58"/>
  <c r="Q4839" i="58"/>
  <c r="R3194" i="58"/>
  <c r="R3193" i="58"/>
  <c r="R5747" i="58"/>
  <c r="Q5746" i="58"/>
  <c r="R5297" i="58"/>
  <c r="Q5296" i="58"/>
  <c r="R496" i="58"/>
  <c r="R495" i="58"/>
  <c r="R11908" i="58"/>
  <c r="Q11907" i="58"/>
  <c r="R5034" i="58"/>
  <c r="Q5033" i="58"/>
  <c r="R3268" i="58"/>
  <c r="R2461" i="58"/>
  <c r="Q2460" i="58"/>
  <c r="R5420" i="58"/>
  <c r="Q5419" i="58"/>
  <c r="R844" i="58"/>
  <c r="Q843" i="58"/>
  <c r="Q2375" i="58"/>
  <c r="R2376" i="58"/>
  <c r="Q1890" i="58"/>
  <c r="R1891" i="58"/>
  <c r="R4283" i="58"/>
  <c r="Q4282" i="58"/>
  <c r="R12797" i="58"/>
  <c r="Q12796" i="58"/>
  <c r="R5782" i="58"/>
  <c r="Q5781" i="58"/>
  <c r="R439" i="58"/>
  <c r="R438" i="58"/>
  <c r="R11478" i="58"/>
  <c r="Q11477" i="58"/>
  <c r="R2711" i="58"/>
  <c r="Q2710" i="58"/>
  <c r="R1909" i="58"/>
  <c r="Q1908" i="58"/>
  <c r="Q1545" i="58"/>
  <c r="R4755" i="58"/>
  <c r="R105" i="58"/>
  <c r="R342" i="58"/>
  <c r="R5508" i="58"/>
  <c r="Q5507" i="58"/>
  <c r="R2425" i="58"/>
  <c r="Q4358" i="58"/>
  <c r="Q4357" i="58" s="1"/>
  <c r="Q5442" i="58"/>
  <c r="Q5441" i="58" s="1"/>
  <c r="Q10351" i="58"/>
  <c r="R10351" i="58" s="1"/>
  <c r="Q2757" i="58"/>
  <c r="Q2756" i="58" s="1"/>
  <c r="Q1023" i="58"/>
  <c r="R1023" i="58" s="1"/>
  <c r="Q7001" i="58"/>
  <c r="Q7000" i="58" s="1"/>
  <c r="R2522" i="58"/>
  <c r="R231" i="58"/>
  <c r="Q5306" i="58"/>
  <c r="Q12877" i="58"/>
  <c r="Q1854" i="58"/>
  <c r="Q1299" i="58"/>
  <c r="Q12660" i="58"/>
  <c r="R147" i="58"/>
  <c r="R146" i="58"/>
  <c r="R3584" i="58"/>
  <c r="R3583" i="58"/>
  <c r="R1704" i="58"/>
  <c r="Q1703" i="58"/>
  <c r="R505" i="58"/>
  <c r="R504" i="58"/>
  <c r="Q1878" i="58"/>
  <c r="R1879" i="58"/>
  <c r="R9234" i="58"/>
  <c r="Q9233" i="58"/>
  <c r="R1229" i="58"/>
  <c r="Q1228" i="58"/>
  <c r="R3884" i="58"/>
  <c r="Q3883" i="58"/>
  <c r="R7786" i="58"/>
  <c r="Q7785" i="58"/>
  <c r="R2553" i="58"/>
  <c r="Q2552" i="58"/>
  <c r="R9776" i="58"/>
  <c r="Q9775" i="58"/>
  <c r="R1125" i="58"/>
  <c r="Q1124" i="58"/>
  <c r="R11604" i="58"/>
  <c r="Q11603" i="58"/>
  <c r="R13051" i="58"/>
  <c r="Q13050" i="58"/>
  <c r="R8199" i="58"/>
  <c r="Q8198" i="58"/>
  <c r="R4303" i="58"/>
  <c r="Q4302" i="58"/>
  <c r="R12281" i="58"/>
  <c r="Q12280" i="58"/>
  <c r="R11009" i="58"/>
  <c r="Q11008" i="58"/>
  <c r="R1084" i="58"/>
  <c r="Q1083" i="58"/>
  <c r="R7951" i="58"/>
  <c r="Q7950" i="58"/>
  <c r="R7169" i="58"/>
  <c r="Q7168" i="58"/>
  <c r="Q1166" i="58"/>
  <c r="R1167" i="58"/>
  <c r="Q358" i="58"/>
  <c r="R359" i="58"/>
  <c r="R6572" i="58"/>
  <c r="Q6571" i="58"/>
  <c r="R7128" i="58"/>
  <c r="Q7127" i="58"/>
  <c r="R10140" i="58"/>
  <c r="Q10139" i="58"/>
  <c r="Q11921" i="58"/>
  <c r="R11922" i="58"/>
  <c r="Q4154" i="58"/>
  <c r="R4155" i="58"/>
  <c r="R2783" i="58"/>
  <c r="Q2782" i="58"/>
  <c r="Q12310" i="58"/>
  <c r="R6028" i="58"/>
  <c r="Q4646" i="58"/>
  <c r="R4647" i="58"/>
  <c r="R7261" i="58"/>
  <c r="Q7260" i="58"/>
  <c r="Q4289" i="58"/>
  <c r="R4290" i="58"/>
  <c r="R7613" i="58"/>
  <c r="Q7612" i="58"/>
  <c r="Q1046" i="58"/>
  <c r="R1046" i="58" s="1"/>
  <c r="R3715" i="58"/>
  <c r="Q5158" i="58"/>
  <c r="Q4142" i="58"/>
  <c r="R4142" i="58" s="1"/>
  <c r="R3353" i="58"/>
  <c r="R3352" i="58"/>
  <c r="R514" i="58"/>
  <c r="R513" i="58"/>
  <c r="R5630" i="58"/>
  <c r="Q5629" i="58"/>
  <c r="R6855" i="58"/>
  <c r="Q6854" i="58"/>
  <c r="R11258" i="58"/>
  <c r="Q11257" i="58"/>
  <c r="R10514" i="58"/>
  <c r="Q10513" i="58"/>
  <c r="Q2070" i="58"/>
  <c r="R3568" i="58"/>
  <c r="R3382" i="58"/>
  <c r="Q12669" i="58"/>
  <c r="R12669" i="58" s="1"/>
  <c r="Q2503" i="58"/>
  <c r="R2503" i="58" s="1"/>
  <c r="Q5576" i="58"/>
  <c r="R5556" i="58"/>
  <c r="Q5754" i="58"/>
  <c r="Q620" i="58"/>
  <c r="Q1961" i="58"/>
  <c r="Q1245" i="58"/>
  <c r="R13037" i="58"/>
  <c r="Q13036" i="58"/>
  <c r="R3611" i="58"/>
  <c r="R3610" i="58"/>
  <c r="R9714" i="58"/>
  <c r="Q9713" i="58"/>
  <c r="R11669" i="58"/>
  <c r="Q11668" i="58"/>
  <c r="R898" i="58"/>
  <c r="Q897" i="58"/>
  <c r="R5636" i="58"/>
  <c r="Q5635" i="58"/>
  <c r="R682" i="58"/>
  <c r="Q681" i="58"/>
  <c r="R11022" i="58"/>
  <c r="Q11021" i="58"/>
  <c r="R4583" i="58"/>
  <c r="Q4582" i="58"/>
  <c r="R12367" i="58"/>
  <c r="Q12366" i="58"/>
  <c r="R2957" i="58"/>
  <c r="Q2956" i="58"/>
  <c r="R8590" i="58"/>
  <c r="Q8589" i="58"/>
  <c r="R3847" i="58"/>
  <c r="Q3846" i="58"/>
  <c r="R4215" i="58"/>
  <c r="Q4214" i="58"/>
  <c r="R3365" i="58"/>
  <c r="R3364" i="58"/>
  <c r="R9606" i="58"/>
  <c r="Q9605" i="58"/>
  <c r="Q8494" i="58"/>
  <c r="R8495" i="58"/>
  <c r="R9178" i="58"/>
  <c r="Q9177" i="58"/>
  <c r="R3616" i="58"/>
  <c r="R3617" i="58"/>
  <c r="R4352" i="58"/>
  <c r="Q4351" i="58"/>
  <c r="R2474" i="58"/>
  <c r="Q2473" i="58"/>
  <c r="Q10039" i="58"/>
  <c r="Q2263" i="58"/>
  <c r="Q11902" i="58"/>
  <c r="R3460" i="58"/>
  <c r="R3461" i="58"/>
  <c r="R8758" i="58"/>
  <c r="Q8757" i="58"/>
  <c r="R2276" i="58"/>
  <c r="Q2275" i="58"/>
  <c r="Q11633" i="58"/>
  <c r="R11634" i="58"/>
  <c r="R11238" i="58"/>
  <c r="Q11237" i="58"/>
  <c r="R9048" i="58"/>
  <c r="Q9047" i="58"/>
  <c r="Q6152" i="58"/>
  <c r="Q6151" i="58" s="1"/>
  <c r="R7365" i="58"/>
  <c r="Q7364" i="58"/>
  <c r="R8017" i="58"/>
  <c r="Q8016" i="58"/>
  <c r="R11208" i="58"/>
  <c r="Q11207" i="58"/>
  <c r="R12832" i="58"/>
  <c r="Q12831" i="58"/>
  <c r="R2826" i="58"/>
  <c r="Q2825" i="58"/>
  <c r="R3443" i="58"/>
  <c r="R3442" i="58"/>
  <c r="Q6706" i="58"/>
  <c r="R6706" i="58" s="1"/>
  <c r="Q2994" i="58"/>
  <c r="R2994" i="58" s="1"/>
  <c r="Q5820" i="58"/>
  <c r="Q5819" i="58" s="1"/>
  <c r="R3682" i="58"/>
  <c r="Q2915" i="58"/>
  <c r="Q207" i="58"/>
  <c r="Q4875" i="58"/>
  <c r="R9062" i="58"/>
  <c r="Q9061" i="58"/>
  <c r="R2668" i="58"/>
  <c r="Q2667" i="58"/>
  <c r="R1751" i="58"/>
  <c r="Q1750" i="58"/>
  <c r="R2674" i="58"/>
  <c r="Q2673" i="58"/>
  <c r="R6427" i="58"/>
  <c r="Q6426" i="58"/>
  <c r="R481" i="58"/>
  <c r="R480" i="58"/>
  <c r="R289" i="58"/>
  <c r="Q288" i="58"/>
  <c r="R3374" i="58"/>
  <c r="R3373" i="58"/>
  <c r="R1673" i="58"/>
  <c r="Q1672" i="58"/>
  <c r="Q9849" i="58"/>
  <c r="R9850" i="58"/>
  <c r="R12978" i="58"/>
  <c r="Q12977" i="58"/>
  <c r="R11612" i="58"/>
  <c r="Q11611" i="58"/>
  <c r="R9815" i="58"/>
  <c r="Q9814" i="58"/>
  <c r="R5390" i="58"/>
  <c r="Q5389" i="58"/>
  <c r="R2258" i="58"/>
  <c r="Q2257" i="58"/>
  <c r="R4692" i="58"/>
  <c r="Q4691" i="58"/>
  <c r="R2850" i="58"/>
  <c r="Q2849" i="58"/>
  <c r="R3710" i="58"/>
  <c r="R3709" i="58"/>
  <c r="R10606" i="58"/>
  <c r="Q10605" i="58"/>
  <c r="R11544" i="58"/>
  <c r="Q11543" i="58"/>
  <c r="Q12985" i="58"/>
  <c r="R12986" i="58"/>
  <c r="R4778" i="58"/>
  <c r="Q4777" i="58"/>
  <c r="R10392" i="58"/>
  <c r="Q10391" i="58"/>
  <c r="R1506" i="58"/>
  <c r="Q1505" i="58"/>
  <c r="R6386" i="58"/>
  <c r="Q6385" i="58"/>
  <c r="Q2746" i="58"/>
  <c r="R10847" i="58"/>
  <c r="Q10846" i="58"/>
  <c r="R6988" i="58"/>
  <c r="Q6987" i="58"/>
  <c r="R2402" i="58"/>
  <c r="Q2401" i="58"/>
  <c r="R12057" i="58"/>
  <c r="Q12056" i="58"/>
  <c r="R10021" i="58"/>
  <c r="Q10020" i="58"/>
  <c r="R3054" i="58"/>
  <c r="Q3053" i="58"/>
  <c r="Q6631" i="58"/>
  <c r="R6632" i="58"/>
  <c r="R7861" i="58"/>
  <c r="Q7860" i="58"/>
  <c r="R11156" i="58"/>
  <c r="Q11155" i="58"/>
  <c r="R10782" i="58"/>
  <c r="Q10781" i="58"/>
  <c r="R2228" i="58"/>
  <c r="Q2227" i="58"/>
  <c r="R11247" i="58"/>
  <c r="Q11246" i="58"/>
  <c r="R1307" i="58"/>
  <c r="Q1306" i="58"/>
  <c r="R4673" i="58"/>
  <c r="Q4672" i="58"/>
  <c r="Q12063" i="58"/>
  <c r="Q1131" i="58"/>
  <c r="Q1552" i="58"/>
  <c r="Q8666" i="58"/>
  <c r="Q11132" i="58"/>
  <c r="Q9445" i="58"/>
  <c r="R9445" i="58" s="1"/>
  <c r="Q2058" i="58"/>
  <c r="R3535" i="58"/>
  <c r="Q8867" i="58"/>
  <c r="R8867" i="58" s="1"/>
  <c r="Q9251" i="58"/>
  <c r="Q9250" i="58" s="1"/>
  <c r="Q7407" i="58"/>
  <c r="Q7406" i="58" s="1"/>
  <c r="R3571" i="58"/>
  <c r="R4798" i="58"/>
  <c r="Q4797" i="58"/>
  <c r="R132" i="58"/>
  <c r="R131" i="58"/>
  <c r="R12996" i="58"/>
  <c r="Q12995" i="58"/>
  <c r="R2492" i="58"/>
  <c r="Q2491" i="58"/>
  <c r="R10276" i="58"/>
  <c r="Q10275" i="58"/>
  <c r="R165" i="58"/>
  <c r="R164" i="58"/>
  <c r="R2571" i="58"/>
  <c r="Q2570" i="58"/>
  <c r="R5938" i="58"/>
  <c r="Q5937" i="58"/>
  <c r="R4924" i="58"/>
  <c r="Q4923" i="58"/>
  <c r="R1276" i="58"/>
  <c r="Q1275" i="58"/>
  <c r="R7750" i="58"/>
  <c r="Q7749" i="58"/>
  <c r="R2892" i="58"/>
  <c r="Q2891" i="58"/>
  <c r="R7057" i="58"/>
  <c r="Q7056" i="58"/>
  <c r="Q2622" i="58"/>
  <c r="R2622" i="58" s="1"/>
  <c r="Q9384" i="58"/>
  <c r="Q11449" i="58"/>
  <c r="R11449" i="58" s="1"/>
  <c r="R6050" i="58"/>
  <c r="Q6049" i="58"/>
  <c r="R9144" i="58"/>
  <c r="Q9143" i="58"/>
  <c r="R241" i="58"/>
  <c r="R240" i="58"/>
  <c r="R8314" i="58"/>
  <c r="Q8313" i="58"/>
  <c r="R1733" i="58"/>
  <c r="Q1732" i="58"/>
  <c r="R9326" i="58"/>
  <c r="Q9325" i="58"/>
  <c r="R4058" i="58"/>
  <c r="Q4057" i="58"/>
  <c r="R2698" i="58"/>
  <c r="Q2697" i="58"/>
  <c r="R12227" i="58"/>
  <c r="Q12226" i="58"/>
  <c r="R13030" i="58"/>
  <c r="Q13029" i="58"/>
  <c r="R2589" i="58"/>
  <c r="Q2588" i="58"/>
  <c r="R771" i="58"/>
  <c r="Q770" i="58"/>
  <c r="R3299" i="58"/>
  <c r="R3298" i="58"/>
  <c r="R187" i="58"/>
  <c r="Q186" i="58"/>
  <c r="R2414" i="58"/>
  <c r="Q2413" i="58"/>
  <c r="R3691" i="58"/>
  <c r="Q2100" i="58"/>
  <c r="R2348" i="58"/>
  <c r="Q12417" i="58"/>
  <c r="Q12416" i="58" s="1"/>
  <c r="Q7463" i="58"/>
  <c r="Q7462" i="58" s="1"/>
  <c r="R6797" i="58"/>
  <c r="Q8085" i="58"/>
  <c r="R8085" i="58" s="1"/>
  <c r="R2384" i="58"/>
  <c r="Q12141" i="58"/>
  <c r="R2390" i="58"/>
  <c r="Q1100" i="58"/>
  <c r="R8934" i="58"/>
  <c r="Q8332" i="58"/>
  <c r="Q5124" i="58"/>
  <c r="Q9485" i="58"/>
  <c r="R9485" i="58" s="1"/>
  <c r="R9338" i="58"/>
  <c r="R2252" i="58"/>
  <c r="Q2251" i="58"/>
  <c r="R3680" i="58"/>
  <c r="R3679" i="58"/>
  <c r="R6476" i="58"/>
  <c r="Q6475" i="58"/>
  <c r="R586" i="58"/>
  <c r="Q585" i="58"/>
  <c r="R1421" i="58"/>
  <c r="Q1420" i="58"/>
  <c r="R2868" i="58"/>
  <c r="Q2867" i="58"/>
  <c r="R10401" i="58"/>
  <c r="Q10400" i="58"/>
  <c r="R192" i="58"/>
  <c r="Q191" i="58"/>
  <c r="R493" i="58"/>
  <c r="R492" i="58"/>
  <c r="R12969" i="58"/>
  <c r="Q12968" i="58"/>
  <c r="R3019" i="58"/>
  <c r="Q3018" i="58"/>
  <c r="R8571" i="58"/>
  <c r="Q8570" i="58"/>
  <c r="R4029" i="58"/>
  <c r="Q4028" i="58"/>
  <c r="R2650" i="58"/>
  <c r="Q2649" i="58"/>
  <c r="R5672" i="58"/>
  <c r="Q5671" i="58"/>
  <c r="R3668" i="58"/>
  <c r="R3667" i="58"/>
  <c r="R93" i="58"/>
  <c r="R92" i="58"/>
  <c r="R12892" i="58"/>
  <c r="Q12891" i="58"/>
  <c r="Q1523" i="58"/>
  <c r="R1524" i="58"/>
  <c r="R211" i="58"/>
  <c r="R210" i="58"/>
  <c r="R10953" i="58"/>
  <c r="Q10952" i="58"/>
  <c r="R7267" i="58"/>
  <c r="Q5061" i="58"/>
  <c r="R11641" i="58"/>
  <c r="Q4964" i="58"/>
  <c r="R9615" i="58"/>
  <c r="Q4939" i="58"/>
  <c r="R4940" i="58"/>
  <c r="R2209" i="58"/>
  <c r="Q2208" i="58"/>
  <c r="R652" i="58"/>
  <c r="Q651" i="58"/>
  <c r="R3529" i="58"/>
  <c r="R3530" i="58"/>
  <c r="R5532" i="58"/>
  <c r="Q5531" i="58"/>
  <c r="R10992" i="58"/>
  <c r="Q10991" i="58"/>
  <c r="R751" i="58"/>
  <c r="Q750" i="58"/>
  <c r="F7" i="45"/>
  <c r="I199" i="67"/>
  <c r="R9190" i="58"/>
  <c r="Q9189" i="58"/>
  <c r="R5045" i="58"/>
  <c r="Q5044" i="58"/>
  <c r="R5411" i="58"/>
  <c r="Q5410" i="58"/>
  <c r="R3287" i="58"/>
  <c r="R3286" i="58"/>
  <c r="R5460" i="58"/>
  <c r="Q5459" i="58"/>
  <c r="R8337" i="58"/>
  <c r="R8336" i="58"/>
  <c r="R639" i="58"/>
  <c r="Q638" i="58"/>
  <c r="R638" i="58" s="1"/>
  <c r="Q637" i="58"/>
  <c r="R9943" i="58"/>
  <c r="Q9942" i="58"/>
  <c r="Q5396" i="58"/>
  <c r="R5396" i="58" s="1"/>
  <c r="Q12899" i="58"/>
  <c r="Q12898" i="58" s="1"/>
  <c r="R12022" i="58"/>
  <c r="Q12021" i="58"/>
  <c r="R10828" i="58"/>
  <c r="Q10827" i="58"/>
  <c r="R2324" i="58"/>
  <c r="Q2323" i="58"/>
  <c r="R2661" i="58"/>
  <c r="Q2660" i="58"/>
  <c r="R7335" i="58"/>
  <c r="Q7334" i="58"/>
  <c r="R4421" i="58"/>
  <c r="Q4420" i="58"/>
  <c r="R862" i="58"/>
  <c r="Q861" i="58"/>
  <c r="R427" i="58"/>
  <c r="R426" i="58"/>
  <c r="R819" i="58"/>
  <c r="Q818" i="58"/>
  <c r="R9166" i="58"/>
  <c r="Q9165" i="58"/>
  <c r="R4337" i="58"/>
  <c r="Q4336" i="58"/>
  <c r="R11188" i="58"/>
  <c r="Q11187" i="58"/>
  <c r="R3344" i="58"/>
  <c r="R3343" i="58"/>
  <c r="R5951" i="58"/>
  <c r="Q5950" i="58"/>
  <c r="R12846" i="58"/>
  <c r="Q12845" i="58"/>
  <c r="R3012" i="58"/>
  <c r="Q3011" i="58"/>
  <c r="R3158" i="58"/>
  <c r="R3157" i="58"/>
  <c r="R6449" i="58"/>
  <c r="Q6448" i="58"/>
  <c r="R1283" i="58"/>
  <c r="Q1282" i="58"/>
  <c r="R3006" i="58"/>
  <c r="Q3005" i="58"/>
  <c r="R916" i="58"/>
  <c r="Q915" i="58"/>
  <c r="R3993" i="58"/>
  <c r="Q3992" i="58"/>
  <c r="R3463" i="58"/>
  <c r="R3464" i="58"/>
  <c r="R2185" i="58"/>
  <c r="Q2184" i="58"/>
  <c r="R12116" i="58"/>
  <c r="Q12115" i="58"/>
  <c r="R7450" i="58"/>
  <c r="Q7449" i="58"/>
  <c r="R502" i="58"/>
  <c r="R501" i="58"/>
  <c r="R547" i="58"/>
  <c r="Q546" i="58"/>
  <c r="R9701" i="58"/>
  <c r="Q9700" i="58"/>
  <c r="R2480" i="58"/>
  <c r="Q2479" i="58"/>
  <c r="Q2988" i="58"/>
  <c r="R2989" i="58"/>
  <c r="E16" i="59"/>
  <c r="E17" i="59"/>
  <c r="E15" i="59"/>
  <c r="R47" i="58"/>
  <c r="R48" i="58"/>
  <c r="Q8328" i="58"/>
  <c r="R8329" i="58"/>
  <c r="R9133" i="58"/>
  <c r="Q9132" i="58"/>
  <c r="R2179" i="58"/>
  <c r="Q2178" i="58"/>
  <c r="R8933" i="58"/>
  <c r="Q8932" i="58"/>
  <c r="R4952" i="58"/>
  <c r="Q4951" i="58"/>
  <c r="R10579" i="58"/>
  <c r="Q10578" i="58"/>
  <c r="R333" i="58"/>
  <c r="Q332" i="58"/>
  <c r="R2898" i="58"/>
  <c r="Q2897" i="58"/>
  <c r="R399" i="58"/>
  <c r="Q398" i="58"/>
  <c r="R4378" i="58"/>
  <c r="Q4377" i="58"/>
  <c r="R4374" i="58"/>
  <c r="Q4373" i="58"/>
  <c r="R2687" i="58"/>
  <c r="Q2686" i="58"/>
  <c r="R6022" i="58"/>
  <c r="Q6021" i="58"/>
  <c r="R10715" i="58"/>
  <c r="Q10714" i="58"/>
  <c r="R969" i="58"/>
  <c r="Q968" i="58"/>
  <c r="R1644" i="58"/>
  <c r="Q1643" i="58"/>
  <c r="R10118" i="58"/>
  <c r="Q10117" i="58"/>
  <c r="R511" i="58"/>
  <c r="R510" i="58"/>
  <c r="R12000" i="58"/>
  <c r="Q11999" i="58"/>
  <c r="R4879" i="58"/>
  <c r="R4878" i="58"/>
  <c r="R366" i="58"/>
  <c r="Q365" i="58"/>
  <c r="R6490" i="58"/>
  <c r="Q6489" i="58"/>
  <c r="R6167" i="58"/>
  <c r="Q6166" i="58"/>
  <c r="R11652" i="58"/>
  <c r="Q11651" i="58"/>
  <c r="R4310" i="58"/>
  <c r="Q4309" i="58"/>
  <c r="R10150" i="58"/>
  <c r="Q10149" i="58"/>
  <c r="R12679" i="58"/>
  <c r="Q12678" i="58"/>
  <c r="R1005" i="58"/>
  <c r="Q1004" i="58"/>
  <c r="R1058" i="58"/>
  <c r="Q1057" i="58"/>
  <c r="R2734" i="58"/>
  <c r="Q2733" i="58"/>
  <c r="R11167" i="58"/>
  <c r="Q11166" i="58"/>
  <c r="R950" i="58"/>
  <c r="Q949" i="58"/>
  <c r="R2872" i="58"/>
  <c r="Q2871" i="58"/>
  <c r="R6960" i="58"/>
  <c r="Q6959" i="58"/>
  <c r="R2729" i="58"/>
  <c r="Q2728" i="58"/>
  <c r="R1211" i="58"/>
  <c r="Q1210" i="58"/>
  <c r="R1660" i="58"/>
  <c r="Q1659" i="58"/>
  <c r="R3067" i="58"/>
  <c r="Q3066" i="58"/>
  <c r="R2076" i="58"/>
  <c r="Q2075" i="58"/>
  <c r="R8857" i="58"/>
  <c r="Q8856" i="58"/>
  <c r="R764" i="58"/>
  <c r="Q763" i="58"/>
  <c r="R2976" i="58"/>
  <c r="Q2975" i="58"/>
  <c r="R10705" i="58"/>
  <c r="Q10704" i="58"/>
  <c r="R4295" i="58"/>
  <c r="Q4294" i="58"/>
  <c r="R1463" i="58"/>
  <c r="Q1462" i="58"/>
  <c r="R12097" i="58"/>
  <c r="Q12096" i="58"/>
  <c r="R2617" i="58"/>
  <c r="Q2616" i="58"/>
  <c r="Q4136" i="58"/>
  <c r="R4137" i="58"/>
  <c r="R2328" i="58"/>
  <c r="Q2327" i="58"/>
  <c r="R2817" i="58"/>
  <c r="Q2816" i="58"/>
  <c r="R4754" i="58"/>
  <c r="Q4753" i="58"/>
  <c r="R3215" i="58"/>
  <c r="R3214" i="58"/>
  <c r="R4317" i="58"/>
  <c r="Q4316" i="58"/>
  <c r="R10039" i="58"/>
  <c r="Q10038" i="58"/>
  <c r="R12510" i="58"/>
  <c r="Q12509" i="58"/>
  <c r="R4979" i="58"/>
  <c r="Q4978" i="58"/>
  <c r="R4681" i="58"/>
  <c r="Q4680" i="58"/>
  <c r="R381" i="58"/>
  <c r="Q380" i="58"/>
  <c r="R3191" i="58"/>
  <c r="R3190" i="58"/>
  <c r="R469" i="58"/>
  <c r="R468" i="58"/>
  <c r="R11424" i="58"/>
  <c r="Q11423" i="58"/>
  <c r="R7114" i="58"/>
  <c r="Q7113" i="58"/>
  <c r="R8349" i="58"/>
  <c r="Q8348" i="58"/>
  <c r="R3855" i="58"/>
  <c r="Q3854" i="58"/>
  <c r="R728" i="58"/>
  <c r="Q727" i="58"/>
  <c r="R11946" i="58"/>
  <c r="Q11945" i="58"/>
  <c r="R6089" i="58"/>
  <c r="Q6088" i="58"/>
  <c r="R1968" i="58"/>
  <c r="Q1967" i="58"/>
  <c r="Q2520" i="58"/>
  <c r="R2521" i="58"/>
  <c r="R3632" i="58"/>
  <c r="R3631" i="58"/>
  <c r="R10360" i="58"/>
  <c r="Q10359" i="58"/>
  <c r="Q4231" i="58"/>
  <c r="R4232" i="58"/>
  <c r="Q6293" i="58"/>
  <c r="R6294" i="58"/>
  <c r="R9736" i="58"/>
  <c r="Q9735" i="58"/>
  <c r="R12840" i="58"/>
  <c r="Q12839" i="58"/>
  <c r="R6993" i="58"/>
  <c r="Q6992" i="58"/>
  <c r="R9242" i="58"/>
  <c r="Q9241" i="58"/>
  <c r="R6217" i="58"/>
  <c r="Q6216" i="58"/>
  <c r="R8229" i="58"/>
  <c r="Q8228" i="58"/>
  <c r="R3335" i="58"/>
  <c r="R3334" i="58"/>
  <c r="R1330" i="58"/>
  <c r="Q1329" i="58"/>
  <c r="R5341" i="58"/>
  <c r="Q5340" i="58"/>
  <c r="R8091" i="58"/>
  <c r="Q8090" i="58"/>
  <c r="R4725" i="58"/>
  <c r="Q4724" i="58"/>
  <c r="R7737" i="58"/>
  <c r="Q7736" i="58"/>
  <c r="R1499" i="58"/>
  <c r="Q1498" i="58"/>
  <c r="R4269" i="58"/>
  <c r="Q4268" i="58"/>
  <c r="R717" i="58"/>
  <c r="Q716" i="58"/>
  <c r="R3030" i="58"/>
  <c r="Q3029" i="58"/>
  <c r="R9794" i="58"/>
  <c r="Q9793" i="58"/>
  <c r="R4520" i="58"/>
  <c r="Q4519" i="58"/>
  <c r="R7013" i="58"/>
  <c r="Q7012" i="58"/>
  <c r="R10255" i="58"/>
  <c r="Q10254" i="58"/>
  <c r="R12234" i="58"/>
  <c r="Q12233" i="58"/>
  <c r="R2832" i="58"/>
  <c r="Q2831" i="58"/>
  <c r="R11819" i="58"/>
  <c r="Q11818" i="58"/>
  <c r="R351" i="58"/>
  <c r="Q350" i="58"/>
  <c r="R517" i="58"/>
  <c r="R516" i="58"/>
  <c r="R258" i="58"/>
  <c r="Q257" i="58"/>
  <c r="R3512" i="58"/>
  <c r="R3511" i="58"/>
  <c r="R1771" i="58"/>
  <c r="Q1770" i="58"/>
  <c r="R3946" i="58"/>
  <c r="Q3945" i="58"/>
  <c r="R3133" i="58"/>
  <c r="Q3132" i="58"/>
  <c r="R848" i="58"/>
  <c r="Q847" i="58"/>
  <c r="R2705" i="58"/>
  <c r="Q2704" i="58"/>
  <c r="Q2961" i="58"/>
  <c r="R2962" i="58"/>
  <c r="R5763" i="58"/>
  <c r="Q5762" i="58"/>
  <c r="Q9574" i="58"/>
  <c r="R9575" i="58"/>
  <c r="R51" i="58"/>
  <c r="R50" i="58"/>
  <c r="R2342" i="58"/>
  <c r="Q2341" i="58"/>
  <c r="R5097" i="58"/>
  <c r="Q5096" i="58"/>
  <c r="R8036" i="58"/>
  <c r="Q8035" i="58"/>
  <c r="R162" i="58"/>
  <c r="R161" i="58"/>
  <c r="R1311" i="58"/>
  <c r="Q1310" i="58"/>
  <c r="R5145" i="58"/>
  <c r="Q5144" i="58"/>
  <c r="R9455" i="58"/>
  <c r="Q9454" i="58"/>
  <c r="R407" i="58"/>
  <c r="Q406" i="58"/>
  <c r="R1162" i="58"/>
  <c r="Q1161" i="58"/>
  <c r="R10208" i="58"/>
  <c r="Q10207" i="58"/>
  <c r="R12034" i="58"/>
  <c r="Q12033" i="58"/>
  <c r="R1113" i="58"/>
  <c r="Q1112" i="58"/>
  <c r="Q1401" i="58"/>
  <c r="R1402" i="58"/>
  <c r="R5728" i="58"/>
  <c r="Q5727" i="58"/>
  <c r="R7919" i="58"/>
  <c r="Q7918" i="58"/>
  <c r="R11623" i="58"/>
  <c r="Q11622" i="58"/>
  <c r="R5450" i="58"/>
  <c r="Q5449" i="58"/>
  <c r="R10837" i="58"/>
  <c r="Q10836" i="58"/>
  <c r="R5768" i="58"/>
  <c r="Q5767" i="58"/>
  <c r="R3479" i="58"/>
  <c r="R3478" i="58"/>
  <c r="R10159" i="58"/>
  <c r="Q10158" i="58"/>
  <c r="R6721" i="58"/>
  <c r="Q6720" i="58"/>
  <c r="R9913" i="58"/>
  <c r="Q9912" i="58"/>
  <c r="Q10030" i="58"/>
  <c r="R10031" i="58"/>
  <c r="R12940" i="58"/>
  <c r="Q12939" i="58"/>
  <c r="R1391" i="58"/>
  <c r="Q1390" i="58"/>
  <c r="R2776" i="58"/>
  <c r="Q2775" i="58"/>
  <c r="R4387" i="58"/>
  <c r="Q4386" i="58"/>
  <c r="R5089" i="58"/>
  <c r="Q5088" i="58"/>
  <c r="R6617" i="58"/>
  <c r="Q6616" i="58"/>
  <c r="R12147" i="58"/>
  <c r="Q12146" i="58"/>
  <c r="R8744" i="58"/>
  <c r="Q8743" i="58"/>
  <c r="R8771" i="58"/>
  <c r="Q8770" i="58"/>
  <c r="R3107" i="58"/>
  <c r="Q3106" i="58"/>
  <c r="R12451" i="58"/>
  <c r="Q12450" i="58"/>
  <c r="R2693" i="58"/>
  <c r="Q2692" i="58"/>
  <c r="R1287" i="58"/>
  <c r="Q1286" i="58"/>
  <c r="R4736" i="58"/>
  <c r="Q4735" i="58"/>
  <c r="R5306" i="58"/>
  <c r="Q5305" i="58"/>
  <c r="R8843" i="58"/>
  <c r="Q8842" i="58"/>
  <c r="R12542" i="58"/>
  <c r="Q12541" i="58"/>
  <c r="R12716" i="58"/>
  <c r="Q12715" i="58"/>
  <c r="R8787" i="58"/>
  <c r="Q8786" i="58"/>
  <c r="R747" i="58"/>
  <c r="Q746" i="58"/>
  <c r="R10286" i="58"/>
  <c r="Q10285" i="58"/>
  <c r="R1978" i="58"/>
  <c r="R1977" i="58"/>
  <c r="R9755" i="58"/>
  <c r="Q9754" i="58"/>
  <c r="R12787" i="58"/>
  <c r="Q12786" i="58"/>
  <c r="R12877" i="58"/>
  <c r="Q12876" i="58"/>
  <c r="R1813" i="58"/>
  <c r="Q1812" i="58"/>
  <c r="R1336" i="58"/>
  <c r="Q1335" i="58"/>
  <c r="R2167" i="58"/>
  <c r="Q2166" i="58"/>
  <c r="R5699" i="58"/>
  <c r="Q5698" i="58"/>
  <c r="R10129" i="58"/>
  <c r="Q10128" i="58"/>
  <c r="R1854" i="58"/>
  <c r="Q1853" i="58"/>
  <c r="R2431" i="58"/>
  <c r="Q2430" i="58"/>
  <c r="R1299" i="58"/>
  <c r="Q1298" i="58"/>
  <c r="R6972" i="58"/>
  <c r="Q6971" i="58"/>
  <c r="R12319" i="58"/>
  <c r="Q12318" i="58"/>
  <c r="R12251" i="58"/>
  <c r="Q12250" i="58"/>
  <c r="R3677" i="58"/>
  <c r="R3676" i="58"/>
  <c r="R5289" i="58"/>
  <c r="Q5288" i="58"/>
  <c r="R9081" i="58"/>
  <c r="Q9080" i="58"/>
  <c r="R10738" i="58"/>
  <c r="Q10737" i="58"/>
  <c r="R12660" i="58"/>
  <c r="Q12659" i="58"/>
  <c r="R10976" i="58"/>
  <c r="Q10975" i="58"/>
  <c r="R5516" i="58"/>
  <c r="Q5515" i="58"/>
  <c r="R1258" i="58"/>
  <c r="Q1257" i="58"/>
  <c r="R6825" i="58"/>
  <c r="Q6824" i="58"/>
  <c r="R15" i="58"/>
  <c r="R14" i="58"/>
  <c r="R11793" i="58"/>
  <c r="Q11792" i="58"/>
  <c r="R8073" i="58"/>
  <c r="Q8072" i="58"/>
  <c r="R10659" i="58"/>
  <c r="Q10658" i="58"/>
  <c r="R12823" i="58"/>
  <c r="Q12822" i="58"/>
  <c r="Q8411" i="58"/>
  <c r="R11351" i="58"/>
  <c r="Q11350" i="58"/>
  <c r="R2449" i="58"/>
  <c r="Q2448" i="58"/>
  <c r="R4701" i="58"/>
  <c r="Q4700" i="58"/>
  <c r="R4834" i="58"/>
  <c r="Q4833" i="58"/>
  <c r="R1678" i="58"/>
  <c r="Q1677" i="58"/>
  <c r="Q643" i="58"/>
  <c r="R645" i="58"/>
  <c r="Q644" i="58"/>
  <c r="R644" i="58" s="1"/>
  <c r="R8718" i="58"/>
  <c r="Q8717" i="58"/>
  <c r="R8534" i="58"/>
  <c r="Q8533" i="58"/>
  <c r="R5225" i="58"/>
  <c r="Q5224" i="58"/>
  <c r="R4506" i="58"/>
  <c r="Q4505" i="58"/>
  <c r="R4047" i="58"/>
  <c r="Q4046" i="58"/>
  <c r="R472" i="58"/>
  <c r="R471" i="58"/>
  <c r="R1269" i="58"/>
  <c r="Q1268" i="58"/>
  <c r="R1559" i="58"/>
  <c r="Q1558" i="58"/>
  <c r="R3338" i="58"/>
  <c r="R3337" i="58"/>
  <c r="R4620" i="58"/>
  <c r="Q4619" i="58"/>
  <c r="R556" i="58"/>
  <c r="Q555" i="58"/>
  <c r="R6140" i="58"/>
  <c r="Q6139" i="58"/>
  <c r="R9675" i="58"/>
  <c r="Q9674" i="58"/>
  <c r="R9416" i="58"/>
  <c r="Q9415" i="58"/>
  <c r="Q1619" i="58"/>
  <c r="R1620" i="58"/>
  <c r="R11106" i="58"/>
  <c r="Q11105" i="58"/>
  <c r="R9903" i="58"/>
  <c r="Q9902" i="58"/>
  <c r="R2485" i="58"/>
  <c r="Q2484" i="58"/>
  <c r="R12548" i="58"/>
  <c r="Q12547" i="58"/>
  <c r="R7980" i="58"/>
  <c r="Q7979" i="58"/>
  <c r="R7903" i="58"/>
  <c r="Q7902" i="58"/>
  <c r="R4164" i="58"/>
  <c r="R4163" i="58"/>
  <c r="R5152" i="58"/>
  <c r="Q5151" i="58"/>
  <c r="R2540" i="58"/>
  <c r="Q2539" i="58"/>
  <c r="R12241" i="58"/>
  <c r="Q12240" i="58"/>
  <c r="R11678" i="58"/>
  <c r="Q11677" i="58"/>
  <c r="R3049" i="58"/>
  <c r="Q3048" i="58"/>
  <c r="R1626" i="58"/>
  <c r="Q1625" i="58"/>
  <c r="R3176" i="58"/>
  <c r="R3175" i="58"/>
  <c r="R5022" i="58"/>
  <c r="Q5021" i="58"/>
  <c r="R3042" i="58"/>
  <c r="Q3041" i="58"/>
  <c r="R11216" i="58"/>
  <c r="Q11215" i="58"/>
  <c r="Q7434" i="58"/>
  <c r="R7435" i="58"/>
  <c r="R11066" i="58"/>
  <c r="Q11065" i="58"/>
  <c r="R4548" i="58"/>
  <c r="Q4547" i="58"/>
  <c r="R9861" i="58"/>
  <c r="Q9860" i="58"/>
  <c r="R12310" i="58"/>
  <c r="Q12309" i="58"/>
  <c r="R8679" i="58"/>
  <c r="Q8678" i="58"/>
  <c r="R10091" i="58"/>
  <c r="Q10090" i="58"/>
  <c r="R10593" i="58"/>
  <c r="Q10592" i="58"/>
  <c r="R3542" i="58"/>
  <c r="R3541" i="58"/>
  <c r="R12079" i="58"/>
  <c r="Q12078" i="58"/>
  <c r="R8108" i="58"/>
  <c r="Q8107" i="58"/>
  <c r="R11844" i="58"/>
  <c r="Q11843" i="58"/>
  <c r="R4083" i="58"/>
  <c r="Q4082" i="58"/>
  <c r="R7274" i="58"/>
  <c r="Q7273" i="58"/>
  <c r="R5015" i="58"/>
  <c r="Q5014" i="58"/>
  <c r="R2286" i="58"/>
  <c r="Q2285" i="58"/>
  <c r="R6152" i="58"/>
  <c r="R12205" i="58"/>
  <c r="Q12204" i="58"/>
  <c r="R2613" i="58"/>
  <c r="Q2612" i="58"/>
  <c r="R9474" i="58"/>
  <c r="Q9473" i="58"/>
  <c r="R6269" i="58"/>
  <c r="Q6268" i="58"/>
  <c r="R9585" i="58"/>
  <c r="Q9584" i="58"/>
  <c r="R3316" i="58"/>
  <c r="R3317" i="58"/>
  <c r="R4275" i="58"/>
  <c r="Q4274" i="58"/>
  <c r="R2807" i="58"/>
  <c r="Q2806" i="58"/>
  <c r="R2678" i="58"/>
  <c r="Q2677" i="58"/>
  <c r="R9664" i="58"/>
  <c r="Q9663" i="58"/>
  <c r="R5576" i="58"/>
  <c r="Q5575" i="58"/>
  <c r="R12770" i="58"/>
  <c r="Q12769" i="58"/>
  <c r="Q12469" i="58"/>
  <c r="R12470" i="58"/>
  <c r="R2576" i="58"/>
  <c r="Q2575" i="58"/>
  <c r="R6257" i="58"/>
  <c r="Q6256" i="58"/>
  <c r="R8921" i="58"/>
  <c r="Q8920" i="58"/>
  <c r="R9977" i="58"/>
  <c r="Q9976" i="58"/>
  <c r="R1203" i="58"/>
  <c r="Q1202" i="58"/>
  <c r="R10817" i="58"/>
  <c r="Q10816" i="58"/>
  <c r="R5376" i="58"/>
  <c r="Q5375" i="58"/>
  <c r="R10935" i="58"/>
  <c r="Q10934" i="58"/>
  <c r="R5754" i="58"/>
  <c r="Q5753" i="58"/>
  <c r="R2155" i="58"/>
  <c r="Q2154" i="58"/>
  <c r="R2723" i="58"/>
  <c r="Q2722" i="58"/>
  <c r="R5846" i="58"/>
  <c r="Q5845" i="58"/>
  <c r="R276" i="58"/>
  <c r="Q275" i="58"/>
  <c r="R9153" i="58"/>
  <c r="Q9152" i="58"/>
  <c r="R10928" i="58"/>
  <c r="Q10927" i="58"/>
  <c r="R2197" i="58"/>
  <c r="Q2196" i="58"/>
  <c r="R12634" i="58"/>
  <c r="Q12633" i="58"/>
  <c r="R620" i="58"/>
  <c r="Q619" i="58"/>
  <c r="R2318" i="58"/>
  <c r="Q2317" i="58"/>
  <c r="R4528" i="58"/>
  <c r="Q4527" i="58"/>
  <c r="R11373" i="58"/>
  <c r="Q11372" i="58"/>
  <c r="R12290" i="58"/>
  <c r="Q12289" i="58"/>
  <c r="R1961" i="58"/>
  <c r="Q1960" i="58"/>
  <c r="R12135" i="58"/>
  <c r="Q12134" i="58"/>
  <c r="R1245" i="58"/>
  <c r="Q1244" i="58"/>
  <c r="R318" i="58"/>
  <c r="Q317" i="58"/>
  <c r="R1841" i="58"/>
  <c r="Q1840" i="58"/>
  <c r="R5259" i="58"/>
  <c r="Q5258" i="58"/>
  <c r="R1235" i="58"/>
  <c r="Q1234" i="58"/>
  <c r="R9274" i="58"/>
  <c r="Q9273" i="58"/>
  <c r="R8169" i="58"/>
  <c r="Q8168" i="58"/>
  <c r="R802" i="58"/>
  <c r="Q801" i="58"/>
  <c r="R9724" i="58"/>
  <c r="Q9723" i="58"/>
  <c r="R7440" i="58"/>
  <c r="Q7439" i="58"/>
  <c r="R5117" i="58"/>
  <c r="R5116" i="58"/>
  <c r="R8430" i="58"/>
  <c r="Q8429" i="58"/>
  <c r="R9806" i="58"/>
  <c r="Q9805" i="58"/>
  <c r="R11440" i="58"/>
  <c r="Q11439" i="58"/>
  <c r="R1251" i="58"/>
  <c r="Q1250" i="58"/>
  <c r="R5720" i="58"/>
  <c r="Q5719" i="58"/>
  <c r="R9934" i="58"/>
  <c r="Q9933" i="58"/>
  <c r="R8078" i="58"/>
  <c r="Q8077" i="58"/>
  <c r="R6676" i="58"/>
  <c r="Q6675" i="58"/>
  <c r="R2029" i="58"/>
  <c r="Q2028" i="58"/>
  <c r="R9012" i="58"/>
  <c r="Q9011" i="58"/>
  <c r="R12008" i="58"/>
  <c r="Q12007" i="58"/>
  <c r="Q1762" i="58"/>
  <c r="R1763" i="58"/>
  <c r="R1824" i="58"/>
  <c r="Q1823" i="58"/>
  <c r="R633" i="58"/>
  <c r="Q631" i="58"/>
  <c r="Q632" i="58"/>
  <c r="R632" i="58" s="1"/>
  <c r="R535" i="58"/>
  <c r="Q534" i="58"/>
  <c r="R8001" i="58"/>
  <c r="Q8000" i="58"/>
  <c r="R2149" i="58"/>
  <c r="Q2148" i="58"/>
  <c r="R10200" i="58"/>
  <c r="Q10199" i="58"/>
  <c r="R4345" i="58"/>
  <c r="Q4344" i="58"/>
  <c r="R3635" i="58"/>
  <c r="R3634" i="58"/>
  <c r="R2039" i="58"/>
  <c r="Q2038" i="58"/>
  <c r="R10968" i="58"/>
  <c r="Q10967" i="58"/>
  <c r="R579" i="58"/>
  <c r="Q578" i="58"/>
  <c r="R4242" i="58"/>
  <c r="R4241" i="58"/>
  <c r="R3997" i="58"/>
  <c r="Q3996" i="58"/>
  <c r="R5427" i="58"/>
  <c r="Q5426" i="58"/>
  <c r="R9623" i="58"/>
  <c r="Q9622" i="58"/>
  <c r="R12439" i="58"/>
  <c r="Q12438" i="58"/>
  <c r="Q5173" i="58"/>
  <c r="R5174" i="58"/>
  <c r="R1051" i="58"/>
  <c r="R1050" i="58"/>
  <c r="R2752" i="58"/>
  <c r="Q2751" i="58"/>
  <c r="R7758" i="58"/>
  <c r="Q7757" i="58"/>
  <c r="R12918" i="58"/>
  <c r="Q12917" i="58"/>
  <c r="R12043" i="58"/>
  <c r="Q12042" i="58"/>
  <c r="R3072" i="58"/>
  <c r="Q3071" i="58"/>
  <c r="R9000" i="58"/>
  <c r="Q8999" i="58"/>
  <c r="R10012" i="58"/>
  <c r="Q10011" i="58"/>
  <c r="R5693" i="58"/>
  <c r="Q5692" i="58"/>
  <c r="R4911" i="58"/>
  <c r="Q4910" i="58"/>
  <c r="Q2080" i="58"/>
  <c r="R2081" i="58"/>
  <c r="Q5871" i="58"/>
  <c r="R5872" i="58"/>
  <c r="R1993" i="58"/>
  <c r="Q1992" i="58"/>
  <c r="R4611" i="58"/>
  <c r="Q4610" i="58"/>
  <c r="R3545" i="58"/>
  <c r="R3544" i="58"/>
  <c r="R1486" i="58"/>
  <c r="Q1485" i="58"/>
  <c r="R6587" i="58"/>
  <c r="Q6586" i="58"/>
  <c r="R4600" i="58"/>
  <c r="Q4599" i="58"/>
  <c r="R422" i="58"/>
  <c r="Q421" i="58"/>
  <c r="R3060" i="58"/>
  <c r="Q3059" i="58"/>
  <c r="Q11309" i="58"/>
  <c r="R11310" i="58"/>
  <c r="R3686" i="58"/>
  <c r="R3685" i="58"/>
  <c r="R2365" i="58"/>
  <c r="Q2364" i="58"/>
  <c r="R1632" i="58"/>
  <c r="Q1631" i="58"/>
  <c r="R3097" i="58"/>
  <c r="Q3096" i="58"/>
  <c r="R3919" i="58"/>
  <c r="Q3918" i="58"/>
  <c r="R6463" i="58"/>
  <c r="Q6462" i="58"/>
  <c r="R42" i="58"/>
  <c r="R41" i="58"/>
  <c r="R7305" i="58"/>
  <c r="Q7304" i="58"/>
  <c r="R5328" i="58"/>
  <c r="Q5327" i="58"/>
  <c r="R6310" i="58"/>
  <c r="Q6309" i="58"/>
  <c r="R12725" i="58"/>
  <c r="Q12724" i="58"/>
  <c r="R10893" i="58"/>
  <c r="Q10892" i="58"/>
  <c r="R2173" i="58"/>
  <c r="Q2172" i="58"/>
  <c r="R7686" i="58"/>
  <c r="Q7685" i="58"/>
  <c r="R8183" i="58"/>
  <c r="Q8182" i="58"/>
  <c r="R7707" i="58"/>
  <c r="Q7706" i="58"/>
  <c r="R1714" i="58"/>
  <c r="Q1713" i="58"/>
  <c r="R10902" i="58"/>
  <c r="Q10901" i="58"/>
  <c r="R6321" i="58"/>
  <c r="Q6320" i="58"/>
  <c r="R4985" i="58"/>
  <c r="Q4984" i="58"/>
  <c r="R565" i="58"/>
  <c r="Q564" i="58"/>
  <c r="R9071" i="58"/>
  <c r="Q9070" i="58"/>
  <c r="R4637" i="58"/>
  <c r="Q4636" i="58"/>
  <c r="R1262" i="58"/>
  <c r="R1261" i="58"/>
  <c r="R373" i="58"/>
  <c r="Q372" i="58"/>
  <c r="R11041" i="58"/>
  <c r="Q11040" i="58"/>
  <c r="R6872" i="58"/>
  <c r="Q6871" i="58"/>
  <c r="R4479" i="58"/>
  <c r="Q4478" i="58"/>
  <c r="R9104" i="58"/>
  <c r="Q9103" i="58"/>
  <c r="R13056" i="58"/>
  <c r="Q13055" i="58"/>
  <c r="R2581" i="58"/>
  <c r="Q2580" i="58"/>
  <c r="Q11265" i="58"/>
  <c r="R11266" i="58"/>
  <c r="R2370" i="58"/>
  <c r="Q2369" i="58"/>
  <c r="R3560" i="58"/>
  <c r="R3559" i="58"/>
  <c r="Q340" i="58"/>
  <c r="R341" i="58"/>
  <c r="R7889" i="58"/>
  <c r="Q7888" i="58"/>
  <c r="R305" i="58"/>
  <c r="Q304" i="58"/>
  <c r="R1746" i="58"/>
  <c r="Q1745" i="58"/>
  <c r="R2443" i="58"/>
  <c r="Q2442" i="58"/>
  <c r="R9785" i="58"/>
  <c r="Q9784" i="58"/>
  <c r="R2046" i="58"/>
  <c r="Q2045" i="58"/>
  <c r="R4016" i="58"/>
  <c r="Q4015" i="58"/>
  <c r="R1985" i="58"/>
  <c r="Q1984" i="58"/>
  <c r="R530" i="58"/>
  <c r="Q529" i="58"/>
  <c r="R11119" i="58"/>
  <c r="Q11118" i="58"/>
  <c r="R8244" i="58"/>
  <c r="Q8243" i="58"/>
  <c r="R5169" i="58"/>
  <c r="Q5168" i="58"/>
  <c r="R8909" i="58"/>
  <c r="Q8908" i="58"/>
  <c r="R998" i="58"/>
  <c r="Q997" i="58"/>
  <c r="R1018" i="58"/>
  <c r="Q1017" i="58"/>
  <c r="Q931" i="58"/>
  <c r="R932" i="58"/>
  <c r="R391" i="58"/>
  <c r="Q390" i="58"/>
  <c r="R3000" i="58"/>
  <c r="Q2999" i="58"/>
  <c r="R5370" i="58"/>
  <c r="Q5369" i="58"/>
  <c r="R4100" i="58"/>
  <c r="Q4099" i="58"/>
  <c r="R10540" i="58"/>
  <c r="Q10539" i="58"/>
  <c r="R3347" i="58"/>
  <c r="R3346" i="58"/>
  <c r="R795" i="58"/>
  <c r="Q794" i="58"/>
  <c r="R508" i="58"/>
  <c r="R507" i="58"/>
  <c r="R2595" i="58"/>
  <c r="Q2594" i="58"/>
  <c r="R5253" i="58"/>
  <c r="Q5252" i="58"/>
  <c r="R6752" i="58"/>
  <c r="Q6751" i="58"/>
  <c r="R6646" i="58"/>
  <c r="Q6645" i="58"/>
  <c r="R5217" i="58"/>
  <c r="Q5216" i="58"/>
  <c r="R10071" i="58"/>
  <c r="Q10070" i="58"/>
  <c r="R6691" i="58"/>
  <c r="Q6690" i="58"/>
  <c r="R8731" i="58"/>
  <c r="Q8730" i="58"/>
  <c r="R11332" i="58"/>
  <c r="Q11331" i="58"/>
  <c r="R2933" i="58"/>
  <c r="Q2932" i="58"/>
  <c r="R12564" i="58"/>
  <c r="Q12563" i="58"/>
  <c r="R7008" i="58"/>
  <c r="Q7007" i="58"/>
  <c r="R11804" i="58"/>
  <c r="Q11803" i="58"/>
  <c r="R10317" i="58"/>
  <c r="Q10316" i="58"/>
  <c r="R5241" i="58"/>
  <c r="Q5240" i="58"/>
  <c r="R12698" i="58"/>
  <c r="Q12697" i="58"/>
  <c r="R5361" i="58"/>
  <c r="Q5360" i="58"/>
  <c r="R2968" i="58"/>
  <c r="Q2967" i="58"/>
  <c r="Q10294" i="58"/>
  <c r="R10295" i="58"/>
  <c r="R1955" i="58"/>
  <c r="Q1954" i="58"/>
  <c r="R5189" i="58"/>
  <c r="Q5188" i="58"/>
  <c r="Q7721" i="58"/>
  <c r="R7722" i="58"/>
  <c r="R10671" i="58"/>
  <c r="Q10670" i="58"/>
  <c r="R11433" i="58"/>
  <c r="Q11432" i="58"/>
  <c r="R6541" i="58"/>
  <c r="Q6540" i="58"/>
  <c r="R2245" i="58"/>
  <c r="Q2244" i="58"/>
  <c r="R2910" i="58"/>
  <c r="Q2909" i="58"/>
  <c r="R5986" i="58"/>
  <c r="Q5985" i="58"/>
  <c r="R8289" i="58"/>
  <c r="Q8288" i="58"/>
  <c r="R11001" i="58"/>
  <c r="Q11000" i="58"/>
  <c r="R12927" i="58"/>
  <c r="Q12926" i="58"/>
  <c r="R2643" i="58"/>
  <c r="Q2642" i="58"/>
  <c r="R12015" i="58"/>
  <c r="Q12014" i="58"/>
  <c r="R5555" i="58"/>
  <c r="Q5554" i="58"/>
  <c r="R5320" i="58"/>
  <c r="Q5319" i="58"/>
  <c r="R8475" i="58"/>
  <c r="Q8474" i="58"/>
  <c r="R13042" i="58"/>
  <c r="Q13041" i="58"/>
  <c r="R12574" i="58"/>
  <c r="Q12573" i="58"/>
  <c r="R12950" i="58"/>
  <c r="Q12949" i="58"/>
  <c r="R7422" i="58"/>
  <c r="Q7421" i="58"/>
  <c r="R10650" i="58"/>
  <c r="Q10649" i="58"/>
  <c r="Q2914" i="58"/>
  <c r="R2915" i="58"/>
  <c r="R4535" i="58"/>
  <c r="Q4534" i="58"/>
  <c r="R2312" i="58"/>
  <c r="Q2311" i="58"/>
  <c r="R2131" i="58"/>
  <c r="Q2130" i="58"/>
  <c r="R207" i="58"/>
  <c r="Q206" i="58"/>
  <c r="R3509" i="58"/>
  <c r="R3508" i="58"/>
  <c r="R5080" i="58"/>
  <c r="Q5079" i="58"/>
  <c r="R5312" i="58"/>
  <c r="Q5311" i="58"/>
  <c r="R4875" i="58"/>
  <c r="Q4874" i="58"/>
  <c r="R1439" i="58"/>
  <c r="Q1438" i="58"/>
  <c r="R1860" i="58"/>
  <c r="Q1859" i="58"/>
  <c r="R5805" i="58"/>
  <c r="Q5804" i="58"/>
  <c r="R8830" i="58"/>
  <c r="Q8829" i="58"/>
  <c r="R10222" i="58"/>
  <c r="Q10221" i="58"/>
  <c r="R12688" i="58"/>
  <c r="Q12687" i="58"/>
  <c r="R9349" i="58"/>
  <c r="Q9348" i="58"/>
  <c r="R11696" i="58"/>
  <c r="Q11695" i="58"/>
  <c r="R880" i="58"/>
  <c r="Q879" i="58"/>
  <c r="R10944" i="58"/>
  <c r="Q10943" i="58"/>
  <c r="Q12652" i="58"/>
  <c r="R12653" i="58"/>
  <c r="R4654" i="58"/>
  <c r="Q4653" i="58"/>
  <c r="R11934" i="58"/>
  <c r="Q11933" i="58"/>
  <c r="R6435" i="58"/>
  <c r="Q6434" i="58"/>
  <c r="R2113" i="58"/>
  <c r="Q2112" i="58"/>
  <c r="R2117" i="58"/>
  <c r="Q2116" i="58"/>
  <c r="R705" i="58"/>
  <c r="Q704" i="58"/>
  <c r="R6127" i="58"/>
  <c r="Q6126" i="58"/>
  <c r="R150" i="58"/>
  <c r="R149" i="58"/>
  <c r="R10636" i="58"/>
  <c r="Q10635" i="58"/>
  <c r="R1509" i="58"/>
  <c r="R1508" i="58"/>
  <c r="R11413" i="58"/>
  <c r="Q11412" i="58"/>
  <c r="R4886" i="58"/>
  <c r="Q4885" i="58"/>
  <c r="R12330" i="58"/>
  <c r="Q12329" i="58"/>
  <c r="R12752" i="58"/>
  <c r="Q12751" i="58"/>
  <c r="R7816" i="58"/>
  <c r="Q7815" i="58"/>
  <c r="R1408" i="58"/>
  <c r="Q1407" i="58"/>
  <c r="R6765" i="58"/>
  <c r="Q6764" i="58"/>
  <c r="R12212" i="58"/>
  <c r="Q12211" i="58"/>
  <c r="R4662" i="58"/>
  <c r="Q4661" i="58"/>
  <c r="R11852" i="58"/>
  <c r="Q11851" i="58"/>
  <c r="R7642" i="58"/>
  <c r="Q7641" i="58"/>
  <c r="Q10796" i="58"/>
  <c r="R10797" i="58"/>
  <c r="R4329" i="58"/>
  <c r="Q4328" i="58"/>
  <c r="R5656" i="58"/>
  <c r="Q5655" i="58"/>
  <c r="R1138" i="58"/>
  <c r="Q1137" i="58"/>
  <c r="R9092" i="58"/>
  <c r="Q9091" i="58"/>
  <c r="R5835" i="58"/>
  <c r="Q5834" i="58"/>
  <c r="R665" i="58"/>
  <c r="Q664" i="58"/>
  <c r="R1293" i="58"/>
  <c r="Q1292" i="58"/>
  <c r="R12392" i="58"/>
  <c r="Q12391" i="58"/>
  <c r="R2606" i="58"/>
  <c r="Q2605" i="58"/>
  <c r="R6526" i="58"/>
  <c r="Q6525" i="58"/>
  <c r="R7597" i="58"/>
  <c r="Q7596" i="58"/>
  <c r="R1581" i="58"/>
  <c r="R1580" i="58"/>
  <c r="R4093" i="58"/>
  <c r="Q4092" i="58"/>
  <c r="R11734" i="58"/>
  <c r="Q11733" i="58"/>
  <c r="R6455" i="58"/>
  <c r="Q6454" i="58"/>
  <c r="R9990" i="58"/>
  <c r="Q9989" i="58"/>
  <c r="R1596" i="58"/>
  <c r="Q1595" i="58"/>
  <c r="Q9403" i="58"/>
  <c r="R9404" i="58"/>
  <c r="R5138" i="58"/>
  <c r="Q5137" i="58"/>
  <c r="R11858" i="58"/>
  <c r="Q11857" i="58"/>
  <c r="R1945" i="58"/>
  <c r="Q1944" i="58"/>
  <c r="R5278" i="58"/>
  <c r="Q5277" i="58"/>
  <c r="R6420" i="58"/>
  <c r="Q6419" i="58"/>
  <c r="R11916" i="58"/>
  <c r="Q11915" i="58"/>
  <c r="R6600" i="58"/>
  <c r="Q6599" i="58"/>
  <c r="R1415" i="58"/>
  <c r="Q1414" i="58"/>
  <c r="R499" i="58"/>
  <c r="R498" i="58"/>
  <c r="R4089" i="58"/>
  <c r="Q4088" i="58"/>
  <c r="R10427" i="58"/>
  <c r="Q10426" i="58"/>
  <c r="R12911" i="58"/>
  <c r="Q12910" i="58"/>
  <c r="R12462" i="58"/>
  <c r="Q12461" i="58"/>
  <c r="R4394" i="58"/>
  <c r="Q4393" i="58"/>
  <c r="R12482" i="58"/>
  <c r="R12481" i="58"/>
  <c r="R3281" i="58"/>
  <c r="R3280" i="58"/>
  <c r="R8961" i="58"/>
  <c r="Q8960" i="58"/>
  <c r="R4070" i="58"/>
  <c r="Q4069" i="58"/>
  <c r="Q9882" i="58"/>
  <c r="R9883" i="58"/>
  <c r="R4555" i="58"/>
  <c r="Q4554" i="58"/>
  <c r="R9505" i="58"/>
  <c r="Q9504" i="58"/>
  <c r="R12029" i="58"/>
  <c r="Q12028" i="58"/>
  <c r="Q5642" i="58"/>
  <c r="R5643" i="58"/>
  <c r="R12626" i="58"/>
  <c r="Q12625" i="58"/>
  <c r="R2263" i="58"/>
  <c r="Q2262" i="58"/>
  <c r="R776" i="58"/>
  <c r="Q775" i="58"/>
  <c r="R4011" i="58"/>
  <c r="Q4010" i="58"/>
  <c r="R9283" i="58"/>
  <c r="Q9282" i="58"/>
  <c r="R7401" i="58"/>
  <c r="Q7400" i="58"/>
  <c r="R689" i="58"/>
  <c r="Q688" i="58"/>
  <c r="R1492" i="58"/>
  <c r="Q1491" i="58"/>
  <c r="R9764" i="58"/>
  <c r="Q9763" i="58"/>
  <c r="R8456" i="58"/>
  <c r="Q8455" i="58"/>
  <c r="R3197" i="58"/>
  <c r="R3196" i="58"/>
  <c r="R2070" i="58"/>
  <c r="Q2069" i="58"/>
  <c r="R5606" i="58"/>
  <c r="Q5605" i="58"/>
  <c r="R4451" i="58"/>
  <c r="Q4450" i="58"/>
  <c r="R6015" i="58"/>
  <c r="Q6014" i="58"/>
  <c r="R9636" i="58"/>
  <c r="Q9635" i="58"/>
  <c r="R3209" i="58"/>
  <c r="R3208" i="58"/>
  <c r="R8059" i="58"/>
  <c r="Q8058" i="58"/>
  <c r="R11940" i="58"/>
  <c r="Q11939" i="58"/>
  <c r="R7211" i="58"/>
  <c r="Q7210" i="58"/>
  <c r="R10452" i="58"/>
  <c r="Q10451" i="58"/>
  <c r="R3296" i="58"/>
  <c r="R3295" i="58"/>
  <c r="R12644" i="58"/>
  <c r="Q12643" i="58"/>
  <c r="R674" i="58"/>
  <c r="Q673" i="58"/>
  <c r="R4514" i="58"/>
  <c r="Q4513" i="58"/>
  <c r="R3665" i="58"/>
  <c r="R3664" i="58"/>
  <c r="R484" i="58"/>
  <c r="R483" i="58"/>
  <c r="R3955" i="58"/>
  <c r="Q3954" i="58"/>
  <c r="R7701" i="58"/>
  <c r="Q7700" i="58"/>
  <c r="R4004" i="58"/>
  <c r="Q4003" i="58"/>
  <c r="R6782" i="58"/>
  <c r="Q6781" i="58"/>
  <c r="R3482" i="58"/>
  <c r="R3481" i="58"/>
  <c r="R12103" i="58"/>
  <c r="Q12102" i="58"/>
  <c r="R1867" i="58"/>
  <c r="Q1866" i="58"/>
  <c r="R11956" i="58"/>
  <c r="Q11955" i="58"/>
  <c r="R1836" i="58"/>
  <c r="Q1835" i="58"/>
  <c r="R9874" i="58"/>
  <c r="Q9873" i="58"/>
  <c r="R2303" i="58"/>
  <c r="R2302" i="58"/>
  <c r="R156" i="58"/>
  <c r="R155" i="58"/>
  <c r="R4408" i="58"/>
  <c r="Q4407" i="58"/>
  <c r="R1614" i="58"/>
  <c r="Q1613" i="58"/>
  <c r="R3987" i="58"/>
  <c r="Q3986" i="58"/>
  <c r="R1913" i="58"/>
  <c r="Q1912" i="58"/>
  <c r="R4433" i="58"/>
  <c r="R4432" i="58"/>
  <c r="R2862" i="58"/>
  <c r="Q2861" i="58"/>
  <c r="R2879" i="58"/>
  <c r="Q2878" i="58"/>
  <c r="R3830" i="58"/>
  <c r="Q3829" i="58"/>
  <c r="R1131" i="58"/>
  <c r="Q1130" i="58"/>
  <c r="Q8049" i="58"/>
  <c r="R8050" i="58"/>
  <c r="R10329" i="58"/>
  <c r="Q10328" i="58"/>
  <c r="R176" i="58"/>
  <c r="Q175" i="58"/>
  <c r="R1552" i="58"/>
  <c r="Q1551" i="58"/>
  <c r="R2437" i="58"/>
  <c r="Q2436" i="58"/>
  <c r="R7349" i="58"/>
  <c r="Q7348" i="58"/>
  <c r="R3506" i="58"/>
  <c r="R3505" i="58"/>
  <c r="R2516" i="58"/>
  <c r="Q2515" i="58"/>
  <c r="R9465" i="58"/>
  <c r="Q9464" i="58"/>
  <c r="R1818" i="58"/>
  <c r="Q1817" i="58"/>
  <c r="R2065" i="58"/>
  <c r="Q2064" i="58"/>
  <c r="R8666" i="58"/>
  <c r="Q8665" i="58"/>
  <c r="R198" i="58"/>
  <c r="Q197" i="58"/>
  <c r="R3141" i="58"/>
  <c r="Q3140" i="58"/>
  <c r="R608" i="58"/>
  <c r="Q607" i="58"/>
  <c r="R1361" i="58"/>
  <c r="Q1360" i="58"/>
  <c r="R5468" i="58"/>
  <c r="Q5467" i="58"/>
  <c r="R5651" i="58"/>
  <c r="Q5650" i="58"/>
  <c r="R9688" i="58"/>
  <c r="Q9687" i="58"/>
  <c r="R3173" i="58"/>
  <c r="R3172" i="58"/>
  <c r="R2630" i="58"/>
  <c r="Q2629" i="58"/>
  <c r="R4564" i="58"/>
  <c r="Q4563" i="58"/>
  <c r="R3521" i="58"/>
  <c r="R3520" i="58"/>
  <c r="R9292" i="58"/>
  <c r="Q9291" i="58"/>
  <c r="R2052" i="58"/>
  <c r="Q2051" i="58"/>
  <c r="R10001" i="58"/>
  <c r="Q10000" i="58"/>
  <c r="R5978" i="58"/>
  <c r="Q5977" i="58"/>
  <c r="R5335" i="58"/>
  <c r="Q5334" i="58"/>
  <c r="R4858" i="58"/>
  <c r="Q4857" i="58"/>
  <c r="R11342" i="58"/>
  <c r="Q11341" i="58"/>
  <c r="R12778" i="58"/>
  <c r="Q12777" i="58"/>
  <c r="R698" i="58"/>
  <c r="Q697" i="58"/>
  <c r="R11132" i="58"/>
  <c r="Q11131" i="58"/>
  <c r="R7994" i="58"/>
  <c r="Q7993" i="58"/>
  <c r="R1948" i="58"/>
  <c r="R1947" i="58"/>
  <c r="Q9444" i="58"/>
  <c r="R4499" i="58"/>
  <c r="Q4498" i="58"/>
  <c r="R2058" i="58"/>
  <c r="Q2057" i="58"/>
  <c r="R7694" i="58"/>
  <c r="Q7693" i="58"/>
  <c r="R5498" i="58"/>
  <c r="Q5497" i="58"/>
  <c r="Q2333" i="58"/>
  <c r="R2334" i="58"/>
  <c r="R5597" i="58"/>
  <c r="Q5596" i="58"/>
  <c r="R5623" i="58"/>
  <c r="Q5622" i="58"/>
  <c r="R6401" i="58"/>
  <c r="Q6400" i="58"/>
  <c r="Q12741" i="58"/>
  <c r="R12742" i="58"/>
  <c r="Q6503" i="58"/>
  <c r="R6504" i="58"/>
  <c r="R10565" i="58"/>
  <c r="Q10564" i="58"/>
  <c r="R873" i="58"/>
  <c r="Q872" i="58"/>
  <c r="R10913" i="58"/>
  <c r="Q10912" i="58"/>
  <c r="R6886" i="58"/>
  <c r="Q6885" i="58"/>
  <c r="R9596" i="58"/>
  <c r="Q9595" i="58"/>
  <c r="R1708" i="58"/>
  <c r="Q1707" i="58"/>
  <c r="R3629" i="58"/>
  <c r="R3628" i="58"/>
  <c r="R4851" i="58"/>
  <c r="Q4850" i="58"/>
  <c r="R10233" i="58"/>
  <c r="Q10232" i="58"/>
  <c r="R11881" i="58"/>
  <c r="Q11880" i="58"/>
  <c r="R741" i="58"/>
  <c r="Q740" i="58"/>
  <c r="R4178" i="58"/>
  <c r="Q4177" i="58"/>
  <c r="R5354" i="58"/>
  <c r="Q5353" i="58"/>
  <c r="R2468" i="58"/>
  <c r="Q2467" i="58"/>
  <c r="Q2299" i="58"/>
  <c r="R2300" i="58"/>
  <c r="R8212" i="58"/>
  <c r="Q8211" i="58"/>
  <c r="R2004" i="58"/>
  <c r="Q2003" i="58"/>
  <c r="R4894" i="58"/>
  <c r="Q4893" i="58"/>
  <c r="R3929" i="58"/>
  <c r="Q3928" i="58"/>
  <c r="R3892" i="58"/>
  <c r="Q3891" i="58"/>
  <c r="R7226" i="58"/>
  <c r="Q7225" i="58"/>
  <c r="R3425" i="58"/>
  <c r="R3424" i="58"/>
  <c r="R10552" i="58"/>
  <c r="Q10551" i="58"/>
  <c r="R2508" i="58"/>
  <c r="Q2507" i="58"/>
  <c r="R3290" i="58"/>
  <c r="R3289" i="58"/>
  <c r="R1174" i="58"/>
  <c r="Q1173" i="58"/>
  <c r="R12354" i="58"/>
  <c r="Q12353" i="58"/>
  <c r="Q1432" i="58"/>
  <c r="R1433" i="58"/>
  <c r="R4862" i="58"/>
  <c r="Q4861" i="58"/>
  <c r="R3656" i="58"/>
  <c r="R3655" i="58"/>
  <c r="R5972" i="58"/>
  <c r="Q5971" i="58"/>
  <c r="R12814" i="58"/>
  <c r="Q12813" i="58"/>
  <c r="R1373" i="58"/>
  <c r="Q1372" i="58"/>
  <c r="R327" i="58"/>
  <c r="Q326" i="58"/>
  <c r="R2795" i="58"/>
  <c r="Q2794" i="58"/>
  <c r="R4867" i="58"/>
  <c r="R4866" i="58"/>
  <c r="R9214" i="58"/>
  <c r="Q9213" i="58"/>
  <c r="R5180" i="58"/>
  <c r="Q5179" i="58"/>
  <c r="R5207" i="58"/>
  <c r="Q5206" i="58"/>
  <c r="R11963" i="58"/>
  <c r="Q11962" i="58"/>
  <c r="R3024" i="58"/>
  <c r="Q3023" i="58"/>
  <c r="R10920" i="58"/>
  <c r="Q10919" i="58"/>
  <c r="R6938" i="58"/>
  <c r="Q6937" i="58"/>
  <c r="Q12088" i="58"/>
  <c r="R12089" i="58"/>
  <c r="R5481" i="58"/>
  <c r="Q5480" i="58"/>
  <c r="R4064" i="58"/>
  <c r="Q4063" i="58"/>
  <c r="R451" i="58"/>
  <c r="R450" i="58"/>
  <c r="R7492" i="58"/>
  <c r="Q7491" i="58"/>
  <c r="R1578" i="58"/>
  <c r="Q1577" i="58"/>
  <c r="R7715" i="58"/>
  <c r="Q7714" i="58"/>
  <c r="R3652" i="58"/>
  <c r="R3653" i="58"/>
  <c r="R7470" i="58"/>
  <c r="Q7469" i="58"/>
  <c r="R2203" i="58"/>
  <c r="Q2202" i="58"/>
  <c r="R9964" i="58"/>
  <c r="Q9963" i="58"/>
  <c r="R2789" i="58"/>
  <c r="Q2788" i="58"/>
  <c r="R4254" i="58"/>
  <c r="R4253" i="58"/>
  <c r="R8322" i="58"/>
  <c r="R8321" i="58"/>
  <c r="R11076" i="58"/>
  <c r="Q11075" i="58"/>
  <c r="R4248" i="58"/>
  <c r="R4247" i="58"/>
  <c r="R7155" i="58"/>
  <c r="Q7154" i="58"/>
  <c r="R12804" i="58"/>
  <c r="Q12803" i="58"/>
  <c r="R1873" i="58"/>
  <c r="Q1872" i="58"/>
  <c r="R902" i="58"/>
  <c r="Q901" i="58"/>
  <c r="R5714" i="58"/>
  <c r="Q5713" i="58"/>
  <c r="R2813" i="58"/>
  <c r="Q2812" i="58"/>
  <c r="R4208" i="58"/>
  <c r="Q4207" i="58"/>
  <c r="R1788" i="58"/>
  <c r="Q1787" i="58"/>
  <c r="R4444" i="58"/>
  <c r="Q4443" i="58"/>
  <c r="R4245" i="58"/>
  <c r="R4244" i="58"/>
  <c r="R1324" i="58"/>
  <c r="Q1323" i="58"/>
  <c r="R9826" i="58"/>
  <c r="Q9825" i="58"/>
  <c r="R7253" i="58"/>
  <c r="Q7252" i="58"/>
  <c r="R12921" i="58"/>
  <c r="R12920" i="58"/>
  <c r="R180" i="58"/>
  <c r="R179" i="58"/>
  <c r="R11874" i="58"/>
  <c r="Q11873" i="58"/>
  <c r="R11580" i="58"/>
  <c r="Q11579" i="58"/>
  <c r="R1931" i="58"/>
  <c r="Q1930" i="58"/>
  <c r="R11283" i="58"/>
  <c r="Q11282" i="58"/>
  <c r="R10306" i="58"/>
  <c r="Q10305" i="58"/>
  <c r="R460" i="58"/>
  <c r="R459" i="58"/>
  <c r="R12063" i="58"/>
  <c r="Q12062" i="58"/>
  <c r="R4917" i="58"/>
  <c r="Q4916" i="58"/>
  <c r="R6008" i="58"/>
  <c r="Q6007" i="58"/>
  <c r="R11291" i="58"/>
  <c r="Q11290" i="58"/>
  <c r="R1034" i="58"/>
  <c r="Q1033" i="58"/>
  <c r="R6811" i="58"/>
  <c r="Q6810" i="58"/>
  <c r="R3671" i="58"/>
  <c r="R3670" i="58"/>
  <c r="R11523" i="58"/>
  <c r="Q11522" i="58"/>
  <c r="R572" i="58"/>
  <c r="Q571" i="58"/>
  <c r="R5795" i="58"/>
  <c r="Q5794" i="58"/>
  <c r="R4148" i="58"/>
  <c r="Q4147" i="58"/>
  <c r="R4904" i="58"/>
  <c r="Q4903" i="58"/>
  <c r="R5051" i="58"/>
  <c r="Q5050" i="58"/>
  <c r="R10694" i="58"/>
  <c r="Q10693" i="58"/>
  <c r="R2089" i="58"/>
  <c r="Q2088" i="58"/>
  <c r="R8257" i="58"/>
  <c r="Q8256" i="58"/>
  <c r="R7239" i="58"/>
  <c r="Q7238" i="58"/>
  <c r="R5475" i="58"/>
  <c r="Q5474" i="58"/>
  <c r="R4493" i="58"/>
  <c r="Q4492" i="58"/>
  <c r="R3659" i="58"/>
  <c r="R3658" i="58"/>
  <c r="R7743" i="58"/>
  <c r="Q7742" i="58"/>
  <c r="R722" i="58"/>
  <c r="Q721" i="58"/>
  <c r="R1667" i="58"/>
  <c r="Q1666" i="58"/>
  <c r="R7506" i="58"/>
  <c r="Q7505" i="58"/>
  <c r="R1474" i="58"/>
  <c r="Q1473" i="58"/>
  <c r="R3647" i="58"/>
  <c r="R3646" i="58"/>
  <c r="R1529" i="58"/>
  <c r="Q1528" i="58"/>
  <c r="R943" i="58"/>
  <c r="R942" i="58"/>
  <c r="R6284" i="58"/>
  <c r="Q6283" i="58"/>
  <c r="R2528" i="58"/>
  <c r="Q2527" i="58"/>
  <c r="R283" i="58"/>
  <c r="Q282" i="58"/>
  <c r="R1783" i="58"/>
  <c r="Q1782" i="58"/>
  <c r="R1095" i="58"/>
  <c r="Q1094" i="58"/>
  <c r="R3936" i="58"/>
  <c r="Q3935" i="58"/>
  <c r="R1180" i="58"/>
  <c r="Q1179" i="58"/>
  <c r="R4221" i="58"/>
  <c r="Q4220" i="58"/>
  <c r="R10190" i="58"/>
  <c r="Q10189" i="58"/>
  <c r="R272" i="58"/>
  <c r="Q271" i="58"/>
  <c r="R4719" i="58"/>
  <c r="Q4718" i="58"/>
  <c r="R928" i="58"/>
  <c r="Q927" i="58"/>
  <c r="R2353" i="58"/>
  <c r="Q2352" i="58"/>
  <c r="R3203" i="58"/>
  <c r="R3202" i="58"/>
  <c r="Q6075" i="58"/>
  <c r="R6076" i="58"/>
  <c r="Q10980" i="58"/>
  <c r="R10981" i="58"/>
  <c r="R1120" i="58"/>
  <c r="Q1119" i="58"/>
  <c r="R1365" i="58"/>
  <c r="Q1364" i="58"/>
  <c r="R8948" i="58"/>
  <c r="Q8947" i="58"/>
  <c r="R2360" i="58"/>
  <c r="Q2359" i="58"/>
  <c r="R7477" i="58"/>
  <c r="Q7476" i="58"/>
  <c r="R11659" i="58"/>
  <c r="Q11658" i="58"/>
  <c r="R10244" i="58"/>
  <c r="Q10243" i="58"/>
  <c r="R7730" i="58"/>
  <c r="Q7729" i="58"/>
  <c r="R12557" i="58"/>
  <c r="Q12556" i="58"/>
  <c r="Q11271" i="58"/>
  <c r="R11272" i="58"/>
  <c r="R12532" i="58"/>
  <c r="Q12531" i="58"/>
  <c r="R11359" i="58"/>
  <c r="Q11358" i="58"/>
  <c r="Q591" i="58"/>
  <c r="R592" i="58"/>
  <c r="R1076" i="58"/>
  <c r="Q1075" i="58"/>
  <c r="R6932" i="58"/>
  <c r="Q6931" i="58"/>
  <c r="R8646" i="58"/>
  <c r="Q8645" i="58"/>
  <c r="R3662" i="58"/>
  <c r="R3661" i="58"/>
  <c r="R11178" i="58"/>
  <c r="Q11177" i="58"/>
  <c r="R11593" i="58"/>
  <c r="Q11592" i="58"/>
  <c r="R2837" i="58"/>
  <c r="Q2836" i="58"/>
  <c r="R5957" i="58"/>
  <c r="Q5956" i="58"/>
  <c r="R9384" i="58"/>
  <c r="Q9383" i="58"/>
  <c r="R11469" i="58"/>
  <c r="Q11468" i="58"/>
  <c r="R11981" i="58"/>
  <c r="Q11980" i="58"/>
  <c r="R7022" i="58"/>
  <c r="Q7021" i="58"/>
  <c r="R3641" i="58"/>
  <c r="R3640" i="58"/>
  <c r="R6230" i="58"/>
  <c r="Q6229" i="58"/>
  <c r="R9644" i="58"/>
  <c r="Q9643" i="58"/>
  <c r="R12524" i="58"/>
  <c r="Q12523" i="58"/>
  <c r="R1534" i="58"/>
  <c r="Q1533" i="58"/>
  <c r="R2903" i="58"/>
  <c r="Q2902" i="58"/>
  <c r="R5348" i="58"/>
  <c r="Q5347" i="58"/>
  <c r="R8515" i="58"/>
  <c r="Q8514" i="58"/>
  <c r="R11016" i="58"/>
  <c r="Q11015" i="58"/>
  <c r="R12301" i="58"/>
  <c r="Q12300" i="58"/>
  <c r="R8802" i="58"/>
  <c r="Q8801" i="58"/>
  <c r="R1379" i="58"/>
  <c r="Q1378" i="58"/>
  <c r="R4541" i="58"/>
  <c r="Q4540" i="58"/>
  <c r="R9362" i="58"/>
  <c r="Q9361" i="58"/>
  <c r="R11028" i="58"/>
  <c r="Q11027" i="58"/>
  <c r="R3644" i="58"/>
  <c r="R3643" i="58"/>
  <c r="R10727" i="58"/>
  <c r="Q10726" i="58"/>
  <c r="R5911" i="58"/>
  <c r="Q5910" i="58"/>
  <c r="R8030" i="58"/>
  <c r="Q8029" i="58"/>
  <c r="R5685" i="58"/>
  <c r="Q5684" i="58"/>
  <c r="R6414" i="58"/>
  <c r="Q6413" i="58"/>
  <c r="R2638" i="58"/>
  <c r="Q2637" i="58"/>
  <c r="R3078" i="58"/>
  <c r="Q3077" i="58"/>
  <c r="R3185" i="58"/>
  <c r="R3184" i="58"/>
  <c r="R10341" i="58"/>
  <c r="Q10340" i="58"/>
  <c r="R6469" i="58"/>
  <c r="Q6468" i="58"/>
  <c r="R6375" i="58"/>
  <c r="Q6374" i="58"/>
  <c r="R9496" i="58"/>
  <c r="Q9495" i="58"/>
  <c r="R11513" i="58"/>
  <c r="Q11512" i="58"/>
  <c r="R1571" i="58"/>
  <c r="Q1570" i="58"/>
  <c r="R8816" i="58"/>
  <c r="Q8815" i="58"/>
  <c r="R2843" i="58"/>
  <c r="Q2842" i="58"/>
  <c r="R5131" i="58"/>
  <c r="Q5130" i="58"/>
  <c r="R7142" i="58"/>
  <c r="Q7141" i="58"/>
  <c r="R6945" i="58"/>
  <c r="Q6944" i="58"/>
  <c r="R7380" i="58"/>
  <c r="Q7379" i="58"/>
  <c r="R2558" i="58"/>
  <c r="Q2557" i="58"/>
  <c r="R1479" i="58"/>
  <c r="R1478" i="58"/>
  <c r="R10501" i="58"/>
  <c r="Q10500" i="58"/>
  <c r="R7551" i="58"/>
  <c r="Q7550" i="58"/>
  <c r="R7845" i="58"/>
  <c r="Q7844" i="58"/>
  <c r="R6244" i="58"/>
  <c r="Q6243" i="58"/>
  <c r="R2389" i="58"/>
  <c r="Q2388" i="58"/>
  <c r="R120" i="58"/>
  <c r="R119" i="58"/>
  <c r="R2016" i="58"/>
  <c r="Q2015" i="58"/>
  <c r="R2601" i="58"/>
  <c r="Q2600" i="58"/>
  <c r="R8972" i="58"/>
  <c r="Q8971" i="58"/>
  <c r="R2161" i="58"/>
  <c r="Q2160" i="58"/>
  <c r="R8023" i="58"/>
  <c r="Q8022" i="58"/>
  <c r="R5001" i="58"/>
  <c r="Q5000" i="58"/>
  <c r="R4768" i="58"/>
  <c r="Q4767" i="58"/>
  <c r="R12501" i="58"/>
  <c r="R12500" i="58"/>
  <c r="R11299" i="58"/>
  <c r="Q11298" i="58"/>
  <c r="R7520" i="58"/>
  <c r="Q7519" i="58"/>
  <c r="R6101" i="58"/>
  <c r="Q6100" i="58"/>
  <c r="R1690" i="58"/>
  <c r="Q1689" i="58"/>
  <c r="R783" i="58"/>
  <c r="Q782" i="58"/>
  <c r="R1087" i="58"/>
  <c r="R1086" i="58"/>
  <c r="R9838" i="58"/>
  <c r="Q9837" i="58"/>
  <c r="R8895" i="58"/>
  <c r="Q8894" i="58"/>
  <c r="R2497" i="58"/>
  <c r="Q2496" i="58"/>
  <c r="R6063" i="58"/>
  <c r="Q6062" i="58"/>
  <c r="R9952" i="58"/>
  <c r="Q9951" i="58"/>
  <c r="R8693" i="58"/>
  <c r="Q8692" i="58"/>
  <c r="Q3971" i="58"/>
  <c r="R3972" i="58"/>
  <c r="R7568" i="58"/>
  <c r="Q7567" i="58"/>
  <c r="R6114" i="58"/>
  <c r="Q6113" i="58"/>
  <c r="R1541" i="58"/>
  <c r="Q1540" i="58"/>
  <c r="R2534" i="58"/>
  <c r="Q2533" i="58"/>
  <c r="R7085" i="58"/>
  <c r="Q7084" i="58"/>
  <c r="R4077" i="58"/>
  <c r="Q4076" i="58"/>
  <c r="R8301" i="58"/>
  <c r="Q8300" i="58"/>
  <c r="R884" i="58"/>
  <c r="Q883" i="58"/>
  <c r="Q11365" i="58"/>
  <c r="R11366" i="58"/>
  <c r="Q11826" i="58"/>
  <c r="R11827" i="58"/>
  <c r="R1199" i="58"/>
  <c r="Q1198" i="58"/>
  <c r="R4184" i="58"/>
  <c r="Q4183" i="58"/>
  <c r="R5858" i="58"/>
  <c r="Q5857" i="58"/>
  <c r="R9436" i="58"/>
  <c r="Q9435" i="58"/>
  <c r="R8423" i="58"/>
  <c r="Q8422" i="58"/>
  <c r="Q1936" i="58"/>
  <c r="R1937" i="58"/>
  <c r="R11974" i="58"/>
  <c r="Q11973" i="58"/>
  <c r="R99" i="58"/>
  <c r="R98" i="58"/>
  <c r="R96" i="58"/>
  <c r="R95" i="58"/>
  <c r="R4825" i="58"/>
  <c r="Q4824" i="58"/>
  <c r="Q11493" i="58"/>
  <c r="R11494" i="58"/>
  <c r="R5966" i="58"/>
  <c r="Q5965" i="58"/>
  <c r="R9202" i="58"/>
  <c r="Q9201" i="58"/>
  <c r="R2125" i="58"/>
  <c r="Q2124" i="58"/>
  <c r="R6027" i="58"/>
  <c r="Q6026" i="58"/>
  <c r="R7583" i="58"/>
  <c r="Q7582" i="58"/>
  <c r="R11747" i="58"/>
  <c r="Q11746" i="58"/>
  <c r="R5735" i="58"/>
  <c r="Q5734" i="58"/>
  <c r="R10681" i="58"/>
  <c r="Q10680" i="58"/>
  <c r="R4628" i="58"/>
  <c r="Q4627" i="58"/>
  <c r="R4261" i="58"/>
  <c r="Q4260" i="58"/>
  <c r="R4710" i="58"/>
  <c r="Q4709" i="58"/>
  <c r="R9745" i="58"/>
  <c r="Q9744" i="58"/>
  <c r="R1397" i="58"/>
  <c r="Q1396" i="58"/>
  <c r="Q1045" i="58"/>
  <c r="R3356" i="58"/>
  <c r="R3355" i="58"/>
  <c r="R868" i="58"/>
  <c r="Q867" i="58"/>
  <c r="R5383" i="58"/>
  <c r="Q5382" i="58"/>
  <c r="R910" i="58"/>
  <c r="Q909" i="58"/>
  <c r="R10441" i="58"/>
  <c r="Q10440" i="58"/>
  <c r="R1342" i="58"/>
  <c r="Q1341" i="58"/>
  <c r="R3332" i="58"/>
  <c r="R3331" i="58"/>
  <c r="R12585" i="58"/>
  <c r="Q12584" i="58"/>
  <c r="R7770" i="58"/>
  <c r="Q7769" i="58"/>
  <c r="R6441" i="58"/>
  <c r="Q6440" i="58"/>
  <c r="R3602" i="58"/>
  <c r="R3601" i="58"/>
  <c r="R12614" i="58"/>
  <c r="Q12613" i="58"/>
  <c r="R9374" i="58"/>
  <c r="Q9373" i="58"/>
  <c r="R10882" i="58"/>
  <c r="Q10881" i="58"/>
  <c r="R7625" i="58"/>
  <c r="Q7624" i="58"/>
  <c r="R7935" i="58"/>
  <c r="Q7934" i="58"/>
  <c r="Q11901" i="58"/>
  <c r="R11902" i="58"/>
  <c r="R3084" i="58"/>
  <c r="Q3083" i="58"/>
  <c r="Q11146" i="58"/>
  <c r="R11147" i="58"/>
  <c r="R2424" i="58"/>
  <c r="Q2423" i="58"/>
  <c r="R2564" i="58"/>
  <c r="Q2563" i="58"/>
  <c r="R541" i="58"/>
  <c r="Q540" i="58"/>
  <c r="R2928" i="58"/>
  <c r="Q2927" i="58"/>
  <c r="R5111" i="58"/>
  <c r="R5110" i="58"/>
  <c r="R3350" i="58"/>
  <c r="R3349" i="58"/>
  <c r="R4483" i="58"/>
  <c r="Q4482" i="58"/>
  <c r="R11034" i="58"/>
  <c r="Q11033" i="58"/>
  <c r="R808" i="58"/>
  <c r="Q807" i="58"/>
  <c r="R4416" i="58"/>
  <c r="Q4415" i="58"/>
  <c r="R6980" i="58"/>
  <c r="Q6979" i="58"/>
  <c r="R1600" i="58"/>
  <c r="Q1599" i="58"/>
  <c r="R141" i="58"/>
  <c r="R140" i="58"/>
  <c r="R2093" i="58"/>
  <c r="Q2092" i="58"/>
  <c r="R2983" i="58"/>
  <c r="Q2982" i="58"/>
  <c r="R3581" i="58"/>
  <c r="R3580" i="58"/>
  <c r="R1238" i="58"/>
  <c r="R1237" i="58"/>
  <c r="R4107" i="58"/>
  <c r="Q4106" i="58"/>
  <c r="R2222" i="58"/>
  <c r="Q2221" i="58"/>
  <c r="R1846" i="58"/>
  <c r="R1845" i="58"/>
  <c r="R3963" i="58"/>
  <c r="Q3962" i="58"/>
  <c r="Q4160" i="58"/>
  <c r="R4161" i="58"/>
  <c r="R1720" i="58"/>
  <c r="Q1719" i="58"/>
  <c r="R5061" i="58"/>
  <c r="Q5060" i="58"/>
  <c r="Q1972" i="58"/>
  <c r="R1973" i="58"/>
  <c r="R3102" i="58"/>
  <c r="Q3101" i="58"/>
  <c r="R855" i="58"/>
  <c r="Q854" i="58"/>
  <c r="Q1027" i="58"/>
  <c r="R1028" i="58"/>
  <c r="R4041" i="58"/>
  <c r="Q4040" i="58"/>
  <c r="R11381" i="58"/>
  <c r="Q11380" i="58"/>
  <c r="R1776" i="58"/>
  <c r="Q1775" i="58"/>
  <c r="R3980" i="58"/>
  <c r="Q3979" i="58"/>
  <c r="R11811" i="58"/>
  <c r="Q11810" i="58"/>
  <c r="R2453" i="58"/>
  <c r="R2452" i="58"/>
  <c r="R787" i="58"/>
  <c r="Q786" i="58"/>
  <c r="R3902" i="58"/>
  <c r="Q3901" i="58"/>
  <c r="R5490" i="58"/>
  <c r="Q5489" i="58"/>
  <c r="Q11533" i="58"/>
  <c r="R11534" i="58"/>
  <c r="R1191" i="58"/>
  <c r="Q1190" i="58"/>
  <c r="R3371" i="58"/>
  <c r="R3370" i="58"/>
  <c r="R3188" i="58"/>
  <c r="R3187" i="58"/>
  <c r="R3359" i="58"/>
  <c r="R3358" i="58"/>
  <c r="R5568" i="58"/>
  <c r="Q5567" i="58"/>
  <c r="R2238" i="58"/>
  <c r="Q2237" i="58"/>
  <c r="R3749" i="58"/>
  <c r="R3748" i="58"/>
  <c r="R8986" i="58"/>
  <c r="Q8985" i="58"/>
  <c r="R2233" i="58"/>
  <c r="Q2232" i="58"/>
  <c r="R1588" i="58"/>
  <c r="Q1587" i="58"/>
  <c r="R262" i="58"/>
  <c r="Q261" i="58"/>
  <c r="R7197" i="58"/>
  <c r="Q7196" i="58"/>
  <c r="R10995" i="58"/>
  <c r="R10994" i="58"/>
  <c r="R313" i="58"/>
  <c r="Q312" i="58"/>
  <c r="R11757" i="58"/>
  <c r="Q11756" i="58"/>
  <c r="R4964" i="58"/>
  <c r="Q4963" i="58"/>
  <c r="R891" i="58"/>
  <c r="Q890" i="58"/>
  <c r="R11898" i="58"/>
  <c r="Q11897" i="58"/>
  <c r="R6000" i="58"/>
  <c r="Q5999" i="58"/>
  <c r="R6035" i="58"/>
  <c r="Q6034" i="58"/>
  <c r="R7656" i="58"/>
  <c r="Q7655" i="58"/>
  <c r="R12606" i="58"/>
  <c r="Q12605" i="58"/>
  <c r="R4947" i="58"/>
  <c r="Q4946" i="58"/>
  <c r="R11892" i="58"/>
  <c r="Q11891" i="58"/>
  <c r="R2280" i="58"/>
  <c r="Q2279" i="58"/>
  <c r="R2141" i="58"/>
  <c r="Q2140" i="58"/>
  <c r="R1383" i="58"/>
  <c r="Q1382" i="58"/>
  <c r="R6204" i="58"/>
  <c r="Q6203" i="58"/>
  <c r="R13066" i="58"/>
  <c r="Q13065" i="58"/>
  <c r="R814" i="58"/>
  <c r="Q813" i="58"/>
  <c r="R12505" i="58"/>
  <c r="Q12504" i="58"/>
  <c r="R2920" i="58"/>
  <c r="Q2919" i="58"/>
  <c r="R10106" i="58"/>
  <c r="Q10105" i="58"/>
  <c r="R10051" i="58"/>
  <c r="Q10050" i="58"/>
  <c r="R6498" i="58"/>
  <c r="Q6497" i="58"/>
  <c r="R3838" i="58"/>
  <c r="Q3837" i="58"/>
  <c r="R4052" i="58"/>
  <c r="Q4051" i="58"/>
  <c r="R6335" i="58"/>
  <c r="Q6334" i="58"/>
  <c r="R12129" i="58"/>
  <c r="Q12128" i="58"/>
  <c r="R6842" i="58"/>
  <c r="Q6841" i="58"/>
  <c r="R5402" i="58"/>
  <c r="Q5401" i="58"/>
  <c r="R10769" i="58"/>
  <c r="Q10768" i="58"/>
  <c r="R8010" i="58"/>
  <c r="Q8009" i="58"/>
  <c r="R8628" i="58"/>
  <c r="Q8627" i="58"/>
  <c r="R8883" i="58"/>
  <c r="Q8882" i="58"/>
  <c r="R7799" i="58"/>
  <c r="Q7798" i="58"/>
  <c r="R2715" i="58"/>
  <c r="Q2714" i="58"/>
  <c r="R5550" i="58"/>
  <c r="Q5549" i="58"/>
  <c r="R201" i="58"/>
  <c r="R200" i="58"/>
  <c r="R10871" i="58"/>
  <c r="Q10870" i="58"/>
  <c r="R6178" i="58"/>
  <c r="Q6177" i="58"/>
  <c r="R2270" i="58"/>
  <c r="Q2269" i="58"/>
  <c r="R8402" i="58"/>
  <c r="Q8401" i="58"/>
  <c r="R604" i="58"/>
  <c r="Q603" i="58"/>
  <c r="R10179" i="58"/>
  <c r="Q10178" i="58"/>
  <c r="R3485" i="58"/>
  <c r="R3484" i="58"/>
  <c r="R12706" i="58"/>
  <c r="Q12705" i="58"/>
  <c r="R5539" i="58"/>
  <c r="Q5538" i="58"/>
  <c r="R988" i="58"/>
  <c r="Q987" i="58"/>
  <c r="R2951" i="58"/>
  <c r="Q2950" i="58"/>
  <c r="R9540" i="58"/>
  <c r="Q9539" i="58"/>
  <c r="R1427" i="58"/>
  <c r="Q1426" i="58"/>
  <c r="R11197" i="58"/>
  <c r="Q11196" i="58"/>
  <c r="R11707" i="58"/>
  <c r="Q11706" i="58"/>
  <c r="R4747" i="58"/>
  <c r="Q4746" i="58"/>
  <c r="R5706" i="58"/>
  <c r="Q5705" i="58"/>
  <c r="R7876" i="58"/>
  <c r="Q7875" i="58"/>
  <c r="R8138" i="58"/>
  <c r="Q8137" i="58"/>
  <c r="R8154" i="58"/>
  <c r="Q8153" i="58"/>
  <c r="R7829" i="58"/>
  <c r="Q7828" i="58"/>
  <c r="R11389" i="58"/>
  <c r="Q11388" i="58"/>
  <c r="R9529" i="58"/>
  <c r="Q9528" i="58"/>
  <c r="R7386" i="58"/>
  <c r="Q7385" i="58"/>
  <c r="Q2034" i="58"/>
  <c r="R2035" i="58"/>
  <c r="R4959" i="58"/>
  <c r="Q4958" i="58"/>
  <c r="R3221" i="58"/>
  <c r="R3220" i="58"/>
  <c r="R6512" i="58"/>
  <c r="Q6511" i="58"/>
  <c r="R8044" i="58"/>
  <c r="Q8043" i="58"/>
  <c r="R13023" i="58"/>
  <c r="Q13022" i="58"/>
  <c r="R11969" i="58"/>
  <c r="Q11968" i="58"/>
  <c r="R5524" i="58"/>
  <c r="Q5523" i="58"/>
  <c r="R2190" i="58"/>
  <c r="Q2189" i="58"/>
  <c r="R3126" i="58"/>
  <c r="Q3125" i="58"/>
  <c r="R414" i="58"/>
  <c r="Q413" i="58"/>
  <c r="R11781" i="58"/>
  <c r="Q11780" i="58"/>
  <c r="R11987" i="58"/>
  <c r="Q11986" i="58"/>
  <c r="R2294" i="58"/>
  <c r="Q2293" i="58"/>
  <c r="R3121" i="58"/>
  <c r="Q3120" i="58"/>
  <c r="R295" i="58"/>
  <c r="Q294" i="58"/>
  <c r="R9565" i="58"/>
  <c r="Q9564" i="58"/>
  <c r="R1831" i="58"/>
  <c r="Q1830" i="58"/>
  <c r="R7184" i="58"/>
  <c r="Q7183" i="58"/>
  <c r="R5993" i="58"/>
  <c r="Q5992" i="58"/>
  <c r="R12380" i="58"/>
  <c r="Q12379" i="58"/>
  <c r="R4190" i="58"/>
  <c r="Q4189" i="58"/>
  <c r="R12959" i="58"/>
  <c r="Q12958" i="58"/>
  <c r="Q5614" i="58"/>
  <c r="R5615" i="58"/>
  <c r="R12070" i="58"/>
  <c r="Q12069" i="58"/>
  <c r="R4454" i="58"/>
  <c r="R4453" i="58"/>
  <c r="R6902" i="58"/>
  <c r="Q6901" i="58"/>
  <c r="R5677" i="58"/>
  <c r="Q5676" i="58"/>
  <c r="R2546" i="58"/>
  <c r="Q2545" i="58"/>
  <c r="R12760" i="58"/>
  <c r="Q12759" i="58"/>
  <c r="R6916" i="58"/>
  <c r="Q6915" i="58"/>
  <c r="Q299" i="58"/>
  <c r="R300" i="58"/>
  <c r="R6952" i="58"/>
  <c r="Q6951" i="58"/>
  <c r="R10805" i="58"/>
  <c r="Q10804" i="58"/>
  <c r="R12883" i="58"/>
  <c r="Q12882" i="58"/>
  <c r="R1012" i="58"/>
  <c r="Q1011" i="58"/>
  <c r="R11686" i="58"/>
  <c r="Q11685" i="58"/>
  <c r="R9304" i="58"/>
  <c r="Q9303" i="58"/>
  <c r="Q9036" i="58"/>
  <c r="R9037" i="58"/>
  <c r="R957" i="58"/>
  <c r="Q956" i="58"/>
  <c r="R1545" i="58"/>
  <c r="R1544" i="58"/>
  <c r="R2799" i="58"/>
  <c r="Q2798" i="58"/>
  <c r="R4173" i="58"/>
  <c r="Q4172" i="58"/>
  <c r="R11503" i="58"/>
  <c r="Q11502" i="58"/>
  <c r="R3874" i="58"/>
  <c r="Q3873" i="58"/>
  <c r="R920" i="58"/>
  <c r="Q919" i="58"/>
  <c r="R4573" i="58"/>
  <c r="Q4572" i="58"/>
  <c r="R2347" i="58"/>
  <c r="Q2346" i="58"/>
  <c r="R9263" i="58"/>
  <c r="Q9262" i="58"/>
  <c r="R6660" i="58"/>
  <c r="Q6659" i="58"/>
  <c r="R1607" i="58"/>
  <c r="Q1606" i="58"/>
  <c r="R8705" i="58"/>
  <c r="Q8704" i="58"/>
  <c r="R939" i="58"/>
  <c r="Q938" i="58"/>
  <c r="R6796" i="58"/>
  <c r="Q6795" i="58"/>
  <c r="Q10169" i="58"/>
  <c r="R10170" i="58"/>
  <c r="R11993" i="58"/>
  <c r="Q11992" i="58"/>
  <c r="R7415" i="58"/>
  <c r="Q7414" i="58"/>
  <c r="R3377" i="58"/>
  <c r="R3376" i="58"/>
  <c r="R2383" i="58"/>
  <c r="Q2382" i="58"/>
  <c r="R6966" i="58"/>
  <c r="Q6965" i="58"/>
  <c r="R11867" i="58"/>
  <c r="Q11866" i="58"/>
  <c r="Q1654" i="58"/>
  <c r="R1655" i="58"/>
  <c r="R1444" i="58"/>
  <c r="Q1443" i="58"/>
  <c r="R9517" i="58"/>
  <c r="Q9516" i="58"/>
  <c r="R10861" i="58"/>
  <c r="Q10860" i="58"/>
  <c r="R12869" i="58"/>
  <c r="Q12868" i="58"/>
  <c r="R10959" i="58"/>
  <c r="Q10958" i="58"/>
  <c r="R7098" i="58"/>
  <c r="Q7097" i="58"/>
  <c r="R11322" i="58"/>
  <c r="Q11321" i="58"/>
  <c r="R2420" i="58"/>
  <c r="Q2419" i="58"/>
  <c r="R4033" i="58"/>
  <c r="Q4032" i="58"/>
  <c r="R9614" i="58"/>
  <c r="Q9613" i="58"/>
  <c r="R11406" i="58"/>
  <c r="Q11405" i="58"/>
  <c r="R4194" i="58"/>
  <c r="R4193" i="58"/>
  <c r="R11926" i="58"/>
  <c r="Q11925" i="58"/>
  <c r="R9113" i="58"/>
  <c r="Q9112" i="58"/>
  <c r="R11563" i="58"/>
  <c r="Q11562" i="58"/>
  <c r="R5007" i="58"/>
  <c r="Q5006" i="58"/>
  <c r="R5742" i="58"/>
  <c r="Q5741" i="58"/>
  <c r="R2408" i="58"/>
  <c r="Q2407" i="58"/>
  <c r="R7966" i="58"/>
  <c r="Q7965" i="58"/>
  <c r="R7456" i="58"/>
  <c r="Q7455" i="58"/>
  <c r="R9655" i="58"/>
  <c r="Q9654" i="58"/>
  <c r="R526" i="58"/>
  <c r="Q525" i="58"/>
  <c r="R1894" i="58"/>
  <c r="R1893" i="58"/>
  <c r="R11769" i="58"/>
  <c r="Q11768" i="58"/>
  <c r="R5925" i="58"/>
  <c r="Q5924" i="58"/>
  <c r="R1449" i="58"/>
  <c r="Q1448" i="58"/>
  <c r="R5234" i="58"/>
  <c r="Q5233" i="58"/>
  <c r="R10985" i="58"/>
  <c r="R10984" i="58"/>
  <c r="R10788" i="58"/>
  <c r="Q10787" i="58"/>
  <c r="R3500" i="58"/>
  <c r="R3499" i="58"/>
  <c r="R4112" i="58"/>
  <c r="Q4111" i="58"/>
  <c r="R11091" i="58"/>
  <c r="Q11090" i="58"/>
  <c r="R1318" i="58"/>
  <c r="Q1317" i="58"/>
  <c r="R9337" i="58"/>
  <c r="Q9336" i="58"/>
  <c r="R4124" i="58"/>
  <c r="Q4123" i="58"/>
  <c r="R10381" i="58"/>
  <c r="Q10380" i="58"/>
  <c r="R7392" i="58"/>
  <c r="Q7391" i="58"/>
  <c r="R13013" i="58"/>
  <c r="Q13012" i="58"/>
  <c r="Q7535" i="58"/>
  <c r="R7536" i="58"/>
  <c r="R7042" i="58"/>
  <c r="Q7041" i="58"/>
  <c r="R1143" i="58"/>
  <c r="Q1142" i="58"/>
  <c r="R4366" i="58"/>
  <c r="Q4365" i="58"/>
  <c r="R10415" i="58"/>
  <c r="Q10414" i="58"/>
  <c r="R4322" i="58"/>
  <c r="Q4321" i="58"/>
  <c r="R11553" i="58"/>
  <c r="Q11552" i="58"/>
  <c r="Q8307" i="58"/>
  <c r="R8308" i="58"/>
  <c r="R12855" i="58"/>
  <c r="Q12854" i="58"/>
  <c r="R3515" i="58"/>
  <c r="R3514" i="58"/>
  <c r="R7246" i="58"/>
  <c r="Q7245" i="58"/>
  <c r="R8065" i="58"/>
  <c r="Q8064" i="58"/>
  <c r="R12404" i="58"/>
  <c r="Q12403" i="58"/>
  <c r="R3090" i="58"/>
  <c r="Q3089" i="58"/>
  <c r="R9025" i="58"/>
  <c r="Q9024" i="58"/>
  <c r="R10062" i="58"/>
  <c r="Q10061" i="58"/>
  <c r="R12270" i="58"/>
  <c r="Q12269" i="58"/>
  <c r="R1726" i="58"/>
  <c r="Q1725" i="58"/>
  <c r="R7764" i="58"/>
  <c r="Q7763" i="58"/>
  <c r="R7779" i="58"/>
  <c r="Q7778" i="58"/>
  <c r="R4464" i="58"/>
  <c r="Q4463" i="58"/>
  <c r="R4816" i="58"/>
  <c r="Q4815" i="58"/>
  <c r="R657" i="58"/>
  <c r="Q655" i="58"/>
  <c r="Q656" i="58"/>
  <c r="R656" i="58" s="1"/>
  <c r="R8354" i="58"/>
  <c r="Q8353" i="58"/>
  <c r="R11056" i="58"/>
  <c r="Q11055" i="58"/>
  <c r="R10463" i="58"/>
  <c r="Q10462" i="58"/>
  <c r="R11458" i="58"/>
  <c r="Q11457" i="58"/>
  <c r="R2746" i="58"/>
  <c r="Q2745" i="58"/>
  <c r="R962" i="58"/>
  <c r="Q961" i="58"/>
  <c r="R1516" i="58"/>
  <c r="Q1515" i="58"/>
  <c r="R3200" i="58"/>
  <c r="R3199" i="58"/>
  <c r="R6483" i="58"/>
  <c r="Q6482" i="58"/>
  <c r="R2395" i="58"/>
  <c r="Q2394" i="58"/>
  <c r="R12732" i="58"/>
  <c r="Q12731" i="58"/>
  <c r="R2763" i="58"/>
  <c r="Q2762" i="58"/>
  <c r="R12595" i="58"/>
  <c r="Q12594" i="58"/>
  <c r="R1885" i="58"/>
  <c r="Q1884" i="58"/>
  <c r="R5071" i="58"/>
  <c r="Q5070" i="58"/>
  <c r="R10620" i="58"/>
  <c r="Q10619" i="58"/>
  <c r="R8550" i="58"/>
  <c r="Q8549" i="58"/>
  <c r="R1355" i="58"/>
  <c r="Q1354" i="58"/>
  <c r="R1149" i="58"/>
  <c r="Q1148" i="58"/>
  <c r="R8437" i="58"/>
  <c r="R8438" i="58"/>
  <c r="R10528" i="58"/>
  <c r="Q10527" i="58"/>
  <c r="R13004" i="58"/>
  <c r="Q13003" i="58"/>
  <c r="R11722" i="58"/>
  <c r="Q11721" i="58"/>
  <c r="R4844" i="58"/>
  <c r="Q4843" i="58"/>
  <c r="R1758" i="58"/>
  <c r="Q1757" i="58"/>
  <c r="R3398" i="58"/>
  <c r="R3397" i="58"/>
  <c r="R1801" i="58"/>
  <c r="Q1800" i="58"/>
  <c r="R5898" i="58"/>
  <c r="Q5897" i="58"/>
  <c r="R7320" i="58"/>
  <c r="Q7319" i="58"/>
  <c r="R5436" i="58"/>
  <c r="Q5435" i="58"/>
  <c r="R10748" i="58"/>
  <c r="Q10747" i="58"/>
  <c r="R1738" i="58"/>
  <c r="Q1737" i="58"/>
  <c r="R3863" i="58"/>
  <c r="Q3862" i="58"/>
  <c r="R3362" i="58"/>
  <c r="R3361" i="58"/>
  <c r="R4972" i="58"/>
  <c r="Q4971" i="58"/>
  <c r="R4130" i="58"/>
  <c r="Q4129" i="58"/>
  <c r="R11487" i="58"/>
  <c r="Q11486" i="58"/>
  <c r="R5158" i="58"/>
  <c r="Q5157" i="58"/>
  <c r="R6191" i="58"/>
  <c r="Q6190" i="58"/>
  <c r="R8317" i="58"/>
  <c r="R8316" i="58"/>
  <c r="R8273" i="58"/>
  <c r="Q8272" i="58"/>
  <c r="R2945" i="58"/>
  <c r="Q2944" i="58"/>
  <c r="Q1636" i="58"/>
  <c r="R1637" i="58"/>
  <c r="R10264" i="58"/>
  <c r="Q10263" i="58"/>
  <c r="R2656" i="58"/>
  <c r="Q2655" i="58"/>
  <c r="R2740" i="58"/>
  <c r="Q2739" i="58"/>
  <c r="R4401" i="58"/>
  <c r="Q4400" i="58"/>
  <c r="R832" i="58"/>
  <c r="Q831" i="58"/>
  <c r="R5271" i="58"/>
  <c r="Q5270" i="58"/>
  <c r="Q2768" i="58"/>
  <c r="R2769" i="58"/>
  <c r="R982" i="58"/>
  <c r="Q981" i="58"/>
  <c r="R976" i="58"/>
  <c r="Q975" i="58"/>
  <c r="R2107" i="58"/>
  <c r="Q2106" i="58"/>
  <c r="R3368" i="58"/>
  <c r="R3367" i="58"/>
  <c r="R7266" i="58"/>
  <c r="Q7265" i="58"/>
  <c r="R4929" i="58"/>
  <c r="Q4928" i="58"/>
  <c r="R5114" i="58"/>
  <c r="R5113" i="58"/>
  <c r="R9922" i="58"/>
  <c r="Q9921" i="58"/>
  <c r="R3114" i="58"/>
  <c r="Q3113" i="58"/>
  <c r="R9423" i="58"/>
  <c r="Q9422" i="58"/>
  <c r="R5665" i="58"/>
  <c r="Q5664" i="58"/>
  <c r="R9124" i="58"/>
  <c r="Q9123" i="58"/>
  <c r="R1455" i="58"/>
  <c r="Q1454" i="58"/>
  <c r="R1793" i="58"/>
  <c r="Q1792" i="58"/>
  <c r="R6737" i="58"/>
  <c r="Q6736" i="58"/>
  <c r="R4118" i="58"/>
  <c r="Q4117" i="58"/>
  <c r="R9314" i="58"/>
  <c r="Q9313" i="58"/>
  <c r="R4993" i="58"/>
  <c r="Q4992" i="58"/>
  <c r="R8124" i="58"/>
  <c r="Q8123" i="58"/>
  <c r="R3518" i="58"/>
  <c r="R3517" i="58"/>
  <c r="R5197" i="58"/>
  <c r="Q5196" i="58"/>
  <c r="R11836" i="58"/>
  <c r="Q11835" i="58"/>
  <c r="R11573" i="58"/>
  <c r="Q11572" i="58"/>
  <c r="R628" i="58"/>
  <c r="Q627" i="58"/>
  <c r="R11640" i="58"/>
  <c r="Q11639" i="58"/>
  <c r="R6361" i="58"/>
  <c r="Q6360" i="58"/>
  <c r="R4593" i="58"/>
  <c r="Q4592" i="58"/>
  <c r="R4787" i="58"/>
  <c r="Q4786" i="58"/>
  <c r="R11227" i="58"/>
  <c r="Q11226" i="58"/>
  <c r="R826" i="58"/>
  <c r="Q825" i="58"/>
  <c r="R3497" i="58"/>
  <c r="R3496" i="58"/>
  <c r="R6557" i="58"/>
  <c r="Q6556" i="58"/>
  <c r="R12906" i="58"/>
  <c r="Q12905" i="58"/>
  <c r="R10477" i="58"/>
  <c r="Q10476" i="58"/>
  <c r="R1064" i="58"/>
  <c r="Q1063" i="58"/>
  <c r="R1686" i="58"/>
  <c r="Q1685" i="58"/>
  <c r="Q2010" i="58"/>
  <c r="R2011" i="58"/>
  <c r="R1223" i="58"/>
  <c r="Q1222" i="58"/>
  <c r="R2022" i="58"/>
  <c r="Q2021" i="58"/>
  <c r="R1926" i="58"/>
  <c r="Q1925" i="58"/>
  <c r="R1564" i="58"/>
  <c r="Q1563" i="58"/>
  <c r="R616" i="58"/>
  <c r="Q615" i="58"/>
  <c r="R2137" i="58"/>
  <c r="Q2136" i="58"/>
  <c r="R2886" i="58"/>
  <c r="Q2885" i="58"/>
  <c r="R598" i="58"/>
  <c r="Q597" i="58"/>
  <c r="R10488" i="58"/>
  <c r="Q10487" i="58"/>
  <c r="R1216" i="58"/>
  <c r="Q1215" i="58"/>
  <c r="R3911" i="58"/>
  <c r="Q3910" i="58"/>
  <c r="R9394" i="58"/>
  <c r="Q9393" i="58"/>
  <c r="R1071" i="58"/>
  <c r="Q1070" i="58"/>
  <c r="R5887" i="58"/>
  <c r="Q5886" i="58"/>
  <c r="R1807" i="58"/>
  <c r="Q1806" i="58"/>
  <c r="R4203" i="58"/>
  <c r="Q4202" i="58"/>
  <c r="R9222" i="58"/>
  <c r="Q9221" i="58"/>
  <c r="R1902" i="58"/>
  <c r="Q1901" i="58"/>
  <c r="R2100" i="58"/>
  <c r="Q2099" i="58"/>
  <c r="R711" i="58"/>
  <c r="Q710" i="58"/>
  <c r="R3179" i="58"/>
  <c r="R3178" i="58"/>
  <c r="R2856" i="58"/>
  <c r="Q2855" i="58"/>
  <c r="R4806" i="58"/>
  <c r="Q4805" i="58"/>
  <c r="Q4429" i="58"/>
  <c r="R4430" i="58"/>
  <c r="R9554" i="58"/>
  <c r="Q9553" i="58"/>
  <c r="R12261" i="58"/>
  <c r="Q12260" i="58"/>
  <c r="R2214" i="58"/>
  <c r="Q2213" i="58"/>
  <c r="R3599" i="58"/>
  <c r="R3598" i="58"/>
  <c r="R1348" i="58"/>
  <c r="Q1347" i="58"/>
  <c r="R57" i="58"/>
  <c r="R56" i="58"/>
  <c r="R7072" i="58"/>
  <c r="Q7071" i="58"/>
  <c r="R11952" i="58"/>
  <c r="Q11951" i="58"/>
  <c r="R7463" i="58"/>
  <c r="R10758" i="58"/>
  <c r="Q10757" i="58"/>
  <c r="Q12429" i="58"/>
  <c r="R12430" i="58"/>
  <c r="R994" i="58"/>
  <c r="Q993" i="58"/>
  <c r="R7673" i="58"/>
  <c r="Q7672" i="58"/>
  <c r="R12049" i="58"/>
  <c r="Q12048" i="58"/>
  <c r="R4021" i="58"/>
  <c r="Q4020" i="58"/>
  <c r="R3674" i="58"/>
  <c r="R3673" i="58"/>
  <c r="R7289" i="58"/>
  <c r="Q7288" i="58"/>
  <c r="R12141" i="58"/>
  <c r="Q12140" i="58"/>
  <c r="R12219" i="58"/>
  <c r="Q12218" i="58"/>
  <c r="R5585" i="58"/>
  <c r="Q5584" i="58"/>
  <c r="R6348" i="58"/>
  <c r="Q6347" i="58"/>
  <c r="R4472" i="58"/>
  <c r="Q4471" i="58"/>
  <c r="R7428" i="58"/>
  <c r="Q7427" i="58"/>
  <c r="R9894" i="58"/>
  <c r="Q9893" i="58"/>
  <c r="R10081" i="58"/>
  <c r="Q10080" i="58"/>
  <c r="R12477" i="58"/>
  <c r="Q12476" i="58"/>
  <c r="R12110" i="58"/>
  <c r="Q12109" i="58"/>
  <c r="R12862" i="58"/>
  <c r="Q12861" i="58"/>
  <c r="R12931" i="58"/>
  <c r="R12930" i="58"/>
  <c r="Q835" i="58"/>
  <c r="R836" i="58"/>
  <c r="R1100" i="58"/>
  <c r="Q1099" i="58"/>
  <c r="R457" i="58"/>
  <c r="R456" i="58"/>
  <c r="R7028" i="58"/>
  <c r="Q7027" i="58"/>
  <c r="R10370" i="58"/>
  <c r="Q10369" i="58"/>
  <c r="R7232" i="58"/>
  <c r="Q7231" i="58"/>
  <c r="R2937" i="58"/>
  <c r="R2936" i="58"/>
  <c r="R6043" i="58"/>
  <c r="Q6042" i="58"/>
  <c r="R12122" i="58"/>
  <c r="Q12121" i="58"/>
  <c r="R8332" i="58"/>
  <c r="R8331" i="58"/>
  <c r="R1107" i="58"/>
  <c r="Q1106" i="58"/>
  <c r="Q4898" i="58"/>
  <c r="R4899" i="58"/>
  <c r="R5124" i="58"/>
  <c r="Q5123" i="58"/>
  <c r="Q4935" i="58"/>
  <c r="R4936" i="58"/>
  <c r="Q8608" i="58" l="1"/>
  <c r="R8609" i="58"/>
  <c r="Q8084" i="58"/>
  <c r="R7449" i="58"/>
  <c r="Q7448" i="58"/>
  <c r="R7950" i="58"/>
  <c r="Q7949" i="58"/>
  <c r="Q5418" i="58"/>
  <c r="R5419" i="58"/>
  <c r="R4839" i="58"/>
  <c r="Q4838" i="58"/>
  <c r="R12115" i="58"/>
  <c r="Q12114" i="58"/>
  <c r="R11237" i="58"/>
  <c r="Q11236" i="58"/>
  <c r="R1083" i="58"/>
  <c r="Q1082" i="58"/>
  <c r="R2460" i="58"/>
  <c r="Q2459" i="58"/>
  <c r="Q11610" i="58"/>
  <c r="R11611" i="58"/>
  <c r="R7612" i="58"/>
  <c r="Q7611" i="58"/>
  <c r="Q11007" i="58"/>
  <c r="R11008" i="58"/>
  <c r="R2552" i="58"/>
  <c r="Q2551" i="58"/>
  <c r="Q6986" i="58"/>
  <c r="R6987" i="58"/>
  <c r="R4358" i="58"/>
  <c r="Q5395" i="58"/>
  <c r="R5395" i="58" s="1"/>
  <c r="Q11448" i="58"/>
  <c r="R11448" i="58" s="1"/>
  <c r="R2757" i="58"/>
  <c r="R7056" i="58"/>
  <c r="Q7055" i="58"/>
  <c r="R10846" i="58"/>
  <c r="Q10845" i="58"/>
  <c r="R12831" i="58"/>
  <c r="Q12830" i="58"/>
  <c r="R13036" i="58"/>
  <c r="Q13035" i="58"/>
  <c r="R4289" i="58"/>
  <c r="Q4288" i="58"/>
  <c r="R9251" i="58"/>
  <c r="R5442" i="58"/>
  <c r="R2479" i="58"/>
  <c r="Q2478" i="58"/>
  <c r="R3992" i="58"/>
  <c r="Q3991" i="58"/>
  <c r="R5950" i="58"/>
  <c r="Q5949" i="58"/>
  <c r="R4420" i="58"/>
  <c r="Q4419" i="58"/>
  <c r="R637" i="58"/>
  <c r="R636" i="58"/>
  <c r="R5671" i="58"/>
  <c r="Q5670" i="58"/>
  <c r="R10400" i="58"/>
  <c r="Q10399" i="58"/>
  <c r="R186" i="58"/>
  <c r="Q185" i="58"/>
  <c r="R9325" i="58"/>
  <c r="Q9324" i="58"/>
  <c r="R2667" i="58"/>
  <c r="Q2666" i="58"/>
  <c r="Q8756" i="58"/>
  <c r="R8757" i="58"/>
  <c r="R8494" i="58"/>
  <c r="Q8493" i="58"/>
  <c r="R6854" i="58"/>
  <c r="Q6853" i="58"/>
  <c r="R7260" i="58"/>
  <c r="Q7259" i="58"/>
  <c r="Q6570" i="58"/>
  <c r="R6571" i="58"/>
  <c r="R4302" i="58"/>
  <c r="Q4301" i="58"/>
  <c r="R3883" i="58"/>
  <c r="Q3882" i="58"/>
  <c r="R4282" i="58"/>
  <c r="Q4281" i="58"/>
  <c r="R1306" i="58"/>
  <c r="Q1305" i="58"/>
  <c r="R3846" i="58"/>
  <c r="Q3845" i="58"/>
  <c r="Q11476" i="58"/>
  <c r="R11477" i="58"/>
  <c r="R4351" i="58"/>
  <c r="Q4350" i="58"/>
  <c r="R4154" i="58"/>
  <c r="Q4153" i="58"/>
  <c r="R12968" i="58"/>
  <c r="Q12967" i="58"/>
  <c r="R2208" i="58"/>
  <c r="Q2207" i="58"/>
  <c r="R2227" i="58"/>
  <c r="Q2226" i="58"/>
  <c r="R9713" i="58"/>
  <c r="Q9712" i="58"/>
  <c r="R7407" i="58"/>
  <c r="R2825" i="58"/>
  <c r="Q2824" i="58"/>
  <c r="R9942" i="58"/>
  <c r="Q9941" i="58"/>
  <c r="Q5506" i="58"/>
  <c r="R5507" i="58"/>
  <c r="R12417" i="58"/>
  <c r="R2621" i="58"/>
  <c r="Q8866" i="58"/>
  <c r="R8866" i="58" s="1"/>
  <c r="Q10350" i="58"/>
  <c r="R10350" i="58" s="1"/>
  <c r="R750" i="58"/>
  <c r="R749" i="58"/>
  <c r="Q2890" i="58"/>
  <c r="R2891" i="58"/>
  <c r="R2491" i="58"/>
  <c r="Q2490" i="58"/>
  <c r="R7860" i="58"/>
  <c r="Q7859" i="58"/>
  <c r="R9849" i="58"/>
  <c r="Q9848" i="58"/>
  <c r="R11207" i="58"/>
  <c r="Q11206" i="58"/>
  <c r="Q9604" i="58"/>
  <c r="R9605" i="58"/>
  <c r="R11021" i="58"/>
  <c r="Q11020" i="58"/>
  <c r="R2988" i="58"/>
  <c r="Q2987" i="58"/>
  <c r="R10275" i="58"/>
  <c r="Q10274" i="58"/>
  <c r="R11155" i="58"/>
  <c r="Q11154" i="58"/>
  <c r="R4582" i="58"/>
  <c r="Q4581" i="58"/>
  <c r="Q2502" i="58"/>
  <c r="Q9699" i="58"/>
  <c r="R9700" i="58"/>
  <c r="Q914" i="58"/>
  <c r="R915" i="58"/>
  <c r="R7334" i="58"/>
  <c r="Q7333" i="58"/>
  <c r="R2649" i="58"/>
  <c r="Q2648" i="58"/>
  <c r="R2867" i="58"/>
  <c r="Q2866" i="58"/>
  <c r="R1732" i="58"/>
  <c r="Q1731" i="58"/>
  <c r="R6385" i="58"/>
  <c r="Q6384" i="58"/>
  <c r="R2849" i="58"/>
  <c r="Q2848" i="58"/>
  <c r="R1672" i="58"/>
  <c r="Q1671" i="58"/>
  <c r="R9061" i="58"/>
  <c r="Q9060" i="58"/>
  <c r="Q5628" i="58"/>
  <c r="R5629" i="58"/>
  <c r="R8198" i="58"/>
  <c r="Q8197" i="58"/>
  <c r="R1228" i="58"/>
  <c r="Q1227" i="58"/>
  <c r="Q1648" i="58"/>
  <c r="R1649" i="58"/>
  <c r="R10827" i="58"/>
  <c r="Q10826" i="58"/>
  <c r="R13029" i="58"/>
  <c r="Q13028" i="58"/>
  <c r="Q650" i="58"/>
  <c r="R650" i="58" s="1"/>
  <c r="Q649" i="58"/>
  <c r="R651" i="58"/>
  <c r="R11246" i="58"/>
  <c r="Q11245" i="58"/>
  <c r="R5820" i="58"/>
  <c r="R12021" i="58"/>
  <c r="Q12020" i="58"/>
  <c r="R6049" i="58"/>
  <c r="Q6048" i="58"/>
  <c r="R9814" i="58"/>
  <c r="Q9813" i="58"/>
  <c r="R1703" i="58"/>
  <c r="Q1702" i="58"/>
  <c r="R5044" i="58"/>
  <c r="Q5043" i="58"/>
  <c r="R2401" i="58"/>
  <c r="Q2400" i="58"/>
  <c r="R11633" i="58"/>
  <c r="Q11632" i="58"/>
  <c r="R12845" i="58"/>
  <c r="Q12844" i="58"/>
  <c r="R12280" i="58"/>
  <c r="Q12279" i="58"/>
  <c r="R11907" i="58"/>
  <c r="R11906" i="58"/>
  <c r="Q9484" i="58"/>
  <c r="R9484" i="58" s="1"/>
  <c r="R12899" i="58"/>
  <c r="Q2993" i="58"/>
  <c r="R10991" i="58"/>
  <c r="Q10990" i="58"/>
  <c r="R7749" i="58"/>
  <c r="Q7748" i="58"/>
  <c r="R12995" i="58"/>
  <c r="Q12994" i="58"/>
  <c r="R8016" i="58"/>
  <c r="Q8015" i="58"/>
  <c r="R681" i="58"/>
  <c r="Q680" i="58"/>
  <c r="R4646" i="58"/>
  <c r="Q4645" i="58"/>
  <c r="R358" i="58"/>
  <c r="Q357" i="58"/>
  <c r="R1890" i="58"/>
  <c r="Q1889" i="58"/>
  <c r="R5296" i="58"/>
  <c r="Q5295" i="58"/>
  <c r="R1697" i="58"/>
  <c r="Q1696" i="58"/>
  <c r="Q4922" i="58"/>
  <c r="R4923" i="58"/>
  <c r="Q10019" i="58"/>
  <c r="R10020" i="58"/>
  <c r="R2473" i="58"/>
  <c r="Q2472" i="58"/>
  <c r="R897" i="58"/>
  <c r="Q896" i="58"/>
  <c r="Q9164" i="58"/>
  <c r="R9165" i="58"/>
  <c r="R9143" i="58"/>
  <c r="Q9142" i="58"/>
  <c r="Q5409" i="58"/>
  <c r="R5410" i="58"/>
  <c r="R1523" i="58"/>
  <c r="Q1522" i="58"/>
  <c r="R12056" i="58"/>
  <c r="Q12055" i="58"/>
  <c r="R11668" i="58"/>
  <c r="Q11667" i="58"/>
  <c r="R11921" i="58"/>
  <c r="Q11920" i="58"/>
  <c r="R1468" i="58"/>
  <c r="Q1467" i="58"/>
  <c r="R7001" i="58"/>
  <c r="R3011" i="58"/>
  <c r="Q3010" i="58"/>
  <c r="R2697" i="58"/>
  <c r="Q2696" i="58"/>
  <c r="R11543" i="58"/>
  <c r="Q11542" i="58"/>
  <c r="R2673" i="58"/>
  <c r="Q2672" i="58"/>
  <c r="R10513" i="58"/>
  <c r="Q10512" i="58"/>
  <c r="R10139" i="58"/>
  <c r="Q10138" i="58"/>
  <c r="Q1022" i="58"/>
  <c r="R10781" i="58"/>
  <c r="Q10780" i="58"/>
  <c r="R12366" i="58"/>
  <c r="Q12365" i="58"/>
  <c r="R1998" i="58"/>
  <c r="Q1997" i="58"/>
  <c r="R861" i="58"/>
  <c r="Q860" i="58"/>
  <c r="R4939" i="58"/>
  <c r="R4938" i="58"/>
  <c r="R191" i="58"/>
  <c r="Q190" i="58"/>
  <c r="R2413" i="58"/>
  <c r="Q2412" i="58"/>
  <c r="R4057" i="58"/>
  <c r="Q4056" i="58"/>
  <c r="R10605" i="58"/>
  <c r="Q10604" i="58"/>
  <c r="R12977" i="58"/>
  <c r="Q12976" i="58"/>
  <c r="Q1749" i="58"/>
  <c r="R1750" i="58"/>
  <c r="R2275" i="58"/>
  <c r="Q2274" i="58"/>
  <c r="R11257" i="58"/>
  <c r="Q11256" i="58"/>
  <c r="R7127" i="58"/>
  <c r="Q7126" i="58"/>
  <c r="R12796" i="58"/>
  <c r="Q12795" i="58"/>
  <c r="R546" i="58"/>
  <c r="Q545" i="58"/>
  <c r="R3005" i="58"/>
  <c r="Q3004" i="58"/>
  <c r="R11187" i="58"/>
  <c r="Q11186" i="58"/>
  <c r="R2660" i="58"/>
  <c r="Q2659" i="58"/>
  <c r="Q10951" i="58"/>
  <c r="R10952" i="58"/>
  <c r="R4028" i="58"/>
  <c r="Q4027" i="58"/>
  <c r="R1420" i="58"/>
  <c r="Q1419" i="58"/>
  <c r="R770" i="58"/>
  <c r="Q769" i="58"/>
  <c r="R8313" i="58"/>
  <c r="Q8312" i="58"/>
  <c r="R6631" i="58"/>
  <c r="Q6630" i="58"/>
  <c r="R1505" i="58"/>
  <c r="Q1504" i="58"/>
  <c r="R4691" i="58"/>
  <c r="Q4690" i="58"/>
  <c r="R13050" i="58"/>
  <c r="Q13049" i="58"/>
  <c r="R9233" i="58"/>
  <c r="Q9232" i="58"/>
  <c r="R1908" i="58"/>
  <c r="Q1907" i="58"/>
  <c r="R4797" i="58"/>
  <c r="Q4796" i="58"/>
  <c r="Q3017" i="58"/>
  <c r="R3018" i="58"/>
  <c r="R4777" i="58"/>
  <c r="Q4776" i="58"/>
  <c r="R5937" i="58"/>
  <c r="Q5936" i="58"/>
  <c r="R8589" i="58"/>
  <c r="Q8588" i="58"/>
  <c r="R818" i="58"/>
  <c r="Q817" i="58"/>
  <c r="R12226" i="58"/>
  <c r="Q12225" i="58"/>
  <c r="R6426" i="58"/>
  <c r="Q6425" i="58"/>
  <c r="Q2250" i="58"/>
  <c r="R2251" i="58"/>
  <c r="R9189" i="58"/>
  <c r="Q9188" i="58"/>
  <c r="R9177" i="58"/>
  <c r="Q9176" i="58"/>
  <c r="R12338" i="58"/>
  <c r="Q12337" i="58"/>
  <c r="Q6705" i="58"/>
  <c r="Q4141" i="58"/>
  <c r="R5459" i="58"/>
  <c r="Q5458" i="58"/>
  <c r="Q5530" i="58"/>
  <c r="R5531" i="58"/>
  <c r="Q1274" i="58"/>
  <c r="R1275" i="58"/>
  <c r="R4672" i="58"/>
  <c r="Q4671" i="58"/>
  <c r="R3053" i="58"/>
  <c r="Q3052" i="58"/>
  <c r="R7364" i="58"/>
  <c r="Q7363" i="58"/>
  <c r="Q4213" i="58"/>
  <c r="R4214" i="58"/>
  <c r="Q5634" i="58"/>
  <c r="R5635" i="58"/>
  <c r="R1166" i="58"/>
  <c r="Q1165" i="58"/>
  <c r="R2375" i="58"/>
  <c r="R2374" i="58"/>
  <c r="R5746" i="58"/>
  <c r="Q5745" i="58"/>
  <c r="Q12197" i="58"/>
  <c r="R12198" i="58"/>
  <c r="R1878" i="58"/>
  <c r="Q1877" i="58"/>
  <c r="R6448" i="58"/>
  <c r="Q6447" i="58"/>
  <c r="R6475" i="58"/>
  <c r="Q6474" i="58"/>
  <c r="Q5388" i="58"/>
  <c r="R5389" i="58"/>
  <c r="Q9046" i="58"/>
  <c r="R9047" i="58"/>
  <c r="R1124" i="58"/>
  <c r="Q1123" i="58"/>
  <c r="Q12668" i="58"/>
  <c r="R12891" i="58"/>
  <c r="Q12890" i="58"/>
  <c r="R9775" i="58"/>
  <c r="Q9774" i="58"/>
  <c r="Q2569" i="58"/>
  <c r="R2570" i="58"/>
  <c r="R12985" i="58"/>
  <c r="Q12984" i="58"/>
  <c r="R2956" i="58"/>
  <c r="Q2955" i="58"/>
  <c r="R2184" i="58"/>
  <c r="Q2183" i="58"/>
  <c r="R5781" i="58"/>
  <c r="Q5780" i="58"/>
  <c r="Q5032" i="58"/>
  <c r="R5033" i="58"/>
  <c r="Q7784" i="58"/>
  <c r="R7785" i="58"/>
  <c r="R1282" i="58"/>
  <c r="Q1281" i="58"/>
  <c r="R4336" i="58"/>
  <c r="Q4335" i="58"/>
  <c r="R2323" i="58"/>
  <c r="Q2322" i="58"/>
  <c r="R8570" i="58"/>
  <c r="Q8569" i="58"/>
  <c r="R585" i="58"/>
  <c r="Q584" i="58"/>
  <c r="R2588" i="58"/>
  <c r="Q2587" i="58"/>
  <c r="R10391" i="58"/>
  <c r="Q10390" i="58"/>
  <c r="R2257" i="58"/>
  <c r="Q2256" i="58"/>
  <c r="R288" i="58"/>
  <c r="Q287" i="58"/>
  <c r="R2782" i="58"/>
  <c r="Q2781" i="58"/>
  <c r="R7168" i="58"/>
  <c r="Q7167" i="58"/>
  <c r="R11603" i="58"/>
  <c r="Q11602" i="58"/>
  <c r="R2710" i="58"/>
  <c r="Q2709" i="58"/>
  <c r="R843" i="58"/>
  <c r="Q842" i="58"/>
  <c r="E14" i="59"/>
  <c r="E18" i="59" s="1"/>
  <c r="E19" i="59" s="1"/>
  <c r="F10" i="55" s="1"/>
  <c r="R12069" i="58"/>
  <c r="Q12068" i="58"/>
  <c r="R6177" i="58"/>
  <c r="Q6176" i="58"/>
  <c r="R3101" i="58"/>
  <c r="Q3100" i="58"/>
  <c r="R2388" i="58"/>
  <c r="Q2387" i="58"/>
  <c r="R5956" i="58"/>
  <c r="Q5955" i="58"/>
  <c r="R2088" i="58"/>
  <c r="Q2087" i="58"/>
  <c r="R4850" i="58"/>
  <c r="Q4849" i="58"/>
  <c r="R9291" i="58"/>
  <c r="Q9290" i="58"/>
  <c r="R11915" i="58"/>
  <c r="Q11914" i="58"/>
  <c r="R5240" i="58"/>
  <c r="Q5239" i="58"/>
  <c r="R11118" i="58"/>
  <c r="Q11117" i="58"/>
  <c r="R12786" i="58"/>
  <c r="Q12785" i="58"/>
  <c r="R12033" i="58"/>
  <c r="Q12032" i="58"/>
  <c r="R7736" i="58"/>
  <c r="Q7735" i="58"/>
  <c r="R1925" i="58"/>
  <c r="Q1924" i="58"/>
  <c r="R13003" i="58"/>
  <c r="Q13002" i="58"/>
  <c r="R5173" i="58"/>
  <c r="Q5172" i="58"/>
  <c r="R7041" i="58"/>
  <c r="Q7040" i="58"/>
  <c r="R6795" i="58"/>
  <c r="Q6794" i="58"/>
  <c r="R413" i="58"/>
  <c r="Q412" i="58"/>
  <c r="R6497" i="58"/>
  <c r="Q6496" i="58"/>
  <c r="R9495" i="58"/>
  <c r="Q9494" i="58"/>
  <c r="R1577" i="58"/>
  <c r="Q1576" i="58"/>
  <c r="R10635" i="58"/>
  <c r="Q10634" i="58"/>
  <c r="R794" i="58"/>
  <c r="Q793" i="58"/>
  <c r="R2775" i="58"/>
  <c r="Q2774" i="58"/>
  <c r="R6216" i="58"/>
  <c r="Q6215" i="58"/>
  <c r="R6489" i="58"/>
  <c r="Q6488" i="58"/>
  <c r="R9422" i="58"/>
  <c r="Q9421" i="58"/>
  <c r="R1515" i="58"/>
  <c r="R1514" i="58"/>
  <c r="R9723" i="58"/>
  <c r="Q9722" i="58"/>
  <c r="Q11676" i="58"/>
  <c r="R11677" i="58"/>
  <c r="R938" i="58"/>
  <c r="Q937" i="58"/>
  <c r="R9539" i="58"/>
  <c r="Q9538" i="58"/>
  <c r="R1190" i="58"/>
  <c r="R1189" i="58"/>
  <c r="Q1395" i="58"/>
  <c r="R1396" i="58"/>
  <c r="R2160" i="58"/>
  <c r="Q2159" i="58"/>
  <c r="R2902" i="58"/>
  <c r="Q2901" i="58"/>
  <c r="R7742" i="58"/>
  <c r="Q7741" i="58"/>
  <c r="R7491" i="58"/>
  <c r="Q7490" i="58"/>
  <c r="R3140" i="58"/>
  <c r="Q3139" i="58"/>
  <c r="Q8057" i="58"/>
  <c r="R8058" i="58"/>
  <c r="R12391" i="58"/>
  <c r="Q12390" i="58"/>
  <c r="R10221" i="58"/>
  <c r="Q10220" i="58"/>
  <c r="R1954" i="58"/>
  <c r="R1953" i="58"/>
  <c r="R1984" i="58"/>
  <c r="R1983" i="58"/>
  <c r="R1390" i="58"/>
  <c r="Q1389" i="58"/>
  <c r="Q4518" i="58"/>
  <c r="R4519" i="58"/>
  <c r="R3854" i="58"/>
  <c r="Q3853" i="58"/>
  <c r="R4971" i="58"/>
  <c r="Q4970" i="58"/>
  <c r="Q11145" i="58"/>
  <c r="R11146" i="58"/>
  <c r="R13012" i="58"/>
  <c r="Q13011" i="58"/>
  <c r="R7414" i="58"/>
  <c r="Q7413" i="58"/>
  <c r="R2188" i="58"/>
  <c r="R2189" i="58"/>
  <c r="R5549" i="58"/>
  <c r="Q5548" i="58"/>
  <c r="R11756" i="58"/>
  <c r="Q11755" i="58"/>
  <c r="R4482" i="58"/>
  <c r="R4481" i="58"/>
  <c r="R9744" i="58"/>
  <c r="Q9743" i="58"/>
  <c r="R7084" i="58"/>
  <c r="Q7083" i="58"/>
  <c r="R6468" i="58"/>
  <c r="Q6467" i="58"/>
  <c r="R7476" i="58"/>
  <c r="Q7475" i="58"/>
  <c r="Q1172" i="58"/>
  <c r="R1173" i="58"/>
  <c r="R1706" i="58"/>
  <c r="R1707" i="58"/>
  <c r="R5334" i="58"/>
  <c r="Q5333" i="58"/>
  <c r="Q8454" i="58"/>
  <c r="R8455" i="58"/>
  <c r="R10426" i="58"/>
  <c r="Q10425" i="58"/>
  <c r="R1292" i="58"/>
  <c r="R1291" i="58"/>
  <c r="R6126" i="58"/>
  <c r="Q6125" i="58"/>
  <c r="R6540" i="58"/>
  <c r="Q6539" i="58"/>
  <c r="R6645" i="58"/>
  <c r="Q6644" i="58"/>
  <c r="R4015" i="58"/>
  <c r="Q4014" i="58"/>
  <c r="R4478" i="58"/>
  <c r="Q4477" i="58"/>
  <c r="R6462" i="58"/>
  <c r="Q6461" i="58"/>
  <c r="R12042" i="58"/>
  <c r="Q12041" i="58"/>
  <c r="R4344" i="58"/>
  <c r="Q4343" i="58"/>
  <c r="R7434" i="58"/>
  <c r="Q7433" i="58"/>
  <c r="R8072" i="58"/>
  <c r="Q8071" i="58"/>
  <c r="R8770" i="58"/>
  <c r="Q8769" i="58"/>
  <c r="R5441" i="58"/>
  <c r="Q5440" i="58"/>
  <c r="R2704" i="58"/>
  <c r="Q2703" i="58"/>
  <c r="R9793" i="58"/>
  <c r="Q9792" i="58"/>
  <c r="R9241" i="58"/>
  <c r="Q9240" i="58"/>
  <c r="R968" i="58"/>
  <c r="Q967" i="58"/>
  <c r="R12218" i="58"/>
  <c r="Q12217" i="58"/>
  <c r="R2762" i="58"/>
  <c r="R2761" i="58"/>
  <c r="R11533" i="58"/>
  <c r="Q11532" i="58"/>
  <c r="R9882" i="58"/>
  <c r="Q9881" i="58"/>
  <c r="R10796" i="58"/>
  <c r="Q10795" i="58"/>
  <c r="R12652" i="58"/>
  <c r="Q12651" i="58"/>
  <c r="R10294" i="58"/>
  <c r="Q10293" i="58"/>
  <c r="Q12006" i="58"/>
  <c r="R12007" i="58"/>
  <c r="R1250" i="58"/>
  <c r="R1249" i="58"/>
  <c r="R8168" i="58"/>
  <c r="Q8167" i="58"/>
  <c r="Q12632" i="58"/>
  <c r="R12633" i="58"/>
  <c r="R2154" i="58"/>
  <c r="Q2153" i="58"/>
  <c r="Q11214" i="58"/>
  <c r="R11215" i="58"/>
  <c r="R7979" i="58"/>
  <c r="Q7978" i="58"/>
  <c r="R9674" i="58"/>
  <c r="Q9673" i="58"/>
  <c r="Q4045" i="58"/>
  <c r="R4046" i="58"/>
  <c r="R2756" i="58"/>
  <c r="R2755" i="58"/>
  <c r="Q4934" i="58"/>
  <c r="R4935" i="58"/>
  <c r="R2010" i="58"/>
  <c r="Q2009" i="58"/>
  <c r="R7778" i="58"/>
  <c r="Q7777" i="58"/>
  <c r="R12403" i="58"/>
  <c r="Q12402" i="58"/>
  <c r="R4321" i="58"/>
  <c r="R4320" i="58"/>
  <c r="R7391" i="58"/>
  <c r="Q7390" i="58"/>
  <c r="R4111" i="58"/>
  <c r="Q4110" i="58"/>
  <c r="R5006" i="58"/>
  <c r="Q5005" i="58"/>
  <c r="R2419" i="58"/>
  <c r="Q2418" i="58"/>
  <c r="R1443" i="58"/>
  <c r="Q1442" i="58"/>
  <c r="R1606" i="58"/>
  <c r="Q1605" i="58"/>
  <c r="R11502" i="58"/>
  <c r="Q11501" i="58"/>
  <c r="R11685" i="58"/>
  <c r="Q11684" i="58"/>
  <c r="R2545" i="58"/>
  <c r="Q2544" i="58"/>
  <c r="Q3119" i="58"/>
  <c r="R3120" i="58"/>
  <c r="R5523" i="58"/>
  <c r="Q5522" i="58"/>
  <c r="Q7874" i="58"/>
  <c r="R7875" i="58"/>
  <c r="R10178" i="58"/>
  <c r="Q10177" i="58"/>
  <c r="R2714" i="58"/>
  <c r="R2713" i="58"/>
  <c r="R12128" i="58"/>
  <c r="Q12127" i="58"/>
  <c r="R10105" i="58"/>
  <c r="Q10104" i="58"/>
  <c r="R2140" i="58"/>
  <c r="R2139" i="58"/>
  <c r="Q12604" i="58"/>
  <c r="R12605" i="58"/>
  <c r="R312" i="58"/>
  <c r="Q311" i="58"/>
  <c r="R5489" i="58"/>
  <c r="Q5488" i="58"/>
  <c r="R2092" i="58"/>
  <c r="R2091" i="58"/>
  <c r="R3083" i="58"/>
  <c r="Q3082" i="58"/>
  <c r="R10440" i="58"/>
  <c r="Q10439" i="58"/>
  <c r="R4709" i="58"/>
  <c r="Q4708" i="58"/>
  <c r="Q7581" i="58"/>
  <c r="R7582" i="58"/>
  <c r="R4183" i="58"/>
  <c r="Q4182" i="58"/>
  <c r="R2533" i="58"/>
  <c r="Q2532" i="58"/>
  <c r="R6062" i="58"/>
  <c r="Q6061" i="58"/>
  <c r="R7519" i="58"/>
  <c r="Q7518" i="58"/>
  <c r="R2600" i="58"/>
  <c r="Q2599" i="58"/>
  <c r="R7550" i="58"/>
  <c r="Q7549" i="58"/>
  <c r="R2842" i="58"/>
  <c r="Q2841" i="58"/>
  <c r="R5910" i="58"/>
  <c r="Q5909" i="58"/>
  <c r="R8801" i="58"/>
  <c r="Q8800" i="58"/>
  <c r="R1533" i="58"/>
  <c r="R1532" i="58"/>
  <c r="R7021" i="58"/>
  <c r="Q7020" i="58"/>
  <c r="Q11176" i="58"/>
  <c r="R11177" i="58"/>
  <c r="R2359" i="58"/>
  <c r="Q2358" i="58"/>
  <c r="R2352" i="58"/>
  <c r="Q2351" i="58"/>
  <c r="R3935" i="58"/>
  <c r="Q3934" i="58"/>
  <c r="R4492" i="58"/>
  <c r="Q4491" i="58"/>
  <c r="R4147" i="58"/>
  <c r="Q4146" i="58"/>
  <c r="R11290" i="58"/>
  <c r="Q11289" i="58"/>
  <c r="R1930" i="58"/>
  <c r="R1929" i="58"/>
  <c r="R12803" i="58"/>
  <c r="Q12802" i="58"/>
  <c r="R9963" i="58"/>
  <c r="Q9962" i="58"/>
  <c r="Q4062" i="58"/>
  <c r="R4063" i="58"/>
  <c r="R5206" i="58"/>
  <c r="Q5205" i="58"/>
  <c r="R12813" i="58"/>
  <c r="Q12812" i="58"/>
  <c r="R2003" i="58"/>
  <c r="Q2002" i="58"/>
  <c r="R9595" i="58"/>
  <c r="Q9594" i="58"/>
  <c r="Q8865" i="58"/>
  <c r="R5977" i="58"/>
  <c r="Q5976" i="58"/>
  <c r="R8665" i="58"/>
  <c r="Q8664" i="58"/>
  <c r="R7348" i="58"/>
  <c r="Q7347" i="58"/>
  <c r="R2878" i="58"/>
  <c r="Q2877" i="58"/>
  <c r="Q4002" i="58"/>
  <c r="R4003" i="58"/>
  <c r="R12643" i="58"/>
  <c r="Q12642" i="58"/>
  <c r="R9635" i="58"/>
  <c r="Q9634" i="58"/>
  <c r="Q9762" i="58"/>
  <c r="R9763" i="58"/>
  <c r="R12625" i="58"/>
  <c r="Q12624" i="58"/>
  <c r="Q4068" i="58"/>
  <c r="R4069" i="58"/>
  <c r="R4088" i="58"/>
  <c r="Q4087" i="58"/>
  <c r="R5277" i="58"/>
  <c r="Q5276" i="58"/>
  <c r="R11733" i="58"/>
  <c r="Q11732" i="58"/>
  <c r="R664" i="58"/>
  <c r="Q663" i="58"/>
  <c r="R7641" i="58"/>
  <c r="Q7640" i="58"/>
  <c r="R12751" i="58"/>
  <c r="Q12750" i="58"/>
  <c r="Q703" i="58"/>
  <c r="R704" i="58"/>
  <c r="R10943" i="58"/>
  <c r="Q10942" i="58"/>
  <c r="R5804" i="58"/>
  <c r="Q5803" i="58"/>
  <c r="R206" i="58"/>
  <c r="R205" i="58"/>
  <c r="R2642" i="58"/>
  <c r="Q2641" i="58"/>
  <c r="R11432" i="58"/>
  <c r="Q11431" i="58"/>
  <c r="R12563" i="58"/>
  <c r="Q12562" i="58"/>
  <c r="R6751" i="58"/>
  <c r="Q6750" i="58"/>
  <c r="Q4098" i="58"/>
  <c r="R4099" i="58"/>
  <c r="R997" i="58"/>
  <c r="R996" i="58"/>
  <c r="R2045" i="58"/>
  <c r="Q2044" i="58"/>
  <c r="R2369" i="58"/>
  <c r="R2368" i="58"/>
  <c r="R6871" i="58"/>
  <c r="Q6870" i="58"/>
  <c r="R6320" i="58"/>
  <c r="Q6319" i="58"/>
  <c r="R12724" i="58"/>
  <c r="Q12723" i="58"/>
  <c r="R3918" i="58"/>
  <c r="Q3917" i="58"/>
  <c r="R12917" i="58"/>
  <c r="Q12916" i="58"/>
  <c r="R3996" i="58"/>
  <c r="R3995" i="58"/>
  <c r="Q10198" i="58"/>
  <c r="R10199" i="58"/>
  <c r="R4700" i="58"/>
  <c r="Q4699" i="58"/>
  <c r="Q11791" i="58"/>
  <c r="R11792" i="58"/>
  <c r="R9080" i="58"/>
  <c r="Q9079" i="58"/>
  <c r="R1298" i="58"/>
  <c r="R1297" i="58"/>
  <c r="R2166" i="58"/>
  <c r="Q2165" i="58"/>
  <c r="R8842" i="58"/>
  <c r="Q8841" i="58"/>
  <c r="R8743" i="58"/>
  <c r="Q8742" i="58"/>
  <c r="R5767" i="58"/>
  <c r="Q5766" i="58"/>
  <c r="R406" i="58"/>
  <c r="Q405" i="58"/>
  <c r="R2341" i="58"/>
  <c r="Q2340" i="58"/>
  <c r="R847" i="58"/>
  <c r="R846" i="58"/>
  <c r="R11818" i="58"/>
  <c r="Q11817" i="58"/>
  <c r="R3029" i="58"/>
  <c r="Q3028" i="58"/>
  <c r="R6992" i="58"/>
  <c r="Q6991" i="58"/>
  <c r="R8348" i="58"/>
  <c r="Q8347" i="58"/>
  <c r="R2975" i="58"/>
  <c r="Q2974" i="58"/>
  <c r="R6959" i="58"/>
  <c r="Q6958" i="58"/>
  <c r="R365" i="58"/>
  <c r="Q364" i="58"/>
  <c r="R8009" i="58"/>
  <c r="Q8008" i="58"/>
  <c r="R5965" i="58"/>
  <c r="Q5964" i="58"/>
  <c r="R1666" i="58"/>
  <c r="Q1665" i="58"/>
  <c r="Q1359" i="58"/>
  <c r="R1360" i="58"/>
  <c r="Q10010" i="58"/>
  <c r="R10011" i="58"/>
  <c r="R12822" i="58"/>
  <c r="Q12821" i="58"/>
  <c r="R4951" i="58"/>
  <c r="R4950" i="58"/>
  <c r="R6347" i="58"/>
  <c r="Q6346" i="58"/>
  <c r="R1215" i="58"/>
  <c r="Q1214" i="58"/>
  <c r="R5664" i="58"/>
  <c r="Q5663" i="58"/>
  <c r="R7319" i="58"/>
  <c r="Q7318" i="58"/>
  <c r="R8077" i="58"/>
  <c r="Q8076" i="58"/>
  <c r="R1202" i="58"/>
  <c r="R1201" i="58"/>
  <c r="R12078" i="58"/>
  <c r="Q12077" i="58"/>
  <c r="R6293" i="58"/>
  <c r="Q6292" i="58"/>
  <c r="R9024" i="58"/>
  <c r="Q9023" i="58"/>
  <c r="R919" i="58"/>
  <c r="R918" i="58"/>
  <c r="Q10767" i="58"/>
  <c r="R10768" i="58"/>
  <c r="R807" i="58"/>
  <c r="Q806" i="58"/>
  <c r="R8022" i="58"/>
  <c r="Q8021" i="58"/>
  <c r="R721" i="58"/>
  <c r="Q720" i="58"/>
  <c r="R872" i="58"/>
  <c r="Q871" i="58"/>
  <c r="R9504" i="58"/>
  <c r="Q9503" i="58"/>
  <c r="R10316" i="58"/>
  <c r="Q10315" i="58"/>
  <c r="R10975" i="58"/>
  <c r="Q10974" i="58"/>
  <c r="R8932" i="58"/>
  <c r="Q8931" i="58"/>
  <c r="R12048" i="58"/>
  <c r="Q12047" i="58"/>
  <c r="R9036" i="58"/>
  <c r="Q9035" i="58"/>
  <c r="R1432" i="58"/>
  <c r="Q1431" i="58"/>
  <c r="R7902" i="58"/>
  <c r="Q7901" i="58"/>
  <c r="R2961" i="58"/>
  <c r="R2960" i="58"/>
  <c r="R8153" i="58"/>
  <c r="Q8152" i="58"/>
  <c r="R2232" i="58"/>
  <c r="Q2231" i="58"/>
  <c r="R11746" i="58"/>
  <c r="Q11745" i="58"/>
  <c r="R6374" i="58"/>
  <c r="Q6373" i="58"/>
  <c r="R12353" i="58"/>
  <c r="Q12352" i="58"/>
  <c r="R4407" i="58"/>
  <c r="Q4406" i="58"/>
  <c r="R4328" i="58"/>
  <c r="R4327" i="58"/>
  <c r="R6971" i="58"/>
  <c r="Q6970" i="58"/>
  <c r="R4377" i="58"/>
  <c r="R4376" i="58"/>
  <c r="R6042" i="58"/>
  <c r="Q6041" i="58"/>
  <c r="R4202" i="58"/>
  <c r="Q4201" i="58"/>
  <c r="R7535" i="58"/>
  <c r="Q7534" i="58"/>
  <c r="R7406" i="58"/>
  <c r="Q7405" i="58"/>
  <c r="R2677" i="58"/>
  <c r="R2676" i="58"/>
  <c r="R12759" i="58"/>
  <c r="Q12758" i="58"/>
  <c r="R8971" i="58"/>
  <c r="Q8970" i="58"/>
  <c r="R11282" i="58"/>
  <c r="Q11281" i="58"/>
  <c r="R10892" i="58"/>
  <c r="Q10891" i="58"/>
  <c r="R2178" i="58"/>
  <c r="Q2177" i="58"/>
  <c r="Q992" i="58"/>
  <c r="R993" i="58"/>
  <c r="R4805" i="58"/>
  <c r="Q4804" i="58"/>
  <c r="R597" i="58"/>
  <c r="Q596" i="58"/>
  <c r="R2745" i="58"/>
  <c r="Q2744" i="58"/>
  <c r="R6736" i="58"/>
  <c r="Q6735" i="58"/>
  <c r="R11457" i="58"/>
  <c r="Q11456" i="58"/>
  <c r="R2034" i="58"/>
  <c r="Q2033" i="58"/>
  <c r="R4160" i="58"/>
  <c r="Q4159" i="58"/>
  <c r="R11271" i="58"/>
  <c r="Q11270" i="58"/>
  <c r="R6503" i="58"/>
  <c r="Q6502" i="58"/>
  <c r="R5871" i="58"/>
  <c r="Q5870" i="58"/>
  <c r="R9011" i="58"/>
  <c r="Q9010" i="58"/>
  <c r="R11439" i="58"/>
  <c r="Q11438" i="58"/>
  <c r="R9273" i="58"/>
  <c r="Q9272" i="58"/>
  <c r="R2196" i="58"/>
  <c r="Q2195" i="58"/>
  <c r="R5753" i="58"/>
  <c r="Q5752" i="58"/>
  <c r="R2575" i="58"/>
  <c r="Q2574" i="58"/>
  <c r="R2502" i="58"/>
  <c r="Q2501" i="58"/>
  <c r="R2612" i="58"/>
  <c r="Q2611" i="58"/>
  <c r="R4082" i="58"/>
  <c r="Q4081" i="58"/>
  <c r="R8678" i="58"/>
  <c r="Q8677" i="58"/>
  <c r="R3041" i="58"/>
  <c r="Q3040" i="58"/>
  <c r="R2539" i="58"/>
  <c r="Q2538" i="58"/>
  <c r="R12547" i="58"/>
  <c r="Q12546" i="58"/>
  <c r="R6139" i="58"/>
  <c r="Q6138" i="58"/>
  <c r="R4505" i="58"/>
  <c r="Q4504" i="58"/>
  <c r="R10030" i="58"/>
  <c r="Q10029" i="58"/>
  <c r="R2520" i="58"/>
  <c r="Q2519" i="58"/>
  <c r="R4136" i="58"/>
  <c r="Q4135" i="58"/>
  <c r="R4123" i="58"/>
  <c r="Q4122" i="58"/>
  <c r="R4572" i="58"/>
  <c r="Q4571" i="58"/>
  <c r="R7183" i="58"/>
  <c r="Q7182" i="58"/>
  <c r="R987" i="58"/>
  <c r="Q986" i="58"/>
  <c r="R261" i="58"/>
  <c r="R260" i="58"/>
  <c r="R4106" i="58"/>
  <c r="Q4105" i="58"/>
  <c r="R10680" i="58"/>
  <c r="Q10679" i="58"/>
  <c r="R5000" i="58"/>
  <c r="Q4999" i="58"/>
  <c r="R2637" i="58"/>
  <c r="Q2636" i="58"/>
  <c r="R1075" i="58"/>
  <c r="R1074" i="58"/>
  <c r="R2527" i="58"/>
  <c r="Q2526" i="58"/>
  <c r="R7225" i="58"/>
  <c r="Q7224" i="58"/>
  <c r="R4498" i="58"/>
  <c r="Q4497" i="58"/>
  <c r="R1866" i="58"/>
  <c r="Q1865" i="58"/>
  <c r="R5655" i="58"/>
  <c r="Q5654" i="58"/>
  <c r="Q8473" i="58"/>
  <c r="R8474" i="58"/>
  <c r="R390" i="58"/>
  <c r="Q389" i="58"/>
  <c r="R8182" i="58"/>
  <c r="Q8181" i="58"/>
  <c r="R12318" i="58"/>
  <c r="Q12317" i="58"/>
  <c r="Q4385" i="58"/>
  <c r="R4386" i="58"/>
  <c r="R5762" i="58"/>
  <c r="Q5761" i="58"/>
  <c r="R7012" i="58"/>
  <c r="R7011" i="58"/>
  <c r="R1462" i="58"/>
  <c r="Q1461" i="58"/>
  <c r="Q12860" i="58"/>
  <c r="R12861" i="58"/>
  <c r="R6360" i="58"/>
  <c r="Q6359" i="58"/>
  <c r="R10169" i="58"/>
  <c r="Q10168" i="58"/>
  <c r="R7439" i="58"/>
  <c r="R7438" i="58"/>
  <c r="R1448" i="58"/>
  <c r="R1447" i="58"/>
  <c r="R7828" i="58"/>
  <c r="Q7827" i="58"/>
  <c r="R13065" i="58"/>
  <c r="Q13064" i="58"/>
  <c r="R3979" i="58"/>
  <c r="Q3978" i="58"/>
  <c r="R8692" i="58"/>
  <c r="Q8691" i="58"/>
  <c r="R6413" i="58"/>
  <c r="Q6412" i="58"/>
  <c r="Q10692" i="58"/>
  <c r="R10693" i="58"/>
  <c r="R10919" i="58"/>
  <c r="Q10918" i="58"/>
  <c r="R607" i="58"/>
  <c r="R606" i="58"/>
  <c r="Q11938" i="58"/>
  <c r="R11939" i="58"/>
  <c r="Q1594" i="58"/>
  <c r="R1595" i="58"/>
  <c r="R12687" i="58"/>
  <c r="Q12686" i="58"/>
  <c r="Q5187" i="58"/>
  <c r="R5188" i="58"/>
  <c r="R9070" i="58"/>
  <c r="Q9069" i="58"/>
  <c r="R7918" i="58"/>
  <c r="Q7917" i="58"/>
  <c r="R727" i="58"/>
  <c r="Q726" i="58"/>
  <c r="R4294" i="58"/>
  <c r="Q4293" i="58"/>
  <c r="R9313" i="58"/>
  <c r="Q9312" i="58"/>
  <c r="R8049" i="58"/>
  <c r="Q8048" i="58"/>
  <c r="R5845" i="58"/>
  <c r="Q5844" i="58"/>
  <c r="Q1316" i="58"/>
  <c r="R1317" i="58"/>
  <c r="R3873" i="58"/>
  <c r="Q3872" i="58"/>
  <c r="R6203" i="58"/>
  <c r="Q6202" i="58"/>
  <c r="R1775" i="58"/>
  <c r="Q1774" i="58"/>
  <c r="R1341" i="58"/>
  <c r="Q1340" i="58"/>
  <c r="R1378" i="58"/>
  <c r="Q1377" i="58"/>
  <c r="R4220" i="58"/>
  <c r="Q4219" i="58"/>
  <c r="Q9824" i="58"/>
  <c r="R9825" i="58"/>
  <c r="Q3927" i="58"/>
  <c r="R3928" i="58"/>
  <c r="R4563" i="58"/>
  <c r="Q4562" i="58"/>
  <c r="R11803" i="58"/>
  <c r="Q11802" i="58"/>
  <c r="Q2171" i="58"/>
  <c r="R2172" i="58"/>
  <c r="R12541" i="58"/>
  <c r="Q12540" i="58"/>
  <c r="R1643" i="58"/>
  <c r="Q1642" i="58"/>
  <c r="R1244" i="58"/>
  <c r="R1243" i="58"/>
  <c r="R12240" i="58"/>
  <c r="Q12239" i="58"/>
  <c r="R4429" i="58"/>
  <c r="Q4428" i="58"/>
  <c r="R5741" i="58"/>
  <c r="Q5740" i="58"/>
  <c r="R9303" i="58"/>
  <c r="Q9302" i="58"/>
  <c r="R11380" i="58"/>
  <c r="Q11379" i="58"/>
  <c r="R4824" i="58"/>
  <c r="Q4823" i="58"/>
  <c r="R1323" i="58"/>
  <c r="Q1322" i="58"/>
  <c r="R197" i="58"/>
  <c r="Q196" i="58"/>
  <c r="R8829" i="58"/>
  <c r="Q8828" i="58"/>
  <c r="R1762" i="58"/>
  <c r="R1761" i="58"/>
  <c r="Q12677" i="58"/>
  <c r="R12678" i="58"/>
  <c r="Q1799" i="58"/>
  <c r="R1800" i="58"/>
  <c r="R2806" i="58"/>
  <c r="Q2805" i="58"/>
  <c r="Q12139" i="58"/>
  <c r="R12140" i="58"/>
  <c r="R2855" i="58"/>
  <c r="Q2854" i="58"/>
  <c r="R7763" i="58"/>
  <c r="Q7762" i="58"/>
  <c r="R8064" i="58"/>
  <c r="Q8063" i="58"/>
  <c r="R10414" i="58"/>
  <c r="Q10413" i="58"/>
  <c r="R11321" i="58"/>
  <c r="Q11320" i="58"/>
  <c r="R6659" i="58"/>
  <c r="Q6658" i="58"/>
  <c r="R4172" i="58"/>
  <c r="Q4171" i="58"/>
  <c r="R1011" i="58"/>
  <c r="Q1010" i="58"/>
  <c r="R5676" i="58"/>
  <c r="Q5675" i="58"/>
  <c r="R12379" i="58"/>
  <c r="Q12378" i="58"/>
  <c r="Q2292" i="58"/>
  <c r="R2293" i="58"/>
  <c r="Q11967" i="58"/>
  <c r="R11968" i="58"/>
  <c r="R7385" i="58"/>
  <c r="Q7384" i="58"/>
  <c r="R5705" i="58"/>
  <c r="Q5704" i="58"/>
  <c r="R603" i="58"/>
  <c r="Q602" i="58"/>
  <c r="R7798" i="58"/>
  <c r="Q7797" i="58"/>
  <c r="R2919" i="58"/>
  <c r="R2918" i="58"/>
  <c r="R2279" i="58"/>
  <c r="R2278" i="58"/>
  <c r="Q7654" i="58"/>
  <c r="R7655" i="58"/>
  <c r="R2237" i="58"/>
  <c r="R2236" i="58"/>
  <c r="R3901" i="58"/>
  <c r="Q3900" i="58"/>
  <c r="R4040" i="58"/>
  <c r="Q4039" i="58"/>
  <c r="R3962" i="58"/>
  <c r="Q3961" i="58"/>
  <c r="R909" i="58"/>
  <c r="Q908" i="58"/>
  <c r="R4260" i="58"/>
  <c r="Q4259" i="58"/>
  <c r="R6026" i="58"/>
  <c r="Q6025" i="58"/>
  <c r="R1198" i="58"/>
  <c r="Q1197" i="58"/>
  <c r="R1540" i="58"/>
  <c r="Q1539" i="58"/>
  <c r="R2496" i="58"/>
  <c r="Q2495" i="58"/>
  <c r="R11298" i="58"/>
  <c r="Q11297" i="58"/>
  <c r="R2015" i="58"/>
  <c r="Q2014" i="58"/>
  <c r="R10500" i="58"/>
  <c r="Q10499" i="58"/>
  <c r="Q10339" i="58"/>
  <c r="R10340" i="58"/>
  <c r="R10726" i="58"/>
  <c r="Q10725" i="58"/>
  <c r="R12523" i="58"/>
  <c r="Q12522" i="58"/>
  <c r="R11980" i="58"/>
  <c r="Q11979" i="58"/>
  <c r="R12556" i="58"/>
  <c r="Q12555" i="58"/>
  <c r="R8947" i="58"/>
  <c r="Q8946" i="58"/>
  <c r="R927" i="58"/>
  <c r="Q926" i="58"/>
  <c r="R1094" i="58"/>
  <c r="Q1093" i="58"/>
  <c r="R5474" i="58"/>
  <c r="Q5473" i="58"/>
  <c r="R5794" i="58"/>
  <c r="Q5793" i="58"/>
  <c r="R6007" i="58"/>
  <c r="Q6006" i="58"/>
  <c r="R11579" i="58"/>
  <c r="Q11578" i="58"/>
  <c r="Q4442" i="58"/>
  <c r="R4443" i="58"/>
  <c r="R7154" i="58"/>
  <c r="Q7153" i="58"/>
  <c r="R2202" i="58"/>
  <c r="Q2201" i="58"/>
  <c r="R5480" i="58"/>
  <c r="Q5479" i="58"/>
  <c r="R5179" i="58"/>
  <c r="Q5178" i="58"/>
  <c r="R2507" i="58"/>
  <c r="R2506" i="58"/>
  <c r="R8211" i="58"/>
  <c r="Q8210" i="58"/>
  <c r="R11880" i="58"/>
  <c r="Q11879" i="58"/>
  <c r="R7993" i="58"/>
  <c r="Q7992" i="58"/>
  <c r="R10000" i="58"/>
  <c r="Q9999" i="58"/>
  <c r="R9687" i="58"/>
  <c r="Q9686" i="58"/>
  <c r="R2436" i="58"/>
  <c r="Q2435" i="58"/>
  <c r="R2861" i="58"/>
  <c r="Q2860" i="58"/>
  <c r="R9873" i="58"/>
  <c r="Q9872" i="58"/>
  <c r="R7700" i="58"/>
  <c r="Q7699" i="58"/>
  <c r="R6014" i="58"/>
  <c r="Q6013" i="58"/>
  <c r="R1491" i="58"/>
  <c r="R1490" i="58"/>
  <c r="R8960" i="58"/>
  <c r="Q8959" i="58"/>
  <c r="R1944" i="58"/>
  <c r="Q1943" i="58"/>
  <c r="R4092" i="58"/>
  <c r="R4091" i="58"/>
  <c r="R5834" i="58"/>
  <c r="Q5833" i="58"/>
  <c r="R11851" i="58"/>
  <c r="Q11850" i="58"/>
  <c r="R12329" i="58"/>
  <c r="Q12328" i="58"/>
  <c r="R879" i="58"/>
  <c r="Q878" i="58"/>
  <c r="R1859" i="58"/>
  <c r="Q1858" i="58"/>
  <c r="R2130" i="58"/>
  <c r="Q2129" i="58"/>
  <c r="R12949" i="58"/>
  <c r="Q12948" i="58"/>
  <c r="R12926" i="58"/>
  <c r="R12925" i="58"/>
  <c r="R2967" i="58"/>
  <c r="R2966" i="58"/>
  <c r="R2932" i="58"/>
  <c r="Q2931" i="58"/>
  <c r="R2993" i="58"/>
  <c r="Q2992" i="58"/>
  <c r="R5369" i="58"/>
  <c r="Q5368" i="58"/>
  <c r="R8908" i="58"/>
  <c r="Q8907" i="58"/>
  <c r="R9784" i="58"/>
  <c r="Q9783" i="58"/>
  <c r="R11040" i="58"/>
  <c r="Q11039" i="58"/>
  <c r="R10901" i="58"/>
  <c r="Q10900" i="58"/>
  <c r="R6309" i="58"/>
  <c r="Q6308" i="58"/>
  <c r="R3096" i="58"/>
  <c r="Q3095" i="58"/>
  <c r="Q4598" i="58"/>
  <c r="R4599" i="58"/>
  <c r="R7757" i="58"/>
  <c r="Q7756" i="58"/>
  <c r="R2148" i="58"/>
  <c r="Q2147" i="58"/>
  <c r="R2448" i="58"/>
  <c r="Q2447" i="58"/>
  <c r="R5288" i="58"/>
  <c r="Q5287" i="58"/>
  <c r="R2430" i="58"/>
  <c r="Q2429" i="58"/>
  <c r="Q1334" i="58"/>
  <c r="R1335" i="58"/>
  <c r="R5305" i="58"/>
  <c r="Q5304" i="58"/>
  <c r="R12146" i="58"/>
  <c r="R12145" i="58"/>
  <c r="R9912" i="58"/>
  <c r="Q9911" i="58"/>
  <c r="R10836" i="58"/>
  <c r="Q10835" i="58"/>
  <c r="R9454" i="58"/>
  <c r="Q9453" i="58"/>
  <c r="R3132" i="58"/>
  <c r="Q3131" i="58"/>
  <c r="R2831" i="58"/>
  <c r="Q2830" i="58"/>
  <c r="R716" i="58"/>
  <c r="Q715" i="58"/>
  <c r="R5340" i="58"/>
  <c r="Q5339" i="58"/>
  <c r="R1967" i="58"/>
  <c r="Q1966" i="58"/>
  <c r="R7113" i="58"/>
  <c r="Q7112" i="58"/>
  <c r="R12509" i="58"/>
  <c r="R12508" i="58"/>
  <c r="R2616" i="58"/>
  <c r="R2615" i="58"/>
  <c r="R763" i="58"/>
  <c r="Q762" i="58"/>
  <c r="R2870" i="58"/>
  <c r="R2871" i="58"/>
  <c r="R10149" i="58"/>
  <c r="Q10148" i="58"/>
  <c r="R10714" i="58"/>
  <c r="Q10713" i="58"/>
  <c r="R2897" i="58"/>
  <c r="Q2896" i="58"/>
  <c r="Q9131" i="58"/>
  <c r="R9132" i="58"/>
  <c r="R11388" i="58"/>
  <c r="Q11387" i="58"/>
  <c r="Q12583" i="58"/>
  <c r="R12584" i="58"/>
  <c r="R7379" i="58"/>
  <c r="Q7378" i="58"/>
  <c r="R10243" i="58"/>
  <c r="Q10242" i="58"/>
  <c r="R2812" i="58"/>
  <c r="Q2811" i="58"/>
  <c r="R10912" i="58"/>
  <c r="Q10911" i="58"/>
  <c r="R2069" i="58"/>
  <c r="Q2068" i="58"/>
  <c r="Q6433" i="58"/>
  <c r="R6434" i="58"/>
  <c r="R304" i="58"/>
  <c r="R303" i="58"/>
  <c r="R2692" i="58"/>
  <c r="Q2691" i="58"/>
  <c r="R2733" i="58"/>
  <c r="Q2732" i="58"/>
  <c r="R4020" i="58"/>
  <c r="R4019" i="58"/>
  <c r="R4928" i="58"/>
  <c r="Q4927" i="58"/>
  <c r="R317" i="58"/>
  <c r="Q316" i="58"/>
  <c r="R4547" i="58"/>
  <c r="Q4546" i="58"/>
  <c r="R11405" i="58"/>
  <c r="Q11404" i="58"/>
  <c r="R6511" i="58"/>
  <c r="Q6510" i="58"/>
  <c r="R1587" i="58"/>
  <c r="R1586" i="58"/>
  <c r="R1045" i="58"/>
  <c r="R1044" i="58"/>
  <c r="R6944" i="58"/>
  <c r="Q6943" i="58"/>
  <c r="R326" i="58"/>
  <c r="Q325" i="58"/>
  <c r="Q1612" i="58"/>
  <c r="R1613" i="58"/>
  <c r="R4010" i="58"/>
  <c r="Q4009" i="58"/>
  <c r="R5319" i="58"/>
  <c r="Q5318" i="58"/>
  <c r="R2038" i="58"/>
  <c r="R2037" i="58"/>
  <c r="R12715" i="58"/>
  <c r="Q12714" i="58"/>
  <c r="R10207" i="58"/>
  <c r="Q10206" i="58"/>
  <c r="R257" i="58"/>
  <c r="Q256" i="58"/>
  <c r="R380" i="58"/>
  <c r="Q379" i="58"/>
  <c r="Q4752" i="58"/>
  <c r="R4753" i="58"/>
  <c r="R12121" i="58"/>
  <c r="Q12120" i="58"/>
  <c r="R2021" i="58"/>
  <c r="Q2020" i="58"/>
  <c r="R1884" i="58"/>
  <c r="Q1883" i="58"/>
  <c r="R591" i="58"/>
  <c r="Q590" i="58"/>
  <c r="R643" i="58"/>
  <c r="R642" i="58"/>
  <c r="R2768" i="58"/>
  <c r="R2767" i="58"/>
  <c r="R5060" i="58"/>
  <c r="Q5059" i="58"/>
  <c r="R9435" i="58"/>
  <c r="Q9434" i="58"/>
  <c r="R10305" i="58"/>
  <c r="Q10304" i="58"/>
  <c r="R2515" i="58"/>
  <c r="Q2514" i="58"/>
  <c r="R775" i="58"/>
  <c r="Q774" i="58"/>
  <c r="R4653" i="58"/>
  <c r="Q4652" i="58"/>
  <c r="R3071" i="58"/>
  <c r="Q3070" i="58"/>
  <c r="R5727" i="58"/>
  <c r="Q5726" i="58"/>
  <c r="R12476" i="58"/>
  <c r="Q12475" i="58"/>
  <c r="R4117" i="58"/>
  <c r="Q4116" i="58"/>
  <c r="R961" i="58"/>
  <c r="R960" i="58"/>
  <c r="R6075" i="58"/>
  <c r="Q6074" i="58"/>
  <c r="R5719" i="58"/>
  <c r="Q5718" i="58"/>
  <c r="R7273" i="58"/>
  <c r="Q7272" i="58"/>
  <c r="R4031" i="58"/>
  <c r="R4032" i="58"/>
  <c r="R294" i="58"/>
  <c r="Q293" i="58"/>
  <c r="R2982" i="58"/>
  <c r="Q2981" i="58"/>
  <c r="R5857" i="58"/>
  <c r="Q5856" i="58"/>
  <c r="R1528" i="58"/>
  <c r="Q1527" i="58"/>
  <c r="R11962" i="58"/>
  <c r="Q11961" i="58"/>
  <c r="R2629" i="58"/>
  <c r="R2628" i="58"/>
  <c r="R7007" i="58"/>
  <c r="Q7006" i="58"/>
  <c r="R10704" i="58"/>
  <c r="Q10703" i="58"/>
  <c r="R6256" i="58"/>
  <c r="Q6255" i="58"/>
  <c r="R5886" i="58"/>
  <c r="Q5885" i="58"/>
  <c r="R825" i="58"/>
  <c r="Q824" i="58"/>
  <c r="R3113" i="58"/>
  <c r="Q3112" i="58"/>
  <c r="R831" i="58"/>
  <c r="Q830" i="58"/>
  <c r="R3862" i="58"/>
  <c r="Q3861" i="58"/>
  <c r="R12731" i="58"/>
  <c r="Q12730" i="58"/>
  <c r="R11562" i="58"/>
  <c r="Q11561" i="58"/>
  <c r="R7231" i="58"/>
  <c r="Q7230" i="58"/>
  <c r="R7288" i="58"/>
  <c r="Q7287" i="58"/>
  <c r="R10757" i="58"/>
  <c r="Q10756" i="58"/>
  <c r="Q1069" i="58"/>
  <c r="R1070" i="58"/>
  <c r="R11226" i="58"/>
  <c r="Q11225" i="58"/>
  <c r="R1792" i="58"/>
  <c r="R1791" i="58"/>
  <c r="R9921" i="58"/>
  <c r="Q9920" i="58"/>
  <c r="R4400" i="58"/>
  <c r="Q4399" i="58"/>
  <c r="R1757" i="58"/>
  <c r="Q1756" i="58"/>
  <c r="R8549" i="58"/>
  <c r="Q8548" i="58"/>
  <c r="R1654" i="58"/>
  <c r="Q1653" i="58"/>
  <c r="R12898" i="58"/>
  <c r="Q12897" i="58"/>
  <c r="R11901" i="58"/>
  <c r="R11900" i="58"/>
  <c r="Q12740" i="58"/>
  <c r="R12741" i="58"/>
  <c r="R5642" i="58"/>
  <c r="Q5641" i="58"/>
  <c r="R11265" i="58"/>
  <c r="Q11264" i="58"/>
  <c r="R2080" i="58"/>
  <c r="R2079" i="58"/>
  <c r="R2028" i="58"/>
  <c r="Q2027" i="58"/>
  <c r="R9805" i="58"/>
  <c r="Q9804" i="58"/>
  <c r="R1234" i="58"/>
  <c r="Q1233" i="58"/>
  <c r="R1960" i="58"/>
  <c r="R1959" i="58"/>
  <c r="R10927" i="58"/>
  <c r="Q10926" i="58"/>
  <c r="R10934" i="58"/>
  <c r="Q10933" i="58"/>
  <c r="R4274" i="58"/>
  <c r="Q4273" i="58"/>
  <c r="R12204" i="58"/>
  <c r="Q12203" i="58"/>
  <c r="R11843" i="58"/>
  <c r="Q11842" i="58"/>
  <c r="R12309" i="58"/>
  <c r="Q12308" i="58"/>
  <c r="R5021" i="58"/>
  <c r="Q5020" i="58"/>
  <c r="R5151" i="58"/>
  <c r="Q5150" i="58"/>
  <c r="R2484" i="58"/>
  <c r="Q2483" i="58"/>
  <c r="Q554" i="58"/>
  <c r="R555" i="58"/>
  <c r="R5224" i="58"/>
  <c r="Q5223" i="58"/>
  <c r="R6951" i="58"/>
  <c r="Q6950" i="58"/>
  <c r="R11196" i="58"/>
  <c r="Q11195" i="58"/>
  <c r="R11897" i="58"/>
  <c r="Q11896" i="58"/>
  <c r="Q4414" i="58"/>
  <c r="R4415" i="58"/>
  <c r="R883" i="58"/>
  <c r="R882" i="58"/>
  <c r="R9361" i="58"/>
  <c r="Q9360" i="58"/>
  <c r="R7714" i="58"/>
  <c r="Q7713" i="58"/>
  <c r="Q5352" i="58"/>
  <c r="R5353" i="58"/>
  <c r="R12777" i="58"/>
  <c r="Q12776" i="58"/>
  <c r="R4393" i="58"/>
  <c r="Q4392" i="58"/>
  <c r="R6764" i="58"/>
  <c r="Q6763" i="58"/>
  <c r="R5985" i="58"/>
  <c r="Q5984" i="58"/>
  <c r="R4636" i="58"/>
  <c r="Q4635" i="58"/>
  <c r="R6166" i="58"/>
  <c r="Q6165" i="58"/>
  <c r="R9553" i="58"/>
  <c r="Q9552" i="58"/>
  <c r="R10263" i="58"/>
  <c r="Q10262" i="58"/>
  <c r="R9663" i="58"/>
  <c r="Q9662" i="58"/>
  <c r="R655" i="58"/>
  <c r="R654" i="58"/>
  <c r="R2407" i="58"/>
  <c r="Q2406" i="58"/>
  <c r="R1426" i="58"/>
  <c r="Q1425" i="58"/>
  <c r="R890" i="58"/>
  <c r="Q889" i="58"/>
  <c r="R10881" i="58"/>
  <c r="Q10880" i="58"/>
  <c r="R782" i="58"/>
  <c r="Q781" i="58"/>
  <c r="Q3890" i="58"/>
  <c r="R3891" i="58"/>
  <c r="R12461" i="58"/>
  <c r="Q12460" i="58"/>
  <c r="R10649" i="58"/>
  <c r="Q10648" i="58"/>
  <c r="R529" i="58"/>
  <c r="R528" i="58"/>
  <c r="R8999" i="58"/>
  <c r="Q8998" i="58"/>
  <c r="Q1618" i="58"/>
  <c r="R1619" i="58"/>
  <c r="R12450" i="58"/>
  <c r="Q12449" i="58"/>
  <c r="R10117" i="58"/>
  <c r="Q10116" i="58"/>
  <c r="R11639" i="58"/>
  <c r="Q11638" i="58"/>
  <c r="R5897" i="58"/>
  <c r="Q5896" i="58"/>
  <c r="R5614" i="58"/>
  <c r="Q5613" i="58"/>
  <c r="R1823" i="58"/>
  <c r="Q1822" i="58"/>
  <c r="R5014" i="58"/>
  <c r="Q5013" i="58"/>
  <c r="R5924" i="58"/>
  <c r="Q5923" i="58"/>
  <c r="R6915" i="58"/>
  <c r="Q6914" i="58"/>
  <c r="R5400" i="58"/>
  <c r="R5401" i="58"/>
  <c r="R7141" i="58"/>
  <c r="Q7140" i="58"/>
  <c r="R2836" i="58"/>
  <c r="Q2835" i="58"/>
  <c r="R5050" i="58"/>
  <c r="Q5049" i="58"/>
  <c r="R3023" i="58"/>
  <c r="Q3022" i="58"/>
  <c r="R5497" i="58"/>
  <c r="Q5496" i="58"/>
  <c r="R1130" i="58"/>
  <c r="Q1129" i="58"/>
  <c r="R4554" i="58"/>
  <c r="Q4553" i="58"/>
  <c r="R1407" i="58"/>
  <c r="Q1406" i="58"/>
  <c r="R5079" i="58"/>
  <c r="Q5078" i="58"/>
  <c r="R5216" i="58"/>
  <c r="Q5215" i="58"/>
  <c r="R564" i="58"/>
  <c r="Q563" i="58"/>
  <c r="Q3058" i="58"/>
  <c r="R3059" i="58"/>
  <c r="R10128" i="58"/>
  <c r="Q10127" i="58"/>
  <c r="R3106" i="58"/>
  <c r="R3105" i="58"/>
  <c r="Q4356" i="58"/>
  <c r="R4357" i="58"/>
  <c r="R10359" i="58"/>
  <c r="Q10358" i="58"/>
  <c r="R4680" i="58"/>
  <c r="Q4679" i="58"/>
  <c r="R1004" i="58"/>
  <c r="Q1003" i="58"/>
  <c r="R5584" i="58"/>
  <c r="Q5583" i="58"/>
  <c r="R627" i="58"/>
  <c r="Q626" i="58"/>
  <c r="R12594" i="58"/>
  <c r="Q12593" i="58"/>
  <c r="R11493" i="58"/>
  <c r="Q11492" i="58"/>
  <c r="R9415" i="58"/>
  <c r="Q9414" i="58"/>
  <c r="R1636" i="58"/>
  <c r="Q1635" i="58"/>
  <c r="Q11089" i="58"/>
  <c r="R11090" i="58"/>
  <c r="R8704" i="58"/>
  <c r="Q8703" i="58"/>
  <c r="Q8136" i="58"/>
  <c r="R8137" i="58"/>
  <c r="R6841" i="58"/>
  <c r="Q6840" i="58"/>
  <c r="R8985" i="58"/>
  <c r="Q8984" i="58"/>
  <c r="R6100" i="58"/>
  <c r="Q6099" i="58"/>
  <c r="R8029" i="58"/>
  <c r="Q8028" i="58"/>
  <c r="R12531" i="58"/>
  <c r="Q12530" i="58"/>
  <c r="Q1178" i="58"/>
  <c r="R1179" i="58"/>
  <c r="R4903" i="58"/>
  <c r="R4902" i="58"/>
  <c r="R4893" i="58"/>
  <c r="Q4892" i="58"/>
  <c r="R9250" i="58"/>
  <c r="Q9249" i="58"/>
  <c r="R9444" i="58"/>
  <c r="Q9443" i="58"/>
  <c r="R673" i="58"/>
  <c r="Q672" i="58"/>
  <c r="R6454" i="58"/>
  <c r="Q6453" i="58"/>
  <c r="R7815" i="58"/>
  <c r="Q7814" i="58"/>
  <c r="R10539" i="58"/>
  <c r="Q10538" i="58"/>
  <c r="R4984" i="58"/>
  <c r="Q4983" i="58"/>
  <c r="R1992" i="58"/>
  <c r="Q1991" i="58"/>
  <c r="R5426" i="58"/>
  <c r="Q5425" i="58"/>
  <c r="R4833" i="58"/>
  <c r="Q4832" i="58"/>
  <c r="R10737" i="58"/>
  <c r="Q10736" i="58"/>
  <c r="R5698" i="58"/>
  <c r="Q5697" i="58"/>
  <c r="R12939" i="58"/>
  <c r="Q12938" i="58"/>
  <c r="R5096" i="58"/>
  <c r="Q5095" i="58"/>
  <c r="R350" i="58"/>
  <c r="Q349" i="58"/>
  <c r="R8090" i="58"/>
  <c r="R8089" i="58"/>
  <c r="R4978" i="58"/>
  <c r="Q4977" i="58"/>
  <c r="R1099" i="58"/>
  <c r="R1098" i="58"/>
  <c r="R12134" i="58"/>
  <c r="Q12133" i="58"/>
  <c r="R1685" i="58"/>
  <c r="Q1684" i="58"/>
  <c r="R12429" i="58"/>
  <c r="Q12428" i="58"/>
  <c r="R10380" i="58"/>
  <c r="Q10379" i="58"/>
  <c r="R5123" i="58"/>
  <c r="Q5122" i="58"/>
  <c r="R7427" i="58"/>
  <c r="Q7426" i="58"/>
  <c r="Q2135" i="58"/>
  <c r="R2136" i="58"/>
  <c r="R5196" i="58"/>
  <c r="Q5195" i="58"/>
  <c r="R975" i="58"/>
  <c r="Q974" i="58"/>
  <c r="R1737" i="58"/>
  <c r="R1736" i="58"/>
  <c r="R10462" i="58"/>
  <c r="Q10461" i="58"/>
  <c r="R835" i="58"/>
  <c r="R834" i="58"/>
  <c r="R1725" i="58"/>
  <c r="R1724" i="58"/>
  <c r="R4365" i="58"/>
  <c r="Q4364" i="58"/>
  <c r="R10787" i="58"/>
  <c r="Q10786" i="58"/>
  <c r="R9654" i="58"/>
  <c r="Q9653" i="58"/>
  <c r="R9112" i="58"/>
  <c r="Q9111" i="58"/>
  <c r="R7097" i="58"/>
  <c r="Q7096" i="58"/>
  <c r="R11866" i="58"/>
  <c r="Q11865" i="58"/>
  <c r="R9262" i="58"/>
  <c r="Q9261" i="58"/>
  <c r="R2798" i="58"/>
  <c r="R2797" i="58"/>
  <c r="R12881" i="58"/>
  <c r="R12882" i="58"/>
  <c r="Q6900" i="58"/>
  <c r="R6901" i="58"/>
  <c r="R5992" i="58"/>
  <c r="Q5991" i="58"/>
  <c r="Q11985" i="58"/>
  <c r="R11986" i="58"/>
  <c r="R13022" i="58"/>
  <c r="Q13021" i="58"/>
  <c r="R9528" i="58"/>
  <c r="Q9527" i="58"/>
  <c r="Q4745" i="58"/>
  <c r="R4746" i="58"/>
  <c r="R8401" i="58"/>
  <c r="Q8400" i="58"/>
  <c r="R8882" i="58"/>
  <c r="Q8881" i="58"/>
  <c r="R6334" i="58"/>
  <c r="Q6333" i="58"/>
  <c r="R12504" i="58"/>
  <c r="R12503" i="58"/>
  <c r="R6034" i="58"/>
  <c r="Q6033" i="58"/>
  <c r="R5567" i="58"/>
  <c r="Q5566" i="58"/>
  <c r="R786" i="58"/>
  <c r="R785" i="58"/>
  <c r="R1599" i="58"/>
  <c r="R1598" i="58"/>
  <c r="R2927" i="58"/>
  <c r="Q2926" i="58"/>
  <c r="R7934" i="58"/>
  <c r="Q7933" i="58"/>
  <c r="R6440" i="58"/>
  <c r="Q6439" i="58"/>
  <c r="R5382" i="58"/>
  <c r="Q5381" i="58"/>
  <c r="R4627" i="58"/>
  <c r="Q4626" i="58"/>
  <c r="R2124" i="58"/>
  <c r="Q2123" i="58"/>
  <c r="R11973" i="58"/>
  <c r="R11972" i="58"/>
  <c r="R6113" i="58"/>
  <c r="Q6112" i="58"/>
  <c r="R8894" i="58"/>
  <c r="Q8893" i="58"/>
  <c r="R8815" i="58"/>
  <c r="Q8814" i="58"/>
  <c r="R12300" i="58"/>
  <c r="Q12299" i="58"/>
  <c r="R11468" i="58"/>
  <c r="Q11467" i="58"/>
  <c r="R8645" i="58"/>
  <c r="Q8644" i="58"/>
  <c r="R7729" i="58"/>
  <c r="Q7728" i="58"/>
  <c r="R4718" i="58"/>
  <c r="Q4717" i="58"/>
  <c r="Q1781" i="58"/>
  <c r="R1782" i="58"/>
  <c r="R1473" i="58"/>
  <c r="R1472" i="58"/>
  <c r="R7238" i="58"/>
  <c r="Q7237" i="58"/>
  <c r="R571" i="58"/>
  <c r="Q570" i="58"/>
  <c r="R4916" i="58"/>
  <c r="Q4915" i="58"/>
  <c r="R11873" i="58"/>
  <c r="Q11872" i="58"/>
  <c r="R1787" i="58"/>
  <c r="Q1786" i="58"/>
  <c r="R7469" i="58"/>
  <c r="Q7468" i="58"/>
  <c r="R9213" i="58"/>
  <c r="Q9212" i="58"/>
  <c r="R5971" i="58"/>
  <c r="Q5970" i="58"/>
  <c r="R10551" i="58"/>
  <c r="Q10550" i="58"/>
  <c r="R10232" i="58"/>
  <c r="Q10231" i="58"/>
  <c r="R6400" i="58"/>
  <c r="Q6399" i="58"/>
  <c r="R7693" i="58"/>
  <c r="Q7692" i="58"/>
  <c r="R11131" i="58"/>
  <c r="Q11130" i="58"/>
  <c r="Q5649" i="58"/>
  <c r="R5650" i="58"/>
  <c r="R1551" i="58"/>
  <c r="R1550" i="58"/>
  <c r="R1835" i="58"/>
  <c r="Q1834" i="58"/>
  <c r="R3954" i="58"/>
  <c r="Q3953" i="58"/>
  <c r="R10451" i="58"/>
  <c r="Q10450" i="58"/>
  <c r="R4450" i="58"/>
  <c r="Q4449" i="58"/>
  <c r="Q687" i="58"/>
  <c r="R688" i="58"/>
  <c r="R1414" i="58"/>
  <c r="Q1413" i="58"/>
  <c r="R11857" i="58"/>
  <c r="Q11856" i="58"/>
  <c r="R9091" i="58"/>
  <c r="Q9090" i="58"/>
  <c r="Q4660" i="58"/>
  <c r="R4661" i="58"/>
  <c r="R4884" i="58"/>
  <c r="R4885" i="58"/>
  <c r="R2116" i="58"/>
  <c r="R2115" i="58"/>
  <c r="R11695" i="58"/>
  <c r="Q11694" i="58"/>
  <c r="R2311" i="58"/>
  <c r="Q2310" i="58"/>
  <c r="R12573" i="58"/>
  <c r="Q12572" i="58"/>
  <c r="R11000" i="58"/>
  <c r="R10999" i="58"/>
  <c r="R10670" i="58"/>
  <c r="Q10669" i="58"/>
  <c r="R5360" i="58"/>
  <c r="Q5359" i="58"/>
  <c r="R11331" i="58"/>
  <c r="Q11330" i="58"/>
  <c r="R5252" i="58"/>
  <c r="Q5251" i="58"/>
  <c r="Q6704" i="58"/>
  <c r="R6705" i="58"/>
  <c r="R5168" i="58"/>
  <c r="Q5167" i="58"/>
  <c r="R2442" i="58"/>
  <c r="Q2441" i="58"/>
  <c r="R4141" i="58"/>
  <c r="Q4140" i="58"/>
  <c r="R372" i="58"/>
  <c r="Q371" i="58"/>
  <c r="R1712" i="58"/>
  <c r="R1713" i="58"/>
  <c r="R5327" i="58"/>
  <c r="Q5326" i="58"/>
  <c r="Q1630" i="58"/>
  <c r="R1631" i="58"/>
  <c r="R6586" i="58"/>
  <c r="Q6585" i="58"/>
  <c r="R4910" i="58"/>
  <c r="Q4909" i="58"/>
  <c r="R2751" i="58"/>
  <c r="Q2750" i="58"/>
  <c r="R8000" i="58"/>
  <c r="Q7999" i="58"/>
  <c r="R12469" i="58"/>
  <c r="Q12468" i="58"/>
  <c r="R11350" i="58"/>
  <c r="Q11349" i="58"/>
  <c r="R6824" i="58"/>
  <c r="Q6823" i="58"/>
  <c r="R1812" i="58"/>
  <c r="Q1811" i="58"/>
  <c r="R10285" i="58"/>
  <c r="Q10284" i="58"/>
  <c r="R4735" i="58"/>
  <c r="Q4734" i="58"/>
  <c r="R6616" i="58"/>
  <c r="Q6615" i="58"/>
  <c r="R6720" i="58"/>
  <c r="Q6719" i="58"/>
  <c r="R5449" i="58"/>
  <c r="Q5448" i="58"/>
  <c r="R5144" i="58"/>
  <c r="Q5143" i="58"/>
  <c r="R3945" i="58"/>
  <c r="Q3944" i="58"/>
  <c r="R12233" i="58"/>
  <c r="Q12232" i="58"/>
  <c r="R4268" i="58"/>
  <c r="Q4267" i="58"/>
  <c r="R1329" i="58"/>
  <c r="Q1328" i="58"/>
  <c r="R12839" i="58"/>
  <c r="Q12838" i="58"/>
  <c r="R6088" i="58"/>
  <c r="Q6087" i="58"/>
  <c r="R11423" i="58"/>
  <c r="Q11422" i="58"/>
  <c r="R10038" i="58"/>
  <c r="Q10037" i="58"/>
  <c r="R12096" i="58"/>
  <c r="Q12095" i="58"/>
  <c r="R8856" i="58"/>
  <c r="Q8855" i="58"/>
  <c r="R949" i="58"/>
  <c r="R948" i="58"/>
  <c r="R4309" i="58"/>
  <c r="Q4308" i="58"/>
  <c r="R11999" i="58"/>
  <c r="Q11998" i="58"/>
  <c r="R6021" i="58"/>
  <c r="Q6020" i="58"/>
  <c r="R332" i="58"/>
  <c r="Q331" i="58"/>
  <c r="R5233" i="58"/>
  <c r="Q5232" i="58"/>
  <c r="R11780" i="58"/>
  <c r="Q11779" i="58"/>
  <c r="R8514" i="58"/>
  <c r="Q8513" i="58"/>
  <c r="R4861" i="58"/>
  <c r="R4860" i="58"/>
  <c r="R1817" i="58"/>
  <c r="Q1816" i="58"/>
  <c r="R5819" i="58"/>
  <c r="Q5818" i="58"/>
  <c r="R7304" i="58"/>
  <c r="Q7303" i="58"/>
  <c r="R10158" i="58"/>
  <c r="Q10157" i="58"/>
  <c r="R3066" i="58"/>
  <c r="Q3065" i="58"/>
  <c r="R1901" i="58"/>
  <c r="Q1900" i="58"/>
  <c r="R11486" i="58"/>
  <c r="Q11485" i="58"/>
  <c r="R2914" i="58"/>
  <c r="Q2913" i="58"/>
  <c r="R275" i="58"/>
  <c r="R274" i="58"/>
  <c r="R5538" i="58"/>
  <c r="Q5537" i="58"/>
  <c r="R8300" i="58"/>
  <c r="Q8299" i="58"/>
  <c r="Q4539" i="58"/>
  <c r="R4540" i="58"/>
  <c r="R10189" i="58"/>
  <c r="Q10188" i="58"/>
  <c r="R4177" i="58"/>
  <c r="Q4176" i="58"/>
  <c r="R9464" i="58"/>
  <c r="Q9463" i="58"/>
  <c r="R2605" i="58"/>
  <c r="Q2604" i="58"/>
  <c r="R5311" i="58"/>
  <c r="Q5310" i="58"/>
  <c r="R10070" i="58"/>
  <c r="Q10069" i="58"/>
  <c r="R7685" i="58"/>
  <c r="Q7684" i="58"/>
  <c r="R12438" i="58"/>
  <c r="Q12437" i="58"/>
  <c r="R9754" i="58"/>
  <c r="Q9753" i="58"/>
  <c r="R8035" i="58"/>
  <c r="Q8034" i="58"/>
  <c r="R1659" i="58"/>
  <c r="R1658" i="58"/>
  <c r="R9221" i="58"/>
  <c r="Q9220" i="58"/>
  <c r="R4129" i="58"/>
  <c r="Q4128" i="58"/>
  <c r="R1972" i="58"/>
  <c r="R1971" i="58"/>
  <c r="R9976" i="58"/>
  <c r="Q9975" i="58"/>
  <c r="R1268" i="58"/>
  <c r="R1267" i="58"/>
  <c r="R3125" i="58"/>
  <c r="Q3124" i="58"/>
  <c r="R4946" i="58"/>
  <c r="Q4945" i="58"/>
  <c r="R9373" i="58"/>
  <c r="Q9372" i="58"/>
  <c r="R11658" i="58"/>
  <c r="Q11657" i="58"/>
  <c r="R901" i="58"/>
  <c r="R900" i="58"/>
  <c r="R10564" i="58"/>
  <c r="Q10563" i="58"/>
  <c r="R6419" i="58"/>
  <c r="Q6418" i="58"/>
  <c r="R7421" i="58"/>
  <c r="Q7420" i="58"/>
  <c r="R9103" i="58"/>
  <c r="Q9102" i="58"/>
  <c r="R1677" i="58"/>
  <c r="R1676" i="58"/>
  <c r="R1022" i="58"/>
  <c r="Q1021" i="58"/>
  <c r="R2816" i="58"/>
  <c r="R2815" i="58"/>
  <c r="R7672" i="58"/>
  <c r="Q7671" i="58"/>
  <c r="R8307" i="58"/>
  <c r="R8306" i="58"/>
  <c r="R8920" i="58"/>
  <c r="Q8919" i="58"/>
  <c r="R4463" i="58"/>
  <c r="Q4462" i="58"/>
  <c r="R9516" i="58"/>
  <c r="Q9515" i="58"/>
  <c r="R4958" i="58"/>
  <c r="Q4957" i="58"/>
  <c r="R1382" i="58"/>
  <c r="R1381" i="58"/>
  <c r="R12613" i="58"/>
  <c r="Q12612" i="58"/>
  <c r="R9951" i="58"/>
  <c r="Q9950" i="58"/>
  <c r="R11592" i="58"/>
  <c r="Q11591" i="58"/>
  <c r="R1033" i="58"/>
  <c r="R1032" i="58"/>
  <c r="R740" i="58"/>
  <c r="Q739" i="58"/>
  <c r="R3829" i="58"/>
  <c r="Q3828" i="58"/>
  <c r="R1017" i="58"/>
  <c r="Q1016" i="58"/>
  <c r="R2327" i="58"/>
  <c r="R2326" i="58"/>
  <c r="R9473" i="58"/>
  <c r="Q9472" i="58"/>
  <c r="R9893" i="58"/>
  <c r="Q9892" i="58"/>
  <c r="R2885" i="58"/>
  <c r="Q2884" i="58"/>
  <c r="R11835" i="58"/>
  <c r="Q11834" i="58"/>
  <c r="R2106" i="58"/>
  <c r="Q2105" i="58"/>
  <c r="R8272" i="58"/>
  <c r="Q8271" i="58"/>
  <c r="R1354" i="58"/>
  <c r="Q1353" i="58"/>
  <c r="R525" i="58"/>
  <c r="Q524" i="58"/>
  <c r="Q10368" i="58"/>
  <c r="R10369" i="58"/>
  <c r="Q4470" i="58"/>
  <c r="R4471" i="58"/>
  <c r="R7462" i="58"/>
  <c r="Q7461" i="58"/>
  <c r="R2213" i="58"/>
  <c r="R2212" i="58"/>
  <c r="R710" i="58"/>
  <c r="Q709" i="58"/>
  <c r="R9393" i="58"/>
  <c r="Q9392" i="58"/>
  <c r="R615" i="58"/>
  <c r="Q614" i="58"/>
  <c r="R1063" i="58"/>
  <c r="R1062" i="58"/>
  <c r="R4786" i="58"/>
  <c r="Q4785" i="58"/>
  <c r="R1454" i="58"/>
  <c r="R1453" i="58"/>
  <c r="R2739" i="58"/>
  <c r="Q2738" i="58"/>
  <c r="R6190" i="58"/>
  <c r="Q6189" i="58"/>
  <c r="R10747" i="58"/>
  <c r="Q10746" i="58"/>
  <c r="R4843" i="58"/>
  <c r="R4842" i="58"/>
  <c r="R2394" i="58"/>
  <c r="Q2393" i="58"/>
  <c r="R11055" i="58"/>
  <c r="Q11054" i="58"/>
  <c r="R1027" i="58"/>
  <c r="R1026" i="58"/>
  <c r="R11826" i="58"/>
  <c r="Q11825" i="58"/>
  <c r="R12088" i="58"/>
  <c r="Q12087" i="58"/>
  <c r="Q2298" i="58"/>
  <c r="R2299" i="58"/>
  <c r="R6675" i="58"/>
  <c r="Q6674" i="58"/>
  <c r="R8429" i="58"/>
  <c r="Q8428" i="58"/>
  <c r="R5258" i="58"/>
  <c r="Q5257" i="58"/>
  <c r="R12289" i="58"/>
  <c r="Q12288" i="58"/>
  <c r="R9152" i="58"/>
  <c r="Q9151" i="58"/>
  <c r="R5375" i="58"/>
  <c r="Q5374" i="58"/>
  <c r="R12769" i="58"/>
  <c r="Q12768" i="58"/>
  <c r="R6151" i="58"/>
  <c r="Q6150" i="58"/>
  <c r="R9902" i="58"/>
  <c r="Q9901" i="58"/>
  <c r="R4619" i="58"/>
  <c r="Q4618" i="58"/>
  <c r="R8533" i="58"/>
  <c r="Q8532" i="58"/>
  <c r="R1401" i="58"/>
  <c r="Q1400" i="58"/>
  <c r="R9574" i="58"/>
  <c r="Q9573" i="58"/>
  <c r="R8328" i="58"/>
  <c r="Q8327" i="58"/>
  <c r="R10061" i="58"/>
  <c r="Q10060" i="58"/>
  <c r="R7965" i="58"/>
  <c r="Q7964" i="58"/>
  <c r="R956" i="58"/>
  <c r="Q955" i="58"/>
  <c r="R8043" i="58"/>
  <c r="Q8042" i="58"/>
  <c r="R3837" i="58"/>
  <c r="Q3836" i="58"/>
  <c r="R11810" i="58"/>
  <c r="Q11809" i="58"/>
  <c r="Q2562" i="58"/>
  <c r="R2563" i="58"/>
  <c r="R8422" i="58"/>
  <c r="Q8421" i="58"/>
  <c r="R11512" i="58"/>
  <c r="Q11511" i="58"/>
  <c r="R6229" i="58"/>
  <c r="Q6228" i="58"/>
  <c r="R1119" i="58"/>
  <c r="Q1118" i="58"/>
  <c r="R2794" i="58"/>
  <c r="Q2793" i="58"/>
  <c r="R5596" i="58"/>
  <c r="Q5595" i="58"/>
  <c r="R3986" i="58"/>
  <c r="Q3985" i="58"/>
  <c r="R9282" i="58"/>
  <c r="Q9281" i="58"/>
  <c r="R6525" i="58"/>
  <c r="Q6524" i="58"/>
  <c r="R4874" i="58"/>
  <c r="Q4873" i="58"/>
  <c r="R6690" i="58"/>
  <c r="Q6689" i="58"/>
  <c r="R13055" i="58"/>
  <c r="R13054" i="58"/>
  <c r="R1485" i="58"/>
  <c r="R1484" i="58"/>
  <c r="R8786" i="58"/>
  <c r="Q8785" i="58"/>
  <c r="R11622" i="58"/>
  <c r="Q11621" i="58"/>
  <c r="R8228" i="58"/>
  <c r="Q8227" i="58"/>
  <c r="R7027" i="58"/>
  <c r="Q7026" i="58"/>
  <c r="R4992" i="58"/>
  <c r="Q4991" i="58"/>
  <c r="R9403" i="58"/>
  <c r="Q9402" i="58"/>
  <c r="R631" i="58"/>
  <c r="R630" i="58"/>
  <c r="R1558" i="58"/>
  <c r="Q1557" i="58"/>
  <c r="R12854" i="58"/>
  <c r="Q12853" i="58"/>
  <c r="R12868" i="58"/>
  <c r="Q12867" i="58"/>
  <c r="R10870" i="58"/>
  <c r="Q10869" i="58"/>
  <c r="R2423" i="58"/>
  <c r="R2422" i="58"/>
  <c r="R6243" i="58"/>
  <c r="Q6242" i="58"/>
  <c r="R6283" i="58"/>
  <c r="Q6282" i="58"/>
  <c r="R5713" i="58"/>
  <c r="Q5712" i="58"/>
  <c r="R11341" i="58"/>
  <c r="Q11340" i="58"/>
  <c r="R12102" i="58"/>
  <c r="Q12101" i="58"/>
  <c r="R11933" i="58"/>
  <c r="Q11932" i="58"/>
  <c r="R2909" i="58"/>
  <c r="Q2908" i="58"/>
  <c r="R10658" i="58"/>
  <c r="Q10657" i="58"/>
  <c r="R7000" i="58"/>
  <c r="Q6999" i="58"/>
  <c r="R4724" i="58"/>
  <c r="Q4723" i="58"/>
  <c r="R1057" i="58"/>
  <c r="R1056" i="58"/>
  <c r="R3089" i="58"/>
  <c r="Q3088" i="58"/>
  <c r="R9613" i="58"/>
  <c r="Q9612" i="58"/>
  <c r="R12958" i="58"/>
  <c r="Q12957" i="58"/>
  <c r="Q12704" i="58"/>
  <c r="R12705" i="58"/>
  <c r="R4963" i="58"/>
  <c r="R4962" i="58"/>
  <c r="Q4075" i="58"/>
  <c r="R4076" i="58"/>
  <c r="Q5683" i="58"/>
  <c r="R5684" i="58"/>
  <c r="R6810" i="58"/>
  <c r="Q6809" i="58"/>
  <c r="Q4512" i="58"/>
  <c r="R4513" i="58"/>
  <c r="R9989" i="58"/>
  <c r="Q9988" i="58"/>
  <c r="R5554" i="58"/>
  <c r="Q5553" i="58"/>
  <c r="R9622" i="58"/>
  <c r="Q9621" i="58"/>
  <c r="R12659" i="58"/>
  <c r="Q12658" i="58"/>
  <c r="R1161" i="58"/>
  <c r="Q1160" i="58"/>
  <c r="R1210" i="58"/>
  <c r="Q1209" i="58"/>
  <c r="R1222" i="58"/>
  <c r="Q1221" i="58"/>
  <c r="R340" i="58"/>
  <c r="Q339" i="58"/>
  <c r="R6268" i="58"/>
  <c r="Q6267" i="58"/>
  <c r="R11768" i="58"/>
  <c r="Q11767" i="58"/>
  <c r="Q2949" i="58"/>
  <c r="R2950" i="58"/>
  <c r="R7844" i="58"/>
  <c r="Q7843" i="58"/>
  <c r="Q1371" i="58"/>
  <c r="R1372" i="58"/>
  <c r="R6781" i="58"/>
  <c r="Q6780" i="58"/>
  <c r="R12014" i="58"/>
  <c r="Q12013" i="58"/>
  <c r="Q2727" i="58"/>
  <c r="R2728" i="58"/>
  <c r="R5270" i="58"/>
  <c r="Q5269" i="58"/>
  <c r="R10090" i="58"/>
  <c r="Q10089" i="58"/>
  <c r="Q4897" i="58"/>
  <c r="R4898" i="58"/>
  <c r="R12269" i="58"/>
  <c r="Q12268" i="58"/>
  <c r="R7245" i="58"/>
  <c r="Q7244" i="58"/>
  <c r="R1142" i="58"/>
  <c r="Q1141" i="58"/>
  <c r="R7455" i="58"/>
  <c r="Q7454" i="58"/>
  <c r="R11925" i="58"/>
  <c r="R11924" i="58"/>
  <c r="R10958" i="58"/>
  <c r="Q10957" i="58"/>
  <c r="R6965" i="58"/>
  <c r="Q6964" i="58"/>
  <c r="R11992" i="58"/>
  <c r="Q11991" i="58"/>
  <c r="R2346" i="58"/>
  <c r="Q2345" i="58"/>
  <c r="R10804" i="58"/>
  <c r="Q10803" i="58"/>
  <c r="R11706" i="58"/>
  <c r="Q11705" i="58"/>
  <c r="R2269" i="58"/>
  <c r="Q2268" i="58"/>
  <c r="R8627" i="58"/>
  <c r="Q8626" i="58"/>
  <c r="R4051" i="58"/>
  <c r="Q4050" i="58"/>
  <c r="Q812" i="58"/>
  <c r="R813" i="58"/>
  <c r="Q11890" i="58"/>
  <c r="R11891" i="58"/>
  <c r="Q5998" i="58"/>
  <c r="R5999" i="58"/>
  <c r="R7196" i="58"/>
  <c r="Q7195" i="58"/>
  <c r="R854" i="58"/>
  <c r="Q853" i="58"/>
  <c r="R2221" i="58"/>
  <c r="Q2220" i="58"/>
  <c r="R6979" i="58"/>
  <c r="Q6978" i="58"/>
  <c r="R540" i="58"/>
  <c r="Q539" i="58"/>
  <c r="R7624" i="58"/>
  <c r="Q7623" i="58"/>
  <c r="R7769" i="58"/>
  <c r="Q7768" i="58"/>
  <c r="R867" i="58"/>
  <c r="Q866" i="58"/>
  <c r="Q9200" i="58"/>
  <c r="R9201" i="58"/>
  <c r="R7567" i="58"/>
  <c r="Q7566" i="58"/>
  <c r="R9837" i="58"/>
  <c r="Q9836" i="58"/>
  <c r="R4767" i="58"/>
  <c r="Q4766" i="58"/>
  <c r="R2557" i="58"/>
  <c r="Q2556" i="58"/>
  <c r="R1570" i="58"/>
  <c r="Q1569" i="58"/>
  <c r="R3077" i="58"/>
  <c r="Q3076" i="58"/>
  <c r="R11027" i="58"/>
  <c r="Q11026" i="58"/>
  <c r="Q11014" i="58"/>
  <c r="R11015" i="58"/>
  <c r="R9643" i="58"/>
  <c r="Q9642" i="58"/>
  <c r="R9383" i="58"/>
  <c r="Q9382" i="58"/>
  <c r="R6931" i="58"/>
  <c r="Q6930" i="58"/>
  <c r="R1364" i="58"/>
  <c r="R1363" i="58"/>
  <c r="R271" i="58"/>
  <c r="Q270" i="58"/>
  <c r="R282" i="58"/>
  <c r="Q281" i="58"/>
  <c r="R7505" i="58"/>
  <c r="Q7504" i="58"/>
  <c r="R8256" i="58"/>
  <c r="Q8255" i="58"/>
  <c r="R11522" i="58"/>
  <c r="Q11521" i="58"/>
  <c r="R12062" i="58"/>
  <c r="Q12061" i="58"/>
  <c r="R4207" i="58"/>
  <c r="Q4206" i="58"/>
  <c r="Q11074" i="58"/>
  <c r="R11075" i="58"/>
  <c r="R6937" i="58"/>
  <c r="Q6936" i="58"/>
  <c r="R2467" i="58"/>
  <c r="Q2466" i="58"/>
  <c r="R6885" i="58"/>
  <c r="Q6884" i="58"/>
  <c r="R5622" i="58"/>
  <c r="Q5621" i="58"/>
  <c r="R2057" i="58"/>
  <c r="Q2056" i="58"/>
  <c r="R697" i="58"/>
  <c r="Q696" i="58"/>
  <c r="R2051" i="58"/>
  <c r="Q2050" i="58"/>
  <c r="R5467" i="58"/>
  <c r="Q5466" i="58"/>
  <c r="Q2063" i="58"/>
  <c r="R2064" i="58"/>
  <c r="R175" i="58"/>
  <c r="R174" i="58"/>
  <c r="R1912" i="58"/>
  <c r="R1911" i="58"/>
  <c r="R11955" i="58"/>
  <c r="R11954" i="58"/>
  <c r="R7210" i="58"/>
  <c r="Q7209" i="58"/>
  <c r="R5605" i="58"/>
  <c r="Q5604" i="58"/>
  <c r="R7400" i="58"/>
  <c r="Q7399" i="58"/>
  <c r="R12028" i="58"/>
  <c r="Q12027" i="58"/>
  <c r="R6599" i="58"/>
  <c r="Q6598" i="58"/>
  <c r="R5137" i="58"/>
  <c r="Q5136" i="58"/>
  <c r="R7596" i="58"/>
  <c r="Q7595" i="58"/>
  <c r="R1137" i="58"/>
  <c r="Q1136" i="58"/>
  <c r="R12211" i="58"/>
  <c r="Q12210" i="58"/>
  <c r="R11412" i="58"/>
  <c r="Q11411" i="58"/>
  <c r="R2112" i="58"/>
  <c r="Q2111" i="58"/>
  <c r="R9348" i="58"/>
  <c r="Q9347" i="58"/>
  <c r="R1438" i="58"/>
  <c r="Q1437" i="58"/>
  <c r="Q4533" i="58"/>
  <c r="R4534" i="58"/>
  <c r="R13041" i="58"/>
  <c r="R13040" i="58"/>
  <c r="R8288" i="58"/>
  <c r="Q8287" i="58"/>
  <c r="R12697" i="58"/>
  <c r="Q12696" i="58"/>
  <c r="R8730" i="58"/>
  <c r="Q8729" i="58"/>
  <c r="R2594" i="58"/>
  <c r="Q2593" i="58"/>
  <c r="R2999" i="58"/>
  <c r="Q2998" i="58"/>
  <c r="R8243" i="58"/>
  <c r="Q8242" i="58"/>
  <c r="R1745" i="58"/>
  <c r="Q1744" i="58"/>
  <c r="R2579" i="58"/>
  <c r="R2580" i="58"/>
  <c r="R7706" i="58"/>
  <c r="Q7705" i="58"/>
  <c r="R2364" i="58"/>
  <c r="Q2363" i="58"/>
  <c r="R5692" i="58"/>
  <c r="Q5691" i="58"/>
  <c r="R578" i="58"/>
  <c r="Q577" i="58"/>
  <c r="R534" i="58"/>
  <c r="R533" i="58"/>
  <c r="R8411" i="58"/>
  <c r="Q8410" i="58"/>
  <c r="R1257" i="58"/>
  <c r="Q1256" i="58"/>
  <c r="R12250" i="58"/>
  <c r="Q12249" i="58"/>
  <c r="R1853" i="58"/>
  <c r="Q1852" i="58"/>
  <c r="R12876" i="58"/>
  <c r="Q12875" i="58"/>
  <c r="R746" i="58"/>
  <c r="Q745" i="58"/>
  <c r="R1286" i="58"/>
  <c r="R1285" i="58"/>
  <c r="R5088" i="58"/>
  <c r="Q5087" i="58"/>
  <c r="Q1111" i="58"/>
  <c r="R1112" i="58"/>
  <c r="R1310" i="58"/>
  <c r="R1309" i="58"/>
  <c r="R1770" i="58"/>
  <c r="Q1769" i="58"/>
  <c r="R10254" i="58"/>
  <c r="Q10253" i="58"/>
  <c r="R1498" i="58"/>
  <c r="Q1497" i="58"/>
  <c r="R9735" i="58"/>
  <c r="Q9734" i="58"/>
  <c r="R11945" i="58"/>
  <c r="Q11944" i="58"/>
  <c r="R4316" i="58"/>
  <c r="Q4315" i="58"/>
  <c r="R2075" i="58"/>
  <c r="Q2074" i="58"/>
  <c r="R11166" i="58"/>
  <c r="Q11165" i="58"/>
  <c r="R11651" i="58"/>
  <c r="Q11650" i="58"/>
  <c r="R2686" i="58"/>
  <c r="Q2685" i="58"/>
  <c r="R10578" i="58"/>
  <c r="Q10577" i="58"/>
  <c r="R2382" i="58"/>
  <c r="Q2381" i="58"/>
  <c r="R10328" i="58"/>
  <c r="Q10327" i="58"/>
  <c r="R10967" i="58"/>
  <c r="Q10966" i="58"/>
  <c r="R5515" i="58"/>
  <c r="Q5514" i="58"/>
  <c r="R4373" i="58"/>
  <c r="Q4372" i="58"/>
  <c r="Q7070" i="58"/>
  <c r="R7071" i="58"/>
  <c r="R12905" i="58"/>
  <c r="Q12904" i="58"/>
  <c r="R5070" i="58"/>
  <c r="Q5069" i="58"/>
  <c r="R3971" i="58"/>
  <c r="Q3970" i="58"/>
  <c r="Q4526" i="58"/>
  <c r="R4527" i="58"/>
  <c r="R12668" i="58"/>
  <c r="Q12667" i="58"/>
  <c r="R3048" i="58"/>
  <c r="Q3047" i="58"/>
  <c r="R9336" i="58"/>
  <c r="Q9335" i="58"/>
  <c r="Q1829" i="58"/>
  <c r="R1830" i="58"/>
  <c r="R5734" i="58"/>
  <c r="Q5733" i="58"/>
  <c r="R5347" i="58"/>
  <c r="Q5346" i="58"/>
  <c r="R7252" i="58"/>
  <c r="Q7251" i="58"/>
  <c r="R7888" i="58"/>
  <c r="Q7887" i="58"/>
  <c r="R12109" i="58"/>
  <c r="Q12108" i="58"/>
  <c r="Q10486" i="58"/>
  <c r="R10487" i="58"/>
  <c r="R7265" i="58"/>
  <c r="Q7264" i="58"/>
  <c r="R10527" i="58"/>
  <c r="Q10526" i="58"/>
  <c r="R299" i="58"/>
  <c r="Q298" i="58"/>
  <c r="R10980" i="58"/>
  <c r="R10979" i="58"/>
  <c r="R2333" i="58"/>
  <c r="R2332" i="58"/>
  <c r="Q11308" i="58"/>
  <c r="R11309" i="58"/>
  <c r="R9933" i="58"/>
  <c r="Q9932" i="58"/>
  <c r="R2317" i="58"/>
  <c r="Q2316" i="58"/>
  <c r="R11065" i="58"/>
  <c r="Q11064" i="58"/>
  <c r="Q4230" i="58"/>
  <c r="R4231" i="58"/>
  <c r="Q4814" i="58"/>
  <c r="R4815" i="58"/>
  <c r="R10860" i="58"/>
  <c r="Q10859" i="58"/>
  <c r="R9564" i="58"/>
  <c r="Q9563" i="58"/>
  <c r="R10050" i="58"/>
  <c r="Q10049" i="58"/>
  <c r="R11033" i="58"/>
  <c r="Q11032" i="58"/>
  <c r="R1689" i="58"/>
  <c r="R1688" i="58"/>
  <c r="R11358" i="58"/>
  <c r="Q11357" i="58"/>
  <c r="R2788" i="58"/>
  <c r="Q2787" i="58"/>
  <c r="R4857" i="58"/>
  <c r="Q4856" i="58"/>
  <c r="R12910" i="58"/>
  <c r="R12909" i="58"/>
  <c r="R2244" i="58"/>
  <c r="Q2243" i="58"/>
  <c r="R4610" i="58"/>
  <c r="Q4609" i="58"/>
  <c r="R12416" i="58"/>
  <c r="Q12415" i="58"/>
  <c r="R6556" i="58"/>
  <c r="Q6555" i="58"/>
  <c r="R931" i="58"/>
  <c r="R930" i="58"/>
  <c r="Q800" i="58"/>
  <c r="R801" i="58"/>
  <c r="R619" i="58"/>
  <c r="R618" i="58"/>
  <c r="R2722" i="58"/>
  <c r="Q2721" i="58"/>
  <c r="R10592" i="58"/>
  <c r="Q10591" i="58"/>
  <c r="R11552" i="58"/>
  <c r="Q11551" i="58"/>
  <c r="R4189" i="58"/>
  <c r="Q4188" i="58"/>
  <c r="R1719" i="58"/>
  <c r="R1718" i="58"/>
  <c r="R5130" i="58"/>
  <c r="Q5129" i="58"/>
  <c r="R1872" i="58"/>
  <c r="Q1871" i="58"/>
  <c r="R2262" i="58"/>
  <c r="Q2261" i="58"/>
  <c r="R421" i="58"/>
  <c r="Q420" i="58"/>
  <c r="R398" i="58"/>
  <c r="Q397" i="58"/>
  <c r="R10080" i="58"/>
  <c r="Q10079" i="58"/>
  <c r="R1347" i="58"/>
  <c r="Q1346" i="58"/>
  <c r="R1806" i="58"/>
  <c r="Q1805" i="58"/>
  <c r="R11572" i="58"/>
  <c r="Q11571" i="58"/>
  <c r="R2944" i="58"/>
  <c r="Q2943" i="58"/>
  <c r="R1148" i="58"/>
  <c r="Q1147" i="58"/>
  <c r="Q1105" i="58"/>
  <c r="R1106" i="58"/>
  <c r="Q8083" i="58"/>
  <c r="R8084" i="58"/>
  <c r="R11951" i="58"/>
  <c r="Q11950" i="58"/>
  <c r="R12260" i="58"/>
  <c r="Q12259" i="58"/>
  <c r="R2099" i="58"/>
  <c r="Q2098" i="58"/>
  <c r="R3910" i="58"/>
  <c r="Q3909" i="58"/>
  <c r="R1563" i="58"/>
  <c r="R1562" i="58"/>
  <c r="R10476" i="58"/>
  <c r="Q10475" i="58"/>
  <c r="R4592" i="58"/>
  <c r="Q4591" i="58"/>
  <c r="R8123" i="58"/>
  <c r="Q8122" i="58"/>
  <c r="R9123" i="58"/>
  <c r="Q9122" i="58"/>
  <c r="R981" i="58"/>
  <c r="Q980" i="58"/>
  <c r="R2655" i="58"/>
  <c r="Q2654" i="58"/>
  <c r="Q5156" i="58"/>
  <c r="R5157" i="58"/>
  <c r="R5435" i="58"/>
  <c r="Q5434" i="58"/>
  <c r="R11721" i="58"/>
  <c r="Q11720" i="58"/>
  <c r="R10619" i="58"/>
  <c r="Q10618" i="58"/>
  <c r="R6482" i="58"/>
  <c r="Q6481" i="58"/>
  <c r="R8353" i="58"/>
  <c r="Q8352" i="58"/>
  <c r="R1936" i="58"/>
  <c r="R1935" i="58"/>
  <c r="R11365" i="58"/>
  <c r="Q11364" i="58"/>
  <c r="R7721" i="58"/>
  <c r="Q7720" i="58"/>
  <c r="R1840" i="58"/>
  <c r="R1839" i="58"/>
  <c r="Q11371" i="58"/>
  <c r="R11372" i="58"/>
  <c r="R10816" i="58"/>
  <c r="Q10815" i="58"/>
  <c r="R5575" i="58"/>
  <c r="Q5574" i="58"/>
  <c r="R9584" i="58"/>
  <c r="Q9583" i="58"/>
  <c r="R2285" i="58"/>
  <c r="R2284" i="58"/>
  <c r="R8107" i="58"/>
  <c r="Q8106" i="58"/>
  <c r="R9860" i="58"/>
  <c r="Q9859" i="58"/>
  <c r="R1625" i="58"/>
  <c r="Q1624" i="58"/>
  <c r="R11105" i="58"/>
  <c r="Q11104" i="58"/>
  <c r="R8717" i="58"/>
  <c r="Q8716" i="58"/>
  <c r="Q8607" i="58" l="1"/>
  <c r="R8608" i="58"/>
  <c r="Q11185" i="58"/>
  <c r="R11186" i="58"/>
  <c r="R9164" i="58"/>
  <c r="Q9163" i="58"/>
  <c r="R2226" i="58"/>
  <c r="Q2225" i="58"/>
  <c r="R9324" i="58"/>
  <c r="Q9323" i="58"/>
  <c r="R1877" i="58"/>
  <c r="Q1876" i="58"/>
  <c r="R11920" i="58"/>
  <c r="Q11919" i="58"/>
  <c r="R3017" i="58"/>
  <c r="Q3016" i="58"/>
  <c r="Q12966" i="58"/>
  <c r="R12967" i="58"/>
  <c r="R12795" i="58"/>
  <c r="Q12794" i="58"/>
  <c r="Q4837" i="58"/>
  <c r="R4838" i="58"/>
  <c r="R1907" i="58"/>
  <c r="Q1906" i="58"/>
  <c r="Q10349" i="58"/>
  <c r="R10390" i="58"/>
  <c r="Q10389" i="58"/>
  <c r="R1273" i="58"/>
  <c r="R1274" i="58"/>
  <c r="Q2671" i="58"/>
  <c r="R2672" i="58"/>
  <c r="Q4921" i="58"/>
  <c r="R4922" i="58"/>
  <c r="Q2399" i="58"/>
  <c r="R2400" i="58"/>
  <c r="R648" i="58"/>
  <c r="R649" i="58"/>
  <c r="R1671" i="58"/>
  <c r="R1670" i="58"/>
  <c r="R5506" i="58"/>
  <c r="Q5505" i="58"/>
  <c r="R4350" i="58"/>
  <c r="Q4349" i="58"/>
  <c r="R7259" i="58"/>
  <c r="Q7258" i="58"/>
  <c r="R5670" i="58"/>
  <c r="Q5669" i="58"/>
  <c r="R13035" i="58"/>
  <c r="Q13034" i="58"/>
  <c r="R12337" i="58"/>
  <c r="Q12336" i="58"/>
  <c r="R12984" i="58"/>
  <c r="Q12983" i="58"/>
  <c r="R1227" i="58"/>
  <c r="Q1226" i="58"/>
  <c r="Q2889" i="58"/>
  <c r="R2890" i="58"/>
  <c r="R2781" i="58"/>
  <c r="Q2780" i="58"/>
  <c r="R12279" i="58"/>
  <c r="Q12278" i="58"/>
  <c r="Q12019" i="58"/>
  <c r="R12020" i="58"/>
  <c r="R8197" i="58"/>
  <c r="Q8196" i="58"/>
  <c r="R2648" i="58"/>
  <c r="Q2647" i="58"/>
  <c r="R287" i="58"/>
  <c r="Q286" i="58"/>
  <c r="R1281" i="58"/>
  <c r="Q1280" i="58"/>
  <c r="R9774" i="58"/>
  <c r="Q9773" i="58"/>
  <c r="R10138" i="58"/>
  <c r="Q10137" i="58"/>
  <c r="Q12843" i="58"/>
  <c r="R12844" i="58"/>
  <c r="R7333" i="58"/>
  <c r="Q7332" i="58"/>
  <c r="R184" i="58"/>
  <c r="R185" i="58"/>
  <c r="R4153" i="58"/>
  <c r="Q4152" i="58"/>
  <c r="Q5031" i="58"/>
  <c r="R5032" i="58"/>
  <c r="R1123" i="58"/>
  <c r="R1122" i="58"/>
  <c r="R12225" i="58"/>
  <c r="Q12224" i="58"/>
  <c r="Q9231" i="58"/>
  <c r="R9232" i="58"/>
  <c r="Q4026" i="58"/>
  <c r="R4027" i="58"/>
  <c r="R11256" i="58"/>
  <c r="Q11255" i="58"/>
  <c r="Q1521" i="58"/>
  <c r="R1522" i="58"/>
  <c r="R1696" i="58"/>
  <c r="Q1695" i="58"/>
  <c r="R7748" i="58"/>
  <c r="Q7747" i="58"/>
  <c r="R9699" i="58"/>
  <c r="Q9698" i="58"/>
  <c r="R9848" i="58"/>
  <c r="Q9847" i="58"/>
  <c r="R9941" i="58"/>
  <c r="Q9940" i="58"/>
  <c r="Q11006" i="58"/>
  <c r="R11007" i="58"/>
  <c r="R5418" i="58"/>
  <c r="Q5417" i="58"/>
  <c r="Q6473" i="58"/>
  <c r="R6474" i="58"/>
  <c r="Q2321" i="58"/>
  <c r="R2322" i="58"/>
  <c r="Q2865" i="58"/>
  <c r="R2866" i="58"/>
  <c r="R3991" i="58"/>
  <c r="Q3990" i="58"/>
  <c r="R2478" i="58"/>
  <c r="Q2477" i="58"/>
  <c r="R4288" i="58"/>
  <c r="Q4287" i="58"/>
  <c r="R5745" i="58"/>
  <c r="R5744" i="58"/>
  <c r="R6570" i="58"/>
  <c r="Q6569" i="58"/>
  <c r="Q11447" i="58"/>
  <c r="R11447" i="58" s="1"/>
  <c r="Q841" i="58"/>
  <c r="R842" i="58"/>
  <c r="R2587" i="58"/>
  <c r="Q2586" i="58"/>
  <c r="R5780" i="58"/>
  <c r="Q5779" i="58"/>
  <c r="R5530" i="58"/>
  <c r="Q5529" i="58"/>
  <c r="R11542" i="58"/>
  <c r="Q11541" i="58"/>
  <c r="Q5042" i="58"/>
  <c r="R5043" i="58"/>
  <c r="Q13027" i="58"/>
  <c r="R13028" i="58"/>
  <c r="R2848" i="58"/>
  <c r="Q2847" i="58"/>
  <c r="R6853" i="58"/>
  <c r="Q6852" i="58"/>
  <c r="R12830" i="58"/>
  <c r="Q12829" i="58"/>
  <c r="R7611" i="58"/>
  <c r="Q7610" i="58"/>
  <c r="Q7948" i="58"/>
  <c r="R7949" i="58"/>
  <c r="R12365" i="58"/>
  <c r="Q12364" i="58"/>
  <c r="R4281" i="58"/>
  <c r="Q4280" i="58"/>
  <c r="R3882" i="58"/>
  <c r="Q3881" i="58"/>
  <c r="R545" i="58"/>
  <c r="Q544" i="58"/>
  <c r="R4301" i="58"/>
  <c r="Q4300" i="58"/>
  <c r="R4796" i="58"/>
  <c r="Q4795" i="58"/>
  <c r="R11667" i="58"/>
  <c r="Q11666" i="58"/>
  <c r="R5628" i="58"/>
  <c r="Q5627" i="58"/>
  <c r="Q2550" i="58"/>
  <c r="R2551" i="58"/>
  <c r="R1419" i="58"/>
  <c r="Q1418" i="58"/>
  <c r="R1165" i="58"/>
  <c r="R1164" i="58"/>
  <c r="R5458" i="58"/>
  <c r="Q5457" i="58"/>
  <c r="R817" i="58"/>
  <c r="R816" i="58"/>
  <c r="R13049" i="58"/>
  <c r="Q13048" i="58"/>
  <c r="R2274" i="58"/>
  <c r="Q2273" i="58"/>
  <c r="Q859" i="58"/>
  <c r="R860" i="58"/>
  <c r="Q5294" i="58"/>
  <c r="R5295" i="58"/>
  <c r="R10989" i="58"/>
  <c r="R10990" i="58"/>
  <c r="Q4580" i="58"/>
  <c r="R4581" i="58"/>
  <c r="R7859" i="58"/>
  <c r="Q7858" i="58"/>
  <c r="Q2823" i="58"/>
  <c r="R2824" i="58"/>
  <c r="R11476" i="58"/>
  <c r="Q11475" i="58"/>
  <c r="R5936" i="58"/>
  <c r="Q5935" i="58"/>
  <c r="R1504" i="58"/>
  <c r="Q1503" i="58"/>
  <c r="R12976" i="58"/>
  <c r="Q12975" i="58"/>
  <c r="R357" i="58"/>
  <c r="Q356" i="58"/>
  <c r="R1648" i="58"/>
  <c r="Q1647" i="58"/>
  <c r="R10274" i="58"/>
  <c r="Q10273" i="58"/>
  <c r="R8756" i="58"/>
  <c r="Q8755" i="58"/>
  <c r="R7167" i="58"/>
  <c r="Q7166" i="58"/>
  <c r="R1082" i="58"/>
  <c r="Q1081" i="58"/>
  <c r="R6447" i="58"/>
  <c r="Q6446" i="58"/>
  <c r="R7363" i="58"/>
  <c r="Q7362" i="58"/>
  <c r="R9176" i="58"/>
  <c r="Q9175" i="58"/>
  <c r="Q4775" i="58"/>
  <c r="R4776" i="58"/>
  <c r="R6630" i="58"/>
  <c r="Q6629" i="58"/>
  <c r="R3003" i="58"/>
  <c r="R3004" i="58"/>
  <c r="Q10603" i="58"/>
  <c r="R10604" i="58"/>
  <c r="Q10779" i="58"/>
  <c r="R10780" i="58"/>
  <c r="Q1466" i="58"/>
  <c r="R1467" i="58"/>
  <c r="R896" i="58"/>
  <c r="Q895" i="58"/>
  <c r="R4645" i="58"/>
  <c r="Q4644" i="58"/>
  <c r="R2987" i="58"/>
  <c r="Q2986" i="58"/>
  <c r="R4335" i="58"/>
  <c r="R4334" i="58"/>
  <c r="R11236" i="58"/>
  <c r="Q11235" i="58"/>
  <c r="Q2568" i="58"/>
  <c r="R2569" i="58"/>
  <c r="R9188" i="58"/>
  <c r="Q9187" i="58"/>
  <c r="R8312" i="58"/>
  <c r="R8311" i="58"/>
  <c r="R4056" i="58"/>
  <c r="R4055" i="58"/>
  <c r="R680" i="58"/>
  <c r="Q679" i="58"/>
  <c r="R11020" i="58"/>
  <c r="Q11019" i="58"/>
  <c r="Q12113" i="58"/>
  <c r="R12114" i="58"/>
  <c r="R4671" i="58"/>
  <c r="Q4670" i="58"/>
  <c r="R769" i="58"/>
  <c r="Q768" i="58"/>
  <c r="R2412" i="58"/>
  <c r="Q2411" i="58"/>
  <c r="R8015" i="58"/>
  <c r="Q8014" i="58"/>
  <c r="R11245" i="58"/>
  <c r="Q11244" i="58"/>
  <c r="R2256" i="58"/>
  <c r="Q2255" i="58"/>
  <c r="R12890" i="58"/>
  <c r="Q12889" i="58"/>
  <c r="R2250" i="58"/>
  <c r="Q2249" i="58"/>
  <c r="R10512" i="58"/>
  <c r="Q10511" i="58"/>
  <c r="Q10018" i="58"/>
  <c r="R10019" i="58"/>
  <c r="R11632" i="58"/>
  <c r="Q11631" i="58"/>
  <c r="Q9059" i="58"/>
  <c r="R9060" i="58"/>
  <c r="R9604" i="58"/>
  <c r="Q9603" i="58"/>
  <c r="Q7783" i="58"/>
  <c r="R7784" i="58"/>
  <c r="Q6424" i="58"/>
  <c r="R6425" i="58"/>
  <c r="R7126" i="58"/>
  <c r="Q7125" i="58"/>
  <c r="R190" i="58"/>
  <c r="R189" i="58"/>
  <c r="R12055" i="58"/>
  <c r="Q12054" i="58"/>
  <c r="Q12993" i="58"/>
  <c r="R12994" i="58"/>
  <c r="R914" i="58"/>
  <c r="Q913" i="58"/>
  <c r="R11206" i="58"/>
  <c r="Q11205" i="58"/>
  <c r="R2709" i="58"/>
  <c r="Q2708" i="58"/>
  <c r="R584" i="58"/>
  <c r="Q583" i="58"/>
  <c r="R2183" i="58"/>
  <c r="R2182" i="58"/>
  <c r="R9046" i="58"/>
  <c r="Q9045" i="58"/>
  <c r="R10951" i="58"/>
  <c r="Q10950" i="58"/>
  <c r="R2696" i="58"/>
  <c r="R2695" i="58"/>
  <c r="Q5408" i="58"/>
  <c r="R5409" i="58"/>
  <c r="R1702" i="58"/>
  <c r="Q1701" i="58"/>
  <c r="R10826" i="58"/>
  <c r="Q10825" i="58"/>
  <c r="R6384" i="58"/>
  <c r="Q6383" i="58"/>
  <c r="R3845" i="58"/>
  <c r="Q3844" i="58"/>
  <c r="R8493" i="58"/>
  <c r="Q8492" i="58"/>
  <c r="R4419" i="58"/>
  <c r="R4418" i="58"/>
  <c r="R10845" i="58"/>
  <c r="Q10844" i="58"/>
  <c r="R7448" i="58"/>
  <c r="Q7447" i="58"/>
  <c r="Q5394" i="58"/>
  <c r="Q9483" i="58"/>
  <c r="Q8587" i="58"/>
  <c r="R8588" i="58"/>
  <c r="R4690" i="58"/>
  <c r="Q4689" i="58"/>
  <c r="R2658" i="58"/>
  <c r="R2659" i="58"/>
  <c r="R1997" i="58"/>
  <c r="Q1996" i="58"/>
  <c r="Q9141" i="58"/>
  <c r="R9142" i="58"/>
  <c r="R1889" i="58"/>
  <c r="Q1888" i="58"/>
  <c r="R11154" i="58"/>
  <c r="Q11153" i="58"/>
  <c r="R2490" i="58"/>
  <c r="Q2489" i="58"/>
  <c r="R11610" i="58"/>
  <c r="Q11609" i="58"/>
  <c r="R4213" i="58"/>
  <c r="Q4212" i="58"/>
  <c r="Q6047" i="58"/>
  <c r="R6048" i="58"/>
  <c r="R2666" i="58"/>
  <c r="Q2665" i="58"/>
  <c r="R2206" i="58"/>
  <c r="R2207" i="58"/>
  <c r="R3052" i="58"/>
  <c r="R3051" i="58"/>
  <c r="Q2471" i="58"/>
  <c r="R2472" i="58"/>
  <c r="R6986" i="58"/>
  <c r="Q6985" i="58"/>
  <c r="R12197" i="58"/>
  <c r="Q12196" i="58"/>
  <c r="R10399" i="58"/>
  <c r="Q10398" i="58"/>
  <c r="R11602" i="58"/>
  <c r="Q11601" i="58"/>
  <c r="R8569" i="58"/>
  <c r="Q8568" i="58"/>
  <c r="R2955" i="58"/>
  <c r="R2954" i="58"/>
  <c r="R5388" i="58"/>
  <c r="Q5387" i="58"/>
  <c r="R5634" i="58"/>
  <c r="Q5633" i="58"/>
  <c r="R1749" i="58"/>
  <c r="R1748" i="58"/>
  <c r="R3010" i="58"/>
  <c r="R3009" i="58"/>
  <c r="R9813" i="58"/>
  <c r="Q9812" i="58"/>
  <c r="R1731" i="58"/>
  <c r="R1730" i="58"/>
  <c r="Q9711" i="58"/>
  <c r="R9712" i="58"/>
  <c r="R1305" i="58"/>
  <c r="Q1304" i="58"/>
  <c r="R5949" i="58"/>
  <c r="Q5948" i="58"/>
  <c r="Q7054" i="58"/>
  <c r="R7055" i="58"/>
  <c r="R2459" i="58"/>
  <c r="R2458" i="58"/>
  <c r="E20" i="59"/>
  <c r="E21" i="59" s="1"/>
  <c r="E22" i="59" s="1"/>
  <c r="R6433" i="58"/>
  <c r="Q6432" i="58"/>
  <c r="R12642" i="58"/>
  <c r="Q12641" i="58"/>
  <c r="R412" i="58"/>
  <c r="Q411" i="58"/>
  <c r="R2261" i="58"/>
  <c r="R2260" i="58"/>
  <c r="R2685" i="58"/>
  <c r="Q2684" i="58"/>
  <c r="R1744" i="58"/>
  <c r="Q1743" i="58"/>
  <c r="R9402" i="58"/>
  <c r="Q9401" i="58"/>
  <c r="R5257" i="58"/>
  <c r="Q5256" i="58"/>
  <c r="R6418" i="58"/>
  <c r="Q6417" i="58"/>
  <c r="Q8512" i="58"/>
  <c r="R8513" i="58"/>
  <c r="R6333" i="58"/>
  <c r="Q6332" i="58"/>
  <c r="R1991" i="58"/>
  <c r="Q1990" i="58"/>
  <c r="R10880" i="58"/>
  <c r="Q10879" i="58"/>
  <c r="R11842" i="58"/>
  <c r="Q11841" i="58"/>
  <c r="R6074" i="58"/>
  <c r="Q6073" i="58"/>
  <c r="R1966" i="58"/>
  <c r="R1965" i="58"/>
  <c r="R1539" i="58"/>
  <c r="R1538" i="58"/>
  <c r="R4823" i="58"/>
  <c r="Q4822" i="58"/>
  <c r="R1461" i="58"/>
  <c r="Q1460" i="58"/>
  <c r="R2636" i="58"/>
  <c r="Q2635" i="58"/>
  <c r="R7405" i="58"/>
  <c r="Q7404" i="58"/>
  <c r="R8008" i="58"/>
  <c r="Q8007" i="58"/>
  <c r="R8057" i="58"/>
  <c r="Q8056" i="58"/>
  <c r="R11732" i="58"/>
  <c r="Q11731" i="58"/>
  <c r="R12032" i="58"/>
  <c r="R12031" i="58"/>
  <c r="R2654" i="58"/>
  <c r="Q2653" i="58"/>
  <c r="R10253" i="58"/>
  <c r="Q10252" i="58"/>
  <c r="R6598" i="58"/>
  <c r="Q6597" i="58"/>
  <c r="R1160" i="58"/>
  <c r="Q1159" i="58"/>
  <c r="R4991" i="58"/>
  <c r="Q4990" i="58"/>
  <c r="R2393" i="58"/>
  <c r="R2392" i="58"/>
  <c r="R5251" i="58"/>
  <c r="Q5250" i="58"/>
  <c r="R2926" i="58"/>
  <c r="Q2925" i="58"/>
  <c r="Q8983" i="58"/>
  <c r="R8984" i="58"/>
  <c r="Q2513" i="58"/>
  <c r="R2514" i="58"/>
  <c r="Q10712" i="58"/>
  <c r="R10713" i="58"/>
  <c r="R5704" i="58"/>
  <c r="Q5703" i="58"/>
  <c r="R11438" i="58"/>
  <c r="Q11437" i="58"/>
  <c r="R12352" i="58"/>
  <c r="Q12351" i="58"/>
  <c r="R6900" i="58"/>
  <c r="Q6899" i="58"/>
  <c r="R2171" i="58"/>
  <c r="R2170" i="58"/>
  <c r="R2877" i="58"/>
  <c r="R2876" i="58"/>
  <c r="R793" i="58"/>
  <c r="Q792" i="58"/>
  <c r="R9347" i="58"/>
  <c r="Q9346" i="58"/>
  <c r="R6674" i="58"/>
  <c r="Q6673" i="58"/>
  <c r="R7671" i="58"/>
  <c r="Q7670" i="58"/>
  <c r="R11779" i="58"/>
  <c r="Q11778" i="58"/>
  <c r="R10450" i="58"/>
  <c r="Q10449" i="58"/>
  <c r="R8400" i="58"/>
  <c r="Q8399" i="58"/>
  <c r="R1425" i="58"/>
  <c r="Q1424" i="58"/>
  <c r="R11264" i="58"/>
  <c r="Q11263" i="58"/>
  <c r="R2020" i="58"/>
  <c r="R2019" i="58"/>
  <c r="R5304" i="58"/>
  <c r="Q5303" i="58"/>
  <c r="R5473" i="58"/>
  <c r="Q5472" i="58"/>
  <c r="R7827" i="58"/>
  <c r="Q7826" i="58"/>
  <c r="R2519" i="58"/>
  <c r="R2518" i="58"/>
  <c r="R6373" i="58"/>
  <c r="Q6372" i="58"/>
  <c r="Q12076" i="58"/>
  <c r="R12077" i="58"/>
  <c r="R7581" i="58"/>
  <c r="Q7580" i="58"/>
  <c r="R3119" i="58"/>
  <c r="Q3118" i="58"/>
  <c r="R4934" i="58"/>
  <c r="Q4933" i="58"/>
  <c r="Q8453" i="58"/>
  <c r="R8454" i="58"/>
  <c r="R5955" i="58"/>
  <c r="R5954" i="58"/>
  <c r="R11950" i="58"/>
  <c r="Q11949" i="58"/>
  <c r="R7251" i="58"/>
  <c r="Q7250" i="58"/>
  <c r="R12875" i="58"/>
  <c r="Q12874" i="58"/>
  <c r="R2111" i="58"/>
  <c r="Q2110" i="58"/>
  <c r="R7768" i="58"/>
  <c r="R7767" i="58"/>
  <c r="R11767" i="58"/>
  <c r="Q11766" i="58"/>
  <c r="R12101" i="58"/>
  <c r="R12100" i="58"/>
  <c r="R8227" i="58"/>
  <c r="Q8226" i="58"/>
  <c r="R6150" i="58"/>
  <c r="Q6149" i="58"/>
  <c r="R4957" i="58"/>
  <c r="R4956" i="58"/>
  <c r="R10069" i="58"/>
  <c r="Q10068" i="58"/>
  <c r="R10037" i="58"/>
  <c r="Q10036" i="58"/>
  <c r="R11349" i="58"/>
  <c r="Q11348" i="58"/>
  <c r="R5359" i="58"/>
  <c r="R5358" i="58"/>
  <c r="R6399" i="58"/>
  <c r="Q6398" i="58"/>
  <c r="R563" i="58"/>
  <c r="Q562" i="58"/>
  <c r="Q5612" i="58"/>
  <c r="R5613" i="58"/>
  <c r="R5984" i="58"/>
  <c r="Q5983" i="58"/>
  <c r="R10933" i="58"/>
  <c r="Q10932" i="58"/>
  <c r="R4399" i="58"/>
  <c r="Q4398" i="58"/>
  <c r="Q10702" i="58"/>
  <c r="R10703" i="58"/>
  <c r="R12475" i="58"/>
  <c r="Q12474" i="58"/>
  <c r="R12120" i="58"/>
  <c r="Q12119" i="58"/>
  <c r="R6943" i="58"/>
  <c r="Q6942" i="58"/>
  <c r="R10242" i="58"/>
  <c r="Q10241" i="58"/>
  <c r="Q7991" i="58"/>
  <c r="R7992" i="58"/>
  <c r="R726" i="58"/>
  <c r="R725" i="58"/>
  <c r="R1865" i="58"/>
  <c r="Q1864" i="58"/>
  <c r="R10029" i="58"/>
  <c r="Q10028" i="58"/>
  <c r="R5870" i="58"/>
  <c r="Q5869" i="58"/>
  <c r="R8970" i="58"/>
  <c r="Q8969" i="58"/>
  <c r="R11745" i="58"/>
  <c r="Q11744" i="58"/>
  <c r="R720" i="58"/>
  <c r="R719" i="58"/>
  <c r="R12632" i="58"/>
  <c r="Q12631" i="58"/>
  <c r="R4526" i="58"/>
  <c r="Q4525" i="58"/>
  <c r="R11074" i="58"/>
  <c r="Q11073" i="58"/>
  <c r="R11890" i="58"/>
  <c r="Q11889" i="58"/>
  <c r="R2727" i="58"/>
  <c r="Q2726" i="58"/>
  <c r="Q4074" i="58"/>
  <c r="R4075" i="58"/>
  <c r="R2562" i="58"/>
  <c r="R2561" i="58"/>
  <c r="R4660" i="58"/>
  <c r="Q4659" i="58"/>
  <c r="R1178" i="58"/>
  <c r="Q1177" i="58"/>
  <c r="R8136" i="58"/>
  <c r="Q8135" i="58"/>
  <c r="R554" i="58"/>
  <c r="Q553" i="58"/>
  <c r="R4598" i="58"/>
  <c r="Q4597" i="58"/>
  <c r="R10339" i="58"/>
  <c r="Q10338" i="58"/>
  <c r="R11967" i="58"/>
  <c r="R11966" i="58"/>
  <c r="R10010" i="58"/>
  <c r="Q10009" i="58"/>
  <c r="R11817" i="58"/>
  <c r="Q11816" i="58"/>
  <c r="R2165" i="58"/>
  <c r="R2164" i="58"/>
  <c r="R10942" i="58"/>
  <c r="Q10941" i="58"/>
  <c r="R8664" i="58"/>
  <c r="Q8663" i="58"/>
  <c r="R2351" i="58"/>
  <c r="R2350" i="58"/>
  <c r="R7549" i="58"/>
  <c r="Q7548" i="58"/>
  <c r="Q10438" i="58"/>
  <c r="R10439" i="58"/>
  <c r="R10104" i="58"/>
  <c r="Q10103" i="58"/>
  <c r="R2544" i="58"/>
  <c r="R2543" i="58"/>
  <c r="R4110" i="58"/>
  <c r="R4109" i="58"/>
  <c r="Q8166" i="58"/>
  <c r="R8167" i="58"/>
  <c r="R4014" i="58"/>
  <c r="R4013" i="58"/>
  <c r="R9743" i="58"/>
  <c r="Q9742" i="58"/>
  <c r="R4970" i="58"/>
  <c r="Q4969" i="58"/>
  <c r="R2901" i="58"/>
  <c r="R2900" i="58"/>
  <c r="R1576" i="58"/>
  <c r="Q1575" i="58"/>
  <c r="R5172" i="58"/>
  <c r="R5171" i="58"/>
  <c r="R5239" i="58"/>
  <c r="Q5238" i="58"/>
  <c r="R2387" i="58"/>
  <c r="R2386" i="58"/>
  <c r="R5649" i="58"/>
  <c r="Q5648" i="58"/>
  <c r="R4356" i="58"/>
  <c r="R4355" i="58"/>
  <c r="R12860" i="58"/>
  <c r="Q12859" i="58"/>
  <c r="R10349" i="58"/>
  <c r="Q10348" i="58"/>
  <c r="Q11053" i="58"/>
  <c r="R11054" i="58"/>
  <c r="R1900" i="58"/>
  <c r="R1899" i="58"/>
  <c r="R9212" i="58"/>
  <c r="Q9211" i="58"/>
  <c r="R9249" i="58"/>
  <c r="Q9248" i="58"/>
  <c r="R2027" i="58"/>
  <c r="Q2026" i="58"/>
  <c r="R4546" i="58"/>
  <c r="Q4545" i="58"/>
  <c r="R2435" i="58"/>
  <c r="R2434" i="58"/>
  <c r="R12540" i="58"/>
  <c r="Q12539" i="58"/>
  <c r="R2033" i="58"/>
  <c r="Q2032" i="58"/>
  <c r="R7070" i="58"/>
  <c r="Q7069" i="58"/>
  <c r="R8800" i="58"/>
  <c r="Q8799" i="58"/>
  <c r="R2703" i="58"/>
  <c r="Q2702" i="58"/>
  <c r="R937" i="58"/>
  <c r="R936" i="58"/>
  <c r="R4856" i="58"/>
  <c r="Q4855" i="58"/>
  <c r="R576" i="58"/>
  <c r="R577" i="58"/>
  <c r="R4873" i="58"/>
  <c r="R4872" i="58"/>
  <c r="R10563" i="58"/>
  <c r="Q10562" i="58"/>
  <c r="R5095" i="58"/>
  <c r="Q5094" i="58"/>
  <c r="R12203" i="58"/>
  <c r="Q12202" i="58"/>
  <c r="R10911" i="58"/>
  <c r="Q10910" i="58"/>
  <c r="R8677" i="58"/>
  <c r="Q8676" i="58"/>
  <c r="R1799" i="58"/>
  <c r="Q1798" i="58"/>
  <c r="R5909" i="58"/>
  <c r="Q5908" i="58"/>
  <c r="R9881" i="58"/>
  <c r="Q9880" i="58"/>
  <c r="R980" i="58"/>
  <c r="Q979" i="58"/>
  <c r="R12667" i="58"/>
  <c r="Q12666" i="58"/>
  <c r="R6936" i="58"/>
  <c r="Q6935" i="58"/>
  <c r="R614" i="58"/>
  <c r="Q613" i="58"/>
  <c r="R12095" i="58"/>
  <c r="Q12094" i="58"/>
  <c r="R626" i="58"/>
  <c r="Q625" i="58"/>
  <c r="R1756" i="58"/>
  <c r="Q1755" i="58"/>
  <c r="R10148" i="58"/>
  <c r="Q10147" i="58"/>
  <c r="R6025" i="58"/>
  <c r="R6024" i="58"/>
  <c r="R5683" i="58"/>
  <c r="Q5682" i="58"/>
  <c r="Q12915" i="58"/>
  <c r="R12916" i="58"/>
  <c r="R6555" i="58"/>
  <c r="Q6554" i="58"/>
  <c r="R2593" i="58"/>
  <c r="Q2592" i="58"/>
  <c r="R2406" i="58"/>
  <c r="Q2405" i="58"/>
  <c r="R1093" i="58"/>
  <c r="R1092" i="58"/>
  <c r="R12415" i="58"/>
  <c r="Q12414" i="58"/>
  <c r="R5604" i="58"/>
  <c r="Q5603" i="58"/>
  <c r="R6267" i="58"/>
  <c r="Q6266" i="58"/>
  <c r="Q11339" i="58"/>
  <c r="R11340" i="58"/>
  <c r="R11621" i="58"/>
  <c r="Q11620" i="58"/>
  <c r="R3985" i="58"/>
  <c r="Q3984" i="58"/>
  <c r="Q11808" i="58"/>
  <c r="R11809" i="58"/>
  <c r="R1400" i="58"/>
  <c r="R1399" i="58"/>
  <c r="R10746" i="58"/>
  <c r="Q10745" i="58"/>
  <c r="R709" i="58"/>
  <c r="Q708" i="58"/>
  <c r="R8271" i="58"/>
  <c r="Q8270" i="58"/>
  <c r="R3828" i="58"/>
  <c r="Q3827" i="58"/>
  <c r="R9515" i="58"/>
  <c r="Q9514" i="58"/>
  <c r="R1021" i="58"/>
  <c r="R1020" i="58"/>
  <c r="R4128" i="58"/>
  <c r="R4127" i="58"/>
  <c r="R5310" i="58"/>
  <c r="R5309" i="58"/>
  <c r="R331" i="58"/>
  <c r="Q330" i="58"/>
  <c r="R11422" i="58"/>
  <c r="Q11421" i="58"/>
  <c r="R5448" i="58"/>
  <c r="Q5447" i="58"/>
  <c r="R12468" i="58"/>
  <c r="Q12467" i="58"/>
  <c r="Q370" i="58"/>
  <c r="R371" i="58"/>
  <c r="R10669" i="58"/>
  <c r="Q10668" i="58"/>
  <c r="R9090" i="58"/>
  <c r="Q9089" i="58"/>
  <c r="R1834" i="58"/>
  <c r="R1833" i="58"/>
  <c r="R4915" i="58"/>
  <c r="R4914" i="58"/>
  <c r="R11467" i="58"/>
  <c r="Q11466" i="58"/>
  <c r="R2123" i="58"/>
  <c r="Q2122" i="58"/>
  <c r="R5566" i="58"/>
  <c r="Q5565" i="58"/>
  <c r="R9261" i="58"/>
  <c r="Q9260" i="58"/>
  <c r="R4364" i="58"/>
  <c r="Q4363" i="58"/>
  <c r="R5697" i="58"/>
  <c r="Q5696" i="58"/>
  <c r="R7814" i="58"/>
  <c r="Q7813" i="58"/>
  <c r="R12530" i="58"/>
  <c r="Q12529" i="58"/>
  <c r="R8703" i="58"/>
  <c r="Q8702" i="58"/>
  <c r="R1003" i="58"/>
  <c r="R1002" i="58"/>
  <c r="R5215" i="58"/>
  <c r="Q5214" i="58"/>
  <c r="R2835" i="58"/>
  <c r="R2834" i="58"/>
  <c r="R5896" i="58"/>
  <c r="Q5895" i="58"/>
  <c r="R10648" i="58"/>
  <c r="Q10647" i="58"/>
  <c r="Q6762" i="58"/>
  <c r="R6763" i="58"/>
  <c r="R2482" i="58"/>
  <c r="R2483" i="58"/>
  <c r="R10926" i="58"/>
  <c r="Q10925" i="58"/>
  <c r="R9920" i="58"/>
  <c r="Q9919" i="58"/>
  <c r="R12730" i="58"/>
  <c r="Q12729" i="58"/>
  <c r="R7006" i="58"/>
  <c r="Q7005" i="58"/>
  <c r="R293" i="58"/>
  <c r="Q292" i="58"/>
  <c r="R5059" i="58"/>
  <c r="Q5058" i="58"/>
  <c r="R5318" i="58"/>
  <c r="Q5317" i="58"/>
  <c r="R2732" i="58"/>
  <c r="R2731" i="58"/>
  <c r="R7378" i="58"/>
  <c r="Q7377" i="58"/>
  <c r="R762" i="58"/>
  <c r="R761" i="58"/>
  <c r="R3131" i="58"/>
  <c r="R3130" i="58"/>
  <c r="R2931" i="58"/>
  <c r="R2930" i="58"/>
  <c r="R6013" i="58"/>
  <c r="Q6012" i="58"/>
  <c r="R2201" i="58"/>
  <c r="R2200" i="58"/>
  <c r="R926" i="58"/>
  <c r="Q925" i="58"/>
  <c r="R10499" i="58"/>
  <c r="Q10498" i="58"/>
  <c r="R908" i="58"/>
  <c r="Q907" i="58"/>
  <c r="R8063" i="58"/>
  <c r="Q8062" i="58"/>
  <c r="R8828" i="58"/>
  <c r="Q8827" i="58"/>
  <c r="R4428" i="58"/>
  <c r="Q4427" i="58"/>
  <c r="R4562" i="58"/>
  <c r="Q4561" i="58"/>
  <c r="R6202" i="58"/>
  <c r="Q6201" i="58"/>
  <c r="R7917" i="58"/>
  <c r="Q7916" i="58"/>
  <c r="R10918" i="58"/>
  <c r="Q10917" i="58"/>
  <c r="R4497" i="58"/>
  <c r="Q4496" i="58"/>
  <c r="R4504" i="58"/>
  <c r="Q4503" i="58"/>
  <c r="R2501" i="58"/>
  <c r="R2500" i="58"/>
  <c r="R6502" i="58"/>
  <c r="Q6501" i="58"/>
  <c r="R12758" i="58"/>
  <c r="Q12757" i="58"/>
  <c r="R6041" i="58"/>
  <c r="Q6040" i="58"/>
  <c r="R2231" i="58"/>
  <c r="R2230" i="58"/>
  <c r="R8021" i="58"/>
  <c r="Q8020" i="58"/>
  <c r="R8076" i="58"/>
  <c r="R8075" i="58"/>
  <c r="R6958" i="58"/>
  <c r="Q6957" i="58"/>
  <c r="R4098" i="58"/>
  <c r="R4097" i="58"/>
  <c r="R4068" i="58"/>
  <c r="R4067" i="58"/>
  <c r="R4062" i="58"/>
  <c r="R4061" i="58"/>
  <c r="R4045" i="58"/>
  <c r="Q4044" i="58"/>
  <c r="R11308" i="58"/>
  <c r="Q11307" i="58"/>
  <c r="R1069" i="58"/>
  <c r="R1068" i="58"/>
  <c r="R12139" i="58"/>
  <c r="R12138" i="58"/>
  <c r="R4699" i="58"/>
  <c r="Q4698" i="58"/>
  <c r="R2532" i="58"/>
  <c r="R2531" i="58"/>
  <c r="R12651" i="58"/>
  <c r="Q12650" i="58"/>
  <c r="R4343" i="58"/>
  <c r="Q4342" i="58"/>
  <c r="R7475" i="58"/>
  <c r="Q7474" i="58"/>
  <c r="R3909" i="58"/>
  <c r="Q3908" i="58"/>
  <c r="R5136" i="58"/>
  <c r="Q5135" i="58"/>
  <c r="R6228" i="58"/>
  <c r="Q6227" i="58"/>
  <c r="R10284" i="58"/>
  <c r="Q10283" i="58"/>
  <c r="R590" i="58"/>
  <c r="Q589" i="58"/>
  <c r="Q4405" i="58"/>
  <c r="R4406" i="58"/>
  <c r="R11014" i="58"/>
  <c r="Q11013" i="58"/>
  <c r="R1781" i="58"/>
  <c r="Q1780" i="58"/>
  <c r="R6991" i="58"/>
  <c r="R6990" i="58"/>
  <c r="R4146" i="58"/>
  <c r="R4145" i="58"/>
  <c r="R1442" i="58"/>
  <c r="R1441" i="58"/>
  <c r="R10795" i="58"/>
  <c r="Q10794" i="58"/>
  <c r="R12041" i="58"/>
  <c r="Q12040" i="58"/>
  <c r="R7413" i="58"/>
  <c r="Q7412" i="58"/>
  <c r="R11364" i="58"/>
  <c r="Q11363" i="58"/>
  <c r="R11650" i="58"/>
  <c r="Q11649" i="58"/>
  <c r="R7195" i="58"/>
  <c r="Q7194" i="58"/>
  <c r="R11511" i="58"/>
  <c r="Q11510" i="58"/>
  <c r="R12437" i="58"/>
  <c r="Q12436" i="58"/>
  <c r="R4717" i="58"/>
  <c r="Q4716" i="58"/>
  <c r="R5496" i="58"/>
  <c r="Q5495" i="58"/>
  <c r="R9686" i="58"/>
  <c r="Q9685" i="58"/>
  <c r="Q4490" i="58"/>
  <c r="R4491" i="58"/>
  <c r="R1389" i="58"/>
  <c r="Q1388" i="58"/>
  <c r="R5129" i="58"/>
  <c r="Q5128" i="58"/>
  <c r="R2998" i="58"/>
  <c r="R2997" i="58"/>
  <c r="R5269" i="58"/>
  <c r="Q5268" i="58"/>
  <c r="R8327" i="58"/>
  <c r="R8326" i="58"/>
  <c r="R7684" i="58"/>
  <c r="Q7683" i="58"/>
  <c r="R7692" i="58"/>
  <c r="Q7691" i="58"/>
  <c r="R10538" i="58"/>
  <c r="Q10537" i="58"/>
  <c r="R5223" i="58"/>
  <c r="Q5222" i="58"/>
  <c r="R9999" i="58"/>
  <c r="Q9998" i="58"/>
  <c r="R1340" i="58"/>
  <c r="R1339" i="58"/>
  <c r="R11281" i="58"/>
  <c r="Q11280" i="58"/>
  <c r="R11676" i="58"/>
  <c r="Q11675" i="58"/>
  <c r="R5998" i="58"/>
  <c r="Q5997" i="58"/>
  <c r="R12677" i="58"/>
  <c r="Q12676" i="58"/>
  <c r="R3027" i="58"/>
  <c r="R3028" i="58"/>
  <c r="R7347" i="58"/>
  <c r="Q7346" i="58"/>
  <c r="R4708" i="58"/>
  <c r="Q4707" i="58"/>
  <c r="R11532" i="58"/>
  <c r="Q11531" i="58"/>
  <c r="R9122" i="58"/>
  <c r="Q9121" i="58"/>
  <c r="R9621" i="58"/>
  <c r="Q9620" i="58"/>
  <c r="R8122" i="58"/>
  <c r="Q8121" i="58"/>
  <c r="R1346" i="58"/>
  <c r="R1345" i="58"/>
  <c r="R10526" i="58"/>
  <c r="Q10525" i="58"/>
  <c r="R5346" i="58"/>
  <c r="Q5345" i="58"/>
  <c r="Q10326" i="58"/>
  <c r="R10327" i="58"/>
  <c r="R2363" i="58"/>
  <c r="R2362" i="58"/>
  <c r="R8729" i="58"/>
  <c r="Q8728" i="58"/>
  <c r="R11411" i="58"/>
  <c r="Q11410" i="58"/>
  <c r="R696" i="58"/>
  <c r="Q695" i="58"/>
  <c r="R4206" i="58"/>
  <c r="R4205" i="58"/>
  <c r="R2556" i="58"/>
  <c r="R2555" i="58"/>
  <c r="R7623" i="58"/>
  <c r="Q7622" i="58"/>
  <c r="R10803" i="58"/>
  <c r="Q10802" i="58"/>
  <c r="R12013" i="58"/>
  <c r="Q12012" i="58"/>
  <c r="R5553" i="58"/>
  <c r="R5552" i="58"/>
  <c r="R4723" i="58"/>
  <c r="Q4722" i="58"/>
  <c r="R12867" i="58"/>
  <c r="R12866" i="58"/>
  <c r="R12768" i="58"/>
  <c r="Q12767" i="58"/>
  <c r="R7303" i="58"/>
  <c r="Q7302" i="58"/>
  <c r="R3095" i="58"/>
  <c r="Q3094" i="58"/>
  <c r="R11371" i="58"/>
  <c r="Q11370" i="58"/>
  <c r="R8083" i="58"/>
  <c r="R8082" i="58"/>
  <c r="R812" i="58"/>
  <c r="Q811" i="58"/>
  <c r="R2298" i="58"/>
  <c r="Q2297" i="58"/>
  <c r="R4745" i="58"/>
  <c r="Q4744" i="58"/>
  <c r="R2135" i="58"/>
  <c r="Q2134" i="58"/>
  <c r="R4414" i="58"/>
  <c r="Q4413" i="58"/>
  <c r="R4752" i="58"/>
  <c r="Q4751" i="58"/>
  <c r="R1334" i="58"/>
  <c r="R1333" i="58"/>
  <c r="R2292" i="58"/>
  <c r="Q2291" i="58"/>
  <c r="Q4384" i="58"/>
  <c r="R4385" i="58"/>
  <c r="R3917" i="58"/>
  <c r="Q3916" i="58"/>
  <c r="R6750" i="58"/>
  <c r="Q6749" i="58"/>
  <c r="R12624" i="58"/>
  <c r="Q12623" i="58"/>
  <c r="R5976" i="58"/>
  <c r="R5975" i="58"/>
  <c r="R9962" i="58"/>
  <c r="Q9961" i="58"/>
  <c r="R2358" i="58"/>
  <c r="Q2357" i="58"/>
  <c r="R2599" i="58"/>
  <c r="Q2598" i="58"/>
  <c r="R3082" i="58"/>
  <c r="R3081" i="58"/>
  <c r="Q12126" i="58"/>
  <c r="R12127" i="58"/>
  <c r="R11684" i="58"/>
  <c r="Q11683" i="58"/>
  <c r="R7390" i="58"/>
  <c r="R7389" i="58"/>
  <c r="R9673" i="58"/>
  <c r="Q9672" i="58"/>
  <c r="R12217" i="58"/>
  <c r="Q12216" i="58"/>
  <c r="R6644" i="58"/>
  <c r="Q6643" i="58"/>
  <c r="R2159" i="58"/>
  <c r="R2158" i="58"/>
  <c r="Q9420" i="58"/>
  <c r="R9421" i="58"/>
  <c r="R9494" i="58"/>
  <c r="Q9493" i="58"/>
  <c r="R13002" i="58"/>
  <c r="Q13001" i="58"/>
  <c r="R11914" i="58"/>
  <c r="Q11913" i="58"/>
  <c r="R3100" i="58"/>
  <c r="R3099" i="58"/>
  <c r="R663" i="58"/>
  <c r="Q662" i="58"/>
  <c r="R662" i="58" s="1"/>
  <c r="Q661" i="58"/>
  <c r="R4849" i="58"/>
  <c r="R4848" i="58"/>
  <c r="R6242" i="58"/>
  <c r="Q6241" i="58"/>
  <c r="R10188" i="58"/>
  <c r="Q10187" i="58"/>
  <c r="R6585" i="58"/>
  <c r="Q6584" i="58"/>
  <c r="R9111" i="58"/>
  <c r="Q9110" i="58"/>
  <c r="R349" i="58"/>
  <c r="Q348" i="58"/>
  <c r="R12449" i="58"/>
  <c r="Q12448" i="58"/>
  <c r="R7713" i="58"/>
  <c r="Q7712" i="58"/>
  <c r="R824" i="58"/>
  <c r="Q823" i="58"/>
  <c r="R2147" i="58"/>
  <c r="R2146" i="58"/>
  <c r="R6006" i="58"/>
  <c r="Q6005" i="58"/>
  <c r="R1377" i="58"/>
  <c r="Q1376" i="58"/>
  <c r="R4122" i="58"/>
  <c r="R4121" i="58"/>
  <c r="R7874" i="58"/>
  <c r="Q7873" i="58"/>
  <c r="R9200" i="58"/>
  <c r="Q9199" i="58"/>
  <c r="R10368" i="58"/>
  <c r="Q10367" i="58"/>
  <c r="R311" i="58"/>
  <c r="Q310" i="58"/>
  <c r="R2774" i="58"/>
  <c r="R2773" i="58"/>
  <c r="R2098" i="58"/>
  <c r="R2097" i="58"/>
  <c r="R11026" i="58"/>
  <c r="Q11025" i="58"/>
  <c r="R6809" i="58"/>
  <c r="Q6808" i="58"/>
  <c r="R12612" i="58"/>
  <c r="Q12611" i="58"/>
  <c r="R8855" i="58"/>
  <c r="Q8854" i="58"/>
  <c r="R4449" i="58"/>
  <c r="Q4448" i="58"/>
  <c r="R8881" i="58"/>
  <c r="Q8880" i="58"/>
  <c r="R4892" i="58"/>
  <c r="Q4891" i="58"/>
  <c r="R889" i="58"/>
  <c r="R888" i="58"/>
  <c r="R8548" i="58"/>
  <c r="Q8547" i="58"/>
  <c r="R1883" i="58"/>
  <c r="Q1882" i="58"/>
  <c r="R5793" i="58"/>
  <c r="Q5792" i="58"/>
  <c r="R11379" i="58"/>
  <c r="Q11378" i="58"/>
  <c r="R5654" i="58"/>
  <c r="R5653" i="58"/>
  <c r="R7534" i="58"/>
  <c r="Q7533" i="58"/>
  <c r="R6292" i="58"/>
  <c r="Q6291" i="58"/>
  <c r="Q4813" i="58"/>
  <c r="R4814" i="58"/>
  <c r="R4539" i="58"/>
  <c r="Q4538" i="58"/>
  <c r="R2087" i="58"/>
  <c r="Q2086" i="58"/>
  <c r="R10815" i="58"/>
  <c r="Q10814" i="58"/>
  <c r="R2787" i="58"/>
  <c r="Q2786" i="58"/>
  <c r="R5514" i="58"/>
  <c r="Q5513" i="58"/>
  <c r="R12027" i="58"/>
  <c r="Q12026" i="58"/>
  <c r="R3076" i="58"/>
  <c r="R3075" i="58"/>
  <c r="R5394" i="58"/>
  <c r="R5393" i="58"/>
  <c r="R7026" i="58"/>
  <c r="R7025" i="58"/>
  <c r="R9975" i="58"/>
  <c r="Q9974" i="58"/>
  <c r="R3944" i="58"/>
  <c r="Q3943" i="58"/>
  <c r="R1786" i="58"/>
  <c r="R1785" i="58"/>
  <c r="R10786" i="58"/>
  <c r="Q10785" i="58"/>
  <c r="R6840" i="58"/>
  <c r="Q6839" i="58"/>
  <c r="R4635" i="58"/>
  <c r="Q4634" i="58"/>
  <c r="R6255" i="58"/>
  <c r="Q6254" i="58"/>
  <c r="R4927" i="58"/>
  <c r="R4926" i="58"/>
  <c r="R5368" i="58"/>
  <c r="Q5367" i="58"/>
  <c r="Q10724" i="58"/>
  <c r="R10725" i="58"/>
  <c r="R9302" i="58"/>
  <c r="Q9301" i="58"/>
  <c r="R9035" i="58"/>
  <c r="Q9034" i="58"/>
  <c r="R3058" i="58"/>
  <c r="R3057" i="58"/>
  <c r="R11938" i="58"/>
  <c r="Q11937" i="58"/>
  <c r="R8841" i="58"/>
  <c r="Q8840" i="58"/>
  <c r="Q5204" i="58"/>
  <c r="R5205" i="58"/>
  <c r="Q5004" i="58"/>
  <c r="R5005" i="58"/>
  <c r="R8769" i="58"/>
  <c r="Q8768" i="58"/>
  <c r="Q5332" i="58"/>
  <c r="R5333" i="58"/>
  <c r="Q7082" i="58"/>
  <c r="R7083" i="58"/>
  <c r="R8352" i="58"/>
  <c r="R8351" i="58"/>
  <c r="R2074" i="58"/>
  <c r="R2073" i="58"/>
  <c r="R5195" i="58"/>
  <c r="Q5194" i="58"/>
  <c r="R2992" i="58"/>
  <c r="R2991" i="58"/>
  <c r="R6481" i="58"/>
  <c r="Q6480" i="58"/>
  <c r="R4188" i="58"/>
  <c r="R4187" i="58"/>
  <c r="R11064" i="58"/>
  <c r="Q11063" i="58"/>
  <c r="R3970" i="58"/>
  <c r="Q3969" i="58"/>
  <c r="R1852" i="58"/>
  <c r="R1851" i="58"/>
  <c r="R1141" i="58"/>
  <c r="R1140" i="58"/>
  <c r="R9859" i="58"/>
  <c r="Q9858" i="58"/>
  <c r="R10618" i="58"/>
  <c r="Q10617" i="58"/>
  <c r="R4591" i="58"/>
  <c r="Q4590" i="58"/>
  <c r="R10079" i="58"/>
  <c r="Q10078" i="58"/>
  <c r="Q11550" i="58"/>
  <c r="R11551" i="58"/>
  <c r="Q11031" i="58"/>
  <c r="R11032" i="58"/>
  <c r="R2316" i="58"/>
  <c r="Q2315" i="58"/>
  <c r="R7264" i="58"/>
  <c r="R7263" i="58"/>
  <c r="R5733" i="58"/>
  <c r="Q5732" i="58"/>
  <c r="R5069" i="58"/>
  <c r="Q5068" i="58"/>
  <c r="R4315" i="58"/>
  <c r="Q4314" i="58"/>
  <c r="R12249" i="58"/>
  <c r="Q12248" i="58"/>
  <c r="R12696" i="58"/>
  <c r="Q12695" i="58"/>
  <c r="R12210" i="58"/>
  <c r="Q12209" i="58"/>
  <c r="R7209" i="58"/>
  <c r="Q7208" i="58"/>
  <c r="R2056" i="58"/>
  <c r="R2055" i="58"/>
  <c r="R12061" i="58"/>
  <c r="Q12060" i="58"/>
  <c r="R6930" i="58"/>
  <c r="Q6929" i="58"/>
  <c r="R4766" i="58"/>
  <c r="Q4765" i="58"/>
  <c r="R539" i="58"/>
  <c r="R538" i="58"/>
  <c r="R4050" i="58"/>
  <c r="R4049" i="58"/>
  <c r="R2345" i="58"/>
  <c r="R2344" i="58"/>
  <c r="R7244" i="58"/>
  <c r="Q7243" i="58"/>
  <c r="R6780" i="58"/>
  <c r="Q6779" i="58"/>
  <c r="R339" i="58"/>
  <c r="Q338" i="58"/>
  <c r="R9988" i="58"/>
  <c r="Q9987" i="58"/>
  <c r="R6999" i="58"/>
  <c r="Q6998" i="58"/>
  <c r="R5712" i="58"/>
  <c r="Q5711" i="58"/>
  <c r="R12853" i="58"/>
  <c r="Q12852" i="58"/>
  <c r="R8785" i="58"/>
  <c r="Q8784" i="58"/>
  <c r="R5595" i="58"/>
  <c r="Q5594" i="58"/>
  <c r="R3836" i="58"/>
  <c r="Q3835" i="58"/>
  <c r="R8532" i="58"/>
  <c r="Q8531" i="58"/>
  <c r="Q5373" i="58"/>
  <c r="R5374" i="58"/>
  <c r="R12087" i="58"/>
  <c r="Q12086" i="58"/>
  <c r="R6189" i="58"/>
  <c r="Q6188" i="58"/>
  <c r="R2105" i="58"/>
  <c r="Q2104" i="58"/>
  <c r="Q738" i="58"/>
  <c r="R739" i="58"/>
  <c r="R4462" i="58"/>
  <c r="Q4461" i="58"/>
  <c r="R9372" i="58"/>
  <c r="Q9371" i="58"/>
  <c r="R9220" i="58"/>
  <c r="Q9219" i="58"/>
  <c r="R2604" i="58"/>
  <c r="R2603" i="58"/>
  <c r="R5818" i="58"/>
  <c r="Q5817" i="58"/>
  <c r="R6020" i="58"/>
  <c r="Q6019" i="58"/>
  <c r="R6087" i="58"/>
  <c r="Q6086" i="58"/>
  <c r="R6719" i="58"/>
  <c r="Q6718" i="58"/>
  <c r="R7999" i="58"/>
  <c r="R7998" i="58"/>
  <c r="R4140" i="58"/>
  <c r="R4139" i="58"/>
  <c r="R11856" i="58"/>
  <c r="Q11855" i="58"/>
  <c r="R10231" i="58"/>
  <c r="Q10230" i="58"/>
  <c r="Q569" i="58"/>
  <c r="R570" i="58"/>
  <c r="R4626" i="58"/>
  <c r="Q4625" i="58"/>
  <c r="R6033" i="58"/>
  <c r="Q6032" i="58"/>
  <c r="R9527" i="58"/>
  <c r="Q9526" i="58"/>
  <c r="Q7425" i="58"/>
  <c r="R7426" i="58"/>
  <c r="R10736" i="58"/>
  <c r="Q10735" i="58"/>
  <c r="Q6452" i="58"/>
  <c r="R6453" i="58"/>
  <c r="R8028" i="58"/>
  <c r="Q8027" i="58"/>
  <c r="R4679" i="58"/>
  <c r="Q4678" i="58"/>
  <c r="R5078" i="58"/>
  <c r="Q5077" i="58"/>
  <c r="R7140" i="58"/>
  <c r="Q7139" i="58"/>
  <c r="R11638" i="58"/>
  <c r="Q11637" i="58"/>
  <c r="R12460" i="58"/>
  <c r="Q12459" i="58"/>
  <c r="R9662" i="58"/>
  <c r="Q9661" i="58"/>
  <c r="R4392" i="58"/>
  <c r="Q4391" i="58"/>
  <c r="R11896" i="58"/>
  <c r="Q11895" i="58"/>
  <c r="Q5149" i="58"/>
  <c r="R5150" i="58"/>
  <c r="R3861" i="58"/>
  <c r="Q3860" i="58"/>
  <c r="R5726" i="58"/>
  <c r="Q5725" i="58"/>
  <c r="R379" i="58"/>
  <c r="Q378" i="58"/>
  <c r="R2691" i="58"/>
  <c r="Q2690" i="58"/>
  <c r="R9453" i="58"/>
  <c r="Q9452" i="58"/>
  <c r="R2429" i="58"/>
  <c r="R2428" i="58"/>
  <c r="Q6307" i="58"/>
  <c r="R6308" i="58"/>
  <c r="R12328" i="58"/>
  <c r="Q12327" i="58"/>
  <c r="R7699" i="58"/>
  <c r="Q7698" i="58"/>
  <c r="R7153" i="58"/>
  <c r="Q7152" i="58"/>
  <c r="R8946" i="58"/>
  <c r="Q8945" i="58"/>
  <c r="R2014" i="58"/>
  <c r="R2013" i="58"/>
  <c r="R12378" i="58"/>
  <c r="Q12377" i="58"/>
  <c r="R7762" i="58"/>
  <c r="Q7761" i="58"/>
  <c r="R196" i="58"/>
  <c r="R195" i="58"/>
  <c r="R12239" i="58"/>
  <c r="Q12238" i="58"/>
  <c r="R3872" i="58"/>
  <c r="Q3871" i="58"/>
  <c r="R10168" i="58"/>
  <c r="Q10167" i="58"/>
  <c r="R12317" i="58"/>
  <c r="Q12316" i="58"/>
  <c r="R7224" i="58"/>
  <c r="Q7223" i="58"/>
  <c r="R986" i="58"/>
  <c r="Q985" i="58"/>
  <c r="R6138" i="58"/>
  <c r="Q6137" i="58"/>
  <c r="R2574" i="58"/>
  <c r="R2573" i="58"/>
  <c r="R11270" i="58"/>
  <c r="Q11269" i="58"/>
  <c r="R596" i="58"/>
  <c r="Q595" i="58"/>
  <c r="R8152" i="58"/>
  <c r="Q8151" i="58"/>
  <c r="R12047" i="58"/>
  <c r="Q12046" i="58"/>
  <c r="R806" i="58"/>
  <c r="Q805" i="58"/>
  <c r="R7318" i="58"/>
  <c r="Q7317" i="58"/>
  <c r="R2974" i="58"/>
  <c r="Q2973" i="58"/>
  <c r="R703" i="58"/>
  <c r="Q702" i="58"/>
  <c r="R1829" i="58"/>
  <c r="Q1828" i="58"/>
  <c r="R4897" i="58"/>
  <c r="R4896" i="58"/>
  <c r="R4470" i="58"/>
  <c r="Q4469" i="58"/>
  <c r="R11985" i="58"/>
  <c r="R11984" i="58"/>
  <c r="R992" i="58"/>
  <c r="Q991" i="58"/>
  <c r="R6870" i="58"/>
  <c r="Q6869" i="58"/>
  <c r="R9538" i="58"/>
  <c r="Q9537" i="58"/>
  <c r="R10859" i="58"/>
  <c r="Q10858" i="58"/>
  <c r="R3088" i="58"/>
  <c r="R3087" i="58"/>
  <c r="R7933" i="58"/>
  <c r="Q7932" i="58"/>
  <c r="R11492" i="58"/>
  <c r="Q11491" i="58"/>
  <c r="R1653" i="58"/>
  <c r="R1652" i="58"/>
  <c r="R2896" i="58"/>
  <c r="Q2895" i="58"/>
  <c r="R8048" i="58"/>
  <c r="R8047" i="58"/>
  <c r="R2177" i="58"/>
  <c r="R2176" i="58"/>
  <c r="R8473" i="58"/>
  <c r="Q8472" i="58"/>
  <c r="R2009" i="58"/>
  <c r="Q2008" i="58"/>
  <c r="Q3138" i="58"/>
  <c r="R3139" i="58"/>
  <c r="R5574" i="58"/>
  <c r="Q5573" i="58"/>
  <c r="R7887" i="58"/>
  <c r="Q7886" i="58"/>
  <c r="Q2465" i="58"/>
  <c r="R2466" i="58"/>
  <c r="R11932" i="58"/>
  <c r="Q11931" i="58"/>
  <c r="R9472" i="58"/>
  <c r="Q9471" i="58"/>
  <c r="R1684" i="58"/>
  <c r="Q1683" i="58"/>
  <c r="R325" i="58"/>
  <c r="Q324" i="58"/>
  <c r="R1197" i="58"/>
  <c r="Q1196" i="58"/>
  <c r="R4135" i="58"/>
  <c r="Q4134" i="58"/>
  <c r="R2949" i="58"/>
  <c r="R2948" i="58"/>
  <c r="R1630" i="58"/>
  <c r="Q1629" i="58"/>
  <c r="R2044" i="58"/>
  <c r="R2043" i="58"/>
  <c r="R2418" i="58"/>
  <c r="Q2417" i="58"/>
  <c r="R5440" i="58"/>
  <c r="Q5439" i="58"/>
  <c r="R6461" i="58"/>
  <c r="Q6460" i="58"/>
  <c r="R6467" i="58"/>
  <c r="Q6466" i="58"/>
  <c r="R7490" i="58"/>
  <c r="Q7489" i="58"/>
  <c r="R8716" i="58"/>
  <c r="Q8715" i="58"/>
  <c r="Q5690" i="58"/>
  <c r="R5691" i="58"/>
  <c r="Q7453" i="58"/>
  <c r="R7454" i="58"/>
  <c r="R6524" i="58"/>
  <c r="Q6523" i="58"/>
  <c r="R974" i="58"/>
  <c r="Q973" i="58"/>
  <c r="R8998" i="58"/>
  <c r="Q8997" i="58"/>
  <c r="R2981" i="58"/>
  <c r="Q2980" i="58"/>
  <c r="R7756" i="58"/>
  <c r="Q7755" i="58"/>
  <c r="R11320" i="58"/>
  <c r="Q11319" i="58"/>
  <c r="R4081" i="58"/>
  <c r="Q4080" i="58"/>
  <c r="R4230" i="58"/>
  <c r="R4229" i="58"/>
  <c r="R5803" i="58"/>
  <c r="Q5802" i="58"/>
  <c r="Q10633" i="58"/>
  <c r="R10634" i="58"/>
  <c r="R2050" i="58"/>
  <c r="R2049" i="58"/>
  <c r="R1353" i="58"/>
  <c r="Q1352" i="58"/>
  <c r="R11872" i="58"/>
  <c r="Q11871" i="58"/>
  <c r="R4259" i="58"/>
  <c r="Q4258" i="58"/>
  <c r="R11145" i="58"/>
  <c r="Q11144" i="58"/>
  <c r="R12704" i="58"/>
  <c r="Q12703" i="58"/>
  <c r="R11089" i="58"/>
  <c r="Q11088" i="58"/>
  <c r="R12740" i="58"/>
  <c r="Q12739" i="58"/>
  <c r="R12583" i="58"/>
  <c r="Q12582" i="58"/>
  <c r="R3927" i="58"/>
  <c r="Q3926" i="58"/>
  <c r="R10692" i="58"/>
  <c r="Q10691" i="58"/>
  <c r="R1359" i="58"/>
  <c r="Q1358" i="58"/>
  <c r="R2340" i="58"/>
  <c r="Q2339" i="58"/>
  <c r="R9079" i="58"/>
  <c r="Q9078" i="58"/>
  <c r="R12723" i="58"/>
  <c r="Q12722" i="58"/>
  <c r="R12562" i="58"/>
  <c r="Q12561" i="58"/>
  <c r="Q12749" i="58"/>
  <c r="R12750" i="58"/>
  <c r="R8865" i="58"/>
  <c r="Q8864" i="58"/>
  <c r="R12802" i="58"/>
  <c r="Q12801" i="58"/>
  <c r="R7518" i="58"/>
  <c r="Q7517" i="58"/>
  <c r="R11501" i="58"/>
  <c r="Q11500" i="58"/>
  <c r="R7978" i="58"/>
  <c r="Q7977" i="58"/>
  <c r="R967" i="58"/>
  <c r="R966" i="58"/>
  <c r="R8071" i="58"/>
  <c r="Q8070" i="58"/>
  <c r="R6539" i="58"/>
  <c r="Q6538" i="58"/>
  <c r="Q11754" i="58"/>
  <c r="R11755" i="58"/>
  <c r="R10220" i="58"/>
  <c r="Q10219" i="58"/>
  <c r="R1923" i="58"/>
  <c r="R1924" i="58"/>
  <c r="R6176" i="58"/>
  <c r="Q6175" i="58"/>
  <c r="R1105" i="58"/>
  <c r="R1104" i="58"/>
  <c r="R9131" i="58"/>
  <c r="Q9130" i="58"/>
  <c r="R11289" i="58"/>
  <c r="Q11288" i="58"/>
  <c r="R6215" i="58"/>
  <c r="Q6214" i="58"/>
  <c r="R1497" i="58"/>
  <c r="R1496" i="58"/>
  <c r="R853" i="58"/>
  <c r="R852" i="58"/>
  <c r="R1209" i="58"/>
  <c r="Q1208" i="58"/>
  <c r="R6689" i="58"/>
  <c r="Q6688" i="58"/>
  <c r="Q9891" i="58"/>
  <c r="R9892" i="58"/>
  <c r="R9753" i="58"/>
  <c r="Q9752" i="58"/>
  <c r="R10461" i="58"/>
  <c r="Q10460" i="58"/>
  <c r="R1129" i="58"/>
  <c r="R1128" i="58"/>
  <c r="R6165" i="58"/>
  <c r="Q6164" i="58"/>
  <c r="R10756" i="58"/>
  <c r="Q10755" i="58"/>
  <c r="R774" i="58"/>
  <c r="R773" i="58"/>
  <c r="R9911" i="58"/>
  <c r="Q9910" i="58"/>
  <c r="R12948" i="58"/>
  <c r="Q12947" i="58"/>
  <c r="R12522" i="58"/>
  <c r="Q12521" i="58"/>
  <c r="R2805" i="58"/>
  <c r="Q2804" i="58"/>
  <c r="R3978" i="58"/>
  <c r="R3977" i="58"/>
  <c r="R9272" i="58"/>
  <c r="Q9271" i="58"/>
  <c r="R9023" i="58"/>
  <c r="Q9022" i="58"/>
  <c r="R11214" i="58"/>
  <c r="Q11213" i="58"/>
  <c r="R4533" i="58"/>
  <c r="Q4532" i="58"/>
  <c r="R687" i="58"/>
  <c r="Q686" i="58"/>
  <c r="R686" i="58" s="1"/>
  <c r="Q685" i="58"/>
  <c r="R5766" i="58"/>
  <c r="R5765" i="58"/>
  <c r="R1871" i="58"/>
  <c r="Q1870" i="58"/>
  <c r="R3047" i="58"/>
  <c r="Q3046" i="58"/>
  <c r="R1437" i="58"/>
  <c r="Q1436" i="58"/>
  <c r="R281" i="58"/>
  <c r="Q280" i="58"/>
  <c r="R10089" i="58"/>
  <c r="Q10088" i="58"/>
  <c r="Q10059" i="58"/>
  <c r="R10060" i="58"/>
  <c r="R524" i="58"/>
  <c r="R523" i="58"/>
  <c r="R1811" i="58"/>
  <c r="Q1810" i="58"/>
  <c r="R7468" i="58"/>
  <c r="Q7467" i="58"/>
  <c r="R4983" i="58"/>
  <c r="R4982" i="58"/>
  <c r="R5013" i="58"/>
  <c r="Q5012" i="58"/>
  <c r="R7287" i="58"/>
  <c r="Q7286" i="58"/>
  <c r="Q5338" i="58"/>
  <c r="R5339" i="58"/>
  <c r="R8907" i="58"/>
  <c r="Q8906" i="58"/>
  <c r="Q4998" i="58"/>
  <c r="R4999" i="58"/>
  <c r="R11456" i="58"/>
  <c r="Q11455" i="58"/>
  <c r="R1431" i="58"/>
  <c r="Q1430" i="58"/>
  <c r="R4002" i="58"/>
  <c r="R4001" i="58"/>
  <c r="R5276" i="58"/>
  <c r="Q5275" i="58"/>
  <c r="R7040" i="58"/>
  <c r="Q7039" i="58"/>
  <c r="R1769" i="58"/>
  <c r="Q1768" i="58"/>
  <c r="R270" i="58"/>
  <c r="Q269" i="58"/>
  <c r="R10157" i="58"/>
  <c r="Q10156" i="58"/>
  <c r="R11330" i="58"/>
  <c r="Q11329" i="58"/>
  <c r="R6112" i="58"/>
  <c r="Q6111" i="58"/>
  <c r="R12938" i="58"/>
  <c r="Q12937" i="58"/>
  <c r="R3022" i="58"/>
  <c r="R3021" i="58"/>
  <c r="R4273" i="58"/>
  <c r="Q4272" i="58"/>
  <c r="R4116" i="58"/>
  <c r="R4115" i="58"/>
  <c r="R2811" i="58"/>
  <c r="Q2810" i="58"/>
  <c r="R1858" i="58"/>
  <c r="R1857" i="58"/>
  <c r="R4293" i="58"/>
  <c r="R4292" i="58"/>
  <c r="Q10678" i="58"/>
  <c r="R10679" i="58"/>
  <c r="R871" i="58"/>
  <c r="R870" i="58"/>
  <c r="R364" i="58"/>
  <c r="Q363" i="58"/>
  <c r="R12604" i="58"/>
  <c r="Q12603" i="58"/>
  <c r="R11117" i="58"/>
  <c r="Q11116" i="58"/>
  <c r="R11104" i="58"/>
  <c r="Q11103" i="58"/>
  <c r="R1805" i="58"/>
  <c r="Q1804" i="58"/>
  <c r="R11357" i="58"/>
  <c r="Q11356" i="58"/>
  <c r="R10966" i="58"/>
  <c r="Q10965" i="58"/>
  <c r="R7399" i="58"/>
  <c r="Q7398" i="58"/>
  <c r="R10869" i="58"/>
  <c r="Q10868" i="58"/>
  <c r="R9281" i="58"/>
  <c r="Q9280" i="58"/>
  <c r="R9573" i="58"/>
  <c r="Q9572" i="58"/>
  <c r="R11657" i="58"/>
  <c r="Q11656" i="58"/>
  <c r="R5537" i="58"/>
  <c r="Q5536" i="58"/>
  <c r="R5232" i="58"/>
  <c r="Q5231" i="58"/>
  <c r="R5143" i="58"/>
  <c r="Q5142" i="58"/>
  <c r="R3953" i="58"/>
  <c r="Q3952" i="58"/>
  <c r="R8644" i="58"/>
  <c r="Q8643" i="58"/>
  <c r="R5583" i="58"/>
  <c r="Q5582" i="58"/>
  <c r="R5049" i="58"/>
  <c r="Q5048" i="58"/>
  <c r="R5641" i="58"/>
  <c r="Q5640" i="58"/>
  <c r="R11561" i="58"/>
  <c r="Q11560" i="58"/>
  <c r="R9434" i="58"/>
  <c r="Q9433" i="58"/>
  <c r="R878" i="58"/>
  <c r="Q877" i="58"/>
  <c r="R5479" i="58"/>
  <c r="R5478" i="58"/>
  <c r="R10413" i="58"/>
  <c r="Q10412" i="58"/>
  <c r="R5740" i="58"/>
  <c r="Q5739" i="58"/>
  <c r="R1774" i="58"/>
  <c r="R1773" i="58"/>
  <c r="R5761" i="58"/>
  <c r="Q5760" i="58"/>
  <c r="R4105" i="58"/>
  <c r="Q4104" i="58"/>
  <c r="R2611" i="58"/>
  <c r="Q2610" i="58"/>
  <c r="R2744" i="58"/>
  <c r="R2743" i="58"/>
  <c r="R4201" i="58"/>
  <c r="Q4200" i="58"/>
  <c r="R8106" i="58"/>
  <c r="Q8105" i="58"/>
  <c r="R11720" i="58"/>
  <c r="Q11719" i="58"/>
  <c r="Q10474" i="58"/>
  <c r="R10475" i="58"/>
  <c r="R397" i="58"/>
  <c r="Q396" i="58"/>
  <c r="Q10590" i="58"/>
  <c r="R10591" i="58"/>
  <c r="Q4608" i="58"/>
  <c r="R4609" i="58"/>
  <c r="R10049" i="58"/>
  <c r="Q10048" i="58"/>
  <c r="R9932" i="58"/>
  <c r="Q9931" i="58"/>
  <c r="R2381" i="58"/>
  <c r="R2380" i="58"/>
  <c r="R11944" i="58"/>
  <c r="Q11943" i="58"/>
  <c r="R1256" i="58"/>
  <c r="R1255" i="58"/>
  <c r="R7705" i="58"/>
  <c r="R7704" i="58"/>
  <c r="R8287" i="58"/>
  <c r="Q8286" i="58"/>
  <c r="R1136" i="58"/>
  <c r="Q1135" i="58"/>
  <c r="R5621" i="58"/>
  <c r="Q5620" i="58"/>
  <c r="R11521" i="58"/>
  <c r="Q11520" i="58"/>
  <c r="R9382" i="58"/>
  <c r="Q9381" i="58"/>
  <c r="R9836" i="58"/>
  <c r="Q9835" i="58"/>
  <c r="R6978" i="58"/>
  <c r="Q6977" i="58"/>
  <c r="R8626" i="58"/>
  <c r="Q8625" i="58"/>
  <c r="R11991" i="58"/>
  <c r="R11990" i="58"/>
  <c r="R12268" i="58"/>
  <c r="Q12267" i="58"/>
  <c r="R1221" i="58"/>
  <c r="Q1220" i="58"/>
  <c r="R12957" i="58"/>
  <c r="Q12956" i="58"/>
  <c r="R10657" i="58"/>
  <c r="Q10656" i="58"/>
  <c r="R6282" i="58"/>
  <c r="Q6281" i="58"/>
  <c r="R1557" i="58"/>
  <c r="R1556" i="58"/>
  <c r="R2793" i="58"/>
  <c r="Q2792" i="58"/>
  <c r="R8042" i="58"/>
  <c r="Q8041" i="58"/>
  <c r="R4618" i="58"/>
  <c r="Q4617" i="58"/>
  <c r="R9151" i="58"/>
  <c r="Q9150" i="58"/>
  <c r="R11825" i="58"/>
  <c r="Q11824" i="58"/>
  <c r="R2738" i="58"/>
  <c r="R2737" i="58"/>
  <c r="R7461" i="58"/>
  <c r="Q7460" i="58"/>
  <c r="R11834" i="58"/>
  <c r="Q11833" i="58"/>
  <c r="Q8918" i="58"/>
  <c r="R8919" i="58"/>
  <c r="R9102" i="58"/>
  <c r="Q9101" i="58"/>
  <c r="R4945" i="58"/>
  <c r="R4944" i="58"/>
  <c r="R9463" i="58"/>
  <c r="Q9462" i="58"/>
  <c r="R2913" i="58"/>
  <c r="R2912" i="58"/>
  <c r="R1816" i="58"/>
  <c r="R1815" i="58"/>
  <c r="R11998" i="58"/>
  <c r="Q11997" i="58"/>
  <c r="R12838" i="58"/>
  <c r="Q12837" i="58"/>
  <c r="R6615" i="58"/>
  <c r="Q6614" i="58"/>
  <c r="R2750" i="58"/>
  <c r="R2749" i="58"/>
  <c r="R2441" i="58"/>
  <c r="R2440" i="58"/>
  <c r="R12572" i="58"/>
  <c r="Q12571" i="58"/>
  <c r="R1413" i="58"/>
  <c r="Q1412" i="58"/>
  <c r="R10550" i="58"/>
  <c r="Q10549" i="58"/>
  <c r="Q7236" i="58"/>
  <c r="R7237" i="58"/>
  <c r="R12299" i="58"/>
  <c r="Q12298" i="58"/>
  <c r="Q5380" i="58"/>
  <c r="R5381" i="58"/>
  <c r="R13021" i="58"/>
  <c r="Q13020" i="58"/>
  <c r="R11865" i="58"/>
  <c r="Q11864" i="58"/>
  <c r="R5122" i="58"/>
  <c r="Q5121" i="58"/>
  <c r="R4977" i="58"/>
  <c r="Q4976" i="58"/>
  <c r="R4832" i="58"/>
  <c r="Q4831" i="58"/>
  <c r="R672" i="58"/>
  <c r="Q671" i="58"/>
  <c r="R6099" i="58"/>
  <c r="Q6098" i="58"/>
  <c r="R1635" i="58"/>
  <c r="R1634" i="58"/>
  <c r="Q10357" i="58"/>
  <c r="R10358" i="58"/>
  <c r="R1406" i="58"/>
  <c r="R1405" i="58"/>
  <c r="R10262" i="58"/>
  <c r="Q10261" i="58"/>
  <c r="R12776" i="58"/>
  <c r="Q12775" i="58"/>
  <c r="R11195" i="58"/>
  <c r="Q11194" i="58"/>
  <c r="Q5019" i="58"/>
  <c r="R5020" i="58"/>
  <c r="R1233" i="58"/>
  <c r="Q1232" i="58"/>
  <c r="R11225" i="58"/>
  <c r="Q11224" i="58"/>
  <c r="R830" i="58"/>
  <c r="Q829" i="58"/>
  <c r="R11961" i="58"/>
  <c r="R11960" i="58"/>
  <c r="R7272" i="58"/>
  <c r="Q7271" i="58"/>
  <c r="R3070" i="58"/>
  <c r="R3069" i="58"/>
  <c r="R256" i="58"/>
  <c r="Q255" i="58"/>
  <c r="Q4008" i="58"/>
  <c r="R4009" i="58"/>
  <c r="R6510" i="58"/>
  <c r="Q6509" i="58"/>
  <c r="R11387" i="58"/>
  <c r="Q11386" i="58"/>
  <c r="R5287" i="58"/>
  <c r="Q5286" i="58"/>
  <c r="Q10899" i="58"/>
  <c r="R10900" i="58"/>
  <c r="R11850" i="58"/>
  <c r="Q11849" i="58"/>
  <c r="R9872" i="58"/>
  <c r="Q9871" i="58"/>
  <c r="R11879" i="58"/>
  <c r="R11878" i="58"/>
  <c r="R12555" i="58"/>
  <c r="Q12554" i="58"/>
  <c r="Q11296" i="58"/>
  <c r="R11297" i="58"/>
  <c r="R3961" i="58"/>
  <c r="Q3960" i="58"/>
  <c r="R7797" i="58"/>
  <c r="Q7796" i="58"/>
  <c r="R5675" i="58"/>
  <c r="R5674" i="58"/>
  <c r="Q2853" i="58"/>
  <c r="R2854" i="58"/>
  <c r="R1322" i="58"/>
  <c r="R1321" i="58"/>
  <c r="R9069" i="58"/>
  <c r="Q9068" i="58"/>
  <c r="R6412" i="58"/>
  <c r="Q6411" i="58"/>
  <c r="R6359" i="58"/>
  <c r="Q6358" i="58"/>
  <c r="R8181" i="58"/>
  <c r="Q8180" i="58"/>
  <c r="R2526" i="58"/>
  <c r="Q2525" i="58"/>
  <c r="R7182" i="58"/>
  <c r="Q7181" i="58"/>
  <c r="R12546" i="58"/>
  <c r="Q12545" i="58"/>
  <c r="R5752" i="58"/>
  <c r="R5751" i="58"/>
  <c r="R4804" i="58"/>
  <c r="Q4803" i="58"/>
  <c r="R6970" i="58"/>
  <c r="R6969" i="58"/>
  <c r="Q8930" i="58"/>
  <c r="R8931" i="58"/>
  <c r="R5663" i="58"/>
  <c r="Q5662" i="58"/>
  <c r="R1665" i="58"/>
  <c r="R1664" i="58"/>
  <c r="R9762" i="58"/>
  <c r="Q9761" i="58"/>
  <c r="Q11175" i="58"/>
  <c r="R11176" i="58"/>
  <c r="R12006" i="58"/>
  <c r="Q12005" i="58"/>
  <c r="R1172" i="58"/>
  <c r="Q1171" i="58"/>
  <c r="R1395" i="58"/>
  <c r="Q1394" i="58"/>
  <c r="R1612" i="58"/>
  <c r="Q1611" i="58"/>
  <c r="R5187" i="58"/>
  <c r="Q5186" i="58"/>
  <c r="R7735" i="58"/>
  <c r="Q7734" i="58"/>
  <c r="R9583" i="58"/>
  <c r="Q9582" i="58"/>
  <c r="R1147" i="58"/>
  <c r="R1146" i="58"/>
  <c r="R9335" i="58"/>
  <c r="Q9334" i="58"/>
  <c r="R5087" i="58"/>
  <c r="Q5086" i="58"/>
  <c r="R7504" i="58"/>
  <c r="Q7503" i="58"/>
  <c r="R10957" i="58"/>
  <c r="Q10956" i="58"/>
  <c r="Q2907" i="58"/>
  <c r="R2908" i="58"/>
  <c r="R7964" i="58"/>
  <c r="Q7963" i="58"/>
  <c r="R9950" i="58"/>
  <c r="Q9949" i="58"/>
  <c r="Q4266" i="58"/>
  <c r="R4267" i="58"/>
  <c r="R5991" i="58"/>
  <c r="Q5990" i="58"/>
  <c r="R12428" i="58"/>
  <c r="Q12427" i="58"/>
  <c r="R5923" i="58"/>
  <c r="Q5922" i="58"/>
  <c r="R2068" i="58"/>
  <c r="R2067" i="58"/>
  <c r="R9783" i="58"/>
  <c r="Q9782" i="58"/>
  <c r="R3900" i="58"/>
  <c r="Q3899" i="58"/>
  <c r="R12686" i="58"/>
  <c r="Q12685" i="58"/>
  <c r="R3040" i="58"/>
  <c r="R3039" i="58"/>
  <c r="R10315" i="58"/>
  <c r="Q10314" i="58"/>
  <c r="R4518" i="58"/>
  <c r="Q4517" i="58"/>
  <c r="R4182" i="58"/>
  <c r="R4181" i="58"/>
  <c r="R6794" i="58"/>
  <c r="Q6793" i="58"/>
  <c r="R4372" i="58"/>
  <c r="Q4371" i="58"/>
  <c r="Q12231" i="58"/>
  <c r="R12232" i="58"/>
  <c r="R11130" i="58"/>
  <c r="Q11129" i="58"/>
  <c r="R9653" i="58"/>
  <c r="Q9652" i="58"/>
  <c r="Q12592" i="58"/>
  <c r="R12593" i="58"/>
  <c r="R5885" i="58"/>
  <c r="Q5884" i="58"/>
  <c r="R316" i="58"/>
  <c r="R315" i="58"/>
  <c r="R2129" i="58"/>
  <c r="Q2128" i="58"/>
  <c r="R6658" i="58"/>
  <c r="Q6657" i="58"/>
  <c r="R13064" i="58"/>
  <c r="Q13063" i="58"/>
  <c r="R10891" i="58"/>
  <c r="Q10890" i="58"/>
  <c r="R9503" i="58"/>
  <c r="Q9502" i="58"/>
  <c r="R10198" i="58"/>
  <c r="Q10197" i="58"/>
  <c r="Q12811" i="58"/>
  <c r="R12812" i="58"/>
  <c r="R12785" i="58"/>
  <c r="Q12784" i="58"/>
  <c r="R12259" i="58"/>
  <c r="Q12258" i="58"/>
  <c r="R11165" i="58"/>
  <c r="Q11164" i="58"/>
  <c r="R5466" i="58"/>
  <c r="Q5465" i="58"/>
  <c r="R866" i="58"/>
  <c r="Q865" i="58"/>
  <c r="R12658" i="58"/>
  <c r="Q12657" i="58"/>
  <c r="R8421" i="58"/>
  <c r="Q8420" i="58"/>
  <c r="R9483" i="58"/>
  <c r="Q9482" i="58"/>
  <c r="R8299" i="58"/>
  <c r="Q8298" i="58"/>
  <c r="R5326" i="58"/>
  <c r="Q5325" i="58"/>
  <c r="Q7727" i="58"/>
  <c r="R7728" i="58"/>
  <c r="Q12132" i="58"/>
  <c r="R12133" i="58"/>
  <c r="R9360" i="58"/>
  <c r="Q9359" i="58"/>
  <c r="R7230" i="58"/>
  <c r="Q7229" i="58"/>
  <c r="R715" i="58"/>
  <c r="Q714" i="58"/>
  <c r="R5178" i="58"/>
  <c r="R5177" i="58"/>
  <c r="R7384" i="58"/>
  <c r="Q7383" i="58"/>
  <c r="R9010" i="58"/>
  <c r="Q9009" i="58"/>
  <c r="R12821" i="58"/>
  <c r="Q12820" i="58"/>
  <c r="R3934" i="58"/>
  <c r="Q3933" i="58"/>
  <c r="R4477" i="58"/>
  <c r="Q4476" i="58"/>
  <c r="R9722" i="58"/>
  <c r="Q9721" i="58"/>
  <c r="R1016" i="58"/>
  <c r="Q1015" i="58"/>
  <c r="R1624" i="58"/>
  <c r="Q1623" i="58"/>
  <c r="R1111" i="58"/>
  <c r="R1110" i="58"/>
  <c r="R10486" i="58"/>
  <c r="Q10485" i="58"/>
  <c r="Q3889" i="58"/>
  <c r="R3890" i="58"/>
  <c r="R4442" i="58"/>
  <c r="Q4441" i="58"/>
  <c r="R9824" i="58"/>
  <c r="Q9823" i="58"/>
  <c r="R1316" i="58"/>
  <c r="R1315" i="58"/>
  <c r="R10767" i="58"/>
  <c r="Q10766" i="58"/>
  <c r="R405" i="58"/>
  <c r="Q404" i="58"/>
  <c r="R6319" i="58"/>
  <c r="Q6318" i="58"/>
  <c r="Q11430" i="58"/>
  <c r="R11431" i="58"/>
  <c r="R7640" i="58"/>
  <c r="Q7639" i="58"/>
  <c r="R9634" i="58"/>
  <c r="Q9633" i="58"/>
  <c r="R9594" i="58"/>
  <c r="Q9593" i="58"/>
  <c r="R7020" i="58"/>
  <c r="Q7019" i="58"/>
  <c r="Q6060" i="58"/>
  <c r="R6061" i="58"/>
  <c r="R10177" i="58"/>
  <c r="Q10176" i="58"/>
  <c r="R1605" i="58"/>
  <c r="R1604" i="58"/>
  <c r="Q12401" i="58"/>
  <c r="R12402" i="58"/>
  <c r="R10293" i="58"/>
  <c r="Q10292" i="58"/>
  <c r="R9240" i="58"/>
  <c r="Q9239" i="58"/>
  <c r="R7433" i="58"/>
  <c r="Q7432" i="58"/>
  <c r="R6125" i="58"/>
  <c r="Q6124" i="58"/>
  <c r="R5548" i="58"/>
  <c r="Q5547" i="58"/>
  <c r="R3853" i="58"/>
  <c r="Q3852" i="58"/>
  <c r="R12390" i="58"/>
  <c r="Q12389" i="58"/>
  <c r="R6488" i="58"/>
  <c r="Q6487" i="58"/>
  <c r="R6496" i="58"/>
  <c r="Q6495" i="58"/>
  <c r="R9290" i="58"/>
  <c r="Q9289" i="58"/>
  <c r="R12068" i="58"/>
  <c r="Q12067" i="58"/>
  <c r="R5352" i="58"/>
  <c r="R5351" i="58"/>
  <c r="R8347" i="58"/>
  <c r="R8346" i="58"/>
  <c r="R2641" i="58"/>
  <c r="R2640" i="58"/>
  <c r="R5488" i="58"/>
  <c r="Q5487" i="58"/>
  <c r="R7777" i="58"/>
  <c r="Q7776" i="58"/>
  <c r="R9792" i="58"/>
  <c r="Q9791" i="58"/>
  <c r="R11705" i="58"/>
  <c r="Q11704" i="58"/>
  <c r="R4785" i="58"/>
  <c r="Q4784" i="58"/>
  <c r="R11694" i="58"/>
  <c r="Q11693" i="58"/>
  <c r="Q12713" i="58"/>
  <c r="R12714" i="58"/>
  <c r="R4171" i="58"/>
  <c r="Q4170" i="58"/>
  <c r="Q6345" i="58"/>
  <c r="R6346" i="58"/>
  <c r="R5156" i="58"/>
  <c r="R5155" i="58"/>
  <c r="R6704" i="58"/>
  <c r="Q6703" i="58"/>
  <c r="R2001" i="58"/>
  <c r="R2002" i="58"/>
  <c r="R5522" i="58"/>
  <c r="Q5521" i="58"/>
  <c r="R10425" i="58"/>
  <c r="Q10424" i="58"/>
  <c r="R2943" i="58"/>
  <c r="R2942" i="58"/>
  <c r="R8242" i="58"/>
  <c r="Q8241" i="58"/>
  <c r="R8428" i="58"/>
  <c r="Q8427" i="58"/>
  <c r="R3065" i="58"/>
  <c r="Q3064" i="58"/>
  <c r="R8893" i="58"/>
  <c r="Q8892" i="58"/>
  <c r="R10127" i="58"/>
  <c r="Q10126" i="58"/>
  <c r="R5856" i="58"/>
  <c r="Q5855" i="58"/>
  <c r="R1943" i="58"/>
  <c r="Q1942" i="58"/>
  <c r="R9312" i="58"/>
  <c r="Q9311" i="58"/>
  <c r="R800" i="58"/>
  <c r="Q799" i="58"/>
  <c r="R2063" i="58"/>
  <c r="Q2062" i="58"/>
  <c r="R1618" i="58"/>
  <c r="Q1617" i="58"/>
  <c r="R1594" i="58"/>
  <c r="Q1593" i="58"/>
  <c r="R8742" i="58"/>
  <c r="Q8741" i="58"/>
  <c r="R2153" i="58"/>
  <c r="R2152" i="58"/>
  <c r="R13011" i="58"/>
  <c r="Q13010" i="58"/>
  <c r="R11571" i="58"/>
  <c r="Q11570" i="58"/>
  <c r="R745" i="58"/>
  <c r="Q744" i="58"/>
  <c r="R6823" i="58"/>
  <c r="Q6822" i="58"/>
  <c r="R1822" i="58"/>
  <c r="R1821" i="58"/>
  <c r="R10304" i="58"/>
  <c r="Q10303" i="58"/>
  <c r="R8959" i="58"/>
  <c r="Q8958" i="58"/>
  <c r="R11802" i="58"/>
  <c r="Q11801" i="58"/>
  <c r="Q6734" i="58"/>
  <c r="R6735" i="58"/>
  <c r="R7654" i="58"/>
  <c r="Q7653" i="58"/>
  <c r="R4087" i="58"/>
  <c r="Q4086" i="58"/>
  <c r="R2841" i="58"/>
  <c r="R2840" i="58"/>
  <c r="R7741" i="58"/>
  <c r="Q7740" i="58"/>
  <c r="R298" i="58"/>
  <c r="R297" i="58"/>
  <c r="R1569" i="58"/>
  <c r="R1568" i="58"/>
  <c r="R9392" i="58"/>
  <c r="Q9391" i="58"/>
  <c r="R2830" i="58"/>
  <c r="Q2829" i="58"/>
  <c r="R1371" i="58"/>
  <c r="Q1370" i="58"/>
  <c r="R4512" i="58"/>
  <c r="Q4511" i="58"/>
  <c r="R7720" i="58"/>
  <c r="Q7719" i="58"/>
  <c r="R5434" i="58"/>
  <c r="Q5433" i="58"/>
  <c r="R420" i="58"/>
  <c r="Q419" i="58"/>
  <c r="R2721" i="58"/>
  <c r="Q2720" i="58"/>
  <c r="R2243" i="58"/>
  <c r="R2242" i="58"/>
  <c r="R9563" i="58"/>
  <c r="Q9562" i="58"/>
  <c r="R12108" i="58"/>
  <c r="Q12107" i="58"/>
  <c r="R12904" i="58"/>
  <c r="Q12903" i="58"/>
  <c r="R10577" i="58"/>
  <c r="Q10576" i="58"/>
  <c r="R9734" i="58"/>
  <c r="Q9733" i="58"/>
  <c r="R8410" i="58"/>
  <c r="R8409" i="58"/>
  <c r="R7595" i="58"/>
  <c r="Q7594" i="58"/>
  <c r="R6884" i="58"/>
  <c r="Q6883" i="58"/>
  <c r="R8255" i="58"/>
  <c r="Q8254" i="58"/>
  <c r="R9642" i="58"/>
  <c r="Q9641" i="58"/>
  <c r="R7566" i="58"/>
  <c r="Q7565" i="58"/>
  <c r="R2220" i="58"/>
  <c r="Q2219" i="58"/>
  <c r="Q2267" i="58"/>
  <c r="R2268" i="58"/>
  <c r="R6964" i="58"/>
  <c r="Q6963" i="58"/>
  <c r="R7843" i="58"/>
  <c r="Q7842" i="58"/>
  <c r="R9612" i="58"/>
  <c r="Q9611" i="58"/>
  <c r="R1118" i="58"/>
  <c r="Q1117" i="58"/>
  <c r="R955" i="58"/>
  <c r="R954" i="58"/>
  <c r="R9901" i="58"/>
  <c r="Q9900" i="58"/>
  <c r="R12288" i="58"/>
  <c r="Q12287" i="58"/>
  <c r="R2884" i="58"/>
  <c r="Q2883" i="58"/>
  <c r="R11591" i="58"/>
  <c r="Q11590" i="58"/>
  <c r="R7420" i="58"/>
  <c r="Q7419" i="58"/>
  <c r="R3124" i="58"/>
  <c r="R3123" i="58"/>
  <c r="R8034" i="58"/>
  <c r="R8033" i="58"/>
  <c r="R4176" i="58"/>
  <c r="R4175" i="58"/>
  <c r="R11485" i="58"/>
  <c r="Q11484" i="58"/>
  <c r="R4308" i="58"/>
  <c r="Q4307" i="58"/>
  <c r="R1328" i="58"/>
  <c r="R1327" i="58"/>
  <c r="R4734" i="58"/>
  <c r="Q4733" i="58"/>
  <c r="R4909" i="58"/>
  <c r="R4908" i="58"/>
  <c r="Q5166" i="58"/>
  <c r="R5167" i="58"/>
  <c r="R2310" i="58"/>
  <c r="Q2309" i="58"/>
  <c r="R5970" i="58"/>
  <c r="Q5969" i="58"/>
  <c r="R8814" i="58"/>
  <c r="Q8813" i="58"/>
  <c r="R6439" i="58"/>
  <c r="Q6438" i="58"/>
  <c r="R7096" i="58"/>
  <c r="Q7095" i="58"/>
  <c r="R10379" i="58"/>
  <c r="Q10378" i="58"/>
  <c r="R5425" i="58"/>
  <c r="Q5424" i="58"/>
  <c r="R9443" i="58"/>
  <c r="Q9442" i="58"/>
  <c r="R9414" i="58"/>
  <c r="Q9413" i="58"/>
  <c r="R4553" i="58"/>
  <c r="Q4552" i="58"/>
  <c r="R6914" i="58"/>
  <c r="Q6913" i="58"/>
  <c r="R10116" i="58"/>
  <c r="Q10115" i="58"/>
  <c r="R781" i="58"/>
  <c r="Q780" i="58"/>
  <c r="R9552" i="58"/>
  <c r="Q9551" i="58"/>
  <c r="R6950" i="58"/>
  <c r="Q6949" i="58"/>
  <c r="R12308" i="58"/>
  <c r="Q12307" i="58"/>
  <c r="R9804" i="58"/>
  <c r="Q9803" i="58"/>
  <c r="R12897" i="58"/>
  <c r="Q12896" i="58"/>
  <c r="R3112" i="58"/>
  <c r="R3111" i="58"/>
  <c r="R1527" i="58"/>
  <c r="R1526" i="58"/>
  <c r="R5718" i="58"/>
  <c r="Q5717" i="58"/>
  <c r="R4652" i="58"/>
  <c r="Q4651" i="58"/>
  <c r="R10206" i="58"/>
  <c r="Q10205" i="58"/>
  <c r="R11404" i="58"/>
  <c r="Q11403" i="58"/>
  <c r="R7112" i="58"/>
  <c r="Q7111" i="58"/>
  <c r="R10835" i="58"/>
  <c r="Q10834" i="58"/>
  <c r="R2447" i="58"/>
  <c r="R2446" i="58"/>
  <c r="R11039" i="58"/>
  <c r="Q11038" i="58"/>
  <c r="R5833" i="58"/>
  <c r="Q5832" i="58"/>
  <c r="Q2859" i="58"/>
  <c r="R2860" i="58"/>
  <c r="R8210" i="58"/>
  <c r="Q8209" i="58"/>
  <c r="R11578" i="58"/>
  <c r="Q11577" i="58"/>
  <c r="R11979" i="58"/>
  <c r="R11978" i="58"/>
  <c r="R2495" i="58"/>
  <c r="R2494" i="58"/>
  <c r="R4039" i="58"/>
  <c r="Q4038" i="58"/>
  <c r="R602" i="58"/>
  <c r="Q601" i="58"/>
  <c r="R1010" i="58"/>
  <c r="Q1009" i="58"/>
  <c r="R1642" i="58"/>
  <c r="Q1641" i="58"/>
  <c r="R4219" i="58"/>
  <c r="Q4218" i="58"/>
  <c r="R5844" i="58"/>
  <c r="Q5843" i="58"/>
  <c r="R8691" i="58"/>
  <c r="Q8690" i="58"/>
  <c r="Q388" i="58"/>
  <c r="R389" i="58"/>
  <c r="R4571" i="58"/>
  <c r="Q4570" i="58"/>
  <c r="R2538" i="58"/>
  <c r="R2537" i="58"/>
  <c r="R2195" i="58"/>
  <c r="R2194" i="58"/>
  <c r="Q4158" i="58"/>
  <c r="R4159" i="58"/>
  <c r="R7901" i="58"/>
  <c r="Q7900" i="58"/>
  <c r="Q10973" i="58"/>
  <c r="R10974" i="58"/>
  <c r="R1214" i="58"/>
  <c r="R1213" i="58"/>
  <c r="Q5963" i="58"/>
  <c r="R5964" i="58"/>
  <c r="R11791" i="58"/>
  <c r="Q11790" i="58"/>
  <c r="R8607" i="58" l="1"/>
  <c r="Q8606" i="58"/>
  <c r="Q11600" i="58"/>
  <c r="R11601" i="58"/>
  <c r="R6569" i="58"/>
  <c r="Q6568" i="58"/>
  <c r="Q5668" i="58"/>
  <c r="R5669" i="58"/>
  <c r="R583" i="58"/>
  <c r="R582" i="58"/>
  <c r="R12843" i="58"/>
  <c r="R12842" i="58"/>
  <c r="Q11446" i="58"/>
  <c r="R7783" i="58"/>
  <c r="Q7782" i="58"/>
  <c r="Q4286" i="58"/>
  <c r="R4287" i="58"/>
  <c r="R4349" i="58"/>
  <c r="R4348" i="58"/>
  <c r="Q6984" i="58"/>
  <c r="R6985" i="58"/>
  <c r="R2489" i="58"/>
  <c r="R2488" i="58"/>
  <c r="R1700" i="58"/>
  <c r="R1701" i="58"/>
  <c r="R11205" i="58"/>
  <c r="Q11204" i="58"/>
  <c r="Q9602" i="58"/>
  <c r="R9603" i="58"/>
  <c r="R11244" i="58"/>
  <c r="Q11243" i="58"/>
  <c r="R894" i="58"/>
  <c r="R895" i="58"/>
  <c r="R7362" i="58"/>
  <c r="Q7361" i="58"/>
  <c r="R12975" i="58"/>
  <c r="Q12974" i="58"/>
  <c r="Q12363" i="58"/>
  <c r="R12364" i="58"/>
  <c r="R11541" i="58"/>
  <c r="Q11540" i="58"/>
  <c r="R9231" i="58"/>
  <c r="Q9230" i="58"/>
  <c r="Q9322" i="58"/>
  <c r="R9323" i="58"/>
  <c r="R8492" i="58"/>
  <c r="Q8491" i="58"/>
  <c r="R11235" i="58"/>
  <c r="Q11234" i="58"/>
  <c r="R6852" i="58"/>
  <c r="Q6851" i="58"/>
  <c r="R2823" i="58"/>
  <c r="R2822" i="58"/>
  <c r="R841" i="58"/>
  <c r="R840" i="58"/>
  <c r="Q8195" i="58"/>
  <c r="R8196" i="58"/>
  <c r="R7332" i="58"/>
  <c r="Q7331" i="58"/>
  <c r="R4211" i="58"/>
  <c r="R4212" i="58"/>
  <c r="R12889" i="58"/>
  <c r="R12888" i="58"/>
  <c r="R12019" i="58"/>
  <c r="Q12018" i="58"/>
  <c r="R2708" i="58"/>
  <c r="R2707" i="58"/>
  <c r="Q678" i="58"/>
  <c r="R678" i="58" s="1"/>
  <c r="R679" i="58"/>
  <c r="Q677" i="58"/>
  <c r="R9175" i="58"/>
  <c r="Q9174" i="58"/>
  <c r="R1417" i="58"/>
  <c r="R1418" i="58"/>
  <c r="R4025" i="58"/>
  <c r="R4026" i="58"/>
  <c r="R5294" i="58"/>
  <c r="Q5293" i="58"/>
  <c r="R2550" i="58"/>
  <c r="R2549" i="58"/>
  <c r="R2477" i="58"/>
  <c r="R2476" i="58"/>
  <c r="R9847" i="58"/>
  <c r="Q9846" i="58"/>
  <c r="R12224" i="58"/>
  <c r="Q12223" i="58"/>
  <c r="R9773" i="58"/>
  <c r="Q9772" i="58"/>
  <c r="Q5504" i="58"/>
  <c r="R5505" i="58"/>
  <c r="R9045" i="58"/>
  <c r="Q9044" i="58"/>
  <c r="R13034" i="58"/>
  <c r="R13033" i="58"/>
  <c r="R12113" i="58"/>
  <c r="R12112" i="58"/>
  <c r="R5417" i="58"/>
  <c r="Q5416" i="58"/>
  <c r="R10398" i="58"/>
  <c r="Q10397" i="58"/>
  <c r="R2670" i="58"/>
  <c r="R2671" i="58"/>
  <c r="R10825" i="58"/>
  <c r="Q10824" i="58"/>
  <c r="R8587" i="58"/>
  <c r="Q8586" i="58"/>
  <c r="R5042" i="58"/>
  <c r="Q5041" i="58"/>
  <c r="Q9939" i="58"/>
  <c r="R9940" i="58"/>
  <c r="R10137" i="58"/>
  <c r="Q10136" i="58"/>
  <c r="R2779" i="58"/>
  <c r="R2780" i="58"/>
  <c r="R5632" i="58"/>
  <c r="R5633" i="58"/>
  <c r="R11153" i="58"/>
  <c r="Q11152" i="58"/>
  <c r="Q7446" i="58"/>
  <c r="R7447" i="58"/>
  <c r="R913" i="58"/>
  <c r="R912" i="58"/>
  <c r="R8014" i="58"/>
  <c r="Q8013" i="58"/>
  <c r="R6446" i="58"/>
  <c r="Q6445" i="58"/>
  <c r="R1502" i="58"/>
  <c r="R1503" i="58"/>
  <c r="R5627" i="58"/>
  <c r="Q5626" i="58"/>
  <c r="Q5528" i="58"/>
  <c r="R5529" i="58"/>
  <c r="R2889" i="58"/>
  <c r="R2888" i="58"/>
  <c r="R1905" i="58"/>
  <c r="R1906" i="58"/>
  <c r="R2225" i="58"/>
  <c r="R2224" i="58"/>
  <c r="Q8567" i="58"/>
  <c r="R8568" i="58"/>
  <c r="R10511" i="58"/>
  <c r="Q10510" i="58"/>
  <c r="R2321" i="58"/>
  <c r="R2320" i="58"/>
  <c r="R1521" i="58"/>
  <c r="R1520" i="58"/>
  <c r="Q11254" i="58"/>
  <c r="R11255" i="58"/>
  <c r="R6383" i="58"/>
  <c r="Q6382" i="58"/>
  <c r="R2986" i="58"/>
  <c r="R2985" i="58"/>
  <c r="Q3880" i="58"/>
  <c r="R3881" i="58"/>
  <c r="Q11608" i="58"/>
  <c r="R11609" i="58"/>
  <c r="R2254" i="58"/>
  <c r="R2255" i="58"/>
  <c r="R4644" i="58"/>
  <c r="Q4643" i="58"/>
  <c r="Q355" i="58"/>
  <c r="R356" i="58"/>
  <c r="R4280" i="58"/>
  <c r="Q4279" i="58"/>
  <c r="R11006" i="58"/>
  <c r="Q11005" i="58"/>
  <c r="Q10388" i="58"/>
  <c r="R10389" i="58"/>
  <c r="Q7053" i="58"/>
  <c r="R7054" i="58"/>
  <c r="R2471" i="58"/>
  <c r="R2470" i="58"/>
  <c r="R5408" i="58"/>
  <c r="R5407" i="58"/>
  <c r="R9059" i="58"/>
  <c r="Q9058" i="58"/>
  <c r="R1466" i="58"/>
  <c r="R1465" i="58"/>
  <c r="R859" i="58"/>
  <c r="R858" i="58"/>
  <c r="Q7947" i="58"/>
  <c r="R7948" i="58"/>
  <c r="R3990" i="58"/>
  <c r="R3989" i="58"/>
  <c r="Q9697" i="58"/>
  <c r="R9698" i="58"/>
  <c r="R1280" i="58"/>
  <c r="R1279" i="58"/>
  <c r="R1226" i="58"/>
  <c r="R1225" i="58"/>
  <c r="R1995" i="58"/>
  <c r="R1996" i="58"/>
  <c r="R8755" i="58"/>
  <c r="Q8754" i="58"/>
  <c r="R7125" i="58"/>
  <c r="Q7124" i="58"/>
  <c r="R2249" i="58"/>
  <c r="R2248" i="58"/>
  <c r="R6629" i="58"/>
  <c r="Q6628" i="58"/>
  <c r="R10273" i="58"/>
  <c r="Q10272" i="58"/>
  <c r="R7858" i="58"/>
  <c r="Q7857" i="58"/>
  <c r="R5457" i="58"/>
  <c r="Q5456" i="58"/>
  <c r="R544" i="58"/>
  <c r="R543" i="58"/>
  <c r="R2846" i="58"/>
  <c r="R2847" i="58"/>
  <c r="R6472" i="58"/>
  <c r="R6473" i="58"/>
  <c r="R4921" i="58"/>
  <c r="R4920" i="58"/>
  <c r="R9812" i="58"/>
  <c r="Q9811" i="58"/>
  <c r="R11019" i="58"/>
  <c r="R11018" i="58"/>
  <c r="R12278" i="58"/>
  <c r="Q12277" i="58"/>
  <c r="Q9162" i="58"/>
  <c r="R9163" i="58"/>
  <c r="R12993" i="58"/>
  <c r="Q12992" i="58"/>
  <c r="R10779" i="58"/>
  <c r="Q10778" i="58"/>
  <c r="R7747" i="58"/>
  <c r="R7746" i="58"/>
  <c r="R286" i="58"/>
  <c r="R285" i="58"/>
  <c r="R12983" i="58"/>
  <c r="Q12982" i="58"/>
  <c r="R4836" i="58"/>
  <c r="R4837" i="58"/>
  <c r="R2664" i="58"/>
  <c r="R2665" i="58"/>
  <c r="R4670" i="58"/>
  <c r="Q4669" i="58"/>
  <c r="R4299" i="58"/>
  <c r="R4300" i="58"/>
  <c r="R2398" i="58"/>
  <c r="R2399" i="58"/>
  <c r="R9711" i="58"/>
  <c r="Q9710" i="58"/>
  <c r="R12966" i="58"/>
  <c r="Q12965" i="58"/>
  <c r="R3844" i="58"/>
  <c r="Q3843" i="58"/>
  <c r="R3015" i="58"/>
  <c r="R3016" i="58"/>
  <c r="R6047" i="58"/>
  <c r="Q6046" i="58"/>
  <c r="R4689" i="58"/>
  <c r="Q4688" i="58"/>
  <c r="R1646" i="58"/>
  <c r="R1647" i="58"/>
  <c r="R11919" i="58"/>
  <c r="R11918" i="58"/>
  <c r="R6424" i="58"/>
  <c r="R6423" i="58"/>
  <c r="R4775" i="58"/>
  <c r="Q4774" i="58"/>
  <c r="R4580" i="58"/>
  <c r="Q4579" i="58"/>
  <c r="R13027" i="58"/>
  <c r="Q13026" i="58"/>
  <c r="R1876" i="58"/>
  <c r="R1875" i="58"/>
  <c r="Q5947" i="58"/>
  <c r="R5948" i="58"/>
  <c r="R5387" i="58"/>
  <c r="R5386" i="58"/>
  <c r="R1888" i="58"/>
  <c r="R1887" i="58"/>
  <c r="R10844" i="58"/>
  <c r="Q10843" i="58"/>
  <c r="Q11630" i="58"/>
  <c r="R11631" i="58"/>
  <c r="R2411" i="58"/>
  <c r="R2410" i="58"/>
  <c r="R9187" i="58"/>
  <c r="Q9186" i="58"/>
  <c r="R1081" i="58"/>
  <c r="R1080" i="58"/>
  <c r="R5935" i="58"/>
  <c r="Q5934" i="58"/>
  <c r="R2273" i="58"/>
  <c r="R2272" i="58"/>
  <c r="R11666" i="58"/>
  <c r="Q11665" i="58"/>
  <c r="R7610" i="58"/>
  <c r="Q7609" i="58"/>
  <c r="Q5778" i="58"/>
  <c r="R5779" i="58"/>
  <c r="R1304" i="58"/>
  <c r="R1303" i="58"/>
  <c r="R10950" i="58"/>
  <c r="Q10949" i="58"/>
  <c r="R12054" i="58"/>
  <c r="Q12053" i="58"/>
  <c r="R767" i="58"/>
  <c r="R768" i="58"/>
  <c r="R7166" i="58"/>
  <c r="Q7165" i="58"/>
  <c r="R11475" i="58"/>
  <c r="Q11474" i="58"/>
  <c r="R13048" i="58"/>
  <c r="R13047" i="58"/>
  <c r="R4795" i="58"/>
  <c r="Q4794" i="58"/>
  <c r="R12829" i="58"/>
  <c r="Q12828" i="58"/>
  <c r="R2585" i="58"/>
  <c r="R2586" i="58"/>
  <c r="R2864" i="58"/>
  <c r="R2865" i="58"/>
  <c r="R5031" i="58"/>
  <c r="Q5030" i="58"/>
  <c r="Q12793" i="58"/>
  <c r="R12794" i="58"/>
  <c r="R7258" i="58"/>
  <c r="Q7257" i="58"/>
  <c r="R12196" i="58"/>
  <c r="Q12195" i="58"/>
  <c r="R9141" i="58"/>
  <c r="Q9140" i="58"/>
  <c r="R10018" i="58"/>
  <c r="Q10017" i="58"/>
  <c r="R2567" i="58"/>
  <c r="R2568" i="58"/>
  <c r="R10603" i="58"/>
  <c r="Q10602" i="58"/>
  <c r="R1695" i="58"/>
  <c r="R1694" i="58"/>
  <c r="R4151" i="58"/>
  <c r="R4152" i="58"/>
  <c r="R2647" i="58"/>
  <c r="R2646" i="58"/>
  <c r="R12336" i="58"/>
  <c r="Q12335" i="58"/>
  <c r="R11185" i="58"/>
  <c r="Q11184" i="58"/>
  <c r="R8254" i="58"/>
  <c r="Q8253" i="58"/>
  <c r="R8427" i="58"/>
  <c r="Q8426" i="58"/>
  <c r="R11849" i="58"/>
  <c r="Q11848" i="58"/>
  <c r="R10656" i="58"/>
  <c r="Q10655" i="58"/>
  <c r="R12937" i="58"/>
  <c r="Q12936" i="58"/>
  <c r="R2598" i="58"/>
  <c r="R2597" i="58"/>
  <c r="R7412" i="58"/>
  <c r="Q7411" i="58"/>
  <c r="R292" i="58"/>
  <c r="R291" i="58"/>
  <c r="R5603" i="58"/>
  <c r="Q5602" i="58"/>
  <c r="R388" i="58"/>
  <c r="Q387" i="58"/>
  <c r="R11288" i="58"/>
  <c r="Q11287" i="58"/>
  <c r="R805" i="58"/>
  <c r="R804" i="58"/>
  <c r="Q10833" i="58"/>
  <c r="R10834" i="58"/>
  <c r="R799" i="58"/>
  <c r="R798" i="58"/>
  <c r="R5662" i="58"/>
  <c r="Q5661" i="58"/>
  <c r="R4976" i="58"/>
  <c r="R4975" i="58"/>
  <c r="R11520" i="58"/>
  <c r="Q11519" i="58"/>
  <c r="R11356" i="58"/>
  <c r="Q11355" i="58"/>
  <c r="R2465" i="58"/>
  <c r="R2464" i="58"/>
  <c r="R12012" i="58"/>
  <c r="Q12011" i="58"/>
  <c r="R7474" i="58"/>
  <c r="R7473" i="58"/>
  <c r="R5895" i="58"/>
  <c r="Q5894" i="58"/>
  <c r="R5648" i="58"/>
  <c r="Q5647" i="58"/>
  <c r="R10678" i="58"/>
  <c r="Q10677" i="58"/>
  <c r="R4134" i="58"/>
  <c r="R4133" i="58"/>
  <c r="R12327" i="58"/>
  <c r="Q12326" i="58"/>
  <c r="Q5842" i="58"/>
  <c r="R5843" i="58"/>
  <c r="R7842" i="58"/>
  <c r="Q7841" i="58"/>
  <c r="R4170" i="58"/>
  <c r="R4169" i="58"/>
  <c r="R10314" i="58"/>
  <c r="Q10313" i="58"/>
  <c r="R5121" i="58"/>
  <c r="Q5120" i="58"/>
  <c r="R11656" i="58"/>
  <c r="Q11655" i="58"/>
  <c r="R10147" i="58"/>
  <c r="Q10146" i="58"/>
  <c r="R1743" i="58"/>
  <c r="R1742" i="58"/>
  <c r="R8930" i="58"/>
  <c r="Q8929" i="58"/>
  <c r="R1352" i="58"/>
  <c r="R1351" i="58"/>
  <c r="Q4468" i="58"/>
  <c r="R4469" i="58"/>
  <c r="R6019" i="58"/>
  <c r="Q6018" i="58"/>
  <c r="Q3968" i="58"/>
  <c r="R3969" i="58"/>
  <c r="R6291" i="58"/>
  <c r="Q6290" i="58"/>
  <c r="R4218" i="58"/>
  <c r="R4217" i="58"/>
  <c r="R9900" i="58"/>
  <c r="Q9899" i="58"/>
  <c r="R1942" i="58"/>
  <c r="R1941" i="58"/>
  <c r="R3933" i="58"/>
  <c r="Q3932" i="58"/>
  <c r="Q5085" i="58"/>
  <c r="R5086" i="58"/>
  <c r="R11864" i="58"/>
  <c r="Q11863" i="58"/>
  <c r="R9572" i="58"/>
  <c r="Q9571" i="58"/>
  <c r="R11754" i="58"/>
  <c r="Q11753" i="58"/>
  <c r="R6307" i="58"/>
  <c r="Q6306" i="58"/>
  <c r="R5268" i="58"/>
  <c r="Q5267" i="58"/>
  <c r="R2405" i="58"/>
  <c r="R2404" i="58"/>
  <c r="R1990" i="58"/>
  <c r="R1989" i="58"/>
  <c r="R12713" i="58"/>
  <c r="Q12712" i="58"/>
  <c r="R4998" i="58"/>
  <c r="Q4997" i="58"/>
  <c r="R9022" i="58"/>
  <c r="Q9021" i="58"/>
  <c r="R1208" i="58"/>
  <c r="R1207" i="58"/>
  <c r="R12582" i="58"/>
  <c r="Q12581" i="58"/>
  <c r="R6460" i="58"/>
  <c r="Q6459" i="58"/>
  <c r="R324" i="58"/>
  <c r="Q323" i="58"/>
  <c r="R10167" i="58"/>
  <c r="Q10166" i="58"/>
  <c r="R12086" i="58"/>
  <c r="Q12085" i="58"/>
  <c r="R4314" i="58"/>
  <c r="R4313" i="58"/>
  <c r="R11063" i="58"/>
  <c r="Q11062" i="58"/>
  <c r="R9034" i="58"/>
  <c r="Q9033" i="58"/>
  <c r="R10784" i="58"/>
  <c r="R10785" i="58"/>
  <c r="R12026" i="58"/>
  <c r="Q12025" i="58"/>
  <c r="R7533" i="58"/>
  <c r="Q7532" i="58"/>
  <c r="R6005" i="58"/>
  <c r="Q6004" i="58"/>
  <c r="R11808" i="58"/>
  <c r="Q11807" i="58"/>
  <c r="R11053" i="58"/>
  <c r="Q11052" i="58"/>
  <c r="R8453" i="58"/>
  <c r="Q8452" i="58"/>
  <c r="R1641" i="58"/>
  <c r="R1640" i="58"/>
  <c r="R8209" i="58"/>
  <c r="Q8208" i="58"/>
  <c r="R10205" i="58"/>
  <c r="Q10204" i="58"/>
  <c r="R12307" i="58"/>
  <c r="Q12306" i="58"/>
  <c r="R9442" i="58"/>
  <c r="Q9441" i="58"/>
  <c r="R2309" i="58"/>
  <c r="R2308" i="58"/>
  <c r="R419" i="58"/>
  <c r="Q418" i="58"/>
  <c r="R11801" i="58"/>
  <c r="Q11800" i="58"/>
  <c r="R5855" i="58"/>
  <c r="Q5854" i="58"/>
  <c r="R11693" i="58"/>
  <c r="Q11692" i="58"/>
  <c r="R6124" i="58"/>
  <c r="Q6123" i="58"/>
  <c r="R10766" i="58"/>
  <c r="Q10765" i="58"/>
  <c r="R1623" i="58"/>
  <c r="R1622" i="58"/>
  <c r="R12820" i="58"/>
  <c r="Q12819" i="58"/>
  <c r="R5465" i="58"/>
  <c r="Q5464" i="58"/>
  <c r="R13063" i="58"/>
  <c r="Q13062" i="58"/>
  <c r="R12685" i="58"/>
  <c r="Q12684" i="58"/>
  <c r="R9334" i="58"/>
  <c r="Q9333" i="58"/>
  <c r="R12005" i="58"/>
  <c r="Q12004" i="58"/>
  <c r="R6358" i="58"/>
  <c r="Q6357" i="58"/>
  <c r="Q11385" i="58"/>
  <c r="R11386" i="58"/>
  <c r="R11224" i="58"/>
  <c r="Q11223" i="58"/>
  <c r="R13020" i="58"/>
  <c r="Q13019" i="58"/>
  <c r="Q9100" i="58"/>
  <c r="R9101" i="58"/>
  <c r="R8041" i="58"/>
  <c r="R8040" i="58"/>
  <c r="R8286" i="58"/>
  <c r="Q8285" i="58"/>
  <c r="R10412" i="58"/>
  <c r="Q10411" i="58"/>
  <c r="R9280" i="58"/>
  <c r="Q9279" i="58"/>
  <c r="R11116" i="58"/>
  <c r="Q11115" i="58"/>
  <c r="R2810" i="58"/>
  <c r="R2809" i="58"/>
  <c r="R269" i="58"/>
  <c r="Q268" i="58"/>
  <c r="R7467" i="58"/>
  <c r="R7466" i="58"/>
  <c r="R3046" i="58"/>
  <c r="R3045" i="58"/>
  <c r="R12749" i="58"/>
  <c r="Q12748" i="58"/>
  <c r="R3138" i="58"/>
  <c r="Q3137" i="58"/>
  <c r="R6452" i="58"/>
  <c r="R6451" i="58"/>
  <c r="R569" i="58"/>
  <c r="Q568" i="58"/>
  <c r="Q11549" i="58"/>
  <c r="R11550" i="58"/>
  <c r="R7082" i="58"/>
  <c r="Q7081" i="58"/>
  <c r="R11913" i="58"/>
  <c r="R11912" i="58"/>
  <c r="R12623" i="58"/>
  <c r="Q12622" i="58"/>
  <c r="R2134" i="58"/>
  <c r="R2133" i="58"/>
  <c r="R7302" i="58"/>
  <c r="Q7301" i="58"/>
  <c r="R10525" i="58"/>
  <c r="Q10524" i="58"/>
  <c r="Q11530" i="58"/>
  <c r="R11531" i="58"/>
  <c r="R11510" i="58"/>
  <c r="Q11509" i="58"/>
  <c r="R588" i="58"/>
  <c r="R589" i="58"/>
  <c r="R6040" i="58"/>
  <c r="Q6039" i="58"/>
  <c r="R7916" i="58"/>
  <c r="Q7915" i="58"/>
  <c r="R925" i="58"/>
  <c r="R924" i="58"/>
  <c r="R2122" i="58"/>
  <c r="R2121" i="58"/>
  <c r="R12467" i="58"/>
  <c r="Q12466" i="58"/>
  <c r="R3984" i="58"/>
  <c r="R3983" i="58"/>
  <c r="R2592" i="58"/>
  <c r="R2591" i="58"/>
  <c r="R625" i="58"/>
  <c r="R624" i="58"/>
  <c r="R5908" i="58"/>
  <c r="Q5907" i="58"/>
  <c r="R12539" i="58"/>
  <c r="Q12538" i="58"/>
  <c r="R8135" i="58"/>
  <c r="Q8134" i="58"/>
  <c r="R11073" i="58"/>
  <c r="Q11072" i="58"/>
  <c r="R1864" i="58"/>
  <c r="R1863" i="58"/>
  <c r="R11348" i="58"/>
  <c r="Q11347" i="58"/>
  <c r="R11766" i="58"/>
  <c r="Q11765" i="58"/>
  <c r="R4933" i="58"/>
  <c r="R4932" i="58"/>
  <c r="R5303" i="58"/>
  <c r="Q5302" i="58"/>
  <c r="R6673" i="58"/>
  <c r="Q6672" i="58"/>
  <c r="R12351" i="58"/>
  <c r="Q12350" i="58"/>
  <c r="R5250" i="58"/>
  <c r="Q5249" i="58"/>
  <c r="R10252" i="58"/>
  <c r="Q10251" i="58"/>
  <c r="R1460" i="58"/>
  <c r="R1459" i="58"/>
  <c r="R6332" i="58"/>
  <c r="Q6331" i="58"/>
  <c r="R11590" i="58"/>
  <c r="Q11589" i="58"/>
  <c r="R6487" i="58"/>
  <c r="R6486" i="58"/>
  <c r="R7286" i="58"/>
  <c r="Q7285" i="58"/>
  <c r="R8799" i="58"/>
  <c r="Q8798" i="58"/>
  <c r="R8056" i="58"/>
  <c r="Q8055" i="58"/>
  <c r="R12401" i="58"/>
  <c r="Q12400" i="58"/>
  <c r="R4258" i="58"/>
  <c r="R4257" i="58"/>
  <c r="R991" i="58"/>
  <c r="R990" i="58"/>
  <c r="R6254" i="58"/>
  <c r="Q6253" i="58"/>
  <c r="Q9561" i="58"/>
  <c r="R9562" i="58"/>
  <c r="R1611" i="58"/>
  <c r="R1610" i="58"/>
  <c r="R12956" i="58"/>
  <c r="Q12955" i="58"/>
  <c r="R11307" i="58"/>
  <c r="Q11306" i="58"/>
  <c r="R7004" i="58"/>
  <c r="R7005" i="58"/>
  <c r="R12414" i="58"/>
  <c r="Q12413" i="58"/>
  <c r="R9211" i="58"/>
  <c r="Q9210" i="58"/>
  <c r="R562" i="58"/>
  <c r="Q561" i="58"/>
  <c r="R11949" i="58"/>
  <c r="R11948" i="58"/>
  <c r="R1159" i="58"/>
  <c r="R1158" i="58"/>
  <c r="R4532" i="58"/>
  <c r="Q4531" i="58"/>
  <c r="R7886" i="58"/>
  <c r="Q7885" i="58"/>
  <c r="R2104" i="58"/>
  <c r="R2103" i="58"/>
  <c r="R7111" i="58"/>
  <c r="Q7110" i="58"/>
  <c r="R7594" i="58"/>
  <c r="Q7593" i="58"/>
  <c r="R9652" i="58"/>
  <c r="Q9651" i="58"/>
  <c r="R979" i="58"/>
  <c r="R978" i="58"/>
  <c r="R6466" i="58"/>
  <c r="R6465" i="58"/>
  <c r="R12316" i="58"/>
  <c r="Q12315" i="58"/>
  <c r="R6839" i="58"/>
  <c r="Q6838" i="58"/>
  <c r="R10326" i="58"/>
  <c r="Q10325" i="58"/>
  <c r="R8166" i="58"/>
  <c r="Q8165" i="58"/>
  <c r="R1135" i="58"/>
  <c r="R1134" i="58"/>
  <c r="R1436" i="58"/>
  <c r="R1435" i="58"/>
  <c r="R9672" i="58"/>
  <c r="Q9671" i="58"/>
  <c r="R7377" i="58"/>
  <c r="Q7376" i="58"/>
  <c r="R2925" i="58"/>
  <c r="R2924" i="58"/>
  <c r="R6734" i="58"/>
  <c r="Q6733" i="58"/>
  <c r="R370" i="58"/>
  <c r="R369" i="58"/>
  <c r="R12132" i="58"/>
  <c r="R12131" i="58"/>
  <c r="R9271" i="58"/>
  <c r="Q9270" i="58"/>
  <c r="R8070" i="58"/>
  <c r="Q8069" i="58"/>
  <c r="R12561" i="58"/>
  <c r="R12560" i="58"/>
  <c r="R12739" i="58"/>
  <c r="Q12738" i="58"/>
  <c r="R973" i="58"/>
  <c r="R972" i="58"/>
  <c r="R5439" i="58"/>
  <c r="R5438" i="58"/>
  <c r="R2008" i="58"/>
  <c r="R2007" i="58"/>
  <c r="R1828" i="58"/>
  <c r="R1827" i="58"/>
  <c r="R595" i="58"/>
  <c r="R594" i="58"/>
  <c r="R9452" i="58"/>
  <c r="Q9451" i="58"/>
  <c r="R9661" i="58"/>
  <c r="Q9660" i="58"/>
  <c r="R10735" i="58"/>
  <c r="Q10734" i="58"/>
  <c r="R10230" i="58"/>
  <c r="Q10229" i="58"/>
  <c r="R10078" i="58"/>
  <c r="Q10077" i="58"/>
  <c r="R9301" i="58"/>
  <c r="Q9300" i="58"/>
  <c r="R5513" i="58"/>
  <c r="Q5512" i="58"/>
  <c r="R4448" i="58"/>
  <c r="Q4447" i="58"/>
  <c r="R310" i="58"/>
  <c r="R309" i="58"/>
  <c r="Q10701" i="58"/>
  <c r="R10702" i="58"/>
  <c r="R2062" i="58"/>
  <c r="R2061" i="58"/>
  <c r="R7639" i="58"/>
  <c r="Q7638" i="58"/>
  <c r="R5884" i="58"/>
  <c r="Q5883" i="58"/>
  <c r="R12545" i="58"/>
  <c r="R12544" i="58"/>
  <c r="R11560" i="58"/>
  <c r="Q11559" i="58"/>
  <c r="R685" i="58"/>
  <c r="R684" i="58"/>
  <c r="R5204" i="58"/>
  <c r="Q5203" i="58"/>
  <c r="R8728" i="58"/>
  <c r="Q8727" i="58"/>
  <c r="R10647" i="58"/>
  <c r="Q10646" i="58"/>
  <c r="R12202" i="58"/>
  <c r="R12201" i="58"/>
  <c r="R792" i="58"/>
  <c r="R791" i="58"/>
  <c r="R2853" i="58"/>
  <c r="R2852" i="58"/>
  <c r="R10474" i="58"/>
  <c r="Q10473" i="58"/>
  <c r="R12947" i="58"/>
  <c r="Q12946" i="58"/>
  <c r="R2895" i="58"/>
  <c r="R2894" i="58"/>
  <c r="R2315" i="58"/>
  <c r="R2314" i="58"/>
  <c r="R8690" i="58"/>
  <c r="Q8689" i="58"/>
  <c r="R4307" i="58"/>
  <c r="R4306" i="58"/>
  <c r="R7653" i="58"/>
  <c r="Q7652" i="58"/>
  <c r="R12389" i="58"/>
  <c r="Q12388" i="58"/>
  <c r="R10197" i="58"/>
  <c r="Q10196" i="58"/>
  <c r="R7181" i="58"/>
  <c r="Q7180" i="58"/>
  <c r="R11719" i="58"/>
  <c r="Q11718" i="58"/>
  <c r="R6111" i="58"/>
  <c r="Q6110" i="58"/>
  <c r="Q10087" i="58"/>
  <c r="R10088" i="58"/>
  <c r="R2357" i="58"/>
  <c r="R2356" i="58"/>
  <c r="R5997" i="58"/>
  <c r="R5996" i="58"/>
  <c r="R8062" i="58"/>
  <c r="R8061" i="58"/>
  <c r="R10745" i="58"/>
  <c r="Q10744" i="58"/>
  <c r="R10338" i="58"/>
  <c r="Q10337" i="58"/>
  <c r="R10449" i="58"/>
  <c r="Q10448" i="58"/>
  <c r="R10691" i="58"/>
  <c r="Q10690" i="58"/>
  <c r="R6086" i="58"/>
  <c r="Q6085" i="58"/>
  <c r="R12895" i="58"/>
  <c r="R12896" i="58"/>
  <c r="R6318" i="58"/>
  <c r="Q6317" i="58"/>
  <c r="R12427" i="58"/>
  <c r="Q12426" i="58"/>
  <c r="R12571" i="58"/>
  <c r="Q12570" i="58"/>
  <c r="R1804" i="58"/>
  <c r="R1803" i="58"/>
  <c r="R4751" i="58"/>
  <c r="Q4750" i="58"/>
  <c r="R10562" i="58"/>
  <c r="Q10561" i="58"/>
  <c r="R10879" i="58"/>
  <c r="Q10878" i="58"/>
  <c r="R11213" i="58"/>
  <c r="Q11212" i="58"/>
  <c r="R3926" i="58"/>
  <c r="Q3925" i="58"/>
  <c r="R11491" i="58"/>
  <c r="Q11490" i="58"/>
  <c r="R5711" i="58"/>
  <c r="Q5710" i="58"/>
  <c r="R9110" i="58"/>
  <c r="Q9109" i="58"/>
  <c r="R8983" i="58"/>
  <c r="Q8982" i="58"/>
  <c r="R11577" i="58"/>
  <c r="R11576" i="58"/>
  <c r="R6963" i="58"/>
  <c r="R6962" i="58"/>
  <c r="R10424" i="58"/>
  <c r="Q10423" i="58"/>
  <c r="R9359" i="58"/>
  <c r="Q9358" i="58"/>
  <c r="R3960" i="58"/>
  <c r="Q3959" i="58"/>
  <c r="R12267" i="58"/>
  <c r="Q12266" i="58"/>
  <c r="R12436" i="58"/>
  <c r="Q12435" i="58"/>
  <c r="R2683" i="58"/>
  <c r="R2684" i="58"/>
  <c r="R10755" i="58"/>
  <c r="Q10754" i="58"/>
  <c r="R6538" i="58"/>
  <c r="Q6537" i="58"/>
  <c r="Q7931" i="58"/>
  <c r="R7932" i="58"/>
  <c r="R6584" i="58"/>
  <c r="Q6583" i="58"/>
  <c r="R4266" i="58"/>
  <c r="Q4265" i="58"/>
  <c r="R10187" i="58"/>
  <c r="Q10186" i="58"/>
  <c r="R1117" i="58"/>
  <c r="R1116" i="58"/>
  <c r="R2219" i="58"/>
  <c r="R2218" i="58"/>
  <c r="R9733" i="58"/>
  <c r="Q9732" i="58"/>
  <c r="R5433" i="58"/>
  <c r="Q5432" i="58"/>
  <c r="R8958" i="58"/>
  <c r="Q8957" i="58"/>
  <c r="R8741" i="58"/>
  <c r="Q8740" i="58"/>
  <c r="R10126" i="58"/>
  <c r="Q10125" i="58"/>
  <c r="R5521" i="58"/>
  <c r="Q5520" i="58"/>
  <c r="R4784" i="58"/>
  <c r="Q4783" i="58"/>
  <c r="R12067" i="58"/>
  <c r="R12066" i="58"/>
  <c r="R7432" i="58"/>
  <c r="R7431" i="58"/>
  <c r="R7019" i="58"/>
  <c r="R7018" i="58"/>
  <c r="R9009" i="58"/>
  <c r="Q9008" i="58"/>
  <c r="R11164" i="58"/>
  <c r="Q11163" i="58"/>
  <c r="R6657" i="58"/>
  <c r="Q6656" i="58"/>
  <c r="R3899" i="58"/>
  <c r="Q3898" i="58"/>
  <c r="Q4802" i="58"/>
  <c r="R4803" i="58"/>
  <c r="R6411" i="58"/>
  <c r="Q6410" i="58"/>
  <c r="R12554" i="58"/>
  <c r="R12553" i="58"/>
  <c r="R6509" i="58"/>
  <c r="Q6508" i="58"/>
  <c r="R1231" i="58"/>
  <c r="R1232" i="58"/>
  <c r="R6614" i="58"/>
  <c r="Q6613" i="58"/>
  <c r="R2792" i="58"/>
  <c r="R2791" i="58"/>
  <c r="R8625" i="58"/>
  <c r="Q8624" i="58"/>
  <c r="R4200" i="58"/>
  <c r="R4199" i="58"/>
  <c r="R8643" i="58"/>
  <c r="Q8642" i="58"/>
  <c r="R10868" i="58"/>
  <c r="Q10867" i="58"/>
  <c r="R12603" i="58"/>
  <c r="Q12602" i="58"/>
  <c r="R1768" i="58"/>
  <c r="R1767" i="58"/>
  <c r="R1810" i="58"/>
  <c r="R1809" i="58"/>
  <c r="R1870" i="58"/>
  <c r="R1869" i="58"/>
  <c r="R10633" i="58"/>
  <c r="Q10632" i="58"/>
  <c r="R5373" i="58"/>
  <c r="R5372" i="58"/>
  <c r="R5332" i="58"/>
  <c r="Q5331" i="58"/>
  <c r="R13001" i="58"/>
  <c r="Q13000" i="58"/>
  <c r="R11683" i="58"/>
  <c r="Q11682" i="58"/>
  <c r="R6749" i="58"/>
  <c r="Q6748" i="58"/>
  <c r="R4744" i="58"/>
  <c r="Q4743" i="58"/>
  <c r="Q12766" i="58"/>
  <c r="R12767" i="58"/>
  <c r="R4707" i="58"/>
  <c r="Q4706" i="58"/>
  <c r="R9998" i="58"/>
  <c r="Q9997" i="58"/>
  <c r="R5128" i="58"/>
  <c r="R5127" i="58"/>
  <c r="R7194" i="58"/>
  <c r="Q7193" i="58"/>
  <c r="Q10282" i="58"/>
  <c r="R10283" i="58"/>
  <c r="R12757" i="58"/>
  <c r="Q12756" i="58"/>
  <c r="R6201" i="58"/>
  <c r="Q6200" i="58"/>
  <c r="R5317" i="58"/>
  <c r="R5316" i="58"/>
  <c r="R10925" i="58"/>
  <c r="Q10924" i="58"/>
  <c r="R8702" i="58"/>
  <c r="Q8701" i="58"/>
  <c r="R11466" i="58"/>
  <c r="Q11465" i="58"/>
  <c r="R5446" i="58"/>
  <c r="R5447" i="58"/>
  <c r="R9514" i="58"/>
  <c r="Q9513" i="58"/>
  <c r="R11620" i="58"/>
  <c r="Q11619" i="58"/>
  <c r="R6554" i="58"/>
  <c r="Q6553" i="58"/>
  <c r="R12094" i="58"/>
  <c r="Q12093" i="58"/>
  <c r="R1798" i="58"/>
  <c r="R1797" i="58"/>
  <c r="R4855" i="58"/>
  <c r="R4854" i="58"/>
  <c r="R1575" i="58"/>
  <c r="R1574" i="58"/>
  <c r="R10103" i="58"/>
  <c r="Q10102" i="58"/>
  <c r="R11816" i="58"/>
  <c r="Q11815" i="58"/>
  <c r="R1177" i="58"/>
  <c r="R1176" i="58"/>
  <c r="R4525" i="58"/>
  <c r="Q4524" i="58"/>
  <c r="R4398" i="58"/>
  <c r="R4397" i="58"/>
  <c r="R10036" i="58"/>
  <c r="Q10035" i="58"/>
  <c r="R3118" i="58"/>
  <c r="R3117" i="58"/>
  <c r="R11437" i="58"/>
  <c r="Q11436" i="58"/>
  <c r="R2653" i="58"/>
  <c r="R2652" i="58"/>
  <c r="R4822" i="58"/>
  <c r="Q4821" i="58"/>
  <c r="R411" i="58"/>
  <c r="Q410" i="58"/>
  <c r="R6822" i="58"/>
  <c r="Q6821" i="58"/>
  <c r="R4831" i="58"/>
  <c r="Q4830" i="58"/>
  <c r="R10965" i="58"/>
  <c r="Q10964" i="58"/>
  <c r="R5690" i="58"/>
  <c r="Q5689" i="58"/>
  <c r="R12676" i="58"/>
  <c r="Q12675" i="58"/>
  <c r="R3908" i="58"/>
  <c r="Q3907" i="58"/>
  <c r="R8827" i="58"/>
  <c r="Q8826" i="58"/>
  <c r="R10241" i="58"/>
  <c r="Q10240" i="58"/>
  <c r="R8399" i="58"/>
  <c r="Q8398" i="58"/>
  <c r="R12811" i="58"/>
  <c r="Q12810" i="58"/>
  <c r="R7517" i="58"/>
  <c r="Q7516" i="58"/>
  <c r="R3860" i="58"/>
  <c r="R3859" i="58"/>
  <c r="R8547" i="58"/>
  <c r="Q8546" i="58"/>
  <c r="Q6882" i="58"/>
  <c r="R6883" i="58"/>
  <c r="R4476" i="58"/>
  <c r="Q4475" i="58"/>
  <c r="R10956" i="58"/>
  <c r="R10955" i="58"/>
  <c r="R10261" i="58"/>
  <c r="Q10260" i="58"/>
  <c r="R1430" i="58"/>
  <c r="R1429" i="58"/>
  <c r="R5495" i="58"/>
  <c r="R5494" i="58"/>
  <c r="R8969" i="58"/>
  <c r="Q8968" i="58"/>
  <c r="R6345" i="58"/>
  <c r="Q6344" i="58"/>
  <c r="R12592" i="58"/>
  <c r="Q12591" i="58"/>
  <c r="Q7222" i="58"/>
  <c r="R7223" i="58"/>
  <c r="R661" i="58"/>
  <c r="R660" i="58"/>
  <c r="R2513" i="58"/>
  <c r="R2512" i="58"/>
  <c r="R5968" i="58"/>
  <c r="R5969" i="58"/>
  <c r="R2829" i="58"/>
  <c r="R2828" i="58"/>
  <c r="R3852" i="58"/>
  <c r="Q3851" i="58"/>
  <c r="R12657" i="58"/>
  <c r="Q12656" i="58"/>
  <c r="R7503" i="58"/>
  <c r="Q7502" i="58"/>
  <c r="R9462" i="58"/>
  <c r="Q9461" i="58"/>
  <c r="R11370" i="58"/>
  <c r="R11369" i="58"/>
  <c r="R11675" i="58"/>
  <c r="Q11674" i="58"/>
  <c r="R4342" i="58"/>
  <c r="R4341" i="58"/>
  <c r="Q12728" i="58"/>
  <c r="R12729" i="58"/>
  <c r="R7069" i="58"/>
  <c r="Q7068" i="58"/>
  <c r="R10941" i="58"/>
  <c r="Q10940" i="58"/>
  <c r="R5869" i="58"/>
  <c r="Q5868" i="58"/>
  <c r="R6398" i="58"/>
  <c r="Q6397" i="58"/>
  <c r="R7826" i="58"/>
  <c r="Q7825" i="58"/>
  <c r="R5573" i="58"/>
  <c r="Q5572" i="58"/>
  <c r="R9803" i="58"/>
  <c r="Q9802" i="58"/>
  <c r="R404" i="58"/>
  <c r="Q403" i="58"/>
  <c r="R829" i="58"/>
  <c r="R828" i="58"/>
  <c r="R10048" i="58"/>
  <c r="Q10047" i="58"/>
  <c r="R11103" i="58"/>
  <c r="Q11102" i="58"/>
  <c r="R3094" i="58"/>
  <c r="R3093" i="58"/>
  <c r="R11280" i="58"/>
  <c r="Q11279" i="58"/>
  <c r="R5214" i="58"/>
  <c r="Q5213" i="58"/>
  <c r="R1755" i="58"/>
  <c r="R1754" i="58"/>
  <c r="R5238" i="58"/>
  <c r="R5237" i="58"/>
  <c r="R12474" i="58"/>
  <c r="R12473" i="58"/>
  <c r="R6597" i="58"/>
  <c r="Q6596" i="58"/>
  <c r="R6175" i="58"/>
  <c r="Q6174" i="58"/>
  <c r="Q8996" i="58"/>
  <c r="R8997" i="58"/>
  <c r="R4765" i="58"/>
  <c r="Q4764" i="58"/>
  <c r="R8880" i="58"/>
  <c r="Q8879" i="58"/>
  <c r="R6949" i="58"/>
  <c r="R6948" i="58"/>
  <c r="R5424" i="58"/>
  <c r="Q5423" i="58"/>
  <c r="R2859" i="58"/>
  <c r="R2858" i="58"/>
  <c r="R5166" i="58"/>
  <c r="Q5165" i="58"/>
  <c r="R7727" i="58"/>
  <c r="Q7726" i="58"/>
  <c r="R11175" i="58"/>
  <c r="Q11174" i="58"/>
  <c r="R5380" i="58"/>
  <c r="R5379" i="58"/>
  <c r="R8918" i="58"/>
  <c r="Q8917" i="58"/>
  <c r="R10590" i="58"/>
  <c r="Q10589" i="58"/>
  <c r="R12722" i="58"/>
  <c r="Q12721" i="58"/>
  <c r="R11088" i="58"/>
  <c r="Q11087" i="58"/>
  <c r="R5802" i="58"/>
  <c r="Q5801" i="58"/>
  <c r="R6523" i="58"/>
  <c r="Q6522" i="58"/>
  <c r="R2417" i="58"/>
  <c r="R2416" i="58"/>
  <c r="R1683" i="58"/>
  <c r="R1682" i="58"/>
  <c r="R8472" i="58"/>
  <c r="Q8471" i="58"/>
  <c r="R10858" i="58"/>
  <c r="Q10857" i="58"/>
  <c r="R702" i="58"/>
  <c r="R701" i="58"/>
  <c r="R11269" i="58"/>
  <c r="R11268" i="58"/>
  <c r="R3871" i="58"/>
  <c r="Q3870" i="58"/>
  <c r="R8945" i="58"/>
  <c r="Q8944" i="58"/>
  <c r="R2690" i="58"/>
  <c r="R2689" i="58"/>
  <c r="R12459" i="58"/>
  <c r="Q12458" i="58"/>
  <c r="R11855" i="58"/>
  <c r="R11854" i="58"/>
  <c r="R9219" i="58"/>
  <c r="Q9218" i="58"/>
  <c r="R8531" i="58"/>
  <c r="Q8530" i="58"/>
  <c r="R338" i="58"/>
  <c r="R337" i="58"/>
  <c r="R12060" i="58"/>
  <c r="R12059" i="58"/>
  <c r="R5068" i="58"/>
  <c r="Q5067" i="58"/>
  <c r="R4590" i="58"/>
  <c r="Q4589" i="58"/>
  <c r="R6480" i="58"/>
  <c r="R6479" i="58"/>
  <c r="R8768" i="58"/>
  <c r="Q8767" i="58"/>
  <c r="R3943" i="58"/>
  <c r="Q3942" i="58"/>
  <c r="R2786" i="58"/>
  <c r="R2785" i="58"/>
  <c r="R11378" i="58"/>
  <c r="Q11377" i="58"/>
  <c r="R8854" i="58"/>
  <c r="Q8853" i="58"/>
  <c r="R10367" i="58"/>
  <c r="Q10366" i="58"/>
  <c r="R8512" i="58"/>
  <c r="Q8511" i="58"/>
  <c r="R1370" i="58"/>
  <c r="R1369" i="58"/>
  <c r="R9721" i="58"/>
  <c r="Q9720" i="58"/>
  <c r="R9620" i="58"/>
  <c r="Q9619" i="58"/>
  <c r="R5696" i="58"/>
  <c r="R5695" i="58"/>
  <c r="R9401" i="58"/>
  <c r="Q9400" i="58"/>
  <c r="R10219" i="58"/>
  <c r="Q10218" i="58"/>
  <c r="R8715" i="58"/>
  <c r="Q8714" i="58"/>
  <c r="R985" i="58"/>
  <c r="R984" i="58"/>
  <c r="R6032" i="58"/>
  <c r="R6031" i="58"/>
  <c r="R6808" i="58"/>
  <c r="Q6807" i="58"/>
  <c r="R10712" i="58"/>
  <c r="Q10711" i="58"/>
  <c r="R2883" i="58"/>
  <c r="R2882" i="58"/>
  <c r="R5487" i="58"/>
  <c r="R5486" i="58"/>
  <c r="R5922" i="58"/>
  <c r="Q5921" i="58"/>
  <c r="R1412" i="58"/>
  <c r="R1411" i="58"/>
  <c r="R738" i="58"/>
  <c r="R737" i="58"/>
  <c r="R11013" i="58"/>
  <c r="Q11012" i="58"/>
  <c r="R9910" i="58"/>
  <c r="Q9909" i="58"/>
  <c r="R11871" i="58"/>
  <c r="R11870" i="58"/>
  <c r="R12852" i="58"/>
  <c r="Q12851" i="58"/>
  <c r="R11937" i="58"/>
  <c r="R11936" i="58"/>
  <c r="R11024" i="58"/>
  <c r="R11025" i="58"/>
  <c r="R4074" i="58"/>
  <c r="R4073" i="58"/>
  <c r="R4552" i="58"/>
  <c r="R4551" i="58"/>
  <c r="R7229" i="58"/>
  <c r="R7228" i="58"/>
  <c r="R7796" i="58"/>
  <c r="Q7795" i="58"/>
  <c r="R9931" i="58"/>
  <c r="Q9930" i="58"/>
  <c r="R5012" i="58"/>
  <c r="Q5011" i="58"/>
  <c r="R5149" i="58"/>
  <c r="R5148" i="58"/>
  <c r="R11031" i="58"/>
  <c r="R11030" i="58"/>
  <c r="R9121" i="58"/>
  <c r="Q9120" i="58"/>
  <c r="R4496" i="58"/>
  <c r="R4495" i="58"/>
  <c r="R2726" i="58"/>
  <c r="R2725" i="58"/>
  <c r="R10973" i="58"/>
  <c r="Q10972" i="58"/>
  <c r="R4405" i="58"/>
  <c r="R4404" i="58"/>
  <c r="R9413" i="58"/>
  <c r="Q9412" i="58"/>
  <c r="R9391" i="58"/>
  <c r="Q9390" i="58"/>
  <c r="R865" i="58"/>
  <c r="R864" i="58"/>
  <c r="R1171" i="58"/>
  <c r="R1170" i="58"/>
  <c r="R8105" i="58"/>
  <c r="Q8104" i="58"/>
  <c r="R7622" i="58"/>
  <c r="Q7621" i="58"/>
  <c r="R10794" i="58"/>
  <c r="Q10793" i="58"/>
  <c r="R10917" i="58"/>
  <c r="Q10916" i="58"/>
  <c r="R5565" i="58"/>
  <c r="Q5564" i="58"/>
  <c r="R11889" i="58"/>
  <c r="Q11888" i="58"/>
  <c r="R5472" i="58"/>
  <c r="Q5471" i="58"/>
  <c r="R5817" i="58"/>
  <c r="Q5816" i="58"/>
  <c r="R4158" i="58"/>
  <c r="R4157" i="58"/>
  <c r="R10357" i="58"/>
  <c r="Q10356" i="58"/>
  <c r="R6929" i="58"/>
  <c r="Q6928" i="58"/>
  <c r="R4651" i="58"/>
  <c r="Q4650" i="58"/>
  <c r="R7565" i="58"/>
  <c r="Q7564" i="58"/>
  <c r="R7719" i="58"/>
  <c r="R7718" i="58"/>
  <c r="R10303" i="58"/>
  <c r="Q10302" i="58"/>
  <c r="R1593" i="58"/>
  <c r="R1592" i="58"/>
  <c r="R8892" i="58"/>
  <c r="Q8891" i="58"/>
  <c r="R11704" i="58"/>
  <c r="Q11703" i="58"/>
  <c r="R9289" i="58"/>
  <c r="Q9288" i="58"/>
  <c r="R9239" i="58"/>
  <c r="Q9238" i="58"/>
  <c r="R9593" i="58"/>
  <c r="Q9592" i="58"/>
  <c r="R9823" i="58"/>
  <c r="Q9822" i="58"/>
  <c r="R7383" i="58"/>
  <c r="R7382" i="58"/>
  <c r="R5325" i="58"/>
  <c r="Q5324" i="58"/>
  <c r="R12258" i="58"/>
  <c r="Q12257" i="58"/>
  <c r="R2128" i="58"/>
  <c r="R2127" i="58"/>
  <c r="R4371" i="58"/>
  <c r="Q4370" i="58"/>
  <c r="R9782" i="58"/>
  <c r="Q9781" i="58"/>
  <c r="R9949" i="58"/>
  <c r="Q9948" i="58"/>
  <c r="R9582" i="58"/>
  <c r="Q9581" i="58"/>
  <c r="R9761" i="58"/>
  <c r="Q9760" i="58"/>
  <c r="R9068" i="58"/>
  <c r="Q9067" i="58"/>
  <c r="R6098" i="58"/>
  <c r="Q6097" i="58"/>
  <c r="R12298" i="58"/>
  <c r="Q12297" i="58"/>
  <c r="R12837" i="58"/>
  <c r="Q12836" i="58"/>
  <c r="R11833" i="58"/>
  <c r="Q11832" i="58"/>
  <c r="R6977" i="58"/>
  <c r="R6976" i="58"/>
  <c r="R396" i="58"/>
  <c r="Q395" i="58"/>
  <c r="R877" i="58"/>
  <c r="R876" i="58"/>
  <c r="R3952" i="58"/>
  <c r="Q3951" i="58"/>
  <c r="R363" i="58"/>
  <c r="Q362" i="58"/>
  <c r="R4272" i="58"/>
  <c r="R4271" i="58"/>
  <c r="R7039" i="58"/>
  <c r="Q7038" i="58"/>
  <c r="R8906" i="58"/>
  <c r="Q8905" i="58"/>
  <c r="R7425" i="58"/>
  <c r="R7424" i="58"/>
  <c r="R10724" i="58"/>
  <c r="Q10723" i="58"/>
  <c r="R9493" i="58"/>
  <c r="Q9492" i="58"/>
  <c r="R3916" i="58"/>
  <c r="Q3915" i="58"/>
  <c r="R2297" i="58"/>
  <c r="R2296" i="58"/>
  <c r="R695" i="58"/>
  <c r="Q694" i="58"/>
  <c r="R694" i="58" s="1"/>
  <c r="Q693" i="58"/>
  <c r="R8121" i="58"/>
  <c r="Q8120" i="58"/>
  <c r="R7346" i="58"/>
  <c r="Q7345" i="58"/>
  <c r="R5222" i="58"/>
  <c r="Q5221" i="58"/>
  <c r="R1388" i="58"/>
  <c r="R1387" i="58"/>
  <c r="R11649" i="58"/>
  <c r="Q11648" i="58"/>
  <c r="R6227" i="58"/>
  <c r="Q6226" i="58"/>
  <c r="R4698" i="58"/>
  <c r="Q4697" i="58"/>
  <c r="R6957" i="58"/>
  <c r="Q6956" i="58"/>
  <c r="R4561" i="58"/>
  <c r="Q4560" i="58"/>
  <c r="R6012" i="58"/>
  <c r="Q6011" i="58"/>
  <c r="R5058" i="58"/>
  <c r="Q5057" i="58"/>
  <c r="R12529" i="58"/>
  <c r="R12528" i="58"/>
  <c r="R11421" i="58"/>
  <c r="Q11420" i="58"/>
  <c r="R3827" i="58"/>
  <c r="Q3826" i="58"/>
  <c r="R613" i="58"/>
  <c r="R612" i="58"/>
  <c r="R8676" i="58"/>
  <c r="Q8675" i="58"/>
  <c r="R4545" i="58"/>
  <c r="R4544" i="58"/>
  <c r="R10348" i="58"/>
  <c r="Q10347" i="58"/>
  <c r="R12631" i="58"/>
  <c r="Q12630" i="58"/>
  <c r="R10932" i="58"/>
  <c r="R10931" i="58"/>
  <c r="R2110" i="58"/>
  <c r="R2109" i="58"/>
  <c r="R7580" i="58"/>
  <c r="Q7579" i="58"/>
  <c r="Q11262" i="58"/>
  <c r="R11263" i="58"/>
  <c r="R5703" i="58"/>
  <c r="R5702" i="58"/>
  <c r="R6417" i="58"/>
  <c r="R6416" i="58"/>
  <c r="R12641" i="58"/>
  <c r="Q12640" i="58"/>
  <c r="Q10114" i="58"/>
  <c r="R10115" i="58"/>
  <c r="R12107" i="58"/>
  <c r="R12106" i="58"/>
  <c r="R7776" i="58"/>
  <c r="Q7775" i="58"/>
  <c r="R9482" i="58"/>
  <c r="Q9481" i="58"/>
  <c r="Q5185" i="58"/>
  <c r="R5186" i="58"/>
  <c r="R12775" i="58"/>
  <c r="Q12774" i="58"/>
  <c r="R9381" i="58"/>
  <c r="Q9380" i="58"/>
  <c r="R5231" i="58"/>
  <c r="Q5230" i="58"/>
  <c r="R2291" i="58"/>
  <c r="R2290" i="58"/>
  <c r="R7691" i="58"/>
  <c r="R7690" i="58"/>
  <c r="R1780" i="58"/>
  <c r="R1779" i="58"/>
  <c r="R6935" i="58"/>
  <c r="R6934" i="58"/>
  <c r="R9742" i="58"/>
  <c r="Q9741" i="58"/>
  <c r="R11744" i="58"/>
  <c r="Q11743" i="58"/>
  <c r="R7250" i="58"/>
  <c r="R7249" i="58"/>
  <c r="R6372" i="58"/>
  <c r="Q6371" i="58"/>
  <c r="R5963" i="58"/>
  <c r="Q5962" i="58"/>
  <c r="R11319" i="58"/>
  <c r="Q11318" i="58"/>
  <c r="R5077" i="58"/>
  <c r="Q5076" i="58"/>
  <c r="R4538" i="58"/>
  <c r="R4537" i="58"/>
  <c r="R6913" i="58"/>
  <c r="Q6912" i="58"/>
  <c r="R4517" i="58"/>
  <c r="R4516" i="58"/>
  <c r="R11824" i="58"/>
  <c r="Q11823" i="58"/>
  <c r="R5536" i="58"/>
  <c r="Q5535" i="58"/>
  <c r="R7683" i="58"/>
  <c r="Q7682" i="58"/>
  <c r="R8020" i="58"/>
  <c r="R8019" i="58"/>
  <c r="R9089" i="58"/>
  <c r="Q9088" i="58"/>
  <c r="R7755" i="58"/>
  <c r="Q7754" i="58"/>
  <c r="R4678" i="58"/>
  <c r="Q4677" i="58"/>
  <c r="R4634" i="58"/>
  <c r="Q4633" i="58"/>
  <c r="R12287" i="58"/>
  <c r="Q12286" i="58"/>
  <c r="R9311" i="58"/>
  <c r="Q9310" i="58"/>
  <c r="R10176" i="58"/>
  <c r="Q10175" i="58"/>
  <c r="R9502" i="58"/>
  <c r="Q9501" i="58"/>
  <c r="R1394" i="58"/>
  <c r="R1393" i="58"/>
  <c r="R9150" i="58"/>
  <c r="Q9149" i="58"/>
  <c r="R5048" i="58"/>
  <c r="R5047" i="58"/>
  <c r="R11329" i="58"/>
  <c r="Q11328" i="58"/>
  <c r="R9891" i="58"/>
  <c r="Q9890" i="58"/>
  <c r="R4813" i="58"/>
  <c r="Q4812" i="58"/>
  <c r="R12216" i="58"/>
  <c r="R12215" i="58"/>
  <c r="Q12039" i="58"/>
  <c r="R12040" i="58"/>
  <c r="R907" i="58"/>
  <c r="R906" i="58"/>
  <c r="R9260" i="58"/>
  <c r="Q9259" i="58"/>
  <c r="R4597" i="58"/>
  <c r="Q4596" i="58"/>
  <c r="R12119" i="58"/>
  <c r="R12118" i="58"/>
  <c r="R8226" i="58"/>
  <c r="Q8225" i="58"/>
  <c r="R11778" i="58"/>
  <c r="Q11777" i="58"/>
  <c r="R8864" i="58"/>
  <c r="Q8863" i="58"/>
  <c r="R11895" i="58"/>
  <c r="R11894" i="58"/>
  <c r="R1376" i="58"/>
  <c r="R1375" i="58"/>
  <c r="R11403" i="58"/>
  <c r="Q11402" i="58"/>
  <c r="R2720" i="58"/>
  <c r="R2719" i="58"/>
  <c r="R5547" i="58"/>
  <c r="Q5546" i="58"/>
  <c r="R11129" i="58"/>
  <c r="Q11128" i="58"/>
  <c r="R5286" i="58"/>
  <c r="Q5285" i="58"/>
  <c r="R4617" i="58"/>
  <c r="Q4616" i="58"/>
  <c r="R5739" i="58"/>
  <c r="Q5738" i="58"/>
  <c r="R5345" i="58"/>
  <c r="R5344" i="58"/>
  <c r="R10498" i="58"/>
  <c r="Q10497" i="58"/>
  <c r="R2032" i="58"/>
  <c r="R2031" i="58"/>
  <c r="Q10027" i="58"/>
  <c r="R10028" i="58"/>
  <c r="R6899" i="58"/>
  <c r="Q6898" i="58"/>
  <c r="R6998" i="58"/>
  <c r="R6997" i="58"/>
  <c r="R12231" i="58"/>
  <c r="Q12230" i="58"/>
  <c r="R6164" i="58"/>
  <c r="Q6163" i="58"/>
  <c r="R1009" i="58"/>
  <c r="R1008" i="58"/>
  <c r="Q5831" i="58"/>
  <c r="R5832" i="58"/>
  <c r="R9551" i="58"/>
  <c r="Q9550" i="58"/>
  <c r="R10378" i="58"/>
  <c r="Q10377" i="58"/>
  <c r="R7419" i="58"/>
  <c r="Q7418" i="58"/>
  <c r="R10576" i="58"/>
  <c r="Q10575" i="58"/>
  <c r="R7740" i="58"/>
  <c r="R7739" i="58"/>
  <c r="R4008" i="58"/>
  <c r="R4007" i="58"/>
  <c r="R5019" i="58"/>
  <c r="Q5018" i="58"/>
  <c r="R2804" i="58"/>
  <c r="R2803" i="58"/>
  <c r="Q10459" i="58"/>
  <c r="R10460" i="58"/>
  <c r="R7977" i="58"/>
  <c r="Q7976" i="58"/>
  <c r="R9078" i="58"/>
  <c r="Q9077" i="58"/>
  <c r="R12703" i="58"/>
  <c r="Q12702" i="58"/>
  <c r="R9471" i="58"/>
  <c r="Q9470" i="58"/>
  <c r="R9537" i="58"/>
  <c r="Q9536" i="58"/>
  <c r="R2973" i="58"/>
  <c r="R2972" i="58"/>
  <c r="R12238" i="58"/>
  <c r="Q12237" i="58"/>
  <c r="R7152" i="58"/>
  <c r="Q7151" i="58"/>
  <c r="R378" i="58"/>
  <c r="R377" i="58"/>
  <c r="R11637" i="58"/>
  <c r="R11636" i="58"/>
  <c r="R9371" i="58"/>
  <c r="Q9370" i="58"/>
  <c r="Q3834" i="58"/>
  <c r="R3835" i="58"/>
  <c r="R6779" i="58"/>
  <c r="Q6778" i="58"/>
  <c r="R5732" i="58"/>
  <c r="Q5731" i="58"/>
  <c r="R10617" i="58"/>
  <c r="Q10616" i="58"/>
  <c r="R5367" i="58"/>
  <c r="Q5366" i="58"/>
  <c r="R9974" i="58"/>
  <c r="Q9973" i="58"/>
  <c r="R10814" i="58"/>
  <c r="Q10813" i="58"/>
  <c r="R5792" i="58"/>
  <c r="Q5791" i="58"/>
  <c r="R12611" i="58"/>
  <c r="Q12610" i="58"/>
  <c r="R9199" i="58"/>
  <c r="Q9198" i="58"/>
  <c r="R823" i="58"/>
  <c r="R822" i="58"/>
  <c r="R6241" i="58"/>
  <c r="Q6240" i="58"/>
  <c r="R12126" i="58"/>
  <c r="Q12125" i="58"/>
  <c r="R11339" i="58"/>
  <c r="Q11338" i="58"/>
  <c r="R12915" i="58"/>
  <c r="R12914" i="58"/>
  <c r="R10438" i="58"/>
  <c r="Q10437" i="58"/>
  <c r="R4038" i="58"/>
  <c r="R4037" i="58"/>
  <c r="R4086" i="58"/>
  <c r="R4085" i="58"/>
  <c r="R714" i="58"/>
  <c r="R713" i="58"/>
  <c r="R4104" i="58"/>
  <c r="R4103" i="58"/>
  <c r="R9685" i="58"/>
  <c r="Q9684" i="58"/>
  <c r="R708" i="58"/>
  <c r="R707" i="58"/>
  <c r="R6073" i="58"/>
  <c r="Q6072" i="58"/>
  <c r="R1358" i="58"/>
  <c r="R1357" i="58"/>
  <c r="R7761" i="58"/>
  <c r="R7760" i="58"/>
  <c r="R6718" i="58"/>
  <c r="Q6717" i="58"/>
  <c r="R12209" i="58"/>
  <c r="R12208" i="58"/>
  <c r="R5612" i="58"/>
  <c r="Q5611" i="58"/>
  <c r="R8813" i="58"/>
  <c r="Q8812" i="58"/>
  <c r="R8241" i="58"/>
  <c r="Q8240" i="58"/>
  <c r="R8420" i="58"/>
  <c r="Q8419" i="58"/>
  <c r="R7271" i="58"/>
  <c r="R7270" i="58"/>
  <c r="R5639" i="58"/>
  <c r="R5640" i="58"/>
  <c r="R11446" i="58"/>
  <c r="Q11445" i="58"/>
  <c r="R12666" i="58"/>
  <c r="Q12665" i="58"/>
  <c r="R11841" i="58"/>
  <c r="Q11840" i="58"/>
  <c r="R9130" i="58"/>
  <c r="Q9129" i="58"/>
  <c r="R7489" i="58"/>
  <c r="Q7488" i="58"/>
  <c r="R12046" i="58"/>
  <c r="R12045" i="58"/>
  <c r="R4625" i="58"/>
  <c r="Q4624" i="58"/>
  <c r="Q12694" i="58"/>
  <c r="R12695" i="58"/>
  <c r="R348" i="58"/>
  <c r="Q347" i="58"/>
  <c r="R2525" i="58"/>
  <c r="R2524" i="58"/>
  <c r="R5620" i="58"/>
  <c r="Q5619" i="58"/>
  <c r="R11455" i="58"/>
  <c r="Q11454" i="58"/>
  <c r="R10802" i="58"/>
  <c r="Q10801" i="58"/>
  <c r="R4044" i="58"/>
  <c r="R4043" i="58"/>
  <c r="R10668" i="58"/>
  <c r="Q10667" i="58"/>
  <c r="R7404" i="58"/>
  <c r="R7403" i="58"/>
  <c r="R1196" i="58"/>
  <c r="R1195" i="58"/>
  <c r="R6188" i="58"/>
  <c r="Q6187" i="58"/>
  <c r="R7900" i="58"/>
  <c r="Q7899" i="58"/>
  <c r="R13010" i="58"/>
  <c r="Q13009" i="58"/>
  <c r="R10890" i="58"/>
  <c r="Q10889" i="58"/>
  <c r="R8180" i="58"/>
  <c r="Q8179" i="58"/>
  <c r="R5582" i="58"/>
  <c r="Q5581" i="58"/>
  <c r="R4413" i="58"/>
  <c r="Q4412" i="58"/>
  <c r="R12650" i="58"/>
  <c r="Q12649" i="58"/>
  <c r="R9919" i="58"/>
  <c r="Q9918" i="58"/>
  <c r="Q9879" i="58"/>
  <c r="R9880" i="58"/>
  <c r="R553" i="58"/>
  <c r="Q552" i="58"/>
  <c r="R7670" i="58"/>
  <c r="Q7669" i="58"/>
  <c r="R4391" i="58"/>
  <c r="R4390" i="58"/>
  <c r="R2267" i="58"/>
  <c r="R2266" i="58"/>
  <c r="R6060" i="58"/>
  <c r="Q6059" i="58"/>
  <c r="R11296" i="58"/>
  <c r="Q11295" i="58"/>
  <c r="R4608" i="58"/>
  <c r="Q4607" i="58"/>
  <c r="R9987" i="58"/>
  <c r="Q9986" i="58"/>
  <c r="R11790" i="58"/>
  <c r="Q11789" i="58"/>
  <c r="R4570" i="58"/>
  <c r="Q4569" i="58"/>
  <c r="R601" i="58"/>
  <c r="R600" i="58"/>
  <c r="Q11037" i="58"/>
  <c r="R11038" i="58"/>
  <c r="R5717" i="58"/>
  <c r="R5716" i="58"/>
  <c r="R780" i="58"/>
  <c r="R779" i="58"/>
  <c r="R7095" i="58"/>
  <c r="Q7094" i="58"/>
  <c r="R4733" i="58"/>
  <c r="Q4732" i="58"/>
  <c r="R9611" i="58"/>
  <c r="Q9610" i="58"/>
  <c r="R9641" i="58"/>
  <c r="Q9640" i="58"/>
  <c r="R12903" i="58"/>
  <c r="R12902" i="58"/>
  <c r="R4511" i="58"/>
  <c r="Q4510" i="58"/>
  <c r="R1617" i="58"/>
  <c r="R1616" i="58"/>
  <c r="R3064" i="58"/>
  <c r="R3063" i="58"/>
  <c r="R6703" i="58"/>
  <c r="Q6702" i="58"/>
  <c r="R9791" i="58"/>
  <c r="Q9790" i="58"/>
  <c r="R6495" i="58"/>
  <c r="Q6494" i="58"/>
  <c r="R10292" i="58"/>
  <c r="Q10291" i="58"/>
  <c r="R9633" i="58"/>
  <c r="Q9632" i="58"/>
  <c r="R4441" i="58"/>
  <c r="Q4440" i="58"/>
  <c r="R1015" i="58"/>
  <c r="R1014" i="58"/>
  <c r="R8298" i="58"/>
  <c r="Q8297" i="58"/>
  <c r="R12784" i="58"/>
  <c r="Q12783" i="58"/>
  <c r="Q6792" i="58"/>
  <c r="R6793" i="58"/>
  <c r="R7963" i="58"/>
  <c r="Q7962" i="58"/>
  <c r="R7734" i="58"/>
  <c r="Q7733" i="58"/>
  <c r="Q9870" i="58"/>
  <c r="R9871" i="58"/>
  <c r="R255" i="58"/>
  <c r="Q254" i="58"/>
  <c r="R11194" i="58"/>
  <c r="Q11193" i="58"/>
  <c r="Q670" i="58"/>
  <c r="R670" i="58" s="1"/>
  <c r="R671" i="58"/>
  <c r="Q669" i="58"/>
  <c r="R11997" i="58"/>
  <c r="R11996" i="58"/>
  <c r="R7459" i="58"/>
  <c r="R7460" i="58"/>
  <c r="R6281" i="58"/>
  <c r="Q6280" i="58"/>
  <c r="R9835" i="58"/>
  <c r="Q9834" i="58"/>
  <c r="R11943" i="58"/>
  <c r="R11942" i="58"/>
  <c r="R2610" i="58"/>
  <c r="R2609" i="58"/>
  <c r="R9433" i="58"/>
  <c r="Q9432" i="58"/>
  <c r="R5142" i="58"/>
  <c r="R5141" i="58"/>
  <c r="R7398" i="58"/>
  <c r="Q7397" i="58"/>
  <c r="R5275" i="58"/>
  <c r="Q5274" i="58"/>
  <c r="R7453" i="58"/>
  <c r="R7452" i="58"/>
  <c r="R5004" i="58"/>
  <c r="R5003" i="58"/>
  <c r="R811" i="58"/>
  <c r="R810" i="58"/>
  <c r="R4722" i="58"/>
  <c r="R4721" i="58"/>
  <c r="R11410" i="58"/>
  <c r="Q11409" i="58"/>
  <c r="R10537" i="58"/>
  <c r="Q10536" i="58"/>
  <c r="R11363" i="58"/>
  <c r="Q11362" i="58"/>
  <c r="R5135" i="58"/>
  <c r="R5134" i="58"/>
  <c r="R6501" i="58"/>
  <c r="R6500" i="58"/>
  <c r="R4427" i="58"/>
  <c r="Q4426" i="58"/>
  <c r="R7813" i="58"/>
  <c r="Q7812" i="58"/>
  <c r="R330" i="58"/>
  <c r="R329" i="58"/>
  <c r="R8270" i="58"/>
  <c r="Q8269" i="58"/>
  <c r="R6266" i="58"/>
  <c r="Q6265" i="58"/>
  <c r="R5682" i="58"/>
  <c r="R5681" i="58"/>
  <c r="R10910" i="58"/>
  <c r="Q10909" i="58"/>
  <c r="R2702" i="58"/>
  <c r="R2701" i="58"/>
  <c r="R2026" i="58"/>
  <c r="R2025" i="58"/>
  <c r="R12859" i="58"/>
  <c r="R12858" i="58"/>
  <c r="R4969" i="58"/>
  <c r="R4968" i="58"/>
  <c r="R7548" i="58"/>
  <c r="Q7547" i="58"/>
  <c r="R10009" i="58"/>
  <c r="Q10008" i="58"/>
  <c r="R4659" i="58"/>
  <c r="R4658" i="58"/>
  <c r="R5983" i="58"/>
  <c r="R5982" i="58"/>
  <c r="R10068" i="58"/>
  <c r="Q10067" i="58"/>
  <c r="R12874" i="58"/>
  <c r="R12873" i="58"/>
  <c r="R1424" i="58"/>
  <c r="R1423" i="58"/>
  <c r="R9346" i="58"/>
  <c r="Q9345" i="58"/>
  <c r="Q11730" i="58"/>
  <c r="R11731" i="58"/>
  <c r="R5256" i="58"/>
  <c r="R5255" i="58"/>
  <c r="R6432" i="58"/>
  <c r="Q6431" i="58"/>
  <c r="R6438" i="58"/>
  <c r="R6437" i="58"/>
  <c r="R10549" i="58"/>
  <c r="Q10548" i="58"/>
  <c r="R9248" i="58"/>
  <c r="Q9247" i="58"/>
  <c r="R4990" i="58"/>
  <c r="R4989" i="58"/>
  <c r="R3889" i="58"/>
  <c r="Q3888" i="58"/>
  <c r="R2907" i="58"/>
  <c r="R2906" i="58"/>
  <c r="R9752" i="58"/>
  <c r="Q9751" i="58"/>
  <c r="R7698" i="58"/>
  <c r="R7697" i="58"/>
  <c r="R8784" i="58"/>
  <c r="Q8783" i="58"/>
  <c r="R8840" i="58"/>
  <c r="Q8839" i="58"/>
  <c r="R12448" i="58"/>
  <c r="Q12447" i="58"/>
  <c r="R744" i="58"/>
  <c r="R743" i="58"/>
  <c r="R5760" i="58"/>
  <c r="Q5759" i="58"/>
  <c r="R6643" i="58"/>
  <c r="Q6642" i="58"/>
  <c r="R4503" i="58"/>
  <c r="R4502" i="58"/>
  <c r="R4363" i="58"/>
  <c r="R4362" i="58"/>
  <c r="R5094" i="58"/>
  <c r="Q5093" i="58"/>
  <c r="R8663" i="58"/>
  <c r="Q8662" i="58"/>
  <c r="R6942" i="58"/>
  <c r="R6941" i="58"/>
  <c r="R6149" i="58"/>
  <c r="Q6148" i="58"/>
  <c r="R8007" i="58"/>
  <c r="Q8006" i="58"/>
  <c r="R11430" i="58"/>
  <c r="Q11429" i="58"/>
  <c r="R12801" i="58"/>
  <c r="Q12800" i="58"/>
  <c r="R12377" i="58"/>
  <c r="Q12376" i="58"/>
  <c r="R11484" i="58"/>
  <c r="Q11483" i="58"/>
  <c r="Q11569" i="58"/>
  <c r="R11570" i="58"/>
  <c r="R10485" i="58"/>
  <c r="Q10484" i="58"/>
  <c r="R1220" i="58"/>
  <c r="R1219" i="58"/>
  <c r="R280" i="58"/>
  <c r="R279" i="58"/>
  <c r="R9961" i="58"/>
  <c r="Q9960" i="58"/>
  <c r="R4716" i="58"/>
  <c r="Q4715" i="58"/>
  <c r="R10899" i="58"/>
  <c r="Q10898" i="58"/>
  <c r="R6688" i="58"/>
  <c r="Q6687" i="58"/>
  <c r="R2980" i="58"/>
  <c r="R2979" i="58"/>
  <c r="R8151" i="58"/>
  <c r="Q8150" i="58"/>
  <c r="R8027" i="58"/>
  <c r="R8026" i="58"/>
  <c r="R12248" i="58"/>
  <c r="Q12247" i="58"/>
  <c r="R4891" i="58"/>
  <c r="R4890" i="58"/>
  <c r="R5990" i="58"/>
  <c r="R5989" i="58"/>
  <c r="R10156" i="58"/>
  <c r="Q10155" i="58"/>
  <c r="R2635" i="58"/>
  <c r="R2634" i="58"/>
  <c r="R7236" i="58"/>
  <c r="R7235" i="58"/>
  <c r="R5338" i="58"/>
  <c r="R5337" i="58"/>
  <c r="R10059" i="58"/>
  <c r="Q10058" i="58"/>
  <c r="R12521" i="58"/>
  <c r="Q12520" i="58"/>
  <c r="R6214" i="58"/>
  <c r="Q6213" i="58"/>
  <c r="R11500" i="58"/>
  <c r="Q11499" i="58"/>
  <c r="R2339" i="58"/>
  <c r="R2338" i="58"/>
  <c r="R11144" i="58"/>
  <c r="Q11143" i="58"/>
  <c r="R4080" i="58"/>
  <c r="R4079" i="58"/>
  <c r="R1629" i="58"/>
  <c r="R1628" i="58"/>
  <c r="R11931" i="58"/>
  <c r="R11930" i="58"/>
  <c r="R6869" i="58"/>
  <c r="Q6868" i="58"/>
  <c r="R7317" i="58"/>
  <c r="Q7316" i="58"/>
  <c r="R6137" i="58"/>
  <c r="Q6136" i="58"/>
  <c r="Q5724" i="58"/>
  <c r="R5725" i="58"/>
  <c r="R7139" i="58"/>
  <c r="Q7138" i="58"/>
  <c r="R9526" i="58"/>
  <c r="Q9525" i="58"/>
  <c r="R4461" i="58"/>
  <c r="R4460" i="58"/>
  <c r="R5594" i="58"/>
  <c r="Q5593" i="58"/>
  <c r="R7243" i="58"/>
  <c r="R7242" i="58"/>
  <c r="Q7207" i="58"/>
  <c r="R7208" i="58"/>
  <c r="R9858" i="58"/>
  <c r="Q9857" i="58"/>
  <c r="R5194" i="58"/>
  <c r="Q5193" i="58"/>
  <c r="R2086" i="58"/>
  <c r="R2085" i="58"/>
  <c r="R1882" i="58"/>
  <c r="R1881" i="58"/>
  <c r="R7873" i="58"/>
  <c r="Q7872" i="58"/>
  <c r="R7712" i="58"/>
  <c r="R7711" i="58"/>
  <c r="R9420" i="58"/>
  <c r="Q9419" i="58"/>
  <c r="R4384" i="58"/>
  <c r="R4383" i="58"/>
  <c r="R4490" i="58"/>
  <c r="Q4489" i="58"/>
  <c r="R6762" i="58"/>
  <c r="Q6761" i="58"/>
  <c r="R7991" i="58"/>
  <c r="Q7990" i="58"/>
  <c r="R12076" i="58"/>
  <c r="Q12075" i="58"/>
  <c r="R8606" i="58" l="1"/>
  <c r="Q8605" i="58"/>
  <c r="R355" i="58"/>
  <c r="Q354" i="58"/>
  <c r="R4285" i="58"/>
  <c r="R4286" i="58"/>
  <c r="R8491" i="58"/>
  <c r="Q8490" i="58"/>
  <c r="R11608" i="58"/>
  <c r="Q11607" i="58"/>
  <c r="R8567" i="58"/>
  <c r="Q8566" i="58"/>
  <c r="Q7330" i="58"/>
  <c r="R7331" i="58"/>
  <c r="Q10948" i="58"/>
  <c r="R10949" i="58"/>
  <c r="Q9185" i="58"/>
  <c r="R9186" i="58"/>
  <c r="R13026" i="58"/>
  <c r="R13025" i="58"/>
  <c r="R10272" i="58"/>
  <c r="Q10271" i="58"/>
  <c r="Q8585" i="58"/>
  <c r="R8586" i="58"/>
  <c r="R11474" i="58"/>
  <c r="Q11473" i="58"/>
  <c r="R7165" i="58"/>
  <c r="Q7164" i="58"/>
  <c r="Q12991" i="58"/>
  <c r="R12992" i="58"/>
  <c r="Q10135" i="58"/>
  <c r="R10136" i="58"/>
  <c r="Q11242" i="58"/>
  <c r="R11243" i="58"/>
  <c r="Q5933" i="58"/>
  <c r="R5934" i="58"/>
  <c r="Q4687" i="58"/>
  <c r="R4688" i="58"/>
  <c r="R5456" i="58"/>
  <c r="Q5455" i="58"/>
  <c r="R10510" i="58"/>
  <c r="Q10509" i="58"/>
  <c r="R5293" i="58"/>
  <c r="Q5292" i="58"/>
  <c r="R9602" i="58"/>
  <c r="Q9601" i="58"/>
  <c r="R11204" i="58"/>
  <c r="Q11203" i="58"/>
  <c r="R9697" i="58"/>
  <c r="Q9696" i="58"/>
  <c r="Q7052" i="58"/>
  <c r="R7053" i="58"/>
  <c r="R3880" i="58"/>
  <c r="Q3879" i="58"/>
  <c r="Q5503" i="58"/>
  <c r="R5504" i="58"/>
  <c r="Q11539" i="58"/>
  <c r="R11540" i="58"/>
  <c r="R12017" i="58"/>
  <c r="R12018" i="58"/>
  <c r="R12053" i="58"/>
  <c r="R12052" i="58"/>
  <c r="Q12276" i="58"/>
  <c r="R12277" i="58"/>
  <c r="Q7856" i="58"/>
  <c r="R7857" i="58"/>
  <c r="R8013" i="58"/>
  <c r="R8012" i="58"/>
  <c r="Q9229" i="58"/>
  <c r="R9230" i="58"/>
  <c r="R10017" i="58"/>
  <c r="Q10016" i="58"/>
  <c r="R12828" i="58"/>
  <c r="Q12827" i="58"/>
  <c r="R4579" i="58"/>
  <c r="Q4578" i="58"/>
  <c r="R3843" i="58"/>
  <c r="Q3842" i="58"/>
  <c r="Q12981" i="58"/>
  <c r="R12982" i="58"/>
  <c r="R9811" i="58"/>
  <c r="Q9810" i="58"/>
  <c r="R6628" i="58"/>
  <c r="Q6627" i="58"/>
  <c r="Q10823" i="58"/>
  <c r="R10824" i="58"/>
  <c r="Q9771" i="58"/>
  <c r="R9772" i="58"/>
  <c r="R9174" i="58"/>
  <c r="Q9173" i="58"/>
  <c r="Q8194" i="58"/>
  <c r="R8195" i="58"/>
  <c r="Q11664" i="58"/>
  <c r="R11665" i="58"/>
  <c r="R9058" i="58"/>
  <c r="Q9057" i="58"/>
  <c r="R4643" i="58"/>
  <c r="Q4642" i="58"/>
  <c r="R7781" i="58"/>
  <c r="R7782" i="58"/>
  <c r="Q5029" i="58"/>
  <c r="R5030" i="58"/>
  <c r="R4669" i="58"/>
  <c r="Q4668" i="58"/>
  <c r="R6445" i="58"/>
  <c r="R6444" i="58"/>
  <c r="Q10601" i="58"/>
  <c r="R10602" i="58"/>
  <c r="R6045" i="58"/>
  <c r="R6046" i="58"/>
  <c r="Q9321" i="58"/>
  <c r="R9322" i="58"/>
  <c r="R10388" i="58"/>
  <c r="Q10387" i="58"/>
  <c r="R7445" i="58"/>
  <c r="R7446" i="58"/>
  <c r="R5667" i="58"/>
  <c r="R5668" i="58"/>
  <c r="R11234" i="58"/>
  <c r="Q11233" i="58"/>
  <c r="Q12792" i="58"/>
  <c r="R12793" i="58"/>
  <c r="Q9043" i="58"/>
  <c r="R9044" i="58"/>
  <c r="Q4793" i="58"/>
  <c r="R4794" i="58"/>
  <c r="R6382" i="58"/>
  <c r="Q6381" i="58"/>
  <c r="R12222" i="58"/>
  <c r="R12223" i="58"/>
  <c r="Q6567" i="58"/>
  <c r="R6568" i="58"/>
  <c r="R5778" i="58"/>
  <c r="Q5777" i="58"/>
  <c r="R11630" i="58"/>
  <c r="Q11629" i="58"/>
  <c r="Q7946" i="58"/>
  <c r="R7947" i="58"/>
  <c r="R12974" i="58"/>
  <c r="Q12973" i="58"/>
  <c r="R7257" i="58"/>
  <c r="R7256" i="58"/>
  <c r="R10778" i="58"/>
  <c r="Q10777" i="58"/>
  <c r="R8754" i="58"/>
  <c r="Q8753" i="58"/>
  <c r="R5625" i="58"/>
  <c r="R5626" i="58"/>
  <c r="R5416" i="58"/>
  <c r="Q5415" i="58"/>
  <c r="Q5040" i="58"/>
  <c r="R5041" i="58"/>
  <c r="Q11183" i="58"/>
  <c r="R11184" i="58"/>
  <c r="Q4773" i="58"/>
  <c r="R4774" i="58"/>
  <c r="R11005" i="58"/>
  <c r="R11004" i="58"/>
  <c r="Q11151" i="58"/>
  <c r="R11152" i="58"/>
  <c r="R676" i="58"/>
  <c r="R677" i="58"/>
  <c r="R12335" i="58"/>
  <c r="Q12334" i="58"/>
  <c r="R12195" i="58"/>
  <c r="Q12194" i="58"/>
  <c r="R7609" i="58"/>
  <c r="Q7608" i="58"/>
  <c r="Q10842" i="58"/>
  <c r="R10843" i="58"/>
  <c r="Q9709" i="58"/>
  <c r="R9710" i="58"/>
  <c r="Q7123" i="58"/>
  <c r="R7124" i="58"/>
  <c r="R4278" i="58"/>
  <c r="R4279" i="58"/>
  <c r="Q10396" i="58"/>
  <c r="R10397" i="58"/>
  <c r="R9846" i="58"/>
  <c r="Q9845" i="58"/>
  <c r="R6983" i="58"/>
  <c r="R6984" i="58"/>
  <c r="R5947" i="58"/>
  <c r="Q5946" i="58"/>
  <c r="R9162" i="58"/>
  <c r="Q9161" i="58"/>
  <c r="R9939" i="58"/>
  <c r="Q9938" i="58"/>
  <c r="R9140" i="58"/>
  <c r="Q9139" i="58"/>
  <c r="Q12964" i="58"/>
  <c r="R12965" i="58"/>
  <c r="Q12362" i="58"/>
  <c r="R12363" i="58"/>
  <c r="R11254" i="58"/>
  <c r="Q11253" i="58"/>
  <c r="Q5527" i="58"/>
  <c r="R5528" i="58"/>
  <c r="R6851" i="58"/>
  <c r="Q6850" i="58"/>
  <c r="Q7360" i="58"/>
  <c r="R7361" i="58"/>
  <c r="R11600" i="58"/>
  <c r="Q11599" i="58"/>
  <c r="R7316" i="58"/>
  <c r="Q7315" i="58"/>
  <c r="R11362" i="58"/>
  <c r="R11361" i="58"/>
  <c r="R11832" i="58"/>
  <c r="Q11831" i="58"/>
  <c r="R8165" i="58"/>
  <c r="Q8164" i="58"/>
  <c r="R7733" i="58"/>
  <c r="R7732" i="58"/>
  <c r="Q6186" i="58"/>
  <c r="R6187" i="58"/>
  <c r="R11338" i="58"/>
  <c r="Q11337" i="58"/>
  <c r="R10497" i="58"/>
  <c r="Q10496" i="58"/>
  <c r="Q11742" i="58"/>
  <c r="R11743" i="58"/>
  <c r="R693" i="58"/>
  <c r="R692" i="58"/>
  <c r="R11385" i="58"/>
  <c r="R11384" i="58"/>
  <c r="R4468" i="58"/>
  <c r="R4467" i="58"/>
  <c r="R7990" i="58"/>
  <c r="Q7989" i="58"/>
  <c r="R9345" i="58"/>
  <c r="Q9344" i="58"/>
  <c r="R9802" i="58"/>
  <c r="Q9801" i="58"/>
  <c r="R6494" i="58"/>
  <c r="R6493" i="58"/>
  <c r="R9259" i="58"/>
  <c r="Q9258" i="58"/>
  <c r="R6928" i="58"/>
  <c r="Q6927" i="58"/>
  <c r="R6522" i="58"/>
  <c r="Q6521" i="58"/>
  <c r="R12675" i="58"/>
  <c r="Q12674" i="58"/>
  <c r="R4783" i="58"/>
  <c r="Q4782" i="58"/>
  <c r="R5203" i="58"/>
  <c r="Q5202" i="58"/>
  <c r="R11765" i="58"/>
  <c r="Q11764" i="58"/>
  <c r="R10575" i="58"/>
  <c r="Q10574" i="58"/>
  <c r="R12447" i="58"/>
  <c r="Q12446" i="58"/>
  <c r="R6792" i="58"/>
  <c r="Q6791" i="58"/>
  <c r="R3915" i="58"/>
  <c r="Q3914" i="58"/>
  <c r="R9930" i="58"/>
  <c r="Q9929" i="58"/>
  <c r="R5165" i="58"/>
  <c r="Q5164" i="58"/>
  <c r="R11347" i="58"/>
  <c r="Q11346" i="58"/>
  <c r="R9899" i="58"/>
  <c r="Q9898" i="58"/>
  <c r="R5581" i="58"/>
  <c r="Q5580" i="58"/>
  <c r="R5738" i="58"/>
  <c r="R5737" i="58"/>
  <c r="R5076" i="58"/>
  <c r="Q5075" i="58"/>
  <c r="R11648" i="58"/>
  <c r="Q11647" i="58"/>
  <c r="R4489" i="58"/>
  <c r="R4488" i="58"/>
  <c r="R7138" i="58"/>
  <c r="Q7137" i="58"/>
  <c r="R10058" i="58"/>
  <c r="Q10057" i="58"/>
  <c r="R9960" i="58"/>
  <c r="Q9959" i="58"/>
  <c r="R11429" i="58"/>
  <c r="Q11428" i="58"/>
  <c r="R8839" i="58"/>
  <c r="Q8838" i="58"/>
  <c r="R10548" i="58"/>
  <c r="Q10547" i="58"/>
  <c r="R10067" i="58"/>
  <c r="Q10066" i="58"/>
  <c r="R4425" i="58"/>
  <c r="R4426" i="58"/>
  <c r="R9432" i="58"/>
  <c r="Q9431" i="58"/>
  <c r="R669" i="58"/>
  <c r="R668" i="58"/>
  <c r="R10459" i="58"/>
  <c r="Q10458" i="58"/>
  <c r="R12039" i="58"/>
  <c r="R12038" i="58"/>
  <c r="R9492" i="58"/>
  <c r="Q9491" i="58"/>
  <c r="R3951" i="58"/>
  <c r="Q3950" i="58"/>
  <c r="R9067" i="58"/>
  <c r="Q9066" i="58"/>
  <c r="R12257" i="58"/>
  <c r="Q12256" i="58"/>
  <c r="Q8890" i="58"/>
  <c r="R8891" i="58"/>
  <c r="R7621" i="58"/>
  <c r="Q7620" i="58"/>
  <c r="R7795" i="58"/>
  <c r="Q7794" i="58"/>
  <c r="R9909" i="58"/>
  <c r="Q9908" i="58"/>
  <c r="R6807" i="58"/>
  <c r="Q6806" i="58"/>
  <c r="R9619" i="58"/>
  <c r="R9618" i="58"/>
  <c r="R11377" i="58"/>
  <c r="Q11376" i="58"/>
  <c r="Q11086" i="58"/>
  <c r="R11087" i="58"/>
  <c r="R6397" i="58"/>
  <c r="Q6396" i="58"/>
  <c r="Q12809" i="58"/>
  <c r="R12810" i="58"/>
  <c r="R11436" i="58"/>
  <c r="R11435" i="58"/>
  <c r="R10102" i="58"/>
  <c r="Q10101" i="58"/>
  <c r="Q9512" i="58"/>
  <c r="R9513" i="58"/>
  <c r="R11682" i="58"/>
  <c r="Q11681" i="58"/>
  <c r="R6656" i="58"/>
  <c r="Q6655" i="58"/>
  <c r="R10125" i="58"/>
  <c r="Q10124" i="58"/>
  <c r="R4265" i="58"/>
  <c r="R4264" i="58"/>
  <c r="R3959" i="58"/>
  <c r="R3958" i="58"/>
  <c r="R11490" i="58"/>
  <c r="R11489" i="58"/>
  <c r="R12570" i="58"/>
  <c r="R12569" i="58"/>
  <c r="R10744" i="58"/>
  <c r="Q10743" i="58"/>
  <c r="R10196" i="58"/>
  <c r="Q10195" i="58"/>
  <c r="R10473" i="58"/>
  <c r="Q10472" i="58"/>
  <c r="R11559" i="58"/>
  <c r="Q11558" i="58"/>
  <c r="R4446" i="58"/>
  <c r="R4447" i="58"/>
  <c r="R9451" i="58"/>
  <c r="Q9450" i="58"/>
  <c r="Q12737" i="58"/>
  <c r="R12738" i="58"/>
  <c r="R7376" i="58"/>
  <c r="Q7375" i="58"/>
  <c r="R7885" i="58"/>
  <c r="Q7884" i="58"/>
  <c r="R11306" i="58"/>
  <c r="Q11305" i="58"/>
  <c r="R12400" i="58"/>
  <c r="Q12399" i="58"/>
  <c r="R10251" i="58"/>
  <c r="Q10250" i="58"/>
  <c r="R7081" i="58"/>
  <c r="Q7080" i="58"/>
  <c r="R12684" i="58"/>
  <c r="Q12683" i="58"/>
  <c r="R5854" i="58"/>
  <c r="Q5853" i="58"/>
  <c r="R8208" i="58"/>
  <c r="Q8207" i="58"/>
  <c r="Q12580" i="58"/>
  <c r="R12581" i="58"/>
  <c r="R6306" i="58"/>
  <c r="Q6305" i="58"/>
  <c r="R12326" i="58"/>
  <c r="Q12325" i="58"/>
  <c r="R11355" i="58"/>
  <c r="Q11354" i="58"/>
  <c r="R11287" i="58"/>
  <c r="R11286" i="58"/>
  <c r="R11848" i="58"/>
  <c r="Q11847" i="58"/>
  <c r="R7547" i="58"/>
  <c r="Q7546" i="58"/>
  <c r="R5831" i="58"/>
  <c r="Q5830" i="58"/>
  <c r="R5921" i="58"/>
  <c r="Q5920" i="58"/>
  <c r="R7411" i="58"/>
  <c r="R7410" i="58"/>
  <c r="R9684" i="58"/>
  <c r="Q9683" i="58"/>
  <c r="R3826" i="58"/>
  <c r="Q3825" i="58"/>
  <c r="R6882" i="58"/>
  <c r="Q6881" i="58"/>
  <c r="R9561" i="58"/>
  <c r="Q9560" i="58"/>
  <c r="R5085" i="58"/>
  <c r="Q5084" i="58"/>
  <c r="R6213" i="58"/>
  <c r="Q6212" i="58"/>
  <c r="Q6252" i="58"/>
  <c r="R6253" i="58"/>
  <c r="R9610" i="58"/>
  <c r="Q9609" i="58"/>
  <c r="R5611" i="58"/>
  <c r="Q5610" i="58"/>
  <c r="R4676" i="58"/>
  <c r="R4677" i="58"/>
  <c r="R6226" i="58"/>
  <c r="Q6225" i="58"/>
  <c r="Q6760" i="58"/>
  <c r="R6761" i="58"/>
  <c r="R9288" i="58"/>
  <c r="Q9287" i="58"/>
  <c r="R5067" i="58"/>
  <c r="Q5066" i="58"/>
  <c r="R6331" i="58"/>
  <c r="Q6330" i="58"/>
  <c r="R12665" i="58"/>
  <c r="R12664" i="58"/>
  <c r="R12230" i="58"/>
  <c r="R12229" i="58"/>
  <c r="R10793" i="58"/>
  <c r="R10792" i="58"/>
  <c r="R3870" i="58"/>
  <c r="Q3869" i="58"/>
  <c r="R6613" i="58"/>
  <c r="Q6612" i="58"/>
  <c r="R7180" i="58"/>
  <c r="Q7179" i="58"/>
  <c r="R8929" i="58"/>
  <c r="Q8928" i="58"/>
  <c r="R7669" i="58"/>
  <c r="Q7668" i="58"/>
  <c r="R6717" i="58"/>
  <c r="Q6716" i="58"/>
  <c r="R9088" i="58"/>
  <c r="Q9087" i="58"/>
  <c r="R5057" i="58"/>
  <c r="R5056" i="58"/>
  <c r="R8297" i="58"/>
  <c r="Q8296" i="58"/>
  <c r="R7094" i="58"/>
  <c r="Q7093" i="58"/>
  <c r="R552" i="58"/>
  <c r="R551" i="58"/>
  <c r="R8179" i="58"/>
  <c r="Q8178" i="58"/>
  <c r="Q9197" i="58"/>
  <c r="R9198" i="58"/>
  <c r="R6778" i="58"/>
  <c r="Q6777" i="58"/>
  <c r="R7418" i="58"/>
  <c r="R7417" i="58"/>
  <c r="R6898" i="58"/>
  <c r="Q6897" i="58"/>
  <c r="R4616" i="58"/>
  <c r="Q4615" i="58"/>
  <c r="Q8862" i="58"/>
  <c r="R8863" i="58"/>
  <c r="R9501" i="58"/>
  <c r="Q9500" i="58"/>
  <c r="R11318" i="58"/>
  <c r="Q11317" i="58"/>
  <c r="R7775" i="58"/>
  <c r="R7774" i="58"/>
  <c r="R10347" i="58"/>
  <c r="Q10346" i="58"/>
  <c r="R6010" i="58"/>
  <c r="R6011" i="58"/>
  <c r="R8996" i="58"/>
  <c r="Q8995" i="58"/>
  <c r="R10282" i="58"/>
  <c r="Q10281" i="58"/>
  <c r="R9948" i="58"/>
  <c r="Q9947" i="58"/>
  <c r="R12458" i="58"/>
  <c r="Q12457" i="58"/>
  <c r="R410" i="58"/>
  <c r="R409" i="58"/>
  <c r="R6085" i="58"/>
  <c r="Q6084" i="58"/>
  <c r="R5894" i="58"/>
  <c r="Q5893" i="58"/>
  <c r="R11569" i="58"/>
  <c r="Q11568" i="58"/>
  <c r="R10291" i="58"/>
  <c r="Q10290" i="58"/>
  <c r="R9973" i="58"/>
  <c r="Q9972" i="58"/>
  <c r="R9380" i="58"/>
  <c r="Q9379" i="58"/>
  <c r="R6868" i="58"/>
  <c r="Q6867" i="58"/>
  <c r="Q3887" i="58"/>
  <c r="R3888" i="58"/>
  <c r="R5564" i="58"/>
  <c r="Q5563" i="58"/>
  <c r="R8879" i="58"/>
  <c r="Q8878" i="58"/>
  <c r="R12093" i="58"/>
  <c r="Q12092" i="58"/>
  <c r="R12125" i="58"/>
  <c r="R12124" i="58"/>
  <c r="R6163" i="58"/>
  <c r="Q6162" i="58"/>
  <c r="R6912" i="58"/>
  <c r="Q6911" i="58"/>
  <c r="R11420" i="58"/>
  <c r="Q11419" i="58"/>
  <c r="R5011" i="58"/>
  <c r="R5010" i="58"/>
  <c r="R4764" i="58"/>
  <c r="Q4763" i="58"/>
  <c r="R6553" i="58"/>
  <c r="Q6552" i="58"/>
  <c r="R4750" i="58"/>
  <c r="R4749" i="58"/>
  <c r="R12413" i="58"/>
  <c r="Q12412" i="58"/>
  <c r="R7841" i="58"/>
  <c r="Q7840" i="58"/>
  <c r="R6240" i="58"/>
  <c r="Q6239" i="58"/>
  <c r="R9525" i="58"/>
  <c r="Q9524" i="58"/>
  <c r="R5185" i="58"/>
  <c r="Q5184" i="58"/>
  <c r="R11703" i="58"/>
  <c r="Q11702" i="58"/>
  <c r="R12756" i="58"/>
  <c r="Q12755" i="58"/>
  <c r="R8285" i="58"/>
  <c r="Q8284" i="58"/>
  <c r="Q6701" i="58"/>
  <c r="R6702" i="58"/>
  <c r="R12237" i="58"/>
  <c r="R12236" i="58"/>
  <c r="R9481" i="58"/>
  <c r="Q9480" i="58"/>
  <c r="R5193" i="58"/>
  <c r="R5192" i="58"/>
  <c r="R11143" i="58"/>
  <c r="Q11142" i="58"/>
  <c r="R12247" i="58"/>
  <c r="Q12246" i="58"/>
  <c r="R8006" i="58"/>
  <c r="R8005" i="58"/>
  <c r="Q6641" i="58"/>
  <c r="R6642" i="58"/>
  <c r="R8783" i="58"/>
  <c r="Q8782" i="58"/>
  <c r="R10909" i="58"/>
  <c r="Q10908" i="58"/>
  <c r="R12694" i="58"/>
  <c r="Q12693" i="58"/>
  <c r="R11262" i="58"/>
  <c r="Q11261" i="58"/>
  <c r="Q10722" i="58"/>
  <c r="R10723" i="58"/>
  <c r="R5324" i="58"/>
  <c r="R5323" i="58"/>
  <c r="R8104" i="58"/>
  <c r="Q8103" i="58"/>
  <c r="R11012" i="58"/>
  <c r="R11011" i="58"/>
  <c r="R9720" i="58"/>
  <c r="Q9719" i="58"/>
  <c r="R8530" i="58"/>
  <c r="Q8529" i="58"/>
  <c r="R12721" i="58"/>
  <c r="Q12720" i="58"/>
  <c r="R6174" i="58"/>
  <c r="Q6173" i="58"/>
  <c r="R11102" i="58"/>
  <c r="Q11101" i="58"/>
  <c r="R5868" i="58"/>
  <c r="Q5867" i="58"/>
  <c r="R9461" i="58"/>
  <c r="Q9460" i="58"/>
  <c r="R10260" i="58"/>
  <c r="Q10259" i="58"/>
  <c r="R8398" i="58"/>
  <c r="Q8397" i="58"/>
  <c r="R10964" i="58"/>
  <c r="R10963" i="58"/>
  <c r="R7193" i="58"/>
  <c r="Q7192" i="58"/>
  <c r="R13000" i="58"/>
  <c r="Q12999" i="58"/>
  <c r="Q12601" i="58"/>
  <c r="R12602" i="58"/>
  <c r="R6508" i="58"/>
  <c r="R6507" i="58"/>
  <c r="R11163" i="58"/>
  <c r="Q11162" i="58"/>
  <c r="R8740" i="58"/>
  <c r="Q8739" i="58"/>
  <c r="R6583" i="58"/>
  <c r="Q6582" i="58"/>
  <c r="Q9357" i="58"/>
  <c r="R9358" i="58"/>
  <c r="R3925" i="58"/>
  <c r="Q3924" i="58"/>
  <c r="R12426" i="58"/>
  <c r="Q12425" i="58"/>
  <c r="R12388" i="58"/>
  <c r="Q12387" i="58"/>
  <c r="R5512" i="58"/>
  <c r="Q5511" i="58"/>
  <c r="R9671" i="58"/>
  <c r="Q9670" i="58"/>
  <c r="R12315" i="58"/>
  <c r="Q12314" i="58"/>
  <c r="R4531" i="58"/>
  <c r="R4530" i="58"/>
  <c r="R8055" i="58"/>
  <c r="R8054" i="58"/>
  <c r="R5249" i="58"/>
  <c r="Q5248" i="58"/>
  <c r="R11072" i="58"/>
  <c r="Q11071" i="58"/>
  <c r="R12466" i="58"/>
  <c r="R12465" i="58"/>
  <c r="R11509" i="58"/>
  <c r="Q11508" i="58"/>
  <c r="R268" i="58"/>
  <c r="R267" i="58"/>
  <c r="R13062" i="58"/>
  <c r="R13061" i="58"/>
  <c r="R11800" i="58"/>
  <c r="Q11799" i="58"/>
  <c r="R9033" i="58"/>
  <c r="Q9032" i="58"/>
  <c r="Q11752" i="58"/>
  <c r="R11753" i="58"/>
  <c r="R6290" i="58"/>
  <c r="Q6289" i="58"/>
  <c r="R10146" i="58"/>
  <c r="Q10145" i="58"/>
  <c r="Q11518" i="58"/>
  <c r="R11519" i="58"/>
  <c r="R387" i="58"/>
  <c r="Q386" i="58"/>
  <c r="R7038" i="58"/>
  <c r="Q7037" i="58"/>
  <c r="R9390" i="58"/>
  <c r="Q9389" i="58"/>
  <c r="R8714" i="58"/>
  <c r="Q8713" i="58"/>
  <c r="R8968" i="58"/>
  <c r="Q8967" i="58"/>
  <c r="Q4705" i="58"/>
  <c r="R4706" i="58"/>
  <c r="R9732" i="58"/>
  <c r="Q9731" i="58"/>
  <c r="R5302" i="58"/>
  <c r="Q5301" i="58"/>
  <c r="R3137" i="58"/>
  <c r="R3136" i="58"/>
  <c r="R12085" i="58"/>
  <c r="Q12084" i="58"/>
  <c r="R10155" i="58"/>
  <c r="Q10154" i="58"/>
  <c r="R12836" i="58"/>
  <c r="Q12835" i="58"/>
  <c r="R4589" i="58"/>
  <c r="Q4588" i="58"/>
  <c r="Q8545" i="58"/>
  <c r="R8546" i="58"/>
  <c r="R10690" i="58"/>
  <c r="Q10689" i="58"/>
  <c r="R9210" i="58"/>
  <c r="Q9209" i="58"/>
  <c r="R5907" i="58"/>
  <c r="Q5906" i="58"/>
  <c r="R10765" i="58"/>
  <c r="Q10764" i="58"/>
  <c r="R6004" i="58"/>
  <c r="R6003" i="58"/>
  <c r="R10166" i="58"/>
  <c r="Q10165" i="58"/>
  <c r="R9741" i="58"/>
  <c r="Q9740" i="58"/>
  <c r="R12376" i="58"/>
  <c r="Q12375" i="58"/>
  <c r="R362" i="58"/>
  <c r="R361" i="58"/>
  <c r="R10366" i="58"/>
  <c r="Q10365" i="58"/>
  <c r="R5213" i="58"/>
  <c r="Q5212" i="58"/>
  <c r="R6200" i="58"/>
  <c r="Q6199" i="58"/>
  <c r="R10448" i="58"/>
  <c r="Q10447" i="58"/>
  <c r="R7110" i="58"/>
  <c r="Q7109" i="58"/>
  <c r="R12004" i="58"/>
  <c r="R12003" i="58"/>
  <c r="R12306" i="58"/>
  <c r="Q12305" i="58"/>
  <c r="Q11788" i="58"/>
  <c r="R11789" i="58"/>
  <c r="R12520" i="58"/>
  <c r="Q12519" i="58"/>
  <c r="R9247" i="58"/>
  <c r="R9246" i="58"/>
  <c r="R7516" i="58"/>
  <c r="Q7515" i="58"/>
  <c r="R6748" i="58"/>
  <c r="Q6747" i="58"/>
  <c r="R10186" i="58"/>
  <c r="Q10185" i="58"/>
  <c r="R12946" i="58"/>
  <c r="Q12945" i="58"/>
  <c r="R9333" i="58"/>
  <c r="Q9332" i="58"/>
  <c r="R10204" i="58"/>
  <c r="Q10203" i="58"/>
  <c r="R5267" i="58"/>
  <c r="Q5266" i="58"/>
  <c r="R347" i="58"/>
  <c r="Q346" i="58"/>
  <c r="R5724" i="58"/>
  <c r="R5723" i="58"/>
  <c r="R11193" i="58"/>
  <c r="Q11192" i="58"/>
  <c r="R4607" i="58"/>
  <c r="Q4606" i="58"/>
  <c r="R10889" i="58"/>
  <c r="Q10888" i="58"/>
  <c r="R10801" i="58"/>
  <c r="R10800" i="58"/>
  <c r="R4624" i="58"/>
  <c r="Q4623" i="58"/>
  <c r="R12610" i="58"/>
  <c r="R12609" i="58"/>
  <c r="R9536" i="58"/>
  <c r="Q9535" i="58"/>
  <c r="R5018" i="58"/>
  <c r="R5017" i="58"/>
  <c r="R10377" i="58"/>
  <c r="Q10376" i="58"/>
  <c r="R5285" i="58"/>
  <c r="Q5284" i="58"/>
  <c r="R11777" i="58"/>
  <c r="Q11776" i="58"/>
  <c r="R4812" i="58"/>
  <c r="Q4811" i="58"/>
  <c r="R10175" i="58"/>
  <c r="Q10174" i="58"/>
  <c r="R7682" i="58"/>
  <c r="Q7681" i="58"/>
  <c r="R5962" i="58"/>
  <c r="R5961" i="58"/>
  <c r="R7579" i="58"/>
  <c r="Q7578" i="58"/>
  <c r="Q4559" i="58"/>
  <c r="R4560" i="58"/>
  <c r="R5221" i="58"/>
  <c r="Q5220" i="58"/>
  <c r="R7222" i="58"/>
  <c r="Q7221" i="58"/>
  <c r="R11549" i="58"/>
  <c r="Q11548" i="58"/>
  <c r="R9100" i="58"/>
  <c r="Q9099" i="58"/>
  <c r="R8662" i="58"/>
  <c r="Q8661" i="58"/>
  <c r="R9834" i="58"/>
  <c r="Q9833" i="58"/>
  <c r="R8826" i="58"/>
  <c r="Q8825" i="58"/>
  <c r="R10754" i="58"/>
  <c r="Q10753" i="58"/>
  <c r="R9279" i="58"/>
  <c r="Q9278" i="58"/>
  <c r="R11807" i="58"/>
  <c r="R11806" i="58"/>
  <c r="R11730" i="58"/>
  <c r="Q11729" i="58"/>
  <c r="R6059" i="58"/>
  <c r="Q6058" i="58"/>
  <c r="R9077" i="58"/>
  <c r="R9076" i="58"/>
  <c r="R6687" i="58"/>
  <c r="Q6686" i="58"/>
  <c r="R10536" i="58"/>
  <c r="Q10535" i="58"/>
  <c r="R9412" i="58"/>
  <c r="Q9411" i="58"/>
  <c r="Q11173" i="58"/>
  <c r="R11174" i="58"/>
  <c r="Q4820" i="58"/>
  <c r="R4821" i="58"/>
  <c r="R8727" i="58"/>
  <c r="Q8726" i="58"/>
  <c r="R7593" i="58"/>
  <c r="Q7592" i="58"/>
  <c r="R12748" i="58"/>
  <c r="Q12747" i="58"/>
  <c r="R3932" i="58"/>
  <c r="R3931" i="58"/>
  <c r="R11840" i="58"/>
  <c r="Q11839" i="58"/>
  <c r="R11402" i="58"/>
  <c r="Q11401" i="58"/>
  <c r="R10898" i="58"/>
  <c r="Q10897" i="58"/>
  <c r="R12297" i="58"/>
  <c r="Q12296" i="58"/>
  <c r="R9400" i="58"/>
  <c r="Q9399" i="58"/>
  <c r="Q3897" i="58"/>
  <c r="R3898" i="58"/>
  <c r="Q6732" i="58"/>
  <c r="R6733" i="58"/>
  <c r="R9790" i="58"/>
  <c r="Q9789" i="58"/>
  <c r="R10616" i="58"/>
  <c r="Q10615" i="58"/>
  <c r="R11409" i="58"/>
  <c r="R11408" i="58"/>
  <c r="R6097" i="58"/>
  <c r="Q6096" i="58"/>
  <c r="R5520" i="58"/>
  <c r="Q5519" i="58"/>
  <c r="R10655" i="58"/>
  <c r="Q10654" i="58"/>
  <c r="R12783" i="58"/>
  <c r="Q12782" i="58"/>
  <c r="R10667" i="58"/>
  <c r="Q10666" i="58"/>
  <c r="R5731" i="58"/>
  <c r="R5730" i="58"/>
  <c r="R5842" i="58"/>
  <c r="Q5841" i="58"/>
  <c r="R9419" i="58"/>
  <c r="R9418" i="58"/>
  <c r="R9857" i="58"/>
  <c r="Q9856" i="58"/>
  <c r="R6148" i="58"/>
  <c r="Q6147" i="58"/>
  <c r="R5759" i="58"/>
  <c r="R5758" i="58"/>
  <c r="R6431" i="58"/>
  <c r="R6430" i="58"/>
  <c r="R9879" i="58"/>
  <c r="Q9878" i="58"/>
  <c r="R3834" i="58"/>
  <c r="Q3833" i="58"/>
  <c r="R10027" i="58"/>
  <c r="Q10026" i="58"/>
  <c r="R395" i="58"/>
  <c r="Q394" i="58"/>
  <c r="R9760" i="58"/>
  <c r="Q9759" i="58"/>
  <c r="R10302" i="58"/>
  <c r="Q10301" i="58"/>
  <c r="R5816" i="58"/>
  <c r="Q5815" i="58"/>
  <c r="R3942" i="58"/>
  <c r="Q3941" i="58"/>
  <c r="R9218" i="58"/>
  <c r="Q9217" i="58"/>
  <c r="R10857" i="58"/>
  <c r="Q10856" i="58"/>
  <c r="R10589" i="58"/>
  <c r="Q10588" i="58"/>
  <c r="R5423" i="58"/>
  <c r="R5422" i="58"/>
  <c r="R6596" i="58"/>
  <c r="Q6595" i="58"/>
  <c r="R10047" i="58"/>
  <c r="Q10046" i="58"/>
  <c r="R10940" i="58"/>
  <c r="R10939" i="58"/>
  <c r="R7502" i="58"/>
  <c r="Q7501" i="58"/>
  <c r="R12591" i="58"/>
  <c r="Q12590" i="58"/>
  <c r="R10240" i="58"/>
  <c r="Q10239" i="58"/>
  <c r="R4830" i="58"/>
  <c r="Q4829" i="58"/>
  <c r="R11465" i="58"/>
  <c r="Q11464" i="58"/>
  <c r="R5331" i="58"/>
  <c r="R5330" i="58"/>
  <c r="R10867" i="58"/>
  <c r="Q10866" i="58"/>
  <c r="R9008" i="58"/>
  <c r="Q9007" i="58"/>
  <c r="R8957" i="58"/>
  <c r="Q8956" i="58"/>
  <c r="Q10422" i="58"/>
  <c r="R10423" i="58"/>
  <c r="R11212" i="58"/>
  <c r="Q11211" i="58"/>
  <c r="Q6316" i="58"/>
  <c r="R6317" i="58"/>
  <c r="R7652" i="58"/>
  <c r="Q7651" i="58"/>
  <c r="Q5882" i="58"/>
  <c r="R5883" i="58"/>
  <c r="Q9299" i="58"/>
  <c r="R9300" i="58"/>
  <c r="R8069" i="58"/>
  <c r="R8068" i="58"/>
  <c r="R12955" i="58"/>
  <c r="Q12954" i="58"/>
  <c r="R8798" i="58"/>
  <c r="Q8797" i="58"/>
  <c r="R12350" i="58"/>
  <c r="Q12349" i="58"/>
  <c r="Q8133" i="58"/>
  <c r="R8134" i="58"/>
  <c r="R568" i="58"/>
  <c r="R567" i="58"/>
  <c r="R13019" i="58"/>
  <c r="Q13018" i="58"/>
  <c r="R5464" i="58"/>
  <c r="Q5463" i="58"/>
  <c r="R418" i="58"/>
  <c r="R417" i="58"/>
  <c r="Q8451" i="58"/>
  <c r="R8452" i="58"/>
  <c r="R11062" i="58"/>
  <c r="Q11061" i="58"/>
  <c r="Q9020" i="58"/>
  <c r="R9021" i="58"/>
  <c r="R9571" i="58"/>
  <c r="Q9570" i="58"/>
  <c r="R11655" i="58"/>
  <c r="R11654" i="58"/>
  <c r="R10677" i="58"/>
  <c r="Q10676" i="58"/>
  <c r="R5602" i="58"/>
  <c r="Q5601" i="58"/>
  <c r="R8426" i="58"/>
  <c r="R8425" i="58"/>
  <c r="R12075" i="58"/>
  <c r="Q12074" i="58"/>
  <c r="R8269" i="58"/>
  <c r="Q8268" i="58"/>
  <c r="R7564" i="58"/>
  <c r="Q7563" i="58"/>
  <c r="R403" i="58"/>
  <c r="Q402" i="58"/>
  <c r="R10632" i="58"/>
  <c r="Q10631" i="58"/>
  <c r="R10646" i="58"/>
  <c r="Q10645" i="58"/>
  <c r="R9651" i="58"/>
  <c r="Q9650" i="58"/>
  <c r="R8812" i="58"/>
  <c r="Q8811" i="58"/>
  <c r="R4596" i="58"/>
  <c r="R4595" i="58"/>
  <c r="R4697" i="58"/>
  <c r="Q4696" i="58"/>
  <c r="R11483" i="58"/>
  <c r="Q11482" i="58"/>
  <c r="R6280" i="58"/>
  <c r="Q6279" i="58"/>
  <c r="R4650" i="58"/>
  <c r="R4649" i="58"/>
  <c r="R3907" i="58"/>
  <c r="Q3906" i="58"/>
  <c r="R8624" i="58"/>
  <c r="Q8623" i="58"/>
  <c r="R6110" i="58"/>
  <c r="Q6109" i="58"/>
  <c r="R10325" i="58"/>
  <c r="Q10324" i="58"/>
  <c r="R4569" i="58"/>
  <c r="R4568" i="58"/>
  <c r="R7976" i="58"/>
  <c r="Q7975" i="58"/>
  <c r="Q12629" i="58"/>
  <c r="R12630" i="58"/>
  <c r="R5572" i="58"/>
  <c r="Q5571" i="58"/>
  <c r="R10734" i="58"/>
  <c r="Q10733" i="58"/>
  <c r="R12936" i="58"/>
  <c r="R12935" i="58"/>
  <c r="R4715" i="58"/>
  <c r="Q4714" i="58"/>
  <c r="R10972" i="58"/>
  <c r="R10971" i="58"/>
  <c r="R5801" i="58"/>
  <c r="Q5800" i="58"/>
  <c r="R11815" i="58"/>
  <c r="R11814" i="58"/>
  <c r="R10337" i="58"/>
  <c r="Q10336" i="58"/>
  <c r="R9986" i="58"/>
  <c r="Q9985" i="58"/>
  <c r="R254" i="58"/>
  <c r="R253" i="58"/>
  <c r="R4439" i="58"/>
  <c r="R4440" i="58"/>
  <c r="R4510" i="58"/>
  <c r="R4509" i="58"/>
  <c r="R11295" i="58"/>
  <c r="R11294" i="58"/>
  <c r="Q9917" i="58"/>
  <c r="R9918" i="58"/>
  <c r="R13009" i="58"/>
  <c r="Q13008" i="58"/>
  <c r="R11454" i="58"/>
  <c r="R11453" i="58"/>
  <c r="R8419" i="58"/>
  <c r="Q8418" i="58"/>
  <c r="R6072" i="58"/>
  <c r="Q6071" i="58"/>
  <c r="R10437" i="58"/>
  <c r="Q10436" i="58"/>
  <c r="R5791" i="58"/>
  <c r="Q5790" i="58"/>
  <c r="R9370" i="58"/>
  <c r="Q9369" i="58"/>
  <c r="R9470" i="58"/>
  <c r="Q9469" i="58"/>
  <c r="R9550" i="58"/>
  <c r="Q9549" i="58"/>
  <c r="R11128" i="58"/>
  <c r="Q11127" i="58"/>
  <c r="Q8224" i="58"/>
  <c r="R8225" i="58"/>
  <c r="R9890" i="58"/>
  <c r="Q9889" i="58"/>
  <c r="R9310" i="58"/>
  <c r="Q9309" i="58"/>
  <c r="R5535" i="58"/>
  <c r="R5534" i="58"/>
  <c r="Q6370" i="58"/>
  <c r="R6371" i="58"/>
  <c r="R8675" i="58"/>
  <c r="Q8674" i="58"/>
  <c r="R7345" i="58"/>
  <c r="Q7344" i="58"/>
  <c r="R7931" i="58"/>
  <c r="Q7930" i="58"/>
  <c r="R11530" i="58"/>
  <c r="Q11529" i="58"/>
  <c r="R3968" i="58"/>
  <c r="R3967" i="58"/>
  <c r="R11037" i="58"/>
  <c r="R11036" i="58"/>
  <c r="R11888" i="58"/>
  <c r="Q11887" i="58"/>
  <c r="R10924" i="58"/>
  <c r="R10923" i="58"/>
  <c r="R8689" i="58"/>
  <c r="Q8688" i="58"/>
  <c r="R12538" i="58"/>
  <c r="Q12537" i="58"/>
  <c r="R10313" i="58"/>
  <c r="Q10312" i="58"/>
  <c r="R9640" i="58"/>
  <c r="Q9639" i="58"/>
  <c r="R9129" i="58"/>
  <c r="Q9128" i="58"/>
  <c r="R4633" i="58"/>
  <c r="Q4632" i="58"/>
  <c r="R12728" i="58"/>
  <c r="R12727" i="58"/>
  <c r="R4802" i="58"/>
  <c r="Q4801" i="58"/>
  <c r="R5593" i="58"/>
  <c r="Q5592" i="58"/>
  <c r="R9781" i="58"/>
  <c r="Q9780" i="58"/>
  <c r="R10218" i="58"/>
  <c r="Q10217" i="58"/>
  <c r="R7962" i="58"/>
  <c r="Q7961" i="58"/>
  <c r="R4411" i="58"/>
  <c r="R4412" i="58"/>
  <c r="R5366" i="58"/>
  <c r="R5365" i="58"/>
  <c r="R12774" i="58"/>
  <c r="Q12773" i="58"/>
  <c r="R12766" i="58"/>
  <c r="Q12765" i="58"/>
  <c r="R7397" i="58"/>
  <c r="R7396" i="58"/>
  <c r="R10916" i="58"/>
  <c r="R10915" i="58"/>
  <c r="R7726" i="58"/>
  <c r="R7725" i="58"/>
  <c r="R12435" i="58"/>
  <c r="Q12434" i="58"/>
  <c r="R6838" i="58"/>
  <c r="Q6837" i="58"/>
  <c r="R12011" i="58"/>
  <c r="R12010" i="58"/>
  <c r="R7151" i="58"/>
  <c r="Q7150" i="58"/>
  <c r="R7753" i="58"/>
  <c r="R7754" i="58"/>
  <c r="R10711" i="58"/>
  <c r="Q10710" i="58"/>
  <c r="R7825" i="58"/>
  <c r="Q7824" i="58"/>
  <c r="R11619" i="58"/>
  <c r="Q11618" i="58"/>
  <c r="R12266" i="58"/>
  <c r="Q12265" i="58"/>
  <c r="R9660" i="58"/>
  <c r="Q9659" i="58"/>
  <c r="R4732" i="58"/>
  <c r="Q4731" i="58"/>
  <c r="R6136" i="58"/>
  <c r="Q6135" i="58"/>
  <c r="R11499" i="58"/>
  <c r="R11498" i="58"/>
  <c r="R8150" i="58"/>
  <c r="Q8149" i="58"/>
  <c r="R10484" i="58"/>
  <c r="Q10483" i="58"/>
  <c r="R9751" i="58"/>
  <c r="Q9750" i="58"/>
  <c r="R10008" i="58"/>
  <c r="Q10007" i="58"/>
  <c r="R6265" i="58"/>
  <c r="Q6264" i="58"/>
  <c r="R10114" i="58"/>
  <c r="Q10113" i="58"/>
  <c r="R8905" i="58"/>
  <c r="Q8904" i="58"/>
  <c r="R9581" i="58"/>
  <c r="Q9580" i="58"/>
  <c r="R9822" i="58"/>
  <c r="Q9821" i="58"/>
  <c r="R5471" i="58"/>
  <c r="R5470" i="58"/>
  <c r="R9120" i="58"/>
  <c r="Q9119" i="58"/>
  <c r="R8511" i="58"/>
  <c r="Q8510" i="58"/>
  <c r="R8767" i="58"/>
  <c r="Q8766" i="58"/>
  <c r="R8471" i="58"/>
  <c r="Q8470" i="58"/>
  <c r="R8917" i="58"/>
  <c r="Q8916" i="58"/>
  <c r="Q7067" i="58"/>
  <c r="R7068" i="58"/>
  <c r="R12656" i="58"/>
  <c r="R12655" i="58"/>
  <c r="R6344" i="58"/>
  <c r="Q6343" i="58"/>
  <c r="R4475" i="58"/>
  <c r="R4474" i="58"/>
  <c r="R6821" i="58"/>
  <c r="Q6820" i="58"/>
  <c r="R10035" i="58"/>
  <c r="R10034" i="58"/>
  <c r="R8701" i="58"/>
  <c r="Q8700" i="58"/>
  <c r="R9997" i="58"/>
  <c r="Q9996" i="58"/>
  <c r="R8642" i="58"/>
  <c r="Q8641" i="58"/>
  <c r="R6410" i="58"/>
  <c r="Q6409" i="58"/>
  <c r="R5432" i="58"/>
  <c r="Q5431" i="58"/>
  <c r="R6537" i="58"/>
  <c r="Q6536" i="58"/>
  <c r="R10878" i="58"/>
  <c r="Q10877" i="58"/>
  <c r="R7638" i="58"/>
  <c r="Q7637" i="58"/>
  <c r="R10077" i="58"/>
  <c r="Q10076" i="58"/>
  <c r="R9270" i="58"/>
  <c r="Q9269" i="58"/>
  <c r="R7285" i="58"/>
  <c r="Q7284" i="58"/>
  <c r="R6672" i="58"/>
  <c r="Q6671" i="58"/>
  <c r="R10524" i="58"/>
  <c r="Q10523" i="58"/>
  <c r="R11115" i="58"/>
  <c r="Q11114" i="58"/>
  <c r="R11223" i="58"/>
  <c r="Q11222" i="58"/>
  <c r="Q12818" i="58"/>
  <c r="R12819" i="58"/>
  <c r="R11052" i="58"/>
  <c r="Q11051" i="58"/>
  <c r="R4997" i="58"/>
  <c r="R4996" i="58"/>
  <c r="R11863" i="58"/>
  <c r="R11862" i="58"/>
  <c r="R6018" i="58"/>
  <c r="R6017" i="58"/>
  <c r="R5120" i="58"/>
  <c r="R5119" i="58"/>
  <c r="R5647" i="58"/>
  <c r="R5646" i="58"/>
  <c r="R5661" i="58"/>
  <c r="R5660" i="58"/>
  <c r="R8253" i="58"/>
  <c r="Q8252" i="58"/>
  <c r="R9870" i="58"/>
  <c r="Q9869" i="58"/>
  <c r="R9592" i="58"/>
  <c r="Q9591" i="58"/>
  <c r="R3851" i="58"/>
  <c r="R3850" i="58"/>
  <c r="R10561" i="58"/>
  <c r="Q10560" i="58"/>
  <c r="R561" i="58"/>
  <c r="Q560" i="58"/>
  <c r="R7301" i="58"/>
  <c r="Q7300" i="58"/>
  <c r="R12712" i="58"/>
  <c r="Q12711" i="58"/>
  <c r="R10087" i="58"/>
  <c r="Q10086" i="58"/>
  <c r="R7872" i="58"/>
  <c r="Q7871" i="58"/>
  <c r="R5093" i="58"/>
  <c r="R5092" i="58"/>
  <c r="R5274" i="58"/>
  <c r="R5273" i="58"/>
  <c r="R9238" i="58"/>
  <c r="Q9237" i="58"/>
  <c r="R4524" i="58"/>
  <c r="R4523" i="58"/>
  <c r="R8982" i="58"/>
  <c r="Q8981" i="58"/>
  <c r="R10229" i="58"/>
  <c r="Q10228" i="58"/>
  <c r="R11589" i="58"/>
  <c r="Q11588" i="58"/>
  <c r="Q7914" i="58"/>
  <c r="R7915" i="58"/>
  <c r="R6357" i="58"/>
  <c r="Q6356" i="58"/>
  <c r="R9441" i="58"/>
  <c r="Q9440" i="58"/>
  <c r="R9149" i="58"/>
  <c r="Q9148" i="58"/>
  <c r="R4370" i="58"/>
  <c r="R4369" i="58"/>
  <c r="R12851" i="58"/>
  <c r="R12850" i="58"/>
  <c r="R8944" i="58"/>
  <c r="Q8943" i="58"/>
  <c r="R11674" i="58"/>
  <c r="Q11673" i="58"/>
  <c r="Q4742" i="58"/>
  <c r="R4743" i="58"/>
  <c r="R9109" i="58"/>
  <c r="Q9108" i="58"/>
  <c r="R11718" i="58"/>
  <c r="Q11717" i="58"/>
  <c r="R6038" i="58"/>
  <c r="R6039" i="58"/>
  <c r="R12622" i="58"/>
  <c r="Q12621" i="58"/>
  <c r="R10411" i="58"/>
  <c r="Q10410" i="58"/>
  <c r="R6123" i="58"/>
  <c r="Q6122" i="58"/>
  <c r="R7532" i="58"/>
  <c r="Q7531" i="58"/>
  <c r="R323" i="58"/>
  <c r="Q322" i="58"/>
  <c r="R10701" i="58"/>
  <c r="Q10700" i="58"/>
  <c r="R10833" i="58"/>
  <c r="Q10832" i="58"/>
  <c r="R12800" i="58"/>
  <c r="R12799" i="58"/>
  <c r="R7812" i="58"/>
  <c r="Q7811" i="58"/>
  <c r="R10356" i="58"/>
  <c r="Q10355" i="58"/>
  <c r="R8853" i="58"/>
  <c r="Q8852" i="58"/>
  <c r="R11279" i="58"/>
  <c r="Q11278" i="58"/>
  <c r="R5689" i="58"/>
  <c r="R5688" i="58"/>
  <c r="R5710" i="58"/>
  <c r="R5709" i="58"/>
  <c r="R11692" i="58"/>
  <c r="Q11691" i="58"/>
  <c r="R12025" i="58"/>
  <c r="R12024" i="58"/>
  <c r="R6458" i="58"/>
  <c r="R6459" i="58"/>
  <c r="R11445" i="58"/>
  <c r="R11444" i="58"/>
  <c r="R7207" i="58"/>
  <c r="Q7206" i="58"/>
  <c r="R9632" i="58"/>
  <c r="Q9631" i="58"/>
  <c r="R12649" i="58"/>
  <c r="Q12648" i="58"/>
  <c r="Q7898" i="58"/>
  <c r="R7899" i="58"/>
  <c r="R5619" i="58"/>
  <c r="R5618" i="58"/>
  <c r="R7488" i="58"/>
  <c r="Q7487" i="58"/>
  <c r="R8240" i="58"/>
  <c r="Q8239" i="58"/>
  <c r="R10813" i="58"/>
  <c r="Q10812" i="58"/>
  <c r="R12702" i="58"/>
  <c r="Q12701" i="58"/>
  <c r="R5546" i="58"/>
  <c r="Q5545" i="58"/>
  <c r="R11328" i="58"/>
  <c r="Q11327" i="58"/>
  <c r="R12286" i="58"/>
  <c r="Q12285" i="58"/>
  <c r="R11823" i="58"/>
  <c r="R11822" i="58"/>
  <c r="R5230" i="58"/>
  <c r="Q5229" i="58"/>
  <c r="R12640" i="58"/>
  <c r="Q12639" i="58"/>
  <c r="R6956" i="58"/>
  <c r="R6955" i="58"/>
  <c r="R8120" i="58"/>
  <c r="Q8119" i="58"/>
  <c r="Q8604" i="58" l="1"/>
  <c r="R8605" i="58"/>
  <c r="R8753" i="58"/>
  <c r="Q8752" i="58"/>
  <c r="R10387" i="58"/>
  <c r="Q10386" i="58"/>
  <c r="Q9695" i="58"/>
  <c r="R9696" i="58"/>
  <c r="R10396" i="58"/>
  <c r="Q10395" i="58"/>
  <c r="R11242" i="58"/>
  <c r="Q11241" i="58"/>
  <c r="R12991" i="58"/>
  <c r="Q12990" i="58"/>
  <c r="R7164" i="58"/>
  <c r="Q7163" i="58"/>
  <c r="Q9708" i="58"/>
  <c r="R9709" i="58"/>
  <c r="Q9042" i="58"/>
  <c r="R9043" i="58"/>
  <c r="Q8193" i="58"/>
  <c r="R8194" i="58"/>
  <c r="R9161" i="58"/>
  <c r="Q9160" i="58"/>
  <c r="Q9172" i="58"/>
  <c r="R9173" i="58"/>
  <c r="R12827" i="58"/>
  <c r="R12826" i="58"/>
  <c r="R10509" i="58"/>
  <c r="Q10508" i="58"/>
  <c r="Q11472" i="58"/>
  <c r="R11473" i="58"/>
  <c r="R11607" i="58"/>
  <c r="R11606" i="58"/>
  <c r="R12362" i="58"/>
  <c r="Q12361" i="58"/>
  <c r="R9185" i="58"/>
  <c r="Q9184" i="58"/>
  <c r="R12964" i="58"/>
  <c r="Q12963" i="58"/>
  <c r="R10135" i="58"/>
  <c r="Q10134" i="58"/>
  <c r="R7123" i="58"/>
  <c r="Q7122" i="58"/>
  <c r="R4793" i="58"/>
  <c r="Q4792" i="58"/>
  <c r="R8566" i="58"/>
  <c r="Q8565" i="58"/>
  <c r="Q4772" i="58"/>
  <c r="R4773" i="58"/>
  <c r="Q10600" i="58"/>
  <c r="R10601" i="58"/>
  <c r="R7360" i="58"/>
  <c r="Q7359" i="58"/>
  <c r="R10841" i="58"/>
  <c r="R10842" i="58"/>
  <c r="R11183" i="58"/>
  <c r="Q11182" i="58"/>
  <c r="R7946" i="58"/>
  <c r="Q7945" i="58"/>
  <c r="R12792" i="58"/>
  <c r="Q12791" i="58"/>
  <c r="R11539" i="58"/>
  <c r="Q11538" i="58"/>
  <c r="R9810" i="58"/>
  <c r="Q9809" i="58"/>
  <c r="R7856" i="58"/>
  <c r="Q7855" i="58"/>
  <c r="R6381" i="58"/>
  <c r="Q6380" i="58"/>
  <c r="R11151" i="58"/>
  <c r="R11150" i="58"/>
  <c r="Q9320" i="58"/>
  <c r="R9321" i="58"/>
  <c r="R12980" i="58"/>
  <c r="R12981" i="58"/>
  <c r="R12276" i="58"/>
  <c r="Q12275" i="58"/>
  <c r="R11663" i="58"/>
  <c r="R11664" i="58"/>
  <c r="R6850" i="58"/>
  <c r="Q6849" i="58"/>
  <c r="R5946" i="58"/>
  <c r="Q5945" i="58"/>
  <c r="R7608" i="58"/>
  <c r="Q7607" i="58"/>
  <c r="R11629" i="58"/>
  <c r="Q11628" i="58"/>
  <c r="Q11232" i="58"/>
  <c r="R11233" i="58"/>
  <c r="R4668" i="58"/>
  <c r="R4667" i="58"/>
  <c r="R10016" i="58"/>
  <c r="Q10015" i="58"/>
  <c r="R5454" i="58"/>
  <c r="R5455" i="58"/>
  <c r="Q8489" i="58"/>
  <c r="R8490" i="58"/>
  <c r="R4642" i="58"/>
  <c r="Q4641" i="58"/>
  <c r="R10777" i="58"/>
  <c r="Q10776" i="58"/>
  <c r="R9057" i="58"/>
  <c r="Q9056" i="58"/>
  <c r="R11203" i="58"/>
  <c r="Q11202" i="58"/>
  <c r="R10947" i="58"/>
  <c r="R10948" i="58"/>
  <c r="Q9138" i="58"/>
  <c r="R9139" i="58"/>
  <c r="R3842" i="58"/>
  <c r="R3841" i="58"/>
  <c r="R9601" i="58"/>
  <c r="Q9600" i="58"/>
  <c r="R7330" i="58"/>
  <c r="Q7329" i="58"/>
  <c r="R11599" i="58"/>
  <c r="Q11598" i="58"/>
  <c r="Q9937" i="58"/>
  <c r="R9938" i="58"/>
  <c r="Q12972" i="58"/>
  <c r="R12973" i="58"/>
  <c r="R4578" i="58"/>
  <c r="R4577" i="58"/>
  <c r="R5292" i="58"/>
  <c r="R5291" i="58"/>
  <c r="R5040" i="58"/>
  <c r="Q5039" i="58"/>
  <c r="Q9770" i="58"/>
  <c r="R9771" i="58"/>
  <c r="R5503" i="58"/>
  <c r="R5502" i="58"/>
  <c r="R8585" i="58"/>
  <c r="Q8584" i="58"/>
  <c r="R12194" i="58"/>
  <c r="Q12193" i="58"/>
  <c r="R5415" i="58"/>
  <c r="R5414" i="58"/>
  <c r="R5777" i="58"/>
  <c r="Q5776" i="58"/>
  <c r="R3879" i="58"/>
  <c r="Q3878" i="58"/>
  <c r="Q10270" i="58"/>
  <c r="R10271" i="58"/>
  <c r="R5527" i="58"/>
  <c r="R5526" i="58"/>
  <c r="R5029" i="58"/>
  <c r="Q5028" i="58"/>
  <c r="R10823" i="58"/>
  <c r="Q10822" i="58"/>
  <c r="R9229" i="58"/>
  <c r="Q9228" i="58"/>
  <c r="R4687" i="58"/>
  <c r="Q4686" i="58"/>
  <c r="R11253" i="58"/>
  <c r="Q11252" i="58"/>
  <c r="R9845" i="58"/>
  <c r="Q9844" i="58"/>
  <c r="R12334" i="58"/>
  <c r="R12333" i="58"/>
  <c r="Q6626" i="58"/>
  <c r="R6627" i="58"/>
  <c r="R353" i="58"/>
  <c r="R354" i="58"/>
  <c r="R6567" i="58"/>
  <c r="Q6566" i="58"/>
  <c r="Q7051" i="58"/>
  <c r="R7052" i="58"/>
  <c r="R5933" i="58"/>
  <c r="Q5932" i="58"/>
  <c r="Q8118" i="58"/>
  <c r="R8119" i="58"/>
  <c r="R10560" i="58"/>
  <c r="Q10559" i="58"/>
  <c r="R4731" i="58"/>
  <c r="R4730" i="58"/>
  <c r="R11061" i="58"/>
  <c r="Q11060" i="58"/>
  <c r="R7578" i="58"/>
  <c r="Q7577" i="58"/>
  <c r="R10689" i="58"/>
  <c r="Q10688" i="58"/>
  <c r="R11162" i="58"/>
  <c r="Q11161" i="58"/>
  <c r="R12412" i="58"/>
  <c r="Q12411" i="58"/>
  <c r="R5066" i="58"/>
  <c r="R5065" i="58"/>
  <c r="R6305" i="58"/>
  <c r="Q6304" i="58"/>
  <c r="Q10471" i="58"/>
  <c r="R10472" i="58"/>
  <c r="R10700" i="58"/>
  <c r="Q10699" i="58"/>
  <c r="R7150" i="58"/>
  <c r="Q7149" i="58"/>
  <c r="R9549" i="58"/>
  <c r="Q9548" i="58"/>
  <c r="R9878" i="58"/>
  <c r="Q9877" i="58"/>
  <c r="R10165" i="58"/>
  <c r="Q10164" i="58"/>
  <c r="R7179" i="58"/>
  <c r="Q7178" i="58"/>
  <c r="R10195" i="58"/>
  <c r="Q10194" i="58"/>
  <c r="R6186" i="58"/>
  <c r="Q6185" i="58"/>
  <c r="Q10811" i="58"/>
  <c r="R10812" i="58"/>
  <c r="R4632" i="58"/>
  <c r="R4631" i="58"/>
  <c r="R10733" i="58"/>
  <c r="Q10732" i="58"/>
  <c r="R3941" i="58"/>
  <c r="R3940" i="58"/>
  <c r="R10897" i="58"/>
  <c r="R10896" i="58"/>
  <c r="R6289" i="58"/>
  <c r="Q6288" i="58"/>
  <c r="Q11701" i="58"/>
  <c r="R11702" i="58"/>
  <c r="R6212" i="58"/>
  <c r="Q6211" i="58"/>
  <c r="R11346" i="58"/>
  <c r="Q11345" i="58"/>
  <c r="R5229" i="58"/>
  <c r="R5228" i="58"/>
  <c r="R8852" i="58"/>
  <c r="Q8851" i="58"/>
  <c r="R11051" i="58"/>
  <c r="Q11050" i="58"/>
  <c r="R9996" i="58"/>
  <c r="Q9995" i="58"/>
  <c r="R12265" i="58"/>
  <c r="Q12264" i="58"/>
  <c r="R5571" i="58"/>
  <c r="R5570" i="58"/>
  <c r="R5601" i="58"/>
  <c r="Q5600" i="58"/>
  <c r="R10615" i="58"/>
  <c r="Q10614" i="58"/>
  <c r="Q11547" i="58"/>
  <c r="R11548" i="58"/>
  <c r="R5212" i="58"/>
  <c r="Q5211" i="58"/>
  <c r="R11101" i="58"/>
  <c r="Q11100" i="58"/>
  <c r="R4763" i="58"/>
  <c r="Q4762" i="58"/>
  <c r="R6225" i="58"/>
  <c r="Q6224" i="58"/>
  <c r="R7546" i="58"/>
  <c r="Q7545" i="58"/>
  <c r="Q7374" i="58"/>
  <c r="R7375" i="58"/>
  <c r="R10101" i="58"/>
  <c r="Q10100" i="58"/>
  <c r="R7067" i="58"/>
  <c r="Q7066" i="58"/>
  <c r="R9299" i="58"/>
  <c r="Q9298" i="58"/>
  <c r="R11752" i="58"/>
  <c r="Q11751" i="58"/>
  <c r="Q10721" i="58"/>
  <c r="R10722" i="58"/>
  <c r="R7487" i="58"/>
  <c r="Q7486" i="58"/>
  <c r="R10355" i="58"/>
  <c r="R10354" i="58"/>
  <c r="R6122" i="58"/>
  <c r="Q6121" i="58"/>
  <c r="R8943" i="58"/>
  <c r="Q8942" i="58"/>
  <c r="Q10227" i="58"/>
  <c r="R10228" i="58"/>
  <c r="R12711" i="58"/>
  <c r="Q12710" i="58"/>
  <c r="R8252" i="58"/>
  <c r="Q8251" i="58"/>
  <c r="R10076" i="58"/>
  <c r="Q10075" i="58"/>
  <c r="R8700" i="58"/>
  <c r="Q8699" i="58"/>
  <c r="R8916" i="58"/>
  <c r="Q8915" i="58"/>
  <c r="R8904" i="58"/>
  <c r="Q8903" i="58"/>
  <c r="Q11617" i="58"/>
  <c r="R11618" i="58"/>
  <c r="R12434" i="58"/>
  <c r="Q12433" i="58"/>
  <c r="R7961" i="58"/>
  <c r="Q7960" i="58"/>
  <c r="R9639" i="58"/>
  <c r="R9638" i="58"/>
  <c r="R9309" i="58"/>
  <c r="Q9308" i="58"/>
  <c r="R5790" i="58"/>
  <c r="Q5789" i="58"/>
  <c r="R4714" i="58"/>
  <c r="Q4713" i="58"/>
  <c r="R6279" i="58"/>
  <c r="Q6278" i="58"/>
  <c r="Q10630" i="58"/>
  <c r="R10631" i="58"/>
  <c r="R10676" i="58"/>
  <c r="Q10675" i="58"/>
  <c r="R13018" i="58"/>
  <c r="Q13017" i="58"/>
  <c r="R10046" i="58"/>
  <c r="Q10045" i="58"/>
  <c r="R10301" i="58"/>
  <c r="Q10300" i="58"/>
  <c r="R10666" i="58"/>
  <c r="Q10665" i="58"/>
  <c r="R9789" i="58"/>
  <c r="R9788" i="58"/>
  <c r="R11839" i="58"/>
  <c r="R11838" i="58"/>
  <c r="R9411" i="58"/>
  <c r="Q9410" i="58"/>
  <c r="R9278" i="58"/>
  <c r="Q9277" i="58"/>
  <c r="R4811" i="58"/>
  <c r="Q4810" i="58"/>
  <c r="R4623" i="58"/>
  <c r="R4622" i="58"/>
  <c r="R10203" i="58"/>
  <c r="R10202" i="58"/>
  <c r="R12519" i="58"/>
  <c r="Q12518" i="58"/>
  <c r="R10365" i="58"/>
  <c r="R10364" i="58"/>
  <c r="R10154" i="58"/>
  <c r="Q10153" i="58"/>
  <c r="R9389" i="58"/>
  <c r="R9388" i="58"/>
  <c r="R9032" i="58"/>
  <c r="Q9031" i="58"/>
  <c r="R3924" i="58"/>
  <c r="Q3923" i="58"/>
  <c r="R7192" i="58"/>
  <c r="Q7191" i="58"/>
  <c r="R6173" i="58"/>
  <c r="Q6172" i="58"/>
  <c r="R11261" i="58"/>
  <c r="R11260" i="58"/>
  <c r="R9524" i="58"/>
  <c r="Q9523" i="58"/>
  <c r="R5563" i="58"/>
  <c r="Q5562" i="58"/>
  <c r="R6084" i="58"/>
  <c r="Q6083" i="58"/>
  <c r="Q10345" i="58"/>
  <c r="R10346" i="58"/>
  <c r="R6777" i="58"/>
  <c r="Q6776" i="58"/>
  <c r="R9087" i="58"/>
  <c r="R9086" i="58"/>
  <c r="R9560" i="58"/>
  <c r="Q9559" i="58"/>
  <c r="R11847" i="58"/>
  <c r="R11846" i="58"/>
  <c r="R12683" i="58"/>
  <c r="R12682" i="58"/>
  <c r="R9066" i="58"/>
  <c r="Q9065" i="58"/>
  <c r="Q10065" i="58"/>
  <c r="R10066" i="58"/>
  <c r="R5431" i="58"/>
  <c r="R5430" i="58"/>
  <c r="R12296" i="58"/>
  <c r="Q12295" i="58"/>
  <c r="R9731" i="58"/>
  <c r="Q9730" i="58"/>
  <c r="R9972" i="58"/>
  <c r="Q9971" i="58"/>
  <c r="R12674" i="58"/>
  <c r="R12673" i="58"/>
  <c r="R11518" i="58"/>
  <c r="Q11517" i="58"/>
  <c r="R6252" i="58"/>
  <c r="Q6251" i="58"/>
  <c r="R9631" i="58"/>
  <c r="Q9630" i="58"/>
  <c r="R6671" i="58"/>
  <c r="Q6670" i="58"/>
  <c r="R11887" i="58"/>
  <c r="R11886" i="58"/>
  <c r="R5841" i="58"/>
  <c r="Q5840" i="58"/>
  <c r="R7515" i="58"/>
  <c r="Q7514" i="58"/>
  <c r="R9460" i="58"/>
  <c r="Q9459" i="58"/>
  <c r="R7093" i="58"/>
  <c r="Q7092" i="58"/>
  <c r="R11681" i="58"/>
  <c r="R11680" i="58"/>
  <c r="R9959" i="58"/>
  <c r="Q9958" i="58"/>
  <c r="R11278" i="58"/>
  <c r="Q11277" i="58"/>
  <c r="R9591" i="58"/>
  <c r="Q9590" i="58"/>
  <c r="R9659" i="58"/>
  <c r="R9658" i="58"/>
  <c r="R3906" i="58"/>
  <c r="Q3905" i="58"/>
  <c r="R12387" i="58"/>
  <c r="Q12386" i="58"/>
  <c r="R12246" i="58"/>
  <c r="Q12245" i="58"/>
  <c r="R6612" i="58"/>
  <c r="Q6611" i="58"/>
  <c r="R7884" i="58"/>
  <c r="Q7883" i="58"/>
  <c r="R9431" i="58"/>
  <c r="Q9430" i="58"/>
  <c r="R12737" i="58"/>
  <c r="R12736" i="58"/>
  <c r="R9750" i="58"/>
  <c r="Q9749" i="58"/>
  <c r="R8268" i="58"/>
  <c r="Q8267" i="58"/>
  <c r="R3833" i="58"/>
  <c r="R3832" i="58"/>
  <c r="Q8660" i="58"/>
  <c r="R8661" i="58"/>
  <c r="R7109" i="58"/>
  <c r="Q7108" i="58"/>
  <c r="R10281" i="58"/>
  <c r="Q10280" i="58"/>
  <c r="Q12398" i="58"/>
  <c r="R12399" i="58"/>
  <c r="Q6654" i="58"/>
  <c r="R6655" i="58"/>
  <c r="R10458" i="58"/>
  <c r="Q10457" i="58"/>
  <c r="R6356" i="58"/>
  <c r="Q6355" i="58"/>
  <c r="R6409" i="58"/>
  <c r="Q6408" i="58"/>
  <c r="R8956" i="58"/>
  <c r="Q8955" i="58"/>
  <c r="R10145" i="58"/>
  <c r="Q10144" i="58"/>
  <c r="R8103" i="58"/>
  <c r="Q8102" i="58"/>
  <c r="R10290" i="58"/>
  <c r="Q10289" i="58"/>
  <c r="R5920" i="58"/>
  <c r="Q5919" i="58"/>
  <c r="R6396" i="58"/>
  <c r="Q6395" i="58"/>
  <c r="R7620" i="58"/>
  <c r="Q7619" i="58"/>
  <c r="R322" i="58"/>
  <c r="R321" i="58"/>
  <c r="R7284" i="58"/>
  <c r="Q7283" i="58"/>
  <c r="R9099" i="58"/>
  <c r="Q9098" i="58"/>
  <c r="R4588" i="58"/>
  <c r="Q4587" i="58"/>
  <c r="R5867" i="58"/>
  <c r="Q5866" i="58"/>
  <c r="R12092" i="58"/>
  <c r="R12091" i="58"/>
  <c r="R5830" i="58"/>
  <c r="Q5829" i="58"/>
  <c r="Q10056" i="58"/>
  <c r="R10057" i="58"/>
  <c r="R4742" i="58"/>
  <c r="Q4741" i="58"/>
  <c r="R4820" i="58"/>
  <c r="Q4819" i="58"/>
  <c r="R11588" i="58"/>
  <c r="Q11587" i="58"/>
  <c r="Q9268" i="58"/>
  <c r="R9269" i="58"/>
  <c r="R6837" i="58"/>
  <c r="Q6836" i="58"/>
  <c r="R9369" i="58"/>
  <c r="Q9368" i="58"/>
  <c r="R10645" i="58"/>
  <c r="Q10644" i="58"/>
  <c r="R12835" i="58"/>
  <c r="R12834" i="58"/>
  <c r="R12999" i="58"/>
  <c r="R12998" i="58"/>
  <c r="R8878" i="58"/>
  <c r="Q8877" i="58"/>
  <c r="R5084" i="58"/>
  <c r="R5083" i="58"/>
  <c r="R5853" i="58"/>
  <c r="Q5852" i="58"/>
  <c r="R11376" i="58"/>
  <c r="R11375" i="58"/>
  <c r="R12285" i="58"/>
  <c r="Q12284" i="58"/>
  <c r="R10410" i="58"/>
  <c r="Q10409" i="58"/>
  <c r="R8981" i="58"/>
  <c r="Q8980" i="58"/>
  <c r="R7300" i="58"/>
  <c r="Q7299" i="58"/>
  <c r="R11222" i="58"/>
  <c r="Q11221" i="58"/>
  <c r="R7637" i="58"/>
  <c r="Q7636" i="58"/>
  <c r="R8470" i="58"/>
  <c r="Q8469" i="58"/>
  <c r="R10113" i="58"/>
  <c r="Q10112" i="58"/>
  <c r="Q7823" i="58"/>
  <c r="R7824" i="58"/>
  <c r="R10217" i="58"/>
  <c r="Q10216" i="58"/>
  <c r="Q10311" i="58"/>
  <c r="R10312" i="58"/>
  <c r="R11529" i="58"/>
  <c r="Q11528" i="58"/>
  <c r="Q9888" i="58"/>
  <c r="R9889" i="58"/>
  <c r="Q10435" i="58"/>
  <c r="R10436" i="58"/>
  <c r="R7975" i="58"/>
  <c r="Q7974" i="58"/>
  <c r="R11482" i="58"/>
  <c r="Q11481" i="58"/>
  <c r="R402" i="58"/>
  <c r="R401" i="58"/>
  <c r="R7651" i="58"/>
  <c r="Q7650" i="58"/>
  <c r="R11464" i="58"/>
  <c r="Q11463" i="58"/>
  <c r="R6595" i="58"/>
  <c r="Q6594" i="58"/>
  <c r="R9759" i="58"/>
  <c r="R9758" i="58"/>
  <c r="R6147" i="58"/>
  <c r="Q6146" i="58"/>
  <c r="R12782" i="58"/>
  <c r="R12781" i="58"/>
  <c r="R10535" i="58"/>
  <c r="Q10534" i="58"/>
  <c r="R10753" i="58"/>
  <c r="Q10752" i="58"/>
  <c r="R7221" i="58"/>
  <c r="Q7220" i="58"/>
  <c r="R11776" i="58"/>
  <c r="Q11775" i="58"/>
  <c r="R9332" i="58"/>
  <c r="Q9331" i="58"/>
  <c r="R5906" i="58"/>
  <c r="Q5905" i="58"/>
  <c r="R12084" i="58"/>
  <c r="Q12083" i="58"/>
  <c r="R7037" i="58"/>
  <c r="Q7036" i="58"/>
  <c r="R11799" i="58"/>
  <c r="Q11798" i="58"/>
  <c r="R12720" i="58"/>
  <c r="Q12719" i="58"/>
  <c r="R12693" i="58"/>
  <c r="Q12692" i="58"/>
  <c r="R9480" i="58"/>
  <c r="Q9479" i="58"/>
  <c r="R11419" i="58"/>
  <c r="Q11418" i="58"/>
  <c r="R5610" i="58"/>
  <c r="R5609" i="58"/>
  <c r="R6881" i="58"/>
  <c r="Q6880" i="58"/>
  <c r="R9450" i="58"/>
  <c r="Q9449" i="58"/>
  <c r="R6806" i="58"/>
  <c r="Q6805" i="58"/>
  <c r="R3950" i="58"/>
  <c r="R3949" i="58"/>
  <c r="R10547" i="58"/>
  <c r="Q10546" i="58"/>
  <c r="R11647" i="58"/>
  <c r="Q11646" i="58"/>
  <c r="R5164" i="58"/>
  <c r="R5163" i="58"/>
  <c r="R11764" i="58"/>
  <c r="Q11763" i="58"/>
  <c r="R9258" i="58"/>
  <c r="Q9257" i="58"/>
  <c r="R11831" i="58"/>
  <c r="R11830" i="58"/>
  <c r="R9440" i="58"/>
  <c r="Q9439" i="58"/>
  <c r="R4801" i="58"/>
  <c r="R4800" i="58"/>
  <c r="R11192" i="58"/>
  <c r="Q11191" i="58"/>
  <c r="R11337" i="58"/>
  <c r="Q11336" i="58"/>
  <c r="R6641" i="58"/>
  <c r="Q6640" i="58"/>
  <c r="R8862" i="58"/>
  <c r="Q8861" i="58"/>
  <c r="R6343" i="58"/>
  <c r="Q6342" i="58"/>
  <c r="R8995" i="58"/>
  <c r="Q8994" i="58"/>
  <c r="R4705" i="58"/>
  <c r="Q4704" i="58"/>
  <c r="R8641" i="58"/>
  <c r="Q8640" i="58"/>
  <c r="Q9649" i="58"/>
  <c r="R9650" i="58"/>
  <c r="R346" i="58"/>
  <c r="R345" i="58"/>
  <c r="R6552" i="58"/>
  <c r="Q6551" i="58"/>
  <c r="R6760" i="58"/>
  <c r="Q6759" i="58"/>
  <c r="R7531" i="58"/>
  <c r="Q7530" i="58"/>
  <c r="R10866" i="58"/>
  <c r="Q10865" i="58"/>
  <c r="R10174" i="58"/>
  <c r="Q10173" i="58"/>
  <c r="Q12424" i="58"/>
  <c r="R12425" i="58"/>
  <c r="R6732" i="58"/>
  <c r="Q6731" i="58"/>
  <c r="R11788" i="58"/>
  <c r="Q11787" i="58"/>
  <c r="R9357" i="58"/>
  <c r="Q9356" i="58"/>
  <c r="R3887" i="58"/>
  <c r="R3886" i="58"/>
  <c r="R9197" i="58"/>
  <c r="Q9196" i="58"/>
  <c r="R12765" i="58"/>
  <c r="Q12764" i="58"/>
  <c r="R10336" i="58"/>
  <c r="Q10335" i="58"/>
  <c r="R8797" i="58"/>
  <c r="Q8796" i="58"/>
  <c r="R6096" i="58"/>
  <c r="Q6095" i="58"/>
  <c r="R8284" i="58"/>
  <c r="Q8283" i="58"/>
  <c r="R11428" i="58"/>
  <c r="Q11427" i="58"/>
  <c r="R12701" i="58"/>
  <c r="R12700" i="58"/>
  <c r="R12773" i="58"/>
  <c r="R12772" i="58"/>
  <c r="R8623" i="58"/>
  <c r="Q8622" i="58"/>
  <c r="R9217" i="58"/>
  <c r="R9216" i="58"/>
  <c r="R9535" i="58"/>
  <c r="Q9534" i="58"/>
  <c r="R12446" i="58"/>
  <c r="Q12445" i="58"/>
  <c r="R8451" i="58"/>
  <c r="Q8450" i="58"/>
  <c r="R11729" i="58"/>
  <c r="Q11728" i="58"/>
  <c r="R11071" i="58"/>
  <c r="Q11070" i="58"/>
  <c r="R8296" i="58"/>
  <c r="Q8295" i="58"/>
  <c r="R10574" i="58"/>
  <c r="Q10573" i="58"/>
  <c r="R7914" i="58"/>
  <c r="Q7913" i="58"/>
  <c r="R6370" i="58"/>
  <c r="Q6369" i="58"/>
  <c r="R9512" i="58"/>
  <c r="Q9511" i="58"/>
  <c r="R11673" i="58"/>
  <c r="R11672" i="58"/>
  <c r="R9580" i="58"/>
  <c r="Q9579" i="58"/>
  <c r="R5463" i="58"/>
  <c r="R5462" i="58"/>
  <c r="R11401" i="58"/>
  <c r="Q11400" i="58"/>
  <c r="R5266" i="58"/>
  <c r="Q5265" i="58"/>
  <c r="R8713" i="58"/>
  <c r="Q8712" i="58"/>
  <c r="R11142" i="58"/>
  <c r="Q11141" i="58"/>
  <c r="R3869" i="58"/>
  <c r="R3868" i="58"/>
  <c r="R7137" i="58"/>
  <c r="Q7136" i="58"/>
  <c r="R11173" i="58"/>
  <c r="Q11172" i="58"/>
  <c r="R12818" i="58"/>
  <c r="R12817" i="58"/>
  <c r="R11327" i="58"/>
  <c r="Q11326" i="58"/>
  <c r="R11691" i="58"/>
  <c r="Q11690" i="58"/>
  <c r="R7811" i="58"/>
  <c r="Q7810" i="58"/>
  <c r="R12621" i="58"/>
  <c r="Q12620" i="58"/>
  <c r="R560" i="58"/>
  <c r="R559" i="58"/>
  <c r="R11114" i="58"/>
  <c r="Q11113" i="58"/>
  <c r="R10877" i="58"/>
  <c r="Q10876" i="58"/>
  <c r="Q6819" i="58"/>
  <c r="R6820" i="58"/>
  <c r="R8766" i="58"/>
  <c r="Q8765" i="58"/>
  <c r="Q6263" i="58"/>
  <c r="R6264" i="58"/>
  <c r="R6135" i="58"/>
  <c r="Q6134" i="58"/>
  <c r="R10710" i="58"/>
  <c r="Q10709" i="58"/>
  <c r="R9780" i="58"/>
  <c r="Q9779" i="58"/>
  <c r="R12537" i="58"/>
  <c r="Q12536" i="58"/>
  <c r="R7930" i="58"/>
  <c r="Q7929" i="58"/>
  <c r="R6071" i="58"/>
  <c r="Q6070" i="58"/>
  <c r="R4696" i="58"/>
  <c r="Q4695" i="58"/>
  <c r="R9570" i="58"/>
  <c r="Q9569" i="58"/>
  <c r="R394" i="58"/>
  <c r="R393" i="58"/>
  <c r="R10654" i="58"/>
  <c r="Q10653" i="58"/>
  <c r="R12747" i="58"/>
  <c r="Q12746" i="58"/>
  <c r="R6686" i="58"/>
  <c r="Q6685" i="58"/>
  <c r="R8825" i="58"/>
  <c r="Q8824" i="58"/>
  <c r="R5219" i="58"/>
  <c r="R5220" i="58"/>
  <c r="R5284" i="58"/>
  <c r="Q5283" i="58"/>
  <c r="R10888" i="58"/>
  <c r="Q10887" i="58"/>
  <c r="R12945" i="58"/>
  <c r="R12944" i="58"/>
  <c r="R12305" i="58"/>
  <c r="Q12304" i="58"/>
  <c r="R12375" i="58"/>
  <c r="Q12374" i="58"/>
  <c r="R9209" i="58"/>
  <c r="Q9208" i="58"/>
  <c r="R12314" i="58"/>
  <c r="R12313" i="58"/>
  <c r="R6582" i="58"/>
  <c r="Q6581" i="58"/>
  <c r="R8529" i="58"/>
  <c r="Q8528" i="58"/>
  <c r="R10908" i="58"/>
  <c r="R10907" i="58"/>
  <c r="R6239" i="58"/>
  <c r="Q6238" i="58"/>
  <c r="R6911" i="58"/>
  <c r="Q6910" i="58"/>
  <c r="R6867" i="58"/>
  <c r="Q6866" i="58"/>
  <c r="R12457" i="58"/>
  <c r="Q12456" i="58"/>
  <c r="R11317" i="58"/>
  <c r="Q11316" i="58"/>
  <c r="R8178" i="58"/>
  <c r="Q8177" i="58"/>
  <c r="R6716" i="58"/>
  <c r="Q6715" i="58"/>
  <c r="R9609" i="58"/>
  <c r="R9608" i="58"/>
  <c r="R3825" i="58"/>
  <c r="Q3824" i="58"/>
  <c r="R11354" i="58"/>
  <c r="R11353" i="58"/>
  <c r="R7080" i="58"/>
  <c r="Q7079" i="58"/>
  <c r="R9908" i="58"/>
  <c r="Q9907" i="58"/>
  <c r="R9491" i="58"/>
  <c r="Q9490" i="58"/>
  <c r="R8838" i="58"/>
  <c r="Q8837" i="58"/>
  <c r="R5075" i="58"/>
  <c r="R5074" i="58"/>
  <c r="R9929" i="58"/>
  <c r="Q9928" i="58"/>
  <c r="R5202" i="58"/>
  <c r="R5201" i="58"/>
  <c r="Q10831" i="58"/>
  <c r="R10832" i="58"/>
  <c r="R8811" i="58"/>
  <c r="Q8810" i="58"/>
  <c r="R10856" i="58"/>
  <c r="Q10855" i="58"/>
  <c r="R9740" i="58"/>
  <c r="Q9739" i="58"/>
  <c r="R10259" i="58"/>
  <c r="R10258" i="58"/>
  <c r="R8928" i="58"/>
  <c r="Q8927" i="58"/>
  <c r="R5580" i="58"/>
  <c r="R5579" i="58"/>
  <c r="R13008" i="58"/>
  <c r="R13007" i="58"/>
  <c r="Q12589" i="58"/>
  <c r="R12590" i="58"/>
  <c r="R6058" i="58"/>
  <c r="Q6057" i="58"/>
  <c r="R12755" i="58"/>
  <c r="R12754" i="58"/>
  <c r="R6521" i="58"/>
  <c r="Q6520" i="58"/>
  <c r="Q12579" i="58"/>
  <c r="R12580" i="58"/>
  <c r="R12639" i="58"/>
  <c r="Q12638" i="58"/>
  <c r="R9469" i="58"/>
  <c r="R9468" i="58"/>
  <c r="R9007" i="58"/>
  <c r="Q9006" i="58"/>
  <c r="R7681" i="58"/>
  <c r="Q7680" i="58"/>
  <c r="Q6896" i="58"/>
  <c r="R6897" i="58"/>
  <c r="R6927" i="58"/>
  <c r="Q6926" i="58"/>
  <c r="R11086" i="58"/>
  <c r="Q11085" i="58"/>
  <c r="R8239" i="58"/>
  <c r="Q8238" i="58"/>
  <c r="R9869" i="58"/>
  <c r="Q9868" i="58"/>
  <c r="R8149" i="58"/>
  <c r="Q8148" i="58"/>
  <c r="R10764" i="58"/>
  <c r="Q10763" i="58"/>
  <c r="R5184" i="58"/>
  <c r="R5183" i="58"/>
  <c r="R12629" i="58"/>
  <c r="R12628" i="58"/>
  <c r="R5882" i="58"/>
  <c r="Q5881" i="58"/>
  <c r="R7898" i="58"/>
  <c r="Q7897" i="58"/>
  <c r="R8224" i="58"/>
  <c r="Q8223" i="58"/>
  <c r="R8133" i="58"/>
  <c r="Q8132" i="58"/>
  <c r="R6316" i="58"/>
  <c r="Q6315" i="58"/>
  <c r="R3897" i="58"/>
  <c r="Q3896" i="58"/>
  <c r="R12808" i="58"/>
  <c r="R12809" i="58"/>
  <c r="R11742" i="58"/>
  <c r="Q11741" i="58"/>
  <c r="R9119" i="58"/>
  <c r="Q9118" i="58"/>
  <c r="R6109" i="58"/>
  <c r="Q6108" i="58"/>
  <c r="R8726" i="58"/>
  <c r="Q8725" i="58"/>
  <c r="R11507" i="58"/>
  <c r="R11508" i="58"/>
  <c r="R6791" i="58"/>
  <c r="Q6790" i="58"/>
  <c r="R9108" i="58"/>
  <c r="Q9107" i="58"/>
  <c r="R8674" i="58"/>
  <c r="Q8673" i="58"/>
  <c r="R12954" i="58"/>
  <c r="R12953" i="58"/>
  <c r="R10447" i="58"/>
  <c r="Q10446" i="58"/>
  <c r="R4615" i="58"/>
  <c r="Q4614" i="58"/>
  <c r="R11305" i="58"/>
  <c r="Q11304" i="58"/>
  <c r="R9898" i="58"/>
  <c r="Q9897" i="58"/>
  <c r="R7206" i="58"/>
  <c r="Q7205" i="58"/>
  <c r="R7871" i="58"/>
  <c r="Q7870" i="58"/>
  <c r="R9821" i="58"/>
  <c r="Q9820" i="58"/>
  <c r="R5800" i="58"/>
  <c r="Q5799" i="58"/>
  <c r="R7501" i="58"/>
  <c r="Q7500" i="58"/>
  <c r="R8967" i="58"/>
  <c r="Q8966" i="58"/>
  <c r="R11568" i="58"/>
  <c r="Q11567" i="58"/>
  <c r="R8207" i="58"/>
  <c r="Q8206" i="58"/>
  <c r="R10743" i="58"/>
  <c r="Q10742" i="58"/>
  <c r="R9917" i="58"/>
  <c r="R9916" i="58"/>
  <c r="R8890" i="58"/>
  <c r="Q8889" i="58"/>
  <c r="R12256" i="58"/>
  <c r="Q12255" i="58"/>
  <c r="R9148" i="58"/>
  <c r="Q9147" i="58"/>
  <c r="R8688" i="58"/>
  <c r="Q8687" i="58"/>
  <c r="R10026" i="58"/>
  <c r="Q10025" i="58"/>
  <c r="R5301" i="58"/>
  <c r="R5300" i="58"/>
  <c r="R9719" i="58"/>
  <c r="Q9718" i="58"/>
  <c r="R6162" i="58"/>
  <c r="Q6161" i="58"/>
  <c r="R9500" i="58"/>
  <c r="Q9499" i="58"/>
  <c r="R7668" i="58"/>
  <c r="Q7667" i="58"/>
  <c r="Q6329" i="58"/>
  <c r="R6330" i="58"/>
  <c r="R9683" i="58"/>
  <c r="Q9682" i="58"/>
  <c r="R12325" i="58"/>
  <c r="Q12324" i="58"/>
  <c r="R10250" i="58"/>
  <c r="Q10249" i="58"/>
  <c r="R11558" i="58"/>
  <c r="Q11557" i="58"/>
  <c r="R10124" i="58"/>
  <c r="Q10123" i="58"/>
  <c r="R7794" i="58"/>
  <c r="Q7793" i="58"/>
  <c r="R3914" i="58"/>
  <c r="R3913" i="58"/>
  <c r="R4782" i="58"/>
  <c r="Q4781" i="58"/>
  <c r="R10496" i="58"/>
  <c r="Q10495" i="58"/>
  <c r="R11717" i="58"/>
  <c r="Q11716" i="58"/>
  <c r="R10239" i="58"/>
  <c r="Q10238" i="58"/>
  <c r="R6747" i="58"/>
  <c r="Q6746" i="58"/>
  <c r="R9801" i="58"/>
  <c r="Q9800" i="58"/>
  <c r="R10422" i="58"/>
  <c r="Q10421" i="58"/>
  <c r="R12074" i="58"/>
  <c r="R12073" i="58"/>
  <c r="R5511" i="58"/>
  <c r="R5510" i="58"/>
  <c r="R9287" i="58"/>
  <c r="R9286" i="58"/>
  <c r="R9344" i="58"/>
  <c r="Q9343" i="58"/>
  <c r="R8545" i="58"/>
  <c r="Q8544" i="58"/>
  <c r="Q10482" i="58"/>
  <c r="R10483" i="58"/>
  <c r="R6199" i="58"/>
  <c r="Q6198" i="58"/>
  <c r="R7989" i="58"/>
  <c r="Q7988" i="58"/>
  <c r="R12601" i="58"/>
  <c r="Q12600" i="58"/>
  <c r="R10086" i="58"/>
  <c r="Q10085" i="58"/>
  <c r="R9128" i="58"/>
  <c r="Q9127" i="58"/>
  <c r="R5815" i="58"/>
  <c r="Q5814" i="58"/>
  <c r="R5248" i="58"/>
  <c r="Q5247" i="58"/>
  <c r="R5893" i="58"/>
  <c r="Q5892" i="58"/>
  <c r="R8164" i="58"/>
  <c r="Q8163" i="58"/>
  <c r="R5545" i="58"/>
  <c r="Q5544" i="58"/>
  <c r="R12648" i="58"/>
  <c r="Q12647" i="58"/>
  <c r="R9237" i="58"/>
  <c r="R9236" i="58"/>
  <c r="R10523" i="58"/>
  <c r="Q10522" i="58"/>
  <c r="R6536" i="58"/>
  <c r="Q6535" i="58"/>
  <c r="R8510" i="58"/>
  <c r="Q8509" i="58"/>
  <c r="R10007" i="58"/>
  <c r="Q10006" i="58"/>
  <c r="R5592" i="58"/>
  <c r="Q5591" i="58"/>
  <c r="R7344" i="58"/>
  <c r="Q7343" i="58"/>
  <c r="R11127" i="58"/>
  <c r="Q11126" i="58"/>
  <c r="R8417" i="58"/>
  <c r="R8418" i="58"/>
  <c r="R9985" i="58"/>
  <c r="Q9984" i="58"/>
  <c r="Q10323" i="58"/>
  <c r="R10324" i="58"/>
  <c r="R7563" i="58"/>
  <c r="Q7562" i="58"/>
  <c r="R12349" i="58"/>
  <c r="Q12348" i="58"/>
  <c r="R11211" i="58"/>
  <c r="R11210" i="58"/>
  <c r="R4829" i="58"/>
  <c r="Q4828" i="58"/>
  <c r="R10588" i="58"/>
  <c r="Q10587" i="58"/>
  <c r="R9856" i="58"/>
  <c r="Q9855" i="58"/>
  <c r="R5519" i="58"/>
  <c r="R5518" i="58"/>
  <c r="R9399" i="58"/>
  <c r="R9398" i="58"/>
  <c r="R7592" i="58"/>
  <c r="Q7591" i="58"/>
  <c r="R9833" i="58"/>
  <c r="Q9832" i="58"/>
  <c r="Q10375" i="58"/>
  <c r="R10376" i="58"/>
  <c r="R4606" i="58"/>
  <c r="Q4605" i="58"/>
  <c r="R10185" i="58"/>
  <c r="Q10184" i="58"/>
  <c r="R385" i="58"/>
  <c r="R386" i="58"/>
  <c r="R9670" i="58"/>
  <c r="Q9669" i="58"/>
  <c r="Q8738" i="58"/>
  <c r="R8739" i="58"/>
  <c r="R8397" i="58"/>
  <c r="Q8396" i="58"/>
  <c r="R8782" i="58"/>
  <c r="Q8781" i="58"/>
  <c r="R7840" i="58"/>
  <c r="Q7839" i="58"/>
  <c r="R9379" i="58"/>
  <c r="Q9378" i="58"/>
  <c r="R9947" i="58"/>
  <c r="R9946" i="58"/>
  <c r="R7315" i="58"/>
  <c r="Q7314" i="58"/>
  <c r="R9020" i="58"/>
  <c r="Q9019" i="58"/>
  <c r="R4559" i="58"/>
  <c r="R4558" i="58"/>
  <c r="R6701" i="58"/>
  <c r="Q6700" i="58"/>
  <c r="R8604" i="58" l="1"/>
  <c r="Q8603" i="58"/>
  <c r="Q6625" i="58"/>
  <c r="R6626" i="58"/>
  <c r="Q9769" i="58"/>
  <c r="R9770" i="58"/>
  <c r="R8489" i="58"/>
  <c r="Q8488" i="58"/>
  <c r="R4772" i="58"/>
  <c r="Q4771" i="58"/>
  <c r="R9708" i="58"/>
  <c r="Q9707" i="58"/>
  <c r="R5039" i="58"/>
  <c r="Q5038" i="58"/>
  <c r="R11538" i="58"/>
  <c r="Q11537" i="58"/>
  <c r="Q8564" i="58"/>
  <c r="R8565" i="58"/>
  <c r="R7163" i="58"/>
  <c r="Q7162" i="58"/>
  <c r="R10270" i="58"/>
  <c r="Q10269" i="58"/>
  <c r="R11472" i="58"/>
  <c r="R11471" i="58"/>
  <c r="R6849" i="58"/>
  <c r="Q6848" i="58"/>
  <c r="Q9843" i="58"/>
  <c r="R9844" i="58"/>
  <c r="R12791" i="58"/>
  <c r="R12790" i="58"/>
  <c r="R4686" i="58"/>
  <c r="R4685" i="58"/>
  <c r="Q11201" i="58"/>
  <c r="R11202" i="58"/>
  <c r="R11182" i="58"/>
  <c r="Q11181" i="58"/>
  <c r="Q10133" i="58"/>
  <c r="R10134" i="58"/>
  <c r="R10395" i="58"/>
  <c r="R10394" i="58"/>
  <c r="R12972" i="58"/>
  <c r="R12971" i="58"/>
  <c r="R11232" i="58"/>
  <c r="Q11231" i="58"/>
  <c r="R9320" i="58"/>
  <c r="Q9319" i="58"/>
  <c r="R9172" i="58"/>
  <c r="Q9171" i="58"/>
  <c r="Q9227" i="58"/>
  <c r="R9228" i="58"/>
  <c r="Q12192" i="58"/>
  <c r="R12193" i="58"/>
  <c r="R9056" i="58"/>
  <c r="Q9055" i="58"/>
  <c r="Q11627" i="58"/>
  <c r="R11628" i="58"/>
  <c r="R12962" i="58"/>
  <c r="R12963" i="58"/>
  <c r="R9160" i="58"/>
  <c r="Q9159" i="58"/>
  <c r="R9809" i="58"/>
  <c r="R9808" i="58"/>
  <c r="R4792" i="58"/>
  <c r="Q4791" i="58"/>
  <c r="R7945" i="58"/>
  <c r="Q7944" i="58"/>
  <c r="R5932" i="58"/>
  <c r="Q5931" i="58"/>
  <c r="R7051" i="58"/>
  <c r="Q7050" i="58"/>
  <c r="R9937" i="58"/>
  <c r="R9936" i="58"/>
  <c r="R9695" i="58"/>
  <c r="Q9694" i="58"/>
  <c r="R3878" i="58"/>
  <c r="R3877" i="58"/>
  <c r="R10015" i="58"/>
  <c r="R10014" i="58"/>
  <c r="R12275" i="58"/>
  <c r="Q12274" i="58"/>
  <c r="Q5775" i="58"/>
  <c r="R5776" i="58"/>
  <c r="Q11597" i="58"/>
  <c r="R11598" i="58"/>
  <c r="R9184" i="58"/>
  <c r="Q9183" i="58"/>
  <c r="R8193" i="58"/>
  <c r="Q8192" i="58"/>
  <c r="R10508" i="58"/>
  <c r="Q10507" i="58"/>
  <c r="R11241" i="58"/>
  <c r="R11240" i="58"/>
  <c r="Q6565" i="58"/>
  <c r="R6566" i="58"/>
  <c r="R8584" i="58"/>
  <c r="Q8583" i="58"/>
  <c r="R7607" i="58"/>
  <c r="Q7606" i="58"/>
  <c r="R6380" i="58"/>
  <c r="Q6379" i="58"/>
  <c r="Q7358" i="58"/>
  <c r="R7359" i="58"/>
  <c r="R5028" i="58"/>
  <c r="Q5027" i="58"/>
  <c r="R7329" i="58"/>
  <c r="Q7328" i="58"/>
  <c r="R4640" i="58"/>
  <c r="R4641" i="58"/>
  <c r="R5945" i="58"/>
  <c r="Q5944" i="58"/>
  <c r="R7855" i="58"/>
  <c r="Q7854" i="58"/>
  <c r="R12361" i="58"/>
  <c r="Q12360" i="58"/>
  <c r="Q8751" i="58"/>
  <c r="R8752" i="58"/>
  <c r="Q9599" i="58"/>
  <c r="R9600" i="58"/>
  <c r="R12990" i="58"/>
  <c r="R12989" i="58"/>
  <c r="Q9137" i="58"/>
  <c r="R9138" i="58"/>
  <c r="R11252" i="58"/>
  <c r="Q11251" i="58"/>
  <c r="R7122" i="58"/>
  <c r="Q7121" i="58"/>
  <c r="R10822" i="58"/>
  <c r="Q10821" i="58"/>
  <c r="R10776" i="58"/>
  <c r="Q10775" i="58"/>
  <c r="R10386" i="58"/>
  <c r="Q10385" i="58"/>
  <c r="R10600" i="58"/>
  <c r="Q10599" i="58"/>
  <c r="R9042" i="58"/>
  <c r="Q9041" i="58"/>
  <c r="R10742" i="58"/>
  <c r="Q10741" i="58"/>
  <c r="R12536" i="58"/>
  <c r="R12535" i="58"/>
  <c r="R10752" i="58"/>
  <c r="R10751" i="58"/>
  <c r="R7283" i="58"/>
  <c r="Q7282" i="58"/>
  <c r="R10100" i="58"/>
  <c r="Q10099" i="58"/>
  <c r="R7314" i="58"/>
  <c r="Q7313" i="58"/>
  <c r="R12647" i="58"/>
  <c r="R12646" i="58"/>
  <c r="R9107" i="58"/>
  <c r="R9106" i="58"/>
  <c r="R8177" i="58"/>
  <c r="Q8176" i="58"/>
  <c r="R6759" i="58"/>
  <c r="Q6758" i="58"/>
  <c r="R7883" i="58"/>
  <c r="Q7882" i="58"/>
  <c r="R12518" i="58"/>
  <c r="Q12517" i="58"/>
  <c r="R5600" i="58"/>
  <c r="R5599" i="58"/>
  <c r="R11567" i="58"/>
  <c r="R11566" i="58"/>
  <c r="R6057" i="58"/>
  <c r="Q6056" i="58"/>
  <c r="R11141" i="58"/>
  <c r="Q11140" i="58"/>
  <c r="R6551" i="58"/>
  <c r="Q6550" i="58"/>
  <c r="R7974" i="58"/>
  <c r="Q7973" i="58"/>
  <c r="R7619" i="58"/>
  <c r="Q7618" i="58"/>
  <c r="R6172" i="58"/>
  <c r="Q6171" i="58"/>
  <c r="R6185" i="58"/>
  <c r="Q6184" i="58"/>
  <c r="R6198" i="58"/>
  <c r="Q6197" i="58"/>
  <c r="Q11303" i="58"/>
  <c r="R11304" i="58"/>
  <c r="R12456" i="58"/>
  <c r="Q12455" i="58"/>
  <c r="R6134" i="58"/>
  <c r="Q6133" i="58"/>
  <c r="R9534" i="58"/>
  <c r="Q9533" i="58"/>
  <c r="R11336" i="58"/>
  <c r="R11335" i="58"/>
  <c r="R6146" i="58"/>
  <c r="Q6145" i="58"/>
  <c r="R9368" i="58"/>
  <c r="Q9367" i="58"/>
  <c r="Q6354" i="58"/>
  <c r="R6355" i="58"/>
  <c r="Q7576" i="58"/>
  <c r="R7577" i="58"/>
  <c r="R12589" i="58"/>
  <c r="Q12588" i="58"/>
  <c r="R11701" i="58"/>
  <c r="Q11700" i="58"/>
  <c r="R9378" i="58"/>
  <c r="Q9377" i="58"/>
  <c r="R10184" i="58"/>
  <c r="Q10183" i="58"/>
  <c r="R9855" i="58"/>
  <c r="Q9854" i="58"/>
  <c r="R9984" i="58"/>
  <c r="Q9983" i="58"/>
  <c r="R8509" i="58"/>
  <c r="Q8508" i="58"/>
  <c r="R5892" i="58"/>
  <c r="Q5891" i="58"/>
  <c r="R10421" i="58"/>
  <c r="Q10420" i="58"/>
  <c r="R9147" i="58"/>
  <c r="R9146" i="58"/>
  <c r="R4614" i="58"/>
  <c r="R4613" i="58"/>
  <c r="R6315" i="58"/>
  <c r="Q6314" i="58"/>
  <c r="R8148" i="58"/>
  <c r="Q8147" i="58"/>
  <c r="R7079" i="58"/>
  <c r="Q7078" i="58"/>
  <c r="R6866" i="58"/>
  <c r="Q6865" i="58"/>
  <c r="Q9207" i="58"/>
  <c r="R9208" i="58"/>
  <c r="R6685" i="58"/>
  <c r="Q6684" i="58"/>
  <c r="R4695" i="58"/>
  <c r="R4694" i="58"/>
  <c r="R11690" i="58"/>
  <c r="R11689" i="58"/>
  <c r="R5265" i="58"/>
  <c r="R5264" i="58"/>
  <c r="R10573" i="58"/>
  <c r="Q10572" i="58"/>
  <c r="R10335" i="58"/>
  <c r="Q10334" i="58"/>
  <c r="R11191" i="58"/>
  <c r="R11190" i="58"/>
  <c r="Q10545" i="58"/>
  <c r="R10546" i="58"/>
  <c r="R11418" i="58"/>
  <c r="R11417" i="58"/>
  <c r="R5905" i="58"/>
  <c r="Q5904" i="58"/>
  <c r="R7636" i="58"/>
  <c r="Q7635" i="58"/>
  <c r="R6836" i="58"/>
  <c r="Q6835" i="58"/>
  <c r="R5866" i="58"/>
  <c r="Q5865" i="58"/>
  <c r="R5919" i="58"/>
  <c r="Q5918" i="58"/>
  <c r="R10457" i="58"/>
  <c r="Q10456" i="58"/>
  <c r="R8267" i="58"/>
  <c r="Q8266" i="58"/>
  <c r="R12386" i="58"/>
  <c r="Q12385" i="58"/>
  <c r="R9458" i="58"/>
  <c r="R9459" i="58"/>
  <c r="R11517" i="58"/>
  <c r="R11516" i="58"/>
  <c r="R6776" i="58"/>
  <c r="Q6775" i="58"/>
  <c r="R3923" i="58"/>
  <c r="R3922" i="58"/>
  <c r="R4810" i="58"/>
  <c r="R4809" i="58"/>
  <c r="R13017" i="58"/>
  <c r="R13016" i="58"/>
  <c r="R7960" i="58"/>
  <c r="Q7959" i="58"/>
  <c r="R8251" i="58"/>
  <c r="Q8250" i="58"/>
  <c r="R4762" i="58"/>
  <c r="Q4761" i="58"/>
  <c r="R12264" i="58"/>
  <c r="R12263" i="58"/>
  <c r="Q6287" i="58"/>
  <c r="R6288" i="58"/>
  <c r="R7178" i="58"/>
  <c r="Q7177" i="58"/>
  <c r="Q11059" i="58"/>
  <c r="R11060" i="58"/>
  <c r="R9718" i="58"/>
  <c r="Q9717" i="58"/>
  <c r="R7136" i="58"/>
  <c r="Q7135" i="58"/>
  <c r="R4741" i="58"/>
  <c r="Q4740" i="58"/>
  <c r="R12411" i="58"/>
  <c r="Q12410" i="58"/>
  <c r="R8837" i="58"/>
  <c r="Q8836" i="58"/>
  <c r="R9356" i="58"/>
  <c r="Q9355" i="58"/>
  <c r="R8955" i="58"/>
  <c r="Q8954" i="58"/>
  <c r="R11161" i="58"/>
  <c r="R11160" i="58"/>
  <c r="R10056" i="58"/>
  <c r="Q10055" i="58"/>
  <c r="Q12619" i="58"/>
  <c r="R12620" i="58"/>
  <c r="Q7035" i="58"/>
  <c r="R7036" i="58"/>
  <c r="R10688" i="58"/>
  <c r="Q10687" i="58"/>
  <c r="R10323" i="58"/>
  <c r="Q10322" i="58"/>
  <c r="R8660" i="58"/>
  <c r="Q8659" i="58"/>
  <c r="R6251" i="58"/>
  <c r="Q6250" i="58"/>
  <c r="R10482" i="58"/>
  <c r="Q10481" i="58"/>
  <c r="R6329" i="58"/>
  <c r="Q6328" i="58"/>
  <c r="R6263" i="58"/>
  <c r="Q6262" i="58"/>
  <c r="R9649" i="58"/>
  <c r="R9648" i="58"/>
  <c r="R10435" i="58"/>
  <c r="Q10434" i="58"/>
  <c r="R10721" i="58"/>
  <c r="Q10720" i="58"/>
  <c r="R12348" i="58"/>
  <c r="Q12347" i="58"/>
  <c r="R11557" i="58"/>
  <c r="R11556" i="58"/>
  <c r="R7530" i="58"/>
  <c r="Q7529" i="58"/>
  <c r="R9523" i="58"/>
  <c r="Q9522" i="58"/>
  <c r="Q6120" i="58"/>
  <c r="R6121" i="58"/>
  <c r="R9669" i="58"/>
  <c r="R9668" i="58"/>
  <c r="R10249" i="58"/>
  <c r="R10248" i="58"/>
  <c r="R9779" i="58"/>
  <c r="R9778" i="58"/>
  <c r="R8861" i="58"/>
  <c r="Q8860" i="58"/>
  <c r="R6670" i="58"/>
  <c r="Q6669" i="58"/>
  <c r="R8915" i="58"/>
  <c r="Q8914" i="58"/>
  <c r="R11113" i="58"/>
  <c r="Q11112" i="58"/>
  <c r="R9257" i="58"/>
  <c r="R9256" i="58"/>
  <c r="R10409" i="58"/>
  <c r="Q10408" i="58"/>
  <c r="R4713" i="58"/>
  <c r="R4712" i="58"/>
  <c r="R8738" i="58"/>
  <c r="Q8737" i="58"/>
  <c r="R7591" i="58"/>
  <c r="Q7590" i="58"/>
  <c r="R6880" i="58"/>
  <c r="Q6879" i="58"/>
  <c r="R6896" i="58"/>
  <c r="Q6895" i="58"/>
  <c r="R10811" i="58"/>
  <c r="Q10810" i="58"/>
  <c r="R5544" i="58"/>
  <c r="R5543" i="58"/>
  <c r="R10025" i="58"/>
  <c r="R10024" i="58"/>
  <c r="R11316" i="58"/>
  <c r="Q11315" i="58"/>
  <c r="R10709" i="58"/>
  <c r="Q10708" i="58"/>
  <c r="R11787" i="58"/>
  <c r="Q11786" i="58"/>
  <c r="R10644" i="58"/>
  <c r="Q10643" i="58"/>
  <c r="R6408" i="58"/>
  <c r="Q6407" i="58"/>
  <c r="R8699" i="58"/>
  <c r="Q8698" i="58"/>
  <c r="R8163" i="58"/>
  <c r="Q8162" i="58"/>
  <c r="R8966" i="58"/>
  <c r="Q8965" i="58"/>
  <c r="R10763" i="58"/>
  <c r="R10762" i="58"/>
  <c r="R9907" i="58"/>
  <c r="R9906" i="58"/>
  <c r="R7913" i="58"/>
  <c r="Q7912" i="58"/>
  <c r="R12083" i="58"/>
  <c r="R12082" i="58"/>
  <c r="R10045" i="58"/>
  <c r="R10044" i="58"/>
  <c r="Q10163" i="58"/>
  <c r="R10164" i="58"/>
  <c r="R10831" i="58"/>
  <c r="R10830" i="58"/>
  <c r="R12424" i="58"/>
  <c r="Q12423" i="58"/>
  <c r="R9888" i="58"/>
  <c r="Q9887" i="58"/>
  <c r="Q9267" i="58"/>
  <c r="R9268" i="58"/>
  <c r="R6654" i="58"/>
  <c r="Q6653" i="58"/>
  <c r="R10345" i="58"/>
  <c r="R10344" i="58"/>
  <c r="R10471" i="58"/>
  <c r="Q10470" i="58"/>
  <c r="R10085" i="58"/>
  <c r="R10084" i="58"/>
  <c r="R5881" i="58"/>
  <c r="Q5880" i="58"/>
  <c r="R10887" i="58"/>
  <c r="Q10886" i="58"/>
  <c r="R6342" i="58"/>
  <c r="Q6341" i="58"/>
  <c r="R12295" i="58"/>
  <c r="Q12294" i="58"/>
  <c r="R10614" i="58"/>
  <c r="Q10613" i="58"/>
  <c r="R7562" i="58"/>
  <c r="Q7561" i="58"/>
  <c r="R10495" i="58"/>
  <c r="Q10494" i="58"/>
  <c r="R11741" i="58"/>
  <c r="Q11740" i="58"/>
  <c r="R6581" i="58"/>
  <c r="Q6580" i="58"/>
  <c r="R12445" i="58"/>
  <c r="Q12444" i="58"/>
  <c r="R10534" i="58"/>
  <c r="Q10533" i="58"/>
  <c r="R5789" i="58"/>
  <c r="Q5788" i="58"/>
  <c r="R12324" i="58"/>
  <c r="R12323" i="58"/>
  <c r="R9897" i="58"/>
  <c r="R9896" i="58"/>
  <c r="R10855" i="58"/>
  <c r="Q10854" i="58"/>
  <c r="R6640" i="58"/>
  <c r="Q6639" i="58"/>
  <c r="R12284" i="58"/>
  <c r="R12283" i="58"/>
  <c r="R10300" i="58"/>
  <c r="Q10299" i="58"/>
  <c r="R6211" i="58"/>
  <c r="Q6210" i="58"/>
  <c r="Q9681" i="58"/>
  <c r="R9682" i="58"/>
  <c r="R3896" i="58"/>
  <c r="R3895" i="58"/>
  <c r="R7810" i="58"/>
  <c r="Q7809" i="58"/>
  <c r="R6731" i="58"/>
  <c r="Q6730" i="58"/>
  <c r="R8469" i="58"/>
  <c r="Q8468" i="58"/>
  <c r="R6395" i="58"/>
  <c r="Q6394" i="58"/>
  <c r="R7092" i="58"/>
  <c r="Q7091" i="58"/>
  <c r="R7191" i="58"/>
  <c r="Q7190" i="58"/>
  <c r="R10075" i="58"/>
  <c r="R10074" i="58"/>
  <c r="R6224" i="58"/>
  <c r="Q6223" i="58"/>
  <c r="R10194" i="58"/>
  <c r="Q10193" i="58"/>
  <c r="R6700" i="58"/>
  <c r="Q6699" i="58"/>
  <c r="R7839" i="58"/>
  <c r="Q7838" i="58"/>
  <c r="R4605" i="58"/>
  <c r="R4604" i="58"/>
  <c r="R10587" i="58"/>
  <c r="Q10586" i="58"/>
  <c r="R6535" i="58"/>
  <c r="Q6534" i="58"/>
  <c r="R5247" i="58"/>
  <c r="R5246" i="58"/>
  <c r="R8544" i="58"/>
  <c r="Q8543" i="58"/>
  <c r="R9800" i="58"/>
  <c r="Q9799" i="58"/>
  <c r="R7793" i="58"/>
  <c r="Q7792" i="58"/>
  <c r="R7667" i="58"/>
  <c r="Q7666" i="58"/>
  <c r="R12255" i="58"/>
  <c r="Q12254" i="58"/>
  <c r="R7500" i="58"/>
  <c r="Q7499" i="58"/>
  <c r="R10446" i="58"/>
  <c r="Q10445" i="58"/>
  <c r="R8725" i="58"/>
  <c r="Q8724" i="58"/>
  <c r="R8132" i="58"/>
  <c r="Q8131" i="58"/>
  <c r="R9868" i="58"/>
  <c r="Q9867" i="58"/>
  <c r="R12638" i="58"/>
  <c r="R12637" i="58"/>
  <c r="R6910" i="58"/>
  <c r="Q6909" i="58"/>
  <c r="R12374" i="58"/>
  <c r="Q12373" i="58"/>
  <c r="R12746" i="58"/>
  <c r="R12745" i="58"/>
  <c r="R8765" i="58"/>
  <c r="Q8764" i="58"/>
  <c r="R11326" i="58"/>
  <c r="Q11325" i="58"/>
  <c r="R11400" i="58"/>
  <c r="Q11399" i="58"/>
  <c r="R8295" i="58"/>
  <c r="Q8294" i="58"/>
  <c r="R8622" i="58"/>
  <c r="Q8621" i="58"/>
  <c r="R12764" i="58"/>
  <c r="R12763" i="58"/>
  <c r="R8640" i="58"/>
  <c r="Q8639" i="58"/>
  <c r="R9479" i="58"/>
  <c r="R9478" i="58"/>
  <c r="R9331" i="58"/>
  <c r="Q9330" i="58"/>
  <c r="R6594" i="58"/>
  <c r="Q6593" i="58"/>
  <c r="R11221" i="58"/>
  <c r="R11220" i="58"/>
  <c r="Q5851" i="58"/>
  <c r="R5852" i="58"/>
  <c r="R4587" i="58"/>
  <c r="R4586" i="58"/>
  <c r="R10289" i="58"/>
  <c r="R10288" i="58"/>
  <c r="R3905" i="58"/>
  <c r="R3904" i="58"/>
  <c r="R7514" i="58"/>
  <c r="Q7513" i="58"/>
  <c r="R9031" i="58"/>
  <c r="Q9030" i="58"/>
  <c r="R9277" i="58"/>
  <c r="R9276" i="58"/>
  <c r="R10674" i="58"/>
  <c r="R10675" i="58"/>
  <c r="R12433" i="58"/>
  <c r="R12432" i="58"/>
  <c r="R12710" i="58"/>
  <c r="R12709" i="58"/>
  <c r="R11751" i="58"/>
  <c r="Q11750" i="58"/>
  <c r="R11100" i="58"/>
  <c r="Q11099" i="58"/>
  <c r="R9995" i="58"/>
  <c r="Q9994" i="58"/>
  <c r="R8781" i="58"/>
  <c r="Q8780" i="58"/>
  <c r="R4828" i="58"/>
  <c r="R4827" i="58"/>
  <c r="R11126" i="58"/>
  <c r="Q11125" i="58"/>
  <c r="R10522" i="58"/>
  <c r="Q10521" i="58"/>
  <c r="R5814" i="58"/>
  <c r="Q5813" i="58"/>
  <c r="R9343" i="58"/>
  <c r="Q9342" i="58"/>
  <c r="R6746" i="58"/>
  <c r="Q6745" i="58"/>
  <c r="R9499" i="58"/>
  <c r="R9498" i="58"/>
  <c r="R8889" i="58"/>
  <c r="Q8888" i="58"/>
  <c r="R5799" i="58"/>
  <c r="R5798" i="58"/>
  <c r="R6108" i="58"/>
  <c r="Q6107" i="58"/>
  <c r="R8223" i="58"/>
  <c r="Q8222" i="58"/>
  <c r="Q8237" i="58"/>
  <c r="R8238" i="58"/>
  <c r="R3824" i="58"/>
  <c r="Q3823" i="58"/>
  <c r="Q6237" i="58"/>
  <c r="R6238" i="58"/>
  <c r="R12304" i="58"/>
  <c r="R12303" i="58"/>
  <c r="R10653" i="58"/>
  <c r="R10652" i="58"/>
  <c r="Q6069" i="58"/>
  <c r="R6070" i="58"/>
  <c r="R11070" i="58"/>
  <c r="R11069" i="58"/>
  <c r="R9196" i="58"/>
  <c r="Q9195" i="58"/>
  <c r="R10173" i="58"/>
  <c r="R10172" i="58"/>
  <c r="R4704" i="58"/>
  <c r="R4703" i="58"/>
  <c r="R9439" i="58"/>
  <c r="R9438" i="58"/>
  <c r="R6805" i="58"/>
  <c r="Q6804" i="58"/>
  <c r="R12692" i="58"/>
  <c r="R12691" i="58"/>
  <c r="R11775" i="58"/>
  <c r="Q11774" i="58"/>
  <c r="R11463" i="58"/>
  <c r="R11462" i="58"/>
  <c r="Q11527" i="58"/>
  <c r="R11528" i="58"/>
  <c r="R7299" i="58"/>
  <c r="Q7298" i="58"/>
  <c r="R11587" i="58"/>
  <c r="R11586" i="58"/>
  <c r="R9098" i="58"/>
  <c r="Q9097" i="58"/>
  <c r="R8102" i="58"/>
  <c r="Q8101" i="58"/>
  <c r="R9749" i="58"/>
  <c r="R9748" i="58"/>
  <c r="R5840" i="58"/>
  <c r="Q5839" i="58"/>
  <c r="R9971" i="58"/>
  <c r="Q9970" i="58"/>
  <c r="R6083" i="58"/>
  <c r="Q6082" i="58"/>
  <c r="R9410" i="58"/>
  <c r="Q9409" i="58"/>
  <c r="R9298" i="58"/>
  <c r="Q9297" i="58"/>
  <c r="R5211" i="58"/>
  <c r="R5210" i="58"/>
  <c r="R11050" i="58"/>
  <c r="Q11049" i="58"/>
  <c r="R9877" i="58"/>
  <c r="R9876" i="58"/>
  <c r="R6304" i="58"/>
  <c r="Q6303" i="58"/>
  <c r="R10559" i="58"/>
  <c r="Q10558" i="58"/>
  <c r="Q8672" i="58"/>
  <c r="R8673" i="58"/>
  <c r="R8450" i="58"/>
  <c r="Q8449" i="58"/>
  <c r="R7149" i="58"/>
  <c r="Q7148" i="58"/>
  <c r="R8206" i="58"/>
  <c r="Q8205" i="58"/>
  <c r="R5283" i="58"/>
  <c r="R5282" i="58"/>
  <c r="R11763" i="58"/>
  <c r="Q11762" i="58"/>
  <c r="R9958" i="58"/>
  <c r="Q9957" i="58"/>
  <c r="Q10698" i="58"/>
  <c r="R10699" i="58"/>
  <c r="R7823" i="58"/>
  <c r="Q7822" i="58"/>
  <c r="R7374" i="58"/>
  <c r="Q7373" i="58"/>
  <c r="R7988" i="58"/>
  <c r="Q7987" i="58"/>
  <c r="R7680" i="58"/>
  <c r="Q7679" i="58"/>
  <c r="R6369" i="58"/>
  <c r="Q6368" i="58"/>
  <c r="R9630" i="58"/>
  <c r="Q9629" i="58"/>
  <c r="R9006" i="58"/>
  <c r="Q9005" i="58"/>
  <c r="R10375" i="58"/>
  <c r="R10374" i="58"/>
  <c r="R12579" i="58"/>
  <c r="Q12578" i="58"/>
  <c r="R6819" i="58"/>
  <c r="Q6818" i="58"/>
  <c r="R12398" i="58"/>
  <c r="Q12397" i="58"/>
  <c r="R10065" i="58"/>
  <c r="R10064" i="58"/>
  <c r="R10630" i="58"/>
  <c r="Q10629" i="58"/>
  <c r="R11617" i="58"/>
  <c r="R11616" i="58"/>
  <c r="R10227" i="58"/>
  <c r="Q10226" i="58"/>
  <c r="R11716" i="58"/>
  <c r="Q11715" i="58"/>
  <c r="R6926" i="58"/>
  <c r="Q6925" i="58"/>
  <c r="R8528" i="58"/>
  <c r="Q8527" i="58"/>
  <c r="R11427" i="58"/>
  <c r="R11426" i="58"/>
  <c r="R9430" i="58"/>
  <c r="Q9429" i="58"/>
  <c r="R12600" i="58"/>
  <c r="Q12599" i="58"/>
  <c r="R8283" i="58"/>
  <c r="Q8282" i="58"/>
  <c r="R11481" i="58"/>
  <c r="R11480" i="58"/>
  <c r="Q7107" i="58"/>
  <c r="R7108" i="58"/>
  <c r="R10665" i="58"/>
  <c r="Q10664" i="58"/>
  <c r="R11345" i="58"/>
  <c r="R11344" i="58"/>
  <c r="R4781" i="58"/>
  <c r="R4780" i="58"/>
  <c r="R6790" i="58"/>
  <c r="Q6789" i="58"/>
  <c r="R9490" i="58"/>
  <c r="Q9489" i="58"/>
  <c r="R9569" i="58"/>
  <c r="R9568" i="58"/>
  <c r="R6095" i="58"/>
  <c r="Q6094" i="58"/>
  <c r="R10112" i="58"/>
  <c r="Q10111" i="58"/>
  <c r="R5829" i="58"/>
  <c r="Q5828" i="58"/>
  <c r="R6611" i="58"/>
  <c r="Q6610" i="58"/>
  <c r="R9559" i="58"/>
  <c r="Q9558" i="58"/>
  <c r="R9308" i="58"/>
  <c r="Q9307" i="58"/>
  <c r="R7486" i="58"/>
  <c r="Q7485" i="58"/>
  <c r="R7545" i="58"/>
  <c r="Q7544" i="58"/>
  <c r="R10006" i="58"/>
  <c r="Q10005" i="58"/>
  <c r="R8687" i="58"/>
  <c r="Q8686" i="58"/>
  <c r="R8810" i="58"/>
  <c r="Q8809" i="58"/>
  <c r="R8824" i="58"/>
  <c r="Q8823" i="58"/>
  <c r="R8712" i="58"/>
  <c r="Q8711" i="58"/>
  <c r="R8796" i="58"/>
  <c r="Q8795" i="58"/>
  <c r="R11646" i="58"/>
  <c r="R11645" i="58"/>
  <c r="R12245" i="58"/>
  <c r="Q12244" i="58"/>
  <c r="R9019" i="58"/>
  <c r="Q9018" i="58"/>
  <c r="R8396" i="58"/>
  <c r="Q8395" i="58"/>
  <c r="R9832" i="58"/>
  <c r="Q9831" i="58"/>
  <c r="R7343" i="58"/>
  <c r="Q7342" i="58"/>
  <c r="R9127" i="58"/>
  <c r="R9126" i="58"/>
  <c r="R10238" i="58"/>
  <c r="Q10237" i="58"/>
  <c r="R10123" i="58"/>
  <c r="Q10122" i="58"/>
  <c r="Q6160" i="58"/>
  <c r="R6161" i="58"/>
  <c r="R9820" i="58"/>
  <c r="Q9819" i="58"/>
  <c r="R9118" i="58"/>
  <c r="Q9117" i="58"/>
  <c r="R7897" i="58"/>
  <c r="Q7896" i="58"/>
  <c r="R11085" i="58"/>
  <c r="Q11084" i="58"/>
  <c r="R6520" i="58"/>
  <c r="Q6519" i="58"/>
  <c r="R8927" i="58"/>
  <c r="Q8926" i="58"/>
  <c r="R9928" i="58"/>
  <c r="Q9927" i="58"/>
  <c r="R7929" i="58"/>
  <c r="Q7928" i="58"/>
  <c r="R10876" i="58"/>
  <c r="Q10875" i="58"/>
  <c r="R11172" i="58"/>
  <c r="Q11171" i="58"/>
  <c r="R9579" i="58"/>
  <c r="R9578" i="58"/>
  <c r="R11728" i="58"/>
  <c r="Q11727" i="58"/>
  <c r="R10865" i="58"/>
  <c r="Q10864" i="58"/>
  <c r="Q8993" i="58"/>
  <c r="R8994" i="58"/>
  <c r="R12719" i="58"/>
  <c r="R12718" i="58"/>
  <c r="R7220" i="58"/>
  <c r="Q7219" i="58"/>
  <c r="Q7649" i="58"/>
  <c r="R7650" i="58"/>
  <c r="R8980" i="58"/>
  <c r="Q8979" i="58"/>
  <c r="R8877" i="58"/>
  <c r="Q8876" i="58"/>
  <c r="R4819" i="58"/>
  <c r="R4818" i="58"/>
  <c r="R10144" i="58"/>
  <c r="Q10143" i="58"/>
  <c r="Q10279" i="58"/>
  <c r="R10280" i="58"/>
  <c r="R9590" i="58"/>
  <c r="Q9589" i="58"/>
  <c r="R9730" i="58"/>
  <c r="Q9729" i="58"/>
  <c r="R9065" i="58"/>
  <c r="R9064" i="58"/>
  <c r="R5562" i="58"/>
  <c r="R5561" i="58"/>
  <c r="R10153" i="58"/>
  <c r="R10152" i="58"/>
  <c r="R6278" i="58"/>
  <c r="Q6277" i="58"/>
  <c r="R8942" i="58"/>
  <c r="Q8941" i="58"/>
  <c r="R7066" i="58"/>
  <c r="Q7065" i="58"/>
  <c r="R8851" i="58"/>
  <c r="Q8850" i="58"/>
  <c r="R10732" i="58"/>
  <c r="Q10731" i="58"/>
  <c r="R9548" i="58"/>
  <c r="Q9547" i="58"/>
  <c r="R5591" i="58"/>
  <c r="Q5590" i="58"/>
  <c r="R7870" i="58"/>
  <c r="Q7869" i="58"/>
  <c r="R6715" i="58"/>
  <c r="Q6714" i="58"/>
  <c r="R9449" i="58"/>
  <c r="R9448" i="58"/>
  <c r="R10216" i="58"/>
  <c r="Q10215" i="58"/>
  <c r="R11277" i="58"/>
  <c r="R11276" i="58"/>
  <c r="R8903" i="58"/>
  <c r="Q8902" i="58"/>
  <c r="R7205" i="58"/>
  <c r="Q7204" i="58"/>
  <c r="R9739" i="58"/>
  <c r="R9738" i="58"/>
  <c r="R9511" i="58"/>
  <c r="Q9510" i="58"/>
  <c r="R11798" i="58"/>
  <c r="Q11797" i="58"/>
  <c r="R10311" i="58"/>
  <c r="Q10310" i="58"/>
  <c r="R11546" i="58"/>
  <c r="R11547" i="58"/>
  <c r="R8118" i="58"/>
  <c r="Q8117" i="58"/>
  <c r="R8603" i="58" l="1"/>
  <c r="Q8602" i="58"/>
  <c r="R10775" i="58"/>
  <c r="Q10774" i="58"/>
  <c r="Q12359" i="58"/>
  <c r="R12360" i="58"/>
  <c r="R7606" i="58"/>
  <c r="Q7605" i="58"/>
  <c r="R11201" i="58"/>
  <c r="R11200" i="58"/>
  <c r="R10821" i="58"/>
  <c r="Q10820" i="58"/>
  <c r="R4791" i="58"/>
  <c r="R4790" i="58"/>
  <c r="R7121" i="58"/>
  <c r="Q7120" i="58"/>
  <c r="R9319" i="58"/>
  <c r="Q9318" i="58"/>
  <c r="R9707" i="58"/>
  <c r="Q9706" i="58"/>
  <c r="Q9693" i="58"/>
  <c r="R9694" i="58"/>
  <c r="Q6847" i="58"/>
  <c r="R6848" i="58"/>
  <c r="R9136" i="58"/>
  <c r="R9137" i="58"/>
  <c r="R8564" i="58"/>
  <c r="Q8563" i="58"/>
  <c r="R7854" i="58"/>
  <c r="Q7853" i="58"/>
  <c r="Q8582" i="58"/>
  <c r="R8583" i="58"/>
  <c r="R9171" i="58"/>
  <c r="Q9170" i="58"/>
  <c r="Q5943" i="58"/>
  <c r="R5944" i="58"/>
  <c r="R11251" i="58"/>
  <c r="R11250" i="58"/>
  <c r="Q10506" i="58"/>
  <c r="R10507" i="58"/>
  <c r="R4770" i="58"/>
  <c r="R4771" i="58"/>
  <c r="R9041" i="58"/>
  <c r="R9040" i="58"/>
  <c r="R5027" i="58"/>
  <c r="Q5026" i="58"/>
  <c r="R8192" i="58"/>
  <c r="Q8191" i="58"/>
  <c r="R8488" i="58"/>
  <c r="Q8487" i="58"/>
  <c r="R5775" i="58"/>
  <c r="Q5774" i="58"/>
  <c r="R12274" i="58"/>
  <c r="R12273" i="58"/>
  <c r="R9159" i="58"/>
  <c r="Q9158" i="58"/>
  <c r="R11231" i="58"/>
  <c r="R11230" i="58"/>
  <c r="Q9842" i="58"/>
  <c r="R9843" i="58"/>
  <c r="Q7327" i="58"/>
  <c r="R7328" i="58"/>
  <c r="R11626" i="58"/>
  <c r="R11627" i="58"/>
  <c r="Q5037" i="58"/>
  <c r="R5038" i="58"/>
  <c r="R9183" i="58"/>
  <c r="Q9182" i="58"/>
  <c r="R9055" i="58"/>
  <c r="Q9054" i="58"/>
  <c r="R9598" i="58"/>
  <c r="R9599" i="58"/>
  <c r="R10133" i="58"/>
  <c r="R10132" i="58"/>
  <c r="Q6378" i="58"/>
  <c r="R6379" i="58"/>
  <c r="R5931" i="58"/>
  <c r="Q5930" i="58"/>
  <c r="R11180" i="58"/>
  <c r="R11181" i="58"/>
  <c r="Q7161" i="58"/>
  <c r="R7162" i="58"/>
  <c r="R7944" i="58"/>
  <c r="Q7943" i="58"/>
  <c r="R9226" i="58"/>
  <c r="R9227" i="58"/>
  <c r="R11537" i="58"/>
  <c r="R11536" i="58"/>
  <c r="R6565" i="58"/>
  <c r="Q6564" i="58"/>
  <c r="R10599" i="58"/>
  <c r="Q10598" i="58"/>
  <c r="R7050" i="58"/>
  <c r="Q7049" i="58"/>
  <c r="R10269" i="58"/>
  <c r="R10268" i="58"/>
  <c r="R7358" i="58"/>
  <c r="Q7357" i="58"/>
  <c r="R9769" i="58"/>
  <c r="R9768" i="58"/>
  <c r="R10385" i="58"/>
  <c r="R10384" i="58"/>
  <c r="R8751" i="58"/>
  <c r="Q8750" i="58"/>
  <c r="R11597" i="58"/>
  <c r="R11596" i="58"/>
  <c r="Q12191" i="58"/>
  <c r="R12192" i="58"/>
  <c r="R6625" i="58"/>
  <c r="Q6624" i="58"/>
  <c r="R7649" i="58"/>
  <c r="Q7648" i="58"/>
  <c r="R10310" i="58"/>
  <c r="Q10309" i="58"/>
  <c r="R9018" i="58"/>
  <c r="Q9017" i="58"/>
  <c r="R8527" i="58"/>
  <c r="Q8526" i="58"/>
  <c r="R9097" i="58"/>
  <c r="R9096" i="58"/>
  <c r="R9330" i="58"/>
  <c r="Q9329" i="58"/>
  <c r="R6580" i="58"/>
  <c r="Q6579" i="58"/>
  <c r="R12410" i="58"/>
  <c r="Q12409" i="58"/>
  <c r="R6237" i="58"/>
  <c r="Q6236" i="58"/>
  <c r="R7065" i="58"/>
  <c r="Q7064" i="58"/>
  <c r="R6094" i="58"/>
  <c r="Q6093" i="58"/>
  <c r="R12578" i="58"/>
  <c r="Q12577" i="58"/>
  <c r="R9297" i="58"/>
  <c r="R9296" i="58"/>
  <c r="R3823" i="58"/>
  <c r="Q3822" i="58"/>
  <c r="R8724" i="58"/>
  <c r="Q8723" i="58"/>
  <c r="R7809" i="58"/>
  <c r="Q7808" i="58"/>
  <c r="R8737" i="58"/>
  <c r="Q8736" i="58"/>
  <c r="R10481" i="58"/>
  <c r="Q10480" i="58"/>
  <c r="R4740" i="58"/>
  <c r="R4739" i="58"/>
  <c r="R5904" i="58"/>
  <c r="Q5903" i="58"/>
  <c r="R9367" i="58"/>
  <c r="Q9366" i="58"/>
  <c r="R11797" i="58"/>
  <c r="Q11796" i="58"/>
  <c r="R8282" i="58"/>
  <c r="Q8281" i="58"/>
  <c r="Q8448" i="58"/>
  <c r="R8449" i="58"/>
  <c r="R6534" i="58"/>
  <c r="Q6533" i="58"/>
  <c r="R8965" i="58"/>
  <c r="Q8964" i="58"/>
  <c r="R6250" i="58"/>
  <c r="Q6249" i="58"/>
  <c r="R7135" i="58"/>
  <c r="Q7134" i="58"/>
  <c r="R12385" i="58"/>
  <c r="Q12384" i="58"/>
  <c r="R9377" i="58"/>
  <c r="R9376" i="58"/>
  <c r="R7282" i="58"/>
  <c r="Q7281" i="58"/>
  <c r="R10279" i="58"/>
  <c r="R10278" i="58"/>
  <c r="R8237" i="58"/>
  <c r="Q8236" i="58"/>
  <c r="R10163" i="58"/>
  <c r="R10162" i="58"/>
  <c r="R10143" i="58"/>
  <c r="R10142" i="58"/>
  <c r="R8795" i="58"/>
  <c r="Q8794" i="58"/>
  <c r="R9489" i="58"/>
  <c r="R9488" i="58"/>
  <c r="R9195" i="58"/>
  <c r="Q9194" i="58"/>
  <c r="R5813" i="58"/>
  <c r="Q5812" i="58"/>
  <c r="Q10585" i="58"/>
  <c r="R10586" i="58"/>
  <c r="R7561" i="58"/>
  <c r="Q7560" i="58"/>
  <c r="R12347" i="58"/>
  <c r="Q12346" i="58"/>
  <c r="R7618" i="58"/>
  <c r="Q7617" i="58"/>
  <c r="R8993" i="58"/>
  <c r="Q8992" i="58"/>
  <c r="R10698" i="58"/>
  <c r="Q10697" i="58"/>
  <c r="R8672" i="58"/>
  <c r="Q8671" i="58"/>
  <c r="R11526" i="58"/>
  <c r="R11527" i="58"/>
  <c r="R9681" i="58"/>
  <c r="R9680" i="58"/>
  <c r="R10545" i="58"/>
  <c r="Q10544" i="58"/>
  <c r="R7869" i="58"/>
  <c r="Q7868" i="58"/>
  <c r="R10864" i="58"/>
  <c r="R10863" i="58"/>
  <c r="R6519" i="58"/>
  <c r="Q6518" i="58"/>
  <c r="R8711" i="58"/>
  <c r="Q8710" i="58"/>
  <c r="R9307" i="58"/>
  <c r="R9306" i="58"/>
  <c r="R6789" i="58"/>
  <c r="Q6788" i="58"/>
  <c r="R12599" i="58"/>
  <c r="R12598" i="58"/>
  <c r="R9957" i="58"/>
  <c r="R9956" i="58"/>
  <c r="R10558" i="58"/>
  <c r="Q10557" i="58"/>
  <c r="R9970" i="58"/>
  <c r="Q9969" i="58"/>
  <c r="R6107" i="58"/>
  <c r="Q6106" i="58"/>
  <c r="R10521" i="58"/>
  <c r="Q10520" i="58"/>
  <c r="R8621" i="58"/>
  <c r="Q8620" i="58"/>
  <c r="R6909" i="58"/>
  <c r="Q6908" i="58"/>
  <c r="R12254" i="58"/>
  <c r="R12253" i="58"/>
  <c r="R7091" i="58"/>
  <c r="Q7090" i="58"/>
  <c r="R10613" i="58"/>
  <c r="Q10612" i="58"/>
  <c r="R8698" i="58"/>
  <c r="Q8697" i="58"/>
  <c r="R10720" i="58"/>
  <c r="Q10719" i="58"/>
  <c r="R10322" i="58"/>
  <c r="Q10321" i="58"/>
  <c r="R9355" i="58"/>
  <c r="Q9354" i="58"/>
  <c r="R10456" i="58"/>
  <c r="R10455" i="58"/>
  <c r="R10420" i="58"/>
  <c r="Q10419" i="58"/>
  <c r="R9533" i="58"/>
  <c r="R9532" i="58"/>
  <c r="R7973" i="58"/>
  <c r="Q7972" i="58"/>
  <c r="R6758" i="58"/>
  <c r="Q6757" i="58"/>
  <c r="R6287" i="58"/>
  <c r="R6286" i="58"/>
  <c r="R8850" i="58"/>
  <c r="Q8849" i="58"/>
  <c r="R9854" i="58"/>
  <c r="Q9853" i="58"/>
  <c r="R11303" i="58"/>
  <c r="R11302" i="58"/>
  <c r="R8686" i="58"/>
  <c r="Q8685" i="58"/>
  <c r="R6818" i="58"/>
  <c r="Q6817" i="58"/>
  <c r="R8131" i="58"/>
  <c r="Q8130" i="58"/>
  <c r="R5880" i="58"/>
  <c r="Q5879" i="58"/>
  <c r="R6328" i="58"/>
  <c r="Q6327" i="58"/>
  <c r="R7635" i="58"/>
  <c r="Q7634" i="58"/>
  <c r="R6197" i="58"/>
  <c r="Q6196" i="58"/>
  <c r="R12244" i="58"/>
  <c r="R12243" i="58"/>
  <c r="R7148" i="58"/>
  <c r="Q7147" i="58"/>
  <c r="R6223" i="58"/>
  <c r="Q6222" i="58"/>
  <c r="R11740" i="58"/>
  <c r="Q11739" i="58"/>
  <c r="R11315" i="58"/>
  <c r="Q11314" i="58"/>
  <c r="R8860" i="58"/>
  <c r="R8859" i="58"/>
  <c r="R10055" i="58"/>
  <c r="R10054" i="58"/>
  <c r="R6184" i="58"/>
  <c r="Q6183" i="58"/>
  <c r="R9927" i="58"/>
  <c r="R9926" i="58"/>
  <c r="R7544" i="58"/>
  <c r="Q7543" i="58"/>
  <c r="R11715" i="58"/>
  <c r="Q11714" i="58"/>
  <c r="R7822" i="58"/>
  <c r="Q7821" i="58"/>
  <c r="R7298" i="58"/>
  <c r="Q7297" i="58"/>
  <c r="R11749" i="58"/>
  <c r="R11750" i="58"/>
  <c r="R8639" i="58"/>
  <c r="Q8638" i="58"/>
  <c r="Q10444" i="58"/>
  <c r="R10445" i="58"/>
  <c r="R10854" i="58"/>
  <c r="Q10853" i="58"/>
  <c r="Q8249" i="58"/>
  <c r="R8250" i="58"/>
  <c r="R6145" i="58"/>
  <c r="Q6144" i="58"/>
  <c r="R12517" i="58"/>
  <c r="Q12516" i="58"/>
  <c r="R6714" i="58"/>
  <c r="Q6713" i="58"/>
  <c r="R7485" i="58"/>
  <c r="Q7484" i="58"/>
  <c r="R6082" i="58"/>
  <c r="Q6081" i="58"/>
  <c r="R8222" i="58"/>
  <c r="Q8221" i="58"/>
  <c r="R7190" i="58"/>
  <c r="Q7189" i="58"/>
  <c r="R10470" i="58"/>
  <c r="Q10469" i="58"/>
  <c r="R8659" i="58"/>
  <c r="Q8658" i="58"/>
  <c r="R11059" i="58"/>
  <c r="R11058" i="58"/>
  <c r="R7204" i="58"/>
  <c r="Q7203" i="58"/>
  <c r="R5589" i="58"/>
  <c r="R5590" i="58"/>
  <c r="R8876" i="58"/>
  <c r="Q8875" i="58"/>
  <c r="R11727" i="58"/>
  <c r="Q11726" i="58"/>
  <c r="R11084" i="58"/>
  <c r="Q11083" i="58"/>
  <c r="R7342" i="58"/>
  <c r="Q7341" i="58"/>
  <c r="R8823" i="58"/>
  <c r="Q8822" i="58"/>
  <c r="R9558" i="58"/>
  <c r="Q9557" i="58"/>
  <c r="R9429" i="58"/>
  <c r="R9428" i="58"/>
  <c r="R10629" i="58"/>
  <c r="Q10628" i="58"/>
  <c r="R9629" i="58"/>
  <c r="R9628" i="58"/>
  <c r="R11762" i="58"/>
  <c r="Q11761" i="58"/>
  <c r="R6303" i="58"/>
  <c r="Q6302" i="58"/>
  <c r="R5839" i="58"/>
  <c r="Q5838" i="58"/>
  <c r="R11774" i="58"/>
  <c r="Q11773" i="58"/>
  <c r="R11125" i="58"/>
  <c r="Q11124" i="58"/>
  <c r="R8294" i="58"/>
  <c r="Q8293" i="58"/>
  <c r="R7666" i="58"/>
  <c r="Q7665" i="58"/>
  <c r="Q7837" i="58"/>
  <c r="R7838" i="58"/>
  <c r="R6394" i="58"/>
  <c r="Q6393" i="58"/>
  <c r="R6210" i="58"/>
  <c r="Q6209" i="58"/>
  <c r="R5788" i="58"/>
  <c r="Q5787" i="58"/>
  <c r="R12294" i="58"/>
  <c r="R12293" i="58"/>
  <c r="R6653" i="58"/>
  <c r="Q6652" i="58"/>
  <c r="R6407" i="58"/>
  <c r="Q6406" i="58"/>
  <c r="R10810" i="58"/>
  <c r="Q10809" i="58"/>
  <c r="R11112" i="58"/>
  <c r="Q11111" i="58"/>
  <c r="R10434" i="58"/>
  <c r="Q10433" i="58"/>
  <c r="R10687" i="58"/>
  <c r="Q10686" i="58"/>
  <c r="R8836" i="58"/>
  <c r="Q8835" i="58"/>
  <c r="R5918" i="58"/>
  <c r="Q5917" i="58"/>
  <c r="R6865" i="58"/>
  <c r="Q6864" i="58"/>
  <c r="R5891" i="58"/>
  <c r="Q5890" i="58"/>
  <c r="R12588" i="58"/>
  <c r="R12587" i="58"/>
  <c r="R6133" i="58"/>
  <c r="Q6132" i="58"/>
  <c r="R6550" i="58"/>
  <c r="Q6549" i="58"/>
  <c r="R8176" i="58"/>
  <c r="Q8175" i="58"/>
  <c r="R9819" i="58"/>
  <c r="R9818" i="58"/>
  <c r="R7987" i="58"/>
  <c r="Q7986" i="58"/>
  <c r="Q8542" i="58"/>
  <c r="R8543" i="58"/>
  <c r="R6639" i="58"/>
  <c r="Q6638" i="58"/>
  <c r="R10708" i="58"/>
  <c r="R10707" i="58"/>
  <c r="R7529" i="58"/>
  <c r="Q7528" i="58"/>
  <c r="R6314" i="58"/>
  <c r="Q6313" i="58"/>
  <c r="R7928" i="58"/>
  <c r="Q7927" i="58"/>
  <c r="R7373" i="58"/>
  <c r="Q7372" i="58"/>
  <c r="R6745" i="58"/>
  <c r="Q6744" i="58"/>
  <c r="R4761" i="58"/>
  <c r="Q4760" i="58"/>
  <c r="R10183" i="58"/>
  <c r="R10182" i="58"/>
  <c r="R8941" i="58"/>
  <c r="Q8940" i="58"/>
  <c r="R9409" i="58"/>
  <c r="R9408" i="58"/>
  <c r="R10494" i="58"/>
  <c r="Q10493" i="58"/>
  <c r="R9510" i="58"/>
  <c r="Q9509" i="58"/>
  <c r="R10237" i="58"/>
  <c r="R10236" i="58"/>
  <c r="R10226" i="58"/>
  <c r="Q10225" i="58"/>
  <c r="R7499" i="58"/>
  <c r="Q7498" i="58"/>
  <c r="R8162" i="58"/>
  <c r="Q8161" i="58"/>
  <c r="Q10407" i="58"/>
  <c r="R10408" i="58"/>
  <c r="R8954" i="58"/>
  <c r="Q8953" i="58"/>
  <c r="R9717" i="58"/>
  <c r="R9716" i="58"/>
  <c r="Q7958" i="58"/>
  <c r="R7959" i="58"/>
  <c r="Q8265" i="58"/>
  <c r="R8266" i="58"/>
  <c r="R6684" i="58"/>
  <c r="Q6683" i="58"/>
  <c r="R11700" i="58"/>
  <c r="Q11699" i="58"/>
  <c r="Q9206" i="58"/>
  <c r="R9207" i="58"/>
  <c r="R6069" i="58"/>
  <c r="Q6068" i="58"/>
  <c r="R5851" i="58"/>
  <c r="R5850" i="58"/>
  <c r="R6120" i="58"/>
  <c r="Q6119" i="58"/>
  <c r="R7219" i="58"/>
  <c r="Q7218" i="58"/>
  <c r="R10111" i="58"/>
  <c r="Q10110" i="58"/>
  <c r="R9994" i="58"/>
  <c r="Q9993" i="58"/>
  <c r="R10193" i="58"/>
  <c r="R10192" i="58"/>
  <c r="Q12422" i="58"/>
  <c r="R12423" i="58"/>
  <c r="R7313" i="58"/>
  <c r="Q7312" i="58"/>
  <c r="R6354" i="58"/>
  <c r="Q6353" i="58"/>
  <c r="R9589" i="58"/>
  <c r="R9588" i="58"/>
  <c r="R6925" i="58"/>
  <c r="Q6924" i="58"/>
  <c r="R11099" i="58"/>
  <c r="Q11098" i="58"/>
  <c r="R6160" i="58"/>
  <c r="Q6159" i="58"/>
  <c r="R10122" i="58"/>
  <c r="Q10121" i="58"/>
  <c r="R6277" i="58"/>
  <c r="Q6276" i="58"/>
  <c r="R9005" i="58"/>
  <c r="Q9004" i="58"/>
  <c r="R8117" i="58"/>
  <c r="Q8116" i="58"/>
  <c r="R9547" i="58"/>
  <c r="Q9546" i="58"/>
  <c r="R8979" i="58"/>
  <c r="Q8978" i="58"/>
  <c r="R7896" i="58"/>
  <c r="Q7895" i="58"/>
  <c r="R9831" i="58"/>
  <c r="Q9830" i="58"/>
  <c r="R8809" i="58"/>
  <c r="Q8808" i="58"/>
  <c r="R6610" i="58"/>
  <c r="Q6609" i="58"/>
  <c r="R6368" i="58"/>
  <c r="Q6367" i="58"/>
  <c r="R11399" i="58"/>
  <c r="Q11398" i="58"/>
  <c r="R7792" i="58"/>
  <c r="Q7791" i="58"/>
  <c r="R6699" i="58"/>
  <c r="Q6698" i="58"/>
  <c r="R8468" i="58"/>
  <c r="Q8467" i="58"/>
  <c r="R10299" i="58"/>
  <c r="R10298" i="58"/>
  <c r="R10533" i="58"/>
  <c r="Q10532" i="58"/>
  <c r="R6341" i="58"/>
  <c r="Q6340" i="58"/>
  <c r="R7912" i="58"/>
  <c r="Q7911" i="58"/>
  <c r="Q10642" i="58"/>
  <c r="R10643" i="58"/>
  <c r="Q6894" i="58"/>
  <c r="R6895" i="58"/>
  <c r="R8914" i="58"/>
  <c r="Q8913" i="58"/>
  <c r="R9522" i="58"/>
  <c r="Q9521" i="58"/>
  <c r="Q7176" i="58"/>
  <c r="R7177" i="58"/>
  <c r="R5865" i="58"/>
  <c r="Q5864" i="58"/>
  <c r="R10334" i="58"/>
  <c r="Q10333" i="58"/>
  <c r="R7078" i="58"/>
  <c r="Q7077" i="58"/>
  <c r="R8508" i="58"/>
  <c r="Q8507" i="58"/>
  <c r="R12455" i="58"/>
  <c r="R12454" i="58"/>
  <c r="R11140" i="58"/>
  <c r="Q11139" i="58"/>
  <c r="R10741" i="58"/>
  <c r="R10740" i="58"/>
  <c r="R10875" i="58"/>
  <c r="R10874" i="58"/>
  <c r="R7513" i="58"/>
  <c r="Q7512" i="58"/>
  <c r="Q6729" i="58"/>
  <c r="R6730" i="58"/>
  <c r="R7590" i="58"/>
  <c r="Q7589" i="58"/>
  <c r="R7107" i="58"/>
  <c r="Q7106" i="58"/>
  <c r="R10215" i="58"/>
  <c r="Q10214" i="58"/>
  <c r="R10005" i="58"/>
  <c r="R10004" i="58"/>
  <c r="R10099" i="58"/>
  <c r="Q10098" i="58"/>
  <c r="R9342" i="58"/>
  <c r="Q9341" i="58"/>
  <c r="R6171" i="58"/>
  <c r="Q6170" i="58"/>
  <c r="Q8925" i="58"/>
  <c r="R8926" i="58"/>
  <c r="R12373" i="58"/>
  <c r="Q12372" i="58"/>
  <c r="R7882" i="58"/>
  <c r="Q7881" i="58"/>
  <c r="R9267" i="58"/>
  <c r="R9266" i="58"/>
  <c r="R7035" i="58"/>
  <c r="Q7034" i="58"/>
  <c r="R7576" i="58"/>
  <c r="Q7575" i="58"/>
  <c r="R12619" i="58"/>
  <c r="Q12618" i="58"/>
  <c r="R8764" i="58"/>
  <c r="Q8763" i="58"/>
  <c r="R8902" i="58"/>
  <c r="Q8901" i="58"/>
  <c r="R10731" i="58"/>
  <c r="Q10730" i="58"/>
  <c r="R9729" i="58"/>
  <c r="R9728" i="58"/>
  <c r="R11171" i="58"/>
  <c r="R11170" i="58"/>
  <c r="R9117" i="58"/>
  <c r="R9116" i="58"/>
  <c r="R8395" i="58"/>
  <c r="Q8394" i="58"/>
  <c r="R5828" i="58"/>
  <c r="Q5827" i="58"/>
  <c r="R10664" i="58"/>
  <c r="R10663" i="58"/>
  <c r="R12397" i="58"/>
  <c r="Q12396" i="58"/>
  <c r="R7679" i="58"/>
  <c r="Q7678" i="58"/>
  <c r="R8205" i="58"/>
  <c r="Q8204" i="58"/>
  <c r="R11049" i="58"/>
  <c r="Q11048" i="58"/>
  <c r="R8101" i="58"/>
  <c r="Q8100" i="58"/>
  <c r="R6804" i="58"/>
  <c r="Q6803" i="58"/>
  <c r="R8888" i="58"/>
  <c r="Q8887" i="58"/>
  <c r="R8780" i="58"/>
  <c r="Q8779" i="58"/>
  <c r="R9030" i="58"/>
  <c r="Q9029" i="58"/>
  <c r="R6593" i="58"/>
  <c r="Q6592" i="58"/>
  <c r="R11325" i="58"/>
  <c r="R11324" i="58"/>
  <c r="R9867" i="58"/>
  <c r="Q9866" i="58"/>
  <c r="R9799" i="58"/>
  <c r="R9798" i="58"/>
  <c r="R12444" i="58"/>
  <c r="R12443" i="58"/>
  <c r="R10886" i="58"/>
  <c r="R10885" i="58"/>
  <c r="R9887" i="58"/>
  <c r="R9886" i="58"/>
  <c r="R11786" i="58"/>
  <c r="Q11785" i="58"/>
  <c r="R6879" i="58"/>
  <c r="Q6878" i="58"/>
  <c r="R6669" i="58"/>
  <c r="Q6668" i="58"/>
  <c r="R6262" i="58"/>
  <c r="Q6261" i="58"/>
  <c r="R6775" i="58"/>
  <c r="Q6774" i="58"/>
  <c r="R6835" i="58"/>
  <c r="Q6834" i="58"/>
  <c r="R10572" i="58"/>
  <c r="Q10571" i="58"/>
  <c r="R8147" i="58"/>
  <c r="Q8146" i="58"/>
  <c r="R9983" i="58"/>
  <c r="Q9982" i="58"/>
  <c r="R6056" i="58"/>
  <c r="Q6055" i="58"/>
  <c r="R8602" i="58" l="1"/>
  <c r="Q8601" i="58"/>
  <c r="R9318" i="58"/>
  <c r="Q9317" i="58"/>
  <c r="R10820" i="58"/>
  <c r="R10819" i="58"/>
  <c r="R12191" i="58"/>
  <c r="Q12190" i="58"/>
  <c r="R8487" i="58"/>
  <c r="Q8486" i="58"/>
  <c r="Q8190" i="58"/>
  <c r="R8191" i="58"/>
  <c r="R7853" i="58"/>
  <c r="Q7852" i="58"/>
  <c r="Q8562" i="58"/>
  <c r="R8563" i="58"/>
  <c r="R6564" i="58"/>
  <c r="Q6563" i="58"/>
  <c r="Q8749" i="58"/>
  <c r="R8750" i="58"/>
  <c r="R9158" i="58"/>
  <c r="Q9157" i="58"/>
  <c r="Q7604" i="58"/>
  <c r="R7605" i="58"/>
  <c r="R10506" i="58"/>
  <c r="Q10505" i="58"/>
  <c r="R6847" i="58"/>
  <c r="Q6846" i="58"/>
  <c r="R5037" i="58"/>
  <c r="R5036" i="58"/>
  <c r="R5930" i="58"/>
  <c r="Q5929" i="58"/>
  <c r="Q9053" i="58"/>
  <c r="R9054" i="58"/>
  <c r="R9170" i="58"/>
  <c r="Q9169" i="58"/>
  <c r="R7161" i="58"/>
  <c r="Q7160" i="58"/>
  <c r="R7120" i="58"/>
  <c r="Q7119" i="58"/>
  <c r="R5026" i="58"/>
  <c r="Q5025" i="58"/>
  <c r="R9693" i="58"/>
  <c r="R9692" i="58"/>
  <c r="R12359" i="58"/>
  <c r="Q12358" i="58"/>
  <c r="Q7048" i="58"/>
  <c r="R7049" i="58"/>
  <c r="R7327" i="58"/>
  <c r="Q7326" i="58"/>
  <c r="R6378" i="58"/>
  <c r="R6377" i="58"/>
  <c r="R7943" i="58"/>
  <c r="Q7942" i="58"/>
  <c r="R9182" i="58"/>
  <c r="Q9181" i="58"/>
  <c r="Q5773" i="58"/>
  <c r="R5774" i="58"/>
  <c r="Q9705" i="58"/>
  <c r="R9706" i="58"/>
  <c r="R10774" i="58"/>
  <c r="R10773" i="58"/>
  <c r="Q7356" i="58"/>
  <c r="R7357" i="58"/>
  <c r="R8582" i="58"/>
  <c r="Q8581" i="58"/>
  <c r="R6624" i="58"/>
  <c r="Q6623" i="58"/>
  <c r="Q10597" i="58"/>
  <c r="R10598" i="58"/>
  <c r="R9842" i="58"/>
  <c r="Q9841" i="58"/>
  <c r="R5943" i="58"/>
  <c r="Q5942" i="58"/>
  <c r="R10571" i="58"/>
  <c r="Q10570" i="58"/>
  <c r="R11139" i="58"/>
  <c r="Q11138" i="58"/>
  <c r="R8161" i="58"/>
  <c r="Q8160" i="58"/>
  <c r="R11761" i="58"/>
  <c r="R11760" i="58"/>
  <c r="R7972" i="58"/>
  <c r="Q7971" i="58"/>
  <c r="R9029" i="58"/>
  <c r="R9028" i="58"/>
  <c r="R7791" i="58"/>
  <c r="Q7790" i="58"/>
  <c r="R4760" i="58"/>
  <c r="R4759" i="58"/>
  <c r="R8875" i="58"/>
  <c r="Q8874" i="58"/>
  <c r="R12384" i="58"/>
  <c r="Q12383" i="58"/>
  <c r="R6774" i="58"/>
  <c r="Q6773" i="58"/>
  <c r="R8507" i="58"/>
  <c r="Q8506" i="58"/>
  <c r="R6683" i="58"/>
  <c r="Q6682" i="58"/>
  <c r="R9969" i="58"/>
  <c r="R9968" i="58"/>
  <c r="R9366" i="58"/>
  <c r="Q9365" i="58"/>
  <c r="R8925" i="58"/>
  <c r="R8924" i="58"/>
  <c r="R7589" i="58"/>
  <c r="Q7588" i="58"/>
  <c r="R7484" i="58"/>
  <c r="Q7483" i="58"/>
  <c r="R6353" i="58"/>
  <c r="Q6352" i="58"/>
  <c r="R7372" i="58"/>
  <c r="Q7371" i="58"/>
  <c r="R6713" i="58"/>
  <c r="Q6712" i="58"/>
  <c r="R8849" i="58"/>
  <c r="Q8848" i="58"/>
  <c r="R8964" i="58"/>
  <c r="R8963" i="58"/>
  <c r="R7958" i="58"/>
  <c r="Q7957" i="58"/>
  <c r="R10730" i="58"/>
  <c r="R10729" i="58"/>
  <c r="R7895" i="58"/>
  <c r="Q7894" i="58"/>
  <c r="R8221" i="58"/>
  <c r="Q8220" i="58"/>
  <c r="R8697" i="58"/>
  <c r="Q8696" i="58"/>
  <c r="R9194" i="58"/>
  <c r="Q9193" i="58"/>
  <c r="R7837" i="58"/>
  <c r="Q7836" i="58"/>
  <c r="R12396" i="58"/>
  <c r="R12395" i="58"/>
  <c r="R8978" i="58"/>
  <c r="Q8977" i="58"/>
  <c r="R5890" i="58"/>
  <c r="R5889" i="58"/>
  <c r="R8779" i="58"/>
  <c r="Q8778" i="58"/>
  <c r="R10612" i="58"/>
  <c r="Q10611" i="58"/>
  <c r="R8992" i="58"/>
  <c r="Q8991" i="58"/>
  <c r="R5827" i="58"/>
  <c r="Q5826" i="58"/>
  <c r="R7911" i="58"/>
  <c r="Q7910" i="58"/>
  <c r="R6744" i="58"/>
  <c r="Q6743" i="58"/>
  <c r="R11124" i="58"/>
  <c r="Q11123" i="58"/>
  <c r="R9853" i="58"/>
  <c r="R9852" i="58"/>
  <c r="R10557" i="58"/>
  <c r="Q10556" i="58"/>
  <c r="R6249" i="58"/>
  <c r="Q6248" i="58"/>
  <c r="R6055" i="58"/>
  <c r="Q6054" i="58"/>
  <c r="R9341" i="58"/>
  <c r="R9340" i="58"/>
  <c r="R8116" i="58"/>
  <c r="Q8115" i="58"/>
  <c r="R7297" i="58"/>
  <c r="Q7296" i="58"/>
  <c r="R9354" i="58"/>
  <c r="Q9353" i="58"/>
  <c r="R7868" i="58"/>
  <c r="Q7867" i="58"/>
  <c r="R6668" i="58"/>
  <c r="Q6667" i="58"/>
  <c r="R8100" i="58"/>
  <c r="Q8099" i="58"/>
  <c r="R7512" i="58"/>
  <c r="Q7511" i="58"/>
  <c r="R5864" i="58"/>
  <c r="R5863" i="58"/>
  <c r="R10532" i="58"/>
  <c r="Q10531" i="58"/>
  <c r="R6609" i="58"/>
  <c r="Q6608" i="58"/>
  <c r="R9004" i="58"/>
  <c r="Q9003" i="58"/>
  <c r="R7312" i="58"/>
  <c r="Q7311" i="58"/>
  <c r="R6119" i="58"/>
  <c r="Q6118" i="58"/>
  <c r="R10493" i="58"/>
  <c r="Q10492" i="58"/>
  <c r="R7927" i="58"/>
  <c r="Q7926" i="58"/>
  <c r="R8175" i="58"/>
  <c r="Q8174" i="58"/>
  <c r="R8835" i="58"/>
  <c r="Q8834" i="58"/>
  <c r="R5787" i="58"/>
  <c r="Q5786" i="58"/>
  <c r="R11773" i="58"/>
  <c r="R11772" i="58"/>
  <c r="R8822" i="58"/>
  <c r="Q8821" i="58"/>
  <c r="R8658" i="58"/>
  <c r="Q8657" i="58"/>
  <c r="R12516" i="58"/>
  <c r="Q12515" i="58"/>
  <c r="R7821" i="58"/>
  <c r="Q7820" i="58"/>
  <c r="R11739" i="58"/>
  <c r="Q11738" i="58"/>
  <c r="R6327" i="58"/>
  <c r="Q6326" i="58"/>
  <c r="R10320" i="58"/>
  <c r="R10321" i="58"/>
  <c r="R10544" i="58"/>
  <c r="Q10543" i="58"/>
  <c r="Q7559" i="58"/>
  <c r="R7560" i="58"/>
  <c r="R8236" i="58"/>
  <c r="Q8235" i="58"/>
  <c r="Q6532" i="58"/>
  <c r="R6533" i="58"/>
  <c r="R10480" i="58"/>
  <c r="R10479" i="58"/>
  <c r="R7064" i="58"/>
  <c r="Q7063" i="58"/>
  <c r="R9017" i="58"/>
  <c r="Q9016" i="58"/>
  <c r="R7881" i="58"/>
  <c r="Q7880" i="58"/>
  <c r="R6698" i="58"/>
  <c r="Q6697" i="58"/>
  <c r="R7147" i="58"/>
  <c r="Q7146" i="58"/>
  <c r="R10520" i="58"/>
  <c r="Q10519" i="58"/>
  <c r="R8671" i="58"/>
  <c r="Q8670" i="58"/>
  <c r="R12372" i="58"/>
  <c r="Q12371" i="58"/>
  <c r="R11699" i="58"/>
  <c r="R11698" i="58"/>
  <c r="R6183" i="58"/>
  <c r="R6182" i="58"/>
  <c r="Q6105" i="58"/>
  <c r="R6106" i="58"/>
  <c r="R10697" i="58"/>
  <c r="R10696" i="58"/>
  <c r="R8293" i="58"/>
  <c r="Q8292" i="58"/>
  <c r="R8794" i="58"/>
  <c r="Q8793" i="58"/>
  <c r="R6170" i="58"/>
  <c r="R6169" i="58"/>
  <c r="R7986" i="58"/>
  <c r="Q7985" i="58"/>
  <c r="R7203" i="58"/>
  <c r="Q7202" i="58"/>
  <c r="R5903" i="58"/>
  <c r="R5902" i="58"/>
  <c r="R8394" i="58"/>
  <c r="Q8393" i="58"/>
  <c r="R6340" i="58"/>
  <c r="Q6339" i="58"/>
  <c r="R9508" i="58"/>
  <c r="R9509" i="58"/>
  <c r="R7634" i="58"/>
  <c r="Q7633" i="58"/>
  <c r="R12346" i="58"/>
  <c r="Q12345" i="58"/>
  <c r="R6159" i="58"/>
  <c r="Q6158" i="58"/>
  <c r="R11111" i="58"/>
  <c r="Q11110" i="58"/>
  <c r="R6817" i="58"/>
  <c r="Q6816" i="58"/>
  <c r="R8281" i="58"/>
  <c r="Q8280" i="58"/>
  <c r="R8901" i="58"/>
  <c r="Q8900" i="58"/>
  <c r="R11098" i="58"/>
  <c r="Q11097" i="58"/>
  <c r="R7665" i="58"/>
  <c r="Q7664" i="58"/>
  <c r="R11796" i="58"/>
  <c r="R11795" i="58"/>
  <c r="R8763" i="58"/>
  <c r="R8762" i="58"/>
  <c r="R6924" i="58"/>
  <c r="Q6923" i="58"/>
  <c r="R6406" i="58"/>
  <c r="Q6405" i="58"/>
  <c r="R7134" i="58"/>
  <c r="Q7133" i="58"/>
  <c r="R10642" i="58"/>
  <c r="Q10641" i="58"/>
  <c r="R7077" i="58"/>
  <c r="Q7076" i="58"/>
  <c r="R6652" i="58"/>
  <c r="Q6651" i="58"/>
  <c r="R6196" i="58"/>
  <c r="R6195" i="58"/>
  <c r="R7617" i="58"/>
  <c r="Q7616" i="58"/>
  <c r="R6803" i="58"/>
  <c r="Q6802" i="58"/>
  <c r="R10333" i="58"/>
  <c r="R10332" i="58"/>
  <c r="R7218" i="58"/>
  <c r="Q7217" i="58"/>
  <c r="R5917" i="58"/>
  <c r="Q5916" i="58"/>
  <c r="R11314" i="58"/>
  <c r="R11313" i="58"/>
  <c r="R7090" i="58"/>
  <c r="Q7089" i="58"/>
  <c r="Q6728" i="58"/>
  <c r="R6729" i="58"/>
  <c r="R9982" i="58"/>
  <c r="Q9981" i="58"/>
  <c r="R6878" i="58"/>
  <c r="Q6877" i="58"/>
  <c r="R9866" i="58"/>
  <c r="Q9865" i="58"/>
  <c r="R11047" i="58"/>
  <c r="R11048" i="58"/>
  <c r="R7034" i="58"/>
  <c r="Q7033" i="58"/>
  <c r="R10098" i="58"/>
  <c r="Q10097" i="58"/>
  <c r="R8808" i="58"/>
  <c r="Q8807" i="58"/>
  <c r="R6276" i="58"/>
  <c r="Q6275" i="58"/>
  <c r="R8953" i="58"/>
  <c r="Q8952" i="58"/>
  <c r="R6313" i="58"/>
  <c r="R6312" i="58"/>
  <c r="R6549" i="58"/>
  <c r="Q6548" i="58"/>
  <c r="R10686" i="58"/>
  <c r="R10685" i="58"/>
  <c r="R6209" i="58"/>
  <c r="R6208" i="58"/>
  <c r="R5838" i="58"/>
  <c r="R5837" i="58"/>
  <c r="R7341" i="58"/>
  <c r="Q7340" i="58"/>
  <c r="Q10468" i="58"/>
  <c r="R10469" i="58"/>
  <c r="R6144" i="58"/>
  <c r="R6143" i="58"/>
  <c r="R11714" i="58"/>
  <c r="Q11713" i="58"/>
  <c r="R6222" i="58"/>
  <c r="R6221" i="58"/>
  <c r="R5879" i="58"/>
  <c r="Q5878" i="58"/>
  <c r="R10718" i="58"/>
  <c r="R10719" i="58"/>
  <c r="R6908" i="58"/>
  <c r="Q6907" i="58"/>
  <c r="R8736" i="58"/>
  <c r="Q8735" i="58"/>
  <c r="R6236" i="58"/>
  <c r="Q6235" i="58"/>
  <c r="R10309" i="58"/>
  <c r="R10308" i="58"/>
  <c r="R7678" i="58"/>
  <c r="Q7677" i="58"/>
  <c r="R8723" i="58"/>
  <c r="Q8722" i="58"/>
  <c r="R9206" i="58"/>
  <c r="Q9205" i="58"/>
  <c r="R10214" i="58"/>
  <c r="Q10213" i="58"/>
  <c r="R7498" i="58"/>
  <c r="Q7497" i="58"/>
  <c r="R6081" i="58"/>
  <c r="Q6080" i="58"/>
  <c r="Q6578" i="58"/>
  <c r="R6579" i="58"/>
  <c r="R7106" i="58"/>
  <c r="Q7105" i="58"/>
  <c r="R10225" i="58"/>
  <c r="R10224" i="58"/>
  <c r="R8638" i="58"/>
  <c r="Q8637" i="58"/>
  <c r="R9329" i="58"/>
  <c r="R9328" i="58"/>
  <c r="R6367" i="58"/>
  <c r="Q6366" i="58"/>
  <c r="R8265" i="58"/>
  <c r="Q8264" i="58"/>
  <c r="R6261" i="58"/>
  <c r="R6260" i="58"/>
  <c r="R6093" i="58"/>
  <c r="Q6092" i="58"/>
  <c r="R7176" i="58"/>
  <c r="Q7175" i="58"/>
  <c r="Q10584" i="58"/>
  <c r="R10585" i="58"/>
  <c r="R6592" i="58"/>
  <c r="Q6591" i="58"/>
  <c r="R10853" i="58"/>
  <c r="R10852" i="58"/>
  <c r="R6834" i="58"/>
  <c r="Q6833" i="58"/>
  <c r="R6638" i="58"/>
  <c r="Q6637" i="58"/>
  <c r="R8685" i="58"/>
  <c r="Q8684" i="58"/>
  <c r="R3822" i="58"/>
  <c r="Q3821" i="58"/>
  <c r="R10444" i="58"/>
  <c r="R10443" i="58"/>
  <c r="R11398" i="58"/>
  <c r="Q11397" i="58"/>
  <c r="R6864" i="58"/>
  <c r="Q6863" i="58"/>
  <c r="R10419" i="58"/>
  <c r="Q10418" i="58"/>
  <c r="R8542" i="58"/>
  <c r="Q8541" i="58"/>
  <c r="R12618" i="58"/>
  <c r="R12617" i="58"/>
  <c r="R12577" i="58"/>
  <c r="R12576" i="58"/>
  <c r="R7575" i="58"/>
  <c r="Q7574" i="58"/>
  <c r="R8526" i="58"/>
  <c r="Q8525" i="58"/>
  <c r="R8146" i="58"/>
  <c r="Q8145" i="58"/>
  <c r="R11785" i="58"/>
  <c r="Q11784" i="58"/>
  <c r="R8204" i="58"/>
  <c r="Q8203" i="58"/>
  <c r="R9521" i="58"/>
  <c r="R9520" i="58"/>
  <c r="R8467" i="58"/>
  <c r="Q8466" i="58"/>
  <c r="R9830" i="58"/>
  <c r="Q9829" i="58"/>
  <c r="R10121" i="58"/>
  <c r="R10120" i="58"/>
  <c r="R6068" i="58"/>
  <c r="Q6067" i="58"/>
  <c r="R8940" i="58"/>
  <c r="Q8939" i="58"/>
  <c r="R7528" i="58"/>
  <c r="Q7527" i="58"/>
  <c r="R6132" i="58"/>
  <c r="Q6131" i="58"/>
  <c r="R10433" i="58"/>
  <c r="Q10432" i="58"/>
  <c r="R6393" i="58"/>
  <c r="Q6392" i="58"/>
  <c r="R6302" i="58"/>
  <c r="Q6301" i="58"/>
  <c r="R11083" i="58"/>
  <c r="Q11082" i="58"/>
  <c r="R7189" i="58"/>
  <c r="Q7188" i="58"/>
  <c r="R7543" i="58"/>
  <c r="Q7542" i="58"/>
  <c r="R8130" i="58"/>
  <c r="Q8129" i="58"/>
  <c r="R6757" i="58"/>
  <c r="Q6756" i="58"/>
  <c r="R8620" i="58"/>
  <c r="Q8619" i="58"/>
  <c r="R6788" i="58"/>
  <c r="Q6787" i="58"/>
  <c r="R5812" i="58"/>
  <c r="R5811" i="58"/>
  <c r="R7281" i="58"/>
  <c r="Q7280" i="58"/>
  <c r="R7808" i="58"/>
  <c r="Q7807" i="58"/>
  <c r="R12409" i="58"/>
  <c r="R12408" i="58"/>
  <c r="R7648" i="58"/>
  <c r="Q7647" i="58"/>
  <c r="R8913" i="58"/>
  <c r="Q8912" i="58"/>
  <c r="R11726" i="58"/>
  <c r="Q11725" i="58"/>
  <c r="R9993" i="58"/>
  <c r="R9992" i="58"/>
  <c r="R10808" i="58"/>
  <c r="R10809" i="58"/>
  <c r="R8710" i="58"/>
  <c r="Q8709" i="58"/>
  <c r="R6894" i="58"/>
  <c r="Q6893" i="58"/>
  <c r="R9546" i="58"/>
  <c r="Q9545" i="58"/>
  <c r="R10628" i="58"/>
  <c r="Q10627" i="58"/>
  <c r="R6518" i="58"/>
  <c r="Q6517" i="58"/>
  <c r="R8887" i="58"/>
  <c r="Q8886" i="58"/>
  <c r="R10110" i="58"/>
  <c r="Q10109" i="58"/>
  <c r="R9557" i="58"/>
  <c r="R9556" i="58"/>
  <c r="R12422" i="58"/>
  <c r="R12421" i="58"/>
  <c r="R10407" i="58"/>
  <c r="Q10406" i="58"/>
  <c r="R8249" i="58"/>
  <c r="Q8248" i="58"/>
  <c r="R8448" i="58"/>
  <c r="Q8447" i="58"/>
  <c r="R8601" i="58" l="1"/>
  <c r="Q8600" i="58"/>
  <c r="R5928" i="58"/>
  <c r="R5929" i="58"/>
  <c r="R5773" i="58"/>
  <c r="R5772" i="58"/>
  <c r="R7326" i="58"/>
  <c r="Q7325" i="58"/>
  <c r="R7852" i="58"/>
  <c r="Q7851" i="58"/>
  <c r="R8190" i="58"/>
  <c r="Q8189" i="58"/>
  <c r="R10504" i="58"/>
  <c r="R10505" i="58"/>
  <c r="R9841" i="58"/>
  <c r="R9840" i="58"/>
  <c r="R9180" i="58"/>
  <c r="R9181" i="58"/>
  <c r="R7119" i="58"/>
  <c r="Q7118" i="58"/>
  <c r="R12190" i="58"/>
  <c r="Q12189" i="58"/>
  <c r="R6846" i="58"/>
  <c r="Q6845" i="58"/>
  <c r="R9704" i="58"/>
  <c r="R9705" i="58"/>
  <c r="R5025" i="58"/>
  <c r="R5024" i="58"/>
  <c r="R7604" i="58"/>
  <c r="Q7603" i="58"/>
  <c r="Q8561" i="58"/>
  <c r="R8562" i="58"/>
  <c r="Q7941" i="58"/>
  <c r="R7942" i="58"/>
  <c r="R7160" i="58"/>
  <c r="Q7159" i="58"/>
  <c r="R9156" i="58"/>
  <c r="R9157" i="58"/>
  <c r="R9053" i="58"/>
  <c r="R9052" i="58"/>
  <c r="R5942" i="58"/>
  <c r="R5941" i="58"/>
  <c r="R10596" i="58"/>
  <c r="R10597" i="58"/>
  <c r="R8581" i="58"/>
  <c r="Q8580" i="58"/>
  <c r="R7356" i="58"/>
  <c r="Q7355" i="58"/>
  <c r="R6623" i="58"/>
  <c r="Q6622" i="58"/>
  <c r="R9169" i="58"/>
  <c r="R9168" i="58"/>
  <c r="R9317" i="58"/>
  <c r="R9316" i="58"/>
  <c r="Q6562" i="58"/>
  <c r="R6563" i="58"/>
  <c r="R7048" i="58"/>
  <c r="Q7047" i="58"/>
  <c r="R12358" i="58"/>
  <c r="Q12357" i="58"/>
  <c r="R8486" i="58"/>
  <c r="Q8485" i="58"/>
  <c r="R8749" i="58"/>
  <c r="R8748" i="58"/>
  <c r="R7105" i="58"/>
  <c r="Q7104" i="58"/>
  <c r="R8657" i="58"/>
  <c r="Q8656" i="58"/>
  <c r="R9193" i="58"/>
  <c r="R9192" i="58"/>
  <c r="R7790" i="58"/>
  <c r="Q7789" i="58"/>
  <c r="R11725" i="58"/>
  <c r="R11724" i="58"/>
  <c r="R6802" i="58"/>
  <c r="Q6801" i="58"/>
  <c r="R8466" i="58"/>
  <c r="Q8465" i="58"/>
  <c r="R7971" i="58"/>
  <c r="Q7970" i="58"/>
  <c r="R8506" i="58"/>
  <c r="Q8505" i="58"/>
  <c r="R6728" i="58"/>
  <c r="Q6727" i="58"/>
  <c r="R8393" i="58"/>
  <c r="Q8392" i="58"/>
  <c r="R6118" i="58"/>
  <c r="R6117" i="58"/>
  <c r="R6054" i="58"/>
  <c r="Q6053" i="58"/>
  <c r="R6235" i="58"/>
  <c r="R6234" i="58"/>
  <c r="Q6404" i="58"/>
  <c r="R6405" i="58"/>
  <c r="R8821" i="58"/>
  <c r="Q8820" i="58"/>
  <c r="R10611" i="58"/>
  <c r="R10610" i="58"/>
  <c r="R8619" i="58"/>
  <c r="Q8618" i="58"/>
  <c r="R6877" i="58"/>
  <c r="Q6876" i="58"/>
  <c r="Q6391" i="58"/>
  <c r="R6392" i="58"/>
  <c r="R6158" i="58"/>
  <c r="Q6157" i="58"/>
  <c r="R6608" i="58"/>
  <c r="Q6607" i="58"/>
  <c r="R8778" i="58"/>
  <c r="Q8777" i="58"/>
  <c r="R7647" i="58"/>
  <c r="Q7646" i="58"/>
  <c r="R6833" i="58"/>
  <c r="Q6832" i="58"/>
  <c r="R6907" i="58"/>
  <c r="Q6906" i="58"/>
  <c r="R6326" i="58"/>
  <c r="R6325" i="58"/>
  <c r="R10531" i="58"/>
  <c r="R10530" i="58"/>
  <c r="R9353" i="58"/>
  <c r="R9352" i="58"/>
  <c r="R10406" i="58"/>
  <c r="Q10405" i="58"/>
  <c r="R9545" i="58"/>
  <c r="R9544" i="58"/>
  <c r="R8129" i="58"/>
  <c r="Q8128" i="58"/>
  <c r="R6131" i="58"/>
  <c r="R6130" i="58"/>
  <c r="R8203" i="58"/>
  <c r="Q8202" i="58"/>
  <c r="R10418" i="58"/>
  <c r="R10417" i="58"/>
  <c r="R9205" i="58"/>
  <c r="R9204" i="58"/>
  <c r="R8807" i="58"/>
  <c r="Q8806" i="58"/>
  <c r="R7089" i="58"/>
  <c r="R7088" i="58"/>
  <c r="R6651" i="58"/>
  <c r="Q6650" i="58"/>
  <c r="R7664" i="58"/>
  <c r="Q7663" i="58"/>
  <c r="R7633" i="58"/>
  <c r="Q7632" i="58"/>
  <c r="R12371" i="58"/>
  <c r="Q12370" i="58"/>
  <c r="R11737" i="58"/>
  <c r="R11738" i="58"/>
  <c r="R8174" i="58"/>
  <c r="Q8173" i="58"/>
  <c r="R7296" i="58"/>
  <c r="Q7295" i="58"/>
  <c r="R6743" i="58"/>
  <c r="Q6742" i="58"/>
  <c r="R8977" i="58"/>
  <c r="R8976" i="58"/>
  <c r="R7957" i="58"/>
  <c r="Q7956" i="58"/>
  <c r="R7588" i="58"/>
  <c r="Q7587" i="58"/>
  <c r="R6773" i="58"/>
  <c r="Q6772" i="58"/>
  <c r="R8160" i="58"/>
  <c r="Q8159" i="58"/>
  <c r="R6067" i="58"/>
  <c r="Q6066" i="58"/>
  <c r="R7217" i="58"/>
  <c r="Q7216" i="58"/>
  <c r="R6712" i="58"/>
  <c r="Q6711" i="58"/>
  <c r="R7559" i="58"/>
  <c r="Q7558" i="58"/>
  <c r="R6697" i="58"/>
  <c r="Q6696" i="58"/>
  <c r="R8696" i="58"/>
  <c r="R8695" i="58"/>
  <c r="R8684" i="58"/>
  <c r="Q8683" i="58"/>
  <c r="Q6681" i="58"/>
  <c r="R6682" i="58"/>
  <c r="R8280" i="58"/>
  <c r="Q8279" i="58"/>
  <c r="R8099" i="58"/>
  <c r="Q8098" i="58"/>
  <c r="R10109" i="58"/>
  <c r="R10108" i="58"/>
  <c r="R7574" i="58"/>
  <c r="Q7573" i="58"/>
  <c r="R6667" i="58"/>
  <c r="Q6666" i="58"/>
  <c r="R8952" i="58"/>
  <c r="Q8951" i="58"/>
  <c r="R7202" i="58"/>
  <c r="Q7201" i="58"/>
  <c r="R8912" i="58"/>
  <c r="R8911" i="58"/>
  <c r="R7497" i="58"/>
  <c r="Q7496" i="58"/>
  <c r="R7616" i="58"/>
  <c r="R7615" i="58"/>
  <c r="R7867" i="58"/>
  <c r="Q7866" i="58"/>
  <c r="R8541" i="58"/>
  <c r="Q8540" i="58"/>
  <c r="R8637" i="58"/>
  <c r="Q8636" i="58"/>
  <c r="R11097" i="58"/>
  <c r="Q11096" i="58"/>
  <c r="R8670" i="58"/>
  <c r="R8669" i="58"/>
  <c r="R7820" i="58"/>
  <c r="Q7819" i="58"/>
  <c r="R7926" i="58"/>
  <c r="Q7925" i="58"/>
  <c r="R7511" i="58"/>
  <c r="R7510" i="58"/>
  <c r="R7910" i="58"/>
  <c r="Q7909" i="58"/>
  <c r="R12383" i="58"/>
  <c r="R12382" i="58"/>
  <c r="R11138" i="58"/>
  <c r="Q11137" i="58"/>
  <c r="R7175" i="58"/>
  <c r="Q7174" i="58"/>
  <c r="R8292" i="58"/>
  <c r="R8291" i="58"/>
  <c r="R9365" i="58"/>
  <c r="R9364" i="58"/>
  <c r="Q6786" i="58"/>
  <c r="R6787" i="58"/>
  <c r="R11713" i="58"/>
  <c r="Q11712" i="58"/>
  <c r="R10543" i="58"/>
  <c r="R10542" i="58"/>
  <c r="R7371" i="58"/>
  <c r="Q7370" i="58"/>
  <c r="R6578" i="58"/>
  <c r="Q6577" i="58"/>
  <c r="R6301" i="58"/>
  <c r="Q6300" i="58"/>
  <c r="R8735" i="58"/>
  <c r="R8734" i="58"/>
  <c r="R11110" i="58"/>
  <c r="Q11109" i="58"/>
  <c r="R10556" i="58"/>
  <c r="Q10555" i="58"/>
  <c r="R6517" i="58"/>
  <c r="Q6516" i="58"/>
  <c r="R8264" i="58"/>
  <c r="Q8263" i="58"/>
  <c r="R9981" i="58"/>
  <c r="R9980" i="58"/>
  <c r="R7894" i="58"/>
  <c r="R7893" i="58"/>
  <c r="R6756" i="58"/>
  <c r="Q6755" i="58"/>
  <c r="R10213" i="58"/>
  <c r="R10212" i="58"/>
  <c r="R12345" i="58"/>
  <c r="Q12344" i="58"/>
  <c r="R6893" i="58"/>
  <c r="Q6892" i="58"/>
  <c r="R7527" i="58"/>
  <c r="Q7526" i="58"/>
  <c r="R6591" i="58"/>
  <c r="Q6590" i="58"/>
  <c r="R6532" i="58"/>
  <c r="Q6531" i="58"/>
  <c r="R7188" i="58"/>
  <c r="Q7187" i="58"/>
  <c r="R6548" i="58"/>
  <c r="Q6547" i="58"/>
  <c r="R7146" i="58"/>
  <c r="Q7145" i="58"/>
  <c r="R8991" i="58"/>
  <c r="Q8990" i="58"/>
  <c r="R11082" i="58"/>
  <c r="Q11081" i="58"/>
  <c r="R6092" i="58"/>
  <c r="R6091" i="58"/>
  <c r="R9865" i="58"/>
  <c r="R9864" i="58"/>
  <c r="R7311" i="58"/>
  <c r="Q7310" i="58"/>
  <c r="R6248" i="58"/>
  <c r="R6247" i="58"/>
  <c r="R9829" i="58"/>
  <c r="R9828" i="58"/>
  <c r="R6080" i="58"/>
  <c r="Q6079" i="58"/>
  <c r="R6923" i="58"/>
  <c r="Q6922" i="58"/>
  <c r="R9003" i="58"/>
  <c r="R9002" i="58"/>
  <c r="R8220" i="58"/>
  <c r="Q8219" i="58"/>
  <c r="R6105" i="58"/>
  <c r="R6104" i="58"/>
  <c r="R8447" i="58"/>
  <c r="Q8446" i="58"/>
  <c r="R6637" i="58"/>
  <c r="Q6636" i="58"/>
  <c r="R7985" i="58"/>
  <c r="Q7984" i="58"/>
  <c r="R5786" i="58"/>
  <c r="R5785" i="58"/>
  <c r="R10468" i="58"/>
  <c r="R10467" i="58"/>
  <c r="R8248" i="58"/>
  <c r="Q8247" i="58"/>
  <c r="R10432" i="58"/>
  <c r="Q10431" i="58"/>
  <c r="R6366" i="58"/>
  <c r="Q6365" i="58"/>
  <c r="R6275" i="58"/>
  <c r="Q6274" i="58"/>
  <c r="R7063" i="58"/>
  <c r="Q7062" i="58"/>
  <c r="R8834" i="58"/>
  <c r="Q8833" i="58"/>
  <c r="R11123" i="58"/>
  <c r="R11122" i="58"/>
  <c r="R7807" i="58"/>
  <c r="Q7806" i="58"/>
  <c r="R8145" i="58"/>
  <c r="Q8144" i="58"/>
  <c r="Q7676" i="58"/>
  <c r="R7677" i="58"/>
  <c r="R5878" i="58"/>
  <c r="Q5877" i="58"/>
  <c r="R7033" i="58"/>
  <c r="R7032" i="58"/>
  <c r="R5916" i="58"/>
  <c r="R5915" i="58"/>
  <c r="R10641" i="58"/>
  <c r="Q10640" i="58"/>
  <c r="Q8899" i="58"/>
  <c r="R8900" i="58"/>
  <c r="R6339" i="58"/>
  <c r="R6338" i="58"/>
  <c r="R10519" i="58"/>
  <c r="Q10518" i="58"/>
  <c r="R8235" i="58"/>
  <c r="Q8234" i="58"/>
  <c r="Q12514" i="58"/>
  <c r="R12515" i="58"/>
  <c r="R10492" i="58"/>
  <c r="R10491" i="58"/>
  <c r="R5826" i="58"/>
  <c r="Q5825" i="58"/>
  <c r="R7836" i="58"/>
  <c r="Q7835" i="58"/>
  <c r="R8848" i="58"/>
  <c r="Q8847" i="58"/>
  <c r="R8874" i="58"/>
  <c r="Q8873" i="58"/>
  <c r="R10570" i="58"/>
  <c r="Q10569" i="58"/>
  <c r="R8525" i="58"/>
  <c r="Q8524" i="58"/>
  <c r="R7133" i="58"/>
  <c r="Q7132" i="58"/>
  <c r="R3821" i="58"/>
  <c r="Q3820" i="58"/>
  <c r="R6816" i="58"/>
  <c r="Q6815" i="58"/>
  <c r="R8886" i="58"/>
  <c r="R8885" i="58"/>
  <c r="R7880" i="58"/>
  <c r="Q7879" i="58"/>
  <c r="R6352" i="58"/>
  <c r="R6351" i="58"/>
  <c r="R9016" i="58"/>
  <c r="R9015" i="58"/>
  <c r="R7483" i="58"/>
  <c r="Q7482" i="58"/>
  <c r="R10627" i="58"/>
  <c r="Q10626" i="58"/>
  <c r="R7340" i="58"/>
  <c r="Q7339" i="58"/>
  <c r="R11784" i="58"/>
  <c r="R11783" i="58"/>
  <c r="R6863" i="58"/>
  <c r="Q6862" i="58"/>
  <c r="R8722" i="58"/>
  <c r="R8721" i="58"/>
  <c r="R10097" i="58"/>
  <c r="R10096" i="58"/>
  <c r="R7076" i="58"/>
  <c r="Q7075" i="58"/>
  <c r="R8793" i="58"/>
  <c r="Q8792" i="58"/>
  <c r="R8115" i="58"/>
  <c r="Q8114" i="58"/>
  <c r="R8709" i="58"/>
  <c r="R8708" i="58"/>
  <c r="R7280" i="58"/>
  <c r="Q7279" i="58"/>
  <c r="R7542" i="58"/>
  <c r="Q7541" i="58"/>
  <c r="R8939" i="58"/>
  <c r="Q8938" i="58"/>
  <c r="R11397" i="58"/>
  <c r="Q11396" i="58"/>
  <c r="R10584" i="58"/>
  <c r="Q10583" i="58"/>
  <c r="R8600" i="58" l="1"/>
  <c r="Q8599" i="58"/>
  <c r="R7941" i="58"/>
  <c r="Q7940" i="58"/>
  <c r="R7047" i="58"/>
  <c r="R7046" i="58"/>
  <c r="R7851" i="58"/>
  <c r="Q7850" i="58"/>
  <c r="R8580" i="58"/>
  <c r="Q8579" i="58"/>
  <c r="R7355" i="58"/>
  <c r="Q7354" i="58"/>
  <c r="R8189" i="58"/>
  <c r="Q8188" i="58"/>
  <c r="Q12188" i="58"/>
  <c r="R12189" i="58"/>
  <c r="R7603" i="58"/>
  <c r="Q7602" i="58"/>
  <c r="Q7324" i="58"/>
  <c r="R7325" i="58"/>
  <c r="R7159" i="58"/>
  <c r="R7158" i="58"/>
  <c r="R7118" i="58"/>
  <c r="Q7117" i="58"/>
  <c r="Q6621" i="58"/>
  <c r="R6622" i="58"/>
  <c r="R8561" i="58"/>
  <c r="Q8560" i="58"/>
  <c r="R8485" i="58"/>
  <c r="Q8484" i="58"/>
  <c r="R12357" i="58"/>
  <c r="R12356" i="58"/>
  <c r="R6845" i="58"/>
  <c r="R6844" i="58"/>
  <c r="R6562" i="58"/>
  <c r="Q6561" i="58"/>
  <c r="R7970" i="58"/>
  <c r="Q7969" i="58"/>
  <c r="Q8791" i="58"/>
  <c r="R8792" i="58"/>
  <c r="R10583" i="58"/>
  <c r="R10582" i="58"/>
  <c r="R6274" i="58"/>
  <c r="R6273" i="58"/>
  <c r="R8951" i="58"/>
  <c r="R8950" i="58"/>
  <c r="R6391" i="58"/>
  <c r="R6390" i="58"/>
  <c r="R5877" i="58"/>
  <c r="R5876" i="58"/>
  <c r="R8636" i="58"/>
  <c r="Q8635" i="58"/>
  <c r="R6906" i="58"/>
  <c r="Q6905" i="58"/>
  <c r="R7632" i="58"/>
  <c r="Q7631" i="58"/>
  <c r="R7339" i="58"/>
  <c r="Q7338" i="58"/>
  <c r="R12344" i="58"/>
  <c r="R12343" i="58"/>
  <c r="Q6635" i="58"/>
  <c r="R6636" i="58"/>
  <c r="R8465" i="58"/>
  <c r="Q8464" i="58"/>
  <c r="R7310" i="58"/>
  <c r="Q7309" i="58"/>
  <c r="R8219" i="58"/>
  <c r="Q8218" i="58"/>
  <c r="R7789" i="58"/>
  <c r="R7788" i="58"/>
  <c r="R7676" i="58"/>
  <c r="R7675" i="58"/>
  <c r="R8833" i="58"/>
  <c r="R8832" i="58"/>
  <c r="R7062" i="58"/>
  <c r="Q7061" i="58"/>
  <c r="R8173" i="58"/>
  <c r="Q8172" i="58"/>
  <c r="R6681" i="58"/>
  <c r="Q6680" i="58"/>
  <c r="R8446" i="58"/>
  <c r="Q8445" i="58"/>
  <c r="R6801" i="58"/>
  <c r="Q6800" i="58"/>
  <c r="R8524" i="58"/>
  <c r="Q8523" i="58"/>
  <c r="R6577" i="58"/>
  <c r="Q6576" i="58"/>
  <c r="R6053" i="58"/>
  <c r="R6052" i="58"/>
  <c r="R12514" i="58"/>
  <c r="R12513" i="58"/>
  <c r="R6590" i="58"/>
  <c r="R6589" i="58"/>
  <c r="R7541" i="58"/>
  <c r="R7540" i="58"/>
  <c r="R6862" i="58"/>
  <c r="Q6861" i="58"/>
  <c r="R8872" i="58"/>
  <c r="R8873" i="58"/>
  <c r="R10518" i="58"/>
  <c r="R10517" i="58"/>
  <c r="R8144" i="58"/>
  <c r="Q8143" i="58"/>
  <c r="R8247" i="58"/>
  <c r="R8246" i="58"/>
  <c r="R11081" i="58"/>
  <c r="R11080" i="58"/>
  <c r="R7526" i="58"/>
  <c r="R7525" i="58"/>
  <c r="R8263" i="58"/>
  <c r="Q8262" i="58"/>
  <c r="R7909" i="58"/>
  <c r="R7908" i="58"/>
  <c r="R7866" i="58"/>
  <c r="Q7865" i="58"/>
  <c r="R6696" i="58"/>
  <c r="Q6695" i="58"/>
  <c r="R7956" i="58"/>
  <c r="Q7955" i="58"/>
  <c r="R7663" i="58"/>
  <c r="Q7662" i="58"/>
  <c r="R8128" i="58"/>
  <c r="Q8127" i="58"/>
  <c r="R7646" i="58"/>
  <c r="R7645" i="58"/>
  <c r="R6876" i="58"/>
  <c r="Q6875" i="58"/>
  <c r="R8392" i="58"/>
  <c r="Q8391" i="58"/>
  <c r="Q6546" i="58"/>
  <c r="R6547" i="58"/>
  <c r="R6157" i="58"/>
  <c r="R6156" i="58"/>
  <c r="R6066" i="58"/>
  <c r="R6065" i="58"/>
  <c r="R7482" i="58"/>
  <c r="Q7481" i="58"/>
  <c r="R6754" i="58"/>
  <c r="R6755" i="58"/>
  <c r="R8540" i="58"/>
  <c r="Q8539" i="58"/>
  <c r="R5825" i="58"/>
  <c r="R5824" i="58"/>
  <c r="R8820" i="58"/>
  <c r="Q8819" i="58"/>
  <c r="R6404" i="58"/>
  <c r="R6403" i="58"/>
  <c r="R7132" i="58"/>
  <c r="Q7131" i="58"/>
  <c r="R6531" i="58"/>
  <c r="Q6530" i="58"/>
  <c r="R7573" i="58"/>
  <c r="Q7572" i="58"/>
  <c r="R6892" i="58"/>
  <c r="Q6891" i="58"/>
  <c r="R6516" i="58"/>
  <c r="Q6515" i="58"/>
  <c r="R11712" i="58"/>
  <c r="R11711" i="58"/>
  <c r="R8098" i="58"/>
  <c r="Q8097" i="58"/>
  <c r="R7558" i="58"/>
  <c r="Q7557" i="58"/>
  <c r="R6650" i="58"/>
  <c r="R6649" i="58"/>
  <c r="R8777" i="58"/>
  <c r="R8776" i="58"/>
  <c r="R8618" i="58"/>
  <c r="Q8617" i="58"/>
  <c r="Q6726" i="58"/>
  <c r="R6727" i="58"/>
  <c r="R8656" i="58"/>
  <c r="Q8655" i="58"/>
  <c r="R6815" i="58"/>
  <c r="R6814" i="58"/>
  <c r="R11109" i="58"/>
  <c r="R11108" i="58"/>
  <c r="R7295" i="58"/>
  <c r="Q7294" i="58"/>
  <c r="R3820" i="58"/>
  <c r="Q3819" i="58"/>
  <c r="R7186" i="58"/>
  <c r="R7187" i="58"/>
  <c r="R6300" i="58"/>
  <c r="R6299" i="58"/>
  <c r="Q8158" i="58"/>
  <c r="R8159" i="58"/>
  <c r="R11396" i="58"/>
  <c r="Q11395" i="58"/>
  <c r="R6365" i="58"/>
  <c r="R6364" i="58"/>
  <c r="R11137" i="58"/>
  <c r="R11136" i="58"/>
  <c r="R6772" i="58"/>
  <c r="Q6771" i="58"/>
  <c r="R12370" i="58"/>
  <c r="R12369" i="58"/>
  <c r="R8234" i="58"/>
  <c r="Q8233" i="58"/>
  <c r="R7370" i="58"/>
  <c r="Q7369" i="58"/>
  <c r="R6832" i="58"/>
  <c r="Q6831" i="58"/>
  <c r="R8990" i="58"/>
  <c r="R8989" i="58"/>
  <c r="R8114" i="58"/>
  <c r="Q8113" i="58"/>
  <c r="R7983" i="58"/>
  <c r="R7984" i="58"/>
  <c r="R7819" i="58"/>
  <c r="R7818" i="58"/>
  <c r="R7216" i="58"/>
  <c r="Q7215" i="58"/>
  <c r="R7201" i="58"/>
  <c r="R7200" i="58"/>
  <c r="R11096" i="58"/>
  <c r="Q11095" i="58"/>
  <c r="R8683" i="58"/>
  <c r="R8682" i="58"/>
  <c r="R8202" i="58"/>
  <c r="R8201" i="58"/>
  <c r="R8938" i="58"/>
  <c r="R8937" i="58"/>
  <c r="R10569" i="58"/>
  <c r="R10568" i="58"/>
  <c r="Q7278" i="58"/>
  <c r="R7279" i="58"/>
  <c r="R7879" i="58"/>
  <c r="R7878" i="58"/>
  <c r="R8847" i="58"/>
  <c r="R8846" i="58"/>
  <c r="R6922" i="58"/>
  <c r="Q6921" i="58"/>
  <c r="R7835" i="58"/>
  <c r="Q7834" i="58"/>
  <c r="R6079" i="58"/>
  <c r="R6078" i="58"/>
  <c r="R7145" i="58"/>
  <c r="R7144" i="58"/>
  <c r="R10555" i="58"/>
  <c r="R10554" i="58"/>
  <c r="Q7924" i="58"/>
  <c r="R7925" i="58"/>
  <c r="R7496" i="58"/>
  <c r="R7495" i="58"/>
  <c r="R8279" i="58"/>
  <c r="Q8278" i="58"/>
  <c r="R6711" i="58"/>
  <c r="Q6710" i="58"/>
  <c r="R6742" i="58"/>
  <c r="Q6741" i="58"/>
  <c r="R10404" i="58"/>
  <c r="R10405" i="58"/>
  <c r="R6607" i="58"/>
  <c r="Q6606" i="58"/>
  <c r="R8505" i="58"/>
  <c r="Q8504" i="58"/>
  <c r="R7104" i="58"/>
  <c r="Q7103" i="58"/>
  <c r="Q10639" i="58"/>
  <c r="R10640" i="58"/>
  <c r="R8806" i="58"/>
  <c r="Q8805" i="58"/>
  <c r="R10626" i="58"/>
  <c r="Q10625" i="58"/>
  <c r="R7075" i="58"/>
  <c r="R7074" i="58"/>
  <c r="Q7173" i="58"/>
  <c r="R7174" i="58"/>
  <c r="R6666" i="58"/>
  <c r="Q6665" i="58"/>
  <c r="R10431" i="58"/>
  <c r="R10430" i="58"/>
  <c r="R7587" i="58"/>
  <c r="Q7586" i="58"/>
  <c r="R7806" i="58"/>
  <c r="Q7805" i="58"/>
  <c r="R8899" i="58"/>
  <c r="R8898" i="58"/>
  <c r="R6786" i="58"/>
  <c r="Q6785" i="58"/>
  <c r="Q8598" i="58" l="1"/>
  <c r="R8599" i="58"/>
  <c r="R8484" i="58"/>
  <c r="Q8483" i="58"/>
  <c r="Q7353" i="58"/>
  <c r="R7354" i="58"/>
  <c r="R6621" i="58"/>
  <c r="Q6620" i="58"/>
  <c r="R7116" i="58"/>
  <c r="R7117" i="58"/>
  <c r="Q7849" i="58"/>
  <c r="R7850" i="58"/>
  <c r="R7602" i="58"/>
  <c r="Q7601" i="58"/>
  <c r="R8188" i="58"/>
  <c r="Q8187" i="58"/>
  <c r="R12188" i="58"/>
  <c r="Q12187" i="58"/>
  <c r="Q6560" i="58"/>
  <c r="R6561" i="58"/>
  <c r="R7940" i="58"/>
  <c r="Q7939" i="58"/>
  <c r="R8560" i="58"/>
  <c r="Q8559" i="58"/>
  <c r="R8579" i="58"/>
  <c r="Q8578" i="58"/>
  <c r="Q7323" i="58"/>
  <c r="R7324" i="58"/>
  <c r="R8617" i="58"/>
  <c r="Q8616" i="58"/>
  <c r="R8391" i="58"/>
  <c r="Q8390" i="58"/>
  <c r="R6665" i="58"/>
  <c r="R6664" i="58"/>
  <c r="R6875" i="58"/>
  <c r="R6874" i="58"/>
  <c r="R7215" i="58"/>
  <c r="R7214" i="58"/>
  <c r="R8097" i="58"/>
  <c r="R8096" i="58"/>
  <c r="R11095" i="58"/>
  <c r="R11094" i="58"/>
  <c r="R8635" i="58"/>
  <c r="Q8634" i="58"/>
  <c r="R8233" i="58"/>
  <c r="Q8232" i="58"/>
  <c r="Q7308" i="58"/>
  <c r="R7309" i="58"/>
  <c r="R8172" i="58"/>
  <c r="R8171" i="58"/>
  <c r="R7955" i="58"/>
  <c r="Q7954" i="58"/>
  <c r="Q8142" i="58"/>
  <c r="R8143" i="58"/>
  <c r="R6576" i="58"/>
  <c r="Q6575" i="58"/>
  <c r="R7338" i="58"/>
  <c r="R7337" i="58"/>
  <c r="R7369" i="58"/>
  <c r="Q7368" i="58"/>
  <c r="R6861" i="58"/>
  <c r="Q6860" i="58"/>
  <c r="R7924" i="58"/>
  <c r="R7923" i="58"/>
  <c r="R6680" i="58"/>
  <c r="R6679" i="58"/>
  <c r="R7278" i="58"/>
  <c r="R7277" i="58"/>
  <c r="R7061" i="58"/>
  <c r="R7060" i="58"/>
  <c r="R6741" i="58"/>
  <c r="Q6740" i="58"/>
  <c r="R7131" i="58"/>
  <c r="R7130" i="58"/>
  <c r="R10625" i="58"/>
  <c r="R10624" i="58"/>
  <c r="R8113" i="58"/>
  <c r="Q8112" i="58"/>
  <c r="R8218" i="58"/>
  <c r="Q8217" i="58"/>
  <c r="R6606" i="58"/>
  <c r="Q6605" i="58"/>
  <c r="R8464" i="58"/>
  <c r="Q8463" i="58"/>
  <c r="R6785" i="58"/>
  <c r="R6784" i="58"/>
  <c r="R7294" i="58"/>
  <c r="Q7293" i="58"/>
  <c r="R6515" i="58"/>
  <c r="R6514" i="58"/>
  <c r="R7631" i="58"/>
  <c r="R7630" i="58"/>
  <c r="R8262" i="58"/>
  <c r="R8261" i="58"/>
  <c r="R3819" i="58"/>
  <c r="Q3818" i="58"/>
  <c r="R7557" i="58"/>
  <c r="Q7556" i="58"/>
  <c r="R7481" i="58"/>
  <c r="R7480" i="58"/>
  <c r="R6635" i="58"/>
  <c r="R6634" i="58"/>
  <c r="R7662" i="58"/>
  <c r="Q7661" i="58"/>
  <c r="R7834" i="58"/>
  <c r="R7833" i="58"/>
  <c r="R7586" i="58"/>
  <c r="R7585" i="58"/>
  <c r="Q8654" i="58"/>
  <c r="R8655" i="58"/>
  <c r="R8791" i="58"/>
  <c r="R8790" i="58"/>
  <c r="R7103" i="58"/>
  <c r="R7102" i="58"/>
  <c r="R7572" i="58"/>
  <c r="Q7571" i="58"/>
  <c r="R8504" i="58"/>
  <c r="Q8503" i="58"/>
  <c r="R8539" i="58"/>
  <c r="Q8538" i="58"/>
  <c r="R7173" i="58"/>
  <c r="R7172" i="58"/>
  <c r="R6771" i="58"/>
  <c r="Q6770" i="58"/>
  <c r="R6710" i="58"/>
  <c r="R6709" i="58"/>
  <c r="Q8277" i="58"/>
  <c r="R8278" i="58"/>
  <c r="Q8522" i="58"/>
  <c r="R8523" i="58"/>
  <c r="R6921" i="58"/>
  <c r="Q6920" i="58"/>
  <c r="R6831" i="58"/>
  <c r="Q6830" i="58"/>
  <c r="R6891" i="58"/>
  <c r="Q6890" i="58"/>
  <c r="R7865" i="58"/>
  <c r="Q7864" i="58"/>
  <c r="R6800" i="58"/>
  <c r="R6799" i="58"/>
  <c r="R6905" i="58"/>
  <c r="R6904" i="58"/>
  <c r="R7969" i="58"/>
  <c r="R7968" i="58"/>
  <c r="R8445" i="58"/>
  <c r="Q8444" i="58"/>
  <c r="R6530" i="58"/>
  <c r="R6529" i="58"/>
  <c r="R8127" i="58"/>
  <c r="R8126" i="58"/>
  <c r="Q7804" i="58"/>
  <c r="R7805" i="58"/>
  <c r="R8805" i="58"/>
  <c r="R8804" i="58"/>
  <c r="R11395" i="58"/>
  <c r="Q11394" i="58"/>
  <c r="R8819" i="58"/>
  <c r="R8818" i="58"/>
  <c r="R6695" i="58"/>
  <c r="R6694" i="58"/>
  <c r="R10639" i="58"/>
  <c r="R10638" i="58"/>
  <c r="R8158" i="58"/>
  <c r="Q8157" i="58"/>
  <c r="R6726" i="58"/>
  <c r="Q6725" i="58"/>
  <c r="R6546" i="58"/>
  <c r="Q6545" i="58"/>
  <c r="Q8597" i="58" l="1"/>
  <c r="R8598" i="58"/>
  <c r="R8187" i="58"/>
  <c r="R8186" i="58"/>
  <c r="R7849" i="58"/>
  <c r="R7848" i="58"/>
  <c r="R8559" i="58"/>
  <c r="Q8558" i="58"/>
  <c r="R6620" i="58"/>
  <c r="R6619" i="58"/>
  <c r="R7939" i="58"/>
  <c r="R7938" i="58"/>
  <c r="R7323" i="58"/>
  <c r="R7322" i="58"/>
  <c r="R7353" i="58"/>
  <c r="R7352" i="58"/>
  <c r="Q12186" i="58"/>
  <c r="R12187" i="58"/>
  <c r="Q8482" i="58"/>
  <c r="R8483" i="58"/>
  <c r="R7600" i="58"/>
  <c r="R7601" i="58"/>
  <c r="R8578" i="58"/>
  <c r="Q8577" i="58"/>
  <c r="R6560" i="58"/>
  <c r="R6559" i="58"/>
  <c r="R6740" i="58"/>
  <c r="R6739" i="58"/>
  <c r="R6920" i="58"/>
  <c r="R6919" i="58"/>
  <c r="R8463" i="58"/>
  <c r="Q8462" i="58"/>
  <c r="R11394" i="58"/>
  <c r="R11393" i="58"/>
  <c r="R3818" i="58"/>
  <c r="Q3817" i="58"/>
  <c r="R8217" i="58"/>
  <c r="R8216" i="58"/>
  <c r="Q8615" i="58"/>
  <c r="R8616" i="58"/>
  <c r="R7804" i="58"/>
  <c r="R7803" i="58"/>
  <c r="R6829" i="58"/>
  <c r="R6830" i="58"/>
  <c r="R6575" i="58"/>
  <c r="R6574" i="58"/>
  <c r="R7954" i="58"/>
  <c r="R7953" i="58"/>
  <c r="R7556" i="58"/>
  <c r="R7555" i="58"/>
  <c r="R8277" i="58"/>
  <c r="R8276" i="58"/>
  <c r="R7308" i="58"/>
  <c r="R7307" i="58"/>
  <c r="R6725" i="58"/>
  <c r="R6724" i="58"/>
  <c r="R8112" i="58"/>
  <c r="R8111" i="58"/>
  <c r="R6860" i="58"/>
  <c r="R6859" i="58"/>
  <c r="R8232" i="58"/>
  <c r="R8231" i="58"/>
  <c r="R8157" i="58"/>
  <c r="R8156" i="58"/>
  <c r="R8538" i="58"/>
  <c r="Q8537" i="58"/>
  <c r="R7661" i="58"/>
  <c r="R7660" i="58"/>
  <c r="R8503" i="58"/>
  <c r="Q8502" i="58"/>
  <c r="R8444" i="58"/>
  <c r="Q8443" i="58"/>
  <c r="R7571" i="58"/>
  <c r="R7570" i="58"/>
  <c r="R6605" i="58"/>
  <c r="R6604" i="58"/>
  <c r="R8654" i="58"/>
  <c r="Q8653" i="58"/>
  <c r="R6890" i="58"/>
  <c r="R6889" i="58"/>
  <c r="R8522" i="58"/>
  <c r="Q8521" i="58"/>
  <c r="R6545" i="58"/>
  <c r="R6544" i="58"/>
  <c r="R7864" i="58"/>
  <c r="R7863" i="58"/>
  <c r="R6770" i="58"/>
  <c r="R6769" i="58"/>
  <c r="R7368" i="58"/>
  <c r="R7367" i="58"/>
  <c r="R8634" i="58"/>
  <c r="Q8633" i="58"/>
  <c r="R8390" i="58"/>
  <c r="Q8389" i="58"/>
  <c r="R7293" i="58"/>
  <c r="R7292" i="58"/>
  <c r="R8142" i="58"/>
  <c r="R8141" i="58"/>
  <c r="Q8596" i="58" l="1"/>
  <c r="R8597" i="58"/>
  <c r="R12186" i="58"/>
  <c r="Q12185" i="58"/>
  <c r="R8558" i="58"/>
  <c r="Q8557" i="58"/>
  <c r="R8577" i="58"/>
  <c r="Q8576" i="58"/>
  <c r="Q8481" i="58"/>
  <c r="R8482" i="58"/>
  <c r="R8462" i="58"/>
  <c r="Q8461" i="58"/>
  <c r="R3817" i="58"/>
  <c r="Q3816" i="58"/>
  <c r="R8521" i="58"/>
  <c r="Q8520" i="58"/>
  <c r="R8443" i="58"/>
  <c r="Q8442" i="58"/>
  <c r="R8389" i="58"/>
  <c r="Q8388" i="58"/>
  <c r="R8502" i="58"/>
  <c r="Q8501" i="58"/>
  <c r="R8537" i="58"/>
  <c r="R8536" i="58"/>
  <c r="R8633" i="58"/>
  <c r="Q8632" i="58"/>
  <c r="R8653" i="58"/>
  <c r="Q8652" i="58"/>
  <c r="R8615" i="58"/>
  <c r="Q8614" i="58"/>
  <c r="R8596" i="58" l="1"/>
  <c r="Q8595" i="58"/>
  <c r="R8576" i="58"/>
  <c r="Q8575" i="58"/>
  <c r="R8481" i="58"/>
  <c r="Q8480" i="58"/>
  <c r="R8557" i="58"/>
  <c r="Q8556" i="58"/>
  <c r="R12185" i="58"/>
  <c r="Q12184" i="58"/>
  <c r="R8388" i="58"/>
  <c r="Q8387" i="58"/>
  <c r="R8442" i="58"/>
  <c r="R8441" i="58"/>
  <c r="R8520" i="58"/>
  <c r="Q8519" i="58"/>
  <c r="R8614" i="58"/>
  <c r="Q8613" i="58"/>
  <c r="Q8651" i="58"/>
  <c r="R8652" i="58"/>
  <c r="R8632" i="58"/>
  <c r="R8631" i="58"/>
  <c r="R8501" i="58"/>
  <c r="Q8500" i="58"/>
  <c r="R3816" i="58"/>
  <c r="Q3815" i="58"/>
  <c r="R8461" i="58"/>
  <c r="R8460" i="58"/>
  <c r="R8595" i="58" l="1"/>
  <c r="Q8594" i="58"/>
  <c r="R12184" i="58"/>
  <c r="Q12183" i="58"/>
  <c r="R8556" i="58"/>
  <c r="R8555" i="58"/>
  <c r="R8479" i="58"/>
  <c r="R8480" i="58"/>
  <c r="R8575" i="58"/>
  <c r="R8574" i="58"/>
  <c r="R8613" i="58"/>
  <c r="R8612" i="58"/>
  <c r="R8500" i="58"/>
  <c r="Q8499" i="58"/>
  <c r="R8387" i="58"/>
  <c r="Q8386" i="58"/>
  <c r="R8651" i="58"/>
  <c r="R8650" i="58"/>
  <c r="R8519" i="58"/>
  <c r="Q8518" i="58"/>
  <c r="Q3814" i="58"/>
  <c r="R3815" i="58"/>
  <c r="R8594" i="58" l="1"/>
  <c r="R8593" i="58"/>
  <c r="R12183" i="58"/>
  <c r="Q12182" i="58"/>
  <c r="R8517" i="58"/>
  <c r="R8518" i="58"/>
  <c r="R8499" i="58"/>
  <c r="R8498" i="58"/>
  <c r="R3814" i="58"/>
  <c r="Q3813" i="58"/>
  <c r="R8386" i="58"/>
  <c r="Q8385" i="58"/>
  <c r="Q12181" i="58" l="1"/>
  <c r="R12182" i="58"/>
  <c r="R3813" i="58"/>
  <c r="Q3812" i="58"/>
  <c r="Q8384" i="58"/>
  <c r="R8385" i="58"/>
  <c r="Q12180" i="58" l="1"/>
  <c r="R12181" i="58"/>
  <c r="R8384" i="58"/>
  <c r="Q8383" i="58"/>
  <c r="R3812" i="58"/>
  <c r="Q3811" i="58"/>
  <c r="Q12179" i="58" l="1"/>
  <c r="R12180" i="58"/>
  <c r="Q3810" i="58"/>
  <c r="R3811" i="58"/>
  <c r="R8383" i="58"/>
  <c r="Q8382" i="58"/>
  <c r="R12179" i="58" l="1"/>
  <c r="Q12178" i="58"/>
  <c r="R8382" i="58"/>
  <c r="Q8381" i="58"/>
  <c r="R3810" i="58"/>
  <c r="Q3809" i="58"/>
  <c r="R12178" i="58" l="1"/>
  <c r="Q12177" i="58"/>
  <c r="R3809" i="58"/>
  <c r="Q3808" i="58"/>
  <c r="R8381" i="58"/>
  <c r="Q8380" i="58"/>
  <c r="R12177" i="58" l="1"/>
  <c r="Q12176" i="58"/>
  <c r="R8380" i="58"/>
  <c r="Q8379" i="58"/>
  <c r="R3808" i="58"/>
  <c r="Q3807" i="58"/>
  <c r="R12176" i="58" l="1"/>
  <c r="Q12175" i="58"/>
  <c r="R8379" i="58"/>
  <c r="Q8378" i="58"/>
  <c r="R3807" i="58"/>
  <c r="Q3806" i="58"/>
  <c r="R12175" i="58" l="1"/>
  <c r="Q12174" i="58"/>
  <c r="R3806" i="58"/>
  <c r="Q3805" i="58"/>
  <c r="R8378" i="58"/>
  <c r="Q8377" i="58"/>
  <c r="R12174" i="58" l="1"/>
  <c r="Q12173" i="58"/>
  <c r="R8377" i="58"/>
  <c r="Q8376" i="58"/>
  <c r="R3805" i="58"/>
  <c r="Q3804" i="58"/>
  <c r="R12173" i="58" l="1"/>
  <c r="Q12172" i="58"/>
  <c r="R3804" i="58"/>
  <c r="Q3803" i="58"/>
  <c r="Q8375" i="58"/>
  <c r="R8376" i="58"/>
  <c r="R12172" i="58" l="1"/>
  <c r="Q12171" i="58"/>
  <c r="Q3802" i="58"/>
  <c r="R3803" i="58"/>
  <c r="R8375" i="58"/>
  <c r="Q8374" i="58"/>
  <c r="R12171" i="58" l="1"/>
  <c r="Q12170" i="58"/>
  <c r="R8374" i="58"/>
  <c r="Q8373" i="58"/>
  <c r="R3802" i="58"/>
  <c r="Q3801" i="58"/>
  <c r="R12170" i="58" l="1"/>
  <c r="Q12169" i="58"/>
  <c r="Q8372" i="58"/>
  <c r="R8373" i="58"/>
  <c r="R3801" i="58"/>
  <c r="Q3800" i="58"/>
  <c r="R12169" i="58" l="1"/>
  <c r="Q12168" i="58"/>
  <c r="R3800" i="58"/>
  <c r="Q3799" i="58"/>
  <c r="R8372" i="58"/>
  <c r="Q8371" i="58"/>
  <c r="R12168" i="58" l="1"/>
  <c r="Q12167" i="58"/>
  <c r="R8371" i="58"/>
  <c r="Q8370" i="58"/>
  <c r="R3799" i="58"/>
  <c r="Q3798" i="58"/>
  <c r="R12167" i="58" l="1"/>
  <c r="Q12166" i="58"/>
  <c r="R8370" i="58"/>
  <c r="Q8369" i="58"/>
  <c r="R3798" i="58"/>
  <c r="Q3797" i="58"/>
  <c r="Q12165" i="58" l="1"/>
  <c r="R12166" i="58"/>
  <c r="R3797" i="58"/>
  <c r="Q3796" i="58"/>
  <c r="Q8368" i="58"/>
  <c r="R8369" i="58"/>
  <c r="R12165" i="58" l="1"/>
  <c r="Q12164" i="58"/>
  <c r="R8368" i="58"/>
  <c r="Q8367" i="58"/>
  <c r="R3796" i="58"/>
  <c r="Q3795" i="58"/>
  <c r="Q12163" i="58" l="1"/>
  <c r="R12164" i="58"/>
  <c r="R8367" i="58"/>
  <c r="Q8366" i="58"/>
  <c r="R3795" i="58"/>
  <c r="Q3794" i="58"/>
  <c r="R12163" i="58" l="1"/>
  <c r="Q12162" i="58"/>
  <c r="R3794" i="58"/>
  <c r="Q3793" i="58"/>
  <c r="R8366" i="58"/>
  <c r="Q8365" i="58"/>
  <c r="R12162" i="58" l="1"/>
  <c r="Q12161" i="58"/>
  <c r="R8365" i="58"/>
  <c r="Q8364" i="58"/>
  <c r="Q3792" i="58"/>
  <c r="R3793" i="58"/>
  <c r="R12161" i="58" l="1"/>
  <c r="Q12160" i="58"/>
  <c r="R3792" i="58"/>
  <c r="Q3791" i="58"/>
  <c r="R8364" i="58"/>
  <c r="Q8363" i="58"/>
  <c r="R12160" i="58" l="1"/>
  <c r="Q12159" i="58"/>
  <c r="R8363" i="58"/>
  <c r="Q8362" i="58"/>
  <c r="R3791" i="58"/>
  <c r="Q3790" i="58"/>
  <c r="R12159" i="58" l="1"/>
  <c r="Q12158" i="58"/>
  <c r="Q3789" i="58"/>
  <c r="R3790" i="58"/>
  <c r="R8362" i="58"/>
  <c r="Q8361" i="58"/>
  <c r="R12158" i="58" l="1"/>
  <c r="Q12157" i="58"/>
  <c r="R8361" i="58"/>
  <c r="Q8360" i="58"/>
  <c r="R3789" i="58"/>
  <c r="Q3788" i="58"/>
  <c r="Q12156" i="58" l="1"/>
  <c r="R12157" i="58"/>
  <c r="R3788" i="58"/>
  <c r="Q3787" i="58"/>
  <c r="R8360" i="58"/>
  <c r="Q8359" i="58"/>
  <c r="R12156" i="58" l="1"/>
  <c r="Q12155" i="58"/>
  <c r="R8359" i="58"/>
  <c r="Q8358" i="58"/>
  <c r="R3787" i="58"/>
  <c r="Q3786" i="58"/>
  <c r="R12155" i="58" l="1"/>
  <c r="Q12154" i="58"/>
  <c r="R8358" i="58"/>
  <c r="Q8357" i="58"/>
  <c r="R3786" i="58"/>
  <c r="Q3785" i="58"/>
  <c r="R12154" i="58" l="1"/>
  <c r="Q12153" i="58"/>
  <c r="R8357" i="58"/>
  <c r="R8356" i="58"/>
  <c r="R3785" i="58"/>
  <c r="Q3784" i="58"/>
  <c r="R12152" i="58" l="1"/>
  <c r="R12153" i="58"/>
  <c r="R3784" i="58"/>
  <c r="Q3783" i="58"/>
  <c r="Q3782" i="58" l="1"/>
  <c r="R3783" i="58"/>
  <c r="R3782" i="58" l="1"/>
  <c r="Q3781" i="58"/>
  <c r="R3781" i="58" l="1"/>
  <c r="Q3780" i="58"/>
  <c r="R3780" i="58" l="1"/>
  <c r="Q3779" i="58"/>
  <c r="R3779" i="58" l="1"/>
  <c r="Q3778" i="58"/>
  <c r="R3778" i="58" l="1"/>
  <c r="Q3777" i="58"/>
  <c r="R3777" i="58" l="1"/>
  <c r="Q3776" i="58"/>
  <c r="R3776" i="58" l="1"/>
  <c r="Q3775" i="58"/>
  <c r="R3775" i="58" l="1"/>
  <c r="Q3774" i="58"/>
  <c r="Q3773" i="58" l="1"/>
  <c r="R3774" i="58"/>
  <c r="R3773" i="58" l="1"/>
  <c r="Q3772" i="58"/>
  <c r="R3772" i="58" l="1"/>
  <c r="Q3771" i="58"/>
  <c r="Q3770" i="58" l="1"/>
  <c r="R3771" i="58"/>
  <c r="R3770" i="58" l="1"/>
  <c r="Q3769" i="58"/>
  <c r="R3769" i="58" l="1"/>
  <c r="Q3768" i="58"/>
  <c r="R3768" i="58" l="1"/>
  <c r="Q3767" i="58"/>
  <c r="R3767" i="58" l="1"/>
  <c r="Q3766" i="58"/>
  <c r="R3766" i="58" l="1"/>
  <c r="Q3765" i="58"/>
  <c r="R3765" i="58" l="1"/>
  <c r="Q3764" i="58"/>
  <c r="R3764" i="58" l="1"/>
  <c r="Q3763" i="58"/>
  <c r="R3763" i="58" l="1"/>
  <c r="Q3762" i="58"/>
  <c r="R3762" i="58" l="1"/>
  <c r="Q3761" i="58"/>
  <c r="R3761" i="58" l="1"/>
  <c r="Q3760" i="58"/>
  <c r="R3760" i="58" l="1"/>
  <c r="Q3759" i="58"/>
  <c r="R3759" i="58" l="1"/>
  <c r="Q3758" i="58"/>
  <c r="R3758" i="58" l="1"/>
  <c r="R3757" i="58"/>
  <c r="C23" i="50" l="1"/>
  <c r="B23" i="50"/>
  <c r="A23" i="50"/>
  <c r="C22" i="50"/>
  <c r="B22" i="50"/>
  <c r="A22" i="50"/>
  <c r="C21" i="50"/>
  <c r="B21" i="50"/>
  <c r="A21" i="50"/>
  <c r="C20" i="50"/>
  <c r="B20" i="50"/>
  <c r="A20" i="50"/>
  <c r="C19" i="50"/>
  <c r="B19" i="50"/>
  <c r="A19" i="50"/>
  <c r="C18" i="50"/>
  <c r="B18" i="50"/>
  <c r="A18" i="50"/>
  <c r="C17" i="50"/>
  <c r="B17" i="50"/>
  <c r="A17" i="50"/>
  <c r="C16" i="50"/>
  <c r="B16" i="50"/>
  <c r="A16" i="50"/>
  <c r="C15" i="50"/>
  <c r="B15" i="50"/>
  <c r="A15" i="50"/>
  <c r="C14" i="50"/>
  <c r="B14" i="50"/>
  <c r="A14" i="50"/>
  <c r="C13" i="50"/>
  <c r="B13" i="50"/>
  <c r="A13" i="50"/>
  <c r="C12" i="50"/>
  <c r="B12" i="50"/>
  <c r="A12" i="50"/>
  <c r="B11" i="50"/>
  <c r="A11" i="50"/>
  <c r="D10" i="50"/>
  <c r="C10" i="50"/>
  <c r="B10" i="50"/>
  <c r="A10" i="50"/>
  <c r="B9" i="50"/>
  <c r="A9" i="50"/>
  <c r="C8" i="50"/>
  <c r="B8" i="50"/>
  <c r="A8" i="50"/>
  <c r="B7" i="50"/>
  <c r="A7" i="50"/>
  <c r="J16" i="52"/>
  <c r="I16" i="52"/>
  <c r="H16" i="52"/>
  <c r="J15" i="52"/>
  <c r="I15" i="52"/>
  <c r="H15" i="52"/>
  <c r="J14" i="52"/>
  <c r="I14" i="52"/>
  <c r="H14" i="52"/>
  <c r="J13" i="52"/>
  <c r="I13" i="52"/>
  <c r="H13" i="52"/>
  <c r="J12" i="52"/>
  <c r="I12" i="52"/>
  <c r="H12" i="52"/>
  <c r="J11" i="52"/>
  <c r="I11" i="52"/>
  <c r="H11" i="52"/>
  <c r="J10" i="52"/>
  <c r="I10" i="52"/>
  <c r="H10" i="52"/>
  <c r="J9" i="52"/>
  <c r="I9" i="52"/>
  <c r="H9" i="52"/>
  <c r="J8" i="52"/>
  <c r="I8" i="52"/>
  <c r="H8" i="52"/>
  <c r="N146" i="51"/>
  <c r="N141" i="51" s="1"/>
  <c r="H23" i="50" s="1"/>
  <c r="L23" i="50" s="1"/>
  <c r="M146" i="51"/>
  <c r="M141" i="51" s="1"/>
  <c r="G23" i="50" s="1"/>
  <c r="K23" i="50" s="1"/>
  <c r="L146" i="51"/>
  <c r="K144" i="51"/>
  <c r="K143" i="51"/>
  <c r="L141" i="51"/>
  <c r="F23" i="50" s="1"/>
  <c r="J23" i="50" s="1"/>
  <c r="K141" i="51"/>
  <c r="E23" i="50" s="1"/>
  <c r="I23" i="50" s="1"/>
  <c r="N140" i="51"/>
  <c r="D139" i="51"/>
  <c r="N139" i="51" s="1"/>
  <c r="D137" i="51"/>
  <c r="L137" i="51" s="1"/>
  <c r="K135" i="51"/>
  <c r="K134" i="51"/>
  <c r="K133" i="51"/>
  <c r="K131" i="51"/>
  <c r="E22" i="50" s="1"/>
  <c r="I22" i="50" s="1"/>
  <c r="N130" i="51"/>
  <c r="D129" i="51"/>
  <c r="L129" i="51" s="1"/>
  <c r="N127" i="51"/>
  <c r="M127" i="51"/>
  <c r="D127" i="51"/>
  <c r="D128" i="51" s="1"/>
  <c r="N128" i="51" s="1"/>
  <c r="K125" i="51"/>
  <c r="K124" i="51"/>
  <c r="K123" i="51"/>
  <c r="D120" i="51"/>
  <c r="N120" i="51" s="1"/>
  <c r="D119" i="51"/>
  <c r="K119" i="51" s="1"/>
  <c r="K117" i="51"/>
  <c r="K116" i="51"/>
  <c r="K115" i="51"/>
  <c r="K114" i="51"/>
  <c r="D112" i="51"/>
  <c r="M112" i="51" s="1"/>
  <c r="D111" i="51"/>
  <c r="M111" i="51" s="1"/>
  <c r="N110" i="51"/>
  <c r="M110" i="51"/>
  <c r="L110" i="51"/>
  <c r="K110" i="51"/>
  <c r="N109" i="51"/>
  <c r="M109" i="51"/>
  <c r="L109" i="51"/>
  <c r="K109" i="51"/>
  <c r="K107" i="51"/>
  <c r="K106" i="51"/>
  <c r="K105" i="51"/>
  <c r="K104" i="51"/>
  <c r="K103" i="51"/>
  <c r="K102" i="51"/>
  <c r="K101" i="51"/>
  <c r="D99" i="51"/>
  <c r="L99" i="51" s="1"/>
  <c r="D98" i="51"/>
  <c r="L98" i="51" s="1"/>
  <c r="D97" i="51"/>
  <c r="L97" i="51" s="1"/>
  <c r="D96" i="51"/>
  <c r="N96" i="51" s="1"/>
  <c r="K94" i="51"/>
  <c r="K93" i="51"/>
  <c r="K92" i="51"/>
  <c r="K91" i="51"/>
  <c r="K90" i="51"/>
  <c r="K89" i="51"/>
  <c r="K88" i="51"/>
  <c r="D86" i="51"/>
  <c r="L86" i="51" s="1"/>
  <c r="D85" i="51"/>
  <c r="L85" i="51" s="1"/>
  <c r="N84" i="51"/>
  <c r="M84" i="51"/>
  <c r="L84" i="51"/>
  <c r="K84" i="51"/>
  <c r="N83" i="51"/>
  <c r="M83" i="51"/>
  <c r="L83" i="51"/>
  <c r="K83" i="51"/>
  <c r="K81" i="51"/>
  <c r="K80" i="51"/>
  <c r="K79" i="51"/>
  <c r="K78" i="51"/>
  <c r="K77" i="51"/>
  <c r="D76" i="51"/>
  <c r="K76" i="51" s="1"/>
  <c r="K75" i="51"/>
  <c r="D73" i="51"/>
  <c r="L73" i="51" s="1"/>
  <c r="D72" i="51"/>
  <c r="N72" i="51" s="1"/>
  <c r="K70" i="51"/>
  <c r="K69" i="51"/>
  <c r="K68" i="51"/>
  <c r="K67" i="51"/>
  <c r="N65" i="51"/>
  <c r="M65" i="51"/>
  <c r="L65" i="51"/>
  <c r="K65" i="51"/>
  <c r="N64" i="51"/>
  <c r="L64" i="51"/>
  <c r="K64" i="51"/>
  <c r="M64" i="51"/>
  <c r="K63" i="51"/>
  <c r="E62" i="51"/>
  <c r="K62" i="51" s="1"/>
  <c r="K61" i="51"/>
  <c r="N59" i="51"/>
  <c r="L59" i="51"/>
  <c r="K59" i="51"/>
  <c r="M59" i="51"/>
  <c r="N58" i="51"/>
  <c r="L58" i="51"/>
  <c r="L54" i="51" s="1"/>
  <c r="F14" i="50" s="1"/>
  <c r="J14" i="50" s="1"/>
  <c r="K58" i="51"/>
  <c r="M58" i="51"/>
  <c r="K57" i="51"/>
  <c r="K55" i="51"/>
  <c r="K54" i="51" s="1"/>
  <c r="E14" i="50" s="1"/>
  <c r="I14" i="50" s="1"/>
  <c r="N53" i="51"/>
  <c r="L53" i="51"/>
  <c r="K53" i="51"/>
  <c r="M53" i="51"/>
  <c r="N52" i="51"/>
  <c r="L52" i="51"/>
  <c r="K52" i="51"/>
  <c r="M52" i="51"/>
  <c r="K50" i="51"/>
  <c r="K49" i="51"/>
  <c r="K48" i="51"/>
  <c r="K47" i="51"/>
  <c r="N45" i="51"/>
  <c r="L45" i="51"/>
  <c r="K45" i="51"/>
  <c r="M45" i="51"/>
  <c r="N44" i="51"/>
  <c r="L44" i="51"/>
  <c r="L38" i="51" s="1"/>
  <c r="F12" i="50" s="1"/>
  <c r="J12" i="50" s="1"/>
  <c r="K44" i="51"/>
  <c r="M44" i="51"/>
  <c r="K42" i="51"/>
  <c r="K41" i="51"/>
  <c r="K40" i="51"/>
  <c r="K39" i="51"/>
  <c r="D36" i="51"/>
  <c r="N36" i="51" s="1"/>
  <c r="N35" i="51"/>
  <c r="M35" i="51"/>
  <c r="L35" i="51"/>
  <c r="K34" i="51"/>
  <c r="N30" i="51"/>
  <c r="M30" i="51"/>
  <c r="D30" i="51"/>
  <c r="L30" i="51" s="1"/>
  <c r="N29" i="51"/>
  <c r="M29" i="51"/>
  <c r="L29" i="51"/>
  <c r="N28" i="51"/>
  <c r="M28" i="51"/>
  <c r="L28" i="51"/>
  <c r="N27" i="51"/>
  <c r="L27" i="51"/>
  <c r="M27" i="51"/>
  <c r="N26" i="51"/>
  <c r="L26" i="51"/>
  <c r="M26" i="51"/>
  <c r="N25" i="51"/>
  <c r="N17" i="51" s="1"/>
  <c r="H9" i="50" s="1"/>
  <c r="L9" i="50" s="1"/>
  <c r="L25" i="51"/>
  <c r="M25" i="51"/>
  <c r="K21" i="51"/>
  <c r="K17" i="51" s="1"/>
  <c r="K20" i="51"/>
  <c r="D16" i="51"/>
  <c r="N16" i="51" s="1"/>
  <c r="N15" i="51"/>
  <c r="M15" i="51"/>
  <c r="L15" i="51"/>
  <c r="K13" i="51"/>
  <c r="K10" i="51"/>
  <c r="E8" i="50" s="1"/>
  <c r="I8" i="50" s="1"/>
  <c r="N60" i="51" l="1"/>
  <c r="H15" i="50" s="1"/>
  <c r="L15" i="50" s="1"/>
  <c r="L60" i="51"/>
  <c r="F15" i="50" s="1"/>
  <c r="J15" i="50" s="1"/>
  <c r="M60" i="51"/>
  <c r="G15" i="50" s="1"/>
  <c r="K15" i="50" s="1"/>
  <c r="N54" i="51"/>
  <c r="H14" i="50" s="1"/>
  <c r="L14" i="50" s="1"/>
  <c r="L46" i="51"/>
  <c r="F13" i="50" s="1"/>
  <c r="J13" i="50" s="1"/>
  <c r="M120" i="51"/>
  <c r="K113" i="51"/>
  <c r="E20" i="50" s="1"/>
  <c r="I20" i="50" s="1"/>
  <c r="J17" i="52"/>
  <c r="M119" i="51"/>
  <c r="N85" i="51"/>
  <c r="K46" i="51"/>
  <c r="E13" i="50" s="1"/>
  <c r="I13" i="50" s="1"/>
  <c r="M85" i="51"/>
  <c r="M86" i="51"/>
  <c r="M74" i="51" s="1"/>
  <c r="G17" i="50" s="1"/>
  <c r="K17" i="50" s="1"/>
  <c r="M99" i="51"/>
  <c r="K121" i="51"/>
  <c r="E21" i="50" s="1"/>
  <c r="I21" i="50" s="1"/>
  <c r="L16" i="51"/>
  <c r="L10" i="51" s="1"/>
  <c r="F8" i="50" s="1"/>
  <c r="J8" i="50" s="1"/>
  <c r="M16" i="51"/>
  <c r="N99" i="51"/>
  <c r="L119" i="51"/>
  <c r="N31" i="51"/>
  <c r="H10" i="50" s="1"/>
  <c r="K36" i="51"/>
  <c r="K31" i="51" s="1"/>
  <c r="E10" i="50" s="1"/>
  <c r="I10" i="50" s="1"/>
  <c r="I7" i="50" s="1"/>
  <c r="E8" i="68" s="1"/>
  <c r="M98" i="51"/>
  <c r="L36" i="51"/>
  <c r="L31" i="51" s="1"/>
  <c r="F10" i="50" s="1"/>
  <c r="N86" i="51"/>
  <c r="K38" i="51"/>
  <c r="E12" i="50" s="1"/>
  <c r="I12" i="50" s="1"/>
  <c r="N111" i="51"/>
  <c r="M73" i="51"/>
  <c r="N38" i="51"/>
  <c r="H12" i="50" s="1"/>
  <c r="L12" i="50" s="1"/>
  <c r="L120" i="51"/>
  <c r="N98" i="51"/>
  <c r="L74" i="51"/>
  <c r="F17" i="50" s="1"/>
  <c r="J17" i="50" s="1"/>
  <c r="M97" i="51"/>
  <c r="M36" i="51"/>
  <c r="M31" i="51" s="1"/>
  <c r="G10" i="50" s="1"/>
  <c r="K10" i="50" s="1"/>
  <c r="K100" i="51"/>
  <c r="E19" i="50" s="1"/>
  <c r="I19" i="50" s="1"/>
  <c r="N112" i="51"/>
  <c r="L127" i="51"/>
  <c r="L17" i="51"/>
  <c r="F9" i="50" s="1"/>
  <c r="J9" i="50" s="1"/>
  <c r="K60" i="51"/>
  <c r="E15" i="50" s="1"/>
  <c r="I15" i="50" s="1"/>
  <c r="K74" i="51"/>
  <c r="E17" i="50" s="1"/>
  <c r="I17" i="50" s="1"/>
  <c r="M38" i="51"/>
  <c r="G12" i="50" s="1"/>
  <c r="K12" i="50" s="1"/>
  <c r="N46" i="51"/>
  <c r="H13" i="50" s="1"/>
  <c r="L13" i="50" s="1"/>
  <c r="K9" i="51"/>
  <c r="E9" i="50"/>
  <c r="I9" i="50" s="1"/>
  <c r="M54" i="51"/>
  <c r="G14" i="50" s="1"/>
  <c r="K14" i="50" s="1"/>
  <c r="M17" i="51"/>
  <c r="G9" i="50" s="1"/>
  <c r="K9" i="50" s="1"/>
  <c r="M100" i="51"/>
  <c r="G19" i="50" s="1"/>
  <c r="K19" i="50" s="1"/>
  <c r="K72" i="51"/>
  <c r="N73" i="51"/>
  <c r="N97" i="51"/>
  <c r="L130" i="51"/>
  <c r="L72" i="51"/>
  <c r="K73" i="51"/>
  <c r="L96" i="51"/>
  <c r="L87" i="51" s="1"/>
  <c r="F18" i="50" s="1"/>
  <c r="J18" i="50" s="1"/>
  <c r="K97" i="51"/>
  <c r="L111" i="51"/>
  <c r="L112" i="51"/>
  <c r="N119" i="51"/>
  <c r="N113" i="51" s="1"/>
  <c r="H20" i="50" s="1"/>
  <c r="L20" i="50" s="1"/>
  <c r="M129" i="51"/>
  <c r="M130" i="51"/>
  <c r="M137" i="51"/>
  <c r="M139" i="51"/>
  <c r="M140" i="51"/>
  <c r="K96" i="51"/>
  <c r="K87" i="51" s="1"/>
  <c r="E18" i="50" s="1"/>
  <c r="I18" i="50" s="1"/>
  <c r="L139" i="51"/>
  <c r="L140" i="51"/>
  <c r="M72" i="51"/>
  <c r="M96" i="51"/>
  <c r="N129" i="51"/>
  <c r="N121" i="51" s="1"/>
  <c r="H21" i="50" s="1"/>
  <c r="L21" i="50" s="1"/>
  <c r="N137" i="51"/>
  <c r="M46" i="51"/>
  <c r="G13" i="50" s="1"/>
  <c r="K13" i="50" s="1"/>
  <c r="D138" i="51"/>
  <c r="E38" i="68"/>
  <c r="E37" i="68" s="1"/>
  <c r="J10" i="50"/>
  <c r="N10" i="51"/>
  <c r="H8" i="50" s="1"/>
  <c r="L8" i="50" s="1"/>
  <c r="M10" i="51"/>
  <c r="G8" i="50" s="1"/>
  <c r="K8" i="50" s="1"/>
  <c r="I17" i="52"/>
  <c r="E36" i="68" s="1"/>
  <c r="E35" i="68" s="1"/>
  <c r="E41" i="68" s="1"/>
  <c r="H17" i="52"/>
  <c r="E33" i="68" s="1"/>
  <c r="E32" i="68" s="1"/>
  <c r="E39" i="68" s="1"/>
  <c r="L10" i="50"/>
  <c r="L128" i="51"/>
  <c r="M128" i="51"/>
  <c r="L113" i="51" l="1"/>
  <c r="F20" i="50" s="1"/>
  <c r="J20" i="50" s="1"/>
  <c r="N74" i="51"/>
  <c r="H17" i="50" s="1"/>
  <c r="L17" i="50" s="1"/>
  <c r="M66" i="51"/>
  <c r="G16" i="50" s="1"/>
  <c r="K16" i="50" s="1"/>
  <c r="L66" i="51"/>
  <c r="F16" i="50" s="1"/>
  <c r="J16" i="50" s="1"/>
  <c r="N87" i="51"/>
  <c r="H18" i="50" s="1"/>
  <c r="L18" i="50" s="1"/>
  <c r="N100" i="51"/>
  <c r="H19" i="50" s="1"/>
  <c r="L19" i="50" s="1"/>
  <c r="M121" i="51"/>
  <c r="G21" i="50" s="1"/>
  <c r="K21" i="50" s="1"/>
  <c r="L100" i="51"/>
  <c r="F19" i="50" s="1"/>
  <c r="J19" i="50" s="1"/>
  <c r="M87" i="51"/>
  <c r="G18" i="50" s="1"/>
  <c r="K18" i="50" s="1"/>
  <c r="K66" i="51"/>
  <c r="E16" i="50" s="1"/>
  <c r="I16" i="50" s="1"/>
  <c r="M113" i="51"/>
  <c r="G20" i="50" s="1"/>
  <c r="K20" i="50" s="1"/>
  <c r="I11" i="50"/>
  <c r="E11" i="64" s="1"/>
  <c r="E10" i="64" s="1"/>
  <c r="L121" i="51"/>
  <c r="F21" i="50" s="1"/>
  <c r="J21" i="50" s="1"/>
  <c r="N138" i="51"/>
  <c r="N131" i="51" s="1"/>
  <c r="H22" i="50" s="1"/>
  <c r="L22" i="50" s="1"/>
  <c r="M138" i="51"/>
  <c r="M131" i="51" s="1"/>
  <c r="G22" i="50" s="1"/>
  <c r="K22" i="50" s="1"/>
  <c r="L138" i="51"/>
  <c r="L131" i="51" s="1"/>
  <c r="F22" i="50" s="1"/>
  <c r="J22" i="50" s="1"/>
  <c r="J7" i="50"/>
  <c r="E9" i="68" s="1"/>
  <c r="E7" i="68" s="1"/>
  <c r="E42" i="68"/>
  <c r="E44" i="68" s="1"/>
  <c r="E45" i="68" s="1"/>
  <c r="E46" i="68" s="1"/>
  <c r="E43" i="68"/>
  <c r="L7" i="50"/>
  <c r="E13" i="68" s="1"/>
  <c r="E12" i="68" s="1"/>
  <c r="K7" i="50"/>
  <c r="E11" i="68" s="1"/>
  <c r="E10" i="68" s="1"/>
  <c r="E16" i="68" s="1"/>
  <c r="E48" i="39"/>
  <c r="N66" i="51" l="1"/>
  <c r="H16" i="50" s="1"/>
  <c r="L16" i="50" s="1"/>
  <c r="L11" i="50" s="1"/>
  <c r="E16" i="64" s="1"/>
  <c r="E15" i="64" s="1"/>
  <c r="K11" i="50"/>
  <c r="E14" i="64" s="1"/>
  <c r="E13" i="64" s="1"/>
  <c r="E18" i="64" s="1"/>
  <c r="J11" i="50"/>
  <c r="E12" i="64" s="1"/>
  <c r="E9" i="64" s="1"/>
  <c r="F16" i="55"/>
  <c r="E47" i="68"/>
  <c r="E48" i="68" s="1"/>
  <c r="E14" i="68"/>
  <c r="E17" i="68" s="1"/>
  <c r="L21" i="39"/>
  <c r="M21" i="39"/>
  <c r="N21" i="39"/>
  <c r="L22" i="39"/>
  <c r="M22" i="39"/>
  <c r="N22" i="39"/>
  <c r="E8" i="64" l="1"/>
  <c r="E20" i="64" s="1"/>
  <c r="G16" i="55"/>
  <c r="H16" i="55"/>
  <c r="E18" i="68"/>
  <c r="E19" i="68" s="1"/>
  <c r="E20" i="68" s="1"/>
  <c r="E21" i="68" s="1"/>
  <c r="E22" i="68" s="1"/>
  <c r="E23" i="68" s="1"/>
  <c r="C10" i="40"/>
  <c r="B10" i="40"/>
  <c r="A10" i="40"/>
  <c r="N44" i="39"/>
  <c r="N39" i="39" s="1"/>
  <c r="H10" i="40" s="1"/>
  <c r="M44" i="39"/>
  <c r="M39" i="39" s="1"/>
  <c r="G10" i="40" s="1"/>
  <c r="L44" i="39"/>
  <c r="L39" i="39" s="1"/>
  <c r="F10" i="40" s="1"/>
  <c r="K42" i="39"/>
  <c r="K41" i="39"/>
  <c r="D37" i="39"/>
  <c r="D38" i="39"/>
  <c r="N38" i="39" s="1"/>
  <c r="N36" i="39"/>
  <c r="M36" i="39"/>
  <c r="L36" i="39"/>
  <c r="L20" i="39"/>
  <c r="N19" i="39"/>
  <c r="N18" i="39"/>
  <c r="L18" i="39"/>
  <c r="D17" i="39"/>
  <c r="N17" i="39" s="1"/>
  <c r="K15" i="39"/>
  <c r="K14" i="39"/>
  <c r="K13" i="39"/>
  <c r="K12" i="39"/>
  <c r="Q8" i="47"/>
  <c r="Q10" i="47" s="1"/>
  <c r="D10" i="40" s="1"/>
  <c r="M8" i="47"/>
  <c r="M10" i="47" s="1"/>
  <c r="D8" i="40" s="1"/>
  <c r="N8" i="47"/>
  <c r="E19" i="64" l="1"/>
  <c r="E17" i="64" s="1"/>
  <c r="E21" i="64" s="1"/>
  <c r="E22" i="64" s="1"/>
  <c r="F13" i="55" s="1"/>
  <c r="F15" i="55"/>
  <c r="K39" i="39"/>
  <c r="E10" i="40" s="1"/>
  <c r="L38" i="39"/>
  <c r="M38" i="39"/>
  <c r="K10" i="39"/>
  <c r="M20" i="39"/>
  <c r="N20" i="39"/>
  <c r="N10" i="39" s="1"/>
  <c r="M17" i="39"/>
  <c r="M19" i="39"/>
  <c r="L17" i="39"/>
  <c r="L19" i="39"/>
  <c r="E23" i="64" l="1"/>
  <c r="E24" i="64" s="1"/>
  <c r="F14" i="55"/>
  <c r="G15" i="55"/>
  <c r="G14" i="55" s="1"/>
  <c r="G13" i="55"/>
  <c r="L10" i="39"/>
  <c r="M10" i="39"/>
  <c r="E7" i="64" l="1"/>
  <c r="H15" i="55"/>
  <c r="A15" i="55" s="1"/>
  <c r="E14" i="54"/>
  <c r="G14" i="54" s="1"/>
  <c r="H14" i="54" s="1"/>
  <c r="H14" i="55"/>
  <c r="A14" i="55" s="1"/>
  <c r="H13" i="55"/>
  <c r="A13" i="55" s="1"/>
  <c r="A15" i="40"/>
  <c r="B14" i="40"/>
  <c r="A14" i="40"/>
  <c r="B13" i="40"/>
  <c r="A13" i="40"/>
  <c r="B12" i="40"/>
  <c r="C12" i="40"/>
  <c r="A12" i="40"/>
  <c r="B9" i="40"/>
  <c r="C9" i="40"/>
  <c r="A9" i="40"/>
  <c r="B8" i="40"/>
  <c r="C8" i="40"/>
  <c r="A8" i="40"/>
  <c r="L13" i="42" l="1"/>
  <c r="I13" i="42"/>
  <c r="N13" i="42" s="1"/>
  <c r="M13" i="42"/>
  <c r="J95" i="49" l="1"/>
  <c r="S95" i="49" s="1"/>
  <c r="T95" i="49" s="1"/>
  <c r="E94" i="49"/>
  <c r="S94" i="49" s="1"/>
  <c r="T94" i="49" s="1"/>
  <c r="E93" i="49"/>
  <c r="S93" i="49" s="1"/>
  <c r="T93" i="49" s="1"/>
  <c r="P93" i="49"/>
  <c r="P94" i="49"/>
  <c r="P95" i="49"/>
  <c r="J92" i="49"/>
  <c r="S92" i="49" s="1"/>
  <c r="T92" i="49" s="1"/>
  <c r="P92" i="49"/>
  <c r="E91" i="49"/>
  <c r="N89" i="49"/>
  <c r="E88" i="49"/>
  <c r="J87" i="49"/>
  <c r="E86" i="49"/>
  <c r="J84" i="49"/>
  <c r="F82" i="49"/>
  <c r="J81" i="49"/>
  <c r="J10" i="40" l="1"/>
  <c r="J79" i="49"/>
  <c r="S70" i="49"/>
  <c r="T70" i="49"/>
  <c r="S72" i="49"/>
  <c r="T72" i="49" s="1"/>
  <c r="S74" i="49"/>
  <c r="T74" i="49" s="1"/>
  <c r="S78" i="49"/>
  <c r="T78" i="49" s="1"/>
  <c r="S79" i="49"/>
  <c r="T79" i="49" s="1"/>
  <c r="S80" i="49"/>
  <c r="T80" i="49" s="1"/>
  <c r="S81" i="49"/>
  <c r="T81" i="49" s="1"/>
  <c r="S82" i="49"/>
  <c r="T82" i="49" s="1"/>
  <c r="S83" i="49"/>
  <c r="T83" i="49"/>
  <c r="S84" i="49"/>
  <c r="T84" i="49" s="1"/>
  <c r="N77" i="49"/>
  <c r="S77" i="49" s="1"/>
  <c r="T77" i="49" s="1"/>
  <c r="J76" i="49"/>
  <c r="S76" i="49" s="1"/>
  <c r="T76" i="49" s="1"/>
  <c r="J73" i="49"/>
  <c r="S73" i="49" s="1"/>
  <c r="T73" i="49" s="1"/>
  <c r="P73" i="49"/>
  <c r="P74" i="49"/>
  <c r="E75" i="49"/>
  <c r="S75" i="49" s="1"/>
  <c r="T75" i="49" s="1"/>
  <c r="I96" i="49"/>
  <c r="K96" i="49"/>
  <c r="L96" i="49"/>
  <c r="M96" i="49"/>
  <c r="N57" i="49" l="1"/>
  <c r="S57" i="49" s="1"/>
  <c r="T57" i="49" s="1"/>
  <c r="N56" i="49"/>
  <c r="S56" i="49" s="1"/>
  <c r="T56" i="49" s="1"/>
  <c r="J54" i="49"/>
  <c r="P54" i="49"/>
  <c r="P53" i="49"/>
  <c r="P55" i="49"/>
  <c r="P56" i="49"/>
  <c r="P57" i="49"/>
  <c r="P58" i="49"/>
  <c r="F55" i="49"/>
  <c r="S55" i="49" s="1"/>
  <c r="T55" i="49" s="1"/>
  <c r="E53" i="49"/>
  <c r="S53" i="49" s="1"/>
  <c r="T53" i="49" s="1"/>
  <c r="S50" i="49"/>
  <c r="T50" i="49" s="1"/>
  <c r="S52" i="49"/>
  <c r="D52" i="49"/>
  <c r="P52" i="49" s="1"/>
  <c r="J51" i="49"/>
  <c r="S51" i="49" s="1"/>
  <c r="T51" i="49" s="1"/>
  <c r="P51" i="49"/>
  <c r="P50" i="49"/>
  <c r="J71" i="49"/>
  <c r="S71" i="49" s="1"/>
  <c r="T71" i="49" s="1"/>
  <c r="J69" i="49"/>
  <c r="S69" i="49" s="1"/>
  <c r="T69" i="49" s="1"/>
  <c r="G68" i="49"/>
  <c r="G96" i="49" s="1"/>
  <c r="H67" i="49"/>
  <c r="J66" i="49"/>
  <c r="E65" i="49"/>
  <c r="S65" i="49" s="1"/>
  <c r="T65" i="49" s="1"/>
  <c r="E64" i="49"/>
  <c r="S64" i="49" s="1"/>
  <c r="T64" i="49" s="1"/>
  <c r="J63" i="49"/>
  <c r="S63" i="49" s="1"/>
  <c r="T63" i="49" s="1"/>
  <c r="D61" i="49"/>
  <c r="J60" i="49"/>
  <c r="S60" i="49" s="1"/>
  <c r="T60" i="49" s="1"/>
  <c r="D59" i="49"/>
  <c r="P59" i="49" s="1"/>
  <c r="H58" i="49"/>
  <c r="H96" i="49" s="1"/>
  <c r="N49" i="49"/>
  <c r="S49" i="49" s="1"/>
  <c r="T49" i="49" s="1"/>
  <c r="J47" i="49"/>
  <c r="S47" i="49" s="1"/>
  <c r="T47" i="49" s="1"/>
  <c r="E46" i="49"/>
  <c r="E45" i="49"/>
  <c r="S45" i="49" s="1"/>
  <c r="T45" i="49" s="1"/>
  <c r="J44" i="49"/>
  <c r="S44" i="49" s="1"/>
  <c r="T44" i="49" s="1"/>
  <c r="E43" i="49"/>
  <c r="S43" i="49" s="1"/>
  <c r="T43" i="49" s="1"/>
  <c r="E42" i="49"/>
  <c r="N41" i="49"/>
  <c r="O38" i="49"/>
  <c r="I38" i="49"/>
  <c r="I173" i="49" s="1"/>
  <c r="L38" i="49"/>
  <c r="L173" i="49" s="1"/>
  <c r="M38" i="49"/>
  <c r="M173" i="49" s="1"/>
  <c r="E36" i="49"/>
  <c r="S36" i="49" s="1"/>
  <c r="T36" i="49" s="1"/>
  <c r="E35" i="49"/>
  <c r="S35" i="49" s="1"/>
  <c r="T35" i="49" s="1"/>
  <c r="E34" i="49"/>
  <c r="S34" i="49" s="1"/>
  <c r="T34" i="49" s="1"/>
  <c r="E33" i="49"/>
  <c r="S33" i="49" s="1"/>
  <c r="T33" i="49" s="1"/>
  <c r="E32" i="49"/>
  <c r="S32" i="49" s="1"/>
  <c r="T32" i="49" s="1"/>
  <c r="J31" i="49"/>
  <c r="S31" i="49" s="1"/>
  <c r="T31" i="49" s="1"/>
  <c r="E30" i="49"/>
  <c r="S30" i="49" s="1"/>
  <c r="T30" i="49" s="1"/>
  <c r="E29" i="49"/>
  <c r="S29" i="49" s="1"/>
  <c r="T29" i="49" s="1"/>
  <c r="E28" i="49"/>
  <c r="S28" i="49" s="1"/>
  <c r="T28" i="49" s="1"/>
  <c r="E27" i="49"/>
  <c r="S27" i="49" s="1"/>
  <c r="T27" i="49" s="1"/>
  <c r="E26" i="49"/>
  <c r="S26" i="49" s="1"/>
  <c r="T26" i="49" s="1"/>
  <c r="J25" i="49"/>
  <c r="P25" i="49"/>
  <c r="P26" i="49"/>
  <c r="P27" i="49"/>
  <c r="P28" i="49"/>
  <c r="P29" i="49"/>
  <c r="P30" i="49"/>
  <c r="P31" i="49"/>
  <c r="P32" i="49"/>
  <c r="P33" i="49"/>
  <c r="P34" i="49"/>
  <c r="P35" i="49"/>
  <c r="P36" i="49"/>
  <c r="E24" i="49"/>
  <c r="S24" i="49" s="1"/>
  <c r="T24" i="49" s="1"/>
  <c r="E23" i="49"/>
  <c r="S23" i="49" s="1"/>
  <c r="T23" i="49" s="1"/>
  <c r="E22" i="49"/>
  <c r="E21" i="49"/>
  <c r="S21" i="49" s="1"/>
  <c r="T21" i="49" s="1"/>
  <c r="E20" i="49"/>
  <c r="S20" i="49" s="1"/>
  <c r="T20" i="49" s="1"/>
  <c r="N19" i="49"/>
  <c r="S19" i="49" s="1"/>
  <c r="T19" i="49" s="1"/>
  <c r="N17" i="49"/>
  <c r="S17" i="49" s="1"/>
  <c r="T17" i="49" s="1"/>
  <c r="N15" i="49"/>
  <c r="N13" i="49"/>
  <c r="S13" i="49" s="1"/>
  <c r="T13" i="49" s="1"/>
  <c r="K10" i="49"/>
  <c r="K38" i="49" s="1"/>
  <c r="K173" i="49" s="1"/>
  <c r="U172" i="49"/>
  <c r="O172" i="49"/>
  <c r="H172" i="49"/>
  <c r="F172" i="49"/>
  <c r="E172" i="49"/>
  <c r="D172" i="49"/>
  <c r="G171" i="49"/>
  <c r="G172" i="49" s="1"/>
  <c r="P170" i="49"/>
  <c r="P172" i="49" s="1"/>
  <c r="N170" i="49"/>
  <c r="N172" i="49" s="1"/>
  <c r="S169" i="49"/>
  <c r="T169" i="49" s="1"/>
  <c r="O168" i="49"/>
  <c r="E168" i="49"/>
  <c r="D168" i="49"/>
  <c r="S167" i="49"/>
  <c r="T167" i="49" s="1"/>
  <c r="P167" i="49"/>
  <c r="S166" i="49"/>
  <c r="T166" i="49" s="1"/>
  <c r="P166" i="49"/>
  <c r="S165" i="49"/>
  <c r="T165" i="49" s="1"/>
  <c r="P165" i="49"/>
  <c r="S164" i="49"/>
  <c r="T164" i="49" s="1"/>
  <c r="P164" i="49"/>
  <c r="S163" i="49"/>
  <c r="T163" i="49" s="1"/>
  <c r="P163" i="49"/>
  <c r="S162" i="49"/>
  <c r="T162" i="49" s="1"/>
  <c r="P162" i="49"/>
  <c r="S161" i="49"/>
  <c r="T161" i="49" s="1"/>
  <c r="P161" i="49"/>
  <c r="S160" i="49"/>
  <c r="T160" i="49" s="1"/>
  <c r="P160" i="49"/>
  <c r="S159" i="49"/>
  <c r="T159" i="49" s="1"/>
  <c r="P159" i="49"/>
  <c r="S158" i="49"/>
  <c r="T158" i="49" s="1"/>
  <c r="P158" i="49"/>
  <c r="S157" i="49"/>
  <c r="T157" i="49" s="1"/>
  <c r="P157" i="49"/>
  <c r="S156" i="49"/>
  <c r="T156" i="49" s="1"/>
  <c r="P156" i="49"/>
  <c r="S155" i="49"/>
  <c r="T155" i="49" s="1"/>
  <c r="P155" i="49"/>
  <c r="S154" i="49"/>
  <c r="T154" i="49" s="1"/>
  <c r="P154" i="49"/>
  <c r="S153" i="49"/>
  <c r="T153" i="49" s="1"/>
  <c r="P153" i="49"/>
  <c r="S152" i="49"/>
  <c r="T152" i="49" s="1"/>
  <c r="P152" i="49"/>
  <c r="S151" i="49"/>
  <c r="T151" i="49" s="1"/>
  <c r="P151" i="49"/>
  <c r="S150" i="49"/>
  <c r="T150" i="49" s="1"/>
  <c r="P150" i="49"/>
  <c r="S149" i="49"/>
  <c r="T149" i="49" s="1"/>
  <c r="P149" i="49"/>
  <c r="S148" i="49"/>
  <c r="T148" i="49" s="1"/>
  <c r="P148" i="49"/>
  <c r="S147" i="49"/>
  <c r="T147" i="49" s="1"/>
  <c r="P147" i="49"/>
  <c r="S146" i="49"/>
  <c r="T146" i="49" s="1"/>
  <c r="P146" i="49"/>
  <c r="S145" i="49"/>
  <c r="T145" i="49" s="1"/>
  <c r="P145" i="49"/>
  <c r="S144" i="49"/>
  <c r="T144" i="49" s="1"/>
  <c r="P144" i="49"/>
  <c r="S143" i="49"/>
  <c r="T143" i="49" s="1"/>
  <c r="P143" i="49"/>
  <c r="S142" i="49"/>
  <c r="T142" i="49" s="1"/>
  <c r="P142" i="49"/>
  <c r="S141" i="49"/>
  <c r="T141" i="49" s="1"/>
  <c r="P141" i="49"/>
  <c r="S140" i="49"/>
  <c r="T140" i="49" s="1"/>
  <c r="P140" i="49"/>
  <c r="S139" i="49"/>
  <c r="T139" i="49" s="1"/>
  <c r="P139" i="49"/>
  <c r="S138" i="49"/>
  <c r="T138" i="49" s="1"/>
  <c r="P138" i="49"/>
  <c r="S137" i="49"/>
  <c r="T137" i="49" s="1"/>
  <c r="P137" i="49"/>
  <c r="S136" i="49"/>
  <c r="T136" i="49" s="1"/>
  <c r="P136" i="49"/>
  <c r="S135" i="49"/>
  <c r="T135" i="49" s="1"/>
  <c r="P135" i="49"/>
  <c r="S134" i="49"/>
  <c r="T134" i="49" s="1"/>
  <c r="P134" i="49"/>
  <c r="S133" i="49"/>
  <c r="T133" i="49" s="1"/>
  <c r="P133" i="49"/>
  <c r="S132" i="49"/>
  <c r="T132" i="49" s="1"/>
  <c r="P132" i="49"/>
  <c r="S131" i="49"/>
  <c r="T131" i="49" s="1"/>
  <c r="P131" i="49"/>
  <c r="S130" i="49"/>
  <c r="T130" i="49" s="1"/>
  <c r="P130" i="49"/>
  <c r="S129" i="49"/>
  <c r="T129" i="49" s="1"/>
  <c r="P129" i="49"/>
  <c r="S128" i="49"/>
  <c r="T128" i="49" s="1"/>
  <c r="P128" i="49"/>
  <c r="S127" i="49"/>
  <c r="T127" i="49" s="1"/>
  <c r="P127" i="49"/>
  <c r="S126" i="49"/>
  <c r="T126" i="49" s="1"/>
  <c r="P126" i="49"/>
  <c r="S125" i="49"/>
  <c r="T125" i="49" s="1"/>
  <c r="P125" i="49"/>
  <c r="S124" i="49"/>
  <c r="T124" i="49" s="1"/>
  <c r="P124" i="49"/>
  <c r="S123" i="49"/>
  <c r="T123" i="49" s="1"/>
  <c r="P123" i="49"/>
  <c r="S122" i="49"/>
  <c r="T122" i="49" s="1"/>
  <c r="P122" i="49"/>
  <c r="S121" i="49"/>
  <c r="T121" i="49" s="1"/>
  <c r="P121" i="49"/>
  <c r="S120" i="49"/>
  <c r="T120" i="49" s="1"/>
  <c r="P120" i="49"/>
  <c r="S119" i="49"/>
  <c r="T119" i="49" s="1"/>
  <c r="P119" i="49"/>
  <c r="S118" i="49"/>
  <c r="T118" i="49" s="1"/>
  <c r="P118" i="49"/>
  <c r="S117" i="49"/>
  <c r="T117" i="49" s="1"/>
  <c r="P117" i="49"/>
  <c r="S116" i="49"/>
  <c r="T116" i="49" s="1"/>
  <c r="P116" i="49"/>
  <c r="S115" i="49"/>
  <c r="T115" i="49" s="1"/>
  <c r="P115" i="49"/>
  <c r="S114" i="49"/>
  <c r="T114" i="49" s="1"/>
  <c r="P114" i="49"/>
  <c r="S113" i="49"/>
  <c r="T113" i="49" s="1"/>
  <c r="P113" i="49"/>
  <c r="S112" i="49"/>
  <c r="T112" i="49" s="1"/>
  <c r="P112" i="49"/>
  <c r="S111" i="49"/>
  <c r="T111" i="49" s="1"/>
  <c r="P111" i="49"/>
  <c r="S110" i="49"/>
  <c r="T110" i="49" s="1"/>
  <c r="P110" i="49"/>
  <c r="S109" i="49"/>
  <c r="T109" i="49" s="1"/>
  <c r="P109" i="49"/>
  <c r="S108" i="49"/>
  <c r="T108" i="49" s="1"/>
  <c r="P108" i="49"/>
  <c r="S107" i="49"/>
  <c r="T107" i="49" s="1"/>
  <c r="P107" i="49"/>
  <c r="S106" i="49"/>
  <c r="T106" i="49" s="1"/>
  <c r="P106" i="49"/>
  <c r="S105" i="49"/>
  <c r="T105" i="49" s="1"/>
  <c r="P105" i="49"/>
  <c r="S104" i="49"/>
  <c r="T104" i="49" s="1"/>
  <c r="P104" i="49"/>
  <c r="G168" i="49"/>
  <c r="S103" i="49"/>
  <c r="T103" i="49" s="1"/>
  <c r="P103" i="49"/>
  <c r="S102" i="49"/>
  <c r="T102" i="49" s="1"/>
  <c r="P102" i="49"/>
  <c r="N168" i="49"/>
  <c r="S101" i="49"/>
  <c r="T101" i="49" s="1"/>
  <c r="P101" i="49"/>
  <c r="S100" i="49"/>
  <c r="T100" i="49" s="1"/>
  <c r="P100" i="49"/>
  <c r="F168" i="49"/>
  <c r="S99" i="49"/>
  <c r="T99" i="49" s="1"/>
  <c r="P99" i="49"/>
  <c r="H168" i="49"/>
  <c r="S98" i="49"/>
  <c r="T98" i="49" s="1"/>
  <c r="P98" i="49"/>
  <c r="S97" i="49"/>
  <c r="T97" i="49" s="1"/>
  <c r="P97" i="49"/>
  <c r="O96" i="49"/>
  <c r="F96" i="49"/>
  <c r="S91" i="49"/>
  <c r="T91" i="49" s="1"/>
  <c r="P91" i="49"/>
  <c r="S90" i="49"/>
  <c r="T90" i="49" s="1"/>
  <c r="P90" i="49"/>
  <c r="S89" i="49"/>
  <c r="T89" i="49" s="1"/>
  <c r="P89" i="49"/>
  <c r="S88" i="49"/>
  <c r="T88" i="49" s="1"/>
  <c r="P88" i="49"/>
  <c r="S87" i="49"/>
  <c r="T87" i="49" s="1"/>
  <c r="P87" i="49"/>
  <c r="S86" i="49"/>
  <c r="T86" i="49" s="1"/>
  <c r="P86" i="49"/>
  <c r="S85" i="49"/>
  <c r="T85" i="49" s="1"/>
  <c r="P85" i="49"/>
  <c r="P84" i="49"/>
  <c r="P83" i="49"/>
  <c r="P82" i="49"/>
  <c r="P81" i="49"/>
  <c r="P80" i="49"/>
  <c r="P79" i="49"/>
  <c r="P78" i="49"/>
  <c r="P77" i="49"/>
  <c r="P76" i="49"/>
  <c r="P75" i="49"/>
  <c r="P72" i="49"/>
  <c r="P71" i="49"/>
  <c r="P70" i="49"/>
  <c r="P69" i="49"/>
  <c r="P68" i="49"/>
  <c r="S68" i="49"/>
  <c r="T68" i="49" s="1"/>
  <c r="S67" i="49"/>
  <c r="T67" i="49" s="1"/>
  <c r="P67" i="49"/>
  <c r="S66" i="49"/>
  <c r="T66" i="49" s="1"/>
  <c r="P66" i="49"/>
  <c r="P65" i="49"/>
  <c r="P64" i="49"/>
  <c r="P63" i="49"/>
  <c r="P62" i="49"/>
  <c r="S62" i="49"/>
  <c r="T62" i="49" s="1"/>
  <c r="S61" i="49"/>
  <c r="P60" i="49"/>
  <c r="S59" i="49"/>
  <c r="P49" i="49"/>
  <c r="P48" i="49"/>
  <c r="S48" i="49"/>
  <c r="T48" i="49" s="1"/>
  <c r="P47" i="49"/>
  <c r="S46" i="49"/>
  <c r="T46" i="49" s="1"/>
  <c r="P46" i="49"/>
  <c r="P45" i="49"/>
  <c r="P44" i="49"/>
  <c r="P43" i="49"/>
  <c r="P42" i="49"/>
  <c r="S42" i="49"/>
  <c r="T42" i="49" s="1"/>
  <c r="P41" i="49"/>
  <c r="S40" i="49"/>
  <c r="T40" i="49" s="1"/>
  <c r="P40" i="49"/>
  <c r="S39" i="49"/>
  <c r="T39" i="49" s="1"/>
  <c r="P39" i="49"/>
  <c r="F38" i="49"/>
  <c r="D38" i="49"/>
  <c r="P37" i="49"/>
  <c r="S37" i="49"/>
  <c r="T37" i="49" s="1"/>
  <c r="P24" i="49"/>
  <c r="P23" i="49"/>
  <c r="S22" i="49"/>
  <c r="T22" i="49" s="1"/>
  <c r="P22" i="49"/>
  <c r="P21" i="49"/>
  <c r="P20" i="49"/>
  <c r="P19" i="49"/>
  <c r="S18" i="49"/>
  <c r="T18" i="49" s="1"/>
  <c r="P18" i="49"/>
  <c r="P17" i="49"/>
  <c r="S16" i="49"/>
  <c r="T16" i="49" s="1"/>
  <c r="P16" i="49"/>
  <c r="P15" i="49"/>
  <c r="H38" i="49"/>
  <c r="S14" i="49"/>
  <c r="T14" i="49" s="1"/>
  <c r="P14" i="49"/>
  <c r="P13" i="49"/>
  <c r="V12" i="49"/>
  <c r="P12" i="49"/>
  <c r="P11" i="49"/>
  <c r="N11" i="49"/>
  <c r="S11" i="49" s="1"/>
  <c r="T11" i="49" s="1"/>
  <c r="P10" i="49"/>
  <c r="G38" i="49"/>
  <c r="P9" i="49"/>
  <c r="N9" i="49"/>
  <c r="N23" i="42"/>
  <c r="F8" i="40"/>
  <c r="J8" i="40" s="1"/>
  <c r="S132" i="48"/>
  <c r="R132" i="48"/>
  <c r="Q132" i="48"/>
  <c r="G132" i="48"/>
  <c r="F132" i="48"/>
  <c r="E132" i="48"/>
  <c r="D132" i="48"/>
  <c r="C132" i="48"/>
  <c r="O130" i="48"/>
  <c r="N130" i="48"/>
  <c r="M130" i="48"/>
  <c r="L130" i="48"/>
  <c r="K130" i="48"/>
  <c r="J130" i="48"/>
  <c r="I130" i="48"/>
  <c r="H130" i="48"/>
  <c r="B130" i="48"/>
  <c r="A130" i="48"/>
  <c r="O129" i="48"/>
  <c r="N129" i="48"/>
  <c r="M129" i="48"/>
  <c r="L129" i="48"/>
  <c r="K129" i="48"/>
  <c r="J129" i="48"/>
  <c r="I129" i="48"/>
  <c r="H129" i="48"/>
  <c r="B129" i="48"/>
  <c r="A129" i="48"/>
  <c r="O128" i="48"/>
  <c r="N128" i="48"/>
  <c r="M128" i="48"/>
  <c r="L128" i="48"/>
  <c r="K128" i="48"/>
  <c r="J128" i="48"/>
  <c r="I128" i="48"/>
  <c r="H128" i="48"/>
  <c r="B128" i="48"/>
  <c r="A128" i="48"/>
  <c r="O127" i="48"/>
  <c r="N127" i="48"/>
  <c r="M127" i="48"/>
  <c r="L127" i="48"/>
  <c r="K127" i="48"/>
  <c r="J127" i="48"/>
  <c r="I127" i="48"/>
  <c r="H127" i="48"/>
  <c r="B127" i="48"/>
  <c r="A127" i="48"/>
  <c r="O126" i="48"/>
  <c r="N126" i="48"/>
  <c r="M126" i="48"/>
  <c r="L126" i="48"/>
  <c r="K126" i="48"/>
  <c r="J126" i="48"/>
  <c r="I126" i="48"/>
  <c r="H126" i="48"/>
  <c r="B126" i="48"/>
  <c r="A126" i="48"/>
  <c r="O125" i="48"/>
  <c r="N125" i="48"/>
  <c r="M125" i="48"/>
  <c r="L125" i="48"/>
  <c r="K125" i="48"/>
  <c r="J125" i="48"/>
  <c r="I125" i="48"/>
  <c r="H125" i="48"/>
  <c r="B125" i="48"/>
  <c r="A125" i="48"/>
  <c r="B124" i="48"/>
  <c r="A124" i="48"/>
  <c r="O123" i="48"/>
  <c r="N123" i="48"/>
  <c r="M123" i="48"/>
  <c r="L123" i="48"/>
  <c r="K123" i="48"/>
  <c r="J123" i="48"/>
  <c r="I123" i="48"/>
  <c r="H123" i="48"/>
  <c r="B123" i="48"/>
  <c r="A123" i="48"/>
  <c r="O122" i="48"/>
  <c r="N122" i="48"/>
  <c r="M122" i="48"/>
  <c r="L122" i="48"/>
  <c r="K122" i="48"/>
  <c r="J122" i="48"/>
  <c r="I122" i="48"/>
  <c r="H122" i="48"/>
  <c r="B122" i="48"/>
  <c r="A122" i="48"/>
  <c r="O121" i="48"/>
  <c r="N121" i="48"/>
  <c r="M121" i="48"/>
  <c r="L121" i="48"/>
  <c r="K121" i="48"/>
  <c r="J121" i="48"/>
  <c r="I121" i="48"/>
  <c r="H121" i="48"/>
  <c r="B121" i="48"/>
  <c r="A121" i="48"/>
  <c r="O120" i="48"/>
  <c r="N120" i="48"/>
  <c r="M120" i="48"/>
  <c r="L120" i="48"/>
  <c r="K120" i="48"/>
  <c r="J120" i="48"/>
  <c r="I120" i="48"/>
  <c r="H120" i="48"/>
  <c r="B120" i="48"/>
  <c r="A120" i="48"/>
  <c r="O119" i="48"/>
  <c r="N119" i="48"/>
  <c r="M119" i="48"/>
  <c r="L119" i="48"/>
  <c r="K119" i="48"/>
  <c r="J119" i="48"/>
  <c r="I119" i="48"/>
  <c r="H119" i="48"/>
  <c r="B119" i="48"/>
  <c r="A119" i="48"/>
  <c r="O118" i="48"/>
  <c r="N118" i="48"/>
  <c r="M118" i="48"/>
  <c r="L118" i="48"/>
  <c r="K118" i="48"/>
  <c r="J118" i="48"/>
  <c r="I118" i="48"/>
  <c r="H118" i="48"/>
  <c r="B118" i="48"/>
  <c r="A118" i="48"/>
  <c r="O117" i="48"/>
  <c r="N117" i="48"/>
  <c r="M117" i="48"/>
  <c r="L117" i="48"/>
  <c r="K117" i="48"/>
  <c r="J117" i="48"/>
  <c r="I117" i="48"/>
  <c r="H117" i="48"/>
  <c r="B117" i="48"/>
  <c r="A117" i="48"/>
  <c r="O116" i="48"/>
  <c r="N116" i="48"/>
  <c r="M116" i="48"/>
  <c r="L116" i="48"/>
  <c r="K116" i="48"/>
  <c r="J116" i="48"/>
  <c r="I116" i="48"/>
  <c r="H116" i="48"/>
  <c r="B116" i="48"/>
  <c r="A116" i="48"/>
  <c r="O115" i="48"/>
  <c r="N115" i="48"/>
  <c r="M115" i="48"/>
  <c r="L115" i="48"/>
  <c r="K115" i="48"/>
  <c r="J115" i="48"/>
  <c r="I115" i="48"/>
  <c r="H115" i="48"/>
  <c r="B115" i="48"/>
  <c r="A115" i="48"/>
  <c r="O114" i="48"/>
  <c r="N114" i="48"/>
  <c r="M114" i="48"/>
  <c r="L114" i="48"/>
  <c r="K114" i="48"/>
  <c r="J114" i="48"/>
  <c r="I114" i="48"/>
  <c r="H114" i="48"/>
  <c r="B114" i="48"/>
  <c r="A114" i="48"/>
  <c r="O113" i="48"/>
  <c r="N113" i="48"/>
  <c r="M113" i="48"/>
  <c r="L113" i="48"/>
  <c r="K113" i="48"/>
  <c r="J113" i="48"/>
  <c r="I113" i="48"/>
  <c r="H113" i="48"/>
  <c r="B113" i="48"/>
  <c r="A113" i="48"/>
  <c r="O112" i="48"/>
  <c r="N112" i="48"/>
  <c r="M112" i="48"/>
  <c r="L112" i="48"/>
  <c r="K112" i="48"/>
  <c r="J112" i="48"/>
  <c r="I112" i="48"/>
  <c r="H112" i="48"/>
  <c r="B112" i="48"/>
  <c r="A112" i="48"/>
  <c r="B111" i="48"/>
  <c r="A111" i="48"/>
  <c r="O110" i="48"/>
  <c r="N110" i="48"/>
  <c r="M110" i="48"/>
  <c r="L110" i="48"/>
  <c r="K110" i="48"/>
  <c r="J110" i="48"/>
  <c r="I110" i="48"/>
  <c r="H110" i="48"/>
  <c r="B110" i="48"/>
  <c r="A110" i="48"/>
  <c r="O109" i="48"/>
  <c r="N109" i="48"/>
  <c r="M109" i="48"/>
  <c r="L109" i="48"/>
  <c r="K109" i="48"/>
  <c r="J109" i="48"/>
  <c r="I109" i="48"/>
  <c r="H109" i="48"/>
  <c r="B109" i="48"/>
  <c r="A109" i="48"/>
  <c r="O108" i="48"/>
  <c r="N108" i="48"/>
  <c r="M108" i="48"/>
  <c r="L108" i="48"/>
  <c r="K108" i="48"/>
  <c r="J108" i="48"/>
  <c r="I108" i="48"/>
  <c r="H108" i="48"/>
  <c r="B108" i="48"/>
  <c r="A108" i="48"/>
  <c r="O107" i="48"/>
  <c r="N107" i="48"/>
  <c r="M107" i="48"/>
  <c r="L107" i="48"/>
  <c r="K107" i="48"/>
  <c r="J107" i="48"/>
  <c r="I107" i="48"/>
  <c r="H107" i="48"/>
  <c r="B107" i="48"/>
  <c r="A107" i="48"/>
  <c r="O106" i="48"/>
  <c r="N106" i="48"/>
  <c r="M106" i="48"/>
  <c r="L106" i="48"/>
  <c r="K106" i="48"/>
  <c r="J106" i="48"/>
  <c r="I106" i="48"/>
  <c r="H106" i="48"/>
  <c r="B106" i="48"/>
  <c r="A106" i="48"/>
  <c r="O105" i="48"/>
  <c r="N105" i="48"/>
  <c r="M105" i="48"/>
  <c r="L105" i="48"/>
  <c r="K105" i="48"/>
  <c r="J105" i="48"/>
  <c r="I105" i="48"/>
  <c r="H105" i="48"/>
  <c r="B105" i="48"/>
  <c r="A105" i="48"/>
  <c r="O104" i="48"/>
  <c r="N104" i="48"/>
  <c r="M104" i="48"/>
  <c r="L104" i="48"/>
  <c r="K104" i="48"/>
  <c r="J104" i="48"/>
  <c r="I104" i="48"/>
  <c r="H104" i="48"/>
  <c r="B104" i="48"/>
  <c r="A104" i="48"/>
  <c r="O103" i="48"/>
  <c r="N103" i="48"/>
  <c r="M103" i="48"/>
  <c r="L103" i="48"/>
  <c r="K103" i="48"/>
  <c r="J103" i="48"/>
  <c r="I103" i="48"/>
  <c r="H103" i="48"/>
  <c r="B103" i="48"/>
  <c r="A103" i="48"/>
  <c r="B102" i="48"/>
  <c r="A102" i="48"/>
  <c r="O101" i="48"/>
  <c r="N101" i="48"/>
  <c r="M101" i="48"/>
  <c r="L101" i="48"/>
  <c r="K101" i="48"/>
  <c r="J101" i="48"/>
  <c r="I101" i="48"/>
  <c r="H101" i="48"/>
  <c r="B101" i="48"/>
  <c r="A101" i="48"/>
  <c r="O100" i="48"/>
  <c r="N100" i="48"/>
  <c r="M100" i="48"/>
  <c r="L100" i="48"/>
  <c r="K100" i="48"/>
  <c r="J100" i="48"/>
  <c r="I100" i="48"/>
  <c r="H100" i="48"/>
  <c r="B100" i="48"/>
  <c r="A100" i="48"/>
  <c r="O99" i="48"/>
  <c r="N99" i="48"/>
  <c r="M99" i="48"/>
  <c r="L99" i="48"/>
  <c r="K99" i="48"/>
  <c r="J99" i="48"/>
  <c r="I99" i="48"/>
  <c r="H99" i="48"/>
  <c r="B99" i="48"/>
  <c r="A99" i="48"/>
  <c r="O98" i="48"/>
  <c r="N98" i="48"/>
  <c r="M98" i="48"/>
  <c r="L98" i="48"/>
  <c r="K98" i="48"/>
  <c r="J98" i="48"/>
  <c r="I98" i="48"/>
  <c r="H98" i="48"/>
  <c r="B98" i="48"/>
  <c r="A98" i="48"/>
  <c r="O97" i="48"/>
  <c r="N97" i="48"/>
  <c r="M97" i="48"/>
  <c r="L97" i="48"/>
  <c r="K97" i="48"/>
  <c r="J97" i="48"/>
  <c r="I97" i="48"/>
  <c r="H97" i="48"/>
  <c r="B97" i="48"/>
  <c r="A97" i="48"/>
  <c r="O96" i="48"/>
  <c r="N96" i="48"/>
  <c r="M96" i="48"/>
  <c r="L96" i="48"/>
  <c r="K96" i="48"/>
  <c r="J96" i="48"/>
  <c r="I96" i="48"/>
  <c r="H96" i="48"/>
  <c r="B96" i="48"/>
  <c r="A96" i="48"/>
  <c r="O95" i="48"/>
  <c r="N95" i="48"/>
  <c r="M95" i="48"/>
  <c r="L95" i="48"/>
  <c r="K95" i="48"/>
  <c r="J95" i="48"/>
  <c r="I95" i="48"/>
  <c r="H95" i="48"/>
  <c r="B95" i="48"/>
  <c r="A95" i="48"/>
  <c r="O94" i="48"/>
  <c r="N94" i="48"/>
  <c r="M94" i="48"/>
  <c r="L94" i="48"/>
  <c r="K94" i="48"/>
  <c r="J94" i="48"/>
  <c r="I94" i="48"/>
  <c r="H94" i="48"/>
  <c r="B94" i="48"/>
  <c r="A94" i="48"/>
  <c r="O93" i="48"/>
  <c r="N93" i="48"/>
  <c r="M93" i="48"/>
  <c r="L93" i="48"/>
  <c r="K93" i="48"/>
  <c r="J93" i="48"/>
  <c r="I93" i="48"/>
  <c r="H93" i="48"/>
  <c r="B93" i="48"/>
  <c r="A93" i="48"/>
  <c r="O92" i="48"/>
  <c r="N92" i="48"/>
  <c r="M92" i="48"/>
  <c r="L92" i="48"/>
  <c r="K92" i="48"/>
  <c r="J92" i="48"/>
  <c r="I92" i="48"/>
  <c r="H92" i="48"/>
  <c r="B92" i="48"/>
  <c r="A92" i="48"/>
  <c r="O91" i="48"/>
  <c r="N91" i="48"/>
  <c r="M91" i="48"/>
  <c r="L91" i="48"/>
  <c r="K91" i="48"/>
  <c r="J91" i="48"/>
  <c r="I91" i="48"/>
  <c r="H91" i="48"/>
  <c r="B91" i="48"/>
  <c r="A91" i="48"/>
  <c r="O90" i="48"/>
  <c r="N90" i="48"/>
  <c r="M90" i="48"/>
  <c r="L90" i="48"/>
  <c r="K90" i="48"/>
  <c r="J90" i="48"/>
  <c r="I90" i="48"/>
  <c r="H90" i="48"/>
  <c r="B90" i="48"/>
  <c r="A90" i="48"/>
  <c r="B89" i="48"/>
  <c r="A89" i="48"/>
  <c r="O88" i="48"/>
  <c r="N88" i="48"/>
  <c r="M88" i="48"/>
  <c r="L88" i="48"/>
  <c r="K88" i="48"/>
  <c r="J88" i="48"/>
  <c r="I88" i="48"/>
  <c r="H88" i="48"/>
  <c r="B88" i="48"/>
  <c r="A88" i="48"/>
  <c r="O87" i="48"/>
  <c r="N87" i="48"/>
  <c r="M87" i="48"/>
  <c r="L87" i="48"/>
  <c r="K87" i="48"/>
  <c r="J87" i="48"/>
  <c r="I87" i="48"/>
  <c r="H87" i="48"/>
  <c r="B87" i="48"/>
  <c r="A87" i="48"/>
  <c r="O86" i="48"/>
  <c r="N86" i="48"/>
  <c r="M86" i="48"/>
  <c r="L86" i="48"/>
  <c r="K86" i="48"/>
  <c r="J86" i="48"/>
  <c r="I86" i="48"/>
  <c r="H86" i="48"/>
  <c r="B86" i="48"/>
  <c r="A86" i="48"/>
  <c r="O85" i="48"/>
  <c r="N85" i="48"/>
  <c r="M85" i="48"/>
  <c r="L85" i="48"/>
  <c r="K85" i="48"/>
  <c r="J85" i="48"/>
  <c r="I85" i="48"/>
  <c r="H85" i="48"/>
  <c r="B85" i="48"/>
  <c r="A85" i="48"/>
  <c r="O84" i="48"/>
  <c r="N84" i="48"/>
  <c r="M84" i="48"/>
  <c r="L84" i="48"/>
  <c r="K84" i="48"/>
  <c r="J84" i="48"/>
  <c r="I84" i="48"/>
  <c r="H84" i="48"/>
  <c r="B84" i="48"/>
  <c r="A84" i="48"/>
  <c r="O83" i="48"/>
  <c r="N83" i="48"/>
  <c r="M83" i="48"/>
  <c r="L83" i="48"/>
  <c r="K83" i="48"/>
  <c r="J83" i="48"/>
  <c r="I83" i="48"/>
  <c r="H83" i="48"/>
  <c r="B83" i="48"/>
  <c r="A83" i="48"/>
  <c r="O82" i="48"/>
  <c r="N82" i="48"/>
  <c r="M82" i="48"/>
  <c r="L82" i="48"/>
  <c r="K82" i="48"/>
  <c r="J82" i="48"/>
  <c r="I82" i="48"/>
  <c r="H82" i="48"/>
  <c r="B82" i="48"/>
  <c r="A82" i="48"/>
  <c r="O81" i="48"/>
  <c r="N81" i="48"/>
  <c r="M81" i="48"/>
  <c r="L81" i="48"/>
  <c r="K81" i="48"/>
  <c r="J81" i="48"/>
  <c r="I81" i="48"/>
  <c r="H81" i="48"/>
  <c r="B81" i="48"/>
  <c r="A81" i="48"/>
  <c r="O80" i="48"/>
  <c r="N80" i="48"/>
  <c r="M80" i="48"/>
  <c r="L80" i="48"/>
  <c r="K80" i="48"/>
  <c r="J80" i="48"/>
  <c r="I80" i="48"/>
  <c r="H80" i="48"/>
  <c r="B80" i="48"/>
  <c r="A80" i="48"/>
  <c r="O79" i="48"/>
  <c r="N79" i="48"/>
  <c r="M79" i="48"/>
  <c r="L79" i="48"/>
  <c r="K79" i="48"/>
  <c r="J79" i="48"/>
  <c r="I79" i="48"/>
  <c r="H79" i="48"/>
  <c r="B79" i="48"/>
  <c r="A79" i="48"/>
  <c r="O78" i="48"/>
  <c r="N78" i="48"/>
  <c r="M78" i="48"/>
  <c r="L78" i="48"/>
  <c r="K78" i="48"/>
  <c r="J78" i="48"/>
  <c r="I78" i="48"/>
  <c r="H78" i="48"/>
  <c r="B78" i="48"/>
  <c r="A78" i="48"/>
  <c r="O77" i="48"/>
  <c r="N77" i="48"/>
  <c r="M77" i="48"/>
  <c r="L77" i="48"/>
  <c r="K77" i="48"/>
  <c r="J77" i="48"/>
  <c r="I77" i="48"/>
  <c r="H77" i="48"/>
  <c r="B77" i="48"/>
  <c r="A77" i="48"/>
  <c r="O76" i="48"/>
  <c r="N76" i="48"/>
  <c r="M76" i="48"/>
  <c r="L76" i="48"/>
  <c r="K76" i="48"/>
  <c r="J76" i="48"/>
  <c r="I76" i="48"/>
  <c r="H76" i="48"/>
  <c r="B76" i="48"/>
  <c r="A76" i="48"/>
  <c r="O75" i="48"/>
  <c r="N75" i="48"/>
  <c r="M75" i="48"/>
  <c r="L75" i="48"/>
  <c r="K75" i="48"/>
  <c r="J75" i="48"/>
  <c r="I75" i="48"/>
  <c r="H75" i="48"/>
  <c r="B75" i="48"/>
  <c r="A75" i="48"/>
  <c r="B74" i="48"/>
  <c r="A74" i="48"/>
  <c r="B73" i="48"/>
  <c r="A73" i="48"/>
  <c r="O71" i="48"/>
  <c r="N71" i="48"/>
  <c r="M71" i="48"/>
  <c r="L71" i="48"/>
  <c r="K71" i="48"/>
  <c r="J71" i="48"/>
  <c r="I71" i="48"/>
  <c r="H71" i="48"/>
  <c r="B71" i="48"/>
  <c r="A71" i="48"/>
  <c r="O70" i="48"/>
  <c r="N70" i="48"/>
  <c r="M70" i="48"/>
  <c r="L70" i="48"/>
  <c r="K70" i="48"/>
  <c r="J70" i="48"/>
  <c r="I70" i="48"/>
  <c r="H70" i="48"/>
  <c r="B70" i="48"/>
  <c r="A70" i="48"/>
  <c r="O69" i="48"/>
  <c r="N69" i="48"/>
  <c r="M69" i="48"/>
  <c r="L69" i="48"/>
  <c r="K69" i="48"/>
  <c r="J69" i="48"/>
  <c r="I69" i="48"/>
  <c r="H69" i="48"/>
  <c r="B69" i="48"/>
  <c r="A69" i="48"/>
  <c r="O68" i="48"/>
  <c r="N68" i="48"/>
  <c r="M68" i="48"/>
  <c r="L68" i="48"/>
  <c r="K68" i="48"/>
  <c r="J68" i="48"/>
  <c r="I68" i="48"/>
  <c r="H68" i="48"/>
  <c r="B68" i="48"/>
  <c r="A68" i="48"/>
  <c r="O67" i="48"/>
  <c r="N67" i="48"/>
  <c r="M67" i="48"/>
  <c r="L67" i="48"/>
  <c r="K67" i="48"/>
  <c r="J67" i="48"/>
  <c r="I67" i="48"/>
  <c r="H67" i="48"/>
  <c r="B67" i="48"/>
  <c r="A67" i="48"/>
  <c r="O66" i="48"/>
  <c r="N66" i="48"/>
  <c r="M66" i="48"/>
  <c r="L66" i="48"/>
  <c r="K66" i="48"/>
  <c r="J66" i="48"/>
  <c r="I66" i="48"/>
  <c r="H66" i="48"/>
  <c r="B66" i="48"/>
  <c r="A66" i="48"/>
  <c r="O65" i="48"/>
  <c r="N65" i="48"/>
  <c r="M65" i="48"/>
  <c r="L65" i="48"/>
  <c r="K65" i="48"/>
  <c r="J65" i="48"/>
  <c r="I65" i="48"/>
  <c r="H65" i="48"/>
  <c r="B65" i="48"/>
  <c r="A65" i="48"/>
  <c r="O64" i="48"/>
  <c r="N64" i="48"/>
  <c r="M64" i="48"/>
  <c r="L64" i="48"/>
  <c r="K64" i="48"/>
  <c r="J64" i="48"/>
  <c r="I64" i="48"/>
  <c r="H64" i="48"/>
  <c r="B64" i="48"/>
  <c r="A64" i="48"/>
  <c r="O63" i="48"/>
  <c r="N63" i="48"/>
  <c r="M63" i="48"/>
  <c r="L63" i="48"/>
  <c r="K63" i="48"/>
  <c r="J63" i="48"/>
  <c r="I63" i="48"/>
  <c r="H63" i="48"/>
  <c r="B63" i="48"/>
  <c r="A63" i="48"/>
  <c r="O62" i="48"/>
  <c r="N62" i="48"/>
  <c r="M62" i="48"/>
  <c r="L62" i="48"/>
  <c r="K62" i="48"/>
  <c r="J62" i="48"/>
  <c r="I62" i="48"/>
  <c r="H62" i="48"/>
  <c r="B62" i="48"/>
  <c r="A62" i="48"/>
  <c r="O61" i="48"/>
  <c r="N61" i="48"/>
  <c r="M61" i="48"/>
  <c r="L61" i="48"/>
  <c r="K61" i="48"/>
  <c r="J61" i="48"/>
  <c r="I61" i="48"/>
  <c r="H61" i="48"/>
  <c r="B61" i="48"/>
  <c r="A61" i="48"/>
  <c r="O60" i="48"/>
  <c r="N60" i="48"/>
  <c r="M60" i="48"/>
  <c r="L60" i="48"/>
  <c r="K60" i="48"/>
  <c r="J60" i="48"/>
  <c r="I60" i="48"/>
  <c r="H60" i="48"/>
  <c r="B60" i="48"/>
  <c r="A60" i="48"/>
  <c r="B59" i="48"/>
  <c r="A59" i="48"/>
  <c r="O58" i="48"/>
  <c r="N58" i="48"/>
  <c r="M58" i="48"/>
  <c r="L58" i="48"/>
  <c r="K58" i="48"/>
  <c r="J58" i="48"/>
  <c r="I58" i="48"/>
  <c r="H58" i="48"/>
  <c r="B58" i="48"/>
  <c r="A58" i="48"/>
  <c r="O57" i="48"/>
  <c r="N57" i="48"/>
  <c r="M57" i="48"/>
  <c r="L57" i="48"/>
  <c r="K57" i="48"/>
  <c r="J57" i="48"/>
  <c r="I57" i="48"/>
  <c r="H57" i="48"/>
  <c r="B57" i="48"/>
  <c r="A57" i="48"/>
  <c r="O56" i="48"/>
  <c r="N56" i="48"/>
  <c r="M56" i="48"/>
  <c r="L56" i="48"/>
  <c r="K56" i="48"/>
  <c r="J56" i="48"/>
  <c r="I56" i="48"/>
  <c r="H56" i="48"/>
  <c r="B56" i="48"/>
  <c r="A56" i="48"/>
  <c r="O55" i="48"/>
  <c r="N55" i="48"/>
  <c r="M55" i="48"/>
  <c r="L55" i="48"/>
  <c r="K55" i="48"/>
  <c r="J55" i="48"/>
  <c r="I55" i="48"/>
  <c r="H55" i="48"/>
  <c r="B55" i="48"/>
  <c r="A55" i="48"/>
  <c r="O54" i="48"/>
  <c r="N54" i="48"/>
  <c r="M54" i="48"/>
  <c r="L54" i="48"/>
  <c r="K54" i="48"/>
  <c r="J54" i="48"/>
  <c r="I54" i="48"/>
  <c r="H54" i="48"/>
  <c r="B54" i="48"/>
  <c r="A54" i="48"/>
  <c r="O53" i="48"/>
  <c r="N53" i="48"/>
  <c r="M53" i="48"/>
  <c r="L53" i="48"/>
  <c r="K53" i="48"/>
  <c r="J53" i="48"/>
  <c r="I53" i="48"/>
  <c r="H53" i="48"/>
  <c r="B53" i="48"/>
  <c r="A53" i="48"/>
  <c r="B52" i="48"/>
  <c r="A52" i="48"/>
  <c r="O51" i="48"/>
  <c r="N51" i="48"/>
  <c r="M51" i="48"/>
  <c r="L51" i="48"/>
  <c r="K51" i="48"/>
  <c r="J51" i="48"/>
  <c r="I51" i="48"/>
  <c r="H51" i="48"/>
  <c r="B51" i="48"/>
  <c r="A51" i="48"/>
  <c r="O50" i="48"/>
  <c r="N50" i="48"/>
  <c r="M50" i="48"/>
  <c r="L50" i="48"/>
  <c r="K50" i="48"/>
  <c r="J50" i="48"/>
  <c r="I50" i="48"/>
  <c r="H50" i="48"/>
  <c r="B50" i="48"/>
  <c r="A50" i="48"/>
  <c r="O49" i="48"/>
  <c r="N49" i="48"/>
  <c r="M49" i="48"/>
  <c r="L49" i="48"/>
  <c r="K49" i="48"/>
  <c r="J49" i="48"/>
  <c r="I49" i="48"/>
  <c r="H49" i="48"/>
  <c r="B49" i="48"/>
  <c r="A49" i="48"/>
  <c r="O48" i="48"/>
  <c r="N48" i="48"/>
  <c r="M48" i="48"/>
  <c r="L48" i="48"/>
  <c r="K48" i="48"/>
  <c r="J48" i="48"/>
  <c r="I48" i="48"/>
  <c r="H48" i="48"/>
  <c r="B48" i="48"/>
  <c r="A48" i="48"/>
  <c r="O47" i="48"/>
  <c r="N47" i="48"/>
  <c r="M47" i="48"/>
  <c r="L47" i="48"/>
  <c r="K47" i="48"/>
  <c r="J47" i="48"/>
  <c r="I47" i="48"/>
  <c r="H47" i="48"/>
  <c r="B47" i="48"/>
  <c r="A47" i="48"/>
  <c r="O46" i="48"/>
  <c r="N46" i="48"/>
  <c r="M46" i="48"/>
  <c r="L46" i="48"/>
  <c r="K46" i="48"/>
  <c r="J46" i="48"/>
  <c r="I46" i="48"/>
  <c r="H46" i="48"/>
  <c r="B46" i="48"/>
  <c r="A46" i="48"/>
  <c r="O45" i="48"/>
  <c r="N45" i="48"/>
  <c r="M45" i="48"/>
  <c r="L45" i="48"/>
  <c r="K45" i="48"/>
  <c r="J45" i="48"/>
  <c r="I45" i="48"/>
  <c r="H45" i="48"/>
  <c r="B45" i="48"/>
  <c r="A45" i="48"/>
  <c r="O44" i="48"/>
  <c r="N44" i="48"/>
  <c r="M44" i="48"/>
  <c r="L44" i="48"/>
  <c r="K44" i="48"/>
  <c r="J44" i="48"/>
  <c r="I44" i="48"/>
  <c r="H44" i="48"/>
  <c r="B44" i="48"/>
  <c r="A44" i="48"/>
  <c r="O43" i="48"/>
  <c r="N43" i="48"/>
  <c r="M43" i="48"/>
  <c r="L43" i="48"/>
  <c r="K43" i="48"/>
  <c r="J43" i="48"/>
  <c r="I43" i="48"/>
  <c r="H43" i="48"/>
  <c r="B43" i="48"/>
  <c r="A43" i="48"/>
  <c r="O42" i="48"/>
  <c r="N42" i="48"/>
  <c r="M42" i="48"/>
  <c r="L42" i="48"/>
  <c r="K42" i="48"/>
  <c r="J42" i="48"/>
  <c r="I42" i="48"/>
  <c r="H42" i="48"/>
  <c r="B42" i="48"/>
  <c r="A42" i="48"/>
  <c r="O41" i="48"/>
  <c r="N41" i="48"/>
  <c r="M41" i="48"/>
  <c r="L41" i="48"/>
  <c r="K41" i="48"/>
  <c r="J41" i="48"/>
  <c r="I41" i="48"/>
  <c r="H41" i="48"/>
  <c r="B41" i="48"/>
  <c r="A41" i="48"/>
  <c r="O40" i="48"/>
  <c r="N40" i="48"/>
  <c r="M40" i="48"/>
  <c r="L40" i="48"/>
  <c r="K40" i="48"/>
  <c r="J40" i="48"/>
  <c r="I40" i="48"/>
  <c r="H40" i="48"/>
  <c r="B40" i="48"/>
  <c r="A40" i="48"/>
  <c r="B39" i="48"/>
  <c r="A39" i="48"/>
  <c r="O38" i="48"/>
  <c r="N38" i="48"/>
  <c r="M38" i="48"/>
  <c r="L38" i="48"/>
  <c r="K38" i="48"/>
  <c r="J38" i="48"/>
  <c r="I38" i="48"/>
  <c r="H38" i="48"/>
  <c r="B38" i="48"/>
  <c r="A38" i="48"/>
  <c r="O37" i="48"/>
  <c r="N37" i="48"/>
  <c r="M37" i="48"/>
  <c r="L37" i="48"/>
  <c r="K37" i="48"/>
  <c r="J37" i="48"/>
  <c r="I37" i="48"/>
  <c r="H37" i="48"/>
  <c r="B37" i="48"/>
  <c r="A37" i="48"/>
  <c r="O36" i="48"/>
  <c r="N36" i="48"/>
  <c r="M36" i="48"/>
  <c r="L36" i="48"/>
  <c r="K36" i="48"/>
  <c r="J36" i="48"/>
  <c r="I36" i="48"/>
  <c r="H36" i="48"/>
  <c r="B36" i="48"/>
  <c r="A36" i="48"/>
  <c r="O35" i="48"/>
  <c r="N35" i="48"/>
  <c r="M35" i="48"/>
  <c r="L35" i="48"/>
  <c r="K35" i="48"/>
  <c r="J35" i="48"/>
  <c r="I35" i="48"/>
  <c r="H35" i="48"/>
  <c r="B35" i="48"/>
  <c r="A35" i="48"/>
  <c r="B34" i="48"/>
  <c r="A34" i="48"/>
  <c r="B33" i="48"/>
  <c r="A33" i="48"/>
  <c r="O31" i="48"/>
  <c r="N31" i="48"/>
  <c r="M31" i="48"/>
  <c r="L31" i="48"/>
  <c r="K31" i="48"/>
  <c r="J31" i="48"/>
  <c r="I31" i="48"/>
  <c r="H31" i="48"/>
  <c r="B31" i="48"/>
  <c r="A31" i="48"/>
  <c r="O30" i="48"/>
  <c r="N30" i="48"/>
  <c r="M30" i="48"/>
  <c r="L30" i="48"/>
  <c r="K30" i="48"/>
  <c r="J30" i="48"/>
  <c r="I30" i="48"/>
  <c r="H30" i="48"/>
  <c r="B30" i="48"/>
  <c r="A30" i="48"/>
  <c r="O29" i="48"/>
  <c r="N29" i="48"/>
  <c r="M29" i="48"/>
  <c r="L29" i="48"/>
  <c r="K29" i="48"/>
  <c r="J29" i="48"/>
  <c r="I29" i="48"/>
  <c r="H29" i="48"/>
  <c r="B29" i="48"/>
  <c r="A29" i="48"/>
  <c r="O28" i="48"/>
  <c r="N28" i="48"/>
  <c r="M28" i="48"/>
  <c r="L28" i="48"/>
  <c r="K28" i="48"/>
  <c r="J28" i="48"/>
  <c r="I28" i="48"/>
  <c r="H28" i="48"/>
  <c r="B28" i="48"/>
  <c r="A28" i="48"/>
  <c r="O27" i="48"/>
  <c r="N27" i="48"/>
  <c r="M27" i="48"/>
  <c r="L27" i="48"/>
  <c r="K27" i="48"/>
  <c r="J27" i="48"/>
  <c r="I27" i="48"/>
  <c r="H27" i="48"/>
  <c r="B27" i="48"/>
  <c r="A27" i="48"/>
  <c r="O26" i="48"/>
  <c r="N26" i="48"/>
  <c r="M26" i="48"/>
  <c r="L26" i="48"/>
  <c r="K26" i="48"/>
  <c r="J26" i="48"/>
  <c r="I26" i="48"/>
  <c r="H26" i="48"/>
  <c r="B26" i="48"/>
  <c r="A26" i="48"/>
  <c r="B25" i="48"/>
  <c r="A25" i="48"/>
  <c r="O24" i="48"/>
  <c r="N24" i="48"/>
  <c r="M24" i="48"/>
  <c r="L24" i="48"/>
  <c r="K24" i="48"/>
  <c r="J24" i="48"/>
  <c r="I24" i="48"/>
  <c r="H24" i="48"/>
  <c r="B24" i="48"/>
  <c r="A24" i="48"/>
  <c r="O23" i="48"/>
  <c r="N23" i="48"/>
  <c r="M23" i="48"/>
  <c r="L23" i="48"/>
  <c r="K23" i="48"/>
  <c r="J23" i="48"/>
  <c r="I23" i="48"/>
  <c r="H23" i="48"/>
  <c r="B23" i="48"/>
  <c r="A23" i="48"/>
  <c r="O22" i="48"/>
  <c r="N22" i="48"/>
  <c r="M22" i="48"/>
  <c r="L22" i="48"/>
  <c r="K22" i="48"/>
  <c r="J22" i="48"/>
  <c r="I22" i="48"/>
  <c r="H22" i="48"/>
  <c r="B22" i="48"/>
  <c r="A22" i="48"/>
  <c r="O21" i="48"/>
  <c r="N21" i="48"/>
  <c r="M21" i="48"/>
  <c r="L21" i="48"/>
  <c r="K21" i="48"/>
  <c r="J21" i="48"/>
  <c r="I21" i="48"/>
  <c r="H21" i="48"/>
  <c r="B21" i="48"/>
  <c r="A21" i="48"/>
  <c r="O20" i="48"/>
  <c r="N20" i="48"/>
  <c r="M20" i="48"/>
  <c r="L20" i="48"/>
  <c r="K20" i="48"/>
  <c r="J20" i="48"/>
  <c r="I20" i="48"/>
  <c r="H20" i="48"/>
  <c r="B20" i="48"/>
  <c r="A20" i="48"/>
  <c r="O19" i="48"/>
  <c r="N19" i="48"/>
  <c r="M19" i="48"/>
  <c r="L19" i="48"/>
  <c r="K19" i="48"/>
  <c r="J19" i="48"/>
  <c r="I19" i="48"/>
  <c r="H19" i="48"/>
  <c r="B19" i="48"/>
  <c r="A19" i="48"/>
  <c r="B18" i="48"/>
  <c r="A18" i="48"/>
  <c r="O17" i="48"/>
  <c r="N17" i="48"/>
  <c r="M17" i="48"/>
  <c r="L17" i="48"/>
  <c r="K17" i="48"/>
  <c r="J17" i="48"/>
  <c r="I17" i="48"/>
  <c r="H17" i="48"/>
  <c r="B17" i="48"/>
  <c r="A17" i="48"/>
  <c r="O16" i="48"/>
  <c r="N16" i="48"/>
  <c r="M16" i="48"/>
  <c r="L16" i="48"/>
  <c r="K16" i="48"/>
  <c r="J16" i="48"/>
  <c r="I16" i="48"/>
  <c r="H16" i="48"/>
  <c r="B16" i="48"/>
  <c r="A16" i="48"/>
  <c r="O15" i="48"/>
  <c r="N15" i="48"/>
  <c r="M15" i="48"/>
  <c r="L15" i="48"/>
  <c r="K15" i="48"/>
  <c r="J15" i="48"/>
  <c r="I15" i="48"/>
  <c r="H15" i="48"/>
  <c r="B15" i="48"/>
  <c r="A15" i="48"/>
  <c r="O14" i="48"/>
  <c r="N14" i="48"/>
  <c r="M14" i="48"/>
  <c r="L14" i="48"/>
  <c r="K14" i="48"/>
  <c r="J14" i="48"/>
  <c r="I14" i="48"/>
  <c r="H14" i="48"/>
  <c r="B14" i="48"/>
  <c r="A14" i="48"/>
  <c r="O13" i="48"/>
  <c r="N13" i="48"/>
  <c r="M13" i="48"/>
  <c r="L13" i="48"/>
  <c r="K13" i="48"/>
  <c r="J13" i="48"/>
  <c r="I13" i="48"/>
  <c r="H13" i="48"/>
  <c r="B13" i="48"/>
  <c r="A13" i="48"/>
  <c r="O12" i="48"/>
  <c r="N12" i="48"/>
  <c r="M12" i="48"/>
  <c r="L12" i="48"/>
  <c r="K12" i="48"/>
  <c r="J12" i="48"/>
  <c r="I12" i="48"/>
  <c r="H12" i="48"/>
  <c r="B12" i="48"/>
  <c r="A12" i="48"/>
  <c r="B11" i="48"/>
  <c r="A11" i="48"/>
  <c r="B10" i="48"/>
  <c r="A10" i="48"/>
  <c r="G9" i="48"/>
  <c r="F9" i="48"/>
  <c r="T52" i="49" l="1"/>
  <c r="S10" i="49"/>
  <c r="N38" i="49"/>
  <c r="S58" i="49"/>
  <c r="T58" i="49" s="1"/>
  <c r="T59" i="49"/>
  <c r="P71" i="48"/>
  <c r="D96" i="49"/>
  <c r="P38" i="48"/>
  <c r="S170" i="49"/>
  <c r="T170" i="49" s="1"/>
  <c r="J38" i="49"/>
  <c r="S171" i="49"/>
  <c r="T171" i="49" s="1"/>
  <c r="S25" i="49"/>
  <c r="T25" i="49" s="1"/>
  <c r="L132" i="48"/>
  <c r="P126" i="48"/>
  <c r="P86" i="48"/>
  <c r="P61" i="49"/>
  <c r="P96" i="49" s="1"/>
  <c r="P123" i="48"/>
  <c r="T61" i="49"/>
  <c r="P24" i="48"/>
  <c r="P108" i="48"/>
  <c r="S41" i="49"/>
  <c r="T41" i="49" s="1"/>
  <c r="N96" i="49"/>
  <c r="N173" i="49" s="1"/>
  <c r="P115" i="48"/>
  <c r="P56" i="48"/>
  <c r="P67" i="48"/>
  <c r="P45" i="48"/>
  <c r="P49" i="48"/>
  <c r="P78" i="48"/>
  <c r="P93" i="48"/>
  <c r="P101" i="48"/>
  <c r="P82" i="48"/>
  <c r="J96" i="49"/>
  <c r="L10" i="40"/>
  <c r="E8" i="40"/>
  <c r="I8" i="40" s="1"/>
  <c r="I10" i="40"/>
  <c r="O173" i="49"/>
  <c r="P168" i="49"/>
  <c r="I132" i="48"/>
  <c r="P20" i="48"/>
  <c r="P30" i="48"/>
  <c r="P15" i="48"/>
  <c r="P29" i="48"/>
  <c r="P42" i="48"/>
  <c r="P54" i="48"/>
  <c r="P69" i="48"/>
  <c r="P88" i="48"/>
  <c r="P90" i="48"/>
  <c r="P105" i="48"/>
  <c r="P117" i="48"/>
  <c r="P120" i="48"/>
  <c r="O132" i="48"/>
  <c r="P14" i="48"/>
  <c r="P28" i="48"/>
  <c r="P43" i="48"/>
  <c r="K132" i="48"/>
  <c r="P26" i="48"/>
  <c r="P40" i="48"/>
  <c r="P55" i="48"/>
  <c r="P57" i="48"/>
  <c r="P65" i="48"/>
  <c r="P70" i="48"/>
  <c r="P84" i="48"/>
  <c r="P99" i="48"/>
  <c r="P103" i="48"/>
  <c r="P113" i="48"/>
  <c r="S15" i="49"/>
  <c r="T15" i="49" s="1"/>
  <c r="P16" i="48"/>
  <c r="P44" i="48"/>
  <c r="P51" i="48"/>
  <c r="P66" i="48"/>
  <c r="P68" i="48"/>
  <c r="P80" i="48"/>
  <c r="P85" i="48"/>
  <c r="P87" i="48"/>
  <c r="P92" i="48"/>
  <c r="P100" i="48"/>
  <c r="P104" i="48"/>
  <c r="P114" i="48"/>
  <c r="P116" i="48"/>
  <c r="P119" i="48"/>
  <c r="P128" i="48"/>
  <c r="E38" i="49"/>
  <c r="D173" i="49"/>
  <c r="H173" i="49"/>
  <c r="P27" i="48"/>
  <c r="P41" i="48"/>
  <c r="P53" i="48"/>
  <c r="M132" i="48"/>
  <c r="P22" i="48"/>
  <c r="P36" i="48"/>
  <c r="P61" i="48"/>
  <c r="P64" i="48"/>
  <c r="P76" i="48"/>
  <c r="P81" i="48"/>
  <c r="P83" i="48"/>
  <c r="P95" i="48"/>
  <c r="P98" i="48"/>
  <c r="P110" i="48"/>
  <c r="P112" i="48"/>
  <c r="P129" i="48"/>
  <c r="P38" i="49"/>
  <c r="F173" i="49"/>
  <c r="P17" i="48"/>
  <c r="P31" i="48"/>
  <c r="P37" i="48"/>
  <c r="P21" i="48"/>
  <c r="P35" i="48"/>
  <c r="P12" i="48"/>
  <c r="N132" i="48"/>
  <c r="P19" i="48"/>
  <c r="P48" i="48"/>
  <c r="P50" i="48"/>
  <c r="P62" i="48"/>
  <c r="P77" i="48"/>
  <c r="P79" i="48"/>
  <c r="P91" i="48"/>
  <c r="P96" i="48"/>
  <c r="P106" i="48"/>
  <c r="P118" i="48"/>
  <c r="P121" i="48"/>
  <c r="P125" i="48"/>
  <c r="P127" i="48"/>
  <c r="P130" i="48"/>
  <c r="G173" i="49"/>
  <c r="E96" i="49"/>
  <c r="P13" i="48"/>
  <c r="P23" i="48"/>
  <c r="P46" i="48"/>
  <c r="P47" i="48"/>
  <c r="P58" i="48"/>
  <c r="P60" i="48"/>
  <c r="P63" i="48"/>
  <c r="P75" i="48"/>
  <c r="P94" i="48"/>
  <c r="P97" i="48"/>
  <c r="P107" i="48"/>
  <c r="P109" i="48"/>
  <c r="P122" i="48"/>
  <c r="S168" i="49"/>
  <c r="T168" i="49" s="1"/>
  <c r="S9" i="49"/>
  <c r="T9" i="49" s="1"/>
  <c r="T10" i="49"/>
  <c r="S12" i="49"/>
  <c r="T12" i="49" s="1"/>
  <c r="G8" i="40"/>
  <c r="K8" i="40" s="1"/>
  <c r="H8" i="40"/>
  <c r="L8" i="40" s="1"/>
  <c r="D65" i="39"/>
  <c r="H132" i="48"/>
  <c r="J132" i="48"/>
  <c r="P132" i="48" l="1"/>
  <c r="K10" i="40"/>
  <c r="S96" i="49"/>
  <c r="T96" i="49" s="1"/>
  <c r="S38" i="49"/>
  <c r="T38" i="49" s="1"/>
  <c r="E173" i="49"/>
  <c r="P173" i="49"/>
  <c r="G10" i="47"/>
  <c r="F10" i="47"/>
  <c r="E10" i="47"/>
  <c r="P8" i="47"/>
  <c r="H8" i="47"/>
  <c r="C40" i="42"/>
  <c r="F40" i="42" s="1"/>
  <c r="H26" i="42"/>
  <c r="E32" i="42"/>
  <c r="E31" i="42"/>
  <c r="C35" i="42"/>
  <c r="C34" i="42"/>
  <c r="E27" i="42"/>
  <c r="E28" i="42"/>
  <c r="E26" i="42"/>
  <c r="M23" i="42"/>
  <c r="I6" i="42"/>
  <c r="I7" i="42"/>
  <c r="I8" i="42"/>
  <c r="I9" i="42"/>
  <c r="I10" i="42"/>
  <c r="I11" i="42"/>
  <c r="I12" i="42"/>
  <c r="I5" i="42"/>
  <c r="K6" i="42"/>
  <c r="K7" i="42"/>
  <c r="K8" i="42"/>
  <c r="K9" i="42"/>
  <c r="K10" i="42"/>
  <c r="K11" i="42"/>
  <c r="K12" i="42"/>
  <c r="K5" i="42"/>
  <c r="P4" i="42"/>
  <c r="M6" i="42"/>
  <c r="M5" i="42"/>
  <c r="L9" i="42"/>
  <c r="J9" i="42"/>
  <c r="H9" i="42"/>
  <c r="M8" i="42"/>
  <c r="M9" i="42"/>
  <c r="L8" i="42"/>
  <c r="J8" i="42"/>
  <c r="H8" i="42"/>
  <c r="E33" i="42" l="1"/>
  <c r="F33" i="42" s="1"/>
  <c r="H33" i="42" s="1"/>
  <c r="I8" i="47"/>
  <c r="J8" i="47"/>
  <c r="N9" i="42"/>
  <c r="C37" i="42"/>
  <c r="F37" i="42" s="1"/>
  <c r="N8" i="42"/>
  <c r="E29" i="42"/>
  <c r="F29" i="42" s="1"/>
  <c r="H29" i="42" s="1"/>
  <c r="H10" i="47"/>
  <c r="O10" i="47"/>
  <c r="D9" i="40" s="1"/>
  <c r="P10" i="47"/>
  <c r="K8" i="47"/>
  <c r="D12" i="40" l="1"/>
  <c r="D11" i="57"/>
  <c r="J10" i="47"/>
  <c r="I10" i="47"/>
  <c r="I11" i="57" l="1"/>
  <c r="L11" i="57"/>
  <c r="L10" i="57" s="1"/>
  <c r="E14" i="56" s="1"/>
  <c r="J11" i="57"/>
  <c r="K11" i="57"/>
  <c r="K10" i="47"/>
  <c r="D70" i="39" s="1"/>
  <c r="N10" i="47"/>
  <c r="L8" i="47"/>
  <c r="L10" i="47" s="1"/>
  <c r="J7" i="45"/>
  <c r="I7" i="45"/>
  <c r="H7" i="45"/>
  <c r="D57" i="39" l="1"/>
  <c r="D40" i="63"/>
  <c r="K40" i="63" s="1"/>
  <c r="K39" i="63" s="1"/>
  <c r="K70" i="39"/>
  <c r="D73" i="39"/>
  <c r="J8" i="45"/>
  <c r="E16" i="2" s="1"/>
  <c r="H8" i="45"/>
  <c r="E10" i="2" s="1"/>
  <c r="I8" i="45"/>
  <c r="E13" i="2" s="1"/>
  <c r="N73" i="39" l="1"/>
  <c r="L73" i="39"/>
  <c r="K33" i="39"/>
  <c r="K32" i="39"/>
  <c r="K31" i="39"/>
  <c r="K30" i="39"/>
  <c r="K29" i="39"/>
  <c r="M19" i="42"/>
  <c r="M18" i="42"/>
  <c r="M17" i="42"/>
  <c r="M16" i="42"/>
  <c r="M12" i="42"/>
  <c r="L12" i="42"/>
  <c r="J12" i="42"/>
  <c r="M11" i="42"/>
  <c r="L11" i="42"/>
  <c r="J11" i="42"/>
  <c r="M10" i="42"/>
  <c r="L10" i="42"/>
  <c r="J10" i="42"/>
  <c r="M7" i="42"/>
  <c r="L7" i="42"/>
  <c r="J7" i="42"/>
  <c r="L6" i="42"/>
  <c r="J6" i="42"/>
  <c r="L5" i="42"/>
  <c r="J5" i="42"/>
  <c r="H5" i="42"/>
  <c r="B11" i="40"/>
  <c r="B7" i="40"/>
  <c r="C15" i="40"/>
  <c r="B15" i="40"/>
  <c r="N35" i="39"/>
  <c r="M35" i="39"/>
  <c r="D54" i="39"/>
  <c r="N54" i="39" s="1"/>
  <c r="D53" i="39"/>
  <c r="L53" i="39" s="1"/>
  <c r="M54" i="39" l="1"/>
  <c r="N5" i="42"/>
  <c r="M53" i="39"/>
  <c r="N53" i="39"/>
  <c r="N17" i="42"/>
  <c r="H6" i="42"/>
  <c r="N6" i="42" s="1"/>
  <c r="K65" i="39"/>
  <c r="K58" i="39"/>
  <c r="L54" i="39"/>
  <c r="K51" i="39"/>
  <c r="K50" i="39"/>
  <c r="K49" i="39"/>
  <c r="K48" i="39"/>
  <c r="K28" i="39"/>
  <c r="K27" i="39"/>
  <c r="L23" i="39"/>
  <c r="F9" i="40" s="1"/>
  <c r="J9" i="40" s="1"/>
  <c r="F201" i="34"/>
  <c r="K201" i="34" s="1"/>
  <c r="F198" i="34"/>
  <c r="H7" i="42" l="1"/>
  <c r="N7" i="42" s="1"/>
  <c r="K26" i="39"/>
  <c r="K46" i="39"/>
  <c r="E12" i="40" s="1"/>
  <c r="K25" i="39"/>
  <c r="M46" i="39"/>
  <c r="G12" i="40" s="1"/>
  <c r="L46" i="39"/>
  <c r="F12" i="40" s="1"/>
  <c r="N46" i="39"/>
  <c r="H12" i="40" s="1"/>
  <c r="F197" i="34"/>
  <c r="F184" i="34"/>
  <c r="F183" i="34"/>
  <c r="F182" i="34"/>
  <c r="F181" i="34"/>
  <c r="F180" i="34"/>
  <c r="F179" i="34"/>
  <c r="E142" i="34"/>
  <c r="F142" i="34" s="1"/>
  <c r="M73" i="39" l="1"/>
  <c r="K12" i="40"/>
  <c r="J12" i="40"/>
  <c r="L12" i="40"/>
  <c r="I12" i="40"/>
  <c r="H10" i="42"/>
  <c r="N10" i="42" s="1"/>
  <c r="M37" i="39"/>
  <c r="M23" i="39" s="1"/>
  <c r="G9" i="40" s="1"/>
  <c r="K9" i="40" s="1"/>
  <c r="N37" i="39"/>
  <c r="N23" i="39" s="1"/>
  <c r="H9" i="40" s="1"/>
  <c r="L9" i="40" s="1"/>
  <c r="K23" i="39"/>
  <c r="E9" i="40" s="1"/>
  <c r="I9" i="40" s="1"/>
  <c r="I7" i="40" s="1"/>
  <c r="D184" i="34"/>
  <c r="D182" i="34"/>
  <c r="D183" i="34"/>
  <c r="D180" i="34"/>
  <c r="D59" i="39" l="1"/>
  <c r="K64" i="39"/>
  <c r="D67" i="39"/>
  <c r="K63" i="39"/>
  <c r="H11" i="42"/>
  <c r="N11" i="42" s="1"/>
  <c r="K71" i="39"/>
  <c r="K57" i="39" l="1"/>
  <c r="N67" i="39"/>
  <c r="N61" i="39" s="1"/>
  <c r="H14" i="40" s="1"/>
  <c r="L14" i="40" s="1"/>
  <c r="L67" i="39"/>
  <c r="L61" i="39" s="1"/>
  <c r="F14" i="40" s="1"/>
  <c r="J14" i="40" s="1"/>
  <c r="M67" i="39"/>
  <c r="M61" i="39" s="1"/>
  <c r="G14" i="40" s="1"/>
  <c r="K14" i="40" s="1"/>
  <c r="K61" i="39"/>
  <c r="E14" i="40" s="1"/>
  <c r="I14" i="40" s="1"/>
  <c r="L59" i="39"/>
  <c r="M59" i="39"/>
  <c r="N59" i="39"/>
  <c r="K59" i="39"/>
  <c r="H12" i="42"/>
  <c r="N12" i="42" s="1"/>
  <c r="H45" i="27"/>
  <c r="H44" i="27"/>
  <c r="H43" i="27"/>
  <c r="H42" i="27"/>
  <c r="H41" i="27"/>
  <c r="H39" i="27"/>
  <c r="H38" i="27"/>
  <c r="H36" i="27"/>
  <c r="H35" i="27"/>
  <c r="H34" i="27"/>
  <c r="H33" i="27"/>
  <c r="H32" i="27"/>
  <c r="H31" i="27"/>
  <c r="H30" i="27"/>
  <c r="H29" i="27"/>
  <c r="H37" i="27" l="1"/>
  <c r="E8" i="6"/>
  <c r="J7" i="40"/>
  <c r="E9" i="6" s="1"/>
  <c r="K7" i="40"/>
  <c r="E11" i="6" s="1"/>
  <c r="L7" i="40"/>
  <c r="E13" i="6" s="1"/>
  <c r="E12" i="6" s="1"/>
  <c r="H40" i="27"/>
  <c r="H28" i="27"/>
  <c r="K68" i="39" l="1"/>
  <c r="E15" i="40" s="1"/>
  <c r="I15" i="40" s="1"/>
  <c r="M56" i="39"/>
  <c r="N56" i="39"/>
  <c r="L56" i="39"/>
  <c r="K56" i="39"/>
  <c r="G193" i="36"/>
  <c r="G192" i="36" s="1"/>
  <c r="G191" i="36"/>
  <c r="G189" i="36"/>
  <c r="G187" i="36"/>
  <c r="G185" i="36"/>
  <c r="G183" i="36"/>
  <c r="G181" i="36"/>
  <c r="G179" i="36"/>
  <c r="G177" i="36"/>
  <c r="G175" i="36"/>
  <c r="G173" i="36"/>
  <c r="G171" i="36"/>
  <c r="G169" i="36"/>
  <c r="G166" i="36"/>
  <c r="G165" i="36"/>
  <c r="G163" i="36"/>
  <c r="G162" i="36"/>
  <c r="G159" i="36"/>
  <c r="G158" i="36"/>
  <c r="G156" i="36"/>
  <c r="G155" i="36"/>
  <c r="G152" i="36"/>
  <c r="G151" i="36"/>
  <c r="G149" i="36"/>
  <c r="G148" i="36"/>
  <c r="G145" i="36"/>
  <c r="G144" i="36"/>
  <c r="G142" i="36"/>
  <c r="G141" i="36"/>
  <c r="G138" i="36"/>
  <c r="C138" i="36"/>
  <c r="C142" i="36" s="1"/>
  <c r="C145" i="36" s="1"/>
  <c r="G137" i="36"/>
  <c r="G135" i="36"/>
  <c r="C135" i="36"/>
  <c r="G134" i="36"/>
  <c r="G131" i="36"/>
  <c r="G130" i="36"/>
  <c r="G128" i="36"/>
  <c r="G127" i="36"/>
  <c r="G123" i="36"/>
  <c r="G122" i="36" s="1"/>
  <c r="G121" i="36"/>
  <c r="G120" i="36" s="1"/>
  <c r="G119" i="36"/>
  <c r="G118" i="36" s="1"/>
  <c r="G117" i="36"/>
  <c r="G116" i="36" s="1"/>
  <c r="G115" i="36"/>
  <c r="G114" i="36" s="1"/>
  <c r="G113" i="36"/>
  <c r="G112" i="36" s="1"/>
  <c r="G111" i="36"/>
  <c r="G110" i="36" s="1"/>
  <c r="G109" i="36"/>
  <c r="G108" i="36" s="1"/>
  <c r="G107" i="36"/>
  <c r="G106" i="36" s="1"/>
  <c r="G105" i="36"/>
  <c r="G104" i="36" s="1"/>
  <c r="G103" i="36"/>
  <c r="G102" i="36" s="1"/>
  <c r="G100" i="36"/>
  <c r="G99" i="36" s="1"/>
  <c r="G98" i="36"/>
  <c r="G97" i="36" s="1"/>
  <c r="G96" i="36"/>
  <c r="G95" i="36" s="1"/>
  <c r="G94" i="36"/>
  <c r="G93" i="36" s="1"/>
  <c r="G92" i="36"/>
  <c r="G91" i="36" s="1"/>
  <c r="G90" i="36"/>
  <c r="G89" i="36" s="1"/>
  <c r="G88" i="36"/>
  <c r="G87" i="36" s="1"/>
  <c r="G86" i="36"/>
  <c r="G85" i="36" s="1"/>
  <c r="G84" i="36"/>
  <c r="G83" i="36" s="1"/>
  <c r="G82" i="36"/>
  <c r="G81" i="36" s="1"/>
  <c r="G80" i="36"/>
  <c r="G79" i="36" s="1"/>
  <c r="G77" i="36"/>
  <c r="G76" i="36" s="1"/>
  <c r="G75" i="36"/>
  <c r="G74" i="36" s="1"/>
  <c r="G73" i="36"/>
  <c r="G72" i="36" s="1"/>
  <c r="G71" i="36"/>
  <c r="G70" i="36" s="1"/>
  <c r="G69" i="36"/>
  <c r="G68" i="36" s="1"/>
  <c r="G67" i="36"/>
  <c r="G66" i="36" s="1"/>
  <c r="G65" i="36"/>
  <c r="G64" i="36" s="1"/>
  <c r="G63" i="36"/>
  <c r="G62" i="36" s="1"/>
  <c r="G61" i="36"/>
  <c r="G60" i="36" s="1"/>
  <c r="G59" i="36"/>
  <c r="G58" i="36" s="1"/>
  <c r="G57" i="36"/>
  <c r="G56" i="36" s="1"/>
  <c r="G54" i="36"/>
  <c r="G53" i="36" s="1"/>
  <c r="G52" i="36"/>
  <c r="G51" i="36" s="1"/>
  <c r="G50" i="36"/>
  <c r="G49" i="36" s="1"/>
  <c r="G48" i="36"/>
  <c r="G47" i="36" s="1"/>
  <c r="G46" i="36"/>
  <c r="G45" i="36" s="1"/>
  <c r="G44" i="36"/>
  <c r="G43" i="36" s="1"/>
  <c r="G42" i="36"/>
  <c r="G41" i="36" s="1"/>
  <c r="G40" i="36"/>
  <c r="G39" i="36" s="1"/>
  <c r="G38" i="36"/>
  <c r="G37" i="36" s="1"/>
  <c r="G36" i="36"/>
  <c r="G35" i="36" s="1"/>
  <c r="G34" i="36"/>
  <c r="G33" i="36" s="1"/>
  <c r="G31" i="36"/>
  <c r="G30" i="36" s="1"/>
  <c r="G29" i="36"/>
  <c r="G28" i="36" s="1"/>
  <c r="G27" i="36"/>
  <c r="G26" i="36" s="1"/>
  <c r="G25" i="36"/>
  <c r="G24" i="36" s="1"/>
  <c r="G23" i="36"/>
  <c r="G22" i="36" s="1"/>
  <c r="G21" i="36"/>
  <c r="G20" i="36" s="1"/>
  <c r="G19" i="36"/>
  <c r="G18" i="36" s="1"/>
  <c r="G17" i="36"/>
  <c r="G16" i="36" s="1"/>
  <c r="G15" i="36"/>
  <c r="G14" i="36" s="1"/>
  <c r="G13" i="36"/>
  <c r="G12" i="36" s="1"/>
  <c r="G11" i="36"/>
  <c r="G10" i="36" s="1"/>
  <c r="C31" i="35"/>
  <c r="C29" i="35"/>
  <c r="C26" i="35"/>
  <c r="C24" i="35"/>
  <c r="C21" i="35"/>
  <c r="C19" i="35"/>
  <c r="C16" i="35"/>
  <c r="C14" i="35"/>
  <c r="C11" i="35"/>
  <c r="C9" i="35"/>
  <c r="F217" i="34"/>
  <c r="K217" i="34" s="1"/>
  <c r="F216" i="34"/>
  <c r="K216" i="34" s="1"/>
  <c r="F215" i="34"/>
  <c r="K215" i="34" s="1"/>
  <c r="F214" i="34"/>
  <c r="K214" i="34" s="1"/>
  <c r="F213" i="34"/>
  <c r="K213" i="34" s="1"/>
  <c r="F212" i="34"/>
  <c r="K212" i="34" s="1"/>
  <c r="F211" i="34"/>
  <c r="K211" i="34" s="1"/>
  <c r="F210" i="34"/>
  <c r="K210" i="34" s="1"/>
  <c r="F209" i="34"/>
  <c r="K209" i="34" s="1"/>
  <c r="F208" i="34"/>
  <c r="K208" i="34" s="1"/>
  <c r="F207" i="34"/>
  <c r="K207" i="34" s="1"/>
  <c r="F206" i="34"/>
  <c r="K206" i="34" s="1"/>
  <c r="F205" i="34"/>
  <c r="K205" i="34" s="1"/>
  <c r="F204" i="34"/>
  <c r="K204" i="34" s="1"/>
  <c r="F203" i="34"/>
  <c r="K203" i="34" s="1"/>
  <c r="F202" i="34"/>
  <c r="K202" i="34" s="1"/>
  <c r="F200" i="34"/>
  <c r="K200" i="34" s="1"/>
  <c r="F199" i="34"/>
  <c r="K199" i="34" s="1"/>
  <c r="F196" i="34"/>
  <c r="K196" i="34" s="1"/>
  <c r="F195" i="34"/>
  <c r="K195" i="34" s="1"/>
  <c r="F194" i="34"/>
  <c r="K194" i="34" s="1"/>
  <c r="F193" i="34"/>
  <c r="K193" i="34" s="1"/>
  <c r="F192" i="34"/>
  <c r="K192" i="34" s="1"/>
  <c r="F191" i="34"/>
  <c r="K191" i="34" s="1"/>
  <c r="F190" i="34"/>
  <c r="K190" i="34" s="1"/>
  <c r="F188" i="34"/>
  <c r="K188" i="34" s="1"/>
  <c r="F187" i="34"/>
  <c r="K187" i="34" s="1"/>
  <c r="F186" i="34"/>
  <c r="K186" i="34" s="1"/>
  <c r="F185" i="34"/>
  <c r="K185" i="34" s="1"/>
  <c r="F178" i="34"/>
  <c r="K178" i="34" s="1"/>
  <c r="F177" i="34"/>
  <c r="K177" i="34" s="1"/>
  <c r="F176" i="34"/>
  <c r="F175" i="34"/>
  <c r="E174" i="34"/>
  <c r="F174" i="34" s="1"/>
  <c r="F173" i="34"/>
  <c r="K173" i="34" s="1"/>
  <c r="F172" i="34"/>
  <c r="K172" i="34" s="1"/>
  <c r="F171" i="34"/>
  <c r="K171" i="34" s="1"/>
  <c r="F170" i="34"/>
  <c r="K170" i="34" s="1"/>
  <c r="F169" i="34"/>
  <c r="K169" i="34" s="1"/>
  <c r="F168" i="34"/>
  <c r="K168" i="34" s="1"/>
  <c r="F167" i="34"/>
  <c r="K167" i="34" s="1"/>
  <c r="F166" i="34"/>
  <c r="K166" i="34" s="1"/>
  <c r="F165" i="34"/>
  <c r="K165" i="34" s="1"/>
  <c r="F164" i="34"/>
  <c r="K164" i="34" s="1"/>
  <c r="F163" i="34"/>
  <c r="K163" i="34" s="1"/>
  <c r="F162" i="34"/>
  <c r="K162" i="34" s="1"/>
  <c r="F161" i="34"/>
  <c r="K161" i="34" s="1"/>
  <c r="F160" i="34"/>
  <c r="K160" i="34" s="1"/>
  <c r="F159" i="34"/>
  <c r="K159" i="34" s="1"/>
  <c r="F158" i="34"/>
  <c r="D158" i="34"/>
  <c r="F157" i="34"/>
  <c r="D157" i="34"/>
  <c r="E156" i="34"/>
  <c r="F156" i="34" s="1"/>
  <c r="D156" i="34"/>
  <c r="E155" i="34"/>
  <c r="F155" i="34" s="1"/>
  <c r="D155" i="34"/>
  <c r="F154" i="34"/>
  <c r="D154" i="34"/>
  <c r="E153" i="34"/>
  <c r="F153" i="34" s="1"/>
  <c r="D153" i="34"/>
  <c r="E152" i="34"/>
  <c r="F152" i="34" s="1"/>
  <c r="D152" i="34"/>
  <c r="F151" i="34"/>
  <c r="D151" i="34"/>
  <c r="F150" i="34"/>
  <c r="D150" i="34"/>
  <c r="F149" i="34"/>
  <c r="D149" i="34"/>
  <c r="F148" i="34"/>
  <c r="E147" i="34"/>
  <c r="F147" i="34" s="1"/>
  <c r="D147" i="34"/>
  <c r="E146" i="34"/>
  <c r="F146" i="34" s="1"/>
  <c r="D146" i="34"/>
  <c r="F145" i="34"/>
  <c r="F144" i="34"/>
  <c r="E143" i="34"/>
  <c r="F143" i="34" s="1"/>
  <c r="E141" i="34"/>
  <c r="F141" i="34" s="1"/>
  <c r="F140" i="34"/>
  <c r="K140" i="34" s="1"/>
  <c r="F139" i="34"/>
  <c r="K139" i="34" s="1"/>
  <c r="F138" i="34"/>
  <c r="F137" i="34"/>
  <c r="K137" i="34" s="1"/>
  <c r="F136" i="34"/>
  <c r="K136" i="34" s="1"/>
  <c r="E135" i="34"/>
  <c r="F135" i="34" s="1"/>
  <c r="K135" i="34" s="1"/>
  <c r="F134" i="34"/>
  <c r="K134" i="34" s="1"/>
  <c r="F133" i="34"/>
  <c r="K133" i="34" s="1"/>
  <c r="F132" i="34"/>
  <c r="K132" i="34" s="1"/>
  <c r="F131" i="34"/>
  <c r="K131" i="34" s="1"/>
  <c r="F130" i="34"/>
  <c r="K130" i="34" s="1"/>
  <c r="F129" i="34"/>
  <c r="K129" i="34" s="1"/>
  <c r="K128" i="34"/>
  <c r="F127" i="34"/>
  <c r="K127" i="34" s="1"/>
  <c r="F126" i="34"/>
  <c r="K126" i="34" s="1"/>
  <c r="F125" i="34"/>
  <c r="K125" i="34" s="1"/>
  <c r="F124" i="34"/>
  <c r="K124" i="34" s="1"/>
  <c r="F123" i="34"/>
  <c r="K123" i="34" s="1"/>
  <c r="F122" i="34"/>
  <c r="K122" i="34" s="1"/>
  <c r="F121" i="34"/>
  <c r="K121" i="34" s="1"/>
  <c r="F120" i="34"/>
  <c r="K120" i="34" s="1"/>
  <c r="F119" i="34"/>
  <c r="K119" i="34" s="1"/>
  <c r="F118" i="34"/>
  <c r="K118" i="34" s="1"/>
  <c r="K117" i="34"/>
  <c r="F116" i="34"/>
  <c r="K116" i="34" s="1"/>
  <c r="F115" i="34"/>
  <c r="K115" i="34" s="1"/>
  <c r="F114" i="34"/>
  <c r="K114" i="34" s="1"/>
  <c r="F113" i="34"/>
  <c r="K113" i="34" s="1"/>
  <c r="F112" i="34"/>
  <c r="K112" i="34" s="1"/>
  <c r="F111" i="34"/>
  <c r="K111" i="34" s="1"/>
  <c r="F110" i="34"/>
  <c r="K110" i="34" s="1"/>
  <c r="F109" i="34"/>
  <c r="K109" i="34" s="1"/>
  <c r="F108" i="34"/>
  <c r="K108" i="34" s="1"/>
  <c r="F107" i="34"/>
  <c r="K107" i="34" s="1"/>
  <c r="F106" i="34"/>
  <c r="K106" i="34" s="1"/>
  <c r="F105" i="34"/>
  <c r="K105" i="34" s="1"/>
  <c r="F104" i="34"/>
  <c r="K104" i="34" s="1"/>
  <c r="F103" i="34"/>
  <c r="K103" i="34" s="1"/>
  <c r="F102" i="34"/>
  <c r="K102" i="34" s="1"/>
  <c r="F101" i="34"/>
  <c r="K101" i="34" s="1"/>
  <c r="F100" i="34"/>
  <c r="K100" i="34" s="1"/>
  <c r="F99" i="34"/>
  <c r="K99" i="34" s="1"/>
  <c r="F98" i="34"/>
  <c r="K98" i="34" s="1"/>
  <c r="F97" i="34"/>
  <c r="K97" i="34" s="1"/>
  <c r="F96" i="34"/>
  <c r="K96" i="34" s="1"/>
  <c r="F95" i="34"/>
  <c r="K95" i="34" s="1"/>
  <c r="F94" i="34"/>
  <c r="K94" i="34" s="1"/>
  <c r="F93" i="34"/>
  <c r="K93" i="34" s="1"/>
  <c r="F92" i="34"/>
  <c r="K92" i="34" s="1"/>
  <c r="F91" i="34"/>
  <c r="K91" i="34" s="1"/>
  <c r="F90" i="34"/>
  <c r="K90" i="34" s="1"/>
  <c r="F89" i="34"/>
  <c r="K89" i="34" s="1"/>
  <c r="F88" i="34"/>
  <c r="K88" i="34" s="1"/>
  <c r="F87" i="34"/>
  <c r="K87" i="34" s="1"/>
  <c r="F86" i="34"/>
  <c r="K86" i="34" s="1"/>
  <c r="F85" i="34"/>
  <c r="K85" i="34" s="1"/>
  <c r="F84" i="34"/>
  <c r="K84" i="34" s="1"/>
  <c r="F83" i="34"/>
  <c r="K83" i="34" s="1"/>
  <c r="F82" i="34"/>
  <c r="K82" i="34" s="1"/>
  <c r="F81" i="34"/>
  <c r="K81" i="34" s="1"/>
  <c r="F80" i="34"/>
  <c r="K80" i="34" s="1"/>
  <c r="F79" i="34"/>
  <c r="K79" i="34" s="1"/>
  <c r="F78" i="34"/>
  <c r="K78" i="34" s="1"/>
  <c r="F77" i="34"/>
  <c r="K77" i="34" s="1"/>
  <c r="F76" i="34"/>
  <c r="K76" i="34" s="1"/>
  <c r="F75" i="34"/>
  <c r="K75" i="34" s="1"/>
  <c r="F74" i="34"/>
  <c r="K74" i="34" s="1"/>
  <c r="F73" i="34"/>
  <c r="K73" i="34" s="1"/>
  <c r="F72" i="34"/>
  <c r="K72" i="34" s="1"/>
  <c r="F71" i="34"/>
  <c r="K71" i="34" s="1"/>
  <c r="F70" i="34"/>
  <c r="K70" i="34" s="1"/>
  <c r="F69" i="34"/>
  <c r="K69" i="34" s="1"/>
  <c r="F68" i="34"/>
  <c r="K68" i="34" s="1"/>
  <c r="F67" i="34"/>
  <c r="K67" i="34" s="1"/>
  <c r="F66" i="34"/>
  <c r="K66" i="34" s="1"/>
  <c r="F65" i="34"/>
  <c r="K65" i="34" s="1"/>
  <c r="F64" i="34"/>
  <c r="K64" i="34" s="1"/>
  <c r="F63" i="34"/>
  <c r="K63" i="34" s="1"/>
  <c r="F62" i="34"/>
  <c r="K62" i="34" s="1"/>
  <c r="F61" i="34"/>
  <c r="K61" i="34" s="1"/>
  <c r="F60" i="34"/>
  <c r="K60" i="34" s="1"/>
  <c r="F59" i="34"/>
  <c r="K59" i="34" s="1"/>
  <c r="F58" i="34"/>
  <c r="K58" i="34" s="1"/>
  <c r="F57" i="34"/>
  <c r="K57" i="34" s="1"/>
  <c r="F56" i="34"/>
  <c r="K56" i="34" s="1"/>
  <c r="F55" i="34"/>
  <c r="K55" i="34" s="1"/>
  <c r="F54" i="34"/>
  <c r="K54" i="34" s="1"/>
  <c r="F53" i="34"/>
  <c r="K53" i="34" s="1"/>
  <c r="F52" i="34"/>
  <c r="K52" i="34" s="1"/>
  <c r="F51" i="34"/>
  <c r="K51" i="34" s="1"/>
  <c r="F50" i="34"/>
  <c r="K50" i="34" s="1"/>
  <c r="F49" i="34"/>
  <c r="K49" i="34" s="1"/>
  <c r="F48" i="34"/>
  <c r="K48" i="34" s="1"/>
  <c r="F47" i="34"/>
  <c r="K47" i="34" s="1"/>
  <c r="F46" i="34"/>
  <c r="K46" i="34" s="1"/>
  <c r="F45" i="34"/>
  <c r="K45" i="34" s="1"/>
  <c r="F44" i="34"/>
  <c r="K44" i="34" s="1"/>
  <c r="F43" i="34"/>
  <c r="K43" i="34" s="1"/>
  <c r="F42" i="34"/>
  <c r="K42" i="34" s="1"/>
  <c r="F41" i="34"/>
  <c r="K41" i="34" s="1"/>
  <c r="F40" i="34"/>
  <c r="K40" i="34" s="1"/>
  <c r="F39" i="34"/>
  <c r="K39" i="34" s="1"/>
  <c r="F38" i="34"/>
  <c r="K38" i="34" s="1"/>
  <c r="E37" i="34"/>
  <c r="F37" i="34" s="1"/>
  <c r="K37" i="34" s="1"/>
  <c r="F36" i="34"/>
  <c r="K36" i="34" s="1"/>
  <c r="F35" i="34"/>
  <c r="K35" i="34" s="1"/>
  <c r="F34" i="34"/>
  <c r="K34" i="34" s="1"/>
  <c r="F33" i="34"/>
  <c r="K33" i="34" s="1"/>
  <c r="F32" i="34"/>
  <c r="K32" i="34" s="1"/>
  <c r="K31" i="34"/>
  <c r="F30" i="34"/>
  <c r="K30" i="34" s="1"/>
  <c r="F29" i="34"/>
  <c r="K29" i="34" s="1"/>
  <c r="F28" i="34"/>
  <c r="K28" i="34" s="1"/>
  <c r="F27" i="34"/>
  <c r="K27" i="34" s="1"/>
  <c r="F26" i="34"/>
  <c r="K26" i="34" s="1"/>
  <c r="F25" i="34"/>
  <c r="K25" i="34" s="1"/>
  <c r="F24" i="34"/>
  <c r="K24" i="34" s="1"/>
  <c r="F23" i="34"/>
  <c r="K23" i="34" s="1"/>
  <c r="F22" i="34"/>
  <c r="K22" i="34" s="1"/>
  <c r="F21" i="34"/>
  <c r="K21" i="34" s="1"/>
  <c r="F20" i="34"/>
  <c r="K20" i="34" s="1"/>
  <c r="F19" i="34"/>
  <c r="K19" i="34" s="1"/>
  <c r="F18" i="34"/>
  <c r="K18" i="34" s="1"/>
  <c r="K17" i="34"/>
  <c r="F16" i="34"/>
  <c r="K16" i="34" s="1"/>
  <c r="F15" i="34"/>
  <c r="K15" i="34" s="1"/>
  <c r="F14" i="34"/>
  <c r="K14" i="34" s="1"/>
  <c r="F13" i="34"/>
  <c r="K13" i="34" s="1"/>
  <c r="F12" i="34"/>
  <c r="K12" i="34" s="1"/>
  <c r="F11" i="34"/>
  <c r="K11" i="34" s="1"/>
  <c r="F10" i="34"/>
  <c r="K10" i="34" s="1"/>
  <c r="F9" i="34"/>
  <c r="K9" i="34" s="1"/>
  <c r="E13" i="40" l="1"/>
  <c r="I13" i="40" s="1"/>
  <c r="E12" i="57"/>
  <c r="I12" i="57" s="1"/>
  <c r="I10" i="57" s="1"/>
  <c r="E8" i="56" s="1"/>
  <c r="F13" i="40"/>
  <c r="J13" i="40" s="1"/>
  <c r="F12" i="57"/>
  <c r="J12" i="57" s="1"/>
  <c r="J10" i="57" s="1"/>
  <c r="E9" i="56" s="1"/>
  <c r="H13" i="40"/>
  <c r="H12" i="57"/>
  <c r="G13" i="40"/>
  <c r="K13" i="40" s="1"/>
  <c r="G12" i="57"/>
  <c r="K12" i="57" s="1"/>
  <c r="K10" i="57" s="1"/>
  <c r="E12" i="56" s="1"/>
  <c r="E11" i="56" s="1"/>
  <c r="E18" i="56" s="1"/>
  <c r="I11" i="40"/>
  <c r="E8" i="2"/>
  <c r="C17" i="35"/>
  <c r="C12" i="35"/>
  <c r="J142" i="34"/>
  <c r="C7" i="35"/>
  <c r="G180" i="34" s="1"/>
  <c r="K147" i="34" s="1"/>
  <c r="K150" i="34" s="1"/>
  <c r="K151" i="34" s="1"/>
  <c r="K152" i="34" s="1"/>
  <c r="K154" i="34" s="1"/>
  <c r="K155" i="34" s="1"/>
  <c r="K157" i="34" s="1"/>
  <c r="J145" i="34"/>
  <c r="J144" i="34"/>
  <c r="H179" i="34"/>
  <c r="H181" i="34"/>
  <c r="H184" i="34"/>
  <c r="H180" i="34"/>
  <c r="H182" i="34"/>
  <c r="H183" i="34"/>
  <c r="J179" i="34"/>
  <c r="J181" i="34"/>
  <c r="J180" i="34"/>
  <c r="J184" i="34"/>
  <c r="J183" i="34"/>
  <c r="J182" i="34"/>
  <c r="C27" i="35"/>
  <c r="J198" i="34"/>
  <c r="J197" i="34"/>
  <c r="J143" i="34"/>
  <c r="C22" i="35"/>
  <c r="J141" i="34"/>
  <c r="K176" i="34"/>
  <c r="K175" i="34"/>
  <c r="K138" i="34"/>
  <c r="K174" i="34"/>
  <c r="C149" i="36"/>
  <c r="C152" i="36"/>
  <c r="C156" i="36" s="1"/>
  <c r="C159" i="36" s="1"/>
  <c r="C163" i="36" s="1"/>
  <c r="C166" i="36" s="1"/>
  <c r="K148" i="34"/>
  <c r="K149" i="34" s="1"/>
  <c r="E7" i="56" l="1"/>
  <c r="E6" i="56" s="1"/>
  <c r="G179" i="34"/>
  <c r="G145" i="34"/>
  <c r="K145" i="34" s="1"/>
  <c r="K146" i="34" s="1"/>
  <c r="K153" i="34" s="1"/>
  <c r="K156" i="34" s="1"/>
  <c r="G197" i="34"/>
  <c r="G183" i="34"/>
  <c r="K183" i="34" s="1"/>
  <c r="G184" i="34"/>
  <c r="K158" i="34" s="1"/>
  <c r="G198" i="34"/>
  <c r="K198" i="34" s="1"/>
  <c r="G144" i="34"/>
  <c r="K144" i="34" s="1"/>
  <c r="G182" i="34"/>
  <c r="K182" i="34" s="1"/>
  <c r="G181" i="34"/>
  <c r="K181" i="34" s="1"/>
  <c r="K180" i="34"/>
  <c r="G141" i="34"/>
  <c r="K141" i="34" s="1"/>
  <c r="K179" i="34"/>
  <c r="K197" i="34"/>
  <c r="G143" i="34"/>
  <c r="G142" i="34"/>
  <c r="K142" i="34" s="1"/>
  <c r="I257" i="25"/>
  <c r="E19" i="56" l="1"/>
  <c r="E20" i="56"/>
  <c r="K184" i="34"/>
  <c r="M68" i="39"/>
  <c r="G15" i="40" s="1"/>
  <c r="K15" i="40" s="1"/>
  <c r="K11" i="40" s="1"/>
  <c r="E12" i="2" s="1"/>
  <c r="L68" i="39"/>
  <c r="F15" i="40" s="1"/>
  <c r="J15" i="40" s="1"/>
  <c r="J11" i="40" s="1"/>
  <c r="E9" i="2" s="1"/>
  <c r="N68" i="39"/>
  <c r="H15" i="40" s="1"/>
  <c r="L15" i="40" s="1"/>
  <c r="L11" i="40" s="1"/>
  <c r="K143" i="34"/>
  <c r="N143" i="34"/>
  <c r="H199" i="32"/>
  <c r="F199" i="32"/>
  <c r="H198" i="32"/>
  <c r="F198" i="32"/>
  <c r="H197" i="32"/>
  <c r="F197" i="32"/>
  <c r="H196" i="32"/>
  <c r="F196" i="32"/>
  <c r="H195" i="32"/>
  <c r="F195" i="32"/>
  <c r="H194" i="32"/>
  <c r="F194" i="32"/>
  <c r="H193" i="32"/>
  <c r="F193" i="32"/>
  <c r="H188" i="32"/>
  <c r="G188" i="32"/>
  <c r="H187" i="32"/>
  <c r="G187" i="32"/>
  <c r="H186" i="32"/>
  <c r="G186" i="32"/>
  <c r="H185" i="32"/>
  <c r="G185" i="32"/>
  <c r="H184" i="32"/>
  <c r="G184" i="32"/>
  <c r="H183" i="32"/>
  <c r="G183" i="32"/>
  <c r="H182" i="32"/>
  <c r="G182" i="32"/>
  <c r="H181" i="32"/>
  <c r="G181" i="32"/>
  <c r="H180" i="32"/>
  <c r="G180" i="32"/>
  <c r="H179" i="32"/>
  <c r="G179" i="32"/>
  <c r="I174" i="32"/>
  <c r="H174" i="32"/>
  <c r="G174" i="32"/>
  <c r="I173" i="32"/>
  <c r="H173" i="32"/>
  <c r="G173" i="32"/>
  <c r="I172" i="32"/>
  <c r="H172" i="32"/>
  <c r="G172" i="32"/>
  <c r="I171" i="32"/>
  <c r="H171" i="32"/>
  <c r="G171" i="32"/>
  <c r="I170" i="32"/>
  <c r="H170" i="32"/>
  <c r="G170" i="32"/>
  <c r="I169" i="32"/>
  <c r="H169" i="32"/>
  <c r="G169" i="32"/>
  <c r="I168" i="32"/>
  <c r="H168" i="32"/>
  <c r="G168" i="32"/>
  <c r="I167" i="32"/>
  <c r="H167" i="32"/>
  <c r="G167" i="32"/>
  <c r="I166" i="32"/>
  <c r="H166" i="32"/>
  <c r="G166" i="32"/>
  <c r="I165" i="32"/>
  <c r="H165" i="32"/>
  <c r="G165" i="32"/>
  <c r="H160" i="32"/>
  <c r="F160" i="32"/>
  <c r="H159" i="32"/>
  <c r="F159" i="32"/>
  <c r="H158" i="32"/>
  <c r="F158" i="32"/>
  <c r="H157" i="32"/>
  <c r="F157" i="32"/>
  <c r="H156" i="32"/>
  <c r="F156" i="32"/>
  <c r="H155" i="32"/>
  <c r="F155" i="32"/>
  <c r="H154" i="32"/>
  <c r="F154" i="32"/>
  <c r="H153" i="32"/>
  <c r="F153" i="32"/>
  <c r="H148" i="32"/>
  <c r="G148" i="32"/>
  <c r="H147" i="32"/>
  <c r="G147" i="32"/>
  <c r="H146" i="32"/>
  <c r="G146" i="32"/>
  <c r="H145" i="32"/>
  <c r="G145" i="32"/>
  <c r="H144" i="32"/>
  <c r="G144" i="32"/>
  <c r="H143" i="32"/>
  <c r="G143" i="32"/>
  <c r="F137" i="32"/>
  <c r="H137" i="32" s="1"/>
  <c r="F136" i="32"/>
  <c r="H136" i="32" s="1"/>
  <c r="F135" i="32"/>
  <c r="H135" i="32" s="1"/>
  <c r="F134" i="32"/>
  <c r="H134" i="32" s="1"/>
  <c r="F133" i="32"/>
  <c r="H133" i="32" s="1"/>
  <c r="F132" i="32"/>
  <c r="H132" i="32" s="1"/>
  <c r="F131" i="32"/>
  <c r="H131" i="32" s="1"/>
  <c r="F130" i="32"/>
  <c r="H130" i="32" s="1"/>
  <c r="F129" i="32"/>
  <c r="H129" i="32" s="1"/>
  <c r="F128" i="32"/>
  <c r="H128" i="32" s="1"/>
  <c r="F127" i="32"/>
  <c r="H127" i="32" s="1"/>
  <c r="F126" i="32"/>
  <c r="H126" i="32" s="1"/>
  <c r="C70" i="32"/>
  <c r="F70" i="32" s="1"/>
  <c r="H70" i="32" s="1"/>
  <c r="F69" i="32"/>
  <c r="H69" i="32" s="1"/>
  <c r="F65" i="32"/>
  <c r="H65" i="32" s="1"/>
  <c r="E65" i="32"/>
  <c r="G65" i="32" s="1"/>
  <c r="D64" i="32"/>
  <c r="F64" i="32" s="1"/>
  <c r="H64" i="32" s="1"/>
  <c r="C64" i="32"/>
  <c r="E64" i="32" s="1"/>
  <c r="G64" i="32" s="1"/>
  <c r="D63" i="32"/>
  <c r="F63" i="32" s="1"/>
  <c r="H63" i="32" s="1"/>
  <c r="C63" i="32"/>
  <c r="E63" i="32" s="1"/>
  <c r="G63" i="32" s="1"/>
  <c r="D62" i="32"/>
  <c r="F62" i="32" s="1"/>
  <c r="H62" i="32" s="1"/>
  <c r="C62" i="32"/>
  <c r="E62" i="32" s="1"/>
  <c r="G62" i="32" s="1"/>
  <c r="D61" i="32"/>
  <c r="F61" i="32" s="1"/>
  <c r="H61" i="32" s="1"/>
  <c r="C61" i="32"/>
  <c r="E61" i="32" s="1"/>
  <c r="G61" i="32" s="1"/>
  <c r="D60" i="32"/>
  <c r="F60" i="32" s="1"/>
  <c r="H60" i="32" s="1"/>
  <c r="C60" i="32"/>
  <c r="E60" i="32" s="1"/>
  <c r="G60" i="32" s="1"/>
  <c r="D59" i="32"/>
  <c r="F59" i="32" s="1"/>
  <c r="H59" i="32" s="1"/>
  <c r="C59" i="32"/>
  <c r="E59" i="32" s="1"/>
  <c r="G59" i="32" s="1"/>
  <c r="D58" i="32"/>
  <c r="F58" i="32" s="1"/>
  <c r="H58" i="32" s="1"/>
  <c r="C58" i="32"/>
  <c r="E58" i="32" s="1"/>
  <c r="G58" i="32" s="1"/>
  <c r="D57" i="32"/>
  <c r="F57" i="32" s="1"/>
  <c r="H57" i="32" s="1"/>
  <c r="C57" i="32"/>
  <c r="E57" i="32" s="1"/>
  <c r="G57" i="32" s="1"/>
  <c r="D56" i="32"/>
  <c r="F56" i="32" s="1"/>
  <c r="H56" i="32" s="1"/>
  <c r="C56" i="32"/>
  <c r="E56" i="32" s="1"/>
  <c r="G56" i="32" s="1"/>
  <c r="F55" i="32"/>
  <c r="H55" i="32" s="1"/>
  <c r="E55" i="32"/>
  <c r="G55" i="32" s="1"/>
  <c r="D54" i="32"/>
  <c r="F54" i="32" s="1"/>
  <c r="H54" i="32" s="1"/>
  <c r="C54" i="32"/>
  <c r="E54" i="32" s="1"/>
  <c r="G54" i="32" s="1"/>
  <c r="D53" i="32"/>
  <c r="F53" i="32" s="1"/>
  <c r="H53" i="32" s="1"/>
  <c r="C53" i="32"/>
  <c r="E53" i="32" s="1"/>
  <c r="G53" i="32" s="1"/>
  <c r="D52" i="32"/>
  <c r="F52" i="32" s="1"/>
  <c r="H52" i="32" s="1"/>
  <c r="C52" i="32"/>
  <c r="E52" i="32" s="1"/>
  <c r="G52" i="32" s="1"/>
  <c r="D51" i="32"/>
  <c r="F51" i="32" s="1"/>
  <c r="H51" i="32" s="1"/>
  <c r="C51" i="32"/>
  <c r="E51" i="32" s="1"/>
  <c r="G51" i="32" s="1"/>
  <c r="D50" i="32"/>
  <c r="F50" i="32" s="1"/>
  <c r="H50" i="32" s="1"/>
  <c r="C50" i="32"/>
  <c r="E50" i="32" s="1"/>
  <c r="G50" i="32" s="1"/>
  <c r="D49" i="32"/>
  <c r="F49" i="32" s="1"/>
  <c r="H49" i="32" s="1"/>
  <c r="C49" i="32"/>
  <c r="E49" i="32" s="1"/>
  <c r="G49" i="32" s="1"/>
  <c r="D48" i="32"/>
  <c r="F48" i="32" s="1"/>
  <c r="H48" i="32" s="1"/>
  <c r="C48" i="32"/>
  <c r="E48" i="32" s="1"/>
  <c r="G48" i="32" s="1"/>
  <c r="D47" i="32"/>
  <c r="F47" i="32" s="1"/>
  <c r="H47" i="32" s="1"/>
  <c r="C47" i="32"/>
  <c r="E47" i="32" s="1"/>
  <c r="G47" i="32" s="1"/>
  <c r="D46" i="32"/>
  <c r="F46" i="32" s="1"/>
  <c r="H46" i="32" s="1"/>
  <c r="C46" i="32"/>
  <c r="E46" i="32" s="1"/>
  <c r="G46" i="32" s="1"/>
  <c r="F45" i="32"/>
  <c r="H45" i="32" s="1"/>
  <c r="E45" i="32"/>
  <c r="G45" i="32" s="1"/>
  <c r="D44" i="32"/>
  <c r="F44" i="32" s="1"/>
  <c r="H44" i="32" s="1"/>
  <c r="C44" i="32"/>
  <c r="E44" i="32" s="1"/>
  <c r="G44" i="32" s="1"/>
  <c r="D43" i="32"/>
  <c r="F43" i="32" s="1"/>
  <c r="H43" i="32" s="1"/>
  <c r="C43" i="32"/>
  <c r="E43" i="32" s="1"/>
  <c r="G43" i="32" s="1"/>
  <c r="D42" i="32"/>
  <c r="F42" i="32" s="1"/>
  <c r="H42" i="32" s="1"/>
  <c r="C42" i="32"/>
  <c r="E42" i="32" s="1"/>
  <c r="G42" i="32" s="1"/>
  <c r="D41" i="32"/>
  <c r="F41" i="32" s="1"/>
  <c r="H41" i="32" s="1"/>
  <c r="C41" i="32"/>
  <c r="E41" i="32" s="1"/>
  <c r="G41" i="32" s="1"/>
  <c r="D40" i="32"/>
  <c r="F40" i="32" s="1"/>
  <c r="H40" i="32" s="1"/>
  <c r="C40" i="32"/>
  <c r="E40" i="32" s="1"/>
  <c r="G40" i="32" s="1"/>
  <c r="D39" i="32"/>
  <c r="F39" i="32" s="1"/>
  <c r="H39" i="32" s="1"/>
  <c r="C39" i="32"/>
  <c r="E39" i="32" s="1"/>
  <c r="G39" i="32" s="1"/>
  <c r="D38" i="32"/>
  <c r="F38" i="32" s="1"/>
  <c r="H38" i="32" s="1"/>
  <c r="C38" i="32"/>
  <c r="E38" i="32" s="1"/>
  <c r="G38" i="32" s="1"/>
  <c r="D37" i="32"/>
  <c r="F37" i="32" s="1"/>
  <c r="H37" i="32" s="1"/>
  <c r="C37" i="32"/>
  <c r="E37" i="32" s="1"/>
  <c r="G37" i="32" s="1"/>
  <c r="D36" i="32"/>
  <c r="F36" i="32" s="1"/>
  <c r="H36" i="32" s="1"/>
  <c r="C36" i="32"/>
  <c r="E36" i="32" s="1"/>
  <c r="G36" i="32" s="1"/>
  <c r="F35" i="32"/>
  <c r="H35" i="32" s="1"/>
  <c r="E35" i="32"/>
  <c r="G35" i="32" s="1"/>
  <c r="D34" i="32"/>
  <c r="F34" i="32" s="1"/>
  <c r="H34" i="32" s="1"/>
  <c r="C34" i="32"/>
  <c r="E34" i="32" s="1"/>
  <c r="G34" i="32" s="1"/>
  <c r="D33" i="32"/>
  <c r="F33" i="32" s="1"/>
  <c r="H33" i="32" s="1"/>
  <c r="C33" i="32"/>
  <c r="E33" i="32" s="1"/>
  <c r="G33" i="32" s="1"/>
  <c r="D32" i="32"/>
  <c r="F32" i="32" s="1"/>
  <c r="H32" i="32" s="1"/>
  <c r="C32" i="32"/>
  <c r="E32" i="32" s="1"/>
  <c r="G32" i="32" s="1"/>
  <c r="D31" i="32"/>
  <c r="F31" i="32" s="1"/>
  <c r="H31" i="32" s="1"/>
  <c r="C31" i="32"/>
  <c r="E31" i="32" s="1"/>
  <c r="G31" i="32" s="1"/>
  <c r="D30" i="32"/>
  <c r="F30" i="32" s="1"/>
  <c r="H30" i="32" s="1"/>
  <c r="C30" i="32"/>
  <c r="E30" i="32" s="1"/>
  <c r="G30" i="32" s="1"/>
  <c r="D29" i="32"/>
  <c r="F29" i="32" s="1"/>
  <c r="H29" i="32" s="1"/>
  <c r="C29" i="32"/>
  <c r="E29" i="32" s="1"/>
  <c r="G29" i="32" s="1"/>
  <c r="D28" i="32"/>
  <c r="F28" i="32" s="1"/>
  <c r="H28" i="32" s="1"/>
  <c r="C28" i="32"/>
  <c r="E28" i="32" s="1"/>
  <c r="G28" i="32" s="1"/>
  <c r="D27" i="32"/>
  <c r="F27" i="32" s="1"/>
  <c r="H27" i="32" s="1"/>
  <c r="C27" i="32"/>
  <c r="E27" i="32" s="1"/>
  <c r="G27" i="32" s="1"/>
  <c r="D26" i="32"/>
  <c r="F26" i="32" s="1"/>
  <c r="H26" i="32" s="1"/>
  <c r="C26" i="32"/>
  <c r="E26" i="32" s="1"/>
  <c r="G26" i="32" s="1"/>
  <c r="F25" i="32"/>
  <c r="H25" i="32" s="1"/>
  <c r="E25" i="32"/>
  <c r="G25" i="32" s="1"/>
  <c r="D24" i="32"/>
  <c r="F24" i="32" s="1"/>
  <c r="H24" i="32" s="1"/>
  <c r="C24" i="32"/>
  <c r="E24" i="32" s="1"/>
  <c r="G24" i="32" s="1"/>
  <c r="D23" i="32"/>
  <c r="F23" i="32" s="1"/>
  <c r="H23" i="32" s="1"/>
  <c r="C23" i="32"/>
  <c r="E23" i="32" s="1"/>
  <c r="G23" i="32" s="1"/>
  <c r="D22" i="32"/>
  <c r="F22" i="32" s="1"/>
  <c r="H22" i="32" s="1"/>
  <c r="C22" i="32"/>
  <c r="E22" i="32" s="1"/>
  <c r="G22" i="32" s="1"/>
  <c r="D21" i="32"/>
  <c r="F21" i="32" s="1"/>
  <c r="H21" i="32" s="1"/>
  <c r="C21" i="32"/>
  <c r="E21" i="32" s="1"/>
  <c r="G21" i="32" s="1"/>
  <c r="D20" i="32"/>
  <c r="F20" i="32" s="1"/>
  <c r="H20" i="32" s="1"/>
  <c r="C20" i="32"/>
  <c r="E20" i="32" s="1"/>
  <c r="G20" i="32" s="1"/>
  <c r="D19" i="32"/>
  <c r="F19" i="32" s="1"/>
  <c r="H19" i="32" s="1"/>
  <c r="C19" i="32"/>
  <c r="E19" i="32" s="1"/>
  <c r="G19" i="32" s="1"/>
  <c r="D18" i="32"/>
  <c r="F18" i="32" s="1"/>
  <c r="H18" i="32" s="1"/>
  <c r="C18" i="32"/>
  <c r="E18" i="32" s="1"/>
  <c r="G18" i="32" s="1"/>
  <c r="D17" i="32"/>
  <c r="F17" i="32" s="1"/>
  <c r="H17" i="32" s="1"/>
  <c r="C17" i="32"/>
  <c r="E17" i="32" s="1"/>
  <c r="G17" i="32" s="1"/>
  <c r="D16" i="32"/>
  <c r="F16" i="32" s="1"/>
  <c r="H16" i="32" s="1"/>
  <c r="C16" i="32"/>
  <c r="E16" i="32" s="1"/>
  <c r="G16" i="32" s="1"/>
  <c r="F15" i="32"/>
  <c r="H15" i="32" s="1"/>
  <c r="E15" i="32"/>
  <c r="G15" i="32" s="1"/>
  <c r="F14" i="32"/>
  <c r="H14" i="32" s="1"/>
  <c r="E14" i="32"/>
  <c r="G14" i="32" s="1"/>
  <c r="O5" i="32"/>
  <c r="H111" i="27"/>
  <c r="H110" i="27" s="1"/>
  <c r="H108" i="27"/>
  <c r="H107" i="27" s="1"/>
  <c r="H106" i="27"/>
  <c r="H105" i="27" s="1"/>
  <c r="H103" i="27"/>
  <c r="H102" i="27"/>
  <c r="H100" i="27"/>
  <c r="H99" i="27"/>
  <c r="H97" i="27"/>
  <c r="H96" i="27"/>
  <c r="H95" i="27"/>
  <c r="H94" i="27"/>
  <c r="H91" i="27"/>
  <c r="H90" i="27"/>
  <c r="H89" i="27"/>
  <c r="H87" i="27"/>
  <c r="H86" i="27"/>
  <c r="H84" i="27"/>
  <c r="H83" i="27"/>
  <c r="H82" i="27"/>
  <c r="H81" i="27"/>
  <c r="H80" i="27"/>
  <c r="F77" i="27"/>
  <c r="H77" i="27" s="1"/>
  <c r="F76" i="27"/>
  <c r="H76" i="27" s="1"/>
  <c r="F75" i="27"/>
  <c r="H75" i="27" s="1"/>
  <c r="F74" i="27"/>
  <c r="H74" i="27" s="1"/>
  <c r="F73" i="27"/>
  <c r="F72" i="27"/>
  <c r="H72" i="27" s="1"/>
  <c r="F71" i="27"/>
  <c r="H71" i="27" s="1"/>
  <c r="F70" i="27"/>
  <c r="F69" i="27"/>
  <c r="H69" i="27" s="1"/>
  <c r="F68" i="27"/>
  <c r="H68" i="27" s="1"/>
  <c r="F67" i="27"/>
  <c r="H67" i="27" s="1"/>
  <c r="F66" i="27"/>
  <c r="H66" i="27" s="1"/>
  <c r="F65" i="27"/>
  <c r="H65" i="27" s="1"/>
  <c r="F64" i="27"/>
  <c r="H64" i="27" s="1"/>
  <c r="H61" i="27"/>
  <c r="H60" i="27"/>
  <c r="H59" i="27"/>
  <c r="H58" i="27"/>
  <c r="H56" i="27"/>
  <c r="H55" i="27"/>
  <c r="H53" i="27"/>
  <c r="H52" i="27"/>
  <c r="H51" i="27"/>
  <c r="H50" i="27"/>
  <c r="H49" i="27"/>
  <c r="H48" i="27"/>
  <c r="H26" i="27"/>
  <c r="H25" i="27"/>
  <c r="H24" i="27"/>
  <c r="H23" i="27"/>
  <c r="H22" i="27"/>
  <c r="H20" i="27"/>
  <c r="H19" i="27"/>
  <c r="H17" i="27"/>
  <c r="H16" i="27"/>
  <c r="H15" i="27"/>
  <c r="H14" i="27"/>
  <c r="H13" i="27"/>
  <c r="H12" i="27"/>
  <c r="H11" i="27"/>
  <c r="H10" i="27"/>
  <c r="D960" i="25"/>
  <c r="D956" i="25"/>
  <c r="K955" i="25"/>
  <c r="D952" i="25"/>
  <c r="D949" i="25"/>
  <c r="D946" i="25"/>
  <c r="D959" i="25" s="1"/>
  <c r="H943" i="25"/>
  <c r="H955" i="25" s="1"/>
  <c r="D943" i="25"/>
  <c r="D955" i="25" s="1"/>
  <c r="D940" i="25"/>
  <c r="F936" i="25"/>
  <c r="H936" i="25" s="1"/>
  <c r="H934" i="25"/>
  <c r="H933" i="25"/>
  <c r="H932" i="25"/>
  <c r="H931" i="25"/>
  <c r="H930" i="25"/>
  <c r="H929" i="25"/>
  <c r="H926" i="25"/>
  <c r="H894" i="25"/>
  <c r="H893" i="25"/>
  <c r="H892" i="25"/>
  <c r="H891" i="25"/>
  <c r="H890" i="25"/>
  <c r="H889" i="25"/>
  <c r="H888" i="25"/>
  <c r="H887" i="25"/>
  <c r="F886" i="25"/>
  <c r="H886" i="25" s="1"/>
  <c r="H885" i="25"/>
  <c r="H884" i="25"/>
  <c r="H883" i="25"/>
  <c r="H882" i="25"/>
  <c r="H881" i="25"/>
  <c r="H880" i="25"/>
  <c r="H879" i="25"/>
  <c r="H878" i="25"/>
  <c r="K877" i="25"/>
  <c r="F877" i="25"/>
  <c r="H877" i="25" s="1"/>
  <c r="H876" i="25"/>
  <c r="H875" i="25"/>
  <c r="H874" i="25"/>
  <c r="H873" i="25"/>
  <c r="H872" i="25"/>
  <c r="H871" i="25"/>
  <c r="H870" i="25"/>
  <c r="H869" i="25"/>
  <c r="H868" i="25"/>
  <c r="H867" i="25"/>
  <c r="H866" i="25"/>
  <c r="H865" i="25"/>
  <c r="H864" i="25"/>
  <c r="H863" i="25"/>
  <c r="H862" i="25"/>
  <c r="H861" i="25"/>
  <c r="H860" i="25"/>
  <c r="H859" i="25"/>
  <c r="H858" i="25"/>
  <c r="H857" i="25"/>
  <c r="H856" i="25"/>
  <c r="H855" i="25"/>
  <c r="H854" i="25"/>
  <c r="H853" i="25"/>
  <c r="H852" i="25"/>
  <c r="H851" i="25"/>
  <c r="H850" i="25"/>
  <c r="H849" i="25"/>
  <c r="H848" i="25"/>
  <c r="H847" i="25"/>
  <c r="H846" i="25"/>
  <c r="H845" i="25"/>
  <c r="H844" i="25"/>
  <c r="H843" i="25"/>
  <c r="H842" i="25"/>
  <c r="H841" i="25"/>
  <c r="H840" i="25"/>
  <c r="H839" i="25"/>
  <c r="H838" i="25"/>
  <c r="H837" i="25"/>
  <c r="H836" i="25"/>
  <c r="H835" i="25"/>
  <c r="H834" i="25"/>
  <c r="H833" i="25"/>
  <c r="H832" i="25"/>
  <c r="H831" i="25"/>
  <c r="H830" i="25"/>
  <c r="H829" i="25"/>
  <c r="H828" i="25"/>
  <c r="H827" i="25"/>
  <c r="H826" i="25"/>
  <c r="H825" i="25"/>
  <c r="H824" i="25"/>
  <c r="H823" i="25"/>
  <c r="H822" i="25"/>
  <c r="H821" i="25"/>
  <c r="H820" i="25"/>
  <c r="H819" i="25"/>
  <c r="H818" i="25"/>
  <c r="H817" i="25"/>
  <c r="H816" i="25"/>
  <c r="H815" i="25"/>
  <c r="H814" i="25"/>
  <c r="H813" i="25"/>
  <c r="H812" i="25"/>
  <c r="H811" i="25"/>
  <c r="H810" i="25"/>
  <c r="H809" i="25"/>
  <c r="H808" i="25"/>
  <c r="H807" i="25"/>
  <c r="H806" i="25"/>
  <c r="H805" i="25"/>
  <c r="H804" i="25"/>
  <c r="H803" i="25"/>
  <c r="H802" i="25"/>
  <c r="K801" i="25"/>
  <c r="H801" i="25"/>
  <c r="H800" i="25"/>
  <c r="H799" i="25"/>
  <c r="H798" i="25"/>
  <c r="H797" i="25"/>
  <c r="H796" i="25"/>
  <c r="H795" i="25"/>
  <c r="H794" i="25"/>
  <c r="H793" i="25"/>
  <c r="H792" i="25"/>
  <c r="H791" i="25"/>
  <c r="H790" i="25"/>
  <c r="H789" i="25"/>
  <c r="H788" i="25"/>
  <c r="H787" i="25"/>
  <c r="H786" i="25"/>
  <c r="H785" i="25"/>
  <c r="H784" i="25"/>
  <c r="H783" i="25"/>
  <c r="H782" i="25"/>
  <c r="H781" i="25"/>
  <c r="H780" i="25"/>
  <c r="H779" i="25"/>
  <c r="H778" i="25"/>
  <c r="H777" i="25"/>
  <c r="H776" i="25"/>
  <c r="H775" i="25"/>
  <c r="H774" i="25"/>
  <c r="H773" i="25"/>
  <c r="H772" i="25"/>
  <c r="H771" i="25"/>
  <c r="H770" i="25"/>
  <c r="H769" i="25"/>
  <c r="H768" i="25"/>
  <c r="H767" i="25"/>
  <c r="H766" i="25"/>
  <c r="H765" i="25"/>
  <c r="H764" i="25"/>
  <c r="H763" i="25"/>
  <c r="H762" i="25"/>
  <c r="H761" i="25"/>
  <c r="H760" i="25"/>
  <c r="H759" i="25"/>
  <c r="H758" i="25"/>
  <c r="H757" i="25"/>
  <c r="H756" i="25"/>
  <c r="H755" i="25"/>
  <c r="H754" i="25"/>
  <c r="H753" i="25"/>
  <c r="H752" i="25"/>
  <c r="H751" i="25"/>
  <c r="H750" i="25"/>
  <c r="H749" i="25"/>
  <c r="H748" i="25"/>
  <c r="H747" i="25"/>
  <c r="H746" i="25"/>
  <c r="H745" i="25"/>
  <c r="H744" i="25"/>
  <c r="H743" i="25"/>
  <c r="H742" i="25"/>
  <c r="H741" i="25"/>
  <c r="H740" i="25"/>
  <c r="H739" i="25"/>
  <c r="H738" i="25"/>
  <c r="H737" i="25"/>
  <c r="H736" i="25"/>
  <c r="H735" i="25"/>
  <c r="H734" i="25"/>
  <c r="H733" i="25"/>
  <c r="H732" i="25"/>
  <c r="H731" i="25"/>
  <c r="H730" i="25"/>
  <c r="H729" i="25"/>
  <c r="H728" i="25"/>
  <c r="H727" i="25"/>
  <c r="H726" i="25"/>
  <c r="H725" i="25"/>
  <c r="H724" i="25"/>
  <c r="H723" i="25"/>
  <c r="H722" i="25"/>
  <c r="H721" i="25"/>
  <c r="H720" i="25"/>
  <c r="H719" i="25"/>
  <c r="H718" i="25"/>
  <c r="H717" i="25"/>
  <c r="H716" i="25"/>
  <c r="H715" i="25"/>
  <c r="H714" i="25"/>
  <c r="H713" i="25"/>
  <c r="H712" i="25"/>
  <c r="H711" i="25"/>
  <c r="H710" i="25"/>
  <c r="H709" i="25"/>
  <c r="H708" i="25"/>
  <c r="H707" i="25"/>
  <c r="H706" i="25"/>
  <c r="H705" i="25"/>
  <c r="H704" i="25"/>
  <c r="H703" i="25"/>
  <c r="H702" i="25"/>
  <c r="H701" i="25"/>
  <c r="H700" i="25"/>
  <c r="H699" i="25"/>
  <c r="H698" i="25"/>
  <c r="H697" i="25"/>
  <c r="H696" i="25"/>
  <c r="H695" i="25"/>
  <c r="H694" i="25"/>
  <c r="H693" i="25"/>
  <c r="H692" i="25"/>
  <c r="H691" i="25"/>
  <c r="H690" i="25"/>
  <c r="H689" i="25"/>
  <c r="H688" i="25"/>
  <c r="H687" i="25"/>
  <c r="H686" i="25"/>
  <c r="H685" i="25"/>
  <c r="H684" i="25"/>
  <c r="H683" i="25"/>
  <c r="H682" i="25"/>
  <c r="F681" i="25"/>
  <c r="H681" i="25" s="1"/>
  <c r="D681" i="25"/>
  <c r="F680" i="25"/>
  <c r="H680" i="25" s="1"/>
  <c r="D680" i="25"/>
  <c r="F679" i="25"/>
  <c r="H679" i="25" s="1"/>
  <c r="D679" i="25"/>
  <c r="F678" i="25"/>
  <c r="H678" i="25" s="1"/>
  <c r="D678" i="25"/>
  <c r="F677" i="25"/>
  <c r="H677" i="25" s="1"/>
  <c r="D677" i="25"/>
  <c r="F676" i="25"/>
  <c r="H676" i="25" s="1"/>
  <c r="D676" i="25"/>
  <c r="F675" i="25"/>
  <c r="H675" i="25" s="1"/>
  <c r="D675" i="25"/>
  <c r="F674" i="25"/>
  <c r="H674" i="25" s="1"/>
  <c r="D674" i="25"/>
  <c r="H673" i="25"/>
  <c r="F672" i="25"/>
  <c r="H672" i="25" s="1"/>
  <c r="D672" i="25"/>
  <c r="F671" i="25"/>
  <c r="H671" i="25" s="1"/>
  <c r="D671" i="25"/>
  <c r="F670" i="25"/>
  <c r="H670" i="25" s="1"/>
  <c r="D670" i="25"/>
  <c r="F669" i="25"/>
  <c r="H669" i="25" s="1"/>
  <c r="D669" i="25"/>
  <c r="F668" i="25"/>
  <c r="H668" i="25" s="1"/>
  <c r="D668" i="25"/>
  <c r="F667" i="25"/>
  <c r="H667" i="25" s="1"/>
  <c r="D667" i="25"/>
  <c r="F666" i="25"/>
  <c r="H666" i="25" s="1"/>
  <c r="D666" i="25"/>
  <c r="F665" i="25"/>
  <c r="H665" i="25" s="1"/>
  <c r="D665" i="25"/>
  <c r="H664" i="25"/>
  <c r="H663" i="25"/>
  <c r="H662" i="25"/>
  <c r="H661" i="25"/>
  <c r="H660" i="25"/>
  <c r="H659" i="25"/>
  <c r="H658" i="25"/>
  <c r="H657" i="25"/>
  <c r="H656" i="25"/>
  <c r="H655" i="25"/>
  <c r="L654" i="25"/>
  <c r="I654" i="25" s="1"/>
  <c r="H654" i="25"/>
  <c r="L653" i="25"/>
  <c r="I653" i="25" s="1"/>
  <c r="H653" i="25"/>
  <c r="L652" i="25"/>
  <c r="I652" i="25" s="1"/>
  <c r="H652" i="25"/>
  <c r="L651" i="25"/>
  <c r="I651" i="25" s="1"/>
  <c r="H651" i="25"/>
  <c r="L650" i="25"/>
  <c r="I650" i="25" s="1"/>
  <c r="H650" i="25"/>
  <c r="L649" i="25"/>
  <c r="I649" i="25" s="1"/>
  <c r="H649" i="25"/>
  <c r="H648" i="25"/>
  <c r="L647" i="25"/>
  <c r="I647" i="25" s="1"/>
  <c r="H647" i="25"/>
  <c r="L646" i="25"/>
  <c r="I646" i="25" s="1"/>
  <c r="H646" i="25"/>
  <c r="I645" i="25"/>
  <c r="H645" i="25"/>
  <c r="H644" i="25"/>
  <c r="H643" i="25"/>
  <c r="H642" i="25"/>
  <c r="H641" i="25"/>
  <c r="P640" i="25"/>
  <c r="P641" i="25" s="1"/>
  <c r="P642" i="25" s="1"/>
  <c r="H640" i="25"/>
  <c r="L639" i="25"/>
  <c r="I639" i="25" s="1"/>
  <c r="H639" i="25"/>
  <c r="L638" i="25"/>
  <c r="I638" i="25" s="1"/>
  <c r="H638" i="25"/>
  <c r="L637" i="25"/>
  <c r="I637" i="25" s="1"/>
  <c r="H637" i="25"/>
  <c r="L636" i="25"/>
  <c r="I636" i="25" s="1"/>
  <c r="H636" i="25"/>
  <c r="L635" i="25"/>
  <c r="I635" i="25" s="1"/>
  <c r="H635" i="25"/>
  <c r="H634" i="25"/>
  <c r="H633" i="25"/>
  <c r="H632" i="25"/>
  <c r="H631" i="25"/>
  <c r="H630" i="25"/>
  <c r="H629" i="25"/>
  <c r="H628" i="25"/>
  <c r="H627" i="25"/>
  <c r="H626" i="25"/>
  <c r="H625" i="25"/>
  <c r="H624" i="25"/>
  <c r="H623" i="25"/>
  <c r="H622" i="25"/>
  <c r="H621" i="25"/>
  <c r="H620" i="25"/>
  <c r="H619" i="25"/>
  <c r="H618" i="25"/>
  <c r="H617" i="25"/>
  <c r="H616" i="25"/>
  <c r="H615" i="25"/>
  <c r="H614" i="25"/>
  <c r="H613" i="25"/>
  <c r="H612" i="25"/>
  <c r="H611" i="25"/>
  <c r="H610" i="25"/>
  <c r="H609" i="25"/>
  <c r="H608" i="25"/>
  <c r="H607" i="25"/>
  <c r="H606" i="25"/>
  <c r="H605" i="25"/>
  <c r="H604" i="25"/>
  <c r="H603" i="25"/>
  <c r="H602" i="25"/>
  <c r="H601" i="25"/>
  <c r="H600" i="25"/>
  <c r="H599" i="25"/>
  <c r="H598" i="25"/>
  <c r="H597" i="25"/>
  <c r="H596" i="25"/>
  <c r="H595" i="25"/>
  <c r="H594" i="25"/>
  <c r="H593" i="25"/>
  <c r="H592" i="25"/>
  <c r="H590" i="25"/>
  <c r="H589" i="25"/>
  <c r="H588" i="25"/>
  <c r="H587" i="25"/>
  <c r="H586" i="25"/>
  <c r="H585" i="25"/>
  <c r="H584" i="25"/>
  <c r="H583" i="25"/>
  <c r="H582" i="25"/>
  <c r="H581" i="25"/>
  <c r="H580" i="25"/>
  <c r="H579" i="25"/>
  <c r="H578" i="25"/>
  <c r="H577" i="25"/>
  <c r="H576" i="25"/>
  <c r="H575" i="25"/>
  <c r="H574" i="25"/>
  <c r="H573" i="25"/>
  <c r="H572" i="25"/>
  <c r="H571" i="25"/>
  <c r="H570" i="25"/>
  <c r="H569" i="25"/>
  <c r="H568" i="25"/>
  <c r="H567" i="25"/>
  <c r="H566" i="25"/>
  <c r="H565" i="25"/>
  <c r="H564" i="25"/>
  <c r="H563" i="25"/>
  <c r="H562" i="25"/>
  <c r="H561" i="25"/>
  <c r="H560" i="25"/>
  <c r="H559" i="25"/>
  <c r="H558" i="25"/>
  <c r="H557" i="25"/>
  <c r="H556" i="25"/>
  <c r="H555" i="25"/>
  <c r="H554" i="25"/>
  <c r="H553" i="25"/>
  <c r="H552" i="25"/>
  <c r="H551" i="25"/>
  <c r="H550" i="25"/>
  <c r="H549" i="25"/>
  <c r="H547" i="25"/>
  <c r="H546" i="25"/>
  <c r="H545" i="25"/>
  <c r="N544" i="25"/>
  <c r="N545" i="25" s="1"/>
  <c r="N546" i="25" s="1"/>
  <c r="N547" i="25" s="1"/>
  <c r="L547" i="25" s="1"/>
  <c r="I547" i="25" s="1"/>
  <c r="H544" i="25"/>
  <c r="H541" i="25"/>
  <c r="H540" i="25"/>
  <c r="N539" i="25"/>
  <c r="H539" i="25"/>
  <c r="L538" i="25"/>
  <c r="H538" i="25"/>
  <c r="H537" i="25"/>
  <c r="H536" i="25"/>
  <c r="H535" i="25"/>
  <c r="H534" i="25"/>
  <c r="H533" i="25"/>
  <c r="H532" i="25"/>
  <c r="H531" i="25"/>
  <c r="H530" i="25"/>
  <c r="H529" i="25"/>
  <c r="H528" i="25"/>
  <c r="H526" i="25"/>
  <c r="H525" i="25"/>
  <c r="H524" i="25"/>
  <c r="H523" i="25"/>
  <c r="H522" i="25"/>
  <c r="H521" i="25"/>
  <c r="H520" i="25"/>
  <c r="H518" i="25"/>
  <c r="H517" i="25"/>
  <c r="H516" i="25"/>
  <c r="H515" i="25"/>
  <c r="H514" i="25"/>
  <c r="H513" i="25"/>
  <c r="H512" i="25"/>
  <c r="H511" i="25"/>
  <c r="H510" i="25"/>
  <c r="H509" i="25"/>
  <c r="H508" i="25"/>
  <c r="H507" i="25"/>
  <c r="H506" i="25"/>
  <c r="H505" i="25"/>
  <c r="H504" i="25"/>
  <c r="H503" i="25"/>
  <c r="H502" i="25"/>
  <c r="H501" i="25"/>
  <c r="H500" i="25"/>
  <c r="H499" i="25"/>
  <c r="H498" i="25"/>
  <c r="H497" i="25"/>
  <c r="H496" i="25"/>
  <c r="H495" i="25"/>
  <c r="H493" i="25"/>
  <c r="H492" i="25"/>
  <c r="H491" i="25"/>
  <c r="H490" i="25"/>
  <c r="H489" i="25"/>
  <c r="H488" i="25"/>
  <c r="H487" i="25"/>
  <c r="H486" i="25"/>
  <c r="H485" i="25"/>
  <c r="H484" i="25"/>
  <c r="H483" i="25"/>
  <c r="H482" i="25"/>
  <c r="H481" i="25"/>
  <c r="H480" i="25"/>
  <c r="H479" i="25"/>
  <c r="H478" i="25"/>
  <c r="H477" i="25"/>
  <c r="H476" i="25"/>
  <c r="H475" i="25"/>
  <c r="H474" i="25"/>
  <c r="H472" i="25"/>
  <c r="H471" i="25"/>
  <c r="H470" i="25"/>
  <c r="H468" i="25"/>
  <c r="H467" i="25"/>
  <c r="H466" i="25"/>
  <c r="H465" i="25"/>
  <c r="H462" i="25"/>
  <c r="H461" i="25"/>
  <c r="H460" i="25"/>
  <c r="H459" i="25"/>
  <c r="H458" i="25"/>
  <c r="H457" i="25"/>
  <c r="H456" i="25"/>
  <c r="H455" i="25"/>
  <c r="H454" i="25"/>
  <c r="H453" i="25"/>
  <c r="H452" i="25"/>
  <c r="H451" i="25"/>
  <c r="H450" i="25"/>
  <c r="H449" i="25"/>
  <c r="H448" i="25"/>
  <c r="H447" i="25"/>
  <c r="H446" i="25"/>
  <c r="H445" i="25"/>
  <c r="H444" i="25"/>
  <c r="H443" i="25"/>
  <c r="H442" i="25"/>
  <c r="H441" i="25"/>
  <c r="H440" i="25"/>
  <c r="H439" i="25"/>
  <c r="H438" i="25"/>
  <c r="H437" i="25"/>
  <c r="H436" i="25"/>
  <c r="H435" i="25"/>
  <c r="H434" i="25"/>
  <c r="H432" i="25"/>
  <c r="H431" i="25"/>
  <c r="H429" i="25"/>
  <c r="H428" i="25"/>
  <c r="H427" i="25"/>
  <c r="H426" i="25"/>
  <c r="H425" i="25"/>
  <c r="H424" i="25"/>
  <c r="H423" i="25"/>
  <c r="H422" i="25"/>
  <c r="N419" i="25"/>
  <c r="L418" i="25"/>
  <c r="H416" i="25"/>
  <c r="H415" i="25"/>
  <c r="H414" i="25"/>
  <c r="H413" i="25"/>
  <c r="H412" i="25"/>
  <c r="H411" i="25"/>
  <c r="H410" i="25"/>
  <c r="H409" i="25"/>
  <c r="H405" i="25"/>
  <c r="H404" i="25"/>
  <c r="H402" i="25"/>
  <c r="H401" i="25"/>
  <c r="H400" i="25"/>
  <c r="H399" i="25"/>
  <c r="H398" i="25"/>
  <c r="H397" i="25"/>
  <c r="H396" i="25"/>
  <c r="H395" i="25"/>
  <c r="H393" i="25"/>
  <c r="H392" i="25"/>
  <c r="H391" i="25"/>
  <c r="H390" i="25"/>
  <c r="H389" i="25"/>
  <c r="H388" i="25"/>
  <c r="H387" i="25"/>
  <c r="N386" i="25"/>
  <c r="H386" i="25"/>
  <c r="L385" i="25"/>
  <c r="I385" i="25" s="1"/>
  <c r="H385" i="25"/>
  <c r="H384" i="25"/>
  <c r="H383" i="25"/>
  <c r="H382" i="25"/>
  <c r="H381" i="25"/>
  <c r="H380" i="25"/>
  <c r="H378" i="25"/>
  <c r="H377" i="25"/>
  <c r="H376" i="25"/>
  <c r="H375" i="25"/>
  <c r="H374" i="25"/>
  <c r="H373" i="25"/>
  <c r="H372" i="25"/>
  <c r="H371" i="25"/>
  <c r="H369" i="25"/>
  <c r="H368" i="25"/>
  <c r="H364" i="25"/>
  <c r="H363" i="25"/>
  <c r="H362" i="25"/>
  <c r="H361" i="25"/>
  <c r="H346" i="25"/>
  <c r="H339" i="25"/>
  <c r="H338" i="25"/>
  <c r="H337" i="25"/>
  <c r="F336" i="25"/>
  <c r="H336" i="25" s="1"/>
  <c r="F335" i="25"/>
  <c r="H335" i="25" s="1"/>
  <c r="H334" i="25"/>
  <c r="F333" i="25"/>
  <c r="H333" i="25" s="1"/>
  <c r="F332" i="25"/>
  <c r="H332" i="25" s="1"/>
  <c r="F331" i="25"/>
  <c r="H331" i="25" s="1"/>
  <c r="F330" i="25"/>
  <c r="H330" i="25" s="1"/>
  <c r="F329" i="25"/>
  <c r="H329" i="25" s="1"/>
  <c r="H328" i="25"/>
  <c r="H327" i="25"/>
  <c r="H326" i="25"/>
  <c r="H325" i="25"/>
  <c r="H324" i="25"/>
  <c r="H322" i="25"/>
  <c r="H321" i="25"/>
  <c r="H320" i="25"/>
  <c r="H317" i="25"/>
  <c r="H316" i="25"/>
  <c r="H315" i="25"/>
  <c r="H314" i="25"/>
  <c r="H312" i="25"/>
  <c r="H310" i="25"/>
  <c r="L309" i="25"/>
  <c r="I309" i="25" s="1"/>
  <c r="H309" i="25"/>
  <c r="N308" i="25"/>
  <c r="H308" i="25"/>
  <c r="P307" i="25"/>
  <c r="L307" i="25" s="1"/>
  <c r="I307" i="25" s="1"/>
  <c r="H307" i="25"/>
  <c r="P306" i="25"/>
  <c r="P308" i="25" s="1"/>
  <c r="N306" i="25"/>
  <c r="H306" i="25"/>
  <c r="L305" i="25"/>
  <c r="I305" i="25" s="1"/>
  <c r="H305" i="25"/>
  <c r="P304" i="25"/>
  <c r="H304" i="25"/>
  <c r="P301" i="25"/>
  <c r="P303" i="25" s="1"/>
  <c r="P310" i="25" s="1"/>
  <c r="N301" i="25"/>
  <c r="N303" i="25" s="1"/>
  <c r="H301" i="25"/>
  <c r="L300" i="25"/>
  <c r="I300" i="25" s="1"/>
  <c r="H300" i="25"/>
  <c r="H298" i="25"/>
  <c r="H296" i="25"/>
  <c r="N294" i="25"/>
  <c r="H294" i="25"/>
  <c r="H293" i="25"/>
  <c r="L292" i="25"/>
  <c r="I292" i="25" s="1"/>
  <c r="H292" i="25"/>
  <c r="H291" i="25"/>
  <c r="H290" i="25"/>
  <c r="H289" i="25"/>
  <c r="H288" i="25"/>
  <c r="H287" i="25"/>
  <c r="H286" i="25"/>
  <c r="H285" i="25"/>
  <c r="H282" i="25"/>
  <c r="H281" i="25"/>
  <c r="P277" i="25"/>
  <c r="P278" i="25" s="1"/>
  <c r="P279" i="25" s="1"/>
  <c r="N277" i="25"/>
  <c r="N278" i="25" s="1"/>
  <c r="L276" i="25"/>
  <c r="I276" i="25" s="1"/>
  <c r="H276" i="25"/>
  <c r="H275" i="25"/>
  <c r="H274" i="25"/>
  <c r="H273" i="25"/>
  <c r="H272" i="25"/>
  <c r="H271" i="25"/>
  <c r="H270" i="25"/>
  <c r="H269" i="25"/>
  <c r="H268" i="25"/>
  <c r="H267" i="25"/>
  <c r="H266" i="25"/>
  <c r="H265" i="25"/>
  <c r="F264" i="25"/>
  <c r="H264" i="25" s="1"/>
  <c r="N263" i="25"/>
  <c r="N264" i="25" s="1"/>
  <c r="L264" i="25" s="1"/>
  <c r="I264" i="25" s="1"/>
  <c r="F263" i="25"/>
  <c r="H263" i="25" s="1"/>
  <c r="L262" i="25"/>
  <c r="I262" i="25" s="1"/>
  <c r="F262" i="25"/>
  <c r="H262" i="25" s="1"/>
  <c r="H261" i="25"/>
  <c r="H260" i="25"/>
  <c r="H259" i="25"/>
  <c r="H258" i="25"/>
  <c r="H257" i="25"/>
  <c r="H256" i="25"/>
  <c r="H255" i="25"/>
  <c r="H254" i="25"/>
  <c r="H253" i="25"/>
  <c r="H252" i="25"/>
  <c r="H251" i="25"/>
  <c r="H250" i="25"/>
  <c r="H249" i="25"/>
  <c r="H248" i="25"/>
  <c r="H247" i="25"/>
  <c r="H246" i="25"/>
  <c r="H245" i="25"/>
  <c r="H244" i="25"/>
  <c r="H243" i="25"/>
  <c r="H242"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F203" i="25"/>
  <c r="H203" i="25" s="1"/>
  <c r="F202" i="25"/>
  <c r="H202" i="25" s="1"/>
  <c r="N201" i="25"/>
  <c r="F201" i="25"/>
  <c r="H201" i="25" s="1"/>
  <c r="L200" i="25"/>
  <c r="I200" i="25" s="1"/>
  <c r="F200" i="25"/>
  <c r="H200" i="25" s="1"/>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N150" i="25"/>
  <c r="N151" i="25" s="1"/>
  <c r="H150" i="25"/>
  <c r="L149" i="25"/>
  <c r="I149" i="25" s="1"/>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0" i="25"/>
  <c r="H19" i="25"/>
  <c r="I4" i="25"/>
  <c r="I884" i="25" s="1"/>
  <c r="F450" i="26"/>
  <c r="H450" i="26" s="1"/>
  <c r="F449" i="26"/>
  <c r="H449" i="26" s="1"/>
  <c r="F448" i="26"/>
  <c r="H448" i="26" s="1"/>
  <c r="F447" i="26"/>
  <c r="H447" i="26" s="1"/>
  <c r="H445" i="26"/>
  <c r="H444" i="26"/>
  <c r="H442" i="26"/>
  <c r="H441" i="26"/>
  <c r="H440" i="26"/>
  <c r="H439" i="26"/>
  <c r="H438" i="26"/>
  <c r="H437" i="26"/>
  <c r="H436" i="26"/>
  <c r="H435" i="26"/>
  <c r="H434" i="26"/>
  <c r="H433" i="26"/>
  <c r="H431" i="26"/>
  <c r="H430" i="26"/>
  <c r="H429" i="26"/>
  <c r="H428" i="26"/>
  <c r="H427" i="26"/>
  <c r="H426" i="26"/>
  <c r="H425" i="26"/>
  <c r="H424" i="26"/>
  <c r="H423" i="26"/>
  <c r="H422" i="26"/>
  <c r="H421" i="26"/>
  <c r="H420" i="26"/>
  <c r="H419" i="26"/>
  <c r="H418" i="26"/>
  <c r="H417" i="26"/>
  <c r="H416" i="26"/>
  <c r="H415" i="26"/>
  <c r="H414" i="26"/>
  <c r="H413" i="26"/>
  <c r="H412" i="26"/>
  <c r="H411" i="26"/>
  <c r="H410" i="26"/>
  <c r="H409" i="26"/>
  <c r="H408" i="26"/>
  <c r="H407" i="26"/>
  <c r="H406" i="26"/>
  <c r="H405" i="26"/>
  <c r="H404" i="26"/>
  <c r="H403" i="26"/>
  <c r="H402" i="26"/>
  <c r="H401" i="26"/>
  <c r="H400" i="26"/>
  <c r="H399" i="26"/>
  <c r="H398" i="26"/>
  <c r="H397" i="26"/>
  <c r="H396" i="26"/>
  <c r="H395" i="26"/>
  <c r="H394" i="26"/>
  <c r="H393" i="26"/>
  <c r="H392" i="26"/>
  <c r="H391" i="26"/>
  <c r="H390" i="26"/>
  <c r="H389" i="26"/>
  <c r="H388" i="26"/>
  <c r="H387" i="26"/>
  <c r="H386" i="26"/>
  <c r="H385" i="26"/>
  <c r="H384" i="26"/>
  <c r="H383" i="26"/>
  <c r="H382" i="26"/>
  <c r="H381" i="26"/>
  <c r="H380" i="26"/>
  <c r="H379" i="26"/>
  <c r="H378" i="26"/>
  <c r="H377" i="26"/>
  <c r="H376" i="26"/>
  <c r="H375" i="26"/>
  <c r="H374" i="26"/>
  <c r="H373" i="26"/>
  <c r="H372" i="26"/>
  <c r="H371" i="26"/>
  <c r="H370" i="26"/>
  <c r="H369" i="26"/>
  <c r="I354" i="26"/>
  <c r="H354" i="26"/>
  <c r="I353" i="26"/>
  <c r="H353" i="26"/>
  <c r="I352" i="26"/>
  <c r="H352" i="26"/>
  <c r="I351" i="26"/>
  <c r="H351" i="26"/>
  <c r="I350" i="26"/>
  <c r="H350" i="26"/>
  <c r="I349" i="26"/>
  <c r="H349" i="26"/>
  <c r="I348" i="26"/>
  <c r="H348" i="26"/>
  <c r="H346" i="26"/>
  <c r="H345" i="26"/>
  <c r="H344" i="26"/>
  <c r="H343" i="26"/>
  <c r="H340" i="26"/>
  <c r="H339" i="26"/>
  <c r="I338" i="26"/>
  <c r="H338" i="26"/>
  <c r="I337" i="26"/>
  <c r="H337" i="26"/>
  <c r="I336" i="26"/>
  <c r="H336" i="26"/>
  <c r="H334" i="26"/>
  <c r="H333" i="26"/>
  <c r="H332" i="26"/>
  <c r="H331" i="26"/>
  <c r="H330" i="26"/>
  <c r="H327" i="26"/>
  <c r="H326" i="26"/>
  <c r="H325" i="26"/>
  <c r="H323" i="26"/>
  <c r="H321" i="26"/>
  <c r="H320" i="26"/>
  <c r="H319" i="26"/>
  <c r="H317" i="26"/>
  <c r="H316" i="26"/>
  <c r="H315" i="26"/>
  <c r="H314" i="26"/>
  <c r="H313" i="26"/>
  <c r="H312" i="26"/>
  <c r="H310" i="26"/>
  <c r="H309" i="26"/>
  <c r="H308" i="26"/>
  <c r="H306" i="26"/>
  <c r="H305" i="26"/>
  <c r="H304" i="26"/>
  <c r="H303" i="26"/>
  <c r="H301" i="26"/>
  <c r="H300" i="26"/>
  <c r="H299" i="26"/>
  <c r="H298" i="26"/>
  <c r="H297" i="26"/>
  <c r="H296" i="26"/>
  <c r="H295" i="26"/>
  <c r="H294" i="26"/>
  <c r="H290" i="26"/>
  <c r="H289" i="26"/>
  <c r="H288" i="26"/>
  <c r="H287" i="26"/>
  <c r="H285" i="26"/>
  <c r="H284" i="26"/>
  <c r="H283" i="26"/>
  <c r="H282" i="26"/>
  <c r="H281" i="26"/>
  <c r="H280" i="26"/>
  <c r="H279" i="26"/>
  <c r="H278" i="26"/>
  <c r="H277" i="26"/>
  <c r="H276" i="26"/>
  <c r="H274" i="26"/>
  <c r="H273" i="26"/>
  <c r="H272" i="26"/>
  <c r="H271" i="26"/>
  <c r="H270" i="26"/>
  <c r="H268" i="26"/>
  <c r="H266" i="26"/>
  <c r="J264" i="26"/>
  <c r="H264" i="26"/>
  <c r="H233" i="26"/>
  <c r="H232" i="26"/>
  <c r="H231" i="26"/>
  <c r="H230" i="26"/>
  <c r="H229" i="26"/>
  <c r="H228" i="26"/>
  <c r="H227" i="26"/>
  <c r="H225" i="26"/>
  <c r="H224" i="26"/>
  <c r="H223" i="26"/>
  <c r="H222" i="26"/>
  <c r="H221" i="26"/>
  <c r="H220" i="26"/>
  <c r="H219" i="26"/>
  <c r="H210" i="26"/>
  <c r="H209" i="26"/>
  <c r="H208" i="26"/>
  <c r="H207" i="26"/>
  <c r="H206" i="26"/>
  <c r="H205" i="26"/>
  <c r="H204" i="26"/>
  <c r="H202" i="26"/>
  <c r="H201" i="26"/>
  <c r="H200" i="26"/>
  <c r="H199" i="26"/>
  <c r="H198" i="26"/>
  <c r="H197" i="26"/>
  <c r="H196" i="26"/>
  <c r="H195" i="26"/>
  <c r="H194" i="26"/>
  <c r="H193" i="26"/>
  <c r="H192" i="26"/>
  <c r="H191" i="26"/>
  <c r="H190" i="26"/>
  <c r="H186" i="26"/>
  <c r="H185" i="26"/>
  <c r="H184" i="26"/>
  <c r="H183" i="26"/>
  <c r="H182" i="26"/>
  <c r="H181" i="26"/>
  <c r="H180" i="26"/>
  <c r="H179" i="26"/>
  <c r="H178" i="26"/>
  <c r="H176" i="26"/>
  <c r="H175" i="26"/>
  <c r="H174" i="26"/>
  <c r="H173" i="26"/>
  <c r="H172" i="26"/>
  <c r="H171" i="26"/>
  <c r="H170" i="26"/>
  <c r="H169" i="26"/>
  <c r="H168" i="26"/>
  <c r="H167" i="26"/>
  <c r="H166" i="26"/>
  <c r="H165" i="26"/>
  <c r="H164" i="26"/>
  <c r="H163" i="26"/>
  <c r="H162" i="26"/>
  <c r="H160" i="26"/>
  <c r="H159" i="26"/>
  <c r="H158" i="26"/>
  <c r="H157" i="26"/>
  <c r="H156" i="26"/>
  <c r="H155" i="26"/>
  <c r="H154" i="26"/>
  <c r="H153" i="26"/>
  <c r="H152" i="26"/>
  <c r="H151" i="26"/>
  <c r="H150" i="26"/>
  <c r="H149" i="26"/>
  <c r="H148" i="26"/>
  <c r="H147" i="26"/>
  <c r="H146" i="26"/>
  <c r="H119" i="26"/>
  <c r="H118" i="26"/>
  <c r="H117" i="26"/>
  <c r="H115" i="26"/>
  <c r="D113" i="26"/>
  <c r="D112" i="26"/>
  <c r="D111" i="26"/>
  <c r="D110" i="26"/>
  <c r="D109" i="26"/>
  <c r="D108" i="26"/>
  <c r="D107" i="26"/>
  <c r="D106" i="26"/>
  <c r="D105" i="26"/>
  <c r="D104" i="26"/>
  <c r="D103" i="26"/>
  <c r="D102" i="26"/>
  <c r="D101" i="26"/>
  <c r="D100" i="26"/>
  <c r="H97" i="26"/>
  <c r="H96" i="26"/>
  <c r="H93" i="26"/>
  <c r="D93" i="26"/>
  <c r="H92" i="26"/>
  <c r="D92" i="26"/>
  <c r="H91" i="26"/>
  <c r="H88" i="26"/>
  <c r="H87" i="26"/>
  <c r="H85" i="26"/>
  <c r="H84" i="26"/>
  <c r="H83" i="26"/>
  <c r="H81" i="26"/>
  <c r="D81" i="26"/>
  <c r="H80" i="26"/>
  <c r="D80" i="26"/>
  <c r="H79" i="26"/>
  <c r="D79" i="26"/>
  <c r="H78" i="26"/>
  <c r="D78" i="26"/>
  <c r="H77" i="26"/>
  <c r="D77" i="26"/>
  <c r="H76" i="26"/>
  <c r="H75" i="26"/>
  <c r="H74" i="26"/>
  <c r="H73" i="26"/>
  <c r="H72" i="26"/>
  <c r="H70" i="26"/>
  <c r="D70" i="26"/>
  <c r="H69" i="26"/>
  <c r="D69" i="26"/>
  <c r="H68" i="26"/>
  <c r="D68" i="26"/>
  <c r="H67" i="26"/>
  <c r="H66" i="26"/>
  <c r="H65" i="26"/>
  <c r="H64" i="26"/>
  <c r="H63" i="26"/>
  <c r="H62" i="26"/>
  <c r="H61" i="26"/>
  <c r="H60" i="26"/>
  <c r="H59" i="26"/>
  <c r="H58" i="26"/>
  <c r="H56" i="26"/>
  <c r="H55" i="26"/>
  <c r="H53" i="26"/>
  <c r="H52" i="26"/>
  <c r="H51" i="26"/>
  <c r="H50" i="26"/>
  <c r="H49" i="26"/>
  <c r="H48" i="26"/>
  <c r="H46" i="26"/>
  <c r="H45" i="26"/>
  <c r="H44" i="26"/>
  <c r="K42" i="26"/>
  <c r="I42" i="26" s="1"/>
  <c r="H42" i="26"/>
  <c r="K41" i="26"/>
  <c r="I41" i="26" s="1"/>
  <c r="F41" i="26"/>
  <c r="H41" i="26" s="1"/>
  <c r="K40" i="26"/>
  <c r="I40" i="26" s="1"/>
  <c r="H40" i="26"/>
  <c r="K39" i="26"/>
  <c r="I39" i="26" s="1"/>
  <c r="F39" i="26"/>
  <c r="H39" i="26" s="1"/>
  <c r="K38" i="26"/>
  <c r="I38" i="26" s="1"/>
  <c r="F38" i="26"/>
  <c r="H38" i="26" s="1"/>
  <c r="K37" i="26"/>
  <c r="I37" i="26" s="1"/>
  <c r="F37" i="26"/>
  <c r="H37" i="26" s="1"/>
  <c r="H35" i="26"/>
  <c r="H34" i="26"/>
  <c r="H33" i="26"/>
  <c r="H32" i="26"/>
  <c r="H31" i="26"/>
  <c r="H30" i="26"/>
  <c r="H29" i="26"/>
  <c r="L27" i="26"/>
  <c r="K27" i="26" s="1"/>
  <c r="I27" i="26" s="1"/>
  <c r="F27" i="26"/>
  <c r="H27" i="26" s="1"/>
  <c r="L26" i="26"/>
  <c r="K26" i="26" s="1"/>
  <c r="I26" i="26" s="1"/>
  <c r="F26" i="26"/>
  <c r="H26" i="26" s="1"/>
  <c r="L25" i="26"/>
  <c r="K25" i="26" s="1"/>
  <c r="I25" i="26" s="1"/>
  <c r="F25" i="26"/>
  <c r="H25" i="26" s="1"/>
  <c r="L24" i="26"/>
  <c r="K24" i="26" s="1"/>
  <c r="I24" i="26" s="1"/>
  <c r="F24" i="26"/>
  <c r="H24" i="26" s="1"/>
  <c r="L23" i="26"/>
  <c r="K23" i="26" s="1"/>
  <c r="I23" i="26" s="1"/>
  <c r="F23" i="26"/>
  <c r="H23" i="26" s="1"/>
  <c r="L22" i="26"/>
  <c r="K22" i="26" s="1"/>
  <c r="I22" i="26" s="1"/>
  <c r="F22" i="26"/>
  <c r="H22" i="26" s="1"/>
  <c r="L21" i="26"/>
  <c r="K21" i="26" s="1"/>
  <c r="I21" i="26" s="1"/>
  <c r="F21" i="26"/>
  <c r="H21" i="26" s="1"/>
  <c r="L20" i="26"/>
  <c r="K20" i="26" s="1"/>
  <c r="I20" i="26" s="1"/>
  <c r="F20" i="26"/>
  <c r="H20" i="26" s="1"/>
  <c r="L19" i="26"/>
  <c r="K19" i="26" s="1"/>
  <c r="I19" i="26" s="1"/>
  <c r="F19" i="26"/>
  <c r="H19" i="26" s="1"/>
  <c r="L18" i="26"/>
  <c r="K18" i="26" s="1"/>
  <c r="I18" i="26" s="1"/>
  <c r="F18" i="26"/>
  <c r="H18" i="26" s="1"/>
  <c r="L17" i="26"/>
  <c r="K17" i="26" s="1"/>
  <c r="I17" i="26" s="1"/>
  <c r="F17" i="26"/>
  <c r="H17" i="26" s="1"/>
  <c r="L16" i="26"/>
  <c r="K16" i="26" s="1"/>
  <c r="I16" i="26" s="1"/>
  <c r="F16" i="26"/>
  <c r="H16" i="26" s="1"/>
  <c r="K15" i="26"/>
  <c r="I15" i="26" s="1"/>
  <c r="H15" i="26"/>
  <c r="L14" i="26"/>
  <c r="K14" i="26" s="1"/>
  <c r="I14" i="26" s="1"/>
  <c r="F14" i="26"/>
  <c r="H14" i="26" s="1"/>
  <c r="K13" i="26"/>
  <c r="I13" i="26" s="1"/>
  <c r="H13" i="26"/>
  <c r="K12" i="26"/>
  <c r="I12" i="26" s="1"/>
  <c r="F12" i="26"/>
  <c r="H12" i="26" s="1"/>
  <c r="K11" i="26"/>
  <c r="I11" i="26" s="1"/>
  <c r="H11" i="26"/>
  <c r="L10" i="26"/>
  <c r="K10" i="26" s="1"/>
  <c r="I10" i="26" s="1"/>
  <c r="H10" i="26"/>
  <c r="K9" i="26"/>
  <c r="I9" i="26" s="1"/>
  <c r="H9" i="26"/>
  <c r="K8" i="26"/>
  <c r="I8" i="26" s="1"/>
  <c r="H8" i="26"/>
  <c r="K7" i="26"/>
  <c r="I7" i="26" s="1"/>
  <c r="H7" i="26"/>
  <c r="K6" i="26"/>
  <c r="I6" i="26" s="1"/>
  <c r="H6" i="26"/>
  <c r="K5" i="26"/>
  <c r="I5" i="26" s="1"/>
  <c r="H5" i="26"/>
  <c r="I4" i="26"/>
  <c r="I330" i="26" s="1"/>
  <c r="X9" i="28"/>
  <c r="F9" i="28"/>
  <c r="F11" i="28" s="1"/>
  <c r="E13" i="28" s="1"/>
  <c r="E9" i="28"/>
  <c r="E11" i="28" s="1"/>
  <c r="E12" i="28" s="1"/>
  <c r="D9" i="28"/>
  <c r="C9" i="28"/>
  <c r="A3" i="28"/>
  <c r="K9" i="28"/>
  <c r="B9" i="28"/>
  <c r="H11" i="22"/>
  <c r="K11" i="22" s="1"/>
  <c r="G11" i="22"/>
  <c r="J11" i="22" s="1"/>
  <c r="F11" i="22"/>
  <c r="I11" i="22" s="1"/>
  <c r="H10" i="22"/>
  <c r="K10" i="22" s="1"/>
  <c r="G10" i="22"/>
  <c r="J10" i="22" s="1"/>
  <c r="F10" i="22"/>
  <c r="I10" i="22" s="1"/>
  <c r="H9" i="22"/>
  <c r="K9" i="22" s="1"/>
  <c r="G9" i="22"/>
  <c r="J9" i="22" s="1"/>
  <c r="F9" i="22"/>
  <c r="I9" i="22" s="1"/>
  <c r="H8" i="22"/>
  <c r="K8" i="22" s="1"/>
  <c r="G8" i="22"/>
  <c r="J8" i="22" s="1"/>
  <c r="F8" i="22"/>
  <c r="I8" i="22" s="1"/>
  <c r="H7" i="22"/>
  <c r="K7" i="22" s="1"/>
  <c r="K12" i="22" s="1"/>
  <c r="G7" i="22"/>
  <c r="J7" i="22" s="1"/>
  <c r="J12" i="22" s="1"/>
  <c r="F7" i="22"/>
  <c r="I7" i="22" s="1"/>
  <c r="I12" i="22" s="1"/>
  <c r="K164" i="18"/>
  <c r="J164" i="18"/>
  <c r="I164" i="18"/>
  <c r="H164" i="18"/>
  <c r="G164" i="18"/>
  <c r="F164" i="18"/>
  <c r="E164" i="18"/>
  <c r="D164" i="18"/>
  <c r="C164" i="18"/>
  <c r="B164" i="18"/>
  <c r="B154" i="18"/>
  <c r="B158" i="18" s="1"/>
  <c r="K153" i="18"/>
  <c r="J153" i="18"/>
  <c r="I153" i="18"/>
  <c r="H153" i="18"/>
  <c r="G153" i="18"/>
  <c r="F153" i="18"/>
  <c r="E153" i="18"/>
  <c r="D153" i="18"/>
  <c r="C153" i="18"/>
  <c r="B153" i="18"/>
  <c r="K149" i="18"/>
  <c r="J149" i="18"/>
  <c r="I149" i="18"/>
  <c r="H149" i="18"/>
  <c r="G149" i="18"/>
  <c r="F149" i="18"/>
  <c r="E149" i="18"/>
  <c r="D149" i="18"/>
  <c r="C149" i="18"/>
  <c r="B149" i="18"/>
  <c r="J144" i="18"/>
  <c r="I144" i="18"/>
  <c r="H144" i="18"/>
  <c r="G144" i="18"/>
  <c r="F144" i="18"/>
  <c r="E144" i="18"/>
  <c r="D144" i="18"/>
  <c r="C144" i="18"/>
  <c r="B144" i="18"/>
  <c r="J140" i="18"/>
  <c r="I140" i="18"/>
  <c r="H140" i="18"/>
  <c r="G140" i="18"/>
  <c r="F140" i="18"/>
  <c r="E140" i="18"/>
  <c r="D140" i="18"/>
  <c r="C140" i="18"/>
  <c r="B140" i="18"/>
  <c r="K136" i="18"/>
  <c r="J136" i="18"/>
  <c r="I136" i="18"/>
  <c r="H136" i="18"/>
  <c r="G136" i="18"/>
  <c r="F136" i="18"/>
  <c r="E136" i="18"/>
  <c r="D136" i="18"/>
  <c r="C136" i="18"/>
  <c r="B136" i="18"/>
  <c r="K132" i="18"/>
  <c r="J132" i="18"/>
  <c r="I132" i="18"/>
  <c r="H132" i="18"/>
  <c r="G132" i="18"/>
  <c r="F132" i="18"/>
  <c r="E132" i="18"/>
  <c r="D132" i="18"/>
  <c r="C132" i="18"/>
  <c r="B132" i="18"/>
  <c r="K128" i="18"/>
  <c r="J128" i="18"/>
  <c r="I128" i="18"/>
  <c r="H128" i="18"/>
  <c r="G128" i="18"/>
  <c r="F128" i="18"/>
  <c r="E128" i="18"/>
  <c r="D128" i="18"/>
  <c r="C128" i="18"/>
  <c r="B128" i="18"/>
  <c r="K124" i="18"/>
  <c r="J124" i="18"/>
  <c r="I124" i="18"/>
  <c r="H124" i="18"/>
  <c r="G124" i="18"/>
  <c r="F124" i="18"/>
  <c r="E124" i="18"/>
  <c r="D124" i="18"/>
  <c r="C124" i="18"/>
  <c r="B124" i="18"/>
  <c r="L120" i="18"/>
  <c r="K120" i="18"/>
  <c r="J120" i="18"/>
  <c r="I120" i="18"/>
  <c r="H120" i="18"/>
  <c r="G120" i="18"/>
  <c r="F120" i="18"/>
  <c r="E120" i="18"/>
  <c r="D120" i="18"/>
  <c r="C120" i="18"/>
  <c r="B120" i="18"/>
  <c r="H115" i="18"/>
  <c r="G115" i="18"/>
  <c r="F115" i="18"/>
  <c r="E115" i="18"/>
  <c r="D115" i="18"/>
  <c r="C115" i="18"/>
  <c r="B115" i="18"/>
  <c r="H111" i="18"/>
  <c r="G111" i="18"/>
  <c r="F111" i="18"/>
  <c r="E111" i="18"/>
  <c r="D111" i="18"/>
  <c r="C111" i="18"/>
  <c r="B111" i="18"/>
  <c r="K43" i="18"/>
  <c r="J43" i="18"/>
  <c r="E17" i="56" l="1"/>
  <c r="E21" i="56" s="1"/>
  <c r="E22" i="56" s="1"/>
  <c r="E15" i="2"/>
  <c r="E15" i="56"/>
  <c r="L263" i="25"/>
  <c r="I263" i="25" s="1"/>
  <c r="O7" i="32"/>
  <c r="I227" i="25"/>
  <c r="I479" i="25"/>
  <c r="I32" i="25"/>
  <c r="I48" i="25"/>
  <c r="I64" i="25"/>
  <c r="I81" i="25"/>
  <c r="I85" i="25"/>
  <c r="I89" i="25"/>
  <c r="I93" i="25"/>
  <c r="I97" i="25"/>
  <c r="I101" i="25"/>
  <c r="I105" i="25"/>
  <c r="I109" i="25"/>
  <c r="I113" i="25"/>
  <c r="I117" i="25"/>
  <c r="I121" i="25"/>
  <c r="I125" i="25"/>
  <c r="I129" i="25"/>
  <c r="I133" i="25"/>
  <c r="I217" i="25"/>
  <c r="I404" i="25"/>
  <c r="I467" i="25"/>
  <c r="I589" i="25"/>
  <c r="I193" i="25"/>
  <c r="I207" i="25"/>
  <c r="I177" i="25"/>
  <c r="I357" i="25"/>
  <c r="L544" i="25"/>
  <c r="I544" i="25" s="1"/>
  <c r="I6" i="25"/>
  <c r="I24" i="25"/>
  <c r="I40" i="25"/>
  <c r="I56" i="25"/>
  <c r="I72" i="25"/>
  <c r="I79" i="25"/>
  <c r="I83" i="25"/>
  <c r="I87" i="25"/>
  <c r="I91" i="25"/>
  <c r="I95" i="25"/>
  <c r="I99" i="25"/>
  <c r="I103" i="25"/>
  <c r="I107" i="25"/>
  <c r="I111" i="25"/>
  <c r="I115" i="25"/>
  <c r="I119" i="25"/>
  <c r="I123" i="25"/>
  <c r="I127" i="25"/>
  <c r="I131" i="25"/>
  <c r="I135" i="25"/>
  <c r="I140" i="25"/>
  <c r="I161" i="25"/>
  <c r="I324" i="25"/>
  <c r="I694" i="25"/>
  <c r="I910" i="25"/>
  <c r="I13" i="25"/>
  <c r="I748" i="25"/>
  <c r="N202" i="25"/>
  <c r="L201" i="25"/>
  <c r="I201" i="25" s="1"/>
  <c r="I313" i="26"/>
  <c r="I333" i="26"/>
  <c r="I7" i="25"/>
  <c r="I15" i="25"/>
  <c r="I20" i="25"/>
  <c r="I30" i="25"/>
  <c r="I38" i="25"/>
  <c r="I46" i="25"/>
  <c r="I54" i="25"/>
  <c r="I62" i="25"/>
  <c r="I70" i="25"/>
  <c r="I138" i="25"/>
  <c r="I165" i="25"/>
  <c r="I181" i="25"/>
  <c r="I197" i="25"/>
  <c r="I211" i="25"/>
  <c r="I256" i="25"/>
  <c r="I280" i="25"/>
  <c r="I289" i="25"/>
  <c r="N296" i="25"/>
  <c r="L296" i="25" s="1"/>
  <c r="I296" i="25" s="1"/>
  <c r="L294" i="25"/>
  <c r="I294" i="25" s="1"/>
  <c r="I328" i="25"/>
  <c r="I383" i="25"/>
  <c r="I456" i="25"/>
  <c r="I513" i="25"/>
  <c r="I552" i="25"/>
  <c r="I684" i="25"/>
  <c r="I835" i="25"/>
  <c r="I877" i="25"/>
  <c r="I947" i="25"/>
  <c r="I902" i="25"/>
  <c r="I886" i="25"/>
  <c r="I851" i="25"/>
  <c r="I841" i="25"/>
  <c r="I827" i="25"/>
  <c r="I788" i="25"/>
  <c r="I774" i="25"/>
  <c r="I764" i="25"/>
  <c r="I724" i="25"/>
  <c r="I710" i="25"/>
  <c r="I700" i="25"/>
  <c r="I662" i="25"/>
  <c r="I603" i="25"/>
  <c r="I581" i="25"/>
  <c r="I560" i="25"/>
  <c r="I554" i="25"/>
  <c r="I548" i="25"/>
  <c r="I507" i="25"/>
  <c r="I497" i="25"/>
  <c r="I493" i="25"/>
  <c r="I487" i="25"/>
  <c r="I465" i="25"/>
  <c r="I458" i="25"/>
  <c r="I452" i="25"/>
  <c r="I427" i="25"/>
  <c r="I414" i="25"/>
  <c r="I381" i="25"/>
  <c r="I373" i="25"/>
  <c r="I369" i="25"/>
  <c r="I346" i="25"/>
  <c r="I335" i="25"/>
  <c r="I326" i="25"/>
  <c r="I320" i="25"/>
  <c r="I315" i="25"/>
  <c r="I312" i="25"/>
  <c r="I302" i="25"/>
  <c r="I287" i="25"/>
  <c r="I282" i="25"/>
  <c r="I275" i="25"/>
  <c r="I273" i="25"/>
  <c r="I271" i="25"/>
  <c r="I269" i="25"/>
  <c r="I267" i="25"/>
  <c r="I265" i="25"/>
  <c r="I248" i="25"/>
  <c r="I242" i="25"/>
  <c r="I235" i="25"/>
  <c r="I215" i="25"/>
  <c r="I209" i="25"/>
  <c r="I199" i="25"/>
  <c r="I191" i="25"/>
  <c r="I183" i="25"/>
  <c r="I175" i="25"/>
  <c r="I167" i="25"/>
  <c r="I146" i="25"/>
  <c r="I144" i="25"/>
  <c r="I142" i="25"/>
  <c r="I920" i="25"/>
  <c r="I897" i="25"/>
  <c r="I892" i="25"/>
  <c r="I867" i="25"/>
  <c r="I857" i="25"/>
  <c r="I843" i="25"/>
  <c r="I803" i="25"/>
  <c r="I790" i="25"/>
  <c r="I780" i="25"/>
  <c r="I740" i="25"/>
  <c r="I726" i="25"/>
  <c r="I716" i="25"/>
  <c r="I619" i="25"/>
  <c r="I605" i="25"/>
  <c r="I595" i="25"/>
  <c r="I568" i="25"/>
  <c r="I562" i="25"/>
  <c r="I556" i="25"/>
  <c r="I523" i="25"/>
  <c r="I951" i="25"/>
  <c r="I913" i="25"/>
  <c r="I894" i="25"/>
  <c r="I873" i="25"/>
  <c r="I859" i="25"/>
  <c r="I819" i="25"/>
  <c r="I809" i="25"/>
  <c r="I796" i="25"/>
  <c r="I756" i="25"/>
  <c r="I742" i="25"/>
  <c r="I732" i="25"/>
  <c r="I692" i="25"/>
  <c r="I621" i="25"/>
  <c r="I611" i="25"/>
  <c r="I576" i="25"/>
  <c r="I570" i="25"/>
  <c r="I564" i="25"/>
  <c r="I536" i="25"/>
  <c r="I525" i="25"/>
  <c r="I519" i="25"/>
  <c r="I515" i="25"/>
  <c r="I483" i="25"/>
  <c r="I477" i="25"/>
  <c r="I470" i="25"/>
  <c r="I463" i="25"/>
  <c r="I448" i="25"/>
  <c r="I442" i="25"/>
  <c r="I436" i="25"/>
  <c r="I410" i="25"/>
  <c r="I401" i="25"/>
  <c r="I395" i="25"/>
  <c r="I355" i="25"/>
  <c r="I342" i="25"/>
  <c r="I330" i="25"/>
  <c r="I291" i="25"/>
  <c r="I274" i="25"/>
  <c r="I272" i="25"/>
  <c r="I270" i="25"/>
  <c r="I268" i="25"/>
  <c r="I266" i="25"/>
  <c r="I258" i="25"/>
  <c r="I252" i="25"/>
  <c r="I231" i="25"/>
  <c r="I225" i="25"/>
  <c r="I219" i="25"/>
  <c r="I195" i="25"/>
  <c r="I187" i="25"/>
  <c r="I179" i="25"/>
  <c r="I171" i="25"/>
  <c r="I163" i="25"/>
  <c r="I147" i="25"/>
  <c r="I145" i="25"/>
  <c r="I143" i="25"/>
  <c r="I141" i="25"/>
  <c r="I139" i="25"/>
  <c r="I137" i="25"/>
  <c r="I10" i="25"/>
  <c r="I17" i="25"/>
  <c r="I28" i="25"/>
  <c r="I36" i="25"/>
  <c r="I44" i="25"/>
  <c r="I52" i="25"/>
  <c r="I60" i="25"/>
  <c r="I68" i="25"/>
  <c r="I76" i="25"/>
  <c r="I80" i="25"/>
  <c r="I82" i="25"/>
  <c r="I84" i="25"/>
  <c r="I86" i="25"/>
  <c r="I88" i="25"/>
  <c r="I90" i="25"/>
  <c r="I92" i="25"/>
  <c r="I94" i="25"/>
  <c r="I96" i="25"/>
  <c r="I98" i="25"/>
  <c r="I100" i="25"/>
  <c r="I102" i="25"/>
  <c r="I104" i="25"/>
  <c r="I106" i="25"/>
  <c r="I108" i="25"/>
  <c r="I110" i="25"/>
  <c r="I112" i="25"/>
  <c r="I114" i="25"/>
  <c r="I116" i="25"/>
  <c r="I118" i="25"/>
  <c r="I120" i="25"/>
  <c r="I122" i="25"/>
  <c r="I124" i="25"/>
  <c r="I126" i="25"/>
  <c r="I128" i="25"/>
  <c r="I130" i="25"/>
  <c r="I132" i="25"/>
  <c r="I134" i="25"/>
  <c r="I136" i="25"/>
  <c r="I169" i="25"/>
  <c r="I185" i="25"/>
  <c r="I239" i="25"/>
  <c r="I250" i="25"/>
  <c r="I260" i="25"/>
  <c r="I313" i="25"/>
  <c r="I322" i="25"/>
  <c r="I361" i="25"/>
  <c r="I367" i="25"/>
  <c r="I407" i="25"/>
  <c r="I425" i="25"/>
  <c r="I440" i="25"/>
  <c r="I450" i="25"/>
  <c r="I460" i="25"/>
  <c r="I491" i="25"/>
  <c r="I499" i="25"/>
  <c r="I572" i="25"/>
  <c r="I627" i="25"/>
  <c r="I772" i="25"/>
  <c r="I825" i="25"/>
  <c r="I875" i="25"/>
  <c r="I928" i="25"/>
  <c r="I32" i="26"/>
  <c r="I5" i="25"/>
  <c r="I11" i="25"/>
  <c r="I26" i="25"/>
  <c r="I34" i="25"/>
  <c r="I42" i="25"/>
  <c r="I50" i="25"/>
  <c r="I58" i="25"/>
  <c r="I66" i="25"/>
  <c r="I74" i="25"/>
  <c r="I173" i="25"/>
  <c r="I189" i="25"/>
  <c r="I223" i="25"/>
  <c r="I233" i="25"/>
  <c r="I244" i="25"/>
  <c r="I337" i="25"/>
  <c r="I351" i="25"/>
  <c r="I399" i="25"/>
  <c r="I412" i="25"/>
  <c r="I429" i="25"/>
  <c r="I434" i="25"/>
  <c r="I444" i="25"/>
  <c r="I475" i="25"/>
  <c r="I485" i="25"/>
  <c r="I528" i="25"/>
  <c r="I660" i="25"/>
  <c r="I708" i="25"/>
  <c r="I758" i="25"/>
  <c r="I811" i="25"/>
  <c r="C80" i="32"/>
  <c r="C72" i="32" s="1"/>
  <c r="F72" i="32" s="1"/>
  <c r="H72" i="32" s="1"/>
  <c r="L641" i="25"/>
  <c r="I641" i="25" s="1"/>
  <c r="H54" i="27"/>
  <c r="I30" i="26"/>
  <c r="I36" i="26"/>
  <c r="I363" i="26"/>
  <c r="I453" i="26"/>
  <c r="L546" i="25"/>
  <c r="I546" i="25" s="1"/>
  <c r="I28" i="26"/>
  <c r="I317" i="26"/>
  <c r="I321" i="26"/>
  <c r="I332" i="26"/>
  <c r="I340" i="26"/>
  <c r="I454" i="26"/>
  <c r="L301" i="25"/>
  <c r="I301" i="25" s="1"/>
  <c r="I34" i="26"/>
  <c r="I315" i="26"/>
  <c r="I9" i="25"/>
  <c r="I14" i="25"/>
  <c r="I19" i="25"/>
  <c r="I23" i="25"/>
  <c r="I25" i="25"/>
  <c r="I27" i="25"/>
  <c r="I29" i="25"/>
  <c r="I31" i="25"/>
  <c r="I33" i="25"/>
  <c r="I35" i="25"/>
  <c r="I37" i="25"/>
  <c r="I39" i="25"/>
  <c r="I41" i="25"/>
  <c r="I43" i="25"/>
  <c r="I45" i="25"/>
  <c r="I47" i="25"/>
  <c r="I49" i="25"/>
  <c r="I51" i="25"/>
  <c r="I53" i="25"/>
  <c r="I55" i="25"/>
  <c r="I57" i="25"/>
  <c r="I59" i="25"/>
  <c r="I61" i="25"/>
  <c r="I63" i="25"/>
  <c r="I65" i="25"/>
  <c r="I67" i="25"/>
  <c r="I69" i="25"/>
  <c r="I71" i="25"/>
  <c r="I73" i="25"/>
  <c r="I75" i="25"/>
  <c r="I77" i="25"/>
  <c r="I162" i="25"/>
  <c r="I164" i="25"/>
  <c r="I166" i="25"/>
  <c r="I168" i="25"/>
  <c r="I170" i="25"/>
  <c r="I172" i="25"/>
  <c r="I174" i="25"/>
  <c r="I176" i="25"/>
  <c r="I178" i="25"/>
  <c r="I180" i="25"/>
  <c r="I182" i="25"/>
  <c r="I184" i="25"/>
  <c r="I186" i="25"/>
  <c r="I188" i="25"/>
  <c r="I190" i="25"/>
  <c r="I192" i="25"/>
  <c r="I194" i="25"/>
  <c r="I196" i="25"/>
  <c r="I198" i="25"/>
  <c r="I205" i="25"/>
  <c r="I213" i="25"/>
  <c r="I221" i="25"/>
  <c r="I229" i="25"/>
  <c r="I237" i="25"/>
  <c r="I246" i="25"/>
  <c r="I254" i="25"/>
  <c r="I259" i="25"/>
  <c r="I261" i="25"/>
  <c r="I285" i="25"/>
  <c r="I297" i="25"/>
  <c r="N304" i="25"/>
  <c r="I317" i="25"/>
  <c r="I331" i="25"/>
  <c r="I340" i="25"/>
  <c r="I350" i="25"/>
  <c r="I363" i="25"/>
  <c r="I375" i="25"/>
  <c r="I379" i="25"/>
  <c r="I397" i="25"/>
  <c r="I408" i="25"/>
  <c r="I416" i="25"/>
  <c r="I432" i="25"/>
  <c r="I438" i="25"/>
  <c r="I446" i="25"/>
  <c r="I454" i="25"/>
  <c r="I462" i="25"/>
  <c r="I473" i="25"/>
  <c r="I481" i="25"/>
  <c r="I489" i="25"/>
  <c r="I505" i="25"/>
  <c r="I521" i="25"/>
  <c r="I530" i="25"/>
  <c r="I550" i="25"/>
  <c r="I558" i="25"/>
  <c r="I566" i="25"/>
  <c r="I574" i="25"/>
  <c r="I583" i="25"/>
  <c r="I597" i="25"/>
  <c r="I613" i="25"/>
  <c r="I629" i="25"/>
  <c r="I686" i="25"/>
  <c r="I702" i="25"/>
  <c r="I718" i="25"/>
  <c r="I734" i="25"/>
  <c r="I750" i="25"/>
  <c r="I766" i="25"/>
  <c r="I782" i="25"/>
  <c r="I798" i="25"/>
  <c r="I801" i="25"/>
  <c r="I817" i="25"/>
  <c r="I833" i="25"/>
  <c r="I849" i="25"/>
  <c r="I865" i="25"/>
  <c r="I882" i="25"/>
  <c r="I905" i="25"/>
  <c r="I924" i="25"/>
  <c r="I940" i="25"/>
  <c r="J9" i="28"/>
  <c r="AA9" i="28"/>
  <c r="E17" i="28" s="1"/>
  <c r="I9" i="28"/>
  <c r="W9" i="28"/>
  <c r="C158" i="18"/>
  <c r="D158" i="18"/>
  <c r="E158" i="18"/>
  <c r="L9" i="28"/>
  <c r="Z9" i="28"/>
  <c r="L642" i="25"/>
  <c r="I642" i="25" s="1"/>
  <c r="P643" i="25"/>
  <c r="N152" i="25"/>
  <c r="L151" i="25"/>
  <c r="I151" i="25" s="1"/>
  <c r="L419" i="25"/>
  <c r="N420" i="25"/>
  <c r="L386" i="25"/>
  <c r="I386" i="25" s="1"/>
  <c r="N387" i="25"/>
  <c r="N279" i="25"/>
  <c r="L279" i="25" s="1"/>
  <c r="I279" i="25" s="1"/>
  <c r="L278" i="25"/>
  <c r="I278" i="25" s="1"/>
  <c r="L308" i="25"/>
  <c r="I308" i="25" s="1"/>
  <c r="L303" i="25"/>
  <c r="L306" i="25"/>
  <c r="I306" i="25" s="1"/>
  <c r="I29" i="26"/>
  <c r="I31" i="26"/>
  <c r="I33" i="26"/>
  <c r="I35" i="26"/>
  <c r="I312" i="26"/>
  <c r="I314" i="26"/>
  <c r="I316" i="26"/>
  <c r="I957" i="25"/>
  <c r="I959" i="25"/>
  <c r="I956" i="25"/>
  <c r="I952" i="25"/>
  <c r="I949" i="25"/>
  <c r="I946" i="25"/>
  <c r="I943" i="25"/>
  <c r="I941" i="25"/>
  <c r="I938" i="25"/>
  <c r="I933" i="25"/>
  <c r="I931" i="25"/>
  <c r="I929" i="25"/>
  <c r="I926" i="25"/>
  <c r="I923" i="25"/>
  <c r="I919" i="25"/>
  <c r="I915" i="25"/>
  <c r="I961" i="25"/>
  <c r="I958" i="25"/>
  <c r="I954" i="25"/>
  <c r="I950" i="25"/>
  <c r="I939" i="25"/>
  <c r="I930" i="25"/>
  <c r="I927" i="25"/>
  <c r="I922" i="25"/>
  <c r="I917" i="25"/>
  <c r="I912" i="25"/>
  <c r="I908" i="25"/>
  <c r="I904" i="25"/>
  <c r="I900" i="25"/>
  <c r="I896" i="25"/>
  <c r="I893" i="25"/>
  <c r="I891" i="25"/>
  <c r="I889" i="25"/>
  <c r="I887" i="25"/>
  <c r="I799" i="25"/>
  <c r="I797" i="25"/>
  <c r="I795" i="25"/>
  <c r="I793" i="25"/>
  <c r="I791" i="25"/>
  <c r="I789" i="25"/>
  <c r="I787" i="25"/>
  <c r="I785" i="25"/>
  <c r="I783" i="25"/>
  <c r="I781" i="25"/>
  <c r="I779" i="25"/>
  <c r="I777" i="25"/>
  <c r="I775" i="25"/>
  <c r="I773" i="25"/>
  <c r="I771" i="25"/>
  <c r="I769" i="25"/>
  <c r="I767" i="25"/>
  <c r="I765" i="25"/>
  <c r="I763" i="25"/>
  <c r="I761" i="25"/>
  <c r="I759" i="25"/>
  <c r="I757" i="25"/>
  <c r="I755" i="25"/>
  <c r="I753" i="25"/>
  <c r="I751" i="25"/>
  <c r="I749" i="25"/>
  <c r="I747" i="25"/>
  <c r="I745" i="25"/>
  <c r="I743" i="25"/>
  <c r="I741" i="25"/>
  <c r="I739" i="25"/>
  <c r="I737" i="25"/>
  <c r="I735" i="25"/>
  <c r="I733" i="25"/>
  <c r="I731" i="25"/>
  <c r="I729" i="25"/>
  <c r="I727" i="25"/>
  <c r="I725" i="25"/>
  <c r="I723" i="25"/>
  <c r="I721" i="25"/>
  <c r="I719" i="25"/>
  <c r="I717" i="25"/>
  <c r="I715" i="25"/>
  <c r="I713" i="25"/>
  <c r="I711" i="25"/>
  <c r="I709" i="25"/>
  <c r="I707" i="25"/>
  <c r="I705" i="25"/>
  <c r="I703" i="25"/>
  <c r="I701" i="25"/>
  <c r="I699" i="25"/>
  <c r="I697" i="25"/>
  <c r="I695" i="25"/>
  <c r="I693" i="25"/>
  <c r="I691" i="25"/>
  <c r="I689" i="25"/>
  <c r="I687" i="25"/>
  <c r="I685" i="25"/>
  <c r="I683" i="25"/>
  <c r="I681" i="25"/>
  <c r="I680" i="25"/>
  <c r="I679" i="25"/>
  <c r="I678" i="25"/>
  <c r="I677" i="25"/>
  <c r="I676" i="25"/>
  <c r="I675" i="25"/>
  <c r="I674" i="25"/>
  <c r="I673" i="25"/>
  <c r="I663" i="25"/>
  <c r="I661" i="25"/>
  <c r="I659" i="25"/>
  <c r="I657" i="25"/>
  <c r="I655" i="25"/>
  <c r="I648" i="25"/>
  <c r="I590" i="25"/>
  <c r="I588" i="25"/>
  <c r="I586" i="25"/>
  <c r="I584" i="25"/>
  <c r="I582" i="25"/>
  <c r="I580" i="25"/>
  <c r="I578" i="25"/>
  <c r="I960" i="25"/>
  <c r="I953" i="25"/>
  <c r="I945" i="25"/>
  <c r="I942" i="25"/>
  <c r="I937" i="25"/>
  <c r="I935" i="25"/>
  <c r="I932" i="25"/>
  <c r="I921" i="25"/>
  <c r="I916" i="25"/>
  <c r="I911" i="25"/>
  <c r="I907" i="25"/>
  <c r="I903" i="25"/>
  <c r="I899" i="25"/>
  <c r="I895" i="25"/>
  <c r="I885" i="25"/>
  <c r="I883" i="25"/>
  <c r="I881" i="25"/>
  <c r="I879" i="25"/>
  <c r="I876" i="25"/>
  <c r="I874" i="25"/>
  <c r="I872" i="25"/>
  <c r="I870" i="25"/>
  <c r="I868" i="25"/>
  <c r="I866" i="25"/>
  <c r="I864" i="25"/>
  <c r="I862" i="25"/>
  <c r="I860" i="25"/>
  <c r="I858" i="25"/>
  <c r="I856" i="25"/>
  <c r="I854" i="25"/>
  <c r="I852" i="25"/>
  <c r="I850" i="25"/>
  <c r="I848" i="25"/>
  <c r="I846" i="25"/>
  <c r="I844" i="25"/>
  <c r="I842" i="25"/>
  <c r="I840" i="25"/>
  <c r="I838" i="25"/>
  <c r="I836" i="25"/>
  <c r="I834" i="25"/>
  <c r="I832" i="25"/>
  <c r="I830" i="25"/>
  <c r="I828" i="25"/>
  <c r="I826" i="25"/>
  <c r="I824" i="25"/>
  <c r="I822" i="25"/>
  <c r="I820" i="25"/>
  <c r="I818" i="25"/>
  <c r="I816" i="25"/>
  <c r="I814" i="25"/>
  <c r="I812" i="25"/>
  <c r="I810" i="25"/>
  <c r="I808" i="25"/>
  <c r="I806" i="25"/>
  <c r="I804" i="25"/>
  <c r="I802" i="25"/>
  <c r="I634" i="25"/>
  <c r="I632" i="25"/>
  <c r="I630" i="25"/>
  <c r="I628" i="25"/>
  <c r="I626" i="25"/>
  <c r="I624" i="25"/>
  <c r="I622" i="25"/>
  <c r="I620" i="25"/>
  <c r="I618" i="25"/>
  <c r="I616" i="25"/>
  <c r="I614" i="25"/>
  <c r="I612" i="25"/>
  <c r="I610" i="25"/>
  <c r="I608" i="25"/>
  <c r="I606" i="25"/>
  <c r="I604" i="25"/>
  <c r="I602" i="25"/>
  <c r="I600" i="25"/>
  <c r="I598" i="25"/>
  <c r="I596" i="25"/>
  <c r="I594" i="25"/>
  <c r="I592" i="25"/>
  <c r="I543" i="25"/>
  <c r="I537" i="25"/>
  <c r="I535" i="25"/>
  <c r="I533" i="25"/>
  <c r="I531" i="25"/>
  <c r="I529" i="25"/>
  <c r="I527" i="25"/>
  <c r="I518" i="25"/>
  <c r="I516" i="25"/>
  <c r="I514" i="25"/>
  <c r="I512" i="25"/>
  <c r="I510" i="25"/>
  <c r="I508" i="25"/>
  <c r="I506" i="25"/>
  <c r="I504" i="25"/>
  <c r="I502" i="25"/>
  <c r="I500" i="25"/>
  <c r="I498" i="25"/>
  <c r="I496" i="25"/>
  <c r="I494" i="25"/>
  <c r="I471" i="25"/>
  <c r="I469" i="25"/>
  <c r="I431" i="25"/>
  <c r="I417" i="25"/>
  <c r="I405" i="25"/>
  <c r="I403" i="25"/>
  <c r="I378" i="25"/>
  <c r="I376" i="25"/>
  <c r="I374" i="25"/>
  <c r="I372" i="25"/>
  <c r="I370" i="25"/>
  <c r="I364" i="25"/>
  <c r="I362" i="25"/>
  <c r="I360" i="25"/>
  <c r="I356" i="25"/>
  <c r="I352" i="25"/>
  <c r="I348" i="25"/>
  <c r="I345" i="25"/>
  <c r="I341" i="25"/>
  <c r="I338" i="25"/>
  <c r="I336" i="25"/>
  <c r="I333" i="25"/>
  <c r="I329" i="25"/>
  <c r="I8" i="25"/>
  <c r="I12" i="25"/>
  <c r="I16" i="25"/>
  <c r="I78" i="25"/>
  <c r="L150" i="25"/>
  <c r="I150" i="25" s="1"/>
  <c r="I204" i="25"/>
  <c r="I206" i="25"/>
  <c r="I208" i="25"/>
  <c r="I210" i="25"/>
  <c r="I212" i="25"/>
  <c r="I214" i="25"/>
  <c r="I216" i="25"/>
  <c r="I218" i="25"/>
  <c r="I220" i="25"/>
  <c r="I222" i="25"/>
  <c r="I224" i="25"/>
  <c r="I226" i="25"/>
  <c r="I228" i="25"/>
  <c r="I230" i="25"/>
  <c r="I232" i="25"/>
  <c r="I234" i="25"/>
  <c r="I236" i="25"/>
  <c r="I238" i="25"/>
  <c r="I240" i="25"/>
  <c r="I243" i="25"/>
  <c r="I245" i="25"/>
  <c r="I247" i="25"/>
  <c r="I249" i="25"/>
  <c r="I251" i="25"/>
  <c r="I253" i="25"/>
  <c r="I255" i="25"/>
  <c r="L277" i="25"/>
  <c r="I277" i="25" s="1"/>
  <c r="I283" i="25"/>
  <c r="I293" i="25"/>
  <c r="I298" i="25"/>
  <c r="I311" i="25"/>
  <c r="I318" i="25"/>
  <c r="I323" i="25"/>
  <c r="I325" i="25"/>
  <c r="I327" i="25"/>
  <c r="I332" i="25"/>
  <c r="I334" i="25"/>
  <c r="I343" i="25"/>
  <c r="I347" i="25"/>
  <c r="I353" i="25"/>
  <c r="I358" i="25"/>
  <c r="I365" i="25"/>
  <c r="I368" i="25"/>
  <c r="I371" i="25"/>
  <c r="I430" i="25"/>
  <c r="I433" i="25"/>
  <c r="I435" i="25"/>
  <c r="I437" i="25"/>
  <c r="I439" i="25"/>
  <c r="I441" i="25"/>
  <c r="I443" i="25"/>
  <c r="I445" i="25"/>
  <c r="I447" i="25"/>
  <c r="I449" i="25"/>
  <c r="I451" i="25"/>
  <c r="I453" i="25"/>
  <c r="I455" i="25"/>
  <c r="I457" i="25"/>
  <c r="I459" i="25"/>
  <c r="I461" i="25"/>
  <c r="I464" i="25"/>
  <c r="I466" i="25"/>
  <c r="I468" i="25"/>
  <c r="I474" i="25"/>
  <c r="I476" i="25"/>
  <c r="I478" i="25"/>
  <c r="I480" i="25"/>
  <c r="I482" i="25"/>
  <c r="I484" i="25"/>
  <c r="I486" i="25"/>
  <c r="I488" i="25"/>
  <c r="I490" i="25"/>
  <c r="I492" i="25"/>
  <c r="I495" i="25"/>
  <c r="I503" i="25"/>
  <c r="I511" i="25"/>
  <c r="I534" i="25"/>
  <c r="N540" i="25"/>
  <c r="L539" i="25"/>
  <c r="L545" i="25"/>
  <c r="I545" i="25" s="1"/>
  <c r="I579" i="25"/>
  <c r="I587" i="25"/>
  <c r="I593" i="25"/>
  <c r="I601" i="25"/>
  <c r="I609" i="25"/>
  <c r="I617" i="25"/>
  <c r="I625" i="25"/>
  <c r="I633" i="25"/>
  <c r="L640" i="25"/>
  <c r="I640" i="25" s="1"/>
  <c r="I658" i="25"/>
  <c r="I682" i="25"/>
  <c r="I690" i="25"/>
  <c r="I698" i="25"/>
  <c r="I706" i="25"/>
  <c r="I714" i="25"/>
  <c r="I722" i="25"/>
  <c r="I730" i="25"/>
  <c r="I738" i="25"/>
  <c r="I746" i="25"/>
  <c r="I754" i="25"/>
  <c r="I762" i="25"/>
  <c r="I770" i="25"/>
  <c r="I778" i="25"/>
  <c r="I786" i="25"/>
  <c r="I794" i="25"/>
  <c r="I807" i="25"/>
  <c r="I815" i="25"/>
  <c r="I823" i="25"/>
  <c r="I831" i="25"/>
  <c r="I839" i="25"/>
  <c r="I847" i="25"/>
  <c r="I855" i="25"/>
  <c r="I863" i="25"/>
  <c r="I871" i="25"/>
  <c r="I880" i="25"/>
  <c r="I890" i="25"/>
  <c r="I898" i="25"/>
  <c r="I906" i="25"/>
  <c r="I914" i="25"/>
  <c r="I925" i="25"/>
  <c r="I936" i="25"/>
  <c r="I948" i="25"/>
  <c r="I281" i="25"/>
  <c r="I284" i="25"/>
  <c r="I286" i="25"/>
  <c r="I288" i="25"/>
  <c r="I290" i="25"/>
  <c r="I295" i="25"/>
  <c r="I299" i="25"/>
  <c r="I314" i="25"/>
  <c r="I316" i="25"/>
  <c r="I319" i="25"/>
  <c r="I321" i="25"/>
  <c r="I339" i="25"/>
  <c r="I344" i="25"/>
  <c r="I349" i="25"/>
  <c r="I354" i="25"/>
  <c r="I359" i="25"/>
  <c r="I366" i="25"/>
  <c r="I377" i="25"/>
  <c r="I380" i="25"/>
  <c r="I382" i="25"/>
  <c r="I384" i="25"/>
  <c r="I394" i="25"/>
  <c r="I396" i="25"/>
  <c r="I398" i="25"/>
  <c r="I400" i="25"/>
  <c r="I402" i="25"/>
  <c r="I406" i="25"/>
  <c r="I409" i="25"/>
  <c r="I411" i="25"/>
  <c r="I413" i="25"/>
  <c r="I415" i="25"/>
  <c r="I426" i="25"/>
  <c r="I428" i="25"/>
  <c r="I472" i="25"/>
  <c r="I501" i="25"/>
  <c r="I509" i="25"/>
  <c r="I517" i="25"/>
  <c r="I520" i="25"/>
  <c r="I522" i="25"/>
  <c r="I524" i="25"/>
  <c r="I526" i="25"/>
  <c r="I532" i="25"/>
  <c r="I549" i="25"/>
  <c r="I551" i="25"/>
  <c r="I553" i="25"/>
  <c r="I555" i="25"/>
  <c r="I557" i="25"/>
  <c r="I559" i="25"/>
  <c r="I561" i="25"/>
  <c r="I563" i="25"/>
  <c r="I565" i="25"/>
  <c r="I567" i="25"/>
  <c r="I569" i="25"/>
  <c r="I571" i="25"/>
  <c r="I573" i="25"/>
  <c r="I575" i="25"/>
  <c r="I577" i="25"/>
  <c r="I585" i="25"/>
  <c r="I591" i="25"/>
  <c r="I599" i="25"/>
  <c r="I607" i="25"/>
  <c r="I615" i="25"/>
  <c r="I623" i="25"/>
  <c r="I631" i="25"/>
  <c r="I656" i="25"/>
  <c r="I664" i="25"/>
  <c r="I665" i="25"/>
  <c r="I666" i="25"/>
  <c r="I667" i="25"/>
  <c r="I668" i="25"/>
  <c r="I669" i="25"/>
  <c r="I670" i="25"/>
  <c r="I671" i="25"/>
  <c r="I672" i="25"/>
  <c r="I688" i="25"/>
  <c r="I696" i="25"/>
  <c r="I704" i="25"/>
  <c r="I712" i="25"/>
  <c r="I720" i="25"/>
  <c r="I728" i="25"/>
  <c r="I736" i="25"/>
  <c r="I744" i="25"/>
  <c r="I752" i="25"/>
  <c r="I760" i="25"/>
  <c r="I768" i="25"/>
  <c r="I776" i="25"/>
  <c r="I784" i="25"/>
  <c r="I792" i="25"/>
  <c r="I800" i="25"/>
  <c r="I805" i="25"/>
  <c r="I813" i="25"/>
  <c r="I821" i="25"/>
  <c r="I829" i="25"/>
  <c r="I837" i="25"/>
  <c r="I845" i="25"/>
  <c r="I853" i="25"/>
  <c r="I861" i="25"/>
  <c r="I869" i="25"/>
  <c r="I878" i="25"/>
  <c r="I888" i="25"/>
  <c r="I901" i="25"/>
  <c r="I909" i="25"/>
  <c r="I918" i="25"/>
  <c r="I934" i="25"/>
  <c r="I944" i="25"/>
  <c r="I955" i="25"/>
  <c r="H18" i="27"/>
  <c r="H88" i="27"/>
  <c r="H98" i="27"/>
  <c r="H57" i="27"/>
  <c r="C74" i="32"/>
  <c r="F74" i="32" s="1"/>
  <c r="H74" i="32" s="1"/>
  <c r="C78" i="32"/>
  <c r="F78" i="32" s="1"/>
  <c r="H78" i="32" s="1"/>
  <c r="H93" i="27"/>
  <c r="H63" i="27"/>
  <c r="H47" i="27"/>
  <c r="H85" i="27"/>
  <c r="H101" i="27"/>
  <c r="H21" i="27"/>
  <c r="H79" i="27"/>
  <c r="H70" i="27"/>
  <c r="H73" i="27"/>
  <c r="H9" i="27"/>
  <c r="C79" i="32" l="1"/>
  <c r="F79" i="32" s="1"/>
  <c r="H79" i="32" s="1"/>
  <c r="E23" i="56"/>
  <c r="E24" i="56" s="1"/>
  <c r="F9" i="55"/>
  <c r="C73" i="32"/>
  <c r="F73" i="32" s="1"/>
  <c r="H73" i="32" s="1"/>
  <c r="C90" i="32"/>
  <c r="C75" i="32"/>
  <c r="F75" i="32" s="1"/>
  <c r="H75" i="32" s="1"/>
  <c r="C71" i="32"/>
  <c r="F71" i="32" s="1"/>
  <c r="H71" i="32" s="1"/>
  <c r="C77" i="32"/>
  <c r="F77" i="32" s="1"/>
  <c r="H77" i="32" s="1"/>
  <c r="C76" i="32"/>
  <c r="F76" i="32" s="1"/>
  <c r="H76" i="32" s="1"/>
  <c r="F80" i="32"/>
  <c r="H80" i="32" s="1"/>
  <c r="L202" i="25"/>
  <c r="I202" i="25" s="1"/>
  <c r="N203" i="25"/>
  <c r="L203" i="25" s="1"/>
  <c r="I203" i="25" s="1"/>
  <c r="L304" i="25"/>
  <c r="I304" i="25" s="1"/>
  <c r="N310" i="25"/>
  <c r="L310" i="25" s="1"/>
  <c r="I310" i="25" s="1"/>
  <c r="E16" i="28"/>
  <c r="R9" i="28"/>
  <c r="Q9" i="28"/>
  <c r="N9" i="28"/>
  <c r="U9" i="28"/>
  <c r="M9" i="28"/>
  <c r="N388" i="25"/>
  <c r="L387" i="25"/>
  <c r="I387" i="25" s="1"/>
  <c r="N541" i="25"/>
  <c r="L541" i="25" s="1"/>
  <c r="L540" i="25"/>
  <c r="L420" i="25"/>
  <c r="N421" i="25"/>
  <c r="N153" i="25"/>
  <c r="L152" i="25"/>
  <c r="I152" i="25" s="1"/>
  <c r="P644" i="25"/>
  <c r="L644" i="25" s="1"/>
  <c r="I644" i="25" s="1"/>
  <c r="L643" i="25"/>
  <c r="I643" i="25" s="1"/>
  <c r="I11" i="28"/>
  <c r="G9" i="55" l="1"/>
  <c r="H9" i="55" s="1"/>
  <c r="C88" i="32"/>
  <c r="F88" i="32" s="1"/>
  <c r="H88" i="32" s="1"/>
  <c r="C83" i="32"/>
  <c r="F83" i="32" s="1"/>
  <c r="H83" i="32" s="1"/>
  <c r="C81" i="32"/>
  <c r="F81" i="32" s="1"/>
  <c r="H81" i="32" s="1"/>
  <c r="F90" i="32"/>
  <c r="H90" i="32" s="1"/>
  <c r="C86" i="32"/>
  <c r="F86" i="32" s="1"/>
  <c r="H86" i="32" s="1"/>
  <c r="C84" i="32"/>
  <c r="F84" i="32" s="1"/>
  <c r="H84" i="32" s="1"/>
  <c r="C87" i="32"/>
  <c r="F87" i="32" s="1"/>
  <c r="H87" i="32" s="1"/>
  <c r="C100" i="32"/>
  <c r="C82" i="32"/>
  <c r="F82" i="32" s="1"/>
  <c r="H82" i="32" s="1"/>
  <c r="C89" i="32"/>
  <c r="F89" i="32" s="1"/>
  <c r="H89" i="32" s="1"/>
  <c r="C85" i="32"/>
  <c r="F85" i="32" s="1"/>
  <c r="H85" i="32" s="1"/>
  <c r="S9" i="28"/>
  <c r="T9" i="28"/>
  <c r="V9" i="28"/>
  <c r="N154" i="25"/>
  <c r="L153" i="25"/>
  <c r="I153" i="25" s="1"/>
  <c r="N422" i="25"/>
  <c r="L421" i="25"/>
  <c r="N389" i="25"/>
  <c r="L388" i="25"/>
  <c r="I388" i="25" s="1"/>
  <c r="H9" i="28"/>
  <c r="H11" i="28" s="1"/>
  <c r="E15" i="28" s="1"/>
  <c r="P9" i="28"/>
  <c r="M11" i="28"/>
  <c r="O9" i="28"/>
  <c r="G9" i="28"/>
  <c r="G11" i="28" s="1"/>
  <c r="E14" i="28" s="1"/>
  <c r="Y9" i="28"/>
  <c r="C98" i="32" l="1"/>
  <c r="F98" i="32" s="1"/>
  <c r="H98" i="32" s="1"/>
  <c r="C97" i="32"/>
  <c r="F97" i="32" s="1"/>
  <c r="H97" i="32" s="1"/>
  <c r="C95" i="32"/>
  <c r="F95" i="32" s="1"/>
  <c r="H95" i="32" s="1"/>
  <c r="C94" i="32"/>
  <c r="F94" i="32" s="1"/>
  <c r="H94" i="32" s="1"/>
  <c r="C99" i="32"/>
  <c r="F99" i="32" s="1"/>
  <c r="H99" i="32" s="1"/>
  <c r="F100" i="32"/>
  <c r="H100" i="32" s="1"/>
  <c r="C96" i="32"/>
  <c r="F96" i="32" s="1"/>
  <c r="H96" i="32" s="1"/>
  <c r="C91" i="32"/>
  <c r="F91" i="32" s="1"/>
  <c r="H91" i="32" s="1"/>
  <c r="C110" i="32"/>
  <c r="C92" i="32"/>
  <c r="F92" i="32" s="1"/>
  <c r="H92" i="32" s="1"/>
  <c r="C93" i="32"/>
  <c r="F93" i="32" s="1"/>
  <c r="H93" i="32" s="1"/>
  <c r="E7" i="6"/>
  <c r="N390" i="25"/>
  <c r="L389" i="25"/>
  <c r="I389" i="25" s="1"/>
  <c r="E10" i="6"/>
  <c r="N423" i="25"/>
  <c r="L422" i="25"/>
  <c r="I422" i="25" s="1"/>
  <c r="N155" i="25"/>
  <c r="L154" i="25"/>
  <c r="I154" i="25" s="1"/>
  <c r="C120" i="32" l="1"/>
  <c r="C105" i="32"/>
  <c r="F105" i="32" s="1"/>
  <c r="H105" i="32" s="1"/>
  <c r="C101" i="32"/>
  <c r="F101" i="32" s="1"/>
  <c r="H101" i="32" s="1"/>
  <c r="C106" i="32"/>
  <c r="F106" i="32" s="1"/>
  <c r="H106" i="32" s="1"/>
  <c r="C109" i="32"/>
  <c r="F109" i="32" s="1"/>
  <c r="H109" i="32" s="1"/>
  <c r="C102" i="32"/>
  <c r="F102" i="32" s="1"/>
  <c r="H102" i="32" s="1"/>
  <c r="F110" i="32"/>
  <c r="H110" i="32" s="1"/>
  <c r="C103" i="32"/>
  <c r="F103" i="32" s="1"/>
  <c r="H103" i="32" s="1"/>
  <c r="C108" i="32"/>
  <c r="F108" i="32" s="1"/>
  <c r="H108" i="32" s="1"/>
  <c r="C107" i="32"/>
  <c r="F107" i="32" s="1"/>
  <c r="H107" i="32" s="1"/>
  <c r="C104" i="32"/>
  <c r="F104" i="32" s="1"/>
  <c r="H104" i="32" s="1"/>
  <c r="E6" i="6"/>
  <c r="N156" i="25"/>
  <c r="L155" i="25"/>
  <c r="I155" i="25" s="1"/>
  <c r="L390" i="25"/>
  <c r="I390" i="25" s="1"/>
  <c r="N391" i="25"/>
  <c r="N424" i="25"/>
  <c r="L424" i="25" s="1"/>
  <c r="I424" i="25" s="1"/>
  <c r="L423" i="25"/>
  <c r="I423" i="25" s="1"/>
  <c r="E15" i="6" l="1"/>
  <c r="E17" i="6"/>
  <c r="E16" i="6"/>
  <c r="C114" i="32"/>
  <c r="F114" i="32" s="1"/>
  <c r="H114" i="32" s="1"/>
  <c r="F120" i="32"/>
  <c r="H120" i="32" s="1"/>
  <c r="C111" i="32"/>
  <c r="F111" i="32" s="1"/>
  <c r="H111" i="32" s="1"/>
  <c r="C122" i="32"/>
  <c r="C112" i="32"/>
  <c r="F112" i="32" s="1"/>
  <c r="H112" i="32" s="1"/>
  <c r="C119" i="32"/>
  <c r="F119" i="32" s="1"/>
  <c r="H119" i="32" s="1"/>
  <c r="C116" i="32"/>
  <c r="F116" i="32" s="1"/>
  <c r="H116" i="32" s="1"/>
  <c r="C115" i="32"/>
  <c r="F115" i="32" s="1"/>
  <c r="H115" i="32" s="1"/>
  <c r="C118" i="32"/>
  <c r="F118" i="32" s="1"/>
  <c r="H118" i="32" s="1"/>
  <c r="C113" i="32"/>
  <c r="F113" i="32" s="1"/>
  <c r="H113" i="32" s="1"/>
  <c r="C117" i="32"/>
  <c r="F117" i="32" s="1"/>
  <c r="H117" i="32" s="1"/>
  <c r="N392" i="25"/>
  <c r="L391" i="25"/>
  <c r="I391" i="25" s="1"/>
  <c r="N157" i="25"/>
  <c r="L156" i="25"/>
  <c r="I156" i="25" s="1"/>
  <c r="C121" i="32" l="1"/>
  <c r="F121" i="32" s="1"/>
  <c r="H121" i="32" s="1"/>
  <c r="F122" i="32"/>
  <c r="H122" i="32" s="1"/>
  <c r="E14" i="6"/>
  <c r="N158" i="25"/>
  <c r="L157" i="25"/>
  <c r="I157" i="25" s="1"/>
  <c r="N393" i="25"/>
  <c r="L393" i="25" s="1"/>
  <c r="I393" i="25" s="1"/>
  <c r="L392" i="25"/>
  <c r="I392" i="25" s="1"/>
  <c r="E11" i="2"/>
  <c r="E18" i="2" s="1"/>
  <c r="E14" i="2"/>
  <c r="E7" i="2"/>
  <c r="E18" i="6" l="1"/>
  <c r="E19" i="6" s="1"/>
  <c r="F12" i="55" s="1"/>
  <c r="B33" i="18"/>
  <c r="E6" i="2"/>
  <c r="E19" i="2" s="1"/>
  <c r="N159" i="25"/>
  <c r="L158" i="25"/>
  <c r="I158" i="25" s="1"/>
  <c r="G12" i="55" l="1"/>
  <c r="H12" i="55" s="1"/>
  <c r="E20" i="6"/>
  <c r="E21" i="6" s="1"/>
  <c r="E22" i="6" s="1"/>
  <c r="G10" i="55"/>
  <c r="H10" i="55" s="1"/>
  <c r="E37" i="18"/>
  <c r="L31" i="18"/>
  <c r="K31" i="18"/>
  <c r="F37" i="18"/>
  <c r="J37" i="18"/>
  <c r="I37" i="18"/>
  <c r="K37" i="18"/>
  <c r="H37" i="18"/>
  <c r="L37" i="18"/>
  <c r="C37" i="18"/>
  <c r="D37" i="18"/>
  <c r="B37" i="18"/>
  <c r="G37" i="18"/>
  <c r="N160" i="25"/>
  <c r="L160" i="25" s="1"/>
  <c r="I160" i="25" s="1"/>
  <c r="L159" i="25"/>
  <c r="I159" i="25" s="1"/>
  <c r="E20" i="2"/>
  <c r="E17" i="2" l="1"/>
  <c r="E21" i="2" l="1"/>
  <c r="E22" i="2" s="1"/>
  <c r="B21" i="18"/>
  <c r="F11" i="55" l="1"/>
  <c r="E23" i="2"/>
  <c r="E24" i="2" s="1"/>
  <c r="F8" i="55"/>
  <c r="B27" i="18"/>
  <c r="C2" i="30"/>
  <c r="E2" i="30" s="1"/>
  <c r="B15" i="18"/>
  <c r="G11" i="55" l="1"/>
  <c r="G8" i="55" s="1"/>
  <c r="E10" i="54"/>
  <c r="E9" i="54"/>
  <c r="G9" i="54" s="1"/>
  <c r="H9" i="54" s="1"/>
  <c r="F17" i="55"/>
  <c r="G17" i="55" s="1"/>
  <c r="H17" i="55" s="1"/>
  <c r="E8" i="54"/>
  <c r="E11" i="54"/>
  <c r="E12" i="54"/>
  <c r="G12" i="54" s="1"/>
  <c r="H12" i="54" s="1"/>
  <c r="E13" i="54"/>
  <c r="G13" i="54" s="1"/>
  <c r="H13" i="54" s="1"/>
  <c r="E7" i="66"/>
  <c r="E31" i="18"/>
  <c r="D31" i="18"/>
  <c r="J31" i="18"/>
  <c r="H31" i="18"/>
  <c r="F31" i="18"/>
  <c r="B57" i="18"/>
  <c r="I31" i="18"/>
  <c r="B31" i="18"/>
  <c r="B45" i="18"/>
  <c r="G31" i="18"/>
  <c r="C31" i="18"/>
  <c r="B19" i="18"/>
  <c r="H25" i="18"/>
  <c r="B25" i="18"/>
  <c r="C25" i="18"/>
  <c r="D25" i="18"/>
  <c r="E25" i="18"/>
  <c r="F25" i="18"/>
  <c r="G25" i="18"/>
  <c r="B69" i="18"/>
  <c r="I73" i="18" s="1"/>
  <c r="B51" i="18"/>
  <c r="B3" i="18"/>
  <c r="B39" i="18"/>
  <c r="E43" i="18" s="1"/>
  <c r="D19" i="18"/>
  <c r="L19" i="18"/>
  <c r="G19" i="18"/>
  <c r="E19" i="18"/>
  <c r="H19" i="18"/>
  <c r="K19" i="18"/>
  <c r="F19" i="18"/>
  <c r="C19" i="18"/>
  <c r="I19" i="18"/>
  <c r="J19" i="18"/>
  <c r="H11" i="55" l="1"/>
  <c r="E15" i="54"/>
  <c r="G11" i="54"/>
  <c r="G7" i="66"/>
  <c r="A7" i="66"/>
  <c r="A8" i="66" s="1"/>
  <c r="A9" i="66" s="1"/>
  <c r="G8" i="54"/>
  <c r="G10" i="54"/>
  <c r="H10" i="54" s="1"/>
  <c r="L85" i="18"/>
  <c r="E61" i="18"/>
  <c r="D61" i="18"/>
  <c r="G61" i="18"/>
  <c r="J61" i="18"/>
  <c r="L67" i="18"/>
  <c r="I61" i="18"/>
  <c r="L73" i="18"/>
  <c r="C61" i="18"/>
  <c r="H61" i="18"/>
  <c r="L79" i="18"/>
  <c r="K61" i="18"/>
  <c r="B61" i="18"/>
  <c r="L61" i="18"/>
  <c r="F61" i="18"/>
  <c r="K55" i="18"/>
  <c r="E49" i="18"/>
  <c r="D49" i="18"/>
  <c r="F49" i="18"/>
  <c r="J55" i="18"/>
  <c r="H49" i="18"/>
  <c r="J49" i="18"/>
  <c r="B49" i="18"/>
  <c r="I49" i="18"/>
  <c r="G49" i="18"/>
  <c r="K49" i="18"/>
  <c r="C49" i="18"/>
  <c r="D43" i="18"/>
  <c r="B43" i="18"/>
  <c r="F43" i="18"/>
  <c r="I43" i="18"/>
  <c r="G73" i="18"/>
  <c r="B75" i="18"/>
  <c r="K85" i="18" s="1"/>
  <c r="E73" i="18"/>
  <c r="F73" i="18"/>
  <c r="H73" i="18"/>
  <c r="C73" i="18"/>
  <c r="B73" i="18"/>
  <c r="J73" i="18"/>
  <c r="D73" i="18"/>
  <c r="K73" i="18"/>
  <c r="G43" i="18"/>
  <c r="C7" i="18"/>
  <c r="J7" i="18"/>
  <c r="G7" i="18"/>
  <c r="K7" i="18"/>
  <c r="I7" i="18"/>
  <c r="B9" i="18"/>
  <c r="D7" i="18"/>
  <c r="F7" i="18"/>
  <c r="G13" i="18"/>
  <c r="H7" i="18"/>
  <c r="I13" i="18"/>
  <c r="M13" i="18"/>
  <c r="C13" i="18"/>
  <c r="F13" i="18"/>
  <c r="M7" i="18"/>
  <c r="E13" i="18"/>
  <c r="K13" i="18"/>
  <c r="L13" i="18"/>
  <c r="B7" i="18"/>
  <c r="J13" i="18"/>
  <c r="D13" i="18"/>
  <c r="B13" i="18"/>
  <c r="E7" i="18"/>
  <c r="H13" i="18"/>
  <c r="L7" i="18"/>
  <c r="G55" i="18"/>
  <c r="C55" i="18"/>
  <c r="E55" i="18"/>
  <c r="B55" i="18"/>
  <c r="D55" i="18"/>
  <c r="F55" i="18"/>
  <c r="H55" i="18"/>
  <c r="I55" i="18"/>
  <c r="H43" i="18"/>
  <c r="C43" i="18"/>
  <c r="C3" i="30"/>
  <c r="E3" i="30" s="1"/>
  <c r="H8" i="54" l="1"/>
  <c r="H11" i="54"/>
  <c r="H7" i="66"/>
  <c r="C4" i="30"/>
  <c r="E4" i="30" s="1"/>
  <c r="B93" i="18"/>
  <c r="J79" i="18"/>
  <c r="F79" i="18"/>
  <c r="K79" i="18"/>
  <c r="I79" i="18"/>
  <c r="E79" i="18"/>
  <c r="G79" i="18"/>
  <c r="B79" i="18"/>
  <c r="D79" i="18"/>
  <c r="C79" i="18"/>
  <c r="H79" i="18"/>
  <c r="B97" i="18" l="1"/>
  <c r="H97" i="18"/>
  <c r="G97" i="18"/>
  <c r="E97" i="18"/>
  <c r="D97" i="18"/>
  <c r="C97" i="18"/>
  <c r="F97" i="18"/>
  <c r="B63" i="18" l="1"/>
  <c r="C5" i="30" l="1"/>
  <c r="E5" i="30" s="1"/>
  <c r="C67" i="18"/>
  <c r="H67" i="18"/>
  <c r="K67" i="18"/>
  <c r="G67" i="18"/>
  <c r="D67" i="18"/>
  <c r="I67" i="18"/>
  <c r="F67" i="18"/>
  <c r="E67" i="18"/>
  <c r="B67" i="18"/>
  <c r="J67" i="18"/>
  <c r="B81" i="18" l="1"/>
  <c r="J85" i="18" s="1"/>
  <c r="B85" i="18" l="1"/>
  <c r="C85" i="18"/>
  <c r="D85" i="18"/>
  <c r="I85" i="18"/>
  <c r="H85" i="18"/>
  <c r="F85" i="18"/>
  <c r="E85" i="18"/>
  <c r="G85" i="18"/>
  <c r="B87" i="18"/>
  <c r="D91" i="18" s="1"/>
  <c r="H91" i="18" l="1"/>
  <c r="F91" i="18"/>
  <c r="C91" i="18"/>
  <c r="J97" i="18"/>
  <c r="J91" i="18"/>
  <c r="E91" i="18"/>
  <c r="B91" i="18"/>
  <c r="K97" i="18"/>
  <c r="K91" i="18"/>
  <c r="L97" i="18"/>
  <c r="L91" i="18"/>
  <c r="G91" i="18"/>
  <c r="I91" i="18"/>
  <c r="I97" i="18"/>
  <c r="C6" i="30" l="1"/>
  <c r="E6" i="30" s="1"/>
  <c r="C7" i="30" l="1"/>
  <c r="E7" i="30" s="1"/>
  <c r="C8" i="30" l="1"/>
  <c r="A7" i="54" l="1"/>
  <c r="F18" i="55"/>
  <c r="G7" i="54"/>
  <c r="G15" i="54" s="1"/>
  <c r="J10" i="66" l="1"/>
  <c r="K8" i="66" s="1"/>
  <c r="K10" i="66"/>
  <c r="A8" i="54"/>
  <c r="A9" i="54" s="1"/>
  <c r="H7" i="54"/>
  <c r="H15" i="54" s="1"/>
  <c r="G18" i="55"/>
  <c r="H18" i="55" s="1"/>
  <c r="A10" i="54" l="1"/>
  <c r="A11" i="54" s="1"/>
  <c r="A12" i="54" s="1"/>
  <c r="A13" i="54" s="1"/>
  <c r="A17" i="55"/>
  <c r="A14" i="54" l="1"/>
  <c r="A9" i="55"/>
  <c r="A10" i="55" l="1"/>
  <c r="H8" i="55"/>
  <c r="A8" i="55" l="1"/>
  <c r="A18" i="55" l="1"/>
  <c r="E11" i="66" l="1"/>
  <c r="E10" i="66"/>
  <c r="E12" i="66" l="1"/>
  <c r="F19" i="55" s="1"/>
  <c r="G10" i="66"/>
  <c r="A10" i="66"/>
  <c r="A11" i="66" s="1"/>
  <c r="G11" i="66"/>
  <c r="H11" i="66" s="1"/>
  <c r="G12" i="66" l="1"/>
  <c r="G19" i="55" s="1"/>
  <c r="H19" i="55" s="1"/>
  <c r="H10" i="66"/>
  <c r="H12" i="66" s="1"/>
  <c r="H21" i="55" l="1"/>
  <c r="A19" i="55"/>
  <c r="H20" i="55" l="1"/>
  <c r="A21" i="55"/>
  <c r="A20" i="55" l="1"/>
  <c r="H22" i="55"/>
  <c r="A22" i="55" l="1"/>
  <c r="H26" i="55"/>
</calcChain>
</file>

<file path=xl/sharedStrings.xml><?xml version="1.0" encoding="utf-8"?>
<sst xmlns="http://schemas.openxmlformats.org/spreadsheetml/2006/main" count="60056" uniqueCount="13152">
  <si>
    <t>STT</t>
  </si>
  <si>
    <t>KHOẢN MỤC CHI PHÍ</t>
  </si>
  <si>
    <t>KÝ HIỆU</t>
  </si>
  <si>
    <t>CÁCH TÍNH</t>
  </si>
  <si>
    <t>I</t>
  </si>
  <si>
    <t>Gxd</t>
  </si>
  <si>
    <t>II</t>
  </si>
  <si>
    <t>III</t>
  </si>
  <si>
    <t>IV</t>
  </si>
  <si>
    <t>CHI PHÍ TRỰC TIẾP</t>
  </si>
  <si>
    <t>Chi phí vật liệu</t>
  </si>
  <si>
    <t>VL</t>
  </si>
  <si>
    <t>NC</t>
  </si>
  <si>
    <t>M</t>
  </si>
  <si>
    <t>T</t>
  </si>
  <si>
    <t>C</t>
  </si>
  <si>
    <t>THU NHẬP CHỊU THUẾ TÍNH TRƯỚC</t>
  </si>
  <si>
    <t>TL</t>
  </si>
  <si>
    <t>G</t>
  </si>
  <si>
    <t>GTGT</t>
  </si>
  <si>
    <t>Chi phí xây dựng sau thuế</t>
  </si>
  <si>
    <t>Cáp chằng thép 3/5"</t>
  </si>
  <si>
    <t>Kẹp chằng 3 boulon</t>
  </si>
  <si>
    <t>Sứ chằng</t>
  </si>
  <si>
    <t>Yếm cáp</t>
  </si>
  <si>
    <t>Máng che dây néo</t>
  </si>
  <si>
    <t>Tăng đơ</t>
  </si>
  <si>
    <t>Ống sắt D60 - 1,2m</t>
  </si>
  <si>
    <t>Pole 501+502</t>
  </si>
  <si>
    <t>MÃ HIỆU ĐƠN GIÁ</t>
  </si>
  <si>
    <t>THÀNH PHẦN HAO PHÍ</t>
  </si>
  <si>
    <t>ĐƠN VỊ TÍNH</t>
  </si>
  <si>
    <t>KHỐI LƯỢNG</t>
  </si>
  <si>
    <t>ĐƠN GIÁ</t>
  </si>
  <si>
    <t>THÀNH TIỀN</t>
  </si>
  <si>
    <t>(1)</t>
  </si>
  <si>
    <t>(2)</t>
  </si>
  <si>
    <t>(3)</t>
  </si>
  <si>
    <t>(4)</t>
  </si>
  <si>
    <t>(5)</t>
  </si>
  <si>
    <t>(6)</t>
  </si>
  <si>
    <t>(7)</t>
  </si>
  <si>
    <t>1</t>
  </si>
  <si>
    <t>100m</t>
  </si>
  <si>
    <t>Xi măng PC40</t>
  </si>
  <si>
    <t>kg</t>
  </si>
  <si>
    <t>Cát xây</t>
  </si>
  <si>
    <t>m3</t>
  </si>
  <si>
    <t>Thép d=10mm</t>
  </si>
  <si>
    <t>m</t>
  </si>
  <si>
    <t>Cọc gỗ (4x4x40cm)</t>
  </si>
  <si>
    <t>cái</t>
  </si>
  <si>
    <t>Sổ các loại</t>
  </si>
  <si>
    <t>c) Máy thi công</t>
  </si>
  <si>
    <t>2</t>
  </si>
  <si>
    <t>3</t>
  </si>
  <si>
    <t>4</t>
  </si>
  <si>
    <t>5</t>
  </si>
  <si>
    <t>6</t>
  </si>
  <si>
    <t>mét</t>
  </si>
  <si>
    <t>TỔNG CỘNG</t>
  </si>
  <si>
    <t>TỔNG HỢP DỰ TOÁN CHI PHÍ XÂY DỰNG</t>
  </si>
  <si>
    <t>VL+NC+M +TT</t>
  </si>
  <si>
    <t>a1+...a2</t>
  </si>
  <si>
    <t xml:space="preserve">      + Vật liệu chính</t>
  </si>
  <si>
    <t>a1</t>
  </si>
  <si>
    <t>Bảng tính</t>
  </si>
  <si>
    <t xml:space="preserve">      + Vật liệu phụ</t>
  </si>
  <si>
    <t>a2</t>
  </si>
  <si>
    <t xml:space="preserve">Chi phí nhân công </t>
  </si>
  <si>
    <t>b1</t>
  </si>
  <si>
    <t xml:space="preserve">      + Nhân công lắp đặt </t>
  </si>
  <si>
    <t xml:space="preserve">Bảng tính </t>
  </si>
  <si>
    <t>Chi phí máy thi công</t>
  </si>
  <si>
    <t>m1</t>
  </si>
  <si>
    <t xml:space="preserve">      + Máy thi công lắp đặt </t>
  </si>
  <si>
    <t>CHI PHÍ  GIÁN TIẾP</t>
  </si>
  <si>
    <t>GT</t>
  </si>
  <si>
    <t>C+LT+TT</t>
  </si>
  <si>
    <t>Chi phí chung</t>
  </si>
  <si>
    <t>65% x NC</t>
  </si>
  <si>
    <t>Chi phí xây dựng nhà tạm</t>
  </si>
  <si>
    <t>LT</t>
  </si>
  <si>
    <t>Chi phí 1 số công tác không xác định được khối lượng</t>
  </si>
  <si>
    <t>TT</t>
  </si>
  <si>
    <t>2% x  T</t>
  </si>
  <si>
    <t>6% x (T+GT)</t>
  </si>
  <si>
    <t xml:space="preserve">Chi phí xây dựng trước thuế </t>
  </si>
  <si>
    <t xml:space="preserve">THUẾ GIÁ TRỊ GIA TĂNG </t>
  </si>
  <si>
    <t>CHI PHÍ XÂY DỰNG SAU THUẾ</t>
  </si>
  <si>
    <t>G+GTGT</t>
  </si>
  <si>
    <t>T+GT+TL</t>
  </si>
  <si>
    <t>G + GTGT</t>
  </si>
  <si>
    <t>MTC</t>
  </si>
  <si>
    <t xml:space="preserve">bộ </t>
  </si>
  <si>
    <t>t.bộ</t>
  </si>
  <si>
    <t>BẢNG TÍNH TOÁN CHI TIẾT GIÁ THÀNH TỪNG BỘ PHẬN</t>
  </si>
  <si>
    <t>Đơn giá</t>
  </si>
  <si>
    <t>Thành tiền</t>
  </si>
  <si>
    <t>SHĐM</t>
  </si>
  <si>
    <t xml:space="preserve">Nội dung công việc </t>
  </si>
  <si>
    <t>Đơn vị</t>
  </si>
  <si>
    <t>Số lượng</t>
  </si>
  <si>
    <t xml:space="preserve">TB-VL </t>
  </si>
  <si>
    <t>Knc</t>
  </si>
  <si>
    <t>Kmtc</t>
  </si>
  <si>
    <t>chính</t>
  </si>
  <si>
    <t>11=(4*5)</t>
  </si>
  <si>
    <t>Vật liệu</t>
  </si>
  <si>
    <t>Beton M200 đá dăm 1x2</t>
  </si>
  <si>
    <t>Gỗ đà nẹp</t>
  </si>
  <si>
    <t>Gỗ chống</t>
  </si>
  <si>
    <t xml:space="preserve">Nhân công </t>
  </si>
  <si>
    <t>Đào móng cột trụ, hố kiểm tra, rộng &lt;=1m,sâu &lt;=1m, đất cấp II</t>
  </si>
  <si>
    <t>AB.13111</t>
  </si>
  <si>
    <t>Đắp đất hố móng độ chặt yêu cầu K=0,85</t>
  </si>
  <si>
    <t xml:space="preserve"> m3 </t>
  </si>
  <si>
    <t>Công tác ván khuôn gỗ móng vuông, chữ nhật  (tại chỗ)</t>
  </si>
  <si>
    <t xml:space="preserve">m2 </t>
  </si>
  <si>
    <t>D1.1152</t>
  </si>
  <si>
    <t>Vận chuyển ván gỗ cốp pha cự ly &lt;=100m</t>
  </si>
  <si>
    <t>D1.1151</t>
  </si>
  <si>
    <t xml:space="preserve">Bốc dỡ ván gỗ cốp pha </t>
  </si>
  <si>
    <t>cọc</t>
  </si>
  <si>
    <t xml:space="preserve">Dây đồng trần xoắn có tiết diện 25mm2 </t>
  </si>
  <si>
    <t>Đầu cosse ép Cu 25mm2</t>
  </si>
  <si>
    <t>AB.65120</t>
  </si>
  <si>
    <t>Đắp đất công trình bằng đầm cóc, độ chặt K=0,90</t>
  </si>
  <si>
    <t>100m3</t>
  </si>
  <si>
    <t>Đóng cọc tiếp địa dài 2,5m xuống đất cấp 2</t>
  </si>
  <si>
    <t xml:space="preserve"> 10 cọc </t>
  </si>
  <si>
    <t>D2.7001</t>
  </si>
  <si>
    <t>Kéo rãi dây tiếp địa d : 8-10mm</t>
  </si>
  <si>
    <t xml:space="preserve"> 100 Kg </t>
  </si>
  <si>
    <t>D1.1032</t>
  </si>
  <si>
    <t>Vận chuyển bulon, tiếp địa, cốt thép, dây néo cự ly &lt;=100m</t>
  </si>
  <si>
    <t>tấn</t>
  </si>
  <si>
    <t>D1.1031</t>
  </si>
  <si>
    <t xml:space="preserve">Bốc dỡ tiếp địa, cốt thép, dây néo </t>
  </si>
  <si>
    <t>bộ</t>
  </si>
  <si>
    <t>D2.5232</t>
  </si>
  <si>
    <t>Dựng cột bằng thủ công + cơ giới (cẩu), h &lt;=12m</t>
  </si>
  <si>
    <t xml:space="preserve"> cột </t>
  </si>
  <si>
    <t>D1.1102</t>
  </si>
  <si>
    <t>Vận chuyển cột bê tông cự ly &lt;=100m</t>
  </si>
  <si>
    <t>D1.1101</t>
  </si>
  <si>
    <t xml:space="preserve">Bốc dỡ cột bê tông </t>
  </si>
  <si>
    <t>Kẹp nối rẽ IPC 95-95</t>
  </si>
  <si>
    <t>D3.6306</t>
  </si>
  <si>
    <t>Lắp đặt cáp xoắn loại cáp 4x95mm2</t>
  </si>
  <si>
    <t>km</t>
  </si>
  <si>
    <t>D3.6308</t>
  </si>
  <si>
    <t>Lắp đặt cáp xoắn loại cáp &gt; 4x120mm2</t>
  </si>
  <si>
    <t>D1.1081</t>
  </si>
  <si>
    <t xml:space="preserve">Bốc dỡ dây dẫn điện , cáp các loại </t>
  </si>
  <si>
    <t>D1.1082</t>
  </si>
  <si>
    <t>Vận chuyển dây dẫn điện, dây cáp các loại cự ly &lt;=100m</t>
  </si>
  <si>
    <t>Cộng dồn</t>
  </si>
  <si>
    <t>Hình thức trụ</t>
  </si>
  <si>
    <t>tủ</t>
  </si>
  <si>
    <t>máy</t>
  </si>
  <si>
    <t>T1.1433</t>
  </si>
  <si>
    <t>Lắp đặt MBA 1 pha 12,7/0,23-0,46KV &lt;=75KVA</t>
  </si>
  <si>
    <t xml:space="preserve"> máy </t>
  </si>
  <si>
    <t>T2.3504</t>
  </si>
  <si>
    <t>Lắp đặt cầu chì tự rơi 35(22)kV (cái )</t>
  </si>
  <si>
    <t>T5.1001</t>
  </si>
  <si>
    <t>Lắp đặt tủ điện hạ thế xoay chiều 1 pha (TC)</t>
  </si>
  <si>
    <t xml:space="preserve"> tủ </t>
  </si>
  <si>
    <t>T5.1002</t>
  </si>
  <si>
    <t>Lắp đặt tủ điện hạ thế xoay chiều 3 pha (TC)</t>
  </si>
  <si>
    <t>T5.3301</t>
  </si>
  <si>
    <t xml:space="preserve">Lắp đặt tủ công tơ 1 pha và 3 pha </t>
  </si>
  <si>
    <t>T4.9302</t>
  </si>
  <si>
    <t xml:space="preserve"> tấn </t>
  </si>
  <si>
    <t>T4.8002</t>
  </si>
  <si>
    <t>Nắp chụp cách điện bảo vệ đầu cực LA</t>
  </si>
  <si>
    <t>T4.4201</t>
  </si>
  <si>
    <t xml:space="preserve"> m </t>
  </si>
  <si>
    <t>D4.5001</t>
  </si>
  <si>
    <t xml:space="preserve"> 10cái </t>
  </si>
  <si>
    <t>Đầu cosse ép Cu 120mm2</t>
  </si>
  <si>
    <t>Đầu cosse ép Cu 70mm2</t>
  </si>
  <si>
    <t>D4.2402</t>
  </si>
  <si>
    <t>Lắp đặt cáp trong ống bảo vệ, TL cáp &lt; = 2kg/m</t>
  </si>
  <si>
    <t xml:space="preserve"> 100m </t>
  </si>
  <si>
    <t>D4.2401</t>
  </si>
  <si>
    <t>Lắp đặt cáp trong ống bảo vệ, TL cáp &lt; = 1kg/m</t>
  </si>
  <si>
    <t>D4.5005</t>
  </si>
  <si>
    <t>ép đầu cốt đồng tiết diện &lt; =120mm2</t>
  </si>
  <si>
    <t>D4.5003</t>
  </si>
  <si>
    <t>ép đầu cốt đồng tiết diện &lt; =70mm2</t>
  </si>
  <si>
    <t>D4.5007</t>
  </si>
  <si>
    <t>ép đầu cốt đồng tiết diện &lt; =185mm2</t>
  </si>
  <si>
    <t>Hàn dây tiếp địa vào cọc  ( hàn CADWELD)</t>
  </si>
  <si>
    <t>1 mối</t>
  </si>
  <si>
    <t>D2.9001</t>
  </si>
  <si>
    <t>Sơn báo hiệu theo chiều cao cột &lt;= 70 m</t>
  </si>
  <si>
    <t xml:space="preserve"> m2 </t>
  </si>
  <si>
    <t xml:space="preserve">BẢNG TÍNH TOÁN CHI TIẾT PHẦN THÍ NGHIỆM HIỆU CHỈNH </t>
  </si>
  <si>
    <t>Nội dung công việc TNHC</t>
  </si>
  <si>
    <t xml:space="preserve">Thành tiền </t>
  </si>
  <si>
    <t>Máy biến áp 3 pha ≤ 1MVA</t>
  </si>
  <si>
    <t>EA.42010</t>
  </si>
  <si>
    <t>Cầu chì tự rơi , điện áp ≤35kV 1 pha</t>
  </si>
  <si>
    <t xml:space="preserve">cái </t>
  </si>
  <si>
    <t>EB.60030</t>
  </si>
  <si>
    <t>Cáp lực, điện áp 1-35kV, cáp 1 ruột</t>
  </si>
  <si>
    <t>sợi</t>
  </si>
  <si>
    <t>EB.60040</t>
  </si>
  <si>
    <t>Cáp lực, điện áp ≤1000V, cáp 1 ruột</t>
  </si>
  <si>
    <t>hệ thống</t>
  </si>
  <si>
    <t>TỔNG CỘNG :</t>
  </si>
  <si>
    <t>BẢNG 1.4</t>
  </si>
  <si>
    <t>Loại công trình (tỷ đồng)</t>
  </si>
  <si>
    <t>Công trình công nghiệp</t>
  </si>
  <si>
    <t>tính (nội suy)</t>
  </si>
  <si>
    <t>Chi phí XÂY DỰNG trong dự toán (chưa thuế)</t>
  </si>
  <si>
    <t>1. Định mức chi phí thiết kế bản vẽ thi công (công trình có thiết kế 2 bước)</t>
  </si>
  <si>
    <t xml:space="preserve">2. Định mức chi phí thẩm tra thiết kế bản vẽ thi công </t>
  </si>
  <si>
    <t>3. Định mức chi phí thẩm tra dự toán</t>
  </si>
  <si>
    <t>4. Định mức chi phí giám sát thi công xây dựng</t>
  </si>
  <si>
    <t>5. Định mức chi phí lựa chọn nhà thầu thi công xây dựng</t>
  </si>
  <si>
    <t>Chi phí THIẾT BỊ trong dự toán (chưa thuế)</t>
  </si>
  <si>
    <t>1. Định mức chi phí giám sát lắp đặt thiết bị</t>
  </si>
  <si>
    <t>2. Định mức chi phí lựa chọn nhà thầu mua sắm thiết bị</t>
  </si>
  <si>
    <t>Chi phí lập báo cáo kinh tế - kỹ thuật</t>
  </si>
  <si>
    <t>Định mức chi phí lập báo cáo kinh tế - kỹ thuật</t>
  </si>
  <si>
    <t>Chi phí xây dựng và chi phí thiết bị (tỷ đồng)</t>
  </si>
  <si>
    <t>5. Định mức chi phí lập hồ sơ mời thầu, đánh giá hồ sơ dự thầu tư vấn</t>
  </si>
  <si>
    <t>ĐƯỜNG DÂY TRUNG THẾ NỔI</t>
  </si>
  <si>
    <t>AF.11210</t>
  </si>
  <si>
    <t>Đổ bêtông móng, thủ công, không cầu công tác, chiều rộng &lt;=250cm</t>
  </si>
  <si>
    <t>D2.5242</t>
  </si>
  <si>
    <t>Dựng cột bằng thủ công + cơ giới (cẩu), h &lt;=14m</t>
  </si>
  <si>
    <t>D2.6031</t>
  </si>
  <si>
    <t>Lắp đặt xà thép cho cột đỡ , P =50kg</t>
  </si>
  <si>
    <t xml:space="preserve"> bộ </t>
  </si>
  <si>
    <t>D1.1062</t>
  </si>
  <si>
    <t>Vận chuyển phụ kiện các loại cự ly &lt;=100m</t>
  </si>
  <si>
    <t>D1.1061</t>
  </si>
  <si>
    <t xml:space="preserve">Bốc dỡ phụ kiện các loại </t>
  </si>
  <si>
    <t>D3.1115</t>
  </si>
  <si>
    <t>Lắp đặt sứ đứng 15-22KV, cột tròn, trên cột</t>
  </si>
  <si>
    <t xml:space="preserve"> sứ </t>
  </si>
  <si>
    <t>D1.1071</t>
  </si>
  <si>
    <t xml:space="preserve">Bốc dỡ cách điện các loại </t>
  </si>
  <si>
    <t>D1.1072</t>
  </si>
  <si>
    <t>Vận chuyển cách điện các loại cự ly &lt;=100m</t>
  </si>
  <si>
    <t>chuỗi</t>
  </si>
  <si>
    <t>Lắp đặt chuỗi sứ néo polymer &lt;=35kV, cột cao &lt;=20m</t>
  </si>
  <si>
    <t xml:space="preserve"> chuỗi</t>
  </si>
  <si>
    <t>D3.1211</t>
  </si>
  <si>
    <t>Lắp đặt các loại sứ hạ thế, thủ công</t>
  </si>
  <si>
    <t>D3.6114</t>
  </si>
  <si>
    <t>Rải căng dây (AC, ACSR),thủ công, td&lt;=50mm2</t>
  </si>
  <si>
    <t>Lắp đặt dây dẫn xuống thiết bị, dây đồng TD &lt; =95mm2</t>
  </si>
  <si>
    <t>D3.3201</t>
  </si>
  <si>
    <t>Lắp đặt mỏ phóng sét cao &lt;= 20 m</t>
  </si>
  <si>
    <t>EB.41040</t>
  </si>
  <si>
    <t>Cách điện treo đã lắp thành chuỗi (hoặc chuỗi polymer 24kV)</t>
  </si>
  <si>
    <t>bát(chuỗi)</t>
  </si>
  <si>
    <t>EC.22010</t>
  </si>
  <si>
    <t>Tiếp địa cột điện, cột thu lôi bằng thép</t>
  </si>
  <si>
    <t>1 vị trí</t>
  </si>
  <si>
    <t xml:space="preserve">VL+NC+M </t>
  </si>
  <si>
    <t>D.ABC.HT-4x95</t>
  </si>
  <si>
    <t>D.ABC.TT-4x95</t>
  </si>
  <si>
    <t>G.ABC.HTk-4x95</t>
  </si>
  <si>
    <t>G.ABC.TTk-4x95</t>
  </si>
  <si>
    <t>ND.ABC.HT-4x95</t>
  </si>
  <si>
    <t>ND.ABC.HTk-4x95</t>
  </si>
  <si>
    <t>ND.ABC.TT-4x95</t>
  </si>
  <si>
    <t>ND.ABC.TTk-4x95</t>
  </si>
  <si>
    <t/>
  </si>
  <si>
    <t>Hạng mục công việc</t>
  </si>
  <si>
    <t>Nhân công</t>
  </si>
  <si>
    <t xml:space="preserve">Trọng </t>
  </si>
  <si>
    <t>ĐVT</t>
  </si>
  <si>
    <t>VLP</t>
  </si>
  <si>
    <t>Bậc thợ</t>
  </si>
  <si>
    <t>Số công</t>
  </si>
  <si>
    <t>Lg ngày</t>
  </si>
  <si>
    <t>đơn giá</t>
  </si>
  <si>
    <t>lượng NC</t>
  </si>
  <si>
    <t>QĐ 1134</t>
  </si>
  <si>
    <t>Số ca M1</t>
  </si>
  <si>
    <t>Giá ca máy M1</t>
  </si>
  <si>
    <t>Số ca M2</t>
  </si>
  <si>
    <t>Giá ca máy M2</t>
  </si>
  <si>
    <t>Số ca M3</t>
  </si>
  <si>
    <t>Giá ca máy M3</t>
  </si>
  <si>
    <t>Máy khác (%)</t>
  </si>
  <si>
    <t xml:space="preserve">PHÁT TUYẾN </t>
  </si>
  <si>
    <t>CHẶT CÂY</t>
  </si>
  <si>
    <t xml:space="preserve">CHẶT CÂY BẰNG MÁY </t>
  </si>
  <si>
    <t>ĐÀO GỐC CÂY</t>
  </si>
  <si>
    <t>ĐÀO BỤI CÂY</t>
  </si>
  <si>
    <t>ĐÀO SAN ĐẤT THEO SƯỜN ĐỒI  THỦ CÔNG</t>
  </si>
  <si>
    <t xml:space="preserve">ĐẮP ĐẤT NỀN ĐƯỜNG THỦ CÔNG </t>
  </si>
  <si>
    <t xml:space="preserve">RẢI ĐÁ CHỐNG LÚN  THỦ CÔNG </t>
  </si>
  <si>
    <t>ĐÀO SAN ĐẤT THEO SƯỜN ĐỒI  THỦ CÔNG +MTC</t>
  </si>
  <si>
    <t>ĐẮP ĐẤT NỀN ĐƯỜNG THỦ CÔNG +MTC</t>
  </si>
  <si>
    <t>ĐÀO SAN ĐẤT TẠO MẶT BẰNG THỦ CÔNG</t>
  </si>
  <si>
    <t>ĐÀO SAN ĐẤT TẠO MẶT BẰNG THỦ CÔNG +MTC</t>
  </si>
  <si>
    <t>ĐÀO SAN ĐẤT TẠO MẶT BẰNG MTC</t>
  </si>
  <si>
    <t xml:space="preserve">LÀM KHO TẠM </t>
  </si>
  <si>
    <t xml:space="preserve"> </t>
  </si>
  <si>
    <t>01.6001</t>
  </si>
  <si>
    <t>Làm kho tạm kín</t>
  </si>
  <si>
    <t>m2</t>
  </si>
  <si>
    <t>3,0/7</t>
  </si>
  <si>
    <t>01.6002</t>
  </si>
  <si>
    <t xml:space="preserve">Làm kho tạm hở </t>
  </si>
  <si>
    <t>D1.1000</t>
  </si>
  <si>
    <t>VẬN CHUYỂN THỦ CÔNG</t>
  </si>
  <si>
    <t>D1.1121</t>
  </si>
  <si>
    <t xml:space="preserve">Bốc dỡ xi măng </t>
  </si>
  <si>
    <t>D1.1122</t>
  </si>
  <si>
    <t>Vận chuyển xi măng cự ly &lt;=100m</t>
  </si>
  <si>
    <t>D1.1123</t>
  </si>
  <si>
    <t>Vận chuyển xi măng cự ly &lt;=300m</t>
  </si>
  <si>
    <t>D1.1124</t>
  </si>
  <si>
    <t>Vận chuyển xi măng cự ly &lt;=500m</t>
  </si>
  <si>
    <t>D1.1125</t>
  </si>
  <si>
    <t>Vận chuyển xi măng cự ly &gt;500m</t>
  </si>
  <si>
    <t xml:space="preserve">Bốc dỡ cát đen </t>
  </si>
  <si>
    <t>Vận chuyển cát đen cự ly &lt;=100m</t>
  </si>
  <si>
    <t>Vận chuyển cát đen cự ly &lt;=300m</t>
  </si>
  <si>
    <t>Vận chuyển cát đen cự ly &lt;=500m</t>
  </si>
  <si>
    <t>Vận chuyển cát đen cự ly &gt;500m</t>
  </si>
  <si>
    <t>D1.1131</t>
  </si>
  <si>
    <t>Bốc dỡ cát vàng</t>
  </si>
  <si>
    <t>D1.1132</t>
  </si>
  <si>
    <t>Vận chuyển cát vàng cự ly &lt;=100m</t>
  </si>
  <si>
    <t>D1.1133</t>
  </si>
  <si>
    <t>Vận chuyển cát vàng cự ly &lt;=300m</t>
  </si>
  <si>
    <t>D1.1134</t>
  </si>
  <si>
    <t>Vận chuyển cát vàng cự ly &lt;=500m</t>
  </si>
  <si>
    <t>D1.1135</t>
  </si>
  <si>
    <t>Vận chuyển cát vàng cự ly &gt;500m</t>
  </si>
  <si>
    <t>D1.1141</t>
  </si>
  <si>
    <t xml:space="preserve">Bốc dỡ đá dăm các loại </t>
  </si>
  <si>
    <t>D1.1142</t>
  </si>
  <si>
    <t>Vận chuyển đá dăm các loại cự ly &lt;=100m</t>
  </si>
  <si>
    <t>D1.1143</t>
  </si>
  <si>
    <t>Vận chuyển đá dăm các loại cự ly &lt;=300m</t>
  </si>
  <si>
    <t>D1.1144</t>
  </si>
  <si>
    <t>Vận chuyển đá dăm các loại cự ly &lt;=500m</t>
  </si>
  <si>
    <t>D1.1145</t>
  </si>
  <si>
    <t>Vận chuyển đá dăm các loại cự ly &gt;500m</t>
  </si>
  <si>
    <t xml:space="preserve">Bốc dỡ đá hộc </t>
  </si>
  <si>
    <t>Vận chuyển đá hộc cự ly &lt;=100m</t>
  </si>
  <si>
    <t>Vận chuyển đá hộc cự ly &lt;=300m</t>
  </si>
  <si>
    <t>Vận chuyển đá hộc cự ly &gt;500m</t>
  </si>
  <si>
    <t>D1.1161</t>
  </si>
  <si>
    <t>Bốc dỡ đất cấp I</t>
  </si>
  <si>
    <t>D1.1162</t>
  </si>
  <si>
    <t>Vận chuyển đất cấp I cự ly &lt;=100m</t>
  </si>
  <si>
    <t>D1.1163</t>
  </si>
  <si>
    <t>Vận chuyển đất cấp I cự ly &lt;=300m</t>
  </si>
  <si>
    <t>D1.1164</t>
  </si>
  <si>
    <t>Vận chuyển đất cấp I cự ly &lt;=500m</t>
  </si>
  <si>
    <t>D1.1165</t>
  </si>
  <si>
    <t>Vận chuyển đất cấp I cự ly &gt;500m</t>
  </si>
  <si>
    <t>D1.1171</t>
  </si>
  <si>
    <t>Bốc dỡ đất cấp II</t>
  </si>
  <si>
    <t>D1.1172</t>
  </si>
  <si>
    <t>Vận chuyển đất cấp II cự ly &lt;=100m</t>
  </si>
  <si>
    <t>D1.1173</t>
  </si>
  <si>
    <t>Vận chuyển đất cấp II cự ly &lt;=300m</t>
  </si>
  <si>
    <t>D1.1174</t>
  </si>
  <si>
    <t>Vận chuyển đất cấp II cự ly &lt;=500m</t>
  </si>
  <si>
    <t>D1.1175</t>
  </si>
  <si>
    <t>Vận chuyển đất cấp II cự ly &gt;500m</t>
  </si>
  <si>
    <t>D1.1181</t>
  </si>
  <si>
    <t>Bốc dỡ đất cấp III</t>
  </si>
  <si>
    <t>D1.1182</t>
  </si>
  <si>
    <t>Vận chuyển đất cấp III cự ly &lt;=100m</t>
  </si>
  <si>
    <t>D1.1183</t>
  </si>
  <si>
    <t>Vận chuyển đất cấp III cự ly &lt;=300m</t>
  </si>
  <si>
    <t>D1.1184</t>
  </si>
  <si>
    <t>Vận chuyển đất cấp III cự ly &lt;=500m</t>
  </si>
  <si>
    <t>D1.1185</t>
  </si>
  <si>
    <t>Vận chuyển đất cấp III cự ly &gt;5100m</t>
  </si>
  <si>
    <t>D1.1191</t>
  </si>
  <si>
    <t>Bốc dỡ đất cấp IV</t>
  </si>
  <si>
    <t>D1.1192</t>
  </si>
  <si>
    <t>Vận chuyển đất cấp IV cự ly &lt;=100m</t>
  </si>
  <si>
    <t>D1.1193</t>
  </si>
  <si>
    <t>Vận chuyển đất cấp IV cự ly &lt;=300m</t>
  </si>
  <si>
    <t>D1.1194</t>
  </si>
  <si>
    <t>Vận chuyển đất cấp IV cự ly &lt;=500m</t>
  </si>
  <si>
    <t>D1.1195</t>
  </si>
  <si>
    <t>Vận chuyển đất cấp IV cự ly &gt;500m</t>
  </si>
  <si>
    <t>Bốc dỡ  bùn</t>
  </si>
  <si>
    <t>Vận chuyển bùn cự ly &lt;=100m</t>
  </si>
  <si>
    <t>Vận chuyển bùn cự ly &lt;=300m</t>
  </si>
  <si>
    <t>Vận chuyển bùn cự ly &lt;=500m</t>
  </si>
  <si>
    <t>Vận chuyển bùn cự ly &gt;500m</t>
  </si>
  <si>
    <t>D1.1011</t>
  </si>
  <si>
    <t xml:space="preserve">Bốc dỡ  nước </t>
  </si>
  <si>
    <t>D1.1012</t>
  </si>
  <si>
    <t>Vận chuyển nước cự ly &lt;=100m</t>
  </si>
  <si>
    <t>D1.1013</t>
  </si>
  <si>
    <t>Vận chuyển nước cự ly &lt;=300m</t>
  </si>
  <si>
    <t>D1.1014</t>
  </si>
  <si>
    <t>Vận chuyển nước cự ly &lt;=500m</t>
  </si>
  <si>
    <t>D1.1015</t>
  </si>
  <si>
    <t>Vận chuyển nước cự ly &gt;500m</t>
  </si>
  <si>
    <t>D1.1153</t>
  </si>
  <si>
    <t>Vận chuyển ván gỗ cốp pha cự ly &lt;=300m</t>
  </si>
  <si>
    <t>D1.1154</t>
  </si>
  <si>
    <t>Vận chuyển ván gỗ cốp pha cự ly &lt;=500m</t>
  </si>
  <si>
    <t>D1.1155</t>
  </si>
  <si>
    <t>Vận chuyển ván gỗ cốp pha cự ly &gt;500m</t>
  </si>
  <si>
    <t>D1.1021</t>
  </si>
  <si>
    <t xml:space="preserve">Bốc dỡ cốt pha thép </t>
  </si>
  <si>
    <t>D1.1022</t>
  </si>
  <si>
    <t>Vận chuyển cốt pha thép cự ly &lt;=100m</t>
  </si>
  <si>
    <t>D1.1023</t>
  </si>
  <si>
    <t>Vận chuyển cốt pha thép cự ly &lt;=300m</t>
  </si>
  <si>
    <t>D1.1024</t>
  </si>
  <si>
    <t>Vận chuyển cốt pha thép cự ly &lt;=500m</t>
  </si>
  <si>
    <t>D1.1025</t>
  </si>
  <si>
    <t>Vận chuyển cốt pha thép cự ly &gt;500m</t>
  </si>
  <si>
    <t>D1.1033</t>
  </si>
  <si>
    <t>Vận chuyển bulon, tiếp địa, cốt thép, dây néo cự ly &lt;=300m</t>
  </si>
  <si>
    <t>D1.1034</t>
  </si>
  <si>
    <t>Vận chuyển bulon, tiếp địa, cốt thép, dây néo cự ly &lt;=500m</t>
  </si>
  <si>
    <t>D1.1035</t>
  </si>
  <si>
    <t>Vận chuyển bulon, tiếp địa, cốt thép, dây néo cự ly &gt;500m</t>
  </si>
  <si>
    <t>D1.1041</t>
  </si>
  <si>
    <t>Bốc dỡ  cột thép từng thanh</t>
  </si>
  <si>
    <t>D1.1042</t>
  </si>
  <si>
    <t>Vận chuyển cột thép chưa lắp từng thanh cự ly &lt;=100m</t>
  </si>
  <si>
    <t>D1.1043</t>
  </si>
  <si>
    <t>Vận chuyển cột thép chưa lắp từng thanh cự ly &lt;=300m</t>
  </si>
  <si>
    <t>D1.1044</t>
  </si>
  <si>
    <t>Vận chuyển cột thép chưa lắp từng thanh cự ly &lt;=500m</t>
  </si>
  <si>
    <t>D1.1045</t>
  </si>
  <si>
    <t>Vận chuyển cột thép chưa lắp từng thanh cự ly &gt;500m</t>
  </si>
  <si>
    <t>D1.1051</t>
  </si>
  <si>
    <t>Bốc dỡ  cột thép từng đoạn</t>
  </si>
  <si>
    <t>D1.1052</t>
  </si>
  <si>
    <t>Vận chuyển cột thép chưa lắp từng đoạn cự ly &lt;=100m</t>
  </si>
  <si>
    <t>D1.1053</t>
  </si>
  <si>
    <t>Vận chuyển cột thép chưa lắp từng đoạn cự ly &lt;=300m</t>
  </si>
  <si>
    <t>D1.1054</t>
  </si>
  <si>
    <t>Vận chuyển cột thép chưa lắp từng đoạn cự ly &lt;=500m</t>
  </si>
  <si>
    <t>D1.1055</t>
  </si>
  <si>
    <t>Vận chuyển cột thép chưa lắp từng đoạn cự ly &gt;500m</t>
  </si>
  <si>
    <t xml:space="preserve">Bốc dỡ  gạch </t>
  </si>
  <si>
    <t>1000viên</t>
  </si>
  <si>
    <t>Vận chuyển gạch cự ly &lt;=100m</t>
  </si>
  <si>
    <t>Vận chuyển gạch cự ly &lt;=300m</t>
  </si>
  <si>
    <t>Vận chuyển gạch cự ly &lt;=500m</t>
  </si>
  <si>
    <t>Vận chuyển gạch cự ly &gt;500m</t>
  </si>
  <si>
    <t xml:space="preserve">Bốc dỡ cọc tre, cọcgỗ </t>
  </si>
  <si>
    <t>100 cái</t>
  </si>
  <si>
    <t>Vận chuyển cọc tre, cọc gỗ cự ly &lt;=100m</t>
  </si>
  <si>
    <t>Vận chuyển cọc tre, cọc gỗ cự ly &lt;=300m</t>
  </si>
  <si>
    <t>Vận chuyển cọc tre, cọc gỗ cự ly &lt;=500m</t>
  </si>
  <si>
    <t>Vận chuyển cọc tre, cọc gỗ cự ly &gt;500m</t>
  </si>
  <si>
    <t xml:space="preserve">Bốc dỡ tre cây, cừ tràm  </t>
  </si>
  <si>
    <t>100cây</t>
  </si>
  <si>
    <t>Vận chuyển tre cây, cừ tràm D8-10cm L = 5-8m cự ly &lt;=100m</t>
  </si>
  <si>
    <t>Vận chuyển tre cây D8-10cm L = 6-8m cự ly &lt;=300m</t>
  </si>
  <si>
    <t>Vận chuyển tre cây D8-10cm L = 6-8m cự ly &lt;=500m</t>
  </si>
  <si>
    <t>Vận chuyển tre cây D8-10cm L = 6-8m cự ly &gt;500m</t>
  </si>
  <si>
    <t>D1.1063</t>
  </si>
  <si>
    <t>Vận chuyển phụ kiện các loại cự ly &lt;=300m</t>
  </si>
  <si>
    <t>D1.1064</t>
  </si>
  <si>
    <t>Vận chuyển phụ kiện các loại cự ly &lt;=500m</t>
  </si>
  <si>
    <t>D1.1065</t>
  </si>
  <si>
    <t>Vận chuyển phụ kiện các loại cự ly &gt;500m</t>
  </si>
  <si>
    <t>D1.1073</t>
  </si>
  <si>
    <t>Vận chuyển cách điện các loại cự ly &lt;=300m</t>
  </si>
  <si>
    <t>D1.1074</t>
  </si>
  <si>
    <t>Vận chuyển cách điện các loại cự ly &lt;=500m</t>
  </si>
  <si>
    <t>D1.1075</t>
  </si>
  <si>
    <t>Vận chuyển cách điện các loại cự ly &gt;500m</t>
  </si>
  <si>
    <t>D1.1083</t>
  </si>
  <si>
    <t>Vận chuyển dây dẫn điện, dây cáp các loại cự ly &lt;=300m</t>
  </si>
  <si>
    <t>D1.1084</t>
  </si>
  <si>
    <t>Vận chuyển dây dẫn điện, dây cáp các loại cự ly &lt;=500m</t>
  </si>
  <si>
    <t>D1.1085</t>
  </si>
  <si>
    <t>Vận chuyển dây dẫn điện, dây cáp các loại cự ly &gt;500m</t>
  </si>
  <si>
    <t>D1.1091</t>
  </si>
  <si>
    <t>Bốc dỡ cấu kiện bê tông đúc sẵn</t>
  </si>
  <si>
    <t>D1.1092</t>
  </si>
  <si>
    <t>Vận chuyển cấu kiện bê tông đúc sẵn cự ly &lt;=100m</t>
  </si>
  <si>
    <t>D1.1093</t>
  </si>
  <si>
    <t>Vận chuyển cấu kiện bê tông đúc sẵn cự ly &lt;=300m</t>
  </si>
  <si>
    <t>D1.1094</t>
  </si>
  <si>
    <t>Vận chuyển cấu kiện bê tông đúc sẵn cự ly &lt;=500m</t>
  </si>
  <si>
    <t>D1.1095</t>
  </si>
  <si>
    <t>Vận chuyển cấu kiện bê tông đúc sẵn cự ly &gt;500m</t>
  </si>
  <si>
    <t>D1.1103</t>
  </si>
  <si>
    <t>Vận chuyển cột bê tông cự ly &lt;=300m</t>
  </si>
  <si>
    <t>D1.1104</t>
  </si>
  <si>
    <t>Vận chuyển cột bê tông cự ly &lt;=500m</t>
  </si>
  <si>
    <t>D1.1105</t>
  </si>
  <si>
    <t>Vận chuyển cột bê tông cự ly &gt;500m</t>
  </si>
  <si>
    <t>D1.1111</t>
  </si>
  <si>
    <t>Bốc dỡ butum</t>
  </si>
  <si>
    <t>D1.1112</t>
  </si>
  <si>
    <t>Vận chuyển Bitum cự ly &lt;=100m</t>
  </si>
  <si>
    <t>D1.1113</t>
  </si>
  <si>
    <t>Vận chuyển Bitum cự ly &lt;=300m</t>
  </si>
  <si>
    <t>D1.1114</t>
  </si>
  <si>
    <t>Vận chuyển Bitum cự ly &lt;=500m</t>
  </si>
  <si>
    <t>D1.1115</t>
  </si>
  <si>
    <t>Vận chuyển Bitum cự ly &gt;500m</t>
  </si>
  <si>
    <t>D1.2000</t>
  </si>
  <si>
    <t xml:space="preserve">VẬN CHUYỂN THỦ CÔNG KẾT HỢP CƠ GIỚI </t>
  </si>
  <si>
    <t>D1.2001</t>
  </si>
  <si>
    <t>Vận chuyển cát, nước , cự ly &lt;=1km</t>
  </si>
  <si>
    <t>m3/km</t>
  </si>
  <si>
    <t>D1.2002</t>
  </si>
  <si>
    <t>Vận chuyển cát, nước , cự ly &gt;1km</t>
  </si>
  <si>
    <t>D1.2011</t>
  </si>
  <si>
    <t>Vận chuyển đá sỏi các loại , cự ly &lt;=1km</t>
  </si>
  <si>
    <t>D1.2012</t>
  </si>
  <si>
    <t>Vận chuyển đá sỏi các loại , cự ly &gt;1km</t>
  </si>
  <si>
    <t>D1.2021</t>
  </si>
  <si>
    <t>Vận chuyển xi măng , cự ly &lt;=1km</t>
  </si>
  <si>
    <t>tấn/km</t>
  </si>
  <si>
    <t>D1.2022</t>
  </si>
  <si>
    <t>Vận chuyển xi măng , cự ly &gt;1km</t>
  </si>
  <si>
    <t>D1.2031</t>
  </si>
  <si>
    <t>Vận chuyển cốt thép, thép thanh, phụ kiện dây, tre gỗ, cự ly &lt;=1km</t>
  </si>
  <si>
    <t>D1.2032</t>
  </si>
  <si>
    <t>Vận chuyển cốt thép, thép thanh, phụ kiện,dây, tre gỗ, cự ly &gt;1km</t>
  </si>
  <si>
    <t>D1.2041</t>
  </si>
  <si>
    <t>Vận chuyển cấu kiện vê tông, trụ bê tông , cự ly &lt;=1km</t>
  </si>
  <si>
    <t>D1.2042</t>
  </si>
  <si>
    <t>Vận chuyển cấu kiện vê tông, trụ bê tông , cự ly &gt;1km</t>
  </si>
  <si>
    <t>D1.2051</t>
  </si>
  <si>
    <t>Vận chuyển sứ các loại, cự ly &lt;=1km</t>
  </si>
  <si>
    <t>D1.2052</t>
  </si>
  <si>
    <t>Vận chuyển sứ các loại, cự ly &gt;1km</t>
  </si>
  <si>
    <t>D1.3000</t>
  </si>
  <si>
    <t>BỐC DỠ VẬT LIỆU PHỤ KIỆN ( KHI vc BẰNG CƠ GIỚI)</t>
  </si>
  <si>
    <t>D1.300(1+2)</t>
  </si>
  <si>
    <t xml:space="preserve">Bốc dỡ cát các loại </t>
  </si>
  <si>
    <t>D1.301(1+2)</t>
  </si>
  <si>
    <t>D1.302(1+2)</t>
  </si>
  <si>
    <t>D1.303(1+2)</t>
  </si>
  <si>
    <t xml:space="preserve">Bốc dỡ sỏi </t>
  </si>
  <si>
    <t>D1.304(1+2)</t>
  </si>
  <si>
    <t xml:space="preserve">Bốc dỡ đất đắp </t>
  </si>
  <si>
    <t>D1.305(1+2)</t>
  </si>
  <si>
    <t xml:space="preserve">Bốc dỡ gạch chỉ </t>
  </si>
  <si>
    <t>D1.306(1+2)</t>
  </si>
  <si>
    <t xml:space="preserve">Bốc dỡ xi măng bao </t>
  </si>
  <si>
    <t>D1.307(1+2)</t>
  </si>
  <si>
    <t xml:space="preserve">Bốc dỡ thép thanh </t>
  </si>
  <si>
    <t>D1.308(1+2)</t>
  </si>
  <si>
    <t>Bốc dỡ tre cây(D8-10cm, L=6-8m)</t>
  </si>
  <si>
    <t>D1.309(1+2)</t>
  </si>
  <si>
    <t xml:space="preserve">Bốc dỡ cấu kiện thép các loại </t>
  </si>
  <si>
    <t>D1.310(1+2)</t>
  </si>
  <si>
    <t>D1.311(1+2)</t>
  </si>
  <si>
    <t xml:space="preserve">Bốc dỡ dây dẫn các loại </t>
  </si>
  <si>
    <t>D1.312(1+2)</t>
  </si>
  <si>
    <t xml:space="preserve">Bốc dỡ sứ các loại </t>
  </si>
  <si>
    <t>D1.313(1+2)</t>
  </si>
  <si>
    <t xml:space="preserve">Bốc dỡ gỗ các loại </t>
  </si>
  <si>
    <t>D1.314(1+2)</t>
  </si>
  <si>
    <t xml:space="preserve">Bốc dỡ cọc tre, cọc gỗ </t>
  </si>
  <si>
    <t>100cái</t>
  </si>
  <si>
    <t>D1.315(1+2)</t>
  </si>
  <si>
    <t>03.1000</t>
  </si>
  <si>
    <t xml:space="preserve">ĐÀO ĐẤT MÓNG CỘT BẰNG THỦ CÔNG </t>
  </si>
  <si>
    <t>AB.11321</t>
  </si>
  <si>
    <t>Đào móng cột, móng néo S đáy móng &lt;= 5m2, sâu &lt;=2m, đất cấp I</t>
  </si>
  <si>
    <t>AB.11322</t>
  </si>
  <si>
    <t>Đào móng cột, móng néo S đáy móng &lt;= 5m2, sâu &lt;=2m, đất cấp II</t>
  </si>
  <si>
    <t>AB.11323</t>
  </si>
  <si>
    <t>Đào móng cột, móng néo S đáy móng &lt;= 5m2, sâu &lt;=2m, đất cấp III</t>
  </si>
  <si>
    <t>AB.11324</t>
  </si>
  <si>
    <t>Đào móng cột, móng néo S đáy móng &lt;= 5m2, sâu &lt;=2m, đất cấp IV</t>
  </si>
  <si>
    <t>AB.11331</t>
  </si>
  <si>
    <t>Đào móng cột, móng néo S đáy móng &lt;= 5m2, sâu  &lt;=3m, đất cấp I</t>
  </si>
  <si>
    <t>AB.11332</t>
  </si>
  <si>
    <t>Đào móng cột, móng néo S đáy móng &lt;= 5m2, sâu  &lt;=3m, đất cấp II</t>
  </si>
  <si>
    <t>AB.11333</t>
  </si>
  <si>
    <t>Đào móng cột, móng néo S đáy móng &lt;= 5m2, sâu  &lt;=3m, đất cấp III</t>
  </si>
  <si>
    <t>AB.11334</t>
  </si>
  <si>
    <t>Đào móng cột, móng néo S đáy móng &lt;= 5m2, sâu  &lt;=3m, đất cấp IV</t>
  </si>
  <si>
    <t>03.1021</t>
  </si>
  <si>
    <t>Đào đất móng S đáy móng &lt;= 15m2, sâu &lt;=2m, đất cấp I</t>
  </si>
  <si>
    <t>03.1023</t>
  </si>
  <si>
    <t>Đào móng cột, móng néo S đáy móng &lt;= 15m2, sâu &lt;=2m, đất cấp III</t>
  </si>
  <si>
    <t>03.1024</t>
  </si>
  <si>
    <t>Đào móng cột, móng néo S đáy móng &lt;= 15m2, sâu &lt;=2m, đất cấp IV</t>
  </si>
  <si>
    <t>03.1031</t>
  </si>
  <si>
    <t>Đào móng cột, móng néo S đáy móng &lt;= 15m2, sâu &lt;=3m, đất cấp I</t>
  </si>
  <si>
    <t>03.1032</t>
  </si>
  <si>
    <t>Đào móng cột, móng néo S đáy móng &lt;= 15m2, sâu &lt;=3m, đất cấp II</t>
  </si>
  <si>
    <t>03.1033</t>
  </si>
  <si>
    <t>Đào móng cột, móng néo S đáy móng &lt;= 15m2, sâu &lt;=3m, đất cấp III</t>
  </si>
  <si>
    <t>03.1034</t>
  </si>
  <si>
    <t>Đào móng cột, móng néo S đáy móng &lt;= 15m2, sâu &lt;=3m, đất cấp IV</t>
  </si>
  <si>
    <t>03.1511</t>
  </si>
  <si>
    <t>Vận chuyển tiếp 10m, đất cấp I</t>
  </si>
  <si>
    <t>03.1512</t>
  </si>
  <si>
    <t>Vận chuyển tiếp 10m, đất cấp II</t>
  </si>
  <si>
    <t>03.1513</t>
  </si>
  <si>
    <t>Vận chuyển tiếp 10m, đất cấp III</t>
  </si>
  <si>
    <t>03.1514</t>
  </si>
  <si>
    <t>Vận chuyển tiếp 10m, đất cấp IV</t>
  </si>
  <si>
    <t>03.2000</t>
  </si>
  <si>
    <t xml:space="preserve">ĐÀO ĐẤT MÓNG CỘT BẰNG MÁY </t>
  </si>
  <si>
    <t>03.2101</t>
  </si>
  <si>
    <t>Đào móng cột, móng néo chiều rộng  &lt; 6m, sâu (TC+CG), đất cấp I</t>
  </si>
  <si>
    <t>03.2102</t>
  </si>
  <si>
    <t>Đào móng cột, móng néo chiều rộng  &lt; 6m, sâu (TC+CG), đất cấp II</t>
  </si>
  <si>
    <t>03.2103</t>
  </si>
  <si>
    <t>Đào móng cột, móng néo chiều rộng  &lt; 6m, sâu (TC+CG), đất cấp III</t>
  </si>
  <si>
    <t>03.2104</t>
  </si>
  <si>
    <t>Đào móng cột, móng néo chiều rộng  &lt; 6m, sâu (TC+CG), đất cấp IV</t>
  </si>
  <si>
    <t>03.1011</t>
  </si>
  <si>
    <t>Đào móng cột, móng néo S đáy móng &lt;= 5m2, sâu &gt;1m, đất cấp I</t>
  </si>
  <si>
    <t>03.1012</t>
  </si>
  <si>
    <t>Đào móng cột, móng néo S đáy móng &lt;= 5m2, sâu &gt;1m, đất cấp II</t>
  </si>
  <si>
    <t>03.1013</t>
  </si>
  <si>
    <t>Đào móng cột, móng néo S đáy móng &lt;= 5m2, sâu &gt;1m, đất cấp III</t>
  </si>
  <si>
    <t>03.1014</t>
  </si>
  <si>
    <t>Đào móng cột, móng néo S đáy móng &lt;= 5m2, sâu &gt;1m, đất cấp IV</t>
  </si>
  <si>
    <t>03.1022</t>
  </si>
  <si>
    <t>Đào đất móng S đáy móng &lt;= 15m2, sâu &lt;=2m, đất cấp II</t>
  </si>
  <si>
    <t>03.3110</t>
  </si>
  <si>
    <t xml:space="preserve">ĐÀO ĐẤT ĐỂ ĐẮP MÓNG CỘT BẰNG THỦ CÔNG </t>
  </si>
  <si>
    <t>03.3111</t>
  </si>
  <si>
    <t>Đào đất để đắp móng cột, đất cấp I</t>
  </si>
  <si>
    <t>03.3112</t>
  </si>
  <si>
    <t>Đào đất để đắp móng cột, đất cấp II</t>
  </si>
  <si>
    <t>03.3113</t>
  </si>
  <si>
    <t>Đào đất để đắp móng cột, đất cấp III</t>
  </si>
  <si>
    <t>03.3114</t>
  </si>
  <si>
    <t>Đào đất để đắp móng cột, đất cấp IV</t>
  </si>
  <si>
    <t xml:space="preserve">ĐÀO ĐẤT RÃNH TIẾP ĐỊA BẰNG THỦ CÔNG </t>
  </si>
  <si>
    <t>AB.11621a</t>
  </si>
  <si>
    <t>Đào đất rãnh tiếp địa, sâu &lt;= 1m, đất cấp I</t>
  </si>
  <si>
    <t>3,5/7</t>
  </si>
  <si>
    <t>AB.11622a</t>
  </si>
  <si>
    <t>Đào đất rãnh tiếp địa, sâu &lt;= 1m, đất cấp II</t>
  </si>
  <si>
    <t>AB.11623a</t>
  </si>
  <si>
    <t>Đào đất rãnh tiếp địa, sâu &lt;= 1m, đất cấp III</t>
  </si>
  <si>
    <t>AB.11624a</t>
  </si>
  <si>
    <t>Đào đất rãnh tiếp địa, sâu &lt;= 1m, đất cấp IV</t>
  </si>
  <si>
    <t>AB.11611a</t>
  </si>
  <si>
    <t>Đào đất rãnh tiếp địa, sâu &gt; 1m, đất cấp I</t>
  </si>
  <si>
    <t>AB.11612a</t>
  </si>
  <si>
    <t>Đào đất rãnh tiếp địa, sâu &gt; 1m, đất cấp II</t>
  </si>
  <si>
    <t>AB.11613a</t>
  </si>
  <si>
    <t>Đào đất rãnh tiếp địa, sâu &gt; 1m, đất cấp III</t>
  </si>
  <si>
    <t>AB.11614a</t>
  </si>
  <si>
    <t>Đào đất rãnh tiếp địa, sâu &gt; 1m, đất cấp IV</t>
  </si>
  <si>
    <t xml:space="preserve">ĐÀO ĐẤT HÀO CÁP NGẦM BẰNG THỦ CÔNG </t>
  </si>
  <si>
    <t>AB.11611</t>
  </si>
  <si>
    <t>Đào đất hào cáp ngầm, có mở mái taluy, đất cấp I</t>
  </si>
  <si>
    <t>AB.11612</t>
  </si>
  <si>
    <t>Đào đất hào cáp ngầm, có mở mái taluy, đất cấp II</t>
  </si>
  <si>
    <t>AB.11613</t>
  </si>
  <si>
    <t>Đào đất hào cáp ngầm, có mở mái taluy, đất cấp III</t>
  </si>
  <si>
    <t>AB.11614</t>
  </si>
  <si>
    <t>Đào đất hào cáp ngầm, có mở mái taluy, đất cấp IV</t>
  </si>
  <si>
    <t>AB.11621</t>
  </si>
  <si>
    <t>Đào đất hào cáp ngầm, không mở mái taluy, đất cấp I</t>
  </si>
  <si>
    <t>AB.11622</t>
  </si>
  <si>
    <t>Đào đất hào cáp ngầm, không mở mái taluy, đất cấp II</t>
  </si>
  <si>
    <t>AB.31112</t>
  </si>
  <si>
    <t>Đào nền đường bằng máy đào 0,4m3 đổ lên phương tiện vận chuyển, đất cấp II</t>
  </si>
  <si>
    <t>AB.11624</t>
  </si>
  <si>
    <t>Đào đất hào cáp ngầm, không mở mái taluy, đất cấp IV</t>
  </si>
  <si>
    <t>03.3150</t>
  </si>
  <si>
    <t xml:space="preserve">ĐÀO BÙN BẰNG THỦ CÔNG </t>
  </si>
  <si>
    <t>03.3151</t>
  </si>
  <si>
    <t xml:space="preserve">Đào bùn đặc </t>
  </si>
  <si>
    <t>03.3152</t>
  </si>
  <si>
    <t xml:space="preserve">Đào bùn lẫn rác </t>
  </si>
  <si>
    <t>03.3153</t>
  </si>
  <si>
    <t>Đào bùn lẫn sỏi đá</t>
  </si>
  <si>
    <t>03.3154</t>
  </si>
  <si>
    <t xml:space="preserve">Đào bùn lỏng  </t>
  </si>
  <si>
    <t>03.4110</t>
  </si>
  <si>
    <t xml:space="preserve">ĐẮP ĐẤT HỐ MÓNG BẰNG THỦ CÔNG </t>
  </si>
  <si>
    <t>AB.13112</t>
  </si>
  <si>
    <t>Đắp đất hố móng độ chặt yêu cầu K=0,9</t>
  </si>
  <si>
    <t>AB.13113</t>
  </si>
  <si>
    <t>Đắp đất hố móng độ chặt yêu cầu K=0,95</t>
  </si>
  <si>
    <t>03.4120</t>
  </si>
  <si>
    <t xml:space="preserve">ĐẮP ĐẤT RÃNH TIẾP ĐỊA, HÀO CÁP NGẦM BẰNG THỦ CÔNG </t>
  </si>
  <si>
    <t>AB.13111a</t>
  </si>
  <si>
    <t>Đắp đất rãnh tiếp địa, độ chặt K=0,85</t>
  </si>
  <si>
    <t>AB.13112a</t>
  </si>
  <si>
    <t>Đắp đất rãnh tiếp địa, độ chặt K=0,90</t>
  </si>
  <si>
    <t>AB.13113a</t>
  </si>
  <si>
    <t>Đắp đất rãnh tiếp địa, độ chặt K=0,95</t>
  </si>
  <si>
    <t>AB.13111b</t>
  </si>
  <si>
    <t>Đắp đất hào cáp ngầm, độ chặt K=0,85</t>
  </si>
  <si>
    <t>AB.13113b</t>
  </si>
  <si>
    <t>Đắp đất hào cáp ngầm, độ chặt K=0,95</t>
  </si>
  <si>
    <t>03.4130</t>
  </si>
  <si>
    <t xml:space="preserve">ĐẮP CÁT CÔNG TRÌNH  BẰNG THỦ CÔNG </t>
  </si>
  <si>
    <t>03.4131</t>
  </si>
  <si>
    <t>Đắp cát công trình trong mọi điều kiện</t>
  </si>
  <si>
    <t>03.4210</t>
  </si>
  <si>
    <t>ĐẮP ĐẤT MÓNG CÔNG TRÌNH BẰNG ĐẦM CÓC</t>
  </si>
  <si>
    <t>03.4211</t>
  </si>
  <si>
    <t>Đắp đất hố móng độ chặt yêu cầu K=0,85 bằng đầm cóc</t>
  </si>
  <si>
    <t>03.4212</t>
  </si>
  <si>
    <t>Đắp đất hố móng độ chặt yêu cầu K=0,9 bằng đầm cóc</t>
  </si>
  <si>
    <t>03.4213</t>
  </si>
  <si>
    <t>Đắp đất hố móng độ chặt yêu cầu K=0,95 bằng đầm cóc</t>
  </si>
  <si>
    <t>03.5110</t>
  </si>
  <si>
    <t xml:space="preserve">ĐÀO PHÁ ĐÁ MẶT BẰNG -BẰNG THỦ CÔNG </t>
  </si>
  <si>
    <t>03.5111</t>
  </si>
  <si>
    <t>Đào phá đá bằng thủ công dày&lt;=0,5m, đá cấp I</t>
  </si>
  <si>
    <t>03.5112</t>
  </si>
  <si>
    <t>Đào phá đá bằng thủ công dày&lt;=0,5m, đá cấp II</t>
  </si>
  <si>
    <t>03.5113</t>
  </si>
  <si>
    <t>Đào phá đá bằng thủ công dày&lt;=0,5m, đá cấp III</t>
  </si>
  <si>
    <t>03.5114</t>
  </si>
  <si>
    <t>Đào phá đá bằng thủ công dày&lt;=0,5m, đá cấp IV</t>
  </si>
  <si>
    <t>03.5120</t>
  </si>
  <si>
    <t xml:space="preserve">ĐÀO PHÁ ĐÁ HỐ MÓNG  -BẰNG THỦ CÔNG </t>
  </si>
  <si>
    <t>03.5121</t>
  </si>
  <si>
    <t>Đào phá đá hố móng S&lt;=50m2; 0,5m&lt;sâu&lt;3m; đá cấp I</t>
  </si>
  <si>
    <t>03.5122</t>
  </si>
  <si>
    <t>Đào phá đá hố móng S&lt;=50m2; 0,5m&lt;sâu&lt;3m; đá cấp II</t>
  </si>
  <si>
    <t>03.5123</t>
  </si>
  <si>
    <t>Đào phá đá hố móng S&lt;=50m2; 0,5m&lt;sâu&lt;3m; đá cấp III</t>
  </si>
  <si>
    <t>03.5124</t>
  </si>
  <si>
    <t>Đào phá đá hố móng S&lt;=50m2; 0,5m&lt;sâu&lt;3m; đá cấp IV</t>
  </si>
  <si>
    <t>03.5420</t>
  </si>
  <si>
    <t xml:space="preserve">PHÁ ĐÁ HỐ MÓNG BẰNG MÁY KHOAN </t>
  </si>
  <si>
    <t>03.5421</t>
  </si>
  <si>
    <t>Phá đá hố móng bằng máy khoan D42mm, đá cấp I</t>
  </si>
  <si>
    <t>03.5422</t>
  </si>
  <si>
    <t>03.5423</t>
  </si>
  <si>
    <t>03.5424</t>
  </si>
  <si>
    <t>04.1100</t>
  </si>
  <si>
    <t xml:space="preserve">ĐỔ BÊ TÔNG LÓT MÓNG THỦ CÔNG </t>
  </si>
  <si>
    <t>04.1101</t>
  </si>
  <si>
    <t>Đổ bêtông lót móng trụ M50(100), đá 4x6 thủ công</t>
  </si>
  <si>
    <t>04.1102</t>
  </si>
  <si>
    <t>Đổ bêtông lót móng bản M50(100), đá 4x6 thủ công</t>
  </si>
  <si>
    <t>04.1200</t>
  </si>
  <si>
    <t xml:space="preserve">ĐỔ BÊ TÔNG MÓNG TRỤ THỦ CÔNG </t>
  </si>
  <si>
    <t>BÊ TÔNG ĐÁ 2x4 THỦ CÔNG  RỘNG &lt;=250cm</t>
  </si>
  <si>
    <t>04.1201</t>
  </si>
  <si>
    <t>BÊ TÔNG ĐÁ 2x4 THỦ CÔNG, CẦU CÔNG TÁC RỘNG &gt;250cm</t>
  </si>
  <si>
    <t>04.1202</t>
  </si>
  <si>
    <t>Đổ bêtông móng trụ thủ công, có cầu công tác, chiều rộng &gt;250cm</t>
  </si>
  <si>
    <t>BÊ TÔNG ĐÁ 2x4 THỦ CÔNG MÓNG BẢN, CẦU CÔNG TÁC</t>
  </si>
  <si>
    <t>04.1203</t>
  </si>
  <si>
    <t>Đổ bêtông móng bản, thủ công, có cầu công tác</t>
  </si>
  <si>
    <t>04.1210</t>
  </si>
  <si>
    <t xml:space="preserve">ĐỔ BÊ TÔNG MÓNG TRỤ THỦ CÔNG +ĐẦM DÙI </t>
  </si>
  <si>
    <t>BÊ TÔNG ĐÁ 2x4 THỦ CÔNG+ĐẦM DÙI,  RỘNG &lt;=250cm</t>
  </si>
  <si>
    <t>04.1211</t>
  </si>
  <si>
    <t>Đổ bêtông móng trụ, thủ công+đầm dùi, không cầu công tác</t>
  </si>
  <si>
    <t>BÊ TÔNG ĐÁ 2x4 THỦ CÔNG+ĐẦM DÙI, CẦU CÔNG TÁC RỘNG &gt;250cm</t>
  </si>
  <si>
    <t>04.1212</t>
  </si>
  <si>
    <t>Đổ bêtông móng trụ, thủ công+đầm dùi, có cầu công tác, chiều rộng &gt;250cm</t>
  </si>
  <si>
    <t>BÊ TÔNG ĐÁ 2x4 THỦ CÔNG+ĐẦM DÙI, MÓNG BẢN,CẦU CÔNG TÁC RỘNG</t>
  </si>
  <si>
    <t>04.1213</t>
  </si>
  <si>
    <t>Đổ bêtông móng bản, thủ công+đầm dùi, có cầu công tác</t>
  </si>
  <si>
    <t>04.1300</t>
  </si>
  <si>
    <t>ĐỔ BÊ TÔNG CÁC CẤU KIỆN BÊ TÔNG ĐÚC SẴN THỦ CÔNG</t>
  </si>
  <si>
    <t>04.1301</t>
  </si>
  <si>
    <t>Đổ BT móng néo, móng cột đổ tại chổ bằng thủ công M200, đá 1x2</t>
  </si>
  <si>
    <t>04.2000</t>
  </si>
  <si>
    <t xml:space="preserve">ĐỔ BÊ TÔNG LÓT MÓNG THỦ CÔNG + MÁY THI CÔNG </t>
  </si>
  <si>
    <t>04.2101</t>
  </si>
  <si>
    <t>Đổ bêtông móng trụ bằng máy kết hợp thủ công</t>
  </si>
  <si>
    <t>04.2102</t>
  </si>
  <si>
    <t>Đổ bêtông móng bản bằng máy kết hợp thủ công</t>
  </si>
  <si>
    <t xml:space="preserve">ĐỔ BÊ TÔNG MÓNG THỦ CÔNG + MÁY THI CÔNG </t>
  </si>
  <si>
    <t>AF.11213</t>
  </si>
  <si>
    <t>Bê tông móng rộng &lt;=250cm đá 1x2, vữa BT mác 200</t>
  </si>
  <si>
    <t>AF.11220</t>
  </si>
  <si>
    <t>Đổ bêtông móng trụ bằng máy kết hợp thủ công, không có cầu công tác, chiều rộng &gt;250cm</t>
  </si>
  <si>
    <t>AF.11110</t>
  </si>
  <si>
    <t>Đổ bêtông lót móng, chiều rộng &lt;=250cm  thủ công</t>
  </si>
  <si>
    <t>AF.61110</t>
  </si>
  <si>
    <t>SX lắp dựng cốt thép móng cột , đk &lt; =10mm</t>
  </si>
  <si>
    <t>AF.81121</t>
  </si>
  <si>
    <t>Sản xuất, lắp dựng tháo dỡ ván khuôn móng cột tròn, đa giác</t>
  </si>
  <si>
    <t>100m2</t>
  </si>
  <si>
    <t>AE.34110</t>
  </si>
  <si>
    <t>Xây móng gạch thẻ 4.5x9x19 vữa M75 dày&lt;=30cm</t>
  </si>
  <si>
    <t>04.2203</t>
  </si>
  <si>
    <t>Đổ bêtông móng bản bằng máy kết hợp thủ công, có cầu công tác</t>
  </si>
  <si>
    <t>04.2300</t>
  </si>
  <si>
    <t>ĐỔ BÊ TÔNG CÁC CẤU KIỆN BÊ TÔNG ĐÚC SẴN MTT+TC</t>
  </si>
  <si>
    <t>04.2301</t>
  </si>
  <si>
    <t>Đổ BT móng néo, móng cột thủ công+cơ giới</t>
  </si>
  <si>
    <t>04.4000</t>
  </si>
  <si>
    <t>LẮP ĐẶT CẤU KIỆN BÊ TÔNG ĐÚC SẴN</t>
  </si>
  <si>
    <t>AG.42111</t>
  </si>
  <si>
    <t>Lắp đặt móng cột, móng néo, thanh ngang, TL &lt; = 50 kg</t>
  </si>
  <si>
    <t>cấu kiện</t>
  </si>
  <si>
    <t>4,0/7</t>
  </si>
  <si>
    <t>AG.42121</t>
  </si>
  <si>
    <t>Lắp đặt móng cột, móng néo, thanh ngang, TL &lt; = 100kg</t>
  </si>
  <si>
    <t>AG.42131</t>
  </si>
  <si>
    <t>Lắp đặt móng cột, móng néo, thanh ngang, TL &lt; = 250kg</t>
  </si>
  <si>
    <t>AG.42141</t>
  </si>
  <si>
    <t>Lắp đặt móng cột, móng néo, thanh ngang, TL &gt; 250kg</t>
  </si>
  <si>
    <t>04.5000</t>
  </si>
  <si>
    <t xml:space="preserve">SẢN XUẤT LẮP DỰNG CỐT THÉP </t>
  </si>
  <si>
    <t xml:space="preserve">CỐT THÉP MÓNG CỘT </t>
  </si>
  <si>
    <t>04.5101</t>
  </si>
  <si>
    <t xml:space="preserve"> Tấn </t>
  </si>
  <si>
    <t>04.5102</t>
  </si>
  <si>
    <t>SX lắp dựng cốt thép móng cột , đk &lt; =18mm</t>
  </si>
  <si>
    <t>04.5103</t>
  </si>
  <si>
    <t>SX lắp dựng cốt thép móng cột , đk &gt; 18mm</t>
  </si>
  <si>
    <t>CỐT THÉP CẤU KIỆN ĐÚC SẴN</t>
  </si>
  <si>
    <t>04.5201</t>
  </si>
  <si>
    <t>SX lắp dựng cốt thép cấu kiện đúc sẵn, đk &lt; =10mm</t>
  </si>
  <si>
    <t>04.5202</t>
  </si>
  <si>
    <t>SX lắp dựng cốt thép cấu kiện đúc sẵn, đk &lt; =18mm</t>
  </si>
  <si>
    <t>04.5203</t>
  </si>
  <si>
    <t>SX lắp dựng cốt thép cấu kiện đúc sẵn, đk &gt; 18mm</t>
  </si>
  <si>
    <t>04.6000</t>
  </si>
  <si>
    <t xml:space="preserve">CÔNG TÁC VÁN KHUÔN </t>
  </si>
  <si>
    <t xml:space="preserve">CÔNG TÁC VÁN KHUÔN  GỖ </t>
  </si>
  <si>
    <t>AF.51121</t>
  </si>
  <si>
    <t>Công tác ván khuôn gỗ móng cột (tại chỗ)</t>
  </si>
  <si>
    <t>04.6103</t>
  </si>
  <si>
    <t>Công tác ván khuôn gỗ móng thanh ngáng, néo đúc sẳn</t>
  </si>
  <si>
    <t>04.6104</t>
  </si>
  <si>
    <t>Công tác ván khuôn gỗ móng cột đúc sẳn</t>
  </si>
  <si>
    <t>04.6105</t>
  </si>
  <si>
    <t xml:space="preserve">Công tác ván khuôn gỗ các cấu kiện khác </t>
  </si>
  <si>
    <t>CÔNG TÁC VÁN KHUÔN  KIM LOẠI</t>
  </si>
  <si>
    <t>04.6201</t>
  </si>
  <si>
    <t xml:space="preserve">Thi công ván khuôn kim loại bê tông tại chỗ </t>
  </si>
  <si>
    <t>04.6202</t>
  </si>
  <si>
    <t>Thi công ván khuôn kim loại bê tông đúc sẵn</t>
  </si>
  <si>
    <t>04.7000</t>
  </si>
  <si>
    <t>XÂY KÈ ĐÁ, XẾP ĐÁ VÀ TƯỜNG CHẮN</t>
  </si>
  <si>
    <t>04.8000</t>
  </si>
  <si>
    <t xml:space="preserve">ĐÓNG CỌC THỦ CÔNG </t>
  </si>
  <si>
    <t xml:space="preserve">ĐÓNG CỌC  TRE BẰNG THỦ CÔNG </t>
  </si>
  <si>
    <t>04.8111</t>
  </si>
  <si>
    <t xml:space="preserve">Đóng cọc tre L&lt;=2,5m trong bùn bằng thủ công </t>
  </si>
  <si>
    <t>04.8112</t>
  </si>
  <si>
    <t xml:space="preserve">Đóng cọc tre L&lt;=2,5m trong đất cấp I bằng thủ công </t>
  </si>
  <si>
    <t>04.8113</t>
  </si>
  <si>
    <t xml:space="preserve">Đóng cọc tre L&lt;=2,5m trong đất cấp II bằng thủ công </t>
  </si>
  <si>
    <t>04.8121</t>
  </si>
  <si>
    <t xml:space="preserve">Đóng cọc tre L&gt;2,5m trong bùn bằng thủ công </t>
  </si>
  <si>
    <t>04.8122</t>
  </si>
  <si>
    <t xml:space="preserve">Đóng cọc tre L&gt;2,5m trong đất cấp I bằng thủ công </t>
  </si>
  <si>
    <t>04.8123</t>
  </si>
  <si>
    <t xml:space="preserve">Đóng cọc tre L&gt;2,5m trong đất cấp II bằng thủ công </t>
  </si>
  <si>
    <t xml:space="preserve">ĐÓNG CỪ TRÀM BẰNG THỦ CÔNG </t>
  </si>
  <si>
    <t>04.8131</t>
  </si>
  <si>
    <t xml:space="preserve">Đóng cừ tràm L&lt;=2,5m trong bùn bằng thủ công </t>
  </si>
  <si>
    <t>04.8132</t>
  </si>
  <si>
    <t xml:space="preserve">Đóng cừ tràm  L&lt;=2,5m trong đất cấp I bằng thủ công </t>
  </si>
  <si>
    <t>04.8133</t>
  </si>
  <si>
    <t xml:space="preserve">Đóng cừ tràm  L&lt;=2,5m trong đất cấp II bằng thủ công </t>
  </si>
  <si>
    <t>04.8141</t>
  </si>
  <si>
    <t xml:space="preserve">Đóng cừ tràm  L&gt;2,5m trong bùn bằng thủ công </t>
  </si>
  <si>
    <t>04.8142</t>
  </si>
  <si>
    <t xml:space="preserve">Đóng cừ tràm  L&gt;2,5m trong đất cấp I bằng thủ công </t>
  </si>
  <si>
    <t>04.8143</t>
  </si>
  <si>
    <t xml:space="preserve">Đóng cừ tràm  L&gt;2,5m trong đất cấp II bằng thủ công </t>
  </si>
  <si>
    <t>04.8200</t>
  </si>
  <si>
    <t xml:space="preserve">ĐÓNG CỌC BẰNG MÁY </t>
  </si>
  <si>
    <t>04.8600</t>
  </si>
  <si>
    <t xml:space="preserve">QUÉT NHỰA BITUM MÓNG CỘT </t>
  </si>
  <si>
    <t>04.8601</t>
  </si>
  <si>
    <t xml:space="preserve">Quét nhựa bitum nóng 1 nước </t>
  </si>
  <si>
    <t>10m2</t>
  </si>
  <si>
    <t>04.8602</t>
  </si>
  <si>
    <t xml:space="preserve">Quét nhựa bitum nóng 2 nước </t>
  </si>
  <si>
    <t>04.8603</t>
  </si>
  <si>
    <t xml:space="preserve">Quét nhựa bitum nguội 1 nước </t>
  </si>
  <si>
    <t>04.8604</t>
  </si>
  <si>
    <t xml:space="preserve">Quét nhựa bitum nguội 2 nước </t>
  </si>
  <si>
    <t xml:space="preserve">Quét nhựa bitum nóng 1 nước vùng lầy </t>
  </si>
  <si>
    <t>Quét nhựa bitum nóng 2 nước  vùng lầy</t>
  </si>
  <si>
    <t>Quét nhựa bitum nguội 1 nước  vùng lầy</t>
  </si>
  <si>
    <t>Quét nhựa bitum nguội 2 nước  vùng lầy</t>
  </si>
  <si>
    <t>D2.0000</t>
  </si>
  <si>
    <t xml:space="preserve">LẮP DỰNG CỘT ĐIỆN </t>
  </si>
  <si>
    <t>D2.1000</t>
  </si>
  <si>
    <t xml:space="preserve">PHÂN LOẠI CỘT THÉP HÌNH </t>
  </si>
  <si>
    <t>D2.1001</t>
  </si>
  <si>
    <t>Chọn và phân loại cột thép hình phạm vi &lt;= 30m</t>
  </si>
  <si>
    <t>D2.1002</t>
  </si>
  <si>
    <t>Chọn và phân loại cột thép hình phạm vi &lt;= 100m</t>
  </si>
  <si>
    <t>D2.2000</t>
  </si>
  <si>
    <t xml:space="preserve">LẮP RÁP CỘT THÉP HÌNH </t>
  </si>
  <si>
    <t>D2.2011</t>
  </si>
  <si>
    <t>Lắp cột thép từng chi tiết thủ công, TL cột &lt;=5T</t>
  </si>
  <si>
    <t>D2.2012</t>
  </si>
  <si>
    <t>Lắp cột thép từng chi tiết, TL cột &lt;=15T</t>
  </si>
  <si>
    <t>D2.2013</t>
  </si>
  <si>
    <t>Lắp cột thép từng chi tiết, TL cột &lt;=30T</t>
  </si>
  <si>
    <t>D2.2014</t>
  </si>
  <si>
    <t>Lắp cột thép từng chi tiết, TL cột &gt;30T</t>
  </si>
  <si>
    <t>D2.2021</t>
  </si>
  <si>
    <t>Lắp ráp cột thép từng đoạn, trọng lượng cột &lt;= 5 tấn</t>
  </si>
  <si>
    <t>D2.2022</t>
  </si>
  <si>
    <t>Lắp ráp cột thép từng đoạn, trọng lượng cột &lt;= 15 tấn</t>
  </si>
  <si>
    <t>D2.2023</t>
  </si>
  <si>
    <t>Lắp ráp cột thép từng đoạn, trọng lượng cột &lt;= 30 tấn</t>
  </si>
  <si>
    <t>D2.2024</t>
  </si>
  <si>
    <t>Lắp ráp cột thép từng đoạn, trọng lượng cột &gt; 30 tấn</t>
  </si>
  <si>
    <t>D2.3000</t>
  </si>
  <si>
    <t xml:space="preserve">DỰNG CỘT THÉP HÌNH  ĐÃ LẮP SẴN </t>
  </si>
  <si>
    <t>D2.3101</t>
  </si>
  <si>
    <t>Dựng cột thép đã lắp sẵn bằng thủ công chiều cao cột &lt;= 15 m</t>
  </si>
  <si>
    <t xml:space="preserve"> Cột </t>
  </si>
  <si>
    <t>D2.3102</t>
  </si>
  <si>
    <t>Dựng cột thép đã lắp sẵn bằng thủ công chiều cao cột &lt;= 25 m</t>
  </si>
  <si>
    <t>D2.3103</t>
  </si>
  <si>
    <t>Dựng cột thép đã lắp sẵn bằng thủ công chiều cao cột &lt;= 35 m</t>
  </si>
  <si>
    <t>D2.3104</t>
  </si>
  <si>
    <t>Dựng cột thép đã lắp sẵn bằng thủ công chiều cao cột &lt;= 40 m</t>
  </si>
  <si>
    <t>D2.3105</t>
  </si>
  <si>
    <t>Dựng cột thép đã lắp sẵn bằng thủ công chiều cao cột &lt;= 50 m</t>
  </si>
  <si>
    <t>D2.3211</t>
  </si>
  <si>
    <t>Dựng cột thép đã lắp bằng máy kéo 100CV chiều cao cột &lt;= 25 m</t>
  </si>
  <si>
    <t>D2.3212</t>
  </si>
  <si>
    <t>Dựng cột thép đã lắp bằng máy kéo 100CV chiều cao cột &lt;= 35 m</t>
  </si>
  <si>
    <t>D2.3213</t>
  </si>
  <si>
    <t>Dựng cột thép đã lắp bằng máy kéo 100CV chiều cao cột &lt;= 45 m</t>
  </si>
  <si>
    <t>D2.3214</t>
  </si>
  <si>
    <t>Dựng cột thép đã lắp bằng máy kéo 100CV chiều cao cột &lt;= 50 m</t>
  </si>
  <si>
    <t>D2.3221</t>
  </si>
  <si>
    <t>Dựng cột thép đã lắp bằng cẩu 10T chiều cao cột &lt;= 15 m</t>
  </si>
  <si>
    <t>D2.3222</t>
  </si>
  <si>
    <t>Dựng cột thép đã lắp bằng cẩu 10T chiều cao cột &lt;= 25 m</t>
  </si>
  <si>
    <t>D2.3223</t>
  </si>
  <si>
    <t>Dựng cột thép đã lắp bằng cẩu 10T chiều cao cột &lt;= 35 m</t>
  </si>
  <si>
    <t>D2.3224</t>
  </si>
  <si>
    <t>Dựng cột thép đã lắp bằng cẩu 10T chiều cao cột &lt;= 45 m</t>
  </si>
  <si>
    <t>D2.3225</t>
  </si>
  <si>
    <t>Dựng cột thép đã lắp bằng cẩu 10T chiều cao cột &lt;= 50 m</t>
  </si>
  <si>
    <t>DỰNG CỘT THÉP ỐNG</t>
  </si>
  <si>
    <t>D2.3231</t>
  </si>
  <si>
    <t>Dựng cột thép ống bằng cẩu 10T chiều cao cột &lt;=15 m</t>
  </si>
  <si>
    <t>D2.3232</t>
  </si>
  <si>
    <t>Dựng cột thép ống bằng cẩu 10T chiều cao cột &lt;=25 m</t>
  </si>
  <si>
    <t>D2.3233</t>
  </si>
  <si>
    <t>Dựng cột thép ống bằng cẩu 10T chiều cao cột &lt;=35 m</t>
  </si>
  <si>
    <t>D2.3234</t>
  </si>
  <si>
    <t>Dựng cột thép ống bằng cẩu 10T chiều cao cột &lt;=45 m</t>
  </si>
  <si>
    <t>D2.3235</t>
  </si>
  <si>
    <t>Dựng cột thép ống bằng cẩu 10T chiều cao cột &lt;=50 m</t>
  </si>
  <si>
    <t>D2.4000</t>
  </si>
  <si>
    <t xml:space="preserve">VỪA LẮP VỪA DỰNG CỘT THÉP HÌNH </t>
  </si>
  <si>
    <t>D2.4001</t>
  </si>
  <si>
    <t>Vừa lắp vừa dựng cột thép bằng thủ công chiều cao cột &lt;= 15 m</t>
  </si>
  <si>
    <t>D2.4011</t>
  </si>
  <si>
    <t>Vừa lắp vừa dựng cột thép bằng thủ công chiều cao cột &lt;= 30 m</t>
  </si>
  <si>
    <t>D2.4021</t>
  </si>
  <si>
    <t>Vừa lắp vừa dựng cột thép bằng thủ công chiều cao cột &lt;= 40 m</t>
  </si>
  <si>
    <t>D2.4002</t>
  </si>
  <si>
    <t>Vừa lắp vừa dựng cột thép, thủ công kết hợp cơ giới, chiều cao &lt;=15 m</t>
  </si>
  <si>
    <t>D2.4012</t>
  </si>
  <si>
    <t>Vừa lắp vừa dựng cột thép, thủ công kết hợp cơ giới, chiều cao &lt;=30 m</t>
  </si>
  <si>
    <t>D2.4022</t>
  </si>
  <si>
    <t>Vừa lắp vừa dựng cột thép, thủ công kết hợp cơ giới, chiều cao &lt;=50 m</t>
  </si>
  <si>
    <t>D2.5000</t>
  </si>
  <si>
    <t xml:space="preserve">LẮP DỰNG CỘT BÊ TÔNG </t>
  </si>
  <si>
    <t xml:space="preserve">DỰNG CỘT BÊ TÔNG THỦ CÔNG </t>
  </si>
  <si>
    <t>D2.5201</t>
  </si>
  <si>
    <t>Dựng cột bằng thủ công, h &lt;=8,0m</t>
  </si>
  <si>
    <t>D2.5301</t>
  </si>
  <si>
    <t>Dựng cột bằng thủ công, h &lt;=10m</t>
  </si>
  <si>
    <t>D2.5401</t>
  </si>
  <si>
    <t>Dựng cột bằng thủ công, h &lt;=12m</t>
  </si>
  <si>
    <t>D2.5501</t>
  </si>
  <si>
    <t>Dựng cột bằng thủ công, h&lt;=14m</t>
  </si>
  <si>
    <t>D2.5601</t>
  </si>
  <si>
    <t>Dựng cột bằng thủ công, h &lt;=16m</t>
  </si>
  <si>
    <t>D2.5701</t>
  </si>
  <si>
    <t>Dựng cột bằng thủ công, h &lt;=18m</t>
  </si>
  <si>
    <t>D2.5801</t>
  </si>
  <si>
    <t>Dựng cột bằng thủ công, h &lt;=20m</t>
  </si>
  <si>
    <t>D2.5901</t>
  </si>
  <si>
    <t>Dựng cột bằng thủ công, h &gt;20m</t>
  </si>
  <si>
    <t>DỰNG CỘT BÊ TÔNG BẰNG THỦ CÔNG +MTC</t>
  </si>
  <si>
    <t>D2.5212</t>
  </si>
  <si>
    <t>Dựng cột bằng thủ công + cơ giới (cẩu), h &lt;=8,0m</t>
  </si>
  <si>
    <t>D2.5222</t>
  </si>
  <si>
    <t>Dựng cột bằng thủ công + cơ giới (cẩu), h &lt;=10m</t>
  </si>
  <si>
    <t>D2.5602</t>
  </si>
  <si>
    <t>Dựng cột bằng thủ công + cơ giới (cẩu), h &lt;=16m</t>
  </si>
  <si>
    <t>D2.5702</t>
  </si>
  <si>
    <t>Dựng cột bằng thủ công + cơ giới (cẩu), h &lt;=18m</t>
  </si>
  <si>
    <t>D2.5802</t>
  </si>
  <si>
    <t>Dựng cột bằng thủ công + cơ giới (cẩu), h &lt;=20m</t>
  </si>
  <si>
    <t>D2.5902</t>
  </si>
  <si>
    <t>Dựng cột bằng thủ công + cơ giới (cẩu), h &gt;20m</t>
  </si>
  <si>
    <t>D2.5603</t>
  </si>
  <si>
    <t>Dựng cột bằng thủ công + cơ giới (máy kéo), h &lt;=16m</t>
  </si>
  <si>
    <t>D2.5703</t>
  </si>
  <si>
    <t>Dựng cột bằng thủ công + cơ giới (máy kéo), h &lt;=18m</t>
  </si>
  <si>
    <t>D2.5803</t>
  </si>
  <si>
    <t>Dựng cột bằng thủ công + cơ giới (máy kéo), h &lt;=20m</t>
  </si>
  <si>
    <t>D2.5903</t>
  </si>
  <si>
    <t>Dựng cột bằng thủ công + cơ giới (máy kéo), h &gt;20m</t>
  </si>
  <si>
    <t>D2.600</t>
  </si>
  <si>
    <t xml:space="preserve">LẮP DỰNG XÀ </t>
  </si>
  <si>
    <t>D2.6011</t>
  </si>
  <si>
    <t>Lắp đặt xà thép cho cột đỡ , P =15kg</t>
  </si>
  <si>
    <t>D2.6021</t>
  </si>
  <si>
    <t>Lắp đặt xà thép cho cột đỡ , P =25kg</t>
  </si>
  <si>
    <t>D2.6041</t>
  </si>
  <si>
    <t>Lắp đặt xà thép cho cột đỡ , P =100kg</t>
  </si>
  <si>
    <t>D2.6051</t>
  </si>
  <si>
    <t>Lắp đặt xà thép cho cột đỡ, P =140kg</t>
  </si>
  <si>
    <t>D2.6061</t>
  </si>
  <si>
    <t>Lắp đặt xà thép cho cột đỡ, P =230kg</t>
  </si>
  <si>
    <t>D2.6071</t>
  </si>
  <si>
    <t>Lắp đặt xà thép cho cột đỡ, P =320kg</t>
  </si>
  <si>
    <t>D2.6081</t>
  </si>
  <si>
    <t>Lắp đặt xà thép cho cột đỡ, P =410kg</t>
  </si>
  <si>
    <t>D2.6091</t>
  </si>
  <si>
    <t>Lắp đặt xà thép cho cột đỡ, P =500kg</t>
  </si>
  <si>
    <t>D2.6012</t>
  </si>
  <si>
    <t>Lắp đặt xà thép cho cột néo , P =15kg</t>
  </si>
  <si>
    <t>D2.6022</t>
  </si>
  <si>
    <t>Lắp đặt xà thép cho cột néo , P =25kg</t>
  </si>
  <si>
    <t>D2.6032</t>
  </si>
  <si>
    <t>Lắp đặt xà thép cho cột néo , P =50kg</t>
  </si>
  <si>
    <t>D2.6042</t>
  </si>
  <si>
    <t>Lắp đặt xà thép cho cột néo , P =100kg</t>
  </si>
  <si>
    <t>D2.6052</t>
  </si>
  <si>
    <t>Lắp đặt xà thép cho cột néo, P =140kg</t>
  </si>
  <si>
    <t>D2.6062</t>
  </si>
  <si>
    <t>Lắp đặt xà thép cho cột néo, P =230kg</t>
  </si>
  <si>
    <t>D2.6072</t>
  </si>
  <si>
    <t>Lắp đặt xà thép cho cột néo, P =320kg</t>
  </si>
  <si>
    <t>D2.6082</t>
  </si>
  <si>
    <t>Lắp đặt xà thép cho cột néo, P =410kg</t>
  </si>
  <si>
    <t>D2.6092</t>
  </si>
  <si>
    <t>Lắp đặt xà thép cho cột néo, P =500kg</t>
  </si>
  <si>
    <t>D2.6053</t>
  </si>
  <si>
    <t>Lắp đặt xà thép cho cột đôi , P =140kg</t>
  </si>
  <si>
    <t>D2.6063</t>
  </si>
  <si>
    <t>Lắp đặt xà thép cho cột đôi, P =230kg</t>
  </si>
  <si>
    <t>D2.6073</t>
  </si>
  <si>
    <t>Lắp đặt xà thép cho cột đôi, P =320kg</t>
  </si>
  <si>
    <t>D2.6083</t>
  </si>
  <si>
    <t>Lắp đặt xà thép cho cột đôi, P =410kg</t>
  </si>
  <si>
    <t>D2.6093</t>
  </si>
  <si>
    <t>Lắp đặt xà thép cho cột đôi, P =500kg</t>
  </si>
  <si>
    <t>D2.6103</t>
  </si>
  <si>
    <t>Lắp đặt xà thép cho cột đôi, P =750kg</t>
  </si>
  <si>
    <t>D2.6113</t>
  </si>
  <si>
    <t>Lắp đặt xà thép cho cột đôi, P =1000kg</t>
  </si>
  <si>
    <t>D2.6054</t>
  </si>
  <si>
    <t>Lắp đặt xà thép cho cột hình II , P =140kg</t>
  </si>
  <si>
    <t>D2.6064</t>
  </si>
  <si>
    <t>Lắp đặt xà thép cho cột hình II, P =230kg</t>
  </si>
  <si>
    <t>D2.6074</t>
  </si>
  <si>
    <t>Lắp đặt xà thép cho cột hình II , P =320kg</t>
  </si>
  <si>
    <t>D2.6084</t>
  </si>
  <si>
    <t>Lắp đặt xà thép cho cột hình II, P =410kg</t>
  </si>
  <si>
    <t>D2.6094</t>
  </si>
  <si>
    <t>Lắp đặt xà thép cho cột hình II, P =500kg</t>
  </si>
  <si>
    <t>D2.6104</t>
  </si>
  <si>
    <t>Lắp đặt xà thép cho cột hình II, P =750kg</t>
  </si>
  <si>
    <t>D2.6114</t>
  </si>
  <si>
    <t>Lắp đặt xà thép cho cột hình II, P =1000kg</t>
  </si>
  <si>
    <t>D2.7000</t>
  </si>
  <si>
    <t xml:space="preserve">LẮP TIẾP ĐỊA CỘT ĐIỆN </t>
  </si>
  <si>
    <t>D2.7002</t>
  </si>
  <si>
    <t>Kéo rãi dây tiếp địa d : 12-14mm</t>
  </si>
  <si>
    <t>D2.7003</t>
  </si>
  <si>
    <t>Kéo rãi dây tiếp địa d : 16-18mm</t>
  </si>
  <si>
    <t>ĐÓNG CỌC TIẾP ĐỊA</t>
  </si>
  <si>
    <t>Đóng cọc tiếp địa dài 2,5m xuống đất cấp 1</t>
  </si>
  <si>
    <t>Đóng cọc tiếp địa dài 2,5m xuống đất cấp 3</t>
  </si>
  <si>
    <t>Đóng cọc tiếp địa dài 2,5m xuống đất cấp 4</t>
  </si>
  <si>
    <t>D2.9000</t>
  </si>
  <si>
    <t xml:space="preserve">SƠN BÁO HIỆU CỘT ĐIỆN </t>
  </si>
  <si>
    <t>D2.9002</t>
  </si>
  <si>
    <t>Sơn báo hiệu theo chiều cao cột &lt;= 100 m</t>
  </si>
  <si>
    <t>D2.9003</t>
  </si>
  <si>
    <t>Sơn báo hiệu theo chiều cao cột &gt; 100 m</t>
  </si>
  <si>
    <t xml:space="preserve">SƠN SẮT THÉP CÁC LOẠI </t>
  </si>
  <si>
    <t>D2.9004</t>
  </si>
  <si>
    <t>Sơn sắt thép các loại và sơn báo hiệu  2 nước</t>
  </si>
  <si>
    <t>D2.9005</t>
  </si>
  <si>
    <t>Sơn sắt thép các loại và sơn báo hiệu  3 nước</t>
  </si>
  <si>
    <t>D3.1100</t>
  </si>
  <si>
    <t xml:space="preserve">LẮP ĐẶT SỨ </t>
  </si>
  <si>
    <t xml:space="preserve">SỨ ĐỨNG </t>
  </si>
  <si>
    <t>D3.1111</t>
  </si>
  <si>
    <t>Lắp đặt sứ đứng 6-10KV, cột tròn, dưới đất</t>
  </si>
  <si>
    <t>D3.1112</t>
  </si>
  <si>
    <t>Lắp đặt sứ đứng 15-22KV, cột tròn, dưới đất</t>
  </si>
  <si>
    <t>D3.1113</t>
  </si>
  <si>
    <t>Lắp đặt sứ đứng 35KV, cột tròn, dưới đất</t>
  </si>
  <si>
    <t>D3.1114</t>
  </si>
  <si>
    <t>Lắp đặt sứ đứng 6-10KV, cột tròn, trên cột</t>
  </si>
  <si>
    <t>D3.1116</t>
  </si>
  <si>
    <t>Lắp đặt sứ đứng 35KV, cột tròn, trên cột</t>
  </si>
  <si>
    <t>D3.1121</t>
  </si>
  <si>
    <t>Lắp đặt sứ đứng 6-10KV, cột vuông, dưới đất</t>
  </si>
  <si>
    <t>D3.1122</t>
  </si>
  <si>
    <t>Lắp đặt sứ đứng 15-20KV, cột vuông, dưới đất</t>
  </si>
  <si>
    <t>D3.1123</t>
  </si>
  <si>
    <t>Lắp đặt sứ đứng 35KV, cột vuông, dưới đất</t>
  </si>
  <si>
    <t>D3.1124</t>
  </si>
  <si>
    <t>Lắp đặt sứ đứng 6-10KV, cột vuông, trên cột</t>
  </si>
  <si>
    <t>D3.1125</t>
  </si>
  <si>
    <t>Lắp đặt sứ đứng 15-20KV, cột vuông, trên cột</t>
  </si>
  <si>
    <t>D3.1126</t>
  </si>
  <si>
    <t>Lắp đặt sứ đứng 35KV, cột vuông, trên cột</t>
  </si>
  <si>
    <t xml:space="preserve">SỨ HẠ THẾ </t>
  </si>
  <si>
    <t>D3.1212</t>
  </si>
  <si>
    <t>Lắp đặt sứ tai mèo , thủ công</t>
  </si>
  <si>
    <t>D3.1213</t>
  </si>
  <si>
    <t>Lắp đặt sứ hạ thế loại 2 sứ , thủ công</t>
  </si>
  <si>
    <t>D3.1214</t>
  </si>
  <si>
    <t>Lắp đặt sứ hạ thế loại 3 sứ , thủ công</t>
  </si>
  <si>
    <t>D3.1215</t>
  </si>
  <si>
    <t>Lắp đặt sứ hạ thế loại 4 sứ , thủ công</t>
  </si>
  <si>
    <t>D3.1221</t>
  </si>
  <si>
    <t>Lắp đặt các loại sứ khác, thủ công+cơ giới</t>
  </si>
  <si>
    <t>D3.1222</t>
  </si>
  <si>
    <t>Lắp đặt sứ tai mèo , thủ công+ cơ giới</t>
  </si>
  <si>
    <t>D3.1223</t>
  </si>
  <si>
    <t>Lắp đặt sứ hạ thế loại 2 sứ , thủ công+ cơ giới</t>
  </si>
  <si>
    <t>D3.1224</t>
  </si>
  <si>
    <t>Lắp đặt sứ hạ thế loại 3 sứ , thủ công+ cơ giới</t>
  </si>
  <si>
    <t>D3.1225</t>
  </si>
  <si>
    <t>Lắp đặt sứ hạ thế loại 4 sứ , thủ công+ cơ giới</t>
  </si>
  <si>
    <t>CHUỖI SỨ ĐỖ DÂY DẪN</t>
  </si>
  <si>
    <t>D3.1401</t>
  </si>
  <si>
    <t>Lắp đặt chuỗi sứ đỡ &lt;=2bát, cột cao &lt;=20m</t>
  </si>
  <si>
    <t xml:space="preserve"> chuỗi </t>
  </si>
  <si>
    <t>D3.1411</t>
  </si>
  <si>
    <t>Lắp đặt chuỗi sứ đỡ &lt;=2bát, cột cao &lt;=30m</t>
  </si>
  <si>
    <t>D3.1402</t>
  </si>
  <si>
    <t>Lắp đặt chuỗi sứ đỡ &lt;=5bát, cột cao &lt;=20m</t>
  </si>
  <si>
    <t>D3.1412</t>
  </si>
  <si>
    <t>Lắp đặt chuỗi sứ đỡ &lt;=5bát, cột cao &lt;=30m</t>
  </si>
  <si>
    <t>D3.1403</t>
  </si>
  <si>
    <t>Lắp đặt chuỗi sứ đỡ &lt;=8bát, cột cao &lt;=20m</t>
  </si>
  <si>
    <t>D3.1413</t>
  </si>
  <si>
    <t>Lắp đặt chuỗi sứ đỡ &lt;=8bát, cột cao &lt;=30m</t>
  </si>
  <si>
    <t>CHUỖI SỨ NÉO DÂY DẪN</t>
  </si>
  <si>
    <t>D3.1701</t>
  </si>
  <si>
    <t>Lắp đặt chuỗi sứ néo &lt;=2 bát, cột cao &lt;=20m</t>
  </si>
  <si>
    <t>D3.1711</t>
  </si>
  <si>
    <t>Lắp đặt chuỗi sứ néo &lt;=2 bát, cột cao &lt;=30m</t>
  </si>
  <si>
    <t>D3.1702</t>
  </si>
  <si>
    <t>Lắp đặt chuỗi sứ néo &lt;=5 bát, cột cao &lt;=20m</t>
  </si>
  <si>
    <t>D3.1712</t>
  </si>
  <si>
    <t>Lắp đặt chuỗi sứ néo &lt;=5 bát, cột cao &lt;=30m</t>
  </si>
  <si>
    <t>D3.1703</t>
  </si>
  <si>
    <t>Lắp đặt chuỗi sứ néo &lt;=8 bát, cột cao &lt;=20m</t>
  </si>
  <si>
    <t>D3.1713</t>
  </si>
  <si>
    <t>Lắp đặt chuỗi sứ néo &lt;=8 bát, cột cao &lt;=30m</t>
  </si>
  <si>
    <t>CHUỖI SỨ NÉO POLYMER</t>
  </si>
  <si>
    <t>Lắp đặt chuỗi sứ néo polymer &lt;=35kV, cột cao &lt;=30m</t>
  </si>
  <si>
    <t>Lắp đặt chuỗi sứ néo polymer &lt;=35kV, cột cao &lt;=40m</t>
  </si>
  <si>
    <t>CHỐNG RUNG</t>
  </si>
  <si>
    <t>D3.3001</t>
  </si>
  <si>
    <t>Lắp chống rung cột cao &lt;= 20 m</t>
  </si>
  <si>
    <t xml:space="preserve"> Bộ </t>
  </si>
  <si>
    <t>D3.2002</t>
  </si>
  <si>
    <t>Lắp chống rung cột cao &lt;= 30 m</t>
  </si>
  <si>
    <t>D3.3174</t>
  </si>
  <si>
    <t>Lắp đèn tín hiệu trên cột chiều cao lắp dựng &lt;= 50 m</t>
  </si>
  <si>
    <t>D3.3191</t>
  </si>
  <si>
    <t>Lắp đặt biển cấm, biển báo cao &lt;= 20 m</t>
  </si>
  <si>
    <t>D3.3211</t>
  </si>
  <si>
    <t>Lắp đặt chống sét van cao &lt;= 20 m</t>
  </si>
  <si>
    <t>D3.3231</t>
  </si>
  <si>
    <t>Lắp đặt thu lôi ống cao &lt;= 20 m</t>
  </si>
  <si>
    <t>D3.3241</t>
  </si>
  <si>
    <t>Lắp đặt cổ dề cao &lt;= 20 m</t>
  </si>
  <si>
    <t>D3.3251</t>
  </si>
  <si>
    <t>Lắp đặt dây néo cột cao &lt;= 20 m</t>
  </si>
  <si>
    <t>D3.3261</t>
  </si>
  <si>
    <t>Lắp khoá đỡ dây dẫn, dây chống sét tiết diện &lt;= 70 cột cao &lt;= 20 m</t>
  </si>
  <si>
    <t>D3.3262</t>
  </si>
  <si>
    <t>Lắp khoá đỡ dây dẫn, dây chống sét tiết diện &lt;= 70 cột cao &lt;= 30 m</t>
  </si>
  <si>
    <t>D3.3271</t>
  </si>
  <si>
    <t>Lắp khoá đỡ dây dẫn, dây chống sét tiết diện &lt;= 240 cột cao &lt;= 20 m</t>
  </si>
  <si>
    <t>D3.3272</t>
  </si>
  <si>
    <t>Lắp khoá đỡ dây dẫn, dây chống sét tiết diện &lt;= 240 cột cao &lt;= 30 m</t>
  </si>
  <si>
    <t>D3.3281</t>
  </si>
  <si>
    <t>Lắp khoá đỡ dây dẫn, dây chống sét tiết diện &gt; 240 cột cao &lt;= 20 m</t>
  </si>
  <si>
    <t>D3.3282</t>
  </si>
  <si>
    <t>Lắp khoá đỡ dây dẫn, dây chống sét tiết diện &gt; 240 cột cao &lt;= 30 m</t>
  </si>
  <si>
    <t>D3.4011</t>
  </si>
  <si>
    <t>Ép nối dây dẫn S&lt;=120mm2</t>
  </si>
  <si>
    <t>mối</t>
  </si>
  <si>
    <t>5,0/7</t>
  </si>
  <si>
    <t>D3.4012</t>
  </si>
  <si>
    <t>Ép nối dây dẫn S&lt;=150mm2</t>
  </si>
  <si>
    <t>D3.4013</t>
  </si>
  <si>
    <t>Ép nối dây dẫn S&lt;=185mm2</t>
  </si>
  <si>
    <t>D3.4014</t>
  </si>
  <si>
    <t>Ép nối dây dẫn S&lt;=240mm2</t>
  </si>
  <si>
    <t>D3.4021</t>
  </si>
  <si>
    <t>Ép nối lèo, khoá néo dây dẫn S&lt;=120mm2</t>
  </si>
  <si>
    <t>D3.4022</t>
  </si>
  <si>
    <t>Ép nối lèo, khoá néo dây dẫn S&lt;=150mm2</t>
  </si>
  <si>
    <t>D3.4023</t>
  </si>
  <si>
    <t>Ép nối lèo, khoá néo dây dẫn S&lt;=185mm2</t>
  </si>
  <si>
    <t>D3.4024</t>
  </si>
  <si>
    <t>Ép nối lèo, khoá néo dây dẫn S&lt;=240mm2</t>
  </si>
  <si>
    <t>D3.5001</t>
  </si>
  <si>
    <t>Làm dàn giáo vượt đz thông tin, hạ thế, dây &lt;=50</t>
  </si>
  <si>
    <t xml:space="preserve"> Vị trí </t>
  </si>
  <si>
    <t>D3.5002</t>
  </si>
  <si>
    <t>Làm dàn giáo vượt đz thông tin, hạ thế, dây &lt;=95</t>
  </si>
  <si>
    <t>D3.5003</t>
  </si>
  <si>
    <t>Làm dàn giáo vượt đz thông tin, hạ thế, dây &lt;=150</t>
  </si>
  <si>
    <t>D3.5004</t>
  </si>
  <si>
    <t>Làm dàn giáo vượt đz thông tin, hạ thế, dây &lt;=240</t>
  </si>
  <si>
    <t>D3.5005</t>
  </si>
  <si>
    <t>Làm dàn giáo vượt đz thông tin, hạ thế, dây &lt;=400</t>
  </si>
  <si>
    <t>D3.5011</t>
  </si>
  <si>
    <t>Làm dàn giáo vượt đz &lt;=35KV , dây &lt;=50</t>
  </si>
  <si>
    <t>D3.5012</t>
  </si>
  <si>
    <t>Làm dàn giáo vượt đz &lt;=35KV , dây &lt;=95</t>
  </si>
  <si>
    <t>D3.5013</t>
  </si>
  <si>
    <t>Làm dàn giáo vượt đz &lt;=35KV , dây &lt;=150</t>
  </si>
  <si>
    <t>D3.5014</t>
  </si>
  <si>
    <t>Làm dàn giáo vượt đz &lt;=35KV , dây &lt;=240</t>
  </si>
  <si>
    <t>D3.5015</t>
  </si>
  <si>
    <t>Làm dàn giáo vượt đz &lt;=35KV , dây &lt;= 400</t>
  </si>
  <si>
    <t>D3.5023</t>
  </si>
  <si>
    <t>Làm dàn giáo vượt đz &lt;=110KV , dây &lt;=150</t>
  </si>
  <si>
    <t>D3.5024</t>
  </si>
  <si>
    <t>Làm dàn giáo vượt đz &lt;=110KV , dây &lt;=240</t>
  </si>
  <si>
    <t>D3.5025</t>
  </si>
  <si>
    <t>Làm dàn giáo vượt đz &lt;=110KV , dây &lt;= 400</t>
  </si>
  <si>
    <t>D3.5041</t>
  </si>
  <si>
    <t>Làm dàn giáo vượt đường ôtô&lt;=5m,đg sắt, dây&lt;=50</t>
  </si>
  <si>
    <t>D3.5042</t>
  </si>
  <si>
    <t>Làm dàn giáo vượt đường ôtô&lt;=5m,đg sắt, dây&lt;=95</t>
  </si>
  <si>
    <t>D3.5043</t>
  </si>
  <si>
    <t>Làm dàn giáo vượt đường ôtô&lt;=5m,đg sắt, dây&lt;=150</t>
  </si>
  <si>
    <t>D3.5044</t>
  </si>
  <si>
    <t>Làm dàn giáo vượt đường ôtô&lt;=5m,đg sắt, dây&lt;=240</t>
  </si>
  <si>
    <t>D3.5045</t>
  </si>
  <si>
    <t>Làm dàn giáo vượt đường ôtô&lt;=5m,đg sắt, dây&lt;=400</t>
  </si>
  <si>
    <t>D3.5051</t>
  </si>
  <si>
    <t>Làm dàn giáo vượt đường g. thông &lt;=10m , dây&lt;=50</t>
  </si>
  <si>
    <t>D3.5052</t>
  </si>
  <si>
    <t>Làm dàn giáo vượt đường g. thông&lt;=10m , dây&lt;=95</t>
  </si>
  <si>
    <t>D3.5053</t>
  </si>
  <si>
    <t>Làm dàn giáo vượt đường g.thông&lt;=10m, dây&lt;=150</t>
  </si>
  <si>
    <t>D3.5054</t>
  </si>
  <si>
    <t>Làm dàn giáo vượt đường g.thông &lt;=10m, dây&lt;=240</t>
  </si>
  <si>
    <t>D3.5055</t>
  </si>
  <si>
    <t>Làm dàn giáo vượt đường g. thông &lt;=10m, dây&lt;=400</t>
  </si>
  <si>
    <t>D3.5061</t>
  </si>
  <si>
    <t>Làm dàn giáo vượt đường g. thông &gt;10m , dây&lt;=50</t>
  </si>
  <si>
    <t>D3.5062</t>
  </si>
  <si>
    <t>Làm dàn giáo vượt đường g. thông &gt;10m , dây&lt;=95</t>
  </si>
  <si>
    <t>D3.5063</t>
  </si>
  <si>
    <t>Làm dàn giáo vượt đường g.thông &gt;10m, dây&lt;=150</t>
  </si>
  <si>
    <t>D3.5064</t>
  </si>
  <si>
    <t>Làm dàn giáo vượt đường g.thông &gt;10m, dây&lt;=240</t>
  </si>
  <si>
    <t>D3.5065</t>
  </si>
  <si>
    <t>Làm dàn giáo vượt đường g. thông &gt;10m, dây&lt;=400</t>
  </si>
  <si>
    <t>D3.5071</t>
  </si>
  <si>
    <t>Kéo dây ở vị trí bẻ góc , dây&lt;=50</t>
  </si>
  <si>
    <t>D3.5072</t>
  </si>
  <si>
    <t>Kéo dây ở vị trí bẻ góc , dây&lt;=95</t>
  </si>
  <si>
    <t>D3.5073</t>
  </si>
  <si>
    <t>Kéo dây ở vị trí bẻ góc , dây&lt;=150</t>
  </si>
  <si>
    <t>D3.5074</t>
  </si>
  <si>
    <t>Kéo dây ở vị trí bẻ góc , dây&lt;=240</t>
  </si>
  <si>
    <t>D3.6111</t>
  </si>
  <si>
    <t>Rải căng dây (AC, ACSR),thủ công, td&lt;=16mm2</t>
  </si>
  <si>
    <t>D3.6112</t>
  </si>
  <si>
    <t>Rải căng dây (AC, ACSR),thủ công, td&lt;=25mm2</t>
  </si>
  <si>
    <t>D3.6113</t>
  </si>
  <si>
    <t>Rải căng dây (AC, ACSR),thủ công, td&lt;=35mm2</t>
  </si>
  <si>
    <t>D3.6115</t>
  </si>
  <si>
    <t>Rải căng dây (AC, ACSR),thủ công, td&lt;=70mm2</t>
  </si>
  <si>
    <t>D3.6116</t>
  </si>
  <si>
    <t>Rải căng dây (AC, ACSR),thủ công, td&lt;=95mm2</t>
  </si>
  <si>
    <t>D3.6151</t>
  </si>
  <si>
    <t>Rải căng dây (AC, ACSR),thủ công, td&lt;=120mm2</t>
  </si>
  <si>
    <t>4,5/7</t>
  </si>
  <si>
    <t>D3.6152</t>
  </si>
  <si>
    <t>Rải căng dây (AC, ACSR),thủ công, td&lt;=150mm2</t>
  </si>
  <si>
    <t>D3.6153</t>
  </si>
  <si>
    <t>Rải căng dây (AC, ACSR),thủ công, td&lt;=185mm2</t>
  </si>
  <si>
    <t>D3.6154</t>
  </si>
  <si>
    <t>Rải căng dây (AC, ACSR),thủ công, td&lt;=240mm2</t>
  </si>
  <si>
    <t>D3.6155</t>
  </si>
  <si>
    <t>Rải căng dây (AC, ACSR),thủ công, td&lt;=300mm2</t>
  </si>
  <si>
    <t>D3.6156</t>
  </si>
  <si>
    <t>Rải căng dây (AC, ACSR),thủ công, td&lt;=400mm2</t>
  </si>
  <si>
    <t>D3.6157</t>
  </si>
  <si>
    <t>Rải căng dây (AC, ACSR),thủ công, td&lt;=500mm2</t>
  </si>
  <si>
    <t>D3.6158</t>
  </si>
  <si>
    <t>Rải căng dây (AC, ACSR),thủ công, td&gt;500mm2</t>
  </si>
  <si>
    <t>D3.6121</t>
  </si>
  <si>
    <t>Rải căng dây nhôm (A), thủ công, td&lt;=16mm2</t>
  </si>
  <si>
    <t>D3.6122</t>
  </si>
  <si>
    <t>Rải căng dây nhôm (A), thủ công, td&lt;=25mm2</t>
  </si>
  <si>
    <t>D3.6123</t>
  </si>
  <si>
    <t>Rải căng dây nhôm (A), thủ công, td&lt;=35mm2</t>
  </si>
  <si>
    <t>D3.6124</t>
  </si>
  <si>
    <t>Rải căng dây nhôm (A), thủ công, td&lt;=50mm2</t>
  </si>
  <si>
    <t>D3.6125</t>
  </si>
  <si>
    <t>Rải căng dây nhôm (A), thủ công, td&lt;=70mm2</t>
  </si>
  <si>
    <t>D3.6126</t>
  </si>
  <si>
    <t>Rải căng dây nhôm (A), thủ công, td&lt;=95mm2</t>
  </si>
  <si>
    <t>D3.6161</t>
  </si>
  <si>
    <t>Rải căng dây nhôm (A), thủ công, td&lt;=120mm2</t>
  </si>
  <si>
    <t>D3.6162</t>
  </si>
  <si>
    <t>Rải căng dây nhôm (A), thủ công, td&lt;=150mm2</t>
  </si>
  <si>
    <t>D3.6163</t>
  </si>
  <si>
    <t>Rải căng dây nhôm (A), thủ công, td&lt;=185mm2</t>
  </si>
  <si>
    <t>D3.6164</t>
  </si>
  <si>
    <t>Rải căng dây nhôm (A), thủ công, td&lt;=240mm2</t>
  </si>
  <si>
    <t>D3.6165</t>
  </si>
  <si>
    <t>Rải căng dây nhôm (A), thủ công, td&lt;=300mm2</t>
  </si>
  <si>
    <t>D3.6166</t>
  </si>
  <si>
    <t>Rải căng dây nhôm (A), thủ công, td&lt;=400mm2</t>
  </si>
  <si>
    <t>D3.6167</t>
  </si>
  <si>
    <t>Rải căng dây nhôm (A), thủ công, td&lt;=500mm2</t>
  </si>
  <si>
    <t>D3.6168</t>
  </si>
  <si>
    <t>Rải căng dây nhôm (A), thủ công, td&gt;500mm2</t>
  </si>
  <si>
    <t>D3.6131</t>
  </si>
  <si>
    <t>Rải căng dây thép , thủ công, td&lt;=16mm2</t>
  </si>
  <si>
    <t>D3.6132</t>
  </si>
  <si>
    <t>Rải căng dây thép , thủ công, td&lt;=25mm2</t>
  </si>
  <si>
    <t>D3.6133</t>
  </si>
  <si>
    <t>Rải căng dây thép , thủ công, td&lt;=35mm2</t>
  </si>
  <si>
    <t>D3.6134</t>
  </si>
  <si>
    <t>Rải căng dây thép , thủ công, td&lt;=50mm2</t>
  </si>
  <si>
    <t>D3.6135</t>
  </si>
  <si>
    <t>Rải căng dây thép , thủ công, td&lt;=70mm2</t>
  </si>
  <si>
    <t>D3.6141</t>
  </si>
  <si>
    <t>Rải căng dây đồng (M), thủ công, td&lt;=16mm2</t>
  </si>
  <si>
    <t>D3.6142</t>
  </si>
  <si>
    <t>Rải căng dây đồng (M), thủ công, td&lt;=25mm2</t>
  </si>
  <si>
    <t>D3.6143</t>
  </si>
  <si>
    <t>Rải căng dây đồng (M), thủ công, td&lt;=35mm2</t>
  </si>
  <si>
    <t>D3.6144</t>
  </si>
  <si>
    <t>Rải căng dây đồng (M), thủ công, td&lt;=50mm2</t>
  </si>
  <si>
    <t>D3.6145</t>
  </si>
  <si>
    <t>Rải căng dây đồng (M), thủ công, td&lt;=70mm2</t>
  </si>
  <si>
    <t>D3.6146</t>
  </si>
  <si>
    <t>Rải căng dây đồng (M), thủ công, td&lt;=95mm2</t>
  </si>
  <si>
    <t>D3.6171</t>
  </si>
  <si>
    <t>Rải căng dây đồng (M), thủ công, td&lt;=120mm2</t>
  </si>
  <si>
    <t>D3.6172</t>
  </si>
  <si>
    <t>Rải căng dây đồng (M), thủ công, td&lt;=150mm2</t>
  </si>
  <si>
    <t>D3.6173</t>
  </si>
  <si>
    <t>Rải căng dây đồng (M), thủ công, td&lt;=185mm2</t>
  </si>
  <si>
    <t>D3.6174</t>
  </si>
  <si>
    <t>Rải căng dây đồng (M), thủ công, td&lt;=240mm2</t>
  </si>
  <si>
    <t>D3.6211</t>
  </si>
  <si>
    <t>Rải căng dây (AC, ACSR),thủ công+máy kéo,td=70mm2</t>
  </si>
  <si>
    <t>D3.6212</t>
  </si>
  <si>
    <t>Rải căng dây (AC, ACSR),thủ công+máy kéo, td=95mm2</t>
  </si>
  <si>
    <t>D3.6213</t>
  </si>
  <si>
    <t>Rải căng dây (AC, ACSR),thủ công+máy kéo,td=120mm2</t>
  </si>
  <si>
    <t>D3.6214</t>
  </si>
  <si>
    <t>Rải căng dây (AC, ACSR),thủ công+máy kéo,td=150mm2</t>
  </si>
  <si>
    <t>D3.6215</t>
  </si>
  <si>
    <t>Rải căng dây (AC, ACSR),thủ công+máy kéo,td=185mm2</t>
  </si>
  <si>
    <t>D3.6251</t>
  </si>
  <si>
    <t>Rải căng dây (AC, ACSR),thủ công+máy kéo,td=240mm2</t>
  </si>
  <si>
    <t>D3.6252</t>
  </si>
  <si>
    <t>Rải căng dây (AC, ACSR),thủ công+máy kéo,td=300mm2</t>
  </si>
  <si>
    <t>D3.6253</t>
  </si>
  <si>
    <t>Rải căng dây (AC, ACSR),thủ công+máy kéo,td=400mm2</t>
  </si>
  <si>
    <t>D3.6254</t>
  </si>
  <si>
    <t>Rải căng dây (AC, ACSR),thủ công+máy kéo,td=500mm2</t>
  </si>
  <si>
    <t>D3.6255</t>
  </si>
  <si>
    <t>Rải căng dây (AC, ACSR),thủ công+máy kéo,td&gt;500mm2</t>
  </si>
  <si>
    <t>D3.6231</t>
  </si>
  <si>
    <t>Rải căng dây chống sét, thủ công+máy kéo, td=70mm2</t>
  </si>
  <si>
    <t>D3.6232</t>
  </si>
  <si>
    <t>Rải căng dây chống sét, thủ công+máy kéo,td=95mm2</t>
  </si>
  <si>
    <t>D3.6241</t>
  </si>
  <si>
    <t>Rải căng dây đồng (M), thủ công+máy kéo,td=70mm2</t>
  </si>
  <si>
    <t>D3.6242</t>
  </si>
  <si>
    <t>Rải căng dây đồng (M), thủ công+máy kéo, td=95mm2</t>
  </si>
  <si>
    <t>D3.6243</t>
  </si>
  <si>
    <t>Rải căng dây đồng (M), thủ công+máy kéo,td=120mm2</t>
  </si>
  <si>
    <t>D3.6244</t>
  </si>
  <si>
    <t>Rải căng dây đồng (M), thủ công+máy kéo,td=150mm2</t>
  </si>
  <si>
    <t>D3.6245</t>
  </si>
  <si>
    <t>Rải căng dây đồng (M), thủ công+máy kéo,td=185mm2</t>
  </si>
  <si>
    <t>D3.6271</t>
  </si>
  <si>
    <t>Rải căng dây đồng (M), thủ công+máy kéo,td&gt;=240mm2</t>
  </si>
  <si>
    <t>D3.6301</t>
  </si>
  <si>
    <t>Lắp đặt cáp xoắn loại cáp 4x16mm2</t>
  </si>
  <si>
    <t>D3.6302</t>
  </si>
  <si>
    <t>Lắp đặt cáp xoắn loại cáp 4x25mm2</t>
  </si>
  <si>
    <t>D3.6303</t>
  </si>
  <si>
    <t>Lắp đặt cáp xoắn loại cáp 4x35mm2</t>
  </si>
  <si>
    <t>D3.6304</t>
  </si>
  <si>
    <t>Lắp đặt cáp xoắn loại cáp 4x50mm2</t>
  </si>
  <si>
    <t>D3.6305</t>
  </si>
  <si>
    <t>Lắp đặt cáp xoắn loại cáp 4x70mm2</t>
  </si>
  <si>
    <t>D3.6307</t>
  </si>
  <si>
    <t>Lắp đặt cáp xoắn loại cáp 4x120mm2</t>
  </si>
  <si>
    <t>D3.6501a</t>
  </si>
  <si>
    <t>Lắp đặt cáp xoắn loại cáp 3x16mm2</t>
  </si>
  <si>
    <t>D3.6502a</t>
  </si>
  <si>
    <t>Lắp đặt cáp xoắn loại cáp 3x25mm2</t>
  </si>
  <si>
    <t>D3.6503a</t>
  </si>
  <si>
    <t>Lắp đặt cáp xoắn loại cáp 3x35mm2</t>
  </si>
  <si>
    <t>D3.6504a</t>
  </si>
  <si>
    <t>Lắp đặt cáp xoắn loại cáp 3x50mm2</t>
  </si>
  <si>
    <t>D3.6505a</t>
  </si>
  <si>
    <t>Lắp đặt cáp xoắn loại cáp 3x70mm2</t>
  </si>
  <si>
    <t>D3.6506a</t>
  </si>
  <si>
    <t>Lắp đặt cáp xoắn loại cáp 3x95mm2</t>
  </si>
  <si>
    <t>D3.6507a</t>
  </si>
  <si>
    <t>Lắp đặt cáp xoắn loại cáp 3x120mm2</t>
  </si>
  <si>
    <t>D3.6508a</t>
  </si>
  <si>
    <t>Lắp đặt cáp xoắn loại cáp &gt; 3x120mm2</t>
  </si>
  <si>
    <t>D3.6501b</t>
  </si>
  <si>
    <t>Lắp đặt cáp xoắn loại cáp 2x16mm2</t>
  </si>
  <si>
    <t>D3.6502b</t>
  </si>
  <si>
    <t>Lắp đặt cáp xoắn loại cáp 2x25mm2</t>
  </si>
  <si>
    <t>D3.6503b</t>
  </si>
  <si>
    <t>Lắp đặt cáp xoắn loại cáp 2x35mm2</t>
  </si>
  <si>
    <t>D3.6504b</t>
  </si>
  <si>
    <t>Lắp đặt cáp xoắn loại cáp 2x50mm2</t>
  </si>
  <si>
    <t>D3.6505b</t>
  </si>
  <si>
    <t>Lắp đặt cáp xoắn loại cáp 2x70mm2</t>
  </si>
  <si>
    <t>D3.6506b</t>
  </si>
  <si>
    <t>Lắp đặt cáp xoắn loại cáp 2x95mm2</t>
  </si>
  <si>
    <t>D3.6507b</t>
  </si>
  <si>
    <t>Lắp đặt cáp xoắn loại cáp 2x120mm2</t>
  </si>
  <si>
    <t>D3.6508b</t>
  </si>
  <si>
    <t>Lắp đặt cáp xoắn loại cáp &gt; 2x120mm2</t>
  </si>
  <si>
    <t>D4.1111</t>
  </si>
  <si>
    <t>Phá dỡ nền xi măng không cốt thép</t>
  </si>
  <si>
    <t>D4.1112</t>
  </si>
  <si>
    <t>Phá dỡ nền xi măng có cốt thép</t>
  </si>
  <si>
    <t>D4.1113</t>
  </si>
  <si>
    <t>Phá dỡ nền gạch lá nem</t>
  </si>
  <si>
    <t>D4.1114</t>
  </si>
  <si>
    <t>Phá dỡ nền gạch xi măng</t>
  </si>
  <si>
    <t>D4.1115</t>
  </si>
  <si>
    <t>Phá dỡ nền gạch chỉ</t>
  </si>
  <si>
    <t>D4.1116</t>
  </si>
  <si>
    <t>Phá dỡ tấm đan bê tông</t>
  </si>
  <si>
    <t>D4.1121</t>
  </si>
  <si>
    <t>Phá dỡ mặt đường cấp phối</t>
  </si>
  <si>
    <t>D4.1122</t>
  </si>
  <si>
    <t>Phá dỡ mặt đường đá dăm</t>
  </si>
  <si>
    <t>D4.1123</t>
  </si>
  <si>
    <t>Phá dỡ mặt đường đá dăm nhựa</t>
  </si>
  <si>
    <t>D4.1124</t>
  </si>
  <si>
    <t>Phá dỡ mặt đường bê tông áp phân</t>
  </si>
  <si>
    <t>D4.1125</t>
  </si>
  <si>
    <t>Phá dỡ mặt đường bê tông xi măng</t>
  </si>
  <si>
    <t>D4.1131</t>
  </si>
  <si>
    <t>Phá dỡ nền đường xếp đá hộc bằng thủ công</t>
  </si>
  <si>
    <t>D4.1132</t>
  </si>
  <si>
    <t>Phá dỡ bê tông có cốt thép bằng thủ công</t>
  </si>
  <si>
    <t>D4.1133</t>
  </si>
  <si>
    <t>Phá dỡ bê tông không có cốt thép bằng thủ công</t>
  </si>
  <si>
    <t>D4.1134</t>
  </si>
  <si>
    <t>Phá dỡ kết cấu gạch bằng thủ công</t>
  </si>
  <si>
    <t>D4.1201</t>
  </si>
  <si>
    <t>Phá dỡ bê tông đá dăm có cốt thép bằng búa căn</t>
  </si>
  <si>
    <t>D4.1202</t>
  </si>
  <si>
    <t>Phá dỡ bê tông đá dăm không có cốt thép bằng búa căn</t>
  </si>
  <si>
    <t>D4.1203</t>
  </si>
  <si>
    <t>Phá dỡ kết cấu gạch bằng búa căn</t>
  </si>
  <si>
    <t>D4.1221</t>
  </si>
  <si>
    <t>Phá dỡ bê tông đá dăm có cốt thép bằng khoan cầm tay</t>
  </si>
  <si>
    <t>D4.1222</t>
  </si>
  <si>
    <t>Phá dỡ bê tông đá dăm không có cốt thép bằng khoan cầm tay</t>
  </si>
  <si>
    <t>D4.1223</t>
  </si>
  <si>
    <t>Phá dỡ gạch đá bằng khoan cầm tay</t>
  </si>
  <si>
    <t>D4.1101</t>
  </si>
  <si>
    <t>Rãi cát đệm bảo vệ đường cáp ngầm</t>
  </si>
  <si>
    <t>D4.1102</t>
  </si>
  <si>
    <t>Rãi lưới ny lon bảo vệ đường cáp ngầm</t>
  </si>
  <si>
    <t>D4.1103</t>
  </si>
  <si>
    <t>Rãi lưới thép bảo vệ đường cáp ngầm</t>
  </si>
  <si>
    <t>D4.1104</t>
  </si>
  <si>
    <t>Xếp gạch bảo vệ đường cáp ngầm</t>
  </si>
  <si>
    <t>1000v</t>
  </si>
  <si>
    <t>D4.1105</t>
  </si>
  <si>
    <t>Bảo vệ đường cáp ngầm bằng tấm đan BT trọng lượng &lt;= 20 kg</t>
  </si>
  <si>
    <t>tấm</t>
  </si>
  <si>
    <t>D4.1106</t>
  </si>
  <si>
    <t>Bảo vệ đường cáp ngầm bằng tấm đan BT trọng lượng &gt; 20 kg</t>
  </si>
  <si>
    <t>Lắp ống thép bảo vệ cáp, đk ống &lt;=25mm</t>
  </si>
  <si>
    <t>Lắp ống thép bảo vệ cáp, đk ống &lt;=50 mm</t>
  </si>
  <si>
    <t>Lắp ống thép bảo vệ cáp, đk ống &lt;=75 mm</t>
  </si>
  <si>
    <t>D4.1204</t>
  </si>
  <si>
    <t>Lắp ống thép bảo vệ cáp, đk ống &lt;=100 mm</t>
  </si>
  <si>
    <t>D4.1205</t>
  </si>
  <si>
    <t>Lắp ống thép bảo vệ cáp, đk ống &gt;100 mm</t>
  </si>
  <si>
    <t>D4.1301</t>
  </si>
  <si>
    <t>Lắp đặt ống gang, thép bảo vệ cáp qua đường, D &lt;= 120 mm</t>
  </si>
  <si>
    <t>D4.1302</t>
  </si>
  <si>
    <t>Lắp đặt ống gang, thép bảo vệ cáp qua đường, D &lt;= 220 mm</t>
  </si>
  <si>
    <t>D4.1303</t>
  </si>
  <si>
    <t>Lắp đặt ống bê tông bảo vệ cáp qua đường, D &lt;= 150 mm</t>
  </si>
  <si>
    <t>D4.1304</t>
  </si>
  <si>
    <t>Lắp đặt ống bê tông bảo vệ cáp qua đường, D &lt;= 250 mm</t>
  </si>
  <si>
    <t>D4.1401</t>
  </si>
  <si>
    <t>Lắp ống nhựa bảo vệ cáp, đường kính ống &lt;=15 mm</t>
  </si>
  <si>
    <t>D4.1402</t>
  </si>
  <si>
    <t>Lắp ống nhựa bảo vệ cáp, đường kính ống &lt;=20 mm</t>
  </si>
  <si>
    <t>D4.1403</t>
  </si>
  <si>
    <t>Lắp ống nhựa bảo vệ cáp, đường kính ống &lt;=25 mm</t>
  </si>
  <si>
    <t>D4.1404</t>
  </si>
  <si>
    <t>Lắp ống nhựa bảo vệ cáp, đường kính ống &lt;=32 mm</t>
  </si>
  <si>
    <t>D4.1405</t>
  </si>
  <si>
    <t>Lắp ống nhựa bảo vệ cáp, đường kính ống &lt;=40 mm</t>
  </si>
  <si>
    <t>D4.1406</t>
  </si>
  <si>
    <t>Lắp ống nhựa bảo vệ cáp, đường kính ống &lt;=50 mm</t>
  </si>
  <si>
    <t>D4.1407</t>
  </si>
  <si>
    <t>Lắp ống nhựa bảo vệ cáp, đường kính ống &lt;=67 mm</t>
  </si>
  <si>
    <t>D4.1408</t>
  </si>
  <si>
    <t>Lắp ống nhựa bảo vệ cáp, đường kính ống &lt;=76 mm</t>
  </si>
  <si>
    <t>D4.1409</t>
  </si>
  <si>
    <t>Lắp ống nhựa bảo vệ cáp, đường kính ống &lt;=89 mm</t>
  </si>
  <si>
    <t>D4.1410</t>
  </si>
  <si>
    <t>Lắp ống nhựa bảo vệ cáp, đường kính ống &lt;=100 mm</t>
  </si>
  <si>
    <t>D4.1411</t>
  </si>
  <si>
    <t>Lắp ống nhựa bảo vệ cáp, đường kính ống &lt;=110 mm</t>
  </si>
  <si>
    <t>D4.1412</t>
  </si>
  <si>
    <t>Lắp ống nhựa bảo vệ cáp, đường kính ống &lt;=150 mm</t>
  </si>
  <si>
    <t>D4.1413</t>
  </si>
  <si>
    <t>Lắp ống nhựa bảo vệ cáp, đường kính ống &lt;=200 mm</t>
  </si>
  <si>
    <t>D4.1414</t>
  </si>
  <si>
    <t>Lắp ống nhựa bảo vệ cáp, đường kính ống &lt;=250 mm</t>
  </si>
  <si>
    <t>D4.2101</t>
  </si>
  <si>
    <t>Kéo rải và lắp đặt cáp ngầm TL &lt;= 1kg/m</t>
  </si>
  <si>
    <t>D4.2102</t>
  </si>
  <si>
    <t>Kéo rải và lắp đặt cáp ngầm TL &lt;= 2kg/m</t>
  </si>
  <si>
    <t>D4.2103</t>
  </si>
  <si>
    <t>Kéo rải và lắp đặt cáp ngầm TL &lt;= 3kg/m</t>
  </si>
  <si>
    <t>D4.2104</t>
  </si>
  <si>
    <t>Kéo rải và lắp đặt cáp ngầm TL &lt;= 4.5kg/m</t>
  </si>
  <si>
    <t>D4.2105</t>
  </si>
  <si>
    <t>Kéo rải và lắp đặt cáp ngầm TL &lt;= 6kg/m</t>
  </si>
  <si>
    <t>D4.2106</t>
  </si>
  <si>
    <t>Kéo rải và lắp đặt cáp ngầm TL &lt;= 7.5kg/m</t>
  </si>
  <si>
    <t>D4.2107</t>
  </si>
  <si>
    <t>Kéo rải và lắp đặt cáp ngầm TL &lt;= 9kg/m</t>
  </si>
  <si>
    <t>D4.2108</t>
  </si>
  <si>
    <t>Kéo rải và lắp đặt cáp ngầm TL &lt;= 10.5kg/m</t>
  </si>
  <si>
    <t>D4.2109</t>
  </si>
  <si>
    <t>Kéo rải và lắp đặt cáp ngầm TL &lt;= 12kg/m</t>
  </si>
  <si>
    <t>D4.2110</t>
  </si>
  <si>
    <t>Kéo rải và lắp đặt cáp ngầm TL &lt;= 15kg/m</t>
  </si>
  <si>
    <t>D4.2111</t>
  </si>
  <si>
    <t>Kéo rải và lắp đặt cáp ngầm TL &lt;= 18kg/m</t>
  </si>
  <si>
    <t>D4.2112</t>
  </si>
  <si>
    <t>Kéo rải và lắp đặt cáp ngầm TL &lt;= 21kg/m</t>
  </si>
  <si>
    <t>D4.2113</t>
  </si>
  <si>
    <t>Kéo rải và lắp đặt cáp ngầm TL &lt;= 24kg/m</t>
  </si>
  <si>
    <t>D4.2114</t>
  </si>
  <si>
    <t>Kéo rải và lắp đặt cáp ngầm TL &lt;= 28kg/m</t>
  </si>
  <si>
    <t>D4.2115</t>
  </si>
  <si>
    <t>Kéo rải và lắp đặt cáp ngầm TL &lt;= 32kg/m</t>
  </si>
  <si>
    <t>D4.3201</t>
  </si>
  <si>
    <t>Lắp đặt cáp trên giá đỡ đặt ở tường, trong hầm cáp, TL &lt;= 1 kg/m</t>
  </si>
  <si>
    <t>D4.3202</t>
  </si>
  <si>
    <t>Lắp đặt cáp trên giá đỡ đặt ở tường, trong hầm cáp, TL&lt;= 2 kg/m</t>
  </si>
  <si>
    <t>D4.3203</t>
  </si>
  <si>
    <t>Lắp đặt cáp trên giá đỡ đặt ở tường, trong hầm cáp, TL&lt;= 3 kg/m</t>
  </si>
  <si>
    <t>D4.3204</t>
  </si>
  <si>
    <t>Lắp đặt cáp trên giá đỡ đặt ở tường, trong hầm cáp, TL &lt;= 4,5 kg/m</t>
  </si>
  <si>
    <t>D4.3205</t>
  </si>
  <si>
    <t>Lắp đặt cáp trên giá đỡ đặt ở tường, trong hầm cáp, TL &lt;= 6 kg/m</t>
  </si>
  <si>
    <t>D4.3206</t>
  </si>
  <si>
    <t>Lắp đặt cáp trên giá đỡ đặt ở tường, trong hầm cáp, TL &lt;= 7,5 kg/m</t>
  </si>
  <si>
    <t>D4.3207</t>
  </si>
  <si>
    <t>Lắp đặt cáp trên giá đỡ đặt ở tường, trong hầm cáp, TL &lt;= 9 kg/m</t>
  </si>
  <si>
    <t>D4.3208</t>
  </si>
  <si>
    <t>Lắp đặt cáp trên giá đỡ đặt ở tường, trong hầm cáp, TL &lt;= 10,5 kg/m</t>
  </si>
  <si>
    <t>D4.3211</t>
  </si>
  <si>
    <t>Lắp đặt cáp trên giá đỡ đặt ở tường, trong hầm cáp, TL &lt;= 12 kg/m</t>
  </si>
  <si>
    <t>D4.3212</t>
  </si>
  <si>
    <t>Lắp đặt cáp trên giá đỡ đặt ở tường, trong hầm cáp, TL&lt;= 15 kg/m</t>
  </si>
  <si>
    <t>D4.3213</t>
  </si>
  <si>
    <t>Lắp đặt cáp trên giá đỡ đặt ở tường, trong hầm cáp, TL &lt;= 18 kg/m</t>
  </si>
  <si>
    <t>D4.3214</t>
  </si>
  <si>
    <t>Lắp đặt cáp trên giá đỡ đặt ở tường, trong hầm cáp, TL&lt;= 21 kg/m</t>
  </si>
  <si>
    <t>D4.3215</t>
  </si>
  <si>
    <t>Lắp đặt cáp trên giá đỡ đặt ở tường, trong hầm cáp, TL &lt;= 24 kg/m</t>
  </si>
  <si>
    <t>D4.3216</t>
  </si>
  <si>
    <t>Lắp đặt cáp trên giá đỡ đặt ở tường, trong hầm cáp, TL &lt;= 28 kg/m</t>
  </si>
  <si>
    <t>D4.3217</t>
  </si>
  <si>
    <t>Lắp đặt cáp trên giá đỡ đặt ở tường, trong hầm cáp, TL &lt;= 32 kg/m</t>
  </si>
  <si>
    <t>D4.3301</t>
  </si>
  <si>
    <t>Lắp đặt cáp treo trên dây thép, TL &lt;= 1 kg/m</t>
  </si>
  <si>
    <t>D4.3302</t>
  </si>
  <si>
    <t>Lắp đặt cáp treo trên dây thép, TL&lt;= 2 kg/m</t>
  </si>
  <si>
    <t>D4.3303</t>
  </si>
  <si>
    <t>Lắp đặt cáp treo trên dây thép, TL &lt;= 3 kg/m</t>
  </si>
  <si>
    <t>D4.3304</t>
  </si>
  <si>
    <t>Lắp đặt cáp treo trên dây thép, TL &lt;= 4,5 kg/m</t>
  </si>
  <si>
    <t>D4.3305</t>
  </si>
  <si>
    <t>Lắp đặt cáp treo trên dây thép, TL &lt;= 6 kg/m</t>
  </si>
  <si>
    <t>D4.3311</t>
  </si>
  <si>
    <t>Lắp đặt cáp treo trên dây thép, TL&lt;= 7,5 kg/m</t>
  </si>
  <si>
    <t>D4.3312</t>
  </si>
  <si>
    <t>Lắp đặt cáp treo trên dây thép, TL &lt;= 9 kg/m</t>
  </si>
  <si>
    <t>D4.3313</t>
  </si>
  <si>
    <t>Lắp đặt cáp treo trên dây thép, TL &lt;= 10,5 kg/m</t>
  </si>
  <si>
    <t>D4.3314</t>
  </si>
  <si>
    <t>Lắp đặt cáp treo trên dây thép, TL &lt;= 12 kg/m</t>
  </si>
  <si>
    <t>D4.3401</t>
  </si>
  <si>
    <t>Lắp đặt cáp trong ống bảo vệ, TL &lt;= 1 kg/m</t>
  </si>
  <si>
    <t>D4.3402</t>
  </si>
  <si>
    <t>Lắp đặt cáp trong ống bảo vệ, TL &lt;= 2 kg/m</t>
  </si>
  <si>
    <t>D4.3403</t>
  </si>
  <si>
    <t>Lắp đặt cáp trong ống bảo vệ, TL&lt;= 3 kg/m</t>
  </si>
  <si>
    <t>D4.3404</t>
  </si>
  <si>
    <t>Lắp đặt cáp trong ống bảo vệ, TL &lt;= 4,5 kg/m</t>
  </si>
  <si>
    <t>D4.3405</t>
  </si>
  <si>
    <t>Lắp đặt cáp trong ống bảo vệ, TL&lt;= 6 kg/m</t>
  </si>
  <si>
    <t>D4.3406</t>
  </si>
  <si>
    <t>Lắp đặt cáp trong ống bảo vệ, TL&lt;= 7,5 kg/m</t>
  </si>
  <si>
    <t>D4.3407</t>
  </si>
  <si>
    <t>Lắp đặt cáp trong ống bảo vệ, TL&lt;= 9 kg/m</t>
  </si>
  <si>
    <t>D4.3408</t>
  </si>
  <si>
    <t>Lắp đặt cáp trong ống bảo vệ, TL &lt;= 10,5 kg/m</t>
  </si>
  <si>
    <t>D4.3411</t>
  </si>
  <si>
    <t>Lắp đặt cáp trong ống bảo vệ, TL &lt;= 12 kg/m</t>
  </si>
  <si>
    <t>D4.3412</t>
  </si>
  <si>
    <t>Lắp đặt cáp trong ống bảo vệ, TL &lt;= 15 kg/m</t>
  </si>
  <si>
    <t>D4.3413</t>
  </si>
  <si>
    <t>Lắp đặt cáp trong ống bảo vệ, TL &lt;= 18 kg/m</t>
  </si>
  <si>
    <t>D4.3414</t>
  </si>
  <si>
    <t>Lắp đặt cáp trong ống bảo vệ, TL &lt;= 21 kg/m</t>
  </si>
  <si>
    <t>D4.3415</t>
  </si>
  <si>
    <t>Lắp đặt cáp trong ống bảo vệ, TL &lt;= 24 kg/m</t>
  </si>
  <si>
    <t>D4.3416</t>
  </si>
  <si>
    <t>Lắp đặt cáp trong ống bảo vệ, TL&lt;= 28 kg/m</t>
  </si>
  <si>
    <t>D4.3417</t>
  </si>
  <si>
    <t>Lắp đặt cáp trong ống bảo vệ, TL &lt;= 32 kg/m</t>
  </si>
  <si>
    <t>35.090230.02</t>
  </si>
  <si>
    <t>Kéo rải cáp quang trong ống bảo vệ</t>
  </si>
  <si>
    <t>D4.4101</t>
  </si>
  <si>
    <t>Làm đầu cáp khô điện áp &lt;= 1kV, 3-4 ruột, tiết diện cáp &lt;= 35 mm2</t>
  </si>
  <si>
    <t>Đầu</t>
  </si>
  <si>
    <t>D4.4102</t>
  </si>
  <si>
    <t>Làm đầu cáp khô điện áp &lt;= 1kV, 3-4 ruột, tiết diện cáp &lt;= 70 mm2</t>
  </si>
  <si>
    <t>D4.4103</t>
  </si>
  <si>
    <t>Làm đầu cáp khô điện áp &lt;= 1kV, 3-4 ruột, tiết diện cáp &lt;= 120 mm2</t>
  </si>
  <si>
    <t>D4.4104</t>
  </si>
  <si>
    <t>Làm đầu cáp khô điện áp &lt;= 1kV, 3-4 ruột, tiết diện cáp &lt;= 185 mm2</t>
  </si>
  <si>
    <t>D4.4105</t>
  </si>
  <si>
    <t>Làm đầu cáp khô điện áp &lt;= 1kV, 3-4 ruột, tiết diện cáp &lt;= 240 mm2</t>
  </si>
  <si>
    <t>D4.4106</t>
  </si>
  <si>
    <t>Làm đầu cáp khô điện áp &lt;= 1kV, 3-4 ruột, tiết diện cáp &lt;= 300 mm2</t>
  </si>
  <si>
    <t>D4.4107</t>
  </si>
  <si>
    <t>Làm đầu cáp khô điện áp &lt;= 1kV, 3-4 ruột, tiết diện cáp &lt;= 400 mm2</t>
  </si>
  <si>
    <t>D4.4211</t>
  </si>
  <si>
    <t>Làm đầu cáp khô điện áp 3-6kV, 1 pha, tiết diện cáp &lt;= 35 mm2</t>
  </si>
  <si>
    <t>D4.4212</t>
  </si>
  <si>
    <t>Làm đầu cáp khô điện áp 3-6kV, 1 pha, tiết diện cáp &lt;= 70 mm2</t>
  </si>
  <si>
    <t>D4.4213</t>
  </si>
  <si>
    <t>Làm đầu cáp khô điện áp 3-6kV, 1 pha, tiết diện cáp &lt;= 120 mm2</t>
  </si>
  <si>
    <t>D4.4214</t>
  </si>
  <si>
    <t>Làm đầu cáp khô điện áp 3-6kV, 1 pha, tiết diện cáp &lt;= 185 mm2</t>
  </si>
  <si>
    <t>D4.4215</t>
  </si>
  <si>
    <t>Làm đầu cáp khô điện áp 3-6kV, 1 pha, tiết diện cáp &lt;= 240 mm2</t>
  </si>
  <si>
    <t>D4.4216</t>
  </si>
  <si>
    <t>Làm đầu cáp khô điện áp 3-6kV, 1 pha, tiết diện cáp &lt;= 300 mm2</t>
  </si>
  <si>
    <t>D4.4217</t>
  </si>
  <si>
    <t>Làm đầu cáp khô điện áp 3-6kV, 1 pha, tiết diện cáp &lt;= 400 mm2</t>
  </si>
  <si>
    <t>D4.4221</t>
  </si>
  <si>
    <t>Làm đầu cáp khô điện áp 10-15kV, 1 pha, tiết diện cáp &lt;= 35 mm2</t>
  </si>
  <si>
    <t>D4.4222</t>
  </si>
  <si>
    <t>Làm đầu cáp khô điện áp 10-15kV, 1 pha, tiết diện cáp &lt;= 70 mm2</t>
  </si>
  <si>
    <t>D4.4223</t>
  </si>
  <si>
    <t>Làm đầu cáp khô điện áp 10-15kV, 1 pha, tiết diện cáp &lt;= 120 mm2</t>
  </si>
  <si>
    <t>D4.4224</t>
  </si>
  <si>
    <t>Làm đầu cáp khô điện áp 10-15kV, 1 pha, tiết diện cáp &lt;= 185 mm2</t>
  </si>
  <si>
    <t>D4.4225</t>
  </si>
  <si>
    <t>Làm đầu cáp khô điện áp 10-15kV, 1 pha, tiết diện cáp &lt;= 240 mm2</t>
  </si>
  <si>
    <t>D4.4226</t>
  </si>
  <si>
    <t>Làm đầu cáp khô điện áp 10-15kV, 1 pha, tiết diện cáp &lt;= 300 mm2</t>
  </si>
  <si>
    <t>D4.4227</t>
  </si>
  <si>
    <t>Làm đầu cáp khô điện áp 10-15kV, 1 pha, tiết diện cáp &lt;= 400 mm2</t>
  </si>
  <si>
    <t>D4.4311</t>
  </si>
  <si>
    <t>Làm đầu cáp khô điện áp 22kV, 1(3) pha, tiết diện cáp &lt;= 35 mm2</t>
  </si>
  <si>
    <t>D4.4312</t>
  </si>
  <si>
    <t>Làm đầu cáp khô điện áp 22kV, 1(3) pha, tiết diện cáp &lt;= 70 mm2</t>
  </si>
  <si>
    <t>D4.4313</t>
  </si>
  <si>
    <t>Làm đầu cáp khô điện áp 22kV, 1(3) pha, tiết diện cáp &lt;= 120 mm2</t>
  </si>
  <si>
    <t>Làm đầu cáp khô điện áp 22kV, 1(3) pha, tiết diện cáp &lt;= 185 mm2</t>
  </si>
  <si>
    <t>D4.4315</t>
  </si>
  <si>
    <t>Làm đầu cáp khô điện áp 22kV, 1(3) pha, tiết diện cáp &lt;= 240 mm2</t>
  </si>
  <si>
    <t>D4.4316</t>
  </si>
  <si>
    <t>Làm đầu cáp khô điện áp 22kV, 1(3) pha, tiết diện cáp &lt;= 300 mm2</t>
  </si>
  <si>
    <t>D4.4317</t>
  </si>
  <si>
    <t>Làm đầu cáp khô điện áp 22kV, 1(3) pha, tiết diện cáp &lt;= 400 mm2</t>
  </si>
  <si>
    <t>D4.4321</t>
  </si>
  <si>
    <t>Làm đầu cáp khô điện áp 35kV, 1 pha, tiết diện cáp &lt;= 35 mm2</t>
  </si>
  <si>
    <t>D4.4322</t>
  </si>
  <si>
    <t>Làm đầu cáp khô điện áp 35kV, 1 pha, tiết diện cáp &lt;= 70 mm2</t>
  </si>
  <si>
    <t>D4.4323</t>
  </si>
  <si>
    <t>Làm đầu cáp khô điện áp 35kV, 1 pha, tiết diện cáp &lt;= 120 mm2</t>
  </si>
  <si>
    <t>D4.4324</t>
  </si>
  <si>
    <t>Làm đầu cáp khô điện áp 35kV, 1 pha, tiết diện cáp &lt;= 185 mm2</t>
  </si>
  <si>
    <t>D4.4325</t>
  </si>
  <si>
    <t>Làm đầu cáp khô điện áp 35kV, 1 pha, tiết diện cáp &lt;= 240 mm2</t>
  </si>
  <si>
    <t>D4.4326</t>
  </si>
  <si>
    <t>Làm đầu cáp khô điện áp 35kV, 1 pha, tiết diện cáp &lt;= 300 mm2</t>
  </si>
  <si>
    <t>D4.4327</t>
  </si>
  <si>
    <t>Làm đầu cáp khô điện áp 35kV, 1 pha, tiết diện cáp &lt;= 400 mm2</t>
  </si>
  <si>
    <t>D4.5101</t>
  </si>
  <si>
    <t>Hộp nối cáp &lt;= 1 kV, 3-4 ruột, tiết diện cáp &lt;= 35 mm2</t>
  </si>
  <si>
    <t>Hộp</t>
  </si>
  <si>
    <t>D4.5102</t>
  </si>
  <si>
    <t>Hộp nối cáp &lt;= 1 kV, 3-4 ruột, tiết diện cáp &lt;= 70 mm2</t>
  </si>
  <si>
    <t>D4.5103</t>
  </si>
  <si>
    <t>Hộp nối cáp &lt;= 1 kV, 3-4 ruột, tiết diện cáp &lt;= 120 mm2</t>
  </si>
  <si>
    <t>D4.5104</t>
  </si>
  <si>
    <t>Hộp nối cáp &lt;= 1 kV, 3-4 ruột, tiết diện cáp &lt;= 185 mm2</t>
  </si>
  <si>
    <t>D4.5105</t>
  </si>
  <si>
    <t>Hộp nối cáp &lt;= 1 kV, 3-4 ruột, tiết diện cáp &lt;= 240 mm2</t>
  </si>
  <si>
    <t>D4.5106</t>
  </si>
  <si>
    <t>Hộp nối cáp &lt;= 1 kV, 3-4 ruột, tiết diện cáp &lt;= 300 mm2</t>
  </si>
  <si>
    <t>D4.5107</t>
  </si>
  <si>
    <t>Hộp nối cáp &lt;= 1 kV, 3-4 ruột, tiết diện cáp &lt;= 400 mm2</t>
  </si>
  <si>
    <t>D4.5301</t>
  </si>
  <si>
    <t>Hộp nối cáp 22 kV, 1(3) pha, tiết diện cáp &lt;= 35 mm2</t>
  </si>
  <si>
    <t>D4.5302</t>
  </si>
  <si>
    <t>Hộp nối cáp 22 kV, 1(3) pha, tiết diện cáp &lt;= 70 mm2</t>
  </si>
  <si>
    <t>D4.5303</t>
  </si>
  <si>
    <t>Hộp nối cáp 22 kV, 1(3) pha, tiết diện cáp &lt;= 120 mm2</t>
  </si>
  <si>
    <t>D4.5304</t>
  </si>
  <si>
    <t>Hộp nối cáp 22 kV, 1(3) pha, tiết diện cáp &lt;= 185 mm2</t>
  </si>
  <si>
    <t>D4.5305</t>
  </si>
  <si>
    <t>Hộp nối cáp 22 kV, 1(3) pha, tiết diện cáp &lt;= 240 mm2</t>
  </si>
  <si>
    <t>D4.5306</t>
  </si>
  <si>
    <t>Hộp nối cáp 22 kV, 1(3) pha, tiết diện cáp &lt;= 300 mm2</t>
  </si>
  <si>
    <t>D4.5307</t>
  </si>
  <si>
    <t>Hộp nối cáp 22 kV, 1(3) pha, tiết diện cáp &lt;= 400 mm2</t>
  </si>
  <si>
    <t>D4.5321</t>
  </si>
  <si>
    <t>Hộp nối cáp 35 kV, 1 pha, tiết diện cáp &lt;= 35 mm2</t>
  </si>
  <si>
    <t>D4.5322</t>
  </si>
  <si>
    <t>Hộp nối cáp 35 kV, 1 pha, tiết diện cáp &lt;= 70 mm2</t>
  </si>
  <si>
    <t>D4.5323</t>
  </si>
  <si>
    <t>Hộp nối cáp 35 kV, 1 pha, tiết diện cáp &lt;= 120 mm2</t>
  </si>
  <si>
    <t>D4.5324</t>
  </si>
  <si>
    <t>Hộp nối cáp 35 kV, 1 pha, tiết diện cáp &lt;= 185 mm2</t>
  </si>
  <si>
    <t>D4.5325</t>
  </si>
  <si>
    <t>Hộp nối cáp 35 kV, 1 pha, tiết diện cáp &lt;= 240 mm2</t>
  </si>
  <si>
    <t>D4.5326</t>
  </si>
  <si>
    <t>Hộp nối cáp 35 kV, 1 pha, tiết diện cáp &lt;= 300 mm2</t>
  </si>
  <si>
    <t>D4.5327</t>
  </si>
  <si>
    <t>Hộp nối cáp 35 kV, 1 pha, tiết diện cáp &lt;= 400 mm2</t>
  </si>
  <si>
    <t>ép đầu cốt, cáp có tiết diện &lt;= 25 mm2</t>
  </si>
  <si>
    <t>10 đầu</t>
  </si>
  <si>
    <t>D4.5002</t>
  </si>
  <si>
    <t>ép đầu cốt, cáp có tiết diện &lt;= 50 mm2</t>
  </si>
  <si>
    <t>ép đầu cốt, cáp có tiết diện &lt;= 70 mm2</t>
  </si>
  <si>
    <t>D4.5004</t>
  </si>
  <si>
    <t>ép đầu cốt, cáp có tiết diện &lt;= 95 mm2</t>
  </si>
  <si>
    <t>ép đầu cốt, cáp có tiết diện &lt;= 120 mm2</t>
  </si>
  <si>
    <t>D4.5006</t>
  </si>
  <si>
    <t>ép đầu cốt, cáp có tiết diện &lt;= 150 mm2</t>
  </si>
  <si>
    <t>ép đầu cốt, cáp có tiết diện &lt;= 185 mm2</t>
  </si>
  <si>
    <t>D4.5008</t>
  </si>
  <si>
    <t>ép đầu cốt, cáp có tiết diện &lt;= 240 mm2</t>
  </si>
  <si>
    <t>D4.5009</t>
  </si>
  <si>
    <t>ép đầu cốt, cáp có tiết diện &lt;= 300 mm2</t>
  </si>
  <si>
    <t>D4.5010</t>
  </si>
  <si>
    <t>ép đầu cốt, cáp có tiết diện &lt;= 400 mm2</t>
  </si>
  <si>
    <t>D4.5011</t>
  </si>
  <si>
    <t>ép đầu cốt, cáp có tiết diện từ 1,5 đến 6 mm2</t>
  </si>
  <si>
    <t>ĐỊNH MỨC 24</t>
  </si>
  <si>
    <t>AK.55110</t>
  </si>
  <si>
    <t xml:space="preserve">Lát gạch xi măng </t>
  </si>
  <si>
    <t>AK.55210</t>
  </si>
  <si>
    <t xml:space="preserve">Lát gạch lá dừa </t>
  </si>
  <si>
    <t>AK.55310</t>
  </si>
  <si>
    <t>Lát gạch con sâu, xi măng tự chèn ( dày 3,5cm)</t>
  </si>
  <si>
    <t>AK.55320</t>
  </si>
  <si>
    <t>Lát gạch con sâu, xi măng tự chèn ( dày 5,5cm)</t>
  </si>
  <si>
    <t>AA.21321</t>
  </si>
  <si>
    <t xml:space="preserve">Tháo dỡ gạch lá nem </t>
  </si>
  <si>
    <t>AA.21322</t>
  </si>
  <si>
    <t>Tháo dỡ gạch xi măng( con sâu)</t>
  </si>
  <si>
    <t>AA.21323</t>
  </si>
  <si>
    <t xml:space="preserve">Tháo dỡ gạch chỉ </t>
  </si>
  <si>
    <t>AK.55320a</t>
  </si>
  <si>
    <t xml:space="preserve">Lắp biển báo hiệu bằng sứ </t>
  </si>
  <si>
    <t>biển</t>
  </si>
  <si>
    <t>AG.422.11</t>
  </si>
  <si>
    <t>Lắp đặt ống công BTLT ( TL&lt;=2T)</t>
  </si>
  <si>
    <t>AG.422.12</t>
  </si>
  <si>
    <t>Lắp đặt ống công BTLT ( TL&lt;=3T)</t>
  </si>
  <si>
    <t>AG.422.13</t>
  </si>
  <si>
    <t>Lắp đặt ống công BTLT ( TL&gt;3T)</t>
  </si>
  <si>
    <t>AG.422.11a</t>
  </si>
  <si>
    <t>Tháo ống công BTLT ( TL&lt;=2T)</t>
  </si>
  <si>
    <t>AG.422.12a</t>
  </si>
  <si>
    <t>Tháo ống công BTLT ( TL&lt;=3T)</t>
  </si>
  <si>
    <t>AG.422.13a</t>
  </si>
  <si>
    <t>Tháo ống công BTLT ( TL&gt;3T)</t>
  </si>
  <si>
    <t>ĐƠN GIÁ 24</t>
  </si>
  <si>
    <t>AL.61110</t>
  </si>
  <si>
    <t>Lắp dựng giàn giáo thép &lt;=16m</t>
  </si>
  <si>
    <t>AL.22112</t>
  </si>
  <si>
    <t xml:space="preserve">Cắt đường nhựa </t>
  </si>
  <si>
    <t>10m</t>
  </si>
  <si>
    <t>AD.11211</t>
  </si>
  <si>
    <t>Làm móng đường cấp phối đá dăm ( lớp dưới)</t>
  </si>
  <si>
    <t>AD.11221</t>
  </si>
  <si>
    <t>Làm móng đường cấp phối đá dăm ( lớp trên)</t>
  </si>
  <si>
    <t>AD.23211</t>
  </si>
  <si>
    <t>Rải thảm mặt đường BTNN hạt thô dày 3cm</t>
  </si>
  <si>
    <t>AD.23212</t>
  </si>
  <si>
    <t>Rải thảm mặt đường BTNN hạt thô dày 4cm</t>
  </si>
  <si>
    <t>AD.23213</t>
  </si>
  <si>
    <t>Rải thảm mặt đường BTNN hạt thô dày 5cm</t>
  </si>
  <si>
    <t>AD.23214</t>
  </si>
  <si>
    <t>Rải thảm mặt đường BTNN hạt thô dày 6cm</t>
  </si>
  <si>
    <t>AD.23215</t>
  </si>
  <si>
    <t>Rải thảm mặt đường BTNN hạt thô dày 7cm</t>
  </si>
  <si>
    <t>AD.23221</t>
  </si>
  <si>
    <t>Rải thảm mặt đường BTNN hạt trung dày 3cm</t>
  </si>
  <si>
    <t>AD.23222</t>
  </si>
  <si>
    <t>Rải thảm mặt đường BTNN hạt trung dày 4cm</t>
  </si>
  <si>
    <t>AD.23223</t>
  </si>
  <si>
    <t>Rải thảm mặt đường BTNN hạt trung dày 5cm</t>
  </si>
  <si>
    <t>AD.23224</t>
  </si>
  <si>
    <t>Rải thảm mặt đường BTNN hạt trung dày 6cm</t>
  </si>
  <si>
    <t>AD.23225</t>
  </si>
  <si>
    <t>Rải thảm mặt đường BTNN hạt trung dày 7cm</t>
  </si>
  <si>
    <t>AD.23231</t>
  </si>
  <si>
    <t>Rải thảm mặt đường BTNN hạt mịn dày 3cm</t>
  </si>
  <si>
    <t>AD.23232</t>
  </si>
  <si>
    <t>Rải thảm mặt đường BTNN hạt mịn dày 4cm</t>
  </si>
  <si>
    <t>AD.23233</t>
  </si>
  <si>
    <t>Rải thảm mặt đường BTNN hạt mịn dày 5cm</t>
  </si>
  <si>
    <t>AD.23234</t>
  </si>
  <si>
    <t>Rải thảm mặt đường BTNN hạt mịn dày 6cm</t>
  </si>
  <si>
    <t>AD.23235</t>
  </si>
  <si>
    <t>Rải thảm mặt đường BTNN hạt mịn dày 7cm</t>
  </si>
  <si>
    <t>AD.24220</t>
  </si>
  <si>
    <t>Tưới lớp dính nhũ tương</t>
  </si>
  <si>
    <t>AA.21431</t>
  </si>
  <si>
    <t xml:space="preserve">Đào phá mặt đường nhựa </t>
  </si>
  <si>
    <t>AA.21451</t>
  </si>
  <si>
    <t xml:space="preserve">Đào phá mặt đường bê tông </t>
  </si>
  <si>
    <t>AA.21451a</t>
  </si>
  <si>
    <t>Đục phá bê tông</t>
  </si>
  <si>
    <t>AA.21451b</t>
  </si>
  <si>
    <t>Đào phá nền đá 4x6</t>
  </si>
  <si>
    <t>AE.34111</t>
  </si>
  <si>
    <t>AK.21124</t>
  </si>
  <si>
    <t>Trát tường ngoài dày 1.5cm vữa M75</t>
  </si>
  <si>
    <t>AK.21224</t>
  </si>
  <si>
    <t>Trát tường trong dày 1.5cm vữa M75</t>
  </si>
  <si>
    <t>ĐỊNH MỨC 366</t>
  </si>
  <si>
    <t>D1.01101</t>
  </si>
  <si>
    <t xml:space="preserve">Tháo dỡ gạch con sâu </t>
  </si>
  <si>
    <t>D1.01102</t>
  </si>
  <si>
    <t>Phá dỡ nền đường đá dăm dày &lt;=20cm</t>
  </si>
  <si>
    <t>D1.01103</t>
  </si>
  <si>
    <t>Phá dỡ nền đường nhựa dày &lt;=10cm</t>
  </si>
  <si>
    <t>D1.01104</t>
  </si>
  <si>
    <t>Phá dỡ nền đường nhựa dày &gt;10cm</t>
  </si>
  <si>
    <t>Phá dỡ nền đường đá dăm thẩm nhựa &lt;=20cm</t>
  </si>
  <si>
    <t>08.0313</t>
  </si>
  <si>
    <t>Tháo Rack 2 sứ ( bao gồm cả sứ )</t>
  </si>
  <si>
    <t>ĐỊNH MỨC KHOAN ĐẶT CÁP NGẦM (1352/QĐ-KHĐT ngày 11-06-2003 - BCN)</t>
  </si>
  <si>
    <t>THĂM DÒ DẪN HƯỚNG CHO MÁY KHOAN NGẦM</t>
  </si>
  <si>
    <t>RB.01</t>
  </si>
  <si>
    <t>Thăm dò dẫn hướng cho máy khoan ngầm</t>
  </si>
  <si>
    <t>KHOAN ĐẶT 1 SỢI CÁP ĐIỆN NGẦM TRÊN CẠN BẰNG MÁY KHOAN NGẦM CÓ ĐỊNH HƯỚNG</t>
  </si>
  <si>
    <t>RB.02</t>
  </si>
  <si>
    <t>Khoan đặt 1 sợi cáp điện ngầm trên cạn bằng máy khoan ngầm có định hướng</t>
  </si>
  <si>
    <t>KHOAN ĐẶT 1 SỢI CÁP ĐIỆN NGẦM  QUA SÔNG BẰNG MÁY KHOAN NGẦM CÓ ĐỊNH HƯỚNG (SỬ DỤNG HT DẪN HƯỚNG STS)</t>
  </si>
  <si>
    <t>RB.03</t>
  </si>
  <si>
    <t>Khoan đặt 1 sợi cáp điện ngầm  qua sông bằng máy khoan ngầm có định hướng (sử dụng HT dẫn hướng STS)</t>
  </si>
  <si>
    <t>KHOAN ĐẶT 2 SỢI CÁP ĐIỆN NGẦM  TRÊN CẠN BẰNG MÁY KHOAN NGẦM CÓ ĐỊNH HƯỚNG</t>
  </si>
  <si>
    <t>RB.04</t>
  </si>
  <si>
    <t>Khoan đặt 2 sợi cáp điện ngầm  trên cạn bằng máy khoan ngầm có định hướng</t>
  </si>
  <si>
    <t>KHOAN ĐẶT 2 SỢI CÁP ĐIỆN NGẦM  QUA SÔNG BẰNG MÁY KHOAN NGẦM CÓ ĐỊNH HƯỚNG (SỬ DỤNG HT DẪN HƯỚNG STS)</t>
  </si>
  <si>
    <t>RB.05</t>
  </si>
  <si>
    <t>Khoan đặt 2 sợi cáp điện ngầm  qua sông bằng máy khoan ngầm có định hướng (sử dụng HT dẫn hướng STS)</t>
  </si>
  <si>
    <t>KHOAN ĐẶT 1 ỐNG NHỰA HDPE ĐƯỜNG KÍNH 150-200MM TRÊN CẠN BẰNG MÁY KHOAN NGẦM CÓ ĐỊNH HƯỚNG</t>
  </si>
  <si>
    <t>RB.D3.1</t>
  </si>
  <si>
    <t>Khoan đặt 1 ống HDPE có đường kính ống nhỏ hơn 150mm trên cạn</t>
  </si>
  <si>
    <t>RB.D3.2</t>
  </si>
  <si>
    <t>Khoan đặt ống HDPE 140-200mm trên cạn bằng máy khoan ngầm có định hướng</t>
  </si>
  <si>
    <t>KHOAN ĐẶT 1 ỐNG NHỰA HDPE ĐƯỜNG KÍNH 150-200MM  QUA SÔNG BẰNG MÁY KHOAN NGẦM CÓ ĐỊNH HƯỚNG</t>
  </si>
  <si>
    <t>RB.D4.1</t>
  </si>
  <si>
    <t>Khoan đặt 1 ống HDPE có đường kính ống nhỏ hơn 150mm qua sông được tính bằng đơn giá khoan đặt 1 sợi cáp ngầm qua sông</t>
  </si>
  <si>
    <t>RB.D4.2</t>
  </si>
  <si>
    <t>Khoan đặt 1 ống nhựa HDPE đường kính 150-200mm  qua sông bằng máy khoan ngầm có định hướng</t>
  </si>
  <si>
    <t>7606*HS</t>
  </si>
  <si>
    <t>01.1411</t>
  </si>
  <si>
    <t>Lắp đặt MBA phân phối - 3 pha 35(22)/0,4KV, S&lt; =30KVA</t>
  </si>
  <si>
    <t>01.1412</t>
  </si>
  <si>
    <t>Lắp đặt MBA phân phối - 3 pha 35(22)/0,4KV, S&lt; =50KVA</t>
  </si>
  <si>
    <t>01.1413</t>
  </si>
  <si>
    <t>Lắp đặt MBA phân phối - 3 pha 35(22)/0,4KV, S&lt; =100KVA</t>
  </si>
  <si>
    <t>T1.1414</t>
  </si>
  <si>
    <t>Lắp đặt MBA phân phối - 3 pha 35(22)/0,4KV, S = 160KVA</t>
  </si>
  <si>
    <t>01.1414</t>
  </si>
  <si>
    <t>Lắp đặt MBA phân phối - 3 pha 35(22)/0,4KV, S&lt; =180KVA</t>
  </si>
  <si>
    <t>T1.1415</t>
  </si>
  <si>
    <t>Lắp đặt MBA phân phối - 3 pha 35(22)/0,4KV, S = 250KVA</t>
  </si>
  <si>
    <t>01.1415</t>
  </si>
  <si>
    <t>Lắp đặt MBA phân phối - 3 pha 35(22)/0,4KV, S&lt; =320KVA</t>
  </si>
  <si>
    <t>01.1415.1</t>
  </si>
  <si>
    <t>Lắp đặt MBA phân phối - 3 pha 35(22)/0,4KV, S = 400KVA</t>
  </si>
  <si>
    <t>01.1416</t>
  </si>
  <si>
    <t>Lắp đặt MBA phân phối - 3 pha 35(22)/0,4KV, S&lt; =560KVA</t>
  </si>
  <si>
    <t>01.1416.1</t>
  </si>
  <si>
    <t>Lắp đặt MBA phân phối - 3 pha 35(22)/0,4KV, S = 630KVA</t>
  </si>
  <si>
    <t>01.1417</t>
  </si>
  <si>
    <t>Lắp đặt MBA phân phối - 3 pha 35(22)/0,4KV, S&gt; =750KVA</t>
  </si>
  <si>
    <t>01.1417.1</t>
  </si>
  <si>
    <t>Lắp đặt MBA phân phối - 3 pha 35(22)/0,4KV, S = 800KVA</t>
  </si>
  <si>
    <t>T1.1418</t>
  </si>
  <si>
    <t>01.1417.3</t>
  </si>
  <si>
    <t>Lắp đặt MBA phân phối - 3 pha 35(22)/0,4KV, S = 1250KVA</t>
  </si>
  <si>
    <t>T1.1419</t>
  </si>
  <si>
    <t>01.1417.5</t>
  </si>
  <si>
    <t>Lắp đặt MBA phân phối - 3 pha 35(22)/0,4KV, S = 1600KVA</t>
  </si>
  <si>
    <t>01.1417.6</t>
  </si>
  <si>
    <t>Lắp đặt MBA phân phối - 3 pha 35(22)/0,4KV, S = 2000KVA</t>
  </si>
  <si>
    <t>01.1417.7</t>
  </si>
  <si>
    <t>Lắp đặt MBA phân phối - 3 pha 35(22)/0,4KV, S = 2500KVA</t>
  </si>
  <si>
    <t>01.1417.8</t>
  </si>
  <si>
    <t>Lắp đặt MBA phân phối - 3 pha 35(22)/0,4KV, S = 3000KVA</t>
  </si>
  <si>
    <t>01.1417.9</t>
  </si>
  <si>
    <t>Lắp đặt MBA phân phối - 3 pha 35(22)/0,4KV, S = 4000KVA</t>
  </si>
  <si>
    <t>01.1417.10</t>
  </si>
  <si>
    <t>Lắp đặt MBA phân phối - 3 pha 35(22)/0,4KV, S = 6300KVA</t>
  </si>
  <si>
    <t>01.1417.11</t>
  </si>
  <si>
    <t>Lắp đặt MBA phân phối - 3 pha 35(22)/0,4KV, S = 12500KVA</t>
  </si>
  <si>
    <t>01.1417.12</t>
  </si>
  <si>
    <t>Lắp đặt MBA phân phối - 3 pha 35(22)/0,4KV, S = 15000KVA</t>
  </si>
  <si>
    <t>01.1421</t>
  </si>
  <si>
    <t>Lắp đặt MBA 3 pha  15;10;6/0,4KV, S&lt; =30KVA</t>
  </si>
  <si>
    <t>01.1422</t>
  </si>
  <si>
    <t>Lắp đặt MBA 3 pha  15;10;6/0,4KV, S&lt; =50KVA</t>
  </si>
  <si>
    <t>01.1423</t>
  </si>
  <si>
    <t>Lắp đặt MBA 3 pha  15;10;6/0,4KV, S&lt; =100KVA</t>
  </si>
  <si>
    <t>01.1424</t>
  </si>
  <si>
    <t>Lắp đặt MBA 3 pha  15;10;6/0,4KV, S&lt; =180KVA</t>
  </si>
  <si>
    <t>01.1425</t>
  </si>
  <si>
    <t>Lắp đặt MBA 3 pha  15;10;6/0,4KV, S&lt; =320KVA</t>
  </si>
  <si>
    <t>01.1426</t>
  </si>
  <si>
    <t>Lắp đặt MBA 3 pha  15;10;6/0,4KV, S&lt; =560KVA</t>
  </si>
  <si>
    <t>01.1427</t>
  </si>
  <si>
    <t>Lắp đặt MBA 3 pha  15;10;6/0,4KV, S&gt; =750KVA</t>
  </si>
  <si>
    <t>01.1431.1</t>
  </si>
  <si>
    <t>Lắp đặt MBA 1 pha 12,7/0,23-0,46KV 10KVA</t>
  </si>
  <si>
    <t>01.1431.2</t>
  </si>
  <si>
    <t>Lắp đặt MBA 1 pha 12,7/0,23-0,46KV 15KVA</t>
  </si>
  <si>
    <t>01.1431.3</t>
  </si>
  <si>
    <t>Lắp đặt MBA 1 pha 12,7/0,23-0,46KV 25KVA</t>
  </si>
  <si>
    <t>01.1431</t>
  </si>
  <si>
    <t>Lắp đặt MBA 1 pha 12,7/0,23-0,46KV &lt;=30KVA</t>
  </si>
  <si>
    <t>01.1431.4</t>
  </si>
  <si>
    <t>Lắp đặt MBA 1 pha 12,7/0,23-0,46KV 37,5KVA</t>
  </si>
  <si>
    <t>T1.1432</t>
  </si>
  <si>
    <t>Lắp đặt MBA 1 pha 12,7/0,23-0,46KV &lt;=50KVA</t>
  </si>
  <si>
    <t>01.1434</t>
  </si>
  <si>
    <t>Lắp đặt MBA 1 pha 12,7/0,23-0,46KV &lt;=100KVA</t>
  </si>
  <si>
    <t>01.1435</t>
  </si>
  <si>
    <t>Lắp đặt MBA 1 pha 12,7/0,23-0,46KV &lt;=150KVA</t>
  </si>
  <si>
    <t>01.1436</t>
  </si>
  <si>
    <t>Lắp đặt MBA 1 pha 12,7/0,23-0,46KV &lt;=250KVA</t>
  </si>
  <si>
    <t>02.1114</t>
  </si>
  <si>
    <t>Lắp đặt TU 1 pha &lt; = 35KV</t>
  </si>
  <si>
    <t>02.1115</t>
  </si>
  <si>
    <t>Lắp đặt TU 1 pha &lt; = 10KV</t>
  </si>
  <si>
    <t>T2.1104.1p</t>
  </si>
  <si>
    <t>Lắp đặt TU 3 pha &lt; = 35KV</t>
  </si>
  <si>
    <t>02.1117</t>
  </si>
  <si>
    <t>Lắp đặt TU 3 pha &lt; = 10KV</t>
  </si>
  <si>
    <t>T2.1204.1p</t>
  </si>
  <si>
    <t>Lắp đặt TI  &lt; = 35KV (1 bộ 1 pha)</t>
  </si>
  <si>
    <t>02.1125</t>
  </si>
  <si>
    <t>Lắp đặt TI &lt; = 10KV (1 bộ 1 pha)</t>
  </si>
  <si>
    <t>T2.2103</t>
  </si>
  <si>
    <t>Lắp đặt máy cắt 3 pha ít dầu ngoài trời loại &lt; =35KV</t>
  </si>
  <si>
    <t>02.2114</t>
  </si>
  <si>
    <t>Lắp đặt máy cắt 3 pha dùng khí loại &lt; =35KV</t>
  </si>
  <si>
    <t>T2.3114</t>
  </si>
  <si>
    <t>Lắp đặt DCL 1 pha ngoài trời không tiếp đất loại &lt; =35KV</t>
  </si>
  <si>
    <t>02.3114b</t>
  </si>
  <si>
    <t>Lắp đặt DCL 1P- ngoài trời, tiếp đất 1 đầu loại &lt; =35KV</t>
  </si>
  <si>
    <t>02.3114c</t>
  </si>
  <si>
    <t>Lắp đặt DCL 1P- ngoài trời, tiếp đất 2 đầu loại &lt; =35KV</t>
  </si>
  <si>
    <t>T2.3213</t>
  </si>
  <si>
    <t>Lắp đặt DCL 3 pha ngoài trời không tiếp đất loại &lt; =35KV</t>
  </si>
  <si>
    <t>02.3123b</t>
  </si>
  <si>
    <t>Lắp đặt DCL 3P- ngoài trời, tiếp đất 1 đầu loại &lt; =35KV</t>
  </si>
  <si>
    <t>02.3123c</t>
  </si>
  <si>
    <t>Lắp đặt DCL 3P- ngoài trời, tiếp đất 2 đầu loại &lt; =35KV</t>
  </si>
  <si>
    <t>02.3131a</t>
  </si>
  <si>
    <t>Lắp đặt DCL 3 pha, trong nhà loại &lt; =35KV, không tiếp địa</t>
  </si>
  <si>
    <t>02.3131b</t>
  </si>
  <si>
    <t>Lắp đặt DCL 3 pha, trong nhà loại &lt; =35KV, tiếp địa 1 đầu</t>
  </si>
  <si>
    <t>02.3131c</t>
  </si>
  <si>
    <t>Lắp đặt DCL 3 pha, trong nhà loại &lt; =35KV, tiếp địa 2 đầu</t>
  </si>
  <si>
    <t>02.3131d</t>
  </si>
  <si>
    <t>Lắp đặt tủ LBS-SF6 24kV</t>
  </si>
  <si>
    <t>02.3131a1</t>
  </si>
  <si>
    <t>Lắp đặt DCL 1 pha, trong nhà loại &lt; =35KV, không tiếp địa</t>
  </si>
  <si>
    <t>02.3131b1</t>
  </si>
  <si>
    <t>Lắp đặt DCL 1 pha, trong nhà loại &lt; =35KV, tiếp địa 1 đầu</t>
  </si>
  <si>
    <t>02.3131c1</t>
  </si>
  <si>
    <t>Lắp đặt DCL 1 pha, trong nhà loại &lt; =35KV, tiếp địa 2 đầu</t>
  </si>
  <si>
    <t>02.3141</t>
  </si>
  <si>
    <t>Lắp đặt cầu dao hạ thế 3 cực &lt; =100A</t>
  </si>
  <si>
    <t>02.3142</t>
  </si>
  <si>
    <t>Lắp đặt cầu dao hạ thế 3 cực &lt; =200A</t>
  </si>
  <si>
    <t>02.3143</t>
  </si>
  <si>
    <t>Lắp đặt cầu dao hạ thế 3 cực &lt; =400A</t>
  </si>
  <si>
    <t>02.3144</t>
  </si>
  <si>
    <t>Lắp đặt cầu dao hạ thế 3 cực &lt; =630A</t>
  </si>
  <si>
    <t>02.3145</t>
  </si>
  <si>
    <t>Lắp đặt cầu dao hạ thế 3 cực  &gt; 630A</t>
  </si>
  <si>
    <t>02.3141a</t>
  </si>
  <si>
    <t>Lắp đặt cầu dao hạ thế 2 cực &lt; =100A</t>
  </si>
  <si>
    <t>02.3142a</t>
  </si>
  <si>
    <t>Lắp đặt cầu dao hạ thế 2 cực &lt; =200A</t>
  </si>
  <si>
    <t>02.3143a</t>
  </si>
  <si>
    <t>02.3144a</t>
  </si>
  <si>
    <t>Lắp đặt cầu dao hạ thế 2 cực &lt; =600A</t>
  </si>
  <si>
    <t>02.3145a</t>
  </si>
  <si>
    <t>Lắp đặt cầu dao hạ thế 2 cực  &gt; 600A</t>
  </si>
  <si>
    <t>02.3151</t>
  </si>
  <si>
    <t>Lắp đặt cầu chì 35;(22)kV</t>
  </si>
  <si>
    <t>02.3152</t>
  </si>
  <si>
    <t>Lắp đặt cầu chì  6 - 10(15)kV</t>
  </si>
  <si>
    <t>02.3153</t>
  </si>
  <si>
    <t>Lắp đặt điện trở  phụ</t>
  </si>
  <si>
    <t>02.3154</t>
  </si>
  <si>
    <t>Lắp đặt cầu chì tự rơi 6-10(15)kV (bộ 3 pha)</t>
  </si>
  <si>
    <t>T2.3505</t>
  </si>
  <si>
    <t>Lắp đặt cầu chì tự rơi 35(22)kV (bộ 3 pha)</t>
  </si>
  <si>
    <t>02.5114a</t>
  </si>
  <si>
    <t>Lắp đặt chống sét van &lt; =35kV, (bộ 3 pha)</t>
  </si>
  <si>
    <t>02.5114b</t>
  </si>
  <si>
    <t>Lắp đặt chống sét van &lt; =35kV, VL polymer (bộ 3 pha)</t>
  </si>
  <si>
    <t>T2.5004</t>
  </si>
  <si>
    <t xml:space="preserve">Lắp đặt chống sét van &lt; =35kV,VL polymer </t>
  </si>
  <si>
    <t>02.5116</t>
  </si>
  <si>
    <t>Lắp thiết bị triệt nhiễu ( bộ 3 pha)</t>
  </si>
  <si>
    <t>02.5117</t>
  </si>
  <si>
    <t>Lắp thiết bị đếm sét  ( bộ)</t>
  </si>
  <si>
    <t>02.5118</t>
  </si>
  <si>
    <t>Lắp chống sét 3 pha hạ thế &lt;=1000V</t>
  </si>
  <si>
    <t>02.8100</t>
  </si>
  <si>
    <t xml:space="preserve">Lắp đặt tổ máy phát điện </t>
  </si>
  <si>
    <t>02.8401.1</t>
  </si>
  <si>
    <t>Lắp đặt áptômát và khởi động từ cường độ &lt;=16A</t>
  </si>
  <si>
    <t>02.8401.2</t>
  </si>
  <si>
    <t>Lắp đặt áptômát và khởi động từ cường độ &lt;=25A</t>
  </si>
  <si>
    <t>02.8401.3</t>
  </si>
  <si>
    <t>Lắp đặt áptômát và khởi động từ cường độ &lt;=32A</t>
  </si>
  <si>
    <t>02.8401.4</t>
  </si>
  <si>
    <t>Lắp đặt áptômát và khởi động từ cường độ &lt;=40A</t>
  </si>
  <si>
    <t>02.8401.5</t>
  </si>
  <si>
    <t>Lắp đặt áptômát và khởi động từ cường độ &lt;=50A</t>
  </si>
  <si>
    <t>02.8401.6</t>
  </si>
  <si>
    <t>Lắp đặt áptômát và khởi động từ cường độ &lt;=63A</t>
  </si>
  <si>
    <t>02.8401.7</t>
  </si>
  <si>
    <t>Lắp đặt áptômát và khởi động từ cường độ &lt;=75A</t>
  </si>
  <si>
    <t>02.8401.8</t>
  </si>
  <si>
    <t>Lắp đặt áptômát và khởi động từ cường độ &lt;=80A</t>
  </si>
  <si>
    <t>02.8401.9</t>
  </si>
  <si>
    <t>Lắp đặt áptômát và khởi động từ cường độ &lt;=100A</t>
  </si>
  <si>
    <t>02.8401.10</t>
  </si>
  <si>
    <t>Lắp đặt áptômát và khởi động từ cường độ &lt;=125A</t>
  </si>
  <si>
    <t>02.8401.11</t>
  </si>
  <si>
    <t>Lắp đặt áptômát và khởi động từ cường độ &lt;=150A</t>
  </si>
  <si>
    <t>02.8401.12</t>
  </si>
  <si>
    <t>Lắp đặt áptômát và khởi động từ cường độ &lt;=160A</t>
  </si>
  <si>
    <t>02.8401.13</t>
  </si>
  <si>
    <t>Lắp đặt áptômát và khởi động từ cường độ &lt;=200A</t>
  </si>
  <si>
    <t>02.8401.14</t>
  </si>
  <si>
    <t>Lắp đặt áptômát và khởi động từ cường độ &lt;=250A</t>
  </si>
  <si>
    <t>02.8401</t>
  </si>
  <si>
    <t>Lắp đặt áptômát và khởi động từ cường độ &lt; =300A</t>
  </si>
  <si>
    <t xml:space="preserve"> cái </t>
  </si>
  <si>
    <t>02.8401.15</t>
  </si>
  <si>
    <t>Lắp đặt áptômát và khởi động từ cường độ 320A</t>
  </si>
  <si>
    <t>02.8402</t>
  </si>
  <si>
    <t>Lắp đặt áptômát và khởi đông từ cường độ &lt; =400A</t>
  </si>
  <si>
    <t>02.8403</t>
  </si>
  <si>
    <t>Lắp đặt áptômát và khởi động từ cường độ &lt; =630A</t>
  </si>
  <si>
    <t>02.8404</t>
  </si>
  <si>
    <t>Lắp đặt áptômát và khởi động từ cường độ &lt; =1000A</t>
  </si>
  <si>
    <t>02.8404.1</t>
  </si>
  <si>
    <t>Lắp đặt áptômát và khởi động từ cường độ &lt; =1200A</t>
  </si>
  <si>
    <t>02.8404.2</t>
  </si>
  <si>
    <t>Lắp đặt áptômát và khởi động từ cường độ &lt; =1250A</t>
  </si>
  <si>
    <t>02.8404.3</t>
  </si>
  <si>
    <t>Lắp đặt áptômát và khởi động từ cường độ &lt; =1500A</t>
  </si>
  <si>
    <t>02.8404.4</t>
  </si>
  <si>
    <t>Lắp đặt áptômát và khởi động từ cường độ &lt; =1600A</t>
  </si>
  <si>
    <t>02.8404.5</t>
  </si>
  <si>
    <t>Lắp đặt áptômát và khởi động từ cường độ &lt; =2000A</t>
  </si>
  <si>
    <t>02.8404.6</t>
  </si>
  <si>
    <t>Lắp đặt áptômát và khởi động từ cường độ &lt; =2500A</t>
  </si>
  <si>
    <t>02.8404.7</t>
  </si>
  <si>
    <t>Lắp đặt ACB &lt;=630A-660V</t>
  </si>
  <si>
    <t>02.8404.8</t>
  </si>
  <si>
    <t>Lắp đặt ACB &lt;=800A-660V</t>
  </si>
  <si>
    <t>02.8404.9</t>
  </si>
  <si>
    <t>Lắp đặt ACB &lt;=1000A-660V</t>
  </si>
  <si>
    <t>02.8404.10</t>
  </si>
  <si>
    <t>Lắp đặt ACB &lt;=1250A-660V</t>
  </si>
  <si>
    <t>02.8404.11</t>
  </si>
  <si>
    <t>Lắp đặt ACB &lt;=1600A-660V</t>
  </si>
  <si>
    <t>02.8404.12</t>
  </si>
  <si>
    <t>Lắp đặt ACB &lt;=2000A-690V</t>
  </si>
  <si>
    <t>02.8404.13</t>
  </si>
  <si>
    <t>Lắp đặt ACB &lt;=2500A-690V</t>
  </si>
  <si>
    <t>02.8404.14</t>
  </si>
  <si>
    <t>Lắp đặt ACB &lt;=3200A-690V</t>
  </si>
  <si>
    <t>02.8404.15</t>
  </si>
  <si>
    <t>Lắp đặt ACB &lt;=4000A-690V</t>
  </si>
  <si>
    <t>02.8404.16</t>
  </si>
  <si>
    <t>Lắp đặt ACB &lt;=5000A-690V</t>
  </si>
  <si>
    <t>02.8404.17</t>
  </si>
  <si>
    <t>Lắp đặt ACB &lt;=6300A-690V</t>
  </si>
  <si>
    <t>02.8504a</t>
  </si>
  <si>
    <t xml:space="preserve">Lắp đặt hệ thống tụ bù, 6-35kV trên giàn </t>
  </si>
  <si>
    <t>100kVar</t>
  </si>
  <si>
    <t>02.8504b</t>
  </si>
  <si>
    <t xml:space="preserve">Lắp đặt hệ thống tụ bù, 6-35kV trên cột </t>
  </si>
  <si>
    <t>02.8504c</t>
  </si>
  <si>
    <t xml:space="preserve">Lắp đặt hệ thống tụ bù, 6-35kV trong tủ </t>
  </si>
  <si>
    <t>02.8505a</t>
  </si>
  <si>
    <t xml:space="preserve">Lắp đặt hệ thống tụ bù 0,4kV trên giàn </t>
  </si>
  <si>
    <t>10kVar</t>
  </si>
  <si>
    <t>02.8505b</t>
  </si>
  <si>
    <t xml:space="preserve">Lắp đặt hệ thống tụ bù 0,4kV trên cột </t>
  </si>
  <si>
    <t>T2.8505b</t>
  </si>
  <si>
    <t xml:space="preserve">Lắp đặt hệ thống tụ bù 0,4kV trong tủ </t>
  </si>
  <si>
    <t>03.1101</t>
  </si>
  <si>
    <t>Kéo rải và lắp cố định đường cáp ngầm trọng lượng &lt;=1kg/m</t>
  </si>
  <si>
    <t>03.1102</t>
  </si>
  <si>
    <t>Kéo rải và lắp cố định đường cáp ngầm trọng lượng &lt;=2kg/m</t>
  </si>
  <si>
    <t>03.1103</t>
  </si>
  <si>
    <t>Kéo rải và lắp cố định đường cáp ngầm trọng lượng &lt;=3kg/m</t>
  </si>
  <si>
    <t>03.1104</t>
  </si>
  <si>
    <t>Kéo rải và lắp cố định đường cáp ngầm trọng lượng &lt;=4,5kg/m</t>
  </si>
  <si>
    <t>03.1105</t>
  </si>
  <si>
    <t>Kéo rải và lắp cố định đường cáp ngầm trọng lượng &lt;=6kg/m</t>
  </si>
  <si>
    <t>03.1106</t>
  </si>
  <si>
    <t>Kéo rải và lắp cố định đường cáp ngầm trọng lượng &lt;=7,5kg/m</t>
  </si>
  <si>
    <t>03.1107</t>
  </si>
  <si>
    <t>Kéo rải và lắp cố định đường cáp ngầm trọng lượng &lt;=9kg/m</t>
  </si>
  <si>
    <t>03.1108</t>
  </si>
  <si>
    <t>Kéo rải và lắp cố định đường cáp ngầm trọng lượng &lt;=10,5kg/m</t>
  </si>
  <si>
    <t>03.1109</t>
  </si>
  <si>
    <t>Kéo rải và lắp cố định đường cáp ngầm trọng lượng &lt;=12kg/m</t>
  </si>
  <si>
    <t>03.1110</t>
  </si>
  <si>
    <t>Kéo rải và lắp cố định đường cáp ngầm trọng lượng &lt;=15kg/m</t>
  </si>
  <si>
    <t>03.1111</t>
  </si>
  <si>
    <t>Kéo rải và lắp cố định đường cáp ngầm trọng lượng &lt;=18kg/m</t>
  </si>
  <si>
    <t>03.1112</t>
  </si>
  <si>
    <t>Kéo rải và lắp cố định đường cáp ngầm trọng lượng &lt;=21kg/m</t>
  </si>
  <si>
    <t>03.1113</t>
  </si>
  <si>
    <t>Kéo rải và lắp cố định đường cáp ngầm trọng lượng &lt;=24kg/m</t>
  </si>
  <si>
    <t>03.1114</t>
  </si>
  <si>
    <t>Kéo rải và lắp cố định đường cáp ngầm trọng lượng &lt;=28kg/m</t>
  </si>
  <si>
    <t>03.1115</t>
  </si>
  <si>
    <t>Kéo rải và lắp cố định đường cáp ngầm trọng lượng &lt;=32kg/m</t>
  </si>
  <si>
    <t>03.1201</t>
  </si>
  <si>
    <t>Lắp đặt cáp trên giá đỡ đặt ở tường, trong hầm, TL cáp &lt; = 1kg/m</t>
  </si>
  <si>
    <t>03.1202</t>
  </si>
  <si>
    <t>Lắp đặt cáp trên giá đỡ đặt ở tường, trong hầm, TL cáp &lt; = 2kg/m</t>
  </si>
  <si>
    <t>03.1203</t>
  </si>
  <si>
    <t>Lắp đặt cáp trên giá đỡ đặt ở tường, trong hầm, TL cáp &lt; = 3kg/m</t>
  </si>
  <si>
    <t>03.1204</t>
  </si>
  <si>
    <t>Lắp đặt cáp trên giá đỡ đặt ở tường, trong hầm, TL cáp &lt; = 4,5kg/m</t>
  </si>
  <si>
    <t>03.1205</t>
  </si>
  <si>
    <t>Lắp đặt cáp trên giá đỡ đặt ở tường, trong hầm, TL cáp &lt; = 6kg/m</t>
  </si>
  <si>
    <t>03.1206</t>
  </si>
  <si>
    <t>Lắp đặt cáp trên giá đỡ đặt ở tường, trong hầm, TL cáp &lt; = 7,5kg/m</t>
  </si>
  <si>
    <t>03.1207</t>
  </si>
  <si>
    <t>Lắp đặt cáp trên giá đỡ đặt ở tường, trong hầm, TL cáp &lt; = 9kg/m</t>
  </si>
  <si>
    <t>03.1208</t>
  </si>
  <si>
    <t>Lắp đặt cáp trên giá đỡ đặt ở tường, trong hầm, TL cáp &lt; = 10,5kg/m</t>
  </si>
  <si>
    <t>03.1209</t>
  </si>
  <si>
    <t>Lắp đặt cáp trên giá đỡ đặt ở tường, trong hầm, TL cáp &lt; = 12kg/m</t>
  </si>
  <si>
    <t>03.1210</t>
  </si>
  <si>
    <t>Lắp đặt cáp trên giá đỡ đặt ở tường, trong hầm, TL cáp &lt; = 15kg/m</t>
  </si>
  <si>
    <t>03.1211</t>
  </si>
  <si>
    <t>Lắp đặt cáp trên giá đỡ đặt ở tường, trong hầm, TL cáp &lt; = 18kg/m</t>
  </si>
  <si>
    <t>03.1212</t>
  </si>
  <si>
    <t>Lắp đặt cáp trên giá đỡ đặt ở tường, trong hầm, TL cáp &lt; = 21kg/m</t>
  </si>
  <si>
    <t>03.1213</t>
  </si>
  <si>
    <t>Lắp đặt cáp trên giá đỡ đặt ở tường, trong hầm, TL cáp &lt; = 24kg/m</t>
  </si>
  <si>
    <t>03.1214</t>
  </si>
  <si>
    <t>Lắp đặt cáp trên giá đỡ đặt ở tường, trong hầm, TL cáp &lt; = 28kg/m</t>
  </si>
  <si>
    <t>03.1215</t>
  </si>
  <si>
    <t>Lắp đặt cáp trên giá đỡ đặt ở tường, trong hầm, TL cáp &lt; = 32kg/m</t>
  </si>
  <si>
    <t>03.1301</t>
  </si>
  <si>
    <t>Lắp đặt cáp trên dây thép trọng lượng cáp &lt;= 1kg/m</t>
  </si>
  <si>
    <t>03.1302</t>
  </si>
  <si>
    <t>Lắp đặt cáp trên dây thép trọng lượng cáp &lt;= 2kg/m</t>
  </si>
  <si>
    <t>03.1303</t>
  </si>
  <si>
    <t>Lắp đặt cáp trên dây thép trọng lượng cáp &lt;= 3kg/m</t>
  </si>
  <si>
    <t>03.1304</t>
  </si>
  <si>
    <t>Lắp đặt cáp trên dây thép trọng lượng cáp &lt;= 4,5kg/m</t>
  </si>
  <si>
    <t>03.1305</t>
  </si>
  <si>
    <t>Lắp đặt cáp trên dây thép trọng lượng cáp &lt;= 6kg/m</t>
  </si>
  <si>
    <t>03.1306</t>
  </si>
  <si>
    <t>Lắp đặt cáp trên dây thép trọng lượng cáp &lt;= 7,5kg/m</t>
  </si>
  <si>
    <t>03.1307</t>
  </si>
  <si>
    <t>Lắp đặt cáp trên dây thép trọng lượng cáp &lt;= 9kg/m</t>
  </si>
  <si>
    <t>03.1308</t>
  </si>
  <si>
    <t>Lắp đặt cáp trên dây thép trọng lượng cáp &lt;= 10,5kg/m</t>
  </si>
  <si>
    <t>03.1309</t>
  </si>
  <si>
    <t>Lắp đặt cáp trên dây thép trọng lượng cáp &lt;= 12kg/m</t>
  </si>
  <si>
    <t>D4.2403</t>
  </si>
  <si>
    <t>Lắp đặt cáp trong ống bảo vệ, TL cáp &lt; = 3kg/m</t>
  </si>
  <si>
    <t>03.1404</t>
  </si>
  <si>
    <t>Lắp đặt cáp trong ống bảo vệ, TL cáp &lt; = 4,5kg/m</t>
  </si>
  <si>
    <t>03.1405</t>
  </si>
  <si>
    <t>Lắp đặt cáp trong ống bảo vệ, TL cáp &lt; = 6kg/m</t>
  </si>
  <si>
    <t>03.1406</t>
  </si>
  <si>
    <t>Lắp đặt cáp trong ống bảo vệ, TL cáp &lt; = 7,5kg/m</t>
  </si>
  <si>
    <t>03.1407</t>
  </si>
  <si>
    <t>Lắp đặt cáp trong ống bảo vệ, TL cáp &lt; = 9kg/m</t>
  </si>
  <si>
    <t>03.1408</t>
  </si>
  <si>
    <t>Lắp đặt cáp trong ống bảo vệ, TL cáp &lt; = 10,5kg/m</t>
  </si>
  <si>
    <t>03.1409</t>
  </si>
  <si>
    <t>Lắp đặt cáp trong ống bảo vệ, TL cáp &lt; = 12kg/m</t>
  </si>
  <si>
    <t>03.1410</t>
  </si>
  <si>
    <t>Lắp đặt cáp trong ống bảo vệ, TL cáp &lt; = 15kg/m</t>
  </si>
  <si>
    <t>03.1411</t>
  </si>
  <si>
    <t>Lắp đặt cáp trong ống bảo vệ, TL cáp &lt; = 18kg/m</t>
  </si>
  <si>
    <t>03.1412</t>
  </si>
  <si>
    <t>Lắp đặt cáp trong ống bảo vệ, TL cáp &lt; = 21kg/m</t>
  </si>
  <si>
    <t>03.1413</t>
  </si>
  <si>
    <t>Lắp đặt cáp trong ống bảo vệ, TL cáp &lt; = 24kg/m</t>
  </si>
  <si>
    <t>03.1414</t>
  </si>
  <si>
    <t>Lắp đặt cáp trong ống bảo vệ, TL cáp &lt; = 28kg/m</t>
  </si>
  <si>
    <t>03.1415</t>
  </si>
  <si>
    <t>Lắp đặt cáp trong ống bảo vệ, TL cáp &lt; = 32kg/m</t>
  </si>
  <si>
    <t>03.2111</t>
  </si>
  <si>
    <t>Làm và lắp đặt đầu cáp khô &lt;=1000V; TD cáp &lt;= 35mm2; có 3-4 ruột</t>
  </si>
  <si>
    <t>đầu</t>
  </si>
  <si>
    <t>03.2112</t>
  </si>
  <si>
    <t>Làm và lắp đặt đầu cáp khô &lt;=1000V; TD cáp &lt;= 70mm2; có 3-4 ruột</t>
  </si>
  <si>
    <t>03.2113</t>
  </si>
  <si>
    <t>Làm và lắp đặt đầu cáp khô &lt;=1000V; TD cáp &lt;= 120mm2; có 3-4 ruột</t>
  </si>
  <si>
    <t>03.2114</t>
  </si>
  <si>
    <t>Làm và lắp đặt đầu cáp khô &lt;=1000V; TD cáp &lt;= 185mm2; có 3-4 ruột</t>
  </si>
  <si>
    <t>03.2115</t>
  </si>
  <si>
    <t>Làm và lắp đặt đầu cáp khô &lt;=1000V; TD cáp &lt;= 240mm2; có 3-4 ruột</t>
  </si>
  <si>
    <t>03.2116</t>
  </si>
  <si>
    <t>Làm và lắp đặt đầu cáp khô &lt;=1000V; TD cáp &lt;= 300mm2; có 3-4 ruột</t>
  </si>
  <si>
    <t>03.2117</t>
  </si>
  <si>
    <t>Làm và lắp đặt đầu cáp khô &lt;=1000V; TD cáp &lt;= 400mm2; có 3-4 ruột</t>
  </si>
  <si>
    <t>03.2111a</t>
  </si>
  <si>
    <t>Làm và lắp đặt đầu cáp khô &lt;=1000V; TD cáp &lt;= 35mm2; có 1-2 ruột</t>
  </si>
  <si>
    <t>03.2112a</t>
  </si>
  <si>
    <t>Làm và lắp đặt đầu cáp khô &lt;=1000V; TD cáp &lt;= 70mm2; có 1-2 ruột</t>
  </si>
  <si>
    <t>03.2113a</t>
  </si>
  <si>
    <t>Làm và lắp đặt đầu cáp khô &lt;=1000V; TD cáp &lt;= 120mm2; có 1-2 ruột</t>
  </si>
  <si>
    <t>03.2114a</t>
  </si>
  <si>
    <t>Làm và lắp đặt đầu cáp khô &lt;=1000V; TD cáp &lt;= 185mm2; có 1-2 ruột</t>
  </si>
  <si>
    <t>03.2115a</t>
  </si>
  <si>
    <t>Làm và lắp đặt đầu cáp khô &lt;=1000V; TD cáp &lt;= 240mm2; có 1-2 ruột</t>
  </si>
  <si>
    <t>03.2116a</t>
  </si>
  <si>
    <t>Làm và lắp đặt đầu cáp khô &lt;=1000V; TD cáp &lt;= 300mm2; có 1-2 ruột</t>
  </si>
  <si>
    <t>03.2117a</t>
  </si>
  <si>
    <t>Làm và lắp đặt đầu cáp khô &lt;=1000V; TD cáp &lt;= 400mm2; có 1-2 ruột</t>
  </si>
  <si>
    <t>03.2311a</t>
  </si>
  <si>
    <t>Làm và lắp đặt đầu cáp khô 22kV; 1 pha; tiết diện cáp &lt;= 35mm2</t>
  </si>
  <si>
    <t>03.2312a</t>
  </si>
  <si>
    <t>Làm và lắp đặt đầu cáp khô 22kV; 1 pha; tiết diện cáp &lt;= 70mm2</t>
  </si>
  <si>
    <t>03.2313a</t>
  </si>
  <si>
    <t>Làm và lắp đặt đầu cáp khô 22kV; 1 pha; tiết diện cáp &lt;= 120mm2</t>
  </si>
  <si>
    <t>03.2314a</t>
  </si>
  <si>
    <t>Làm và lắp đặt đầu cáp khô 22kV; 1 pha; tiết diện cáp &lt;= 185mm2</t>
  </si>
  <si>
    <t>03.2315a</t>
  </si>
  <si>
    <t>Làm và lắp đặt đầu cáp khô 22kV; 1 pha; tiết diện cáp &lt;= 240mm2</t>
  </si>
  <si>
    <t>03.2316a</t>
  </si>
  <si>
    <t>Làm và lắp đặt đầu cáp khô 22kV; 1 pha; tiết diện cáp &lt;= 300mm2</t>
  </si>
  <si>
    <t>03.2317a</t>
  </si>
  <si>
    <t>Làm và lắp đặt đầu cáp khô 22kV; 1 pha; tiết diện cáp &lt;= 400mm2</t>
  </si>
  <si>
    <t>03.2311b</t>
  </si>
  <si>
    <t>Làm và lắp đặt đầu cáp khô 22kV; 3 pha; tiết diện cáp &lt;= 35mm2</t>
  </si>
  <si>
    <t>03.2312b</t>
  </si>
  <si>
    <t>Làm và lắp đặt đầu cáp khô 22kV; 3 pha; tiết diện cáp &lt;= 70mm2</t>
  </si>
  <si>
    <t>03.2313b</t>
  </si>
  <si>
    <t>Làm và lắp đặt đầu cáp khô 22kV; 3 pha; tiết diện cáp &lt;= 120mm2</t>
  </si>
  <si>
    <t>03.2314b</t>
  </si>
  <si>
    <t>Làm và lắp đặt đầu cáp khô 22kV; 3 pha; tiết diện cáp &lt;= 185mm2</t>
  </si>
  <si>
    <t>03.2315b</t>
  </si>
  <si>
    <t>Làm và lắp đặt đầu cáp khô 22kV; 3 pha; tiết diện cáp &lt;= 240mm2</t>
  </si>
  <si>
    <t>03.2316b</t>
  </si>
  <si>
    <t>Làm và lắp đặt đầu cáp khô 22kV; 3 pha; tiết diện cáp &lt;= 300mm2</t>
  </si>
  <si>
    <t>03.2317b</t>
  </si>
  <si>
    <t>Làm và lắp đặt đầu cáp khô 22kV; 3 pha; tiết diện cáp &lt;= 400mm2</t>
  </si>
  <si>
    <t>03.2501</t>
  </si>
  <si>
    <t>Làm và lắp đặt đầu cáp kiểm tra , số ruột &lt;=6 ruột</t>
  </si>
  <si>
    <t>03.2502</t>
  </si>
  <si>
    <t>Làm và lắp đặt đầu cáp kiểm tra , số ruột &lt;=14 ruột</t>
  </si>
  <si>
    <t>03.2503</t>
  </si>
  <si>
    <t>Làm và lắp đặt đầu cáp kiểm tra , số ruột &lt;=19 ruột</t>
  </si>
  <si>
    <t>03.2504</t>
  </si>
  <si>
    <t>Làm và lắp đặt đầu cáp kiểm tra , số ruột &lt;=27 ruột</t>
  </si>
  <si>
    <t>03.2505</t>
  </si>
  <si>
    <t>Làm và lắp đặt đầu cáp kiểm tra , số ruột &lt;=36 ruột</t>
  </si>
  <si>
    <t>Lắp đặt hộp nối cáp khô &lt;=1000V, S&lt;=35mm2</t>
  </si>
  <si>
    <t>hộp</t>
  </si>
  <si>
    <t>Lắp đặt hộp nối cáp khô &lt;=1000V, S&lt;=70mm2</t>
  </si>
  <si>
    <t>Lắp đặt hộp nối cáp khô &lt;=1000V, S&lt;=120mm2</t>
  </si>
  <si>
    <t>Lắp đặt hộp nối cáp khô &lt;=1000V, S&lt;=185mm2</t>
  </si>
  <si>
    <t>03.3115</t>
  </si>
  <si>
    <t>Lắp đặt hộp nối cáp khô &lt;=1000V, S&lt;=240mm2</t>
  </si>
  <si>
    <t>03.3116</t>
  </si>
  <si>
    <t>Lắp đặt hộp nối cáp khô &lt;=1000V, S&lt;=300mm2</t>
  </si>
  <si>
    <t>03.3117</t>
  </si>
  <si>
    <t>Lắp đặt hộp nối cáp khô &lt;=1000V, S&lt;=400mm2</t>
  </si>
  <si>
    <t>03.3311</t>
  </si>
  <si>
    <t>Lắp đặt hộp nối cáp khô 22kV, S&lt;=35mm2</t>
  </si>
  <si>
    <t>03.3312</t>
  </si>
  <si>
    <t>Lắp đặt hộp nối cáp khô 22kV, S&lt;=70mm2</t>
  </si>
  <si>
    <t>03.3313</t>
  </si>
  <si>
    <t>Lắp đặt hộp nối cáp khô 22kV, S&lt;=120mm2</t>
  </si>
  <si>
    <t>03.3314</t>
  </si>
  <si>
    <t>Lắp đặt hộp nối cáp khô 22kV, S&lt;=185mm2</t>
  </si>
  <si>
    <t>03.3315</t>
  </si>
  <si>
    <t>Lắp đặt hộp nối cáp khô 22kV, S&lt;=240mm2</t>
  </si>
  <si>
    <t>03.3316</t>
  </si>
  <si>
    <t>Lắp đặt hộp nối cáp khô 22kV, S&lt;=300mm2</t>
  </si>
  <si>
    <t>03.3317</t>
  </si>
  <si>
    <t>Lắp đặt hộp nối cáp khô 22kV, S&lt;=400mm2</t>
  </si>
  <si>
    <t>03.3501</t>
  </si>
  <si>
    <t>Làm và lắp đặt hộp nối cáp kiểm tra , số ruột &lt;=3 ruột</t>
  </si>
  <si>
    <t>03.3502</t>
  </si>
  <si>
    <t>Làm và lắp đặt hộp nối cáp kiểm tra , số ruột &lt;=6 ruột</t>
  </si>
  <si>
    <t>03.3503</t>
  </si>
  <si>
    <t>Làm và lắp đặt hộp nối cáp kiểm tra , số ruột &lt;=14 ruột</t>
  </si>
  <si>
    <t>03.3504</t>
  </si>
  <si>
    <t>Làm và lắp đặt hộp nối cáp kiểm tra , số ruột &lt;=19 ruột</t>
  </si>
  <si>
    <t>03.3505</t>
  </si>
  <si>
    <t>Làm và lắp đặt hộp nối cáp kiểm tra , số ruột &lt;=27 ruột</t>
  </si>
  <si>
    <t>03.3506</t>
  </si>
  <si>
    <t>Làm và lắp đặt hộp nối cáp kiểm tra , số ruột &lt;=36 ruột</t>
  </si>
  <si>
    <t>03.4001a</t>
  </si>
  <si>
    <t>ép đầu cốt đồng tiết diện từ 1,5-6mm2</t>
  </si>
  <si>
    <t>ép đầu cốt đồng tiết diện &lt; =25mm2</t>
  </si>
  <si>
    <t>ép đầu cốt đồng tiết diện &lt; =50mm2</t>
  </si>
  <si>
    <t>ép đầu cốt đồng tiết diện &lt; =95mm2</t>
  </si>
  <si>
    <t>ép đầu cốt đồng tiết diện &lt; =150mm2</t>
  </si>
  <si>
    <t>ép đầu cốt đồng tiết diện &lt; =240mm2</t>
  </si>
  <si>
    <t>ép đầu cốt đồng tiết diện &lt; =300mm2</t>
  </si>
  <si>
    <t>ép đầu cốt đồng tiết diện &lt; =400mm2</t>
  </si>
  <si>
    <t>ép đầu cốt Cu-Al tiết diện &lt; =25mm2</t>
  </si>
  <si>
    <t>03.4002a</t>
  </si>
  <si>
    <t>ép đầu cốt Cu-Al tiết diện &lt; =50mm2</t>
  </si>
  <si>
    <t>03.4003a</t>
  </si>
  <si>
    <t>ép đầu cốt Cu-Al tiết diện &lt; =70mm2</t>
  </si>
  <si>
    <t>03.4004a</t>
  </si>
  <si>
    <t>ép đầu cốt Cu-Al tiết diện &lt; =95mm2</t>
  </si>
  <si>
    <t>03.4005a</t>
  </si>
  <si>
    <t>ép đầu cốt Cu-Al tiết diện &lt; =120mm2</t>
  </si>
  <si>
    <t>03.4006a</t>
  </si>
  <si>
    <t>ép đầu cốt Cu-Al tiết diện &lt; =150mm2</t>
  </si>
  <si>
    <t>03.4007a</t>
  </si>
  <si>
    <t>ép đầu cốt Cu-Al tiết diện &lt; =185mm2</t>
  </si>
  <si>
    <t>03.4008a</t>
  </si>
  <si>
    <t>ép đầu cốt Cu-Al tiết diện &lt; =240mm2</t>
  </si>
  <si>
    <t>03.4009a</t>
  </si>
  <si>
    <t>ép đầu cốt Cu-Al tiết diện &lt; =300mm2</t>
  </si>
  <si>
    <t>03.4010a</t>
  </si>
  <si>
    <t>ép đầu cốt Cu-Al tiết diện &lt; =400mm2</t>
  </si>
  <si>
    <t>04.2102a</t>
  </si>
  <si>
    <t>Lắp đặt sứ chuỗi trong trạm; &lt;=2 bát/chuỗi</t>
  </si>
  <si>
    <t>04.2102b</t>
  </si>
  <si>
    <t>Lắp đặt chuỗi polyme trong trạm</t>
  </si>
  <si>
    <t>04.2201</t>
  </si>
  <si>
    <t>Lắp đặt sứ đứng điện áp 10 - 35KV</t>
  </si>
  <si>
    <t>Lắp đặt sứ xuyên điện áp 10-35KV</t>
  </si>
  <si>
    <t>04.3001</t>
  </si>
  <si>
    <t>Lắp đặt tạ bù 50kg</t>
  </si>
  <si>
    <t>04.3002</t>
  </si>
  <si>
    <t>Lắp đặt mỏ phóng</t>
  </si>
  <si>
    <t>04.3003</t>
  </si>
  <si>
    <t>Lắp đặt thu lôi ống</t>
  </si>
  <si>
    <t>04.3004</t>
  </si>
  <si>
    <t>04.3005</t>
  </si>
  <si>
    <t>Lắp đặt khóa các loại</t>
  </si>
  <si>
    <t>04.3006</t>
  </si>
  <si>
    <t xml:space="preserve">Lắp đầu ép </t>
  </si>
  <si>
    <t>T4.3007</t>
  </si>
  <si>
    <t>Lắp kẹp các loại</t>
  </si>
  <si>
    <t>D4.6202</t>
  </si>
  <si>
    <t>Lắp kẹp IPC</t>
  </si>
  <si>
    <t>04.3008</t>
  </si>
  <si>
    <t>Lắp đặt khung định vị</t>
  </si>
  <si>
    <t>04.3009</t>
  </si>
  <si>
    <t>Lắp đặt phụ kiện thanh cái</t>
  </si>
  <si>
    <t>04.4101</t>
  </si>
  <si>
    <t>Lắp đặt dây dẫn xuống thiết bị, dây nhôm TD &lt; =95mm2</t>
  </si>
  <si>
    <t>04.4102</t>
  </si>
  <si>
    <t>Lắp đặt dây dẫn xuống thiết bị, dây nhôm TD &lt; =150mm2</t>
  </si>
  <si>
    <t>04.4103</t>
  </si>
  <si>
    <t>Lắp đặt dây dẫn xuống thiết bị, dây nhôm TD &lt; =240mm2</t>
  </si>
  <si>
    <t>04.4104</t>
  </si>
  <si>
    <t>Lắp đặt dây dẫn xuống thiết bị, dây nhôm TD &lt; =400mm2</t>
  </si>
  <si>
    <t>T4.4202</t>
  </si>
  <si>
    <t>Lắp đặt dây dẫn xuống thiết bị, dây đồng TD &lt; =150mm2</t>
  </si>
  <si>
    <t>T4.4203</t>
  </si>
  <si>
    <t>Lắp đặt dây dẫn xuống thiết bị, dây đồng TD &lt;= 240mm2</t>
  </si>
  <si>
    <t>04.4204</t>
  </si>
  <si>
    <t>Lắp đặt dây dẫn xuống thiết bị, dây đồng TD &gt; 240mm2</t>
  </si>
  <si>
    <t>Lắp đặt thanh cái dẹt (&lt;=25x4)mm</t>
  </si>
  <si>
    <t xml:space="preserve"> 10m </t>
  </si>
  <si>
    <t>Lắp đặt thanh cái dẹt (&lt;=40x4)mm</t>
  </si>
  <si>
    <t>Lắp đặt thanh cái dẹt (&lt;=60x6)mm</t>
  </si>
  <si>
    <t>04.5104</t>
  </si>
  <si>
    <t>Lắp đặt thanh cái dẹt (&lt;=80x8)mm</t>
  </si>
  <si>
    <t>04.5105</t>
  </si>
  <si>
    <t>Lắp đặt thanh cái dẹt (&lt;=100x10)mm</t>
  </si>
  <si>
    <t>04.5106</t>
  </si>
  <si>
    <t>Lắp đặt thanh cái dẹt (&lt;=120x10)mm</t>
  </si>
  <si>
    <t>04.7001</t>
  </si>
  <si>
    <t xml:space="preserve">Đóng cọc tiếp địa (cọc có sẵn; đất cấp &lt;= II) </t>
  </si>
  <si>
    <t xml:space="preserve"> cọc </t>
  </si>
  <si>
    <t>04.7001a</t>
  </si>
  <si>
    <t xml:space="preserve">Đóng cọc tiếp địa (cọc có sẵn; đất cấp &gt;= III) </t>
  </si>
  <si>
    <t>T4.7001</t>
  </si>
  <si>
    <t xml:space="preserve">Rãi dây tiếp địa có sẵn </t>
  </si>
  <si>
    <t>04.8001</t>
  </si>
  <si>
    <t>Lắp đặt ghế cách điện, thang, sàn thao tác</t>
  </si>
  <si>
    <t xml:space="preserve">Lắp đặt giá đỡ, thang cáp  </t>
  </si>
  <si>
    <t>Lắp đặt ống nhựa PVC&gt;=D42</t>
  </si>
  <si>
    <t>T4.8003</t>
  </si>
  <si>
    <t>Lắp đặt ống nhựa PVC</t>
  </si>
  <si>
    <t>T4.8004</t>
  </si>
  <si>
    <t>Lắp đặt ống thép</t>
  </si>
  <si>
    <t>Lắp đặt xà thép</t>
  </si>
  <si>
    <t>04.9201</t>
  </si>
  <si>
    <t>Lắp đặt cột thép (hàn)</t>
  </si>
  <si>
    <t>04.9202</t>
  </si>
  <si>
    <t>Lắp đặt cột thép (bulông)</t>
  </si>
  <si>
    <t>04.9203</t>
  </si>
  <si>
    <t>Lắp đặt cột bê tông</t>
  </si>
  <si>
    <t>04.9301</t>
  </si>
  <si>
    <t>Lắp đặt trụ đỡ bê tông</t>
  </si>
  <si>
    <t>04.9302</t>
  </si>
  <si>
    <t>Lắp đặt trụ đỡ thép</t>
  </si>
  <si>
    <t>05.1001</t>
  </si>
  <si>
    <t>Lắp đặt tủ điện hạ thế xoay chiều 1 pha (TC+CG)</t>
  </si>
  <si>
    <t>05.1002</t>
  </si>
  <si>
    <t>Lắp đặt tủ điện hạ thế xoay chiều 3 pha (TC+CG)</t>
  </si>
  <si>
    <t>05.1003</t>
  </si>
  <si>
    <t>Lắp đặt tủ điện hạ thế 1 chiều ( TC+CG)</t>
  </si>
  <si>
    <t>05.1004</t>
  </si>
  <si>
    <t>Lắp đặt tủ điều khiển dao cách ly ( TC)</t>
  </si>
  <si>
    <t>05.1005</t>
  </si>
  <si>
    <t>Lắp đặt tủ điều khiển máy cắt, tủ đấu dây (TC+CG)</t>
  </si>
  <si>
    <t>05.1003a</t>
  </si>
  <si>
    <t>Lắp đặt tủ điện hạ thế 1 chiều ( TC)</t>
  </si>
  <si>
    <t>05.1004a</t>
  </si>
  <si>
    <t>Lắp đặt tủ điều khiển dao cách ly (TC)</t>
  </si>
  <si>
    <t>05.1005a</t>
  </si>
  <si>
    <t>Lắp đặt tủ điều khiển máy cắt, tủ đấu dây (TC)</t>
  </si>
  <si>
    <t>05.2001</t>
  </si>
  <si>
    <t>Lắp đặt tủ điện máy cắt hợp bộ, tủ bảo vệ, tủ đo lường &lt; =10KV</t>
  </si>
  <si>
    <t>05.2002</t>
  </si>
  <si>
    <t>Lắp đặt tủ điện máy cắt hợp bộ, tủ bảo vệ, tủ đo lường &lt; =35KV</t>
  </si>
  <si>
    <t>05.3101</t>
  </si>
  <si>
    <t>Lắp đặt tủ điện nhị thứ điều khiển MBA &lt; =35kV</t>
  </si>
  <si>
    <t>05.3105</t>
  </si>
  <si>
    <t>Lắp đặt tủ nhị thứ điều khiển đường dây, phân đoạn, lộ tổng MBA &lt; =35KV</t>
  </si>
  <si>
    <t>T5.2002</t>
  </si>
  <si>
    <t>Lắp đặt tủ bảo vệ MBA &lt; =35KV</t>
  </si>
  <si>
    <t>05.3205</t>
  </si>
  <si>
    <t>Lắp đặt tủ bảo vệ đường dây, phân đoạn, lộ tổng MBA  &lt; =35KV</t>
  </si>
  <si>
    <t>05.3301</t>
  </si>
  <si>
    <t>Lắp đặt tủ  đo lường  &lt; =35KV</t>
  </si>
  <si>
    <t>05.4101</t>
  </si>
  <si>
    <t xml:space="preserve">Lắp đèn pha trên cột </t>
  </si>
  <si>
    <t>05.4102</t>
  </si>
  <si>
    <t>Lắp đèn hình cầu</t>
  </si>
  <si>
    <t>05.4103</t>
  </si>
  <si>
    <t xml:space="preserve">Lắp đèn chiếu sáng </t>
  </si>
  <si>
    <t>05.4104</t>
  </si>
  <si>
    <t>Lắp đèn chống nổ</t>
  </si>
  <si>
    <t>05.4105</t>
  </si>
  <si>
    <t>Lắp đèn chống ẩm</t>
  </si>
  <si>
    <t>05.4106</t>
  </si>
  <si>
    <t xml:space="preserve">Lắp thiết bị tự động cho HT chiếu sáng </t>
  </si>
  <si>
    <t>05.4201</t>
  </si>
  <si>
    <t xml:space="preserve">Lắp cột chiếu sáng chuyên dùng </t>
  </si>
  <si>
    <t>05.4202</t>
  </si>
  <si>
    <t xml:space="preserve">Lắp cần đèn </t>
  </si>
  <si>
    <t>05.4203</t>
  </si>
  <si>
    <t xml:space="preserve">Lắp chao, chụp, choá đèn các loại </t>
  </si>
  <si>
    <t>05.4204</t>
  </si>
  <si>
    <t>Lắp tấm giá đỡ bằng gỗ tẩm dầu &lt;20kg</t>
  </si>
  <si>
    <t>05.4205</t>
  </si>
  <si>
    <t>Lắp tấm giá đỡ bằng phíp,nhựa &lt;20kg</t>
  </si>
  <si>
    <t>05.5001</t>
  </si>
  <si>
    <t>Lắp đặt rơle các loại</t>
  </si>
  <si>
    <t>05.5002</t>
  </si>
  <si>
    <t>Lắp đặt báo hiệu đèn, chuông, còi, hàng kẹp đấu dây</t>
  </si>
  <si>
    <t>05.5003</t>
  </si>
  <si>
    <t>Lắp đặt khóa điều khiển</t>
  </si>
  <si>
    <t>05.5004</t>
  </si>
  <si>
    <t>Lắp đặt thiết bị đo đếm các loại</t>
  </si>
  <si>
    <t>ĐỊNH MỨC DỰ TOÁN XDCT 33/2005/QĐ-BXD NGÀY 4/10/2005</t>
  </si>
  <si>
    <t>BA.16101</t>
  </si>
  <si>
    <t>Lắp đặt dây dẫn đơn 1x0,3mm2</t>
  </si>
  <si>
    <t>BA.16102</t>
  </si>
  <si>
    <t>Lắp đặt dây dẫn đơn 1x0,5mm2</t>
  </si>
  <si>
    <t>BA.16103</t>
  </si>
  <si>
    <t>Lắp đặt dây dẫn đơn 1x0,7mm2</t>
  </si>
  <si>
    <t>BA.16104</t>
  </si>
  <si>
    <t>Lắp đặt dây dẫn đơn 1x0,75mm2</t>
  </si>
  <si>
    <t>BA.16105</t>
  </si>
  <si>
    <t>Lắp đặt dây dẫn đơn 1x0,8mm2</t>
  </si>
  <si>
    <t>BA.16106</t>
  </si>
  <si>
    <t>Lắp đặt dây dẫn đơn 1x0,1mm2</t>
  </si>
  <si>
    <t>BA.16107</t>
  </si>
  <si>
    <t>Lắp đặt dây dẫn đơn 1x1,5mm2</t>
  </si>
  <si>
    <t>BA.16108</t>
  </si>
  <si>
    <t>Lắp đặt dây dẫn đơn 1x2mm2</t>
  </si>
  <si>
    <t>BA.16109</t>
  </si>
  <si>
    <t>Lắp đặt dây dẫn đơn 1x2,5mm3</t>
  </si>
  <si>
    <t>BA.16110</t>
  </si>
  <si>
    <t>Lắp đặt dây dẫn đơn 1x3mm2</t>
  </si>
  <si>
    <t>BA.16111</t>
  </si>
  <si>
    <t>Lắp đặt dây dẫn đơn 1x4mm2</t>
  </si>
  <si>
    <t>BA.16112</t>
  </si>
  <si>
    <t>Lắp đặt dây dẫn đơn 1x6mm2</t>
  </si>
  <si>
    <t>BA.16113</t>
  </si>
  <si>
    <t>Lắp đặt dây dẫn đơn 1x10mm2</t>
  </si>
  <si>
    <t>BA.16114</t>
  </si>
  <si>
    <t>Lắp đặt dây dẫn đơn 1x16mm2</t>
  </si>
  <si>
    <t>BA.16115</t>
  </si>
  <si>
    <t>Lắp đặt dây dẫn đơn 1x25mm2</t>
  </si>
  <si>
    <t>BA.16201</t>
  </si>
  <si>
    <t>Lắp đặt dây dẫn 2x0,5 mm2</t>
  </si>
  <si>
    <t>BA.16202</t>
  </si>
  <si>
    <t>Lắp đặt dây dẫn 2x0,75 mm2</t>
  </si>
  <si>
    <t>BA.16203</t>
  </si>
  <si>
    <t>Lắp đặt dây dẫn 2x1 mm2</t>
  </si>
  <si>
    <t>BA.16204</t>
  </si>
  <si>
    <t>Lắp đặt dây dẫn 2x1,5 mm2</t>
  </si>
  <si>
    <t>BA.16205</t>
  </si>
  <si>
    <t>Lắp đặt dây dẫn 2x2,5 mm2</t>
  </si>
  <si>
    <t>BA.16206</t>
  </si>
  <si>
    <t>Lắp đặt dây dẫn 2x4 mm2</t>
  </si>
  <si>
    <t>BA.16207</t>
  </si>
  <si>
    <t>Lắp đặt dây dẫn 2x6 mm2</t>
  </si>
  <si>
    <t>BA.16208</t>
  </si>
  <si>
    <t>Lắp đặt dây dẫn 2x8 mm2</t>
  </si>
  <si>
    <t>BA.16209</t>
  </si>
  <si>
    <t>Lắp đặt dây dẫn 2x10 mm2</t>
  </si>
  <si>
    <t>BA.16210</t>
  </si>
  <si>
    <t>Lắp đặt dây dẫn 2x16 mm2</t>
  </si>
  <si>
    <t>BA.16211</t>
  </si>
  <si>
    <t>Lắp đặt dây dẫn 2x25 mm2</t>
  </si>
  <si>
    <t>BA.16301</t>
  </si>
  <si>
    <t>Lắp đặt dây dẫn 4 x0,5 mm2</t>
  </si>
  <si>
    <t>BA.16302</t>
  </si>
  <si>
    <t>Lắp đặt dây dẫn 4 x0,75 mm2</t>
  </si>
  <si>
    <t>BA.16303</t>
  </si>
  <si>
    <t>Lắp đặt dây dẫn 4 x1 mm2</t>
  </si>
  <si>
    <t>BA.16304</t>
  </si>
  <si>
    <t>Lắp đặt dây dẫn 4 x1,5 mm2</t>
  </si>
  <si>
    <t>BA.16305</t>
  </si>
  <si>
    <t>Lắp đặt dây dẫn 4 x1,75 mm2</t>
  </si>
  <si>
    <t>BA.16306</t>
  </si>
  <si>
    <t>Lắp đặt dây dẫn 4 x2 mm2</t>
  </si>
  <si>
    <t>BA.16307</t>
  </si>
  <si>
    <t>Lắp đặt dây dẫn 4 x2,5 mm2</t>
  </si>
  <si>
    <t>BA.16308</t>
  </si>
  <si>
    <t>Lắp đặt dây dẫn 4 x3 mm2</t>
  </si>
  <si>
    <t>BA.16309</t>
  </si>
  <si>
    <t>Lắp đặt dây dẫn 4 x4 mm2</t>
  </si>
  <si>
    <t>BA.19101</t>
  </si>
  <si>
    <t>Lắp đặt Vol kế</t>
  </si>
  <si>
    <t>BA.19102</t>
  </si>
  <si>
    <t>Lắp đặt Ampe kế</t>
  </si>
  <si>
    <t>BA.19104</t>
  </si>
  <si>
    <t>Lắp đặt Rơ le</t>
  </si>
  <si>
    <t>12.02.61</t>
  </si>
  <si>
    <t>12.02.62</t>
  </si>
  <si>
    <t xml:space="preserve">Lắp đặt chuyển mạch </t>
  </si>
  <si>
    <t>BA.19201</t>
  </si>
  <si>
    <t>Lắp đặt áp tô mát 1 pha &lt;=10A</t>
  </si>
  <si>
    <t>BA.19202</t>
  </si>
  <si>
    <t>Lắp đặt áp tô mát 1 pha &lt;=50A</t>
  </si>
  <si>
    <t>BA.19203</t>
  </si>
  <si>
    <t>Lắp đặt áp tô mát 1 pha &lt;=100A</t>
  </si>
  <si>
    <t>BA.19204</t>
  </si>
  <si>
    <t>Lắp đặt áp tô mát 1 pha &lt;=150A</t>
  </si>
  <si>
    <t>BA.19205</t>
  </si>
  <si>
    <t>Lắp đặt áp tô mát 1 pha &lt;=200A</t>
  </si>
  <si>
    <t>BA.19206</t>
  </si>
  <si>
    <t>Lắp đặt áp tô mát 1 pha &gt;200A</t>
  </si>
  <si>
    <t>BA.19401</t>
  </si>
  <si>
    <t>Lắp biến dòng hạ thế &lt;=50/5A</t>
  </si>
  <si>
    <t>BA.19402</t>
  </si>
  <si>
    <t>Lắp biến dòng hạ thế &lt;=100/5A</t>
  </si>
  <si>
    <t>BA.19403</t>
  </si>
  <si>
    <t>Lắp biến dòng hạ thế &lt;=200/5A</t>
  </si>
  <si>
    <t>12.02.51</t>
  </si>
  <si>
    <t xml:space="preserve">Lắp biến dòng hạ thế các loại </t>
  </si>
  <si>
    <t>12.02.51a</t>
  </si>
  <si>
    <t>Lắp biến dòng hạ thế các loại  ( 1 bộ 3 cái)</t>
  </si>
  <si>
    <t>14.01.10</t>
  </si>
  <si>
    <t>Tháo máy biến dòng độc lập điện áp 22kV</t>
  </si>
  <si>
    <t>BA.19501</t>
  </si>
  <si>
    <t xml:space="preserve">Lắp đặt công tơ 1 pha vào tủ </t>
  </si>
  <si>
    <t>BA.19502</t>
  </si>
  <si>
    <t xml:space="preserve">Lắp đặt công tơ 3 pha vào tủ </t>
  </si>
  <si>
    <t>BA.19503</t>
  </si>
  <si>
    <t>Lắp đặt tủ công tơ 1 pha ( bao gồm cả lắp công tơ vào tủ)</t>
  </si>
  <si>
    <t>BA.19504</t>
  </si>
  <si>
    <t>Lắp đặt tủ công tơ 3 pha ( bao gồm cả lắp công tơ vào tủ)</t>
  </si>
  <si>
    <t>T5.10110</t>
  </si>
  <si>
    <t>T5.1011</t>
  </si>
  <si>
    <t>16.08.22</t>
  </si>
  <si>
    <t>Lắp đặt công tơ 3 pha có biến dòng</t>
  </si>
  <si>
    <t>16.09.11</t>
  </si>
  <si>
    <t>Lắp đặt tủ công tơ ( chưa lắp phụ kiện)</t>
  </si>
  <si>
    <t>16.09.22</t>
  </si>
  <si>
    <t>Lắp đặt tủ công tơ ( đã lắp phụ kiện)</t>
  </si>
  <si>
    <t>16.09.11a</t>
  </si>
  <si>
    <t>Lắp đặt hộp phân phối ( chưa lắp phụ kiện)</t>
  </si>
  <si>
    <t xml:space="preserve">hộp </t>
  </si>
  <si>
    <t>05.1001b</t>
  </si>
  <si>
    <t>Tháo tủ điện hạ thế xoay chiều 1 pha (TC)</t>
  </si>
  <si>
    <t>05.1002b</t>
  </si>
  <si>
    <t>Tháo tủ điện hạ thế xoay chiều 3 pha (TC)</t>
  </si>
  <si>
    <t>04.9102a</t>
  </si>
  <si>
    <t xml:space="preserve">Tháo dỡ dầm, đà trạm </t>
  </si>
  <si>
    <t>04.8002a</t>
  </si>
  <si>
    <t>Tháo giá đỡ, giá treo các loại</t>
  </si>
  <si>
    <t>ĐG2056-BRVT</t>
  </si>
  <si>
    <t>AE.41114</t>
  </si>
  <si>
    <t>Xây móng gạch thẻ 4,5x9x19  dày &lt;=30cmVM75</t>
  </si>
  <si>
    <t>Trát tường ngoài dày 1,5cm, VM75</t>
  </si>
  <si>
    <t>Trát tường trong dày 1,5cm, VM75</t>
  </si>
  <si>
    <t>ca</t>
  </si>
  <si>
    <t>công</t>
  </si>
  <si>
    <t>Kỹ sư 4,0/8</t>
  </si>
  <si>
    <t>KWh</t>
  </si>
  <si>
    <t>Điện năng</t>
  </si>
  <si>
    <t>Máy đo tỷ trọng</t>
  </si>
  <si>
    <t>Mê gôm mét</t>
  </si>
  <si>
    <t>Kỹ sư 3,0/8</t>
  </si>
  <si>
    <t>Cồn công nghiệp</t>
  </si>
  <si>
    <t>Giẻ lau</t>
  </si>
  <si>
    <t>Cái</t>
  </si>
  <si>
    <t>Máy đo điện trở tiếp địa</t>
  </si>
  <si>
    <t>EC.22020</t>
  </si>
  <si>
    <t>Hợp bộ thí nghiệm cao áp</t>
  </si>
  <si>
    <t>EC.12010</t>
  </si>
  <si>
    <t>Máy đo điện trở tiếp xúc</t>
  </si>
  <si>
    <t>EB.22040</t>
  </si>
  <si>
    <t>cuộn</t>
  </si>
  <si>
    <t>Băng cách điện</t>
  </si>
  <si>
    <t>EA.22130</t>
  </si>
  <si>
    <t>D2.8111</t>
  </si>
  <si>
    <t>D2.8100</t>
  </si>
  <si>
    <t>D2.8112</t>
  </si>
  <si>
    <t>D2.8113</t>
  </si>
  <si>
    <t>D2.8114</t>
  </si>
  <si>
    <t>D3.2411</t>
  </si>
  <si>
    <t>D3.2412</t>
  </si>
  <si>
    <t>D3.2413</t>
  </si>
  <si>
    <t>7,3% x T</t>
  </si>
  <si>
    <t>2. Định mức chi phí thẩm tra phê duyệt quyết toán (Theo TT 10/2020/TT-BTC)</t>
  </si>
  <si>
    <t>3. Định mức chi phí kiểm toán (Theo TT 10/2020/TT-BTC)</t>
  </si>
  <si>
    <t>Bảng 10</t>
  </si>
  <si>
    <t>Khỏang cách trụ</t>
  </si>
  <si>
    <t xml:space="preserve">CÁP ABC </t>
  </si>
  <si>
    <t>MÓNG TRỤ</t>
  </si>
  <si>
    <t xml:space="preserve">PHỤ KIỆN </t>
  </si>
  <si>
    <t>Trạm biến áp 75kVA</t>
  </si>
  <si>
    <t>GHI CHÚ</t>
  </si>
  <si>
    <t>Cáp ABC 3x70mm2</t>
  </si>
  <si>
    <t>Cáp ABC 4x70mm2</t>
  </si>
  <si>
    <t xml:space="preserve">Cáp ABC 3x95mm2 </t>
  </si>
  <si>
    <t>Trụ đôi BTLT 8,5m (có tiếp địa)</t>
  </si>
  <si>
    <t xml:space="preserve">Trụ đôi BTLT 8,5m </t>
  </si>
  <si>
    <t>Trụ BTLT 8,5m (có tiếp địa)</t>
  </si>
  <si>
    <t>Trụ BTLT 8,5m</t>
  </si>
  <si>
    <t>Nắp bịt đầu cáp 95mm2</t>
  </si>
  <si>
    <t>Tiếp địa lặp lại</t>
  </si>
  <si>
    <t>Mét</t>
  </si>
  <si>
    <t>Trụ</t>
  </si>
  <si>
    <t>Bộ</t>
  </si>
  <si>
    <t>Trạm</t>
  </si>
  <si>
    <t>+ Khối lượng cáp: Cáp nhôm bọc 3xABC 70mm2</t>
  </si>
  <si>
    <t>+ Khối lượng cáp: Cáp nhôm bọc 4xABC 70mm2</t>
  </si>
  <si>
    <t>+ Khối lượng cáp: Cáp nhôm bọc 3xABC95mm2</t>
  </si>
  <si>
    <t>+ Trạm biến áp XDM 1x75kVA:</t>
  </si>
  <si>
    <t>trạm</t>
  </si>
  <si>
    <t>Móng M8BT</t>
  </si>
  <si>
    <t>TRỤ</t>
  </si>
  <si>
    <t>Móng M8BTK</t>
  </si>
  <si>
    <t xml:space="preserve">Cáp ABC 4x95mm2 </t>
  </si>
  <si>
    <t>+ Tính cả Hao hụt 2%:</t>
  </si>
  <si>
    <t>+ Khối lượng cáp: Cáp nhôm bọc 4xABC95mm2</t>
  </si>
  <si>
    <t>BẢNG KHỐI LƯỢNG NĂM 2020</t>
  </si>
  <si>
    <t>Trạm biến áp 3P 3x75kVA</t>
  </si>
  <si>
    <t xml:space="preserve">CPXD+TB trước thuế (tỷ đồng) </t>
  </si>
  <si>
    <t>TT 16/2019/TT-BTC</t>
  </si>
  <si>
    <t>Bảng 1.1</t>
  </si>
  <si>
    <t>1. Định mức chi phí quản lý dự án</t>
  </si>
  <si>
    <t>CPXD+TB trước thuế (tỷ đồng)</t>
  </si>
  <si>
    <t>Bảng 2.2</t>
  </si>
  <si>
    <t>2.Chi phí lập báo cáo nghiên cứu khả thi</t>
  </si>
  <si>
    <t>XD CN trước thuế</t>
  </si>
  <si>
    <t>Bảng 2.7</t>
  </si>
  <si>
    <t>3. Định mức chi phí thiết kế bản vẽ thi công công trình công nghiệp (công trình có thiết kế 2 bước)</t>
  </si>
  <si>
    <t>Công trình công nghiệp cấp IV</t>
  </si>
  <si>
    <t>Thiết bị trước thuế</t>
  </si>
  <si>
    <t>Bảng CN 2</t>
  </si>
  <si>
    <t>4. Định mức chi phí thiết kế trạm biến áp (công trình có thiết kế 2 bước)</t>
  </si>
  <si>
    <t>XD dân dụng trước thuế</t>
  </si>
  <si>
    <t>Bảng 2.5</t>
  </si>
  <si>
    <t>5. Định mức chi phí thiết kế bản vẽ thi công dân dụng (công trình có thiết kế 2 bước)</t>
  </si>
  <si>
    <t>XD trước thuế</t>
  </si>
  <si>
    <t>Bảng 2.19</t>
  </si>
  <si>
    <t>6. Định mức chi phí lựa chọn nhà thầu thi công xây dựng</t>
  </si>
  <si>
    <t>Bảng 2.20</t>
  </si>
  <si>
    <t>7. Định mức chi phí lựa chọn nhà thầu lăp đặt thiết bị</t>
  </si>
  <si>
    <t>Bảng 2.21</t>
  </si>
  <si>
    <t>8. Định mức giám sát thi công xây dựng</t>
  </si>
  <si>
    <t>TB trước thuế</t>
  </si>
  <si>
    <t>Bảng 2.22</t>
  </si>
  <si>
    <t>9. Định mức giám sát lắp đặt thiết bị</t>
  </si>
  <si>
    <t>TMĐT trước thuế</t>
  </si>
  <si>
    <t>TT 209/2016/TT-BTC</t>
  </si>
  <si>
    <t>Bảng 1</t>
  </si>
  <si>
    <t>10. Định mức thẩm định dự án</t>
  </si>
  <si>
    <t>≥10.000</t>
  </si>
  <si>
    <t>XD  trước thuế</t>
  </si>
  <si>
    <t>TT 210/2016/TT-BTC</t>
  </si>
  <si>
    <t>Phụ lục 1, bảng 1</t>
  </si>
  <si>
    <t>11. Định mức thẩm định thiết kế</t>
  </si>
  <si>
    <t>Phụ lục 1, bảng 2</t>
  </si>
  <si>
    <t>12. Định mức thẩm định dự toán</t>
  </si>
  <si>
    <t>tổng mức đầu tư được duyệt tổng mức đầu tư điều chỉnh của dự án
sau khi loại trừ chi phí dự phòng</t>
  </si>
  <si>
    <t>13. Định mức thẩm tra phê duyệt quyết toán</t>
  </si>
  <si>
    <t>≥ 10.000</t>
  </si>
  <si>
    <t>14. Định mức kiểm toán độc lập</t>
  </si>
  <si>
    <t>TT 16/2019/TT-BXD</t>
  </si>
  <si>
    <t>6. Phí thẩm định thiết kế xây dựng công trình sử dụng vốn ngân sách nhà nước do Sở CT thẩm định toàn bộ (Thông tư số 210/2016/TT-BTC)</t>
  </si>
  <si>
    <t>6. Phí thẩm định dự toán công trình sử dụng vốn ngân sách nhà nước do Sở CT thẩm định toàn bộ (Thông tư số 210/2016/TT-BTC)</t>
  </si>
  <si>
    <t>Khoản mục chi phí</t>
  </si>
  <si>
    <t>Giá trị Chủ đầu tư đề nghị</t>
  </si>
  <si>
    <t>Giá trị sau thẩm định</t>
  </si>
  <si>
    <t>Chênh lệch
tăng (+)/(-)</t>
  </si>
  <si>
    <t>Chi phí xây dựng</t>
  </si>
  <si>
    <t>Chi phí thiết bị</t>
  </si>
  <si>
    <t>Chi phí QLDA</t>
  </si>
  <si>
    <t>Chi phí tư vấn ĐTXD</t>
  </si>
  <si>
    <t>Chi phí khác</t>
  </si>
  <si>
    <t>Chi phí dự phòng</t>
  </si>
  <si>
    <t>BẢNG TÍNH NHÂN CÔNG ĐẦU VÀO(Thông tư 05/2016/TT-BXD ngày 10/3/2016 )</t>
  </si>
  <si>
    <t>TÍNH LƯƠNG ĐẦU VÀO THEO PHƯƠNG PHÁP XÁC ĐỊNH NHÂN CÔNG THỊ TRƯỜNG</t>
  </si>
  <si>
    <r>
      <t>Lương đầu vào  (L</t>
    </r>
    <r>
      <rPr>
        <vertAlign val="subscript"/>
        <sz val="12"/>
        <rFont val="Times New Roman"/>
        <family val="1"/>
      </rPr>
      <t>NC</t>
    </r>
    <r>
      <rPr>
        <sz val="11"/>
        <color theme="1"/>
        <rFont val="Calibri"/>
        <family val="2"/>
        <scheme val="minor"/>
      </rPr>
      <t>)</t>
    </r>
  </si>
  <si>
    <t>Vùng I</t>
  </si>
  <si>
    <t>ĐC nhân công trung bình thợ phụ 3.5/7</t>
  </si>
  <si>
    <t>Vùng II</t>
  </si>
  <si>
    <t>ĐC nhân công trung bình thợ chính 3.5/7</t>
  </si>
  <si>
    <t>Vùng III</t>
  </si>
  <si>
    <t>ĐC nhân công trung bình</t>
  </si>
  <si>
    <t>Vùng IV</t>
  </si>
  <si>
    <t>Mức lương đầu vào</t>
  </si>
  <si>
    <t>Công thức</t>
  </si>
  <si>
    <t>B1. BẢNG LƯƠNG NHÂN CÔNG TRỰC TIẾP SẢN XUẤT XÂY DỰNG</t>
  </si>
  <si>
    <t>Cấp bậc công nhân</t>
  </si>
  <si>
    <r>
      <t>Hệ số lương (H</t>
    </r>
    <r>
      <rPr>
        <vertAlign val="subscript"/>
        <sz val="12"/>
        <rFont val="Times New Roman"/>
        <family val="1"/>
      </rPr>
      <t>CB</t>
    </r>
    <r>
      <rPr>
        <sz val="11"/>
        <color theme="1"/>
        <rFont val="Calibri"/>
        <family val="2"/>
        <scheme val="minor"/>
      </rPr>
      <t>)</t>
    </r>
  </si>
  <si>
    <t>Lương tháng (đồng)</t>
  </si>
  <si>
    <t>Lương ngày (đồng)</t>
  </si>
  <si>
    <t>Ghi chú</t>
  </si>
  <si>
    <t>Nhóm I</t>
  </si>
  <si>
    <t>Nhóm II</t>
  </si>
  <si>
    <t>Bậc 1</t>
  </si>
  <si>
    <t>ln10</t>
  </si>
  <si>
    <t>lg10</t>
  </si>
  <si>
    <t>Bậc 2</t>
  </si>
  <si>
    <t>ln20</t>
  </si>
  <si>
    <t>lg20</t>
  </si>
  <si>
    <t>Nhóm I:</t>
  </si>
  <si>
    <t>ln21</t>
  </si>
  <si>
    <t>lg21</t>
  </si>
  <si>
    <t>ln22</t>
  </si>
  <si>
    <t>lg22</t>
  </si>
  <si>
    <t>ln23</t>
  </si>
  <si>
    <t>lg23</t>
  </si>
  <si>
    <t>ln24</t>
  </si>
  <si>
    <t>lg24</t>
  </si>
  <si>
    <t>ln25</t>
  </si>
  <si>
    <t>lg25</t>
  </si>
  <si>
    <t>- Mộc, nề, sắt, bê tông, cốp pha, hoàn thiện, đào đất, đắp đất;</t>
  </si>
  <si>
    <t>ln26</t>
  </si>
  <si>
    <t>lg26</t>
  </si>
  <si>
    <t>ln27</t>
  </si>
  <si>
    <t>lg27</t>
  </si>
  <si>
    <t>ln28</t>
  </si>
  <si>
    <t>lg28</t>
  </si>
  <si>
    <t>ln29</t>
  </si>
  <si>
    <t>lg29</t>
  </si>
  <si>
    <t>Bậc 3</t>
  </si>
  <si>
    <t>ln30</t>
  </si>
  <si>
    <t>lg30</t>
  </si>
  <si>
    <t>- Khảo sát xây dựng (bao gồm cả đo đạc xây dựng);</t>
  </si>
  <si>
    <t>ln31</t>
  </si>
  <si>
    <t>lg31</t>
  </si>
  <si>
    <t>ln32</t>
  </si>
  <si>
    <t>lg32</t>
  </si>
  <si>
    <t>ln33</t>
  </si>
  <si>
    <t>lg33</t>
  </si>
  <si>
    <t>ln34</t>
  </si>
  <si>
    <t>lg34</t>
  </si>
  <si>
    <t>ln35</t>
  </si>
  <si>
    <t>lg35</t>
  </si>
  <si>
    <t>- Vận hành các loại máy xây dựng (máy làm đất, máy đầm, máy nâng hạ, máy khoan, máy đóng ép cọc, máy bơm, máy hàn…)</t>
  </si>
  <si>
    <t>ln36</t>
  </si>
  <si>
    <t>lg36</t>
  </si>
  <si>
    <t>ln37</t>
  </si>
  <si>
    <t>lg37</t>
  </si>
  <si>
    <t>ln38</t>
  </si>
  <si>
    <t>lg38</t>
  </si>
  <si>
    <t>ln39</t>
  </si>
  <si>
    <t>lg39</t>
  </si>
  <si>
    <t>Bậc 4</t>
  </si>
  <si>
    <t>ln40</t>
  </si>
  <si>
    <t>lg40</t>
  </si>
  <si>
    <t>ln41</t>
  </si>
  <si>
    <t>lg41</t>
  </si>
  <si>
    <t>ln42</t>
  </si>
  <si>
    <t>lg42</t>
  </si>
  <si>
    <t>ln43</t>
  </si>
  <si>
    <t>lg43</t>
  </si>
  <si>
    <t>ln44</t>
  </si>
  <si>
    <t>lg44</t>
  </si>
  <si>
    <t>ln45</t>
  </si>
  <si>
    <t>lg45</t>
  </si>
  <si>
    <t>ln46</t>
  </si>
  <si>
    <t>lg46</t>
  </si>
  <si>
    <t>ln47</t>
  </si>
  <si>
    <t>lg47</t>
  </si>
  <si>
    <t>ln48</t>
  </si>
  <si>
    <t>lg48</t>
  </si>
  <si>
    <t>ln49</t>
  </si>
  <si>
    <t>lg49</t>
  </si>
  <si>
    <t>Bậc 5</t>
  </si>
  <si>
    <t>ln50</t>
  </si>
  <si>
    <t>lg50</t>
  </si>
  <si>
    <t>- Các công tác không thuộc nhóm I</t>
  </si>
  <si>
    <t>ln51</t>
  </si>
  <si>
    <t>lg51</t>
  </si>
  <si>
    <t>ln52</t>
  </si>
  <si>
    <t>lg52</t>
  </si>
  <si>
    <t>ln53</t>
  </si>
  <si>
    <t>lg53</t>
  </si>
  <si>
    <t>ln54</t>
  </si>
  <si>
    <t>lg54</t>
  </si>
  <si>
    <t>ln55</t>
  </si>
  <si>
    <t>lg55</t>
  </si>
  <si>
    <t>ln56</t>
  </si>
  <si>
    <t>lg56</t>
  </si>
  <si>
    <t>ln57</t>
  </si>
  <si>
    <t>lg57</t>
  </si>
  <si>
    <t>ln58</t>
  </si>
  <si>
    <t>lg58</t>
  </si>
  <si>
    <t>ln59</t>
  </si>
  <si>
    <t>lg59</t>
  </si>
  <si>
    <t>Bậc 6</t>
  </si>
  <si>
    <t>ln60</t>
  </si>
  <si>
    <t>lg60</t>
  </si>
  <si>
    <t>ln61</t>
  </si>
  <si>
    <t>lg61</t>
  </si>
  <si>
    <t>ln62</t>
  </si>
  <si>
    <t>lg62</t>
  </si>
  <si>
    <t>ln63</t>
  </si>
  <si>
    <t>lg63</t>
  </si>
  <si>
    <t>ln64</t>
  </si>
  <si>
    <t>lg64</t>
  </si>
  <si>
    <t>ln65</t>
  </si>
  <si>
    <t>lg65</t>
  </si>
  <si>
    <t>ln66</t>
  </si>
  <si>
    <t>lg66</t>
  </si>
  <si>
    <t>ln67</t>
  </si>
  <si>
    <t>lg67</t>
  </si>
  <si>
    <t>ln68</t>
  </si>
  <si>
    <t>lg68</t>
  </si>
  <si>
    <t>ln69</t>
  </si>
  <si>
    <t>lg69</t>
  </si>
  <si>
    <t>Bậc 7</t>
  </si>
  <si>
    <t>ln70</t>
  </si>
  <si>
    <t>lg70</t>
  </si>
  <si>
    <t>B2. BẢNG LƯƠNG NHÂN CÔNG KỸ SƯ TRỰC TIẾP</t>
  </si>
  <si>
    <t>Cấp bậc kỹ sư</t>
  </si>
  <si>
    <t>Hệ số lượng</t>
  </si>
  <si>
    <t>Cấp bậc kỹ sư 1,0/8</t>
  </si>
  <si>
    <t>ks10</t>
  </si>
  <si>
    <t>Cấp bậc kỹ sư 2,0/8</t>
  </si>
  <si>
    <t>ks20</t>
  </si>
  <si>
    <t>CB kỹ sư 2,1/8</t>
  </si>
  <si>
    <t>ks21</t>
  </si>
  <si>
    <t>CB kỹ sư 2,2/8</t>
  </si>
  <si>
    <t>ks22</t>
  </si>
  <si>
    <t>CB kỹ sư 2,3/8</t>
  </si>
  <si>
    <t>ks23</t>
  </si>
  <si>
    <t>CB kỹ sư 2,4/8</t>
  </si>
  <si>
    <t>ks24</t>
  </si>
  <si>
    <t>CB kỹ sư 2,5/8</t>
  </si>
  <si>
    <t>ks25</t>
  </si>
  <si>
    <t>CB kỹ sư 2,6/8</t>
  </si>
  <si>
    <t>ks26</t>
  </si>
  <si>
    <t>CB kỹ sư 2,7/8</t>
  </si>
  <si>
    <t>ks27</t>
  </si>
  <si>
    <t>CB kỹ sư 2,8/8</t>
  </si>
  <si>
    <t>ks28</t>
  </si>
  <si>
    <t>CB kỹ sư 2,9/8</t>
  </si>
  <si>
    <t>ks29</t>
  </si>
  <si>
    <t>Cấp bậc kỹ sư 3,0/8</t>
  </si>
  <si>
    <t>ks30</t>
  </si>
  <si>
    <t>CB kỹ sư 3,1/8</t>
  </si>
  <si>
    <t>ks31</t>
  </si>
  <si>
    <t>CB kỹ sư 3,2/8</t>
  </si>
  <si>
    <t>ks32</t>
  </si>
  <si>
    <t>CB kỹ sư 3,3/8</t>
  </si>
  <si>
    <t>ks33</t>
  </si>
  <si>
    <t>CB kỹ sư 3,4/8</t>
  </si>
  <si>
    <t>ks34</t>
  </si>
  <si>
    <t>CB kỹ sư 3,5/8</t>
  </si>
  <si>
    <t>ks35</t>
  </si>
  <si>
    <t>CB kỹ sư 3,6/8</t>
  </si>
  <si>
    <t>ks36</t>
  </si>
  <si>
    <t>CB kỹ sư 3,7/8</t>
  </si>
  <si>
    <t>ks37</t>
  </si>
  <si>
    <t>CB kỹ sư 3,8/8</t>
  </si>
  <si>
    <t>ks38</t>
  </si>
  <si>
    <t>CB kỹ sư 3,9/8</t>
  </si>
  <si>
    <t>ks39</t>
  </si>
  <si>
    <t>Cấp bậc kỹ sư 4,0/8</t>
  </si>
  <si>
    <t>ks40</t>
  </si>
  <si>
    <t>CB kỹ sư 4,1/8</t>
  </si>
  <si>
    <t>ks41</t>
  </si>
  <si>
    <t>CB kỹ sư 4,2/8</t>
  </si>
  <si>
    <t>ks42</t>
  </si>
  <si>
    <t>CB kỹ sư 4,3/8</t>
  </si>
  <si>
    <t>ks43</t>
  </si>
  <si>
    <t>CB kỹ sư 4,4/8</t>
  </si>
  <si>
    <t>ks44</t>
  </si>
  <si>
    <t>CB kỹ sư 4,5/8</t>
  </si>
  <si>
    <t>ks45</t>
  </si>
  <si>
    <t>CB kỹ sư 4,6/8</t>
  </si>
  <si>
    <t>ks46</t>
  </si>
  <si>
    <t>CB kỹ sư 4,7/8</t>
  </si>
  <si>
    <t>ks47</t>
  </si>
  <si>
    <t>CB kỹ sư 4,8/8</t>
  </si>
  <si>
    <t>ks48</t>
  </si>
  <si>
    <t>CB kỹ sư 4,9/8</t>
  </si>
  <si>
    <t>ks49</t>
  </si>
  <si>
    <t>Cấp bậc kỹ sư 5,0/8</t>
  </si>
  <si>
    <t>ks50</t>
  </si>
  <si>
    <t>CB kỹ sư 5,1/8</t>
  </si>
  <si>
    <t>ks51</t>
  </si>
  <si>
    <t>CB kỹ sư 5,2/8</t>
  </si>
  <si>
    <t>ks52</t>
  </si>
  <si>
    <t>CB kỹ sư 5,3/8</t>
  </si>
  <si>
    <t>ks53</t>
  </si>
  <si>
    <t>CB kỹ sư 5,4/8</t>
  </si>
  <si>
    <t>ks54</t>
  </si>
  <si>
    <t>CB kỹ sư 5,5/8</t>
  </si>
  <si>
    <t>ks55</t>
  </si>
  <si>
    <t>CB kỹ sư 5,6/8</t>
  </si>
  <si>
    <t>ks56</t>
  </si>
  <si>
    <t>CB kỹ sư 5,7/8</t>
  </si>
  <si>
    <t>ks57</t>
  </si>
  <si>
    <t>CB kỹ sư 5,8/8</t>
  </si>
  <si>
    <t>ks58</t>
  </si>
  <si>
    <t>CB kỹ sư 5,9/8</t>
  </si>
  <si>
    <t>ks59</t>
  </si>
  <si>
    <t>Cấp bậc kỹ sư 6,0/8</t>
  </si>
  <si>
    <t>ks60</t>
  </si>
  <si>
    <t>CB kỹ sư 6,1/8</t>
  </si>
  <si>
    <t>ks61</t>
  </si>
  <si>
    <t>CB kỹ sư 6,2/8</t>
  </si>
  <si>
    <t>ks62</t>
  </si>
  <si>
    <t>CB kỹ sư 6,3/8</t>
  </si>
  <si>
    <t>ks63</t>
  </si>
  <si>
    <t>CB kỹ sư 6,4/8</t>
  </si>
  <si>
    <t>ks64</t>
  </si>
  <si>
    <t>CB kỹ sư 6,5/8</t>
  </si>
  <si>
    <t>ks65</t>
  </si>
  <si>
    <t>CB kỹ sư 6,6/8</t>
  </si>
  <si>
    <t>ks66</t>
  </si>
  <si>
    <t>CB kỹ sư 6,7/8</t>
  </si>
  <si>
    <t>ks67</t>
  </si>
  <si>
    <t>CB kỹ sư 6,8/8</t>
  </si>
  <si>
    <t>ks68</t>
  </si>
  <si>
    <t>CB kỹ sư 6,9/8</t>
  </si>
  <si>
    <t>ks69</t>
  </si>
  <si>
    <t>Cấp bậc kỹ sư 7,0/8</t>
  </si>
  <si>
    <t>ks70</t>
  </si>
  <si>
    <t>CB kỹ sư 7,5/8</t>
  </si>
  <si>
    <t>ks75</t>
  </si>
  <si>
    <t>Cấp bậc kỹ sư 8,0/8</t>
  </si>
  <si>
    <t>ks80</t>
  </si>
  <si>
    <t>B4. BẢNG LƯƠNG NHÂN CÔNG LÁI XE</t>
  </si>
  <si>
    <t>Nhóm xe</t>
  </si>
  <si>
    <t>Cấp bậc hệ số</t>
  </si>
  <si>
    <t>1/4</t>
  </si>
  <si>
    <t>lx11</t>
  </si>
  <si>
    <t>Nhóm 1: Ô tô vận tải thùng, ô tô tự đổ, rơ moóc, ô tô tưới nước, ô tô tải có gắn cần trục tải trọng dưới 7,5T; cần trục ô tô sức nâng dưới 7,5T; xe hút mùn khoan; ô tô bán tải; xe ô tô 7 chỗ dùng trong công tác khảo sát; xe hút chân không dưới 10 tấn; máy nén thử đường ống công suất 170CV.</t>
  </si>
  <si>
    <t>Xe tải, xe cẩu dưới 7,5 T</t>
  </si>
  <si>
    <t>2/4</t>
  </si>
  <si>
    <t>lx12</t>
  </si>
  <si>
    <t>hút bùn, xe khoan, xe hút chân không &lt;10t, máy nén &lt;170CV</t>
  </si>
  <si>
    <t>3/4</t>
  </si>
  <si>
    <t>lx13</t>
  </si>
  <si>
    <t>4/4</t>
  </si>
  <si>
    <t>lx14</t>
  </si>
  <si>
    <t>lx21</t>
  </si>
  <si>
    <t>Nhóm 2: Ô tô vận tải thùng, ô tô tự đổ, ô tô tưới nước, rơ moóc tải trọng từ 7,5T đến dưới 25T; ô tô tải có gắn cần trục tải trọng từ 7,5T đến dưới 25T; cần trục ô tô sức nâng từ 7,5T đến dưới 25T; ô tô đầu kéo dưới 200CV: ô tô chuyển trộn bê tông dung tích thùng dưới 14,5m3; xe bơm bê tông; máy phun nhựa đường.</t>
  </si>
  <si>
    <t>7,5 T đến 25 T</t>
  </si>
  <si>
    <t>lx22</t>
  </si>
  <si>
    <t>Đầu kéo 200CV, thùng 14,5m3, xe bơm bt,  máyphun nhưa đường</t>
  </si>
  <si>
    <t>lx23</t>
  </si>
  <si>
    <t>lx24</t>
  </si>
  <si>
    <t>Nhóm III</t>
  </si>
  <si>
    <t>lx31</t>
  </si>
  <si>
    <t>Nhóm 3: Ô tô tự đổ, rơ moóc tải trọng từ 25T trở lên; ô tô đầu kéo từ 200CV trở lên; ô tô chuyển trộn bê tông dung tích thùng từ 14,5m3 trở lên; cần trục ô tô sức nâng từ 25T trở lên</t>
  </si>
  <si>
    <t>Lớn 25T</t>
  </si>
  <si>
    <t>lx32</t>
  </si>
  <si>
    <t xml:space="preserve">Oto tự đổ, đầu kéo&gt; 200CV, oto trộn bt&gt;14,5m3, </t>
  </si>
  <si>
    <t>lx33</t>
  </si>
  <si>
    <t>lx34</t>
  </si>
  <si>
    <t>B5. BẢNG LƯƠNG NHÂN CÔNG THỢ ĐIỀU KHIỂN TÀU, THUYỀN THIẾT BỊ KHÁC</t>
  </si>
  <si>
    <t>B5.1. BẢNG LƯƠNG NHÂN CÔNG THUYỀN TRƯỞNG, THUYỀN PHÓ</t>
  </si>
  <si>
    <t>B5.1. BẢNG LƯƠNG NHÂN CÔNG THỞ ĐIỀU KHIỂN TÀU, THUYỀN THIẾT BỊ KHÁC</t>
  </si>
  <si>
    <t>Chức danh</t>
  </si>
  <si>
    <t>Cấp bậc</t>
  </si>
  <si>
    <t>Hệ số lương</t>
  </si>
  <si>
    <t>Nhóm 1: Tàu, ca nô có công suất máy chính từ 5CV đến 150CV</t>
  </si>
  <si>
    <t>Nhóm 2: Tàu, ca nô có công suất máy chính trên 150CV; cần cẩu nổi; tàu đóng cọc</t>
  </si>
  <si>
    <t>Thuyền trưởng</t>
  </si>
  <si>
    <t>1/2</t>
  </si>
  <si>
    <t>t.tr11</t>
  </si>
  <si>
    <t>t.tr21</t>
  </si>
  <si>
    <t>2/2</t>
  </si>
  <si>
    <t>t.tr12</t>
  </si>
  <si>
    <t>t.tr22</t>
  </si>
  <si>
    <t>Thuyền phó 1, máy 1</t>
  </si>
  <si>
    <t>Thuyền phó 2, máy 2</t>
  </si>
  <si>
    <t>B5.2. BẢNG LƯƠNG NHÂN CÔNG THÙY THỦ, THỢ MÁY, THỢ ĐIỆN</t>
  </si>
  <si>
    <t>Thùy thủ</t>
  </si>
  <si>
    <t>Thợ máy, thợ điện</t>
  </si>
  <si>
    <t>B5.3. BẢNG LƯƠNG NHÂN CÔNG TÀU HÚT, TÀU CUỐC NẠO VÉT SÔNG</t>
  </si>
  <si>
    <t>Nhóm I: Tàu hút dưới 150m³/h</t>
  </si>
  <si>
    <t>Nhóm II: Tàu hút từ 150m³/h đến 300m³/h</t>
  </si>
  <si>
    <t>Máy trưởng</t>
  </si>
  <si>
    <t>Nhóm III: Tàu hút trên 300m³/h, tàu cuốc dưới 300m³/h</t>
  </si>
  <si>
    <t>Điện trưởng</t>
  </si>
  <si>
    <t>Máy 2, kỹ thuật viện cuốc 1, thuyền phó</t>
  </si>
  <si>
    <t>Kỹ thuật viên cuốc 2</t>
  </si>
  <si>
    <t>B5.4. BẢNG LƯƠNG NHÂN CÔNG THỢ ĐIỀU KHIỂN TÀU HÚT, TÀU CUỐC, TÀU ĐÀO GẦU NGOẠM NẠO VÉT BIỂN</t>
  </si>
  <si>
    <t>Thuyền trưởng tàu hút bụng</t>
  </si>
  <si>
    <t>Nhóm I: Từ 300m³/h đến 800m³/h</t>
  </si>
  <si>
    <t>Máy trưởng, thuyền trưởng tàu cuốc, tàu hút phun, tàu đào gầu ngoạm</t>
  </si>
  <si>
    <t>Nhóm II: Từ 800m³/h trở lên</t>
  </si>
  <si>
    <t>Điện trưởng tàu hút, tàu cuốc; kỹ thuật viên cuốc 1, thuyền phó 2 tàu hút bụng; kỹ thuật viên cuốc 2 tàu cuốc, tàu hút phun, tàu đào gầu ngoạm</t>
  </si>
  <si>
    <t xml:space="preserve">Thuyền phó tàu cuốc, kỹ thuật viên cuốc 2 tàu hút; </t>
  </si>
  <si>
    <t>Máy 2; kỹ thuật viên cuốc 1 tàu cuốc, tàu hút phun, tàu đào gầu ngoạm</t>
  </si>
  <si>
    <t>B5.2. BẢNG LƯƠNG NHÂN CÔNG THỢ LẶN</t>
  </si>
  <si>
    <t>Thợ lặn</t>
  </si>
  <si>
    <t>Thợ lặn cấp I</t>
  </si>
  <si>
    <t>Thợ lặn cấp II</t>
  </si>
  <si>
    <t>1/1</t>
  </si>
  <si>
    <t>+ Trạm biến áp XDM 3P 75kVA:</t>
  </si>
  <si>
    <t xml:space="preserve"> a) Vật liệu</t>
  </si>
  <si>
    <t>Vải phin trắng 0,8mm</t>
  </si>
  <si>
    <t>Giấy ráp mịn</t>
  </si>
  <si>
    <t>tê</t>
  </si>
  <si>
    <t>Cáp CVV 2x1,5mm2-0,6kV</t>
  </si>
  <si>
    <t>Cáp CVV 4x2,5mm2-0,6kV</t>
  </si>
  <si>
    <t xml:space="preserve"> b) Nhân công</t>
  </si>
  <si>
    <t>Công nhân 5,0 /7</t>
  </si>
  <si>
    <t xml:space="preserve"> c) Máy thi công</t>
  </si>
  <si>
    <t xml:space="preserve">Hợp bộ đo lường </t>
  </si>
  <si>
    <t>Máy đo điện trở một chiều</t>
  </si>
  <si>
    <t>Phần thí nghiệm thiết bị</t>
  </si>
  <si>
    <t>Thí nghiệm Biến dòng điện ≤ 1KV bộ đầu tiên</t>
  </si>
  <si>
    <t>Thí nghiệm Biến dòng điện ≤ 1KV từ bộ thứ hai trở đi</t>
  </si>
  <si>
    <t>Thí nghiệm cầu chì tự rơi 1 pha</t>
  </si>
  <si>
    <t>bộ (3 pha)</t>
  </si>
  <si>
    <t>Thí nghiệm chống sét van, điện áp 10-15kV, 1 pha</t>
  </si>
  <si>
    <t>kWh</t>
  </si>
  <si>
    <t>BẢNG: TỔNG HỢP GIÁ XÂY DỰNG CÔNG TRÌNH</t>
  </si>
  <si>
    <t>PHẦN ĐƠN GIÁ XÂY DỰNG CHI TIẾT TRẠM BIẾN ÁP</t>
  </si>
  <si>
    <t>Tiếp địa trạm biến áp</t>
  </si>
  <si>
    <t>Công nhân 4,0 /7</t>
  </si>
  <si>
    <t>AB.11442</t>
  </si>
  <si>
    <t>AF.81132</t>
  </si>
  <si>
    <t>BẢNG TÍNH GIÁ VẬT LIỆU ĐẾN HIỆN TRƯỜNG CÔNG TRÌNH</t>
  </si>
  <si>
    <t>Stt</t>
  </si>
  <si>
    <t>Loại vật việu</t>
  </si>
  <si>
    <t>Trọng lượng (tấn-m3)</t>
  </si>
  <si>
    <t>Giá vật liệu đến công trình</t>
  </si>
  <si>
    <t>Chi phí vận chuyển nội bộ</t>
  </si>
  <si>
    <t>Giá vật liệu đến hiện trường công trình</t>
  </si>
  <si>
    <t>Giá vật liệu tại nguồn cung cấp</t>
  </si>
  <si>
    <t>Chi phí vận chuyển đến công trình</t>
  </si>
  <si>
    <t>chi phí bốc xếp</t>
  </si>
  <si>
    <t>tờ</t>
  </si>
  <si>
    <t>Gỗ nhóm IV</t>
  </si>
  <si>
    <t>Gỗ kê</t>
  </si>
  <si>
    <t>Keo dán</t>
  </si>
  <si>
    <t>Vải nhựa</t>
  </si>
  <si>
    <t>Que hàn</t>
  </si>
  <si>
    <t>Dây thép buộc</t>
  </si>
  <si>
    <t>Băng nilông</t>
  </si>
  <si>
    <t>Biển báo an toàn trạm biến áp</t>
  </si>
  <si>
    <t>Biển báo tên trạm biến áp</t>
  </si>
  <si>
    <t>trụ</t>
  </si>
  <si>
    <t>Bulông f&gt;=6; L&gt;=60</t>
  </si>
  <si>
    <t>Bulon M16 x 350 + 2 long đền</t>
  </si>
  <si>
    <t>Đá 1x2</t>
  </si>
  <si>
    <t>Nước</t>
  </si>
  <si>
    <t>Chống sét van LA 18kV - 10kA - Polymer</t>
  </si>
  <si>
    <t>Giá đỡ máy biến áp</t>
  </si>
  <si>
    <t>Cầu chì tự rơi FCO - 27kV - 100A</t>
  </si>
  <si>
    <t>Bass bắt FCO tole 8 ly (Bass LI)</t>
  </si>
  <si>
    <t>Nắp chụp cách điện bảo vệ đầu cực FCO</t>
  </si>
  <si>
    <t>Bảng 5</t>
  </si>
  <si>
    <t>Amiăng tấm</t>
  </si>
  <si>
    <t>Bulông D&gt;=10; L&gt;=100</t>
  </si>
  <si>
    <t>Bu lông M16x60</t>
  </si>
  <si>
    <t>Bu long M14x150-160</t>
  </si>
  <si>
    <t>Cát vàng Ml&gt;2</t>
  </si>
  <si>
    <t>Củi đun</t>
  </si>
  <si>
    <t>Côliê đk&lt;=25mm</t>
  </si>
  <si>
    <t>Côliê đk&lt;=50mm</t>
  </si>
  <si>
    <t>Côliê đk&lt;=75mm</t>
  </si>
  <si>
    <t>Côliê đk&lt;=100mm</t>
  </si>
  <si>
    <t>Côliê đk&gt;100mm</t>
  </si>
  <si>
    <t>Côliê thép</t>
  </si>
  <si>
    <t>Cáp thép D=4mm</t>
  </si>
  <si>
    <t>Cáp thép D=10mm</t>
  </si>
  <si>
    <t>Chất cách điện</t>
  </si>
  <si>
    <t>Đinh đỉa</t>
  </si>
  <si>
    <t>Dây thép mạ</t>
  </si>
  <si>
    <t>Dây thép d=1mm</t>
  </si>
  <si>
    <t>Điezel 0,05S</t>
  </si>
  <si>
    <t>lít</t>
  </si>
  <si>
    <t>Điện kế 01 pha</t>
  </si>
  <si>
    <t>Điện kế 03 pha</t>
  </si>
  <si>
    <t>Dây đồng trần 25mm2</t>
  </si>
  <si>
    <t>Dây điện CVV 2x1,5mm2</t>
  </si>
  <si>
    <t>Cáp bọc CVV 4x2,5mm2</t>
  </si>
  <si>
    <t>Dầu biến áp</t>
  </si>
  <si>
    <t>Dây thép d=2mm</t>
  </si>
  <si>
    <t>Dây thép d=4mm</t>
  </si>
  <si>
    <t>Dây thép d=6mm</t>
  </si>
  <si>
    <t>Gỗ ván</t>
  </si>
  <si>
    <t>Giấy nhám mịn</t>
  </si>
  <si>
    <t>Gỗ nhóm V</t>
  </si>
  <si>
    <t>Hộp gang nối cáp dầu tiết diện 35mm2</t>
  </si>
  <si>
    <t>Hộp gang nối cáp dầu tiết diện 70mm2</t>
  </si>
  <si>
    <t>Hộp gang nối cáp dầu tiết diện 120mm2</t>
  </si>
  <si>
    <t>Hộp gang nối cáp dầu tiết diện 185mm2</t>
  </si>
  <si>
    <t>Hộp gang nối cáp dầu tiết diện 240mm2</t>
  </si>
  <si>
    <t>Hộp gang nối cáp dầu tiết diện 300mm2</t>
  </si>
  <si>
    <t>Hộp gang nối cáp dầu tiết diện 400mm2</t>
  </si>
  <si>
    <t>Hộp điện kế</t>
  </si>
  <si>
    <t>Mỡ trung tính</t>
  </si>
  <si>
    <t>Măng sông PVC D15mm</t>
  </si>
  <si>
    <t>Măng sông PVC D21mm</t>
  </si>
  <si>
    <t>Măng sông PVC D25mm</t>
  </si>
  <si>
    <t>Măng sông PVC D32mm</t>
  </si>
  <si>
    <t>Măng sông PVC D40mm</t>
  </si>
  <si>
    <t>Măng sông PVC D50mm</t>
  </si>
  <si>
    <t>Măng sông PVC D67mm</t>
  </si>
  <si>
    <t>Măng sông PVC D76mm</t>
  </si>
  <si>
    <t>Măng sông PVC D90mm</t>
  </si>
  <si>
    <t>Măng sông PVC D100mm</t>
  </si>
  <si>
    <t>Măng sông PVC D110mm</t>
  </si>
  <si>
    <t>Măng sông PVC D150mm</t>
  </si>
  <si>
    <t>Măng sông PVC D200mm</t>
  </si>
  <si>
    <t>Măng sông PVC D250mm</t>
  </si>
  <si>
    <t>Matít (trét đầu cáp)</t>
  </si>
  <si>
    <t>nhựa thông</t>
  </si>
  <si>
    <t>Nhựa dán ống PVC</t>
  </si>
  <si>
    <t>Ống nhựa PVC D15mm</t>
  </si>
  <si>
    <t>Ống nhựa PVC D21mm</t>
  </si>
  <si>
    <t>Ống nhựa PVC D27mm</t>
  </si>
  <si>
    <t>Ống nhựa PVC D34mm</t>
  </si>
  <si>
    <t>Ống nhựa PVC D42mm</t>
  </si>
  <si>
    <t>Ống nhựa PVC D49mm</t>
  </si>
  <si>
    <t>Ống nhựa PVC D60mm</t>
  </si>
  <si>
    <t>Ống nhựa PVC D90mm</t>
  </si>
  <si>
    <t>Ống nhựa PVC D100mm</t>
  </si>
  <si>
    <t>Ống nhựa PVC D110mm</t>
  </si>
  <si>
    <t>Ống nhựa PVC D150mm</t>
  </si>
  <si>
    <t>Ống nhựa PVC D200mm</t>
  </si>
  <si>
    <t>Ống nhựaPVC D250mm</t>
  </si>
  <si>
    <t>Ống nối ép dây tiết diện &lt;=120mm2</t>
  </si>
  <si>
    <t>Ống nối ép dây tiết diện &lt;=150mm2</t>
  </si>
  <si>
    <t>Ống nối ép dây tiết diện &lt;=185mm2</t>
  </si>
  <si>
    <t>Ống nối ép dây tiết diện &lt;=240mm2</t>
  </si>
  <si>
    <t>Ống nối ép dây tiết diện &lt;=300mm2</t>
  </si>
  <si>
    <t>Ống nối ép dây tiết diện &lt;=400mm2</t>
  </si>
  <si>
    <t>Ống nối ép dây tiết diện &lt;=500mm2</t>
  </si>
  <si>
    <t>Ống nối ép dây tiết diện &gt;500mm2</t>
  </si>
  <si>
    <t>Puly nhôm</t>
  </si>
  <si>
    <t>Phễu cáp bằng gang tiết diện 35mm2</t>
  </si>
  <si>
    <t>Phễu cáp bằng gang tiết diện 70mm2</t>
  </si>
  <si>
    <t>Phễu cáp bằng gang tiết diện 120mm2</t>
  </si>
  <si>
    <t>Phễu cáp bằng gang tiết diện 185mm2</t>
  </si>
  <si>
    <t>Phễu cáp bằng gang tiết diện 240mm2</t>
  </si>
  <si>
    <t>Phễu cáp bằng gang tiết diện 300mm2</t>
  </si>
  <si>
    <t>Phễu cáp bằng gang tiết diện 400mm2</t>
  </si>
  <si>
    <t>Phễu cáp bằng tôn tiết diện 35mm2</t>
  </si>
  <si>
    <t>Phễu cáp bằng tôn tiết diện 70mm2</t>
  </si>
  <si>
    <t>Phễu cáp bằng tôn tiết diện 120mm2</t>
  </si>
  <si>
    <t>Phễu cáp bằng tôn tiết diện 185mm2</t>
  </si>
  <si>
    <t>Phễu cáp bằng tôn tiết diện 240mm2</t>
  </si>
  <si>
    <t>Phễu cáp bằng tôn tiết diện 300mm2</t>
  </si>
  <si>
    <t>Phễu cáp bằng tôn tiết diện 400mm2</t>
  </si>
  <si>
    <t>Potelet</t>
  </si>
  <si>
    <t>cuốn</t>
  </si>
  <si>
    <t>Sơn dầu</t>
  </si>
  <si>
    <t>Sơn chống rỉ</t>
  </si>
  <si>
    <t>Sứ chỉ ống 600V</t>
  </si>
  <si>
    <t>Bộ 2 sứ</t>
  </si>
  <si>
    <t>Bộ 3 sứ</t>
  </si>
  <si>
    <t>Bộ 4 sứ</t>
  </si>
  <si>
    <t>Thiếc hàn</t>
  </si>
  <si>
    <t>Thép đệm</t>
  </si>
  <si>
    <t>Thép lá 1mm</t>
  </si>
  <si>
    <t>Thép U-80</t>
  </si>
  <si>
    <t>Tre fi 8-10 cm, L=6-8m</t>
  </si>
  <si>
    <t>cây</t>
  </si>
  <si>
    <t>Vazơlin</t>
  </si>
  <si>
    <t>Vít M4x40</t>
  </si>
  <si>
    <t>Xăng E5 Ron 92</t>
  </si>
  <si>
    <t>Vải mộc trắng 0,8m</t>
  </si>
  <si>
    <t xml:space="preserve">Cọc tiếp địa 16x2400 mạ kẽm nhúng nóng </t>
  </si>
  <si>
    <t>Mối hàn hóa nhiệt</t>
  </si>
  <si>
    <t>Kẹp WR 279</t>
  </si>
  <si>
    <t>Trụ BTLT 8,5 mét đơn-LĐT F=300KgF</t>
  </si>
  <si>
    <t>Trụ BTLT 8,5 mét đơn-LĐT F=300KgF có tiếp địa</t>
  </si>
  <si>
    <t>Trụ BTLT 10,5 mét đơn-LĐT F=420KgF</t>
  </si>
  <si>
    <t>Đà cản BTCT 1,2 mét</t>
  </si>
  <si>
    <t xml:space="preserve">Móng neo 1,2m </t>
  </si>
  <si>
    <t>Ty neo D16x2400 + 02 Long đền V18-80x80x6</t>
  </si>
  <si>
    <t>Ty đà cản D16x500 -2ĐR + 02 Long đền V20-80x80x6</t>
  </si>
  <si>
    <t>Boulon D12x25 + long đền D14</t>
  </si>
  <si>
    <t>Bulon M16-500 VRS + 4ecu + 4 long đền</t>
  </si>
  <si>
    <t>Bulon M16 x 450 VRS + 4ecu + 4 long đền</t>
  </si>
  <si>
    <t>Bulon M16-400 VRS + 4ecu + 4 long đền</t>
  </si>
  <si>
    <t>Bulon mắt M16x300mm + 02 long đền</t>
  </si>
  <si>
    <t>Bulon mắt M16x250mm + 02 long đền</t>
  </si>
  <si>
    <t>Bu lon M16x400mm + 02 long đền</t>
  </si>
  <si>
    <t>Bulon móc hở đầu M16x250 mm + 02 long đền</t>
  </si>
  <si>
    <t>Bulon móc hở đầu M16x300 mm + 02 long đền</t>
  </si>
  <si>
    <t>Bulon móc hở đầu M16x550 mm + 02 long đền</t>
  </si>
  <si>
    <t>Giá móc cáp đôi</t>
  </si>
  <si>
    <t>Kg</t>
  </si>
  <si>
    <t>Kẹp treo cáp ABC 3x95mm2</t>
  </si>
  <si>
    <t>Kẹp treo cáp ABC 4x70mm2</t>
  </si>
  <si>
    <t>Kẹp dừng cáp ABC 3x95mm2</t>
  </si>
  <si>
    <t>Kẹp dừng cáp ABC 4x70mm2</t>
  </si>
  <si>
    <t>Đà composit L75x75x6mm dài 0,8 mét</t>
  </si>
  <si>
    <t>Thanh chống composit L60x920x10 mm</t>
  </si>
  <si>
    <t xml:space="preserve">Cát san lấp </t>
  </si>
  <si>
    <t>Cát bê tông</t>
  </si>
  <si>
    <t>Cáp trung thế CXV-25-24kV</t>
  </si>
  <si>
    <t>Dây  nhôm bọc LV-ABC-3x95mm2 - 0,6/1kV</t>
  </si>
  <si>
    <t>Cáp CV - 120mm2-0,6/1kV</t>
  </si>
  <si>
    <t>Cáp CV - 70mm2-0,6/1kV</t>
  </si>
  <si>
    <t>Kẹp nối rẽ IPC 95-95 loại 02 bulon</t>
  </si>
  <si>
    <t>Kẹp nối rẽ IPC 70-70 loại 02 bulon</t>
  </si>
  <si>
    <t>Nắp bịt đầu cáp LV-ABC 95mm2</t>
  </si>
  <si>
    <t>Nắp bịt đầu cáp LV-ABC 70mm2</t>
  </si>
  <si>
    <t>Ốc xiêt cáp Cu25mm2</t>
  </si>
  <si>
    <t>Coss ép 50mm2 lổ D14</t>
  </si>
  <si>
    <t>đầu cốt</t>
  </si>
  <si>
    <t>Đầu cosse ép Cu - AL 120mm2</t>
  </si>
  <si>
    <t>Đầu cosse ép Cu - AL 70mm2</t>
  </si>
  <si>
    <t>Mũ chụp cách điện đầu cốt Cu 70mm2</t>
  </si>
  <si>
    <t>Mũ chụp cách điện đầu cốt Cu 120mm2</t>
  </si>
  <si>
    <t>Máy biến áp 1 pha 75kVA 12,7/0,23kV</t>
  </si>
  <si>
    <t>máy biến áp</t>
  </si>
  <si>
    <t>Nắp chụp máy biến áp</t>
  </si>
  <si>
    <t>Bass bắt LA tole 8 ly (Bass LI)</t>
  </si>
  <si>
    <t>Biến dòng hạ thế CT 200/5A 600V</t>
  </si>
  <si>
    <t>Tủ điện KT 600x500x320 dày 2mm mạ kẽm sơn tĩnh điện</t>
  </si>
  <si>
    <t>MCCB 3 pha 200A - 0,4/0,69kV - 25kA có chế độ điều chỉnh dòng định mức</t>
  </si>
  <si>
    <t>Kẹp WR 179</t>
  </si>
  <si>
    <t>Co lơi ống uPVC D=90mm2</t>
  </si>
  <si>
    <t>Cáp CVV 3x4mm2</t>
  </si>
  <si>
    <t>Cổ dê  kẹp ống PVC Φ90</t>
  </si>
  <si>
    <t>Bảng 6</t>
  </si>
  <si>
    <t>BẢNG  CHI PHÍ VẬN CHUYỂN</t>
  </si>
  <si>
    <t>NỘI DUNG</t>
  </si>
  <si>
    <t>Vận chuyển cáp + phụ kiện (10 tấn)</t>
  </si>
  <si>
    <t>Vận chuyển cáp điện, phụ kiên từ TP.HCM về Châu Đức, xe 10 tấn</t>
  </si>
  <si>
    <t>110Km x 540 đ/Km x 10Tấn x 1chuyến x 1,1</t>
  </si>
  <si>
    <t>Chi phí qua trạm thu phí</t>
  </si>
  <si>
    <t>1 chuyến x 120.000 x 2 lần x 2 trạm</t>
  </si>
  <si>
    <t>Vận chuyển cột BTLT (10 tấn)</t>
  </si>
  <si>
    <t>110Km x 540 đ/Km x 10Tấn x 1chuyến x 1,3</t>
  </si>
  <si>
    <t>Chi phí bốc dỡ cáp (10 tấn)</t>
  </si>
  <si>
    <t>Bốc cáp + phụ kiện lên xe 10 tấn</t>
  </si>
  <si>
    <t>196.370đ x 0,60công x 10tấn</t>
  </si>
  <si>
    <t>Bốc cáp + phụ kiện xuống xe 10 tấn</t>
  </si>
  <si>
    <t>196.370đ x 0,59công x 10tấn</t>
  </si>
  <si>
    <t>Chi phí bốc dỡ phụ kiện (10 tấn)</t>
  </si>
  <si>
    <t>Bốc phụ kiện lên xe 10 tấn</t>
  </si>
  <si>
    <t>196.370đ x 0,63công x 10tấn</t>
  </si>
  <si>
    <t>Bốc phụ kiện xuống xe 10 tấn</t>
  </si>
  <si>
    <t>Chi phí bốc dỡ cột bê tông (10 tấn)</t>
  </si>
  <si>
    <t>Bốc cột + phụ kiện lên xe 10 tấn</t>
  </si>
  <si>
    <t>Bốc cột + phụ kiện xuống xe 10 tấn</t>
  </si>
  <si>
    <t>196.370đ x 0,46công x 10tấn</t>
  </si>
  <si>
    <t>Bảng 7</t>
  </si>
  <si>
    <t>Bảng đơn giá vận chuyển</t>
  </si>
  <si>
    <t>VẬN CHUYỂN BẰNG THỦ CÔNG</t>
  </si>
  <si>
    <t>I.1</t>
  </si>
  <si>
    <t>Bốc dỡ bằng thủ công</t>
  </si>
  <si>
    <t>- Định mức áp dụng cho vận chuyển gánh bộ, khiêng vác trong điều kiện độ dốc &lt;=15độ, bùn nước &lt;= 20cm</t>
  </si>
  <si>
    <t>Bốc dỡ nước</t>
  </si>
  <si>
    <t>01</t>
  </si>
  <si>
    <t>+ Qua địa hình cát khô Knc=1,5</t>
  </si>
  <si>
    <t>a) Nhân công</t>
  </si>
  <si>
    <t>+ Bùn nước &lt;=30cm hoắc đồi dốc &lt;=20 độ Knc=1,5</t>
  </si>
  <si>
    <t>Bốc dỡ cốt pha thép</t>
  </si>
  <si>
    <t>+ Bùn nước &lt;=40cm hoắc đồi dốc &lt;=25 độ Knc=2,0</t>
  </si>
  <si>
    <t>+ Bùn nước &lt;=50cm hoắc đồi dốc &lt;=30 độ Knc=2,5</t>
  </si>
  <si>
    <t>Bốc dỡ bu lông, tiếp địa, cốt thép, dây néo</t>
  </si>
  <si>
    <t>+ Bùn nước &lt;=60cm hoắc đồi dốc &lt;=35 độ Knc=3,0</t>
  </si>
  <si>
    <t>+ Đường dốc từ 30-40 độ Knc= 4,5</t>
  </si>
  <si>
    <t>Bốc dỡ cột thép chưa lắp từng đoạn</t>
  </si>
  <si>
    <t>+ Núi cheo leo hiểm trở có độ dốc =&gt;40 độ Knc= 6,0</t>
  </si>
  <si>
    <t>- Vận chuyển bằng xe cải tiến, xe cút kít, ghe, thuyền, bè mảng Knc=0,6</t>
  </si>
  <si>
    <t>Bốc dỡ cột thép đã lắp từng đoạn</t>
  </si>
  <si>
    <t>- Tính bình quân giá quyền theo khối lượng bê tông (m3), dây dẫn chỉ tính vận chuyển các vị trí néo</t>
  </si>
  <si>
    <t>Bốc dỡ phụ kiện các loại</t>
  </si>
  <si>
    <t>7</t>
  </si>
  <si>
    <t>Bốc dỡ cách điện các loại</t>
  </si>
  <si>
    <t>8</t>
  </si>
  <si>
    <t>Bốc dỡ dây điện, dây cáp các loại</t>
  </si>
  <si>
    <t>9</t>
  </si>
  <si>
    <t>10</t>
  </si>
  <si>
    <t>Bốc dỡ cột bê tông</t>
  </si>
  <si>
    <t>11</t>
  </si>
  <si>
    <t>Bốc dỡ bitum</t>
  </si>
  <si>
    <t>I.2</t>
  </si>
  <si>
    <t>Vận chuyển bằng thủ công cự ly vận chuyển &lt;=100m</t>
  </si>
  <si>
    <t>Vận chuyển nước</t>
  </si>
  <si>
    <t>Vận chuyển cốt pha thép</t>
  </si>
  <si>
    <t>Vận chuyển bu lông, tiếp địa, cốt thép, dây néo</t>
  </si>
  <si>
    <t>Vận chuyển cột thép chưa lắp từng đoạn</t>
  </si>
  <si>
    <t>Vận chuyển cột thép đã lắp từng đoạn</t>
  </si>
  <si>
    <t>Vận chuyển phụ kiện các loại</t>
  </si>
  <si>
    <t>Vận chuyển cách điện các loại</t>
  </si>
  <si>
    <t>Vận chuyển dây điện, dây cáp các loại</t>
  </si>
  <si>
    <t>Vận chuyển cấu kiện bê tông đúc sẵn</t>
  </si>
  <si>
    <t>Vận chuyển bitum</t>
  </si>
  <si>
    <t>I.3</t>
  </si>
  <si>
    <t>Vận chuyển bằng thủ công cự ly vận chuyển &lt;=300m</t>
  </si>
  <si>
    <t>I.4</t>
  </si>
  <si>
    <t>Vận chuyển bằng thủ công cự ly vận chuyển &lt;=500m</t>
  </si>
  <si>
    <t>I.5</t>
  </si>
  <si>
    <t>Vận chuyển bằng thủ công cự ly vận chuyển &gt;500m</t>
  </si>
  <si>
    <t>VẬN CHUYỂN BẰNG CƠ GIỚI KẾT HỢP VỚI THỦ CÔNG</t>
  </si>
  <si>
    <t>II.1</t>
  </si>
  <si>
    <t>Vận chuyển cát, nước</t>
  </si>
  <si>
    <t>Vận chuyển cát, nước cự ly dưới &lt;=1km</t>
  </si>
  <si>
    <t>b) Máy thi công</t>
  </si>
  <si>
    <t>Vận chuyển cát, nước cự ly dưới &gt;1km</t>
  </si>
  <si>
    <t>II.2</t>
  </si>
  <si>
    <t>Vận chuyển đá sỏi cá loại</t>
  </si>
  <si>
    <t>Vận chuyển đá sỏi cá loại cự ly dưới &lt;=1km</t>
  </si>
  <si>
    <t>Vận chuyển đá sỏi cá loại cự ly dưới &gt;1km</t>
  </si>
  <si>
    <t>II.3</t>
  </si>
  <si>
    <t>Vận chuyển xi măng bao</t>
  </si>
  <si>
    <t>Vận chuyển xi măng bao cự ly dưới &lt;=1km</t>
  </si>
  <si>
    <t>Vận chuyển xi măng bao cự ly dưới &gt;1km</t>
  </si>
  <si>
    <t>II.4</t>
  </si>
  <si>
    <t>Vận chuyển cốt hép, thép thanh, phụ kiện dây, tre gỗ các loại</t>
  </si>
  <si>
    <t>Vận chuyển cốt hép, thép thanh, phụ kiện dây, tre gỗ các loại cự ly dưới &lt;=1km</t>
  </si>
  <si>
    <t>Vận chuyển cốt hép, thép thanh, phụ kiện dây, tre gỗ các loại cự ly dưới &gt;1km</t>
  </si>
  <si>
    <t>II.5</t>
  </si>
  <si>
    <t>Vận chuyển cấu kiện bê tông, cột bê tông</t>
  </si>
  <si>
    <t>Vận chuyển cấu kiện bê tông, cột bê tông cự ly dưới &lt;=1km</t>
  </si>
  <si>
    <t>Vận chuyển cấu kiện bê tông, cột bê tông cự ly dưới &gt;1km</t>
  </si>
  <si>
    <t>II.6</t>
  </si>
  <si>
    <t>Vận chuyển sứ các loại</t>
  </si>
  <si>
    <t>D1.2061</t>
  </si>
  <si>
    <t>Vận chuyển sứ các loại cự ly dưới &lt;=1km</t>
  </si>
  <si>
    <t>D1.2062</t>
  </si>
  <si>
    <t>Vận chuyển sứ các loại cự ly dưới &gt;1km</t>
  </si>
  <si>
    <t>BỐC DỠ VẬT LIỆU, PHỤ KIỆN</t>
  </si>
  <si>
    <t>D1.3011</t>
  </si>
  <si>
    <t>Bốc lên thép thanh cột</t>
  </si>
  <si>
    <t>D1.3012</t>
  </si>
  <si>
    <t>Bốc xuống thép thanh cột</t>
  </si>
  <si>
    <t>D1.3021</t>
  </si>
  <si>
    <t>Bốc lên cấu kiện thép các loại</t>
  </si>
  <si>
    <t>D1.3022</t>
  </si>
  <si>
    <t>Bốc xuống cấu kiện thép các loại</t>
  </si>
  <si>
    <t>D1.3031</t>
  </si>
  <si>
    <t>Bốc lên phụ kiện các loại</t>
  </si>
  <si>
    <t>D1.3032</t>
  </si>
  <si>
    <t>Bốc xuống phụ kiện các loại</t>
  </si>
  <si>
    <t>D1.3041</t>
  </si>
  <si>
    <t>Bốc lên dây dẫn điện các loại</t>
  </si>
  <si>
    <t>D1.3042</t>
  </si>
  <si>
    <t>Bốc xuống dây dẫn điện các loại</t>
  </si>
  <si>
    <t>D1.3051</t>
  </si>
  <si>
    <t>Bốc lên sứ các loại</t>
  </si>
  <si>
    <t>D1.3052</t>
  </si>
  <si>
    <t>Bốc xuống sứ các loại</t>
  </si>
  <si>
    <t>D1.3061</t>
  </si>
  <si>
    <t>Bốc lên cấu kiện bê tông đúc sẵn</t>
  </si>
  <si>
    <t>12</t>
  </si>
  <si>
    <t>D1.3062</t>
  </si>
  <si>
    <t>Bốc xuống cấu kiện bê tông đúc sẵn</t>
  </si>
  <si>
    <t>13</t>
  </si>
  <si>
    <t>AM.33011</t>
  </si>
  <si>
    <t>Vận chuyển cát xây dựng bằng ô tô tự đổ &lt;=5tấn có phạm vi &lt;=20 km</t>
  </si>
  <si>
    <t>10 tấn</t>
  </si>
  <si>
    <t>a) Máy thi công</t>
  </si>
  <si>
    <t>Chi phí tư vấn (chưa có thuế GTGT) trong dự toán gói thầu tư vấn (tỷ đồng)</t>
  </si>
  <si>
    <t>15. Định mức chi phí lập hồ sơ mời thầu, đánh giá hồ sơ dự thầu tư vấn</t>
  </si>
  <si>
    <t>Bảng 2.18</t>
  </si>
  <si>
    <t>Dây  nhôm bọc LV-ABC-4x95mm2 - 0,6/1kV</t>
  </si>
  <si>
    <t>Cáp CV - 185mm2-0,6/1kV</t>
  </si>
  <si>
    <t>Dây chảy 10K</t>
  </si>
  <si>
    <t>Cầu chì tự rơi LBFCO - 27kV - 100A</t>
  </si>
  <si>
    <t>ĐƯỜNG DÂY HẠ THẾ NGẦM - PHẦN ĐIỆN</t>
  </si>
  <si>
    <t>ĐƯỜNG DÂY HẠ THẾ NGẦM - PHẦN XÂY DỰNG</t>
  </si>
  <si>
    <t>BẢNG PHÂN BỐ CÁP NGẦM HẠ THẾ</t>
  </si>
  <si>
    <t>Cáp đi từ</t>
  </si>
  <si>
    <t>Cáp đến</t>
  </si>
  <si>
    <t>Số sợi</t>
  </si>
  <si>
    <t>Đơn tuyến</t>
  </si>
  <si>
    <t>Cáp lên-xuống tủ (m)</t>
  </si>
  <si>
    <t>Vào -ra trạm; (Tủ) (m)</t>
  </si>
  <si>
    <t>Chiều dài thực</t>
  </si>
  <si>
    <t>Tổng cộng (m)</t>
  </si>
  <si>
    <t>Tủ điện phân phối</t>
  </si>
  <si>
    <t>Tiếp địa tủ hạ thế</t>
  </si>
  <si>
    <t>Ống HDPE 130/100</t>
  </si>
  <si>
    <t>A</t>
  </si>
  <si>
    <t>B</t>
  </si>
  <si>
    <t>BẢNG TÍNH MƯƠNG CÁP</t>
  </si>
  <si>
    <t>Thành phần công việc</t>
  </si>
  <si>
    <t xml:space="preserve">Đào </t>
  </si>
  <si>
    <t xml:space="preserve">Đắp </t>
  </si>
  <si>
    <t>Khối lượng đào</t>
  </si>
  <si>
    <t>Khối lượng đắp</t>
  </si>
  <si>
    <t>Đáy trên</t>
  </si>
  <si>
    <t>Đáy dưới</t>
  </si>
  <si>
    <t>Chiều cao</t>
  </si>
  <si>
    <t>Ống 130/100</t>
  </si>
  <si>
    <t>Ống 65/50</t>
  </si>
  <si>
    <t>Mương cáp 2 ống vỉa hè</t>
  </si>
  <si>
    <t>Mương cáp 3 ống vỉa hè</t>
  </si>
  <si>
    <t>Mương cáp 4 ống vỉa hè</t>
  </si>
  <si>
    <t>Mương cáp 2 ống băng đường</t>
  </si>
  <si>
    <t>Mương cáp 3 ống băng đường</t>
  </si>
  <si>
    <t>Bê tông móng tủ (4x6)</t>
  </si>
  <si>
    <t>Hệ số điều chỉnh</t>
  </si>
  <si>
    <t>VLp</t>
  </si>
  <si>
    <t>PHẦN XÂY DỰNG</t>
  </si>
  <si>
    <t>Gạch thẻ 4,5x9x19</t>
  </si>
  <si>
    <t>viên</t>
  </si>
  <si>
    <t>Băng nhựa báo hiệu cáp ngầm</t>
  </si>
  <si>
    <t>Beton M100 đá dăm 4x6</t>
  </si>
  <si>
    <t>AF.11121</t>
  </si>
  <si>
    <t>Móng tủ phân phối hạ thế</t>
  </si>
  <si>
    <t>móng</t>
  </si>
  <si>
    <t xml:space="preserve">Sắt thép mạ kẽm thành phẩm </t>
  </si>
  <si>
    <t>Bulon M 16 x 200  VRS + 4ecu + 4 longden</t>
  </si>
  <si>
    <t>AB.11312</t>
  </si>
  <si>
    <t>Đào móng rộng &lt;=3m, sâu &lt;=1m</t>
  </si>
  <si>
    <t xml:space="preserve">Tiếp địa tủ phân phối </t>
  </si>
  <si>
    <t>Cọc tiếp địa thép mạ đồng D16, L=2.4m</t>
  </si>
  <si>
    <t>Đầu cáp ngầm hạ thế</t>
  </si>
  <si>
    <t>D4.3114</t>
  </si>
  <si>
    <t>Tủ điện phân phối hạ thế</t>
  </si>
  <si>
    <t>Trọn bộ</t>
  </si>
  <si>
    <t>PHẦN ĐIỆN</t>
  </si>
  <si>
    <t>Cách điện , đầu cáp, phụ kiện</t>
  </si>
  <si>
    <t xml:space="preserve">Tủ điện phân phối </t>
  </si>
  <si>
    <t>Kéo rải và lắp đặt cáp trong ống bảo vệ. Trọng lượng cáp &lt;= 10,5kg/m</t>
  </si>
  <si>
    <t>D4.2408</t>
  </si>
  <si>
    <t xml:space="preserve">Tủ điện 350x500x650 ngoài trời </t>
  </si>
  <si>
    <t>13=(4*7*9)</t>
  </si>
  <si>
    <t>14=(4*8*10)</t>
  </si>
  <si>
    <t xml:space="preserve">BẢNG TỔNG HỢP VẬT LIỆU, NHÂN CÔNG , MÁY THI CÔNG </t>
  </si>
  <si>
    <t>Số</t>
  </si>
  <si>
    <t>DANH MỤC</t>
  </si>
  <si>
    <t>ĐƠN</t>
  </si>
  <si>
    <t>KHỐI</t>
  </si>
  <si>
    <t>VỊ</t>
  </si>
  <si>
    <t>LƯỢNG</t>
  </si>
  <si>
    <t>VLCHÍNH</t>
  </si>
  <si>
    <t>VLPHỤ</t>
  </si>
  <si>
    <t xml:space="preserve">Cáp ngầm và phụ kiện </t>
  </si>
  <si>
    <t>Đào móng tủ hạ thế</t>
  </si>
  <si>
    <t>Đắp móng tủ hạ thế</t>
  </si>
  <si>
    <t>Bê tông móng tủ (1x2)</t>
  </si>
  <si>
    <t>Gỗ ván khuôn</t>
  </si>
  <si>
    <t>Mặt bích 260/200</t>
  </si>
  <si>
    <t>Thép L50x50x5</t>
  </si>
  <si>
    <t>Ống PVC D140</t>
  </si>
  <si>
    <t>Ống PVC D60</t>
  </si>
  <si>
    <t>3a. Định mức chi phí thiết kế công trình cáp ngầm (công trình có thiết kế 2 bước)</t>
  </si>
  <si>
    <t>a3</t>
  </si>
  <si>
    <t xml:space="preserve">      + Vật liệu TNHC</t>
  </si>
  <si>
    <t>b2</t>
  </si>
  <si>
    <t xml:space="preserve">      + Nhân công TNHC</t>
  </si>
  <si>
    <t>a1+...a3</t>
  </si>
  <si>
    <t>b1+b2</t>
  </si>
  <si>
    <t>Bảng tính * 0,851</t>
  </si>
  <si>
    <t xml:space="preserve">      + Máy thi công TNHC</t>
  </si>
  <si>
    <t>m1+m2</t>
  </si>
  <si>
    <t>Đóng trực tiếp cọc tiếp địa dài L=2.5m xuống đất, cấp đất loại II</t>
  </si>
  <si>
    <t>Ép đầu cốt - Tiết diện cáp &lt;= 25mm2</t>
  </si>
  <si>
    <t>Đầu cáp khô điện áp &lt;=1kV, tiết diện cáp &lt;= 185mm2</t>
  </si>
  <si>
    <t>Công trình: Đầu tư các hạng mục hạ tầng kỹ thuật tuyến điện hạ thế và TBA phục vụ sản xuất khu vực các xã Bình Ba, Xà Bang và Đá Bạc, huyện Châu Đức</t>
  </si>
  <si>
    <t>Mương cáp 1 ống vỉa hè</t>
  </si>
  <si>
    <t>Mương cáp 5 ống vỉa hè</t>
  </si>
  <si>
    <t>Mương cáp 1 ống băng đường</t>
  </si>
  <si>
    <t>Ống 40/30</t>
  </si>
  <si>
    <t>Ống 165/125</t>
  </si>
  <si>
    <t>MÓNG TỦ</t>
  </si>
  <si>
    <t>HÀO CÁP 2 NGĂN</t>
  </si>
  <si>
    <t>Đào hào cáp 2 ngăn</t>
  </si>
  <si>
    <t>Thép</t>
  </si>
  <si>
    <t>loại cây</t>
  </si>
  <si>
    <t>sl</t>
  </si>
  <si>
    <t>Tổng</t>
  </si>
  <si>
    <t>bê tông</t>
  </si>
  <si>
    <t>d6</t>
  </si>
  <si>
    <t>d8</t>
  </si>
  <si>
    <t>Hào</t>
  </si>
  <si>
    <t>Nắp</t>
  </si>
  <si>
    <t>Ván khuôn</t>
  </si>
  <si>
    <t>Công trình : Khu tái định cư Phú Mỹ - Thị xã Phú Mỹ</t>
  </si>
  <si>
    <t>Hạng mục : Hệ thống điện hạ thế ngầm và Trạm biến áp</t>
  </si>
  <si>
    <t>TRẠM BIẾN ÁP T1 - 1500KVA</t>
  </si>
  <si>
    <t>TRẠM BIẾN ÁP T2 - 1500KVA</t>
  </si>
  <si>
    <t>TRẠM BIẾN ÁP T3 - 2000KVA</t>
  </si>
  <si>
    <t>BẢNG THỐNG KẾ KHỐI LƯỢNG MCCB, MCB, PHỤ KIỆN TỦ ĐIỆN</t>
  </si>
  <si>
    <t>Tên Tủ</t>
  </si>
  <si>
    <t>THIẾT BỊ BẢO VỆ</t>
  </si>
  <si>
    <t>HỆ THỐNG THANH CÁI TRONG TỦ</t>
  </si>
  <si>
    <t>VỎ TỦ VÀ PHỤ KIỆN</t>
  </si>
  <si>
    <t>Bảng tên tủ &amp; Bảng báo nguy hiểm</t>
  </si>
  <si>
    <t>MCCB-3P 200A</t>
  </si>
  <si>
    <t>MCB -1P 40A</t>
  </si>
  <si>
    <t>Cáp đến và đi trực tiếp không qua MCCB</t>
  </si>
  <si>
    <t>Thanh cái đồng bản 60x4 dài 446mm bọc cách điện
(Thanh cái chính Pha A, B, C )</t>
  </si>
  <si>
    <t>Thanh trung hoà 30x3 dài 486mm bọc cách điện
 (Trung hoà)</t>
  </si>
  <si>
    <t>Thanh cái đồng bản 30x4 dài 321mm bọc cách điện
 (TừThanh cái chính đến Cáp (đến và đi) pha A)</t>
  </si>
  <si>
    <t>Thanh cái đồng bản 30x4 dài 261mm bọc cách điện
 (TừThanh cái chính đến Cáp (đến và đi) pha B)</t>
  </si>
  <si>
    <t xml:space="preserve">Thanh cái đồng bản 30x4 dài 200mm bọc cách điện
 (TừThanh cái chính đến Cáp (đến và đi) pha C) </t>
  </si>
  <si>
    <t>Thanh cái đồng bản 25x3 dài 225mm bọc cách điện
 (Từ thanh cái chính đến MCCB pha C)</t>
  </si>
  <si>
    <t>Thanh cái đồng bản 25x3 dài 157mm bọc cách điện
 (Từ thanh cái chính đến MCCB pha B)</t>
  </si>
  <si>
    <t>Thanh cái đồng bản 25x3 dài 95mm bọc cách điện 
(Từ Thanh cái chính đến MCCB pha A)</t>
  </si>
  <si>
    <t xml:space="preserve">Thanh cái đồng bản 25x3 dài 243mm bọc cách điện
(Lộ ra MCCB tổng) </t>
  </si>
  <si>
    <t>Thanh cái phụ 8x3 dài 227mm bọc cach điện 
(Cấp nguồn cho MCB 1pha &amp; 3pha)</t>
  </si>
  <si>
    <t>Tổng KL Đồng Của tủ</t>
  </si>
  <si>
    <t>Vỏ tủ phân phối hạ thế + phụ kiện: 650x500*328mm
(tole 2mm sơn tỉnh điện)</t>
  </si>
  <si>
    <t>Phụ kiện trong tủ</t>
  </si>
  <si>
    <t xml:space="preserve">                                  Kg/Thanh
Đơn vị tính Thanh</t>
  </si>
  <si>
    <t>(Cái)</t>
  </si>
  <si>
    <t>(Sợi)</t>
  </si>
  <si>
    <t>(Kg)</t>
  </si>
  <si>
    <t>(Bộ)</t>
  </si>
  <si>
    <t>Thanh cái đồng trong tủ</t>
  </si>
  <si>
    <t>HỐ GA</t>
  </si>
  <si>
    <t>Khoảng cách</t>
  </si>
  <si>
    <t>MƯƠNG CÁP</t>
  </si>
  <si>
    <t>Hào cáp kỹ thuật 2 ngăn</t>
  </si>
  <si>
    <t>Hố ga</t>
  </si>
  <si>
    <t>Mốc báo hiệu cáp ngầm</t>
  </si>
  <si>
    <t>Mương cáp 1 ống vỉa hè (M1-1)</t>
  </si>
  <si>
    <t>Mương cáp 2 ống vỉa hè (M1-2)</t>
  </si>
  <si>
    <t>Mương cáp 3 ống vỉa hè (M1-3)</t>
  </si>
  <si>
    <t>Mương cáp 4 ống vỉa hè (M1-4)</t>
  </si>
  <si>
    <t>Mương cáp 5 ống vỉa hè (M1-5)</t>
  </si>
  <si>
    <t>Mương cáp 1 ống qua đường (M2-1)</t>
  </si>
  <si>
    <t>Mương cáp 2 ống qua đường (M2-2)</t>
  </si>
  <si>
    <t>Mương cáp 3 ống qua đường (M2-3)</t>
  </si>
  <si>
    <t>T1-HG1</t>
  </si>
  <si>
    <t>T1-HG3</t>
  </si>
  <si>
    <t>T1-HG4</t>
  </si>
  <si>
    <t>T1-HG7</t>
  </si>
  <si>
    <t>T1-HG9</t>
  </si>
  <si>
    <t>T1-HG10</t>
  </si>
  <si>
    <t>T2-HG1</t>
  </si>
  <si>
    <t>T2-HG2</t>
  </si>
  <si>
    <t>T2-HG4</t>
  </si>
  <si>
    <t>T2-HG6</t>
  </si>
  <si>
    <t>T2-HG7</t>
  </si>
  <si>
    <t>T2-HG8</t>
  </si>
  <si>
    <t>D</t>
  </si>
  <si>
    <t>TRẠM BIẾN ÁP N1 - 1500KVA</t>
  </si>
  <si>
    <t>N1-HG1</t>
  </si>
  <si>
    <t>N1-HG3</t>
  </si>
  <si>
    <t>BẢNG TÍNH KHỐI LƯỢNG PHẦN XÂY DỰNG</t>
  </si>
  <si>
    <t>T1-HG2</t>
  </si>
  <si>
    <t>T1-HG5</t>
  </si>
  <si>
    <t>N1-HG2</t>
  </si>
  <si>
    <t>T1-HG6</t>
  </si>
  <si>
    <t>T1-HG8</t>
  </si>
  <si>
    <t>DB1-HTA2</t>
  </si>
  <si>
    <t>DB1-HTA2.1</t>
  </si>
  <si>
    <t>DB1-HTA2.2</t>
  </si>
  <si>
    <t>DB1-HTA1</t>
  </si>
  <si>
    <t>DB1-HTA1.1</t>
  </si>
  <si>
    <t>Mương cáp mắc điện - DP (M1-6)</t>
  </si>
  <si>
    <t>DB1-HTC2</t>
  </si>
  <si>
    <t>DB1-HTC2.1</t>
  </si>
  <si>
    <t>DB1-HTC2.2</t>
  </si>
  <si>
    <t>DB1-HTC1</t>
  </si>
  <si>
    <t>DB1-HTC1.1</t>
  </si>
  <si>
    <t>DB1-HTB2</t>
  </si>
  <si>
    <t>DB1-HTB2.1</t>
  </si>
  <si>
    <t>DB1-HTB2.2</t>
  </si>
  <si>
    <t>DB1-HTB1</t>
  </si>
  <si>
    <t>DB1-HTB1.1</t>
  </si>
  <si>
    <t>TBA-T2</t>
  </si>
  <si>
    <t>DB2-HTA</t>
  </si>
  <si>
    <t>DB2-HTA1</t>
  </si>
  <si>
    <t>CT</t>
  </si>
  <si>
    <t>DB2-HTA2</t>
  </si>
  <si>
    <t>DB2-HTA2.1</t>
  </si>
  <si>
    <t>T2-HG3</t>
  </si>
  <si>
    <t>T2-HG5</t>
  </si>
  <si>
    <t>DB2-HTB2</t>
  </si>
  <si>
    <t>DB2-HTB2.1</t>
  </si>
  <si>
    <t>DB2-HTB3</t>
  </si>
  <si>
    <t>DB2-HTB3.1</t>
  </si>
  <si>
    <t>DB2-HTB3.2</t>
  </si>
  <si>
    <t>DB2-HTB3.3</t>
  </si>
  <si>
    <t>DB2-HTC</t>
  </si>
  <si>
    <t>DB2-HTC1</t>
  </si>
  <si>
    <t>DB2-HTC2</t>
  </si>
  <si>
    <t>DB2-HTC2.1</t>
  </si>
  <si>
    <t>DB2-HTC3</t>
  </si>
  <si>
    <t>DB2-HTB1</t>
  </si>
  <si>
    <t>DB2-HTB4</t>
  </si>
  <si>
    <t>DB2-HTB4.1</t>
  </si>
  <si>
    <t>T2-HG9</t>
  </si>
  <si>
    <t>T2-HG10</t>
  </si>
  <si>
    <t>DB2-HTD</t>
  </si>
  <si>
    <t>DB2-HTD1</t>
  </si>
  <si>
    <t>DB2-HTD2</t>
  </si>
  <si>
    <t>DB2-HTD2.1</t>
  </si>
  <si>
    <t>DB2-HTD3</t>
  </si>
  <si>
    <t>DB2-HTD3.1</t>
  </si>
  <si>
    <t>T2-HG11</t>
  </si>
  <si>
    <t>T2-HG12</t>
  </si>
  <si>
    <t>DB2-HTD4</t>
  </si>
  <si>
    <t>DB2-HTD4.1</t>
  </si>
  <si>
    <t>DB2-HTD4.2</t>
  </si>
  <si>
    <t>DB2-HTD4.3</t>
  </si>
  <si>
    <t>Mương cáp dự phòng - MĐ</t>
  </si>
  <si>
    <t xml:space="preserve">      + Máy thi công</t>
  </si>
  <si>
    <t>BẢNG 2.4</t>
  </si>
  <si>
    <t>BẢNG 2.5</t>
  </si>
  <si>
    <t>Đường dây từ tủ hạ thế TBA 320kVA đến tủ kết nối</t>
  </si>
  <si>
    <t>Tủ MCCB TBA</t>
  </si>
  <si>
    <t>Tủ hạ thế kết nối</t>
  </si>
  <si>
    <t>CNHT-CXV/DSTA/PVC -3*185+1*120mm2</t>
  </si>
  <si>
    <t>Mương cáp ngầm M2-1</t>
  </si>
  <si>
    <t>Mốc báo cáp ngầm</t>
  </si>
  <si>
    <t>Ống nhựa xoắn HDPE 130/110</t>
  </si>
  <si>
    <t>Lắp đặt ống nhựa bảo vệ cáp đường kính ống &lt;= 150mm</t>
  </si>
  <si>
    <t>AB.11502</t>
  </si>
  <si>
    <t>Đào đường cáp bằng thủ công, rộng &lt;=1m, sâu &lt;=1m, đất cấp II</t>
  </si>
  <si>
    <t>Đắp đất mương cáp bằng thủ công, đất cấp II, k=0,95</t>
  </si>
  <si>
    <t>AB.13412</t>
  </si>
  <si>
    <t>Đắp cát công trình bằng thủ công</t>
  </si>
  <si>
    <t>Mương cáp ngầm - MC2-1 (02 ống HDPE 130/110 đi dưới đất)</t>
  </si>
  <si>
    <t>AF.11223</t>
  </si>
  <si>
    <t>Đổ bêtông móng đá 1x2, chiều rộng &gt;=250cm, Mac 250</t>
  </si>
  <si>
    <t>Đổ bê tông lót móng trụ đá 4x6 - M150</t>
  </si>
  <si>
    <t>Cáp đấu nối và phụ kiện hoàn thiện tủ</t>
  </si>
  <si>
    <t>Đai thép cố định cáp ngầm hạ thế</t>
  </si>
  <si>
    <t>mốc</t>
  </si>
  <si>
    <t>Bê tông đá 1x2 M200</t>
  </si>
  <si>
    <t>AF.13212</t>
  </si>
  <si>
    <t xml:space="preserve">Đổ bê tông đá dăm 1x2 - M200 </t>
  </si>
  <si>
    <t>Đầu cáp ngầm 0,4kV-M3x185mm2+1x120mm2</t>
  </si>
  <si>
    <t>Hao hụt 1% (m)</t>
  </si>
  <si>
    <t>Cáp ngầm CXV/DSTA-3x185+1x95-0,6/"1kV</t>
  </si>
  <si>
    <t>CÁP NGẦM HẠ THẾ 0,4KV</t>
  </si>
  <si>
    <t>8% x  G</t>
  </si>
  <si>
    <t>BẢNG 3.2</t>
  </si>
  <si>
    <t xml:space="preserve">BẢNG TỔNG HỢP THIẾT BỊ, VẬT TƯ, NHÂN CÔNG , MÁY THI CÔNG </t>
  </si>
  <si>
    <t>TRẠM BIẾN ÁP - MPĐ</t>
  </si>
  <si>
    <t>BẢNG 3.3</t>
  </si>
  <si>
    <t xml:space="preserve">VL </t>
  </si>
  <si>
    <t>phụ</t>
  </si>
  <si>
    <t>12=(4*6)</t>
  </si>
  <si>
    <t>PHẦN THIẾT BỊ</t>
  </si>
  <si>
    <t>t. bộ</t>
  </si>
  <si>
    <t>Máy biến áp 3 pha 320kVA-22/0.4kV</t>
  </si>
  <si>
    <t>a. Vật liệu</t>
  </si>
  <si>
    <t>Sử dụng lại</t>
  </si>
  <si>
    <t>Chụp MBA silicon</t>
  </si>
  <si>
    <t>b. Nhân công và máy thi công</t>
  </si>
  <si>
    <t>T1.1415a</t>
  </si>
  <si>
    <t>Tháo dỡ MBA phân phối 3 pha 22/0.4kV,
công suất&lt;= 320kVA</t>
  </si>
  <si>
    <t>Lắp đặt MBA phân phối 3 pha 22/0.4kV,
công suất&lt;= 320kVA</t>
  </si>
  <si>
    <t>Hệ thống đo đếm trung thế</t>
  </si>
  <si>
    <t>Đồng hồ điện 3 pha</t>
  </si>
  <si>
    <t>Vỏ tủ đồng hồ điện 3pha - INOX 304</t>
  </si>
  <si>
    <t>Vít 3 phân</t>
  </si>
  <si>
    <t>Máy biến dòng TI -22kV</t>
  </si>
  <si>
    <t>Máy biến điện áp TU -22kV</t>
  </si>
  <si>
    <t>D4.6302a</t>
  </si>
  <si>
    <t>Tháo đồng hồ điện 3 pha</t>
  </si>
  <si>
    <t>T2.1124a</t>
  </si>
  <si>
    <t>Tháo máy biến dòng điện công suất ≤ 35kV</t>
  </si>
  <si>
    <t>T2.1114a</t>
  </si>
  <si>
    <t>Tháo máy biến điện áp công suất ≤ 35kV</t>
  </si>
  <si>
    <t>Lắp máy biến dòng điện công suất ≤ 35kV</t>
  </si>
  <si>
    <t>Lắp máy biến điện áp công suất ≤ 35kV</t>
  </si>
  <si>
    <t>Lắp đặt đồng hồ điện 3 pha</t>
  </si>
  <si>
    <t>Máy phát điện 3 pha 320kVA</t>
  </si>
  <si>
    <t>Máy phát điện 3 pha 320kVA-22/0.4kV</t>
  </si>
  <si>
    <t>T2.8101a</t>
  </si>
  <si>
    <t>Tháo tổ máy phát điện 3 pha 22/0.4kV,
công suất&lt;= 320kVA</t>
  </si>
  <si>
    <t>Tấn</t>
  </si>
  <si>
    <t>T2.8101</t>
  </si>
  <si>
    <t>Lắp đặt tổ máy phát điện 3 pha 22/0.4kV,
công suất&lt;= 320kVA</t>
  </si>
  <si>
    <t>PHẦN VẬT TƯ - PHỤ KIỆN</t>
  </si>
  <si>
    <t>Tủ MCCB trạm biến áp 320kVA</t>
  </si>
  <si>
    <t>Tủ</t>
  </si>
  <si>
    <t>Vỏ tủ 800x400x400 (Inox 304)</t>
  </si>
  <si>
    <t>MCCB 3 pha 600A(630A)-600V-50kA</t>
  </si>
  <si>
    <t>Hệ thống thanh cái + phụ kiện</t>
  </si>
  <si>
    <t>T.bộ</t>
  </si>
  <si>
    <t>T5.1002a</t>
  </si>
  <si>
    <t>Tháo thu hồi tủ hạ thế xoay chiều 3 pha</t>
  </si>
  <si>
    <t>Lắp đặt tủ hạ thế xoay chiều 3 pha</t>
  </si>
  <si>
    <t>Tủ MCCB máy phát điện</t>
  </si>
  <si>
    <t>MCCB 3 pha 630A-600V-50kA</t>
  </si>
  <si>
    <t>Tủ ATS 600A(630A)</t>
  </si>
  <si>
    <t>Tủ ATS</t>
  </si>
  <si>
    <t>Tủ tụ bù hạ thế 120kVAr</t>
  </si>
  <si>
    <t xml:space="preserve">Tủ tụ bù hạ thế 120kVAr </t>
  </si>
  <si>
    <t>Tháo thu hồi hệ thống tụ bù</t>
  </si>
  <si>
    <t>Hệ thống</t>
  </si>
  <si>
    <t>Lắp đặt hệ thống tụ bù trong tủ</t>
  </si>
  <si>
    <t>Đấu nối phía trung thế trạm biến áp 3P320 kVA</t>
  </si>
  <si>
    <t xml:space="preserve">tủ </t>
  </si>
  <si>
    <t xml:space="preserve">Cáp CXV 25mm2 -24kV </t>
  </si>
  <si>
    <t>Mũ chụp cách điện đầu cốt   Cu 25mm2</t>
  </si>
  <si>
    <t>Lắp dây dẫn xuống thiết bị, cáp đồng tiết diện &lt;= 95mm2</t>
  </si>
  <si>
    <t>Ép đầu cose, tiết diện cáp &lt;= 25mm2</t>
  </si>
  <si>
    <t>10Cái</t>
  </si>
  <si>
    <t>Đấu nối Tủ MCCB trạm biến áp 3P320 kVA</t>
  </si>
  <si>
    <t>Dây đồng bọc CV 120mm2-600V</t>
  </si>
  <si>
    <t>Dây đồng bọc CV 95mm2-600V</t>
  </si>
  <si>
    <t>Đầu cosse ép Cu 95mm2</t>
  </si>
  <si>
    <t>Mũ chụp cách điện đầu cốt   Cu 120mm2</t>
  </si>
  <si>
    <t>Mũ chụp cách điện đầu cốt   Cu 95mm2</t>
  </si>
  <si>
    <t>Lắp dây dẫn xuống thiết bị, cáp đồng tiết diện &lt;= 150mm2</t>
  </si>
  <si>
    <t>Đấu nối Tủ MCCB phòng máy phát</t>
  </si>
  <si>
    <t>Đấu nối Tủ ATS phòng máy phát điện</t>
  </si>
  <si>
    <t>Đấu nối Tủ tụ bù 120kVAR</t>
  </si>
  <si>
    <t xml:space="preserve">Hệ thống tiếp địa trạm </t>
  </si>
  <si>
    <t xml:space="preserve">Vật tư </t>
  </si>
  <si>
    <t>Cọc tiếp địa 16x2400 mạ đồng</t>
  </si>
  <si>
    <t>Dây đồng trần xoắn có tiết diện 50mm2</t>
  </si>
  <si>
    <t>Tiếp địa hệ thống đo đếm</t>
  </si>
  <si>
    <t>Dây đồng trần xoắn có tiết diện 25mm2</t>
  </si>
  <si>
    <t xml:space="preserve">Biển báo an toàn, biển tên trạm biến áp </t>
  </si>
  <si>
    <t xml:space="preserve">Biển báo an toàn trạm biến áp </t>
  </si>
  <si>
    <t xml:space="preserve">Biển tên trạm biến áp </t>
  </si>
  <si>
    <t xml:space="preserve">Nhân công, vật liệu phụ , máy thi công </t>
  </si>
  <si>
    <t>Lắp đặt biển báo, biển cấm chiều cao &lt;=20m</t>
  </si>
  <si>
    <t>BẢNG 3.4</t>
  </si>
  <si>
    <t xml:space="preserve">TRẠM BIẾN ÁP </t>
  </si>
  <si>
    <t>THIÍ NGHIỆM HIỆU CHỈNH THIẾT BỊ TRẠM BIẾN ÁP</t>
  </si>
  <si>
    <t>EA.22110</t>
  </si>
  <si>
    <t>EA.33020</t>
  </si>
  <si>
    <t>Máy biến điện áp 3 pha 22-35kV</t>
  </si>
  <si>
    <t>EA.42030</t>
  </si>
  <si>
    <t>Biến dòng điện 22-35KV</t>
  </si>
  <si>
    <t>EB.50020</t>
  </si>
  <si>
    <t>Tụ điện, điện áp ≤1000 V</t>
  </si>
  <si>
    <t>tụ</t>
  </si>
  <si>
    <t>EB.72020</t>
  </si>
  <si>
    <t>Aptômát và khởi động từ, dòng điện ≤1000A</t>
  </si>
  <si>
    <t>EC.21040</t>
  </si>
  <si>
    <t xml:space="preserve">Điện trở tiếp đất TBA điện áp ≤35kV </t>
  </si>
  <si>
    <t>EE.40030</t>
  </si>
  <si>
    <t>Công tơ 3 pha điện từ</t>
  </si>
  <si>
    <t>BẢNG 3.1</t>
  </si>
  <si>
    <t>Gxd2</t>
  </si>
  <si>
    <t>BẢNG TỔNG HỢP CHI PHÍ TƯ VẤN ĐẦU TƯ XÂY DỰNG</t>
  </si>
  <si>
    <t>ĐVT: VN đồng</t>
  </si>
  <si>
    <t>KÝ
HIỆU</t>
  </si>
  <si>
    <t>GIÁ TRỊ
TRƯỚC THUẾ</t>
  </si>
  <si>
    <t>THUẾ VAT</t>
  </si>
  <si>
    <t>GIÁ TRỊ 
SAU THUẾ</t>
  </si>
  <si>
    <t>THUẾ SUẤT</t>
  </si>
  <si>
    <t>GIÁ TRỊ</t>
  </si>
  <si>
    <t>Chi phí khảo sát</t>
  </si>
  <si>
    <t>tv1</t>
  </si>
  <si>
    <t>Theo DTTV</t>
  </si>
  <si>
    <t>Chi phí lập báo cáo KTKT</t>
  </si>
  <si>
    <t>tv2</t>
  </si>
  <si>
    <t>6,7%*(Gxd+Gtb)</t>
  </si>
  <si>
    <t>tv3</t>
  </si>
  <si>
    <t>Chi phí lập hồ sơ E-HSYC xây lắp + thiết bị</t>
  </si>
  <si>
    <t>tv4</t>
  </si>
  <si>
    <t>Chi phí đánh giá hồ sơ HSĐX xây lắp + thiết bị</t>
  </si>
  <si>
    <t>tv5</t>
  </si>
  <si>
    <t>Chi phí thẩm định hồ sơ E-HSYC xây lắp + thiết bị</t>
  </si>
  <si>
    <t>tv6</t>
  </si>
  <si>
    <t>0,05%*(Gxd+Gtb)
(min 1.000.000)</t>
  </si>
  <si>
    <t>Chi phí thẩm định KQ LCNT xây lắp + thiết bị</t>
  </si>
  <si>
    <t>tv7</t>
  </si>
  <si>
    <t xml:space="preserve">Chi phí giám sát thi công xây dựng  </t>
  </si>
  <si>
    <t>3,508%*Gxd</t>
  </si>
  <si>
    <t xml:space="preserve">Chi phí giám sát thi công lắp đặt thiết bị </t>
  </si>
  <si>
    <t>1,147%*Gtb</t>
  </si>
  <si>
    <r>
      <t>G</t>
    </r>
    <r>
      <rPr>
        <b/>
        <vertAlign val="subscript"/>
        <sz val="12"/>
        <rFont val="Times New Roman"/>
        <family val="1"/>
      </rPr>
      <t>TV</t>
    </r>
  </si>
  <si>
    <t>tv1+…+tv9</t>
  </si>
  <si>
    <t>BẢNG TỔNG HỢP KINH PHÍ XÂY DỰNG</t>
  </si>
  <si>
    <t>Thuế VAT</t>
  </si>
  <si>
    <t>GIÁ TRỊ
SAU THUẾ</t>
  </si>
  <si>
    <t>CHI PHÍ XÂY DỰNG</t>
  </si>
  <si>
    <t>Gxd1</t>
  </si>
  <si>
    <t>Gxd3</t>
  </si>
  <si>
    <t>CHI PHÍ THIẾT BỊ</t>
  </si>
  <si>
    <t>Gtb</t>
  </si>
  <si>
    <t>Gtb1</t>
  </si>
  <si>
    <t>CHI PHÍ QUẢN LÝ DỰ ÁN</t>
  </si>
  <si>
    <t>Gqlda</t>
  </si>
  <si>
    <t>3,557%*(Gxd+Gtb)</t>
  </si>
  <si>
    <t>CHI PHÍ TƯ VẤN ĐẦU TƯ XD</t>
  </si>
  <si>
    <t>Gtv</t>
  </si>
  <si>
    <t>V</t>
  </si>
  <si>
    <t>CHI PHÍ KHÁC</t>
  </si>
  <si>
    <t>Gk</t>
  </si>
  <si>
    <t>Bảng 2</t>
  </si>
  <si>
    <t>VI</t>
  </si>
  <si>
    <t>CHI PHÍ DỰ PHÒNG</t>
  </si>
  <si>
    <t>Gdp</t>
  </si>
  <si>
    <t>dp1</t>
  </si>
  <si>
    <t>Dự phòng khối lượng</t>
  </si>
  <si>
    <t>I + II + III + IV +V +VI</t>
  </si>
  <si>
    <t xml:space="preserve">Chi phí QLDA (3,577%xGxd) áp dụng Thông tư số 12/2021/TT-BXD ngày 31/08/2021 của Bộ Xây dựng. </t>
  </si>
  <si>
    <t>Hệ số thiết kế bản vẽ thi công - dự toán áp dụng Thông tư số 12/2021/TT-BXD ngày 31/08/2021 của Bộ Xây dựng.</t>
  </si>
  <si>
    <t>Chi phí giám sát thi công xây dựng (3,508%xGxd) và giám sát thiết bị (1,147%xGtb) áp dụng theo Thông tư số 12/2021/TT-BXD ngày 31/08/2021 của Bộ Xây dựng</t>
  </si>
  <si>
    <t>Phí thẩm tra thiết kế bản vẽ thi công (0,29%Gxd) và phí thẩm tra dự toán (0,282%xGxd) áp dụng theo Thông tư số 12/2021/TT-BXD ngày 31/08/2021 của Bộ Xây dựng Chính.</t>
  </si>
  <si>
    <t>Chi phí kiểm toán và thẩm tra phê duyệt quyết toán áp dụng nghị định số 99/2021/NĐ-CP và thông tư 96/2021/TT-BTC ngày 11/11/2021</t>
  </si>
  <si>
    <t>ĐƯỜNG DÂY TRUNG THẾ NGẦM - PHẦN ĐIỆN</t>
  </si>
  <si>
    <t>BÀNG 3.2</t>
  </si>
  <si>
    <t>ĐƯỜNG DÂY TRUNG THẾ NGẦM - PHẦN XÂY DỰNG</t>
  </si>
  <si>
    <t>CÁP NGẦM TRUNG THẾ 22KV</t>
  </si>
  <si>
    <t>ĐỊNH MỨC LẮP ĐẶT ĐƯỜNG DÂY TẢI ĐIỆN - TRẠM BIẾN ÁP</t>
  </si>
  <si>
    <t>Ban hành theo TT số 36/2022/TT-BCT ngày 22/12/2022 của Bộ Công thương</t>
  </si>
  <si>
    <t>(thay thế đ/m ban hành theo q/đ số 4970/QĐ-BCT ngày 21/12/2016 của Bộ Công thương)</t>
  </si>
  <si>
    <t>S</t>
  </si>
  <si>
    <t>Mã hiệu</t>
  </si>
  <si>
    <t>Mã</t>
  </si>
  <si>
    <t>Thành phần hao phí</t>
  </si>
  <si>
    <t>Đơn</t>
  </si>
  <si>
    <t>Khối lượng</t>
  </si>
  <si>
    <t>Vật liệu phụ</t>
  </si>
  <si>
    <t>Máy thi công</t>
  </si>
  <si>
    <t>VT</t>
  </si>
  <si>
    <t xml:space="preserve"> vị</t>
  </si>
  <si>
    <t>định mức</t>
  </si>
  <si>
    <t>LBQ</t>
  </si>
  <si>
    <t>tr3</t>
  </si>
  <si>
    <t>Bốc vác nước bằng thủ công</t>
  </si>
  <si>
    <t>Nhân công bậc 3,0/7</t>
  </si>
  <si>
    <t>Vận chuyển nước bằng thủ công, cự ly v/c &lt;= 100m</t>
  </si>
  <si>
    <t>Vận chuyển nước bằng thủ công, cự ly v/c &lt;= 300m</t>
  </si>
  <si>
    <t>Vận chuyển nước bằng thủ công, cự ly v/c &lt;= 500m</t>
  </si>
  <si>
    <t>Vận chuyển nước bằng thủ công, cự ly v/c &gt; 500m</t>
  </si>
  <si>
    <t>Bốc dỡ cốp pha thép bằng thủ công</t>
  </si>
  <si>
    <t>Vận chuyển cốp pha thép bằng thủ công, cự ly v/c &lt;= 100m</t>
  </si>
  <si>
    <t>Vận chuyển cốp pha thép bằng thủ công, cự ly v/c &lt;= 300m</t>
  </si>
  <si>
    <t>Vận chuyển cốp pha thép bằng thủ công, cự ly v/c &lt;= 500m</t>
  </si>
  <si>
    <t>Vận chuyển cốp pha thép bằng thủ công, cự ly v/c &gt; 500m</t>
  </si>
  <si>
    <t>Bốc dỡ bulong, tiếp địa, cốt thép, dây néo</t>
  </si>
  <si>
    <t>Vận chuyển bulong, tiếp địa, cốt thép, dây néo bằng thủ công, cự ly v/c &lt;= 100m</t>
  </si>
  <si>
    <t>Vận chuyển bulong, tiếp địa, cốt thép, dây néo bằng thủ công, cự ly v/c &lt;= 300m</t>
  </si>
  <si>
    <t>Vận chuyển bulong, tiếp địa, cốt thép, dây néo bằng thủ công, cự ly v/c &lt;= 500m</t>
  </si>
  <si>
    <t>Vận chuyển bulong, tiếp địa, cốt thép, dây néo bằng thủ công, cự ly v/c &gt; 500m</t>
  </si>
  <si>
    <t>Bốc dỡ cột thép chưa lắp</t>
  </si>
  <si>
    <t>Vận chuyển cột thép chưa lắp, vận chuyển từng thanh bằng thủ công, cự ly v/c &lt;= 100m</t>
  </si>
  <si>
    <t>Vận chuyển cột thép chưa lắp, vận chuyển từng thanh bằng thủ công, cự ly v/c &lt;= 300m</t>
  </si>
  <si>
    <t>Vận chuyển cột thép chưa lắp, vận chuyển từng thanh bằng thủ công, cự ly v/c &lt;= 500m</t>
  </si>
  <si>
    <t>Vận chuyển cột thép chưa lắp, vận chuyển từng thanh bằng thủ công, cự ly v/c &gt; 500m</t>
  </si>
  <si>
    <t>Vận chuyển cột thép chưa lắp, vận chuyển từng đoạn bằng thủ công, cự ly v/c &lt;= 100m</t>
  </si>
  <si>
    <t>Vận chuyển cột thép chưa lắp, vận chuyển từng đoạn bằng thủ công, cự ly v/c &lt;= 300m</t>
  </si>
  <si>
    <t>Vận chuyển cột thép chưa lắp, vận chuyển từng đoạn bằng thủ công, cự ly v/c &lt;= 500m</t>
  </si>
  <si>
    <t>Vận chuyển cột thép chưa lắp, vận chuyển từng đoạn bằng thủ công, cự ly v/c &gt; 500m</t>
  </si>
  <si>
    <t>Vận chuyển phụ kiện các loại, cự ly v/c &lt;= 100m</t>
  </si>
  <si>
    <t>Vận chuyển phụ kiện các loại, cự ly v/c &lt;= 300m</t>
  </si>
  <si>
    <t>Vận chuyển phụ kiện các loại, cự ly v/c &lt;= 500m</t>
  </si>
  <si>
    <t>Vận chuyển phụ kiện các loại, cự ly v/c &gt; 500m</t>
  </si>
  <si>
    <t>Vận chuyển cách điện các loại, cự ly v/c &lt;= 100m</t>
  </si>
  <si>
    <t>Vận chuyển cách điện các loại, cự ly v/c &lt;= 300m</t>
  </si>
  <si>
    <t>Vận chuyển cách điện các loại, cự ly v/c &lt;= 500m</t>
  </si>
  <si>
    <t>Vận chuyển cách điện các loại, cự ly v/c &gt; 500m</t>
  </si>
  <si>
    <t>Bốc dỡ dây dẫn điện, dây cáp các loại</t>
  </si>
  <si>
    <t>Vận chuyển dây dẫn điện, dây cáp các loại, cự ly v/c &lt;= 100m</t>
  </si>
  <si>
    <t>Vận chuyển dây dẫn điện, dây cáp các loại, cự ly v/c &lt;= 300m</t>
  </si>
  <si>
    <t>Vận chuyển dây dẫn điện, dây cáp các loại, cự ly v/c &lt;= 500m</t>
  </si>
  <si>
    <t>Vận chuyển dây dẫn điện, dây cáp các loại, cự ly v/c &gt; 500m</t>
  </si>
  <si>
    <t>Vận chuyển cấu kiện bê tông đúc sẵn, cự ly v/c &lt;= 100m</t>
  </si>
  <si>
    <t>Vận chuyển cấu kiện bê tông đúc sẵn, cự ly v/c &lt;= 300m</t>
  </si>
  <si>
    <t>Vận chuyển cấu kiện bê tông đúc sẵn, cự ly v/c &lt;= 500m</t>
  </si>
  <si>
    <t>Vận chuyển cấu kiện bê tông đúc sẵn, cự ly v/c &gt; 500m</t>
  </si>
  <si>
    <t>Vận chuyển cột bê tông, cự ly v/c &lt;= 100m</t>
  </si>
  <si>
    <t>Vận chuyển cột bê tông, cự ly v/c &lt;= 300m</t>
  </si>
  <si>
    <t>Vận chuyển cột bê tông, cự ly v/c &lt;= 500m</t>
  </si>
  <si>
    <t>Vận chuyển cột bê tông, cự ly v/c &gt; 500m</t>
  </si>
  <si>
    <t>Bốc dỡ Bitum</t>
  </si>
  <si>
    <t>Vận chuyển Bitum, cự ly v/c &lt;= 100m</t>
  </si>
  <si>
    <t>Vận chuyển Bitum, cự ly v/c &lt;= 300m</t>
  </si>
  <si>
    <t>Vận chuyển Bitum, cự ly v/c &lt;= 500m</t>
  </si>
  <si>
    <t>Vận chuyển Bitum, cự ly v/c &gt; 500m</t>
  </si>
  <si>
    <t>VẬN CHUYỂN BẰNG MÁY KÉO KẾT HỢP THỦ CÔNG</t>
  </si>
  <si>
    <t>tr5</t>
  </si>
  <si>
    <t>Vận chuyển cột thép (từng thanh), phụ kiện, dây dẫn cự ly &lt;1km</t>
  </si>
  <si>
    <t>M-BS10</t>
  </si>
  <si>
    <t>Máy kéo 100-120CV</t>
  </si>
  <si>
    <t>Vận chuyển cột thép (từng thanh), phụ kiện, dây dẫn cự ly &gt;1km</t>
  </si>
  <si>
    <t>Vận chuyển cách điện các loại cự ly &lt;1km</t>
  </si>
  <si>
    <t>Vận chuyển cách điện các loại cự ly &gt;1km</t>
  </si>
  <si>
    <t>VẬN CHUYỂN BẰNG Ô TÔ KẾT HỢP THỦ CÔNG</t>
  </si>
  <si>
    <t>D1.2111</t>
  </si>
  <si>
    <t>M106.0104</t>
  </si>
  <si>
    <t>Ô tô 2,5 tấn</t>
  </si>
  <si>
    <t>D1.2112</t>
  </si>
  <si>
    <t>D1.2121</t>
  </si>
  <si>
    <t>D1.2122</t>
  </si>
  <si>
    <t>BỐC DỠ VẬT LIỆU, PHỤ KIỆN, CẤU KIỆN BẰNG THỦ CÔNG</t>
  </si>
  <si>
    <t>tr6</t>
  </si>
  <si>
    <t>Bốc dỡ thép thanh cột (bốc lên)</t>
  </si>
  <si>
    <t>Bốc dỡ thép thanh cột (bốc xuống)</t>
  </si>
  <si>
    <t>Bốc dỡ cấu kiện thép các loại (bốc lên)</t>
  </si>
  <si>
    <t>Bốc dỡ cấu kiện thép các loại (bốc xuống)</t>
  </si>
  <si>
    <t>Bốc dỡ phụ kiện các loại (bốc lên)</t>
  </si>
  <si>
    <t>Bốc dỡ phụ kiện các loại (bốc xuống)</t>
  </si>
  <si>
    <t>Bốc dỡ dây điện các loại (bốc lên)</t>
  </si>
  <si>
    <t>Bốc dỡ dây điện các loại (bốc xuống)</t>
  </si>
  <si>
    <t>Bốc dỡ sứ các loại (bốc lên)</t>
  </si>
  <si>
    <t>Bốc dỡ sứ các loại (bốc xuống)</t>
  </si>
  <si>
    <t>Bốc dỡ cấu kiện bê tông đúc sẵn (bốc lên)</t>
  </si>
  <si>
    <t>Bốc dỡ cấu kiện bê tông đúc sẵn (bốc xuống)</t>
  </si>
  <si>
    <t>LẮP DỰNG CỘT BÊ TÔNG</t>
  </si>
  <si>
    <t>tr13</t>
  </si>
  <si>
    <t>D2.5101</t>
  </si>
  <si>
    <t>Nối cột bê tông các loại bằng mặt bích trên địa hình bình thường</t>
  </si>
  <si>
    <t>Gỗ hộp kê máy</t>
  </si>
  <si>
    <t>thép đệm</t>
  </si>
  <si>
    <t>Vật liệu khác</t>
  </si>
  <si>
    <t>%</t>
  </si>
  <si>
    <t>Nhân công bậc 4,0/7</t>
  </si>
  <si>
    <t>D2.5102</t>
  </si>
  <si>
    <t>Nối cột bê tông các loại bằng mặt bích trên địa hình sườn đồi</t>
  </si>
  <si>
    <t>D2.5103</t>
  </si>
  <si>
    <t>Nối cột bê tông các loại bằng mặt bích trên địa hình sình lầy</t>
  </si>
  <si>
    <t>tr14</t>
  </si>
  <si>
    <t>D2.5211</t>
  </si>
  <si>
    <t>Dựng cột bê tông bằng thủ công, chiều cao cột &lt;= 8.5 m</t>
  </si>
  <si>
    <t>cột</t>
  </si>
  <si>
    <t>Sơn</t>
  </si>
  <si>
    <t>D2.5221</t>
  </si>
  <si>
    <t>Dựng cột bê tông bằng thủ công, chiều cao cột &lt;= 10.5 m</t>
  </si>
  <si>
    <t>D2.5231</t>
  </si>
  <si>
    <t>Dựng cột bê tông bằng thủ công, chiều cao cột &lt;= 12 m</t>
  </si>
  <si>
    <t>D2.5241</t>
  </si>
  <si>
    <t>Dựng cột bê tông bằng thủ công, chiều cao cột &lt;= 14 m</t>
  </si>
  <si>
    <t>tr15</t>
  </si>
  <si>
    <t>D2.5251</t>
  </si>
  <si>
    <t>Dựng cột bằng thủ công, chiều cao cột &lt;= 16 m</t>
  </si>
  <si>
    <t>D2.5261</t>
  </si>
  <si>
    <t>Dựng cột bê tông bằng thủ công, chiều cao cột &lt;= 18 m</t>
  </si>
  <si>
    <t>D2.5271</t>
  </si>
  <si>
    <t>Dựng cột bằng thủ công, chiều cao cột &lt;= 20 m</t>
  </si>
  <si>
    <t>D2.5281</t>
  </si>
  <si>
    <t>Dựng cột bê tông bằng thủ công, chiều cao cột &gt;20 m</t>
  </si>
  <si>
    <t>Dựng cột bê tông bằng cần cẩu kết hợp thủ công, chiều cao cột &lt;=8,5 m</t>
  </si>
  <si>
    <t>M102.0302</t>
  </si>
  <si>
    <t>Cẩu 10 tấn</t>
  </si>
  <si>
    <t>Dựng cột bê tông bằng cần cẩu kết hợp thủ công, chiều cao cột &lt;=10,5 m</t>
  </si>
  <si>
    <t>Dựng cột bê tông bằng cần cẩu kết hợp thủ công, chiều cao cột &lt;=12 m</t>
  </si>
  <si>
    <t>Dựng cột bê tông bằng cần cẩu kết hợp thủ công, chiều cao cột &lt;=14 m</t>
  </si>
  <si>
    <t>D2.5252</t>
  </si>
  <si>
    <t>Dựng cột bê tông bằng cần cẩu kết hợp thủ công, chiều cao cột &lt;=16 m</t>
  </si>
  <si>
    <t>D2.5262</t>
  </si>
  <si>
    <t>Dựng cột bê tông bằng cần cẩu kết hợp thủ công, chiều cao cột &lt;=18 m</t>
  </si>
  <si>
    <t>D2.5272</t>
  </si>
  <si>
    <t>Dựng cột bê tông bằng cần cẩu kết hợp thủ công, chiều cao cột &lt;=20 m</t>
  </si>
  <si>
    <t>D2.5282</t>
  </si>
  <si>
    <t>Dựng cột bê tông bằng cần cẩu kết hợp thủ công, chiều cao cột &gt;20 m</t>
  </si>
  <si>
    <t>D2.5253</t>
  </si>
  <si>
    <t>Dựng cột bê tông bằng thủ công kết hợp máy kéo, chiều cao cột &lt;= 16m</t>
  </si>
  <si>
    <t>M-BS11</t>
  </si>
  <si>
    <t>Máy kéo bánh xích, công suất 75 CV</t>
  </si>
  <si>
    <t>D2.5263</t>
  </si>
  <si>
    <t>Dựng cột bê tông bằng thủ công kết hợp máy kéo, chiều cao cột &lt;= 18m</t>
  </si>
  <si>
    <t>D2.5273</t>
  </si>
  <si>
    <t>Dựng cột bê tông bằng thủ công kết hợp máy kéo, chiều cao cột &lt;= 20m</t>
  </si>
  <si>
    <t>D2.5283</t>
  </si>
  <si>
    <t>Dựng cột bê tông bằng thủ công kết hợp máy kéo, chiều cao cột &gt;20m</t>
  </si>
  <si>
    <t>tr16</t>
  </si>
  <si>
    <t>D2.5300</t>
  </si>
  <si>
    <t>Dựng cột bằng phương pháp khoan xoáy (cột không móng) kết hợp với thủ công</t>
  </si>
  <si>
    <t>M103.1101</t>
  </si>
  <si>
    <t>Máy khoan xoáy</t>
  </si>
  <si>
    <t>D2.6000</t>
  </si>
  <si>
    <t>LẮP ĐẶT XÀ</t>
  </si>
  <si>
    <t>Lắp đặt xà cho cột đỡ, trọng lượng xà &lt;=15kg</t>
  </si>
  <si>
    <t>Nhân công bậc 3,5/7</t>
  </si>
  <si>
    <t>Lắp đặt xà cho cột đỡ, trọng lượng xà &lt;= 25kg</t>
  </si>
  <si>
    <t>Lắp đặt xà cho cột đỡ, trọng lượng xà &lt;= 50kg</t>
  </si>
  <si>
    <t>Lắp đặt xà cho cột đỡ, trọng lượng xà &lt;= 100kg</t>
  </si>
  <si>
    <t>Lắp đặt xà thép cho cột đỡ, trọng lượng xà &lt;= 140kg</t>
  </si>
  <si>
    <t>Lắp đặt xà thép cho cột đỡ, trọng lượng xà &lt;= 230kg</t>
  </si>
  <si>
    <t>Lắp đặt xà thép cho cột đỡ, trọng lượng xà &lt;= 320kg</t>
  </si>
  <si>
    <t>Lắp đặt xà thép cho cột đỡ, trọng lượng xà &lt;= 410kg</t>
  </si>
  <si>
    <t>Lắp đặt xà thép cho cột đỡ, trọng lượng xà &lt;= 500kg</t>
  </si>
  <si>
    <t>Lắp đặt xà thép cho cột néo, trọng lượng xà &lt;=15kg</t>
  </si>
  <si>
    <t>Lắp đặt xà thép cho cột néo, trọng lượng xà &lt;= 25kg</t>
  </si>
  <si>
    <t>Lắp đặt xà thép cho cột néo, trọng lượng xà &lt;= 50kg</t>
  </si>
  <si>
    <t>Lắp đặt xà thép cho cột néo, trọng lượng xà &lt;= 100kg</t>
  </si>
  <si>
    <t>Lắp đặt xà thép cho cột néo, trọng lượng xà &lt;= 140kg</t>
  </si>
  <si>
    <t>Lắp đặt xà thép cho cột néo, trọng lượng xà &lt;= 230kg</t>
  </si>
  <si>
    <t>Lắp đặt xà thép cho cột néo, trọng lượng xà &lt;= 320kg</t>
  </si>
  <si>
    <t>Lắp đặt xà thép cho cột néo, trọng lượng xà &lt;= 410kg</t>
  </si>
  <si>
    <t>Lắp đặt xà thép cho cột néo, trọng lượng xà &lt;= 500kg</t>
  </si>
  <si>
    <t>Lắp đặt xà thép cho cột đúp, trọng lượng xà &lt;= 140kg</t>
  </si>
  <si>
    <t>Lắp đặt xà thép cho cột đúp, trọng lượng xà &lt;= 230kg</t>
  </si>
  <si>
    <t>Lắp đặt xà thép cho cột đúp, trọng lượng xà &lt;= 320kg</t>
  </si>
  <si>
    <t>Lắp đặt xà thép cho cột đúp, trọng lượng xà &lt;= 410kg</t>
  </si>
  <si>
    <t>Lắp đặt xà thép cho cột đúp, trọng lượng xà &lt;= 500kg</t>
  </si>
  <si>
    <t>Lắp đặt xà thép cho cột đúp, trọng lượng xà &lt;= 750kg</t>
  </si>
  <si>
    <t>Lắp đặt xà thép cho cột đúp, trọng lượng xà &lt;= 1000kg</t>
  </si>
  <si>
    <t>Lắp đặt xà cho cột hình P, trọng lượng xà &lt;= 140kg</t>
  </si>
  <si>
    <t>Lắp đặt xà cho cột hình P, trọng lượng xà &lt;= 230kg</t>
  </si>
  <si>
    <t>Lắp đặt xà cho cột hình P, trọng lượng xà &lt;= 320kg</t>
  </si>
  <si>
    <t>Lắp đặt xà cho cột hình P, trọng lượng xà &lt;= 410kg</t>
  </si>
  <si>
    <t>Lắp đặt xà cho cột hình P, trọng lượng xà &lt;= 500kg</t>
  </si>
  <si>
    <t>Lắp đặt xà cho cột hình P, trọng lượng xà &lt;= 750kg</t>
  </si>
  <si>
    <t>Lắp đặt xà cho cột hình P, trọng lượng xà &lt;= 1000kg</t>
  </si>
  <si>
    <t>D2.7100</t>
  </si>
  <si>
    <t>LẮP ĐẶT TIẾP ĐỊA CỘT ĐIỆN</t>
  </si>
  <si>
    <t>tr18</t>
  </si>
  <si>
    <t>D2.7101</t>
  </si>
  <si>
    <t>Kéo rải và lắp tiếp địa cột điện, thép tròn D= 8-10mm</t>
  </si>
  <si>
    <t>100kg</t>
  </si>
  <si>
    <t>D2.7102</t>
  </si>
  <si>
    <t>Kéo rải và lắp tiếp địa cột điện, thép tròn D=12-14 mm</t>
  </si>
  <si>
    <t>D2.7103</t>
  </si>
  <si>
    <t>Kéo rải và lắp tiếp địa cột điện, thép tròn D=16-18mm</t>
  </si>
  <si>
    <t>D2.7201</t>
  </si>
  <si>
    <t>Khoan giếng và lắp đặt cọc tiếp địa độ sâu &lt;=10</t>
  </si>
  <si>
    <t>1m</t>
  </si>
  <si>
    <t>M201.0002</t>
  </si>
  <si>
    <t>Máy khoan XY-1A</t>
  </si>
  <si>
    <t>tr19</t>
  </si>
  <si>
    <t>D2.8101</t>
  </si>
  <si>
    <t>Đóng cọc tiếp địa dài 2,5m và hàn nối tiếp địa Đất cấp I</t>
  </si>
  <si>
    <t>10cọc</t>
  </si>
  <si>
    <t>Que hàn d4</t>
  </si>
  <si>
    <t>M112.4002</t>
  </si>
  <si>
    <t>Máy hàn điện 14W</t>
  </si>
  <si>
    <t>D2.8102</t>
  </si>
  <si>
    <t>Đóng cọc tiếp địa dài 2,5m và hàn nối tiếp địa Đất cấp II</t>
  </si>
  <si>
    <t>D2.8103</t>
  </si>
  <si>
    <t>Đóng cọc tiếp địa dài 2,5m và hàn nối tiếp địa Đất cấp III</t>
  </si>
  <si>
    <t>D2.8104</t>
  </si>
  <si>
    <t>Đóng cọc tiếp địa dài 2,5m và hàn nối tiếp địa Đất cấp IV</t>
  </si>
  <si>
    <t>LẮP ĐẶT CÁCH ĐIỆN ĐỨNG TRUNG THẾ</t>
  </si>
  <si>
    <t>tr20</t>
  </si>
  <si>
    <t>D3.1101</t>
  </si>
  <si>
    <t>Lắp đặt sứ đứng ở cột tròn, dưới đất, loại sứ 6 đến 10KV</t>
  </si>
  <si>
    <t>10 sứ</t>
  </si>
  <si>
    <t>D3.1102</t>
  </si>
  <si>
    <t>Lắp đặt sứ đứng ở cột tròn, dưới đất, loại sứ 15 đến 22KV</t>
  </si>
  <si>
    <t>D3.1103</t>
  </si>
  <si>
    <t>Lắp đặt sứ đứng ở cột tròn, dưới đất, loại sứ đến 35KV</t>
  </si>
  <si>
    <t>tr21</t>
  </si>
  <si>
    <t>Lắp đặt sứ đứng ở cột tròn, trên cột, điện áp 6 đến 10KV</t>
  </si>
  <si>
    <t>Lắp đặt sứ đứng ở cột tròn, trên cột, loại sứ 15 đến 22KV</t>
  </si>
  <si>
    <t>Lắp đặt sứ đứng ở cột tròn, trên cột, loại sứ 35KV</t>
  </si>
  <si>
    <t>Lắp đặt sứ đứng cho cột vuông, loại sứ 6 đến 10KV</t>
  </si>
  <si>
    <t>Lắp đặt sứ đứng cho cột vuông, loại sứ 15 đến 22KV</t>
  </si>
  <si>
    <t>Lắp đặt sứ đứng cho cột vuông, loại sứ 35KV</t>
  </si>
  <si>
    <t>TR21</t>
  </si>
  <si>
    <t>Lắp đặt sứ hạ thế bằng thủ công, sứ các loại khác</t>
  </si>
  <si>
    <t>Lắp đặt sứ hạ thế bằng thủ công, sứ tai mèo</t>
  </si>
  <si>
    <t>Lắp đặt sứ hạ thế bằng thủ công, loại 2 sứ</t>
  </si>
  <si>
    <t>Lắp đặt sứ hạ thế bằng thủ công, loại 3 sứ</t>
  </si>
  <si>
    <t>Lắp đặt sứ hạ thế bằng thủ công, loại 4 sứ</t>
  </si>
  <si>
    <t>Lắp đặt sứ hạ thế bằng thủ công kết hợp cơ giới, sứ các loại khác</t>
  </si>
  <si>
    <t>M102.0201</t>
  </si>
  <si>
    <t>Cẩu nâng</t>
  </si>
  <si>
    <t>Lắp đặt sứ hạ thế bằng thủ công kết hợp cơ giới, sứ tai mèo</t>
  </si>
  <si>
    <t>Lắp đặt sứ hạ thế bằng thủ công kết hợp cơ giới, loại 2 sứ</t>
  </si>
  <si>
    <t>Lắp đặt sứ hạ thế bằng thủ công kết hợp cơ giới, loại 3 sứ</t>
  </si>
  <si>
    <t>Lắp đặt sứ hạ thế bằng thủ công kết hợp cơ giới, loại 4 sứ</t>
  </si>
  <si>
    <t>D3.1300</t>
  </si>
  <si>
    <t>LẮP ĐẶT CHUỖI CÁCH ĐIỆN CHO DÂY CHỐNG SÉT</t>
  </si>
  <si>
    <t>tr22</t>
  </si>
  <si>
    <t>D3.1311</t>
  </si>
  <si>
    <t>Lắp đặt chuỗi sứ đỡ chống sét, chiều cao lắp đặt sứ &lt;= 20m</t>
  </si>
  <si>
    <t>sứ</t>
  </si>
  <si>
    <t>D3.1321</t>
  </si>
  <si>
    <t>Lắp đặt chuỗi sứ đỡ chống sét, chiều cao lắp đặt sứ &lt;= 30m</t>
  </si>
  <si>
    <t>D3.1331</t>
  </si>
  <si>
    <t>Lắp đặt chuỗi sứ đỡ chống sét, chiều cao lắp đặt sứ &lt;= 40m</t>
  </si>
  <si>
    <t>D3.1341</t>
  </si>
  <si>
    <t>Lắp đặt chuỗi sứ đỡ chống sét, chiều cao lắp đặt sứ &lt;= 50m</t>
  </si>
  <si>
    <t>D3.1351</t>
  </si>
  <si>
    <t>Lắp đặt chuỗi sứ đỡ chống sét, chiều cao lắp đặt sứ &lt;= 60m</t>
  </si>
  <si>
    <t>D3.1361</t>
  </si>
  <si>
    <t>Lắp đặt chuỗi sứ đỡ chống sét, chiều cao lắp đặt sứ &lt;= 70m</t>
  </si>
  <si>
    <t>D3.1371</t>
  </si>
  <si>
    <t>Lắp đặt chuỗi sứ đỡ chống sét, chiều cao lắp đặt sứ &lt;= 85m</t>
  </si>
  <si>
    <t>D3.1381</t>
  </si>
  <si>
    <t>Lắp đặt chuỗi sứ đỡ chống sét, chiều cao lắp đặt sứ &lt;= 1000m</t>
  </si>
  <si>
    <t>D3.1312</t>
  </si>
  <si>
    <t>Lắp đặt chuỗi sứ néo chống sét, chiều cao lắp đặt sứ &lt;= 20m</t>
  </si>
  <si>
    <t>D3.1322</t>
  </si>
  <si>
    <t>Lắp đặt chuỗi sứ néo chống sét, chiều cao lắp đặt sứ &lt;= 30m</t>
  </si>
  <si>
    <t>D3.1332</t>
  </si>
  <si>
    <t>Lắp đặt chuỗi sứ néo chống sét, chiều cao lắp đặt sứ &lt;= 40m</t>
  </si>
  <si>
    <t>D3.1342</t>
  </si>
  <si>
    <t>Lắp đặt chuỗi sứ néo chống sét, chiều cao lắp đặt sứ &lt;= 50m</t>
  </si>
  <si>
    <t>D3.1352</t>
  </si>
  <si>
    <t>Lắp đặt chuỗi sứ néo chống sét, chiều cao lắp đặt sứ &lt;= 60m</t>
  </si>
  <si>
    <t>D3.1362</t>
  </si>
  <si>
    <t>Lắp đặt chuỗi sứ néo chống sét, chiều cao lắp đặt sứ &lt;= 70m</t>
  </si>
  <si>
    <t>D3.1372</t>
  </si>
  <si>
    <t>Lắp đặt chuỗi sứ néo chống sét, chiều cao lắp đặt sứ &lt;= 85m</t>
  </si>
  <si>
    <t>D3.1382</t>
  </si>
  <si>
    <t>Lắp đặt chuỗi sứ néo chống sét, chiều cao lắp đặt sứ &lt;= 1000m</t>
  </si>
  <si>
    <t>D3.1400</t>
  </si>
  <si>
    <t>LẮP ĐẶT CHUỖI CÁCH ĐIỆN ĐỠ ĐƠN CHO DÂY DẪN</t>
  </si>
  <si>
    <t>tr23</t>
  </si>
  <si>
    <t>Lắp đặt chuỗi sứ đỡ dây dẫn loại &lt;= 2 bát, chiều cao lắp đặt sứ &lt;= 20m</t>
  </si>
  <si>
    <t>D3.1421</t>
  </si>
  <si>
    <t>Lắp đặt chuỗi sứ đỡ dây dẫn loại &lt;= 2 bát, chiều cao lắp đặt sứ &lt;= 30m</t>
  </si>
  <si>
    <t>D3.1431</t>
  </si>
  <si>
    <t>Lắp đặt chuỗi sứ đỡ dây dẫn loại &lt;= 2 bát, chiều cao lắp đặt sứ &lt;= 40m</t>
  </si>
  <si>
    <t>D3.1441</t>
  </si>
  <si>
    <t>Lắp đặt chuỗi sứ đỡ dây dẫn loại &lt;= 2 bát, chiều cao lắp đặt sứ &lt;= 50m</t>
  </si>
  <si>
    <t>D3.1451</t>
  </si>
  <si>
    <t>Lắp đặt chuỗi sứ đỡ dây dẫn loại &lt;= 2 bát, chiều cao lắp đặt sứ &lt;= 60m</t>
  </si>
  <si>
    <t>D3.1461</t>
  </si>
  <si>
    <t>Lắp đặt chuỗi sứ đỡ dây dẫn loại &lt;= 2 bát, chiều cao lắp đặt sứ &lt;= 70m</t>
  </si>
  <si>
    <t>D3.1471</t>
  </si>
  <si>
    <t>Lắp đặt chuỗi sứ đỡ dây dẫn loại &lt;= 2 bát, chiều cao lắp đặt sứ &lt;= 85m</t>
  </si>
  <si>
    <t>D3.1481</t>
  </si>
  <si>
    <t>Lắp đặt chuỗi sứ đỡ dây dẫn loại &lt;= 2 bát, chiều cao lắp đặt sứ &lt;= 100m</t>
  </si>
  <si>
    <t>Lắp đặt chuỗi sứ đỡ dây dẫn loại &lt;= 5 bát, chiều cao lắp đặt sứ &lt;= 20m</t>
  </si>
  <si>
    <t>D3.1422</t>
  </si>
  <si>
    <t>Lắp đặt chuỗi sứ đỡ dây dẫn loại &lt;= 5 bát, chiều cao lắp đặt sứ &lt;= 30m</t>
  </si>
  <si>
    <t>D3.1432</t>
  </si>
  <si>
    <t>Lắp đặt chuỗi sứ đỡ dây dẫn loại &lt;= 5 bát, chiều cao lắp đặt sứ &lt;= 40m</t>
  </si>
  <si>
    <t>D3.1442</t>
  </si>
  <si>
    <t>Lắp đặt chuỗi sứ đỡ dây dẫn loại &lt;= 5 bát, chiều cao lắp đặt sứ &lt;= 50m</t>
  </si>
  <si>
    <t>D3.1452</t>
  </si>
  <si>
    <t>Lắp đặt chuỗi sứ đỡ dây dẫn loại &lt;= 5 bát, chiều cao lắp đặt sứ &lt;= 60m</t>
  </si>
  <si>
    <t>D3.1462</t>
  </si>
  <si>
    <t>Lắp đặt chuỗi sứ đỡ dây dẫn loại &lt;= 5 bát, chiều cao lắp đặt sứ &lt;= 70m</t>
  </si>
  <si>
    <t>D3.1472</t>
  </si>
  <si>
    <t>Lắp đặt chuỗi sứ đỡ dây dẫn loại &lt;= 5 bát, chiều cao lắp đặt sứ &lt;= 85m</t>
  </si>
  <si>
    <t>D3.1482</t>
  </si>
  <si>
    <t>Lắp đặt chuỗi sứ đỡ dây dẫn loại &lt;= 5 bát, chiều cao lắp đặt sứ &lt;= 100m</t>
  </si>
  <si>
    <t>Lắp đặt chuỗi sứ đỡ dây dẫn loại &lt;= 8 bát, chiều cao lắp đặt sứ &lt;= 20m</t>
  </si>
  <si>
    <t>D3.1423</t>
  </si>
  <si>
    <t>Lắp đặt chuỗi sứ đỡ dây dẫn loại &lt;= 8 bát, chiều cao lắp đặt sứ &lt;= 30m</t>
  </si>
  <si>
    <t>D3.1433</t>
  </si>
  <si>
    <t>Lắp đặt chuỗi sứ đỡ dây dẫn loại &lt;= 8 bát, chiều cao lắp đặt sứ &lt;= 40m</t>
  </si>
  <si>
    <t>D3.1443</t>
  </si>
  <si>
    <t>Lắp đặt chuỗi sứ đỡ dây dẫn loại &lt;= 8 bát, chiều cao lắp đặt sứ &lt;= 50m</t>
  </si>
  <si>
    <t>D3.1453</t>
  </si>
  <si>
    <t>Lắp đặt chuỗi sứ đỡ dây dẫn loại &lt;= 8 bát, chiều cao lắp đặt sứ &lt;= 60m</t>
  </si>
  <si>
    <t>D3.1463</t>
  </si>
  <si>
    <t>Lắp đặt chuỗi sứ đỡ dây dẫn loại &lt;= 8 bát, chiều cao lắp đặt sứ &lt;= 70m</t>
  </si>
  <si>
    <t>D3.1473</t>
  </si>
  <si>
    <t>Lắp đặt chuỗi sứ đỡ dây dẫn loại &lt;= 8 bát, chiều cao lắp đặt sứ &lt;= 85m</t>
  </si>
  <si>
    <t>D3.1483</t>
  </si>
  <si>
    <t>Lắp đặt chuỗi sứ đỡ dây dẫn loại &lt;= 8 bát, chiều cao lắp đặt sứ &lt;= 100m</t>
  </si>
  <si>
    <t>D3.1414</t>
  </si>
  <si>
    <t>Lắp đặt chuỗi sứ đỡ dây dẫn loại &lt;= 11 bát, chiều cao lắp đặt sứ &lt;= 20m</t>
  </si>
  <si>
    <t>D3.1424</t>
  </si>
  <si>
    <t>Lắp đặt chuỗi sứ đỡ dây dẫn loại &lt;= 11 bát, chiều cao lắp đặt sứ &lt;= 30m</t>
  </si>
  <si>
    <t>D3.1434</t>
  </si>
  <si>
    <t>Lắp đặt chuỗi sứ đỡ dây dẫn loại &lt;= 11 bát, chiều cao lắp đặt sứ &lt;= 40m</t>
  </si>
  <si>
    <t>D3.1444</t>
  </si>
  <si>
    <t>Lắp đặt chuỗi sứ đỡ dây dẫn loại &lt;= 11 bát, chiều cao lắp đặt sứ &lt;= 50m</t>
  </si>
  <si>
    <t>D3.1454</t>
  </si>
  <si>
    <t>Lắp đặt chuỗi sứ đỡ dây dẫn loại &lt;= 11 bát, chiều cao lắp đặt sứ &lt;= 60m</t>
  </si>
  <si>
    <t>D3.1464</t>
  </si>
  <si>
    <t>Lắp đặt chuỗi sứ đỡ dây dẫn loại &lt;= 11 bát, chiều cao lắp đặt sứ &lt;= 70m</t>
  </si>
  <si>
    <t>D3.1474</t>
  </si>
  <si>
    <t>Lắp đặt chuỗi sứ đỡ dây dẫn loại &lt;= 11 bát, chiều cao lắp đặt sứ &lt;= 85m</t>
  </si>
  <si>
    <t>D3.1484</t>
  </si>
  <si>
    <t>Lắp đặt chuỗi sứ đỡ dây dẫn loại &lt;= 11 bát, chiều cao lắp đặt sứ &lt;= 100m</t>
  </si>
  <si>
    <t>D3.1415</t>
  </si>
  <si>
    <t>Lắp đặt chuỗi sứ đỡ dây dẫn loại &lt;= 14 bát, chiều cao lắp đặt sứ &lt;= 20m</t>
  </si>
  <si>
    <t>D3.1425</t>
  </si>
  <si>
    <t>Lắp đặt chuỗi sứ đỡ dây dẫn loại &lt;= 14 bát, chiều cao lắp đặt sứ &lt;= 30m</t>
  </si>
  <si>
    <t>D3.1435</t>
  </si>
  <si>
    <t>Lắp đặt chuỗi sứ đỡ dây dẫn loại &lt;= 14 bát, chiều cao lắp đặt sứ &lt;= 40m</t>
  </si>
  <si>
    <t>D3.1445</t>
  </si>
  <si>
    <t>Lắp đặt chuỗi sứ đỡ dây dẫn loại &lt;= 14 bát, chiều cao lắp đặt sứ &lt;= 50m</t>
  </si>
  <si>
    <t>D3.1455</t>
  </si>
  <si>
    <t>Lắp đặt chuỗi sứ đỡ dây dẫn loại &lt;= 14 bát, chiều cao lắp đặt sứ &lt;= 60m</t>
  </si>
  <si>
    <t>D3.1465</t>
  </si>
  <si>
    <t>Lắp đặt chuỗi sứ đỡ dây dẫn loại &lt;= 14 bát, chiều cao lắp đặt sứ &lt;= 70m</t>
  </si>
  <si>
    <t>D3.1475</t>
  </si>
  <si>
    <t>Lắp đặt chuỗi sứ đỡ dây dẫn loại &lt;= 14 bát, chiều cao lắp đặt sứ &lt;= 85m</t>
  </si>
  <si>
    <t>D3.1485</t>
  </si>
  <si>
    <t>Lắp đặt chuỗi sứ đỡ dây dẫn loại &lt;= 14 bát, chiều cao lắp đặt sứ &lt;= 100m</t>
  </si>
  <si>
    <t>D3.1416</t>
  </si>
  <si>
    <t>Lắp đặt chuỗi sứ đỡ dây dẫn loại &lt;= 18 bát, chiều cao lắp đặt sứ &lt;= 20m</t>
  </si>
  <si>
    <t>D3.1426</t>
  </si>
  <si>
    <t>Lắp đặt chuỗi sứ đỡ dây dẫn loại &lt;= 18 bát, chiều cao lắp đặt sứ &lt;= 30m</t>
  </si>
  <si>
    <t>D3.1436</t>
  </si>
  <si>
    <t>Lắp đặt chuỗi sứ đỡ dây dẫn loại &lt;= 18 bát, chiều cao lắp đặt sứ &lt;= 40m</t>
  </si>
  <si>
    <t>D3.1446</t>
  </si>
  <si>
    <t>Lắp đặt chuỗi sứ đỡ dây dẫn loại &lt;= 18 bát, chiều cao lắp đặt sứ &lt;= 50m</t>
  </si>
  <si>
    <t>D3.1456</t>
  </si>
  <si>
    <t>Lắp đặt chuỗi sứ đỡ dây dẫn loại &lt;= 18 bát, chiều cao lắp đặt sứ &lt;= 60m</t>
  </si>
  <si>
    <t>D3.1466</t>
  </si>
  <si>
    <t>Lắp đặt chuỗi sứ đỡ dây dẫn loại &lt;= 18 bát, chiều cao lắp đặt sứ &lt;= 70m</t>
  </si>
  <si>
    <t>D3.1476</t>
  </si>
  <si>
    <t>Lắp đặt chuỗi sứ đỡ dây dẫn loại &lt;= 18 bát, chiều cao lắp đặt sứ &lt;= 85m</t>
  </si>
  <si>
    <t>D3.1486</t>
  </si>
  <si>
    <t>Lắp đặt chuỗi sứ đỡ dây dẫn loại &lt;= 18 bát, chiều cao lắp đặt sứ &lt;= 100m</t>
  </si>
  <si>
    <t>D3.1417</t>
  </si>
  <si>
    <t>Lắp đặt chuỗi sứ đỡ dây dẫn loại &lt;=21 bát, chiều cao lắp đặt sứ &lt;= 20m</t>
  </si>
  <si>
    <t>D3.1427</t>
  </si>
  <si>
    <t>Lắp đặt chuỗi sứ đỡ dây dẫn loại  &lt;=21 bát, chiều cao lắp đặt sứ &lt;= 30m</t>
  </si>
  <si>
    <t>D3.1437</t>
  </si>
  <si>
    <t>Lắp đặt chuỗi sứ đỡ dây dẫn loại  &lt;=21 bát, chiều cao lắp đặt sứ &lt;= 40m</t>
  </si>
  <si>
    <t>D3.1447</t>
  </si>
  <si>
    <t>Lắp đặt chuỗi sứ đỡ dây dẫn loại  &lt;=21 bát, chiều cao lắp đặt sứ &lt;= 50m</t>
  </si>
  <si>
    <t>D3.1457</t>
  </si>
  <si>
    <t>Lắp đặt chuỗi sứ đỡ dây dẫn loại  &lt;=21 bát, chiều cao lắp đặt sứ &lt;= 60m</t>
  </si>
  <si>
    <t>D3.1467</t>
  </si>
  <si>
    <t>Lắp đặt chuỗi sứ đỡ dây dẫn loại  &lt;=21 bát, chiều cao lắp đặt sứ &lt;= 70m</t>
  </si>
  <si>
    <t>D3.1477</t>
  </si>
  <si>
    <t>Lắp đặt chuỗi sứ đỡ dây dẫn loại  &lt;=21 bát, chiều cao lắp đặt sứ &lt;= 85m</t>
  </si>
  <si>
    <t>D3.1487</t>
  </si>
  <si>
    <t>Lắp đặt chuỗi sứ đỡ dây dẫn loại  &lt;=21 bát, chiều cao lắp đặt sứ &lt;= 100m</t>
  </si>
  <si>
    <t>D3.1418</t>
  </si>
  <si>
    <t>Lắp đặt chuỗi sứ đỡ dây dẫn loại &gt;21 bát, chiều cao lắp đặt sứ &lt;= 20m</t>
  </si>
  <si>
    <t>D3.1428</t>
  </si>
  <si>
    <t>Lắp đặt chuỗi sứ đỡ dây dẫn loại  &gt;21 bát, chiều cao lắp đặt sứ &lt;= 30m</t>
  </si>
  <si>
    <t>D3.1438</t>
  </si>
  <si>
    <t>Lắp đặt chuỗi sứ đỡ dây dẫn loại  &gt;21 bát, chiều cao lắp đặt sứ &lt;= 40m</t>
  </si>
  <si>
    <t>D3.1448</t>
  </si>
  <si>
    <t>Lắp đặt chuỗi sứ đỡ dây dẫn loại  &gt;21 bát, chiều cao lắp đặt sứ &lt;= 50m</t>
  </si>
  <si>
    <t>D3.1458</t>
  </si>
  <si>
    <t>Lắp đặt chuỗi sứ đỡ dây dẫn loại &gt;21 bát, chiều cao lắp đặt sứ &lt;= 60m</t>
  </si>
  <si>
    <t>D3.1468</t>
  </si>
  <si>
    <t>Lắp đặt chuỗi sứ đỡ dây dẫn loại  &gt;21 bát, chiều cao lắp đặt sứ &lt;= 70m</t>
  </si>
  <si>
    <t>D3.1478</t>
  </si>
  <si>
    <t>Lắp đặt chuỗi sứ đỡ dây dẫn loại  &gt;21 bát, chiều cao lắp đặt sứ &lt;= 85m</t>
  </si>
  <si>
    <t>D3.1488</t>
  </si>
  <si>
    <t>Lắp đặt chuỗi sứ đỡ dây dẫn loại  &gt;21 bát, chiều cao lắp đặt sứ &lt;= 100m</t>
  </si>
  <si>
    <t>D3.1500</t>
  </si>
  <si>
    <t>LẮP ĐẶT CHUỖI CÁCH ĐIỆN ĐỠ KÉP CHO DÂY DẪN</t>
  </si>
  <si>
    <t>tr25</t>
  </si>
  <si>
    <t>D3.1511</t>
  </si>
  <si>
    <t>Lắp đặt sứ chuỗi sứ đỡ kÉp cho dây dẫn, chuỗi &lt;= 2x8 bát, chiều cao lắp đặt sứ &lt;= 20m</t>
  </si>
  <si>
    <t>D3.1521</t>
  </si>
  <si>
    <t>Lắp đặt sứ chuỗi sứ đỡ kÉp cho dây dẫn, chuỗi &lt;= 2x8 bát, chiều cao lắp đặt sứ &lt;= 30m</t>
  </si>
  <si>
    <t>D3.1531</t>
  </si>
  <si>
    <t>Lắp đặt sứ chuỗi sứ đỡ kÉp cho dây dẫn, chuỗi &lt;= 2x8 bát, chiều cao lắp đặt sứ &lt;= 40m</t>
  </si>
  <si>
    <t>D3.1541</t>
  </si>
  <si>
    <t>Lắp đặt sứ chuỗi sứ đỡ kÉp cho dây dẫn, chuỗi &lt;= 2x8 bát, chiều cao lắp đặt sứ &lt;= 50m</t>
  </si>
  <si>
    <t>D3.1551</t>
  </si>
  <si>
    <t>Lắp đặt sứ chuỗi sứ đỡ kÉp cho dây dẫn, chuỗi &lt;= 2x8 bát, chiều cao lắp đặt sứ &lt;= 60m</t>
  </si>
  <si>
    <t>D3.1561</t>
  </si>
  <si>
    <t>Lắp đặt sứ chuỗi sứ đỡ kÉp cho dây dẫn, chuỗi &lt;= 2x8 bát, chiều cao lắp đặt sứ &lt;= 70m</t>
  </si>
  <si>
    <t>tr26</t>
  </si>
  <si>
    <t>D3.1571</t>
  </si>
  <si>
    <t>Lắp đặt sứ chuỗi sứ đỡ kÉp cho dây dẫn, chuỗi &lt;= 2x8 bát, chiều cao lắp đặt sứ &lt;= 85m</t>
  </si>
  <si>
    <t>D3.1581</t>
  </si>
  <si>
    <t>Lắp đặt sứ chuỗi sứ đỡ kÉp cho dây dẫn, chuỗi &lt;= 2x8 bát, chiều cao lắp đặt sứ &lt;= 100m</t>
  </si>
  <si>
    <t>D3.1512</t>
  </si>
  <si>
    <t>Lắp đặt sứ chuỗi sứ đỡ kÉp cho dây dẫn, chuỗi &lt;= 2x11 bát, chiều cao lắp đặt sứ &lt;= 20m</t>
  </si>
  <si>
    <t>D3.1522</t>
  </si>
  <si>
    <t>Lắp đặt sứ chuỗi sứ đỡ kÉp cho dây dẫn, chuỗi &lt;= 2x11 bát, chiều cao lắp đặt sứ &lt;= 30m</t>
  </si>
  <si>
    <t>D3.1532</t>
  </si>
  <si>
    <t>Lắp đặt sứ chuỗi sứ đỡ kÉp cho dây dẫn, chuỗi &lt;= 2x11 bát, chiều cao lắp đặt sứ &lt;= 40m</t>
  </si>
  <si>
    <t>D3.1542</t>
  </si>
  <si>
    <t>Lắp đặt sứ chuỗi sứ đỡ kÉp cho dây dẫn, chuỗi &lt;= 2x11 bát, chiều cao lắp đặt sứ &lt;= 50m</t>
  </si>
  <si>
    <t>D3.1552</t>
  </si>
  <si>
    <t>Lắp đặt sứ chuỗi sứ đỡ kÉp cho dây dẫn, chuỗi &lt;= 2x11 bát, chiều cao lắp đặt sứ &lt;= 60m</t>
  </si>
  <si>
    <t>D3.1562</t>
  </si>
  <si>
    <t>Lắp đặt sứ chuỗi sứ đỡ kÉp cho dây dẫn, chuỗi &lt;= 2x11 bát, chiều cao lắp đặt sứ &lt;= 70m</t>
  </si>
  <si>
    <t>D3.1572</t>
  </si>
  <si>
    <t>Lắp đặt sứ chuỗi sứ đỡ kÉp cho dây dẫn, chuỗi &lt;= 2x11 bát, chiều cao lắp đặt sứ &lt;= 85m</t>
  </si>
  <si>
    <t>D3.1582</t>
  </si>
  <si>
    <t>Lắp đặt sứ chuỗi sứ đỡ kÉp cho dây dẫn, chuỗi &lt;= 2x11 bát, chiều cao lắp đặt sứ &lt;= 100m</t>
  </si>
  <si>
    <t>D3.1513</t>
  </si>
  <si>
    <t>Lắp đặt sứ chuỗi sứ đỡ kÉp cho dây dẫn, chuỗi &lt;= 2x14 bát, chiều cao lắp đặt sứ &lt;= 20m</t>
  </si>
  <si>
    <t>D3.1523</t>
  </si>
  <si>
    <t>Lắp đặt sứ chuỗi sứ đỡ kÉp cho dây dẫn, chuỗi &lt;= 2x14 bát, chiều cao lắp đặt sứ &lt;= 30m</t>
  </si>
  <si>
    <t>D3.1533</t>
  </si>
  <si>
    <t>Lắp đặt sứ chuỗi sứ đỡ kÉp cho dây dẫn, chuỗi &lt;= 2x14 bát, chiều cao lắp đặt sứ &lt;= 40m</t>
  </si>
  <si>
    <t>D3.1543</t>
  </si>
  <si>
    <t>Lắp đặt sứ chuỗi sứ đỡ kÉp cho dây dẫn, chuỗi &lt;= 2x14 bát, chiều cao lắp đặt sứ &lt;= 50m</t>
  </si>
  <si>
    <t>D3.1553</t>
  </si>
  <si>
    <t>Lắp đặt sứ chuỗi sứ đỡ kÉp cho dây dẫn, chuỗi &lt;= 2x14 bát, chiều cao lắp đặt sứ &lt;= 60m</t>
  </si>
  <si>
    <t>D3.1563</t>
  </si>
  <si>
    <t>Lắp đặt sứ chuỗi sứ đỡ kÉp cho dây dẫn, chuỗi &lt;= 2x14 bát, chiều cao lắp đặt sứ &lt;= 70m</t>
  </si>
  <si>
    <t>D3.1573</t>
  </si>
  <si>
    <t>Lắp đặt sứ chuỗi sứ đỡ kÉp cho dây dẫn, chuỗi &lt;= 2x14 bát, chiều cao lắp đặt sứ &lt;= 85m</t>
  </si>
  <si>
    <t>D3.1583</t>
  </si>
  <si>
    <t>Lắp đặt sứ chuỗi sứ đỡ kÉp cho dây dẫn, chuỗi &lt;= 2x14 bát, chiều cao lắp đặt sứ &lt;= 100m</t>
  </si>
  <si>
    <t>D3.1514</t>
  </si>
  <si>
    <t>Lắp đặt sứ chuỗi sứ đỡ kÉp cho dây dẫn, chuỗi &lt;= 2x18 bát, chiều cao lắp đặt sứ &lt;= 20m</t>
  </si>
  <si>
    <t>D3.1524</t>
  </si>
  <si>
    <t>Lắp đặt sứ chuỗi sứ đỡ kÉp cho dây dẫn, chuỗi &lt;= 2x18 bát, chiều cao lắp đặt sứ &lt;= 30m</t>
  </si>
  <si>
    <t>D3.1534</t>
  </si>
  <si>
    <t>Lắp đặt sứ chuỗi sứ đỡ kÉp cho dây dẫn, chuỗi &lt;= 2x18 bát, chiều cao lắp đặt sứ &lt;= 40m</t>
  </si>
  <si>
    <t>D3.1544</t>
  </si>
  <si>
    <t>Lắp đặt sứ chuỗi sứ đỡ kÉp cho dây dẫn, chuỗi &lt;= 2x18 bát, chiều cao lắp đặt sứ &lt;= 50m</t>
  </si>
  <si>
    <t>D3.1554</t>
  </si>
  <si>
    <t>Lắp đặt sứ chuỗi sứ đỡ kÉp cho dây dẫn, chuỗi &lt;= 2x18 bát, chiều cao lắp đặt sứ &lt;= 60m</t>
  </si>
  <si>
    <t>D3.1564</t>
  </si>
  <si>
    <t>Lắp đặt sứ chuỗi sứ đỡ kÉp cho dây dẫn, chuỗi &lt;= 2x18 bát, chiều cao lắp đặt sứ &lt;= 70m</t>
  </si>
  <si>
    <t>D3.1574</t>
  </si>
  <si>
    <t>Lắp đặt sứ chuỗi sứ đỡ kÉp cho dây dẫn, chuỗi &lt;= 2x18 bát, chiều cao lắp đặt sứ &lt;= 85m</t>
  </si>
  <si>
    <t>D3.1584</t>
  </si>
  <si>
    <t>Lắp đặt sứ chuỗi sứ đỡ kÉp cho dây dẫn, chuỗi &lt;= 2x18 bát, chiều cao lắp đặt sứ &lt;= 100m</t>
  </si>
  <si>
    <t>D3.1515</t>
  </si>
  <si>
    <t>Lắp đặt sứ chuỗi sứ đỡ kÉp cho dây dẫn, chuỗi &lt;= 2x21 bát, chiều cao lắp đặt sứ &lt;= 20m</t>
  </si>
  <si>
    <t>D3.1525</t>
  </si>
  <si>
    <t>Lắp đặt sứ chuỗi sứ đỡ kÉp cho dây dẫn, chuỗi &lt;= 2x21 bát, chiều cao lắp đặt sứ &lt;= 30m</t>
  </si>
  <si>
    <t>D3.1535</t>
  </si>
  <si>
    <t>Lắp đặt sứ chuỗi sứ đỡ kÉp cho dây dẫn, chuỗi &lt;= 2x21 bát, chiều cao lắp đặt sứ &lt;= 40m</t>
  </si>
  <si>
    <t>D3.1545</t>
  </si>
  <si>
    <t>Lắp đặt sứ chuỗi sứ đỡ kÉp cho dây dẫn, chuỗi &lt;= 2x21 bát, chiều cao lắp đặt sứ &lt;= 50m</t>
  </si>
  <si>
    <t>D3.1555</t>
  </si>
  <si>
    <t>Lắp đặt sứ chuỗi sứ đỡ kÉp cho dây dẫn, chuỗi &lt;= 2x21 bát, chiều cao lắp đặt sứ &lt;= 60m</t>
  </si>
  <si>
    <t>D3.1565</t>
  </si>
  <si>
    <t>Lắp đặt sứ chuỗi sứ đỡ kÉp cho dây dẫn, chuỗi &lt;= 2x21 bát, chiều cao lắp đặt sứ &lt;= 70m</t>
  </si>
  <si>
    <t>D3.1575</t>
  </si>
  <si>
    <t>Lắp đặt sứ chuỗi sứ đỡ kÉp cho dây dẫn, chuỗi &lt;= 2x21 bát, chiều cao lắp đặt sứ &lt;= 85m</t>
  </si>
  <si>
    <t>D3.1585</t>
  </si>
  <si>
    <t>Lắp đặt sứ chuỗi sứ đỡ kÉp cho dây dẫn, chuỗi &lt;= 2x21 bát, chiều cao lắp đặt sứ &lt;= 100m</t>
  </si>
  <si>
    <t>D3.1516</t>
  </si>
  <si>
    <t>Lắp đặt sứ chuỗi sứ đỡ kÉp cho dây dẫn, chuỗi &gt; 2x21 bát, chiều cao lắp đặt sứ &lt;= 20m</t>
  </si>
  <si>
    <t>D3.1526</t>
  </si>
  <si>
    <t>Lắp đặt sứ chuỗi sứ đỡ kÉp cho dây dẫn, chuỗi &gt; 2x21 bát, chiều cao lắp đặt sứ &lt;= 30m</t>
  </si>
  <si>
    <t>D3.1536</t>
  </si>
  <si>
    <t>Lắp đặt sứ chuỗi sứ đỡ kÉp cho dây dẫn, chuỗi &gt; 2x21 bát, chiều cao lắp đặt sứ &lt;= 40m</t>
  </si>
  <si>
    <t>D3.1546</t>
  </si>
  <si>
    <t>Lắp đặt sứ chuỗi sứ đỡ kÉp cho dây dẫn, chuỗi &gt; 2x21 bát, chiều cao lắp đặt sứ &lt;= 50m</t>
  </si>
  <si>
    <t>D3.1556</t>
  </si>
  <si>
    <t>Lắp đặt sứ chuỗi sứ đỡ kÉp cho dây dẫn, chuỗi &gt; 2x21 bát, chiều cao lắp đặt sứ &lt;= 60m</t>
  </si>
  <si>
    <t>D3.1566</t>
  </si>
  <si>
    <t>Lắp đặt sứ chuỗi sứ đỡ kÉp cho dây dẫn, chuỗi &gt; 2x21 bát, chiều cao lắp đặt sứ &lt;= 70m</t>
  </si>
  <si>
    <t>D3.1576</t>
  </si>
  <si>
    <t>Lắp đặt sứ chuỗi sứ đỡ kÉp cho dây dẫn, chuỗi &gt; 2x21 bát, chiều cao lắp đặt sứ &lt;= 85m</t>
  </si>
  <si>
    <t>D3.1586</t>
  </si>
  <si>
    <t>Lắp đặt sứ chuỗi sứ đỡ kÉp cho dây dẫn, chuỗi &gt; 2x21 bát, chiều cao lắp đặt sứ &lt;= 100m</t>
  </si>
  <si>
    <t>D3.1600</t>
  </si>
  <si>
    <t>LẮP ĐẶT CHUỖI CÁCH ĐIỆN V  CHO DÂY DẪN</t>
  </si>
  <si>
    <t>D3.1611</t>
  </si>
  <si>
    <t>Lắp đặt sứ chuỗi sứ đỡ hình V cho dây dẫn, chuỗi &lt;= 2x8 bát, chiều cao lắp đặt sứ &lt;= 20m</t>
  </si>
  <si>
    <t>D3.1621</t>
  </si>
  <si>
    <t>Lắp đặt sứ chuỗi sứ đỡ hình V cho dây dẫn, chuỗi &lt;= 2x8 bát, chiều cao lắp đặt sứ &lt;= 30m</t>
  </si>
  <si>
    <t>D3.1631</t>
  </si>
  <si>
    <t>Lắp đặt sứ chuỗi sứ đỡ hình V cho dây dẫn, chuỗi &lt;= 2x8 bát, chiều cao lắp đặt sứ &lt;= 40m</t>
  </si>
  <si>
    <t>tr27</t>
  </si>
  <si>
    <t>D3.1641</t>
  </si>
  <si>
    <t>Lắp đặt sứ chuỗi sứ đỡ hình V cho dây dẫn, chuỗi &lt;= 2x8 bát, chiều cao lắp đặt sứ &lt;= 50m</t>
  </si>
  <si>
    <t>D3.1651</t>
  </si>
  <si>
    <t>Lắp đặt sứ chuỗi sứ đỡ hình V cho dây dẫn, chuỗi &lt;= 2x8 bát, chiều cao lắp đặt sứ &lt;= 60m</t>
  </si>
  <si>
    <t>D3.1661</t>
  </si>
  <si>
    <t>Lắp đặt sứ chuỗi sứ đỡ hình V cho dây dẫn, chuỗi &lt;= 2x8 bát, chiều cao lắp đặt sứ &lt;= 70m</t>
  </si>
  <si>
    <t>D3.1671</t>
  </si>
  <si>
    <t>Lắp đặt sứ chuỗi sứ đỡ hình V cho dây dẫn, chuỗi &lt;= 2x8 bát, chiều cao lắp đặt sứ &lt;= 85m</t>
  </si>
  <si>
    <t>D3.1681</t>
  </si>
  <si>
    <t>Lắp đặt sứ chuỗi sứ đỡ hình V cho dây dẫn, chuỗi &lt;= 2x8 bát, chiều cao lắp đặt sứ &lt;= 100m</t>
  </si>
  <si>
    <t>D3.1612</t>
  </si>
  <si>
    <t>Lắp đặt sứ chuỗi sứ đỡ hình V cho dây dẫn, chuỗi &lt;= 2x11 bát, chiều cao lắp đặt sứ &lt;= 20m</t>
  </si>
  <si>
    <t>D3.1622</t>
  </si>
  <si>
    <t>Lắp đặt sứ chuỗi sứ đỡ hình V cho dây dẫn, chuỗi &lt;= 2x11 bát, chiều cao lắp đặt sứ &lt;= 30m</t>
  </si>
  <si>
    <t>D3.1632</t>
  </si>
  <si>
    <t>Lắp đặt sứ chuỗi sứ đỡ hình V cho dây dẫn, chuỗi &lt;= 2x11 bát, chiều cao lắp đặt sứ &lt;= 40m</t>
  </si>
  <si>
    <t>D3.1642</t>
  </si>
  <si>
    <t>Lắp đặt sứ chuỗi sứ đỡ hình V cho dây dẫn, chuỗi &lt;= 2x11 bát, chiều cao lắp đặt sứ &lt;= 50m</t>
  </si>
  <si>
    <t>D3.1652</t>
  </si>
  <si>
    <t>Lắp đặt sứ chuỗi sứ đỡ hình V cho dây dẫn, chuỗi &lt;= 2x11 bát, chiều cao lắp đặt sứ &lt;= 60m</t>
  </si>
  <si>
    <t>D3.1662</t>
  </si>
  <si>
    <t>Lắp đặt sứ chuỗi sứ đỡ hình V cho dây dẫn, chuỗi &lt;= 2x11 bát, chiều cao lắp đặt sứ &lt;= 70m</t>
  </si>
  <si>
    <t>D3.1672</t>
  </si>
  <si>
    <t>Lắp đặt sứ chuỗi sứ đỡ hình V cho dây dẫn, chuỗi &lt;= 2x11 bát, chiều cao lắp đặt sứ &lt;= 85m</t>
  </si>
  <si>
    <t>D3.1682</t>
  </si>
  <si>
    <t>Lắp đặt sứ chuỗi sứ đỡ hình V cho dây dẫn, chuỗi &lt;= 2x11 bát, chiều cao lắp đặt sứ &lt;= 100m</t>
  </si>
  <si>
    <t>D3.1613</t>
  </si>
  <si>
    <t>Lắp đặt sứ chuỗi sứ đỡ hình V cho dây dẫn, chuỗi &lt;= 2x14 bát, chiều cao lắp đặt sứ &lt;= 20m</t>
  </si>
  <si>
    <t>D3.1623</t>
  </si>
  <si>
    <t>Lắp đặt sứ chuỗi sứ đỡ hình V cho dây dẫn, chuỗi &lt;= 2x14 bát, chiều cao lắp đặt sứ &lt;= 30m</t>
  </si>
  <si>
    <t>D3.1633</t>
  </si>
  <si>
    <t>Lắp đặt sứ chuỗi sứ đỡ hình V cho dây dẫn, chuỗi &lt;= 2x14 bát, chiều cao lắp đặt sứ &lt;= 40m</t>
  </si>
  <si>
    <t>D3.1643</t>
  </si>
  <si>
    <t>Lắp đặt sứ chuỗi sứ đỡ hình V cho dây dẫn, chuỗi &lt;= 2x14 bát, chiều cao lắp đặt sứ &lt;= 50m</t>
  </si>
  <si>
    <t>D3.1653</t>
  </si>
  <si>
    <t>Lắp đặt sứ chuỗi sứ đỡ hình V cho dây dẫn, chuỗi &lt;= 2x14 bát, chiều cao lắp đặt sứ &lt;= 60m</t>
  </si>
  <si>
    <t>D3.1663</t>
  </si>
  <si>
    <t>Lắp đặt sứ chuỗi sứ đỡ hình V cho dây dẫn, chuỗi &lt;= 2x14 bát, chiều cao lắp đặt sứ &lt;= 70m</t>
  </si>
  <si>
    <t>D3.1673</t>
  </si>
  <si>
    <t>Lắp đặt sứ chuỗi sứ đỡ hình V cho dây dẫn, chuỗi &lt;= 2x14 bát, chiều cao lắp đặt sứ &lt;= 85m</t>
  </si>
  <si>
    <t>D3.1683</t>
  </si>
  <si>
    <t>Lắp đặt sứ chuỗi sứ đỡ hình V cho dây dẫn, chuỗi &lt;= 2x14 bát, chiều cao lắp đặt sứ &lt;= 100m</t>
  </si>
  <si>
    <t>D3.1614</t>
  </si>
  <si>
    <t>Lắp đặt sứ chuỗi sứ đỡ hình V cho dây dẫn, chuỗi &lt;= 2x18 bát, chiều cao lắp đặt sứ &lt;= 20m</t>
  </si>
  <si>
    <t>D3.1624</t>
  </si>
  <si>
    <t>Lắp đặt sứ chuỗi sứ đỡ hình V cho dây dẫn, chuỗi &lt;= 2x18 bát, chiều cao lắp đặt sứ &lt;= 30m</t>
  </si>
  <si>
    <t>D3.1634</t>
  </si>
  <si>
    <t>Lắp đặt sứ chuỗi sứ đỡ hình V cho dây dẫn, chuỗi &lt;= 2x18 bát, chiều cao lắp đặt sứ &lt;= 40m</t>
  </si>
  <si>
    <t>D3.1644</t>
  </si>
  <si>
    <t>Lắp đặt sứ chuỗi sứ đỡ hình V cho dây dẫn, chuỗi &lt;= 2x18 bát, chiều cao lắp đặt sứ &lt;= 50m</t>
  </si>
  <si>
    <t>D3.1654</t>
  </si>
  <si>
    <t>Lắp đặt sứ chuỗi sứ đỡ hình V cho dây dẫn, chuỗi &lt;= 2x18 bát, chiều cao lắp đặt sứ &lt;= 60m</t>
  </si>
  <si>
    <t>D3.1664</t>
  </si>
  <si>
    <t>Lắp đặt sứ chuỗi sứ đỡ hình V cho dây dẫn, chuỗi &lt;= 2x18 bát, chiều cao lắp đặt sứ &lt;= 70m</t>
  </si>
  <si>
    <t>D3.1674</t>
  </si>
  <si>
    <t>Lắp đặt sứ chuỗi sứ đỡ hình V cho dây dẫn, chuỗi &lt;= 2x18 bát, chiều cao lắp đặt sứ &lt;= 85m</t>
  </si>
  <si>
    <t>D3.1684</t>
  </si>
  <si>
    <t>Lắp đặt sứ chuỗi sứ đỡ hình V cho dây dẫn, chuỗi &lt;= 2x18 bát, chiều cao lắp đặt sứ &lt;= 100m</t>
  </si>
  <si>
    <t>D3.1615</t>
  </si>
  <si>
    <t>Lắp đặt sứ chuỗi sứ đỡ hình V cho dây dẫn, chuỗi &lt;= 2x21 bát, chiều cao lắp đặt sứ &lt;= 20m</t>
  </si>
  <si>
    <t>D3.1625</t>
  </si>
  <si>
    <t>Lắp đặt sứ chuỗi sứ đỡ hình V cho dây dẫn, chuỗi &lt;= 2x21 bát, chiều cao lắp đặt sứ &lt;= 30m</t>
  </si>
  <si>
    <t>D3.1635</t>
  </si>
  <si>
    <t>Lắp đặt sứ chuỗi sứ đỡ hình V cho dây dẫn, chuỗi &lt;= 2x21 bát, chiều cao lắp đặt sứ &lt;= 40m</t>
  </si>
  <si>
    <t>D3.1645</t>
  </si>
  <si>
    <t>Lắp đặt sứ chuỗi sứ đỡ hình V cho dây dẫn, chuỗi &lt;= 2x21 bát, chiều cao lắp đặt sứ &lt;= 50m</t>
  </si>
  <si>
    <t>D3.1655</t>
  </si>
  <si>
    <t>Lắp đặt sứ chuỗi sứ đỡ hình V cho dây dẫn, chuỗi &lt;= 2x21 bát, chiều cao lắp đặt sứ &lt;= 60m</t>
  </si>
  <si>
    <t>D3.1665</t>
  </si>
  <si>
    <t>Lắp đặt sứ chuỗi sứ đỡ hình V cho dây dẫn, chuỗi &lt;= 2x21 bát, chiều cao lắp đặt sứ &lt;= 70m</t>
  </si>
  <si>
    <t>D3.1675</t>
  </si>
  <si>
    <t>Lắp đặt sứ chuỗi sứ đỡ hình V cho dây dẫn, chuỗi &lt;= 2x21 bát, chiều cao lắp đặt sứ &lt;= 85m</t>
  </si>
  <si>
    <t>D3.1685</t>
  </si>
  <si>
    <t>Lắp đặt sứ chuỗi sứ đỡ hình V cho dây dẫn, chuỗi &lt;= 2x21 bát, chiều cao lắp đặt sứ &lt;= 100m</t>
  </si>
  <si>
    <t>D3.1616</t>
  </si>
  <si>
    <t>Lắp đặt sứ chuỗi sứ đỡ hình V cho dây dẫn, chuỗi &gt; 2x21 bát, chiều cao lắp đặt sứ &lt;= 20m</t>
  </si>
  <si>
    <t>D3.1626</t>
  </si>
  <si>
    <t>Lắp đặt sứ chuỗi sứ đỡ hình V cho dây dẫn, chuỗi &gt; 2x21 bát, chiều cao lắp đặt sứ &lt;= 30m</t>
  </si>
  <si>
    <t>D3.1636</t>
  </si>
  <si>
    <t>Lắp đặt sứ chuỗi sứ đỡ hình V cho dây dẫn, chuỗi &gt; 2x21 bát, chiều cao lắp đặt sứ &lt;= 40m</t>
  </si>
  <si>
    <t>D3.1646</t>
  </si>
  <si>
    <t>Lắp đặt sứ chuỗi sứ đỡ hình V cho dây dẫn, chuỗi &gt; 2x21 bát, chiều cao lắp đặt sứ &lt;= 50m</t>
  </si>
  <si>
    <t>D3.1656</t>
  </si>
  <si>
    <t>Lắp đặt sứ chuỗi sứ đỡ hình V cho dây dẫn, chuỗi &gt; 2x21 bát, chiều cao lắp đặt sứ &lt;= 60m</t>
  </si>
  <si>
    <t>D3.1666</t>
  </si>
  <si>
    <t>Lắp đặt sứ chuỗi sứ đỡ hình V cho dây dẫn, chuỗi &gt; 2x21 bát, chiều cao lắp đặt sứ &lt;= 70m</t>
  </si>
  <si>
    <t>D3.1676</t>
  </si>
  <si>
    <t>Lắp đặt sứ chuỗi sứ đỡ hình V cho dây dẫn, chuỗi &gt; 2x21 bát, chiều cao lắp đặt sứ &lt;= 85m</t>
  </si>
  <si>
    <t>D3.1686</t>
  </si>
  <si>
    <t>Lắp đặt sứ chuỗi sứ đỡ hình V cho dây dẫn, chuỗi &gt; 2x21 bát, chiều cao lắp đặt sứ &lt;= 100m</t>
  </si>
  <si>
    <t>D3.1700</t>
  </si>
  <si>
    <t>LẮP ĐẶT CHUỖI CÁCH ĐIỆN NÉO ĐƠN CHO DÂY DẪN</t>
  </si>
  <si>
    <t>tr28</t>
  </si>
  <si>
    <t>Lắp đặt sứ chuỗi néo dây dẫn, chuỗi &lt;= 2 bát, chiều cao lắp đặt sứ &lt;= 20m</t>
  </si>
  <si>
    <t>D3.1721</t>
  </si>
  <si>
    <t>Lắp đặt sứ chuỗi néo dây dẫn, chuỗi &lt;= 2 bát, chiều cao lắp đặt sứ &lt;= 30m</t>
  </si>
  <si>
    <t>D3.1731</t>
  </si>
  <si>
    <t>Lắp đặt sứ chuỗi néo dây dẫn, chuỗi &lt;= 2 bát, chiều cao lắp đặt sứ &lt;= 40m</t>
  </si>
  <si>
    <t>D3.1741</t>
  </si>
  <si>
    <t>Lắp đặt sứ chuỗi néo dây dẫn, chuỗi &lt;= 2 bát, chiều cao lắp đặt sứ &lt;= 50m</t>
  </si>
  <si>
    <t>D3.1751</t>
  </si>
  <si>
    <t>Lắp đặt sứ chuỗi néo dây dẫn, chuỗi &lt;= 2 bát, chiều cao lắp đặt sứ &lt;= 60m</t>
  </si>
  <si>
    <t>D3.1761</t>
  </si>
  <si>
    <t>Lắp đặt sứ chuỗi néo dây dẫn, chuỗi &lt;= 2 bát, chiều cao lắp đặt sứ &lt;= 70m</t>
  </si>
  <si>
    <t>D3.1771</t>
  </si>
  <si>
    <t>Lắp đặt sứ chuỗi néo dây dẫn, chuỗi &lt;= 2 bát, chiều cao lắp đặt sứ &lt;= 85m</t>
  </si>
  <si>
    <t>D3.1781</t>
  </si>
  <si>
    <t>Lắp đặt sứ chuỗi néo dây dẫn, chuỗi &lt;= 2 bát, chiều cao lắp đặt sứ &lt;= 100m</t>
  </si>
  <si>
    <t>Lắp đặt sứ chuỗi néo dây dẫn, chuỗi &lt;= 5 bát, chiều cao lắp đặt sứ &lt;= 20m</t>
  </si>
  <si>
    <t>D3.1722</t>
  </si>
  <si>
    <t>Lắp đặt sứ chuỗi néo dây dẫn, chuỗi &lt;= 5 bát, chiều cao lắp đặt sứ &lt;= 30m</t>
  </si>
  <si>
    <t>D3.1732</t>
  </si>
  <si>
    <t>Lắp đặt sứ chuỗi néo dây dẫn, chuỗi &lt;= 5 bát, chiều cao lắp đặt sứ &lt;= 40m</t>
  </si>
  <si>
    <t>D3.1742</t>
  </si>
  <si>
    <t>Lắp đặt sứ chuỗi néo dây dẫn, chuỗi &lt;= 5 bát, chiều cao lắp đặt sứ &lt;= 50m</t>
  </si>
  <si>
    <t>D3.1752</t>
  </si>
  <si>
    <t>Lắp đặt sứ chuỗi néo dây dẫn, chuỗi &lt;= 5 bát, chiều cao lắp đặt sứ &lt;= 60m</t>
  </si>
  <si>
    <t>D3.1762</t>
  </si>
  <si>
    <t>Lắp đặt sứ chuỗi néo dây dẫn, chuỗi &lt;= 5 bát, chiều cao lắp đặt sứ &lt;= 70m</t>
  </si>
  <si>
    <t>D3.1772</t>
  </si>
  <si>
    <t>Lắp đặt sứ chuỗi néo dây dẫn, chuỗi &lt;= 5 bát, chiều cao lắp đặt sứ &lt;= 85m</t>
  </si>
  <si>
    <t>D3.1782</t>
  </si>
  <si>
    <t>Lắp đặt sứ chuỗi néo dây dẫn, chuỗi &lt;= 5 bát, chiều cao lắp đặt sứ &lt;= 100m</t>
  </si>
  <si>
    <t>Lắp đặt sứ chuỗi néo dây dẫn, chuỗi &lt;= 8 bát, chiều cao lắp đặt sứ &lt;= 20m</t>
  </si>
  <si>
    <t>D3.1723</t>
  </si>
  <si>
    <t>Lắp đặt sứ chuỗi néo dây dẫn, chuỗi &lt;= 8 bát, chiều cao lắp đặt sứ &lt;= 30m</t>
  </si>
  <si>
    <t>D3.1733</t>
  </si>
  <si>
    <t>Lắp đặt sứ chuỗi néo dây dẫn, chuỗi &lt;= 8 bát, chiều cao lắp đặt sứ &lt;= 40m</t>
  </si>
  <si>
    <t>D3.1743</t>
  </si>
  <si>
    <t>Lắp đặt sứ chuỗi néo dây dẫn, chuỗi &lt;= 8 bát, chiều cao lắp đặt sứ &lt;= 50m</t>
  </si>
  <si>
    <t>D3.1753</t>
  </si>
  <si>
    <t>Lắp đặt sứ chuỗi néo dây dẫn, chuỗi &lt;= 8 bát, chiều cao lắp đặt sứ &lt;= 60m</t>
  </si>
  <si>
    <t>D3.1763</t>
  </si>
  <si>
    <t>Lắp đặt sứ chuỗi néo dây dẫn, chuỗi &lt;= 8 bát, chiều cao lắp đặt sứ &lt;= 70m</t>
  </si>
  <si>
    <t>tr29</t>
  </si>
  <si>
    <t>D3.1773</t>
  </si>
  <si>
    <t>Lắp đặt sứ chuỗi néo dây dẫn, chuỗi &lt;= 8 bát, chiều cao lắp đặt sứ &lt;= 85m</t>
  </si>
  <si>
    <t>D3.1783</t>
  </si>
  <si>
    <t>Lắp đặt sứ chuỗi néo dây dẫn, chuỗi &lt;= 8 bát, chiều cao lắp đặt sứ &lt;= 100m</t>
  </si>
  <si>
    <t>D3.1714</t>
  </si>
  <si>
    <t>Lắp đặt sứ chuỗi néo dây dẫn, chuỗi &lt;= 11 bát, chiều cao lắp đặt sứ &lt;= 20m</t>
  </si>
  <si>
    <t>D3.1724</t>
  </si>
  <si>
    <t>Lắp đặt sứ chuỗi néo dây dẫn, chuỗi &lt;= 11 bát, chiều cao lắp đặt sứ &lt;= 30m</t>
  </si>
  <si>
    <t>D3.1734</t>
  </si>
  <si>
    <t>Lắp đặt sứ chuỗi néo dây dẫn, chuỗi &lt;= 11 bát, chiều cao lắp đặt sứ &lt;= 40m</t>
  </si>
  <si>
    <t>D3.1744</t>
  </si>
  <si>
    <t>Lắp đặt sứ chuỗi néo dây dẫn, chuỗi &lt;= 11 bát, chiều cao lắp đặt sứ &lt;= 50m</t>
  </si>
  <si>
    <t>D3.1754</t>
  </si>
  <si>
    <t>Lắp đặt sứ chuỗi néo dây dẫn, chuỗi &lt;= 11 bát, chiều cao lắp đặt sứ &lt;= 60m</t>
  </si>
  <si>
    <t>D3.1764</t>
  </si>
  <si>
    <t>Lắp đặt sứ chuỗi néo dây dẫn, chuỗi &lt;= 11 bát, chiều cao lắp đặt sứ &lt;= 70m</t>
  </si>
  <si>
    <t>D3.1774</t>
  </si>
  <si>
    <t>Lắp đặt sứ chuỗi néo dây dẫn, chuỗi &lt;= 11 bát, chiều cao lắp đặt sứ &lt;= 85m</t>
  </si>
  <si>
    <t>D3.1784</t>
  </si>
  <si>
    <t>Lắp đặt sứ chuỗi néo dây dẫn, chuỗi &lt;= 11 bát, chiều cao lắp đặt sứ &lt;= 100m</t>
  </si>
  <si>
    <t>D3.1715</t>
  </si>
  <si>
    <t>Lắp đặt sứ chuỗi néo dây dẫn, chuỗi &lt;= 14 bát, chiều cao lắp đặt sứ &lt;= 20m</t>
  </si>
  <si>
    <t>D3.1725</t>
  </si>
  <si>
    <t>Lắp đặt sứ chuỗi néo dây dẫn, chuỗi &lt;= 14 bát, chiều cao lắp đặt sứ &lt;= 30m</t>
  </si>
  <si>
    <t>D3.1735</t>
  </si>
  <si>
    <t>Lắp đặt sứ chuỗi néo dây dẫn, chuỗi &lt;= 14 bát, chiều cao lắp đặt sứ &lt;= 40m</t>
  </si>
  <si>
    <t>D3.1745</t>
  </si>
  <si>
    <t>Lắp đặt sứ chuỗi néo dây dẫn, chuỗi &lt;= 14 bát, chiều cao lắp đặt sứ &lt;= 50m</t>
  </si>
  <si>
    <t>D3.1755</t>
  </si>
  <si>
    <t>Lắp đặt sứ chuỗi néo dây dẫn, chuỗi &lt;= 14 bát, chiều cao lắp đặt sứ &lt;= 60m</t>
  </si>
  <si>
    <t>D3.1765</t>
  </si>
  <si>
    <t>Lắp đặt sứ chuỗi néo dây dẫn, chuỗi &lt;= 14 bát, chiều cao lắp đặt sứ &lt;= 70m</t>
  </si>
  <si>
    <t>D3.1775</t>
  </si>
  <si>
    <t>Lắp đặt sứ chuỗi néo dây dẫn, chuỗi &lt;= 14 bát, chiều cao lắp đặt sứ &lt;= 85m</t>
  </si>
  <si>
    <t>D3.1785</t>
  </si>
  <si>
    <t>Lắp đặt sứ chuỗi néo dây dẫn, chuỗi &lt;= 14 bát, chiều cao lắp đặt sứ &lt;= 100m</t>
  </si>
  <si>
    <t>D3.1716</t>
  </si>
  <si>
    <t>Lắp đặt sứ chuỗi néo dây dẫn, chuỗi &lt;= 18 bát, chiều cao lắp đặt sứ &lt;= 20m</t>
  </si>
  <si>
    <t>D3.1726</t>
  </si>
  <si>
    <t>Lắp đặt sứ chuỗi néo dây dẫn, chuỗi &lt;= 18 bát, chiều cao lắp đặt sứ &lt;= 30m</t>
  </si>
  <si>
    <t>D3.1736</t>
  </si>
  <si>
    <t>Lắp đặt sứ chuỗi néo dây dẫn, chuỗi &lt;= 18 bát, chiều cao lắp đặt sứ &lt;= 40m</t>
  </si>
  <si>
    <t>D3.1746</t>
  </si>
  <si>
    <t>Lắp đặt sứ chuỗi néo dây dẫn, chuỗi &lt;= 18 bát, chiều cao lắp đặt sứ &lt;= 50m</t>
  </si>
  <si>
    <t>D3.1756</t>
  </si>
  <si>
    <t>Lắp đặt sứ chuỗi néo dây dẫn, chuỗi &lt;= 18 bát, chiều cao lắp đặt sứ &lt;= 60m</t>
  </si>
  <si>
    <t>D3.1766</t>
  </si>
  <si>
    <t>Lắp đặt sứ chuỗi néo dây dẫn, chuỗi &lt;= 18 bát, chiều cao lắp đặt sứ &lt;= 70m</t>
  </si>
  <si>
    <t>tr30</t>
  </si>
  <si>
    <t>D3.1776</t>
  </si>
  <si>
    <t>Lắp đặt sứ chuỗi néo dây dẫn, chuỗi &lt;= 18 bát, chiều cao lắp đặt sứ &lt;= 85m</t>
  </si>
  <si>
    <t>D3.1786</t>
  </si>
  <si>
    <t>Lắp đặt sứ chuỗi néo dây dẫn, chuỗi &lt;= 18 bát, chiều cao lắp đặt sứ &lt;= 100m</t>
  </si>
  <si>
    <t>D3.1717</t>
  </si>
  <si>
    <t>Lắp đặt sứ chuỗi néo dây dẫn, chuỗi &lt;= 21 bát, chiều cao lắp đặt sứ &lt;= 20m</t>
  </si>
  <si>
    <t>D3.1727</t>
  </si>
  <si>
    <t>Lắp đặt sứ chuỗi néo dây dẫn, chuỗi &lt;= 21 bát, chiều cao lắp đặt sứ &lt;= 30m</t>
  </si>
  <si>
    <t>D3.1737</t>
  </si>
  <si>
    <t>Lắp đặt sứ chuỗi néo dây dẫn, chuỗi &lt;= 21 bát, chiều cao lắp đặt sứ &lt;= 40m</t>
  </si>
  <si>
    <t>D3.1747</t>
  </si>
  <si>
    <t>Lắp đặt sứ chuỗi néo dây dẫn, chuỗi &lt;= 21 bát, chiều cao lắp đặt sứ &lt;= 50m</t>
  </si>
  <si>
    <t>D3.1757</t>
  </si>
  <si>
    <t>Lắp đặt sứ chuỗi néo dây dẫn, chuỗi &lt;= 21 bát, chiều cao lắp đặt sứ &lt;= 60m</t>
  </si>
  <si>
    <t>D3.1767</t>
  </si>
  <si>
    <t>D3.1777</t>
  </si>
  <si>
    <t>Lắp đặt sứ chuỗi néo dây dẫn, chuỗi &lt;= 21 bát, chiều cao lắp đặt sứ &lt;= 85m</t>
  </si>
  <si>
    <t>D3.1787</t>
  </si>
  <si>
    <t>Lắp đặt sứ chuỗi néo dây dẫn, chuỗi &lt;= 21 bát, chiều cao lắp đặt sứ &lt;= 100m</t>
  </si>
  <si>
    <t>D3.1718</t>
  </si>
  <si>
    <t>Lắp đặt sứ chuỗi néo dây dẫn, chuỗi &gt; 21 bát, chiều cao lắp đặt sứ &lt;= 20m</t>
  </si>
  <si>
    <t>D3.1728</t>
  </si>
  <si>
    <t>Lắp đặt sứ chuỗi néo dây dẫn, chuỗi &gt; 21 bát, chiều cao lắp đặt sứ &lt;= 30m</t>
  </si>
  <si>
    <t>D3.1738</t>
  </si>
  <si>
    <t>Lắp đặt sứ chuỗi néo dây dẫn, chuỗi &gt; 21 bát, chiều cao lắp đặt sứ &lt;= 40m</t>
  </si>
  <si>
    <t>D3.1748</t>
  </si>
  <si>
    <t>Lắp đặt sứ chuỗi néo dây dẫn, chuỗi &gt; 21 bát, chiều cao lắp đặt sứ &lt;= 50m</t>
  </si>
  <si>
    <t>D3.1758</t>
  </si>
  <si>
    <t>Lắp đặt sứ chuỗi néo dây dẫn, chuỗi &gt; 21 bát, chiều cao lắp đặt sứ &lt;= 60m</t>
  </si>
  <si>
    <t>D3.1768</t>
  </si>
  <si>
    <t>D3.1778</t>
  </si>
  <si>
    <t>Lắp đặt sứ chuỗi néo dây dẫn, chuỗi &gt; 21 bát, chiều cao lắp đặt sứ &lt;= 85m</t>
  </si>
  <si>
    <t>D3.1788</t>
  </si>
  <si>
    <t>Lắp đặt sứ chuỗi néo dây dẫn, chuỗi &gt; 21 bát, chiều cao lắp đặt sứ &lt;= 100m</t>
  </si>
  <si>
    <t>D3.1800</t>
  </si>
  <si>
    <t>LẮP ĐẶT CHUỖI CÁCH ĐIỆN NÉO KÉP CHO DÂY DẪN</t>
  </si>
  <si>
    <t>tr31</t>
  </si>
  <si>
    <t>D3.1811</t>
  </si>
  <si>
    <t>Lắp đặt sứ chuỗi néo kÉp dây dẫn, chuỗi &lt;= 2x2 bát, chiều cao lắp đặt sứ &lt;= 2x20m</t>
  </si>
  <si>
    <t>D3.1821</t>
  </si>
  <si>
    <t>Lắp đặt sứ chuỗi néo kÉp dây dẫn, chuỗi &lt;= 2x2 bát, chiều cao lắp đặt sứ &lt;= 30m</t>
  </si>
  <si>
    <t>D3.1831</t>
  </si>
  <si>
    <t>Lắp đặt sứ chuỗi néo kÉp dây dẫn, chuỗi &lt;= 2x2 bát, chiều cao lắp đặt sứ &lt;= 40m</t>
  </si>
  <si>
    <t>D3.1841</t>
  </si>
  <si>
    <t>Lắp đặt sứ chuỗi néo kÉp dây dẫn, chuỗi &lt;= 2x2 bát, chiều cao lắp đặt sứ &lt;= 50m</t>
  </si>
  <si>
    <t>D3.1851</t>
  </si>
  <si>
    <t>Lắp đặt sứ chuỗi néo kÉp dây dẫn, chuỗi &lt;= 2x2 bát, chiều cao lắp đặt sứ &lt;= 60m</t>
  </si>
  <si>
    <t>D3.1861</t>
  </si>
  <si>
    <t>Lắp đặt sứ chuỗi néo kÉp dây dẫn, chuỗi &lt;= 2x2 bát, chiều cao lắp đặt sứ &lt;= 70m</t>
  </si>
  <si>
    <t>D3.1871</t>
  </si>
  <si>
    <t>Lắp đặt sứ chuỗi néo kÉp dây dẫn, chuỗi &lt;= 2x2 bát, chiều cao lắp đặt sứ &lt;= 85m</t>
  </si>
  <si>
    <t>D3.1881</t>
  </si>
  <si>
    <t>Lắp đặt sứ chuỗi néo kÉp dây dẫn, chuỗi &lt;= 2x2 bát, chiều cao lắp đặt sứ &lt;= 100m</t>
  </si>
  <si>
    <t>D3.1812</t>
  </si>
  <si>
    <t>Lắp đặt sứ chuỗi néo kÉp dây dẫn, chuỗi &lt;= 2x5 bát, chiều cao lắp đặt sứ &lt;= 20m</t>
  </si>
  <si>
    <t>D3.1822</t>
  </si>
  <si>
    <t>Lắp đặt sứ chuỗi néo kÉp dây dẫn, chuỗi &lt;= 2x5 bát, chiều cao lắp đặt sứ &lt;= 30m</t>
  </si>
  <si>
    <t>D3.1832</t>
  </si>
  <si>
    <t>Lắp đặt sứ chuỗi néo kÉp dây dẫn, chuỗi &lt;= 2x5 bát, chiều cao lắp đặt sứ &lt;= 40m</t>
  </si>
  <si>
    <t>D3.1842</t>
  </si>
  <si>
    <t>Lắp đặt sứ chuỗi néo kÉp dây dẫn, chuỗi &lt;= 2x5 bát, chiều cao lắp đặt sứ &lt;= 2x50m</t>
  </si>
  <si>
    <t>D3.1852</t>
  </si>
  <si>
    <t>Lắp đặt sứ chuỗi néo kÉp dây dẫn, chuỗi &lt;= 2x5 bát, chiều cao lắp đặt sứ &lt;= 60m</t>
  </si>
  <si>
    <t>D3.1862</t>
  </si>
  <si>
    <t>Lắp đặt sứ chuỗi néo kÉp dây dẫn, chuỗi &lt;= 2x5 bát, chiều cao lắp đặt sứ &lt;= 70m</t>
  </si>
  <si>
    <t>tr32</t>
  </si>
  <si>
    <t>D3.1872</t>
  </si>
  <si>
    <t>Lắp đặt sứ chuỗi néo kÉp dây dẫn, chuỗi &lt;= 2x5 bát, chiều cao lắp đặt sứ &lt;= 85m</t>
  </si>
  <si>
    <t>D3.1882</t>
  </si>
  <si>
    <t>Lắp đặt sứ chuỗi néo kÉp dây dẫn, chuỗi &lt;= 2x5 bát, chiều cao lắp đặt sứ &lt;= 100m</t>
  </si>
  <si>
    <t>D3.1813</t>
  </si>
  <si>
    <t>Lắp đặt sứ chuỗi néo kÉp dây dẫn, chuỗi &lt;= 2x8 bát, chiều cao lắp đặt sứ &lt;= 20m</t>
  </si>
  <si>
    <t>D3.1823</t>
  </si>
  <si>
    <t>Lắp đặt sứ chuỗi néo kÉp dây dẫn, chuỗi &lt;= 2x8 bát, chiều cao lắp đặt sứ &lt;= 30m</t>
  </si>
  <si>
    <t>D3.1833</t>
  </si>
  <si>
    <t>Lắp đặt sứ chuỗi néo kÉp dây dẫn, chuỗi &lt;= 2x8 bát, chiều cao lắp đặt sứ &lt;= 40m</t>
  </si>
  <si>
    <t>D3.1843</t>
  </si>
  <si>
    <t>Lắp đặt sứ chuỗi néo kÉp dây dẫn, chuỗi &lt;= 2x8 bát, chiều cao lắp đặt sứ &lt;= 50m</t>
  </si>
  <si>
    <t>D3.1853</t>
  </si>
  <si>
    <t>Lắp đặt sứ chuỗi néo kÉp dây dẫn, chuỗi &lt;= 2x8 bát, chiều cao lắp đặt sứ &lt;= 60m</t>
  </si>
  <si>
    <t>D3.1863</t>
  </si>
  <si>
    <t>Lắp đặt sứ chuỗi néo kÉp dây dẫn, chuỗi &lt;= 2x8 bát, chiều cao lắp đặt sứ &lt;= 70m</t>
  </si>
  <si>
    <t>D3.1873</t>
  </si>
  <si>
    <t>Lắp đặt sứ chuỗi néo kÉp dây dẫn, chuỗi &lt;= 2x8 bát, chiều cao lắp đặt sứ &lt;= 2x85m</t>
  </si>
  <si>
    <t>D3.1883</t>
  </si>
  <si>
    <t>Lắp đặt sứ chuỗi néo kÉp dây dẫn, chuỗi &lt;= 2x8 bát, chiều cao lắp đặt sứ &lt;= 100m</t>
  </si>
  <si>
    <t>D3.1814</t>
  </si>
  <si>
    <t>Lắp đặt sứ chuỗi néo kÉp dây dẫn, chuỗi &lt;= 2x11 bát, chiều cao lắp đặt sứ &lt;= 20m</t>
  </si>
  <si>
    <t>D3.1824</t>
  </si>
  <si>
    <t>Lắp đặt sứ chuỗi néo kÉp dây dẫn, chuỗi &lt;= 2x11 bát, chiều cao lắp đặt sứ &lt;= 30m</t>
  </si>
  <si>
    <t>D3.1834</t>
  </si>
  <si>
    <t>Lắp đặt sứ chuỗi néo kÉp dây dẫn, chuỗi &lt;= 2x11 bát, chiều cao lắp đặt sứ &lt;= 40m</t>
  </si>
  <si>
    <t>tr33</t>
  </si>
  <si>
    <t>D3.1844</t>
  </si>
  <si>
    <t>Lắp đặt sứ chuỗi néo kÉp dây dẫn, chuỗi &lt;= 2x11 bát, chiều cao lắp đặt sứ &lt;= 50m</t>
  </si>
  <si>
    <t>D3.1854</t>
  </si>
  <si>
    <t>Lắp đặt sứ chuỗi néo kÉp dây dẫn, chuỗi &lt;= 2x11 bát, chiều cao lắp đặt sứ &lt;= 60m</t>
  </si>
  <si>
    <t>D3.1864</t>
  </si>
  <si>
    <t>Lắp đặt sứ chuỗi néo kÉp dây dẫn, chuỗi &lt;= 2x11 bát, chiều cao lắp đặt sứ &lt;= 70m</t>
  </si>
  <si>
    <t>D3.1874</t>
  </si>
  <si>
    <t>Lắp đặt sứ chuỗi néo kÉp dây dẫn, chuỗi &lt;= 2x11 bát, chiều cao lắp đặt sứ &lt;= 85m</t>
  </si>
  <si>
    <t>D3.1884</t>
  </si>
  <si>
    <t>Lắp đặt sứ chuỗi néo kÉp dây dẫn, chuỗi &lt;= 2x11 bát, chiều cao lắp đặt sứ &lt;= 100m</t>
  </si>
  <si>
    <t>D3.1815</t>
  </si>
  <si>
    <t>Lắp đặt sứ chuỗi néo kÉp dây dẫn, chuỗi &lt;= 2x14 bát, chiều cao lắp đặt sứ &lt;= 20m</t>
  </si>
  <si>
    <t>D3.1825</t>
  </si>
  <si>
    <t>Lắp đặt sứ chuỗi néo kÉp dây dẫn, chuỗi &lt;= 2x14 bát, chiều cao lắp đặt sứ &lt;= 30m</t>
  </si>
  <si>
    <t>D3.1835</t>
  </si>
  <si>
    <t>Lắp đặt sứ chuỗi néo kÉp dây dẫn, chuỗi &lt;= 2x14 bát, chiều cao lắp đặt sứ &lt;= 40m</t>
  </si>
  <si>
    <t>D3.1845</t>
  </si>
  <si>
    <t>Lắp đặt sứ chuỗi néo kÉp dây dẫn, chuỗi &lt;= 2x14 bát, chiều cao lắp đặt sứ &lt;= 50m</t>
  </si>
  <si>
    <t>D3.1855</t>
  </si>
  <si>
    <t>Lắp đặt sứ chuỗi néo kÉp dây dẫn, chuỗi &lt;= 2x14 bát, chiều cao lắp đặt sứ &lt;= 60m</t>
  </si>
  <si>
    <t>D3.1865</t>
  </si>
  <si>
    <t>Lắp đặt sứ chuỗi néo kÉp dây dẫn, chuỗi &lt;= 2x14 bát, chiều cao lắp đặt sứ &lt;= 70m</t>
  </si>
  <si>
    <t>D3.1875</t>
  </si>
  <si>
    <t>Lắp đặt sứ chuỗi néo kÉp dây dẫn, chuỗi &lt;= 2x14 bát, chiều cao lắp đặt sứ &lt;= 85m</t>
  </si>
  <si>
    <t>D3.1885</t>
  </si>
  <si>
    <t>Lắp đặt sứ chuỗi néo kÉp dây dẫn, chuỗi &lt;= 2x14 bát, chiều cao lắp đặt sứ &lt;= 100m</t>
  </si>
  <si>
    <t>D3.1816</t>
  </si>
  <si>
    <t>Lắp đặt sứ chuỗi néo kÉp dây dẫn, chuỗi &lt;= 2x18 bát, chiều cao lắp đặt sứ &lt;= 20m</t>
  </si>
  <si>
    <t>D3.1826</t>
  </si>
  <si>
    <t>Lắp đặt sứ chuỗi néo kÉp dây dẫn, chuỗi &lt;= 2x18 bát, chiều cao lắp đặt sứ &lt;= 30m</t>
  </si>
  <si>
    <t>D3.1836</t>
  </si>
  <si>
    <t>Lắp đặt sứ chuỗi néo kÉp dây dẫn, chuỗi &lt;= 2x18 bát, chiều cao lắp đặt sứ &lt;= 40m</t>
  </si>
  <si>
    <t>D3.1846</t>
  </si>
  <si>
    <t>Lắp đặt sứ chuỗi néo kÉp dây dẫn, chuỗi &lt;= 2x18 bát, chiều cao lắp đặt sứ &lt;= 50m</t>
  </si>
  <si>
    <t>D3.1856</t>
  </si>
  <si>
    <t>Lắp đặt sứ chuỗi néo kÉp dây dẫn, chuỗi &lt;= 2x18 bát, chiều cao lắp đặt sứ &lt;= 60m</t>
  </si>
  <si>
    <t>D3.1866</t>
  </si>
  <si>
    <t>Lắp đặt sứ chuỗi néo kÉp dây dẫn, chuỗi &lt;= 2x18 bát, chiều cao lắp đặt sứ &lt;= 70m</t>
  </si>
  <si>
    <t>D3.1876</t>
  </si>
  <si>
    <t>Lắp đặt sứ chuỗi néo kÉp dây dẫn, chuỗi &lt;= 2x18 bát, chiều cao lắp đặt sứ &lt;= 85m</t>
  </si>
  <si>
    <t>D3.1886</t>
  </si>
  <si>
    <t>Lắp đặt sứ chuỗi néo kÉp dây dẫn, chuỗi &lt;= 2x18 bát, chiều cao lắp đặt sứ &lt;= 100m</t>
  </si>
  <si>
    <t>D3.1817</t>
  </si>
  <si>
    <t>Lắp đặt sứ chuỗi néo kÉp dây dẫn, chuỗi &lt;= 2x21 bát, chiều cao lắp đặt sứ &lt;= 20m</t>
  </si>
  <si>
    <t>D3.1827</t>
  </si>
  <si>
    <t>Lắp đặt sứ chuỗi néo kÉp dây dẫn, chuỗi &lt;= 2x21 bát, chiều cao lắp đặt sứ &lt;= 30m</t>
  </si>
  <si>
    <t>D3.1837</t>
  </si>
  <si>
    <t>Lắp đặt sứ chuỗi néo kÉp dây dẫn, chuỗi &lt;= 2x21 bát, chiều cao lắp đặt sứ &lt;= 40m</t>
  </si>
  <si>
    <t>D3.1847</t>
  </si>
  <si>
    <t>Lắp đặt sứ chuỗi néo kÉp dây dẫn, chuỗi &lt;= 2x21 bát, chiều cao lắp đặt sứ &lt;= 50m</t>
  </si>
  <si>
    <t>D3.1857</t>
  </si>
  <si>
    <t>Lắp đặt sứ chuỗi néo kÉp dây dẫn, chuỗi &lt;= 2x21 bát, chiều cao lắp đặt sứ &lt;= 60m</t>
  </si>
  <si>
    <t>D3.1867</t>
  </si>
  <si>
    <t>D3.1877</t>
  </si>
  <si>
    <t>Lắp đặt sứ chuỗi néo kÉp dây dẫn, chuỗi &lt;= 2x21 bát, chiều cao lắp đặt sứ &lt;= 85m</t>
  </si>
  <si>
    <t>D3.1887</t>
  </si>
  <si>
    <t>Lắp đặt sứ chuỗi néo kÉp dây dẫn, chuỗi &lt;= 2x21 bát, chiều cao lắp đặt sứ &lt;= 100m</t>
  </si>
  <si>
    <t>D3.1818</t>
  </si>
  <si>
    <t>Lắp đặt sứ chuỗi néo kÉp dây dẫn, chuỗi &gt; 2x21 bát, chiều cao lắp đặt sứ &lt;= 20m</t>
  </si>
  <si>
    <t>D3.1828</t>
  </si>
  <si>
    <t>Lắp đặt sứ chuỗi néo kÉp dây dẫn, chuỗi &gt; 2x21 bát, chiều cao lắp đặt sứ &lt;= 30m</t>
  </si>
  <si>
    <t>D3.1838</t>
  </si>
  <si>
    <t>Lắp đặt sứ chuỗi néo kÉp dây dẫn, chuỗi &gt; 2x21 bát, chiều cao lắp đặt sứ &lt;= 40m</t>
  </si>
  <si>
    <t>D3.1848</t>
  </si>
  <si>
    <t>Lắp đặt sứ chuỗi néo kÉp dây dẫn, chuỗi &gt; 2x21 bát, chiều cao lắp đặt sứ &lt;= 50m</t>
  </si>
  <si>
    <t>D3.1858</t>
  </si>
  <si>
    <t>Lắp đặt sứ chuỗi néo kÉp dây dẫn, chuỗi &gt; 2x21 bát, chiều cao lắp đặt sứ &lt;= 60m</t>
  </si>
  <si>
    <t>D3.1868</t>
  </si>
  <si>
    <t>D3.1878</t>
  </si>
  <si>
    <t>Lắp đặt sứ chuỗi néo kÉp dây dẫn, chuỗi &gt; 2x21 bát, chiều cao lắp đặt sứ &lt;= 85m</t>
  </si>
  <si>
    <t>D3.1888</t>
  </si>
  <si>
    <t>Lắp đặt sứ chuỗi néo kÉp dây dẫn, chuỗi &gt; 2x21 bát, chiều cao lắp đặt sứ &lt;= 100m</t>
  </si>
  <si>
    <t>D3.1900</t>
  </si>
  <si>
    <t>LẮP ĐẶT CHUỖI CÁCH ĐIỆN ĐẢO PHA</t>
  </si>
  <si>
    <t>tr34</t>
  </si>
  <si>
    <t>D3.1911</t>
  </si>
  <si>
    <t>Lắp đặt sứ chuỗi đảo pha dây dẫn, chuỗi &lt;= 8 bát, chiều cao lắp đặt sứ &lt;= 80m</t>
  </si>
  <si>
    <t>D3.1921</t>
  </si>
  <si>
    <t>Lắp đặt sứ chuỗi đảo pha dây dẫn, chuỗi &lt;= 8 bát, chiều cao lắp đặt sứ &lt;= 30m</t>
  </si>
  <si>
    <t>D3.1931</t>
  </si>
  <si>
    <t>Lắp đặt sứ chuỗi đảo pha dây dẫn, chuỗi &lt;= 8 bát, chiều cao lắp đặt sứ &gt; 30m</t>
  </si>
  <si>
    <t>D3.1912</t>
  </si>
  <si>
    <t>Lắp đặt sứ chuỗi đảo pha dây dẫn, chuỗi &lt;= 11 bát, chiều cao lắp đặt sứ &lt;= 20m</t>
  </si>
  <si>
    <t>D3.1922</t>
  </si>
  <si>
    <t>Lắp đặt sứ chuỗi đảo pha dây dẫn, chuỗi &lt;= 11 bát, chiều cao lắp đặt sứ &lt;= 30m</t>
  </si>
  <si>
    <t>D3.1932</t>
  </si>
  <si>
    <t>Lắp đặt sứ chuỗi đảo pha dây dẫn, chuỗi &lt;= 11 bát, chiều cao lắp đặt sứ = &gt; 30m</t>
  </si>
  <si>
    <t>D3.1913</t>
  </si>
  <si>
    <t>Lắp đặt sứ chuỗi đảo pha dây dẫn, chuỗi &lt;= 14 bát, chiều cao lắp đặt sứ &lt;= 20m</t>
  </si>
  <si>
    <t>D3.1914</t>
  </si>
  <si>
    <t>Lắp đặt sứ chuỗi đảo pha dây dẫn, chuỗi &lt;= 18 bát, chiều cao lắp đặt sứ &lt;= 20m</t>
  </si>
  <si>
    <t>D3.1924</t>
  </si>
  <si>
    <t>Lắp đặt sứ chuỗi đảo pha dây dẫn, chuỗi &lt;= 18 bát, chiều cao lắp đặt sứ &lt;= 30m</t>
  </si>
  <si>
    <t>D3.1934</t>
  </si>
  <si>
    <t>Lắp đặt sứ chuỗi đảo pha dây dẫn, chuỗi &lt;= 18 bát, chiều cao lắp đặt sứ &gt; 30m</t>
  </si>
  <si>
    <t>D3.1915</t>
  </si>
  <si>
    <t>Lắp đặt sứ chuỗi đảo pha dây dẫn, chuỗi &lt;= 21 bát, chiều cao lắp đặt sứ &lt;= 20m</t>
  </si>
  <si>
    <t>D3.1925</t>
  </si>
  <si>
    <t>Lắp đặt sứ chuỗi đảo pha dây dẫn, chuỗi &lt;= 21 bát, chiều cao lắp đặt sứ &lt;= 30m</t>
  </si>
  <si>
    <t>D3.1935</t>
  </si>
  <si>
    <t>Lắp đặt sứ chuỗi đảo pha dây dẫn, chuỗi &lt;= 21 bát, chiều cao lắp đặt sứ &gt; 30m</t>
  </si>
  <si>
    <t>D3.1916</t>
  </si>
  <si>
    <t>Lắp đặt sứ chuỗi đảo pha dây dẫn, chuỗi &gt; 21 bát, chiều cao lắp đặt sứ &lt;= 20m</t>
  </si>
  <si>
    <t>D3.1926</t>
  </si>
  <si>
    <t>Lắp đặt sứ chuỗi đảo pha dây dẫn, chuỗi &gt; 21 bát, chiều cao lắp đặt sứ &lt;= 30m</t>
  </si>
  <si>
    <t>D3.1936</t>
  </si>
  <si>
    <t>Lắp đặt sứ chuỗi đảo pha dây dẫn, chuỗi &gt; 21 bát, chiều cao lắp đặt sứ &gt; 30m</t>
  </si>
  <si>
    <t>D3.2100</t>
  </si>
  <si>
    <t>LẮP ĐẶT CÁCH ĐIỆN POLYMER/SILICON ĐỨNG TRUNG THẾ</t>
  </si>
  <si>
    <t>tr35</t>
  </si>
  <si>
    <t>D3.2101</t>
  </si>
  <si>
    <t>Lắp đặt cách điện POLIME đứng trung thế và hạ thế dưới đất loại 6 đến 10Kv</t>
  </si>
  <si>
    <t>bộ chuỗi</t>
  </si>
  <si>
    <t>D3.2102</t>
  </si>
  <si>
    <t>Lắp đặt cách điện POLIME đứng trung thế và hạ thế dưới đất loại 15 đến 22Kv</t>
  </si>
  <si>
    <t>D3.2103</t>
  </si>
  <si>
    <t>Lắp đặt cách điện POLIME đứng trung thế và hạ thế dưới đất loại 35Kv</t>
  </si>
  <si>
    <t>D3.2111</t>
  </si>
  <si>
    <t xml:space="preserve">Lắp đặt cách điện POLIME đứng trung thế và hạ thế trên cột loại 6 đến 10Kv, cột tròn </t>
  </si>
  <si>
    <t>D3.2112</t>
  </si>
  <si>
    <t>Lắp đặt cách điện POLIME đứng trung thế và hạ thế trên cột loại 15 đến 22Kv, cột tròn</t>
  </si>
  <si>
    <t>D3.2113</t>
  </si>
  <si>
    <t>Lắp đặt cách điện POLIME đứng trung thế và hạ thế trên cột loại 35Kv, cột tròn</t>
  </si>
  <si>
    <t>D3.2121</t>
  </si>
  <si>
    <t>Lắp đặt cách điện POLIME đứng trung thế và hạ thế dưới đất loại 6 đến 10Kv, cột vuông</t>
  </si>
  <si>
    <t>D3.2122</t>
  </si>
  <si>
    <t>Lắp đặt cách điện POLIME đứng trung thế và hạ thế dưới đất loại 15 đến 22Kv, cột vuông</t>
  </si>
  <si>
    <t>D3.2123</t>
  </si>
  <si>
    <t>Lắp đặt cách điện POLIME đứng trung thế và hạ thếdưới đất loại 35Kv, cột vuông</t>
  </si>
  <si>
    <t>D3.2200</t>
  </si>
  <si>
    <t>LẮP ĐẶT CÁCH ĐIỆN POLYMER/SILICON ĐỠ ĐƠN CHO DÂY DẪN</t>
  </si>
  <si>
    <t>tr36</t>
  </si>
  <si>
    <t>D3.2211</t>
  </si>
  <si>
    <t>Lắp đặt cách điện POLIME đỡ đơn cho dây dẫn loại &lt;= 35Kv, chiều cao lắp chuỗi &lt;=20m</t>
  </si>
  <si>
    <t>D3.2212</t>
  </si>
  <si>
    <t>Lắp đặt cách điện POLIME đỡ đơn cho dây dẫn loại &lt;= 35Kv, chiều cao lắp chuỗi &lt;=30m</t>
  </si>
  <si>
    <t>D3.2213</t>
  </si>
  <si>
    <t>Lắp đặt cách điện POLIME đỡ đơn cho dây dẫn loại &lt;= 35Kv, chiều cao lắp chuỗi &lt;=40m</t>
  </si>
  <si>
    <t>D3.2214</t>
  </si>
  <si>
    <t>Lắp đặt cách điện POLIME đỡ đơn cho dây dẫn loại &lt;= 35Kv, chiều cao lắp chuỗi &lt;=50m</t>
  </si>
  <si>
    <t>Lắp đặt cách điện POLIME đỡ đơn cho dây dẫn loại &lt;= 35Kv, chiều cao lắp chuỗi &lt;=60m</t>
  </si>
  <si>
    <t>D3.2221</t>
  </si>
  <si>
    <t>Lắp đặt cách điện POLIME đỡ đơn cho dây dẫn loại 110Kv, chiều cao lắp chuỗi &lt;=20m</t>
  </si>
  <si>
    <t>D3.2222</t>
  </si>
  <si>
    <t>Lắp đặt cách điện POLIME đỡ đơn cho dây dẫn loại 110Kv, chiều cao lắp chuỗi &lt;=30m</t>
  </si>
  <si>
    <t>D3.2223</t>
  </si>
  <si>
    <t>Lắp đặt cách điện POLIME đỡ đơn cho dây dẫn loại 110Kv, chiều cao lắp chuỗi &lt;=40m</t>
  </si>
  <si>
    <t>D3.2224</t>
  </si>
  <si>
    <t>Lắp đặt cách điện POLIME đỡ đơn cho dây dẫn loại 110Kv, chiều cao lắp chuỗi &lt;=50m</t>
  </si>
  <si>
    <t>D3.2225</t>
  </si>
  <si>
    <t>Lắp đặt cách điện POLIME đỡ đơn cho dây dẫn loại 110Kv, chiều cao lắp chuỗi &lt;=60m</t>
  </si>
  <si>
    <t>D3.2226</t>
  </si>
  <si>
    <t>Lắp đặt cách điện POLIME đỡ đơn cho dây dẫn loại 110Kv, chiều cao lắp chuỗi &lt;=70m</t>
  </si>
  <si>
    <t>D3.2227</t>
  </si>
  <si>
    <t>Lắp đặt cách điện POLIME đỡ đơn cho dây dẫn loại 110Kv, chiều cao lắp chuỗi &gt;70m</t>
  </si>
  <si>
    <t>tr38</t>
  </si>
  <si>
    <t>D3.2231</t>
  </si>
  <si>
    <t>Lắp đặt cách điện POLIME đỡ đơn cho dây dẫn loại 220Kv, chiều cao lắp chuỗi &lt;=20m</t>
  </si>
  <si>
    <t>D3.2232</t>
  </si>
  <si>
    <t>Lắp đặt cách điện POLIME đỡ đơn cho dây dẫn loại 220Kv, chiều cao lắp chuỗi &lt;=30m</t>
  </si>
  <si>
    <t>D3.2233</t>
  </si>
  <si>
    <t>Lắp đặt cách điện POLIME đỡ đơn cho dây dẫn loại 220Kv, chiều cao lắp chuỗi &lt;=40m</t>
  </si>
  <si>
    <t>D3.2234</t>
  </si>
  <si>
    <t>Lắp đặt cách điện POLIME đỡ đơn cho dây dẫn loại 220Kv, chiều cao lắp chuỗi &lt;=50m</t>
  </si>
  <si>
    <t>D3.2235</t>
  </si>
  <si>
    <t>Lắp đặt cách điện POLIME đỡ đơn cho dây dẫn loại 220Kv, chiều cao lắp chuỗi &lt;=60m</t>
  </si>
  <si>
    <t>D3.2236</t>
  </si>
  <si>
    <t>Lắp đặt cách điện POLIME đỡ đơn cho dây dẫn loại 220Kv, chiều cao lắp chuỗi &lt;=70m</t>
  </si>
  <si>
    <t>D3.2237</t>
  </si>
  <si>
    <t>Lắp đặt cách điện POLIME đỡ đơn cho dây dẫn loại 220Kv, chiều cao lắp chuỗi &gt;70m</t>
  </si>
  <si>
    <t>D3.2242</t>
  </si>
  <si>
    <t>Lắp đặt cách điện POLIME đỡ đơn cho dây dẫn loại 500Kv, chiều cao lắp chuỗi &lt;=30m</t>
  </si>
  <si>
    <t>D3.2243</t>
  </si>
  <si>
    <t>Lắp đặt cách điện POLIME đỡ đơn cho dây dẫn loại 500Kv, chiều cao lắp chuỗi &lt;=40m</t>
  </si>
  <si>
    <t>D3.2244</t>
  </si>
  <si>
    <t>Lắp đặt cách điện POLIME đỡ đơn cho dây dẫn loại 500Kv, chiều cao lắp chuỗi &lt;=50m</t>
  </si>
  <si>
    <t>D3.2245</t>
  </si>
  <si>
    <t>Lắp đặt cách điện POLIME đỡ đơn cho dây dẫn loại 500Kv, chiều cao lắp chuỗi &lt;=60m</t>
  </si>
  <si>
    <t>D3.2300</t>
  </si>
  <si>
    <t>LẮP ĐẶT CÁCH ĐIỆN POLYMER/SILICON ĐỠ ĐƠN CHO DÂY LÈO</t>
  </si>
  <si>
    <t>D3.2311</t>
  </si>
  <si>
    <t>Lắp đặt cách điện POLIME đỡ đơn cho dây lèo loại 35Kv, chiều cao lắp chuỗi &lt;=20m</t>
  </si>
  <si>
    <t>D3.2312</t>
  </si>
  <si>
    <t>Lắp đặt cách điện POLIME đỡ đơn cho dây lèo loại 35Kv, chiều cao lắp chuỗi &lt;=30m</t>
  </si>
  <si>
    <t>D3.2313</t>
  </si>
  <si>
    <t>Lắp đặt cách điện POLIME đỡ đơn cho dây lèo loại 35Kv, chiều cao lắp chuỗi &lt;=40m</t>
  </si>
  <si>
    <t>D3.2314</t>
  </si>
  <si>
    <t>Lắp đặt cách điện POLIME đỡ đơn cho dây lèo loại 35Kv, chiều cao lắp chuỗi &lt;=50m</t>
  </si>
  <si>
    <t>TR39</t>
  </si>
  <si>
    <t>D3.2315</t>
  </si>
  <si>
    <t>Lắp đặt cách điện POLIME đỡ đơn cho dây lèo loại 35Kv, chiều cao lắp chuỗi &lt;=60m</t>
  </si>
  <si>
    <t>D3.2321</t>
  </si>
  <si>
    <t>Lắp đặt cách điện POLIME đỡ đơn cho dây lèo loại 110Kv, chiều cao lắp chuỗi &lt;=20m</t>
  </si>
  <si>
    <t>D3.2322</t>
  </si>
  <si>
    <t>Lắp đặt cách điện POLIME đỡ đơn cho dây lèo loại 110Kv, chiều cao lắp chuỗi &lt;=30m</t>
  </si>
  <si>
    <t>D3.2323</t>
  </si>
  <si>
    <t>Lắp đặt cách điện POLIME đỡ đơn cho dây lèo loại 110Kv, chiều cao lắp chuỗi &lt;=40m</t>
  </si>
  <si>
    <t>D3.2324</t>
  </si>
  <si>
    <t>Lắp đặt cách điện POLIME đỡ đơn cho dây lèo loại 110Kv, chiều cao lắp chuỗi &lt;=50m</t>
  </si>
  <si>
    <t>D3.2325</t>
  </si>
  <si>
    <t>Lắp đặt cách điện POLIME đỡ đơn cho dây lèo loại 110Kv, chiều cao lắp chuỗi &lt;=60m</t>
  </si>
  <si>
    <t>D3.2326</t>
  </si>
  <si>
    <t>Lắp đặt cách điện POLIME đỡ đơn cho dây lèo loại 110Kv, chiều cao lắp chuỗi &lt;=70m</t>
  </si>
  <si>
    <t>D3.2327</t>
  </si>
  <si>
    <t>Lắp đặt cách điện POLIME đỡ đơn cho dây lèo loại 110Kv, chiều cao lắp chuỗi &gt;70m</t>
  </si>
  <si>
    <t>D3.2331</t>
  </si>
  <si>
    <t>Lắp đặt cách điện POLIME đỡ đơn cho dây lèo loại 220Kv, chiều cao lắp chuỗi &lt;=20m</t>
  </si>
  <si>
    <t>D3.2332</t>
  </si>
  <si>
    <t>Lắp đặt cách điện POLIME đỡ đơn cho dây lèo loại 220Kv, chiều cao lắp chuỗi &lt;=30m</t>
  </si>
  <si>
    <t>D3.2333</t>
  </si>
  <si>
    <t>Lắp đặt cách điện POLIME đỡ đơn cho dây lèo loại 220Kv, chiều cao lắp chuỗi &lt;=40m</t>
  </si>
  <si>
    <t>D3.2334</t>
  </si>
  <si>
    <t>Lắp đặt cách điện POLIME đỡ đơn cho dây lèo loại 220Kv, chiều cao lắp chuỗi &lt;=50m</t>
  </si>
  <si>
    <t>D3.2335</t>
  </si>
  <si>
    <t>Lắp đặt cách điện POLIME đỡ đơn cho dây lèo loại 220Kv, chiều cao lắp chuỗi &lt;=60m</t>
  </si>
  <si>
    <t>D3.2336</t>
  </si>
  <si>
    <t>Lắp đặt cách điện POLIME đỡ đơn cho dây lèo loại 220Kv, chiều cao lắp chuỗi &lt;=70m</t>
  </si>
  <si>
    <t>D3.2337</t>
  </si>
  <si>
    <t>Lắp đặt cách điện POLIME đỡ đơn cho dây lèo loại 220Kv, chiều cao lắp chuỗi &gt;70m</t>
  </si>
  <si>
    <t>D3.2342</t>
  </si>
  <si>
    <t>Lắp đặt cách điện POLIME đỡ đơn cho dây lèo loại 500Kv, chiều cao lắp chuỗi &lt;=30m</t>
  </si>
  <si>
    <t>D3.2343</t>
  </si>
  <si>
    <t>Lắp đặt cách điện POLIME đỡ đơn cho dây lèo loại 500Kv, chiều cao lắp chuỗi &lt;=40m</t>
  </si>
  <si>
    <t>D3.2344</t>
  </si>
  <si>
    <t>Lắp đặt cách điện POLIME đỡ đơn cho dây lèo loại 500Kv, chiều cao lắp chuỗi &lt;=50m</t>
  </si>
  <si>
    <t>D3.2345</t>
  </si>
  <si>
    <t>Lắp đặt cách điện POLIME đỡ đơn cho dây lèo loại 500Kv, chiều cao lắp chuỗi &lt;=60m</t>
  </si>
  <si>
    <t>D3.2346</t>
  </si>
  <si>
    <t>Lắp đặt cách điện POLIME đỡ đơn cho dây lèo loại 500Kv, chiều cao lắp chuỗi &lt;=70m</t>
  </si>
  <si>
    <t>D3.2347</t>
  </si>
  <si>
    <t>Lắp đặt cách điện POLIME đỡ đơn cho dây lèo loại 500Kv, chiều cao lắp chuỗi &gt;70m</t>
  </si>
  <si>
    <t>Lắp đặt cách điện POLIME néo đơn cho dây dẫn loại 35Kv, chiều cao lắp chuỗi &lt;=20m</t>
  </si>
  <si>
    <t>D3.2400</t>
  </si>
  <si>
    <t>LẮP ĐẶT CÁCH ĐIỆN POLYMER/SILICON NÉO ĐƠN CHO DÂY DẪN</t>
  </si>
  <si>
    <t>tr40</t>
  </si>
  <si>
    <t>Lắp đặt cách điện POLIME néo đơn cho dây dẫn loại 35Kv, chiều cao lắp chuỗi &lt;=30m</t>
  </si>
  <si>
    <t>Lắp đặt cách điện POLIME néo đơn cho dây dẫn loại 35Kv, chiều cao lắp chuỗi &lt;=40m</t>
  </si>
  <si>
    <t>D3.2414</t>
  </si>
  <si>
    <t>Lắp đặt cách điện POLIME néo đơn cho dây dẫn loại 35Kv, chiều cao lắp chuỗi &lt;=50m</t>
  </si>
  <si>
    <t>D3.2415</t>
  </si>
  <si>
    <t>Lắp đặt cách điện POLIME néo đơn cho dây dẫn loại 35Kv, chiều cao lắp chuỗi &lt;=60m</t>
  </si>
  <si>
    <t>D3.2421</t>
  </si>
  <si>
    <t>Lắp đặt cách điện POLIME néo đơn cho dây dẫn loại 110Kv, chiều cao lắp chuỗi &lt;=20m</t>
  </si>
  <si>
    <t>D3.2422</t>
  </si>
  <si>
    <t>Lắp đặt cách điện POLIME néo đơn cho dây dẫn loại 110Kv, chiều cao lắp chuỗi &lt;=30m</t>
  </si>
  <si>
    <t>D3.2423</t>
  </si>
  <si>
    <t>Lắp đặt cách điện POLIME néo đơn cho dây dẫn loại 110Kv, chiều cao lắp chuỗi &lt;=40m</t>
  </si>
  <si>
    <t>D3.2424</t>
  </si>
  <si>
    <t>Lắp đặt cách điện POLIME néo đơn cho dây dẫn loại 110Kv, chiều cao lắp chuỗi &lt;=50m</t>
  </si>
  <si>
    <t>D3.2425</t>
  </si>
  <si>
    <t>Lắp đặt cách điện POLIME néo đơn cho dây dẫn loại 110Kv, chiều cao lắp chuỗi &lt;=60m</t>
  </si>
  <si>
    <t>D3.2426</t>
  </si>
  <si>
    <t>Lắp đặt cách điện POLIME néo đơn cho dây dẫn loại 110Kv, chiều cao lắp chuỗi &lt;=70m</t>
  </si>
  <si>
    <t>D3.2427</t>
  </si>
  <si>
    <t>Lắp đặt cách điện POLIME néo đơn cho dây dẫn loại 110Kv, chiều cao lắp chuỗi &gt;70m</t>
  </si>
  <si>
    <t>D3.2431</t>
  </si>
  <si>
    <t>Lắp đặt cách điện POLIME néo đơn cho dây dẫn loại 220Kv, chiều cao lắp chuỗi &lt;=20m</t>
  </si>
  <si>
    <t>D3.2432</t>
  </si>
  <si>
    <t>Lắp đặt cách điện POLIME néo đơn cho dây dẫn loại 220Kv, chiều cao lắp chuỗi &lt;=30m</t>
  </si>
  <si>
    <t>D3.2433</t>
  </si>
  <si>
    <t>Lắp đặt cách điện POLIME néo đơn cho dây dẫn loại 220Kv, chiều cao lắp chuỗi &lt;=40m</t>
  </si>
  <si>
    <t>D3.2434</t>
  </si>
  <si>
    <t>Lắp đặt cách điện POLIME néo đơn cho dây dẫn loại 220Kv, chiều cao lắp chuỗi &lt;=50m</t>
  </si>
  <si>
    <t>D3.2435</t>
  </si>
  <si>
    <t>Lắp đặt cách điện POLIME néo đơn cho dây dẫn loại 220Kv, chiều cao lắp chuỗi &lt;=60m</t>
  </si>
  <si>
    <t>D3.2436</t>
  </si>
  <si>
    <t>Lắp đặt cách điện POLIME néo đơn cho dây dẫn loại 220Kv, chiều cao lắp chuỗi &lt;=70m</t>
  </si>
  <si>
    <t>D3.2437</t>
  </si>
  <si>
    <t>Lắp đặt cách điện POLIME néo đơn cho dây dẫn loại 220Kv, chiều cao lắp chuỗi &gt;70m</t>
  </si>
  <si>
    <t>D3.2441</t>
  </si>
  <si>
    <t>Lắp đặt cách điện POLIME néo đơn cho dây dẫn loại 500Kv, chiều cao lắp chuỗi &lt;=20m</t>
  </si>
  <si>
    <t>D3.2442</t>
  </si>
  <si>
    <t>Lắp đặt cách điện POLIME néo đơn cho dây dẫn loại 500Kv, chiều cao lắp chuỗi &lt;=30m</t>
  </si>
  <si>
    <t>D3.2443</t>
  </si>
  <si>
    <t>Lắp đặt cách điện POLIME néo đơn cho dây dẫn loại 500Kv, chiều cao lắp chuỗi &lt;=40m</t>
  </si>
  <si>
    <t>D3.2444</t>
  </si>
  <si>
    <t>Lắp đặt cách điện POLIME néo đơn cho dây dẫn loại 500Kv, chiều cao lắp chuỗi &lt;=50m</t>
  </si>
  <si>
    <t>D3.2445</t>
  </si>
  <si>
    <t>Lắp đặt cách điện POLIME néo đơn cho dây dẫn loại 500Kv, chiều cao lắp chuỗi &lt;=60m</t>
  </si>
  <si>
    <t>D3.2446</t>
  </si>
  <si>
    <t>Lắp đặt cách điện POLIME néo đơn cho dây dẫn loại 500Kv, chiều cao lắp chuỗi &lt;=70m</t>
  </si>
  <si>
    <t>D3.2447</t>
  </si>
  <si>
    <t>Lắp đặt cách điện POLIME néo đơn cho dây dẫn loại 500Kv, chiều cao lắp chuỗi &gt;70m</t>
  </si>
  <si>
    <t>TR42</t>
  </si>
  <si>
    <t>D3.3000</t>
  </si>
  <si>
    <t>LẮP ĐẶT CÁCH ĐIỆN POLYMER HẠ THẾ</t>
  </si>
  <si>
    <t>D3.3101</t>
  </si>
  <si>
    <t>Lắp đặt cách điện hạ thế bằng thủ công</t>
  </si>
  <si>
    <t>Lắp đặt cách điện hạ thế bằng thủ công kết hợp cơ giới</t>
  </si>
  <si>
    <t>M102.1802</t>
  </si>
  <si>
    <t>Xe nâng thang</t>
  </si>
  <si>
    <t>D3.4000</t>
  </si>
  <si>
    <t>LẮP ĐẶT PHỤ KIỆN</t>
  </si>
  <si>
    <t>tr43</t>
  </si>
  <si>
    <t>Lắp chống rung, chiều cao lắp đặt &lt;= 20m</t>
  </si>
  <si>
    <t>Lắp chống rung, chiều cao lắp đặt &lt;= 30m</t>
  </si>
  <si>
    <t>Lắp chống rung, chiều cao lắp đặt &lt;= 40m</t>
  </si>
  <si>
    <t>Lắp chống rung, chiều cao lắp đặt &lt;= 50m</t>
  </si>
  <si>
    <t>D3.4015</t>
  </si>
  <si>
    <t>Lắp chống rung, chiều cao lắp đặt &lt;= 60m</t>
  </si>
  <si>
    <t>D3.4016</t>
  </si>
  <si>
    <t>Lắp chống rung, chiều cao lắp đặt &lt;= 70m</t>
  </si>
  <si>
    <t>D3.4017</t>
  </si>
  <si>
    <t>Lắp chống rung, chiều cao lắp đặt &lt;= 85m</t>
  </si>
  <si>
    <t>D3.4018</t>
  </si>
  <si>
    <t>Lắp chống rung, chiều cao lắp đặt &lt;= 100m</t>
  </si>
  <si>
    <t>D3.4019</t>
  </si>
  <si>
    <t>Lắp chống rung, chiều cao lắp đặt &gt; 100m</t>
  </si>
  <si>
    <t>Lắp tạ bù 25kg, chiều cao lắp đặt &lt;= 20m</t>
  </si>
  <si>
    <t>Lắp tạ bù 25kg, chiều cao lắp đặt &lt;= 30m</t>
  </si>
  <si>
    <t>Lắp tạ bù 25kg, chiều cao lắp đặt &lt;= 40m</t>
  </si>
  <si>
    <t>Lắp tạ bù 25kg, chiều cao lắp đặt &lt;= 50m</t>
  </si>
  <si>
    <t>D3.4025</t>
  </si>
  <si>
    <t>Lắp tạ bù 25kg, chiều cao lắp đặt &lt;= 60m</t>
  </si>
  <si>
    <t>D3.4026</t>
  </si>
  <si>
    <t>Lắp tạ bù 25kg, chiều cao lắp đặt &lt;= 70m</t>
  </si>
  <si>
    <t>D3.4027</t>
  </si>
  <si>
    <t>Lắp tạ bù 25kg, chiều cao lắp đặt &lt;= 85m</t>
  </si>
  <si>
    <t>D3.4028</t>
  </si>
  <si>
    <t>Lắp tạ bù 25kg, chiều cao lắp đặt &lt;= 100m</t>
  </si>
  <si>
    <t>D3.4029</t>
  </si>
  <si>
    <t>Lắp tạ bù 25kg, chiều cao lắp đặt &gt; 100m</t>
  </si>
  <si>
    <t>D3.4031</t>
  </si>
  <si>
    <t>Lắp tạ bù 50kg, chiều cao lắp đặt &lt;= 20m</t>
  </si>
  <si>
    <t>D3.4032</t>
  </si>
  <si>
    <t>Lắp tạ bù 50kg, chiều cao lắp đặt &lt;= 30m</t>
  </si>
  <si>
    <t>D3.4033</t>
  </si>
  <si>
    <t>Lắp tạ bù 50kg, chiều cao lắp đặt &lt;= 40m</t>
  </si>
  <si>
    <t>D3.4034</t>
  </si>
  <si>
    <t>Lắp tạ bù 50kg, chiều cao lắp đặt &lt;= 50m</t>
  </si>
  <si>
    <t>D3.4035</t>
  </si>
  <si>
    <t>Lắp tạ bù 50kg, chiều cao lắp đặt &lt;= 60m</t>
  </si>
  <si>
    <t>D3.4036</t>
  </si>
  <si>
    <t>Lắp tạ bù 50kg, chiều cao lắp đặt &lt;= 70m</t>
  </si>
  <si>
    <t>D3.4037</t>
  </si>
  <si>
    <t>Lắp tạ bù 50kg, chiều cao lắp đặt &lt;= 85m</t>
  </si>
  <si>
    <t>D3.4038</t>
  </si>
  <si>
    <t>Lắp tạ bù 50kg, chiều cao lắp đặt &lt;= 100m</t>
  </si>
  <si>
    <t>D3.4039</t>
  </si>
  <si>
    <t>Lắp tạ bù 50kg, chiều cao lắp đặt &gt; 100m</t>
  </si>
  <si>
    <t>tr44</t>
  </si>
  <si>
    <t>D3.4041</t>
  </si>
  <si>
    <t>Lắp tạ bù 100kg, chiều cao lắp đặt &lt;= 20m</t>
  </si>
  <si>
    <t>D3.4042</t>
  </si>
  <si>
    <t>Lắp tạ bù 100kg, chiều cao lắp đặt &lt;= 30m</t>
  </si>
  <si>
    <t>D3.4043</t>
  </si>
  <si>
    <t>Lắp tạ bù 100kg, chiều cao lắp đặt &lt;= 40m</t>
  </si>
  <si>
    <t>D3.4044</t>
  </si>
  <si>
    <t>Lắp tạ bù 100kg, chiều cao lắp đặt &lt;= 50m</t>
  </si>
  <si>
    <t>D3.4045</t>
  </si>
  <si>
    <t>Lắp tạ bù 100kg, chiều cao lắp đặt &lt;= 60m</t>
  </si>
  <si>
    <t>D3.4046</t>
  </si>
  <si>
    <t>Lắp tạ bù 100kg, chiều cao lắp đặt &lt;= 70m</t>
  </si>
  <si>
    <t>D3.4047</t>
  </si>
  <si>
    <t>Lắp tạ bù 100kg, chiều cao lắp đặt &lt;= 85m</t>
  </si>
  <si>
    <t>D3.4048</t>
  </si>
  <si>
    <t>Lắp tạ bù 100kg, chiều cao lắp đặt &lt;= 100m</t>
  </si>
  <si>
    <t>D3.4049</t>
  </si>
  <si>
    <t>Lắp tạ bù 100kg, chiều cao lắp đặt &gt; 100m</t>
  </si>
  <si>
    <t>D3.4051</t>
  </si>
  <si>
    <t>Lắp tạ bù 150kg, chiều cao lắp đặt &lt;= 20m</t>
  </si>
  <si>
    <t>D3.4052</t>
  </si>
  <si>
    <t>Lắp tạ bù 150kg, chiều cao lắp đặt &lt;= 30m</t>
  </si>
  <si>
    <t>D3.4053</t>
  </si>
  <si>
    <t>Lắp tạ bù 150kg, chiều cao lắp đặt &lt;= 40m</t>
  </si>
  <si>
    <t>D3.4054</t>
  </si>
  <si>
    <t>Lắp tạ bù 150kg, chiều cao lắp đặt &lt;= 50m</t>
  </si>
  <si>
    <t>D3.4055</t>
  </si>
  <si>
    <t>Lắp tạ bù 150kg, chiều cao lắp đặt &lt;= 60m</t>
  </si>
  <si>
    <t>D3.4056</t>
  </si>
  <si>
    <t>Lắp tạ bù 150kg, chiều cao lắp đặt &lt;= 70m</t>
  </si>
  <si>
    <t>D3.4057</t>
  </si>
  <si>
    <t>Lắp tạ bù 150kg, chiều cao lắp đặt &lt;= 85m</t>
  </si>
  <si>
    <t>D3.4058</t>
  </si>
  <si>
    <t>Lắp tạ bù 150kg, chiều cao lắp đặt &lt;= 100m</t>
  </si>
  <si>
    <t>D3.4059</t>
  </si>
  <si>
    <t>Lắp tạ bù 150kg, chiều cao lắp đặt &gt; 100m</t>
  </si>
  <si>
    <t>D3.4061</t>
  </si>
  <si>
    <t>Lắp tạ bù 200kg, chiều cao lắp đặt &lt;= 20m</t>
  </si>
  <si>
    <t>D3.4062</t>
  </si>
  <si>
    <t>Lắp tạ bù 200kg, chiều cao lắp đặt &lt;= 30m</t>
  </si>
  <si>
    <t>D3.4063</t>
  </si>
  <si>
    <t>Lắp tạ bù 200kg, chiều cao lắp đặt &lt;= 40m</t>
  </si>
  <si>
    <t>D3.4064</t>
  </si>
  <si>
    <t>Lắp tạ bù 200kg, chiều cao lắp đặt &lt;= 50m</t>
  </si>
  <si>
    <t>D3.4065</t>
  </si>
  <si>
    <t>Lắp tạ bù 200kg, chiều cao lắp đặt &lt;= 60m</t>
  </si>
  <si>
    <t>D3.4066</t>
  </si>
  <si>
    <t>Lắp tạ bù 200kg, chiều cao lắp đặt &lt;= 70m</t>
  </si>
  <si>
    <t>D3.4067</t>
  </si>
  <si>
    <t>Lắp tạ bù 200kg, chiều cao lắp đặt &lt;= 85m</t>
  </si>
  <si>
    <t>D3.4068</t>
  </si>
  <si>
    <t>Lắp tạ bù 200kg, chiều cao lắp đặt &lt;= 100m</t>
  </si>
  <si>
    <t>D3.4069</t>
  </si>
  <si>
    <t>Lắp tạ bù 200kg, chiều cao lắp đặt &gt; 100m</t>
  </si>
  <si>
    <t>D3.4071</t>
  </si>
  <si>
    <t>Lắp tạ bù 250kg, chiều cao lắp đặt &lt;= 20m</t>
  </si>
  <si>
    <t>D3.4072</t>
  </si>
  <si>
    <t>Lắp tạ bù 250kg, chiều cao lắp đặt &lt;= 30m</t>
  </si>
  <si>
    <t>D3.4073</t>
  </si>
  <si>
    <t>Lắp tạ bù 250kg, chiều cao lắp đặt &lt;= 40m</t>
  </si>
  <si>
    <t>D3.4074</t>
  </si>
  <si>
    <t>Lắp tạ bù 250kg, chiều cao lắp đặt &lt;= 50m</t>
  </si>
  <si>
    <t>D3.4075</t>
  </si>
  <si>
    <t>Lắp tạ bù 250kg, chiều cao lắp đặt &lt;= 60m</t>
  </si>
  <si>
    <t>D3.4076</t>
  </si>
  <si>
    <t>Lắp tạ bù 250kg, chiều cao lắp đặt &lt;= 70m</t>
  </si>
  <si>
    <t>D3.4077</t>
  </si>
  <si>
    <t>Lắp tạ bù 250kg, chiều cao lắp đặt &lt;= 85m</t>
  </si>
  <si>
    <t>D3.4078</t>
  </si>
  <si>
    <t>Lắp tạ bù 250kg, chiều cao lắp đặt &lt;= 100m</t>
  </si>
  <si>
    <t>D3.4079</t>
  </si>
  <si>
    <t>Lắp tạ bù 250kg, chiều cao lắp đặt &gt; 100m</t>
  </si>
  <si>
    <t>D3.4081</t>
  </si>
  <si>
    <t>Lắp tạ bù 300kg, chiều cao lắp đặt &lt;= 20m</t>
  </si>
  <si>
    <t>D3.4082</t>
  </si>
  <si>
    <t>Lắp tạ bù 300kg, chiều cao lắp đặt &lt;= 30m</t>
  </si>
  <si>
    <t>D3.4083</t>
  </si>
  <si>
    <t>Lắp tạ bù 300kg, chiều cao lắp đặt &lt;= 40m</t>
  </si>
  <si>
    <t>D3.4084</t>
  </si>
  <si>
    <t>Lắp tạ bù 300kg, chiều cao lắp đặt &lt;= 50m</t>
  </si>
  <si>
    <t>D3.4085</t>
  </si>
  <si>
    <t>Lắp tạ bù 300kg, chiều cao lắp đặt &lt;= 60m</t>
  </si>
  <si>
    <t>D3.4086</t>
  </si>
  <si>
    <t>Lắp tạ bù 300kg, chiều cao lắp đặt &lt;= 70m</t>
  </si>
  <si>
    <t>D3.4087</t>
  </si>
  <si>
    <t>Lắp tạ bù 300kg, chiều cao lắp đặt &lt;= 85m</t>
  </si>
  <si>
    <t>D3.4088</t>
  </si>
  <si>
    <t>Lắp tạ bù 300kg, chiều cao lắp đặt &lt;= 100m</t>
  </si>
  <si>
    <t>D3.4089</t>
  </si>
  <si>
    <t>Lắp tạ bù 300kg, chiều cao lắp đặt &gt; 100m</t>
  </si>
  <si>
    <t>D3.4091</t>
  </si>
  <si>
    <t>Lắp tạ bù 350kg, chiều cao lắp đặt &lt;= 20m</t>
  </si>
  <si>
    <t>D3.4092</t>
  </si>
  <si>
    <t>Lắp tạ bù 350kg, chiều cao lắp đặt &lt;= 30m</t>
  </si>
  <si>
    <t>D3.4093</t>
  </si>
  <si>
    <t>Lắp tạ bù 350kg, chiều cao lắp đặt &lt;= 40m</t>
  </si>
  <si>
    <t>D3.4094</t>
  </si>
  <si>
    <t>Lắp tạ bù 350kg, chiều cao lắp đặt &lt;= 50m</t>
  </si>
  <si>
    <t>D3.4095</t>
  </si>
  <si>
    <t>Lắp tạ bù 350kg, chiều cao lắp đặt &lt;= 60m</t>
  </si>
  <si>
    <t>D3.4096</t>
  </si>
  <si>
    <t>Lắp tạ bù 350kg, chiều cao lắp đặt &lt;= 70m</t>
  </si>
  <si>
    <t>D3.4097</t>
  </si>
  <si>
    <t>Lắp tạ bù 350kg, chiều cao lắp đặt &lt;= 85m</t>
  </si>
  <si>
    <t>D3.4098</t>
  </si>
  <si>
    <t>Lắp tạ bù 350kg, chiều cao lắp đặt &lt;= 100m</t>
  </si>
  <si>
    <t>D3.4099</t>
  </si>
  <si>
    <t>Lắp tạ bù 350kg, chiều cao lắp đặt &gt; 100m</t>
  </si>
  <si>
    <t>D3.4101</t>
  </si>
  <si>
    <t>Lắp tạ bù 400kg, chiều cao lắp đặt &lt;= 20m</t>
  </si>
  <si>
    <t>D3.4102</t>
  </si>
  <si>
    <t>Lắp tạ bù 400kg, chiều cao lắp đặt &lt;= 30m</t>
  </si>
  <si>
    <t>D3.4103</t>
  </si>
  <si>
    <t>Lắp tạ bù 400kg, chiều cao lắp đặt &lt;= 40m</t>
  </si>
  <si>
    <t>D3.4104</t>
  </si>
  <si>
    <t>Lắp tạ bù 400kg, chiều cao lắp đặt &lt;= 50m</t>
  </si>
  <si>
    <t>D3.4105</t>
  </si>
  <si>
    <t>Lắp tạ bù 400kg, chiều cao lắp đặt &lt;= 60m</t>
  </si>
  <si>
    <t>D3.4106</t>
  </si>
  <si>
    <t>Lắp tạ bù 400kg, chiều cao lắp đặt &lt;= 70m</t>
  </si>
  <si>
    <t>D3.4107</t>
  </si>
  <si>
    <t>Lắp tạ bù 400kg, chiều cao lắp đặt &lt;= 85m</t>
  </si>
  <si>
    <t>D3.4108</t>
  </si>
  <si>
    <t>Lắp tạ bù 400kg, chiều cao lắp đặt &lt;= 100m</t>
  </si>
  <si>
    <t>D3.4109</t>
  </si>
  <si>
    <t>Lắp tạ bù 400kg, chiều cao lắp đặt &gt; 100m</t>
  </si>
  <si>
    <t>D3.4111</t>
  </si>
  <si>
    <t>Lắp tạ bù 500kg, chiều cao lắp đặt &lt;= 20m</t>
  </si>
  <si>
    <t>D3.4112</t>
  </si>
  <si>
    <t>Lắp tạ bù 500kg, chiều cao lắp đặt &lt;= 30m</t>
  </si>
  <si>
    <t>D3.4113</t>
  </si>
  <si>
    <t>Lắp tạ bù 500kg, chiều cao lắp đặt &lt;= 40m</t>
  </si>
  <si>
    <t>D3.4114</t>
  </si>
  <si>
    <t>Lắp tạ bù 500kg, chiều cao lắp đặt &lt;= 50m</t>
  </si>
  <si>
    <t>D3.4115</t>
  </si>
  <si>
    <t>Lắp tạ bù 500kg, chiều cao lắp đặt &lt;= 60m</t>
  </si>
  <si>
    <t>D3.4116</t>
  </si>
  <si>
    <t>Lắp tạ bù 500kg, chiều cao lắp đặt &lt;= 70m</t>
  </si>
  <si>
    <t>D3.4117</t>
  </si>
  <si>
    <t>Lắp tạ bù 500kg, chiều cao lắp đặt &lt;= 85m</t>
  </si>
  <si>
    <t>D3.4118</t>
  </si>
  <si>
    <t>Lắp tạ bù 500kg, chiều cao lắp đặt &lt;= 100m</t>
  </si>
  <si>
    <t>D3.4119</t>
  </si>
  <si>
    <t>Lắp tạ bù 500kg, chiều cao lắp đặt &gt; 100m</t>
  </si>
  <si>
    <t>D3.4121</t>
  </si>
  <si>
    <t>Lắp tạ bù 600kg, chiều cao lắp đặt &lt;= 20m</t>
  </si>
  <si>
    <t>D3.4122</t>
  </si>
  <si>
    <t>Lắp tạ bù 600kg, chiều cao lắp đặt &lt;= 30m</t>
  </si>
  <si>
    <t>D3.4123</t>
  </si>
  <si>
    <t>Lắp tạ bù 600kg, chiều cao lắp đặt &lt;= 40m</t>
  </si>
  <si>
    <t>D3.4124</t>
  </si>
  <si>
    <t>Lắp tạ bù 600kg, chiều cao lắp đặt &lt;= 50m</t>
  </si>
  <si>
    <t>D3.4125</t>
  </si>
  <si>
    <t>Lắp tạ bù 600kg, chiều cao lắp đặt &lt;= 60m</t>
  </si>
  <si>
    <t>D3.4126</t>
  </si>
  <si>
    <t>Lắp tạ bù 600kg, chiều cao lắp đặt &lt;= 70m</t>
  </si>
  <si>
    <t>D3.4127</t>
  </si>
  <si>
    <t>Lắp tạ bù 600kg, chiều cao lắp đặt &lt;= 85m</t>
  </si>
  <si>
    <t>D3.4128</t>
  </si>
  <si>
    <t>Lắp tạ bù 600kg, chiều cao lắp đặt &lt;= 100m</t>
  </si>
  <si>
    <t>D3.4129</t>
  </si>
  <si>
    <t>Lắp tạ bù 600kg, chiều cao lắp đặt &gt; 100m</t>
  </si>
  <si>
    <t>D3.4131</t>
  </si>
  <si>
    <t>Lắp tạ bù 700kg, chiều cao lắp đặt &lt;= 20m</t>
  </si>
  <si>
    <t>D3.4132</t>
  </si>
  <si>
    <t>Lắp tạ bù 700kg, chiều cao lắp đặt &lt;= 30m</t>
  </si>
  <si>
    <t>D3.4133</t>
  </si>
  <si>
    <t>Lắp tạ bù 700kg, chiều cao lắp đặt &lt;= 40m</t>
  </si>
  <si>
    <t>D3.4134</t>
  </si>
  <si>
    <t>Lắp tạ bù 700kg, chiều cao lắp đặt &lt;= 50m</t>
  </si>
  <si>
    <t>D3.4135</t>
  </si>
  <si>
    <t>Lắp tạ bù 700kg, chiều cao lắp đặt &lt;= 60m</t>
  </si>
  <si>
    <t>D3.4136</t>
  </si>
  <si>
    <t>Lắp tạ bù 700kg, chiều cao lắp đặt &lt;= 70m</t>
  </si>
  <si>
    <t>D3.4137</t>
  </si>
  <si>
    <t>Lắp tạ bù 700kg, chiều cao lắp đặt &lt;= 85m</t>
  </si>
  <si>
    <t>D3.4138</t>
  </si>
  <si>
    <t>Lắp tạ bù 700kg, chiều cao lắp đặt &lt;= 100m</t>
  </si>
  <si>
    <t>D3.4139</t>
  </si>
  <si>
    <t>Lắp tạ bù 700kg, chiều cao lắp đặt &gt; 100m</t>
  </si>
  <si>
    <t>D3.4141</t>
  </si>
  <si>
    <t>Lắp tạ bù 800kg, chiều cao lắp đặt &lt;= 20m</t>
  </si>
  <si>
    <t>D3.4142</t>
  </si>
  <si>
    <t>Lắp tạ bù 800kg, chiều cao lắp đặt &lt;= 30m</t>
  </si>
  <si>
    <t>D3.4143</t>
  </si>
  <si>
    <t>Lắp tạ bù 800kg, chiều cao lắp đặt &lt;= 40m</t>
  </si>
  <si>
    <t>D3.4144</t>
  </si>
  <si>
    <t>Lắp tạ bù 800kg, chiều cao lắp đặt &lt;= 50m</t>
  </si>
  <si>
    <t>D3.4145</t>
  </si>
  <si>
    <t>Lắp tạ bù 800kg, chiều cao lắp đặt &lt;= 60m</t>
  </si>
  <si>
    <t>D3.4146</t>
  </si>
  <si>
    <t>Lắp tạ bù 800kg, chiều cao lắp đặt &lt;= 70m</t>
  </si>
  <si>
    <t>D3.4147</t>
  </si>
  <si>
    <t>Lắp tạ bù 800kg, chiều cao lắp đặt &lt;= 85m</t>
  </si>
  <si>
    <t>D3.4148</t>
  </si>
  <si>
    <t>Lắp tạ bù 800kg, chiều cao lắp đặt &lt;= 100m</t>
  </si>
  <si>
    <t>D3.4149</t>
  </si>
  <si>
    <t>Lắp tạ bù 800kg, chiều cao lắp đặt &gt; 100m</t>
  </si>
  <si>
    <t>D3.4151</t>
  </si>
  <si>
    <t>Lắp tạ bù 900kg, chiều cao lắp đặt &lt;= 20m</t>
  </si>
  <si>
    <t>D3.4152</t>
  </si>
  <si>
    <t>Lắp tạ bù 900kg, chiều cao lắp đặt &lt;= 30m</t>
  </si>
  <si>
    <t>D3.4153</t>
  </si>
  <si>
    <t>Lắp tạ bù 900kg, chiều cao lắp đặt &lt;= 40m</t>
  </si>
  <si>
    <t>D3.4154</t>
  </si>
  <si>
    <t>Lắp tạ bù 900kg, chiều cao lắp đặt &lt;= 50m</t>
  </si>
  <si>
    <t>D3.4155</t>
  </si>
  <si>
    <t>Lắp tạ bù 900kg, chiều cao lắp đặt &lt;= 60m</t>
  </si>
  <si>
    <t>D3.4156</t>
  </si>
  <si>
    <t>Lắp tạ bù 900kg, chiều cao lắp đặt &lt;= 70m</t>
  </si>
  <si>
    <t>D3.4157</t>
  </si>
  <si>
    <t>Lắp tạ bù 900kg, chiều cao lắp đặt &lt;= 85m</t>
  </si>
  <si>
    <t>D3.4158</t>
  </si>
  <si>
    <t>Lắp tạ bù 900kg, chiều cao lắp đặt &lt;= 100m</t>
  </si>
  <si>
    <t>D3.4159</t>
  </si>
  <si>
    <t>Lắp tạ bù 900kg, chiều cao lắp đặt &gt; 100m</t>
  </si>
  <si>
    <t>D3.4161</t>
  </si>
  <si>
    <t>Lắp tạ bù 1000kg, chiều cao lắp đặt &lt;= 20m</t>
  </si>
  <si>
    <t>D3.4162</t>
  </si>
  <si>
    <t>Lắp tạ bù 1000kg, chiều cao lắp đặt &lt;= 30m</t>
  </si>
  <si>
    <t>D3.4163</t>
  </si>
  <si>
    <t>Lắp tạ bù 1000kg, chiều cao lắp đặt &lt;= 40m</t>
  </si>
  <si>
    <t>D3.4164</t>
  </si>
  <si>
    <t>Lắp tạ bù 1000kg, chiều cao lắp đặt &lt;= 50m</t>
  </si>
  <si>
    <t>D3.4165</t>
  </si>
  <si>
    <t>Lắp tạ bù 1000kg, chiều cao lắp đặt &lt;= 60m</t>
  </si>
  <si>
    <t>D3.4166</t>
  </si>
  <si>
    <t>Lắp tạ bù 1000kg, chiều cao lắp đặt &lt;= 70m</t>
  </si>
  <si>
    <t>D3.4167</t>
  </si>
  <si>
    <t>Lắp tạ bù 1000kg, chiều cao lắp đặt &lt;= 85m</t>
  </si>
  <si>
    <t>D3.4168</t>
  </si>
  <si>
    <t>Lắp tạ bù 1000kg, chiều cao lắp đặt &lt;= 100m</t>
  </si>
  <si>
    <t>D3.4169</t>
  </si>
  <si>
    <t>Lắp tạ bù 1000kg, chiều cao lắp đặt &gt; 100m</t>
  </si>
  <si>
    <t>D3.4171</t>
  </si>
  <si>
    <t>Lắp tạ bù 1200kg, chiều cao lắp đặt &lt;= 20m</t>
  </si>
  <si>
    <t>D3.4172</t>
  </si>
  <si>
    <t>Lắp tạ bù 1200kg, chiều cao lắp đặt &lt;= 30m</t>
  </si>
  <si>
    <t>D3.4173</t>
  </si>
  <si>
    <t>Lắp tạ bù 1200kg, chiều cao lắp đặt &lt;= 40m</t>
  </si>
  <si>
    <t>D3.4174</t>
  </si>
  <si>
    <t>Lắp tạ bù 1200kg, chiều cao lắp đặt &lt;= 50m</t>
  </si>
  <si>
    <t>D3.4175</t>
  </si>
  <si>
    <t>Lắp tạ bù 1200kg, chiều cao lắp đặt &lt;= 60m</t>
  </si>
  <si>
    <t>D3.4176</t>
  </si>
  <si>
    <t>Lắp tạ bù 1200kg, chiều cao lắp đặt &lt;= 70m</t>
  </si>
  <si>
    <t>D3.4177</t>
  </si>
  <si>
    <t>Lắp tạ bù 1200kg, chiều cao lắp đặt &lt;= 85m</t>
  </si>
  <si>
    <t>D3.4178</t>
  </si>
  <si>
    <t>Lắp tạ bù 1200kg, chiều cao lắp đặt &lt;= 100m</t>
  </si>
  <si>
    <t>D3.4179</t>
  </si>
  <si>
    <t>Lắp tạ bù 1200kg, chiều cao lắp đặt &gt; 100m</t>
  </si>
  <si>
    <t>D3.4184</t>
  </si>
  <si>
    <t>Lắp đèn tín hiệu trên cột, chiều cao lắp đặt &lt;= 50m</t>
  </si>
  <si>
    <t>D3.4185</t>
  </si>
  <si>
    <t>Lắp đèn tín hiệu trên cột, chiều cao lắp đặt &lt;= 60m</t>
  </si>
  <si>
    <t>D3.4186</t>
  </si>
  <si>
    <t>Lắp đèn tín hiệu trên cột, chiều cao lắp đặt &lt;= 70m</t>
  </si>
  <si>
    <t>D3.4187</t>
  </si>
  <si>
    <t>Lắp đèn tín hiệu trên cột, chiều cao lắp đặt &lt;= 85m</t>
  </si>
  <si>
    <t>D3.4188</t>
  </si>
  <si>
    <t>Lắp đèn tín hiệu trên cột, chiều cao lắp đặt &lt;= 100m</t>
  </si>
  <si>
    <t>D3.4189</t>
  </si>
  <si>
    <t>Lắp đèn tín hiệu trên cột, chiều cao lắp đặt &gt; 100m</t>
  </si>
  <si>
    <t>D3.4191</t>
  </si>
  <si>
    <t>Lắp vòng gai bảo vệ, chiều cao lắp đặt &lt;= 20m</t>
  </si>
  <si>
    <t>D3.4201</t>
  </si>
  <si>
    <t>Lắp đặt biển cấm,chiều cao lắp đặt &lt;= 20m</t>
  </si>
  <si>
    <t>D3.4211</t>
  </si>
  <si>
    <t>Lắp mỏ phóng, chiều cao lắp đặt &lt;= 20m</t>
  </si>
  <si>
    <t>D3.4212</t>
  </si>
  <si>
    <t>Lắp mỏ phóng, chiều cao lắp đặt &lt;= 30m</t>
  </si>
  <si>
    <t>D3.4213</t>
  </si>
  <si>
    <t>Lắp mỏ phóng, chiều cao lắp đặt &lt;= 40m</t>
  </si>
  <si>
    <t>D3.4214</t>
  </si>
  <si>
    <t>Lắp mỏ phóng, chiều cao lắp đặt &lt;= 50m</t>
  </si>
  <si>
    <t>D3.4215</t>
  </si>
  <si>
    <t>Lắp mỏ phóng, chiều cao lắp đặt &lt;=60m</t>
  </si>
  <si>
    <t>D3.4216</t>
  </si>
  <si>
    <t>Lắp mỏ phóng, chiều cao lắp đặt &lt;= 70m</t>
  </si>
  <si>
    <t>D3.4217</t>
  </si>
  <si>
    <t>Lắp mỏ phóng, chiều cao lắp đặt &lt;= 85m</t>
  </si>
  <si>
    <t>D3.4218</t>
  </si>
  <si>
    <t>Lắp mỏ phóng, chiều cao lắp đặt &lt;= 100m</t>
  </si>
  <si>
    <t>D3.4219</t>
  </si>
  <si>
    <t>Lắp mỏ phóng, chiều cao lắp đặt &gt; 100m</t>
  </si>
  <si>
    <t>D3.4221</t>
  </si>
  <si>
    <t>Lắp chống sét van, chiều cao lắp đặt &lt;= 20m</t>
  </si>
  <si>
    <t>D3.4222</t>
  </si>
  <si>
    <t>Lắp chống sét van, chiều cao lắp đặt &lt;= 30m</t>
  </si>
  <si>
    <t>D3.4223</t>
  </si>
  <si>
    <t>Lắp chống sét van, chiều cao lắp đặt &lt;= 40m</t>
  </si>
  <si>
    <t>D3.4224</t>
  </si>
  <si>
    <t>Lắp chống sét van, chiều cao lắp đặt &lt;= 50m</t>
  </si>
  <si>
    <t>D3.4225</t>
  </si>
  <si>
    <t>Lắp chống sét van, chiều cao lắp đặt &lt;= 60m</t>
  </si>
  <si>
    <t>D3.4231</t>
  </si>
  <si>
    <t>Lắp thu lôi ống, chiều cao lắp đặt &lt;= 20m</t>
  </si>
  <si>
    <t>D3.4241</t>
  </si>
  <si>
    <t>Lắp cổ dề, chiều cao lắp đặt &lt;= 20m</t>
  </si>
  <si>
    <t>D3.4251</t>
  </si>
  <si>
    <t>Lắp dây néo cột, chiều cao lắp đặt &lt;= 20m</t>
  </si>
  <si>
    <t>D3.4261</t>
  </si>
  <si>
    <t>Lắp khoá đỡ dây dẫn, dây chống sét, tiết diện dây &lt;= 70mm2, chiều cao lắp đặt &lt;= 20m</t>
  </si>
  <si>
    <t>D3.4262</t>
  </si>
  <si>
    <t>Lắp khoá đỡ dây dẫn, dây chống sét, tiết diện dây &lt;= 70mm2, chiều cao lắp đặt &lt;= 30m</t>
  </si>
  <si>
    <t>D3.4263</t>
  </si>
  <si>
    <t>Lắp khoá đỡ dây dẫn, dây chống sét, tiết diện dây &lt;= 70mm2, chiều cao lắp đặt &lt;= 40m</t>
  </si>
  <si>
    <t>D3.4264</t>
  </si>
  <si>
    <t>Lắp khoá đỡ dây dẫn, dây chống sét, tiết diện dây &lt;= 70mm2, chiều cao lắp đặt &lt;= 50m</t>
  </si>
  <si>
    <t>D3.4265</t>
  </si>
  <si>
    <t>Lắp khoá đỡ dây dẫn, dây chống sét, tiết diện dây &lt;= 70mm2, chiều cao lắp đặt &lt;= 60m</t>
  </si>
  <si>
    <t>D3.4266</t>
  </si>
  <si>
    <t>Lắp khoá đỡ dây dẫn, dây chống sét, tiết diện dây &lt;= 70mm2, chiều cao lắp đặt &lt;= 70m</t>
  </si>
  <si>
    <t>D3.4267</t>
  </si>
  <si>
    <t>Lắp khoá đỡ dây dẫn, dây chống sét, tiết diện dây &lt;= 70mm2, chiều cao lắp đặt &lt;= 85m</t>
  </si>
  <si>
    <t>D3.4268</t>
  </si>
  <si>
    <t>Lắp khoá đỡ dây dẫn, dây chống sét, tiết diện dây &lt;= 70mm2, chiều cao lắp đặt &lt;= 100m</t>
  </si>
  <si>
    <t>D3.4269</t>
  </si>
  <si>
    <t>Lắp khoá đỡ dây dẫn, dây chống sét, tiết diện dây &lt;= 70mm2, chiều cao lắp đặt &gt; 100m</t>
  </si>
  <si>
    <t>D3.4271</t>
  </si>
  <si>
    <t>Lắp khoá đỡ dây dẫn, dây chống sét, tiết diện dây &lt;= 240mm2, chiều cao lắp đặt &lt;= 20m</t>
  </si>
  <si>
    <t>D3.4272</t>
  </si>
  <si>
    <t>Lắp khoá đỡ dây dẫn, dây chống sét, tiết diện dây &lt;= 240mm2, chiều cao lắp đặt &lt;= 30m</t>
  </si>
  <si>
    <t>D3.4273</t>
  </si>
  <si>
    <t>Lắp khoá đỡ dây dẫn, dây chống sét, tiết diện dây &lt;= 240mm2, chiều cao lắp đặt &lt;= 40m</t>
  </si>
  <si>
    <t>D3.4274</t>
  </si>
  <si>
    <t>Lắp khoá đỡ dây dẫn, dây chống sét, tiết diện dây &lt;= 240mm2, chiều cao lắp đặt &lt;= 50m</t>
  </si>
  <si>
    <t>D3.4275</t>
  </si>
  <si>
    <t>Lắp khoá đỡ dây dẫn, dây chống sét, tiết diện dây &lt;= 240mm2, chiều cao lắp đặt &lt;= 60m</t>
  </si>
  <si>
    <t>D3.4276</t>
  </si>
  <si>
    <t>Lắp khoá đỡ dây dẫn, dây chống sét, tiết diện dây &lt;= 240mm2, chiều cao lắp đặt &lt;= 70m</t>
  </si>
  <si>
    <t>D3.4277</t>
  </si>
  <si>
    <t>Lắp khoá đỡ dây dẫn, dây chống sét, tiết diện dây &lt;= 240mm2, chiều cao lắp đặt &lt;= 85m</t>
  </si>
  <si>
    <t>D3.4278</t>
  </si>
  <si>
    <t>Lắp khoá đỡ dây dẫn, dây chống sét, tiết diện dây &lt;= 240mm2, chiều cao lắp đặt &lt;= 100m</t>
  </si>
  <si>
    <t>D3.4279</t>
  </si>
  <si>
    <t>Lắp khoá đỡ dây dẫn, dây chống sét, tiết diện dây &lt;= 240mm2, chiều cao lắp đặt &gt; 100m</t>
  </si>
  <si>
    <t>D3.4281</t>
  </si>
  <si>
    <t>Lắp khoá đỡ dây dẫn, dây chống sét, tiết diện dây &gt; 240mm2, chiều cao lắp đặt &lt;= 20m</t>
  </si>
  <si>
    <t>D3.4282</t>
  </si>
  <si>
    <t>Lắp khoá đỡ dây dẫn, dây chống sét, tiết diện dây &gt; 240mm2, chiều cao lắp đặt &lt;= 30m</t>
  </si>
  <si>
    <t>D3.4283</t>
  </si>
  <si>
    <t>Lắp khoá đỡ dây dẫn, dây chống sét, tiết diện dây &gt; 240mm2, chiều cao lắp đặt &lt;= 40m</t>
  </si>
  <si>
    <t>D3.4284</t>
  </si>
  <si>
    <t>Lắp khoá đỡ dây dẫn, dây chống sét, tiết diện dây &gt; 240mm2, chiều cao lắp đặt &lt;= 50m</t>
  </si>
  <si>
    <t>D3.4285</t>
  </si>
  <si>
    <t>Lắp khoá đỡ dây dẫn, dây chống sét, tiết diện dây &gt; 240mm2, chiều cao lắp đặt &lt;= 60m</t>
  </si>
  <si>
    <t>D3.4286</t>
  </si>
  <si>
    <t>Lắp khoá đỡ dây dẫn, dây chống sét, tiết diện dây &gt; 240mm2, chiều cao lắp đặt &lt;= 70m</t>
  </si>
  <si>
    <t>D3.4287</t>
  </si>
  <si>
    <t>Lắp khoá đỡ dây dẫn, dây chống sét, tiết diện dây &gt; 240mm2, chiều cao lắp đặt &lt;= 85m</t>
  </si>
  <si>
    <t>D3.4288</t>
  </si>
  <si>
    <t>Lắp khoá đỡ dây dẫn, dây chống sét, tiết diện dây &gt; 240mm2, chiều cao lắp đặt &lt;= 100m</t>
  </si>
  <si>
    <t>D3.4289</t>
  </si>
  <si>
    <t>Lắp khoá đỡ dây dẫn, dây chống sét, tiết diện dây &gt; 240mm2, chiều cao lắp đặt &gt; 100m</t>
  </si>
  <si>
    <t xml:space="preserve"> Ép nối dây dẫn, tiết diện dây &lt;= 120mm2</t>
  </si>
  <si>
    <t>Nhân công bậc 5,0/7</t>
  </si>
  <si>
    <t>M-BS9</t>
  </si>
  <si>
    <t>Máy ép thuỷ lực</t>
  </si>
  <si>
    <t xml:space="preserve"> Ép nối dây dẫn, tiết diện dây &lt;= 150mm2</t>
  </si>
  <si>
    <t xml:space="preserve"> Ép nối dây dẫn, tiết diện dây &lt;= 185mm2</t>
  </si>
  <si>
    <t xml:space="preserve"> Ép nối dây dẫn, tiết diện dây &lt;= 240mm2</t>
  </si>
  <si>
    <t xml:space="preserve"> Ép nối dây dẫn, tiết diện dây &lt;= 300mm2</t>
  </si>
  <si>
    <t xml:space="preserve"> Ép nối dây dẫn, tiết diện dây &lt;= 400mm2</t>
  </si>
  <si>
    <t xml:space="preserve"> Ép nối dây dẫn, tiết diện dây &lt;= 500mm2</t>
  </si>
  <si>
    <t xml:space="preserve"> Ép nối dây dẫn, tiết diện dây &gt; 500mm2</t>
  </si>
  <si>
    <t>Ép khoá lèo, khoá néo dây dẫn, tiết diện dây &lt;= 120mm2</t>
  </si>
  <si>
    <t>Ép khoá lèo, khoá néo dây dẫn, tiết diện dây &lt;= 150mm2</t>
  </si>
  <si>
    <t>Ép khoá lèo, khoá néo dây dẫn, tiết diện dây &lt;= 185mm2</t>
  </si>
  <si>
    <t>Ép khoá lèo, khoá néo dây dẫn, tiết diện dây &lt;= 240mm2</t>
  </si>
  <si>
    <t>Ép khoá lèo, khoá néo dây dẫn, tiết diện dây &lt;= 300mm2</t>
  </si>
  <si>
    <t>Ép khoá lèo, khoá néo dây dẫn, tiết diện dây &lt;= 400mm2</t>
  </si>
  <si>
    <t>Ép khoá lèo, khoá néo dây dẫn, tiết diện dây &lt;= 500mm2</t>
  </si>
  <si>
    <t>Ép vá dây dẫn, tiết diện dây &lt;= 120mm2</t>
  </si>
  <si>
    <t>Ép vá dây dẫn, tiết diện dây &lt;= 150mm2</t>
  </si>
  <si>
    <t>Ép vá dây dẫn, tiết diện dây &lt;= 185mm2</t>
  </si>
  <si>
    <t>Ép vá dây dẫn, tiết diện dây &lt;= 240mm2</t>
  </si>
  <si>
    <t>Ép vá dây dẫn, tiết diện dây &lt;= 300mm2</t>
  </si>
  <si>
    <t>Ép vá dây dẫn, tiết diện dây &lt;= 400mm2</t>
  </si>
  <si>
    <t>Ép vá dây dẫn, tiết diện dây &lt;= 500mm2</t>
  </si>
  <si>
    <t>Ép vá dây dẫn, tiết diện dây &gt; 500mm2</t>
  </si>
  <si>
    <t>D3.5000</t>
  </si>
  <si>
    <t>LÀM DÀN GIÁO RẢI DÂY VƯỢT CHƯỚNG NGẠI VẬT</t>
  </si>
  <si>
    <t>tr45</t>
  </si>
  <si>
    <t>Làm giàn giáo rải dây vượt đường dây thông tin, hạ thế, tiết diện dây &lt;= 50mm2</t>
  </si>
  <si>
    <t>vị trí</t>
  </si>
  <si>
    <t>Tre cây 8 - 10 cm L = 6 - 8 m (kể cả phên tre)</t>
  </si>
  <si>
    <t>Làm giàn giáo rải dây vượt đường dây thông tin, hạ thế, tiết diện dây &lt;= 95mm2</t>
  </si>
  <si>
    <t>Làm giàn giáo rải dây vượt đường dây thông tin, hạ thế, tiết diện dây &lt;= 150mm2</t>
  </si>
  <si>
    <t>Làm giàn giáo rải dây vượt đường dây thông tin, hạ thế, tiết diện dây &lt;= 240mm2</t>
  </si>
  <si>
    <t>Làm giàn giáo rải dây vượt đường dây thông tin, hạ thế, tiết diện dây &lt;= 400mm2</t>
  </si>
  <si>
    <t>D3.5016</t>
  </si>
  <si>
    <t>Làm giàn giáo rải dây vượt đường dây thông tin, hạ thế, tiết diện dây &lt;= 500mm2</t>
  </si>
  <si>
    <t>D3.5017</t>
  </si>
  <si>
    <t>Làm giàn giáo rải dây vượt đường dây thông tin, hạ thế, tiết diện dây &gt; 500mm2</t>
  </si>
  <si>
    <t>D3.5021</t>
  </si>
  <si>
    <t>Làm giàn giáo rải dây vượt đường dây 6-35Kv, tiết diện dây &lt;=50mm2</t>
  </si>
  <si>
    <t>D3.5022</t>
  </si>
  <si>
    <t>Làm giàn giáo rải dây vượt đường dây 6-35Kv, tiết diện dây &lt;=95mm2</t>
  </si>
  <si>
    <t>Làm giàn giáo rải dây vượt đường dây 6-35Kv, tiết diện dây &lt;=150mm2</t>
  </si>
  <si>
    <t>Làm giàn giáo rải dây vượt đường dây 6-35Kv, tiết diện dây &lt;=240mm2</t>
  </si>
  <si>
    <t>Làm giàn giáo rải dây vượt đường dây 6-35Kv, tiết diện dây &lt;= 400mm2</t>
  </si>
  <si>
    <t>D3.5026</t>
  </si>
  <si>
    <t>D3.5027</t>
  </si>
  <si>
    <t>D3.5033</t>
  </si>
  <si>
    <t>Làm giàn giáo rải dây vượt đường dây &lt;=110Kv, tiết diện dây &lt;=150mm2</t>
  </si>
  <si>
    <t>D3.5034</t>
  </si>
  <si>
    <t>Làm giàn giáo rải dây vượt đường dây &lt;=110Kv, tiết diện dây &lt;=240mm2</t>
  </si>
  <si>
    <t>D3.5035</t>
  </si>
  <si>
    <t>Làm giàn giáo rải dây vượt đường dây &lt;=110Kv, tiết diện dây &lt;= 400mm2</t>
  </si>
  <si>
    <t>D3.5036</t>
  </si>
  <si>
    <t>Làm giàn giáo rải dây vượt đường dây &lt;=110Kv, tiết diện dây &lt;= 500mm2</t>
  </si>
  <si>
    <t>D3.5037</t>
  </si>
  <si>
    <t>Làm giàn giáo rải dây vượt đường dây &lt;=110Kv, tiết diện dây &gt; 500mm2</t>
  </si>
  <si>
    <t>Làm giàn giáo rải dây vượt đường dây &lt;=220Kv, tiết diện dây &lt;= 400mm2</t>
  </si>
  <si>
    <t>D3.5046</t>
  </si>
  <si>
    <t>Làm giàn giáo rải dây vượt đường dây &lt;=220Kv, tiết diện dây &lt;= 500mm2</t>
  </si>
  <si>
    <t>D3.5047</t>
  </si>
  <si>
    <t>Làm giàn giáo rải dây vượt đường dây &lt;=220Kv, tiết diện dây &gt; 500mm2</t>
  </si>
  <si>
    <t>Làm giàn giáo rải dây vượt đường ôtô &lt;=5m, nhà dân cao &lt;=7m, tiết diện dây &lt;=50mm2</t>
  </si>
  <si>
    <t>Làm giàn giáo rải dây vượt đường ôtô &lt;=5m, nhà dân cao &lt;=7m, tiết diện dây &lt;=95mm2</t>
  </si>
  <si>
    <t>Làm giàn giáo rải dây vượt đường ôtô &lt;=5m, nhà dân cao &lt;=7m, tiết diện dây &lt;=150mm2</t>
  </si>
  <si>
    <t>Làm giàn giáo rải dây vượt đường ôtô &lt;=5m, nhà dân cao &lt;=7m, tiết diện dây &lt;=240mm2</t>
  </si>
  <si>
    <t xml:space="preserve">Làm giàn giáo rải dây vượt đường ôtô &lt;=5m, nhà dân cao &lt;=7m, tiết diện dây &lt;= 400mm2, </t>
  </si>
  <si>
    <t>D3.5056</t>
  </si>
  <si>
    <t xml:space="preserve">Làm giàn giáo rải dây vượt đường ôtô &lt;=5m, nhà dân cao &lt;=7m, tiết diện dây &lt;= 500mm2, </t>
  </si>
  <si>
    <t>D3.5057</t>
  </si>
  <si>
    <t xml:space="preserve">Làm giàn giáo rải dây vượt đường ôtô &lt;=5m, nhà dân cao &lt;=7m, tiết diện dây &gt; 500mm2, </t>
  </si>
  <si>
    <t>Làm giàn giáo rải dây vượt đường ôtô &lt;=10m, nhà dân cao &gt;7m, tiết diện dây &lt;=50mm2</t>
  </si>
  <si>
    <t>Làm giàn giáo rải dây vượt đường ôtô &lt;=10m, nhà dân cao &gt;7m, tiết diện dây &lt;=95mm2</t>
  </si>
  <si>
    <t>Làm giàn giáo rải dây vượt đường ôtô &lt;=10m, nhà dân cao &gt;7m, tiết diện dây &lt;=150mm2</t>
  </si>
  <si>
    <t>Làm giàn giáo rải dây vượt đường ôtô &lt;=10m, nhà dân cao &gt;7m, tiết diện dây &lt;=240mm2</t>
  </si>
  <si>
    <t>Làm giàn giáo rải dây vượt đường ôtô &lt;=10m, nhà dân cao &gt;7m, tiết diện dây &lt;= 400mm2</t>
  </si>
  <si>
    <t>D3.5066</t>
  </si>
  <si>
    <t>Làm giàn giáo rải dây vượt đường ôtô &lt;=10m, nhà dân cao &gt;7m, tiết diện dây &lt;= 500mm2</t>
  </si>
  <si>
    <t>D3.5067</t>
  </si>
  <si>
    <t>Làm giàn giáo rải dây vượt đường ôtô &lt;=10m, nhà dân cao &gt;7m, tiết diện dây &gt; 500mm2</t>
  </si>
  <si>
    <t>TR46</t>
  </si>
  <si>
    <t>Làm giàn giáo rải dây vượt đường ôtô &gt;10m, tiết diện dây &lt;=50mm2</t>
  </si>
  <si>
    <t>Làm giàn giáo rải dây vượt đường ôtô &gt;10m, tiết diện dây &lt;=95mm2</t>
  </si>
  <si>
    <t>Làm giàn giáo rải dây vượt đường ôtô &gt;10m, tiết diện dây &lt;=150mm2</t>
  </si>
  <si>
    <t>Làm giàn giáo rải dây vượt đường ôtô &gt;10m, tiết diện dây &lt;=240mm2</t>
  </si>
  <si>
    <t>D3.5075</t>
  </si>
  <si>
    <t>Làm giàn giáo rải dây vượt đường ôtô &gt;10m, tiết diện dây &lt;= 400mm2</t>
  </si>
  <si>
    <t>D3.5076</t>
  </si>
  <si>
    <t>D3.5077</t>
  </si>
  <si>
    <t>D3.5081</t>
  </si>
  <si>
    <t>Làm giàn giáo rải dây vượt vị trí bẻ góc, tiết diện dây &lt;=50mm2</t>
  </si>
  <si>
    <t>D3.5082</t>
  </si>
  <si>
    <t>Làm giàn giáo rải dây vượt vị trí bẻ góc, tiết diện dây &lt;=95mm2</t>
  </si>
  <si>
    <t>D3.5083</t>
  </si>
  <si>
    <t>Làm giàn giáo rải dây vượt vị trí bẻ góc, tiết diện dây &lt;=150mm2</t>
  </si>
  <si>
    <t>D3.5084</t>
  </si>
  <si>
    <t>Làm giàn giáo rải dây vượt vị trí bẻ góc, tiết diện dây &lt;=240mm2</t>
  </si>
  <si>
    <t>D3.5085</t>
  </si>
  <si>
    <t>Làm giàn giáo rải dây vượt vị trí bẻ góc, tiết diện dây &lt;= 400mm2</t>
  </si>
  <si>
    <t>D3.5086</t>
  </si>
  <si>
    <t>Làm giàn giáo rải dây vượt vị trí bẻ góc, tiết diện dây &lt;= 500mm2</t>
  </si>
  <si>
    <t>D3.5087</t>
  </si>
  <si>
    <t>Làm giàn giáo rải dây vượt vị trí bẻ góc, tiết diện dây &gt; 500mm2</t>
  </si>
  <si>
    <t>D3.6000</t>
  </si>
  <si>
    <t>RẢI CĂNG DÂY LẤY ĐỘ VÕNG</t>
  </si>
  <si>
    <t>tr48</t>
  </si>
  <si>
    <t>Rải căng dây lấy độ võng bằng thủ công, dây nhôm lõi thép (AC, ACSR), tiết diện dây &lt;=16mm2</t>
  </si>
  <si>
    <t>Rải căng dây lấy độ võng bằng thủ công, dây nhôm lõi thép (AC, ACSR), tiết diện dây &lt;=25mm2</t>
  </si>
  <si>
    <t>Rải căng dây lấy độ võng bằng thủ công, dây nhôm lõi thép (AC, ACSR), tiết diện dây &lt;=35mm2</t>
  </si>
  <si>
    <t>Rải căng dây lấy độ võng bằng thủ công, dây nhôm lõi thép (AC, ACSR), tiết diện dây &lt;=50mm2</t>
  </si>
  <si>
    <t>Rải căng dây lấy độ võng bằng thủ công, dây nhôm lõi thép (AC, ACSR), tiết diện dây &lt;=70mm2</t>
  </si>
  <si>
    <t>Rải căng dây lấy độ võng bằng thủ công, dây nhôm lõi thép (AC, ACSR), tiết diện dây&lt;= 95mm2</t>
  </si>
  <si>
    <t>Rải căng dây lấy độ võng bằng thủ công, dây nhôm lõi thép (AC, ACSR), tiết diện dây &lt;=120mm2</t>
  </si>
  <si>
    <t>Rải căng dây lấy độ võng bằng thủ công, dây nhôm lõi thép (AC, ACSR), tiết diện dây &lt;=150mm2</t>
  </si>
  <si>
    <t>Rải căng dây lấy độ võng bằng thủ công, dây nhôm lõi thép (AC, ACSR), tiết diện dây &lt;=185mm2</t>
  </si>
  <si>
    <t>Nhân công bậc 4,5/7</t>
  </si>
  <si>
    <t>Rải căng dây lấy độ võng bằng thủ công, dây nhôm lõi thép (AC, ACSR), tiết diện dây &lt;=240mm2</t>
  </si>
  <si>
    <t>Rải căng dây lấy độ võng bằng thủ công, dây nhôm lõi thép (AC, ACSR), tiết diện dây &lt;=300mm2</t>
  </si>
  <si>
    <t>Rải căng dây lấy độ võng bằng thủ công, dây nhôm lõi thép (AC, ACSR), tiết diện dây &lt;=400mm2</t>
  </si>
  <si>
    <t>Rải căng dây lấy độ võng bằng thủ công, dây nhôm lõi thép (AC, ACSR), tiết diện dây &lt;=500mm2</t>
  </si>
  <si>
    <t>Rải căng dây lấy độ võng bằng thủ công, dây nhôm lõi thép (AC, ACSR), tiết diện dây &gt;500mm2</t>
  </si>
  <si>
    <t>Rải căng dây lấy độ võng bằng thủ công, dây nhôm (A), tiết diện dây &lt;=16mm2</t>
  </si>
  <si>
    <t>Rải căng dây lấy độ võng bằng thủ công, dây nhôm (A), tiết diện dây &lt;= 25mm2</t>
  </si>
  <si>
    <t>Rải căng dây lấy độ võng bằng thủ công, dây nhôm (A), tiết diện dây &lt;= 35mm2</t>
  </si>
  <si>
    <t>Rải căng dây lấy độ võng bằng thủ công, dây nhôm (A), tiết diện dây &lt;= 50mm2</t>
  </si>
  <si>
    <t>Rải căng dây lấy độ võng bằng thủ công, dây nhôm (A), tiết diện dây &lt;=70mm2</t>
  </si>
  <si>
    <t>Rải căng dây lấy độ võng bằng thủ công, dây nhôm (A), tiết diện dây &lt;= 95mm2</t>
  </si>
  <si>
    <t>Rải căng dây lấy độ võng bằng thủ công, dây nhôm (A), tiết diện dây &lt;= 120mm2</t>
  </si>
  <si>
    <t>Rải căng dây lấy độ võng bằng thủ công, dây nhôm (A), tiết diện dây &lt;= 150mm2</t>
  </si>
  <si>
    <t>Rải căng dây lấy độ võng bằng thủ công, dây nhôm (A), tiết diện dây &lt;= 185mm2</t>
  </si>
  <si>
    <t>Rải căng dây lấy độ võng bằng thủ công, dây nhôm (A), tiết diện dây &lt;= 300mm2</t>
  </si>
  <si>
    <t>Rải căng dây lấy độ võng bằng thủ công, dây nhôm (A), tiết diện dây &lt;= 400mm2</t>
  </si>
  <si>
    <t>Rải căng dây lấy độ võng bằng thủ công, dây nhôm (A), tiết diện dây &lt;= 500mm2</t>
  </si>
  <si>
    <t>Rải căng dây lấy độ võng bằng thủ công, dây nhôm (A), tiết diện dây &gt; 500mm2</t>
  </si>
  <si>
    <t>Rải căng dây lấy độ võng bằng thủ công, dây thép chống sét, tiết diện dây &lt;=16mm2</t>
  </si>
  <si>
    <t>Rải căng dây lấy độ võng bằng thủ công, dây thép chống sét, tiết diện dây &lt;=25mm2</t>
  </si>
  <si>
    <t>Rải căng dây lấy độ võng bằng thủ công, dây thép chống sét, tiết diện dây &lt;=35mm2</t>
  </si>
  <si>
    <t>Rải căng dây lấy độ võng bằng thủ công, dây thép chống sét, tiết diện dây &lt;=50mm2</t>
  </si>
  <si>
    <t>Rải căng dây lấy độ võng bằng thủ công, dây thép chống sét, tiết diện dây &lt;=70mm2</t>
  </si>
  <si>
    <t>Rải căng dây lấy độ võng bằng thủ công, dây đồng (M), tiết diện dây &lt;=16mm2</t>
  </si>
  <si>
    <t>Rải căng dây lấy độ võng bằng thủ công, dây đồng (M), tiết diện dây &lt;=25mm2</t>
  </si>
  <si>
    <t>Rải căng dây lấy độ võng bằng thủ công, dây đồng (M), tiết diện dây &lt;=35mm2</t>
  </si>
  <si>
    <t>Rải căng dây lấy độ võng bằng thủ công, dây đồng (M), tiết diện dây &lt;=50mm2</t>
  </si>
  <si>
    <t>Rải căng dây lấy độ võng bằng thủ công, dây đồng (M), tiết diện dây &lt;=70mm2</t>
  </si>
  <si>
    <t>Rải căng dây lấy độ võng bằng thủ công, dây đồng (M), tiết diện dây &lt;=95mm2</t>
  </si>
  <si>
    <t>Rải căng dây lấy độ võng bằng thủ công, dây đồng (M), tiết diện dây &lt;=120mm2</t>
  </si>
  <si>
    <t>Rải căng dây lấy độ võng bằng thủ công, dây đồng (M), tiết diện dây &lt;=150mm2</t>
  </si>
  <si>
    <t>Rải căng dây lấy độ võng bằng thủ công, dây đồng (M), tiết diện dây &lt;=185mm2</t>
  </si>
  <si>
    <t>Rải căng dây lấy độ võng bằng thủ công, dây đồng (M), tiết diện dây &lt;=240mm2</t>
  </si>
  <si>
    <t>tr51</t>
  </si>
  <si>
    <t>66.211</t>
  </si>
  <si>
    <t>Rải căng dây lấy độ võng bằng thủ công kết hợp cơ giới, dây nhôm lõi thép (AC, ACSR), tiết diện dây &lt;= 70mm2</t>
  </si>
  <si>
    <t>Máy kéo bánh xích, công suất  110 CV</t>
  </si>
  <si>
    <t>66.221</t>
  </si>
  <si>
    <t>66.231</t>
  </si>
  <si>
    <t>Rải căng dây lấy độ võng bằng thủ công kết hợp cơ giới, dây nhôm lõi thép (AC, ACSR), tiết diện dây &lt;= 95mm2</t>
  </si>
  <si>
    <t>66.241</t>
  </si>
  <si>
    <t>Rải căng dây lấy độ võng bằng thủ công kết hợp cơ giới, dây nhôm lõi thép (AC, ACSR), tiết diện dây &lt;= 120mm2</t>
  </si>
  <si>
    <t>66.242</t>
  </si>
  <si>
    <t>Rải căng dây lấy độ võng bằng thủ công kết hợp cơ giới, dây nhôm lõi thép (AC, ACSR), tiết diện dây &lt;= 150mm2</t>
  </si>
  <si>
    <t>66.243</t>
  </si>
  <si>
    <t>Rải căng dây lấy độ võng bằng thủ công kết hợp cơ giới, dây nhôm lõi thép (AC, ACSR), tiết diện dây &lt;= 185mm2</t>
  </si>
  <si>
    <t>66.244</t>
  </si>
  <si>
    <t>Rải căng dây lấy độ võng bằng thủ công kết hợp cơ giới, dây nhôm lõi thép (AC, ACSR), tiết diện dây &lt;= 240mm2</t>
  </si>
  <si>
    <t>66.245</t>
  </si>
  <si>
    <t>Rải căng dây lấy độ võng bằng thủ công kết hợp cơ giới, dây nhôm lõi thép (AC, ACSR), tiết diện dây &lt;= 300mm2</t>
  </si>
  <si>
    <t>66.246</t>
  </si>
  <si>
    <t>Rải căng dây lấy độ võng bằng thủ công kết hợp cơ giới, dây nhôm lõi thép (AC, ACSR), tiết diện dây &lt;= 400mm2</t>
  </si>
  <si>
    <t>66.247</t>
  </si>
  <si>
    <t>Rải căng dây lấy độ võng bằng thủ công kết hợp cơ giới, dây nhôm lõi thép (AC, ACSR), tiết diện dây &lt;= 500mm2</t>
  </si>
  <si>
    <t>Rải căng dây lấy độ võng bằng thủ công kết hợp cơ giới, dây nhôm lõi thép (AC, ACSR), tiết diện dây &gt;500mm2</t>
  </si>
  <si>
    <t>66.223</t>
  </si>
  <si>
    <t>Rải căng dây lấy độ võng bằng thủ công kết hợp cơ giới, dây chống sét, tiết diện dây &lt;= 35mm2</t>
  </si>
  <si>
    <t>66.224</t>
  </si>
  <si>
    <t>Rải căng dây lấy độ võng bằng thủ công kết hợp cơ giới, dây chống sét, tiết diện dây &lt;= 50mm2</t>
  </si>
  <si>
    <t>66.225</t>
  </si>
  <si>
    <t>Rải căng dây lấy độ võng bằng thủ công kết hợp cơ giới, dây chống sét, tiết diện dây &lt;= 70mm2</t>
  </si>
  <si>
    <t>66.233</t>
  </si>
  <si>
    <t>Rải căng dây lấy độ võng bằng thủ công kết hợp cơ giới, dây đồng (M), tiết diện dây &lt;= 35mm2</t>
  </si>
  <si>
    <t>66.234</t>
  </si>
  <si>
    <t>Rải căng dây lấy độ võng bằng thủ công kết hợp cơ giới, dây đồng (M), tiết diện dây &lt;= 50mm2</t>
  </si>
  <si>
    <t>66.235</t>
  </si>
  <si>
    <t>Rải căng dây lấy độ võng bằng thủ công kết hợp cơ giới, dây đồng (M), tiết diện dây &lt;= 70mm2</t>
  </si>
  <si>
    <t>66.236</t>
  </si>
  <si>
    <t>Rải căng dây lấy độ võng bằng thủ công kết hợp cơ giới, dây đồng (M), tiết diện dây &lt;= 95mm2</t>
  </si>
  <si>
    <t>66.251</t>
  </si>
  <si>
    <t>Rải căng dây lấy độ võng bằng thủ công kết hợp cơ giới, dây nhôm lõi thép (AC, ACSR...), tiết diện dây &lt;= 120mm2</t>
  </si>
  <si>
    <t>66.252</t>
  </si>
  <si>
    <t>Rải căng dây lấy độ võng bằng thủ công kết hợp cơ giới, dây nhôm lõi thép (AC, ACSR...), tiết diện dây &lt;= 150mm2</t>
  </si>
  <si>
    <t>66.253</t>
  </si>
  <si>
    <t>Rải căng dây lấy độ võng bằng thủ công kết hợp cơ giới, dây nhôm lõi thép (AC, ACSR...), tiết diện dây &lt;= 185mm2</t>
  </si>
  <si>
    <t>66.254</t>
  </si>
  <si>
    <t>Rải căng dây lấy độ võng bằng thủ công kết hợp cơ giới, dây nhôm lõi thép (AC, ACSR...), tiết diện dây &lt;= 240mm2</t>
  </si>
  <si>
    <t>66.255</t>
  </si>
  <si>
    <t>66.256</t>
  </si>
  <si>
    <t>66.257</t>
  </si>
  <si>
    <t>66.258</t>
  </si>
  <si>
    <t>66.261</t>
  </si>
  <si>
    <t>Rải căng dây lấy độ võng bằng thủ công kết hợp cơ giới, dây đồng (M), tiết diện dây &lt;= 120mm2</t>
  </si>
  <si>
    <t>66.262</t>
  </si>
  <si>
    <t>Rải căng dây lấy độ võng bằng thủ công kết hợp cơ giới, dây đồng (M), tiết diện dây &lt;= 150mm2</t>
  </si>
  <si>
    <t>66.263</t>
  </si>
  <si>
    <t>Rải căng dây lấy độ võng bằng thủ công kết hợp cơ giới, dây đồng (M), tiết diện dây &lt;= 185mm2</t>
  </si>
  <si>
    <t>66.264</t>
  </si>
  <si>
    <t>Rải căng dây lấy độ võng bằng thủ công kết hợp cơ giới, dây đồng (M), tiết diện dây &lt;= 240mm2</t>
  </si>
  <si>
    <t>66.302</t>
  </si>
  <si>
    <t>Rải căng dây lấy độ võng bằng thủ công kết hợp cơ giới và máy rải dây, dây nhôm lõi thép (AC, ACSR), tiết diện dây &lt;= 50mm2</t>
  </si>
  <si>
    <t>M-BS12</t>
  </si>
  <si>
    <t>Máy rải dây</t>
  </si>
  <si>
    <t>66.303</t>
  </si>
  <si>
    <t>Rải căng dây lấy độ võng bằng thủ công kết hợp cơ giới và máy rải dây, dây nhôm lõi thép (AC, ACSR), tiết diện dây &lt;= 70mm2</t>
  </si>
  <si>
    <t>66.304</t>
  </si>
  <si>
    <t>Rải căng dây lấy độ võng bằng thủ công kết hợp cơ giới và máy rải dây, dây nhôm lõi thép (AC, ACSR), tiết diện dây &lt;= 95mm2</t>
  </si>
  <si>
    <t>66.335</t>
  </si>
  <si>
    <t>Rải căng dây lấy độ võng bằng thủ công kết hợp cơ giới và máy rải dây, dây nhôm lõi thép (AC, ACSR), tiết diện dây &lt;= 120mm2</t>
  </si>
  <si>
    <t>66.336</t>
  </si>
  <si>
    <t>Rải căng dây lấy độ võng bằng thủ công kết hợp cơ giới và máy rải dây, dây nhôm lõi thép (AC, ACSR), tiết diện dây &lt;= 150mm2</t>
  </si>
  <si>
    <t>66.337</t>
  </si>
  <si>
    <t>Rải căng dây lấy độ võng bằng thủ công kết hợp cơ giới và máy rải dây, dây nhôm lõi thép (AC, ACSR), tiết diện dây &lt;= 185mm2</t>
  </si>
  <si>
    <t>66.338</t>
  </si>
  <si>
    <t>Rải căng dây lấy độ võng bằng thủ công kết hợp cơ giới và máy rải dây, dây nhôm lõi thép (AC, ACSR), tiết diện dây &lt;= 240mm2</t>
  </si>
  <si>
    <t>66.339</t>
  </si>
  <si>
    <t>Rải căng dây lấy độ võng bằng thủ công kết hợp cơ giới và máy rải dây, dây nhôm lõi thép (AC, ACSR), tiết diện dây &lt;= 300mm2</t>
  </si>
  <si>
    <t>66.3310</t>
  </si>
  <si>
    <t>Rải căng dây lấy độ võng bằng thủ công kết hợp cơ giới và máy rải dây, dây nhôm lõi thép (AC, ACSR), tiết diện dây &lt;= 400mm2</t>
  </si>
  <si>
    <t>66.3311</t>
  </si>
  <si>
    <t>Rải căng dây lấy độ võng bằng thủ công kết hợp cơ giới và máy rải dây, dây nhôm lõi thép (AC, ACSR), tiết diện dây &lt;= 500mm2</t>
  </si>
  <si>
    <t>66.3312</t>
  </si>
  <si>
    <t>Rải căng dây lấy độ võng bằng thủ công kết hợp cơ giới và máy rải dây, dây nhôm lõi thép (AC, ACSR), tiết diện dây &gt;500mm2</t>
  </si>
  <si>
    <t>66.311</t>
  </si>
  <si>
    <t>Rải căng dây lấy độ võng bằng thủ công kết hợp cơ giới và máy rải dây, dây chống sét, tiết diện dây &lt;= 35mm2</t>
  </si>
  <si>
    <t>66.312</t>
  </si>
  <si>
    <t>Rải căng dây lấy độ võng bằng thủ công kết hợp cơ giới và máy rải dây, dây chống sét, tiết diện dây &lt;= 50mm2</t>
  </si>
  <si>
    <t>66.313</t>
  </si>
  <si>
    <t>Rải căng dây lấy độ võng bằng thủ công kết hợp cơ giới và máy rải dây, dây chống sét, tiết diện dây &lt;= 70mm2</t>
  </si>
  <si>
    <t>66.321</t>
  </si>
  <si>
    <t>Rải căng dây lấy độ võng bằng thủ công kết hợp cơ giới và máy rải dây, dây đồng (M), tiết diện dây &lt;= 35mm2</t>
  </si>
  <si>
    <t>66.322</t>
  </si>
  <si>
    <t>Rải căng dây lấy độ võng bằng thủ công kết hợp cơ giới và máy rải dây, dây đồng (M), tiết diện dây &lt;= 50mm2</t>
  </si>
  <si>
    <t>66.323</t>
  </si>
  <si>
    <t>Rải căng dây lấy độ võng bằng thủ công kết hợp cơ giới và máy rải dây, dây đồng (M), tiết diện dây &lt;= 70mm2</t>
  </si>
  <si>
    <t>66.324</t>
  </si>
  <si>
    <t>Rải căng dây lấy độ võng bằng thủ công kết hợp cơ giới và máy rải dây, dây đồng (M), tiết diện dây &lt;= 95mm2</t>
  </si>
  <si>
    <t>66.345</t>
  </si>
  <si>
    <t>Rải căng dây lấy độ võng bằng thủ công kết hợp cơ giới và máy rải dây, dây đồng (M), tiết diện dây &lt;= 120mm2</t>
  </si>
  <si>
    <t>66.346</t>
  </si>
  <si>
    <t>Rải căng dây lấy độ võng bằng thủ công kết hợp cơ giới và máy rải dây, dây đồng (M), tiết diện dây &lt;= 150mm2</t>
  </si>
  <si>
    <t>66.347</t>
  </si>
  <si>
    <t>Rải căng dây lấy độ võng bằng thủ công kết hợp cơ giới và máy rải dây, dây đồng (M), tiết diện dây &lt;= 185mm2</t>
  </si>
  <si>
    <t>66.348</t>
  </si>
  <si>
    <t>Rải căng dây lấy độ võng bằng thủ công kết hợp cơ giới và máy rải dây, dây đồng (M), tiết diện dây &lt;= 240mm2</t>
  </si>
  <si>
    <t>tr53</t>
  </si>
  <si>
    <t>Lắp đặt cáp vặn xoắn, loại cáp &lt;= 4 x 16 mm2</t>
  </si>
  <si>
    <t>Băng nilông các loại</t>
  </si>
  <si>
    <t>Xăng</t>
  </si>
  <si>
    <t>Lắp đặt cáp vặn xoắn, loại cáp &lt;= 4 x 25 mm2</t>
  </si>
  <si>
    <t>Lắp đặt cáp vặn xoắn, loại cáp &lt;= 4 x 35 mm2</t>
  </si>
  <si>
    <t>Lắp đặt cáp vặn xoắn, loại cáp &lt;= 4 x 50mm2</t>
  </si>
  <si>
    <t>Lắp đặt cáp vặn xoắn, loại cáp &lt;= 4 x 70mm2</t>
  </si>
  <si>
    <t>Lắp đặt cáp vặn xoắn, loại cáp &lt;= 4 x 95mm2</t>
  </si>
  <si>
    <t>Lắp đặt cáp vặn xoắn, loại cáp &lt;= 4 x 120mm2</t>
  </si>
  <si>
    <t>Lắp đặt cáp vặn xoắn, loại cáp &gt; 4 x 120mm2</t>
  </si>
  <si>
    <t>tr54</t>
  </si>
  <si>
    <t>D3.7101</t>
  </si>
  <si>
    <t>Kéo rải và căng dây cáp quang kết hợp dây chống sét, tiết diện dây &lt;= 70mm2</t>
  </si>
  <si>
    <t>M102.1105</t>
  </si>
  <si>
    <t>Tời điện, sức kéo 2T</t>
  </si>
  <si>
    <t>D3.7102</t>
  </si>
  <si>
    <t>Kéo rải và căng dây cáp quang kết hợp dây chống sét, tiết diện dây &gt; 70mm2</t>
  </si>
  <si>
    <t>tr55</t>
  </si>
  <si>
    <t>D3.7201</t>
  </si>
  <si>
    <t>Lắp đặt hộp và hàn nối cáp quang, số sợi quang trong hộp &lt;=12</t>
  </si>
  <si>
    <t>Gỗ nhóm 5</t>
  </si>
  <si>
    <t>M-BS5</t>
  </si>
  <si>
    <t>Máy hàn cáp sợi quang</t>
  </si>
  <si>
    <t>M108.0101</t>
  </si>
  <si>
    <t>Máy phát điện 1Kw</t>
  </si>
  <si>
    <t>D3.7202</t>
  </si>
  <si>
    <t>Lắp đặt hộp và hàn nối cáp quang, số sợi quang trong hộp &lt;=16</t>
  </si>
  <si>
    <t>D3.7203</t>
  </si>
  <si>
    <t>Lắp đặt hộp và hàn nối cáp quang, số sợi quang trong hộp &lt;=20</t>
  </si>
  <si>
    <t>D3.7204</t>
  </si>
  <si>
    <t>Lắp đặt hộp và hàn nối cáp quang, số sợi quang trong hộp &lt;=24</t>
  </si>
  <si>
    <t>D3.7205</t>
  </si>
  <si>
    <t>Lắp đặt hộp và hàn nối cáp quang, số sợi quang trong hộp &lt;=48</t>
  </si>
  <si>
    <t>D3.7206</t>
  </si>
  <si>
    <t>Lắp đặt hộp và hàn nối cáp quang, số sợi quang trong hộp &gt;48</t>
  </si>
  <si>
    <t>tr56</t>
  </si>
  <si>
    <t>Bảo vệ đường cáp ngầm bằng rải cát đệm</t>
  </si>
  <si>
    <t>Bảo vệ đường cáp ngầm bằng rải lưới ni lông</t>
  </si>
  <si>
    <t>Bảo vệ đường cáp ngầm bằng rải lưới thép</t>
  </si>
  <si>
    <t>Bảo vệ đường cáp ngầm bằng Xếp gạch chỉ</t>
  </si>
  <si>
    <t>Bảo vệ đường cáp ngầm bằng Xếp tấm đan bê tông có trọng lượng &lt;=20kg</t>
  </si>
  <si>
    <t>Bảo vệ đường cáp ngầm bằng Xếp tấm đan bê tông có trọng lượng &gt; 20kg</t>
  </si>
  <si>
    <t>Lắp đặt ống thép bảo vệ cáp, ống có đường kính D &lt;= 25 mm</t>
  </si>
  <si>
    <t>Coliê sắt</t>
  </si>
  <si>
    <t>Lắp đặt ống thép bảo vệ cáp, ống có đường kính D &lt;= 50 mm</t>
  </si>
  <si>
    <t>Lắp đặt ống thép bảo vệ cáp, ống có đường kính D &lt;= 75 mm</t>
  </si>
  <si>
    <t>Lắp đặt ống thép bảo vệ cáp, ống có đường kính D &lt;= 100 mm</t>
  </si>
  <si>
    <t>Lắp đặt ống thép bảo vệ cáp, ống có đường kính D &gt; 100 mm</t>
  </si>
  <si>
    <t>tr57</t>
  </si>
  <si>
    <t>Lắp đặt ống bảo vệ cáp qua đường, loại bằng ống gang, ống thép, ống có đường kính D &lt;= 120mm</t>
  </si>
  <si>
    <t>Xi măng PC30</t>
  </si>
  <si>
    <t>Amiăng</t>
  </si>
  <si>
    <t>Lắp đặt ống bảo vệ cáp qua đường, loại bằng ống gang, ống thép, ống có đường kính D &lt;= 220mm</t>
  </si>
  <si>
    <t>Lắp đặt ống bảo vệ cáp qua đường, loại ống bằng bê tông, ống có đường kính D &lt;= 150mm</t>
  </si>
  <si>
    <t>Cát vàng</t>
  </si>
  <si>
    <t>Lắp đặt ống bảo vệ cáp qua đường, loại ống bằng bê tông, ống có đường kính D &lt;= 250mm</t>
  </si>
  <si>
    <t>Lắp đặt ống nhựa bảo vệ cáp, ống có đường kính &lt;= 15mm</t>
  </si>
  <si>
    <t>Nhựa dán</t>
  </si>
  <si>
    <t>Lắp đặt ống nhựa bảo vệ cáp, ống có đường kính &lt;= 20mm</t>
  </si>
  <si>
    <t>Lắp đặt ống nhựa bảo vệ cáp, ống có đường kính &lt;= 25mm</t>
  </si>
  <si>
    <t>Ống nhựa PVC D25mm</t>
  </si>
  <si>
    <t>Lắp đặt ống nhựa bảo vệ cáp, ống có đường kính &lt;= 32mm</t>
  </si>
  <si>
    <t>Ống nhựa PVC D32mm</t>
  </si>
  <si>
    <t>Lắp đặt ống nhựa bảo vệ cáp, ống có đường kính &lt;= 40mm</t>
  </si>
  <si>
    <t>Ống nhựa PVC D40mm</t>
  </si>
  <si>
    <t>tr58</t>
  </si>
  <si>
    <t>Lắp đặt ống nhựa bảo vệ cáp, ống có đường kính &lt;= 50mm</t>
  </si>
  <si>
    <t>Ống nhựa PVC D50mm</t>
  </si>
  <si>
    <t>Lắp đặt ống nhựa bảo vệ cáp, ống có đường kính &lt;= 67mm</t>
  </si>
  <si>
    <t>Ống nhựa PVC D67mm</t>
  </si>
  <si>
    <t>Lắp đặt ống nhựa bảo vệ cáp, ống có đường kính &lt;= 76mm</t>
  </si>
  <si>
    <t>Ống nhựa PVC D76mm</t>
  </si>
  <si>
    <t>Lắp đặt ống nhựa bảo vệ cáp, ống có đường kính &lt;= 89mm</t>
  </si>
  <si>
    <t>Lắp đặt ống nhựa bảo vệ cáp, ống có đường kính &lt;= 100mm</t>
  </si>
  <si>
    <t>Lắp đặt ống nhựa bảo vệ cáp, ống có đường kính &lt;=110mm</t>
  </si>
  <si>
    <t>Lắp đặt ống nhựa bảo vệ cáp, ống có đường kính &lt;= 150mm</t>
  </si>
  <si>
    <t>Lắp đặt ống nhựa bảo vệ cáp, ống có đường kính &lt;= 200mm</t>
  </si>
  <si>
    <t>Lắp đặt ống nhựa bảo vệ cáp, ống có đường kính &lt;= 250mm</t>
  </si>
  <si>
    <t>Ống nhựa PVC D250mm</t>
  </si>
  <si>
    <t>tr59</t>
  </si>
  <si>
    <t>Kéo rải và lắp cố định đường cáp ngầm, trọng lượng cáp &lt;= 1kg/m</t>
  </si>
  <si>
    <t>Kéo rải và lắp cố định đường cáp ngầm, trọng lượng cáp &lt;= 2kg/m</t>
  </si>
  <si>
    <t>Kéo rải và lắp cố định đường cáp ngầm, trọng lượng cáp &lt;= 3kg/m</t>
  </si>
  <si>
    <t>Kéo rải và lắp cố định đường cáp ngầm, trọng lượng cáp &lt;= 4,5kg/m</t>
  </si>
  <si>
    <t>Kéo rải và lắp cố định đường cáp ngầm, trọng lượng cáp &lt;= 6kg/m</t>
  </si>
  <si>
    <t>tr60</t>
  </si>
  <si>
    <t>Kéo rải và lắp cố định đường cáp ngầm, trọng lượng cáp &lt;=7,5kg/m</t>
  </si>
  <si>
    <t>Kéo rải và lắp cố định đường cáp ngầm, trọng lượng cáp &lt;= 9kg/m</t>
  </si>
  <si>
    <t>Kéo rải và lắp cố định đường cáp ngầm, trọng lượng cáp &lt;= 10,5kg/m</t>
  </si>
  <si>
    <t>Kéo rải và lắp cố định đường cáp ngầm, trọng lượng cáp &lt;= 12kg/m</t>
  </si>
  <si>
    <t>Kéo rải và lắp cố định đường cáp ngầm, trọng lượng cáp &lt;= 15kg/m</t>
  </si>
  <si>
    <t>Kéo rải và lắp cố định đường cáp ngầm, trọng lượng cáp &lt;= 18kg/m</t>
  </si>
  <si>
    <t>Kéo rải và lắp cố định đường cáp ngầm, trọng lượng cáp &lt;= 21kg/m</t>
  </si>
  <si>
    <t>Kéo rải và lắp cố định đường cáp ngầm, trọng lượng cáp &lt; =24kg/m</t>
  </si>
  <si>
    <t>Kéo rải và lắp cố định đường cáp ngầm, trọng lượng cáp &lt;= 28kg/m</t>
  </si>
  <si>
    <t>Kéo rải và lắp cố định đường cáp ngầm, trọng lượng cáp &lt;= 32kg/m</t>
  </si>
  <si>
    <t>D4.2201</t>
  </si>
  <si>
    <t>Lắp đặt cáp trên giá đỡ đặt ở tường, trong hầm cáp, trọng lượng cáp &lt; =1kg/m</t>
  </si>
  <si>
    <t>D4.2202</t>
  </si>
  <si>
    <t>Lắp đặt cáp trên giá đỡ đặt ở tường, trong hầm cáp, trọng lượng cáp &lt; =2kg/m</t>
  </si>
  <si>
    <t>D4.2203</t>
  </si>
  <si>
    <t>Lắp đặt cáp trên giá đỡ đặt ở tường, trong hầm cáp, trọng lượng cáp &lt; =3kg/m</t>
  </si>
  <si>
    <t>D4.2204</t>
  </si>
  <si>
    <t>Lắp đặt cáp trên giá đỡ đặt ở tường, trong hầm cáp, trọng lượng cáp &lt; =4,5kg/m</t>
  </si>
  <si>
    <t>D4.2205</t>
  </si>
  <si>
    <t>Lắp đặt cáp trên giá đỡ đặt ở tường, trong hầm cáp, trọng lượng cáp &lt;= 6kg/m</t>
  </si>
  <si>
    <t>tr61</t>
  </si>
  <si>
    <t>D4.2206</t>
  </si>
  <si>
    <t>Lắp đặt cáp trên giá đỡ đặt ở tường, trong hầm cáp, trọng lượng cáp &lt; =7,8kg/m</t>
  </si>
  <si>
    <t>D4.2207</t>
  </si>
  <si>
    <t>Lắp đặt cáp trên giá đỡ đặt ở tường, trong hầm cáp, trọng lượng cáp &lt; =9kg/m</t>
  </si>
  <si>
    <t>D4.2208</t>
  </si>
  <si>
    <t>Lắp đặt cáp trên giá đỡ đặt ở tường, trong hầm cáp, trọng lượng cáp &lt; =10,5kg/m</t>
  </si>
  <si>
    <t>D4.2209</t>
  </si>
  <si>
    <t>Lắp đặt cáp trên giá đỡ đặt ở tường, trong hầm cáp, trọng lượng cáp &lt; =12kg/m</t>
  </si>
  <si>
    <t>Lắp đặt cáp trên giá đỡ đặt ở tường, trong hầm cáp, trọng lượng cáp &lt; =15kg/m</t>
  </si>
  <si>
    <t>Lắp đặt cáp trên giá đỡ đặt ở tường, trong hầm cáp, trọng lượng cáp &lt;= 18kg/m</t>
  </si>
  <si>
    <t>Lắp đặt cáp trên giá đỡ đặt ở tường, trong hầm cáp, trọng lượng cáp &lt;= 21kg/m</t>
  </si>
  <si>
    <t>Lắp đặt cáp trên giá đỡ đặt ở tường, trong hầm cáp, trọng lượng cáp &lt;= 24kg/m</t>
  </si>
  <si>
    <t>Lắp đặt cáp trên giá đỡ đặt ở tường, trong hầm cáp, trọng lượng cáp &lt;= 28kg/m</t>
  </si>
  <si>
    <t>Lắp đặt cáp trên giá đỡ đặt ở tường, trong hầm cáp, trọng lượng cáp &lt;= 32kg/m</t>
  </si>
  <si>
    <t>tr62</t>
  </si>
  <si>
    <t>D4.2301</t>
  </si>
  <si>
    <t>Lắp đặt cáp treo trên dây thép, trọng lượng cáp &lt;= 1kg/m</t>
  </si>
  <si>
    <t xml:space="preserve">Dây thép d=4 </t>
  </si>
  <si>
    <t>D4.2302</t>
  </si>
  <si>
    <t>Lắp đặt cáp treo trên dây thép, trọng lượng cáp &lt; =2kg/m</t>
  </si>
  <si>
    <t>D4.2303</t>
  </si>
  <si>
    <t>Lắp đặt cáp treo trên dây thép, trọng lượng cáp &lt; =3kg/m</t>
  </si>
  <si>
    <t>D4.2304</t>
  </si>
  <si>
    <t>Lắp đặt cáp treo trên dây thép, trọng lượng cáp &lt;= 4,5kg/m</t>
  </si>
  <si>
    <t>D4.2305</t>
  </si>
  <si>
    <t>Lắp đặt cáp treo trên dây thép, trọng lượng cáp &lt;= 6kg/m</t>
  </si>
  <si>
    <t>D4.2306</t>
  </si>
  <si>
    <t>Lắp đặt cáp treo trên dây thép, trọng lượng cáp &lt; =7,5kg/m</t>
  </si>
  <si>
    <t>D4.2307</t>
  </si>
  <si>
    <t>Lắp đặt cáp treo trên dây thép, trọng lượng cáp &lt;= 9kg/m</t>
  </si>
  <si>
    <t>D4.2308</t>
  </si>
  <si>
    <t>Lắp đặt cáp treo trên dây thép, trọng lượng cáp &lt;= 10,5kg/m</t>
  </si>
  <si>
    <t>D4.2309</t>
  </si>
  <si>
    <t>Lắp đặt cáp treo trên dây thép, trọng lượng cáp &lt;=12kg/m</t>
  </si>
  <si>
    <t>Lắp đặt cáp trong ống bảo vệ, trọng lượng cáp &lt;= 1kg/m</t>
  </si>
  <si>
    <t>Lắp đặt cáp trong ống bảo vệ, trọng lượng cáp &lt;= 2kg/m</t>
  </si>
  <si>
    <t>Lắp đặt cáp trong ống bảo vệ, trọng lượng cáp &lt; =3kg/m</t>
  </si>
  <si>
    <t>D4.2404</t>
  </si>
  <si>
    <t>Lắp đặt cáp trong ống bảo vệ, trọng lượng cáp &lt; =4,5kg/m</t>
  </si>
  <si>
    <t>D4.2405</t>
  </si>
  <si>
    <t>Lắp đặt cáp trong ống bảo vệ, trọng lượng cáp &lt;= 6kg/m</t>
  </si>
  <si>
    <t>D4.2406</t>
  </si>
  <si>
    <t>Lắp đặt cáp trong ống bảo vệ, trọng lượng cáp &lt;= 7,5kg/m</t>
  </si>
  <si>
    <t>D4.2407</t>
  </si>
  <si>
    <t>Lắp đặt cáp trong ống bảo vệ, trọng lượng cáp &lt; =9kg/m</t>
  </si>
  <si>
    <t>Lắp đặt cáp trong ống bảo vệ, trọng lượng cáp &lt;= 10,5kg/m</t>
  </si>
  <si>
    <t>D4.2409</t>
  </si>
  <si>
    <t>Lắp đặt cáp trong ống bảo vệ, trọng lượng cáp &lt;= 12kg/m</t>
  </si>
  <si>
    <t>Lắp đặt cáp trong ống bảo vệ, trọng lượng cáp &lt;=15kg/m</t>
  </si>
  <si>
    <t>tr64</t>
  </si>
  <si>
    <t>Lắp đặt cáp trong ống bảo vệ, trọng lượng cáp &lt;= 18kg/m</t>
  </si>
  <si>
    <t>Lắp đặt cáp trong ống bảo vệ, trọng lượng cáp &lt;= 21kg/m</t>
  </si>
  <si>
    <t>Lắp đặt cáp trong ống bảo vệ, trọng lượng cáp &lt;= 24kg/m</t>
  </si>
  <si>
    <t>Lắp đặt cáp trong ống bảo vệ, trọng lượng cáp &lt;=28kg/m</t>
  </si>
  <si>
    <t>Lắp đặt cáp trong ống bảo vệ, trọng lượng cáp &lt;= 32kg/m</t>
  </si>
  <si>
    <t>tr65</t>
  </si>
  <si>
    <t>D4.3111</t>
  </si>
  <si>
    <t>Làm đầu cáp khô 3-15KV từ 3 đến 4 ruột, cáp có tiết diện &lt;= 35mm2</t>
  </si>
  <si>
    <t>D4.3112</t>
  </si>
  <si>
    <t>Làm đầu cáp khô 3-15KV từ 3 đến 4 ruột, cáp có tiết diện &lt;= 70mm2</t>
  </si>
  <si>
    <t>D4.3113</t>
  </si>
  <si>
    <t>Làm đầu cáp khô 3-15KV từ 3 đến 4 ruột, cáp có tiết diện &lt;= 120mm2</t>
  </si>
  <si>
    <t>Làm đầu cáp khô 3-15KV từ 3 đến 4 ruột, cáp có tiết diện &lt;=185mm2</t>
  </si>
  <si>
    <t>tr66</t>
  </si>
  <si>
    <t>D4.3115</t>
  </si>
  <si>
    <t>Làm đầu cáp khô 3-15KV từ 3 đến 4 ruột, cáp có tiết diện &lt;= 240mm2</t>
  </si>
  <si>
    <t>D4.3116</t>
  </si>
  <si>
    <t>Làm đầu cáp khô 3-15KV từ 3 đến 4 ruột, cáp có tiết diện &lt;=300mm2</t>
  </si>
  <si>
    <t>D4.3117</t>
  </si>
  <si>
    <t>Làm đầu cáp khô 3-15KV từ 3 đến 4 ruột, cáp có tiết diện &lt;=400mm2</t>
  </si>
  <si>
    <t>D4.3121</t>
  </si>
  <si>
    <t>Làm đầu cáp khô 3-15KV, Phễu cáp bằng tôn, cáp có tiết diện &lt;=35mm2</t>
  </si>
  <si>
    <t>1 đầu 3 pha</t>
  </si>
  <si>
    <t>Phễu cáp bằng tôn loại &lt;=35mm2</t>
  </si>
  <si>
    <t>Dây đồng 25mm2</t>
  </si>
  <si>
    <t>D4.3122</t>
  </si>
  <si>
    <t>Làm đầu cáp khô 3-15KV, Phễu cáp bằng tôn, cáp có tiết diện &lt;=70mm2</t>
  </si>
  <si>
    <t>Phễu cáp bằng tôn loại &lt;=70mm2</t>
  </si>
  <si>
    <t>D4.3123</t>
  </si>
  <si>
    <t>Làm đầu cáp khô 3-15KV, Phễu cáp bằng tôn, cáp có tiết diện &lt;=120mm2</t>
  </si>
  <si>
    <t>Phễu cáp bằng tôn loại &lt;=120mm2</t>
  </si>
  <si>
    <t>D4.3124</t>
  </si>
  <si>
    <t>Làm đầu cáp khô 3-15KV, Phễu cáp bằng tôn, cáp có tiết diện &lt;=185mm2</t>
  </si>
  <si>
    <t>Phễu cáp bằng tôn loại &lt;=185mm2</t>
  </si>
  <si>
    <t>D4.3125</t>
  </si>
  <si>
    <t>Làm đầu cáp khô 3-15KV, Phễu cáp bằng tôn, cáp có tiết diện &lt;=240mm2</t>
  </si>
  <si>
    <t>Phễu cáp bằng tôn loại &lt;=240mm2</t>
  </si>
  <si>
    <t>D4.3126</t>
  </si>
  <si>
    <t>Làm đầu cáp khô 3-15KV, Phễu cáp bằng tôn, cáp có tiết diện &lt;=300mm2</t>
  </si>
  <si>
    <t>Phễu cáp bằng tôn loại &lt;=300mm2</t>
  </si>
  <si>
    <t>D4.3127</t>
  </si>
  <si>
    <t>Làm đầu cáp khô 3-15KV, Phễu cáp bằng tôn, cáp có tiết diện &lt;=400mm2</t>
  </si>
  <si>
    <t>Phễu cáp bằng tôn loại &lt;=400mm2</t>
  </si>
  <si>
    <t>D4.3131</t>
  </si>
  <si>
    <t>Làm đầu cáp khô 3-15KV, Phễu cáp bằng gang, cáp có tiết diện &lt;=35mm2</t>
  </si>
  <si>
    <t>Phễu cáp bằng gang loại &lt;=35mm2</t>
  </si>
  <si>
    <t>D4.3132</t>
  </si>
  <si>
    <t>Làm đầu cáp khô 3-15KV, Phễu cáp bằng gang, cáp có tiết diện &lt;=70mm2</t>
  </si>
  <si>
    <t>Phễu cáp bằng gang loại &lt;=70mm2</t>
  </si>
  <si>
    <t>D4.3133</t>
  </si>
  <si>
    <t>Làm đầu cáp khô 3-15KV, Phễu cáp bằng gang, cáp có tiết diện &lt;=120mm2</t>
  </si>
  <si>
    <t>Phễu cáp bằng gang loại &lt;=120mm2</t>
  </si>
  <si>
    <t>D4.3134</t>
  </si>
  <si>
    <t>Làm đầu cáp khô 3-15KV, Phễu cáp bằng gang, cáp có tiết diện &lt;=185mm2</t>
  </si>
  <si>
    <t>Phễu cáp bằng gang loại &lt;=185mm2</t>
  </si>
  <si>
    <t>D4.3135</t>
  </si>
  <si>
    <t>Làm đầu cáp khô 3-15KV, Phễu cáp bằng gang, cáp có tiết diện &lt;=240mm2</t>
  </si>
  <si>
    <t>Phễu cáp bằng gang loại &lt;=240mm2</t>
  </si>
  <si>
    <t>D4.3136</t>
  </si>
  <si>
    <t>Làm đầu cáp khô 3-15KV, Phễu cáp bằng gang, cáp có tiết diện &lt;=300mm2</t>
  </si>
  <si>
    <t>Phễu cáp bằng gang loại &lt;=300mm2</t>
  </si>
  <si>
    <t>D4.3137</t>
  </si>
  <si>
    <t>Làm đầu cáp khô 3-15KV, Phễu cáp bằng gang, cáp có tiết diện &lt;=400mm2</t>
  </si>
  <si>
    <t>Phễu cáp bằng gang loại &lt;=400mm2</t>
  </si>
  <si>
    <t>tr67</t>
  </si>
  <si>
    <t>Làm đầu cáp lực 3 đến 6KV 1 pha, cáp có tiết diện &lt;=35mm2</t>
  </si>
  <si>
    <t>Làm đầu cáp lực 3 đến 6KV 1 pha, cáp có tiết diện &lt; =70mm2</t>
  </si>
  <si>
    <t>Làm đầu cáp lực 3 đến 6KV 1 pha, cáp có tiết diện &lt; =120mm2</t>
  </si>
  <si>
    <t>Làm đầu cáp lực 3 đến 6KV 1 pha, cáp có tiết diện &lt;=185mm2</t>
  </si>
  <si>
    <t>tr68</t>
  </si>
  <si>
    <t>Làm đầu cáp lực 3 đến 6KV 1 pha, cáp có tiết diện &lt;= 240mm2</t>
  </si>
  <si>
    <t>Làm đầu cáp lực 3 đến 6KV 1 pha, cáp có tiết diện &lt;=300mm2</t>
  </si>
  <si>
    <t>Làm đầu cáp lực 3 đến 6KV 1 pha, cáp có tiết diện &lt;=400mm2</t>
  </si>
  <si>
    <t>D4.3221</t>
  </si>
  <si>
    <t>Làm đầu cáp lực10 đến 15KV 1 pha, cáp có tiết diện &lt;= 35mm2</t>
  </si>
  <si>
    <t>D4.3222</t>
  </si>
  <si>
    <t>Làm đầu cáp lực10 đến 15KV 1 pha, cáp có tiết diện &lt;= 70mm2</t>
  </si>
  <si>
    <t>D4.3223</t>
  </si>
  <si>
    <t>Làm đầu cáp lực10 đến 15KV 1 pha, cáp có tiết diện &lt;= 120mm2</t>
  </si>
  <si>
    <t>D4.3224</t>
  </si>
  <si>
    <t>Làm đầu cáp lực10 đến 15KV 1 pha, cáp có tiết diện &lt;= 185mm2</t>
  </si>
  <si>
    <t>D4.3225</t>
  </si>
  <si>
    <t>Làm đầu cáp lực10 đến 15KV 1 pha, cáp có tiết diện &lt;= 240mm2</t>
  </si>
  <si>
    <t>D4.3226</t>
  </si>
  <si>
    <t>Làm đầu cáp lực10 đến 15KV 1 pha, cáp có tiết diện &lt;= 300mm2</t>
  </si>
  <si>
    <t>D4.3227</t>
  </si>
  <si>
    <t>Làm đầu cáp lực10 đến 15KV 1 pha, cáp có tiết diện &lt;= 400mm2</t>
  </si>
  <si>
    <t>D4.3231</t>
  </si>
  <si>
    <t>Làm đầu cáp lực 3-15KV, Phễu cáp bằng tôn, cáp có tiết diện &lt;=35mm2</t>
  </si>
  <si>
    <t>D4.3232</t>
  </si>
  <si>
    <t>Làm đầu cáp lực 3-15KV, Phễu cáp bằng tôn, cáp có tiết diện &lt;=70mm2</t>
  </si>
  <si>
    <t>D4.3233</t>
  </si>
  <si>
    <t>Làm đầu cáp lực 3-15KV, Phễu cáp bằng tôn, cáp có tiết diện &lt;=120mm2</t>
  </si>
  <si>
    <t>D4.3234</t>
  </si>
  <si>
    <t>Làm đầu cáp lực 3-15KV, Phễu cáp bằng tôn, cáp có tiết diện &lt;=185mm2</t>
  </si>
  <si>
    <t>D4.3235</t>
  </si>
  <si>
    <t>Làm đầu cáp lực 3-15KV, Phễu cáp bằng tôn, cáp có tiết diện &lt;=240mm2</t>
  </si>
  <si>
    <t>D4.3236</t>
  </si>
  <si>
    <t>Làm đầu cáp lực 3-15KV, Phễu cáp bằng tôn, cáp có tiết diện &lt;=300mm2</t>
  </si>
  <si>
    <t>D4.3237</t>
  </si>
  <si>
    <t>Làm đầu cáp lực 3-15KV, Phễu cáp bằng tôn, cáp có tiết diện &lt;=400mm2</t>
  </si>
  <si>
    <t>D4.3241</t>
  </si>
  <si>
    <t>Làm đầu cáp lực 10-15Kv, Phễu cáp bằng tôn, cáp có tiết diện &lt;=35mm2</t>
  </si>
  <si>
    <t>D4.3242</t>
  </si>
  <si>
    <t>Làm đầu cáp lực 10-15Kv, Phễu cáp bằng tôn, cáp có tiết diện &lt;=70mm2</t>
  </si>
  <si>
    <t>D4.3243</t>
  </si>
  <si>
    <t>Làm đầu cáp lực 10-15Kv, Phễu cáp bằng tôn, cáp có tiết diện &lt;=120mm2</t>
  </si>
  <si>
    <t>D4.3244</t>
  </si>
  <si>
    <t>Làm đầu cáp lực 10-15Kv, Phễu cáp bằng tôn, cáp có tiết diện &lt;=185mm2</t>
  </si>
  <si>
    <t>D4.3245</t>
  </si>
  <si>
    <t>Làm đầu cáp lực 10-15Kv, Phễu cáp bằng tôn, cáp có tiết diện &lt;=240mm2</t>
  </si>
  <si>
    <t>D4.3246</t>
  </si>
  <si>
    <t>Làm đầu cáp lực 10-15Kv, Phễu cáp bằng tôn, cáp có tiết diện &lt;=300mm2</t>
  </si>
  <si>
    <t>D4.3247</t>
  </si>
  <si>
    <t>Làm đầu cáp lực 10-15Kv, Phễu cáp bằng tôn, cáp có tiết diện &lt;=400mm2</t>
  </si>
  <si>
    <t>D4.2351</t>
  </si>
  <si>
    <t>Làm đầu cáp lực 3-15KV, Phễu cáp bằng gang, cáp có tiết diện &lt;=35mm2</t>
  </si>
  <si>
    <t>D4.2352</t>
  </si>
  <si>
    <t>Làm đầu cáp lực 3-15KV, Phễu cáp bằng gang, cáp có tiết diện &lt;=70mm2</t>
  </si>
  <si>
    <t>D4.2353</t>
  </si>
  <si>
    <t>Làm đầu cáp lực 3-15KV, Phễu cáp bằng gang, cáp có tiết diện &lt;=120mm2</t>
  </si>
  <si>
    <t>D4.2354</t>
  </si>
  <si>
    <t>Làm đầu cáp lực 3-15KV, Phễu cáp bằng gang, cáp có tiết diện &lt;=185mm2</t>
  </si>
  <si>
    <t>D4.2355</t>
  </si>
  <si>
    <t>Làm đầu cáp lực 3-15KV, Phễu cáp bằng gang, cáp có tiết diện &lt;=240mm2</t>
  </si>
  <si>
    <t>D4.2356</t>
  </si>
  <si>
    <t>Làm đầu cáp lực 3-15KV, Phễu cáp bằng gang, cáp có tiết diện &lt;=300mm2</t>
  </si>
  <si>
    <t>D4.2357</t>
  </si>
  <si>
    <t>Làm đầu cáp lực 3-15KV, Phễu cáp bằng gang, cáp có tiết diện &lt;=400mm2</t>
  </si>
  <si>
    <t>D4.3261</t>
  </si>
  <si>
    <t>Làm đầu cáp lực 10-15Kv, Phễu cáp bằng gang, cáp có tiết diện &lt;=35mm2</t>
  </si>
  <si>
    <t>D4.3262</t>
  </si>
  <si>
    <t>Làm đầu cáp lực 10-15Kv, Phễu cáp bằng gang, cáp có tiết diện &lt;=70mm2</t>
  </si>
  <si>
    <t>D4.3263</t>
  </si>
  <si>
    <t>Làm đầu cáp lực 10-15Kv, Phễu cáp bằng gang, cáp có tiết diện &lt;=120mm2</t>
  </si>
  <si>
    <t>D4.3264</t>
  </si>
  <si>
    <t>Làm đầu cáp lực 10-15Kv, Phễu cáp bằng gang, cáp có tiết diện &lt;=185mm2</t>
  </si>
  <si>
    <t>D4.3265</t>
  </si>
  <si>
    <t>Làm đầu cáp lực 10-15Kv, Phễu cáp bằng gang, cáp có tiết diện &lt;=240mm2</t>
  </si>
  <si>
    <t>D4.3266</t>
  </si>
  <si>
    <t>Làm đầu cáp lực 10-15Kv, Phễu cáp bằng gang, cáp có tiết diện &lt;=300mm2</t>
  </si>
  <si>
    <t>D4.3267</t>
  </si>
  <si>
    <t>Làm đầu cáp lực 10-15Kv, Phễu cáp bằng gang, cáp có tiết diện &lt;=400mm2</t>
  </si>
  <si>
    <t>tr69</t>
  </si>
  <si>
    <t>Làm đầu cáp lực, cáp khô 22KV 1 pha, cáp có tiết diện &lt;=35mm2</t>
  </si>
  <si>
    <t>Làm đầu cáp lực, cáp khô 22KV 1 pha, cáp có tiết diện &lt; =70mm2</t>
  </si>
  <si>
    <t>Làm đầu cáp lực, cáp khô 22KV 1 pha, cáp có tiết diện &lt; =120mm2</t>
  </si>
  <si>
    <t>Làm đầu cáp lực, cáp khô 22KV 1 pha, cáp có tiết diện &lt;=185mm2</t>
  </si>
  <si>
    <t>tr70</t>
  </si>
  <si>
    <t>D4.3315</t>
  </si>
  <si>
    <t>Làm đầu cáp lực, cáp khô 22KV 1 pha, cáp có tiết diện &lt;= 240mm2</t>
  </si>
  <si>
    <t>D4.3316</t>
  </si>
  <si>
    <t>Làm đầu cáp lực, cáp khô 22KV 1 pha, cáp có tiết diện &lt;=300mm2</t>
  </si>
  <si>
    <t>D4.3317</t>
  </si>
  <si>
    <t>Làm đầu cáp lực, cáp khô 22KV 1 pha, cáp có tiết diện &lt;=400mm2</t>
  </si>
  <si>
    <t>D4.3321</t>
  </si>
  <si>
    <t>Làm đầu cáp lực, cáp khô 35KV 1 pha, cáp có tiết diện &lt;=35mm2</t>
  </si>
  <si>
    <t>D4.3322</t>
  </si>
  <si>
    <t>Làm đầu cáp lực, cáp khô 35KV 1 pha, cáp có tiết diện &lt; =70mm2</t>
  </si>
  <si>
    <t>D4.3323</t>
  </si>
  <si>
    <t>Làm đầu cáp lực, cáp khô 35KV 1 pha, cáp có tiết diện &lt; =120mm2</t>
  </si>
  <si>
    <t>D4.3324</t>
  </si>
  <si>
    <t>Làm đầu cáp lực, cáp khô 35KV 1 pha, cáp có tiết diện &lt;=185mm2</t>
  </si>
  <si>
    <t>D4.3325</t>
  </si>
  <si>
    <t>Làm đầu cáp lực, cáp khô 35KV 1 pha, cáp có tiết diện &lt;= 240mm2</t>
  </si>
  <si>
    <t>D4.3326</t>
  </si>
  <si>
    <t>Làm đầu cáp lực, cáp khô 35KV 1 pha, cáp có tiết diện &lt;=300mm2</t>
  </si>
  <si>
    <t>D4.3327</t>
  </si>
  <si>
    <t>Làm đầu cáp lực, cáp khô 35KV 1 pha, cáp có tiết diện &lt;=400mm2</t>
  </si>
  <si>
    <t>D4.3331</t>
  </si>
  <si>
    <t>Làm đầu cáp lực 22KV, Phễu cáp bằng tôn, cáp có tiết diện &lt;=35mm2</t>
  </si>
  <si>
    <t>Giấy ráp</t>
  </si>
  <si>
    <t>Ma tít</t>
  </si>
  <si>
    <t>D4.3332</t>
  </si>
  <si>
    <t>Làm đầu cáp lực 22KV, Phễu cáp bằng tôn, cáp có tiết diện &lt;=70mm2</t>
  </si>
  <si>
    <t>D4.3333</t>
  </si>
  <si>
    <t>Làm đầu cáp lực 22KV, Phễu cáp bằng tôn, cáp có tiết diện &lt;=120mm2</t>
  </si>
  <si>
    <t>D4.3334</t>
  </si>
  <si>
    <t>Làm đầu cáp lực 22KV, Phễu cáp bằng tôn, cáp có tiết diện &lt;=185mm2</t>
  </si>
  <si>
    <t>D4.3335</t>
  </si>
  <si>
    <t>Làm đầu cáp lực 22KV, Phễu cáp bằng tôn, cáp có tiết diện &lt;=240mm2</t>
  </si>
  <si>
    <t>D4.3336</t>
  </si>
  <si>
    <t>Làm đầu cáp lực 22KV, Phễu cáp bằng tôn, cáp có tiết diện &lt;=300mm2</t>
  </si>
  <si>
    <t>D4.3337</t>
  </si>
  <si>
    <t>Làm đầu cáp lực 22KV, Phễu cáp bằng tôn, cáp có tiết diện &lt;=400mm2</t>
  </si>
  <si>
    <t>D4.3341</t>
  </si>
  <si>
    <t>Làm đầu cáp lực 35KV, Phễu cáp bằng tôn, cáp có tiết diện &lt;=35mm2</t>
  </si>
  <si>
    <t>D4.3342</t>
  </si>
  <si>
    <t>Làm đầu cáp lực 35KV, Phễu cáp bằng tôn, cáp có tiết diện &lt;=70mm2</t>
  </si>
  <si>
    <t>D4.3343</t>
  </si>
  <si>
    <t>Làm đầu cáp lực 35KV, Phễu cáp bằng tôn, cáp có tiết diện &lt;=120mm2</t>
  </si>
  <si>
    <t>D4.3344</t>
  </si>
  <si>
    <t>Làm đầu cáp lực 35KV, Phễu cáp bằng tôn, cáp có tiết diện &lt;=185mm2</t>
  </si>
  <si>
    <t>D4.3345</t>
  </si>
  <si>
    <t>Làm đầu cáp lực 35KV, Phễu cáp bằng tôn, cáp có tiết diện &lt;=240mm2</t>
  </si>
  <si>
    <t>D4.3346</t>
  </si>
  <si>
    <t>Làm đầu cáp lực 35KV, Phễu cáp bằng tôn, cáp có tiết diện &lt;=300mm2</t>
  </si>
  <si>
    <t>D4.3347</t>
  </si>
  <si>
    <t>Làm đầu cáp lực 35KV, Phễu cáp bằng tôn, cáp có tiết diện &lt;=400mm2</t>
  </si>
  <si>
    <t>D4.3351</t>
  </si>
  <si>
    <t>Làm đầu cáp lực 22KV, Phễu cáp bằng gang, cáp có tiết diện &lt;=35mm2</t>
  </si>
  <si>
    <t>D4.3352</t>
  </si>
  <si>
    <t>Làm đầu cáp lực 22KV, Phễu cáp bằng gang, cáp có tiết diện &lt;=70mm2</t>
  </si>
  <si>
    <t>D4.3353</t>
  </si>
  <si>
    <t>Làm đầu cáp lực 22KV, Phễu cáp bằng gang, cáp có tiết diện &lt;=120mm2</t>
  </si>
  <si>
    <t>D4.3354</t>
  </si>
  <si>
    <t>Làm đầu cáp lực 22KV, Phễu cáp bằng gang, cáp có tiết diện &lt;=185mm2</t>
  </si>
  <si>
    <t>D4.3355</t>
  </si>
  <si>
    <t>Làm đầu cáp lực 22KV, Phễu cáp bằng gang, cáp có tiết diện &lt;=240mm2</t>
  </si>
  <si>
    <t>D4.3356</t>
  </si>
  <si>
    <t>Làm đầu cáp lực 22KV, Phễu cáp bằng gang, cáp có tiết diện &lt;=300mm2</t>
  </si>
  <si>
    <t>D4.3357</t>
  </si>
  <si>
    <t>Làm đầu cáp lực 22KV, Phễu cáp bằng gang, cáp có tiết diện &lt;=400mm2</t>
  </si>
  <si>
    <t>D4.3361</t>
  </si>
  <si>
    <t>Làm đầu cáp lực 35KV, Phễu cáp bằng gang, cáp có tiết diện &lt;=35mm2</t>
  </si>
  <si>
    <t>D4.3362</t>
  </si>
  <si>
    <t>Làm đầu cáp lực 35KV, Phễu cáp bằng gang, cáp có tiết diện &lt;=70mm2</t>
  </si>
  <si>
    <t>D4.3363</t>
  </si>
  <si>
    <t>Làm đầu cáp lực 35KV, Phễu cáp bằng gang, cáp có tiết diện &lt;=120mm2</t>
  </si>
  <si>
    <t>D4.3364</t>
  </si>
  <si>
    <t>Làm đầu cáp lực 35KV, Phễu cáp bằng gang, cáp có tiết diện &lt;=185mm2</t>
  </si>
  <si>
    <t>D4.3365</t>
  </si>
  <si>
    <t>Làm đầu cáp lực 35KV, Phễu cáp bằng gang, cáp có tiết diện &lt;=240mm2</t>
  </si>
  <si>
    <t>D4.3366</t>
  </si>
  <si>
    <t>Làm đầu cáp lực 35KV, Phễu cáp bằng gang, cáp có tiết diện &lt;=300mm2</t>
  </si>
  <si>
    <t>D4.3367</t>
  </si>
  <si>
    <t>Làm đầu cáp lực 35KV, Phễu cáp bằng gang, cáp có tiết diện &lt;=400mm2</t>
  </si>
  <si>
    <t>tr71</t>
  </si>
  <si>
    <t>Làm đầu cáp lực, cáp khô 66KV 1 pha, cáp có tiết diện &lt;=35mm2</t>
  </si>
  <si>
    <t>Làm đầu cáp lực, cáp khô 66KV 1 pha, cáp có tiết diện &lt; =70mm2</t>
  </si>
  <si>
    <t>Làm đầu cáp lực, cáp khô 66KV 1 pha, cáp có tiết diện &lt; =120mm2</t>
  </si>
  <si>
    <t>Làm đầu cáp lực, cáp khô 66KV 1 pha, cáp có tiết diện &lt;=185mm2</t>
  </si>
  <si>
    <t>tr72</t>
  </si>
  <si>
    <t>Làm đầu cáp lực, cáp khô 66KV 1 pha, cáp có tiết diện &lt;= 240mm2</t>
  </si>
  <si>
    <t>Làm đầu cáp lực, cáp khô 66KV 1 pha, cáp có tiết diện &lt;=300mm2</t>
  </si>
  <si>
    <t>Làm đầu cáp lực, cáp khô 66KV 1 pha, cáp có tiết diện &lt;=400mm2</t>
  </si>
  <si>
    <t>D4.3421</t>
  </si>
  <si>
    <t>Làm đầu cáp lực, cáp khô 110KV 1 pha, cáp có tiết diện &lt;=35mm2</t>
  </si>
  <si>
    <t>D4.3422</t>
  </si>
  <si>
    <t>Làm đầu cáp lực, cáp khô 110KV 1 pha, cáp có tiết diện &lt; =70mm2</t>
  </si>
  <si>
    <t>D4.3423</t>
  </si>
  <si>
    <t>Làm đầu cáp lực, cáp khô 110KV 1 pha, cáp có tiết diện &lt; =120mm2</t>
  </si>
  <si>
    <t>D4.3424</t>
  </si>
  <si>
    <t>Làm đầu cáp lực, cáp khô 110KV 1 pha, cáp có tiết diện &lt;=185mm2</t>
  </si>
  <si>
    <t>D4.3425</t>
  </si>
  <si>
    <t>Làm đầu cáp lực, cáp khô 110KV 1 pha, cáp có tiết diện &lt;= 240mm2</t>
  </si>
  <si>
    <t>D4.3426</t>
  </si>
  <si>
    <t>Làm đầu cáp lực, cáp khô 110KV 1 pha, cáp có tiết diện &lt;=300mm2</t>
  </si>
  <si>
    <t>D4.3427</t>
  </si>
  <si>
    <t>Làm đầu cáp lực, cáp khô 110KV 1 pha, cáp có tiết diện &lt;=400mm2</t>
  </si>
  <si>
    <t>D4.3431</t>
  </si>
  <si>
    <t>Làm đầu cáp lực khô 66KV, Phễu cáp bằng gang, cáp có tiết diện &lt;=35mm2</t>
  </si>
  <si>
    <t>1 đầu 1 pha</t>
  </si>
  <si>
    <t>D4.3432</t>
  </si>
  <si>
    <t>Làm đầu cáp lực khô 66KV, Phễu cáp bằng gang, cáp có tiết diện &lt;=70mm2</t>
  </si>
  <si>
    <t>D4.3433</t>
  </si>
  <si>
    <t>Làm đầu cáp lực khô 66KV, Phễu cáp bằng gang, cáp có tiết diện &lt;=120mm2</t>
  </si>
  <si>
    <t>D4.3434</t>
  </si>
  <si>
    <t>Làm đầu cáp lực khô 66KV, Phễu cáp bằng gang, cáp có tiết diện &lt;=185mm2</t>
  </si>
  <si>
    <t>D4.3435</t>
  </si>
  <si>
    <t>Làm đầu cáp lực khô 66KV, Phễu cáp bằng gang, cáp có tiết diện &lt;=240mm2</t>
  </si>
  <si>
    <t>D4.3436</t>
  </si>
  <si>
    <t>Làm đầu cáp lực khô 66KV, Phễu cáp bằng gang, cáp có tiết diện &lt;=300mm2</t>
  </si>
  <si>
    <t>D4.3437</t>
  </si>
  <si>
    <t>Làm đầu cáp lực khô 66KV, Phễu cáp bằng gang, cáp có tiết diện &lt;=400mm2</t>
  </si>
  <si>
    <t>D4.3441</t>
  </si>
  <si>
    <t>Làm đầu cáp lực khô 110KV, Phễu cáp bằng gang, cáp có tiết diện &lt;=35mm2</t>
  </si>
  <si>
    <t>D4.3442</t>
  </si>
  <si>
    <t>Làm đầu cáp lực khô 110KV, Phễu cáp bằng gang, cáp có tiết diện &lt;=70mm2</t>
  </si>
  <si>
    <t>D4.3443</t>
  </si>
  <si>
    <t>Làm đầu cáp lực khô 110KV, Phễu cáp bằng gang, cáp có tiết diện &lt;=120mm2</t>
  </si>
  <si>
    <t>D4.3444</t>
  </si>
  <si>
    <t>Làm đầu cáp lực khô 110KV, Phễu cáp bằng gang, cáp có tiết diện &lt;=185mm2</t>
  </si>
  <si>
    <t>D4.3445</t>
  </si>
  <si>
    <t>Làm đầu cáp lực khô 110KV, Phễu cáp bằng gang, cáp có tiết diện &lt;=240mm2</t>
  </si>
  <si>
    <t>D4.3446</t>
  </si>
  <si>
    <t>Làm đầu cáp lực khô 110KV, Phễu cáp bằng gang, cáp có tiết diện &lt;=300mm2</t>
  </si>
  <si>
    <t>D4.3447</t>
  </si>
  <si>
    <t>Làm đầu cáp lực khô 110KV, Phễu cáp bằng gang, cáp có tiết diện &lt;=400mm2</t>
  </si>
  <si>
    <t>tr73</t>
  </si>
  <si>
    <t>D4.4111</t>
  </si>
  <si>
    <t>Làm hộp nối cáp khô điện áp &lt;=1KV, cáp có tiết diện &lt;=35mm2</t>
  </si>
  <si>
    <t>1 hộp nối</t>
  </si>
  <si>
    <t>D4.4112</t>
  </si>
  <si>
    <t>Làm hộp nối cáp khô điện áp &lt;=1KV, cáp có tiết diện &lt; =70mm2</t>
  </si>
  <si>
    <t>D4.4113</t>
  </si>
  <si>
    <t>Làm hộp nối cáp khô điện áp &lt;=1KV, cáp có tiết diện &lt; =120mm2</t>
  </si>
  <si>
    <t>D4.4114</t>
  </si>
  <si>
    <t>Làm hộp nối cáp khô điện áp &lt;=1KV, cáp có tiết diện &lt;=185mm2</t>
  </si>
  <si>
    <t>tr74</t>
  </si>
  <si>
    <t>D4.4115</t>
  </si>
  <si>
    <t>Làm hộp nối cáp khô điện áp &lt;=1KV, cáp có tiết diện &lt;= 240mm2</t>
  </si>
  <si>
    <t>D4.4116</t>
  </si>
  <si>
    <t>Làm hộp nối cáp khô điện áp &lt;=1KV, cáp có tiết diện &lt;=300mm2</t>
  </si>
  <si>
    <t>D4.4117</t>
  </si>
  <si>
    <t>Làm hộp nối cáp khô điện áp &lt;=1KV, cáp có tiết diện &lt;=400mm2</t>
  </si>
  <si>
    <t>D4.4121</t>
  </si>
  <si>
    <t>Làm hộp nối cáp dầu điện áp 1KV, cáp có tiết diện &lt;=35mm2</t>
  </si>
  <si>
    <t>Hộp nối cáp loại 35mm2</t>
  </si>
  <si>
    <t>Nhựa thông</t>
  </si>
  <si>
    <t>D4.4122</t>
  </si>
  <si>
    <t>Làm hộp nối cáp dầu điện áp 1KV, cáp có tiết diện &lt;=70mm2</t>
  </si>
  <si>
    <t>Hộp nối cáp loại 70mm2</t>
  </si>
  <si>
    <t>D4.4123</t>
  </si>
  <si>
    <t>Làm hộp nối cáp dầu điện áp 1KV, cáp có tiết diện &lt;=120mm2</t>
  </si>
  <si>
    <t>Hộp nối cáp loại 120mm2</t>
  </si>
  <si>
    <t>D4.4124</t>
  </si>
  <si>
    <t>Làm hộp nối cáp dầu điện áp 1KV, cáp có tiết diện &lt;=185mm2</t>
  </si>
  <si>
    <t>Hộp nối cáp loại 185mm2</t>
  </si>
  <si>
    <t>D4.4125</t>
  </si>
  <si>
    <t>Làm hộp nối cáp dầu điện áp 1KV, cáp có tiết diện &lt;=240mm2</t>
  </si>
  <si>
    <t>Hộp nối cáp loại 240mm2</t>
  </si>
  <si>
    <t>D4.4126</t>
  </si>
  <si>
    <t>Làm hộp nối cáp dầu điện áp 1KV, cáp có tiết diện &lt;=300mm2</t>
  </si>
  <si>
    <t>Hộp nối cáp loại 300mm2</t>
  </si>
  <si>
    <t>D4.4127</t>
  </si>
  <si>
    <t>Làm hộp nối cáp dầu điện áp 1KV, cáp có tiết diện &lt;=400mm2</t>
  </si>
  <si>
    <t>Hộp nối cáp loại 400mm2</t>
  </si>
  <si>
    <t>tr75</t>
  </si>
  <si>
    <t>Làm hộp nối cáp khô điện áp 3-15KV, cáp có tiết diện &lt;=35mm2</t>
  </si>
  <si>
    <t>Làm hộp nối cáp khô điện áp 3-15KV, cáp có tiết diện &lt; =70mm2</t>
  </si>
  <si>
    <t>Làm hộp nối cáp khô điện áp 3-15KV, cáp có tiết diện &lt; =120mm2</t>
  </si>
  <si>
    <t>Làm hộp nối cáp khô điện áp 3-15KV, cáp có tiết diện &lt;=185mm2</t>
  </si>
  <si>
    <t>tr76</t>
  </si>
  <si>
    <t>Làm hộp nối cáp khô điện áp 3-15KV, cáp có tiết diện &lt;= 240mm2</t>
  </si>
  <si>
    <t>Làm hộp nối cáp khô điện áp 3-15KV, cáp có tiết diện &lt;=300mm2</t>
  </si>
  <si>
    <t>Làm hộp nối cáp khô điện áp 3-15KV, cáp có tiết diện &lt;=400mm2</t>
  </si>
  <si>
    <t>Làm hộp nối cáp khô điện áp 10-15KV, cáp có tiết diện &lt;=35mm2</t>
  </si>
  <si>
    <t>Làm hộp nối cáp khô điện áp 10-15KV, cáp có tiết diện &lt; =70mm2</t>
  </si>
  <si>
    <t>Làm hộp nối cáp khô điện áp 10-15KV, cáp có tiết diện &lt; =120mm2</t>
  </si>
  <si>
    <t>Làm hộp nối cáp khô điện áp 10-15KV, cáp có tiết diện &lt;=185mm2</t>
  </si>
  <si>
    <t>Làm hộp nối cáp khô điện áp 10-15KV, cáp có tiết diện &lt;= 240mm2</t>
  </si>
  <si>
    <t>Làm hộp nối cáp khô điện áp 10-15KV, cáp có tiết diện &lt;=300mm2</t>
  </si>
  <si>
    <t>Làm hộp nối cáp khô điện áp 10-15KV, cáp có tiết diện &lt;=400mm2</t>
  </si>
  <si>
    <t>D4.4231</t>
  </si>
  <si>
    <t>Làm hộp nối cáp dầu điện áp 3-15KV, cáp có tiết diện &lt;=35mm2</t>
  </si>
  <si>
    <t>D4.4232</t>
  </si>
  <si>
    <t>Làm hộp nối cáp dầu điện áp 3-15KV, cáp có tiết diện &lt;=70mm2</t>
  </si>
  <si>
    <t>D4.4233</t>
  </si>
  <si>
    <t>Làm hộp nối cáp dầu điện áp 3-15KV, cáp có tiết diện &lt;=120mm2</t>
  </si>
  <si>
    <t>D4.4234</t>
  </si>
  <si>
    <t>Làm hộp nối cáp dầu điện áp 3-15KV, cáp có tiết diện &lt;=185mm2</t>
  </si>
  <si>
    <t>D4.4235</t>
  </si>
  <si>
    <t>Làm hộp nối cáp dầu điện áp 3-15KV, cáp có tiết diện &lt;=240mm2</t>
  </si>
  <si>
    <t>D4.4236</t>
  </si>
  <si>
    <t>Làm hộp nối cáp dầu điện áp 3-15KV, cáp có tiết diện &lt;=300mm2</t>
  </si>
  <si>
    <t>D4.4237</t>
  </si>
  <si>
    <t>Làm hộp nối cáp dầu điện áp 3-15KV, cáp có tiết diện &lt;=400mm2</t>
  </si>
  <si>
    <t>D4.4241</t>
  </si>
  <si>
    <t>Làm hộp nối cáp dầu điện áp 10-15KV, cáp có tiết diện &lt;=35mm2</t>
  </si>
  <si>
    <t>D4.4242</t>
  </si>
  <si>
    <t>Làm hộp nối cáp dầu điện áp 10-15KV, cáp có tiết diện &lt;=70mm2</t>
  </si>
  <si>
    <t>D4.4243</t>
  </si>
  <si>
    <t>Làm hộp nối cáp dầu điện áp 10-15KV, cáp có tiết diện &lt;=120mm2</t>
  </si>
  <si>
    <t>D4.4244</t>
  </si>
  <si>
    <t>Làm hộp nối cáp dầu điện áp 10-15KV, cáp có tiết diện &lt;=185mm2</t>
  </si>
  <si>
    <t>D4.4245</t>
  </si>
  <si>
    <t>Làm hộp nối cáp dầu điện áp 10-15KV, cáp có tiết diện &lt;=240mm2</t>
  </si>
  <si>
    <t>D4.4246</t>
  </si>
  <si>
    <t>Làm hộp nối cáp dầu điện áp 10-15KV, cáp có tiết diện &lt;=300mm2</t>
  </si>
  <si>
    <t>D4.4247</t>
  </si>
  <si>
    <t>Làm hộp nối cáp dầu điện áp 10-15KV, cáp có tiết diện &lt;=400mm2</t>
  </si>
  <si>
    <t>tr77</t>
  </si>
  <si>
    <t>Làm hộp nối cáp khô điện áp 22KV, cáp có tiết diện &lt;=35mm2</t>
  </si>
  <si>
    <t>Làm hộp nối cáp khô điện áp 22KV, cáp có tiết diện &lt; =70mm2</t>
  </si>
  <si>
    <t>Làm hộp nối cáp khô điện áp 22KV, cáp có tiết diện &lt; =120mm2</t>
  </si>
  <si>
    <t>D4.4314</t>
  </si>
  <si>
    <t>Làm hộp nối cáp khô điện áp 22KV, cáp có tiết diện &lt;=185mm2</t>
  </si>
  <si>
    <t>tr78</t>
  </si>
  <si>
    <t>Làm hộp nối cáp khô điện áp 22KV, cáp có tiết diện &lt;= 240mm2</t>
  </si>
  <si>
    <t>Làm hộp nối cáp khô điện áp 22KV, cáp có tiết diện &lt;=300mm2</t>
  </si>
  <si>
    <t>Làm hộp nối cáp khô điện áp 22KV, cáp có tiết diện &lt;=400mm2</t>
  </si>
  <si>
    <t>Làm hộp nối cáp khô điện áp 35KV, cáp có tiết diện &lt;=35mm2</t>
  </si>
  <si>
    <t>Làm hộp nối cáp khô điện áp 35KV, cáp có tiết diện &lt; =70mm2</t>
  </si>
  <si>
    <t>Làm hộp nối cáp khô điện áp 35KV, cáp có tiết diện &lt; =120mm2</t>
  </si>
  <si>
    <t>Làm hộp nối cáp khô điện áp 35KV, cáp có tiết diện &lt;=185mm2</t>
  </si>
  <si>
    <t>Làm hộp nối cáp khô điện áp 35KV, cáp có tiết diện &lt;= 240mm2</t>
  </si>
  <si>
    <t>Làm hộp nối cáp khô điện áp 35KV, cáp có tiết diện &lt;=300mm2</t>
  </si>
  <si>
    <t>Làm hộp nối cáp khô điện áp 35KV, cáp có tiết diện &lt;=400mm2</t>
  </si>
  <si>
    <t>D4.4331</t>
  </si>
  <si>
    <t>Làm hộp nối cáp dầu điện áp 22KV, cáp có tiết diện &lt;=35mm2</t>
  </si>
  <si>
    <t>D4.4332</t>
  </si>
  <si>
    <t>Làm hộp nối cáp dầu điện áp 22KV, cáp có tiết diện &lt;=70mm2</t>
  </si>
  <si>
    <t>D4.4333</t>
  </si>
  <si>
    <t>Làm hộp nối cáp dầu điện áp 22KV, cáp có tiết diện &lt;=120mm2</t>
  </si>
  <si>
    <t>D4.4334</t>
  </si>
  <si>
    <t>Làm hộp nối cáp dầu điện áp 22KV, cáp có tiết diện &lt;=185mm2</t>
  </si>
  <si>
    <t>D4.4335</t>
  </si>
  <si>
    <t>Làm hộp nối cáp dầu điện áp 22KV, cáp có tiết diện &lt;=240mm2</t>
  </si>
  <si>
    <t>D4.4336</t>
  </si>
  <si>
    <t>Làm hộp nối cáp dầu điện áp 22KV, cáp có tiết diện &lt;=300mm2</t>
  </si>
  <si>
    <t>D4.4337</t>
  </si>
  <si>
    <t>Làm hộp nối cáp dầu điện áp 22KV, cáp có tiết diện &lt;=400mm2</t>
  </si>
  <si>
    <t>D4.4341</t>
  </si>
  <si>
    <t>D4.4342</t>
  </si>
  <si>
    <t>D4.4343</t>
  </si>
  <si>
    <t>D4.4344</t>
  </si>
  <si>
    <t>D4.4345</t>
  </si>
  <si>
    <t>D4.4346</t>
  </si>
  <si>
    <t>D4.4347</t>
  </si>
  <si>
    <t>tr79</t>
  </si>
  <si>
    <t>D4.4411</t>
  </si>
  <si>
    <t>Làm hộp nối cáp khô điện áp 66KV, cáp có tiết diện &lt;=35mm2</t>
  </si>
  <si>
    <t>D4.4412</t>
  </si>
  <si>
    <t>Làm hộp nối cáp khô điện áp 66KV, cáp có tiết diện &lt; =70mm2</t>
  </si>
  <si>
    <t>D4.4413</t>
  </si>
  <si>
    <t>Làm hộp nối cáp khô điện áp 66KV, cáp có tiết diện &lt; =120mm2</t>
  </si>
  <si>
    <t>D4.4414</t>
  </si>
  <si>
    <t>Làm hộp nối cáp khô điện áp 66KV, cáp có tiết diện &lt;=185mm2</t>
  </si>
  <si>
    <t>D4.4415</t>
  </si>
  <si>
    <t>Làm hộp nối cáp khô điện áp 66KV, cáp có tiết diện &lt;= 240mm2</t>
  </si>
  <si>
    <t>D4.4416</t>
  </si>
  <si>
    <t>Làm hộp nối cáp khô điện áp 66KV, cáp có tiết diện &lt;=300mm2</t>
  </si>
  <si>
    <t>D4.4417</t>
  </si>
  <si>
    <t>Làm hộp nối cáp khô điện áp 66KV, cáp có tiết diện &lt;=400mm2</t>
  </si>
  <si>
    <t>D4.4421</t>
  </si>
  <si>
    <t>Làm hộp nối cáp khô điện áp 110KV, cáp có tiết diện &lt;=35mm2</t>
  </si>
  <si>
    <t>D4.4422</t>
  </si>
  <si>
    <t>Làm hộp nối cáp khô điện áp 110KV, cáp có tiết diện &lt; =70mm2</t>
  </si>
  <si>
    <t>D4.4423</t>
  </si>
  <si>
    <t>Làm hộp nối cáp khô điện áp 110KV, cáp có tiết diện &lt; =120mm2</t>
  </si>
  <si>
    <t>D4.4424</t>
  </si>
  <si>
    <t>Làm hộp nối cáp khô điện áp 110KV, cáp có tiết diện &lt;=185mm2</t>
  </si>
  <si>
    <t>D4.4425</t>
  </si>
  <si>
    <t>Làm hộp nối cáp khô điện áp 110KV, cáp có tiết diện &lt;= 240mm2</t>
  </si>
  <si>
    <t>D4.4426</t>
  </si>
  <si>
    <t>Làm hộp nối cáp khô điện áp 110KV, cáp có tiết diện &lt;=300mm2</t>
  </si>
  <si>
    <t>D4.4427</t>
  </si>
  <si>
    <t>Làm hộp nối cáp khô điện áp 110KV, cáp có tiết diện &lt;=400mm2</t>
  </si>
  <si>
    <t>tr80</t>
  </si>
  <si>
    <t>D4.4431</t>
  </si>
  <si>
    <t>Làm hộp nối cáp dầu điện áp 66KV, cáp có tiết diện &lt;=35mm2</t>
  </si>
  <si>
    <t>D4.4432</t>
  </si>
  <si>
    <t>Làm hộp nối cáp dầu điện áp 66KV, cáp có tiết diện &lt;=70mm2</t>
  </si>
  <si>
    <t>D4.4433</t>
  </si>
  <si>
    <t>Làm hộp nối cáp dầu điện áp 66KV, cáp có tiết diện &lt;=120mm2</t>
  </si>
  <si>
    <t>D4.4434</t>
  </si>
  <si>
    <t>Làm hộp nối cáp dầu điện áp 66KV, cáp có tiết diện &lt;=185mm2</t>
  </si>
  <si>
    <t>tr81</t>
  </si>
  <si>
    <t>D4.4435</t>
  </si>
  <si>
    <t>Làm hộp nối cáp dầu điện áp 66KV, cáp có tiết diện &lt;=240mm2</t>
  </si>
  <si>
    <t>D4.4436</t>
  </si>
  <si>
    <t>Làm hộp nối cáp dầu điện áp 66KV, cáp có tiết diện &lt;=300mm2</t>
  </si>
  <si>
    <t>D4.4437</t>
  </si>
  <si>
    <t>Làm hộp nối cáp dầu điện áp 66KV, cáp có tiết diện &lt;=400mm2</t>
  </si>
  <si>
    <t>D4.4441</t>
  </si>
  <si>
    <t>Làm hộp nối cáp dầu điện áp 110KV, cáp có tiết diện &lt;=35mm2</t>
  </si>
  <si>
    <t>D4.4442</t>
  </si>
  <si>
    <t>Làm hộp nối cáp dầu điện áp 110KV, cáp có tiết diện &lt;=70mm2</t>
  </si>
  <si>
    <t>D4.4443</t>
  </si>
  <si>
    <t>Làm hộp nối cáp dầu điện áp 110KV, cáp có tiết diện &lt;=120mm2</t>
  </si>
  <si>
    <t>D4.4444</t>
  </si>
  <si>
    <t>Làm hộp nối cáp dầu điện áp 110KV, cáp có tiết diện &lt;=185mm2</t>
  </si>
  <si>
    <t>D4.4445</t>
  </si>
  <si>
    <t>Làm hộp nối cáp dầu điện áp 110KV, cáp có tiết diện &lt;=240mm2</t>
  </si>
  <si>
    <t>D4.4446</t>
  </si>
  <si>
    <t>Làm hộp nối cáp dầu điện áp 110KV, cáp có tiết diện &lt;=300mm2</t>
  </si>
  <si>
    <t>D4.4447</t>
  </si>
  <si>
    <t>Làm hộp nối cáp dầu điện áp 110KV, cáp có tiết diện &lt;=400mm2</t>
  </si>
  <si>
    <t>tr82</t>
  </si>
  <si>
    <t>Ép đầu cốt, cáp có tiết diện &lt; =25mm2</t>
  </si>
  <si>
    <t>10 cái</t>
  </si>
  <si>
    <t>M-BS2</t>
  </si>
  <si>
    <t>Máy ép đầu cốt</t>
  </si>
  <si>
    <t>Ép đầu cốt, cáp có tiết diện &lt; =50mm2</t>
  </si>
  <si>
    <t>Ép đầu cốt, cáp có tiết diện &lt; =70mm2</t>
  </si>
  <si>
    <t>Ép đầu cốt, cáp có tiết diện &lt; =95mm2</t>
  </si>
  <si>
    <t>Ép đầu cốt, cáp có tiết diện &lt;= 120mm2</t>
  </si>
  <si>
    <t>Ép đầu cốt, cáp có tiết diện &lt;= 150mm2</t>
  </si>
  <si>
    <t>Ép đầu cốt, cáp có tiết diện &lt;= 185mm2</t>
  </si>
  <si>
    <t>Ép đầu cốt, cáp có tiết diện &lt;=240mm2</t>
  </si>
  <si>
    <t>Ép đầu cốt, cáp có tiết diện &lt; =300mm2</t>
  </si>
  <si>
    <t>D4.5110</t>
  </si>
  <si>
    <t>Ép đầu cốt, cáp có tiết diện &lt; =400mm2</t>
  </si>
  <si>
    <t>tr83</t>
  </si>
  <si>
    <t>D4.6101</t>
  </si>
  <si>
    <t>Lắp đặt Protelet</t>
  </si>
  <si>
    <t>Bu lông M14x150</t>
  </si>
  <si>
    <t>M112.1705</t>
  </si>
  <si>
    <t>Máy khoan tay bê tông 1,5kW</t>
  </si>
  <si>
    <t>Lắp đặt và tháo kẹp quai</t>
  </si>
  <si>
    <t>Lắp đặt và tháo kẹp Hotline</t>
  </si>
  <si>
    <t>Lắp đặt và tháo kẹp IPC</t>
  </si>
  <si>
    <t>tr84</t>
  </si>
  <si>
    <t>Lắp đặt và tháo kẹp dừng cáp ABC &lt;=4x70</t>
  </si>
  <si>
    <t>Lắp đặt và tháo kẹp dừng cáp ABC &lt;=4x120</t>
  </si>
  <si>
    <t>Lắp đặt và tháo bu lông đuôi heo</t>
  </si>
  <si>
    <t>D4.6301</t>
  </si>
  <si>
    <t>Lắp đặt nắp chụp cách điện</t>
  </si>
  <si>
    <t>D4.6201</t>
  </si>
  <si>
    <t>Lắp đặt điện kế 1 pha</t>
  </si>
  <si>
    <t>Công tơ (điện kế) 1 pha</t>
  </si>
  <si>
    <t>tr85</t>
  </si>
  <si>
    <t>Lắp đặt điện kế 3pha</t>
  </si>
  <si>
    <t>Công tơ (điện kế) 3 pha</t>
  </si>
  <si>
    <t>D4.6203</t>
  </si>
  <si>
    <t>Lắp đặt hộp điện kế</t>
  </si>
  <si>
    <t>Hộp công tơ (hộp điện kế)</t>
  </si>
  <si>
    <t>D4.6401</t>
  </si>
  <si>
    <t>Lắp đặt tủ điện hạ thế trên trụ điện</t>
  </si>
  <si>
    <t>Gỗ nhóm 4</t>
  </si>
  <si>
    <t>tr89</t>
  </si>
  <si>
    <t>T1.1101</t>
  </si>
  <si>
    <t>Lắp đặt máy biến áp 500/220/35KV 300MVA - 1 pha</t>
  </si>
  <si>
    <t xml:space="preserve">Vải trắng mộc 0,8m </t>
  </si>
  <si>
    <t>Mỡ YOC</t>
  </si>
  <si>
    <t>Dây thép mạ kẽm fi 2-4</t>
  </si>
  <si>
    <t>M102.0203</t>
  </si>
  <si>
    <t>Cần trục bánh hơi 25 tấn</t>
  </si>
  <si>
    <t>M102.0103</t>
  </si>
  <si>
    <t>Cẩu 5 tấn</t>
  </si>
  <si>
    <t>T1.1102</t>
  </si>
  <si>
    <t>T1.1103</t>
  </si>
  <si>
    <t>Lắp đặt máy biến áp 500/220/35KV &lt;=150MVA - 1 pha</t>
  </si>
  <si>
    <t>M102.0106</t>
  </si>
  <si>
    <t>Cần trục bánh hơi 16 tấn</t>
  </si>
  <si>
    <t>T1.1104</t>
  </si>
  <si>
    <t>Lắp đặt máy biến áp 500/220/35KV &lt;=100MVA - 1 pha</t>
  </si>
  <si>
    <t>T1.1105</t>
  </si>
  <si>
    <t>Lắp đặt máy biến áp 220/110/35;22;15;10;6KV &lt;=63MVA - 3 pha</t>
  </si>
  <si>
    <t>M102.0105</t>
  </si>
  <si>
    <t>Cần trục bánh hơi 10 tấn</t>
  </si>
  <si>
    <t>T1.1106</t>
  </si>
  <si>
    <t>Lắp đặt máy biến áp 220/110/35;22;15;10;6KV &lt;=125MVA - 3 pha</t>
  </si>
  <si>
    <t>T1.1107</t>
  </si>
  <si>
    <t>Lắp đặt máy biến áp 220/110/35;22;15;10;6KV &lt;=250MVA</t>
  </si>
  <si>
    <t>tr91</t>
  </si>
  <si>
    <t>T1.1201</t>
  </si>
  <si>
    <t>Lắp đặt máy biến áp 110/35/22;15;10;6KV &lt;=63MVA 3 pha hai cuộn dây</t>
  </si>
  <si>
    <t>T1.1202</t>
  </si>
  <si>
    <t>Lắp đặt máy biến áp 110/35/22;15;10;6KV &lt;=40MVA 3 pha hai cuộn dây</t>
  </si>
  <si>
    <t>T1.1203</t>
  </si>
  <si>
    <t>Lắp đặt máy biến áp 110/35/22;15;10;6KV &lt;=25MVA 3 pha hai cuộn dây</t>
  </si>
  <si>
    <t>T1.1204</t>
  </si>
  <si>
    <t>Lắp đặt máy biến áp 110/35/22;15;10;6KV &lt;=16MVA 3 pha hai cuộn dây</t>
  </si>
  <si>
    <t>T1.1205</t>
  </si>
  <si>
    <t>Lắp đặt máy biến áp 110/35/22;15;10;6KV &lt;=11MVA 3 pha hai cuộn dây</t>
  </si>
  <si>
    <t>tr92</t>
  </si>
  <si>
    <t>T1.1301</t>
  </si>
  <si>
    <t>Lắp đặt máy biến áp trung gian 3 pha 3 cuộn dây 35/22;15;10;6kV &lt;=1000KVA</t>
  </si>
  <si>
    <t>T1.1302</t>
  </si>
  <si>
    <t>Lắp đặt máy biến áp trung gian  3 pha 3 cuộn dây 35/22;15;10;6kV &lt;=1800KVA</t>
  </si>
  <si>
    <t>T1.1303</t>
  </si>
  <si>
    <t>Lắp đặt máy biến áp trung gian  3 pha 3 cuộn dây 35/22;15;10;6kV &lt;=3200KVA</t>
  </si>
  <si>
    <t>T1.1304</t>
  </si>
  <si>
    <t>Lắp đặt máy biến áp trung gian  3 pha 3 cuộn dây 35/22;15;10;6kV &lt;=5600KVA</t>
  </si>
  <si>
    <t>T1.1305</t>
  </si>
  <si>
    <t>Lắp đặt máy biến áp trung gian 3 pha 3 cuộn dây 35/22;15;10;6kV &lt;=7500KVA</t>
  </si>
  <si>
    <t>tr93</t>
  </si>
  <si>
    <t>T1.1411</t>
  </si>
  <si>
    <t>Lắp đặt máy biến áp phân phối 3 pha 35;22/0,4kV &lt;=30KVA</t>
  </si>
  <si>
    <t>Gôm lắc</t>
  </si>
  <si>
    <t>T1.1412</t>
  </si>
  <si>
    <t>Lắp đặt máy biến áp phân phối 3 pha 35;22/0,4kV &lt;=50KVA</t>
  </si>
  <si>
    <t>T1.1413</t>
  </si>
  <si>
    <t>Lắp đặt máy biến áp phân phối 3 pha 35;22/0,4kV &lt;=100KVA</t>
  </si>
  <si>
    <t>Lắp đặt máy biến áp phân phối 3 pha 35;22/0,4kV &lt;=180KVA</t>
  </si>
  <si>
    <t>Lắp đặt máy biến áp phân phối 3 pha 35;22/0,4kV &lt;=320KVA</t>
  </si>
  <si>
    <t>T1.1416</t>
  </si>
  <si>
    <t>Lắp đặt máy biến áp phân phối 3 pha 35;22/0,4kV &lt;=560KVA</t>
  </si>
  <si>
    <t>T1.1417</t>
  </si>
  <si>
    <t>Lắp đặt máy biến áp phân phối 3 pha 35;22/0,4kV &lt;= 700KVA</t>
  </si>
  <si>
    <t>Lắp đặt máy biến áp phân phối 3 pha 35;22/0,4kV &gt; 750KVA</t>
  </si>
  <si>
    <t>tr94</t>
  </si>
  <si>
    <t>T1.1421</t>
  </si>
  <si>
    <t>Lắp đặt máy biến áp phân phối  3 pha 15;10;6/0,4kV &lt;=30KVA</t>
  </si>
  <si>
    <t>1 máy</t>
  </si>
  <si>
    <t>T1.1422</t>
  </si>
  <si>
    <t>Lắp đặt máy biến áp phân phối  3 pha 15;10;6/0,4kV &lt;=50KVA</t>
  </si>
  <si>
    <t>T1.1423</t>
  </si>
  <si>
    <t>Lắp đặt máy biến áp phân phối  3 pha 15;10;6/0,4kV &lt;=100KVA</t>
  </si>
  <si>
    <t>T1.1424</t>
  </si>
  <si>
    <t>Lắp đặt máy biến áp phân phối  3 pha 15;10;6/0,4kV &lt;=180KVA</t>
  </si>
  <si>
    <t>T1.1425</t>
  </si>
  <si>
    <t>Lắp đặt máy biến áp phân phối  3 pha 15;10;6/0,4kV &lt;=320KVA</t>
  </si>
  <si>
    <t>T1.1426</t>
  </si>
  <si>
    <t>Lắp đặt máy biến áp phân phối  3 pha 15;10;6/0,4kV &lt;=560KVA</t>
  </si>
  <si>
    <t>T1.1427</t>
  </si>
  <si>
    <t>Lắp đặt máy biến áp phân phối  3 pha 15;10;6/0,4kV &lt;= 700KVA</t>
  </si>
  <si>
    <t>T1.1428</t>
  </si>
  <si>
    <t>Lắp đặt máy biến áp phân phối  3 pha 15;10;6/0,4kV &gt;750KVA</t>
  </si>
  <si>
    <t>tr95</t>
  </si>
  <si>
    <t>T1.1431</t>
  </si>
  <si>
    <t>Lắp đặt máy biến áp 1 pha 15;10;6/0,4kV &lt;=30KVA</t>
  </si>
  <si>
    <t>Lắp đặt máy biến áp 1 pha 15;10;6/0,4kV &lt;=50KVA</t>
  </si>
  <si>
    <t>T1.1443</t>
  </si>
  <si>
    <t>Lắp đặt máy biến áp 1 pha 22/0,4kV &lt;=75KVA</t>
  </si>
  <si>
    <t>T1.1434</t>
  </si>
  <si>
    <t>Lắp đặt máy biến áp 1 pha 15;10;6/0,4kV &lt;=100KVA</t>
  </si>
  <si>
    <t>T1.1435</t>
  </si>
  <si>
    <t>Lắp đặt máy biến áp 1 pha 15;10;6/0,4kV &lt;=150KVA</t>
  </si>
  <si>
    <t>T1.1436</t>
  </si>
  <si>
    <t>Lắp đặt máy biến áp 1 pha 15;10;6/0,4kV &lt;=250KVA</t>
  </si>
  <si>
    <t>tr96</t>
  </si>
  <si>
    <t>T1.2011</t>
  </si>
  <si>
    <t>Lọc dầu bằng máy lọc ép; mức điện áp trước khi lọc 10KV, mức điện áp sau khi lọc 25KV</t>
  </si>
  <si>
    <t>M-BS8</t>
  </si>
  <si>
    <t>Máy lọc ép</t>
  </si>
  <si>
    <t>M-BS6</t>
  </si>
  <si>
    <t>Máy bơm ly tâm</t>
  </si>
  <si>
    <t>M112.0401</t>
  </si>
  <si>
    <t>Máy bơm chân không</t>
  </si>
  <si>
    <t>M-BS13</t>
  </si>
  <si>
    <t>Máy thử cao áp AI-70</t>
  </si>
  <si>
    <t>T1.2012</t>
  </si>
  <si>
    <t>Lọc dầu bằng máy lọc ép; mức điện áp trước khi lọc 10KV, mức điện áp sau khi lọc 30KV</t>
  </si>
  <si>
    <t>T1.2013</t>
  </si>
  <si>
    <t>Lọc dầu bằng máy lọc ép; mức điện áp trước khi lọc 10KV, mức điện áp sau khi lọc 35KV</t>
  </si>
  <si>
    <t>T1.2014</t>
  </si>
  <si>
    <t>Lọc dầu bằng máy lọc ép; mức điện áp trước khi lọc 10KV, mức điện áp sau khi lọc 40KV</t>
  </si>
  <si>
    <t>T1.2021</t>
  </si>
  <si>
    <t>Lọc dầu bằng máy lọc dầu cải tạo YBM-2 (đã có máy hút chân không) hoặc tương đương; mức điện áp trước khi lọc 10KV, mức điện áp sau khi lọc 25KV</t>
  </si>
  <si>
    <t>M-BS4</t>
  </si>
  <si>
    <t>Máy lọc dầu cải tạo YBM-2</t>
  </si>
  <si>
    <t>T1.2022</t>
  </si>
  <si>
    <t>Lọc dầu bằng máy lọc dầu cải tạo YBM-2 (đã có máy hút chân không) hoặc tương đương; mức điện áp trước khi lọc 10KV, mức điện áp sau khi lọc 30KV</t>
  </si>
  <si>
    <t>T1.2023</t>
  </si>
  <si>
    <t>Lọc dầu bằng máy lọc dầu cải tạo YBM-2 (đã có máy hút chân không) hoặc tương đương; mức điện áp trước khi lọc 10KV, mức điện áp sau khi lọc 35KV</t>
  </si>
  <si>
    <t>T1.2024</t>
  </si>
  <si>
    <t>Lọc dầu bằng máy lọc dầu cải tạo YBM-2 (đã có máy hút chân không) hoặc tương đương; mức điện áp trước khi lọc 10KV, mức điện áp sau khi lọc 40KV</t>
  </si>
  <si>
    <t>T1.2031</t>
  </si>
  <si>
    <t>Lọc dầu bằng máy lọc dầu hợp bộ KATO KLVC-4AXVSO hoặc tương đương; mức điện áp trước khi lọc 10KV, mức điện áp sau khi lọc 25KV</t>
  </si>
  <si>
    <t>M-BS7</t>
  </si>
  <si>
    <t>Máy lọc dầu hợp bộ KATO KLVC-4AXVSO</t>
  </si>
  <si>
    <t>T1.2032</t>
  </si>
  <si>
    <t>Lọc dầu bằng máy lọc dầu hợp bộ KATO KLVC-4AXVSO hoặc tương đương; mức điện áp trước khi lọc 10KV, mức điện áp sau khi lọc 30KV</t>
  </si>
  <si>
    <t>T1.2033</t>
  </si>
  <si>
    <t>Lọc dầu bằng máy lọc dầu hợp bộ KATO KLVC-4AXVSO hoặc tương đương; mức điện áp trước khi lọc 10KV, mức điện áp sau khi lọc 35KV</t>
  </si>
  <si>
    <t>T1.2034</t>
  </si>
  <si>
    <t>Lọc dầu bằng máy lọc dầu hợp bộ KATO KLVC-4AXVSO hoặc tương đương; mức điện áp trước khi lọc 10KV, mức điện áp sau khi lọc 40KV</t>
  </si>
  <si>
    <t>T1.2041</t>
  </si>
  <si>
    <t>Lọc dầu bằng máy lọc ép; mức điện áp trước khi lọc 15KV, mức điện áp sau khi lọc 25KV</t>
  </si>
  <si>
    <t>T1.2042</t>
  </si>
  <si>
    <t>Lọc dầu bằng máy lọc ép; mức điện áp trước khi lọc 15KV, mức điện áp sau khi lọc 30KV</t>
  </si>
  <si>
    <t>T1.2043</t>
  </si>
  <si>
    <t>Lọc dầu bằng máy lọc ép; mức điện áp trước khi lọc 15KV, mức điện áp sau khi lọc 35KV</t>
  </si>
  <si>
    <t>T1.2044</t>
  </si>
  <si>
    <t>Lọc dầu bằng máy lọc ép; mức điện áp trước khi lọc 15KV, mức điện áp sau khi lọc 40KV</t>
  </si>
  <si>
    <t>T1.2045</t>
  </si>
  <si>
    <t>Lọc dầu bằng máy lọc ép; mức điện áp trước khi lọc 15KV, mức điện áp sau khi lọc 45KV</t>
  </si>
  <si>
    <t>tr97</t>
  </si>
  <si>
    <t>T1.2051</t>
  </si>
  <si>
    <t>Lọc dầu bằng máy lọc dầu cải tạo YBM-2 (đã có máy hút chân không) hoặc tương đương; mức điện áp trước khi lọc 15KV, mức điện áp sau khi lọc 25KV</t>
  </si>
  <si>
    <t>T1.2052</t>
  </si>
  <si>
    <t>Lọc dầu bằng máy lọc dầu cải tạo YBM-2 (đã có máy hút chân không) hoặc tương đương; mức điện áp trước khi lọc 15KV, mức điện áp sau khi lọc 30KV</t>
  </si>
  <si>
    <t>T1.2053</t>
  </si>
  <si>
    <t>Lọc dầu bằng máy lọc dầu cải tạo YBM-2 (đã có máy hút chân không) hoặc tương đương; mức điện áp trước khi lọc 15KV, mức điện áp sau khi lọc 35KV</t>
  </si>
  <si>
    <t>T1.2054</t>
  </si>
  <si>
    <t>Lọc dầu bằng máy lọc dầu cải tạo YBM-2 (đã có máy hút chân không) hoặc tương đương; mức điện áp trước khi lọc 15KV, mức điện áp sau khi lọc 40KV</t>
  </si>
  <si>
    <t>T1.2055</t>
  </si>
  <si>
    <t>Lọc dầu bằng máy lọc dầu cải tạo YBM-2 (đã có máy hút chân không) hoặc tương đương; mức điện áp trước khi lọc 15KV, mức điện áp sau khi lọc 45KV</t>
  </si>
  <si>
    <t>T1.2061</t>
  </si>
  <si>
    <t>Lọc dầu bằng máy lọc dầu hợp bộ KATO KLVC-4AXVSO hoặc tương đương; mức điện áp trước khi lọc 15KV, mức điện áp sau khi lọc 25KV</t>
  </si>
  <si>
    <t>T1.2062</t>
  </si>
  <si>
    <t>Lọc dầu bằng máy lọc dầu hợp bộ KATO KLVC-4AXVSO hoặc tương đương; mức điện áp trước khi lọc 15KV, mức điện áp sau khi lọc 30KV</t>
  </si>
  <si>
    <t>T1.2063</t>
  </si>
  <si>
    <t>Lọc dầu bằng máy lọc dầu hợp bộ KATO KLVC-4AXVSO hoặc tương đương; mức điện áp trước khi lọc 15KV, mức điện áp sau khi lọc 35KV</t>
  </si>
  <si>
    <t>T1.2064</t>
  </si>
  <si>
    <t>Lọc dầu bằng máy lọc dầu hợp bộ KATO KLVC-4AXVSO hoặc tương đương; mức điện áp trước khi lọc 15KV, mức điện áp sau khi lọc 40KV</t>
  </si>
  <si>
    <t>T1.2065</t>
  </si>
  <si>
    <t>Lọc dầu bằng máy lọc dầu hợp bộ KATO KLVC-4AXVSO hoặc tương đương; mức điện áp trước khi lọc 15KV, mức điện áp sau khi lọc 45KV</t>
  </si>
  <si>
    <t>tr98</t>
  </si>
  <si>
    <t>T1.2071</t>
  </si>
  <si>
    <t>Lọc dầu bằng máy lọc ép; mức điện áp trước khi lọc 20KV, mức điện áp sau khi lọc 25KV</t>
  </si>
  <si>
    <t>T1.2072</t>
  </si>
  <si>
    <t>Lọc dầu bằng máy lọc ép; mức điện áp trước khi lọc 20KV, mức điện áp sau khi lọc 30KV</t>
  </si>
  <si>
    <t>T1.2073</t>
  </si>
  <si>
    <t>Lọc dầu bằng máy lọc ép; mức điện áp trước khi lọc 20KV, mức điện áp sau khi lọc 35KV</t>
  </si>
  <si>
    <t>T1.2074</t>
  </si>
  <si>
    <t>Lọc dầu bằng máy lọc ép; mức điện áp trước khi lọc 20KV, mức điện áp sau khi lọc 40KV</t>
  </si>
  <si>
    <t>T1.2075</t>
  </si>
  <si>
    <t>Lọc dầu bằng máy lọc ép; mức điện áp trước khi lọc 20KV, mức điện áp sau khi lọc 45KV</t>
  </si>
  <si>
    <t>T1.2076</t>
  </si>
  <si>
    <t>Lọc dầu bằng máy lọc ép; mức điện áp trước khi lọc 20KV, mức điện áp sau khi lọc 50KV</t>
  </si>
  <si>
    <t>T1.2081</t>
  </si>
  <si>
    <t>Lọc dầu bằng máy lọc dầu cải tạo YBM-2 (đã có máy hút chân không) hoặc tương đương; mức điện áp trước khi lọc 20KV, mức điện áp sau khi lọc 25KV</t>
  </si>
  <si>
    <t>T1.2082</t>
  </si>
  <si>
    <t>Lọc dầu bằng máy lọc dầu cải tạo YBM-2 (đã có máy hút chân không) hoặc tương đương; mức điện áp trước khi lọc 20KV, mức điện áp sau khi lọc 30KV</t>
  </si>
  <si>
    <t>T1.2083</t>
  </si>
  <si>
    <t>Lọc dầu bằng máy lọc dầu cải tạo YBM-2 (đã có máy hút chân không) hoặc tương đương; mức điện áp trước khi lọc 20KV, mức điện áp sau khi lọc 35KV</t>
  </si>
  <si>
    <t>T1.2084</t>
  </si>
  <si>
    <t>Lọc dầu bằng máy lọc dầu cải tạo YBM-2 (đã có máy hút chân không) hoặc tương đương; mức điện áp trước khi lọc 20KV, mức điện áp sau khi lọc 40KV</t>
  </si>
  <si>
    <t>T1.2085</t>
  </si>
  <si>
    <t>Lọc dầu bằng máy lọc dầu cải tạo YBM-2 (đã có máy hút chân không) hoặc tương đương; mức điện áp trước khi lọc 20KV, mức điện áp sau khi lọc 45KV</t>
  </si>
  <si>
    <t>T1.2086</t>
  </si>
  <si>
    <t>Lọc dầu bằng máy lọc dầu cải tạo YBM-2 (đã có máy hút chân không) hoặc tương đương; mức điện áp trước khi lọc 20KV, mức điện áp sau khi lọc 50KV</t>
  </si>
  <si>
    <t>T1.2091</t>
  </si>
  <si>
    <t>Lọc dầu bằng máy lọc dầu hợp bộ KATO KLVC-4AXVSO hoặc tương đương; mức điện áp trước khi lọc 20KV, mức điện áp sau khi lọc 25KV</t>
  </si>
  <si>
    <t>T1.2092</t>
  </si>
  <si>
    <t>Lọc dầu bằng máy lọc dầu hợp bộ KATO KLVC-4AXVSO hoặc tương đương; mức điện áp trước khi lọc 20KV, mức điện áp sau khi lọc 30KV</t>
  </si>
  <si>
    <t>T1.2093</t>
  </si>
  <si>
    <t>Lọc dầu bằng máy lọc dầu hợp bộ KATO KLVC-4AXVSO hoặc tương đương; mức điện áp trước khi lọc 20KV, mức điện áp sau khi lọc 35KV</t>
  </si>
  <si>
    <t>T1.2094</t>
  </si>
  <si>
    <t>Lọc dầu bằng máy lọc dầu hợp bộ KATO KLVC-4AXVSO hoặc tương đương; mức điện áp trước khi lọc 20KV, mức điện áp sau khi lọc 40KV</t>
  </si>
  <si>
    <t>T1.2095</t>
  </si>
  <si>
    <t>Lọc dầu bằng máy lọc dầu hợp bộ KATO KLVC-4AXVSO hoặc tương đương; mức điện áp trước khi lọc 20KV, mức điện áp sau khi lọc 45KV</t>
  </si>
  <si>
    <t>T1.2096</t>
  </si>
  <si>
    <t>Lọc dầu bằng máy lọc dầu hợp bộ KATO KLVC-4AXVSO hoặc tương đương; mức điện áp trước khi lọc 20KV, mức điện áp sau khi lọc 50KV</t>
  </si>
  <si>
    <t>tr99</t>
  </si>
  <si>
    <t>T1.2101</t>
  </si>
  <si>
    <t>Lọc dầu bằng máy lọc ép; mức điện áp trước khi lọc 25KV, mức điện áp sau khi lọc 30KV</t>
  </si>
  <si>
    <t>T1.2102</t>
  </si>
  <si>
    <t>Lọc dầu bằng máy lọc ép; mức điện áp trước khi lọc 25KV, mức điện áp sau khi lọc 35KV</t>
  </si>
  <si>
    <t>T1.2103</t>
  </si>
  <si>
    <t>Lọc dầu bằng máy lọc ép; mức điện áp trước khi lọc 25KV, mức điện áp sau khi lọc 40KV</t>
  </si>
  <si>
    <t>T1.2104</t>
  </si>
  <si>
    <t>Lọc dầu bằng máy lọc ép; mức điện áp trước khi lọc 25KV, mức điện áp sau khi lọc 45KV</t>
  </si>
  <si>
    <t>T1.2105</t>
  </si>
  <si>
    <t>Lọc dầu bằng máy lọc ép; mức điện áp trước khi lọc 25KV, mức điện áp sau khi lọc 50KV</t>
  </si>
  <si>
    <t>T1.2111</t>
  </si>
  <si>
    <t>Lọc dầu bằng máy lọc dầu cải tạo YBM-2 (đã có máy hút chân không) hoặc tương đương; mức điện áp trước khi lọc 25KV, mức điện áp sau khi lọc 30KV</t>
  </si>
  <si>
    <t>T1.2112</t>
  </si>
  <si>
    <t>Lọc dầu bằng máy lọc dầu cải tạo YBM-2 (đã có máy hút chân không) hoặc tương đương; mức điện áp trước khi lọc 25KV, mức điện áp sau khi lọc 35KV</t>
  </si>
  <si>
    <t>T1.2113</t>
  </si>
  <si>
    <t>Lọc dầu bằng máy lọc dầu cải tạo YBM-2 (đã có máy hút chân không) hoặc tương đương; mức điện áp trước khi lọc 25KV, mức điện áp sau khi lọc 40KV</t>
  </si>
  <si>
    <t>T1.2114</t>
  </si>
  <si>
    <t>Lọc dầu bằng máy lọc dầu cải tạo YBM-2 (đã có máy hút chân không) hoặc tương đương; mức điện áp trước khi lọc 25KV, mức điện áp sau khi lọc 45KV</t>
  </si>
  <si>
    <t>T1.2115</t>
  </si>
  <si>
    <t>Lọc dầu bằng máy lọc dầu cải tạo YBM-2 (đã có máy hút chân không) hoặc tương đương; mức điện áp trước khi lọc 25KV, mức điện áp sau khi lọc 50KV</t>
  </si>
  <si>
    <t>T1.2121</t>
  </si>
  <si>
    <t>Lọc dầu bằng máy lọc dầu hợp bộ KATO KLVC-4AXVSO hoặc tương đương; mức điện áp trước khi lọc 25KV, mức điện áp sau khi lọc 30KV</t>
  </si>
  <si>
    <t>T1.2122</t>
  </si>
  <si>
    <t>Lọc dầu bằng máy lọc dầu hợp bộ KATO KLVC-4AXVSO hoặc tương đương; mức điện áp trước khi lọc 25KV, mức điện áp sau khi lọc 35KV</t>
  </si>
  <si>
    <t>T1.2123</t>
  </si>
  <si>
    <t>Lọc dầu bằng máy lọc dầu hợp bộ KATO KLVC-4AXVSO hoặc tương đương; mức điện áp trước khi lọc 25KV, mức điện áp sau khi lọc 40KV</t>
  </si>
  <si>
    <t>T1.2124</t>
  </si>
  <si>
    <t>Lọc dầu bằng máy lọc dầu hợp bộ KATO KLVC-4AXVSO hoặc tương đương; mức điện áp trước khi lọc 25KV, mức điện áp sau khi lọc 45KV</t>
  </si>
  <si>
    <t>T1.2125</t>
  </si>
  <si>
    <t>Lọc dầu bằng máy lọc dầu hợp bộ KATO KLVC-4AXVSO hoặc tương đương; mức điện áp trước khi lọc 25KV, mức điện áp sau khi lọc 50KV</t>
  </si>
  <si>
    <t>tr100</t>
  </si>
  <si>
    <t>T1.2131</t>
  </si>
  <si>
    <t>Lọc dầu bằng máy lọc ép; mức điện áp trước khi lọc 30KV, mức điện áp sau khi lọc 35KV</t>
  </si>
  <si>
    <t>T1.2132</t>
  </si>
  <si>
    <t>Lọc dầu bằng máy lọc ép; mức điện áp trước khi lọc 30KV, mức điện áp sau khi lọc 40KV</t>
  </si>
  <si>
    <t>T1.2133</t>
  </si>
  <si>
    <t>Lọc dầu bằng máy lọc ép; mức điện áp trước khi lọc 30KV, mức điện áp sau khi lọc 45KV</t>
  </si>
  <si>
    <t>T1.2134</t>
  </si>
  <si>
    <t>Lọc dầu bằng máy lọc ép; mức điện áp trước khi lọc 30KV, mức điện áp sau khi lọc 50KV</t>
  </si>
  <si>
    <t>T1.2135</t>
  </si>
  <si>
    <t>Lọc dầu bằng máy lọc ép; mức điện áp trước khi lọc 30KV, mức điện áp sau khi lọc 60KV</t>
  </si>
  <si>
    <t>T1.2141</t>
  </si>
  <si>
    <t>Lọc dầu bằng máy lọc dầu cải tạo YBM-2 (đã có máy hút chân không) hoặc tương đương; mức điện áp trước khi lọc 30KV, mức điện áp sau khi lọc 35KV</t>
  </si>
  <si>
    <t>T1.2142</t>
  </si>
  <si>
    <t>Lọc dầu bằng máy lọc dầu cải tạo YBM-2 (đã có máy hút chân không) hoặc tương đương; mức điện áp trước khi lọc 30KV, mức điện áp sau khi lọc 40KV</t>
  </si>
  <si>
    <t>T1.2143</t>
  </si>
  <si>
    <t>Lọc dầu bằng máy lọc dầu cải tạo YBM-2 (đã có máy hút chân không) hoặc tương đương; mức điện áp trước khi lọc 30KV, mức điện áp sau khi lọc 45KV</t>
  </si>
  <si>
    <t>T1.2144</t>
  </si>
  <si>
    <t>Lọc dầu bằng máy lọc dầu cải tạo YBM-2 (đã có máy hút chân không) hoặc tương đương; mức điện áp trước khi lọc 30KV, mức điện áp sau khi lọc 50KV</t>
  </si>
  <si>
    <t>T1.2145</t>
  </si>
  <si>
    <t>Lọc dầu bằng máy lọc dầu cải tạo YBM-2 (đã có máy hút chân không) hoặc tương đương; mức điện áp trước khi lọc 30KV, mức điện áp sau khi lọc 60KV</t>
  </si>
  <si>
    <t>T1.2151</t>
  </si>
  <si>
    <t>Lọc dầu bằng máy lọc dầu hợp bộ KATO KLVC-4AXVSO hoặc tương đương; mức điện áp trước khi lọc 30KV, mức điện áp sau khi lọc 35KV</t>
  </si>
  <si>
    <t>T1.2152</t>
  </si>
  <si>
    <t>Lọc dầu bằng máy lọc dầu hợp bộ KATO KLVC-4AXVSO hoặc tương đương; mức điện áp trước khi lọc 30KV, mức điện áp sau khi lọc 40KV</t>
  </si>
  <si>
    <t>T1.2153</t>
  </si>
  <si>
    <t>Lọc dầu bằng máy lọc dầu hợp bộ KATO KLVC-4AXVSO hoặc tương đương; mức điện áp trước khi lọc 30KV, mức điện áp sau khi lọc 45KV</t>
  </si>
  <si>
    <t>T1.2154</t>
  </si>
  <si>
    <t>Lọc dầu bằng máy lọc dầu hợp bộ KATO KLVC-4AXVSO hoặc tương đương; mức điện áp trước khi lọc 30KV, mức điện áp sau khi lọc 50KV</t>
  </si>
  <si>
    <t>T1.2155</t>
  </si>
  <si>
    <t>Lọc dầu bằng máy lọc dầu hợp bộ KATO KLVC-4AXVSO hoặc tương đương; mức điện áp trước khi lọc 30KV, mức điện áp sau khi lọc 60KV</t>
  </si>
  <si>
    <t>tr101</t>
  </si>
  <si>
    <t>T1.2161</t>
  </si>
  <si>
    <t>Lọc dầu bằng máy lọc ép; mức điện áp trước khi lọc 35KV, mức điện áp sau khi lọc 40KV</t>
  </si>
  <si>
    <t>T1.2162</t>
  </si>
  <si>
    <t>Lọc dầu bằng máy lọc ép; mức điện áp trước khi lọc 35KV, mức điện áp sau khi lọc 45KV</t>
  </si>
  <si>
    <t>T1.2163</t>
  </si>
  <si>
    <t>Lọc dầu bằng máy lọc ép; mức điện áp trước khi lọc 35KV, mức điện áp sau khi lọc 50KV</t>
  </si>
  <si>
    <t>T1.2164</t>
  </si>
  <si>
    <t>Lọc dầu bằng máy lọc ép; mức điện áp trước khi lọc 35KV, mức điện áp sau khi lọc 60KV</t>
  </si>
  <si>
    <t>T1.2171</t>
  </si>
  <si>
    <t>Lọc dầu bằng máy lọc dầu cải tạo YBM-2 (đã có máy hút chân không) hoặc tương đương; mức điện áp trước khi lọc 35KV, mức điện áp sau khi lọc 40KV</t>
  </si>
  <si>
    <t>T1.2172</t>
  </si>
  <si>
    <t>Lọc dầu bằng máy lọc dầu cải tạo YBM-2 (đã có máy hút chân không) hoặc tương đương; mức điện áp trước khi lọc 35KV, mức điện áp sau khi lọc 45KV</t>
  </si>
  <si>
    <t>T1.2173</t>
  </si>
  <si>
    <t>Lọc dầu bằng máy lọc dầu cải tạo YBM-2 (đã có máy hút chân không) hoặc tương đương; mức điện áp trước khi lọc 35KV, mức điện áp sau khi lọc 50KV</t>
  </si>
  <si>
    <t>T1.2174</t>
  </si>
  <si>
    <t>Lọc dầu bằng máy lọc dầu cải tạo YBM-2 (đã có máy hút chân không) hoặc tương đương; mức điện áp trước khi lọc 35KV, mức điện áp sau khi lọc 60KV</t>
  </si>
  <si>
    <t>T1.2181</t>
  </si>
  <si>
    <t>Lọc dầu bằng máy lọc dầu hợp bộ KATO KLVC-4AXVSO hoặc tương đương; mức điện áp trước khi lọc 35KV, mức điện áp sau khi lọc 40KV</t>
  </si>
  <si>
    <t>T1.2182</t>
  </si>
  <si>
    <t>Lọc dầu bằng máy lọc dầu hợp bộ KATO KLVC-4AXVSO hoặc tương đương; mức điện áp trước khi lọc 35KV, mức điện áp sau khi lọc 45KV</t>
  </si>
  <si>
    <t>T1.2183</t>
  </si>
  <si>
    <t>Lọc dầu bằng máy lọc dầu hợp bộ KATO KLVC-4AXVSO hoặc tương đương; mức điện áp trước khi lọc 35KV, mức điện áp sau khi lọc 50KV</t>
  </si>
  <si>
    <t>T1.2184</t>
  </si>
  <si>
    <t>Lọc dầu bằng máy lọc dầu hợp bộ KATO KLVC-4AXVSO hoặc tương đương; mức điện áp trước khi lọc 35KV, mức điện áp sau khi lọc 60KV</t>
  </si>
  <si>
    <t>tr102</t>
  </si>
  <si>
    <t>T1.2191</t>
  </si>
  <si>
    <t>Lọc dầu bằng máy lọc ép; mức điện áp trước khi lọc40KV, mức điện áp sau khi lọc 45KV</t>
  </si>
  <si>
    <t>T1.2192</t>
  </si>
  <si>
    <t>Lọc dầu bằng máy lọc ép; mức điện áp trước khi lọc40KV, mức điện áp sau khi lọc 50KV</t>
  </si>
  <si>
    <t>T1.2193</t>
  </si>
  <si>
    <t>Lọc dầu bằng máy lọc ép; mức điện áp trước khi lọc40KV, mức điện áp sau khi lọc 55KV</t>
  </si>
  <si>
    <t>T1.2194</t>
  </si>
  <si>
    <t>Lọc dầu bằng máy lọc ép; mức điện áp trước khi lọc40KV, mức điện áp sau khi lọc 60KV</t>
  </si>
  <si>
    <t>T1.2201</t>
  </si>
  <si>
    <t>Lọc dầu bằng máy lọc dầu cải tạo YBM-2 (đã có máy hút chân không) hoặc tương đương; mức điện áp trước khi lọc40KV, mức điện áp sau khi lọc 45KV</t>
  </si>
  <si>
    <t>T1.2202</t>
  </si>
  <si>
    <t>Lọc dầu bằng máy lọc dầu cải tạo YBM-2 (đã có máy hút chân không) hoặc tương đương; mức điện áp trước khi lọc40KV, mức điện áp sau khi lọc 50KV</t>
  </si>
  <si>
    <t>T1.2203</t>
  </si>
  <si>
    <t>Lọc dầu bằng máy lọc dầu cải tạo YBM-2 (đã có máy hút chân không) hoặc tương đương; mức điện áp trước khi lọc40KV, mức điện áp sau khi lọc 55KV</t>
  </si>
  <si>
    <t>T1.2204</t>
  </si>
  <si>
    <t>Lọc dầu bằng máy lọc dầu cải tạo YBM-2 (đã có máy hút chân không) hoặc tương đương; mức điện áp trước khi lọc40KV, mức điện áp sau khi lọc 60KV</t>
  </si>
  <si>
    <t>T1.2211</t>
  </si>
  <si>
    <t>Lọc dầu bằng máy lọc dầu hợp bộ KATO KLVC-4AXVSO hoặc tương đương; mức điện áp trước khi lọc40KV, mức điện áp sau khi lọc 45KV</t>
  </si>
  <si>
    <t>T1.2212</t>
  </si>
  <si>
    <t>Lọc dầu bằng máy lọc dầu hợp bộ KATO KLVC-4AXVSO hoặc tương đương; mức điện áp trước khi lọc40KV, mức điện áp sau khi lọc 50KV</t>
  </si>
  <si>
    <t>T1.2213</t>
  </si>
  <si>
    <t>Lọc dầu bằng máy lọc dầu hợp bộ KATO KLVC-4AXVSO hoặc tương đương; mức điện áp trước khi lọc40KV, mức điện áp sau khi lọc 55KV</t>
  </si>
  <si>
    <t>T1.2214</t>
  </si>
  <si>
    <t>Lọc dầu bằng máy lọc dầu hợp bộ KATO KLVC-4AXVSO hoặc tương đương; mức điện áp trước khi lọc40KV, mức điện áp sau khi lọc 60KV</t>
  </si>
  <si>
    <t>tr103</t>
  </si>
  <si>
    <t>T1.2221</t>
  </si>
  <si>
    <t>Lọc dầu bằng máy lọc ép; mức điện áp trước khi lọc 45KV, mức điện áp sau khi lọc 50KV</t>
  </si>
  <si>
    <t>T1.2222</t>
  </si>
  <si>
    <t>Lọc dầu bằng máy lọc ép; mức điện áp trước khi lọc 45KV, mức điện áp sau khi lọc 55KV</t>
  </si>
  <si>
    <t>T1.2223</t>
  </si>
  <si>
    <t>Lọc dầu bằng máy lọc ép; mức điện áp trước khi lọc 45KV, mức điện áp sau khi lọc 60KV</t>
  </si>
  <si>
    <t>T1.2224</t>
  </si>
  <si>
    <t>Lọc dầu bằng máy lọc ép; mức điện áp trước khi lọc 45KV, mức điện áp sau khi lọc 70KV</t>
  </si>
  <si>
    <t>T1.2231</t>
  </si>
  <si>
    <t>Lọc dầu bằng máy lọc dầu cải tạo YBM-2 (đã có máy hút chân không) hoặc tương đương; mức điện áp trước khi lọc 45KV, mức điện áp sau khi lọc 50KV</t>
  </si>
  <si>
    <t>T1.2232</t>
  </si>
  <si>
    <t>Lọc dầu bằng máy lọc dầu cải tạo YBM-2 (đã có máy hút chân không) hoặc tương đương; mức điện áp trước khi lọc 45KV, mức điện áp sau khi lọc 55KV</t>
  </si>
  <si>
    <t>T1.2233</t>
  </si>
  <si>
    <t>Lọc dầu bằng máy lọc dầu cải tạo YBM-2 (đã có máy hút chân không) hoặc tương đương; mức điện áp trước khi lọc 45KV, mức điện áp sau khi lọc 60KV</t>
  </si>
  <si>
    <t>T1.2234</t>
  </si>
  <si>
    <t>Lọc dầu bằng máy lọc dầu cải tạo YBM-2 (đã có máy hút chân không) hoặc tương đương; mức điện áp trước khi lọc 45KV, mức điện áp sau khi lọc 70KV</t>
  </si>
  <si>
    <t>T1.2241</t>
  </si>
  <si>
    <t>Lọc dầu bằng máy lọc dầu hợp bộ KATO KLVC-4AXVSO hoặc tương đương; mức điện áp trước khi lọc 45KV, mức điện áp sau khi lọc 50KV</t>
  </si>
  <si>
    <t>T1.2242</t>
  </si>
  <si>
    <t>Lọc dầu bằng máy lọc dầu hợp bộ KATO KLVC-4AXVSO hoặc tương đương; mức điện áp trước khi lọc 45KV, mức điện áp sau khi lọc 55KV</t>
  </si>
  <si>
    <t>T1.2243</t>
  </si>
  <si>
    <t>Lọc dầu bằng máy lọc dầu hợp bộ KATO KLVC-4AXVSO hoặc tương đương; mức điện áp trước khi lọc 45KV, mức điện áp sau khi lọc 60KV</t>
  </si>
  <si>
    <t>T1.2244</t>
  </si>
  <si>
    <t>Lọc dầu bằng máy lọc dầu hợp bộ KATO KLVC-4AXVSO hoặc tương đương; mức điện áp trước khi lọc 45KV, mức điện áp sau khi lọc 70KV</t>
  </si>
  <si>
    <t>tr104</t>
  </si>
  <si>
    <t>T1.2251</t>
  </si>
  <si>
    <t>Lọc dầu bằng máy lọc ép; mức điện áp trước khi lọc 50KV, mức điện áp sau khi lọc 55KV</t>
  </si>
  <si>
    <t>T1.2252</t>
  </si>
  <si>
    <t>Lọc dầu bằng máy lọc ép; mức điện áp trước khi lọc 50KV, mức điện áp sau khi lọc 60KV</t>
  </si>
  <si>
    <t>T1.2253</t>
  </si>
  <si>
    <t>Lọc dầu bằng máy lọc ép; mức điện áp trước khi lọc 50KV, mức điện áp sau khi lọc 70KV</t>
  </si>
  <si>
    <t>T1.2261</t>
  </si>
  <si>
    <t>Lọc dầu bằng máy lọc dầu cải tạo YBM-2 (đã có máy hút chân không) hoặc tương đương; mức điện áp trước khi lọc &gt;60KV, mức điện áp sau khi lọc &lt;= 55KV</t>
  </si>
  <si>
    <t>T1.2262</t>
  </si>
  <si>
    <t>Lọc dầu bằng máy lọc dầu cải tạo YBM-2 (đã có máy hút chân không) hoặc tương đương; mức điện áp trước khi lọc 50KV, mức điện áp sau khi lọc &lt;= 60KV</t>
  </si>
  <si>
    <t>T1.2263</t>
  </si>
  <si>
    <t>Lọc dầu bằng máy lọc dầu cải tạo YBM-2 (đã có máy hút chân không) hoặc tương đương; mức điện áp trước khi lọc 50KV, mức điện áp sau khi lọc &lt;= 70KV</t>
  </si>
  <si>
    <t>tr105</t>
  </si>
  <si>
    <t>T1.2271</t>
  </si>
  <si>
    <t>Lọc dầu bằng máy lọc dầu hợp bộ KATO KLVC-4AXVSO hoặc tương đương; mức điện áp trước khi lọc 50KV, mức điện áp sau khi lọc 55KV</t>
  </si>
  <si>
    <t>T1.2272</t>
  </si>
  <si>
    <t>Lọc dầu bằng máy lọc dầu hợp bộ KATO KLVC-4AXVSO hoặc tương đương; mức điện áp trước khi lọc 50KV, mức điện áp sau khi lọc 60KV</t>
  </si>
  <si>
    <t>T1.2273</t>
  </si>
  <si>
    <t>Lọc dầu bằng máy lọc dầu hợp bộ KATO KLVC-4AXVSO hoặc tương đương; mức điện áp trước khi lọc 50KV, mức điện áp sau khi lọc 70KV</t>
  </si>
  <si>
    <t>T1.2254</t>
  </si>
  <si>
    <t>Lọc dầu bằng máy lọc ép; mức điện áp trước khi lọc 55KV, mức điện áp sau khi lọc 60KV</t>
  </si>
  <si>
    <t>T1.2255</t>
  </si>
  <si>
    <t>Lọc dầu bằng máy lọc ép; mức điện áp trước khi lọc 55KV, mức điện áp sau khi lọc 70KV</t>
  </si>
  <si>
    <t>T1.2256</t>
  </si>
  <si>
    <t>Lọc dầu bằng máy lọc ép; mức điện áp trước khi lọc =&gt;60KV, mức điện áp sau khi lọc =&gt;70KV</t>
  </si>
  <si>
    <t>T1.2264</t>
  </si>
  <si>
    <t>Lọc dầu bằng máy lọc dầu cải tạo YBM-2 (đã có máy hút chân không) hoặc tương đương; mức điện áp trước khi lọc 55KV, mức điện áp sau khi lọc 60KV</t>
  </si>
  <si>
    <t>T1.2265</t>
  </si>
  <si>
    <t>Lọc dầu bằng máy lọc dầu cải tạo YBM-2 (đã có máy hút chân không) hoặc tương đương; mức điện áp trước khi lọc 55KV, mức điện áp sau khi lọc 70KV</t>
  </si>
  <si>
    <t>T1.2266</t>
  </si>
  <si>
    <t>Lọc dầu bằng máy lọc dầu cải tạo YBM-2 (đã có máy hút chân không) hoặc tương đương; mức điện áp trước khi lọc =&gt;60KV, mức điện áp sau khi lọc =&gt;70KV</t>
  </si>
  <si>
    <t>T1.2274</t>
  </si>
  <si>
    <t>Lọc dầu bằng máy lọc dầu hợp bộ KATO KLVC-4AXVSO hoặc tương đương; mức điện áp trước khi lọc 55KV, mức điện áp sau khi lọc 60KV</t>
  </si>
  <si>
    <t>T1.2275</t>
  </si>
  <si>
    <t>Lọc dầu bằng máy lọc dầu hợp bộ KATO KLVC-4AXVSO hoặc tương đương; mức điện áp trước khi lọc 55KV, mức điện áp sau khi lọc 70KV</t>
  </si>
  <si>
    <t>T1.2276</t>
  </si>
  <si>
    <t>Lọc dầu bằng máy lọc dầu hợp bộ KATO KLVC-4AXVSO hoặc tương đương; mức điện áp trước khi lọc =&gt;60KV, mức điện áp sau khi lọc =&gt;70KV</t>
  </si>
  <si>
    <t>T2.1101</t>
  </si>
  <si>
    <t>Lắp đặt máy biến điện áp 3 pha độc lập &lt;=500KV</t>
  </si>
  <si>
    <t>T2.1102</t>
  </si>
  <si>
    <t>Lắp đặt máy biến điện áp 3 pha độc lập &lt;=220KV</t>
  </si>
  <si>
    <t>T2.1103</t>
  </si>
  <si>
    <t>Lắp đặt máy biến điện áp 3 pha độc lập &lt;=110KV</t>
  </si>
  <si>
    <t>T2.1104</t>
  </si>
  <si>
    <t>Lắp đặt máy biến điện áp 3 pha độc lập &lt;=35KV</t>
  </si>
  <si>
    <t>T2.1105</t>
  </si>
  <si>
    <t>Lắp đặt máy biến điện áp 3 pha độc lập &lt;=10KV</t>
  </si>
  <si>
    <t>T2.1106</t>
  </si>
  <si>
    <t>Lắp đặt máy biến điện áp 3 pha chung &lt;=35KV</t>
  </si>
  <si>
    <t>T2.1107</t>
  </si>
  <si>
    <t>Lắp đặt máy biến điện áp 3 pha chung &lt;=10KV</t>
  </si>
  <si>
    <t>tr106</t>
  </si>
  <si>
    <t>T2.1201</t>
  </si>
  <si>
    <t>Lắp đặt Máy biến dòng &lt;=500KV</t>
  </si>
  <si>
    <t>T2.1202</t>
  </si>
  <si>
    <t>Lắp đặt Máy biến dòng &lt;=220KV</t>
  </si>
  <si>
    <t>T2.1203</t>
  </si>
  <si>
    <t>Lắp đặt Máy biến dòng &lt;=110KV</t>
  </si>
  <si>
    <t>T2.1204</t>
  </si>
  <si>
    <t>Lắp đặt Máy biến dòng &lt;=35KV</t>
  </si>
  <si>
    <t>T2.1205</t>
  </si>
  <si>
    <t>Lắp đặt Máy biến dòng &lt;=10KV</t>
  </si>
  <si>
    <t>tr107</t>
  </si>
  <si>
    <t>T2.2101</t>
  </si>
  <si>
    <t>Lắp đặt máy cắt dầu ngoài trời, loại ít dầu &lt;=220kV</t>
  </si>
  <si>
    <t>T2.2102</t>
  </si>
  <si>
    <t>Lắp đặt máy cắt dầu ngoài trời, loại ít dầu &lt;=110kV</t>
  </si>
  <si>
    <t>Lắp đặt máy cắt dầu ngoài trời, loại ít dầu &lt;=35kV</t>
  </si>
  <si>
    <t>tr108</t>
  </si>
  <si>
    <t>T2.2201</t>
  </si>
  <si>
    <t>Lắp đặt máy cắt dùng khí SF6 3 pha 500KV</t>
  </si>
  <si>
    <t>T2.2202</t>
  </si>
  <si>
    <t>Lắp đặt máy cắt dùng khí SF6 3 pha 220KV</t>
  </si>
  <si>
    <t>T2.2203</t>
  </si>
  <si>
    <t>Lắp đặt máy cắt dùng khí SF6 3 pha &lt;=110KV</t>
  </si>
  <si>
    <t>T2.2204</t>
  </si>
  <si>
    <t>Lắp đặt máy cắt dùng khí SF6 3 pha &lt;=35KV</t>
  </si>
  <si>
    <t>tr109</t>
  </si>
  <si>
    <t>T2.3111</t>
  </si>
  <si>
    <t>Lắp đặt dao cách ly 1 pha ngoài trời 500KV, loại không tiếp đất</t>
  </si>
  <si>
    <t>M-BS14</t>
  </si>
  <si>
    <t>Máy khác</t>
  </si>
  <si>
    <t>T2.3121</t>
  </si>
  <si>
    <t>Lắp đặt dao cách ly 1 pha ngoài trời 500KV, tiếp đất 1 đầu</t>
  </si>
  <si>
    <t>T2.3131</t>
  </si>
  <si>
    <t>Lắp đặt dao cách ly 1 pha ngoài trời 500KV, tiếp đất 2 đầu</t>
  </si>
  <si>
    <t>T2.3112</t>
  </si>
  <si>
    <t>Lắp đặt dao cách ly 1 pha ngoài trời 220KV, loại không tiếp đất</t>
  </si>
  <si>
    <t>T2.3122</t>
  </si>
  <si>
    <t>Lắp đặt dao cách ly 1 pha ngoài trời 220KV, tiếp đất 1 đầu</t>
  </si>
  <si>
    <t>T2.3132</t>
  </si>
  <si>
    <t>Lắp đặt dao cách ly 1 pha ngoài trời 220KV, tiếp đất 2 đầu</t>
  </si>
  <si>
    <t>T2.3113</t>
  </si>
  <si>
    <t>Lắp đặt dao cách ly 1 pha ngoài trời &lt;=110KV, loại không tiếp đất</t>
  </si>
  <si>
    <t>T2.3123</t>
  </si>
  <si>
    <t>Lắp đặt dao cách ly 1 pha ngoài trời &lt;=110KV, tiếp đất 1 đầu</t>
  </si>
  <si>
    <t>T2.3133</t>
  </si>
  <si>
    <t>Lắp đặt dao cách ly 1 pha ngoài trời 110KV, tiếp đất 2 đầu</t>
  </si>
  <si>
    <t>Lắp đặt dao cách ly 1 pha ngoài trời &lt;=35KV, loại không tiếp đất</t>
  </si>
  <si>
    <t>T2.3124</t>
  </si>
  <si>
    <t>Lắp đặt dao cách ly 1 pha ngoài trời &lt;=35KV, tiếp đất 1 đầu</t>
  </si>
  <si>
    <t>T2.3134</t>
  </si>
  <si>
    <t>Lắp đặt dao cách ly 1 pha &lt;=35KV, tiếp đất 2 đầu</t>
  </si>
  <si>
    <t>T2.3115</t>
  </si>
  <si>
    <t xml:space="preserve">Lắp đặt dao cách ly 1 pha ngoài trời &lt;=10KV, không tiếp đất </t>
  </si>
  <si>
    <t>T2.3125</t>
  </si>
  <si>
    <t>Lắp đặt dao cách ly 1 pha ngoài trời &lt;=10KV, tiếp đất 1 đầu</t>
  </si>
  <si>
    <t>T2.3135</t>
  </si>
  <si>
    <t>Lắp đặt dao cách ly 1 pha ngoài trời &lt;=10KV, tiếp đất 2 đầu</t>
  </si>
  <si>
    <t>tr110</t>
  </si>
  <si>
    <t>T2.3211</t>
  </si>
  <si>
    <t>Lắp đặt dao cách ly 3 pha ngoài trời 220KV, loại không tiếp đất</t>
  </si>
  <si>
    <t>T2.3221</t>
  </si>
  <si>
    <t>Lắp đặt dao cách ly 3 pha ngoài trời 220KV, tiếp đất 1 đầu</t>
  </si>
  <si>
    <t>T2.3231</t>
  </si>
  <si>
    <t>Lắp đặt dao cách ly 3 pha ngoài trời 220KV, tiếp đất 2 đầu</t>
  </si>
  <si>
    <t>T2.3212</t>
  </si>
  <si>
    <t>Lắp đặt dao cách ly 3 pha ngoài trời 110KV, loại không tiếp đất</t>
  </si>
  <si>
    <t>T2.3222</t>
  </si>
  <si>
    <t>Lắp đặt dao cách ly 3 pha ngoài trời 110KV, tiếp đất 1 đầu</t>
  </si>
  <si>
    <t>T2.3232</t>
  </si>
  <si>
    <t>Lắp đặt dao cách ly 3 pha ngoài trời 110KV, tiếp đất 2 đầu</t>
  </si>
  <si>
    <t>Lắp đặt dao cách ly 3 pha ngoài trời &lt;=35KV, loại không tiếp đất</t>
  </si>
  <si>
    <t>T2.3223</t>
  </si>
  <si>
    <t>Lắp đặt dao cách ly 3 pha ngoài trời &lt;=35KV, tiếp đất 1 đầu</t>
  </si>
  <si>
    <t>T2.3233</t>
  </si>
  <si>
    <t>Lắp đặt dao cách ly 3 pha ngoài trời &lt;=35KV, tiếp đất 2 đầu</t>
  </si>
  <si>
    <t>T2.3214</t>
  </si>
  <si>
    <t xml:space="preserve">Lắp đặt dao cách ly 3 pha ngoài trời &lt;=10KV, không tiếp đất </t>
  </si>
  <si>
    <t>T2.3224</t>
  </si>
  <si>
    <t>Lắp đặt dao cách ly 3 pha ngoài trời &lt;=10KV, tiếp đất 1 đầu</t>
  </si>
  <si>
    <t>T2.3234</t>
  </si>
  <si>
    <t>Lắp đặt dao cách ly 3 pha ngoài trời &lt;=10KV, tiếp đất 2 đầu</t>
  </si>
  <si>
    <t>tr111</t>
  </si>
  <si>
    <t>T2.3311</t>
  </si>
  <si>
    <t>Lắp đặt dao cách ly 3 pha trong nhà &lt;=35KV, loại không tiếp đất</t>
  </si>
  <si>
    <t>T2.3321</t>
  </si>
  <si>
    <t>Lắp đặt dao cách ly 3 pha trong nhà &lt;=35KV, tiếp đất 1 đầu</t>
  </si>
  <si>
    <t>T2.3331</t>
  </si>
  <si>
    <t>Lắp đặt dao cách ly 3 pha trong nhà &lt;=35KV, tiếp đất 2 đầu</t>
  </si>
  <si>
    <t>T2.3312</t>
  </si>
  <si>
    <t xml:space="preserve">Lắp đặt dao cách ly 3 pha trong nhà &lt;=10KV, không tiếp đất </t>
  </si>
  <si>
    <t>T2.3322</t>
  </si>
  <si>
    <t>Lắp đặt dao cách ly 3 pha trong nhà &lt;=10KV, tiếp đất 1 đầu</t>
  </si>
  <si>
    <t>T2.3332</t>
  </si>
  <si>
    <t>Lắp đặt dao cách ly 3 pha trong nhà &lt;=10KV, tiếp đất 2 đầu</t>
  </si>
  <si>
    <t>T2.3401</t>
  </si>
  <si>
    <t>Lắp đặt cầu dao hạ thế  &lt;=100A</t>
  </si>
  <si>
    <t xml:space="preserve">cuộn </t>
  </si>
  <si>
    <t>T2.3402</t>
  </si>
  <si>
    <t>Lắp đặt cầu dao hạ thế  &lt;=200A</t>
  </si>
  <si>
    <t>T2.3403</t>
  </si>
  <si>
    <t>Lắp đặt cầu dao hạ thế  &lt;=400A</t>
  </si>
  <si>
    <t>T2.3404</t>
  </si>
  <si>
    <t>Lắp đặt cầu dao hạ thế  &lt;=600A</t>
  </si>
  <si>
    <t>T2.3405</t>
  </si>
  <si>
    <t>Lắp đặt cầu dao hạ thế  &gt;600A</t>
  </si>
  <si>
    <t>tr112</t>
  </si>
  <si>
    <t>T2.3501</t>
  </si>
  <si>
    <t>Lắp đặt cầu chì loại 35(22)KV</t>
  </si>
  <si>
    <t>bộ 3 pha</t>
  </si>
  <si>
    <t>T2.3502</t>
  </si>
  <si>
    <t>Lắp đặt cầu chì loại 6-10(15)KV</t>
  </si>
  <si>
    <t>T2.3503</t>
  </si>
  <si>
    <t>Lắp đặt  điện trở phụ</t>
  </si>
  <si>
    <t>Lắp đặt cầu chì tự rơi loại 6-10(15)KV</t>
  </si>
  <si>
    <t>Lắp đặt cầu chì tự rơi loại 35(22)KV</t>
  </si>
  <si>
    <t>T2.4101</t>
  </si>
  <si>
    <t>Lắp đặt điện kháng bê tông loại 1500kg</t>
  </si>
  <si>
    <t>T2.4102</t>
  </si>
  <si>
    <t>Lắp đặt điện kháng bê tông loại 3000kg</t>
  </si>
  <si>
    <t>T2.4103</t>
  </si>
  <si>
    <t>Lắp đặt điện kháng bê tông loại 4500kg</t>
  </si>
  <si>
    <t>T2.4104</t>
  </si>
  <si>
    <t>Lắp đặt điện kháng bê tông loại 7500kg</t>
  </si>
  <si>
    <t>tr113</t>
  </si>
  <si>
    <t>T2.4201</t>
  </si>
  <si>
    <t>Lắp đặt điện kháng điện dầu 500KV loại 128MVAR</t>
  </si>
  <si>
    <t>T2.4202</t>
  </si>
  <si>
    <t>Lắp đặt điện kháng điện dầu 500KV loại 91MVAR</t>
  </si>
  <si>
    <t>T2.4203</t>
  </si>
  <si>
    <t>Lắp đặt điện kháng điện dầu 500KV loại 58MVAR</t>
  </si>
  <si>
    <t>T2.4204</t>
  </si>
  <si>
    <t>Lắp đặt điện kháng điện dầu 500KV loại 50MVAR</t>
  </si>
  <si>
    <t>T2.4205</t>
  </si>
  <si>
    <t>Lắp đặt trung tính nối đất</t>
  </si>
  <si>
    <t>tr114</t>
  </si>
  <si>
    <t>T2.4301</t>
  </si>
  <si>
    <t>Lắp đặt cuộn dập hồ quang 6-10-15KV có công suất =&lt;175KVA</t>
  </si>
  <si>
    <t>T2.4302</t>
  </si>
  <si>
    <t>Lắp đặt cuộn dập hồ quang 6-10-15KV có công suất =&lt;350KVA</t>
  </si>
  <si>
    <t>T2.4303</t>
  </si>
  <si>
    <t>Lắp đặt cuộn dập hồ quang 6-10-15KV có công suất =&lt;700KVA</t>
  </si>
  <si>
    <t>T2.4304</t>
  </si>
  <si>
    <t>Lắp đặt cuộn dập hồ quang 6-10-15KV có công suất =&lt;1400KVA</t>
  </si>
  <si>
    <t>T2.4305</t>
  </si>
  <si>
    <t>Lắp đặt cuộn dập hồ quang 22-35KV có công suất =&lt;275KVA</t>
  </si>
  <si>
    <t>T2.4306</t>
  </si>
  <si>
    <t>Lắp đặt cuộn dập hồ quang 22-35KV có công suất =&lt;550KVA</t>
  </si>
  <si>
    <t>T2.4307</t>
  </si>
  <si>
    <t>Lắp đặt cuộn dập hồ quang 22-35KV có công suất =&lt;1100KVA</t>
  </si>
  <si>
    <t>T2.4308</t>
  </si>
  <si>
    <t>Lắp đặt cuộn dập hồ quang 22-35KV có công suất =&lt;2200KVA</t>
  </si>
  <si>
    <t>tr115</t>
  </si>
  <si>
    <t>T2.5001</t>
  </si>
  <si>
    <t xml:space="preserve">Lắp đặt chống sét van 500KV </t>
  </si>
  <si>
    <t>T2.5002</t>
  </si>
  <si>
    <t xml:space="preserve">Lắp đặt chống sét van 220KV </t>
  </si>
  <si>
    <t>T2.5003</t>
  </si>
  <si>
    <t xml:space="preserve">Lắp đặt chống sét van &lt;=110KV </t>
  </si>
  <si>
    <t xml:space="preserve">Lắp đặt chống sét van &lt;=35KV </t>
  </si>
  <si>
    <t>T2.5005</t>
  </si>
  <si>
    <t xml:space="preserve">Lắp đặt chống sét van &lt;=11KV </t>
  </si>
  <si>
    <t>T2.5006</t>
  </si>
  <si>
    <t>Lắp đặt thiết bị triệt nhiễu</t>
  </si>
  <si>
    <t>T2.5007</t>
  </si>
  <si>
    <t>Lắp đặt thiết bị đếm sét</t>
  </si>
  <si>
    <t>T2.5008</t>
  </si>
  <si>
    <t>Lắp đặt thiết bị chống sét hạ thế =&lt;1000v</t>
  </si>
  <si>
    <t>tr116</t>
  </si>
  <si>
    <t>T2.6011</t>
  </si>
  <si>
    <t>Lắp đặt bộ lọc PZ</t>
  </si>
  <si>
    <t>T2.6021</t>
  </si>
  <si>
    <t>Lắp đặt tụ đện liên lạc CMP, tụ các loại</t>
  </si>
  <si>
    <t>T2.6031</t>
  </si>
  <si>
    <t>Lắp đặt cuộn cản cao tần</t>
  </si>
  <si>
    <t>tr117</t>
  </si>
  <si>
    <t>T2.7011</t>
  </si>
  <si>
    <t>Lắp đặt giá đỡ ắc qui</t>
  </si>
  <si>
    <t>10kg</t>
  </si>
  <si>
    <t>Sơn màu ghi</t>
  </si>
  <si>
    <t>M201.0001</t>
  </si>
  <si>
    <t>Máy khoan điện cầm tay 0,6kw</t>
  </si>
  <si>
    <t>T2.7012</t>
  </si>
  <si>
    <t>Lắp đặt giá đỡ dây cái trần</t>
  </si>
  <si>
    <t>T2.7013</t>
  </si>
  <si>
    <t>Lắp đặt dây cái</t>
  </si>
  <si>
    <t>tr118</t>
  </si>
  <si>
    <t>T2.7021</t>
  </si>
  <si>
    <t xml:space="preserve">Lắp đặt ắcqui đã tổ hợp </t>
  </si>
  <si>
    <t>10 bình</t>
  </si>
  <si>
    <t>Sơn chống axit</t>
  </si>
  <si>
    <t>T2.7022</t>
  </si>
  <si>
    <t>Nạp điện cho hệ thống ắc qui đã luyện cực</t>
  </si>
  <si>
    <t>kwh</t>
  </si>
  <si>
    <t>T2.7023</t>
  </si>
  <si>
    <t>Lắp tủ chỉnh lưu</t>
  </si>
  <si>
    <t>1 tủ</t>
  </si>
  <si>
    <t>T2.7024</t>
  </si>
  <si>
    <t>Lắp tủ nghịch lưu</t>
  </si>
  <si>
    <t>tr119</t>
  </si>
  <si>
    <t>Lắp đặt tổ máy phát điện</t>
  </si>
  <si>
    <t>Dầu nhờn</t>
  </si>
  <si>
    <t>Dầu Diezen</t>
  </si>
  <si>
    <t>Đồng lá 0,5mm</t>
  </si>
  <si>
    <t>T2.8201</t>
  </si>
  <si>
    <t>Lắp đặt động cơ không đồng bộ công suất 1,7KW</t>
  </si>
  <si>
    <t>1 cái</t>
  </si>
  <si>
    <t>T2.8202</t>
  </si>
  <si>
    <t>Lắp đặt động cơ không đồng bộ công suất 4,5KW</t>
  </si>
  <si>
    <t>Mỡ các loại</t>
  </si>
  <si>
    <t>T2.8203</t>
  </si>
  <si>
    <t>Lắp đặt động cơ không đồng bộ công suất 7KW</t>
  </si>
  <si>
    <t>tr120</t>
  </si>
  <si>
    <t>T2.8204</t>
  </si>
  <si>
    <t>Lắp đặt động cơ không đồng bộ công suất 14KW</t>
  </si>
  <si>
    <t>T2.8205</t>
  </si>
  <si>
    <t>Lắp đặt động cơ không đồng bộ công suất 20KW</t>
  </si>
  <si>
    <t>T2.8206</t>
  </si>
  <si>
    <t>Lắp đặt động cơ không đồng bộ công suất 40KW</t>
  </si>
  <si>
    <t>T2.8207</t>
  </si>
  <si>
    <t>Lắp đặt động cơ không đồng bộ công suất 75KW</t>
  </si>
  <si>
    <t>T2.8208</t>
  </si>
  <si>
    <t>Lắp đặt động cơ không đồng bộ công suất 100KW</t>
  </si>
  <si>
    <t>T2.8209</t>
  </si>
  <si>
    <t>Lắp đặt động cơ không đồng bộ công suất 160KW</t>
  </si>
  <si>
    <t>T2.8110</t>
  </si>
  <si>
    <t>Lắp đặt động cơ không đồng bộ công suất 200KW</t>
  </si>
  <si>
    <t>T2.8111</t>
  </si>
  <si>
    <t>Lắp đặt động cơ không đồng bộ công suất 320KW</t>
  </si>
  <si>
    <t>T2.8112</t>
  </si>
  <si>
    <t>Lắp đặt động cơ không đồng bộ công suất 570KW</t>
  </si>
  <si>
    <t>T2.8301</t>
  </si>
  <si>
    <t>Lắp đặt động cơ đồng bộ công suất 1,7KW</t>
  </si>
  <si>
    <t xml:space="preserve">Sơn cách điện </t>
  </si>
  <si>
    <t>T2.8302</t>
  </si>
  <si>
    <t>Lắp đặt động cơ đồng bộ công suất 4,5KW</t>
  </si>
  <si>
    <t>T2.8303</t>
  </si>
  <si>
    <t>Lắp đặt động cơ đồng bộ công suất 7KW</t>
  </si>
  <si>
    <t>T2.8304</t>
  </si>
  <si>
    <t>Lắp đặt động cơ đồng bộ công suất 14KW</t>
  </si>
  <si>
    <t>T2.8305</t>
  </si>
  <si>
    <t>Lắp đặt động cơ đồng bộ công suất 20KW</t>
  </si>
  <si>
    <t>T2.8306</t>
  </si>
  <si>
    <t>Lắp đặt động cơ đồng bộ công suất 40KW</t>
  </si>
  <si>
    <t>T2.8307</t>
  </si>
  <si>
    <t>Lắp đặt động cơ đồng bộ công suất 75KW</t>
  </si>
  <si>
    <t>T2.8308</t>
  </si>
  <si>
    <t>Lắp đặt động cơ đồng bộ công suất 100KW</t>
  </si>
  <si>
    <t>tr121</t>
  </si>
  <si>
    <t>T2.8309</t>
  </si>
  <si>
    <t>Lắp đặt động cơ đồng bộ công suất 160KW</t>
  </si>
  <si>
    <t>Lắp đặt động cơ đồng bộ công suất 200KW</t>
  </si>
  <si>
    <t>Lắp đặt động cơ đồng bộ công suất 320KW</t>
  </si>
  <si>
    <t>Lắp đặt động cơ đồng bộ công suất 570KW</t>
  </si>
  <si>
    <t>T2.8401</t>
  </si>
  <si>
    <t>Lắp đặt aptômát và khởi động từ dòng điện &lt;=50A</t>
  </si>
  <si>
    <t>T2.8402</t>
  </si>
  <si>
    <t>Lắp đặt aptômát và khởi động từ dòng điện &lt;=100A</t>
  </si>
  <si>
    <t>T2.8403</t>
  </si>
  <si>
    <t>Lắp đặt aptômát và khởi động từ dòng điện &lt;=200A</t>
  </si>
  <si>
    <t>T2.8404</t>
  </si>
  <si>
    <t>Lắp đặt aptômát và khởi động từ dòng điện &lt;=300A</t>
  </si>
  <si>
    <t>T2.8405</t>
  </si>
  <si>
    <t>Lắp đặt aptômát và khởi động từ dòng điện &lt;=400A</t>
  </si>
  <si>
    <t>T2.8406</t>
  </si>
  <si>
    <t>Lắp đặt aptômát và khởi động từ dòng điện &lt;=600A</t>
  </si>
  <si>
    <t>T2.8407</t>
  </si>
  <si>
    <t>Lắp đặt aptômát và khởi động từ dòng điện &lt;=1000A</t>
  </si>
  <si>
    <t>tr122</t>
  </si>
  <si>
    <t>T2.8501</t>
  </si>
  <si>
    <t>Lắp đặt hệ thống tụ bù cấp điện áp 500KV dung lượng 1MVAR, trên dàn</t>
  </si>
  <si>
    <t>T2.8502</t>
  </si>
  <si>
    <t>Lắp đặt hệ thống tụ bù cấp điện áp 220KV dung lượng 1MVAR, trên dàn</t>
  </si>
  <si>
    <t>T2.8503</t>
  </si>
  <si>
    <t>Lắp đặt hệ thống tụ bù cấp điện áp 110KV dung lượng 1MVAR, trên dàn</t>
  </si>
  <si>
    <t>T2.504a</t>
  </si>
  <si>
    <t>Lắp đặt hệ thống tụ bù cấp điện áp 6-35KV dung lượng 1MVAR, trên dàn</t>
  </si>
  <si>
    <t>T2.505a</t>
  </si>
  <si>
    <t>Lắp đặt hệ thống tụ bù cấp điện áp 0,4KV dung lượng 1MVAR, trên dàn</t>
  </si>
  <si>
    <t>T2.504b</t>
  </si>
  <si>
    <t>Lắp đặt hệ thống tụ bù cấp điện áp 6-35KV dung lượng 1MVAR, trên cột</t>
  </si>
  <si>
    <t>T2.505b</t>
  </si>
  <si>
    <t>Lắp đặt hệ thống tụ bù cấp điện áp 0,4KV dung lượng 1MVAR, trên cột</t>
  </si>
  <si>
    <t>T2.504c</t>
  </si>
  <si>
    <t>Lắp đặt hệ thống tụ bù cấp điện áp 6-35KV dung lượng 1MVAR, trong tủ (thủ công)</t>
  </si>
  <si>
    <t>T2.505c</t>
  </si>
  <si>
    <t>Lắp đặt hệ thống tụ bù cấp điện áp 0,4KV dung lượng 1MVAR, trong tủ (thủ công)</t>
  </si>
  <si>
    <t>tr123</t>
  </si>
  <si>
    <t>T3.2501</t>
  </si>
  <si>
    <t>Làm đầu cáp kiểm tra, số ruột cáp &lt;=6</t>
  </si>
  <si>
    <t>T3.2502</t>
  </si>
  <si>
    <t>Làm đầu cáp kiểm tra, số ruột cáp &lt;=14</t>
  </si>
  <si>
    <t>T3.2503</t>
  </si>
  <si>
    <t>Làm đầu cáp kiểm tra, số ruột cáp &lt;=19</t>
  </si>
  <si>
    <t>T3.2504</t>
  </si>
  <si>
    <t>Làm đầu cáp kiểm tra, số ruột cáp &lt;=27</t>
  </si>
  <si>
    <t>T3.2505</t>
  </si>
  <si>
    <t>Làm đầu cáp kiểm tra, số ruột cáp &lt;=36</t>
  </si>
  <si>
    <t>T3.3501</t>
  </si>
  <si>
    <t>Lắp đặt hộp nối cáp khô kiểm tra, số ruột cáp &lt;=3</t>
  </si>
  <si>
    <t>Hộp nối cáp</t>
  </si>
  <si>
    <t>T3.3502</t>
  </si>
  <si>
    <t>Lắp đặt hộp nối cáp khô kiểm tra, số ruột cáp &lt;=6</t>
  </si>
  <si>
    <t>T3.3503</t>
  </si>
  <si>
    <t>Lắp đặt hộp nối cáp khô kiểm tra, số ruột cáp &lt;=14</t>
  </si>
  <si>
    <t>T3.3504</t>
  </si>
  <si>
    <t>Lắp đặt hộp nối cáp khô kiểm tra, số ruột cáp &lt;=19</t>
  </si>
  <si>
    <t>T3.3505</t>
  </si>
  <si>
    <t>Lắp đặt hộp nối cáp khô kiểm tra, số ruột cáp &lt;=27</t>
  </si>
  <si>
    <t>T3.3506</t>
  </si>
  <si>
    <t>Lắp đặt hộp nối cáp khô kiểm tra, số ruột cáp &lt;=36</t>
  </si>
  <si>
    <t>tr124</t>
  </si>
  <si>
    <t>T4.1101</t>
  </si>
  <si>
    <t>Kéo rải dây dẫn và lấy độ võng trong phạm vi trạm, tiết diện dây &lt;= 35 mm2</t>
  </si>
  <si>
    <t>Dây thép buộc fi 2-4</t>
  </si>
  <si>
    <t>T4.1102</t>
  </si>
  <si>
    <t>Kéo rải dây dẫn và lấy độ võng trong phạm vi trạm, tiết diện dây &lt;= 50 mm2</t>
  </si>
  <si>
    <t>T4.1103</t>
  </si>
  <si>
    <t>Kéo rải dây dẫn và lấy độ võng trong phạm vi trạm, tiết diện dây &lt;= 70 mm2</t>
  </si>
  <si>
    <t>T4.1104</t>
  </si>
  <si>
    <t>Kéo rải dây dẫn và lấy độ võng trong phạm vi trạm, tiết diện dây &lt;= 95 mm2</t>
  </si>
  <si>
    <t>T4.1105</t>
  </si>
  <si>
    <t>Kéo rải dây dẫn và lấy độ võng trong phạm vi trạm, tiết diện dây &lt;= 120 mm2</t>
  </si>
  <si>
    <t>T4.1106</t>
  </si>
  <si>
    <t>Kéo rải dây dẫn và lấy độ võng trong phạm vi trạm, tiết diện dây &lt;= 150 mm2</t>
  </si>
  <si>
    <t>T4.1107</t>
  </si>
  <si>
    <t>Kéo rải dây dẫn và lấy độ võng trong phạm vi trạm, tiết diện dây &lt;= 185 mm2</t>
  </si>
  <si>
    <t>T4.1108</t>
  </si>
  <si>
    <t>Kéo rải dây dẫn và lấy độ võng trong phạm vi trạm, tiết diện dây &lt;= 240 mm2</t>
  </si>
  <si>
    <t>T4.1109</t>
  </si>
  <si>
    <t>Kéo rải dây dẫn và lấy độ võng trong phạm vi trạm, tiết diện dây &lt;= 300 mm2</t>
  </si>
  <si>
    <t>T4.1110</t>
  </si>
  <si>
    <t>Kéo rải dây dẫn và lấy độ võng trong phạm vi trạm, tiết diện dây &lt;= 400 mm2</t>
  </si>
  <si>
    <t>T4.1111</t>
  </si>
  <si>
    <t>Kéo rải dây dẫn và lấy độ võng trong phạm vi trạm, tiết diện dây &lt;= 500 mm2</t>
  </si>
  <si>
    <t>T4.1112</t>
  </si>
  <si>
    <t>Kéo rải dây dẫn và lấy độ võng trong phạm vi trạm, tiết diện dây &gt;500 mm2</t>
  </si>
  <si>
    <t>tr125</t>
  </si>
  <si>
    <t>T4.1201</t>
  </si>
  <si>
    <t>Kéo rải dây chống sét và lấy độ võng trong phạm vi trạm, tiết diện dây &lt;= 16 mm2</t>
  </si>
  <si>
    <t>T4.1202</t>
  </si>
  <si>
    <t>Kéo rải dây chống sét và lấy độ võng trong phạm vi trạm, tiết diện dây &lt;= 25 mm2</t>
  </si>
  <si>
    <t>T4.1203</t>
  </si>
  <si>
    <t>Kéo rải dây chống sét và lấy độ võng trong phạm vi trạm, tiết diện dây &lt;= 35 mm2</t>
  </si>
  <si>
    <t>T4.1204</t>
  </si>
  <si>
    <t>Kéo rải dây chống sét và lấy độ võng trong phạm vi trạm, tiết diện dây &lt;= 50 mm2</t>
  </si>
  <si>
    <t>T4.1205</t>
  </si>
  <si>
    <t>Kéo rải dây chống sét và lấy độ võng trong phạm vi trạm, tiết diện dây &lt;= 70 mm2</t>
  </si>
  <si>
    <t>tr126</t>
  </si>
  <si>
    <t>T4.2101</t>
  </si>
  <si>
    <t>Lắp đặt sứ chuỗi, số bát sứ / 1 chuỗi &lt;= 2</t>
  </si>
  <si>
    <t>1 chuỗi sứ</t>
  </si>
  <si>
    <t>T4.2102</t>
  </si>
  <si>
    <t>Lắp đặt sứ chuỗi, số bát sứ / 1 chuỗi &lt;= 5</t>
  </si>
  <si>
    <t>T4.2103</t>
  </si>
  <si>
    <t>Lắp đặt sứ chuỗi, số bát sứ / 1 chuỗi &lt;= 8</t>
  </si>
  <si>
    <t>T4.2104</t>
  </si>
  <si>
    <t>Lắp đặt sứ chuỗi, số bát sứ / 1 chuỗi &lt;= 11</t>
  </si>
  <si>
    <t>T4.2105</t>
  </si>
  <si>
    <t>Lắp đặt sứ chuỗi, số bát sứ / 1 chuỗi &lt;= 14</t>
  </si>
  <si>
    <t>T4.2106</t>
  </si>
  <si>
    <t>Lắp đặt sứ chuỗi, số bát sứ / 1 chuỗi &lt;= 29</t>
  </si>
  <si>
    <t>T4.2201</t>
  </si>
  <si>
    <t>Lắp đặt sứ đứng, cấp điện áp 10-35kV</t>
  </si>
  <si>
    <t>T4.2202</t>
  </si>
  <si>
    <t>Lắp đặt sứ đứng, cấp điện áp 110V</t>
  </si>
  <si>
    <t>T4.2203</t>
  </si>
  <si>
    <t>Lắp đặt sứ đứng, cấp điện áp 220V</t>
  </si>
  <si>
    <t>T4.2204</t>
  </si>
  <si>
    <t>Lắp đặt sứ đứng, cấp điện áp 500V</t>
  </si>
  <si>
    <t>tr127</t>
  </si>
  <si>
    <t>T4.2301</t>
  </si>
  <si>
    <t>Lắp đặt sứ xuyên, cấp điện áp 10-35kV</t>
  </si>
  <si>
    <t>T4.2302</t>
  </si>
  <si>
    <t>Lắp đặt sứ xuyên, cấp điện áp 110kV</t>
  </si>
  <si>
    <t>T4.2303</t>
  </si>
  <si>
    <t>Lắp đặt sứ xuyên, cấp điện áp 220kV</t>
  </si>
  <si>
    <t>T4.2304</t>
  </si>
  <si>
    <t>Lắp đặt sứ xuyên, cấp điện áp 500kV</t>
  </si>
  <si>
    <t>T4.3001</t>
  </si>
  <si>
    <t>Lắp tạ bù loại 50kg</t>
  </si>
  <si>
    <t>T4.3002</t>
  </si>
  <si>
    <t>Lắp tạ chống rung</t>
  </si>
  <si>
    <t>T4.3003</t>
  </si>
  <si>
    <t>Lắp thu lôi ống</t>
  </si>
  <si>
    <t>T4.3004</t>
  </si>
  <si>
    <t>Lắp mỏ phóng</t>
  </si>
  <si>
    <t>T4.3005</t>
  </si>
  <si>
    <t>Lắp khoá các loại</t>
  </si>
  <si>
    <t>T4.3006</t>
  </si>
  <si>
    <t>Đầu cốt ép các loại</t>
  </si>
  <si>
    <t>Lắp đặt kẹp các loại</t>
  </si>
  <si>
    <t>T4.3008</t>
  </si>
  <si>
    <t>T4.3009</t>
  </si>
  <si>
    <t>tr128</t>
  </si>
  <si>
    <t>Lắp đặt dây dẫn xuống thiết bị, dây nhôm lõi thép, tiết diện &lt;=95mm2</t>
  </si>
  <si>
    <t>Lắp đặt dây dẫn xuống thiết bị, dây nhôm lõi thép, tiết diện &lt;=150mm2</t>
  </si>
  <si>
    <t>Lắp đặt dây dẫn xuống thiết bị, dây nhôm lõi thép, tiết diện &lt;=240mm2</t>
  </si>
  <si>
    <t>Lắp đặt dây dẫn xuống thiết bị, dây nhôm lõi thép, tiết diện &lt;=400mm2</t>
  </si>
  <si>
    <t>Lắp đặt dây dẫn xuống thiết bị, dây nhôm lõi thép, tiết diện &lt;=800mm2</t>
  </si>
  <si>
    <t>Lắp đặt dây dẫn xuống thiết bị, dây nhôm lõi thép, tiết diện &gt;800mm2</t>
  </si>
  <si>
    <t>T4.4101</t>
  </si>
  <si>
    <t>Lắp đặt dây dẫn xuống thiết bị, dây đồng, tiết diện &lt;=95mm2</t>
  </si>
  <si>
    <t>T4.4102</t>
  </si>
  <si>
    <t>Lắp đặt dây dẫn xuống thiết bị, dây đồng, tiết diện &lt;=150mm2</t>
  </si>
  <si>
    <t>T4.4103</t>
  </si>
  <si>
    <t>Lắp đặt dây dẫn xuống thiết bị, dây đồng, tiết diện &lt;=240mm2</t>
  </si>
  <si>
    <t>T4.4204</t>
  </si>
  <si>
    <t>Lắp đặt dây dẫn xuống thiết bị, dây đồng, tiết diện &lt;=400mm2</t>
  </si>
  <si>
    <t>T4.4205</t>
  </si>
  <si>
    <t>Lắp đặt dây dẫn xuống thiết bị, dây đồng, tiết diện &lt;=800mm2</t>
  </si>
  <si>
    <t>T4.4206</t>
  </si>
  <si>
    <t>tr129</t>
  </si>
  <si>
    <t>T4.5101</t>
  </si>
  <si>
    <t>Lắp đặt thanh cái dẹt kích thước 25x4</t>
  </si>
  <si>
    <t>T4.5102</t>
  </si>
  <si>
    <t>Lắp đặt thanh cái dẹt kích thước 40x4</t>
  </si>
  <si>
    <t>T4.5103</t>
  </si>
  <si>
    <t>Lắp đặt thanh cái dẹt kích thước 60x6</t>
  </si>
  <si>
    <t>T4.5104</t>
  </si>
  <si>
    <t>Lắp đặt thanh cái dẹt kích thước 80x8</t>
  </si>
  <si>
    <t>T4.5105</t>
  </si>
  <si>
    <t>Lắp đặt thanh cái dẹt kích thước 100x10</t>
  </si>
  <si>
    <t>T4.5106</t>
  </si>
  <si>
    <t>Lắp đặt thanh cái dẹt kích thước 120x10</t>
  </si>
  <si>
    <t>T4.5201</t>
  </si>
  <si>
    <t>Lắp đặt thanh cái ống kích thước &lt;=80mm</t>
  </si>
  <si>
    <t>T4.5202</t>
  </si>
  <si>
    <t>Lắp đặt thanh cái ống kích thước &lt;=100mm</t>
  </si>
  <si>
    <t>T4.5203</t>
  </si>
  <si>
    <t>Lắp đặt thanh cái ống kích thước &lt;=150mm</t>
  </si>
  <si>
    <t>T4.5204</t>
  </si>
  <si>
    <t>Lắp đặt thanh cái ống kích thước &lt;=200mm</t>
  </si>
  <si>
    <t>tr130</t>
  </si>
  <si>
    <t>T4.6101</t>
  </si>
  <si>
    <t>Nối  thanh cái dẹt kích thước 25x4</t>
  </si>
  <si>
    <t>Bulông êcu M 16x50</t>
  </si>
  <si>
    <t>M-BS3</t>
  </si>
  <si>
    <t>Đèn khò</t>
  </si>
  <si>
    <t>T4.6102</t>
  </si>
  <si>
    <t>Nối  thanh cái dẹt kích thước 40x4</t>
  </si>
  <si>
    <t>T4.6103</t>
  </si>
  <si>
    <t>Nối  thanh cái dẹt kích thước 60x6</t>
  </si>
  <si>
    <t>T4.6104</t>
  </si>
  <si>
    <t>Nối  thanh cái dẹt kích thước 80x8</t>
  </si>
  <si>
    <t>T4.6105</t>
  </si>
  <si>
    <t>Nối  thanh cái dẹt kích thước 100x10</t>
  </si>
  <si>
    <t>T4.6106</t>
  </si>
  <si>
    <t>Nối  thanh cái dẹt kích thước 120x10</t>
  </si>
  <si>
    <t>T4.6201</t>
  </si>
  <si>
    <t>Nối  thanh cái ống kích thước &lt;=80mm</t>
  </si>
  <si>
    <t>T4.6202</t>
  </si>
  <si>
    <t>Nối  thanh cái ống kích thước &lt;=100mm</t>
  </si>
  <si>
    <t>T4.6203</t>
  </si>
  <si>
    <t>Nối  thanh cái ống kích thước &lt;=150mm</t>
  </si>
  <si>
    <t>T4.6204</t>
  </si>
  <si>
    <t>Nối  thanh cái ống kích thước &lt;=200mm</t>
  </si>
  <si>
    <t>tr144</t>
  </si>
  <si>
    <t>T4.7111</t>
  </si>
  <si>
    <t>Kéo rải dây tiếp địa bằng hàn điện (D &lt;= 12)</t>
  </si>
  <si>
    <t>T4.7112</t>
  </si>
  <si>
    <t>Kéo rải dây tiếp địa bằng hàn điện (D &lt;= 20)</t>
  </si>
  <si>
    <t>T4.7211</t>
  </si>
  <si>
    <t>Kéo rải dây tiếp địa liên kết các cọc tiếp địa (D &lt;= 12)</t>
  </si>
  <si>
    <t>T4.7212</t>
  </si>
  <si>
    <t>Kéo rải dây tiếp địa liên kết các cọc tiếp địa (D &lt;= 20)</t>
  </si>
  <si>
    <t>T4.7312</t>
  </si>
  <si>
    <t>Đóng cọc tiếp địa dài L=2,5 xuống đất cấp II</t>
  </si>
  <si>
    <t>T4.8001</t>
  </si>
  <si>
    <t>Lắp đặt ghế cách điện thang, sàn thao tác</t>
  </si>
  <si>
    <t>Lắp đặt giá đỡ</t>
  </si>
  <si>
    <t>Lắp đặt ống bảo vệ PVC</t>
  </si>
  <si>
    <t>Lắp đặt ống bảo vệ thép</t>
  </si>
  <si>
    <t>tr132</t>
  </si>
  <si>
    <t>T4.9101</t>
  </si>
  <si>
    <t>Lắp đặt cột thép liên kết hàn</t>
  </si>
  <si>
    <t>Chổi sơn</t>
  </si>
  <si>
    <t>Gỗ kê chèn</t>
  </si>
  <si>
    <t>T4.9102</t>
  </si>
  <si>
    <t>Lắp đặt cột thép liên kết Bulong</t>
  </si>
  <si>
    <t>T4.9103</t>
  </si>
  <si>
    <t>Lắp đặt cột Bê tông</t>
  </si>
  <si>
    <t>T4.9201</t>
  </si>
  <si>
    <t>Lắp đặt trụ đỡ Bê tông</t>
  </si>
  <si>
    <t>T4.9202</t>
  </si>
  <si>
    <t>Lắp đặt trụ đỡ Thép</t>
  </si>
  <si>
    <t>T4.9301</t>
  </si>
  <si>
    <t>Lắp đặt xà Bê tông</t>
  </si>
  <si>
    <t>Lắp đặt xà Thép</t>
  </si>
  <si>
    <t>Lắp đặt tủ điện cấp nguồn xoay chiều 1 pha &lt;=1000V</t>
  </si>
  <si>
    <t>Lắp đặt tủ điện cấp nguồn xoay chiều 3 pha &lt;=1000V</t>
  </si>
  <si>
    <t>T5.1003</t>
  </si>
  <si>
    <t>Lắp đặt tủ điện 1 chiều &lt;=1000V</t>
  </si>
  <si>
    <t>T5.1004</t>
  </si>
  <si>
    <t>Lắp đặt tủ điều khiển dao cách ly, dao tiếp địa</t>
  </si>
  <si>
    <t>T5.1005</t>
  </si>
  <si>
    <t>Lắp đặt tủ điều khiển máy cắt, tủ đấu dây</t>
  </si>
  <si>
    <t>tr134</t>
  </si>
  <si>
    <t>T5.2001</t>
  </si>
  <si>
    <t>Lắp đặt tủ điện, điện áp &lt;=10KV</t>
  </si>
  <si>
    <t>Lắp đặt tủ điện, điện áp &lt;=35V</t>
  </si>
  <si>
    <t>T5.3101</t>
  </si>
  <si>
    <t>Lắp đặt tủ điện nhị thứ; tủ điều khiển máy biến áp &lt;=35V</t>
  </si>
  <si>
    <t>T5.3102</t>
  </si>
  <si>
    <t>Lắp đặt tủ điện nhị thứ;  tủ điều khiển máy biến áp &lt;=110KV</t>
  </si>
  <si>
    <t>T5.3103</t>
  </si>
  <si>
    <t>Lắp đặt tủ điện nhị thứ;  tủ điều khiển máy biến áp &lt;=220KV</t>
  </si>
  <si>
    <t>T5.3104</t>
  </si>
  <si>
    <t>Lắp đặt tủ điện nhị thứ;  tủ điều khiển máy biến áp &lt;=500KV</t>
  </si>
  <si>
    <t>tr135</t>
  </si>
  <si>
    <t>T5.3105</t>
  </si>
  <si>
    <t>Lắp đặt tủ nhị thứ, tủ điều khiển đường dây, phân đoạn, đường vòng, lộ tổng MBA, tụ bù  &lt;=35V</t>
  </si>
  <si>
    <t>T5.3106</t>
  </si>
  <si>
    <t>Lắp đặt tủ nhị thứ, tủ điều khiển đường dây, phân đoạn, đường vòng, lộ tổng MBA, tụ bù &lt;=110KV</t>
  </si>
  <si>
    <t>T5.3107</t>
  </si>
  <si>
    <t>Lắp đặt tủ nhị thứ, tủ điều khiển đường dây, phân đoạn, đường vòng, lộ tổng MBA, tụ bù &lt;=220KV</t>
  </si>
  <si>
    <t>T5.3108</t>
  </si>
  <si>
    <t>Lắp đặt tủ nhị thứ, tủ điều khiển đường dây, phân đoạn, đường vòng, lộ tổng MBA, tụ bù &lt;=500KV</t>
  </si>
  <si>
    <t>T5.3201</t>
  </si>
  <si>
    <t>Lắp đặt tủ bảo vệ máy biến áp &lt;=35V</t>
  </si>
  <si>
    <t>T5.3202</t>
  </si>
  <si>
    <t>Lắp đặt tủ bảo vệ máy biến áp &lt;=110KV</t>
  </si>
  <si>
    <t>T5.3203</t>
  </si>
  <si>
    <t>Lắp đặt tủ bảo vệ máy biến áp &lt;=220KV</t>
  </si>
  <si>
    <t>T5.3204</t>
  </si>
  <si>
    <t>Lắp đặt tủ bảo vệ máy biến áp &lt;=500KV</t>
  </si>
  <si>
    <t>tr136</t>
  </si>
  <si>
    <t>T5.3205</t>
  </si>
  <si>
    <t>Lắp đặt tủ bảo vệ đường dây, phân đoạn, đường vòng, lộ tổng MBA &lt;=35V</t>
  </si>
  <si>
    <t>T5.3206</t>
  </si>
  <si>
    <t>Lắp đặt tủ bảo vệ đường dây, phân đoạn, đường vòng, lộ tổng MBA &lt;=110KV</t>
  </si>
  <si>
    <t>T5.3207</t>
  </si>
  <si>
    <t>Lắp đặt tủ bảo vệ đường dây, phân đoạn, đường vòng, lộ tổng MBA &lt;=220KV</t>
  </si>
  <si>
    <t>T5.3208</t>
  </si>
  <si>
    <t>Lắp đặt tủ bảo vệ đường dây, phân đoạn, đường vòng, lộ tổng MBA &lt;=500KV</t>
  </si>
  <si>
    <t>Lắp đặt tủ đo lường điện áp &lt;=35V</t>
  </si>
  <si>
    <t>T5.3302</t>
  </si>
  <si>
    <t>Lắp đặt tủ đo lường điện áp &lt;=110KV</t>
  </si>
  <si>
    <t>T5.3303</t>
  </si>
  <si>
    <t>Lắp đặt tủ đo lường điện áp &lt;=220KV</t>
  </si>
  <si>
    <t>T5.3304</t>
  </si>
  <si>
    <t>Lắp đặt tủ đo lường điện áp &lt;=500KV</t>
  </si>
  <si>
    <t>tr137</t>
  </si>
  <si>
    <t>T5.4101</t>
  </si>
  <si>
    <t>Lắp đèn pha trên cột</t>
  </si>
  <si>
    <t>Ghen nilông</t>
  </si>
  <si>
    <t>T5.4102</t>
  </si>
  <si>
    <t>Lắp bộ đèn hình cầu</t>
  </si>
  <si>
    <t>T5.4103</t>
  </si>
  <si>
    <t>Lắp đèn chiếu sáng</t>
  </si>
  <si>
    <t>T5.4104</t>
  </si>
  <si>
    <t>T5.4105</t>
  </si>
  <si>
    <t>T5.4106</t>
  </si>
  <si>
    <t>Lắp thiết bị tự động cho hệ thống chiếu sáng</t>
  </si>
  <si>
    <t>T5.4201</t>
  </si>
  <si>
    <t>Lắp đèn chuyên dùng các loại</t>
  </si>
  <si>
    <t>T5.4202</t>
  </si>
  <si>
    <t>Lắp cần đèn các loại</t>
  </si>
  <si>
    <t>T5.4203</t>
  </si>
  <si>
    <t>Lắp chao chụp, chóa đèn các loại</t>
  </si>
  <si>
    <t>T5.4204</t>
  </si>
  <si>
    <t>Lắp tấm giá đỡ &lt;20kg bằng gỗ tẩm dầu</t>
  </si>
  <si>
    <t>T5.4205</t>
  </si>
  <si>
    <t>Lắp tấm giá đỡ &lt;20kg bằng phíp, nhựa</t>
  </si>
  <si>
    <t>tr138</t>
  </si>
  <si>
    <t>T5.5001</t>
  </si>
  <si>
    <t>T5.5002</t>
  </si>
  <si>
    <t>Lắp đặt rơle kỹ thuật số các loại</t>
  </si>
  <si>
    <t>Ghen nhựa d=6</t>
  </si>
  <si>
    <t>T5.5003</t>
  </si>
  <si>
    <t>Lắp đặt thiết bị báo hiệu, đèn, chuông, còi, hàng kẹp đấu dây</t>
  </si>
  <si>
    <t>T5.5004</t>
  </si>
  <si>
    <t>Lắp đặt khoá điều khiển</t>
  </si>
  <si>
    <t>T5.5005</t>
  </si>
  <si>
    <t>T5.6101</t>
  </si>
  <si>
    <t>Lắp đặt tủ máy chủ của hệ thống điều khiển tích hợp</t>
  </si>
  <si>
    <t>T5.6102</t>
  </si>
  <si>
    <t>Lắp đặt tủ Scada của hệ thống điều khiển tích hợp</t>
  </si>
  <si>
    <t>T5.6103</t>
  </si>
  <si>
    <t>Lắp đặt tủ LAN SWITCH của hệ thống điều khiển tích hợp</t>
  </si>
  <si>
    <t>tr139</t>
  </si>
  <si>
    <t>T5.6201</t>
  </si>
  <si>
    <t>Lắp đặt máy chủ (Server) của hệ thống điều khiển tích hợp</t>
  </si>
  <si>
    <t>Kỹ sư bậc 4,0/8</t>
  </si>
  <si>
    <t>M112.4805</t>
  </si>
  <si>
    <t>Đồng hồ vạn năng</t>
  </si>
  <si>
    <t>T5.6202</t>
  </si>
  <si>
    <t>Lắp đặt máy kỹ thuật (Engineering Consle) của hệ thống điều khiển tích hợp</t>
  </si>
  <si>
    <t>T5.6203</t>
  </si>
  <si>
    <t>Lắp đặt máy in (Printer) của hệ thống điều khiển tích hợp</t>
  </si>
  <si>
    <t>T5.6204</t>
  </si>
  <si>
    <t>Lắp đặt máy lưu sự kiện (His) của hệ thống điều khiển tích hợp</t>
  </si>
  <si>
    <t>T5.6205</t>
  </si>
  <si>
    <t>Lắp đặt bộ định tuyến (Router) của hệ thống điều khiển tích hợp</t>
  </si>
  <si>
    <t>T5.6206</t>
  </si>
  <si>
    <t>Lắp đặt bộ chuyển mạch (Switch) của hệ thống điều khiển tích hợp</t>
  </si>
  <si>
    <t>T5.6207</t>
  </si>
  <si>
    <t>Lắp đặt bộ tập trung (Hub) của hệ thống điều khiển tích hợp</t>
  </si>
  <si>
    <t>tr140</t>
  </si>
  <si>
    <t>T5.7001</t>
  </si>
  <si>
    <t>Lắp đặt hệ thống Camera trên cột (chưa bao gồm công kéo rải cáp nguồn, cáp mạng)</t>
  </si>
  <si>
    <t>1 bộ</t>
  </si>
  <si>
    <t>T5.7002</t>
  </si>
  <si>
    <t xml:space="preserve">Lắp đặt bộ cần gá Camera </t>
  </si>
  <si>
    <t>T5.7003</t>
  </si>
  <si>
    <t>Lắp đặt máy chủ (Server) (chưa bao gồm công kéo rải cáp nguồn, cáp mạng)</t>
  </si>
  <si>
    <t>T5.7004</t>
  </si>
  <si>
    <t>Lắp đặt bộ chuyển mạch (Switch)</t>
  </si>
  <si>
    <t>T5.7005</t>
  </si>
  <si>
    <t>Lắp đặt bộ tập trung (Hub)</t>
  </si>
  <si>
    <t>.</t>
  </si>
  <si>
    <t>Công việc tạm tính, sửa cho phù hợp</t>
  </si>
  <si>
    <t>?</t>
  </si>
  <si>
    <t>Vật liệu 1 (nhập mã số VT, sửa tên VT, đơn vị &amp; định mức)</t>
  </si>
  <si>
    <t>Máy…</t>
  </si>
  <si>
    <t>xxx</t>
  </si>
  <si>
    <t>Phần dữ liệu bổ sung bên Sheet DinhMuc2</t>
  </si>
  <si>
    <t>BẢNG 1: BẢNG TÍNH LƯƠNG NHÂN CÔNG XÂY DỰNG TRỰC TIẾP</t>
  </si>
  <si>
    <t>Nhóm 1</t>
  </si>
  <si>
    <t>Nhóm 2</t>
  </si>
  <si>
    <t>Nhóm 3</t>
  </si>
  <si>
    <t>Nhóm 4</t>
  </si>
  <si>
    <t>Kỹ sư (4/8)</t>
  </si>
  <si>
    <t>(Căn cứ Thông tư số 13/2021/TT-BXD ngày 31/8/2021 của Bộ Xây dựng hướng dẫn xác định các chỉ tiêu KTKT và đo bóc khối lượng công trình)</t>
  </si>
  <si>
    <t>Vùng 1</t>
  </si>
  <si>
    <t>TP VT, TX PM</t>
  </si>
  <si>
    <t>Vùng 2</t>
  </si>
  <si>
    <t>TPBR</t>
  </si>
  <si>
    <t>Vùng 3</t>
  </si>
  <si>
    <t>LĐ, ĐĐ, XM, CĐ</t>
  </si>
  <si>
    <t>Nhân công xây dựng</t>
  </si>
  <si>
    <t>Hcb</t>
  </si>
  <si>
    <t>Vùng 4</t>
  </si>
  <si>
    <t>Côn Đảo</t>
  </si>
  <si>
    <t>Nhân công bậc 1,0/7</t>
  </si>
  <si>
    <t>QĐ số 157/QĐ-SXD ngày 28/9/2021 v/v công bố đơn giá xây dựng BRVT</t>
  </si>
  <si>
    <t>Nhân công bậc 1,1/7</t>
  </si>
  <si>
    <t>Nhân công bậc 1,2/7</t>
  </si>
  <si>
    <t>Nhân công bậc 1,3/7</t>
  </si>
  <si>
    <t>Kỹ sư</t>
  </si>
  <si>
    <t>Nhân công bậc 1,4/7</t>
  </si>
  <si>
    <t>Nhân công bậc 1,5/7</t>
  </si>
  <si>
    <t>Nhân công thí nghiệm</t>
  </si>
  <si>
    <t>Nhân công bậc 1,6/7</t>
  </si>
  <si>
    <t>Kỹ sư 1,0/8</t>
  </si>
  <si>
    <t>Nhân công bậc 1,7/7</t>
  </si>
  <si>
    <t>Kỹ sư 2,0/8</t>
  </si>
  <si>
    <t>Nhân công bậc 1,8/7</t>
  </si>
  <si>
    <t>Nhân công bậc 1,9/7</t>
  </si>
  <si>
    <t>Nhân công bậc 2,0/7</t>
  </si>
  <si>
    <t>Kỹ sư 5,0/8</t>
  </si>
  <si>
    <t>Nhân công bậc 2,1/7</t>
  </si>
  <si>
    <t>Kỹ sư 6,0/8</t>
  </si>
  <si>
    <t>Nhân công bậc 2,2/7</t>
  </si>
  <si>
    <t>Kỹ sư 7,0/8</t>
  </si>
  <si>
    <t>Nhân công bậc 2,3/7</t>
  </si>
  <si>
    <t>Kỹ sư 8,0/8</t>
  </si>
  <si>
    <t>Nhân công bậc 2,4/7</t>
  </si>
  <si>
    <t>Nhân công bậc 2,5/7</t>
  </si>
  <si>
    <t>Nhân công bậc 2,6/7</t>
  </si>
  <si>
    <t>Nhân công bậc 2,7/7</t>
  </si>
  <si>
    <t>Nhân công bậc 2,8/7</t>
  </si>
  <si>
    <t>Nhân công bậc 2,9/7</t>
  </si>
  <si>
    <t>Nhân công bậc 3,1/7</t>
  </si>
  <si>
    <t>Nhân công bậc 3,2/7</t>
  </si>
  <si>
    <t>Nhân công bậc 3,3/7</t>
  </si>
  <si>
    <t>Nhân công bậc 3,4/7</t>
  </si>
  <si>
    <t>Nhân công bậc 3,6/7</t>
  </si>
  <si>
    <t>Nhân công bậc 3,7/7</t>
  </si>
  <si>
    <t>Nhân công bậc 3,8/7</t>
  </si>
  <si>
    <t>Nhân công bậc 3,9/7</t>
  </si>
  <si>
    <t>Nhân công bậc 4,1/7</t>
  </si>
  <si>
    <t>Nhân công bậc 4,2/7</t>
  </si>
  <si>
    <t>Nhân công bậc 4,3/7</t>
  </si>
  <si>
    <t>Nhân công bậc 4,4/7</t>
  </si>
  <si>
    <t>Nhân công bậc 4,6/7</t>
  </si>
  <si>
    <t>Nhân công bậc 4,7/7</t>
  </si>
  <si>
    <t>Nhân công bậc 4,8/7</t>
  </si>
  <si>
    <t>Nhân công bậc 4,9/7</t>
  </si>
  <si>
    <t>Nhân công bậc 5,1/7</t>
  </si>
  <si>
    <t>Nhân công bậc 5,2/7</t>
  </si>
  <si>
    <t>Nhân công bậc 5,3/7</t>
  </si>
  <si>
    <t>Nhân công bậc 5,4/7</t>
  </si>
  <si>
    <t>Nhân công bậc 5,5/7</t>
  </si>
  <si>
    <t>Nhân công bậc 5,6/7</t>
  </si>
  <si>
    <t>Nhân công bậc 5,7/7</t>
  </si>
  <si>
    <t>Nhân công bậc 5,8/7</t>
  </si>
  <si>
    <t>Nhân công bậc 5,9/7</t>
  </si>
  <si>
    <t>Nhân công bậc 6,0/7</t>
  </si>
  <si>
    <t>Nhân công bậc 6,1/7</t>
  </si>
  <si>
    <t>Nhân công bậc 6,2/7</t>
  </si>
  <si>
    <t>Nhân công bậc 6,3/7</t>
  </si>
  <si>
    <t>Nhân công bậc 6,4/7</t>
  </si>
  <si>
    <t>Nhân công bậc 6,5/7</t>
  </si>
  <si>
    <t>Nhân công bậc 6,6/7</t>
  </si>
  <si>
    <t>Nhân công bậc 6,7/7</t>
  </si>
  <si>
    <t>Nhân công bậc 6,8/7</t>
  </si>
  <si>
    <t>Nhân công bậc 6,9/7</t>
  </si>
  <si>
    <t>Nhân công bậc 7,0/7</t>
  </si>
  <si>
    <t>Công bố lương bình quân NC (Vùng II):</t>
  </si>
  <si>
    <t>Vùng II:</t>
  </si>
  <si>
    <t>BẢNG GIÁ CA MÁY VÀ THIẾT BỊ THI CÔNG XÂY DỰNG TRÊN ĐỊA BÀN TỈNH BÀ RỊA VŨNG TÀU</t>
  </si>
  <si>
    <t>(Công bố kèm theo Quyết định số 158/QĐ-SXD ngày 28 tháng 9 năm 2021 của Sở Xây dựng tỉnh Bà Rịa Vũng Tàu)</t>
  </si>
  <si>
    <t>Loại máy và thiết bị</t>
  </si>
  <si>
    <t>ĐM tiêu hao nhiên liệu, NL (1ca)</t>
  </si>
  <si>
    <r>
      <t>Chi phí</t>
    </r>
    <r>
      <rPr>
        <sz val="11"/>
        <color indexed="8"/>
        <rFont val="Times New Roman"/>
        <family val="1"/>
      </rPr>
      <t xml:space="preserve"> </t>
    </r>
    <r>
      <rPr>
        <b/>
        <sz val="11"/>
        <color indexed="8"/>
        <rFont val="Times New Roman"/>
        <family val="1"/>
      </rPr>
      <t>nhiên liệu</t>
    </r>
  </si>
  <si>
    <t>Nhân công điều khiển máy</t>
  </si>
  <si>
    <t>Nguyên giá tham khảo (1000 VND)</t>
  </si>
  <si>
    <t>Chi phí nhân công</t>
  </si>
  <si>
    <t>Giá ca máy (đồng/ca)</t>
  </si>
  <si>
    <t>TP Vũng Tàu, TX Phú Mỹ</t>
  </si>
  <si>
    <r>
      <t>TP Bà</t>
    </r>
    <r>
      <rPr>
        <sz val="11"/>
        <color indexed="8"/>
        <rFont val="Times New Roman"/>
        <family val="1"/>
      </rPr>
      <t xml:space="preserve"> </t>
    </r>
    <r>
      <rPr>
        <b/>
        <sz val="11"/>
        <color indexed="8"/>
        <rFont val="Times New Roman"/>
        <family val="1"/>
      </rPr>
      <t>Rịa</t>
    </r>
  </si>
  <si>
    <r>
      <t>Các huyện còn lại (trừ huyện</t>
    </r>
    <r>
      <rPr>
        <sz val="11"/>
        <color indexed="8"/>
        <rFont val="Times New Roman"/>
        <family val="1"/>
      </rPr>
      <t xml:space="preserve"> </t>
    </r>
    <r>
      <rPr>
        <b/>
        <sz val="11"/>
        <color indexed="8"/>
        <rFont val="Times New Roman"/>
        <family val="1"/>
      </rPr>
      <t>Côn Đảo)</t>
    </r>
  </si>
  <si>
    <r>
      <t>huyện</t>
    </r>
    <r>
      <rPr>
        <sz val="11"/>
        <color indexed="8"/>
        <rFont val="Times New Roman"/>
        <family val="1"/>
      </rPr>
      <t xml:space="preserve"> </t>
    </r>
    <r>
      <rPr>
        <b/>
        <sz val="11"/>
        <color indexed="8"/>
        <rFont val="Times New Roman"/>
        <family val="1"/>
      </rPr>
      <t>Côn Đảo</t>
    </r>
  </si>
  <si>
    <r>
      <t>TP Vũng</t>
    </r>
    <r>
      <rPr>
        <sz val="11"/>
        <color indexed="8"/>
        <rFont val="Times New Roman"/>
        <family val="1"/>
      </rPr>
      <t xml:space="preserve"> </t>
    </r>
    <r>
      <rPr>
        <b/>
        <sz val="11"/>
        <color indexed="8"/>
        <rFont val="Times New Roman"/>
        <family val="1"/>
      </rPr>
      <t>Tàu, TX Phú</t>
    </r>
    <r>
      <rPr>
        <sz val="11"/>
        <color indexed="8"/>
        <rFont val="Times New Roman"/>
        <family val="1"/>
      </rPr>
      <t xml:space="preserve"> </t>
    </r>
    <r>
      <rPr>
        <b/>
        <sz val="11"/>
        <color indexed="8"/>
        <rFont val="Times New Roman"/>
        <family val="1"/>
      </rPr>
      <t>Mỹ</t>
    </r>
  </si>
  <si>
    <t>TP Bà Rịa</t>
  </si>
  <si>
    <t>Các huyện còn lại (trừ huyện Côn Đảo)</t>
  </si>
  <si>
    <r>
      <t>huyện Côn</t>
    </r>
    <r>
      <rPr>
        <sz val="11"/>
        <color indexed="8"/>
        <rFont val="Times New Roman"/>
        <family val="1"/>
      </rPr>
      <t xml:space="preserve"> </t>
    </r>
    <r>
      <rPr>
        <b/>
        <sz val="11"/>
        <color indexed="8"/>
        <rFont val="Times New Roman"/>
        <family val="1"/>
      </rPr>
      <t>Đảo</t>
    </r>
  </si>
  <si>
    <t>CHƯƠNG I: MÁY VÀ THIẾT BỊ THI CÔNG XÂY DỰNG</t>
  </si>
  <si>
    <t>M101.0000</t>
  </si>
  <si>
    <r>
      <t>MÁY THI CÔNG ĐẤT VÀ LU</t>
    </r>
    <r>
      <rPr>
        <sz val="11"/>
        <color indexed="8"/>
        <rFont val="Times New Roman"/>
        <family val="1"/>
      </rPr>
      <t xml:space="preserve"> </t>
    </r>
    <r>
      <rPr>
        <b/>
        <sz val="11"/>
        <color indexed="8"/>
        <rFont val="Times New Roman"/>
        <family val="1"/>
      </rPr>
      <t>LÈN</t>
    </r>
  </si>
  <si>
    <t>M101.0100</t>
  </si>
  <si>
    <t>Máy đào một gầu, bánh xích - dung tích gầu:</t>
  </si>
  <si>
    <t>M101.0101</t>
  </si>
  <si>
    <r>
      <t>0,40 m</t>
    </r>
    <r>
      <rPr>
        <vertAlign val="superscript"/>
        <sz val="11"/>
        <color indexed="8"/>
        <rFont val="Times New Roman"/>
        <family val="1"/>
      </rPr>
      <t>3</t>
    </r>
  </si>
  <si>
    <t>lít diezel</t>
  </si>
  <si>
    <t>1x4/7</t>
  </si>
  <si>
    <t>M101.0102</t>
  </si>
  <si>
    <r>
      <t>0,50 m</t>
    </r>
    <r>
      <rPr>
        <vertAlign val="superscript"/>
        <sz val="11"/>
        <color indexed="8"/>
        <rFont val="Times New Roman"/>
        <family val="1"/>
      </rPr>
      <t>3</t>
    </r>
  </si>
  <si>
    <t>M101.0103</t>
  </si>
  <si>
    <r>
      <t>0,65 m</t>
    </r>
    <r>
      <rPr>
        <vertAlign val="superscript"/>
        <sz val="11"/>
        <color indexed="8"/>
        <rFont val="Times New Roman"/>
        <family val="1"/>
      </rPr>
      <t>3</t>
    </r>
  </si>
  <si>
    <t>M101.0104</t>
  </si>
  <si>
    <r>
      <t>0,80 m</t>
    </r>
    <r>
      <rPr>
        <vertAlign val="superscript"/>
        <sz val="11"/>
        <color indexed="8"/>
        <rFont val="Times New Roman"/>
        <family val="1"/>
      </rPr>
      <t>3</t>
    </r>
  </si>
  <si>
    <t>M101.0105</t>
  </si>
  <si>
    <r>
      <t>1,25 m</t>
    </r>
    <r>
      <rPr>
        <vertAlign val="superscript"/>
        <sz val="11"/>
        <color indexed="8"/>
        <rFont val="Times New Roman"/>
        <family val="1"/>
      </rPr>
      <t>3</t>
    </r>
  </si>
  <si>
    <t>M101.0106</t>
  </si>
  <si>
    <r>
      <t>1,60 m</t>
    </r>
    <r>
      <rPr>
        <vertAlign val="superscript"/>
        <sz val="11"/>
        <color indexed="8"/>
        <rFont val="Times New Roman"/>
        <family val="1"/>
      </rPr>
      <t>3</t>
    </r>
  </si>
  <si>
    <t>M101.0107</t>
  </si>
  <si>
    <r>
      <t>2,30 m</t>
    </r>
    <r>
      <rPr>
        <vertAlign val="superscript"/>
        <sz val="11"/>
        <color indexed="8"/>
        <rFont val="Times New Roman"/>
        <family val="1"/>
      </rPr>
      <t>3</t>
    </r>
  </si>
  <si>
    <t>M101.0108</t>
  </si>
  <si>
    <r>
      <t>3,60 m</t>
    </r>
    <r>
      <rPr>
        <vertAlign val="superscript"/>
        <sz val="11"/>
        <color indexed="8"/>
        <rFont val="Times New Roman"/>
        <family val="1"/>
      </rPr>
      <t>3</t>
    </r>
  </si>
  <si>
    <t>M101.0115</t>
  </si>
  <si>
    <r>
      <t>Máy đào 1,25 m</t>
    </r>
    <r>
      <rPr>
        <vertAlign val="superscript"/>
        <sz val="11"/>
        <color indexed="8"/>
        <rFont val="Times New Roman"/>
        <family val="1"/>
      </rPr>
      <t>3</t>
    </r>
    <r>
      <rPr>
        <sz val="11"/>
        <color indexed="8"/>
        <rFont val="Times New Roman"/>
        <family val="1"/>
      </rPr>
      <t xml:space="preserve"> gắn đầu búa thủy lực/hàm kẹp</t>
    </r>
  </si>
  <si>
    <t>M101.0116</t>
  </si>
  <si>
    <r>
      <t>Máy đào 1,60 m</t>
    </r>
    <r>
      <rPr>
        <vertAlign val="superscript"/>
        <sz val="11"/>
        <color indexed="8"/>
        <rFont val="Times New Roman"/>
        <family val="1"/>
      </rPr>
      <t>3</t>
    </r>
    <r>
      <rPr>
        <sz val="11"/>
        <color indexed="8"/>
        <rFont val="Times New Roman"/>
        <family val="1"/>
      </rPr>
      <t xml:space="preserve"> gắn đầu búa thủy lực</t>
    </r>
  </si>
  <si>
    <t>M101.0200</t>
  </si>
  <si>
    <t>Máy đào một gầu, bánh hơi - dung tích gầu:</t>
  </si>
  <si>
    <t>-</t>
  </si>
  <si>
    <t>M101.0201</t>
  </si>
  <si>
    <t>M101.0202</t>
  </si>
  <si>
    <t>M101.0300</t>
  </si>
  <si>
    <t>Máy đào gầu dây - dung tích</t>
  </si>
  <si>
    <t>M101.0301</t>
  </si>
  <si>
    <t>1x5/7</t>
  </si>
  <si>
    <t>M101.0302</t>
  </si>
  <si>
    <t>M101.0303</t>
  </si>
  <si>
    <r>
      <t>1,20 m</t>
    </r>
    <r>
      <rPr>
        <vertAlign val="superscript"/>
        <sz val="11"/>
        <color indexed="8"/>
        <rFont val="Times New Roman"/>
        <family val="1"/>
      </rPr>
      <t>3</t>
    </r>
  </si>
  <si>
    <t>M101.0304</t>
  </si>
  <si>
    <t>M101.0305</t>
  </si>
  <si>
    <t>M101.0400</t>
  </si>
  <si>
    <t>Máy xúc lật - dung tích gầu:</t>
  </si>
  <si>
    <t>M101.0401</t>
  </si>
  <si>
    <t>M101.0402</t>
  </si>
  <si>
    <r>
      <t>0,9 m</t>
    </r>
    <r>
      <rPr>
        <vertAlign val="superscript"/>
        <sz val="11"/>
        <color indexed="8"/>
        <rFont val="Times New Roman"/>
        <family val="1"/>
      </rPr>
      <t>3</t>
    </r>
  </si>
  <si>
    <t>M101.0403</t>
  </si>
  <si>
    <t>M101.0404</t>
  </si>
  <si>
    <r>
      <t>1,6m</t>
    </r>
    <r>
      <rPr>
        <vertAlign val="superscript"/>
        <sz val="11"/>
        <color indexed="8"/>
        <rFont val="Times New Roman"/>
        <family val="1"/>
      </rPr>
      <t>3</t>
    </r>
    <r>
      <rPr>
        <sz val="11"/>
        <color indexed="8"/>
        <rFont val="Times New Roman"/>
        <family val="1"/>
      </rPr>
      <t xml:space="preserve"> ÷ 1,65 m</t>
    </r>
    <r>
      <rPr>
        <vertAlign val="superscript"/>
        <sz val="11"/>
        <color indexed="8"/>
        <rFont val="Times New Roman"/>
        <family val="1"/>
      </rPr>
      <t>3</t>
    </r>
  </si>
  <si>
    <t>M101.0405</t>
  </si>
  <si>
    <t>M101.0406</t>
  </si>
  <si>
    <r>
      <t>3,20 m</t>
    </r>
    <r>
      <rPr>
        <vertAlign val="superscript"/>
        <sz val="11"/>
        <color indexed="8"/>
        <rFont val="Times New Roman"/>
        <family val="1"/>
      </rPr>
      <t>3</t>
    </r>
  </si>
  <si>
    <t>M101.0500</t>
  </si>
  <si>
    <t>Máy ủi - công suất:</t>
  </si>
  <si>
    <t>M101.0501</t>
  </si>
  <si>
    <t>75 cv</t>
  </si>
  <si>
    <t>M101.0502</t>
  </si>
  <si>
    <t>100 cv</t>
  </si>
  <si>
    <t>M101.0503</t>
  </si>
  <si>
    <t>110 cv</t>
  </si>
  <si>
    <t>M101.0504</t>
  </si>
  <si>
    <t>140 cv</t>
  </si>
  <si>
    <t>M101.0505</t>
  </si>
  <si>
    <t>180 cv</t>
  </si>
  <si>
    <t>M101.0506</t>
  </si>
  <si>
    <t>240 cv</t>
  </si>
  <si>
    <t>M101.0507</t>
  </si>
  <si>
    <t>320 cv</t>
  </si>
  <si>
    <t>M101.0600</t>
  </si>
  <si>
    <t>Máy cạp tự hành - dung tích</t>
  </si>
  <si>
    <t>thùng:</t>
  </si>
  <si>
    <t>M101.0601</t>
  </si>
  <si>
    <r>
      <t>9 m</t>
    </r>
    <r>
      <rPr>
        <vertAlign val="superscript"/>
        <sz val="11"/>
        <color indexed="8"/>
        <rFont val="Times New Roman"/>
        <family val="1"/>
      </rPr>
      <t>3</t>
    </r>
  </si>
  <si>
    <t>1x6/7</t>
  </si>
  <si>
    <t>M101.0602</t>
  </si>
  <si>
    <r>
      <t>16 m</t>
    </r>
    <r>
      <rPr>
        <vertAlign val="superscript"/>
        <sz val="11"/>
        <color indexed="8"/>
        <rFont val="Times New Roman"/>
        <family val="1"/>
      </rPr>
      <t>3</t>
    </r>
  </si>
  <si>
    <t>M101.0603</t>
  </si>
  <si>
    <r>
      <t>25 m</t>
    </r>
    <r>
      <rPr>
        <vertAlign val="superscript"/>
        <sz val="11"/>
        <color indexed="8"/>
        <rFont val="Times New Roman"/>
        <family val="1"/>
      </rPr>
      <t>3</t>
    </r>
  </si>
  <si>
    <t>M101.0700</t>
  </si>
  <si>
    <t>Máy san tự hành - công suất:</t>
  </si>
  <si>
    <t>M101.0701</t>
  </si>
  <si>
    <t>M101.0702</t>
  </si>
  <si>
    <t>M101.0703</t>
  </si>
  <si>
    <t>M101.0800</t>
  </si>
  <si>
    <t>Máy đầm đất cầm tay - trọng lượng:</t>
  </si>
  <si>
    <t>M101.0801</t>
  </si>
  <si>
    <t>50 kg</t>
  </si>
  <si>
    <t>lít xăng</t>
  </si>
  <si>
    <t>1x3/7</t>
  </si>
  <si>
    <t>M101.0802</t>
  </si>
  <si>
    <t>60 kg</t>
  </si>
  <si>
    <t>M101.0803</t>
  </si>
  <si>
    <t>70 kg</t>
  </si>
  <si>
    <t>M101.0804</t>
  </si>
  <si>
    <t>80 kg</t>
  </si>
  <si>
    <t>M101.0900</t>
  </si>
  <si>
    <t>Máy lu bánh hơi tự hành - trọng lượng tĩnh:</t>
  </si>
  <si>
    <t>M101.0901</t>
  </si>
  <si>
    <t>9 t</t>
  </si>
  <si>
    <t>M101.0902</t>
  </si>
  <si>
    <t>16 t</t>
  </si>
  <si>
    <t>M101.0903</t>
  </si>
  <si>
    <t>18 t</t>
  </si>
  <si>
    <t>M101.0904</t>
  </si>
  <si>
    <t>25 t</t>
  </si>
  <si>
    <t>M101.1000</t>
  </si>
  <si>
    <t>Máy lu rung tự hành - trọng lượng tĩnh:</t>
  </si>
  <si>
    <t>M101.1001</t>
  </si>
  <si>
    <t>8 t</t>
  </si>
  <si>
    <t>M101.1002</t>
  </si>
  <si>
    <t>12 t</t>
  </si>
  <si>
    <t>M101.1003</t>
  </si>
  <si>
    <t>15 t</t>
  </si>
  <si>
    <t>M101.1004</t>
  </si>
  <si>
    <t>M101.1005</t>
  </si>
  <si>
    <t>20t</t>
  </si>
  <si>
    <t>M101.1006</t>
  </si>
  <si>
    <t>M101.1100</t>
  </si>
  <si>
    <t>Máy lu bánh thép tự hành - trọng lượng tĩnh:</t>
  </si>
  <si>
    <t>M101.1101</t>
  </si>
  <si>
    <t>6,0 t</t>
  </si>
  <si>
    <t>M101.1102</t>
  </si>
  <si>
    <t>8,5 t ÷ 9 t</t>
  </si>
  <si>
    <t>M101.1103</t>
  </si>
  <si>
    <t>10 t</t>
  </si>
  <si>
    <t>M101.1104</t>
  </si>
  <si>
    <t>M101.1105</t>
  </si>
  <si>
    <t>M101.1106</t>
  </si>
  <si>
    <t>M101.1200</t>
  </si>
  <si>
    <t>Máy lu chân cừu tự hành - trọng lượng tĩnh:</t>
  </si>
  <si>
    <t>M101.1201</t>
  </si>
  <si>
    <t>M101.1202</t>
  </si>
  <si>
    <t>20 t</t>
  </si>
  <si>
    <t>M102.0000</t>
  </si>
  <si>
    <t>MÁY NÂNG CHUYỂN</t>
  </si>
  <si>
    <t>M102.0100</t>
  </si>
  <si>
    <t>Cần trục ô tô - sức nâng:</t>
  </si>
  <si>
    <t>M102.0101</t>
  </si>
  <si>
    <t>3 t</t>
  </si>
  <si>
    <t>1x1/4+1x3/4 lái xe</t>
  </si>
  <si>
    <t>M102.0102</t>
  </si>
  <si>
    <t>4 t</t>
  </si>
  <si>
    <t>5 t</t>
  </si>
  <si>
    <t>M102.0104</t>
  </si>
  <si>
    <t>6 t</t>
  </si>
  <si>
    <t>M102.0107</t>
  </si>
  <si>
    <t>M102.0108</t>
  </si>
  <si>
    <t>M102.0109</t>
  </si>
  <si>
    <t>30 t</t>
  </si>
  <si>
    <t>M102.0110</t>
  </si>
  <si>
    <t>40 t</t>
  </si>
  <si>
    <t>M102.0111</t>
  </si>
  <si>
    <t>50 t</t>
  </si>
  <si>
    <t>M102.0200</t>
  </si>
  <si>
    <t>Cần cẩu bánh hơi - sức nâng:</t>
  </si>
  <si>
    <t>6t</t>
  </si>
  <si>
    <t>1x4/7+1x6/7</t>
  </si>
  <si>
    <t>M102.0202</t>
  </si>
  <si>
    <t>M102.0204</t>
  </si>
  <si>
    <t>M102.0205</t>
  </si>
  <si>
    <t>63 t ÷ 65 t</t>
  </si>
  <si>
    <t>M102.0206</t>
  </si>
  <si>
    <t>80t</t>
  </si>
  <si>
    <t>M102.0207</t>
  </si>
  <si>
    <t>90 t</t>
  </si>
  <si>
    <t>1x4/7+1x7/7</t>
  </si>
  <si>
    <t>M102.0208</t>
  </si>
  <si>
    <t>100 t</t>
  </si>
  <si>
    <t>M102.0209</t>
  </si>
  <si>
    <t>110 t</t>
  </si>
  <si>
    <t>M102.0210</t>
  </si>
  <si>
    <t>125 t ÷ 130 t</t>
  </si>
  <si>
    <t>M102.0300</t>
  </si>
  <si>
    <t>Cần cẩu bánh xích - sức nâng:</t>
  </si>
  <si>
    <t>M102.0301</t>
  </si>
  <si>
    <t>1x4/7+1x5/7</t>
  </si>
  <si>
    <t>M102.0303</t>
  </si>
  <si>
    <t>M102.0304</t>
  </si>
  <si>
    <t>M102.0305</t>
  </si>
  <si>
    <t>28 t</t>
  </si>
  <si>
    <t>M102.0306</t>
  </si>
  <si>
    <t>M102.0307</t>
  </si>
  <si>
    <t>M102.0308</t>
  </si>
  <si>
    <t>60 t</t>
  </si>
  <si>
    <t>M102.0309</t>
  </si>
  <si>
    <t>M102.0310</t>
  </si>
  <si>
    <t>80 t</t>
  </si>
  <si>
    <t>M102.0311</t>
  </si>
  <si>
    <t>M102.0312</t>
  </si>
  <si>
    <t>M102.0313</t>
  </si>
  <si>
    <t>M102.0314</t>
  </si>
  <si>
    <t>150 t</t>
  </si>
  <si>
    <t>M102.0315</t>
  </si>
  <si>
    <t>250t</t>
  </si>
  <si>
    <t>M102.0316</t>
  </si>
  <si>
    <t>300t</t>
  </si>
  <si>
    <t>M102.0400</t>
  </si>
  <si>
    <t>Cần trục tháp - sức nâng:</t>
  </si>
  <si>
    <t>M102.0401</t>
  </si>
  <si>
    <t>1x3/7+1x5/7</t>
  </si>
  <si>
    <t>M102.0402</t>
  </si>
  <si>
    <t>M102.0403</t>
  </si>
  <si>
    <t>M102.0404</t>
  </si>
  <si>
    <t>M102.0405</t>
  </si>
  <si>
    <t>M102.0406</t>
  </si>
  <si>
    <t>1x3/7+1x6/7</t>
  </si>
  <si>
    <t>M102.0407</t>
  </si>
  <si>
    <t>M102.0408</t>
  </si>
  <si>
    <t>M102.0409</t>
  </si>
  <si>
    <t>M102.0410</t>
  </si>
  <si>
    <t>M102.0500</t>
  </si>
  <si>
    <t>Cần cẩu nổi:</t>
  </si>
  <si>
    <t>M102.0501</t>
  </si>
  <si>
    <t>Kéo theo - sức nâng 30 t</t>
  </si>
  <si>
    <t>1 thuyền phó 1/2 + 3 thợ máy (2x2/4+1x3/4) + 1 thợ điện 2/4 + 1 thủy thủ 2/4</t>
  </si>
  <si>
    <t>M102.0502</t>
  </si>
  <si>
    <t>Tự hành - sức nâng 100 t</t>
  </si>
  <si>
    <t>1 thuyền trưởng 1/2 + 1 thuyền phó 1/2 + 4 thợ máy (3x2/4+1x4/4) + 1 thợ điện 3/4 + 1 thủy thủ 2/4</t>
  </si>
  <si>
    <t>M102.0600</t>
  </si>
  <si>
    <t>Cổng trục - sức nâng:</t>
  </si>
  <si>
    <t>M102.0601</t>
  </si>
  <si>
    <t>M102.0602</t>
  </si>
  <si>
    <t>M102.0603</t>
  </si>
  <si>
    <t>M102.0604</t>
  </si>
  <si>
    <t>1x3/7+1x7/7</t>
  </si>
  <si>
    <t>M102.0605</t>
  </si>
  <si>
    <t>M102.0606</t>
  </si>
  <si>
    <t>M102.0701</t>
  </si>
  <si>
    <t>Cẩu lao dầm K33-60</t>
  </si>
  <si>
    <t>1x3/7+4x4/7+1x6/7</t>
  </si>
  <si>
    <t>M102.0702</t>
  </si>
  <si>
    <t>Thiết bị nâng hạ dầm 90 t</t>
  </si>
  <si>
    <t>1x3/7+2x4/7+1x6/7</t>
  </si>
  <si>
    <t>M102.0703</t>
  </si>
  <si>
    <t>Hệ thống xe goong di chuyển dầm (gồm mô tơ điện 3,5 kW và con lăn)</t>
  </si>
  <si>
    <t>M102.0800</t>
  </si>
  <si>
    <t>Cầu trục - sức nâng:</t>
  </si>
  <si>
    <t>M102.0801</t>
  </si>
  <si>
    <t>M102.0802</t>
  </si>
  <si>
    <t>M102.0803</t>
  </si>
  <si>
    <t>M102.0804</t>
  </si>
  <si>
    <t>M102.0805</t>
  </si>
  <si>
    <t>M102.0806</t>
  </si>
  <si>
    <t>M102.0807</t>
  </si>
  <si>
    <t>125 t</t>
  </si>
  <si>
    <t>M102.0808</t>
  </si>
  <si>
    <t>180 t</t>
  </si>
  <si>
    <t>M102.0809</t>
  </si>
  <si>
    <t>250 t</t>
  </si>
  <si>
    <t>M102.0900</t>
  </si>
  <si>
    <t>Máy vận thăng - sức nâng:</t>
  </si>
  <si>
    <t>M102.0901</t>
  </si>
  <si>
    <t>0,8 t</t>
  </si>
  <si>
    <t>M102.0902</t>
  </si>
  <si>
    <t>2 t</t>
  </si>
  <si>
    <t>M102.0903</t>
  </si>
  <si>
    <t>M102.1000</t>
  </si>
  <si>
    <t>Máy vận thăng lồng - sức nâng:</t>
  </si>
  <si>
    <t>M102.1001</t>
  </si>
  <si>
    <t>M102.1100</t>
  </si>
  <si>
    <t>Tời điện - sức kéo:</t>
  </si>
  <si>
    <t>M102.1101</t>
  </si>
  <si>
    <t>0,5 t</t>
  </si>
  <si>
    <t>M102.1102</t>
  </si>
  <si>
    <t>1,0 t</t>
  </si>
  <si>
    <t>M102.1103</t>
  </si>
  <si>
    <t>1,5 t</t>
  </si>
  <si>
    <t>M102.1104</t>
  </si>
  <si>
    <t>2,0 t</t>
  </si>
  <si>
    <t>3,0 t</t>
  </si>
  <si>
    <t>M102.1106</t>
  </si>
  <si>
    <t>3,5 t</t>
  </si>
  <si>
    <t>M102.1107</t>
  </si>
  <si>
    <t>5,0 t</t>
  </si>
  <si>
    <t>M102.1200</t>
  </si>
  <si>
    <t>Pa lăng xích - sức nâng:</t>
  </si>
  <si>
    <t>M102.1201</t>
  </si>
  <si>
    <t>M102.1202</t>
  </si>
  <si>
    <t>M102.1300</t>
  </si>
  <si>
    <t>Kích nâng - sức nâng:</t>
  </si>
  <si>
    <t>M102.1301</t>
  </si>
  <si>
    <t>M102.1302</t>
  </si>
  <si>
    <t>M102.1303</t>
  </si>
  <si>
    <t>M102.1304</t>
  </si>
  <si>
    <t>M102.1305</t>
  </si>
  <si>
    <t>M102.1306</t>
  </si>
  <si>
    <t>200 t</t>
  </si>
  <si>
    <t>M102.1307</t>
  </si>
  <si>
    <t>M102.1308</t>
  </si>
  <si>
    <t>500 t</t>
  </si>
  <si>
    <t>M102.1309</t>
  </si>
  <si>
    <t>Hệ kích nâng 25 t (máy bơm dầu thủy lực 3 kW)</t>
  </si>
  <si>
    <t>M102.1400</t>
  </si>
  <si>
    <t>Kích thông tâm</t>
  </si>
  <si>
    <t>M102.1401</t>
  </si>
  <si>
    <t>RRH - 100 t</t>
  </si>
  <si>
    <t>M102.1402</t>
  </si>
  <si>
    <t>YCW - 150 t</t>
  </si>
  <si>
    <t>M102.1403</t>
  </si>
  <si>
    <t>YCW - 250 t</t>
  </si>
  <si>
    <t>M102.1404</t>
  </si>
  <si>
    <t>YCW - 500 t</t>
  </si>
  <si>
    <t>M102.1501</t>
  </si>
  <si>
    <r>
      <t>Kích đẩy liên tục tự động ZLD-</t>
    </r>
    <r>
      <rPr>
        <sz val="11"/>
        <color indexed="8"/>
        <rFont val="Times New Roman"/>
        <family val="1"/>
      </rPr>
      <t xml:space="preserve"> </t>
    </r>
    <r>
      <rPr>
        <b/>
        <sz val="11"/>
        <color indexed="8"/>
        <rFont val="Times New Roman"/>
        <family val="1"/>
      </rPr>
      <t>60 (60t, 6c)</t>
    </r>
  </si>
  <si>
    <t>M102.1601</t>
  </si>
  <si>
    <t>Kích sợi đơn YDC - 500 t</t>
  </si>
  <si>
    <t>M102.1700</t>
  </si>
  <si>
    <t>Trạm bơm dầu áp lực- công</t>
  </si>
  <si>
    <t>M102.1701</t>
  </si>
  <si>
    <t>40 MPa (HCP-400)</t>
  </si>
  <si>
    <t>M102.1702</t>
  </si>
  <si>
    <t>50 MPa (ZB4 - 500)</t>
  </si>
  <si>
    <t>M102.1800</t>
  </si>
  <si>
    <t>Xe nâng - chiều cao nâng:</t>
  </si>
  <si>
    <t>M102.1801</t>
  </si>
  <si>
    <t>9 m</t>
  </si>
  <si>
    <t>12 m</t>
  </si>
  <si>
    <t>M102.1803</t>
  </si>
  <si>
    <t>18 m</t>
  </si>
  <si>
    <t>M102.1804</t>
  </si>
  <si>
    <t>24 m</t>
  </si>
  <si>
    <t>M102.1805</t>
  </si>
  <si>
    <t>Xe nâng hàng - sức nâng 2t</t>
  </si>
  <si>
    <t>M102.1900</t>
  </si>
  <si>
    <t>Xe thang - chiều dài thang:</t>
  </si>
  <si>
    <t>M102.1901</t>
  </si>
  <si>
    <t>M102.1902</t>
  </si>
  <si>
    <t>M102.1903</t>
  </si>
  <si>
    <t>M103.0000</t>
  </si>
  <si>
    <t>MÁY VÀ THIẾT BỊ GIA CỐ NỀN MÓNG</t>
  </si>
  <si>
    <t>M103.0100</t>
  </si>
  <si>
    <t>Máy đóng cọc tự hành, bánh xích - trọng lượng đầu búa:</t>
  </si>
  <si>
    <t>M103.0101</t>
  </si>
  <si>
    <t>1,2 t</t>
  </si>
  <si>
    <t>M103.0102</t>
  </si>
  <si>
    <t>1,8 t</t>
  </si>
  <si>
    <t>M103.0103</t>
  </si>
  <si>
    <t>M103.0104</t>
  </si>
  <si>
    <t>4,5 t</t>
  </si>
  <si>
    <t>M103.0105</t>
  </si>
  <si>
    <t>8,0 t</t>
  </si>
  <si>
    <t>M103.0200</t>
  </si>
  <si>
    <t>Máy đóng cọc chạy trên ray - trọng lượng đầu búa:</t>
  </si>
  <si>
    <t>M103.0201</t>
  </si>
  <si>
    <t>24 lít diezel + 14 kWh</t>
  </si>
  <si>
    <t>M103.0202</t>
  </si>
  <si>
    <t>30 lít diezel + 14 kWh</t>
  </si>
  <si>
    <t>M103.0203</t>
  </si>
  <si>
    <t>2,5 t</t>
  </si>
  <si>
    <t>36 lít diezel + 25 kWh</t>
  </si>
  <si>
    <t>M103.0204</t>
  </si>
  <si>
    <t>48 lít diezel + 25 kWh</t>
  </si>
  <si>
    <t>M103.0205</t>
  </si>
  <si>
    <t>63 lít diezel + 34 kWh</t>
  </si>
  <si>
    <t>M103.0206</t>
  </si>
  <si>
    <t>5,5 t</t>
  </si>
  <si>
    <t>78 lít diezel + 34 kWh</t>
  </si>
  <si>
    <t>M103.0300</t>
  </si>
  <si>
    <t>Máy búa rung tự hành, bánh xích - công suất:</t>
  </si>
  <si>
    <t>M103.0301</t>
  </si>
  <si>
    <t>60 kW</t>
  </si>
  <si>
    <t>40 lít diezel + 159 kWh</t>
  </si>
  <si>
    <t>M103.0302</t>
  </si>
  <si>
    <t>90 kW</t>
  </si>
  <si>
    <t>51 lít diezel + 240 kWh</t>
  </si>
  <si>
    <t>M103.0400</t>
  </si>
  <si>
    <t>Búa rung - công suất:</t>
  </si>
  <si>
    <t>M103.0401</t>
  </si>
  <si>
    <t>40 kW</t>
  </si>
  <si>
    <t>M103.0402</t>
  </si>
  <si>
    <t>50 kW</t>
  </si>
  <si>
    <t>M103.0403</t>
  </si>
  <si>
    <t>170 kW</t>
  </si>
  <si>
    <t>M103.0500</t>
  </si>
  <si>
    <r>
      <t>Tàu đóng cọc - trọng lượng đầu</t>
    </r>
    <r>
      <rPr>
        <sz val="11"/>
        <color indexed="8"/>
        <rFont val="Times New Roman"/>
        <family val="1"/>
      </rPr>
      <t xml:space="preserve"> </t>
    </r>
    <r>
      <rPr>
        <b/>
        <sz val="11"/>
        <color indexed="8"/>
        <rFont val="Times New Roman"/>
        <family val="1"/>
      </rPr>
      <t>búa:</t>
    </r>
  </si>
  <si>
    <t>M103.0501</t>
  </si>
  <si>
    <t>M103.0502</t>
  </si>
  <si>
    <t>M103.0503</t>
  </si>
  <si>
    <t>M103.0504</t>
  </si>
  <si>
    <t>M103.0505</t>
  </si>
  <si>
    <t>M103.0600</t>
  </si>
  <si>
    <t>Tàu đóng cọc C 96 - búa thuỷ lực, trọng lượng đầu búa:</t>
  </si>
  <si>
    <t>M103.0601</t>
  </si>
  <si>
    <t>7,5 t</t>
  </si>
  <si>
    <t>1 ttr1/2 + 1 tphII1/2 + 4 thợ máy (3x2/4+1x4/4) + 1 thợ điện 3/4 + 1 thủy thủ 2/4</t>
  </si>
  <si>
    <t>M103.0700</t>
  </si>
  <si>
    <t>Máy ép cọc trước - lực ép:</t>
  </si>
  <si>
    <t>M103.0701</t>
  </si>
  <si>
    <t>M103.0702</t>
  </si>
  <si>
    <t>M103.0703</t>
  </si>
  <si>
    <t>M103.0704</t>
  </si>
  <si>
    <t>M103.0801</t>
  </si>
  <si>
    <r>
      <t>Máy ép cọc Robot thủy lực tự</t>
    </r>
    <r>
      <rPr>
        <sz val="11"/>
        <color indexed="8"/>
        <rFont val="Times New Roman"/>
        <family val="1"/>
      </rPr>
      <t xml:space="preserve"> </t>
    </r>
    <r>
      <rPr>
        <b/>
        <sz val="11"/>
        <color indexed="8"/>
        <rFont val="Times New Roman"/>
        <family val="1"/>
      </rPr>
      <t>hành 860t</t>
    </r>
  </si>
  <si>
    <t>1x3/7+1x4/7</t>
  </si>
  <si>
    <t>M103.0901</t>
  </si>
  <si>
    <r>
      <t>Máy ép thuỷ lực (KGK-</t>
    </r>
    <r>
      <rPr>
        <sz val="11"/>
        <color indexed="8"/>
        <rFont val="Times New Roman"/>
        <family val="1"/>
      </rPr>
      <t xml:space="preserve"> </t>
    </r>
    <r>
      <rPr>
        <b/>
        <sz val="11"/>
        <color indexed="8"/>
        <rFont val="Times New Roman"/>
        <family val="1"/>
      </rPr>
      <t>130C4), lực ép 130 t</t>
    </r>
  </si>
  <si>
    <t>M103.0902</t>
  </si>
  <si>
    <t>Máy ép cọc thủy lực 45 Hp</t>
  </si>
  <si>
    <t>M103.1001</t>
  </si>
  <si>
    <t>Máy cấy bấc thấm</t>
  </si>
  <si>
    <t>M103.1100</t>
  </si>
  <si>
    <t>Máy khoan xoay:</t>
  </si>
  <si>
    <t>Máy khoan xoay</t>
  </si>
  <si>
    <t>M103.1102</t>
  </si>
  <si>
    <t>M103.1103</t>
  </si>
  <si>
    <t>Máy khoan xoay &gt; 200kNm÷300kNm</t>
  </si>
  <si>
    <t>M103.1104</t>
  </si>
  <si>
    <t>Máy khoan xoay &gt; 300kNm÷400kNm</t>
  </si>
  <si>
    <t>M103.1105</t>
  </si>
  <si>
    <t>Gầu đào (thi công móng cọc, tường Barrette)</t>
  </si>
  <si>
    <t>M103.1201</t>
  </si>
  <si>
    <t>Máy khoan tường sét</t>
  </si>
  <si>
    <t>32 lít diezel + 171 kWh</t>
  </si>
  <si>
    <t>M103.1300</t>
  </si>
  <si>
    <t>Máy khoan cọc đất</t>
  </si>
  <si>
    <t>M103.1301</t>
  </si>
  <si>
    <t>Máy khoan cọc đất (1 cần)</t>
  </si>
  <si>
    <t>36 lít diezel + 167 kWh</t>
  </si>
  <si>
    <t>M103.1302</t>
  </si>
  <si>
    <t>Máy khoan cọc đất (2 cần)</t>
  </si>
  <si>
    <t>36 lít diezel + 232 kWh</t>
  </si>
  <si>
    <t>M103.1401</t>
  </si>
  <si>
    <t>Máy cấp xi măng</t>
  </si>
  <si>
    <t>M103.1500</t>
  </si>
  <si>
    <t>Máy trộn dung dịch - dung</t>
  </si>
  <si>
    <t>M103.1501</t>
  </si>
  <si>
    <t>750 lít</t>
  </si>
  <si>
    <t>M103.1502</t>
  </si>
  <si>
    <t>1000 lít</t>
  </si>
  <si>
    <t>M103.1600</t>
  </si>
  <si>
    <t>Máy sàng lọc - năng suất:</t>
  </si>
  <si>
    <t>M103.1601</t>
  </si>
  <si>
    <r>
      <t>100 m</t>
    </r>
    <r>
      <rPr>
        <vertAlign val="superscript"/>
        <sz val="11"/>
        <color indexed="8"/>
        <rFont val="Times New Roman"/>
        <family val="1"/>
      </rPr>
      <t>3</t>
    </r>
    <r>
      <rPr>
        <sz val="11"/>
        <color indexed="8"/>
        <rFont val="Times New Roman"/>
        <family val="1"/>
      </rPr>
      <t>/h</t>
    </r>
  </si>
  <si>
    <t>M103.1700</t>
  </si>
  <si>
    <t>Máy bơm dung dịch - năng</t>
  </si>
  <si>
    <t>M103.1701</t>
  </si>
  <si>
    <r>
      <t>15 m</t>
    </r>
    <r>
      <rPr>
        <vertAlign val="superscript"/>
        <sz val="11"/>
        <color indexed="8"/>
        <rFont val="Times New Roman"/>
        <family val="1"/>
      </rPr>
      <t>3</t>
    </r>
    <r>
      <rPr>
        <sz val="11"/>
        <color indexed="8"/>
        <rFont val="Times New Roman"/>
        <family val="1"/>
      </rPr>
      <t>/h</t>
    </r>
  </si>
  <si>
    <t>M103.1702</t>
  </si>
  <si>
    <r>
      <t>200 m</t>
    </r>
    <r>
      <rPr>
        <vertAlign val="superscript"/>
        <sz val="11"/>
        <color indexed="8"/>
        <rFont val="Times New Roman"/>
        <family val="1"/>
      </rPr>
      <t>3</t>
    </r>
    <r>
      <rPr>
        <sz val="11"/>
        <color indexed="8"/>
        <rFont val="Times New Roman"/>
        <family val="1"/>
      </rPr>
      <t>/h</t>
    </r>
  </si>
  <si>
    <t>M104.0000</t>
  </si>
  <si>
    <t>MÁY SẢN XUẤT VẬT LIỆU XÂY DỰNG</t>
  </si>
  <si>
    <t>M104.0100</t>
  </si>
  <si>
    <t>Máy trộn bê tông - dung tích:</t>
  </si>
  <si>
    <t>M104.0101</t>
  </si>
  <si>
    <t>100 lít</t>
  </si>
  <si>
    <t>M104.0102</t>
  </si>
  <si>
    <t>250 lít</t>
  </si>
  <si>
    <t>M104.0200</t>
  </si>
  <si>
    <t>Máy trộn vữa - dung tích:</t>
  </si>
  <si>
    <t>M104.0201</t>
  </si>
  <si>
    <t>80 lít</t>
  </si>
  <si>
    <t>M104.0202</t>
  </si>
  <si>
    <t>150 lít</t>
  </si>
  <si>
    <t>M104.0203</t>
  </si>
  <si>
    <t>M104.0300</t>
  </si>
  <si>
    <r>
      <t>Máy trộn vữa xi măng - dung</t>
    </r>
    <r>
      <rPr>
        <sz val="11"/>
        <color indexed="8"/>
        <rFont val="Times New Roman"/>
        <family val="1"/>
      </rPr>
      <t xml:space="preserve"> </t>
    </r>
    <r>
      <rPr>
        <b/>
        <sz val="11"/>
        <color indexed="8"/>
        <rFont val="Times New Roman"/>
        <family val="1"/>
      </rPr>
      <t>tích:</t>
    </r>
  </si>
  <si>
    <t>M104.0301</t>
  </si>
  <si>
    <t>1200 lít</t>
  </si>
  <si>
    <t>M104.0302</t>
  </si>
  <si>
    <t>1600 lít</t>
  </si>
  <si>
    <t>M104.0400</t>
  </si>
  <si>
    <t>Trạm trộn bê tông - năng suất:</t>
  </si>
  <si>
    <t>M104.0401</t>
  </si>
  <si>
    <r>
      <t>16 m</t>
    </r>
    <r>
      <rPr>
        <vertAlign val="superscript"/>
        <sz val="11"/>
        <color indexed="8"/>
        <rFont val="Times New Roman"/>
        <family val="1"/>
      </rPr>
      <t>3</t>
    </r>
    <r>
      <rPr>
        <sz val="11"/>
        <color indexed="8"/>
        <rFont val="Times New Roman"/>
        <family val="1"/>
      </rPr>
      <t>/h</t>
    </r>
  </si>
  <si>
    <t>M104.0402</t>
  </si>
  <si>
    <r>
      <t>25 m</t>
    </r>
    <r>
      <rPr>
        <vertAlign val="superscript"/>
        <sz val="11"/>
        <color indexed="8"/>
        <rFont val="Times New Roman"/>
        <family val="1"/>
      </rPr>
      <t>3</t>
    </r>
    <r>
      <rPr>
        <sz val="11"/>
        <color indexed="8"/>
        <rFont val="Times New Roman"/>
        <family val="1"/>
      </rPr>
      <t>/h</t>
    </r>
  </si>
  <si>
    <t>M104.0403</t>
  </si>
  <si>
    <r>
      <t>30 m</t>
    </r>
    <r>
      <rPr>
        <vertAlign val="superscript"/>
        <sz val="11"/>
        <color indexed="8"/>
        <rFont val="Times New Roman"/>
        <family val="1"/>
      </rPr>
      <t>3</t>
    </r>
    <r>
      <rPr>
        <sz val="11"/>
        <color indexed="8"/>
        <rFont val="Times New Roman"/>
        <family val="1"/>
      </rPr>
      <t>/h</t>
    </r>
  </si>
  <si>
    <t>M104.0404</t>
  </si>
  <si>
    <r>
      <t>50 m</t>
    </r>
    <r>
      <rPr>
        <vertAlign val="superscript"/>
        <sz val="11"/>
        <color indexed="8"/>
        <rFont val="Times New Roman"/>
        <family val="1"/>
      </rPr>
      <t>3</t>
    </r>
    <r>
      <rPr>
        <sz val="11"/>
        <color indexed="8"/>
        <rFont val="Times New Roman"/>
        <family val="1"/>
      </rPr>
      <t>/h</t>
    </r>
  </si>
  <si>
    <t>M104.0405</t>
  </si>
  <si>
    <r>
      <t>60 m</t>
    </r>
    <r>
      <rPr>
        <vertAlign val="superscript"/>
        <sz val="11"/>
        <color indexed="8"/>
        <rFont val="Times New Roman"/>
        <family val="1"/>
      </rPr>
      <t>3</t>
    </r>
    <r>
      <rPr>
        <sz val="11"/>
        <color indexed="8"/>
        <rFont val="Times New Roman"/>
        <family val="1"/>
      </rPr>
      <t>/h</t>
    </r>
  </si>
  <si>
    <t>M104.0406</t>
  </si>
  <si>
    <r>
      <t>75 m</t>
    </r>
    <r>
      <rPr>
        <vertAlign val="superscript"/>
        <sz val="11"/>
        <color indexed="8"/>
        <rFont val="Times New Roman"/>
        <family val="1"/>
      </rPr>
      <t>3</t>
    </r>
    <r>
      <rPr>
        <sz val="11"/>
        <color indexed="8"/>
        <rFont val="Times New Roman"/>
        <family val="1"/>
      </rPr>
      <t>/h</t>
    </r>
  </si>
  <si>
    <t>2x3/7+1x5/7</t>
  </si>
  <si>
    <t>M104.0407</t>
  </si>
  <si>
    <r>
      <t>90 m</t>
    </r>
    <r>
      <rPr>
        <vertAlign val="superscript"/>
        <sz val="11"/>
        <color indexed="8"/>
        <rFont val="Times New Roman"/>
        <family val="1"/>
      </rPr>
      <t>3</t>
    </r>
    <r>
      <rPr>
        <sz val="11"/>
        <color indexed="8"/>
        <rFont val="Times New Roman"/>
        <family val="1"/>
      </rPr>
      <t>/h</t>
    </r>
  </si>
  <si>
    <t>M104.0408</t>
  </si>
  <si>
    <r>
      <t>125 m</t>
    </r>
    <r>
      <rPr>
        <vertAlign val="superscript"/>
        <sz val="11"/>
        <color indexed="8"/>
        <rFont val="Times New Roman"/>
        <family val="1"/>
      </rPr>
      <t>3</t>
    </r>
    <r>
      <rPr>
        <sz val="11"/>
        <color indexed="8"/>
        <rFont val="Times New Roman"/>
        <family val="1"/>
      </rPr>
      <t>/h</t>
    </r>
  </si>
  <si>
    <t>M104.0409</t>
  </si>
  <si>
    <r>
      <t>160 m</t>
    </r>
    <r>
      <rPr>
        <vertAlign val="superscript"/>
        <sz val="11"/>
        <color indexed="8"/>
        <rFont val="Times New Roman"/>
        <family val="1"/>
      </rPr>
      <t>3</t>
    </r>
    <r>
      <rPr>
        <sz val="11"/>
        <color indexed="8"/>
        <rFont val="Times New Roman"/>
        <family val="1"/>
      </rPr>
      <t>/h</t>
    </r>
  </si>
  <si>
    <t>3x3/7+1x5/7</t>
  </si>
  <si>
    <t>M104.0500</t>
  </si>
  <si>
    <t>Máy sàng rửa đá, sỏi - năng</t>
  </si>
  <si>
    <t>M104.0501</t>
  </si>
  <si>
    <r>
      <t>35 m</t>
    </r>
    <r>
      <rPr>
        <vertAlign val="superscript"/>
        <sz val="11"/>
        <color indexed="8"/>
        <rFont val="Times New Roman"/>
        <family val="1"/>
      </rPr>
      <t>3</t>
    </r>
    <r>
      <rPr>
        <sz val="11"/>
        <color indexed="8"/>
        <rFont val="Times New Roman"/>
        <family val="1"/>
      </rPr>
      <t>/h</t>
    </r>
  </si>
  <si>
    <t>M104.0502</t>
  </si>
  <si>
    <r>
      <t>45 m</t>
    </r>
    <r>
      <rPr>
        <vertAlign val="superscript"/>
        <sz val="11"/>
        <color indexed="8"/>
        <rFont val="Times New Roman"/>
        <family val="1"/>
      </rPr>
      <t>3</t>
    </r>
    <r>
      <rPr>
        <sz val="11"/>
        <color indexed="8"/>
        <rFont val="Times New Roman"/>
        <family val="1"/>
      </rPr>
      <t>/h</t>
    </r>
  </si>
  <si>
    <t>M104.0600</t>
  </si>
  <si>
    <t>Máy nghiền sàng đá di động - năng suất:</t>
  </si>
  <si>
    <t>M104.0601</t>
  </si>
  <si>
    <r>
      <t>20 m</t>
    </r>
    <r>
      <rPr>
        <vertAlign val="superscript"/>
        <sz val="11"/>
        <color indexed="8"/>
        <rFont val="Times New Roman"/>
        <family val="1"/>
      </rPr>
      <t>3</t>
    </r>
    <r>
      <rPr>
        <sz val="11"/>
        <color indexed="8"/>
        <rFont val="Times New Roman"/>
        <family val="1"/>
      </rPr>
      <t>/h</t>
    </r>
  </si>
  <si>
    <t>M104.0602</t>
  </si>
  <si>
    <t>M104.0603</t>
  </si>
  <si>
    <t>M104.0700</t>
  </si>
  <si>
    <t>Máy nghiền đá thô - năng suất:</t>
  </si>
  <si>
    <t>M104.0701</t>
  </si>
  <si>
    <r>
      <t>14 m</t>
    </r>
    <r>
      <rPr>
        <vertAlign val="superscript"/>
        <sz val="11"/>
        <color indexed="8"/>
        <rFont val="Times New Roman"/>
        <family val="1"/>
      </rPr>
      <t>3</t>
    </r>
    <r>
      <rPr>
        <sz val="11"/>
        <color indexed="8"/>
        <rFont val="Times New Roman"/>
        <family val="1"/>
      </rPr>
      <t>/h</t>
    </r>
  </si>
  <si>
    <t>M104.0702</t>
  </si>
  <si>
    <t>M104.0800</t>
  </si>
  <si>
    <t>Trạm trộn bê tông asphan - năng suất:</t>
  </si>
  <si>
    <t>M104.0801</t>
  </si>
  <si>
    <t>25 t/h</t>
  </si>
  <si>
    <t>1x4/7+1x5/7+1x6/7</t>
  </si>
  <si>
    <t>M104.0802</t>
  </si>
  <si>
    <t>50 t/h</t>
  </si>
  <si>
    <t>M104.0803</t>
  </si>
  <si>
    <t>60 t/h</t>
  </si>
  <si>
    <t>2x4/7+1x5/7+1x6/7</t>
  </si>
  <si>
    <t>M104.0804</t>
  </si>
  <si>
    <t>80 t/h</t>
  </si>
  <si>
    <t>2x4/7+2x5/7+1x6/7</t>
  </si>
  <si>
    <t>M104.0805</t>
  </si>
  <si>
    <t>120 t/h</t>
  </si>
  <si>
    <t>M105.0000</t>
  </si>
  <si>
    <t>MÁY VÀ THIẾT BỊ THI CÔNG MẶT ĐƯỜNG BỘ</t>
  </si>
  <si>
    <t>M105.0100</t>
  </si>
  <si>
    <t>Máy phun nhựa đường - công suất:</t>
  </si>
  <si>
    <t>M105.0101</t>
  </si>
  <si>
    <t>190 cv</t>
  </si>
  <si>
    <t>M105.0200</t>
  </si>
  <si>
    <r>
      <t>Máy rải hỗn hợp bê tông nhựa</t>
    </r>
    <r>
      <rPr>
        <sz val="11"/>
        <color indexed="8"/>
        <rFont val="Times New Roman"/>
        <family val="1"/>
      </rPr>
      <t xml:space="preserve"> </t>
    </r>
    <r>
      <rPr>
        <b/>
        <sz val="11"/>
        <color indexed="8"/>
        <rFont val="Times New Roman"/>
        <family val="1"/>
      </rPr>
      <t>- năng suất:</t>
    </r>
  </si>
  <si>
    <t>M105.0201</t>
  </si>
  <si>
    <t>65 t/h</t>
  </si>
  <si>
    <t>M105.0202</t>
  </si>
  <si>
    <t>100 t/h</t>
  </si>
  <si>
    <t>M105.0203</t>
  </si>
  <si>
    <t>130 cv - 140 cv</t>
  </si>
  <si>
    <t>M105.0301</t>
  </si>
  <si>
    <t>Máy rải Novachip 170 cv</t>
  </si>
  <si>
    <t>M105.0401</t>
  </si>
  <si>
    <r>
      <t>Máy rải cấp phối đá dăm, năng suất 50 m</t>
    </r>
    <r>
      <rPr>
        <vertAlign val="superscript"/>
        <sz val="11"/>
        <color indexed="8"/>
        <rFont val="Times New Roman"/>
        <family val="1"/>
      </rPr>
      <t>3</t>
    </r>
    <r>
      <rPr>
        <sz val="11"/>
        <color indexed="8"/>
        <rFont val="Times New Roman"/>
        <family val="1"/>
      </rPr>
      <t>/h - 60 m</t>
    </r>
    <r>
      <rPr>
        <vertAlign val="superscript"/>
        <sz val="11"/>
        <color indexed="8"/>
        <rFont val="Times New Roman"/>
        <family val="1"/>
      </rPr>
      <t>3</t>
    </r>
    <r>
      <rPr>
        <sz val="11"/>
        <color indexed="8"/>
        <rFont val="Times New Roman"/>
        <family val="1"/>
      </rPr>
      <t>/h</t>
    </r>
  </si>
  <si>
    <t>M105.0402</t>
  </si>
  <si>
    <r>
      <t>Máy rải xi măng SW16TC (16m</t>
    </r>
    <r>
      <rPr>
        <vertAlign val="superscript"/>
        <sz val="11"/>
        <color indexed="8"/>
        <rFont val="Times New Roman"/>
        <family val="1"/>
      </rPr>
      <t>3</t>
    </r>
    <r>
      <rPr>
        <sz val="11"/>
        <color indexed="8"/>
        <rFont val="Times New Roman"/>
        <family val="1"/>
      </rPr>
      <t>)</t>
    </r>
  </si>
  <si>
    <t>M105.0500</t>
  </si>
  <si>
    <t>Máy cào bóc</t>
  </si>
  <si>
    <t>M105.0501</t>
  </si>
  <si>
    <t>Máy cào bóc đường Wirtgen - 1000C</t>
  </si>
  <si>
    <t>M105.0502</t>
  </si>
  <si>
    <t>Máy cào bóc tái sinh, Wigent</t>
  </si>
  <si>
    <t>M105.0503</t>
  </si>
  <si>
    <t>Máy cào bóc tái sinh, công suất &gt; 450 HP</t>
  </si>
  <si>
    <t>M105.0601</t>
  </si>
  <si>
    <t>Thiết bị sơn kẻ vạch YHK 10A</t>
  </si>
  <si>
    <t>M105.0701</t>
  </si>
  <si>
    <t>Lò nấu sơn YHK 3A, lò nung keo</t>
  </si>
  <si>
    <t>M105.0801</t>
  </si>
  <si>
    <t>Máy rót mastic</t>
  </si>
  <si>
    <t>M105.0901</t>
  </si>
  <si>
    <t>Thiết bị nấu nhựa 500 lít</t>
  </si>
  <si>
    <t>M105.1001</t>
  </si>
  <si>
    <t>Máy rải bê tông SP500</t>
  </si>
  <si>
    <t>M106.0000</t>
  </si>
  <si>
    <t>PHƯƠNG TIỆN VẬN TẢI ĐƯỜNG BỘ</t>
  </si>
  <si>
    <t>M106.0100</t>
  </si>
  <si>
    <t>Ô tô vận tải thùng - trọng tải:</t>
  </si>
  <si>
    <t>M106.0101</t>
  </si>
  <si>
    <t>1x2/4 lái xe</t>
  </si>
  <si>
    <t>M106.0102</t>
  </si>
  <si>
    <t>M106.0103</t>
  </si>
  <si>
    <t>M106.0105</t>
  </si>
  <si>
    <t>M106.0106</t>
  </si>
  <si>
    <t>7 t</t>
  </si>
  <si>
    <t>M106.0107</t>
  </si>
  <si>
    <t>M106.0108</t>
  </si>
  <si>
    <t>1x3/4 lái xe</t>
  </si>
  <si>
    <t>M106.0109</t>
  </si>
  <si>
    <t>M106.0110</t>
  </si>
  <si>
    <t>M106.0111</t>
  </si>
  <si>
    <t>32 t</t>
  </si>
  <si>
    <t>M106.0200</t>
  </si>
  <si>
    <t>Ô tô tự đổ - trọng tải:</t>
  </si>
  <si>
    <t>M106.0201</t>
  </si>
  <si>
    <t>M106.0202</t>
  </si>
  <si>
    <t>M106.0203</t>
  </si>
  <si>
    <t>M106.0204</t>
  </si>
  <si>
    <t>M106.0205</t>
  </si>
  <si>
    <t>M106.0206</t>
  </si>
  <si>
    <t>M106.0207</t>
  </si>
  <si>
    <t>M106.0208</t>
  </si>
  <si>
    <t>22 t</t>
  </si>
  <si>
    <t>M106.0209</t>
  </si>
  <si>
    <t>M106.0210</t>
  </si>
  <si>
    <t>27 t</t>
  </si>
  <si>
    <t>M106.0300</t>
  </si>
  <si>
    <t>Ô tô đầu kéo - công suất:</t>
  </si>
  <si>
    <t>M106.0301</t>
  </si>
  <si>
    <t>150 cv</t>
  </si>
  <si>
    <t>M106.0302</t>
  </si>
  <si>
    <t>200 cv</t>
  </si>
  <si>
    <t>M106.0303</t>
  </si>
  <si>
    <t>255 cv</t>
  </si>
  <si>
    <t>M106.0304</t>
  </si>
  <si>
    <t>272 cv</t>
  </si>
  <si>
    <t>M106.0305</t>
  </si>
  <si>
    <t>360 cv</t>
  </si>
  <si>
    <t>M106.0400</t>
  </si>
  <si>
    <t>Ô tô chuyển trộn bê tông - dung tích thùng trộn:</t>
  </si>
  <si>
    <t>M106.0401</t>
  </si>
  <si>
    <r>
      <t>6 m</t>
    </r>
    <r>
      <rPr>
        <vertAlign val="superscript"/>
        <sz val="11"/>
        <color indexed="8"/>
        <rFont val="Times New Roman"/>
        <family val="1"/>
      </rPr>
      <t>3</t>
    </r>
  </si>
  <si>
    <t>M106.0402</t>
  </si>
  <si>
    <r>
      <t>10,7 m</t>
    </r>
    <r>
      <rPr>
        <vertAlign val="superscript"/>
        <sz val="11"/>
        <color indexed="8"/>
        <rFont val="Times New Roman"/>
        <family val="1"/>
      </rPr>
      <t>3</t>
    </r>
  </si>
  <si>
    <t>M106.0403</t>
  </si>
  <si>
    <r>
      <t>14,5 m</t>
    </r>
    <r>
      <rPr>
        <vertAlign val="superscript"/>
        <sz val="11"/>
        <color indexed="8"/>
        <rFont val="Times New Roman"/>
        <family val="1"/>
      </rPr>
      <t>3</t>
    </r>
  </si>
  <si>
    <t>M106.0500</t>
  </si>
  <si>
    <t>Ô tô tưới nước - dung tích:</t>
  </si>
  <si>
    <t>M106.0501</t>
  </si>
  <si>
    <r>
      <t>4 m</t>
    </r>
    <r>
      <rPr>
        <vertAlign val="superscript"/>
        <sz val="11"/>
        <color indexed="8"/>
        <rFont val="Times New Roman"/>
        <family val="1"/>
      </rPr>
      <t>3</t>
    </r>
  </si>
  <si>
    <t>M106.0502</t>
  </si>
  <si>
    <r>
      <t>5 m</t>
    </r>
    <r>
      <rPr>
        <vertAlign val="superscript"/>
        <sz val="11"/>
        <color indexed="8"/>
        <rFont val="Times New Roman"/>
        <family val="1"/>
      </rPr>
      <t>3</t>
    </r>
  </si>
  <si>
    <t>M106.0503</t>
  </si>
  <si>
    <t>M106.0504</t>
  </si>
  <si>
    <r>
      <t>7 m</t>
    </r>
    <r>
      <rPr>
        <vertAlign val="superscript"/>
        <sz val="11"/>
        <color indexed="8"/>
        <rFont val="Times New Roman"/>
        <family val="1"/>
      </rPr>
      <t>3</t>
    </r>
  </si>
  <si>
    <t>M106.0505</t>
  </si>
  <si>
    <t>M106.0506</t>
  </si>
  <si>
    <r>
      <t>10 m</t>
    </r>
    <r>
      <rPr>
        <vertAlign val="superscript"/>
        <sz val="11"/>
        <color indexed="8"/>
        <rFont val="Times New Roman"/>
        <family val="1"/>
      </rPr>
      <t>3</t>
    </r>
  </si>
  <si>
    <t>M106.0507</t>
  </si>
  <si>
    <t>M106.0600</t>
  </si>
  <si>
    <t>Ô tô hút bùn, hút mùn khoan, dung tích:</t>
  </si>
  <si>
    <t>M106.0601</t>
  </si>
  <si>
    <r>
      <t>2 m</t>
    </r>
    <r>
      <rPr>
        <vertAlign val="superscript"/>
        <sz val="11"/>
        <color indexed="8"/>
        <rFont val="Times New Roman"/>
        <family val="1"/>
      </rPr>
      <t>3</t>
    </r>
  </si>
  <si>
    <t>M106.0602</t>
  </si>
  <si>
    <r>
      <t>3 m</t>
    </r>
    <r>
      <rPr>
        <vertAlign val="superscript"/>
        <sz val="11"/>
        <color indexed="8"/>
        <rFont val="Times New Roman"/>
        <family val="1"/>
      </rPr>
      <t>3</t>
    </r>
  </si>
  <si>
    <t>M106.0700</t>
  </si>
  <si>
    <t>Ô tô bán tải - trọng tải:</t>
  </si>
  <si>
    <t>M106.0701</t>
  </si>
  <si>
    <t>M106.0800</t>
  </si>
  <si>
    <t>Rơ mooc - trọng tải:</t>
  </si>
  <si>
    <t>M106.0801</t>
  </si>
  <si>
    <t>M106.0802</t>
  </si>
  <si>
    <t>21t</t>
  </si>
  <si>
    <t>M106.0803</t>
  </si>
  <si>
    <t>M106.0804</t>
  </si>
  <si>
    <t>M106.0805</t>
  </si>
  <si>
    <t>M106.0806</t>
  </si>
  <si>
    <t>M106.0807</t>
  </si>
  <si>
    <t>M106.0900</t>
  </si>
  <si>
    <t>Xe bồn chuyên dụng</t>
  </si>
  <si>
    <t>M106.0901</t>
  </si>
  <si>
    <t>M106.0902</t>
  </si>
  <si>
    <t>Xe bồn 13-14m (chở bitum,</t>
  </si>
  <si>
    <t>polymer)</t>
  </si>
  <si>
    <t>M106.0903</t>
  </si>
  <si>
    <r>
      <t>Ô tô cấp nhũ tương 5 m</t>
    </r>
    <r>
      <rPr>
        <vertAlign val="superscript"/>
        <sz val="11"/>
        <color indexed="8"/>
        <rFont val="Times New Roman"/>
        <family val="1"/>
      </rPr>
      <t>3</t>
    </r>
  </si>
  <si>
    <t>M107.0000</t>
  </si>
  <si>
    <t>MÁY KHOAN ĐẤT ĐÁ</t>
  </si>
  <si>
    <t>M107.0100</t>
  </si>
  <si>
    <t>Máy khoan đất đá, cầm tay - đường kính khoan:</t>
  </si>
  <si>
    <t>M107.0101</t>
  </si>
  <si>
    <t>D ≤ 42 mm (động cơ điện-1,2</t>
  </si>
  <si>
    <t>M107.0102</t>
  </si>
  <si>
    <t>D ≤ 42 mm (truyền động khí nén</t>
  </si>
  <si>
    <t>- chưa tính khí nén)</t>
  </si>
  <si>
    <t>M107.0103</t>
  </si>
  <si>
    <t>D ≤ 42 mm (khoan SIG - chưa</t>
  </si>
  <si>
    <t>tính khí nén)</t>
  </si>
  <si>
    <t>M107.0104</t>
  </si>
  <si>
    <t>Búa chèn (truyền động khí nén - chưa tính khí nén)</t>
  </si>
  <si>
    <t>M107.0200</t>
  </si>
  <si>
    <t>Máy khoan xoay đập tự hành, khí nén (chưa tính khí nén) - đường kính khoan:</t>
  </si>
  <si>
    <t>M107.0201</t>
  </si>
  <si>
    <t>D75-95 mm</t>
  </si>
  <si>
    <t>M107.0202</t>
  </si>
  <si>
    <t>D105-110 mm</t>
  </si>
  <si>
    <t>M107.0300</t>
  </si>
  <si>
    <t>Máy khoan hầm tự hành, động cơ diezel - đường kính khoan:</t>
  </si>
  <si>
    <t>M107.0301</t>
  </si>
  <si>
    <t>D 45 mm (2 cần - 147 cv)</t>
  </si>
  <si>
    <t>M107.0302</t>
  </si>
  <si>
    <t>D 45 mm (3 cần - 255 cv)</t>
  </si>
  <si>
    <t>M107.0400</t>
  </si>
  <si>
    <t>Máy khoan néo - độ sâu khoan:</t>
  </si>
  <si>
    <t>M107.0401</t>
  </si>
  <si>
    <t>H 3,5 m (80 cv)</t>
  </si>
  <si>
    <t>M107.0500</t>
  </si>
  <si>
    <r>
      <t>Máy khoan ROBBIN, đường</t>
    </r>
    <r>
      <rPr>
        <sz val="11"/>
        <color indexed="8"/>
        <rFont val="Times New Roman"/>
        <family val="1"/>
      </rPr>
      <t xml:space="preserve"> </t>
    </r>
    <r>
      <rPr>
        <b/>
        <sz val="11"/>
        <color indexed="8"/>
        <rFont val="Times New Roman"/>
        <family val="1"/>
      </rPr>
      <t>kính khoan:</t>
    </r>
  </si>
  <si>
    <t>M107.0501</t>
  </si>
  <si>
    <t>D 2,4 m (250 kW)</t>
  </si>
  <si>
    <t>M107.0600</t>
  </si>
  <si>
    <t>Tổ hợp dàn khoan neo, công</t>
  </si>
  <si>
    <t>M107.0601</t>
  </si>
  <si>
    <t>9 kW</t>
  </si>
  <si>
    <t>M107.0700</t>
  </si>
  <si>
    <r>
      <t>Máy khoan tạo lỗ neo gia cố</t>
    </r>
    <r>
      <rPr>
        <sz val="11"/>
        <color indexed="8"/>
        <rFont val="Times New Roman"/>
        <family val="1"/>
      </rPr>
      <t xml:space="preserve"> </t>
    </r>
    <r>
      <rPr>
        <b/>
        <sz val="11"/>
        <color indexed="8"/>
        <rFont val="Times New Roman"/>
        <family val="1"/>
      </rPr>
      <t>mái ta luy:</t>
    </r>
  </si>
  <si>
    <t>M107.0701</t>
  </si>
  <si>
    <t>YG 60</t>
  </si>
  <si>
    <t>M107.0800</t>
  </si>
  <si>
    <t>Máy khoan dẫn chuyên dụng</t>
  </si>
  <si>
    <t>M107.0801</t>
  </si>
  <si>
    <t>HCR1200-EDII</t>
  </si>
  <si>
    <t>M107.0803</t>
  </si>
  <si>
    <t>Máy khoan XY-1A (phục vụ công tác xây dựng)</t>
  </si>
  <si>
    <t>M108.0000</t>
  </si>
  <si>
    <t>MÁY VÀ THIẾT BỊ ĐỘNG</t>
  </si>
  <si>
    <t>M108.0100</t>
  </si>
  <si>
    <t>Máy phát điện lưu động - công suất:</t>
  </si>
  <si>
    <t>3,75 kVA</t>
  </si>
  <si>
    <t>M108.0102</t>
  </si>
  <si>
    <t>6,25 kVA</t>
  </si>
  <si>
    <t>M108.0103</t>
  </si>
  <si>
    <t>37,5 kVA</t>
  </si>
  <si>
    <t>M108.0104</t>
  </si>
  <si>
    <t>62,5 kVA</t>
  </si>
  <si>
    <t>M108.0105</t>
  </si>
  <si>
    <t>93,75 kVA</t>
  </si>
  <si>
    <t>M108.0106</t>
  </si>
  <si>
    <t>150kVA</t>
  </si>
  <si>
    <t>M108.0107</t>
  </si>
  <si>
    <t>250 kVA</t>
  </si>
  <si>
    <t>M108.0200</t>
  </si>
  <si>
    <t>Máy nén khí, động cơ xăng - năng suất:</t>
  </si>
  <si>
    <t>M108.0201</t>
  </si>
  <si>
    <r>
      <t>120 m</t>
    </r>
    <r>
      <rPr>
        <vertAlign val="superscript"/>
        <sz val="11"/>
        <color indexed="8"/>
        <rFont val="Times New Roman"/>
        <family val="1"/>
      </rPr>
      <t>3</t>
    </r>
    <r>
      <rPr>
        <sz val="11"/>
        <color indexed="8"/>
        <rFont val="Times New Roman"/>
        <family val="1"/>
      </rPr>
      <t>/h</t>
    </r>
  </si>
  <si>
    <t>M108.0202</t>
  </si>
  <si>
    <r>
      <t>600 m</t>
    </r>
    <r>
      <rPr>
        <vertAlign val="superscript"/>
        <sz val="11"/>
        <color indexed="8"/>
        <rFont val="Times New Roman"/>
        <family val="1"/>
      </rPr>
      <t>3</t>
    </r>
    <r>
      <rPr>
        <sz val="11"/>
        <color indexed="8"/>
        <rFont val="Times New Roman"/>
        <family val="1"/>
      </rPr>
      <t>/h</t>
    </r>
  </si>
  <si>
    <t>M108.0300</t>
  </si>
  <si>
    <t>Máy nén khí, động cơ diezel - năng suất:</t>
  </si>
  <si>
    <t>M108.0301</t>
  </si>
  <si>
    <t>M108.0302</t>
  </si>
  <si>
    <r>
      <t>240 m</t>
    </r>
    <r>
      <rPr>
        <vertAlign val="superscript"/>
        <sz val="11"/>
        <color indexed="8"/>
        <rFont val="Times New Roman"/>
        <family val="1"/>
      </rPr>
      <t>3</t>
    </r>
    <r>
      <rPr>
        <sz val="11"/>
        <color indexed="8"/>
        <rFont val="Times New Roman"/>
        <family val="1"/>
      </rPr>
      <t>/h</t>
    </r>
  </si>
  <si>
    <t>M108.0303</t>
  </si>
  <si>
    <r>
      <t>360 m</t>
    </r>
    <r>
      <rPr>
        <vertAlign val="superscript"/>
        <sz val="11"/>
        <color indexed="8"/>
        <rFont val="Times New Roman"/>
        <family val="1"/>
      </rPr>
      <t>3</t>
    </r>
    <r>
      <rPr>
        <sz val="11"/>
        <color indexed="8"/>
        <rFont val="Times New Roman"/>
        <family val="1"/>
      </rPr>
      <t>/h</t>
    </r>
  </si>
  <si>
    <t>M108.0304</t>
  </si>
  <si>
    <r>
      <t>420 m</t>
    </r>
    <r>
      <rPr>
        <vertAlign val="superscript"/>
        <sz val="11"/>
        <color indexed="8"/>
        <rFont val="Times New Roman"/>
        <family val="1"/>
      </rPr>
      <t>3</t>
    </r>
    <r>
      <rPr>
        <sz val="11"/>
        <color indexed="8"/>
        <rFont val="Times New Roman"/>
        <family val="1"/>
      </rPr>
      <t>/h</t>
    </r>
  </si>
  <si>
    <t>M108.0305</t>
  </si>
  <si>
    <r>
      <t>540 m</t>
    </r>
    <r>
      <rPr>
        <vertAlign val="superscript"/>
        <sz val="11"/>
        <color indexed="8"/>
        <rFont val="Times New Roman"/>
        <family val="1"/>
      </rPr>
      <t>3</t>
    </r>
    <r>
      <rPr>
        <sz val="11"/>
        <color indexed="8"/>
        <rFont val="Times New Roman"/>
        <family val="1"/>
      </rPr>
      <t>/h</t>
    </r>
  </si>
  <si>
    <t>M108.0306</t>
  </si>
  <si>
    <t>M108.0307</t>
  </si>
  <si>
    <r>
      <t>660 m</t>
    </r>
    <r>
      <rPr>
        <vertAlign val="superscript"/>
        <sz val="11"/>
        <color indexed="8"/>
        <rFont val="Times New Roman"/>
        <family val="1"/>
      </rPr>
      <t>3</t>
    </r>
    <r>
      <rPr>
        <sz val="11"/>
        <color indexed="8"/>
        <rFont val="Times New Roman"/>
        <family val="1"/>
      </rPr>
      <t>/h</t>
    </r>
  </si>
  <si>
    <t>M108.0308</t>
  </si>
  <si>
    <r>
      <t>1200 m</t>
    </r>
    <r>
      <rPr>
        <vertAlign val="superscript"/>
        <sz val="11"/>
        <color indexed="8"/>
        <rFont val="Times New Roman"/>
        <family val="1"/>
      </rPr>
      <t>3</t>
    </r>
    <r>
      <rPr>
        <sz val="11"/>
        <color indexed="8"/>
        <rFont val="Times New Roman"/>
        <family val="1"/>
      </rPr>
      <t>/h</t>
    </r>
  </si>
  <si>
    <t>M108.0309</t>
  </si>
  <si>
    <r>
      <t>1260 m</t>
    </r>
    <r>
      <rPr>
        <vertAlign val="superscript"/>
        <sz val="11"/>
        <color indexed="8"/>
        <rFont val="Times New Roman"/>
        <family val="1"/>
      </rPr>
      <t>3</t>
    </r>
    <r>
      <rPr>
        <sz val="11"/>
        <color indexed="8"/>
        <rFont val="Times New Roman"/>
        <family val="1"/>
      </rPr>
      <t>/h</t>
    </r>
  </si>
  <si>
    <t>M108.0400</t>
  </si>
  <si>
    <t>Máy nén khí, động cơ điện - năng suất:</t>
  </si>
  <si>
    <t>M108.0401</t>
  </si>
  <si>
    <r>
      <t>5 m</t>
    </r>
    <r>
      <rPr>
        <vertAlign val="superscript"/>
        <sz val="11"/>
        <color indexed="8"/>
        <rFont val="Times New Roman"/>
        <family val="1"/>
      </rPr>
      <t>3</t>
    </r>
    <r>
      <rPr>
        <sz val="11"/>
        <color indexed="8"/>
        <rFont val="Times New Roman"/>
        <family val="1"/>
      </rPr>
      <t>/h</t>
    </r>
  </si>
  <si>
    <t>M108.0402</t>
  </si>
  <si>
    <r>
      <t>300 m</t>
    </r>
    <r>
      <rPr>
        <vertAlign val="superscript"/>
        <sz val="11"/>
        <color indexed="8"/>
        <rFont val="Times New Roman"/>
        <family val="1"/>
      </rPr>
      <t>3</t>
    </r>
    <r>
      <rPr>
        <sz val="11"/>
        <color indexed="8"/>
        <rFont val="Times New Roman"/>
        <family val="1"/>
      </rPr>
      <t>/h</t>
    </r>
  </si>
  <si>
    <t>M108.0403</t>
  </si>
  <si>
    <t>M109.0000</t>
  </si>
  <si>
    <r>
      <t>MÁY VÀ THIẾT BỊ THI</t>
    </r>
    <r>
      <rPr>
        <sz val="11"/>
        <color indexed="8"/>
        <rFont val="Times New Roman"/>
        <family val="1"/>
      </rPr>
      <t xml:space="preserve"> </t>
    </r>
    <r>
      <rPr>
        <b/>
        <sz val="11"/>
        <color indexed="8"/>
        <rFont val="Times New Roman"/>
        <family val="1"/>
      </rPr>
      <t>CÔNG CÔNG TRÌNH THỦY</t>
    </r>
  </si>
  <si>
    <t>M109.0100</t>
  </si>
  <si>
    <t>Sà lan - trọng tải:</t>
  </si>
  <si>
    <t>M109.0101</t>
  </si>
  <si>
    <t>M109.0102</t>
  </si>
  <si>
    <t>M109.0103</t>
  </si>
  <si>
    <t>M109.0104</t>
  </si>
  <si>
    <t>400 t</t>
  </si>
  <si>
    <t>M109.0105</t>
  </si>
  <si>
    <t>600 t</t>
  </si>
  <si>
    <t>M109.0106</t>
  </si>
  <si>
    <t>800 t</t>
  </si>
  <si>
    <t>M109.0107</t>
  </si>
  <si>
    <t>1000 t</t>
  </si>
  <si>
    <t>M109.0200</t>
  </si>
  <si>
    <t>Phao thép - trọng tải:</t>
  </si>
  <si>
    <t>M109.0201</t>
  </si>
  <si>
    <t>M109.0202</t>
  </si>
  <si>
    <t>M109.0203</t>
  </si>
  <si>
    <t>M109.0301</t>
  </si>
  <si>
    <t>Pông tông</t>
  </si>
  <si>
    <t>M109.0400</t>
  </si>
  <si>
    <t>Thuyền (ghe) đặt máy bơm - trọng tải:</t>
  </si>
  <si>
    <t>M109.0401</t>
  </si>
  <si>
    <t>1 thuyền trưởng 1/2</t>
  </si>
  <si>
    <t>M109.0402</t>
  </si>
  <si>
    <t>1 thuyền trưởng 1/2 + 1 thủy thủ 1x3/4</t>
  </si>
  <si>
    <t>M109.0500</t>
  </si>
  <si>
    <t>Ca nô - công suất:</t>
  </si>
  <si>
    <t>M109.0501</t>
  </si>
  <si>
    <t>12 cv</t>
  </si>
  <si>
    <t>M109.0502</t>
  </si>
  <si>
    <t>23 cv</t>
  </si>
  <si>
    <t>M109.0503</t>
  </si>
  <si>
    <t>30 cv</t>
  </si>
  <si>
    <t>M109.0504</t>
  </si>
  <si>
    <t>54 cv</t>
  </si>
  <si>
    <t>1 thuyền trưởng 1/2 + 1 thủy thủ 2/4</t>
  </si>
  <si>
    <t>M109.0505</t>
  </si>
  <si>
    <t>M109.0506</t>
  </si>
  <si>
    <t>90 cv</t>
  </si>
  <si>
    <t>M109.0507</t>
  </si>
  <si>
    <t>1 thuyền trưởng 1/2 + 1 máy I 1/2 +1 thủy thủ 2/4</t>
  </si>
  <si>
    <t>M109.0700</t>
  </si>
  <si>
    <t>Tầu kéo và phục vụ thi công thuỷ (làm neo, cấp dầu,...) -</t>
  </si>
  <si>
    <t>M109.0701</t>
  </si>
  <si>
    <t>1 thuyền trưởng 1/2 + 2 thợ máy (1x2/4+1x3/4) + 1 thợ điện 2/4 + 2 thủy thủ 2/4</t>
  </si>
  <si>
    <t>M109.0702</t>
  </si>
  <si>
    <t>1 thuyền trưởng 2/2 + 1 thuyền phó 1/2 + 1 máy I 1/2 + 2 thợ máy (1x3/4+1x2/4) + 2 thủy thủ (1x2/4+1x3/4)</t>
  </si>
  <si>
    <t>M109.0703</t>
  </si>
  <si>
    <t>250 cv</t>
  </si>
  <si>
    <t>M109.0704</t>
  </si>
  <si>
    <t>M109.0705</t>
  </si>
  <si>
    <t>600 cv</t>
  </si>
  <si>
    <t>1 thuyền trưởng 2/2 + 1 thuyền phó 2/2 + 1 máy I 2/2 + 3 thợ máy (2x3/4</t>
  </si>
  <si>
    <t>M109.0706</t>
  </si>
  <si>
    <t>1200 cv (tầu kéo biển)</t>
  </si>
  <si>
    <t>1 thuyền trưởng 2/2 + 1 thuyền phó I 2/2 + 1 máy I 2/2 + 3 thợ máy (2x3/4+1x2/4) + 4 thủy thủ (3x3/4+1x4/4)</t>
  </si>
  <si>
    <t>M109.0800</t>
  </si>
  <si>
    <t>Tàu cuốc sông- công suất:</t>
  </si>
  <si>
    <t>M109.0801</t>
  </si>
  <si>
    <t>495 cv</t>
  </si>
  <si>
    <t>1 thuyền trưởng 2/2 + 1 thuyền phó 2/2 + 1 máy trưởng 2/2 + 1 máy II 2/2 + 1 điện trưởng 2/2 + 1 kỹ thuật viên cuốc I 2/2 + 2 kỹ thuật viên cuốc II 2/2 + 4 thợ máy (3x3/4+1x4/4) + 4 thủy thủ (3x3/4+1x4/4)</t>
  </si>
  <si>
    <t>M109.0900</t>
  </si>
  <si>
    <t>Tàu cuốc biển - công suất:</t>
  </si>
  <si>
    <t>M109.0901</t>
  </si>
  <si>
    <t>2085 cv</t>
  </si>
  <si>
    <t>M109.1000</t>
  </si>
  <si>
    <t>Tàu hút - công suất:</t>
  </si>
  <si>
    <t>M109.1001</t>
  </si>
  <si>
    <t>585 cv</t>
  </si>
  <si>
    <t>1 thuyền trưởng 2/2 + thuyền phó 2/2 + 1 máy trưởng 2/2 + 1 máy II 2/2 + 1 kỹ thuật viên cuốc I 2/2 + 1 kỹ thuật viên cuốc II 2/2 + 2 thợ máy (1x3/4+1x4/4) + 4 thủy thủ (3x3/4+1x4/4)</t>
  </si>
  <si>
    <t>M109.1002</t>
  </si>
  <si>
    <t>1200 cv</t>
  </si>
  <si>
    <t>1 thuyền trưởng 2/2 + thuyền phó 2/2 + 1 máy trưởng 2/2 + 1 máy II 2/2 + 1 điện trưởng 2/2 + 1 kỹ thuật viên cuốc I 2/2 + 1 kỹ thuật viên cuốc II 2/2 + 6 thợ máy (5x3/4 + 1x4/4) + 2 thủy thủ (1x3/4 + 1x4/4)</t>
  </si>
  <si>
    <t>M109.1003</t>
  </si>
  <si>
    <t>3958 cv ÷ 4170 cv</t>
  </si>
  <si>
    <t>1 thuyền trưởng 2/2 + thuyền phó 2/2 + 1 máy trưởng 2/2 + 1 máy II 2/2 + 1 điện trưởng 2/2 + 1 kỹ thuật viên cuốc I 2/2 + 3 kỹ thuật viên cuốc II 2/2 + 6 thợ máy (5x3/4 + 1x4/4) + 4 thủy thủ (3x3/4 + 1x4/4)</t>
  </si>
  <si>
    <t>M109.1100</t>
  </si>
  <si>
    <r>
      <t>Tàu hút bụng tự hành - công</t>
    </r>
    <r>
      <rPr>
        <sz val="11"/>
        <color indexed="8"/>
        <rFont val="Times New Roman"/>
        <family val="1"/>
      </rPr>
      <t xml:space="preserve"> </t>
    </r>
    <r>
      <rPr>
        <b/>
        <sz val="11"/>
        <color indexed="8"/>
        <rFont val="Times New Roman"/>
        <family val="1"/>
      </rPr>
      <t>suất:</t>
    </r>
  </si>
  <si>
    <t>M109.1101</t>
  </si>
  <si>
    <t>1390 cv</t>
  </si>
  <si>
    <t>1 thuyền trưởng 2/2 + thuyền phó 2/2 + 1 máy trưởng 2/2 + 1 máy II 2/2 + 1 điện trưởng 2/2 + 1 kỹ thuật viên cuốc I 2/2 + 1 kỹ thuật viên cuốc II 2/2 + 2 thợ máy (1x3/4 + 1x4/4) + 4 thủy thủ (3x3/4 + 1x4/4)</t>
  </si>
  <si>
    <t>M109.1102</t>
  </si>
  <si>
    <t>5945 cv</t>
  </si>
  <si>
    <t>1 thuyền trưởng 2/2 + 1 thuyền phó 2/2 + 1 máy trưởng 2/2 + 1 máy II 2/2 + 1 điện trưởng 2/2 + 1 kỹ thuật viên cuốc I 2/2 + 1 kỹ thuật viên cuốc II 2/2 + 2 thợ máy (1x3/4 + 1x4/4) + 4 thủy thủ (3x3/4 + 1x4/4)</t>
  </si>
  <si>
    <t>M109.1200</t>
  </si>
  <si>
    <t>Tầu ngoạm (có tính năng phá đá ngầm), công suất 3170 CV - dung tích gầu:</t>
  </si>
  <si>
    <t>M109.1201</t>
  </si>
  <si>
    <r>
      <t>17 m</t>
    </r>
    <r>
      <rPr>
        <vertAlign val="superscript"/>
        <sz val="11"/>
        <color indexed="8"/>
        <rFont val="Times New Roman"/>
        <family val="1"/>
      </rPr>
      <t>3</t>
    </r>
  </si>
  <si>
    <t>1 thuyền trưởng 2/2 + 1 thuyền phó 2/2 + 1 máy trưởng 2/2 + 1 máy II 2/2 + 1 kỹ thuật viên cuốc I 2/2 + 3 kỹ thuật viên cuốc II 2/2 + 4 thợ máy (3x3/4 + 1x4/4) + 4 thủy thủ (3x3/4 + 1x4/4)</t>
  </si>
  <si>
    <t>M109.1300</t>
  </si>
  <si>
    <t>Máy xáng cạp - dung tích gầu:</t>
  </si>
  <si>
    <t>M109.1301</t>
  </si>
  <si>
    <t>M109.1401</t>
  </si>
  <si>
    <t>Trạm lặn</t>
  </si>
  <si>
    <t>1 thợ lặn cấp I 1/2 + 1 thợ lặn 2/4</t>
  </si>
  <si>
    <t>M110.0000</t>
  </si>
  <si>
    <t>MÁY VÀ THIẾT BỊ THI CÔNG TRONG HẦM</t>
  </si>
  <si>
    <t>M110.0100</t>
  </si>
  <si>
    <r>
      <t>Máy xúc chuyên dùng trong</t>
    </r>
    <r>
      <rPr>
        <sz val="11"/>
        <color indexed="8"/>
        <rFont val="Times New Roman"/>
        <family val="1"/>
      </rPr>
      <t xml:space="preserve"> </t>
    </r>
    <r>
      <rPr>
        <b/>
        <sz val="11"/>
        <color indexed="8"/>
        <rFont val="Times New Roman"/>
        <family val="1"/>
      </rPr>
      <t>hầm - dung tích gầu:</t>
    </r>
  </si>
  <si>
    <t>M110.0101</t>
  </si>
  <si>
    <t>M110.0102</t>
  </si>
  <si>
    <r>
      <t>1,65 m</t>
    </r>
    <r>
      <rPr>
        <vertAlign val="superscript"/>
        <sz val="11"/>
        <color indexed="8"/>
        <rFont val="Times New Roman"/>
        <family val="1"/>
      </rPr>
      <t>3</t>
    </r>
  </si>
  <si>
    <t>M110.0200</t>
  </si>
  <si>
    <t>Máy cào đá, động cơ điện - năng suất:</t>
  </si>
  <si>
    <t>M110.0201</t>
  </si>
  <si>
    <r>
      <t>3 m</t>
    </r>
    <r>
      <rPr>
        <vertAlign val="superscript"/>
        <sz val="11"/>
        <color indexed="8"/>
        <rFont val="Times New Roman"/>
        <family val="1"/>
      </rPr>
      <t>3</t>
    </r>
    <r>
      <rPr>
        <sz val="11"/>
        <color indexed="8"/>
        <rFont val="Times New Roman"/>
        <family val="1"/>
      </rPr>
      <t>/ph</t>
    </r>
  </si>
  <si>
    <t>M110.0300</t>
  </si>
  <si>
    <t>Thiết bị phục vụ vận chuyển đá nổ mìn trong hầm:</t>
  </si>
  <si>
    <t>M110.0301</t>
  </si>
  <si>
    <t>Tời ma nơ - 13 kW</t>
  </si>
  <si>
    <t>M110.0302</t>
  </si>
  <si>
    <t>Xe goòng 3 t</t>
  </si>
  <si>
    <t>M110.0303</t>
  </si>
  <si>
    <t>Đầu kéo 30 t</t>
  </si>
  <si>
    <t>M110.0304</t>
  </si>
  <si>
    <t>Quang lật 360 t/h</t>
  </si>
  <si>
    <t>M110.0400</t>
  </si>
  <si>
    <t>Máy nâng phục vụ thi công hầm - công suất:</t>
  </si>
  <si>
    <t>M110.0401</t>
  </si>
  <si>
    <t>135 cv</t>
  </si>
  <si>
    <t>M111.0000</t>
  </si>
  <si>
    <r>
      <t>MÁY VÀ THIẾT BỊ THI CÔNG ĐƯỜNG ỐNG,</t>
    </r>
    <r>
      <rPr>
        <sz val="11"/>
        <color indexed="8"/>
        <rFont val="Times New Roman"/>
        <family val="1"/>
      </rPr>
      <t xml:space="preserve"> </t>
    </r>
    <r>
      <rPr>
        <b/>
        <sz val="11"/>
        <color indexed="8"/>
        <rFont val="Times New Roman"/>
        <family val="1"/>
      </rPr>
      <t>ĐƯỜNG CÁP NGẦM</t>
    </r>
  </si>
  <si>
    <t>M111.0100</t>
  </si>
  <si>
    <t>Máy và thiết bị khoan đặt đường ống:</t>
  </si>
  <si>
    <t>M111.0101</t>
  </si>
  <si>
    <t>Máy nâng TO-12-24, sức nâng 15</t>
  </si>
  <si>
    <t>M111.0102</t>
  </si>
  <si>
    <t>Máy khoan ngang UĐB-4</t>
  </si>
  <si>
    <t>M111.0200</t>
  </si>
  <si>
    <t>Máy và thiết bị khoan đặt đường cáp ngầm:</t>
  </si>
  <si>
    <t>M111.0201</t>
  </si>
  <si>
    <t>Máy khoan ngầm có định hướng</t>
  </si>
  <si>
    <t>M111.0202</t>
  </si>
  <si>
    <t>Hệ thống STS (phục vụ khoan ngầm có định hướng khi khoan qua sông nước)</t>
  </si>
  <si>
    <t>1x6/7+1x4/7</t>
  </si>
  <si>
    <t>M112.0000</t>
  </si>
  <si>
    <r>
      <t>MÁY VÀ THIẾT BỊ THI</t>
    </r>
    <r>
      <rPr>
        <sz val="11"/>
        <color indexed="8"/>
        <rFont val="Times New Roman"/>
        <family val="1"/>
      </rPr>
      <t xml:space="preserve"> </t>
    </r>
    <r>
      <rPr>
        <b/>
        <sz val="11"/>
        <color indexed="8"/>
        <rFont val="Times New Roman"/>
        <family val="1"/>
      </rPr>
      <t>CÔNG KHÁC</t>
    </r>
  </si>
  <si>
    <t>M112.0100</t>
  </si>
  <si>
    <t>Máy bơm nước, động cơ điện - công suất:</t>
  </si>
  <si>
    <t>M112.0101</t>
  </si>
  <si>
    <t>1,1 kW</t>
  </si>
  <si>
    <t>M112.0102</t>
  </si>
  <si>
    <t>2 kW</t>
  </si>
  <si>
    <t>M112.0103</t>
  </si>
  <si>
    <t>2,8 kW</t>
  </si>
  <si>
    <t>M112.0104</t>
  </si>
  <si>
    <t>7 kW ÷ 7,5 kW</t>
  </si>
  <si>
    <t>M112.0105</t>
  </si>
  <si>
    <t>14 kW</t>
  </si>
  <si>
    <t>M112.0106</t>
  </si>
  <si>
    <t>20 kW</t>
  </si>
  <si>
    <t>M112.0200</t>
  </si>
  <si>
    <r>
      <t>Máy bơm nước, động cơ diezel</t>
    </r>
    <r>
      <rPr>
        <sz val="11"/>
        <color indexed="8"/>
        <rFont val="Times New Roman"/>
        <family val="1"/>
      </rPr>
      <t xml:space="preserve"> </t>
    </r>
    <r>
      <rPr>
        <b/>
        <sz val="11"/>
        <color indexed="8"/>
        <rFont val="Times New Roman"/>
        <family val="1"/>
      </rPr>
      <t>- công suất:</t>
    </r>
  </si>
  <si>
    <t>M112.0201</t>
  </si>
  <si>
    <t>5 cv</t>
  </si>
  <si>
    <t>M112.0202</t>
  </si>
  <si>
    <t>5,5 cv</t>
  </si>
  <si>
    <t>M112.0203</t>
  </si>
  <si>
    <t>10 cv</t>
  </si>
  <si>
    <t>M112.0204</t>
  </si>
  <si>
    <t>20 cv</t>
  </si>
  <si>
    <t>M112.0205</t>
  </si>
  <si>
    <t>25 cv</t>
  </si>
  <si>
    <t>M112.0206</t>
  </si>
  <si>
    <t>M112.0207</t>
  </si>
  <si>
    <t>40 cv</t>
  </si>
  <si>
    <t>M112.0208</t>
  </si>
  <si>
    <t>M112.0209</t>
  </si>
  <si>
    <t>120 cv</t>
  </si>
  <si>
    <t>M112.0300</t>
  </si>
  <si>
    <r>
      <t>Máy bơm nước, động cơ xăng</t>
    </r>
    <r>
      <rPr>
        <sz val="11"/>
        <color indexed="8"/>
        <rFont val="Times New Roman"/>
        <family val="1"/>
      </rPr>
      <t xml:space="preserve"> </t>
    </r>
    <r>
      <rPr>
        <b/>
        <sz val="11"/>
        <color indexed="8"/>
        <rFont val="Times New Roman"/>
        <family val="1"/>
      </rPr>
      <t>- công suất:</t>
    </r>
  </si>
  <si>
    <t>M112.0301</t>
  </si>
  <si>
    <t>3 cv</t>
  </si>
  <si>
    <t>M112.0302</t>
  </si>
  <si>
    <t>6 cv</t>
  </si>
  <si>
    <t>M112.0303</t>
  </si>
  <si>
    <t>8 cv</t>
  </si>
  <si>
    <t>Máy bơm chân không 7,5 kW</t>
  </si>
  <si>
    <t>M112.0402</t>
  </si>
  <si>
    <t>Máy bơm xói 4MC (75 kW)</t>
  </si>
  <si>
    <t>M112.0501</t>
  </si>
  <si>
    <t>Máy bơm áp lực xói nước đầu cọc (300 cv)</t>
  </si>
  <si>
    <t>M112.0600</t>
  </si>
  <si>
    <t>Máy bơm vữa - năng suất:</t>
  </si>
  <si>
    <t>M112.0601</t>
  </si>
  <si>
    <r>
      <t>6 m</t>
    </r>
    <r>
      <rPr>
        <vertAlign val="superscript"/>
        <sz val="11"/>
        <color indexed="8"/>
        <rFont val="Times New Roman"/>
        <family val="1"/>
      </rPr>
      <t>3</t>
    </r>
    <r>
      <rPr>
        <sz val="11"/>
        <color indexed="8"/>
        <rFont val="Times New Roman"/>
        <family val="1"/>
      </rPr>
      <t>/h</t>
    </r>
  </si>
  <si>
    <t>M112.0602</t>
  </si>
  <si>
    <r>
      <t>9 m</t>
    </r>
    <r>
      <rPr>
        <vertAlign val="superscript"/>
        <sz val="11"/>
        <color indexed="8"/>
        <rFont val="Times New Roman"/>
        <family val="1"/>
      </rPr>
      <t>3</t>
    </r>
    <r>
      <rPr>
        <sz val="11"/>
        <color indexed="8"/>
        <rFont val="Times New Roman"/>
        <family val="1"/>
      </rPr>
      <t>/h</t>
    </r>
  </si>
  <si>
    <t>M112.0603</t>
  </si>
  <si>
    <r>
      <t>32 - 50 m</t>
    </r>
    <r>
      <rPr>
        <vertAlign val="superscript"/>
        <sz val="11"/>
        <color indexed="8"/>
        <rFont val="Times New Roman"/>
        <family val="1"/>
      </rPr>
      <t>3</t>
    </r>
    <r>
      <rPr>
        <sz val="11"/>
        <color indexed="8"/>
        <rFont val="Times New Roman"/>
        <family val="1"/>
      </rPr>
      <t>/h</t>
    </r>
  </si>
  <si>
    <t>M112.0700</t>
  </si>
  <si>
    <t>Máy bơm cát, động cơ diezel - công suất:</t>
  </si>
  <si>
    <t>M112.0701</t>
  </si>
  <si>
    <t>126 cv</t>
  </si>
  <si>
    <t>M112.0702</t>
  </si>
  <si>
    <t>350 cv</t>
  </si>
  <si>
    <t>M112.0703</t>
  </si>
  <si>
    <t>380 cv</t>
  </si>
  <si>
    <t>M112.0704</t>
  </si>
  <si>
    <t>480 cv</t>
  </si>
  <si>
    <t>M112.0800</t>
  </si>
  <si>
    <t>Xe bơm bê tông, tự hành - năng suất:</t>
  </si>
  <si>
    <t>M112.0801</t>
  </si>
  <si>
    <t>M112.0802</t>
  </si>
  <si>
    <t>M112.0900</t>
  </si>
  <si>
    <t>Máy bơm bê tông - năng suất:</t>
  </si>
  <si>
    <t>M112.0901</t>
  </si>
  <si>
    <r>
      <t>40 - 60 m</t>
    </r>
    <r>
      <rPr>
        <vertAlign val="superscript"/>
        <sz val="11"/>
        <color indexed="8"/>
        <rFont val="Times New Roman"/>
        <family val="1"/>
      </rPr>
      <t>3</t>
    </r>
    <r>
      <rPr>
        <sz val="11"/>
        <color indexed="8"/>
        <rFont val="Times New Roman"/>
        <family val="1"/>
      </rPr>
      <t>/h</t>
    </r>
  </si>
  <si>
    <t>M112.0902</t>
  </si>
  <si>
    <r>
      <t>60 - 90 m</t>
    </r>
    <r>
      <rPr>
        <vertAlign val="superscript"/>
        <sz val="11"/>
        <color indexed="8"/>
        <rFont val="Times New Roman"/>
        <family val="1"/>
      </rPr>
      <t>3</t>
    </r>
    <r>
      <rPr>
        <sz val="11"/>
        <color indexed="8"/>
        <rFont val="Times New Roman"/>
        <family val="1"/>
      </rPr>
      <t>/h</t>
    </r>
  </si>
  <si>
    <t>M112.1000</t>
  </si>
  <si>
    <t>Máy phun vẩy - năng suất:</t>
  </si>
  <si>
    <t>M112.1001</t>
  </si>
  <si>
    <r>
      <t>9 m</t>
    </r>
    <r>
      <rPr>
        <vertAlign val="superscript"/>
        <sz val="11"/>
        <color indexed="8"/>
        <rFont val="Times New Roman"/>
        <family val="1"/>
      </rPr>
      <t>3</t>
    </r>
    <r>
      <rPr>
        <sz val="11"/>
        <color indexed="8"/>
        <rFont val="Times New Roman"/>
        <family val="1"/>
      </rPr>
      <t>/h (AL 285)</t>
    </r>
  </si>
  <si>
    <t>M112.1002</t>
  </si>
  <si>
    <r>
      <t>16 m</t>
    </r>
    <r>
      <rPr>
        <vertAlign val="superscript"/>
        <sz val="11"/>
        <color indexed="8"/>
        <rFont val="Times New Roman"/>
        <family val="1"/>
      </rPr>
      <t>3</t>
    </r>
    <r>
      <rPr>
        <sz val="11"/>
        <color indexed="8"/>
        <rFont val="Times New Roman"/>
        <family val="1"/>
      </rPr>
      <t>/h (AL 500)</t>
    </r>
  </si>
  <si>
    <t>M112.1100</t>
  </si>
  <si>
    <t>Máy đầm bê tông, đầm bàn - công suất:</t>
  </si>
  <si>
    <t>M112.1101</t>
  </si>
  <si>
    <t>1,0 kW</t>
  </si>
  <si>
    <t>M112.1200</t>
  </si>
  <si>
    <t>Máy đầm bê tông, đầm cạnh - công suất:</t>
  </si>
  <si>
    <t>M112.1201</t>
  </si>
  <si>
    <t>M112.1300</t>
  </si>
  <si>
    <t>Máy đầm bê tông, dầm dùi - công suất:</t>
  </si>
  <si>
    <t>M112.1301</t>
  </si>
  <si>
    <t>1,5 kW</t>
  </si>
  <si>
    <t>M112.1302</t>
  </si>
  <si>
    <t>3,5 kW</t>
  </si>
  <si>
    <t>M112.1400</t>
  </si>
  <si>
    <t>Máy phun (chưa tính khí nén):</t>
  </si>
  <si>
    <t>M112.1401</t>
  </si>
  <si>
    <t>Máy phun sơn 400 m2/h</t>
  </si>
  <si>
    <t>M112.1402</t>
  </si>
  <si>
    <t>Máy phun chất tạo màng 5,5Hp</t>
  </si>
  <si>
    <t>M112.1403</t>
  </si>
  <si>
    <t>Máy phun cát</t>
  </si>
  <si>
    <t>M112.1404</t>
  </si>
  <si>
    <t>Máy phun bi 235 kW</t>
  </si>
  <si>
    <t>M112.1500</t>
  </si>
  <si>
    <t>Máy khoan đứng - công suất:</t>
  </si>
  <si>
    <t>M112.1501</t>
  </si>
  <si>
    <t>2,5 kW</t>
  </si>
  <si>
    <t>M112.1502</t>
  </si>
  <si>
    <t>4,5 kW</t>
  </si>
  <si>
    <t>M112.1600</t>
  </si>
  <si>
    <r>
      <t>Máy khoan sắt cầm tay, đường</t>
    </r>
    <r>
      <rPr>
        <sz val="11"/>
        <color indexed="8"/>
        <rFont val="Times New Roman"/>
        <family val="1"/>
      </rPr>
      <t xml:space="preserve"> </t>
    </r>
    <r>
      <rPr>
        <b/>
        <sz val="11"/>
        <color indexed="8"/>
        <rFont val="Times New Roman"/>
        <family val="1"/>
      </rPr>
      <t>kính khoan:</t>
    </r>
  </si>
  <si>
    <t>M112.1601</t>
  </si>
  <si>
    <t>1,7 kW</t>
  </si>
  <si>
    <t>M112.1700</t>
  </si>
  <si>
    <t>Máy khoan bê tông cầm tay - công suất:</t>
  </si>
  <si>
    <t>M112.1701</t>
  </si>
  <si>
    <t>0,62 kW</t>
  </si>
  <si>
    <t>M112.1702</t>
  </si>
  <si>
    <t>0,75 kW</t>
  </si>
  <si>
    <t>M112.1703</t>
  </si>
  <si>
    <t>0,85 kW</t>
  </si>
  <si>
    <t>M112.1704</t>
  </si>
  <si>
    <t>1,00 kW</t>
  </si>
  <si>
    <t>1,50 kW</t>
  </si>
  <si>
    <t>M112.1800</t>
  </si>
  <si>
    <t>Máy luồn cáp - công suất:</t>
  </si>
  <si>
    <t>M112.1801</t>
  </si>
  <si>
    <t>15 kW</t>
  </si>
  <si>
    <t>M112.1900</t>
  </si>
  <si>
    <t>Máy cắt cáp - công suất:</t>
  </si>
  <si>
    <t>M112.1901</t>
  </si>
  <si>
    <t>10 kW</t>
  </si>
  <si>
    <t>M112.2000</t>
  </si>
  <si>
    <t>Máy cắt sắt cầm tay - công</t>
  </si>
  <si>
    <t>M112.2001</t>
  </si>
  <si>
    <t>M112.2100</t>
  </si>
  <si>
    <t>Máy cắt gạch đá - công suất:</t>
  </si>
  <si>
    <t>M112.2101</t>
  </si>
  <si>
    <t>M112.2102</t>
  </si>
  <si>
    <t>M112.2200</t>
  </si>
  <si>
    <t>Máy cắt bê tông - công suất:</t>
  </si>
  <si>
    <t>M112.2201</t>
  </si>
  <si>
    <t>7,5 kW</t>
  </si>
  <si>
    <t>M112.2202</t>
  </si>
  <si>
    <t>12 cv (MCD 218)</t>
  </si>
  <si>
    <t>M112.2300</t>
  </si>
  <si>
    <t>Máy cắt ống - công suất:</t>
  </si>
  <si>
    <t>M112.2301</t>
  </si>
  <si>
    <t>5 kW</t>
  </si>
  <si>
    <t>M112.2400</t>
  </si>
  <si>
    <t>Máy cắt tôn - công suất:</t>
  </si>
  <si>
    <t>M112.2401</t>
  </si>
  <si>
    <t>M112.2402</t>
  </si>
  <si>
    <t>M112.2500</t>
  </si>
  <si>
    <t>Máy cắt đột - công suất:</t>
  </si>
  <si>
    <t>M112.2501</t>
  </si>
  <si>
    <t>M112.2600</t>
  </si>
  <si>
    <t>Máy cắt uốn cốt thép - công</t>
  </si>
  <si>
    <t>M112.2601</t>
  </si>
  <si>
    <t>M112.2700</t>
  </si>
  <si>
    <t>Máy cắt cỏ cầm tay - công suất:</t>
  </si>
  <si>
    <t>M112.2701</t>
  </si>
  <si>
    <t>0,8 kW</t>
  </si>
  <si>
    <t>M112.2801</t>
  </si>
  <si>
    <t>Máy cắt thép Plasma</t>
  </si>
  <si>
    <t>M112.2900</t>
  </si>
  <si>
    <r>
      <t>Búa căn khí nén (chưa tính khí</t>
    </r>
    <r>
      <rPr>
        <sz val="11"/>
        <color indexed="8"/>
        <rFont val="Times New Roman"/>
        <family val="1"/>
      </rPr>
      <t xml:space="preserve"> </t>
    </r>
    <r>
      <rPr>
        <b/>
        <sz val="11"/>
        <color indexed="8"/>
        <rFont val="Times New Roman"/>
        <family val="1"/>
      </rPr>
      <t>nén) - tiêu hao khí nén:</t>
    </r>
  </si>
  <si>
    <t>M112.2901</t>
  </si>
  <si>
    <r>
      <t>1,5 m</t>
    </r>
    <r>
      <rPr>
        <vertAlign val="superscript"/>
        <sz val="11"/>
        <color indexed="8"/>
        <rFont val="Times New Roman"/>
        <family val="1"/>
      </rPr>
      <t>3</t>
    </r>
    <r>
      <rPr>
        <sz val="11"/>
        <color indexed="8"/>
        <rFont val="Times New Roman"/>
        <family val="1"/>
      </rPr>
      <t>/ph</t>
    </r>
  </si>
  <si>
    <t>M112.2902</t>
  </si>
  <si>
    <r>
      <t>3,0 m</t>
    </r>
    <r>
      <rPr>
        <vertAlign val="superscript"/>
        <sz val="11"/>
        <color indexed="8"/>
        <rFont val="Times New Roman"/>
        <family val="1"/>
      </rPr>
      <t>3</t>
    </r>
    <r>
      <rPr>
        <sz val="11"/>
        <color indexed="8"/>
        <rFont val="Times New Roman"/>
        <family val="1"/>
      </rPr>
      <t>/ph</t>
    </r>
  </si>
  <si>
    <t>M112.3000</t>
  </si>
  <si>
    <t>Máy uốn ống - công suất:</t>
  </si>
  <si>
    <t>M112.3001</t>
  </si>
  <si>
    <t>2,0 kW÷2,8 kW</t>
  </si>
  <si>
    <t>M112.3100</t>
  </si>
  <si>
    <t>Máy lốc tôn - công suất:</t>
  </si>
  <si>
    <t>M112.3101</t>
  </si>
  <si>
    <t>M112.3200</t>
  </si>
  <si>
    <t>Máy cưa kim loại - công suất:</t>
  </si>
  <si>
    <t>M112.3201</t>
  </si>
  <si>
    <t>M112.3202</t>
  </si>
  <si>
    <t>2,7 kW</t>
  </si>
  <si>
    <t>M112.3300</t>
  </si>
  <si>
    <t>Máy tiện - công suất:</t>
  </si>
  <si>
    <t>M112.3301</t>
  </si>
  <si>
    <t>M112.3400</t>
  </si>
  <si>
    <t>Máy bào thép - công suất:</t>
  </si>
  <si>
    <t>M112.3401</t>
  </si>
  <si>
    <t>M112.3500</t>
  </si>
  <si>
    <t>Máy phay - công suất:</t>
  </si>
  <si>
    <t>M112.3501</t>
  </si>
  <si>
    <t>7 kW</t>
  </si>
  <si>
    <t>M112.3600</t>
  </si>
  <si>
    <t>Máy ghép mí - công suất:</t>
  </si>
  <si>
    <t>M112.3601</t>
  </si>
  <si>
    <t>M112.3700</t>
  </si>
  <si>
    <t>Máy mài - công suất:</t>
  </si>
  <si>
    <t>M112.3701</t>
  </si>
  <si>
    <t>M112.3702</t>
  </si>
  <si>
    <t>M112.3703</t>
  </si>
  <si>
    <t>M112.3800</t>
  </si>
  <si>
    <t>Máy cưa gỗ cầm tay - công</t>
  </si>
  <si>
    <t>M112.3801</t>
  </si>
  <si>
    <t>1,3 kW</t>
  </si>
  <si>
    <t>M112.3900</t>
  </si>
  <si>
    <t>Máy hàn một chiều - công suất:</t>
  </si>
  <si>
    <t>M112.3901</t>
  </si>
  <si>
    <t>M112.4000</t>
  </si>
  <si>
    <t>Máy hàn xoay chiều - công</t>
  </si>
  <si>
    <t>M112.4001</t>
  </si>
  <si>
    <t>14 kW ÷ 15 kW</t>
  </si>
  <si>
    <t>M112.4003</t>
  </si>
  <si>
    <t>23 kW</t>
  </si>
  <si>
    <t>M112.4100</t>
  </si>
  <si>
    <t>Máy hàn hơi - công suất:</t>
  </si>
  <si>
    <t>M112.4101</t>
  </si>
  <si>
    <t>1000 l/h</t>
  </si>
  <si>
    <t>M112.4102</t>
  </si>
  <si>
    <t>2000 l/h</t>
  </si>
  <si>
    <t>M112.4201</t>
  </si>
  <si>
    <t>Máy hàn cắt dưới nước</t>
  </si>
  <si>
    <t>2 thợ lặn (1/4 + 2/4)</t>
  </si>
  <si>
    <t>M112.4300</t>
  </si>
  <si>
    <t>Máy hàn nối ống nhựa:</t>
  </si>
  <si>
    <t>M112.4301</t>
  </si>
  <si>
    <t>Máy hàn nhiệt cầm tay</t>
  </si>
  <si>
    <t>M112.4302</t>
  </si>
  <si>
    <t>Máy gia nhiệt D315mm</t>
  </si>
  <si>
    <t>M112.4303</t>
  </si>
  <si>
    <t>Máy gia nhiệt D630mm</t>
  </si>
  <si>
    <t>M112.4304</t>
  </si>
  <si>
    <t>Máy gia nhiệt D1200mm</t>
  </si>
  <si>
    <t>M112.4400</t>
  </si>
  <si>
    <t>Máy quạt gió - công suất:</t>
  </si>
  <si>
    <t>M112.4401</t>
  </si>
  <si>
    <t>M112.4402</t>
  </si>
  <si>
    <t>M112.4500</t>
  </si>
  <si>
    <t>Máy khoan khoan đập cáp - công suất:</t>
  </si>
  <si>
    <t>M112.4501</t>
  </si>
  <si>
    <t>M112.4600</t>
  </si>
  <si>
    <t>Máy khoan xoay - công suất:</t>
  </si>
  <si>
    <t>M112.4601</t>
  </si>
  <si>
    <t>M112.4602</t>
  </si>
  <si>
    <t>300 cv</t>
  </si>
  <si>
    <t>M112.4700</t>
  </si>
  <si>
    <t>Bộ kích chuyên dùng</t>
  </si>
  <si>
    <t>M112.4701</t>
  </si>
  <si>
    <t>Bộ thiết bị trượt (60 kích loại 6 t)</t>
  </si>
  <si>
    <t>M112.4702</t>
  </si>
  <si>
    <t>Bộ kích lắp dựng, tháo dỡ ván khuôn 50-60 t</t>
  </si>
  <si>
    <t>M112.4800</t>
  </si>
  <si>
    <r>
      <t>Một số máy và thiết bị chuyên</t>
    </r>
    <r>
      <rPr>
        <sz val="11"/>
        <color indexed="8"/>
        <rFont val="Times New Roman"/>
        <family val="1"/>
      </rPr>
      <t xml:space="preserve"> </t>
    </r>
    <r>
      <rPr>
        <b/>
        <sz val="11"/>
        <color indexed="8"/>
        <rFont val="Times New Roman"/>
        <family val="1"/>
      </rPr>
      <t>dùng</t>
    </r>
  </si>
  <si>
    <t>M112.4801</t>
  </si>
  <si>
    <t>Máy xiết bu lông</t>
  </si>
  <si>
    <t>M112.4802</t>
  </si>
  <si>
    <t>Máy xóa vạch sơn, công suất</t>
  </si>
  <si>
    <t>M112.4803</t>
  </si>
  <si>
    <t>Máy hiện sóng 2 tia (Oscilograf)</t>
  </si>
  <si>
    <t>M112.4804</t>
  </si>
  <si>
    <t>Vôn mét điện tử</t>
  </si>
  <si>
    <t>CHƯƠNG II: MÁY VÀ THIẾT BỊ CHUYÊN DÙNG KHẢO SÁT, THÍ NGHIỆM</t>
  </si>
  <si>
    <t>M201.0000</t>
  </si>
  <si>
    <t>MÁY VÀ THIẾT BỊ KHẢO</t>
  </si>
  <si>
    <t>Bộ khoan tay</t>
  </si>
  <si>
    <t>M201.0003</t>
  </si>
  <si>
    <t>Máy khoan XY-3</t>
  </si>
  <si>
    <t>M201.0004</t>
  </si>
  <si>
    <t>Máy khoan GK-250</t>
  </si>
  <si>
    <t>M201.0005</t>
  </si>
  <si>
    <t>Bộ nén ngang GA</t>
  </si>
  <si>
    <t>M201.0006</t>
  </si>
  <si>
    <t>Búa căn MO - 10 (chưa tính khí nén)</t>
  </si>
  <si>
    <t>M201.0007</t>
  </si>
  <si>
    <t>Búa khoan tay P30</t>
  </si>
  <si>
    <t>M201.0008</t>
  </si>
  <si>
    <r>
      <t>Thùng trục 0,5 m</t>
    </r>
    <r>
      <rPr>
        <vertAlign val="superscript"/>
        <sz val="11"/>
        <color indexed="8"/>
        <rFont val="Times New Roman"/>
        <family val="1"/>
      </rPr>
      <t>3</t>
    </r>
  </si>
  <si>
    <t>M201.0009</t>
  </si>
  <si>
    <t>Máy khoan F-60L</t>
  </si>
  <si>
    <t>M201.0010</t>
  </si>
  <si>
    <t>Máy xuyên động RA-50</t>
  </si>
  <si>
    <t>M201.0011</t>
  </si>
  <si>
    <t>Máy xuyên tĩnh Gouda</t>
  </si>
  <si>
    <t>M201.0012</t>
  </si>
  <si>
    <t>Thiết bị đo ngẫu lực</t>
  </si>
  <si>
    <t>M201.0013</t>
  </si>
  <si>
    <t>Bộ dụng cụ thí nghiệm SPT</t>
  </si>
  <si>
    <t>M201.0014</t>
  </si>
  <si>
    <t>Biến thế thắp sáng</t>
  </si>
  <si>
    <t>M201.0015</t>
  </si>
  <si>
    <t>Máy thăm dò địa vật lý UJ-18</t>
  </si>
  <si>
    <t>M201.0016</t>
  </si>
  <si>
    <t>Máy thăm dò địa vật lý MF-2-100</t>
  </si>
  <si>
    <t>M201.0017</t>
  </si>
  <si>
    <t>Máy, thiết bị thăm dò địa chấn - loại 1 mạch (ES-125)</t>
  </si>
  <si>
    <t>M201.0018</t>
  </si>
  <si>
    <t>Máy, thiết bị thăm dò địa chấn - loại 12 mạch (Triosx-12)</t>
  </si>
  <si>
    <t>M201.0019</t>
  </si>
  <si>
    <t>Máy, thiết bị thăm dò địa chấn - loại 24 mạch (Triosx-24)</t>
  </si>
  <si>
    <t>M201.0020</t>
  </si>
  <si>
    <t>Máy thuỷ bình điện tử</t>
  </si>
  <si>
    <t>M201.0021</t>
  </si>
  <si>
    <t>Máy toàn đạc điện tử</t>
  </si>
  <si>
    <t>M201.0022</t>
  </si>
  <si>
    <t>Bộ thiết bị khống chế mặt bằng GPS (3 máy)</t>
  </si>
  <si>
    <t>M201.0023</t>
  </si>
  <si>
    <t>Ống nhòm</t>
  </si>
  <si>
    <t>M201.0024</t>
  </si>
  <si>
    <t>Kính hiển vi</t>
  </si>
  <si>
    <t>M201.0025</t>
  </si>
  <si>
    <t>Kính hiển vi điện tử quét</t>
  </si>
  <si>
    <t>M201.0026</t>
  </si>
  <si>
    <t>Máy ảnh</t>
  </si>
  <si>
    <t>M202.0000</t>
  </si>
  <si>
    <t>MÁY VÀ THIẾT BỊ THÍ NGHIỆM VẬT LIỆU, CẤU KIỆN VÀ KẾT CẤU XÂY DỰNG</t>
  </si>
  <si>
    <t>M202.0001</t>
  </si>
  <si>
    <t>Cần Belkenman</t>
  </si>
  <si>
    <t>M202.0002</t>
  </si>
  <si>
    <t>Thiết bị đếm phóng xạ</t>
  </si>
  <si>
    <t>M202.0003</t>
  </si>
  <si>
    <t>TRL Profile Beam</t>
  </si>
  <si>
    <t>M202.0004</t>
  </si>
  <si>
    <t>Máy FWD</t>
  </si>
  <si>
    <t>M202.0005</t>
  </si>
  <si>
    <t>Thiết bị đo phản ứng Romdas</t>
  </si>
  <si>
    <t>M202.0006</t>
  </si>
  <si>
    <t>Bộ thiết bị PIT (đo biến dạng</t>
  </si>
  <si>
    <t>M202.0007</t>
  </si>
  <si>
    <t>Bộ thiết bị đo PDA (đo biến dạng lớn)</t>
  </si>
  <si>
    <t>M202.0008</t>
  </si>
  <si>
    <t>Bộ thiết bị siêu âm</t>
  </si>
  <si>
    <t>M202.0009</t>
  </si>
  <si>
    <t>Cân điện tử</t>
  </si>
  <si>
    <t>M202.0010</t>
  </si>
  <si>
    <t>Cân phân tích</t>
  </si>
  <si>
    <t>M202.0011</t>
  </si>
  <si>
    <t>Cân bàn</t>
  </si>
  <si>
    <t>M202.0012</t>
  </si>
  <si>
    <t>Cân thủy tĩnh</t>
  </si>
  <si>
    <t>M202.0013</t>
  </si>
  <si>
    <t>Lò nung</t>
  </si>
  <si>
    <t>M202.0014</t>
  </si>
  <si>
    <t>Tủ sấy</t>
  </si>
  <si>
    <t>M202.0015</t>
  </si>
  <si>
    <t>Tủ hút khí độc</t>
  </si>
  <si>
    <t>M202.0016</t>
  </si>
  <si>
    <t>Tủ lạnh</t>
  </si>
  <si>
    <t>M202.0017</t>
  </si>
  <si>
    <t>Máy hút chân không</t>
  </si>
  <si>
    <t>M202.0018</t>
  </si>
  <si>
    <t>Máy hút ẩm OASIS-America</t>
  </si>
  <si>
    <t>M202.0019</t>
  </si>
  <si>
    <t>Bếp điện</t>
  </si>
  <si>
    <t>M202.0020</t>
  </si>
  <si>
    <t>Bếp cát</t>
  </si>
  <si>
    <t>M202.0021</t>
  </si>
  <si>
    <t>Máy chưng cất nước</t>
  </si>
  <si>
    <t>M202.0022</t>
  </si>
  <si>
    <t>Máy trộn đất</t>
  </si>
  <si>
    <t>M202.0023</t>
  </si>
  <si>
    <t>Máy trộn xi măng, dung tích 5lít</t>
  </si>
  <si>
    <t>M202.0024</t>
  </si>
  <si>
    <t>Máy trộn dung dịch lỏng (máy đo độ rung vữa)</t>
  </si>
  <si>
    <t>M202.0025</t>
  </si>
  <si>
    <t>Máy đầm tiêu chuẩn (đầm rung)</t>
  </si>
  <si>
    <t>M202.0026</t>
  </si>
  <si>
    <t>Máy cắt đất</t>
  </si>
  <si>
    <t>M202.0027</t>
  </si>
  <si>
    <t>Máy cắt mẫu lớn (30x30) cm</t>
  </si>
  <si>
    <t>M202.0028</t>
  </si>
  <si>
    <t>Máy cắt ứng biến</t>
  </si>
  <si>
    <t>M202.0029</t>
  </si>
  <si>
    <t>Máy nén 3 trục</t>
  </si>
  <si>
    <t>M202.0030</t>
  </si>
  <si>
    <t>Máy ép litvinốp</t>
  </si>
  <si>
    <t>M202.0031</t>
  </si>
  <si>
    <t>Kích tháo mẫu</t>
  </si>
  <si>
    <t>M202.0032</t>
  </si>
  <si>
    <t>Máy ép mẫu đá, bê tông</t>
  </si>
  <si>
    <t>M202.0033</t>
  </si>
  <si>
    <t>Máy cắt mẫu vật liệu (bê tông, gạch, đá)</t>
  </si>
  <si>
    <t>M202.0034</t>
  </si>
  <si>
    <t>Máy khoan mẫu đá</t>
  </si>
  <si>
    <t>M202.0035</t>
  </si>
  <si>
    <t>Máy mài thử độ mài mòn</t>
  </si>
  <si>
    <t>M202.0036</t>
  </si>
  <si>
    <t>Máy nén một trục</t>
  </si>
  <si>
    <t>M202.0037</t>
  </si>
  <si>
    <t>Máy nén Marshall</t>
  </si>
  <si>
    <t>M202.0038</t>
  </si>
  <si>
    <t>Máy CBR</t>
  </si>
  <si>
    <t>M202.0039</t>
  </si>
  <si>
    <t>Máy thí nghiệm thuỷ lực quay tay</t>
  </si>
  <si>
    <t>M202.0040</t>
  </si>
  <si>
    <t>Máy nén 4 t (quay tay)</t>
  </si>
  <si>
    <t>M202.0041</t>
  </si>
  <si>
    <t>Máy nén thuỷ lực 10 t</t>
  </si>
  <si>
    <t>M202.0042</t>
  </si>
  <si>
    <t>Máy nén thuỷ lực 50 t</t>
  </si>
  <si>
    <t>M202.0043</t>
  </si>
  <si>
    <t>Máy nén thuỷ lực 125 t</t>
  </si>
  <si>
    <t>M202.0044</t>
  </si>
  <si>
    <t>Máy nén thuỷ lực 200 t</t>
  </si>
  <si>
    <t>M202.0045</t>
  </si>
  <si>
    <t>Máy kéo nén thủy lực 100 t</t>
  </si>
  <si>
    <t>M202.0046</t>
  </si>
  <si>
    <t>Máy kéo nén uốn thuỷ lực 25 t</t>
  </si>
  <si>
    <t>M202.0047</t>
  </si>
  <si>
    <t>Máy kéo nén uốn thuỷ lực 100 t</t>
  </si>
  <si>
    <t>M202.0048</t>
  </si>
  <si>
    <t>Máy gia tải - 20 t</t>
  </si>
  <si>
    <t>M202.0049</t>
  </si>
  <si>
    <t>Máy caragrang (làm thí nghiệm chảy)</t>
  </si>
  <si>
    <t>M202.0050</t>
  </si>
  <si>
    <t>Máy xác định hệ số thấm</t>
  </si>
  <si>
    <t>M202.0051</t>
  </si>
  <si>
    <t>Máy đo PH</t>
  </si>
  <si>
    <t>M202.0052</t>
  </si>
  <si>
    <t>Máy đo âm thanh</t>
  </si>
  <si>
    <t>M202.0053</t>
  </si>
  <si>
    <t>Máy đo chiều dày màng sơn</t>
  </si>
  <si>
    <t>M202.0054</t>
  </si>
  <si>
    <t>Máy đo điện thế thí nghiệm ăn mòn cốt thép trong bê tông</t>
  </si>
  <si>
    <t>M202.0055</t>
  </si>
  <si>
    <t>Máy đo vết nứt</t>
  </si>
  <si>
    <t>M202.0056</t>
  </si>
  <si>
    <t>Máy đo tốc độ ăn mòn cốt thép trong bê tông</t>
  </si>
  <si>
    <t>M202.0057</t>
  </si>
  <si>
    <t>Máy đo độ thấm của I-on Clo</t>
  </si>
  <si>
    <t>M202.0058</t>
  </si>
  <si>
    <t>Dụng cụ đo độ cháy của than</t>
  </si>
  <si>
    <t>M202.0059</t>
  </si>
  <si>
    <t>Máy đo gia tốc</t>
  </si>
  <si>
    <t>M202.0060</t>
  </si>
  <si>
    <t>Máy ghi nhiệt ổn định</t>
  </si>
  <si>
    <t>M202.0061</t>
  </si>
  <si>
    <t>Máy đo chuyển vị</t>
  </si>
  <si>
    <t>M202.0062</t>
  </si>
  <si>
    <t>Máy xác định môđun</t>
  </si>
  <si>
    <t>M202.0063</t>
  </si>
  <si>
    <t>Máy so màu ngọn lửa</t>
  </si>
  <si>
    <t>M202.0064</t>
  </si>
  <si>
    <t>Máy so màu quang điện</t>
  </si>
  <si>
    <t>M202.0065</t>
  </si>
  <si>
    <t>Máy đo độ dãn dài Bitum</t>
  </si>
  <si>
    <t>M202.0066</t>
  </si>
  <si>
    <t>Máy chiết nhựa (Xốc lét)</t>
  </si>
  <si>
    <t>M202.0067</t>
  </si>
  <si>
    <t>Bộ thí nghiệm độ co ngót, trương nở</t>
  </si>
  <si>
    <t>M202.0068</t>
  </si>
  <si>
    <t>Bộ dụng cụ đo độ xuyên động hình côn DCP</t>
  </si>
  <si>
    <t>M202.0069</t>
  </si>
  <si>
    <t>Thiết bị thử tỷ diện</t>
  </si>
  <si>
    <t>M202.0070</t>
  </si>
  <si>
    <t>Bàn dằn</t>
  </si>
  <si>
    <t>M202.0071</t>
  </si>
  <si>
    <t>Bàn rung</t>
  </si>
  <si>
    <t>M202.0072</t>
  </si>
  <si>
    <t>Máy khuấy bằng từ</t>
  </si>
  <si>
    <t>M202.0073</t>
  </si>
  <si>
    <t>Máy khuấy cầm tay NAG-2</t>
  </si>
  <si>
    <t>M202.0074</t>
  </si>
  <si>
    <t>Máy nghiền bi sứ LE1</t>
  </si>
  <si>
    <t>M202.0075</t>
  </si>
  <si>
    <t>Máy phân tích hạt Lazer</t>
  </si>
  <si>
    <t>M202.0076</t>
  </si>
  <si>
    <t>Máy phân tích vi nhiệt</t>
  </si>
  <si>
    <t>M202.0077</t>
  </si>
  <si>
    <t>Tenxômét</t>
  </si>
  <si>
    <t>M202.0078</t>
  </si>
  <si>
    <t>Máy đo độ giãn nở bê tông</t>
  </si>
  <si>
    <t>M202.0079</t>
  </si>
  <si>
    <t>Máy đo hệ số dẫn nhiệt</t>
  </si>
  <si>
    <t>M202.0080</t>
  </si>
  <si>
    <t>Máy nhiễu xạ Rơn ghen (phân tích thành phần hoá lý của vật</t>
  </si>
  <si>
    <t>M202.0081</t>
  </si>
  <si>
    <t>Cần ép mẫu thử gạch chịu lửa</t>
  </si>
  <si>
    <t>M202.0082</t>
  </si>
  <si>
    <t>Côn thử độ sụt</t>
  </si>
  <si>
    <t>M202.0083</t>
  </si>
  <si>
    <t>Dụng cụ xác định độ chịu lực va đập xung kích gạch lát xi măng (viên bi sắt)</t>
  </si>
  <si>
    <t>M202.0084</t>
  </si>
  <si>
    <t>Dụng cụ xác định giới hạn bền liên kết</t>
  </si>
  <si>
    <t>M202.0085</t>
  </si>
  <si>
    <t>Chén bạch kim</t>
  </si>
  <si>
    <t>M202.0086</t>
  </si>
  <si>
    <t>Kẹp niken</t>
  </si>
  <si>
    <t>M202.0087</t>
  </si>
  <si>
    <t>Máy siêu âm đo chiều dầy kim</t>
  </si>
  <si>
    <t>M202.0088</t>
  </si>
  <si>
    <t>Máy dò vị trí cốt thép</t>
  </si>
  <si>
    <t>M202.0089</t>
  </si>
  <si>
    <t>Máy siêu âm kiểm tra chất lượng mối hàn</t>
  </si>
  <si>
    <t>M202.0090</t>
  </si>
  <si>
    <t>Máy siêu âm kiểm tra cường độ bê tông của cấu kiện bê tông, bê tông cốt thép tại hiện trường</t>
  </si>
  <si>
    <t>M202.0091</t>
  </si>
  <si>
    <t>Súng bi</t>
  </si>
  <si>
    <t>M202.0092</t>
  </si>
  <si>
    <t>Thiết bị hấp mẫu xi măng</t>
  </si>
  <si>
    <t>M202.0093</t>
  </si>
  <si>
    <t>Bình hút ẩm</t>
  </si>
  <si>
    <t>M202.0094</t>
  </si>
  <si>
    <t>Bộ dụng cụ xác định thấm nước</t>
  </si>
  <si>
    <t>M202.0095</t>
  </si>
  <si>
    <t>Bơm thủy lực ZB4-500</t>
  </si>
  <si>
    <t>M202.0096</t>
  </si>
  <si>
    <t>Đồng hồ đo áp lực</t>
  </si>
  <si>
    <t>M202.0097</t>
  </si>
  <si>
    <t>Đồng hồ đo biến dạng</t>
  </si>
  <si>
    <t>M202.0098</t>
  </si>
  <si>
    <t>Đồng hồ đo nước</t>
  </si>
  <si>
    <t>M202.0099</t>
  </si>
  <si>
    <t>Đồng hồ đo lún</t>
  </si>
  <si>
    <t>M202.0100</t>
  </si>
  <si>
    <t>Đồng hồ Shore A</t>
  </si>
  <si>
    <t>M202.0101</t>
  </si>
  <si>
    <t>Dụng cụ đo độ bền va đập</t>
  </si>
  <si>
    <t>M202.0102</t>
  </si>
  <si>
    <t>Dụng cụ đo hệ số giãn nở ẩm</t>
  </si>
  <si>
    <t>M202.0103</t>
  </si>
  <si>
    <t>Dụng cụ phá vỡ mẫu kính</t>
  </si>
  <si>
    <t>M202.0104</t>
  </si>
  <si>
    <t>Dụng cụ thử thấm mực</t>
  </si>
  <si>
    <t>M202.0105</t>
  </si>
  <si>
    <t>Dụng cụ Vica</t>
  </si>
  <si>
    <t>M202.0106</t>
  </si>
  <si>
    <t>Dụng cụ xác định độ bền va đập</t>
  </si>
  <si>
    <t>M202.0107</t>
  </si>
  <si>
    <t>Dụng cụ xác định độ bền va uốn</t>
  </si>
  <si>
    <t>M202.0108</t>
  </si>
  <si>
    <t>Khuôn Capping mẫu</t>
  </si>
  <si>
    <t>M202.0109</t>
  </si>
  <si>
    <t>Khuôn dập mẫu</t>
  </si>
  <si>
    <t>M202.0110</t>
  </si>
  <si>
    <t>Kích kéo thủy lực 60 t</t>
  </si>
  <si>
    <t>M202.0111</t>
  </si>
  <si>
    <t>Kích thủy lực 800 t</t>
  </si>
  <si>
    <t>M202.0112</t>
  </si>
  <si>
    <t>Kính phóng đại đo lường</t>
  </si>
  <si>
    <t>M202.0113</t>
  </si>
  <si>
    <t>Kính lúp</t>
  </si>
  <si>
    <t>M202.0114</t>
  </si>
  <si>
    <t>Máy bộ đàm</t>
  </si>
  <si>
    <t>M202.0115</t>
  </si>
  <si>
    <t>Máy cắt quay tay</t>
  </si>
  <si>
    <t>M202.0116</t>
  </si>
  <si>
    <t>Máy cắt, mài mẫu vật liệu</t>
  </si>
  <si>
    <t>M202.0117</t>
  </si>
  <si>
    <t>Máy đo dao động điện tử (kèm đầu đo dao động 3 chiều)</t>
  </si>
  <si>
    <t>M202.0118</t>
  </si>
  <si>
    <t>Máy đo độ bóng</t>
  </si>
  <si>
    <t>M202.0119</t>
  </si>
  <si>
    <t>Máy khoan HILTI hoặc loại tương tự</t>
  </si>
  <si>
    <t>M202.0120</t>
  </si>
  <si>
    <t>Thiết bị đo độ dẫn nước</t>
  </si>
  <si>
    <t>M202.0121</t>
  </si>
  <si>
    <t>Thiết bị đo độ dày</t>
  </si>
  <si>
    <t>M202.0122</t>
  </si>
  <si>
    <t>Máy đo độ giãn nở nhiệt dài</t>
  </si>
  <si>
    <t>M202.0123</t>
  </si>
  <si>
    <t>Máy dò khuyết tật</t>
  </si>
  <si>
    <t>M202.0124</t>
  </si>
  <si>
    <t>Máy đo kích thước</t>
  </si>
  <si>
    <t>M202.0125</t>
  </si>
  <si>
    <t>Máy đo thời gian khô màng sơn</t>
  </si>
  <si>
    <t>M202.0126</t>
  </si>
  <si>
    <t>Máy đo ứng suất bề mặt</t>
  </si>
  <si>
    <t>M202.0127</t>
  </si>
  <si>
    <t>Máy đo ứng suất điện tử</t>
  </si>
  <si>
    <t>M202.0128</t>
  </si>
  <si>
    <t>Máy Hveem</t>
  </si>
  <si>
    <t>M202.0129</t>
  </si>
  <si>
    <t>Máy kéo vải địa kỹ thuật</t>
  </si>
  <si>
    <t>M202.0130</t>
  </si>
  <si>
    <t>Máy kéo, nén WDW-100</t>
  </si>
  <si>
    <t>M202.0131</t>
  </si>
  <si>
    <t>Máy thử cơ lý thạch cao</t>
  </si>
  <si>
    <t>M202.0132</t>
  </si>
  <si>
    <t>Máy kiểm tra độ cứng</t>
  </si>
  <si>
    <t>M202.0133</t>
  </si>
  <si>
    <t>Máy làm sạch bằng siêu âm</t>
  </si>
  <si>
    <t>M202.0134</t>
  </si>
  <si>
    <t>Máy mài mòn bề mặt</t>
  </si>
  <si>
    <t>M202.0135</t>
  </si>
  <si>
    <t>Máy mài mòn sâu</t>
  </si>
  <si>
    <t>M202.0136</t>
  </si>
  <si>
    <t>Máy nén cố kết</t>
  </si>
  <si>
    <t>M202.0137</t>
  </si>
  <si>
    <t>Máy phân tích thành phần kim</t>
  </si>
  <si>
    <t>M202.0138</t>
  </si>
  <si>
    <t>Máy quang phổ đo hệ số phản xạ ánh sáng</t>
  </si>
  <si>
    <t>M202.0139</t>
  </si>
  <si>
    <t>Máy quang phổ đo hệ số truyền sáng</t>
  </si>
  <si>
    <t>M202.0140</t>
  </si>
  <si>
    <t>Máy siêu âm đo vết nứt</t>
  </si>
  <si>
    <t>M202.0141</t>
  </si>
  <si>
    <t>Máy soi kim tương</t>
  </si>
  <si>
    <t>M202.0142</t>
  </si>
  <si>
    <t>Máy thấm</t>
  </si>
  <si>
    <t>M202.0143</t>
  </si>
  <si>
    <t>Máy thử độ bền nén, uốn</t>
  </si>
  <si>
    <t>M202.0144</t>
  </si>
  <si>
    <t>Máy thử độ bục</t>
  </si>
  <si>
    <t>M202.0145</t>
  </si>
  <si>
    <t>Máy thử độ rơi côn</t>
  </si>
  <si>
    <t>M202.0146</t>
  </si>
  <si>
    <t>Máy uốn gạch</t>
  </si>
  <si>
    <t>M202.0147</t>
  </si>
  <si>
    <t>Nồi hấp áp suất cao (Autoclave)</t>
  </si>
  <si>
    <t>M202.0148</t>
  </si>
  <si>
    <t>Thiết bị đo chuyển vị Indicator</t>
  </si>
  <si>
    <t>M202.0149</t>
  </si>
  <si>
    <t>Thiết bị đo điểm sương</t>
  </si>
  <si>
    <t>M202.0150</t>
  </si>
  <si>
    <t>Thiết bị đo độ bền ẩm</t>
  </si>
  <si>
    <t>M202.0151</t>
  </si>
  <si>
    <t>Thiết bị đo độ cứng màng sơn</t>
  </si>
  <si>
    <t>M202.0152</t>
  </si>
  <si>
    <t>M202.0153</t>
  </si>
  <si>
    <t>Thiết bị đo hệ số ma sát</t>
  </si>
  <si>
    <t>M202.0154</t>
  </si>
  <si>
    <t>Thiết bị đo thử độ kín</t>
  </si>
  <si>
    <t>M202.0155</t>
  </si>
  <si>
    <t>Thiết bị thử tính năng sử dụng của sứ vệ sinh</t>
  </si>
  <si>
    <t>M202.0156</t>
  </si>
  <si>
    <t>Thiết bị thử va đập phản hồi</t>
  </si>
  <si>
    <t>M202.0157</t>
  </si>
  <si>
    <t>Tủ chiếu UV</t>
  </si>
  <si>
    <t>M202.0158</t>
  </si>
  <si>
    <t>Tủ khí hậu</t>
  </si>
  <si>
    <t>M202.0159</t>
  </si>
  <si>
    <t>Thước đo vết nứt</t>
  </si>
  <si>
    <t>M202.0160</t>
  </si>
  <si>
    <t>Vi kế</t>
  </si>
  <si>
    <t>M202.0161</t>
  </si>
  <si>
    <t>Máy scanner (khổ Ao)</t>
  </si>
  <si>
    <t>M202.0162</t>
  </si>
  <si>
    <t>Máy vẽ plotter</t>
  </si>
  <si>
    <t>M202.0163</t>
  </si>
  <si>
    <t>Máy vi tính</t>
  </si>
  <si>
    <t>M202.0164</t>
  </si>
  <si>
    <t>Máy tính xách tay</t>
  </si>
  <si>
    <t>M202.0165</t>
  </si>
  <si>
    <t>Bể ổn nhiệt</t>
  </si>
  <si>
    <t>M202.0166</t>
  </si>
  <si>
    <t>Bếp gas công nghiệp</t>
  </si>
  <si>
    <t>M202.0167</t>
  </si>
  <si>
    <t>Bình thử bọt khí</t>
  </si>
  <si>
    <t>M202.0168</t>
  </si>
  <si>
    <t>Bộ dụng cụ xác định hàm lượng</t>
  </si>
  <si>
    <t>M202.0169</t>
  </si>
  <si>
    <t>Bộ thiết bị thí nghiệm điểm hóa mềm (ELE)</t>
  </si>
  <si>
    <t>M202.0170</t>
  </si>
  <si>
    <t>Dụng cụ đo nhám</t>
  </si>
  <si>
    <t>M202.0171</t>
  </si>
  <si>
    <t>Dụng cụ thử va đập bi rơi</t>
  </si>
  <si>
    <t>M202.0172</t>
  </si>
  <si>
    <t>Dụng cụ thử va đập con lắc</t>
  </si>
  <si>
    <t>M202.0173</t>
  </si>
  <si>
    <t>Dụng cụ thử xuyên</t>
  </si>
  <si>
    <t>M202.0174</t>
  </si>
  <si>
    <t>Dụng cụ xác định sự thay đổi chiều dài của mẫu vữa</t>
  </si>
  <si>
    <t>M202.0175</t>
  </si>
  <si>
    <t>Dụng cụ xác định thời gian bắt đầu đông kết</t>
  </si>
  <si>
    <t>M202.0176</t>
  </si>
  <si>
    <t>Khoáng chuẩn</t>
  </si>
  <si>
    <t>M202.0177</t>
  </si>
  <si>
    <t>Khung giá máy &amp; Máy gia tải 50 tấn kỹ thuật số</t>
  </si>
  <si>
    <t>M202.0178</t>
  </si>
  <si>
    <t>Máy Gigarang</t>
  </si>
  <si>
    <t>M202.0179</t>
  </si>
  <si>
    <t>Máy SHWD</t>
  </si>
  <si>
    <t>M202.0180</t>
  </si>
  <si>
    <t>Máy bào gỗ</t>
  </si>
  <si>
    <t>M202.0181</t>
  </si>
  <si>
    <t>Máy cắt Makita</t>
  </si>
  <si>
    <t>M202.0182</t>
  </si>
  <si>
    <t>Máy cắt phẳng</t>
  </si>
  <si>
    <t>M202.0183</t>
  </si>
  <si>
    <t>Máy đầm xoay</t>
  </si>
  <si>
    <t>M202.0184</t>
  </si>
  <si>
    <t>Máy đo chiều dày lớp bê tông bảo vệ và đo đường kính cốt thép</t>
  </si>
  <si>
    <t>M202.0185</t>
  </si>
  <si>
    <t>Máy đo độ đàn hồi</t>
  </si>
  <si>
    <t>M202.0186</t>
  </si>
  <si>
    <t>Máy kéo, nén thủy lực 0,5 tấn</t>
  </si>
  <si>
    <t>M202.0187</t>
  </si>
  <si>
    <t>Máy kéo, nén thủy lực 20 tấn</t>
  </si>
  <si>
    <t>M202.0188</t>
  </si>
  <si>
    <t>Máy kéo, nén thủy lực 200 tấn</t>
  </si>
  <si>
    <t>M202.0189</t>
  </si>
  <si>
    <t>Máy kéo, nén thủy lực 50 tấn</t>
  </si>
  <si>
    <t>M202.0190</t>
  </si>
  <si>
    <t>Máy khoan lấy mẫu chuyên dụng</t>
  </si>
  <si>
    <t>M202.0191</t>
  </si>
  <si>
    <t>Máy khuấy và làm mát nước</t>
  </si>
  <si>
    <t>M202.0192</t>
  </si>
  <si>
    <t>Máy thử cường độ bám dính</t>
  </si>
  <si>
    <t>M202.0193</t>
  </si>
  <si>
    <t>Máy thử độ chống thấm</t>
  </si>
  <si>
    <t>M202.0194</t>
  </si>
  <si>
    <t>Máy thử kéo xác định cường độ bám dính</t>
  </si>
  <si>
    <t>M202.0195</t>
  </si>
  <si>
    <t>Máy xác định độ thấm nước của bê tông kiểu C430 (hoặc C431)</t>
  </si>
  <si>
    <t>M202.0196</t>
  </si>
  <si>
    <t>Nhớt kế</t>
  </si>
  <si>
    <t>M202.0197</t>
  </si>
  <si>
    <t>Nhớt kế Suttard</t>
  </si>
  <si>
    <t>M202.0198</t>
  </si>
  <si>
    <t>Nhớt kế Vebe</t>
  </si>
  <si>
    <t>M202.0199</t>
  </si>
  <si>
    <t>Súng bật nẩy</t>
  </si>
  <si>
    <t>M202.0200</t>
  </si>
  <si>
    <t>Thiết bị đo góc nghỉ của cát</t>
  </si>
  <si>
    <t>M202.0201</t>
  </si>
  <si>
    <t>Thiết bị đo góc nghỉ tự nhiên của đất rời</t>
  </si>
  <si>
    <t>M202.0202</t>
  </si>
  <si>
    <t>Thiết bị đo nhiệt độ bê tông</t>
  </si>
  <si>
    <t>M202.0203</t>
  </si>
  <si>
    <t>Thiết bị đo nhiệt lượng</t>
  </si>
  <si>
    <t>M202.0204</t>
  </si>
  <si>
    <t>Thiết bị gia nhiệt vòng và bi</t>
  </si>
  <si>
    <t>M202.0205</t>
  </si>
  <si>
    <t>Thiết bị thử tải trọng</t>
  </si>
  <si>
    <t>M202.0206</t>
  </si>
  <si>
    <t>Thiết bị wheel tracking</t>
  </si>
  <si>
    <t>M202.0207</t>
  </si>
  <si>
    <t>Thiết bị xác định độ bền cọ rửa</t>
  </si>
  <si>
    <t>M202.0208</t>
  </si>
  <si>
    <t>Thiết bị xác định thay đổi chiều cao cột vữa</t>
  </si>
  <si>
    <t>M202.0209</t>
  </si>
  <si>
    <t>Xe chuyên dùng</t>
  </si>
  <si>
    <t>M202.0210</t>
  </si>
  <si>
    <t>Dụng cụ vòng và bi</t>
  </si>
  <si>
    <t>M203.0000</t>
  </si>
  <si>
    <t>MÁY VÀ THIẾT BỊ THÍ NGHIỆM ĐIỆN, ĐƯỜNG DÂY VÀ TRẠM BIẾN ÁP</t>
  </si>
  <si>
    <t>M203.0001</t>
  </si>
  <si>
    <t>Bộ tạo nguồn 3 pha</t>
  </si>
  <si>
    <t>M203.0002</t>
  </si>
  <si>
    <t>Bộ nguồn AC-DC</t>
  </si>
  <si>
    <t>M203.0003</t>
  </si>
  <si>
    <t>Công tơ mẫu xách tay</t>
  </si>
  <si>
    <t>M203.0004</t>
  </si>
  <si>
    <t>Hộp bộ đo tgd Delta</t>
  </si>
  <si>
    <t>M203.0005</t>
  </si>
  <si>
    <t>Hợp bộ đo lường</t>
  </si>
  <si>
    <t>M203.0006</t>
  </si>
  <si>
    <t>Hợp bộ phân tích hàm lượng khí</t>
  </si>
  <si>
    <t>M203.0007</t>
  </si>
  <si>
    <t>M203.0008</t>
  </si>
  <si>
    <t>Hợp bộ thí nghiệm rơle</t>
  </si>
  <si>
    <t>M203.0009</t>
  </si>
  <si>
    <t>Máy điều chỉnh điện áp 1pha</t>
  </si>
  <si>
    <t>M203.0010</t>
  </si>
  <si>
    <t>Máy đo độ A xít</t>
  </si>
  <si>
    <t>M203.0011</t>
  </si>
  <si>
    <t>Máy đo độ chớp cháy kín</t>
  </si>
  <si>
    <t>M203.0012</t>
  </si>
  <si>
    <t>Máy đo độ nhớt</t>
  </si>
  <si>
    <t>M203.0013</t>
  </si>
  <si>
    <t>Máy đo điện áp xuyên thủng</t>
  </si>
  <si>
    <t>M203.0014</t>
  </si>
  <si>
    <t>M203.0015</t>
  </si>
  <si>
    <t>M203.0016</t>
  </si>
  <si>
    <t>M203.0017</t>
  </si>
  <si>
    <t>Cầu đo tang dầu cách điện</t>
  </si>
  <si>
    <t>M203.0018</t>
  </si>
  <si>
    <t>M203.0019</t>
  </si>
  <si>
    <t>Máy đo vạn năng</t>
  </si>
  <si>
    <t>M203.0020</t>
  </si>
  <si>
    <t>Máy chụp sóng</t>
  </si>
  <si>
    <t>M203.0021</t>
  </si>
  <si>
    <t>Máy kiểm tra độ ổn định oxy hoá dầu</t>
  </si>
  <si>
    <t>M203.0022</t>
  </si>
  <si>
    <t>Máy phát tần số</t>
  </si>
  <si>
    <t>M203.0023</t>
  </si>
  <si>
    <t>Máy phân tích độ ẩm khí SF6</t>
  </si>
  <si>
    <t>M203.0024</t>
  </si>
  <si>
    <t>Máy đo vi lượng ẩm</t>
  </si>
  <si>
    <t>M203.0025</t>
  </si>
  <si>
    <t>M203.0026</t>
  </si>
  <si>
    <t>Thiết bị kiểm tra áp lực</t>
  </si>
  <si>
    <t>M203.0027</t>
  </si>
  <si>
    <t>Thiết bị tạo dòng điện</t>
  </si>
  <si>
    <t>M-BS1</t>
  </si>
  <si>
    <t>Máy đo tỷ số biến</t>
  </si>
  <si>
    <t>Máy ép đầu cosse</t>
  </si>
  <si>
    <t>Máy hàn cáp quang</t>
  </si>
  <si>
    <t>Máy ép thủy lực</t>
  </si>
  <si>
    <t>M-BS15</t>
  </si>
  <si>
    <t>M-BS16</t>
  </si>
  <si>
    <t>M-BS17</t>
  </si>
  <si>
    <t>M-BS18</t>
  </si>
  <si>
    <t>M-BS19</t>
  </si>
  <si>
    <t>M-BS20</t>
  </si>
  <si>
    <t>M-BS21</t>
  </si>
  <si>
    <t>M-BS22</t>
  </si>
  <si>
    <t>M-BS23</t>
  </si>
  <si>
    <t>M-BS24</t>
  </si>
  <si>
    <t>M-BS25</t>
  </si>
  <si>
    <t>M-BS26</t>
  </si>
  <si>
    <t>M-BS27</t>
  </si>
  <si>
    <t>GIÁ XÂY DỰNG TỔNG HỢP HẠNG MỤC CÔNG TRÌNH</t>
  </si>
  <si>
    <t xml:space="preserve">CÔNG TRÌNH : </t>
  </si>
  <si>
    <t>HẠNG MỤC 1</t>
  </si>
  <si>
    <t>Mã số</t>
  </si>
  <si>
    <t>Tên công tác</t>
  </si>
  <si>
    <t>Đơn giá (đ)</t>
  </si>
  <si>
    <t>Thành tiền (đ)</t>
  </si>
  <si>
    <t>Tổng cộng_x000D_
(đ)</t>
  </si>
  <si>
    <t>Máy T.C</t>
  </si>
  <si>
    <t>01.01.001</t>
  </si>
  <si>
    <t>Thay tiếp địa gốc cột thép, cột bê tông - kích thước &lt;= F10 (&lt;= 25x3)</t>
  </si>
  <si>
    <t>100 kg</t>
  </si>
  <si>
    <t>01.01.002</t>
  </si>
  <si>
    <t>Thay tiếp địa gốc cột thép, cột bê tông - kích thước &lt;= F14 (&lt;= 24x6)</t>
  </si>
  <si>
    <t>01.01.003</t>
  </si>
  <si>
    <t>Thay tiếp địa gốc cột thép, cột bê tông - kích thước &lt;= F18 (&lt;= 55x4)</t>
  </si>
  <si>
    <t>01.02.001</t>
  </si>
  <si>
    <t>Thay tiếp địa ngọn cột bê tông li tâm &lt;=10m</t>
  </si>
  <si>
    <t>01.03.001</t>
  </si>
  <si>
    <t>Thay tiếp địa trạm biến áp</t>
  </si>
  <si>
    <t>02.01.001</t>
  </si>
  <si>
    <t>Sơn lại các kết cấu thép. Sơn vỏ máy biến áp, tủ bảng điện - 2 nước chống rỉ</t>
  </si>
  <si>
    <t>02.01.002</t>
  </si>
  <si>
    <t>Sơn lại các kết cấu thép. Sơn vỏ máy biến áp, tủ bảng điện - 2 nước sơn màu</t>
  </si>
  <si>
    <t>02.01.003</t>
  </si>
  <si>
    <t>Sơn lại các kết cấu thép khác - 2 nước chống rỉ</t>
  </si>
  <si>
    <t>02.01.004</t>
  </si>
  <si>
    <t>Sơn lại các kết cấu thép khác - 2 nước sơn màu</t>
  </si>
  <si>
    <t>02.02.001</t>
  </si>
  <si>
    <t>Sơn báo hiệu cột điện. Sơn lại báo hiệu teo chiều cao cột &lt;= 70m</t>
  </si>
  <si>
    <t>02.02.002</t>
  </si>
  <si>
    <t>Sơn báo hiệu cột điện. Sơn lại báo hiệu teo chiều cao cột &lt;= 100m</t>
  </si>
  <si>
    <t>02.02.003</t>
  </si>
  <si>
    <t>Sơn báo hiệu cột điện. Sơn lại báo hiệu teo chiều cao cột &gt; 100m</t>
  </si>
  <si>
    <t>02.03.001</t>
  </si>
  <si>
    <t>Sơn xà, mặt bích, cổ dề, dây néo bị rỉ sét - sơn 2 nước</t>
  </si>
  <si>
    <t>02.03.002</t>
  </si>
  <si>
    <t>Sơn xà, mặt bích, cổ dề, dây néo bị rỉ sét - sơn 3 nước</t>
  </si>
  <si>
    <t>03.01.101</t>
  </si>
  <si>
    <t>Thay cách điện đứng trung thế. Thay dưới đất, cột tròn, 6-10kV</t>
  </si>
  <si>
    <t>10 cách điện</t>
  </si>
  <si>
    <t>03.01.102</t>
  </si>
  <si>
    <t>Thay cách điện đứng trung thế. Thay dưới đất, cột tròn, 15-22kV</t>
  </si>
  <si>
    <t>03.01.103</t>
  </si>
  <si>
    <t>Thay cách điện đứng trung thế. Thay dưới đất, cột tròn, 35kV</t>
  </si>
  <si>
    <t>03.01.104</t>
  </si>
  <si>
    <t>Thay cách điện đứng trung thế. Thay trên cột tròn, 6-10kV</t>
  </si>
  <si>
    <t>03.01.105</t>
  </si>
  <si>
    <t>Thay cách điện đứng trung thế. Thay trên cột tròn, 15-22kV</t>
  </si>
  <si>
    <t>03.01.106</t>
  </si>
  <si>
    <t>Thay cách điện đứng trung thế. Thay trên cột tròn, 35kV</t>
  </si>
  <si>
    <t>03.01.201</t>
  </si>
  <si>
    <t>Thay cách điện đứng trung thế. Thay dưới đất, cột vuông, 6-10kV</t>
  </si>
  <si>
    <t>03.01.202</t>
  </si>
  <si>
    <t>Thay cách điện đứng trung thế. Thay dưới đất, cột vuông, 15-22kV</t>
  </si>
  <si>
    <t>03.01.203</t>
  </si>
  <si>
    <t>Thay cách điện đứng trung thế. Thay dưới đất, cột vuông, 35kV</t>
  </si>
  <si>
    <t>03.01.204</t>
  </si>
  <si>
    <t>Thay cách điện đứng trung thế. Thay trên cột vuông, 6-10kV</t>
  </si>
  <si>
    <t>03.01.205</t>
  </si>
  <si>
    <t>Thay cách điện đứng trung thế. Thay trên cột vuông, 15-22kV</t>
  </si>
  <si>
    <t>03.01.206</t>
  </si>
  <si>
    <t>Thay cách điện đứng trung thế. Thay trên cột vuông, 35kV</t>
  </si>
  <si>
    <t>03.01.301</t>
  </si>
  <si>
    <t>Thay các loại cách điện đứng cao thế. Cấp điện áp 110kV</t>
  </si>
  <si>
    <t>1 cách điện</t>
  </si>
  <si>
    <t>03.01.302</t>
  </si>
  <si>
    <t>Thay các loại cách điện đứng cao thế. Cấp điện áp 220kV</t>
  </si>
  <si>
    <t>03.01.303</t>
  </si>
  <si>
    <t>Thay các loại cách điện đứng cao thế. Cấp điện áp 500kV</t>
  </si>
  <si>
    <t>03.02.101</t>
  </si>
  <si>
    <t>Thay các loại cách điện hạ thế bằng thủ công. Loại cách điện : các loại</t>
  </si>
  <si>
    <t>1 cách điện (cách đi</t>
  </si>
  <si>
    <t>03.02.102</t>
  </si>
  <si>
    <t>Thay các loại cách điện hạ thế bằng thủ công. Loại cách điện : tai mèo</t>
  </si>
  <si>
    <t>03.02.103</t>
  </si>
  <si>
    <t>Thay các loại cách điện hạ thế bằng thủ công. Loại cách điện : 2 cách điện</t>
  </si>
  <si>
    <t>03.02.104</t>
  </si>
  <si>
    <t>Thay các loại cách điện hạ thế bằng thủ công. Loại cách điện : 3 cách điện</t>
  </si>
  <si>
    <t>03.02.105</t>
  </si>
  <si>
    <t>Thay các loại cách điện hạ thế bằng thủ công. Loại cách điện : 4 cách điện</t>
  </si>
  <si>
    <t>03.02.201</t>
  </si>
  <si>
    <t>Thay các loại cách điện hạ thế bằng thủ công kết hợp cơ giới. Loại cách điện : các loại</t>
  </si>
  <si>
    <t>03.02.202</t>
  </si>
  <si>
    <t>Thay các loại cách điện hạ thế bằng thủ công kết hợp cơ giới. Loại cách điện : tai mèo</t>
  </si>
  <si>
    <t>03.02.203</t>
  </si>
  <si>
    <t>Thay các loại cách điện hạ thế bằng thủ công kết hợp cơ giới. Loại cách điện : 2 cách điện</t>
  </si>
  <si>
    <t>03.02.204</t>
  </si>
  <si>
    <t>Thay các loại cách điện hạ thế bằng thủ công kết hợp cơ giới. Loại cách điện : 3 cách điện</t>
  </si>
  <si>
    <t>03.02.205</t>
  </si>
  <si>
    <t>Thay các loại cách điện hạ thế bằng thủ công kết hợp cơ giới. Loại cách điện : 4 cách điện</t>
  </si>
  <si>
    <t>03.03.101</t>
  </si>
  <si>
    <t>Thay chuỗi cách điện cho dây chống sét, chiều cao thay &lt;= 20m - chuỗi đỡ</t>
  </si>
  <si>
    <t>1 chuỗi cách điện</t>
  </si>
  <si>
    <t>03.03.102</t>
  </si>
  <si>
    <t>Thay chuỗi cách điện cho dây chống sét, chiều cao thay &lt;= 20m - chuỗi néo</t>
  </si>
  <si>
    <t>03.03.201</t>
  </si>
  <si>
    <t>Thay chuỗi cách điện cho dây chống sét, chiều cao thay &lt;= 30m - chuỗi đỡ</t>
  </si>
  <si>
    <t>03.03.202</t>
  </si>
  <si>
    <t>Thay chuỗi cách điện cho dây chống sét, chiều cao thay &lt;= 30m - chuỗi néo</t>
  </si>
  <si>
    <t>03.03.301</t>
  </si>
  <si>
    <t>Thay chuỗi cách điện cho dây chống sét, chiều cao thay &lt;= 40m - chuỗi đỡ</t>
  </si>
  <si>
    <t>03.03.302</t>
  </si>
  <si>
    <t>Thay chuỗi cách điện cho dây chống sét, chiều cao thay &lt;= 40m - chuỗi néo</t>
  </si>
  <si>
    <t>03.03.401</t>
  </si>
  <si>
    <t>Thay chuỗi cách điện cho dây chống sét, chiều cao thay &lt;= 50m - chuỗi đỡ</t>
  </si>
  <si>
    <t>03.03.402</t>
  </si>
  <si>
    <t>Thay chuỗi cách điện cho dây chống sét, chiều cao thay &lt;= 50m - chuỗi néo</t>
  </si>
  <si>
    <t>03.03.501</t>
  </si>
  <si>
    <t>Thay chuỗi cách điện cho dây chống sét, chiều cao thay &lt;= 60m - chuỗi đỡ</t>
  </si>
  <si>
    <t>03.03.502</t>
  </si>
  <si>
    <t>Thay chuỗi cách điện cho dây chống sét, chiều cao thay &lt;= 60m - chuỗi néo</t>
  </si>
  <si>
    <t>03.03.601</t>
  </si>
  <si>
    <t>Thay chuỗi cách điện cho dây chống sét, chiều cao thay &lt;= 70m - chuỗi đỡ</t>
  </si>
  <si>
    <t>03.03.602</t>
  </si>
  <si>
    <t>Thay chuỗi cách điện cho dây chống sét, chiều cao thay &lt;= 70m - chuỗi néo</t>
  </si>
  <si>
    <t>03.03.701</t>
  </si>
  <si>
    <t>Thay chuỗi cách điện cho dây chống sét, chiều cao thay &lt;= 85m - chuỗi đỡ</t>
  </si>
  <si>
    <t>03.03.702</t>
  </si>
  <si>
    <t>Thay chuỗi cách điện cho dây chống sét, chiều cao thay &lt;= 85m - chuỗi néo</t>
  </si>
  <si>
    <t>03.03.801</t>
  </si>
  <si>
    <t>Thay chuỗi cách điện cho dây chống sét, chiều cao thay &lt;= 100m - chuỗi đỡ</t>
  </si>
  <si>
    <t>03.03.802</t>
  </si>
  <si>
    <t>Thay chuỗi cách điện cho dây chống sét, chiều cao thay &lt;= 100m - chuỗi néo</t>
  </si>
  <si>
    <t>03.04.101</t>
  </si>
  <si>
    <t>Thay chuỗi cách điện đỡ đơn cho dây dẫn, chiều cao thay &lt;= 20m. Chuỗi đỡ đơn (bát cách điện) &lt;= 2</t>
  </si>
  <si>
    <t>03.04.102</t>
  </si>
  <si>
    <t>Thay chuỗi cách điện đỡ đơn cho dây dẫn, chiều cao thay &lt;= 20m. Chuỗi đỡ đơn (bát cách điện) &lt;= 5</t>
  </si>
  <si>
    <t>03.04.103</t>
  </si>
  <si>
    <t>Thay chuỗi cách điện đỡ đơn cho dây dẫn, chiều cao thay &lt;= 20m. Chuỗi đỡ đơn (bát cách điện) &lt;= 8</t>
  </si>
  <si>
    <t>03.04.104</t>
  </si>
  <si>
    <t>Thay chuỗi cách điện đỡ đơn cho dây dẫn, chiều cao thay &lt;= 20m. Chuỗi đỡ đơn (bát cách điện) &lt;= 11</t>
  </si>
  <si>
    <t>03.04.105</t>
  </si>
  <si>
    <t>Thay chuỗi cách điện đỡ đơn cho dây dẫn, chiều cao thay &lt;= 20m. Chuỗi đỡ đơn (bát cách điện) &lt;= 14</t>
  </si>
  <si>
    <t>03.04.106</t>
  </si>
  <si>
    <t>Thay chuỗi cách điện đỡ đơn cho dây dẫn, chiều cao thay &lt;= 20m. Chuỗi đỡ đơn (bát cách điện) &lt;= 18</t>
  </si>
  <si>
    <t>03.04.107</t>
  </si>
  <si>
    <t>Thay chuỗi cách điện đỡ đơn cho dây dẫn, chiều cao thay &lt;= 20m. Chuỗi đỡ đơn (bát cách điện) &lt;= 21</t>
  </si>
  <si>
    <t>03.04.108</t>
  </si>
  <si>
    <t>Thay chuỗi cách điện đỡ đơn cho dây dẫn, chiều cao thay &lt;= 20m. Chuỗi đỡ đơn (bát cách điện) &gt; 21</t>
  </si>
  <si>
    <t>03.04.201</t>
  </si>
  <si>
    <t>Thay chuỗi cách điện đỡ đơn cho dây dẫn, chiều cao thay &lt;= 30m. Chuỗi đỡ đơn (bát cách điện) &lt;= 2</t>
  </si>
  <si>
    <t>03.04.202</t>
  </si>
  <si>
    <t>Thay chuỗi cách điện đỡ đơn cho dây dẫn, chiều cao thay &lt;= 30m. Chuỗi đỡ đơn (bát cách điện) &lt;= 5</t>
  </si>
  <si>
    <t>03.04.203</t>
  </si>
  <si>
    <t>Thay chuỗi cách điện đỡ đơn cho dây dẫn, chiều cao thay &lt;= 30m. Chuỗi đỡ đơn (bát cách điện) &lt;= 8</t>
  </si>
  <si>
    <t>03.04.204</t>
  </si>
  <si>
    <t>Thay chuỗi cách điện đỡ đơn cho dây dẫn, chiều cao thay &lt;= 30m. Chuỗi đỡ đơn (bát cách điện) &lt;= 11</t>
  </si>
  <si>
    <t>03.04.205</t>
  </si>
  <si>
    <t>Thay chuỗi cách điện đỡ đơn cho dây dẫn, chiều cao thay &lt;= 30m. Chuỗi đỡ đơn (bát cách điện) &lt;= 14</t>
  </si>
  <si>
    <t>03.04.206</t>
  </si>
  <si>
    <t>Thay chuỗi cách điện đỡ đơn cho dây dẫn, chiều cao thay &lt;= 30m. Chuỗi đỡ đơn (bát cách điện) &lt;= 18</t>
  </si>
  <si>
    <t>03.04.207</t>
  </si>
  <si>
    <t>Thay chuỗi cách điện đỡ đơn cho dây dẫn, chiều cao thay &lt;= 30m. Chuỗi đỡ đơn (bát cách điện) &lt;= 21</t>
  </si>
  <si>
    <t>03.04.208</t>
  </si>
  <si>
    <t>Thay chuỗi cách điện đỡ đơn cho dây dẫn, chiều cao thay &lt;= 30m. Chuỗi đỡ đơn (bát cách điện) &gt; 21</t>
  </si>
  <si>
    <t>03.04.301</t>
  </si>
  <si>
    <t>Thay chuỗi cách điện đỡ đơn cho dây dẫn, chiều cao thay &lt;= 40m. Chuỗi đỡ đơn (bát cách điện) &lt;= 2</t>
  </si>
  <si>
    <t>03.04.302</t>
  </si>
  <si>
    <t>Thay chuỗi cách điện đỡ đơn cho dây dẫn, chiều cao thay &lt;= 40m. Chuỗi đỡ đơn (bát cách điện) &lt;= 5</t>
  </si>
  <si>
    <t>03.04.303</t>
  </si>
  <si>
    <t>Thay chuỗi cách điện đỡ đơn cho dây dẫn, chiều cao thay &lt;= 40m. Chuỗi đỡ đơn (bát cách điện) &lt;= 8</t>
  </si>
  <si>
    <t>03.04.304</t>
  </si>
  <si>
    <t>Thay chuỗi cách điện đỡ đơn cho dây dẫn, chiều cao thay &lt;= 40m. Chuỗi đỡ đơn (bát cách điện) &lt;= 11</t>
  </si>
  <si>
    <t>03.04.305</t>
  </si>
  <si>
    <t>Thay chuỗi cách điện đỡ đơn cho dây dẫn, chiều cao thay &lt;= 40m. Chuỗi đỡ đơn (bát cách điện) &lt;= 14</t>
  </si>
  <si>
    <t>03.04.306</t>
  </si>
  <si>
    <t>Thay chuỗi cách điện đỡ đơn cho dây dẫn, chiều cao thay &lt;= 40m. Chuỗi đỡ đơn (bát cách điện) &lt;= 18</t>
  </si>
  <si>
    <t>03.04.307</t>
  </si>
  <si>
    <t>Thay chuỗi cách điện đỡ đơn cho dây dẫn, chiều cao thay &lt;= 40m. Chuỗi đỡ đơn (bát cách điện) &lt;= 21</t>
  </si>
  <si>
    <t>03.04.308</t>
  </si>
  <si>
    <t>Thay chuỗi cách điện đỡ đơn cho dây dẫn, chiều cao thay &lt;= 40m. Chuỗi đỡ đơn (bát cách điện) &gt; 21</t>
  </si>
  <si>
    <t>03.04.401</t>
  </si>
  <si>
    <t>Thay chuỗi cách điện đỡ đơn cho dây dẫn, chiều cao thay &lt;= 50m. Chuỗi đỡ đơn (bát cách điện) &lt;= 2</t>
  </si>
  <si>
    <t>03.04.402</t>
  </si>
  <si>
    <t>Thay chuỗi cách điện đỡ đơn cho dây dẫn, chiều cao thay &lt;= 50m. Chuỗi đỡ đơn (bát cách điện) &lt;= 5</t>
  </si>
  <si>
    <t>03.04.403</t>
  </si>
  <si>
    <t>Thay chuỗi cách điện đỡ đơn cho dây dẫn, chiều cao thay &lt;= 50m. Chuỗi đỡ đơn (bát cách điện) &lt;= 8</t>
  </si>
  <si>
    <t>03.04.404</t>
  </si>
  <si>
    <t>Thay chuỗi cách điện đỡ đơn cho dây dẫn, chiều cao thay &lt;= 50m. Chuỗi đỡ đơn (bát cách điện) &lt;= 11</t>
  </si>
  <si>
    <t>03.04.405</t>
  </si>
  <si>
    <t>Thay chuỗi cách điện đỡ đơn cho dây dẫn, chiều cao thay &lt;= 50m. Chuỗi đỡ đơn (bát cách điện) &lt;= 14</t>
  </si>
  <si>
    <t>03.04.406</t>
  </si>
  <si>
    <t>Thay chuỗi cách điện đỡ đơn cho dây dẫn, chiều cao thay &lt;= 50m. Chuỗi đỡ đơn (bát cách điện) &lt;= 18</t>
  </si>
  <si>
    <t>03.04.407</t>
  </si>
  <si>
    <t>Thay chuỗi cách điện đỡ đơn cho dây dẫn, chiều cao thay &lt;= 50m. Chuỗi đỡ đơn (bát cách điện) &lt;= 21</t>
  </si>
  <si>
    <t>03.04.408</t>
  </si>
  <si>
    <t>Thay chuỗi cách điện đỡ đơn cho dây dẫn, chiều cao thay &lt;= 50m. Chuỗi đỡ đơn (bát cách điện) &gt; 21</t>
  </si>
  <si>
    <t>03.04.501</t>
  </si>
  <si>
    <t>Thay chuỗi cách điện đỡ đơn cho dây dẫn, chiều cao thay &lt;= 60m. Chuỗi đỡ đơn (bát cách điện) &lt;= 2</t>
  </si>
  <si>
    <t>03.04.502</t>
  </si>
  <si>
    <t>Thay chuỗi cách điện đỡ đơn cho dây dẫn, chiều cao thay &lt;= 60m. Chuỗi đỡ đơn (bát cách điện) &lt;= 5</t>
  </si>
  <si>
    <t>03.04.503</t>
  </si>
  <si>
    <t>Thay chuỗi cách điện đỡ đơn cho dây dẫn, chiều cao thay &lt;= 60m. Chuỗi đỡ đơn (bát cách điện) &lt;= 8</t>
  </si>
  <si>
    <t>03.04.504</t>
  </si>
  <si>
    <t>Thay chuỗi cách điện đỡ đơn cho dây dẫn, chiều cao thay &lt;= 60m. Chuỗi đỡ đơn (bát cách điện) &lt;= 11</t>
  </si>
  <si>
    <t>03.04.505</t>
  </si>
  <si>
    <t>Thay chuỗi cách điện đỡ đơn cho dây dẫn, chiều cao thay &lt;= 60m. Chuỗi đỡ đơn (bát cách điện) &lt;= 14</t>
  </si>
  <si>
    <t>03.04.506</t>
  </si>
  <si>
    <t>Thay chuỗi cách điện đỡ đơn cho dây dẫn, chiều cao thay &lt;= 60m. Chuỗi đỡ đơn (bát cách điện) &lt;= 18</t>
  </si>
  <si>
    <t>03.04.507</t>
  </si>
  <si>
    <t>Thay chuỗi cách điện đỡ đơn cho dây dẫn, chiều cao thay &lt;= 60m. Chuỗi đỡ đơn (bát cách điện) &lt;= 21</t>
  </si>
  <si>
    <t>03.04.508</t>
  </si>
  <si>
    <t>Thay chuỗi cách điện đỡ đơn cho dây dẫn, chiều cao thay &lt;= 60m. Chuỗi đỡ đơn (bát cách điện) &gt; 21</t>
  </si>
  <si>
    <t>03.04.601</t>
  </si>
  <si>
    <t>Thay chuỗi cách điện đỡ đơn cho dây dẫn, chiều cao thay &lt;= 70m. Chuỗi đỡ đơn (bát cách điện) &lt;= 2</t>
  </si>
  <si>
    <t>03.04.602</t>
  </si>
  <si>
    <t>Thay chuỗi cách điện đỡ đơn cho dây dẫn, chiều cao thay &lt;= 70m. Chuỗi đỡ đơn (bát cách điện) &lt;= 5</t>
  </si>
  <si>
    <t>03.04.603</t>
  </si>
  <si>
    <t>Thay chuỗi cách điện đỡ đơn cho dây dẫn, chiều cao thay &lt;= 70m. Chuỗi đỡ đơn (bát cách điện) &lt;= 8</t>
  </si>
  <si>
    <t>03.04.604</t>
  </si>
  <si>
    <t>Thay chuỗi cách điện đỡ đơn cho dây dẫn, chiều cao thay &lt;= 70m. Chuỗi đỡ đơn (bát cách điện) &lt;= 11</t>
  </si>
  <si>
    <t>03.04.605</t>
  </si>
  <si>
    <t>Thay chuỗi cách điện đỡ đơn cho dây dẫn, chiều cao thay &lt;= 70m. Chuỗi đỡ đơn (bát cách điện) &lt;= 14</t>
  </si>
  <si>
    <t>03.04.606</t>
  </si>
  <si>
    <t>Thay chuỗi cách điện đỡ đơn cho dây dẫn, chiều cao thay &lt;= 70m. Chuỗi đỡ đơn (bát cách điện) &lt;= 18</t>
  </si>
  <si>
    <t>03.04.607</t>
  </si>
  <si>
    <t>Thay chuỗi cách điện đỡ đơn cho dây dẫn, chiều cao thay &lt;= 70m. Chuỗi đỡ đơn (bát cách điện) &lt;= 21</t>
  </si>
  <si>
    <t>03.04.608</t>
  </si>
  <si>
    <t>Thay chuỗi cách điện đỡ đơn cho dây dẫn, chiều cao thay &lt;= 70m. Chuỗi đỡ đơn (bát cách điện) &gt; 21</t>
  </si>
  <si>
    <t>03.04.701</t>
  </si>
  <si>
    <t>Thay chuỗi cách điện đỡ đơn cho dây dẫn, chiều cao thay &lt;= 85m. Chuỗi đỡ đơn (bát cách điện) &lt;= 2</t>
  </si>
  <si>
    <t>03.04.702</t>
  </si>
  <si>
    <t>Thay chuỗi cách điện đỡ đơn cho dây dẫn, chiều cao thay &lt;= 85m. Chuỗi đỡ đơn (bát cách điện) &lt;= 5</t>
  </si>
  <si>
    <t>03.04.703</t>
  </si>
  <si>
    <t>Thay chuỗi cách điện đỡ đơn cho dây dẫn, chiều cao thay &lt;= 85m. Chuỗi đỡ đơn (bát cách điện) &lt;= 8</t>
  </si>
  <si>
    <t>03.04.704</t>
  </si>
  <si>
    <t>Thay chuỗi cách điện đỡ đơn cho dây dẫn, chiều cao thay &lt;= 85m. Chuỗi đỡ đơn (bát cách điện) &lt;= 11</t>
  </si>
  <si>
    <t>03.04.705</t>
  </si>
  <si>
    <t>Thay chuỗi cách điện đỡ đơn cho dây dẫn, chiều cao thay &lt;= 85m. Chuỗi đỡ đơn (bát cách điện) &lt;= 14</t>
  </si>
  <si>
    <t>03.04.706</t>
  </si>
  <si>
    <t>Thay chuỗi cách điện đỡ đơn cho dây dẫn, chiều cao thay &lt;= 85m. Chuỗi đỡ đơn (bát cách điện) &lt;= 18</t>
  </si>
  <si>
    <t>03.04.707</t>
  </si>
  <si>
    <t>Thay chuỗi cách điện đỡ đơn cho dây dẫn, chiều cao thay &lt;= 85m. Chuỗi đỡ đơn (bát cách điện) &lt;= 21</t>
  </si>
  <si>
    <t>03.04.708</t>
  </si>
  <si>
    <t>Thay chuỗi cách điện đỡ đơn cho dây dẫn, chiều cao thay &lt;= 85m. Chuỗi đỡ đơn (bát cách điện) &gt; 21</t>
  </si>
  <si>
    <t>03.04.801</t>
  </si>
  <si>
    <t>Thay chuỗi cách điện đỡ đơn cho dây dẫn, chiều cao thay &lt;= 100m. Chuỗi đỡ đơn (bát cách điện) &lt;= 2</t>
  </si>
  <si>
    <t>03.04.802</t>
  </si>
  <si>
    <t>Thay chuỗi cách điện đỡ đơn cho dây dẫn, chiều cao thay &lt;= 100m. Chuỗi đỡ đơn (bát cách điện) &lt;= 5</t>
  </si>
  <si>
    <t>03.04.803</t>
  </si>
  <si>
    <t>Thay chuỗi cách điện đỡ đơn cho dây dẫn, chiều cao thay &lt;= 100m. Chuỗi đỡ đơn (bát cách điện) &lt;= 8</t>
  </si>
  <si>
    <t>03.04.804</t>
  </si>
  <si>
    <t>Thay chuỗi cách điện đỡ đơn cho dây dẫn, chiều cao thay &lt;= 100m. Chuỗi đỡ đơn (bát cách điện) &lt;= 11</t>
  </si>
  <si>
    <t>03.04.805</t>
  </si>
  <si>
    <t>Thay chuỗi cách điện đỡ đơn cho dây dẫn, chiều cao thay &lt;= 100m. Chuỗi đỡ đơn (bát cách điện) &lt;= 14</t>
  </si>
  <si>
    <t>03.04.806</t>
  </si>
  <si>
    <t>Thay chuỗi cách điện đỡ đơn cho dây dẫn, chiều cao thay &lt;= 100m. Chuỗi đỡ đơn (bát cách điện) &lt;= 18</t>
  </si>
  <si>
    <t>03.04.807</t>
  </si>
  <si>
    <t>Thay chuỗi cách điện đỡ đơn cho dây dẫn, chiều cao thay &lt;= 100m. Chuỗi đỡ đơn (bát cách điện) &lt;= 21</t>
  </si>
  <si>
    <t>03.04.808</t>
  </si>
  <si>
    <t>Thay chuỗi cách điện đỡ đơn cho dây dẫn, chiều cao thay &lt;= 100m. Chuỗi đỡ đơn (bát cách điện) &gt; 21</t>
  </si>
  <si>
    <t>03.05.101</t>
  </si>
  <si>
    <t>Thay chuỗi cách điện đỡ kép cho dây dẫn. Chiều cao thay &lt;=20m. Chuỗi đỡ kép (bát cách điện) &lt;= 2x8</t>
  </si>
  <si>
    <t>03.05.102</t>
  </si>
  <si>
    <t>Thay chuỗi cách điện đỡ kép cho dây dẫn. Chiều cao thay &lt;=20m. Chuỗi đỡ kép (bát cách điện) &lt;= 2x11</t>
  </si>
  <si>
    <t>03.05.103</t>
  </si>
  <si>
    <t>Thay chuỗi cách điện đỡ kép cho dây dẫn. Chiều cao thay &lt;=20m. Chuỗi đỡ kép (bát cách điện) &lt;= 2x14</t>
  </si>
  <si>
    <t>03.05.104</t>
  </si>
  <si>
    <t>Thay chuỗi cách điện đỡ kép cho dây dẫn. Chiều cao thay &lt;=20m. Chuỗi đỡ kép (bát cách điện) &lt;= 2x18</t>
  </si>
  <si>
    <t>03.05.105</t>
  </si>
  <si>
    <t>Thay chuỗi cách điện đỡ kép cho dây dẫn. Chiều cao thay &lt;=20m. Chuỗi đỡ kép (bát cách điện) &lt;= 2x21</t>
  </si>
  <si>
    <t>03.05.106</t>
  </si>
  <si>
    <t>Thay chuỗi cách điện đỡ kép cho dây dẫn. Chiều cao thay &lt;=20m. Chuỗi đỡ kép (bát cách điện) &gt; 2x21</t>
  </si>
  <si>
    <t>03.05.201</t>
  </si>
  <si>
    <t>Thay chuỗi cách điện đỡ kép cho dây dẫn. Chiều cao thay &lt;=30m. Chuỗi đỡ kép (bát cách điện) &lt;= 2x8</t>
  </si>
  <si>
    <t>03.05.202</t>
  </si>
  <si>
    <t>Thay chuỗi cách điện đỡ kép cho dây dẫn. Chiều cao thay &lt;=30m. Chuỗi đỡ kép (bát cách điện) &lt;= 2x11</t>
  </si>
  <si>
    <t>03.05.203</t>
  </si>
  <si>
    <t>Thay chuỗi cách điện đỡ kép cho dây dẫn. Chiều cao thay &lt;=30m. Chuỗi đỡ kép (bát cách điện) &lt;= 2x14</t>
  </si>
  <si>
    <t>03.05.204</t>
  </si>
  <si>
    <t>Thay chuỗi cách điện đỡ kép cho dây dẫn. Chiều cao thay &lt;=30m. Chuỗi đỡ kép (bát cách điện) &lt;= 2x18</t>
  </si>
  <si>
    <t>03.05.205</t>
  </si>
  <si>
    <t>Thay chuỗi cách điện đỡ kép cho dây dẫn. Chiều cao thay &lt;=30m. Chuỗi đỡ kép (bát cách điện) &lt;= 2x21</t>
  </si>
  <si>
    <t>03.05.206</t>
  </si>
  <si>
    <t>Thay chuỗi cách điện đỡ kép cho dây dẫn. Chiều cao thay &lt;=30m. Chuỗi đỡ kép (bát cách điện) &gt; 2x21</t>
  </si>
  <si>
    <t>03.05.301</t>
  </si>
  <si>
    <t>Thay chuỗi cách điện đỡ kép cho dây dẫn. Chiều cao thay &lt;=40m. Chuỗi đỡ kép (bát cách điện) &lt;= 2x8</t>
  </si>
  <si>
    <t>03.05.302</t>
  </si>
  <si>
    <t>Thay chuỗi cách điện đỡ kép cho dây dẫn. Chiều cao thay &lt;=40m. Chuỗi đỡ kép (bát cách điện) &lt;= 2x11</t>
  </si>
  <si>
    <t>03.05.303</t>
  </si>
  <si>
    <t>Thay chuỗi cách điện đỡ kép cho dây dẫn. Chiều cao thay &lt;=40m. Chuỗi đỡ kép (bát cách điện) &lt;= 2x14</t>
  </si>
  <si>
    <t>03.05.304</t>
  </si>
  <si>
    <t>Thay chuỗi cách điện đỡ kép cho dây dẫn. Chiều cao thay &lt;=40m. Chuỗi đỡ kép (bát cách điện) &lt;= 2x18</t>
  </si>
  <si>
    <t>03.05.305</t>
  </si>
  <si>
    <t>Thay chuỗi cách điện đỡ kép cho dây dẫn. Chiều cao thay &lt;=40m. Chuỗi đỡ kép (bát cách điện) &lt;= 2x21</t>
  </si>
  <si>
    <t>03.05.306</t>
  </si>
  <si>
    <t>Thay chuỗi cách điện đỡ kép cho dây dẫn. Chiều cao thay &lt;=40m. Chuỗi đỡ kép (bát cách điện) &gt; 2x21</t>
  </si>
  <si>
    <t>03.05.401</t>
  </si>
  <si>
    <t>Thay chuỗi cách điện đỡ kép cho dây dẫn. Chiều cao thay &lt;=50m. Chuỗi đỡ kép (bát cách điện) &lt;= 2x8</t>
  </si>
  <si>
    <t>03.05.402</t>
  </si>
  <si>
    <t>Thay chuỗi cách điện đỡ kép cho dây dẫn. Chiều cao thay &lt;=50m. Chuỗi đỡ kép (bát cách điện) &lt;= 2x11</t>
  </si>
  <si>
    <t>03.05.403</t>
  </si>
  <si>
    <t>Thay chuỗi cách điện đỡ kép cho dây dẫn. Chiều cao thay &lt;=50m. Chuỗi đỡ kép (bát cách điện) &lt;= 2x14</t>
  </si>
  <si>
    <t>03.05.404</t>
  </si>
  <si>
    <t>Thay chuỗi cách điện đỡ kép cho dây dẫn. Chiều cao thay &lt;=50m. Chuỗi đỡ kép (bát cách điện) &lt;= 2x18</t>
  </si>
  <si>
    <t>03.05.405</t>
  </si>
  <si>
    <t>Thay chuỗi cách điện đỡ kép cho dây dẫn. Chiều cao thay &lt;=50m. Chuỗi đỡ kép (bát cách điện) &lt;= 2x21</t>
  </si>
  <si>
    <t>03.05.406</t>
  </si>
  <si>
    <t>Thay chuỗi cách điện đỡ kép cho dây dẫn. Chiều cao thay &lt;=50m. Chuỗi đỡ kép (bát cách điện) &gt; 2x21</t>
  </si>
  <si>
    <t>03.05.501</t>
  </si>
  <si>
    <t>Thay chuỗi cách điện đỡ kép cho dây dẫn. Chiều cao thay &lt;=60m. Chuỗi đỡ kép (bát cách điện) &lt;= 2x8</t>
  </si>
  <si>
    <t>03.05.502</t>
  </si>
  <si>
    <t>Thay chuỗi cách điện đỡ kép cho dây dẫn. Chiều cao thay &lt;=60m. Chuỗi đỡ kép (bát cách điện) &lt;= 2x11</t>
  </si>
  <si>
    <t>03.05.503</t>
  </si>
  <si>
    <t>Thay chuỗi cách điện đỡ kép cho dây dẫn. Chiều cao thay &lt;=60m. Chuỗi đỡ kép (bát cách điện) &lt;= 2x14</t>
  </si>
  <si>
    <t>03.05.504</t>
  </si>
  <si>
    <t>Thay chuỗi cách điện đỡ kép cho dây dẫn. Chiều cao thay &lt;=60m. Chuỗi đỡ kép (bát cách điện) &lt;= 2x18</t>
  </si>
  <si>
    <t>03.05.505</t>
  </si>
  <si>
    <t>Thay chuỗi cách điện đỡ kép cho dây dẫn. Chiều cao thay &lt;=60m. Chuỗi đỡ kép (bát cách điện) &lt;= 2x21</t>
  </si>
  <si>
    <t>03.05.506</t>
  </si>
  <si>
    <t>Thay chuỗi cách điện đỡ kép cho dây dẫn. Chiều cao thay &lt;=60m. Chuỗi đỡ kép (bát cách điện) &gt; 2x21</t>
  </si>
  <si>
    <t>03.05.601</t>
  </si>
  <si>
    <t>Thay chuỗi cách điện đỡ kép cho dây dẫn. Chiều cao thay &lt;=70m. Chuỗi đỡ kép (bát cách điện) &lt;= 2x8</t>
  </si>
  <si>
    <t>03.05.602</t>
  </si>
  <si>
    <t>Thay chuỗi cách điện đỡ kép cho dây dẫn. Chiều cao thay &lt;=70m. Chuỗi đỡ kép (bát cách điện) &lt;= 2x11</t>
  </si>
  <si>
    <t>03.05.603</t>
  </si>
  <si>
    <t>Thay chuỗi cách điện đỡ kép cho dây dẫn. Chiều cao thay &lt;=70m. Chuỗi đỡ kép (bát cách điện) &lt;= 2x14</t>
  </si>
  <si>
    <t>03.05.604</t>
  </si>
  <si>
    <t>Thay chuỗi cách điện đỡ kép cho dây dẫn. Chiều cao thay &lt;=70m. Chuỗi đỡ kép (bát cách điện) &lt;= 2x18</t>
  </si>
  <si>
    <t>03.05.605</t>
  </si>
  <si>
    <t>Thay chuỗi cách điện đỡ kép cho dây dẫn. Chiều cao thay &lt;=70m. Chuỗi đỡ kép (bát cách điện) &lt;= 2x21</t>
  </si>
  <si>
    <t>03.05.606</t>
  </si>
  <si>
    <t>Thay chuỗi cách điện đỡ kép cho dây dẫn. Chiều cao thay &lt;= 70m. Chuỗi đỡ kép (bát cách điện) &gt; 2x21</t>
  </si>
  <si>
    <t>03.05.701</t>
  </si>
  <si>
    <t>Thay chuỗi cách điện đỡ kép cho dây dẫn. Chiều cao thay &lt;=85m. Chuỗi đỡ kép (bát cách điện) &lt;= 2x8</t>
  </si>
  <si>
    <t>03.05.702</t>
  </si>
  <si>
    <t>Thay chuỗi cách điện đỡ kép cho dây dẫn. Chiều cao thay &lt;=85m. Chuỗi đỡ kép (bát cách điện) &lt;= 2x11</t>
  </si>
  <si>
    <t>03.05.703</t>
  </si>
  <si>
    <t>Thay chuỗi cách điện đỡ kép cho dây dẫn. Chiều cao thay &lt;=85m. Chuỗi đỡ kép (bát cách điện) &lt;= 2x14</t>
  </si>
  <si>
    <t>03.05.704</t>
  </si>
  <si>
    <t>Thay chuỗi cách điện đỡ kép cho dây dẫn. Chiều cao thay &lt;=85m. Chuỗi đỡ kép (bát cách điện) &lt;= 2x18</t>
  </si>
  <si>
    <t>03.05.705</t>
  </si>
  <si>
    <t>Thay chuỗi cách điện đỡ kép cho dây dẫn. Chiều cao thay &lt;=85m. Chuỗi đỡ kép (bát cách điện) &lt;= 2x21</t>
  </si>
  <si>
    <t>03.05.706</t>
  </si>
  <si>
    <t>Thay chuỗi cách điện đỡ kép cho dây dẫn. Chiều cao thay &lt;= 85m. Chuỗi đỡ kép (bát cách điện) &gt; 2x21</t>
  </si>
  <si>
    <t>03.05.801</t>
  </si>
  <si>
    <t>Thay chuỗi cách điện đỡ kép cho dây dẫn. Chiều cao thay &lt;=100m. Chuỗi đỡ kép (bát cách điện) &lt;= 2x8</t>
  </si>
  <si>
    <t>03.05.802</t>
  </si>
  <si>
    <t>Thay chuỗi cách điện đỡ kép cho dây dẫn. Chiều cao thay &lt;=100m. Chuỗi đỡ kép (bát cách điện) &lt;= 2x11</t>
  </si>
  <si>
    <t>03.05.803</t>
  </si>
  <si>
    <t>Thay chuỗi cách điện đỡ kép cho dây dẫn. Chiều cao thay &lt;=100m. Chuỗi đỡ kép (bát cách điện) &lt;= 2x14</t>
  </si>
  <si>
    <t>03.05.804</t>
  </si>
  <si>
    <t>Thay chuỗi cách điện đỡ kép cho dây dẫn. Chiều cao thay &lt;=100m. Chuỗi đỡ kép (bát cách điện) &lt;= 2x18</t>
  </si>
  <si>
    <t>03.05.805</t>
  </si>
  <si>
    <t>Thay chuỗi cách điện đỡ kép cho dây dẫn. Chiều cao thay &lt;=100m. Chuỗi đỡ kép (bát cách điện) &lt;= 2x21</t>
  </si>
  <si>
    <t>03.05.806</t>
  </si>
  <si>
    <t>Thay chuỗi cách điện đỡ kép cho dây dẫn. Chiều cao thay &lt;=100m. Chuỗi đỡ kép (bát cách điện) &gt; 2x21</t>
  </si>
  <si>
    <t>03.06.101</t>
  </si>
  <si>
    <t>Thay chuỗi cách điện đỡ hình V cho dây dẫn. Chiều cao thay &lt;= 20m. Chuỗi cách điện đỡ hình V (bát cách điện) &lt;= 2x8</t>
  </si>
  <si>
    <t>03.06.102</t>
  </si>
  <si>
    <t>Thay chuỗi cách điện đỡ hình V cho dây dẫn. Chiều cao thay &lt;= 20m. Chuỗi cách điện đỡ hình V (bát cách điện) &lt;= 2x11</t>
  </si>
  <si>
    <t>03.06.103</t>
  </si>
  <si>
    <t>Thay chuỗi cách điện đỡ hình V cho dây dẫn. Chiều cao thay &lt;= 20m. Chuỗi cách điện đỡ hình V (bát cách điện) &lt;= 2x14</t>
  </si>
  <si>
    <t>03.06.104</t>
  </si>
  <si>
    <t>Thay chuỗi cách điện đỡ hình V cho dây dẫn. Chiều cao thay &lt;= 20m. Chuỗi cách điện đỡ hình V (bát cách điện) &lt;= 2x18</t>
  </si>
  <si>
    <t>03.06.105</t>
  </si>
  <si>
    <t>Thay chuỗi cách điện đỡ hình V cho dây dẫn. Chiều cao thay &lt;= 20m. Chuỗi cách điện đỡ hình V (bát cách điện) &lt;= 2x21</t>
  </si>
  <si>
    <t>03.06.106</t>
  </si>
  <si>
    <t>Thay chuỗi cách điện đỡ hình V cho dây dẫn. Chiều cao thay &lt;= 20m. Chuỗi cách điện đỡ hình V (bát cách điện) &gt; 2x21</t>
  </si>
  <si>
    <t>03.06.201</t>
  </si>
  <si>
    <t>Thay chuỗi cách điện đỡ hình V cho dây dẫn. Chiều cao thay &lt;= 30m. Chuỗi cách điện đỡ hình V (bát cách điện) &lt;= 2x8</t>
  </si>
  <si>
    <t>03.06.202</t>
  </si>
  <si>
    <t>Thay chuỗi cách điện đỡ hình V cho dây dẫn. Chiều cao thay &lt;= 30m. Chuỗi cách điện đỡ hình V (bát cách điện) &lt;= 2x11</t>
  </si>
  <si>
    <t>03.06.203</t>
  </si>
  <si>
    <t>Thay chuỗi cách điện đỡ hình V cho dây dẫn. Chiều cao thay &lt;= 30m. Chuỗi cách điện đỡ hình V (bát cách điện) &lt;= 2x14</t>
  </si>
  <si>
    <t>03.06.204</t>
  </si>
  <si>
    <t>Thay chuỗi cách điện đỡ hình V cho dây dẫn. Chiều cao thay &lt;= 30m. Chuỗi cách điện đỡ hình V (bát cách điện) &lt;= 2x18</t>
  </si>
  <si>
    <t>03.06.205</t>
  </si>
  <si>
    <t>Thay chuỗi cách điện đỡ hình V cho dây dẫn. Chiều cao thay &lt;= 30m. Chuỗi cách điện đỡ hình V (bát cách điện) &lt;= 2x21</t>
  </si>
  <si>
    <t>03.06.206</t>
  </si>
  <si>
    <t>Thay chuỗi cách điện đỡ hình V cho dây dẫn. Chiều cao thay &lt;= 30m. Chuỗi cách điện đỡ hình V (bát cách điện) &gt; 2x21</t>
  </si>
  <si>
    <t>03.06.301</t>
  </si>
  <si>
    <t>Thay chuỗi cách điện đỡ hình V cho dây dẫn. Chiều cao thay &lt;= 40m. Chuỗi cách điện đỡ hình V (bát cách điện) &lt;= 2x8</t>
  </si>
  <si>
    <t>03.06.302</t>
  </si>
  <si>
    <t>Thay chuỗi cách điện đỡ hình V cho dây dẫn. Chiều cao thay &lt;= 40m. Chuỗi cách điện đỡ hình V (bát cách điện) &lt;= 2x11</t>
  </si>
  <si>
    <t>03.06.303</t>
  </si>
  <si>
    <t>Thay chuỗi cách điện đỡ hình V cho dây dẫn. Chiều cao thay &lt;= 40m. Chuỗi cách điện đỡ hình V (bát cách điện) &lt;= 2x14</t>
  </si>
  <si>
    <t>03.06.304</t>
  </si>
  <si>
    <t>Thay chuỗi cách điện đỡ hình V cho dây dẫn. Chiều cao thay &lt;= 40m. Chuỗi cách điện đỡ hình V (bát cách điện) &lt;= 2x18</t>
  </si>
  <si>
    <t>03.06.305</t>
  </si>
  <si>
    <t>Thay chuỗi cách điện đỡ hình V cho dây dẫn. Chiều cao thay &lt;= 40m. Chuỗi cách điện đỡ hình V (bát cách điện) &lt;= 2x21</t>
  </si>
  <si>
    <t>03.06.306</t>
  </si>
  <si>
    <t>Thay chuỗi cách điện đỡ hình V cho dây dẫn. Chiều cao thay &lt;= 40m. Chuỗi cách điện đỡ hình V (bát cách điện) &gt; 2x21</t>
  </si>
  <si>
    <t>03.06.401</t>
  </si>
  <si>
    <t>Thay chuỗi cách điện đỡ hình V cho dây dẫn. Chiều cao thay &lt;= 50m. Chuỗi cách điện đỡ hình V (bát cách điện) &lt;= 2x8</t>
  </si>
  <si>
    <t>03.06.402</t>
  </si>
  <si>
    <t>Thay chuỗi cách điện đỡ hình V cho dây dẫn. Chiều cao thay &lt;= 50m. Chuỗi cách điện đỡ hình V (bát cách điện) &lt;= 2x11</t>
  </si>
  <si>
    <t>03.06.403</t>
  </si>
  <si>
    <t>Thay chuỗi cách điện đỡ hình V cho dây dẫn. Chiều cao thay &lt;= 50m. Chuỗi cách điện đỡ hình V (bát cách điện) &lt;= 2x14</t>
  </si>
  <si>
    <t>03.06.404</t>
  </si>
  <si>
    <t>Thay chuỗi cách điện đỡ hình V cho dây dẫn. Chiều cao thay &lt;= 50m. Chuỗi cách điện đỡ hình V (bát cách điện) &lt;= 2x18</t>
  </si>
  <si>
    <t>03.06.405</t>
  </si>
  <si>
    <t>Thay chuỗi cách điện đỡ hình V cho dây dẫn. Chiều cao thay &lt;= 50m. Chuỗi cách điện đỡ hình V (bát cách điện) &lt;= 2x21</t>
  </si>
  <si>
    <t>03.06.406</t>
  </si>
  <si>
    <t>Thay chuỗi cách điện đỡ hình V cho dây dẫn. Chiều cao thay &lt;= 50m. Chuỗi cách điện đỡ hình V (bát cách điện) &gt; 2x21</t>
  </si>
  <si>
    <t>03.06.501</t>
  </si>
  <si>
    <t>Thay chuỗi cách điện đỡ hình V cho dây dẫn. Chiều cao thay &lt;= 60m. Chuỗi cách điện đỡ hình V (bát cách điện) &lt;= 2x8</t>
  </si>
  <si>
    <t>03.06.502</t>
  </si>
  <si>
    <t>Thay chuỗi cách điện đỡ hình V cho dây dẫn. Chiều cao thay &lt;= 60m. Chuỗi cách điện đỡ hình V (bát cách điện) &lt;= 2x11</t>
  </si>
  <si>
    <t>03.06.503</t>
  </si>
  <si>
    <t>Thay chuỗi cách điện đỡ hình V cho dây dẫn. Chiều cao thay &lt;= 60m. Chuỗi cách điện đỡ hình V (bát cách điện) &lt;= 2x14</t>
  </si>
  <si>
    <t>03.06.504</t>
  </si>
  <si>
    <t>Thay chuỗi cách điện đỡ hình V cho dây dẫn. Chiều cao thay &lt;= 60m. Chuỗi cách điện đỡ hình V (bát cách điện) &lt;= 2x18</t>
  </si>
  <si>
    <t>03.06.505</t>
  </si>
  <si>
    <t>Thay chuỗi cách điện đỡ hình V cho dây dẫn. Chiều cao thay &lt;= 60m. Chuỗi cách điện đỡ hình V (bát cách điện) &lt;= 2x21</t>
  </si>
  <si>
    <t>03.06.506</t>
  </si>
  <si>
    <t>Thay chuỗi cách điện đỡ hình V cho dây dẫn. Chiều cao thay &lt;= 60m. Chuỗi cách điện đỡ hình V (bát cách điện) &gt; 2x21</t>
  </si>
  <si>
    <t>03.06.601</t>
  </si>
  <si>
    <t>Thay chuỗi cách điện đỡ hình V cho dây dẫn. Chiều cao thay &lt;= 70m. Chuỗi cách điện đỡ hình V (bát cách điện) &lt;= 2x8</t>
  </si>
  <si>
    <t>03.06.602</t>
  </si>
  <si>
    <t>Thay chuỗi cách điện đỡ hình V cho dây dẫn. Chiều cao thay &lt;= 70m. Chuỗi cách điện đỡ hình V (bát cách điện) &lt;= 2x11</t>
  </si>
  <si>
    <t>03.06.603</t>
  </si>
  <si>
    <t>Thay chuỗi cách điện đỡ hình V cho dây dẫn. Chiều cao thay &lt;= 70m. Chuỗi cách điện đỡ hình V (bát cách điện) &lt;= 2x14</t>
  </si>
  <si>
    <t>03.06.604</t>
  </si>
  <si>
    <t>Thay chuỗi cách điện đỡ hình V cho dây dẫn. Chiều cao thay &lt;= 70m. Chuỗi cách điện đỡ hình V (bát cách điện) &lt;= 2x18</t>
  </si>
  <si>
    <t>03.06.605</t>
  </si>
  <si>
    <t>Thay chuỗi cách điện đỡ hình V cho dây dẫn. Chiều cao thay &lt;= 70m. Chuỗi cách điện đỡ hình V (bát cách điện) &lt;= 2x21</t>
  </si>
  <si>
    <t>03.06.606</t>
  </si>
  <si>
    <t>Thay chuỗi cách điện đỡ hình V cho dây dẫn. Chiều cao thay &lt;= 70m. Chuỗi cách điện đỡ hình V (bát cách điện) &gt; 2x21</t>
  </si>
  <si>
    <t>03.06.701</t>
  </si>
  <si>
    <t>Thay chuỗi cách điện đỡ hình V cho dây dẫn. Chiều cao thay &lt;= 85m. Chuỗi cách điện đỡ hình V (bát cách điện) &lt;= 2x8</t>
  </si>
  <si>
    <t>03.06.702</t>
  </si>
  <si>
    <t>Thay chuỗi cách điện đỡ hình V cho dây dẫn. Chiều cao thay &lt;= 85m. Chuỗi cách điện đỡ hình V (bát cách điện) &lt;= 2x11</t>
  </si>
  <si>
    <t>03.06.703</t>
  </si>
  <si>
    <t>Thay chuỗi cách điện đỡ hình V cho dây dẫn. Chiều cao thay &lt;= 85m. Chuỗi cách điện đỡ hình V (bát cách điện) &lt;= 2x14</t>
  </si>
  <si>
    <t>03.06.704</t>
  </si>
  <si>
    <t>Thay chuỗi cách điện đỡ hình V cho dây dẫn. Chiều cao thay &lt;= 85m. Chuỗi cách điện đỡ hình V (bát cách điện) &lt;= 2x18</t>
  </si>
  <si>
    <t>03.06.705</t>
  </si>
  <si>
    <t>Thay chuỗi cách điện đỡ hình V cho dây dẫn. Chiều cao thay &lt;= 85m. Chuỗi cách điện đỡ hình V (bát cách điện) &lt;= 2x21</t>
  </si>
  <si>
    <t>03.06.706</t>
  </si>
  <si>
    <t>Thay chuỗi cách điện đỡ hình V cho dây dẫn. Chiều cao thay &lt;= 85m. Chuỗi cách điện đỡ hình V (bát cách điện) &gt; 2x21</t>
  </si>
  <si>
    <t>03.06.801</t>
  </si>
  <si>
    <t>Thay chuỗi cách điện đỡ hình V cho dây dẫn. Chiều cao thay &lt;= 100m. Chuỗi cách điện đỡ hình V (bát cách điện) &lt;= 2x8</t>
  </si>
  <si>
    <t>03.06.802</t>
  </si>
  <si>
    <t>Thay chuỗi cách điện đỡ hình V cho dây dẫn. Chiều cao thay &lt;= 100m. Chuỗi cách điện đỡ hình V (bát cách điện) &lt;= 2x11</t>
  </si>
  <si>
    <t>03.06.803</t>
  </si>
  <si>
    <t>Thay chuỗi cách điện đỡ hình V cho dây dẫn. Chiều cao thay &lt;= 100m. Chuỗi cách điện đỡ hình V (bát cách điện) &lt;= 2x14</t>
  </si>
  <si>
    <t>03.06.804</t>
  </si>
  <si>
    <t>Thay chuỗi cách điện đỡ hình V cho dây dẫn. Chiều cao thay &lt;= 100m. Chuỗi cách điện đỡ hình V (bát cách điện) &lt;= 2x18</t>
  </si>
  <si>
    <t>03.06.805</t>
  </si>
  <si>
    <t>Thay chuỗi cách điện đỡ hình V cho dây dẫn. Chiều cao thay &lt;= 100m. Chuỗi cách điện đỡ hình V (bát cách điện) &lt;= 2x21</t>
  </si>
  <si>
    <t>03.06.806</t>
  </si>
  <si>
    <t>Thay chuỗi cách điện đỡ hình V cho dây dẫn. Chiều cao thay &lt;= 100m. Chuỗi cách điện đỡ hình V (bát cách điện) &gt; 2x21</t>
  </si>
  <si>
    <t>03.07.101</t>
  </si>
  <si>
    <t>Thay chuỗi cách điện néo đơn cho dây dẫn. Chiều cao thay &lt;= 20m. Chuỗi cách điện néo đơn (bát cách điện) &lt;= 2</t>
  </si>
  <si>
    <t>03.07.102</t>
  </si>
  <si>
    <t>Thay chuỗi cách điện néo đơn cho dây dẫn. Chiều cao thay &lt;= 20m. Chuỗi cách điện néo đơn (bát cách điện) &lt;= 5</t>
  </si>
  <si>
    <t>03.07.103</t>
  </si>
  <si>
    <t>Thay chuỗi cách điện néo đơn cho dây dẫn. Chiều cao thay &lt;= 20m. Chuỗi cách điện néo đơn (bát cách điện) &lt;= 8</t>
  </si>
  <si>
    <t>03.07.104</t>
  </si>
  <si>
    <t>Thay chuỗi cách điện néo đơn cho dây dẫn. Chiều cao thay &lt;= 20m. Chuỗi cách điện néo đơn (bát cách điện) &lt;= 11</t>
  </si>
  <si>
    <t>03.07.105</t>
  </si>
  <si>
    <t>Thay chuỗi cách điện néo đơn cho dây dẫn. Chiều cao thay &lt;= 20m. Chuỗi cách điện néo đơn (bát cách điện) &lt;= 14</t>
  </si>
  <si>
    <t>03.07.106</t>
  </si>
  <si>
    <t>Thay chuỗi cách điện néo đơn cho dây dẫn. Chiều cao thay &lt;= 20m. Chuỗi cách điện néo đơn (bát cách điện) &lt;= 18</t>
  </si>
  <si>
    <t>03.07.107</t>
  </si>
  <si>
    <t>Thay chuỗi cách điện néo đơn cho dây dẫn. Chiều cao thay &lt;= 20m. Chuỗi cách điện néo đơn (bát cách điện) &lt;= 21</t>
  </si>
  <si>
    <t>03.07.108</t>
  </si>
  <si>
    <t>Thay chuỗi cách điện néo đơn cho dây dẫn. Chiều cao thay &lt;= 20m. Chuỗi cách điện néo đơn (bát cách điện) &gt; 21</t>
  </si>
  <si>
    <t>03.07.201</t>
  </si>
  <si>
    <t>Thay chuỗi cách điện néo đơn cho dây dẫn. Chiều cao thay &lt;= 30m. Chuỗi cách điện néo đơn (bát cách điện) &lt;= 2</t>
  </si>
  <si>
    <t>03.07.202</t>
  </si>
  <si>
    <t>Thay chuỗi cách điện néo đơn cho dây dẫn. Chiều cao thay &lt;= 30m. Chuỗi cách điện néo đơn (bát cách điện) &lt;= 5</t>
  </si>
  <si>
    <t>03.07.203</t>
  </si>
  <si>
    <t>Thay chuỗi cách điện néo đơn cho dây dẫn. Chiều cao thay &lt;= 30m. Chuỗi cách điện néo đơn (bát cách điện) &lt;= 8</t>
  </si>
  <si>
    <t>03.07.204</t>
  </si>
  <si>
    <t>Thay chuỗi cách điện néo đơn cho dây dẫn. Chiều cao thay &lt;= 30m. Chuỗi cách điện néo đơn (bát cách điện) &lt;= 11</t>
  </si>
  <si>
    <t>03.07.205</t>
  </si>
  <si>
    <t>Thay chuỗi cách điện néo đơn cho dây dẫn. Chiều cao thay &lt;= 30m. Chuỗi cách điện néo đơn (bát cách điện) &lt;= 14</t>
  </si>
  <si>
    <t>03.07.206</t>
  </si>
  <si>
    <t>Thay chuỗi cách điện néo đơn cho dây dẫn. Chiều cao thay &lt;= 30m. Chuỗi cách điện néo đơn (bát cách điện) &lt;= 18</t>
  </si>
  <si>
    <t>03.07.207</t>
  </si>
  <si>
    <t>Thay chuỗi cách điện néo đơn cho dây dẫn. Chiều cao thay &lt;= 30m. Chuỗi cách điện néo đơn (bát cách điện) &lt;= 21</t>
  </si>
  <si>
    <t>03.07.208</t>
  </si>
  <si>
    <t>Thay chuỗi cách điện néo đơn cho dây dẫn. Chiều cao thay &lt;= 30m. Chuỗi cách điện néo đơn (bát cách điện) &gt; 21</t>
  </si>
  <si>
    <t>03.07.301</t>
  </si>
  <si>
    <t>Thay chuỗi cách điện néo đơn cho dây dẫn. Chiều cao thay &lt;= 40m. Chuỗi cách điện néo đơn (bát cách điện) &lt;= 2</t>
  </si>
  <si>
    <t>03.07.302</t>
  </si>
  <si>
    <t>Thay chuỗi cách điện néo đơn cho dây dẫn. Chiều cao thay &lt;= 40m. Chuỗi cách điện néo đơn (bát cách điện) &lt;= 5</t>
  </si>
  <si>
    <t>03.07.303</t>
  </si>
  <si>
    <t>Thay chuỗi cách điện néo đơn cho dây dẫn. Chiều cao thay &lt;= 40m. Chuỗi cách điện néo đơn (bát cách điện) &lt;= 8</t>
  </si>
  <si>
    <t>03.07.304</t>
  </si>
  <si>
    <t>Thay chuỗi cách điện néo đơn cho dây dẫn. Chiều cao thay &lt;= 40m. Chuỗi cách điện néo đơn (bát cách điện) &lt;= 11</t>
  </si>
  <si>
    <t>03.07.305</t>
  </si>
  <si>
    <t>Thay chuỗi cách điện néo đơn cho dây dẫn. Chiều cao thay &lt;= 40m. Chuỗi cách điện néo đơn (bát cách điện) &lt;= 14</t>
  </si>
  <si>
    <t>03.07.306</t>
  </si>
  <si>
    <t>Thay chuỗi cách điện néo đơn cho dây dẫn. Chiều cao thay &lt;= 40m. Chuỗi cách điện néo đơn (bát cách điện) &lt;= 18</t>
  </si>
  <si>
    <t>03.07.307</t>
  </si>
  <si>
    <t>Thay chuỗi cách điện néo đơn cho dây dẫn. Chiều cao thay &lt;= 40m. Chuỗi cách điện néo đơn (bát cách điện) &lt;= 21</t>
  </si>
  <si>
    <t>03.07.308</t>
  </si>
  <si>
    <t>Thay chuỗi cách điện néo đơn cho dây dẫn. Chiều cao thay &lt;= 40m. Chuỗi cách điện néo đơn (bát cách điện) &gt; 21</t>
  </si>
  <si>
    <t>03.07.401</t>
  </si>
  <si>
    <t>Thay chuỗi cách điện néo đơn cho dây dẫn. Chiều cao thay &lt;= 50m. Chuỗi cách điện néo đơn (bát cách điện) &lt;= 2</t>
  </si>
  <si>
    <t>03.07.402</t>
  </si>
  <si>
    <t>Thay chuỗi cách điện néo đơn cho dây dẫn. Chiều cao thay &lt;= 50m. Chuỗi cách điện néo đơn (bát cách điện) &lt;= 5</t>
  </si>
  <si>
    <t>03.07.403</t>
  </si>
  <si>
    <t>Thay chuỗi cách điện néo đơn cho dây dẫn. Chiều cao thay &lt;= 50m. Chuỗi cách điện néo đơn (bát cách điện) &lt;= 8</t>
  </si>
  <si>
    <t>03.07.404</t>
  </si>
  <si>
    <t>Thay chuỗi cách điện néo đơn cho dây dẫn. Chiều cao thay &lt;= 50m. Chuỗi cách điện néo đơn (bát cách điện) &lt;= 11</t>
  </si>
  <si>
    <t>03.07.405</t>
  </si>
  <si>
    <t>Thay chuỗi cách điện néo đơn cho dây dẫn. Chiều cao thay &lt;= 50m. Chuỗi cách điện néo đơn (bát cách điện) &lt;= 14</t>
  </si>
  <si>
    <t>03.07.406</t>
  </si>
  <si>
    <t>Thay chuỗi cách điện néo đơn cho dây dẫn. Chiều cao thay &lt;= 50m. Chuỗi cách điện néo đơn (bát cách điện) &lt;= 18</t>
  </si>
  <si>
    <t>03.07.407</t>
  </si>
  <si>
    <t>Thay chuỗi cách điện néo đơn cho dây dẫn. Chiều cao thay &lt;= 50m. Chuỗi cách điện néo đơn (bát cách điện) &lt;= 21</t>
  </si>
  <si>
    <t>03.07.408</t>
  </si>
  <si>
    <t>Thay chuỗi cách điện néo đơn cho dây dẫn. Chiều cao thay &lt;= 50m. Chuỗi cách điện néo đơn (bát cách điện) &gt; 21</t>
  </si>
  <si>
    <t>03.07.501</t>
  </si>
  <si>
    <t>Thay chuỗi cách điện néo đơn cho dây dẫn. Chiều cao thay &lt;= 60m. Chuỗi cách điện néo đơn (bát cách điện) &lt;= 2</t>
  </si>
  <si>
    <t>03.07.502</t>
  </si>
  <si>
    <t>Thay chuỗi cách điện néo đơn cho dây dẫn. Chiều cao thay &lt;= 60m. Chuỗi cách điện néo đơn (bát cách điện) &lt;= 5</t>
  </si>
  <si>
    <t>03.07.503</t>
  </si>
  <si>
    <t>Thay chuỗi cách điện néo đơn cho dây dẫn. Chiều cao thay &lt;= 60m. Chuỗi cách điện néo đơn (bát cách điện) &lt;= 8</t>
  </si>
  <si>
    <t>03.07.504</t>
  </si>
  <si>
    <t>Thay chuỗi cách điện néo đơn cho dây dẫn. Chiều cao thay &lt;= 60m. Chuỗi cách điện néo đơn (bát cách điện) &lt;= 11</t>
  </si>
  <si>
    <t>03.07.505</t>
  </si>
  <si>
    <t>Thay chuỗi cách điện néo đơn cho dây dẫn. Chiều cao thay &lt;= 60m. Chuỗi cách điện néo đơn (bát cách điện) &lt;= 14</t>
  </si>
  <si>
    <t>03.07.506</t>
  </si>
  <si>
    <t>Thay chuỗi cách điện néo đơn cho dây dẫn. Chiều cao thay &lt;= 60m. Chuỗi cách điện néo đơn (bát cách điện) &lt;= 18</t>
  </si>
  <si>
    <t>03.07.507</t>
  </si>
  <si>
    <t>Thay chuỗi cách điện néo đơn cho dây dẫn. Chiều cao thay &lt;= 60m. Chuỗi cách điện néo đơn (bát cách điện) &lt;= 21</t>
  </si>
  <si>
    <t>03.07.508</t>
  </si>
  <si>
    <t>Thay chuỗi cách điện néo đơn cho dây dẫn. Chiều cao thay &lt;= 60m. Chuỗi cách điện néo đơn (bát cách điện) &gt; 21</t>
  </si>
  <si>
    <t>03.07.601</t>
  </si>
  <si>
    <t>Thay chuỗi cách điện néo đơn cho dây dẫn. Chiều cao thay &lt;= 70m. Chuỗi cách điện néo đơn (bát cách điện) &lt;= 2</t>
  </si>
  <si>
    <t>03.07.602</t>
  </si>
  <si>
    <t>Thay chuỗi cách điện néo đơn cho dây dẫn. Chiều cao thay &lt;= 70m. Chuỗi cách điện néo đơn (bát cách điện) &lt;= 5</t>
  </si>
  <si>
    <t>03.07.603</t>
  </si>
  <si>
    <t>Thay chuỗi cách điện néo đơn cho dây dẫn. Chiều cao thay &lt;= 70m. Chuỗi cách điện néo đơn (bát cách điện) &lt;= 8</t>
  </si>
  <si>
    <t>03.07.604</t>
  </si>
  <si>
    <t>Thay chuỗi cách điện néo đơn cho dây dẫn. Chiều cao thay &lt;= 70m. Chuỗi cách điện néo đơn (bát cách điện) &lt;= 11</t>
  </si>
  <si>
    <t>03.07.605</t>
  </si>
  <si>
    <t>Thay chuỗi cách điện néo đơn cho dây dẫn. Chiều cao thay &lt;= 70m. Chuỗi cách điện néo đơn (bát cách điện) &lt;= 14</t>
  </si>
  <si>
    <t>03.07.606</t>
  </si>
  <si>
    <t>Thay chuỗi cách điện néo đơn cho dây dẫn. Chiều cao thay &lt;= 70m. Chuỗi cách điện néo đơn (bát cách điện) &lt;= 18</t>
  </si>
  <si>
    <t>03.07.607</t>
  </si>
  <si>
    <t>Thay chuỗi cách điện néo đơn cho dây dẫn. Chiều cao thay &lt;= 70m. Chuỗi cách điện néo đơn (bát cách điện) &lt;= 21</t>
  </si>
  <si>
    <t>03.07.608</t>
  </si>
  <si>
    <t>Thay chuỗi cách điện néo đơn cho dây dẫn. Chiều cao thay &lt;= 70m. Chuỗi cách điện néo đơn (bát cách điện) &gt; 21</t>
  </si>
  <si>
    <t>03.07.701</t>
  </si>
  <si>
    <t>Thay chuỗi cách điện néo đơn cho dây dẫn. Chiều cao thay &lt;= 85m. Chuỗi cách điện néo đơn (bát cách điện) &lt;= 2</t>
  </si>
  <si>
    <t>03.07.702</t>
  </si>
  <si>
    <t>Thay chuỗi cách điện néo đơn cho dây dẫn. Chiều cao thay &lt;= 85m. Chuỗi cách điện néo đơn (bát cách điện) &lt;= 5</t>
  </si>
  <si>
    <t>03.07.703</t>
  </si>
  <si>
    <t>Thay chuỗi cách điện néo đơn cho dây dẫn. Chiều cao thay &lt;= 85m. Chuỗi cách điện néo đơn (bát cách điện) &lt;= 8</t>
  </si>
  <si>
    <t>03.07.704</t>
  </si>
  <si>
    <t>Thay chuỗi cách điện néo đơn cho dây dẫn. Chiều cao thay &lt;= 85m. Chuỗi cách điện néo đơn (bát cách điện) &lt;= 11</t>
  </si>
  <si>
    <t>03.07.705</t>
  </si>
  <si>
    <t>Thay chuỗi cách điện néo đơn cho dây dẫn. Chiều cao thay &lt;= 85m. Chuỗi cách điện néo đơn (bát cách điện) &lt;= 14</t>
  </si>
  <si>
    <t>03.07.706</t>
  </si>
  <si>
    <t>Thay chuỗi cách điện néo đơn cho dây dẫn. Chiều cao thay &lt;= 85m. Chuỗi cách điện néo đơn (bát cách điện) &lt;= 18</t>
  </si>
  <si>
    <t>03.07.707</t>
  </si>
  <si>
    <t>Thay chuỗi cách điện néo đơn cho dây dẫn. Chiều cao thay &lt;= 85m. Chuỗi cách điện néo đơn (bát cách điện) &lt;= 21</t>
  </si>
  <si>
    <t>03.07.708</t>
  </si>
  <si>
    <t>Thay chuỗi cách điện néo đơn cho dây dẫn. Chiều cao thay &lt;= 85m. Chuỗi cách điện néo đơn (bát cách điện) &gt; 21</t>
  </si>
  <si>
    <t>03.07.801</t>
  </si>
  <si>
    <t>Thay chuỗi cách điện néo đơn cho dây dẫn. Chiều cao thay &lt;= 100m. Chuỗi cách điện néo đơn (bát cách điện) &lt;= 2</t>
  </si>
  <si>
    <t>03.07.802</t>
  </si>
  <si>
    <t>Thay chuỗi cách điện néo đơn cho dây dẫn. Chiều cao thay &lt;= 100m. Chuỗi cách điện néo đơn (bát cách điện) &lt;= 5</t>
  </si>
  <si>
    <t>03.07.803</t>
  </si>
  <si>
    <t>Thay chuỗi cách điện néo đơn cho dây dẫn. Chiều cao thay &lt;= 100m. Chuỗi cách điện néo đơn (bát cách điện) &lt;= 8</t>
  </si>
  <si>
    <t>03.07.804</t>
  </si>
  <si>
    <t>Thay chuỗi cách điện néo đơn cho dây dẫn. Chiều cao thay &lt;= 100m. Chuỗi cách điện néo đơn (bát cách điện) &lt;= 11</t>
  </si>
  <si>
    <t>03.07.805</t>
  </si>
  <si>
    <t>Thay chuỗi cách điện néo đơn cho dây dẫn. Chiều cao thay &lt;= 100m. Chuỗi cách điện néo đơn (bát cách điện) &lt;= 14</t>
  </si>
  <si>
    <t>03.07.806</t>
  </si>
  <si>
    <t>Thay chuỗi cách điện néo đơn cho dây dẫn. Chiều cao thay &lt;= 100m. Chuỗi cách điện néo đơn (bát cách điện) &lt;= 18</t>
  </si>
  <si>
    <t>03.07.807</t>
  </si>
  <si>
    <t>Thay chuỗi cách điện néo đơn cho dây dẫn. Chiều cao thay &lt;= 100m. Chuỗi cách điện néo đơn (bát cách điện) &lt;= 21</t>
  </si>
  <si>
    <t>03.07.808</t>
  </si>
  <si>
    <t>Thay chuỗi cách điện néo đơn cho dây dẫn. Chiều cao thay &lt;= 100m. Chuỗi cách điện néo đơn (bát cách điện) &gt; 21</t>
  </si>
  <si>
    <t>03.08.101</t>
  </si>
  <si>
    <t>Thay chuỗi cách điện néo kép cho dây dẫn. Chiều cao thay &lt;= 20m. Chuỗi cách điện néo kép (bát cách điện) &lt;= 2x2</t>
  </si>
  <si>
    <t>03.08.102</t>
  </si>
  <si>
    <t>Thay chuỗi cách điện néo kép cho dây dẫn. Chiều cao thay &lt;= 20m. Chuỗi cách điện néo kép (bát cách điện) &lt;= 2x5</t>
  </si>
  <si>
    <t>03.08.103</t>
  </si>
  <si>
    <t>Thay chuỗi cách điện néo kép cho dây dẫn. Chiều cao thay &lt;= 20m. Chuỗi cách điện néo kép (bát cách điện) &lt;= 2x8</t>
  </si>
  <si>
    <t>03.08.104</t>
  </si>
  <si>
    <t>Thay chuỗi cách điện néo kép cho dây dẫn. Chiều cao thay &lt;= 20m. Chuỗi cách điện néo kép (bát cách điện) &lt;= 2x11</t>
  </si>
  <si>
    <t>03.08.105</t>
  </si>
  <si>
    <t>Thay chuỗi cách điện néo kép cho dây dẫn. Chiều cao thay &lt;= 20m. Chuỗi cách điện néo kép (bát cách điện) &lt;= 2x14</t>
  </si>
  <si>
    <t>03.08.106</t>
  </si>
  <si>
    <t>Thay chuỗi cách điện néo kép cho dây dẫn. Chiều cao thay &lt;= 20m. Chuỗi cách điện néo kép (bát cách điện) &lt;= 2x18</t>
  </si>
  <si>
    <t>03.08.107</t>
  </si>
  <si>
    <t>Thay chuỗi cách điện néo kép cho dây dẫn. Chiều cao thay &lt;= 20m. Chuỗi cách điện néo kép (bát cách điện) &lt;= 2x21</t>
  </si>
  <si>
    <t>03.08.108</t>
  </si>
  <si>
    <t>Thay chuỗi cách điện néo kép cho dây dẫn. Chiều cao thay &lt;= 20m. Chuỗi cách điện néo kép (bát cách điện) &gt; 2x21</t>
  </si>
  <si>
    <t>03.08.201</t>
  </si>
  <si>
    <t>Thay chuỗi cách điện néo kép cho dây dẫn. Chiều cao thay &lt;= 30m. Chuỗi cách điện néo kép (bát cách điện) &lt;= 2x2</t>
  </si>
  <si>
    <t>03.08.202</t>
  </si>
  <si>
    <t>Thay chuỗi cách điện néo kép cho dây dẫn. Chiều cao thay &lt;= 30m. Chuỗi cách điện néo kép (bát cách điện) &lt;= 2x5</t>
  </si>
  <si>
    <t>03.08.203</t>
  </si>
  <si>
    <t>Thay chuỗi cách điện néo kép cho dây dẫn. Chiều cao thay &lt;= 30m. Chuỗi cách điện néo kép (bát cách điện) &lt;= 2x8</t>
  </si>
  <si>
    <t>03.08.204</t>
  </si>
  <si>
    <t>Thay chuỗi cách điện néo kép cho dây dẫn. Chiều cao thay &lt;= 30m. Chuỗi cách điện néo kép (bát cách điện) &lt;= 2x11</t>
  </si>
  <si>
    <t>03.08.205</t>
  </si>
  <si>
    <t>Thay chuỗi cách điện néo kép cho dây dẫn. Chiều cao thay &lt;= 30m. Chuỗi cách điện néo kép (bát cách điện) &lt;= 2x14</t>
  </si>
  <si>
    <t>03.08.206</t>
  </si>
  <si>
    <t>Thay chuỗi cách điện néo kép cho dây dẫn. Chiều cao thay &lt;= 30m. Chuỗi cách điện néo kép (bát cách điện) &lt;= 2x18</t>
  </si>
  <si>
    <t>03.08.207</t>
  </si>
  <si>
    <t>Thay chuỗi cách điện néo kép cho dây dẫn. Chiều cao thay &lt;= 30m. Chuỗi cách điện néo kép (bát cách điện) &lt;= 2x21</t>
  </si>
  <si>
    <t>03.08.208</t>
  </si>
  <si>
    <t>Thay chuỗi cách điện néo kép cho dây dẫn. Chiều cao thay &lt;= 30m. Chuỗi cách điện néo kép (bát cách điện) &gt; 2x21</t>
  </si>
  <si>
    <t>03.08.301</t>
  </si>
  <si>
    <t>Thay chuỗi cách điện néo kép cho dây dẫn. Chiều cao thay &lt;= 40m. Chuỗi cách điện néo kép (bát cách điện) &lt;= 2x2</t>
  </si>
  <si>
    <t>03.08.302</t>
  </si>
  <si>
    <t>Thay chuỗi cách điện néo kép cho dây dẫn. Chiều cao thay &lt;= 40m. Chuỗi cách điện néo kép (bát cách điện) &lt;= 2x5</t>
  </si>
  <si>
    <t>03.08.303</t>
  </si>
  <si>
    <t>Thay chuỗi cách điện néo kép cho dây dẫn. Chiều cao thay &lt;= 40m. Chuỗi cách điện néo kép (bát cách điện) &lt;= 2x8</t>
  </si>
  <si>
    <t>03.08.304</t>
  </si>
  <si>
    <t>Thay chuỗi cách điện néo kép cho dây dẫn. Chiều cao thay &lt;= 40m. Chuỗi cách điện néo kép (bát cách điện) &lt;= 2x11</t>
  </si>
  <si>
    <t>03.08.305</t>
  </si>
  <si>
    <t>Thay chuỗi cách điện néo kép cho dây dẫn. Chiều cao thay &lt;= 40m. Chuỗi cách điện néo kép (bát cách điện) &lt;= 2x14</t>
  </si>
  <si>
    <t>03.08.306</t>
  </si>
  <si>
    <t>Thay chuỗi cách điện néo kép cho dây dẫn. Chiều cao thay &lt;= 40m. Chuỗi cách điện néo kép (bát cách điện) &lt;= 2x18</t>
  </si>
  <si>
    <t>03.08.307</t>
  </si>
  <si>
    <t>Thay chuỗi cách điện néo kép cho dây dẫn. Chiều cao thay &lt;= 40m. Chuỗi cách điện néo kép (bát cách điện) &lt;= 2x21</t>
  </si>
  <si>
    <t>03.08.308</t>
  </si>
  <si>
    <t>Thay chuỗi cách điện néo kép cho dây dẫn. Chiều cao thay &lt;= 40m. Chuỗi cách điện néo kép (bát cách điện) &gt; 2x21</t>
  </si>
  <si>
    <t>03.08.401</t>
  </si>
  <si>
    <t>Thay chuỗi cách điện néo kép cho dây dẫn. Chiều cao thay &lt;= 50m. Chuỗi cách điện néo kép (bát cách điện) &lt;= 2x2</t>
  </si>
  <si>
    <t>03.08.402</t>
  </si>
  <si>
    <t>Thay chuỗi cách điện néo kép cho dây dẫn. Chiều cao thay &lt;= 50m. Chuỗi cách điện néo kép (bát cách điện) &lt;= 2x5</t>
  </si>
  <si>
    <t>03.08.403</t>
  </si>
  <si>
    <t>Thay chuỗi cách điện néo kép cho dây dẫn. Chiều cao thay &lt;= 50m. Chuỗi cách điện néo kép (bát cách điện) &lt;= 2x8</t>
  </si>
  <si>
    <t>03.08.404</t>
  </si>
  <si>
    <t>Thay chuỗi cách điện néo kép cho dây dẫn. Chiều cao thay &lt;= 50m. Chuỗi cách điện néo kép (bát cách điện) &lt;= 2x11</t>
  </si>
  <si>
    <t>03.08.405</t>
  </si>
  <si>
    <t>Thay chuỗi cách điện néo kép cho dây dẫn. Chiều cao thay &lt;= 50m. Chuỗi cách điện néo kép (bát cách điện) &lt;= 2x14</t>
  </si>
  <si>
    <t>03.08.406</t>
  </si>
  <si>
    <t>Thay chuỗi cách điện néo kép cho dây dẫn. Chiều cao thay &lt;= 50m. Chuỗi cách điện néo kép (bát cách điện) &lt;= 2x18</t>
  </si>
  <si>
    <t>03.08.407</t>
  </si>
  <si>
    <t>Thay chuỗi cách điện néo kép cho dây dẫn. Chiều cao thay &lt;= 50m. Chuỗi cách điện néo kép (bát cách điện) &lt;= 2x21</t>
  </si>
  <si>
    <t>03.08.408</t>
  </si>
  <si>
    <t>Thay chuỗi cách điện néo kép cho dây dẫn. Chiều cao thay &lt;= 50m. Chuỗi cách điện néo kép (bát cách điện) &gt; 2x21</t>
  </si>
  <si>
    <t>03.08.501</t>
  </si>
  <si>
    <t>Thay chuỗi cách điện néo kép cho dây dẫn. Chiều cao thay &lt;= 60m. Chuỗi cách điện néo kép (bát cách điện) &lt;= 2x2</t>
  </si>
  <si>
    <t>03.08.502</t>
  </si>
  <si>
    <t>Thay chuỗi cách điện néo kép cho dây dẫn. Chiều cao thay &lt;= 60m. Chuỗi cách điện néo kép (bát cách điện) &lt;= 2x5</t>
  </si>
  <si>
    <t>03.08.503</t>
  </si>
  <si>
    <t>Thay chuỗi cách điện néo kép cho dây dẫn. Chiều cao thay &lt;= 60m. Chuỗi cách điện néo kép (bát cách điện) &lt;= 2x8</t>
  </si>
  <si>
    <t>03.08.504</t>
  </si>
  <si>
    <t>Thay chuỗi cách điện néo kép cho dây dẫn. Chiều cao thay &lt;= 60m. Chuỗi cách điện néo kép (bát cách điện) &lt;= 2x11</t>
  </si>
  <si>
    <t>03.08.505</t>
  </si>
  <si>
    <t>Thay chuỗi cách điện néo kép cho dây dẫn. Chiều cao thay &lt;= 60m. Chuỗi cách điện néo kép (bát cách điện) &lt;= 2x14</t>
  </si>
  <si>
    <t>03.08.506</t>
  </si>
  <si>
    <t>Thay chuỗi cách điện néo kép cho dây dẫn. Chiều cao thay &lt;= 60m. Chuỗi cách điện néo kép (bát cách điện) &lt;= 2x18</t>
  </si>
  <si>
    <t>03.08.507</t>
  </si>
  <si>
    <t>Thay chuỗi cách điện néo kép cho dây dẫn. Chiều cao thay &lt;= 60m. Chuỗi cách điện néo kép (bát cách điện) &lt;= 2x21</t>
  </si>
  <si>
    <t>03.08.508</t>
  </si>
  <si>
    <t>Thay chuỗi cách điện néo kép cho dây dẫn. Chiều cao thay &lt;= 60m. Chuỗi cách điện néo kép (bát cách điện) &gt; 2x21</t>
  </si>
  <si>
    <t>03.08.601</t>
  </si>
  <si>
    <t>Thay chuỗi cách điện néo kép cho dây dẫn. Chiều cao thay &lt;= 70m. Chuỗi cách điện néo kép (bát cách điện) &lt;= 2x2</t>
  </si>
  <si>
    <t>03.08.602</t>
  </si>
  <si>
    <t>Thay chuỗi cách điện néo kép cho dây dẫn. Chiều cao thay &lt;= 70m. Chuỗi cách điện néo kép (bát cách điện) &lt;= 2x5</t>
  </si>
  <si>
    <t>03.08.603</t>
  </si>
  <si>
    <t>Thay chuỗi cách điện néo kép cho dây dẫn. Chiều cao thay &lt;= 70m. Chuỗi cách điện néo kép (bát cách điện) &lt;= 2x8</t>
  </si>
  <si>
    <t>03.08.604</t>
  </si>
  <si>
    <t>Thay chuỗi cách điện néo kép cho dây dẫn. Chiều cao thay &lt;= 70m. Chuỗi cách điện néo kép (bát cách điện) &lt;= 2x11</t>
  </si>
  <si>
    <t>03.08.605</t>
  </si>
  <si>
    <t>Thay chuỗi cách điện néo kép cho dây dẫn. Chiều cao thay &lt;= 70m. Chuỗi cách điện néo kép (bát cách điện) &lt;= 2x14</t>
  </si>
  <si>
    <t>03.08.606</t>
  </si>
  <si>
    <t>Thay chuỗi cách điện néo kép cho dây dẫn. Chiều cao thay &lt;= 70m. Chuỗi cách điện néo kép (bát cách điện) &lt;= 2x18</t>
  </si>
  <si>
    <t>03.08.607</t>
  </si>
  <si>
    <t>Thay chuỗi cách điện néo kép cho dây dẫn. Chiều cao thay &lt;= 70m. Chuỗi cách điện néo kép (bát cách điện) &lt;= 2x21</t>
  </si>
  <si>
    <t>03.08.608</t>
  </si>
  <si>
    <t>Thay chuỗi cách điện néo kép cho dây dẫn. Chiều cao thay &lt;= 70m. Chuỗi cách điện néo kép (bát cách điện) &gt; 2x21</t>
  </si>
  <si>
    <t>03.08.701</t>
  </si>
  <si>
    <t>Thay chuỗi cách điện néo kép cho dây dẫn. Chiều cao thay &lt;= 85m. Chuỗi cách điện néo kép (bát cách điện) &lt;= 2x2</t>
  </si>
  <si>
    <t>03.08.702</t>
  </si>
  <si>
    <t>Thay chuỗi cách điện néo kép cho dây dẫn. Chiều cao thay &lt;= 85m. Chuỗi cách điện néo kép (bát cách điện) &lt;= 2x5</t>
  </si>
  <si>
    <t>03.08.703</t>
  </si>
  <si>
    <t>Thay chuỗi cách điện néo kép cho dây dẫn. Chiều cao thay &lt;= 85m. Chuỗi cách điện néo kép (bát cách điện) &lt;= 2x8</t>
  </si>
  <si>
    <t>03.08.704</t>
  </si>
  <si>
    <t>Thay chuỗi cách điện néo kép cho dây dẫn. Chiều cao thay &lt;= 85m. Chuỗi cách điện néo kép (bát cách điện) &lt;= 2x11</t>
  </si>
  <si>
    <t>03.08.705</t>
  </si>
  <si>
    <t>Thay chuỗi cách điện néo kép cho dây dẫn. Chiều cao thay &lt;= 85m. Chuỗi cách điện néo kép (bát cách điện) &lt;= 2x14</t>
  </si>
  <si>
    <t>03.08.706</t>
  </si>
  <si>
    <t>Thay chuỗi cách điện néo kép cho dây dẫn. Chiều cao thay &lt;= 85m. Chuỗi cách điện néo kép (bát cách điện) &lt;= 2x18</t>
  </si>
  <si>
    <t>03.08.707</t>
  </si>
  <si>
    <t>Thay chuỗi cách điện néo kép cho dây dẫn. Chiều cao thay &lt;= 85m. Chuỗi cách điện néo kép (bát cách điện) &lt;= 2x21</t>
  </si>
  <si>
    <t>03.08.708</t>
  </si>
  <si>
    <t>Thay chuỗi cách điện néo kép cho dây dẫn. Chiều cao thay &lt;= 85m. Chuỗi cách điện néo kép (bát cách điện) &gt; 2x21</t>
  </si>
  <si>
    <t>03.08.801</t>
  </si>
  <si>
    <t>Thay chuỗi cách điện néo kép cho dây dẫn. Chiều cao thay &lt;= 100m. Chuỗi cách điện néo kép (bát cách điện) &lt;= 2x2</t>
  </si>
  <si>
    <t>03.08.802</t>
  </si>
  <si>
    <t>Thay chuỗi cách điện néo kép cho dây dẫn. Chiều cao thay &lt;= 100m. Chuỗi cách điện néo kép (bát cách điện) &lt;= 2x5</t>
  </si>
  <si>
    <t>03.08.803</t>
  </si>
  <si>
    <t>Thay chuỗi cách điện néo kép cho dây dẫn. Chiều cao thay &lt;= 100m. Chuỗi cách điện néo kép (bát cách điện) &lt;= 2x8</t>
  </si>
  <si>
    <t>03.08.804</t>
  </si>
  <si>
    <t>Thay chuỗi cách điện néo kép cho dây dẫn. Chiều cao thay &lt;= 100m. Chuỗi cách điện néo kép (bát cách điện) &lt;= 2x11</t>
  </si>
  <si>
    <t>03.08.805</t>
  </si>
  <si>
    <t>Thay chuỗi cách điện néo kép cho dây dẫn. Chiều cao thay &lt;= 100m. Chuỗi cách điện néo kép (bát cách điện) &lt;= 2x14</t>
  </si>
  <si>
    <t>03.08.806</t>
  </si>
  <si>
    <t>Thay chuỗi cách điện néo kép cho dây dẫn. Chiều cao thay &lt;= 100m. Chuỗi cách điện néo kép (bát cách điện) &lt;= 2x18</t>
  </si>
  <si>
    <t>03.08.807</t>
  </si>
  <si>
    <t>Thay chuỗi cách điện néo kép cho dây dẫn. Chiều cao thay &lt;= 100m. Chuỗi cách điện néo kép (bát cách điện) &lt;= 2x21</t>
  </si>
  <si>
    <t>03.08.808</t>
  </si>
  <si>
    <t>Thay chuỗi cách điện néo kép cho dây dẫn. Chiều cao thay &lt;= 100m. Chuỗi cách điện néo kép (bát cách điện) &gt; 2x21</t>
  </si>
  <si>
    <t>03.09.011</t>
  </si>
  <si>
    <t>Thay chống rung. Chiều cao lắp đặt &lt;= 20m</t>
  </si>
  <si>
    <t>công/quả</t>
  </si>
  <si>
    <t>03.09.012</t>
  </si>
  <si>
    <t>Thay chống rung. Chiều cao lắp đặt &lt;= 30m</t>
  </si>
  <si>
    <t>03.09.013</t>
  </si>
  <si>
    <t>Thay chống rung. Chiều cao lắp đặt &lt;= 40m</t>
  </si>
  <si>
    <t>03.09.014</t>
  </si>
  <si>
    <t>Thay chống rung. Chiều cao lắp đặt &lt;= 50m</t>
  </si>
  <si>
    <t>03.09.015</t>
  </si>
  <si>
    <t>Thay chống rung. Chiều cao lắp đặt &lt;= 60m</t>
  </si>
  <si>
    <t>03.09.016</t>
  </si>
  <si>
    <t>Thay chống rung. Chiều cao lắp đặt &lt;= 70m</t>
  </si>
  <si>
    <t>03.09.017</t>
  </si>
  <si>
    <t>Thay chống rung. Chiều cao lắp đặt &lt;= 85m</t>
  </si>
  <si>
    <t>03.09.018</t>
  </si>
  <si>
    <t>Thay chống rung. Chiều cao lắp đặt &lt;= 100m</t>
  </si>
  <si>
    <t>03.09.019</t>
  </si>
  <si>
    <t>Thay chống rung. Chiều cao lắp đặt &gt; 100m</t>
  </si>
  <si>
    <t>03.09.021</t>
  </si>
  <si>
    <t>Thay tạ bù 25kg. Chiều cao lắp đặt &lt;= 20m</t>
  </si>
  <si>
    <t>công/bộ</t>
  </si>
  <si>
    <t>03.09.022</t>
  </si>
  <si>
    <t>Thay tạ bù 25kg. Chiều cao lắp đặt &lt;= 30m</t>
  </si>
  <si>
    <t>03.09.023</t>
  </si>
  <si>
    <t>Thay tạ bù 25kg. Chiều cao lắp đặt &lt;= 40m</t>
  </si>
  <si>
    <t>03.09.024</t>
  </si>
  <si>
    <t>Thay tạ bù 25kg. Chiều cao lắp đặt &lt;= 50m</t>
  </si>
  <si>
    <t>03.09.025</t>
  </si>
  <si>
    <t>Thay tạ bù 25kg. Chiều cao lắp đặt &lt;= 60m</t>
  </si>
  <si>
    <t>03.09.026</t>
  </si>
  <si>
    <t>Thay tạ bù 25kg. Chiều cao lắp đặt &lt;= 70m</t>
  </si>
  <si>
    <t>03.09.027</t>
  </si>
  <si>
    <t>Thay tạ bù 25kg. Chiều cao lắp đặt &lt;= 85m</t>
  </si>
  <si>
    <t>03.09.028</t>
  </si>
  <si>
    <t>Thay tạ bù 25kg. Chiều cao lắp đặt &lt;= 100m</t>
  </si>
  <si>
    <t>03.09.029</t>
  </si>
  <si>
    <t>Thay tạ bù 25kg. Chiều cao lắp đặt &gt; 100m</t>
  </si>
  <si>
    <t>03.09.031</t>
  </si>
  <si>
    <t>Thay tạ bù 50kg. Chiều cao lắp đặt &lt;= 20m</t>
  </si>
  <si>
    <t>03.09.032</t>
  </si>
  <si>
    <t>Thay tạ bù 50kg. Chiều cao lắp đặt &lt;= 30m</t>
  </si>
  <si>
    <t>03.09.033</t>
  </si>
  <si>
    <t>Thay tạ bù 50kg. Chiều cao lắp đặt &lt;= 40m</t>
  </si>
  <si>
    <t>03.09.034</t>
  </si>
  <si>
    <t>Thay tạ bù 50kg. Chiều cao lắp đặt &lt;= 50m</t>
  </si>
  <si>
    <t>03.09.035</t>
  </si>
  <si>
    <t>Thay tạ bù 50kg. Chiều cao lắp đặt &lt;= 60m</t>
  </si>
  <si>
    <t>03.09.036</t>
  </si>
  <si>
    <t>Thay tạ bù 50kg. Chiều cao lắp đặt &lt;= 70m</t>
  </si>
  <si>
    <t>03.09.037</t>
  </si>
  <si>
    <t>Thay tạ bù 50kg. Chiều cao lắp đặt &lt;= 85m</t>
  </si>
  <si>
    <t>03.09.038</t>
  </si>
  <si>
    <t>Thay tạ bù 50kg. Chiều cao lắp đặt &lt;= 100m</t>
  </si>
  <si>
    <t>03.09.039</t>
  </si>
  <si>
    <t>Thay tạ bù 50kg. Chiều cao lắp đặt &gt; 100m</t>
  </si>
  <si>
    <t>03.09.041</t>
  </si>
  <si>
    <t>Thay tạ bù 100kg. Chiều cao lắp đặt &lt;= 20m</t>
  </si>
  <si>
    <t>03.09.042</t>
  </si>
  <si>
    <t>Thay tạ bù 100kg. Chiều cao lắp đặt &lt;= 30m</t>
  </si>
  <si>
    <t>03.09.043</t>
  </si>
  <si>
    <t>Thay tạ bù 100kg. Chiều cao lắp đặt &lt;= 40m</t>
  </si>
  <si>
    <t>03.09.044</t>
  </si>
  <si>
    <t>Thay tạ bù 100kg. Chiều cao lắp đặt &lt;= 50m</t>
  </si>
  <si>
    <t>03.09.045</t>
  </si>
  <si>
    <t>Thay tạ bù 100kg. Chiều cao lắp đặt &lt;= 60m</t>
  </si>
  <si>
    <t>03.09.046</t>
  </si>
  <si>
    <t>Thay tạ bù 100kg. Chiều cao lắp đặt &lt;= 70m</t>
  </si>
  <si>
    <t>03.09.047</t>
  </si>
  <si>
    <t>Thay tạ bù 100kg. Chiều cao lắp đặt &lt;= 85m</t>
  </si>
  <si>
    <t>03.09.048</t>
  </si>
  <si>
    <t>Thay tạ bù 100kg. Chiều cao lắp đặt &lt;= 100m</t>
  </si>
  <si>
    <t>03.09.049</t>
  </si>
  <si>
    <t>Thay tạ bù 100kg. Chiều cao lắp đặt &gt; 100m</t>
  </si>
  <si>
    <t>03.09.051</t>
  </si>
  <si>
    <t>Thay tạ bù 150kg. Chiều cao lắp đặt &lt;= 20m</t>
  </si>
  <si>
    <t>03.09.052</t>
  </si>
  <si>
    <t>Thay tạ bù 150kg. Chiều cao lắp đặt &lt;= 30m</t>
  </si>
  <si>
    <t>03.09.053</t>
  </si>
  <si>
    <t>Thay tạ bù 150kg. Chiều cao lắp đặt &lt;= 40m</t>
  </si>
  <si>
    <t>03.09.054</t>
  </si>
  <si>
    <t>Thay tạ bù 150kg. Chiều cao lắp đặt &lt;= 50m</t>
  </si>
  <si>
    <t>03.09.055</t>
  </si>
  <si>
    <t>Thay tạ bù 150kg. Chiều cao lắp đặt &lt;= 60m</t>
  </si>
  <si>
    <t>03.09.056</t>
  </si>
  <si>
    <t>Thay tạ bù 150kg. Chiều cao lắp đặt &lt;= 70m</t>
  </si>
  <si>
    <t>03.09.057</t>
  </si>
  <si>
    <t>Thay tạ bù 150kg. Chiều cao lắp đặt &lt;= 85m</t>
  </si>
  <si>
    <t>03.09.058</t>
  </si>
  <si>
    <t>Thay tạ bù 150kg. Chiều cao lắp đặt &lt;= 100m</t>
  </si>
  <si>
    <t>03.09.059</t>
  </si>
  <si>
    <t>Thay tạ bù 150kg. Chiều cao lắp đặt &gt; 100m</t>
  </si>
  <si>
    <t>03.09.061</t>
  </si>
  <si>
    <t>Thay tạ bù 200kg. Chiều cao lắp đặt &lt;= 20m</t>
  </si>
  <si>
    <t>03.09.062</t>
  </si>
  <si>
    <t>Thay tạ bù 200kg. Chiều cao lắp đặt &lt;= 30m</t>
  </si>
  <si>
    <t>03.09.063</t>
  </si>
  <si>
    <t>Thay tạ bù 200kg. Chiều cao lắp đặt &lt;= 40m</t>
  </si>
  <si>
    <t>03.09.064</t>
  </si>
  <si>
    <t>Thay tạ bù 200kg. Chiều cao lắp đặt &lt;= 50m</t>
  </si>
  <si>
    <t>03.09.065</t>
  </si>
  <si>
    <t>Thay tạ bù 200kg. Chiều cao lắp đặt &lt;= 60m</t>
  </si>
  <si>
    <t>03.09.066</t>
  </si>
  <si>
    <t>Thay tạ bù 200kg. Chiều cao lắp đặt &lt;= 70m</t>
  </si>
  <si>
    <t>03.09.067</t>
  </si>
  <si>
    <t>Thay tạ bù 200kg. Chiều cao lắp đặt &lt;= 85m</t>
  </si>
  <si>
    <t>03.09.068</t>
  </si>
  <si>
    <t>Thay tạ bù 200kg. Chiều cao lắp đặt &lt;= 100m</t>
  </si>
  <si>
    <t>03.09.069</t>
  </si>
  <si>
    <t>Thay tạ bù 200kg. Chiều cao lắp đặt &gt; 100m</t>
  </si>
  <si>
    <t>03.09.071</t>
  </si>
  <si>
    <t>Thay tạ bù 250kg. Chiều cao lắp đặt &lt;= 20m</t>
  </si>
  <si>
    <t>03.09.072</t>
  </si>
  <si>
    <t>Thay tạ bù 250kg. Chiều cao lắp đặt &lt;= 30m</t>
  </si>
  <si>
    <t>03.09.073</t>
  </si>
  <si>
    <t>Thay tạ bù 250kg. Chiều cao lắp đặt &lt;= 40m</t>
  </si>
  <si>
    <t>03.09.074</t>
  </si>
  <si>
    <t>Thay tạ bù 250kg. Chiều cao lắp đặt &lt;= 50m</t>
  </si>
  <si>
    <t>03.09.075</t>
  </si>
  <si>
    <t>Thay tạ bù 250kg. Chiều cao lắp đặt &lt;= 60m</t>
  </si>
  <si>
    <t>03.09.076</t>
  </si>
  <si>
    <t>Thay tạ bù 250kg. Chiều cao lắp đặt &lt;= 70m</t>
  </si>
  <si>
    <t>03.09.077</t>
  </si>
  <si>
    <t>Thay tạ bù 250kg. Chiều cao lắp đặt &lt;= 85m</t>
  </si>
  <si>
    <t>03.09.078</t>
  </si>
  <si>
    <t>Thay tạ bù 250kg. Chiều cao lắp đặt &lt;= 100m</t>
  </si>
  <si>
    <t>03.09.079</t>
  </si>
  <si>
    <t>Thay tạ bù 250kg. Chiều cao lắp đặt &gt; 100m</t>
  </si>
  <si>
    <t>03.09.081</t>
  </si>
  <si>
    <t>Thay tạ bù 300kg. Chiều cao lắp đặt &lt;= 20m</t>
  </si>
  <si>
    <t>03.09.082</t>
  </si>
  <si>
    <t>Thay tạ bù 300kg. Chiều cao lắp đặt &lt;= 30m</t>
  </si>
  <si>
    <t>03.09.083</t>
  </si>
  <si>
    <t>Thay tạ bù 300kg. Chiều cao lắp đặt &lt;= 40m</t>
  </si>
  <si>
    <t>03.09.084</t>
  </si>
  <si>
    <t>Thay tạ bù 300kg. Chiều cao lắp đặt &lt;= 50m</t>
  </si>
  <si>
    <t>03.09.085</t>
  </si>
  <si>
    <t>Thay tạ bù 300kg. Chiều cao lắp đặt &lt;= 60m</t>
  </si>
  <si>
    <t>03.09.086</t>
  </si>
  <si>
    <t>Thay tạ bù 300kg. Chiều cao lắp đặt &lt;= 70m</t>
  </si>
  <si>
    <t>03.09.087</t>
  </si>
  <si>
    <t>Thay tạ bù 300kg. Chiều cao lắp đặt &lt;= 85m</t>
  </si>
  <si>
    <t>03.09.088</t>
  </si>
  <si>
    <t>Thay tạ bù 300kg. Chiều cao lắp đặt &lt;= 100m</t>
  </si>
  <si>
    <t>03.09.089</t>
  </si>
  <si>
    <t>Thay tạ bù 300kg. Chiều cao lắp đặt &gt; 100m</t>
  </si>
  <si>
    <t>03.09.091</t>
  </si>
  <si>
    <t>Thay tạ bù 350kg. Chiều cao lắp đặt &lt;= 20m</t>
  </si>
  <si>
    <t>03.09.092</t>
  </si>
  <si>
    <t>Thay tạ bù 350kg. Chiều cao lắp đặt &lt;= 30m</t>
  </si>
  <si>
    <t>03.09.093</t>
  </si>
  <si>
    <t>Thay tạ bù 350kg. Chiều cao lắp đặt &lt;= 40m</t>
  </si>
  <si>
    <t>03.09.094</t>
  </si>
  <si>
    <t>Thay tạ bù 350kg. Chiều cao lắp đặt &lt;= 50m</t>
  </si>
  <si>
    <t>03.09.095</t>
  </si>
  <si>
    <t>Thay tạ bù 350kg. Chiều cao lắp đặt &lt;= 60m</t>
  </si>
  <si>
    <t>03.09.096</t>
  </si>
  <si>
    <t>Thay tạ bù 350kg. Chiều cao lắp đặt &lt;= 70m</t>
  </si>
  <si>
    <t>03.09.097</t>
  </si>
  <si>
    <t>Thay tạ bù 350kg. Chiều cao lắp đặt &lt;= 85m</t>
  </si>
  <si>
    <t>03.09.098</t>
  </si>
  <si>
    <t>Thay tạ bù 350kg. Chiều cao lắp đặt &lt;= 100m</t>
  </si>
  <si>
    <t>03.09.099</t>
  </si>
  <si>
    <t>Thay tạ bù 350kg. Chiều cao lắp đặt &gt; 100m</t>
  </si>
  <si>
    <t>03.09.101</t>
  </si>
  <si>
    <t>Thay tạ bù 400kg. Chiều cao lắp đặt &lt;= 20m</t>
  </si>
  <si>
    <t>03.09.102</t>
  </si>
  <si>
    <t>Thay tạ bù 400kg. Chiều cao lắp đặt &lt;= 30m</t>
  </si>
  <si>
    <t>03.09.103</t>
  </si>
  <si>
    <t>Thay tạ bù 400kg. Chiều cao lắp đặt &lt;= 40m</t>
  </si>
  <si>
    <t>03.09.104</t>
  </si>
  <si>
    <t>Thay tạ bù 400kg. Chiều cao lắp đặt &lt;= 50m</t>
  </si>
  <si>
    <t>03.09.105</t>
  </si>
  <si>
    <t>Thay tạ bù 400kg. Chiều cao lắp đặt &lt;= 60m</t>
  </si>
  <si>
    <t>03.09.106</t>
  </si>
  <si>
    <t>Thay tạ bù 400kg. Chiều cao lắp đặt &lt;= 70m</t>
  </si>
  <si>
    <t>03.09.107</t>
  </si>
  <si>
    <t>Thay tạ bù 400kg. Chiều cao lắp đặt &lt;= 85m</t>
  </si>
  <si>
    <t>03.09.108</t>
  </si>
  <si>
    <t>Thay tạ bù 400kg. Chiều cao lắp đặt &lt;= 100m</t>
  </si>
  <si>
    <t>03.09.109</t>
  </si>
  <si>
    <t>Thay tạ bù 400kg. Chiều cao lắp đặt &gt; 100m</t>
  </si>
  <si>
    <t>03.09.111</t>
  </si>
  <si>
    <t>Thay tạ bù 500kg. Chiều cao lắp đặt &lt;= 20m</t>
  </si>
  <si>
    <t>03.09.112</t>
  </si>
  <si>
    <t>Thay tạ bù 500kg. Chiều cao lắp đặt &lt;= 30m</t>
  </si>
  <si>
    <t>03.09.113</t>
  </si>
  <si>
    <t>Thay tạ bù 500kg. Chiều cao lắp đặt &lt;= 40m</t>
  </si>
  <si>
    <t>03.09.114</t>
  </si>
  <si>
    <t>Thay tạ bù 500kg. Chiều cao lắp đặt &lt;= 50m</t>
  </si>
  <si>
    <t>03.09.115</t>
  </si>
  <si>
    <t>Thay tạ bù 500kg. Chiều cao lắp đặt &lt;= 60m</t>
  </si>
  <si>
    <t>03.09.116</t>
  </si>
  <si>
    <t>Thay tạ bù 500kg. Chiều cao lắp đặt &lt;= 70m</t>
  </si>
  <si>
    <t>03.09.117</t>
  </si>
  <si>
    <t>Thay tạ bù 500kg. Chiều cao lắp đặt &lt;= 85m</t>
  </si>
  <si>
    <t>03.09.118</t>
  </si>
  <si>
    <t>Thay tạ bù 500kg. Chiều cao lắp đặt &lt;= 100m</t>
  </si>
  <si>
    <t>03.09.119</t>
  </si>
  <si>
    <t>Thay tạ bù 500kg. Chiều cao lắp đặt &gt; 100m</t>
  </si>
  <si>
    <t>03.09.121</t>
  </si>
  <si>
    <t>Thay tạ bù 600kg. Chiều cao lắp đặt &lt;= 20m</t>
  </si>
  <si>
    <t>03.09.122</t>
  </si>
  <si>
    <t>Thay tạ bù 600kg. Chiều cao lắp đặt &lt;= 30m</t>
  </si>
  <si>
    <t>03.09.123</t>
  </si>
  <si>
    <t>Thay tạ bù 600kg. Chiều cao lắp đặt &lt;= 40m</t>
  </si>
  <si>
    <t>03.09.124</t>
  </si>
  <si>
    <t>Thay tạ bù 600kg. Chiều cao lắp đặt &lt;= 50m</t>
  </si>
  <si>
    <t>03.09.125</t>
  </si>
  <si>
    <t>Thay tạ bù 600kg. Chiều cao lắp đặt &lt;= 60m</t>
  </si>
  <si>
    <t>03.09.126</t>
  </si>
  <si>
    <t>Thay tạ bù 600kg. Chiều cao lắp đặt &lt;= 70m</t>
  </si>
  <si>
    <t>03.09.127</t>
  </si>
  <si>
    <t>Thay tạ bù 600kg. Chiều cao lắp đặt &lt;= 85m</t>
  </si>
  <si>
    <t>03.09.128</t>
  </si>
  <si>
    <t>Thay tạ bù 600kg. Chiều cao lắp đặt &lt;= 100m</t>
  </si>
  <si>
    <t>03.09.129</t>
  </si>
  <si>
    <t>Thay tạ bù 600kg. Chiều cao lắp đặt &gt; 100m</t>
  </si>
  <si>
    <t>03.09.131</t>
  </si>
  <si>
    <t>Thay tạ bù 700kg. Chiều cao lắp đặt &lt;= 20m</t>
  </si>
  <si>
    <t>03.09.132</t>
  </si>
  <si>
    <t>Thay tạ bù 700kg. Chiều cao lắp đặt &lt;= 30m</t>
  </si>
  <si>
    <t>03.09.133</t>
  </si>
  <si>
    <t>Thay tạ bù 700kg. Chiều cao lắp đặt &lt;= 40m</t>
  </si>
  <si>
    <t>03.09.134</t>
  </si>
  <si>
    <t>Thay tạ bù 700kg. Chiều cao lắp đặt &lt;= 50m</t>
  </si>
  <si>
    <t>03.09.135</t>
  </si>
  <si>
    <t>Thay tạ bù 700kg. Chiều cao lắp đặt &lt;= 60m</t>
  </si>
  <si>
    <t>03.09.136</t>
  </si>
  <si>
    <t>Thay tạ bù 700kg. Chiều cao lắp đặt &lt;= 70m</t>
  </si>
  <si>
    <t>03.09.137</t>
  </si>
  <si>
    <t>Thay tạ bù 700kg. Chiều cao lắp đặt &lt;= 85m</t>
  </si>
  <si>
    <t>03.09.138</t>
  </si>
  <si>
    <t>Thay tạ bù 700kg. Chiều cao lắp đặt &lt;= 100m</t>
  </si>
  <si>
    <t>03.09.139</t>
  </si>
  <si>
    <t>Thay tạ bù 700kg. Chiều cao lắp đặt &gt; 100m</t>
  </si>
  <si>
    <t>03.09.141</t>
  </si>
  <si>
    <t>Thay tạ bù 800kg. Chiều cao lắp đặt &lt;= 20m</t>
  </si>
  <si>
    <t>03.09.142</t>
  </si>
  <si>
    <t>Thay tạ bù 800kg. Chiều cao lắp đặt &lt;= 30m</t>
  </si>
  <si>
    <t>03.09.143</t>
  </si>
  <si>
    <t>Thay tạ bù 800kg. Chiều cao lắp đặt &lt;= 40m</t>
  </si>
  <si>
    <t>03.09.144</t>
  </si>
  <si>
    <t>Thay tạ bù 800kg. Chiều cao lắp đặt &lt;= 50m</t>
  </si>
  <si>
    <t>03.09.145</t>
  </si>
  <si>
    <t>Thay tạ bù 800kg. Chiều cao lắp đặt &lt;= 60m</t>
  </si>
  <si>
    <t>03.09.146</t>
  </si>
  <si>
    <t>Thay tạ bù 800kg. Chiều cao lắp đặt &lt;= 70m</t>
  </si>
  <si>
    <t>03.09.147</t>
  </si>
  <si>
    <t>Thay tạ bù 800kg. Chiều cao lắp đặt &lt;= 85m</t>
  </si>
  <si>
    <t>03.09.148</t>
  </si>
  <si>
    <t>Thay tạ bù 800kg. Chiều cao lắp đặt &lt;= 100m</t>
  </si>
  <si>
    <t>03.09.149</t>
  </si>
  <si>
    <t>Thay tạ bù 800kg. Chiều cao lắp đặt &gt; 100m</t>
  </si>
  <si>
    <t>03.09.151</t>
  </si>
  <si>
    <t>Thay tạ bù 900kg. Chiều cao lắp đặt &lt;= 20m</t>
  </si>
  <si>
    <t>03.09.152</t>
  </si>
  <si>
    <t>Thay tạ bù 900kg. Chiều cao lắp đặt &lt;= 30m</t>
  </si>
  <si>
    <t>03.09.153</t>
  </si>
  <si>
    <t>Thay tạ bù 900kg. Chiều cao lắp đặt &lt;= 40m</t>
  </si>
  <si>
    <t>03.09.154</t>
  </si>
  <si>
    <t>Thay tạ bù 900kg. Chiều cao lắp đặt &lt;= 50m</t>
  </si>
  <si>
    <t>03.09.155</t>
  </si>
  <si>
    <t>Thay tạ bù 900kg. Chiều cao lắp đặt &lt;= 60m</t>
  </si>
  <si>
    <t>03.09.156</t>
  </si>
  <si>
    <t>Thay tạ bù 900kg. Chiều cao lắp đặt &lt;= 70m</t>
  </si>
  <si>
    <t>03.09.157</t>
  </si>
  <si>
    <t>Thay tạ bù 900kg. Chiều cao lắp đặt &lt;= 85m</t>
  </si>
  <si>
    <t>03.09.158</t>
  </si>
  <si>
    <t>Thay tạ bù 900kg. Chiều cao lắp đặt &lt;= 100m</t>
  </si>
  <si>
    <t>03.09.159</t>
  </si>
  <si>
    <t>Thay tạ bù 900kg. Chiều cao lắp đặt &gt; 100m</t>
  </si>
  <si>
    <t>03.09.161</t>
  </si>
  <si>
    <t>Thay tạ bù 1000kg. Chiều cao lắp đặt &lt;= 20m</t>
  </si>
  <si>
    <t>03.09.162</t>
  </si>
  <si>
    <t>Thay tạ bù 1000kg. Chiều cao lắp đặt &lt;= 30m</t>
  </si>
  <si>
    <t>03.09.163</t>
  </si>
  <si>
    <t>Thay tạ bù 1000kg. Chiều cao lắp đặt &lt;= 40m</t>
  </si>
  <si>
    <t>03.09.164</t>
  </si>
  <si>
    <t>Thay tạ bù 1000kg. Chiều cao lắp đặt &lt;= 50m</t>
  </si>
  <si>
    <t>03.09.165</t>
  </si>
  <si>
    <t>Thay tạ bù 1000kg. Chiều cao lắp đặt &lt;= 60m</t>
  </si>
  <si>
    <t>03.09.166</t>
  </si>
  <si>
    <t>Thay tạ bù 1000kg. Chiều cao lắp đặt &lt;= 70m</t>
  </si>
  <si>
    <t>03.09.167</t>
  </si>
  <si>
    <t>Thay tạ bù 1000kg. Chiều cao lắp đặt &lt;= 85m</t>
  </si>
  <si>
    <t>03.09.168</t>
  </si>
  <si>
    <t>Thay tạ bù 1000kg. Chiều cao lắp đặt &lt;= 100m</t>
  </si>
  <si>
    <t>03.09.169</t>
  </si>
  <si>
    <t>Thay tạ bù 1000kg. Chiều cao lắp đặt &gt; 100m</t>
  </si>
  <si>
    <t>03.09.171</t>
  </si>
  <si>
    <t>Thay tạ bù 1200kg. Chiều cao lắp đặt &lt;= 20m</t>
  </si>
  <si>
    <t>03.09.172</t>
  </si>
  <si>
    <t>Thay tạ bù 1200kg. Chiều cao lắp đặt &lt;= 30m</t>
  </si>
  <si>
    <t>03.09.173</t>
  </si>
  <si>
    <t>Thay tạ bù 1200kg. Chiều cao lắp đặt &lt;= 40m</t>
  </si>
  <si>
    <t>03.09.174</t>
  </si>
  <si>
    <t>Thay tạ bù 1200kg. Chiều cao lắp đặt &lt;= 50m</t>
  </si>
  <si>
    <t>03.09.175</t>
  </si>
  <si>
    <t>Thay tạ bù 1200kg. Chiều cao lắp đặt &lt;= 60m</t>
  </si>
  <si>
    <t>03.09.176</t>
  </si>
  <si>
    <t>Thay tạ bù 1200kg. Chiều cao lắp đặt &lt;= 70m</t>
  </si>
  <si>
    <t>03.09.177</t>
  </si>
  <si>
    <t>Thay tạ bù 1200kg. Chiều cao lắp đặt &lt;= 85m</t>
  </si>
  <si>
    <t>03.09.178</t>
  </si>
  <si>
    <t>Thay tạ bù 1200kg. Chiều cao lắp đặt &lt;= 100m</t>
  </si>
  <si>
    <t>03.09.179</t>
  </si>
  <si>
    <t>Thay tạ bù 1200kg. Chiều cao lắp đặt &gt; 100m</t>
  </si>
  <si>
    <t>03.09.184</t>
  </si>
  <si>
    <t>Thay đèn tín hiệu trên cột. Chiều cao lắp đặt &lt;= 50m</t>
  </si>
  <si>
    <t>03.09.185</t>
  </si>
  <si>
    <t>Thay đèn tín hiệu trên cột. Chiều cao lắp đặt &lt;= 60m</t>
  </si>
  <si>
    <t>03.09.186</t>
  </si>
  <si>
    <t>Thay đèn tín hiệu trên cột. Chiều cao lắp đặt &lt;= 70m</t>
  </si>
  <si>
    <t>03.09.187</t>
  </si>
  <si>
    <t>Thay đèn tín hiệu trên cột. Chiều cao lắp đặt &lt;= 85m</t>
  </si>
  <si>
    <t>03.09.188</t>
  </si>
  <si>
    <t>Thay đèn tín hiệu trên cột. Chiều cao lắp đặt &lt;= 100m</t>
  </si>
  <si>
    <t>03.09.189</t>
  </si>
  <si>
    <t>Thay đèn tín hiệu trên cột. Chiều cao lắp đặt &gt; 100m</t>
  </si>
  <si>
    <t>03.09.191</t>
  </si>
  <si>
    <t>Thay vòng gai bảo. Chiều cao lắp đặt &lt;= 20m</t>
  </si>
  <si>
    <t>03.09.201</t>
  </si>
  <si>
    <t>Thay biển. Chiều cao lắp đặt &lt;= 20m</t>
  </si>
  <si>
    <t>03.09.211</t>
  </si>
  <si>
    <t>Thay mỏ phóng. Chiều cao lắp đặt &lt;= 20m</t>
  </si>
  <si>
    <t>03.09.212</t>
  </si>
  <si>
    <t>Thay mỏ phóng. Chiều cao lắp đặt &lt;= 30m</t>
  </si>
  <si>
    <t>03.09.213</t>
  </si>
  <si>
    <t>Thay mỏ phóng. Chiều cao lắp đặt &lt;= 40m</t>
  </si>
  <si>
    <t>03.09.214</t>
  </si>
  <si>
    <t>Thay mỏ phóng. Chiều cao lắp đặt &lt;= 50m</t>
  </si>
  <si>
    <t>03.09.215</t>
  </si>
  <si>
    <t>Thay mỏ phóng. Chiều cao lắp đặt &lt;= 60m</t>
  </si>
  <si>
    <t>03.09.216</t>
  </si>
  <si>
    <t>Thay mỏ phóng. Chiều cao lắp đặt &lt;= 70m</t>
  </si>
  <si>
    <t>03.09.217</t>
  </si>
  <si>
    <t>Thay mỏ phóng. Chiều cao lắp đặt &lt;= 85m</t>
  </si>
  <si>
    <t>03.09.218</t>
  </si>
  <si>
    <t>Thay mỏ phóng. Chiều cao lắp đặt &lt;= 100m</t>
  </si>
  <si>
    <t>03.09.219</t>
  </si>
  <si>
    <t>Thay mỏ phóng. Chiều cao lắp đặt &gt; 100m</t>
  </si>
  <si>
    <t>03.09.221</t>
  </si>
  <si>
    <t>Thay chống sét van trên đường dây. Chiều cao lắp đặt &lt;= 20m</t>
  </si>
  <si>
    <t>03.09.222</t>
  </si>
  <si>
    <t>Thay chống sét van trên đường dây. Chiều cao lắp đặt &lt;= 30m</t>
  </si>
  <si>
    <t>03.09.223</t>
  </si>
  <si>
    <t>Thay chống sét van trên đường dây. Chiều cao lắp đặt &lt;= 40m</t>
  </si>
  <si>
    <t>03.09.224</t>
  </si>
  <si>
    <t>Thay chống sét van trên đường dây. Chiều cao lắp đặt &lt;= 50m</t>
  </si>
  <si>
    <t>03.09.225</t>
  </si>
  <si>
    <t>Thay chống sét van trên đường dây. Chiều cao lắp đặt &lt;= 60m</t>
  </si>
  <si>
    <t>03.09.231</t>
  </si>
  <si>
    <t>Thay thu lôi ống. Chiều cao lắp đặt &lt;= 20m</t>
  </si>
  <si>
    <t>03.09.241</t>
  </si>
  <si>
    <t>Thay cổ đề. Chiều cao lắp đặt &lt;= 20m</t>
  </si>
  <si>
    <t>03.09.251</t>
  </si>
  <si>
    <t>Thay dây néo cột. Chiều cao lắp đặt &lt;= 20m</t>
  </si>
  <si>
    <t>03.09.261</t>
  </si>
  <si>
    <t>Thay kẹp cáp. Chiều cao lắp đặt &lt;= 20m</t>
  </si>
  <si>
    <t>03.09.271</t>
  </si>
  <si>
    <t>Thay khóa đỡ dây dẫn, dây chống sét có tiết diện &lt;= 70mm. Chiều cao lắp đặt &lt;= 20m</t>
  </si>
  <si>
    <t>03.09.272</t>
  </si>
  <si>
    <t>Thay khóa đỡ dây dẫn, dây chống sét có tiết diện &lt;= 70mm. Chiều cao lắp đặt &lt;= 30m</t>
  </si>
  <si>
    <t>03.09.273</t>
  </si>
  <si>
    <t>Thay khóa đỡ dây dẫn, dây chống sét có tiết diện &lt;= 70mm. Chiều cao lắp đặt &lt;= 40m</t>
  </si>
  <si>
    <t>03.09.274</t>
  </si>
  <si>
    <t>Thay khóa đỡ dây dẫn, dây chống sét có tiết diện &lt;= 70mm. Chiều cao lắp đặt &lt;= 50m</t>
  </si>
  <si>
    <t>03.09.275</t>
  </si>
  <si>
    <t>Thay khóa đỡ dây dẫn, dây chống sét có tiết diện &lt;= 70mm. Chiều cao lắp đặt &lt;= 60m</t>
  </si>
  <si>
    <t>03.09.276</t>
  </si>
  <si>
    <t>Thay khóa đỡ dây dẫn, dây chống sét có tiết diện &lt;= 70mm. Chiều cao lắp đặt &lt;= 70m</t>
  </si>
  <si>
    <t>03.09.277</t>
  </si>
  <si>
    <t>Thay khóa đỡ dây dẫn, dây chống sét có tiết diện &lt;= 70mm. Chiều cao lắp đặt &lt;= 85m</t>
  </si>
  <si>
    <t>03.09.278</t>
  </si>
  <si>
    <t>Thay khóa đỡ dây dẫn, dây chống sét có tiết diện &lt;= 70mm. Chiều cao lắp đặt &lt;= 100m</t>
  </si>
  <si>
    <t>03.09.279</t>
  </si>
  <si>
    <t>Thay khóa đỡ dây dẫn, dây chống sét có tiết diện &lt;= 70mm. Chiều cao lắp đặt &gt; 100m</t>
  </si>
  <si>
    <t>03.09.281</t>
  </si>
  <si>
    <t>Thay khóa đỡ dây dẫn, dây chống sét có tiết diện &lt;= 240mm. Chiều cao lắp đặt &lt;= 20m</t>
  </si>
  <si>
    <t>03.09.282</t>
  </si>
  <si>
    <t>Thay khóa đỡ dây dẫn, dây chống sét có tiết diện &lt;= 240mm. Chiều cao lắp đặt &lt;= 30m</t>
  </si>
  <si>
    <t>03.09.283</t>
  </si>
  <si>
    <t>Thay khóa đỡ dây dẫn, dây chống sét có tiết diện &lt;= 240mm. Chiều cao lắp đặt &lt;= 40m</t>
  </si>
  <si>
    <t>03.09.284</t>
  </si>
  <si>
    <t>Thay khóa đỡ dây dẫn, dây chống sét có tiết diện &lt;= 240mm. Chiều cao lắp đặt &lt;= 50m</t>
  </si>
  <si>
    <t>03.09.285</t>
  </si>
  <si>
    <t>Thay khóa đỡ dây dẫn, dây chống sét có tiết diện &lt;= 240mm. Chiều cao lắp đặt &lt;= 60m</t>
  </si>
  <si>
    <t>03.09.286</t>
  </si>
  <si>
    <t>Thay khóa đỡ dây dẫn, dây chống sét có tiết diện &lt;= 240mm. Chiều cao lắp đặt &lt;= 70m</t>
  </si>
  <si>
    <t>03.09.287</t>
  </si>
  <si>
    <t>Thay khóa đỡ dây dẫn, dây chống sét có tiết diện &lt;= 240mm. Chiều cao lắp đặt &lt;= 85m</t>
  </si>
  <si>
    <t>03.09.288</t>
  </si>
  <si>
    <t>Thay khóa đỡ dây dẫn, dây chống sét có tiết diện &lt;= 240mm. Chiều cao lắp đặt &lt;= 100m</t>
  </si>
  <si>
    <t>03.09.289</t>
  </si>
  <si>
    <t>Thay khóa đỡ dây dẫn, dây chống sét có tiết diện &lt;= 240mm. Chiều cao lắp đặt &gt; 100m</t>
  </si>
  <si>
    <t>03.09.291</t>
  </si>
  <si>
    <t>Thay khóa đỡ dây dẫn, dây chống sét có tiết diện &gt; 240mm. Chiều cao lắp đặt &lt;= 20m</t>
  </si>
  <si>
    <t>03.09.292</t>
  </si>
  <si>
    <t>Thay khóa đỡ dây dẫn, dây chống sét có tiết diện &gt; 240mm. Chiều cao lắp đặt &lt;= 30m</t>
  </si>
  <si>
    <t>03.09.293</t>
  </si>
  <si>
    <t>Thay khóa đỡ dây dẫn, dây chống sét có tiết diện &gt; 240mm. Chiều cao lắp đặt &lt;= 40m</t>
  </si>
  <si>
    <t>03.09.294</t>
  </si>
  <si>
    <t>Thay khóa đỡ dây dẫn, dây chống sét có tiết diện &gt; 240mm. Chiều cao lắp đặt &lt;= 50m</t>
  </si>
  <si>
    <t>03.09.295</t>
  </si>
  <si>
    <t>Thay khóa đỡ dây dẫn, dây chống sét có tiết diện &gt; 240mm. Chiều cao lắp đặt &lt;= 60m</t>
  </si>
  <si>
    <t>03.09.296</t>
  </si>
  <si>
    <t>Thay khóa đỡ dây dẫn, dây chống sét có tiết diện &gt; 240mm. Chiều cao lắp đặt &lt;= 70m</t>
  </si>
  <si>
    <t>03.09.297</t>
  </si>
  <si>
    <t>Thay khóa đỡ dây dẫn, dây chống sét có tiết diện &gt; 240mm. Chiều cao lắp đặt &lt;= 85m</t>
  </si>
  <si>
    <t>03.09.298</t>
  </si>
  <si>
    <t>Thay khóa đỡ dây dẫn, dây chống sét có tiết diện &gt; 240mm. Chiều cao lắp đặt &lt;= 100m</t>
  </si>
  <si>
    <t>03.09.299</t>
  </si>
  <si>
    <t>Thay khóa đỡ dây dẫn, dây chống sét có tiết diện &gt; 240mm. Chiều cao lắp đặt &gt; 100m</t>
  </si>
  <si>
    <t>03.09.301</t>
  </si>
  <si>
    <t>Thay khung định vị. Chiều cao lắp đặt &lt;= 20m</t>
  </si>
  <si>
    <t>03.09.302</t>
  </si>
  <si>
    <t>Thay khung định vị. Chiều cao lắp đặt &lt;= 30m</t>
  </si>
  <si>
    <t>03.09.303</t>
  </si>
  <si>
    <t>Thay khung định vị. Chiều cao lắp đặt &lt;= 40m</t>
  </si>
  <si>
    <t>03.09.304</t>
  </si>
  <si>
    <t>Thay khung định vị. Chiều cao lắp đặt &lt;= 50m</t>
  </si>
  <si>
    <t>03.09.305</t>
  </si>
  <si>
    <t>Thay khung định vị. Chiều cao lắp đặt &lt;= 60m</t>
  </si>
  <si>
    <t>03.09.306</t>
  </si>
  <si>
    <t>Thay khung định vị. Chiều cao lắp đặt &lt;= 70m</t>
  </si>
  <si>
    <t>03.09.307</t>
  </si>
  <si>
    <t>Thay khung định vị. Chiều cao lắp đặt &lt;= 85m</t>
  </si>
  <si>
    <t>03.09.308</t>
  </si>
  <si>
    <t>Thay khung định vị. Chiều cao lắp đặt &lt;= 100m</t>
  </si>
  <si>
    <t>03.09.309</t>
  </si>
  <si>
    <t>Thay khung định vị. Chiều cao lắp đặt &gt; 100m</t>
  </si>
  <si>
    <t>03.09.311</t>
  </si>
  <si>
    <t>Thay bulon. Chiều cao lắp đặt &lt;= 20m</t>
  </si>
  <si>
    <t>03.09.312</t>
  </si>
  <si>
    <t>Thay bulon. Chiều cao lắp đặt &lt;= 30m</t>
  </si>
  <si>
    <t>03.09.313</t>
  </si>
  <si>
    <t>Thay bulon. Chiều cao lắp đặt &lt;= 40m</t>
  </si>
  <si>
    <t>03.09.314</t>
  </si>
  <si>
    <t>Thay bulon. Chiều cao lắp đặt &lt;= 50m</t>
  </si>
  <si>
    <t>03.09.315</t>
  </si>
  <si>
    <t>Thay bulon. Chiều cao lắp đặt &lt;= 60m</t>
  </si>
  <si>
    <t>03.09.316</t>
  </si>
  <si>
    <t>Thay bulon. Chiều cao lắp đặt &lt;= 70m</t>
  </si>
  <si>
    <t>03.09.317</t>
  </si>
  <si>
    <t>Thay bulon. Chiều cao lắp đặt &lt;= 85m</t>
  </si>
  <si>
    <t>03.09.318</t>
  </si>
  <si>
    <t>Thay bulon. Chiều cao lắp đặt &lt;= 100m</t>
  </si>
  <si>
    <t>03.09.319</t>
  </si>
  <si>
    <t>Thay bulon. Chiều cao lắp đặt &gt; 100m</t>
  </si>
  <si>
    <t>03.10.111</t>
  </si>
  <si>
    <t>Thay cách điện polymer/ composite/ silicon trung thế. Cột tròn. Lắp dưới đất 6-10kV.</t>
  </si>
  <si>
    <t>1 bộ cách điện</t>
  </si>
  <si>
    <t>03.10.112</t>
  </si>
  <si>
    <t>Thay cách điện polymer/ composite/ silicon trung thế. Cột tròn. Lắp dưới đất 15-22kV.</t>
  </si>
  <si>
    <t>03.10.113</t>
  </si>
  <si>
    <t>Thay cách điện polymer/ composite/ silicon trung thế. Cột tròn. Lắp dưới đất 35kV.</t>
  </si>
  <si>
    <t>03.10.114</t>
  </si>
  <si>
    <t>Thay cách điện polymer/ composite/ silicon trung thế. Cột tròn. Lắp trên cột 6-10kV.</t>
  </si>
  <si>
    <t>03.10.115</t>
  </si>
  <si>
    <t>Thay cách điện polymer/ composite/ silicon trung thế. Cột tròn. Lắp trên cột 15-22kV.</t>
  </si>
  <si>
    <t>03.10.116</t>
  </si>
  <si>
    <t>Thay cách điện polymer/ composite/ silicon trung thế. Cột tròn. Lắp trên cột 35kV.</t>
  </si>
  <si>
    <t>03.10.121</t>
  </si>
  <si>
    <t>Thay cách điện polymer/ composite/ silicon trung thế. Cột vuông. Lắp dưới đất 6-10kV.</t>
  </si>
  <si>
    <t>03.10.122</t>
  </si>
  <si>
    <t>Thay cách điện polymer/ composite/ silicon trung thế. Cột vuông. Lắp dưới đất 15-22kV.</t>
  </si>
  <si>
    <t>03.10.123</t>
  </si>
  <si>
    <t>Thay cách điện polymer/ composite/ silicon trung thế. Cột vuông. Lắp dưới đất 35kV.</t>
  </si>
  <si>
    <t>03.10.124</t>
  </si>
  <si>
    <t>Thay cách điện polymer/ composite/ silicon trung thế. Cột vuông. Lắp trên cột 6-10kV.</t>
  </si>
  <si>
    <t>03.10.125</t>
  </si>
  <si>
    <t>Thay cách điện polymer/ composite/ silicon trung thế. Cột vuông. Lắp trên cột 15-22kV.</t>
  </si>
  <si>
    <t>03.10.126</t>
  </si>
  <si>
    <t>Thay cách điện polymer/ composite/ silicon trung thế. Cột vuông. Lắp trên cột 35kV.</t>
  </si>
  <si>
    <t>03.10.211</t>
  </si>
  <si>
    <t>Thay cách điện polymer/ composite/ silicon đỡ đơn cho dây dẫn trên cột thép sắt. Hạng mục công việc &lt;=35kV. Chiều cao lắp chuỗi &lt;= 20m</t>
  </si>
  <si>
    <t>03.10.212</t>
  </si>
  <si>
    <t>Thay cách điện polymer/ composite/ silicon đỡ đơn cho dây dẫn trên cột thép sắt. Hạng mục công việc &lt;=35kV. Chiều cao lắp chuỗi &lt;= 30m</t>
  </si>
  <si>
    <t>03.10.213</t>
  </si>
  <si>
    <t>Thay cách điện polymer/ composite/ silicon đỡ đơn cho dây dẫn trên cột thép sắt. Hạng mục công việc &lt;=35kV. Chiều cao lắp chuỗi &lt;= 40m</t>
  </si>
  <si>
    <t>03.10.214</t>
  </si>
  <si>
    <t>Thay cách điện polymer/ composite/ silicon đỡ đơn cho dây dẫn trên cột thép sắt. Hạng mục công việc &lt;=35kV. Chiều cao lắp chuỗi &lt;= 50m</t>
  </si>
  <si>
    <t>03.10.215</t>
  </si>
  <si>
    <t>Thay cách điện polymer/ composite/ silicon đỡ đơn cho dây dẫn trên cột thép sắt. Hạng mục công việc &lt;=35kV. Chiều cao lắp chuỗi &lt;= 60m</t>
  </si>
  <si>
    <t>03.10.221</t>
  </si>
  <si>
    <t>Thay cách điện polymer/ composite/ silicon đỡ đơn cho dây dẫn trên cột thép sắt. Hạng mục công việc 110kV. Chiều cao lắp chuỗi &lt;= 20m</t>
  </si>
  <si>
    <t>03.10.222</t>
  </si>
  <si>
    <t>Thay cách điện polymer/ composite/ silicon đỡ đơn cho dây dẫn trên cột thép sắt. Hạng mục công việc 110kV. Chiều cao lắp chuỗi &lt;= 30m</t>
  </si>
  <si>
    <t>03.10.223</t>
  </si>
  <si>
    <t>Thay cách điện polymer/ composite/ silicon đỡ đơn cho dây dẫn trên cột thép sắt. Hạng mục công việc 110kV. Chiều cao lắp chuỗi &lt;= 40m</t>
  </si>
  <si>
    <t>03.10.224</t>
  </si>
  <si>
    <t>Thay cách điện polymer/ composite/ silicon đỡ đơn cho dây dẫn trên cột thép sắt. Hạng mục công việc 110kV. Chiều cao lắp chuỗi &lt;= 50m</t>
  </si>
  <si>
    <t>03.10.225</t>
  </si>
  <si>
    <t>Thay cách điện polymer/ composite/ silicon đỡ đơn cho dây dẫn trên cột thép sắt. Hạng mục công việc 110kV. Chiều cao lắp chuỗi &lt;= 60m</t>
  </si>
  <si>
    <t>03.10.226</t>
  </si>
  <si>
    <t>Thay cách điện polymer/ composite/ silicon đỡ đơn cho dây dẫn trên cột thép sắt. Hạng mục công việc 110kV. Chiều cao lắp chuỗi &lt;= 70m</t>
  </si>
  <si>
    <t>03.10.227</t>
  </si>
  <si>
    <t>Thay cách điện polymer/ composite/ silicon đỡ đơn cho dây dẫn trên cột thép sắt. Hạng mục công việc 110kV. Chiều cao lắp chuỗi &gt; 70m</t>
  </si>
  <si>
    <t>03.10.231</t>
  </si>
  <si>
    <t>Thay cách điện polymer/ composite/ silicon đỡ đơn cho dây dẫn trên cột thép sắt. Hạng mục công việc 220kV. Chiều cao lắp chuỗi &lt;= 20m</t>
  </si>
  <si>
    <t>03.10.232</t>
  </si>
  <si>
    <t>Thay cách điện polymer/ composite/ silicon đỡ đơn cho dây dẫn trên cột thép sắt. Hạng mục công việc 220kV. Chiều cao lắp chuỗi &lt;= 30m</t>
  </si>
  <si>
    <t>03.10.233</t>
  </si>
  <si>
    <t>Thay cách điện polymer/ composite/ silicon đỡ đơn cho dây dẫn trên cột thép sắt. Hạng mục công việc 220kV. Chiều cao lắp chuỗi &lt;= 40m</t>
  </si>
  <si>
    <t>03.10.234</t>
  </si>
  <si>
    <t>Thay cách điện polymer/ composite/ silicon đỡ đơn cho dây dẫn trên cột thép sắt. Hạng mục công việc 220kV. Chiều cao lắp chuỗi &lt;= 50m</t>
  </si>
  <si>
    <t>03.10.235</t>
  </si>
  <si>
    <t>Thay cách điện polymer/ composite/ silicon đỡ đơn cho dây dẫn trên cột thép sắt. Hạng mục công việc 220kV. Chiều cao lắp chuỗi &lt;= 60m</t>
  </si>
  <si>
    <t>03.10.236</t>
  </si>
  <si>
    <t>Thay cách điện polymer/ composite/ silicon đỡ đơn cho dây dẫn trên cột thép sắt. Hạng mục công việc 220kV. Chiều cao lắp chuỗi &lt;= 70m</t>
  </si>
  <si>
    <t>03.10.237</t>
  </si>
  <si>
    <t>Thay cách điện polymer/ composite/ silicon đỡ đơn cho dây dẫn trên cột thép sắt. Hạng mục công việc 220kV. Chiều cao lắp chuỗi &gt; 70m</t>
  </si>
  <si>
    <t>03.10.242</t>
  </si>
  <si>
    <t>Thay cách điện polymer/ composite/ silicon đỡ đơn cho dây dẫn trên cột thép sắt. Hạng mục công việc 500kV. Chiều cao lắp chuỗi &lt;= 30m</t>
  </si>
  <si>
    <t>03.10.243</t>
  </si>
  <si>
    <t>Thay cách điện polymer/ composite/ silicon đỡ đơn cho dây dẫn trên cột thép sắt. Hạng mục công việc 500kV. Chiều cao lắp chuỗi &lt;= 40m</t>
  </si>
  <si>
    <t>03.10.244</t>
  </si>
  <si>
    <t>Thay cách điện polymer/ composite/ silicon đỡ đơn cho dây dẫn trên cột thép sắt. Hạng mục công việc 500kV. Chiều cao lắp chuỗi &lt;= 50m</t>
  </si>
  <si>
    <t>03.10.245</t>
  </si>
  <si>
    <t>Thay cách điện polymer/ composite/ silicon đỡ đơn cho dây dẫn trên cột thép sắt. Hạng mục công việc 500kV. Chiều cao lắp chuỗi &lt;= 60m</t>
  </si>
  <si>
    <t>03.10.246</t>
  </si>
  <si>
    <t>Thay cách điện polymer/ composite/ silicon đỡ đơn cho dây dẫn trên cột thép sắt. Hạng mục công việc 500kV. Chiều cao lắp chuỗi &lt;= 70m</t>
  </si>
  <si>
    <t>03.10.247</t>
  </si>
  <si>
    <t>Thay cách điện polymer/ composite/ silicon đỡ đơn cho dây dẫn trên cột thép sắt. Hạng mục công việc 500kV. Chiều cao lắp chuỗi &gt; 70m</t>
  </si>
  <si>
    <t>03.10.311</t>
  </si>
  <si>
    <t>Thay cách điện polymer/ composite/ silicon đỡ đơn dây lèo. Hạng mục công việc &lt;= 35kV. Chiều cao lắp chuỗi &lt;= 20m</t>
  </si>
  <si>
    <t>03.10.312</t>
  </si>
  <si>
    <t>Thay cách điện polymer/ composite/ silicon đỡ đơn dây lèo. Hạng mục công việc &lt;= 35kV. Chiều cao lắp chuỗi &lt;= 30m</t>
  </si>
  <si>
    <t>03.10.313</t>
  </si>
  <si>
    <t>Thay cách điện polymer/ composite/ silicon đỡ đơn dây lèo. Hạng mục công việc &lt;= 35kV. Chiều cao lắp chuỗi &lt;= 40m</t>
  </si>
  <si>
    <t>03.10.314</t>
  </si>
  <si>
    <t>Thay cách điện polymer/ composite/ silicon đỡ đơn dây lèo. Hạng mục công việc &lt;= 35kV. Chiều cao lắp chuỗi &lt;= 50m</t>
  </si>
  <si>
    <t>03.10.315</t>
  </si>
  <si>
    <t>Thay cách điện polymer/ composite/ silicon đỡ đơn dây lèo. Hạng mục công việc &lt;= 35kV. Chiều cao lắp chuỗi &lt;= 60m</t>
  </si>
  <si>
    <t>03.10.321</t>
  </si>
  <si>
    <t>Thay cách điện polymer/ composite/ silicon đỡ đơn dây lèo. Hạng mục công việc 110kV. Chiều cao lắp chuỗi &lt;= 20m</t>
  </si>
  <si>
    <t>03.10.322</t>
  </si>
  <si>
    <t>Thay cách điện polymer/ composite/ silicon đỡ đơn dây lèo. Hạng mục công việc 110kV. Chiều cao lắp chuỗi &lt;= 30m</t>
  </si>
  <si>
    <t>03.10.323</t>
  </si>
  <si>
    <t>Thay cách điện polymer/ composite/ silicon đỡ đơn dây lèo. Hạng mục công việc 110kV. Chiều cao lắp chuỗi &lt;= 40m</t>
  </si>
  <si>
    <t>03.10.324</t>
  </si>
  <si>
    <t>Thay cách điện polymer/ composite/ silicon đỡ đơn dây lèo. Hạng mục công việc 110kV. Chiều cao lắp chuỗi &lt;= 50m</t>
  </si>
  <si>
    <t>03.10.325</t>
  </si>
  <si>
    <t>Thay cách điện polymer/ composite/ silicon đỡ đơn dây lèo. Hạng mục công việc 110kV. Chiều cao lắp chuỗi &lt;= 60m</t>
  </si>
  <si>
    <t>03.10.326</t>
  </si>
  <si>
    <t>Thay cách điện polymer/ composite/ silicon đỡ đơn dây lèo. Hạng mục công việc 110kV. Chiều cao lắp chuỗi &lt;= 70m</t>
  </si>
  <si>
    <t>03.10.327</t>
  </si>
  <si>
    <t>Thay cách điện polymer/ composite/ silicon đỡ đơn dây lèo. Hạng mục công việc 110kV. Chiều cao lắp chuỗi &gt; 70m</t>
  </si>
  <si>
    <t>03.10.331</t>
  </si>
  <si>
    <t>Thay cách điện polymer/ composite/ silicon đỡ đơn dây lèo. Hạng mục công việc 220kV. Chiều cao lắp chuỗi &lt;= 20m</t>
  </si>
  <si>
    <t>03.10.332</t>
  </si>
  <si>
    <t>Thay cách điện polymer/ composite/ silicon đỡ đơn dây lèo. Hạng mục công việc 220kV. Chiều cao lắp chuỗi &lt;= 30m</t>
  </si>
  <si>
    <t>03.10.333</t>
  </si>
  <si>
    <t>Thay cách điện polymer/ composite/ silicon đỡ đơn dây lèo. Hạng mục công việc 220kV. Chiều cao lắp chuỗi &lt;= 40m</t>
  </si>
  <si>
    <t>03.10.334</t>
  </si>
  <si>
    <t>Thay cách điện polymer/ composite/ silicon đỡ đơn dây lèo. Hạng mục công việc 220kV. Chiều cao lắp chuỗi &lt;= 50m</t>
  </si>
  <si>
    <t>03.10.335</t>
  </si>
  <si>
    <t>Thay cách điện polymer/ composite/ silicon đỡ đơn dây lèo. Hạng mục công việc 220kV. Chiều cao lắp chuỗi &lt;= 60m</t>
  </si>
  <si>
    <t>03.10.336</t>
  </si>
  <si>
    <t>Thay cách điện polymer/ composite/ silicon đỡ đơn dây lèo. Hạng mục công việc 220kV. Chiều cao lắp chuỗi &lt;= 70m</t>
  </si>
  <si>
    <t>03.10.337</t>
  </si>
  <si>
    <t>Thay cách điện polymer/ composite/ silicon đỡ đơn dây lèo. Hạng mục công việc 220kV. Chiều cao lắp chuỗi &gt; 70m</t>
  </si>
  <si>
    <t>03.10.342</t>
  </si>
  <si>
    <t>Thay cách điện polymer/ composite/ silicon đỡ đơn dây lèo. Hạng mục công việc 500kV. Chiều cao lắp chuỗi &lt;= 30m</t>
  </si>
  <si>
    <t>03.10.343</t>
  </si>
  <si>
    <t>Thay cách điện polymer/ composite/ silicon đỡ đơn dây lèo. Hạng mục công việc 500kV. Chiều cao lắp chuỗi &lt;= 40m</t>
  </si>
  <si>
    <t>03.10.344</t>
  </si>
  <si>
    <t>Thay cách điện polymer/ composite/ silicon đỡ đơn dây lèo. Hạng mục công việc 500kV. Chiều cao lắp chuỗi &lt;= 50m</t>
  </si>
  <si>
    <t>03.10.345</t>
  </si>
  <si>
    <t>Thay cách điện polymer/ composite/ silicon đỡ đơn dây lèo. Hạng mục công việc 500kV. Chiều cao lắp chuỗi &lt;= 60m</t>
  </si>
  <si>
    <t>03.10.346</t>
  </si>
  <si>
    <t>Thay cách điện polymer/ composite/ silicon đỡ đơn dây lèo. Hạng mục công việc 500kV. Chiều cao lắp chuỗi &lt;= 70m</t>
  </si>
  <si>
    <t>03.10.347</t>
  </si>
  <si>
    <t>Thay cách điện polymer/ composite/ silicon đỡ đơn dây lèo. Hạng mục công việc 500kV. Chiều cao lắp chuỗi &gt; 70m</t>
  </si>
  <si>
    <t>03.10.411</t>
  </si>
  <si>
    <t>Thay cách điện polymer/ composite/ silicon néo đơn dây dẫn. Hạng mục công việc &lt;= 35kV. Chiều cao lắp chuỗi &lt;= 20m</t>
  </si>
  <si>
    <t>03.10.412</t>
  </si>
  <si>
    <t>Thay cách điện polymer/ composite/ silicon néo đơn dây dẫn. Hạng mục công việc &lt;= 35kV. Chiều cao lắp chuỗi &lt;= 30m</t>
  </si>
  <si>
    <t>03.10.413</t>
  </si>
  <si>
    <t>Thay cách điện polymer/ composite/ silicon néo đơn dây dẫn. Hạng mục công việc &lt;= 35kV. Chiều cao lắp chuỗi &lt;= 40m</t>
  </si>
  <si>
    <t>03.10.414</t>
  </si>
  <si>
    <t>Thay cách điện polymer/ composite/ silicon néo đơn dây dẫn. Hạng mục công việc &lt;= 35kV. Chiều cao lắp chuỗi &lt;= 50m</t>
  </si>
  <si>
    <t>03.10.415</t>
  </si>
  <si>
    <t>Thay cách điện polymer/ composite/ silicon néo đơn dây dẫn. Hạng mục công việc &lt;= 35kV. Chiều cao lắp chuỗi &lt;= 60m</t>
  </si>
  <si>
    <t>03.10.421</t>
  </si>
  <si>
    <t>Thay cách điện polymer/ composite/ silicon néo đơn dây dẫn. Hạng mục công việc 110kV. Chiều cao lắp chuỗi &lt;= 20m</t>
  </si>
  <si>
    <t>03.10.422</t>
  </si>
  <si>
    <t>Thay cách điện polymer/ composite/ silicon néo đơn dây dẫn. Hạng mục công việc 110kV. Chiều cao lắp chuỗi &lt;= 30m</t>
  </si>
  <si>
    <t>03.10.423</t>
  </si>
  <si>
    <t>Thay cách điện polymer/ composite/ silicon néo đơn dây dẫn. Hạng mục công việc 110kV. Chiều cao lắp chuỗi &lt;= 40m</t>
  </si>
  <si>
    <t>03.10.424</t>
  </si>
  <si>
    <t>Thay cách điện polymer/ composite/ silicon néo đơn dây dẫn. Hạng mục công việc 110kV. Chiều cao lắp chuỗi &lt;= 50m</t>
  </si>
  <si>
    <t>03.10.425</t>
  </si>
  <si>
    <t>Thay cách điện polymer/ composite/ silicon néo đơn dây dẫn. Hạng mục công việc 110kV. Chiều cao lắp chuỗi &lt;= 60m</t>
  </si>
  <si>
    <t>03.10.426</t>
  </si>
  <si>
    <t>Thay cách điện polymer/ composite/ silicon néo đơn dây dẫn. Hạng mục công việc 110kV. Chiều cao lắp chuỗi &lt;= 70m</t>
  </si>
  <si>
    <t>03.10.427</t>
  </si>
  <si>
    <t>Thay cách điện polymer/ composite/ silicon néo đơn dây dẫn. Hạng mục công việc 110kV. Chiều cao lắp chuỗi &gt; 70m</t>
  </si>
  <si>
    <t>03.10.431</t>
  </si>
  <si>
    <t>Thay cách điện polymer/ composite/ silicon néo đơn dây dẫn. Hạng mục công việc 220kV. Chiều cao lắp chuỗi &lt;= 20m</t>
  </si>
  <si>
    <t>03.10.432</t>
  </si>
  <si>
    <t>Thay cách điện polymer/ composite/ silicon néo đơn dây dẫn. Hạng mục công việc 220kV. Chiều cao lắp chuỗi &lt;= 30m</t>
  </si>
  <si>
    <t>03.10.433</t>
  </si>
  <si>
    <t>Thay cách điện polymer/ composite/ silicon néo đơn dây dẫn. Hạng mục công việc 220kV. Chiều cao lắp chuỗi &lt;= 40m</t>
  </si>
  <si>
    <t>03.10.434</t>
  </si>
  <si>
    <t>Thay cách điện polymer/ composite/ silicon néo đơn dây dẫn. Hạng mục công việc 220kV. Chiều cao lắp chuỗi &lt;= 50m</t>
  </si>
  <si>
    <t>03.10.435</t>
  </si>
  <si>
    <t>Thay cách điện polymer/ composite/ silicon néo đơn dây dẫn. Hạng mục công việc 220kV. Chiều cao lắp chuỗi &lt;= 60m</t>
  </si>
  <si>
    <t>03.10.436</t>
  </si>
  <si>
    <t>Thay cách điện polymer/ composite/ silicon néo đơn dây dẫn. Hạng mục công việc 220kV. Chiều cao lắp chuỗi &lt;= 70m</t>
  </si>
  <si>
    <t>03.10.437</t>
  </si>
  <si>
    <t>Thay cách điện polymer/ composite/ silicon néo đơn dây dẫn. Hạng mục công việc 220kV. Chiều cao lắp chuỗi &gt; 70m</t>
  </si>
  <si>
    <t>03.10.441</t>
  </si>
  <si>
    <t>Thay cách điện polymer/ composite/ silicon néo đơn dây dẫn. Hạng mục công việc 500kV. Chiều cao lắp chuỗi &lt;= 20m</t>
  </si>
  <si>
    <t>03.10.442</t>
  </si>
  <si>
    <t>Thay cách điện polymer/ composite/ silicon néo đơn dây dẫn. Hạng mục công việc 500kV. Chiều cao lắp chuỗi &lt;= 30m</t>
  </si>
  <si>
    <t>03.10.443</t>
  </si>
  <si>
    <t>Thay cách điện polymer/ composite/ silicon néo đơn dây dẫn. Hạng mục công việc 500kV. Chiều cao lắp chuỗi &lt;= 40m</t>
  </si>
  <si>
    <t>03.10.444</t>
  </si>
  <si>
    <t>Thay cách điện polymer/ composite/ silicon néo đơn dây dẫn. Hạng mục công việc 500kV. Chiều cao lắp chuỗi &lt;= 50m</t>
  </si>
  <si>
    <t>03.10.445</t>
  </si>
  <si>
    <t>Thay cách điện polymer/ composite/ silicon néo đơn dây dẫn. Hạng mục công việc 500kV. Chiều cao lắp chuỗi &lt;= 60m</t>
  </si>
  <si>
    <t>03.10.446</t>
  </si>
  <si>
    <t>Thay cách điện polymer/ composite/ silicon néo đơn dây dẫn. Hạng mục công việc 500kV. Chiều cao lắp chuỗi &lt;= 70m</t>
  </si>
  <si>
    <t>03.10.447</t>
  </si>
  <si>
    <t>Thay cách điện polymer/ composite/ silicon néo đơn dây dẫn. Hạng mục công việc 500kV. Chiều cao lắp chuỗi &gt; 70m</t>
  </si>
  <si>
    <t>03.11.101</t>
  </si>
  <si>
    <t>Thay thanh cái dẹt 25x4</t>
  </si>
  <si>
    <t>03.11.102</t>
  </si>
  <si>
    <t>Thay thanh cái dẹt 40x4</t>
  </si>
  <si>
    <t>03.11.103</t>
  </si>
  <si>
    <t>Thay thanh cái dẹt 60x6</t>
  </si>
  <si>
    <t>03.11.104</t>
  </si>
  <si>
    <t>Thay thanh cái dẹt 80x8</t>
  </si>
  <si>
    <t>03.11.105</t>
  </si>
  <si>
    <t>Thay thanh cái dẹt 100x10</t>
  </si>
  <si>
    <t>03.11.106</t>
  </si>
  <si>
    <t>Thay thanh cái dẹt 120x10</t>
  </si>
  <si>
    <t>03.11.201</t>
  </si>
  <si>
    <t>Thay thanh cái ống D &lt;= 80</t>
  </si>
  <si>
    <t>03.11.202</t>
  </si>
  <si>
    <t>Thay thanh cái ống D &lt;= 100</t>
  </si>
  <si>
    <t>03.11.203</t>
  </si>
  <si>
    <t>Thay thanh cái ống D &lt;= 150</t>
  </si>
  <si>
    <t>03.11.204</t>
  </si>
  <si>
    <t>Thay thanh cái ống D &lt;= 200</t>
  </si>
  <si>
    <t>03.12.001</t>
  </si>
  <si>
    <t>Thay các loại phụ kiện trong phạm vi trạm. Tạ bù 50kg</t>
  </si>
  <si>
    <t>03.12.002</t>
  </si>
  <si>
    <t>Thay các loại phụ kiện trong phạm vi trạm. Chống rung</t>
  </si>
  <si>
    <t>03.12.003</t>
  </si>
  <si>
    <t>Thay các loại phụ kiện trong phạm vi trạm. Thu lôi ống</t>
  </si>
  <si>
    <t>03.12.004</t>
  </si>
  <si>
    <t>Thay các loại phụ kiện trong phạm vi trạm. M phỏng</t>
  </si>
  <si>
    <t>03.12.005</t>
  </si>
  <si>
    <t>Thay các loại phụ kiện trong phạm vi trạm. Khóa các loại</t>
  </si>
  <si>
    <t>03.12.006</t>
  </si>
  <si>
    <t>Thay các loại phụ kiện trong phạm vi trạm. Đầu cốt ép</t>
  </si>
  <si>
    <t>03.12.007</t>
  </si>
  <si>
    <t>Thay các loại phụ kiện trong phạm vi trạm. Kẹp các loại</t>
  </si>
  <si>
    <t>03.12.008</t>
  </si>
  <si>
    <t>Thay các loại phụ kiện trong phạm vi trạm. Khung định vị</t>
  </si>
  <si>
    <t>03.12.009</t>
  </si>
  <si>
    <t>Thay các loại phụ kiện trong phạm vi trạm. Phụ kiện thanh cái</t>
  </si>
  <si>
    <t>03.13.101</t>
  </si>
  <si>
    <t>Ép nối dây. Tiết diện dây &lt;= 120mm2</t>
  </si>
  <si>
    <t>03.13.102</t>
  </si>
  <si>
    <t>Ép nối dây. Tiết diện dây &lt;= 150mm2</t>
  </si>
  <si>
    <t>03.13.103</t>
  </si>
  <si>
    <t>Ép nối dây. Tiết diện dây &lt;= 185mm2</t>
  </si>
  <si>
    <t>03.13.104</t>
  </si>
  <si>
    <t>Ép nối dây. Tiết diện dây &lt;= 240mm2</t>
  </si>
  <si>
    <t>03.13.105</t>
  </si>
  <si>
    <t>Ép nối dây. Tiết diện dây &lt;= 300mm2</t>
  </si>
  <si>
    <t>03.13.106</t>
  </si>
  <si>
    <t>Ép nối dây. Tiết diện dây &lt;= 400mm2</t>
  </si>
  <si>
    <t>03.13.107</t>
  </si>
  <si>
    <t>Ép nối dây. Tiết diện dây &lt;= 500mm2</t>
  </si>
  <si>
    <t>03.13.108</t>
  </si>
  <si>
    <t>Ép nối dây. Tiết diện dây &gt; 500mm2</t>
  </si>
  <si>
    <t>03.13.201</t>
  </si>
  <si>
    <t>Ép khóa néo. Tiết diện dây &lt;= 120mm2</t>
  </si>
  <si>
    <t>03.13.202</t>
  </si>
  <si>
    <t>Ép khóa néo. Tiết diện dây &lt;= 150mm2</t>
  </si>
  <si>
    <t>03.13.203</t>
  </si>
  <si>
    <t>Ép khóa néo. Tiết diện dây &lt;= 185mm2</t>
  </si>
  <si>
    <t>03.13.204</t>
  </si>
  <si>
    <t>Ép khóa néo. Tiết diện dây &lt;= 240mm2</t>
  </si>
  <si>
    <t>03.13.205</t>
  </si>
  <si>
    <t>Ép khóa néo. Tiết diện dây &lt;= 300mm2</t>
  </si>
  <si>
    <t>03.13.206</t>
  </si>
  <si>
    <t>Ép khóa néo. Tiết diện dây &lt;= 400mm2</t>
  </si>
  <si>
    <t>03.13.207</t>
  </si>
  <si>
    <t>Ép khóa néo. Tiết diện dây &lt;= 500mm2</t>
  </si>
  <si>
    <t>03.13.208</t>
  </si>
  <si>
    <t>Ép khóa néo. Tiết diện dây &gt; 500mm2</t>
  </si>
  <si>
    <t>03.13.301</t>
  </si>
  <si>
    <t>Ép vá dây. Tiết diện dây &lt;= 120mm2</t>
  </si>
  <si>
    <t>03.13.302</t>
  </si>
  <si>
    <t>Ép vá dây. Tiết diện dây &lt;= 150mm2</t>
  </si>
  <si>
    <t>03.13.303</t>
  </si>
  <si>
    <t>Ép vá dây. Tiết diện dây &lt;= 185mm2</t>
  </si>
  <si>
    <t>03.13.304</t>
  </si>
  <si>
    <t>Ép vá dây. Tiết diện dây &lt;= 240mm2</t>
  </si>
  <si>
    <t>03.13.305</t>
  </si>
  <si>
    <t>Ép vá dây. Tiết diện dây &lt;= 300mm2</t>
  </si>
  <si>
    <t>03.13.306</t>
  </si>
  <si>
    <t>Ép vá dây. Tiết diện dây &lt;= 400mm2</t>
  </si>
  <si>
    <t>03.13.307</t>
  </si>
  <si>
    <t>Ép vá dây. Tiết diện dây &lt;= 500mm2</t>
  </si>
  <si>
    <t>03.13.308</t>
  </si>
  <si>
    <t>Ép vá dây. Tiết diện dây &gt; 500mm2</t>
  </si>
  <si>
    <t>04.01.101</t>
  </si>
  <si>
    <t>Thay cột thép hình bằng thủ công. Từng chi tiết. Trọng lượng cột &lt;= 5 tấn</t>
  </si>
  <si>
    <t>04.01.102</t>
  </si>
  <si>
    <t>Thay cột thép hình bằng thủ công. Từng chi tiết. Trọng lượng cột &lt;= 15 tấn</t>
  </si>
  <si>
    <t>04.01.103</t>
  </si>
  <si>
    <t>Thay cột thép hình bằng thủ công. Từng chi tiết. Trọng lượng cột &lt;= 30 tấn</t>
  </si>
  <si>
    <t>04.01.104</t>
  </si>
  <si>
    <t>Thay cột thép hình bằng thủ công. Từng chi tiết. Trọng lượng cột &gt; 30 tấn</t>
  </si>
  <si>
    <t>04.01.201</t>
  </si>
  <si>
    <t>Thay cột thép hình bằng thủ công. Từng đoạn. Trọng lượng cột &lt;= 5 tấn</t>
  </si>
  <si>
    <t>04.01.202</t>
  </si>
  <si>
    <t>Thay cột thép hình bằng thủ công. Từng đoạn. Trọng lượng cột &lt;= 15 tấn</t>
  </si>
  <si>
    <t>04.01.203</t>
  </si>
  <si>
    <t>Thay cột thép hình bằng thủ công. Từng đoạn. Trọng lượng cột &lt;= 30 tấn</t>
  </si>
  <si>
    <t>04.01.204</t>
  </si>
  <si>
    <t>Thay cột thép hình bằng thủ công. Từng đoạn. Trọng lượng cột &gt; 30 tấn</t>
  </si>
  <si>
    <t>04.02.101</t>
  </si>
  <si>
    <t>Thay cột bê tông. Chiều cao cột &lt;= 8,5m. Hoàn toàn bằng thủ công</t>
  </si>
  <si>
    <t>1 cột</t>
  </si>
  <si>
    <t>04.02.102</t>
  </si>
  <si>
    <t>Thay cột bê tông. Chiều cao cột &lt;= 8,5m. Bằng cẩu kết hợp thủ công</t>
  </si>
  <si>
    <t>04.02.201</t>
  </si>
  <si>
    <t>Thay cột bê tông. Chiều cao cột &lt;= 10,5m. Hoàn toàn bằng thủ công</t>
  </si>
  <si>
    <t>04.02.202</t>
  </si>
  <si>
    <t>Thay cột bê tông. Chiều cao cột &lt;= 10,5m. Bằng cẩu kết hợp thủ công</t>
  </si>
  <si>
    <t>04.02.301</t>
  </si>
  <si>
    <t>Thay cột bê tông. Chiều cao cột &lt;= 12m. Hoàn toàn bằng thủ công</t>
  </si>
  <si>
    <t>04.02.302</t>
  </si>
  <si>
    <t>Thay cột bê tông. Chiều cao cột &lt;= 12m. Bằng cẩu kết hợp thủ công</t>
  </si>
  <si>
    <t>04.02.401</t>
  </si>
  <si>
    <t>Thay cột bê tông. Chiều cao cột &lt;= 14m. Hoàn toàn bằng thủ công</t>
  </si>
  <si>
    <t>04.02.402</t>
  </si>
  <si>
    <t>Thay cột bê tông. Chiều cao cột &lt;= 14m. Bằng cẩu kết hợp thủ công</t>
  </si>
  <si>
    <t>04.02.501</t>
  </si>
  <si>
    <t>Thay cột bê tông. Chiều cao cột &lt;= 16m. Hoàn toàn bằng thủ công</t>
  </si>
  <si>
    <t>04.02.502</t>
  </si>
  <si>
    <t>Thay cột bê tông. Chiều cao cột &lt;= 16m. Bằng cẩu kết hợp thủ công</t>
  </si>
  <si>
    <t>04.02.503</t>
  </si>
  <si>
    <t>Thay cột bê tông. Chiều cao cột &lt;= 16m. Bằng máy kéo kết hợp thủ công</t>
  </si>
  <si>
    <t>04.02.601</t>
  </si>
  <si>
    <t>Thay cột bê tông. Chiều cao cột &lt;= 18m. Hoàn toàn bằng thủ công</t>
  </si>
  <si>
    <t>04.02.602</t>
  </si>
  <si>
    <t>Thay cột bê tông. Chiều cao cột &lt;= 18m. Bằng cẩu kết hợp thủ công</t>
  </si>
  <si>
    <t>04.02.603</t>
  </si>
  <si>
    <t>Thay cột bê tông. Chiều cao cột &lt;= 18m. Bằng máy kéo kết hợp thủ công</t>
  </si>
  <si>
    <t>04.02.701</t>
  </si>
  <si>
    <t>Thay cột bê tông. Chiều cao cột &lt;= 20m. Hoàn toàn bằng thủ công</t>
  </si>
  <si>
    <t>04.02.702</t>
  </si>
  <si>
    <t>Thay cột bê tông. Chiều cao cột &lt;= 20m. Bằng cẩu kết hợp thủ công</t>
  </si>
  <si>
    <t>04.02.703</t>
  </si>
  <si>
    <t>Thay cột bê tông. Chiều cao cột &lt;= 20m. Bằng máy kéo kết hợp thủ công</t>
  </si>
  <si>
    <t>04.02.801</t>
  </si>
  <si>
    <t>Thay cột bê tông. Chiều cao cột &gt; 20m. Hoàn toàn bằng thủ công</t>
  </si>
  <si>
    <t>04.02.802</t>
  </si>
  <si>
    <t>Thay cột bê tông. Chiều cao cột &gt; 20m. Bằng cẩu kết hợp thủ công</t>
  </si>
  <si>
    <t>04.02.803</t>
  </si>
  <si>
    <t>Thay cột bê tông. Chiều cao cột &gt; 20m. Bằng máy kéo kết hợp thủ công</t>
  </si>
  <si>
    <t>04.03.101</t>
  </si>
  <si>
    <t>Thay xà, chụp đầu cột. Trọng lượng xà 15kg. Thay xà thép các loại cột : Đỡ</t>
  </si>
  <si>
    <t>04.03.111</t>
  </si>
  <si>
    <t>Thay xà, chụp đầu cột. Trọng lượng xà 25kg. Thay xà thép các loại cột : Đỡ</t>
  </si>
  <si>
    <t>04.03.121</t>
  </si>
  <si>
    <t>Thay xà, chụp đầu cột. Trọng lượng xà 50kg. Thay xà thép các loại cột : Đỡ</t>
  </si>
  <si>
    <t>04.03.131</t>
  </si>
  <si>
    <t>Thay xà, chụp đầu cột. Trọng lượng xà 100kg. Thay xà thép các loại cột : Đỡ</t>
  </si>
  <si>
    <t>04.03.141</t>
  </si>
  <si>
    <t>Thay xà, chụp đầu cột. Trọng lượng xà 140kg. Thay xà thép các loại cột : Đỡ</t>
  </si>
  <si>
    <t>04.03.151</t>
  </si>
  <si>
    <t>Thay xà, chụp đầu cột. Trọng lượng xà 230kg. Thay xà thép các loại cột : Đỡ</t>
  </si>
  <si>
    <t>04.03.161</t>
  </si>
  <si>
    <t>Thay xà, chụp đầu cột. Trọng lượng xà 320kg. Thay xà thép các loại cột : Đỡ</t>
  </si>
  <si>
    <t>04.03.171</t>
  </si>
  <si>
    <t>Thay xà, chụp đầu cột. Trọng lượng xà 410kg. Thay xà thép các loại cột : Đỡ</t>
  </si>
  <si>
    <t>04.03.181</t>
  </si>
  <si>
    <t>Thay xà, chụp đầu cột. Trọng lượng xà 500kg. Thay xà thép các loại cột : Đỡ</t>
  </si>
  <si>
    <t>04.03.102</t>
  </si>
  <si>
    <t>Thay xà, chụp đầu cột. Trọng lượng xà 15kg. Thay xà thép các loại cột : Néo</t>
  </si>
  <si>
    <t>04.03.112</t>
  </si>
  <si>
    <t>Thay xà, chụp đầu cột. Trọng lượng xà 25kg. Thay xà thép các loại cột : Néo</t>
  </si>
  <si>
    <t>04.03.122</t>
  </si>
  <si>
    <t>Thay xà, chụp đầu cột. Trọng lượng xà 50kg. Thay xà thép các loại cột : Néo</t>
  </si>
  <si>
    <t>04.03.132</t>
  </si>
  <si>
    <t>Thay xà, chụp đầu cột. Trọng lượng xà 100kg. Thay xà thép các loại cột : Néo</t>
  </si>
  <si>
    <t>04.03.142</t>
  </si>
  <si>
    <t>Thay xà, chụp đầu cột. Trọng lượng xà 140kg. Thay xà thép các loại cột : Néo</t>
  </si>
  <si>
    <t>04.03.152</t>
  </si>
  <si>
    <t>Thay xà, chụp đầu cột. Trọng lượng xà 230kg. Thay xà thép các loại cột : Néo</t>
  </si>
  <si>
    <t>04.03.162</t>
  </si>
  <si>
    <t>Thay xà, chụp đầu cột. Trọng lượng xà 320kg. Thay xà thép các loại cột : Néo</t>
  </si>
  <si>
    <t>04.03.172</t>
  </si>
  <si>
    <t>Thay xà, chụp đầu cột. Trọng lượng xà 410kg. Thay xà thép các loại cột : Néo</t>
  </si>
  <si>
    <t>04.03.182</t>
  </si>
  <si>
    <t>Thay xà, chụp đầu cột. Trọng lượng xà 500kg. Thay xà thép các loại cột : Néo</t>
  </si>
  <si>
    <t>04.03.143</t>
  </si>
  <si>
    <t>Thay xà, chụp đầu cột. Trọng lượng xà 140kg. Thay xà thép các loại cột : Đúp</t>
  </si>
  <si>
    <t>04.03.153</t>
  </si>
  <si>
    <t>Thay xà, chụp đầu cột. Trọng lượng xà 230kg. Thay xà thép các loại cột : Đúp</t>
  </si>
  <si>
    <t>04.03.163</t>
  </si>
  <si>
    <t>Thay xà, chụp đầu cột. Trọng lượng xà 320kg. Thay xà thép các loại cột : Đúp</t>
  </si>
  <si>
    <t>04.03.173</t>
  </si>
  <si>
    <t>Thay xà, chụp đầu cột. Trọng lượng xà 410kg. Thay xà thép các loại cột : Đúp</t>
  </si>
  <si>
    <t>04.03.183</t>
  </si>
  <si>
    <t>Thay xà, chụp đầu cột. Trọng lượng xà 500kg. Thay xà thép các loại cột : Đúp</t>
  </si>
  <si>
    <t>04.03.193</t>
  </si>
  <si>
    <t>Thay xà, chụp đầu cột. Trọng lượng xà 750kg. Thay xà thép các loại cột : Đúp</t>
  </si>
  <si>
    <t>04.03.203</t>
  </si>
  <si>
    <t>Thay xà, chụp đầu cột. Trọng lượng xà 1000kg. Thay xà thép các loại cột : Đúp</t>
  </si>
  <si>
    <t>04.03.144</t>
  </si>
  <si>
    <t>Thay xà, chụp đầu cột. Trọng lượng xà 140kg. Thay xà thép các loại cột : Hình II; A</t>
  </si>
  <si>
    <t>04.03.154</t>
  </si>
  <si>
    <t>Thay xà, chụp đầu cột. Trọng lượng xà 230kg. Thay xà thép các loại cột : Hình II; A</t>
  </si>
  <si>
    <t>04.03.164</t>
  </si>
  <si>
    <t>Thay xà, chụp đầu cột. Trọng lượng xà 320kg. Thay xà thép các loại cột : Hình II; A</t>
  </si>
  <si>
    <t>04.03.174</t>
  </si>
  <si>
    <t>Thay xà, chụp đầu cột. Trọng lượng xà 410kg. Thay xà thép các loại cột : Hình II; A</t>
  </si>
  <si>
    <t>04.03.184</t>
  </si>
  <si>
    <t>Thay xà, chụp đầu cột. Trọng lượng xà 500kg. Thay xà thép các loại cột : Hình II; A</t>
  </si>
  <si>
    <t>04.03.194</t>
  </si>
  <si>
    <t>Thay xà, chụp đầu cột. Trọng lượng xà 750kg. Thay xà thép các loại cột : Hình II; A</t>
  </si>
  <si>
    <t>04.03.204</t>
  </si>
  <si>
    <t>Thay xà, chụp đầu cột. Trọng lượng xà 1000kg. Thay xà thép các loại cột : Hình II; A</t>
  </si>
  <si>
    <t>04.04.001</t>
  </si>
  <si>
    <t>Thay cột thép ống thi công dùng máy cẩu. Chiều cao cột thép &lt;= 15m</t>
  </si>
  <si>
    <t>04.04.002</t>
  </si>
  <si>
    <t>Thay cột thép ống thi công dùng máy cẩu. Chiều cao cột thép &lt;= 25m</t>
  </si>
  <si>
    <t>04.04.003</t>
  </si>
  <si>
    <t>Thay cột thép ống thi công dùng máy cẩu. Chiều cao cột thép &lt;= 35m</t>
  </si>
  <si>
    <t>04.04.004</t>
  </si>
  <si>
    <t>Thay cột thép ống thi công dùng máy cẩu. Chiều cao cột thép &lt;= 45m</t>
  </si>
  <si>
    <t>04.04.005</t>
  </si>
  <si>
    <t>Thay cột thép ống thi công dùng máy cẩu. Chiều cao cột thép &lt;= 50m</t>
  </si>
  <si>
    <t>04.04.006</t>
  </si>
  <si>
    <t>Thay cột thép ống thi công dùng máy cẩu. Chiều cao cột thép &lt;= 80m</t>
  </si>
  <si>
    <t>04.04.007</t>
  </si>
  <si>
    <t>Thay cột thép ống thi công dùng máy cẩu. Chiều cao cột thép &gt; 80m</t>
  </si>
  <si>
    <t>04.05.001</t>
  </si>
  <si>
    <t>Thay móng đà cản của cột bê tông ly tâm. Trọng lượng cấu kiện &lt;= 100kg</t>
  </si>
  <si>
    <t>04.05.002</t>
  </si>
  <si>
    <t>Thay móng đà cản của cột bê tông ly tâm. Trọng lượng cấu kiện &lt;= 150kg</t>
  </si>
  <si>
    <t>04.05.003</t>
  </si>
  <si>
    <t>Thay móng đà cản của cột bê tông ly tâm. Trọng lượng cấu kiện &lt;= 200kg</t>
  </si>
  <si>
    <t>04.05.004</t>
  </si>
  <si>
    <t>Thay móng đà cản của cột bê tông ly tâm. Trọng lượng cấu kiện &lt;= 250kg</t>
  </si>
  <si>
    <t>04.06.101</t>
  </si>
  <si>
    <t>Thay cột thép hình bằng thủ công kết hợp cơ giới. Chiều cao cột &lt;= 15m</t>
  </si>
  <si>
    <t>04.06.201</t>
  </si>
  <si>
    <t>Thay cột thép hình bằng thủ công kết hợp cơ giới. Chiều cao cột &lt;= 30m</t>
  </si>
  <si>
    <t>04.06.301</t>
  </si>
  <si>
    <t>Thay cột thép hình bằng thủ công kết hợp cơ giới. Chiều cao cột &lt;= 40m</t>
  </si>
  <si>
    <t>04.06.401</t>
  </si>
  <si>
    <t>Thay cột thép hình bằng thủ công kết hợp cơ giới. Chiều cao cột &lt;= 50m</t>
  </si>
  <si>
    <t>04.06.501</t>
  </si>
  <si>
    <t>Thay cột thép hình bằng thủ công kết hợp cơ giới. Chiều cao cột &lt;= 60m</t>
  </si>
  <si>
    <t>04.06.601</t>
  </si>
  <si>
    <t>Thay cột thép hình bằng thủ công kết hợp cơ giới. Chiều cao cột &lt;= 70m</t>
  </si>
  <si>
    <t>04.06.701</t>
  </si>
  <si>
    <t>Thay cột thép hình bằng thủ công kết hợp cơ giới. Chiều cao cột &lt;= 85m</t>
  </si>
  <si>
    <t>04.06.801</t>
  </si>
  <si>
    <t>Thay cột thép hình bằng thủ công kết hợp cơ giới. Chiều cao cột &lt;= 100m</t>
  </si>
  <si>
    <t>05.01.101</t>
  </si>
  <si>
    <t>Thay dây bằng thủ công. Dây nhôm lõi thép (AC, ACSR,...). Tiết diện dây &lt;=16mm2</t>
  </si>
  <si>
    <t>1km / 1dây</t>
  </si>
  <si>
    <t>05.01.102</t>
  </si>
  <si>
    <t>Thay dây bằng thủ công. Dây nhôm lõi thép (AC, ACSR,...). Tiết diện dây &lt;= 25mm2</t>
  </si>
  <si>
    <t>05.01.103</t>
  </si>
  <si>
    <t>Thay dây bằng thủ công. Dây nhôm lõi thép (AC, ACSR,...). Tiết diện dây &lt;= 35mm2</t>
  </si>
  <si>
    <t>05.01.104</t>
  </si>
  <si>
    <t>Thay dây bằng thủ công. Dây nhôm lõi thép (AC, ACSR,...). Tiết diện dây &lt;= 50mm2</t>
  </si>
  <si>
    <t>05.01.105</t>
  </si>
  <si>
    <t>Thay dây bằng thủ công. Dây nhôm lõi thép (AC, ACSR,...). Tiết diện dây &lt;= 70mm2</t>
  </si>
  <si>
    <t>05.01.106</t>
  </si>
  <si>
    <t>Thay dây bằng thủ công. Dây nhôm lõi thép (AC, ACSR,...). Tiết diện dây &lt;= 95mm2</t>
  </si>
  <si>
    <t>05.01.107</t>
  </si>
  <si>
    <t>Thay dây bằng thủ công. Dây nhôm lõi thép (AC, ACSR,...). Tiết diện dây &lt;= 120mm2</t>
  </si>
  <si>
    <t>05.01.108</t>
  </si>
  <si>
    <t>Thay dây bằng thủ công. Dây nhôm lõi thép (AC, ACSR,...). Tiết diện dây &lt;= 150mm2</t>
  </si>
  <si>
    <t>05.01.109</t>
  </si>
  <si>
    <t>Thay dây bằng thủ công. Dây nhôm lõi thép (AC, ACSR,...). Tiết diện dây &lt;= 185mm2</t>
  </si>
  <si>
    <t>05.01.110</t>
  </si>
  <si>
    <t>Thay dây bằng thủ công. Dây nhôm lõi thép (AC, ACSR,...). Tiết diện dây &lt;= 240mm2</t>
  </si>
  <si>
    <t>05.01.111</t>
  </si>
  <si>
    <t>Thay dây bằng thủ công. Dây nhôm lõi thép (AC, ACSR,...). Tiết diện dây &lt;= 300mm2</t>
  </si>
  <si>
    <t>05.01.112</t>
  </si>
  <si>
    <t>Thay dây bằng thủ công. Dây nhôm lõi thép (AC, ACSR,...). Tiết diện dây &lt;= 400mm2</t>
  </si>
  <si>
    <t>05.01.113</t>
  </si>
  <si>
    <t>Thay dây bằng thủ công. Dây nhôm lõi thép (AC, ACSR,...). Tiết diện dây &lt;= 500mm2</t>
  </si>
  <si>
    <t>05.01.114</t>
  </si>
  <si>
    <t>Thay dây bằng thủ công. Dây nhôm lõi thép (AC, ACSR,...). Tiết diện dây &gt; 500mm2</t>
  </si>
  <si>
    <t>05.01.201</t>
  </si>
  <si>
    <t>Thay dây bằng thủ công. Dây nhôm (A). Tiết diện dây &lt;= 16mm2</t>
  </si>
  <si>
    <t>05.01.202</t>
  </si>
  <si>
    <t>Thay dây bằng thủ công. Dây nhôm (A). Tiết diện dây &lt;= 25mm2</t>
  </si>
  <si>
    <t>05.01.203</t>
  </si>
  <si>
    <t>Thay dây bằng thủ công. Dây nhôm (A). Tiết diện dây &lt;= 35mm2</t>
  </si>
  <si>
    <t>05.01.204</t>
  </si>
  <si>
    <t>Thay dây bằng thủ công. Dây nhôm (A). Tiết diện dây &lt;= 50mm2</t>
  </si>
  <si>
    <t>05.01.205</t>
  </si>
  <si>
    <t>Thay dây bằng thủ công. Dây nhôm (A). Tiết diện dây &lt;= 70mm2</t>
  </si>
  <si>
    <t>05.01.206</t>
  </si>
  <si>
    <t>Thay dây bằng thủ công. Dây nhôm (A). Tiết diện dây &lt;= 95mm2</t>
  </si>
  <si>
    <t>05.01.207</t>
  </si>
  <si>
    <t>Thay dây bằng thủ công. Dây nhôm (A). Tiết diện dây &lt;= 120mm2</t>
  </si>
  <si>
    <t>05.01.208</t>
  </si>
  <si>
    <t>Thay dây bằng thủ công. Dây nhôm (A). Tiết diện dây &lt;= 150mm2</t>
  </si>
  <si>
    <t>05.01.209</t>
  </si>
  <si>
    <t>Thay dây bằng thủ công. Dây nhôm (A). Tiết diện dây &lt;= 185mm2</t>
  </si>
  <si>
    <t>05.01.210</t>
  </si>
  <si>
    <t>Thay dây bằng thủ công. Dây nhôm (A). Tiết diện dây &lt;= 240mm2</t>
  </si>
  <si>
    <t>05.01.211</t>
  </si>
  <si>
    <t>Thay dây bằng thủ công. Dây nhôm (A). Tiết diện dây &lt;= 300mm2</t>
  </si>
  <si>
    <t>05.01.212</t>
  </si>
  <si>
    <t>Thay dây bằng thủ công. Dây nhôm (A). Tiết diện dây &lt;= 400mm2</t>
  </si>
  <si>
    <t>05.01.213</t>
  </si>
  <si>
    <t>Thay dây bằng thủ công. Dây nhôm (A). Tiết diện dây &lt;= 500mm2</t>
  </si>
  <si>
    <t>05.01.214</t>
  </si>
  <si>
    <t>Thay dây bằng thủ công. Dây nhôm (A). Tiết diện dây &gt; 500mm2</t>
  </si>
  <si>
    <t>05.01.301</t>
  </si>
  <si>
    <t>Thay dây bằng thủ công. Dây thép. Tiết diện dây &lt;= 16mm2</t>
  </si>
  <si>
    <t>05.01.302</t>
  </si>
  <si>
    <t>Thay dây bằng thủ công. Dây thép. Tiết diện dây &lt;= 25mm2</t>
  </si>
  <si>
    <t>05.01.303</t>
  </si>
  <si>
    <t>Thay dây bằng thủ công. Dây thép. Tiết diện dây &lt;= 35mm2</t>
  </si>
  <si>
    <t>05.01.304</t>
  </si>
  <si>
    <t>Thay dây bằng thủ công. Dây thép. Tiết diện dây &lt;= 50mm2</t>
  </si>
  <si>
    <t>05.01.305</t>
  </si>
  <si>
    <t>Thay dây bằng thủ công. Dây thép. Tiết diện dây &lt;= 70mm2</t>
  </si>
  <si>
    <t>05.01.401</t>
  </si>
  <si>
    <t>Thay dây bằng thủ công. Dây đồng (M). Tiết diện dây &lt;= 16mm2</t>
  </si>
  <si>
    <t>05.01.402</t>
  </si>
  <si>
    <t>Thay dây bằng thủ công. Dây đồng (M). Tiết diện dây &lt;= 25mm2</t>
  </si>
  <si>
    <t>05.01.403</t>
  </si>
  <si>
    <t>Thay dây bằng thủ công. Dây đồng (M). Tiết diện dây &lt;= 35mm2</t>
  </si>
  <si>
    <t>05.01.404</t>
  </si>
  <si>
    <t>Thay dây bằng thủ công. Dây đồng (M). Tiết diện dây &lt;= 50mm2</t>
  </si>
  <si>
    <t>05.01.405</t>
  </si>
  <si>
    <t>Thay dây bằng thủ công. Dây đồng (M). Tiết diện dây &lt;= 70mm2</t>
  </si>
  <si>
    <t>05.01.406</t>
  </si>
  <si>
    <t>Thay dây bằng thủ công. Dây đồng (M). Tiết diện dây &lt;= 95mm2</t>
  </si>
  <si>
    <t>05.01.407</t>
  </si>
  <si>
    <t>Thay dây bằng thủ công. Dây đồng (M). Tiết diện dây &lt;= 120mm2</t>
  </si>
  <si>
    <t>05.01.408</t>
  </si>
  <si>
    <t>Thay dây bằng thủ công. Dây đồng (M). Tiết diện dây &lt;= 150mm2</t>
  </si>
  <si>
    <t>05.01.409</t>
  </si>
  <si>
    <t>Thay dây bằng thủ công. Dây đồng (M). Tiết diện dây &lt;= 185mm2</t>
  </si>
  <si>
    <t>05.01.410</t>
  </si>
  <si>
    <t>Thay dây bằng thủ công. Dây đồng (M). Tiết diện dây &lt;= 240mm2</t>
  </si>
  <si>
    <t>05.02.101</t>
  </si>
  <si>
    <t>Thay dây bằng thủ công kết hợp cơ giới (sử dụng cáp mồi). Dây nhôm lõi thép (AC, ACSR, AACSR...). Tiết diện dây &lt;= 70mm2</t>
  </si>
  <si>
    <t>05.02.102</t>
  </si>
  <si>
    <t>Thay dây bằng thủ công kết hợp cơ giới (sử dụng cáp mồi). Dây nhôm lõi thép (AC, ACSR, AACSR...). Tiết diện dây &lt;= 95mm2</t>
  </si>
  <si>
    <t>05.02.103</t>
  </si>
  <si>
    <t>Thay dây bằng thủ công kết hợp cơ giới (sử dụng cáp mồi). Dây nhôm lõi thép (AC, ACSR, AACSR...). Tiết diện dây &lt;= 120mm2</t>
  </si>
  <si>
    <t>05.02.104</t>
  </si>
  <si>
    <t>Thay dây bằng thủ công kết hợp cơ giới (sử dụng cáp mồi). Dây nhôm lõi thép (AC, ACSR, AACSR...). Tiết diện dây &lt;= 150mm2</t>
  </si>
  <si>
    <t>05.02.105</t>
  </si>
  <si>
    <t>Thay dây bằng thủ công kết hợp cơ giới (sử dụng cáp mồi). Dây nhôm lõi thép (AC, ACSR, AACSR...). Tiết diện dây &lt;= 185mm2</t>
  </si>
  <si>
    <t>05.02.106</t>
  </si>
  <si>
    <t>Thay dây bằng thủ công kết hợp cơ giới (sử dụng cáp mồi). Dây nhôm lõi thép (AC, ACSR, AACSR...). Tiết diện dây &lt;= 240mm2</t>
  </si>
  <si>
    <t>05.02.107</t>
  </si>
  <si>
    <t>Thay dây bằng thủ công kết hợp cơ giới (sử dụng cáp mồi). Dây nhôm lõi thép (AC, ACSR, AACSR...). Tiết diện dây &lt;= 300mm2</t>
  </si>
  <si>
    <t>05.02.108</t>
  </si>
  <si>
    <t>Thay dây bằng thủ công kết hợp cơ giới (sử dụng cáp mồi). Dây nhôm lõi thép (AC, ACSR, AACSR...). Tiết diện dây &lt;= 400mm2</t>
  </si>
  <si>
    <t>05.02.109</t>
  </si>
  <si>
    <t>Thay dây bằng thủ công kết hợp cơ giới (sử dụng cáp mồi). Dây nhôm lõi thép (AC, ACSR, AACSR...). Tiết diện dây &lt;= 500mm2</t>
  </si>
  <si>
    <t>05.02.110</t>
  </si>
  <si>
    <t>Thay dây bằng thủ công kết hợp cơ giới (sử dụng cáp mồi). Dây nhôm lõi thép (AC, ACSR, AACSR...). Tiết diện dây &gt; 500mm2</t>
  </si>
  <si>
    <t>05.02.201</t>
  </si>
  <si>
    <t>Thay dây bằng thủ công kết hợp cơ giới (sử dụng cáp mồi). Dây nhôm (A). Tiết diện dây &lt;= 70mm2</t>
  </si>
  <si>
    <t>05.02.202</t>
  </si>
  <si>
    <t>Thay dây bằng thủ công kết hợp cơ giới (sử dụng cáp mồi). Dây nhôm (A). Tiết diện dây &lt;= 95mm2</t>
  </si>
  <si>
    <t>05.02.203</t>
  </si>
  <si>
    <t>Thay dây bằng thủ công kết hợp cơ giới (sử dụng cáp mồi). Dây nhôm (A). Tiết diện dây &lt;= 120mm2</t>
  </si>
  <si>
    <t>05.02.204</t>
  </si>
  <si>
    <t>Thay dây bằng thủ công kết hợp cơ giới (sử dụng cáp mồi). Dây nhôm (A). Tiết diện dây &lt;= 150mm2</t>
  </si>
  <si>
    <t>05.02.205</t>
  </si>
  <si>
    <t>Thay dây bằng thủ công kết hợp cơ giới (sử dụng cáp mồi). Dây nhôm (A). Tiết diện dây &lt;= 185mm2</t>
  </si>
  <si>
    <t>05.02.206</t>
  </si>
  <si>
    <t>Thay dây bằng thủ công kết hợp cơ giới (sử dụng cáp mồi). Dây nhôm (A). Tiết diện dây &lt;= 240mm2</t>
  </si>
  <si>
    <t>05.02.207</t>
  </si>
  <si>
    <t>Thay dây bằng thủ công kết hợp cơ giới (sử dụng cáp mồi). Dây nhôm (A). Tiết diện dây &lt;= 300mm2</t>
  </si>
  <si>
    <t>05.02.208</t>
  </si>
  <si>
    <t>Thay dây bằng thủ công kết hợp cơ giới (sử dụng cáp mồi). Dây nhôm (A). Tiết diện dây &lt;= 400mm2</t>
  </si>
  <si>
    <t>05.02.209</t>
  </si>
  <si>
    <t>Thay dây bằng thủ công kết hợp cơ giới (sử dụng cáp mồi). Dây nhôm (A). Tiết diện dây &lt;= 500mm2</t>
  </si>
  <si>
    <t>05.02.210</t>
  </si>
  <si>
    <t>Thay dây bằng thủ công kết hợp cơ giới (sử dụng cáp mồi). Dây nhôm (A). Tiết diện dây &gt; 500mm2</t>
  </si>
  <si>
    <t>05.02.301</t>
  </si>
  <si>
    <t>Thay dây bằng thủ công kết hợp cơ giới (sử dụng cáp mồi). Dây thép. Tiết diện dây &lt;= 70mm2</t>
  </si>
  <si>
    <t>05.02.302</t>
  </si>
  <si>
    <t>Thay dây bằng thủ công kết hợp cơ giới (sử dụng cáp mồi). Dây thép. Tiết diện dây &lt;= 95mm2</t>
  </si>
  <si>
    <t>05.02.401</t>
  </si>
  <si>
    <t>Thay dây bằng thủ công kết hợp cơ giới (sử dụng cáp mồi). Dây đồng (M). Tiết diện dây &lt;= 70mm2</t>
  </si>
  <si>
    <t>05.02.402</t>
  </si>
  <si>
    <t>Thay dây bằng thủ công kết hợp cơ giới (sử dụng cáp mồi). Dây đồng (M). Tiết diện dây &lt;= 95mm2</t>
  </si>
  <si>
    <t>05.02.403</t>
  </si>
  <si>
    <t>Thay dây bằng thủ công kết hợp cơ giới (sử dụng cáp mồi). Dây đồng (M). Tiết diện dây &lt;= 120mm2</t>
  </si>
  <si>
    <t>05.02.404</t>
  </si>
  <si>
    <t>Thay dây bằng thủ công kết hợp cơ giới (sử dụng cáp mồi). Dây đồng (M). Tiết diện dây &lt;= 150mm2</t>
  </si>
  <si>
    <t>05.02.405</t>
  </si>
  <si>
    <t>Thay dây bằng thủ công kết hợp cơ giới (sử dụng cáp mồi). Dây đồng (M). Tiết diện dây &lt;= 185mm2</t>
  </si>
  <si>
    <t>05.02.406</t>
  </si>
  <si>
    <t>Thay dây bằng thủ công kết hợp cơ giới (sử dụng cáp mồi). Dây đồng (M). Tiết diện dây &lt;= 240mm2</t>
  </si>
  <si>
    <t>05.03.01</t>
  </si>
  <si>
    <t>Thay dây cáp quang kết hợp dây chống sét bằng thủ công kết hợp cơ giới (có sử dụng dây mồi). Tiết diện &lt;= 70mm2</t>
  </si>
  <si>
    <t>1km/ 1dây</t>
  </si>
  <si>
    <t>05.03.02</t>
  </si>
  <si>
    <t>Thay dây cáp quang kết hợp dây chống sét bằng thủ công kết hợp cơ giới (có sử dụng dây mồi). Tiết diện &lt;= 90mm2</t>
  </si>
  <si>
    <t>05.03.03</t>
  </si>
  <si>
    <t>Thay dây cáp quang kết hợp dây chống sét bằng thủ công kết hợp cơ giới (có sử dụng dây mồi). Tiết diện &lt;= 120mm2</t>
  </si>
  <si>
    <t>05.03.04</t>
  </si>
  <si>
    <t>Thay dây cáp quang kết hợp dây chống sét bằng thủ công kết hợp cơ giới (có sử dụng dây mồi). Tiết diện &lt;= 150mm2</t>
  </si>
  <si>
    <t>05.04.101</t>
  </si>
  <si>
    <t>Căng lại dây bằng thủ công. Dây nhôm lõi thép (AC, ACSR,...), tiết diện dây &lt;= 16mm2</t>
  </si>
  <si>
    <t>05.04.102</t>
  </si>
  <si>
    <t>Căng lại dây bằng thủ công. Dây nhôm lõi thép (AC, ACSR,...), tiết diện dây &lt;= 25mm2</t>
  </si>
  <si>
    <t>05.04.103</t>
  </si>
  <si>
    <t>Căng lại dây bằng thủ công. Dây nhôm lõi thép (AC, ACSR,...), tiết diện dây &lt;= 35mm2</t>
  </si>
  <si>
    <t>05.04.104</t>
  </si>
  <si>
    <t>Căng lại dây bằng thủ công. Dây nhôm lõi thép (AC, ACSR,...), tiết diện dây &lt;= 50mm2</t>
  </si>
  <si>
    <t>05.04.105</t>
  </si>
  <si>
    <t>Căng lại dây bằng thủ công. Dây nhôm lõi thép (AC, ACSR,...), tiết diện dây &lt;= 70mm2</t>
  </si>
  <si>
    <t>05.04.106</t>
  </si>
  <si>
    <t>Căng lại dây bằng thủ công. Dây nhôm lõi thép (AC, ACSR,...), tiết diện dây &lt;= 95mm2</t>
  </si>
  <si>
    <t>05.04.107</t>
  </si>
  <si>
    <t>Căng lại dây bằng thủ công. Dây nhôm lõi thép (AC, ACSR,...), tiết diện dây &lt;= 120mm2</t>
  </si>
  <si>
    <t>05.04.108</t>
  </si>
  <si>
    <t>Căng lại dây bằng thủ công. Dây nhôm lõi thép (AC, ACSR,...), tiết diện dây &lt;= 150mm2</t>
  </si>
  <si>
    <t>05.04.109</t>
  </si>
  <si>
    <t>Căng lại dây bằng thủ công. Dây nhôm lõi thép (AC, ACSR,...), tiết diện dây &lt;= 185mm2</t>
  </si>
  <si>
    <t>05.04.110</t>
  </si>
  <si>
    <t>Căng lại dây bằng thủ công. Dây nhôm lõi thép (AC, ACSR,...), tiết diện dây &lt;= 240mm2</t>
  </si>
  <si>
    <t>05.04.111</t>
  </si>
  <si>
    <t>Căng lại dây bằng thủ công. Dây nhôm lõi thép (AC, ACSR,...), tiết diện dây &lt;= 300mm2</t>
  </si>
  <si>
    <t>05.04.112</t>
  </si>
  <si>
    <t>Căng lại dây bằng thủ công. Dây nhôm lõi thép (AC, ACSR,...), tiết diện dây &lt;= 400mm2</t>
  </si>
  <si>
    <t>05.04.113</t>
  </si>
  <si>
    <t>Căng lại dây bằng thủ công. Dây nhôm lõi thép (AC, ACSR,...), tiết diện dây &lt;= 500mm2</t>
  </si>
  <si>
    <t>05.04.114</t>
  </si>
  <si>
    <t>Căng lại dây bằng thủ công. Dây nhôm lõi thép (AC, ACSR,...), tiết diện dây &gt; 500mm2</t>
  </si>
  <si>
    <t>05.04.201</t>
  </si>
  <si>
    <t>Căng lại dây bằng thủ công. Dây nhôm (A), tiết diện dây &lt;= 16mm2</t>
  </si>
  <si>
    <t>05.04.202</t>
  </si>
  <si>
    <t>Căng lại dây bằng thủ công. Dây nhôm (A), tiết diện dây &lt;= 25mm2</t>
  </si>
  <si>
    <t>05.04.203</t>
  </si>
  <si>
    <t>Căng lại dây bằng thủ công. Dây nhôm (A), tiết diện dây &lt;= 35mm2</t>
  </si>
  <si>
    <t>05.04.204</t>
  </si>
  <si>
    <t>Căng lại dây bằng thủ công. Dây nhôm (A), tiết diện dây &lt;= 50mm2</t>
  </si>
  <si>
    <t>05.04.205</t>
  </si>
  <si>
    <t>Căng lại dây bằng thủ công. Dây nhôm (A), tiết diện dây &lt;= 70mm2</t>
  </si>
  <si>
    <t>05.04.206</t>
  </si>
  <si>
    <t>Căng lại dây bằng thủ công. Dây nhôm (A), tiết diện dây &lt;= 95mm2</t>
  </si>
  <si>
    <t>05.04.207</t>
  </si>
  <si>
    <t>Căng lại dây bằng thủ công. Dây nhôm (A), tiết diện dây &lt;= 120mm2</t>
  </si>
  <si>
    <t>05.04.208</t>
  </si>
  <si>
    <t>Căng lại dây bằng thủ công. Dây nhôm (A), tiết diện dây &lt;= 150mm2</t>
  </si>
  <si>
    <t>05.04.209</t>
  </si>
  <si>
    <t>Căng lại dây bằng thủ công. Dây nhôm (A), tiết diện dây &lt;= 185mm2</t>
  </si>
  <si>
    <t>05.04.210</t>
  </si>
  <si>
    <t>Căng lại dây bằng thủ công. Dây nhôm (A), tiết diện dây &lt;= 240mm2</t>
  </si>
  <si>
    <t>05.04.211</t>
  </si>
  <si>
    <t>Căng lại dây bằng thủ công. Dây nhôm (A), tiết diện dây &lt;= 300mm2</t>
  </si>
  <si>
    <t>05.04.212</t>
  </si>
  <si>
    <t>Căng lại dây bằng thủ công. Dây nhôm (A), tiết diện dây &lt;= 400mm2</t>
  </si>
  <si>
    <t>05.04.213</t>
  </si>
  <si>
    <t>Căng lại dây bằng thủ công. Dây nhôm (A), tiết diện dây &lt;= 500mm2</t>
  </si>
  <si>
    <t>05.04.214</t>
  </si>
  <si>
    <t>Căng lại dây bằng thủ công. Dây nhôm (A), tiết diện dây &gt; 500mm2</t>
  </si>
  <si>
    <t>05.04.301</t>
  </si>
  <si>
    <t>Căng lại dây bằng thủ công. Dây thép, tiết diện dây &lt;= 16mm2</t>
  </si>
  <si>
    <t>05.04.302</t>
  </si>
  <si>
    <t>Căng lại dây bằng thủ công. Dây thép, tiết diện dây &lt;= 25mm2</t>
  </si>
  <si>
    <t>05.04.303</t>
  </si>
  <si>
    <t>Căng lại dây bằng thủ công. Dây thép, tiết diện dây &lt;= 35mm2</t>
  </si>
  <si>
    <t>05.04.304</t>
  </si>
  <si>
    <t>Căng lại dây bằng thủ công. Dây thép, tiết diện dây &lt;= 50mm2</t>
  </si>
  <si>
    <t>05.04.305</t>
  </si>
  <si>
    <t>Căng lại dây bằng thủ công. Dây thép, tiết diện dây &lt;= 70mm2</t>
  </si>
  <si>
    <t>05.04.401</t>
  </si>
  <si>
    <t>Căng lại dây bằng thủ công. Dây đồng (M), tiết diện dây &lt;= 16mm2</t>
  </si>
  <si>
    <t>05.04.402</t>
  </si>
  <si>
    <t>Căng lại dây bằng thủ công. Dây đồng (M), tiết diện dây &lt;= 25mm2</t>
  </si>
  <si>
    <t>05.04.403</t>
  </si>
  <si>
    <t>Căng lại dây bằng thủ công. Dây đồng (M), tiết diện dây &lt;= 35mm2</t>
  </si>
  <si>
    <t>05.04.404</t>
  </si>
  <si>
    <t>Căng lại dây bằng thủ công. Dây đồng (M), tiết diện dây &lt;= 50mm2</t>
  </si>
  <si>
    <t>05.04.405</t>
  </si>
  <si>
    <t>Căng lại dây bằng thủ công. Dây đồng (M), tiết diện dây &lt;= 70mm2</t>
  </si>
  <si>
    <t>05.04.406</t>
  </si>
  <si>
    <t>Căng lại dây bằng thủ công. Dây đồng (M), tiết diện dây &lt;= 95mm2</t>
  </si>
  <si>
    <t>05.04.407</t>
  </si>
  <si>
    <t>Căng lại dây bằng thủ công. Dây đồng (M), tiết diện dây &lt;= 120mm2</t>
  </si>
  <si>
    <t>05.04.408</t>
  </si>
  <si>
    <t>Căng lại dây bằng thủ công. Dây đồng (M), tiết diện dây &lt;= 150mm2</t>
  </si>
  <si>
    <t>05.04.409</t>
  </si>
  <si>
    <t>Căng lại dây bằng thủ công. Dây đồng (M), tiết diện dây &lt;= 185mm2</t>
  </si>
  <si>
    <t>05.04.410</t>
  </si>
  <si>
    <t>Căng lại dây bằng thủ công. Dây đồng (M), tiết diện dây &lt;= 240mm2</t>
  </si>
  <si>
    <t>05.05.101</t>
  </si>
  <si>
    <t>Căng lại dây bằng thủ công kết hợp cơ giới. Dây nhôm lõi thép (AC, ACSR,...). Tiết diện dây chống sét &lt;= 70mm2</t>
  </si>
  <si>
    <t>05.05.102</t>
  </si>
  <si>
    <t>Căng lại dây bằng thủ công kết hợp cơ giới. Dây nhôm lõi thép (AC, ACSR,...). Tiết diện dây chống sét &lt;= 95mm2</t>
  </si>
  <si>
    <t>05.05.103</t>
  </si>
  <si>
    <t>Căng lại dây bằng thủ công kết hợp cơ giới. Dây nhôm lõi thép (AC, ACSR,...). Tiết diện dây chống sét &lt;= 120mm2</t>
  </si>
  <si>
    <t>05.05.104</t>
  </si>
  <si>
    <t>Căng lại dây bằng thủ công kết hợp cơ giới. Dây nhôm lõi thép (AC, ACSR,...). Tiết diện dây chống sét &lt;= 150mm2</t>
  </si>
  <si>
    <t>05.05.105</t>
  </si>
  <si>
    <t>Căng lại dây bằng thủ công kết hợp cơ giới. Dây nhôm lõi thép (AC, ACSR,...). Tiết diện dây chống sét &lt;= 185mm2</t>
  </si>
  <si>
    <t>05.05.106</t>
  </si>
  <si>
    <t>Căng lại dây bằng thủ công kết hợp cơ giới. Dây nhôm lõi thép (AC, ACSR,...). Tiết diện dây chống sét &lt;= 240mm2</t>
  </si>
  <si>
    <t>05.05.107</t>
  </si>
  <si>
    <t>Căng lại dây bằng thủ công kết hợp cơ giới. Dây nhôm lõi thép (AC, ACSR,...). Tiết diện dây chống sét &lt;= 300mm2</t>
  </si>
  <si>
    <t>05.05.108</t>
  </si>
  <si>
    <t>Căng lại dây bằng thủ công kết hợp cơ giới. Dây nhôm lõi thép (AC, ACSR,...). Tiết diện dây chống sét &lt;= 400mm2</t>
  </si>
  <si>
    <t>05.05.109</t>
  </si>
  <si>
    <t>Căng lại dây bằng thủ công kết hợp cơ giới. Dây nhôm lõi thép (AC, ACSR,...). Tiết diện dây chống sét &lt;= 500mm2</t>
  </si>
  <si>
    <t>05.05.110</t>
  </si>
  <si>
    <t>Căng lại dây bằng thủ công kết hợp cơ giới. Dây nhôm lõi thép (AC, ACSR,...). Tiết diện dây chống sét &gt; 500mm2</t>
  </si>
  <si>
    <t>05.05.201</t>
  </si>
  <si>
    <t>Căng lại dây bằng thủ công kết hợp cơ giới. Dây nhôm (A). Tiết diện dây chống sét &lt;= 70mm2</t>
  </si>
  <si>
    <t>05.05.202</t>
  </si>
  <si>
    <t>Căng lại dây bằng thủ công kết hợp cơ giới. Dây nhôm (A). Tiết diện dây chống sét &lt;= 95mm2</t>
  </si>
  <si>
    <t>05.05.203</t>
  </si>
  <si>
    <t>Căng lại dây bằng thủ công kết hợp cơ giới. Dây nhôm (A). Tiết diện dây chống sét &lt;= 120mm2</t>
  </si>
  <si>
    <t>05.05.204</t>
  </si>
  <si>
    <t>Căng lại dây bằng thủ công kết hợp cơ giới. Dây nhôm (A). Tiết diện dây chống sét &lt;= 150mm2</t>
  </si>
  <si>
    <t>05.05.205</t>
  </si>
  <si>
    <t>Căng lại dây bằng thủ công kết hợp cơ giới. Dây nhôm (A). Tiết diện dây chống sét &lt;= 185mm2</t>
  </si>
  <si>
    <t>05.05.206</t>
  </si>
  <si>
    <t>Căng lại dây bằng thủ công kết hợp cơ giới. Dây nhôm (A). Tiết diện dây chống sét &lt;= 240mm2</t>
  </si>
  <si>
    <t>05.05.207</t>
  </si>
  <si>
    <t>Căng lại dây bằng thủ công kết hợp cơ giới. Dây nhôm (A). Tiết diện dây chống sét &lt;= 300mm2</t>
  </si>
  <si>
    <t>05.05.208</t>
  </si>
  <si>
    <t>Căng lại dây bằng thủ công kết hợp cơ giới. Dây nhôm (A). Tiết diện dây chống sét &lt;= 400mm2</t>
  </si>
  <si>
    <t>05.05.209</t>
  </si>
  <si>
    <t>Căng lại dây bằng thủ công kết hợp cơ giới. Dây nhôm (A). Tiết diện dây chống sét &lt;= 500mm2</t>
  </si>
  <si>
    <t>05.05.210</t>
  </si>
  <si>
    <t>Căng lại dây bằng thủ công kết hợp cơ giới. Dây nhôm (A). Tiết diện dây chống sét &gt; 500mm2</t>
  </si>
  <si>
    <t>05.05.301</t>
  </si>
  <si>
    <t>Căng lại dây bằng thủ công kết hợp cơ giới. Dây thép. Tiết diện dây chống sét &lt;= 70mm2</t>
  </si>
  <si>
    <t>05.05.302</t>
  </si>
  <si>
    <t>Căng lại dây bằng thủ công kết hợp cơ giới. Dây thép. Tiết diện dây chống sét &lt;= 95mm2</t>
  </si>
  <si>
    <t>05.05.401</t>
  </si>
  <si>
    <t>Căng lại dây bằng thủ công kết hợp cơ giới. Dây đồng (M). Tiết diện dây chống sét &lt;= 70mm2</t>
  </si>
  <si>
    <t>05.05.402</t>
  </si>
  <si>
    <t>Căng lại dây bằng thủ công kết hợp cơ giới. Dây đồng (M). Tiết diện dây chống sét &lt;= 95mm2</t>
  </si>
  <si>
    <t>05.05.403</t>
  </si>
  <si>
    <t>Căng lại dây bằng thủ công kết hợp cơ giới. Dây đồng (M). Tiết diện dây chống sét &lt;= 120mm2</t>
  </si>
  <si>
    <t>05.05.404</t>
  </si>
  <si>
    <t>Căng lại dây bằng thủ công kết hợp cơ giới. Dây đồng (M). Tiết diện dây chống sét &lt;= 150mm2</t>
  </si>
  <si>
    <t>05.05.405</t>
  </si>
  <si>
    <t>Căng lại dây bằng thủ công kết hợp cơ giới. Dây đồng (M). Tiết diện dây chống sét &lt;= 185mm2</t>
  </si>
  <si>
    <t>05.05.406</t>
  </si>
  <si>
    <t>Căng lại dây bằng thủ công kết hợp cơ giới. Dây đồng (M). Tiết diện dây chống sét &lt;= 240mm2</t>
  </si>
  <si>
    <t>05.06.001</t>
  </si>
  <si>
    <t>Căng lại dây cáp quang kết hợp dây chống sét bằng cơ giới kết hợp với thủ công. Tiết diện dây &lt;= 70mm2</t>
  </si>
  <si>
    <t>05.06.002</t>
  </si>
  <si>
    <t>Căng lại dây cáp quang kết hợp dây chống sét bằng cơ giới kết hợp với thủ công. Tiết diện dây &lt;= 90mm2</t>
  </si>
  <si>
    <t>05.06.003</t>
  </si>
  <si>
    <t>Căng lại dây cáp quang kết hợp dây chống sét bằng cơ giới kết hợp với thủ công. Tiết diện dây &lt;= 120mm2</t>
  </si>
  <si>
    <t>05.06.004</t>
  </si>
  <si>
    <t>Căng lại dây cáp quang kết hợp dây chống sét bằng cơ giới kết hợp với thủ công. Tiết diện dây &lt;= 150mm2</t>
  </si>
  <si>
    <t>05.07.101</t>
  </si>
  <si>
    <t>Thay cáp vặn xoắn. Loại cáp &lt;= 4x16</t>
  </si>
  <si>
    <t>1km/ 1dây (4 sợi)</t>
  </si>
  <si>
    <t>05.07.102</t>
  </si>
  <si>
    <t>Thay cáp vặn xoắn. Loại cáp &lt;= 4x25</t>
  </si>
  <si>
    <t>05.07.103</t>
  </si>
  <si>
    <t>Thay cáp vặn xoắn. Loại cáp &lt;= 4x35</t>
  </si>
  <si>
    <t>05.07.104</t>
  </si>
  <si>
    <t>Thay cáp vặn xoắn. Loại cáp &lt;= 4x50</t>
  </si>
  <si>
    <t>05.07.205</t>
  </si>
  <si>
    <t>Thay cáp vặn xoắn. Loại cáp &lt;= 4x70</t>
  </si>
  <si>
    <t>05.07.206</t>
  </si>
  <si>
    <t>Thay cáp vặn xoắn. Loại cáp &lt;= 4x95</t>
  </si>
  <si>
    <t>05.07.207</t>
  </si>
  <si>
    <t>Thay cáp vặn xoắn. Loại cáp &lt;= 4x120</t>
  </si>
  <si>
    <t>05.07.208</t>
  </si>
  <si>
    <t>Thay cáp vặn xoắn. Loại cáp &gt; 4x120</t>
  </si>
  <si>
    <t>05.08.101</t>
  </si>
  <si>
    <t>Thay dây nhôm, dây nhôm lõi thép dẫn xuống thiết bị. Tiết diện dây &lt;= 95mm2</t>
  </si>
  <si>
    <t>05.08.102</t>
  </si>
  <si>
    <t>Thay dây nhôm, dây nhôm lõi thép dẫn xuống thiết bị. Tiết diện dây &lt;= 150mm2</t>
  </si>
  <si>
    <t>05.08.103</t>
  </si>
  <si>
    <t>Thay dây nhôm, dây nhôm lõi thép dẫn xuống thiết bị. Tiết diện dây &lt;= 240mm2</t>
  </si>
  <si>
    <t>05.08.104</t>
  </si>
  <si>
    <t>Thay dây nhôm, dây nhôm lõi thép dẫn xuống thiết bị. Tiết diện dây &lt;= 400mm2</t>
  </si>
  <si>
    <t>05.08.105</t>
  </si>
  <si>
    <t>Thay dây nhôm, dây nhôm lõi thép dẫn xuống thiết bị. Tiết diện dây &lt;= 800mm2</t>
  </si>
  <si>
    <t>05.08.106</t>
  </si>
  <si>
    <t>Thay dây nhôm, dây nhôm lõi thép dẫn xuống thiết bị. Tiết diện dây &gt; 800mm2</t>
  </si>
  <si>
    <t>05.08.201</t>
  </si>
  <si>
    <t>Thay dây đồng dẫn xuống thiết bị. Tiết diện dây &lt;= 95mm2</t>
  </si>
  <si>
    <t>05.08.202</t>
  </si>
  <si>
    <t>Thay dây đồng dẫn xuống thiết bị. Tiết diện dây &lt;= 150mm2</t>
  </si>
  <si>
    <t>05.08.203</t>
  </si>
  <si>
    <t>Thay dây đồng dẫn xuống thiết bị. Tiết diện dây &lt;= 240mm2</t>
  </si>
  <si>
    <t>05.08.204</t>
  </si>
  <si>
    <t>Thay dây đồng dẫn xuống thiết bị. Tiết diện dây &lt;= 400mm2</t>
  </si>
  <si>
    <t>05.08.205</t>
  </si>
  <si>
    <t>Thay dây đồng dẫn xuống thiết bị. Tiết diện dây &lt;= 800mm2</t>
  </si>
  <si>
    <t>05.08.206</t>
  </si>
  <si>
    <t>Thay dây đồng dẫn xuống thiết bị. Tiết diện dây &gt; 800mm2</t>
  </si>
  <si>
    <t>06.01.101</t>
  </si>
  <si>
    <t>Thay đầu cáp lực hạ thế &lt;= 1kV, có 3 đến 4 ruột. Đầu cáp khô điện áp &lt;= 1kV. Tiết diện 1 ruột cáp &lt;= 35mm2</t>
  </si>
  <si>
    <t>1 đầu cáp (3 pha)</t>
  </si>
  <si>
    <t>06.01.102</t>
  </si>
  <si>
    <t>Thay đầu cáp lực hạ thế &lt;= 1kV, có 3 đến 4 ruột. Đầu cáp khô điện áp &lt;= 1kV. Tiết diện 1 ruột cáp &lt;= 70mm2</t>
  </si>
  <si>
    <t>06.01.103</t>
  </si>
  <si>
    <t>Thay đầu cáp lực hạ thế &lt;= 1kV, có 3 đến 4 ruột. Đầu cáp khô điện áp &lt;= 1kV. Tiết diện 1 ruột cáp &lt;= 120mm2</t>
  </si>
  <si>
    <t>06.01.104</t>
  </si>
  <si>
    <t>Thay đầu cáp lực hạ thế &lt;= 1kV, có 3 đến 4 ruột. Đầu cáp khô điện áp &lt;= 1kV. Tiết diện 1 ruột cáp &lt;= 185mm2</t>
  </si>
  <si>
    <t>06.01.105</t>
  </si>
  <si>
    <t>Thay đầu cáp lực hạ thế &lt;= 1kV, có 3 đến 4 ruột. Đầu cáp khô điện áp &lt;= 1kV. Tiết diện 1 ruột cáp &lt;= 240mm2</t>
  </si>
  <si>
    <t>06.01.106</t>
  </si>
  <si>
    <t>Thay đầu cáp lực hạ thế &lt;= 1kV, có 3 đến 4 ruột. Đầu cáp khô điện áp &lt;= 1kV. Tiết diện 1 ruột cáp &lt;= 300mm2</t>
  </si>
  <si>
    <t>06.01.107</t>
  </si>
  <si>
    <t>Thay đầu cáp lực hạ thế &lt;= 1kV, có 3 đến 4 ruột. Đầu cáp khô điện áp &lt;= 1kV. Tiết diện 1 ruột cáp &lt;= 400mm2</t>
  </si>
  <si>
    <t>06.01.201</t>
  </si>
  <si>
    <t>Thay đầu cáp lực hạ thế &lt;= 1kV, có 3 đến 4 ruột. Đầu cáp dầu điện áp &lt;= 1kV. Phễu tôn. Tiết diện 1 ruột cáp &lt;= 35mm2</t>
  </si>
  <si>
    <t>06.01.202</t>
  </si>
  <si>
    <t>Thay đầu cáp lực hạ thế &lt;= 1kV, có 3 đến 4 ruột. Đầu cáp dầu điện áp &lt;= 1kV. Phễu tôn. Tiết diện 1 ruột cáp &lt;= 70mm2</t>
  </si>
  <si>
    <t>06.01.203</t>
  </si>
  <si>
    <t>Thay đầu cáp lực hạ thế &lt;= 1kV, có 3 đến 4 ruột. Đầu cáp dầu điện áp &lt;= 1kV. Phễu tôn. Tiết diện 1 ruột cáp &lt;= 120mm2</t>
  </si>
  <si>
    <t>06.01.204</t>
  </si>
  <si>
    <t>Thay đầu cáp lực hạ thế &lt;= 1kV, có 3 đến 4 ruột. Đầu cáp dầu điện áp &lt;= 1kV. Phễu tôn. Tiết diện 1 ruột cáp &lt;= 185mm2</t>
  </si>
  <si>
    <t>06.01.205</t>
  </si>
  <si>
    <t>Thay đầu cáp lực hạ thế &lt;= 1kV, có 3 đến 4 ruột. Đầu cáp dầu điện áp &lt;= 1kV. Phễu tôn. Tiết diện 1 ruột cáp &lt;= 240mm2</t>
  </si>
  <si>
    <t>06.01.206</t>
  </si>
  <si>
    <t>Thay đầu cáp lực hạ thế &lt;= 1kV, có 3 đến 4 ruột. Đầu cáp dầu điện áp &lt;= 1kV. Phễu tôn. Tiết diện 1 ruột cáp &lt;= 300mm2</t>
  </si>
  <si>
    <t>06.01.207</t>
  </si>
  <si>
    <t>Thay đầu cáp lực hạ thế &lt;= 1kV, có 3 đến 4 ruột. Đầu cáp dầu điện áp &lt;= 1kV. Phễu tôn. Tiết diện 1 ruột cáp &lt;= 400mm2</t>
  </si>
  <si>
    <t>06.01.301</t>
  </si>
  <si>
    <t>Thay đầu cáp lực hạ thế &lt;= 1kV, có 3 đến 4 ruột. Đầu cáp dầu điện áp &lt;= 1kV. Phễu gang. Tiết diện 1 ruột cáp &lt;= 35mm2</t>
  </si>
  <si>
    <t>06.01.302</t>
  </si>
  <si>
    <t>Thay đầu cáp lực hạ thế &lt;= 1kV, có 3 đến 4 ruột. Đầu cáp dầu điện áp &lt;= 1kV. Phễu gang. Tiết diện 1 ruột cáp &lt;= 70mm2</t>
  </si>
  <si>
    <t>06.01.303</t>
  </si>
  <si>
    <t>Thay đầu cáp lực hạ thế &lt;= 1kV, có 3 đến 4 ruột. Đầu cáp dầu điện áp &lt;= 1kV. Phễu gang. Tiết diện 1 ruột cáp &lt;= 120mm2</t>
  </si>
  <si>
    <t>06.01.304</t>
  </si>
  <si>
    <t>Thay đầu cáp lực hạ thế &lt;= 1kV, có 3 đến 4 ruột. Đầu cáp dầu điện áp &lt;= 1kV. Phễu gang. Tiết diện 1 ruột cáp &lt;= 185mm2</t>
  </si>
  <si>
    <t>06.01.305</t>
  </si>
  <si>
    <t>Thay đầu cáp lực hạ thế &lt;= 1kV, có 3 đến 4 ruột. Đầu cáp dầu điện áp &lt;= 1kV. Phễu gang. Tiết diện 1 ruột cáp &lt;= 240mm2</t>
  </si>
  <si>
    <t>06.01.306</t>
  </si>
  <si>
    <t>Thay đầu cáp lực hạ thế &lt;= 1kV, có 3 đến 4 ruột. Đầu cáp dầu điện áp &lt;= 1kV. Phễu gang. Tiết diện 1 ruột cáp &lt;= 300mm2</t>
  </si>
  <si>
    <t>06.01.307</t>
  </si>
  <si>
    <t>Thay đầu cáp lực hạ thế &lt;= 1kV, có 3 đến 4 ruột. Đầu cáp dầu điện áp &lt;= 1kV. Phễu gang. Tiết diện 1 ruột cáp &lt;= 400mm2</t>
  </si>
  <si>
    <t>06.02.101</t>
  </si>
  <si>
    <t>Thay đầu cáp lực 3kV đến 15kV. Đầu cáp khô điệp áp 3kV đến 15kV. Đầu cáp 3kV - 6kV. Tiết diện cáp &lt;= 35mm2</t>
  </si>
  <si>
    <t>06.02.102</t>
  </si>
  <si>
    <t>Thay đầu cáp lực 3kV đến 15kV. Đầu cáp khô điệp áp 3kV đến 15kV. Đầu cáp 3kV - 6kV. Tiết diện cáp &lt;= 70mm2</t>
  </si>
  <si>
    <t>06.02.103</t>
  </si>
  <si>
    <t>Thay đầu cáp lực 3kV đến 15kV. Đầu cáp khô điệp áp 3kV đến 15kV. Đầu cáp 3kV - 6kV. Tiết diện cáp &lt;= 120mm2</t>
  </si>
  <si>
    <t>06.02.104</t>
  </si>
  <si>
    <t>Thay đầu cáp lực 3kV đến 15kV. Đầu cáp khô điệp áp 3kV đến 15kV. Đầu cáp 3kV - 6kV. Tiết diện cáp &lt;= 185mm2</t>
  </si>
  <si>
    <t>06.02.105</t>
  </si>
  <si>
    <t>Thay đầu cáp lực 3kV đến 15kV. Đầu cáp khô điệp áp 3kV đến 15kV. Đầu cáp 3kV - 6kV. Tiết diện cáp &lt;= 240mm2</t>
  </si>
  <si>
    <t>06.02.106</t>
  </si>
  <si>
    <t>Thay đầu cáp lực 3kV đến 15kV. Đầu cáp khô điệp áp 3kV đến 15kV. Đầu cáp 3kV - 6kV. Tiết diện cáp &lt;= 300mm2</t>
  </si>
  <si>
    <t>06.02.107</t>
  </si>
  <si>
    <t>Thay đầu cáp lực 3kV đến 15kV. Đầu cáp khô điệp áp 3kV đến 15kV. Đầu cáp 3kV - 6kV. Tiết diện cáp &lt;= 400mm2</t>
  </si>
  <si>
    <t>06.02.201</t>
  </si>
  <si>
    <t>Thay đầu cáp lực 3kV đến 15kV. Đầu cáp khô điệp áp 3kV đến 15kV. Đầu cáp 10 - 15kV. Tiết diện cáp &lt;= 35mm2</t>
  </si>
  <si>
    <t>06.02.202</t>
  </si>
  <si>
    <t>Thay đầu cáp lực 3kV đến 15kV. Đầu cáp khô điệp áp 3kV đến 15kV. Đầu cáp 10 - 15kV. Tiết diện cáp &lt;= 70mm2</t>
  </si>
  <si>
    <t>06.02.203</t>
  </si>
  <si>
    <t>Thay đầu cáp lực 3kV đến 15kV. Đầu cáp khô điệp áp 3kV đến 15kV. Đầu cáp 10 - 15kV. Tiết diện cáp &lt;= 120mm2</t>
  </si>
  <si>
    <t>06.02.204</t>
  </si>
  <si>
    <t>Thay đầu cáp lực 3kV đến 15kV. Đầu cáp khô điệp áp 3kV đến 15kV. Đầu cáp 10 - 15kV. Tiết diện cáp &lt;= 185mm2</t>
  </si>
  <si>
    <t>06.02.205</t>
  </si>
  <si>
    <t>Thay đầu cáp lực 3kV đến 15kV. Đầu cáp khô điệp áp 3kV đến 15kV. Đầu cáp 10 - 15kV. Tiết diện cáp &lt;= 240mm2</t>
  </si>
  <si>
    <t>06.02.206</t>
  </si>
  <si>
    <t>Thay đầu cáp lực 3kV đến 15kV. Đầu cáp khô điệp áp 3kV đến 15kV. Đầu cáp 10 - 15kV. Tiết diện cáp &lt;= 300mm2</t>
  </si>
  <si>
    <t>06.02.207</t>
  </si>
  <si>
    <t>Thay đầu cáp lực 3kV đến 15kV. Đầu cáp khô điệp áp 3kV đến 15kV. Đầu cáp 10 - 15kV. Tiết diện cáp &lt;= 400mm2</t>
  </si>
  <si>
    <t>06.02.301</t>
  </si>
  <si>
    <t>Thay đầu cáp lực 3kV đến 15kV. Đầu cáp dầu điệp áp 3kV đến 15kV. Phễu tôn 3-6kV. Tiết diện cáp &lt;= 35mm2</t>
  </si>
  <si>
    <t>06.02.302</t>
  </si>
  <si>
    <t>Thay đầu cáp lực 3kV đến 15kV. Đầu cáp dầu điệp áp 3kV đến 15kV. Phễu tôn 3-6kV. Tiết diện cáp &lt;= 70mm2</t>
  </si>
  <si>
    <t>06.02.303</t>
  </si>
  <si>
    <t>Thay đầu cáp lực 3kV đến 15kV. Đầu cáp dầu điệp áp 3kV đến 15kV. Phễu tôn 3-6kV. Tiết diện cáp &lt;= 120mm2</t>
  </si>
  <si>
    <t>06.02.304</t>
  </si>
  <si>
    <t>Thay đầu cáp lực 3kV đến 15kV. Đầu cáp dầu điệp áp 3kV đến 15kV. Phễu tôn 3-6kV. Tiết diện cáp &lt;= 185mm2</t>
  </si>
  <si>
    <t>06.02.305</t>
  </si>
  <si>
    <t>Thay đầu cáp lực 3kV đến 15kV. Đầu cáp dầu điệp áp 3kV đến 15kV. Phễu tôn 3-6kV. Tiết diện cáp &lt;= 240mm2</t>
  </si>
  <si>
    <t>06.02.306</t>
  </si>
  <si>
    <t>Thay đầu cáp lực 3kV đến 15kV. Đầu cáp dầu điệp áp 3kV đến 15kV. Phễu tôn 3-6kV. Tiết diện cáp &lt;= 300mm2</t>
  </si>
  <si>
    <t>06.02.307</t>
  </si>
  <si>
    <t>Thay đầu cáp lực 3kV đến 15kV. Đầu cáp dầu điệp áp 3kV đến 15kV. Phễu tôn 3-6kV. Tiết diện cáp &lt;= 400mm2</t>
  </si>
  <si>
    <t>06.02.401</t>
  </si>
  <si>
    <t>Thay đầu cáp lực 3kV đến 15kV. Đầu cáp dầu điệp áp 3kV đến 15kV. Phễu tôn 10-15kV. Tiết diện cáp &lt;= 35mm2</t>
  </si>
  <si>
    <t>06.02.402</t>
  </si>
  <si>
    <t>Thay đầu cáp lực 3kV đến 15kV. Đầu cáp dầu điệp áp 3kV đến 15kV. Phễu tôn 10-15kV. Tiết diện cáp &lt;= 70mm2</t>
  </si>
  <si>
    <t>06.02.403</t>
  </si>
  <si>
    <t>Thay đầu cáp lực 3kV đến 15kV. Đầu cáp dầu điệp áp 3kV đến 15kV. Phễu tôn 10-15kV. Tiết diện cáp &lt;= 120mm2</t>
  </si>
  <si>
    <t>06.02.404</t>
  </si>
  <si>
    <t>Thay đầu cáp lực 3kV đến 15kV. Đầu cáp dầu điệp áp 3kV đến 15kV. Phễu tôn 10-15kV. Tiết diện cáp &lt;= 185mm2</t>
  </si>
  <si>
    <t>06.02.405</t>
  </si>
  <si>
    <t>Thay đầu cáp lực 3kV đến 15kV. Đầu cáp dầu điệp áp 3kV đến 15kV. Phễu tôn 10-15kV. Tiết diện cáp &lt;= 240mm2</t>
  </si>
  <si>
    <t>06.02.406</t>
  </si>
  <si>
    <t>Thay đầu cáp lực 3kV đến 15kV. Đầu cáp dầu điệp áp 3kV đến 15kV. Phễu tôn 10-15kV. Tiết diện cáp &lt;= 300mm2</t>
  </si>
  <si>
    <t>06.02.407</t>
  </si>
  <si>
    <t>Thay đầu cáp lực 3kV đến 15kV. Đầu cáp dầu điệp áp 3kV đến 15kV. Phễu tôn 10-15kV. Tiết diện cáp &lt;= 400mm2</t>
  </si>
  <si>
    <t>06.02.501</t>
  </si>
  <si>
    <t>Thay đầu cáp lực 3kV đến 15kV. Đầu cáp dầu điệp áp 3kV đến 15kV. Phễu gang 3-6kV. Tiết diện cáp &lt;= 35mm2</t>
  </si>
  <si>
    <t>06.02.502</t>
  </si>
  <si>
    <t>Thay đầu cáp lực 3kV đến 15kV. Đầu cáp dầu điệp áp 3kV đến 15kV. Phễu gang 3-6kV. Tiết diện cáp &lt;= 70mm2</t>
  </si>
  <si>
    <t>06.02.503</t>
  </si>
  <si>
    <t>Thay đầu cáp lực 3kV đến 15kV. Đầu cáp dầu điệp áp 3kV đến 15kV. Phễu gang 3-6kV. Tiết diện cáp &lt;= 120mm2</t>
  </si>
  <si>
    <t>06.02.504</t>
  </si>
  <si>
    <t>Thay đầu cáp lực 3kV đến 15kV. Đầu cáp dầu điệp áp 3kV đến 15kV. Phễu gang 3-6kV. Tiết diện cáp &lt;= 185mm2</t>
  </si>
  <si>
    <t>06.02.505</t>
  </si>
  <si>
    <t>Thay đầu cáp lực 3kV đến 15kV. Đầu cáp dầu điệp áp 3kV đến 15kV. Phễu gang 3-6kV. Tiết diện cáp &lt;= 240mm2</t>
  </si>
  <si>
    <t>06.02.506</t>
  </si>
  <si>
    <t>Thay đầu cáp lực 3kV đến 15kV. Đầu cáp dầu điệp áp 3kV đến 15kV. Phễu gang 3-6kV. Tiết diện cáp &lt;= 300mm2</t>
  </si>
  <si>
    <t>06.02.507</t>
  </si>
  <si>
    <t>Thay đầu cáp lực 3kV đến 15kV. Đầu cáp dầu điệp áp 3kV đến 15kV. Phễu gang 3-6kV. Tiết diện cáp &lt;= 400mm2</t>
  </si>
  <si>
    <t>06.02.601</t>
  </si>
  <si>
    <t>Thay đầu cáp lực 3kV đến 15kV. Đầu cáp dầu điệp áp 3kV đến 15kV. Phễu gang 10-15kV. Tiết diện cáp &lt;= 35mm2</t>
  </si>
  <si>
    <t>06.02.602</t>
  </si>
  <si>
    <t>Thay đầu cáp lực 3kV đến 15kV. Đầu cáp dầu điệp áp 3kV đến 15kV. Phễu gang 10-15kV. Tiết diện cáp &lt;= 70mm2</t>
  </si>
  <si>
    <t>06.02.603</t>
  </si>
  <si>
    <t>Thay đầu cáp lực 3kV đến 15kV. Đầu cáp dầu điệp áp 3kV đến 15kV. Phễu gang 10-15kV. Tiết diện cáp &lt;= 120mm2</t>
  </si>
  <si>
    <t>06.02.604</t>
  </si>
  <si>
    <t>Thay đầu cáp lực 3kV đến 15kV. Đầu cáp dầu điệp áp 3kV đến 15kV. Phễu gang 10-15kV. Tiết diện cáp &lt;= 185mm2</t>
  </si>
  <si>
    <t>06.02.605</t>
  </si>
  <si>
    <t>Thay đầu cáp lực 3kV đến 15kV. Đầu cáp dầu điệp áp 3kV đến 15kV. Phễu gang 10-15kV. Tiết diện cáp &lt;= 240mm2</t>
  </si>
  <si>
    <t>06.02.606</t>
  </si>
  <si>
    <t>Thay đầu cáp lực 3kV đến 15kV. Đầu cáp dầu điệp áp 3kV đến 15kV. Phễu gang 10-15kV. Tiết diện cáp &lt;= 300mm2</t>
  </si>
  <si>
    <t>06.02.607</t>
  </si>
  <si>
    <t>Thay đầu cáp lực 3kV đến 15kV. Đầu cáp dầu điệp áp 3kV đến 15kV. Phễu gang 10-15kV. Tiết diện cáp &lt;= 400mm2</t>
  </si>
  <si>
    <t>06.03.101</t>
  </si>
  <si>
    <t>Thay đầu cáp lực 22kV đến 35kV. Đầu cáp khô điệp áp 22kV đến 35kV. Đầu cáp 22kV. Tiết diện cáp &lt;= 35mm2</t>
  </si>
  <si>
    <t>06.03.102</t>
  </si>
  <si>
    <t>Thay đầu cáp lực 22kV đến 35kV. Đầu cáp khô điệp áp 22kV đến 35kV. Đầu cáp 22kV. Tiết diện cáp &lt;= 70mm2</t>
  </si>
  <si>
    <t>06.03.103</t>
  </si>
  <si>
    <t>Thay đầu cáp lực 22kV đến 35kV. Đầu cáp khô điệp áp 22kV đến 35kV. Đầu cáp 22kV. Tiết diện cáp &lt;= 120mm2</t>
  </si>
  <si>
    <t>06.03.104</t>
  </si>
  <si>
    <t>Thay đầu cáp lực 22kV đến 35kV. Đầu cáp khô điệp áp 22kV đến 35kV. Đầu cáp 22kV. Tiết diện cáp &lt;= 185mm2</t>
  </si>
  <si>
    <t>06.03.105</t>
  </si>
  <si>
    <t>Thay đầu cáp lực 22kV đến 35kV. Đầu cáp khô điệp áp 22kV đến 35kV. Đầu cáp 22kV. Tiết diện cáp &lt;= 240mm2</t>
  </si>
  <si>
    <t>06.03.106</t>
  </si>
  <si>
    <t>Thay đầu cáp lực 22kV đến 35kV. Đầu cáp khô điệp áp 22kV đến 35kV. Đầu cáp 22kV. Tiết diện cáp &lt;= 300mm2</t>
  </si>
  <si>
    <t>06.03.107</t>
  </si>
  <si>
    <t>Thay đầu cáp lực 22kV đến 35kV. Đầu cáp khô điệp áp 22kV đến 35kV. Đầu cáp 22kV. Tiết diện cáp &lt;= 400mm2</t>
  </si>
  <si>
    <t>06.03.201</t>
  </si>
  <si>
    <t>Thay đầu cáp lực 22kV đến 35kV. Đầu cáp khô điệp áp 22kV đến 35kV. Đầu cáp 35kV. Tiết diện cáp &lt;= 35mm2</t>
  </si>
  <si>
    <t>06.03.202</t>
  </si>
  <si>
    <t>Thay đầu cáp lực 22kV đến 35kV. Đầu cáp khô điệp áp 22kV đến 35kV. Đầu cáp 35kV. Tiết diện cáp &lt;= 70mm2</t>
  </si>
  <si>
    <t>06.03.203</t>
  </si>
  <si>
    <t>Thay đầu cáp lực 22kV đến 35kV. Đầu cáp khô điệp áp 22kV đến 35kV. Đầu cáp 35kV. Tiết diện cáp &lt;= 120mm2</t>
  </si>
  <si>
    <t>06.03.204</t>
  </si>
  <si>
    <t>Thay đầu cáp lực 22kV đến 35kV. Đầu cáp khô điệp áp 22kV đến 35kV. Đầu cáp 35kV. Tiết diện cáp &lt;= 185mm2</t>
  </si>
  <si>
    <t>06.03.205</t>
  </si>
  <si>
    <t>Thay đầu cáp lực 22kV đến 35kV. Đầu cáp khô điệp áp 22kV đến 35kV. Đầu cáp 35kV. Tiết diện cáp &lt;= 240mm2</t>
  </si>
  <si>
    <t>06.03.206</t>
  </si>
  <si>
    <t>Thay đầu cáp lực 22kV đến 35kV. Đầu cáp khô điệp áp 22kV đến 35kV. Đầu cáp 35kV. Tiết diện cáp &lt;= 300mm2</t>
  </si>
  <si>
    <t>06.03.207</t>
  </si>
  <si>
    <t>Thay đầu cáp lực 22kV đến 35kV. Đầu cáp khô điệp áp 22kV đến 35kV. Đầu cáp 35kV. Tiết diện cáp &lt;= 400mm2</t>
  </si>
  <si>
    <t>06.03.301</t>
  </si>
  <si>
    <t>Thay đầu cáp lực 22kV đến 35kV. Đầu cáp dầu điệp áp 22kV đến 35kV. Phễu tôn 22kV. Tiết diện cáp &lt;= 35mm2</t>
  </si>
  <si>
    <t>06.03.302</t>
  </si>
  <si>
    <t>Thay đầu cáp lực 22kV đến 35kV. Đầu cáp dầu điệp áp 22kV đến 35kV. Phễu tôn 22kV. Tiết diện cáp &lt;= 70mm2</t>
  </si>
  <si>
    <t>06.03.303</t>
  </si>
  <si>
    <t>Thay đầu cáp lực 22kV đến 35kV. Đầu cáp dầu điệp áp 22kV đến 35kV. Phễu tôn 22kV. Tiết diện cáp &lt;= 120mm2</t>
  </si>
  <si>
    <t>06.03.304</t>
  </si>
  <si>
    <t>Thay đầu cáp lực 22kV đến 35kV. Đầu cáp dầu điệp áp 22kV đến 35kV. Phễu tôn 22kV. Tiết diện cáp &lt;= 185mm2</t>
  </si>
  <si>
    <t>06.03.305</t>
  </si>
  <si>
    <t>Thay đầu cáp lực 22kV đến 35kV. Đầu cáp dầu điệp áp 22kV đến 35kV. Phễu tôn 22kV. Tiết diện cáp &lt;= 240mm2</t>
  </si>
  <si>
    <t>06.03.306</t>
  </si>
  <si>
    <t>Thay đầu cáp lực 22kV đến 35kV. Đầu cáp dầu điệp áp 22kV đến 35kV. Phễu tôn 22kV. Tiết diện cáp &lt;= 300mm2</t>
  </si>
  <si>
    <t>06.03.307</t>
  </si>
  <si>
    <t>Thay đầu cáp lực 22kV đến 35kV. Đầu cáp dầu điệp áp 22kV đến 35kV. Phễu tôn 22kV. Tiết diện cáp &lt;= 400mm2</t>
  </si>
  <si>
    <t>06.03.401</t>
  </si>
  <si>
    <t>Thay đầu cáp lực 22kV đến 35kV. Đầu cáp dầu điệp áp 22kV đến 35kV. Phễu tôn 35kV. Tiết diện cáp &lt;= 35mm2</t>
  </si>
  <si>
    <t>06.03.402</t>
  </si>
  <si>
    <t>Thay đầu cáp lực 22kV đến 35kV. Đầu cáp dầu điệp áp 22kV đến 35kV. Phễu tôn 35kV. Tiết diện cáp &lt;= 70mm2</t>
  </si>
  <si>
    <t>06.03.403</t>
  </si>
  <si>
    <t>Thay đầu cáp lực 22kV đến 35kV. Đầu cáp dầu điệp áp 22kV đến 35kV. Phễu tôn 35kV. Tiết diện cáp &lt;= 120mm2</t>
  </si>
  <si>
    <t>06.03.404</t>
  </si>
  <si>
    <t>Thay đầu cáp lực 22kV đến 35kV. Đầu cáp dầu điệp áp 22kV đến 35kV. Phễu tôn 35kV. Tiết diện cáp &lt;= 185mm2</t>
  </si>
  <si>
    <t>06.03.405</t>
  </si>
  <si>
    <t>Thay đầu cáp lực 22kV đến 35kV. Đầu cáp dầu điệp áp 22kV đến 35kV. Phễu tôn 35kV. Tiết diện cáp &lt;= 240mm2</t>
  </si>
  <si>
    <t>06.03.406</t>
  </si>
  <si>
    <t>Thay đầu cáp lực 22kV đến 35kV. Đầu cáp dầu điệp áp 22kV đến 35kV. Phễu tôn 35kV. Tiết diện cáp &lt;= 300mm2</t>
  </si>
  <si>
    <t>06.03.407</t>
  </si>
  <si>
    <t>Thay đầu cáp lực 22kV đến 35kV. Đầu cáp dầu điệp áp 22kV đến 35kV. Phễu tôn 35kV. Tiết diện cáp &lt;= 400mm2</t>
  </si>
  <si>
    <t>06.03.501</t>
  </si>
  <si>
    <t>Thay đầu cáp lực 22kV đến 35kV. Đầu cáp dầu điệp áp 22kV đến 35kV. Phễu gang 22kV. Tiết diện cáp &lt;= 35mm2</t>
  </si>
  <si>
    <t>06.03.502</t>
  </si>
  <si>
    <t>Thay đầu cáp lực 22kV đến 35kV. Đầu cáp dầu điệp áp 22kV đến 35kV. Phễu gang 22kV. Tiết diện cáp &lt;= 70mm2</t>
  </si>
  <si>
    <t>06.03.503</t>
  </si>
  <si>
    <t>Thay đầu cáp lực 22kV đến 35kV. Đầu cáp dầu điệp áp 22kV đến 35kV. Phễu gang 22kV. Tiết diện cáp &lt;= 120mm2</t>
  </si>
  <si>
    <t>06.03.504</t>
  </si>
  <si>
    <t>Thay đầu cáp lực 22kV đến 35kV. Đầu cáp dầu điệp áp 22kV đến 35kV. Phễu gang 22kV. Tiết diện cáp &lt;= 185mm2</t>
  </si>
  <si>
    <t>06.03.505</t>
  </si>
  <si>
    <t>Thay đầu cáp lực 22kV đến 35kV. Đầu cáp dầu điệp áp 22kV đến 35kV. Phễu gang 22kV. Tiết diện cáp &lt;= 240mm2</t>
  </si>
  <si>
    <t>06.03.506</t>
  </si>
  <si>
    <t>Thay đầu cáp lực 22kV đến 35kV. Đầu cáp dầu điệp áp 22kV đến 35kV. Phễu gang 22kV. Tiết diện cáp &lt;= 300mm2</t>
  </si>
  <si>
    <t>06.03.507</t>
  </si>
  <si>
    <t>Thay đầu cáp lực 22kV đến 35kV. Đầu cáp dầu điệp áp 22kV đến 35kV. Phễu gang 22kV. Tiết diện cáp &lt;= 400mm2</t>
  </si>
  <si>
    <t>06.03.601</t>
  </si>
  <si>
    <t>Thay đầu cáp lực 22kV đến 35kV. Đầu cáp dầu điệp áp 22kV đến 35kV. Phễu gang 35kV. Tiết diện cáp &lt;= 35mm2</t>
  </si>
  <si>
    <t>06.03.602</t>
  </si>
  <si>
    <t>Thay đầu cáp lực 22kV đến 35kV. Đầu cáp dầu điệp áp 22kV đến 35kV. Phễu gang 35kV. Tiết diện cáp &lt;= 70mm2</t>
  </si>
  <si>
    <t>06.03.603</t>
  </si>
  <si>
    <t>Thay đầu cáp lực 22kV đến 35kV. Đầu cáp dầu điệp áp 22kV đến 35kV. Phễu gang 35kV. Tiết diện cáp &lt;= 120mm2</t>
  </si>
  <si>
    <t>06.03.604</t>
  </si>
  <si>
    <t>Thay đầu cáp lực 22kV đến 35kV. Đầu cáp dầu điệp áp 22kV đến 35kV. Phễu gang 35kV. Tiết diện cáp &lt;= 185mm2</t>
  </si>
  <si>
    <t>06.03.605</t>
  </si>
  <si>
    <t>Thay đầu cáp lực 22kV đến 35kV. Đầu cáp dầu điệp áp 22kV đến 35kV. Phễu gang 35kV. Tiết diện cáp &lt;= 240mm2</t>
  </si>
  <si>
    <t>06.03.606</t>
  </si>
  <si>
    <t>Thay đầu cáp lực 22kV đến 35kV. Đầu cáp dầu điệp áp 22kV đến 35kV. Phễu gang 35kV. Tiết diện cáp &lt;= 300mm2</t>
  </si>
  <si>
    <t>06.03.607</t>
  </si>
  <si>
    <t>Thay đầu cáp lực 22kV đến 35kV. Đầu cáp dầu điệp áp 22kV đến 35kV. Phễu gang 35kV. Tiết diện cáp &lt;= 400mm2</t>
  </si>
  <si>
    <t>06.04.101</t>
  </si>
  <si>
    <t>Thay đầu cáp lực 66kV đến 110kV. Đầu cáp khô điệp áp 66kV đến 110kV. Đầu cáp 66kV. Tiết diện cáp &lt;= 35mm2</t>
  </si>
  <si>
    <t>1 đầu cáp (1 pha)</t>
  </si>
  <si>
    <t>06.04.102</t>
  </si>
  <si>
    <t>Thay đầu cáp lực 66kV đến 110kV. Đầu cáp khô điệp áp 66kV đến 110kV. Đầu cáp 66kV. Tiết diện cáp &lt;= 70mm2</t>
  </si>
  <si>
    <t>06.04.103</t>
  </si>
  <si>
    <t>Thay đầu cáp lực 66kV đến 110kV. Đầu cáp khô điệp áp 66kV đến 110kV. Đầu cáp 66kV. Tiết diện cáp &lt;= 120mm2</t>
  </si>
  <si>
    <t>06.04.104</t>
  </si>
  <si>
    <t>Thay đầu cáp lực 66kV đến 110kV. Đầu cáp khô điệp áp 66kV đến 110kV. Đầu cáp 66kV. Tiết diện cáp &lt;= 185mm2</t>
  </si>
  <si>
    <t>06.04.105</t>
  </si>
  <si>
    <t>Thay đầu cáp lực 66kV đến 110kV. Đầu cáp khô điệp áp 66kV đến 110kV. Đầu cáp 66kV. Tiết diện cáp &lt;= 240mm2</t>
  </si>
  <si>
    <t>06.04.106</t>
  </si>
  <si>
    <t>Thay đầu cáp lực 66kV đến 110kV. Đầu cáp khô điệp áp 66kV đến 110kV. Đầu cáp 66kV. Tiết diện cáp &lt;= 300mm2</t>
  </si>
  <si>
    <t>06.04.107</t>
  </si>
  <si>
    <t>Thay đầu cáp lực 66kV đến 110kV. Đầu cáp khô điệp áp 66kV đến 110kV. Đầu cáp 66kV. Tiết diện cáp &lt;= 400mm2</t>
  </si>
  <si>
    <t>06.04.201</t>
  </si>
  <si>
    <t>Thay đầu cáp lực 66kV đến 110kV. Đầu cáp khô điệp áp 66kV đến 110kV. Đầu cáp 110kV. Tiết diện cáp &lt;= 35mm2</t>
  </si>
  <si>
    <t>06.04.202</t>
  </si>
  <si>
    <t>Thay đầu cáp lực 66kV đến 110kV. Đầu cáp khô điệp áp 66kV đến 110kV. Đầu cáp 110kV. Tiết diện cáp &lt;= 70mm2</t>
  </si>
  <si>
    <t>06.04.203</t>
  </si>
  <si>
    <t>Thay đầu cáp lực 66kV đến 110kV. Đầu cáp khô điệp áp 66kV đến 110kV. Đầu cáp 110kV. Tiết diện cáp &lt;= 120mm2</t>
  </si>
  <si>
    <t>06.04.204</t>
  </si>
  <si>
    <t>Thay đầu cáp lực 66kV đến 110kV. Đầu cáp khô điệp áp 66kV đến 110kV. Đầu cáp 110kV. Tiết diện cáp &lt;= 185mm2</t>
  </si>
  <si>
    <t>06.04.205</t>
  </si>
  <si>
    <t>Thay đầu cáp lực 66kV đến 110kV. Đầu cáp khô điệp áp 66kV đến 110kV. Đầu cáp 110kV. Tiết diện cáp &lt;= 240mm2</t>
  </si>
  <si>
    <t>06.04.206</t>
  </si>
  <si>
    <t>Thay đầu cáp lực 66kV đến 110kV. Đầu cáp khô điệp áp 66kV đến 110kV. Đầu cáp 110kV. Tiết diện cáp &lt;= 300mm2</t>
  </si>
  <si>
    <t>06.04.207</t>
  </si>
  <si>
    <t>Thay đầu cáp lực 66kV đến 110kV. Đầu cáp khô điệp áp 66kV đến 110kV. Đầu cáp 110kV. Tiết diện cáp &lt;= 400mm2</t>
  </si>
  <si>
    <t>06.04.301</t>
  </si>
  <si>
    <t>Thay đầu cáp lực 66kV đến 110kV. Đầu cáp dầu điệp áp 66kV đến 110kV. Đầu cáp 66kV. Tiết diện cáp &lt;= 35mm2</t>
  </si>
  <si>
    <t>06.04.302</t>
  </si>
  <si>
    <t>Thay đầu cáp lực 66kV đến 110kV. Đầu cáp dầu điệp áp 66kV đến 110kV. Đầu cáp 66kV. Tiết diện cáp &lt;= 70mm2</t>
  </si>
  <si>
    <t>06.04.303</t>
  </si>
  <si>
    <t>Thay đầu cáp lực 66kV đến 110kV. Đầu cáp dầu điệp áp 66kV đến 110kV. Đầu cáp 66kV. Tiết diện cáp &lt;= 120mm2</t>
  </si>
  <si>
    <t>06.04.304</t>
  </si>
  <si>
    <t>Thay đầu cáp lực 66kV đến 110kV. Đầu cáp dầu điệp áp 66kV đến 110kV. Đầu cáp 66kV. Tiết diện cáp &lt;= 185mm2</t>
  </si>
  <si>
    <t>06.04.305</t>
  </si>
  <si>
    <t>Thay đầu cáp lực 66kV đến 110kV. Đầu cáp dầu điệp áp 66kV đến 110kV. Đầu cáp 66kV. Tiết diện cáp &lt;= 240mm2</t>
  </si>
  <si>
    <t>06.04.306</t>
  </si>
  <si>
    <t>Thay đầu cáp lực 66kV đến 110kV. Đầu cáp dầu điệp áp 66kV đến 110kV. Đầu cáp 66kV. Tiết diện cáp &lt;= 300mm2</t>
  </si>
  <si>
    <t>06.04.307</t>
  </si>
  <si>
    <t>Thay đầu cáp lực 66kV đến 110kV. Đầu cáp dầu điệp áp 66kV đến 110kV. Đầu cáp 66kV. Tiết diện cáp &lt;= 400mm2</t>
  </si>
  <si>
    <t>06.04.401</t>
  </si>
  <si>
    <t>Thay đầu cáp lực 66kV đến 110kV. Đầu cáp dầu điệp áp 66kV đến 110kV. Đầu cáp 110kV. Tiết diện cáp &lt;= 35mm2</t>
  </si>
  <si>
    <t>06.04.402</t>
  </si>
  <si>
    <t>Thay đầu cáp lực 66kV đến 110kV. Đầu cáp dầu điệp áp 66kV đến 110kV. Đầu cáp 110kV. Tiết diện cáp &lt;= 70mm2</t>
  </si>
  <si>
    <t>06.04.403</t>
  </si>
  <si>
    <t>Thay đầu cáp lực 66kV đến 110kV. Đầu cáp dầu điệp áp 66kV đến 110kV. Đầu cáp 110kV. Tiết diện cáp &lt;= 120mm2</t>
  </si>
  <si>
    <t>06.04.404</t>
  </si>
  <si>
    <t>Thay đầu cáp lực 66kV đến 110kV. Đầu cáp dầu điệp áp 66kV đến 110kV. Đầu cáp 110kV. Tiết diện cáp &lt;= 185mm2</t>
  </si>
  <si>
    <t>06.04.405</t>
  </si>
  <si>
    <t>Thay đầu cáp lực 66kV đến 110kV. Đầu cáp dầu điệp áp 66kV đến 110kV. Đầu cáp 110kV. Tiết diện cáp &lt;= 240mm2</t>
  </si>
  <si>
    <t>06.04.406</t>
  </si>
  <si>
    <t>Thay đầu cáp lực 66kV đến 110kV. Đầu cáp dầu điệp áp 66kV đến 110kV. Đầu cáp 110kV. Tiết diện cáp &lt;= 300mm2</t>
  </si>
  <si>
    <t>06.04.407</t>
  </si>
  <si>
    <t>Thay đầu cáp lực 66kV đến 110kV. Đầu cáp dầu điệp áp 66kV đến 110kV. Đầu cáp 110kV. Tiết diện cáp &lt;= 400mm2</t>
  </si>
  <si>
    <t>06.05.111</t>
  </si>
  <si>
    <t>Thay hộp nối cáp lực hạ thế &lt;= 1kV, có 3 đến 4 ruột. Hộp nối cáp khô điện áp &lt;= 1kV. Tiết diện cáp &lt;= 35mm2</t>
  </si>
  <si>
    <t>06.05.112</t>
  </si>
  <si>
    <t>Thay hộp nối cáp lực hạ thế &lt;= 1kV, có 3 đến 4 ruột. Hộp nối cáp khô điện áp &lt;= 1kV. Tiết diện cáp &lt;= 70mm2</t>
  </si>
  <si>
    <t>06.05.113</t>
  </si>
  <si>
    <t>Thay hộp nối cáp lực hạ thế &lt;= 1kV, có 3 đến 4 ruột. Hộp nối cáp khô điện áp &lt;= 1kV. Tiết diện cáp &lt;= 120mm2</t>
  </si>
  <si>
    <t>06.05.114</t>
  </si>
  <si>
    <t>Thay hộp nối cáp lực hạ thế &lt;= 1kV, có 3 đến 4 ruột. Hộp nối cáp khô điện áp &lt;= 1kV. Tiết diện cáp &lt;= 185mm2</t>
  </si>
  <si>
    <t>06.05.115</t>
  </si>
  <si>
    <t>Thay hộp nối cáp lực hạ thế &lt;= 1kV, có 3 đến 4 ruột. Hộp nối cáp khô điện áp &lt;= 1kV. Tiết diện cáp &lt;= 240mm2</t>
  </si>
  <si>
    <t>06.05.116</t>
  </si>
  <si>
    <t>Thay hộp nối cáp lực hạ thế &lt;= 1kV, có 3 đến 4 ruột. Hộp nối cáp khô điện áp &lt;= 1kV. Tiết diện cáp &lt;= 300mm2</t>
  </si>
  <si>
    <t>06.05.117</t>
  </si>
  <si>
    <t>Thay hộp nối cáp lực hạ thế &lt;= 1kV, có 3 đến 4 ruột. Hộp nối cáp khô điện áp &lt;= 1kV. Tiết diện cáp &lt;= 400mm2</t>
  </si>
  <si>
    <t>06.05.121</t>
  </si>
  <si>
    <t>Thay hộp nối cáp lực hạ thế &lt;= 1kV, có 3 đến 4 ruột. Hộp nối cáp dầu điện áp &lt;= 1kV. Tiết diện cáp &lt;= 35mm2</t>
  </si>
  <si>
    <t>06.05.122</t>
  </si>
  <si>
    <t>Thay hộp nối cáp lực hạ thế &lt;= 1kV, có 3 đến 4 ruột. Hộp nối cáp dầu điện áp &lt;= 1kV. Tiết diện cáp &lt;= 70mm2</t>
  </si>
  <si>
    <t>06.05.123</t>
  </si>
  <si>
    <t>Thay hộp nối cáp lực hạ thế &lt;= 1kV, có 3 đến 4 ruột. Hộp nối cáp dầu điện áp &lt;= 1kV. Tiết diện cáp &lt;= 120mm2</t>
  </si>
  <si>
    <t>06.05.124</t>
  </si>
  <si>
    <t>Thay hộp nối cáp lực hạ thế &lt;= 1kV, có 3 đến 4 ruột. Hộp nối cáp dầu điện áp &lt;= 1kV. Tiết diện cáp &lt;= 185mm2</t>
  </si>
  <si>
    <t>06.05.125</t>
  </si>
  <si>
    <t>Thay hộp nối cáp lực hạ thế &lt;= 1kV, có 3 đến 4 ruột. Hộp nối cáp dầu điện áp &lt;= 1kV. Tiết diện cáp &lt;= 240mm2</t>
  </si>
  <si>
    <t>06.05.126</t>
  </si>
  <si>
    <t>Thay hộp nối cáp lực hạ thế &lt;= 1kV, có 3 đến 4 ruột. Hộp nối cáp dầu điện áp &lt;= 1kV. Tiết diện cáp &lt;= 300mm2</t>
  </si>
  <si>
    <t>06.05.127</t>
  </si>
  <si>
    <t>Thay hộp nối cáp lực hạ thế &lt;= 1kV, có 3 đến 4 ruột. Hộp nối cáp dầu điện áp &lt;= 1kV. Tiết diện cáp &lt;= 400mm2</t>
  </si>
  <si>
    <t>06.05.211</t>
  </si>
  <si>
    <t>Thay hộp nối cáp lực 3kV đến 15kV. Hộp nối cáp khô điện áp 3kV đến 15kV. Hộp nối 3kV - 6kV. Tiết diện cáp &lt;= 35mm2</t>
  </si>
  <si>
    <t>1 hộp nối (3 pha)</t>
  </si>
  <si>
    <t>06.05.212</t>
  </si>
  <si>
    <t>Thay hộp nối cáp lực 3kV đến 15kV. Hộp nối cáp khô điện áp 3kV đến 15kV. Hộp nối 3kV - 6kV. Tiết diện cáp &lt;= 70mm2</t>
  </si>
  <si>
    <t>06.05.213</t>
  </si>
  <si>
    <t>Thay hộp nối cáp lực 3kV đến 15kV. Hộp nối cáp khô điện áp 3kV đến 15kV. Hộp nối 3kV - 6kV. Tiết diện cáp &lt;= 120mm2</t>
  </si>
  <si>
    <t>06.05.214</t>
  </si>
  <si>
    <t>Thay hộp nối cáp lực 3kV đến 15kV. Hộp nối cáp khô điện áp 3kV đến 15kV. Hộp nối 3kV - 6kV. Tiết diện cáp &lt;= 185mm2</t>
  </si>
  <si>
    <t>06.05.215</t>
  </si>
  <si>
    <t>Thay hộp nối cáp lực 3kV đến 15kV. Hộp nối cáp khô điện áp 3kV đến 15kV. Hộp nối 3kV - 6kV. Tiết diện cáp &lt;= 240mm2</t>
  </si>
  <si>
    <t>06.05.216</t>
  </si>
  <si>
    <t>Thay hộp nối cáp lực 3kV đến 15kV. Hộp nối cáp khô điện áp 3kV đến 15kV. Hộp nối 3kV - 6kV. Tiết diện cáp &lt;= 300mm2</t>
  </si>
  <si>
    <t>06.05.217</t>
  </si>
  <si>
    <t>Thay hộp nối cáp lực 3kV đến 15kV. Hộp nối cáp khô điện áp 3kV đến 15kV. Hộp nối 3kV - 6kV. Tiết diện cáp &lt;= 400mm2</t>
  </si>
  <si>
    <t>06.05.221</t>
  </si>
  <si>
    <t>Thay hộp nối cáp lực 3kV đến 15kV. Hộp nối cáp khô điện áp 3kV đến 15kV. Hộp nối 10kV - 15kV. Tiết diện cáp &lt;= 35mm2</t>
  </si>
  <si>
    <t>06.05.222</t>
  </si>
  <si>
    <t>Thay hộp nối cáp lực 3kV đến 15kV. Hộp nối cáp khô điện áp 3kV đến 15kV. Hộp nối 10kV - 15kV. Tiết diện cáp &lt;= 70mm2</t>
  </si>
  <si>
    <t>06.05.223</t>
  </si>
  <si>
    <t>Thay hộp nối cáp lực 3kV đến 15kV. Hộp nối cáp khô điện áp 3kV đến 15kV. Hộp nối 10kV - 15kV. Tiết diện cáp &lt;= 120mm2</t>
  </si>
  <si>
    <t>06.05.224</t>
  </si>
  <si>
    <t>Thay hộp nối cáp lực 3kV đến 15kV. Hộp nối cáp khô điện áp 3kV đến 15kV. Hộp nối 10kV - 15kV. Tiết diện cáp &lt;= 185mm2</t>
  </si>
  <si>
    <t>06.05.225</t>
  </si>
  <si>
    <t>Thay hộp nối cáp lực 3kV đến 15kV. Hộp nối cáp khô điện áp 3kV đến 15kV. Hộp nối 10kV - 15kV. Tiết diện cáp &lt;= 240mm2</t>
  </si>
  <si>
    <t>06.05.226</t>
  </si>
  <si>
    <t>Thay hộp nối cáp lực 3kV đến 15kV. Hộp nối cáp khô điện áp 3kV đến 15kV. Hộp nối 10kV - 15kV. Tiết diện cáp &lt;= 300mm2</t>
  </si>
  <si>
    <t>06.05.227</t>
  </si>
  <si>
    <t>Thay hộp nối cáp lực 3kV đến 15kV. Hộp nối cáp khô điện áp 3kV đến 15kV. Hộp nối 10kV - 15kV. Tiết diện cáp &lt;= 400mm2</t>
  </si>
  <si>
    <t>06.05.231</t>
  </si>
  <si>
    <t>Thay hộp nối cáp lực 3kV đến 15kV. Hộp nối cáp dầu điện áp 3kV đến 15kV. Hộp nối 3kV - 6kV. Tiết diện cáp &lt;= 35mm2</t>
  </si>
  <si>
    <t>06.05.232</t>
  </si>
  <si>
    <t>Thay hộp nối cáp lực 3kV đến 15kV. Hộp nối cáp dầu điện áp 3kV đến 15kV. Hộp nối 3kV - 6kV. Tiết diện cáp &lt;= 70mm2</t>
  </si>
  <si>
    <t>06.05.233</t>
  </si>
  <si>
    <t>Thay hộp nối cáp lực 3kV đến 15kV. Hộp nối cáp dầu điện áp 3kV đến 15kV. Hộp nối 3kV - 6kV. Tiết diện cáp &lt;= 120mm2</t>
  </si>
  <si>
    <t>06.05.234</t>
  </si>
  <si>
    <t>Thay hộp nối cáp lực 3kV đến 15kV. Hộp nối cáp dầu điện áp 3kV đến 15kV. Hộp nối 3kV - 6kV. Tiết diện cáp &lt;= 185mm2</t>
  </si>
  <si>
    <t>06.05.235</t>
  </si>
  <si>
    <t>Thay hộp nối cáp lực 3kV đến 15kV. Hộp nối cáp dầu điện áp 3kV đến 15kV. Hộp nối 3kV - 6kV. Tiết diện cáp &lt;= 240mm2</t>
  </si>
  <si>
    <t>06.05.236</t>
  </si>
  <si>
    <t>Thay hộp nối cáp lực 3kV đến 15kV. Hộp nối cáp dầu điện áp 3kV đến 15kV. Hộp nối 3kV - 6kV. Tiết diện cáp &lt;= 300mm2</t>
  </si>
  <si>
    <t>06.05.237</t>
  </si>
  <si>
    <t>Thay hộp nối cáp lực 3kV đến 15kV. Hộp nối cáp dầu điện áp 3kV đến 15kV. Hộp nối 3kV - 6kV. Tiết diện cáp &lt;= 400mm2</t>
  </si>
  <si>
    <t>06.05.241</t>
  </si>
  <si>
    <t>Thay hộp nối cáp lực 3kV đến 15kV. Hộp nối cáp dầu điện áp 3kV đến 15kV. Hộp nối 10kV - 15kV. Tiết diện cáp &lt;= 35mm2</t>
  </si>
  <si>
    <t>06.05.242</t>
  </si>
  <si>
    <t>Thay hộp nối cáp lực 3kV đến 15kV. Hộp nối cáp dầu điện áp 3kV đến 15kV. Hộp nối 10kV - 15kV. Tiết diện cáp &lt;= 70mm2</t>
  </si>
  <si>
    <t>06.05.243</t>
  </si>
  <si>
    <t>Thay hộp nối cáp lực 3kV đến 15kV. Hộp nối cáp dầu điện áp 3kV đến 15kV. Hộp nối 10kV - 15kV. Tiết diện cáp &lt;= 120mm2</t>
  </si>
  <si>
    <t>06.05.244</t>
  </si>
  <si>
    <t>Thay hộp nối cáp lực 3kV đến 15kV. Hộp nối cáp dầu điện áp 3kV đến 15kV. Hộp nối 10kV - 15kV. Tiết diện cáp &lt;= 185mm2</t>
  </si>
  <si>
    <t>06.05.245</t>
  </si>
  <si>
    <t>Thay hộp nối cáp lực 3kV đến 15kV. Hộp nối cáp dầu điện áp 3kV đến 15kV. Hộp nối 10kV - 15kV. Tiết diện cáp &lt;= 240mm2</t>
  </si>
  <si>
    <t>06.05.246</t>
  </si>
  <si>
    <t>Thay hộp nối cáp lực 3kV đến 15kV. Hộp nối cáp dầu điện áp 3kV đến 15kV. Hộp nối 10kV - 15kV. Tiết diện cáp &lt;= 300mm2</t>
  </si>
  <si>
    <t>06.05.247</t>
  </si>
  <si>
    <t>Thay hộp nối cáp lực 3kV đến 15kV. Hộp nối cáp dầu điện áp 3kV đến 15kV. Hộp nối 10kV - 15kV. Tiết diện cáp &lt;= 400mm2</t>
  </si>
  <si>
    <t>06.05.311</t>
  </si>
  <si>
    <t>Thay hộp nối cáp lực 22kV đến 35kV. Hộp nối cáp khô điện áp 22kV đến 35kV. Hộp nối 22kV. Tiết diện cáp &lt;= 35mm2</t>
  </si>
  <si>
    <t>06.05.312</t>
  </si>
  <si>
    <t>Thay hộp nối cáp lực 22kV đến 35kV. Hộp nối cáp khô điện áp 22kV đến 35kV. Hộp nối 22kV. Tiết diện cáp &lt;= 70mm2</t>
  </si>
  <si>
    <t>06.05.313</t>
  </si>
  <si>
    <t>Thay hộp nối cáp lực 22kV đến 35kV. Hộp nối cáp khô điện áp 22kV đến 35kV. Hộp nối 22kV. Tiết diện cáp &lt;= 120mm2</t>
  </si>
  <si>
    <t>06.05.314</t>
  </si>
  <si>
    <t>Thay hộp nối cáp lực 22kV đến 35kV. Hộp nối cáp khô điện áp 22kV đến 35kV. Hộp nối 22kV. Tiết diện cáp &lt;= 185mm2</t>
  </si>
  <si>
    <t>06.05.315</t>
  </si>
  <si>
    <t>Thay hộp nối cáp lực 22kV đến 35kV. Hộp nối cáp khô điện áp 22kV đến 35kV. Hộp nối 22kV. Tiết diện cáp &lt;= 240mm2</t>
  </si>
  <si>
    <t>06.05.316</t>
  </si>
  <si>
    <t>Thay hộp nối cáp lực 22kV đến 35kV. Hộp nối cáp khô điện áp 22kV đến 35kV. Hộp nối 22kV. Tiết diện cáp &lt;= 300mm2</t>
  </si>
  <si>
    <t>06.05.317</t>
  </si>
  <si>
    <t>Thay hộp nối cáp lực 22kV đến 35kV. Hộp nối cáp khô điện áp 22kV đến 35kV. Hộp nối 22kV. Tiết diện cáp &lt;= 400mm2</t>
  </si>
  <si>
    <t>06.05.321</t>
  </si>
  <si>
    <t>Thay hộp nối cáp lực 22kV đến 35kV. Hộp nối cáp khô điện áp 22kV đến 35kV. Hộp nối 35kV. Tiết diện cáp &lt;= 35mm2</t>
  </si>
  <si>
    <t>06.05.322</t>
  </si>
  <si>
    <t>Thay hộp nối cáp lực 22kV đến 35kV. Hộp nối cáp khô điện áp 22kV đến 35kV. Hộp nối 35kV. Tiết diện cáp &lt;= 70mm2</t>
  </si>
  <si>
    <t>06.05.323</t>
  </si>
  <si>
    <t>Thay hộp nối cáp lực 22kV đến 35kV. Hộp nối cáp khô điện áp 22kV đến 35kV. Hộp nối 35kV. Tiết diện cáp &lt;= 120mm2</t>
  </si>
  <si>
    <t>06.05.324</t>
  </si>
  <si>
    <t>Thay hộp nối cáp lực 22kV đến 35kV. Hộp nối cáp khô điện áp 22kV đến 35kV. Hộp nối 35kV. Tiết diện cáp &lt;= 185mm2</t>
  </si>
  <si>
    <t>06.05.325</t>
  </si>
  <si>
    <t>Thay hộp nối cáp lực 22kV đến 35kV. Hộp nối cáp khô điện áp 22kV đến 35kV. Hộp nối 35kV. Tiết diện cáp &lt;= 240mm2</t>
  </si>
  <si>
    <t>06.05.326</t>
  </si>
  <si>
    <t>Thay hộp nối cáp lực 22kV đến 35kV. Hộp nối cáp khô điện áp 22kV đến 35kV. Hộp nối 35kV. Tiết diện cáp &lt;= 300mm2</t>
  </si>
  <si>
    <t>06.05.327</t>
  </si>
  <si>
    <t>Thay hộp nối cáp lực 22kV đến 35kV. Hộp nối cáp khô điện áp 22kV đến 35kV. Hộp nối 35kV. Tiết diện cáp &lt;= 400mm2</t>
  </si>
  <si>
    <t>06.05.331</t>
  </si>
  <si>
    <t>Thay hộp nối cáp lực 22kV đến 35kV. Hộp nối cáp dầu điện áp 22kV đến 35kV. Hộp nối 22kV. Tiết diện cáp &lt;= 35mm2</t>
  </si>
  <si>
    <t>06.05.332</t>
  </si>
  <si>
    <t>Thay hộp nối cáp lực 22kV đến 35kV. Hộp nối cáp dầu điện áp 22kV đến 35kV. Hộp nối 22kV. Tiết diện cáp &lt;= 70mm2</t>
  </si>
  <si>
    <t>06.05.333</t>
  </si>
  <si>
    <t>Thay hộp nối cáp lực 22kV đến 35kV. Hộp nối cáp dầu điện áp 22kV đến 35kV. Hộp nối 22kV. Tiết diện cáp &lt;= 120mm2</t>
  </si>
  <si>
    <t>06.05.334</t>
  </si>
  <si>
    <t>Thay hộp nối cáp lực 22kV đến 35kV. Hộp nối cáp dầu điện áp 22kV đến 35kV. Hộp nối 22kV. Tiết diện cáp &lt;= 185mm2</t>
  </si>
  <si>
    <t>06.05.335</t>
  </si>
  <si>
    <t>Thay hộp nối cáp lực 22kV đến 35kV. Hộp nối cáp dầu điện áp 22kV đến 35kV. Hộp nối 22kV. Tiết diện cáp &lt;= 240mm2</t>
  </si>
  <si>
    <t>06.05.336</t>
  </si>
  <si>
    <t>Thay hộp nối cáp lực 22kV đến 35kV. Hộp nối cáp dầu điện áp 22kV đến 35kV. Hộp nối 22kV. Tiết diện cáp &lt;= 300mm2</t>
  </si>
  <si>
    <t>06.05.337</t>
  </si>
  <si>
    <t>Thay hộp nối cáp lực 22kV đến 35kV. Hộp nối cáp dầu điện áp 22kV đến 35kV. Hộp nối 22kV. Tiết diện cáp &lt;= 400mm2</t>
  </si>
  <si>
    <t>06.05.341</t>
  </si>
  <si>
    <t>Thay hộp nối cáp lực 22kV đến 35kV. Hộp nối cáp dầu điện áp 22kV đến 35kV. Hộp nối 35kV. Tiết diện cáp &lt;= 35mm2</t>
  </si>
  <si>
    <t>06.05.342</t>
  </si>
  <si>
    <t>Thay hộp nối cáp lực 22kV đến 35kV. Hộp nối cáp dầu điện áp 22kV đến 35kV. Hộp nối 35kV. Tiết diện cáp &lt;= 70mm2</t>
  </si>
  <si>
    <t>06.05.343</t>
  </si>
  <si>
    <t>Thay hộp nối cáp lực 22kV đến 35kV. Hộp nối cáp dầu điện áp 22kV đến 35kV. Hộp nối 35kV. Tiết diện cáp &lt;= 120mm2</t>
  </si>
  <si>
    <t>06.05.344</t>
  </si>
  <si>
    <t>Thay hộp nối cáp lực 22kV đến 35kV. Hộp nối cáp dầu điện áp 22kV đến 35kV. Hộp nối 35kV. Tiết diện cáp &lt;= 185mm2</t>
  </si>
  <si>
    <t>06.05.345</t>
  </si>
  <si>
    <t>Thay hộp nối cáp lực 22kV đến 35kV. Hộp nối cáp dầu điện áp 22kV đến 35kV. Hộp nối 35kV. Tiết diện cáp &lt;= 240mm2</t>
  </si>
  <si>
    <t>06.05.346</t>
  </si>
  <si>
    <t>Thay hộp nối cáp lực 22kV đến 35kV. Hộp nối cáp dầu điện áp 22kV đến 35kV. Hộp nối 35kV. Tiết diện cáp &lt;= 300mm2</t>
  </si>
  <si>
    <t>06.05.347</t>
  </si>
  <si>
    <t>Thay hộp nối cáp lực 22kV đến 35kV. Hộp nối cáp dầu điện áp 22kV đến 35kV. Hộp nối 35kV. Tiết diện cáp &lt;= 400mm2</t>
  </si>
  <si>
    <t>06.05.411</t>
  </si>
  <si>
    <t>Thay hộp nối cáp lực 66kV đến 110kV. Hộp nối cáp khô điện áp 66kV đến 110kV. Hộp nối 66kV. Tiết diện cáp &lt;= 35mm2</t>
  </si>
  <si>
    <t>06.05.412</t>
  </si>
  <si>
    <t>Thay hộp nối cáp lực 66kV đến 110kV. Hộp nối cáp khô điện áp 66kV đến 110kV. Hộp nối 66kV. Tiết diện cáp &lt;= 70mm2</t>
  </si>
  <si>
    <t>06.05.413</t>
  </si>
  <si>
    <t>Thay hộp nối cáp lực 66kV đến 110kV. Hộp nối cáp khô điện áp 66kV đến 110kV. Hộp nối 66kV. Tiết diện cáp &lt;= 120mm2</t>
  </si>
  <si>
    <t>06.05.414</t>
  </si>
  <si>
    <t>Thay hộp nối cáp lực 66kV đến 110kV. Hộp nối cáp khô điện áp 66kV đến 110kV. Hộp nối 66kV. Tiết diện cáp &lt;= 185mm2</t>
  </si>
  <si>
    <t>06.05.415</t>
  </si>
  <si>
    <t>Thay hộp nối cáp lực 66kV đến 110kV. Hộp nối cáp khô điện áp 66kV đến 110kV. Hộp nối 66kV. Tiết diện cáp &lt;= 240mm2</t>
  </si>
  <si>
    <t>06.05.416</t>
  </si>
  <si>
    <t>Thay hộp nối cáp lực 66kV đến 110kV. Hộp nối cáp khô điện áp 66kV đến 110kV. Hộp nối 66kV. Tiết diện cáp &lt;= 300mm2</t>
  </si>
  <si>
    <t>06.05.417</t>
  </si>
  <si>
    <t>Thay hộp nối cáp lực 66kV đến 110kV. Hộp nối cáp khô điện áp 66kV đến 110kV. Hộp nối 66kV. Tiết diện cáp &lt;= 400mm2</t>
  </si>
  <si>
    <t>06.05.421</t>
  </si>
  <si>
    <t>Thay hộp nối cáp lực 66kV đến 110kV. Hộp nối cáp khô điện áp 66kV đến 110kV. Hộp nối 110kV. Tiết diện cáp &lt;= 35mm2</t>
  </si>
  <si>
    <t>06.05.422</t>
  </si>
  <si>
    <t>Thay hộp nối cáp lực 66kV đến 110kV. Hộp nối cáp khô điện áp 66kV đến 110kV. Hộp nối 110kV. Tiết diện cáp &lt;= 70mm2</t>
  </si>
  <si>
    <t>06.05.423</t>
  </si>
  <si>
    <t>Thay hộp nối cáp lực 66kV đến 110kV. Hộp nối cáp khô điện áp 66kV đến 110kV. Hộp nối 110kV. Tiết diện cáp &lt;= 120mm2</t>
  </si>
  <si>
    <t>06.05.424</t>
  </si>
  <si>
    <t>Thay hộp nối cáp lực 66kV đến 110kV. Hộp nối cáp khô điện áp 66kV đến 110kV. Hộp nối 110kV. Tiết diện cáp &lt;= 185mm2</t>
  </si>
  <si>
    <t>06.05.425</t>
  </si>
  <si>
    <t>Thay hộp nối cáp lực 66kV đến 110kV. Hộp nối cáp khô điện áp 66kV đến 110kV. Hộp nối 110kV. Tiết diện cáp &lt;= 240mm2</t>
  </si>
  <si>
    <t>06.05.426</t>
  </si>
  <si>
    <t>Thay hộp nối cáp lực 66kV đến 110kV. Hộp nối cáp khô điện áp 66kV đến 110kV. Hộp nối 110kV. Tiết diện cáp &lt;= 300mm2</t>
  </si>
  <si>
    <t>06.05.427</t>
  </si>
  <si>
    <t>Thay hộp nối cáp lực 66kV đến 110kV. Hộp nối cáp khô điện áp 66kV đến 110kV. Hộp nối 110kV. Tiết diện cáp &lt;= 400mm2</t>
  </si>
  <si>
    <t>06.05.431</t>
  </si>
  <si>
    <t>Thay hộp nối cáp lực 66kV đến 110kV. Hộp nối cáp dầu điện áp 66kV đến 110kV. Hộp nối 66kV. Tiết diện cáp &lt;= 35mm2</t>
  </si>
  <si>
    <t>06.05.432</t>
  </si>
  <si>
    <t>Thay hộp nối cáp lực 66kV đến 110kV. Hộp nối cáp dầu điện áp 66kV đến 110kV. Hộp nối 66kV. Tiết diện cáp &lt;= 70mm2</t>
  </si>
  <si>
    <t>06.05.433</t>
  </si>
  <si>
    <t>Thay hộp nối cáp lực 66kV đến 110kV. Hộp nối cáp dầu điện áp 66kV đến 110kV. Hộp nối 66kV. Tiết diện cáp &lt;= 120mm2</t>
  </si>
  <si>
    <t>06.05.434</t>
  </si>
  <si>
    <t>Thay hộp nối cáp lực 66kV đến 110kV. Hộp nối cáp dầu điện áp 66kV đến 110kV. Hộp nối 66kV. Tiết diện cáp &lt;= 185mm2</t>
  </si>
  <si>
    <t>06.05.435</t>
  </si>
  <si>
    <t>Thay hộp nối cáp lực 66kV đến 110kV. Hộp nối cáp dầu điện áp 66kV đến 110kV. Hộp nối 66kV. Tiết diện cáp &lt;= 240mm2</t>
  </si>
  <si>
    <t>06.05.436</t>
  </si>
  <si>
    <t>Thay hộp nối cáp lực 66kV đến 110kV. Hộp nối cáp dầu điện áp 66kV đến 110kV. Hộp nối 66kV. Tiết diện cáp &lt;= 300mm2</t>
  </si>
  <si>
    <t>06.05.437</t>
  </si>
  <si>
    <t>Thay hộp nối cáp lực 66kV đến 110kV. Hộp nối cáp dầu điện áp 66kV đến 110kV. Hộp nối 66kV. Tiết diện cáp &lt;= 400mm2</t>
  </si>
  <si>
    <t>06.05.441</t>
  </si>
  <si>
    <t>Thay hộp nối cáp lực 66kV đến 110kV. Hộp nối cáp dầu điện áp 66kV đến 110kV. Hộp nối 110kV. Tiết diện cáp &lt;= 35mm2</t>
  </si>
  <si>
    <t>06.05.442</t>
  </si>
  <si>
    <t>Thay hộp nối cáp lực 66kV đến 110kV. Hộp nối cáp dầu điện áp 66kV đến 110kV. Hộp nối 110kV. Tiết diện cáp &lt;= 70mm2</t>
  </si>
  <si>
    <t>06.05.443</t>
  </si>
  <si>
    <t>Thay hộp nối cáp lực 66kV đến 110kV. Hộp nối cáp dầu điện áp 66kV đến 110kV. Hộp nối 110kV. Tiết diện cáp &lt;= 120mm2</t>
  </si>
  <si>
    <t>06.05.444</t>
  </si>
  <si>
    <t>Thay hộp nối cáp lực 66kV đến 110kV. Hộp nối cáp dầu điện áp 66kV đến 110kV. Hộp nối 110kV. Tiết diện cáp &lt;= 185mm2</t>
  </si>
  <si>
    <t>06.05.445</t>
  </si>
  <si>
    <t>Thay hộp nối cáp lực 66kV đến 110kV. Hộp nối cáp dầu điện áp 66kV đến 110kV. Hộp nối 110kV. Tiết diện cáp &lt;= 240mm2</t>
  </si>
  <si>
    <t>06.05.446</t>
  </si>
  <si>
    <t>Thay hộp nối cáp lực 66kV đến 110kV. Hộp nối cáp dầu điện áp 66kV đến 110kV. Hộp nối 110kV. Tiết diện cáp &lt;= 300mm2</t>
  </si>
  <si>
    <t>06.05.447</t>
  </si>
  <si>
    <t>Thay hộp nối cáp lực 66kV đến 110kV. Hộp nối cáp dầu điện áp 66kV đến 110kV. Hộp nối 110kV. Tiết diện cáp &lt;= 400mm2</t>
  </si>
  <si>
    <t>06.06.001</t>
  </si>
  <si>
    <t>Thay hộp nối cáp quang ở độ cao &lt;= 10m. Số sợi cáp quang trong hộp &lt;= 12 sợi</t>
  </si>
  <si>
    <t>1 hộp</t>
  </si>
  <si>
    <t>06.06.002</t>
  </si>
  <si>
    <t>Thay hộp nối cáp quang ở độ cao &lt;= 10m. Số sợi cáp quang trong hộp &lt;= 16 sợi</t>
  </si>
  <si>
    <t>06.06.003</t>
  </si>
  <si>
    <t>Thay hộp nối cáp quang ở độ cao &lt;= 10m. Số sợi cáp quang trong hộp &lt;= 20 sợi</t>
  </si>
  <si>
    <t>06.06.004</t>
  </si>
  <si>
    <t>Thay hộp nối cáp quang ở độ cao &lt;= 10m. Số sợi cáp quang trong hộp &lt;= 24 sợi</t>
  </si>
  <si>
    <t>06.06.005</t>
  </si>
  <si>
    <t>Thay hộp nối cáp quang ở độ cao &lt;= 10m. Số sợi cáp quang trong hộp &lt;= 48 sợi</t>
  </si>
  <si>
    <t>06.06.006</t>
  </si>
  <si>
    <t>Thay hộp nối cáp quang ở độ cao &lt;= 10m. Số sợi cáp quang trong hộp &gt; 48 sợi</t>
  </si>
  <si>
    <t>06.07.101</t>
  </si>
  <si>
    <t>Thay đầu cáp kiểm tra. Số ruột cáp &lt;= 6</t>
  </si>
  <si>
    <t>1 đầu cáp</t>
  </si>
  <si>
    <t>06.07.102</t>
  </si>
  <si>
    <t>Thay đầu cáp kiểm tra. Số ruột cáp &lt;= 14</t>
  </si>
  <si>
    <t>06.07.103</t>
  </si>
  <si>
    <t>Thay đầu cáp kiểm tra. Số ruột cáp &lt;= 19</t>
  </si>
  <si>
    <t>06.07.104</t>
  </si>
  <si>
    <t>Thay đầu cáp kiểm tra. Số ruột cáp &lt;= 27</t>
  </si>
  <si>
    <t>06.07.105</t>
  </si>
  <si>
    <t>Thay đầu cáp kiểm tra. Số ruột cáp &lt;= 36</t>
  </si>
  <si>
    <t>06.07.201</t>
  </si>
  <si>
    <t>Thay hộp nối cáp kiểm tra. Số ruột cáp &lt;= 3</t>
  </si>
  <si>
    <t>06.07.202</t>
  </si>
  <si>
    <t>Thay hộp nối cáp kiểm tra. Số ruột cáp &lt;= 6</t>
  </si>
  <si>
    <t>06.07.203</t>
  </si>
  <si>
    <t>Thay hộp nối cáp kiểm tra. Số ruột cáp &lt;= 14</t>
  </si>
  <si>
    <t>06.07.204</t>
  </si>
  <si>
    <t>Thay hộp nối cáp kiểm tra. Số ruột cáp &lt;= 19</t>
  </si>
  <si>
    <t>06.07.205</t>
  </si>
  <si>
    <t>Thay hộp nối cáp kiểm tra. Số ruột cáp &lt;= 27</t>
  </si>
  <si>
    <t>06.07.206</t>
  </si>
  <si>
    <t>Thay hộp nối cáp kiểm tra. Số ruột cáp &lt;= 36</t>
  </si>
  <si>
    <t>06.07.301</t>
  </si>
  <si>
    <t>Nối lại cáp kiểm tra. Số ruột &lt;= 6</t>
  </si>
  <si>
    <t>06.07.302</t>
  </si>
  <si>
    <t>Nối lại cáp kiểm tra. Số ruột &lt;= 14</t>
  </si>
  <si>
    <t>06.07.303</t>
  </si>
  <si>
    <t>Nối lại cáp kiểm tra. Số ruột &lt;= 19</t>
  </si>
  <si>
    <t>06.07.304</t>
  </si>
  <si>
    <t>Nối lại cáp kiểm tra. Số ruột &lt;= 27</t>
  </si>
  <si>
    <t>06.07.305</t>
  </si>
  <si>
    <t>Nối lại cáp kiểm tra. Số ruột &lt;= 36</t>
  </si>
  <si>
    <t>06.08.101</t>
  </si>
  <si>
    <t>Thay cáp ngầm bằng thủ công. Trọng lượng cáp &lt;= 1 kg/m</t>
  </si>
  <si>
    <t>06.08.102</t>
  </si>
  <si>
    <t>Thay cáp ngầm bằng thủ công. Trọng lượng cáp &lt;= 2 kg/m</t>
  </si>
  <si>
    <t>06.08.103</t>
  </si>
  <si>
    <t>Thay cáp ngầm bằng thủ công. Trọng lượng cáp &lt;= 3 kg/m</t>
  </si>
  <si>
    <t>06.08.104</t>
  </si>
  <si>
    <t>Thay cáp ngầm bằng thủ công. Trọng lượng cáp &lt;= 4,5 kg/m</t>
  </si>
  <si>
    <t>06.08.105</t>
  </si>
  <si>
    <t>Thay cáp ngầm bằng thủ công. Trọng lượng cáp &lt;= 6 kg/m</t>
  </si>
  <si>
    <t>06.08.106</t>
  </si>
  <si>
    <t>Thay cáp ngầm bằng thủ công. Trọng lượng cáp &lt;= 7,5 kg/m</t>
  </si>
  <si>
    <t>06.08.107</t>
  </si>
  <si>
    <t>Thay cáp ngầm bằng thủ công. Trọng lượng cáp &lt;= 9 kg/m</t>
  </si>
  <si>
    <t>06.08.108</t>
  </si>
  <si>
    <t>Thay cáp ngầm bằng thủ công. Trọng lượng cáp &lt;= 10,5 kg/m</t>
  </si>
  <si>
    <t>06.08.109</t>
  </si>
  <si>
    <t>Thay cáp ngầm bằng thủ công. Trọng lượng cáp &lt;= 12 kg/m</t>
  </si>
  <si>
    <t>06.08.110</t>
  </si>
  <si>
    <t>Thay cáp ngầm bằng thủ công. Trọng lượng cáp &lt;= 15 kg/m</t>
  </si>
  <si>
    <t>06.08.111</t>
  </si>
  <si>
    <t>Thay cáp ngầm bằng thủ công. Trọng lượng cáp &lt;= 18 kg/m</t>
  </si>
  <si>
    <t>06.08.112</t>
  </si>
  <si>
    <t>Thay cáp ngầm bằng thủ công. Trọng lượng cáp &lt;= 21 kg/m</t>
  </si>
  <si>
    <t>06.08.113</t>
  </si>
  <si>
    <t>Thay cáp ngầm bằng thủ công. Trọng lượng cáp &lt;= 24 kg/m</t>
  </si>
  <si>
    <t>06.08.114</t>
  </si>
  <si>
    <t>Thay cáp ngầm bằng thủ công. Trọng lượng cáp &lt;= 28 kg/m</t>
  </si>
  <si>
    <t>06.08.115</t>
  </si>
  <si>
    <t>Thay cáp ngầm bằng thủ công. Trọng lượng cáp &lt;= 32 kg/m</t>
  </si>
  <si>
    <t>06.08.201</t>
  </si>
  <si>
    <t>Thay cáp trên giá đỡ đặt ở tường, trong hầm cáp. Trọng lượng cáp &lt;= 1 kg/m</t>
  </si>
  <si>
    <t>06.08.202</t>
  </si>
  <si>
    <t>Thay cáp trên giá đỡ đặt ở tường, trong hầm cáp. Trọng lượng cáp &lt;= 2 kg/m</t>
  </si>
  <si>
    <t>06.08.203</t>
  </si>
  <si>
    <t>Thay cáp trên giá đỡ đặt ở tường, trong hầm cáp. Trọng lượng cáp &lt;= 3 kg/m</t>
  </si>
  <si>
    <t>06.08.204</t>
  </si>
  <si>
    <t>Thay cáp trên giá đỡ đặt ở tường, trong hầm cáp. Trọng lượng cáp &lt;= 4,5 kg/m</t>
  </si>
  <si>
    <t>06.08.205</t>
  </si>
  <si>
    <t>Thay cáp trên giá đỡ đặt ở tường, trong hầm cáp. Trọng lượng cáp &lt;= 6 kg/m</t>
  </si>
  <si>
    <t>06.08.206</t>
  </si>
  <si>
    <t>Thay cáp trên giá đỡ đặt ở tường, trong hầm cáp. Trọng lượng cáp &lt;= 7,5 kg/m</t>
  </si>
  <si>
    <t>06.08.207</t>
  </si>
  <si>
    <t>Thay cáp trên giá đỡ đặt ở tường, trong hầm cáp. Trọng lượng cáp &lt;= 9 kg/m</t>
  </si>
  <si>
    <t>06.08.208</t>
  </si>
  <si>
    <t>Thay cáp trên giá đỡ đặt ở tường, trong hầm cáp. Trọng lượng cáp &lt;= 10,5 kg/m</t>
  </si>
  <si>
    <t>06.08.209</t>
  </si>
  <si>
    <t>Thay cáp trên giá đỡ đặt ở tường, trong hầm cáp. Trọng lượng cáp &lt;= 12 kg/m</t>
  </si>
  <si>
    <t>06.08.210</t>
  </si>
  <si>
    <t>Thay cáp trên giá đỡ đặt ở tường, trong hầm cáp. Trọng lượng cáp &lt;= 15 kg/m</t>
  </si>
  <si>
    <t>06.08.211</t>
  </si>
  <si>
    <t>Thay cáp trên giá đỡ đặt ở tường, trong hầm cáp. Trọng lượng cáp &lt;= 18 kg/m</t>
  </si>
  <si>
    <t>06.08.212</t>
  </si>
  <si>
    <t>Thay cáp trên giá đỡ đặt ở tường, trong hầm cáp. Trọng lượng cáp &lt;= 21 kg/m</t>
  </si>
  <si>
    <t>06.08.213</t>
  </si>
  <si>
    <t>Thay cáp trên giá đỡ đặt ở tường, trong hầm cáp. Trọng lượng cáp &lt;= 24 kg/m</t>
  </si>
  <si>
    <t>06.08.214</t>
  </si>
  <si>
    <t>Thay cáp trên giá đỡ đặt ở tường, trong hầm cáp. Trọng lượng cáp &lt;= 28 kg/m</t>
  </si>
  <si>
    <t>06.08.215</t>
  </si>
  <si>
    <t>Thay cáp trên giá đỡ đặt ở tường, trong hầm cáp. Trọng lượng cáp &lt;= 32 kg/m</t>
  </si>
  <si>
    <t>06.08.301</t>
  </si>
  <si>
    <t>Thay cáp treo trên dây thép. Trọng lượng cáp &lt;= 1kg/m</t>
  </si>
  <si>
    <t>06.08.302</t>
  </si>
  <si>
    <t>Thay cáp treo trên dây thép. Trọng lượng cáp &lt;= 2kg/m</t>
  </si>
  <si>
    <t>06.08.303</t>
  </si>
  <si>
    <t>Thay cáp treo trên dây thép. Trọng lượng cáp &lt;= 3kg/m</t>
  </si>
  <si>
    <t>06.08.304</t>
  </si>
  <si>
    <t>Thay cáp treo trên dây thép. Trọng lượng cáp &lt;= 4,5kg/m</t>
  </si>
  <si>
    <t>06.08.305</t>
  </si>
  <si>
    <t>Thay cáp treo trên dây thép. Trọng lượng cáp &lt;= 6kg/m</t>
  </si>
  <si>
    <t>06.08.306</t>
  </si>
  <si>
    <t>Thay cáp treo trên dây thép. Trọng lượng cáp &lt;= 7,5kg/m</t>
  </si>
  <si>
    <t>06.08.307</t>
  </si>
  <si>
    <t>Thay cáp treo trên dây thép. Trọng lượng cáp &lt;= 9kg/m</t>
  </si>
  <si>
    <t>06.08.308</t>
  </si>
  <si>
    <t>Thay cáp treo trên dây thép. Trọng lượng cáp &lt;= 10,5kg/m</t>
  </si>
  <si>
    <t>06.08.309</t>
  </si>
  <si>
    <t>Thay cáp treo trên dây thép. Trọng lượng cáp &lt;= 12kg/m</t>
  </si>
  <si>
    <t>06.08.401</t>
  </si>
  <si>
    <t>Thay cáp trong ống bảo vệ bằng thủ công. Trọng lượng cáp &lt;= 1kg/m</t>
  </si>
  <si>
    <t>06.08.402</t>
  </si>
  <si>
    <t>Thay cáp trong ống bảo vệ bằng thủ công. Trọng lượng cáp &lt;= 2kg/m</t>
  </si>
  <si>
    <t>06.08.403</t>
  </si>
  <si>
    <t>Thay cáp trong ống bảo vệ bằng thủ công. Trọng lượng cáp &lt;= 3kg/m</t>
  </si>
  <si>
    <t>06.08.404</t>
  </si>
  <si>
    <t>Thay cáp trong ống bảo vệ bằng thủ công. Trọng lượng cáp &lt;= 4,5kg/m</t>
  </si>
  <si>
    <t>06.08.405</t>
  </si>
  <si>
    <t>Thay cáp trong ống bảo vệ bằng thủ công. Trọng lượng cáp &lt;= 6kg/m</t>
  </si>
  <si>
    <t>06.08.406</t>
  </si>
  <si>
    <t>Thay cáp trong ống bảo vệ bằng thủ công. Trọng lượng cáp &lt;= 7,5kg/m</t>
  </si>
  <si>
    <t>06.08.407</t>
  </si>
  <si>
    <t>Thay cáp trong ống bảo vệ bằng thủ công. Trọng lượng cáp &lt;= 9kg/m</t>
  </si>
  <si>
    <t>06.08.408</t>
  </si>
  <si>
    <t>Thay cáp trong ống bảo vệ bằng thủ công. Trọng lượng cáp &lt;= 10,5kg/m</t>
  </si>
  <si>
    <t>06.08.409</t>
  </si>
  <si>
    <t>Thay cáp trong ống bảo vệ bằng thủ công. Trọng lượng cáp &lt;= 12kg/m</t>
  </si>
  <si>
    <t>06.08.410</t>
  </si>
  <si>
    <t>Thay cáp trong ống bảo vệ bằng thủ công. Trọng lượng cáp &lt;= 15kg/m</t>
  </si>
  <si>
    <t>06.08.411</t>
  </si>
  <si>
    <t>Thay cáp trong ống bảo vệ bằng thủ công. Trọng lượng cáp &lt;= 18kg/m</t>
  </si>
  <si>
    <t>06.08.412</t>
  </si>
  <si>
    <t>Thay cáp trong ống bảo vệ bằng thủ công. Trọng lượng cáp &lt;= 21kg/m</t>
  </si>
  <si>
    <t>06.08.413</t>
  </si>
  <si>
    <t>Thay cáp trong ống bảo vệ bằng thủ công. Trọng lượng cáp &lt;= 24kg/m</t>
  </si>
  <si>
    <t>06.08.414</t>
  </si>
  <si>
    <t>Thay cáp trong ống bảo vệ bằng thủ công. Trọng lượng cáp &lt;= 28kg/m</t>
  </si>
  <si>
    <t>06.08.415</t>
  </si>
  <si>
    <t>Thay cáp trong ống bảo vệ bằng thủ công. Trọng lượng cáp &lt;= 32kg/m</t>
  </si>
  <si>
    <t>06.09.001</t>
  </si>
  <si>
    <t>Ép đầu cốt. Tiết diện cáp &lt;= 25mm2</t>
  </si>
  <si>
    <t>10 đầu cốt</t>
  </si>
  <si>
    <t>06.09.002</t>
  </si>
  <si>
    <t>Ép đầu cốt. Tiết diện cáp &lt;= 50mm2</t>
  </si>
  <si>
    <t>06.09.003</t>
  </si>
  <si>
    <t>Ép đầu cốt. Tiết diện cáp &lt;= 70mm2</t>
  </si>
  <si>
    <t>06.09.004</t>
  </si>
  <si>
    <t>Ép đầu cốt. Tiết diện cáp &lt;= 95mm2</t>
  </si>
  <si>
    <t>06.09.005</t>
  </si>
  <si>
    <t>Ép đầu cốt. Tiết diện cáp &lt;= 120mm2</t>
  </si>
  <si>
    <t>06.09.006</t>
  </si>
  <si>
    <t>Ép đầu cốt. Tiết diện cáp &lt;= 150mm2</t>
  </si>
  <si>
    <t>06.09.007</t>
  </si>
  <si>
    <t>Ép đầu cốt. Tiết diện cáp &lt;= 185mm2</t>
  </si>
  <si>
    <t>06.09.008</t>
  </si>
  <si>
    <t>Ép đầu cốt. Tiết diện cáp &lt;= 240mm2</t>
  </si>
  <si>
    <t>06.09.009</t>
  </si>
  <si>
    <t>Ép đầu cốt. Tiết diện cáp &lt;= 300mm2</t>
  </si>
  <si>
    <t>06.09.0010</t>
  </si>
  <si>
    <t>Ép đầu cốt. Tiết diện cáp &lt;= 400mm2</t>
  </si>
  <si>
    <t>07.01.101</t>
  </si>
  <si>
    <t>Thay máy biến áp 3 pha công suất 25kVA đến 2000kVA, điện áp từ 6kV đến 15/0,4kV ở bệ dưới mặt đất. Công suất &lt;= 50 KVA</t>
  </si>
  <si>
    <t>07.01.102</t>
  </si>
  <si>
    <t>Thay máy biến áp 3 pha công suất 25kVA đến 2000kVA, điện áp từ 6kV đến 15/0,4kV ở bệ dưới mặt đất. Công suất &lt;= 100 KVA</t>
  </si>
  <si>
    <t>07.01.103</t>
  </si>
  <si>
    <t>Thay máy biến áp 3 pha công suất 25kVA đến 2000kVA, điện áp từ 6kV đến 15/0,4kV ở bệ dưới mặt đất. Công suất &lt;= 160 KVA</t>
  </si>
  <si>
    <t>07.01.104</t>
  </si>
  <si>
    <t>Thay máy biến áp 3 pha công suất 25kVA đến 2000kVA, điện áp từ 6kV đến 15/0,4kV ở bệ dưới mặt đất. Công suất &lt;= 200 KVA</t>
  </si>
  <si>
    <t>07.01.105</t>
  </si>
  <si>
    <t>Thay máy biến áp 3 pha công suất 25kVA đến 2000kVA, điện áp từ 6kV đến 15/0,4kV ở bệ dưới mặt đất. Công suất &lt;= 250 KVA</t>
  </si>
  <si>
    <t>07.01.106</t>
  </si>
  <si>
    <t>Thay máy biến áp 3 pha công suất 25kVA đến 2000kVA, điện áp từ 6kV đến 15/0,4kV ở bệ dưới mặt đất. Công suất &lt;= 320 KVA</t>
  </si>
  <si>
    <t>07.01.107</t>
  </si>
  <si>
    <t>Thay máy biến áp 3 pha công suất 25kVA đến 2000kVA, điện áp từ 6kV đến 15/0,4kV ở bệ dưới mặt đất. Công suất &lt;= 500 KVA</t>
  </si>
  <si>
    <t>07.01.108</t>
  </si>
  <si>
    <t>Thay máy biến áp 3 pha công suất 25kVA đến 2000kVA, điện áp từ 6kV đến 15/0,4kV ở bệ dưới mặt đất. Công suất &lt;= 630 KVA</t>
  </si>
  <si>
    <t>07.01.109</t>
  </si>
  <si>
    <t>Thay máy biến áp 3 pha công suất 25kVA đến 2000kVA, điện áp từ 6kV đến 15/0,4kV ở bệ dưới mặt đất. Công suất &lt;= 800 KVA</t>
  </si>
  <si>
    <t>07.01.110</t>
  </si>
  <si>
    <t>Thay máy biến áp 3 pha công suất 25kVA đến 2000kVA, điện áp từ 6kV đến 15/0,4kV ở bệ dưới mặt đất. Công suất &lt;= 1000 KVA</t>
  </si>
  <si>
    <t>07.01.111</t>
  </si>
  <si>
    <t>Thay máy biến áp 3 pha công suất 25kVA đến 2000kVA, điện áp từ 6kV đến 15/0,4kV ở bệ dưới mặt đất. Công suất &lt;= 1600 KVA</t>
  </si>
  <si>
    <t>07.01.112</t>
  </si>
  <si>
    <t>Thay máy biến áp 3 pha công suất 25kVA đến 2000kVA, điện áp từ 6kV đến 15/0,4kV ở bệ dưới mặt đất. Công suất &lt;= 2000 KVA</t>
  </si>
  <si>
    <t>07.01.201</t>
  </si>
  <si>
    <t>Thay máy biến áp 3 pha công suất 25kVA đến 2000kVA, điện áp từ 22kV đến 35/0,4kV ở bệ dưới mặt đất. Công suất &lt;= &lt;= 50 KVA</t>
  </si>
  <si>
    <t>07.01.202</t>
  </si>
  <si>
    <t>Thay máy biến áp 3 pha công suất 25kVA đến 2000kVA, điện áp từ 22kV đến 35/0,4kV ở bệ dưới mặt đất. Công suất &lt;= &lt;= 100 KVA</t>
  </si>
  <si>
    <t>07.01.203</t>
  </si>
  <si>
    <t>Thay máy biến áp 3 pha công suất 25kVA đến 2000kVA, điện áp từ 22kV đến 35/0,4kV ở bệ dưới mặt đất. Công suất &lt;= &lt;= 160 KVA</t>
  </si>
  <si>
    <t>07.01.204</t>
  </si>
  <si>
    <t>Thay máy biến áp 3 pha công suất 25kVA đến 2000kVA, điện áp từ 22kV đến 35/0,4kV ở bệ dưới mặt đất. Công suất &lt;= &lt;= 200 KVA</t>
  </si>
  <si>
    <t>07.01.205</t>
  </si>
  <si>
    <t>Thay máy biến áp 3 pha công suất 25kVA đến 2000kVA, điện áp từ 22kV đến 35/0,4kV ở bệ dưới mặt đất. Công suất &lt;= &lt;= 250 KVA</t>
  </si>
  <si>
    <t>07.01.206</t>
  </si>
  <si>
    <t>Thay máy biến áp 3 pha công suất 25kVA đến 2000kVA, điện áp từ 22kV đến 35/0,4kV ở bệ dưới mặt đất. Công suất &lt;= &lt;= 320 KVA</t>
  </si>
  <si>
    <t>07.01.207</t>
  </si>
  <si>
    <t>Thay máy biến áp 3 pha công suất 25kVA đến 2000kVA, điện áp từ 22kV đến 35/0,4kV ở bệ dưới mặt đất. Công suất &lt;= &lt;= 500 KVA</t>
  </si>
  <si>
    <t>07.01.208</t>
  </si>
  <si>
    <t>Thay máy biến áp 3 pha công suất 25kVA đến 2000kVA, điện áp từ 22kV đến 35/0,4kV ở bệ dưới mặt đất. Công suất &lt;= &lt;= 630 KVA</t>
  </si>
  <si>
    <t>07.01.209</t>
  </si>
  <si>
    <t>Thay máy biến áp 3 pha công suất 25kVA đến 2000kVA, điện áp từ 22kV đến 35/0,4kV ở bệ dưới mặt đất. Công suất &lt;= &lt;= 800 KVA</t>
  </si>
  <si>
    <t>07.01.210</t>
  </si>
  <si>
    <t>Thay máy biến áp 3 pha công suất 25kVA đến 2000kVA, điện áp từ 22kV đến 35/0,4kV ở bệ dưới mặt đất. Công suất &lt;= &lt;= 1000 KVA</t>
  </si>
  <si>
    <t>07.01.211</t>
  </si>
  <si>
    <t>Thay máy biến áp 3 pha công suất 25kVA đến 2000kVA, điện áp từ 22kV đến 35/0,4kV ở bệ dưới mặt đất. Công suất &lt;= &lt;= 1600 KVA</t>
  </si>
  <si>
    <t>07.01.212</t>
  </si>
  <si>
    <t>Thay máy biến áp 3 pha công suất 25kVA đến 2000kVA, điện áp từ 22kV đến 35/0,4kV ở bệ dưới mặt đất. Công suất &lt;= &lt;= 2000 KVA</t>
  </si>
  <si>
    <t>07.01.311</t>
  </si>
  <si>
    <t>Thay máy biến áp phân phối. Loại máy biến áp 3 pha 35 (22) / 0,4kV. Công suất &lt;= 30KVA</t>
  </si>
  <si>
    <t>1 máy ( 3 pha)</t>
  </si>
  <si>
    <t>07.01.312</t>
  </si>
  <si>
    <t>Thay máy biến áp phân phối. Loại máy biến áp 3 pha 35 (22) / 0,4kV. Công suất &lt;= 50KVA</t>
  </si>
  <si>
    <t>07.01.313</t>
  </si>
  <si>
    <t>Thay máy biến áp phân phối. Loại máy biến áp 3 pha 35 (22) / 0,4kV. Công suất &lt;= 100KVA</t>
  </si>
  <si>
    <t>07.01.314</t>
  </si>
  <si>
    <t>Thay máy biến áp phân phối. Loại máy biến áp 3 pha 35 (22) / 0,4kV. Công suất &lt;= 180KVA</t>
  </si>
  <si>
    <t>07.01.315</t>
  </si>
  <si>
    <t>Thay máy biến áp phân phối. Loại máy biến áp 3 pha 35 (22) / 0,4kV. Công suất &lt;= 320KVA</t>
  </si>
  <si>
    <t>07.01.316</t>
  </si>
  <si>
    <t>Thay máy biến áp phân phối. Loại máy biến áp 3 pha 35 (22) / 0,4kV. Công suất &lt;= 560KVA</t>
  </si>
  <si>
    <t>07.01.317</t>
  </si>
  <si>
    <t>Thay máy biến áp phân phối. Loại máy biến áp 3 pha 35 (22) / 0,4kV. Công suất &gt;= 750KVA</t>
  </si>
  <si>
    <t>07.01.321</t>
  </si>
  <si>
    <t>Thay máy biến áp phân phối. Loại máy biến áp 3 pha 15; (10); (6) / 0,4kV. Công suất &lt;= 30KVA</t>
  </si>
  <si>
    <t>07.01.322</t>
  </si>
  <si>
    <t>Thay máy biến áp phân phối. Loại máy biến áp 3 pha 15; (10); (6) / 0,4kV. Công suất &lt;= 50KVA</t>
  </si>
  <si>
    <t>07.01.323</t>
  </si>
  <si>
    <t>Thay máy biến áp phân phối. Loại máy biến áp 3 pha 15; (10); (6) / 0,4kV. Công suất &lt;= 100KVA</t>
  </si>
  <si>
    <t>07.01.324</t>
  </si>
  <si>
    <t>Thay máy biến áp phân phối. Loại máy biến áp 3 pha 15; (10); (6) / 0,4kV. Công suất &lt;= 180KVA</t>
  </si>
  <si>
    <t>07.01.325</t>
  </si>
  <si>
    <t>Thay máy biến áp phân phối. Loại máy biến áp 3 pha 15; (10); (6) / 0,4kV. Công suất &lt;= 320KVA</t>
  </si>
  <si>
    <t>07.01.326</t>
  </si>
  <si>
    <t>Thay máy biến áp phân phối. Loại máy biến áp 3 pha 15; (10); (6) / 0,4kV. Công suất &lt;= 560KVA</t>
  </si>
  <si>
    <t>07.01.327</t>
  </si>
  <si>
    <t>Thay máy biến áp phân phối. Loại máy biến áp 3 pha 15; (10); (6) / 0,4kV. Công suất &gt;= 750KVA</t>
  </si>
  <si>
    <t>07.01.331</t>
  </si>
  <si>
    <t>Thay máy biến áp phân phối. Loại máy biến áp 1 pha 15; (10); (6) / 0,4kV. Công suất &lt;= 30KVA</t>
  </si>
  <si>
    <t>07.01.332</t>
  </si>
  <si>
    <t>Thay máy biến áp phân phối. Loại máy biến áp 1 pha 15; (10); (6) / 0,4kV. Công suất &lt;= 50KVA</t>
  </si>
  <si>
    <t>07.01.333</t>
  </si>
  <si>
    <t>Thay máy biến áp phân phối. Loại máy biến áp 1 pha 15; (10); (6) / 0,4kV. Công suất &lt;= 75KVA</t>
  </si>
  <si>
    <t>07.01.334</t>
  </si>
  <si>
    <t>Thay máy biến áp phân phối. Loại máy biến áp 1 pha 15; (10); (6) / 0,4kV. Công suất &lt;= 100KVA</t>
  </si>
  <si>
    <t>07.01.335</t>
  </si>
  <si>
    <t>Thay máy biến áp phân phối. Loại máy biến áp 1 pha 15; (10); (6) / 0,4kV. Công suất &lt;= 150KVA</t>
  </si>
  <si>
    <t>07.01.336</t>
  </si>
  <si>
    <t>Thay máy biến áp phân phối. Loại máy biến áp 1 pha 15; (10); (6) / 0,4kV. Công suất &lt;= 250KVA</t>
  </si>
  <si>
    <t>07.01.401</t>
  </si>
  <si>
    <t>Thay máy biến áp 3 pha điện áp 66kV -110kV. Loại máy biến áp 110/35/22; (15); (10); (6) kV, công suất 63MVA</t>
  </si>
  <si>
    <t>07.01.402</t>
  </si>
  <si>
    <t>Thay máy biến áp 3 pha điện áp 66kV -110kV. Loại máy biến áp 110/35/22; (15); (10); (6) kV, công suất 40MVA</t>
  </si>
  <si>
    <t>07.01.403</t>
  </si>
  <si>
    <t>Thay máy biến áp 3 pha điện áp 66kV -110kV. Loại máy biến áp 110/35/22; (15); (10); (6) kV, công suất 25MVA (20MVA)</t>
  </si>
  <si>
    <t>07.01.404</t>
  </si>
  <si>
    <t>Thay máy biến áp 3 pha điện áp 66kV -110kV. Loại máy biến áp 110/35/22; (15); (10); (6) kV, công suất 16MVA (15MVA)</t>
  </si>
  <si>
    <t>07.01.405</t>
  </si>
  <si>
    <t>Thay máy biến áp 3 pha điện áp 66kV -110kV. Loại máy biến áp 110/35/22; (15); (10); (6) kV, công suất &lt; 1MVA</t>
  </si>
  <si>
    <t>07.01.501</t>
  </si>
  <si>
    <t>Thay máy biến áp 220KV. Loại máy biến áp (3 pha) 220/110/35; (22); (15); (10); (6) kV. Công suất 250MVA</t>
  </si>
  <si>
    <t>07.01.502</t>
  </si>
  <si>
    <t>Thay máy biến áp 220KV. Loại máy biến áp (3 pha) 220/110/35; (22); (15); (10); (6) kV. Công suất 125MVA</t>
  </si>
  <si>
    <t>07.01.503</t>
  </si>
  <si>
    <t>Thay máy biến áp 220KV. Loại máy biến áp (3 pha) 220/110/35; (22); (15); (10); (6) kV. Công suất 63MVA</t>
  </si>
  <si>
    <t>07.01.601</t>
  </si>
  <si>
    <t>Thay máy biến áp 500KV. Loại máy biến áp 500/220/35kV (1 pha). Công suất 300MVA</t>
  </si>
  <si>
    <t>1 máy ( 1 pha)</t>
  </si>
  <si>
    <t>07.01.602</t>
  </si>
  <si>
    <t>Thay máy biến áp 500KV. Loại máy biến áp 500/220/35kV (1 pha). Công suất 200MVA</t>
  </si>
  <si>
    <t>07.01.603</t>
  </si>
  <si>
    <t>Thay máy biến áp 500KV. Loại máy biến áp 500/220/35kV (1 pha). Công suất 150MVA</t>
  </si>
  <si>
    <t>07.01.604</t>
  </si>
  <si>
    <t>Thay máy biến áp 500KV. Loại máy biến áp 500/220/35kV (1 pha). Công suất 100MVA</t>
  </si>
  <si>
    <t>07.01.701</t>
  </si>
  <si>
    <t>Thay máy biến áp trung gian 3 pha 3 cuộn dây. Loại máy biến áp 35/22; (15); (10) /6kV. Công suất &lt;= 1000kVA</t>
  </si>
  <si>
    <t>07.01.702</t>
  </si>
  <si>
    <t>Thay máy biến áp trung gian 3 pha 3 cuộn dây. Loại máy biến áp 35/22; (15); (10) /6kV. Công suất &lt;= 1800kVA</t>
  </si>
  <si>
    <t>07.01.703</t>
  </si>
  <si>
    <t>Thay máy biến áp trung gian 3 pha 3 cuộn dây. Loại máy biến áp 35/22; (15); (10) /6kV. Công suất &lt;= 3200kVA</t>
  </si>
  <si>
    <t>07.01.704</t>
  </si>
  <si>
    <t>Thay máy biến áp trung gian 3 pha 3 cuộn dây. Loại máy biến áp 35/22; (15); (10) /6kV. Công suất &lt;= 5600kVA</t>
  </si>
  <si>
    <t>07.01.705</t>
  </si>
  <si>
    <t>Thay máy biến áp trung gian 3 pha 3 cuộn dây. Loại máy biến áp 35/22; (15); (10) /6kV. Công suất &lt;= 7500kVA</t>
  </si>
  <si>
    <t>07.01.811</t>
  </si>
  <si>
    <t>Thay kháng điện bê tông. Trọng lượng 1 bộ 1500kg</t>
  </si>
  <si>
    <t>1 bộ 3 pha</t>
  </si>
  <si>
    <t>07.01.812</t>
  </si>
  <si>
    <t>Thay kháng điện bê tông. Trọng lượng 1 bộ 3000kg</t>
  </si>
  <si>
    <t>07.01.813</t>
  </si>
  <si>
    <t>Thay kháng điện bê tông. Trọng lượng 1 bộ 4500kg</t>
  </si>
  <si>
    <t>07.01.814</t>
  </si>
  <si>
    <t>Thay kháng điện bê tông. Trọng lượng 1 bộ 7500kg</t>
  </si>
  <si>
    <t>07.01.821</t>
  </si>
  <si>
    <t>Thay kháng điện dầu 500kV - 128 MVAR</t>
  </si>
  <si>
    <t>1 bộ kháng 1 pha</t>
  </si>
  <si>
    <t>07.01.822</t>
  </si>
  <si>
    <t>Thay kháng điện dầu 500kV - 91 MVAR</t>
  </si>
  <si>
    <t>07.01.823</t>
  </si>
  <si>
    <t>Thay kháng điện dầu 500kV - 58 MVAR</t>
  </si>
  <si>
    <t>07.01.824</t>
  </si>
  <si>
    <t>Thay kháng điện dầu 500kV - 50 MVAR</t>
  </si>
  <si>
    <t>07.01.825</t>
  </si>
  <si>
    <t>Thay kháng điện trung tính nối đất</t>
  </si>
  <si>
    <t>07.01.826</t>
  </si>
  <si>
    <t>Thay điện trở trung tính nối đất</t>
  </si>
  <si>
    <t>07.01.831</t>
  </si>
  <si>
    <t>Thay cuộn dập hồ quang 6 - 10 - 15kV, có công suất &lt;= 175 KVA</t>
  </si>
  <si>
    <t>1 bộ 1 pha</t>
  </si>
  <si>
    <t>07.01.832</t>
  </si>
  <si>
    <t>Thay cuộn dập hồ quang 6 - 10 - 15kV, có công suất &lt;= 350 KVA</t>
  </si>
  <si>
    <t>07.01.833</t>
  </si>
  <si>
    <t>Thay cuộn dập hồ quang 6 - 10 - 15kV, có công suất &lt;= 700 KVA</t>
  </si>
  <si>
    <t>07.01.834</t>
  </si>
  <si>
    <t>Thay cuộn dập hồ quang 6 - 10 - 15kV, có công suất &lt;= 1400 KVA</t>
  </si>
  <si>
    <t>07.01.835</t>
  </si>
  <si>
    <t>Thay cuộn dập hồ quang 22 - 35kV, có công suất &lt;= 275 KVA</t>
  </si>
  <si>
    <t>07.01.836</t>
  </si>
  <si>
    <t>Thay cuộn dập hồ quang 22 - 35kV, có công suất &lt;= 550 KVA</t>
  </si>
  <si>
    <t>07.01.837</t>
  </si>
  <si>
    <t>Thay cuộn dập hồ quang 22 - 35kV, có công suất &lt;= 1100 KVA</t>
  </si>
  <si>
    <t>07.01.838</t>
  </si>
  <si>
    <t>Thay cuộn dập hồ quang 22 - 35kV, có công suất &lt;= 2200 KVA</t>
  </si>
  <si>
    <t>07.02.101</t>
  </si>
  <si>
    <t>Sửa chữa máy biến áp 3 pha 25kVA đến 2000kVA, điện áp 6kV - 15/ 0,4kV, công suất 50 KVA</t>
  </si>
  <si>
    <t>07.02.102</t>
  </si>
  <si>
    <t>Sửa chữa máy biến áp 3 pha 25kVA đến 2000kVA, điện áp 6kV - 15/ 0,4kV, công suất 100 KVA</t>
  </si>
  <si>
    <t>07.02.103</t>
  </si>
  <si>
    <t>Sửa chữa máy biến áp 3 pha 25kVA đến 2000kVA, điện áp 6kV - 15/ 0,4kV, công suất 160 KVA</t>
  </si>
  <si>
    <t>07.02.104</t>
  </si>
  <si>
    <t>Sửa chữa máy biến áp 3 pha 25kVA đến 2000kVA, điện áp 6kV - 15/ 0,4kV, công suất 200 KVA</t>
  </si>
  <si>
    <t>07.02.105</t>
  </si>
  <si>
    <t>Sửa chữa máy biến áp 3 pha 25kVA đến 2000kVA, điện áp 6kV - 15/ 0,4kV, công suất 250 KVA</t>
  </si>
  <si>
    <t>07.02.106</t>
  </si>
  <si>
    <t>Sửa chữa máy biến áp 3 pha 25kVA đến 2000kVA, điện áp 6kV - 15/ 0,4kV, công suất 320 KVA</t>
  </si>
  <si>
    <t>07.02.107</t>
  </si>
  <si>
    <t>Sửa chữa máy biến áp 3 pha 25kVA đến 2000kVA, điện áp 6kV - 15/ 0,4kV, công suất 400 KVA</t>
  </si>
  <si>
    <t>07.02.108</t>
  </si>
  <si>
    <t>Sửa chữa máy biến áp 3 pha 25kVA đến 2000kVA, điện áp 6kV - 15/ 0,4kV, công suất 500 KVA</t>
  </si>
  <si>
    <t>07.02.109</t>
  </si>
  <si>
    <t>Sửa chữa máy biến áp 3 pha 25kVA đến 2000kVA, điện áp 6kV - 15/ 0,4kV, công suất 630 KVA</t>
  </si>
  <si>
    <t>07.02.110</t>
  </si>
  <si>
    <t>Sửa chữa máy biến áp 3 pha 25kVA đến 2000kVA, điện áp 6kV - 15/ 0,4kV, công suất 800 KVA</t>
  </si>
  <si>
    <t>07.02.111</t>
  </si>
  <si>
    <t>Sửa chữa máy biến áp 3 pha 25kVA đến 2000kVA, điện áp 6kV - 15/ 0,4kV, công suất 1000 KVA</t>
  </si>
  <si>
    <t>07.02.112</t>
  </si>
  <si>
    <t>Sửa chữa máy biến áp 3 pha 25kVA đến 2000kVA, điện áp 6kV - 15/ 0,4kV, công suất 1600 KVA</t>
  </si>
  <si>
    <t>07.02.113</t>
  </si>
  <si>
    <t>Sửa chữa máy biến áp 3 pha 25kVA đến 2000kVA, điện áp 6kV - 15/ 0,4kV, công suất 2000 KVA</t>
  </si>
  <si>
    <t>07.02.201</t>
  </si>
  <si>
    <t>Sửa chữa máy biến áp 3 pha 25kVA đến 2000kVA, điện áp 22kV - 35/ 0,4kV, công suất 50 KVA</t>
  </si>
  <si>
    <t>07.02.202</t>
  </si>
  <si>
    <t>Sửa chữa máy biến áp 3 pha 25kVA đến 2000kVA, điện áp 22kV - 35/ 0,4kV, công suất 100 KVA</t>
  </si>
  <si>
    <t>07.02.203</t>
  </si>
  <si>
    <t>Sửa chữa máy biến áp 3 pha 25kVA đến 2000kVA, điện áp 22kV - 35/ 0,4kV, công suất 160 KVA</t>
  </si>
  <si>
    <t>07.02.204</t>
  </si>
  <si>
    <t>Sửa chữa máy biến áp 3 pha 25kVA đến 2000kVA, điện áp 22kV - 35/ 0,4kV, công suất 200 KVA</t>
  </si>
  <si>
    <t>07.02.205</t>
  </si>
  <si>
    <t>Sửa chữa máy biến áp 3 pha 25kVA đến 2000kVA, điện áp 22kV - 35/ 0,4kV, công suất 250 KVA</t>
  </si>
  <si>
    <t>07.02.206</t>
  </si>
  <si>
    <t>Sửa chữa máy biến áp 3 pha 25kVA đến 2000kVA, điện áp 22kV - 35/ 0,4kV, công suất 320 KVA</t>
  </si>
  <si>
    <t>07.02.207</t>
  </si>
  <si>
    <t>Sửa chữa máy biến áp 3 pha 25kVA đến 2000kVA, điện áp 22kV - 35/ 0,4kV, công suất 400 KVA</t>
  </si>
  <si>
    <t>07.02.208</t>
  </si>
  <si>
    <t>Sửa chữa máy biến áp 3 pha 25kVA đến 2000kVA, điện áp 22kV - 35/ 0,4kV, công suất 500 KVA</t>
  </si>
  <si>
    <t>07.02.209</t>
  </si>
  <si>
    <t>Sửa chữa máy biến áp 3 pha 25kVA đến 2000kVA, điện áp 22kV - 35/ 0,4kV, công suất 630 KVA</t>
  </si>
  <si>
    <t>07.02.210</t>
  </si>
  <si>
    <t>Sửa chữa máy biến áp 3 pha 25kVA đến 2000kVA, điện áp 22kV - 35/ 0,4kV, công suất 800 KVA</t>
  </si>
  <si>
    <t>07.02.211</t>
  </si>
  <si>
    <t>Sửa chữa máy biến áp 3 pha 25kVA đến 2000kVA, điện áp 22kV - 35/ 0,4kV, công suất 1000 KVA</t>
  </si>
  <si>
    <t>07.02.212</t>
  </si>
  <si>
    <t>Sửa chữa máy biến áp 3 pha 25kVA đến 2000kVA, điện áp 22kV - 35/ 0,4kV, công suất 1600 KVA</t>
  </si>
  <si>
    <t>07.02.213</t>
  </si>
  <si>
    <t>Sửa chữa máy biến áp 3 pha 25kVA đến 2000kVA, điện áp 22kV - 35/ 0,4kV, công suất 2000 KVA</t>
  </si>
  <si>
    <t>07.02.301</t>
  </si>
  <si>
    <t>Sửa chữa máy biến áp trung gian 3 pha, công suất &lt;=1000 KVA</t>
  </si>
  <si>
    <t>07.02.302</t>
  </si>
  <si>
    <t>Sửa chữa máy biến áp trung gian 3 pha, công suất &lt;=1800 KVA</t>
  </si>
  <si>
    <t>07.02.303</t>
  </si>
  <si>
    <t>Sửa chữa máy biến áp trung gian 3 pha, công suất &lt;=2500 KVA</t>
  </si>
  <si>
    <t>07.02.304</t>
  </si>
  <si>
    <t>Sửa chữa máy biến áp trung gian 3 pha, công suất &lt;= 4000 KVA</t>
  </si>
  <si>
    <t>07.02.305</t>
  </si>
  <si>
    <t>Sửa chữa máy biến áp trung gian 3 pha, công suất &lt;= 7500 KVA</t>
  </si>
  <si>
    <t>07.02.306</t>
  </si>
  <si>
    <t>Sửa chữa máy biến áp trung gian 3 pha, công suất &lt;= 10000 KVA</t>
  </si>
  <si>
    <t>07.03.001</t>
  </si>
  <si>
    <t>Sửa chữa không quấn dây máy biến áp 1 pha cấp điện áp 12,7 (8,6)/0,4kV, công suất 50KVA</t>
  </si>
  <si>
    <t>07.03.002</t>
  </si>
  <si>
    <t>Sửa chữa không quấn dây máy biến áp 1 pha cấp điện áp 12,7 (8,6)/0,4kV, công suất 75KVA</t>
  </si>
  <si>
    <t>07.03.003</t>
  </si>
  <si>
    <t>Sửa chữa không quấn dây máy biến áp 1 pha cấp điện áp 12,7 (8,6)/0,4kV, công suất 100KVA</t>
  </si>
  <si>
    <t>07.03.004</t>
  </si>
  <si>
    <t>Sửa chữa không quấn dây máy biến áp 1 pha cấp điện áp 12,7 (8,6)/0,4kV, công suất 167KVA</t>
  </si>
  <si>
    <t>07.04.101</t>
  </si>
  <si>
    <t>Sửa chữa không quấn dây máy biến áp 3 pha cấp điện áp 35 (22)/0,4kV, công suất 50kVA</t>
  </si>
  <si>
    <t>07.04.102</t>
  </si>
  <si>
    <t>Sửa chữa không quấn dây máy biến áp 3 pha cấp điện áp 35 (22)/0,4kV, công suất 100kVA</t>
  </si>
  <si>
    <t>07.04.103</t>
  </si>
  <si>
    <t>Sửa chữa không quấn dây máy biến áp 3 pha cấp điện áp 35 (22)/0,4kV, công suất 160kVA</t>
  </si>
  <si>
    <t>07.04.104</t>
  </si>
  <si>
    <t>Sửa chữa không quấn dây máy biến áp 3 pha cấp điện áp 35 (22)/0,4kV, công suất 200kVA</t>
  </si>
  <si>
    <t>07.04.105</t>
  </si>
  <si>
    <t>Sửa chữa không quấn dây máy biến áp 3 pha cấp điện áp 35 (22)/0,4kV, công suất 250kVA</t>
  </si>
  <si>
    <t>07.04.106</t>
  </si>
  <si>
    <t>Sửa chữa không quấn dây máy biến áp 3 pha cấp điện áp 35 (22)/0,4kV, công suất 320kVA</t>
  </si>
  <si>
    <t>07.04.107</t>
  </si>
  <si>
    <t>Sửa chữa không quấn dây máy biến áp 3 pha cấp điện áp 35 (22)/0,4kV, công suất 400kVA</t>
  </si>
  <si>
    <t>07.04.208</t>
  </si>
  <si>
    <t>Sửa chữa không quấn dây máy biến áp 3 pha cấp điện áp 35 (22)/0,4kV, công suất 500kVA</t>
  </si>
  <si>
    <t>07.04.209</t>
  </si>
  <si>
    <t>Sửa chữa không quấn dây máy biến áp 3 pha cấp điện áp 35 (22)/0,4kV, công suất 630kVA</t>
  </si>
  <si>
    <t>07.04.210</t>
  </si>
  <si>
    <t>Sửa chữa không quấn dây máy biến áp 3 pha cấp điện áp 35 (22)/0,4kV, công suất 800kVA</t>
  </si>
  <si>
    <t>07.04.211</t>
  </si>
  <si>
    <t>Sửa chữa không quấn dây máy biến áp 3 pha cấp điện áp 35 (22)/0,4kV, công suất 1000kVA</t>
  </si>
  <si>
    <t>07.04.212</t>
  </si>
  <si>
    <t>Sửa chữa không quấn dây máy biến áp 3 pha cấp điện áp 35 (22)/0,4kV, công suất 1600kVA</t>
  </si>
  <si>
    <t>07.04.213</t>
  </si>
  <si>
    <t>Sửa chữa không quấn dây máy biến áp 3 pha cấp điện áp 35 (22)/0,4kV, công suất 2000kVA</t>
  </si>
  <si>
    <t>07.05.001</t>
  </si>
  <si>
    <t>Quấn dây cuộn cao và cuộn hạ máy biến áp 1 pha cấp điện áp 12,7 (8,6)/ 0,4kV - công suất 50kVA</t>
  </si>
  <si>
    <t>07.05.002</t>
  </si>
  <si>
    <t>Quấn dây cuộn cao và cuộn hạ máy biến áp 1 pha cấp điện áp 12,7 (8,6)/ 0,4kV - công suất 75kVA</t>
  </si>
  <si>
    <t>07.05.003</t>
  </si>
  <si>
    <t>Quấn dây cuộn cao và cuộn hạ máy biến áp 1 pha cấp điện áp 12,7 (8,6)/ 0,4kV - công suất 100kVA</t>
  </si>
  <si>
    <t>07.05.004</t>
  </si>
  <si>
    <t>Quấn dây cuộn cao và cuộn hạ máy biến áp 1 pha cấp điện áp 12,7 (8,6)/ 0,4kV - công suất 167kVA</t>
  </si>
  <si>
    <t>07.06.001</t>
  </si>
  <si>
    <t>Quấn dây 01 cuộn cao máy biến áp 3 pha cấp điện áp 22 (15)/ 0,4kV - công suất 100 kVA</t>
  </si>
  <si>
    <t>07.06.002</t>
  </si>
  <si>
    <t>Quấn dây 01 cuộn cao máy biến áp 3 pha cấp điện áp 22 (15)/ 0,4kV - công suất 160 - 250 kVA</t>
  </si>
  <si>
    <t>07.06.003</t>
  </si>
  <si>
    <t>Quấn dây 01 cuộn cao máy biến áp 3 pha cấp điện áp 22 (15)/ 0,4kV - công suất 300 - 400 kVA</t>
  </si>
  <si>
    <t>07.06.004</t>
  </si>
  <si>
    <t>Quấn dây 01 cuộn cao máy biến áp 3 pha cấp điện áp 22 (15)/ 0,4kV - công suất 500 - 630 kVA</t>
  </si>
  <si>
    <t>07.06.005</t>
  </si>
  <si>
    <t>Quấn dây 01 cuộn cao máy biến áp 3 pha cấp điện áp 22 (15)/ 0,4kV - công suất 800 - 1000 kVA</t>
  </si>
  <si>
    <t>07.06.006</t>
  </si>
  <si>
    <t>Quấn dây 01 cuộn cao máy biến áp 3 pha cấp điện áp 22 (15)/ 0,4kV - công suất 1600 - 2000 kVA</t>
  </si>
  <si>
    <t>07.07.001</t>
  </si>
  <si>
    <t>Quấn dây 02 cuộn cao máy biến áp 3 pha cấp điện áp 22 (15) / 0,4 kV - công suất 100 kVA</t>
  </si>
  <si>
    <t>07.07.002</t>
  </si>
  <si>
    <t>Quấn dây 02 cuộn cao máy biến áp 3 pha cấp điện áp 22 (15) / 0,4 kV - công suất 160 - 250 kVA</t>
  </si>
  <si>
    <t>07.07.003</t>
  </si>
  <si>
    <t>Quấn dây 02 cuộn cao máy biến áp 3 pha cấp điện áp 22 (15) / 0,4 kV - công suất 300 - 400 kVA</t>
  </si>
  <si>
    <t>07.07.004</t>
  </si>
  <si>
    <t>Quấn dây 02 cuộn cao máy biến áp 3 pha cấp điện áp 22 (15) / 0,4 kV - công suất 500 - 630 kVA</t>
  </si>
  <si>
    <t>07.07.005</t>
  </si>
  <si>
    <t>Quấn dây 02 cuộn cao máy biến áp 3 pha cấp điện áp 22 (15) / 0,4 kV - công suất 800 - 1000 kVA</t>
  </si>
  <si>
    <t>07.07.006</t>
  </si>
  <si>
    <t>Quấn dây 02 cuộn cao máy biến áp 3 pha cấp điện áp 22 (15) / 0,4 kV - công suất 1600 - 2000 kVA</t>
  </si>
  <si>
    <t>07.08.001</t>
  </si>
  <si>
    <t>Quấn dây 03 cuộn cao máy biến áp 3 pha cấp điện áp 22 (15) / 0,4 kV - công suất 100 kVA</t>
  </si>
  <si>
    <t>07.08.002</t>
  </si>
  <si>
    <t>Quấn dây 03 cuộn cao máy biến áp 3 pha cấp điện áp 22 (15) / 0,4 kV - công suất 160 - 250 kVA</t>
  </si>
  <si>
    <t>07.08.003</t>
  </si>
  <si>
    <t>Quấn dây 03 cuộn cao máy biến áp 3 pha cấp điện áp 22 (15) / 0,4 kV - công suất 300 - 400 kVA</t>
  </si>
  <si>
    <t>07.08.004</t>
  </si>
  <si>
    <t>Quấn dây 03 cuộn cao máy biến áp 3 pha cấp điện áp 22 (15) / 0,4 kV - công suất 500 - 630 kVA</t>
  </si>
  <si>
    <t>07.08.005</t>
  </si>
  <si>
    <t>Quấn dây 03 cuộn cao máy biến áp 3 pha cấp điện áp 22 (15) / 0,4 kV - công suất 800 - 1000 kVA</t>
  </si>
  <si>
    <t>07.08.006</t>
  </si>
  <si>
    <t>Quấn dây 03 cuộn cao máy biến áp 3 pha cấp điện áp 22 (15) / 0,4 kV - công suất 1600 - 2000 kVA</t>
  </si>
  <si>
    <t>07.09.001</t>
  </si>
  <si>
    <t>Quấn dây 03 cuộn cao và 01 cuộn hạ máy biến áp 3 pha cấp điện áp 22 (15) / 0,4 kV - công suất 100 kVA</t>
  </si>
  <si>
    <t>07.09.002</t>
  </si>
  <si>
    <t>Quấn dây 03 cuộn cao và 01 cuộn hạ máy biến áp 3 pha cấp điện áp 22 (15) / 0,4 kV - công suất 160 - 250 kVA</t>
  </si>
  <si>
    <t>07.09.003</t>
  </si>
  <si>
    <t>Quấn dây 03 cuộn cao và 01 cuộn hạ máy biến áp 3 pha cấp điện áp 22 (15) / 0,4 kV - công suất 300 - 400 kVA</t>
  </si>
  <si>
    <t>07.09.004</t>
  </si>
  <si>
    <t>Quấn dây 03 cuộn cao và 01 cuộn hạ máy biến áp 3 pha cấp điện áp 22 (15) / 0,4 kV - công suất 500 - 630 kVA</t>
  </si>
  <si>
    <t>07.09.005</t>
  </si>
  <si>
    <t>Quấn dây 03 cuộn cao và 01 cuộn hạ máy biến áp 3 pha cấp điện áp 22 (15) / 0,4 kV - công suất 800 - 1000 kVA</t>
  </si>
  <si>
    <t>07.09.006</t>
  </si>
  <si>
    <t>Quấn dây 03 cuộn cao và 01 cuộn hạ máy biến áp 3 pha cấp điện áp 22 (15) / 0,4 kV - công suất 1600 - 2000 kVA</t>
  </si>
  <si>
    <t>07.10.001</t>
  </si>
  <si>
    <t>Quấn dây 03 cuộn cao và 02 cuộn hạ máy biến áp 3 pha cấp điện áp 22 (15) / 0,4 kV - công suất 100 kVA</t>
  </si>
  <si>
    <t>07.10.002</t>
  </si>
  <si>
    <t>Quấn dây 03 cuộn cao và 02 cuộn hạ máy biến áp 3 pha cấp điện áp 22 (15) / 0,4 kV - công suất 160 - 250 kVA</t>
  </si>
  <si>
    <t>07.10.003</t>
  </si>
  <si>
    <t>Quấn dây 03 cuộn cao và 02 cuộn hạ máy biến áp 3 pha cấp điện áp 22 (15) / 0,4 kV - công suất 300 - 400 kVA</t>
  </si>
  <si>
    <t>07.10.004</t>
  </si>
  <si>
    <t>Quấn dây 03 cuộn cao và 02 cuộn hạ máy biến áp 3 pha cấp điện áp 22 (15) / 0,4 kV - công suất 500 - 630 kVA</t>
  </si>
  <si>
    <t>07.10.005</t>
  </si>
  <si>
    <t>Quấn dây 03 cuộn cao và 02 cuộn hạ máy biến áp 3 pha cấp điện áp 22 (15) / 0,4 kV - công suất 800 - 1000 kVA</t>
  </si>
  <si>
    <t>07.10.006</t>
  </si>
  <si>
    <t>Quấn dây 03 cuộn cao và 02 cuộn hạ máy biến áp 3 pha cấp điện áp 22 (15) / 0,4 kV - công suất 1600 - 2000 kVA</t>
  </si>
  <si>
    <t>07.11.001</t>
  </si>
  <si>
    <t>Quấn dây 03 cuộn cao và 03 cuộn hạ máy biến áp 3 pha cấp điện áp 22 (15) / 0,4 kV - công suất 100 kVA</t>
  </si>
  <si>
    <t>07.11.002</t>
  </si>
  <si>
    <t>Quấn dây 03 cuộn cao và 03 cuộn hạ máy biến áp 3 pha cấp điện áp 22 (15) / 0,4 kV - công suất 160 - 250 kVA</t>
  </si>
  <si>
    <t>07.11.003</t>
  </si>
  <si>
    <t>Quấn dây 03 cuộn cao và 03 cuộn hạ máy biến áp 3 pha cấp điện áp 22 (15) / 0,4 kV - công suất 300 - 400 kVA</t>
  </si>
  <si>
    <t>07.11.004</t>
  </si>
  <si>
    <t>Quấn dây 03 cuộn cao và 03 cuộn hạ máy biến áp 3 pha cấp điện áp 22 (15) / 0,4 kV - công suất 500 - 630 kVA</t>
  </si>
  <si>
    <t>07.11.005</t>
  </si>
  <si>
    <t>Quấn dây 03 cuộn cao và 03 cuộn hạ máy biến áp 3 pha cấp điện áp 22 (15) / 0,4 kV - công suất 800 - 1000 kVA</t>
  </si>
  <si>
    <t>07.11.006</t>
  </si>
  <si>
    <t>Quấn dây 03 cuộn cao và 03 cuộn hạ máy biến áp 3 pha cấp điện áp 22 (15) / 0,4 kV - công suất 1600 - 2000 kVA</t>
  </si>
  <si>
    <t>07.12.001</t>
  </si>
  <si>
    <t>Quấn dây 02 cuộn cao và 01 cuộn hạ máy biến áp 3 pha cấp điện áp 22 (15) / 0,4 kV - công suất 100 kVA</t>
  </si>
  <si>
    <t>07.12.002</t>
  </si>
  <si>
    <t>Quấn dây 02 cuộn cao và 01 cuộn hạ máy biến áp 3 pha cấp điện áp 22 (15) / 0,4 kV - công suất 160 - 250 kVA</t>
  </si>
  <si>
    <t>07.12.003</t>
  </si>
  <si>
    <t>Quấn dây 02 cuộn cao và 01 cuộn hạ máy biến áp 3 pha cấp điện áp 22 (15) / 0,4 kV - công suất 300 - 400 kVA</t>
  </si>
  <si>
    <t>07.12.004</t>
  </si>
  <si>
    <t>Quấn dây 02 cuộn cao và 01 cuộn hạ máy biến áp 3 pha cấp điện áp 22 (15) / 0,4 kV - công suất 500 - 630 kVA</t>
  </si>
  <si>
    <t>07.12.005</t>
  </si>
  <si>
    <t>Quấn dây 02 cuộn cao và 01 cuộn hạ máy biến áp 3 pha cấp điện áp 22 (15) / 0,4 kV - công suất 800 - 1000 kVA</t>
  </si>
  <si>
    <t>07.12.006</t>
  </si>
  <si>
    <t>Quấn dây 02 cuộn cao và 01 cuộn hạ máy biến áp 3 pha cấp điện áp 22 (15) / 0,4 kV - công suất 1600 - 2000 kVA</t>
  </si>
  <si>
    <t>07.13.001</t>
  </si>
  <si>
    <t>Quấn dây 02 cuộn cao và 02 cuộn hạ máy biến áp 3 pha cấp điện áp 22 (15) / 0,4 kV - công suất 100 kVA</t>
  </si>
  <si>
    <t>07.13.002</t>
  </si>
  <si>
    <t>Quấn dây 02 cuộn cao và 02 cuộn hạ máy biến áp 3 pha cấp điện áp 22 (15) / 0,4 kV - công suất 160 - 250 kVA</t>
  </si>
  <si>
    <t>07.13.003</t>
  </si>
  <si>
    <t>Quấn dây 02 cuộn cao và 02 cuộn hạ máy biến áp 3 pha cấp điện áp 22 (15) / 0,4 kV - công suất 300 - 400 kVA</t>
  </si>
  <si>
    <t>07.13.004</t>
  </si>
  <si>
    <t>Quấn dây 02 cuộn cao và 02 cuộn hạ máy biến áp 3 pha cấp điện áp 22 (15) / 0,4 kV - công suất 500 - 630 kVA</t>
  </si>
  <si>
    <t>07.13.005</t>
  </si>
  <si>
    <t>Quấn dây 02 cuộn cao và 02 cuộn hạ máy biến áp 3 pha cấp điện áp 22 (15) / 0,4 kV - công suất 800 - 1000 kVA</t>
  </si>
  <si>
    <t>07.13.006</t>
  </si>
  <si>
    <t>Quấn dây 02 cuộn cao và 02 cuộn hạ máy biến áp 3 pha cấp điện áp 22 (15) / 0,4 kV - công suất 1600 - 2000 kVA</t>
  </si>
  <si>
    <t>07.14.001</t>
  </si>
  <si>
    <t>Quấn dây 01 cuộn cao và 01 cuộn hạ máy biến áp 3 pha cấp điện áp 22 (15) / 0,4 kV - công suất 100 kVA</t>
  </si>
  <si>
    <t>07.14.002</t>
  </si>
  <si>
    <t>Quấn dây 01 cuộn cao và 01 cuộn hạ máy biến áp 3 pha cấp điện áp 22 (15) / 0,4 kV - công suất 160 - 250 kVA</t>
  </si>
  <si>
    <t>07.14.003</t>
  </si>
  <si>
    <t>Quấn dây 01 cuộn cao và 01 cuộn hạ máy biến áp 3 pha cấp điện áp 22 (15) / 0,4 kV - công suất 300 - 400 kVA</t>
  </si>
  <si>
    <t>07.14.004</t>
  </si>
  <si>
    <t>Quấn dây 01 cuộn cao và 01 cuộn hạ máy biến áp 3 pha cấp điện áp 22 (15) / 0,4 kV - công suất 500 - 630 kVA</t>
  </si>
  <si>
    <t>07.14.005</t>
  </si>
  <si>
    <t>Quấn dây 01 cuộn cao và 01 cuộn hạ máy biến áp 3 pha cấp điện áp 22 (15) / 0,4 kV - công suất 800 - 1000 kVA</t>
  </si>
  <si>
    <t>07.14.006</t>
  </si>
  <si>
    <t>Quấn dây 01 cuộn cao và 01 cuộn hạ máy biến áp 3 pha cấp điện áp 22 (15) / 0,4 kV - công suất 1600 - 2000 kVA</t>
  </si>
  <si>
    <t>08.01.001</t>
  </si>
  <si>
    <t>Sửa chữa máy cắt điện 3 pha SF6, điện áp &lt;= 35kV</t>
  </si>
  <si>
    <t>08.01.002</t>
  </si>
  <si>
    <t>Sửa chữa máy cắt điện 3 pha SF6, điện áp 66- 110kV</t>
  </si>
  <si>
    <t>08.01.003</t>
  </si>
  <si>
    <t>Sửa chữa máy cắt điện 3 pha SF6, điện áp 220kV (1 buồng cắt/pha)</t>
  </si>
  <si>
    <t>08.01.004</t>
  </si>
  <si>
    <t>Sửa chữa máy cắt điện 3 pha SF6, điện áp 220kV (2 buồng cắt/pha)</t>
  </si>
  <si>
    <t>08.01.005</t>
  </si>
  <si>
    <t>Sửa chữa máy cắt điện 3 pha SF6, điện áp 500kV (2 buồng cắt/pha)</t>
  </si>
  <si>
    <t>08.01.006</t>
  </si>
  <si>
    <t>Sửa chữa máy cắt điện 3 pha SF6, điện áp 500kV (4 buồng cắt/pha)</t>
  </si>
  <si>
    <t>08.02.001</t>
  </si>
  <si>
    <t>Sửa chữa máy cắt điện không khí điện áp 6kV đến 220kV : 6-22kV</t>
  </si>
  <si>
    <t>08.02.002</t>
  </si>
  <si>
    <t>Sửa chữa máy cắt điện không khí điện áp 6kV đến 220kV : 35kV</t>
  </si>
  <si>
    <t>08.02.003</t>
  </si>
  <si>
    <t>Sửa chữa máy cắt điện không khí điện áp 6kV đến 220kV : 66kV</t>
  </si>
  <si>
    <t>08.02.004</t>
  </si>
  <si>
    <t>Sửa chữa máy cắt điện không khí điện áp 6kV đến 220kV : 110kV</t>
  </si>
  <si>
    <t>08.02.005</t>
  </si>
  <si>
    <t>Sửa chữa máy cắt điện không khí điện áp 6kV đến 220kV : 220kV</t>
  </si>
  <si>
    <t>08.03.001</t>
  </si>
  <si>
    <t>Thay máy cắt dùng khí điện áp &lt;= 35kV</t>
  </si>
  <si>
    <t>08.03.002</t>
  </si>
  <si>
    <t>Thay máy cắt dùng khí điện áp 66-110kV</t>
  </si>
  <si>
    <t>08.03.003</t>
  </si>
  <si>
    <t>Thay máy cắt dùng khí điện áp 220kV</t>
  </si>
  <si>
    <t>08.03.004</t>
  </si>
  <si>
    <t>Thay máy cắt dùng khí điện áp 500kV</t>
  </si>
  <si>
    <t>08.04.001</t>
  </si>
  <si>
    <t>Sửa chữa thiết bị đóng cắt trung áp. Loại thiết bị : Recloser loại khí SF6 &lt;= 35kV</t>
  </si>
  <si>
    <t>1 thiết bị</t>
  </si>
  <si>
    <t>08.04.002</t>
  </si>
  <si>
    <t>Sửa chữa thiết bị đóng cắt trung áp. Loại thiết bị : Recloser loại dầu &lt;= 35kV</t>
  </si>
  <si>
    <t>08.04.003</t>
  </si>
  <si>
    <t>Sửa chữa thiết bị đóng cắt trung áp. Loại thiết bị : LBS trung thế &lt;= 35kV</t>
  </si>
  <si>
    <t>08.05.101</t>
  </si>
  <si>
    <t>Sửa chữa tủ điều khiển recloser &lt;= 35KV</t>
  </si>
  <si>
    <t>08.05.201</t>
  </si>
  <si>
    <t>Sửa chữa, bảo dưỡng RMU trung thế loại 1 ngăn 3 phần tử</t>
  </si>
  <si>
    <t>08.05.301</t>
  </si>
  <si>
    <t>Sửa chữa, bảo dưỡng ATS trung thế</t>
  </si>
  <si>
    <t>08.06.001</t>
  </si>
  <si>
    <t>Thay tủ điều khiển máy cắt. Tủ điều khiển máy biến áp &lt;= 35 kV</t>
  </si>
  <si>
    <t>08.06.002</t>
  </si>
  <si>
    <t>Thay tủ điều khiển máy cắt. Tủ điều khiển máy biến áp &lt;= 110 kV</t>
  </si>
  <si>
    <t>08.06.003</t>
  </si>
  <si>
    <t>Thay tủ điều khiển máy cắt. Tủ điều khiển máy biến áp &lt;= 220 kV</t>
  </si>
  <si>
    <t>08.06.004</t>
  </si>
  <si>
    <t>Thay tủ điều khiển máy cắt. Tủ điều khiển máy biến áp &lt;= 500 kV</t>
  </si>
  <si>
    <t>08.06.005</t>
  </si>
  <si>
    <t>Thay tủ điều khiển máy cắt. Tủ điều khiển đường dây, phân đoạn, đường vòng, lộ tổng MBA, tụ bù &lt;= 35 kV</t>
  </si>
  <si>
    <t>08.06.006</t>
  </si>
  <si>
    <t>Thay tủ điều khiển máy cắt. Tủ điều khiển đường dây, phân đoạn, đường vòng, lộ tổng MBA, tụ bù &lt;= 110 kV</t>
  </si>
  <si>
    <t>08.06.007</t>
  </si>
  <si>
    <t>Thay tủ điều khiển máy cắt. Tủ điều khiển đường dây, phân đoạn, đường vòng, lộ tổng MBA, tụ bù &lt;= 220 kV</t>
  </si>
  <si>
    <t>08.06.008</t>
  </si>
  <si>
    <t>Thay tủ điều khiển máy cắt. Tủ điều khiển đường dây, phân đoạn, đường vòng, lộ tổng MBA, tụ bù &lt;= 500 kV</t>
  </si>
  <si>
    <t>09.01.101</t>
  </si>
  <si>
    <t>Thay máy biến dòng điện. Loại máy biến dòng 500kV</t>
  </si>
  <si>
    <t>1 bộ (3 pha)</t>
  </si>
  <si>
    <t>09.01.102</t>
  </si>
  <si>
    <t>Thay máy biến dòng điện. Loại máy biến dòng 220kV</t>
  </si>
  <si>
    <t>09.01.103</t>
  </si>
  <si>
    <t>Thay máy biến dòng điện. Loại máy biến dòng &lt;= 110kV</t>
  </si>
  <si>
    <t>09.01.104</t>
  </si>
  <si>
    <t>Thay máy biến dòng điện. Loại máy biến dòng &lt;= 35kV</t>
  </si>
  <si>
    <t>09.01.105</t>
  </si>
  <si>
    <t>Thay máy biến dòng điện. Loại máy biến dòng &lt;= 10kV</t>
  </si>
  <si>
    <t>09.01.106</t>
  </si>
  <si>
    <t>Thay máy biến dòng điện. Loại máy biến dòng hạ thế</t>
  </si>
  <si>
    <t>09.01.201</t>
  </si>
  <si>
    <t>Thay máy biến điện áp. Loại máy biến điện áp 3 pha độc lập, công suất 500kV</t>
  </si>
  <si>
    <t>09.01.202</t>
  </si>
  <si>
    <t>Thay máy biến điện áp. Loại máy biến điện áp 3 pha độc lập, công suất 220kV</t>
  </si>
  <si>
    <t>09.01.203</t>
  </si>
  <si>
    <t>Thay máy biến điện áp. Loại máy biến điện áp 3 pha độc lập, công suất &lt;= 110kV</t>
  </si>
  <si>
    <t>09.01.204</t>
  </si>
  <si>
    <t>Thay máy biến điện áp. Loại máy biến điện áp 3 pha độc lập, công suất &lt;= 35kV</t>
  </si>
  <si>
    <t>09.01.205</t>
  </si>
  <si>
    <t>Thay máy biến điện áp. Loại máy biến điện áp 3 pha độc lập, công suất &lt;= 10kV</t>
  </si>
  <si>
    <t>09.01.206</t>
  </si>
  <si>
    <t>Thay máy biến điện áp. Loại máy biến điện áp 3 pha chung, công suất &lt;= 35kV</t>
  </si>
  <si>
    <t>09.01.207</t>
  </si>
  <si>
    <t>Thay máy biến điện áp. Loại máy biến điện áp 3 pha chung, công suất &lt;= 10kV</t>
  </si>
  <si>
    <t>09.01.301</t>
  </si>
  <si>
    <t>Thay chống sét van 500kV</t>
  </si>
  <si>
    <t>09.01.302</t>
  </si>
  <si>
    <t>Thay chống sét van 220kV</t>
  </si>
  <si>
    <t>09.01.303</t>
  </si>
  <si>
    <t>Thay chống sét van &lt;= 110kV</t>
  </si>
  <si>
    <t>09.01.304</t>
  </si>
  <si>
    <t>Thay chống sét van &lt;= 35kV</t>
  </si>
  <si>
    <t>1496-1</t>
  </si>
  <si>
    <t>09.01.304.1p</t>
  </si>
  <si>
    <t>1 bộ (1 pha)</t>
  </si>
  <si>
    <t>09.01.305</t>
  </si>
  <si>
    <t>Thay chống sét van &lt;= 11kV</t>
  </si>
  <si>
    <t>09.01.306</t>
  </si>
  <si>
    <t>Thay thiết bị triệt nhiễu</t>
  </si>
  <si>
    <t>09.01.307</t>
  </si>
  <si>
    <t>Thay thiết bị đếm sét</t>
  </si>
  <si>
    <t>09.01.308</t>
  </si>
  <si>
    <t>Thay thiết chống sét hạ thế &lt;= 1000V</t>
  </si>
  <si>
    <t>09.01.309</t>
  </si>
  <si>
    <t>Thay thiết bị đo dòng rò</t>
  </si>
  <si>
    <t>09.01.411</t>
  </si>
  <si>
    <t>Thay hệ thống tụ bù trên dàn, cấp điện áp 500kV</t>
  </si>
  <si>
    <t>09.01.412</t>
  </si>
  <si>
    <t>Thay hệ thống tụ bù trên dàn, cấp điện áp 220kV</t>
  </si>
  <si>
    <t>09.01.413</t>
  </si>
  <si>
    <t>Thay hệ thống tụ bù trên dàn, cấp điện áp 110kV</t>
  </si>
  <si>
    <t>09.01.414</t>
  </si>
  <si>
    <t>Thay hệ thống tụ bù trên dàn, cấp điện áp 6-35kV</t>
  </si>
  <si>
    <t>09.01.415</t>
  </si>
  <si>
    <t>Thay hệ thống tụ bù trên dàn, cấp điện áp 0,4kV</t>
  </si>
  <si>
    <t>09.01.424</t>
  </si>
  <si>
    <t>Thay hệ thống tụ bù trên cột, cấp điện áp 6-35kV</t>
  </si>
  <si>
    <t>09.01.425</t>
  </si>
  <si>
    <t>Thay hệ thống tụ bù trên cột, cấp điện áp 0,4kV</t>
  </si>
  <si>
    <t>09.01.434</t>
  </si>
  <si>
    <t>Thay hệ thống tụ bù trong tủ (thủ công), cấp điện áp 6-35kV</t>
  </si>
  <si>
    <t>09.01.435</t>
  </si>
  <si>
    <t>Thay hệ thống tụ bù trong tủ (thủ công), cấp điện áp 0,4kV</t>
  </si>
  <si>
    <t>09.02.101</t>
  </si>
  <si>
    <t>Sửa chữa máy biến dòng độc lập có dầu điện áp 35kV</t>
  </si>
  <si>
    <t>09.02.102</t>
  </si>
  <si>
    <t>Sửa chữa máy biến dòng độc lập có dầu điện áp 66kV</t>
  </si>
  <si>
    <t>09.02.103</t>
  </si>
  <si>
    <t>Sửa chữa máy biến dòng độc lập có dầu điện áp 110kV</t>
  </si>
  <si>
    <t>09.02.104</t>
  </si>
  <si>
    <t>Sửa chữa máy biến dòng độc lập có dầu điện áp 220kV</t>
  </si>
  <si>
    <t>09.02.105</t>
  </si>
  <si>
    <t>Sửa chữa máy biến dòng độc lập có dầu điện áp 500kV</t>
  </si>
  <si>
    <t>09.02.201</t>
  </si>
  <si>
    <t>Sửa chữa máy biến điện áp có dầu, điện áp 6-10kV</t>
  </si>
  <si>
    <t>09.02.202</t>
  </si>
  <si>
    <t>Sửa chữa máy biến điện áp có dầu, điện áp 15-35kV</t>
  </si>
  <si>
    <t>09.02.203</t>
  </si>
  <si>
    <t>Sửa chữa máy biến điện áp có dầu, điện áp 66-110kV</t>
  </si>
  <si>
    <t>09.02.204</t>
  </si>
  <si>
    <t>Sửa chữa máy biến điện áp có dầu, điện áp 220kV</t>
  </si>
  <si>
    <t>09.02.205</t>
  </si>
  <si>
    <t>Sửa chữa máy biến điện áp có dầu, điện áp 500kV</t>
  </si>
  <si>
    <t>10.01.111</t>
  </si>
  <si>
    <t>Thay dao cách ly 1 pha ngoài trời không tiếp đất. Loại dao cách ly 500kV</t>
  </si>
  <si>
    <t>10.01.112</t>
  </si>
  <si>
    <t>Thay dao cách ly 1 pha ngoài trời không tiếp đất. Loại dao cách ly 220kV</t>
  </si>
  <si>
    <t>10.01.113</t>
  </si>
  <si>
    <t>Thay dao cách ly 1 pha ngoài trời không tiếp đất. Loại dao cách ly &lt;= 110kV</t>
  </si>
  <si>
    <t>10.01.114</t>
  </si>
  <si>
    <t>Thay dao cách ly 1 pha ngoài trời không tiếp đất. Loại dao cách ly &lt;= 35kV</t>
  </si>
  <si>
    <t>10.01.115</t>
  </si>
  <si>
    <t>Thay dao cách ly 1 pha ngoài trời không tiếp đất. Loại dao cách ly &lt;= 10kV</t>
  </si>
  <si>
    <t>10.01.121</t>
  </si>
  <si>
    <t>Thay dao cách ly 1 pha ngoài trời tiếp đất 1 đầu. Loại dao cách ly 500kV</t>
  </si>
  <si>
    <t>10.01.122</t>
  </si>
  <si>
    <t>Thay dao cách ly 1 pha ngoài trời tiếp đất 1 đầu. Loại dao cách ly 220kV</t>
  </si>
  <si>
    <t>10.01.123</t>
  </si>
  <si>
    <t>Thay dao cách ly 1 pha ngoài trời tiếp đất 1 đầu. Loại dao cách ly &lt;= 110kV</t>
  </si>
  <si>
    <t>10.01.124</t>
  </si>
  <si>
    <t>Thay dao cách ly 1 pha ngoài trời tiếp đất 1 đầu. Loại dao cách ly &lt;= 35kV</t>
  </si>
  <si>
    <t>10.01.125</t>
  </si>
  <si>
    <t>Thay dao cách ly 1 pha ngoài trời tiếp đất 1 đầu. Loại dao cách ly &lt;= 10kV</t>
  </si>
  <si>
    <t>10.01.131</t>
  </si>
  <si>
    <t>Thay dao cách ly 1 pha ngoài trời tiếp đất 2 đầu. Loại dao cách ly 500kV</t>
  </si>
  <si>
    <t>10.01.132</t>
  </si>
  <si>
    <t>Thay dao cách ly 1 pha ngoài trời tiếp đất 2 đầu. Loại dao cách ly 220kV</t>
  </si>
  <si>
    <t>10.01.133</t>
  </si>
  <si>
    <t>Thay dao cách ly 1 pha ngoài trời tiếp đất 2 đầu. Loại dao cách ly &lt;= 110kV</t>
  </si>
  <si>
    <t>10.01.134</t>
  </si>
  <si>
    <t>Thay dao cách ly 1 pha ngoài trời tiếp đất 2 đầu. Loại dao cách ly &lt;= 35kV</t>
  </si>
  <si>
    <t>10.01.135</t>
  </si>
  <si>
    <t>Thay dao cách ly 1 pha ngoài trời tiếp đất 2 đầu. Loại dao cách ly &lt;= 10kV</t>
  </si>
  <si>
    <t>10.01.211</t>
  </si>
  <si>
    <t>Thay dao cách ly 3 pha ngoài trời không tiếp đất. Loại dao cách ly 220kV</t>
  </si>
  <si>
    <t>10.01.212</t>
  </si>
  <si>
    <t>Thay dao cách ly 3 pha ngoài trời không tiếp đất. Loại dao cách ly &lt;= 110kV</t>
  </si>
  <si>
    <t>10.01.213</t>
  </si>
  <si>
    <t>Thay dao cách ly 3 pha ngoài trời không tiếp đất. Loại dao cách ly &lt;= 35kV</t>
  </si>
  <si>
    <t>10.01.214</t>
  </si>
  <si>
    <t>Thay dao cách ly 3 pha ngoài trời không tiếp đất. Loại dao cách ly &lt;= 10kV</t>
  </si>
  <si>
    <t>10.01.221</t>
  </si>
  <si>
    <t>Thay dao cách ly 3 pha ngoài trời tiếp đất 1 đầu. Loại dao cách ly 220kV</t>
  </si>
  <si>
    <t>10.01.222</t>
  </si>
  <si>
    <t>Thay dao cách ly 3 pha ngoài trời tiếp đất 1 đầu. Loại dao cách ly &lt;= 110kV</t>
  </si>
  <si>
    <t>10.01.223</t>
  </si>
  <si>
    <t>Thay dao cách ly 3 pha ngoài trời tiếp đất 1 đầu. Loại dao cách ly &lt;= 35kV</t>
  </si>
  <si>
    <t>10.01.224</t>
  </si>
  <si>
    <t>Thay dao cách ly 3 pha ngoài trời tiếp đất 1 đầu. Loại dao cách ly &lt;= 10kV</t>
  </si>
  <si>
    <t>10.01.231</t>
  </si>
  <si>
    <t>Thay dao cách ly 3 pha ngoài trời tiếp đất 2 đầu. Loại dao cách ly 220kV</t>
  </si>
  <si>
    <t>10.01.232</t>
  </si>
  <si>
    <t>Thay dao cách ly 3 pha ngoài trời tiếp đất 2 đầu. Loại dao cách ly &lt;= 110kV</t>
  </si>
  <si>
    <t>10.01.233</t>
  </si>
  <si>
    <t>Thay dao cách ly 3 pha ngoài trời tiếp đất 2 đầu. Loại dao cách ly &lt;= 35kV</t>
  </si>
  <si>
    <t>10.01.234</t>
  </si>
  <si>
    <t>Thay dao cách ly 3 pha ngoài trời tiếp đất 2 đầu. Loại dao cách ly &lt;= 10kV</t>
  </si>
  <si>
    <t>10.01.311</t>
  </si>
  <si>
    <t>Thay dao cách ly trong nhà không tiếp đất. Loại dao cách ly &lt;= 35kV</t>
  </si>
  <si>
    <t>10.01.312</t>
  </si>
  <si>
    <t>Thay dao cách ly trong nhà không tiếp đất. Loại dao cách ly &lt;= 10kV</t>
  </si>
  <si>
    <t>10.01.321</t>
  </si>
  <si>
    <t>Thay dao cách ly trong nhà tiếp đất 1 đầu. Loại dao cách ly &lt;= 35kV</t>
  </si>
  <si>
    <t>10.01.322</t>
  </si>
  <si>
    <t>Thay dao cách ly trong nhà tiếp đất 1 đầu. Loại dao cách ly &lt;= 10kV</t>
  </si>
  <si>
    <t>10.01.331</t>
  </si>
  <si>
    <t>Thay dao cách ly trong nhà tiếp đất 2 đầu. Loại dao cách ly &lt;= 35kV</t>
  </si>
  <si>
    <t>10.01.332</t>
  </si>
  <si>
    <t>Thay dao cách ly trong nhà tiếp đất 2 đầu. Loại dao cách ly &lt;= 10kV</t>
  </si>
  <si>
    <t>10.02.001</t>
  </si>
  <si>
    <t>Sửa chữa dao cách ly không tiếp đất, điện áp 6-15kV</t>
  </si>
  <si>
    <t>1 pha</t>
  </si>
  <si>
    <t>10.02.002</t>
  </si>
  <si>
    <t>Sửa chữa dao cách ly không tiếp đất, điện áp 22-35kV</t>
  </si>
  <si>
    <t>10.02.003</t>
  </si>
  <si>
    <t>Sửa chữa dao cách ly không tiếp đất, điện áp 66-110kV</t>
  </si>
  <si>
    <t>10.02.004</t>
  </si>
  <si>
    <t>Sửa chữa dao cách ly không tiếp đất, điện áp 220kV</t>
  </si>
  <si>
    <t>10.02.005</t>
  </si>
  <si>
    <t>Sửa chữa dao cách ly không tiếp đất, điện áp 500kV</t>
  </si>
  <si>
    <t>11.01.101</t>
  </si>
  <si>
    <t>Thay ống kim loại nối vào tường, đường kính ống &lt;= 26</t>
  </si>
  <si>
    <t>11.01.102</t>
  </si>
  <si>
    <t>Thay ống kim loại nối vào tường, đường kính ống &lt;= 35</t>
  </si>
  <si>
    <t>11.01.103</t>
  </si>
  <si>
    <t>Thay ống kim loại nối vào tường, đường kính ống &lt;= 40</t>
  </si>
  <si>
    <t>11.01.104</t>
  </si>
  <si>
    <t>Thay ống kim loại nối vào tường, đường kính ống &lt;= 50</t>
  </si>
  <si>
    <t>11.01.105</t>
  </si>
  <si>
    <t>Thay ống kim loại nối vào tường, đường kính ống &lt;= 66</t>
  </si>
  <si>
    <t>11.01.106</t>
  </si>
  <si>
    <t>Thay ống kim loại nối vào tường, đường kính ống &lt;= 80</t>
  </si>
  <si>
    <t>11.01.201</t>
  </si>
  <si>
    <t>Thay ống kim loại chìm, đường kính ống &lt;= 26</t>
  </si>
  <si>
    <t>11.01.202</t>
  </si>
  <si>
    <t>Thay ống kim loại chìm, đường kính ống &lt;= 35</t>
  </si>
  <si>
    <t>11.01.203</t>
  </si>
  <si>
    <t>Thay ống kim loại chìm, đường kính ống &lt;= 40</t>
  </si>
  <si>
    <t>11.01.204</t>
  </si>
  <si>
    <t>Thay ống kim loại chìm, đường kính ống &lt;= 50</t>
  </si>
  <si>
    <t>11.01.205</t>
  </si>
  <si>
    <t>Thay ống kim loại chìm, đường kính ống &lt;= 66</t>
  </si>
  <si>
    <t>11.01.206</t>
  </si>
  <si>
    <t>Thay ống kim loại chìm, đường kính ống &lt;= 80</t>
  </si>
  <si>
    <t>11.02.101</t>
  </si>
  <si>
    <t>Thay ống nhựa nối vào tường, đường kính ống &lt;= 15</t>
  </si>
  <si>
    <t>11.02.102</t>
  </si>
  <si>
    <t>Thay ống nhựa nối vào tường, đường kính ống &lt;= 27</t>
  </si>
  <si>
    <t>11.02.103</t>
  </si>
  <si>
    <t>Thay ống nhựa nối vào tường, đường kính ống &lt;= 34</t>
  </si>
  <si>
    <t>11.02.104</t>
  </si>
  <si>
    <t>Thay ống nhựa nối vào tường, đường kính ống &lt;= 48</t>
  </si>
  <si>
    <t>11.02.105</t>
  </si>
  <si>
    <t>Thay ống nhựa nối vào tường, đường kính ống &lt;= 76</t>
  </si>
  <si>
    <t>11.02.106</t>
  </si>
  <si>
    <t>Thay ống nhựa nối vào tường, đường kính ống &lt;= 90</t>
  </si>
  <si>
    <t>11.02.201</t>
  </si>
  <si>
    <t>Thay ống nhựa chìm, đường kính ống &lt;= 15</t>
  </si>
  <si>
    <t>11.02.202</t>
  </si>
  <si>
    <t>Thay ống nhựa chìm, đường kính ống &lt;= 27</t>
  </si>
  <si>
    <t>11.02.203</t>
  </si>
  <si>
    <t>Thay ống nhựa chìm, đường kính ống &lt;= 34</t>
  </si>
  <si>
    <t>11.02.204</t>
  </si>
  <si>
    <t>Thay ống nhựa chìm, đường kính ống &lt;= 48</t>
  </si>
  <si>
    <t>11.02.205</t>
  </si>
  <si>
    <t>Thay ống nhựa chìm, đường kính ống &lt;= 76</t>
  </si>
  <si>
    <t>11.02.206</t>
  </si>
  <si>
    <t>Thay ống nhựa chìm, đường kính ống &lt;= 90</t>
  </si>
  <si>
    <t>11.03.101</t>
  </si>
  <si>
    <t>Thay hộp phân dây ở tường gạch, kích thước hộp &gt;= 60x60mm</t>
  </si>
  <si>
    <t>11.03.102</t>
  </si>
  <si>
    <t>Thay hộp phân dây ở tường gạch, kích thước hộp &gt;= 80x80mm</t>
  </si>
  <si>
    <t>11.03.103</t>
  </si>
  <si>
    <t>Thay hộp phân dây ở tường gạch, kích thước hộp &gt;= 150x150mm</t>
  </si>
  <si>
    <t>11.03.104</t>
  </si>
  <si>
    <t>Thay hộp phân dây ở tường gạch, kích thước hộp &gt;= 200x200mm</t>
  </si>
  <si>
    <t>11.03.201</t>
  </si>
  <si>
    <t>Thay hộp phân dây ở tường bê tông, kích thước hộp &gt;= 60x60mm</t>
  </si>
  <si>
    <t>11.03.202</t>
  </si>
  <si>
    <t>Thay hộp phân dây ở tường bê tông, kích thước hộp &gt;= 80x80mm</t>
  </si>
  <si>
    <t>11.03.203</t>
  </si>
  <si>
    <t>Thay hộp phân dây ở tường bê tông, kích thước hộp &gt;= 150x150mm</t>
  </si>
  <si>
    <t>11.03.204</t>
  </si>
  <si>
    <t>Thay hộp phân dây ở tường bê tông, kích thước hộp &gt;= 200x200mm</t>
  </si>
  <si>
    <t>11.04.101</t>
  </si>
  <si>
    <t>Thay, cố định dây bằng ghíp tôn, vít nở trên tường, tiết diện dây dẫn &lt;= 6mm2</t>
  </si>
  <si>
    <t>11.04.102</t>
  </si>
  <si>
    <t>Thay, cố định dây bằng ghíp tôn, vít nở trên tường, tiết diện dây dẫn &lt;= 16mm2</t>
  </si>
  <si>
    <t>11.04.103</t>
  </si>
  <si>
    <t>Thay, cố định dây bằng ghíp tôn, vít nở trên tường, tiết diện dây dẫn &lt;= 70mm2</t>
  </si>
  <si>
    <t>11.04.104</t>
  </si>
  <si>
    <t>Thay, cố định dây bằng ghíp tôn, vít nở trên tường, tiết diện dây dẫn &lt;= 120mm2</t>
  </si>
  <si>
    <t>11.04.201</t>
  </si>
  <si>
    <t>Thay, cố định trên dây thép, tiết diện dây dẫn &lt;= 6mm2</t>
  </si>
  <si>
    <t>11.04.202</t>
  </si>
  <si>
    <t>Thay, cố định trên dây thép, tiết diện dây dẫn &lt;= 16mm2</t>
  </si>
  <si>
    <t>11.04.203</t>
  </si>
  <si>
    <t>Thay, cố định trên dây thép, tiết diện dây dẫn &lt;= 70mm2</t>
  </si>
  <si>
    <t>11.04.301</t>
  </si>
  <si>
    <t>Thay, cố định dây dẫn bằng chôn ngầm vào tường, tiết diện dây dẫn &lt;= 6mm2</t>
  </si>
  <si>
    <t>11.04.302</t>
  </si>
  <si>
    <t>Thay, cố định dây dẫn bằng chôn ngầm vào tường, tiết diện dây dẫn &lt;= 16mm2</t>
  </si>
  <si>
    <t>11.04.303</t>
  </si>
  <si>
    <t>Thay, cố định dây dẫn bằng chôn ngầm vào tường, tiết diện dây dẫn &lt;= 70mm2</t>
  </si>
  <si>
    <t>11.04.304</t>
  </si>
  <si>
    <t>Thay, cố định dây dẫn bằng chôn ngầm vào tường, tiết diện dây dẫn &lt;= 120mm2</t>
  </si>
  <si>
    <t>11.04.401</t>
  </si>
  <si>
    <t>Thay, cố định dây trong ống bảo hộ đặt nổi (ống đã có sẵn), tiết diện dây dẫn &lt;= 6mm2</t>
  </si>
  <si>
    <t>11.04.402</t>
  </si>
  <si>
    <t>Thay, cố định dây trong ống bảo hộ đặt nổi (ống đã có sẵn), tiết diện dây dẫn &lt;= 16mm2</t>
  </si>
  <si>
    <t>11.04.403</t>
  </si>
  <si>
    <t>Thay, cố định dây trong ống bảo hộ đặt nổi (ống đã có sẵn), tiết diện dây dẫn &lt;= 70mm2</t>
  </si>
  <si>
    <t>11.04.501</t>
  </si>
  <si>
    <t>Thay, cố định dây trong ống bảo hộ đặt ngầm (ống đã có sẵn), tiết diện dây dẫn &lt;= 6mm2</t>
  </si>
  <si>
    <t>11.04.502</t>
  </si>
  <si>
    <t>Thay, cố định dây trong ống bảo hộ đặt ngầm (ống đã có sẵn), tiết diện dây dẫn &lt;= 16mm2</t>
  </si>
  <si>
    <t>11.04.503</t>
  </si>
  <si>
    <t>Thay, cố định dây trong ống bảo hộ đặt ngầm (ống đã có sẵn), tiết diện dây dẫn &lt;= 70mm2</t>
  </si>
  <si>
    <t>11.04.601</t>
  </si>
  <si>
    <t>Thay dây dọc bê tông, tiết diện dây dẫn &lt;= 6mm2</t>
  </si>
  <si>
    <t>11.04.602</t>
  </si>
  <si>
    <t>Thay dây dọc bê tông, tiết diện dây dẫn &lt;= 16mm2</t>
  </si>
  <si>
    <t>11.04.603</t>
  </si>
  <si>
    <t>Thay dây dọc bê tông, tiết diện dây dẫn &lt;= 70mm2</t>
  </si>
  <si>
    <t>11.04.604</t>
  </si>
  <si>
    <t>Thay dây dọc bê tông, tiết diện dây dẫn &lt;= 120mm2</t>
  </si>
  <si>
    <t>11.05.001</t>
  </si>
  <si>
    <t>Thay cầu chì. Loại cầu chì, ổ cắm bằng sứ</t>
  </si>
  <si>
    <t>11.05.002</t>
  </si>
  <si>
    <t>Thay cầu chì. Loại cầu chì, ổ cắm bằng nhựa</t>
  </si>
  <si>
    <t>11.05.003</t>
  </si>
  <si>
    <t>Thay cầu chì. Loại cầu chì, ổ cắm đặc biệt khác</t>
  </si>
  <si>
    <t>11.06.001</t>
  </si>
  <si>
    <t>Thay cầu dao. Loại cầu dao 2 cực 10-60A</t>
  </si>
  <si>
    <t>11.06.002</t>
  </si>
  <si>
    <t>Thay cầu dao. Loại cầu dao 2 cực 60-100A</t>
  </si>
  <si>
    <t>11.06.003</t>
  </si>
  <si>
    <t>Thay cầu dao. Loại cầu dao 3 cực 20-60A</t>
  </si>
  <si>
    <t>11.06.004</t>
  </si>
  <si>
    <t>Thay cầu dao. Loại cầu dao 3 cực 100-400A</t>
  </si>
  <si>
    <t>11.07.101</t>
  </si>
  <si>
    <t>Thay Aptomat 1 pha cường độ dòng điện &lt;= 10 Ampe</t>
  </si>
  <si>
    <t>11.07.102</t>
  </si>
  <si>
    <t>Thay Aptomat 1 pha cường độ dòng điện &lt;= 50 Ampe</t>
  </si>
  <si>
    <t>11.07.103</t>
  </si>
  <si>
    <t>Thay Aptomat 1 pha cường độ dòng điện &lt;= 100 Ampe</t>
  </si>
  <si>
    <t>11.07.104</t>
  </si>
  <si>
    <t>Thay Aptomat 1 pha cường độ dòng điện &lt;= 150 Ampe</t>
  </si>
  <si>
    <t>11.07.105</t>
  </si>
  <si>
    <t>Thay Aptomat 1 pha cường độ dòng điện &lt;= 200 Ampe</t>
  </si>
  <si>
    <t>11.07.106</t>
  </si>
  <si>
    <t>Thay Aptomat 1 pha cường độ dòng điện &gt; 200 Ampe</t>
  </si>
  <si>
    <t>11.07.201</t>
  </si>
  <si>
    <t>Thay Aptomat 3 pha cường độ dòng điện &lt;= 10 Ampe</t>
  </si>
  <si>
    <t>11.07.202</t>
  </si>
  <si>
    <t>Thay Aptomat 3 pha cường độ dòng điện &lt;= 50 Ampe</t>
  </si>
  <si>
    <t>11.07.203</t>
  </si>
  <si>
    <t>Thay Aptomat 3 pha cường độ dòng điện &lt;= 100 Ampe</t>
  </si>
  <si>
    <t>11.07.204</t>
  </si>
  <si>
    <t>Thay Aptomat 3 pha cường độ dòng điện &lt;= 150 Ampe</t>
  </si>
  <si>
    <t>11.07.205</t>
  </si>
  <si>
    <t>Thay Aptomat 3 pha cường độ dòng điện &lt;= 200 Ampe</t>
  </si>
  <si>
    <t>11.07.206</t>
  </si>
  <si>
    <t>Thay Aptomat 3 pha cường độ dòng điện &gt; 200 Ampe</t>
  </si>
  <si>
    <t>11.08.101</t>
  </si>
  <si>
    <t>Thay công tơ 1 pha</t>
  </si>
  <si>
    <t>11.08.102</t>
  </si>
  <si>
    <t>Thay công tơ 3 pha</t>
  </si>
  <si>
    <t>11.08.202</t>
  </si>
  <si>
    <t>Thay công tơ 3 pha có biến dòng</t>
  </si>
  <si>
    <t>11.09.101</t>
  </si>
  <si>
    <t>Thay hộp công tơ. Thay hộp chưa lắp các phụ kiện và công tơ. Hộp &lt;= 2 CT (hộp 1CT 3 pha)</t>
  </si>
  <si>
    <t>11.09.102</t>
  </si>
  <si>
    <t>Thay hộp công tơ. Thay hộp chưa lắp các phụ kiện và công tơ. Hộp &lt;= 4 CT (hộp 2CT 3 pha)</t>
  </si>
  <si>
    <t>11.09.103</t>
  </si>
  <si>
    <t>Thay hộp công tơ. Thay hộp chưa lắp các phụ kiện và công tơ. Hộp 6 CT</t>
  </si>
  <si>
    <t>11.09.201</t>
  </si>
  <si>
    <t>Thay hộp công tơ. Thay hộp đã lắp các phụ kiện và công tơ. Hộp &lt;= 2 CT (hộp 1CT 3 pha)</t>
  </si>
  <si>
    <t>11.09.202</t>
  </si>
  <si>
    <t>Thay hộp công tơ. Thay hộp đã lắp các phụ kiện và công tơ. Hộp &lt;= 4 CT (hộp 2CT 3 pha)</t>
  </si>
  <si>
    <t>11.09.203</t>
  </si>
  <si>
    <t>Thay hộp công tơ. Thay hộp đã lắp các phụ kiện và công tơ. Hộp 6 CT</t>
  </si>
  <si>
    <t>11.10.001</t>
  </si>
  <si>
    <t>Thay potelet các loại</t>
  </si>
  <si>
    <t>11.11.001</t>
  </si>
  <si>
    <t>Thay kẹp quai</t>
  </si>
  <si>
    <t>11.11.002</t>
  </si>
  <si>
    <t>Thay kẹp hotline</t>
  </si>
  <si>
    <t>11.11.003</t>
  </si>
  <si>
    <t>Thay kẹp IPC</t>
  </si>
  <si>
    <t>11.11.004</t>
  </si>
  <si>
    <t>Thay kẹp néo cáp ABC &lt;= 4x70</t>
  </si>
  <si>
    <t>11.11.005</t>
  </si>
  <si>
    <t>Thay kẹp néo cáp ABC &lt;= 4x120</t>
  </si>
  <si>
    <t>11.11.006</t>
  </si>
  <si>
    <t>Thay bu lông đuôi heo</t>
  </si>
  <si>
    <t>12.01.101</t>
  </si>
  <si>
    <t>Thay chuỗi cách điện đỡ đơn trên đường dây 220kV đang mang điện. Chuỗi &lt;= 18 bát, chiều cao lắp cách điện &lt;= 30m</t>
  </si>
  <si>
    <t>12.01.102</t>
  </si>
  <si>
    <t>Thay chuỗi cách điện đỡ đơn trên đường dây 220kV đang mang điện. Chuỗi &lt;= 18 bát, chiều cao lắp cách điện &lt;= 40m</t>
  </si>
  <si>
    <t>12.01.103</t>
  </si>
  <si>
    <t>Thay chuỗi cách điện đỡ đơn trên đường dây 220kV đang mang điện. Chuỗi &lt;= 18 bát, chiều cao lắp cách điện &lt;= 50m</t>
  </si>
  <si>
    <t>12.01.201</t>
  </si>
  <si>
    <t>Thay chuỗi cách điện đỡ đơn có sử dụng bộ cơ cấu YABФ trên đường dây 220kV đang mang điện. Chuỗi &lt;= 18 bát, chiều cao lắp cách điện &lt;= 30m</t>
  </si>
  <si>
    <t>12.01.202</t>
  </si>
  <si>
    <t>Thay chuỗi cách điện đỡ đơn có sử dụng bộ cơ cấu YABФ trên đường dây 220kV đang mang điện. Chuỗi &lt;= 18 bát, chiều cao lắp cách điện &lt;= 40m</t>
  </si>
  <si>
    <t>12.01.203</t>
  </si>
  <si>
    <t>Thay chuỗi cách điện đỡ đơn có sử dụng bộ cơ cấu YABФ trên đường dây 220kV đang mang điện. Chuỗi &lt;= 18 bát, chiều cao lắp cách điện &lt;= 50m</t>
  </si>
  <si>
    <t>12.01.301</t>
  </si>
  <si>
    <t>Thay chuỗi cách điện néo đơn trên đường dây 220kV đang mang điện. Chuỗi &lt;= 18 bát, chiều cao lắp cách điện &lt;= 30m</t>
  </si>
  <si>
    <t>12.01.302</t>
  </si>
  <si>
    <t>Thay chuỗi cách điện néo đơn trên đường dây 220kV đang mang điện. Chuỗi &lt;= 18 bát, chiều cao lắp cách điện &lt;= 40m</t>
  </si>
  <si>
    <t>12.01.303</t>
  </si>
  <si>
    <t>Thay chuỗi cách điện néo đơn trên đường dây 220kV đang mang điện. Chuỗi &lt;= 18 bát, chiều cao lắp cách điện &lt;= 50m</t>
  </si>
  <si>
    <t>12.01.401</t>
  </si>
  <si>
    <t>Sửa chữa cách điện néo DCS và bôi mỡ dây chống sét trên đường dây 220kV đang mang điện. Chiều cao lắp cách điện &lt;= 30m</t>
  </si>
  <si>
    <t>12.01.402</t>
  </si>
  <si>
    <t>Sửa chữa cách điện néo DCS và bôi mỡ dây chống sét trên đường dây 220kV đang mang điện. Chiều cao lắp cách điện &lt;= 40m</t>
  </si>
  <si>
    <t>12.01.403</t>
  </si>
  <si>
    <t>Sửa chữa cách điện néo DCS và bôi mỡ dây chống sét trên đường dây 220kV đang mang điện. Chiều cao lắp cách điện &lt;= 50m</t>
  </si>
  <si>
    <t>12.01.501</t>
  </si>
  <si>
    <t>Sửa chữa cách điện đỡ DCS và bôi mỡ dây chống sét trên đường dây 220kV đang mang điện. Chiều cao lắp cách điện &lt;= 30m</t>
  </si>
  <si>
    <t>12.01.502</t>
  </si>
  <si>
    <t>Sửa chữa cách điện đỡ DCS và bôi mỡ dây chống sét trên đường dây 220kV đang mang điện. Chiều cao lắp cách điện &lt;= 40m</t>
  </si>
  <si>
    <t>12.01.503</t>
  </si>
  <si>
    <t>Sửa chữa cách điện đỡ DCS và bôi mỡ dây chống sét trên đường dây 220kV đang mang điện. Chiều cao lắp cách điện &lt;= 50m</t>
  </si>
  <si>
    <t>13.01.001</t>
  </si>
  <si>
    <t>Thay tủ điện hạ áp. Loại tủ điện xoay chiều 1 pha</t>
  </si>
  <si>
    <t>13.01.002</t>
  </si>
  <si>
    <t>Thay tủ điện hạ áp. Loại tủ điện xoay chiều 3 pha</t>
  </si>
  <si>
    <t>13.01.003</t>
  </si>
  <si>
    <t>Thay tủ điện hạ áp. Loại tủ điện một chiều</t>
  </si>
  <si>
    <t>13.01.004</t>
  </si>
  <si>
    <t>Thay tủ điện hạ áp. Loại tủ điều khiển dao cách ly, dao tiếp địa</t>
  </si>
  <si>
    <t>13.01.005</t>
  </si>
  <si>
    <t>Thay tủ điện hạ áp. Loại tủ đấu dây, tủ điều khiển máy cắt</t>
  </si>
  <si>
    <t>13.02.001</t>
  </si>
  <si>
    <t>Thay tủ điện cao áp: máy cắt hợp bộ, tủ bảo vệ, tủ đo lường. Loại tủ điện cáp điện &lt;= 10kV</t>
  </si>
  <si>
    <t>13.02.002</t>
  </si>
  <si>
    <t>Thay tủ điện cao áp: máy cắt hợp bộ, tủ bảo vệ, tủ đo lường. Loại tủ điện cáp điện &lt;= 35kV</t>
  </si>
  <si>
    <t>13.03.101</t>
  </si>
  <si>
    <t>Thay tủ điều khiển máy biến áp &lt;= 35kV</t>
  </si>
  <si>
    <t>13.03.102</t>
  </si>
  <si>
    <t>Thay tủ điều khiển máy biến áp &lt;= 110kV</t>
  </si>
  <si>
    <t>13.03.103</t>
  </si>
  <si>
    <t>Thay tủ điều khiển máy biến áp &lt;= 220kV</t>
  </si>
  <si>
    <t>13.03.104</t>
  </si>
  <si>
    <t>Thay tủ điều khiển máy biến áp &lt;= 500kV</t>
  </si>
  <si>
    <t>13.03.105</t>
  </si>
  <si>
    <t>Thay tủ điều khiển đường dây phân đoạn, đường vòng, lộ tổng MBA, tụ bù &lt;=35kV</t>
  </si>
  <si>
    <t>13.03.106</t>
  </si>
  <si>
    <t>Thay tủ điều khiển đường dây phân đoạn, đường vòng, lộ tổng MBA, tụ bù &lt;= 110kV</t>
  </si>
  <si>
    <t>13.03.107</t>
  </si>
  <si>
    <t>Thay tủ điều khiển đường dây phân đoạn, đường vòng, lộ tổng MBA, tụ bù &lt;= 220kV</t>
  </si>
  <si>
    <t>13.03.108</t>
  </si>
  <si>
    <t>Thay tủ điều khiển đường dây phân đoạn, đường vòng, lộ tổng MBA, tụ bù &lt;= 500kV</t>
  </si>
  <si>
    <t>13.03.201</t>
  </si>
  <si>
    <t>Thay tủ bảo vệ. Loại tủ điều khiển máy biến áp &lt;= 35kV</t>
  </si>
  <si>
    <t>13.03.202</t>
  </si>
  <si>
    <t>Thay tủ bảo vệ. Loại tủ điều khiển máy biến áp &lt;= 110kV</t>
  </si>
  <si>
    <t>13.03.203</t>
  </si>
  <si>
    <t>Thay tủ bảo vệ. Loại tủ điều khiển máy biến áp &lt;= 220kV</t>
  </si>
  <si>
    <t>13.03.204</t>
  </si>
  <si>
    <t>Thay tủ bảo vệ. Loại tủ điều khiển máy biến áp &lt;= 500kV</t>
  </si>
  <si>
    <t>13.03.205</t>
  </si>
  <si>
    <t>Thay tủ bảo vệ. Loại tủ điều khiển đường dây phân đoạn, đường vòng, lộ tổng MBA, tụ bù &lt;=35kV</t>
  </si>
  <si>
    <t>13.03.206</t>
  </si>
  <si>
    <t>Thay tủ bảo vệ. Loại tủ điều khiển đường dây phân đoạn, đường vòng, lộ tổng MBA, tụ bù &lt;= 110kV</t>
  </si>
  <si>
    <t>13.03.207</t>
  </si>
  <si>
    <t>Thay tủ bảo vệ. Loại tủ điều khiển đường dây phân đoạn, đường vòng, lộ tổng MBA, tụ bù &lt;= 220kV</t>
  </si>
  <si>
    <t>13.03.208</t>
  </si>
  <si>
    <t>Thay tủ bảo vệ. Loại tủ điều khiển đường dây phân đoạn, đường vòng, lộ tổng MBA, tụ bù &lt;= 500kV</t>
  </si>
  <si>
    <t>13.03.301</t>
  </si>
  <si>
    <t>Thay tủ đo lường &lt;= 35kV</t>
  </si>
  <si>
    <t>13.03.302</t>
  </si>
  <si>
    <t>Thay tủ đo lường &lt;= 110kV</t>
  </si>
  <si>
    <t>13.03.303</t>
  </si>
  <si>
    <t>Thay tủ đo lường &lt;= 220kV</t>
  </si>
  <si>
    <t>13.03.304</t>
  </si>
  <si>
    <t>Thay tủ đo lường &lt;= 500kV</t>
  </si>
  <si>
    <t>13.04.101</t>
  </si>
  <si>
    <t>Thay đèn chiếu sáng. Loại đèn lắp đặt : đèn pha trên cột</t>
  </si>
  <si>
    <t>13.04.102</t>
  </si>
  <si>
    <t>Thay đèn chiếu sáng. Loại đèn lắp đặt : đèn hình cầu</t>
  </si>
  <si>
    <t>13.04.103</t>
  </si>
  <si>
    <t>Thay đèn chiếu sáng. Loại đèn lắp đặt : đèn chiếu sáng</t>
  </si>
  <si>
    <t>13.04.104</t>
  </si>
  <si>
    <t>Thay đèn chiếu sáng. Loại đèn lắp đặt : đèn chống nổ</t>
  </si>
  <si>
    <t>13.04.105</t>
  </si>
  <si>
    <t>Thay đèn chiếu sáng. Loại đèn lắp đặt : đèn chống ẩm</t>
  </si>
  <si>
    <t>13.04.106</t>
  </si>
  <si>
    <t>Thay đèn chiếu sáng. Loại đèn lắp đặt : thiết bị tự động cho HT chiếu sáng</t>
  </si>
  <si>
    <t>13.04.201</t>
  </si>
  <si>
    <t>Thay đèn bảo vệ và các phụ kiện. Loại hệ thống đèn chiếu sáng, phụ kiện : Cột đèn chuyên dùng</t>
  </si>
  <si>
    <t>13.04.202</t>
  </si>
  <si>
    <t>Thay đèn bảo vệ và các phụ kiện. Loại hệ thống đèn chiếu sáng, phụ kiện : Cần đèn các loại</t>
  </si>
  <si>
    <t>13.04.203</t>
  </si>
  <si>
    <t>Thay đèn bảo vệ và các phụ kiện. Loại hệ thống đèn chiếu sáng, phụ kiện : Chao, chụp và các chóa đèn các loại</t>
  </si>
  <si>
    <t>13.04.204</t>
  </si>
  <si>
    <t>Thay đèn bảo vệ và các phụ kiện. Loại hệ thống đèn chiếu sáng, phụ kiện : Tấm giá đỡ (&lt;20kg), gỗ tẩm dầu</t>
  </si>
  <si>
    <t>13.04.205</t>
  </si>
  <si>
    <t>Thay đèn bảo vệ và các phụ kiện. Loại hệ thống đèn chiếu sáng, phụ kiện : Tấm giá đỡ (&lt;20kg), phíp nhựa</t>
  </si>
  <si>
    <t>13.05.001</t>
  </si>
  <si>
    <t>Thay các thiết bị cho mạch nhị thử, điều khiển, bảo vệ, bảng mạch, đo lường. Rơ le các loại, bảng mạch</t>
  </si>
  <si>
    <t>13.05.002</t>
  </si>
  <si>
    <t>Thay các thiết bị cho mạch nhị thử, điều khiển, bảo vệ, bảng mạch, đo lường. Rơ le kỹ thuật số, Bộ ghi sự cố, Bộ định vị sự cố</t>
  </si>
  <si>
    <t>13.05.003</t>
  </si>
  <si>
    <t>Thay các thiết bị cho mạch nhị thử, điều khiển, bảo vệ, bảng mạch, đo lường. Đèn báo hiệu, chuông, còi, hàng kẹp dấu dây (10 cái)</t>
  </si>
  <si>
    <t>13.05.004</t>
  </si>
  <si>
    <t>Thay các thiết bị cho mạch nhị thử, điều khiển, bảo vệ, bảng mạch, đo lường. Khóa điều khiển</t>
  </si>
  <si>
    <t>13.05.005</t>
  </si>
  <si>
    <t>Thay các thiết bị cho mạch nhị thử, điều khiển, bảo vệ, bảng mạch, đo lường. Đo đếm các loại</t>
  </si>
  <si>
    <t>14.01.001</t>
  </si>
  <si>
    <t>Thay cầu dao hạ thế &lt;= 1000V các loại. Loại cầu dao &lt;= 100A</t>
  </si>
  <si>
    <t>14.01.002</t>
  </si>
  <si>
    <t>Thay cầu dao hạ thế &lt;= 1000V các loại. Loại cầu dao &lt;= 200A</t>
  </si>
  <si>
    <t>14.01.003</t>
  </si>
  <si>
    <t>Thay cầu dao hạ thế &lt;= 1000V các loại. Loại cầu dao &lt;= 400A</t>
  </si>
  <si>
    <t>14.01.004</t>
  </si>
  <si>
    <t>Thay cầu dao hạ thế &lt;= 1000V các loại. Loại cầu dao &lt;= 600A</t>
  </si>
  <si>
    <t>14.01.005</t>
  </si>
  <si>
    <t>Thay cầu dao hạ thế &lt;= 1000V các loại. Loại cầu dao &gt; 600A</t>
  </si>
  <si>
    <t>14.02.001</t>
  </si>
  <si>
    <t>Thay cầu chì 35 (22) kV</t>
  </si>
  <si>
    <t>1 bộ (3pha)</t>
  </si>
  <si>
    <t>14.02.002</t>
  </si>
  <si>
    <t>Thay cầu chì 6-10 (15) kV</t>
  </si>
  <si>
    <t>14.02.003</t>
  </si>
  <si>
    <t>Thay điện trở phụ</t>
  </si>
  <si>
    <t>14.02.004</t>
  </si>
  <si>
    <t>Thay cầu chì tự rơi 6-10 (15) kV</t>
  </si>
  <si>
    <t>14.02.005</t>
  </si>
  <si>
    <t>Thay cầu chì tự rơi 35 (22) kV</t>
  </si>
  <si>
    <t>14.03.001</t>
  </si>
  <si>
    <t>Thay Aptomat và khởi động từ &lt;= 50A</t>
  </si>
  <si>
    <t>1 cái ( 3 pha)</t>
  </si>
  <si>
    <t>14.03.002</t>
  </si>
  <si>
    <t>Thay Aptomat và khởi động từ &lt;= 100A</t>
  </si>
  <si>
    <t>14.03.003</t>
  </si>
  <si>
    <t>Thay Aptomat và khởi động từ &lt;= 200A</t>
  </si>
  <si>
    <t>14.03.004</t>
  </si>
  <si>
    <t>Thay Aptomat và khởi động từ &lt;= 300A</t>
  </si>
  <si>
    <t>14.03.005</t>
  </si>
  <si>
    <t>Thay Aptomat và khởi động từ &lt;= 400A</t>
  </si>
  <si>
    <t>14.03.006</t>
  </si>
  <si>
    <t>Thay Aptomat và khởi động từ &lt;= 600A</t>
  </si>
  <si>
    <t>14.03.007</t>
  </si>
  <si>
    <t>Thay Aptomat và khởi động từ &lt;= 1000A</t>
  </si>
  <si>
    <t>14.04.001</t>
  </si>
  <si>
    <t>Thay đồng hồ vôn, ampe</t>
  </si>
  <si>
    <t>14.04.002</t>
  </si>
  <si>
    <t>Thay chuyển mạch</t>
  </si>
  <si>
    <t>14.05.101</t>
  </si>
  <si>
    <t>Thay hệ thống acqui. Hạng mục thay : giá đỡ acquy (10kg)</t>
  </si>
  <si>
    <t>10 kg</t>
  </si>
  <si>
    <t>14.05.102</t>
  </si>
  <si>
    <t>Thay hệ thống acqui. Hạng mục thay : giá đỡ dây cái trần (10kg)</t>
  </si>
  <si>
    <t>14.05.103</t>
  </si>
  <si>
    <t>Thay hệ thống acqui. Hạng mục thay : thay dây cái (10m)</t>
  </si>
  <si>
    <t>10 m</t>
  </si>
  <si>
    <t>14.05.201</t>
  </si>
  <si>
    <t>Thay hệ thống acqui. Hạng mục thay: acqui (10 bình)</t>
  </si>
  <si>
    <t>14.05.202</t>
  </si>
  <si>
    <t>Thay hệ thống acqui. Hạng mục thay: nạp điện acqui đã lắp cực (hệ thống)</t>
  </si>
  <si>
    <t>14.05.203</t>
  </si>
  <si>
    <t>Thay hệ thống acqui. Hạng mục thay: lắp tủ nguồn, tủ chỉnh lưu (tủ)</t>
  </si>
  <si>
    <t>14.05.204</t>
  </si>
  <si>
    <t>Thay hệ thống acqui. Hạng mục thay: lắp tủ nguồn, tủ nghịch lưu (tủ)</t>
  </si>
  <si>
    <t>14.05.30</t>
  </si>
  <si>
    <t>Sửa chữa máy sạc điện Accu (charge accu)</t>
  </si>
  <si>
    <t>15.01.001</t>
  </si>
  <si>
    <t>Thay các loại tủ của hệ thống điều khiển tích hợp. Tủ máy chủ</t>
  </si>
  <si>
    <t>15.01.002</t>
  </si>
  <si>
    <t>Thay các loại tủ của hệ thống điều khiển tích hợp. Tủ scada</t>
  </si>
  <si>
    <t>15.01.003</t>
  </si>
  <si>
    <t>Thay các loại tủ của hệ thống điều khiển tích hợp. Tủ lan switch</t>
  </si>
  <si>
    <t>15.02.001</t>
  </si>
  <si>
    <t>Thay các loại thiết bị của hệ thống điều khiển tích hợp. Máy chủ</t>
  </si>
  <si>
    <t>15.02.002</t>
  </si>
  <si>
    <t>Thay các loại thiết bị của hệ thống điều khiển tích hợp. Máy kỹ thuật (Engineering console)</t>
  </si>
  <si>
    <t>15.02.003</t>
  </si>
  <si>
    <t>Thay các loại thiết bị của hệ thống điều khiển tích hợp. Máy in (Printer)</t>
  </si>
  <si>
    <t>15.02.004</t>
  </si>
  <si>
    <t>Thay các loại thiết bị của hệ thống điều khiển tích hợp. Máy lưu sự kiện (His)</t>
  </si>
  <si>
    <t>15.02.005</t>
  </si>
  <si>
    <t>Thay các loại thiết bị của hệ thống điều khiển tích hợp. Bộ định tuyến (Router)</t>
  </si>
  <si>
    <t>15.02.006</t>
  </si>
  <si>
    <t>Thay các loại thiết bị của hệ thống điều khiển tích hợp. Bộ chuyển mạch (Switch)</t>
  </si>
  <si>
    <t>15.02.007</t>
  </si>
  <si>
    <t>Thay các loại thiết bị của hệ thống điều khiển tích hợp. Bộ tập trung (Hub)</t>
  </si>
  <si>
    <t>15.03.001</t>
  </si>
  <si>
    <t>Thay hệ thống camera, thiết bị đồng bộ. Camera trên cột, Bộ định vị thời gian theo GPS</t>
  </si>
  <si>
    <t>15.03.002</t>
  </si>
  <si>
    <t>Thay hệ thống camera, thiết bị đồng bộ. Bộ cần gá camera</t>
  </si>
  <si>
    <t>15.03.003</t>
  </si>
  <si>
    <t>Thay hệ thống camera, thiết bị đồng bộ. Máy chủ (server)</t>
  </si>
  <si>
    <t>15.03.004</t>
  </si>
  <si>
    <t>Thay hệ thống camera, thiết bị đồng bộ. Bộ chuyển mạch (Switch)</t>
  </si>
  <si>
    <t>15.03.005</t>
  </si>
  <si>
    <t>Thay hệ thống camera, thiết bị đồng bộ. Bộ tập trung (Hub)</t>
  </si>
  <si>
    <t>16.01.001</t>
  </si>
  <si>
    <t>Thay cách điện đứng đường dây 3 pha</t>
  </si>
  <si>
    <t>3 cách điện</t>
  </si>
  <si>
    <t>16.02.001</t>
  </si>
  <si>
    <t>Thay giáp buộc cách điện</t>
  </si>
  <si>
    <t>16.03.001</t>
  </si>
  <si>
    <t>Thay cách điện treo, kẹp dừng, giáp níu, thanh nối</t>
  </si>
  <si>
    <t>16.04.001</t>
  </si>
  <si>
    <t>Thay cò lèo đường dây 3 pha</t>
  </si>
  <si>
    <t>1 cò lèo</t>
  </si>
  <si>
    <t>16.05.001</t>
  </si>
  <si>
    <t>Xử lý cò lèo, mối nối tưa, tiếp xúc xấu đường dây 3 pha</t>
  </si>
  <si>
    <t>16.06.001</t>
  </si>
  <si>
    <t>Xử lý dây trung hòa, giá đỡ đầu cáp, cần thao tác trên đường dây 3 pha</t>
  </si>
  <si>
    <t>16.07.001</t>
  </si>
  <si>
    <t>Thay FCO, LBCO, LA trên đường dây 3 pha</t>
  </si>
  <si>
    <t>16.08.001</t>
  </si>
  <si>
    <t>Thay DS, LBS, recloser, MBA, TU, TI, tụ bù trên đường dây 3 pha</t>
  </si>
  <si>
    <t>16.09.001</t>
  </si>
  <si>
    <t>Thay xà đối xứng đường dây 3 pha</t>
  </si>
  <si>
    <t>16.10.001</t>
  </si>
  <si>
    <t>Thay xà lệch đường dây 3 pha</t>
  </si>
  <si>
    <t>16.11.001</t>
  </si>
  <si>
    <t>Thay xà đôi tại trụ góc đường dây 3 pha</t>
  </si>
  <si>
    <t>16.12.001</t>
  </si>
  <si>
    <t>Thay xà vertical đường dây 3 pha</t>
  </si>
  <si>
    <t>16.13.001</t>
  </si>
  <si>
    <t>Thay trụ đường dây 3 pha</t>
  </si>
  <si>
    <t>1 trụ</t>
  </si>
  <si>
    <t>16.14.001</t>
  </si>
  <si>
    <t>Thay trụ mặt bích 2 đoạn</t>
  </si>
  <si>
    <t>16.15.001</t>
  </si>
  <si>
    <t>Khai quang mé nhánh (chặt cây) trên đường dây 3 pha</t>
  </si>
  <si>
    <t>16.16.001</t>
  </si>
  <si>
    <t>Bọc điểm hở dây, lắp thiết bị chống động vật</t>
  </si>
  <si>
    <t>1 điểm</t>
  </si>
  <si>
    <t>LÀM TRÒN</t>
  </si>
  <si>
    <t>Cáp ngầm CXV/DSTA/Sehh-3x50mm2-24kV</t>
  </si>
  <si>
    <t>VL+NC+M</t>
  </si>
  <si>
    <t>a</t>
  </si>
  <si>
    <t>a1+a2+a3</t>
  </si>
  <si>
    <t>Vật liệu chính</t>
  </si>
  <si>
    <t>VL1 + VL2</t>
  </si>
  <si>
    <t>VL2</t>
  </si>
  <si>
    <t>Bảng 5.1</t>
  </si>
  <si>
    <t>b</t>
  </si>
  <si>
    <t>Nhân công lắp đặt TBA</t>
  </si>
  <si>
    <t>c</t>
  </si>
  <si>
    <t>Máy thi công lắp đặt TBA</t>
  </si>
  <si>
    <t>CHI PHÍ GIÁN TIẾP</t>
  </si>
  <si>
    <t>NC*65%</t>
  </si>
  <si>
    <t>Chi phí nhà tạm để điều hành thi công</t>
  </si>
  <si>
    <t>T*1,1%</t>
  </si>
  <si>
    <t>Chi phí một số công việc không xác định được khối lượng từ thiết kế</t>
  </si>
  <si>
    <t>T*2%</t>
  </si>
  <si>
    <t>(T+GT)*6%</t>
  </si>
  <si>
    <t xml:space="preserve">     - Vật liệu chính</t>
  </si>
  <si>
    <t xml:space="preserve"> Thuế GTGT </t>
  </si>
  <si>
    <t>G*8%</t>
  </si>
  <si>
    <t>ĐỊNH MỨC DỰ TOÁN XÂY DỰNG</t>
  </si>
  <si>
    <t xml:space="preserve">KÍCH THƯỚC </t>
  </si>
  <si>
    <t>Thông tư 12/2021/TT-BXD ngày 31/8/2021 của Bộ xây dựng ban hành định mức xây dựng.
Quyết định số 3005/QĐ-UBND ngày 27/9/2022 của UBND Tỉnh BRVT về đơn giá xây dựng công trình phần xây dựng Tỉnh BRVT</t>
  </si>
  <si>
    <t>KL</t>
  </si>
  <si>
    <t>Lương BQ</t>
  </si>
  <si>
    <t>Loại hình công việc</t>
  </si>
  <si>
    <t>Kích thước (m)</t>
  </si>
  <si>
    <t>ĐM</t>
  </si>
  <si>
    <t>Dài</t>
  </si>
  <si>
    <t>Rộng</t>
  </si>
  <si>
    <t>Sâu (cao)</t>
  </si>
  <si>
    <t>Bề rộng</t>
  </si>
  <si>
    <t>ĐK</t>
  </si>
  <si>
    <t>Diện tích
(m2)</t>
  </si>
  <si>
    <t>Thể tích
(m3)</t>
  </si>
  <si>
    <t>AB11322</t>
  </si>
  <si>
    <t>Đào móng băng bằng thủ công Rộng &lt;3m, sâu &lt;2m - Đất cấp II</t>
  </si>
  <si>
    <t>Đào móng trụ 14 đơn</t>
  </si>
  <si>
    <t>AB11422</t>
  </si>
  <si>
    <t>Đào móng cột trụ bằng thủ công Rộng &lt;1m, sâu &gt;1m - Đất cấp II</t>
  </si>
  <si>
    <t>AB11442</t>
  </si>
  <si>
    <t>Đào móng cột trụ bằng thủ công Rộng &gt;1m, sâu &gt;1m - Đất cấp II</t>
  </si>
  <si>
    <t>Đào đường cáp bằng thủ công</t>
  </si>
  <si>
    <t>Giếng cáp</t>
  </si>
  <si>
    <t>AB11502</t>
  </si>
  <si>
    <t>Rộng &lt;1m, sâu &lt;1m đất cấp II</t>
  </si>
  <si>
    <t>Bê tông giếng cáp</t>
  </si>
  <si>
    <t>AB13111</t>
  </si>
  <si>
    <t>Đắp đất nền móng công trình, nền đường bằng thủ công</t>
  </si>
  <si>
    <t>Đào móng công trình bằng máy đào</t>
  </si>
  <si>
    <t>AB25102</t>
  </si>
  <si>
    <t>máy đào 0,8m3 - đất cấp II</t>
  </si>
  <si>
    <t>Đào nền đường bằng máy đào</t>
  </si>
  <si>
    <t>AB31122</t>
  </si>
  <si>
    <t>máy đào &lt;0,8m3 - đất cấp II</t>
  </si>
  <si>
    <t>Đắp đất nền móng công trình bằng máy đầm đất cầm tay 70kG</t>
  </si>
  <si>
    <t>AB65110</t>
  </si>
  <si>
    <t>Độ chặt K = 0.85</t>
  </si>
  <si>
    <t>AB65120</t>
  </si>
  <si>
    <t>Độ chặt K = 0.90</t>
  </si>
  <si>
    <t>AB65130</t>
  </si>
  <si>
    <t>Độ chặt K = 0.95</t>
  </si>
  <si>
    <t>Rải thảm mặt đường</t>
  </si>
  <si>
    <t>AD23221</t>
  </si>
  <si>
    <t>Rải thảm mặt đường BTNN (C19,R19) chiều dày mặt đường đã lèn ép 3cm</t>
  </si>
  <si>
    <t>AD23223</t>
  </si>
  <si>
    <t>Rải thảm mặt đường BTNN (C19,R19) chiều dày mặt đường đã lèn ép 5cm</t>
  </si>
  <si>
    <t>AD23225</t>
  </si>
  <si>
    <t>Rải thảm mặt đường BTNN (C19,R19) chiều dày mặt đường đã lèn ép 7cm</t>
  </si>
  <si>
    <t>VÁN KHUÔN GỖ</t>
  </si>
  <si>
    <t>AF81111</t>
  </si>
  <si>
    <t>Ván khuôn móng băng, móng bè bệ máy</t>
  </si>
  <si>
    <t>AF81121</t>
  </si>
  <si>
    <t>Ván khuôn móng cột tròn, đa giác</t>
  </si>
  <si>
    <t>AF81122</t>
  </si>
  <si>
    <t>Ván khuôn móng cột vuông, chữ nhật</t>
  </si>
  <si>
    <t>AF81131</t>
  </si>
  <si>
    <t>AF81132</t>
  </si>
  <si>
    <t>AF81311</t>
  </si>
  <si>
    <t>Ván khuôn tường chiều dày &lt;45cm</t>
  </si>
  <si>
    <t>VÁN KHUÔN THÉP</t>
  </si>
  <si>
    <t>AF82511</t>
  </si>
  <si>
    <t>Ván khuôn móng dài</t>
  </si>
  <si>
    <t>AF82512</t>
  </si>
  <si>
    <t>Ván khuôn móng cột</t>
  </si>
  <si>
    <t>AF11111</t>
  </si>
  <si>
    <t>Bê tông lót móng, chiều rộng &lt;250cm, mac 150</t>
  </si>
  <si>
    <t>AF11112</t>
  </si>
  <si>
    <t>Bê tông lót móng, chiều rộng &lt;250cm, mac 200</t>
  </si>
  <si>
    <t>AF11121</t>
  </si>
  <si>
    <t>Bê tông lót móng, chiều rộng &gt;250cm, mac 150</t>
  </si>
  <si>
    <t>AF11122</t>
  </si>
  <si>
    <t>Bê tông lót móng, chiều rộng &gt;250cm, mac 200</t>
  </si>
  <si>
    <t>AF11211</t>
  </si>
  <si>
    <t>Bê tông móng đá 1x2, chiều rộng &lt;250cm, mac 150</t>
  </si>
  <si>
    <t>AF11212</t>
  </si>
  <si>
    <t>Bê tông móng đá 1x2, chiều rộng &lt;250cm, mac 200</t>
  </si>
  <si>
    <t>AF11213</t>
  </si>
  <si>
    <t>Bê tông móng đá 1x2, chiều rộng &lt;250cm, mac 250</t>
  </si>
  <si>
    <t>AF11214</t>
  </si>
  <si>
    <t>Bê tông móng đá 1x2, chiều rộng &lt;250cm, mac 300</t>
  </si>
  <si>
    <t>AF11221</t>
  </si>
  <si>
    <t>Bê tông móng đá 1x2, chiều rộng &gt;250cm, mac 150</t>
  </si>
  <si>
    <t>AF11222</t>
  </si>
  <si>
    <t>Bê tông móng đá 1x2, chiều rộng &gt;250cm, mac 200</t>
  </si>
  <si>
    <t>AF11223</t>
  </si>
  <si>
    <t>Bê tông móng đá 1x2, chiều rộng &gt;250cm, mac 250</t>
  </si>
  <si>
    <t>AF11224</t>
  </si>
  <si>
    <t>Bê tông móng đá 1x2, chiều rộng &gt;250cm, mac 300</t>
  </si>
  <si>
    <t>AF11311</t>
  </si>
  <si>
    <t>Bê tông nền, đá 1x2, mac 150</t>
  </si>
  <si>
    <t>AF11312</t>
  </si>
  <si>
    <t>Bê tông nền, đá 1x2, mac 200</t>
  </si>
  <si>
    <t>AF11313</t>
  </si>
  <si>
    <t>Bê tông nền, đá 1x2, mac 250</t>
  </si>
  <si>
    <t>AF11314</t>
  </si>
  <si>
    <t>Bê tông nền, đá 1x2, mac 300</t>
  </si>
  <si>
    <t>AF11411</t>
  </si>
  <si>
    <t>Bê tông bệ máy đá 1x2, mac 150</t>
  </si>
  <si>
    <t>AF11412</t>
  </si>
  <si>
    <t>Bê tông bệ máy đá 1x2, mac 200</t>
  </si>
  <si>
    <t>AF11413</t>
  </si>
  <si>
    <t>Bê tông bệ máy đá 1x2, mac 250</t>
  </si>
  <si>
    <t>AF11414</t>
  </si>
  <si>
    <t>Bê tông bệ máy đá 1x2, mac 300</t>
  </si>
  <si>
    <t>AF13111</t>
  </si>
  <si>
    <t>Bê tông giếng cáp, đá 1x2, mac 150</t>
  </si>
  <si>
    <t>AF13112</t>
  </si>
  <si>
    <t>Bê tông giếng cáp, đá 1x2, mac 200</t>
  </si>
  <si>
    <t>AF13113</t>
  </si>
  <si>
    <t>Bê tông giếng cáp, đá 1x2, mac 250</t>
  </si>
  <si>
    <t>AF13114</t>
  </si>
  <si>
    <t>Bê tông giếng cáp, đá 1x2, mac 300</t>
  </si>
  <si>
    <t>AF13211</t>
  </si>
  <si>
    <t>Bê tông mương cáp, đá 1x2, mac 150</t>
  </si>
  <si>
    <t>AF13212</t>
  </si>
  <si>
    <t>Bê tông mương cáp, đá 1x2, mac 200</t>
  </si>
  <si>
    <t>AF13213</t>
  </si>
  <si>
    <t>Bê tông mương cáp, đá 1x2, mac 250</t>
  </si>
  <si>
    <t>AF13214</t>
  </si>
  <si>
    <t>Bê tông mương cáp, đá 1x2, mac 300</t>
  </si>
  <si>
    <t>Gia công lắp dựng cốt thép móng</t>
  </si>
  <si>
    <t>AF61110</t>
  </si>
  <si>
    <r>
      <t xml:space="preserve">Đường kính </t>
    </r>
    <r>
      <rPr>
        <sz val="12"/>
        <rFont val="Calibri"/>
        <family val="2"/>
      </rPr>
      <t>≤</t>
    </r>
    <r>
      <rPr>
        <sz val="12"/>
        <rFont val="Times New Roman"/>
        <family val="1"/>
      </rPr>
      <t xml:space="preserve"> 10mm</t>
    </r>
  </si>
  <si>
    <t>AF61120</t>
  </si>
  <si>
    <r>
      <t xml:space="preserve">Đường kính </t>
    </r>
    <r>
      <rPr>
        <sz val="12"/>
        <rFont val="Calibri"/>
        <family val="2"/>
      </rPr>
      <t>≤</t>
    </r>
    <r>
      <rPr>
        <sz val="12"/>
        <rFont val="Times New Roman"/>
        <family val="1"/>
      </rPr>
      <t xml:space="preserve"> 18mm</t>
    </r>
  </si>
  <si>
    <t>AF61130</t>
  </si>
  <si>
    <t>Đường kính &gt; 18mm</t>
  </si>
  <si>
    <t>Gia công lắp dựng cốt thép bệ máy</t>
  </si>
  <si>
    <t>AF61210</t>
  </si>
  <si>
    <r>
      <t xml:space="preserve">Đường kính </t>
    </r>
    <r>
      <rPr>
        <sz val="12"/>
        <color indexed="10"/>
        <rFont val="Calibri"/>
        <family val="2"/>
      </rPr>
      <t>≤</t>
    </r>
    <r>
      <rPr>
        <sz val="12"/>
        <color indexed="10"/>
        <rFont val="Times New Roman"/>
        <family val="1"/>
      </rPr>
      <t xml:space="preserve"> 10mm</t>
    </r>
  </si>
  <si>
    <t>AF61220</t>
  </si>
  <si>
    <r>
      <t xml:space="preserve">Đường kính </t>
    </r>
    <r>
      <rPr>
        <sz val="12"/>
        <color indexed="10"/>
        <rFont val="Calibri"/>
        <family val="2"/>
      </rPr>
      <t>≤</t>
    </r>
    <r>
      <rPr>
        <sz val="12"/>
        <color indexed="10"/>
        <rFont val="Times New Roman"/>
        <family val="1"/>
      </rPr>
      <t xml:space="preserve"> 18mm</t>
    </r>
  </si>
  <si>
    <t>AF61230</t>
  </si>
  <si>
    <t>AF61311</t>
  </si>
  <si>
    <r>
      <t xml:space="preserve">Cốt thép tường, ĐK </t>
    </r>
    <r>
      <rPr>
        <sz val="12"/>
        <color indexed="10"/>
        <rFont val="Calibri"/>
        <family val="2"/>
      </rPr>
      <t>≤</t>
    </r>
    <r>
      <rPr>
        <sz val="12"/>
        <color indexed="10"/>
        <rFont val="Times New Roman"/>
        <family val="1"/>
      </rPr>
      <t xml:space="preserve"> 10mm, chiều cao &lt;6m</t>
    </r>
  </si>
  <si>
    <t>AF63110</t>
  </si>
  <si>
    <t>Cốt thép giếng cáp, ĐK &lt;10mm</t>
  </si>
  <si>
    <t>Cốt thép mương cáp, ĐK &lt;10mm</t>
  </si>
  <si>
    <t>AF63120</t>
  </si>
  <si>
    <t>Cốt thép mương cáp, ĐK &gt;10mm</t>
  </si>
  <si>
    <t>AG11111</t>
  </si>
  <si>
    <t>Bê tông cọc, cột (bê tông đúc sẵn), mac 150</t>
  </si>
  <si>
    <t>AG11112</t>
  </si>
  <si>
    <t>Bê tông cọc, cột (bê tông đúc sẵn), mac 200</t>
  </si>
  <si>
    <t>AG11411</t>
  </si>
  <si>
    <t>Bê tông tấm đan, mac 150</t>
  </si>
  <si>
    <t>AG11412</t>
  </si>
  <si>
    <t>Bê tông tấm đan, mac 200</t>
  </si>
  <si>
    <t>AG11451</t>
  </si>
  <si>
    <t>Bê tông hàng rào, lan can, mac 150</t>
  </si>
  <si>
    <t>AG11452</t>
  </si>
  <si>
    <t>Bê tông hàng rào, lan can, mac 200</t>
  </si>
  <si>
    <t>AG13111</t>
  </si>
  <si>
    <t>Cốt thép cọc, ĐK &lt;10mm</t>
  </si>
  <si>
    <t>AG42111</t>
  </si>
  <si>
    <t>Lắp cấu kiện bê tông đúc sẵn bằng thủ công &lt;25kg</t>
  </si>
  <si>
    <t>AG42112</t>
  </si>
  <si>
    <t>Lắp cấu kiện bê tông đúc sẵn bằng thủ công &lt;35kg</t>
  </si>
  <si>
    <t>AG42113</t>
  </si>
  <si>
    <t>Lắp cấu kiện bê tông đúc sẵn bằng thủ công &lt;50kg</t>
  </si>
  <si>
    <t>AI11511</t>
  </si>
  <si>
    <t>Gia công hàng rào lưới thép</t>
  </si>
  <si>
    <t>1m2</t>
  </si>
  <si>
    <t>AI11521</t>
  </si>
  <si>
    <t>Gia công cửa lưới thép</t>
  </si>
  <si>
    <t>AK21112</t>
  </si>
  <si>
    <t>Trát tường ngoài (1cm), mac 50</t>
  </si>
  <si>
    <t>AK21122</t>
  </si>
  <si>
    <t>Trát tường ngoài (1.5cm), mac 50</t>
  </si>
  <si>
    <t>AK42212</t>
  </si>
  <si>
    <t>Láng giếng cáp, mac 50</t>
  </si>
  <si>
    <t>Lát gạch vỉa hè</t>
  </si>
  <si>
    <t>AK55111</t>
  </si>
  <si>
    <t>Gạch xi măng, vữa mác 25</t>
  </si>
  <si>
    <t>AK55112</t>
  </si>
  <si>
    <t>Gạch xi măng, vữa mác 50</t>
  </si>
  <si>
    <t>AK55310</t>
  </si>
  <si>
    <t>Gạch xi măng tự chèn chiều dày 3.5cm</t>
  </si>
  <si>
    <t>AK55320</t>
  </si>
  <si>
    <t>Gạch xi măng tự chèn chiều dày 5.5cm</t>
  </si>
  <si>
    <t>AK55411</t>
  </si>
  <si>
    <t>Gạch đất nung 30x30</t>
  </si>
  <si>
    <t>AK55421</t>
  </si>
  <si>
    <t>Gạch đất nung 30x40</t>
  </si>
  <si>
    <t>AK55431</t>
  </si>
  <si>
    <t>Gạch đất nung 40x40</t>
  </si>
  <si>
    <t>AK56141</t>
  </si>
  <si>
    <t>Đá hoa cương 40x40</t>
  </si>
  <si>
    <t>AK56151</t>
  </si>
  <si>
    <t>Đá hoa cương 50x50</t>
  </si>
  <si>
    <t>AK56161</t>
  </si>
  <si>
    <t>Đá hoa cương &gt; 50x50</t>
  </si>
  <si>
    <t>Sơn sàn, nền, bề mặt bê tông bằng sơn các loại</t>
  </si>
  <si>
    <t>AK85410</t>
  </si>
  <si>
    <t>1 nước lót, 1 nước phủ</t>
  </si>
  <si>
    <t>AK85420</t>
  </si>
  <si>
    <t>1 nước lót, 2 nước phủ</t>
  </si>
  <si>
    <t>Cắt khe đường</t>
  </si>
  <si>
    <t>AL22111</t>
  </si>
  <si>
    <t>Khe 1x4</t>
  </si>
  <si>
    <t>AL22112</t>
  </si>
  <si>
    <t>Khe 2x4</t>
  </si>
  <si>
    <t>Bốc xếp vật liệu</t>
  </si>
  <si>
    <t>AM11101</t>
  </si>
  <si>
    <t>Cát</t>
  </si>
  <si>
    <t>AM11102</t>
  </si>
  <si>
    <t>Đất</t>
  </si>
  <si>
    <t>AM11103</t>
  </si>
  <si>
    <t>Đá dăm</t>
  </si>
  <si>
    <t>AM11104</t>
  </si>
  <si>
    <t>Đá hộc</t>
  </si>
  <si>
    <t>AM11211</t>
  </si>
  <si>
    <t>Bốc gạch lên</t>
  </si>
  <si>
    <t>AM11212</t>
  </si>
  <si>
    <t>Bốc gạch xuống</t>
  </si>
  <si>
    <t>Xi măng</t>
  </si>
  <si>
    <t>AM11241</t>
  </si>
  <si>
    <t>Bốc lên</t>
  </si>
  <si>
    <t>AM11242</t>
  </si>
  <si>
    <t>Bốc xuống</t>
  </si>
  <si>
    <t>Gỗ các loại</t>
  </si>
  <si>
    <t>AM11251</t>
  </si>
  <si>
    <t>AM11252</t>
  </si>
  <si>
    <t>Sắt thép</t>
  </si>
  <si>
    <t>AM11281</t>
  </si>
  <si>
    <t>AM11282</t>
  </si>
  <si>
    <t>Cấu kiện bê tông</t>
  </si>
  <si>
    <t>AM11601</t>
  </si>
  <si>
    <t>AM11602</t>
  </si>
  <si>
    <t>Công tác vận chuyển, cự ly 10m khởi điểm</t>
  </si>
  <si>
    <t>AM21011</t>
  </si>
  <si>
    <t>AM21021</t>
  </si>
  <si>
    <t>AM21031</t>
  </si>
  <si>
    <t>AM21041</t>
  </si>
  <si>
    <t>AM21051</t>
  </si>
  <si>
    <t>Gạch xây</t>
  </si>
  <si>
    <t>AM21081</t>
  </si>
  <si>
    <t>AM21091</t>
  </si>
  <si>
    <t>AM21121</t>
  </si>
  <si>
    <t>Công tác vận chuyển, cự ly 10m tiếp theo</t>
  </si>
  <si>
    <t>AM21012</t>
  </si>
  <si>
    <t>AM21022</t>
  </si>
  <si>
    <t>AM21032</t>
  </si>
  <si>
    <t>AM21042</t>
  </si>
  <si>
    <t>AM21052</t>
  </si>
  <si>
    <t>AM21082</t>
  </si>
  <si>
    <t>AM21092</t>
  </si>
  <si>
    <t>AM21122</t>
  </si>
  <si>
    <t>Tiếp địa cáp ngầm</t>
  </si>
  <si>
    <t>Đầu cáp ngầm Trung thế 3x50mm2-24kV</t>
  </si>
  <si>
    <t>Mương cáp ngầm - MC1-1 (01 ống HDPE 130/110 đi dưới đất)</t>
  </si>
  <si>
    <t>Chi phí trực tiếp</t>
  </si>
  <si>
    <t>Chi phí gián tiếp</t>
  </si>
  <si>
    <t>1,1% x  T</t>
  </si>
  <si>
    <t>2,5% x  T</t>
  </si>
  <si>
    <t>5,5% x (T+GT)</t>
  </si>
  <si>
    <t>2,2% x  T</t>
  </si>
  <si>
    <t>Gxd4</t>
  </si>
  <si>
    <t>BẢNG TỔNG HỢP CHI PHÍ KHÁC</t>
  </si>
  <si>
    <t>GIÁ TRỊ TRƯỚC THUẾ</t>
  </si>
  <si>
    <t>GIÁ TRỊ SAU THUẾ</t>
  </si>
  <si>
    <t>Chi phí bảo hiểm</t>
  </si>
  <si>
    <t>k1</t>
  </si>
  <si>
    <t>0,002%*Gxd</t>
  </si>
  <si>
    <t>Chi phí thẩm định báo cáo KTKT</t>
  </si>
  <si>
    <t>k2</t>
  </si>
  <si>
    <t>0.019%*TMĐT
(min 500.000)</t>
  </si>
  <si>
    <t>Chi phí thẩm định giá thiết bị</t>
  </si>
  <si>
    <t>k4</t>
  </si>
  <si>
    <t>Chi phí thẩm tra phê duyệt quyết toán</t>
  </si>
  <si>
    <t>k5</t>
  </si>
  <si>
    <t>0,57%*50% TMĐT
(min: 500.000)</t>
  </si>
  <si>
    <t>Chi phí kiểm toán</t>
  </si>
  <si>
    <t>k6</t>
  </si>
  <si>
    <t>0,96%*TMĐT
(min: 1.000.000)</t>
  </si>
  <si>
    <t>Gxd1+Gxd2+Gxd3+Gxd4</t>
  </si>
  <si>
    <t>0%*(I+II+III+IV+V)</t>
  </si>
  <si>
    <t>Thu hồi cáp ngầm</t>
  </si>
  <si>
    <t>ĐƠN GIÁ XDCB CHUYÊN NGÀNH THÍ NGHIỆM ĐIỆN DƯỜNG DÂY VÀ TRẠM BIẾN ÁP</t>
  </si>
  <si>
    <t>(Ban hành kèm theo Thông tư số 05/2023/TT-BCT ngày 16-03-2023 của Bộ trưởng Bộ Công Thương)</t>
  </si>
  <si>
    <t>Danh mục đơn giá</t>
  </si>
  <si>
    <t>Định mức</t>
  </si>
  <si>
    <t>EA.22000</t>
  </si>
  <si>
    <t>THÍ NGHIỆM MÁY BIẾN ÁP U≤ 35KV</t>
  </si>
  <si>
    <t>EA.22100</t>
  </si>
  <si>
    <t>THÍ NGHIỆM MÁY BIẾN ÁP U: 22-35KV</t>
  </si>
  <si>
    <t>Ghi chú:</t>
  </si>
  <si>
    <t>- Đơn giá xác định cho MBA không có điều chỉnh điện áp dưới tải; khi thí nghiệm MBA có điều chỉnh điện áp dưới tải: đơn giá * 1,2</t>
  </si>
  <si>
    <t>- Đơn giá xác định cho MBA lực 3 pha &lt; 35kV có 2 cuộn dây</t>
  </si>
  <si>
    <t>+ Trường hợp thí nghiệm MBA có thêm cuộn dây thứ 3 hoặc đầu trích dự phòng (chuyển đổi điện áp lưới phân phối): đơn giá * 1,1</t>
  </si>
  <si>
    <t>Máy biến áp 3 pha S ≤ 1MVA</t>
  </si>
  <si>
    <t>Dây điện CVV 2x4mm2</t>
  </si>
  <si>
    <t>Dây đồng trần 6mm2</t>
  </si>
  <si>
    <t xml:space="preserve">Hợp bộ thí nghiệm cao áp </t>
  </si>
  <si>
    <t>EA.22120</t>
  </si>
  <si>
    <t>Máy biến áp 3 pha 1MVA &lt; S ≤ 2,5MVA</t>
  </si>
  <si>
    <t>Máy biến áp 3 pha S &gt; 2,5MVA</t>
  </si>
  <si>
    <t>EA.22140</t>
  </si>
  <si>
    <t>Máy biến áp 1 pha ≤ 100KVA</t>
  </si>
  <si>
    <t>EA.22150</t>
  </si>
  <si>
    <t>Máy biến áp 1 pha ≤ 500KVA</t>
  </si>
  <si>
    <t>EA.40000</t>
  </si>
  <si>
    <t>MÁY BIẾN DÒNG ĐIỆN</t>
  </si>
  <si>
    <t>EA.42000</t>
  </si>
  <si>
    <t>THÍ NGHIỆM BIẾN DÒNG ĐIỆN U:≤1KV; ≤15KV ; ≤22-35KV</t>
  </si>
  <si>
    <t>- Đơn giá xác định cho biến dòng đã có 3 cuộn dây nhị thứ, trường hợp thí nghiệm biến dòngcó số cuộn dây nhị thứ &gt; 4: đơn giá * 1,1</t>
  </si>
  <si>
    <t>- Đơn giá xác định cho máy biến dòng điện 1 pha, trường hợp thí nghiệm 3 máy biến dòng điện 1 pha thì từ máy thứ 2 được nhân hệ số 0,8</t>
  </si>
  <si>
    <t>Biến dòng điện ≤ 1KV</t>
  </si>
  <si>
    <t>EB.20000</t>
  </si>
  <si>
    <t>DAO CÁCH LY</t>
  </si>
  <si>
    <t>EB.22000</t>
  </si>
  <si>
    <t>THÍ NGHIỆM DAO CÁCH LY THAO TÁC BẰNG CƠ KHÍ</t>
  </si>
  <si>
    <t>- Đơn giá tính cho dao cách ly không có dao tiếp đất; trường hợp TNDCL có tiếp đất:NC &amp; MTC điều chỉnh 1,1 (cho tiếp đất 1 phía); 1,15 (cho tiếp đất 2 phía)</t>
  </si>
  <si>
    <t xml:space="preserve">- Đơn giá tính cho dao cách ly 3 pha ; trường hợp TN DCL 1 pha: đơn giá * 0,4 </t>
  </si>
  <si>
    <t>- Trường hợp TN dao cắt tải 3 pha: đơn giá * 0,8; cầu chì cao áp 3 pha và cầu chì tự rơi 3 pha (FCO): đơn giá * 0,1</t>
  </si>
  <si>
    <t>Dao cách ly thao tác bằng cơ khí, điện áp ≤35kV 3 pha</t>
  </si>
  <si>
    <r>
      <t>Dây cáp điện 3 pha Cu/XLPE/PVC - 4x50 mm</t>
    </r>
    <r>
      <rPr>
        <vertAlign val="superscript"/>
        <sz val="10"/>
        <color indexed="8"/>
        <rFont val="Arial"/>
        <family val="2"/>
      </rPr>
      <t>2</t>
    </r>
  </si>
  <si>
    <t>EB.71000</t>
  </si>
  <si>
    <t>THÍ NGHIỆM CÁCH ĐIỆN ĐỨNG, TREO (không dùng cho cách điện bằng thuỷ tinh)</t>
  </si>
  <si>
    <t>Qui định áp dụng:</t>
  </si>
  <si>
    <t>- Ngoại trừ các thí nghiệm cách điện do nhà cung cấp (đại lý và NSX) chịu trách nhiệm; đơn giá TN cách điện chỉ áp dụng cho thí nghiệm</t>
  </si>
  <si>
    <t>xác suất các cách điện theo yêu cầu của cấp có thẩm quyền</t>
  </si>
  <si>
    <t>- Đơn giá tính cho TN cách điện treo tại hiện trường với số lượng &lt;=100 bát; trường hợp TN &gt; 100 bát, từ bát 101 được nhân hệ số 0,5</t>
  </si>
  <si>
    <t>- Trường hợp TN cách điện polyme được áp dụng đơn giá trên</t>
  </si>
  <si>
    <t>- Trường hợp thí nghiệm tập trung tại xưởng (phòng) thí nghiệm được nhân hệ số 0,3</t>
  </si>
  <si>
    <t>EB.71010</t>
  </si>
  <si>
    <t>Cách điện đứng, điện áp 3-35kV</t>
  </si>
  <si>
    <t>EB.71030</t>
  </si>
  <si>
    <t>Cách điện treo để rời từng bát</t>
  </si>
  <si>
    <t>bát</t>
  </si>
  <si>
    <t>EB.71060</t>
  </si>
  <si>
    <t>Cách điện treo đã lắp thành chuỗi</t>
  </si>
  <si>
    <t>EB.72000</t>
  </si>
  <si>
    <t>THÍ NGHIỆM CÁCH ĐIỆN XUYÊN</t>
  </si>
  <si>
    <t>- Khi TN cách điện xuyên từ &gt;=1kV đến 15kV sử dụng đơn giá thí nghiệm sứ xuyên 22-35kV; đơn giá vật liệu, nhân công nhân hệ số 0,8</t>
  </si>
  <si>
    <t>đơn giá máy thi công * 0,3 (do không sử dụng  hợp bộ đo tg  )</t>
  </si>
  <si>
    <t>EB.42010</t>
  </si>
  <si>
    <t xml:space="preserve">Cách điện xuyên, điện áp 500kV </t>
  </si>
  <si>
    <t>EB.42020</t>
  </si>
  <si>
    <t xml:space="preserve">Cách điện xuyên, điện áp 220kV </t>
  </si>
  <si>
    <t>EB.42030</t>
  </si>
  <si>
    <t xml:space="preserve">Cách điện xuyên, điện áp 66-110kV </t>
  </si>
  <si>
    <t>EB.42040</t>
  </si>
  <si>
    <t xml:space="preserve">Cách điện xuyên, điện áp 22-35kV </t>
  </si>
  <si>
    <t>EB.80000</t>
  </si>
  <si>
    <t>THÍ NGHIỆM TỤ ĐIỆN</t>
  </si>
  <si>
    <t xml:space="preserve">- Đơn giá xác định thí nghiệm tụ độc lập, trường hợp TN nhiều tụ cùng một hiện trường thì từ tụ thứ 3 đơn giá * 0,6. </t>
  </si>
  <si>
    <t>EB.80010</t>
  </si>
  <si>
    <t>Tụ điện, điện áp &gt;1000 V</t>
  </si>
  <si>
    <t>EB.80020</t>
  </si>
  <si>
    <t>EB.110000</t>
  </si>
  <si>
    <t>THÍ NGHIỆM CÁP LỰC</t>
  </si>
  <si>
    <t>- Bảng đơn giá xác định cho cáp khô 1 ruột:</t>
  </si>
  <si>
    <t>+ Thí nghiệm cáp từ 2 ruột trở lên: NC*1,5</t>
  </si>
  <si>
    <t>+ Thí nghiệm cáp dầu: đơn giá *1,1</t>
  </si>
  <si>
    <t>+ Trường hợp cần thí nghiệm dầu cách điện cho cáp, áp dụng đơn giá tương ứng trong chương 8.</t>
  </si>
  <si>
    <t>- Trường hợp TN cáp dài &gt; 50m mà đầu kia bị khuất: NC*1,05</t>
  </si>
  <si>
    <t>- Trường hợp phải TN màng chắn và chống thấm dọc cho cáp &gt;=35kV thì sử dụng bảng đơn giá tương ứng * 1,5</t>
  </si>
  <si>
    <t>EB.111010</t>
  </si>
  <si>
    <t>Cáp lực, điện áp &lt;1kV, cáp 1 ruột</t>
  </si>
  <si>
    <t>EB.111020</t>
  </si>
  <si>
    <t>EB.114000</t>
  </si>
  <si>
    <t>EB.114000 Thí nghiệm đo phóng điện cục bộ cho cáp lực trong trường hợp cáp lực không mang điện và được tách rời khỏi lưới điện
 (Thí nghiệm đo phóng điện cục bộ PD Off-line cho cáp lực) - PD Off-line - Partial Discharge Off-line</t>
  </si>
  <si>
    <t>3.1 - Trong trường hợp tuyến cáp có nhiều sợi và việc thí nghiệm các sợi này không cần di chuyển máy móc thử nghiệm thì từ sợi thứ 2 áp dụng bảng định mức nhân hệ số 0,80.</t>
  </si>
  <si>
    <t>3.2 - Bảng mức trên xác định cho đoạn cáp lực có chiều dài ≤ 400 m, trong trường hợp tuyến cáp có chiều dài lớn hơn thì ứng với mỗi đoạn 400 m kéo dài thêm sẽ áp dụng bảng định mức nhân hệ số 0,50 (Ví dụ: sợi cáp dưới 400 m nhân hệ số 1,00; sợi cáp từ 400 m đến 800 m nhân hệ số 1,50; sợi cáp hơn 800 m nhân hệ số 2,00</t>
  </si>
  <si>
    <t>3.3 - Đối với cáp điện cấp điện áp ≤ 35 kV có chiều dài ≤ 100 m, áp dụng bảng định mức nhân hệ số 0,1.</t>
  </si>
  <si>
    <t>3.4 - Định mức chưa bao gồm công tác tổ hợp và tháo lắp thiết bị thí nghiệm tạo điện áp xoay chiều tăng cao, khi thực hiện hạng mục này bảng mức được cộng thêm định mức tổ hợp thiết bị tương ứng EI.20000.</t>
  </si>
  <si>
    <t>EB.114010</t>
  </si>
  <si>
    <t>Dây cáp điện 3 pha Cu/XLPE/PVC - 4x50 mm2</t>
  </si>
  <si>
    <t>EB.100000</t>
  </si>
  <si>
    <t>THÍ NGHIỆM ÁPTÔMÁT VÀ KHỞI ĐỘNG TỪ</t>
  </si>
  <si>
    <t>- Đơn giá chỉ sử dụng TN các aptomat độc lập, không sử dụng cho các aptomat nằm trong thiết bị trọn bộ (kể cả trong tủ hợp bộ)</t>
  </si>
  <si>
    <t>- Trường hợp TN aptomat và khởi động từ có động cơ điều khiển và bảo vệ (tương ứng máy cắt hạ thế) được nhân hệ số 1,2</t>
  </si>
  <si>
    <t>- Bảng đơn giá tính cho aptomat và khởi động từ loại 3 pha, trường hợp TN aptomat và khởi động từ 1 pha nhân hệ số 0,4</t>
  </si>
  <si>
    <t>EB.101000</t>
  </si>
  <si>
    <t>THÍ NGHIỆM ÁP TÔMÁT VÀ KHỞI ĐỘNG TỪ &gt; 300A</t>
  </si>
  <si>
    <t>EB.101010</t>
  </si>
  <si>
    <t>Aptômát và khởi động từ, dòng điện 300-500A</t>
  </si>
  <si>
    <t>EB.101020</t>
  </si>
  <si>
    <t>Aptômát và khởi động từ, dòng điện 500-1000A</t>
  </si>
  <si>
    <t>EB.101030</t>
  </si>
  <si>
    <t>Aptômát và khởi động từ, dòng điện 1000-&lt;2000A</t>
  </si>
  <si>
    <t>EB.101040</t>
  </si>
  <si>
    <t>Aptômát và khởi động từ, dòng điện &gt;2000A</t>
  </si>
  <si>
    <t>EB.102000</t>
  </si>
  <si>
    <t>THÍ NGHIỆM ÁPTÔMÁT VÀ KHỞI ĐỘNG TỪ ≤300A</t>
  </si>
  <si>
    <t>EB.102010</t>
  </si>
  <si>
    <t>Aptômát và khởi động từ, dòng điện ≤10A</t>
  </si>
  <si>
    <t>EB.102020</t>
  </si>
  <si>
    <t>Aptômát và khởi động từ, dòng điện 10 - ≤50A</t>
  </si>
  <si>
    <t>EB.102030</t>
  </si>
  <si>
    <t>Aptômát và khởi động từ, dòng điện 50 - ≤100A</t>
  </si>
  <si>
    <t>EB.102040</t>
  </si>
  <si>
    <t>Aptômát và khởi động từ, dòng điện &gt;100A - &lt;300</t>
  </si>
  <si>
    <t>THÍ NGHIỆM CHỐNG SÉT VAN, TIẾP ĐẤT</t>
  </si>
  <si>
    <t>EC.10000</t>
  </si>
  <si>
    <t>CHỐNG SÉT VAN VÀ BỘ ĐẾM</t>
  </si>
  <si>
    <t>- Đơn giá qui định cho 1 bộ chống sét van 1 pha với 3 phần tử, trường hợp TN bộ chống sét van 1 pha có số phần tử &gt; 3</t>
  </si>
  <si>
    <t>sử dụng đơn giá tương ứng *1,1</t>
  </si>
  <si>
    <t>- Đơn giá qui định cho TN 1 bộ chống sét van 1 pha, trường hợp TN 3 bộ 1 pha thì từ bộ thứ 2 được nhân hệ số 0,8</t>
  </si>
  <si>
    <t>EC.11000</t>
  </si>
  <si>
    <t>THÍ NGHIỆM CHỐNG SÉT VAN 22-500KV</t>
  </si>
  <si>
    <t>EC.11010</t>
  </si>
  <si>
    <t>Chống sét van, điện áp 22-35kV, 1 pha</t>
  </si>
  <si>
    <t>EC.20000</t>
  </si>
  <si>
    <t>ĐO ĐIỆN TRỞ TIẾP ĐẤT</t>
  </si>
  <si>
    <t>- Đơn giá xác định cho TN tiếp địa cột thép được tiếp đất tại 2 điểm</t>
  </si>
  <si>
    <t>- Đơn giá qui định với địa hình bình thường, khi địa hình đồi núi có độ dốc &gt;=25 độ hoặc sình lầy ngập nước: NC*1,1</t>
  </si>
  <si>
    <t>EC.21000</t>
  </si>
  <si>
    <t>THÍ NGHIỆM TIẾP ĐẤT TRẠM BIẾN ÁP</t>
  </si>
  <si>
    <t>EC.21010</t>
  </si>
  <si>
    <t>Dây điện CV 1x4mm2</t>
  </si>
  <si>
    <t>EC.22000</t>
  </si>
  <si>
    <t>THÍ NGHIỆM TIẾP ĐẤT CỦA CỘT ĐIỆN, CỘT THU LÔI</t>
  </si>
  <si>
    <t>Cột điện, cột thu lôi bằng thép</t>
  </si>
  <si>
    <t>Dây điện CV 1x6mm2</t>
  </si>
  <si>
    <t>Cột điện, cột thu lôi bằng bê tông</t>
  </si>
  <si>
    <t>TRẠM BIẾN ÁP DI DỜI (PHẦN LẮP ĐẶT THIẾT BỊ)</t>
  </si>
  <si>
    <t xml:space="preserve">      + Nhân công lắp đặt</t>
  </si>
  <si>
    <t xml:space="preserve">      + Máy thi công lắp đặt</t>
  </si>
  <si>
    <t>1,1% x T</t>
  </si>
  <si>
    <t>2% x T</t>
  </si>
  <si>
    <t>T+C+TL</t>
  </si>
  <si>
    <t>Gldtbadd</t>
  </si>
  <si>
    <t>TRẠM BIẾN ÁP DI DỜI (PHẦN THÍ NGHIỆM THIẾT BỊ)</t>
  </si>
  <si>
    <t xml:space="preserve">      + Nhân công thí nghiệm</t>
  </si>
  <si>
    <t xml:space="preserve">      + Máy thi công thí nghiệm</t>
  </si>
  <si>
    <t>Gtnhctbadd</t>
  </si>
  <si>
    <t>Chi phí lắp đặt thiết bị</t>
  </si>
  <si>
    <t>Gtb1+Gtb2</t>
  </si>
  <si>
    <t>Chi phí thí nghiệm thiết bị</t>
  </si>
  <si>
    <t>Gtb2</t>
  </si>
  <si>
    <t>Đầu cáp ngầm trung thế</t>
  </si>
  <si>
    <t>a1+a2</t>
  </si>
  <si>
    <t>Chi phí xây dựng đường dây trung thế ngầm(Phần điện)</t>
  </si>
  <si>
    <t>Chi phí xây dựng đường dây trung thế ngầm(Phần XD)</t>
  </si>
  <si>
    <t>Chi phí xây dựng đường dây hạ thế ngầm(Phần điện)</t>
  </si>
  <si>
    <t>Chi phí xây dựng đường dây hạ thế ngầm(Phần XD)</t>
  </si>
  <si>
    <t>Chi phí xây dựng trạm biến áp</t>
  </si>
  <si>
    <t>Gxd5</t>
  </si>
  <si>
    <t>BẢNG 2</t>
  </si>
  <si>
    <t>Bảng 3.1</t>
  </si>
  <si>
    <t>Bảng 3.2</t>
  </si>
  <si>
    <t>Bảng 4.1</t>
  </si>
  <si>
    <t>Bảng 4.2</t>
  </si>
  <si>
    <t>Bảng 5.1a</t>
  </si>
  <si>
    <t>Bảng 5.1b</t>
  </si>
  <si>
    <t>BẢNG 5.1a</t>
  </si>
  <si>
    <t>BẢNG 5.1b</t>
  </si>
  <si>
    <t>BẢNG 4.1</t>
  </si>
  <si>
    <t>BÀNG 4.2</t>
  </si>
  <si>
    <t>CÔNG TRÌNH:XÂY DỰNG TƯỜNG RÀO VÀ CÁC HẠNG MỤC ẢNH HƯỞNG DO THI CÔNG CÔNG TRÌNH ĐƯỜNG PHÍA BẮC BỆNH VIỆN BÀ RỊA TẠI TRƯỜNG TRUNG CẤP Y TẾ</t>
  </si>
  <si>
    <t>HẠNG MỤC CÔNG TRÌNH: DI DỜI ĐƯỜNG DÂY CÁP VÀ TRẠM BIẾN ÁP</t>
  </si>
  <si>
    <t>BẢNG 4.3</t>
  </si>
  <si>
    <t>BẢNG 4.4</t>
  </si>
  <si>
    <t>Chi phí thẩm định thiết kê, dự toán, thiết bị áp dụng theo Thông tư số 28/2023/TT-BTC ngày 12/05/2023 của Bộ Tài Chính</t>
  </si>
  <si>
    <t>0,549%*45%*(Gxd+Gtb)</t>
  </si>
  <si>
    <t>0,549%*55%*(Gxd+Gtb)</t>
  </si>
  <si>
    <t>CÔNG TRÌNH: XÂY DỰNG TƯỜNG RÀO VÀ CÁC HẠNG MỤC ẢNH HƯỞNG DO THI CÔNG CÔNG TRÌNH ĐƯỜNG PHÍA BẮC BỆNH VIỆN BÀ RỊA TẠI TRƯỜNG TRUNG CẤP Y TẾ</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</si>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</sst>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0.00\ &quot;₫&quot;;[Red]\-#,##0.00\ &quot;₫&quot;"/>
    <numFmt numFmtId="164" formatCode="_(&quot;$&quot;* #,##0_);_(&quot;$&quot;* \(#,##0\);_(&quot;$&quot;* &quot;-&quot;_);_(@_)"/>
    <numFmt numFmtId="165" formatCode="_(* #,##0_);_(* \(#,##0\);_(* &quot;-&quot;_);_(@_)"/>
    <numFmt numFmtId="166" formatCode="_(* #,##0.00_);_(* \(#,##0.00\);_(* &quot;-&quot;??_);_(@_)"/>
    <numFmt numFmtId="167" formatCode="_(* #,##0_);_(* \(#,##0\);_(* &quot;-&quot;??_);_(@_)"/>
    <numFmt numFmtId="168" formatCode="0.000"/>
    <numFmt numFmtId="169" formatCode="_(* #,##0.000_);_(* \(#,##0.000\);_(* &quot;-&quot;??_);_(@_)"/>
    <numFmt numFmtId="170" formatCode="_(* #,##0.0_);_(* \(#,##0.0\);_(* &quot;-&quot;??_);_(@_)"/>
    <numFmt numFmtId="171" formatCode="#,##0.00000"/>
    <numFmt numFmtId="172" formatCode="_(* #,##0.0000_);_(* \(#,##0.0000\);_(* &quot;-&quot;??_);_(@_)"/>
    <numFmt numFmtId="173" formatCode="_(* #,##0.000_);_(* \(#,##0.000\);_(* &quot;-&quot;???_);_(@_)"/>
    <numFmt numFmtId="174" formatCode="#,##0.0"/>
    <numFmt numFmtId="175" formatCode="_(* #,##0.0_);_(* \(#,##0.0\);_(* &quot;-&quot;?_);_(@_)"/>
    <numFmt numFmtId="176" formatCode="_-* #,##0\ _₫_-;\-* #,##0\ _₫_-;_-* &quot;-&quot;??\ _₫_-;_-@_-"/>
    <numFmt numFmtId="177" formatCode="0;\-0;;@"/>
    <numFmt numFmtId="178" formatCode="0.0;\-0.0;;@"/>
    <numFmt numFmtId="179" formatCode="_-&quot;ñ&quot;* #,##0_-;\-&quot;ñ&quot;* #,##0_-;_-&quot;ñ&quot;* &quot;-&quot;_-;_-@_-"/>
    <numFmt numFmtId="180" formatCode="_-&quot;$&quot;\ * #,##0.00_-;\-&quot;$&quot;\ * #,##0.00_-;_-&quot;$&quot;\ * &quot;-&quot;??_-;_-@_-"/>
    <numFmt numFmtId="181" formatCode="&quot;\&quot;#,##0;[Red]&quot;\&quot;&quot;\&quot;\-#,##0"/>
    <numFmt numFmtId="182" formatCode="_ * #,##0.00_ ;_ * \-#,##0.00_ ;_ * &quot;-&quot;??_ ;_ @_ "/>
    <numFmt numFmtId="183" formatCode="_ * #,##0_ ;_ * \-#,##0_ ;_ * &quot;-&quot;_ ;_ @_ "/>
    <numFmt numFmtId="184" formatCode="_-* #,##0_-;\-* #,##0_-;_-* &quot;-&quot;_-;_-@_-"/>
    <numFmt numFmtId="185" formatCode="_-&quot;$&quot;\ * #,##0_-;\-&quot;$&quot;\ * #,##0_-;_-&quot;$&quot;\ * &quot;-&quot;_-;_-@_-"/>
    <numFmt numFmtId="186" formatCode="_-&quot;$&quot;* #,##0_-;\-&quot;$&quot;* #,##0_-;_-&quot;$&quot;* &quot;-&quot;_-;_-@_-"/>
    <numFmt numFmtId="187" formatCode="_-* #,##0.00_-;\-* #,##0.00_-;_-* &quot;-&quot;??_-;_-@_-"/>
    <numFmt numFmtId="188" formatCode="_-* #,##0.00\ _F_-;\-* #,##0.00\ _F_-;_-* &quot;-&quot;??\ _F_-;_-@_-"/>
    <numFmt numFmtId="189" formatCode="_-* #,##0.00\ _ñ_-;\-* #,##0.00\ _ñ_-;_-* &quot;-&quot;??\ _ñ_-;_-@_-"/>
    <numFmt numFmtId="190" formatCode="_-* #,##0.00000000_-;\-* #,##0.00000000_-;_-* &quot;-&quot;??_-;_-@_-"/>
    <numFmt numFmtId="191" formatCode="_-* #,##0\ &quot;F&quot;_-;\-* #,##0\ &quot;F&quot;_-;_-* &quot;-&quot;\ &quot;F&quot;_-;_-@_-"/>
    <numFmt numFmtId="192" formatCode="_-* #,##0\ &quot;ñ&quot;_-;\-* #,##0\ &quot;ñ&quot;_-;_-* &quot;-&quot;\ &quot;ñ&quot;_-;_-@_-"/>
    <numFmt numFmtId="193" formatCode="_-* #,##0\ _F_-;\-* #,##0\ _F_-;_-* &quot;-&quot;\ _F_-;_-@_-"/>
    <numFmt numFmtId="194" formatCode="_-* #,##0\ _ñ_-;\-* #,##0\ _ñ_-;_-* &quot;-&quot;\ _ñ_-;_-@_-"/>
    <numFmt numFmtId="195" formatCode="_-&quot;F&quot;* #,##0_-;\-&quot;F&quot;* #,##0_-;_-&quot;F&quot;* &quot;-&quot;_-;_-@_-"/>
    <numFmt numFmtId="196" formatCode="_-* #,##0.00\ &quot;F&quot;_-;\-* #,##0.00\ &quot;F&quot;_-;_-* &quot;-&quot;??\ &quot;F&quot;_-;_-@_-"/>
    <numFmt numFmtId="197" formatCode="#,##0.00\ &quot;$&quot;_);\(#,##0.00\ &quot;$&quot;\)"/>
    <numFmt numFmtId="198" formatCode="_ * #,##0.00_)_d_ ;_ * \(#,##0.00\)_d_ ;_ * &quot;-&quot;??_)_d_ ;_ @_ "/>
    <numFmt numFmtId="199" formatCode="#,###"/>
    <numFmt numFmtId="200" formatCode="#,##0\ &quot;$&quot;_);[Red]\(#,##0\ &quot;$&quot;\)"/>
    <numFmt numFmtId="201" formatCode="&quot;$&quot;###,0&quot;.&quot;00_);[Red]\(&quot;$&quot;###,0&quot;.&quot;00\)"/>
    <numFmt numFmtId="202" formatCode="0.00_)"/>
    <numFmt numFmtId="203" formatCode="#,##0.00\ &quot;F&quot;;[Red]\-#,##0.00\ &quot;F&quot;"/>
    <numFmt numFmtId="204" formatCode="#,##0\ &quot;F&quot;;[Red]\-#,##0\ &quot;F&quot;"/>
    <numFmt numFmtId="205" formatCode="#,##0.00\ &quot;F&quot;;\-#,##0.00\ &quot;F&quot;"/>
    <numFmt numFmtId="206" formatCode="_-&quot;£&quot;* #,##0_-;\-&quot;£&quot;* #,##0_-;_-&quot;£&quot;* &quot;-&quot;_-;_-@_-"/>
    <numFmt numFmtId="207" formatCode="_-&quot;£&quot;* #,##0.00_-;\-&quot;£&quot;* #,##0.00_-;_-&quot;£&quot;* &quot;-&quot;??_-;_-@_-"/>
    <numFmt numFmtId="208" formatCode="#,##0.00\ &quot;PTA&quot;;\-#,##0.00\ &quot;PTA&quot;"/>
    <numFmt numFmtId="209" formatCode="#,##0\ &quot;PTA&quot;;\-#,##0\ &quot;PTA&quot;"/>
    <numFmt numFmtId="210" formatCode="&quot;$&quot;#,##0;[Red]\-&quot;$&quot;#,##0"/>
    <numFmt numFmtId="211" formatCode="_-&quot;$&quot;* #,##0.00_-;\-&quot;$&quot;* #,##0.00_-;_-&quot;$&quot;* &quot;-&quot;??_-;_-@_-"/>
    <numFmt numFmtId="212" formatCode="_-* ###,0&quot;.&quot;00_-;\-* ###,0&quot;.&quot;00_-;_-* &quot;-&quot;??_-;_-@_-"/>
    <numFmt numFmtId="213" formatCode="_(* ###,0&quot;.&quot;00_);_(* \(###,0&quot;.&quot;00\);_(* &quot;-&quot;??_);_(@_)"/>
    <numFmt numFmtId="214" formatCode="_-* ###,0&quot;.&quot;00,000,000_-;\-* ###,0&quot;.&quot;00,000,000_-;_-* &quot;-&quot;??_-;_-@_-"/>
    <numFmt numFmtId="215" formatCode="###,0&quot;.&quot;00\ &quot;F&quot;;[Red]\-###,0&quot;.&quot;00\ &quot;F&quot;"/>
    <numFmt numFmtId="216" formatCode="_(* ##,#0&quot;.&quot;0_);_(* \(##,#0&quot;.&quot;0\);_(* &quot;-&quot;?_);_(@_)"/>
    <numFmt numFmtId="217" formatCode="000,000"/>
    <numFmt numFmtId="218" formatCode="#,##0.000_ ;\-#,##0.000\ "/>
    <numFmt numFmtId="219" formatCode="#,##0_ ;\-#,##0\ "/>
    <numFmt numFmtId="220" formatCode="#,##0.0000"/>
    <numFmt numFmtId="221" formatCode="0000"/>
    <numFmt numFmtId="222" formatCode="000"/>
    <numFmt numFmtId="223" formatCode="#,##0.000"/>
  </numFmts>
  <fonts count="181">
    <font>
      <sz val="11"/>
      <color theme="1"/>
      <name val="Calibri"/>
      <family val="2"/>
      <scheme val="minor"/>
    </font>
    <font>
      <sz val="11"/>
      <color theme="1"/>
      <name val="Calibri"/>
      <family val="2"/>
      <scheme val="minor"/>
    </font>
    <font>
      <sz val="10"/>
      <name val="Times New Roman"/>
      <family val="1"/>
    </font>
    <font>
      <sz val="12"/>
      <name val="Times New Roman"/>
      <family val="1"/>
    </font>
    <font>
      <b/>
      <sz val="10"/>
      <name val="Times New Roman"/>
      <family val="1"/>
    </font>
    <font>
      <sz val="10"/>
      <name val="Arial"/>
      <family val="2"/>
    </font>
    <font>
      <b/>
      <sz val="12"/>
      <name val="Times New Roman"/>
      <family val="1"/>
    </font>
    <font>
      <sz val="11"/>
      <color theme="1"/>
      <name val="Arial"/>
      <family val="2"/>
    </font>
    <font>
      <sz val="12"/>
      <name val=".VnTime"/>
      <family val="2"/>
    </font>
    <font>
      <sz val="11"/>
      <color indexed="8"/>
      <name val="Arial"/>
      <family val="2"/>
    </font>
    <font>
      <sz val="11"/>
      <name val="Times New Roman"/>
      <family val="1"/>
    </font>
    <font>
      <b/>
      <sz val="10"/>
      <name val="Arial"/>
      <family val="2"/>
    </font>
    <font>
      <sz val="12"/>
      <name val="VNI-Times"/>
    </font>
    <font>
      <sz val="11"/>
      <color indexed="8"/>
      <name val="Calibri"/>
      <family val="2"/>
    </font>
    <font>
      <sz val="11"/>
      <name val="Calibri"/>
      <family val="2"/>
      <scheme val="minor"/>
    </font>
    <font>
      <sz val="12"/>
      <name val="Symbol"/>
      <family val="1"/>
      <charset val="2"/>
    </font>
    <font>
      <sz val="10"/>
      <name val="Arial"/>
      <family val="2"/>
    </font>
    <font>
      <b/>
      <sz val="11"/>
      <name val="Times New Roman"/>
      <family val="1"/>
    </font>
    <font>
      <b/>
      <sz val="13"/>
      <name val="Times New Roman"/>
      <family val="1"/>
    </font>
    <font>
      <b/>
      <i/>
      <sz val="11"/>
      <name val="Times New Roman"/>
      <family val="1"/>
    </font>
    <font>
      <b/>
      <sz val="13"/>
      <name val="Arial"/>
      <family val="2"/>
    </font>
    <font>
      <i/>
      <sz val="11"/>
      <name val="Times New Roman"/>
      <family val="1"/>
    </font>
    <font>
      <sz val="10"/>
      <name val="Calibri Light"/>
      <family val="1"/>
      <scheme val="major"/>
    </font>
    <font>
      <sz val="11"/>
      <name val="Arial"/>
      <family val="2"/>
    </font>
    <font>
      <sz val="12"/>
      <name val="Times New Roman"/>
      <family val="1"/>
    </font>
    <font>
      <b/>
      <i/>
      <sz val="10"/>
      <name val="Times New Roman"/>
      <family val="1"/>
    </font>
    <font>
      <b/>
      <sz val="14"/>
      <name val="Times New Roman"/>
      <family val="1"/>
    </font>
    <font>
      <i/>
      <sz val="12"/>
      <name val="Times New Roman"/>
      <family val="1"/>
    </font>
    <font>
      <sz val="12"/>
      <color rgb="FF0000CC"/>
      <name val="Times New Roman"/>
      <family val="1"/>
    </font>
    <font>
      <sz val="11"/>
      <color rgb="FF0000CC"/>
      <name val="Times New Roman"/>
      <family val="1"/>
    </font>
    <font>
      <sz val="11"/>
      <color rgb="FF0000CC"/>
      <name val="Calibri"/>
      <family val="2"/>
      <scheme val="minor"/>
    </font>
    <font>
      <b/>
      <sz val="10"/>
      <color rgb="FF0000CC"/>
      <name val="Arial"/>
      <family val="2"/>
    </font>
    <font>
      <b/>
      <sz val="12"/>
      <color rgb="FF0000CC"/>
      <name val="Times New Roman"/>
      <family val="1"/>
    </font>
    <font>
      <sz val="10"/>
      <color rgb="FF0000CC"/>
      <name val="Arial"/>
      <family val="2"/>
    </font>
    <font>
      <sz val="13"/>
      <color theme="1"/>
      <name val="Times New Roman"/>
      <family val="1"/>
    </font>
    <font>
      <i/>
      <sz val="11"/>
      <color rgb="FF0000CC"/>
      <name val="Times New Roman"/>
      <family val="1"/>
    </font>
    <font>
      <sz val="8"/>
      <name val="Calibri"/>
      <family val="2"/>
      <scheme val="minor"/>
    </font>
    <font>
      <sz val="12"/>
      <color rgb="FF0000CC"/>
      <name val="Symbol"/>
      <family val="1"/>
      <charset val="2"/>
    </font>
    <font>
      <sz val="12"/>
      <color rgb="FF000000"/>
      <name val="Times New Roman"/>
      <family val="1"/>
    </font>
    <font>
      <b/>
      <sz val="11"/>
      <color theme="1"/>
      <name val="Calibri"/>
      <family val="2"/>
      <scheme val="minor"/>
    </font>
    <font>
      <b/>
      <sz val="11"/>
      <name val="Calibri"/>
      <family val="2"/>
      <scheme val="minor"/>
    </font>
    <font>
      <sz val="10"/>
      <name val="Arial"/>
      <family val="2"/>
      <charset val="163"/>
    </font>
    <font>
      <sz val="10"/>
      <name val="Times New Roman"/>
      <family val="1"/>
      <charset val="163"/>
    </font>
    <font>
      <b/>
      <sz val="10"/>
      <color rgb="FF0000CC"/>
      <name val="Times New Roman"/>
      <family val="1"/>
    </font>
    <font>
      <sz val="10"/>
      <color rgb="FF0000CC"/>
      <name val="Times New Roman"/>
      <family val="1"/>
    </font>
    <font>
      <i/>
      <sz val="10"/>
      <color rgb="FF0000CC"/>
      <name val="Times New Roman"/>
      <family val="1"/>
    </font>
    <font>
      <b/>
      <i/>
      <sz val="10"/>
      <color rgb="FF0000CC"/>
      <name val="Times New Roman"/>
      <family val="1"/>
    </font>
    <font>
      <sz val="12"/>
      <color rgb="FFFF33CC"/>
      <name val="Times New Roman"/>
      <family val="1"/>
    </font>
    <font>
      <sz val="12"/>
      <color rgb="FFFF0000"/>
      <name val="Times New Roman"/>
      <family val="1"/>
    </font>
    <font>
      <sz val="10"/>
      <color rgb="FF000000"/>
      <name val="Arial"/>
      <family val="2"/>
    </font>
    <font>
      <b/>
      <sz val="10"/>
      <color rgb="FF000000"/>
      <name val="Arial"/>
      <family val="2"/>
    </font>
    <font>
      <b/>
      <sz val="12"/>
      <color rgb="FF000000"/>
      <name val="Times New Roman"/>
      <family val="1"/>
    </font>
    <font>
      <sz val="13"/>
      <name val="Times New Roman"/>
      <family val="1"/>
    </font>
    <font>
      <sz val="11"/>
      <name val="VNI-Times"/>
    </font>
    <font>
      <vertAlign val="subscript"/>
      <sz val="12"/>
      <name val="Times New Roman"/>
      <family val="1"/>
    </font>
    <font>
      <b/>
      <sz val="12"/>
      <color indexed="56"/>
      <name val="Times New Roman"/>
      <family val="1"/>
    </font>
    <font>
      <b/>
      <sz val="11"/>
      <color indexed="12"/>
      <name val="Arial"/>
      <family val="2"/>
    </font>
    <font>
      <sz val="11"/>
      <color rgb="FFFF0000"/>
      <name val="Times New Roman"/>
      <family val="1"/>
    </font>
    <font>
      <sz val="10"/>
      <color indexed="56"/>
      <name val="Arial"/>
      <family val="2"/>
    </font>
    <font>
      <b/>
      <sz val="11"/>
      <color indexed="12"/>
      <name val="Times New Roman"/>
      <family val="1"/>
    </font>
    <font>
      <sz val="12"/>
      <color indexed="56"/>
      <name val="Times New Roman"/>
      <family val="1"/>
    </font>
    <font>
      <b/>
      <sz val="9"/>
      <color indexed="10"/>
      <name val="Times New Roman"/>
      <family val="1"/>
    </font>
    <font>
      <sz val="11"/>
      <color rgb="FFFF0000"/>
      <name val="Calibri"/>
      <family val="2"/>
      <scheme val="minor"/>
    </font>
    <font>
      <i/>
      <sz val="12"/>
      <color rgb="FF0000CC"/>
      <name val="Times New Roman"/>
      <family val="1"/>
    </font>
    <font>
      <sz val="13"/>
      <name val="Calibri"/>
      <family val="2"/>
      <scheme val="minor"/>
    </font>
    <font>
      <sz val="12"/>
      <color indexed="8"/>
      <name val="VNI-Times"/>
    </font>
    <font>
      <b/>
      <sz val="15"/>
      <name val="Times New Roman"/>
      <family val="1"/>
    </font>
    <font>
      <b/>
      <sz val="12"/>
      <name val="VNI-Times"/>
    </font>
    <font>
      <b/>
      <i/>
      <sz val="12"/>
      <name val="Times New Roman"/>
      <family val="1"/>
    </font>
    <font>
      <sz val="13"/>
      <color rgb="FF0000CC"/>
      <name val="Times New Roman"/>
      <family val="1"/>
    </font>
    <font>
      <sz val="10"/>
      <color theme="1"/>
      <name val="Times New Roman"/>
      <family val="1"/>
    </font>
    <font>
      <b/>
      <sz val="12"/>
      <color theme="1"/>
      <name val="Times New Roman"/>
      <family val="1"/>
    </font>
    <font>
      <sz val="12"/>
      <color theme="1"/>
      <name val="Times New Roman"/>
      <family val="1"/>
    </font>
    <font>
      <b/>
      <sz val="10"/>
      <color theme="1"/>
      <name val="Times New Roman"/>
      <family val="1"/>
    </font>
    <font>
      <b/>
      <sz val="9"/>
      <name val="Times New Roman"/>
      <family val="1"/>
    </font>
    <font>
      <sz val="9"/>
      <name val="Times New Roman"/>
      <family val="1"/>
    </font>
    <font>
      <b/>
      <sz val="10"/>
      <name val="Times New Roman"/>
      <family val="1"/>
      <charset val="163"/>
    </font>
    <font>
      <b/>
      <sz val="18"/>
      <name val="Times New Roman"/>
      <family val="1"/>
    </font>
    <font>
      <sz val="11"/>
      <color theme="1"/>
      <name val="Times New Roman"/>
      <family val="1"/>
    </font>
    <font>
      <b/>
      <sz val="11"/>
      <color theme="1"/>
      <name val="Times New Roman"/>
      <family val="1"/>
    </font>
    <font>
      <sz val="11"/>
      <color theme="1"/>
      <name val="Calibri"/>
      <family val="2"/>
      <charset val="163"/>
      <scheme val="minor"/>
    </font>
    <font>
      <sz val="11"/>
      <name val="Arial"/>
      <family val="2"/>
      <charset val="163"/>
    </font>
    <font>
      <b/>
      <sz val="11"/>
      <name val="Arial"/>
      <family val="2"/>
      <charset val="163"/>
    </font>
    <font>
      <sz val="10"/>
      <name val=".VnArial"/>
      <family val="2"/>
    </font>
    <font>
      <sz val="12"/>
      <name val="????"/>
      <charset val="136"/>
    </font>
    <font>
      <sz val="11"/>
      <name val="??"/>
      <family val="3"/>
      <charset val="129"/>
    </font>
    <font>
      <sz val="10"/>
      <name val="???"/>
      <family val="3"/>
      <charset val="129"/>
    </font>
    <font>
      <sz val="12"/>
      <name val="|??¢¥¢¬¨Ï"/>
      <family val="1"/>
      <charset val="129"/>
    </font>
    <font>
      <sz val="10"/>
      <name val="VNI-Times"/>
    </font>
    <font>
      <sz val="12"/>
      <name val="VNI-Helve"/>
    </font>
    <font>
      <b/>
      <u/>
      <sz val="14"/>
      <color indexed="8"/>
      <name val=".VnBook-AntiquaH"/>
      <family val="2"/>
    </font>
    <font>
      <sz val="16"/>
      <name val="VNarial"/>
      <family val="2"/>
    </font>
    <font>
      <b/>
      <i/>
      <sz val="10"/>
      <name val=".VnTimeH"/>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name val="µ¸¿ò"/>
      <charset val="129"/>
    </font>
    <font>
      <sz val="12"/>
      <name val="¹UAAA¼"/>
      <family val="3"/>
      <charset val="129"/>
    </font>
    <font>
      <sz val="12"/>
      <name val="¹ÙÅÁÃ¼"/>
      <charset val="129"/>
    </font>
    <font>
      <sz val="14"/>
      <name val="VNI-Times"/>
    </font>
    <font>
      <b/>
      <sz val="10"/>
      <name val="Helv"/>
    </font>
    <font>
      <b/>
      <sz val="10"/>
      <name val="Helv"/>
      <family val="2"/>
    </font>
    <font>
      <sz val="11"/>
      <color indexed="8"/>
      <name val="Arial"/>
      <family val="2"/>
      <charset val="163"/>
    </font>
    <font>
      <sz val="11"/>
      <name val="VNtimes new roman"/>
      <family val="2"/>
    </font>
    <font>
      <sz val="10"/>
      <name val="MS Sans Serif"/>
      <family val="2"/>
    </font>
    <font>
      <i/>
      <sz val="10"/>
      <name val="Times New Roman"/>
      <family val="1"/>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color indexed="12"/>
      <name val="VNlucida sans"/>
      <family val="2"/>
    </font>
    <font>
      <b/>
      <sz val="16"/>
      <name val="VNlucida sans"/>
      <family val="2"/>
    </font>
    <font>
      <b/>
      <sz val="14"/>
      <color indexed="14"/>
      <name val="VNottawa"/>
      <family val="2"/>
    </font>
    <font>
      <b/>
      <sz val="16"/>
      <color indexed="14"/>
      <name val="VNottawa"/>
      <family val="2"/>
    </font>
    <font>
      <sz val="8"/>
      <name val="Arial"/>
      <family val="2"/>
    </font>
    <font>
      <b/>
      <sz val="12"/>
      <name val="Helv"/>
    </font>
    <font>
      <b/>
      <sz val="12"/>
      <name val="Helv"/>
      <family val="2"/>
    </font>
    <font>
      <b/>
      <sz val="12"/>
      <name val="Arial"/>
      <family val="2"/>
    </font>
    <font>
      <b/>
      <sz val="11"/>
      <name val="Helv"/>
    </font>
    <font>
      <b/>
      <sz val="11"/>
      <name val="Helv"/>
      <family val="2"/>
    </font>
    <font>
      <sz val="10"/>
      <name val=".VnAvant"/>
      <family val="2"/>
    </font>
    <font>
      <sz val="12"/>
      <name val="Arial"/>
      <family val="2"/>
    </font>
    <font>
      <b/>
      <i/>
      <sz val="16"/>
      <name val="Helv"/>
    </font>
    <font>
      <u/>
      <sz val="10"/>
      <color indexed="12"/>
      <name val="Arial"/>
      <family val="2"/>
    </font>
    <font>
      <sz val="10"/>
      <name val=".VnTime"/>
      <family val="2"/>
    </font>
    <font>
      <sz val="10"/>
      <name val="Symbol"/>
      <family val="1"/>
      <charset val="2"/>
    </font>
    <font>
      <sz val="13"/>
      <name val=".VnTime"/>
      <family val="2"/>
    </font>
    <font>
      <sz val="9"/>
      <name val="VNswitzerlandCondensed"/>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VNtimes new roman"/>
      <family val="2"/>
    </font>
    <font>
      <sz val="10"/>
      <name val="굴림체"/>
      <family val="3"/>
      <charset val="129"/>
    </font>
    <font>
      <sz val="9"/>
      <name val="Arial"/>
      <family val="2"/>
    </font>
    <font>
      <sz val="12"/>
      <name val="Courier"/>
      <family val="3"/>
    </font>
    <font>
      <sz val="10"/>
      <name val="VNI-Aptima"/>
    </font>
    <font>
      <b/>
      <sz val="12"/>
      <name val="VN-NTime"/>
    </font>
    <font>
      <sz val="10"/>
      <name val="VNI-Helve"/>
    </font>
    <font>
      <sz val="10"/>
      <name val="Times New Roman"/>
      <family val="2"/>
    </font>
    <font>
      <b/>
      <sz val="18"/>
      <color theme="1"/>
      <name val="Times New Roman"/>
      <family val="1"/>
    </font>
    <font>
      <b/>
      <sz val="12"/>
      <color indexed="10"/>
      <name val="Times New Roman"/>
      <family val="1"/>
    </font>
    <font>
      <i/>
      <sz val="12"/>
      <color indexed="10"/>
      <name val="Times New Roman"/>
      <family val="1"/>
    </font>
    <font>
      <sz val="12"/>
      <color indexed="8"/>
      <name val="Times New Roman"/>
      <family val="1"/>
    </font>
    <font>
      <b/>
      <vertAlign val="subscript"/>
      <sz val="12"/>
      <name val="Times New Roman"/>
      <family val="1"/>
    </font>
    <font>
      <sz val="12"/>
      <name val="Calibri"/>
      <family val="2"/>
    </font>
    <font>
      <i/>
      <sz val="12"/>
      <color theme="1"/>
      <name val="Times New Roman"/>
      <family val="1"/>
    </font>
    <font>
      <b/>
      <sz val="16"/>
      <color indexed="12"/>
      <name val="Times New Roman"/>
      <family val="1"/>
    </font>
    <font>
      <b/>
      <sz val="16"/>
      <color indexed="10"/>
      <name val="Times New Roman"/>
      <family val="1"/>
    </font>
    <font>
      <sz val="12"/>
      <color indexed="10"/>
      <name val="Times New Roman"/>
      <family val="1"/>
    </font>
    <font>
      <b/>
      <sz val="12"/>
      <color indexed="12"/>
      <name val="Times New Roman"/>
      <family val="1"/>
    </font>
    <font>
      <b/>
      <sz val="12"/>
      <color rgb="FFFF0000"/>
      <name val="Times New Roman"/>
      <family val="1"/>
    </font>
    <font>
      <b/>
      <i/>
      <sz val="12"/>
      <color indexed="12"/>
      <name val="Times New Roman"/>
      <family val="1"/>
    </font>
    <font>
      <sz val="12"/>
      <color indexed="12"/>
      <name val="Times New Roman"/>
      <family val="1"/>
    </font>
    <font>
      <b/>
      <i/>
      <sz val="12"/>
      <color indexed="10"/>
      <name val="Times New Roman"/>
      <family val="1"/>
    </font>
    <font>
      <sz val="12"/>
      <color theme="8" tint="-0.499984740745262"/>
      <name val="Times New Roman"/>
      <family val="1"/>
    </font>
    <font>
      <sz val="12"/>
      <color indexed="18"/>
      <name val="Times New Roman"/>
      <family val="1"/>
    </font>
    <font>
      <i/>
      <sz val="12"/>
      <color indexed="12"/>
      <name val="Times New Roman"/>
      <family val="1"/>
    </font>
    <font>
      <b/>
      <sz val="16"/>
      <name val="Times New Roman"/>
      <family val="1"/>
    </font>
    <font>
      <b/>
      <sz val="10"/>
      <color indexed="10"/>
      <name val="Arial"/>
      <family val="2"/>
    </font>
    <font>
      <b/>
      <sz val="16"/>
      <color rgb="FFFF0000"/>
      <name val="Times New Roman"/>
      <family val="1"/>
    </font>
    <font>
      <i/>
      <sz val="11"/>
      <color theme="1"/>
      <name val="Times New Roman"/>
      <family val="1"/>
    </font>
    <font>
      <sz val="11"/>
      <color indexed="8"/>
      <name val="Times New Roman"/>
      <family val="1"/>
    </font>
    <font>
      <b/>
      <sz val="11"/>
      <color indexed="8"/>
      <name val="Times New Roman"/>
      <family val="1"/>
    </font>
    <font>
      <b/>
      <sz val="11"/>
      <color rgb="FFFF0000"/>
      <name val="Times New Roman"/>
      <family val="1"/>
    </font>
    <font>
      <vertAlign val="superscript"/>
      <sz val="11"/>
      <color indexed="8"/>
      <name val="Times New Roman"/>
      <family val="1"/>
    </font>
    <font>
      <b/>
      <sz val="10"/>
      <color indexed="27"/>
      <name val="Times New Roman"/>
      <family val="1"/>
    </font>
    <font>
      <b/>
      <sz val="15"/>
      <color indexed="8"/>
      <name val="Calibri"/>
      <family val="2"/>
    </font>
    <font>
      <sz val="12"/>
      <color indexed="10"/>
      <name val="Calibri"/>
      <family val="2"/>
    </font>
    <font>
      <i/>
      <sz val="12"/>
      <color indexed="8"/>
      <name val="Times New Roman"/>
      <family val="1"/>
    </font>
    <font>
      <b/>
      <sz val="12"/>
      <color indexed="8"/>
      <name val="Times New Roman"/>
      <family val="1"/>
    </font>
    <font>
      <sz val="11"/>
      <name val="Calibri"/>
      <family val="2"/>
    </font>
    <font>
      <b/>
      <sz val="13"/>
      <color indexed="10"/>
      <name val="Times New Roman"/>
      <family val="1"/>
    </font>
    <font>
      <sz val="14"/>
      <name val="Times New Roman"/>
      <family val="1"/>
    </font>
    <font>
      <sz val="12"/>
      <color rgb="FF0000FF"/>
      <name val="Times New Roman"/>
      <family val="1"/>
    </font>
    <font>
      <i/>
      <sz val="13"/>
      <color theme="1"/>
      <name val="Times New Roman"/>
      <family val="1"/>
    </font>
    <font>
      <i/>
      <sz val="13"/>
      <color rgb="FFFF0000"/>
      <name val="Times New Roman"/>
      <family val="1"/>
    </font>
    <font>
      <vertAlign val="superscript"/>
      <sz val="10"/>
      <color indexed="8"/>
      <name val="Arial"/>
      <family val="2"/>
    </font>
    <font>
      <sz val="10"/>
      <color rgb="FF0000FF"/>
      <name val="Times New Roman"/>
      <family val="1"/>
    </font>
  </fonts>
  <fills count="2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indexed="14"/>
        <bgColor indexed="64"/>
      </patternFill>
    </fill>
    <fill>
      <patternFill patternType="solid">
        <fgColor indexed="11"/>
        <bgColor indexed="64"/>
      </patternFill>
    </fill>
    <fill>
      <patternFill patternType="solid">
        <fgColor rgb="FFFFFFFF"/>
        <bgColor indexed="64"/>
      </patternFill>
    </fill>
    <fill>
      <patternFill patternType="solid">
        <fgColor rgb="FFFF33CC"/>
        <bgColor indexed="64"/>
      </patternFill>
    </fill>
    <fill>
      <patternFill patternType="solid">
        <fgColor indexed="42"/>
        <bgColor indexed="64"/>
      </patternFill>
    </fill>
    <fill>
      <patternFill patternType="solid">
        <fgColor rgb="FF00B0F0"/>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58"/>
        <bgColor indexed="64"/>
      </patternFill>
    </fill>
    <fill>
      <patternFill patternType="solid">
        <fgColor indexed="49"/>
        <bgColor indexed="64"/>
      </patternFill>
    </fill>
    <fill>
      <patternFill patternType="solid">
        <fgColor indexed="32"/>
      </patternFill>
    </fill>
    <fill>
      <patternFill patternType="solid">
        <fgColor rgb="FFFFC000"/>
        <bgColor indexed="64"/>
      </patternFill>
    </fill>
    <fill>
      <patternFill patternType="solid">
        <fgColor theme="5" tint="0.39997558519241921"/>
        <bgColor indexed="64"/>
      </patternFill>
    </fill>
    <fill>
      <patternFill patternType="solid">
        <fgColor theme="8"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right/>
      <top style="double">
        <color indexed="64"/>
      </top>
      <bottom style="thin">
        <color indexed="64"/>
      </bottom>
      <diagonal/>
    </border>
    <border>
      <left style="thin">
        <color indexed="40"/>
      </left>
      <right style="thin">
        <color indexed="40"/>
      </right>
      <top style="hair">
        <color indexed="40"/>
      </top>
      <bottom style="hair">
        <color indexed="40"/>
      </bottom>
      <diagonal/>
    </border>
    <border>
      <left style="thin">
        <color indexed="40"/>
      </left>
      <right/>
      <top style="thin">
        <color indexed="40"/>
      </top>
      <bottom style="thin">
        <color indexed="40"/>
      </bottom>
      <diagonal/>
    </border>
    <border>
      <left style="thin">
        <color indexed="40"/>
      </left>
      <right style="thin">
        <color indexed="40"/>
      </right>
      <top style="thin">
        <color indexed="40"/>
      </top>
      <bottom style="thin">
        <color indexed="40"/>
      </bottom>
      <diagonal/>
    </border>
    <border>
      <left style="thin">
        <color indexed="40"/>
      </left>
      <right style="thin">
        <color indexed="40"/>
      </right>
      <top style="hair">
        <color indexed="40"/>
      </top>
      <bottom/>
      <diagonal/>
    </border>
    <border>
      <left style="thin">
        <color indexed="40"/>
      </left>
      <right style="thin">
        <color indexed="40"/>
      </right>
      <top/>
      <bottom style="hair">
        <color indexed="40"/>
      </bottom>
      <diagonal/>
    </border>
    <border>
      <left style="thin">
        <color indexed="64"/>
      </left>
      <right style="thin">
        <color indexed="64"/>
      </right>
      <top style="hair">
        <color indexed="64"/>
      </top>
      <bottom style="hair">
        <color indexed="64"/>
      </bottom>
      <diagonal/>
    </border>
    <border>
      <left style="thin">
        <color indexed="40"/>
      </left>
      <right style="thin">
        <color indexed="40"/>
      </right>
      <top/>
      <bottom/>
      <diagonal/>
    </border>
    <border>
      <left style="thin">
        <color indexed="40"/>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bottom style="double">
        <color indexed="64"/>
      </bottom>
      <diagonal/>
    </border>
    <border>
      <left/>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12"/>
      </left>
      <right/>
      <top style="thick">
        <color indexed="12"/>
      </top>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thin">
        <color indexed="8"/>
      </top>
      <bottom style="thin">
        <color indexed="8"/>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s>
  <cellStyleXfs count="654">
    <xf numFmtId="0" fontId="0" fillId="0" borderId="0"/>
    <xf numFmtId="166" fontId="1" fillId="0" borderId="0" applyFont="0" applyFill="0" applyBorder="0" applyAlignment="0" applyProtection="0"/>
    <xf numFmtId="0" fontId="7" fillId="0" borderId="0"/>
    <xf numFmtId="0" fontId="8" fillId="0" borderId="0"/>
    <xf numFmtId="166" fontId="9" fillId="0" borderId="0" applyFont="0" applyFill="0" applyBorder="0" applyAlignment="0" applyProtection="0"/>
    <xf numFmtId="166" fontId="5" fillId="0" borderId="0" applyFont="0" applyFill="0" applyBorder="0" applyAlignment="0" applyProtection="0"/>
    <xf numFmtId="0" fontId="12" fillId="0" borderId="0"/>
    <xf numFmtId="166" fontId="13" fillId="0" borderId="0" applyFont="0" applyFill="0" applyBorder="0" applyAlignment="0" applyProtection="0"/>
    <xf numFmtId="0" fontId="3" fillId="0" borderId="0"/>
    <xf numFmtId="0" fontId="5" fillId="0" borderId="0"/>
    <xf numFmtId="166" fontId="5" fillId="0" borderId="0" applyFont="0" applyFill="0" applyBorder="0" applyAlignment="0" applyProtection="0"/>
    <xf numFmtId="0" fontId="16" fillId="0" borderId="0"/>
    <xf numFmtId="0" fontId="24" fillId="0" borderId="0"/>
    <xf numFmtId="166" fontId="41" fillId="0" borderId="0" applyFont="0" applyFill="0" applyBorder="0" applyAlignment="0" applyProtection="0"/>
    <xf numFmtId="0" fontId="41" fillId="0" borderId="0"/>
    <xf numFmtId="0" fontId="41" fillId="0" borderId="0"/>
    <xf numFmtId="0" fontId="5"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53" fillId="0" borderId="0"/>
    <xf numFmtId="0" fontId="8" fillId="0" borderId="0"/>
    <xf numFmtId="0" fontId="5" fillId="0" borderId="0"/>
    <xf numFmtId="165" fontId="1" fillId="0" borderId="0" applyFont="0" applyFill="0" applyBorder="0" applyAlignment="0" applyProtection="0"/>
    <xf numFmtId="0" fontId="41" fillId="0" borderId="0"/>
    <xf numFmtId="166" fontId="41" fillId="0" borderId="0" applyFont="0" applyFill="0" applyBorder="0" applyAlignment="0" applyProtection="0"/>
    <xf numFmtId="0" fontId="41" fillId="0" borderId="0"/>
    <xf numFmtId="166" fontId="41" fillId="0" borderId="0" applyFont="0" applyFill="0" applyBorder="0" applyAlignment="0" applyProtection="0"/>
    <xf numFmtId="0" fontId="80" fillId="0" borderId="0"/>
    <xf numFmtId="0" fontId="41" fillId="0" borderId="0"/>
    <xf numFmtId="0" fontId="41" fillId="0" borderId="0"/>
    <xf numFmtId="166" fontId="41" fillId="0" borderId="0" applyFont="0" applyFill="0" applyBorder="0" applyAlignment="0" applyProtection="0"/>
    <xf numFmtId="179" fontId="12" fillId="0" borderId="0" applyFont="0" applyFill="0" applyBorder="0" applyAlignment="0" applyProtection="0"/>
    <xf numFmtId="0" fontId="5" fillId="0" borderId="0"/>
    <xf numFmtId="180" fontId="83" fillId="0" borderId="0" applyFont="0" applyFill="0" applyBorder="0" applyAlignment="0" applyProtection="0"/>
    <xf numFmtId="181" fontId="5" fillId="0" borderId="0" applyFont="0" applyFill="0" applyBorder="0" applyAlignment="0" applyProtection="0"/>
    <xf numFmtId="0" fontId="5" fillId="0" borderId="0" applyNumberFormat="0" applyFill="0" applyBorder="0" applyAlignment="0" applyProtection="0"/>
    <xf numFmtId="182" fontId="83" fillId="0" borderId="0" applyFont="0" applyFill="0" applyBorder="0" applyAlignment="0" applyProtection="0"/>
    <xf numFmtId="183" fontId="83" fillId="0" borderId="0" applyFont="0" applyFill="0" applyBorder="0" applyAlignment="0" applyProtection="0"/>
    <xf numFmtId="184" fontId="84" fillId="0" borderId="0" applyFont="0" applyFill="0" applyBorder="0" applyAlignment="0" applyProtection="0"/>
    <xf numFmtId="9" fontId="85" fillId="0" borderId="0" applyFont="0" applyFill="0" applyBorder="0" applyAlignment="0" applyProtection="0"/>
    <xf numFmtId="0" fontId="86" fillId="0" borderId="0"/>
    <xf numFmtId="0" fontId="5" fillId="0" borderId="0" applyFont="0" applyFill="0" applyBorder="0" applyAlignment="0" applyProtection="0"/>
    <xf numFmtId="0" fontId="5" fillId="0" borderId="0" applyFont="0" applyFill="0" applyBorder="0" applyAlignment="0" applyProtection="0"/>
    <xf numFmtId="0" fontId="87" fillId="0" borderId="0"/>
    <xf numFmtId="0" fontId="5" fillId="0" borderId="0" applyNumberFormat="0" applyFill="0" applyBorder="0" applyAlignment="0" applyProtection="0"/>
    <xf numFmtId="185" fontId="88"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79" fontId="12" fillId="0" borderId="0" applyFont="0" applyFill="0" applyBorder="0" applyAlignment="0" applyProtection="0"/>
    <xf numFmtId="187" fontId="12" fillId="0" borderId="0" applyFont="0" applyFill="0" applyBorder="0" applyAlignment="0" applyProtection="0"/>
    <xf numFmtId="187"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9" fontId="88" fillId="0" borderId="0" applyFont="0" applyFill="0" applyBorder="0" applyAlignment="0" applyProtection="0"/>
    <xf numFmtId="188" fontId="88" fillId="0" borderId="0" applyFont="0" applyFill="0" applyBorder="0" applyAlignment="0" applyProtection="0"/>
    <xf numFmtId="184" fontId="12" fillId="0" borderId="0" applyFont="0" applyFill="0" applyBorder="0" applyAlignment="0" applyProtection="0"/>
    <xf numFmtId="185" fontId="88" fillId="0" borderId="0" applyFont="0" applyFill="0" applyBorder="0" applyAlignment="0" applyProtection="0"/>
    <xf numFmtId="185" fontId="88" fillId="0" borderId="0" applyFont="0" applyFill="0" applyBorder="0" applyAlignment="0" applyProtection="0"/>
    <xf numFmtId="164" fontId="88" fillId="0" borderId="0" applyFont="0" applyFill="0" applyBorder="0" applyAlignment="0" applyProtection="0"/>
    <xf numFmtId="190" fontId="89" fillId="0" borderId="0" applyFont="0" applyFill="0" applyBorder="0" applyAlignment="0" applyProtection="0"/>
    <xf numFmtId="191" fontId="88" fillId="0" borderId="0" applyFont="0" applyFill="0" applyBorder="0" applyAlignment="0" applyProtection="0"/>
    <xf numFmtId="192" fontId="88" fillId="0" borderId="0" applyFont="0" applyFill="0" applyBorder="0" applyAlignment="0" applyProtection="0"/>
    <xf numFmtId="164" fontId="88" fillId="0" borderId="0" applyFont="0" applyFill="0" applyBorder="0" applyAlignment="0" applyProtection="0"/>
    <xf numFmtId="187"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9" fontId="88" fillId="0" borderId="0" applyFont="0" applyFill="0" applyBorder="0" applyAlignment="0" applyProtection="0"/>
    <xf numFmtId="187" fontId="12" fillId="0" borderId="0" applyFont="0" applyFill="0" applyBorder="0" applyAlignment="0" applyProtection="0"/>
    <xf numFmtId="188" fontId="88" fillId="0" borderId="0" applyFont="0" applyFill="0" applyBorder="0" applyAlignment="0" applyProtection="0"/>
    <xf numFmtId="184"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4" fontId="88" fillId="0" borderId="0" applyFont="0" applyFill="0" applyBorder="0" applyAlignment="0" applyProtection="0"/>
    <xf numFmtId="193" fontId="88" fillId="0" borderId="0" applyFont="0" applyFill="0" applyBorder="0" applyAlignment="0" applyProtection="0"/>
    <xf numFmtId="185" fontId="88" fillId="0" borderId="0" applyFont="0" applyFill="0" applyBorder="0" applyAlignment="0" applyProtection="0"/>
    <xf numFmtId="164" fontId="88" fillId="0" borderId="0" applyFont="0" applyFill="0" applyBorder="0" applyAlignment="0" applyProtection="0"/>
    <xf numFmtId="190" fontId="89" fillId="0" borderId="0" applyFont="0" applyFill="0" applyBorder="0" applyAlignment="0" applyProtection="0"/>
    <xf numFmtId="191" fontId="88" fillId="0" borderId="0" applyFont="0" applyFill="0" applyBorder="0" applyAlignment="0" applyProtection="0"/>
    <xf numFmtId="192" fontId="88" fillId="0" borderId="0" applyFont="0" applyFill="0" applyBorder="0" applyAlignment="0" applyProtection="0"/>
    <xf numFmtId="184" fontId="12" fillId="0" borderId="0" applyFont="0" applyFill="0" applyBorder="0" applyAlignment="0" applyProtection="0"/>
    <xf numFmtId="164" fontId="88" fillId="0" borderId="0" applyFont="0" applyFill="0" applyBorder="0" applyAlignment="0" applyProtection="0"/>
    <xf numFmtId="187" fontId="12" fillId="0" borderId="0" applyFont="0" applyFill="0" applyBorder="0" applyAlignment="0" applyProtection="0"/>
    <xf numFmtId="184"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4" fontId="88" fillId="0" borderId="0" applyFont="0" applyFill="0" applyBorder="0" applyAlignment="0" applyProtection="0"/>
    <xf numFmtId="193" fontId="88" fillId="0" borderId="0" applyFont="0" applyFill="0" applyBorder="0" applyAlignment="0" applyProtection="0"/>
    <xf numFmtId="187"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9" fontId="88" fillId="0" borderId="0" applyFont="0" applyFill="0" applyBorder="0" applyAlignment="0" applyProtection="0"/>
    <xf numFmtId="188" fontId="88" fillId="0" borderId="0" applyFont="0" applyFill="0" applyBorder="0" applyAlignment="0" applyProtection="0"/>
    <xf numFmtId="184"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79" fontId="12" fillId="0" borderId="0" applyFont="0" applyFill="0" applyBorder="0" applyAlignment="0" applyProtection="0"/>
    <xf numFmtId="185" fontId="88" fillId="0" borderId="0" applyFont="0" applyFill="0" applyBorder="0" applyAlignment="0" applyProtection="0"/>
    <xf numFmtId="164" fontId="88" fillId="0" borderId="0" applyFont="0" applyFill="0" applyBorder="0" applyAlignment="0" applyProtection="0"/>
    <xf numFmtId="190" fontId="89" fillId="0" borderId="0" applyFont="0" applyFill="0" applyBorder="0" applyAlignment="0" applyProtection="0"/>
    <xf numFmtId="191" fontId="88" fillId="0" borderId="0" applyFont="0" applyFill="0" applyBorder="0" applyAlignment="0" applyProtection="0"/>
    <xf numFmtId="192" fontId="88" fillId="0" borderId="0" applyFont="0" applyFill="0" applyBorder="0" applyAlignment="0" applyProtection="0"/>
    <xf numFmtId="184" fontId="12" fillId="0" borderId="0" applyFont="0" applyFill="0" applyBorder="0" applyAlignment="0" applyProtection="0"/>
    <xf numFmtId="184"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4" fontId="88" fillId="0" borderId="0" applyFont="0" applyFill="0" applyBorder="0" applyAlignment="0" applyProtection="0"/>
    <xf numFmtId="193" fontId="88" fillId="0" borderId="0" applyFont="0" applyFill="0" applyBorder="0" applyAlignment="0" applyProtection="0"/>
    <xf numFmtId="187"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9" fontId="88" fillId="0" borderId="0" applyFont="0" applyFill="0" applyBorder="0" applyAlignment="0" applyProtection="0"/>
    <xf numFmtId="188" fontId="88"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79" fontId="12" fillId="0" borderId="0" applyFont="0" applyFill="0" applyBorder="0" applyAlignment="0" applyProtection="0"/>
    <xf numFmtId="187" fontId="12" fillId="0" borderId="0" applyFont="0" applyFill="0" applyBorder="0" applyAlignment="0" applyProtection="0"/>
    <xf numFmtId="164" fontId="88" fillId="0" borderId="0" applyFont="0" applyFill="0" applyBorder="0" applyAlignment="0" applyProtection="0"/>
    <xf numFmtId="0" fontId="5" fillId="0" borderId="0"/>
    <xf numFmtId="0" fontId="90" fillId="14" borderId="0"/>
    <xf numFmtId="0" fontId="91" fillId="0" borderId="0"/>
    <xf numFmtId="167" fontId="92" fillId="0" borderId="0">
      <alignment horizontal="centerContinuous"/>
    </xf>
    <xf numFmtId="9" fontId="93" fillId="0" borderId="0" applyBorder="0" applyAlignment="0" applyProtection="0"/>
    <xf numFmtId="0" fontId="94" fillId="14" borderId="0"/>
    <xf numFmtId="0" fontId="95" fillId="14" borderId="0"/>
    <xf numFmtId="0" fontId="96" fillId="0" borderId="0">
      <alignment wrapText="1"/>
    </xf>
    <xf numFmtId="0" fontId="97" fillId="0" borderId="0" applyFont="0" applyFill="0" applyBorder="0" applyAlignment="0" applyProtection="0"/>
    <xf numFmtId="0" fontId="98" fillId="0" borderId="0" applyFont="0" applyFill="0" applyBorder="0" applyAlignment="0" applyProtection="0"/>
    <xf numFmtId="0" fontId="99" fillId="0" borderId="0" applyFont="0" applyFill="0" applyBorder="0" applyAlignment="0" applyProtection="0"/>
    <xf numFmtId="0" fontId="97" fillId="0" borderId="0" applyFont="0" applyFill="0" applyBorder="0" applyAlignment="0" applyProtection="0"/>
    <xf numFmtId="0" fontId="98" fillId="0" borderId="0" applyFont="0" applyFill="0" applyBorder="0" applyAlignment="0" applyProtection="0"/>
    <xf numFmtId="195" fontId="100" fillId="0" borderId="0" applyFont="0" applyFill="0" applyBorder="0" applyAlignment="0" applyProtection="0"/>
    <xf numFmtId="183" fontId="99" fillId="0" borderId="0" applyFont="0" applyFill="0" applyBorder="0" applyAlignment="0" applyProtection="0"/>
    <xf numFmtId="0" fontId="98" fillId="0" borderId="0" applyFont="0" applyFill="0" applyBorder="0" applyAlignment="0" applyProtection="0"/>
    <xf numFmtId="183" fontId="99" fillId="0" borderId="0" applyFont="0" applyFill="0" applyBorder="0" applyAlignment="0" applyProtection="0"/>
    <xf numFmtId="182" fontId="99" fillId="0" borderId="0" applyFont="0" applyFill="0" applyBorder="0" applyAlignment="0" applyProtection="0"/>
    <xf numFmtId="0" fontId="98" fillId="0" borderId="0" applyFont="0" applyFill="0" applyBorder="0" applyAlignment="0" applyProtection="0"/>
    <xf numFmtId="182" fontId="99" fillId="0" borderId="0" applyFont="0" applyFill="0" applyBorder="0" applyAlignment="0" applyProtection="0"/>
    <xf numFmtId="186" fontId="12" fillId="0" borderId="0" applyFont="0" applyFill="0" applyBorder="0" applyAlignment="0" applyProtection="0"/>
    <xf numFmtId="0" fontId="98" fillId="0" borderId="0"/>
    <xf numFmtId="0" fontId="2" fillId="0" borderId="0"/>
    <xf numFmtId="0" fontId="98" fillId="0" borderId="0"/>
    <xf numFmtId="0" fontId="97" fillId="0" borderId="0"/>
    <xf numFmtId="0" fontId="101" fillId="0" borderId="0"/>
    <xf numFmtId="0" fontId="102" fillId="0" borderId="0"/>
    <xf numFmtId="196" fontId="8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8" fontId="103" fillId="0" borderId="0" applyFont="0" applyFill="0" applyBorder="0" applyAlignment="0" applyProtection="0"/>
    <xf numFmtId="8" fontId="103" fillId="0" borderId="0" applyFont="0" applyFill="0" applyBorder="0" applyAlignment="0" applyProtection="0"/>
    <xf numFmtId="166" fontId="13" fillId="0" borderId="0" applyFont="0" applyFill="0" applyBorder="0" applyAlignment="0" applyProtection="0"/>
    <xf numFmtId="166" fontId="5" fillId="0" borderId="0" applyFont="0" applyFill="0" applyBorder="0" applyAlignment="0" applyProtection="0"/>
    <xf numFmtId="187" fontId="2"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3" fontId="5" fillId="0" borderId="0" applyFont="0" applyFill="0" applyBorder="0" applyAlignment="0" applyProtection="0"/>
    <xf numFmtId="188" fontId="104" fillId="0" borderId="0" applyFont="0" applyFill="0" applyBorder="0" applyAlignment="0" applyProtection="0"/>
    <xf numFmtId="197" fontId="105" fillId="0" borderId="0" applyFont="0" applyFill="0" applyBorder="0" applyAlignment="0" applyProtection="0"/>
    <xf numFmtId="0" fontId="5" fillId="0" borderId="0" applyFont="0" applyFill="0" applyBorder="0" applyAlignment="0" applyProtection="0"/>
    <xf numFmtId="184" fontId="41" fillId="0" borderId="0" applyFont="0" applyFill="0" applyBorder="0" applyAlignment="0" applyProtection="0"/>
    <xf numFmtId="187" fontId="41" fillId="0" borderId="0" applyFont="0" applyFill="0" applyBorder="0" applyAlignment="0" applyProtection="0"/>
    <xf numFmtId="0" fontId="106" fillId="0" borderId="0">
      <alignment vertical="center"/>
    </xf>
    <xf numFmtId="2" fontId="5"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Protection="0">
      <alignment vertical="center"/>
    </xf>
    <xf numFmtId="0" fontId="109" fillId="0" borderId="0" applyNumberFormat="0" applyFill="0" applyBorder="0" applyAlignment="0" applyProtection="0"/>
    <xf numFmtId="0" fontId="110" fillId="0" borderId="0" applyNumberFormat="0" applyFill="0" applyBorder="0" applyProtection="0">
      <alignment vertical="center"/>
    </xf>
    <xf numFmtId="198" fontId="111" fillId="0" borderId="45" applyNumberFormat="0" applyFill="0" applyBorder="0" applyAlignment="0" applyProtection="0"/>
    <xf numFmtId="0" fontId="112" fillId="0" borderId="0" applyNumberFormat="0" applyFill="0" applyBorder="0" applyAlignment="0" applyProtection="0"/>
    <xf numFmtId="0" fontId="109" fillId="0" borderId="0" applyNumberFormat="0" applyFill="0" applyBorder="0" applyAlignment="0" applyProtection="0"/>
    <xf numFmtId="198" fontId="113" fillId="0" borderId="46" applyNumberFormat="0" applyFill="0" applyBorder="0" applyAlignment="0" applyProtection="0"/>
    <xf numFmtId="0" fontId="114" fillId="0" borderId="0" applyNumberFormat="0" applyFill="0" applyBorder="0" applyAlignment="0" applyProtection="0"/>
    <xf numFmtId="38" fontId="115" fillId="2" borderId="0" applyNumberFormat="0" applyBorder="0" applyAlignment="0" applyProtection="0"/>
    <xf numFmtId="0" fontId="116" fillId="0" borderId="0">
      <alignment horizontal="left"/>
    </xf>
    <xf numFmtId="0" fontId="117" fillId="0" borderId="0">
      <alignment horizontal="left"/>
    </xf>
    <xf numFmtId="0" fontId="118" fillId="0" borderId="47" applyNumberFormat="0" applyAlignment="0" applyProtection="0">
      <alignment horizontal="left" vertical="center"/>
    </xf>
    <xf numFmtId="0" fontId="118" fillId="0" borderId="5">
      <alignment horizontal="left" vertical="center"/>
    </xf>
    <xf numFmtId="193" fontId="88" fillId="0" borderId="0">
      <protection locked="0"/>
    </xf>
    <xf numFmtId="193" fontId="88" fillId="0" borderId="0">
      <protection locked="0"/>
    </xf>
    <xf numFmtId="193" fontId="88" fillId="0" borderId="0" applyFont="0" applyFill="0" applyBorder="0" applyAlignment="0" applyProtection="0"/>
    <xf numFmtId="10" fontId="115" fillId="2" borderId="1" applyNumberFormat="0" applyBorder="0" applyAlignment="0" applyProtection="0"/>
    <xf numFmtId="38" fontId="105" fillId="0" borderId="0" applyFont="0" applyFill="0" applyBorder="0" applyAlignment="0" applyProtection="0"/>
    <xf numFmtId="40" fontId="105" fillId="0" borderId="0" applyFont="0" applyFill="0" applyBorder="0" applyAlignment="0" applyProtection="0"/>
    <xf numFmtId="0" fontId="119" fillId="0" borderId="48"/>
    <xf numFmtId="0" fontId="120" fillId="0" borderId="48"/>
    <xf numFmtId="199" fontId="121" fillId="0" borderId="32"/>
    <xf numFmtId="200" fontId="105" fillId="0" borderId="0" applyFont="0" applyFill="0" applyBorder="0" applyAlignment="0" applyProtection="0"/>
    <xf numFmtId="201" fontId="105" fillId="0" borderId="0" applyFont="0" applyFill="0" applyBorder="0" applyAlignment="0" applyProtection="0"/>
    <xf numFmtId="0" fontId="122" fillId="0" borderId="0" applyNumberFormat="0" applyFont="0" applyFill="0" applyAlignment="0"/>
    <xf numFmtId="202" fontId="123"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8" fillId="0" borderId="0"/>
    <xf numFmtId="0" fontId="5" fillId="0" borderId="0" applyFont="0" applyFill="0" applyBorder="0" applyAlignment="0" applyProtection="0"/>
    <xf numFmtId="0" fontId="2" fillId="0" borderId="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5"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8" fillId="0" borderId="0" applyFont="0" applyFill="0" applyBorder="0" applyAlignment="0" applyProtection="0"/>
    <xf numFmtId="193" fontId="88" fillId="0" borderId="0" applyFont="0" applyFill="0" applyBorder="0" applyAlignment="0" applyProtection="0"/>
    <xf numFmtId="0" fontId="124" fillId="0" borderId="0" applyNumberFormat="0" applyFill="0" applyBorder="0" applyAlignment="0" applyProtection="0">
      <alignment vertical="top"/>
      <protection locked="0"/>
    </xf>
    <xf numFmtId="0" fontId="41" fillId="15" borderId="0"/>
    <xf numFmtId="0" fontId="125" fillId="0" borderId="0" applyNumberFormat="0" applyFill="0" applyBorder="0" applyAlignment="0" applyProtection="0"/>
    <xf numFmtId="184"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4" fontId="88" fillId="0" borderId="0" applyFont="0" applyFill="0" applyBorder="0" applyAlignment="0" applyProtection="0"/>
    <xf numFmtId="193" fontId="88" fillId="0" borderId="0" applyFont="0" applyFill="0" applyBorder="0" applyAlignment="0" applyProtection="0"/>
    <xf numFmtId="185" fontId="88" fillId="0" borderId="0" applyFont="0" applyFill="0" applyBorder="0" applyAlignment="0" applyProtection="0"/>
    <xf numFmtId="185" fontId="88" fillId="0" borderId="0" applyFont="0" applyFill="0" applyBorder="0" applyAlignment="0" applyProtection="0"/>
    <xf numFmtId="184" fontId="88" fillId="0" borderId="0" applyFont="0" applyFill="0" applyBorder="0" applyAlignment="0" applyProtection="0"/>
    <xf numFmtId="164" fontId="88" fillId="0" borderId="0" applyFont="0" applyFill="0" applyBorder="0" applyAlignment="0" applyProtection="0"/>
    <xf numFmtId="190" fontId="89" fillId="0" borderId="0" applyFont="0" applyFill="0" applyBorder="0" applyAlignment="0" applyProtection="0"/>
    <xf numFmtId="191" fontId="88" fillId="0" borderId="0" applyFont="0" applyFill="0" applyBorder="0" applyAlignment="0" applyProtection="0"/>
    <xf numFmtId="192" fontId="88" fillId="0" borderId="0" applyFont="0" applyFill="0" applyBorder="0" applyAlignment="0" applyProtection="0"/>
    <xf numFmtId="164"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4" fontId="88" fillId="0" borderId="0" applyFont="0" applyFill="0" applyBorder="0" applyAlignment="0" applyProtection="0"/>
    <xf numFmtId="193" fontId="88" fillId="0" borderId="0" applyFont="0" applyFill="0" applyBorder="0" applyAlignment="0" applyProtection="0"/>
    <xf numFmtId="0" fontId="119" fillId="0" borderId="0"/>
    <xf numFmtId="0" fontId="120" fillId="0" borderId="0"/>
    <xf numFmtId="0" fontId="126" fillId="0" borderId="0"/>
    <xf numFmtId="203" fontId="127" fillId="0" borderId="2">
      <alignment horizontal="right" vertical="center"/>
    </xf>
    <xf numFmtId="175" fontId="88" fillId="0" borderId="2">
      <alignment horizontal="right" vertical="center"/>
    </xf>
    <xf numFmtId="175" fontId="88" fillId="0" borderId="2">
      <alignment horizontal="right" vertical="center"/>
    </xf>
    <xf numFmtId="203" fontId="127" fillId="0" borderId="2">
      <alignment horizontal="right" vertical="center"/>
    </xf>
    <xf numFmtId="175" fontId="88" fillId="0" borderId="2">
      <alignment horizontal="right" vertical="center"/>
    </xf>
    <xf numFmtId="204" fontId="8" fillId="0" borderId="2">
      <alignment horizontal="right" vertical="center"/>
    </xf>
    <xf numFmtId="191" fontId="127" fillId="0" borderId="2">
      <alignment horizontal="center"/>
    </xf>
    <xf numFmtId="3" fontId="128" fillId="0" borderId="0" applyFill="0">
      <alignment vertical="center"/>
    </xf>
    <xf numFmtId="204" fontId="127" fillId="0" borderId="0"/>
    <xf numFmtId="205" fontId="127" fillId="0" borderId="1"/>
    <xf numFmtId="0" fontId="88" fillId="0" borderId="1"/>
    <xf numFmtId="0" fontId="88" fillId="0" borderId="1" applyFont="0"/>
    <xf numFmtId="206" fontId="41" fillId="0" borderId="0" applyFont="0" applyFill="0" applyBorder="0" applyAlignment="0" applyProtection="0"/>
    <xf numFmtId="207" fontId="41"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3" fillId="0" borderId="0">
      <alignment vertical="center"/>
    </xf>
    <xf numFmtId="40" fontId="130" fillId="0" borderId="0" applyFont="0" applyFill="0" applyBorder="0" applyAlignment="0" applyProtection="0"/>
    <xf numFmtId="38" fontId="130"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9" fontId="131" fillId="0" borderId="0" applyFont="0" applyFill="0" applyBorder="0" applyAlignment="0" applyProtection="0"/>
    <xf numFmtId="0" fontId="132" fillId="0" borderId="0"/>
    <xf numFmtId="0" fontId="133" fillId="0" borderId="0" applyFont="0" applyFill="0" applyBorder="0" applyAlignment="0" applyProtection="0"/>
    <xf numFmtId="0" fontId="133" fillId="0" borderId="0" applyFont="0" applyFill="0" applyBorder="0" applyAlignment="0" applyProtection="0"/>
    <xf numFmtId="208" fontId="134" fillId="0" borderId="0" applyFont="0" applyFill="0" applyBorder="0" applyAlignment="0" applyProtection="0"/>
    <xf numFmtId="209" fontId="134" fillId="0" borderId="0" applyFont="0" applyFill="0" applyBorder="0" applyAlignment="0" applyProtection="0"/>
    <xf numFmtId="0" fontId="135" fillId="0" borderId="0"/>
    <xf numFmtId="0" fontId="122" fillId="0" borderId="0"/>
    <xf numFmtId="184" fontId="136" fillId="0" borderId="0" applyFont="0" applyFill="0" applyBorder="0" applyAlignment="0" applyProtection="0"/>
    <xf numFmtId="187" fontId="136" fillId="0" borderId="0" applyFont="0" applyFill="0" applyBorder="0" applyAlignment="0" applyProtection="0"/>
    <xf numFmtId="186" fontId="136" fillId="0" borderId="0" applyFont="0" applyFill="0" applyBorder="0" applyAlignment="0" applyProtection="0"/>
    <xf numFmtId="210" fontId="137" fillId="0" borderId="0" applyFont="0" applyFill="0" applyBorder="0" applyAlignment="0" applyProtection="0"/>
    <xf numFmtId="211" fontId="136" fillId="0" borderId="0" applyFont="0" applyFill="0" applyBorder="0" applyAlignment="0" applyProtection="0"/>
    <xf numFmtId="0" fontId="41" fillId="0" borderId="0"/>
    <xf numFmtId="0" fontId="41" fillId="0" borderId="0"/>
    <xf numFmtId="166" fontId="41" fillId="0" borderId="0" applyFont="0" applyFill="0" applyBorder="0" applyAlignment="0" applyProtection="0"/>
    <xf numFmtId="182" fontId="88" fillId="0" borderId="0" applyFont="0" applyFill="0" applyBorder="0" applyAlignment="0" applyProtection="0"/>
    <xf numFmtId="166" fontId="41" fillId="0" borderId="0" applyFont="0" applyFill="0" applyBorder="0" applyAlignment="0" applyProtection="0"/>
    <xf numFmtId="166"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212" fontId="12" fillId="0" borderId="0" applyFont="0" applyFill="0" applyBorder="0" applyAlignment="0" applyProtection="0"/>
    <xf numFmtId="212" fontId="12"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90" fontId="89" fillId="0" borderId="0" applyFont="0" applyFill="0" applyBorder="0" applyAlignment="0" applyProtection="0"/>
    <xf numFmtId="191" fontId="12"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214" fontId="89" fillId="0" borderId="0" applyFont="0" applyFill="0" applyBorder="0" applyAlignment="0" applyProtection="0"/>
    <xf numFmtId="214"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212" fontId="12" fillId="0" borderId="0" applyFont="0" applyFill="0" applyBorder="0" applyAlignment="0" applyProtection="0"/>
    <xf numFmtId="212" fontId="12"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0" fontId="89" fillId="0" borderId="0" applyFont="0" applyFill="0" applyBorder="0" applyAlignment="0" applyProtection="0"/>
    <xf numFmtId="191" fontId="12"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214" fontId="89" fillId="0" borderId="0" applyFont="0" applyFill="0" applyBorder="0" applyAlignment="0" applyProtection="0"/>
    <xf numFmtId="214"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212" fontId="12" fillId="0" borderId="0" applyFont="0" applyFill="0" applyBorder="0" applyAlignment="0" applyProtection="0"/>
    <xf numFmtId="212" fontId="12" fillId="0" borderId="0" applyFont="0" applyFill="0" applyBorder="0" applyAlignment="0" applyProtection="0"/>
    <xf numFmtId="190" fontId="89" fillId="0" borderId="0" applyFont="0" applyFill="0" applyBorder="0" applyAlignment="0" applyProtection="0"/>
    <xf numFmtId="191" fontId="12"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214" fontId="89" fillId="0" borderId="0" applyFont="0" applyFill="0" applyBorder="0" applyAlignment="0" applyProtection="0"/>
    <xf numFmtId="214"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66" fontId="88" fillId="0" borderId="0" applyFont="0" applyFill="0" applyBorder="0" applyAlignment="0" applyProtection="0"/>
    <xf numFmtId="188" fontId="88"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212" fontId="12" fillId="0" borderId="0" applyFont="0" applyFill="0" applyBorder="0" applyAlignment="0" applyProtection="0"/>
    <xf numFmtId="212" fontId="12" fillId="0" borderId="0" applyFont="0" applyFill="0" applyBorder="0" applyAlignment="0" applyProtection="0"/>
    <xf numFmtId="1" fontId="138" fillId="0" borderId="8" applyBorder="0"/>
    <xf numFmtId="166" fontId="13"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9" fillId="0" borderId="1" applyNumberFormat="0" applyFont="0" applyFill="0" applyBorder="0" applyAlignment="0">
      <alignment horizontal="center"/>
    </xf>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4"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93" fontId="88" fillId="0" borderId="0" applyFont="0" applyFill="0" applyBorder="0" applyAlignment="0" applyProtection="0"/>
    <xf numFmtId="165"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1" fontId="12"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214" fontId="89" fillId="0" borderId="0" applyFont="0" applyFill="0" applyBorder="0" applyAlignment="0" applyProtection="0"/>
    <xf numFmtId="214"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6" fontId="5" fillId="0" borderId="0" applyFont="0" applyFill="0" applyBorder="0" applyAlignment="0" applyProtection="0"/>
    <xf numFmtId="191" fontId="88" fillId="0" borderId="0" applyFont="0" applyFill="0" applyBorder="0" applyAlignment="0" applyProtection="0"/>
    <xf numFmtId="192"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1" fontId="12"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1" fontId="88" fillId="0" borderId="0" applyFont="0" applyFill="0" applyBorder="0" applyAlignment="0" applyProtection="0"/>
    <xf numFmtId="192"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96" fontId="5" fillId="0" borderId="0" applyFont="0" applyFill="0" applyBorder="0" applyAlignment="0" applyProtection="0"/>
    <xf numFmtId="190" fontId="89" fillId="0" borderId="0" applyFont="0" applyFill="0" applyBorder="0" applyAlignment="0" applyProtection="0"/>
    <xf numFmtId="191" fontId="12" fillId="0" borderId="0" applyFont="0" applyFill="0" applyBorder="0" applyAlignment="0" applyProtection="0"/>
    <xf numFmtId="190" fontId="89" fillId="0" borderId="0" applyFont="0" applyFill="0" applyBorder="0" applyAlignment="0" applyProtection="0"/>
    <xf numFmtId="190" fontId="89" fillId="0" borderId="0" applyFont="0" applyFill="0" applyBorder="0" applyAlignment="0" applyProtection="0"/>
    <xf numFmtId="191" fontId="88" fillId="0" borderId="0" applyFont="0" applyFill="0" applyBorder="0" applyAlignment="0" applyProtection="0"/>
    <xf numFmtId="192" fontId="88" fillId="0" borderId="0" applyFont="0" applyFill="0" applyBorder="0" applyAlignment="0" applyProtection="0"/>
    <xf numFmtId="175" fontId="88"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15" fontId="127" fillId="0" borderId="2">
      <alignment horizontal="right" vertical="center"/>
    </xf>
    <xf numFmtId="215" fontId="127" fillId="0" borderId="2">
      <alignment horizontal="right" vertical="center"/>
    </xf>
    <xf numFmtId="215" fontId="127" fillId="0" borderId="2">
      <alignment horizontal="right" vertical="center"/>
    </xf>
    <xf numFmtId="215"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03" fontId="127" fillId="0" borderId="2">
      <alignment horizontal="right" vertical="center"/>
    </xf>
    <xf numFmtId="216" fontId="88" fillId="0" borderId="2">
      <alignment horizontal="right" vertical="center"/>
    </xf>
    <xf numFmtId="216" fontId="88" fillId="0" borderId="2">
      <alignment horizontal="right" vertical="center"/>
    </xf>
    <xf numFmtId="175" fontId="88" fillId="0" borderId="2">
      <alignment horizontal="right" vertical="center"/>
    </xf>
    <xf numFmtId="204" fontId="8" fillId="0" borderId="2">
      <alignment horizontal="right" vertical="center"/>
    </xf>
    <xf numFmtId="175" fontId="88" fillId="0" borderId="2">
      <alignment horizontal="right" vertical="center"/>
    </xf>
    <xf numFmtId="217" fontId="140" fillId="0" borderId="0" applyNumberFormat="0" applyFont="0" applyFill="0" applyBorder="0" applyAlignment="0">
      <alignment horizontal="centerContinuous"/>
    </xf>
    <xf numFmtId="183" fontId="133" fillId="0" borderId="0" applyFont="0" applyFill="0" applyBorder="0" applyAlignment="0" applyProtection="0"/>
    <xf numFmtId="0" fontId="41" fillId="0" borderId="0"/>
    <xf numFmtId="166" fontId="41" fillId="0" borderId="0" applyFont="0" applyFill="0" applyBorder="0" applyAlignment="0" applyProtection="0"/>
    <xf numFmtId="166" fontId="5" fillId="0" borderId="0" applyFont="0" applyFill="0" applyBorder="0" applyAlignment="0" applyProtection="0"/>
    <xf numFmtId="2" fontId="125" fillId="0" borderId="0"/>
  </cellStyleXfs>
  <cellXfs count="1688">
    <xf numFmtId="0" fontId="0" fillId="0" borderId="0" xfId="0"/>
    <xf numFmtId="0" fontId="2" fillId="0" borderId="0" xfId="0" applyFont="1" applyFill="1" applyAlignment="1">
      <alignment vertical="center"/>
    </xf>
    <xf numFmtId="0" fontId="3" fillId="0" borderId="0" xfId="0" applyFont="1" applyFill="1" applyAlignment="1" applyProtection="1">
      <alignment horizontal="centerContinuous" vertical="center"/>
      <protection hidden="1"/>
    </xf>
    <xf numFmtId="0" fontId="2" fillId="0" borderId="0" xfId="0" applyFont="1" applyFill="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1" xfId="0" applyFont="1" applyFill="1" applyBorder="1" applyAlignment="1" applyProtection="1">
      <alignment horizontal="center" vertical="center"/>
      <protection hidden="1"/>
    </xf>
    <xf numFmtId="0" fontId="2" fillId="0" borderId="0" xfId="0" applyFont="1" applyFill="1" applyProtection="1">
      <protection hidden="1"/>
    </xf>
    <xf numFmtId="167" fontId="3" fillId="0" borderId="0" xfId="5" applyNumberFormat="1" applyFont="1" applyFill="1" applyAlignment="1" applyProtection="1">
      <alignment horizontal="centerContinuous" vertical="center"/>
      <protection hidden="1"/>
    </xf>
    <xf numFmtId="167" fontId="2" fillId="0" borderId="1" xfId="5" applyNumberFormat="1" applyFont="1" applyFill="1" applyBorder="1" applyAlignment="1" applyProtection="1">
      <alignment horizontal="centerContinuous" vertical="center"/>
      <protection hidden="1"/>
    </xf>
    <xf numFmtId="167" fontId="2" fillId="0" borderId="1" xfId="5" applyNumberFormat="1" applyFont="1" applyFill="1" applyBorder="1" applyAlignment="1" applyProtection="1">
      <alignment horizontal="center" vertical="center"/>
      <protection hidden="1"/>
    </xf>
    <xf numFmtId="0" fontId="2" fillId="0" borderId="0" xfId="0" applyFont="1" applyFill="1" applyAlignment="1" applyProtection="1">
      <alignment horizontal="centerContinuous" vertical="center"/>
      <protection hidden="1"/>
    </xf>
    <xf numFmtId="167" fontId="2" fillId="0" borderId="0" xfId="5" applyNumberFormat="1" applyFont="1" applyFill="1" applyProtection="1">
      <protection hidden="1"/>
    </xf>
    <xf numFmtId="167" fontId="2" fillId="0" borderId="1" xfId="5" applyNumberFormat="1" applyFont="1" applyFill="1" applyBorder="1" applyProtection="1">
      <protection hidden="1"/>
    </xf>
    <xf numFmtId="0" fontId="2" fillId="0" borderId="0" xfId="0" applyNumberFormat="1" applyFont="1" applyFill="1" applyAlignment="1" applyProtection="1">
      <alignment horizontal="center"/>
      <protection hidden="1"/>
    </xf>
    <xf numFmtId="167" fontId="2" fillId="0" borderId="0" xfId="5" applyNumberFormat="1" applyFont="1" applyFill="1" applyAlignment="1" applyProtection="1">
      <alignment vertical="center"/>
      <protection hidden="1"/>
    </xf>
    <xf numFmtId="167" fontId="2" fillId="0" borderId="0" xfId="5" applyNumberFormat="1" applyFont="1" applyFill="1" applyAlignment="1" applyProtection="1">
      <alignment horizontal="centerContinuous" vertical="center"/>
      <protection hidden="1"/>
    </xf>
    <xf numFmtId="0" fontId="2" fillId="0" borderId="1" xfId="0" applyFont="1" applyFill="1" applyBorder="1" applyAlignment="1" applyProtection="1">
      <alignment horizontal="centerContinuous" vertical="center"/>
      <protection hidden="1"/>
    </xf>
    <xf numFmtId="0" fontId="2" fillId="0" borderId="1" xfId="8" applyFont="1" applyFill="1" applyBorder="1" applyAlignment="1">
      <alignment vertical="center"/>
    </xf>
    <xf numFmtId="0" fontId="2" fillId="0" borderId="1" xfId="8" applyFont="1" applyFill="1" applyBorder="1" applyAlignment="1">
      <alignment horizontal="center" vertical="center"/>
    </xf>
    <xf numFmtId="0" fontId="2" fillId="0" borderId="1" xfId="0" applyNumberFormat="1" applyFont="1" applyFill="1" applyBorder="1" applyAlignment="1" applyProtection="1">
      <alignment horizontal="center"/>
      <protection locked="0"/>
    </xf>
    <xf numFmtId="3" fontId="2" fillId="0" borderId="1" xfId="8" applyNumberFormat="1" applyFont="1" applyFill="1" applyBorder="1" applyAlignment="1">
      <alignment vertical="center"/>
    </xf>
    <xf numFmtId="0" fontId="2" fillId="0" borderId="1" xfId="8" applyFont="1" applyFill="1" applyBorder="1" applyAlignment="1" applyProtection="1">
      <alignment vertical="center"/>
      <protection hidden="1"/>
    </xf>
    <xf numFmtId="0" fontId="2" fillId="0" borderId="1" xfId="8"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protection hidden="1"/>
    </xf>
    <xf numFmtId="3" fontId="2" fillId="0" borderId="1" xfId="8" applyNumberFormat="1" applyFont="1" applyFill="1" applyBorder="1" applyAlignment="1" applyProtection="1">
      <alignment vertical="center"/>
      <protection hidden="1"/>
    </xf>
    <xf numFmtId="0" fontId="2" fillId="0" borderId="1" xfId="8" applyNumberFormat="1" applyFont="1" applyFill="1" applyBorder="1" applyAlignment="1">
      <alignment vertical="center"/>
    </xf>
    <xf numFmtId="0" fontId="4" fillId="0" borderId="0" xfId="0" applyFont="1" applyFill="1" applyAlignment="1" applyProtection="1">
      <alignment horizontal="left" vertical="center"/>
      <protection hidden="1"/>
    </xf>
    <xf numFmtId="167" fontId="2" fillId="0" borderId="0" xfId="5" applyNumberFormat="1" applyFont="1" applyFill="1" applyBorder="1" applyAlignment="1" applyProtection="1">
      <alignment horizontal="centerContinuous" vertical="center"/>
      <protection hidden="1"/>
    </xf>
    <xf numFmtId="167" fontId="2" fillId="0" borderId="0" xfId="5" applyNumberFormat="1" applyFont="1" applyFill="1" applyBorder="1" applyAlignment="1" applyProtection="1">
      <alignment horizontal="center" vertical="center"/>
      <protection hidden="1"/>
    </xf>
    <xf numFmtId="167" fontId="2" fillId="0" borderId="0" xfId="5" applyNumberFormat="1" applyFont="1" applyFill="1" applyBorder="1" applyAlignment="1" applyProtection="1">
      <alignment vertical="center"/>
      <protection hidden="1"/>
    </xf>
    <xf numFmtId="0" fontId="17" fillId="0" borderId="6" xfId="11" applyNumberFormat="1" applyFont="1" applyFill="1" applyBorder="1" applyAlignment="1" applyProtection="1">
      <alignment horizontal="center" vertical="center"/>
      <protection hidden="1"/>
    </xf>
    <xf numFmtId="0" fontId="17" fillId="0" borderId="7" xfId="11" applyNumberFormat="1" applyFont="1" applyFill="1" applyBorder="1" applyAlignment="1" applyProtection="1">
      <alignment horizontal="center" vertical="center"/>
      <protection hidden="1"/>
    </xf>
    <xf numFmtId="0" fontId="17" fillId="0" borderId="7" xfId="11" applyNumberFormat="1" applyFont="1" applyFill="1" applyBorder="1" applyAlignment="1" applyProtection="1">
      <alignment horizontal="centerContinuous" vertical="center"/>
      <protection hidden="1"/>
    </xf>
    <xf numFmtId="167" fontId="17" fillId="0" borderId="6" xfId="5" applyNumberFormat="1" applyFont="1" applyFill="1" applyBorder="1" applyAlignment="1" applyProtection="1">
      <alignment horizontal="center" vertical="center"/>
      <protection hidden="1"/>
    </xf>
    <xf numFmtId="0" fontId="17" fillId="0" borderId="1" xfId="11" applyNumberFormat="1" applyFont="1" applyFill="1" applyBorder="1" applyAlignment="1" applyProtection="1">
      <alignment horizontal="centerContinuous" vertical="center"/>
      <protection hidden="1"/>
    </xf>
    <xf numFmtId="0" fontId="11" fillId="0" borderId="1" xfId="11" applyFont="1" applyFill="1" applyBorder="1" applyAlignment="1" applyProtection="1">
      <alignment horizontal="centerContinuous"/>
      <protection hidden="1"/>
    </xf>
    <xf numFmtId="167" fontId="11" fillId="0" borderId="6" xfId="5" applyNumberFormat="1" applyFont="1" applyFill="1" applyBorder="1" applyAlignment="1" applyProtection="1">
      <alignment horizontal="center"/>
      <protection hidden="1"/>
    </xf>
    <xf numFmtId="167" fontId="11" fillId="0" borderId="7" xfId="5" applyNumberFormat="1" applyFont="1" applyFill="1" applyBorder="1" applyAlignment="1" applyProtection="1">
      <alignment horizontal="centerContinuous"/>
      <protection hidden="1"/>
    </xf>
    <xf numFmtId="166" fontId="11" fillId="0" borderId="7" xfId="5" applyNumberFormat="1" applyFont="1" applyFill="1" applyBorder="1" applyAlignment="1" applyProtection="1">
      <alignment horizontal="centerContinuous"/>
      <protection hidden="1"/>
    </xf>
    <xf numFmtId="167" fontId="11" fillId="0" borderId="1" xfId="5" applyNumberFormat="1" applyFont="1" applyFill="1" applyBorder="1" applyAlignment="1" applyProtection="1">
      <alignment horizontal="centerContinuous"/>
      <protection hidden="1"/>
    </xf>
    <xf numFmtId="0" fontId="5" fillId="0" borderId="0" xfId="11" applyFont="1" applyFill="1" applyProtection="1">
      <protection hidden="1"/>
    </xf>
    <xf numFmtId="0" fontId="17" fillId="0" borderId="8" xfId="11" applyNumberFormat="1" applyFont="1" applyFill="1" applyBorder="1" applyAlignment="1" applyProtection="1">
      <alignment horizontal="center" vertical="center"/>
      <protection hidden="1"/>
    </xf>
    <xf numFmtId="0" fontId="17" fillId="0" borderId="9" xfId="11" applyFont="1" applyFill="1" applyBorder="1" applyAlignment="1" applyProtection="1">
      <alignment horizontal="center" vertical="center"/>
      <protection hidden="1"/>
    </xf>
    <xf numFmtId="0" fontId="17" fillId="0" borderId="9" xfId="11" applyNumberFormat="1" applyFont="1" applyFill="1" applyBorder="1" applyAlignment="1" applyProtection="1">
      <alignment horizontal="center" vertical="center"/>
      <protection hidden="1"/>
    </xf>
    <xf numFmtId="167" fontId="17" fillId="0" borderId="8" xfId="5" applyNumberFormat="1" applyFont="1" applyFill="1" applyBorder="1" applyAlignment="1" applyProtection="1">
      <alignment horizontal="center" vertical="center"/>
      <protection hidden="1"/>
    </xf>
    <xf numFmtId="0" fontId="17" fillId="0" borderId="1" xfId="11" applyNumberFormat="1" applyFont="1" applyFill="1" applyBorder="1" applyAlignment="1" applyProtection="1">
      <alignment horizontal="center" vertical="center"/>
      <protection hidden="1"/>
    </xf>
    <xf numFmtId="167" fontId="11" fillId="0" borderId="8" xfId="5" applyNumberFormat="1" applyFont="1" applyFill="1" applyBorder="1" applyAlignment="1" applyProtection="1">
      <alignment horizontal="center"/>
      <protection hidden="1"/>
    </xf>
    <xf numFmtId="167" fontId="11" fillId="0" borderId="1" xfId="5" applyNumberFormat="1" applyFont="1" applyFill="1" applyBorder="1" applyAlignment="1" applyProtection="1">
      <alignment horizontal="center"/>
      <protection hidden="1"/>
    </xf>
    <xf numFmtId="166" fontId="11" fillId="0" borderId="1" xfId="5" applyNumberFormat="1" applyFont="1" applyFill="1" applyBorder="1" applyAlignment="1" applyProtection="1">
      <alignment horizontal="center"/>
      <protection hidden="1"/>
    </xf>
    <xf numFmtId="0" fontId="18" fillId="0" borderId="10" xfId="11" applyNumberFormat="1" applyFont="1" applyFill="1" applyBorder="1" applyAlignment="1" applyProtection="1">
      <alignment horizontal="center" vertical="center"/>
      <protection hidden="1"/>
    </xf>
    <xf numFmtId="0" fontId="18" fillId="0" borderId="10" xfId="11" applyFont="1" applyFill="1" applyBorder="1" applyAlignment="1" applyProtection="1">
      <alignment horizontal="center" vertical="center"/>
      <protection hidden="1"/>
    </xf>
    <xf numFmtId="167" fontId="18" fillId="0" borderId="10" xfId="5" applyNumberFormat="1" applyFont="1" applyFill="1" applyBorder="1" applyAlignment="1" applyProtection="1">
      <alignment horizontal="center" vertical="center"/>
      <protection hidden="1"/>
    </xf>
    <xf numFmtId="0" fontId="18" fillId="0" borderId="6" xfId="11" applyNumberFormat="1" applyFont="1" applyFill="1" applyBorder="1" applyAlignment="1" applyProtection="1">
      <alignment horizontal="center" vertical="center"/>
      <protection hidden="1"/>
    </xf>
    <xf numFmtId="0" fontId="18" fillId="0" borderId="6" xfId="11" applyFont="1" applyFill="1" applyBorder="1" applyAlignment="1" applyProtection="1">
      <alignment horizontal="center" vertical="center"/>
      <protection hidden="1"/>
    </xf>
    <xf numFmtId="0" fontId="19" fillId="0" borderId="23" xfId="11" applyFont="1" applyFill="1" applyBorder="1" applyAlignment="1" applyProtection="1">
      <alignment horizontal="center" vertical="center"/>
      <protection hidden="1"/>
    </xf>
    <xf numFmtId="0" fontId="17" fillId="0" borderId="23" xfId="11" applyNumberFormat="1" applyFont="1" applyFill="1" applyBorder="1" applyAlignment="1" applyProtection="1">
      <alignment vertical="center"/>
      <protection hidden="1"/>
    </xf>
    <xf numFmtId="0" fontId="17" fillId="0" borderId="23" xfId="11" applyFont="1" applyFill="1" applyBorder="1" applyAlignment="1" applyProtection="1">
      <alignment horizontal="center" vertical="center"/>
      <protection hidden="1"/>
    </xf>
    <xf numFmtId="167" fontId="19" fillId="0" borderId="23" xfId="5" applyNumberFormat="1" applyFont="1" applyFill="1" applyBorder="1" applyAlignment="1" applyProtection="1">
      <alignment horizontal="center" vertical="center"/>
      <protection hidden="1"/>
    </xf>
    <xf numFmtId="169" fontId="19" fillId="0" borderId="23" xfId="11" applyNumberFormat="1" applyFont="1" applyFill="1" applyBorder="1" applyAlignment="1" applyProtection="1">
      <alignment horizontal="center" vertical="center"/>
      <protection hidden="1"/>
    </xf>
    <xf numFmtId="0" fontId="20" fillId="0" borderId="1" xfId="11" applyFont="1" applyFill="1" applyBorder="1"/>
    <xf numFmtId="167" fontId="5" fillId="0" borderId="23" xfId="5" applyNumberFormat="1" applyFont="1" applyFill="1" applyBorder="1" applyProtection="1">
      <protection hidden="1"/>
    </xf>
    <xf numFmtId="0" fontId="18" fillId="0" borderId="0" xfId="11" applyNumberFormat="1" applyFont="1" applyFill="1" applyBorder="1" applyAlignment="1" applyProtection="1">
      <alignment horizontal="center" vertical="center"/>
      <protection hidden="1"/>
    </xf>
    <xf numFmtId="166" fontId="18" fillId="0" borderId="0" xfId="11" applyNumberFormat="1" applyFont="1" applyFill="1" applyBorder="1" applyAlignment="1" applyProtection="1">
      <alignment horizontal="center" vertical="center"/>
      <protection hidden="1"/>
    </xf>
    <xf numFmtId="167" fontId="11" fillId="0" borderId="23" xfId="5" applyNumberFormat="1" applyFont="1" applyFill="1" applyBorder="1" applyProtection="1">
      <protection hidden="1"/>
    </xf>
    <xf numFmtId="167" fontId="11" fillId="0" borderId="24" xfId="5" applyNumberFormat="1" applyFont="1" applyFill="1" applyBorder="1" applyProtection="1">
      <protection hidden="1"/>
    </xf>
    <xf numFmtId="166" fontId="5" fillId="0" borderId="24" xfId="5" applyNumberFormat="1" applyFont="1" applyFill="1" applyBorder="1" applyProtection="1">
      <protection hidden="1"/>
    </xf>
    <xf numFmtId="167" fontId="5" fillId="0" borderId="24" xfId="5" applyNumberFormat="1" applyFont="1" applyFill="1" applyBorder="1" applyProtection="1">
      <protection hidden="1"/>
    </xf>
    <xf numFmtId="0" fontId="10" fillId="0" borderId="23" xfId="11" applyFont="1" applyFill="1" applyBorder="1" applyAlignment="1" applyProtection="1">
      <alignment horizontal="left" vertical="center"/>
      <protection hidden="1"/>
    </xf>
    <xf numFmtId="0" fontId="17" fillId="0" borderId="23" xfId="11" applyFont="1" applyFill="1" applyBorder="1" applyAlignment="1" applyProtection="1">
      <alignment horizontal="left" vertical="center"/>
      <protection hidden="1"/>
    </xf>
    <xf numFmtId="167" fontId="10" fillId="0" borderId="23" xfId="5" applyNumberFormat="1" applyFont="1" applyFill="1" applyBorder="1" applyAlignment="1" applyProtection="1">
      <alignment horizontal="left" vertical="center"/>
      <protection hidden="1"/>
    </xf>
    <xf numFmtId="169" fontId="10" fillId="0" borderId="23" xfId="11" applyNumberFormat="1" applyFont="1" applyFill="1" applyBorder="1" applyAlignment="1" applyProtection="1">
      <alignment horizontal="left" vertical="center"/>
      <protection hidden="1"/>
    </xf>
    <xf numFmtId="2" fontId="21" fillId="0" borderId="25" xfId="11" applyNumberFormat="1" applyFont="1" applyFill="1" applyBorder="1" applyAlignment="1" applyProtection="1">
      <alignment vertical="center"/>
      <protection hidden="1"/>
    </xf>
    <xf numFmtId="0" fontId="21" fillId="0" borderId="25" xfId="11" applyNumberFormat="1" applyFont="1" applyFill="1" applyBorder="1" applyAlignment="1" applyProtection="1">
      <alignment vertical="center"/>
      <protection hidden="1"/>
    </xf>
    <xf numFmtId="0" fontId="10" fillId="0" borderId="23" xfId="11" applyFont="1" applyFill="1" applyBorder="1" applyAlignment="1" applyProtection="1">
      <alignment vertical="center"/>
      <protection hidden="1"/>
    </xf>
    <xf numFmtId="0" fontId="10" fillId="0" borderId="23" xfId="11" applyFont="1" applyFill="1" applyBorder="1" applyAlignment="1" applyProtection="1">
      <alignment horizontal="center" vertical="center"/>
      <protection hidden="1"/>
    </xf>
    <xf numFmtId="167" fontId="10" fillId="0" borderId="23" xfId="5" applyNumberFormat="1" applyFont="1" applyFill="1" applyBorder="1" applyAlignment="1" applyProtection="1">
      <alignment horizontal="center" vertical="center"/>
      <protection hidden="1"/>
    </xf>
    <xf numFmtId="169" fontId="10" fillId="0" borderId="23" xfId="5" applyNumberFormat="1" applyFont="1" applyFill="1" applyBorder="1" applyAlignment="1" applyProtection="1">
      <alignment vertical="center"/>
      <protection hidden="1"/>
    </xf>
    <xf numFmtId="0" fontId="10" fillId="0" borderId="23" xfId="11" quotePrefix="1" applyNumberFormat="1" applyFont="1" applyFill="1" applyBorder="1" applyAlignment="1" applyProtection="1">
      <alignment horizontal="center" vertical="center"/>
      <protection hidden="1"/>
    </xf>
    <xf numFmtId="0" fontId="10" fillId="0" borderId="23" xfId="11" applyNumberFormat="1" applyFont="1" applyFill="1" applyBorder="1" applyAlignment="1" applyProtection="1">
      <alignment vertical="center"/>
      <protection hidden="1"/>
    </xf>
    <xf numFmtId="167" fontId="10" fillId="0" borderId="23" xfId="5" applyNumberFormat="1" applyFont="1" applyFill="1" applyBorder="1" applyAlignment="1" applyProtection="1">
      <alignment vertical="center"/>
      <protection hidden="1"/>
    </xf>
    <xf numFmtId="0" fontId="17" fillId="0" borderId="23" xfId="11" quotePrefix="1" applyNumberFormat="1" applyFont="1" applyFill="1" applyBorder="1" applyAlignment="1" applyProtection="1">
      <alignment horizontal="center" vertical="center"/>
      <protection hidden="1"/>
    </xf>
    <xf numFmtId="0" fontId="10" fillId="0" borderId="23" xfId="11" applyNumberFormat="1" applyFont="1" applyFill="1" applyBorder="1" applyAlignment="1" applyProtection="1">
      <alignment horizontal="center" vertical="center"/>
      <protection hidden="1"/>
    </xf>
    <xf numFmtId="169" fontId="5" fillId="0" borderId="24" xfId="5" applyNumberFormat="1" applyFont="1" applyFill="1" applyBorder="1" applyProtection="1">
      <protection hidden="1"/>
    </xf>
    <xf numFmtId="0" fontId="17" fillId="0" borderId="23" xfId="11" quotePrefix="1" applyFont="1" applyFill="1" applyBorder="1" applyAlignment="1" applyProtection="1">
      <alignment horizontal="center" vertical="center"/>
      <protection hidden="1"/>
    </xf>
    <xf numFmtId="170" fontId="10" fillId="0" borderId="23" xfId="5" applyNumberFormat="1" applyFont="1" applyFill="1" applyBorder="1" applyAlignment="1" applyProtection="1">
      <alignment vertical="center"/>
      <protection hidden="1"/>
    </xf>
    <xf numFmtId="0" fontId="10" fillId="0" borderId="23" xfId="11" quotePrefix="1" applyFont="1" applyFill="1" applyBorder="1" applyAlignment="1" applyProtection="1">
      <alignment horizontal="center" vertical="center"/>
      <protection hidden="1"/>
    </xf>
    <xf numFmtId="0" fontId="10" fillId="0" borderId="26" xfId="11" quotePrefix="1" applyFont="1" applyFill="1" applyBorder="1" applyAlignment="1" applyProtection="1">
      <alignment horizontal="center" vertical="center"/>
      <protection hidden="1"/>
    </xf>
    <xf numFmtId="0" fontId="10" fillId="0" borderId="26" xfId="11" applyNumberFormat="1" applyFont="1" applyFill="1" applyBorder="1" applyAlignment="1" applyProtection="1">
      <alignment vertical="center"/>
      <protection hidden="1"/>
    </xf>
    <xf numFmtId="0" fontId="10" fillId="0" borderId="26" xfId="11" applyFont="1" applyFill="1" applyBorder="1" applyAlignment="1" applyProtection="1">
      <alignment horizontal="center" vertical="center"/>
      <protection hidden="1"/>
    </xf>
    <xf numFmtId="0" fontId="10" fillId="0" borderId="27" xfId="11" quotePrefix="1" applyFont="1" applyFill="1" applyBorder="1" applyAlignment="1" applyProtection="1">
      <alignment horizontal="center" vertical="center"/>
      <protection hidden="1"/>
    </xf>
    <xf numFmtId="0" fontId="10" fillId="0" borderId="27" xfId="11" applyNumberFormat="1" applyFont="1" applyFill="1" applyBorder="1" applyAlignment="1" applyProtection="1">
      <alignment vertical="center"/>
      <protection hidden="1"/>
    </xf>
    <xf numFmtId="0" fontId="10" fillId="0" borderId="27" xfId="11" applyFont="1" applyFill="1" applyBorder="1" applyAlignment="1" applyProtection="1">
      <alignment horizontal="center" vertical="center"/>
      <protection hidden="1"/>
    </xf>
    <xf numFmtId="167" fontId="21" fillId="0" borderId="23" xfId="5" applyNumberFormat="1" applyFont="1" applyFill="1" applyBorder="1" applyAlignment="1" applyProtection="1">
      <alignment horizontal="center" vertical="center"/>
      <protection hidden="1"/>
    </xf>
    <xf numFmtId="170" fontId="21" fillId="0" borderId="23" xfId="5" applyNumberFormat="1" applyFont="1" applyFill="1" applyBorder="1" applyAlignment="1" applyProtection="1">
      <alignment vertical="center"/>
      <protection hidden="1"/>
    </xf>
    <xf numFmtId="169" fontId="21" fillId="0" borderId="23" xfId="5" applyNumberFormat="1" applyFont="1" applyFill="1" applyBorder="1" applyAlignment="1" applyProtection="1">
      <alignment vertical="center"/>
      <protection hidden="1"/>
    </xf>
    <xf numFmtId="0" fontId="22" fillId="0" borderId="1" xfId="11" applyFont="1" applyFill="1" applyBorder="1" applyAlignment="1">
      <alignment horizontal="left" wrapText="1"/>
    </xf>
    <xf numFmtId="0" fontId="22" fillId="0" borderId="1" xfId="11" applyFont="1" applyFill="1" applyBorder="1" applyAlignment="1">
      <alignment horizontal="center" wrapText="1"/>
    </xf>
    <xf numFmtId="0" fontId="3" fillId="0" borderId="0" xfId="11" applyFont="1" applyFill="1" applyAlignment="1">
      <alignment horizontal="center" vertical="center"/>
    </xf>
    <xf numFmtId="167" fontId="21" fillId="0" borderId="23" xfId="5" applyNumberFormat="1" applyFont="1" applyFill="1" applyBorder="1" applyAlignment="1" applyProtection="1">
      <alignment vertical="center"/>
      <protection hidden="1"/>
    </xf>
    <xf numFmtId="0" fontId="22" fillId="0" borderId="28" xfId="11" applyFont="1" applyFill="1" applyBorder="1" applyAlignment="1">
      <alignment horizontal="left" wrapText="1"/>
    </xf>
    <xf numFmtId="0" fontId="22" fillId="0" borderId="28" xfId="11" applyFont="1" applyFill="1" applyBorder="1" applyAlignment="1">
      <alignment horizontal="center" wrapText="1"/>
    </xf>
    <xf numFmtId="167" fontId="22" fillId="0" borderId="28" xfId="10" applyNumberFormat="1" applyFont="1" applyFill="1" applyBorder="1" applyAlignment="1">
      <alignment horizontal="right" wrapText="1"/>
    </xf>
    <xf numFmtId="3" fontId="17" fillId="0" borderId="23" xfId="11" quotePrefix="1" applyNumberFormat="1" applyFont="1" applyFill="1" applyBorder="1" applyAlignment="1" applyProtection="1">
      <alignment horizontal="center" vertical="center"/>
      <protection hidden="1"/>
    </xf>
    <xf numFmtId="3" fontId="10" fillId="0" borderId="23" xfId="11" quotePrefix="1" applyNumberFormat="1" applyFont="1" applyFill="1" applyBorder="1" applyAlignment="1" applyProtection="1">
      <alignment horizontal="center" vertical="center"/>
      <protection hidden="1"/>
    </xf>
    <xf numFmtId="169" fontId="5" fillId="0" borderId="23" xfId="5" applyNumberFormat="1" applyFont="1" applyFill="1" applyBorder="1" applyProtection="1">
      <protection hidden="1"/>
    </xf>
    <xf numFmtId="0" fontId="5" fillId="0" borderId="23" xfId="11" applyFont="1" applyFill="1" applyBorder="1" applyProtection="1">
      <protection hidden="1"/>
    </xf>
    <xf numFmtId="0" fontId="11" fillId="0" borderId="23" xfId="11" applyFont="1" applyFill="1" applyBorder="1" applyProtection="1">
      <protection hidden="1"/>
    </xf>
    <xf numFmtId="0" fontId="5" fillId="0" borderId="29" xfId="11" applyFont="1" applyFill="1" applyBorder="1" applyProtection="1">
      <protection hidden="1"/>
    </xf>
    <xf numFmtId="0" fontId="11" fillId="0" borderId="0" xfId="11" applyFont="1" applyFill="1" applyProtection="1">
      <protection hidden="1"/>
    </xf>
    <xf numFmtId="0" fontId="11" fillId="0" borderId="29" xfId="11" applyFont="1" applyFill="1" applyBorder="1" applyProtection="1">
      <protection hidden="1"/>
    </xf>
    <xf numFmtId="0" fontId="5" fillId="0" borderId="29" xfId="11" applyFont="1" applyFill="1" applyBorder="1" applyAlignment="1" applyProtection="1">
      <alignment horizontal="center"/>
      <protection hidden="1"/>
    </xf>
    <xf numFmtId="0" fontId="11" fillId="0" borderId="23" xfId="11" applyFont="1" applyFill="1" applyBorder="1" applyAlignment="1" applyProtection="1">
      <alignment horizontal="center"/>
      <protection hidden="1"/>
    </xf>
    <xf numFmtId="0" fontId="5" fillId="0" borderId="23" xfId="11" applyFont="1" applyFill="1" applyBorder="1" applyAlignment="1" applyProtection="1">
      <alignment horizontal="center"/>
      <protection hidden="1"/>
    </xf>
    <xf numFmtId="167" fontId="11" fillId="0" borderId="23" xfId="5" applyNumberFormat="1" applyFont="1" applyFill="1" applyBorder="1" applyAlignment="1" applyProtection="1">
      <alignment horizontal="center"/>
      <protection hidden="1"/>
    </xf>
    <xf numFmtId="166" fontId="5" fillId="0" borderId="0" xfId="11" applyNumberFormat="1" applyFont="1" applyFill="1" applyProtection="1">
      <protection hidden="1"/>
    </xf>
    <xf numFmtId="49" fontId="10" fillId="0" borderId="25" xfId="11" quotePrefix="1" applyNumberFormat="1" applyFont="1" applyFill="1" applyBorder="1" applyAlignment="1" applyProtection="1">
      <alignment horizontal="center" vertical="center"/>
      <protection hidden="1"/>
    </xf>
    <xf numFmtId="0" fontId="10" fillId="0" borderId="25" xfId="11" applyNumberFormat="1" applyFont="1" applyFill="1" applyBorder="1" applyAlignment="1" applyProtection="1">
      <alignment vertical="center"/>
      <protection hidden="1"/>
    </xf>
    <xf numFmtId="0" fontId="10" fillId="0" borderId="25" xfId="11" applyNumberFormat="1" applyFont="1" applyFill="1" applyBorder="1" applyAlignment="1" applyProtection="1">
      <alignment horizontal="center" vertical="center"/>
      <protection hidden="1"/>
    </xf>
    <xf numFmtId="167" fontId="10" fillId="0" borderId="25" xfId="5" applyNumberFormat="1" applyFont="1" applyFill="1" applyBorder="1" applyAlignment="1" applyProtection="1">
      <alignment horizontal="center" vertical="center"/>
      <protection hidden="1"/>
    </xf>
    <xf numFmtId="0" fontId="10" fillId="0" borderId="25" xfId="5" applyNumberFormat="1" applyFont="1" applyFill="1" applyBorder="1" applyAlignment="1" applyProtection="1">
      <alignment vertical="center"/>
      <protection hidden="1"/>
    </xf>
    <xf numFmtId="167" fontId="21" fillId="0" borderId="25" xfId="5" applyNumberFormat="1" applyFont="1" applyFill="1" applyBorder="1" applyAlignment="1" applyProtection="1">
      <alignment horizontal="center" vertical="center"/>
      <protection hidden="1"/>
    </xf>
    <xf numFmtId="49" fontId="10" fillId="0" borderId="25" xfId="11" applyNumberFormat="1" applyFont="1" applyFill="1" applyBorder="1" applyAlignment="1" applyProtection="1">
      <alignment horizontal="center" vertical="center"/>
      <protection hidden="1"/>
    </xf>
    <xf numFmtId="167" fontId="11" fillId="3" borderId="23" xfId="5" applyNumberFormat="1" applyFont="1" applyFill="1" applyBorder="1" applyProtection="1">
      <protection hidden="1"/>
    </xf>
    <xf numFmtId="166" fontId="11" fillId="3" borderId="30" xfId="5" applyNumberFormat="1" applyFont="1" applyFill="1" applyBorder="1" applyProtection="1">
      <protection hidden="1"/>
    </xf>
    <xf numFmtId="167" fontId="11" fillId="3" borderId="30" xfId="5" applyNumberFormat="1" applyFont="1" applyFill="1" applyBorder="1" applyProtection="1">
      <protection hidden="1"/>
    </xf>
    <xf numFmtId="49" fontId="10" fillId="0" borderId="25" xfId="11" applyNumberFormat="1" applyFont="1" applyFill="1" applyBorder="1" applyAlignment="1" applyProtection="1">
      <alignment vertical="center"/>
      <protection hidden="1"/>
    </xf>
    <xf numFmtId="0" fontId="10" fillId="0" borderId="25" xfId="11" applyFont="1" applyFill="1" applyBorder="1" applyAlignment="1" applyProtection="1">
      <alignment vertical="center"/>
      <protection hidden="1"/>
    </xf>
    <xf numFmtId="0" fontId="10" fillId="3" borderId="25" xfId="5" applyNumberFormat="1" applyFont="1" applyFill="1" applyBorder="1" applyAlignment="1" applyProtection="1">
      <alignment vertical="center"/>
      <protection hidden="1"/>
    </xf>
    <xf numFmtId="167" fontId="5" fillId="3" borderId="25" xfId="5" applyNumberFormat="1" applyFont="1" applyFill="1" applyBorder="1" applyProtection="1">
      <protection hidden="1"/>
    </xf>
    <xf numFmtId="0" fontId="3" fillId="0" borderId="28" xfId="11" applyFont="1" applyFill="1" applyBorder="1" applyAlignment="1">
      <alignment horizontal="left" wrapText="1"/>
    </xf>
    <xf numFmtId="0" fontId="3" fillId="0" borderId="28" xfId="11" applyFont="1" applyFill="1" applyBorder="1" applyAlignment="1">
      <alignment horizontal="center" wrapText="1"/>
    </xf>
    <xf numFmtId="167" fontId="27" fillId="0" borderId="23" xfId="5" applyNumberFormat="1" applyFont="1" applyFill="1" applyBorder="1" applyAlignment="1" applyProtection="1">
      <alignment horizontal="center" vertical="center"/>
      <protection hidden="1"/>
    </xf>
    <xf numFmtId="169" fontId="3" fillId="0" borderId="23" xfId="5" applyNumberFormat="1" applyFont="1" applyFill="1" applyBorder="1" applyAlignment="1" applyProtection="1">
      <alignment vertical="center"/>
      <protection hidden="1"/>
    </xf>
    <xf numFmtId="167" fontId="3" fillId="0" borderId="23" xfId="5" applyNumberFormat="1" applyFont="1" applyFill="1" applyBorder="1" applyAlignment="1" applyProtection="1">
      <alignment vertical="center"/>
      <protection hidden="1"/>
    </xf>
    <xf numFmtId="167" fontId="6" fillId="0" borderId="23" xfId="5" applyNumberFormat="1" applyFont="1" applyFill="1" applyBorder="1" applyProtection="1">
      <protection hidden="1"/>
    </xf>
    <xf numFmtId="167" fontId="3" fillId="0" borderId="23" xfId="5" applyNumberFormat="1" applyFont="1" applyFill="1" applyBorder="1" applyProtection="1">
      <protection hidden="1"/>
    </xf>
    <xf numFmtId="167" fontId="6" fillId="0" borderId="24" xfId="5" applyNumberFormat="1" applyFont="1" applyFill="1" applyBorder="1" applyProtection="1">
      <protection hidden="1"/>
    </xf>
    <xf numFmtId="169" fontId="3" fillId="0" borderId="24" xfId="5" applyNumberFormat="1" applyFont="1" applyFill="1" applyBorder="1" applyProtection="1">
      <protection hidden="1"/>
    </xf>
    <xf numFmtId="167" fontId="3" fillId="0" borderId="24" xfId="5" applyNumberFormat="1" applyFont="1" applyFill="1" applyBorder="1" applyProtection="1">
      <protection hidden="1"/>
    </xf>
    <xf numFmtId="0" fontId="3" fillId="0" borderId="0" xfId="11" applyFont="1" applyFill="1" applyProtection="1">
      <protection hidden="1"/>
    </xf>
    <xf numFmtId="167" fontId="10" fillId="3" borderId="23" xfId="5" applyNumberFormat="1" applyFont="1" applyFill="1" applyBorder="1" applyAlignment="1" applyProtection="1">
      <alignment vertical="center"/>
      <protection hidden="1"/>
    </xf>
    <xf numFmtId="169" fontId="10" fillId="3" borderId="23" xfId="5" applyNumberFormat="1" applyFont="1" applyFill="1" applyBorder="1" applyAlignment="1" applyProtection="1">
      <alignment vertical="center"/>
      <protection hidden="1"/>
    </xf>
    <xf numFmtId="0" fontId="14" fillId="3" borderId="0" xfId="0" applyFont="1" applyFill="1"/>
    <xf numFmtId="0" fontId="10" fillId="3" borderId="23" xfId="11" applyNumberFormat="1" applyFont="1" applyFill="1" applyBorder="1" applyAlignment="1" applyProtection="1">
      <alignment vertical="center"/>
      <protection hidden="1"/>
    </xf>
    <xf numFmtId="0" fontId="10" fillId="3" borderId="23" xfId="11" applyFont="1" applyFill="1" applyBorder="1" applyAlignment="1" applyProtection="1">
      <alignment horizontal="center" vertical="center"/>
      <protection hidden="1"/>
    </xf>
    <xf numFmtId="167" fontId="10" fillId="3" borderId="23" xfId="5" applyNumberFormat="1" applyFont="1" applyFill="1" applyBorder="1" applyAlignment="1" applyProtection="1">
      <alignment horizontal="center" vertical="center"/>
      <protection hidden="1"/>
    </xf>
    <xf numFmtId="167" fontId="5" fillId="3" borderId="23" xfId="5" applyNumberFormat="1" applyFont="1" applyFill="1" applyBorder="1" applyProtection="1">
      <protection hidden="1"/>
    </xf>
    <xf numFmtId="167" fontId="11" fillId="3" borderId="24" xfId="5" applyNumberFormat="1" applyFont="1" applyFill="1" applyBorder="1" applyProtection="1">
      <protection hidden="1"/>
    </xf>
    <xf numFmtId="166" fontId="5" fillId="3" borderId="24" xfId="5" applyNumberFormat="1" applyFont="1" applyFill="1" applyBorder="1" applyProtection="1">
      <protection hidden="1"/>
    </xf>
    <xf numFmtId="167" fontId="5" fillId="3" borderId="24" xfId="5" applyNumberFormat="1" applyFont="1" applyFill="1" applyBorder="1" applyProtection="1">
      <protection hidden="1"/>
    </xf>
    <xf numFmtId="0" fontId="5" fillId="3" borderId="0" xfId="11" applyFont="1" applyFill="1" applyProtection="1">
      <protection hidden="1"/>
    </xf>
    <xf numFmtId="0" fontId="10" fillId="3" borderId="23" xfId="11" quotePrefix="1" applyFont="1" applyFill="1" applyBorder="1" applyAlignment="1" applyProtection="1">
      <alignment horizontal="center" vertical="center"/>
      <protection hidden="1"/>
    </xf>
    <xf numFmtId="167" fontId="21" fillId="3" borderId="23" xfId="5" applyNumberFormat="1" applyFont="1" applyFill="1" applyBorder="1" applyAlignment="1" applyProtection="1">
      <alignment horizontal="center" vertical="center"/>
      <protection hidden="1"/>
    </xf>
    <xf numFmtId="0" fontId="28" fillId="3" borderId="1" xfId="11" applyFont="1" applyFill="1" applyBorder="1" applyAlignment="1">
      <alignment horizontal="left" wrapText="1"/>
    </xf>
    <xf numFmtId="0" fontId="28" fillId="3" borderId="1" xfId="11" applyFont="1" applyFill="1" applyBorder="1" applyAlignment="1">
      <alignment horizontal="center" wrapText="1"/>
    </xf>
    <xf numFmtId="167" fontId="28" fillId="3" borderId="23" xfId="5" applyNumberFormat="1" applyFont="1" applyFill="1" applyBorder="1" applyAlignment="1" applyProtection="1">
      <alignment horizontal="center" vertical="center"/>
      <protection hidden="1"/>
    </xf>
    <xf numFmtId="167" fontId="29" fillId="3" borderId="23" xfId="5" applyNumberFormat="1" applyFont="1" applyFill="1" applyBorder="1" applyAlignment="1" applyProtection="1">
      <alignment vertical="center"/>
      <protection hidden="1"/>
    </xf>
    <xf numFmtId="169" fontId="29" fillId="3" borderId="23" xfId="5" applyNumberFormat="1" applyFont="1" applyFill="1" applyBorder="1" applyAlignment="1" applyProtection="1">
      <alignment vertical="center"/>
      <protection hidden="1"/>
    </xf>
    <xf numFmtId="0" fontId="30" fillId="3" borderId="0" xfId="0" applyFont="1" applyFill="1"/>
    <xf numFmtId="167" fontId="31" fillId="3" borderId="23" xfId="5" applyNumberFormat="1" applyFont="1" applyFill="1" applyBorder="1" applyProtection="1">
      <protection hidden="1"/>
    </xf>
    <xf numFmtId="167" fontId="32" fillId="3" borderId="23" xfId="5" applyNumberFormat="1" applyFont="1" applyFill="1" applyBorder="1" applyProtection="1">
      <protection hidden="1"/>
    </xf>
    <xf numFmtId="167" fontId="28" fillId="3" borderId="23" xfId="5" applyNumberFormat="1" applyFont="1" applyFill="1" applyBorder="1" applyProtection="1">
      <protection hidden="1"/>
    </xf>
    <xf numFmtId="167" fontId="32" fillId="3" borderId="24" xfId="5" applyNumberFormat="1" applyFont="1" applyFill="1" applyBorder="1" applyProtection="1">
      <protection hidden="1"/>
    </xf>
    <xf numFmtId="166" fontId="28" fillId="3" borderId="24" xfId="5" applyNumberFormat="1" applyFont="1" applyFill="1" applyBorder="1" applyProtection="1">
      <protection hidden="1"/>
    </xf>
    <xf numFmtId="167" fontId="28" fillId="3" borderId="24" xfId="5" applyNumberFormat="1" applyFont="1" applyFill="1" applyBorder="1" applyProtection="1">
      <protection hidden="1"/>
    </xf>
    <xf numFmtId="0" fontId="28" fillId="3" borderId="0" xfId="11" applyFont="1" applyFill="1" applyProtection="1">
      <protection hidden="1"/>
    </xf>
    <xf numFmtId="0" fontId="28" fillId="3" borderId="0" xfId="11" applyFont="1" applyFill="1" applyAlignment="1">
      <alignment horizontal="center" vertical="center"/>
    </xf>
    <xf numFmtId="0" fontId="29" fillId="3" borderId="23" xfId="11" applyNumberFormat="1" applyFont="1" applyFill="1" applyBorder="1" applyAlignment="1" applyProtection="1">
      <alignment vertical="center"/>
      <protection hidden="1"/>
    </xf>
    <xf numFmtId="0" fontId="29" fillId="3" borderId="23" xfId="11" applyFont="1" applyFill="1" applyBorder="1" applyAlignment="1" applyProtection="1">
      <alignment horizontal="center" vertical="center"/>
      <protection hidden="1"/>
    </xf>
    <xf numFmtId="167" fontId="29" fillId="3" borderId="23" xfId="5" applyNumberFormat="1" applyFont="1" applyFill="1" applyBorder="1" applyAlignment="1" applyProtection="1">
      <alignment horizontal="center" vertical="center"/>
      <protection hidden="1"/>
    </xf>
    <xf numFmtId="167" fontId="33" fillId="3" borderId="23" xfId="5" applyNumberFormat="1" applyFont="1" applyFill="1" applyBorder="1" applyProtection="1">
      <protection hidden="1"/>
    </xf>
    <xf numFmtId="167" fontId="31" fillId="3" borderId="24" xfId="5" applyNumberFormat="1" applyFont="1" applyFill="1" applyBorder="1" applyProtection="1">
      <protection hidden="1"/>
    </xf>
    <xf numFmtId="166" fontId="33" fillId="3" borderId="24" xfId="5" applyNumberFormat="1" applyFont="1" applyFill="1" applyBorder="1" applyProtection="1">
      <protection hidden="1"/>
    </xf>
    <xf numFmtId="167" fontId="33" fillId="3" borderId="24" xfId="5" applyNumberFormat="1" applyFont="1" applyFill="1" applyBorder="1" applyProtection="1">
      <protection hidden="1"/>
    </xf>
    <xf numFmtId="0" fontId="33" fillId="3" borderId="0" xfId="11" applyFont="1" applyFill="1" applyProtection="1">
      <protection hidden="1"/>
    </xf>
    <xf numFmtId="3" fontId="34" fillId="0" borderId="1" xfId="0" applyNumberFormat="1" applyFont="1" applyBorder="1" applyAlignment="1">
      <alignment vertical="center"/>
    </xf>
    <xf numFmtId="169" fontId="5" fillId="3" borderId="24" xfId="5" applyNumberFormat="1" applyFont="1" applyFill="1" applyBorder="1" applyProtection="1">
      <protection hidden="1"/>
    </xf>
    <xf numFmtId="167" fontId="10" fillId="3" borderId="1" xfId="0" applyNumberFormat="1" applyFont="1" applyFill="1" applyBorder="1"/>
    <xf numFmtId="0" fontId="29" fillId="3" borderId="23" xfId="11" applyNumberFormat="1" applyFont="1" applyFill="1" applyBorder="1" applyAlignment="1" applyProtection="1">
      <alignment horizontal="center" vertical="center"/>
      <protection hidden="1"/>
    </xf>
    <xf numFmtId="0" fontId="10" fillId="3" borderId="23" xfId="11" quotePrefix="1" applyNumberFormat="1" applyFont="1" applyFill="1" applyBorder="1" applyAlignment="1" applyProtection="1">
      <alignment horizontal="center" vertical="center"/>
      <protection hidden="1"/>
    </xf>
    <xf numFmtId="0" fontId="10" fillId="3" borderId="23" xfId="11" applyNumberFormat="1" applyFont="1" applyFill="1" applyBorder="1" applyAlignment="1" applyProtection="1">
      <alignment horizontal="center" vertical="center"/>
      <protection hidden="1"/>
    </xf>
    <xf numFmtId="0" fontId="29" fillId="3" borderId="23" xfId="11" quotePrefix="1" applyFont="1" applyFill="1" applyBorder="1" applyAlignment="1" applyProtection="1">
      <alignment horizontal="center" vertical="center"/>
      <protection hidden="1"/>
    </xf>
    <xf numFmtId="167" fontId="35" fillId="3" borderId="23" xfId="5" applyNumberFormat="1" applyFont="1" applyFill="1" applyBorder="1" applyAlignment="1" applyProtection="1">
      <alignment horizontal="center" vertical="center"/>
      <protection hidden="1"/>
    </xf>
    <xf numFmtId="49" fontId="17" fillId="0" borderId="6" xfId="11" applyNumberFormat="1" applyFont="1" applyFill="1" applyBorder="1" applyAlignment="1" applyProtection="1">
      <alignment horizontal="center" vertical="center"/>
      <protection hidden="1"/>
    </xf>
    <xf numFmtId="49" fontId="17" fillId="0" borderId="8" xfId="11" applyNumberFormat="1" applyFont="1" applyFill="1" applyBorder="1" applyAlignment="1" applyProtection="1">
      <alignment horizontal="center" vertical="center"/>
      <protection hidden="1"/>
    </xf>
    <xf numFmtId="167" fontId="5" fillId="0" borderId="25" xfId="5" applyNumberFormat="1" applyFont="1" applyFill="1" applyBorder="1" applyProtection="1">
      <protection hidden="1"/>
    </xf>
    <xf numFmtId="49" fontId="17" fillId="0" borderId="25" xfId="11" applyNumberFormat="1" applyFont="1" applyFill="1" applyBorder="1" applyAlignment="1" applyProtection="1">
      <alignment vertical="center"/>
      <protection hidden="1"/>
    </xf>
    <xf numFmtId="0" fontId="5" fillId="0" borderId="1" xfId="11" applyFont="1" applyFill="1" applyBorder="1" applyAlignment="1" applyProtection="1">
      <alignment horizontal="centerContinuous"/>
      <protection hidden="1"/>
    </xf>
    <xf numFmtId="49" fontId="18" fillId="0" borderId="10" xfId="11" applyNumberFormat="1" applyFont="1" applyFill="1" applyBorder="1" applyAlignment="1" applyProtection="1">
      <alignment horizontal="center" vertical="center"/>
      <protection hidden="1"/>
    </xf>
    <xf numFmtId="0" fontId="18" fillId="0" borderId="7" xfId="11" applyNumberFormat="1" applyFont="1" applyFill="1" applyBorder="1" applyAlignment="1" applyProtection="1">
      <alignment horizontal="center" vertical="center"/>
      <protection hidden="1"/>
    </xf>
    <xf numFmtId="0" fontId="18" fillId="0" borderId="1" xfId="11" applyNumberFormat="1" applyFont="1" applyFill="1" applyBorder="1" applyAlignment="1" applyProtection="1">
      <alignment horizontal="center" vertical="center"/>
      <protection hidden="1"/>
    </xf>
    <xf numFmtId="49" fontId="18" fillId="0" borderId="0" xfId="11" applyNumberFormat="1" applyFont="1" applyFill="1" applyBorder="1" applyAlignment="1" applyProtection="1">
      <alignment horizontal="center" vertical="center"/>
      <protection hidden="1"/>
    </xf>
    <xf numFmtId="0" fontId="18" fillId="0" borderId="0" xfId="11" applyFont="1" applyFill="1" applyBorder="1" applyAlignment="1" applyProtection="1">
      <alignment horizontal="center" vertical="center"/>
      <protection hidden="1"/>
    </xf>
    <xf numFmtId="167" fontId="14" fillId="0" borderId="25" xfId="5" applyNumberFormat="1" applyFont="1" applyFill="1" applyBorder="1" applyProtection="1">
      <protection hidden="1"/>
    </xf>
    <xf numFmtId="167" fontId="14" fillId="0" borderId="24" xfId="5" applyNumberFormat="1" applyFont="1" applyFill="1" applyBorder="1" applyProtection="1">
      <protection hidden="1"/>
    </xf>
    <xf numFmtId="166" fontId="14" fillId="0" borderId="24" xfId="5" applyNumberFormat="1" applyFont="1" applyFill="1" applyBorder="1" applyProtection="1">
      <protection hidden="1"/>
    </xf>
    <xf numFmtId="49" fontId="5" fillId="0" borderId="0" xfId="11" applyNumberFormat="1" applyFont="1" applyFill="1" applyProtection="1">
      <protection hidden="1"/>
    </xf>
    <xf numFmtId="167" fontId="14" fillId="0" borderId="0" xfId="5" applyNumberFormat="1" applyFont="1" applyFill="1" applyProtection="1">
      <protection hidden="1"/>
    </xf>
    <xf numFmtId="166" fontId="14" fillId="0" borderId="0" xfId="5" applyNumberFormat="1" applyFont="1" applyFill="1" applyProtection="1">
      <protection hidden="1"/>
    </xf>
    <xf numFmtId="49" fontId="10" fillId="3" borderId="25" xfId="11" quotePrefix="1" applyNumberFormat="1" applyFont="1" applyFill="1" applyBorder="1" applyAlignment="1" applyProtection="1">
      <alignment horizontal="center" vertical="center"/>
      <protection hidden="1"/>
    </xf>
    <xf numFmtId="0" fontId="10" fillId="3" borderId="25" xfId="11" applyNumberFormat="1" applyFont="1" applyFill="1" applyBorder="1" applyAlignment="1" applyProtection="1">
      <alignment vertical="center"/>
      <protection hidden="1"/>
    </xf>
    <xf numFmtId="0" fontId="10" fillId="3" borderId="25" xfId="11" applyNumberFormat="1" applyFont="1" applyFill="1" applyBorder="1" applyAlignment="1" applyProtection="1">
      <alignment horizontal="center" vertical="center"/>
      <protection hidden="1"/>
    </xf>
    <xf numFmtId="167" fontId="21" fillId="3" borderId="25" xfId="5" applyNumberFormat="1" applyFont="1" applyFill="1" applyBorder="1" applyAlignment="1" applyProtection="1">
      <alignment horizontal="center" vertical="center"/>
      <protection hidden="1"/>
    </xf>
    <xf numFmtId="167" fontId="14" fillId="3" borderId="25" xfId="5" applyNumberFormat="1" applyFont="1" applyFill="1" applyBorder="1" applyProtection="1">
      <protection hidden="1"/>
    </xf>
    <xf numFmtId="167" fontId="14" fillId="3" borderId="24" xfId="5" applyNumberFormat="1" applyFont="1" applyFill="1" applyBorder="1" applyProtection="1">
      <protection hidden="1"/>
    </xf>
    <xf numFmtId="0" fontId="21" fillId="3" borderId="25" xfId="11" applyNumberFormat="1" applyFont="1" applyFill="1" applyBorder="1" applyAlignment="1" applyProtection="1">
      <alignment vertical="center"/>
      <protection hidden="1"/>
    </xf>
    <xf numFmtId="49" fontId="10" fillId="3" borderId="25" xfId="11" applyNumberFormat="1" applyFont="1" applyFill="1" applyBorder="1" applyAlignment="1" applyProtection="1">
      <alignment horizontal="center" vertical="center"/>
      <protection hidden="1"/>
    </xf>
    <xf numFmtId="166" fontId="14" fillId="3" borderId="24" xfId="5" applyNumberFormat="1" applyFont="1" applyFill="1" applyBorder="1" applyProtection="1">
      <protection hidden="1"/>
    </xf>
    <xf numFmtId="0" fontId="23" fillId="3" borderId="0" xfId="11" applyFont="1" applyFill="1"/>
    <xf numFmtId="0" fontId="10" fillId="3" borderId="25" xfId="11" applyFont="1" applyFill="1" applyBorder="1" applyAlignment="1" applyProtection="1">
      <alignment vertical="center"/>
      <protection hidden="1"/>
    </xf>
    <xf numFmtId="167" fontId="10" fillId="3" borderId="25" xfId="5" applyNumberFormat="1" applyFont="1" applyFill="1" applyBorder="1" applyAlignment="1" applyProtection="1">
      <alignment horizontal="center" vertical="center"/>
      <protection hidden="1"/>
    </xf>
    <xf numFmtId="0" fontId="3" fillId="3" borderId="28" xfId="11" applyFont="1" applyFill="1" applyBorder="1" applyAlignment="1">
      <alignment horizontal="left" wrapText="1"/>
    </xf>
    <xf numFmtId="0" fontId="3" fillId="3" borderId="28" xfId="11" applyFont="1" applyFill="1" applyBorder="1" applyAlignment="1">
      <alignment horizontal="center" wrapText="1"/>
    </xf>
    <xf numFmtId="167" fontId="3" fillId="3" borderId="23" xfId="5" applyNumberFormat="1" applyFont="1" applyFill="1" applyBorder="1" applyAlignment="1" applyProtection="1">
      <alignment horizontal="center" vertical="center"/>
      <protection hidden="1"/>
    </xf>
    <xf numFmtId="167" fontId="3" fillId="3" borderId="23" xfId="5" applyNumberFormat="1" applyFont="1" applyFill="1" applyBorder="1" applyProtection="1">
      <protection hidden="1"/>
    </xf>
    <xf numFmtId="167" fontId="6" fillId="3" borderId="24" xfId="5" applyNumberFormat="1" applyFont="1" applyFill="1" applyBorder="1" applyProtection="1">
      <protection hidden="1"/>
    </xf>
    <xf numFmtId="166" fontId="3" fillId="3" borderId="24" xfId="5" applyNumberFormat="1" applyFont="1" applyFill="1" applyBorder="1" applyProtection="1">
      <protection hidden="1"/>
    </xf>
    <xf numFmtId="167" fontId="3" fillId="3" borderId="24" xfId="5" applyNumberFormat="1" applyFont="1" applyFill="1" applyBorder="1" applyProtection="1">
      <protection hidden="1"/>
    </xf>
    <xf numFmtId="0" fontId="3" fillId="3" borderId="0" xfId="11" applyFont="1" applyFill="1" applyProtection="1">
      <protection hidden="1"/>
    </xf>
    <xf numFmtId="167" fontId="31" fillId="0" borderId="23" xfId="5" applyNumberFormat="1" applyFont="1" applyFill="1" applyBorder="1" applyProtection="1">
      <protection hidden="1"/>
    </xf>
    <xf numFmtId="0" fontId="14" fillId="0" borderId="0" xfId="0" applyFont="1" applyFill="1"/>
    <xf numFmtId="0" fontId="39" fillId="0" borderId="0" xfId="0" applyFont="1"/>
    <xf numFmtId="0" fontId="4" fillId="0" borderId="0" xfId="6" applyFont="1" applyFill="1"/>
    <xf numFmtId="0" fontId="2" fillId="0" borderId="0" xfId="6" applyFont="1" applyFill="1" applyAlignment="1">
      <alignment horizontal="center"/>
    </xf>
    <xf numFmtId="0" fontId="2" fillId="0" borderId="0" xfId="6" applyFont="1" applyFill="1"/>
    <xf numFmtId="0" fontId="6" fillId="0" borderId="0" xfId="6" applyFont="1" applyFill="1" applyAlignment="1">
      <alignment vertical="center" wrapText="1"/>
    </xf>
    <xf numFmtId="0" fontId="4" fillId="0" borderId="0" xfId="6" applyFont="1" applyFill="1" applyAlignment="1">
      <alignment vertical="center" wrapText="1"/>
    </xf>
    <xf numFmtId="170" fontId="25" fillId="0" borderId="1" xfId="6" applyNumberFormat="1" applyFont="1" applyFill="1" applyBorder="1" applyAlignment="1">
      <alignment horizontal="center" vertical="center"/>
    </xf>
    <xf numFmtId="170" fontId="25" fillId="0" borderId="16" xfId="6" applyNumberFormat="1" applyFont="1" applyFill="1" applyBorder="1" applyAlignment="1">
      <alignment horizontal="center" vertical="center"/>
    </xf>
    <xf numFmtId="0" fontId="25" fillId="0" borderId="0" xfId="6" applyFont="1" applyFill="1" applyAlignment="1">
      <alignment vertical="center"/>
    </xf>
    <xf numFmtId="170" fontId="2" fillId="0" borderId="1" xfId="7" applyNumberFormat="1" applyFont="1" applyFill="1" applyBorder="1" applyAlignment="1">
      <alignment horizontal="center" vertical="center" wrapText="1"/>
    </xf>
    <xf numFmtId="0" fontId="2" fillId="0" borderId="33" xfId="6" applyFont="1" applyFill="1" applyBorder="1" applyAlignment="1">
      <alignment vertical="center" wrapText="1"/>
    </xf>
    <xf numFmtId="170" fontId="2" fillId="0" borderId="15" xfId="7" applyNumberFormat="1" applyFont="1" applyFill="1" applyBorder="1" applyAlignment="1">
      <alignment horizontal="center" vertical="center" wrapText="1"/>
    </xf>
    <xf numFmtId="170" fontId="2" fillId="0" borderId="16" xfId="7" applyNumberFormat="1" applyFont="1" applyFill="1" applyBorder="1" applyAlignment="1">
      <alignment horizontal="center" vertical="center" wrapText="1"/>
    </xf>
    <xf numFmtId="167" fontId="4" fillId="0" borderId="18" xfId="7" applyNumberFormat="1" applyFont="1" applyFill="1" applyBorder="1" applyAlignment="1">
      <alignment horizontal="center" vertical="center" wrapText="1"/>
    </xf>
    <xf numFmtId="167" fontId="2" fillId="0" borderId="19" xfId="7" applyNumberFormat="1" applyFont="1" applyFill="1" applyBorder="1" applyAlignment="1">
      <alignment vertical="center" wrapText="1"/>
    </xf>
    <xf numFmtId="174" fontId="2" fillId="0" borderId="0" xfId="6" applyNumberFormat="1" applyFont="1" applyFill="1" applyBorder="1" applyAlignment="1">
      <alignment vertical="center" wrapText="1"/>
    </xf>
    <xf numFmtId="174" fontId="2" fillId="0" borderId="35" xfId="6" quotePrefix="1" applyNumberFormat="1" applyFont="1" applyFill="1" applyBorder="1" applyAlignment="1">
      <alignment vertical="center"/>
    </xf>
    <xf numFmtId="174" fontId="4" fillId="0" borderId="0" xfId="6" applyNumberFormat="1" applyFont="1" applyFill="1" applyBorder="1" applyAlignment="1">
      <alignment horizontal="center" vertical="center" wrapText="1"/>
    </xf>
    <xf numFmtId="174" fontId="4" fillId="0" borderId="0" xfId="6" applyNumberFormat="1" applyFont="1" applyFill="1" applyBorder="1" applyAlignment="1">
      <alignment horizontal="left" vertical="center" wrapText="1"/>
    </xf>
    <xf numFmtId="174" fontId="2" fillId="0" borderId="0" xfId="6" applyNumberFormat="1" applyFont="1" applyFill="1" applyAlignment="1">
      <alignment vertical="center" wrapText="1"/>
    </xf>
    <xf numFmtId="174" fontId="4" fillId="0" borderId="1" xfId="6" applyNumberFormat="1" applyFont="1" applyFill="1" applyBorder="1" applyAlignment="1">
      <alignment horizontal="center" vertical="center" wrapText="1"/>
    </xf>
    <xf numFmtId="174" fontId="2" fillId="0" borderId="0" xfId="6" applyNumberFormat="1" applyFont="1" applyFill="1" applyBorder="1" applyAlignment="1">
      <alignment horizontal="center" vertical="center" wrapText="1"/>
    </xf>
    <xf numFmtId="37" fontId="2" fillId="0" borderId="0" xfId="6" applyNumberFormat="1" applyFont="1" applyFill="1" applyBorder="1" applyAlignment="1">
      <alignment horizontal="center" vertical="center" wrapText="1"/>
    </xf>
    <xf numFmtId="170" fontId="2" fillId="0" borderId="0" xfId="6" applyNumberFormat="1" applyFont="1" applyFill="1" applyBorder="1" applyAlignment="1">
      <alignment horizontal="center" vertical="center" wrapText="1"/>
    </xf>
    <xf numFmtId="170" fontId="2" fillId="0" borderId="0" xfId="6" applyNumberFormat="1" applyFont="1" applyFill="1" applyBorder="1" applyAlignment="1">
      <alignment vertical="center" wrapText="1"/>
    </xf>
    <xf numFmtId="170" fontId="4" fillId="0" borderId="0" xfId="6" applyNumberFormat="1" applyFont="1" applyFill="1" applyBorder="1" applyAlignment="1">
      <alignment horizontal="center" vertical="center" wrapText="1"/>
    </xf>
    <xf numFmtId="0" fontId="2" fillId="0" borderId="0" xfId="6" applyFont="1" applyFill="1" applyAlignment="1">
      <alignment vertical="center" wrapText="1"/>
    </xf>
    <xf numFmtId="0" fontId="2" fillId="0" borderId="0" xfId="6" applyFont="1" applyFill="1" applyBorder="1" applyAlignment="1">
      <alignment horizontal="center" vertical="center" wrapText="1"/>
    </xf>
    <xf numFmtId="0" fontId="2" fillId="0" borderId="0" xfId="6" applyFont="1" applyFill="1" applyAlignment="1">
      <alignment horizontal="center" vertical="center" wrapText="1"/>
    </xf>
    <xf numFmtId="0" fontId="4" fillId="0" borderId="1" xfId="0" applyFont="1" applyFill="1" applyBorder="1" applyAlignment="1" applyProtection="1">
      <alignment horizontal="center" vertical="center"/>
      <protection hidden="1"/>
    </xf>
    <xf numFmtId="170" fontId="25" fillId="0" borderId="15" xfId="6" applyNumberFormat="1" applyFont="1" applyFill="1" applyBorder="1" applyAlignment="1">
      <alignment horizontal="left" vertical="center"/>
    </xf>
    <xf numFmtId="174" fontId="4" fillId="0" borderId="17" xfId="6" applyNumberFormat="1" applyFont="1" applyFill="1" applyBorder="1" applyAlignment="1">
      <alignment horizontal="center" vertical="center" wrapText="1"/>
    </xf>
    <xf numFmtId="167" fontId="2" fillId="0" borderId="0" xfId="6" applyNumberFormat="1" applyFont="1" applyFill="1" applyBorder="1" applyAlignment="1">
      <alignment horizontal="center" vertical="center" wrapText="1"/>
    </xf>
    <xf numFmtId="174" fontId="4" fillId="0" borderId="0" xfId="6" applyNumberFormat="1" applyFont="1" applyFill="1" applyBorder="1" applyAlignment="1">
      <alignment horizontal="center" vertical="center" wrapText="1"/>
    </xf>
    <xf numFmtId="170" fontId="4" fillId="0" borderId="0" xfId="6" applyNumberFormat="1" applyFont="1" applyFill="1" applyBorder="1" applyAlignment="1">
      <alignment horizontal="center" vertical="center" wrapText="1"/>
    </xf>
    <xf numFmtId="170" fontId="2" fillId="0" borderId="2" xfId="7" applyNumberFormat="1" applyFont="1" applyFill="1" applyBorder="1" applyAlignment="1">
      <alignment horizontal="center" vertical="center" wrapText="1"/>
    </xf>
    <xf numFmtId="174" fontId="4" fillId="0" borderId="13" xfId="6" applyNumberFormat="1" applyFont="1" applyFill="1" applyBorder="1" applyAlignment="1">
      <alignment horizontal="center" vertical="center" wrapText="1"/>
    </xf>
    <xf numFmtId="170" fontId="4" fillId="0" borderId="18" xfId="7" applyNumberFormat="1" applyFont="1" applyFill="1" applyBorder="1" applyAlignment="1">
      <alignment horizontal="center" vertical="center" wrapText="1"/>
    </xf>
    <xf numFmtId="170" fontId="46" fillId="0" borderId="1" xfId="6" applyNumberFormat="1" applyFont="1" applyFill="1" applyBorder="1" applyAlignment="1">
      <alignment horizontal="center" vertical="center"/>
    </xf>
    <xf numFmtId="167" fontId="44" fillId="0" borderId="1" xfId="7" applyNumberFormat="1" applyFont="1" applyFill="1" applyBorder="1" applyAlignment="1">
      <alignment horizontal="center" vertical="center" wrapText="1"/>
    </xf>
    <xf numFmtId="170" fontId="44" fillId="0" borderId="1" xfId="7" applyNumberFormat="1" applyFont="1" applyFill="1" applyBorder="1" applyAlignment="1">
      <alignment horizontal="center" vertical="center" wrapText="1"/>
    </xf>
    <xf numFmtId="167" fontId="43" fillId="0" borderId="18" xfId="7" applyNumberFormat="1" applyFont="1" applyFill="1" applyBorder="1" applyAlignment="1">
      <alignment horizontal="center" vertical="center" wrapText="1"/>
    </xf>
    <xf numFmtId="0" fontId="3" fillId="0" borderId="0" xfId="9" applyFont="1"/>
    <xf numFmtId="0" fontId="23" fillId="0" borderId="0" xfId="2" applyFont="1"/>
    <xf numFmtId="0" fontId="28" fillId="5" borderId="0" xfId="9" applyFont="1" applyFill="1"/>
    <xf numFmtId="171" fontId="37" fillId="6" borderId="0" xfId="9" applyNumberFormat="1" applyFont="1" applyFill="1"/>
    <xf numFmtId="0" fontId="28" fillId="0" borderId="0" xfId="9" applyFont="1"/>
    <xf numFmtId="0" fontId="47" fillId="0" borderId="0" xfId="9" applyFont="1"/>
    <xf numFmtId="0" fontId="28" fillId="3" borderId="4" xfId="9" applyFont="1" applyFill="1" applyBorder="1"/>
    <xf numFmtId="0" fontId="28" fillId="0" borderId="4" xfId="9" applyFont="1" applyBorder="1"/>
    <xf numFmtId="0" fontId="28" fillId="0" borderId="1" xfId="9" applyFont="1" applyBorder="1"/>
    <xf numFmtId="0" fontId="37" fillId="0" borderId="1" xfId="9" applyFont="1" applyBorder="1"/>
    <xf numFmtId="0" fontId="33" fillId="7" borderId="39" xfId="0" applyFont="1" applyFill="1" applyBorder="1" applyAlignment="1">
      <alignment horizontal="center" vertical="center" wrapText="1"/>
    </xf>
    <xf numFmtId="0" fontId="33" fillId="7" borderId="40" xfId="0" applyFont="1" applyFill="1" applyBorder="1" applyAlignment="1">
      <alignment horizontal="center" vertical="center" wrapText="1"/>
    </xf>
    <xf numFmtId="169" fontId="28" fillId="0" borderId="1" xfId="9" applyNumberFormat="1" applyFont="1" applyBorder="1"/>
    <xf numFmtId="169" fontId="48" fillId="0" borderId="1" xfId="9" applyNumberFormat="1" applyFont="1" applyBorder="1"/>
    <xf numFmtId="0" fontId="3" fillId="0" borderId="20" xfId="9" applyFont="1" applyBorder="1"/>
    <xf numFmtId="169" fontId="3" fillId="0" borderId="20" xfId="9" applyNumberFormat="1" applyFont="1" applyBorder="1"/>
    <xf numFmtId="169" fontId="3" fillId="0" borderId="0" xfId="9" applyNumberFormat="1" applyFont="1"/>
    <xf numFmtId="169" fontId="47" fillId="0" borderId="20" xfId="9" applyNumberFormat="1" applyFont="1" applyBorder="1"/>
    <xf numFmtId="171" fontId="37" fillId="0" borderId="0" xfId="9" applyNumberFormat="1" applyFont="1"/>
    <xf numFmtId="0" fontId="49" fillId="7" borderId="39" xfId="0" applyFont="1" applyFill="1" applyBorder="1" applyAlignment="1">
      <alignment horizontal="center" vertical="center" wrapText="1"/>
    </xf>
    <xf numFmtId="0" fontId="49" fillId="7" borderId="40" xfId="0" applyFont="1" applyFill="1" applyBorder="1" applyAlignment="1">
      <alignment horizontal="center" vertical="center" wrapText="1"/>
    </xf>
    <xf numFmtId="0" fontId="3" fillId="5" borderId="0" xfId="9" applyFont="1" applyFill="1"/>
    <xf numFmtId="169" fontId="3" fillId="6" borderId="0" xfId="9" applyNumberFormat="1" applyFont="1" applyFill="1"/>
    <xf numFmtId="0" fontId="3" fillId="3" borderId="0" xfId="9" applyFont="1" applyFill="1"/>
    <xf numFmtId="0" fontId="3" fillId="0" borderId="1" xfId="9" applyFont="1" applyBorder="1"/>
    <xf numFmtId="169" fontId="3" fillId="0" borderId="1" xfId="9" applyNumberFormat="1" applyFont="1" applyBorder="1"/>
    <xf numFmtId="0" fontId="28" fillId="0" borderId="20" xfId="9" applyFont="1" applyBorder="1"/>
    <xf numFmtId="169" fontId="48" fillId="0" borderId="20" xfId="9" applyNumberFormat="1" applyFont="1" applyBorder="1"/>
    <xf numFmtId="0" fontId="50" fillId="7" borderId="39" xfId="0" applyFont="1" applyFill="1" applyBorder="1" applyAlignment="1">
      <alignment horizontal="center" vertical="center" wrapText="1"/>
    </xf>
    <xf numFmtId="0" fontId="50" fillId="7" borderId="40" xfId="0" applyFont="1" applyFill="1" applyBorder="1" applyAlignment="1">
      <alignment horizontal="center" vertical="center" wrapText="1"/>
    </xf>
    <xf numFmtId="3" fontId="50" fillId="7" borderId="40" xfId="0" applyNumberFormat="1" applyFont="1" applyFill="1" applyBorder="1" applyAlignment="1">
      <alignment horizontal="center" vertical="center" wrapText="1"/>
    </xf>
    <xf numFmtId="0" fontId="3" fillId="8" borderId="20" xfId="9" applyFont="1" applyFill="1" applyBorder="1"/>
    <xf numFmtId="0" fontId="3" fillId="9" borderId="1" xfId="9" applyFont="1" applyFill="1" applyBorder="1"/>
    <xf numFmtId="0" fontId="49" fillId="0" borderId="39" xfId="0" applyFont="1" applyBorder="1" applyAlignment="1">
      <alignment horizontal="center" vertical="center" wrapText="1"/>
    </xf>
    <xf numFmtId="0" fontId="49" fillId="0" borderId="40" xfId="0" applyFont="1" applyBorder="1" applyAlignment="1">
      <alignment horizontal="center" vertical="center" wrapText="1"/>
    </xf>
    <xf numFmtId="3" fontId="49" fillId="0" borderId="40" xfId="0" applyNumberFormat="1" applyFont="1" applyBorder="1" applyAlignment="1">
      <alignment horizontal="center" vertical="center" wrapText="1"/>
    </xf>
    <xf numFmtId="172" fontId="3" fillId="0" borderId="1" xfId="9" applyNumberFormat="1" applyFont="1" applyBorder="1"/>
    <xf numFmtId="172" fontId="48" fillId="0" borderId="1" xfId="9" applyNumberFormat="1" applyFont="1" applyBorder="1"/>
    <xf numFmtId="0" fontId="50" fillId="0" borderId="39" xfId="0" applyFont="1" applyBorder="1" applyAlignment="1">
      <alignment horizontal="center" vertical="center" wrapText="1"/>
    </xf>
    <xf numFmtId="0" fontId="50" fillId="0" borderId="40" xfId="0" applyFont="1" applyBorder="1" applyAlignment="1">
      <alignment horizontal="center" vertical="center" wrapText="1"/>
    </xf>
    <xf numFmtId="3" fontId="50" fillId="0" borderId="40" xfId="0" applyNumberFormat="1" applyFont="1" applyBorder="1" applyAlignment="1">
      <alignment horizontal="center" vertical="center" wrapText="1"/>
    </xf>
    <xf numFmtId="0" fontId="3" fillId="8" borderId="20" xfId="9" applyFont="1" applyFill="1" applyBorder="1" applyAlignment="1">
      <alignment wrapText="1"/>
    </xf>
    <xf numFmtId="0" fontId="51" fillId="0" borderId="21" xfId="0" applyFont="1" applyBorder="1" applyAlignment="1">
      <alignment horizontal="center" vertical="center" wrapText="1"/>
    </xf>
    <xf numFmtId="3" fontId="51" fillId="0" borderId="21" xfId="0" applyNumberFormat="1" applyFont="1" applyBorder="1" applyAlignment="1">
      <alignment horizontal="center" vertical="center" wrapText="1"/>
    </xf>
    <xf numFmtId="0" fontId="38" fillId="0" borderId="21" xfId="0" applyFont="1" applyBorder="1" applyAlignment="1">
      <alignment horizontal="right" vertical="center" wrapText="1"/>
    </xf>
    <xf numFmtId="167" fontId="3" fillId="0" borderId="0" xfId="10" applyNumberFormat="1" applyFont="1" applyBorder="1"/>
    <xf numFmtId="0" fontId="15" fillId="0" borderId="1" xfId="9" applyFont="1" applyBorder="1"/>
    <xf numFmtId="167" fontId="3" fillId="0" borderId="1" xfId="10" applyNumberFormat="1" applyFont="1" applyBorder="1"/>
    <xf numFmtId="167" fontId="3" fillId="0" borderId="11" xfId="10" applyNumberFormat="1" applyFont="1" applyBorder="1"/>
    <xf numFmtId="169" fontId="3" fillId="0" borderId="0" xfId="10" applyNumberFormat="1" applyFont="1" applyBorder="1"/>
    <xf numFmtId="0" fontId="3" fillId="0" borderId="21" xfId="0" applyFont="1" applyBorder="1" applyAlignment="1">
      <alignment horizontal="right" vertical="center" wrapText="1"/>
    </xf>
    <xf numFmtId="0" fontId="3" fillId="0" borderId="11" xfId="9" applyFont="1" applyBorder="1"/>
    <xf numFmtId="169" fontId="3" fillId="3" borderId="1" xfId="9" applyNumberFormat="1" applyFont="1" applyFill="1" applyBorder="1"/>
    <xf numFmtId="169" fontId="3" fillId="0" borderId="11" xfId="9" applyNumberFormat="1" applyFont="1" applyBorder="1"/>
    <xf numFmtId="0" fontId="3" fillId="0" borderId="21" xfId="2" applyFont="1" applyBorder="1" applyAlignment="1">
      <alignment horizontal="center" vertical="center" wrapText="1"/>
    </xf>
    <xf numFmtId="173" fontId="23" fillId="0" borderId="0" xfId="2" applyNumberFormat="1" applyFont="1"/>
    <xf numFmtId="0" fontId="18" fillId="0" borderId="1" xfId="0" quotePrefix="1" applyFont="1" applyBorder="1" applyAlignment="1">
      <alignment horizontal="center" vertical="center" wrapText="1"/>
    </xf>
    <xf numFmtId="0" fontId="52" fillId="0" borderId="32" xfId="0" quotePrefix="1" applyFont="1" applyBorder="1" applyAlignment="1">
      <alignment horizontal="center" vertical="center" wrapText="1"/>
    </xf>
    <xf numFmtId="0" fontId="52" fillId="0" borderId="32" xfId="0" quotePrefix="1" applyFont="1" applyBorder="1" applyAlignment="1">
      <alignment horizontal="justify" vertical="center" wrapText="1"/>
    </xf>
    <xf numFmtId="3" fontId="52" fillId="0" borderId="32" xfId="1" applyNumberFormat="1" applyFont="1" applyFill="1" applyBorder="1" applyAlignment="1">
      <alignment horizontal="right" vertical="center"/>
    </xf>
    <xf numFmtId="0" fontId="52" fillId="0" borderId="28" xfId="0" quotePrefix="1" applyFont="1" applyBorder="1" applyAlignment="1">
      <alignment horizontal="center" vertical="center" wrapText="1"/>
    </xf>
    <xf numFmtId="0" fontId="52" fillId="0" borderId="28" xfId="0" quotePrefix="1" applyFont="1" applyBorder="1" applyAlignment="1">
      <alignment horizontal="justify" vertical="center" wrapText="1"/>
    </xf>
    <xf numFmtId="3" fontId="52" fillId="0" borderId="28" xfId="1" applyNumberFormat="1" applyFont="1" applyFill="1" applyBorder="1" applyAlignment="1">
      <alignment horizontal="right" vertical="center"/>
    </xf>
    <xf numFmtId="3" fontId="52" fillId="0" borderId="28" xfId="1" quotePrefix="1" applyNumberFormat="1" applyFont="1" applyFill="1" applyBorder="1" applyAlignment="1">
      <alignment horizontal="right" vertical="center" wrapText="1"/>
    </xf>
    <xf numFmtId="176" fontId="52" fillId="0" borderId="28" xfId="1" applyNumberFormat="1" applyFont="1" applyFill="1" applyBorder="1" applyAlignment="1">
      <alignment horizontal="right" vertical="center" wrapText="1"/>
    </xf>
    <xf numFmtId="0" fontId="52" fillId="0" borderId="31" xfId="0" quotePrefix="1" applyFont="1" applyBorder="1" applyAlignment="1">
      <alignment horizontal="center" vertical="center" wrapText="1"/>
    </xf>
    <xf numFmtId="0" fontId="52" fillId="0" borderId="31" xfId="0" quotePrefix="1" applyFont="1" applyBorder="1" applyAlignment="1">
      <alignment horizontal="justify" vertical="center" wrapText="1"/>
    </xf>
    <xf numFmtId="176" fontId="52" fillId="0" borderId="31" xfId="1" applyNumberFormat="1" applyFont="1" applyFill="1" applyBorder="1" applyAlignment="1">
      <alignment horizontal="right" vertical="center" wrapText="1"/>
    </xf>
    <xf numFmtId="3" fontId="52" fillId="0" borderId="31" xfId="1" quotePrefix="1" applyNumberFormat="1" applyFont="1" applyFill="1" applyBorder="1" applyAlignment="1">
      <alignment horizontal="right" vertical="center" wrapText="1"/>
    </xf>
    <xf numFmtId="3" fontId="0" fillId="0" borderId="0" xfId="0" applyNumberFormat="1"/>
    <xf numFmtId="175" fontId="2" fillId="0" borderId="0" xfId="6" applyNumberFormat="1" applyFont="1" applyFill="1" applyBorder="1" applyAlignment="1">
      <alignment horizontal="center" vertical="center" wrapText="1"/>
    </xf>
    <xf numFmtId="167" fontId="4" fillId="0" borderId="1" xfId="1" applyNumberFormat="1" applyFont="1" applyFill="1" applyBorder="1" applyAlignment="1">
      <alignment horizontal="center" vertical="center" wrapText="1"/>
    </xf>
    <xf numFmtId="170" fontId="4" fillId="0" borderId="18" xfId="1" applyNumberFormat="1" applyFont="1" applyFill="1" applyBorder="1" applyAlignment="1">
      <alignment horizontal="center" vertical="center" wrapText="1"/>
    </xf>
    <xf numFmtId="0" fontId="3" fillId="0" borderId="0" xfId="0" applyFont="1"/>
    <xf numFmtId="0" fontId="0" fillId="0" borderId="1" xfId="0" applyBorder="1"/>
    <xf numFmtId="167" fontId="1" fillId="0" borderId="0" xfId="1" applyNumberFormat="1" applyFont="1" applyBorder="1" applyAlignment="1">
      <alignment horizontal="center"/>
    </xf>
    <xf numFmtId="167" fontId="1" fillId="0" borderId="0" xfId="1" applyNumberFormat="1" applyFont="1"/>
    <xf numFmtId="0" fontId="0" fillId="3" borderId="0" xfId="0" applyFill="1"/>
    <xf numFmtId="0" fontId="3" fillId="0" borderId="1" xfId="0" applyFont="1" applyBorder="1"/>
    <xf numFmtId="167" fontId="3" fillId="3" borderId="0" xfId="1" applyNumberFormat="1" applyFont="1" applyFill="1"/>
    <xf numFmtId="167" fontId="1" fillId="0" borderId="0" xfId="1" applyNumberFormat="1" applyFont="1" applyFill="1" applyBorder="1" applyAlignment="1">
      <alignment horizontal="center"/>
    </xf>
    <xf numFmtId="167" fontId="3" fillId="10" borderId="0" xfId="1" applyNumberFormat="1" applyFont="1" applyFill="1"/>
    <xf numFmtId="0" fontId="3" fillId="0" borderId="0" xfId="0" applyFont="1" applyBorder="1" applyAlignment="1">
      <alignment horizontal="center" vertical="center" wrapText="1"/>
    </xf>
    <xf numFmtId="0" fontId="0" fillId="0" borderId="0" xfId="0" applyBorder="1"/>
    <xf numFmtId="0" fontId="48" fillId="0" borderId="0" xfId="0" applyFont="1"/>
    <xf numFmtId="0" fontId="0" fillId="0" borderId="0" xfId="0" applyBorder="1" applyAlignment="1">
      <alignment horizontal="center" vertical="center" wrapText="1"/>
    </xf>
    <xf numFmtId="0" fontId="0" fillId="0" borderId="1" xfId="0" applyBorder="1" applyAlignment="1">
      <alignment horizontal="center"/>
    </xf>
    <xf numFmtId="0" fontId="56" fillId="0" borderId="1" xfId="0" applyFont="1" applyFill="1" applyBorder="1"/>
    <xf numFmtId="2" fontId="57" fillId="0" borderId="1" xfId="0" applyNumberFormat="1" applyFont="1" applyFill="1" applyBorder="1" applyAlignment="1">
      <alignment horizontal="center"/>
    </xf>
    <xf numFmtId="167" fontId="10" fillId="0" borderId="1" xfId="0" applyNumberFormat="1" applyFont="1" applyFill="1" applyBorder="1"/>
    <xf numFmtId="0" fontId="10" fillId="0" borderId="1" xfId="0" applyFont="1" applyFill="1" applyBorder="1"/>
    <xf numFmtId="167" fontId="56" fillId="12" borderId="0" xfId="1" applyNumberFormat="1" applyFont="1" applyFill="1" applyBorder="1" applyAlignment="1">
      <alignment horizontal="right"/>
    </xf>
    <xf numFmtId="0" fontId="42" fillId="0" borderId="0" xfId="0" applyFont="1" applyFill="1"/>
    <xf numFmtId="0" fontId="58" fillId="0" borderId="0" xfId="0" applyFont="1"/>
    <xf numFmtId="0" fontId="23" fillId="0" borderId="1" xfId="0" applyFont="1" applyFill="1" applyBorder="1"/>
    <xf numFmtId="2" fontId="10" fillId="0" borderId="1" xfId="0" applyNumberFormat="1" applyFont="1" applyFill="1" applyBorder="1" applyAlignment="1">
      <alignment horizontal="center"/>
    </xf>
    <xf numFmtId="167" fontId="23" fillId="0" borderId="0" xfId="1" applyNumberFormat="1" applyFont="1" applyFill="1" applyBorder="1" applyAlignment="1">
      <alignment horizontal="right"/>
    </xf>
    <xf numFmtId="0" fontId="42" fillId="0" borderId="0" xfId="0" applyFont="1"/>
    <xf numFmtId="168" fontId="10" fillId="0" borderId="1" xfId="0" applyNumberFormat="1" applyFont="1" applyFill="1" applyBorder="1" applyAlignment="1">
      <alignment horizontal="center"/>
    </xf>
    <xf numFmtId="167" fontId="23" fillId="12" borderId="0" xfId="1" applyNumberFormat="1" applyFont="1" applyFill="1" applyBorder="1" applyAlignment="1">
      <alignment horizontal="right"/>
    </xf>
    <xf numFmtId="0" fontId="23" fillId="0" borderId="20" xfId="0" applyFont="1" applyBorder="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xf>
    <xf numFmtId="0" fontId="3" fillId="0" borderId="1" xfId="0" applyFont="1" applyFill="1" applyBorder="1" applyAlignment="1">
      <alignment horizontal="center"/>
    </xf>
    <xf numFmtId="0" fontId="0" fillId="0" borderId="1" xfId="0" applyFill="1" applyBorder="1"/>
    <xf numFmtId="167" fontId="23" fillId="0" borderId="0" xfId="1" applyNumberFormat="1" applyFont="1" applyBorder="1" applyAlignment="1">
      <alignment horizontal="right"/>
    </xf>
    <xf numFmtId="2" fontId="0" fillId="0" borderId="1" xfId="0" applyNumberFormat="1" applyFill="1" applyBorder="1" applyAlignment="1">
      <alignment horizontal="center"/>
    </xf>
    <xf numFmtId="0" fontId="59" fillId="0" borderId="1" xfId="0" applyFont="1" applyFill="1" applyBorder="1" applyAlignment="1">
      <alignment horizontal="left" indent="3"/>
    </xf>
    <xf numFmtId="0" fontId="59" fillId="0" borderId="1" xfId="0" applyFont="1" applyFill="1" applyBorder="1" applyAlignment="1"/>
    <xf numFmtId="0" fontId="0" fillId="12" borderId="1" xfId="0" applyFill="1" applyBorder="1" applyAlignment="1">
      <alignment horizontal="center"/>
    </xf>
    <xf numFmtId="0" fontId="3" fillId="12" borderId="1" xfId="0" applyFont="1" applyFill="1" applyBorder="1"/>
    <xf numFmtId="49" fontId="12" fillId="12" borderId="1" xfId="0" applyNumberFormat="1" applyFont="1" applyFill="1" applyBorder="1" applyAlignment="1">
      <alignment horizontal="center"/>
    </xf>
    <xf numFmtId="0" fontId="0" fillId="12" borderId="1" xfId="0" applyFill="1" applyBorder="1"/>
    <xf numFmtId="167" fontId="10" fillId="12" borderId="1" xfId="0" applyNumberFormat="1" applyFont="1" applyFill="1" applyBorder="1"/>
    <xf numFmtId="167" fontId="0" fillId="12" borderId="1" xfId="0" applyNumberFormat="1" applyFill="1" applyBorder="1"/>
    <xf numFmtId="49" fontId="12" fillId="0" borderId="1" xfId="0" applyNumberFormat="1" applyFont="1" applyBorder="1" applyAlignment="1">
      <alignment horizontal="center"/>
    </xf>
    <xf numFmtId="167" fontId="0" fillId="0" borderId="1" xfId="0" applyNumberFormat="1" applyBorder="1"/>
    <xf numFmtId="0" fontId="3" fillId="12" borderId="1" xfId="0" applyFont="1" applyFill="1" applyBorder="1" applyAlignment="1">
      <alignment wrapText="1"/>
    </xf>
    <xf numFmtId="0" fontId="55" fillId="0" borderId="4" xfId="0" applyFont="1" applyBorder="1" applyAlignment="1">
      <alignment horizontal="left" vertical="center"/>
    </xf>
    <xf numFmtId="0" fontId="0" fillId="0" borderId="3" xfId="0" applyBorder="1" applyAlignment="1">
      <alignment horizontal="center" vertical="center" wrapText="1"/>
    </xf>
    <xf numFmtId="0" fontId="3" fillId="0" borderId="1" xfId="0" applyFont="1" applyBorder="1" applyAlignment="1">
      <alignment horizontal="center"/>
    </xf>
    <xf numFmtId="0" fontId="6" fillId="0" borderId="0" xfId="0" applyFont="1" applyBorder="1" applyAlignment="1">
      <alignment horizontal="left" vertical="center"/>
    </xf>
    <xf numFmtId="0" fontId="5" fillId="0" borderId="0" xfId="0" applyFont="1"/>
    <xf numFmtId="0" fontId="5" fillId="0" borderId="1" xfId="0" applyFont="1" applyBorder="1"/>
    <xf numFmtId="0" fontId="55" fillId="0" borderId="0" xfId="0" applyFont="1" applyBorder="1" applyAlignment="1">
      <alignment horizontal="left" vertical="center"/>
    </xf>
    <xf numFmtId="0" fontId="6" fillId="0" borderId="0" xfId="0" applyFont="1" applyBorder="1" applyAlignment="1">
      <alignment horizontal="center" vertical="center"/>
    </xf>
    <xf numFmtId="0" fontId="3" fillId="0" borderId="1" xfId="0" applyFont="1" applyBorder="1" applyAlignment="1">
      <alignment horizontal="center" vertical="center"/>
    </xf>
    <xf numFmtId="0" fontId="60" fillId="0" borderId="0" xfId="0" applyFont="1"/>
    <xf numFmtId="0" fontId="6" fillId="0" borderId="4" xfId="0" applyFont="1" applyBorder="1" applyAlignment="1">
      <alignment vertical="center"/>
    </xf>
    <xf numFmtId="0" fontId="5" fillId="0" borderId="0" xfId="0" applyFont="1" applyBorder="1" applyAlignment="1">
      <alignment horizontal="center" vertical="center" wrapText="1"/>
    </xf>
    <xf numFmtId="0" fontId="56" fillId="0" borderId="1" xfId="0" applyFont="1" applyFill="1" applyBorder="1" applyAlignment="1">
      <alignment horizontal="center" vertical="center"/>
    </xf>
    <xf numFmtId="0" fontId="0" fillId="0" borderId="0" xfId="0" quotePrefix="1"/>
    <xf numFmtId="0" fontId="10" fillId="0" borderId="0" xfId="0" applyFont="1"/>
    <xf numFmtId="0" fontId="61" fillId="0" borderId="0" xfId="0" applyFont="1"/>
    <xf numFmtId="0" fontId="61" fillId="0" borderId="0" xfId="0" quotePrefix="1" applyFont="1"/>
    <xf numFmtId="0" fontId="61" fillId="0" borderId="32" xfId="0" quotePrefix="1" applyFont="1" applyBorder="1"/>
    <xf numFmtId="0" fontId="0" fillId="0" borderId="32" xfId="0" applyBorder="1"/>
    <xf numFmtId="0" fontId="0" fillId="0" borderId="28" xfId="0" applyBorder="1"/>
    <xf numFmtId="0" fontId="0" fillId="0" borderId="31" xfId="0" applyBorder="1"/>
    <xf numFmtId="0" fontId="10" fillId="0" borderId="0" xfId="0" applyFont="1" applyFill="1" applyAlignment="1">
      <alignment horizontal="left" vertical="center"/>
    </xf>
    <xf numFmtId="0" fontId="0" fillId="0" borderId="0" xfId="0" applyFill="1" applyAlignment="1"/>
    <xf numFmtId="0" fontId="3" fillId="9" borderId="20" xfId="9" applyFont="1" applyFill="1" applyBorder="1"/>
    <xf numFmtId="172" fontId="48" fillId="0" borderId="20" xfId="9" applyNumberFormat="1" applyFont="1" applyBorder="1"/>
    <xf numFmtId="3" fontId="44" fillId="0" borderId="1" xfId="3" applyNumberFormat="1" applyFont="1" applyFill="1" applyBorder="1" applyAlignment="1">
      <alignment horizontal="right" vertical="center"/>
    </xf>
    <xf numFmtId="0" fontId="44" fillId="0" borderId="1" xfId="0" applyFont="1" applyFill="1" applyBorder="1" applyAlignment="1">
      <alignment vertical="center" wrapText="1"/>
    </xf>
    <xf numFmtId="49" fontId="2" fillId="0" borderId="1" xfId="0" applyNumberFormat="1" applyFont="1" applyFill="1" applyBorder="1" applyAlignment="1">
      <alignment horizontal="center" vertical="center"/>
    </xf>
    <xf numFmtId="167" fontId="3" fillId="0" borderId="0" xfId="1" applyNumberFormat="1" applyFont="1" applyFill="1"/>
    <xf numFmtId="167" fontId="3" fillId="4" borderId="0" xfId="1" applyNumberFormat="1" applyFont="1" applyFill="1"/>
    <xf numFmtId="167" fontId="3" fillId="0" borderId="1" xfId="1" applyNumberFormat="1" applyFont="1" applyFill="1" applyBorder="1"/>
    <xf numFmtId="167" fontId="27" fillId="0" borderId="1" xfId="1" applyNumberFormat="1" applyFont="1" applyFill="1" applyBorder="1"/>
    <xf numFmtId="167" fontId="6" fillId="0" borderId="1" xfId="1" applyNumberFormat="1" applyFont="1" applyFill="1" applyBorder="1"/>
    <xf numFmtId="169" fontId="3" fillId="0" borderId="0" xfId="1" applyNumberFormat="1" applyFont="1" applyFill="1"/>
    <xf numFmtId="169" fontId="4" fillId="0" borderId="1" xfId="1" applyNumberFormat="1" applyFont="1" applyFill="1" applyBorder="1" applyAlignment="1">
      <alignment horizontal="center" vertical="center" wrapText="1"/>
    </xf>
    <xf numFmtId="169" fontId="3" fillId="0" borderId="1" xfId="1" applyNumberFormat="1" applyFont="1" applyFill="1" applyBorder="1"/>
    <xf numFmtId="167" fontId="27" fillId="0" borderId="0" xfId="1" applyNumberFormat="1" applyFont="1" applyFill="1"/>
    <xf numFmtId="167" fontId="27" fillId="4" borderId="0" xfId="1" applyNumberFormat="1" applyFont="1" applyFill="1"/>
    <xf numFmtId="167" fontId="6" fillId="0" borderId="0" xfId="1" applyNumberFormat="1" applyFont="1" applyFill="1"/>
    <xf numFmtId="167" fontId="6" fillId="4" borderId="0" xfId="1" applyNumberFormat="1" applyFont="1" applyFill="1"/>
    <xf numFmtId="167" fontId="32" fillId="0" borderId="1" xfId="1" applyNumberFormat="1" applyFont="1" applyFill="1" applyBorder="1"/>
    <xf numFmtId="167" fontId="28" fillId="0" borderId="1" xfId="1" applyNumberFormat="1" applyFont="1" applyFill="1" applyBorder="1"/>
    <xf numFmtId="169" fontId="28" fillId="0" borderId="1" xfId="1" applyNumberFormat="1" applyFont="1" applyFill="1" applyBorder="1"/>
    <xf numFmtId="167" fontId="63" fillId="0" borderId="1" xfId="1" applyNumberFormat="1" applyFont="1" applyFill="1" applyBorder="1"/>
    <xf numFmtId="169" fontId="63" fillId="0" borderId="1" xfId="1" applyNumberFormat="1" applyFont="1" applyFill="1" applyBorder="1"/>
    <xf numFmtId="169" fontId="32" fillId="0" borderId="1" xfId="1" applyNumberFormat="1" applyFont="1" applyFill="1" applyBorder="1"/>
    <xf numFmtId="0" fontId="4" fillId="0" borderId="1" xfId="3" applyFont="1" applyFill="1" applyBorder="1" applyAlignment="1">
      <alignment horizontal="center" vertical="center"/>
    </xf>
    <xf numFmtId="0" fontId="43" fillId="0" borderId="1" xfId="3" applyFont="1" applyFill="1" applyBorder="1" applyAlignment="1">
      <alignment vertical="center" wrapText="1"/>
    </xf>
    <xf numFmtId="0" fontId="43" fillId="0" borderId="1" xfId="0" applyFont="1" applyFill="1" applyBorder="1" applyAlignment="1">
      <alignment horizontal="center" vertical="center"/>
    </xf>
    <xf numFmtId="168" fontId="43" fillId="0" borderId="1" xfId="0" applyNumberFormat="1" applyFont="1" applyFill="1" applyBorder="1" applyAlignment="1">
      <alignment vertical="center"/>
    </xf>
    <xf numFmtId="3" fontId="43" fillId="0" borderId="1" xfId="1" applyNumberFormat="1" applyFont="1" applyFill="1" applyBorder="1" applyAlignment="1">
      <alignment horizontal="right" vertical="center"/>
    </xf>
    <xf numFmtId="0" fontId="45" fillId="0" borderId="1" xfId="3" quotePrefix="1" applyFont="1" applyFill="1" applyBorder="1" applyAlignment="1">
      <alignment horizontal="left" vertical="center"/>
    </xf>
    <xf numFmtId="0" fontId="45" fillId="0" borderId="1" xfId="0" applyFont="1" applyFill="1" applyBorder="1" applyAlignment="1">
      <alignment horizontal="center" vertical="center"/>
    </xf>
    <xf numFmtId="168" fontId="45" fillId="0" borderId="1" xfId="0" applyNumberFormat="1" applyFont="1" applyFill="1" applyBorder="1" applyAlignment="1">
      <alignment vertical="center"/>
    </xf>
    <xf numFmtId="3" fontId="45" fillId="0" borderId="1" xfId="1" applyNumberFormat="1" applyFont="1" applyFill="1" applyBorder="1" applyAlignment="1">
      <alignment horizontal="right" vertical="center"/>
    </xf>
    <xf numFmtId="3" fontId="45" fillId="0" borderId="1" xfId="1" applyNumberFormat="1" applyFont="1" applyFill="1" applyBorder="1" applyAlignment="1">
      <alignment vertical="center"/>
    </xf>
    <xf numFmtId="0" fontId="44" fillId="0" borderId="1" xfId="0" quotePrefix="1" applyFont="1" applyFill="1" applyBorder="1" applyAlignment="1">
      <alignment vertical="center" wrapText="1"/>
    </xf>
    <xf numFmtId="0" fontId="44" fillId="0" borderId="1" xfId="0" applyFont="1" applyFill="1" applyBorder="1" applyAlignment="1">
      <alignment horizontal="center" vertical="center" wrapText="1"/>
    </xf>
    <xf numFmtId="168" fontId="44" fillId="0" borderId="1" xfId="0" applyNumberFormat="1" applyFont="1" applyFill="1" applyBorder="1" applyAlignment="1">
      <alignment vertical="center"/>
    </xf>
    <xf numFmtId="3" fontId="44" fillId="0" borderId="1" xfId="1" applyNumberFormat="1" applyFont="1" applyFill="1" applyBorder="1" applyAlignment="1">
      <alignment vertical="center"/>
    </xf>
    <xf numFmtId="0" fontId="44" fillId="0" borderId="1" xfId="0" applyFont="1" applyFill="1" applyBorder="1" applyAlignment="1">
      <alignment horizontal="right" vertical="center" wrapText="1"/>
    </xf>
    <xf numFmtId="3" fontId="44" fillId="0" borderId="1" xfId="1" applyNumberFormat="1" applyFont="1" applyFill="1" applyBorder="1" applyAlignment="1">
      <alignment horizontal="right" vertical="center"/>
    </xf>
    <xf numFmtId="168" fontId="45" fillId="0" borderId="1" xfId="0" applyNumberFormat="1" applyFont="1" applyFill="1" applyBorder="1" applyAlignment="1">
      <alignment horizontal="right" vertical="center"/>
    </xf>
    <xf numFmtId="3" fontId="45" fillId="0" borderId="1" xfId="3" applyNumberFormat="1" applyFont="1" applyFill="1" applyBorder="1" applyAlignment="1">
      <alignment horizontal="right" vertical="center"/>
    </xf>
    <xf numFmtId="49" fontId="44" fillId="0" borderId="1" xfId="0" applyNumberFormat="1" applyFont="1" applyFill="1" applyBorder="1" applyAlignment="1">
      <alignment wrapText="1"/>
    </xf>
    <xf numFmtId="0" fontId="44" fillId="0" borderId="1" xfId="0" applyFont="1" applyFill="1" applyBorder="1" applyAlignment="1">
      <alignment horizontal="center"/>
    </xf>
    <xf numFmtId="168" fontId="44" fillId="0" borderId="1" xfId="0" applyNumberFormat="1" applyFont="1" applyFill="1" applyBorder="1" applyAlignment="1">
      <alignment horizontal="right"/>
    </xf>
    <xf numFmtId="0" fontId="3"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10" fillId="0" borderId="1" xfId="0" applyNumberFormat="1" applyFont="1" applyBorder="1" applyAlignment="1">
      <alignment vertical="center" wrapText="1"/>
    </xf>
    <xf numFmtId="0" fontId="10" fillId="0" borderId="1" xfId="0" applyFont="1" applyBorder="1" applyAlignment="1">
      <alignment horizontal="center" vertical="center"/>
    </xf>
    <xf numFmtId="0" fontId="10" fillId="0" borderId="0" xfId="0" applyFont="1" applyAlignment="1">
      <alignment wrapText="1"/>
    </xf>
    <xf numFmtId="0" fontId="10" fillId="0" borderId="0" xfId="0" applyFont="1" applyAlignment="1">
      <alignment vertical="center" wrapText="1"/>
    </xf>
    <xf numFmtId="0" fontId="14" fillId="0" borderId="0" xfId="0" applyFont="1"/>
    <xf numFmtId="0" fontId="10" fillId="0" borderId="0" xfId="0" applyFont="1" applyAlignment="1">
      <alignment horizontal="center" wrapText="1"/>
    </xf>
    <xf numFmtId="0" fontId="17"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52" fillId="0" borderId="1" xfId="0" applyFont="1" applyBorder="1" applyAlignment="1">
      <alignment horizontal="center" vertical="center"/>
    </xf>
    <xf numFmtId="0" fontId="52" fillId="0" borderId="1" xfId="0" applyFont="1" applyBorder="1" applyAlignment="1">
      <alignment vertical="center" wrapText="1"/>
    </xf>
    <xf numFmtId="3" fontId="52" fillId="0" borderId="1" xfId="0" applyNumberFormat="1" applyFont="1" applyBorder="1" applyAlignment="1">
      <alignment vertical="center"/>
    </xf>
    <xf numFmtId="3" fontId="3" fillId="0" borderId="1" xfId="0" applyNumberFormat="1" applyFont="1" applyBorder="1" applyAlignment="1">
      <alignment vertical="center"/>
    </xf>
    <xf numFmtId="0" fontId="14" fillId="0" borderId="0" xfId="0" applyFont="1" applyAlignment="1">
      <alignment vertical="center"/>
    </xf>
    <xf numFmtId="0" fontId="14" fillId="0" borderId="0" xfId="0" applyFont="1" applyAlignment="1">
      <alignment wrapText="1"/>
    </xf>
    <xf numFmtId="0" fontId="14" fillId="0" borderId="0" xfId="0" applyFont="1" applyBorder="1"/>
    <xf numFmtId="3" fontId="3" fillId="0" borderId="0" xfId="0" applyNumberFormat="1" applyFont="1" applyBorder="1" applyAlignment="1">
      <alignment vertical="center"/>
    </xf>
    <xf numFmtId="0" fontId="52" fillId="3" borderId="1" xfId="0" applyFont="1" applyFill="1" applyBorder="1" applyAlignment="1">
      <alignment horizontal="center" vertical="center"/>
    </xf>
    <xf numFmtId="3" fontId="52" fillId="3" borderId="1" xfId="0" applyNumberFormat="1" applyFont="1" applyFill="1" applyBorder="1" applyAlignment="1">
      <alignment vertical="center"/>
    </xf>
    <xf numFmtId="0" fontId="52" fillId="0" borderId="1" xfId="0" quotePrefix="1" applyFont="1" applyBorder="1" applyAlignment="1">
      <alignment vertical="center" wrapText="1"/>
    </xf>
    <xf numFmtId="0" fontId="52" fillId="0" borderId="1" xfId="0" applyFont="1" applyBorder="1" applyAlignment="1">
      <alignment horizontal="right" vertical="center"/>
    </xf>
    <xf numFmtId="0" fontId="52" fillId="0" borderId="1" xfId="3" quotePrefix="1" applyFont="1" applyBorder="1" applyAlignment="1">
      <alignment horizontal="left" vertical="center" wrapText="1"/>
    </xf>
    <xf numFmtId="0" fontId="52" fillId="0" borderId="1" xfId="3" applyFont="1" applyBorder="1" applyAlignment="1">
      <alignment horizontal="center" vertical="center"/>
    </xf>
    <xf numFmtId="0" fontId="64" fillId="0" borderId="0" xfId="0" applyFont="1"/>
    <xf numFmtId="0" fontId="62" fillId="3" borderId="0" xfId="0" applyFont="1" applyFill="1"/>
    <xf numFmtId="49" fontId="52" fillId="0" borderId="1" xfId="0" applyNumberFormat="1" applyFont="1" applyFill="1" applyBorder="1" applyAlignment="1">
      <alignment horizontal="left" vertical="center" wrapText="1"/>
    </xf>
    <xf numFmtId="49" fontId="52" fillId="0" borderId="1" xfId="0" quotePrefix="1" applyNumberFormat="1" applyFont="1" applyFill="1" applyBorder="1" applyAlignment="1">
      <alignment horizontal="left" vertical="center" wrapText="1"/>
    </xf>
    <xf numFmtId="49" fontId="52" fillId="0" borderId="1" xfId="0" applyNumberFormat="1" applyFont="1" applyFill="1" applyBorder="1" applyAlignment="1">
      <alignment horizontal="center" vertical="center"/>
    </xf>
    <xf numFmtId="0" fontId="52" fillId="0" borderId="36" xfId="3" applyFont="1" applyBorder="1" applyAlignment="1">
      <alignment vertical="center"/>
    </xf>
    <xf numFmtId="0" fontId="65" fillId="0" borderId="0" xfId="0" applyFont="1" applyAlignment="1">
      <alignment vertical="center"/>
    </xf>
    <xf numFmtId="0" fontId="12" fillId="0" borderId="0" xfId="0" applyFont="1" applyBorder="1"/>
    <xf numFmtId="0" fontId="67" fillId="0" borderId="0" xfId="0" applyFont="1" applyAlignment="1">
      <alignment horizontal="center" vertical="top"/>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8" fillId="0" borderId="1" xfId="0" applyFont="1" applyBorder="1" applyAlignment="1">
      <alignment horizontal="center" vertical="center"/>
    </xf>
    <xf numFmtId="0" fontId="68" fillId="0" borderId="1" xfId="0" applyFont="1" applyFill="1" applyBorder="1" applyAlignment="1">
      <alignment horizontal="left" vertical="top"/>
    </xf>
    <xf numFmtId="3" fontId="68" fillId="0" borderId="1" xfId="0" applyNumberFormat="1" applyFont="1" applyFill="1" applyBorder="1" applyAlignment="1">
      <alignment vertical="top"/>
    </xf>
    <xf numFmtId="0" fontId="3" fillId="0" borderId="1" xfId="0" applyFont="1" applyFill="1" applyBorder="1" applyAlignment="1">
      <alignment horizontal="left" vertical="top"/>
    </xf>
    <xf numFmtId="3" fontId="3" fillId="0" borderId="1" xfId="0" applyNumberFormat="1" applyFont="1" applyFill="1" applyBorder="1" applyAlignment="1">
      <alignment vertical="top"/>
    </xf>
    <xf numFmtId="3" fontId="3" fillId="0" borderId="1" xfId="0" applyNumberFormat="1" applyFont="1" applyBorder="1" applyAlignment="1"/>
    <xf numFmtId="0" fontId="12" fillId="0" borderId="0" xfId="0" applyFont="1" applyBorder="1" applyAlignment="1">
      <alignment horizontal="center"/>
    </xf>
    <xf numFmtId="3" fontId="69" fillId="3" borderId="1" xfId="0" applyNumberFormat="1" applyFont="1" applyFill="1" applyBorder="1" applyAlignment="1">
      <alignment vertical="center"/>
    </xf>
    <xf numFmtId="49" fontId="70" fillId="0" borderId="0" xfId="0" applyNumberFormat="1" applyFont="1" applyAlignment="1">
      <alignment wrapText="1"/>
    </xf>
    <xf numFmtId="0" fontId="70" fillId="0" borderId="0" xfId="0" applyFont="1" applyAlignment="1">
      <alignment horizontal="center"/>
    </xf>
    <xf numFmtId="168" fontId="70" fillId="0" borderId="0" xfId="0" applyNumberFormat="1" applyFont="1"/>
    <xf numFmtId="3" fontId="70" fillId="0" borderId="0" xfId="0" applyNumberFormat="1" applyFont="1"/>
    <xf numFmtId="0" fontId="73" fillId="0" borderId="32" xfId="0" applyFont="1" applyBorder="1" applyAlignment="1">
      <alignment horizontal="center" vertical="center" wrapText="1"/>
    </xf>
    <xf numFmtId="49" fontId="73" fillId="0" borderId="32" xfId="0" applyNumberFormat="1" applyFont="1" applyBorder="1" applyAlignment="1">
      <alignment horizontal="center" vertical="center" wrapText="1"/>
    </xf>
    <xf numFmtId="168" fontId="73" fillId="0" borderId="32" xfId="0" applyNumberFormat="1" applyFont="1" applyBorder="1" applyAlignment="1">
      <alignment horizontal="center" vertical="center" wrapText="1"/>
    </xf>
    <xf numFmtId="3" fontId="73" fillId="0" borderId="32" xfId="0" applyNumberFormat="1" applyFont="1" applyBorder="1" applyAlignment="1">
      <alignment horizontal="center" vertical="center" wrapText="1"/>
    </xf>
    <xf numFmtId="49" fontId="70" fillId="0" borderId="28" xfId="0" applyNumberFormat="1" applyFont="1" applyBorder="1" applyAlignment="1">
      <alignment horizontal="center" vertical="center"/>
    </xf>
    <xf numFmtId="49" fontId="70" fillId="0" borderId="28" xfId="0" applyNumberFormat="1" applyFont="1" applyBorder="1" applyAlignment="1">
      <alignment horizontal="center" vertical="center" wrapText="1"/>
    </xf>
    <xf numFmtId="168" fontId="70" fillId="0" borderId="28" xfId="0" applyNumberFormat="1" applyFont="1" applyBorder="1" applyAlignment="1">
      <alignment horizontal="center" vertical="center"/>
    </xf>
    <xf numFmtId="3" fontId="70" fillId="0" borderId="28" xfId="0" applyNumberFormat="1" applyFont="1" applyBorder="1" applyAlignment="1">
      <alignment horizontal="center" vertical="center"/>
    </xf>
    <xf numFmtId="49" fontId="73" fillId="10" borderId="28" xfId="0" applyNumberFormat="1" applyFont="1" applyFill="1" applyBorder="1" applyAlignment="1">
      <alignment horizontal="center" vertical="center"/>
    </xf>
    <xf numFmtId="168" fontId="73" fillId="10" borderId="28" xfId="0" applyNumberFormat="1" applyFont="1" applyFill="1" applyBorder="1" applyAlignment="1">
      <alignment horizontal="center" vertical="center"/>
    </xf>
    <xf numFmtId="3" fontId="73" fillId="10" borderId="28"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0" fontId="4" fillId="3" borderId="28" xfId="3" quotePrefix="1" applyFont="1" applyFill="1" applyBorder="1" applyAlignment="1">
      <alignment vertical="center"/>
    </xf>
    <xf numFmtId="0" fontId="4" fillId="3" borderId="28" xfId="3" applyFont="1" applyFill="1" applyBorder="1" applyAlignment="1">
      <alignment vertical="center"/>
    </xf>
    <xf numFmtId="168" fontId="4" fillId="3" borderId="28" xfId="0" applyNumberFormat="1" applyFont="1" applyFill="1" applyBorder="1" applyAlignment="1">
      <alignment horizontal="center" vertical="center"/>
    </xf>
    <xf numFmtId="3" fontId="4" fillId="3" borderId="28" xfId="0" applyNumberFormat="1" applyFont="1" applyFill="1" applyBorder="1" applyAlignment="1">
      <alignment horizontal="center" vertical="center"/>
    </xf>
    <xf numFmtId="3" fontId="4" fillId="3" borderId="28" xfId="0" applyNumberFormat="1" applyFont="1" applyFill="1" applyBorder="1" applyAlignment="1">
      <alignment horizontal="right" vertical="center"/>
    </xf>
    <xf numFmtId="49" fontId="58" fillId="0" borderId="0" xfId="0" quotePrefix="1" applyNumberFormat="1" applyFont="1"/>
    <xf numFmtId="49" fontId="4" fillId="0" borderId="28" xfId="0" applyNumberFormat="1" applyFont="1" applyFill="1" applyBorder="1" applyAlignment="1">
      <alignment horizontal="center" vertical="center"/>
    </xf>
    <xf numFmtId="49" fontId="4" fillId="0" borderId="28" xfId="0" applyNumberFormat="1" applyFont="1" applyFill="1" applyBorder="1" applyAlignment="1">
      <alignment vertical="center"/>
    </xf>
    <xf numFmtId="0" fontId="4" fillId="0" borderId="28" xfId="3" applyFont="1" applyBorder="1" applyAlignment="1">
      <alignment vertical="center"/>
    </xf>
    <xf numFmtId="3" fontId="4" fillId="0" borderId="28" xfId="0" applyNumberFormat="1" applyFont="1" applyFill="1" applyBorder="1" applyAlignment="1">
      <alignment horizontal="right" vertical="center"/>
    </xf>
    <xf numFmtId="49" fontId="2" fillId="0" borderId="28" xfId="0" applyNumberFormat="1" applyFont="1" applyFill="1" applyBorder="1" applyAlignment="1">
      <alignment horizontal="center" vertical="center"/>
    </xf>
    <xf numFmtId="0" fontId="2" fillId="0" borderId="28" xfId="3" quotePrefix="1" applyFont="1" applyBorder="1" applyAlignment="1">
      <alignment vertical="center"/>
    </xf>
    <xf numFmtId="0" fontId="2" fillId="0" borderId="28" xfId="3" applyFont="1" applyBorder="1" applyAlignment="1">
      <alignment vertical="center" wrapText="1"/>
    </xf>
    <xf numFmtId="168" fontId="2" fillId="0" borderId="28" xfId="0" applyNumberFormat="1" applyFont="1" applyFill="1" applyBorder="1" applyAlignment="1">
      <alignment horizontal="center" vertical="center"/>
    </xf>
    <xf numFmtId="3" fontId="2" fillId="0" borderId="28" xfId="0" applyNumberFormat="1" applyFont="1" applyFill="1" applyBorder="1" applyAlignment="1">
      <alignment horizontal="right" vertical="center"/>
    </xf>
    <xf numFmtId="0" fontId="2" fillId="3" borderId="28" xfId="3" applyFont="1" applyFill="1" applyBorder="1" applyAlignment="1">
      <alignment vertical="center" wrapText="1"/>
    </xf>
    <xf numFmtId="49" fontId="2" fillId="3" borderId="28" xfId="0" applyNumberFormat="1" applyFont="1" applyFill="1" applyBorder="1" applyAlignment="1">
      <alignment horizontal="center" vertical="center"/>
    </xf>
    <xf numFmtId="168" fontId="2" fillId="3" borderId="28" xfId="0" applyNumberFormat="1" applyFont="1" applyFill="1" applyBorder="1" applyAlignment="1">
      <alignment horizontal="center" vertical="center"/>
    </xf>
    <xf numFmtId="3" fontId="2" fillId="3" borderId="28" xfId="0" applyNumberFormat="1" applyFont="1" applyFill="1" applyBorder="1" applyAlignment="1">
      <alignment horizontal="right" vertical="center"/>
    </xf>
    <xf numFmtId="0" fontId="4" fillId="0" borderId="28" xfId="3" applyFont="1" applyBorder="1" applyAlignment="1">
      <alignment vertical="center" wrapText="1"/>
    </xf>
    <xf numFmtId="49" fontId="2" fillId="0" borderId="28" xfId="0" applyNumberFormat="1" applyFont="1" applyFill="1" applyBorder="1" applyAlignment="1">
      <alignment vertical="center"/>
    </xf>
    <xf numFmtId="0" fontId="74" fillId="0" borderId="28" xfId="3" applyFont="1" applyBorder="1" applyAlignment="1">
      <alignment vertical="center" wrapText="1"/>
    </xf>
    <xf numFmtId="165" fontId="4" fillId="0" borderId="28" xfId="23" applyFont="1" applyFill="1" applyBorder="1" applyAlignment="1">
      <alignment horizontal="center" vertical="center"/>
    </xf>
    <xf numFmtId="0" fontId="75" fillId="0" borderId="28" xfId="3" applyFont="1" applyBorder="1" applyAlignment="1">
      <alignment vertical="center"/>
    </xf>
    <xf numFmtId="0" fontId="70" fillId="0" borderId="0" xfId="0" applyFont="1"/>
    <xf numFmtId="49" fontId="70" fillId="0" borderId="0" xfId="0" applyNumberFormat="1" applyFont="1" applyAlignment="1">
      <alignment horizontal="center"/>
    </xf>
    <xf numFmtId="0" fontId="69" fillId="3" borderId="1" xfId="0" applyFont="1" applyFill="1" applyBorder="1" applyAlignment="1">
      <alignment horizontal="center" vertical="center"/>
    </xf>
    <xf numFmtId="0" fontId="69" fillId="3" borderId="1" xfId="0" applyFont="1" applyFill="1" applyBorder="1" applyAlignment="1">
      <alignment vertical="center" wrapText="1"/>
    </xf>
    <xf numFmtId="3" fontId="28" fillId="3" borderId="1" xfId="0" applyNumberFormat="1" applyFont="1" applyFill="1" applyBorder="1" applyAlignment="1">
      <alignment vertical="center"/>
    </xf>
    <xf numFmtId="0" fontId="69" fillId="3" borderId="1" xfId="0" quotePrefix="1" applyFont="1" applyFill="1" applyBorder="1" applyAlignment="1">
      <alignment vertical="center" wrapText="1"/>
    </xf>
    <xf numFmtId="0" fontId="50" fillId="0" borderId="0" xfId="0" applyFont="1"/>
    <xf numFmtId="167" fontId="32" fillId="3" borderId="1" xfId="1" applyNumberFormat="1" applyFont="1" applyFill="1" applyBorder="1"/>
    <xf numFmtId="167" fontId="28" fillId="3" borderId="1" xfId="1" applyNumberFormat="1" applyFont="1" applyFill="1" applyBorder="1"/>
    <xf numFmtId="169" fontId="28" fillId="3" borderId="1" xfId="1" applyNumberFormat="1" applyFont="1" applyFill="1" applyBorder="1"/>
    <xf numFmtId="167" fontId="63" fillId="3" borderId="1" xfId="1" applyNumberFormat="1" applyFont="1" applyFill="1" applyBorder="1"/>
    <xf numFmtId="167" fontId="3" fillId="3" borderId="1" xfId="1" applyNumberFormat="1" applyFont="1" applyFill="1" applyBorder="1"/>
    <xf numFmtId="3" fontId="52" fillId="0" borderId="1" xfId="0" applyNumberFormat="1" applyFont="1" applyFill="1" applyBorder="1" applyAlignment="1">
      <alignment vertical="center"/>
    </xf>
    <xf numFmtId="49" fontId="4" fillId="3" borderId="28" xfId="0" applyNumberFormat="1" applyFont="1" applyFill="1" applyBorder="1" applyAlignment="1">
      <alignment vertical="center"/>
    </xf>
    <xf numFmtId="3" fontId="14" fillId="0" borderId="0" xfId="0" applyNumberFormat="1" applyFont="1" applyFill="1"/>
    <xf numFmtId="0" fontId="52" fillId="0" borderId="1" xfId="0" applyFont="1" applyFill="1" applyBorder="1" applyAlignment="1">
      <alignment horizontal="center" vertical="center"/>
    </xf>
    <xf numFmtId="0" fontId="52" fillId="0" borderId="1" xfId="0" applyFont="1" applyFill="1" applyBorder="1" applyAlignment="1">
      <alignment vertical="center" wrapText="1"/>
    </xf>
    <xf numFmtId="3" fontId="3" fillId="0" borderId="1" xfId="0" applyNumberFormat="1" applyFont="1" applyFill="1" applyBorder="1" applyAlignment="1">
      <alignment vertical="center"/>
    </xf>
    <xf numFmtId="0" fontId="52" fillId="3" borderId="1" xfId="0" quotePrefix="1" applyFont="1" applyFill="1" applyBorder="1" applyAlignment="1">
      <alignment vertical="center" wrapText="1"/>
    </xf>
    <xf numFmtId="0" fontId="52" fillId="3" borderId="1" xfId="0" applyFont="1" applyFill="1" applyBorder="1" applyAlignment="1">
      <alignment vertical="center" wrapText="1"/>
    </xf>
    <xf numFmtId="49" fontId="52" fillId="3" borderId="1" xfId="0" applyNumberFormat="1" applyFont="1" applyFill="1" applyBorder="1" applyAlignment="1">
      <alignment horizontal="center" vertical="center"/>
    </xf>
    <xf numFmtId="0" fontId="78" fillId="0" borderId="0" xfId="0" applyFont="1"/>
    <xf numFmtId="178" fontId="4" fillId="0" borderId="1" xfId="24" applyNumberFormat="1" applyFont="1" applyFill="1" applyBorder="1" applyAlignment="1">
      <alignment horizontal="center"/>
    </xf>
    <xf numFmtId="167" fontId="4" fillId="0" borderId="1" xfId="1" applyNumberFormat="1" applyFont="1" applyFill="1" applyBorder="1" applyAlignment="1">
      <alignment horizontal="center"/>
    </xf>
    <xf numFmtId="0" fontId="78" fillId="0" borderId="1" xfId="0" applyFont="1" applyBorder="1"/>
    <xf numFmtId="177" fontId="4" fillId="0" borderId="2" xfId="24" applyNumberFormat="1" applyFont="1" applyFill="1" applyBorder="1" applyAlignment="1"/>
    <xf numFmtId="177" fontId="4" fillId="0" borderId="5" xfId="24" applyNumberFormat="1" applyFont="1" applyFill="1" applyBorder="1" applyAlignment="1"/>
    <xf numFmtId="177" fontId="4" fillId="0" borderId="3" xfId="24" applyNumberFormat="1" applyFont="1" applyFill="1" applyBorder="1" applyAlignment="1"/>
    <xf numFmtId="177" fontId="2" fillId="0" borderId="1" xfId="24" applyNumberFormat="1" applyFont="1" applyFill="1" applyBorder="1" applyAlignment="1">
      <alignment horizontal="center"/>
    </xf>
    <xf numFmtId="177" fontId="2" fillId="0" borderId="1" xfId="24" applyNumberFormat="1" applyFont="1" applyFill="1" applyBorder="1" applyAlignment="1">
      <alignment horizontal="left"/>
    </xf>
    <xf numFmtId="178" fontId="2" fillId="0" borderId="1" xfId="24" applyNumberFormat="1" applyFont="1" applyFill="1" applyBorder="1" applyAlignment="1">
      <alignment horizontal="center"/>
    </xf>
    <xf numFmtId="178" fontId="2" fillId="0" borderId="1" xfId="25" applyNumberFormat="1" applyFont="1" applyFill="1" applyBorder="1" applyAlignment="1">
      <alignment horizontal="center"/>
    </xf>
    <xf numFmtId="167" fontId="2" fillId="0" borderId="1" xfId="1" applyNumberFormat="1" applyFont="1" applyFill="1" applyBorder="1" applyAlignment="1">
      <alignment horizontal="center"/>
    </xf>
    <xf numFmtId="177" fontId="78" fillId="0" borderId="1" xfId="0" applyNumberFormat="1" applyFont="1" applyBorder="1"/>
    <xf numFmtId="0" fontId="79" fillId="0" borderId="0" xfId="0" applyFont="1"/>
    <xf numFmtId="167" fontId="79" fillId="0" borderId="1" xfId="1" applyNumberFormat="1" applyFont="1" applyBorder="1"/>
    <xf numFmtId="0" fontId="79" fillId="0" borderId="1" xfId="0" applyFont="1" applyBorder="1"/>
    <xf numFmtId="167" fontId="78" fillId="0" borderId="0" xfId="1" applyNumberFormat="1" applyFont="1"/>
    <xf numFmtId="167" fontId="78" fillId="0" borderId="0" xfId="0" applyNumberFormat="1" applyFont="1"/>
    <xf numFmtId="0" fontId="71" fillId="0" borderId="0" xfId="0" applyFont="1"/>
    <xf numFmtId="0" fontId="72" fillId="0" borderId="0" xfId="0" applyFont="1"/>
    <xf numFmtId="0" fontId="71" fillId="0" borderId="1" xfId="0" applyFont="1" applyBorder="1"/>
    <xf numFmtId="0" fontId="72" fillId="0" borderId="1" xfId="0" applyFont="1" applyBorder="1"/>
    <xf numFmtId="168" fontId="72" fillId="0" borderId="1" xfId="0" applyNumberFormat="1" applyFont="1" applyBorder="1"/>
    <xf numFmtId="168" fontId="72" fillId="0" borderId="0" xfId="0" applyNumberFormat="1" applyFont="1"/>
    <xf numFmtId="0" fontId="42" fillId="0" borderId="1" xfId="28" applyFont="1" applyFill="1" applyBorder="1" applyAlignment="1">
      <alignment horizontal="center" vertical="center"/>
    </xf>
    <xf numFmtId="0" fontId="76" fillId="0" borderId="1" xfId="28" applyFont="1" applyFill="1" applyBorder="1" applyAlignment="1">
      <alignment horizontal="center" vertical="center"/>
    </xf>
    <xf numFmtId="3" fontId="42" fillId="0" borderId="1" xfId="28" applyNumberFormat="1" applyFont="1" applyFill="1" applyBorder="1" applyAlignment="1">
      <alignment horizontal="center" vertical="center"/>
    </xf>
    <xf numFmtId="1" fontId="78" fillId="0" borderId="1" xfId="0" applyNumberFormat="1" applyFont="1" applyBorder="1"/>
    <xf numFmtId="0" fontId="2" fillId="13" borderId="1" xfId="30" applyFont="1" applyFill="1" applyBorder="1" applyAlignment="1" applyProtection="1">
      <alignment horizontal="center" vertical="center"/>
      <protection hidden="1"/>
    </xf>
    <xf numFmtId="167" fontId="2" fillId="13" borderId="1" xfId="31" applyNumberFormat="1" applyFont="1" applyFill="1" applyBorder="1" applyAlignment="1" applyProtection="1">
      <alignment vertical="center"/>
      <protection hidden="1"/>
    </xf>
    <xf numFmtId="167" fontId="2" fillId="13" borderId="1" xfId="31" applyNumberFormat="1" applyFont="1" applyFill="1" applyBorder="1" applyAlignment="1" applyProtection="1">
      <alignment horizontal="center" vertical="center"/>
      <protection hidden="1"/>
    </xf>
    <xf numFmtId="0" fontId="42" fillId="13" borderId="1" xfId="30" applyFont="1" applyFill="1" applyBorder="1" applyAlignment="1" applyProtection="1">
      <alignment vertical="center"/>
      <protection hidden="1"/>
    </xf>
    <xf numFmtId="0" fontId="42" fillId="13" borderId="1" xfId="30" applyFont="1" applyFill="1" applyBorder="1" applyAlignment="1" applyProtection="1">
      <alignment horizontal="center" vertical="center"/>
      <protection hidden="1"/>
    </xf>
    <xf numFmtId="0" fontId="4" fillId="13" borderId="1" xfId="30" applyFont="1" applyFill="1" applyBorder="1" applyAlignment="1" applyProtection="1">
      <alignment horizontal="center" vertical="center"/>
      <protection hidden="1"/>
    </xf>
    <xf numFmtId="0" fontId="4" fillId="13" borderId="1" xfId="30" applyFont="1" applyFill="1" applyBorder="1" applyAlignment="1" applyProtection="1">
      <alignment vertical="center"/>
      <protection hidden="1"/>
    </xf>
    <xf numFmtId="167" fontId="4" fillId="13" borderId="1" xfId="31" applyNumberFormat="1" applyFont="1" applyFill="1" applyBorder="1" applyAlignment="1" applyProtection="1">
      <alignment vertical="center"/>
      <protection hidden="1"/>
    </xf>
    <xf numFmtId="167" fontId="42" fillId="13" borderId="1" xfId="31" applyNumberFormat="1" applyFont="1" applyFill="1" applyBorder="1" applyAlignment="1" applyProtection="1">
      <alignment vertical="center"/>
      <protection hidden="1"/>
    </xf>
    <xf numFmtId="167" fontId="4" fillId="13" borderId="1" xfId="31" applyNumberFormat="1" applyFont="1" applyFill="1" applyBorder="1" applyAlignment="1" applyProtection="1">
      <alignment horizontal="center" vertical="center"/>
      <protection hidden="1"/>
    </xf>
    <xf numFmtId="3" fontId="42" fillId="0" borderId="1" xfId="26" applyNumberFormat="1" applyFont="1" applyFill="1" applyBorder="1" applyAlignment="1" applyProtection="1">
      <alignment horizontal="center" vertical="center"/>
      <protection hidden="1"/>
    </xf>
    <xf numFmtId="167" fontId="76" fillId="0" borderId="1" xfId="27" applyNumberFormat="1" applyFont="1" applyFill="1" applyBorder="1" applyAlignment="1" applyProtection="1">
      <alignment horizontal="center" vertical="center" wrapText="1"/>
      <protection hidden="1"/>
    </xf>
    <xf numFmtId="166" fontId="76" fillId="0" borderId="1" xfId="1" applyFont="1" applyFill="1" applyBorder="1" applyAlignment="1" applyProtection="1">
      <alignment horizontal="center" vertical="center" wrapText="1"/>
      <protection hidden="1"/>
    </xf>
    <xf numFmtId="0" fontId="76" fillId="0" borderId="1" xfId="26" applyFont="1" applyFill="1" applyBorder="1" applyAlignment="1" applyProtection="1">
      <alignment horizontal="center" vertical="center"/>
      <protection hidden="1"/>
    </xf>
    <xf numFmtId="0" fontId="76" fillId="0" borderId="1" xfId="26" applyFont="1" applyFill="1" applyBorder="1" applyAlignment="1" applyProtection="1">
      <alignment horizontal="left" vertical="center"/>
      <protection hidden="1"/>
    </xf>
    <xf numFmtId="167" fontId="76" fillId="0" borderId="1" xfId="27" applyNumberFormat="1" applyFont="1" applyFill="1" applyBorder="1" applyAlignment="1" applyProtection="1">
      <alignment horizontal="center" vertical="center"/>
      <protection hidden="1"/>
    </xf>
    <xf numFmtId="166" fontId="76" fillId="0" borderId="1" xfId="1" applyFont="1" applyFill="1" applyBorder="1" applyAlignment="1" applyProtection="1">
      <alignment horizontal="center" vertical="center"/>
      <protection hidden="1"/>
    </xf>
    <xf numFmtId="167" fontId="76" fillId="0" borderId="1" xfId="1" applyNumberFormat="1" applyFont="1" applyFill="1" applyBorder="1" applyAlignment="1" applyProtection="1">
      <alignment horizontal="center" vertical="center"/>
      <protection hidden="1"/>
    </xf>
    <xf numFmtId="167" fontId="76" fillId="0" borderId="1" xfId="26" applyNumberFormat="1" applyFont="1" applyFill="1" applyBorder="1" applyAlignment="1" applyProtection="1">
      <alignment horizontal="center" vertical="center"/>
      <protection hidden="1"/>
    </xf>
    <xf numFmtId="0" fontId="42" fillId="0" borderId="1" xfId="26" applyFont="1" applyFill="1" applyBorder="1" applyAlignment="1" applyProtection="1">
      <alignment horizontal="center" vertical="center"/>
      <protection hidden="1"/>
    </xf>
    <xf numFmtId="0" fontId="42" fillId="0" borderId="1" xfId="26" applyFont="1" applyFill="1" applyBorder="1" applyAlignment="1" applyProtection="1">
      <alignment horizontal="left" vertical="center"/>
      <protection hidden="1"/>
    </xf>
    <xf numFmtId="167" fontId="42" fillId="0" borderId="1" xfId="27" applyNumberFormat="1" applyFont="1" applyFill="1" applyBorder="1" applyAlignment="1" applyProtection="1">
      <alignment horizontal="center" vertical="center"/>
      <protection hidden="1"/>
    </xf>
    <xf numFmtId="166" fontId="42" fillId="0" borderId="1" xfId="1" applyFont="1" applyFill="1" applyBorder="1" applyAlignment="1" applyProtection="1">
      <alignment horizontal="center" vertical="center"/>
      <protection hidden="1"/>
    </xf>
    <xf numFmtId="0" fontId="42" fillId="0" borderId="1" xfId="27" applyNumberFormat="1" applyFont="1" applyFill="1" applyBorder="1" applyAlignment="1" applyProtection="1">
      <alignment horizontal="left" vertical="center"/>
      <protection hidden="1"/>
    </xf>
    <xf numFmtId="0" fontId="42" fillId="0" borderId="1" xfId="27" applyNumberFormat="1" applyFont="1" applyFill="1" applyBorder="1" applyAlignment="1" applyProtection="1">
      <alignment horizontal="center" vertical="center"/>
      <protection hidden="1"/>
    </xf>
    <xf numFmtId="0" fontId="76" fillId="0" borderId="1" xfId="27" applyNumberFormat="1" applyFont="1" applyFill="1" applyBorder="1" applyAlignment="1" applyProtection="1">
      <alignment horizontal="left" vertical="center"/>
      <protection hidden="1"/>
    </xf>
    <xf numFmtId="0" fontId="42" fillId="0" borderId="1" xfId="28" applyFont="1" applyFill="1" applyBorder="1" applyAlignment="1">
      <alignment horizontal="left" vertical="center"/>
    </xf>
    <xf numFmtId="167" fontId="42" fillId="0" borderId="1" xfId="28" applyNumberFormat="1" applyFont="1" applyFill="1" applyBorder="1" applyAlignment="1">
      <alignment horizontal="center" vertical="center"/>
    </xf>
    <xf numFmtId="166" fontId="42" fillId="0" borderId="1" xfId="1" applyFont="1" applyFill="1" applyBorder="1" applyAlignment="1">
      <alignment horizontal="center" vertical="center"/>
    </xf>
    <xf numFmtId="0" fontId="76" fillId="0" borderId="1" xfId="28" applyFont="1" applyFill="1" applyBorder="1" applyAlignment="1">
      <alignment horizontal="left" vertical="center"/>
    </xf>
    <xf numFmtId="167" fontId="76" fillId="0" borderId="1" xfId="28" applyNumberFormat="1" applyFont="1" applyFill="1" applyBorder="1" applyAlignment="1">
      <alignment horizontal="center" vertical="center"/>
    </xf>
    <xf numFmtId="166" fontId="76" fillId="0" borderId="1" xfId="1" applyFont="1" applyFill="1" applyBorder="1" applyAlignment="1">
      <alignment horizontal="center" vertical="center"/>
    </xf>
    <xf numFmtId="0" fontId="42" fillId="0" borderId="1" xfId="28" applyNumberFormat="1" applyFont="1" applyFill="1" applyBorder="1" applyAlignment="1" applyProtection="1">
      <alignment horizontal="left" vertical="center"/>
      <protection hidden="1"/>
    </xf>
    <xf numFmtId="167" fontId="42" fillId="0" borderId="1" xfId="28" applyNumberFormat="1" applyFont="1" applyFill="1" applyBorder="1" applyAlignment="1">
      <alignment horizontal="left" vertical="center"/>
    </xf>
    <xf numFmtId="0" fontId="42" fillId="0" borderId="1" xfId="28" quotePrefix="1" applyFont="1" applyFill="1" applyBorder="1" applyAlignment="1" applyProtection="1">
      <alignment horizontal="center" vertical="center"/>
      <protection hidden="1"/>
    </xf>
    <xf numFmtId="0" fontId="76" fillId="0" borderId="1" xfId="28" applyNumberFormat="1" applyFont="1" applyFill="1" applyBorder="1" applyAlignment="1">
      <alignment horizontal="left" vertical="center"/>
    </xf>
    <xf numFmtId="4" fontId="42" fillId="0" borderId="1" xfId="28" applyNumberFormat="1" applyFont="1" applyFill="1" applyBorder="1" applyAlignment="1">
      <alignment horizontal="center" vertical="center"/>
    </xf>
    <xf numFmtId="0" fontId="42" fillId="0" borderId="1" xfId="28" quotePrefix="1" applyNumberFormat="1" applyFont="1" applyFill="1" applyBorder="1" applyAlignment="1" applyProtection="1">
      <alignment horizontal="center" vertical="center"/>
      <protection hidden="1"/>
    </xf>
    <xf numFmtId="2" fontId="42" fillId="0" borderId="1" xfId="28" applyNumberFormat="1" applyFont="1" applyFill="1" applyBorder="1" applyAlignment="1">
      <alignment horizontal="center" vertical="center"/>
    </xf>
    <xf numFmtId="0" fontId="28" fillId="0" borderId="0" xfId="9" applyFont="1" applyBorder="1"/>
    <xf numFmtId="169" fontId="3" fillId="0" borderId="0" xfId="9" applyNumberFormat="1" applyFont="1" applyBorder="1"/>
    <xf numFmtId="169" fontId="48" fillId="0" borderId="0" xfId="9" applyNumberFormat="1" applyFont="1" applyBorder="1"/>
    <xf numFmtId="0" fontId="3" fillId="0" borderId="0" xfId="9" applyFont="1" applyBorder="1"/>
    <xf numFmtId="0" fontId="3" fillId="0" borderId="2" xfId="9" applyFont="1" applyBorder="1"/>
    <xf numFmtId="0" fontId="28" fillId="0" borderId="2" xfId="9" applyFont="1" applyBorder="1"/>
    <xf numFmtId="0" fontId="72" fillId="7" borderId="1" xfId="0" applyFont="1" applyFill="1" applyBorder="1" applyAlignment="1">
      <alignment horizontal="center" wrapText="1"/>
    </xf>
    <xf numFmtId="0" fontId="42" fillId="0" borderId="1" xfId="8" applyFont="1" applyFill="1" applyBorder="1" applyAlignment="1" applyProtection="1">
      <alignment horizontal="center" vertical="center"/>
      <protection hidden="1"/>
    </xf>
    <xf numFmtId="3" fontId="42" fillId="0" borderId="1" xfId="8" applyNumberFormat="1" applyFont="1" applyFill="1" applyBorder="1" applyAlignment="1" applyProtection="1">
      <alignment vertical="center"/>
      <protection hidden="1"/>
    </xf>
    <xf numFmtId="0" fontId="141" fillId="0" borderId="1" xfId="29" applyFont="1" applyFill="1" applyBorder="1" applyAlignment="1">
      <alignment vertical="center" wrapText="1"/>
    </xf>
    <xf numFmtId="177" fontId="4" fillId="0" borderId="1" xfId="24" applyNumberFormat="1" applyFont="1" applyFill="1" applyBorder="1" applyAlignment="1">
      <alignment horizontal="center"/>
    </xf>
    <xf numFmtId="177" fontId="4" fillId="0" borderId="1" xfId="24" applyNumberFormat="1" applyFont="1" applyFill="1" applyBorder="1" applyAlignment="1">
      <alignment horizontal="left"/>
    </xf>
    <xf numFmtId="0" fontId="72" fillId="0" borderId="0" xfId="0" applyFont="1" applyBorder="1"/>
    <xf numFmtId="168" fontId="72" fillId="0" borderId="0" xfId="0" applyNumberFormat="1" applyFont="1" applyBorder="1"/>
    <xf numFmtId="0" fontId="3" fillId="0" borderId="1" xfId="24" applyNumberFormat="1" applyFont="1" applyFill="1" applyBorder="1" applyAlignment="1">
      <alignment horizontal="center" vertical="center"/>
    </xf>
    <xf numFmtId="165" fontId="3" fillId="0" borderId="16" xfId="24" applyNumberFormat="1" applyFont="1" applyFill="1" applyBorder="1" applyAlignment="1">
      <alignment vertical="center"/>
    </xf>
    <xf numFmtId="2" fontId="3" fillId="0" borderId="1" xfId="24" applyNumberFormat="1" applyFont="1" applyFill="1" applyBorder="1" applyAlignment="1">
      <alignment horizontal="center" vertical="center"/>
    </xf>
    <xf numFmtId="0" fontId="79" fillId="0" borderId="15" xfId="0" applyFont="1" applyBorder="1"/>
    <xf numFmtId="0" fontId="79" fillId="0" borderId="16" xfId="0" applyFont="1" applyBorder="1"/>
    <xf numFmtId="0" fontId="78" fillId="0" borderId="15" xfId="0" applyFont="1" applyBorder="1"/>
    <xf numFmtId="0" fontId="78" fillId="0" borderId="16" xfId="0" applyFont="1" applyBorder="1"/>
    <xf numFmtId="0" fontId="79" fillId="0" borderId="17" xfId="0" applyFont="1" applyBorder="1"/>
    <xf numFmtId="0" fontId="79" fillId="0" borderId="18" xfId="0" applyFont="1" applyBorder="1"/>
    <xf numFmtId="0" fontId="79" fillId="0" borderId="19" xfId="0" applyFont="1" applyBorder="1"/>
    <xf numFmtId="0" fontId="79" fillId="0" borderId="15" xfId="0" applyFont="1" applyFill="1" applyBorder="1"/>
    <xf numFmtId="0" fontId="79" fillId="0" borderId="1" xfId="0" applyFont="1" applyFill="1" applyBorder="1"/>
    <xf numFmtId="0" fontId="78" fillId="0" borderId="1" xfId="0" applyFont="1" applyFill="1" applyBorder="1"/>
    <xf numFmtId="1" fontId="78" fillId="0" borderId="1" xfId="0" applyNumberFormat="1" applyFont="1" applyFill="1" applyBorder="1"/>
    <xf numFmtId="0" fontId="79" fillId="0" borderId="16" xfId="0" applyFont="1" applyFill="1" applyBorder="1"/>
    <xf numFmtId="0" fontId="79" fillId="0" borderId="0" xfId="0" applyFont="1" applyFill="1"/>
    <xf numFmtId="0" fontId="78" fillId="0" borderId="15" xfId="0" applyFont="1" applyFill="1" applyBorder="1"/>
    <xf numFmtId="0" fontId="78" fillId="0" borderId="16" xfId="0" applyFont="1" applyFill="1" applyBorder="1"/>
    <xf numFmtId="0" fontId="78" fillId="0" borderId="0" xfId="0" applyFont="1" applyFill="1"/>
    <xf numFmtId="1" fontId="79" fillId="0" borderId="1" xfId="0" applyNumberFormat="1" applyFont="1" applyBorder="1"/>
    <xf numFmtId="167" fontId="79" fillId="0" borderId="18" xfId="1" applyNumberFormat="1" applyFont="1" applyBorder="1"/>
    <xf numFmtId="0" fontId="72" fillId="0" borderId="1" xfId="0" applyFont="1" applyBorder="1" applyAlignment="1">
      <alignment horizontal="center"/>
    </xf>
    <xf numFmtId="0" fontId="71" fillId="3" borderId="1" xfId="0" applyFont="1" applyFill="1" applyBorder="1"/>
    <xf numFmtId="0" fontId="72" fillId="3" borderId="1" xfId="0" applyFont="1" applyFill="1" applyBorder="1"/>
    <xf numFmtId="0" fontId="2" fillId="13" borderId="1" xfId="30" applyFont="1" applyFill="1" applyBorder="1" applyAlignment="1" applyProtection="1">
      <alignment horizontal="left" vertical="center"/>
      <protection hidden="1"/>
    </xf>
    <xf numFmtId="0" fontId="42" fillId="13" borderId="1" xfId="30" applyFont="1" applyFill="1" applyBorder="1" applyAlignment="1" applyProtection="1">
      <alignment horizontal="left" vertical="center"/>
      <protection hidden="1"/>
    </xf>
    <xf numFmtId="178" fontId="78" fillId="0" borderId="1" xfId="0" applyNumberFormat="1" applyFont="1" applyBorder="1"/>
    <xf numFmtId="0" fontId="4" fillId="2"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protection hidden="1"/>
    </xf>
    <xf numFmtId="167" fontId="4" fillId="2" borderId="1" xfId="17" applyNumberFormat="1" applyFont="1" applyFill="1" applyBorder="1" applyAlignment="1" applyProtection="1">
      <alignment horizontal="center" vertical="center"/>
      <protection hidden="1"/>
    </xf>
    <xf numFmtId="0" fontId="2" fillId="0" borderId="1" xfId="2" applyFont="1" applyBorder="1" applyAlignment="1">
      <alignment horizontal="center" vertical="center"/>
    </xf>
    <xf numFmtId="167" fontId="2" fillId="0" borderId="1" xfId="17" applyNumberFormat="1" applyFont="1" applyFill="1" applyBorder="1" applyAlignment="1" applyProtection="1">
      <alignment horizontal="left" vertical="center"/>
      <protection hidden="1"/>
    </xf>
    <xf numFmtId="167" fontId="2" fillId="0" borderId="1" xfId="17" applyNumberFormat="1" applyFont="1" applyFill="1" applyBorder="1" applyAlignment="1" applyProtection="1">
      <alignment horizontal="center" vertical="center"/>
      <protection hidden="1"/>
    </xf>
    <xf numFmtId="1" fontId="2" fillId="0" borderId="1" xfId="17" applyNumberFormat="1" applyFont="1" applyFill="1" applyBorder="1" applyAlignment="1" applyProtection="1">
      <alignment horizontal="center" vertical="center"/>
      <protection hidden="1"/>
    </xf>
    <xf numFmtId="167" fontId="2" fillId="0" borderId="1" xfId="17" applyNumberFormat="1" applyFont="1" applyFill="1" applyBorder="1" applyAlignment="1" applyProtection="1">
      <alignment horizontal="left" vertical="center" wrapText="1"/>
      <protection hidden="1"/>
    </xf>
    <xf numFmtId="167" fontId="2" fillId="2" borderId="1" xfId="17" applyNumberFormat="1"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168" fontId="2" fillId="0" borderId="1" xfId="17" applyNumberFormat="1" applyFont="1" applyFill="1" applyBorder="1" applyAlignment="1" applyProtection="1">
      <alignment horizontal="center" vertical="center"/>
      <protection hidden="1"/>
    </xf>
    <xf numFmtId="0" fontId="2" fillId="2" borderId="1" xfId="0" quotePrefix="1" applyFont="1" applyFill="1" applyBorder="1" applyAlignment="1" applyProtection="1">
      <alignment horizontal="center" vertical="center"/>
      <protection hidden="1"/>
    </xf>
    <xf numFmtId="167" fontId="2" fillId="2" borderId="1" xfId="17" applyNumberFormat="1" applyFont="1" applyFill="1" applyBorder="1" applyAlignment="1" applyProtection="1">
      <alignment horizontal="left" vertical="center" wrapText="1"/>
      <protection hidden="1"/>
    </xf>
    <xf numFmtId="0" fontId="2" fillId="0" borderId="1" xfId="0" applyFont="1" applyBorder="1" applyAlignment="1" applyProtection="1">
      <alignment horizontal="center" vertical="center"/>
      <protection hidden="1"/>
    </xf>
    <xf numFmtId="168" fontId="2" fillId="2" borderId="1" xfId="0" applyNumberFormat="1" applyFont="1" applyFill="1" applyBorder="1" applyAlignment="1" applyProtection="1">
      <alignment horizontal="center" vertical="center"/>
      <protection hidden="1"/>
    </xf>
    <xf numFmtId="0" fontId="4" fillId="0" borderId="1" xfId="650" applyFont="1" applyBorder="1" applyAlignment="1" applyProtection="1">
      <alignment horizontal="center" vertical="center"/>
      <protection hidden="1"/>
    </xf>
    <xf numFmtId="0" fontId="2" fillId="0" borderId="1" xfId="650" applyFont="1" applyBorder="1" applyAlignment="1" applyProtection="1">
      <alignment horizontal="center" vertical="center"/>
      <protection hidden="1"/>
    </xf>
    <xf numFmtId="0" fontId="2" fillId="0" borderId="1" xfId="28" applyFont="1" applyBorder="1" applyAlignment="1">
      <alignment horizontal="center" vertical="center"/>
    </xf>
    <xf numFmtId="0" fontId="2" fillId="0" borderId="1" xfId="650" quotePrefix="1" applyFont="1" applyBorder="1" applyAlignment="1" applyProtection="1">
      <alignment horizontal="center" vertical="center"/>
      <protection hidden="1"/>
    </xf>
    <xf numFmtId="169" fontId="44" fillId="0" borderId="1" xfId="5" applyNumberFormat="1" applyFont="1" applyFill="1" applyBorder="1" applyAlignment="1">
      <alignment vertical="center" wrapText="1"/>
    </xf>
    <xf numFmtId="0" fontId="4" fillId="13" borderId="6" xfId="30" applyFont="1" applyFill="1" applyBorder="1" applyAlignment="1" applyProtection="1">
      <alignment horizontal="center" vertical="center"/>
      <protection hidden="1"/>
    </xf>
    <xf numFmtId="0" fontId="4" fillId="13" borderId="8" xfId="30" applyFont="1" applyFill="1" applyBorder="1" applyAlignment="1" applyProtection="1">
      <alignment horizontal="center" vertical="center"/>
      <protection hidden="1"/>
    </xf>
    <xf numFmtId="0" fontId="76" fillId="0" borderId="1" xfId="337"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3" fontId="2" fillId="0" borderId="0" xfId="0" applyNumberFormat="1" applyFont="1" applyFill="1" applyAlignment="1" applyProtection="1">
      <alignment horizontal="right" vertical="center"/>
      <protection hidden="1"/>
    </xf>
    <xf numFmtId="0" fontId="14" fillId="0" borderId="0" xfId="0" applyFont="1" applyFill="1" applyAlignment="1">
      <alignment vertical="center"/>
    </xf>
    <xf numFmtId="0" fontId="6" fillId="0" borderId="0" xfId="0" applyFont="1" applyFill="1" applyAlignment="1" applyProtection="1">
      <alignment horizontal="centerContinuous" vertical="center"/>
      <protection hidden="1"/>
    </xf>
    <xf numFmtId="3" fontId="6" fillId="0" borderId="0" xfId="0" applyNumberFormat="1" applyFont="1" applyFill="1" applyAlignment="1" applyProtection="1">
      <alignment horizontal="centerContinuous" vertical="center"/>
      <protection hidden="1"/>
    </xf>
    <xf numFmtId="0" fontId="40" fillId="0" borderId="0" xfId="0" applyFont="1" applyFill="1" applyAlignment="1">
      <alignment vertical="center"/>
    </xf>
    <xf numFmtId="0" fontId="17" fillId="0" borderId="0" xfId="0" applyFont="1" applyFill="1" applyAlignment="1" applyProtection="1">
      <alignment horizontal="centerContinuous" vertical="center"/>
      <protection hidden="1"/>
    </xf>
    <xf numFmtId="3" fontId="17" fillId="0" borderId="0" xfId="0" applyNumberFormat="1" applyFont="1" applyFill="1" applyAlignment="1" applyProtection="1">
      <alignment horizontal="centerContinuous" vertical="center"/>
      <protection hidden="1"/>
    </xf>
    <xf numFmtId="3" fontId="4" fillId="0" borderId="1"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vertical="center"/>
      <protection hidden="1"/>
    </xf>
    <xf numFmtId="3" fontId="4" fillId="0" borderId="1" xfId="0" applyNumberFormat="1" applyFont="1" applyFill="1" applyBorder="1" applyAlignment="1" applyProtection="1">
      <alignment horizontal="right" vertical="center"/>
      <protection hidden="1"/>
    </xf>
    <xf numFmtId="0" fontId="2" fillId="0" borderId="1" xfId="0" applyFont="1" applyFill="1" applyBorder="1" applyAlignment="1" applyProtection="1">
      <alignment vertical="center"/>
      <protection hidden="1"/>
    </xf>
    <xf numFmtId="3" fontId="2" fillId="0" borderId="1" xfId="0" applyNumberFormat="1" applyFont="1" applyFill="1" applyBorder="1" applyAlignment="1" applyProtection="1">
      <alignment horizontal="right" vertical="center"/>
      <protection hidden="1"/>
    </xf>
    <xf numFmtId="3" fontId="3" fillId="0" borderId="0" xfId="0" applyNumberFormat="1" applyFont="1" applyFill="1" applyAlignment="1" applyProtection="1">
      <alignment horizontal="centerContinuous" vertical="center"/>
      <protection hidden="1"/>
    </xf>
    <xf numFmtId="0" fontId="10" fillId="0" borderId="0" xfId="0" applyFont="1" applyFill="1" applyAlignment="1" applyProtection="1">
      <alignment horizontal="centerContinuous" vertical="center"/>
      <protection hidden="1"/>
    </xf>
    <xf numFmtId="3" fontId="10" fillId="0" borderId="0" xfId="0" applyNumberFormat="1" applyFont="1" applyFill="1" applyAlignment="1" applyProtection="1">
      <alignment horizontal="centerContinuous" vertical="center"/>
      <protection hidden="1"/>
    </xf>
    <xf numFmtId="0" fontId="4" fillId="13" borderId="0" xfId="30" applyFont="1" applyFill="1" applyAlignment="1" applyProtection="1">
      <alignment horizontal="left" vertical="center"/>
      <protection hidden="1"/>
    </xf>
    <xf numFmtId="0" fontId="2" fillId="13" borderId="0" xfId="30" applyFont="1" applyFill="1" applyAlignment="1" applyProtection="1">
      <alignment vertical="center"/>
      <protection hidden="1"/>
    </xf>
    <xf numFmtId="0" fontId="2" fillId="13" borderId="0" xfId="30" applyFont="1" applyFill="1" applyAlignment="1" applyProtection="1">
      <alignment horizontal="center" vertical="center"/>
      <protection hidden="1"/>
    </xf>
    <xf numFmtId="167" fontId="2" fillId="13" borderId="0" xfId="31" applyNumberFormat="1" applyFont="1" applyFill="1" applyAlignment="1" applyProtection="1">
      <alignment horizontal="center" vertical="center"/>
      <protection hidden="1"/>
    </xf>
    <xf numFmtId="0" fontId="2" fillId="13" borderId="0" xfId="28" applyFont="1" applyFill="1" applyAlignment="1">
      <alignment vertical="center"/>
    </xf>
    <xf numFmtId="0" fontId="4" fillId="13" borderId="7" xfId="30" applyFont="1" applyFill="1" applyBorder="1" applyAlignment="1" applyProtection="1">
      <alignment horizontal="center" vertical="center"/>
      <protection hidden="1"/>
    </xf>
    <xf numFmtId="167" fontId="4" fillId="13" borderId="1" xfId="31" applyNumberFormat="1" applyFont="1" applyFill="1" applyBorder="1" applyAlignment="1" applyProtection="1">
      <alignment horizontal="centerContinuous" vertical="center"/>
      <protection hidden="1"/>
    </xf>
    <xf numFmtId="0" fontId="4" fillId="13" borderId="9" xfId="30" applyFont="1" applyFill="1" applyBorder="1" applyAlignment="1" applyProtection="1">
      <alignment horizontal="center" vertical="center"/>
      <protection hidden="1"/>
    </xf>
    <xf numFmtId="167" fontId="4" fillId="13" borderId="1" xfId="30" applyNumberFormat="1" applyFont="1" applyFill="1" applyBorder="1" applyAlignment="1" applyProtection="1">
      <alignment horizontal="center" vertical="center"/>
      <protection hidden="1"/>
    </xf>
    <xf numFmtId="0" fontId="4" fillId="13" borderId="0" xfId="28" applyFont="1" applyFill="1" applyAlignment="1">
      <alignment vertical="center"/>
    </xf>
    <xf numFmtId="0" fontId="42" fillId="13" borderId="0" xfId="28" applyFont="1" applyFill="1" applyAlignment="1">
      <alignment vertical="center"/>
    </xf>
    <xf numFmtId="0" fontId="2" fillId="13" borderId="0" xfId="28" applyFont="1" applyFill="1" applyAlignment="1">
      <alignment horizontal="center" vertical="center"/>
    </xf>
    <xf numFmtId="167" fontId="2" fillId="13" borderId="0" xfId="28" applyNumberFormat="1" applyFont="1" applyFill="1" applyAlignment="1">
      <alignment vertical="center"/>
    </xf>
    <xf numFmtId="0" fontId="76" fillId="0" borderId="0" xfId="26" applyFont="1" applyFill="1" applyBorder="1" applyAlignment="1" applyProtection="1">
      <alignment horizontal="center" vertical="center"/>
      <protection hidden="1"/>
    </xf>
    <xf numFmtId="0" fontId="76" fillId="0" borderId="0" xfId="26" applyFont="1" applyFill="1" applyBorder="1" applyAlignment="1" applyProtection="1">
      <alignment horizontal="left" vertical="center"/>
      <protection hidden="1"/>
    </xf>
    <xf numFmtId="167" fontId="76" fillId="0" borderId="0" xfId="27" applyNumberFormat="1" applyFont="1" applyFill="1" applyBorder="1" applyAlignment="1" applyProtection="1">
      <alignment horizontal="center" vertical="center"/>
      <protection hidden="1"/>
    </xf>
    <xf numFmtId="167" fontId="76" fillId="0" borderId="0" xfId="26" applyNumberFormat="1" applyFont="1" applyFill="1" applyBorder="1" applyAlignment="1" applyProtection="1">
      <alignment horizontal="center" vertical="center"/>
      <protection hidden="1"/>
    </xf>
    <xf numFmtId="166" fontId="76" fillId="0" borderId="0" xfId="1" applyFont="1" applyFill="1" applyBorder="1" applyAlignment="1" applyProtection="1">
      <alignment horizontal="center" vertical="center"/>
      <protection hidden="1"/>
    </xf>
    <xf numFmtId="0" fontId="81" fillId="0" borderId="0" xfId="28" applyFont="1" applyFill="1" applyAlignment="1">
      <alignment vertical="center"/>
    </xf>
    <xf numFmtId="0" fontId="76" fillId="0" borderId="4" xfId="26" applyFont="1" applyFill="1" applyBorder="1" applyAlignment="1" applyProtection="1">
      <alignment horizontal="center" vertical="center"/>
      <protection hidden="1"/>
    </xf>
    <xf numFmtId="0" fontId="76" fillId="0" borderId="4" xfId="26" applyFont="1" applyFill="1" applyBorder="1" applyAlignment="1" applyProtection="1">
      <alignment horizontal="left" vertical="center"/>
      <protection hidden="1"/>
    </xf>
    <xf numFmtId="167" fontId="76" fillId="0" borderId="4" xfId="27" applyNumberFormat="1" applyFont="1" applyFill="1" applyBorder="1" applyAlignment="1" applyProtection="1">
      <alignment horizontal="center" vertical="center"/>
      <protection hidden="1"/>
    </xf>
    <xf numFmtId="167" fontId="76" fillId="0" borderId="4" xfId="26" applyNumberFormat="1" applyFont="1" applyFill="1" applyBorder="1" applyAlignment="1" applyProtection="1">
      <alignment horizontal="center" vertical="center"/>
      <protection hidden="1"/>
    </xf>
    <xf numFmtId="166" fontId="76" fillId="0" borderId="4" xfId="1" applyFont="1" applyFill="1" applyBorder="1" applyAlignment="1" applyProtection="1">
      <alignment horizontal="center" vertical="center"/>
      <protection hidden="1"/>
    </xf>
    <xf numFmtId="0" fontId="2" fillId="0" borderId="0" xfId="0" applyFont="1" applyAlignment="1">
      <alignment vertical="center"/>
    </xf>
    <xf numFmtId="0" fontId="2" fillId="2" borderId="0" xfId="0" applyFont="1" applyFill="1" applyAlignment="1">
      <alignment vertical="center"/>
    </xf>
    <xf numFmtId="0" fontId="82" fillId="0" borderId="0" xfId="28" applyFont="1" applyFill="1" applyAlignment="1">
      <alignment vertical="center"/>
    </xf>
    <xf numFmtId="0" fontId="4" fillId="0" borderId="1" xfId="650" applyFont="1" applyBorder="1" applyAlignment="1" applyProtection="1">
      <alignment vertical="center"/>
      <protection hidden="1"/>
    </xf>
    <xf numFmtId="167" fontId="2" fillId="0" borderId="1" xfId="651" applyNumberFormat="1" applyFont="1" applyFill="1" applyBorder="1" applyAlignment="1" applyProtection="1">
      <alignment horizontal="center" vertical="center"/>
      <protection hidden="1"/>
    </xf>
    <xf numFmtId="166" fontId="4" fillId="0" borderId="1" xfId="650" applyNumberFormat="1" applyFont="1" applyBorder="1" applyAlignment="1" applyProtection="1">
      <alignment horizontal="right" vertical="center"/>
      <protection hidden="1"/>
    </xf>
    <xf numFmtId="166" fontId="4" fillId="0" borderId="1" xfId="651" applyFont="1" applyFill="1" applyBorder="1" applyAlignment="1" applyProtection="1">
      <alignment horizontal="right" vertical="center"/>
      <protection hidden="1"/>
    </xf>
    <xf numFmtId="167" fontId="4" fillId="0" borderId="1" xfId="651" applyNumberFormat="1" applyFont="1" applyFill="1" applyBorder="1" applyAlignment="1" applyProtection="1">
      <alignment horizontal="center" vertical="center"/>
      <protection hidden="1"/>
    </xf>
    <xf numFmtId="0" fontId="81" fillId="0" borderId="0" xfId="28" applyFont="1" applyAlignment="1">
      <alignment vertical="center"/>
    </xf>
    <xf numFmtId="0" fontId="4" fillId="0" borderId="1" xfId="651" applyNumberFormat="1" applyFont="1" applyFill="1" applyBorder="1" applyAlignment="1" applyProtection="1">
      <alignment horizontal="left" vertical="center"/>
      <protection hidden="1"/>
    </xf>
    <xf numFmtId="0" fontId="2" fillId="0" borderId="1" xfId="651" applyNumberFormat="1" applyFont="1" applyFill="1" applyBorder="1" applyAlignment="1" applyProtection="1">
      <alignment horizontal="center" vertical="center"/>
      <protection hidden="1"/>
    </xf>
    <xf numFmtId="166" fontId="2" fillId="0" borderId="1" xfId="650" applyNumberFormat="1" applyFont="1" applyBorder="1" applyAlignment="1" applyProtection="1">
      <alignment horizontal="right" vertical="center"/>
      <protection hidden="1"/>
    </xf>
    <xf numFmtId="167" fontId="2" fillId="0" borderId="1" xfId="28" applyNumberFormat="1" applyFont="1" applyBorder="1" applyAlignment="1">
      <alignment vertical="center"/>
    </xf>
    <xf numFmtId="167" fontId="2" fillId="0" borderId="1" xfId="651" applyNumberFormat="1" applyFont="1" applyFill="1" applyBorder="1" applyAlignment="1" applyProtection="1">
      <alignment horizontal="left" vertical="center"/>
      <protection hidden="1"/>
    </xf>
    <xf numFmtId="167" fontId="2" fillId="0" borderId="1" xfId="650" applyNumberFormat="1" applyFont="1" applyBorder="1" applyAlignment="1" applyProtection="1">
      <alignment vertical="center"/>
      <protection hidden="1"/>
    </xf>
    <xf numFmtId="167" fontId="2" fillId="0" borderId="1" xfId="650" applyNumberFormat="1" applyFont="1" applyBorder="1" applyAlignment="1" applyProtection="1">
      <alignment horizontal="center" vertical="center"/>
      <protection hidden="1"/>
    </xf>
    <xf numFmtId="166" fontId="2" fillId="0" borderId="1" xfId="651" applyFont="1" applyFill="1" applyBorder="1" applyAlignment="1" applyProtection="1">
      <alignment horizontal="right" vertical="center"/>
      <protection hidden="1"/>
    </xf>
    <xf numFmtId="0" fontId="2" fillId="0" borderId="1" xfId="28" applyFont="1" applyBorder="1" applyAlignment="1">
      <alignment vertical="center"/>
    </xf>
    <xf numFmtId="166" fontId="2" fillId="0" borderId="1" xfId="28" applyNumberFormat="1" applyFont="1" applyBorder="1" applyAlignment="1">
      <alignment horizontal="right" vertical="center"/>
    </xf>
    <xf numFmtId="0" fontId="81" fillId="0" borderId="0" xfId="28" applyFont="1" applyFill="1" applyAlignment="1">
      <alignment horizontal="center" vertical="center"/>
    </xf>
    <xf numFmtId="0" fontId="81" fillId="0" borderId="0" xfId="28" applyFont="1" applyFill="1" applyAlignment="1">
      <alignment horizontal="left" vertical="center"/>
    </xf>
    <xf numFmtId="166" fontId="81" fillId="0" borderId="0" xfId="1" applyFont="1" applyFill="1" applyAlignment="1">
      <alignment vertical="center"/>
    </xf>
    <xf numFmtId="167" fontId="81" fillId="0" borderId="0" xfId="28" applyNumberFormat="1" applyFont="1" applyFill="1" applyAlignment="1">
      <alignment vertical="center"/>
    </xf>
    <xf numFmtId="0" fontId="76" fillId="0" borderId="0" xfId="337" applyFont="1" applyFill="1" applyAlignment="1" applyProtection="1">
      <alignment horizontal="left" vertical="center"/>
      <protection hidden="1"/>
    </xf>
    <xf numFmtId="0" fontId="42" fillId="0" borderId="0" xfId="337" applyFont="1" applyFill="1" applyAlignment="1" applyProtection="1">
      <alignment vertical="center"/>
      <protection hidden="1"/>
    </xf>
    <xf numFmtId="0" fontId="42" fillId="0" borderId="0" xfId="337" applyFont="1" applyFill="1" applyAlignment="1" applyProtection="1">
      <alignment horizontal="center" vertical="center"/>
      <protection hidden="1"/>
    </xf>
    <xf numFmtId="167" fontId="42" fillId="0" borderId="0" xfId="341" applyNumberFormat="1" applyFont="1" applyFill="1" applyAlignment="1" applyProtection="1">
      <alignment vertical="center"/>
      <protection hidden="1"/>
    </xf>
    <xf numFmtId="0" fontId="76" fillId="0" borderId="1" xfId="337" applyFont="1" applyFill="1" applyBorder="1" applyAlignment="1" applyProtection="1">
      <alignment horizontal="centerContinuous" vertical="center"/>
      <protection hidden="1"/>
    </xf>
    <xf numFmtId="167" fontId="76" fillId="0" borderId="1" xfId="341" applyNumberFormat="1" applyFont="1" applyFill="1" applyBorder="1" applyAlignment="1" applyProtection="1">
      <alignment horizontal="centerContinuous" vertical="center"/>
      <protection hidden="1"/>
    </xf>
    <xf numFmtId="167" fontId="76" fillId="0" borderId="1" xfId="341" applyNumberFormat="1" applyFont="1" applyFill="1" applyBorder="1" applyAlignment="1" applyProtection="1">
      <alignment horizontal="center" vertical="center"/>
      <protection hidden="1"/>
    </xf>
    <xf numFmtId="0" fontId="42" fillId="0" borderId="1" xfId="337" applyFont="1" applyFill="1" applyBorder="1" applyAlignment="1" applyProtection="1">
      <alignment horizontal="center" vertical="center"/>
      <protection hidden="1"/>
    </xf>
    <xf numFmtId="167" fontId="42" fillId="0" borderId="1" xfId="341" applyNumberFormat="1" applyFont="1" applyFill="1" applyBorder="1" applyAlignment="1" applyProtection="1">
      <alignment vertical="center"/>
      <protection hidden="1"/>
    </xf>
    <xf numFmtId="0" fontId="76" fillId="0" borderId="1" xfId="28" applyFont="1" applyFill="1" applyBorder="1" applyAlignment="1">
      <alignment vertical="center"/>
    </xf>
    <xf numFmtId="3" fontId="76" fillId="0" borderId="1" xfId="28" applyNumberFormat="1" applyFont="1" applyFill="1" applyBorder="1" applyAlignment="1">
      <alignment vertical="center"/>
    </xf>
    <xf numFmtId="167" fontId="76" fillId="0" borderId="1" xfId="28" applyNumberFormat="1" applyFont="1" applyFill="1" applyBorder="1" applyAlignment="1">
      <alignment vertical="center"/>
    </xf>
    <xf numFmtId="0" fontId="4" fillId="13" borderId="6" xfId="30" applyFont="1" applyFill="1" applyBorder="1" applyAlignment="1" applyProtection="1">
      <alignment horizontal="center" vertical="center"/>
      <protection hidden="1"/>
    </xf>
    <xf numFmtId="0" fontId="4" fillId="13" borderId="8" xfId="30" applyFont="1" applyFill="1" applyBorder="1" applyAlignment="1" applyProtection="1">
      <alignment horizontal="center" vertical="center"/>
      <protection hidden="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4" fillId="0" borderId="0" xfId="0" applyFont="1" applyAlignment="1" applyProtection="1">
      <alignment horizontal="left"/>
      <protection hidden="1"/>
    </xf>
    <xf numFmtId="0" fontId="2" fillId="0" borderId="0" xfId="0" applyFont="1" applyProtection="1">
      <protection hidden="1"/>
    </xf>
    <xf numFmtId="0" fontId="2" fillId="0" borderId="0" xfId="0" applyFont="1" applyAlignment="1" applyProtection="1">
      <alignment horizontal="center"/>
      <protection hidden="1"/>
    </xf>
    <xf numFmtId="167" fontId="2" fillId="0" borderId="0" xfId="5" applyNumberFormat="1" applyFont="1" applyFill="1" applyAlignment="1" applyProtection="1">
      <alignment horizontal="center"/>
      <protection hidden="1"/>
    </xf>
    <xf numFmtId="0" fontId="6" fillId="0" borderId="0" xfId="0" applyFont="1" applyAlignment="1">
      <alignment horizontal="centerContinuous"/>
    </xf>
    <xf numFmtId="0" fontId="4" fillId="0" borderId="0" xfId="0" applyFont="1" applyAlignment="1">
      <alignment horizontal="centerContinuous"/>
    </xf>
    <xf numFmtId="167" fontId="4" fillId="0" borderId="0" xfId="5" applyNumberFormat="1" applyFont="1" applyFill="1" applyAlignment="1">
      <alignment horizontal="centerContinuous"/>
    </xf>
    <xf numFmtId="0" fontId="4" fillId="0" borderId="6" xfId="0" applyFont="1" applyBorder="1" applyAlignment="1">
      <alignment horizontal="center" vertical="center"/>
    </xf>
    <xf numFmtId="0" fontId="4" fillId="0" borderId="6" xfId="0" applyFont="1" applyBorder="1" applyAlignment="1">
      <alignment horizontal="centerContinuous"/>
    </xf>
    <xf numFmtId="167" fontId="4" fillId="0" borderId="1" xfId="5" applyNumberFormat="1" applyFont="1" applyFill="1" applyBorder="1" applyAlignment="1">
      <alignment horizontal="centerContinuous"/>
    </xf>
    <xf numFmtId="0" fontId="4" fillId="0" borderId="8" xfId="0" applyFont="1" applyBorder="1" applyAlignment="1">
      <alignment horizontal="center" vertical="center"/>
    </xf>
    <xf numFmtId="0" fontId="4" fillId="0" borderId="8" xfId="0" applyFont="1" applyBorder="1" applyAlignment="1">
      <alignment horizontal="centerContinuous"/>
    </xf>
    <xf numFmtId="0" fontId="4" fillId="0" borderId="1" xfId="0" applyFont="1" applyBorder="1" applyAlignment="1">
      <alignment horizontal="center" vertical="center"/>
    </xf>
    <xf numFmtId="0" fontId="4" fillId="0" borderId="1" xfId="0" applyFont="1" applyBorder="1"/>
    <xf numFmtId="167" fontId="4" fillId="0" borderId="1" xfId="5" applyNumberFormat="1" applyFont="1" applyFill="1" applyBorder="1"/>
    <xf numFmtId="0" fontId="2" fillId="0" borderId="1" xfId="0" applyFont="1" applyBorder="1" applyProtection="1">
      <protection hidden="1"/>
    </xf>
    <xf numFmtId="0" fontId="2" fillId="0" borderId="1" xfId="0" applyFont="1" applyBorder="1" applyAlignment="1">
      <alignment horizontal="center" vertical="center"/>
    </xf>
    <xf numFmtId="167" fontId="2" fillId="0" borderId="1" xfId="5" applyNumberFormat="1" applyFont="1" applyFill="1" applyBorder="1" applyAlignment="1" applyProtection="1">
      <alignment horizontal="center"/>
      <protection hidden="1"/>
    </xf>
    <xf numFmtId="167" fontId="2" fillId="0" borderId="1" xfId="5" applyNumberFormat="1" applyFont="1" applyFill="1" applyBorder="1"/>
    <xf numFmtId="0" fontId="2" fillId="0" borderId="1" xfId="0" applyFont="1" applyBorder="1"/>
    <xf numFmtId="0" fontId="2" fillId="0" borderId="1" xfId="0" applyFont="1" applyBorder="1" applyAlignment="1">
      <alignment horizontal="center"/>
    </xf>
    <xf numFmtId="167" fontId="2" fillId="0" borderId="1" xfId="5" applyNumberFormat="1" applyFont="1" applyFill="1" applyBorder="1" applyAlignment="1" applyProtection="1">
      <alignment horizontal="left"/>
      <protection hidden="1"/>
    </xf>
    <xf numFmtId="0" fontId="42" fillId="0" borderId="1" xfId="14" applyFont="1" applyBorder="1" applyProtection="1">
      <protection hidden="1"/>
    </xf>
    <xf numFmtId="0" fontId="42" fillId="0" borderId="1" xfId="14" applyFont="1" applyBorder="1" applyAlignment="1" applyProtection="1">
      <alignment horizontal="center"/>
      <protection hidden="1"/>
    </xf>
    <xf numFmtId="0" fontId="2" fillId="0" borderId="1" xfId="0" applyFont="1" applyBorder="1" applyAlignment="1">
      <alignment horizontal="left" vertical="center"/>
    </xf>
    <xf numFmtId="0" fontId="2" fillId="0" borderId="0" xfId="0" applyFont="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167" fontId="4" fillId="0" borderId="1" xfId="5" applyNumberFormat="1" applyFont="1" applyFill="1" applyBorder="1" applyAlignment="1" applyProtection="1">
      <alignment horizontal="center" vertical="center"/>
      <protection hidden="1"/>
    </xf>
    <xf numFmtId="3" fontId="2" fillId="0" borderId="1" xfId="0" applyNumberFormat="1" applyFont="1" applyBorder="1" applyAlignment="1" applyProtection="1">
      <alignment horizontal="right" vertical="center"/>
      <protection hidden="1"/>
    </xf>
    <xf numFmtId="0" fontId="2" fillId="0" borderId="1" xfId="0" applyFont="1" applyBorder="1" applyAlignment="1" applyProtection="1">
      <alignment vertical="center"/>
      <protection hidden="1"/>
    </xf>
    <xf numFmtId="0" fontId="2" fillId="0" borderId="0" xfId="0" applyFont="1" applyAlignment="1" applyProtection="1">
      <alignment vertical="center"/>
      <protection hidden="1"/>
    </xf>
    <xf numFmtId="0" fontId="4" fillId="0" borderId="1" xfId="0" applyFont="1" applyBorder="1" applyAlignment="1" applyProtection="1">
      <alignment horizontal="centerContinuous" vertical="center"/>
      <protection hidden="1"/>
    </xf>
    <xf numFmtId="167" fontId="4" fillId="0" borderId="1" xfId="5" applyNumberFormat="1" applyFont="1" applyFill="1" applyBorder="1" applyAlignment="1" applyProtection="1">
      <alignment horizontal="centerContinuous" vertical="center"/>
      <protection hidden="1"/>
    </xf>
    <xf numFmtId="0" fontId="43" fillId="0" borderId="8" xfId="0" applyFont="1" applyBorder="1" applyAlignment="1" applyProtection="1">
      <alignment horizontal="center" vertical="center"/>
      <protection hidden="1"/>
    </xf>
    <xf numFmtId="0" fontId="43" fillId="0" borderId="8" xfId="0" applyFont="1" applyBorder="1" applyAlignment="1" applyProtection="1">
      <alignment horizontal="left" vertical="center"/>
      <protection hidden="1"/>
    </xf>
    <xf numFmtId="0" fontId="43" fillId="0" borderId="1" xfId="0" applyFont="1" applyBorder="1" applyAlignment="1" applyProtection="1">
      <alignment horizontal="center"/>
      <protection hidden="1"/>
    </xf>
    <xf numFmtId="167" fontId="43" fillId="0" borderId="1" xfId="5" applyNumberFormat="1" applyFont="1" applyFill="1" applyBorder="1" applyAlignment="1" applyProtection="1">
      <alignment horizontal="center"/>
      <protection hidden="1"/>
    </xf>
    <xf numFmtId="0" fontId="44" fillId="0" borderId="1" xfId="1" applyNumberFormat="1" applyFont="1" applyFill="1" applyBorder="1" applyAlignment="1">
      <alignment horizontal="center" vertical="center"/>
    </xf>
    <xf numFmtId="0" fontId="44" fillId="0" borderId="1" xfId="1" applyNumberFormat="1" applyFont="1" applyFill="1" applyBorder="1"/>
    <xf numFmtId="0" fontId="44" fillId="0" borderId="1" xfId="1" applyNumberFormat="1" applyFont="1" applyFill="1" applyBorder="1" applyAlignment="1">
      <alignment horizontal="center"/>
    </xf>
    <xf numFmtId="0" fontId="44" fillId="0" borderId="1" xfId="0" applyFont="1" applyBorder="1" applyAlignment="1" applyProtection="1">
      <alignment horizontal="center"/>
      <protection locked="0"/>
    </xf>
    <xf numFmtId="3" fontId="44" fillId="0" borderId="1" xfId="8" applyNumberFormat="1" applyFont="1" applyBorder="1" applyAlignment="1">
      <alignment horizontal="center" vertical="center"/>
    </xf>
    <xf numFmtId="3" fontId="44" fillId="0" borderId="1" xfId="8" applyNumberFormat="1" applyFont="1" applyBorder="1" applyAlignment="1">
      <alignment vertical="center"/>
    </xf>
    <xf numFmtId="167" fontId="44" fillId="0" borderId="1" xfId="5" applyNumberFormat="1" applyFont="1" applyFill="1" applyBorder="1"/>
    <xf numFmtId="0" fontId="44" fillId="0" borderId="1" xfId="0" applyFont="1" applyBorder="1" applyAlignment="1" applyProtection="1">
      <alignment horizontal="center"/>
      <protection hidden="1"/>
    </xf>
    <xf numFmtId="3" fontId="44" fillId="0" borderId="1" xfId="8" applyNumberFormat="1" applyFont="1" applyBorder="1" applyAlignment="1" applyProtection="1">
      <alignment vertical="center"/>
      <protection hidden="1"/>
    </xf>
    <xf numFmtId="3" fontId="44" fillId="0" borderId="1" xfId="8" applyNumberFormat="1" applyFont="1" applyBorder="1" applyAlignment="1" applyProtection="1">
      <alignment horizontal="center" vertical="center"/>
      <protection hidden="1"/>
    </xf>
    <xf numFmtId="0" fontId="4" fillId="0" borderId="1" xfId="8" applyFont="1" applyBorder="1" applyAlignment="1" applyProtection="1">
      <alignment vertical="center"/>
      <protection hidden="1"/>
    </xf>
    <xf numFmtId="0" fontId="4" fillId="0" borderId="1" xfId="8" applyFont="1" applyBorder="1" applyAlignment="1" applyProtection="1">
      <alignment horizontal="center" vertical="center"/>
      <protection hidden="1"/>
    </xf>
    <xf numFmtId="0" fontId="4" fillId="0" borderId="1" xfId="0" applyFont="1" applyBorder="1" applyAlignment="1" applyProtection="1">
      <alignment horizontal="center"/>
      <protection hidden="1"/>
    </xf>
    <xf numFmtId="3" fontId="4" fillId="0" borderId="1" xfId="8" applyNumberFormat="1" applyFont="1" applyBorder="1" applyAlignment="1" applyProtection="1">
      <alignment horizontal="center" vertical="center"/>
      <protection hidden="1"/>
    </xf>
    <xf numFmtId="3" fontId="4" fillId="0" borderId="1" xfId="8" applyNumberFormat="1" applyFont="1" applyBorder="1" applyAlignment="1" applyProtection="1">
      <alignment vertical="center"/>
      <protection hidden="1"/>
    </xf>
    <xf numFmtId="167" fontId="4" fillId="0" borderId="1" xfId="5" applyNumberFormat="1" applyFont="1" applyFill="1" applyBorder="1" applyProtection="1">
      <protection hidden="1"/>
    </xf>
    <xf numFmtId="0" fontId="43" fillId="0" borderId="1" xfId="0" applyFont="1" applyBorder="1" applyProtection="1">
      <protection hidden="1"/>
    </xf>
    <xf numFmtId="3" fontId="43" fillId="0" borderId="1" xfId="0" applyNumberFormat="1" applyFont="1" applyBorder="1" applyAlignment="1" applyProtection="1">
      <alignment horizontal="right"/>
      <protection hidden="1"/>
    </xf>
    <xf numFmtId="0" fontId="76" fillId="0" borderId="0" xfId="26" applyFont="1" applyFill="1" applyBorder="1" applyAlignment="1" applyProtection="1">
      <alignment horizontal="center" vertical="center"/>
      <protection hidden="1"/>
    </xf>
    <xf numFmtId="0" fontId="76" fillId="0" borderId="1" xfId="337" applyFont="1" applyFill="1" applyBorder="1" applyAlignment="1" applyProtection="1">
      <alignment horizontal="center" vertical="center"/>
      <protection hidden="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pplyProtection="1">
      <alignment horizontal="center"/>
      <protection hidden="1"/>
    </xf>
    <xf numFmtId="0" fontId="6" fillId="0" borderId="0" xfId="0" applyFont="1" applyProtection="1">
      <protection hidden="1"/>
    </xf>
    <xf numFmtId="0" fontId="143" fillId="2" borderId="0" xfId="0" applyFont="1" applyFill="1" applyAlignment="1">
      <alignment vertical="center" wrapText="1"/>
    </xf>
    <xf numFmtId="0" fontId="6" fillId="2" borderId="1" xfId="0" applyFont="1" applyFill="1" applyBorder="1" applyAlignment="1">
      <alignment horizontal="center" vertical="center" wrapText="1"/>
    </xf>
    <xf numFmtId="0" fontId="145" fillId="0" borderId="1" xfId="0" applyFont="1" applyBorder="1" applyAlignment="1">
      <alignment horizontal="center" vertical="center"/>
    </xf>
    <xf numFmtId="0" fontId="3" fillId="2" borderId="1" xfId="0" applyFont="1" applyFill="1" applyBorder="1" applyAlignment="1">
      <alignment vertical="center"/>
    </xf>
    <xf numFmtId="0" fontId="3" fillId="0" borderId="1" xfId="0" applyFont="1" applyBorder="1" applyAlignment="1" applyProtection="1">
      <alignment horizontal="center" vertical="center"/>
      <protection hidden="1"/>
    </xf>
    <xf numFmtId="0" fontId="3" fillId="2" borderId="1" xfId="0" applyFont="1" applyFill="1" applyBorder="1" applyAlignment="1">
      <alignment horizontal="center" vertical="center"/>
    </xf>
    <xf numFmtId="167" fontId="3" fillId="2" borderId="1" xfId="0" applyNumberFormat="1" applyFont="1" applyFill="1" applyBorder="1" applyAlignment="1">
      <alignment horizontal="right" vertical="center"/>
    </xf>
    <xf numFmtId="9" fontId="3" fillId="2" borderId="1"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167" fontId="3" fillId="2" borderId="1" xfId="0" applyNumberFormat="1" applyFont="1" applyFill="1" applyBorder="1" applyAlignment="1">
      <alignment vertical="center"/>
    </xf>
    <xf numFmtId="0" fontId="3" fillId="2" borderId="1" xfId="0" applyFont="1" applyFill="1" applyBorder="1" applyAlignment="1">
      <alignment vertical="center" wrapText="1"/>
    </xf>
    <xf numFmtId="0" fontId="72" fillId="0" borderId="1" xfId="0"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vertical="center" wrapText="1"/>
      <protection hidden="1"/>
    </xf>
    <xf numFmtId="0" fontId="6" fillId="2" borderId="1" xfId="0" applyFont="1" applyFill="1" applyBorder="1" applyAlignment="1">
      <alignment horizontal="center" vertical="center"/>
    </xf>
    <xf numFmtId="167" fontId="6" fillId="2" borderId="1" xfId="0" applyNumberFormat="1" applyFont="1" applyFill="1" applyBorder="1" applyAlignment="1">
      <alignment horizontal="right" vertical="center"/>
    </xf>
    <xf numFmtId="9" fontId="6" fillId="2" borderId="1" xfId="0" applyNumberFormat="1" applyFont="1" applyFill="1" applyBorder="1" applyAlignment="1">
      <alignment horizontal="center" vertical="center"/>
    </xf>
    <xf numFmtId="0" fontId="147" fillId="0" borderId="0" xfId="0" applyFont="1"/>
    <xf numFmtId="0" fontId="6" fillId="0" borderId="0" xfId="0" applyFont="1" applyAlignment="1" applyProtection="1">
      <alignment horizontal="left"/>
      <protection hidden="1"/>
    </xf>
    <xf numFmtId="0" fontId="3" fillId="0" borderId="0" xfId="0" applyFont="1" applyAlignment="1">
      <alignment vertical="center"/>
    </xf>
    <xf numFmtId="0" fontId="145" fillId="0" borderId="0" xfId="0" applyFont="1"/>
    <xf numFmtId="0" fontId="145" fillId="0" borderId="0" xfId="0" applyFont="1" applyAlignment="1">
      <alignment vertical="center"/>
    </xf>
    <xf numFmtId="0" fontId="6" fillId="2" borderId="1" xfId="0" applyFont="1" applyFill="1" applyBorder="1" applyAlignment="1">
      <alignment vertical="center"/>
    </xf>
    <xf numFmtId="167" fontId="6" fillId="2" borderId="1" xfId="0" applyNumberFormat="1" applyFont="1" applyFill="1" applyBorder="1" applyAlignment="1">
      <alignment vertical="center"/>
    </xf>
    <xf numFmtId="0" fontId="27" fillId="2" borderId="1" xfId="0" applyFont="1" applyFill="1" applyBorder="1" applyAlignment="1">
      <alignment horizontal="center" vertical="center" wrapText="1"/>
    </xf>
    <xf numFmtId="167"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3" fillId="2" borderId="1" xfId="0" applyFont="1" applyFill="1" applyBorder="1" applyAlignment="1">
      <alignment horizontal="left" vertical="center"/>
    </xf>
    <xf numFmtId="0" fontId="148" fillId="0" borderId="0" xfId="0" applyFont="1"/>
    <xf numFmtId="167" fontId="148" fillId="0" borderId="0" xfId="17" applyNumberFormat="1" applyFont="1" applyAlignment="1"/>
    <xf numFmtId="0" fontId="149" fillId="0" borderId="0" xfId="0" applyFont="1" applyAlignment="1">
      <alignment horizontal="centerContinuous" vertical="center"/>
    </xf>
    <xf numFmtId="0" fontId="150" fillId="0" borderId="0" xfId="0" applyFont="1" applyAlignment="1">
      <alignment horizontal="centerContinuous" vertical="center"/>
    </xf>
    <xf numFmtId="220" fontId="149" fillId="0" borderId="0" xfId="17" applyNumberFormat="1" applyFont="1" applyAlignment="1">
      <alignment horizontal="centerContinuous" vertical="center"/>
    </xf>
    <xf numFmtId="3" fontId="149" fillId="0" borderId="0" xfId="17" applyNumberFormat="1" applyFont="1" applyAlignment="1">
      <alignment horizontal="centerContinuous" vertical="center"/>
    </xf>
    <xf numFmtId="167" fontId="150" fillId="0" borderId="0" xfId="17" applyNumberFormat="1" applyFont="1" applyAlignment="1">
      <alignment vertical="center"/>
    </xf>
    <xf numFmtId="0" fontId="150" fillId="0" borderId="0" xfId="0" applyFont="1" applyAlignment="1">
      <alignment vertical="center"/>
    </xf>
    <xf numFmtId="0" fontId="151" fillId="0" borderId="0" xfId="0" applyFont="1" applyAlignment="1">
      <alignment horizontal="centerContinuous" vertical="center"/>
    </xf>
    <xf numFmtId="0" fontId="143" fillId="0" borderId="0" xfId="0" applyFont="1" applyAlignment="1">
      <alignment horizontal="centerContinuous" vertical="center"/>
    </xf>
    <xf numFmtId="220" fontId="143" fillId="0" borderId="0" xfId="17" applyNumberFormat="1" applyFont="1" applyAlignment="1">
      <alignment horizontal="centerContinuous" vertical="center"/>
    </xf>
    <xf numFmtId="3" fontId="143" fillId="0" borderId="0" xfId="17" applyNumberFormat="1" applyFont="1" applyAlignment="1">
      <alignment horizontal="centerContinuous" vertical="center"/>
    </xf>
    <xf numFmtId="167" fontId="143" fillId="0" borderId="0" xfId="17" applyNumberFormat="1" applyFont="1" applyAlignment="1">
      <alignment vertical="center"/>
    </xf>
    <xf numFmtId="0" fontId="143" fillId="0" borderId="0" xfId="0" applyFont="1" applyAlignment="1">
      <alignment vertical="center"/>
    </xf>
    <xf numFmtId="0" fontId="3" fillId="0" borderId="0" xfId="0" applyFont="1" applyAlignment="1">
      <alignment horizontal="centerContinuous" vertical="center"/>
    </xf>
    <xf numFmtId="0" fontId="152" fillId="9" borderId="6" xfId="0" applyFont="1" applyFill="1" applyBorder="1" applyAlignment="1">
      <alignment horizontal="center" vertical="center" wrapText="1"/>
    </xf>
    <xf numFmtId="0" fontId="143" fillId="9" borderId="6" xfId="0" applyFont="1" applyFill="1" applyBorder="1" applyAlignment="1">
      <alignment horizontal="center" vertical="center" wrapText="1"/>
    </xf>
    <xf numFmtId="220" fontId="152" fillId="9" borderId="1" xfId="17" applyNumberFormat="1" applyFont="1" applyFill="1" applyBorder="1" applyAlignment="1">
      <alignment horizontal="center" vertical="center" wrapText="1"/>
    </xf>
    <xf numFmtId="167" fontId="152" fillId="0" borderId="0" xfId="17" applyNumberFormat="1" applyFont="1" applyAlignment="1">
      <alignment horizontal="center" vertical="center" wrapText="1"/>
    </xf>
    <xf numFmtId="0" fontId="152" fillId="0" borderId="0" xfId="0" applyFont="1" applyAlignment="1">
      <alignment horizontal="center" vertical="center" wrapText="1"/>
    </xf>
    <xf numFmtId="0" fontId="152" fillId="9" borderId="8" xfId="0" applyFont="1" applyFill="1" applyBorder="1" applyAlignment="1">
      <alignment horizontal="center" vertical="center"/>
    </xf>
    <xf numFmtId="0" fontId="143" fillId="9" borderId="8" xfId="0" applyFont="1" applyFill="1" applyBorder="1" applyAlignment="1">
      <alignment horizontal="center" vertical="center"/>
    </xf>
    <xf numFmtId="3" fontId="152" fillId="9" borderId="1" xfId="17" applyNumberFormat="1" applyFont="1" applyFill="1" applyBorder="1" applyAlignment="1">
      <alignment horizontal="center" vertical="center" wrapText="1"/>
    </xf>
    <xf numFmtId="3" fontId="152" fillId="9" borderId="1" xfId="17" applyNumberFormat="1" applyFont="1" applyFill="1" applyBorder="1" applyAlignment="1">
      <alignment vertical="center" wrapText="1"/>
    </xf>
    <xf numFmtId="167" fontId="3" fillId="0" borderId="0" xfId="17" applyNumberFormat="1" applyFont="1" applyAlignment="1">
      <alignment vertical="center"/>
    </xf>
    <xf numFmtId="0" fontId="152" fillId="9" borderId="10" xfId="0" applyFont="1" applyFill="1" applyBorder="1" applyAlignment="1">
      <alignment horizontal="center" vertical="center"/>
    </xf>
    <xf numFmtId="0" fontId="143" fillId="9" borderId="10" xfId="0" applyFont="1" applyFill="1" applyBorder="1" applyAlignment="1">
      <alignment horizontal="center" vertical="center"/>
    </xf>
    <xf numFmtId="3" fontId="152" fillId="9" borderId="10" xfId="17" applyNumberFormat="1" applyFont="1" applyFill="1" applyBorder="1" applyAlignment="1">
      <alignment horizontal="center" vertical="center" wrapText="1"/>
    </xf>
    <xf numFmtId="0" fontId="153" fillId="0" borderId="10" xfId="0" applyFont="1" applyBorder="1" applyAlignment="1">
      <alignment horizontal="center" vertical="center"/>
    </xf>
    <xf numFmtId="49" fontId="153" fillId="0" borderId="10" xfId="0" applyNumberFormat="1" applyFont="1" applyBorder="1" applyAlignment="1">
      <alignment horizontal="center" vertical="center"/>
    </xf>
    <xf numFmtId="221" fontId="153" fillId="0" borderId="10" xfId="0" applyNumberFormat="1" applyFont="1" applyBorder="1" applyAlignment="1">
      <alignment horizontal="center" vertical="center"/>
    </xf>
    <xf numFmtId="0" fontId="153" fillId="0" borderId="10" xfId="0" applyFont="1" applyBorder="1" applyAlignment="1">
      <alignment horizontal="left" vertical="center" wrapText="1"/>
    </xf>
    <xf numFmtId="0" fontId="153" fillId="0" borderId="10" xfId="0" applyFont="1" applyBorder="1" applyAlignment="1">
      <alignment horizontal="center" vertical="center" wrapText="1"/>
    </xf>
    <xf numFmtId="220" fontId="153" fillId="0" borderId="10" xfId="0" applyNumberFormat="1" applyFont="1" applyBorder="1" applyAlignment="1">
      <alignment vertical="center"/>
    </xf>
    <xf numFmtId="220" fontId="153" fillId="0" borderId="10" xfId="17" applyNumberFormat="1" applyFont="1" applyFill="1" applyBorder="1" applyAlignment="1">
      <alignment vertical="center"/>
    </xf>
    <xf numFmtId="3" fontId="153" fillId="0" borderId="10" xfId="17" applyNumberFormat="1" applyFont="1" applyFill="1" applyBorder="1" applyAlignment="1">
      <alignment vertical="center"/>
    </xf>
    <xf numFmtId="167" fontId="153" fillId="0" borderId="0" xfId="17" applyNumberFormat="1" applyFont="1" applyFill="1" applyAlignment="1">
      <alignment vertical="center"/>
    </xf>
    <xf numFmtId="167" fontId="153" fillId="0" borderId="0" xfId="0" applyNumberFormat="1" applyFont="1" applyAlignment="1">
      <alignment vertical="center"/>
    </xf>
    <xf numFmtId="0" fontId="153" fillId="0" borderId="0" xfId="0" applyFont="1" applyAlignment="1">
      <alignment vertical="center"/>
    </xf>
    <xf numFmtId="0" fontId="154" fillId="0" borderId="10" xfId="0" applyFont="1" applyBorder="1" applyAlignment="1">
      <alignment horizontal="center" vertical="center"/>
    </xf>
    <xf numFmtId="49" fontId="154" fillId="0" borderId="10" xfId="0" applyNumberFormat="1" applyFont="1" applyBorder="1" applyAlignment="1">
      <alignment horizontal="center" vertical="center"/>
    </xf>
    <xf numFmtId="221" fontId="154" fillId="0" borderId="10" xfId="0" applyNumberFormat="1" applyFont="1" applyBorder="1" applyAlignment="1">
      <alignment horizontal="center" vertical="center"/>
    </xf>
    <xf numFmtId="0" fontId="154" fillId="0" borderId="10" xfId="0" applyFont="1" applyBorder="1" applyAlignment="1">
      <alignment horizontal="left" vertical="center" wrapText="1"/>
    </xf>
    <xf numFmtId="0" fontId="154" fillId="0" borderId="10" xfId="0" applyFont="1" applyBorder="1" applyAlignment="1">
      <alignment horizontal="center" vertical="center" wrapText="1"/>
    </xf>
    <xf numFmtId="220" fontId="154" fillId="0" borderId="10" xfId="0" applyNumberFormat="1" applyFont="1" applyBorder="1" applyAlignment="1">
      <alignment vertical="center"/>
    </xf>
    <xf numFmtId="220" fontId="154" fillId="0" borderId="10" xfId="17" applyNumberFormat="1" applyFont="1" applyFill="1" applyBorder="1" applyAlignment="1">
      <alignment vertical="center"/>
    </xf>
    <xf numFmtId="3" fontId="154" fillId="0" borderId="10" xfId="17" applyNumberFormat="1" applyFont="1" applyFill="1" applyBorder="1" applyAlignment="1">
      <alignment vertical="center"/>
    </xf>
    <xf numFmtId="167" fontId="154" fillId="0" borderId="0" xfId="17" applyNumberFormat="1" applyFont="1" applyFill="1" applyAlignment="1">
      <alignment vertical="center"/>
    </xf>
    <xf numFmtId="0" fontId="154" fillId="0" borderId="0" xfId="0" applyFont="1" applyAlignment="1">
      <alignment vertical="center"/>
    </xf>
    <xf numFmtId="0" fontId="155" fillId="0" borderId="10" xfId="0" applyFont="1" applyBorder="1" applyAlignment="1">
      <alignment horizontal="center" vertical="center"/>
    </xf>
    <xf numFmtId="49" fontId="155" fillId="0" borderId="10" xfId="0" applyNumberFormat="1" applyFont="1" applyBorder="1" applyAlignment="1">
      <alignment horizontal="center" vertical="center"/>
    </xf>
    <xf numFmtId="222" fontId="155" fillId="0" borderId="10" xfId="0" applyNumberFormat="1" applyFont="1" applyBorder="1" applyAlignment="1">
      <alignment horizontal="center" vertical="center"/>
    </xf>
    <xf numFmtId="0" fontId="155" fillId="0" borderId="10" xfId="0" applyFont="1" applyBorder="1" applyAlignment="1">
      <alignment horizontal="left" vertical="center" wrapText="1"/>
    </xf>
    <xf numFmtId="0" fontId="155" fillId="0" borderId="10" xfId="0" applyFont="1" applyBorder="1" applyAlignment="1">
      <alignment horizontal="center" vertical="center" wrapText="1"/>
    </xf>
    <xf numFmtId="220" fontId="155" fillId="0" borderId="10" xfId="0" applyNumberFormat="1" applyFont="1" applyBorder="1" applyAlignment="1" applyProtection="1">
      <alignment vertical="center"/>
      <protection locked="0"/>
    </xf>
    <xf numFmtId="220" fontId="155" fillId="0" borderId="10" xfId="17" applyNumberFormat="1" applyFont="1" applyFill="1" applyBorder="1" applyAlignment="1">
      <alignment vertical="center"/>
    </xf>
    <xf numFmtId="3" fontId="155" fillId="0" borderId="10" xfId="17" applyNumberFormat="1" applyFont="1" applyFill="1" applyBorder="1" applyAlignment="1">
      <alignment vertical="center"/>
    </xf>
    <xf numFmtId="0" fontId="155" fillId="0" borderId="0" xfId="0" applyFont="1" applyAlignment="1">
      <alignment vertical="center"/>
    </xf>
    <xf numFmtId="49" fontId="151" fillId="0" borderId="10" xfId="0" applyNumberFormat="1" applyFont="1" applyBorder="1" applyAlignment="1">
      <alignment horizontal="center" vertical="center"/>
    </xf>
    <xf numFmtId="221" fontId="3" fillId="0" borderId="10" xfId="0"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center" vertical="center" wrapText="1"/>
    </xf>
    <xf numFmtId="220" fontId="3" fillId="0" borderId="10" xfId="0" applyNumberFormat="1" applyFont="1" applyBorder="1" applyAlignment="1">
      <alignment vertical="center"/>
    </xf>
    <xf numFmtId="220" fontId="3" fillId="0" borderId="10" xfId="17" applyNumberFormat="1" applyFont="1" applyFill="1" applyBorder="1" applyAlignment="1">
      <alignment vertical="center"/>
    </xf>
    <xf numFmtId="3" fontId="3" fillId="0" borderId="10" xfId="17" applyNumberFormat="1" applyFont="1" applyFill="1" applyBorder="1" applyAlignment="1">
      <alignment vertical="center"/>
    </xf>
    <xf numFmtId="0" fontId="153" fillId="0" borderId="10" xfId="0" applyFont="1" applyBorder="1" applyAlignment="1">
      <alignment horizontal="left" vertical="center"/>
    </xf>
    <xf numFmtId="49" fontId="156" fillId="0" borderId="10" xfId="0" applyNumberFormat="1" applyFont="1" applyBorder="1" applyAlignment="1">
      <alignment horizontal="center" vertical="center"/>
    </xf>
    <xf numFmtId="49" fontId="157" fillId="0" borderId="10" xfId="0" applyNumberFormat="1" applyFont="1" applyBorder="1" applyAlignment="1">
      <alignment horizontal="center" vertical="center"/>
    </xf>
    <xf numFmtId="0" fontId="154" fillId="0" borderId="10" xfId="0" applyFont="1" applyBorder="1" applyAlignment="1" applyProtection="1">
      <alignment horizontal="left" vertical="center" wrapText="1"/>
      <protection locked="0"/>
    </xf>
    <xf numFmtId="0" fontId="155" fillId="0" borderId="10" xfId="0" applyFont="1" applyBorder="1" applyAlignment="1" applyProtection="1">
      <alignment horizontal="left" vertical="center" wrapText="1"/>
      <protection locked="0"/>
    </xf>
    <xf numFmtId="0" fontId="155" fillId="0" borderId="10" xfId="0" applyFont="1" applyBorder="1" applyAlignment="1" applyProtection="1">
      <alignment horizontal="center" vertical="center" wrapText="1"/>
      <protection locked="0"/>
    </xf>
    <xf numFmtId="0" fontId="154" fillId="0" borderId="10" xfId="0" applyFont="1" applyBorder="1" applyAlignment="1" applyProtection="1">
      <alignment horizontal="center" vertical="center" wrapText="1"/>
      <protection locked="0"/>
    </xf>
    <xf numFmtId="220" fontId="154" fillId="0" borderId="10" xfId="0" applyNumberFormat="1" applyFont="1" applyBorder="1" applyAlignment="1" applyProtection="1">
      <alignment vertical="center"/>
      <protection locked="0"/>
    </xf>
    <xf numFmtId="0" fontId="48" fillId="0" borderId="10" xfId="0" applyFont="1" applyBorder="1" applyAlignment="1">
      <alignment horizontal="left" vertical="center" wrapText="1"/>
    </xf>
    <xf numFmtId="49" fontId="155" fillId="3" borderId="10" xfId="0" applyNumberFormat="1" applyFont="1" applyFill="1" applyBorder="1" applyAlignment="1">
      <alignment horizontal="center" vertical="center"/>
    </xf>
    <xf numFmtId="0" fontId="155" fillId="3" borderId="10" xfId="0" applyFont="1" applyFill="1" applyBorder="1" applyAlignment="1">
      <alignment horizontal="center" vertical="center"/>
    </xf>
    <xf numFmtId="222" fontId="155" fillId="3" borderId="10" xfId="0" applyNumberFormat="1" applyFont="1" applyFill="1" applyBorder="1" applyAlignment="1">
      <alignment horizontal="center" vertical="center"/>
    </xf>
    <xf numFmtId="0" fontId="155" fillId="3" borderId="10" xfId="0" applyFont="1" applyFill="1" applyBorder="1" applyAlignment="1" applyProtection="1">
      <alignment horizontal="left" vertical="center" wrapText="1"/>
      <protection locked="0"/>
    </xf>
    <xf numFmtId="0" fontId="155" fillId="3" borderId="10" xfId="0" applyFont="1" applyFill="1" applyBorder="1" applyAlignment="1">
      <alignment horizontal="center" vertical="center" wrapText="1"/>
    </xf>
    <xf numFmtId="220" fontId="155" fillId="3" borderId="10" xfId="0" applyNumberFormat="1" applyFont="1" applyFill="1" applyBorder="1" applyAlignment="1" applyProtection="1">
      <alignment vertical="center"/>
      <protection locked="0"/>
    </xf>
    <xf numFmtId="220" fontId="155" fillId="3" borderId="10" xfId="17" applyNumberFormat="1" applyFont="1" applyFill="1" applyBorder="1" applyAlignment="1">
      <alignment vertical="center"/>
    </xf>
    <xf numFmtId="3" fontId="155" fillId="3" borderId="10" xfId="17" applyNumberFormat="1" applyFont="1" applyFill="1" applyBorder="1" applyAlignment="1">
      <alignment vertical="center"/>
    </xf>
    <xf numFmtId="167" fontId="153" fillId="3" borderId="0" xfId="17" applyNumberFormat="1" applyFont="1" applyFill="1" applyAlignment="1">
      <alignment vertical="center"/>
    </xf>
    <xf numFmtId="167" fontId="154" fillId="3" borderId="0" xfId="17" applyNumberFormat="1" applyFont="1" applyFill="1" applyAlignment="1">
      <alignment vertical="center"/>
    </xf>
    <xf numFmtId="167" fontId="153" fillId="3" borderId="0" xfId="0" applyNumberFormat="1" applyFont="1" applyFill="1" applyAlignment="1">
      <alignment vertical="center"/>
    </xf>
    <xf numFmtId="0" fontId="153" fillId="3" borderId="0" xfId="0" applyFont="1" applyFill="1" applyAlignment="1">
      <alignment vertical="center"/>
    </xf>
    <xf numFmtId="0" fontId="155" fillId="3" borderId="0" xfId="0" applyFont="1" applyFill="1" applyAlignment="1">
      <alignment vertical="center"/>
    </xf>
    <xf numFmtId="0" fontId="153" fillId="0" borderId="10" xfId="0" applyFont="1" applyBorder="1" applyAlignment="1" applyProtection="1">
      <alignment horizontal="left" vertical="center" wrapText="1"/>
      <protection locked="0"/>
    </xf>
    <xf numFmtId="220" fontId="3" fillId="0" borderId="10" xfId="0" applyNumberFormat="1" applyFont="1" applyBorder="1" applyAlignment="1" applyProtection="1">
      <alignment vertical="center"/>
      <protection locked="0"/>
    </xf>
    <xf numFmtId="49" fontId="3" fillId="0" borderId="10" xfId="0" applyNumberFormat="1" applyFont="1" applyBorder="1" applyAlignment="1">
      <alignment horizontal="center" vertical="center"/>
    </xf>
    <xf numFmtId="49" fontId="143" fillId="0" borderId="10" xfId="0" applyNumberFormat="1" applyFont="1" applyBorder="1" applyAlignment="1">
      <alignment horizontal="center" vertical="center"/>
    </xf>
    <xf numFmtId="49" fontId="153" fillId="0" borderId="10" xfId="0" applyNumberFormat="1" applyFont="1" applyBorder="1" applyAlignment="1">
      <alignment horizontal="center" vertical="center" wrapText="1"/>
    </xf>
    <xf numFmtId="222" fontId="153" fillId="0" borderId="10" xfId="0" applyNumberFormat="1" applyFont="1" applyBorder="1" applyAlignment="1">
      <alignment horizontal="center" vertical="center" wrapText="1"/>
    </xf>
    <xf numFmtId="222" fontId="153" fillId="0" borderId="10" xfId="0" applyNumberFormat="1" applyFont="1" applyBorder="1" applyAlignment="1">
      <alignment horizontal="center" vertical="center"/>
    </xf>
    <xf numFmtId="220" fontId="158" fillId="0" borderId="10" xfId="17" applyNumberFormat="1" applyFont="1" applyFill="1" applyBorder="1" applyAlignment="1">
      <alignment vertical="center"/>
    </xf>
    <xf numFmtId="3" fontId="158" fillId="0" borderId="10" xfId="17" applyNumberFormat="1" applyFont="1" applyFill="1" applyBorder="1" applyAlignment="1">
      <alignment vertical="center"/>
    </xf>
    <xf numFmtId="49" fontId="152" fillId="0" borderId="10" xfId="0" applyNumberFormat="1" applyFont="1" applyBorder="1" applyAlignment="1">
      <alignment horizontal="center" vertical="center"/>
    </xf>
    <xf numFmtId="49" fontId="151" fillId="12" borderId="10" xfId="0" applyNumberFormat="1" applyFont="1" applyFill="1" applyBorder="1" applyAlignment="1">
      <alignment horizontal="center" vertical="center"/>
    </xf>
    <xf numFmtId="0" fontId="153" fillId="0" borderId="10" xfId="0" applyFont="1" applyBorder="1" applyAlignment="1" applyProtection="1">
      <alignment horizontal="left" vertical="center"/>
      <protection locked="0"/>
    </xf>
    <xf numFmtId="0" fontId="155" fillId="12" borderId="10" xfId="0" applyFont="1" applyFill="1" applyBorder="1" applyAlignment="1">
      <alignment horizontal="center" vertical="center"/>
    </xf>
    <xf numFmtId="221" fontId="3" fillId="12" borderId="10" xfId="0" applyNumberFormat="1" applyFont="1" applyFill="1" applyBorder="1" applyAlignment="1">
      <alignment horizontal="center" vertical="center"/>
    </xf>
    <xf numFmtId="0" fontId="3" fillId="12" borderId="10" xfId="0" applyFont="1" applyFill="1" applyBorder="1" applyAlignment="1">
      <alignment horizontal="left" vertical="center" wrapText="1"/>
    </xf>
    <xf numFmtId="0" fontId="3" fillId="12" borderId="10" xfId="0" applyFont="1" applyFill="1" applyBorder="1" applyAlignment="1">
      <alignment horizontal="center" vertical="center" wrapText="1"/>
    </xf>
    <xf numFmtId="220" fontId="3" fillId="12" borderId="10" xfId="0" applyNumberFormat="1" applyFont="1" applyFill="1" applyBorder="1" applyAlignment="1">
      <alignment vertical="center"/>
    </xf>
    <xf numFmtId="220" fontId="3" fillId="12" borderId="10" xfId="17" applyNumberFormat="1" applyFont="1" applyFill="1" applyBorder="1" applyAlignment="1">
      <alignment vertical="center"/>
    </xf>
    <xf numFmtId="3" fontId="3" fillId="12" borderId="10" xfId="17" applyNumberFormat="1" applyFont="1" applyFill="1" applyBorder="1" applyAlignment="1">
      <alignment vertical="center"/>
    </xf>
    <xf numFmtId="3" fontId="153" fillId="12" borderId="10" xfId="17" applyNumberFormat="1" applyFont="1" applyFill="1" applyBorder="1" applyAlignment="1">
      <alignment vertical="center"/>
    </xf>
    <xf numFmtId="0" fontId="154" fillId="12" borderId="10" xfId="0" applyFont="1" applyFill="1" applyBorder="1" applyAlignment="1">
      <alignment horizontal="center" vertical="center"/>
    </xf>
    <xf numFmtId="49" fontId="156" fillId="12" borderId="10" xfId="0" applyNumberFormat="1" applyFont="1" applyFill="1" applyBorder="1" applyAlignment="1">
      <alignment horizontal="center" vertical="center"/>
    </xf>
    <xf numFmtId="221" fontId="154" fillId="12" borderId="10" xfId="0" applyNumberFormat="1" applyFont="1" applyFill="1" applyBorder="1" applyAlignment="1">
      <alignment horizontal="center" vertical="center"/>
    </xf>
    <xf numFmtId="0" fontId="154" fillId="12" borderId="10" xfId="0" applyFont="1" applyFill="1" applyBorder="1" applyAlignment="1">
      <alignment horizontal="left" vertical="center" wrapText="1"/>
    </xf>
    <xf numFmtId="0" fontId="154" fillId="12" borderId="10" xfId="0" applyFont="1" applyFill="1" applyBorder="1" applyAlignment="1">
      <alignment horizontal="center" vertical="center" wrapText="1"/>
    </xf>
    <xf numFmtId="220" fontId="154" fillId="12" borderId="10" xfId="0" applyNumberFormat="1" applyFont="1" applyFill="1" applyBorder="1" applyAlignment="1">
      <alignment vertical="center"/>
    </xf>
    <xf numFmtId="220" fontId="154" fillId="12" borderId="10" xfId="17" applyNumberFormat="1" applyFont="1" applyFill="1" applyBorder="1" applyAlignment="1">
      <alignment vertical="center"/>
    </xf>
    <xf numFmtId="3" fontId="154" fillId="12" borderId="10" xfId="17" applyNumberFormat="1" applyFont="1" applyFill="1" applyBorder="1" applyAlignment="1">
      <alignment vertical="center"/>
    </xf>
    <xf numFmtId="222" fontId="155" fillId="12" borderId="10" xfId="0" applyNumberFormat="1" applyFont="1" applyFill="1" applyBorder="1" applyAlignment="1">
      <alignment horizontal="center" vertical="center"/>
    </xf>
    <xf numFmtId="0" fontId="155" fillId="12" borderId="10" xfId="0" applyFont="1" applyFill="1" applyBorder="1" applyAlignment="1" applyProtection="1">
      <alignment horizontal="left" vertical="center" wrapText="1"/>
      <protection locked="0"/>
    </xf>
    <xf numFmtId="0" fontId="155" fillId="12" borderId="10" xfId="0" applyFont="1" applyFill="1" applyBorder="1" applyAlignment="1" applyProtection="1">
      <alignment horizontal="center" vertical="center" wrapText="1"/>
      <protection locked="0"/>
    </xf>
    <xf numFmtId="220" fontId="155" fillId="12" borderId="10" xfId="0" applyNumberFormat="1" applyFont="1" applyFill="1" applyBorder="1" applyAlignment="1" applyProtection="1">
      <alignment vertical="center"/>
      <protection locked="0"/>
    </xf>
    <xf numFmtId="220" fontId="155" fillId="12" borderId="10" xfId="17" applyNumberFormat="1" applyFont="1" applyFill="1" applyBorder="1" applyAlignment="1">
      <alignment vertical="center"/>
    </xf>
    <xf numFmtId="3" fontId="155" fillId="12" borderId="10" xfId="17" applyNumberFormat="1" applyFont="1" applyFill="1" applyBorder="1" applyAlignment="1">
      <alignment vertical="center"/>
    </xf>
    <xf numFmtId="222" fontId="151" fillId="12" borderId="10" xfId="0" applyNumberFormat="1" applyFont="1" applyFill="1" applyBorder="1" applyAlignment="1">
      <alignment horizontal="center" vertical="center"/>
    </xf>
    <xf numFmtId="0" fontId="151" fillId="12" borderId="10" xfId="0" applyFont="1" applyFill="1" applyBorder="1" applyAlignment="1" applyProtection="1">
      <alignment horizontal="left" vertical="center" wrapText="1"/>
      <protection locked="0"/>
    </xf>
    <xf numFmtId="0" fontId="151" fillId="12" borderId="10" xfId="0" applyFont="1" applyFill="1" applyBorder="1" applyAlignment="1" applyProtection="1">
      <alignment horizontal="center" vertical="center" wrapText="1"/>
      <protection locked="0"/>
    </xf>
    <xf numFmtId="220" fontId="151" fillId="12" borderId="10" xfId="0" applyNumberFormat="1" applyFont="1" applyFill="1" applyBorder="1" applyAlignment="1" applyProtection="1">
      <alignment vertical="center"/>
      <protection locked="0"/>
    </xf>
    <xf numFmtId="220" fontId="151" fillId="12" borderId="10" xfId="17" applyNumberFormat="1" applyFont="1" applyFill="1" applyBorder="1" applyAlignment="1">
      <alignment vertical="center"/>
    </xf>
    <xf numFmtId="0" fontId="154" fillId="12" borderId="10" xfId="0" applyFont="1" applyFill="1" applyBorder="1" applyAlignment="1" applyProtection="1">
      <alignment horizontal="left" vertical="center" wrapText="1"/>
      <protection locked="0"/>
    </xf>
    <xf numFmtId="0" fontId="154" fillId="12" borderId="10" xfId="0" applyFont="1" applyFill="1" applyBorder="1" applyAlignment="1" applyProtection="1">
      <alignment horizontal="center" vertical="center" wrapText="1"/>
      <protection locked="0"/>
    </xf>
    <xf numFmtId="220" fontId="154" fillId="12" borderId="10" xfId="0" applyNumberFormat="1" applyFont="1" applyFill="1" applyBorder="1" applyAlignment="1" applyProtection="1">
      <alignment vertical="center"/>
      <protection locked="0"/>
    </xf>
    <xf numFmtId="0" fontId="155" fillId="12" borderId="10" xfId="0" applyFont="1" applyFill="1" applyBorder="1" applyAlignment="1">
      <alignment horizontal="left" vertical="center" wrapText="1"/>
    </xf>
    <xf numFmtId="0" fontId="155" fillId="12" borderId="10" xfId="0" applyFont="1" applyFill="1" applyBorder="1" applyAlignment="1">
      <alignment horizontal="center" vertical="center" wrapText="1"/>
    </xf>
    <xf numFmtId="0" fontId="151" fillId="0" borderId="10" xfId="0" applyFont="1" applyBorder="1" applyAlignment="1">
      <alignment horizontal="center" vertical="center"/>
    </xf>
    <xf numFmtId="0" fontId="151" fillId="0" borderId="0" xfId="0" applyFont="1" applyAlignment="1">
      <alignment vertical="center"/>
    </xf>
    <xf numFmtId="220" fontId="155" fillId="0" borderId="10" xfId="0" applyNumberFormat="1" applyFont="1" applyBorder="1" applyAlignment="1">
      <alignment vertical="center"/>
    </xf>
    <xf numFmtId="221" fontId="155" fillId="0" borderId="10" xfId="0" applyNumberFormat="1" applyFont="1" applyBorder="1" applyAlignment="1">
      <alignment horizontal="center" vertical="center"/>
    </xf>
    <xf numFmtId="222" fontId="151" fillId="0" borderId="10" xfId="0" applyNumberFormat="1" applyFont="1" applyBorder="1" applyAlignment="1">
      <alignment horizontal="center" vertical="center"/>
    </xf>
    <xf numFmtId="0" fontId="155" fillId="0" borderId="10" xfId="0" applyFont="1" applyBorder="1" applyAlignment="1">
      <alignment vertical="center" wrapText="1"/>
    </xf>
    <xf numFmtId="0" fontId="155" fillId="0" borderId="6" xfId="0" applyFont="1" applyBorder="1" applyAlignment="1">
      <alignment horizontal="center" vertical="center"/>
    </xf>
    <xf numFmtId="49" fontId="151" fillId="0" borderId="6" xfId="0" applyNumberFormat="1" applyFont="1" applyBorder="1" applyAlignment="1">
      <alignment horizontal="center" vertical="center"/>
    </xf>
    <xf numFmtId="221" fontId="3" fillId="0" borderId="6" xfId="0" applyNumberFormat="1" applyFont="1" applyBorder="1" applyAlignment="1">
      <alignment horizontal="center" vertical="center"/>
    </xf>
    <xf numFmtId="0" fontId="3" fillId="0" borderId="6" xfId="0" applyFont="1" applyBorder="1" applyAlignment="1">
      <alignment vertical="center" wrapText="1"/>
    </xf>
    <xf numFmtId="169" fontId="3" fillId="0" borderId="6" xfId="17" applyNumberFormat="1" applyFont="1" applyFill="1" applyBorder="1" applyAlignment="1">
      <alignment vertical="center"/>
    </xf>
    <xf numFmtId="220" fontId="3" fillId="0" borderId="6" xfId="17" applyNumberFormat="1" applyFont="1" applyFill="1" applyBorder="1" applyAlignment="1">
      <alignment vertical="center"/>
    </xf>
    <xf numFmtId="3" fontId="3" fillId="0" borderId="6" xfId="17" applyNumberFormat="1" applyFont="1" applyFill="1" applyBorder="1" applyAlignment="1">
      <alignment vertical="center"/>
    </xf>
    <xf numFmtId="3" fontId="153" fillId="13" borderId="6" xfId="17" applyNumberFormat="1" applyFont="1" applyFill="1" applyBorder="1" applyAlignment="1">
      <alignment vertical="center"/>
    </xf>
    <xf numFmtId="3" fontId="155" fillId="0" borderId="6" xfId="17" applyNumberFormat="1" applyFont="1" applyFill="1" applyBorder="1" applyAlignment="1">
      <alignment vertical="center"/>
    </xf>
    <xf numFmtId="0" fontId="154" fillId="0" borderId="10" xfId="0" applyFont="1" applyBorder="1" applyAlignment="1">
      <alignment vertical="center" wrapText="1"/>
    </xf>
    <xf numFmtId="0" fontId="154" fillId="0" borderId="10" xfId="0" applyFont="1" applyBorder="1" applyAlignment="1">
      <alignment vertical="center"/>
    </xf>
    <xf numFmtId="169" fontId="154" fillId="0" borderId="10" xfId="17" applyNumberFormat="1" applyFont="1" applyFill="1" applyBorder="1" applyAlignment="1">
      <alignment vertical="center"/>
    </xf>
    <xf numFmtId="169" fontId="155" fillId="0" borderId="10" xfId="17" applyNumberFormat="1" applyFont="1" applyFill="1" applyBorder="1" applyAlignment="1">
      <alignment vertical="center"/>
    </xf>
    <xf numFmtId="0" fontId="3" fillId="0" borderId="10" xfId="0" applyFont="1" applyBorder="1" applyAlignment="1">
      <alignment vertical="center" wrapText="1"/>
    </xf>
    <xf numFmtId="0" fontId="3" fillId="0" borderId="10" xfId="0" applyFont="1" applyBorder="1" applyAlignment="1">
      <alignment horizontal="center" vertical="center"/>
    </xf>
    <xf numFmtId="169" fontId="3" fillId="0" borderId="10" xfId="17" applyNumberFormat="1" applyFont="1" applyFill="1" applyBorder="1" applyAlignment="1">
      <alignment vertical="center"/>
    </xf>
    <xf numFmtId="0" fontId="48" fillId="0" borderId="10" xfId="0" applyFont="1" applyBorder="1" applyAlignment="1">
      <alignment vertical="center" wrapText="1"/>
    </xf>
    <xf numFmtId="221" fontId="151" fillId="0" borderId="10" xfId="0" applyNumberFormat="1" applyFont="1" applyBorder="1" applyAlignment="1">
      <alignment horizontal="center" vertical="center"/>
    </xf>
    <xf numFmtId="0" fontId="151" fillId="0" borderId="10" xfId="0" applyFont="1" applyBorder="1" applyAlignment="1">
      <alignment vertical="center" wrapText="1"/>
    </xf>
    <xf numFmtId="169" fontId="151" fillId="0" borderId="10" xfId="17" applyNumberFormat="1" applyFont="1" applyFill="1" applyBorder="1" applyAlignment="1">
      <alignment vertical="center"/>
    </xf>
    <xf numFmtId="220" fontId="151" fillId="0" borderId="10" xfId="17" applyNumberFormat="1" applyFont="1" applyFill="1" applyBorder="1" applyAlignment="1">
      <alignment vertical="center"/>
    </xf>
    <xf numFmtId="3" fontId="151" fillId="0" borderId="10" xfId="17" applyNumberFormat="1" applyFont="1" applyFill="1" applyBorder="1" applyAlignment="1">
      <alignment vertical="center"/>
    </xf>
    <xf numFmtId="0" fontId="78" fillId="0" borderId="1" xfId="0" applyFont="1" applyBorder="1" applyAlignment="1">
      <alignment horizontal="center" vertical="center"/>
    </xf>
    <xf numFmtId="49" fontId="152" fillId="0" borderId="10" xfId="0" applyNumberFormat="1" applyFont="1" applyBorder="1" applyAlignment="1">
      <alignment vertical="center"/>
    </xf>
    <xf numFmtId="49" fontId="154" fillId="0" borderId="10" xfId="0" applyNumberFormat="1" applyFont="1" applyBorder="1" applyAlignment="1">
      <alignment vertical="center"/>
    </xf>
    <xf numFmtId="49" fontId="151" fillId="0" borderId="10" xfId="0" applyNumberFormat="1" applyFont="1" applyBorder="1" applyAlignment="1">
      <alignment horizontal="center" vertical="center" wrapText="1"/>
    </xf>
    <xf numFmtId="49" fontId="156" fillId="0" borderId="10" xfId="0" applyNumberFormat="1" applyFont="1" applyBorder="1" applyAlignment="1">
      <alignment vertical="center"/>
    </xf>
    <xf numFmtId="49" fontId="151" fillId="12" borderId="10" xfId="0" applyNumberFormat="1" applyFont="1" applyFill="1" applyBorder="1" applyAlignment="1">
      <alignment horizontal="center" vertical="center" wrapText="1"/>
    </xf>
    <xf numFmtId="0" fontId="151" fillId="0" borderId="10" xfId="0" applyFont="1" applyBorder="1" applyAlignment="1">
      <alignment horizontal="center" vertical="center" wrapText="1"/>
    </xf>
    <xf numFmtId="0" fontId="3" fillId="12" borderId="10" xfId="0" applyFont="1" applyFill="1" applyBorder="1" applyAlignment="1">
      <alignment vertical="center" wrapText="1"/>
    </xf>
    <xf numFmtId="169" fontId="3" fillId="12" borderId="10" xfId="17" applyNumberFormat="1" applyFont="1" applyFill="1" applyBorder="1" applyAlignment="1">
      <alignment vertical="center"/>
    </xf>
    <xf numFmtId="172" fontId="155" fillId="0" borderId="10" xfId="17" applyNumberFormat="1" applyFont="1" applyFill="1" applyBorder="1" applyAlignment="1">
      <alignment vertical="center"/>
    </xf>
    <xf numFmtId="49" fontId="154" fillId="0" borderId="10" xfId="0" applyNumberFormat="1" applyFont="1" applyBorder="1" applyAlignment="1" applyProtection="1">
      <alignment horizontal="center" vertical="center" wrapText="1"/>
      <protection locked="0"/>
    </xf>
    <xf numFmtId="0" fontId="154" fillId="0" borderId="10" xfId="0" applyFont="1" applyBorder="1" applyAlignment="1" applyProtection="1">
      <alignment vertical="center" wrapText="1"/>
      <protection locked="0"/>
    </xf>
    <xf numFmtId="0" fontId="154" fillId="0" borderId="10" xfId="0" applyFont="1" applyBorder="1" applyAlignment="1" applyProtection="1">
      <alignment horizontal="center" vertical="center"/>
      <protection locked="0"/>
    </xf>
    <xf numFmtId="223" fontId="154" fillId="0" borderId="10" xfId="0" applyNumberFormat="1" applyFont="1" applyBorder="1" applyAlignment="1" applyProtection="1">
      <alignment vertical="center"/>
      <protection locked="0"/>
    </xf>
    <xf numFmtId="220" fontId="154" fillId="0" borderId="10" xfId="17" applyNumberFormat="1" applyFont="1" applyFill="1" applyBorder="1" applyAlignment="1" applyProtection="1">
      <alignment vertical="center"/>
      <protection locked="0"/>
    </xf>
    <xf numFmtId="3" fontId="154" fillId="0" borderId="10" xfId="17" applyNumberFormat="1" applyFont="1" applyFill="1" applyBorder="1" applyAlignment="1" applyProtection="1">
      <alignment vertical="center"/>
      <protection locked="0"/>
    </xf>
    <xf numFmtId="0" fontId="159" fillId="0" borderId="0" xfId="0" applyFont="1" applyAlignment="1">
      <alignment vertical="center"/>
    </xf>
    <xf numFmtId="49" fontId="151" fillId="0" borderId="10" xfId="0" applyNumberFormat="1" applyFont="1" applyBorder="1" applyAlignment="1" applyProtection="1">
      <alignment horizontal="center" vertical="center" wrapText="1"/>
      <protection locked="0"/>
    </xf>
    <xf numFmtId="0" fontId="151" fillId="0" borderId="10" xfId="0" applyFont="1" applyBorder="1" applyAlignment="1" applyProtection="1">
      <alignment horizontal="center" vertical="center" wrapText="1"/>
      <protection locked="0"/>
    </xf>
    <xf numFmtId="0" fontId="151" fillId="0" borderId="10" xfId="0" applyFont="1" applyBorder="1" applyAlignment="1" applyProtection="1">
      <alignment vertical="center" wrapText="1"/>
      <protection locked="0"/>
    </xf>
    <xf numFmtId="0" fontId="151" fillId="0" borderId="10" xfId="0" applyFont="1" applyBorder="1" applyAlignment="1" applyProtection="1">
      <alignment horizontal="center" vertical="center"/>
      <protection locked="0"/>
    </xf>
    <xf numFmtId="223" fontId="151" fillId="0" borderId="10" xfId="0" applyNumberFormat="1" applyFont="1" applyBorder="1" applyAlignment="1" applyProtection="1">
      <alignment vertical="center"/>
      <protection locked="0"/>
    </xf>
    <xf numFmtId="220" fontId="151" fillId="0" borderId="10" xfId="17" applyNumberFormat="1" applyFont="1" applyFill="1" applyBorder="1" applyAlignment="1" applyProtection="1">
      <alignment vertical="center"/>
      <protection locked="0"/>
    </xf>
    <xf numFmtId="3" fontId="151" fillId="0" borderId="10" xfId="17" applyNumberFormat="1" applyFont="1" applyFill="1" applyBorder="1" applyAlignment="1" applyProtection="1">
      <alignment vertical="center"/>
      <protection locked="0"/>
    </xf>
    <xf numFmtId="49" fontId="155" fillId="0" borderId="10" xfId="0" applyNumberFormat="1" applyFont="1" applyBorder="1" applyAlignment="1" applyProtection="1">
      <alignment horizontal="center" vertical="center" wrapText="1"/>
      <protection locked="0"/>
    </xf>
    <xf numFmtId="0" fontId="155" fillId="0" borderId="10" xfId="0" applyFont="1" applyBorder="1" applyAlignment="1" applyProtection="1">
      <alignment vertical="center" wrapText="1"/>
      <protection locked="0"/>
    </xf>
    <xf numFmtId="0" fontId="155" fillId="0" borderId="10" xfId="0" applyFont="1" applyBorder="1" applyAlignment="1" applyProtection="1">
      <alignment horizontal="center" vertical="center"/>
      <protection locked="0"/>
    </xf>
    <xf numFmtId="223" fontId="155" fillId="0" borderId="10" xfId="0" applyNumberFormat="1" applyFont="1" applyBorder="1" applyAlignment="1" applyProtection="1">
      <alignment vertical="center"/>
      <protection locked="0"/>
    </xf>
    <xf numFmtId="220" fontId="155" fillId="0" borderId="10" xfId="17" applyNumberFormat="1" applyFont="1" applyFill="1" applyBorder="1" applyAlignment="1" applyProtection="1">
      <alignment vertical="center"/>
      <protection locked="0"/>
    </xf>
    <xf numFmtId="3" fontId="155" fillId="0" borderId="10" xfId="17" applyNumberFormat="1" applyFont="1" applyFill="1" applyBorder="1" applyAlignment="1" applyProtection="1">
      <alignment vertical="center"/>
      <protection locked="0"/>
    </xf>
    <xf numFmtId="220" fontId="151" fillId="12" borderId="10" xfId="17" applyNumberFormat="1" applyFont="1" applyFill="1" applyBorder="1" applyAlignment="1" applyProtection="1">
      <alignment vertical="center"/>
      <protection locked="0"/>
    </xf>
    <xf numFmtId="3" fontId="151" fillId="12" borderId="10" xfId="17" applyNumberFormat="1" applyFont="1" applyFill="1" applyBorder="1" applyAlignment="1" applyProtection="1">
      <alignment vertical="center"/>
      <protection locked="0"/>
    </xf>
    <xf numFmtId="49" fontId="151" fillId="12" borderId="10" xfId="0" applyNumberFormat="1" applyFont="1" applyFill="1" applyBorder="1" applyAlignment="1" applyProtection="1">
      <alignment vertical="center" wrapText="1"/>
      <protection locked="0"/>
    </xf>
    <xf numFmtId="49" fontId="151" fillId="12" borderId="10" xfId="0" applyNumberFormat="1" applyFont="1" applyFill="1" applyBorder="1" applyAlignment="1" applyProtection="1">
      <alignment horizontal="center" vertical="center" wrapText="1"/>
      <protection locked="0"/>
    </xf>
    <xf numFmtId="0" fontId="151" fillId="12" borderId="10" xfId="0" applyFont="1" applyFill="1" applyBorder="1" applyAlignment="1" applyProtection="1">
      <alignment horizontal="center" vertical="center"/>
      <protection locked="0"/>
    </xf>
    <xf numFmtId="223" fontId="151" fillId="12" borderId="10" xfId="0" applyNumberFormat="1" applyFont="1" applyFill="1" applyBorder="1" applyAlignment="1" applyProtection="1">
      <alignment vertical="center"/>
      <protection locked="0"/>
    </xf>
    <xf numFmtId="3" fontId="155" fillId="12" borderId="10" xfId="17" applyNumberFormat="1" applyFont="1" applyFill="1" applyBorder="1" applyAlignment="1" applyProtection="1">
      <alignment vertical="center"/>
      <protection locked="0"/>
    </xf>
    <xf numFmtId="0" fontId="155" fillId="0" borderId="0" xfId="0" applyFont="1" applyAlignment="1">
      <alignment horizontal="center" vertical="center"/>
    </xf>
    <xf numFmtId="222" fontId="155" fillId="0" borderId="0" xfId="0" applyNumberFormat="1" applyFont="1" applyAlignment="1">
      <alignment vertical="center"/>
    </xf>
    <xf numFmtId="220" fontId="155" fillId="0" borderId="0" xfId="17" applyNumberFormat="1" applyFont="1" applyFill="1" applyAlignment="1">
      <alignment vertical="center"/>
    </xf>
    <xf numFmtId="3" fontId="155" fillId="0" borderId="0" xfId="17" applyNumberFormat="1" applyFont="1" applyFill="1" applyAlignment="1">
      <alignment vertical="center"/>
    </xf>
    <xf numFmtId="167" fontId="155" fillId="0" borderId="0" xfId="17" applyNumberFormat="1" applyFont="1" applyFill="1" applyAlignment="1">
      <alignment vertical="center"/>
    </xf>
    <xf numFmtId="0" fontId="26" fillId="0" borderId="0" xfId="0" applyFont="1" applyAlignment="1" applyProtection="1">
      <alignment horizontal="center"/>
      <protection hidden="1"/>
    </xf>
    <xf numFmtId="0" fontId="0" fillId="0" borderId="0" xfId="0" applyProtection="1">
      <protection hidden="1"/>
    </xf>
    <xf numFmtId="0" fontId="0" fillId="0" borderId="1" xfId="0" applyBorder="1" applyProtection="1">
      <protection hidden="1"/>
    </xf>
    <xf numFmtId="0" fontId="3" fillId="0" borderId="1" xfId="0" applyFont="1" applyBorder="1" applyProtection="1">
      <protection hidden="1"/>
    </xf>
    <xf numFmtId="167" fontId="3" fillId="0" borderId="1" xfId="17" applyNumberFormat="1" applyFont="1" applyBorder="1" applyProtection="1">
      <protection hidden="1"/>
    </xf>
    <xf numFmtId="0" fontId="3" fillId="0" borderId="0" xfId="0" applyFont="1" applyProtection="1">
      <protection hidden="1"/>
    </xf>
    <xf numFmtId="0" fontId="52" fillId="0" borderId="0" xfId="0" applyFont="1" applyAlignment="1" applyProtection="1">
      <alignment horizontal="left" wrapText="1" shrinkToFit="1"/>
      <protection hidden="1"/>
    </xf>
    <xf numFmtId="0" fontId="161" fillId="0" borderId="0" xfId="0" applyFont="1"/>
    <xf numFmtId="0" fontId="151" fillId="0" borderId="0" xfId="0" applyFont="1" applyAlignment="1">
      <alignment horizontal="right"/>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3" xfId="0" applyFont="1" applyBorder="1" applyAlignment="1">
      <alignment horizontal="center"/>
    </xf>
    <xf numFmtId="0" fontId="6" fillId="16" borderId="6" xfId="0" applyFont="1" applyFill="1" applyBorder="1"/>
    <xf numFmtId="0" fontId="152" fillId="16" borderId="6" xfId="0" applyFont="1" applyFill="1" applyBorder="1" applyAlignment="1">
      <alignment wrapText="1"/>
    </xf>
    <xf numFmtId="3" fontId="6" fillId="16" borderId="28" xfId="0" applyNumberFormat="1" applyFont="1" applyFill="1" applyBorder="1"/>
    <xf numFmtId="0" fontId="0" fillId="16" borderId="0" xfId="0" applyFill="1" applyProtection="1">
      <protection hidden="1"/>
    </xf>
    <xf numFmtId="0" fontId="3" fillId="16" borderId="0" xfId="0" applyFont="1" applyFill="1" applyProtection="1">
      <protection hidden="1"/>
    </xf>
    <xf numFmtId="0" fontId="3" fillId="0" borderId="28" xfId="0" applyFont="1" applyBorder="1"/>
    <xf numFmtId="0" fontId="155" fillId="0" borderId="28" xfId="0" applyFont="1" applyBorder="1" applyAlignment="1">
      <alignment horizontal="right" wrapText="1"/>
    </xf>
    <xf numFmtId="3" fontId="3" fillId="0" borderId="28" xfId="0" applyNumberFormat="1" applyFont="1" applyFill="1" applyBorder="1"/>
    <xf numFmtId="0" fontId="162" fillId="0" borderId="0" xfId="0" applyFont="1" applyProtection="1">
      <protection hidden="1"/>
    </xf>
    <xf numFmtId="169" fontId="0" fillId="0" borderId="0" xfId="0" applyNumberFormat="1" applyProtection="1">
      <protection hidden="1"/>
    </xf>
    <xf numFmtId="3" fontId="143" fillId="13" borderId="0" xfId="0" applyNumberFormat="1" applyFont="1" applyFill="1" applyBorder="1"/>
    <xf numFmtId="0" fontId="6" fillId="0" borderId="1" xfId="0" applyFont="1" applyBorder="1" applyAlignment="1">
      <alignment horizontal="center"/>
    </xf>
    <xf numFmtId="0" fontId="6" fillId="13" borderId="0" xfId="0" applyFont="1" applyFill="1" applyBorder="1" applyAlignment="1">
      <alignment horizontal="center"/>
    </xf>
    <xf numFmtId="0" fontId="6" fillId="13" borderId="1" xfId="0" applyFont="1" applyFill="1" applyBorder="1"/>
    <xf numFmtId="0" fontId="152" fillId="13" borderId="1" xfId="0" applyFont="1" applyFill="1" applyBorder="1" applyAlignment="1">
      <alignment wrapText="1"/>
    </xf>
    <xf numFmtId="3" fontId="6" fillId="13" borderId="1" xfId="0" applyNumberFormat="1" applyFont="1" applyFill="1" applyBorder="1"/>
    <xf numFmtId="3" fontId="6" fillId="13" borderId="0" xfId="0" applyNumberFormat="1" applyFont="1" applyFill="1" applyBorder="1"/>
    <xf numFmtId="0" fontId="6" fillId="16" borderId="28" xfId="0" applyFont="1" applyFill="1" applyBorder="1"/>
    <xf numFmtId="0" fontId="152" fillId="16" borderId="28" xfId="0" applyFont="1" applyFill="1" applyBorder="1" applyAlignment="1">
      <alignment wrapText="1"/>
    </xf>
    <xf numFmtId="3" fontId="3" fillId="16" borderId="28" xfId="0" applyNumberFormat="1" applyFont="1" applyFill="1" applyBorder="1"/>
    <xf numFmtId="0" fontId="143" fillId="11" borderId="28" xfId="0" applyFont="1" applyFill="1" applyBorder="1"/>
    <xf numFmtId="0" fontId="143" fillId="11" borderId="28" xfId="0" applyFont="1" applyFill="1" applyBorder="1" applyAlignment="1">
      <alignment horizontal="right" wrapText="1"/>
    </xf>
    <xf numFmtId="3" fontId="143" fillId="11" borderId="28" xfId="0" applyNumberFormat="1" applyFont="1" applyFill="1" applyBorder="1"/>
    <xf numFmtId="0" fontId="3" fillId="16" borderId="28" xfId="0" applyFont="1" applyFill="1" applyBorder="1"/>
    <xf numFmtId="0" fontId="155" fillId="16" borderId="28" xfId="0" applyFont="1" applyFill="1" applyBorder="1" applyAlignment="1">
      <alignment horizontal="right" wrapText="1"/>
    </xf>
    <xf numFmtId="0" fontId="6" fillId="16" borderId="31" xfId="0" applyFont="1" applyFill="1" applyBorder="1"/>
    <xf numFmtId="0" fontId="152" fillId="16" borderId="31" xfId="0" applyFont="1" applyFill="1" applyBorder="1" applyAlignment="1">
      <alignment wrapText="1"/>
    </xf>
    <xf numFmtId="3" fontId="3" fillId="16" borderId="31" xfId="0" applyNumberFormat="1" applyFont="1" applyFill="1" applyBorder="1"/>
    <xf numFmtId="0" fontId="79" fillId="0" borderId="1" xfId="0" applyFont="1" applyBorder="1" applyAlignment="1">
      <alignment horizontal="center" vertical="center" wrapText="1"/>
    </xf>
    <xf numFmtId="0" fontId="166" fillId="0" borderId="1" xfId="0" applyFont="1" applyBorder="1" applyAlignment="1">
      <alignment horizontal="center" vertical="center" wrapText="1"/>
    </xf>
    <xf numFmtId="0" fontId="79" fillId="0" borderId="1" xfId="0" applyFont="1" applyBorder="1" applyAlignment="1">
      <alignment vertical="center"/>
    </xf>
    <xf numFmtId="0" fontId="78" fillId="0" borderId="1" xfId="0" applyFont="1" applyBorder="1" applyAlignment="1">
      <alignment horizontal="right" vertical="center"/>
    </xf>
    <xf numFmtId="0" fontId="57" fillId="0" borderId="1" xfId="0" applyFont="1" applyBorder="1" applyAlignment="1">
      <alignment horizontal="right" vertical="center"/>
    </xf>
    <xf numFmtId="0" fontId="79" fillId="0" borderId="1" xfId="0" applyFont="1" applyBorder="1" applyAlignment="1">
      <alignment horizontal="center" vertical="center"/>
    </xf>
    <xf numFmtId="0" fontId="78" fillId="0" borderId="1" xfId="0" applyFont="1" applyBorder="1" applyAlignment="1">
      <alignment vertical="center"/>
    </xf>
    <xf numFmtId="167" fontId="78" fillId="0" borderId="1" xfId="17" applyNumberFormat="1" applyFont="1" applyBorder="1" applyAlignment="1">
      <alignment horizontal="right" vertical="center"/>
    </xf>
    <xf numFmtId="167" fontId="78" fillId="0" borderId="1" xfId="17" applyNumberFormat="1" applyFont="1" applyBorder="1" applyAlignment="1">
      <alignment horizontal="center" vertical="center"/>
    </xf>
    <xf numFmtId="167" fontId="57" fillId="0" borderId="1" xfId="17" applyNumberFormat="1" applyFont="1" applyBorder="1" applyAlignment="1">
      <alignment horizontal="right" vertical="center"/>
    </xf>
    <xf numFmtId="167" fontId="79" fillId="0" borderId="1" xfId="17" applyNumberFormat="1" applyFont="1" applyBorder="1" applyAlignment="1">
      <alignment horizontal="right" vertical="center"/>
    </xf>
    <xf numFmtId="0" fontId="78" fillId="0" borderId="1" xfId="0" applyFont="1" applyBorder="1" applyAlignment="1">
      <alignment horizontal="center" vertical="center"/>
    </xf>
    <xf numFmtId="0" fontId="78" fillId="3" borderId="1" xfId="0" applyFont="1" applyFill="1" applyBorder="1" applyAlignment="1">
      <alignment horizontal="center" vertical="center"/>
    </xf>
    <xf numFmtId="0" fontId="78" fillId="3" borderId="1" xfId="0" applyFont="1" applyFill="1" applyBorder="1" applyAlignment="1">
      <alignment vertical="center"/>
    </xf>
    <xf numFmtId="167" fontId="78" fillId="3" borderId="1" xfId="17" applyNumberFormat="1" applyFont="1" applyFill="1" applyBorder="1" applyAlignment="1">
      <alignment horizontal="right" vertical="center"/>
    </xf>
    <xf numFmtId="167" fontId="78" fillId="3" borderId="1" xfId="17" applyNumberFormat="1" applyFont="1" applyFill="1" applyBorder="1" applyAlignment="1">
      <alignment horizontal="center" vertical="center"/>
    </xf>
    <xf numFmtId="167" fontId="57" fillId="3" borderId="1" xfId="17" applyNumberFormat="1" applyFont="1" applyFill="1" applyBorder="1" applyAlignment="1">
      <alignment horizontal="right" vertical="center"/>
    </xf>
    <xf numFmtId="167" fontId="79" fillId="3" borderId="1" xfId="17" applyNumberFormat="1" applyFont="1" applyFill="1" applyBorder="1" applyAlignment="1">
      <alignment horizontal="right" vertical="center"/>
    </xf>
    <xf numFmtId="0" fontId="10" fillId="0" borderId="0" xfId="6" applyFont="1" applyAlignment="1" applyProtection="1">
      <alignment vertical="center"/>
      <protection locked="0"/>
    </xf>
    <xf numFmtId="0" fontId="17" fillId="0" borderId="0" xfId="6" applyFont="1" applyAlignment="1" applyProtection="1">
      <alignment horizontal="center" vertical="center" wrapText="1"/>
      <protection locked="0"/>
    </xf>
    <xf numFmtId="0" fontId="17" fillId="17" borderId="57" xfId="6" applyFont="1" applyFill="1" applyBorder="1" applyAlignment="1" applyProtection="1">
      <alignment vertical="center" wrapText="1"/>
      <protection locked="0"/>
    </xf>
    <xf numFmtId="0" fontId="17" fillId="17" borderId="60" xfId="6" applyFont="1" applyFill="1" applyBorder="1" applyAlignment="1" applyProtection="1">
      <alignment vertical="center" wrapText="1"/>
      <protection locked="0"/>
    </xf>
    <xf numFmtId="0" fontId="17" fillId="17" borderId="61" xfId="6" applyFont="1" applyFill="1" applyBorder="1" applyAlignment="1" applyProtection="1">
      <alignment horizontal="center" vertical="center" wrapText="1"/>
      <protection locked="0"/>
    </xf>
    <xf numFmtId="0" fontId="10" fillId="0" borderId="62" xfId="6" applyFont="1" applyBorder="1" applyAlignment="1" applyProtection="1">
      <alignment horizontal="center" vertical="center"/>
      <protection locked="0"/>
    </xf>
    <xf numFmtId="0" fontId="10" fillId="0" borderId="63" xfId="6" applyFont="1" applyBorder="1" applyAlignment="1" applyProtection="1">
      <alignment horizontal="center" vertical="center"/>
      <protection locked="0"/>
    </xf>
    <xf numFmtId="49" fontId="10" fillId="0" borderId="63" xfId="6" applyNumberFormat="1" applyFont="1" applyBorder="1" applyAlignment="1" applyProtection="1">
      <alignment vertical="center" wrapText="1"/>
      <protection locked="0"/>
    </xf>
    <xf numFmtId="0" fontId="10" fillId="0" borderId="63" xfId="6" applyFont="1" applyBorder="1" applyAlignment="1" applyProtection="1">
      <alignment horizontal="center" vertical="center" wrapText="1"/>
      <protection locked="0"/>
    </xf>
    <xf numFmtId="3" fontId="10" fillId="0" borderId="63" xfId="6" applyNumberFormat="1" applyFont="1" applyBorder="1" applyAlignment="1" applyProtection="1">
      <alignment vertical="center" wrapText="1"/>
      <protection locked="0"/>
    </xf>
    <xf numFmtId="0" fontId="10" fillId="3" borderId="62" xfId="6" applyFont="1" applyFill="1" applyBorder="1" applyAlignment="1" applyProtection="1">
      <alignment horizontal="center" vertical="center"/>
      <protection locked="0"/>
    </xf>
    <xf numFmtId="0" fontId="10" fillId="3" borderId="63" xfId="6" applyFont="1" applyFill="1" applyBorder="1" applyAlignment="1" applyProtection="1">
      <alignment horizontal="center" vertical="center"/>
      <protection locked="0"/>
    </xf>
    <xf numFmtId="49" fontId="10" fillId="3" borderId="63" xfId="6" applyNumberFormat="1" applyFont="1" applyFill="1" applyBorder="1" applyAlignment="1" applyProtection="1">
      <alignment vertical="center" wrapText="1"/>
      <protection locked="0"/>
    </xf>
    <xf numFmtId="0" fontId="10" fillId="3" borderId="63" xfId="6" applyFont="1" applyFill="1" applyBorder="1" applyAlignment="1" applyProtection="1">
      <alignment horizontal="center" vertical="center" wrapText="1"/>
      <protection locked="0"/>
    </xf>
    <xf numFmtId="3" fontId="10" fillId="3" borderId="63" xfId="6" applyNumberFormat="1" applyFont="1" applyFill="1" applyBorder="1" applyAlignment="1" applyProtection="1">
      <alignment vertical="center" wrapText="1"/>
      <protection locked="0"/>
    </xf>
    <xf numFmtId="0" fontId="10" fillId="3" borderId="0" xfId="6" applyFont="1" applyFill="1" applyAlignment="1" applyProtection="1">
      <alignment vertical="center"/>
      <protection locked="0"/>
    </xf>
    <xf numFmtId="0" fontId="10" fillId="4" borderId="62" xfId="6" applyFont="1" applyFill="1" applyBorder="1" applyAlignment="1" applyProtection="1">
      <alignment horizontal="center" vertical="center"/>
      <protection locked="0"/>
    </xf>
    <xf numFmtId="0" fontId="10" fillId="4" borderId="63" xfId="6" applyFont="1" applyFill="1" applyBorder="1" applyAlignment="1" applyProtection="1">
      <alignment horizontal="center" vertical="center"/>
      <protection locked="0"/>
    </xf>
    <xf numFmtId="49" fontId="10" fillId="4" borderId="63" xfId="6" applyNumberFormat="1" applyFont="1" applyFill="1" applyBorder="1" applyAlignment="1" applyProtection="1">
      <alignment vertical="center" wrapText="1"/>
      <protection locked="0"/>
    </xf>
    <xf numFmtId="0" fontId="10" fillId="4" borderId="63" xfId="6" applyFont="1" applyFill="1" applyBorder="1" applyAlignment="1" applyProtection="1">
      <alignment horizontal="center" vertical="center" wrapText="1"/>
      <protection locked="0"/>
    </xf>
    <xf numFmtId="3" fontId="10" fillId="4" borderId="63" xfId="6" applyNumberFormat="1" applyFont="1" applyFill="1" applyBorder="1" applyAlignment="1" applyProtection="1">
      <alignment vertical="center" wrapText="1"/>
      <protection locked="0"/>
    </xf>
    <xf numFmtId="0" fontId="10" fillId="4" borderId="0" xfId="6" applyFont="1" applyFill="1" applyAlignment="1" applyProtection="1">
      <alignment vertical="center"/>
      <protection locked="0"/>
    </xf>
    <xf numFmtId="0" fontId="10" fillId="18" borderId="62" xfId="6" applyFont="1" applyFill="1" applyBorder="1" applyAlignment="1" applyProtection="1">
      <alignment horizontal="center" vertical="center"/>
      <protection locked="0"/>
    </xf>
    <xf numFmtId="0" fontId="10" fillId="18" borderId="63" xfId="6" applyFont="1" applyFill="1" applyBorder="1" applyAlignment="1" applyProtection="1">
      <alignment horizontal="center" vertical="center"/>
      <protection locked="0"/>
    </xf>
    <xf numFmtId="49" fontId="10" fillId="18" borderId="63" xfId="6" applyNumberFormat="1" applyFont="1" applyFill="1" applyBorder="1" applyAlignment="1" applyProtection="1">
      <alignment vertical="center" wrapText="1"/>
      <protection locked="0"/>
    </xf>
    <xf numFmtId="0" fontId="10" fillId="18" borderId="63" xfId="6" applyFont="1" applyFill="1" applyBorder="1" applyAlignment="1" applyProtection="1">
      <alignment horizontal="center" vertical="center" wrapText="1"/>
      <protection locked="0"/>
    </xf>
    <xf numFmtId="3" fontId="10" fillId="18" borderId="63" xfId="6" applyNumberFormat="1" applyFont="1" applyFill="1" applyBorder="1" applyAlignment="1" applyProtection="1">
      <alignment vertical="center" wrapText="1"/>
      <protection locked="0"/>
    </xf>
    <xf numFmtId="0" fontId="10" fillId="18" borderId="0" xfId="6" applyFont="1" applyFill="1" applyAlignment="1" applyProtection="1">
      <alignment vertical="center"/>
      <protection locked="0"/>
    </xf>
    <xf numFmtId="0" fontId="10" fillId="4" borderId="64" xfId="6" applyFont="1" applyFill="1" applyBorder="1" applyAlignment="1" applyProtection="1">
      <alignment horizontal="center" vertical="center"/>
      <protection locked="0"/>
    </xf>
    <xf numFmtId="0" fontId="10" fillId="4" borderId="65" xfId="6" applyFont="1" applyFill="1" applyBorder="1" applyAlignment="1" applyProtection="1">
      <alignment horizontal="center" vertical="center"/>
      <protection locked="0"/>
    </xf>
    <xf numFmtId="49" fontId="10" fillId="4" borderId="65" xfId="6" applyNumberFormat="1" applyFont="1" applyFill="1" applyBorder="1" applyAlignment="1" applyProtection="1">
      <alignment vertical="center" wrapText="1"/>
      <protection locked="0"/>
    </xf>
    <xf numFmtId="0" fontId="10" fillId="4" borderId="65" xfId="6" applyFont="1" applyFill="1" applyBorder="1" applyAlignment="1" applyProtection="1">
      <alignment horizontal="center" vertical="center" wrapText="1"/>
      <protection locked="0"/>
    </xf>
    <xf numFmtId="3" fontId="10" fillId="4" borderId="65" xfId="6" applyNumberFormat="1" applyFont="1" applyFill="1" applyBorder="1" applyAlignment="1" applyProtection="1">
      <alignment vertical="center" wrapText="1"/>
      <protection locked="0"/>
    </xf>
    <xf numFmtId="0" fontId="168" fillId="0" borderId="63" xfId="6" applyFont="1" applyBorder="1" applyAlignment="1" applyProtection="1">
      <alignment horizontal="center" vertical="center"/>
      <protection locked="0"/>
    </xf>
    <xf numFmtId="0" fontId="168" fillId="0" borderId="63" xfId="6" applyFont="1" applyBorder="1" applyAlignment="1" applyProtection="1">
      <alignment horizontal="center" vertical="center" wrapText="1"/>
      <protection locked="0"/>
    </xf>
    <xf numFmtId="0" fontId="168" fillId="0" borderId="63" xfId="6" applyFont="1" applyBorder="1" applyAlignment="1" applyProtection="1">
      <alignment vertical="center"/>
      <protection locked="0"/>
    </xf>
    <xf numFmtId="3" fontId="168" fillId="0" borderId="63" xfId="6" applyNumberFormat="1" applyFont="1" applyBorder="1" applyAlignment="1" applyProtection="1">
      <alignment vertical="center" wrapText="1"/>
      <protection locked="0"/>
    </xf>
    <xf numFmtId="0" fontId="168" fillId="0" borderId="60" xfId="6" applyFont="1" applyBorder="1" applyAlignment="1" applyProtection="1">
      <alignment horizontal="center" vertical="center"/>
      <protection locked="0"/>
    </xf>
    <xf numFmtId="0" fontId="168" fillId="0" borderId="61" xfId="6" applyFont="1" applyBorder="1" applyAlignment="1" applyProtection="1">
      <alignment horizontal="center" vertical="center"/>
      <protection locked="0"/>
    </xf>
    <xf numFmtId="0" fontId="168" fillId="0" borderId="61" xfId="6" applyFont="1" applyBorder="1" applyAlignment="1" applyProtection="1">
      <alignment horizontal="center" vertical="center" wrapText="1"/>
      <protection locked="0"/>
    </xf>
    <xf numFmtId="0" fontId="168" fillId="0" borderId="61" xfId="6" applyFont="1" applyBorder="1" applyAlignment="1" applyProtection="1">
      <alignment vertical="center"/>
      <protection locked="0"/>
    </xf>
    <xf numFmtId="3" fontId="168" fillId="0" borderId="61" xfId="6" applyNumberFormat="1" applyFont="1" applyBorder="1" applyAlignment="1" applyProtection="1">
      <alignment vertical="center" wrapText="1"/>
      <protection locked="0"/>
    </xf>
    <xf numFmtId="0" fontId="10" fillId="0" borderId="0" xfId="6" applyFont="1" applyAlignment="1" applyProtection="1">
      <alignment vertical="center" wrapText="1"/>
      <protection locked="0"/>
    </xf>
    <xf numFmtId="0" fontId="10" fillId="0" borderId="1" xfId="0" applyFont="1" applyBorder="1" applyAlignment="1">
      <alignment horizontal="right" vertical="center"/>
    </xf>
    <xf numFmtId="167" fontId="10" fillId="0" borderId="1" xfId="17" applyNumberFormat="1" applyFont="1" applyBorder="1" applyAlignment="1">
      <alignment horizontal="right" vertical="center"/>
    </xf>
    <xf numFmtId="167" fontId="10" fillId="3" borderId="1" xfId="17" applyNumberFormat="1" applyFont="1" applyFill="1" applyBorder="1" applyAlignment="1">
      <alignment horizontal="right" vertical="center"/>
    </xf>
    <xf numFmtId="0" fontId="62" fillId="0" borderId="0" xfId="0" applyFont="1"/>
    <xf numFmtId="0" fontId="66" fillId="0" borderId="0" xfId="6" applyFont="1" applyAlignment="1" applyProtection="1">
      <alignment horizontal="center" vertical="center"/>
      <protection locked="0"/>
    </xf>
    <xf numFmtId="0" fontId="6" fillId="0" borderId="0" xfId="6" applyFont="1" applyAlignment="1" applyProtection="1">
      <alignment horizontal="center" vertical="center" wrapText="1"/>
      <protection locked="0"/>
    </xf>
    <xf numFmtId="0" fontId="17" fillId="17" borderId="58" xfId="6" applyFont="1" applyFill="1" applyBorder="1" applyAlignment="1" applyProtection="1">
      <alignment horizontal="center" vertical="center" wrapText="1"/>
      <protection locked="0"/>
    </xf>
    <xf numFmtId="0" fontId="17" fillId="17" borderId="59" xfId="6" applyFont="1" applyFill="1" applyBorder="1" applyAlignment="1" applyProtection="1">
      <alignment horizontal="center" vertical="center" wrapText="1"/>
      <protection locked="0"/>
    </xf>
    <xf numFmtId="0" fontId="17" fillId="17" borderId="66" xfId="6" applyFont="1" applyFill="1" applyBorder="1" applyAlignment="1" applyProtection="1">
      <alignment horizontal="center" vertical="center" wrapText="1"/>
      <protection locked="0"/>
    </xf>
    <xf numFmtId="0" fontId="17" fillId="17" borderId="57" xfId="6" applyFont="1" applyFill="1" applyBorder="1" applyAlignment="1" applyProtection="1">
      <alignment horizontal="center" vertical="center" wrapText="1"/>
      <protection locked="0"/>
    </xf>
    <xf numFmtId="0" fontId="17" fillId="17" borderId="60" xfId="6" applyFont="1" applyFill="1" applyBorder="1" applyAlignment="1" applyProtection="1">
      <alignment horizontal="center" vertical="center" wrapText="1"/>
      <protection locked="0"/>
    </xf>
    <xf numFmtId="0" fontId="3"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6"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left" vertical="center" wrapText="1"/>
      <protection hidden="1"/>
    </xf>
    <xf numFmtId="3" fontId="6" fillId="0" borderId="1" xfId="0" applyNumberFormat="1" applyFont="1" applyBorder="1" applyAlignment="1" applyProtection="1">
      <alignment horizontal="right" vertical="center"/>
      <protection hidden="1"/>
    </xf>
    <xf numFmtId="3" fontId="6" fillId="0" borderId="1" xfId="0" applyNumberFormat="1" applyFont="1" applyBorder="1" applyAlignment="1">
      <alignment vertical="center"/>
    </xf>
    <xf numFmtId="0" fontId="6" fillId="0" borderId="1" xfId="0" applyFont="1" applyBorder="1" applyAlignment="1" applyProtection="1">
      <alignment vertical="center" wrapText="1"/>
      <protection hidden="1"/>
    </xf>
    <xf numFmtId="0" fontId="27" fillId="0" borderId="1" xfId="0" applyFont="1" applyBorder="1" applyAlignment="1" applyProtection="1">
      <alignment vertical="center" wrapText="1"/>
      <protection hidden="1"/>
    </xf>
    <xf numFmtId="0" fontId="27" fillId="0" borderId="1" xfId="0" applyFont="1" applyBorder="1" applyAlignment="1" applyProtection="1">
      <alignment horizontal="center" vertical="center"/>
      <protection hidden="1"/>
    </xf>
    <xf numFmtId="3" fontId="27" fillId="0" borderId="1" xfId="0" applyNumberFormat="1" applyFont="1" applyBorder="1" applyAlignment="1" applyProtection="1">
      <alignment horizontal="right" vertical="center"/>
      <protection hidden="1"/>
    </xf>
    <xf numFmtId="0" fontId="27" fillId="0" borderId="1" xfId="0" applyFont="1" applyBorder="1" applyAlignment="1" applyProtection="1">
      <alignment horizontal="left" vertical="center" wrapText="1"/>
      <protection hidden="1"/>
    </xf>
    <xf numFmtId="0" fontId="27" fillId="0" borderId="1" xfId="0" applyFont="1" applyBorder="1" applyAlignment="1">
      <alignment horizontal="center" vertical="center"/>
    </xf>
    <xf numFmtId="3" fontId="3" fillId="0" borderId="1" xfId="0" applyNumberFormat="1" applyFont="1" applyBorder="1" applyAlignment="1" applyProtection="1">
      <alignment horizontal="right" vertical="center"/>
      <protection hidden="1"/>
    </xf>
    <xf numFmtId="0" fontId="6" fillId="2" borderId="1" xfId="0" applyFont="1" applyFill="1" applyBorder="1" applyAlignment="1">
      <alignment horizontal="left" vertical="center" wrapText="1"/>
    </xf>
    <xf numFmtId="167" fontId="3" fillId="0" borderId="1" xfId="17" applyNumberFormat="1" applyFont="1" applyFill="1" applyBorder="1" applyAlignment="1">
      <alignment vertical="center"/>
    </xf>
    <xf numFmtId="3" fontId="152" fillId="9" borderId="6" xfId="17" applyNumberFormat="1" applyFont="1" applyFill="1" applyBorder="1" applyAlignment="1">
      <alignment horizontal="center" vertical="center" wrapText="1"/>
    </xf>
    <xf numFmtId="3" fontId="152" fillId="9" borderId="8" xfId="17" applyNumberFormat="1" applyFont="1" applyFill="1" applyBorder="1" applyAlignment="1">
      <alignment vertical="center" wrapText="1"/>
    </xf>
    <xf numFmtId="3" fontId="152" fillId="9" borderId="8" xfId="17" applyNumberFormat="1" applyFont="1" applyFill="1" applyBorder="1" applyAlignment="1">
      <alignment horizontal="center" vertical="center" wrapText="1"/>
    </xf>
    <xf numFmtId="167" fontId="3" fillId="0" borderId="1" xfId="17" applyNumberFormat="1" applyFont="1" applyBorder="1" applyAlignment="1">
      <alignment horizontal="center" vertical="center"/>
    </xf>
    <xf numFmtId="0" fontId="155" fillId="0" borderId="1" xfId="0" applyFont="1" applyBorder="1" applyAlignment="1">
      <alignment horizontal="center" vertical="center"/>
    </xf>
    <xf numFmtId="49" fontId="48" fillId="0" borderId="1" xfId="0" applyNumberFormat="1" applyFont="1" applyBorder="1" applyAlignment="1">
      <alignment horizontal="center" vertical="center"/>
    </xf>
    <xf numFmtId="221" fontId="48" fillId="0" borderId="1" xfId="0" applyNumberFormat="1" applyFont="1" applyBorder="1" applyAlignment="1">
      <alignment horizontal="center" vertical="center"/>
    </xf>
    <xf numFmtId="0" fontId="48" fillId="0" borderId="1" xfId="0" applyFont="1" applyBorder="1"/>
    <xf numFmtId="0" fontId="48" fillId="0" borderId="1" xfId="0" applyFont="1" applyBorder="1" applyAlignment="1">
      <alignment horizontal="center"/>
    </xf>
    <xf numFmtId="167" fontId="48" fillId="0" borderId="1" xfId="17" applyNumberFormat="1" applyFont="1" applyBorder="1"/>
    <xf numFmtId="170" fontId="3" fillId="0" borderId="1" xfId="17" applyNumberFormat="1" applyFont="1" applyFill="1" applyBorder="1" applyAlignment="1">
      <alignment vertical="center"/>
    </xf>
    <xf numFmtId="170" fontId="3" fillId="0" borderId="1" xfId="0" applyNumberFormat="1" applyFont="1" applyBorder="1" applyAlignment="1">
      <alignment vertical="center"/>
    </xf>
    <xf numFmtId="0" fontId="3" fillId="0" borderId="1" xfId="0" applyFont="1" applyBorder="1" applyAlignment="1">
      <alignment vertical="center"/>
    </xf>
    <xf numFmtId="49" fontId="151" fillId="0" borderId="1" xfId="0" applyNumberFormat="1" applyFont="1" applyBorder="1" applyAlignment="1">
      <alignment horizontal="center" vertical="center"/>
    </xf>
    <xf numFmtId="0" fontId="155"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0" borderId="1" xfId="17" applyNumberFormat="1" applyFont="1" applyFill="1" applyBorder="1" applyAlignment="1">
      <alignment vertical="center"/>
    </xf>
    <xf numFmtId="169" fontId="3" fillId="0" borderId="0" xfId="17" applyNumberFormat="1" applyFont="1" applyAlignment="1">
      <alignment vertical="center"/>
    </xf>
    <xf numFmtId="166" fontId="3" fillId="0" borderId="1" xfId="0" applyNumberFormat="1" applyFont="1" applyBorder="1" applyAlignment="1">
      <alignment vertical="center"/>
    </xf>
    <xf numFmtId="170" fontId="0" fillId="0" borderId="1" xfId="0" applyNumberFormat="1" applyBorder="1"/>
    <xf numFmtId="3" fontId="48" fillId="0" borderId="1" xfId="0" applyNumberFormat="1" applyFont="1" applyBorder="1"/>
    <xf numFmtId="0" fontId="48" fillId="0" borderId="1" xfId="0" applyFont="1" applyBorder="1" applyAlignment="1">
      <alignment horizontal="left" vertical="center" wrapText="1"/>
    </xf>
    <xf numFmtId="3" fontId="48" fillId="0" borderId="1" xfId="17" applyNumberFormat="1" applyFont="1" applyFill="1" applyBorder="1" applyAlignment="1">
      <alignment vertical="center"/>
    </xf>
    <xf numFmtId="167" fontId="48" fillId="0" borderId="1" xfId="0" applyNumberFormat="1" applyFont="1" applyBorder="1"/>
    <xf numFmtId="221" fontId="3" fillId="0" borderId="1" xfId="0" applyNumberFormat="1" applyFont="1" applyBorder="1" applyAlignment="1">
      <alignment horizontal="center" vertical="center"/>
    </xf>
    <xf numFmtId="0" fontId="48" fillId="0" borderId="1" xfId="0" applyFont="1" applyBorder="1" applyAlignment="1">
      <alignment horizontal="center" vertical="center" wrapText="1"/>
    </xf>
    <xf numFmtId="3" fontId="155" fillId="0" borderId="1" xfId="17" applyNumberFormat="1" applyFont="1" applyFill="1" applyBorder="1" applyAlignment="1">
      <alignment vertical="center"/>
    </xf>
    <xf numFmtId="0" fontId="155" fillId="0" borderId="1" xfId="0" applyFont="1" applyBorder="1" applyAlignment="1">
      <alignment horizontal="left" vertical="center" wrapText="1"/>
    </xf>
    <xf numFmtId="0" fontId="145" fillId="2" borderId="0" xfId="0" applyFont="1" applyFill="1" applyAlignment="1">
      <alignment vertical="center"/>
    </xf>
    <xf numFmtId="0" fontId="172" fillId="0" borderId="1" xfId="0" applyFont="1" applyBorder="1" applyAlignment="1">
      <alignment horizontal="center" vertical="center"/>
    </xf>
    <xf numFmtId="0" fontId="172" fillId="0" borderId="1" xfId="0" applyFont="1" applyBorder="1" applyAlignment="1">
      <alignment horizontal="center" vertical="center" wrapText="1"/>
    </xf>
    <xf numFmtId="0" fontId="172" fillId="0" borderId="1" xfId="0" applyFont="1" applyBorder="1" applyAlignment="1">
      <alignment horizontal="left" vertical="center"/>
    </xf>
    <xf numFmtId="0" fontId="172" fillId="0" borderId="1" xfId="0" applyFont="1" applyBorder="1" applyAlignment="1">
      <alignment horizontal="right" vertical="center"/>
    </xf>
    <xf numFmtId="0" fontId="145" fillId="0" borderId="1" xfId="0" applyFont="1" applyBorder="1" applyAlignment="1">
      <alignment horizontal="left" vertical="center"/>
    </xf>
    <xf numFmtId="3" fontId="145" fillId="0" borderId="1" xfId="0" applyNumberFormat="1" applyFont="1" applyBorder="1" applyAlignment="1">
      <alignment horizontal="right" vertical="center"/>
    </xf>
    <xf numFmtId="3" fontId="172" fillId="0" borderId="1" xfId="0" applyNumberFormat="1" applyFont="1" applyBorder="1" applyAlignment="1">
      <alignment horizontal="right" vertical="center"/>
    </xf>
    <xf numFmtId="0" fontId="145" fillId="0" borderId="1" xfId="0" applyFont="1" applyBorder="1" applyAlignment="1">
      <alignment horizontal="left" vertical="center" wrapText="1"/>
    </xf>
    <xf numFmtId="0" fontId="172" fillId="0" borderId="1" xfId="0" applyFont="1" applyBorder="1" applyAlignment="1">
      <alignment horizontal="left" vertical="center" wrapText="1"/>
    </xf>
    <xf numFmtId="0" fontId="4" fillId="0" borderId="0" xfId="0" applyFont="1" applyFill="1" applyAlignment="1" applyProtection="1">
      <alignment horizontal="left"/>
      <protection hidden="1"/>
    </xf>
    <xf numFmtId="0" fontId="6" fillId="0" borderId="0" xfId="0" applyFont="1" applyFill="1" applyProtection="1">
      <protection hidden="1"/>
    </xf>
    <xf numFmtId="0" fontId="6" fillId="0" borderId="0" xfId="0" applyFont="1" applyFill="1" applyAlignment="1" applyProtection="1">
      <alignment horizontal="center"/>
      <protection hidden="1"/>
    </xf>
    <xf numFmtId="0" fontId="173" fillId="0" borderId="0" xfId="0" applyFont="1" applyFill="1"/>
    <xf numFmtId="0" fontId="174" fillId="2" borderId="0" xfId="0" applyFont="1" applyFill="1" applyAlignment="1">
      <alignment vertical="center" wrapText="1"/>
    </xf>
    <xf numFmtId="167" fontId="175" fillId="2" borderId="0" xfId="0" applyNumberFormat="1" applyFont="1" applyFill="1" applyAlignment="1">
      <alignment vertical="center"/>
    </xf>
    <xf numFmtId="0" fontId="3" fillId="0" borderId="1" xfId="0" applyFont="1" applyFill="1" applyBorder="1" applyAlignment="1" applyProtection="1">
      <alignment horizontal="left" vertical="center"/>
      <protection hidden="1"/>
    </xf>
    <xf numFmtId="0" fontId="48" fillId="3" borderId="1" xfId="0" applyFont="1" applyFill="1" applyBorder="1" applyAlignment="1" applyProtection="1">
      <alignment horizontal="center" vertical="center"/>
      <protection hidden="1"/>
    </xf>
    <xf numFmtId="167" fontId="48" fillId="3" borderId="1" xfId="0" applyNumberFormat="1" applyFont="1" applyFill="1" applyBorder="1" applyAlignment="1">
      <alignment horizontal="right" vertical="center"/>
    </xf>
    <xf numFmtId="0" fontId="176" fillId="13" borderId="1" xfId="0" applyFont="1" applyFill="1" applyBorder="1" applyAlignment="1">
      <alignment horizontal="center" vertical="center" wrapText="1"/>
    </xf>
    <xf numFmtId="167" fontId="3" fillId="13" borderId="1" xfId="652" applyNumberFormat="1" applyFont="1" applyFill="1" applyBorder="1" applyAlignment="1" applyProtection="1">
      <alignment horizontal="center" vertical="center" wrapText="1"/>
      <protection hidden="1"/>
    </xf>
    <xf numFmtId="0" fontId="6" fillId="0" borderId="0" xfId="0" applyFont="1" applyFill="1"/>
    <xf numFmtId="0" fontId="177" fillId="0" borderId="0" xfId="0" applyFont="1"/>
    <xf numFmtId="167" fontId="177" fillId="0" borderId="0" xfId="17" applyNumberFormat="1" applyFont="1" applyAlignment="1"/>
    <xf numFmtId="2" fontId="18" fillId="0" borderId="0" xfId="653" applyFont="1" applyProtection="1">
      <protection hidden="1"/>
    </xf>
    <xf numFmtId="2" fontId="10" fillId="0" borderId="0" xfId="653" applyFont="1" applyAlignment="1" applyProtection="1">
      <alignment horizontal="left" vertical="center"/>
      <protection hidden="1"/>
    </xf>
    <xf numFmtId="2" fontId="10" fillId="0" borderId="0" xfId="653" applyFont="1" applyAlignment="1" applyProtection="1">
      <alignment horizontal="center" vertical="center"/>
      <protection hidden="1"/>
    </xf>
    <xf numFmtId="167" fontId="10" fillId="0" borderId="0" xfId="7" applyNumberFormat="1" applyFont="1" applyFill="1" applyAlignment="1" applyProtection="1">
      <alignment horizontal="right" vertical="center"/>
      <protection hidden="1"/>
    </xf>
    <xf numFmtId="2" fontId="178" fillId="0" borderId="0" xfId="653" applyFont="1" applyProtection="1">
      <protection hidden="1"/>
    </xf>
    <xf numFmtId="49" fontId="10" fillId="11" borderId="12" xfId="653" applyNumberFormat="1" applyFont="1" applyFill="1" applyBorder="1" applyAlignment="1" applyProtection="1">
      <alignment horizontal="center" vertical="center"/>
      <protection hidden="1"/>
    </xf>
    <xf numFmtId="2" fontId="10" fillId="11" borderId="13" xfId="653" applyFont="1" applyFill="1" applyBorder="1" applyAlignment="1" applyProtection="1">
      <alignment horizontal="center" vertical="center"/>
      <protection hidden="1"/>
    </xf>
    <xf numFmtId="49" fontId="10" fillId="11" borderId="71" xfId="653" applyNumberFormat="1" applyFont="1" applyFill="1" applyBorder="1" applyAlignment="1" applyProtection="1">
      <alignment horizontal="center" vertical="center"/>
      <protection hidden="1"/>
    </xf>
    <xf numFmtId="2" fontId="10" fillId="11" borderId="10" xfId="653" applyFont="1" applyFill="1" applyBorder="1" applyAlignment="1" applyProtection="1">
      <alignment horizontal="center" vertical="center"/>
      <protection hidden="1"/>
    </xf>
    <xf numFmtId="167" fontId="10" fillId="11" borderId="13" xfId="7" applyNumberFormat="1" applyFont="1" applyFill="1" applyBorder="1" applyAlignment="1" applyProtection="1">
      <alignment horizontal="center" vertical="center"/>
      <protection hidden="1"/>
    </xf>
    <xf numFmtId="0" fontId="6" fillId="0" borderId="73" xfId="8" applyFont="1" applyBorder="1" applyAlignment="1" applyProtection="1">
      <alignment vertical="center"/>
      <protection hidden="1"/>
    </xf>
    <xf numFmtId="0" fontId="6" fillId="0" borderId="28" xfId="8" applyFont="1" applyBorder="1" applyAlignment="1" applyProtection="1">
      <alignment vertical="center"/>
      <protection hidden="1"/>
    </xf>
    <xf numFmtId="0" fontId="6" fillId="0" borderId="28" xfId="8" applyFont="1" applyBorder="1" applyAlignment="1" applyProtection="1">
      <alignment horizontal="center" vertical="center"/>
      <protection hidden="1"/>
    </xf>
    <xf numFmtId="0" fontId="6" fillId="0" borderId="74" xfId="8" applyFont="1" applyBorder="1" applyAlignment="1" applyProtection="1">
      <alignment horizontal="center" vertical="center"/>
      <protection hidden="1"/>
    </xf>
    <xf numFmtId="3" fontId="6" fillId="0" borderId="28" xfId="8" applyNumberFormat="1" applyFont="1" applyBorder="1" applyAlignment="1" applyProtection="1">
      <alignment vertical="center"/>
      <protection hidden="1"/>
    </xf>
    <xf numFmtId="3" fontId="6" fillId="0" borderId="75" xfId="8" applyNumberFormat="1" applyFont="1" applyBorder="1" applyAlignment="1" applyProtection="1">
      <alignment horizontal="center" vertical="center"/>
      <protection hidden="1"/>
    </xf>
    <xf numFmtId="0" fontId="27" fillId="0" borderId="28" xfId="8" applyFont="1" applyBorder="1" applyAlignment="1" applyProtection="1">
      <alignment vertical="center"/>
      <protection hidden="1"/>
    </xf>
    <xf numFmtId="0" fontId="27" fillId="0" borderId="28" xfId="8" quotePrefix="1" applyFont="1" applyBorder="1" applyAlignment="1" applyProtection="1">
      <alignment vertical="center"/>
      <protection hidden="1"/>
    </xf>
    <xf numFmtId="0" fontId="3" fillId="0" borderId="73" xfId="8" applyBorder="1" applyAlignment="1" applyProtection="1">
      <alignment vertical="center"/>
      <protection hidden="1"/>
    </xf>
    <xf numFmtId="0" fontId="3" fillId="0" borderId="28" xfId="8" applyBorder="1" applyAlignment="1" applyProtection="1">
      <alignment vertical="center"/>
      <protection hidden="1"/>
    </xf>
    <xf numFmtId="0" fontId="3" fillId="0" borderId="28" xfId="8" applyBorder="1" applyAlignment="1" applyProtection="1">
      <alignment horizontal="center" vertical="center"/>
      <protection hidden="1"/>
    </xf>
    <xf numFmtId="3" fontId="3" fillId="0" borderId="28" xfId="8" applyNumberFormat="1" applyBorder="1" applyAlignment="1" applyProtection="1">
      <alignment vertical="center"/>
      <protection hidden="1"/>
    </xf>
    <xf numFmtId="3" fontId="3" fillId="0" borderId="75" xfId="8" applyNumberFormat="1" applyBorder="1" applyAlignment="1" applyProtection="1">
      <alignment horizontal="center" vertical="center"/>
      <protection hidden="1"/>
    </xf>
    <xf numFmtId="0" fontId="153" fillId="0" borderId="73" xfId="8" applyFont="1" applyBorder="1" applyAlignment="1" applyProtection="1">
      <alignment vertical="center"/>
      <protection hidden="1"/>
    </xf>
    <xf numFmtId="0" fontId="153" fillId="0" borderId="28" xfId="8" applyFont="1" applyBorder="1" applyAlignment="1" applyProtection="1">
      <alignment vertical="center"/>
      <protection hidden="1"/>
    </xf>
    <xf numFmtId="0" fontId="153" fillId="0" borderId="28" xfId="8" applyFont="1" applyBorder="1" applyAlignment="1" applyProtection="1">
      <alignment horizontal="center" vertical="center"/>
      <protection hidden="1"/>
    </xf>
    <xf numFmtId="3" fontId="153" fillId="0" borderId="28" xfId="8" applyNumberFormat="1" applyFont="1" applyBorder="1" applyAlignment="1" applyProtection="1">
      <alignment vertical="center"/>
      <protection hidden="1"/>
    </xf>
    <xf numFmtId="3" fontId="153" fillId="0" borderId="75" xfId="8" applyNumberFormat="1" applyFont="1" applyBorder="1" applyAlignment="1" applyProtection="1">
      <alignment horizontal="center" vertical="center"/>
      <protection hidden="1"/>
    </xf>
    <xf numFmtId="223" fontId="3" fillId="0" borderId="28" xfId="8" applyNumberFormat="1" applyBorder="1" applyAlignment="1" applyProtection="1">
      <alignment vertical="center"/>
      <protection hidden="1"/>
    </xf>
    <xf numFmtId="0" fontId="48" fillId="0" borderId="73" xfId="8" applyFont="1" applyBorder="1" applyAlignment="1" applyProtection="1">
      <alignment vertical="center"/>
      <protection hidden="1"/>
    </xf>
    <xf numFmtId="0" fontId="48" fillId="0" borderId="28" xfId="8" applyFont="1" applyBorder="1" applyAlignment="1" applyProtection="1">
      <alignment vertical="center"/>
      <protection hidden="1"/>
    </xf>
    <xf numFmtId="0" fontId="48" fillId="0" borderId="28" xfId="8" applyFont="1" applyBorder="1" applyAlignment="1" applyProtection="1">
      <alignment horizontal="center" vertical="center"/>
      <protection hidden="1"/>
    </xf>
    <xf numFmtId="3" fontId="48" fillId="0" borderId="28" xfId="8" applyNumberFormat="1" applyFont="1" applyBorder="1" applyAlignment="1" applyProtection="1">
      <alignment vertical="center"/>
      <protection hidden="1"/>
    </xf>
    <xf numFmtId="3" fontId="48" fillId="0" borderId="75" xfId="8" applyNumberFormat="1" applyFont="1" applyBorder="1" applyAlignment="1" applyProtection="1">
      <alignment horizontal="center" vertical="center"/>
      <protection hidden="1"/>
    </xf>
    <xf numFmtId="0" fontId="50" fillId="0" borderId="43" xfId="0" applyFont="1" applyBorder="1" applyAlignment="1">
      <alignment vertical="center"/>
    </xf>
    <xf numFmtId="0" fontId="50" fillId="0" borderId="33" xfId="0" applyFont="1" applyBorder="1" applyAlignment="1">
      <alignment vertical="center"/>
    </xf>
    <xf numFmtId="0" fontId="50" fillId="0" borderId="76" xfId="0" applyFont="1" applyBorder="1" applyAlignment="1">
      <alignment vertical="center"/>
    </xf>
    <xf numFmtId="0" fontId="49" fillId="0" borderId="43" xfId="0" applyFont="1" applyBorder="1" applyAlignment="1">
      <alignment vertical="center"/>
    </xf>
    <xf numFmtId="0" fontId="49" fillId="0" borderId="33" xfId="0" applyFont="1" applyBorder="1" applyAlignment="1">
      <alignment vertical="center" wrapText="1"/>
    </xf>
    <xf numFmtId="0" fontId="49" fillId="0" borderId="76" xfId="0" applyFont="1" applyBorder="1" applyAlignment="1">
      <alignment vertical="center" wrapText="1"/>
    </xf>
    <xf numFmtId="0" fontId="49" fillId="0" borderId="77" xfId="0" applyFont="1" applyBorder="1" applyAlignment="1">
      <alignment vertical="center"/>
    </xf>
    <xf numFmtId="0" fontId="49" fillId="0" borderId="78" xfId="0" applyFont="1" applyBorder="1" applyAlignment="1">
      <alignment vertical="center" wrapText="1"/>
    </xf>
    <xf numFmtId="0" fontId="49" fillId="0" borderId="79" xfId="0" applyFont="1" applyBorder="1" applyAlignment="1">
      <alignment vertical="center" wrapText="1"/>
    </xf>
    <xf numFmtId="0" fontId="49" fillId="0" borderId="11" xfId="0" applyFont="1" applyBorder="1" applyAlignment="1">
      <alignment vertical="center"/>
    </xf>
    <xf numFmtId="0" fontId="49" fillId="0" borderId="11" xfId="0" applyFont="1" applyBorder="1" applyAlignment="1">
      <alignment vertical="center" wrapText="1"/>
    </xf>
    <xf numFmtId="0" fontId="49" fillId="0" borderId="80" xfId="0" applyFont="1" applyBorder="1" applyAlignment="1">
      <alignment vertical="center"/>
    </xf>
    <xf numFmtId="0" fontId="49" fillId="0" borderId="81" xfId="0" applyFont="1" applyBorder="1" applyAlignment="1">
      <alignment vertical="center" wrapText="1"/>
    </xf>
    <xf numFmtId="0" fontId="49" fillId="0" borderId="82" xfId="0" applyFont="1" applyBorder="1" applyAlignment="1">
      <alignment vertical="center" wrapText="1"/>
    </xf>
    <xf numFmtId="168" fontId="3" fillId="0" borderId="28" xfId="8" applyNumberFormat="1" applyBorder="1" applyAlignment="1" applyProtection="1">
      <alignment horizontal="center" vertical="center"/>
      <protection hidden="1"/>
    </xf>
    <xf numFmtId="168" fontId="48" fillId="0" borderId="28" xfId="8" applyNumberFormat="1" applyFont="1" applyBorder="1" applyAlignment="1" applyProtection="1">
      <alignment horizontal="center" vertical="center"/>
      <protection hidden="1"/>
    </xf>
    <xf numFmtId="0" fontId="3" fillId="0" borderId="83" xfId="8" applyBorder="1" applyAlignment="1" applyProtection="1">
      <alignment vertical="center"/>
      <protection hidden="1"/>
    </xf>
    <xf numFmtId="0" fontId="3" fillId="0" borderId="84" xfId="8" applyBorder="1" applyAlignment="1" applyProtection="1">
      <alignment vertical="center"/>
      <protection hidden="1"/>
    </xf>
    <xf numFmtId="0" fontId="3" fillId="0" borderId="84" xfId="8" applyBorder="1" applyAlignment="1" applyProtection="1">
      <alignment horizontal="center" vertical="center"/>
      <protection hidden="1"/>
    </xf>
    <xf numFmtId="3" fontId="3" fillId="0" borderId="84" xfId="8" applyNumberFormat="1" applyBorder="1" applyAlignment="1" applyProtection="1">
      <alignment vertical="center"/>
      <protection hidden="1"/>
    </xf>
    <xf numFmtId="3" fontId="3" fillId="0" borderId="85" xfId="8" applyNumberFormat="1" applyBorder="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lignment vertical="center"/>
    </xf>
    <xf numFmtId="0" fontId="6" fillId="0" borderId="0" xfId="0" applyFont="1" applyAlignment="1" applyProtection="1">
      <alignment horizontal="centerContinuous" vertical="center"/>
      <protection hidden="1"/>
    </xf>
    <xf numFmtId="3" fontId="6" fillId="0" borderId="0" xfId="0" applyNumberFormat="1" applyFont="1" applyAlignment="1" applyProtection="1">
      <alignment horizontal="centerContinuous" vertical="center"/>
      <protection hidden="1"/>
    </xf>
    <xf numFmtId="0" fontId="17" fillId="0" borderId="0" xfId="0" applyFont="1" applyAlignment="1" applyProtection="1">
      <alignment horizontal="centerContinuous" vertical="center"/>
      <protection hidden="1"/>
    </xf>
    <xf numFmtId="3" fontId="17" fillId="0" borderId="0" xfId="0" applyNumberFormat="1" applyFont="1" applyAlignment="1" applyProtection="1">
      <alignment horizontal="centerContinuous" vertical="center"/>
      <protection hidden="1"/>
    </xf>
    <xf numFmtId="0" fontId="2" fillId="0" borderId="0" xfId="0" applyFont="1" applyAlignment="1" applyProtection="1">
      <alignment horizontal="left" vertical="center"/>
      <protection hidden="1"/>
    </xf>
    <xf numFmtId="0" fontId="5" fillId="0" borderId="0" xfId="0" applyFont="1" applyAlignment="1">
      <alignment vertical="center"/>
    </xf>
    <xf numFmtId="0" fontId="4" fillId="19" borderId="1" xfId="0" applyFont="1" applyFill="1" applyBorder="1" applyAlignment="1" applyProtection="1">
      <alignment horizontal="center" vertical="center"/>
      <protection hidden="1"/>
    </xf>
    <xf numFmtId="3" fontId="4" fillId="19" borderId="1" xfId="0" applyNumberFormat="1" applyFont="1" applyFill="1" applyBorder="1" applyAlignment="1" applyProtection="1">
      <alignment horizontal="center" vertical="center"/>
      <protection hidden="1"/>
    </xf>
    <xf numFmtId="3" fontId="4" fillId="0" borderId="1" xfId="0" applyNumberFormat="1" applyFont="1" applyBorder="1" applyAlignment="1" applyProtection="1">
      <alignment horizontal="right" vertical="center"/>
      <protection hidden="1"/>
    </xf>
    <xf numFmtId="165" fontId="2" fillId="0" borderId="1" xfId="0" applyNumberFormat="1" applyFont="1" applyBorder="1" applyAlignment="1" applyProtection="1">
      <alignment horizontal="right" vertical="center"/>
      <protection hidden="1"/>
    </xf>
    <xf numFmtId="0" fontId="4" fillId="20" borderId="1" xfId="0" applyFont="1" applyFill="1" applyBorder="1" applyAlignment="1" applyProtection="1">
      <alignment horizontal="center" vertical="center"/>
      <protection hidden="1"/>
    </xf>
    <xf numFmtId="0" fontId="4" fillId="20" borderId="1" xfId="0" applyFont="1" applyFill="1" applyBorder="1" applyAlignment="1" applyProtection="1">
      <alignment vertical="center"/>
      <protection hidden="1"/>
    </xf>
    <xf numFmtId="3" fontId="4" fillId="20" borderId="1" xfId="0" applyNumberFormat="1" applyFont="1" applyFill="1" applyBorder="1" applyAlignment="1" applyProtection="1">
      <alignment horizontal="right" vertical="center"/>
      <protection hidden="1"/>
    </xf>
    <xf numFmtId="0" fontId="2" fillId="0" borderId="1" xfId="0" applyFont="1" applyBorder="1" applyAlignment="1" applyProtection="1">
      <alignment vertical="center" wrapText="1"/>
      <protection hidden="1"/>
    </xf>
    <xf numFmtId="0" fontId="10" fillId="0" borderId="1" xfId="6" applyFont="1" applyBorder="1" applyAlignment="1" applyProtection="1">
      <alignment horizontal="center" vertical="center"/>
      <protection locked="0"/>
    </xf>
    <xf numFmtId="49" fontId="10" fillId="0" borderId="1" xfId="6" applyNumberFormat="1" applyFont="1" applyBorder="1" applyAlignment="1" applyProtection="1">
      <alignment vertical="center" wrapText="1"/>
      <protection locked="0"/>
    </xf>
    <xf numFmtId="0" fontId="10" fillId="0" borderId="1" xfId="6" applyFont="1" applyBorder="1" applyAlignment="1" applyProtection="1">
      <alignment horizontal="center" vertical="center" wrapText="1"/>
      <protection locked="0"/>
    </xf>
    <xf numFmtId="0" fontId="81" fillId="0" borderId="1" xfId="28" applyFont="1" applyFill="1" applyBorder="1" applyAlignment="1">
      <alignment vertical="center"/>
    </xf>
    <xf numFmtId="0" fontId="76" fillId="0" borderId="1" xfId="28" quotePrefix="1" applyNumberFormat="1" applyFont="1" applyFill="1" applyBorder="1" applyAlignment="1" applyProtection="1">
      <alignment horizontal="center" vertical="center"/>
      <protection hidden="1"/>
    </xf>
    <xf numFmtId="169" fontId="43" fillId="0" borderId="1" xfId="5" applyNumberFormat="1" applyFont="1" applyFill="1" applyBorder="1" applyAlignment="1">
      <alignment vertical="center" wrapText="1"/>
    </xf>
    <xf numFmtId="0" fontId="2" fillId="13" borderId="1" xfId="28" applyFont="1" applyFill="1" applyBorder="1" applyAlignment="1">
      <alignment vertical="center"/>
    </xf>
    <xf numFmtId="0" fontId="2" fillId="13" borderId="1" xfId="28" applyFont="1" applyFill="1" applyBorder="1" applyAlignment="1">
      <alignment horizontal="center" vertical="center"/>
    </xf>
    <xf numFmtId="167" fontId="2" fillId="13" borderId="1" xfId="28" applyNumberFormat="1" applyFont="1" applyFill="1" applyBorder="1" applyAlignment="1">
      <alignment vertical="center"/>
    </xf>
    <xf numFmtId="0" fontId="3" fillId="0" borderId="73" xfId="8" applyFont="1" applyBorder="1" applyAlignment="1" applyProtection="1">
      <alignment vertical="center"/>
      <protection hidden="1"/>
    </xf>
    <xf numFmtId="0" fontId="3" fillId="0" borderId="28" xfId="8" applyFont="1" applyBorder="1" applyAlignment="1" applyProtection="1">
      <alignment vertical="center"/>
      <protection hidden="1"/>
    </xf>
    <xf numFmtId="0" fontId="2" fillId="0" borderId="1" xfId="337" applyFont="1" applyFill="1" applyBorder="1" applyAlignment="1" applyProtection="1">
      <alignment horizontal="center" vertical="center"/>
      <protection hidden="1"/>
    </xf>
    <xf numFmtId="167" fontId="2" fillId="0" borderId="1" xfId="341" applyNumberFormat="1" applyFont="1" applyFill="1" applyBorder="1" applyAlignment="1" applyProtection="1">
      <alignment vertical="center"/>
      <protection hidden="1"/>
    </xf>
    <xf numFmtId="0" fontId="4" fillId="13" borderId="0" xfId="0" applyFont="1" applyFill="1" applyAlignment="1" applyProtection="1">
      <alignment horizontal="left" vertical="center"/>
      <protection hidden="1"/>
    </xf>
    <xf numFmtId="0" fontId="6" fillId="13" borderId="0" xfId="0" applyFont="1" applyFill="1" applyAlignment="1" applyProtection="1">
      <alignment horizontal="center" vertical="center"/>
      <protection hidden="1"/>
    </xf>
    <xf numFmtId="0" fontId="6" fillId="13" borderId="0" xfId="0" applyFont="1" applyFill="1" applyAlignment="1" applyProtection="1">
      <alignment horizontal="right" vertical="center"/>
      <protection hidden="1"/>
    </xf>
    <xf numFmtId="167" fontId="6" fillId="13" borderId="0" xfId="5" applyNumberFormat="1" applyFont="1" applyFill="1" applyAlignment="1" applyProtection="1">
      <alignment horizontal="center" vertical="center"/>
      <protection hidden="1"/>
    </xf>
    <xf numFmtId="169" fontId="6" fillId="13" borderId="0" xfId="1" applyNumberFormat="1" applyFont="1" applyFill="1" applyAlignment="1" applyProtection="1">
      <alignment vertical="center"/>
      <protection hidden="1"/>
    </xf>
    <xf numFmtId="0" fontId="14" fillId="13" borderId="0" xfId="0" applyFont="1" applyFill="1"/>
    <xf numFmtId="0" fontId="2" fillId="13" borderId="0" xfId="0" applyFont="1" applyFill="1" applyAlignment="1" applyProtection="1">
      <alignment horizontal="center" vertical="center"/>
      <protection hidden="1"/>
    </xf>
    <xf numFmtId="0" fontId="2" fillId="13" borderId="0" xfId="0" applyFont="1" applyFill="1" applyAlignment="1" applyProtection="1">
      <alignment horizontal="right" vertical="center"/>
      <protection hidden="1"/>
    </xf>
    <xf numFmtId="167" fontId="2" fillId="13" borderId="0" xfId="5" applyNumberFormat="1" applyFont="1" applyFill="1" applyAlignment="1" applyProtection="1">
      <alignment horizontal="center" vertical="center"/>
      <protection hidden="1"/>
    </xf>
    <xf numFmtId="169" fontId="2" fillId="13" borderId="0" xfId="1" applyNumberFormat="1" applyFont="1" applyFill="1" applyAlignment="1" applyProtection="1">
      <alignment vertical="center"/>
      <protection hidden="1"/>
    </xf>
    <xf numFmtId="0" fontId="2" fillId="13" borderId="6" xfId="0" applyFont="1" applyFill="1" applyBorder="1" applyAlignment="1" applyProtection="1">
      <alignment horizontal="center" vertical="center"/>
      <protection hidden="1"/>
    </xf>
    <xf numFmtId="0" fontId="2" fillId="13" borderId="6" xfId="0" applyFont="1" applyFill="1" applyBorder="1" applyAlignment="1" applyProtection="1">
      <alignment horizontal="right" vertical="center"/>
      <protection hidden="1"/>
    </xf>
    <xf numFmtId="167" fontId="2" fillId="13" borderId="6" xfId="5" applyNumberFormat="1" applyFont="1" applyFill="1" applyBorder="1" applyAlignment="1" applyProtection="1">
      <alignment horizontal="centerContinuous" vertical="center"/>
      <protection hidden="1"/>
    </xf>
    <xf numFmtId="167" fontId="2" fillId="13" borderId="1" xfId="5" applyNumberFormat="1" applyFont="1" applyFill="1" applyBorder="1" applyAlignment="1" applyProtection="1">
      <alignment horizontal="centerContinuous" vertical="center"/>
      <protection hidden="1"/>
    </xf>
    <xf numFmtId="169" fontId="2" fillId="13" borderId="1" xfId="1" applyNumberFormat="1" applyFont="1" applyFill="1" applyBorder="1" applyAlignment="1" applyProtection="1">
      <alignment vertical="center"/>
      <protection hidden="1"/>
    </xf>
    <xf numFmtId="0" fontId="2" fillId="13" borderId="10" xfId="0" applyFont="1" applyFill="1" applyBorder="1" applyAlignment="1" applyProtection="1">
      <alignment horizontal="center" vertical="center"/>
      <protection hidden="1"/>
    </xf>
    <xf numFmtId="0" fontId="2" fillId="13" borderId="11" xfId="0" applyFont="1" applyFill="1" applyBorder="1" applyAlignment="1" applyProtection="1">
      <alignment horizontal="right" vertical="center"/>
      <protection hidden="1"/>
    </xf>
    <xf numFmtId="167" fontId="2" fillId="13" borderId="6" xfId="5" applyNumberFormat="1" applyFont="1" applyFill="1" applyBorder="1" applyAlignment="1" applyProtection="1">
      <alignment horizontal="center" vertical="center"/>
      <protection hidden="1"/>
    </xf>
    <xf numFmtId="169" fontId="2" fillId="13" borderId="6" xfId="1" applyNumberFormat="1" applyFont="1" applyFill="1" applyBorder="1" applyAlignment="1" applyProtection="1">
      <alignment vertical="center"/>
      <protection hidden="1"/>
    </xf>
    <xf numFmtId="167" fontId="2" fillId="13" borderId="10" xfId="5" applyNumberFormat="1" applyFont="1" applyFill="1" applyBorder="1" applyAlignment="1" applyProtection="1">
      <alignment horizontal="center" vertical="center"/>
      <protection hidden="1"/>
    </xf>
    <xf numFmtId="169" fontId="2" fillId="13" borderId="10" xfId="1" applyNumberFormat="1" applyFont="1" applyFill="1" applyBorder="1" applyAlignment="1" applyProtection="1">
      <alignment vertical="center"/>
      <protection hidden="1"/>
    </xf>
    <xf numFmtId="0" fontId="2" fillId="13" borderId="1" xfId="0" applyFont="1" applyFill="1" applyBorder="1" applyAlignment="1" applyProtection="1">
      <alignment horizontal="center" vertical="center"/>
      <protection hidden="1"/>
    </xf>
    <xf numFmtId="0" fontId="2" fillId="13" borderId="1" xfId="0" applyFont="1" applyFill="1" applyBorder="1" applyAlignment="1" applyProtection="1">
      <alignment horizontal="right" vertical="center"/>
      <protection hidden="1"/>
    </xf>
    <xf numFmtId="167" fontId="2" fillId="13" borderId="1" xfId="5" applyNumberFormat="1" applyFont="1" applyFill="1" applyBorder="1" applyAlignment="1" applyProtection="1">
      <alignment horizontal="center" vertical="center"/>
      <protection hidden="1"/>
    </xf>
    <xf numFmtId="167" fontId="2" fillId="13" borderId="1" xfId="1" applyNumberFormat="1" applyFont="1" applyFill="1" applyBorder="1" applyAlignment="1" applyProtection="1">
      <alignment vertical="center"/>
      <protection hidden="1"/>
    </xf>
    <xf numFmtId="0" fontId="4" fillId="13" borderId="1" xfId="0" applyFont="1" applyFill="1" applyBorder="1" applyAlignment="1" applyProtection="1">
      <alignment horizontal="center" vertical="center"/>
      <protection hidden="1"/>
    </xf>
    <xf numFmtId="0" fontId="4" fillId="13" borderId="1" xfId="0" applyFont="1" applyFill="1" applyBorder="1" applyAlignment="1" applyProtection="1">
      <alignment vertical="center"/>
      <protection hidden="1"/>
    </xf>
    <xf numFmtId="0" fontId="4" fillId="13" borderId="1" xfId="0" applyFont="1" applyFill="1" applyBorder="1" applyAlignment="1">
      <alignment horizontal="center" vertical="center"/>
    </xf>
    <xf numFmtId="0" fontId="4" fillId="13" borderId="1" xfId="0" applyFont="1" applyFill="1" applyBorder="1" applyAlignment="1" applyProtection="1">
      <alignment horizontal="right" vertical="center"/>
      <protection hidden="1"/>
    </xf>
    <xf numFmtId="167" fontId="4" fillId="13" borderId="1" xfId="5" applyNumberFormat="1" applyFont="1" applyFill="1" applyBorder="1" applyAlignment="1" applyProtection="1">
      <alignment horizontal="center" vertical="center"/>
      <protection hidden="1"/>
    </xf>
    <xf numFmtId="166" fontId="4" fillId="13" borderId="1" xfId="1" applyFont="1" applyFill="1" applyBorder="1" applyAlignment="1" applyProtection="1">
      <alignment vertical="center"/>
      <protection hidden="1"/>
    </xf>
    <xf numFmtId="0" fontId="4" fillId="13" borderId="1" xfId="0" applyFont="1" applyFill="1" applyBorder="1" applyAlignment="1">
      <alignment horizontal="left" vertical="center"/>
    </xf>
    <xf numFmtId="0" fontId="4" fillId="13" borderId="1" xfId="0" applyFont="1" applyFill="1" applyBorder="1" applyAlignment="1">
      <alignment horizontal="right" vertical="center"/>
    </xf>
    <xf numFmtId="167" fontId="4" fillId="13" borderId="1" xfId="5" applyNumberFormat="1" applyFont="1" applyFill="1" applyBorder="1" applyAlignment="1">
      <alignment horizontal="center" vertical="center" wrapText="1"/>
    </xf>
    <xf numFmtId="3" fontId="4" fillId="13" borderId="1" xfId="5" applyNumberFormat="1" applyFont="1" applyFill="1" applyBorder="1" applyAlignment="1">
      <alignment horizontal="center" vertical="center"/>
    </xf>
    <xf numFmtId="167" fontId="4" fillId="13" borderId="1" xfId="5" applyNumberFormat="1" applyFont="1" applyFill="1" applyBorder="1" applyAlignment="1">
      <alignment vertical="center" wrapText="1"/>
    </xf>
    <xf numFmtId="0" fontId="25" fillId="13" borderId="1" xfId="0" applyFont="1" applyFill="1" applyBorder="1" applyAlignment="1">
      <alignment horizontal="center" vertical="center"/>
    </xf>
    <xf numFmtId="0" fontId="25" fillId="13" borderId="1" xfId="0" applyFont="1" applyFill="1" applyBorder="1" applyAlignment="1">
      <alignment horizontal="left" vertical="center"/>
    </xf>
    <xf numFmtId="0" fontId="25" fillId="13" borderId="1" xfId="0" applyFont="1" applyFill="1" applyBorder="1" applyAlignment="1">
      <alignment horizontal="right" vertical="center"/>
    </xf>
    <xf numFmtId="167" fontId="25" fillId="13" borderId="1" xfId="5" applyNumberFormat="1" applyFont="1" applyFill="1" applyBorder="1" applyAlignment="1">
      <alignment horizontal="center" vertical="center" wrapText="1"/>
    </xf>
    <xf numFmtId="3" fontId="25" fillId="13" borderId="1" xfId="5" applyNumberFormat="1" applyFont="1" applyFill="1" applyBorder="1" applyAlignment="1">
      <alignment horizontal="center" vertical="center"/>
    </xf>
    <xf numFmtId="167" fontId="25" fillId="13" borderId="1" xfId="5" applyNumberFormat="1" applyFont="1" applyFill="1" applyBorder="1" applyAlignment="1">
      <alignment vertical="center" wrapText="1"/>
    </xf>
    <xf numFmtId="0" fontId="2" fillId="13" borderId="1" xfId="0" applyFont="1" applyFill="1" applyBorder="1" applyAlignment="1">
      <alignment horizontal="center" vertical="center" wrapText="1"/>
    </xf>
    <xf numFmtId="0" fontId="2" fillId="13" borderId="1" xfId="0" applyFont="1" applyFill="1" applyBorder="1" applyAlignment="1">
      <alignment horizontal="left" vertical="center"/>
    </xf>
    <xf numFmtId="0" fontId="2" fillId="13" borderId="1" xfId="0" applyFont="1" applyFill="1" applyBorder="1" applyAlignment="1">
      <alignment horizontal="center" vertical="center"/>
    </xf>
    <xf numFmtId="0" fontId="2" fillId="13" borderId="1" xfId="0" applyFont="1" applyFill="1" applyBorder="1" applyAlignment="1">
      <alignment horizontal="right" vertical="center"/>
    </xf>
    <xf numFmtId="167" fontId="2" fillId="13" borderId="1" xfId="5" applyNumberFormat="1" applyFont="1" applyFill="1" applyBorder="1" applyAlignment="1">
      <alignment horizontal="center" vertical="center" wrapText="1"/>
    </xf>
    <xf numFmtId="3" fontId="2" fillId="13" borderId="1" xfId="5" applyNumberFormat="1" applyFont="1" applyFill="1" applyBorder="1" applyAlignment="1">
      <alignment horizontal="center" vertical="center"/>
    </xf>
    <xf numFmtId="167" fontId="2" fillId="13" borderId="1" xfId="5" applyNumberFormat="1" applyFont="1" applyFill="1" applyBorder="1" applyAlignment="1">
      <alignment vertical="center" wrapText="1"/>
    </xf>
    <xf numFmtId="0" fontId="2" fillId="13" borderId="1" xfId="0" applyFont="1" applyFill="1" applyBorder="1" applyAlignment="1">
      <alignment horizontal="left" vertical="center" wrapText="1"/>
    </xf>
    <xf numFmtId="184" fontId="2" fillId="13" borderId="1" xfId="0" applyNumberFormat="1" applyFont="1" applyFill="1" applyBorder="1" applyAlignment="1">
      <alignment horizontal="right" vertical="center"/>
    </xf>
    <xf numFmtId="184" fontId="4" fillId="13" borderId="1" xfId="0" applyNumberFormat="1" applyFont="1" applyFill="1" applyBorder="1" applyAlignment="1">
      <alignment vertical="center"/>
    </xf>
    <xf numFmtId="184" fontId="4" fillId="13" borderId="1" xfId="0" applyNumberFormat="1" applyFont="1" applyFill="1" applyBorder="1" applyAlignment="1">
      <alignment horizontal="center"/>
    </xf>
    <xf numFmtId="184" fontId="4" fillId="13" borderId="1" xfId="0" applyNumberFormat="1" applyFont="1" applyFill="1" applyBorder="1" applyAlignment="1">
      <alignment horizontal="right" vertical="center"/>
    </xf>
    <xf numFmtId="184" fontId="4" fillId="13" borderId="1" xfId="0" applyNumberFormat="1" applyFont="1" applyFill="1" applyBorder="1" applyAlignment="1">
      <alignment horizontal="center" vertical="center"/>
    </xf>
    <xf numFmtId="184" fontId="4" fillId="13" borderId="1" xfId="0" applyNumberFormat="1" applyFont="1" applyFill="1" applyBorder="1" applyAlignment="1">
      <alignment horizontal="right"/>
    </xf>
    <xf numFmtId="184" fontId="4" fillId="13" borderId="1" xfId="0" applyNumberFormat="1" applyFont="1" applyFill="1" applyBorder="1"/>
    <xf numFmtId="184" fontId="25" fillId="13" borderId="1" xfId="0" applyNumberFormat="1" applyFont="1" applyFill="1" applyBorder="1" applyAlignment="1">
      <alignment horizontal="center"/>
    </xf>
    <xf numFmtId="184" fontId="25" fillId="13" borderId="1" xfId="0" applyNumberFormat="1" applyFont="1" applyFill="1" applyBorder="1" applyAlignment="1">
      <alignment horizontal="left" vertical="center"/>
    </xf>
    <xf numFmtId="184" fontId="25" fillId="13" borderId="1" xfId="0" applyNumberFormat="1" applyFont="1" applyFill="1" applyBorder="1" applyAlignment="1">
      <alignment horizontal="right" vertical="center"/>
    </xf>
    <xf numFmtId="184" fontId="25" fillId="13" borderId="1" xfId="0" applyNumberFormat="1" applyFont="1" applyFill="1" applyBorder="1" applyAlignment="1">
      <alignment horizontal="center" vertical="center"/>
    </xf>
    <xf numFmtId="184" fontId="25" fillId="13" borderId="1" xfId="0" applyNumberFormat="1" applyFont="1" applyFill="1" applyBorder="1" applyAlignment="1">
      <alignment horizontal="right"/>
    </xf>
    <xf numFmtId="184" fontId="25" fillId="13" borderId="1" xfId="0" applyNumberFormat="1" applyFont="1" applyFill="1" applyBorder="1"/>
    <xf numFmtId="184" fontId="2" fillId="13" borderId="1" xfId="0" applyNumberFormat="1" applyFont="1" applyFill="1" applyBorder="1" applyAlignment="1">
      <alignment horizontal="center"/>
    </xf>
    <xf numFmtId="49" fontId="2" fillId="13" borderId="1" xfId="0" applyNumberFormat="1" applyFont="1" applyFill="1" applyBorder="1" applyAlignment="1">
      <alignment vertical="center"/>
    </xf>
    <xf numFmtId="4" fontId="2" fillId="13" borderId="1" xfId="0" applyNumberFormat="1" applyFont="1" applyFill="1" applyBorder="1" applyAlignment="1">
      <alignment horizontal="right" vertical="center"/>
    </xf>
    <xf numFmtId="184" fontId="2" fillId="13" borderId="1" xfId="0" applyNumberFormat="1" applyFont="1" applyFill="1" applyBorder="1"/>
    <xf numFmtId="184" fontId="2" fillId="13" borderId="1" xfId="0" applyNumberFormat="1" applyFont="1" applyFill="1" applyBorder="1" applyAlignment="1">
      <alignment horizontal="right"/>
    </xf>
    <xf numFmtId="184" fontId="2" fillId="13" borderId="1" xfId="0" applyNumberFormat="1" applyFont="1" applyFill="1" applyBorder="1" applyAlignment="1">
      <alignment vertical="center"/>
    </xf>
    <xf numFmtId="184" fontId="2" fillId="13" borderId="1" xfId="0" quotePrefix="1" applyNumberFormat="1" applyFont="1" applyFill="1" applyBorder="1" applyAlignment="1">
      <alignment horizontal="center"/>
    </xf>
    <xf numFmtId="184" fontId="2" fillId="13" borderId="1" xfId="0" applyNumberFormat="1" applyFont="1" applyFill="1" applyBorder="1" applyAlignment="1">
      <alignment horizontal="center" vertical="center"/>
    </xf>
    <xf numFmtId="0" fontId="2" fillId="13" borderId="1" xfId="0" quotePrefix="1" applyFont="1" applyFill="1" applyBorder="1" applyAlignment="1">
      <alignment horizontal="center" vertical="center" wrapText="1"/>
    </xf>
    <xf numFmtId="0" fontId="4" fillId="13" borderId="1" xfId="0" applyFont="1" applyFill="1" applyBorder="1" applyAlignment="1">
      <alignment vertical="center"/>
    </xf>
    <xf numFmtId="167" fontId="4" fillId="13" borderId="1" xfId="5" applyNumberFormat="1" applyFont="1" applyFill="1" applyBorder="1" applyAlignment="1">
      <alignment vertical="center"/>
    </xf>
    <xf numFmtId="167" fontId="4" fillId="13" borderId="1" xfId="5" applyNumberFormat="1" applyFont="1" applyFill="1" applyBorder="1" applyAlignment="1" applyProtection="1">
      <alignment horizontal="center"/>
      <protection hidden="1"/>
    </xf>
    <xf numFmtId="166" fontId="4" fillId="13" borderId="1" xfId="1" applyFont="1" applyFill="1" applyBorder="1" applyAlignment="1">
      <alignment vertical="center"/>
    </xf>
    <xf numFmtId="184" fontId="4" fillId="13" borderId="1" xfId="0" applyNumberFormat="1" applyFont="1" applyFill="1" applyBorder="1" applyAlignment="1">
      <alignment horizontal="left" vertical="center"/>
    </xf>
    <xf numFmtId="184" fontId="2" fillId="13" borderId="1" xfId="0" applyNumberFormat="1" applyFont="1" applyFill="1" applyBorder="1" applyAlignment="1">
      <alignment horizontal="left" vertical="center"/>
    </xf>
    <xf numFmtId="218" fontId="25" fillId="13" borderId="1" xfId="0" applyNumberFormat="1" applyFont="1" applyFill="1" applyBorder="1" applyAlignment="1">
      <alignment horizontal="right"/>
    </xf>
    <xf numFmtId="218" fontId="25" fillId="13" borderId="1" xfId="0" applyNumberFormat="1" applyFont="1" applyFill="1" applyBorder="1"/>
    <xf numFmtId="0" fontId="4" fillId="13" borderId="1" xfId="5" applyNumberFormat="1" applyFont="1" applyFill="1" applyBorder="1" applyAlignment="1" applyProtection="1">
      <alignment horizontal="center" vertical="center"/>
      <protection hidden="1"/>
    </xf>
    <xf numFmtId="167" fontId="2" fillId="13" borderId="1" xfId="17" applyNumberFormat="1" applyFont="1" applyFill="1" applyBorder="1" applyAlignment="1" applyProtection="1">
      <alignment horizontal="left" vertical="center" wrapText="1"/>
      <protection hidden="1"/>
    </xf>
    <xf numFmtId="167" fontId="2" fillId="13" borderId="1" xfId="17" applyNumberFormat="1" applyFont="1" applyFill="1" applyBorder="1" applyAlignment="1" applyProtection="1">
      <alignment horizontal="center" vertical="center"/>
      <protection hidden="1"/>
    </xf>
    <xf numFmtId="3" fontId="2" fillId="13" borderId="1" xfId="0" applyNumberFormat="1" applyFont="1" applyFill="1" applyBorder="1" applyAlignment="1" applyProtection="1">
      <alignment horizontal="right" vertical="center"/>
      <protection hidden="1"/>
    </xf>
    <xf numFmtId="0" fontId="2" fillId="13" borderId="1" xfId="0" applyFont="1" applyFill="1" applyBorder="1" applyAlignment="1" applyProtection="1">
      <alignment vertical="center"/>
      <protection hidden="1"/>
    </xf>
    <xf numFmtId="167" fontId="2" fillId="13" borderId="1" xfId="5" applyNumberFormat="1" applyFont="1" applyFill="1" applyBorder="1" applyAlignment="1" applyProtection="1">
      <alignment horizontal="left" vertical="center"/>
      <protection hidden="1"/>
    </xf>
    <xf numFmtId="0" fontId="2" fillId="13" borderId="1" xfId="5" applyNumberFormat="1" applyFont="1" applyFill="1" applyBorder="1" applyAlignment="1" applyProtection="1">
      <alignment horizontal="center" vertical="center"/>
      <protection hidden="1"/>
    </xf>
    <xf numFmtId="167" fontId="2" fillId="13" borderId="1" xfId="5" applyNumberFormat="1" applyFont="1" applyFill="1" applyBorder="1" applyAlignment="1">
      <alignment vertical="center"/>
    </xf>
    <xf numFmtId="166" fontId="2" fillId="13" borderId="1" xfId="1" applyFont="1" applyFill="1" applyBorder="1" applyAlignment="1" applyProtection="1">
      <alignment vertical="center"/>
      <protection hidden="1"/>
    </xf>
    <xf numFmtId="0" fontId="2" fillId="13" borderId="1" xfId="5" applyNumberFormat="1" applyFont="1" applyFill="1" applyBorder="1" applyAlignment="1" applyProtection="1">
      <alignment horizontal="left" vertical="center"/>
      <protection hidden="1"/>
    </xf>
    <xf numFmtId="184" fontId="2" fillId="13" borderId="1" xfId="0" applyNumberFormat="1" applyFont="1" applyFill="1" applyBorder="1" applyAlignment="1">
      <alignment horizontal="left" vertical="center" wrapText="1"/>
    </xf>
    <xf numFmtId="219" fontId="2" fillId="13" borderId="1" xfId="0" applyNumberFormat="1" applyFont="1" applyFill="1" applyBorder="1" applyAlignment="1">
      <alignment horizontal="right" vertical="center"/>
    </xf>
    <xf numFmtId="167" fontId="2" fillId="13" borderId="1" xfId="1" applyNumberFormat="1" applyFont="1" applyFill="1" applyBorder="1" applyAlignment="1" applyProtection="1">
      <alignment horizontal="center" vertical="center"/>
      <protection hidden="1"/>
    </xf>
    <xf numFmtId="3" fontId="2" fillId="13" borderId="1" xfId="0" applyNumberFormat="1" applyFont="1" applyFill="1" applyBorder="1" applyAlignment="1">
      <alignment horizontal="right" vertical="center" wrapText="1"/>
    </xf>
    <xf numFmtId="167" fontId="2" fillId="13" borderId="1" xfId="5" applyNumberFormat="1" applyFont="1" applyFill="1" applyBorder="1" applyAlignment="1" applyProtection="1">
      <alignment horizontal="center"/>
      <protection hidden="1"/>
    </xf>
    <xf numFmtId="167" fontId="2" fillId="13" borderId="1" xfId="0" applyNumberFormat="1" applyFont="1" applyFill="1" applyBorder="1" applyAlignment="1" applyProtection="1">
      <alignment horizontal="center" vertical="center"/>
      <protection hidden="1"/>
    </xf>
    <xf numFmtId="167" fontId="2" fillId="13" borderId="1" xfId="0" applyNumberFormat="1" applyFont="1" applyFill="1" applyBorder="1" applyAlignment="1">
      <alignment vertical="center"/>
    </xf>
    <xf numFmtId="0" fontId="4" fillId="13" borderId="1" xfId="5" applyNumberFormat="1" applyFont="1" applyFill="1" applyBorder="1" applyAlignment="1" applyProtection="1">
      <alignment horizontal="left" vertical="center"/>
      <protection hidden="1"/>
    </xf>
    <xf numFmtId="166" fontId="2" fillId="13" borderId="1" xfId="1" applyFont="1" applyFill="1" applyBorder="1" applyAlignment="1">
      <alignment vertical="center"/>
    </xf>
    <xf numFmtId="0" fontId="2" fillId="13" borderId="1" xfId="0" quotePrefix="1" applyFont="1" applyFill="1" applyBorder="1" applyAlignment="1" applyProtection="1">
      <alignment horizontal="center" vertical="center"/>
      <protection hidden="1"/>
    </xf>
    <xf numFmtId="167" fontId="2" fillId="13" borderId="1" xfId="0" applyNumberFormat="1" applyFont="1" applyFill="1" applyBorder="1" applyAlignment="1" applyProtection="1">
      <alignment vertical="center"/>
      <protection hidden="1"/>
    </xf>
    <xf numFmtId="0" fontId="2" fillId="13" borderId="1" xfId="0" quotePrefix="1" applyFont="1" applyFill="1" applyBorder="1" applyAlignment="1" applyProtection="1">
      <alignment horizontal="center"/>
      <protection hidden="1"/>
    </xf>
    <xf numFmtId="0" fontId="66" fillId="0" borderId="0" xfId="6" applyFont="1" applyAlignment="1" applyProtection="1">
      <alignment horizontal="left" vertical="center"/>
      <protection locked="0"/>
    </xf>
    <xf numFmtId="0" fontId="6" fillId="0" borderId="0" xfId="6" applyFont="1" applyAlignment="1" applyProtection="1">
      <alignment horizontal="left" vertical="center" wrapText="1"/>
      <protection locked="0"/>
    </xf>
    <xf numFmtId="167" fontId="147" fillId="0" borderId="0" xfId="0" applyNumberFormat="1" applyFont="1"/>
    <xf numFmtId="167" fontId="2" fillId="3" borderId="1" xfId="17" applyNumberFormat="1" applyFont="1" applyFill="1" applyBorder="1" applyAlignment="1" applyProtection="1">
      <alignment horizontal="left" vertical="center" wrapText="1"/>
      <protection hidden="1"/>
    </xf>
    <xf numFmtId="167" fontId="2" fillId="3" borderId="1" xfId="17" applyNumberFormat="1" applyFont="1" applyFill="1" applyBorder="1" applyAlignment="1" applyProtection="1">
      <alignment horizontal="center" vertical="center"/>
      <protection hidden="1"/>
    </xf>
    <xf numFmtId="169" fontId="44" fillId="3" borderId="1" xfId="5" applyNumberFormat="1" applyFont="1" applyFill="1" applyBorder="1" applyAlignment="1">
      <alignment vertical="center" wrapText="1"/>
    </xf>
    <xf numFmtId="167" fontId="0" fillId="0" borderId="0" xfId="1" applyNumberFormat="1" applyFont="1"/>
    <xf numFmtId="0" fontId="28" fillId="7" borderId="1" xfId="0" applyFont="1" applyFill="1" applyBorder="1" applyAlignment="1">
      <alignment horizontal="center" vertical="center" wrapText="1"/>
    </xf>
    <xf numFmtId="167" fontId="28" fillId="2" borderId="1" xfId="0" applyNumberFormat="1" applyFont="1" applyFill="1" applyBorder="1" applyAlignment="1">
      <alignment horizontal="right" vertical="center"/>
    </xf>
    <xf numFmtId="9" fontId="28" fillId="2" borderId="1" xfId="0" applyNumberFormat="1" applyFont="1" applyFill="1" applyBorder="1" applyAlignment="1">
      <alignment horizontal="center" vertical="center"/>
    </xf>
    <xf numFmtId="167" fontId="28" fillId="2" borderId="1" xfId="0" applyNumberFormat="1" applyFont="1" applyFill="1" applyBorder="1" applyAlignment="1">
      <alignment horizontal="center" vertical="center"/>
    </xf>
    <xf numFmtId="167" fontId="28" fillId="2" borderId="1" xfId="0" applyNumberFormat="1" applyFont="1" applyFill="1" applyBorder="1" applyAlignment="1">
      <alignment vertical="center"/>
    </xf>
    <xf numFmtId="0" fontId="44" fillId="0" borderId="1" xfId="0" applyFont="1" applyFill="1" applyBorder="1" applyAlignment="1" applyProtection="1">
      <alignment horizontal="center" vertical="center"/>
      <protection hidden="1"/>
    </xf>
    <xf numFmtId="167" fontId="180" fillId="4" borderId="1" xfId="17" applyNumberFormat="1" applyFont="1" applyFill="1" applyBorder="1" applyAlignment="1" applyProtection="1">
      <alignment horizontal="left" vertical="center" wrapText="1"/>
      <protection hidden="1"/>
    </xf>
    <xf numFmtId="0" fontId="2" fillId="4" borderId="1" xfId="0" applyFont="1" applyFill="1" applyBorder="1" applyAlignment="1" applyProtection="1">
      <alignment horizontal="center" vertical="center"/>
      <protection hidden="1"/>
    </xf>
    <xf numFmtId="0" fontId="2" fillId="4" borderId="1" xfId="0" quotePrefix="1" applyFont="1" applyFill="1" applyBorder="1" applyAlignment="1" applyProtection="1">
      <alignment horizontal="center" vertical="center"/>
      <protection hidden="1"/>
    </xf>
    <xf numFmtId="167" fontId="2" fillId="4" borderId="1" xfId="17" applyNumberFormat="1" applyFont="1" applyFill="1" applyBorder="1" applyAlignment="1" applyProtection="1">
      <alignment horizontal="left" vertical="center" wrapText="1"/>
      <protection hidden="1"/>
    </xf>
    <xf numFmtId="167" fontId="2" fillId="4" borderId="1" xfId="17" applyNumberFormat="1" applyFont="1" applyFill="1" applyBorder="1" applyAlignment="1" applyProtection="1">
      <alignment horizontal="center" vertical="center"/>
      <protection hidden="1"/>
    </xf>
    <xf numFmtId="168" fontId="2" fillId="4" borderId="1" xfId="0" applyNumberFormat="1" applyFont="1" applyFill="1" applyBorder="1" applyAlignment="1" applyProtection="1">
      <alignment horizontal="center" vertical="center"/>
      <protection hidden="1"/>
    </xf>
    <xf numFmtId="0" fontId="42" fillId="4" borderId="1" xfId="26" applyFont="1" applyFill="1" applyBorder="1" applyAlignment="1" applyProtection="1">
      <alignment horizontal="center" vertical="center"/>
      <protection hidden="1"/>
    </xf>
    <xf numFmtId="0" fontId="42" fillId="4" borderId="1" xfId="27" applyNumberFormat="1" applyFont="1" applyFill="1" applyBorder="1" applyAlignment="1" applyProtection="1">
      <alignment horizontal="left" vertical="center"/>
      <protection hidden="1"/>
    </xf>
    <xf numFmtId="0" fontId="42" fillId="4" borderId="1" xfId="28" applyFont="1" applyFill="1" applyBorder="1" applyAlignment="1">
      <alignment horizontal="center" vertical="center"/>
    </xf>
    <xf numFmtId="167" fontId="42" fillId="4" borderId="1" xfId="28" applyNumberFormat="1" applyFont="1" applyFill="1" applyBorder="1" applyAlignment="1">
      <alignment horizontal="center" vertical="center"/>
    </xf>
    <xf numFmtId="167" fontId="42" fillId="4" borderId="1" xfId="27" applyNumberFormat="1" applyFont="1" applyFill="1" applyBorder="1" applyAlignment="1" applyProtection="1">
      <alignment horizontal="center" vertical="center"/>
      <protection hidden="1"/>
    </xf>
    <xf numFmtId="0" fontId="2" fillId="4" borderId="1" xfId="650" quotePrefix="1" applyFont="1" applyFill="1" applyBorder="1" applyAlignment="1" applyProtection="1">
      <alignment horizontal="center" vertical="center"/>
      <protection hidden="1"/>
    </xf>
    <xf numFmtId="167" fontId="2" fillId="4" borderId="1" xfId="651" applyNumberFormat="1" applyFont="1" applyFill="1" applyBorder="1" applyAlignment="1" applyProtection="1">
      <alignment horizontal="left" vertical="center"/>
      <protection hidden="1"/>
    </xf>
    <xf numFmtId="167" fontId="2" fillId="4" borderId="1" xfId="651" applyNumberFormat="1" applyFont="1" applyFill="1" applyBorder="1" applyAlignment="1" applyProtection="1">
      <alignment horizontal="center" vertical="center"/>
      <protection hidden="1"/>
    </xf>
    <xf numFmtId="0" fontId="2" fillId="4" borderId="1" xfId="651" applyNumberFormat="1"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167" fontId="6" fillId="4" borderId="1" xfId="0" applyNumberFormat="1" applyFont="1" applyFill="1" applyBorder="1" applyAlignment="1">
      <alignment horizontal="right" vertical="center"/>
    </xf>
    <xf numFmtId="0" fontId="3" fillId="4" borderId="1" xfId="0" applyFont="1" applyFill="1" applyBorder="1" applyAlignment="1" applyProtection="1">
      <alignment horizontal="center" vertical="center"/>
      <protection hidden="1"/>
    </xf>
    <xf numFmtId="167" fontId="3" fillId="4" borderId="1" xfId="0" applyNumberFormat="1" applyFont="1" applyFill="1" applyBorder="1" applyAlignment="1">
      <alignment horizontal="right" vertical="center"/>
    </xf>
    <xf numFmtId="0" fontId="3" fillId="7" borderId="1" xfId="0" applyFont="1" applyFill="1" applyBorder="1" applyAlignment="1">
      <alignment horizontal="center" vertical="center" wrapText="1"/>
    </xf>
    <xf numFmtId="169" fontId="44" fillId="4" borderId="1" xfId="5" applyNumberFormat="1" applyFont="1" applyFill="1" applyBorder="1" applyAlignment="1">
      <alignment vertical="center" wrapText="1"/>
    </xf>
    <xf numFmtId="3" fontId="10" fillId="4" borderId="1" xfId="6" applyNumberFormat="1" applyFont="1" applyFill="1" applyBorder="1" applyAlignment="1" applyProtection="1">
      <alignment vertical="center" wrapText="1"/>
      <protection locked="0"/>
    </xf>
    <xf numFmtId="0" fontId="81" fillId="4" borderId="1" xfId="28" applyFont="1" applyFill="1" applyBorder="1" applyAlignment="1">
      <alignment vertical="center"/>
    </xf>
    <xf numFmtId="184" fontId="2" fillId="4" borderId="1" xfId="0" applyNumberFormat="1" applyFont="1" applyFill="1" applyBorder="1" applyAlignment="1">
      <alignment horizontal="right" vertical="center"/>
    </xf>
    <xf numFmtId="169" fontId="2" fillId="4" borderId="1" xfId="5" applyNumberFormat="1" applyFont="1" applyFill="1" applyBorder="1" applyAlignment="1">
      <alignment vertical="center" wrapText="1"/>
    </xf>
    <xf numFmtId="184" fontId="2" fillId="4" borderId="1" xfId="0" applyNumberFormat="1" applyFont="1" applyFill="1" applyBorder="1" applyAlignment="1">
      <alignment horizontal="right"/>
    </xf>
    <xf numFmtId="167" fontId="2" fillId="4" borderId="1" xfId="5" applyNumberFormat="1" applyFont="1" applyFill="1" applyBorder="1" applyAlignment="1">
      <alignment horizontal="center" vertical="center" wrapText="1"/>
    </xf>
    <xf numFmtId="3" fontId="2" fillId="4" borderId="1" xfId="5" applyNumberFormat="1" applyFont="1" applyFill="1" applyBorder="1" applyAlignment="1">
      <alignment horizontal="center" vertical="center"/>
    </xf>
    <xf numFmtId="167" fontId="2" fillId="4" borderId="1" xfId="5" applyNumberFormat="1" applyFont="1" applyFill="1" applyBorder="1" applyAlignment="1" applyProtection="1">
      <alignment horizontal="center" vertical="center"/>
      <protection hidden="1"/>
    </xf>
    <xf numFmtId="49" fontId="2" fillId="13" borderId="1" xfId="0" applyNumberFormat="1" applyFont="1" applyFill="1" applyBorder="1" applyAlignment="1" applyProtection="1">
      <alignment horizontal="center" vertical="center"/>
      <protection hidden="1"/>
    </xf>
    <xf numFmtId="184" fontId="2" fillId="4" borderId="1" xfId="0" applyNumberFormat="1" applyFont="1" applyFill="1" applyBorder="1"/>
    <xf numFmtId="184" fontId="2" fillId="4" borderId="1" xfId="0" quotePrefix="1" applyNumberFormat="1" applyFont="1" applyFill="1" applyBorder="1" applyAlignment="1">
      <alignment horizontal="center"/>
    </xf>
    <xf numFmtId="167" fontId="2" fillId="4" borderId="1" xfId="5" applyNumberFormat="1" applyFont="1" applyFill="1" applyBorder="1" applyAlignment="1" applyProtection="1">
      <alignment horizontal="center"/>
      <protection hidden="1"/>
    </xf>
    <xf numFmtId="49" fontId="3" fillId="4" borderId="10" xfId="0" applyNumberFormat="1" applyFont="1" applyFill="1" applyBorder="1" applyAlignment="1">
      <alignment horizontal="center" vertical="center"/>
    </xf>
    <xf numFmtId="0" fontId="28" fillId="5" borderId="4" xfId="9" applyFont="1" applyFill="1" applyBorder="1" applyAlignment="1">
      <alignment horizontal="center"/>
    </xf>
    <xf numFmtId="0" fontId="3" fillId="0" borderId="4" xfId="9" applyFont="1" applyBorder="1" applyAlignment="1">
      <alignment horizontal="left"/>
    </xf>
    <xf numFmtId="0" fontId="3" fillId="0" borderId="0" xfId="9" applyFont="1" applyAlignment="1">
      <alignment horizontal="left"/>
    </xf>
    <xf numFmtId="0" fontId="2"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wrapText="1"/>
      <protection hidden="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3" fillId="4" borderId="0" xfId="0" applyFont="1" applyFill="1" applyAlignment="1">
      <alignment horizontal="left" vertical="center" wrapText="1"/>
    </xf>
    <xf numFmtId="0" fontId="27" fillId="0" borderId="20" xfId="0" applyFont="1" applyBorder="1" applyAlignment="1">
      <alignment horizontal="center"/>
    </xf>
    <xf numFmtId="0" fontId="148" fillId="0" borderId="0" xfId="0" applyFont="1" applyAlignment="1">
      <alignment horizontal="left" vertical="center"/>
    </xf>
    <xf numFmtId="0" fontId="3" fillId="0" borderId="0" xfId="0" applyFont="1" applyAlignment="1" applyProtection="1">
      <alignment horizontal="left" vertical="center" wrapText="1"/>
      <protection hidden="1"/>
    </xf>
    <xf numFmtId="0" fontId="3" fillId="0" borderId="0" xfId="0" applyFont="1" applyAlignment="1">
      <alignment horizontal="left" vertical="center" wrapText="1"/>
    </xf>
    <xf numFmtId="0" fontId="27" fillId="0" borderId="0" xfId="0" applyFont="1" applyAlignment="1" applyProtection="1">
      <alignment horizontal="left"/>
      <protection hidden="1"/>
    </xf>
    <xf numFmtId="0" fontId="144"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9" fillId="0" borderId="0" xfId="0" applyFont="1" applyAlignment="1">
      <alignment horizontal="left" vertical="center" wrapText="1"/>
    </xf>
    <xf numFmtId="0" fontId="177" fillId="0" borderId="0" xfId="0" applyFont="1" applyAlignment="1">
      <alignment horizontal="left" vertical="center"/>
    </xf>
    <xf numFmtId="0" fontId="10" fillId="0" borderId="0" xfId="0" applyFont="1" applyAlignment="1" applyProtection="1">
      <alignment horizontal="left" vertical="center" wrapText="1"/>
      <protection hidden="1"/>
    </xf>
    <xf numFmtId="0" fontId="10" fillId="0" borderId="0" xfId="0" applyFont="1" applyAlignment="1">
      <alignment horizontal="left" vertical="center" wrapText="1"/>
    </xf>
    <xf numFmtId="0" fontId="26" fillId="0" borderId="0" xfId="0" applyFont="1" applyFill="1" applyAlignment="1">
      <alignment horizontal="center" vertical="center"/>
    </xf>
    <xf numFmtId="0" fontId="152" fillId="0" borderId="0" xfId="0" applyFont="1" applyFill="1" applyAlignment="1" applyProtection="1">
      <alignment horizontal="center" vertical="center" wrapText="1"/>
      <protection hidden="1"/>
    </xf>
    <xf numFmtId="0" fontId="143" fillId="2" borderId="0" xfId="0" applyFont="1" applyFill="1" applyAlignment="1">
      <alignment horizontal="center" vertical="center" wrapText="1"/>
    </xf>
    <xf numFmtId="0" fontId="4" fillId="13" borderId="0" xfId="30" applyFont="1" applyFill="1" applyAlignment="1" applyProtection="1">
      <alignment horizontal="center" vertical="center"/>
      <protection hidden="1"/>
    </xf>
    <xf numFmtId="0" fontId="4" fillId="13" borderId="6" xfId="30" applyFont="1" applyFill="1" applyBorder="1" applyAlignment="1" applyProtection="1">
      <alignment horizontal="center" vertical="center"/>
      <protection hidden="1"/>
    </xf>
    <xf numFmtId="0" fontId="4" fillId="13" borderId="8" xfId="30" applyFont="1" applyFill="1" applyBorder="1" applyAlignment="1" applyProtection="1">
      <alignment horizontal="center" vertical="center"/>
      <protection hidden="1"/>
    </xf>
    <xf numFmtId="0" fontId="76" fillId="0" borderId="0" xfId="26" applyFont="1" applyFill="1" applyBorder="1" applyAlignment="1" applyProtection="1">
      <alignment horizontal="center" vertical="center"/>
      <protection hidden="1"/>
    </xf>
    <xf numFmtId="0" fontId="76" fillId="0" borderId="1" xfId="26" applyFont="1" applyFill="1" applyBorder="1" applyAlignment="1" applyProtection="1">
      <alignment horizontal="center" vertical="center" wrapText="1"/>
      <protection hidden="1"/>
    </xf>
    <xf numFmtId="0" fontId="76" fillId="0" borderId="6" xfId="26" applyFont="1" applyFill="1" applyBorder="1" applyAlignment="1" applyProtection="1">
      <alignment horizontal="center" vertical="center" wrapText="1"/>
      <protection hidden="1"/>
    </xf>
    <xf numFmtId="0" fontId="76" fillId="0" borderId="8" xfId="26" applyFont="1" applyFill="1" applyBorder="1" applyAlignment="1" applyProtection="1">
      <alignment horizontal="center" vertical="center" wrapText="1"/>
      <protection hidden="1"/>
    </xf>
    <xf numFmtId="167" fontId="76" fillId="0" borderId="2" xfId="27" applyNumberFormat="1" applyFont="1" applyFill="1" applyBorder="1" applyAlignment="1" applyProtection="1">
      <alignment horizontal="center" vertical="center" wrapText="1"/>
      <protection hidden="1"/>
    </xf>
    <xf numFmtId="167" fontId="76" fillId="0" borderId="5" xfId="27" applyNumberFormat="1" applyFont="1" applyFill="1" applyBorder="1" applyAlignment="1" applyProtection="1">
      <alignment horizontal="center" vertical="center" wrapText="1"/>
      <protection hidden="1"/>
    </xf>
    <xf numFmtId="167" fontId="76" fillId="0" borderId="3" xfId="27" applyNumberFormat="1" applyFont="1" applyFill="1" applyBorder="1" applyAlignment="1" applyProtection="1">
      <alignment horizontal="center" vertical="center" wrapText="1"/>
      <protection hidden="1"/>
    </xf>
    <xf numFmtId="166" fontId="76" fillId="0" borderId="2" xfId="1" applyFont="1" applyFill="1" applyBorder="1" applyAlignment="1" applyProtection="1">
      <alignment horizontal="center" vertical="center" wrapText="1"/>
      <protection hidden="1"/>
    </xf>
    <xf numFmtId="166" fontId="76" fillId="0" borderId="3" xfId="1" applyFont="1" applyFill="1" applyBorder="1" applyAlignment="1" applyProtection="1">
      <alignment horizontal="center" vertical="center" wrapText="1"/>
      <protection hidden="1"/>
    </xf>
    <xf numFmtId="0" fontId="18" fillId="0" borderId="0" xfId="0" applyFont="1" applyAlignment="1">
      <alignment horizontal="center" wrapText="1"/>
    </xf>
    <xf numFmtId="0" fontId="10" fillId="0" borderId="0" xfId="0" applyFont="1" applyAlignment="1">
      <alignment horizontal="left" wrapText="1"/>
    </xf>
    <xf numFmtId="0" fontId="17" fillId="0" borderId="1" xfId="0" applyFont="1" applyBorder="1" applyAlignment="1">
      <alignment horizontal="center" vertical="center" wrapText="1"/>
    </xf>
    <xf numFmtId="167" fontId="6" fillId="0" borderId="0" xfId="1" applyNumberFormat="1" applyFont="1" applyAlignment="1">
      <alignment horizontal="left" vertical="center"/>
    </xf>
    <xf numFmtId="167" fontId="6" fillId="0" borderId="0" xfId="1" applyNumberFormat="1" applyFont="1" applyAlignment="1">
      <alignment horizontal="center" vertical="center"/>
    </xf>
    <xf numFmtId="0" fontId="142" fillId="0" borderId="0" xfId="0" applyFont="1" applyAlignment="1">
      <alignment horizontal="center"/>
    </xf>
    <xf numFmtId="0" fontId="71" fillId="0" borderId="1" xfId="0" applyFont="1" applyBorder="1" applyAlignment="1">
      <alignment horizontal="center" vertical="center"/>
    </xf>
    <xf numFmtId="0" fontId="71" fillId="0" borderId="1" xfId="0" applyFont="1" applyBorder="1" applyAlignment="1">
      <alignment horizontal="center"/>
    </xf>
    <xf numFmtId="0" fontId="4" fillId="0" borderId="1" xfId="24" applyNumberFormat="1" applyFont="1" applyFill="1" applyBorder="1" applyAlignment="1">
      <alignment horizontal="center" vertical="justify" textRotation="90" wrapText="1"/>
    </xf>
    <xf numFmtId="0" fontId="2" fillId="0" borderId="1" xfId="24" applyFont="1" applyFill="1" applyBorder="1" applyAlignment="1">
      <alignment horizontal="center" vertical="justify"/>
    </xf>
    <xf numFmtId="0" fontId="6" fillId="0" borderId="0" xfId="24" applyFont="1" applyFill="1" applyBorder="1" applyAlignment="1">
      <alignment horizontal="center" vertical="center"/>
    </xf>
    <xf numFmtId="0" fontId="2" fillId="0" borderId="12" xfId="24" applyFont="1" applyFill="1" applyBorder="1" applyAlignment="1">
      <alignment horizontal="center" vertical="center"/>
    </xf>
    <xf numFmtId="0" fontId="2" fillId="0" borderId="15" xfId="24" applyFont="1" applyFill="1" applyBorder="1"/>
    <xf numFmtId="0" fontId="4" fillId="0" borderId="13" xfId="24" applyFont="1" applyFill="1" applyBorder="1" applyAlignment="1">
      <alignment horizontal="center" vertical="center"/>
    </xf>
    <xf numFmtId="0" fontId="2" fillId="0" borderId="1" xfId="24" applyFont="1" applyFill="1" applyBorder="1" applyAlignment="1">
      <alignment horizontal="center"/>
    </xf>
    <xf numFmtId="0" fontId="4" fillId="0" borderId="49" xfId="24" applyFont="1" applyFill="1" applyBorder="1" applyAlignment="1">
      <alignment horizontal="center" vertical="center"/>
    </xf>
    <xf numFmtId="0" fontId="4" fillId="0" borderId="10" xfId="24" applyFont="1" applyFill="1" applyBorder="1" applyAlignment="1">
      <alignment horizontal="center" vertical="center"/>
    </xf>
    <xf numFmtId="0" fontId="4" fillId="0" borderId="8" xfId="24" applyFont="1" applyFill="1" applyBorder="1" applyAlignment="1">
      <alignment horizontal="center" vertical="center"/>
    </xf>
    <xf numFmtId="0" fontId="4" fillId="0" borderId="49" xfId="24" applyNumberFormat="1" applyFont="1" applyFill="1" applyBorder="1" applyAlignment="1">
      <alignment horizontal="center" vertical="justify" textRotation="90" wrapText="1"/>
    </xf>
    <xf numFmtId="0" fontId="4" fillId="0" borderId="10" xfId="24" applyNumberFormat="1" applyFont="1" applyFill="1" applyBorder="1" applyAlignment="1">
      <alignment horizontal="center" vertical="justify" textRotation="90" wrapText="1"/>
    </xf>
    <xf numFmtId="0" fontId="4" fillId="0" borderId="8" xfId="24" applyNumberFormat="1" applyFont="1" applyFill="1" applyBorder="1" applyAlignment="1">
      <alignment horizontal="center" vertical="justify" textRotation="90" wrapText="1"/>
    </xf>
    <xf numFmtId="0" fontId="6" fillId="0" borderId="50" xfId="24" applyNumberFormat="1" applyFont="1" applyFill="1" applyBorder="1" applyAlignment="1">
      <alignment horizontal="center" vertical="center" wrapText="1"/>
    </xf>
    <xf numFmtId="0" fontId="6" fillId="0" borderId="35" xfId="24" applyNumberFormat="1" applyFont="1" applyFill="1" applyBorder="1" applyAlignment="1">
      <alignment horizontal="center" vertical="center" wrapText="1"/>
    </xf>
    <xf numFmtId="0" fontId="6" fillId="0" borderId="51" xfId="24" applyNumberFormat="1" applyFont="1" applyFill="1" applyBorder="1" applyAlignment="1">
      <alignment horizontal="center" vertical="center" wrapText="1"/>
    </xf>
    <xf numFmtId="0" fontId="4" fillId="0" borderId="49" xfId="24" applyNumberFormat="1" applyFont="1" applyFill="1" applyBorder="1" applyAlignment="1">
      <alignment horizontal="center" vertical="justify" textRotation="90"/>
    </xf>
    <xf numFmtId="0" fontId="4" fillId="0" borderId="10" xfId="24" applyNumberFormat="1" applyFont="1" applyFill="1" applyBorder="1" applyAlignment="1">
      <alignment horizontal="center" vertical="justify" textRotation="90"/>
    </xf>
    <xf numFmtId="0" fontId="4" fillId="0" borderId="8" xfId="24" applyNumberFormat="1" applyFont="1" applyFill="1" applyBorder="1" applyAlignment="1">
      <alignment horizontal="center" vertical="justify" textRotation="90"/>
    </xf>
    <xf numFmtId="0" fontId="4" fillId="0" borderId="14" xfId="24" applyFont="1" applyFill="1" applyBorder="1" applyAlignment="1">
      <alignment horizontal="center" vertical="center"/>
    </xf>
    <xf numFmtId="0" fontId="2" fillId="0" borderId="16" xfId="24" applyFont="1" applyFill="1" applyBorder="1"/>
    <xf numFmtId="0" fontId="76" fillId="0" borderId="0" xfId="337" applyFont="1" applyFill="1" applyAlignment="1" applyProtection="1">
      <alignment horizontal="center" vertical="center"/>
      <protection hidden="1"/>
    </xf>
    <xf numFmtId="0" fontId="76" fillId="0" borderId="1" xfId="337" applyFont="1" applyFill="1" applyBorder="1" applyAlignment="1" applyProtection="1">
      <alignment horizontal="center" vertical="center"/>
      <protection hidden="1"/>
    </xf>
    <xf numFmtId="0" fontId="3" fillId="0" borderId="0" xfId="0" applyFont="1" applyAlignment="1">
      <alignment horizontal="left" vertical="center"/>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6" fillId="13" borderId="0" xfId="0" applyFont="1" applyFill="1" applyAlignment="1" applyProtection="1">
      <alignment horizontal="center" vertical="center"/>
      <protection hidden="1"/>
    </xf>
    <xf numFmtId="0" fontId="4" fillId="0" borderId="1" xfId="0" applyFont="1" applyBorder="1" applyAlignment="1">
      <alignment horizontal="center" vertical="center"/>
    </xf>
    <xf numFmtId="0" fontId="145" fillId="2" borderId="0" xfId="0" applyFont="1" applyFill="1" applyAlignment="1">
      <alignment horizontal="left" vertical="center"/>
    </xf>
    <xf numFmtId="0" fontId="171" fillId="0" borderId="0" xfId="0" applyFont="1" applyAlignment="1">
      <alignment horizontal="left" vertical="center"/>
    </xf>
    <xf numFmtId="0" fontId="172" fillId="0" borderId="0" xfId="0" applyFont="1" applyAlignment="1">
      <alignment horizontal="center" vertical="center"/>
    </xf>
    <xf numFmtId="0" fontId="172" fillId="0" borderId="0" xfId="0" applyFont="1" applyAlignment="1">
      <alignment horizontal="center" vertical="center" wrapText="1"/>
    </xf>
    <xf numFmtId="0" fontId="145" fillId="2" borderId="4" xfId="0" applyFont="1" applyFill="1" applyBorder="1" applyAlignment="1">
      <alignment horizontal="center" vertical="center"/>
    </xf>
    <xf numFmtId="0" fontId="145" fillId="2" borderId="0" xfId="0" applyFont="1" applyFill="1" applyAlignment="1">
      <alignment horizontal="left" vertical="center" wrapText="1"/>
    </xf>
    <xf numFmtId="3" fontId="152" fillId="9" borderId="1" xfId="17" applyNumberFormat="1" applyFont="1" applyFill="1" applyBorder="1" applyAlignment="1">
      <alignment horizontal="center" vertical="center" wrapText="1"/>
    </xf>
    <xf numFmtId="167" fontId="6" fillId="0" borderId="1" xfId="17" applyNumberFormat="1" applyFont="1" applyBorder="1" applyAlignment="1">
      <alignment horizontal="center" vertical="center"/>
    </xf>
    <xf numFmtId="167" fontId="152" fillId="0" borderId="1" xfId="17" applyNumberFormat="1" applyFont="1" applyBorder="1" applyAlignment="1">
      <alignment horizontal="center" vertical="center" wrapText="1"/>
    </xf>
    <xf numFmtId="0" fontId="152" fillId="0" borderId="2" xfId="0" applyFont="1" applyBorder="1" applyAlignment="1">
      <alignment horizontal="center" vertical="center" wrapText="1"/>
    </xf>
    <xf numFmtId="0" fontId="152" fillId="0" borderId="3" xfId="0" applyFont="1" applyBorder="1" applyAlignment="1">
      <alignment horizontal="center" vertical="center" wrapText="1"/>
    </xf>
    <xf numFmtId="0" fontId="169" fillId="0" borderId="0" xfId="0" applyFont="1" applyAlignment="1">
      <alignment horizontal="center"/>
    </xf>
    <xf numFmtId="0" fontId="72" fillId="0" borderId="0" xfId="0" applyFont="1" applyAlignment="1">
      <alignment horizontal="center" wrapText="1"/>
    </xf>
    <xf numFmtId="0" fontId="72" fillId="0" borderId="0" xfId="0" applyFont="1" applyAlignment="1">
      <alignment horizontal="center"/>
    </xf>
    <xf numFmtId="0" fontId="152" fillId="9" borderId="6" xfId="0" applyFont="1" applyFill="1" applyBorder="1" applyAlignment="1">
      <alignment horizontal="center" vertical="center" wrapText="1"/>
    </xf>
    <xf numFmtId="0" fontId="152" fillId="9" borderId="8" xfId="0" applyFont="1" applyFill="1" applyBorder="1" applyAlignment="1">
      <alignment horizontal="center" vertical="center" wrapText="1"/>
    </xf>
    <xf numFmtId="0" fontId="152" fillId="9" borderId="1" xfId="0" applyFont="1" applyFill="1" applyBorder="1" applyAlignment="1">
      <alignment horizontal="center" vertical="center"/>
    </xf>
    <xf numFmtId="3" fontId="152" fillId="9" borderId="6" xfId="17" applyNumberFormat="1" applyFont="1" applyFill="1" applyBorder="1" applyAlignment="1">
      <alignment horizontal="center" vertical="center" wrapText="1"/>
    </xf>
    <xf numFmtId="3" fontId="152" fillId="9" borderId="8" xfId="17" applyNumberFormat="1" applyFont="1" applyFill="1" applyBorder="1" applyAlignment="1">
      <alignment horizontal="center" vertical="center" wrapText="1"/>
    </xf>
    <xf numFmtId="2" fontId="10" fillId="11" borderId="6" xfId="653" applyFont="1" applyFill="1" applyBorder="1" applyAlignment="1" applyProtection="1">
      <alignment horizontal="center" vertical="center"/>
      <protection hidden="1"/>
    </xf>
    <xf numFmtId="2" fontId="10" fillId="11" borderId="8" xfId="653" applyFont="1" applyFill="1" applyBorder="1" applyAlignment="1" applyProtection="1">
      <alignment horizontal="center" vertical="center"/>
      <protection hidden="1"/>
    </xf>
    <xf numFmtId="2" fontId="17" fillId="11" borderId="49" xfId="653" applyFont="1" applyFill="1" applyBorder="1" applyAlignment="1" applyProtection="1">
      <alignment horizontal="center" vertical="center" wrapText="1"/>
      <protection hidden="1"/>
    </xf>
    <xf numFmtId="2" fontId="17" fillId="11" borderId="8" xfId="653" applyFont="1" applyFill="1" applyBorder="1" applyAlignment="1" applyProtection="1">
      <alignment horizontal="center" vertical="center" wrapText="1"/>
      <protection hidden="1"/>
    </xf>
    <xf numFmtId="167" fontId="17" fillId="11" borderId="67" xfId="7" applyNumberFormat="1" applyFont="1" applyFill="1" applyBorder="1" applyAlignment="1" applyProtection="1">
      <alignment horizontal="center" vertical="center"/>
      <protection hidden="1"/>
    </xf>
    <xf numFmtId="167" fontId="17" fillId="11" borderId="68" xfId="7" applyNumberFormat="1" applyFont="1" applyFill="1" applyBorder="1" applyAlignment="1" applyProtection="1">
      <alignment horizontal="center" vertical="center"/>
      <protection hidden="1"/>
    </xf>
    <xf numFmtId="167" fontId="17" fillId="11" borderId="69" xfId="7" applyNumberFormat="1" applyFont="1" applyFill="1" applyBorder="1" applyAlignment="1" applyProtection="1">
      <alignment horizontal="center" vertical="center"/>
      <protection hidden="1"/>
    </xf>
    <xf numFmtId="3" fontId="17" fillId="11" borderId="70" xfId="653" applyNumberFormat="1" applyFont="1" applyFill="1" applyBorder="1" applyAlignment="1" applyProtection="1">
      <alignment horizontal="center" vertical="center"/>
      <protection hidden="1"/>
    </xf>
    <xf numFmtId="3" fontId="17" fillId="11" borderId="72" xfId="653" applyNumberFormat="1" applyFont="1" applyFill="1" applyBorder="1" applyAlignment="1" applyProtection="1">
      <alignment horizontal="center" vertical="center"/>
      <protection hidden="1"/>
    </xf>
    <xf numFmtId="0" fontId="160" fillId="0" borderId="0" xfId="0" applyFont="1" applyAlignment="1">
      <alignment horizontal="center" vertical="top"/>
    </xf>
    <xf numFmtId="0" fontId="3" fillId="0" borderId="0" xfId="0" applyFont="1" applyAlignment="1">
      <alignment horizont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63" fillId="0" borderId="55" xfId="0" applyFont="1" applyBorder="1" applyAlignment="1">
      <alignment horizontal="center" vertical="center" wrapText="1"/>
    </xf>
    <xf numFmtId="0" fontId="163" fillId="0" borderId="0" xfId="0" applyFont="1" applyAlignment="1">
      <alignment horizontal="center" vertical="center" wrapText="1"/>
    </xf>
    <xf numFmtId="0" fontId="163" fillId="0" borderId="56" xfId="0" applyFont="1" applyBorder="1" applyAlignment="1">
      <alignment horizontal="center" vertical="center" wrapText="1"/>
    </xf>
    <xf numFmtId="0" fontId="79" fillId="0" borderId="1" xfId="0" applyFont="1" applyBorder="1" applyAlignment="1">
      <alignment horizontal="center" vertical="center" wrapText="1"/>
    </xf>
    <xf numFmtId="167" fontId="78" fillId="0" borderId="1" xfId="17" applyNumberFormat="1" applyFont="1" applyBorder="1" applyAlignment="1">
      <alignment horizontal="right" vertical="center"/>
    </xf>
    <xf numFmtId="0" fontId="78" fillId="0" borderId="1" xfId="0" applyFont="1" applyBorder="1" applyAlignment="1">
      <alignment horizontal="center" vertical="center"/>
    </xf>
    <xf numFmtId="0" fontId="79" fillId="0" borderId="1" xfId="0" applyFont="1" applyBorder="1" applyAlignment="1">
      <alignment horizontal="center" vertical="center"/>
    </xf>
    <xf numFmtId="167" fontId="78" fillId="0" borderId="1" xfId="17" applyNumberFormat="1" applyFont="1" applyBorder="1" applyAlignment="1">
      <alignment horizontal="center" vertical="center"/>
    </xf>
    <xf numFmtId="167" fontId="57" fillId="0" borderId="1" xfId="17" applyNumberFormat="1" applyFont="1" applyBorder="1" applyAlignment="1">
      <alignment horizontal="right" vertical="center"/>
    </xf>
    <xf numFmtId="167" fontId="10" fillId="0" borderId="1" xfId="17" applyNumberFormat="1" applyFont="1" applyBorder="1" applyAlignment="1">
      <alignment horizontal="right" vertical="center"/>
    </xf>
    <xf numFmtId="177" fontId="4" fillId="0" borderId="6" xfId="24" applyNumberFormat="1" applyFont="1" applyFill="1" applyBorder="1" applyAlignment="1">
      <alignment horizontal="center" textRotation="90"/>
    </xf>
    <xf numFmtId="177" fontId="4" fillId="0" borderId="8" xfId="24" applyNumberFormat="1" applyFont="1" applyFill="1" applyBorder="1" applyAlignment="1">
      <alignment horizontal="center" textRotation="90"/>
    </xf>
    <xf numFmtId="177" fontId="4" fillId="0" borderId="1" xfId="24" applyNumberFormat="1" applyFont="1" applyFill="1" applyBorder="1" applyAlignment="1">
      <alignment horizontal="center"/>
    </xf>
    <xf numFmtId="177" fontId="4" fillId="0" borderId="1" xfId="24" applyNumberFormat="1" applyFont="1" applyFill="1" applyBorder="1" applyAlignment="1">
      <alignment horizontal="center" textRotation="90"/>
    </xf>
    <xf numFmtId="178" fontId="4" fillId="0" borderId="1" xfId="24" applyNumberFormat="1" applyFont="1" applyFill="1" applyBorder="1" applyAlignment="1">
      <alignment horizontal="center" textRotation="90"/>
    </xf>
    <xf numFmtId="167" fontId="4" fillId="0" borderId="1" xfId="1" applyNumberFormat="1" applyFont="1" applyFill="1" applyBorder="1" applyAlignment="1">
      <alignment horizontal="center" textRotation="90"/>
    </xf>
    <xf numFmtId="177" fontId="77" fillId="0" borderId="0" xfId="24" applyNumberFormat="1" applyFont="1" applyFill="1" applyAlignment="1">
      <alignment horizontal="center"/>
    </xf>
    <xf numFmtId="177" fontId="18" fillId="0" borderId="0" xfId="24" applyNumberFormat="1" applyFont="1" applyFill="1" applyAlignment="1">
      <alignment horizontal="center"/>
    </xf>
    <xf numFmtId="0" fontId="3" fillId="0" borderId="15" xfId="24" applyFont="1" applyFill="1" applyBorder="1" applyAlignment="1">
      <alignment horizontal="left" vertical="center" wrapText="1"/>
    </xf>
    <xf numFmtId="0" fontId="3" fillId="0" borderId="1" xfId="24" applyFont="1" applyFill="1" applyBorder="1" applyAlignment="1">
      <alignment horizontal="left" vertical="center"/>
    </xf>
    <xf numFmtId="0" fontId="3" fillId="0" borderId="15" xfId="24" applyFont="1" applyFill="1" applyBorder="1" applyAlignment="1">
      <alignment horizontal="left" vertical="center"/>
    </xf>
    <xf numFmtId="0" fontId="3" fillId="0" borderId="1" xfId="24" applyFont="1" applyFill="1" applyBorder="1" applyAlignment="1">
      <alignment horizontal="center" vertical="center"/>
    </xf>
    <xf numFmtId="182" fontId="4" fillId="0" borderId="1" xfId="340" applyFont="1" applyFill="1" applyBorder="1" applyAlignment="1">
      <alignment horizontal="center" vertical="justify" textRotation="90" wrapText="1"/>
    </xf>
    <xf numFmtId="0" fontId="4" fillId="0" borderId="1" xfId="24" applyNumberFormat="1" applyFont="1" applyFill="1" applyBorder="1" applyAlignment="1">
      <alignment horizontal="center" vertical="justify" textRotation="90"/>
    </xf>
    <xf numFmtId="0" fontId="6" fillId="0" borderId="13" xfId="24" applyNumberFormat="1" applyFont="1" applyFill="1" applyBorder="1" applyAlignment="1">
      <alignment horizontal="center" vertical="center" wrapText="1"/>
    </xf>
    <xf numFmtId="0" fontId="3" fillId="0" borderId="13" xfId="24" applyFont="1" applyFill="1" applyBorder="1"/>
    <xf numFmtId="0" fontId="4" fillId="0" borderId="13" xfId="24" applyNumberFormat="1" applyFont="1" applyFill="1" applyBorder="1" applyAlignment="1">
      <alignment horizontal="center" vertical="justify" textRotation="90" wrapText="1"/>
    </xf>
    <xf numFmtId="170" fontId="43" fillId="0" borderId="6" xfId="6" applyNumberFormat="1" applyFont="1" applyFill="1" applyBorder="1" applyAlignment="1">
      <alignment horizontal="center" textRotation="90" wrapText="1"/>
    </xf>
    <xf numFmtId="170" fontId="43" fillId="0" borderId="8" xfId="6" applyNumberFormat="1" applyFont="1" applyFill="1" applyBorder="1" applyAlignment="1">
      <alignment horizontal="center" textRotation="90" wrapText="1"/>
    </xf>
    <xf numFmtId="170" fontId="4" fillId="0" borderId="37" xfId="6" applyNumberFormat="1" applyFont="1" applyFill="1" applyBorder="1" applyAlignment="1">
      <alignment horizontal="center" vertical="center" wrapText="1"/>
    </xf>
    <xf numFmtId="170" fontId="4" fillId="0" borderId="22" xfId="6" applyNumberFormat="1" applyFont="1" applyFill="1" applyBorder="1" applyAlignment="1">
      <alignment horizontal="center" vertical="center" wrapText="1"/>
    </xf>
    <xf numFmtId="170" fontId="4" fillId="0" borderId="38" xfId="6" applyNumberFormat="1" applyFont="1" applyFill="1" applyBorder="1" applyAlignment="1">
      <alignment horizontal="center" vertical="center" wrapText="1"/>
    </xf>
    <xf numFmtId="170" fontId="2" fillId="0" borderId="0" xfId="6" quotePrefix="1" applyNumberFormat="1" applyFont="1" applyFill="1" applyBorder="1" applyAlignment="1">
      <alignment horizontal="left" vertical="center" wrapText="1"/>
    </xf>
    <xf numFmtId="170" fontId="4" fillId="0" borderId="0" xfId="6" applyNumberFormat="1" applyFont="1" applyFill="1" applyBorder="1" applyAlignment="1">
      <alignment horizontal="center" vertical="center" wrapText="1"/>
    </xf>
    <xf numFmtId="170" fontId="43" fillId="0" borderId="1" xfId="6" applyNumberFormat="1" applyFont="1" applyFill="1" applyBorder="1" applyAlignment="1">
      <alignment horizontal="center" textRotation="90" wrapText="1"/>
    </xf>
    <xf numFmtId="170" fontId="4" fillId="0" borderId="1" xfId="6" applyNumberFormat="1" applyFont="1" applyFill="1" applyBorder="1" applyAlignment="1">
      <alignment horizontal="center" textRotation="90" wrapText="1"/>
    </xf>
    <xf numFmtId="174" fontId="2" fillId="0" borderId="0" xfId="6" quotePrefix="1" applyNumberFormat="1" applyFont="1" applyFill="1" applyBorder="1" applyAlignment="1">
      <alignment horizontal="left" vertical="center"/>
    </xf>
    <xf numFmtId="174" fontId="2" fillId="0" borderId="36" xfId="6" quotePrefix="1" applyNumberFormat="1" applyFont="1" applyFill="1" applyBorder="1" applyAlignment="1">
      <alignment horizontal="left" vertical="center"/>
    </xf>
    <xf numFmtId="170" fontId="26" fillId="0" borderId="0" xfId="6" applyNumberFormat="1" applyFont="1" applyFill="1" applyAlignment="1">
      <alignment horizontal="center"/>
    </xf>
    <xf numFmtId="2" fontId="25" fillId="0" borderId="34" xfId="6" applyNumberFormat="1" applyFont="1" applyFill="1" applyBorder="1" applyAlignment="1">
      <alignment horizontal="center" vertical="top" wrapText="1"/>
    </xf>
    <xf numFmtId="2" fontId="25" fillId="0" borderId="34" xfId="6" applyNumberFormat="1" applyFont="1" applyFill="1" applyBorder="1" applyAlignment="1">
      <alignment horizontal="center" vertical="top"/>
    </xf>
    <xf numFmtId="170" fontId="43" fillId="0" borderId="12" xfId="6" applyNumberFormat="1" applyFont="1" applyFill="1" applyBorder="1" applyAlignment="1">
      <alignment horizontal="center" vertical="center" textRotation="90" wrapText="1"/>
    </xf>
    <xf numFmtId="170" fontId="43" fillId="0" borderId="15" xfId="6" applyNumberFormat="1" applyFont="1" applyFill="1" applyBorder="1" applyAlignment="1">
      <alignment horizontal="center" vertical="center" textRotation="90" wrapText="1"/>
    </xf>
    <xf numFmtId="170" fontId="43" fillId="0" borderId="13" xfId="6" applyNumberFormat="1" applyFont="1" applyFill="1" applyBorder="1" applyAlignment="1">
      <alignment horizontal="center" textRotation="90" wrapText="1"/>
    </xf>
    <xf numFmtId="170" fontId="4" fillId="0" borderId="13" xfId="6" applyNumberFormat="1" applyFont="1" applyFill="1" applyBorder="1" applyAlignment="1">
      <alignment horizontal="center" textRotation="90" wrapText="1"/>
    </xf>
    <xf numFmtId="170" fontId="43" fillId="0" borderId="37" xfId="6" applyNumberFormat="1" applyFont="1" applyFill="1" applyBorder="1" applyAlignment="1">
      <alignment horizontal="center" vertical="center" wrapText="1"/>
    </xf>
    <xf numFmtId="170" fontId="43" fillId="0" borderId="22" xfId="6" applyNumberFormat="1" applyFont="1" applyFill="1" applyBorder="1" applyAlignment="1">
      <alignment horizontal="center" vertical="center" wrapText="1"/>
    </xf>
    <xf numFmtId="170" fontId="43" fillId="0" borderId="38" xfId="6" applyNumberFormat="1" applyFont="1" applyFill="1" applyBorder="1" applyAlignment="1">
      <alignment horizontal="center" vertical="center" wrapText="1"/>
    </xf>
    <xf numFmtId="170" fontId="4" fillId="0" borderId="14" xfId="6" applyNumberFormat="1" applyFont="1" applyFill="1" applyBorder="1" applyAlignment="1">
      <alignment horizontal="center" textRotation="90" wrapText="1"/>
    </xf>
    <xf numFmtId="170" fontId="4" fillId="0" borderId="16" xfId="6" applyNumberFormat="1" applyFont="1" applyFill="1" applyBorder="1" applyAlignment="1">
      <alignment horizontal="center" textRotation="90" wrapText="1"/>
    </xf>
    <xf numFmtId="174" fontId="2" fillId="0" borderId="0" xfId="6" quotePrefix="1" applyNumberFormat="1" applyFont="1" applyFill="1" applyBorder="1" applyAlignment="1">
      <alignment horizontal="left" vertical="center" wrapText="1"/>
    </xf>
    <xf numFmtId="174" fontId="4" fillId="0" borderId="0" xfId="6" applyNumberFormat="1" applyFont="1" applyFill="1" applyBorder="1" applyAlignment="1">
      <alignment horizontal="center" vertical="center" wrapText="1"/>
    </xf>
    <xf numFmtId="0" fontId="66" fillId="0" borderId="0" xfId="0" applyFont="1" applyAlignment="1">
      <alignment horizontal="center" vertical="center" wrapText="1"/>
    </xf>
    <xf numFmtId="0" fontId="52" fillId="0" borderId="0" xfId="0" applyFont="1" applyAlignment="1">
      <alignment horizontal="left" vertical="center" wrapText="1"/>
    </xf>
    <xf numFmtId="49" fontId="73" fillId="10" borderId="43" xfId="0" applyNumberFormat="1" applyFont="1" applyFill="1" applyBorder="1" applyAlignment="1">
      <alignment horizontal="left" vertical="center"/>
    </xf>
    <xf numFmtId="49" fontId="73" fillId="10" borderId="33" xfId="0" applyNumberFormat="1" applyFont="1" applyFill="1" applyBorder="1" applyAlignment="1">
      <alignment horizontal="left" vertical="center"/>
    </xf>
    <xf numFmtId="49" fontId="73" fillId="10" borderId="44" xfId="0" applyNumberFormat="1" applyFont="1" applyFill="1" applyBorder="1" applyAlignment="1">
      <alignment horizontal="left" vertical="center"/>
    </xf>
    <xf numFmtId="0" fontId="70" fillId="0" borderId="0" xfId="0" applyFont="1" applyAlignment="1">
      <alignment horizontal="left"/>
    </xf>
    <xf numFmtId="0" fontId="71" fillId="0" borderId="0" xfId="0" applyFont="1" applyAlignment="1">
      <alignment horizontal="center"/>
    </xf>
    <xf numFmtId="0" fontId="72" fillId="0" borderId="0" xfId="0" applyFont="1" applyAlignment="1">
      <alignment horizontal="left" vertical="center"/>
    </xf>
    <xf numFmtId="0" fontId="3" fillId="0" borderId="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2" xfId="0" applyFont="1" applyBorder="1" applyAlignment="1">
      <alignment horizontal="center" vertical="center" wrapText="1"/>
    </xf>
    <xf numFmtId="0" fontId="56" fillId="0" borderId="1" xfId="0"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9" xfId="0" applyFont="1" applyBorder="1" applyAlignment="1">
      <alignment horizontal="center" vertical="center"/>
    </xf>
    <xf numFmtId="0" fontId="3" fillId="0" borderId="42" xfId="0" applyFont="1" applyBorder="1" applyAlignment="1">
      <alignment horizontal="center" vertical="center"/>
    </xf>
    <xf numFmtId="0" fontId="3" fillId="0" borderId="6" xfId="0" applyFont="1" applyBorder="1" applyAlignment="1">
      <alignment horizontal="center" vertical="center" wrapText="1"/>
    </xf>
    <xf numFmtId="0" fontId="0" fillId="0" borderId="8" xfId="0" applyBorder="1" applyAlignment="1">
      <alignment horizontal="center" vertical="center" wrapText="1"/>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6"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6" fillId="0" borderId="4" xfId="0" applyFont="1" applyBorder="1" applyAlignment="1">
      <alignment horizontal="center" vertical="center"/>
    </xf>
    <xf numFmtId="0" fontId="3" fillId="0" borderId="2" xfId="0" applyFont="1" applyBorder="1" applyAlignment="1">
      <alignment horizontal="center"/>
    </xf>
    <xf numFmtId="0" fontId="0" fillId="0" borderId="5" xfId="0" applyBorder="1" applyAlignment="1">
      <alignment horizontal="center"/>
    </xf>
    <xf numFmtId="0" fontId="3" fillId="0" borderId="1" xfId="0" applyFont="1" applyBorder="1" applyAlignment="1">
      <alignment horizontal="center" vertical="center"/>
    </xf>
    <xf numFmtId="0" fontId="3" fillId="12" borderId="1" xfId="0" applyFont="1" applyFill="1" applyBorder="1" applyAlignment="1">
      <alignment horizontal="center" vertical="center"/>
    </xf>
    <xf numFmtId="0" fontId="3" fillId="0" borderId="8" xfId="0" applyFont="1" applyBorder="1" applyAlignment="1">
      <alignment horizontal="center" vertical="center" wrapText="1"/>
    </xf>
    <xf numFmtId="0" fontId="6" fillId="0" borderId="0" xfId="0" applyFont="1" applyBorder="1" applyAlignment="1">
      <alignment horizontal="center" vertical="center"/>
    </xf>
    <xf numFmtId="0" fontId="58" fillId="0" borderId="2"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3" xfId="0" applyFont="1" applyBorder="1" applyAlignment="1">
      <alignment horizontal="center" vertical="center"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58" fillId="0" borderId="2" xfId="0" applyFont="1" applyBorder="1" applyAlignment="1">
      <alignment horizontal="center" wrapText="1"/>
    </xf>
    <xf numFmtId="0" fontId="58" fillId="0" borderId="5" xfId="0" applyFont="1" applyBorder="1" applyAlignment="1">
      <alignment horizontal="center" wrapText="1"/>
    </xf>
    <xf numFmtId="0" fontId="58" fillId="0" borderId="3" xfId="0" applyFont="1" applyBorder="1" applyAlignment="1">
      <alignment horizontal="center" wrapText="1"/>
    </xf>
    <xf numFmtId="0" fontId="55" fillId="0" borderId="4" xfId="0" applyFont="1" applyBorder="1" applyAlignment="1">
      <alignment horizontal="left" vertical="center"/>
    </xf>
    <xf numFmtId="0" fontId="58" fillId="0" borderId="0" xfId="0" applyFont="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xf>
    <xf numFmtId="0" fontId="18" fillId="0" borderId="0" xfId="0" applyFont="1" applyAlignment="1">
      <alignment horizontal="center"/>
    </xf>
    <xf numFmtId="0" fontId="0" fillId="0" borderId="10" xfId="0" applyBorder="1" applyAlignment="1">
      <alignment horizontal="center" vertical="center" wrapText="1"/>
    </xf>
    <xf numFmtId="167" fontId="1" fillId="0" borderId="2" xfId="1" applyNumberFormat="1" applyFont="1" applyBorder="1" applyAlignment="1">
      <alignment horizontal="center"/>
    </xf>
    <xf numFmtId="167" fontId="1" fillId="0" borderId="3" xfId="1" applyNumberFormat="1" applyFont="1" applyBorder="1" applyAlignment="1">
      <alignment horizontal="center"/>
    </xf>
    <xf numFmtId="167" fontId="3" fillId="11" borderId="2" xfId="1" applyNumberFormat="1" applyFont="1" applyFill="1" applyBorder="1" applyAlignment="1">
      <alignment horizontal="center"/>
    </xf>
    <xf numFmtId="167" fontId="3" fillId="11" borderId="3" xfId="1" applyNumberFormat="1" applyFont="1" applyFill="1" applyBorder="1" applyAlignment="1">
      <alignment horizontal="center"/>
    </xf>
    <xf numFmtId="0" fontId="27" fillId="2" borderId="4" xfId="0" applyFont="1" applyFill="1" applyBorder="1" applyAlignment="1">
      <alignment horizontal="right" vertical="center" wrapText="1"/>
    </xf>
  </cellXfs>
  <cellStyles count="654">
    <cellStyle name="_x0001_" xfId="32"/>
    <cellStyle name="??" xfId="33"/>
    <cellStyle name="?? [0.00]_List-dwg" xfId="34"/>
    <cellStyle name="?? [0]" xfId="35"/>
    <cellStyle name="?_x001d_??%U©÷u&amp;H©÷9_x0008_? s_x000a__x0007__x0001__x0001_" xfId="36"/>
    <cellStyle name="???? [0.00]_List-dwg" xfId="37"/>
    <cellStyle name="????_List-dwg" xfId="38"/>
    <cellStyle name="???[0]_Book1" xfId="39"/>
    <cellStyle name="???_???" xfId="40"/>
    <cellStyle name="??_(????)??????" xfId="41"/>
    <cellStyle name="??A? [0]_laroux_1_¢¬???¢â? " xfId="42"/>
    <cellStyle name="??A?_laroux_1_¢¬???¢â? " xfId="43"/>
    <cellStyle name="?¡±¢¥?_?¨ù??¢´¢¥_¢¬???¢â? " xfId="44"/>
    <cellStyle name="?ðÇ%U?&amp;H?_x0008_?s_x000a__x0007__x0001__x0001_" xfId="45"/>
    <cellStyle name="_KT (2)" xfId="46"/>
    <cellStyle name="_KT (2)_1" xfId="47"/>
    <cellStyle name="_KT (2)_1_Lora-tungchau" xfId="48"/>
    <cellStyle name="_KT (2)_1_Qt-HT3PQ1(CauKho)" xfId="49"/>
    <cellStyle name="_KT (2)_2" xfId="50"/>
    <cellStyle name="_KT (2)_2_CapNgam_TBA1500+3000+3000+3000kva_kin" xfId="343"/>
    <cellStyle name="_KT (2)_2_CapNgam_TBA2000kin_Myxuan" xfId="344"/>
    <cellStyle name="_KT (2)_2_DT TRAM 180 GIAN" xfId="345"/>
    <cellStyle name="_KT (2)_2_Du toan 3x3000+1x2000kVA " xfId="346"/>
    <cellStyle name="_KT (2)_2_Du toan 800kVA TRUONG CONG DINH sd1" xfId="347"/>
    <cellStyle name="_KT (2)_2_TG-TH" xfId="51"/>
    <cellStyle name="_KT (2)_2_TG-TH_320m_CapNgam_TBA3x50 " xfId="348"/>
    <cellStyle name="_KT (2)_2_TG-TH_BC SCL Thang 11 Xong" xfId="52"/>
    <cellStyle name="_KT (2)_2_TG-TH_Book1" xfId="53"/>
    <cellStyle name="_KT (2)_2_TG-TH_Book1_1" xfId="349"/>
    <cellStyle name="_KT (2)_2_TG-TH_Book1_CapNgam_TBA1500+3000+3000+3000kva_kin" xfId="350"/>
    <cellStyle name="_KT (2)_2_TG-TH_CapNgam_TBA1500+3000+3000+3000kva_kin" xfId="351"/>
    <cellStyle name="_KT (2)_2_TG-TH_CapNgam_TBA2000kin_Myxuan" xfId="352"/>
    <cellStyle name="_KT (2)_2_TG-TH_DAU NOI PL-CL TAI PHU LAMHC" xfId="54"/>
    <cellStyle name="_KT (2)_2_TG-TH_dieu_chinhTK_ duong day _TBA_560" xfId="353"/>
    <cellStyle name="_KT (2)_2_TG-TH_DT TRAM 180 GIAN" xfId="354"/>
    <cellStyle name="_KT (2)_2_TG-TH_dt tram 750 sua" xfId="355"/>
    <cellStyle name="_KT (2)_2_TG-TH_Du toan 3x3000+1x2000kVA " xfId="356"/>
    <cellStyle name="_KT (2)_2_TG-TH_Du toan 800kVA TRUONG CONG DINH sd1" xfId="357"/>
    <cellStyle name="_KT (2)_2_TG-TH_Du toanCN_ 1000kVA_HOP BO " xfId="358"/>
    <cellStyle name="_KT (2)_2_TG-TH_Du toanCN_ 250kVA cap dien cho khach san HOP BO sua dung" xfId="55"/>
    <cellStyle name="_KT (2)_2_TG-TH_Lora-tungchau" xfId="56"/>
    <cellStyle name="_KT (2)_2_TG-TH_muong cap DH My Thuat" xfId="359"/>
    <cellStyle name="_KT (2)_2_TG-TH_Qt-HT3PQ1(CauKho)" xfId="57"/>
    <cellStyle name="_KT (2)_2_TG-TH_quanghung" xfId="360"/>
    <cellStyle name="_KT (2)_2_TG-TH_tba 2000kVA CAP TRAN ason sua" xfId="361"/>
    <cellStyle name="_KT (2)_2_TG-TH_TBA_3x25KVA_40met_trungthe" xfId="362"/>
    <cellStyle name="_KT (2)_2_TG-TH_Tienluong_for_DMNC-366 theo 205-chinh" xfId="58"/>
    <cellStyle name="_KT (2)_2_TG-TH_TK_ duong day-22" xfId="363"/>
    <cellStyle name="_KT (2)_2_TG-TH_trAM 750KVA" xfId="364"/>
    <cellStyle name="_KT (2)_3" xfId="59"/>
    <cellStyle name="_KT (2)_3_TG-TH" xfId="60"/>
    <cellStyle name="_KT (2)_3_TG-TH_Lora-tungchau" xfId="61"/>
    <cellStyle name="_KT (2)_3_TG-TH_Lora-tungchau_Tienluong_for_DMNC-366 theo 205-chinh" xfId="62"/>
    <cellStyle name="_KT (2)_3_TG-TH_PERSONAL" xfId="63"/>
    <cellStyle name="_KT (2)_3_TG-TH_PERSONAL_320m_CapNgam_TBA3x50 " xfId="365"/>
    <cellStyle name="_KT (2)_3_TG-TH_PERSONAL_Book1" xfId="366"/>
    <cellStyle name="_KT (2)_3_TG-TH_PERSONAL_Book1_1" xfId="367"/>
    <cellStyle name="_KT (2)_3_TG-TH_PERSONAL_CapNgam_duongday_SaoMai" xfId="368"/>
    <cellStyle name="_KT (2)_3_TG-TH_PERSONAL_CapNgam_TBA1500+3000+3000+3000kva_kin" xfId="369"/>
    <cellStyle name="_KT (2)_3_TG-TH_PERSONAL_CapNgam_TBA2000kin_Myxuan" xfId="370"/>
    <cellStyle name="_KT (2)_3_TG-TH_PERSONAL_CapNgam_TBA400kin" xfId="371"/>
    <cellStyle name="_KT (2)_3_TG-TH_PERSONAL_CapNgam_TBA400kin sua" xfId="372"/>
    <cellStyle name="_KT (2)_3_TG-TH_PERSONAL_dieu_chinhTK_ duong day _TBA_560" xfId="373"/>
    <cellStyle name="_KT (2)_3_TG-TH_PERSONAL_DT TRAM 180 GIAN" xfId="374"/>
    <cellStyle name="_KT (2)_3_TG-TH_PERSONAL_DT TRAM 180 GIAN dung" xfId="375"/>
    <cellStyle name="_KT (2)_3_TG-TH_PERSONAL_DT TRAM 250 GIAN sua doi" xfId="376"/>
    <cellStyle name="_KT (2)_3_TG-TH_PERSONAL_dt tram 750 sua" xfId="377"/>
    <cellStyle name="_KT (2)_3_TG-TH_PERSONAL_Du toan 3x3000+1x2000kVA " xfId="378"/>
    <cellStyle name="_KT (2)_3_TG-TH_PERSONAL_Du toan 800kVA TRUONG CONG DINH sd1" xfId="379"/>
    <cellStyle name="_KT (2)_3_TG-TH_PERSONAL_Du toanCN_ 1000kVA_HOP BO " xfId="380"/>
    <cellStyle name="_KT (2)_3_TG-TH_PERSONAL_Dutoan (12-02-2009)" xfId="381"/>
    <cellStyle name="_KT (2)_3_TG-TH_PERSONAL_khai toan tram 750KVA" xfId="382"/>
    <cellStyle name="_KT (2)_3_TG-TH_PERSONAL_TBA 1000KVA_hala" xfId="383"/>
    <cellStyle name="_KT (2)_3_TG-TH_PERSONAL_TBA_3x25KVA_40met_trungthe" xfId="384"/>
    <cellStyle name="_KT (2)_3_TG-TH_PERSONAL_TBA_3x50KVA_320met_trungthe" xfId="385"/>
    <cellStyle name="_KT (2)_3_TG-TH_PERSONAL_TBA_75KVA_10met_trungthe" xfId="386"/>
    <cellStyle name="_KT (2)_3_TG-TH_PERSONAL_TK_ duong day-22" xfId="387"/>
    <cellStyle name="_KT (2)_3_TG-TH_PERSONAL_Tong hop KHCB 2001" xfId="64"/>
    <cellStyle name="_KT (2)_3_TG-TH_PERSONAL_trAM 750KVA" xfId="388"/>
    <cellStyle name="_KT (2)_3_TG-TH_Qt-HT3PQ1(CauKho)" xfId="65"/>
    <cellStyle name="_KT (2)_3_TG-TH_Tienluong_for_DMNC-366 theo 205-chinh" xfId="66"/>
    <cellStyle name="_KT (2)_4" xfId="67"/>
    <cellStyle name="_KT (2)_4_320m_CapNgam_TBA3x50 " xfId="389"/>
    <cellStyle name="_KT (2)_4_BC SCL Thang 11 Xong" xfId="68"/>
    <cellStyle name="_KT (2)_4_Book1" xfId="69"/>
    <cellStyle name="_KT (2)_4_Book1_1" xfId="390"/>
    <cellStyle name="_KT (2)_4_Book1_1_DN_MTP" xfId="340"/>
    <cellStyle name="_KT (2)_4_Book1_CapNgam_TBA1500+3000+3000+3000kva_kin" xfId="391"/>
    <cellStyle name="_KT (2)_4_CapNgam_TBA1500+3000+3000+3000kva_kin" xfId="392"/>
    <cellStyle name="_KT (2)_4_CapNgam_TBA2000kin_Myxuan" xfId="393"/>
    <cellStyle name="_KT (2)_4_DAU NOI PL-CL TAI PHU LAMHC" xfId="70"/>
    <cellStyle name="_KT (2)_4_dieu_chinhTK_ duong day _TBA_560" xfId="394"/>
    <cellStyle name="_KT (2)_4_DT TRAM 180 GIAN" xfId="395"/>
    <cellStyle name="_KT (2)_4_dt tram 750 sua" xfId="396"/>
    <cellStyle name="_KT (2)_4_Du toan 3x3000+1x2000kVA " xfId="397"/>
    <cellStyle name="_KT (2)_4_Du toan 800kVA TRUONG CONG DINH sd1" xfId="398"/>
    <cellStyle name="_KT (2)_4_Du toanCN_ 1000kVA_HOP BO " xfId="399"/>
    <cellStyle name="_KT (2)_4_Du toanCN_ 250kVA cap dien cho khach san HOP BO sua dung" xfId="71"/>
    <cellStyle name="_KT (2)_4_Lora-tungchau" xfId="72"/>
    <cellStyle name="_KT (2)_4_muong cap DH My Thuat" xfId="400"/>
    <cellStyle name="_KT (2)_4_Qt-HT3PQ1(CauKho)" xfId="73"/>
    <cellStyle name="_KT (2)_4_quanghung" xfId="401"/>
    <cellStyle name="_KT (2)_4_tba 2000kVA CAP TRAN ason sua" xfId="402"/>
    <cellStyle name="_KT (2)_4_TBA_3x25KVA_40met_trungthe" xfId="403"/>
    <cellStyle name="_KT (2)_4_TG-TH" xfId="74"/>
    <cellStyle name="_KT (2)_4_TG-TH_CapNgam_TBA1500+3000+3000+3000kva_kin" xfId="404"/>
    <cellStyle name="_KT (2)_4_TG-TH_CapNgam_TBA2000kin_Myxuan" xfId="405"/>
    <cellStyle name="_KT (2)_4_TG-TH_DT TRAM 180 GIAN" xfId="406"/>
    <cellStyle name="_KT (2)_4_TG-TH_Du toan 3x3000+1x2000kVA " xfId="407"/>
    <cellStyle name="_KT (2)_4_TG-TH_Du toan 800kVA TRUONG CONG DINH sd1" xfId="408"/>
    <cellStyle name="_KT (2)_4_Tienluong_for_DMNC-366 theo 205-chinh" xfId="75"/>
    <cellStyle name="_KT (2)_4_TK_ duong day-22" xfId="409"/>
    <cellStyle name="_KT (2)_4_trAM 750KVA" xfId="410"/>
    <cellStyle name="_KT (2)_5" xfId="76"/>
    <cellStyle name="_KT (2)_5_320m_CapNgam_TBA3x50 " xfId="411"/>
    <cellStyle name="_KT (2)_5_BC SCL Thang 11 Xong" xfId="77"/>
    <cellStyle name="_KT (2)_5_Book1" xfId="78"/>
    <cellStyle name="_KT (2)_5_Book1_1" xfId="412"/>
    <cellStyle name="_KT (2)_5_Book1_CapNgam_TBA1500+3000+3000+3000kva_kin" xfId="413"/>
    <cellStyle name="_KT (2)_5_CapNgam_TBA1500+3000+3000+3000kva_kin" xfId="414"/>
    <cellStyle name="_KT (2)_5_CapNgam_TBA2000kin_Myxuan" xfId="415"/>
    <cellStyle name="_KT (2)_5_DAU NOI PL-CL TAI PHU LAMHC" xfId="79"/>
    <cellStyle name="_KT (2)_5_dieu_chinhTK_ duong day _TBA_560" xfId="416"/>
    <cellStyle name="_KT (2)_5_DT TRAM 180 GIAN" xfId="417"/>
    <cellStyle name="_KT (2)_5_dt tram 750 sua" xfId="418"/>
    <cellStyle name="_KT (2)_5_Du toan 3x3000+1x2000kVA " xfId="419"/>
    <cellStyle name="_KT (2)_5_Du toan 800kVA TRUONG CONG DINH sd1" xfId="420"/>
    <cellStyle name="_KT (2)_5_Du toanCN_ 1000kVA_HOP BO " xfId="421"/>
    <cellStyle name="_KT (2)_5_Du toanCN_ 250kVA cap dien cho khach san HOP BO sua dung" xfId="80"/>
    <cellStyle name="_KT (2)_5_Lora-tungchau" xfId="81"/>
    <cellStyle name="_KT (2)_5_muong cap DH My Thuat" xfId="422"/>
    <cellStyle name="_KT (2)_5_Qt-HT3PQ1(CauKho)" xfId="82"/>
    <cellStyle name="_KT (2)_5_quanghung" xfId="423"/>
    <cellStyle name="_KT (2)_5_tba 2000kVA CAP TRAN ason sua" xfId="424"/>
    <cellStyle name="_KT (2)_5_TBA_3x25KVA_40met_trungthe" xfId="425"/>
    <cellStyle name="_KT (2)_5_Tienluong_for_DMNC-366 theo 205-chinh" xfId="83"/>
    <cellStyle name="_KT (2)_5_TK_ duong day-22" xfId="426"/>
    <cellStyle name="_KT (2)_5_trAM 750KVA" xfId="427"/>
    <cellStyle name="_KT (2)_Lora-tungchau" xfId="84"/>
    <cellStyle name="_KT (2)_Lora-tungchau_Tienluong_for_DMNC-366 theo 205-chinh" xfId="85"/>
    <cellStyle name="_KT (2)_PERSONAL" xfId="86"/>
    <cellStyle name="_KT (2)_PERSONAL_320m_CapNgam_TBA3x50 " xfId="428"/>
    <cellStyle name="_KT (2)_PERSONAL_Book1" xfId="429"/>
    <cellStyle name="_KT (2)_PERSONAL_Book1_1" xfId="430"/>
    <cellStyle name="_KT (2)_PERSONAL_CapNgam_duongday_SaoMai" xfId="431"/>
    <cellStyle name="_KT (2)_PERSONAL_CapNgam_TBA1500+3000+3000+3000kva_kin" xfId="432"/>
    <cellStyle name="_KT (2)_PERSONAL_CapNgam_TBA2000kin_Myxuan" xfId="433"/>
    <cellStyle name="_KT (2)_PERSONAL_CapNgam_TBA400kin" xfId="434"/>
    <cellStyle name="_KT (2)_PERSONAL_CapNgam_TBA400kin sua" xfId="435"/>
    <cellStyle name="_KT (2)_PERSONAL_dieu_chinhTK_ duong day _TBA_560" xfId="436"/>
    <cellStyle name="_KT (2)_PERSONAL_DT TRAM 180 GIAN" xfId="437"/>
    <cellStyle name="_KT (2)_PERSONAL_DT TRAM 180 GIAN dung" xfId="438"/>
    <cellStyle name="_KT (2)_PERSONAL_DT TRAM 250 GIAN sua doi" xfId="439"/>
    <cellStyle name="_KT (2)_PERSONAL_dt tram 750 sua" xfId="440"/>
    <cellStyle name="_KT (2)_PERSONAL_Du toan 3x3000+1x2000kVA " xfId="441"/>
    <cellStyle name="_KT (2)_PERSONAL_Du toan 800kVA TRUONG CONG DINH sd1" xfId="442"/>
    <cellStyle name="_KT (2)_PERSONAL_Du toanCN_ 1000kVA_HOP BO " xfId="443"/>
    <cellStyle name="_KT (2)_PERSONAL_Dutoan (12-02-2009)" xfId="444"/>
    <cellStyle name="_KT (2)_PERSONAL_khai toan tram 750KVA" xfId="445"/>
    <cellStyle name="_KT (2)_PERSONAL_TBA 1000KVA_hala" xfId="446"/>
    <cellStyle name="_KT (2)_PERSONAL_TBA_3x25KVA_40met_trungthe" xfId="447"/>
    <cellStyle name="_KT (2)_PERSONAL_TBA_3x50KVA_320met_trungthe" xfId="448"/>
    <cellStyle name="_KT (2)_PERSONAL_TBA_75KVA_10met_trungthe" xfId="449"/>
    <cellStyle name="_KT (2)_PERSONAL_TK_ duong day-22" xfId="450"/>
    <cellStyle name="_KT (2)_PERSONAL_Tong hop KHCB 2001" xfId="87"/>
    <cellStyle name="_KT (2)_PERSONAL_trAM 750KVA" xfId="451"/>
    <cellStyle name="_KT (2)_Qt-HT3PQ1(CauKho)" xfId="88"/>
    <cellStyle name="_KT (2)_TG-TH" xfId="89"/>
    <cellStyle name="_KT (2)_Tienluong_for_DMNC-366 theo 205-chinh" xfId="90"/>
    <cellStyle name="_KT_TG" xfId="91"/>
    <cellStyle name="_KT_TG_1" xfId="92"/>
    <cellStyle name="_KT_TG_1_320m_CapNgam_TBA3x50 " xfId="452"/>
    <cellStyle name="_KT_TG_1_BC SCL Thang 11 Xong" xfId="93"/>
    <cellStyle name="_KT_TG_1_Book1" xfId="94"/>
    <cellStyle name="_KT_TG_1_Book1_1" xfId="453"/>
    <cellStyle name="_KT_TG_1_Book1_CapNgam_TBA1500+3000+3000+3000kva_kin" xfId="454"/>
    <cellStyle name="_KT_TG_1_CapNgam_TBA1500+3000+3000+3000kva_kin" xfId="455"/>
    <cellStyle name="_KT_TG_1_CapNgam_TBA2000kin_Myxuan" xfId="456"/>
    <cellStyle name="_KT_TG_1_DAU NOI PL-CL TAI PHU LAMHC" xfId="95"/>
    <cellStyle name="_KT_TG_1_dieu_chinhTK_ duong day _TBA_560" xfId="457"/>
    <cellStyle name="_KT_TG_1_DT TRAM 180 GIAN" xfId="458"/>
    <cellStyle name="_KT_TG_1_dt tram 750 sua" xfId="459"/>
    <cellStyle name="_KT_TG_1_Du toan 3x3000+1x2000kVA " xfId="460"/>
    <cellStyle name="_KT_TG_1_Du toan 800kVA TRUONG CONG DINH sd1" xfId="461"/>
    <cellStyle name="_KT_TG_1_Du toanCN_ 1000kVA_HOP BO " xfId="462"/>
    <cellStyle name="_KT_TG_1_Du toanCN_ 250kVA cap dien cho khach san HOP BO sua dung" xfId="96"/>
    <cellStyle name="_KT_TG_1_Lora-tungchau" xfId="97"/>
    <cellStyle name="_KT_TG_1_muong cap DH My Thuat" xfId="463"/>
    <cellStyle name="_KT_TG_1_Qt-HT3PQ1(CauKho)" xfId="98"/>
    <cellStyle name="_KT_TG_1_quanghung" xfId="464"/>
    <cellStyle name="_KT_TG_1_tba 2000kVA CAP TRAN ason sua" xfId="465"/>
    <cellStyle name="_KT_TG_1_TBA_3x25KVA_40met_trungthe" xfId="466"/>
    <cellStyle name="_KT_TG_1_Tienluong_for_DMNC-366 theo 205-chinh" xfId="99"/>
    <cellStyle name="_KT_TG_1_TK_ duong day-22" xfId="467"/>
    <cellStyle name="_KT_TG_1_trAM 750KVA" xfId="468"/>
    <cellStyle name="_KT_TG_2" xfId="100"/>
    <cellStyle name="_KT_TG_2_320m_CapNgam_TBA3x50 " xfId="469"/>
    <cellStyle name="_KT_TG_2_BC SCL Thang 11 Xong" xfId="101"/>
    <cellStyle name="_KT_TG_2_Book1" xfId="102"/>
    <cellStyle name="_KT_TG_2_Book1_1" xfId="470"/>
    <cellStyle name="_KT_TG_2_Book1_CapNgam_TBA1500+3000+3000+3000kva_kin" xfId="471"/>
    <cellStyle name="_KT_TG_2_CapNgam_TBA1500+3000+3000+3000kva_kin" xfId="472"/>
    <cellStyle name="_KT_TG_2_CapNgam_TBA2000kin_Myxuan" xfId="473"/>
    <cellStyle name="_KT_TG_2_DAU NOI PL-CL TAI PHU LAMHC" xfId="103"/>
    <cellStyle name="_KT_TG_2_dieu_chinhTK_ duong day _TBA_560" xfId="474"/>
    <cellStyle name="_KT_TG_2_DT TRAM 180 GIAN" xfId="475"/>
    <cellStyle name="_KT_TG_2_dt tram 750 sua" xfId="476"/>
    <cellStyle name="_KT_TG_2_Du toan 3x3000+1x2000kVA " xfId="477"/>
    <cellStyle name="_KT_TG_2_Du toan 800kVA TRUONG CONG DINH sd1" xfId="478"/>
    <cellStyle name="_KT_TG_2_Du toanCN_ 1000kVA_HOP BO " xfId="479"/>
    <cellStyle name="_KT_TG_2_Du toanCN_ 250kVA cap dien cho khach san HOP BO sua dung" xfId="104"/>
    <cellStyle name="_KT_TG_2_Lora-tungchau" xfId="105"/>
    <cellStyle name="_KT_TG_2_muong cap DH My Thuat" xfId="480"/>
    <cellStyle name="_KT_TG_2_Qt-HT3PQ1(CauKho)" xfId="106"/>
    <cellStyle name="_KT_TG_2_quanghung" xfId="481"/>
    <cellStyle name="_KT_TG_2_tba 2000kVA CAP TRAN ason sua" xfId="482"/>
    <cellStyle name="_KT_TG_2_TBA_3x25KVA_40met_trungthe" xfId="483"/>
    <cellStyle name="_KT_TG_2_Tienluong_for_DMNC-366 theo 205-chinh" xfId="107"/>
    <cellStyle name="_KT_TG_2_TK_ duong day-22" xfId="484"/>
    <cellStyle name="_KT_TG_2_trAM 750KVA" xfId="485"/>
    <cellStyle name="_KT_TG_3" xfId="108"/>
    <cellStyle name="_KT_TG_4" xfId="109"/>
    <cellStyle name="_KT_TG_4_Lora-tungchau" xfId="110"/>
    <cellStyle name="_KT_TG_4_Qt-HT3PQ1(CauKho)" xfId="111"/>
    <cellStyle name="_KT_TG_CapNgam_TBA1500+3000+3000+3000kva_kin" xfId="486"/>
    <cellStyle name="_KT_TG_CapNgam_TBA2000kin_Myxuan" xfId="487"/>
    <cellStyle name="_KT_TG_DT TRAM 180 GIAN" xfId="488"/>
    <cellStyle name="_KT_TG_Du toan 3x3000+1x2000kVA " xfId="489"/>
    <cellStyle name="_KT_TG_Du toan 800kVA TRUONG CONG DINH sd1" xfId="490"/>
    <cellStyle name="_Lora-tungchau" xfId="112"/>
    <cellStyle name="_Lora-tungchau_Tienluong_for_DMNC-366 theo 205-chinh" xfId="113"/>
    <cellStyle name="_PERSONAL" xfId="114"/>
    <cellStyle name="_PERSONAL_320m_CapNgam_TBA3x50 " xfId="491"/>
    <cellStyle name="_PERSONAL_Book1" xfId="492"/>
    <cellStyle name="_PERSONAL_Book1_1" xfId="493"/>
    <cellStyle name="_PERSONAL_CapNgam_duongday_SaoMai" xfId="494"/>
    <cellStyle name="_PERSONAL_CapNgam_TBA1500+3000+3000+3000kva_kin" xfId="495"/>
    <cellStyle name="_PERSONAL_CapNgam_TBA2000kin_Myxuan" xfId="496"/>
    <cellStyle name="_PERSONAL_CapNgam_TBA400kin" xfId="497"/>
    <cellStyle name="_PERSONAL_CapNgam_TBA400kin sua" xfId="498"/>
    <cellStyle name="_PERSONAL_dieu_chinhTK_ duong day _TBA_560" xfId="499"/>
    <cellStyle name="_PERSONAL_DT TRAM 180 GIAN" xfId="500"/>
    <cellStyle name="_PERSONAL_DT TRAM 180 GIAN dung" xfId="501"/>
    <cellStyle name="_PERSONAL_DT TRAM 250 GIAN sua doi" xfId="502"/>
    <cellStyle name="_PERSONAL_dt tram 750 sua" xfId="503"/>
    <cellStyle name="_PERSONAL_Du toan 3x3000+1x2000kVA " xfId="504"/>
    <cellStyle name="_PERSONAL_Du toan 800kVA TRUONG CONG DINH sd1" xfId="505"/>
    <cellStyle name="_PERSONAL_Du toanCN_ 1000kVA_HOP BO " xfId="506"/>
    <cellStyle name="_PERSONAL_Dutoan (12-02-2009)" xfId="507"/>
    <cellStyle name="_PERSONAL_khai toan tram 750KVA" xfId="508"/>
    <cellStyle name="_PERSONAL_TBA 1000KVA_hala" xfId="509"/>
    <cellStyle name="_PERSONAL_TBA_3x25KVA_40met_trungthe" xfId="510"/>
    <cellStyle name="_PERSONAL_TBA_3x50KVA_320met_trungthe" xfId="511"/>
    <cellStyle name="_PERSONAL_TBA_75KVA_10met_trungthe" xfId="512"/>
    <cellStyle name="_PERSONAL_TK_ duong day-22" xfId="513"/>
    <cellStyle name="_PERSONAL_Tong hop KHCB 2001" xfId="115"/>
    <cellStyle name="_PERSONAL_trAM 750KVA" xfId="514"/>
    <cellStyle name="_Qt-HT3PQ1(CauKho)" xfId="116"/>
    <cellStyle name="_TG-TH" xfId="117"/>
    <cellStyle name="_TG-TH_1" xfId="118"/>
    <cellStyle name="_TG-TH_1_320m_CapNgam_TBA3x50 " xfId="515"/>
    <cellStyle name="_TG-TH_1_BC SCL Thang 11 Xong" xfId="119"/>
    <cellStyle name="_TG-TH_1_Book1" xfId="120"/>
    <cellStyle name="_TG-TH_1_Book1_1" xfId="516"/>
    <cellStyle name="_TG-TH_1_Book1_CapNgam_TBA1500+3000+3000+3000kva_kin" xfId="517"/>
    <cellStyle name="_TG-TH_1_CapNgam_TBA1500+3000+3000+3000kva_kin" xfId="518"/>
    <cellStyle name="_TG-TH_1_CapNgam_TBA2000kin_Myxuan" xfId="519"/>
    <cellStyle name="_TG-TH_1_DAU NOI PL-CL TAI PHU LAMHC" xfId="121"/>
    <cellStyle name="_TG-TH_1_dieu_chinhTK_ duong day _TBA_560" xfId="520"/>
    <cellStyle name="_TG-TH_1_DT TRAM 180 GIAN" xfId="521"/>
    <cellStyle name="_TG-TH_1_dt tram 750 sua" xfId="522"/>
    <cellStyle name="_TG-TH_1_Du toan 3x3000+1x2000kVA " xfId="523"/>
    <cellStyle name="_TG-TH_1_Du toan 800kVA TRUONG CONG DINH sd1" xfId="524"/>
    <cellStyle name="_TG-TH_1_Du toanCN_ 1000kVA_HOP BO " xfId="525"/>
    <cellStyle name="_TG-TH_1_Du toanCN_ 250kVA cap dien cho khach san HOP BO sua dung" xfId="122"/>
    <cellStyle name="_TG-TH_1_Lora-tungchau" xfId="123"/>
    <cellStyle name="_TG-TH_1_muong cap DH My Thuat" xfId="526"/>
    <cellStyle name="_TG-TH_1_Qt-HT3PQ1(CauKho)" xfId="124"/>
    <cellStyle name="_TG-TH_1_quanghung" xfId="527"/>
    <cellStyle name="_TG-TH_1_tba 2000kVA CAP TRAN ason sua" xfId="528"/>
    <cellStyle name="_TG-TH_1_TBA_3x25KVA_40met_trungthe" xfId="529"/>
    <cellStyle name="_TG-TH_1_Tienluong_for_DMNC-366 theo 205-chinh" xfId="125"/>
    <cellStyle name="_TG-TH_1_TK_ duong day-22" xfId="530"/>
    <cellStyle name="_TG-TH_1_trAM 750KVA" xfId="531"/>
    <cellStyle name="_TG-TH_2" xfId="126"/>
    <cellStyle name="_TG-TH_2_320m_CapNgam_TBA3x50 " xfId="532"/>
    <cellStyle name="_TG-TH_2_BC SCL Thang 11 Xong" xfId="127"/>
    <cellStyle name="_TG-TH_2_Book1" xfId="128"/>
    <cellStyle name="_TG-TH_2_Book1_1" xfId="533"/>
    <cellStyle name="_TG-TH_2_Book1_CapNgam_TBA1500+3000+3000+3000kva_kin" xfId="534"/>
    <cellStyle name="_TG-TH_2_CapNgam_TBA1500+3000+3000+3000kva_kin" xfId="535"/>
    <cellStyle name="_TG-TH_2_CapNgam_TBA2000kin_Myxuan" xfId="536"/>
    <cellStyle name="_TG-TH_2_DAU NOI PL-CL TAI PHU LAMHC" xfId="129"/>
    <cellStyle name="_TG-TH_2_dieu_chinhTK_ duong day _TBA_560" xfId="537"/>
    <cellStyle name="_TG-TH_2_DT TRAM 180 GIAN" xfId="538"/>
    <cellStyle name="_TG-TH_2_dt tram 750 sua" xfId="539"/>
    <cellStyle name="_TG-TH_2_Du toan 3x3000+1x2000kVA " xfId="540"/>
    <cellStyle name="_TG-TH_2_Du toan 800kVA TRUONG CONG DINH sd1" xfId="541"/>
    <cellStyle name="_TG-TH_2_Du toanCN_ 1000kVA_HOP BO " xfId="542"/>
    <cellStyle name="_TG-TH_2_Du toanCN_ 250kVA cap dien cho khach san HOP BO sua dung" xfId="130"/>
    <cellStyle name="_TG-TH_2_Lora-tungchau" xfId="131"/>
    <cellStyle name="_TG-TH_2_muong cap DH My Thuat" xfId="543"/>
    <cellStyle name="_TG-TH_2_Qt-HT3PQ1(CauKho)" xfId="132"/>
    <cellStyle name="_TG-TH_2_quanghung" xfId="544"/>
    <cellStyle name="_TG-TH_2_tba 2000kVA CAP TRAN ason sua" xfId="545"/>
    <cellStyle name="_TG-TH_2_TBA_3x25KVA_40met_trungthe" xfId="546"/>
    <cellStyle name="_TG-TH_2_Tienluong_for_DMNC-366 theo 205-chinh" xfId="133"/>
    <cellStyle name="_TG-TH_2_TK_ duong day-22" xfId="547"/>
    <cellStyle name="_TG-TH_2_trAM 750KVA" xfId="548"/>
    <cellStyle name="_TG-TH_3" xfId="134"/>
    <cellStyle name="_TG-TH_3_Lora-tungchau" xfId="135"/>
    <cellStyle name="_TG-TH_3_Qt-HT3PQ1(CauKho)" xfId="136"/>
    <cellStyle name="_TG-TH_4" xfId="137"/>
    <cellStyle name="_TG-TH_4_CapNgam_TBA1500+3000+3000+3000kva_kin" xfId="549"/>
    <cellStyle name="_TG-TH_4_CapNgam_TBA2000kin_Myxuan" xfId="550"/>
    <cellStyle name="_TG-TH_4_DT TRAM 180 GIAN" xfId="551"/>
    <cellStyle name="_TG-TH_4_Du toan 3x3000+1x2000kVA " xfId="552"/>
    <cellStyle name="_TG-TH_4_Du toan 800kVA TRUONG CONG DINH sd1" xfId="553"/>
    <cellStyle name="_Tienluong_for_DMNC-366 theo 205-chinh" xfId="138"/>
    <cellStyle name="W_STDFOR" xfId="139"/>
    <cellStyle name="1" xfId="140"/>
    <cellStyle name="1_Arial_16" xfId="141"/>
    <cellStyle name="12" xfId="142"/>
    <cellStyle name="¹éºÐÀ²_      " xfId="143"/>
    <cellStyle name="2" xfId="144"/>
    <cellStyle name="3" xfId="145"/>
    <cellStyle name="4" xfId="146"/>
    <cellStyle name="ÅëÈ­ [0]_      " xfId="147"/>
    <cellStyle name="AeE­ [0]_INQUIRY ¿µ¾÷AßAø " xfId="148"/>
    <cellStyle name="ÅëÈ­ [0]_L601CPT" xfId="149"/>
    <cellStyle name="ÅëÈ­_      " xfId="150"/>
    <cellStyle name="AeE­_INQUIRY ¿µ¾÷AßAø " xfId="151"/>
    <cellStyle name="ÅëÈ­_L601CPT" xfId="152"/>
    <cellStyle name="ÄÞ¸¶ [0]_      " xfId="153"/>
    <cellStyle name="AÞ¸¶ [0]_INQUIRY ¿?¾÷AßAø " xfId="154"/>
    <cellStyle name="ÄÞ¸¶ [0]_L601CPT" xfId="155"/>
    <cellStyle name="ÄÞ¸¶_      " xfId="156"/>
    <cellStyle name="AÞ¸¶_INQUIRY ¿?¾÷AßAø " xfId="157"/>
    <cellStyle name="ÄÞ¸¶_L601CPT" xfId="158"/>
    <cellStyle name="AutoFormat Options" xfId="159"/>
    <cellStyle name="C?AØ_¿?¾÷CoE² " xfId="160"/>
    <cellStyle name="Ç¥ÁØ_      " xfId="161"/>
    <cellStyle name="C￥AØ_¿μ¾÷CoE² " xfId="162"/>
    <cellStyle name="Ç¥ÁØ_±¸¹Ì´ëÃ¥" xfId="163"/>
    <cellStyle name="category" xfId="164"/>
    <cellStyle name="category 2" xfId="165"/>
    <cellStyle name="Cerrency_Sheet2_XANGDAU" xfId="166"/>
    <cellStyle name="Comma" xfId="1" builtinId="3"/>
    <cellStyle name="Comma [0]" xfId="23" builtinId="6"/>
    <cellStyle name="Comma [0] 2" xfId="167"/>
    <cellStyle name="Comma [0] 3" xfId="168"/>
    <cellStyle name="Comma [0] 4" xfId="169"/>
    <cellStyle name="Comma 10" xfId="27"/>
    <cellStyle name="Comma 10 10" xfId="17"/>
    <cellStyle name="Comma 10 2" xfId="651"/>
    <cellStyle name="Comma 11" xfId="341"/>
    <cellStyle name="Comma 17" xfId="13"/>
    <cellStyle name="Comma 19" xfId="170"/>
    <cellStyle name="Comma 2" xfId="5"/>
    <cellStyle name="Comma 2 10" xfId="171"/>
    <cellStyle name="Comma 2 11" xfId="172"/>
    <cellStyle name="Comma 2 12" xfId="173"/>
    <cellStyle name="Comma 2 13" xfId="174"/>
    <cellStyle name="Comma 2 14" xfId="175"/>
    <cellStyle name="Comma 2 15" xfId="176"/>
    <cellStyle name="Comma 2 16" xfId="177"/>
    <cellStyle name="Comma 2 17" xfId="178"/>
    <cellStyle name="Comma 2 18" xfId="179"/>
    <cellStyle name="Comma 2 2" xfId="7"/>
    <cellStyle name="Comma 2 2 2" xfId="18"/>
    <cellStyle name="Comma 2 2 3" xfId="19"/>
    <cellStyle name="Comma 2 3" xfId="25"/>
    <cellStyle name="Comma 2 4" xfId="180"/>
    <cellStyle name="Comma 2 5" xfId="181"/>
    <cellStyle name="Comma 2 6" xfId="182"/>
    <cellStyle name="Comma 2 7" xfId="183"/>
    <cellStyle name="Comma 2 8" xfId="184"/>
    <cellStyle name="Comma 2 9" xfId="185"/>
    <cellStyle name="Comma 20" xfId="186"/>
    <cellStyle name="Comma 21" xfId="187"/>
    <cellStyle name="Comma 22" xfId="188"/>
    <cellStyle name="Comma 23" xfId="189"/>
    <cellStyle name="Comma 3" xfId="555"/>
    <cellStyle name="Comma 3 2" xfId="190"/>
    <cellStyle name="Comma 3 2 3" xfId="652"/>
    <cellStyle name="Comma 3 3" xfId="191"/>
    <cellStyle name="Comma 3 3 2" xfId="10"/>
    <cellStyle name="Comma 4" xfId="556"/>
    <cellStyle name="Comma 4 2" xfId="192"/>
    <cellStyle name="Comma 4 3" xfId="193"/>
    <cellStyle name="Comma 5" xfId="339"/>
    <cellStyle name="Comma 5 2" xfId="194"/>
    <cellStyle name="Comma 5 3" xfId="342"/>
    <cellStyle name="Comma 6" xfId="557"/>
    <cellStyle name="Comma 6 2" xfId="195"/>
    <cellStyle name="Comma 7" xfId="558"/>
    <cellStyle name="Comma 7 2" xfId="196"/>
    <cellStyle name="Comma 8" xfId="4"/>
    <cellStyle name="Comma 8 2" xfId="197"/>
    <cellStyle name="Comma 9" xfId="31"/>
    <cellStyle name="Comma 9 2" xfId="198"/>
    <cellStyle name="Comma0" xfId="199"/>
    <cellStyle name="Co聭ma_Sheet1" xfId="200"/>
    <cellStyle name="Currency0" xfId="201"/>
    <cellStyle name="CHUONG" xfId="554"/>
    <cellStyle name="Date" xfId="202"/>
    <cellStyle name="Dezimal [0]_Compiling Utility Macros" xfId="203"/>
    <cellStyle name="Dezimal_Compiling Utility Macros" xfId="204"/>
    <cellStyle name="eeee" xfId="205"/>
    <cellStyle name="Fixed" xfId="206"/>
    <cellStyle name="Font Britannic16" xfId="207"/>
    <cellStyle name="Font Britannic18" xfId="208"/>
    <cellStyle name="Font CenturyCond 18" xfId="209"/>
    <cellStyle name="Font Cond20" xfId="210"/>
    <cellStyle name="Font Lucida sans16" xfId="211"/>
    <cellStyle name="Font LucidaSans16" xfId="212"/>
    <cellStyle name="Font NewCenturyCond18" xfId="213"/>
    <cellStyle name="Font Ottawa14" xfId="214"/>
    <cellStyle name="Font Ottawa16" xfId="215"/>
    <cellStyle name="Grey" xfId="216"/>
    <cellStyle name="HEADER" xfId="217"/>
    <cellStyle name="HEADER 2" xfId="218"/>
    <cellStyle name="Header1" xfId="219"/>
    <cellStyle name="Header2" xfId="220"/>
    <cellStyle name="Heading1" xfId="221"/>
    <cellStyle name="Heading2" xfId="222"/>
    <cellStyle name="i·0" xfId="223"/>
    <cellStyle name="Input [yellow]" xfId="224"/>
    <cellStyle name="Ledger 17 x 11 in" xfId="20"/>
    <cellStyle name="Millares [0]_Well Timing" xfId="225"/>
    <cellStyle name="Millares_Well Timing" xfId="226"/>
    <cellStyle name="Model" xfId="227"/>
    <cellStyle name="Model 2" xfId="228"/>
    <cellStyle name="moi" xfId="229"/>
    <cellStyle name="Moneda [0]_Well Timing" xfId="230"/>
    <cellStyle name="Moneda_Well Timing" xfId="231"/>
    <cellStyle name="n" xfId="232"/>
    <cellStyle name="ÑONVÒ" xfId="559"/>
    <cellStyle name="Normal" xfId="0" builtinId="0"/>
    <cellStyle name="Normal - Style1" xfId="233"/>
    <cellStyle name="Normal 10" xfId="26"/>
    <cellStyle name="Normal 10 2" xfId="650"/>
    <cellStyle name="Normal 11" xfId="337"/>
    <cellStyle name="Normal 17" xfId="14"/>
    <cellStyle name="Normal 18" xfId="15"/>
    <cellStyle name="Normal 19" xfId="234"/>
    <cellStyle name="Normal 2" xfId="11"/>
    <cellStyle name="Normal 2 10" xfId="235"/>
    <cellStyle name="Normal 2 11" xfId="236"/>
    <cellStyle name="Normal 2 12" xfId="237"/>
    <cellStyle name="Normal 2 13" xfId="238"/>
    <cellStyle name="Normal 2 14" xfId="239"/>
    <cellStyle name="Normal 2 15" xfId="240"/>
    <cellStyle name="Normal 2 16" xfId="241"/>
    <cellStyle name="Normal 2 17" xfId="242"/>
    <cellStyle name="Normal 2 18" xfId="243"/>
    <cellStyle name="Normal 2 2" xfId="21"/>
    <cellStyle name="Normal 2 2 2" xfId="244"/>
    <cellStyle name="Normal 2 3" xfId="24"/>
    <cellStyle name="Normal 2 33" xfId="9"/>
    <cellStyle name="Normal 2 4" xfId="245"/>
    <cellStyle name="Normal 2 5" xfId="246"/>
    <cellStyle name="Normal 2 6" xfId="247"/>
    <cellStyle name="Normal 2 7" xfId="248"/>
    <cellStyle name="Normal 2 8" xfId="249"/>
    <cellStyle name="Normal 2 9" xfId="250"/>
    <cellStyle name="Normal 20" xfId="251"/>
    <cellStyle name="Normal 21" xfId="252"/>
    <cellStyle name="Normal 3" xfId="6"/>
    <cellStyle name="Normal 3 2" xfId="16"/>
    <cellStyle name="Normal 3 3" xfId="22"/>
    <cellStyle name="Normal 3 4" xfId="338"/>
    <cellStyle name="Normal 4" xfId="12"/>
    <cellStyle name="Normal 5" xfId="28"/>
    <cellStyle name="Normal 5 2" xfId="29"/>
    <cellStyle name="Normal 6" xfId="2"/>
    <cellStyle name="Normal 9" xfId="30"/>
    <cellStyle name="Normal_Cho mo sat tien bo-cty gang thep thai nguyen sonpv" xfId="3"/>
    <cellStyle name="Normal_DG285-286" xfId="653"/>
    <cellStyle name="Normal_DonGia39" xfId="8"/>
    <cellStyle name="Normal1" xfId="253"/>
    <cellStyle name="omma [0]_Mktg Prog" xfId="254"/>
    <cellStyle name="ormal_Sheet1_1" xfId="255"/>
    <cellStyle name="Percent [2]" xfId="256"/>
    <cellStyle name="Percent [2] 10" xfId="257"/>
    <cellStyle name="Percent [2] 11" xfId="258"/>
    <cellStyle name="Percent [2] 12" xfId="259"/>
    <cellStyle name="Percent [2] 13" xfId="260"/>
    <cellStyle name="Percent [2] 14" xfId="261"/>
    <cellStyle name="Percent [2] 15" xfId="262"/>
    <cellStyle name="Percent [2] 16" xfId="263"/>
    <cellStyle name="Percent [2] 2" xfId="264"/>
    <cellStyle name="Percent [2] 3" xfId="265"/>
    <cellStyle name="Percent [2] 4" xfId="266"/>
    <cellStyle name="Percent [2] 5" xfId="267"/>
    <cellStyle name="Percent [2] 6" xfId="268"/>
    <cellStyle name="Percent [2] 7" xfId="269"/>
    <cellStyle name="Percent [2] 8" xfId="270"/>
    <cellStyle name="Percent [2] 9" xfId="271"/>
    <cellStyle name="Percent 2 2" xfId="272"/>
    <cellStyle name="S—_x0008_" xfId="273"/>
    <cellStyle name="Siêu nối kết_Tien do XD ke hoach 2005 Cv858-KHDT" xfId="274"/>
    <cellStyle name="Standard_Anpassen der Amortisation" xfId="275"/>
    <cellStyle name="Style 1" xfId="276"/>
    <cellStyle name="Style 10" xfId="277"/>
    <cellStyle name="Style 11" xfId="278"/>
    <cellStyle name="Style 12" xfId="279"/>
    <cellStyle name="Style 13" xfId="280"/>
    <cellStyle name="Style 14" xfId="281"/>
    <cellStyle name="Style 15" xfId="282"/>
    <cellStyle name="Style 16" xfId="283"/>
    <cellStyle name="Style 17" xfId="284"/>
    <cellStyle name="Style 18" xfId="285"/>
    <cellStyle name="Style 19" xfId="286"/>
    <cellStyle name="Style 2" xfId="287"/>
    <cellStyle name="Style 20" xfId="288"/>
    <cellStyle name="Style 21" xfId="289"/>
    <cellStyle name="Style 22" xfId="290"/>
    <cellStyle name="Style 23" xfId="291"/>
    <cellStyle name="Style 24" xfId="292"/>
    <cellStyle name="Style 25" xfId="560"/>
    <cellStyle name="Style 26" xfId="561"/>
    <cellStyle name="Style 27" xfId="562"/>
    <cellStyle name="Style 28" xfId="563"/>
    <cellStyle name="Style 29" xfId="564"/>
    <cellStyle name="Style 3" xfId="293"/>
    <cellStyle name="Style 30" xfId="565"/>
    <cellStyle name="Style 31" xfId="566"/>
    <cellStyle name="Style 32" xfId="567"/>
    <cellStyle name="Style 33" xfId="568"/>
    <cellStyle name="Style 34" xfId="569"/>
    <cellStyle name="Style 35" xfId="570"/>
    <cellStyle name="Style 36" xfId="571"/>
    <cellStyle name="Style 37" xfId="572"/>
    <cellStyle name="Style 38" xfId="573"/>
    <cellStyle name="Style 39" xfId="574"/>
    <cellStyle name="Style 4" xfId="294"/>
    <cellStyle name="Style 40" xfId="575"/>
    <cellStyle name="Style 41" xfId="576"/>
    <cellStyle name="Style 42" xfId="577"/>
    <cellStyle name="Style 43" xfId="578"/>
    <cellStyle name="Style 44" xfId="579"/>
    <cellStyle name="Style 45" xfId="580"/>
    <cellStyle name="Style 46" xfId="581"/>
    <cellStyle name="Style 47" xfId="582"/>
    <cellStyle name="Style 48" xfId="583"/>
    <cellStyle name="Style 49" xfId="584"/>
    <cellStyle name="Style 5" xfId="295"/>
    <cellStyle name="Style 50" xfId="585"/>
    <cellStyle name="Style 51" xfId="586"/>
    <cellStyle name="Style 52" xfId="587"/>
    <cellStyle name="Style 53" xfId="588"/>
    <cellStyle name="Style 54" xfId="589"/>
    <cellStyle name="Style 55" xfId="590"/>
    <cellStyle name="Style 56" xfId="591"/>
    <cellStyle name="Style 57" xfId="592"/>
    <cellStyle name="Style 58" xfId="593"/>
    <cellStyle name="Style 59" xfId="594"/>
    <cellStyle name="Style 6" xfId="296"/>
    <cellStyle name="Style 60" xfId="595"/>
    <cellStyle name="Style 61" xfId="596"/>
    <cellStyle name="Style 62" xfId="597"/>
    <cellStyle name="Style 63" xfId="598"/>
    <cellStyle name="Style 64" xfId="599"/>
    <cellStyle name="Style 65" xfId="600"/>
    <cellStyle name="Style 66" xfId="601"/>
    <cellStyle name="Style 67" xfId="602"/>
    <cellStyle name="Style 68" xfId="603"/>
    <cellStyle name="Style 69" xfId="604"/>
    <cellStyle name="Style 7" xfId="297"/>
    <cellStyle name="Style 70" xfId="605"/>
    <cellStyle name="Style 71" xfId="606"/>
    <cellStyle name="Style 72" xfId="607"/>
    <cellStyle name="Style 73" xfId="608"/>
    <cellStyle name="Style 74" xfId="609"/>
    <cellStyle name="Style 75" xfId="610"/>
    <cellStyle name="Style 76" xfId="611"/>
    <cellStyle name="Style 77" xfId="612"/>
    <cellStyle name="Style 78" xfId="613"/>
    <cellStyle name="Style 79" xfId="614"/>
    <cellStyle name="Style 8" xfId="298"/>
    <cellStyle name="Style 80" xfId="615"/>
    <cellStyle name="Style 81" xfId="616"/>
    <cellStyle name="Style 82" xfId="617"/>
    <cellStyle name="Style 83" xfId="618"/>
    <cellStyle name="Style 84" xfId="619"/>
    <cellStyle name="Style 85" xfId="620"/>
    <cellStyle name="Style 86" xfId="621"/>
    <cellStyle name="Style 87" xfId="622"/>
    <cellStyle name="Style 88" xfId="623"/>
    <cellStyle name="Style 9" xfId="299"/>
    <cellStyle name="subhead" xfId="300"/>
    <cellStyle name="subhead 2" xfId="301"/>
    <cellStyle name="symbol" xfId="302"/>
    <cellStyle name="T" xfId="303"/>
    <cellStyle name="T_BC SCL Thang 11 Xong" xfId="304"/>
    <cellStyle name="T_Book1" xfId="305"/>
    <cellStyle name="T_Book1_1" xfId="624"/>
    <cellStyle name="T_Book1_CapNgam_TBA1500+3000+3000+3000kva_kin" xfId="625"/>
    <cellStyle name="T_Book1_CapNgam_TBA1500+3000+3000+3000kva_kin_dt tram 750 sua" xfId="626"/>
    <cellStyle name="T_Book1_CapNgam_TBA2000kin_Myxuan" xfId="627"/>
    <cellStyle name="T_Book1_CapNgam_TBA2000kin_Myxuan_dt tram 750 sua" xfId="628"/>
    <cellStyle name="T_Book1_DT TRAM 180 GIAN" xfId="629"/>
    <cellStyle name="T_Book1_DT TRAM 180 GIAN_dt tram 750 sua" xfId="630"/>
    <cellStyle name="T_Book1_dt tram 750 sua" xfId="631"/>
    <cellStyle name="T_Book1_Du toan 3x3000+1x2000kVA " xfId="632"/>
    <cellStyle name="T_Book1_Du toan 3x3000+1x2000kVA _dt tram 750 sua" xfId="633"/>
    <cellStyle name="T_Book1_Du toan 800kVA TRUONG CONG DINH sd1" xfId="634"/>
    <cellStyle name="T_Book1_Du toan 800kVA TRUONG CONG DINH sd1_dt tram 750 sua" xfId="635"/>
    <cellStyle name="T_Book1_Tienluong_for_DMNC-366 theo 205-chinh" xfId="306"/>
    <cellStyle name="T_CapNgam_TBA1500+3000+3000+3000kva_kin" xfId="636"/>
    <cellStyle name="T_CapNgam_TBA1500+3000+3000+3000kva_kin_dt tram 750 sua" xfId="637"/>
    <cellStyle name="T_CapNgam_TBA2000kin_Myxuan" xfId="638"/>
    <cellStyle name="T_CapNgam_TBA2000kin_Myxuan_dt tram 750 sua" xfId="639"/>
    <cellStyle name="T_DT TRAM 180 GIAN" xfId="640"/>
    <cellStyle name="T_DT TRAM 180 GIAN_dt tram 750 sua" xfId="641"/>
    <cellStyle name="T_dt tram 750 sua" xfId="642"/>
    <cellStyle name="T_Du toan 3x3000+1x2000kVA " xfId="643"/>
    <cellStyle name="T_Du toan 800kVA TRUONG CONG DINH sd1" xfId="644"/>
    <cellStyle name="T_Du toanCN_ 1000kVA_HOP BO " xfId="645"/>
    <cellStyle name="T_Du toanCN_ 250kVA cap dien cho khach san HOP BO sua dung" xfId="307"/>
    <cellStyle name="T_Ht-PTq1-03" xfId="308"/>
    <cellStyle name="T_Ht-PTq1-03_dt tram 750 sua" xfId="646"/>
    <cellStyle name="T_tba 2000kVA CAP TRAN ason sua" xfId="647"/>
    <cellStyle name="Tuan" xfId="310"/>
    <cellStyle name="th" xfId="309"/>
    <cellStyle name="than" xfId="648"/>
    <cellStyle name="viet" xfId="311"/>
    <cellStyle name="viet2" xfId="312"/>
    <cellStyle name="VN" xfId="313"/>
    <cellStyle name="VN1" xfId="314"/>
    <cellStyle name="Währung [0]_Compiling Utility Macros" xfId="315"/>
    <cellStyle name="Währung_Compiling Utility Macros" xfId="316"/>
    <cellStyle name=" [0.00]_ Att. 1- Cover" xfId="317"/>
    <cellStyle name="_ Att. 1- Cover" xfId="318"/>
    <cellStyle name="?_ Att. 1- Cover" xfId="319"/>
    <cellStyle name="똿뗦먛귟 [0.00]_PRODUCT DETAIL Q1" xfId="320"/>
    <cellStyle name="똿뗦먛귟_PRODUCT DETAIL Q1" xfId="321"/>
    <cellStyle name="믅됞 [0.00]_PRODUCT DETAIL Q1" xfId="322"/>
    <cellStyle name="믅됞_PRODUCT DETAIL Q1" xfId="323"/>
    <cellStyle name="백분율_95" xfId="324"/>
    <cellStyle name="뷭?_BOOKSHIP" xfId="325"/>
    <cellStyle name="쉼표 [0]_ffbom" xfId="649"/>
    <cellStyle name="콤마 [0]_ 비목별 월별기술 " xfId="326"/>
    <cellStyle name="콤마_ 비목별 월별기술 " xfId="327"/>
    <cellStyle name="통화 [0]_1202" xfId="328"/>
    <cellStyle name="통화_1202" xfId="329"/>
    <cellStyle name="표준_(정보부문)월별인원계획" xfId="330"/>
    <cellStyle name="一般_00Q3902REV.1" xfId="331"/>
    <cellStyle name="千分位[0]_00Q3902REV.1" xfId="332"/>
    <cellStyle name="千分位_00Q3902REV.1" xfId="333"/>
    <cellStyle name="貨幣 [0]_00Q3902REV.1" xfId="334"/>
    <cellStyle name="貨幣[0]_BRE" xfId="335"/>
    <cellStyle name="貨幣_00Q3902REV.1" xfId="336"/>
  </cellStyles>
  <dxfs count="616">
    <dxf>
      <font>
        <b/>
        <i val="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color rgb="FF0000FF"/>
      </font>
      <fill>
        <patternFill>
          <bgColor rgb="FFFFFF00"/>
        </patternFill>
      </fill>
    </dxf>
    <dxf>
      <font>
        <color rgb="FF0000FF"/>
      </font>
      <fill>
        <patternFill>
          <bgColor rgb="FFFFFF00"/>
        </patternFill>
      </fill>
    </dxf>
    <dxf>
      <font>
        <b/>
        <i val="0"/>
      </font>
    </dxf>
    <dxf>
      <font>
        <b/>
        <i val="0"/>
        <color rgb="FFFF0000"/>
      </font>
    </dxf>
    <dxf>
      <font>
        <color rgb="FF0000FF"/>
      </font>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color rgb="FF0000FF"/>
      </font>
    </dxf>
    <dxf>
      <font>
        <color rgb="FFC00000"/>
      </font>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strike val="0"/>
      </font>
    </dxf>
    <dxf>
      <font>
        <b/>
        <i val="0"/>
        <strike val="0"/>
        <u val="none"/>
      </font>
    </dxf>
    <dxf>
      <font>
        <b/>
        <i val="0"/>
      </font>
      <fill>
        <patternFill>
          <bgColor theme="9"/>
        </patternFill>
      </fill>
    </dxf>
    <dxf>
      <font>
        <b/>
        <i val="0"/>
      </font>
      <fill>
        <patternFill>
          <bgColor theme="8" tint="0.59996337778862885"/>
        </patternFill>
      </fill>
    </dxf>
    <dxf>
      <font>
        <color rgb="FF0000FF"/>
      </font>
    </dxf>
    <dxf>
      <font>
        <color rgb="FFC00000"/>
      </font>
    </dxf>
    <dxf>
      <font>
        <color rgb="FF0000FF"/>
      </font>
    </dxf>
    <dxf>
      <font>
        <color rgb="FFC00000"/>
      </font>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font>
    </dxf>
    <dxf>
      <font>
        <b/>
        <i val="0"/>
      </font>
      <fill>
        <patternFill>
          <bgColor theme="9"/>
        </patternFill>
      </fill>
    </dxf>
    <dxf>
      <font>
        <b/>
        <i val="0"/>
      </font>
      <fill>
        <patternFill>
          <bgColor theme="8" tint="0.59996337778862885"/>
        </patternFill>
      </fill>
    </dxf>
    <dxf>
      <font>
        <b/>
        <i val="0"/>
        <strike val="0"/>
      </font>
    </dxf>
    <dxf>
      <font>
        <b/>
        <i val="0"/>
        <strike val="0"/>
        <u val="none"/>
        <color rgb="FF0000FF"/>
      </font>
    </dxf>
    <dxf>
      <font>
        <b/>
        <i val="0"/>
      </font>
      <fill>
        <patternFill>
          <bgColor theme="9"/>
        </patternFill>
      </fill>
    </dxf>
    <dxf>
      <font>
        <b/>
        <i val="0"/>
      </font>
      <fill>
        <patternFill>
          <bgColor theme="8" tint="0.59996337778862885"/>
        </patternFill>
      </fill>
    </dxf>
    <dxf>
      <font>
        <b/>
        <i val="0"/>
        <strike val="0"/>
      </font>
    </dxf>
    <dxf>
      <font>
        <b/>
        <i val="0"/>
        <strike val="0"/>
        <u val="none"/>
        <color rgb="FF0000FF"/>
      </font>
    </dxf>
    <dxf>
      <font>
        <b/>
        <i val="0"/>
      </font>
      <fill>
        <patternFill>
          <bgColor theme="9"/>
        </patternFill>
      </fill>
    </dxf>
    <dxf>
      <font>
        <b/>
        <i val="0"/>
      </font>
      <fill>
        <patternFill>
          <bgColor theme="8" tint="0.59996337778862885"/>
        </patternFill>
      </fill>
    </dxf>
    <dxf>
      <font>
        <color rgb="FF0000FF"/>
      </font>
      <fill>
        <patternFill>
          <bgColor rgb="FFFFFF00"/>
        </patternFill>
      </fill>
    </dxf>
    <dxf>
      <font>
        <b/>
        <i val="0"/>
      </font>
    </dxf>
    <dxf>
      <font>
        <b/>
        <i val="0"/>
        <color rgb="FFFF0000"/>
      </font>
    </dxf>
    <dxf>
      <font>
        <color rgb="FF0000FF"/>
      </font>
    </dxf>
    <dxf>
      <font>
        <b/>
        <i val="0"/>
        <color rgb="FF0000FF"/>
      </font>
    </dxf>
    <dxf>
      <font>
        <b/>
        <i val="0"/>
        <color rgb="FFC00000"/>
      </font>
    </dxf>
    <dxf>
      <font>
        <b/>
        <i val="0"/>
      </font>
      <fill>
        <patternFill>
          <bgColor theme="3" tint="0.79998168889431442"/>
        </patternFill>
      </fill>
    </dxf>
    <dxf>
      <font>
        <b/>
        <i val="0"/>
      </font>
      <fill>
        <patternFill>
          <bgColor rgb="FFFFFF00"/>
        </patternFill>
      </fill>
    </dxf>
    <dxf>
      <font>
        <b/>
        <i val="0"/>
      </font>
      <fill>
        <patternFill>
          <bgColor theme="9" tint="0.59996337778862885"/>
        </patternFill>
      </fill>
    </dxf>
    <dxf>
      <font>
        <color rgb="FF0000FF"/>
      </font>
    </dxf>
    <dxf>
      <font>
        <color rgb="FFC00000"/>
      </font>
    </dxf>
    <dxf>
      <font>
        <b/>
        <i val="0"/>
      </font>
    </dxf>
    <dxf>
      <font>
        <b/>
        <i val="0"/>
        <color rgb="FFFF0000"/>
      </font>
    </dxf>
    <dxf>
      <font>
        <color rgb="FF0000FF"/>
      </font>
    </dxf>
  </dxfs>
  <tableStyles count="0" defaultTableStyle="TableStyleMedium2" defaultPivotStyle="PivotStyleLight16"/>
  <colors>
    <mruColors>
      <color rgb="FF0000FF"/>
      <color rgb="FF00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314" Type="http://schemas.openxmlformats.org/officeDocument/2006/relationships/worksheet" Target="worksheets/sheet314.xml"/><Relationship Id="rId335" Type="http://schemas.openxmlformats.org/officeDocument/2006/relationships/externalLink" Target="externalLinks/externalLink4.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25" Type="http://schemas.openxmlformats.org/officeDocument/2006/relationships/worksheet" Target="worksheets/sheet325.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336" Type="http://schemas.openxmlformats.org/officeDocument/2006/relationships/externalLink" Target="externalLinks/externalLink5.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externalLink" Target="externalLinks/externalLink6.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externalLink" Target="externalLinks/externalLink7.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worksheet" Target="worksheets/sheet302.xml"/><Relationship Id="rId307" Type="http://schemas.openxmlformats.org/officeDocument/2006/relationships/worksheet" Target="worksheets/sheet307.xml"/><Relationship Id="rId323" Type="http://schemas.openxmlformats.org/officeDocument/2006/relationships/worksheet" Target="worksheets/sheet323.xml"/><Relationship Id="rId328" Type="http://schemas.openxmlformats.org/officeDocument/2006/relationships/worksheet" Target="worksheets/sheet32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313" Type="http://schemas.openxmlformats.org/officeDocument/2006/relationships/worksheet" Target="worksheets/sheet313.xml"/><Relationship Id="rId318" Type="http://schemas.openxmlformats.org/officeDocument/2006/relationships/worksheet" Target="worksheets/sheet318.xml"/><Relationship Id="rId33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33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styles" Target="styles.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sharedStrings" Target="sharedStrings.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calcChain" Target="calcChain.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externalLink" Target="externalLinks/externalLink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externalLink" Target="externalLinks/externalLink2.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13607</xdr:colOff>
      <xdr:row>7</xdr:row>
      <xdr:rowOff>28562</xdr:rowOff>
    </xdr:from>
    <xdr:to>
      <xdr:col>2</xdr:col>
      <xdr:colOff>27215</xdr:colOff>
      <xdr:row>8</xdr:row>
      <xdr:rowOff>258536</xdr:rowOff>
    </xdr:to>
    <xdr:cxnSp macro="">
      <xdr:nvCxnSpPr>
        <xdr:cNvPr id="2" name="Straight Connector 1">
          <a:extLst>
            <a:ext uri="{FF2B5EF4-FFF2-40B4-BE49-F238E27FC236}">
              <a16:creationId xmlns:a16="http://schemas.microsoft.com/office/drawing/2014/main" xmlns="" id="{00000000-0008-0000-0E00-000002000000}"/>
            </a:ext>
          </a:extLst>
        </xdr:cNvPr>
        <xdr:cNvCxnSpPr/>
      </xdr:nvCxnSpPr>
      <xdr:spPr>
        <a:xfrm>
          <a:off x="13607" y="4371962"/>
          <a:ext cx="2147208" cy="3728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7</xdr:row>
          <xdr:rowOff>57150</xdr:rowOff>
        </xdr:from>
        <xdr:to>
          <xdr:col>3</xdr:col>
          <xdr:colOff>371475</xdr:colOff>
          <xdr:row>9</xdr:row>
          <xdr:rowOff>57150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202020\A%20Phuoc\58%20HA%20Ph&#250;%20M&#7929;\Thi&#7871;t%20k&#7871;%20thi%20c&#244;ng%20giai%20&#273;o&#7841;n%201\THAM%20KHAO\BAO%20GIA%20TRAM%201500-%20THAO\BAO%20GIA%20TRAM%201500-%20THAO\DUTOA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ham%20tra%20Long%20Dien\HSTT%20-%20g&#243;i%20TT\Th&#7849;m%20tra%20c&#225;c%20g&#243;i%20trung%20th&#7871;\DTT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ham%20tra%20Long%20Dien\2.%20Dz%20TT%20&#273;&#7845;t%20&#244;ng%20Ty%20&#273;&#7871;n%20Chua%20DV%20(R)\1.%20DT%20Ch&#242;i%20&#244;ng%20S&#225;u%20Qu&#7865;t%20&#273;&#7871;n%20ch&#242;i%20&#212;ng%20B&#236;nh%20(F).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TC"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ham%20tra%20Long%20Dien\2.%20Dz%20TT%20&#273;&#7845;t%20&#244;ng%20Ty%20&#273;&#7871;n%20Chua%20DV%20(R)\DT%20Ch&#249;a%20&#273;&#225;%20V&#224;ng%20&#273;&#7871;n%20nh&#224;%20&#244;ng%20ba%20Tr&#432;&#7903;ng%20(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ham%20tra%20Long%20Dien\2.%20Dz%20TT%20&#273;&#7845;t%20&#244;ng%20Ty%20&#273;&#7871;n%20Chua%20DV%20(R)\1.%20DT%20tuy&#7871;n%20Ch&#249;a%20&#272;&#225;%20V&#224;ng%20&#273;&#7871;n%20Ngh&#297;a%20trang%20Kim%20T&#417;%20(F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S%202020\A%20Phuoc\58%20HA%20Ph&#250;%20M&#7929;\Thi&#7871;t%20k&#7871;%20thi%20c&#244;ng%20giai%20&#273;o&#7841;n%201\D&#7921;%20to&#225;n\PPT-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SO"/>
      <sheetName val="Khoiluongmong"/>
      <sheetName val="LUACHONTHIETBI"/>
      <sheetName val="Luong CN khao sat"/>
      <sheetName val="Tonghopdutoan"/>
      <sheetName val="DGKS HT Vung 2 "/>
      <sheetName val="CPHMC"/>
      <sheetName val="HANGGMUCCHUNG"/>
      <sheetName val="CHIPHIKHAOSAT"/>
      <sheetName val="CPXayDung22"/>
      <sheetName val="THOP22"/>
      <sheetName val="Chitiet22"/>
      <sheetName val="VTTB A CAP"/>
      <sheetName val="Chitiet22thao"/>
      <sheetName val="ChitietTNHCduongday22"/>
      <sheetName val="PPT22"/>
      <sheetName val="CHONKETCAUDD22"/>
      <sheetName val="CPXayDungHathe"/>
      <sheetName val="CPXAYDUNGHT"/>
      <sheetName val="THOPHT"/>
      <sheetName val="ChitietHT"/>
      <sheetName val="ChitietHTthaodo"/>
      <sheetName val="VANCHUYENTRU"/>
      <sheetName val="PPTHT"/>
      <sheetName val="CHONKETCAUDD04"/>
      <sheetName val="CPXayDungCN22"/>
      <sheetName val="CPLapdatTBDD"/>
      <sheetName val="THOPCN22"/>
      <sheetName val="ChitietCapngam22"/>
      <sheetName val="ChitietTNHCngam22"/>
      <sheetName val="KLCN"/>
      <sheetName val="PPT CN22KS"/>
      <sheetName val="CPXayDungCN04"/>
      <sheetName val="THOPCN04"/>
      <sheetName val="ChitietCapngam04"/>
      <sheetName val="KHOI LUONG CAP NGAM HA THE"/>
      <sheetName val="ChitietTNHCngam04"/>
      <sheetName val="CPXayDungTBA"/>
      <sheetName val="TonghopThietbiTBA"/>
      <sheetName val="CPLapdatTB"/>
      <sheetName val="CP TNHC TB"/>
      <sheetName val="THOPTBA"/>
      <sheetName val="Chitiettram"/>
      <sheetName val="ChitietTNHCTBA"/>
      <sheetName val="Bangluachon"/>
      <sheetName val="CPXayDungthaodoTBA"/>
      <sheetName val="TonghopThietbiTBAthaodo"/>
      <sheetName val="CPThaodoTB"/>
      <sheetName val="CP TNHC TBthaodo"/>
      <sheetName val="THOP TBA THAO DO"/>
      <sheetName val="chitiettramthaodo"/>
      <sheetName val="ChitietTNHCTBAthaodo"/>
      <sheetName val="Bangchonthaodotram"/>
      <sheetName val="Bangdauday"/>
      <sheetName val="CPXayDungCONGTO"/>
      <sheetName val="THOPcongto"/>
      <sheetName val="ChitietCongto"/>
      <sheetName val="CPXayDungHTCS"/>
      <sheetName val="THOPCS"/>
      <sheetName val="ChitietHTCS"/>
      <sheetName val="ChitietTNHCHTCS"/>
      <sheetName val="PPTCS"/>
      <sheetName val="Cap I"/>
      <sheetName val="Cap II"/>
      <sheetName val="Cap III"/>
      <sheetName val="Cap IV"/>
      <sheetName val="CAPPHOIBETONG"/>
      <sheetName val="BANGGIACAMAY"/>
    </sheetNames>
    <sheetDataSet>
      <sheetData sheetId="0">
        <row r="39">
          <cell r="J39">
            <v>0</v>
          </cell>
        </row>
        <row r="365">
          <cell r="D365" t="str">
            <v>DONGIA2017.xlsx!GIAVTTB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ONG"/>
      <sheetName val="CP-TVĐTXD"/>
      <sheetName val="CP-khac"/>
      <sheetName val="TH 22"/>
      <sheetName val="Cphi DD"/>
      <sheetName val="Ctiet DD"/>
      <sheetName val="TNHC DD"/>
      <sheetName val="PPT-TT"/>
      <sheetName val="THXD"/>
      <sheetName val="CPXD"/>
      <sheetName val="Ctiet XD"/>
      <sheetName val="TH TBA"/>
      <sheetName val="Cphi TBA"/>
      <sheetName val="Ctiet TBA"/>
      <sheetName val="TNHC tba"/>
      <sheetName val="Vattu"/>
      <sheetName val="Betong"/>
      <sheetName val="DG khao sat"/>
      <sheetName val="VLP"/>
      <sheetName val="THí nghiệm"/>
      <sheetName val="NC điện"/>
      <sheetName val="NC-XD"/>
      <sheetName val="ĐMNC"/>
      <sheetName val="MTC"/>
    </sheetNames>
    <sheetDataSet>
      <sheetData sheetId="0"/>
      <sheetData sheetId="1">
        <row r="7">
          <cell r="E7" t="str">
            <v>Gxd1+Gxd2+Gxd3</v>
          </cell>
        </row>
        <row r="11">
          <cell r="E11" t="str">
            <v>Gtb1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DANH MUC"/>
      <sheetName val="TONG"/>
      <sheetName val="CP-TVĐTXD"/>
      <sheetName val="CP-khac"/>
      <sheetName val="TH 22"/>
      <sheetName val="TH 0.4"/>
      <sheetName val="Cphi DD"/>
      <sheetName val="Ctiet DD"/>
      <sheetName val="TNHC DD"/>
      <sheetName val="THXD"/>
      <sheetName val="CPXD"/>
      <sheetName val="Ctiet XD"/>
      <sheetName val="TH TBA"/>
      <sheetName val="Cphi TBA"/>
      <sheetName val="Ctiet TBA"/>
      <sheetName val="TNHC tba"/>
      <sheetName val="PPT-TT"/>
      <sheetName val="PPT-HT"/>
      <sheetName val="THí nghiệm"/>
      <sheetName val="Vattu"/>
      <sheetName val="NC điện"/>
      <sheetName val="NC-XD"/>
      <sheetName val="ĐMNC"/>
      <sheetName val="MTC"/>
      <sheetName val="Betong"/>
      <sheetName val="VLP"/>
      <sheetName val="DG khao 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
          <cell r="B7" t="str">
            <v>Amiăng</v>
          </cell>
          <cell r="C7" t="str">
            <v>kg</v>
          </cell>
          <cell r="D7">
            <v>45455</v>
          </cell>
          <cell r="F7">
            <v>45455</v>
          </cell>
          <cell r="K7">
            <v>45455</v>
          </cell>
        </row>
        <row r="8">
          <cell r="B8" t="str">
            <v>Bản lề thường</v>
          </cell>
          <cell r="C8" t="str">
            <v>cái</v>
          </cell>
          <cell r="D8">
            <v>5000</v>
          </cell>
          <cell r="F8">
            <v>5000</v>
          </cell>
          <cell r="K8">
            <v>5000</v>
          </cell>
        </row>
        <row r="9">
          <cell r="B9" t="str">
            <v>Băng cách điện</v>
          </cell>
          <cell r="C9" t="str">
            <v>cuộn</v>
          </cell>
          <cell r="D9">
            <v>6000</v>
          </cell>
          <cell r="F9">
            <v>6000</v>
          </cell>
          <cell r="K9">
            <v>6000</v>
          </cell>
        </row>
        <row r="10">
          <cell r="B10" t="str">
            <v>Băng nilông các loại</v>
          </cell>
          <cell r="C10" t="str">
            <v>cuộn</v>
          </cell>
          <cell r="D10">
            <v>5000</v>
          </cell>
          <cell r="F10">
            <v>5000</v>
          </cell>
          <cell r="K10">
            <v>5000</v>
          </cell>
        </row>
        <row r="11">
          <cell r="B11" t="str">
            <v>Băng dính giấy</v>
          </cell>
          <cell r="C11" t="str">
            <v>cuộn</v>
          </cell>
          <cell r="F11">
            <v>6000</v>
          </cell>
          <cell r="K11">
            <v>6000</v>
          </cell>
        </row>
        <row r="12">
          <cell r="B12" t="str">
            <v>Băng dính trắng</v>
          </cell>
          <cell r="C12" t="str">
            <v>cuộn</v>
          </cell>
          <cell r="F12">
            <v>6000</v>
          </cell>
          <cell r="K12">
            <v>6000</v>
          </cell>
        </row>
        <row r="13">
          <cell r="B13" t="str">
            <v>Bê tông trộn sẵn</v>
          </cell>
          <cell r="C13" t="str">
            <v>m3</v>
          </cell>
          <cell r="D13">
            <v>764962.51599999995</v>
          </cell>
          <cell r="F13">
            <v>764962.51599999995</v>
          </cell>
          <cell r="K13">
            <v>764962.51599999995</v>
          </cell>
        </row>
        <row r="14">
          <cell r="B14" t="str">
            <v>Bê tông đá 1x2 max 200 dộ sụt 2-4 cm</v>
          </cell>
          <cell r="C14" t="str">
            <v>m3</v>
          </cell>
          <cell r="D14">
            <v>789161.67486000003</v>
          </cell>
          <cell r="F14">
            <v>789161.67486000003</v>
          </cell>
          <cell r="K14">
            <v>789161.67486000003</v>
          </cell>
        </row>
        <row r="15">
          <cell r="B15" t="str">
            <v>Bê tông nhựa hạt mịn</v>
          </cell>
          <cell r="C15" t="str">
            <v>tấn</v>
          </cell>
          <cell r="D15">
            <v>1171190</v>
          </cell>
          <cell r="E15">
            <v>1171190</v>
          </cell>
          <cell r="F15">
            <v>1171190</v>
          </cell>
          <cell r="K15">
            <v>1171190</v>
          </cell>
        </row>
        <row r="16">
          <cell r="B16" t="str">
            <v>Bê tông nhựa hạt thô R&gt;15</v>
          </cell>
          <cell r="C16" t="str">
            <v>tấn</v>
          </cell>
          <cell r="D16">
            <v>1074720</v>
          </cell>
          <cell r="E16">
            <v>1074720</v>
          </cell>
          <cell r="F16">
            <v>1074720</v>
          </cell>
          <cell r="K16">
            <v>1074720</v>
          </cell>
        </row>
        <row r="17">
          <cell r="B17" t="str">
            <v>Bê tông nhựa hạt trung</v>
          </cell>
          <cell r="C17" t="str">
            <v>tấn</v>
          </cell>
          <cell r="D17">
            <v>1130110</v>
          </cell>
          <cell r="E17">
            <v>1130110</v>
          </cell>
          <cell r="F17">
            <v>1130110</v>
          </cell>
          <cell r="K17">
            <v>1130110</v>
          </cell>
        </row>
        <row r="18">
          <cell r="B18" t="str">
            <v>Bê tông nhựa độ nhám cao</v>
          </cell>
          <cell r="C18" t="str">
            <v>tấn</v>
          </cell>
          <cell r="E18">
            <v>1690909</v>
          </cell>
        </row>
        <row r="19">
          <cell r="B19" t="str">
            <v>Bê tông nhựa rỗng C&lt;12.5</v>
          </cell>
          <cell r="C19" t="str">
            <v>tấn</v>
          </cell>
          <cell r="E19">
            <v>1700000</v>
          </cell>
        </row>
        <row r="20">
          <cell r="B20" t="str">
            <v>Bột Bentonite</v>
          </cell>
          <cell r="C20" t="str">
            <v>kg</v>
          </cell>
          <cell r="D20">
            <v>4000</v>
          </cell>
          <cell r="E20">
            <v>4000</v>
          </cell>
          <cell r="F20">
            <v>4000</v>
          </cell>
          <cell r="K20">
            <v>4000</v>
          </cell>
        </row>
        <row r="21">
          <cell r="B21" t="str">
            <v>Bột Ejectomer</v>
          </cell>
          <cell r="C21" t="str">
            <v>kg</v>
          </cell>
          <cell r="F21">
            <v>8000</v>
          </cell>
          <cell r="K21">
            <v>8000</v>
          </cell>
        </row>
        <row r="22">
          <cell r="B22" t="str">
            <v>Bộ định vị</v>
          </cell>
          <cell r="C22" t="str">
            <v>bộ</v>
          </cell>
          <cell r="F22">
            <v>150000</v>
          </cell>
          <cell r="K22">
            <v>150000</v>
          </cell>
        </row>
        <row r="23">
          <cell r="B23" t="str">
            <v>Bộ phát sóng 86B11</v>
          </cell>
          <cell r="C23" t="str">
            <v>bộ</v>
          </cell>
          <cell r="K23">
            <v>0</v>
          </cell>
        </row>
        <row r="24">
          <cell r="B24" t="str">
            <v>Bột đá</v>
          </cell>
          <cell r="C24" t="str">
            <v>kg</v>
          </cell>
          <cell r="D24">
            <v>545</v>
          </cell>
          <cell r="E24">
            <v>545</v>
          </cell>
          <cell r="F24">
            <v>545</v>
          </cell>
          <cell r="K24">
            <v>545</v>
          </cell>
        </row>
        <row r="25">
          <cell r="B25" t="str">
            <v>Bulông f&gt;=6; L&gt;=60</v>
          </cell>
          <cell r="C25" t="str">
            <v>cái</v>
          </cell>
          <cell r="D25">
            <v>3500</v>
          </cell>
          <cell r="F25">
            <v>3500</v>
          </cell>
          <cell r="K25">
            <v>3500</v>
          </cell>
        </row>
        <row r="26">
          <cell r="B26" t="str">
            <v>Bulông M10</v>
          </cell>
          <cell r="C26" t="str">
            <v>cái</v>
          </cell>
          <cell r="E26">
            <v>6000</v>
          </cell>
        </row>
        <row r="27">
          <cell r="B27" t="str">
            <v>Bulông êcu M 16x50</v>
          </cell>
          <cell r="C27" t="str">
            <v>cái</v>
          </cell>
          <cell r="D27">
            <v>2000</v>
          </cell>
          <cell r="F27">
            <v>2000</v>
          </cell>
          <cell r="K27">
            <v>2000</v>
          </cell>
        </row>
        <row r="28">
          <cell r="B28" t="str">
            <v>Bulông M12x200</v>
          </cell>
          <cell r="C28" t="str">
            <v>cái</v>
          </cell>
          <cell r="D28">
            <v>8000</v>
          </cell>
          <cell r="E28">
            <v>8000</v>
          </cell>
          <cell r="F28">
            <v>8000</v>
          </cell>
          <cell r="K28">
            <v>8000</v>
          </cell>
        </row>
        <row r="29">
          <cell r="B29" t="str">
            <v>Bulông M12x250</v>
          </cell>
          <cell r="C29" t="str">
            <v>cái</v>
          </cell>
          <cell r="D29">
            <v>8500</v>
          </cell>
          <cell r="E29">
            <v>8500</v>
          </cell>
          <cell r="F29">
            <v>8500</v>
          </cell>
          <cell r="K29">
            <v>8500</v>
          </cell>
        </row>
        <row r="30">
          <cell r="B30" t="str">
            <v>Bu lông M14x150</v>
          </cell>
          <cell r="C30" t="str">
            <v>cái</v>
          </cell>
          <cell r="D30">
            <v>7000</v>
          </cell>
          <cell r="F30">
            <v>7000</v>
          </cell>
          <cell r="K30">
            <v>7000</v>
          </cell>
        </row>
        <row r="31">
          <cell r="B31" t="str">
            <v>Bulông M16x10</v>
          </cell>
          <cell r="C31" t="str">
            <v>cái</v>
          </cell>
          <cell r="D31">
            <v>2000</v>
          </cell>
          <cell r="E31">
            <v>2000</v>
          </cell>
          <cell r="F31">
            <v>2000</v>
          </cell>
          <cell r="K31">
            <v>2000</v>
          </cell>
        </row>
        <row r="32">
          <cell r="B32" t="str">
            <v>Bulông M16x150</v>
          </cell>
          <cell r="C32" t="str">
            <v>cái</v>
          </cell>
          <cell r="E32">
            <v>7000</v>
          </cell>
        </row>
        <row r="33">
          <cell r="B33" t="str">
            <v>Bulông M16x250</v>
          </cell>
          <cell r="C33" t="str">
            <v>cái</v>
          </cell>
          <cell r="D33">
            <v>9000</v>
          </cell>
          <cell r="E33">
            <v>9000</v>
          </cell>
          <cell r="F33">
            <v>9000</v>
          </cell>
          <cell r="K33">
            <v>9000</v>
          </cell>
        </row>
        <row r="34">
          <cell r="B34" t="str">
            <v>Bulông M20x50</v>
          </cell>
          <cell r="C34" t="str">
            <v>cái</v>
          </cell>
          <cell r="D34">
            <v>5000</v>
          </cell>
          <cell r="F34">
            <v>5000</v>
          </cell>
          <cell r="K34">
            <v>5000</v>
          </cell>
        </row>
        <row r="35">
          <cell r="B35" t="str">
            <v>Cần khoan 2,5m</v>
          </cell>
          <cell r="C35" t="str">
            <v>cái</v>
          </cell>
          <cell r="D35">
            <v>80000</v>
          </cell>
          <cell r="F35">
            <v>80000</v>
          </cell>
          <cell r="K35">
            <v>80000</v>
          </cell>
        </row>
        <row r="36">
          <cell r="B36" t="str">
            <v>Cần khoan D114m</v>
          </cell>
          <cell r="C36" t="str">
            <v>mét</v>
          </cell>
          <cell r="D36">
            <v>200000</v>
          </cell>
          <cell r="F36">
            <v>200000</v>
          </cell>
          <cell r="K36">
            <v>200000</v>
          </cell>
        </row>
        <row r="37">
          <cell r="B37" t="str">
            <v>Cần khoan D32, L=1,5m</v>
          </cell>
          <cell r="C37" t="str">
            <v>cái</v>
          </cell>
          <cell r="D37">
            <v>50000</v>
          </cell>
          <cell r="F37">
            <v>50000</v>
          </cell>
          <cell r="K37">
            <v>50000</v>
          </cell>
        </row>
        <row r="38">
          <cell r="B38" t="str">
            <v>Cần khoan D38, L=4,32m</v>
          </cell>
          <cell r="C38" t="str">
            <v>cái</v>
          </cell>
          <cell r="D38">
            <v>145000</v>
          </cell>
          <cell r="F38">
            <v>145000</v>
          </cell>
          <cell r="K38">
            <v>145000</v>
          </cell>
        </row>
        <row r="39">
          <cell r="B39" t="str">
            <v>Cần khoan D89, L=0,96m</v>
          </cell>
          <cell r="C39" t="str">
            <v>cái</v>
          </cell>
          <cell r="D39">
            <v>70000</v>
          </cell>
          <cell r="F39">
            <v>70000</v>
          </cell>
          <cell r="K39">
            <v>70000</v>
          </cell>
        </row>
        <row r="40">
          <cell r="B40" t="str">
            <v>Cần khoan Robbin</v>
          </cell>
          <cell r="C40" t="str">
            <v>cái</v>
          </cell>
          <cell r="D40">
            <v>800000</v>
          </cell>
          <cell r="F40">
            <v>800000</v>
          </cell>
          <cell r="K40">
            <v>800000</v>
          </cell>
        </row>
        <row r="41">
          <cell r="B41" t="str">
            <v>Cáp bọc CVV 4x2,5mm2</v>
          </cell>
          <cell r="C41" t="str">
            <v>m</v>
          </cell>
          <cell r="D41">
            <v>26970</v>
          </cell>
          <cell r="F41">
            <v>26970</v>
          </cell>
          <cell r="K41">
            <v>26970</v>
          </cell>
        </row>
        <row r="42">
          <cell r="B42" t="str">
            <v>Cáp thép D=10mm</v>
          </cell>
          <cell r="C42" t="str">
            <v>kg</v>
          </cell>
          <cell r="D42">
            <v>20000</v>
          </cell>
          <cell r="F42">
            <v>20000</v>
          </cell>
          <cell r="K42">
            <v>20000</v>
          </cell>
        </row>
        <row r="43">
          <cell r="B43" t="str">
            <v>Cáp thép D=4mm</v>
          </cell>
          <cell r="C43" t="str">
            <v>kg</v>
          </cell>
          <cell r="D43">
            <v>20000</v>
          </cell>
          <cell r="F43">
            <v>20000</v>
          </cell>
          <cell r="K43">
            <v>20000</v>
          </cell>
        </row>
        <row r="44">
          <cell r="B44" t="str">
            <v>Cát hạt mịn</v>
          </cell>
          <cell r="C44" t="str">
            <v>m3</v>
          </cell>
          <cell r="D44">
            <v>318182</v>
          </cell>
          <cell r="E44">
            <v>318182</v>
          </cell>
          <cell r="F44">
            <v>318182</v>
          </cell>
          <cell r="K44">
            <v>318182</v>
          </cell>
        </row>
        <row r="45">
          <cell r="B45" t="str">
            <v>Cát nền</v>
          </cell>
          <cell r="C45" t="str">
            <v>m3</v>
          </cell>
          <cell r="D45">
            <v>200000</v>
          </cell>
          <cell r="E45">
            <v>200000</v>
          </cell>
          <cell r="F45">
            <v>200000</v>
          </cell>
          <cell r="K45">
            <v>200000</v>
          </cell>
        </row>
        <row r="46">
          <cell r="B46" t="str">
            <v>Cát sạn</v>
          </cell>
          <cell r="C46" t="str">
            <v>m3</v>
          </cell>
          <cell r="D46">
            <v>200000</v>
          </cell>
          <cell r="E46">
            <v>200000</v>
          </cell>
          <cell r="F46">
            <v>200000</v>
          </cell>
          <cell r="K46">
            <v>200000</v>
          </cell>
        </row>
        <row r="47">
          <cell r="B47" t="str">
            <v>Cát vàng</v>
          </cell>
          <cell r="C47" t="str">
            <v>m3</v>
          </cell>
          <cell r="D47">
            <v>363636</v>
          </cell>
          <cell r="E47">
            <v>363636</v>
          </cell>
          <cell r="F47">
            <v>363636</v>
          </cell>
          <cell r="K47">
            <v>363636</v>
          </cell>
        </row>
        <row r="48">
          <cell r="B48" t="str">
            <v>Cát vàng ML &gt; 2</v>
          </cell>
          <cell r="C48" t="str">
            <v>kg</v>
          </cell>
          <cell r="D48">
            <v>251</v>
          </cell>
          <cell r="F48">
            <v>251</v>
          </cell>
          <cell r="K48">
            <v>251</v>
          </cell>
        </row>
        <row r="49">
          <cell r="B49" t="str">
            <v>Cây chống thép hình</v>
          </cell>
          <cell r="C49" t="str">
            <v>kg</v>
          </cell>
          <cell r="E49">
            <v>14500</v>
          </cell>
        </row>
        <row r="50">
          <cell r="B50" t="str">
            <v>Cây chống thép ống</v>
          </cell>
          <cell r="C50" t="str">
            <v>kg</v>
          </cell>
          <cell r="E50">
            <v>14500</v>
          </cell>
        </row>
        <row r="51">
          <cell r="B51" t="str">
            <v>Cây chống</v>
          </cell>
          <cell r="C51" t="str">
            <v>cây</v>
          </cell>
          <cell r="E51">
            <v>15000</v>
          </cell>
        </row>
        <row r="52">
          <cell r="B52" t="str">
            <v>Chất tạo màng</v>
          </cell>
          <cell r="C52" t="str">
            <v>lít</v>
          </cell>
          <cell r="E52">
            <v>15000</v>
          </cell>
        </row>
        <row r="53">
          <cell r="B53" t="str">
            <v>Chất trám khe</v>
          </cell>
          <cell r="C53" t="str">
            <v>lít</v>
          </cell>
          <cell r="E53">
            <v>35000</v>
          </cell>
        </row>
        <row r="54">
          <cell r="B54" t="str">
            <v>Chất cách điện</v>
          </cell>
          <cell r="C54" t="str">
            <v>kg</v>
          </cell>
          <cell r="D54">
            <v>20500</v>
          </cell>
          <cell r="F54">
            <v>20500</v>
          </cell>
          <cell r="K54">
            <v>20500</v>
          </cell>
        </row>
        <row r="55">
          <cell r="B55" t="str">
            <v>Chổi sơn</v>
          </cell>
          <cell r="C55" t="str">
            <v>cái</v>
          </cell>
          <cell r="D55">
            <v>15000</v>
          </cell>
          <cell r="F55">
            <v>15000</v>
          </cell>
          <cell r="K55">
            <v>15000</v>
          </cell>
        </row>
        <row r="56">
          <cell r="B56" t="str">
            <v>Côliê đk&lt;=100mm</v>
          </cell>
          <cell r="C56" t="str">
            <v>cái</v>
          </cell>
          <cell r="D56">
            <v>5000</v>
          </cell>
          <cell r="F56">
            <v>5000</v>
          </cell>
          <cell r="K56">
            <v>5000</v>
          </cell>
        </row>
        <row r="57">
          <cell r="B57" t="str">
            <v>Côliê đk&lt;=25mm</v>
          </cell>
          <cell r="C57" t="str">
            <v>cái</v>
          </cell>
          <cell r="D57">
            <v>2000</v>
          </cell>
          <cell r="F57">
            <v>2000</v>
          </cell>
          <cell r="K57">
            <v>2000</v>
          </cell>
        </row>
        <row r="58">
          <cell r="B58" t="str">
            <v>Côliê đk&lt;=50mm</v>
          </cell>
          <cell r="C58" t="str">
            <v>cái</v>
          </cell>
          <cell r="D58">
            <v>3000</v>
          </cell>
          <cell r="F58">
            <v>3000</v>
          </cell>
          <cell r="K58">
            <v>3000</v>
          </cell>
        </row>
        <row r="59">
          <cell r="B59" t="str">
            <v>Côliê đk&lt;=75mm</v>
          </cell>
          <cell r="C59" t="str">
            <v>cái</v>
          </cell>
          <cell r="D59">
            <v>4000</v>
          </cell>
          <cell r="F59">
            <v>4000</v>
          </cell>
          <cell r="K59">
            <v>4000</v>
          </cell>
        </row>
        <row r="60">
          <cell r="B60" t="str">
            <v>Côliê đk&gt;100mm</v>
          </cell>
          <cell r="C60" t="str">
            <v>cái</v>
          </cell>
          <cell r="D60">
            <v>6000</v>
          </cell>
          <cell r="F60">
            <v>6000</v>
          </cell>
          <cell r="K60">
            <v>6000</v>
          </cell>
        </row>
        <row r="61">
          <cell r="B61" t="str">
            <v>Coliê sắt</v>
          </cell>
          <cell r="C61" t="str">
            <v>bộ</v>
          </cell>
          <cell r="D61">
            <v>3000</v>
          </cell>
          <cell r="F61">
            <v>3000</v>
          </cell>
          <cell r="K61">
            <v>3000</v>
          </cell>
        </row>
        <row r="62">
          <cell r="B62" t="str">
            <v>Côn cao su</v>
          </cell>
          <cell r="C62" t="str">
            <v>cái</v>
          </cell>
          <cell r="E62">
            <v>600</v>
          </cell>
        </row>
        <row r="63">
          <cell r="B63" t="str">
            <v>Côn nhựa</v>
          </cell>
          <cell r="C63" t="str">
            <v>cái</v>
          </cell>
          <cell r="E63">
            <v>1500</v>
          </cell>
        </row>
        <row r="64">
          <cell r="B64" t="str">
            <v>Cồn công nghiệp</v>
          </cell>
          <cell r="C64" t="str">
            <v>kg</v>
          </cell>
          <cell r="D64">
            <v>23000</v>
          </cell>
          <cell r="F64">
            <v>23000</v>
          </cell>
          <cell r="K64">
            <v>23000</v>
          </cell>
        </row>
        <row r="65">
          <cell r="B65" t="str">
            <v>Củi đun</v>
          </cell>
          <cell r="C65" t="str">
            <v>kg</v>
          </cell>
          <cell r="D65">
            <v>1000</v>
          </cell>
          <cell r="E65">
            <v>1000</v>
          </cell>
          <cell r="F65">
            <v>1000</v>
          </cell>
          <cell r="K65">
            <v>1000</v>
          </cell>
        </row>
        <row r="66">
          <cell r="B66" t="str">
            <v>Đá 1x2</v>
          </cell>
          <cell r="C66" t="str">
            <v>m3</v>
          </cell>
          <cell r="D66">
            <v>245455</v>
          </cell>
          <cell r="E66">
            <v>245455</v>
          </cell>
          <cell r="F66">
            <v>245455</v>
          </cell>
          <cell r="K66">
            <v>245455</v>
          </cell>
        </row>
        <row r="67">
          <cell r="B67" t="str">
            <v>Đá 1x2</v>
          </cell>
          <cell r="C67" t="str">
            <v>kg</v>
          </cell>
          <cell r="D67">
            <v>164</v>
          </cell>
          <cell r="F67">
            <v>164</v>
          </cell>
          <cell r="K67">
            <v>164</v>
          </cell>
        </row>
        <row r="68">
          <cell r="B68" t="str">
            <v>Đá 2x4</v>
          </cell>
          <cell r="C68" t="str">
            <v>m3</v>
          </cell>
          <cell r="D68">
            <v>227273</v>
          </cell>
          <cell r="E68">
            <v>227273</v>
          </cell>
          <cell r="F68">
            <v>227273</v>
          </cell>
          <cell r="K68">
            <v>227273</v>
          </cell>
        </row>
        <row r="69">
          <cell r="B69" t="str">
            <v>Đá 4x6</v>
          </cell>
          <cell r="C69" t="str">
            <v>m3</v>
          </cell>
          <cell r="D69">
            <v>227273</v>
          </cell>
          <cell r="E69">
            <v>227273</v>
          </cell>
          <cell r="F69">
            <v>227273</v>
          </cell>
          <cell r="K69">
            <v>227273</v>
          </cell>
        </row>
        <row r="70">
          <cell r="B70" t="str">
            <v>Đá Granit tự nhiên</v>
          </cell>
          <cell r="C70" t="str">
            <v>m2</v>
          </cell>
          <cell r="D70">
            <v>500000</v>
          </cell>
          <cell r="E70">
            <v>500000</v>
          </cell>
          <cell r="F70">
            <v>500000</v>
          </cell>
          <cell r="K70">
            <v>500000</v>
          </cell>
        </row>
        <row r="71">
          <cell r="B71" t="str">
            <v>Đá hoa cương tiết diện &lt;0,16mm2</v>
          </cell>
          <cell r="C71" t="str">
            <v>m2</v>
          </cell>
          <cell r="D71">
            <v>500000</v>
          </cell>
          <cell r="E71">
            <v>500000</v>
          </cell>
          <cell r="F71">
            <v>500000</v>
          </cell>
          <cell r="K71">
            <v>500000</v>
          </cell>
        </row>
        <row r="72">
          <cell r="B72" t="str">
            <v>Đá hoa cương tiết diện &lt;0,25mm2</v>
          </cell>
          <cell r="C72" t="str">
            <v>m2</v>
          </cell>
          <cell r="D72">
            <v>500000</v>
          </cell>
          <cell r="E72">
            <v>500000</v>
          </cell>
          <cell r="F72">
            <v>500000</v>
          </cell>
          <cell r="K72">
            <v>500000</v>
          </cell>
        </row>
        <row r="73">
          <cell r="B73" t="str">
            <v>Đá hoa cương tiết diện &gt;0,25mm2</v>
          </cell>
          <cell r="C73" t="str">
            <v>m2</v>
          </cell>
          <cell r="D73">
            <v>500000</v>
          </cell>
          <cell r="E73">
            <v>500000</v>
          </cell>
          <cell r="F73">
            <v>500000</v>
          </cell>
          <cell r="K73">
            <v>500000</v>
          </cell>
        </row>
        <row r="74">
          <cell r="B74" t="str">
            <v>Dầu biến áp</v>
          </cell>
          <cell r="C74" t="str">
            <v>kg</v>
          </cell>
          <cell r="D74">
            <v>27940</v>
          </cell>
          <cell r="F74">
            <v>27940</v>
          </cell>
          <cell r="K74">
            <v>27940</v>
          </cell>
        </row>
        <row r="75">
          <cell r="B75" t="str">
            <v>Dầu hỏa</v>
          </cell>
          <cell r="C75" t="str">
            <v>lít</v>
          </cell>
          <cell r="D75">
            <v>9118</v>
          </cell>
          <cell r="F75">
            <v>9118</v>
          </cell>
          <cell r="K75">
            <v>9118</v>
          </cell>
        </row>
        <row r="76">
          <cell r="B76" t="str">
            <v>Dầu nhờn</v>
          </cell>
          <cell r="C76" t="str">
            <v>kg</v>
          </cell>
          <cell r="D76">
            <v>11600</v>
          </cell>
          <cell r="F76">
            <v>11600</v>
          </cell>
          <cell r="K76">
            <v>11600</v>
          </cell>
        </row>
        <row r="77">
          <cell r="B77" t="str">
            <v>Đầu nối cần khoan</v>
          </cell>
          <cell r="C77" t="str">
            <v>cái</v>
          </cell>
          <cell r="D77">
            <v>75000</v>
          </cell>
          <cell r="F77">
            <v>75000</v>
          </cell>
          <cell r="K77">
            <v>75000</v>
          </cell>
        </row>
        <row r="78">
          <cell r="B78" t="str">
            <v>Đầu phá 250mm</v>
          </cell>
          <cell r="C78" t="str">
            <v>cái</v>
          </cell>
          <cell r="F78">
            <v>180000</v>
          </cell>
          <cell r="K78">
            <v>180000</v>
          </cell>
        </row>
        <row r="79">
          <cell r="B79" t="str">
            <v>Dây điện CVV 2x1,5mm2</v>
          </cell>
          <cell r="C79" t="str">
            <v>m</v>
          </cell>
          <cell r="D79">
            <v>20040</v>
          </cell>
          <cell r="F79">
            <v>20040</v>
          </cell>
          <cell r="K79">
            <v>20040</v>
          </cell>
        </row>
        <row r="80">
          <cell r="B80" t="str">
            <v>Dây điện CVV 2x4mm2</v>
          </cell>
          <cell r="C80" t="str">
            <v>m</v>
          </cell>
          <cell r="F80">
            <v>37800</v>
          </cell>
          <cell r="K80">
            <v>37800</v>
          </cell>
        </row>
        <row r="81">
          <cell r="B81" t="str">
            <v>Dây điện CV 1x4mm2</v>
          </cell>
          <cell r="C81" t="str">
            <v>m</v>
          </cell>
          <cell r="F81">
            <v>16400</v>
          </cell>
          <cell r="K81">
            <v>16400</v>
          </cell>
        </row>
        <row r="82">
          <cell r="B82" t="str">
            <v>Dây điện CV 1x6mm2</v>
          </cell>
          <cell r="C82" t="str">
            <v>m</v>
          </cell>
          <cell r="F82">
            <v>23100</v>
          </cell>
          <cell r="K82">
            <v>23100</v>
          </cell>
        </row>
        <row r="83">
          <cell r="B83" t="str">
            <v>Dây cáp điện 3 pha Cu/XLPE/PVC - 4x50 mm2</v>
          </cell>
          <cell r="C83" t="str">
            <v>m</v>
          </cell>
          <cell r="F83">
            <v>647100</v>
          </cell>
          <cell r="K83">
            <v>647100</v>
          </cell>
        </row>
        <row r="84">
          <cell r="B84" t="str">
            <v>Dây đồng trần 6mm2</v>
          </cell>
          <cell r="C84" t="str">
            <v>m</v>
          </cell>
          <cell r="F84">
            <v>22110</v>
          </cell>
          <cell r="K84">
            <v>22110</v>
          </cell>
        </row>
        <row r="85">
          <cell r="B85" t="str">
            <v>Dây đồng 25mm2</v>
          </cell>
          <cell r="C85" t="str">
            <v>m</v>
          </cell>
          <cell r="D85">
            <v>85790</v>
          </cell>
          <cell r="F85">
            <v>85790</v>
          </cell>
          <cell r="K85">
            <v>85790</v>
          </cell>
        </row>
        <row r="86">
          <cell r="B86" t="str">
            <v>Dây thép buộc fi 2-4</v>
          </cell>
          <cell r="C86" t="str">
            <v>kg</v>
          </cell>
          <cell r="D86">
            <v>15455</v>
          </cell>
          <cell r="F86">
            <v>15455</v>
          </cell>
          <cell r="K86">
            <v>15455</v>
          </cell>
        </row>
        <row r="87">
          <cell r="B87" t="str">
            <v>Dây thép d=1mm</v>
          </cell>
          <cell r="C87" t="str">
            <v>kg</v>
          </cell>
          <cell r="D87">
            <v>14762</v>
          </cell>
          <cell r="F87">
            <v>14762</v>
          </cell>
          <cell r="K87">
            <v>14762</v>
          </cell>
        </row>
        <row r="88">
          <cell r="B88" t="str">
            <v>Dây thép d=2mm</v>
          </cell>
          <cell r="C88" t="str">
            <v>m</v>
          </cell>
          <cell r="D88">
            <v>1137</v>
          </cell>
          <cell r="F88">
            <v>1137</v>
          </cell>
          <cell r="K88">
            <v>1137</v>
          </cell>
        </row>
        <row r="89">
          <cell r="B89" t="str">
            <v>Dây thép d=4mm</v>
          </cell>
          <cell r="C89" t="str">
            <v>m</v>
          </cell>
          <cell r="D89">
            <v>2273</v>
          </cell>
          <cell r="F89">
            <v>2273</v>
          </cell>
          <cell r="K89">
            <v>2273</v>
          </cell>
        </row>
        <row r="90">
          <cell r="B90" t="str">
            <v>Dây thép d=6mm</v>
          </cell>
          <cell r="C90" t="str">
            <v>m</v>
          </cell>
          <cell r="D90">
            <v>3277</v>
          </cell>
          <cell r="F90">
            <v>3277</v>
          </cell>
          <cell r="K90">
            <v>3277</v>
          </cell>
        </row>
        <row r="91">
          <cell r="B91" t="str">
            <v>Dây thép mạ kẽm fi 2-4</v>
          </cell>
          <cell r="C91" t="str">
            <v>kg</v>
          </cell>
          <cell r="D91">
            <v>14762</v>
          </cell>
          <cell r="F91">
            <v>14762</v>
          </cell>
          <cell r="K91">
            <v>14762</v>
          </cell>
        </row>
        <row r="92">
          <cell r="B92" t="str">
            <v>Dây xích truyền động</v>
          </cell>
          <cell r="C92" t="str">
            <v>cái</v>
          </cell>
          <cell r="F92">
            <v>150000</v>
          </cell>
          <cell r="K92">
            <v>150000</v>
          </cell>
        </row>
        <row r="93">
          <cell r="B93" t="str">
            <v>Công tơ (điện kế) 1 pha</v>
          </cell>
          <cell r="C93" t="str">
            <v>cái</v>
          </cell>
          <cell r="D93">
            <v>150000</v>
          </cell>
          <cell r="F93">
            <v>150000</v>
          </cell>
          <cell r="K93">
            <v>150000</v>
          </cell>
        </row>
        <row r="94">
          <cell r="B94" t="str">
            <v>Công tơ (điện kế) 3 pha</v>
          </cell>
          <cell r="C94" t="str">
            <v>cái</v>
          </cell>
          <cell r="D94">
            <v>250000</v>
          </cell>
          <cell r="F94">
            <v>250000</v>
          </cell>
          <cell r="K94">
            <v>250000</v>
          </cell>
        </row>
        <row r="95">
          <cell r="B95" t="str">
            <v>Điện năng</v>
          </cell>
          <cell r="C95" t="str">
            <v>kWh</v>
          </cell>
          <cell r="D95">
            <v>1864.44</v>
          </cell>
          <cell r="F95">
            <v>1864.44</v>
          </cell>
          <cell r="K95">
            <v>1864.44</v>
          </cell>
        </row>
        <row r="96">
          <cell r="B96" t="str">
            <v>Dầu Diezen</v>
          </cell>
          <cell r="C96" t="str">
            <v>lít</v>
          </cell>
          <cell r="D96">
            <v>11009</v>
          </cell>
          <cell r="F96">
            <v>11009</v>
          </cell>
          <cell r="K96">
            <v>11009</v>
          </cell>
        </row>
        <row r="97">
          <cell r="B97" t="str">
            <v>Đinh</v>
          </cell>
          <cell r="C97" t="str">
            <v>kg</v>
          </cell>
          <cell r="D97">
            <v>16364</v>
          </cell>
          <cell r="F97">
            <v>16364</v>
          </cell>
          <cell r="K97">
            <v>16364</v>
          </cell>
        </row>
        <row r="98">
          <cell r="B98" t="str">
            <v>Đinh đỉa</v>
          </cell>
          <cell r="C98" t="str">
            <v>kg</v>
          </cell>
          <cell r="D98">
            <v>15455</v>
          </cell>
          <cell r="F98">
            <v>15455</v>
          </cell>
          <cell r="K98">
            <v>15455</v>
          </cell>
        </row>
        <row r="99">
          <cell r="B99" t="str">
            <v>Đồng lá 0,5mm</v>
          </cell>
          <cell r="C99" t="str">
            <v>kg</v>
          </cell>
          <cell r="D99">
            <v>100000</v>
          </cell>
          <cell r="F99">
            <v>100000</v>
          </cell>
          <cell r="K99">
            <v>100000</v>
          </cell>
        </row>
        <row r="100">
          <cell r="B100" t="str">
            <v>Găng tay sợi</v>
          </cell>
          <cell r="C100" t="str">
            <v>đôi</v>
          </cell>
          <cell r="F100">
            <v>12000</v>
          </cell>
          <cell r="K100">
            <v>12000</v>
          </cell>
        </row>
        <row r="101">
          <cell r="B101" t="str">
            <v>Gạch đất nung 30x30</v>
          </cell>
          <cell r="C101" t="str">
            <v>m2</v>
          </cell>
          <cell r="D101">
            <v>63800</v>
          </cell>
          <cell r="F101">
            <v>63800</v>
          </cell>
          <cell r="K101">
            <v>63800</v>
          </cell>
        </row>
        <row r="102">
          <cell r="B102" t="str">
            <v>Gạch lát ximang 40x40</v>
          </cell>
          <cell r="C102" t="str">
            <v>m2</v>
          </cell>
          <cell r="D102">
            <v>96000</v>
          </cell>
          <cell r="F102">
            <v>96000</v>
          </cell>
          <cell r="K102">
            <v>96000</v>
          </cell>
        </row>
        <row r="103">
          <cell r="B103" t="str">
            <v>Gạch lát ximang tự chèn dày 3,5cm</v>
          </cell>
          <cell r="C103" t="str">
            <v>m2</v>
          </cell>
          <cell r="D103">
            <v>89090</v>
          </cell>
          <cell r="F103">
            <v>89090</v>
          </cell>
          <cell r="K103">
            <v>89090</v>
          </cell>
        </row>
        <row r="104">
          <cell r="B104" t="str">
            <v>Gạch lát ximang tự chèn dày 5,5cm</v>
          </cell>
          <cell r="C104" t="str">
            <v>m2</v>
          </cell>
          <cell r="D104">
            <v>131820</v>
          </cell>
          <cell r="F104">
            <v>131820</v>
          </cell>
          <cell r="K104">
            <v>131820</v>
          </cell>
        </row>
        <row r="105">
          <cell r="B105" t="str">
            <v>Gas</v>
          </cell>
          <cell r="C105" t="str">
            <v>kg</v>
          </cell>
          <cell r="D105">
            <v>21212</v>
          </cell>
          <cell r="F105">
            <v>21212</v>
          </cell>
          <cell r="K105">
            <v>21212</v>
          </cell>
        </row>
        <row r="106">
          <cell r="B106" t="str">
            <v>Ghen nhựa d=6</v>
          </cell>
          <cell r="C106" t="str">
            <v>m</v>
          </cell>
          <cell r="D106">
            <v>4500</v>
          </cell>
          <cell r="F106">
            <v>4500</v>
          </cell>
          <cell r="K106">
            <v>4500</v>
          </cell>
        </row>
        <row r="107">
          <cell r="B107" t="str">
            <v>Ghen nilông</v>
          </cell>
          <cell r="C107" t="str">
            <v>m</v>
          </cell>
          <cell r="D107">
            <v>4500</v>
          </cell>
          <cell r="F107">
            <v>4500</v>
          </cell>
          <cell r="K107">
            <v>4500</v>
          </cell>
        </row>
        <row r="108">
          <cell r="B108" t="str">
            <v>Giấy nhám mịn</v>
          </cell>
          <cell r="C108" t="str">
            <v>tờ</v>
          </cell>
          <cell r="D108">
            <v>14000</v>
          </cell>
          <cell r="F108">
            <v>14000</v>
          </cell>
          <cell r="K108">
            <v>14000</v>
          </cell>
        </row>
        <row r="109">
          <cell r="B109" t="str">
            <v>Giấy ráp</v>
          </cell>
          <cell r="C109" t="str">
            <v>tờ</v>
          </cell>
          <cell r="D109">
            <v>14000</v>
          </cell>
          <cell r="F109">
            <v>14000</v>
          </cell>
          <cell r="K109">
            <v>14000</v>
          </cell>
        </row>
        <row r="110">
          <cell r="B110" t="str">
            <v>Giẻ lau</v>
          </cell>
          <cell r="C110" t="str">
            <v>kg</v>
          </cell>
          <cell r="D110">
            <v>5000</v>
          </cell>
          <cell r="F110">
            <v>5000</v>
          </cell>
          <cell r="K110">
            <v>5000</v>
          </cell>
        </row>
        <row r="111">
          <cell r="B111" t="str">
            <v>Gôm lắc</v>
          </cell>
          <cell r="C111" t="str">
            <v>kg</v>
          </cell>
          <cell r="D111">
            <v>40000</v>
          </cell>
          <cell r="F111">
            <v>40000</v>
          </cell>
          <cell r="K111">
            <v>40000</v>
          </cell>
        </row>
        <row r="112">
          <cell r="B112" t="str">
            <v>Gỗ chống</v>
          </cell>
          <cell r="C112" t="str">
            <v>m3</v>
          </cell>
          <cell r="D112">
            <v>3545455</v>
          </cell>
          <cell r="F112">
            <v>3545455</v>
          </cell>
          <cell r="K112">
            <v>3545455</v>
          </cell>
        </row>
        <row r="113">
          <cell r="B113" t="str">
            <v>Gỗ đà nẹp</v>
          </cell>
          <cell r="C113" t="str">
            <v>m3</v>
          </cell>
          <cell r="D113">
            <v>3545455</v>
          </cell>
          <cell r="F113">
            <v>3545455</v>
          </cell>
          <cell r="K113">
            <v>3545455</v>
          </cell>
        </row>
        <row r="114">
          <cell r="B114" t="str">
            <v>Gỗ hộp kê máy</v>
          </cell>
          <cell r="C114" t="str">
            <v>m3</v>
          </cell>
          <cell r="D114">
            <v>3545455</v>
          </cell>
          <cell r="F114">
            <v>3545455</v>
          </cell>
          <cell r="K114">
            <v>3545455</v>
          </cell>
        </row>
        <row r="115">
          <cell r="B115" t="str">
            <v>Gỗ kê chèn</v>
          </cell>
          <cell r="C115" t="str">
            <v>m3</v>
          </cell>
          <cell r="D115">
            <v>3545455</v>
          </cell>
          <cell r="F115">
            <v>3545455</v>
          </cell>
          <cell r="K115">
            <v>3545455</v>
          </cell>
        </row>
        <row r="116">
          <cell r="B116" t="str">
            <v>Gỗ nhóm 4</v>
          </cell>
          <cell r="C116" t="str">
            <v>m3</v>
          </cell>
          <cell r="D116">
            <v>4545455</v>
          </cell>
          <cell r="F116">
            <v>4545455</v>
          </cell>
          <cell r="K116">
            <v>4545455</v>
          </cell>
        </row>
        <row r="117">
          <cell r="B117" t="str">
            <v>Gỗ nhóm 5</v>
          </cell>
          <cell r="C117" t="str">
            <v>m3</v>
          </cell>
          <cell r="D117">
            <v>3545455</v>
          </cell>
          <cell r="F117">
            <v>3545455</v>
          </cell>
          <cell r="K117">
            <v>3545455</v>
          </cell>
        </row>
        <row r="118">
          <cell r="B118" t="str">
            <v>Gỗ ván khuôn</v>
          </cell>
          <cell r="C118" t="str">
            <v>m3</v>
          </cell>
          <cell r="D118">
            <v>3545455</v>
          </cell>
          <cell r="F118">
            <v>3545455</v>
          </cell>
          <cell r="K118">
            <v>3545455</v>
          </cell>
        </row>
        <row r="119">
          <cell r="B119" t="str">
            <v>Gỗ ván cầu công tác</v>
          </cell>
          <cell r="C119" t="str">
            <v>m4</v>
          </cell>
          <cell r="D119">
            <v>3545455</v>
          </cell>
          <cell r="F119">
            <v>3545455</v>
          </cell>
          <cell r="K119">
            <v>3545455</v>
          </cell>
        </row>
        <row r="120">
          <cell r="B120" t="str">
            <v>Hộp công tơ (hộp điện kế)</v>
          </cell>
          <cell r="C120" t="str">
            <v>cái</v>
          </cell>
          <cell r="D120">
            <v>35000</v>
          </cell>
          <cell r="F120">
            <v>35000</v>
          </cell>
          <cell r="K120">
            <v>35000</v>
          </cell>
        </row>
        <row r="121">
          <cell r="B121" t="str">
            <v>Hộp nối cáp loại 120mm2</v>
          </cell>
          <cell r="C121" t="str">
            <v>bộ</v>
          </cell>
          <cell r="D121">
            <v>27040</v>
          </cell>
          <cell r="F121">
            <v>27040</v>
          </cell>
          <cell r="K121">
            <v>27040</v>
          </cell>
        </row>
        <row r="122">
          <cell r="B122" t="str">
            <v>Hộp nối cáp loại 185mm2</v>
          </cell>
          <cell r="C122" t="str">
            <v>bộ</v>
          </cell>
          <cell r="D122">
            <v>27040</v>
          </cell>
          <cell r="F122">
            <v>27040</v>
          </cell>
          <cell r="K122">
            <v>27040</v>
          </cell>
        </row>
        <row r="123">
          <cell r="B123" t="str">
            <v>Hộp nối cáp loại 240mm2</v>
          </cell>
          <cell r="C123" t="str">
            <v>bộ</v>
          </cell>
          <cell r="D123">
            <v>33800</v>
          </cell>
          <cell r="F123">
            <v>33800</v>
          </cell>
          <cell r="K123">
            <v>33800</v>
          </cell>
        </row>
        <row r="124">
          <cell r="B124" t="str">
            <v>Hộp nối cáp loại 300mm2</v>
          </cell>
          <cell r="C124" t="str">
            <v>bộ</v>
          </cell>
          <cell r="D124">
            <v>33800</v>
          </cell>
          <cell r="F124">
            <v>33800</v>
          </cell>
          <cell r="K124">
            <v>33800</v>
          </cell>
        </row>
        <row r="125">
          <cell r="B125" t="str">
            <v>Hộp nối cáp loại 35mm2</v>
          </cell>
          <cell r="C125" t="str">
            <v>bộ</v>
          </cell>
          <cell r="D125">
            <v>16224</v>
          </cell>
          <cell r="F125">
            <v>16224</v>
          </cell>
          <cell r="K125">
            <v>16224</v>
          </cell>
        </row>
        <row r="126">
          <cell r="B126" t="str">
            <v>Hộp nối cáp loại 400mm2</v>
          </cell>
          <cell r="C126" t="str">
            <v>bộ</v>
          </cell>
          <cell r="D126">
            <v>33800</v>
          </cell>
          <cell r="F126">
            <v>33800</v>
          </cell>
          <cell r="K126">
            <v>33800</v>
          </cell>
        </row>
        <row r="127">
          <cell r="B127" t="str">
            <v>Hộp nối cáp loại 70mm2</v>
          </cell>
          <cell r="C127" t="str">
            <v>bộ</v>
          </cell>
          <cell r="D127">
            <v>20280</v>
          </cell>
          <cell r="F127">
            <v>20280</v>
          </cell>
          <cell r="K127">
            <v>20280</v>
          </cell>
        </row>
        <row r="128">
          <cell r="B128" t="str">
            <v>Hộp nối cáp</v>
          </cell>
          <cell r="C128" t="str">
            <v>bộ</v>
          </cell>
          <cell r="D128">
            <v>33800</v>
          </cell>
          <cell r="F128">
            <v>33800</v>
          </cell>
          <cell r="K128">
            <v>33800</v>
          </cell>
        </row>
        <row r="129">
          <cell r="B129" t="str">
            <v>Nhựa dán</v>
          </cell>
          <cell r="C129" t="str">
            <v>kg</v>
          </cell>
          <cell r="D129">
            <v>45000</v>
          </cell>
          <cell r="F129">
            <v>45000</v>
          </cell>
          <cell r="K129">
            <v>45000</v>
          </cell>
        </row>
        <row r="130">
          <cell r="B130" t="str">
            <v>Keo dán</v>
          </cell>
          <cell r="C130" t="str">
            <v>kg</v>
          </cell>
          <cell r="D130">
            <v>45000</v>
          </cell>
          <cell r="F130">
            <v>45000</v>
          </cell>
          <cell r="K130">
            <v>45000</v>
          </cell>
        </row>
        <row r="131">
          <cell r="B131" t="str">
            <v>Lưới thép B40</v>
          </cell>
          <cell r="C131" t="str">
            <v>m2</v>
          </cell>
          <cell r="D131">
            <v>35606</v>
          </cell>
          <cell r="F131">
            <v>35606</v>
          </cell>
          <cell r="K131">
            <v>35606</v>
          </cell>
        </row>
        <row r="132">
          <cell r="B132" t="str">
            <v>Lưỡi khoan</v>
          </cell>
          <cell r="C132" t="str">
            <v>cái</v>
          </cell>
          <cell r="F132">
            <v>65000</v>
          </cell>
          <cell r="K132">
            <v>65000</v>
          </cell>
        </row>
        <row r="133">
          <cell r="B133" t="str">
            <v>Măng sông PVC D100mm</v>
          </cell>
          <cell r="C133" t="str">
            <v>cái</v>
          </cell>
          <cell r="D133">
            <v>51300</v>
          </cell>
          <cell r="F133">
            <v>51300</v>
          </cell>
          <cell r="K133">
            <v>51300</v>
          </cell>
        </row>
        <row r="134">
          <cell r="B134" t="str">
            <v>Măng sông PVC D110mm</v>
          </cell>
          <cell r="C134" t="str">
            <v>cái</v>
          </cell>
          <cell r="D134">
            <v>51300</v>
          </cell>
          <cell r="F134">
            <v>51300</v>
          </cell>
          <cell r="K134">
            <v>51300</v>
          </cell>
        </row>
        <row r="135">
          <cell r="B135" t="str">
            <v>Măng sông PVC D150mm</v>
          </cell>
          <cell r="C135" t="str">
            <v>cái</v>
          </cell>
          <cell r="D135">
            <v>83200</v>
          </cell>
          <cell r="F135">
            <v>83200</v>
          </cell>
          <cell r="K135">
            <v>83200</v>
          </cell>
        </row>
        <row r="136">
          <cell r="B136" t="str">
            <v>Măng sông PVC D15mm</v>
          </cell>
          <cell r="C136" t="str">
            <v>cái</v>
          </cell>
          <cell r="D136">
            <v>16000</v>
          </cell>
          <cell r="F136">
            <v>16000</v>
          </cell>
          <cell r="K136">
            <v>16000</v>
          </cell>
        </row>
        <row r="137">
          <cell r="B137" t="str">
            <v>Măng sông PVC D200mm</v>
          </cell>
          <cell r="C137" t="str">
            <v>cái</v>
          </cell>
          <cell r="D137">
            <v>132600</v>
          </cell>
          <cell r="F137">
            <v>132600</v>
          </cell>
          <cell r="K137">
            <v>132600</v>
          </cell>
        </row>
        <row r="138">
          <cell r="B138" t="str">
            <v>Măng sông PVC D21mm</v>
          </cell>
          <cell r="C138" t="str">
            <v>cái</v>
          </cell>
          <cell r="D138">
            <v>2000</v>
          </cell>
          <cell r="F138">
            <v>2000</v>
          </cell>
          <cell r="K138">
            <v>2000</v>
          </cell>
        </row>
        <row r="139">
          <cell r="B139" t="str">
            <v>Măng sông PVC D250mm</v>
          </cell>
          <cell r="C139" t="str">
            <v>cái</v>
          </cell>
          <cell r="D139">
            <v>150000</v>
          </cell>
          <cell r="F139">
            <v>150000</v>
          </cell>
          <cell r="K139">
            <v>150000</v>
          </cell>
        </row>
        <row r="140">
          <cell r="B140" t="str">
            <v>Măng sông PVC D25mm</v>
          </cell>
          <cell r="C140" t="str">
            <v>cái</v>
          </cell>
          <cell r="D140">
            <v>2500</v>
          </cell>
          <cell r="F140">
            <v>2500</v>
          </cell>
          <cell r="K140">
            <v>2500</v>
          </cell>
        </row>
        <row r="141">
          <cell r="B141" t="str">
            <v>Măng sông PVC D32mm</v>
          </cell>
          <cell r="C141" t="str">
            <v>cái</v>
          </cell>
          <cell r="D141">
            <v>4000</v>
          </cell>
          <cell r="F141">
            <v>4000</v>
          </cell>
          <cell r="K141">
            <v>4000</v>
          </cell>
        </row>
        <row r="142">
          <cell r="B142" t="str">
            <v>Măng sông PVC D40mm</v>
          </cell>
          <cell r="C142" t="str">
            <v>cái</v>
          </cell>
          <cell r="D142">
            <v>5100</v>
          </cell>
          <cell r="F142">
            <v>5100</v>
          </cell>
          <cell r="K142">
            <v>5100</v>
          </cell>
        </row>
        <row r="143">
          <cell r="B143" t="str">
            <v>Măng sông PVC D50mm</v>
          </cell>
          <cell r="C143" t="str">
            <v>cái</v>
          </cell>
          <cell r="D143">
            <v>79000</v>
          </cell>
          <cell r="F143">
            <v>79000</v>
          </cell>
          <cell r="K143">
            <v>79000</v>
          </cell>
        </row>
        <row r="144">
          <cell r="B144" t="str">
            <v>Măng sông PVC D67mm</v>
          </cell>
          <cell r="C144" t="str">
            <v>cái</v>
          </cell>
          <cell r="D144">
            <v>12200</v>
          </cell>
          <cell r="F144">
            <v>12200</v>
          </cell>
          <cell r="K144">
            <v>12200</v>
          </cell>
        </row>
        <row r="145">
          <cell r="B145" t="str">
            <v>Măng sông PVC D76mm</v>
          </cell>
          <cell r="C145" t="str">
            <v>cái</v>
          </cell>
          <cell r="D145">
            <v>15800</v>
          </cell>
          <cell r="F145">
            <v>15800</v>
          </cell>
          <cell r="K145">
            <v>15800</v>
          </cell>
        </row>
        <row r="146">
          <cell r="B146" t="str">
            <v>Măng sông PVC D90mm</v>
          </cell>
          <cell r="C146" t="str">
            <v>cái</v>
          </cell>
          <cell r="D146">
            <v>25000</v>
          </cell>
          <cell r="F146">
            <v>25000</v>
          </cell>
          <cell r="K146">
            <v>25000</v>
          </cell>
        </row>
        <row r="147">
          <cell r="B147" t="str">
            <v>Ma tít</v>
          </cell>
          <cell r="C147" t="str">
            <v>kg</v>
          </cell>
          <cell r="D147">
            <v>1000</v>
          </cell>
          <cell r="F147">
            <v>1000</v>
          </cell>
          <cell r="K147">
            <v>1000</v>
          </cell>
        </row>
        <row r="148">
          <cell r="B148" t="str">
            <v>Mỡ bò</v>
          </cell>
          <cell r="C148" t="str">
            <v>kg</v>
          </cell>
          <cell r="D148">
            <v>31818</v>
          </cell>
          <cell r="F148">
            <v>31818</v>
          </cell>
          <cell r="K148">
            <v>31818</v>
          </cell>
        </row>
        <row r="149">
          <cell r="B149" t="str">
            <v>Mỡ trung tính</v>
          </cell>
          <cell r="C149" t="str">
            <v>kg</v>
          </cell>
          <cell r="D149">
            <v>65000</v>
          </cell>
          <cell r="F149">
            <v>65000</v>
          </cell>
          <cell r="K149">
            <v>65000</v>
          </cell>
        </row>
        <row r="150">
          <cell r="B150" t="str">
            <v>Mỡ các loại</v>
          </cell>
          <cell r="C150" t="str">
            <v>kg</v>
          </cell>
          <cell r="D150">
            <v>50000</v>
          </cell>
          <cell r="F150">
            <v>50000</v>
          </cell>
          <cell r="K150">
            <v>50000</v>
          </cell>
        </row>
        <row r="151">
          <cell r="B151" t="str">
            <v>Mỡ YOC</v>
          </cell>
          <cell r="C151" t="str">
            <v>kg</v>
          </cell>
          <cell r="D151">
            <v>38182</v>
          </cell>
          <cell r="F151">
            <v>38182</v>
          </cell>
          <cell r="K151">
            <v>38182</v>
          </cell>
        </row>
        <row r="152">
          <cell r="B152" t="str">
            <v>Mũi khoan D105</v>
          </cell>
          <cell r="C152" t="str">
            <v>cái</v>
          </cell>
          <cell r="D152">
            <v>130000</v>
          </cell>
          <cell r="F152">
            <v>130000</v>
          </cell>
          <cell r="K152">
            <v>130000</v>
          </cell>
        </row>
        <row r="153">
          <cell r="B153" t="str">
            <v>Mũi khoan D168</v>
          </cell>
          <cell r="C153" t="str">
            <v>cái</v>
          </cell>
          <cell r="D153">
            <v>205000</v>
          </cell>
          <cell r="F153">
            <v>205000</v>
          </cell>
          <cell r="K153">
            <v>205000</v>
          </cell>
        </row>
        <row r="154">
          <cell r="B154" t="str">
            <v>Mũi khoan hợp kim D50</v>
          </cell>
          <cell r="C154" t="str">
            <v>cái</v>
          </cell>
          <cell r="D154">
            <v>150000</v>
          </cell>
          <cell r="F154">
            <v>150000</v>
          </cell>
          <cell r="K154">
            <v>150000</v>
          </cell>
        </row>
        <row r="155">
          <cell r="B155" t="str">
            <v>Nhũ tương nhựa đường</v>
          </cell>
          <cell r="C155" t="str">
            <v>kg</v>
          </cell>
          <cell r="D155">
            <v>10091</v>
          </cell>
          <cell r="F155">
            <v>10091</v>
          </cell>
          <cell r="K155">
            <v>10091</v>
          </cell>
        </row>
        <row r="156">
          <cell r="B156" t="str">
            <v>Nhựa bitum</v>
          </cell>
          <cell r="C156" t="str">
            <v>kg</v>
          </cell>
          <cell r="D156">
            <v>10091</v>
          </cell>
          <cell r="F156">
            <v>10091</v>
          </cell>
          <cell r="K156">
            <v>10091</v>
          </cell>
        </row>
        <row r="157">
          <cell r="B157" t="str">
            <v>Nhựa dán ống PVC</v>
          </cell>
          <cell r="C157" t="str">
            <v>kg</v>
          </cell>
          <cell r="D157">
            <v>100900</v>
          </cell>
          <cell r="F157">
            <v>100900</v>
          </cell>
          <cell r="K157">
            <v>100900</v>
          </cell>
        </row>
        <row r="158">
          <cell r="B158" t="str">
            <v>nhựa thông</v>
          </cell>
          <cell r="C158" t="str">
            <v>kg</v>
          </cell>
          <cell r="D158">
            <v>42000</v>
          </cell>
          <cell r="F158">
            <v>42000</v>
          </cell>
          <cell r="K158">
            <v>42000</v>
          </cell>
        </row>
        <row r="159">
          <cell r="B159" t="str">
            <v>Nước ngọt</v>
          </cell>
          <cell r="C159" t="str">
            <v>lít</v>
          </cell>
          <cell r="D159">
            <v>12.5</v>
          </cell>
          <cell r="F159">
            <v>12.5</v>
          </cell>
          <cell r="K159">
            <v>12.5</v>
          </cell>
        </row>
        <row r="160">
          <cell r="B160" t="str">
            <v>Ống nhựa PVC D100mm</v>
          </cell>
          <cell r="C160" t="str">
            <v>mét</v>
          </cell>
          <cell r="D160">
            <v>56400</v>
          </cell>
          <cell r="F160">
            <v>56400</v>
          </cell>
          <cell r="K160">
            <v>56400</v>
          </cell>
        </row>
        <row r="161">
          <cell r="B161" t="str">
            <v>Ống nhựa PVC D110mm</v>
          </cell>
          <cell r="C161" t="str">
            <v>mét</v>
          </cell>
          <cell r="D161">
            <v>70500</v>
          </cell>
          <cell r="F161">
            <v>70500</v>
          </cell>
          <cell r="K161">
            <v>70500</v>
          </cell>
        </row>
        <row r="162">
          <cell r="B162" t="str">
            <v>Ống nhựa PVC D150mm</v>
          </cell>
          <cell r="C162" t="str">
            <v>mét</v>
          </cell>
          <cell r="D162">
            <v>109300</v>
          </cell>
          <cell r="F162">
            <v>109300</v>
          </cell>
          <cell r="K162">
            <v>109300</v>
          </cell>
        </row>
        <row r="163">
          <cell r="B163" t="str">
            <v>Ống nhựa PVC D15mm</v>
          </cell>
          <cell r="C163" t="str">
            <v>mét</v>
          </cell>
          <cell r="D163">
            <v>3045</v>
          </cell>
          <cell r="F163">
            <v>3045</v>
          </cell>
          <cell r="K163">
            <v>3045</v>
          </cell>
        </row>
        <row r="164">
          <cell r="B164" t="str">
            <v>Ống nhựa PVC D200mm</v>
          </cell>
          <cell r="C164" t="str">
            <v>mét</v>
          </cell>
          <cell r="D164">
            <v>259000</v>
          </cell>
          <cell r="F164">
            <v>259000</v>
          </cell>
          <cell r="K164">
            <v>259000</v>
          </cell>
        </row>
        <row r="165">
          <cell r="B165" t="str">
            <v>Ống nhựa PVC D21mm</v>
          </cell>
          <cell r="C165" t="str">
            <v>mét</v>
          </cell>
          <cell r="D165">
            <v>5300</v>
          </cell>
          <cell r="F165">
            <v>5300</v>
          </cell>
          <cell r="K165">
            <v>5300</v>
          </cell>
        </row>
        <row r="166">
          <cell r="B166" t="str">
            <v>Ống nhựa PVC D25mm</v>
          </cell>
          <cell r="C166" t="str">
            <v>mét</v>
          </cell>
          <cell r="D166">
            <v>7600</v>
          </cell>
          <cell r="F166">
            <v>7600</v>
          </cell>
          <cell r="K166">
            <v>7600</v>
          </cell>
        </row>
        <row r="167">
          <cell r="B167" t="str">
            <v>Ống nhựa PVC D32mm</v>
          </cell>
          <cell r="C167" t="str">
            <v>mét</v>
          </cell>
          <cell r="D167">
            <v>11200</v>
          </cell>
          <cell r="F167">
            <v>11200</v>
          </cell>
          <cell r="K167">
            <v>11200</v>
          </cell>
        </row>
        <row r="168">
          <cell r="B168" t="str">
            <v>Ống nhựa PVC D40mm</v>
          </cell>
          <cell r="C168" t="str">
            <v>mét</v>
          </cell>
          <cell r="D168">
            <v>13045</v>
          </cell>
          <cell r="F168">
            <v>13045</v>
          </cell>
          <cell r="K168">
            <v>13045</v>
          </cell>
        </row>
        <row r="169">
          <cell r="B169" t="str">
            <v>Ống nhựa PVC D50mm</v>
          </cell>
          <cell r="C169" t="str">
            <v>mét</v>
          </cell>
          <cell r="D169">
            <v>16100</v>
          </cell>
          <cell r="F169">
            <v>16100</v>
          </cell>
          <cell r="K169">
            <v>16100</v>
          </cell>
        </row>
        <row r="170">
          <cell r="B170" t="str">
            <v>Ống nhựa PVC D67mm</v>
          </cell>
          <cell r="C170" t="str">
            <v>mét</v>
          </cell>
          <cell r="D170">
            <v>22600</v>
          </cell>
          <cell r="F170">
            <v>22600</v>
          </cell>
          <cell r="K170">
            <v>22600</v>
          </cell>
        </row>
        <row r="171">
          <cell r="B171" t="str">
            <v>Ống nhựa PVC D76mm</v>
          </cell>
          <cell r="C171" t="str">
            <v>mét</v>
          </cell>
          <cell r="D171">
            <v>34500</v>
          </cell>
          <cell r="F171">
            <v>34500</v>
          </cell>
          <cell r="K171">
            <v>34500</v>
          </cell>
        </row>
        <row r="172">
          <cell r="B172" t="str">
            <v>Ống nhựa PVC D90mm</v>
          </cell>
          <cell r="C172" t="str">
            <v>mét</v>
          </cell>
          <cell r="D172">
            <v>32900</v>
          </cell>
          <cell r="F172">
            <v>32900</v>
          </cell>
          <cell r="K172">
            <v>32900</v>
          </cell>
        </row>
        <row r="173">
          <cell r="B173" t="str">
            <v>Ống nhựa PVC D250mm</v>
          </cell>
          <cell r="C173" t="str">
            <v>mét</v>
          </cell>
          <cell r="D173">
            <v>290000</v>
          </cell>
          <cell r="F173">
            <v>290000</v>
          </cell>
          <cell r="K173">
            <v>290000</v>
          </cell>
        </row>
        <row r="174">
          <cell r="B174" t="str">
            <v>Ống nối ép dây tiết diện &lt;=120mm2</v>
          </cell>
          <cell r="C174" t="str">
            <v>cái</v>
          </cell>
          <cell r="D174">
            <v>25000</v>
          </cell>
          <cell r="F174">
            <v>25000</v>
          </cell>
          <cell r="K174">
            <v>25000</v>
          </cell>
        </row>
        <row r="175">
          <cell r="B175" t="str">
            <v>Ống nối ép dây tiết diện &lt;=150mm2</v>
          </cell>
          <cell r="C175" t="str">
            <v>cái</v>
          </cell>
          <cell r="D175">
            <v>28000</v>
          </cell>
          <cell r="F175">
            <v>28000</v>
          </cell>
          <cell r="K175">
            <v>28000</v>
          </cell>
        </row>
        <row r="176">
          <cell r="B176" t="str">
            <v>Ống nối ép dây tiết diện &lt;=185mm2</v>
          </cell>
          <cell r="C176" t="str">
            <v>cái</v>
          </cell>
          <cell r="D176">
            <v>32000</v>
          </cell>
          <cell r="F176">
            <v>32000</v>
          </cell>
          <cell r="K176">
            <v>32000</v>
          </cell>
        </row>
        <row r="177">
          <cell r="B177" t="str">
            <v>Ống nối ép dây tiết diện &lt;=240mm2</v>
          </cell>
          <cell r="C177" t="str">
            <v>cái</v>
          </cell>
          <cell r="D177">
            <v>54000</v>
          </cell>
          <cell r="F177">
            <v>54000</v>
          </cell>
          <cell r="K177">
            <v>54000</v>
          </cell>
        </row>
        <row r="178">
          <cell r="B178" t="str">
            <v>Ống nối ép dây tiết diện &lt;=300mm2</v>
          </cell>
          <cell r="C178" t="str">
            <v>cái</v>
          </cell>
          <cell r="D178">
            <v>70000</v>
          </cell>
          <cell r="F178">
            <v>70000</v>
          </cell>
          <cell r="K178">
            <v>70000</v>
          </cell>
        </row>
        <row r="179">
          <cell r="B179" t="str">
            <v>Ống nối ép dây tiết diện &lt;=400mm2</v>
          </cell>
          <cell r="C179" t="str">
            <v>cái</v>
          </cell>
          <cell r="D179">
            <v>85000</v>
          </cell>
          <cell r="F179">
            <v>85000</v>
          </cell>
          <cell r="K179">
            <v>85000</v>
          </cell>
        </row>
        <row r="180">
          <cell r="B180" t="str">
            <v>Ống nối ép dây tiết diện &lt;=500mm2</v>
          </cell>
          <cell r="C180" t="str">
            <v>cái</v>
          </cell>
          <cell r="D180">
            <v>85000</v>
          </cell>
          <cell r="F180">
            <v>85000</v>
          </cell>
          <cell r="K180">
            <v>85000</v>
          </cell>
        </row>
        <row r="181">
          <cell r="B181" t="str">
            <v>Ống nối ép dây tiết diện &gt;500mm2</v>
          </cell>
          <cell r="C181" t="str">
            <v>cái</v>
          </cell>
          <cell r="D181">
            <v>85000</v>
          </cell>
          <cell r="F181">
            <v>85000</v>
          </cell>
          <cell r="K181">
            <v>85000</v>
          </cell>
        </row>
        <row r="182">
          <cell r="B182" t="str">
            <v>Oxy</v>
          </cell>
          <cell r="C182" t="str">
            <v>chai</v>
          </cell>
          <cell r="D182">
            <v>90000</v>
          </cell>
          <cell r="F182">
            <v>90000</v>
          </cell>
          <cell r="K182">
            <v>90000</v>
          </cell>
        </row>
        <row r="183">
          <cell r="B183" t="str">
            <v>Phễu cáp bằng gang loại &lt;=120mm2</v>
          </cell>
          <cell r="C183" t="str">
            <v>cái</v>
          </cell>
          <cell r="D183">
            <v>27040</v>
          </cell>
          <cell r="F183">
            <v>27040</v>
          </cell>
          <cell r="K183">
            <v>27040</v>
          </cell>
        </row>
        <row r="184">
          <cell r="B184" t="str">
            <v>Phễu cáp bằng gang loại &lt;=185mm2</v>
          </cell>
          <cell r="C184" t="str">
            <v>cái</v>
          </cell>
          <cell r="D184">
            <v>40560</v>
          </cell>
          <cell r="F184">
            <v>40560</v>
          </cell>
          <cell r="K184">
            <v>40560</v>
          </cell>
        </row>
        <row r="185">
          <cell r="B185" t="str">
            <v>Phễu cáp bằng gang loại &lt;=240mm2</v>
          </cell>
          <cell r="C185" t="str">
            <v>cái</v>
          </cell>
          <cell r="D185">
            <v>47320</v>
          </cell>
          <cell r="F185">
            <v>47320</v>
          </cell>
          <cell r="K185">
            <v>47320</v>
          </cell>
        </row>
        <row r="186">
          <cell r="B186" t="str">
            <v>Phễu cáp bằng gang loại &lt;=300mm2</v>
          </cell>
          <cell r="C186" t="str">
            <v>cái</v>
          </cell>
          <cell r="D186">
            <v>81120</v>
          </cell>
          <cell r="F186">
            <v>81120</v>
          </cell>
          <cell r="K186">
            <v>81120</v>
          </cell>
        </row>
        <row r="187">
          <cell r="B187" t="str">
            <v>Phễu cáp bằng gang loại &lt;=35mm2</v>
          </cell>
          <cell r="C187" t="str">
            <v>cái</v>
          </cell>
          <cell r="D187">
            <v>20280</v>
          </cell>
          <cell r="F187">
            <v>20280</v>
          </cell>
          <cell r="K187">
            <v>20280</v>
          </cell>
        </row>
        <row r="188">
          <cell r="B188" t="str">
            <v>Phễu cáp bằng gang loại &lt;=400mm2</v>
          </cell>
          <cell r="C188" t="str">
            <v>cái</v>
          </cell>
          <cell r="D188">
            <v>81120</v>
          </cell>
          <cell r="F188">
            <v>81120</v>
          </cell>
          <cell r="K188">
            <v>81120</v>
          </cell>
        </row>
        <row r="189">
          <cell r="B189" t="str">
            <v>Phễu cáp bằng gang loại &lt;=70mm2</v>
          </cell>
          <cell r="C189" t="str">
            <v>cái</v>
          </cell>
          <cell r="D189">
            <v>27040</v>
          </cell>
          <cell r="F189">
            <v>27040</v>
          </cell>
          <cell r="K189">
            <v>27040</v>
          </cell>
        </row>
        <row r="190">
          <cell r="B190" t="str">
            <v>Phễu cáp bằng tôn loại &lt;=120mm2</v>
          </cell>
          <cell r="C190" t="str">
            <v>cái</v>
          </cell>
          <cell r="D190">
            <v>13520</v>
          </cell>
          <cell r="F190">
            <v>13520</v>
          </cell>
          <cell r="K190">
            <v>13520</v>
          </cell>
        </row>
        <row r="191">
          <cell r="B191" t="str">
            <v>Phễu cáp bằng tôn loại &lt;=185mm2</v>
          </cell>
          <cell r="C191" t="str">
            <v>cái</v>
          </cell>
          <cell r="D191">
            <v>20280</v>
          </cell>
          <cell r="F191">
            <v>20280</v>
          </cell>
          <cell r="K191">
            <v>20280</v>
          </cell>
        </row>
        <row r="192">
          <cell r="B192" t="str">
            <v>Phễu cáp bằng tôn loại &lt;=240mm2</v>
          </cell>
          <cell r="C192" t="str">
            <v>cái</v>
          </cell>
          <cell r="D192">
            <v>23660</v>
          </cell>
          <cell r="F192">
            <v>23660</v>
          </cell>
          <cell r="K192">
            <v>23660</v>
          </cell>
        </row>
        <row r="193">
          <cell r="B193" t="str">
            <v>Phễu cáp bằng tôn loại &lt;=300mm2</v>
          </cell>
          <cell r="C193" t="str">
            <v>cái</v>
          </cell>
          <cell r="D193">
            <v>40560</v>
          </cell>
          <cell r="F193">
            <v>40560</v>
          </cell>
          <cell r="K193">
            <v>40560</v>
          </cell>
        </row>
        <row r="194">
          <cell r="B194" t="str">
            <v>Phễu cáp bằng tôn loại &lt;=35mm2</v>
          </cell>
          <cell r="C194" t="str">
            <v>cái</v>
          </cell>
          <cell r="D194">
            <v>10140</v>
          </cell>
          <cell r="F194">
            <v>10140</v>
          </cell>
          <cell r="K194">
            <v>10140</v>
          </cell>
        </row>
        <row r="195">
          <cell r="B195" t="str">
            <v>Phễu cáp bằng tôn loại &lt;=400mm2</v>
          </cell>
          <cell r="C195" t="str">
            <v>cái</v>
          </cell>
          <cell r="D195">
            <v>40560</v>
          </cell>
          <cell r="F195">
            <v>40560</v>
          </cell>
          <cell r="K195">
            <v>40560</v>
          </cell>
        </row>
        <row r="196">
          <cell r="B196" t="str">
            <v>Phễu cáp bằng tôn loại &lt;=70mm2</v>
          </cell>
          <cell r="C196" t="str">
            <v>cái</v>
          </cell>
          <cell r="D196">
            <v>13520</v>
          </cell>
          <cell r="F196">
            <v>13520</v>
          </cell>
          <cell r="K196">
            <v>13520</v>
          </cell>
        </row>
        <row r="197">
          <cell r="B197" t="str">
            <v>Potelet</v>
          </cell>
          <cell r="C197" t="str">
            <v>bộ</v>
          </cell>
          <cell r="D197">
            <v>15000</v>
          </cell>
          <cell r="F197">
            <v>15000</v>
          </cell>
          <cell r="K197">
            <v>15000</v>
          </cell>
        </row>
        <row r="198">
          <cell r="B198" t="str">
            <v>Puly nhôm</v>
          </cell>
          <cell r="C198" t="str">
            <v>cái</v>
          </cell>
          <cell r="D198">
            <v>5000</v>
          </cell>
          <cell r="F198">
            <v>5000</v>
          </cell>
          <cell r="K198">
            <v>5000</v>
          </cell>
        </row>
        <row r="199">
          <cell r="B199" t="str">
            <v>Que hàn d4</v>
          </cell>
          <cell r="C199" t="str">
            <v>kg</v>
          </cell>
          <cell r="D199">
            <v>28182</v>
          </cell>
          <cell r="F199">
            <v>28182</v>
          </cell>
          <cell r="K199">
            <v>28182</v>
          </cell>
        </row>
        <row r="200">
          <cell r="B200" t="str">
            <v xml:space="preserve">Sơn cách điện </v>
          </cell>
          <cell r="C200" t="str">
            <v>kg</v>
          </cell>
          <cell r="D200">
            <v>447636</v>
          </cell>
          <cell r="F200">
            <v>447636</v>
          </cell>
          <cell r="K200">
            <v>447636</v>
          </cell>
        </row>
        <row r="201">
          <cell r="B201" t="str">
            <v>Sơn cách nhiệt</v>
          </cell>
          <cell r="C201" t="str">
            <v>kg</v>
          </cell>
          <cell r="D201">
            <v>447636</v>
          </cell>
          <cell r="F201">
            <v>447636</v>
          </cell>
          <cell r="K201">
            <v>447636</v>
          </cell>
        </row>
        <row r="202">
          <cell r="B202" t="str">
            <v>Sơn chống rỉ</v>
          </cell>
          <cell r="C202" t="str">
            <v>kg</v>
          </cell>
          <cell r="D202">
            <v>66300</v>
          </cell>
          <cell r="F202">
            <v>66300</v>
          </cell>
          <cell r="K202">
            <v>66300</v>
          </cell>
        </row>
        <row r="203">
          <cell r="B203" t="str">
            <v>Sơn chống axit</v>
          </cell>
          <cell r="C203" t="str">
            <v>kg</v>
          </cell>
          <cell r="D203">
            <v>447636</v>
          </cell>
          <cell r="F203">
            <v>447636</v>
          </cell>
          <cell r="K203">
            <v>447636</v>
          </cell>
        </row>
        <row r="204">
          <cell r="B204" t="str">
            <v>Sơn</v>
          </cell>
          <cell r="C204" t="str">
            <v>kg</v>
          </cell>
          <cell r="D204">
            <v>73636</v>
          </cell>
          <cell r="F204">
            <v>73636</v>
          </cell>
          <cell r="K204">
            <v>73636</v>
          </cell>
        </row>
        <row r="205">
          <cell r="B205" t="str">
            <v>Sơn màu ghi</v>
          </cell>
          <cell r="C205" t="str">
            <v>kg</v>
          </cell>
          <cell r="D205">
            <v>73636</v>
          </cell>
          <cell r="F205">
            <v>73636</v>
          </cell>
          <cell r="K205">
            <v>73636</v>
          </cell>
        </row>
        <row r="206">
          <cell r="B206" t="str">
            <v>ống sứ hạ thế</v>
          </cell>
          <cell r="C206" t="str">
            <v>cái</v>
          </cell>
          <cell r="D206">
            <v>15000</v>
          </cell>
          <cell r="F206">
            <v>15000</v>
          </cell>
          <cell r="K206">
            <v>15000</v>
          </cell>
        </row>
        <row r="207">
          <cell r="B207" t="str">
            <v>Sứ hạ thế, loại 2 sứ</v>
          </cell>
          <cell r="C207" t="str">
            <v>cái</v>
          </cell>
          <cell r="D207">
            <v>30000</v>
          </cell>
          <cell r="F207">
            <v>30000</v>
          </cell>
          <cell r="K207">
            <v>30000</v>
          </cell>
        </row>
        <row r="208">
          <cell r="B208" t="str">
            <v>Sứ hạ thế, loại 3 sứ</v>
          </cell>
          <cell r="C208" t="str">
            <v>cái</v>
          </cell>
          <cell r="D208">
            <v>45000</v>
          </cell>
          <cell r="F208">
            <v>45000</v>
          </cell>
          <cell r="K208">
            <v>45000</v>
          </cell>
        </row>
        <row r="209">
          <cell r="B209" t="str">
            <v>Sứ hạ thế, loại 4 sứ</v>
          </cell>
          <cell r="C209" t="str">
            <v>cái</v>
          </cell>
          <cell r="D209">
            <v>60000</v>
          </cell>
          <cell r="F209">
            <v>60000</v>
          </cell>
          <cell r="K209">
            <v>60000</v>
          </cell>
        </row>
        <row r="210">
          <cell r="B210" t="str">
            <v>Sứ tai mèo</v>
          </cell>
          <cell r="C210" t="str">
            <v>bộ</v>
          </cell>
          <cell r="D210">
            <v>17000</v>
          </cell>
          <cell r="F210">
            <v>17000</v>
          </cell>
          <cell r="K210">
            <v>17000</v>
          </cell>
        </row>
        <row r="211">
          <cell r="B211" t="str">
            <v>Thép đệm</v>
          </cell>
          <cell r="C211" t="str">
            <v>kg</v>
          </cell>
          <cell r="D211">
            <v>12273</v>
          </cell>
          <cell r="F211">
            <v>12273</v>
          </cell>
          <cell r="K211">
            <v>12273</v>
          </cell>
        </row>
        <row r="212">
          <cell r="B212" t="str">
            <v>Thép lá 1mm</v>
          </cell>
          <cell r="C212" t="str">
            <v>kg</v>
          </cell>
          <cell r="D212">
            <v>14545</v>
          </cell>
          <cell r="F212">
            <v>14545</v>
          </cell>
          <cell r="K212">
            <v>14545</v>
          </cell>
        </row>
        <row r="213">
          <cell r="B213" t="str">
            <v>Thép hình</v>
          </cell>
          <cell r="C213" t="str">
            <v>kg</v>
          </cell>
          <cell r="D213">
            <v>13500</v>
          </cell>
          <cell r="F213">
            <v>13500</v>
          </cell>
          <cell r="K213">
            <v>13500</v>
          </cell>
        </row>
        <row r="214">
          <cell r="B214" t="str">
            <v>Thép tròn D&lt;=10mm</v>
          </cell>
          <cell r="C214" t="str">
            <v>kg</v>
          </cell>
          <cell r="D214">
            <v>12364</v>
          </cell>
          <cell r="F214">
            <v>12364</v>
          </cell>
          <cell r="K214">
            <v>12364</v>
          </cell>
        </row>
        <row r="215">
          <cell r="B215" t="str">
            <v>Thép tròn D&lt;=18mm</v>
          </cell>
          <cell r="C215" t="str">
            <v>kg</v>
          </cell>
          <cell r="D215">
            <v>12364</v>
          </cell>
          <cell r="F215">
            <v>12364</v>
          </cell>
          <cell r="K215">
            <v>12364</v>
          </cell>
        </row>
        <row r="216">
          <cell r="B216" t="str">
            <v>Thép U-80</v>
          </cell>
          <cell r="C216" t="str">
            <v>kg</v>
          </cell>
          <cell r="D216">
            <v>12273</v>
          </cell>
          <cell r="F216">
            <v>12273</v>
          </cell>
          <cell r="K216">
            <v>12273</v>
          </cell>
        </row>
        <row r="217">
          <cell r="B217" t="str">
            <v>Thiếc hàn</v>
          </cell>
          <cell r="C217" t="str">
            <v>kg</v>
          </cell>
          <cell r="D217">
            <v>30000</v>
          </cell>
          <cell r="F217">
            <v>30000</v>
          </cell>
          <cell r="K217">
            <v>30000</v>
          </cell>
        </row>
        <row r="218">
          <cell r="B218" t="str">
            <v>Tre cây 8 - 10 cm L = 6 - 8 m (kể cả phên tre)</v>
          </cell>
          <cell r="C218" t="str">
            <v>cây</v>
          </cell>
          <cell r="D218">
            <v>20000</v>
          </cell>
          <cell r="F218">
            <v>20000</v>
          </cell>
          <cell r="K218">
            <v>20000</v>
          </cell>
        </row>
        <row r="219">
          <cell r="B219" t="str">
            <v>Vải nhựa</v>
          </cell>
          <cell r="C219" t="str">
            <v>m2</v>
          </cell>
          <cell r="D219">
            <v>10000</v>
          </cell>
          <cell r="F219">
            <v>10000</v>
          </cell>
          <cell r="K219">
            <v>10000</v>
          </cell>
        </row>
        <row r="220">
          <cell r="B220" t="str">
            <v xml:space="preserve">Vải trắng mộc 0,8m </v>
          </cell>
          <cell r="C220" t="str">
            <v>m</v>
          </cell>
          <cell r="D220">
            <v>8000</v>
          </cell>
          <cell r="F220">
            <v>8000</v>
          </cell>
          <cell r="K220">
            <v>8000</v>
          </cell>
        </row>
        <row r="221">
          <cell r="B221" t="str">
            <v>Vải trắng mộc 0,8m</v>
          </cell>
          <cell r="C221" t="str">
            <v>m2</v>
          </cell>
          <cell r="D221">
            <v>6400</v>
          </cell>
          <cell r="F221">
            <v>6400</v>
          </cell>
          <cell r="K221">
            <v>6400</v>
          </cell>
        </row>
        <row r="222">
          <cell r="B222" t="str">
            <v>Vazơlin</v>
          </cell>
          <cell r="C222" t="str">
            <v>kg</v>
          </cell>
          <cell r="D222">
            <v>25000</v>
          </cell>
          <cell r="F222">
            <v>25000</v>
          </cell>
          <cell r="K222">
            <v>25000</v>
          </cell>
        </row>
        <row r="223">
          <cell r="B223" t="str">
            <v>Vít M4x40</v>
          </cell>
          <cell r="C223" t="str">
            <v>cái</v>
          </cell>
          <cell r="D223">
            <v>150</v>
          </cell>
          <cell r="F223">
            <v>150</v>
          </cell>
          <cell r="K223">
            <v>150</v>
          </cell>
        </row>
        <row r="224">
          <cell r="B224" t="str">
            <v>Vữa trộn sẵn M50 (trát)</v>
          </cell>
          <cell r="C224" t="str">
            <v>kg</v>
          </cell>
          <cell r="D224">
            <v>3273</v>
          </cell>
          <cell r="F224">
            <v>3273</v>
          </cell>
          <cell r="K224">
            <v>3273</v>
          </cell>
        </row>
        <row r="225">
          <cell r="B225" t="str">
            <v>Vữa trộn sẵn M75 (trát)</v>
          </cell>
          <cell r="C225" t="str">
            <v>kg</v>
          </cell>
          <cell r="D225">
            <v>3487</v>
          </cell>
          <cell r="F225">
            <v>3487</v>
          </cell>
          <cell r="K225">
            <v>3487</v>
          </cell>
        </row>
        <row r="226">
          <cell r="B226" t="str">
            <v>Xăng</v>
          </cell>
          <cell r="C226" t="str">
            <v>kg</v>
          </cell>
          <cell r="D226">
            <v>25155</v>
          </cell>
          <cell r="F226">
            <v>25155</v>
          </cell>
          <cell r="K226">
            <v>25155</v>
          </cell>
        </row>
        <row r="227">
          <cell r="B227" t="str">
            <v>Xi măng PC30</v>
          </cell>
          <cell r="C227" t="str">
            <v>kg</v>
          </cell>
          <cell r="D227">
            <v>1436</v>
          </cell>
          <cell r="F227">
            <v>1436</v>
          </cell>
          <cell r="K227">
            <v>1436</v>
          </cell>
        </row>
        <row r="228">
          <cell r="B228" t="str">
            <v>Xi măng PC40</v>
          </cell>
          <cell r="C228" t="str">
            <v>kg</v>
          </cell>
          <cell r="D228">
            <v>1473</v>
          </cell>
          <cell r="F228">
            <v>1473</v>
          </cell>
          <cell r="K228">
            <v>1473</v>
          </cell>
        </row>
        <row r="229">
          <cell r="B229" t="str">
            <v>Xi măng trắng</v>
          </cell>
          <cell r="C229" t="str">
            <v>kg</v>
          </cell>
          <cell r="D229">
            <v>3300</v>
          </cell>
          <cell r="F229">
            <v>3300</v>
          </cell>
          <cell r="K229">
            <v>3300</v>
          </cell>
        </row>
        <row r="230">
          <cell r="B230" t="str">
            <v>Vật liệu khác</v>
          </cell>
          <cell r="C230" t="str">
            <v>%</v>
          </cell>
          <cell r="D230">
            <v>5000</v>
          </cell>
          <cell r="F230">
            <v>5000</v>
          </cell>
          <cell r="K230">
            <v>5000</v>
          </cell>
        </row>
      </sheetData>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C"/>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DANH MUC"/>
      <sheetName val="TONG"/>
      <sheetName val="CP-TVĐTXD"/>
      <sheetName val="CP-khac"/>
      <sheetName val="TH 22"/>
      <sheetName val="TH 0.4"/>
      <sheetName val="Cphi DD"/>
      <sheetName val="Ctiet DD"/>
      <sheetName val="TNHC DD"/>
      <sheetName val="THXD"/>
      <sheetName val="CPXD"/>
      <sheetName val="Ctiet XD"/>
      <sheetName val="TH TBA"/>
      <sheetName val="Cphi TBA"/>
      <sheetName val="Ctiet TBA"/>
      <sheetName val="TNHC tba"/>
      <sheetName val="PPT-TT"/>
      <sheetName val="PPT-HT"/>
      <sheetName val="THí nghiệm"/>
      <sheetName val="Vattu"/>
      <sheetName val="NC điện"/>
      <sheetName val="NC-XD"/>
      <sheetName val="ĐMNC"/>
      <sheetName val="MTC"/>
      <sheetName val="Betong"/>
      <sheetName val="VLP"/>
      <sheetName val="DG khao 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Nhân công bậc 1,0/7</v>
          </cell>
          <cell r="B7">
            <v>1</v>
          </cell>
          <cell r="C7">
            <v>131921</v>
          </cell>
          <cell r="D7">
            <v>134015</v>
          </cell>
          <cell r="E7">
            <v>136132</v>
          </cell>
          <cell r="F7">
            <v>135016</v>
          </cell>
        </row>
        <row r="8">
          <cell r="A8" t="str">
            <v>Nhân công bậc 1,1/7</v>
          </cell>
          <cell r="B8">
            <v>1.018</v>
          </cell>
          <cell r="C8">
            <v>134296</v>
          </cell>
          <cell r="D8">
            <v>136427</v>
          </cell>
          <cell r="E8">
            <v>138582</v>
          </cell>
          <cell r="F8">
            <v>137447</v>
          </cell>
        </row>
        <row r="9">
          <cell r="A9" t="str">
            <v>Nhân công bậc 1,2/7</v>
          </cell>
          <cell r="B9">
            <v>1.036</v>
          </cell>
          <cell r="C9">
            <v>136670</v>
          </cell>
          <cell r="D9">
            <v>138840</v>
          </cell>
          <cell r="E9">
            <v>141032</v>
          </cell>
          <cell r="F9">
            <v>139877</v>
          </cell>
        </row>
        <row r="10">
          <cell r="A10" t="str">
            <v>Nhân công bậc 1,3/7</v>
          </cell>
          <cell r="B10">
            <v>1.054</v>
          </cell>
          <cell r="C10">
            <v>139045</v>
          </cell>
          <cell r="D10">
            <v>141252</v>
          </cell>
          <cell r="E10">
            <v>143483</v>
          </cell>
          <cell r="F10">
            <v>142307</v>
          </cell>
        </row>
        <row r="11">
          <cell r="A11" t="str">
            <v>Nhân công bậc 1,4/7</v>
          </cell>
          <cell r="B11">
            <v>1.0720000000000001</v>
          </cell>
          <cell r="C11">
            <v>141419</v>
          </cell>
          <cell r="D11">
            <v>143664</v>
          </cell>
          <cell r="E11">
            <v>145933</v>
          </cell>
          <cell r="F11">
            <v>144738</v>
          </cell>
        </row>
        <row r="12">
          <cell r="A12" t="str">
            <v>Nhân công bậc 1,5/7</v>
          </cell>
          <cell r="B12">
            <v>1.0900000000000001</v>
          </cell>
          <cell r="C12">
            <v>143794</v>
          </cell>
          <cell r="D12">
            <v>146076</v>
          </cell>
          <cell r="E12">
            <v>148383</v>
          </cell>
          <cell r="F12">
            <v>147168</v>
          </cell>
        </row>
        <row r="13">
          <cell r="A13" t="str">
            <v>Nhân công bậc 1,6/7</v>
          </cell>
          <cell r="B13">
            <v>1.1080000000000001</v>
          </cell>
          <cell r="C13">
            <v>146169</v>
          </cell>
          <cell r="D13">
            <v>148489</v>
          </cell>
          <cell r="E13">
            <v>150834</v>
          </cell>
          <cell r="F13">
            <v>149598</v>
          </cell>
        </row>
        <row r="14">
          <cell r="A14" t="str">
            <v>Nhân công bậc 1,7/7</v>
          </cell>
          <cell r="B14">
            <v>1.1260000000000001</v>
          </cell>
          <cell r="C14">
            <v>148543</v>
          </cell>
          <cell r="D14">
            <v>150901</v>
          </cell>
          <cell r="E14">
            <v>153284</v>
          </cell>
          <cell r="F14">
            <v>152029</v>
          </cell>
        </row>
        <row r="15">
          <cell r="A15" t="str">
            <v>Nhân công bậc 1,8/7</v>
          </cell>
          <cell r="B15">
            <v>1.1440000000000001</v>
          </cell>
          <cell r="C15">
            <v>150918</v>
          </cell>
          <cell r="D15">
            <v>153313</v>
          </cell>
          <cell r="E15">
            <v>155735</v>
          </cell>
          <cell r="F15">
            <v>154459</v>
          </cell>
        </row>
        <row r="16">
          <cell r="A16" t="str">
            <v>Nhân công bậc 1,9/7</v>
          </cell>
          <cell r="B16">
            <v>1.1620000000000001</v>
          </cell>
          <cell r="C16">
            <v>153292</v>
          </cell>
          <cell r="D16">
            <v>155726</v>
          </cell>
          <cell r="E16">
            <v>158185</v>
          </cell>
          <cell r="F16">
            <v>156889</v>
          </cell>
        </row>
        <row r="17">
          <cell r="A17" t="str">
            <v>Nhân công bậc 2,0/7</v>
          </cell>
          <cell r="B17">
            <v>1.18</v>
          </cell>
          <cell r="C17">
            <v>155667</v>
          </cell>
          <cell r="D17">
            <v>158138</v>
          </cell>
          <cell r="E17">
            <v>160635</v>
          </cell>
          <cell r="F17">
            <v>159319</v>
          </cell>
        </row>
        <row r="18">
          <cell r="A18" t="str">
            <v>Nhân công bậc 2,1/7</v>
          </cell>
          <cell r="B18">
            <v>1.2009999999999998</v>
          </cell>
          <cell r="C18">
            <v>158437</v>
          </cell>
          <cell r="D18">
            <v>160952</v>
          </cell>
          <cell r="E18">
            <v>163494</v>
          </cell>
          <cell r="F18">
            <v>162155</v>
          </cell>
        </row>
        <row r="19">
          <cell r="A19" t="str">
            <v>Nhân công bậc 2,2/7</v>
          </cell>
          <cell r="B19">
            <v>1.2219999999999998</v>
          </cell>
          <cell r="C19">
            <v>161208</v>
          </cell>
          <cell r="D19">
            <v>163766</v>
          </cell>
          <cell r="E19">
            <v>166353</v>
          </cell>
          <cell r="F19">
            <v>164990</v>
          </cell>
        </row>
        <row r="20">
          <cell r="A20" t="str">
            <v>Nhân công bậc 2,3/7</v>
          </cell>
          <cell r="B20">
            <v>1.2429999999999997</v>
          </cell>
          <cell r="C20">
            <v>163978</v>
          </cell>
          <cell r="D20">
            <v>166581</v>
          </cell>
          <cell r="E20">
            <v>169212</v>
          </cell>
          <cell r="F20">
            <v>167825</v>
          </cell>
        </row>
        <row r="21">
          <cell r="A21" t="str">
            <v>Nhân công bậc 2,4/7</v>
          </cell>
          <cell r="B21">
            <v>1.2639999999999996</v>
          </cell>
          <cell r="C21">
            <v>166748</v>
          </cell>
          <cell r="D21">
            <v>169395</v>
          </cell>
          <cell r="E21">
            <v>172070</v>
          </cell>
          <cell r="F21">
            <v>170661</v>
          </cell>
        </row>
        <row r="22">
          <cell r="A22" t="str">
            <v>Nhân công bậc 2,5/7</v>
          </cell>
          <cell r="B22">
            <v>1.2849999999999995</v>
          </cell>
          <cell r="C22">
            <v>169519</v>
          </cell>
          <cell r="D22">
            <v>172209</v>
          </cell>
          <cell r="E22">
            <v>174929</v>
          </cell>
          <cell r="F22">
            <v>173496</v>
          </cell>
        </row>
        <row r="23">
          <cell r="A23" t="str">
            <v>Nhân công bậc 2,6/7</v>
          </cell>
          <cell r="B23">
            <v>1.3059999999999994</v>
          </cell>
          <cell r="C23">
            <v>172289</v>
          </cell>
          <cell r="D23">
            <v>175024</v>
          </cell>
          <cell r="E23">
            <v>177788</v>
          </cell>
          <cell r="F23">
            <v>176331</v>
          </cell>
        </row>
        <row r="24">
          <cell r="A24" t="str">
            <v>Nhân công bậc 2,7/7</v>
          </cell>
          <cell r="B24">
            <v>1.3269999999999993</v>
          </cell>
          <cell r="C24">
            <v>175059</v>
          </cell>
          <cell r="D24">
            <v>177838</v>
          </cell>
          <cell r="E24">
            <v>180647</v>
          </cell>
          <cell r="F24">
            <v>179167</v>
          </cell>
        </row>
        <row r="25">
          <cell r="A25" t="str">
            <v>Nhân công bậc 2,8/7</v>
          </cell>
          <cell r="B25">
            <v>1.3479999999999992</v>
          </cell>
          <cell r="C25">
            <v>177830</v>
          </cell>
          <cell r="D25">
            <v>180652</v>
          </cell>
          <cell r="E25">
            <v>183505</v>
          </cell>
          <cell r="F25">
            <v>182002</v>
          </cell>
        </row>
        <row r="26">
          <cell r="A26" t="str">
            <v>Nhân công bậc 2,9/7</v>
          </cell>
          <cell r="B26">
            <v>1.3689999999999991</v>
          </cell>
          <cell r="C26">
            <v>180600</v>
          </cell>
          <cell r="D26">
            <v>183467</v>
          </cell>
          <cell r="E26">
            <v>186364</v>
          </cell>
          <cell r="F26">
            <v>184838</v>
          </cell>
        </row>
        <row r="27">
          <cell r="A27" t="str">
            <v>Nhân công bậc 3,0/7</v>
          </cell>
          <cell r="B27">
            <v>1.39</v>
          </cell>
          <cell r="C27">
            <v>183370</v>
          </cell>
          <cell r="D27">
            <v>186281</v>
          </cell>
          <cell r="E27">
            <v>189223</v>
          </cell>
          <cell r="F27">
            <v>187673</v>
          </cell>
        </row>
        <row r="28">
          <cell r="A28" t="str">
            <v>Nhân công bậc 3,1/7</v>
          </cell>
          <cell r="B28">
            <v>1.4159999999999999</v>
          </cell>
          <cell r="C28">
            <v>186800</v>
          </cell>
          <cell r="D28">
            <v>189765</v>
          </cell>
          <cell r="E28">
            <v>192762</v>
          </cell>
          <cell r="F28">
            <v>191183</v>
          </cell>
        </row>
        <row r="29">
          <cell r="A29" t="str">
            <v>Nhân công bậc 3,2/7</v>
          </cell>
          <cell r="B29">
            <v>1.4419999999999999</v>
          </cell>
          <cell r="C29">
            <v>190230</v>
          </cell>
          <cell r="D29">
            <v>193250</v>
          </cell>
          <cell r="E29">
            <v>196302</v>
          </cell>
          <cell r="F29">
            <v>194694</v>
          </cell>
        </row>
        <row r="30">
          <cell r="A30" t="str">
            <v>Nhân công bậc 3,3/7</v>
          </cell>
          <cell r="B30">
            <v>1.468</v>
          </cell>
          <cell r="C30">
            <v>193660</v>
          </cell>
          <cell r="D30">
            <v>196734</v>
          </cell>
          <cell r="E30">
            <v>199841</v>
          </cell>
          <cell r="F30">
            <v>198204</v>
          </cell>
        </row>
        <row r="31">
          <cell r="A31" t="str">
            <v>Nhân công bậc 3,4/7</v>
          </cell>
          <cell r="B31">
            <v>1.494</v>
          </cell>
          <cell r="C31">
            <v>197090</v>
          </cell>
          <cell r="D31">
            <v>200219</v>
          </cell>
          <cell r="E31">
            <v>203381</v>
          </cell>
          <cell r="F31">
            <v>201715</v>
          </cell>
        </row>
        <row r="32">
          <cell r="A32" t="str">
            <v>Nhân công bậc 3,5/7</v>
          </cell>
          <cell r="B32">
            <v>1.52</v>
          </cell>
          <cell r="C32">
            <v>200520</v>
          </cell>
          <cell r="D32">
            <v>203703</v>
          </cell>
          <cell r="E32">
            <v>206920</v>
          </cell>
          <cell r="F32">
            <v>205225</v>
          </cell>
        </row>
        <row r="33">
          <cell r="A33" t="str">
            <v>Nhân công bậc 3,6/7</v>
          </cell>
          <cell r="B33">
            <v>1.546</v>
          </cell>
          <cell r="C33">
            <v>203950</v>
          </cell>
          <cell r="D33">
            <v>207187</v>
          </cell>
          <cell r="E33">
            <v>210459</v>
          </cell>
          <cell r="F33">
            <v>208735</v>
          </cell>
        </row>
        <row r="34">
          <cell r="A34" t="str">
            <v>Nhân công bậc 3,7/7</v>
          </cell>
          <cell r="B34">
            <v>1.5720000000000001</v>
          </cell>
          <cell r="C34">
            <v>207380</v>
          </cell>
          <cell r="D34">
            <v>210672</v>
          </cell>
          <cell r="E34">
            <v>213999</v>
          </cell>
          <cell r="F34">
            <v>212246</v>
          </cell>
        </row>
        <row r="35">
          <cell r="A35" t="str">
            <v>Nhân công bậc 3,8/7</v>
          </cell>
          <cell r="B35">
            <v>1.5980000000000001</v>
          </cell>
          <cell r="C35">
            <v>210810</v>
          </cell>
          <cell r="D35">
            <v>214156</v>
          </cell>
          <cell r="E35">
            <v>217538</v>
          </cell>
          <cell r="F35">
            <v>215756</v>
          </cell>
        </row>
        <row r="36">
          <cell r="A36" t="str">
            <v>Nhân công bậc 3,9/7</v>
          </cell>
          <cell r="B36">
            <v>1.6240000000000001</v>
          </cell>
          <cell r="C36">
            <v>214240</v>
          </cell>
          <cell r="D36">
            <v>217641</v>
          </cell>
          <cell r="E36">
            <v>221078</v>
          </cell>
          <cell r="F36">
            <v>219267</v>
          </cell>
        </row>
        <row r="37">
          <cell r="A37" t="str">
            <v>Nhân công bậc 4,0/7</v>
          </cell>
          <cell r="B37">
            <v>1.65</v>
          </cell>
          <cell r="C37">
            <v>217670</v>
          </cell>
          <cell r="D37">
            <v>221125</v>
          </cell>
          <cell r="E37">
            <v>224617</v>
          </cell>
          <cell r="F37">
            <v>222777</v>
          </cell>
        </row>
        <row r="38">
          <cell r="A38" t="str">
            <v>Nhân công bậc 4,1/7</v>
          </cell>
          <cell r="B38">
            <v>1.6789999999999998</v>
          </cell>
          <cell r="C38">
            <v>221495</v>
          </cell>
          <cell r="D38">
            <v>225011</v>
          </cell>
          <cell r="E38">
            <v>228565</v>
          </cell>
          <cell r="F38">
            <v>226693</v>
          </cell>
        </row>
        <row r="39">
          <cell r="A39" t="str">
            <v>Nhân công bậc 4,2/7</v>
          </cell>
          <cell r="B39">
            <v>1.7079999999999997</v>
          </cell>
          <cell r="C39">
            <v>225321</v>
          </cell>
          <cell r="D39">
            <v>228898</v>
          </cell>
          <cell r="E39">
            <v>232513</v>
          </cell>
          <cell r="F39">
            <v>230608</v>
          </cell>
        </row>
        <row r="40">
          <cell r="A40" t="str">
            <v>Nhân công bậc 4,3/7</v>
          </cell>
          <cell r="B40">
            <v>1.7369999999999997</v>
          </cell>
          <cell r="C40">
            <v>229147</v>
          </cell>
          <cell r="D40">
            <v>232784</v>
          </cell>
          <cell r="E40">
            <v>236461</v>
          </cell>
          <cell r="F40">
            <v>234524</v>
          </cell>
        </row>
        <row r="41">
          <cell r="A41" t="str">
            <v>Nhân công bậc 4,4/7</v>
          </cell>
          <cell r="B41">
            <v>1.7659999999999996</v>
          </cell>
          <cell r="C41">
            <v>232973</v>
          </cell>
          <cell r="D41">
            <v>236671</v>
          </cell>
          <cell r="E41">
            <v>240408</v>
          </cell>
          <cell r="F41">
            <v>238439</v>
          </cell>
        </row>
        <row r="42">
          <cell r="A42" t="str">
            <v>Nhân công bậc 4,5/7</v>
          </cell>
          <cell r="B42">
            <v>1.7949999999999995</v>
          </cell>
          <cell r="C42">
            <v>236798</v>
          </cell>
          <cell r="D42">
            <v>240557</v>
          </cell>
          <cell r="E42">
            <v>244356</v>
          </cell>
          <cell r="F42">
            <v>242355</v>
          </cell>
        </row>
        <row r="43">
          <cell r="A43" t="str">
            <v>Nhân công bậc 4,6/7</v>
          </cell>
          <cell r="B43">
            <v>1.8239999999999994</v>
          </cell>
          <cell r="C43">
            <v>240624</v>
          </cell>
          <cell r="D43">
            <v>244444</v>
          </cell>
          <cell r="E43">
            <v>248304</v>
          </cell>
          <cell r="F43">
            <v>246270</v>
          </cell>
        </row>
        <row r="44">
          <cell r="A44" t="str">
            <v>Nhân công bậc 4,7/7</v>
          </cell>
          <cell r="B44">
            <v>1.8529999999999993</v>
          </cell>
          <cell r="C44">
            <v>244450</v>
          </cell>
          <cell r="D44">
            <v>248330</v>
          </cell>
          <cell r="E44">
            <v>252252</v>
          </cell>
          <cell r="F44">
            <v>250185</v>
          </cell>
        </row>
        <row r="45">
          <cell r="A45" t="str">
            <v>Nhân công bậc 4,8/7</v>
          </cell>
          <cell r="B45">
            <v>1.8819999999999992</v>
          </cell>
          <cell r="C45">
            <v>248275</v>
          </cell>
          <cell r="D45">
            <v>252216</v>
          </cell>
          <cell r="E45">
            <v>256200</v>
          </cell>
          <cell r="F45">
            <v>254101</v>
          </cell>
        </row>
        <row r="46">
          <cell r="A46" t="str">
            <v>Nhân công bậc 4,9/7</v>
          </cell>
          <cell r="B46">
            <v>1.9109999999999991</v>
          </cell>
          <cell r="C46">
            <v>252101</v>
          </cell>
          <cell r="D46">
            <v>256103</v>
          </cell>
          <cell r="E46">
            <v>260147</v>
          </cell>
          <cell r="F46">
            <v>258016</v>
          </cell>
        </row>
        <row r="47">
          <cell r="A47" t="str">
            <v>Nhân công bậc 5,0/7</v>
          </cell>
          <cell r="B47">
            <v>1.94</v>
          </cell>
          <cell r="C47">
            <v>255927</v>
          </cell>
          <cell r="D47">
            <v>259989</v>
          </cell>
          <cell r="E47">
            <v>264095</v>
          </cell>
          <cell r="F47">
            <v>261932</v>
          </cell>
        </row>
        <row r="48">
          <cell r="A48" t="str">
            <v>Nhân công bậc 5,1/7</v>
          </cell>
          <cell r="B48">
            <v>1.976</v>
          </cell>
          <cell r="C48">
            <v>260676</v>
          </cell>
          <cell r="D48">
            <v>264814</v>
          </cell>
          <cell r="E48">
            <v>268996</v>
          </cell>
          <cell r="F48">
            <v>266793</v>
          </cell>
        </row>
        <row r="49">
          <cell r="A49" t="str">
            <v>Nhân công bậc 5,2/7</v>
          </cell>
          <cell r="B49">
            <v>2.012</v>
          </cell>
          <cell r="C49">
            <v>265425</v>
          </cell>
          <cell r="D49">
            <v>269638</v>
          </cell>
          <cell r="E49">
            <v>273897</v>
          </cell>
          <cell r="F49">
            <v>271653</v>
          </cell>
        </row>
        <row r="50">
          <cell r="A50" t="str">
            <v>Nhân công bậc 5,3/7</v>
          </cell>
          <cell r="B50">
            <v>2.048</v>
          </cell>
          <cell r="C50">
            <v>270174</v>
          </cell>
          <cell r="D50">
            <v>274463</v>
          </cell>
          <cell r="E50">
            <v>278797</v>
          </cell>
          <cell r="F50">
            <v>276514</v>
          </cell>
        </row>
        <row r="51">
          <cell r="A51" t="str">
            <v>Nhân công bậc 5,4/7</v>
          </cell>
          <cell r="B51">
            <v>2.0840000000000001</v>
          </cell>
          <cell r="C51">
            <v>274923</v>
          </cell>
          <cell r="D51">
            <v>279288</v>
          </cell>
          <cell r="E51">
            <v>283698</v>
          </cell>
          <cell r="F51">
            <v>281374</v>
          </cell>
        </row>
        <row r="52">
          <cell r="A52" t="str">
            <v>Nhân công bậc 5,5/7</v>
          </cell>
          <cell r="B52">
            <v>2.12</v>
          </cell>
          <cell r="C52">
            <v>279673</v>
          </cell>
          <cell r="D52">
            <v>284112</v>
          </cell>
          <cell r="E52">
            <v>288599</v>
          </cell>
          <cell r="F52">
            <v>286235</v>
          </cell>
        </row>
        <row r="53">
          <cell r="A53" t="str">
            <v>Nhân công bậc 5,6/7</v>
          </cell>
          <cell r="B53">
            <v>2.1560000000000001</v>
          </cell>
          <cell r="C53">
            <v>284422</v>
          </cell>
          <cell r="D53">
            <v>288937</v>
          </cell>
          <cell r="E53">
            <v>293500</v>
          </cell>
          <cell r="F53">
            <v>291095</v>
          </cell>
        </row>
        <row r="54">
          <cell r="A54" t="str">
            <v>Nhân công bậc 5,7/7</v>
          </cell>
          <cell r="B54">
            <v>2.1920000000000002</v>
          </cell>
          <cell r="C54">
            <v>289171</v>
          </cell>
          <cell r="D54">
            <v>293761</v>
          </cell>
          <cell r="E54">
            <v>298400</v>
          </cell>
          <cell r="F54">
            <v>295956</v>
          </cell>
        </row>
        <row r="55">
          <cell r="A55" t="str">
            <v>Nhân công bậc 5,8/7</v>
          </cell>
          <cell r="B55">
            <v>2.2280000000000002</v>
          </cell>
          <cell r="C55">
            <v>293920</v>
          </cell>
          <cell r="D55">
            <v>298586</v>
          </cell>
          <cell r="E55">
            <v>303301</v>
          </cell>
          <cell r="F55">
            <v>300817</v>
          </cell>
        </row>
        <row r="56">
          <cell r="A56" t="str">
            <v>Nhân công bậc 5,9/7</v>
          </cell>
          <cell r="B56">
            <v>2.2640000000000002</v>
          </cell>
          <cell r="C56">
            <v>298669</v>
          </cell>
          <cell r="D56">
            <v>303410</v>
          </cell>
          <cell r="E56">
            <v>308202</v>
          </cell>
          <cell r="F56">
            <v>305677</v>
          </cell>
        </row>
        <row r="57">
          <cell r="A57" t="str">
            <v>Nhân công bậc 6,0/7</v>
          </cell>
          <cell r="B57">
            <v>2.2999999999999998</v>
          </cell>
          <cell r="C57">
            <v>303418</v>
          </cell>
          <cell r="D57">
            <v>308235</v>
          </cell>
          <cell r="E57">
            <v>313103</v>
          </cell>
          <cell r="F57">
            <v>310538</v>
          </cell>
        </row>
        <row r="58">
          <cell r="A58" t="str">
            <v>Nhân công bậc 6,1/7</v>
          </cell>
          <cell r="B58">
            <v>2.3409999999999997</v>
          </cell>
          <cell r="C58">
            <v>308827</v>
          </cell>
          <cell r="D58">
            <v>313729</v>
          </cell>
          <cell r="E58">
            <v>318684</v>
          </cell>
          <cell r="F58">
            <v>316074</v>
          </cell>
        </row>
        <row r="59">
          <cell r="A59" t="str">
            <v>Nhân công bậc 6,2/7</v>
          </cell>
          <cell r="B59">
            <v>2.3819999999999997</v>
          </cell>
          <cell r="C59">
            <v>314236</v>
          </cell>
          <cell r="D59">
            <v>319224</v>
          </cell>
          <cell r="E59">
            <v>324265</v>
          </cell>
          <cell r="F59">
            <v>321609</v>
          </cell>
        </row>
        <row r="60">
          <cell r="A60" t="str">
            <v>Nhân công bậc 6,3/7</v>
          </cell>
          <cell r="B60">
            <v>2.4229999999999996</v>
          </cell>
          <cell r="C60">
            <v>319645</v>
          </cell>
          <cell r="D60">
            <v>324719</v>
          </cell>
          <cell r="E60">
            <v>329847</v>
          </cell>
          <cell r="F60">
            <v>327145</v>
          </cell>
        </row>
        <row r="61">
          <cell r="A61" t="str">
            <v>Nhân công bậc 6,4/7</v>
          </cell>
          <cell r="B61">
            <v>2.4639999999999995</v>
          </cell>
          <cell r="C61">
            <v>325053</v>
          </cell>
          <cell r="D61">
            <v>330213</v>
          </cell>
          <cell r="E61">
            <v>335428</v>
          </cell>
          <cell r="F61">
            <v>332681</v>
          </cell>
        </row>
        <row r="62">
          <cell r="A62" t="str">
            <v>Nhân công bậc 6,5/7</v>
          </cell>
          <cell r="B62">
            <v>2.5049999999999994</v>
          </cell>
          <cell r="C62">
            <v>330462</v>
          </cell>
          <cell r="D62">
            <v>335708</v>
          </cell>
          <cell r="E62">
            <v>341010</v>
          </cell>
          <cell r="F62">
            <v>338216</v>
          </cell>
        </row>
        <row r="63">
          <cell r="A63" t="str">
            <v>Nhân công bậc 6,6/7</v>
          </cell>
          <cell r="B63">
            <v>2.5459999999999994</v>
          </cell>
          <cell r="C63">
            <v>335871</v>
          </cell>
          <cell r="D63">
            <v>341203</v>
          </cell>
          <cell r="E63">
            <v>346591</v>
          </cell>
          <cell r="F63">
            <v>343752</v>
          </cell>
        </row>
        <row r="64">
          <cell r="A64" t="str">
            <v>Nhân công bậc 6,7/7</v>
          </cell>
          <cell r="B64">
            <v>2.5869999999999993</v>
          </cell>
          <cell r="C64">
            <v>341280</v>
          </cell>
          <cell r="D64">
            <v>346697</v>
          </cell>
          <cell r="E64">
            <v>352172</v>
          </cell>
          <cell r="F64">
            <v>349288</v>
          </cell>
        </row>
        <row r="65">
          <cell r="A65" t="str">
            <v>Nhân công bậc 6,8/7</v>
          </cell>
          <cell r="B65">
            <v>2.6279999999999992</v>
          </cell>
          <cell r="C65">
            <v>346689</v>
          </cell>
          <cell r="D65">
            <v>352192</v>
          </cell>
          <cell r="E65">
            <v>357754</v>
          </cell>
          <cell r="F65">
            <v>354823</v>
          </cell>
        </row>
        <row r="66">
          <cell r="A66" t="str">
            <v>Nhân công bậc 6,9/7</v>
          </cell>
          <cell r="B66">
            <v>2.6689999999999992</v>
          </cell>
          <cell r="C66">
            <v>352097</v>
          </cell>
          <cell r="D66">
            <v>357686</v>
          </cell>
          <cell r="E66">
            <v>363335</v>
          </cell>
          <cell r="F66">
            <v>360359</v>
          </cell>
        </row>
        <row r="67">
          <cell r="A67" t="str">
            <v>Nhân công bậc 7,0/7</v>
          </cell>
          <cell r="B67">
            <v>2.71</v>
          </cell>
          <cell r="C67">
            <v>357506</v>
          </cell>
          <cell r="D67">
            <v>363181</v>
          </cell>
          <cell r="E67">
            <v>368917</v>
          </cell>
          <cell r="F67">
            <v>365895</v>
          </cell>
        </row>
      </sheetData>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ONG"/>
      <sheetName val="CP-TVĐTXD"/>
      <sheetName val="CP-khac"/>
      <sheetName val="TH 22"/>
      <sheetName val="TH 0.4"/>
      <sheetName val="Cphi DD"/>
      <sheetName val="Ctiet DD"/>
      <sheetName val="TNHC DD"/>
      <sheetName val="THXD"/>
      <sheetName val="CPXD"/>
      <sheetName val="Ctiet XD"/>
      <sheetName val="TH TBA"/>
      <sheetName val="Cphi TBA"/>
      <sheetName val="Ctiet TBA"/>
      <sheetName val="TNHC tba"/>
      <sheetName val="PPT-TT"/>
      <sheetName val="PPT-HT"/>
      <sheetName val="Vattu"/>
      <sheetName val="THí nghiệm"/>
      <sheetName val="NC điện"/>
      <sheetName val="NC-XD"/>
      <sheetName val="ĐMNC"/>
      <sheetName val="MTC"/>
      <sheetName val="Betong"/>
      <sheetName val="VLP"/>
      <sheetName val="DG khao 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9">
          <cell r="B9" t="str">
            <v>M101.0101</v>
          </cell>
          <cell r="C9" t="str">
            <v>0,40 m3</v>
          </cell>
          <cell r="D9" t="str">
            <v>lít diezel</v>
          </cell>
          <cell r="E9">
            <v>645023</v>
          </cell>
          <cell r="F9" t="str">
            <v>1x4/7</v>
          </cell>
          <cell r="G9">
            <v>809944</v>
          </cell>
          <cell r="H9">
            <v>287074</v>
          </cell>
          <cell r="I9">
            <v>254635</v>
          </cell>
          <cell r="J9">
            <v>222777</v>
          </cell>
          <cell r="K9">
            <v>367424</v>
          </cell>
          <cell r="L9">
            <v>1687081</v>
          </cell>
          <cell r="M9">
            <v>1654642</v>
          </cell>
          <cell r="N9">
            <v>1622784</v>
          </cell>
          <cell r="O9">
            <v>1767431</v>
          </cell>
          <cell r="P9">
            <v>1974155</v>
          </cell>
          <cell r="Q9">
            <v>1909277</v>
          </cell>
          <cell r="R9">
            <v>1845561</v>
          </cell>
          <cell r="S9">
            <v>2134855</v>
          </cell>
        </row>
        <row r="10">
          <cell r="B10" t="str">
            <v>M101.0102</v>
          </cell>
          <cell r="C10" t="str">
            <v>0,50 m3</v>
          </cell>
          <cell r="D10" t="str">
            <v>lít diezel</v>
          </cell>
          <cell r="E10">
            <v>765028</v>
          </cell>
          <cell r="F10" t="str">
            <v>1x4/7</v>
          </cell>
          <cell r="G10">
            <v>952186</v>
          </cell>
          <cell r="H10">
            <v>287074</v>
          </cell>
          <cell r="I10">
            <v>254635</v>
          </cell>
          <cell r="J10">
            <v>222777</v>
          </cell>
          <cell r="K10">
            <v>367424</v>
          </cell>
          <cell r="L10">
            <v>1939675</v>
          </cell>
          <cell r="M10">
            <v>1907236</v>
          </cell>
          <cell r="N10">
            <v>1875378</v>
          </cell>
          <cell r="O10">
            <v>2020025</v>
          </cell>
          <cell r="P10">
            <v>2226749</v>
          </cell>
          <cell r="Q10">
            <v>2161871</v>
          </cell>
          <cell r="R10">
            <v>2098155</v>
          </cell>
          <cell r="S10">
            <v>2387449</v>
          </cell>
        </row>
        <row r="11">
          <cell r="B11" t="str">
            <v>M101.0103</v>
          </cell>
          <cell r="C11" t="str">
            <v>0,65 m3</v>
          </cell>
          <cell r="D11" t="str">
            <v>lít diezel</v>
          </cell>
          <cell r="E11">
            <v>885032</v>
          </cell>
          <cell r="F11" t="str">
            <v>1x4/7</v>
          </cell>
          <cell r="G11">
            <v>1075609</v>
          </cell>
          <cell r="H11">
            <v>287074</v>
          </cell>
          <cell r="I11">
            <v>254635</v>
          </cell>
          <cell r="J11">
            <v>222777</v>
          </cell>
          <cell r="K11">
            <v>367424</v>
          </cell>
          <cell r="L11">
            <v>2174727</v>
          </cell>
          <cell r="M11">
            <v>2142288</v>
          </cell>
          <cell r="N11">
            <v>2110430</v>
          </cell>
          <cell r="O11">
            <v>2255077</v>
          </cell>
          <cell r="P11">
            <v>2461801</v>
          </cell>
          <cell r="Q11">
            <v>2396923</v>
          </cell>
          <cell r="R11">
            <v>2333207</v>
          </cell>
          <cell r="S11">
            <v>2622501</v>
          </cell>
        </row>
        <row r="12">
          <cell r="B12" t="str">
            <v>M101.0104</v>
          </cell>
          <cell r="C12" t="str">
            <v>0,80 m3</v>
          </cell>
          <cell r="D12" t="str">
            <v>lít diezel</v>
          </cell>
          <cell r="E12">
            <v>975035</v>
          </cell>
          <cell r="F12" t="str">
            <v>1x4/7</v>
          </cell>
          <cell r="G12">
            <v>1183203</v>
          </cell>
          <cell r="H12">
            <v>287074</v>
          </cell>
          <cell r="I12">
            <v>254635</v>
          </cell>
          <cell r="J12">
            <v>222777</v>
          </cell>
          <cell r="K12">
            <v>367424</v>
          </cell>
          <cell r="L12">
            <v>2365024</v>
          </cell>
          <cell r="M12">
            <v>2332585</v>
          </cell>
          <cell r="N12">
            <v>2300727</v>
          </cell>
          <cell r="O12">
            <v>2445374</v>
          </cell>
          <cell r="P12">
            <v>2652098</v>
          </cell>
          <cell r="Q12">
            <v>2587220</v>
          </cell>
          <cell r="R12">
            <v>2523504</v>
          </cell>
          <cell r="S12">
            <v>2812798</v>
          </cell>
        </row>
        <row r="13">
          <cell r="B13" t="str">
            <v>M101.0105</v>
          </cell>
          <cell r="C13" t="str">
            <v>1,25 m3</v>
          </cell>
          <cell r="D13" t="str">
            <v>lít diezel</v>
          </cell>
          <cell r="E13">
            <v>1245045</v>
          </cell>
          <cell r="F13" t="str">
            <v>1x4/7</v>
          </cell>
          <cell r="G13">
            <v>1863636</v>
          </cell>
          <cell r="H13">
            <v>287074</v>
          </cell>
          <cell r="I13">
            <v>254635</v>
          </cell>
          <cell r="J13">
            <v>222777</v>
          </cell>
          <cell r="K13">
            <v>367424</v>
          </cell>
          <cell r="L13">
            <v>3269294</v>
          </cell>
          <cell r="M13">
            <v>3236855</v>
          </cell>
          <cell r="N13">
            <v>3204997</v>
          </cell>
          <cell r="O13">
            <v>3349644</v>
          </cell>
          <cell r="P13">
            <v>3556368</v>
          </cell>
          <cell r="Q13">
            <v>3491490</v>
          </cell>
          <cell r="R13">
            <v>3427774</v>
          </cell>
          <cell r="S13">
            <v>3717068</v>
          </cell>
        </row>
        <row r="14">
          <cell r="B14" t="str">
            <v>M101.0106</v>
          </cell>
          <cell r="C14" t="str">
            <v>1,60 m3</v>
          </cell>
          <cell r="D14" t="str">
            <v>lít diezel</v>
          </cell>
          <cell r="E14">
            <v>1695062</v>
          </cell>
          <cell r="F14" t="str">
            <v>1x4/7</v>
          </cell>
          <cell r="G14">
            <v>2244200</v>
          </cell>
          <cell r="H14">
            <v>287074</v>
          </cell>
          <cell r="I14">
            <v>254635</v>
          </cell>
          <cell r="J14">
            <v>222777</v>
          </cell>
          <cell r="K14">
            <v>367424</v>
          </cell>
          <cell r="L14">
            <v>3977871</v>
          </cell>
          <cell r="M14">
            <v>3945432</v>
          </cell>
          <cell r="N14">
            <v>3913574</v>
          </cell>
          <cell r="O14">
            <v>4058221</v>
          </cell>
          <cell r="P14">
            <v>4264945</v>
          </cell>
          <cell r="Q14">
            <v>4200067</v>
          </cell>
          <cell r="R14">
            <v>4136351</v>
          </cell>
          <cell r="S14">
            <v>4425645</v>
          </cell>
        </row>
        <row r="15">
          <cell r="B15" t="str">
            <v>M101.0107</v>
          </cell>
          <cell r="C15" t="str">
            <v>2,30 m3</v>
          </cell>
          <cell r="D15" t="str">
            <v>lít diezel</v>
          </cell>
          <cell r="E15">
            <v>2070075</v>
          </cell>
          <cell r="F15" t="str">
            <v>1x4/7</v>
          </cell>
          <cell r="G15">
            <v>3258264</v>
          </cell>
          <cell r="H15">
            <v>287074</v>
          </cell>
          <cell r="I15">
            <v>254635</v>
          </cell>
          <cell r="J15">
            <v>222777</v>
          </cell>
          <cell r="K15">
            <v>367424</v>
          </cell>
          <cell r="L15">
            <v>5254677</v>
          </cell>
          <cell r="M15">
            <v>5222238</v>
          </cell>
          <cell r="N15">
            <v>5190380</v>
          </cell>
          <cell r="O15">
            <v>5335027</v>
          </cell>
          <cell r="P15">
            <v>5541751</v>
          </cell>
          <cell r="Q15">
            <v>5476873</v>
          </cell>
          <cell r="R15">
            <v>5413157</v>
          </cell>
          <cell r="S15">
            <v>5702451</v>
          </cell>
        </row>
        <row r="16">
          <cell r="B16" t="str">
            <v>M101.0108</v>
          </cell>
          <cell r="C16" t="str">
            <v>3,60 m3</v>
          </cell>
          <cell r="D16" t="str">
            <v>lít diezel</v>
          </cell>
          <cell r="E16">
            <v>2985109</v>
          </cell>
          <cell r="F16" t="str">
            <v>1x4/7</v>
          </cell>
          <cell r="G16">
            <v>6504000</v>
          </cell>
          <cell r="H16">
            <v>287074</v>
          </cell>
          <cell r="I16">
            <v>254635</v>
          </cell>
          <cell r="J16">
            <v>222777</v>
          </cell>
          <cell r="K16">
            <v>367424</v>
          </cell>
          <cell r="L16">
            <v>7955063</v>
          </cell>
          <cell r="M16">
            <v>7922624</v>
          </cell>
          <cell r="N16">
            <v>7890766</v>
          </cell>
          <cell r="O16">
            <v>8035413</v>
          </cell>
          <cell r="P16">
            <v>8242137</v>
          </cell>
          <cell r="Q16">
            <v>8177259</v>
          </cell>
          <cell r="R16">
            <v>8113543</v>
          </cell>
          <cell r="S16">
            <v>8402837</v>
          </cell>
        </row>
        <row r="17">
          <cell r="B17" t="str">
            <v>M101.0115</v>
          </cell>
          <cell r="C17" t="str">
            <v>Máy đào 1,25 m3 gắn đầu búa thủy lực/hàm kẹp</v>
          </cell>
          <cell r="D17" t="str">
            <v>lít diezel</v>
          </cell>
          <cell r="E17">
            <v>1245045</v>
          </cell>
          <cell r="F17" t="str">
            <v>1x4/7</v>
          </cell>
          <cell r="G17">
            <v>2150000</v>
          </cell>
          <cell r="H17">
            <v>287074</v>
          </cell>
          <cell r="I17">
            <v>254635</v>
          </cell>
          <cell r="J17">
            <v>222777</v>
          </cell>
          <cell r="K17">
            <v>367424</v>
          </cell>
          <cell r="L17">
            <v>3536226</v>
          </cell>
          <cell r="M17">
            <v>3503787</v>
          </cell>
          <cell r="N17">
            <v>3471929</v>
          </cell>
          <cell r="O17">
            <v>3616576</v>
          </cell>
          <cell r="P17">
            <v>3823300</v>
          </cell>
          <cell r="Q17">
            <v>3758422</v>
          </cell>
          <cell r="R17">
            <v>3694706</v>
          </cell>
          <cell r="S17">
            <v>3984000</v>
          </cell>
        </row>
        <row r="18">
          <cell r="B18" t="str">
            <v>M101.0116</v>
          </cell>
          <cell r="C18" t="str">
            <v>Máy đào 1,60 m3 gắn đầu búa thủy lực</v>
          </cell>
          <cell r="D18" t="str">
            <v>lít diezel</v>
          </cell>
          <cell r="E18">
            <v>1695062</v>
          </cell>
          <cell r="F18" t="str">
            <v>1x4/7</v>
          </cell>
          <cell r="G18">
            <v>2530564</v>
          </cell>
          <cell r="H18">
            <v>287074</v>
          </cell>
          <cell r="I18">
            <v>254635</v>
          </cell>
          <cell r="J18">
            <v>222777</v>
          </cell>
          <cell r="K18">
            <v>367424</v>
          </cell>
          <cell r="L18">
            <v>4082504</v>
          </cell>
          <cell r="M18">
            <v>4050065</v>
          </cell>
          <cell r="N18">
            <v>4018207</v>
          </cell>
          <cell r="O18">
            <v>4162854</v>
          </cell>
          <cell r="P18">
            <v>4369578</v>
          </cell>
          <cell r="Q18">
            <v>4304700</v>
          </cell>
          <cell r="R18">
            <v>4240984</v>
          </cell>
          <cell r="S18">
            <v>4530278</v>
          </cell>
        </row>
        <row r="19">
          <cell r="B19" t="str">
            <v>M101.0200</v>
          </cell>
          <cell r="C19" t="str">
            <v>Máy đào một gầu, bánh hơi - dung tích gầu:</v>
          </cell>
          <cell r="E19" t="str">
            <v>-</v>
          </cell>
          <cell r="P19">
            <v>0</v>
          </cell>
          <cell r="Q19">
            <v>0</v>
          </cell>
          <cell r="R19">
            <v>0</v>
          </cell>
          <cell r="S19">
            <v>0</v>
          </cell>
        </row>
        <row r="20">
          <cell r="B20" t="str">
            <v>M101.0201</v>
          </cell>
          <cell r="C20" t="str">
            <v>0,80 m3</v>
          </cell>
          <cell r="D20" t="str">
            <v>lít diezel</v>
          </cell>
          <cell r="E20">
            <v>855031</v>
          </cell>
          <cell r="F20" t="str">
            <v>1x4/7</v>
          </cell>
          <cell r="G20">
            <v>1172647</v>
          </cell>
          <cell r="H20">
            <v>287074</v>
          </cell>
          <cell r="I20">
            <v>254635</v>
          </cell>
          <cell r="J20">
            <v>222777</v>
          </cell>
          <cell r="K20">
            <v>367424</v>
          </cell>
          <cell r="L20">
            <v>2301222</v>
          </cell>
          <cell r="M20">
            <v>2268783</v>
          </cell>
          <cell r="N20">
            <v>2236925</v>
          </cell>
          <cell r="O20">
            <v>2381572</v>
          </cell>
          <cell r="P20">
            <v>2588296</v>
          </cell>
          <cell r="Q20">
            <v>2523418</v>
          </cell>
          <cell r="R20">
            <v>2459702</v>
          </cell>
          <cell r="S20">
            <v>2748996</v>
          </cell>
        </row>
        <row r="21">
          <cell r="B21" t="str">
            <v>M101.0202</v>
          </cell>
          <cell r="C21" t="str">
            <v>1,25 m3</v>
          </cell>
          <cell r="D21" t="str">
            <v>lít diezel</v>
          </cell>
          <cell r="E21">
            <v>1095040</v>
          </cell>
          <cell r="F21" t="str">
            <v>1x4/7</v>
          </cell>
          <cell r="G21">
            <v>2084693</v>
          </cell>
          <cell r="H21">
            <v>287074</v>
          </cell>
          <cell r="I21">
            <v>254635</v>
          </cell>
          <cell r="J21">
            <v>222777</v>
          </cell>
          <cell r="K21">
            <v>367424</v>
          </cell>
          <cell r="L21">
            <v>3386626</v>
          </cell>
          <cell r="M21">
            <v>3354187</v>
          </cell>
          <cell r="N21">
            <v>3322329</v>
          </cell>
          <cell r="O21">
            <v>3466976</v>
          </cell>
          <cell r="P21">
            <v>3673700</v>
          </cell>
          <cell r="Q21">
            <v>3608822</v>
          </cell>
          <cell r="R21">
            <v>3545106</v>
          </cell>
          <cell r="S21">
            <v>3834400</v>
          </cell>
        </row>
        <row r="22">
          <cell r="B22" t="str">
            <v>M101.0300</v>
          </cell>
          <cell r="C22" t="str">
            <v>Máy đào gầu dây - dung tích</v>
          </cell>
          <cell r="E22" t="str">
            <v>-</v>
          </cell>
          <cell r="P22">
            <v>0</v>
          </cell>
          <cell r="Q22">
            <v>0</v>
          </cell>
          <cell r="R22">
            <v>0</v>
          </cell>
          <cell r="S22">
            <v>0</v>
          </cell>
        </row>
        <row r="23">
          <cell r="B23" t="str">
            <v>M101.0301</v>
          </cell>
          <cell r="C23" t="str">
            <v>0,40 m3</v>
          </cell>
          <cell r="D23" t="str">
            <v>lít diezel</v>
          </cell>
          <cell r="E23">
            <v>885032</v>
          </cell>
          <cell r="F23" t="str">
            <v>1x5/7</v>
          </cell>
          <cell r="G23">
            <v>1080697</v>
          </cell>
          <cell r="H23">
            <v>337529</v>
          </cell>
          <cell r="I23">
            <v>299389</v>
          </cell>
          <cell r="J23">
            <v>261932</v>
          </cell>
          <cell r="K23">
            <v>432001</v>
          </cell>
          <cell r="L23">
            <v>2307415</v>
          </cell>
          <cell r="M23">
            <v>2269275</v>
          </cell>
          <cell r="N23">
            <v>2231818</v>
          </cell>
          <cell r="O23">
            <v>2401887</v>
          </cell>
          <cell r="P23">
            <v>2644944</v>
          </cell>
          <cell r="Q23">
            <v>2568664</v>
          </cell>
          <cell r="R23">
            <v>2493750</v>
          </cell>
          <cell r="S23">
            <v>2833888</v>
          </cell>
        </row>
        <row r="24">
          <cell r="B24" t="str">
            <v>M101.0302</v>
          </cell>
          <cell r="C24" t="str">
            <v>0,65 m3</v>
          </cell>
          <cell r="D24" t="str">
            <v>lít diezel</v>
          </cell>
          <cell r="E24">
            <v>975035</v>
          </cell>
          <cell r="F24" t="str">
            <v>1x5/7</v>
          </cell>
          <cell r="G24">
            <v>1188698</v>
          </cell>
          <cell r="H24">
            <v>337529</v>
          </cell>
          <cell r="I24">
            <v>299389</v>
          </cell>
          <cell r="J24">
            <v>261932</v>
          </cell>
          <cell r="K24">
            <v>432001</v>
          </cell>
          <cell r="L24">
            <v>2505834</v>
          </cell>
          <cell r="M24">
            <v>2467694</v>
          </cell>
          <cell r="N24">
            <v>2430237</v>
          </cell>
          <cell r="O24">
            <v>2600306</v>
          </cell>
          <cell r="P24">
            <v>2843363</v>
          </cell>
          <cell r="Q24">
            <v>2767083</v>
          </cell>
          <cell r="R24">
            <v>2692169</v>
          </cell>
          <cell r="S24">
            <v>3032307</v>
          </cell>
        </row>
        <row r="25">
          <cell r="B25" t="str">
            <v>M101.0303</v>
          </cell>
          <cell r="C25" t="str">
            <v>1,20 m3</v>
          </cell>
          <cell r="D25" t="str">
            <v>lít diezel</v>
          </cell>
          <cell r="E25">
            <v>1695062</v>
          </cell>
          <cell r="F25" t="str">
            <v>1x5/7</v>
          </cell>
          <cell r="G25">
            <v>2208172</v>
          </cell>
          <cell r="H25">
            <v>337529</v>
          </cell>
          <cell r="I25">
            <v>299389</v>
          </cell>
          <cell r="J25">
            <v>261932</v>
          </cell>
          <cell r="K25">
            <v>432001</v>
          </cell>
          <cell r="L25">
            <v>4147340</v>
          </cell>
          <cell r="M25">
            <v>4109200</v>
          </cell>
          <cell r="N25">
            <v>4071743</v>
          </cell>
          <cell r="O25">
            <v>4241812</v>
          </cell>
          <cell r="P25">
            <v>4484869</v>
          </cell>
          <cell r="Q25">
            <v>4408589</v>
          </cell>
          <cell r="R25">
            <v>4333675</v>
          </cell>
          <cell r="S25">
            <v>4673813</v>
          </cell>
        </row>
        <row r="26">
          <cell r="B26" t="str">
            <v>M101.0304</v>
          </cell>
          <cell r="C26" t="str">
            <v>1,60 m3</v>
          </cell>
          <cell r="D26" t="str">
            <v>lít diezel</v>
          </cell>
          <cell r="E26">
            <v>1920070</v>
          </cell>
          <cell r="F26" t="str">
            <v>1x5/7</v>
          </cell>
          <cell r="G26">
            <v>2806763</v>
          </cell>
          <cell r="H26">
            <v>337529</v>
          </cell>
          <cell r="I26">
            <v>299389</v>
          </cell>
          <cell r="J26">
            <v>261932</v>
          </cell>
          <cell r="K26">
            <v>432001</v>
          </cell>
          <cell r="L26">
            <v>4945614</v>
          </cell>
          <cell r="M26">
            <v>4907474</v>
          </cell>
          <cell r="N26">
            <v>4870017</v>
          </cell>
          <cell r="O26">
            <v>5040086</v>
          </cell>
          <cell r="P26">
            <v>5283143</v>
          </cell>
          <cell r="Q26">
            <v>5206863</v>
          </cell>
          <cell r="R26">
            <v>5131949</v>
          </cell>
          <cell r="S26">
            <v>5472087</v>
          </cell>
        </row>
        <row r="27">
          <cell r="B27" t="str">
            <v>M101.0305</v>
          </cell>
          <cell r="C27" t="str">
            <v>2,30 m3</v>
          </cell>
          <cell r="D27" t="str">
            <v>lít diezel</v>
          </cell>
          <cell r="E27">
            <v>2460089</v>
          </cell>
          <cell r="F27" t="str">
            <v>1x5/7</v>
          </cell>
          <cell r="G27">
            <v>3732682</v>
          </cell>
          <cell r="H27">
            <v>337529</v>
          </cell>
          <cell r="I27">
            <v>299389</v>
          </cell>
          <cell r="J27">
            <v>261932</v>
          </cell>
          <cell r="K27">
            <v>432001</v>
          </cell>
          <cell r="L27">
            <v>6372379</v>
          </cell>
          <cell r="M27">
            <v>6334239</v>
          </cell>
          <cell r="N27">
            <v>6296782</v>
          </cell>
          <cell r="O27">
            <v>6466851</v>
          </cell>
          <cell r="P27">
            <v>6709908</v>
          </cell>
          <cell r="Q27">
            <v>6633628</v>
          </cell>
          <cell r="R27">
            <v>6558714</v>
          </cell>
          <cell r="S27">
            <v>6898852</v>
          </cell>
        </row>
        <row r="28">
          <cell r="B28" t="str">
            <v>M101.0400</v>
          </cell>
          <cell r="C28" t="str">
            <v>Máy xúc lật - dung tích gầu:</v>
          </cell>
          <cell r="E28" t="str">
            <v>-</v>
          </cell>
          <cell r="P28">
            <v>0</v>
          </cell>
          <cell r="Q28">
            <v>0</v>
          </cell>
          <cell r="R28">
            <v>0</v>
          </cell>
          <cell r="S28">
            <v>0</v>
          </cell>
        </row>
        <row r="29">
          <cell r="B29" t="str">
            <v>M101.0401</v>
          </cell>
          <cell r="C29" t="str">
            <v>0,65 m3</v>
          </cell>
          <cell r="D29" t="str">
            <v>lít diezel</v>
          </cell>
          <cell r="E29">
            <v>435016</v>
          </cell>
          <cell r="F29" t="str">
            <v>1x4/7</v>
          </cell>
          <cell r="G29">
            <v>690656</v>
          </cell>
          <cell r="H29">
            <v>287074</v>
          </cell>
          <cell r="I29">
            <v>254635</v>
          </cell>
          <cell r="J29">
            <v>222777</v>
          </cell>
          <cell r="K29">
            <v>367424</v>
          </cell>
          <cell r="L29">
            <v>1319014</v>
          </cell>
          <cell r="M29">
            <v>1286575</v>
          </cell>
          <cell r="N29">
            <v>1254717</v>
          </cell>
          <cell r="O29">
            <v>1399364</v>
          </cell>
          <cell r="P29">
            <v>1606088</v>
          </cell>
          <cell r="Q29">
            <v>1541210</v>
          </cell>
          <cell r="R29">
            <v>1477494</v>
          </cell>
          <cell r="S29">
            <v>1766788</v>
          </cell>
        </row>
        <row r="30">
          <cell r="B30" t="str">
            <v>M101.0402</v>
          </cell>
          <cell r="C30" t="str">
            <v>0,9 m3</v>
          </cell>
          <cell r="D30" t="str">
            <v>lít diezel</v>
          </cell>
          <cell r="E30">
            <v>585021</v>
          </cell>
          <cell r="F30" t="str">
            <v>1x4/7</v>
          </cell>
          <cell r="G30">
            <v>911473</v>
          </cell>
          <cell r="H30">
            <v>287074</v>
          </cell>
          <cell r="I30">
            <v>254635</v>
          </cell>
          <cell r="J30">
            <v>222777</v>
          </cell>
          <cell r="K30">
            <v>367424</v>
          </cell>
          <cell r="L30">
            <v>1659868</v>
          </cell>
          <cell r="M30">
            <v>1627429</v>
          </cell>
          <cell r="N30">
            <v>1595571</v>
          </cell>
          <cell r="O30">
            <v>1740218</v>
          </cell>
          <cell r="P30">
            <v>1946942</v>
          </cell>
          <cell r="Q30">
            <v>1882064</v>
          </cell>
          <cell r="R30">
            <v>1818348</v>
          </cell>
          <cell r="S30">
            <v>2107642</v>
          </cell>
        </row>
        <row r="31">
          <cell r="B31" t="str">
            <v>M101.0403</v>
          </cell>
          <cell r="C31" t="str">
            <v>1,25 m3</v>
          </cell>
          <cell r="D31" t="str">
            <v>lít diezel</v>
          </cell>
          <cell r="E31">
            <v>705026</v>
          </cell>
          <cell r="F31" t="str">
            <v>1x4/7</v>
          </cell>
          <cell r="G31">
            <v>1061665</v>
          </cell>
          <cell r="H31">
            <v>287074</v>
          </cell>
          <cell r="I31">
            <v>254635</v>
          </cell>
          <cell r="J31">
            <v>222777</v>
          </cell>
          <cell r="K31">
            <v>367424</v>
          </cell>
          <cell r="L31">
            <v>1909682</v>
          </cell>
          <cell r="M31">
            <v>1877243</v>
          </cell>
          <cell r="N31">
            <v>1845385</v>
          </cell>
          <cell r="O31">
            <v>1990032</v>
          </cell>
          <cell r="P31">
            <v>2196756</v>
          </cell>
          <cell r="Q31">
            <v>2131878</v>
          </cell>
          <cell r="R31">
            <v>2068162</v>
          </cell>
          <cell r="S31">
            <v>2357456</v>
          </cell>
        </row>
        <row r="32">
          <cell r="B32" t="str">
            <v>M101.0404</v>
          </cell>
          <cell r="C32" t="str">
            <v>1,6m3 ÷ 1,65 m3</v>
          </cell>
          <cell r="D32" t="str">
            <v>lít diezel</v>
          </cell>
          <cell r="E32">
            <v>1125041</v>
          </cell>
          <cell r="F32" t="str">
            <v>1x4/7</v>
          </cell>
          <cell r="G32">
            <v>1362509</v>
          </cell>
          <cell r="H32">
            <v>287074</v>
          </cell>
          <cell r="I32">
            <v>254635</v>
          </cell>
          <cell r="J32">
            <v>222777</v>
          </cell>
          <cell r="K32">
            <v>367424</v>
          </cell>
          <cell r="L32">
            <v>2589712</v>
          </cell>
          <cell r="M32">
            <v>2557273</v>
          </cell>
          <cell r="N32">
            <v>2525415</v>
          </cell>
          <cell r="O32">
            <v>2670062</v>
          </cell>
          <cell r="P32">
            <v>2876786</v>
          </cell>
          <cell r="Q32">
            <v>2811908</v>
          </cell>
          <cell r="R32">
            <v>2748192</v>
          </cell>
          <cell r="S32">
            <v>3037486</v>
          </cell>
        </row>
        <row r="33">
          <cell r="B33" t="str">
            <v>M101.0405</v>
          </cell>
          <cell r="C33" t="str">
            <v>2,30 m3</v>
          </cell>
          <cell r="D33" t="str">
            <v>lít diezel</v>
          </cell>
          <cell r="E33">
            <v>1425052</v>
          </cell>
          <cell r="F33" t="str">
            <v>1x4/7</v>
          </cell>
          <cell r="G33">
            <v>1769175</v>
          </cell>
          <cell r="H33">
            <v>287074</v>
          </cell>
          <cell r="I33">
            <v>254635</v>
          </cell>
          <cell r="J33">
            <v>222777</v>
          </cell>
          <cell r="K33">
            <v>367424</v>
          </cell>
          <cell r="L33">
            <v>3102192</v>
          </cell>
          <cell r="M33">
            <v>3069753</v>
          </cell>
          <cell r="N33">
            <v>3037895</v>
          </cell>
          <cell r="O33">
            <v>3182542</v>
          </cell>
          <cell r="P33">
            <v>3389266</v>
          </cell>
          <cell r="Q33">
            <v>3324388</v>
          </cell>
          <cell r="R33">
            <v>3260672</v>
          </cell>
          <cell r="S33">
            <v>3549966</v>
          </cell>
        </row>
        <row r="34">
          <cell r="B34" t="str">
            <v>M101.0406</v>
          </cell>
          <cell r="C34" t="str">
            <v>3,20 m3</v>
          </cell>
          <cell r="D34" t="str">
            <v>lít diezel</v>
          </cell>
          <cell r="E34">
            <v>2010073</v>
          </cell>
          <cell r="F34" t="str">
            <v>1x4/7</v>
          </cell>
          <cell r="G34">
            <v>3282220</v>
          </cell>
          <cell r="H34">
            <v>287074</v>
          </cell>
          <cell r="I34">
            <v>254635</v>
          </cell>
          <cell r="J34">
            <v>222777</v>
          </cell>
          <cell r="K34">
            <v>367424</v>
          </cell>
          <cell r="L34">
            <v>4805701</v>
          </cell>
          <cell r="M34">
            <v>4773262</v>
          </cell>
          <cell r="N34">
            <v>4741404</v>
          </cell>
          <cell r="O34">
            <v>4886051</v>
          </cell>
          <cell r="P34">
            <v>5092775</v>
          </cell>
          <cell r="Q34">
            <v>5027897</v>
          </cell>
          <cell r="R34">
            <v>4964181</v>
          </cell>
          <cell r="S34">
            <v>5253475</v>
          </cell>
        </row>
        <row r="35">
          <cell r="B35" t="str">
            <v>M101.0500</v>
          </cell>
          <cell r="C35" t="str">
            <v>Máy ủi - công suất:</v>
          </cell>
          <cell r="E35" t="str">
            <v>-</v>
          </cell>
          <cell r="P35">
            <v>0</v>
          </cell>
          <cell r="Q35">
            <v>0</v>
          </cell>
          <cell r="R35">
            <v>0</v>
          </cell>
          <cell r="S35">
            <v>0</v>
          </cell>
        </row>
        <row r="36">
          <cell r="B36" t="str">
            <v>M101.0501</v>
          </cell>
          <cell r="C36" t="str">
            <v>75 cv</v>
          </cell>
          <cell r="D36" t="str">
            <v>lít diezel</v>
          </cell>
          <cell r="E36">
            <v>570021</v>
          </cell>
          <cell r="F36" t="str">
            <v>1x4/7</v>
          </cell>
          <cell r="G36">
            <v>496093</v>
          </cell>
          <cell r="H36">
            <v>287074</v>
          </cell>
          <cell r="I36">
            <v>254635</v>
          </cell>
          <cell r="J36">
            <v>222777</v>
          </cell>
          <cell r="K36">
            <v>367424</v>
          </cell>
          <cell r="L36">
            <v>1339014</v>
          </cell>
          <cell r="M36">
            <v>1306575</v>
          </cell>
          <cell r="N36">
            <v>1274717</v>
          </cell>
          <cell r="O36">
            <v>1419364</v>
          </cell>
          <cell r="P36">
            <v>1626088</v>
          </cell>
          <cell r="Q36">
            <v>1561210</v>
          </cell>
          <cell r="R36">
            <v>1497494</v>
          </cell>
          <cell r="S36">
            <v>1786788</v>
          </cell>
        </row>
        <row r="37">
          <cell r="B37" t="str">
            <v>M101.0502</v>
          </cell>
          <cell r="C37" t="str">
            <v>100 cv</v>
          </cell>
          <cell r="D37" t="str">
            <v>lít diezel</v>
          </cell>
          <cell r="E37">
            <v>660024</v>
          </cell>
          <cell r="F37" t="str">
            <v>1x4/7</v>
          </cell>
          <cell r="G37">
            <v>792756</v>
          </cell>
          <cell r="H37">
            <v>287074</v>
          </cell>
          <cell r="I37">
            <v>254635</v>
          </cell>
          <cell r="J37">
            <v>222777</v>
          </cell>
          <cell r="K37">
            <v>367424</v>
          </cell>
          <cell r="L37">
            <v>1609616</v>
          </cell>
          <cell r="M37">
            <v>1577177</v>
          </cell>
          <cell r="N37">
            <v>1545319</v>
          </cell>
          <cell r="O37">
            <v>1689966</v>
          </cell>
          <cell r="P37">
            <v>1896690</v>
          </cell>
          <cell r="Q37">
            <v>1831812</v>
          </cell>
          <cell r="R37">
            <v>1768096</v>
          </cell>
          <cell r="S37">
            <v>2057390</v>
          </cell>
        </row>
        <row r="38">
          <cell r="B38" t="str">
            <v>M101.0503</v>
          </cell>
          <cell r="C38" t="str">
            <v>110 cv</v>
          </cell>
          <cell r="D38" t="str">
            <v>lít diezel</v>
          </cell>
          <cell r="E38">
            <v>690025</v>
          </cell>
          <cell r="F38" t="str">
            <v>1x4/7</v>
          </cell>
          <cell r="G38">
            <v>851855</v>
          </cell>
          <cell r="H38">
            <v>287074</v>
          </cell>
          <cell r="I38">
            <v>254635</v>
          </cell>
          <cell r="J38">
            <v>222777</v>
          </cell>
          <cell r="K38">
            <v>367424</v>
          </cell>
          <cell r="L38">
            <v>1689006</v>
          </cell>
          <cell r="M38">
            <v>1656567</v>
          </cell>
          <cell r="N38">
            <v>1624709</v>
          </cell>
          <cell r="O38">
            <v>1769356</v>
          </cell>
          <cell r="P38">
            <v>1976080</v>
          </cell>
          <cell r="Q38">
            <v>1911202</v>
          </cell>
          <cell r="R38">
            <v>1847486</v>
          </cell>
          <cell r="S38">
            <v>2136780</v>
          </cell>
        </row>
        <row r="39">
          <cell r="B39" t="str">
            <v>M101.0504</v>
          </cell>
          <cell r="C39" t="str">
            <v>140 cv</v>
          </cell>
          <cell r="D39" t="str">
            <v>lít diezel</v>
          </cell>
          <cell r="E39">
            <v>885032</v>
          </cell>
          <cell r="F39" t="str">
            <v>1x4/7</v>
          </cell>
          <cell r="G39">
            <v>1366980</v>
          </cell>
          <cell r="H39">
            <v>287074</v>
          </cell>
          <cell r="I39">
            <v>254635</v>
          </cell>
          <cell r="J39">
            <v>222777</v>
          </cell>
          <cell r="K39">
            <v>367424</v>
          </cell>
          <cell r="L39">
            <v>2314511</v>
          </cell>
          <cell r="M39">
            <v>2282072</v>
          </cell>
          <cell r="N39">
            <v>2250214</v>
          </cell>
          <cell r="O39">
            <v>2394861</v>
          </cell>
          <cell r="P39">
            <v>2601585</v>
          </cell>
          <cell r="Q39">
            <v>2536707</v>
          </cell>
          <cell r="R39">
            <v>2472991</v>
          </cell>
          <cell r="S39">
            <v>2762285</v>
          </cell>
        </row>
        <row r="40">
          <cell r="B40" t="str">
            <v>M101.0505</v>
          </cell>
          <cell r="C40" t="str">
            <v>180 cv</v>
          </cell>
          <cell r="D40" t="str">
            <v>lít diezel</v>
          </cell>
          <cell r="E40">
            <v>1140041</v>
          </cell>
          <cell r="F40" t="str">
            <v>1x4/7</v>
          </cell>
          <cell r="G40">
            <v>1753811</v>
          </cell>
          <cell r="H40">
            <v>287074</v>
          </cell>
          <cell r="I40">
            <v>254635</v>
          </cell>
          <cell r="J40">
            <v>222777</v>
          </cell>
          <cell r="K40">
            <v>367424</v>
          </cell>
          <cell r="L40">
            <v>2874010</v>
          </cell>
          <cell r="M40">
            <v>2841571</v>
          </cell>
          <cell r="N40">
            <v>2809713</v>
          </cell>
          <cell r="O40">
            <v>2954360</v>
          </cell>
          <cell r="P40">
            <v>3161084</v>
          </cell>
          <cell r="Q40">
            <v>3096206</v>
          </cell>
          <cell r="R40">
            <v>3032490</v>
          </cell>
          <cell r="S40">
            <v>3321784</v>
          </cell>
        </row>
        <row r="41">
          <cell r="B41" t="str">
            <v>M101.0506</v>
          </cell>
          <cell r="C41" t="str">
            <v>240 cv</v>
          </cell>
          <cell r="D41" t="str">
            <v>lít diezel</v>
          </cell>
          <cell r="E41">
            <v>1410051</v>
          </cell>
          <cell r="F41" t="str">
            <v>1x4/7</v>
          </cell>
          <cell r="G41">
            <v>2203242</v>
          </cell>
          <cell r="H41">
            <v>287074</v>
          </cell>
          <cell r="I41">
            <v>254635</v>
          </cell>
          <cell r="J41">
            <v>222777</v>
          </cell>
          <cell r="K41">
            <v>367424</v>
          </cell>
          <cell r="L41">
            <v>3420375</v>
          </cell>
          <cell r="M41">
            <v>3387936</v>
          </cell>
          <cell r="N41">
            <v>3356078</v>
          </cell>
          <cell r="O41">
            <v>3500725</v>
          </cell>
          <cell r="P41">
            <v>3707449</v>
          </cell>
          <cell r="Q41">
            <v>3642571</v>
          </cell>
          <cell r="R41">
            <v>3578855</v>
          </cell>
          <cell r="S41">
            <v>3868149</v>
          </cell>
        </row>
        <row r="42">
          <cell r="B42" t="str">
            <v>M101.0507</v>
          </cell>
          <cell r="C42" t="str">
            <v>320 cv</v>
          </cell>
          <cell r="D42" t="str">
            <v>lít diezel</v>
          </cell>
          <cell r="E42">
            <v>1875068</v>
          </cell>
          <cell r="F42" t="str">
            <v>1x4/7</v>
          </cell>
          <cell r="G42">
            <v>3710784</v>
          </cell>
          <cell r="H42">
            <v>287074</v>
          </cell>
          <cell r="I42">
            <v>254635</v>
          </cell>
          <cell r="J42">
            <v>222777</v>
          </cell>
          <cell r="K42">
            <v>367424</v>
          </cell>
          <cell r="L42">
            <v>4799449</v>
          </cell>
          <cell r="M42">
            <v>4767010</v>
          </cell>
          <cell r="N42">
            <v>4735152</v>
          </cell>
          <cell r="O42">
            <v>4879799</v>
          </cell>
          <cell r="P42">
            <v>5086523</v>
          </cell>
          <cell r="Q42">
            <v>5021645</v>
          </cell>
          <cell r="R42">
            <v>4957929</v>
          </cell>
          <cell r="S42">
            <v>5247223</v>
          </cell>
        </row>
        <row r="43">
          <cell r="B43" t="str">
            <v>M101.0600</v>
          </cell>
          <cell r="C43" t="str">
            <v>Máy cạp tự hành - dung tích</v>
          </cell>
          <cell r="E43" t="str">
            <v>-</v>
          </cell>
          <cell r="P43">
            <v>0</v>
          </cell>
          <cell r="Q43">
            <v>0</v>
          </cell>
          <cell r="R43">
            <v>0</v>
          </cell>
          <cell r="S43">
            <v>0</v>
          </cell>
        </row>
        <row r="44">
          <cell r="C44" t="str">
            <v>thùng:</v>
          </cell>
          <cell r="P44">
            <v>0</v>
          </cell>
          <cell r="Q44">
            <v>0</v>
          </cell>
          <cell r="R44">
            <v>0</v>
          </cell>
          <cell r="S44">
            <v>0</v>
          </cell>
        </row>
        <row r="45">
          <cell r="B45" t="str">
            <v>M101.0601</v>
          </cell>
          <cell r="C45" t="str">
            <v>9 m3</v>
          </cell>
          <cell r="D45" t="str">
            <v>lít diezel</v>
          </cell>
          <cell r="E45">
            <v>1980072</v>
          </cell>
          <cell r="F45" t="str">
            <v>1x6/7</v>
          </cell>
          <cell r="G45">
            <v>1727900</v>
          </cell>
          <cell r="H45">
            <v>400164</v>
          </cell>
          <cell r="I45">
            <v>354946</v>
          </cell>
          <cell r="J45">
            <v>310538</v>
          </cell>
          <cell r="K45">
            <v>512166</v>
          </cell>
          <cell r="L45">
            <v>3725530</v>
          </cell>
          <cell r="M45">
            <v>3680312</v>
          </cell>
          <cell r="N45">
            <v>3635904</v>
          </cell>
          <cell r="O45">
            <v>3837532</v>
          </cell>
          <cell r="P45">
            <v>4125694</v>
          </cell>
          <cell r="Q45">
            <v>4035258</v>
          </cell>
          <cell r="R45">
            <v>3946442</v>
          </cell>
          <cell r="S45">
            <v>4349698</v>
          </cell>
        </row>
        <row r="46">
          <cell r="B46" t="str">
            <v>M101.0602</v>
          </cell>
          <cell r="C46" t="str">
            <v>16 m3</v>
          </cell>
          <cell r="D46" t="str">
            <v>lít diezel</v>
          </cell>
          <cell r="E46">
            <v>2310084</v>
          </cell>
          <cell r="F46" t="str">
            <v>1x6/7</v>
          </cell>
          <cell r="G46">
            <v>2631577</v>
          </cell>
          <cell r="H46">
            <v>400164</v>
          </cell>
          <cell r="I46">
            <v>354946</v>
          </cell>
          <cell r="J46">
            <v>310538</v>
          </cell>
          <cell r="K46">
            <v>512166</v>
          </cell>
          <cell r="L46">
            <v>4740322</v>
          </cell>
          <cell r="M46">
            <v>4695104</v>
          </cell>
          <cell r="N46">
            <v>4650696</v>
          </cell>
          <cell r="O46">
            <v>4852324</v>
          </cell>
          <cell r="P46">
            <v>5140486</v>
          </cell>
          <cell r="Q46">
            <v>5050050</v>
          </cell>
          <cell r="R46">
            <v>4961234</v>
          </cell>
          <cell r="S46">
            <v>5364490</v>
          </cell>
        </row>
        <row r="47">
          <cell r="B47" t="str">
            <v>M101.0603</v>
          </cell>
          <cell r="C47" t="str">
            <v>25 m3</v>
          </cell>
          <cell r="D47" t="str">
            <v>lít diezel</v>
          </cell>
          <cell r="E47">
            <v>2730099</v>
          </cell>
          <cell r="F47" t="str">
            <v>1x6/7</v>
          </cell>
          <cell r="G47">
            <v>3289328</v>
          </cell>
          <cell r="H47">
            <v>400164</v>
          </cell>
          <cell r="I47">
            <v>354946</v>
          </cell>
          <cell r="J47">
            <v>310538</v>
          </cell>
          <cell r="K47">
            <v>512166</v>
          </cell>
          <cell r="L47">
            <v>5562016</v>
          </cell>
          <cell r="M47">
            <v>5516798</v>
          </cell>
          <cell r="N47">
            <v>5472390</v>
          </cell>
          <cell r="O47">
            <v>5674018</v>
          </cell>
          <cell r="P47">
            <v>5962180</v>
          </cell>
          <cell r="Q47">
            <v>5871744</v>
          </cell>
          <cell r="R47">
            <v>5782928</v>
          </cell>
          <cell r="S47">
            <v>6186184</v>
          </cell>
        </row>
        <row r="48">
          <cell r="B48" t="str">
            <v>M101.0700</v>
          </cell>
          <cell r="C48" t="str">
            <v>Máy san tự hành - công suất:</v>
          </cell>
          <cell r="E48" t="str">
            <v>-</v>
          </cell>
          <cell r="P48">
            <v>0</v>
          </cell>
          <cell r="Q48">
            <v>0</v>
          </cell>
          <cell r="R48">
            <v>0</v>
          </cell>
          <cell r="S48">
            <v>0</v>
          </cell>
        </row>
        <row r="49">
          <cell r="B49" t="str">
            <v>M101.0701</v>
          </cell>
          <cell r="C49" t="str">
            <v>110 cv</v>
          </cell>
          <cell r="D49" t="str">
            <v>lít diezel</v>
          </cell>
          <cell r="E49">
            <v>585021</v>
          </cell>
          <cell r="F49" t="str">
            <v>1x5/7</v>
          </cell>
          <cell r="G49">
            <v>1022799</v>
          </cell>
          <cell r="H49">
            <v>337529</v>
          </cell>
          <cell r="I49">
            <v>299389</v>
          </cell>
          <cell r="J49">
            <v>261932</v>
          </cell>
          <cell r="K49">
            <v>432001</v>
          </cell>
          <cell r="L49">
            <v>1905327</v>
          </cell>
          <cell r="M49">
            <v>1867187</v>
          </cell>
          <cell r="N49">
            <v>1829730</v>
          </cell>
          <cell r="O49">
            <v>1999799</v>
          </cell>
          <cell r="P49">
            <v>2242856</v>
          </cell>
          <cell r="Q49">
            <v>2166576</v>
          </cell>
          <cell r="R49">
            <v>2091662</v>
          </cell>
          <cell r="S49">
            <v>2431800</v>
          </cell>
        </row>
        <row r="50">
          <cell r="B50" t="str">
            <v>M101.0702</v>
          </cell>
          <cell r="C50" t="str">
            <v>140 cv</v>
          </cell>
          <cell r="D50" t="str">
            <v>lít diezel</v>
          </cell>
          <cell r="E50">
            <v>660024</v>
          </cell>
          <cell r="F50" t="str">
            <v>1x5/7</v>
          </cell>
          <cell r="G50">
            <v>1370764</v>
          </cell>
          <cell r="H50">
            <v>337529</v>
          </cell>
          <cell r="I50">
            <v>299389</v>
          </cell>
          <cell r="J50">
            <v>261932</v>
          </cell>
          <cell r="K50">
            <v>432001</v>
          </cell>
          <cell r="L50">
            <v>2230049</v>
          </cell>
          <cell r="M50">
            <v>2191909</v>
          </cell>
          <cell r="N50">
            <v>2154452</v>
          </cell>
          <cell r="O50">
            <v>2324521</v>
          </cell>
          <cell r="P50">
            <v>2567578</v>
          </cell>
          <cell r="Q50">
            <v>2491298</v>
          </cell>
          <cell r="R50">
            <v>2416384</v>
          </cell>
          <cell r="S50">
            <v>2756522</v>
          </cell>
        </row>
        <row r="51">
          <cell r="B51" t="str">
            <v>M101.0703</v>
          </cell>
          <cell r="C51" t="str">
            <v>180 cv</v>
          </cell>
          <cell r="D51" t="str">
            <v>lít diezel</v>
          </cell>
          <cell r="E51">
            <v>810029</v>
          </cell>
          <cell r="F51" t="str">
            <v>1x5/7</v>
          </cell>
          <cell r="G51">
            <v>1713454</v>
          </cell>
          <cell r="H51">
            <v>337529</v>
          </cell>
          <cell r="I51">
            <v>299389</v>
          </cell>
          <cell r="J51">
            <v>261932</v>
          </cell>
          <cell r="K51">
            <v>432001</v>
          </cell>
          <cell r="L51">
            <v>2566298</v>
          </cell>
          <cell r="M51">
            <v>2528158</v>
          </cell>
          <cell r="N51">
            <v>2490701</v>
          </cell>
          <cell r="O51">
            <v>2660770</v>
          </cell>
          <cell r="P51">
            <v>2903827</v>
          </cell>
          <cell r="Q51">
            <v>2827547</v>
          </cell>
          <cell r="R51">
            <v>2752633</v>
          </cell>
          <cell r="S51">
            <v>3092771</v>
          </cell>
        </row>
        <row r="52">
          <cell r="B52" t="str">
            <v>M101.0800</v>
          </cell>
          <cell r="C52" t="str">
            <v>Máy đầm đất cầm tay - trọng lượng:</v>
          </cell>
          <cell r="E52" t="str">
            <v>-</v>
          </cell>
          <cell r="P52">
            <v>0</v>
          </cell>
          <cell r="Q52">
            <v>0</v>
          </cell>
          <cell r="R52">
            <v>0</v>
          </cell>
          <cell r="S52">
            <v>0</v>
          </cell>
        </row>
        <row r="53">
          <cell r="B53" t="str">
            <v>M101.0801</v>
          </cell>
          <cell r="C53" t="str">
            <v>50 kg</v>
          </cell>
          <cell r="D53" t="str">
            <v>lít xăng</v>
          </cell>
          <cell r="E53">
            <v>56026</v>
          </cell>
          <cell r="F53" t="str">
            <v>1x3/7</v>
          </cell>
          <cell r="G53">
            <v>26484</v>
          </cell>
          <cell r="H53">
            <v>241838</v>
          </cell>
          <cell r="I53">
            <v>214511</v>
          </cell>
          <cell r="J53">
            <v>187673</v>
          </cell>
          <cell r="K53">
            <v>309526</v>
          </cell>
          <cell r="L53">
            <v>336795</v>
          </cell>
          <cell r="M53">
            <v>309468</v>
          </cell>
          <cell r="N53">
            <v>28263</v>
          </cell>
          <cell r="O53">
            <v>404483</v>
          </cell>
          <cell r="P53">
            <v>578633</v>
          </cell>
          <cell r="Q53">
            <v>523979</v>
          </cell>
          <cell r="R53">
            <v>215936</v>
          </cell>
          <cell r="S53">
            <v>714009</v>
          </cell>
        </row>
        <row r="54">
          <cell r="B54" t="str">
            <v>M101.0802</v>
          </cell>
          <cell r="C54" t="str">
            <v>60 kg</v>
          </cell>
          <cell r="D54" t="str">
            <v>lít xăng</v>
          </cell>
          <cell r="E54">
            <v>65363</v>
          </cell>
          <cell r="F54" t="str">
            <v>1x3/7</v>
          </cell>
          <cell r="G54">
            <v>33134</v>
          </cell>
          <cell r="H54">
            <v>241838</v>
          </cell>
          <cell r="I54">
            <v>214511</v>
          </cell>
          <cell r="J54">
            <v>187673</v>
          </cell>
          <cell r="K54">
            <v>309526</v>
          </cell>
          <cell r="L54">
            <v>352595</v>
          </cell>
          <cell r="M54">
            <v>325268</v>
          </cell>
          <cell r="N54">
            <v>29843</v>
          </cell>
          <cell r="O54">
            <v>420283</v>
          </cell>
          <cell r="P54">
            <v>594433</v>
          </cell>
          <cell r="Q54">
            <v>539779</v>
          </cell>
          <cell r="R54">
            <v>217516</v>
          </cell>
          <cell r="S54">
            <v>729809</v>
          </cell>
        </row>
        <row r="55">
          <cell r="B55" t="str">
            <v>M101.0803</v>
          </cell>
          <cell r="C55" t="str">
            <v>70 kg</v>
          </cell>
          <cell r="D55" t="str">
            <v>lít xăng</v>
          </cell>
          <cell r="E55">
            <v>74701</v>
          </cell>
          <cell r="F55" t="str">
            <v>1x3/7</v>
          </cell>
          <cell r="G55">
            <v>35771</v>
          </cell>
          <cell r="H55">
            <v>241838</v>
          </cell>
          <cell r="I55">
            <v>214511</v>
          </cell>
          <cell r="J55">
            <v>187673</v>
          </cell>
          <cell r="K55">
            <v>309526</v>
          </cell>
          <cell r="L55">
            <v>365545</v>
          </cell>
          <cell r="M55">
            <v>338218</v>
          </cell>
          <cell r="N55">
            <v>31138</v>
          </cell>
          <cell r="O55">
            <v>433233</v>
          </cell>
          <cell r="P55">
            <v>607383</v>
          </cell>
          <cell r="Q55">
            <v>552729</v>
          </cell>
          <cell r="R55">
            <v>218811</v>
          </cell>
          <cell r="S55">
            <v>742759</v>
          </cell>
        </row>
        <row r="56">
          <cell r="B56" t="str">
            <v>M101.0804</v>
          </cell>
          <cell r="C56" t="str">
            <v>80 kg</v>
          </cell>
          <cell r="D56" t="str">
            <v>lít xăng</v>
          </cell>
          <cell r="E56">
            <v>93376</v>
          </cell>
          <cell r="F56" t="str">
            <v>1x3/7</v>
          </cell>
          <cell r="G56">
            <v>37663</v>
          </cell>
          <cell r="H56">
            <v>241838</v>
          </cell>
          <cell r="I56">
            <v>214511</v>
          </cell>
          <cell r="J56">
            <v>187673</v>
          </cell>
          <cell r="K56">
            <v>309526</v>
          </cell>
          <cell r="L56">
            <v>386813</v>
          </cell>
          <cell r="M56">
            <v>359486</v>
          </cell>
          <cell r="N56">
            <v>332648</v>
          </cell>
          <cell r="O56">
            <v>454501</v>
          </cell>
          <cell r="P56">
            <v>628651</v>
          </cell>
          <cell r="Q56">
            <v>573997</v>
          </cell>
          <cell r="R56">
            <v>520321</v>
          </cell>
          <cell r="S56">
            <v>764027</v>
          </cell>
        </row>
        <row r="57">
          <cell r="B57" t="str">
            <v>M101.0900</v>
          </cell>
          <cell r="C57" t="str">
            <v>Máy lu bánh hơi tự hành - trọng lượng tĩnh:</v>
          </cell>
          <cell r="E57" t="str">
            <v>-</v>
          </cell>
          <cell r="P57">
            <v>0</v>
          </cell>
          <cell r="Q57">
            <v>0</v>
          </cell>
          <cell r="R57">
            <v>0</v>
          </cell>
          <cell r="S57">
            <v>0</v>
          </cell>
        </row>
        <row r="58">
          <cell r="B58" t="str">
            <v>M101.0901</v>
          </cell>
          <cell r="C58" t="str">
            <v>9 t</v>
          </cell>
          <cell r="D58" t="str">
            <v>lít diezel</v>
          </cell>
          <cell r="E58">
            <v>510019</v>
          </cell>
          <cell r="F58" t="str">
            <v>1x4/7</v>
          </cell>
          <cell r="G58">
            <v>611661</v>
          </cell>
          <cell r="H58">
            <v>287074</v>
          </cell>
          <cell r="I58">
            <v>254635</v>
          </cell>
          <cell r="J58">
            <v>222777</v>
          </cell>
          <cell r="K58">
            <v>367424</v>
          </cell>
          <cell r="L58">
            <v>1313606</v>
          </cell>
          <cell r="M58">
            <v>1281167</v>
          </cell>
          <cell r="N58">
            <v>1249309</v>
          </cell>
          <cell r="O58">
            <v>1393956</v>
          </cell>
          <cell r="P58">
            <v>1600680</v>
          </cell>
          <cell r="Q58">
            <v>1535802</v>
          </cell>
          <cell r="R58">
            <v>1472086</v>
          </cell>
          <cell r="S58">
            <v>1761380</v>
          </cell>
        </row>
        <row r="59">
          <cell r="B59" t="str">
            <v>M101.0902</v>
          </cell>
          <cell r="C59" t="str">
            <v>16 t</v>
          </cell>
          <cell r="D59" t="str">
            <v>lít diezel</v>
          </cell>
          <cell r="E59">
            <v>570021</v>
          </cell>
          <cell r="F59" t="str">
            <v>1x4/7</v>
          </cell>
          <cell r="G59">
            <v>695012</v>
          </cell>
          <cell r="H59">
            <v>287074</v>
          </cell>
          <cell r="I59">
            <v>254635</v>
          </cell>
          <cell r="J59">
            <v>222777</v>
          </cell>
          <cell r="K59">
            <v>367424</v>
          </cell>
          <cell r="L59">
            <v>1443994</v>
          </cell>
          <cell r="M59">
            <v>1411555</v>
          </cell>
          <cell r="N59">
            <v>1379697</v>
          </cell>
          <cell r="O59">
            <v>1524344</v>
          </cell>
          <cell r="P59">
            <v>1731068</v>
          </cell>
          <cell r="Q59">
            <v>1666190</v>
          </cell>
          <cell r="R59">
            <v>1602474</v>
          </cell>
          <cell r="S59">
            <v>1891768</v>
          </cell>
        </row>
        <row r="60">
          <cell r="B60" t="str">
            <v>M101.0903</v>
          </cell>
          <cell r="C60" t="str">
            <v>18 t</v>
          </cell>
          <cell r="D60" t="str">
            <v>lít diezel</v>
          </cell>
          <cell r="E60">
            <v>630023</v>
          </cell>
          <cell r="F60" t="str">
            <v>1x4/7</v>
          </cell>
          <cell r="G60">
            <v>765981</v>
          </cell>
          <cell r="H60">
            <v>287074</v>
          </cell>
          <cell r="I60">
            <v>254635</v>
          </cell>
          <cell r="J60">
            <v>222777</v>
          </cell>
          <cell r="K60">
            <v>367424</v>
          </cell>
          <cell r="L60">
            <v>1538393</v>
          </cell>
          <cell r="M60">
            <v>1505954</v>
          </cell>
          <cell r="N60">
            <v>1474096</v>
          </cell>
          <cell r="O60">
            <v>1618743</v>
          </cell>
          <cell r="P60">
            <v>1825467</v>
          </cell>
          <cell r="Q60">
            <v>1760589</v>
          </cell>
          <cell r="R60">
            <v>1696873</v>
          </cell>
          <cell r="S60">
            <v>1986167</v>
          </cell>
        </row>
        <row r="61">
          <cell r="B61" t="str">
            <v>M101.0904</v>
          </cell>
          <cell r="C61" t="str">
            <v>25 t</v>
          </cell>
          <cell r="D61" t="str">
            <v>lít diezel</v>
          </cell>
          <cell r="E61">
            <v>82503</v>
          </cell>
          <cell r="F61" t="str">
            <v>1x4/7</v>
          </cell>
          <cell r="G61">
            <v>873524</v>
          </cell>
          <cell r="H61">
            <v>287074</v>
          </cell>
          <cell r="I61">
            <v>254635</v>
          </cell>
          <cell r="J61">
            <v>222777</v>
          </cell>
          <cell r="K61">
            <v>367424</v>
          </cell>
          <cell r="L61">
            <v>1814158</v>
          </cell>
          <cell r="M61">
            <v>1781719</v>
          </cell>
          <cell r="N61">
            <v>1749861</v>
          </cell>
          <cell r="O61">
            <v>1894508</v>
          </cell>
          <cell r="P61">
            <v>2101232</v>
          </cell>
          <cell r="Q61">
            <v>2036354</v>
          </cell>
          <cell r="R61">
            <v>1972638</v>
          </cell>
          <cell r="S61">
            <v>2261932</v>
          </cell>
        </row>
        <row r="62">
          <cell r="B62" t="str">
            <v>M101.1000</v>
          </cell>
          <cell r="C62" t="str">
            <v>Máy lu rung tự hành - trọng lượng tĩnh:</v>
          </cell>
          <cell r="E62" t="str">
            <v>-</v>
          </cell>
          <cell r="P62">
            <v>0</v>
          </cell>
          <cell r="Q62">
            <v>0</v>
          </cell>
          <cell r="R62">
            <v>0</v>
          </cell>
          <cell r="S62">
            <v>0</v>
          </cell>
        </row>
        <row r="63">
          <cell r="B63" t="str">
            <v>M101.1001</v>
          </cell>
          <cell r="C63" t="str">
            <v>8 t</v>
          </cell>
          <cell r="D63" t="str">
            <v>lít diezel</v>
          </cell>
          <cell r="E63">
            <v>28501</v>
          </cell>
          <cell r="F63" t="str">
            <v>1x4/7</v>
          </cell>
          <cell r="G63">
            <v>778593</v>
          </cell>
          <cell r="H63">
            <v>287074</v>
          </cell>
          <cell r="I63">
            <v>254635</v>
          </cell>
          <cell r="J63">
            <v>222777</v>
          </cell>
          <cell r="K63">
            <v>367424</v>
          </cell>
          <cell r="L63">
            <v>1212261</v>
          </cell>
          <cell r="M63">
            <v>1179822</v>
          </cell>
          <cell r="N63">
            <v>1147964</v>
          </cell>
          <cell r="O63">
            <v>1292611</v>
          </cell>
          <cell r="P63">
            <v>1499335</v>
          </cell>
          <cell r="Q63">
            <v>1434457</v>
          </cell>
          <cell r="R63">
            <v>1370741</v>
          </cell>
          <cell r="S63">
            <v>1660035</v>
          </cell>
        </row>
        <row r="64">
          <cell r="B64" t="str">
            <v>M101.1002</v>
          </cell>
          <cell r="C64" t="str">
            <v>12 t</v>
          </cell>
          <cell r="D64" t="str">
            <v>lít diezel</v>
          </cell>
          <cell r="E64">
            <v>405015</v>
          </cell>
          <cell r="F64" t="str">
            <v>1x4/7</v>
          </cell>
          <cell r="G64">
            <v>1008000</v>
          </cell>
          <cell r="H64">
            <v>287074</v>
          </cell>
          <cell r="I64">
            <v>254635</v>
          </cell>
          <cell r="J64">
            <v>222777</v>
          </cell>
          <cell r="K64">
            <v>367424</v>
          </cell>
          <cell r="L64">
            <v>1520889</v>
          </cell>
          <cell r="M64">
            <v>1488450</v>
          </cell>
          <cell r="N64">
            <v>1456592</v>
          </cell>
          <cell r="O64">
            <v>1601239</v>
          </cell>
          <cell r="P64">
            <v>1807963</v>
          </cell>
          <cell r="Q64">
            <v>1743085</v>
          </cell>
          <cell r="R64">
            <v>1679369</v>
          </cell>
          <cell r="S64">
            <v>1968663</v>
          </cell>
        </row>
        <row r="65">
          <cell r="B65" t="str">
            <v>M101.1003</v>
          </cell>
          <cell r="C65" t="str">
            <v>15 t</v>
          </cell>
          <cell r="D65" t="str">
            <v>lít diezel</v>
          </cell>
          <cell r="E65">
            <v>585021</v>
          </cell>
          <cell r="F65" t="str">
            <v>1x4/7</v>
          </cell>
          <cell r="G65">
            <v>1268266</v>
          </cell>
          <cell r="H65">
            <v>287074</v>
          </cell>
          <cell r="I65">
            <v>254635</v>
          </cell>
          <cell r="J65">
            <v>222777</v>
          </cell>
          <cell r="K65">
            <v>367424</v>
          </cell>
          <cell r="L65">
            <v>1900800</v>
          </cell>
          <cell r="M65">
            <v>1868361</v>
          </cell>
          <cell r="N65">
            <v>1836503</v>
          </cell>
          <cell r="O65">
            <v>1981150</v>
          </cell>
          <cell r="P65">
            <v>2187874</v>
          </cell>
          <cell r="Q65">
            <v>2122996</v>
          </cell>
          <cell r="R65">
            <v>2059280</v>
          </cell>
          <cell r="S65">
            <v>2348574</v>
          </cell>
        </row>
        <row r="66">
          <cell r="B66" t="str">
            <v>M101.1004</v>
          </cell>
          <cell r="C66" t="str">
            <v>18 t</v>
          </cell>
          <cell r="D66" t="str">
            <v>lít diezel</v>
          </cell>
          <cell r="E66">
            <v>795029</v>
          </cell>
          <cell r="F66" t="str">
            <v>1x4/7</v>
          </cell>
          <cell r="G66">
            <v>1484153</v>
          </cell>
          <cell r="H66">
            <v>287074</v>
          </cell>
          <cell r="I66">
            <v>254635</v>
          </cell>
          <cell r="J66">
            <v>222777</v>
          </cell>
          <cell r="K66">
            <v>367424</v>
          </cell>
          <cell r="L66">
            <v>2285916</v>
          </cell>
          <cell r="M66">
            <v>2253477</v>
          </cell>
          <cell r="N66">
            <v>2221619</v>
          </cell>
          <cell r="O66">
            <v>2366266</v>
          </cell>
          <cell r="P66">
            <v>2572990</v>
          </cell>
          <cell r="Q66">
            <v>2508112</v>
          </cell>
          <cell r="R66">
            <v>2444396</v>
          </cell>
          <cell r="S66">
            <v>2733690</v>
          </cell>
        </row>
        <row r="67">
          <cell r="B67" t="str">
            <v>M101.1005</v>
          </cell>
          <cell r="C67" t="str">
            <v>20t</v>
          </cell>
          <cell r="D67" t="str">
            <v>lít diezel</v>
          </cell>
          <cell r="E67">
            <v>915033</v>
          </cell>
          <cell r="F67" t="str">
            <v>1x4/7</v>
          </cell>
          <cell r="G67">
            <v>1535452</v>
          </cell>
          <cell r="H67">
            <v>287074</v>
          </cell>
          <cell r="I67">
            <v>254635</v>
          </cell>
          <cell r="J67">
            <v>222777</v>
          </cell>
          <cell r="K67">
            <v>367424</v>
          </cell>
          <cell r="L67">
            <v>2447529</v>
          </cell>
          <cell r="M67">
            <v>2415090</v>
          </cell>
          <cell r="N67">
            <v>2383232</v>
          </cell>
          <cell r="O67">
            <v>2527879</v>
          </cell>
          <cell r="P67">
            <v>2734603</v>
          </cell>
          <cell r="Q67">
            <v>2669725</v>
          </cell>
          <cell r="R67">
            <v>2606009</v>
          </cell>
          <cell r="S67">
            <v>2895303</v>
          </cell>
        </row>
        <row r="68">
          <cell r="B68" t="str">
            <v>M101.1006</v>
          </cell>
          <cell r="C68" t="str">
            <v>25 t</v>
          </cell>
          <cell r="D68" t="str">
            <v>lít diezel</v>
          </cell>
          <cell r="E68">
            <v>1005037</v>
          </cell>
          <cell r="F68" t="str">
            <v>1x4/7</v>
          </cell>
          <cell r="G68">
            <v>1668970</v>
          </cell>
          <cell r="H68">
            <v>287074</v>
          </cell>
          <cell r="I68">
            <v>254635</v>
          </cell>
          <cell r="J68">
            <v>222777</v>
          </cell>
          <cell r="K68">
            <v>367424</v>
          </cell>
          <cell r="L68">
            <v>2608742</v>
          </cell>
          <cell r="M68">
            <v>2576303</v>
          </cell>
          <cell r="N68">
            <v>2544445</v>
          </cell>
          <cell r="O68">
            <v>2689092</v>
          </cell>
          <cell r="P68">
            <v>2895816</v>
          </cell>
          <cell r="Q68">
            <v>2830938</v>
          </cell>
          <cell r="R68">
            <v>2767222</v>
          </cell>
          <cell r="S68">
            <v>3056516</v>
          </cell>
        </row>
        <row r="69">
          <cell r="B69" t="str">
            <v>M101.1100</v>
          </cell>
          <cell r="C69" t="str">
            <v>Máy lu bánh thép tự hành - trọng lượng tĩnh:</v>
          </cell>
          <cell r="E69" t="str">
            <v>-</v>
          </cell>
          <cell r="P69">
            <v>0</v>
          </cell>
          <cell r="Q69">
            <v>0</v>
          </cell>
          <cell r="R69">
            <v>0</v>
          </cell>
          <cell r="S69">
            <v>0</v>
          </cell>
        </row>
        <row r="70">
          <cell r="B70" t="str">
            <v>M101.1101</v>
          </cell>
          <cell r="C70" t="str">
            <v>6,0 t</v>
          </cell>
          <cell r="D70" t="str">
            <v>lít diezel</v>
          </cell>
          <cell r="E70">
            <v>300011</v>
          </cell>
          <cell r="F70" t="str">
            <v>1x4/7</v>
          </cell>
          <cell r="G70">
            <v>310973</v>
          </cell>
          <cell r="H70">
            <v>287074</v>
          </cell>
          <cell r="I70">
            <v>254635</v>
          </cell>
          <cell r="J70">
            <v>222777</v>
          </cell>
          <cell r="K70">
            <v>367424</v>
          </cell>
          <cell r="L70">
            <v>833560</v>
          </cell>
          <cell r="M70">
            <v>801121</v>
          </cell>
          <cell r="N70">
            <v>769263</v>
          </cell>
          <cell r="O70">
            <v>913910</v>
          </cell>
          <cell r="P70">
            <v>1120634</v>
          </cell>
          <cell r="Q70">
            <v>1055756</v>
          </cell>
          <cell r="R70">
            <v>992040</v>
          </cell>
          <cell r="S70">
            <v>1281334</v>
          </cell>
        </row>
        <row r="71">
          <cell r="B71" t="str">
            <v>M101.1102</v>
          </cell>
          <cell r="C71" t="str">
            <v>8,5 t ÷ 9 t</v>
          </cell>
          <cell r="D71" t="str">
            <v>lít diezel</v>
          </cell>
          <cell r="E71">
            <v>360013</v>
          </cell>
          <cell r="F71" t="str">
            <v>1x4/7</v>
          </cell>
          <cell r="G71">
            <v>365850</v>
          </cell>
          <cell r="H71">
            <v>287074</v>
          </cell>
          <cell r="I71">
            <v>254635</v>
          </cell>
          <cell r="J71">
            <v>222777</v>
          </cell>
          <cell r="K71">
            <v>367424</v>
          </cell>
          <cell r="L71">
            <v>937057</v>
          </cell>
          <cell r="M71">
            <v>904618</v>
          </cell>
          <cell r="N71">
            <v>872760</v>
          </cell>
          <cell r="O71">
            <v>1017407</v>
          </cell>
          <cell r="P71">
            <v>1224131</v>
          </cell>
          <cell r="Q71">
            <v>1159253</v>
          </cell>
          <cell r="R71">
            <v>1095537</v>
          </cell>
          <cell r="S71">
            <v>1384831</v>
          </cell>
        </row>
        <row r="72">
          <cell r="B72" t="str">
            <v>M101.1103</v>
          </cell>
          <cell r="C72" t="str">
            <v>10 t</v>
          </cell>
          <cell r="D72" t="str">
            <v>lít diezel</v>
          </cell>
          <cell r="E72">
            <v>390014</v>
          </cell>
          <cell r="F72" t="str">
            <v>1x4/7</v>
          </cell>
          <cell r="G72">
            <v>476144</v>
          </cell>
          <cell r="H72">
            <v>287074</v>
          </cell>
          <cell r="I72">
            <v>254635</v>
          </cell>
          <cell r="J72">
            <v>222777</v>
          </cell>
          <cell r="K72">
            <v>367424</v>
          </cell>
          <cell r="L72">
            <v>1054476</v>
          </cell>
          <cell r="M72">
            <v>1022037</v>
          </cell>
          <cell r="N72">
            <v>990179</v>
          </cell>
          <cell r="O72">
            <v>1134826</v>
          </cell>
          <cell r="P72">
            <v>1341550</v>
          </cell>
          <cell r="Q72">
            <v>1276672</v>
          </cell>
          <cell r="R72">
            <v>1212956</v>
          </cell>
          <cell r="S72">
            <v>1502250</v>
          </cell>
        </row>
        <row r="73">
          <cell r="B73" t="str">
            <v>M101.1104</v>
          </cell>
          <cell r="C73" t="str">
            <v>12 t</v>
          </cell>
          <cell r="D73" t="str">
            <v>lít diezel</v>
          </cell>
          <cell r="E73">
            <v>480017</v>
          </cell>
          <cell r="F73" t="str">
            <v>1x4/7</v>
          </cell>
          <cell r="G73">
            <v>516960</v>
          </cell>
          <cell r="H73">
            <v>287074</v>
          </cell>
          <cell r="I73">
            <v>254635</v>
          </cell>
          <cell r="J73">
            <v>222777</v>
          </cell>
          <cell r="K73">
            <v>367424</v>
          </cell>
          <cell r="L73">
            <v>1176830</v>
          </cell>
          <cell r="M73">
            <v>1144391</v>
          </cell>
          <cell r="N73">
            <v>1112533</v>
          </cell>
          <cell r="O73">
            <v>1257180</v>
          </cell>
          <cell r="P73">
            <v>1463904</v>
          </cell>
          <cell r="Q73">
            <v>1399026</v>
          </cell>
          <cell r="R73">
            <v>1335310</v>
          </cell>
          <cell r="S73">
            <v>1624604</v>
          </cell>
        </row>
        <row r="74">
          <cell r="B74" t="str">
            <v>M101.1105</v>
          </cell>
          <cell r="C74" t="str">
            <v>16 t</v>
          </cell>
          <cell r="D74" t="str">
            <v>lít diezel</v>
          </cell>
          <cell r="E74">
            <v>55502</v>
          </cell>
          <cell r="F74" t="str">
            <v>1x4/7</v>
          </cell>
          <cell r="G74">
            <v>534828</v>
          </cell>
          <cell r="H74">
            <v>287074</v>
          </cell>
          <cell r="I74">
            <v>254635</v>
          </cell>
          <cell r="J74">
            <v>222777</v>
          </cell>
          <cell r="K74">
            <v>367424</v>
          </cell>
          <cell r="L74">
            <v>1265995</v>
          </cell>
          <cell r="M74">
            <v>1233556</v>
          </cell>
          <cell r="N74">
            <v>1201698</v>
          </cell>
          <cell r="O74">
            <v>1346345</v>
          </cell>
          <cell r="P74">
            <v>1553069</v>
          </cell>
          <cell r="Q74">
            <v>1488191</v>
          </cell>
          <cell r="R74">
            <v>1424475</v>
          </cell>
          <cell r="S74">
            <v>1713769</v>
          </cell>
        </row>
        <row r="75">
          <cell r="B75" t="str">
            <v>M101.1106</v>
          </cell>
          <cell r="C75" t="str">
            <v>25 t</v>
          </cell>
          <cell r="D75" t="str">
            <v>lít diezel</v>
          </cell>
          <cell r="E75">
            <v>705026</v>
          </cell>
          <cell r="F75" t="str">
            <v>1x4/7</v>
          </cell>
          <cell r="G75">
            <v>601429</v>
          </cell>
          <cell r="H75">
            <v>287074</v>
          </cell>
          <cell r="I75">
            <v>254635</v>
          </cell>
          <cell r="J75">
            <v>222777</v>
          </cell>
          <cell r="K75">
            <v>367424</v>
          </cell>
          <cell r="L75">
            <v>1468788</v>
          </cell>
          <cell r="M75">
            <v>1436349</v>
          </cell>
          <cell r="N75">
            <v>1404491</v>
          </cell>
          <cell r="O75">
            <v>1549138</v>
          </cell>
          <cell r="P75">
            <v>1755862</v>
          </cell>
          <cell r="Q75">
            <v>1690984</v>
          </cell>
          <cell r="R75">
            <v>1627268</v>
          </cell>
          <cell r="S75">
            <v>1916562</v>
          </cell>
        </row>
        <row r="76">
          <cell r="B76" t="str">
            <v>M101.1200</v>
          </cell>
          <cell r="C76" t="str">
            <v>Máy lu chân cừu tự hành - trọng lượng tĩnh:</v>
          </cell>
          <cell r="E76" t="str">
            <v>-</v>
          </cell>
          <cell r="P76">
            <v>0</v>
          </cell>
          <cell r="Q76">
            <v>0</v>
          </cell>
          <cell r="R76">
            <v>0</v>
          </cell>
          <cell r="S76">
            <v>0</v>
          </cell>
        </row>
        <row r="77">
          <cell r="B77" t="str">
            <v>M101.1201</v>
          </cell>
          <cell r="C77" t="str">
            <v>12 t</v>
          </cell>
          <cell r="D77" t="str">
            <v>lít diezel</v>
          </cell>
          <cell r="E77">
            <v>435016</v>
          </cell>
          <cell r="F77" t="str">
            <v>1x4/7</v>
          </cell>
          <cell r="G77">
            <v>1073429</v>
          </cell>
          <cell r="H77">
            <v>287074</v>
          </cell>
          <cell r="I77">
            <v>254635</v>
          </cell>
          <cell r="J77">
            <v>222777</v>
          </cell>
          <cell r="K77">
            <v>367424</v>
          </cell>
          <cell r="L77">
            <v>1600711</v>
          </cell>
          <cell r="M77">
            <v>1568272</v>
          </cell>
          <cell r="N77">
            <v>1536414</v>
          </cell>
          <cell r="O77">
            <v>1681061</v>
          </cell>
          <cell r="P77">
            <v>1887785</v>
          </cell>
          <cell r="Q77">
            <v>1822907</v>
          </cell>
          <cell r="R77">
            <v>1759191</v>
          </cell>
          <cell r="S77">
            <v>2048485</v>
          </cell>
        </row>
        <row r="78">
          <cell r="B78" t="str">
            <v>M101.1202</v>
          </cell>
          <cell r="C78" t="str">
            <v>20 t</v>
          </cell>
          <cell r="D78" t="str">
            <v>lít diezel</v>
          </cell>
          <cell r="E78">
            <v>915033</v>
          </cell>
          <cell r="F78" t="str">
            <v>1x4/7</v>
          </cell>
          <cell r="G78">
            <v>1610452</v>
          </cell>
          <cell r="H78">
            <v>287074</v>
          </cell>
          <cell r="I78">
            <v>254635</v>
          </cell>
          <cell r="J78">
            <v>222777</v>
          </cell>
          <cell r="K78">
            <v>367424</v>
          </cell>
          <cell r="L78">
            <v>2520292</v>
          </cell>
          <cell r="M78">
            <v>2487853</v>
          </cell>
          <cell r="N78">
            <v>2455995</v>
          </cell>
          <cell r="O78">
            <v>2600642</v>
          </cell>
          <cell r="P78">
            <v>2807366</v>
          </cell>
          <cell r="Q78">
            <v>2742488</v>
          </cell>
          <cell r="R78">
            <v>2678772</v>
          </cell>
          <cell r="S78">
            <v>2968066</v>
          </cell>
        </row>
        <row r="79">
          <cell r="B79" t="str">
            <v>M102.0000</v>
          </cell>
          <cell r="C79" t="str">
            <v>MÁY NÂNG CHUYỂN</v>
          </cell>
          <cell r="E79" t="str">
            <v>-</v>
          </cell>
          <cell r="P79">
            <v>0</v>
          </cell>
          <cell r="Q79">
            <v>0</v>
          </cell>
          <cell r="R79">
            <v>0</v>
          </cell>
          <cell r="S79">
            <v>0</v>
          </cell>
        </row>
        <row r="80">
          <cell r="B80" t="str">
            <v>M102.0100</v>
          </cell>
          <cell r="C80" t="str">
            <v>Cần trục ô tô - sức nâng:</v>
          </cell>
          <cell r="E80" t="str">
            <v>-</v>
          </cell>
          <cell r="P80">
            <v>0</v>
          </cell>
          <cell r="Q80">
            <v>0</v>
          </cell>
          <cell r="R80">
            <v>0</v>
          </cell>
          <cell r="S80">
            <v>0</v>
          </cell>
        </row>
        <row r="81">
          <cell r="B81" t="str">
            <v>M102.0101</v>
          </cell>
          <cell r="C81" t="str">
            <v>3 t</v>
          </cell>
          <cell r="D81" t="str">
            <v>lít diezel</v>
          </cell>
          <cell r="E81">
            <v>375014</v>
          </cell>
          <cell r="F81" t="str">
            <v>1x1/4+1x3/4 lái xe</v>
          </cell>
          <cell r="G81">
            <v>645827</v>
          </cell>
          <cell r="H81">
            <v>537877</v>
          </cell>
          <cell r="I81">
            <v>477098</v>
          </cell>
          <cell r="J81">
            <v>417407</v>
          </cell>
          <cell r="K81">
            <v>688424</v>
          </cell>
          <cell r="L81">
            <v>1383053</v>
          </cell>
          <cell r="M81">
            <v>1322274</v>
          </cell>
          <cell r="N81">
            <v>1262583</v>
          </cell>
          <cell r="O81">
            <v>1533600</v>
          </cell>
          <cell r="P81">
            <v>1920930</v>
          </cell>
          <cell r="Q81">
            <v>1799372</v>
          </cell>
          <cell r="R81">
            <v>1679990</v>
          </cell>
          <cell r="S81">
            <v>2222024</v>
          </cell>
        </row>
        <row r="82">
          <cell r="B82" t="str">
            <v>M102.0102</v>
          </cell>
          <cell r="C82" t="str">
            <v>4 t</v>
          </cell>
          <cell r="D82" t="str">
            <v>lít diezel</v>
          </cell>
          <cell r="E82">
            <v>390014</v>
          </cell>
          <cell r="F82" t="str">
            <v>1x1/4+1x3/4 lái xe</v>
          </cell>
          <cell r="G82">
            <v>693293</v>
          </cell>
          <cell r="H82">
            <v>537877</v>
          </cell>
          <cell r="I82">
            <v>477098</v>
          </cell>
          <cell r="J82">
            <v>417407</v>
          </cell>
          <cell r="K82">
            <v>688424</v>
          </cell>
          <cell r="L82">
            <v>1432608</v>
          </cell>
          <cell r="M82">
            <v>1371829</v>
          </cell>
          <cell r="N82">
            <v>1312138</v>
          </cell>
          <cell r="O82">
            <v>1583155</v>
          </cell>
          <cell r="P82">
            <v>1970485</v>
          </cell>
          <cell r="Q82">
            <v>1848927</v>
          </cell>
          <cell r="R82">
            <v>1729545</v>
          </cell>
          <cell r="S82">
            <v>2271579</v>
          </cell>
        </row>
        <row r="83">
          <cell r="B83" t="str">
            <v>M102.0103</v>
          </cell>
          <cell r="C83" t="str">
            <v>5 t</v>
          </cell>
          <cell r="D83" t="str">
            <v>lít diezel</v>
          </cell>
          <cell r="E83">
            <v>450016</v>
          </cell>
          <cell r="F83" t="str">
            <v>1x1/4+1x3/4 lái xe</v>
          </cell>
          <cell r="G83">
            <v>769879</v>
          </cell>
          <cell r="H83">
            <v>537877</v>
          </cell>
          <cell r="I83">
            <v>477098</v>
          </cell>
          <cell r="J83">
            <v>417407</v>
          </cell>
          <cell r="K83">
            <v>688424</v>
          </cell>
          <cell r="L83">
            <v>1536047</v>
          </cell>
          <cell r="M83">
            <v>1475268</v>
          </cell>
          <cell r="N83">
            <v>1415577</v>
          </cell>
          <cell r="O83">
            <v>1686594</v>
          </cell>
          <cell r="P83">
            <v>2073924</v>
          </cell>
          <cell r="Q83">
            <v>1952366</v>
          </cell>
          <cell r="R83">
            <v>1832984</v>
          </cell>
          <cell r="S83">
            <v>2375018</v>
          </cell>
        </row>
        <row r="84">
          <cell r="B84" t="str">
            <v>M102.0104</v>
          </cell>
          <cell r="C84" t="str">
            <v>6 t</v>
          </cell>
          <cell r="D84" t="str">
            <v>lít diezel</v>
          </cell>
          <cell r="E84">
            <v>495018</v>
          </cell>
          <cell r="F84" t="str">
            <v>1x1/4+1x3/4 lái xe</v>
          </cell>
          <cell r="G84">
            <v>948964</v>
          </cell>
          <cell r="H84">
            <v>537877</v>
          </cell>
          <cell r="I84">
            <v>477098</v>
          </cell>
          <cell r="J84">
            <v>417407</v>
          </cell>
          <cell r="K84">
            <v>688424</v>
          </cell>
          <cell r="L84">
            <v>1708557</v>
          </cell>
          <cell r="M84">
            <v>1647778</v>
          </cell>
          <cell r="N84">
            <v>1588087</v>
          </cell>
          <cell r="O84">
            <v>1859104</v>
          </cell>
          <cell r="P84">
            <v>2246434</v>
          </cell>
          <cell r="Q84">
            <v>2124876</v>
          </cell>
          <cell r="R84">
            <v>2005494</v>
          </cell>
          <cell r="S84">
            <v>2547528</v>
          </cell>
        </row>
        <row r="85">
          <cell r="B85" t="str">
            <v>M102.0105</v>
          </cell>
          <cell r="C85" t="str">
            <v>10 t</v>
          </cell>
          <cell r="D85" t="str">
            <v>lít diezel</v>
          </cell>
          <cell r="E85">
            <v>55502</v>
          </cell>
          <cell r="F85" t="str">
            <v>1x1/4+1x3/4 lái xe</v>
          </cell>
          <cell r="G85">
            <v>1328572</v>
          </cell>
          <cell r="H85">
            <v>537877</v>
          </cell>
          <cell r="I85">
            <v>477098</v>
          </cell>
          <cell r="J85">
            <v>417407</v>
          </cell>
          <cell r="K85">
            <v>688424</v>
          </cell>
          <cell r="L85">
            <v>2028212</v>
          </cell>
          <cell r="M85">
            <v>1967433</v>
          </cell>
          <cell r="N85">
            <v>1907742</v>
          </cell>
          <cell r="O85">
            <v>2178759</v>
          </cell>
          <cell r="P85">
            <v>2566089</v>
          </cell>
          <cell r="Q85">
            <v>2444531</v>
          </cell>
          <cell r="R85">
            <v>2325149</v>
          </cell>
          <cell r="S85">
            <v>2867183</v>
          </cell>
        </row>
        <row r="86">
          <cell r="B86" t="str">
            <v>M102.0106</v>
          </cell>
          <cell r="C86" t="str">
            <v>16 t</v>
          </cell>
          <cell r="D86" t="str">
            <v>lít diezel</v>
          </cell>
          <cell r="E86">
            <v>645023</v>
          </cell>
          <cell r="F86" t="str">
            <v>1x1/4+1x3/4 lái xe</v>
          </cell>
          <cell r="G86">
            <v>1556727</v>
          </cell>
          <cell r="H86">
            <v>537877</v>
          </cell>
          <cell r="I86">
            <v>477098</v>
          </cell>
          <cell r="J86">
            <v>417407</v>
          </cell>
          <cell r="K86">
            <v>688424</v>
          </cell>
          <cell r="L86">
            <v>2278836</v>
          </cell>
          <cell r="M86">
            <v>2218057</v>
          </cell>
          <cell r="N86">
            <v>2158366</v>
          </cell>
          <cell r="O86">
            <v>2429383</v>
          </cell>
          <cell r="P86">
            <v>2816713</v>
          </cell>
          <cell r="Q86">
            <v>2695155</v>
          </cell>
          <cell r="R86">
            <v>2575773</v>
          </cell>
          <cell r="S86">
            <v>3117807</v>
          </cell>
        </row>
        <row r="87">
          <cell r="B87" t="str">
            <v>M102.0107</v>
          </cell>
          <cell r="C87" t="str">
            <v>20 t</v>
          </cell>
          <cell r="D87" t="str">
            <v>lít diezel</v>
          </cell>
          <cell r="E87">
            <v>660024</v>
          </cell>
          <cell r="F87" t="str">
            <v>1x1/4+1x3/4 lái xe</v>
          </cell>
          <cell r="G87">
            <v>1939546</v>
          </cell>
          <cell r="H87">
            <v>537877</v>
          </cell>
          <cell r="I87">
            <v>477098</v>
          </cell>
          <cell r="J87">
            <v>417407</v>
          </cell>
          <cell r="K87">
            <v>688424</v>
          </cell>
          <cell r="L87">
            <v>2493518</v>
          </cell>
          <cell r="M87">
            <v>2432739</v>
          </cell>
          <cell r="N87">
            <v>2373048</v>
          </cell>
          <cell r="O87">
            <v>2644065</v>
          </cell>
          <cell r="P87">
            <v>3031395</v>
          </cell>
          <cell r="Q87">
            <v>2909837</v>
          </cell>
          <cell r="R87">
            <v>2790455</v>
          </cell>
          <cell r="S87">
            <v>3332489</v>
          </cell>
        </row>
        <row r="88">
          <cell r="B88" t="str">
            <v>M102.0108</v>
          </cell>
          <cell r="C88" t="str">
            <v>25 t</v>
          </cell>
          <cell r="D88" t="str">
            <v>lít diezel</v>
          </cell>
          <cell r="E88">
            <v>750027</v>
          </cell>
          <cell r="F88" t="str">
            <v>1x1/4+1x3/4 lái xe</v>
          </cell>
          <cell r="G88">
            <v>2230644</v>
          </cell>
          <cell r="H88">
            <v>537877</v>
          </cell>
          <cell r="I88">
            <v>477098</v>
          </cell>
          <cell r="J88">
            <v>417407</v>
          </cell>
          <cell r="K88">
            <v>688424</v>
          </cell>
          <cell r="L88">
            <v>2760129</v>
          </cell>
          <cell r="M88">
            <v>2699350</v>
          </cell>
          <cell r="N88">
            <v>2639659</v>
          </cell>
          <cell r="O88">
            <v>2910676</v>
          </cell>
          <cell r="P88">
            <v>3298006</v>
          </cell>
          <cell r="Q88">
            <v>3176448</v>
          </cell>
          <cell r="R88">
            <v>3057066</v>
          </cell>
          <cell r="S88">
            <v>3599100</v>
          </cell>
        </row>
        <row r="89">
          <cell r="B89" t="str">
            <v>M102.0109</v>
          </cell>
          <cell r="C89" t="str">
            <v>30 t</v>
          </cell>
          <cell r="D89" t="str">
            <v>lít diezel</v>
          </cell>
          <cell r="E89">
            <v>810029</v>
          </cell>
          <cell r="F89" t="str">
            <v>1x1/4+1x3/4 lái xe</v>
          </cell>
          <cell r="G89">
            <v>2521398</v>
          </cell>
          <cell r="H89">
            <v>537877</v>
          </cell>
          <cell r="I89">
            <v>477098</v>
          </cell>
          <cell r="J89">
            <v>417407</v>
          </cell>
          <cell r="K89">
            <v>688424</v>
          </cell>
          <cell r="L89">
            <v>3012029</v>
          </cell>
          <cell r="M89">
            <v>2951250</v>
          </cell>
          <cell r="N89">
            <v>2891559</v>
          </cell>
          <cell r="O89">
            <v>3162576</v>
          </cell>
          <cell r="P89">
            <v>3549906</v>
          </cell>
          <cell r="Q89">
            <v>3428348</v>
          </cell>
          <cell r="R89">
            <v>3308966</v>
          </cell>
          <cell r="S89">
            <v>3851000</v>
          </cell>
        </row>
        <row r="90">
          <cell r="B90" t="str">
            <v>M102.0110</v>
          </cell>
          <cell r="C90" t="str">
            <v>40 t</v>
          </cell>
          <cell r="D90" t="str">
            <v>lít diezel</v>
          </cell>
          <cell r="E90">
            <v>960035</v>
          </cell>
          <cell r="F90" t="str">
            <v>1x1/4+1x3/4 lái xe</v>
          </cell>
          <cell r="G90">
            <v>3736007</v>
          </cell>
          <cell r="H90">
            <v>537877</v>
          </cell>
          <cell r="I90">
            <v>477098</v>
          </cell>
          <cell r="J90">
            <v>417407</v>
          </cell>
          <cell r="K90">
            <v>688424</v>
          </cell>
          <cell r="L90">
            <v>3799292</v>
          </cell>
          <cell r="M90">
            <v>3738513</v>
          </cell>
          <cell r="N90">
            <v>3678822</v>
          </cell>
          <cell r="O90">
            <v>3949839</v>
          </cell>
          <cell r="P90">
            <v>4337169</v>
          </cell>
          <cell r="Q90">
            <v>4215611</v>
          </cell>
          <cell r="R90">
            <v>4096229</v>
          </cell>
          <cell r="S90">
            <v>4638263</v>
          </cell>
        </row>
        <row r="91">
          <cell r="B91" t="str">
            <v>M102.0111</v>
          </cell>
          <cell r="C91" t="str">
            <v>50 t</v>
          </cell>
          <cell r="D91" t="str">
            <v>lít diezel</v>
          </cell>
          <cell r="E91">
            <v>1050038</v>
          </cell>
          <cell r="F91" t="str">
            <v>1x1/4+1x3/4 lái xe</v>
          </cell>
          <cell r="G91">
            <v>5241944</v>
          </cell>
          <cell r="H91">
            <v>537877</v>
          </cell>
          <cell r="I91">
            <v>477098</v>
          </cell>
          <cell r="J91">
            <v>417407</v>
          </cell>
          <cell r="K91">
            <v>688424</v>
          </cell>
          <cell r="L91">
            <v>4816953</v>
          </cell>
          <cell r="M91">
            <v>4756174</v>
          </cell>
          <cell r="N91">
            <v>4696483</v>
          </cell>
          <cell r="O91">
            <v>4967500</v>
          </cell>
          <cell r="P91">
            <v>5354830</v>
          </cell>
          <cell r="Q91">
            <v>5233272</v>
          </cell>
          <cell r="R91">
            <v>5113890</v>
          </cell>
          <cell r="S91">
            <v>5655924</v>
          </cell>
        </row>
        <row r="92">
          <cell r="B92" t="str">
            <v>M102.0200</v>
          </cell>
          <cell r="C92" t="str">
            <v>Cần cẩu bánh hơi - sức nâng:</v>
          </cell>
          <cell r="E92" t="str">
            <v>-</v>
          </cell>
          <cell r="P92">
            <v>0</v>
          </cell>
          <cell r="Q92">
            <v>0</v>
          </cell>
          <cell r="R92">
            <v>0</v>
          </cell>
          <cell r="S92">
            <v>0</v>
          </cell>
        </row>
        <row r="93">
          <cell r="B93" t="str">
            <v>M102.0201</v>
          </cell>
          <cell r="C93" t="str">
            <v>6t</v>
          </cell>
          <cell r="D93" t="str">
            <v>lít diezel</v>
          </cell>
          <cell r="E93">
            <v>375014</v>
          </cell>
          <cell r="F93" t="str">
            <v>1x4/7+1x6/7</v>
          </cell>
          <cell r="G93">
            <v>629428</v>
          </cell>
          <cell r="H93">
            <v>687238</v>
          </cell>
          <cell r="I93">
            <v>609581</v>
          </cell>
          <cell r="J93">
            <v>533315</v>
          </cell>
          <cell r="K93">
            <v>879590</v>
          </cell>
          <cell r="L93">
            <v>1523832</v>
          </cell>
          <cell r="M93">
            <v>1446175</v>
          </cell>
          <cell r="N93">
            <v>1369909</v>
          </cell>
          <cell r="O93">
            <v>1716184</v>
          </cell>
          <cell r="P93">
            <v>2211070</v>
          </cell>
          <cell r="Q93">
            <v>2055756</v>
          </cell>
          <cell r="R93">
            <v>1903224</v>
          </cell>
          <cell r="S93">
            <v>2595774</v>
          </cell>
        </row>
        <row r="94">
          <cell r="B94" t="str">
            <v>M102.0202</v>
          </cell>
          <cell r="C94" t="str">
            <v>16 t</v>
          </cell>
          <cell r="D94" t="str">
            <v>lít diezel</v>
          </cell>
          <cell r="E94">
            <v>495018</v>
          </cell>
          <cell r="F94" t="str">
            <v>1x4/7+1x6/7</v>
          </cell>
          <cell r="G94">
            <v>1032544</v>
          </cell>
          <cell r="H94">
            <v>687238</v>
          </cell>
          <cell r="I94">
            <v>609581</v>
          </cell>
          <cell r="J94">
            <v>533315</v>
          </cell>
          <cell r="K94">
            <v>879590</v>
          </cell>
          <cell r="L94">
            <v>1939455</v>
          </cell>
          <cell r="M94">
            <v>1861798</v>
          </cell>
          <cell r="N94">
            <v>1785532</v>
          </cell>
          <cell r="O94">
            <v>2131807</v>
          </cell>
          <cell r="P94">
            <v>2626693</v>
          </cell>
          <cell r="Q94">
            <v>2471379</v>
          </cell>
          <cell r="R94">
            <v>2318847</v>
          </cell>
          <cell r="S94">
            <v>3011397</v>
          </cell>
        </row>
        <row r="95">
          <cell r="B95" t="str">
            <v>M102.0203</v>
          </cell>
          <cell r="C95" t="str">
            <v>25 t</v>
          </cell>
          <cell r="D95" t="str">
            <v>lít diezel</v>
          </cell>
          <cell r="E95">
            <v>54002</v>
          </cell>
          <cell r="F95" t="str">
            <v>1x4/7+1x6/7</v>
          </cell>
          <cell r="G95">
            <v>1266087</v>
          </cell>
          <cell r="H95">
            <v>687238</v>
          </cell>
          <cell r="I95">
            <v>609581</v>
          </cell>
          <cell r="J95">
            <v>533315</v>
          </cell>
          <cell r="K95">
            <v>879590</v>
          </cell>
          <cell r="L95">
            <v>2155721</v>
          </cell>
          <cell r="M95">
            <v>2078064</v>
          </cell>
          <cell r="N95">
            <v>2001798</v>
          </cell>
          <cell r="O95">
            <v>2348073</v>
          </cell>
          <cell r="P95">
            <v>2842959</v>
          </cell>
          <cell r="Q95">
            <v>2687645</v>
          </cell>
          <cell r="R95">
            <v>2535113</v>
          </cell>
          <cell r="S95">
            <v>3227663</v>
          </cell>
        </row>
        <row r="96">
          <cell r="B96" t="str">
            <v>M102.0204</v>
          </cell>
          <cell r="C96" t="str">
            <v>40 t</v>
          </cell>
          <cell r="D96" t="str">
            <v>lít diezel</v>
          </cell>
          <cell r="E96">
            <v>750027</v>
          </cell>
          <cell r="F96" t="str">
            <v>1x4/7+1x6/7</v>
          </cell>
          <cell r="G96">
            <v>2624354</v>
          </cell>
          <cell r="H96">
            <v>687238</v>
          </cell>
          <cell r="I96">
            <v>609581</v>
          </cell>
          <cell r="J96">
            <v>533315</v>
          </cell>
          <cell r="K96">
            <v>879590</v>
          </cell>
          <cell r="L96">
            <v>3208704</v>
          </cell>
          <cell r="M96">
            <v>3131047</v>
          </cell>
          <cell r="N96">
            <v>3054781</v>
          </cell>
          <cell r="O96">
            <v>3401056</v>
          </cell>
          <cell r="P96">
            <v>3895942</v>
          </cell>
          <cell r="Q96">
            <v>3740628</v>
          </cell>
          <cell r="R96">
            <v>3588096</v>
          </cell>
          <cell r="S96">
            <v>4280646</v>
          </cell>
        </row>
        <row r="97">
          <cell r="B97" t="str">
            <v>M102.0205</v>
          </cell>
          <cell r="C97" t="str">
            <v>63 t ÷ 65 t</v>
          </cell>
          <cell r="D97" t="str">
            <v>lít diezel</v>
          </cell>
          <cell r="E97">
            <v>915033</v>
          </cell>
          <cell r="F97" t="str">
            <v>1x4/7+1x6/7</v>
          </cell>
          <cell r="G97">
            <v>3109212</v>
          </cell>
          <cell r="H97">
            <v>687238</v>
          </cell>
          <cell r="I97">
            <v>609581</v>
          </cell>
          <cell r="J97">
            <v>533315</v>
          </cell>
          <cell r="K97">
            <v>879590</v>
          </cell>
          <cell r="L97">
            <v>3700989</v>
          </cell>
          <cell r="M97">
            <v>3623332</v>
          </cell>
          <cell r="N97">
            <v>3547066</v>
          </cell>
          <cell r="O97">
            <v>3893341</v>
          </cell>
          <cell r="P97">
            <v>4388227</v>
          </cell>
          <cell r="Q97">
            <v>4232913</v>
          </cell>
          <cell r="R97">
            <v>4080381</v>
          </cell>
          <cell r="S97">
            <v>4772931</v>
          </cell>
        </row>
        <row r="98">
          <cell r="B98" t="str">
            <v>M102.0206</v>
          </cell>
          <cell r="C98" t="str">
            <v>80t</v>
          </cell>
          <cell r="D98" t="str">
            <v>lít diezel</v>
          </cell>
          <cell r="E98">
            <v>1005037</v>
          </cell>
          <cell r="F98" t="str">
            <v>1x4/7+1x6/7</v>
          </cell>
          <cell r="G98">
            <v>4714447</v>
          </cell>
          <cell r="H98">
            <v>687238</v>
          </cell>
          <cell r="I98">
            <v>609581</v>
          </cell>
          <cell r="J98">
            <v>533315</v>
          </cell>
          <cell r="K98">
            <v>879590</v>
          </cell>
          <cell r="L98">
            <v>4658447</v>
          </cell>
          <cell r="M98">
            <v>4580790</v>
          </cell>
          <cell r="N98">
            <v>4504524</v>
          </cell>
          <cell r="O98">
            <v>4850799</v>
          </cell>
          <cell r="P98">
            <v>5345685</v>
          </cell>
          <cell r="Q98">
            <v>5190371</v>
          </cell>
          <cell r="R98">
            <v>5037839</v>
          </cell>
          <cell r="S98">
            <v>5730389</v>
          </cell>
        </row>
        <row r="99">
          <cell r="B99" t="str">
            <v>M102.0207</v>
          </cell>
          <cell r="C99" t="str">
            <v>90 t</v>
          </cell>
          <cell r="D99" t="str">
            <v>lít diezel</v>
          </cell>
          <cell r="E99">
            <v>1035038</v>
          </cell>
          <cell r="F99" t="str">
            <v>1x4/7+1x7/7</v>
          </cell>
          <cell r="G99">
            <v>5870688</v>
          </cell>
          <cell r="H99">
            <v>758571</v>
          </cell>
          <cell r="I99">
            <v>672854</v>
          </cell>
          <cell r="J99">
            <v>588672</v>
          </cell>
          <cell r="K99">
            <v>970889</v>
          </cell>
          <cell r="L99">
            <v>5487250</v>
          </cell>
          <cell r="M99">
            <v>5401533</v>
          </cell>
          <cell r="N99">
            <v>5317351</v>
          </cell>
          <cell r="O99">
            <v>5699568</v>
          </cell>
          <cell r="P99">
            <v>6245821</v>
          </cell>
          <cell r="Q99">
            <v>6074387</v>
          </cell>
          <cell r="R99">
            <v>5906023</v>
          </cell>
          <cell r="S99">
            <v>6670457</v>
          </cell>
        </row>
        <row r="100">
          <cell r="B100" t="str">
            <v>M102.0208</v>
          </cell>
          <cell r="C100" t="str">
            <v>100 t</v>
          </cell>
          <cell r="D100" t="str">
            <v>lít diezel</v>
          </cell>
          <cell r="E100">
            <v>1110040</v>
          </cell>
          <cell r="F100" t="str">
            <v>1x4/7+1x7/7</v>
          </cell>
          <cell r="G100">
            <v>7072227</v>
          </cell>
          <cell r="H100">
            <v>758571</v>
          </cell>
          <cell r="I100">
            <v>672854</v>
          </cell>
          <cell r="J100">
            <v>588672</v>
          </cell>
          <cell r="K100">
            <v>970889</v>
          </cell>
          <cell r="L100">
            <v>6318221</v>
          </cell>
          <cell r="M100">
            <v>6232504</v>
          </cell>
          <cell r="N100">
            <v>6148322</v>
          </cell>
          <cell r="O100">
            <v>6530539</v>
          </cell>
          <cell r="P100">
            <v>7076792</v>
          </cell>
          <cell r="Q100">
            <v>6905358</v>
          </cell>
          <cell r="R100">
            <v>6736994</v>
          </cell>
          <cell r="S100">
            <v>7501428</v>
          </cell>
        </row>
        <row r="101">
          <cell r="B101" t="str">
            <v>M102.0209</v>
          </cell>
          <cell r="C101" t="str">
            <v>110 t</v>
          </cell>
          <cell r="D101" t="str">
            <v>lít diezel</v>
          </cell>
          <cell r="E101">
            <v>1170043</v>
          </cell>
          <cell r="F101" t="str">
            <v>1x4/7+1x7/7</v>
          </cell>
          <cell r="G101">
            <v>8936333</v>
          </cell>
          <cell r="H101">
            <v>758571</v>
          </cell>
          <cell r="I101">
            <v>672854</v>
          </cell>
          <cell r="J101">
            <v>588672</v>
          </cell>
          <cell r="K101">
            <v>970889</v>
          </cell>
          <cell r="L101">
            <v>7476587</v>
          </cell>
          <cell r="M101">
            <v>7390870</v>
          </cell>
          <cell r="N101">
            <v>7306688</v>
          </cell>
          <cell r="O101">
            <v>7688905</v>
          </cell>
          <cell r="P101">
            <v>8235158</v>
          </cell>
          <cell r="Q101">
            <v>8063724</v>
          </cell>
          <cell r="R101">
            <v>7895360</v>
          </cell>
          <cell r="S101">
            <v>8659794</v>
          </cell>
        </row>
        <row r="102">
          <cell r="B102" t="str">
            <v>M102.0210</v>
          </cell>
          <cell r="C102" t="str">
            <v>125 t ÷ 130 t</v>
          </cell>
          <cell r="D102" t="str">
            <v>lít diezel</v>
          </cell>
          <cell r="E102">
            <v>1215044</v>
          </cell>
          <cell r="F102" t="str">
            <v>1x4/7+1x7/7</v>
          </cell>
          <cell r="G102">
            <v>10669966</v>
          </cell>
          <cell r="H102">
            <v>758571</v>
          </cell>
          <cell r="I102">
            <v>672854</v>
          </cell>
          <cell r="J102">
            <v>588672</v>
          </cell>
          <cell r="K102">
            <v>970889</v>
          </cell>
          <cell r="L102">
            <v>8597886</v>
          </cell>
          <cell r="M102">
            <v>8512169</v>
          </cell>
          <cell r="N102">
            <v>8427987</v>
          </cell>
          <cell r="O102">
            <v>8810204</v>
          </cell>
          <cell r="P102">
            <v>9356457</v>
          </cell>
          <cell r="Q102">
            <v>9185023</v>
          </cell>
          <cell r="R102">
            <v>9016659</v>
          </cell>
          <cell r="S102">
            <v>9781093</v>
          </cell>
        </row>
        <row r="103">
          <cell r="B103" t="str">
            <v>M102.0300</v>
          </cell>
          <cell r="C103" t="str">
            <v>Cần cẩu bánh xích - sức nâng:</v>
          </cell>
          <cell r="E103" t="str">
            <v>-</v>
          </cell>
          <cell r="P103">
            <v>0</v>
          </cell>
          <cell r="Q103">
            <v>0</v>
          </cell>
          <cell r="R103">
            <v>0</v>
          </cell>
          <cell r="S103">
            <v>0</v>
          </cell>
        </row>
        <row r="104">
          <cell r="B104" t="str">
            <v>M102.0301</v>
          </cell>
          <cell r="C104" t="str">
            <v>5 t</v>
          </cell>
          <cell r="D104" t="str">
            <v>lít diezel</v>
          </cell>
          <cell r="E104">
            <v>480017</v>
          </cell>
          <cell r="F104" t="str">
            <v>1x4/7+1x5/7</v>
          </cell>
          <cell r="G104">
            <v>808517</v>
          </cell>
          <cell r="H104">
            <v>624603</v>
          </cell>
          <cell r="I104">
            <v>554024</v>
          </cell>
          <cell r="J104">
            <v>484709</v>
          </cell>
          <cell r="K104">
            <v>799425</v>
          </cell>
          <cell r="L104">
            <v>1702923</v>
          </cell>
          <cell r="M104">
            <v>1632344</v>
          </cell>
          <cell r="N104">
            <v>1563029</v>
          </cell>
          <cell r="O104">
            <v>1877745</v>
          </cell>
          <cell r="P104">
            <v>2327526</v>
          </cell>
          <cell r="Q104">
            <v>2186368</v>
          </cell>
          <cell r="R104">
            <v>2047738</v>
          </cell>
          <cell r="S104">
            <v>2677170</v>
          </cell>
        </row>
        <row r="105">
          <cell r="B105" t="str">
            <v>M102.0302</v>
          </cell>
          <cell r="C105" t="str">
            <v>10 t</v>
          </cell>
          <cell r="D105" t="str">
            <v>lít diezel</v>
          </cell>
          <cell r="E105">
            <v>54002</v>
          </cell>
          <cell r="F105" t="str">
            <v>1x4/7+1x5/7</v>
          </cell>
          <cell r="G105">
            <v>1085398</v>
          </cell>
          <cell r="H105">
            <v>624603</v>
          </cell>
          <cell r="I105">
            <v>554024</v>
          </cell>
          <cell r="J105">
            <v>484709</v>
          </cell>
          <cell r="K105">
            <v>799425</v>
          </cell>
          <cell r="L105">
            <v>1928743</v>
          </cell>
          <cell r="M105">
            <v>1858164</v>
          </cell>
          <cell r="N105">
            <v>1788849</v>
          </cell>
          <cell r="O105">
            <v>2103565</v>
          </cell>
          <cell r="P105">
            <v>2553346</v>
          </cell>
          <cell r="Q105">
            <v>2412188</v>
          </cell>
          <cell r="R105">
            <v>2273558</v>
          </cell>
          <cell r="S105">
            <v>2902990</v>
          </cell>
        </row>
        <row r="106">
          <cell r="B106" t="str">
            <v>M102.0303</v>
          </cell>
          <cell r="C106" t="str">
            <v>16 t</v>
          </cell>
          <cell r="D106" t="str">
            <v>lít diezel</v>
          </cell>
          <cell r="E106">
            <v>675025</v>
          </cell>
          <cell r="F106" t="str">
            <v>1x4/7+1x5/7</v>
          </cell>
          <cell r="G106">
            <v>1411235</v>
          </cell>
          <cell r="H106">
            <v>624603</v>
          </cell>
          <cell r="I106">
            <v>554024</v>
          </cell>
          <cell r="J106">
            <v>484709</v>
          </cell>
          <cell r="K106">
            <v>799425</v>
          </cell>
          <cell r="L106">
            <v>2293137</v>
          </cell>
          <cell r="M106">
            <v>2222558</v>
          </cell>
          <cell r="N106">
            <v>2153243</v>
          </cell>
          <cell r="O106">
            <v>2467959</v>
          </cell>
          <cell r="P106">
            <v>2917740</v>
          </cell>
          <cell r="Q106">
            <v>2776582</v>
          </cell>
          <cell r="R106">
            <v>2637952</v>
          </cell>
          <cell r="S106">
            <v>3267384</v>
          </cell>
        </row>
        <row r="107">
          <cell r="B107" t="str">
            <v>M102.0304</v>
          </cell>
          <cell r="C107" t="str">
            <v>25 t</v>
          </cell>
          <cell r="D107" t="str">
            <v>lít diezel</v>
          </cell>
          <cell r="E107">
            <v>705026</v>
          </cell>
          <cell r="F107" t="str">
            <v>1x4/7+1x6/7</v>
          </cell>
          <cell r="G107">
            <v>1896437</v>
          </cell>
          <cell r="H107">
            <v>687238</v>
          </cell>
          <cell r="I107">
            <v>609581</v>
          </cell>
          <cell r="J107">
            <v>533315</v>
          </cell>
          <cell r="K107">
            <v>879590</v>
          </cell>
          <cell r="L107">
            <v>2666669</v>
          </cell>
          <cell r="M107">
            <v>2589012</v>
          </cell>
          <cell r="N107">
            <v>2512746</v>
          </cell>
          <cell r="O107">
            <v>2859021</v>
          </cell>
          <cell r="P107">
            <v>3353907</v>
          </cell>
          <cell r="Q107">
            <v>3198593</v>
          </cell>
          <cell r="R107">
            <v>3046061</v>
          </cell>
          <cell r="S107">
            <v>3738611</v>
          </cell>
        </row>
        <row r="108">
          <cell r="B108" t="str">
            <v>M102.0305</v>
          </cell>
          <cell r="C108" t="str">
            <v>28 t</v>
          </cell>
          <cell r="D108" t="str">
            <v>lít diezel</v>
          </cell>
          <cell r="E108">
            <v>735027</v>
          </cell>
          <cell r="F108" t="str">
            <v>1x4/7+1x6/7</v>
          </cell>
          <cell r="G108">
            <v>2263892</v>
          </cell>
          <cell r="H108">
            <v>687238</v>
          </cell>
          <cell r="I108">
            <v>609581</v>
          </cell>
          <cell r="J108">
            <v>533315</v>
          </cell>
          <cell r="K108">
            <v>879590</v>
          </cell>
          <cell r="L108">
            <v>2943600</v>
          </cell>
          <cell r="M108">
            <v>2865943</v>
          </cell>
          <cell r="N108">
            <v>2789677</v>
          </cell>
          <cell r="O108">
            <v>3135952</v>
          </cell>
          <cell r="P108">
            <v>3630838</v>
          </cell>
          <cell r="Q108">
            <v>3475524</v>
          </cell>
          <cell r="R108">
            <v>3322992</v>
          </cell>
          <cell r="S108">
            <v>4015542</v>
          </cell>
        </row>
        <row r="109">
          <cell r="B109" t="str">
            <v>M102.0306</v>
          </cell>
          <cell r="C109" t="str">
            <v>40 t</v>
          </cell>
          <cell r="D109" t="str">
            <v>lít diezel</v>
          </cell>
          <cell r="E109">
            <v>765028</v>
          </cell>
          <cell r="F109" t="str">
            <v>1x4/7+1x6/7</v>
          </cell>
          <cell r="G109">
            <v>2973986</v>
          </cell>
          <cell r="H109">
            <v>687238</v>
          </cell>
          <cell r="I109">
            <v>609581</v>
          </cell>
          <cell r="J109">
            <v>533315</v>
          </cell>
          <cell r="K109">
            <v>879590</v>
          </cell>
          <cell r="L109">
            <v>3391305</v>
          </cell>
          <cell r="M109">
            <v>3313648</v>
          </cell>
          <cell r="N109">
            <v>3237382</v>
          </cell>
          <cell r="O109">
            <v>3583657</v>
          </cell>
          <cell r="P109">
            <v>4078543</v>
          </cell>
          <cell r="Q109">
            <v>3923229</v>
          </cell>
          <cell r="R109">
            <v>3770697</v>
          </cell>
          <cell r="S109">
            <v>4463247</v>
          </cell>
        </row>
        <row r="110">
          <cell r="B110" t="str">
            <v>M102.0307</v>
          </cell>
          <cell r="C110" t="str">
            <v>50 t</v>
          </cell>
          <cell r="D110" t="str">
            <v>lít diezel</v>
          </cell>
          <cell r="E110">
            <v>810029</v>
          </cell>
          <cell r="F110" t="str">
            <v>1x4/7+1x6/7</v>
          </cell>
          <cell r="G110">
            <v>3818900</v>
          </cell>
          <cell r="H110">
            <v>687238</v>
          </cell>
          <cell r="I110">
            <v>609581</v>
          </cell>
          <cell r="J110">
            <v>533315</v>
          </cell>
          <cell r="K110">
            <v>879590</v>
          </cell>
          <cell r="L110">
            <v>3987190</v>
          </cell>
          <cell r="M110">
            <v>3909533</v>
          </cell>
          <cell r="N110">
            <v>3833267</v>
          </cell>
          <cell r="O110">
            <v>4179542</v>
          </cell>
          <cell r="P110">
            <v>4674428</v>
          </cell>
          <cell r="Q110">
            <v>4519114</v>
          </cell>
          <cell r="R110">
            <v>4366582</v>
          </cell>
          <cell r="S110">
            <v>5059132</v>
          </cell>
        </row>
        <row r="111">
          <cell r="B111" t="str">
            <v>M102.0308</v>
          </cell>
          <cell r="C111" t="str">
            <v>60 t</v>
          </cell>
          <cell r="D111" t="str">
            <v>lít diezel</v>
          </cell>
          <cell r="E111">
            <v>82503</v>
          </cell>
          <cell r="F111" t="str">
            <v>1x4/7+1x6/7</v>
          </cell>
          <cell r="G111">
            <v>4110300</v>
          </cell>
          <cell r="H111">
            <v>687238</v>
          </cell>
          <cell r="I111">
            <v>609581</v>
          </cell>
          <cell r="J111">
            <v>533315</v>
          </cell>
          <cell r="K111">
            <v>879590</v>
          </cell>
          <cell r="L111">
            <v>4192184</v>
          </cell>
          <cell r="M111">
            <v>4114527</v>
          </cell>
          <cell r="N111">
            <v>4038261</v>
          </cell>
          <cell r="O111">
            <v>4384536</v>
          </cell>
          <cell r="P111">
            <v>4879422</v>
          </cell>
          <cell r="Q111">
            <v>4724108</v>
          </cell>
          <cell r="R111">
            <v>4571576</v>
          </cell>
          <cell r="S111">
            <v>5264126</v>
          </cell>
        </row>
        <row r="112">
          <cell r="B112" t="str">
            <v>M102.0309</v>
          </cell>
          <cell r="C112" t="str">
            <v>63 t ÷ 65 t</v>
          </cell>
          <cell r="D112" t="str">
            <v>lít diezel</v>
          </cell>
          <cell r="E112">
            <v>840031</v>
          </cell>
          <cell r="F112" t="str">
            <v>1x4/7+1x6/7</v>
          </cell>
          <cell r="G112">
            <v>4653327</v>
          </cell>
          <cell r="H112">
            <v>687238</v>
          </cell>
          <cell r="I112">
            <v>609581</v>
          </cell>
          <cell r="J112">
            <v>533315</v>
          </cell>
          <cell r="K112">
            <v>879590</v>
          </cell>
          <cell r="L112">
            <v>4393718</v>
          </cell>
          <cell r="M112">
            <v>4316061</v>
          </cell>
          <cell r="N112">
            <v>4239795</v>
          </cell>
          <cell r="O112">
            <v>4586070</v>
          </cell>
          <cell r="P112">
            <v>5080956</v>
          </cell>
          <cell r="Q112">
            <v>4925642</v>
          </cell>
          <cell r="R112">
            <v>4773110</v>
          </cell>
          <cell r="S112">
            <v>5465660</v>
          </cell>
        </row>
        <row r="113">
          <cell r="B113" t="str">
            <v>M102.0310</v>
          </cell>
          <cell r="C113" t="str">
            <v>80 t</v>
          </cell>
          <cell r="D113" t="str">
            <v>lít diezel</v>
          </cell>
          <cell r="E113">
            <v>870032</v>
          </cell>
          <cell r="F113" t="str">
            <v>1x4/7+1x6/7</v>
          </cell>
          <cell r="G113">
            <v>5492391</v>
          </cell>
          <cell r="H113">
            <v>687238</v>
          </cell>
          <cell r="I113">
            <v>609581</v>
          </cell>
          <cell r="J113">
            <v>533315</v>
          </cell>
          <cell r="K113">
            <v>879590</v>
          </cell>
          <cell r="L113">
            <v>4874674</v>
          </cell>
          <cell r="M113">
            <v>4797017</v>
          </cell>
          <cell r="N113">
            <v>4720751</v>
          </cell>
          <cell r="O113">
            <v>5067026</v>
          </cell>
          <cell r="P113">
            <v>5561912</v>
          </cell>
          <cell r="Q113">
            <v>5406598</v>
          </cell>
          <cell r="R113">
            <v>5254066</v>
          </cell>
          <cell r="S113">
            <v>5946616</v>
          </cell>
        </row>
        <row r="114">
          <cell r="B114" t="str">
            <v>M102.0311</v>
          </cell>
          <cell r="C114" t="str">
            <v>100 t</v>
          </cell>
          <cell r="D114" t="str">
            <v>lít diezel</v>
          </cell>
          <cell r="E114">
            <v>885032</v>
          </cell>
          <cell r="F114" t="str">
            <v>1x4/7+1x6/7</v>
          </cell>
          <cell r="G114">
            <v>7004354</v>
          </cell>
          <cell r="H114">
            <v>687238</v>
          </cell>
          <cell r="I114">
            <v>609581</v>
          </cell>
          <cell r="J114">
            <v>533315</v>
          </cell>
          <cell r="K114">
            <v>879590</v>
          </cell>
          <cell r="L114">
            <v>5802900</v>
          </cell>
          <cell r="M114">
            <v>5725243</v>
          </cell>
          <cell r="N114">
            <v>5648977</v>
          </cell>
          <cell r="O114">
            <v>5995252</v>
          </cell>
          <cell r="P114">
            <v>6490138</v>
          </cell>
          <cell r="Q114">
            <v>6334824</v>
          </cell>
          <cell r="R114">
            <v>6182292</v>
          </cell>
          <cell r="S114">
            <v>6874842</v>
          </cell>
        </row>
        <row r="115">
          <cell r="B115" t="str">
            <v>M102.0312</v>
          </cell>
          <cell r="C115" t="str">
            <v>110 t</v>
          </cell>
          <cell r="D115" t="str">
            <v>lít diezel</v>
          </cell>
          <cell r="E115">
            <v>945034</v>
          </cell>
          <cell r="F115" t="str">
            <v>1x4/7+1x6/7</v>
          </cell>
          <cell r="G115">
            <v>8157167</v>
          </cell>
          <cell r="H115">
            <v>687238</v>
          </cell>
          <cell r="I115">
            <v>609581</v>
          </cell>
          <cell r="J115">
            <v>533315</v>
          </cell>
          <cell r="K115">
            <v>879590</v>
          </cell>
          <cell r="L115">
            <v>6493944</v>
          </cell>
          <cell r="M115">
            <v>6416287</v>
          </cell>
          <cell r="N115">
            <v>6340021</v>
          </cell>
          <cell r="O115">
            <v>6686296</v>
          </cell>
          <cell r="P115">
            <v>7181182</v>
          </cell>
          <cell r="Q115">
            <v>7025868</v>
          </cell>
          <cell r="R115">
            <v>6873336</v>
          </cell>
          <cell r="S115">
            <v>7565886</v>
          </cell>
        </row>
        <row r="116">
          <cell r="B116" t="str">
            <v>M102.0313</v>
          </cell>
          <cell r="C116" t="str">
            <v>125 t ÷ 130 t</v>
          </cell>
          <cell r="D116" t="str">
            <v>lít diezel</v>
          </cell>
          <cell r="E116">
            <v>1080039</v>
          </cell>
          <cell r="F116" t="str">
            <v>1x4/7+1x6/7</v>
          </cell>
          <cell r="G116">
            <v>11463578</v>
          </cell>
          <cell r="H116">
            <v>687238</v>
          </cell>
          <cell r="I116">
            <v>609581</v>
          </cell>
          <cell r="J116">
            <v>533315</v>
          </cell>
          <cell r="K116">
            <v>879590</v>
          </cell>
          <cell r="L116">
            <v>8599570</v>
          </cell>
          <cell r="M116">
            <v>8521913</v>
          </cell>
          <cell r="N116">
            <v>8445647</v>
          </cell>
          <cell r="O116">
            <v>8791922</v>
          </cell>
          <cell r="P116">
            <v>9286808</v>
          </cell>
          <cell r="Q116">
            <v>9131494</v>
          </cell>
          <cell r="R116">
            <v>8978962</v>
          </cell>
          <cell r="S116">
            <v>9671512</v>
          </cell>
        </row>
        <row r="117">
          <cell r="B117" t="str">
            <v>M102.0314</v>
          </cell>
          <cell r="C117" t="str">
            <v>150 t</v>
          </cell>
          <cell r="D117" t="str">
            <v>lít diezel</v>
          </cell>
          <cell r="E117">
            <v>1245045</v>
          </cell>
          <cell r="F117" t="str">
            <v>1x4/7+1x6/7</v>
          </cell>
          <cell r="G117">
            <v>12790430</v>
          </cell>
          <cell r="H117">
            <v>687238</v>
          </cell>
          <cell r="I117">
            <v>609581</v>
          </cell>
          <cell r="J117">
            <v>533315</v>
          </cell>
          <cell r="K117">
            <v>879590</v>
          </cell>
          <cell r="L117">
            <v>9555380</v>
          </cell>
          <cell r="M117">
            <v>9477723</v>
          </cell>
          <cell r="N117">
            <v>9401457</v>
          </cell>
          <cell r="O117">
            <v>9747732</v>
          </cell>
          <cell r="P117">
            <v>10242618</v>
          </cell>
          <cell r="Q117">
            <v>10087304</v>
          </cell>
          <cell r="R117">
            <v>9934772</v>
          </cell>
          <cell r="S117">
            <v>10627322</v>
          </cell>
        </row>
        <row r="118">
          <cell r="B118" t="str">
            <v>M102.0315</v>
          </cell>
          <cell r="C118" t="str">
            <v>250t</v>
          </cell>
          <cell r="D118" t="str">
            <v>lít diezel</v>
          </cell>
          <cell r="E118">
            <v>2115077</v>
          </cell>
          <cell r="F118" t="str">
            <v>1x4/7+1x6/7</v>
          </cell>
          <cell r="G118">
            <v>26563873</v>
          </cell>
          <cell r="H118">
            <v>687238</v>
          </cell>
          <cell r="I118">
            <v>609581</v>
          </cell>
          <cell r="J118">
            <v>533315</v>
          </cell>
          <cell r="K118">
            <v>879590</v>
          </cell>
          <cell r="L118">
            <v>22592400</v>
          </cell>
          <cell r="M118">
            <v>22514743</v>
          </cell>
          <cell r="N118">
            <v>22438477</v>
          </cell>
          <cell r="O118">
            <v>22784752</v>
          </cell>
          <cell r="P118">
            <v>23279638</v>
          </cell>
          <cell r="Q118">
            <v>23124324</v>
          </cell>
          <cell r="R118">
            <v>22971792</v>
          </cell>
          <cell r="S118">
            <v>23664342</v>
          </cell>
        </row>
        <row r="119">
          <cell r="B119" t="str">
            <v>M102.0316</v>
          </cell>
          <cell r="C119" t="str">
            <v>300t</v>
          </cell>
          <cell r="D119" t="str">
            <v>lít diezel</v>
          </cell>
          <cell r="E119">
            <v>2325085</v>
          </cell>
          <cell r="F119" t="str">
            <v>1x4/7+1x6/7</v>
          </cell>
          <cell r="G119">
            <v>36309348</v>
          </cell>
          <cell r="H119">
            <v>687238</v>
          </cell>
          <cell r="I119">
            <v>609581</v>
          </cell>
          <cell r="J119">
            <v>533315</v>
          </cell>
          <cell r="K119">
            <v>879590</v>
          </cell>
          <cell r="L119">
            <v>30062787</v>
          </cell>
          <cell r="M119">
            <v>29985130</v>
          </cell>
          <cell r="N119">
            <v>29908864</v>
          </cell>
          <cell r="O119">
            <v>30255139</v>
          </cell>
          <cell r="P119">
            <v>30750025</v>
          </cell>
          <cell r="Q119">
            <v>30594711</v>
          </cell>
          <cell r="R119">
            <v>30442179</v>
          </cell>
          <cell r="S119">
            <v>31134729</v>
          </cell>
        </row>
        <row r="120">
          <cell r="B120" t="str">
            <v>M102.0400</v>
          </cell>
          <cell r="C120" t="str">
            <v>Cần trục tháp - sức nâng:</v>
          </cell>
          <cell r="E120" t="str">
            <v>-</v>
          </cell>
          <cell r="P120">
            <v>0</v>
          </cell>
          <cell r="Q120">
            <v>0</v>
          </cell>
          <cell r="R120">
            <v>0</v>
          </cell>
          <cell r="S120">
            <v>0</v>
          </cell>
        </row>
        <row r="121">
          <cell r="B121" t="str">
            <v>M102.0401</v>
          </cell>
          <cell r="C121" t="str">
            <v>5 t</v>
          </cell>
          <cell r="D121" t="str">
            <v>kWh</v>
          </cell>
          <cell r="E121">
            <v>82222</v>
          </cell>
          <cell r="F121" t="str">
            <v>1x3/7+1x5/7</v>
          </cell>
          <cell r="G121">
            <v>871689</v>
          </cell>
          <cell r="H121">
            <v>579367</v>
          </cell>
          <cell r="I121">
            <v>513900</v>
          </cell>
          <cell r="J121">
            <v>449605</v>
          </cell>
          <cell r="K121">
            <v>741527</v>
          </cell>
          <cell r="L121">
            <v>1334893</v>
          </cell>
          <cell r="M121">
            <v>1269426</v>
          </cell>
          <cell r="N121">
            <v>1205131</v>
          </cell>
          <cell r="O121">
            <v>1497053</v>
          </cell>
          <cell r="P121">
            <v>1914260</v>
          </cell>
          <cell r="Q121">
            <v>1783326</v>
          </cell>
          <cell r="R121">
            <v>1654736</v>
          </cell>
          <cell r="S121">
            <v>2238580</v>
          </cell>
        </row>
        <row r="122">
          <cell r="B122" t="str">
            <v>M102.0402</v>
          </cell>
          <cell r="C122" t="str">
            <v>10 t</v>
          </cell>
          <cell r="D122" t="str">
            <v>kWh</v>
          </cell>
          <cell r="E122">
            <v>11746</v>
          </cell>
          <cell r="F122" t="str">
            <v>1x3/7+1x5/7</v>
          </cell>
          <cell r="G122">
            <v>1419834</v>
          </cell>
          <cell r="H122">
            <v>579367</v>
          </cell>
          <cell r="I122">
            <v>513900</v>
          </cell>
          <cell r="J122">
            <v>449605</v>
          </cell>
          <cell r="K122">
            <v>741527</v>
          </cell>
          <cell r="L122">
            <v>1715190</v>
          </cell>
          <cell r="M122">
            <v>1649723</v>
          </cell>
          <cell r="N122">
            <v>1585428</v>
          </cell>
          <cell r="O122">
            <v>1877350</v>
          </cell>
          <cell r="P122">
            <v>2294557</v>
          </cell>
          <cell r="Q122">
            <v>2163623</v>
          </cell>
          <cell r="R122">
            <v>2035033</v>
          </cell>
          <cell r="S122">
            <v>2618877</v>
          </cell>
        </row>
        <row r="123">
          <cell r="B123" t="str">
            <v>M102.0403</v>
          </cell>
          <cell r="C123" t="str">
            <v>12 t</v>
          </cell>
          <cell r="D123" t="str">
            <v>kWh</v>
          </cell>
          <cell r="E123">
            <v>133121</v>
          </cell>
          <cell r="F123" t="str">
            <v>1x3/7+1x5/7</v>
          </cell>
          <cell r="G123">
            <v>1729964</v>
          </cell>
          <cell r="H123">
            <v>579367</v>
          </cell>
          <cell r="I123">
            <v>513900</v>
          </cell>
          <cell r="J123">
            <v>449605</v>
          </cell>
          <cell r="K123">
            <v>741527</v>
          </cell>
          <cell r="L123">
            <v>1953290</v>
          </cell>
          <cell r="M123">
            <v>1887823</v>
          </cell>
          <cell r="N123">
            <v>1823528</v>
          </cell>
          <cell r="O123">
            <v>2115450</v>
          </cell>
          <cell r="P123">
            <v>2532657</v>
          </cell>
          <cell r="Q123">
            <v>2401723</v>
          </cell>
          <cell r="R123">
            <v>2273133</v>
          </cell>
          <cell r="S123">
            <v>2856977</v>
          </cell>
        </row>
        <row r="124">
          <cell r="B124" t="str">
            <v>M102.0404</v>
          </cell>
          <cell r="C124" t="str">
            <v>15 t</v>
          </cell>
          <cell r="D124" t="str">
            <v>kWh</v>
          </cell>
          <cell r="E124">
            <v>17619</v>
          </cell>
          <cell r="F124" t="str">
            <v>1x3/7+1x5/7</v>
          </cell>
          <cell r="G124">
            <v>1900450</v>
          </cell>
          <cell r="H124">
            <v>579367</v>
          </cell>
          <cell r="I124">
            <v>513900</v>
          </cell>
          <cell r="J124">
            <v>449605</v>
          </cell>
          <cell r="K124">
            <v>741527</v>
          </cell>
          <cell r="L124">
            <v>2118638</v>
          </cell>
          <cell r="M124">
            <v>2053171</v>
          </cell>
          <cell r="N124">
            <v>1988876</v>
          </cell>
          <cell r="O124">
            <v>2280798</v>
          </cell>
          <cell r="P124">
            <v>2698005</v>
          </cell>
          <cell r="Q124">
            <v>2567071</v>
          </cell>
          <cell r="R124">
            <v>2438481</v>
          </cell>
          <cell r="S124">
            <v>3022325</v>
          </cell>
        </row>
        <row r="125">
          <cell r="B125" t="str">
            <v>M102.0405</v>
          </cell>
          <cell r="C125" t="str">
            <v>20 t</v>
          </cell>
          <cell r="D125" t="str">
            <v>kWh</v>
          </cell>
          <cell r="E125">
            <v>221216</v>
          </cell>
          <cell r="F125" t="str">
            <v>1x3/7+1x5/7</v>
          </cell>
          <cell r="G125">
            <v>2279943</v>
          </cell>
          <cell r="H125">
            <v>579367</v>
          </cell>
          <cell r="I125">
            <v>513900</v>
          </cell>
          <cell r="J125">
            <v>449605</v>
          </cell>
          <cell r="K125">
            <v>741527</v>
          </cell>
          <cell r="L125">
            <v>2349372</v>
          </cell>
          <cell r="M125">
            <v>2283905</v>
          </cell>
          <cell r="N125">
            <v>2219610</v>
          </cell>
          <cell r="O125">
            <v>2511532</v>
          </cell>
          <cell r="P125">
            <v>2928739</v>
          </cell>
          <cell r="Q125">
            <v>2797805</v>
          </cell>
          <cell r="R125">
            <v>2669215</v>
          </cell>
          <cell r="S125">
            <v>3253059</v>
          </cell>
        </row>
        <row r="126">
          <cell r="B126" t="str">
            <v>M102.0406</v>
          </cell>
          <cell r="C126" t="str">
            <v>25 t</v>
          </cell>
          <cell r="D126" t="str">
            <v>kWh</v>
          </cell>
          <cell r="E126">
            <v>234919</v>
          </cell>
          <cell r="F126" t="str">
            <v>1x3/7+1x6/7</v>
          </cell>
          <cell r="G126">
            <v>3161607</v>
          </cell>
          <cell r="H126">
            <v>642002</v>
          </cell>
          <cell r="I126">
            <v>569457</v>
          </cell>
          <cell r="J126">
            <v>498211</v>
          </cell>
          <cell r="K126">
            <v>821693</v>
          </cell>
          <cell r="L126">
            <v>3024634</v>
          </cell>
          <cell r="M126">
            <v>2952089</v>
          </cell>
          <cell r="N126">
            <v>2880843</v>
          </cell>
          <cell r="O126">
            <v>3204325</v>
          </cell>
          <cell r="P126">
            <v>3666636</v>
          </cell>
          <cell r="Q126">
            <v>3521546</v>
          </cell>
          <cell r="R126">
            <v>3379054</v>
          </cell>
          <cell r="S126">
            <v>4026018</v>
          </cell>
        </row>
        <row r="127">
          <cell r="B127" t="str">
            <v>M102.0407</v>
          </cell>
          <cell r="C127" t="str">
            <v>30 t</v>
          </cell>
          <cell r="D127" t="str">
            <v>kWh</v>
          </cell>
          <cell r="E127">
            <v>250581</v>
          </cell>
          <cell r="F127" t="str">
            <v>1x3/7+1x6/7</v>
          </cell>
          <cell r="G127">
            <v>3962098</v>
          </cell>
          <cell r="H127">
            <v>642002</v>
          </cell>
          <cell r="I127">
            <v>569457</v>
          </cell>
          <cell r="J127">
            <v>498211</v>
          </cell>
          <cell r="K127">
            <v>821693</v>
          </cell>
          <cell r="L127">
            <v>3584077</v>
          </cell>
          <cell r="M127">
            <v>3511532</v>
          </cell>
          <cell r="N127">
            <v>3440286</v>
          </cell>
          <cell r="O127">
            <v>3763768</v>
          </cell>
          <cell r="P127">
            <v>4226079</v>
          </cell>
          <cell r="Q127">
            <v>4080989</v>
          </cell>
          <cell r="R127">
            <v>3938497</v>
          </cell>
          <cell r="S127">
            <v>4585461</v>
          </cell>
        </row>
        <row r="128">
          <cell r="B128" t="str">
            <v>M102.0408</v>
          </cell>
          <cell r="C128" t="str">
            <v>40 t</v>
          </cell>
          <cell r="D128" t="str">
            <v>kWh</v>
          </cell>
          <cell r="E128">
            <v>264284</v>
          </cell>
          <cell r="F128" t="str">
            <v>1x3/7+1x6/7</v>
          </cell>
          <cell r="G128">
            <v>4598753</v>
          </cell>
          <cell r="H128">
            <v>642002</v>
          </cell>
          <cell r="I128">
            <v>569457</v>
          </cell>
          <cell r="J128">
            <v>498211</v>
          </cell>
          <cell r="K128">
            <v>821693</v>
          </cell>
          <cell r="L128">
            <v>3982694</v>
          </cell>
          <cell r="M128">
            <v>3910149</v>
          </cell>
          <cell r="N128">
            <v>3838903</v>
          </cell>
          <cell r="O128">
            <v>4162385</v>
          </cell>
          <cell r="P128">
            <v>4624696</v>
          </cell>
          <cell r="Q128">
            <v>4479606</v>
          </cell>
          <cell r="R128">
            <v>4337114</v>
          </cell>
          <cell r="S128">
            <v>4984078</v>
          </cell>
        </row>
        <row r="129">
          <cell r="B129" t="str">
            <v>M102.0409</v>
          </cell>
          <cell r="C129" t="str">
            <v>50 t</v>
          </cell>
          <cell r="D129" t="str">
            <v>kWh</v>
          </cell>
          <cell r="E129">
            <v>279946</v>
          </cell>
          <cell r="F129" t="str">
            <v>1x4/7+1x6/7</v>
          </cell>
          <cell r="G129">
            <v>5768420</v>
          </cell>
          <cell r="H129">
            <v>687238</v>
          </cell>
          <cell r="I129">
            <v>609581</v>
          </cell>
          <cell r="J129">
            <v>533315</v>
          </cell>
          <cell r="K129">
            <v>879590</v>
          </cell>
          <cell r="L129">
            <v>4826058</v>
          </cell>
          <cell r="M129">
            <v>4748401</v>
          </cell>
          <cell r="N129">
            <v>4672135</v>
          </cell>
          <cell r="O129">
            <v>5018410</v>
          </cell>
          <cell r="P129">
            <v>5513296</v>
          </cell>
          <cell r="Q129">
            <v>5357982</v>
          </cell>
          <cell r="R129">
            <v>5205450</v>
          </cell>
          <cell r="S129">
            <v>5898000</v>
          </cell>
        </row>
        <row r="130">
          <cell r="B130" t="str">
            <v>M102.0410</v>
          </cell>
          <cell r="C130" t="str">
            <v>60 t</v>
          </cell>
          <cell r="D130" t="str">
            <v>kWh</v>
          </cell>
          <cell r="E130">
            <v>387617</v>
          </cell>
          <cell r="F130" t="str">
            <v>1x4/7+1x6/7</v>
          </cell>
          <cell r="G130">
            <v>7210611</v>
          </cell>
          <cell r="H130">
            <v>687238</v>
          </cell>
          <cell r="I130">
            <v>609581</v>
          </cell>
          <cell r="J130">
            <v>533315</v>
          </cell>
          <cell r="K130">
            <v>879590</v>
          </cell>
          <cell r="L130">
            <v>5898505</v>
          </cell>
          <cell r="M130">
            <v>5820848</v>
          </cell>
          <cell r="N130">
            <v>5744582</v>
          </cell>
          <cell r="O130">
            <v>6090857</v>
          </cell>
          <cell r="P130">
            <v>6585743</v>
          </cell>
          <cell r="Q130">
            <v>6430429</v>
          </cell>
          <cell r="R130">
            <v>6277897</v>
          </cell>
          <cell r="S130">
            <v>6970447</v>
          </cell>
        </row>
        <row r="131">
          <cell r="B131" t="str">
            <v>M102.0500</v>
          </cell>
          <cell r="C131" t="str">
            <v>Cần cẩu nổi:</v>
          </cell>
          <cell r="E131" t="str">
            <v>-</v>
          </cell>
          <cell r="P131">
            <v>0</v>
          </cell>
          <cell r="Q131">
            <v>0</v>
          </cell>
          <cell r="R131">
            <v>0</v>
          </cell>
          <cell r="S131">
            <v>0</v>
          </cell>
        </row>
        <row r="132">
          <cell r="B132" t="str">
            <v>M102.0501</v>
          </cell>
          <cell r="C132" t="str">
            <v>Kéo theo - sức nâng 30 t</v>
          </cell>
          <cell r="D132" t="str">
            <v>lít diezel</v>
          </cell>
          <cell r="E132">
            <v>1215044</v>
          </cell>
          <cell r="F132" t="str">
            <v>1 thuyền phó 1/2 + 3 thợ máy (2x2/4+1x3/4) + 1 thợ điện 2/4 + 1 thủy thủ 2/4</v>
          </cell>
          <cell r="G132">
            <v>2794100</v>
          </cell>
          <cell r="H132">
            <v>2146801</v>
          </cell>
          <cell r="I132">
            <v>1904237</v>
          </cell>
          <cell r="J132">
            <v>1665926</v>
          </cell>
          <cell r="K132">
            <v>2747902</v>
          </cell>
          <cell r="L132">
            <v>6413862</v>
          </cell>
          <cell r="M132">
            <v>6171298</v>
          </cell>
          <cell r="N132">
            <v>5932987</v>
          </cell>
          <cell r="O132">
            <v>7014963</v>
          </cell>
          <cell r="P132">
            <v>8560663</v>
          </cell>
          <cell r="Q132">
            <v>8075535</v>
          </cell>
          <cell r="R132">
            <v>7598913</v>
          </cell>
          <cell r="S132">
            <v>9762865</v>
          </cell>
        </row>
        <row r="133">
          <cell r="B133" t="str">
            <v>M102.0502</v>
          </cell>
          <cell r="C133" t="str">
            <v>Tự hành - sức nâng 100 t</v>
          </cell>
          <cell r="D133" t="str">
            <v>lít diezel</v>
          </cell>
          <cell r="E133">
            <v>1770064</v>
          </cell>
          <cell r="F133" t="str">
            <v>1 thuyền trưởng 1/2 + 1 thuyền phó 1/2 + 4 thợ máy (3x2/4+1x4/4) + 1 thợ điện 3/4 + 1 thủy thủ 2/4</v>
          </cell>
          <cell r="G133">
            <v>4205700</v>
          </cell>
          <cell r="H133">
            <v>2960402</v>
          </cell>
          <cell r="I133">
            <v>2625910</v>
          </cell>
          <cell r="J133">
            <v>2297278</v>
          </cell>
          <cell r="K133">
            <v>3789310</v>
          </cell>
          <cell r="L133">
            <v>9281249</v>
          </cell>
          <cell r="M133">
            <v>8946757</v>
          </cell>
          <cell r="N133">
            <v>8618125</v>
          </cell>
          <cell r="O133">
            <v>10110157</v>
          </cell>
          <cell r="P133">
            <v>12241651</v>
          </cell>
          <cell r="Q133">
            <v>11572667</v>
          </cell>
          <cell r="R133">
            <v>10915403</v>
          </cell>
          <cell r="S133">
            <v>13899467</v>
          </cell>
        </row>
        <row r="134">
          <cell r="B134" t="str">
            <v>M102.0600</v>
          </cell>
          <cell r="C134" t="str">
            <v>Cổng trục - sức nâng:</v>
          </cell>
          <cell r="E134" t="str">
            <v>-</v>
          </cell>
          <cell r="P134">
            <v>0</v>
          </cell>
          <cell r="Q134">
            <v>0</v>
          </cell>
          <cell r="R134">
            <v>0</v>
          </cell>
          <cell r="S134">
            <v>0</v>
          </cell>
        </row>
        <row r="135">
          <cell r="B135" t="str">
            <v>M102.0601</v>
          </cell>
          <cell r="C135" t="str">
            <v>10 t</v>
          </cell>
          <cell r="D135" t="str">
            <v>kWh</v>
          </cell>
          <cell r="E135">
            <v>158571</v>
          </cell>
          <cell r="F135" t="str">
            <v>1x3/7+1x5/7</v>
          </cell>
          <cell r="G135">
            <v>471300</v>
          </cell>
          <cell r="H135">
            <v>579367</v>
          </cell>
          <cell r="I135">
            <v>513900</v>
          </cell>
          <cell r="J135">
            <v>449605</v>
          </cell>
          <cell r="K135">
            <v>741527</v>
          </cell>
          <cell r="L135">
            <v>1187485</v>
          </cell>
          <cell r="M135">
            <v>1122018</v>
          </cell>
          <cell r="N135">
            <v>1057723</v>
          </cell>
          <cell r="O135">
            <v>1349645</v>
          </cell>
          <cell r="P135">
            <v>1766852</v>
          </cell>
          <cell r="Q135">
            <v>1635918</v>
          </cell>
          <cell r="R135">
            <v>1507328</v>
          </cell>
          <cell r="S135">
            <v>2091172</v>
          </cell>
        </row>
        <row r="136">
          <cell r="B136" t="str">
            <v>M102.0602</v>
          </cell>
          <cell r="C136" t="str">
            <v>20 t</v>
          </cell>
          <cell r="D136" t="str">
            <v>kWh</v>
          </cell>
          <cell r="E136">
            <v>17619</v>
          </cell>
          <cell r="F136" t="str">
            <v>1x3/7+1x6/7</v>
          </cell>
          <cell r="G136">
            <v>655320</v>
          </cell>
          <cell r="H136">
            <v>642002</v>
          </cell>
          <cell r="I136">
            <v>569457</v>
          </cell>
          <cell r="J136">
            <v>498211</v>
          </cell>
          <cell r="K136">
            <v>821693</v>
          </cell>
          <cell r="L136">
            <v>1443266</v>
          </cell>
          <cell r="M136">
            <v>1370721</v>
          </cell>
          <cell r="N136">
            <v>1299475</v>
          </cell>
          <cell r="O136">
            <v>1622957</v>
          </cell>
          <cell r="P136">
            <v>2085268</v>
          </cell>
          <cell r="Q136">
            <v>1940178</v>
          </cell>
          <cell r="R136">
            <v>1797686</v>
          </cell>
          <cell r="S136">
            <v>2444650</v>
          </cell>
        </row>
        <row r="137">
          <cell r="B137" t="str">
            <v>M102.0603</v>
          </cell>
          <cell r="C137" t="str">
            <v>30 t</v>
          </cell>
          <cell r="D137" t="str">
            <v>kWh</v>
          </cell>
          <cell r="E137">
            <v>17619</v>
          </cell>
          <cell r="F137" t="str">
            <v>1x3/7+1x6/7</v>
          </cell>
          <cell r="G137">
            <v>730500</v>
          </cell>
          <cell r="H137">
            <v>642002</v>
          </cell>
          <cell r="I137">
            <v>569457</v>
          </cell>
          <cell r="J137">
            <v>498211</v>
          </cell>
          <cell r="K137">
            <v>821693</v>
          </cell>
          <cell r="L137">
            <v>1514976</v>
          </cell>
          <cell r="M137">
            <v>1442431</v>
          </cell>
          <cell r="N137">
            <v>1371185</v>
          </cell>
          <cell r="O137">
            <v>1694667</v>
          </cell>
          <cell r="P137">
            <v>2156978</v>
          </cell>
          <cell r="Q137">
            <v>2011888</v>
          </cell>
          <cell r="R137">
            <v>1869396</v>
          </cell>
          <cell r="S137">
            <v>2516360</v>
          </cell>
        </row>
        <row r="138">
          <cell r="B138" t="str">
            <v>M102.0604</v>
          </cell>
          <cell r="C138" t="str">
            <v>50 t</v>
          </cell>
          <cell r="D138" t="str">
            <v>kWh</v>
          </cell>
          <cell r="E138">
            <v>240792</v>
          </cell>
          <cell r="F138" t="str">
            <v>1x3/7+1x7/7</v>
          </cell>
          <cell r="G138">
            <v>891135</v>
          </cell>
          <cell r="H138">
            <v>713335</v>
          </cell>
          <cell r="I138">
            <v>632730</v>
          </cell>
          <cell r="J138">
            <v>553567</v>
          </cell>
          <cell r="K138">
            <v>912992</v>
          </cell>
          <cell r="L138">
            <v>1790423</v>
          </cell>
          <cell r="M138">
            <v>1709818</v>
          </cell>
          <cell r="N138">
            <v>1630655</v>
          </cell>
          <cell r="O138">
            <v>1990080</v>
          </cell>
          <cell r="P138">
            <v>2503758</v>
          </cell>
          <cell r="Q138">
            <v>2342548</v>
          </cell>
          <cell r="R138">
            <v>2184222</v>
          </cell>
          <cell r="S138">
            <v>2903072</v>
          </cell>
        </row>
        <row r="139">
          <cell r="B139" t="str">
            <v>M102.0605</v>
          </cell>
          <cell r="C139" t="str">
            <v>60 t</v>
          </cell>
          <cell r="D139" t="str">
            <v>kWh</v>
          </cell>
          <cell r="E139">
            <v>281903</v>
          </cell>
          <cell r="F139" t="str">
            <v>1x3/7+1x7/7</v>
          </cell>
          <cell r="G139">
            <v>966900</v>
          </cell>
          <cell r="H139">
            <v>713335</v>
          </cell>
          <cell r="I139">
            <v>632730</v>
          </cell>
          <cell r="J139">
            <v>553567</v>
          </cell>
          <cell r="K139">
            <v>912992</v>
          </cell>
          <cell r="L139">
            <v>1902637</v>
          </cell>
          <cell r="M139">
            <v>1822032</v>
          </cell>
          <cell r="N139">
            <v>1742869</v>
          </cell>
          <cell r="O139">
            <v>2102294</v>
          </cell>
          <cell r="P139">
            <v>2615972</v>
          </cell>
          <cell r="Q139">
            <v>2454762</v>
          </cell>
          <cell r="R139">
            <v>2296436</v>
          </cell>
          <cell r="S139">
            <v>3015286</v>
          </cell>
        </row>
        <row r="140">
          <cell r="B140" t="str">
            <v>M102.0606</v>
          </cell>
          <cell r="C140" t="str">
            <v>90 t</v>
          </cell>
          <cell r="D140" t="str">
            <v>kWh</v>
          </cell>
          <cell r="E140">
            <v>352379</v>
          </cell>
          <cell r="F140" t="str">
            <v>1x3/7+1x7/7</v>
          </cell>
          <cell r="G140">
            <v>1300802</v>
          </cell>
          <cell r="H140">
            <v>713335</v>
          </cell>
          <cell r="I140">
            <v>632730</v>
          </cell>
          <cell r="J140">
            <v>553567</v>
          </cell>
          <cell r="K140">
            <v>912992</v>
          </cell>
          <cell r="L140">
            <v>2286467</v>
          </cell>
          <cell r="M140">
            <v>2205862</v>
          </cell>
          <cell r="N140">
            <v>2126699</v>
          </cell>
          <cell r="O140">
            <v>2486124</v>
          </cell>
          <cell r="P140">
            <v>2999802</v>
          </cell>
          <cell r="Q140">
            <v>2838592</v>
          </cell>
          <cell r="R140">
            <v>2680266</v>
          </cell>
          <cell r="S140">
            <v>3399116</v>
          </cell>
        </row>
        <row r="141">
          <cell r="B141" t="str">
            <v>M102.0701</v>
          </cell>
          <cell r="C141" t="str">
            <v>Cẩu lao dầm K33-60</v>
          </cell>
          <cell r="D141" t="str">
            <v>kWh</v>
          </cell>
          <cell r="E141">
            <v>456135</v>
          </cell>
          <cell r="F141" t="str">
            <v>1x3/7+4x4/7+1x6/7</v>
          </cell>
          <cell r="G141">
            <v>2698418</v>
          </cell>
          <cell r="H141">
            <v>1790298</v>
          </cell>
          <cell r="I141">
            <v>1587997</v>
          </cell>
          <cell r="J141">
            <v>1389319</v>
          </cell>
          <cell r="K141">
            <v>2291387</v>
          </cell>
          <cell r="L141">
            <v>5055556</v>
          </cell>
          <cell r="M141">
            <v>4853255</v>
          </cell>
          <cell r="N141">
            <v>4654577</v>
          </cell>
          <cell r="O141">
            <v>5556645</v>
          </cell>
          <cell r="P141">
            <v>6845854</v>
          </cell>
          <cell r="Q141">
            <v>6441252</v>
          </cell>
          <cell r="R141">
            <v>6043896</v>
          </cell>
          <cell r="S141">
            <v>7848032</v>
          </cell>
        </row>
        <row r="142">
          <cell r="B142" t="str">
            <v>M102.0702</v>
          </cell>
          <cell r="C142" t="str">
            <v>Thiết bị nâng hạ dầm 90 t</v>
          </cell>
          <cell r="D142" t="str">
            <v>kWh</v>
          </cell>
          <cell r="E142">
            <v>454178</v>
          </cell>
          <cell r="F142" t="str">
            <v>1x3/7+2x4/7+1x6/7</v>
          </cell>
          <cell r="G142">
            <v>2955481</v>
          </cell>
          <cell r="H142">
            <v>1216150</v>
          </cell>
          <cell r="I142">
            <v>1078727</v>
          </cell>
          <cell r="J142">
            <v>943765</v>
          </cell>
          <cell r="K142">
            <v>1556540</v>
          </cell>
          <cell r="L142">
            <v>4747059</v>
          </cell>
          <cell r="M142">
            <v>4609636</v>
          </cell>
          <cell r="N142">
            <v>4474674</v>
          </cell>
          <cell r="O142">
            <v>5087449</v>
          </cell>
          <cell r="P142">
            <v>5963209</v>
          </cell>
          <cell r="Q142">
            <v>5688363</v>
          </cell>
          <cell r="R142">
            <v>5418439</v>
          </cell>
          <cell r="S142">
            <v>6643989</v>
          </cell>
        </row>
        <row r="143">
          <cell r="B143" t="str">
            <v>M102.0703</v>
          </cell>
          <cell r="C143" t="str">
            <v>Hệ thống xe goong di chuyển dầm (gồm mô tơ điện 3,5 kW và con lăn)</v>
          </cell>
          <cell r="D143" t="str">
            <v>kWh</v>
          </cell>
          <cell r="E143">
            <v>31323</v>
          </cell>
          <cell r="F143" t="str">
            <v>1x4/7</v>
          </cell>
          <cell r="G143">
            <v>11818</v>
          </cell>
          <cell r="H143">
            <v>287074</v>
          </cell>
          <cell r="I143">
            <v>254635</v>
          </cell>
          <cell r="J143">
            <v>222777</v>
          </cell>
          <cell r="K143">
            <v>367424</v>
          </cell>
          <cell r="L143">
            <v>332639</v>
          </cell>
          <cell r="M143">
            <v>300200</v>
          </cell>
          <cell r="N143">
            <v>268342</v>
          </cell>
          <cell r="O143">
            <v>412989</v>
          </cell>
          <cell r="P143">
            <v>619713</v>
          </cell>
          <cell r="Q143">
            <v>554835</v>
          </cell>
          <cell r="R143">
            <v>491119</v>
          </cell>
          <cell r="S143">
            <v>780413</v>
          </cell>
        </row>
        <row r="144">
          <cell r="B144" t="str">
            <v>M102.0800</v>
          </cell>
          <cell r="C144" t="str">
            <v>Cầu trục - sức nâng:</v>
          </cell>
          <cell r="E144" t="str">
            <v>-</v>
          </cell>
          <cell r="P144">
            <v>0</v>
          </cell>
          <cell r="Q144">
            <v>0</v>
          </cell>
          <cell r="R144">
            <v>0</v>
          </cell>
          <cell r="S144">
            <v>0</v>
          </cell>
        </row>
        <row r="145">
          <cell r="B145" t="str">
            <v>M102.0801</v>
          </cell>
          <cell r="C145" t="str">
            <v>30 t</v>
          </cell>
          <cell r="D145" t="str">
            <v>kWh</v>
          </cell>
          <cell r="E145">
            <v>93968</v>
          </cell>
          <cell r="F145" t="str">
            <v>1x3/7+1x6/7</v>
          </cell>
          <cell r="G145">
            <v>378691</v>
          </cell>
          <cell r="H145">
            <v>642002</v>
          </cell>
          <cell r="I145">
            <v>569457</v>
          </cell>
          <cell r="J145">
            <v>498211</v>
          </cell>
          <cell r="K145">
            <v>821693</v>
          </cell>
          <cell r="L145">
            <v>937068</v>
          </cell>
          <cell r="M145">
            <v>864523</v>
          </cell>
          <cell r="N145">
            <v>793277</v>
          </cell>
          <cell r="O145">
            <v>1116759</v>
          </cell>
          <cell r="P145">
            <v>1579070</v>
          </cell>
          <cell r="Q145">
            <v>1433980</v>
          </cell>
          <cell r="R145">
            <v>1291488</v>
          </cell>
          <cell r="S145">
            <v>1938452</v>
          </cell>
        </row>
        <row r="146">
          <cell r="B146" t="str">
            <v>M102.0802</v>
          </cell>
          <cell r="C146" t="str">
            <v>40 t</v>
          </cell>
          <cell r="D146" t="str">
            <v>kWh</v>
          </cell>
          <cell r="E146">
            <v>11746</v>
          </cell>
          <cell r="F146" t="str">
            <v>1x3/7+1x6/7</v>
          </cell>
          <cell r="G146">
            <v>426157</v>
          </cell>
          <cell r="H146">
            <v>642002</v>
          </cell>
          <cell r="I146">
            <v>569457</v>
          </cell>
          <cell r="J146">
            <v>498211</v>
          </cell>
          <cell r="K146">
            <v>821693</v>
          </cell>
          <cell r="L146">
            <v>985766</v>
          </cell>
          <cell r="M146">
            <v>913221</v>
          </cell>
          <cell r="N146">
            <v>841975</v>
          </cell>
          <cell r="O146">
            <v>1165457</v>
          </cell>
          <cell r="P146">
            <v>1627768</v>
          </cell>
          <cell r="Q146">
            <v>1482678</v>
          </cell>
          <cell r="R146">
            <v>1340186</v>
          </cell>
          <cell r="S146">
            <v>1987150</v>
          </cell>
        </row>
        <row r="147">
          <cell r="B147" t="str">
            <v>M102.0803</v>
          </cell>
          <cell r="C147" t="str">
            <v>50 t</v>
          </cell>
          <cell r="D147" t="str">
            <v>kWh</v>
          </cell>
          <cell r="E147">
            <v>140952</v>
          </cell>
          <cell r="F147" t="str">
            <v>1x3/7+1x6/7</v>
          </cell>
          <cell r="G147">
            <v>482909</v>
          </cell>
          <cell r="H147">
            <v>642002</v>
          </cell>
          <cell r="I147">
            <v>569457</v>
          </cell>
          <cell r="J147">
            <v>498211</v>
          </cell>
          <cell r="K147">
            <v>821693</v>
          </cell>
          <cell r="L147">
            <v>1039395</v>
          </cell>
          <cell r="M147">
            <v>966850</v>
          </cell>
          <cell r="N147">
            <v>895604</v>
          </cell>
          <cell r="O147">
            <v>1219086</v>
          </cell>
          <cell r="P147">
            <v>1681397</v>
          </cell>
          <cell r="Q147">
            <v>1536307</v>
          </cell>
          <cell r="R147">
            <v>1393815</v>
          </cell>
          <cell r="S147">
            <v>2040779</v>
          </cell>
        </row>
        <row r="148">
          <cell r="B148" t="str">
            <v>M102.0804</v>
          </cell>
          <cell r="C148" t="str">
            <v>60 t</v>
          </cell>
          <cell r="D148" t="str">
            <v>kWh</v>
          </cell>
          <cell r="E148">
            <v>164444</v>
          </cell>
          <cell r="F148" t="str">
            <v>1x3/7+1x7/7</v>
          </cell>
          <cell r="G148">
            <v>579445</v>
          </cell>
          <cell r="H148">
            <v>713335</v>
          </cell>
          <cell r="I148">
            <v>632730</v>
          </cell>
          <cell r="J148">
            <v>553567</v>
          </cell>
          <cell r="K148">
            <v>912992</v>
          </cell>
          <cell r="L148">
            <v>1185484</v>
          </cell>
          <cell r="M148">
            <v>1104879</v>
          </cell>
          <cell r="N148">
            <v>1025716</v>
          </cell>
          <cell r="O148">
            <v>1385141</v>
          </cell>
          <cell r="P148">
            <v>1898819</v>
          </cell>
          <cell r="Q148">
            <v>1737609</v>
          </cell>
          <cell r="R148">
            <v>1579283</v>
          </cell>
          <cell r="S148">
            <v>2298133</v>
          </cell>
        </row>
        <row r="149">
          <cell r="B149" t="str">
            <v>M102.0805</v>
          </cell>
          <cell r="C149" t="str">
            <v>90 t</v>
          </cell>
          <cell r="D149" t="str">
            <v>kWh</v>
          </cell>
          <cell r="E149">
            <v>211427</v>
          </cell>
          <cell r="F149" t="str">
            <v>1x3/7+1x7/7</v>
          </cell>
          <cell r="G149">
            <v>720350</v>
          </cell>
          <cell r="H149">
            <v>713335</v>
          </cell>
          <cell r="I149">
            <v>632730</v>
          </cell>
          <cell r="J149">
            <v>553567</v>
          </cell>
          <cell r="K149">
            <v>912992</v>
          </cell>
          <cell r="L149">
            <v>1307293</v>
          </cell>
          <cell r="M149">
            <v>1226688</v>
          </cell>
          <cell r="N149">
            <v>1147525</v>
          </cell>
          <cell r="O149">
            <v>1506950</v>
          </cell>
          <cell r="P149">
            <v>2020628</v>
          </cell>
          <cell r="Q149">
            <v>1859418</v>
          </cell>
          <cell r="R149">
            <v>1701092</v>
          </cell>
          <cell r="S149">
            <v>2419942</v>
          </cell>
        </row>
        <row r="150">
          <cell r="B150" t="str">
            <v>M102.0806</v>
          </cell>
          <cell r="C150" t="str">
            <v>110 t</v>
          </cell>
          <cell r="D150" t="str">
            <v>kWh</v>
          </cell>
          <cell r="E150">
            <v>258411</v>
          </cell>
          <cell r="F150" t="str">
            <v>1x3/7+1x7/7</v>
          </cell>
          <cell r="G150">
            <v>994021</v>
          </cell>
          <cell r="H150">
            <v>713335</v>
          </cell>
          <cell r="I150">
            <v>632730</v>
          </cell>
          <cell r="J150">
            <v>553567</v>
          </cell>
          <cell r="K150">
            <v>912992</v>
          </cell>
          <cell r="L150">
            <v>1492750</v>
          </cell>
          <cell r="M150">
            <v>1412145</v>
          </cell>
          <cell r="N150">
            <v>1332982</v>
          </cell>
          <cell r="O150">
            <v>1692407</v>
          </cell>
          <cell r="P150">
            <v>2206085</v>
          </cell>
          <cell r="Q150">
            <v>2044875</v>
          </cell>
          <cell r="R150">
            <v>1886549</v>
          </cell>
          <cell r="S150">
            <v>2605399</v>
          </cell>
        </row>
        <row r="151">
          <cell r="B151" t="str">
            <v>M102.0807</v>
          </cell>
          <cell r="C151" t="str">
            <v>125 t</v>
          </cell>
          <cell r="D151" t="str">
            <v>kWh</v>
          </cell>
          <cell r="E151">
            <v>281903</v>
          </cell>
          <cell r="F151" t="str">
            <v>1x3/7+1x7/7</v>
          </cell>
          <cell r="G151">
            <v>1143067</v>
          </cell>
          <cell r="H151">
            <v>713335</v>
          </cell>
          <cell r="I151">
            <v>632730</v>
          </cell>
          <cell r="J151">
            <v>553567</v>
          </cell>
          <cell r="K151">
            <v>912992</v>
          </cell>
          <cell r="L151">
            <v>1594363</v>
          </cell>
          <cell r="M151">
            <v>1513758</v>
          </cell>
          <cell r="N151">
            <v>1434595</v>
          </cell>
          <cell r="O151">
            <v>1794020</v>
          </cell>
          <cell r="P151">
            <v>2307698</v>
          </cell>
          <cell r="Q151">
            <v>2146488</v>
          </cell>
          <cell r="R151">
            <v>1988162</v>
          </cell>
          <cell r="S151">
            <v>2707012</v>
          </cell>
        </row>
        <row r="152">
          <cell r="B152" t="str">
            <v>M102.0808</v>
          </cell>
          <cell r="C152" t="str">
            <v>180 t</v>
          </cell>
          <cell r="D152" t="str">
            <v>kWh</v>
          </cell>
          <cell r="E152">
            <v>328887</v>
          </cell>
          <cell r="F152" t="str">
            <v>1x3/7+1x7/7</v>
          </cell>
          <cell r="G152">
            <v>1486217</v>
          </cell>
          <cell r="H152">
            <v>713335</v>
          </cell>
          <cell r="I152">
            <v>632730</v>
          </cell>
          <cell r="J152">
            <v>553567</v>
          </cell>
          <cell r="K152">
            <v>912992</v>
          </cell>
          <cell r="L152">
            <v>1821205</v>
          </cell>
          <cell r="M152">
            <v>1740600</v>
          </cell>
          <cell r="N152">
            <v>1661437</v>
          </cell>
          <cell r="O152">
            <v>2020862</v>
          </cell>
          <cell r="P152">
            <v>2534540</v>
          </cell>
          <cell r="Q152">
            <v>2373330</v>
          </cell>
          <cell r="R152">
            <v>2215004</v>
          </cell>
          <cell r="S152">
            <v>2933854</v>
          </cell>
        </row>
        <row r="153">
          <cell r="B153" t="str">
            <v>M102.0809</v>
          </cell>
          <cell r="C153" t="str">
            <v>250 t</v>
          </cell>
          <cell r="D153" t="str">
            <v>kWh</v>
          </cell>
          <cell r="E153">
            <v>399363</v>
          </cell>
          <cell r="F153" t="str">
            <v>1x3/7+1x7/7</v>
          </cell>
          <cell r="G153">
            <v>1918794</v>
          </cell>
          <cell r="H153">
            <v>713335</v>
          </cell>
          <cell r="I153">
            <v>632730</v>
          </cell>
          <cell r="J153">
            <v>553567</v>
          </cell>
          <cell r="K153">
            <v>912992</v>
          </cell>
          <cell r="L153">
            <v>2111794</v>
          </cell>
          <cell r="M153">
            <v>2031189</v>
          </cell>
          <cell r="N153">
            <v>1952026</v>
          </cell>
          <cell r="O153">
            <v>2311451</v>
          </cell>
          <cell r="P153">
            <v>2825129</v>
          </cell>
          <cell r="Q153">
            <v>2663919</v>
          </cell>
          <cell r="R153">
            <v>2505593</v>
          </cell>
          <cell r="S153">
            <v>3224443</v>
          </cell>
        </row>
        <row r="154">
          <cell r="B154" t="str">
            <v>M102.0900</v>
          </cell>
          <cell r="C154" t="str">
            <v>Máy vận thăng - sức nâng:</v>
          </cell>
          <cell r="E154" t="str">
            <v>-</v>
          </cell>
          <cell r="P154">
            <v>0</v>
          </cell>
          <cell r="Q154">
            <v>0</v>
          </cell>
          <cell r="R154">
            <v>0</v>
          </cell>
          <cell r="S154">
            <v>0</v>
          </cell>
        </row>
        <row r="155">
          <cell r="B155" t="str">
            <v>M102.0901</v>
          </cell>
          <cell r="C155" t="str">
            <v>0,8 t</v>
          </cell>
          <cell r="D155" t="str">
            <v>kWh</v>
          </cell>
          <cell r="E155">
            <v>41111</v>
          </cell>
          <cell r="F155" t="str">
            <v>1x3/7</v>
          </cell>
          <cell r="G155">
            <v>187683</v>
          </cell>
          <cell r="H155">
            <v>241838</v>
          </cell>
          <cell r="I155">
            <v>214511</v>
          </cell>
          <cell r="J155">
            <v>187673</v>
          </cell>
          <cell r="K155">
            <v>309526</v>
          </cell>
          <cell r="L155">
            <v>442156</v>
          </cell>
          <cell r="M155">
            <v>414829</v>
          </cell>
          <cell r="N155">
            <v>387991</v>
          </cell>
          <cell r="O155">
            <v>509844</v>
          </cell>
          <cell r="P155">
            <v>683994</v>
          </cell>
          <cell r="Q155">
            <v>629340</v>
          </cell>
          <cell r="R155">
            <v>575664</v>
          </cell>
          <cell r="S155">
            <v>819370</v>
          </cell>
        </row>
        <row r="156">
          <cell r="B156" t="str">
            <v>M102.0902</v>
          </cell>
          <cell r="C156" t="str">
            <v>2 t</v>
          </cell>
          <cell r="D156" t="str">
            <v>kWh</v>
          </cell>
          <cell r="E156">
            <v>62645</v>
          </cell>
          <cell r="F156" t="str">
            <v>1x3/7</v>
          </cell>
          <cell r="G156">
            <v>251200</v>
          </cell>
          <cell r="H156">
            <v>241838</v>
          </cell>
          <cell r="I156">
            <v>214511</v>
          </cell>
          <cell r="J156">
            <v>187673</v>
          </cell>
          <cell r="K156">
            <v>309526</v>
          </cell>
          <cell r="L156">
            <v>515838</v>
          </cell>
          <cell r="M156">
            <v>488511</v>
          </cell>
          <cell r="N156">
            <v>461673</v>
          </cell>
          <cell r="O156">
            <v>583526</v>
          </cell>
          <cell r="P156">
            <v>757676</v>
          </cell>
          <cell r="Q156">
            <v>703022</v>
          </cell>
          <cell r="R156">
            <v>649346</v>
          </cell>
          <cell r="S156">
            <v>893052</v>
          </cell>
        </row>
        <row r="157">
          <cell r="B157" t="str">
            <v>M102.0903</v>
          </cell>
          <cell r="C157" t="str">
            <v>3 t</v>
          </cell>
          <cell r="D157" t="str">
            <v>kWh</v>
          </cell>
          <cell r="E157">
            <v>76349</v>
          </cell>
          <cell r="F157" t="str">
            <v>1x3/7</v>
          </cell>
          <cell r="G157">
            <v>288920</v>
          </cell>
          <cell r="H157">
            <v>241838</v>
          </cell>
          <cell r="I157">
            <v>214511</v>
          </cell>
          <cell r="J157">
            <v>187673</v>
          </cell>
          <cell r="K157">
            <v>309526</v>
          </cell>
          <cell r="L157">
            <v>561278</v>
          </cell>
          <cell r="M157">
            <v>533951</v>
          </cell>
          <cell r="N157">
            <v>507113</v>
          </cell>
          <cell r="O157">
            <v>628966</v>
          </cell>
          <cell r="P157">
            <v>803116</v>
          </cell>
          <cell r="Q157">
            <v>748462</v>
          </cell>
          <cell r="R157">
            <v>694786</v>
          </cell>
          <cell r="S157">
            <v>938492</v>
          </cell>
        </row>
        <row r="158">
          <cell r="B158" t="str">
            <v>M102.1000</v>
          </cell>
          <cell r="C158" t="str">
            <v>Máy vận thăng lồng - sức nâng:</v>
          </cell>
          <cell r="E158" t="str">
            <v>-</v>
          </cell>
          <cell r="P158">
            <v>0</v>
          </cell>
          <cell r="Q158">
            <v>0</v>
          </cell>
          <cell r="R158">
            <v>0</v>
          </cell>
          <cell r="S158">
            <v>0</v>
          </cell>
        </row>
        <row r="159">
          <cell r="B159" t="str">
            <v>M102.1001</v>
          </cell>
          <cell r="C159" t="str">
            <v>3 t</v>
          </cell>
          <cell r="D159" t="str">
            <v>kWh</v>
          </cell>
          <cell r="E159">
            <v>9201</v>
          </cell>
          <cell r="F159" t="str">
            <v>1x3/7</v>
          </cell>
          <cell r="G159">
            <v>590336</v>
          </cell>
          <cell r="H159">
            <v>241838</v>
          </cell>
          <cell r="I159">
            <v>214511</v>
          </cell>
          <cell r="J159">
            <v>187673</v>
          </cell>
          <cell r="K159">
            <v>309526</v>
          </cell>
          <cell r="L159">
            <v>821384</v>
          </cell>
          <cell r="M159">
            <v>794057</v>
          </cell>
          <cell r="N159">
            <v>767219</v>
          </cell>
          <cell r="O159">
            <v>889072</v>
          </cell>
          <cell r="P159">
            <v>1063222</v>
          </cell>
          <cell r="Q159">
            <v>1008568</v>
          </cell>
          <cell r="R159">
            <v>954892</v>
          </cell>
          <cell r="S159">
            <v>1198598</v>
          </cell>
        </row>
        <row r="160">
          <cell r="B160" t="str">
            <v>M102.1100</v>
          </cell>
          <cell r="C160" t="str">
            <v>Tời điện - sức kéo:</v>
          </cell>
          <cell r="E160" t="str">
            <v>-</v>
          </cell>
          <cell r="P160">
            <v>0</v>
          </cell>
          <cell r="Q160">
            <v>0</v>
          </cell>
          <cell r="R160">
            <v>0</v>
          </cell>
          <cell r="S160">
            <v>0</v>
          </cell>
        </row>
        <row r="161">
          <cell r="B161" t="str">
            <v>M102.1101</v>
          </cell>
          <cell r="C161" t="str">
            <v>0,5 t</v>
          </cell>
          <cell r="D161" t="str">
            <v>kWh</v>
          </cell>
          <cell r="E161">
            <v>7831</v>
          </cell>
          <cell r="F161" t="str">
            <v>1x3/7</v>
          </cell>
          <cell r="G161">
            <v>4600</v>
          </cell>
          <cell r="H161">
            <v>241838</v>
          </cell>
          <cell r="I161">
            <v>214511</v>
          </cell>
          <cell r="J161">
            <v>187673</v>
          </cell>
          <cell r="K161">
            <v>309526</v>
          </cell>
          <cell r="L161">
            <v>254288</v>
          </cell>
          <cell r="M161">
            <v>226961</v>
          </cell>
          <cell r="N161">
            <v>200123</v>
          </cell>
          <cell r="O161">
            <v>321976</v>
          </cell>
          <cell r="P161">
            <v>496126</v>
          </cell>
          <cell r="Q161">
            <v>441472</v>
          </cell>
          <cell r="R161">
            <v>387796</v>
          </cell>
          <cell r="S161">
            <v>631502</v>
          </cell>
        </row>
        <row r="162">
          <cell r="B162" t="str">
            <v>M102.1102</v>
          </cell>
          <cell r="C162" t="str">
            <v>1,0 t</v>
          </cell>
          <cell r="D162" t="str">
            <v>kWh</v>
          </cell>
          <cell r="E162">
            <v>9788</v>
          </cell>
          <cell r="F162" t="str">
            <v>1x3/7</v>
          </cell>
          <cell r="G162">
            <v>5900</v>
          </cell>
          <cell r="H162">
            <v>241838</v>
          </cell>
          <cell r="I162">
            <v>214511</v>
          </cell>
          <cell r="J162">
            <v>187673</v>
          </cell>
          <cell r="K162">
            <v>309526</v>
          </cell>
          <cell r="L162">
            <v>257551</v>
          </cell>
          <cell r="M162">
            <v>230224</v>
          </cell>
          <cell r="N162">
            <v>203386</v>
          </cell>
          <cell r="O162">
            <v>325239</v>
          </cell>
          <cell r="P162">
            <v>499389</v>
          </cell>
          <cell r="Q162">
            <v>444735</v>
          </cell>
          <cell r="R162">
            <v>391059</v>
          </cell>
          <cell r="S162">
            <v>634765</v>
          </cell>
        </row>
        <row r="163">
          <cell r="B163" t="str">
            <v>M102.1103</v>
          </cell>
          <cell r="C163" t="str">
            <v>1,5 t</v>
          </cell>
          <cell r="D163" t="str">
            <v>kWh</v>
          </cell>
          <cell r="E163">
            <v>10767</v>
          </cell>
          <cell r="F163" t="str">
            <v>1x3/7</v>
          </cell>
          <cell r="G163">
            <v>16400</v>
          </cell>
          <cell r="H163">
            <v>241838</v>
          </cell>
          <cell r="I163">
            <v>214511</v>
          </cell>
          <cell r="J163">
            <v>187673</v>
          </cell>
          <cell r="K163">
            <v>309526</v>
          </cell>
          <cell r="L163">
            <v>268732</v>
          </cell>
          <cell r="M163">
            <v>241405</v>
          </cell>
          <cell r="N163">
            <v>214567</v>
          </cell>
          <cell r="O163">
            <v>336420</v>
          </cell>
          <cell r="P163">
            <v>510570</v>
          </cell>
          <cell r="Q163">
            <v>455916</v>
          </cell>
          <cell r="R163">
            <v>402240</v>
          </cell>
          <cell r="S163">
            <v>645946</v>
          </cell>
        </row>
        <row r="164">
          <cell r="B164" t="str">
            <v>M102.1104</v>
          </cell>
          <cell r="C164" t="str">
            <v>2,0 t</v>
          </cell>
          <cell r="D164" t="str">
            <v>kWh</v>
          </cell>
          <cell r="E164">
            <v>12333</v>
          </cell>
          <cell r="F164" t="str">
            <v>1x3/7</v>
          </cell>
          <cell r="G164">
            <v>23900</v>
          </cell>
          <cell r="H164">
            <v>241838</v>
          </cell>
          <cell r="I164">
            <v>214511</v>
          </cell>
          <cell r="J164">
            <v>187673</v>
          </cell>
          <cell r="K164">
            <v>309526</v>
          </cell>
          <cell r="L164">
            <v>277673</v>
          </cell>
          <cell r="M164">
            <v>250346</v>
          </cell>
          <cell r="N164">
            <v>223508</v>
          </cell>
          <cell r="O164">
            <v>345361</v>
          </cell>
          <cell r="P164">
            <v>519511</v>
          </cell>
          <cell r="Q164">
            <v>464857</v>
          </cell>
          <cell r="R164">
            <v>411181</v>
          </cell>
          <cell r="S164">
            <v>654887</v>
          </cell>
        </row>
        <row r="165">
          <cell r="B165" t="str">
            <v>M102.1105</v>
          </cell>
          <cell r="C165" t="str">
            <v>3,0 t</v>
          </cell>
          <cell r="D165" t="str">
            <v>kWh</v>
          </cell>
          <cell r="E165">
            <v>21534</v>
          </cell>
          <cell r="F165" t="str">
            <v>1x3/7</v>
          </cell>
          <cell r="G165">
            <v>38600</v>
          </cell>
          <cell r="H165">
            <v>241838</v>
          </cell>
          <cell r="I165">
            <v>214511</v>
          </cell>
          <cell r="J165">
            <v>187673</v>
          </cell>
          <cell r="K165">
            <v>309526</v>
          </cell>
          <cell r="L165">
            <v>298916</v>
          </cell>
          <cell r="M165">
            <v>271589</v>
          </cell>
          <cell r="N165">
            <v>244751</v>
          </cell>
          <cell r="O165">
            <v>366604</v>
          </cell>
          <cell r="P165">
            <v>540754</v>
          </cell>
          <cell r="Q165">
            <v>486100</v>
          </cell>
          <cell r="R165">
            <v>432424</v>
          </cell>
          <cell r="S165">
            <v>676130</v>
          </cell>
        </row>
        <row r="166">
          <cell r="B166" t="str">
            <v>M102.1106</v>
          </cell>
          <cell r="C166" t="str">
            <v>3,5 t</v>
          </cell>
          <cell r="D166" t="str">
            <v>kWh</v>
          </cell>
          <cell r="E166">
            <v>23492</v>
          </cell>
          <cell r="F166" t="str">
            <v>1x3/7</v>
          </cell>
          <cell r="G166">
            <v>42500</v>
          </cell>
          <cell r="H166">
            <v>241838</v>
          </cell>
          <cell r="I166">
            <v>214511</v>
          </cell>
          <cell r="J166">
            <v>187673</v>
          </cell>
          <cell r="K166">
            <v>309526</v>
          </cell>
          <cell r="L166">
            <v>304465</v>
          </cell>
          <cell r="M166">
            <v>277138</v>
          </cell>
          <cell r="N166">
            <v>250300</v>
          </cell>
          <cell r="O166">
            <v>372153</v>
          </cell>
          <cell r="P166">
            <v>546303</v>
          </cell>
          <cell r="Q166">
            <v>491649</v>
          </cell>
          <cell r="R166">
            <v>437973</v>
          </cell>
          <cell r="S166">
            <v>681679</v>
          </cell>
        </row>
        <row r="167">
          <cell r="B167" t="str">
            <v>M102.1107</v>
          </cell>
          <cell r="C167" t="str">
            <v>5,0 t</v>
          </cell>
          <cell r="D167" t="str">
            <v>kWh</v>
          </cell>
          <cell r="E167">
            <v>27407</v>
          </cell>
          <cell r="F167" t="str">
            <v>1x3/7</v>
          </cell>
          <cell r="G167">
            <v>51700</v>
          </cell>
          <cell r="H167">
            <v>241838</v>
          </cell>
          <cell r="I167">
            <v>214511</v>
          </cell>
          <cell r="J167">
            <v>187673</v>
          </cell>
          <cell r="K167">
            <v>309526</v>
          </cell>
          <cell r="L167">
            <v>316852</v>
          </cell>
          <cell r="M167">
            <v>289525</v>
          </cell>
          <cell r="N167">
            <v>262687</v>
          </cell>
          <cell r="O167">
            <v>384540</v>
          </cell>
          <cell r="P167">
            <v>558690</v>
          </cell>
          <cell r="Q167">
            <v>504036</v>
          </cell>
          <cell r="R167">
            <v>450360</v>
          </cell>
          <cell r="S167">
            <v>694066</v>
          </cell>
        </row>
        <row r="168">
          <cell r="B168" t="str">
            <v>M102.1200</v>
          </cell>
          <cell r="C168" t="str">
            <v>Pa lăng xích - sức nâng:</v>
          </cell>
          <cell r="E168" t="str">
            <v>-</v>
          </cell>
          <cell r="P168">
            <v>0</v>
          </cell>
          <cell r="Q168">
            <v>0</v>
          </cell>
          <cell r="R168">
            <v>0</v>
          </cell>
          <cell r="S168">
            <v>0</v>
          </cell>
        </row>
        <row r="169">
          <cell r="B169" t="str">
            <v>M102.1201</v>
          </cell>
          <cell r="C169" t="str">
            <v>3 t</v>
          </cell>
          <cell r="E169" t="str">
            <v>-</v>
          </cell>
          <cell r="F169" t="str">
            <v>1x3/7</v>
          </cell>
          <cell r="G169">
            <v>7900</v>
          </cell>
          <cell r="H169">
            <v>241838</v>
          </cell>
          <cell r="I169">
            <v>214511</v>
          </cell>
          <cell r="J169">
            <v>187673</v>
          </cell>
          <cell r="K169">
            <v>309526</v>
          </cell>
          <cell r="L169">
            <v>249606</v>
          </cell>
          <cell r="M169">
            <v>222279</v>
          </cell>
          <cell r="N169">
            <v>195441</v>
          </cell>
          <cell r="O169">
            <v>317294</v>
          </cell>
          <cell r="P169">
            <v>491444</v>
          </cell>
          <cell r="Q169">
            <v>436790</v>
          </cell>
          <cell r="R169">
            <v>383114</v>
          </cell>
          <cell r="S169">
            <v>626820</v>
          </cell>
        </row>
        <row r="170">
          <cell r="B170" t="str">
            <v>M102.1202</v>
          </cell>
          <cell r="C170" t="str">
            <v>5 t</v>
          </cell>
          <cell r="E170" t="str">
            <v>-</v>
          </cell>
          <cell r="F170" t="str">
            <v>1x3/7</v>
          </cell>
          <cell r="G170">
            <v>10200</v>
          </cell>
          <cell r="H170">
            <v>241838</v>
          </cell>
          <cell r="I170">
            <v>214511</v>
          </cell>
          <cell r="J170">
            <v>187673</v>
          </cell>
          <cell r="K170">
            <v>309526</v>
          </cell>
          <cell r="L170">
            <v>251698</v>
          </cell>
          <cell r="M170">
            <v>224371</v>
          </cell>
          <cell r="N170">
            <v>197533</v>
          </cell>
          <cell r="O170">
            <v>319386</v>
          </cell>
          <cell r="P170">
            <v>493536</v>
          </cell>
          <cell r="Q170">
            <v>438882</v>
          </cell>
          <cell r="R170">
            <v>385206</v>
          </cell>
          <cell r="S170">
            <v>628912</v>
          </cell>
        </row>
        <row r="171">
          <cell r="B171" t="str">
            <v>M102.1300</v>
          </cell>
          <cell r="C171" t="str">
            <v>Kích nâng - sức nâng:</v>
          </cell>
          <cell r="E171" t="str">
            <v>-</v>
          </cell>
          <cell r="P171">
            <v>0</v>
          </cell>
          <cell r="Q171">
            <v>0</v>
          </cell>
          <cell r="R171">
            <v>0</v>
          </cell>
          <cell r="S171">
            <v>0</v>
          </cell>
        </row>
        <row r="172">
          <cell r="B172" t="str">
            <v>M102.1301</v>
          </cell>
          <cell r="C172" t="str">
            <v>5 t</v>
          </cell>
          <cell r="E172" t="str">
            <v>-</v>
          </cell>
          <cell r="F172" t="str">
            <v>1x4/7</v>
          </cell>
          <cell r="G172">
            <v>2700</v>
          </cell>
          <cell r="H172">
            <v>287074</v>
          </cell>
          <cell r="I172">
            <v>254635</v>
          </cell>
          <cell r="J172">
            <v>222777</v>
          </cell>
          <cell r="K172">
            <v>367424</v>
          </cell>
          <cell r="L172">
            <v>289945</v>
          </cell>
          <cell r="M172">
            <v>257506</v>
          </cell>
          <cell r="N172">
            <v>225648</v>
          </cell>
          <cell r="O172">
            <v>370295</v>
          </cell>
          <cell r="P172">
            <v>577019</v>
          </cell>
          <cell r="Q172">
            <v>512141</v>
          </cell>
          <cell r="R172">
            <v>448425</v>
          </cell>
          <cell r="S172">
            <v>737719</v>
          </cell>
        </row>
        <row r="173">
          <cell r="B173" t="str">
            <v>M102.1302</v>
          </cell>
          <cell r="C173" t="str">
            <v>10 t</v>
          </cell>
          <cell r="E173" t="str">
            <v>-</v>
          </cell>
          <cell r="F173" t="str">
            <v>1x4/7</v>
          </cell>
          <cell r="G173">
            <v>4600</v>
          </cell>
          <cell r="H173">
            <v>287074</v>
          </cell>
          <cell r="I173">
            <v>254635</v>
          </cell>
          <cell r="J173">
            <v>222777</v>
          </cell>
          <cell r="K173">
            <v>367424</v>
          </cell>
          <cell r="L173">
            <v>291965</v>
          </cell>
          <cell r="M173">
            <v>259526</v>
          </cell>
          <cell r="N173">
            <v>227668</v>
          </cell>
          <cell r="O173">
            <v>372315</v>
          </cell>
          <cell r="P173">
            <v>579039</v>
          </cell>
          <cell r="Q173">
            <v>514161</v>
          </cell>
          <cell r="R173">
            <v>450445</v>
          </cell>
          <cell r="S173">
            <v>739739</v>
          </cell>
        </row>
        <row r="174">
          <cell r="B174" t="str">
            <v>M102.1303</v>
          </cell>
          <cell r="C174" t="str">
            <v>30 t</v>
          </cell>
          <cell r="E174" t="str">
            <v>-</v>
          </cell>
          <cell r="F174" t="str">
            <v>1x4/7</v>
          </cell>
          <cell r="G174">
            <v>5800</v>
          </cell>
          <cell r="H174">
            <v>287074</v>
          </cell>
          <cell r="I174">
            <v>254635</v>
          </cell>
          <cell r="J174">
            <v>222777</v>
          </cell>
          <cell r="K174">
            <v>367424</v>
          </cell>
          <cell r="L174">
            <v>29324</v>
          </cell>
          <cell r="M174">
            <v>260801</v>
          </cell>
          <cell r="N174">
            <v>228943</v>
          </cell>
          <cell r="O174">
            <v>37359</v>
          </cell>
          <cell r="P174">
            <v>316398</v>
          </cell>
          <cell r="Q174">
            <v>515436</v>
          </cell>
          <cell r="R174">
            <v>451720</v>
          </cell>
          <cell r="S174">
            <v>404783</v>
          </cell>
        </row>
        <row r="175">
          <cell r="B175" t="str">
            <v>M102.1304</v>
          </cell>
          <cell r="C175" t="str">
            <v>50 t</v>
          </cell>
          <cell r="E175" t="str">
            <v>-</v>
          </cell>
          <cell r="F175" t="str">
            <v>1x4/7</v>
          </cell>
          <cell r="G175">
            <v>9800</v>
          </cell>
          <cell r="H175">
            <v>287074</v>
          </cell>
          <cell r="I175">
            <v>254635</v>
          </cell>
          <cell r="J175">
            <v>222777</v>
          </cell>
          <cell r="K175">
            <v>367424</v>
          </cell>
          <cell r="L175">
            <v>297493</v>
          </cell>
          <cell r="M175">
            <v>265054</v>
          </cell>
          <cell r="N175">
            <v>233196</v>
          </cell>
          <cell r="O175">
            <v>377843</v>
          </cell>
          <cell r="P175">
            <v>584567</v>
          </cell>
          <cell r="Q175">
            <v>519689</v>
          </cell>
          <cell r="R175">
            <v>455973</v>
          </cell>
          <cell r="S175">
            <v>745267</v>
          </cell>
        </row>
        <row r="176">
          <cell r="B176" t="str">
            <v>M102.1305</v>
          </cell>
          <cell r="C176" t="str">
            <v>100 t</v>
          </cell>
          <cell r="E176" t="str">
            <v>-</v>
          </cell>
          <cell r="F176" t="str">
            <v>1x4/7</v>
          </cell>
          <cell r="G176">
            <v>1900</v>
          </cell>
          <cell r="H176">
            <v>287074</v>
          </cell>
          <cell r="I176">
            <v>254635</v>
          </cell>
          <cell r="J176">
            <v>222777</v>
          </cell>
          <cell r="K176">
            <v>367424</v>
          </cell>
          <cell r="L176">
            <v>307274</v>
          </cell>
          <cell r="M176">
            <v>274835</v>
          </cell>
          <cell r="N176">
            <v>242977</v>
          </cell>
          <cell r="O176">
            <v>387624</v>
          </cell>
          <cell r="P176">
            <v>594348</v>
          </cell>
          <cell r="Q176">
            <v>529470</v>
          </cell>
          <cell r="R176">
            <v>465754</v>
          </cell>
          <cell r="S176">
            <v>755048</v>
          </cell>
        </row>
        <row r="177">
          <cell r="B177" t="str">
            <v>M102.1306</v>
          </cell>
          <cell r="C177" t="str">
            <v>200 t</v>
          </cell>
          <cell r="E177" t="str">
            <v>-</v>
          </cell>
          <cell r="F177" t="str">
            <v>1x4/7</v>
          </cell>
          <cell r="G177">
            <v>27400</v>
          </cell>
          <cell r="H177">
            <v>287074</v>
          </cell>
          <cell r="I177">
            <v>254635</v>
          </cell>
          <cell r="J177">
            <v>222777</v>
          </cell>
          <cell r="K177">
            <v>367424</v>
          </cell>
          <cell r="L177">
            <v>316205</v>
          </cell>
          <cell r="M177">
            <v>283766</v>
          </cell>
          <cell r="N177">
            <v>251908</v>
          </cell>
          <cell r="O177">
            <v>396555</v>
          </cell>
          <cell r="P177">
            <v>603279</v>
          </cell>
          <cell r="Q177">
            <v>538401</v>
          </cell>
          <cell r="R177">
            <v>474685</v>
          </cell>
          <cell r="S177">
            <v>763979</v>
          </cell>
        </row>
        <row r="178">
          <cell r="B178" t="str">
            <v>M102.1307</v>
          </cell>
          <cell r="C178" t="str">
            <v>250 t</v>
          </cell>
          <cell r="E178" t="str">
            <v>-</v>
          </cell>
          <cell r="F178" t="str">
            <v>1x4/7</v>
          </cell>
          <cell r="G178">
            <v>4400</v>
          </cell>
          <cell r="H178">
            <v>287074</v>
          </cell>
          <cell r="I178">
            <v>254635</v>
          </cell>
          <cell r="J178">
            <v>222777</v>
          </cell>
          <cell r="K178">
            <v>367424</v>
          </cell>
          <cell r="L178">
            <v>330842</v>
          </cell>
          <cell r="M178">
            <v>298403</v>
          </cell>
          <cell r="N178">
            <v>266545</v>
          </cell>
          <cell r="O178">
            <v>411192</v>
          </cell>
          <cell r="P178">
            <v>617916</v>
          </cell>
          <cell r="Q178">
            <v>553038</v>
          </cell>
          <cell r="R178">
            <v>489322</v>
          </cell>
          <cell r="S178">
            <v>778616</v>
          </cell>
        </row>
        <row r="179">
          <cell r="B179" t="str">
            <v>M102.1308</v>
          </cell>
          <cell r="C179" t="str">
            <v>500 t</v>
          </cell>
          <cell r="E179" t="str">
            <v>-</v>
          </cell>
          <cell r="F179" t="str">
            <v>1x4/7</v>
          </cell>
          <cell r="G179">
            <v>95500</v>
          </cell>
          <cell r="H179">
            <v>287074</v>
          </cell>
          <cell r="I179">
            <v>254635</v>
          </cell>
          <cell r="J179">
            <v>222777</v>
          </cell>
          <cell r="K179">
            <v>367424</v>
          </cell>
          <cell r="L179">
            <v>382071</v>
          </cell>
          <cell r="M179">
            <v>349632</v>
          </cell>
          <cell r="N179">
            <v>317774</v>
          </cell>
          <cell r="O179">
            <v>462421</v>
          </cell>
          <cell r="P179">
            <v>669145</v>
          </cell>
          <cell r="Q179">
            <v>604267</v>
          </cell>
          <cell r="R179">
            <v>540551</v>
          </cell>
          <cell r="S179">
            <v>829845</v>
          </cell>
        </row>
        <row r="180">
          <cell r="B180" t="str">
            <v>M102.1309</v>
          </cell>
          <cell r="C180" t="str">
            <v>Hệ kích nâng 25 t (máy bơm dầu thủy lực 3 kW)</v>
          </cell>
          <cell r="D180" t="str">
            <v>kWh</v>
          </cell>
          <cell r="E180">
            <v>11746</v>
          </cell>
          <cell r="F180" t="str">
            <v>1x4/7</v>
          </cell>
          <cell r="G180">
            <v>118182</v>
          </cell>
          <cell r="H180">
            <v>287074</v>
          </cell>
          <cell r="I180">
            <v>254635</v>
          </cell>
          <cell r="J180">
            <v>222777</v>
          </cell>
          <cell r="K180">
            <v>367424</v>
          </cell>
          <cell r="L180">
            <v>415136</v>
          </cell>
          <cell r="M180">
            <v>382697</v>
          </cell>
          <cell r="N180">
            <v>350839</v>
          </cell>
          <cell r="O180">
            <v>495486</v>
          </cell>
          <cell r="P180">
            <v>702210</v>
          </cell>
          <cell r="Q180">
            <v>637332</v>
          </cell>
          <cell r="R180">
            <v>573616</v>
          </cell>
          <cell r="S180">
            <v>862910</v>
          </cell>
        </row>
        <row r="181">
          <cell r="B181" t="str">
            <v>M102.1400</v>
          </cell>
          <cell r="C181" t="str">
            <v>Kích thông tâm</v>
          </cell>
          <cell r="E181" t="str">
            <v>-</v>
          </cell>
          <cell r="P181">
            <v>0</v>
          </cell>
          <cell r="Q181">
            <v>0</v>
          </cell>
          <cell r="R181">
            <v>0</v>
          </cell>
          <cell r="S181">
            <v>0</v>
          </cell>
        </row>
        <row r="182">
          <cell r="B182" t="str">
            <v>M102.1401</v>
          </cell>
          <cell r="C182" t="str">
            <v>RRH - 100 t</v>
          </cell>
          <cell r="E182" t="str">
            <v>-</v>
          </cell>
          <cell r="F182" t="str">
            <v>1x4/7</v>
          </cell>
          <cell r="G182">
            <v>84383</v>
          </cell>
          <cell r="H182">
            <v>287074</v>
          </cell>
          <cell r="I182">
            <v>254635</v>
          </cell>
          <cell r="J182">
            <v>222777</v>
          </cell>
          <cell r="K182">
            <v>367424</v>
          </cell>
          <cell r="L182">
            <v>371013</v>
          </cell>
          <cell r="M182">
            <v>338574</v>
          </cell>
          <cell r="N182">
            <v>306716</v>
          </cell>
          <cell r="O182">
            <v>451363</v>
          </cell>
          <cell r="P182">
            <v>658087</v>
          </cell>
          <cell r="Q182">
            <v>593209</v>
          </cell>
          <cell r="R182">
            <v>529493</v>
          </cell>
          <cell r="S182">
            <v>818787</v>
          </cell>
        </row>
        <row r="183">
          <cell r="B183" t="str">
            <v>M102.1402</v>
          </cell>
          <cell r="C183" t="str">
            <v>YCW - 150 t</v>
          </cell>
          <cell r="E183" t="str">
            <v>-</v>
          </cell>
          <cell r="F183" t="str">
            <v>1x4/7</v>
          </cell>
          <cell r="G183">
            <v>11694</v>
          </cell>
          <cell r="H183">
            <v>287074</v>
          </cell>
          <cell r="I183">
            <v>254635</v>
          </cell>
          <cell r="J183">
            <v>222777</v>
          </cell>
          <cell r="K183">
            <v>367424</v>
          </cell>
          <cell r="L183">
            <v>299507</v>
          </cell>
          <cell r="M183">
            <v>267068</v>
          </cell>
          <cell r="N183">
            <v>23521</v>
          </cell>
          <cell r="O183">
            <v>379857</v>
          </cell>
          <cell r="P183">
            <v>586581</v>
          </cell>
          <cell r="Q183">
            <v>521703</v>
          </cell>
          <cell r="R183">
            <v>246298</v>
          </cell>
          <cell r="S183">
            <v>747281</v>
          </cell>
        </row>
        <row r="184">
          <cell r="B184" t="str">
            <v>M102.1403</v>
          </cell>
          <cell r="C184" t="str">
            <v>YCW - 250 t</v>
          </cell>
          <cell r="E184" t="str">
            <v>-</v>
          </cell>
          <cell r="F184" t="str">
            <v>1x4/7</v>
          </cell>
          <cell r="G184">
            <v>18000</v>
          </cell>
          <cell r="H184">
            <v>287074</v>
          </cell>
          <cell r="I184">
            <v>254635</v>
          </cell>
          <cell r="J184">
            <v>222777</v>
          </cell>
          <cell r="K184">
            <v>367424</v>
          </cell>
          <cell r="L184">
            <v>306211</v>
          </cell>
          <cell r="M184">
            <v>273772</v>
          </cell>
          <cell r="N184">
            <v>241914</v>
          </cell>
          <cell r="O184">
            <v>386561</v>
          </cell>
          <cell r="P184">
            <v>593285</v>
          </cell>
          <cell r="Q184">
            <v>528407</v>
          </cell>
          <cell r="R184">
            <v>464691</v>
          </cell>
          <cell r="S184">
            <v>753985</v>
          </cell>
        </row>
        <row r="185">
          <cell r="B185" t="str">
            <v>M102.1404</v>
          </cell>
          <cell r="C185" t="str">
            <v>YCW - 500 t</v>
          </cell>
          <cell r="E185" t="str">
            <v>-</v>
          </cell>
          <cell r="F185" t="str">
            <v>1x4/7</v>
          </cell>
          <cell r="G185">
            <v>55491</v>
          </cell>
          <cell r="H185">
            <v>287074</v>
          </cell>
          <cell r="I185">
            <v>254635</v>
          </cell>
          <cell r="J185">
            <v>222777</v>
          </cell>
          <cell r="K185">
            <v>367424</v>
          </cell>
          <cell r="L185">
            <v>342273</v>
          </cell>
          <cell r="M185">
            <v>309834</v>
          </cell>
          <cell r="N185">
            <v>277976</v>
          </cell>
          <cell r="O185">
            <v>422623</v>
          </cell>
          <cell r="P185">
            <v>629347</v>
          </cell>
          <cell r="Q185">
            <v>564469</v>
          </cell>
          <cell r="R185">
            <v>500753</v>
          </cell>
          <cell r="S185">
            <v>790047</v>
          </cell>
        </row>
        <row r="186">
          <cell r="B186" t="str">
            <v>M102.1501</v>
          </cell>
          <cell r="C186" t="str">
            <v>Kích đẩy liên tục tự động ZLD- 60 (60t, 6c)</v>
          </cell>
          <cell r="D186" t="str">
            <v>kWh</v>
          </cell>
          <cell r="E186">
            <v>56772</v>
          </cell>
          <cell r="F186" t="str">
            <v>1x4/7+1x5/7</v>
          </cell>
          <cell r="G186">
            <v>242715</v>
          </cell>
          <cell r="H186">
            <v>624603</v>
          </cell>
          <cell r="I186">
            <v>554024</v>
          </cell>
          <cell r="J186">
            <v>484709</v>
          </cell>
          <cell r="K186">
            <v>799425</v>
          </cell>
          <cell r="L186">
            <v>93942</v>
          </cell>
          <cell r="M186">
            <v>868841</v>
          </cell>
          <cell r="N186">
            <v>799526</v>
          </cell>
          <cell r="O186">
            <v>1114242</v>
          </cell>
          <cell r="P186">
            <v>718545</v>
          </cell>
          <cell r="Q186">
            <v>1422865</v>
          </cell>
          <cell r="R186">
            <v>1284235</v>
          </cell>
          <cell r="S186">
            <v>1913667</v>
          </cell>
        </row>
        <row r="187">
          <cell r="B187" t="str">
            <v>M102.1601</v>
          </cell>
          <cell r="C187" t="str">
            <v>Kích sợi đơn YDC - 500 t</v>
          </cell>
          <cell r="E187" t="str">
            <v>-</v>
          </cell>
          <cell r="F187" t="str">
            <v>1x4/7</v>
          </cell>
          <cell r="G187">
            <v>20179</v>
          </cell>
          <cell r="H187">
            <v>287074</v>
          </cell>
          <cell r="I187">
            <v>254635</v>
          </cell>
          <cell r="J187">
            <v>222777</v>
          </cell>
          <cell r="K187">
            <v>367424</v>
          </cell>
          <cell r="L187">
            <v>308527</v>
          </cell>
          <cell r="M187">
            <v>276088</v>
          </cell>
          <cell r="N187">
            <v>24423</v>
          </cell>
          <cell r="O187">
            <v>388877</v>
          </cell>
          <cell r="P187">
            <v>595601</v>
          </cell>
          <cell r="Q187">
            <v>530723</v>
          </cell>
          <cell r="R187">
            <v>247200</v>
          </cell>
          <cell r="S187">
            <v>756301</v>
          </cell>
        </row>
        <row r="188">
          <cell r="B188" t="str">
            <v>M102.1700</v>
          </cell>
          <cell r="C188" t="str">
            <v>Trạm bơm dầu áp lực- công</v>
          </cell>
          <cell r="E188" t="str">
            <v>-</v>
          </cell>
          <cell r="P188">
            <v>0</v>
          </cell>
          <cell r="Q188">
            <v>0</v>
          </cell>
          <cell r="R188">
            <v>0</v>
          </cell>
          <cell r="S188">
            <v>0</v>
          </cell>
        </row>
        <row r="189">
          <cell r="B189" t="str">
            <v>M102.1701</v>
          </cell>
          <cell r="C189" t="str">
            <v>40 MPa (HCP-400)</v>
          </cell>
          <cell r="D189" t="str">
            <v>kWh</v>
          </cell>
          <cell r="E189">
            <v>27407</v>
          </cell>
          <cell r="F189" t="str">
            <v>1x4/7</v>
          </cell>
          <cell r="G189">
            <v>24077</v>
          </cell>
          <cell r="H189">
            <v>287074</v>
          </cell>
          <cell r="I189">
            <v>254635</v>
          </cell>
          <cell r="J189">
            <v>222777</v>
          </cell>
          <cell r="K189">
            <v>367424</v>
          </cell>
          <cell r="L189">
            <v>34933</v>
          </cell>
          <cell r="M189">
            <v>316891</v>
          </cell>
          <cell r="N189">
            <v>285033</v>
          </cell>
          <cell r="O189">
            <v>42968</v>
          </cell>
          <cell r="P189">
            <v>322007</v>
          </cell>
          <cell r="Q189">
            <v>571526</v>
          </cell>
          <cell r="R189">
            <v>507810</v>
          </cell>
          <cell r="S189">
            <v>410392</v>
          </cell>
        </row>
        <row r="190">
          <cell r="B190" t="str">
            <v>M102.1702</v>
          </cell>
          <cell r="C190" t="str">
            <v>50 MPa (ZB4 - 500)</v>
          </cell>
          <cell r="D190" t="str">
            <v>kWh</v>
          </cell>
          <cell r="E190">
            <v>39153</v>
          </cell>
          <cell r="F190" t="str">
            <v>1x4/7</v>
          </cell>
          <cell r="G190">
            <v>30497</v>
          </cell>
          <cell r="H190">
            <v>287074</v>
          </cell>
          <cell r="I190">
            <v>254635</v>
          </cell>
          <cell r="J190">
            <v>222777</v>
          </cell>
          <cell r="K190">
            <v>367424</v>
          </cell>
          <cell r="L190">
            <v>367799</v>
          </cell>
          <cell r="M190">
            <v>33536</v>
          </cell>
          <cell r="N190">
            <v>303502</v>
          </cell>
          <cell r="O190">
            <v>448149</v>
          </cell>
          <cell r="P190">
            <v>654873</v>
          </cell>
          <cell r="Q190">
            <v>288171</v>
          </cell>
          <cell r="R190">
            <v>526279</v>
          </cell>
          <cell r="S190">
            <v>815573</v>
          </cell>
        </row>
        <row r="191">
          <cell r="B191" t="str">
            <v>M102.1800</v>
          </cell>
          <cell r="C191" t="str">
            <v>Xe nâng - chiều cao nâng:</v>
          </cell>
          <cell r="E191" t="str">
            <v>-</v>
          </cell>
          <cell r="P191">
            <v>0</v>
          </cell>
          <cell r="Q191">
            <v>0</v>
          </cell>
          <cell r="R191">
            <v>0</v>
          </cell>
          <cell r="S191">
            <v>0</v>
          </cell>
        </row>
        <row r="192">
          <cell r="B192" t="str">
            <v>M102.1801</v>
          </cell>
          <cell r="C192" t="str">
            <v>9 m</v>
          </cell>
          <cell r="D192" t="str">
            <v>lít diezel</v>
          </cell>
          <cell r="E192">
            <v>330012</v>
          </cell>
          <cell r="F192" t="str">
            <v>1x1/4+1x3/4 lái xe</v>
          </cell>
          <cell r="G192">
            <v>5116</v>
          </cell>
          <cell r="H192">
            <v>537877</v>
          </cell>
          <cell r="I192">
            <v>477098</v>
          </cell>
          <cell r="J192">
            <v>417407</v>
          </cell>
          <cell r="K192">
            <v>688424</v>
          </cell>
          <cell r="L192">
            <v>1246108</v>
          </cell>
          <cell r="M192">
            <v>1185329</v>
          </cell>
          <cell r="N192">
            <v>1125638</v>
          </cell>
          <cell r="O192">
            <v>1396655</v>
          </cell>
          <cell r="P192">
            <v>1783985</v>
          </cell>
          <cell r="Q192">
            <v>1662427</v>
          </cell>
          <cell r="R192">
            <v>1543045</v>
          </cell>
          <cell r="S192">
            <v>2085079</v>
          </cell>
        </row>
        <row r="193">
          <cell r="B193" t="str">
            <v>M102.1802</v>
          </cell>
          <cell r="C193" t="str">
            <v>12 m</v>
          </cell>
          <cell r="D193" t="str">
            <v>lít diezel</v>
          </cell>
          <cell r="E193">
            <v>375014</v>
          </cell>
          <cell r="F193" t="str">
            <v>1x1/4+1x3/4 lái xe</v>
          </cell>
          <cell r="G193">
            <v>731758</v>
          </cell>
          <cell r="H193">
            <v>537877</v>
          </cell>
          <cell r="I193">
            <v>477098</v>
          </cell>
          <cell r="J193">
            <v>417407</v>
          </cell>
          <cell r="K193">
            <v>688424</v>
          </cell>
          <cell r="L193">
            <v>1453869</v>
          </cell>
          <cell r="M193">
            <v>1393090</v>
          </cell>
          <cell r="N193">
            <v>1333399</v>
          </cell>
          <cell r="O193">
            <v>1604416</v>
          </cell>
          <cell r="P193">
            <v>1991746</v>
          </cell>
          <cell r="Q193">
            <v>1870188</v>
          </cell>
          <cell r="R193">
            <v>1750806</v>
          </cell>
          <cell r="S193">
            <v>2292840</v>
          </cell>
        </row>
        <row r="194">
          <cell r="B194" t="str">
            <v>M102.1803</v>
          </cell>
          <cell r="C194" t="str">
            <v>18 m</v>
          </cell>
          <cell r="D194" t="str">
            <v>lít diezel</v>
          </cell>
          <cell r="E194">
            <v>435016</v>
          </cell>
          <cell r="F194" t="str">
            <v>1x1/4+1x3/4 lái xe</v>
          </cell>
          <cell r="G194">
            <v>994767</v>
          </cell>
          <cell r="H194">
            <v>537877</v>
          </cell>
          <cell r="I194">
            <v>477098</v>
          </cell>
          <cell r="J194">
            <v>417407</v>
          </cell>
          <cell r="K194">
            <v>688424</v>
          </cell>
          <cell r="L194">
            <v>1701204</v>
          </cell>
          <cell r="M194">
            <v>1640425</v>
          </cell>
          <cell r="N194">
            <v>1580734</v>
          </cell>
          <cell r="O194">
            <v>1851751</v>
          </cell>
          <cell r="P194">
            <v>2239081</v>
          </cell>
          <cell r="Q194">
            <v>2117523</v>
          </cell>
          <cell r="R194">
            <v>1998141</v>
          </cell>
          <cell r="S194">
            <v>2540175</v>
          </cell>
        </row>
        <row r="195">
          <cell r="B195" t="str">
            <v>M102.1804</v>
          </cell>
          <cell r="C195" t="str">
            <v>24 m</v>
          </cell>
          <cell r="D195" t="str">
            <v>lít diezel</v>
          </cell>
          <cell r="E195">
            <v>495018</v>
          </cell>
          <cell r="F195" t="str">
            <v>1x1/4+1x3/4 lái xe</v>
          </cell>
          <cell r="G195">
            <v>1254565</v>
          </cell>
          <cell r="H195">
            <v>537877</v>
          </cell>
          <cell r="I195">
            <v>477098</v>
          </cell>
          <cell r="J195">
            <v>417407</v>
          </cell>
          <cell r="K195">
            <v>688424</v>
          </cell>
          <cell r="L195">
            <v>1951416</v>
          </cell>
          <cell r="M195">
            <v>1890637</v>
          </cell>
          <cell r="N195">
            <v>1830946</v>
          </cell>
          <cell r="O195">
            <v>2101963</v>
          </cell>
          <cell r="P195">
            <v>2489293</v>
          </cell>
          <cell r="Q195">
            <v>2367735</v>
          </cell>
          <cell r="R195">
            <v>2248353</v>
          </cell>
          <cell r="S195">
            <v>2790387</v>
          </cell>
        </row>
        <row r="196">
          <cell r="B196" t="str">
            <v>M102.1805</v>
          </cell>
          <cell r="C196" t="str">
            <v>Xe nâng hàng - sức nâng 2t</v>
          </cell>
          <cell r="D196" t="str">
            <v>lít diezel</v>
          </cell>
          <cell r="E196">
            <v>135005</v>
          </cell>
          <cell r="F196" t="str">
            <v>1x4/7</v>
          </cell>
          <cell r="G196">
            <v>1802</v>
          </cell>
          <cell r="H196">
            <v>287074</v>
          </cell>
          <cell r="I196">
            <v>254635</v>
          </cell>
          <cell r="J196">
            <v>222777</v>
          </cell>
          <cell r="K196">
            <v>367424</v>
          </cell>
          <cell r="L196">
            <v>59402</v>
          </cell>
          <cell r="M196">
            <v>561581</v>
          </cell>
          <cell r="N196">
            <v>529723</v>
          </cell>
          <cell r="O196">
            <v>67437</v>
          </cell>
          <cell r="P196">
            <v>346476</v>
          </cell>
          <cell r="Q196">
            <v>816216</v>
          </cell>
          <cell r="R196">
            <v>752500</v>
          </cell>
          <cell r="S196">
            <v>434861</v>
          </cell>
        </row>
        <row r="197">
          <cell r="B197" t="str">
            <v>M102.1900</v>
          </cell>
          <cell r="C197" t="str">
            <v>Xe thang - chiều dài thang:</v>
          </cell>
          <cell r="E197" t="str">
            <v>-</v>
          </cell>
          <cell r="P197">
            <v>0</v>
          </cell>
          <cell r="Q197">
            <v>0</v>
          </cell>
          <cell r="R197">
            <v>0</v>
          </cell>
          <cell r="S197">
            <v>0</v>
          </cell>
        </row>
        <row r="198">
          <cell r="B198" t="str">
            <v>M102.1901</v>
          </cell>
          <cell r="C198" t="str">
            <v>9 m</v>
          </cell>
          <cell r="D198" t="str">
            <v>lít diezel</v>
          </cell>
          <cell r="E198">
            <v>375014</v>
          </cell>
          <cell r="F198" t="str">
            <v>1x1/4+1x3/4 lái xe</v>
          </cell>
          <cell r="G198">
            <v>1008639</v>
          </cell>
          <cell r="H198">
            <v>537877</v>
          </cell>
          <cell r="I198">
            <v>477098</v>
          </cell>
          <cell r="J198">
            <v>417407</v>
          </cell>
          <cell r="K198">
            <v>688424</v>
          </cell>
          <cell r="L198">
            <v>1719802</v>
          </cell>
          <cell r="M198">
            <v>1659023</v>
          </cell>
          <cell r="N198">
            <v>1599332</v>
          </cell>
          <cell r="O198">
            <v>1870349</v>
          </cell>
          <cell r="P198">
            <v>2257679</v>
          </cell>
          <cell r="Q198">
            <v>2136121</v>
          </cell>
          <cell r="R198">
            <v>2016739</v>
          </cell>
          <cell r="S198">
            <v>2558773</v>
          </cell>
        </row>
        <row r="199">
          <cell r="B199" t="str">
            <v>M102.1902</v>
          </cell>
          <cell r="C199" t="str">
            <v>12 m</v>
          </cell>
          <cell r="D199" t="str">
            <v>lít diezel</v>
          </cell>
          <cell r="E199">
            <v>435016</v>
          </cell>
          <cell r="F199" t="str">
            <v>1x1/4+1x3/4 lái xe</v>
          </cell>
          <cell r="G199">
            <v>1371165</v>
          </cell>
          <cell r="H199">
            <v>537877</v>
          </cell>
          <cell r="I199">
            <v>477098</v>
          </cell>
          <cell r="J199">
            <v>417407</v>
          </cell>
          <cell r="K199">
            <v>688424</v>
          </cell>
          <cell r="L199">
            <v>2060031</v>
          </cell>
          <cell r="M199">
            <v>1999252</v>
          </cell>
          <cell r="N199">
            <v>1939561</v>
          </cell>
          <cell r="O199">
            <v>2210578</v>
          </cell>
          <cell r="P199">
            <v>2597908</v>
          </cell>
          <cell r="Q199">
            <v>2476350</v>
          </cell>
          <cell r="R199">
            <v>2356968</v>
          </cell>
          <cell r="S199">
            <v>2899002</v>
          </cell>
        </row>
        <row r="200">
          <cell r="B200" t="str">
            <v>M102.1903</v>
          </cell>
          <cell r="C200" t="str">
            <v>18 m</v>
          </cell>
          <cell r="D200" t="str">
            <v>lít diezel</v>
          </cell>
          <cell r="E200">
            <v>495018</v>
          </cell>
          <cell r="F200" t="str">
            <v>1x1/4+1x3/4 lái xe</v>
          </cell>
          <cell r="G200">
            <v>1662779</v>
          </cell>
          <cell r="H200">
            <v>537877</v>
          </cell>
          <cell r="I200">
            <v>477098</v>
          </cell>
          <cell r="J200">
            <v>417407</v>
          </cell>
          <cell r="K200">
            <v>688424</v>
          </cell>
          <cell r="L200">
            <v>2351241</v>
          </cell>
          <cell r="M200">
            <v>2290462</v>
          </cell>
          <cell r="N200">
            <v>2230771</v>
          </cell>
          <cell r="O200">
            <v>2501788</v>
          </cell>
          <cell r="P200">
            <v>2889118</v>
          </cell>
          <cell r="Q200">
            <v>2767560</v>
          </cell>
          <cell r="R200">
            <v>2648178</v>
          </cell>
          <cell r="S200">
            <v>3190212</v>
          </cell>
        </row>
        <row r="201">
          <cell r="B201" t="str">
            <v>M103.0000</v>
          </cell>
          <cell r="C201" t="str">
            <v>MÁY VÀ THIẾT BỊ GIA CỐ NỀN MÓNG</v>
          </cell>
          <cell r="E201" t="str">
            <v>-</v>
          </cell>
          <cell r="P201">
            <v>0</v>
          </cell>
          <cell r="Q201">
            <v>0</v>
          </cell>
          <cell r="R201">
            <v>0</v>
          </cell>
          <cell r="S201">
            <v>0</v>
          </cell>
        </row>
        <row r="202">
          <cell r="B202" t="str">
            <v>M103.0100</v>
          </cell>
          <cell r="C202" t="str">
            <v>Máy đóng cọc tự hành, bánh xích - trọng lượng đầu búa:</v>
          </cell>
          <cell r="E202" t="str">
            <v>-</v>
          </cell>
          <cell r="P202">
            <v>0</v>
          </cell>
          <cell r="Q202">
            <v>0</v>
          </cell>
          <cell r="R202">
            <v>0</v>
          </cell>
          <cell r="S202">
            <v>0</v>
          </cell>
        </row>
        <row r="203">
          <cell r="B203" t="str">
            <v>M103.0101</v>
          </cell>
          <cell r="C203" t="str">
            <v>1,2 t</v>
          </cell>
          <cell r="D203" t="str">
            <v>lít diezel</v>
          </cell>
          <cell r="E203">
            <v>840031</v>
          </cell>
          <cell r="F203" t="str">
            <v>1x5/7</v>
          </cell>
          <cell r="G203">
            <v>1125927</v>
          </cell>
          <cell r="H203">
            <v>337529</v>
          </cell>
          <cell r="I203">
            <v>299389</v>
          </cell>
          <cell r="J203">
            <v>261932</v>
          </cell>
          <cell r="K203">
            <v>432001</v>
          </cell>
          <cell r="L203">
            <v>2130267</v>
          </cell>
          <cell r="M203">
            <v>2092127</v>
          </cell>
          <cell r="N203">
            <v>2054670</v>
          </cell>
          <cell r="O203">
            <v>2224739</v>
          </cell>
          <cell r="P203">
            <v>2467796</v>
          </cell>
          <cell r="Q203">
            <v>2391516</v>
          </cell>
          <cell r="R203">
            <v>2316602</v>
          </cell>
          <cell r="S203">
            <v>2656740</v>
          </cell>
        </row>
        <row r="204">
          <cell r="B204" t="str">
            <v>M103.0102</v>
          </cell>
          <cell r="C204" t="str">
            <v>1,8 t</v>
          </cell>
          <cell r="D204" t="str">
            <v>lít diezel</v>
          </cell>
          <cell r="E204">
            <v>885032</v>
          </cell>
          <cell r="F204" t="str">
            <v>1x5/7</v>
          </cell>
          <cell r="G204">
            <v>1233813</v>
          </cell>
          <cell r="H204">
            <v>337529</v>
          </cell>
          <cell r="I204">
            <v>299389</v>
          </cell>
          <cell r="J204">
            <v>261932</v>
          </cell>
          <cell r="K204">
            <v>432001</v>
          </cell>
          <cell r="L204">
            <v>2266557</v>
          </cell>
          <cell r="M204">
            <v>2228417</v>
          </cell>
          <cell r="N204">
            <v>2190960</v>
          </cell>
          <cell r="O204">
            <v>2361029</v>
          </cell>
          <cell r="P204">
            <v>2604086</v>
          </cell>
          <cell r="Q204">
            <v>2527806</v>
          </cell>
          <cell r="R204">
            <v>2452892</v>
          </cell>
          <cell r="S204">
            <v>2793030</v>
          </cell>
        </row>
        <row r="205">
          <cell r="B205" t="str">
            <v>M103.0103</v>
          </cell>
          <cell r="C205" t="str">
            <v>3,5 t</v>
          </cell>
          <cell r="D205" t="str">
            <v>lít diezel</v>
          </cell>
          <cell r="E205">
            <v>930034</v>
          </cell>
          <cell r="F205" t="str">
            <v>1x5/7</v>
          </cell>
          <cell r="G205">
            <v>2354696</v>
          </cell>
          <cell r="H205">
            <v>337529</v>
          </cell>
          <cell r="I205">
            <v>299389</v>
          </cell>
          <cell r="J205">
            <v>261932</v>
          </cell>
          <cell r="K205">
            <v>432001</v>
          </cell>
          <cell r="L205">
            <v>3133207</v>
          </cell>
          <cell r="M205">
            <v>3095067</v>
          </cell>
          <cell r="N205">
            <v>3057610</v>
          </cell>
          <cell r="O205">
            <v>3227679</v>
          </cell>
          <cell r="P205">
            <v>3470736</v>
          </cell>
          <cell r="Q205">
            <v>3394456</v>
          </cell>
          <cell r="R205">
            <v>3319542</v>
          </cell>
          <cell r="S205">
            <v>3659680</v>
          </cell>
        </row>
        <row r="206">
          <cell r="B206" t="str">
            <v>M103.0104</v>
          </cell>
          <cell r="C206" t="str">
            <v>4,5 t</v>
          </cell>
          <cell r="D206" t="str">
            <v>lít diezel</v>
          </cell>
          <cell r="E206">
            <v>975035</v>
          </cell>
          <cell r="F206" t="str">
            <v>1x5/7</v>
          </cell>
          <cell r="G206">
            <v>2751960</v>
          </cell>
          <cell r="H206">
            <v>337529</v>
          </cell>
          <cell r="I206">
            <v>299389</v>
          </cell>
          <cell r="J206">
            <v>261932</v>
          </cell>
          <cell r="K206">
            <v>432001</v>
          </cell>
          <cell r="L206">
            <v>3492964</v>
          </cell>
          <cell r="M206">
            <v>3454824</v>
          </cell>
          <cell r="N206">
            <v>3417367</v>
          </cell>
          <cell r="O206">
            <v>3587436</v>
          </cell>
          <cell r="P206">
            <v>3830493</v>
          </cell>
          <cell r="Q206">
            <v>3754213</v>
          </cell>
          <cell r="R206">
            <v>3679299</v>
          </cell>
          <cell r="S206">
            <v>4019437</v>
          </cell>
        </row>
        <row r="207">
          <cell r="B207" t="str">
            <v>M103.0105</v>
          </cell>
          <cell r="C207" t="str">
            <v>8,0 t</v>
          </cell>
          <cell r="D207" t="str">
            <v>lít diezel</v>
          </cell>
          <cell r="E207">
            <v>2190080</v>
          </cell>
          <cell r="F207" t="str">
            <v>1x5/7</v>
          </cell>
          <cell r="G207">
            <v>12825610</v>
          </cell>
          <cell r="H207">
            <v>337529</v>
          </cell>
          <cell r="I207">
            <v>299389</v>
          </cell>
          <cell r="J207">
            <v>261932</v>
          </cell>
          <cell r="K207">
            <v>432001</v>
          </cell>
          <cell r="L207">
            <v>12689438</v>
          </cell>
          <cell r="M207">
            <v>12651298</v>
          </cell>
          <cell r="N207">
            <v>12613841</v>
          </cell>
          <cell r="O207">
            <v>12783910</v>
          </cell>
          <cell r="P207">
            <v>13026967</v>
          </cell>
          <cell r="Q207">
            <v>12950687</v>
          </cell>
          <cell r="R207">
            <v>12875773</v>
          </cell>
          <cell r="S207">
            <v>13215911</v>
          </cell>
        </row>
        <row r="208">
          <cell r="B208" t="str">
            <v>M103.0200</v>
          </cell>
          <cell r="C208" t="str">
            <v>Máy đóng cọc chạy trên ray - trọng lượng đầu búa:</v>
          </cell>
          <cell r="E208" t="str">
            <v>-</v>
          </cell>
          <cell r="P208">
            <v>0</v>
          </cell>
          <cell r="Q208">
            <v>0</v>
          </cell>
          <cell r="R208">
            <v>0</v>
          </cell>
          <cell r="S208">
            <v>0</v>
          </cell>
        </row>
        <row r="209">
          <cell r="B209" t="str">
            <v>M103.0201</v>
          </cell>
          <cell r="C209" t="str">
            <v>1,2 t</v>
          </cell>
          <cell r="D209" t="str">
            <v>24 lít diezel + 14 kWh</v>
          </cell>
          <cell r="E209">
            <v>38742</v>
          </cell>
          <cell r="F209" t="str">
            <v>1x5/7</v>
          </cell>
          <cell r="G209">
            <v>579674</v>
          </cell>
          <cell r="H209">
            <v>337529</v>
          </cell>
          <cell r="I209">
            <v>299389</v>
          </cell>
          <cell r="J209">
            <v>261932</v>
          </cell>
          <cell r="K209">
            <v>432001</v>
          </cell>
          <cell r="L209">
            <v>1204295</v>
          </cell>
          <cell r="M209">
            <v>1166155</v>
          </cell>
          <cell r="N209">
            <v>1128698</v>
          </cell>
          <cell r="O209">
            <v>1298767</v>
          </cell>
          <cell r="P209">
            <v>1541824</v>
          </cell>
          <cell r="Q209">
            <v>1465544</v>
          </cell>
          <cell r="R209">
            <v>1390630</v>
          </cell>
          <cell r="S209">
            <v>1730768</v>
          </cell>
        </row>
        <row r="210">
          <cell r="B210" t="str">
            <v>M103.0202</v>
          </cell>
          <cell r="C210" t="str">
            <v>1,8 t</v>
          </cell>
          <cell r="D210" t="str">
            <v>30 lít diezel + 14 kWh</v>
          </cell>
          <cell r="E210">
            <v>477424</v>
          </cell>
          <cell r="F210" t="str">
            <v>1x5/7</v>
          </cell>
          <cell r="G210">
            <v>852657</v>
          </cell>
          <cell r="H210">
            <v>337529</v>
          </cell>
          <cell r="I210">
            <v>299389</v>
          </cell>
          <cell r="J210">
            <v>261932</v>
          </cell>
          <cell r="K210">
            <v>432001</v>
          </cell>
          <cell r="L210">
            <v>1520034</v>
          </cell>
          <cell r="M210">
            <v>1481894</v>
          </cell>
          <cell r="N210">
            <v>1444437</v>
          </cell>
          <cell r="O210">
            <v>1614506</v>
          </cell>
          <cell r="P210">
            <v>1857563</v>
          </cell>
          <cell r="Q210">
            <v>1781283</v>
          </cell>
          <cell r="R210">
            <v>1706369</v>
          </cell>
          <cell r="S210">
            <v>2046507</v>
          </cell>
        </row>
        <row r="211">
          <cell r="B211" t="str">
            <v>M103.0203</v>
          </cell>
          <cell r="C211" t="str">
            <v>2,5 t</v>
          </cell>
          <cell r="D211" t="str">
            <v>36 lít diezel + 25 kWh</v>
          </cell>
          <cell r="E211">
            <v>588961</v>
          </cell>
          <cell r="F211" t="str">
            <v>1x5/7</v>
          </cell>
          <cell r="G211">
            <v>1129080</v>
          </cell>
          <cell r="H211">
            <v>337529</v>
          </cell>
          <cell r="I211">
            <v>299389</v>
          </cell>
          <cell r="J211">
            <v>261932</v>
          </cell>
          <cell r="K211">
            <v>432001</v>
          </cell>
          <cell r="L211">
            <v>1764615</v>
          </cell>
          <cell r="M211">
            <v>1726475</v>
          </cell>
          <cell r="N211">
            <v>1689018</v>
          </cell>
          <cell r="O211">
            <v>1859087</v>
          </cell>
          <cell r="P211">
            <v>2102144</v>
          </cell>
          <cell r="Q211">
            <v>2025864</v>
          </cell>
          <cell r="R211">
            <v>1950950</v>
          </cell>
          <cell r="S211">
            <v>2291088</v>
          </cell>
        </row>
        <row r="212">
          <cell r="B212" t="str">
            <v>M103.0204</v>
          </cell>
          <cell r="C212" t="str">
            <v>3,5 t</v>
          </cell>
          <cell r="D212" t="str">
            <v>48 lít diezel + 25 kWh</v>
          </cell>
          <cell r="E212">
            <v>768968</v>
          </cell>
          <cell r="F212" t="str">
            <v>1x5/7</v>
          </cell>
          <cell r="G212">
            <v>1271935</v>
          </cell>
          <cell r="H212">
            <v>337529</v>
          </cell>
          <cell r="I212">
            <v>299389</v>
          </cell>
          <cell r="J212">
            <v>261932</v>
          </cell>
          <cell r="K212">
            <v>432001</v>
          </cell>
          <cell r="L212">
            <v>2050664</v>
          </cell>
          <cell r="M212">
            <v>2012524</v>
          </cell>
          <cell r="N212">
            <v>1975067</v>
          </cell>
          <cell r="O212">
            <v>2145136</v>
          </cell>
          <cell r="P212">
            <v>2388193</v>
          </cell>
          <cell r="Q212">
            <v>2311913</v>
          </cell>
          <cell r="R212">
            <v>2236999</v>
          </cell>
          <cell r="S212">
            <v>2577137</v>
          </cell>
        </row>
        <row r="213">
          <cell r="B213" t="str">
            <v>M103.0205</v>
          </cell>
          <cell r="C213" t="str">
            <v>4,5 t</v>
          </cell>
          <cell r="D213" t="str">
            <v>63 lít diezel + 34 kWh</v>
          </cell>
          <cell r="E213">
            <v>1011595</v>
          </cell>
          <cell r="F213" t="str">
            <v>1x5/7</v>
          </cell>
          <cell r="G213">
            <v>1570829</v>
          </cell>
          <cell r="H213">
            <v>337529</v>
          </cell>
          <cell r="I213">
            <v>299389</v>
          </cell>
          <cell r="J213">
            <v>261932</v>
          </cell>
          <cell r="K213">
            <v>432001</v>
          </cell>
          <cell r="L213">
            <v>2515162</v>
          </cell>
          <cell r="M213">
            <v>2477022</v>
          </cell>
          <cell r="N213">
            <v>2439565</v>
          </cell>
          <cell r="O213">
            <v>2609634</v>
          </cell>
          <cell r="P213">
            <v>2852691</v>
          </cell>
          <cell r="Q213">
            <v>2776411</v>
          </cell>
          <cell r="R213">
            <v>2701497</v>
          </cell>
          <cell r="S213">
            <v>3041635</v>
          </cell>
        </row>
        <row r="214">
          <cell r="B214" t="str">
            <v>M103.0206</v>
          </cell>
          <cell r="C214" t="str">
            <v>5,5 t</v>
          </cell>
          <cell r="D214" t="str">
            <v>78 lít diezel + 34 kWh</v>
          </cell>
          <cell r="E214">
            <v>1236603</v>
          </cell>
          <cell r="F214" t="str">
            <v>1x5/7</v>
          </cell>
          <cell r="G214">
            <v>1872934</v>
          </cell>
          <cell r="H214">
            <v>337529</v>
          </cell>
          <cell r="I214">
            <v>299389</v>
          </cell>
          <cell r="J214">
            <v>261932</v>
          </cell>
          <cell r="K214">
            <v>432001</v>
          </cell>
          <cell r="L214">
            <v>2964425</v>
          </cell>
          <cell r="M214">
            <v>2926285</v>
          </cell>
          <cell r="N214">
            <v>2888828</v>
          </cell>
          <cell r="O214">
            <v>3058897</v>
          </cell>
          <cell r="P214">
            <v>3301954</v>
          </cell>
          <cell r="Q214">
            <v>3225674</v>
          </cell>
          <cell r="R214">
            <v>3150760</v>
          </cell>
          <cell r="S214">
            <v>3490898</v>
          </cell>
        </row>
        <row r="215">
          <cell r="B215" t="str">
            <v>M103.0300</v>
          </cell>
          <cell r="C215" t="str">
            <v>Máy búa rung tự hành, bánh xích - công suất:</v>
          </cell>
          <cell r="E215" t="str">
            <v>-</v>
          </cell>
          <cell r="P215">
            <v>0</v>
          </cell>
          <cell r="Q215">
            <v>0</v>
          </cell>
          <cell r="R215">
            <v>0</v>
          </cell>
          <cell r="S215">
            <v>0</v>
          </cell>
        </row>
        <row r="216">
          <cell r="B216" t="str">
            <v>M103.0301</v>
          </cell>
          <cell r="C216" t="str">
            <v>60 kW</v>
          </cell>
          <cell r="D216" t="str">
            <v>40 lít diezel + 159 kWh</v>
          </cell>
          <cell r="E216">
            <v>91129</v>
          </cell>
          <cell r="F216" t="str">
            <v>1x5/7</v>
          </cell>
          <cell r="G216">
            <v>3047619</v>
          </cell>
          <cell r="H216">
            <v>337529</v>
          </cell>
          <cell r="I216">
            <v>299389</v>
          </cell>
          <cell r="J216">
            <v>261932</v>
          </cell>
          <cell r="K216">
            <v>432001</v>
          </cell>
          <cell r="L216">
            <v>4227174</v>
          </cell>
          <cell r="M216">
            <v>4189034</v>
          </cell>
          <cell r="N216">
            <v>4151577</v>
          </cell>
          <cell r="O216">
            <v>4321646</v>
          </cell>
          <cell r="P216">
            <v>4564703</v>
          </cell>
          <cell r="Q216">
            <v>4488423</v>
          </cell>
          <cell r="R216">
            <v>4413509</v>
          </cell>
          <cell r="S216">
            <v>4753647</v>
          </cell>
        </row>
        <row r="217">
          <cell r="B217" t="str">
            <v>M103.0302</v>
          </cell>
          <cell r="C217" t="str">
            <v>90 kW</v>
          </cell>
          <cell r="D217" t="str">
            <v>51 lít diezel + 240 kWh</v>
          </cell>
          <cell r="E217">
            <v>1234867</v>
          </cell>
          <cell r="F217" t="str">
            <v>1x5/7</v>
          </cell>
          <cell r="G217">
            <v>4585650</v>
          </cell>
          <cell r="H217">
            <v>337529</v>
          </cell>
          <cell r="I217">
            <v>299389</v>
          </cell>
          <cell r="J217">
            <v>261932</v>
          </cell>
          <cell r="K217">
            <v>432001</v>
          </cell>
          <cell r="L217">
            <v>6053826</v>
          </cell>
          <cell r="M217">
            <v>6015686</v>
          </cell>
          <cell r="N217">
            <v>5978229</v>
          </cell>
          <cell r="O217">
            <v>6148298</v>
          </cell>
          <cell r="P217">
            <v>6391355</v>
          </cell>
          <cell r="Q217">
            <v>6315075</v>
          </cell>
          <cell r="R217">
            <v>6240161</v>
          </cell>
          <cell r="S217">
            <v>6580299</v>
          </cell>
        </row>
        <row r="218">
          <cell r="B218" t="str">
            <v>M103.0400</v>
          </cell>
          <cell r="C218" t="str">
            <v>Búa rung - công suất:</v>
          </cell>
          <cell r="E218" t="str">
            <v>-</v>
          </cell>
          <cell r="P218">
            <v>0</v>
          </cell>
          <cell r="Q218">
            <v>0</v>
          </cell>
          <cell r="R218">
            <v>0</v>
          </cell>
          <cell r="S218">
            <v>0</v>
          </cell>
        </row>
        <row r="219">
          <cell r="B219" t="str">
            <v>M103.0401</v>
          </cell>
          <cell r="C219" t="str">
            <v>40 kW</v>
          </cell>
          <cell r="D219" t="str">
            <v>kWh</v>
          </cell>
          <cell r="E219">
            <v>211427</v>
          </cell>
          <cell r="G219">
            <v>122906</v>
          </cell>
          <cell r="L219">
            <v>321019</v>
          </cell>
          <cell r="M219">
            <v>321019</v>
          </cell>
          <cell r="N219">
            <v>321019</v>
          </cell>
          <cell r="O219">
            <v>321019</v>
          </cell>
          <cell r="P219">
            <v>321019</v>
          </cell>
          <cell r="Q219">
            <v>321019</v>
          </cell>
          <cell r="R219">
            <v>321019</v>
          </cell>
          <cell r="S219">
            <v>321019</v>
          </cell>
        </row>
        <row r="220">
          <cell r="B220" t="str">
            <v>M103.0402</v>
          </cell>
          <cell r="C220" t="str">
            <v>50 kW</v>
          </cell>
          <cell r="D220" t="str">
            <v>kWh</v>
          </cell>
          <cell r="E220">
            <v>264284</v>
          </cell>
          <cell r="G220">
            <v>149734</v>
          </cell>
          <cell r="L220">
            <v>397797</v>
          </cell>
          <cell r="M220">
            <v>397797</v>
          </cell>
          <cell r="N220">
            <v>397797</v>
          </cell>
          <cell r="O220">
            <v>397797</v>
          </cell>
          <cell r="P220">
            <v>397797</v>
          </cell>
          <cell r="Q220">
            <v>397797</v>
          </cell>
          <cell r="R220">
            <v>397797</v>
          </cell>
          <cell r="S220">
            <v>397797</v>
          </cell>
        </row>
        <row r="221">
          <cell r="B221" t="str">
            <v>M103.0403</v>
          </cell>
          <cell r="C221" t="str">
            <v>170 kW</v>
          </cell>
          <cell r="D221" t="str">
            <v>kWh</v>
          </cell>
          <cell r="E221">
            <v>698885</v>
          </cell>
          <cell r="G221">
            <v>28227</v>
          </cell>
          <cell r="L221">
            <v>936933</v>
          </cell>
          <cell r="M221">
            <v>936933</v>
          </cell>
          <cell r="N221">
            <v>936933</v>
          </cell>
          <cell r="O221">
            <v>936933</v>
          </cell>
          <cell r="P221">
            <v>936933</v>
          </cell>
          <cell r="Q221">
            <v>936933</v>
          </cell>
          <cell r="R221">
            <v>936933</v>
          </cell>
          <cell r="S221">
            <v>936933</v>
          </cell>
        </row>
        <row r="222">
          <cell r="B222" t="str">
            <v>M103.0500</v>
          </cell>
          <cell r="C222" t="str">
            <v>Tàu đóng cọc - trọng lượng đầu búa:</v>
          </cell>
          <cell r="E222" t="str">
            <v>-</v>
          </cell>
          <cell r="P222">
            <v>0</v>
          </cell>
          <cell r="Q222">
            <v>0</v>
          </cell>
          <cell r="R222">
            <v>0</v>
          </cell>
          <cell r="S222">
            <v>0</v>
          </cell>
        </row>
        <row r="223">
          <cell r="B223" t="str">
            <v>M103.0501</v>
          </cell>
          <cell r="C223" t="str">
            <v>1,2 t</v>
          </cell>
          <cell r="D223" t="str">
            <v>lít diezel</v>
          </cell>
          <cell r="E223">
            <v>55502</v>
          </cell>
          <cell r="F223" t="str">
            <v>1 thuyền phó 1/2 + 3 thợ máy (2x2/4+1x3/4) + 1 thợ điện 2/4 + 1 thủy thủ 2/4</v>
          </cell>
          <cell r="G223">
            <v>2532100</v>
          </cell>
          <cell r="H223">
            <v>2146801</v>
          </cell>
          <cell r="I223">
            <v>1904237</v>
          </cell>
          <cell r="J223">
            <v>1665926</v>
          </cell>
          <cell r="K223">
            <v>2747902</v>
          </cell>
          <cell r="L223">
            <v>5096766</v>
          </cell>
          <cell r="M223">
            <v>4854202</v>
          </cell>
          <cell r="N223">
            <v>4615891</v>
          </cell>
          <cell r="O223">
            <v>5697867</v>
          </cell>
          <cell r="P223">
            <v>7243567</v>
          </cell>
          <cell r="Q223">
            <v>6758439</v>
          </cell>
          <cell r="R223">
            <v>6281817</v>
          </cell>
          <cell r="S223">
            <v>8445769</v>
          </cell>
        </row>
        <row r="224">
          <cell r="B224" t="str">
            <v>M103.0502</v>
          </cell>
          <cell r="C224" t="str">
            <v>1,8 t</v>
          </cell>
          <cell r="D224" t="str">
            <v>lít diezel</v>
          </cell>
          <cell r="E224">
            <v>630023</v>
          </cell>
          <cell r="F224" t="str">
            <v>1 thuyền phó 1/2 + 3 thợ máy (2x2/4+1x3/4) + 1 thợ điện 2/4 + 1 thủy thủ 2/4</v>
          </cell>
          <cell r="G224">
            <v>2891261</v>
          </cell>
          <cell r="H224">
            <v>2146801</v>
          </cell>
          <cell r="I224">
            <v>1904237</v>
          </cell>
          <cell r="J224">
            <v>1665926</v>
          </cell>
          <cell r="K224">
            <v>2747902</v>
          </cell>
          <cell r="L224">
            <v>5511475</v>
          </cell>
          <cell r="M224">
            <v>5268911</v>
          </cell>
          <cell r="N224">
            <v>5030600</v>
          </cell>
          <cell r="O224">
            <v>6112576</v>
          </cell>
          <cell r="P224">
            <v>7658276</v>
          </cell>
          <cell r="Q224">
            <v>7173148</v>
          </cell>
          <cell r="R224">
            <v>6696526</v>
          </cell>
          <cell r="S224">
            <v>8860478</v>
          </cell>
        </row>
        <row r="225">
          <cell r="B225" t="str">
            <v>M103.0503</v>
          </cell>
          <cell r="C225" t="str">
            <v>2,5 t</v>
          </cell>
          <cell r="D225" t="str">
            <v>lít diezel</v>
          </cell>
          <cell r="E225">
            <v>705026</v>
          </cell>
          <cell r="F225" t="str">
            <v>1 thuyền phó 1/2 + 3 thợ máy (2x2/4+1x3/4) + 1 thợ điện 2/4 + 1 thủy thủ 2/4</v>
          </cell>
          <cell r="G225">
            <v>2994676</v>
          </cell>
          <cell r="H225">
            <v>2146801</v>
          </cell>
          <cell r="I225">
            <v>1904237</v>
          </cell>
          <cell r="J225">
            <v>1665926</v>
          </cell>
          <cell r="K225">
            <v>2747902</v>
          </cell>
          <cell r="L225">
            <v>5684291</v>
          </cell>
          <cell r="M225">
            <v>5441727</v>
          </cell>
          <cell r="N225">
            <v>5203416</v>
          </cell>
          <cell r="O225">
            <v>6285392</v>
          </cell>
          <cell r="P225">
            <v>7831092</v>
          </cell>
          <cell r="Q225">
            <v>7345964</v>
          </cell>
          <cell r="R225">
            <v>6869342</v>
          </cell>
          <cell r="S225">
            <v>9033294</v>
          </cell>
        </row>
        <row r="226">
          <cell r="B226" t="str">
            <v>M103.0504</v>
          </cell>
          <cell r="C226" t="str">
            <v>3,5 t</v>
          </cell>
          <cell r="D226" t="str">
            <v>lít diezel</v>
          </cell>
          <cell r="E226">
            <v>780028</v>
          </cell>
          <cell r="F226" t="str">
            <v>1 thuyền phó 1/2 + 3 thợ máy (2x2/4+1x3/4) + 1 thợ điện 2/4 + 1 thủy thủ 2/4</v>
          </cell>
          <cell r="G226">
            <v>3049364</v>
          </cell>
          <cell r="H226">
            <v>2146801</v>
          </cell>
          <cell r="I226">
            <v>1904237</v>
          </cell>
          <cell r="J226">
            <v>1665926</v>
          </cell>
          <cell r="K226">
            <v>2747902</v>
          </cell>
          <cell r="L226">
            <v>5811019</v>
          </cell>
          <cell r="M226">
            <v>5568455</v>
          </cell>
          <cell r="N226">
            <v>5330144</v>
          </cell>
          <cell r="O226">
            <v>6412120</v>
          </cell>
          <cell r="P226">
            <v>7957820</v>
          </cell>
          <cell r="Q226">
            <v>7472692</v>
          </cell>
          <cell r="R226">
            <v>6996070</v>
          </cell>
          <cell r="S226">
            <v>9160022</v>
          </cell>
        </row>
        <row r="227">
          <cell r="B227" t="str">
            <v>M103.0505</v>
          </cell>
          <cell r="C227" t="str">
            <v>4,5 t</v>
          </cell>
          <cell r="D227" t="str">
            <v>lít diezel</v>
          </cell>
          <cell r="E227">
            <v>870032</v>
          </cell>
          <cell r="F227" t="str">
            <v>1 thuyền phó 1/2 + 3 thợ máy (2x2/4+1x3/4) + 1 thợ điện 2/4 + 1 thủy thủ 2/4</v>
          </cell>
          <cell r="G227">
            <v>3765940</v>
          </cell>
          <cell r="H227">
            <v>2146801</v>
          </cell>
          <cell r="I227">
            <v>1904237</v>
          </cell>
          <cell r="J227">
            <v>1665926</v>
          </cell>
          <cell r="K227">
            <v>2747902</v>
          </cell>
          <cell r="L227">
            <v>6578784</v>
          </cell>
          <cell r="M227">
            <v>6336220</v>
          </cell>
          <cell r="N227">
            <v>6097909</v>
          </cell>
          <cell r="O227">
            <v>7179885</v>
          </cell>
          <cell r="P227">
            <v>8725585</v>
          </cell>
          <cell r="Q227">
            <v>8240457</v>
          </cell>
          <cell r="R227">
            <v>7763835</v>
          </cell>
          <cell r="S227">
            <v>9927787</v>
          </cell>
        </row>
        <row r="228">
          <cell r="B228" t="str">
            <v>M103.0600</v>
          </cell>
          <cell r="C228" t="str">
            <v>Tàu đóng cọc C 96 - búa thuỷ lực, trọng lượng đầu búa:</v>
          </cell>
          <cell r="E228" t="str">
            <v>-</v>
          </cell>
          <cell r="P228">
            <v>0</v>
          </cell>
          <cell r="Q228">
            <v>0</v>
          </cell>
          <cell r="R228">
            <v>0</v>
          </cell>
          <cell r="S228">
            <v>0</v>
          </cell>
        </row>
        <row r="229">
          <cell r="B229" t="str">
            <v>M103.0601</v>
          </cell>
          <cell r="C229" t="str">
            <v>7,5 t</v>
          </cell>
          <cell r="D229" t="str">
            <v>lít diezel</v>
          </cell>
          <cell r="E229">
            <v>2430088</v>
          </cell>
          <cell r="F229" t="str">
            <v>1 ttr1/2 + 1 tphII1/2 + 4 thợ máy (3x2/4+1x4/4) + 1 thợ điện 3/4 + 1 thủy thủ 2/4</v>
          </cell>
          <cell r="G229">
            <v>9816850</v>
          </cell>
          <cell r="H229">
            <v>2960402</v>
          </cell>
          <cell r="I229">
            <v>2625910</v>
          </cell>
          <cell r="J229">
            <v>2297278</v>
          </cell>
          <cell r="K229">
            <v>3789310</v>
          </cell>
          <cell r="L229">
            <v>13775716</v>
          </cell>
          <cell r="M229">
            <v>13441224</v>
          </cell>
          <cell r="N229">
            <v>13112592</v>
          </cell>
          <cell r="O229">
            <v>14604624</v>
          </cell>
          <cell r="P229">
            <v>16736118</v>
          </cell>
          <cell r="Q229">
            <v>16067134</v>
          </cell>
          <cell r="R229">
            <v>15409870</v>
          </cell>
          <cell r="S229">
            <v>18393934</v>
          </cell>
        </row>
        <row r="230">
          <cell r="B230" t="str">
            <v>M103.0700</v>
          </cell>
          <cell r="C230" t="str">
            <v>Máy ép cọc trước - lực ép:</v>
          </cell>
          <cell r="E230" t="str">
            <v>-</v>
          </cell>
          <cell r="P230">
            <v>0</v>
          </cell>
          <cell r="Q230">
            <v>0</v>
          </cell>
          <cell r="R230">
            <v>0</v>
          </cell>
          <cell r="S230">
            <v>0</v>
          </cell>
        </row>
        <row r="231">
          <cell r="B231" t="str">
            <v>M103.0701</v>
          </cell>
          <cell r="C231" t="str">
            <v>60 t</v>
          </cell>
          <cell r="D231" t="str">
            <v>kWh</v>
          </cell>
          <cell r="E231">
            <v>74391</v>
          </cell>
          <cell r="F231" t="str">
            <v>1x4/7</v>
          </cell>
          <cell r="G231">
            <v>138727</v>
          </cell>
          <cell r="H231">
            <v>287074</v>
          </cell>
          <cell r="I231">
            <v>254635</v>
          </cell>
          <cell r="J231">
            <v>222777</v>
          </cell>
          <cell r="K231">
            <v>367424</v>
          </cell>
          <cell r="L231">
            <v>521992</v>
          </cell>
          <cell r="M231">
            <v>489553</v>
          </cell>
          <cell r="N231">
            <v>457695</v>
          </cell>
          <cell r="O231">
            <v>602342</v>
          </cell>
          <cell r="P231">
            <v>809066</v>
          </cell>
          <cell r="Q231">
            <v>744188</v>
          </cell>
          <cell r="R231">
            <v>680472</v>
          </cell>
          <cell r="S231">
            <v>969766</v>
          </cell>
        </row>
        <row r="232">
          <cell r="B232" t="str">
            <v>M103.0702</v>
          </cell>
          <cell r="C232" t="str">
            <v>100 t</v>
          </cell>
          <cell r="D232" t="str">
            <v>kWh</v>
          </cell>
          <cell r="E232">
            <v>103756</v>
          </cell>
          <cell r="F232" t="str">
            <v>1x4/7</v>
          </cell>
          <cell r="G232">
            <v>188256</v>
          </cell>
          <cell r="H232">
            <v>287074</v>
          </cell>
          <cell r="I232">
            <v>254635</v>
          </cell>
          <cell r="J232">
            <v>222777</v>
          </cell>
          <cell r="K232">
            <v>367424</v>
          </cell>
          <cell r="L232">
            <v>608669</v>
          </cell>
          <cell r="M232">
            <v>57623</v>
          </cell>
          <cell r="N232">
            <v>544372</v>
          </cell>
          <cell r="O232">
            <v>689019</v>
          </cell>
          <cell r="P232">
            <v>895743</v>
          </cell>
          <cell r="Q232">
            <v>312258</v>
          </cell>
          <cell r="R232">
            <v>767149</v>
          </cell>
          <cell r="S232">
            <v>1056443</v>
          </cell>
        </row>
        <row r="233">
          <cell r="B233" t="str">
            <v>M103.0703</v>
          </cell>
          <cell r="C233" t="str">
            <v>150 t</v>
          </cell>
          <cell r="D233" t="str">
            <v>kWh</v>
          </cell>
          <cell r="E233">
            <v>146825</v>
          </cell>
          <cell r="F233" t="str">
            <v>1x4/7</v>
          </cell>
          <cell r="G233">
            <v>213021</v>
          </cell>
          <cell r="H233">
            <v>287074</v>
          </cell>
          <cell r="I233">
            <v>254635</v>
          </cell>
          <cell r="J233">
            <v>222777</v>
          </cell>
          <cell r="K233">
            <v>367424</v>
          </cell>
          <cell r="L233">
            <v>680394</v>
          </cell>
          <cell r="M233">
            <v>647955</v>
          </cell>
          <cell r="N233">
            <v>616097</v>
          </cell>
          <cell r="O233">
            <v>760744</v>
          </cell>
          <cell r="P233">
            <v>967468</v>
          </cell>
          <cell r="Q233">
            <v>902590</v>
          </cell>
          <cell r="R233">
            <v>838874</v>
          </cell>
          <cell r="S233">
            <v>1128168</v>
          </cell>
        </row>
        <row r="234">
          <cell r="B234" t="str">
            <v>M103.0704</v>
          </cell>
          <cell r="C234" t="str">
            <v>200 t</v>
          </cell>
          <cell r="D234" t="str">
            <v>kWh</v>
          </cell>
          <cell r="E234">
            <v>164444</v>
          </cell>
          <cell r="F234" t="str">
            <v>1x4/7</v>
          </cell>
          <cell r="G234">
            <v>237786</v>
          </cell>
          <cell r="H234">
            <v>287074</v>
          </cell>
          <cell r="I234">
            <v>254635</v>
          </cell>
          <cell r="J234">
            <v>222777</v>
          </cell>
          <cell r="K234">
            <v>367424</v>
          </cell>
          <cell r="L234">
            <v>72667</v>
          </cell>
          <cell r="M234">
            <v>694231</v>
          </cell>
          <cell r="N234">
            <v>662373</v>
          </cell>
          <cell r="O234">
            <v>80702</v>
          </cell>
          <cell r="P234">
            <v>359741</v>
          </cell>
          <cell r="Q234">
            <v>948866</v>
          </cell>
          <cell r="R234">
            <v>885150</v>
          </cell>
          <cell r="S234">
            <v>448126</v>
          </cell>
        </row>
        <row r="235">
          <cell r="B235" t="str">
            <v>M103.0801</v>
          </cell>
          <cell r="C235" t="str">
            <v>Máy ép cọc Robot thủy lực tự hành 860t</v>
          </cell>
          <cell r="D235" t="str">
            <v>kWh</v>
          </cell>
          <cell r="E235">
            <v>1479992</v>
          </cell>
          <cell r="F235" t="str">
            <v>1x3/7+1x4/7</v>
          </cell>
          <cell r="G235">
            <v>6642900</v>
          </cell>
          <cell r="H235">
            <v>528912</v>
          </cell>
          <cell r="I235">
            <v>469146</v>
          </cell>
          <cell r="J235">
            <v>41045</v>
          </cell>
          <cell r="K235">
            <v>67695</v>
          </cell>
          <cell r="L235">
            <v>12622782</v>
          </cell>
          <cell r="M235">
            <v>12563016</v>
          </cell>
          <cell r="N235">
            <v>12504320</v>
          </cell>
          <cell r="O235">
            <v>12770820</v>
          </cell>
          <cell r="P235">
            <v>13151694</v>
          </cell>
          <cell r="Q235">
            <v>13032162</v>
          </cell>
          <cell r="R235">
            <v>12545365</v>
          </cell>
          <cell r="S235">
            <v>12838515</v>
          </cell>
        </row>
        <row r="236">
          <cell r="B236" t="str">
            <v>M103.0901</v>
          </cell>
          <cell r="C236" t="str">
            <v>Máy ép thuỷ lực (KGK- 130C4), lực ép 130 t</v>
          </cell>
          <cell r="D236" t="str">
            <v>kWh</v>
          </cell>
          <cell r="E236">
            <v>270157</v>
          </cell>
          <cell r="F236" t="str">
            <v>1x4/7</v>
          </cell>
          <cell r="G236">
            <v>671738</v>
          </cell>
          <cell r="H236">
            <v>287074</v>
          </cell>
          <cell r="I236">
            <v>254635</v>
          </cell>
          <cell r="J236">
            <v>222777</v>
          </cell>
          <cell r="K236">
            <v>367424</v>
          </cell>
          <cell r="L236">
            <v>1147801</v>
          </cell>
          <cell r="M236">
            <v>1115362</v>
          </cell>
          <cell r="N236">
            <v>1083504</v>
          </cell>
          <cell r="O236">
            <v>1228151</v>
          </cell>
          <cell r="P236">
            <v>1434875</v>
          </cell>
          <cell r="Q236">
            <v>1369997</v>
          </cell>
          <cell r="R236">
            <v>1306281</v>
          </cell>
          <cell r="S236">
            <v>1595575</v>
          </cell>
        </row>
        <row r="237">
          <cell r="B237" t="str">
            <v>M103.0902</v>
          </cell>
          <cell r="C237" t="str">
            <v>Máy ép cọc thủy lực 45 Hp</v>
          </cell>
          <cell r="D237" t="str">
            <v>kWh</v>
          </cell>
          <cell r="E237">
            <v>48942</v>
          </cell>
          <cell r="F237" t="str">
            <v>1x4/7</v>
          </cell>
          <cell r="G237">
            <v>132</v>
          </cell>
          <cell r="H237">
            <v>287074</v>
          </cell>
          <cell r="I237">
            <v>254635</v>
          </cell>
          <cell r="J237">
            <v>222777</v>
          </cell>
          <cell r="K237">
            <v>367424</v>
          </cell>
          <cell r="L237">
            <v>452066</v>
          </cell>
          <cell r="M237">
            <v>419627</v>
          </cell>
          <cell r="N237">
            <v>387769</v>
          </cell>
          <cell r="O237">
            <v>532416</v>
          </cell>
          <cell r="P237">
            <v>739140</v>
          </cell>
          <cell r="Q237">
            <v>674262</v>
          </cell>
          <cell r="R237">
            <v>610546</v>
          </cell>
          <cell r="S237">
            <v>899840</v>
          </cell>
        </row>
        <row r="238">
          <cell r="B238" t="str">
            <v>M103.1001</v>
          </cell>
          <cell r="C238" t="str">
            <v>Máy cấy bấc thấm</v>
          </cell>
          <cell r="D238" t="str">
            <v>lít diezel</v>
          </cell>
          <cell r="E238">
            <v>720026</v>
          </cell>
          <cell r="F238" t="str">
            <v>1x4/7</v>
          </cell>
          <cell r="G238">
            <v>1099500</v>
          </cell>
          <cell r="H238">
            <v>287074</v>
          </cell>
          <cell r="I238">
            <v>254635</v>
          </cell>
          <cell r="J238">
            <v>222777</v>
          </cell>
          <cell r="K238">
            <v>367424</v>
          </cell>
          <cell r="L238">
            <v>1910602</v>
          </cell>
          <cell r="M238">
            <v>1878163</v>
          </cell>
          <cell r="N238">
            <v>1846305</v>
          </cell>
          <cell r="O238">
            <v>1990952</v>
          </cell>
          <cell r="P238">
            <v>2197676</v>
          </cell>
          <cell r="Q238">
            <v>2132798</v>
          </cell>
          <cell r="R238">
            <v>2069082</v>
          </cell>
          <cell r="S238">
            <v>2358376</v>
          </cell>
        </row>
        <row r="239">
          <cell r="B239" t="str">
            <v>M103.1100</v>
          </cell>
          <cell r="C239" t="str">
            <v>Máy khoan xoay:</v>
          </cell>
          <cell r="E239" t="str">
            <v>-</v>
          </cell>
          <cell r="P239">
            <v>0</v>
          </cell>
          <cell r="Q239">
            <v>0</v>
          </cell>
          <cell r="R239">
            <v>0</v>
          </cell>
          <cell r="S239">
            <v>0</v>
          </cell>
        </row>
        <row r="240">
          <cell r="B240" t="str">
            <v>M103.1101</v>
          </cell>
          <cell r="C240" t="str">
            <v>Máy khoan xoay</v>
          </cell>
          <cell r="D240" t="str">
            <v>lít diezel</v>
          </cell>
          <cell r="E240">
            <v>780028</v>
          </cell>
          <cell r="F240" t="str">
            <v>1x6/7</v>
          </cell>
          <cell r="G240">
            <v>3934467</v>
          </cell>
          <cell r="H240">
            <v>400164</v>
          </cell>
          <cell r="I240">
            <v>354946</v>
          </cell>
          <cell r="J240">
            <v>310538</v>
          </cell>
          <cell r="K240">
            <v>512166</v>
          </cell>
          <cell r="L240">
            <v>4948201</v>
          </cell>
          <cell r="M240">
            <v>4902983</v>
          </cell>
          <cell r="N240">
            <v>4858575</v>
          </cell>
          <cell r="O240">
            <v>5060203</v>
          </cell>
          <cell r="P240">
            <v>5348365</v>
          </cell>
          <cell r="Q240">
            <v>5257929</v>
          </cell>
          <cell r="R240">
            <v>5169113</v>
          </cell>
          <cell r="S240">
            <v>5572369</v>
          </cell>
        </row>
        <row r="241">
          <cell r="B241" t="str">
            <v>M103.1102</v>
          </cell>
          <cell r="C241" t="str">
            <v>Máy khoan xoay</v>
          </cell>
          <cell r="D241" t="str">
            <v>lít diezel</v>
          </cell>
          <cell r="E241">
            <v>1020037</v>
          </cell>
          <cell r="F241" t="str">
            <v>1x6/7</v>
          </cell>
          <cell r="G241">
            <v>4514371</v>
          </cell>
          <cell r="H241">
            <v>400164</v>
          </cell>
          <cell r="I241">
            <v>354946</v>
          </cell>
          <cell r="J241">
            <v>310538</v>
          </cell>
          <cell r="K241">
            <v>512166</v>
          </cell>
          <cell r="L241">
            <v>5743579</v>
          </cell>
          <cell r="M241">
            <v>5698361</v>
          </cell>
          <cell r="N241">
            <v>5653953</v>
          </cell>
          <cell r="O241">
            <v>5855581</v>
          </cell>
          <cell r="P241">
            <v>6143743</v>
          </cell>
          <cell r="Q241">
            <v>6053307</v>
          </cell>
          <cell r="R241">
            <v>5964491</v>
          </cell>
          <cell r="S241">
            <v>6367747</v>
          </cell>
        </row>
        <row r="242">
          <cell r="B242" t="str">
            <v>M103.1103</v>
          </cell>
          <cell r="C242" t="str">
            <v>Máy khoan xoay &gt; 200kNm÷300kNm</v>
          </cell>
          <cell r="D242" t="str">
            <v>lít diezel</v>
          </cell>
          <cell r="E242">
            <v>1440052</v>
          </cell>
          <cell r="F242" t="str">
            <v>1x6/7</v>
          </cell>
          <cell r="G242">
            <v>11608382</v>
          </cell>
          <cell r="H242">
            <v>400164</v>
          </cell>
          <cell r="I242">
            <v>354946</v>
          </cell>
          <cell r="J242">
            <v>310538</v>
          </cell>
          <cell r="K242">
            <v>512166</v>
          </cell>
          <cell r="L242">
            <v>12957475</v>
          </cell>
          <cell r="M242">
            <v>12912257</v>
          </cell>
          <cell r="N242">
            <v>12867849</v>
          </cell>
          <cell r="O242">
            <v>13069477</v>
          </cell>
          <cell r="P242">
            <v>13357639</v>
          </cell>
          <cell r="Q242">
            <v>13267203</v>
          </cell>
          <cell r="R242">
            <v>13178387</v>
          </cell>
          <cell r="S242">
            <v>13581643</v>
          </cell>
        </row>
        <row r="243">
          <cell r="B243" t="str">
            <v>M103.1104</v>
          </cell>
          <cell r="C243" t="str">
            <v>Máy khoan xoay &gt; 300kNm÷400kNm</v>
          </cell>
          <cell r="D243" t="str">
            <v>lít diezel</v>
          </cell>
          <cell r="E243">
            <v>2055075</v>
          </cell>
          <cell r="F243" t="str">
            <v>1x6/7</v>
          </cell>
          <cell r="G243">
            <v>14865951</v>
          </cell>
          <cell r="H243">
            <v>400164</v>
          </cell>
          <cell r="I243">
            <v>354946</v>
          </cell>
          <cell r="J243">
            <v>310538</v>
          </cell>
          <cell r="K243">
            <v>512166</v>
          </cell>
          <cell r="L243">
            <v>15720241</v>
          </cell>
          <cell r="M243">
            <v>15675023</v>
          </cell>
          <cell r="N243">
            <v>15630615</v>
          </cell>
          <cell r="O243">
            <v>15832243</v>
          </cell>
          <cell r="P243">
            <v>16120405</v>
          </cell>
          <cell r="Q243">
            <v>16029969</v>
          </cell>
          <cell r="R243">
            <v>15941153</v>
          </cell>
          <cell r="S243">
            <v>16344409</v>
          </cell>
        </row>
        <row r="244">
          <cell r="B244" t="str">
            <v>M103.1105</v>
          </cell>
          <cell r="C244" t="str">
            <v>Gầu đào (thi công móng cọc, tường Barrette)</v>
          </cell>
          <cell r="E244" t="str">
            <v>-</v>
          </cell>
          <cell r="G244">
            <v>565686</v>
          </cell>
          <cell r="L244">
            <v>489536</v>
          </cell>
          <cell r="M244">
            <v>489536</v>
          </cell>
          <cell r="N244">
            <v>489536</v>
          </cell>
          <cell r="O244">
            <v>489536</v>
          </cell>
          <cell r="P244">
            <v>489536</v>
          </cell>
          <cell r="Q244">
            <v>489536</v>
          </cell>
          <cell r="R244">
            <v>489536</v>
          </cell>
          <cell r="S244">
            <v>489536</v>
          </cell>
        </row>
        <row r="245">
          <cell r="B245" t="str">
            <v>M103.1201</v>
          </cell>
          <cell r="C245" t="str">
            <v>Máy khoan tường sét</v>
          </cell>
          <cell r="D245" t="str">
            <v>32 lít diezel + 171 kWh</v>
          </cell>
          <cell r="E245">
            <v>814778</v>
          </cell>
          <cell r="F245" t="str">
            <v>1x6/7</v>
          </cell>
          <cell r="G245">
            <v>4600000</v>
          </cell>
          <cell r="H245">
            <v>400164</v>
          </cell>
          <cell r="I245">
            <v>354946</v>
          </cell>
          <cell r="J245">
            <v>310538</v>
          </cell>
          <cell r="K245">
            <v>512166</v>
          </cell>
          <cell r="L245">
            <v>5319557</v>
          </cell>
          <cell r="M245">
            <v>5274339</v>
          </cell>
          <cell r="N245">
            <v>5229931</v>
          </cell>
          <cell r="O245">
            <v>5431559</v>
          </cell>
          <cell r="P245">
            <v>5719721</v>
          </cell>
          <cell r="Q245">
            <v>5629285</v>
          </cell>
          <cell r="R245">
            <v>5540469</v>
          </cell>
          <cell r="S245">
            <v>5943725</v>
          </cell>
        </row>
        <row r="246">
          <cell r="B246" t="str">
            <v>M103.1300</v>
          </cell>
          <cell r="C246" t="str">
            <v>Máy khoan cọc đất</v>
          </cell>
          <cell r="E246" t="str">
            <v>-</v>
          </cell>
          <cell r="P246">
            <v>0</v>
          </cell>
          <cell r="Q246">
            <v>0</v>
          </cell>
          <cell r="R246">
            <v>0</v>
          </cell>
          <cell r="S246">
            <v>0</v>
          </cell>
        </row>
        <row r="247">
          <cell r="B247" t="str">
            <v>M103.1301</v>
          </cell>
          <cell r="C247" t="str">
            <v>Máy khoan cọc đất (1 cần)</v>
          </cell>
          <cell r="D247" t="str">
            <v>36 lít diezel + 167 kWh</v>
          </cell>
          <cell r="E247">
            <v>866949</v>
          </cell>
          <cell r="F247" t="str">
            <v>1x6/7</v>
          </cell>
          <cell r="G247">
            <v>5354545</v>
          </cell>
          <cell r="H247">
            <v>400164</v>
          </cell>
          <cell r="I247">
            <v>354946</v>
          </cell>
          <cell r="J247">
            <v>310538</v>
          </cell>
          <cell r="K247">
            <v>512166</v>
          </cell>
          <cell r="L247">
            <v>6045015</v>
          </cell>
          <cell r="M247">
            <v>5999797</v>
          </cell>
          <cell r="N247">
            <v>5955389</v>
          </cell>
          <cell r="O247">
            <v>6157017</v>
          </cell>
          <cell r="P247">
            <v>6445179</v>
          </cell>
          <cell r="Q247">
            <v>6354743</v>
          </cell>
          <cell r="R247">
            <v>6265927</v>
          </cell>
          <cell r="S247">
            <v>6669183</v>
          </cell>
        </row>
        <row r="248">
          <cell r="B248" t="str">
            <v>M103.1302</v>
          </cell>
          <cell r="C248" t="str">
            <v>Máy khoan cọc đất (2 cần)</v>
          </cell>
          <cell r="D248" t="str">
            <v>36 lít diezel + 232 kWh</v>
          </cell>
          <cell r="E248">
            <v>994197</v>
          </cell>
          <cell r="F248" t="str">
            <v>1x6/7</v>
          </cell>
          <cell r="G248">
            <v>6109091</v>
          </cell>
          <cell r="H248">
            <v>400164</v>
          </cell>
          <cell r="I248">
            <v>354946</v>
          </cell>
          <cell r="J248">
            <v>310538</v>
          </cell>
          <cell r="K248">
            <v>512166</v>
          </cell>
          <cell r="L248">
            <v>6845550</v>
          </cell>
          <cell r="M248">
            <v>6800332</v>
          </cell>
          <cell r="N248">
            <v>6755924</v>
          </cell>
          <cell r="O248">
            <v>6957552</v>
          </cell>
          <cell r="P248">
            <v>7245714</v>
          </cell>
          <cell r="Q248">
            <v>7155278</v>
          </cell>
          <cell r="R248">
            <v>7066462</v>
          </cell>
          <cell r="S248">
            <v>7469718</v>
          </cell>
        </row>
        <row r="249">
          <cell r="B249" t="str">
            <v>M103.1401</v>
          </cell>
          <cell r="C249" t="str">
            <v>Máy cấp xi măng</v>
          </cell>
          <cell r="E249" t="str">
            <v>-</v>
          </cell>
          <cell r="G249">
            <v>14800</v>
          </cell>
          <cell r="L249">
            <v>13946</v>
          </cell>
          <cell r="M249">
            <v>13946</v>
          </cell>
          <cell r="N249">
            <v>13946</v>
          </cell>
          <cell r="O249">
            <v>13946</v>
          </cell>
          <cell r="P249">
            <v>13946</v>
          </cell>
          <cell r="Q249">
            <v>13946</v>
          </cell>
          <cell r="R249">
            <v>13946</v>
          </cell>
          <cell r="S249">
            <v>13946</v>
          </cell>
        </row>
        <row r="250">
          <cell r="B250" t="str">
            <v>M103.1500</v>
          </cell>
          <cell r="C250" t="str">
            <v>Máy trộn dung dịch - dung</v>
          </cell>
          <cell r="E250" t="str">
            <v>-</v>
          </cell>
          <cell r="P250">
            <v>0</v>
          </cell>
          <cell r="Q250">
            <v>0</v>
          </cell>
          <cell r="R250">
            <v>0</v>
          </cell>
          <cell r="S250">
            <v>0</v>
          </cell>
        </row>
        <row r="251">
          <cell r="B251" t="str">
            <v>M103.1501</v>
          </cell>
          <cell r="C251" t="str">
            <v>750 lít</v>
          </cell>
          <cell r="D251" t="str">
            <v>kWh</v>
          </cell>
          <cell r="E251">
            <v>2545</v>
          </cell>
          <cell r="F251" t="str">
            <v>1x3/7</v>
          </cell>
          <cell r="G251">
            <v>25796</v>
          </cell>
          <cell r="H251">
            <v>241838</v>
          </cell>
          <cell r="I251">
            <v>214511</v>
          </cell>
          <cell r="J251">
            <v>187673</v>
          </cell>
          <cell r="K251">
            <v>309526</v>
          </cell>
          <cell r="L251">
            <v>290848</v>
          </cell>
          <cell r="M251">
            <v>263521</v>
          </cell>
          <cell r="N251">
            <v>236683</v>
          </cell>
          <cell r="O251">
            <v>358536</v>
          </cell>
          <cell r="P251">
            <v>532686</v>
          </cell>
          <cell r="Q251">
            <v>478032</v>
          </cell>
          <cell r="R251">
            <v>424356</v>
          </cell>
          <cell r="S251">
            <v>668062</v>
          </cell>
        </row>
        <row r="252">
          <cell r="B252" t="str">
            <v>M103.1502</v>
          </cell>
          <cell r="C252" t="str">
            <v>1000 lít</v>
          </cell>
          <cell r="D252" t="str">
            <v>kWh</v>
          </cell>
          <cell r="E252">
            <v>35238</v>
          </cell>
          <cell r="F252" t="str">
            <v>1x4/7</v>
          </cell>
          <cell r="G252">
            <v>177479</v>
          </cell>
          <cell r="H252">
            <v>287074</v>
          </cell>
          <cell r="I252">
            <v>254635</v>
          </cell>
          <cell r="J252">
            <v>222777</v>
          </cell>
          <cell r="K252">
            <v>367424</v>
          </cell>
          <cell r="L252">
            <v>46607</v>
          </cell>
          <cell r="M252">
            <v>433631</v>
          </cell>
          <cell r="N252">
            <v>401773</v>
          </cell>
          <cell r="O252">
            <v>546420</v>
          </cell>
          <cell r="P252">
            <v>333681</v>
          </cell>
          <cell r="Q252">
            <v>688266</v>
          </cell>
          <cell r="R252">
            <v>624550</v>
          </cell>
          <cell r="S252">
            <v>913844</v>
          </cell>
        </row>
        <row r="253">
          <cell r="B253" t="str">
            <v>M103.1600</v>
          </cell>
          <cell r="C253" t="str">
            <v>Máy sàng lọc - năng suất:</v>
          </cell>
          <cell r="E253" t="str">
            <v>-</v>
          </cell>
          <cell r="P253">
            <v>0</v>
          </cell>
          <cell r="Q253">
            <v>0</v>
          </cell>
          <cell r="R253">
            <v>0</v>
          </cell>
          <cell r="S253">
            <v>0</v>
          </cell>
        </row>
        <row r="254">
          <cell r="B254" t="str">
            <v>M103.1601</v>
          </cell>
          <cell r="C254" t="str">
            <v>100 m3/h</v>
          </cell>
          <cell r="D254" t="str">
            <v>kWh</v>
          </cell>
          <cell r="E254">
            <v>41111</v>
          </cell>
          <cell r="F254" t="str">
            <v>1x4/7</v>
          </cell>
          <cell r="G254">
            <v>353468</v>
          </cell>
          <cell r="H254">
            <v>287074</v>
          </cell>
          <cell r="I254">
            <v>254635</v>
          </cell>
          <cell r="J254">
            <v>222777</v>
          </cell>
          <cell r="K254">
            <v>367424</v>
          </cell>
          <cell r="L254">
            <v>614494</v>
          </cell>
          <cell r="M254">
            <v>582055</v>
          </cell>
          <cell r="N254">
            <v>550197</v>
          </cell>
          <cell r="O254">
            <v>694844</v>
          </cell>
          <cell r="P254">
            <v>901568</v>
          </cell>
          <cell r="Q254">
            <v>836690</v>
          </cell>
          <cell r="R254">
            <v>772974</v>
          </cell>
          <cell r="S254">
            <v>1062268</v>
          </cell>
        </row>
        <row r="255">
          <cell r="B255" t="str">
            <v>M103.1700</v>
          </cell>
          <cell r="C255" t="str">
            <v>Máy bơm dung dịch - năng</v>
          </cell>
          <cell r="E255" t="str">
            <v>-</v>
          </cell>
          <cell r="P255">
            <v>0</v>
          </cell>
          <cell r="Q255">
            <v>0</v>
          </cell>
          <cell r="R255">
            <v>0</v>
          </cell>
          <cell r="S255">
            <v>0</v>
          </cell>
        </row>
        <row r="256">
          <cell r="B256" t="str">
            <v>M103.1701</v>
          </cell>
          <cell r="C256" t="str">
            <v>15 m3/h</v>
          </cell>
          <cell r="D256" t="str">
            <v>kWh</v>
          </cell>
          <cell r="E256">
            <v>72433</v>
          </cell>
          <cell r="F256" t="str">
            <v>1x4/7</v>
          </cell>
          <cell r="G256">
            <v>22000</v>
          </cell>
          <cell r="H256">
            <v>287074</v>
          </cell>
          <cell r="I256">
            <v>254635</v>
          </cell>
          <cell r="J256">
            <v>222777</v>
          </cell>
          <cell r="K256">
            <v>367424</v>
          </cell>
          <cell r="L256">
            <v>387749</v>
          </cell>
          <cell r="M256">
            <v>355310</v>
          </cell>
          <cell r="N256">
            <v>323452</v>
          </cell>
          <cell r="O256">
            <v>468099</v>
          </cell>
          <cell r="P256">
            <v>674823</v>
          </cell>
          <cell r="Q256">
            <v>609945</v>
          </cell>
          <cell r="R256">
            <v>546229</v>
          </cell>
          <cell r="S256">
            <v>835523</v>
          </cell>
        </row>
        <row r="257">
          <cell r="B257" t="str">
            <v>M103.1702</v>
          </cell>
          <cell r="C257" t="str">
            <v>200 m3/h</v>
          </cell>
          <cell r="D257" t="str">
            <v>kWh</v>
          </cell>
          <cell r="E257">
            <v>97883</v>
          </cell>
          <cell r="F257" t="str">
            <v>1x4/7</v>
          </cell>
          <cell r="G257">
            <v>43182</v>
          </cell>
          <cell r="H257">
            <v>287074</v>
          </cell>
          <cell r="I257">
            <v>254635</v>
          </cell>
          <cell r="J257">
            <v>222777</v>
          </cell>
          <cell r="K257">
            <v>367424</v>
          </cell>
          <cell r="L257">
            <v>437177</v>
          </cell>
          <cell r="M257">
            <v>404738</v>
          </cell>
          <cell r="N257">
            <v>372880</v>
          </cell>
          <cell r="O257">
            <v>517527</v>
          </cell>
          <cell r="P257">
            <v>724251</v>
          </cell>
          <cell r="Q257">
            <v>659373</v>
          </cell>
          <cell r="R257">
            <v>595657</v>
          </cell>
          <cell r="S257">
            <v>884951</v>
          </cell>
        </row>
        <row r="258">
          <cell r="B258" t="str">
            <v>M104.0000</v>
          </cell>
          <cell r="C258" t="str">
            <v>MÁY SẢN XUẤT VẬT LIỆU XÂY DỰNG</v>
          </cell>
          <cell r="E258" t="str">
            <v>-</v>
          </cell>
          <cell r="P258">
            <v>0</v>
          </cell>
          <cell r="Q258">
            <v>0</v>
          </cell>
          <cell r="R258">
            <v>0</v>
          </cell>
          <cell r="S258">
            <v>0</v>
          </cell>
        </row>
        <row r="259">
          <cell r="B259" t="str">
            <v>M104.0100</v>
          </cell>
          <cell r="C259" t="str">
            <v>Máy trộn bê tông - dung tích:</v>
          </cell>
          <cell r="E259" t="str">
            <v>-</v>
          </cell>
          <cell r="P259">
            <v>0</v>
          </cell>
          <cell r="Q259">
            <v>0</v>
          </cell>
          <cell r="R259">
            <v>0</v>
          </cell>
          <cell r="S259">
            <v>0</v>
          </cell>
        </row>
        <row r="260">
          <cell r="B260" t="str">
            <v>M104.0101</v>
          </cell>
          <cell r="C260" t="str">
            <v>100 lít</v>
          </cell>
          <cell r="D260" t="str">
            <v>kWh</v>
          </cell>
          <cell r="E260">
            <v>15661</v>
          </cell>
          <cell r="F260" t="str">
            <v>1x3/7</v>
          </cell>
          <cell r="G260">
            <v>23050</v>
          </cell>
          <cell r="H260">
            <v>241838</v>
          </cell>
          <cell r="I260">
            <v>214511</v>
          </cell>
          <cell r="J260">
            <v>187673</v>
          </cell>
          <cell r="K260">
            <v>309526</v>
          </cell>
          <cell r="L260">
            <v>300107</v>
          </cell>
          <cell r="M260">
            <v>272780</v>
          </cell>
          <cell r="N260">
            <v>245942</v>
          </cell>
          <cell r="O260">
            <v>367795</v>
          </cell>
          <cell r="P260">
            <v>541945</v>
          </cell>
          <cell r="Q260">
            <v>487291</v>
          </cell>
          <cell r="R260">
            <v>433615</v>
          </cell>
          <cell r="S260">
            <v>677321</v>
          </cell>
        </row>
        <row r="261">
          <cell r="B261" t="str">
            <v>M104.0102</v>
          </cell>
          <cell r="C261" t="str">
            <v>250 lít</v>
          </cell>
          <cell r="D261" t="str">
            <v>kWh</v>
          </cell>
          <cell r="E261">
            <v>21534</v>
          </cell>
          <cell r="F261" t="str">
            <v>1x3/7</v>
          </cell>
          <cell r="G261">
            <v>30210</v>
          </cell>
          <cell r="H261">
            <v>241838</v>
          </cell>
          <cell r="I261">
            <v>214511</v>
          </cell>
          <cell r="J261">
            <v>187673</v>
          </cell>
          <cell r="K261">
            <v>309526</v>
          </cell>
          <cell r="L261">
            <v>315736</v>
          </cell>
          <cell r="M261">
            <v>288409</v>
          </cell>
          <cell r="N261">
            <v>261571</v>
          </cell>
          <cell r="O261">
            <v>383424</v>
          </cell>
          <cell r="P261">
            <v>557574</v>
          </cell>
          <cell r="Q261">
            <v>502920</v>
          </cell>
          <cell r="R261">
            <v>449244</v>
          </cell>
          <cell r="S261">
            <v>692950</v>
          </cell>
        </row>
        <row r="262">
          <cell r="B262" t="str">
            <v>M104.0200</v>
          </cell>
          <cell r="C262" t="str">
            <v>Máy trộn vữa - dung tích:</v>
          </cell>
          <cell r="E262" t="str">
            <v>-</v>
          </cell>
          <cell r="P262">
            <v>0</v>
          </cell>
          <cell r="Q262">
            <v>0</v>
          </cell>
          <cell r="R262">
            <v>0</v>
          </cell>
          <cell r="S262">
            <v>0</v>
          </cell>
        </row>
        <row r="263">
          <cell r="B263" t="str">
            <v>M104.0201</v>
          </cell>
          <cell r="C263" t="str">
            <v>80 lít</v>
          </cell>
          <cell r="D263" t="str">
            <v>kWh</v>
          </cell>
          <cell r="E263">
            <v>9788</v>
          </cell>
          <cell r="F263" t="str">
            <v>1x3/7</v>
          </cell>
          <cell r="G263">
            <v>12841</v>
          </cell>
          <cell r="H263">
            <v>241838</v>
          </cell>
          <cell r="I263">
            <v>214511</v>
          </cell>
          <cell r="J263">
            <v>187673</v>
          </cell>
          <cell r="K263">
            <v>309526</v>
          </cell>
          <cell r="L263">
            <v>274891</v>
          </cell>
          <cell r="M263">
            <v>247564</v>
          </cell>
          <cell r="N263">
            <v>220726</v>
          </cell>
          <cell r="O263">
            <v>342579</v>
          </cell>
          <cell r="P263">
            <v>516729</v>
          </cell>
          <cell r="Q263">
            <v>462075</v>
          </cell>
          <cell r="R263">
            <v>408399</v>
          </cell>
          <cell r="S263">
            <v>652105</v>
          </cell>
        </row>
        <row r="264">
          <cell r="B264" t="str">
            <v>M104.0202</v>
          </cell>
          <cell r="C264" t="str">
            <v>150 lít</v>
          </cell>
          <cell r="D264" t="str">
            <v>kWh</v>
          </cell>
          <cell r="E264">
            <v>15661</v>
          </cell>
          <cell r="F264" t="str">
            <v>1x3/7</v>
          </cell>
          <cell r="G264">
            <v>17828</v>
          </cell>
          <cell r="H264">
            <v>241838</v>
          </cell>
          <cell r="I264">
            <v>214511</v>
          </cell>
          <cell r="J264">
            <v>187673</v>
          </cell>
          <cell r="K264">
            <v>309526</v>
          </cell>
          <cell r="L264">
            <v>289799</v>
          </cell>
          <cell r="M264">
            <v>262472</v>
          </cell>
          <cell r="N264">
            <v>235634</v>
          </cell>
          <cell r="O264">
            <v>357487</v>
          </cell>
          <cell r="P264">
            <v>531637</v>
          </cell>
          <cell r="Q264">
            <v>476983</v>
          </cell>
          <cell r="R264">
            <v>423307</v>
          </cell>
          <cell r="S264">
            <v>667013</v>
          </cell>
        </row>
        <row r="265">
          <cell r="B265" t="str">
            <v>M104.0203</v>
          </cell>
          <cell r="C265" t="str">
            <v>250 lít</v>
          </cell>
          <cell r="D265" t="str">
            <v>kWh</v>
          </cell>
          <cell r="E265">
            <v>21534</v>
          </cell>
          <cell r="F265" t="str">
            <v>1x3/7</v>
          </cell>
          <cell r="G265">
            <v>22873</v>
          </cell>
          <cell r="H265">
            <v>241838</v>
          </cell>
          <cell r="I265">
            <v>214511</v>
          </cell>
          <cell r="J265">
            <v>187673</v>
          </cell>
          <cell r="K265">
            <v>309526</v>
          </cell>
          <cell r="L265">
            <v>304813</v>
          </cell>
          <cell r="M265">
            <v>277486</v>
          </cell>
          <cell r="N265">
            <v>250648</v>
          </cell>
          <cell r="O265">
            <v>372501</v>
          </cell>
          <cell r="P265">
            <v>546651</v>
          </cell>
          <cell r="Q265">
            <v>491997</v>
          </cell>
          <cell r="R265">
            <v>438321</v>
          </cell>
          <cell r="S265">
            <v>682027</v>
          </cell>
        </row>
        <row r="266">
          <cell r="B266" t="str">
            <v>M104.0300</v>
          </cell>
          <cell r="C266" t="str">
            <v>Máy trộn vữa xi măng - dung tích:</v>
          </cell>
          <cell r="E266" t="str">
            <v>-</v>
          </cell>
          <cell r="P266">
            <v>0</v>
          </cell>
          <cell r="Q266">
            <v>0</v>
          </cell>
          <cell r="R266">
            <v>0</v>
          </cell>
          <cell r="S266">
            <v>0</v>
          </cell>
        </row>
        <row r="267">
          <cell r="B267" t="str">
            <v>M104.0301</v>
          </cell>
          <cell r="C267" t="str">
            <v>1200 lít</v>
          </cell>
          <cell r="D267" t="str">
            <v>kWh</v>
          </cell>
          <cell r="E267">
            <v>140952</v>
          </cell>
          <cell r="F267" t="str">
            <v>1x4/7</v>
          </cell>
          <cell r="G267">
            <v>75863</v>
          </cell>
          <cell r="H267">
            <v>287074</v>
          </cell>
          <cell r="I267">
            <v>254635</v>
          </cell>
          <cell r="J267">
            <v>222777</v>
          </cell>
          <cell r="K267">
            <v>367424</v>
          </cell>
          <cell r="L267">
            <v>556993</v>
          </cell>
          <cell r="M267">
            <v>524554</v>
          </cell>
          <cell r="N267">
            <v>492696</v>
          </cell>
          <cell r="O267">
            <v>637343</v>
          </cell>
          <cell r="P267">
            <v>844067</v>
          </cell>
          <cell r="Q267">
            <v>779189</v>
          </cell>
          <cell r="R267">
            <v>715473</v>
          </cell>
          <cell r="S267">
            <v>1004767</v>
          </cell>
        </row>
        <row r="268">
          <cell r="B268" t="str">
            <v>M104.0302</v>
          </cell>
          <cell r="C268" t="str">
            <v>1600 lít</v>
          </cell>
          <cell r="D268" t="str">
            <v>kWh</v>
          </cell>
          <cell r="E268">
            <v>187936</v>
          </cell>
          <cell r="F268" t="str">
            <v>1x4/7</v>
          </cell>
          <cell r="G268">
            <v>104103</v>
          </cell>
          <cell r="H268">
            <v>287074</v>
          </cell>
          <cell r="I268">
            <v>254635</v>
          </cell>
          <cell r="J268">
            <v>222777</v>
          </cell>
          <cell r="K268">
            <v>367424</v>
          </cell>
          <cell r="L268">
            <v>651985</v>
          </cell>
          <cell r="M268">
            <v>619546</v>
          </cell>
          <cell r="N268">
            <v>587688</v>
          </cell>
          <cell r="O268">
            <v>732335</v>
          </cell>
          <cell r="P268">
            <v>939059</v>
          </cell>
          <cell r="Q268">
            <v>874181</v>
          </cell>
          <cell r="R268">
            <v>810465</v>
          </cell>
          <cell r="S268">
            <v>1099759</v>
          </cell>
        </row>
        <row r="269">
          <cell r="B269" t="str">
            <v>M104.0400</v>
          </cell>
          <cell r="C269" t="str">
            <v>Trạm trộn bê tông - năng suất:</v>
          </cell>
          <cell r="E269" t="str">
            <v>-</v>
          </cell>
          <cell r="P269">
            <v>0</v>
          </cell>
          <cell r="Q269">
            <v>0</v>
          </cell>
          <cell r="R269">
            <v>0</v>
          </cell>
          <cell r="S269">
            <v>0</v>
          </cell>
        </row>
        <row r="270">
          <cell r="B270" t="str">
            <v>M104.0401</v>
          </cell>
          <cell r="C270" t="str">
            <v>16 m3/h</v>
          </cell>
          <cell r="D270" t="str">
            <v>kWh</v>
          </cell>
          <cell r="E270">
            <v>180105</v>
          </cell>
          <cell r="F270" t="str">
            <v>1x3/7+1x5/7</v>
          </cell>
          <cell r="G270">
            <v>907804</v>
          </cell>
          <cell r="H270">
            <v>579367</v>
          </cell>
          <cell r="I270">
            <v>513900</v>
          </cell>
          <cell r="J270">
            <v>449605</v>
          </cell>
          <cell r="K270">
            <v>741527</v>
          </cell>
          <cell r="L270">
            <v>1607919</v>
          </cell>
          <cell r="M270">
            <v>1542452</v>
          </cell>
          <cell r="N270">
            <v>1478157</v>
          </cell>
          <cell r="O270">
            <v>1770079</v>
          </cell>
          <cell r="P270">
            <v>2187286</v>
          </cell>
          <cell r="Q270">
            <v>2056352</v>
          </cell>
          <cell r="R270">
            <v>1927762</v>
          </cell>
          <cell r="S270">
            <v>2511606</v>
          </cell>
        </row>
        <row r="271">
          <cell r="B271" t="str">
            <v>M104.0402</v>
          </cell>
          <cell r="C271" t="str">
            <v>25 m3/h</v>
          </cell>
          <cell r="D271" t="str">
            <v>kWh</v>
          </cell>
          <cell r="E271">
            <v>227089</v>
          </cell>
          <cell r="F271" t="str">
            <v>1x3/7+1x5/7</v>
          </cell>
          <cell r="G271">
            <v>1264024</v>
          </cell>
          <cell r="H271">
            <v>579367</v>
          </cell>
          <cell r="I271">
            <v>513900</v>
          </cell>
          <cell r="J271">
            <v>449605</v>
          </cell>
          <cell r="K271">
            <v>741527</v>
          </cell>
          <cell r="L271">
            <v>1978109</v>
          </cell>
          <cell r="M271">
            <v>1912642</v>
          </cell>
          <cell r="N271">
            <v>1848347</v>
          </cell>
          <cell r="O271">
            <v>2140269</v>
          </cell>
          <cell r="P271">
            <v>2557476</v>
          </cell>
          <cell r="Q271">
            <v>2426542</v>
          </cell>
          <cell r="R271">
            <v>2297952</v>
          </cell>
          <cell r="S271">
            <v>2881796</v>
          </cell>
        </row>
        <row r="272">
          <cell r="B272" t="str">
            <v>M104.0403</v>
          </cell>
          <cell r="C272" t="str">
            <v>30 m3/h</v>
          </cell>
          <cell r="D272" t="str">
            <v>kWh</v>
          </cell>
          <cell r="E272">
            <v>336718</v>
          </cell>
          <cell r="F272" t="str">
            <v>1x3/7+1x5/7</v>
          </cell>
          <cell r="G272">
            <v>1596969</v>
          </cell>
          <cell r="H272">
            <v>579367</v>
          </cell>
          <cell r="I272">
            <v>513900</v>
          </cell>
          <cell r="J272">
            <v>449605</v>
          </cell>
          <cell r="K272">
            <v>741527</v>
          </cell>
          <cell r="L272">
            <v>2396352</v>
          </cell>
          <cell r="M272">
            <v>2330885</v>
          </cell>
          <cell r="N272">
            <v>2266590</v>
          </cell>
          <cell r="O272">
            <v>2558512</v>
          </cell>
          <cell r="P272">
            <v>2975719</v>
          </cell>
          <cell r="Q272">
            <v>2844785</v>
          </cell>
          <cell r="R272">
            <v>2716195</v>
          </cell>
          <cell r="S272">
            <v>3300039</v>
          </cell>
        </row>
        <row r="273">
          <cell r="B273" t="str">
            <v>M104.0404</v>
          </cell>
          <cell r="C273" t="str">
            <v>50 m3/h</v>
          </cell>
          <cell r="D273" t="str">
            <v>kWh</v>
          </cell>
          <cell r="E273">
            <v>387617</v>
          </cell>
          <cell r="F273" t="str">
            <v>1x3/7+1x5/7</v>
          </cell>
          <cell r="G273">
            <v>2549373</v>
          </cell>
          <cell r="H273">
            <v>579367</v>
          </cell>
          <cell r="I273">
            <v>513900</v>
          </cell>
          <cell r="J273">
            <v>449605</v>
          </cell>
          <cell r="K273">
            <v>741527</v>
          </cell>
          <cell r="L273">
            <v>3330057</v>
          </cell>
          <cell r="M273">
            <v>3264590</v>
          </cell>
          <cell r="N273">
            <v>3200295</v>
          </cell>
          <cell r="O273">
            <v>3492217</v>
          </cell>
          <cell r="P273">
            <v>3909424</v>
          </cell>
          <cell r="Q273">
            <v>3778490</v>
          </cell>
          <cell r="R273">
            <v>3649900</v>
          </cell>
          <cell r="S273">
            <v>4233744</v>
          </cell>
        </row>
        <row r="274">
          <cell r="B274" t="str">
            <v>M104.0405</v>
          </cell>
          <cell r="C274" t="str">
            <v>60 m3/h</v>
          </cell>
          <cell r="D274" t="str">
            <v>kWh</v>
          </cell>
          <cell r="E274">
            <v>51878</v>
          </cell>
          <cell r="F274" t="str">
            <v>1x3/7+1x5/7</v>
          </cell>
          <cell r="G274">
            <v>2804470</v>
          </cell>
          <cell r="H274">
            <v>579367</v>
          </cell>
          <cell r="I274">
            <v>513900</v>
          </cell>
          <cell r="J274">
            <v>449605</v>
          </cell>
          <cell r="K274">
            <v>741527</v>
          </cell>
          <cell r="L274">
            <v>3665316</v>
          </cell>
          <cell r="M274">
            <v>3599849</v>
          </cell>
          <cell r="N274">
            <v>3535554</v>
          </cell>
          <cell r="O274">
            <v>3827476</v>
          </cell>
          <cell r="P274">
            <v>4244683</v>
          </cell>
          <cell r="Q274">
            <v>4113749</v>
          </cell>
          <cell r="R274">
            <v>3985159</v>
          </cell>
          <cell r="S274">
            <v>4569003</v>
          </cell>
        </row>
        <row r="275">
          <cell r="B275" t="str">
            <v>M104.0406</v>
          </cell>
          <cell r="C275" t="str">
            <v>75 m3/h</v>
          </cell>
          <cell r="D275" t="str">
            <v>kWh</v>
          </cell>
          <cell r="E275">
            <v>818303</v>
          </cell>
          <cell r="F275" t="str">
            <v>2x3/7+1x5/7</v>
          </cell>
          <cell r="G275">
            <v>3237391</v>
          </cell>
          <cell r="H275">
            <v>821205</v>
          </cell>
          <cell r="I275">
            <v>728411</v>
          </cell>
          <cell r="J275">
            <v>637278</v>
          </cell>
          <cell r="K275">
            <v>1051054</v>
          </cell>
          <cell r="L275">
            <v>4602966</v>
          </cell>
          <cell r="M275">
            <v>4510172</v>
          </cell>
          <cell r="N275">
            <v>4419039</v>
          </cell>
          <cell r="O275">
            <v>4832815</v>
          </cell>
          <cell r="P275">
            <v>5424171</v>
          </cell>
          <cell r="Q275">
            <v>5238583</v>
          </cell>
          <cell r="R275">
            <v>5056317</v>
          </cell>
          <cell r="S275">
            <v>5883869</v>
          </cell>
        </row>
        <row r="276">
          <cell r="B276" t="str">
            <v>M104.0407</v>
          </cell>
          <cell r="C276" t="str">
            <v>90 m3/h</v>
          </cell>
          <cell r="D276" t="str">
            <v>kWh</v>
          </cell>
          <cell r="E276">
            <v>832006</v>
          </cell>
          <cell r="F276" t="str">
            <v>2x3/7+1x5/7</v>
          </cell>
          <cell r="G276">
            <v>4306280</v>
          </cell>
          <cell r="H276">
            <v>821205</v>
          </cell>
          <cell r="I276">
            <v>728411</v>
          </cell>
          <cell r="J276">
            <v>637278</v>
          </cell>
          <cell r="K276">
            <v>1051054</v>
          </cell>
          <cell r="L276">
            <v>5595114</v>
          </cell>
          <cell r="M276">
            <v>5502320</v>
          </cell>
          <cell r="N276">
            <v>5411187</v>
          </cell>
          <cell r="O276">
            <v>5824963</v>
          </cell>
          <cell r="P276">
            <v>6416319</v>
          </cell>
          <cell r="Q276">
            <v>6230731</v>
          </cell>
          <cell r="R276">
            <v>6048465</v>
          </cell>
          <cell r="S276">
            <v>6876017</v>
          </cell>
        </row>
        <row r="277">
          <cell r="B277" t="str">
            <v>M104.0408</v>
          </cell>
          <cell r="C277" t="str">
            <v>125 m3/h</v>
          </cell>
          <cell r="D277" t="str">
            <v>kWh</v>
          </cell>
          <cell r="E277">
            <v>873117</v>
          </cell>
          <cell r="F277" t="str">
            <v>2x3/7+1x5/7</v>
          </cell>
          <cell r="G277">
            <v>5375168</v>
          </cell>
          <cell r="H277">
            <v>821205</v>
          </cell>
          <cell r="I277">
            <v>728411</v>
          </cell>
          <cell r="J277">
            <v>637278</v>
          </cell>
          <cell r="K277">
            <v>1051054</v>
          </cell>
          <cell r="L277">
            <v>6614668</v>
          </cell>
          <cell r="M277">
            <v>6521874</v>
          </cell>
          <cell r="N277">
            <v>6430741</v>
          </cell>
          <cell r="O277">
            <v>6844517</v>
          </cell>
          <cell r="P277">
            <v>7435873</v>
          </cell>
          <cell r="Q277">
            <v>7250285</v>
          </cell>
          <cell r="R277">
            <v>7068019</v>
          </cell>
          <cell r="S277">
            <v>7895571</v>
          </cell>
        </row>
        <row r="278">
          <cell r="B278" t="str">
            <v>M104.0409</v>
          </cell>
          <cell r="C278" t="str">
            <v>160 m3/h</v>
          </cell>
          <cell r="D278" t="str">
            <v>kWh</v>
          </cell>
          <cell r="E278">
            <v>1082587</v>
          </cell>
          <cell r="F278" t="str">
            <v>3x3/7+1x5/7</v>
          </cell>
          <cell r="G278">
            <v>5643909</v>
          </cell>
          <cell r="H278">
            <v>1063044</v>
          </cell>
          <cell r="I278">
            <v>942922</v>
          </cell>
          <cell r="J278">
            <v>824950</v>
          </cell>
          <cell r="K278">
            <v>1360580</v>
          </cell>
          <cell r="L278">
            <v>7246857</v>
          </cell>
          <cell r="M278">
            <v>7126735</v>
          </cell>
          <cell r="N278">
            <v>7008763</v>
          </cell>
          <cell r="O278">
            <v>7544393</v>
          </cell>
          <cell r="P278">
            <v>8309901</v>
          </cell>
          <cell r="Q278">
            <v>8069657</v>
          </cell>
          <cell r="R278">
            <v>7833713</v>
          </cell>
          <cell r="S278">
            <v>8904973</v>
          </cell>
        </row>
        <row r="279">
          <cell r="B279" t="str">
            <v>M104.0500</v>
          </cell>
          <cell r="C279" t="str">
            <v>Máy sàng rửa đá, sỏi - năng</v>
          </cell>
          <cell r="E279" t="str">
            <v>-</v>
          </cell>
          <cell r="P279">
            <v>0</v>
          </cell>
          <cell r="Q279">
            <v>0</v>
          </cell>
          <cell r="R279">
            <v>0</v>
          </cell>
          <cell r="S279">
            <v>0</v>
          </cell>
        </row>
        <row r="280">
          <cell r="B280" t="str">
            <v>M104.0501</v>
          </cell>
          <cell r="C280" t="str">
            <v>35 m3/h</v>
          </cell>
          <cell r="D280" t="str">
            <v>kWh</v>
          </cell>
          <cell r="E280">
            <v>148782</v>
          </cell>
          <cell r="F280" t="str">
            <v>1x4/7</v>
          </cell>
          <cell r="G280">
            <v>18917</v>
          </cell>
          <cell r="H280">
            <v>287074</v>
          </cell>
          <cell r="I280">
            <v>254635</v>
          </cell>
          <cell r="J280">
            <v>222777</v>
          </cell>
          <cell r="K280">
            <v>367424</v>
          </cell>
          <cell r="L280">
            <v>473202</v>
          </cell>
          <cell r="M280">
            <v>440763</v>
          </cell>
          <cell r="N280">
            <v>408905</v>
          </cell>
          <cell r="O280">
            <v>553552</v>
          </cell>
          <cell r="P280">
            <v>760276</v>
          </cell>
          <cell r="Q280">
            <v>695398</v>
          </cell>
          <cell r="R280">
            <v>631682</v>
          </cell>
          <cell r="S280">
            <v>920976</v>
          </cell>
        </row>
        <row r="281">
          <cell r="B281" t="str">
            <v>M104.0502</v>
          </cell>
          <cell r="C281" t="str">
            <v>45 m3/h</v>
          </cell>
          <cell r="D281" t="str">
            <v>kWh</v>
          </cell>
          <cell r="E281">
            <v>189893</v>
          </cell>
          <cell r="F281" t="str">
            <v>1x4/7</v>
          </cell>
          <cell r="G281">
            <v>23618</v>
          </cell>
          <cell r="H281">
            <v>287074</v>
          </cell>
          <cell r="I281">
            <v>254635</v>
          </cell>
          <cell r="J281">
            <v>222777</v>
          </cell>
          <cell r="K281">
            <v>367424</v>
          </cell>
          <cell r="L281">
            <v>523594</v>
          </cell>
          <cell r="M281">
            <v>491155</v>
          </cell>
          <cell r="N281">
            <v>459297</v>
          </cell>
          <cell r="O281">
            <v>603944</v>
          </cell>
          <cell r="P281">
            <v>810668</v>
          </cell>
          <cell r="Q281">
            <v>745790</v>
          </cell>
          <cell r="R281">
            <v>682074</v>
          </cell>
          <cell r="S281">
            <v>971368</v>
          </cell>
        </row>
        <row r="282">
          <cell r="B282" t="str">
            <v>M104.0600</v>
          </cell>
          <cell r="C282" t="str">
            <v>Máy nghiền sàng đá di động - năng suất:</v>
          </cell>
          <cell r="E282" t="str">
            <v>-</v>
          </cell>
          <cell r="P282">
            <v>0</v>
          </cell>
          <cell r="Q282">
            <v>0</v>
          </cell>
          <cell r="R282">
            <v>0</v>
          </cell>
          <cell r="S282">
            <v>0</v>
          </cell>
        </row>
        <row r="283">
          <cell r="B283" t="str">
            <v>M104.0601</v>
          </cell>
          <cell r="C283" t="str">
            <v>20 m3/h</v>
          </cell>
          <cell r="D283" t="str">
            <v>kWh</v>
          </cell>
          <cell r="E283">
            <v>616664</v>
          </cell>
          <cell r="F283" t="str">
            <v>1x3/7+1x4/7</v>
          </cell>
          <cell r="G283">
            <v>1351273</v>
          </cell>
          <cell r="H283">
            <v>528912</v>
          </cell>
          <cell r="I283">
            <v>469146</v>
          </cell>
          <cell r="J283">
            <v>410450</v>
          </cell>
          <cell r="K283">
            <v>676950</v>
          </cell>
          <cell r="L283">
            <v>2694342</v>
          </cell>
          <cell r="M283">
            <v>2634576</v>
          </cell>
          <cell r="N283">
            <v>2575880</v>
          </cell>
          <cell r="O283">
            <v>2842380</v>
          </cell>
          <cell r="P283">
            <v>3223254</v>
          </cell>
          <cell r="Q283">
            <v>3103722</v>
          </cell>
          <cell r="R283">
            <v>2986330</v>
          </cell>
          <cell r="S283">
            <v>3519330</v>
          </cell>
        </row>
        <row r="284">
          <cell r="B284" t="str">
            <v>M104.0602</v>
          </cell>
          <cell r="C284" t="str">
            <v>25 m3/h</v>
          </cell>
          <cell r="D284" t="str">
            <v>kWh</v>
          </cell>
          <cell r="E284">
            <v>698885</v>
          </cell>
          <cell r="F284" t="str">
            <v>1x3/7+1x4/7</v>
          </cell>
          <cell r="G284">
            <v>1766194</v>
          </cell>
          <cell r="H284">
            <v>528912</v>
          </cell>
          <cell r="I284">
            <v>469146</v>
          </cell>
          <cell r="J284">
            <v>410450</v>
          </cell>
          <cell r="K284">
            <v>676950</v>
          </cell>
          <cell r="L284">
            <v>3184197</v>
          </cell>
          <cell r="M284">
            <v>3124431</v>
          </cell>
          <cell r="N284">
            <v>3065735</v>
          </cell>
          <cell r="O284">
            <v>3332235</v>
          </cell>
          <cell r="P284">
            <v>3713109</v>
          </cell>
          <cell r="Q284">
            <v>3593577</v>
          </cell>
          <cell r="R284">
            <v>3476185</v>
          </cell>
          <cell r="S284">
            <v>4009185</v>
          </cell>
        </row>
        <row r="285">
          <cell r="B285" t="str">
            <v>M104.0603</v>
          </cell>
          <cell r="C285" t="str">
            <v>125 m3/h</v>
          </cell>
          <cell r="D285" t="str">
            <v>kWh</v>
          </cell>
          <cell r="E285">
            <v>1233327</v>
          </cell>
          <cell r="F285" t="str">
            <v>1x3/7+1x4/7</v>
          </cell>
          <cell r="G285">
            <v>5964816</v>
          </cell>
          <cell r="H285">
            <v>528912</v>
          </cell>
          <cell r="I285">
            <v>469146</v>
          </cell>
          <cell r="J285">
            <v>410450</v>
          </cell>
          <cell r="K285">
            <v>676950</v>
          </cell>
          <cell r="L285">
            <v>8369420</v>
          </cell>
          <cell r="M285">
            <v>8309654</v>
          </cell>
          <cell r="N285">
            <v>8250958</v>
          </cell>
          <cell r="O285">
            <v>8517458</v>
          </cell>
          <cell r="P285">
            <v>8898332</v>
          </cell>
          <cell r="Q285">
            <v>8778800</v>
          </cell>
          <cell r="R285">
            <v>8661408</v>
          </cell>
          <cell r="S285">
            <v>9194408</v>
          </cell>
        </row>
        <row r="286">
          <cell r="B286" t="str">
            <v>M104.0700</v>
          </cell>
          <cell r="C286" t="str">
            <v>Máy nghiền đá thô - năng suất:</v>
          </cell>
          <cell r="E286" t="str">
            <v>-</v>
          </cell>
          <cell r="P286">
            <v>0</v>
          </cell>
          <cell r="Q286">
            <v>0</v>
          </cell>
          <cell r="R286">
            <v>0</v>
          </cell>
          <cell r="S286">
            <v>0</v>
          </cell>
        </row>
        <row r="287">
          <cell r="B287" t="str">
            <v>M104.0701</v>
          </cell>
          <cell r="C287" t="str">
            <v>14 m3/h</v>
          </cell>
          <cell r="D287" t="str">
            <v>kWh</v>
          </cell>
          <cell r="E287">
            <v>262327</v>
          </cell>
          <cell r="F287" t="str">
            <v>1x3/7+1x4/7</v>
          </cell>
          <cell r="G287">
            <v>214626</v>
          </cell>
          <cell r="H287">
            <v>528912</v>
          </cell>
          <cell r="I287">
            <v>469146</v>
          </cell>
          <cell r="J287">
            <v>410450</v>
          </cell>
          <cell r="K287">
            <v>676950</v>
          </cell>
          <cell r="L287">
            <v>1037233</v>
          </cell>
          <cell r="M287">
            <v>977467</v>
          </cell>
          <cell r="N287">
            <v>918771</v>
          </cell>
          <cell r="O287">
            <v>1185271</v>
          </cell>
          <cell r="P287">
            <v>1566145</v>
          </cell>
          <cell r="Q287">
            <v>1446613</v>
          </cell>
          <cell r="R287">
            <v>1329221</v>
          </cell>
          <cell r="S287">
            <v>1862221</v>
          </cell>
        </row>
        <row r="288">
          <cell r="B288" t="str">
            <v>M104.0702</v>
          </cell>
          <cell r="C288" t="str">
            <v>200 m3/h</v>
          </cell>
          <cell r="D288" t="str">
            <v>kWh</v>
          </cell>
          <cell r="E288">
            <v>1644436</v>
          </cell>
          <cell r="F288" t="str">
            <v>1x3/7+1x4/7</v>
          </cell>
          <cell r="G288">
            <v>1831774</v>
          </cell>
          <cell r="H288">
            <v>528912</v>
          </cell>
          <cell r="I288">
            <v>469146</v>
          </cell>
          <cell r="J288">
            <v>410450</v>
          </cell>
          <cell r="K288">
            <v>676950</v>
          </cell>
          <cell r="L288">
            <v>4272843</v>
          </cell>
          <cell r="M288">
            <v>4213077</v>
          </cell>
          <cell r="N288">
            <v>4154381</v>
          </cell>
          <cell r="O288">
            <v>4420881</v>
          </cell>
          <cell r="P288">
            <v>4801755</v>
          </cell>
          <cell r="Q288">
            <v>4682223</v>
          </cell>
          <cell r="R288">
            <v>4564831</v>
          </cell>
          <cell r="S288">
            <v>5097831</v>
          </cell>
        </row>
        <row r="289">
          <cell r="B289" t="str">
            <v>M104.0800</v>
          </cell>
          <cell r="C289" t="str">
            <v>Trạm trộn bê tông asphan - năng suất:</v>
          </cell>
          <cell r="E289" t="str">
            <v>-</v>
          </cell>
          <cell r="P289">
            <v>0</v>
          </cell>
          <cell r="Q289">
            <v>0</v>
          </cell>
          <cell r="R289">
            <v>0</v>
          </cell>
          <cell r="S289">
            <v>0</v>
          </cell>
        </row>
        <row r="290">
          <cell r="B290" t="str">
            <v>M104.0801</v>
          </cell>
          <cell r="C290" t="str">
            <v>25 t/h</v>
          </cell>
          <cell r="D290" t="str">
            <v>kWh</v>
          </cell>
          <cell r="E290">
            <v>411109</v>
          </cell>
          <cell r="F290" t="str">
            <v>1x4/7+1x5/7+1x6/7</v>
          </cell>
          <cell r="G290">
            <v>3286462</v>
          </cell>
          <cell r="H290">
            <v>1024767</v>
          </cell>
          <cell r="I290">
            <v>908970</v>
          </cell>
          <cell r="J290">
            <v>795247</v>
          </cell>
          <cell r="K290">
            <v>1311591</v>
          </cell>
          <cell r="L290">
            <v>5621791</v>
          </cell>
          <cell r="M290">
            <v>5505994</v>
          </cell>
          <cell r="N290">
            <v>5392271</v>
          </cell>
          <cell r="O290">
            <v>5908615</v>
          </cell>
          <cell r="P290">
            <v>6646558</v>
          </cell>
          <cell r="Q290">
            <v>6414964</v>
          </cell>
          <cell r="R290">
            <v>6187518</v>
          </cell>
          <cell r="S290">
            <v>7220206</v>
          </cell>
        </row>
        <row r="291">
          <cell r="B291" t="str">
            <v>M104.0802</v>
          </cell>
          <cell r="C291" t="str">
            <v>50 t/h</v>
          </cell>
          <cell r="D291" t="str">
            <v>kWh</v>
          </cell>
          <cell r="E291">
            <v>587299</v>
          </cell>
          <cell r="F291" t="str">
            <v>1x4/7+1x5/7+1x6/7</v>
          </cell>
          <cell r="G291">
            <v>4648053</v>
          </cell>
          <cell r="H291">
            <v>1024767</v>
          </cell>
          <cell r="I291">
            <v>908970</v>
          </cell>
          <cell r="J291">
            <v>795247</v>
          </cell>
          <cell r="K291">
            <v>1311591</v>
          </cell>
          <cell r="L291">
            <v>7532217</v>
          </cell>
          <cell r="M291">
            <v>7416420</v>
          </cell>
          <cell r="N291">
            <v>7302697</v>
          </cell>
          <cell r="O291">
            <v>7819041</v>
          </cell>
          <cell r="P291">
            <v>8556984</v>
          </cell>
          <cell r="Q291">
            <v>8325390</v>
          </cell>
          <cell r="R291">
            <v>8097944</v>
          </cell>
          <cell r="S291">
            <v>9130632</v>
          </cell>
        </row>
        <row r="292">
          <cell r="B292" t="str">
            <v>M104.0803</v>
          </cell>
          <cell r="C292" t="str">
            <v>60 t/h</v>
          </cell>
          <cell r="D292" t="str">
            <v>kWh</v>
          </cell>
          <cell r="E292">
            <v>634282</v>
          </cell>
          <cell r="F292" t="str">
            <v>2x4/7+1x5/7+1x6/7</v>
          </cell>
          <cell r="G292">
            <v>5422748</v>
          </cell>
          <cell r="H292">
            <v>1311841</v>
          </cell>
          <cell r="I292">
            <v>1163606</v>
          </cell>
          <cell r="J292">
            <v>1018024</v>
          </cell>
          <cell r="K292">
            <v>1679014</v>
          </cell>
          <cell r="L292">
            <v>8852992</v>
          </cell>
          <cell r="M292">
            <v>8704757</v>
          </cell>
          <cell r="N292">
            <v>8559175</v>
          </cell>
          <cell r="O292">
            <v>9220165</v>
          </cell>
          <cell r="P292">
            <v>10164833</v>
          </cell>
          <cell r="Q292">
            <v>9868363</v>
          </cell>
          <cell r="R292">
            <v>9577199</v>
          </cell>
          <cell r="S292">
            <v>10899179</v>
          </cell>
        </row>
        <row r="293">
          <cell r="B293" t="str">
            <v>M104.0804</v>
          </cell>
          <cell r="C293" t="str">
            <v>80 t/h</v>
          </cell>
          <cell r="D293" t="str">
            <v>kWh</v>
          </cell>
          <cell r="E293">
            <v>751742</v>
          </cell>
          <cell r="F293" t="str">
            <v>2x4/7+2x5/7+1x6/7</v>
          </cell>
          <cell r="G293">
            <v>6094486</v>
          </cell>
          <cell r="H293">
            <v>1649370</v>
          </cell>
          <cell r="I293">
            <v>1462995</v>
          </cell>
          <cell r="J293">
            <v>1279956</v>
          </cell>
          <cell r="K293">
            <v>2111015</v>
          </cell>
          <cell r="L293">
            <v>10099410</v>
          </cell>
          <cell r="M293">
            <v>9913035</v>
          </cell>
          <cell r="N293">
            <v>9729996</v>
          </cell>
          <cell r="O293">
            <v>10561055</v>
          </cell>
          <cell r="P293">
            <v>11748780</v>
          </cell>
          <cell r="Q293">
            <v>11376030</v>
          </cell>
          <cell r="R293">
            <v>11009952</v>
          </cell>
          <cell r="S293">
            <v>12672070</v>
          </cell>
        </row>
        <row r="294">
          <cell r="B294" t="str">
            <v>M104.0805</v>
          </cell>
          <cell r="C294" t="str">
            <v>120 t/h</v>
          </cell>
          <cell r="D294" t="str">
            <v>kWh</v>
          </cell>
          <cell r="E294">
            <v>1397771</v>
          </cell>
          <cell r="F294" t="str">
            <v>2x4/7+2x5/7+1x6/7</v>
          </cell>
          <cell r="G294">
            <v>6737442</v>
          </cell>
          <cell r="H294">
            <v>1649370</v>
          </cell>
          <cell r="I294">
            <v>1462995</v>
          </cell>
          <cell r="J294">
            <v>1279956</v>
          </cell>
          <cell r="K294">
            <v>2111015</v>
          </cell>
          <cell r="L294">
            <v>11557594</v>
          </cell>
          <cell r="M294">
            <v>11371219</v>
          </cell>
          <cell r="N294">
            <v>11188180</v>
          </cell>
          <cell r="O294">
            <v>12019239</v>
          </cell>
          <cell r="P294">
            <v>13206964</v>
          </cell>
          <cell r="Q294">
            <v>12834214</v>
          </cell>
          <cell r="R294">
            <v>12468136</v>
          </cell>
          <cell r="S294">
            <v>14130254</v>
          </cell>
        </row>
        <row r="295">
          <cell r="B295" t="str">
            <v>M105.0000</v>
          </cell>
          <cell r="C295" t="str">
            <v>MÁY VÀ THIẾT BỊ THI CÔNG MẶT ĐƯỜNG BỘ</v>
          </cell>
          <cell r="E295" t="str">
            <v>-</v>
          </cell>
          <cell r="P295">
            <v>0</v>
          </cell>
          <cell r="Q295">
            <v>0</v>
          </cell>
          <cell r="R295">
            <v>0</v>
          </cell>
          <cell r="S295">
            <v>0</v>
          </cell>
        </row>
        <row r="296">
          <cell r="B296" t="str">
            <v>M105.0100</v>
          </cell>
          <cell r="C296" t="str">
            <v>Máy phun nhựa đường - công suất:</v>
          </cell>
          <cell r="E296" t="str">
            <v>-</v>
          </cell>
          <cell r="P296">
            <v>0</v>
          </cell>
          <cell r="Q296">
            <v>0</v>
          </cell>
          <cell r="R296">
            <v>0</v>
          </cell>
          <cell r="S296">
            <v>0</v>
          </cell>
        </row>
        <row r="297">
          <cell r="B297" t="str">
            <v>M105.0101</v>
          </cell>
          <cell r="C297" t="str">
            <v>190 cv</v>
          </cell>
          <cell r="D297" t="str">
            <v>lít diezel</v>
          </cell>
          <cell r="E297">
            <v>855031</v>
          </cell>
          <cell r="F297" t="str">
            <v>1x1/4+1x3/4 lái xe</v>
          </cell>
          <cell r="G297">
            <v>930161</v>
          </cell>
          <cell r="H297">
            <v>537877</v>
          </cell>
          <cell r="I297">
            <v>477098</v>
          </cell>
          <cell r="J297">
            <v>417407</v>
          </cell>
          <cell r="K297">
            <v>688424</v>
          </cell>
          <cell r="L297">
            <v>2837758</v>
          </cell>
          <cell r="M297">
            <v>2776979</v>
          </cell>
          <cell r="N297">
            <v>2717288</v>
          </cell>
          <cell r="O297">
            <v>2988305</v>
          </cell>
          <cell r="P297">
            <v>3375635</v>
          </cell>
          <cell r="Q297">
            <v>3254077</v>
          </cell>
          <cell r="R297">
            <v>3134695</v>
          </cell>
          <cell r="S297">
            <v>3676729</v>
          </cell>
        </row>
        <row r="298">
          <cell r="B298" t="str">
            <v>M105.0200</v>
          </cell>
          <cell r="C298" t="str">
            <v>Máy rải hỗn hợp bê tông nhựa - năng suất:</v>
          </cell>
          <cell r="E298" t="str">
            <v>-</v>
          </cell>
          <cell r="P298">
            <v>0</v>
          </cell>
          <cell r="Q298">
            <v>0</v>
          </cell>
          <cell r="R298">
            <v>0</v>
          </cell>
          <cell r="S298">
            <v>0</v>
          </cell>
        </row>
        <row r="299">
          <cell r="B299" t="str">
            <v>M105.0201</v>
          </cell>
          <cell r="C299" t="str">
            <v>65 t/h</v>
          </cell>
          <cell r="D299" t="str">
            <v>lít diezel</v>
          </cell>
          <cell r="E299">
            <v>510019</v>
          </cell>
          <cell r="F299" t="str">
            <v>1x3/7+1x5/7</v>
          </cell>
          <cell r="G299">
            <v>1284890</v>
          </cell>
          <cell r="H299">
            <v>579367</v>
          </cell>
          <cell r="I299">
            <v>513900</v>
          </cell>
          <cell r="J299">
            <v>449605</v>
          </cell>
          <cell r="K299">
            <v>741527</v>
          </cell>
          <cell r="L299">
            <v>2802572</v>
          </cell>
          <cell r="M299">
            <v>2737105</v>
          </cell>
          <cell r="N299">
            <v>2672810</v>
          </cell>
          <cell r="O299">
            <v>2964732</v>
          </cell>
          <cell r="P299">
            <v>3381939</v>
          </cell>
          <cell r="Q299">
            <v>3251005</v>
          </cell>
          <cell r="R299">
            <v>3122415</v>
          </cell>
          <cell r="S299">
            <v>3706259</v>
          </cell>
        </row>
        <row r="300">
          <cell r="B300" t="str">
            <v>M105.0202</v>
          </cell>
          <cell r="C300" t="str">
            <v>100 t/h</v>
          </cell>
          <cell r="D300" t="str">
            <v>lít diezel</v>
          </cell>
          <cell r="E300">
            <v>750027</v>
          </cell>
          <cell r="F300" t="str">
            <v>1x3/7+1x5/7</v>
          </cell>
          <cell r="G300">
            <v>1520612</v>
          </cell>
          <cell r="H300">
            <v>579367</v>
          </cell>
          <cell r="I300">
            <v>513900</v>
          </cell>
          <cell r="J300">
            <v>449605</v>
          </cell>
          <cell r="K300">
            <v>741527</v>
          </cell>
          <cell r="L300">
            <v>3356877</v>
          </cell>
          <cell r="M300">
            <v>3291410</v>
          </cell>
          <cell r="N300">
            <v>3227115</v>
          </cell>
          <cell r="O300">
            <v>3519037</v>
          </cell>
          <cell r="P300">
            <v>3936244</v>
          </cell>
          <cell r="Q300">
            <v>3805310</v>
          </cell>
          <cell r="R300">
            <v>3676720</v>
          </cell>
          <cell r="S300">
            <v>4260564</v>
          </cell>
        </row>
        <row r="301">
          <cell r="B301" t="str">
            <v>M105.0203</v>
          </cell>
          <cell r="C301" t="str">
            <v>130 cv - 140 cv</v>
          </cell>
          <cell r="D301" t="str">
            <v>lít diezel</v>
          </cell>
          <cell r="E301">
            <v>945034</v>
          </cell>
          <cell r="F301" t="str">
            <v>1x3/7+1x5/7</v>
          </cell>
          <cell r="G301">
            <v>2991351</v>
          </cell>
          <cell r="H301">
            <v>579367</v>
          </cell>
          <cell r="I301">
            <v>513900</v>
          </cell>
          <cell r="J301">
            <v>449605</v>
          </cell>
          <cell r="K301">
            <v>741527</v>
          </cell>
          <cell r="L301">
            <v>5080785</v>
          </cell>
          <cell r="M301">
            <v>5015318</v>
          </cell>
          <cell r="N301">
            <v>4951023</v>
          </cell>
          <cell r="O301">
            <v>5242945</v>
          </cell>
          <cell r="P301">
            <v>5660152</v>
          </cell>
          <cell r="Q301">
            <v>5529218</v>
          </cell>
          <cell r="R301">
            <v>5400628</v>
          </cell>
          <cell r="S301">
            <v>5984472</v>
          </cell>
        </row>
        <row r="302">
          <cell r="B302" t="str">
            <v>M105.0301</v>
          </cell>
          <cell r="C302" t="str">
            <v>Máy rải Novachip 170 cv</v>
          </cell>
          <cell r="D302" t="str">
            <v>lít diezel</v>
          </cell>
          <cell r="E302">
            <v>1185043</v>
          </cell>
          <cell r="F302" t="str">
            <v>1x3/7+1x5/7</v>
          </cell>
          <cell r="G302">
            <v>13200000</v>
          </cell>
          <cell r="H302">
            <v>579367</v>
          </cell>
          <cell r="I302">
            <v>513900</v>
          </cell>
          <cell r="J302">
            <v>449605</v>
          </cell>
          <cell r="K302">
            <v>741527</v>
          </cell>
          <cell r="L302">
            <v>17457743</v>
          </cell>
          <cell r="M302">
            <v>17392276</v>
          </cell>
          <cell r="N302">
            <v>17327981</v>
          </cell>
          <cell r="O302">
            <v>17619903</v>
          </cell>
          <cell r="P302">
            <v>18037110</v>
          </cell>
          <cell r="Q302">
            <v>17906176</v>
          </cell>
          <cell r="R302">
            <v>17777586</v>
          </cell>
          <cell r="S302">
            <v>18361430</v>
          </cell>
        </row>
        <row r="303">
          <cell r="B303" t="str">
            <v>M105.0401</v>
          </cell>
          <cell r="C303" t="str">
            <v>Máy rải cấp phối đá dăm, năng suất 50 m3/h - 60 m3/h</v>
          </cell>
          <cell r="D303" t="str">
            <v>lít diezel</v>
          </cell>
          <cell r="E303">
            <v>450016</v>
          </cell>
          <cell r="F303" t="str">
            <v>1x3/7+1x5/7</v>
          </cell>
          <cell r="G303">
            <v>2043419</v>
          </cell>
          <cell r="H303">
            <v>579367</v>
          </cell>
          <cell r="I303">
            <v>513900</v>
          </cell>
          <cell r="J303">
            <v>449605</v>
          </cell>
          <cell r="K303">
            <v>741527</v>
          </cell>
          <cell r="L303">
            <v>3504191</v>
          </cell>
          <cell r="M303">
            <v>3438724</v>
          </cell>
          <cell r="N303">
            <v>3374429</v>
          </cell>
          <cell r="O303">
            <v>3666351</v>
          </cell>
          <cell r="P303">
            <v>4083558</v>
          </cell>
          <cell r="Q303">
            <v>3952624</v>
          </cell>
          <cell r="R303">
            <v>3824034</v>
          </cell>
          <cell r="S303">
            <v>4407878</v>
          </cell>
        </row>
        <row r="304">
          <cell r="B304" t="str">
            <v>M105.0402</v>
          </cell>
          <cell r="C304" t="str">
            <v>Máy rải xi măng SW16TC (16m3)</v>
          </cell>
          <cell r="D304" t="str">
            <v>lít diezel</v>
          </cell>
          <cell r="E304">
            <v>855031</v>
          </cell>
          <cell r="F304" t="str">
            <v>1x3/7+1x5/7</v>
          </cell>
          <cell r="G304">
            <v>6500000</v>
          </cell>
          <cell r="H304">
            <v>579367</v>
          </cell>
          <cell r="I304">
            <v>513900</v>
          </cell>
          <cell r="J304">
            <v>449605</v>
          </cell>
          <cell r="K304">
            <v>741527</v>
          </cell>
          <cell r="L304">
            <v>10173287</v>
          </cell>
          <cell r="M304">
            <v>10107820</v>
          </cell>
          <cell r="N304">
            <v>10043525</v>
          </cell>
          <cell r="O304">
            <v>10335447</v>
          </cell>
          <cell r="P304">
            <v>10752654</v>
          </cell>
          <cell r="Q304">
            <v>10621720</v>
          </cell>
          <cell r="R304">
            <v>10493130</v>
          </cell>
          <cell r="S304">
            <v>11076974</v>
          </cell>
        </row>
        <row r="305">
          <cell r="B305" t="str">
            <v>M105.0500</v>
          </cell>
          <cell r="C305" t="str">
            <v>Máy cào bóc</v>
          </cell>
          <cell r="E305" t="str">
            <v>-</v>
          </cell>
          <cell r="P305">
            <v>0</v>
          </cell>
          <cell r="Q305">
            <v>0</v>
          </cell>
          <cell r="R305">
            <v>0</v>
          </cell>
          <cell r="S305">
            <v>0</v>
          </cell>
        </row>
        <row r="306">
          <cell r="B306" t="str">
            <v>M105.0501</v>
          </cell>
          <cell r="C306" t="str">
            <v>Máy cào bóc đường Wirtgen - 1000C</v>
          </cell>
          <cell r="D306" t="str">
            <v>lít diezel</v>
          </cell>
          <cell r="E306">
            <v>1380050</v>
          </cell>
          <cell r="F306" t="str">
            <v>1x4/7+1x5/7</v>
          </cell>
          <cell r="G306">
            <v>3128588</v>
          </cell>
          <cell r="H306">
            <v>624603</v>
          </cell>
          <cell r="I306">
            <v>554024</v>
          </cell>
          <cell r="J306">
            <v>484709</v>
          </cell>
          <cell r="K306">
            <v>799425</v>
          </cell>
          <cell r="L306">
            <v>5588309</v>
          </cell>
          <cell r="M306">
            <v>5517730</v>
          </cell>
          <cell r="N306">
            <v>5448415</v>
          </cell>
          <cell r="O306">
            <v>5763131</v>
          </cell>
          <cell r="P306">
            <v>6212912</v>
          </cell>
          <cell r="Q306">
            <v>6071754</v>
          </cell>
          <cell r="R306">
            <v>5933124</v>
          </cell>
          <cell r="S306">
            <v>6562556</v>
          </cell>
        </row>
        <row r="307">
          <cell r="B307" t="str">
            <v>M105.0502</v>
          </cell>
          <cell r="C307" t="str">
            <v>Máy cào bóc tái sinh, Wigent</v>
          </cell>
          <cell r="D307" t="str">
            <v>lít diezel</v>
          </cell>
          <cell r="E307">
            <v>5100185</v>
          </cell>
          <cell r="F307" t="str">
            <v>1x4/7+1x7/7</v>
          </cell>
          <cell r="G307">
            <v>24432515</v>
          </cell>
          <cell r="H307">
            <v>758571</v>
          </cell>
          <cell r="I307">
            <v>672854</v>
          </cell>
          <cell r="J307">
            <v>588672</v>
          </cell>
          <cell r="K307">
            <v>970889</v>
          </cell>
          <cell r="L307">
            <v>40064277</v>
          </cell>
          <cell r="M307">
            <v>39978560</v>
          </cell>
          <cell r="N307">
            <v>39894378</v>
          </cell>
          <cell r="O307">
            <v>40276595</v>
          </cell>
          <cell r="P307">
            <v>40822848</v>
          </cell>
          <cell r="Q307">
            <v>40651414</v>
          </cell>
          <cell r="R307">
            <v>40483050</v>
          </cell>
          <cell r="S307">
            <v>41247484</v>
          </cell>
        </row>
        <row r="308">
          <cell r="B308" t="str">
            <v>M105.0503</v>
          </cell>
          <cell r="C308" t="str">
            <v>Máy cào bóc tái sinh, công suất &gt; 450 HP</v>
          </cell>
          <cell r="D308" t="str">
            <v>lít diezel</v>
          </cell>
          <cell r="E308">
            <v>7845285</v>
          </cell>
          <cell r="F308" t="str">
            <v>1x4/7+1x7/7</v>
          </cell>
          <cell r="G308">
            <v>17000000</v>
          </cell>
          <cell r="H308">
            <v>758571</v>
          </cell>
          <cell r="I308">
            <v>672854</v>
          </cell>
          <cell r="J308">
            <v>588672</v>
          </cell>
          <cell r="K308">
            <v>970889</v>
          </cell>
          <cell r="L308">
            <v>32403856</v>
          </cell>
          <cell r="M308">
            <v>32318139</v>
          </cell>
          <cell r="N308">
            <v>32233957</v>
          </cell>
          <cell r="O308">
            <v>32616174</v>
          </cell>
          <cell r="P308">
            <v>33162427</v>
          </cell>
          <cell r="Q308">
            <v>32990993</v>
          </cell>
          <cell r="R308">
            <v>32822629</v>
          </cell>
          <cell r="S308">
            <v>33587063</v>
          </cell>
        </row>
        <row r="309">
          <cell r="B309" t="str">
            <v>M105.0601</v>
          </cell>
          <cell r="C309" t="str">
            <v>Thiết bị sơn kẻ vạch YHK 10A</v>
          </cell>
          <cell r="E309" t="str">
            <v>-</v>
          </cell>
          <cell r="F309" t="str">
            <v>1x4/7</v>
          </cell>
          <cell r="G309">
            <v>57211</v>
          </cell>
          <cell r="H309">
            <v>287074</v>
          </cell>
          <cell r="I309">
            <v>254635</v>
          </cell>
          <cell r="J309">
            <v>222777</v>
          </cell>
          <cell r="K309">
            <v>367424</v>
          </cell>
          <cell r="L309">
            <v>362879</v>
          </cell>
          <cell r="M309">
            <v>330440</v>
          </cell>
          <cell r="N309">
            <v>298582</v>
          </cell>
          <cell r="O309">
            <v>443229</v>
          </cell>
          <cell r="P309">
            <v>649953</v>
          </cell>
          <cell r="Q309">
            <v>585075</v>
          </cell>
          <cell r="R309">
            <v>521359</v>
          </cell>
          <cell r="S309">
            <v>810653</v>
          </cell>
        </row>
        <row r="310">
          <cell r="B310" t="str">
            <v>M105.0701</v>
          </cell>
          <cell r="C310" t="str">
            <v>Lò nấu sơn YHK 3A, lò nung keo</v>
          </cell>
          <cell r="D310" t="str">
            <v>lít diezel</v>
          </cell>
          <cell r="E310">
            <v>165006</v>
          </cell>
          <cell r="F310" t="str">
            <v>1x4/7</v>
          </cell>
          <cell r="G310">
            <v>32492</v>
          </cell>
          <cell r="H310">
            <v>287074</v>
          </cell>
          <cell r="I310">
            <v>254635</v>
          </cell>
          <cell r="J310">
            <v>222777</v>
          </cell>
          <cell r="K310">
            <v>367424</v>
          </cell>
          <cell r="L310">
            <v>840359</v>
          </cell>
          <cell r="M310">
            <v>807920</v>
          </cell>
          <cell r="N310">
            <v>776062</v>
          </cell>
          <cell r="O310">
            <v>920709</v>
          </cell>
          <cell r="P310">
            <v>1127433</v>
          </cell>
          <cell r="Q310">
            <v>1062555</v>
          </cell>
          <cell r="R310">
            <v>998839</v>
          </cell>
          <cell r="S310">
            <v>1288133</v>
          </cell>
        </row>
        <row r="311">
          <cell r="B311" t="str">
            <v>M105.0801</v>
          </cell>
          <cell r="C311" t="str">
            <v>Máy rót mastic</v>
          </cell>
          <cell r="D311" t="str">
            <v>lít xăng</v>
          </cell>
          <cell r="E311">
            <v>74701</v>
          </cell>
          <cell r="F311" t="str">
            <v>1x4/7</v>
          </cell>
          <cell r="G311">
            <v>34166</v>
          </cell>
          <cell r="H311">
            <v>287074</v>
          </cell>
          <cell r="I311">
            <v>254635</v>
          </cell>
          <cell r="J311">
            <v>222777</v>
          </cell>
          <cell r="K311">
            <v>367424</v>
          </cell>
          <cell r="L311">
            <v>404141</v>
          </cell>
          <cell r="M311">
            <v>371702</v>
          </cell>
          <cell r="N311">
            <v>339844</v>
          </cell>
          <cell r="O311">
            <v>484491</v>
          </cell>
          <cell r="P311">
            <v>691215</v>
          </cell>
          <cell r="Q311">
            <v>626337</v>
          </cell>
          <cell r="R311">
            <v>562621</v>
          </cell>
          <cell r="S311">
            <v>851915</v>
          </cell>
        </row>
        <row r="312">
          <cell r="B312" t="str">
            <v>M105.0901</v>
          </cell>
          <cell r="C312" t="str">
            <v>Thiết bị nấu nhựa 500 lít</v>
          </cell>
          <cell r="E312" t="str">
            <v>-</v>
          </cell>
          <cell r="F312" t="str">
            <v>1x4/7</v>
          </cell>
          <cell r="G312">
            <v>45516</v>
          </cell>
          <cell r="H312">
            <v>287074</v>
          </cell>
          <cell r="I312">
            <v>254635</v>
          </cell>
          <cell r="J312">
            <v>222777</v>
          </cell>
          <cell r="K312">
            <v>367424</v>
          </cell>
          <cell r="L312">
            <v>372417</v>
          </cell>
          <cell r="M312">
            <v>339978</v>
          </cell>
          <cell r="N312">
            <v>308120</v>
          </cell>
          <cell r="O312">
            <v>452767</v>
          </cell>
          <cell r="P312">
            <v>659491</v>
          </cell>
          <cell r="Q312">
            <v>594613</v>
          </cell>
          <cell r="R312">
            <v>530897</v>
          </cell>
          <cell r="S312">
            <v>820191</v>
          </cell>
        </row>
        <row r="313">
          <cell r="B313" t="str">
            <v>M105.1001</v>
          </cell>
          <cell r="C313" t="str">
            <v>Máy rải bê tông SP500</v>
          </cell>
          <cell r="D313" t="str">
            <v>lít diezel</v>
          </cell>
          <cell r="E313">
            <v>1095040</v>
          </cell>
          <cell r="F313" t="str">
            <v>1x3/7+1x5/7</v>
          </cell>
          <cell r="G313">
            <v>7369287</v>
          </cell>
          <cell r="H313">
            <v>579367</v>
          </cell>
          <cell r="I313">
            <v>513900</v>
          </cell>
          <cell r="J313">
            <v>449605</v>
          </cell>
          <cell r="K313">
            <v>741527</v>
          </cell>
          <cell r="L313">
            <v>9706930</v>
          </cell>
          <cell r="M313">
            <v>9641463</v>
          </cell>
          <cell r="N313">
            <v>9577168</v>
          </cell>
          <cell r="O313">
            <v>9869090</v>
          </cell>
          <cell r="P313">
            <v>10286297</v>
          </cell>
          <cell r="Q313">
            <v>10155363</v>
          </cell>
          <cell r="R313">
            <v>10026773</v>
          </cell>
          <cell r="S313">
            <v>10610617</v>
          </cell>
        </row>
        <row r="314">
          <cell r="B314" t="str">
            <v>M106.0000</v>
          </cell>
          <cell r="C314" t="str">
            <v>PHƯƠNG TIỆN VẬN TẢI ĐƯỜNG BỘ</v>
          </cell>
          <cell r="E314" t="str">
            <v>-</v>
          </cell>
          <cell r="P314">
            <v>0</v>
          </cell>
          <cell r="Q314">
            <v>0</v>
          </cell>
          <cell r="R314">
            <v>0</v>
          </cell>
          <cell r="S314">
            <v>0</v>
          </cell>
        </row>
        <row r="315">
          <cell r="B315" t="str">
            <v>M106.0100</v>
          </cell>
          <cell r="C315" t="str">
            <v>Ô tô vận tải thùng - trọng tải:</v>
          </cell>
          <cell r="E315" t="str">
            <v>-</v>
          </cell>
          <cell r="P315">
            <v>0</v>
          </cell>
          <cell r="Q315">
            <v>0</v>
          </cell>
          <cell r="R315">
            <v>0</v>
          </cell>
          <cell r="S315">
            <v>0</v>
          </cell>
        </row>
        <row r="316">
          <cell r="B316" t="str">
            <v>M106.0101</v>
          </cell>
          <cell r="C316" t="str">
            <v>0,5 t</v>
          </cell>
          <cell r="D316" t="str">
            <v>lít xăng</v>
          </cell>
          <cell r="E316">
            <v>93376</v>
          </cell>
          <cell r="F316" t="str">
            <v>1x2/4 lái xe</v>
          </cell>
          <cell r="G316">
            <v>106420</v>
          </cell>
          <cell r="H316">
            <v>264456</v>
          </cell>
          <cell r="I316">
            <v>234573</v>
          </cell>
          <cell r="J316">
            <v>205225</v>
          </cell>
          <cell r="K316">
            <v>338475</v>
          </cell>
          <cell r="L316">
            <v>478725</v>
          </cell>
          <cell r="M316">
            <v>448842</v>
          </cell>
          <cell r="N316">
            <v>419494</v>
          </cell>
          <cell r="O316">
            <v>552744</v>
          </cell>
          <cell r="P316">
            <v>743181</v>
          </cell>
          <cell r="Q316">
            <v>683415</v>
          </cell>
          <cell r="R316">
            <v>624719</v>
          </cell>
          <cell r="S316">
            <v>891219</v>
          </cell>
        </row>
        <row r="317">
          <cell r="B317" t="str">
            <v>M106.0102</v>
          </cell>
          <cell r="C317" t="str">
            <v>1,5 t</v>
          </cell>
          <cell r="D317" t="str">
            <v>lít xăng</v>
          </cell>
          <cell r="E317">
            <v>130727</v>
          </cell>
          <cell r="F317" t="str">
            <v>1x2/4 lái xe</v>
          </cell>
          <cell r="G317">
            <v>157562</v>
          </cell>
          <cell r="H317">
            <v>264456</v>
          </cell>
          <cell r="I317">
            <v>234573</v>
          </cell>
          <cell r="J317">
            <v>205225</v>
          </cell>
          <cell r="K317">
            <v>338475</v>
          </cell>
          <cell r="L317">
            <v>574173</v>
          </cell>
          <cell r="M317">
            <v>544290</v>
          </cell>
          <cell r="N317">
            <v>514942</v>
          </cell>
          <cell r="O317">
            <v>648192</v>
          </cell>
          <cell r="P317">
            <v>838629</v>
          </cell>
          <cell r="Q317">
            <v>778863</v>
          </cell>
          <cell r="R317">
            <v>720167</v>
          </cell>
          <cell r="S317">
            <v>986667</v>
          </cell>
        </row>
        <row r="318">
          <cell r="B318" t="str">
            <v>M106.0103</v>
          </cell>
          <cell r="C318" t="str">
            <v>2 t</v>
          </cell>
          <cell r="D318" t="str">
            <v>lít xăng</v>
          </cell>
          <cell r="E318">
            <v>224103</v>
          </cell>
          <cell r="F318" t="str">
            <v>1x2/4 lái xe</v>
          </cell>
          <cell r="G318">
            <v>183212</v>
          </cell>
          <cell r="H318">
            <v>264456</v>
          </cell>
          <cell r="I318">
            <v>234573</v>
          </cell>
          <cell r="J318">
            <v>205225</v>
          </cell>
          <cell r="K318">
            <v>338475</v>
          </cell>
          <cell r="L318">
            <v>696688</v>
          </cell>
          <cell r="M318">
            <v>666805</v>
          </cell>
          <cell r="N318">
            <v>637457</v>
          </cell>
          <cell r="O318">
            <v>770707</v>
          </cell>
          <cell r="P318">
            <v>961144</v>
          </cell>
          <cell r="Q318">
            <v>901378</v>
          </cell>
          <cell r="R318">
            <v>842682</v>
          </cell>
          <cell r="S318">
            <v>1109182</v>
          </cell>
        </row>
        <row r="319">
          <cell r="B319" t="str">
            <v>M106.0104</v>
          </cell>
          <cell r="C319" t="str">
            <v>2,5 t</v>
          </cell>
          <cell r="D319" t="str">
            <v>lít xăng</v>
          </cell>
          <cell r="E319">
            <v>242779</v>
          </cell>
          <cell r="F319" t="str">
            <v>1x2/4 lái xe</v>
          </cell>
          <cell r="G319">
            <v>218983</v>
          </cell>
          <cell r="H319">
            <v>264456</v>
          </cell>
          <cell r="I319">
            <v>234573</v>
          </cell>
          <cell r="J319">
            <v>205225</v>
          </cell>
          <cell r="K319">
            <v>338475</v>
          </cell>
          <cell r="L319">
            <v>748116</v>
          </cell>
          <cell r="M319">
            <v>718233</v>
          </cell>
          <cell r="N319">
            <v>688885</v>
          </cell>
          <cell r="O319">
            <v>822135</v>
          </cell>
          <cell r="P319">
            <v>1012572</v>
          </cell>
          <cell r="Q319">
            <v>952806</v>
          </cell>
          <cell r="R319">
            <v>894110</v>
          </cell>
          <cell r="S319">
            <v>1160610</v>
          </cell>
        </row>
        <row r="320">
          <cell r="B320" t="str">
            <v>M106.0105</v>
          </cell>
          <cell r="C320" t="str">
            <v>5 t</v>
          </cell>
          <cell r="D320" t="str">
            <v>lít diezel</v>
          </cell>
          <cell r="E320">
            <v>375014</v>
          </cell>
          <cell r="F320" t="str">
            <v>1x2/4 lái xe</v>
          </cell>
          <cell r="G320">
            <v>317869</v>
          </cell>
          <cell r="H320">
            <v>264456</v>
          </cell>
          <cell r="I320">
            <v>234573</v>
          </cell>
          <cell r="J320">
            <v>205225</v>
          </cell>
          <cell r="K320">
            <v>338475</v>
          </cell>
          <cell r="L320">
            <v>989126</v>
          </cell>
          <cell r="M320">
            <v>959243</v>
          </cell>
          <cell r="N320">
            <v>929895</v>
          </cell>
          <cell r="O320">
            <v>1063145</v>
          </cell>
          <cell r="P320">
            <v>1253582</v>
          </cell>
          <cell r="Q320">
            <v>1193816</v>
          </cell>
          <cell r="R320">
            <v>1135120</v>
          </cell>
          <cell r="S320">
            <v>1401620</v>
          </cell>
        </row>
        <row r="321">
          <cell r="B321" t="str">
            <v>M106.0106</v>
          </cell>
          <cell r="C321" t="str">
            <v>7 t</v>
          </cell>
          <cell r="D321" t="str">
            <v>lít diezel</v>
          </cell>
          <cell r="E321">
            <v>465017</v>
          </cell>
          <cell r="F321" t="str">
            <v>1x2/4 lái xe</v>
          </cell>
          <cell r="G321">
            <v>427131</v>
          </cell>
          <cell r="H321">
            <v>264456</v>
          </cell>
          <cell r="I321">
            <v>234573</v>
          </cell>
          <cell r="J321">
            <v>205225</v>
          </cell>
          <cell r="K321">
            <v>338475</v>
          </cell>
          <cell r="L321">
            <v>1199317</v>
          </cell>
          <cell r="M321">
            <v>1169434</v>
          </cell>
          <cell r="N321">
            <v>1140086</v>
          </cell>
          <cell r="O321">
            <v>1273336</v>
          </cell>
          <cell r="P321">
            <v>1463773</v>
          </cell>
          <cell r="Q321">
            <v>1404007</v>
          </cell>
          <cell r="R321">
            <v>1345311</v>
          </cell>
          <cell r="S321">
            <v>1611811</v>
          </cell>
        </row>
        <row r="322">
          <cell r="B322" t="str">
            <v>M106.0107</v>
          </cell>
          <cell r="C322" t="str">
            <v>10 t</v>
          </cell>
          <cell r="D322" t="str">
            <v>lít diezel</v>
          </cell>
          <cell r="E322">
            <v>570021</v>
          </cell>
          <cell r="F322" t="str">
            <v>1x2/4 lái xe</v>
          </cell>
          <cell r="G322">
            <v>560241</v>
          </cell>
          <cell r="H322">
            <v>264456</v>
          </cell>
          <cell r="I322">
            <v>234573</v>
          </cell>
          <cell r="J322">
            <v>205225</v>
          </cell>
          <cell r="K322">
            <v>338475</v>
          </cell>
          <cell r="L322">
            <v>1430573</v>
          </cell>
          <cell r="M322">
            <v>1400690</v>
          </cell>
          <cell r="N322">
            <v>1371342</v>
          </cell>
          <cell r="O322">
            <v>1504592</v>
          </cell>
          <cell r="P322">
            <v>1695029</v>
          </cell>
          <cell r="Q322">
            <v>1635263</v>
          </cell>
          <cell r="R322">
            <v>1576567</v>
          </cell>
          <cell r="S322">
            <v>1843067</v>
          </cell>
        </row>
        <row r="323">
          <cell r="B323" t="str">
            <v>M106.0108</v>
          </cell>
          <cell r="C323" t="str">
            <v>12 t</v>
          </cell>
          <cell r="D323" t="str">
            <v>lít diezel</v>
          </cell>
          <cell r="E323">
            <v>615022</v>
          </cell>
          <cell r="F323" t="str">
            <v>1x3/4 lái xe</v>
          </cell>
          <cell r="G323">
            <v>606044</v>
          </cell>
          <cell r="H323">
            <v>313761</v>
          </cell>
          <cell r="I323">
            <v>278307</v>
          </cell>
          <cell r="J323">
            <v>243487</v>
          </cell>
          <cell r="K323">
            <v>401581</v>
          </cell>
          <cell r="L323">
            <v>1548813</v>
          </cell>
          <cell r="M323">
            <v>1513359</v>
          </cell>
          <cell r="N323">
            <v>1478539</v>
          </cell>
          <cell r="O323">
            <v>1636633</v>
          </cell>
          <cell r="P323">
            <v>1862574</v>
          </cell>
          <cell r="Q323">
            <v>1791666</v>
          </cell>
          <cell r="R323">
            <v>1722026</v>
          </cell>
          <cell r="S323">
            <v>2038214</v>
          </cell>
        </row>
        <row r="324">
          <cell r="B324" t="str">
            <v>M106.0109</v>
          </cell>
          <cell r="C324" t="str">
            <v>15 t</v>
          </cell>
          <cell r="D324" t="str">
            <v>lít diezel</v>
          </cell>
          <cell r="E324">
            <v>690025</v>
          </cell>
          <cell r="F324" t="str">
            <v>1x3/4 lái xe</v>
          </cell>
          <cell r="G324">
            <v>739497</v>
          </cell>
          <cell r="H324">
            <v>313761</v>
          </cell>
          <cell r="I324">
            <v>278307</v>
          </cell>
          <cell r="J324">
            <v>243487</v>
          </cell>
          <cell r="K324">
            <v>401581</v>
          </cell>
          <cell r="L324">
            <v>1760348</v>
          </cell>
          <cell r="M324">
            <v>1724894</v>
          </cell>
          <cell r="N324">
            <v>1690074</v>
          </cell>
          <cell r="O324">
            <v>1848168</v>
          </cell>
          <cell r="P324">
            <v>2074109</v>
          </cell>
          <cell r="Q324">
            <v>2003201</v>
          </cell>
          <cell r="R324">
            <v>1933561</v>
          </cell>
          <cell r="S324">
            <v>2249749</v>
          </cell>
        </row>
        <row r="325">
          <cell r="B325" t="str">
            <v>M106.0110</v>
          </cell>
          <cell r="C325" t="str">
            <v>20 t</v>
          </cell>
          <cell r="D325" t="str">
            <v>lít diezel</v>
          </cell>
          <cell r="E325">
            <v>840031</v>
          </cell>
          <cell r="F325" t="str">
            <v>1x3/4 lái xe</v>
          </cell>
          <cell r="G325">
            <v>1248374</v>
          </cell>
          <cell r="H325">
            <v>313761</v>
          </cell>
          <cell r="I325">
            <v>278307</v>
          </cell>
          <cell r="J325">
            <v>243487</v>
          </cell>
          <cell r="K325">
            <v>401581</v>
          </cell>
          <cell r="L325">
            <v>2263457</v>
          </cell>
          <cell r="M325">
            <v>2228003</v>
          </cell>
          <cell r="N325">
            <v>2193183</v>
          </cell>
          <cell r="O325">
            <v>2351277</v>
          </cell>
          <cell r="P325">
            <v>2577218</v>
          </cell>
          <cell r="Q325">
            <v>2506310</v>
          </cell>
          <cell r="R325">
            <v>2436670</v>
          </cell>
          <cell r="S325">
            <v>2752858</v>
          </cell>
        </row>
        <row r="326">
          <cell r="B326" t="str">
            <v>M106.0111</v>
          </cell>
          <cell r="C326" t="str">
            <v>32 t</v>
          </cell>
          <cell r="D326" t="str">
            <v>lít diezel</v>
          </cell>
          <cell r="E326">
            <v>930034</v>
          </cell>
          <cell r="F326" t="str">
            <v>1x3/4 lái xe</v>
          </cell>
          <cell r="G326">
            <v>1976364</v>
          </cell>
          <cell r="H326">
            <v>313761</v>
          </cell>
          <cell r="I326">
            <v>278307</v>
          </cell>
          <cell r="J326">
            <v>243487</v>
          </cell>
          <cell r="K326">
            <v>401581</v>
          </cell>
          <cell r="L326">
            <v>3000563</v>
          </cell>
          <cell r="M326">
            <v>2965109</v>
          </cell>
          <cell r="N326">
            <v>2930289</v>
          </cell>
          <cell r="O326">
            <v>3088383</v>
          </cell>
          <cell r="P326">
            <v>3314324</v>
          </cell>
          <cell r="Q326">
            <v>3243416</v>
          </cell>
          <cell r="R326">
            <v>3173776</v>
          </cell>
          <cell r="S326">
            <v>3489964</v>
          </cell>
        </row>
        <row r="327">
          <cell r="B327" t="str">
            <v>M106.0200</v>
          </cell>
          <cell r="C327" t="str">
            <v>Ô tô tự đổ - trọng tải:</v>
          </cell>
          <cell r="E327" t="str">
            <v>-</v>
          </cell>
          <cell r="P327">
            <v>0</v>
          </cell>
          <cell r="Q327">
            <v>0</v>
          </cell>
          <cell r="R327">
            <v>0</v>
          </cell>
          <cell r="S327">
            <v>0</v>
          </cell>
        </row>
        <row r="328">
          <cell r="B328" t="str">
            <v>M106.0201</v>
          </cell>
          <cell r="C328" t="str">
            <v>2,5 t</v>
          </cell>
          <cell r="D328" t="str">
            <v>lít xăng</v>
          </cell>
          <cell r="E328">
            <v>35483</v>
          </cell>
          <cell r="F328" t="str">
            <v>1x2/4 lái xe</v>
          </cell>
          <cell r="G328">
            <v>248104</v>
          </cell>
          <cell r="H328">
            <v>264456</v>
          </cell>
          <cell r="I328">
            <v>234573</v>
          </cell>
          <cell r="J328">
            <v>205225</v>
          </cell>
          <cell r="K328">
            <v>338475</v>
          </cell>
          <cell r="L328">
            <v>894109</v>
          </cell>
          <cell r="M328">
            <v>864226</v>
          </cell>
          <cell r="N328">
            <v>834878</v>
          </cell>
          <cell r="O328">
            <v>968128</v>
          </cell>
          <cell r="P328">
            <v>1158565</v>
          </cell>
          <cell r="Q328">
            <v>1098799</v>
          </cell>
          <cell r="R328">
            <v>1040103</v>
          </cell>
          <cell r="S328">
            <v>1306603</v>
          </cell>
        </row>
        <row r="329">
          <cell r="B329" t="str">
            <v>M106.0202</v>
          </cell>
          <cell r="C329" t="str">
            <v>5 t</v>
          </cell>
          <cell r="D329" t="str">
            <v>lít diezel</v>
          </cell>
          <cell r="E329">
            <v>615022</v>
          </cell>
          <cell r="F329" t="str">
            <v>1x2/4 lái xe</v>
          </cell>
          <cell r="G329">
            <v>437559</v>
          </cell>
          <cell r="H329">
            <v>264456</v>
          </cell>
          <cell r="I329">
            <v>234573</v>
          </cell>
          <cell r="J329">
            <v>205225</v>
          </cell>
          <cell r="K329">
            <v>338475</v>
          </cell>
          <cell r="L329">
            <v>1364159</v>
          </cell>
          <cell r="M329">
            <v>1334276</v>
          </cell>
          <cell r="N329">
            <v>1304928</v>
          </cell>
          <cell r="O329">
            <v>1438178</v>
          </cell>
          <cell r="P329">
            <v>1628615</v>
          </cell>
          <cell r="Q329">
            <v>1568849</v>
          </cell>
          <cell r="R329">
            <v>1510153</v>
          </cell>
          <cell r="S329">
            <v>1776653</v>
          </cell>
        </row>
        <row r="330">
          <cell r="B330" t="str">
            <v>M106.0203</v>
          </cell>
          <cell r="C330" t="str">
            <v>7 t</v>
          </cell>
          <cell r="D330" t="str">
            <v>lít diezel</v>
          </cell>
          <cell r="E330">
            <v>690025</v>
          </cell>
          <cell r="F330" t="str">
            <v>1x2/4 lái xe</v>
          </cell>
          <cell r="G330">
            <v>616643</v>
          </cell>
          <cell r="H330">
            <v>264456</v>
          </cell>
          <cell r="I330">
            <v>234573</v>
          </cell>
          <cell r="J330">
            <v>205225</v>
          </cell>
          <cell r="K330">
            <v>338475</v>
          </cell>
          <cell r="L330">
            <v>1632788</v>
          </cell>
          <cell r="M330">
            <v>1602905</v>
          </cell>
          <cell r="N330">
            <v>1573557</v>
          </cell>
          <cell r="O330">
            <v>1706807</v>
          </cell>
          <cell r="P330">
            <v>1897244</v>
          </cell>
          <cell r="Q330">
            <v>1837478</v>
          </cell>
          <cell r="R330">
            <v>1778782</v>
          </cell>
          <cell r="S330">
            <v>2045282</v>
          </cell>
        </row>
        <row r="331">
          <cell r="B331" t="str">
            <v>M106.0204</v>
          </cell>
          <cell r="C331" t="str">
            <v>10 t</v>
          </cell>
          <cell r="D331" t="str">
            <v>lít diezel</v>
          </cell>
          <cell r="E331">
            <v>855031</v>
          </cell>
          <cell r="F331" t="str">
            <v>1x2/4 lái xe</v>
          </cell>
          <cell r="G331">
            <v>704070</v>
          </cell>
          <cell r="H331">
            <v>264456</v>
          </cell>
          <cell r="I331">
            <v>234573</v>
          </cell>
          <cell r="J331">
            <v>205225</v>
          </cell>
          <cell r="K331">
            <v>338475</v>
          </cell>
          <cell r="L331">
            <v>1838644</v>
          </cell>
          <cell r="M331">
            <v>1808761</v>
          </cell>
          <cell r="N331">
            <v>1779413</v>
          </cell>
          <cell r="O331">
            <v>1912663</v>
          </cell>
          <cell r="P331">
            <v>2103100</v>
          </cell>
          <cell r="Q331">
            <v>2043334</v>
          </cell>
          <cell r="R331">
            <v>1984638</v>
          </cell>
          <cell r="S331">
            <v>2251138</v>
          </cell>
        </row>
        <row r="332">
          <cell r="B332" t="str">
            <v>M106.0205</v>
          </cell>
          <cell r="C332" t="str">
            <v>12 t</v>
          </cell>
          <cell r="D332" t="str">
            <v>lít diezel</v>
          </cell>
          <cell r="E332">
            <v>975035</v>
          </cell>
          <cell r="F332" t="str">
            <v>1x3/4 lái xe</v>
          </cell>
          <cell r="G332">
            <v>812415</v>
          </cell>
          <cell r="H332">
            <v>313761</v>
          </cell>
          <cell r="I332">
            <v>278307</v>
          </cell>
          <cell r="J332">
            <v>243487</v>
          </cell>
          <cell r="K332">
            <v>401581</v>
          </cell>
          <cell r="L332">
            <v>2118620</v>
          </cell>
          <cell r="M332">
            <v>2083166</v>
          </cell>
          <cell r="N332">
            <v>2048346</v>
          </cell>
          <cell r="O332">
            <v>2206440</v>
          </cell>
          <cell r="P332">
            <v>2432381</v>
          </cell>
          <cell r="Q332">
            <v>2361473</v>
          </cell>
          <cell r="R332">
            <v>2291833</v>
          </cell>
          <cell r="S332">
            <v>2608021</v>
          </cell>
        </row>
        <row r="333">
          <cell r="B333" t="str">
            <v>M106.0206</v>
          </cell>
          <cell r="C333" t="str">
            <v>15 t</v>
          </cell>
          <cell r="D333" t="str">
            <v>lít diezel</v>
          </cell>
          <cell r="E333">
            <v>1095040</v>
          </cell>
          <cell r="F333" t="str">
            <v>1x3/4 lái xe</v>
          </cell>
          <cell r="G333">
            <v>1035410</v>
          </cell>
          <cell r="H333">
            <v>313761</v>
          </cell>
          <cell r="I333">
            <v>278307</v>
          </cell>
          <cell r="J333">
            <v>243487</v>
          </cell>
          <cell r="K333">
            <v>401581</v>
          </cell>
          <cell r="L333">
            <v>2347573</v>
          </cell>
          <cell r="M333">
            <v>2312119</v>
          </cell>
          <cell r="N333">
            <v>2277299</v>
          </cell>
          <cell r="O333">
            <v>2435393</v>
          </cell>
          <cell r="P333">
            <v>2661334</v>
          </cell>
          <cell r="Q333">
            <v>2590426</v>
          </cell>
          <cell r="R333">
            <v>2520786</v>
          </cell>
          <cell r="S333">
            <v>2836974</v>
          </cell>
        </row>
        <row r="334">
          <cell r="B334" t="str">
            <v>M106.0207</v>
          </cell>
          <cell r="C334" t="str">
            <v>20 t</v>
          </cell>
          <cell r="D334" t="str">
            <v>lít diezel</v>
          </cell>
          <cell r="E334">
            <v>1140041</v>
          </cell>
          <cell r="F334" t="str">
            <v>1x3/4 lái xe</v>
          </cell>
          <cell r="G334">
            <v>1540447</v>
          </cell>
          <cell r="H334">
            <v>313761</v>
          </cell>
          <cell r="I334">
            <v>278307</v>
          </cell>
          <cell r="J334">
            <v>243487</v>
          </cell>
          <cell r="K334">
            <v>401581</v>
          </cell>
          <cell r="L334">
            <v>2850474</v>
          </cell>
          <cell r="M334">
            <v>2815020</v>
          </cell>
          <cell r="N334">
            <v>2780200</v>
          </cell>
          <cell r="O334">
            <v>2938294</v>
          </cell>
          <cell r="P334">
            <v>3164235</v>
          </cell>
          <cell r="Q334">
            <v>3093327</v>
          </cell>
          <cell r="R334">
            <v>3023687</v>
          </cell>
          <cell r="S334">
            <v>3339875</v>
          </cell>
        </row>
        <row r="335">
          <cell r="B335" t="str">
            <v>M106.0208</v>
          </cell>
          <cell r="C335" t="str">
            <v>22 t</v>
          </cell>
          <cell r="D335" t="str">
            <v>lít diezel</v>
          </cell>
          <cell r="E335">
            <v>1155042</v>
          </cell>
          <cell r="F335" t="str">
            <v>1x3/4 lái xe</v>
          </cell>
          <cell r="G335">
            <v>1802194</v>
          </cell>
          <cell r="H335">
            <v>313761</v>
          </cell>
          <cell r="I335">
            <v>278307</v>
          </cell>
          <cell r="J335">
            <v>243487</v>
          </cell>
          <cell r="K335">
            <v>401581</v>
          </cell>
          <cell r="L335">
            <v>2994661</v>
          </cell>
          <cell r="M335">
            <v>2959207</v>
          </cell>
          <cell r="N335">
            <v>2924387</v>
          </cell>
          <cell r="O335">
            <v>3082481</v>
          </cell>
          <cell r="P335">
            <v>3308422</v>
          </cell>
          <cell r="Q335">
            <v>3237514</v>
          </cell>
          <cell r="R335">
            <v>3167874</v>
          </cell>
          <cell r="S335">
            <v>3484062</v>
          </cell>
        </row>
        <row r="336">
          <cell r="B336" t="str">
            <v>M106.0209</v>
          </cell>
          <cell r="C336" t="str">
            <v>25 t</v>
          </cell>
          <cell r="D336" t="str">
            <v>lít diezel</v>
          </cell>
          <cell r="E336">
            <v>1215044</v>
          </cell>
          <cell r="F336" t="str">
            <v>1x3/4 lái xe</v>
          </cell>
          <cell r="G336">
            <v>2341396</v>
          </cell>
          <cell r="H336">
            <v>313761</v>
          </cell>
          <cell r="I336">
            <v>278307</v>
          </cell>
          <cell r="J336">
            <v>243487</v>
          </cell>
          <cell r="K336">
            <v>401581</v>
          </cell>
          <cell r="L336">
            <v>3215988</v>
          </cell>
          <cell r="M336">
            <v>3180534</v>
          </cell>
          <cell r="N336">
            <v>3145714</v>
          </cell>
          <cell r="O336">
            <v>3303808</v>
          </cell>
          <cell r="P336">
            <v>3529749</v>
          </cell>
          <cell r="Q336">
            <v>3458841</v>
          </cell>
          <cell r="R336">
            <v>3389201</v>
          </cell>
          <cell r="S336">
            <v>3705389</v>
          </cell>
        </row>
        <row r="337">
          <cell r="B337" t="str">
            <v>M106.0210</v>
          </cell>
          <cell r="C337" t="str">
            <v>27 t</v>
          </cell>
          <cell r="D337" t="str">
            <v>lít diezel</v>
          </cell>
          <cell r="E337">
            <v>1290047</v>
          </cell>
          <cell r="F337" t="str">
            <v>1x3/4 lái xe</v>
          </cell>
          <cell r="G337">
            <v>2505849</v>
          </cell>
          <cell r="H337">
            <v>313761</v>
          </cell>
          <cell r="I337">
            <v>278307</v>
          </cell>
          <cell r="J337">
            <v>243487</v>
          </cell>
          <cell r="K337">
            <v>401581</v>
          </cell>
          <cell r="L337">
            <v>3394753</v>
          </cell>
          <cell r="M337">
            <v>3359299</v>
          </cell>
          <cell r="N337">
            <v>3324479</v>
          </cell>
          <cell r="O337">
            <v>3482573</v>
          </cell>
          <cell r="P337">
            <v>3708514</v>
          </cell>
          <cell r="Q337">
            <v>3637606</v>
          </cell>
          <cell r="R337">
            <v>3567966</v>
          </cell>
          <cell r="S337">
            <v>3884154</v>
          </cell>
        </row>
        <row r="338">
          <cell r="B338" t="str">
            <v>M106.0300</v>
          </cell>
          <cell r="C338" t="str">
            <v>Ô tô đầu kéo - công suất:</v>
          </cell>
          <cell r="E338" t="str">
            <v>-</v>
          </cell>
          <cell r="P338">
            <v>0</v>
          </cell>
          <cell r="Q338">
            <v>0</v>
          </cell>
          <cell r="R338">
            <v>0</v>
          </cell>
          <cell r="S338">
            <v>0</v>
          </cell>
        </row>
        <row r="339">
          <cell r="B339" t="str">
            <v>M106.0301</v>
          </cell>
          <cell r="C339" t="str">
            <v>150 cv</v>
          </cell>
          <cell r="D339" t="str">
            <v>lít diezel</v>
          </cell>
          <cell r="E339">
            <v>450016</v>
          </cell>
          <cell r="F339" t="str">
            <v>1x3/4 lái xe</v>
          </cell>
          <cell r="G339">
            <v>448050</v>
          </cell>
          <cell r="H339">
            <v>313761</v>
          </cell>
          <cell r="I339">
            <v>278307</v>
          </cell>
          <cell r="J339">
            <v>243487</v>
          </cell>
          <cell r="K339">
            <v>401581</v>
          </cell>
          <cell r="L339">
            <v>1270074</v>
          </cell>
          <cell r="M339">
            <v>1234620</v>
          </cell>
          <cell r="N339">
            <v>1199800</v>
          </cell>
          <cell r="O339">
            <v>1357894</v>
          </cell>
          <cell r="P339">
            <v>1583835</v>
          </cell>
          <cell r="Q339">
            <v>1512927</v>
          </cell>
          <cell r="R339">
            <v>1443287</v>
          </cell>
          <cell r="S339">
            <v>1759475</v>
          </cell>
        </row>
        <row r="340">
          <cell r="B340" t="str">
            <v>M106.0302</v>
          </cell>
          <cell r="C340" t="str">
            <v>200 cv</v>
          </cell>
          <cell r="D340" t="str">
            <v>lít diezel</v>
          </cell>
          <cell r="E340">
            <v>600022</v>
          </cell>
          <cell r="F340" t="str">
            <v>1x3/4 lái xe</v>
          </cell>
          <cell r="G340">
            <v>618750</v>
          </cell>
          <cell r="H340">
            <v>313761</v>
          </cell>
          <cell r="I340">
            <v>278307</v>
          </cell>
          <cell r="J340">
            <v>243487</v>
          </cell>
          <cell r="K340">
            <v>401581</v>
          </cell>
          <cell r="L340">
            <v>1612970</v>
          </cell>
          <cell r="M340">
            <v>1577516</v>
          </cell>
          <cell r="N340">
            <v>1542696</v>
          </cell>
          <cell r="O340">
            <v>1700790</v>
          </cell>
          <cell r="P340">
            <v>1926731</v>
          </cell>
          <cell r="Q340">
            <v>1855823</v>
          </cell>
          <cell r="R340">
            <v>1786183</v>
          </cell>
          <cell r="S340">
            <v>2102371</v>
          </cell>
        </row>
        <row r="341">
          <cell r="B341" t="str">
            <v>M106.0303</v>
          </cell>
          <cell r="C341" t="str">
            <v>255 cv</v>
          </cell>
          <cell r="D341" t="str">
            <v>lít diezel</v>
          </cell>
          <cell r="E341">
            <v>765028</v>
          </cell>
          <cell r="F341" t="str">
            <v>1x3/4 lái xe</v>
          </cell>
          <cell r="G341">
            <v>878300</v>
          </cell>
          <cell r="H341">
            <v>313761</v>
          </cell>
          <cell r="I341">
            <v>278307</v>
          </cell>
          <cell r="J341">
            <v>243487</v>
          </cell>
          <cell r="K341">
            <v>401581</v>
          </cell>
          <cell r="L341">
            <v>2009787</v>
          </cell>
          <cell r="M341">
            <v>1974333</v>
          </cell>
          <cell r="N341">
            <v>1939513</v>
          </cell>
          <cell r="O341">
            <v>2097607</v>
          </cell>
          <cell r="P341">
            <v>2323548</v>
          </cell>
          <cell r="Q341">
            <v>2252640</v>
          </cell>
          <cell r="R341">
            <v>2183000</v>
          </cell>
          <cell r="S341">
            <v>2499188</v>
          </cell>
        </row>
        <row r="342">
          <cell r="B342" t="str">
            <v>M106.0304</v>
          </cell>
          <cell r="C342" t="str">
            <v>272 cv</v>
          </cell>
          <cell r="D342" t="str">
            <v>lít diezel</v>
          </cell>
          <cell r="E342">
            <v>840031</v>
          </cell>
          <cell r="F342" t="str">
            <v>1x3/4 lái xe</v>
          </cell>
          <cell r="G342">
            <v>1079950</v>
          </cell>
          <cell r="H342">
            <v>313761</v>
          </cell>
          <cell r="I342">
            <v>278307</v>
          </cell>
          <cell r="J342">
            <v>243487</v>
          </cell>
          <cell r="K342">
            <v>401581</v>
          </cell>
          <cell r="L342">
            <v>1980369</v>
          </cell>
          <cell r="M342">
            <v>1944915</v>
          </cell>
          <cell r="N342">
            <v>1910095</v>
          </cell>
          <cell r="O342">
            <v>2068189</v>
          </cell>
          <cell r="P342">
            <v>2294130</v>
          </cell>
          <cell r="Q342">
            <v>2223222</v>
          </cell>
          <cell r="R342">
            <v>2153582</v>
          </cell>
          <cell r="S342">
            <v>2469770</v>
          </cell>
        </row>
        <row r="343">
          <cell r="B343" t="str">
            <v>M106.0305</v>
          </cell>
          <cell r="C343" t="str">
            <v>360 cv</v>
          </cell>
          <cell r="D343" t="str">
            <v>lít diezel</v>
          </cell>
          <cell r="E343">
            <v>1020037</v>
          </cell>
          <cell r="F343" t="str">
            <v>1x3/4 lái xe</v>
          </cell>
          <cell r="G343">
            <v>1136368</v>
          </cell>
          <cell r="H343">
            <v>313761</v>
          </cell>
          <cell r="I343">
            <v>278307</v>
          </cell>
          <cell r="J343">
            <v>243487</v>
          </cell>
          <cell r="K343">
            <v>401581</v>
          </cell>
          <cell r="L343">
            <v>2194815</v>
          </cell>
          <cell r="M343">
            <v>2159361</v>
          </cell>
          <cell r="N343">
            <v>2124541</v>
          </cell>
          <cell r="O343">
            <v>2282635</v>
          </cell>
          <cell r="P343">
            <v>2508576</v>
          </cell>
          <cell r="Q343">
            <v>2437668</v>
          </cell>
          <cell r="R343">
            <v>2368028</v>
          </cell>
          <cell r="S343">
            <v>2684216</v>
          </cell>
        </row>
        <row r="344">
          <cell r="B344" t="str">
            <v>M106.0400</v>
          </cell>
          <cell r="C344" t="str">
            <v>Ô tô chuyển trộn bê tông - dung tích thùng trộn:</v>
          </cell>
          <cell r="E344" t="str">
            <v>-</v>
          </cell>
          <cell r="P344">
            <v>0</v>
          </cell>
          <cell r="Q344">
            <v>0</v>
          </cell>
          <cell r="R344">
            <v>0</v>
          </cell>
          <cell r="S344">
            <v>0</v>
          </cell>
        </row>
        <row r="345">
          <cell r="B345" t="str">
            <v>M106.0401</v>
          </cell>
          <cell r="C345" t="str">
            <v>6 m3</v>
          </cell>
          <cell r="D345" t="str">
            <v>lít diezel</v>
          </cell>
          <cell r="E345">
            <v>645023</v>
          </cell>
          <cell r="F345" t="str">
            <v>1x1/4+1x3/4 lái xe</v>
          </cell>
          <cell r="G345">
            <v>884645</v>
          </cell>
          <cell r="H345">
            <v>537877</v>
          </cell>
          <cell r="I345">
            <v>477098</v>
          </cell>
          <cell r="J345">
            <v>417407</v>
          </cell>
          <cell r="K345">
            <v>688424</v>
          </cell>
          <cell r="L345">
            <v>2009703</v>
          </cell>
          <cell r="M345">
            <v>1948924</v>
          </cell>
          <cell r="N345">
            <v>1889233</v>
          </cell>
          <cell r="O345">
            <v>2160250</v>
          </cell>
          <cell r="P345">
            <v>2547580</v>
          </cell>
          <cell r="Q345">
            <v>2426022</v>
          </cell>
          <cell r="R345">
            <v>2306640</v>
          </cell>
          <cell r="S345">
            <v>2848674</v>
          </cell>
        </row>
        <row r="346">
          <cell r="B346" t="str">
            <v>M106.0402</v>
          </cell>
          <cell r="C346" t="str">
            <v>10,7 m3</v>
          </cell>
          <cell r="D346" t="str">
            <v>lít diezel</v>
          </cell>
          <cell r="E346">
            <v>960035</v>
          </cell>
          <cell r="F346" t="str">
            <v>1x1/4+1x3/4 lái xe</v>
          </cell>
          <cell r="G346">
            <v>2176758</v>
          </cell>
          <cell r="H346">
            <v>537877</v>
          </cell>
          <cell r="I346">
            <v>477098</v>
          </cell>
          <cell r="J346">
            <v>417407</v>
          </cell>
          <cell r="K346">
            <v>688424</v>
          </cell>
          <cell r="L346">
            <v>3515599</v>
          </cell>
          <cell r="M346">
            <v>3454820</v>
          </cell>
          <cell r="N346">
            <v>3395129</v>
          </cell>
          <cell r="O346">
            <v>3666146</v>
          </cell>
          <cell r="P346">
            <v>4053476</v>
          </cell>
          <cell r="Q346">
            <v>3931918</v>
          </cell>
          <cell r="R346">
            <v>3812536</v>
          </cell>
          <cell r="S346">
            <v>4354570</v>
          </cell>
        </row>
        <row r="347">
          <cell r="B347" t="str">
            <v>M106.0403</v>
          </cell>
          <cell r="C347" t="str">
            <v>14,5 m3</v>
          </cell>
          <cell r="D347" t="str">
            <v>lít diezel</v>
          </cell>
          <cell r="E347">
            <v>1050038</v>
          </cell>
          <cell r="F347" t="str">
            <v>1x1/4+1x3/4 lái xe</v>
          </cell>
          <cell r="G347">
            <v>2966930</v>
          </cell>
          <cell r="H347">
            <v>537877</v>
          </cell>
          <cell r="I347">
            <v>477098</v>
          </cell>
          <cell r="J347">
            <v>417407</v>
          </cell>
          <cell r="K347">
            <v>688424</v>
          </cell>
          <cell r="L347">
            <v>4338031</v>
          </cell>
          <cell r="M347">
            <v>4277252</v>
          </cell>
          <cell r="N347">
            <v>4217561</v>
          </cell>
          <cell r="O347">
            <v>4488578</v>
          </cell>
          <cell r="P347">
            <v>4875908</v>
          </cell>
          <cell r="Q347">
            <v>4754350</v>
          </cell>
          <cell r="R347">
            <v>4634968</v>
          </cell>
          <cell r="S347">
            <v>5177002</v>
          </cell>
        </row>
        <row r="348">
          <cell r="B348" t="str">
            <v>M106.0500</v>
          </cell>
          <cell r="C348" t="str">
            <v>Ô tô tưới nước - dung tích:</v>
          </cell>
          <cell r="E348" t="str">
            <v>-</v>
          </cell>
          <cell r="P348">
            <v>0</v>
          </cell>
          <cell r="Q348">
            <v>0</v>
          </cell>
          <cell r="R348">
            <v>0</v>
          </cell>
          <cell r="S348">
            <v>0</v>
          </cell>
        </row>
        <row r="349">
          <cell r="B349" t="str">
            <v>M106.0501</v>
          </cell>
          <cell r="C349" t="str">
            <v>4 m3</v>
          </cell>
          <cell r="D349" t="str">
            <v>lít diezel</v>
          </cell>
          <cell r="E349">
            <v>300011</v>
          </cell>
          <cell r="F349" t="str">
            <v>1x2/4 lái xe</v>
          </cell>
          <cell r="G349">
            <v>438539</v>
          </cell>
          <cell r="H349">
            <v>264456</v>
          </cell>
          <cell r="I349">
            <v>234573</v>
          </cell>
          <cell r="J349">
            <v>205225</v>
          </cell>
          <cell r="K349">
            <v>338475</v>
          </cell>
          <cell r="L349">
            <v>943972</v>
          </cell>
          <cell r="M349">
            <v>914089</v>
          </cell>
          <cell r="N349">
            <v>884741</v>
          </cell>
          <cell r="O349">
            <v>1017991</v>
          </cell>
          <cell r="P349">
            <v>1208428</v>
          </cell>
          <cell r="Q349">
            <v>1148662</v>
          </cell>
          <cell r="R349">
            <v>1089966</v>
          </cell>
          <cell r="S349">
            <v>1356466</v>
          </cell>
        </row>
        <row r="350">
          <cell r="B350" t="str">
            <v>M106.0502</v>
          </cell>
          <cell r="C350" t="str">
            <v>5 m3</v>
          </cell>
          <cell r="D350" t="str">
            <v>lít diezel</v>
          </cell>
          <cell r="E350">
            <v>345013</v>
          </cell>
          <cell r="F350" t="str">
            <v>1x3/4 lái xe</v>
          </cell>
          <cell r="G350">
            <v>497469</v>
          </cell>
          <cell r="H350">
            <v>313761</v>
          </cell>
          <cell r="I350">
            <v>278307</v>
          </cell>
          <cell r="J350">
            <v>243487</v>
          </cell>
          <cell r="K350">
            <v>401581</v>
          </cell>
          <cell r="L350">
            <v>1064402</v>
          </cell>
          <cell r="M350">
            <v>1028948</v>
          </cell>
          <cell r="N350">
            <v>994128</v>
          </cell>
          <cell r="O350">
            <v>1152222</v>
          </cell>
          <cell r="P350">
            <v>1378163</v>
          </cell>
          <cell r="Q350">
            <v>1307255</v>
          </cell>
          <cell r="R350">
            <v>1237615</v>
          </cell>
          <cell r="S350">
            <v>1553803</v>
          </cell>
        </row>
        <row r="351">
          <cell r="B351" t="str">
            <v>M106.0503</v>
          </cell>
          <cell r="C351" t="str">
            <v>6 m3</v>
          </cell>
          <cell r="D351" t="str">
            <v>lít diezel</v>
          </cell>
          <cell r="E351">
            <v>360013</v>
          </cell>
          <cell r="F351" t="str">
            <v>1x3/4 lái xe</v>
          </cell>
          <cell r="G351">
            <v>571304</v>
          </cell>
          <cell r="H351">
            <v>313761</v>
          </cell>
          <cell r="I351">
            <v>278307</v>
          </cell>
          <cell r="J351">
            <v>243487</v>
          </cell>
          <cell r="K351">
            <v>401581</v>
          </cell>
          <cell r="L351">
            <v>1139607</v>
          </cell>
          <cell r="M351">
            <v>1104153</v>
          </cell>
          <cell r="N351">
            <v>1069333</v>
          </cell>
          <cell r="O351">
            <v>1227427</v>
          </cell>
          <cell r="P351">
            <v>1453368</v>
          </cell>
          <cell r="Q351">
            <v>1382460</v>
          </cell>
          <cell r="R351">
            <v>1312820</v>
          </cell>
          <cell r="S351">
            <v>1629008</v>
          </cell>
        </row>
        <row r="352">
          <cell r="B352" t="str">
            <v>M106.0504</v>
          </cell>
          <cell r="C352" t="str">
            <v>7 m3</v>
          </cell>
          <cell r="D352" t="str">
            <v>lít diezel</v>
          </cell>
          <cell r="E352">
            <v>390014</v>
          </cell>
          <cell r="F352" t="str">
            <v>1x3/4 lái xe</v>
          </cell>
          <cell r="G352">
            <v>688248</v>
          </cell>
          <cell r="H352">
            <v>313761</v>
          </cell>
          <cell r="I352">
            <v>278307</v>
          </cell>
          <cell r="J352">
            <v>243487</v>
          </cell>
          <cell r="K352">
            <v>401581</v>
          </cell>
          <cell r="L352">
            <v>1233197</v>
          </cell>
          <cell r="M352">
            <v>1197743</v>
          </cell>
          <cell r="N352">
            <v>1162923</v>
          </cell>
          <cell r="O352">
            <v>1321017</v>
          </cell>
          <cell r="P352">
            <v>1546958</v>
          </cell>
          <cell r="Q352">
            <v>1476050</v>
          </cell>
          <cell r="R352">
            <v>1406410</v>
          </cell>
          <cell r="S352">
            <v>1722598</v>
          </cell>
        </row>
        <row r="353">
          <cell r="B353" t="str">
            <v>M106.0505</v>
          </cell>
          <cell r="C353" t="str">
            <v>9 m3</v>
          </cell>
          <cell r="D353" t="str">
            <v>lít diezel</v>
          </cell>
          <cell r="E353">
            <v>405015</v>
          </cell>
          <cell r="F353" t="str">
            <v>1x3/4 lái xe</v>
          </cell>
          <cell r="G353">
            <v>796249</v>
          </cell>
          <cell r="H353">
            <v>313761</v>
          </cell>
          <cell r="I353">
            <v>278307</v>
          </cell>
          <cell r="J353">
            <v>243487</v>
          </cell>
          <cell r="K353">
            <v>401581</v>
          </cell>
          <cell r="L353">
            <v>1331275</v>
          </cell>
          <cell r="M353">
            <v>1295821</v>
          </cell>
          <cell r="N353">
            <v>1261001</v>
          </cell>
          <cell r="O353">
            <v>1419095</v>
          </cell>
          <cell r="P353">
            <v>1645036</v>
          </cell>
          <cell r="Q353">
            <v>1574128</v>
          </cell>
          <cell r="R353">
            <v>1504488</v>
          </cell>
          <cell r="S353">
            <v>1820676</v>
          </cell>
        </row>
        <row r="354">
          <cell r="B354" t="str">
            <v>M106.0506</v>
          </cell>
          <cell r="C354" t="str">
            <v>10 m3</v>
          </cell>
          <cell r="D354" t="str">
            <v>lít diezel</v>
          </cell>
          <cell r="E354">
            <v>450016</v>
          </cell>
          <cell r="F354" t="str">
            <v>1x3/4 lái xe</v>
          </cell>
          <cell r="G354">
            <v>866135</v>
          </cell>
          <cell r="H354">
            <v>313761</v>
          </cell>
          <cell r="I354">
            <v>278307</v>
          </cell>
          <cell r="J354">
            <v>243487</v>
          </cell>
          <cell r="K354">
            <v>401581</v>
          </cell>
          <cell r="L354">
            <v>1430035</v>
          </cell>
          <cell r="M354">
            <v>1394581</v>
          </cell>
          <cell r="N354">
            <v>1359761</v>
          </cell>
          <cell r="O354">
            <v>1517855</v>
          </cell>
          <cell r="P354">
            <v>1743796</v>
          </cell>
          <cell r="Q354">
            <v>1672888</v>
          </cell>
          <cell r="R354">
            <v>1603248</v>
          </cell>
          <cell r="S354">
            <v>1919436</v>
          </cell>
        </row>
        <row r="355">
          <cell r="B355" t="str">
            <v>M106.0507</v>
          </cell>
          <cell r="C355" t="str">
            <v>16 m3</v>
          </cell>
          <cell r="D355" t="str">
            <v>lít diezel</v>
          </cell>
          <cell r="E355">
            <v>525019</v>
          </cell>
          <cell r="F355" t="str">
            <v>1x3/4 lái xe</v>
          </cell>
          <cell r="G355">
            <v>1114405</v>
          </cell>
          <cell r="H355">
            <v>313761</v>
          </cell>
          <cell r="I355">
            <v>278307</v>
          </cell>
          <cell r="J355">
            <v>243487</v>
          </cell>
          <cell r="K355">
            <v>401581</v>
          </cell>
          <cell r="L355">
            <v>1664265</v>
          </cell>
          <cell r="M355">
            <v>1628811</v>
          </cell>
          <cell r="N355">
            <v>1593991</v>
          </cell>
          <cell r="O355">
            <v>1752085</v>
          </cell>
          <cell r="P355">
            <v>1978026</v>
          </cell>
          <cell r="Q355">
            <v>1907118</v>
          </cell>
          <cell r="R355">
            <v>1837478</v>
          </cell>
          <cell r="S355">
            <v>2153666</v>
          </cell>
        </row>
        <row r="356">
          <cell r="B356" t="str">
            <v>M106.0600</v>
          </cell>
          <cell r="C356" t="str">
            <v>Ô tô hút bùn, hút mùn khoan, dung tích:</v>
          </cell>
          <cell r="E356" t="str">
            <v>-</v>
          </cell>
          <cell r="P356">
            <v>0</v>
          </cell>
          <cell r="Q356">
            <v>0</v>
          </cell>
          <cell r="R356">
            <v>0</v>
          </cell>
          <cell r="S356">
            <v>0</v>
          </cell>
        </row>
        <row r="357">
          <cell r="B357" t="str">
            <v>M106.0601</v>
          </cell>
          <cell r="C357" t="str">
            <v>2 m3</v>
          </cell>
          <cell r="D357" t="str">
            <v>lít diezel</v>
          </cell>
          <cell r="E357">
            <v>285010</v>
          </cell>
          <cell r="F357" t="str">
            <v>1x2/4 lái xe</v>
          </cell>
          <cell r="G357">
            <v>435615</v>
          </cell>
          <cell r="H357">
            <v>264456</v>
          </cell>
          <cell r="I357">
            <v>234573</v>
          </cell>
          <cell r="J357">
            <v>205225</v>
          </cell>
          <cell r="K357">
            <v>338475</v>
          </cell>
          <cell r="L357">
            <v>933143</v>
          </cell>
          <cell r="M357">
            <v>903260</v>
          </cell>
          <cell r="N357">
            <v>873912</v>
          </cell>
          <cell r="O357">
            <v>1007162</v>
          </cell>
          <cell r="P357">
            <v>1197599</v>
          </cell>
          <cell r="Q357">
            <v>1137833</v>
          </cell>
          <cell r="R357">
            <v>1079137</v>
          </cell>
          <cell r="S357">
            <v>1345637</v>
          </cell>
        </row>
        <row r="358">
          <cell r="B358" t="str">
            <v>M106.0602</v>
          </cell>
          <cell r="C358" t="str">
            <v>3 m3</v>
          </cell>
          <cell r="D358" t="str">
            <v>lít diezel</v>
          </cell>
          <cell r="E358">
            <v>405015</v>
          </cell>
          <cell r="F358" t="str">
            <v>1x3/4 lái xe</v>
          </cell>
          <cell r="G358">
            <v>642388</v>
          </cell>
          <cell r="H358">
            <v>313761</v>
          </cell>
          <cell r="I358">
            <v>278307</v>
          </cell>
          <cell r="J358">
            <v>243487</v>
          </cell>
          <cell r="K358">
            <v>401581</v>
          </cell>
          <cell r="L358">
            <v>1284571</v>
          </cell>
          <cell r="M358">
            <v>1249117</v>
          </cell>
          <cell r="N358">
            <v>1214297</v>
          </cell>
          <cell r="O358">
            <v>1372391</v>
          </cell>
          <cell r="P358">
            <v>1598332</v>
          </cell>
          <cell r="Q358">
            <v>1527424</v>
          </cell>
          <cell r="R358">
            <v>1457784</v>
          </cell>
          <cell r="S358">
            <v>1773972</v>
          </cell>
        </row>
        <row r="359">
          <cell r="B359" t="str">
            <v>M106.0700</v>
          </cell>
          <cell r="C359" t="str">
            <v>Ô tô bán tải - trọng tải:</v>
          </cell>
          <cell r="E359" t="str">
            <v>-</v>
          </cell>
          <cell r="P359">
            <v>0</v>
          </cell>
          <cell r="Q359">
            <v>0</v>
          </cell>
          <cell r="R359">
            <v>0</v>
          </cell>
          <cell r="S359">
            <v>0</v>
          </cell>
        </row>
        <row r="360">
          <cell r="B360" t="str">
            <v>M106.0701</v>
          </cell>
          <cell r="C360" t="str">
            <v>1,5 t</v>
          </cell>
          <cell r="D360" t="str">
            <v>lít xăng</v>
          </cell>
          <cell r="E360">
            <v>336155</v>
          </cell>
          <cell r="F360" t="str">
            <v>1x2/4 lái xe</v>
          </cell>
          <cell r="G360">
            <v>359717</v>
          </cell>
          <cell r="H360">
            <v>264456</v>
          </cell>
          <cell r="I360">
            <v>234573</v>
          </cell>
          <cell r="J360">
            <v>205225</v>
          </cell>
          <cell r="K360">
            <v>338475</v>
          </cell>
          <cell r="L360">
            <v>958889</v>
          </cell>
          <cell r="M360">
            <v>929006</v>
          </cell>
          <cell r="N360">
            <v>899658</v>
          </cell>
          <cell r="O360">
            <v>1032908</v>
          </cell>
          <cell r="P360">
            <v>1223345</v>
          </cell>
          <cell r="Q360">
            <v>1163579</v>
          </cell>
          <cell r="R360">
            <v>1104883</v>
          </cell>
          <cell r="S360">
            <v>1371383</v>
          </cell>
        </row>
        <row r="361">
          <cell r="B361" t="str">
            <v>M106.0800</v>
          </cell>
          <cell r="C361" t="str">
            <v>Rơ mooc - trọng tải:</v>
          </cell>
          <cell r="E361" t="str">
            <v>-</v>
          </cell>
          <cell r="P361">
            <v>0</v>
          </cell>
          <cell r="Q361">
            <v>0</v>
          </cell>
          <cell r="R361">
            <v>0</v>
          </cell>
          <cell r="S361">
            <v>0</v>
          </cell>
        </row>
        <row r="362">
          <cell r="B362" t="str">
            <v>M106.0801</v>
          </cell>
          <cell r="C362" t="str">
            <v>15 t</v>
          </cell>
          <cell r="E362" t="str">
            <v>-</v>
          </cell>
          <cell r="G362">
            <v>160855</v>
          </cell>
          <cell r="L362">
            <v>143429</v>
          </cell>
          <cell r="M362">
            <v>143429</v>
          </cell>
          <cell r="N362">
            <v>143429</v>
          </cell>
          <cell r="O362">
            <v>143429</v>
          </cell>
          <cell r="P362">
            <v>143429</v>
          </cell>
          <cell r="Q362">
            <v>143429</v>
          </cell>
          <cell r="R362">
            <v>143429</v>
          </cell>
          <cell r="S362">
            <v>143429</v>
          </cell>
        </row>
        <row r="363">
          <cell r="B363" t="str">
            <v>M106.0802</v>
          </cell>
          <cell r="C363" t="str">
            <v>21t</v>
          </cell>
          <cell r="E363" t="str">
            <v>-</v>
          </cell>
          <cell r="G363">
            <v>186651</v>
          </cell>
          <cell r="L363">
            <v>166430</v>
          </cell>
          <cell r="M363">
            <v>166430</v>
          </cell>
          <cell r="N363">
            <v>166430</v>
          </cell>
          <cell r="O363">
            <v>166430</v>
          </cell>
          <cell r="P363">
            <v>166430</v>
          </cell>
          <cell r="Q363">
            <v>166430</v>
          </cell>
          <cell r="R363">
            <v>166430</v>
          </cell>
          <cell r="S363">
            <v>166430</v>
          </cell>
        </row>
        <row r="364">
          <cell r="B364" t="str">
            <v>M106.0803</v>
          </cell>
          <cell r="C364" t="str">
            <v>30 t</v>
          </cell>
          <cell r="E364" t="str">
            <v>-</v>
          </cell>
          <cell r="G364">
            <v>251560</v>
          </cell>
          <cell r="L364">
            <v>218019</v>
          </cell>
          <cell r="M364">
            <v>218019</v>
          </cell>
          <cell r="N364">
            <v>218019</v>
          </cell>
          <cell r="O364">
            <v>218019</v>
          </cell>
          <cell r="P364">
            <v>218019</v>
          </cell>
          <cell r="Q364">
            <v>218019</v>
          </cell>
          <cell r="R364">
            <v>218019</v>
          </cell>
          <cell r="S364">
            <v>218019</v>
          </cell>
        </row>
        <row r="365">
          <cell r="B365" t="str">
            <v>M106.0804</v>
          </cell>
          <cell r="C365" t="str">
            <v>40 t</v>
          </cell>
          <cell r="E365" t="str">
            <v>-</v>
          </cell>
          <cell r="G365">
            <v>297117</v>
          </cell>
          <cell r="L365">
            <v>257501</v>
          </cell>
          <cell r="M365">
            <v>257501</v>
          </cell>
          <cell r="N365">
            <v>257501</v>
          </cell>
          <cell r="O365">
            <v>257501</v>
          </cell>
          <cell r="P365">
            <v>257501</v>
          </cell>
          <cell r="Q365">
            <v>257501</v>
          </cell>
          <cell r="R365">
            <v>257501</v>
          </cell>
          <cell r="S365">
            <v>257501</v>
          </cell>
        </row>
        <row r="366">
          <cell r="B366" t="str">
            <v>M106.0805</v>
          </cell>
          <cell r="C366" t="str">
            <v>60 t</v>
          </cell>
          <cell r="E366" t="str">
            <v>-</v>
          </cell>
          <cell r="G366">
            <v>333817</v>
          </cell>
          <cell r="L366">
            <v>289308</v>
          </cell>
          <cell r="M366">
            <v>289308</v>
          </cell>
          <cell r="N366">
            <v>289308</v>
          </cell>
          <cell r="O366">
            <v>289308</v>
          </cell>
          <cell r="P366">
            <v>289308</v>
          </cell>
          <cell r="Q366">
            <v>289308</v>
          </cell>
          <cell r="R366">
            <v>289308</v>
          </cell>
          <cell r="S366">
            <v>289308</v>
          </cell>
        </row>
        <row r="367">
          <cell r="B367" t="str">
            <v>M106.0806</v>
          </cell>
          <cell r="C367" t="str">
            <v>100 t</v>
          </cell>
          <cell r="E367" t="str">
            <v>-</v>
          </cell>
          <cell r="G367">
            <v>537425</v>
          </cell>
          <cell r="L367">
            <v>465768</v>
          </cell>
          <cell r="M367">
            <v>465768</v>
          </cell>
          <cell r="N367">
            <v>465768</v>
          </cell>
          <cell r="O367">
            <v>465768</v>
          </cell>
          <cell r="P367">
            <v>465768</v>
          </cell>
          <cell r="Q367">
            <v>465768</v>
          </cell>
          <cell r="R367">
            <v>465768</v>
          </cell>
          <cell r="S367">
            <v>465768</v>
          </cell>
        </row>
        <row r="368">
          <cell r="B368" t="str">
            <v>M106.0807</v>
          </cell>
          <cell r="C368" t="str">
            <v>125 t</v>
          </cell>
          <cell r="E368" t="str">
            <v>-</v>
          </cell>
          <cell r="G368">
            <v>601973</v>
          </cell>
          <cell r="L368">
            <v>521710</v>
          </cell>
          <cell r="M368">
            <v>521710</v>
          </cell>
          <cell r="N368">
            <v>521710</v>
          </cell>
          <cell r="O368">
            <v>521710</v>
          </cell>
          <cell r="P368">
            <v>521710</v>
          </cell>
          <cell r="Q368">
            <v>521710</v>
          </cell>
          <cell r="R368">
            <v>521710</v>
          </cell>
          <cell r="S368">
            <v>521710</v>
          </cell>
        </row>
        <row r="369">
          <cell r="B369" t="str">
            <v>M106.0900</v>
          </cell>
          <cell r="C369" t="str">
            <v>Xe bồn chuyên dụng</v>
          </cell>
          <cell r="E369" t="str">
            <v>-</v>
          </cell>
          <cell r="P369">
            <v>0</v>
          </cell>
          <cell r="Q369">
            <v>0</v>
          </cell>
          <cell r="R369">
            <v>0</v>
          </cell>
          <cell r="S369">
            <v>0</v>
          </cell>
        </row>
        <row r="370">
          <cell r="B370" t="str">
            <v>M106.0901</v>
          </cell>
          <cell r="C370" t="str">
            <v>30 t</v>
          </cell>
          <cell r="D370" t="str">
            <v>lít diezel</v>
          </cell>
          <cell r="E370">
            <v>1395051</v>
          </cell>
          <cell r="F370" t="str">
            <v>1x3/4 lái xe</v>
          </cell>
          <cell r="G370">
            <v>1340000</v>
          </cell>
          <cell r="H370">
            <v>313761</v>
          </cell>
          <cell r="I370">
            <v>278307</v>
          </cell>
          <cell r="J370">
            <v>243487</v>
          </cell>
          <cell r="K370">
            <v>401581</v>
          </cell>
          <cell r="L370">
            <v>2870145</v>
          </cell>
          <cell r="M370">
            <v>2834691</v>
          </cell>
          <cell r="N370">
            <v>2799871</v>
          </cell>
          <cell r="O370">
            <v>2957965</v>
          </cell>
          <cell r="P370">
            <v>3183906</v>
          </cell>
          <cell r="Q370">
            <v>3112998</v>
          </cell>
          <cell r="R370">
            <v>3043358</v>
          </cell>
          <cell r="S370">
            <v>3359546</v>
          </cell>
        </row>
        <row r="371">
          <cell r="B371" t="str">
            <v>M106.0902</v>
          </cell>
          <cell r="C371">
            <v>3</v>
          </cell>
          <cell r="D371" t="str">
            <v>lít diezel</v>
          </cell>
          <cell r="E371">
            <v>525019</v>
          </cell>
          <cell r="F371" t="str">
            <v>1x1/4+1x3/4 lái xe</v>
          </cell>
          <cell r="G371">
            <v>3243150</v>
          </cell>
          <cell r="H371">
            <v>537877</v>
          </cell>
          <cell r="I371">
            <v>477098</v>
          </cell>
          <cell r="J371">
            <v>417407</v>
          </cell>
          <cell r="K371">
            <v>688424</v>
          </cell>
          <cell r="L371">
            <v>5423131</v>
          </cell>
          <cell r="M371">
            <v>5362352</v>
          </cell>
          <cell r="N371">
            <v>5302661</v>
          </cell>
          <cell r="O371">
            <v>5573678</v>
          </cell>
          <cell r="P371">
            <v>5961008</v>
          </cell>
          <cell r="Q371">
            <v>5839450</v>
          </cell>
          <cell r="R371">
            <v>5720068</v>
          </cell>
          <cell r="S371">
            <v>6262102</v>
          </cell>
        </row>
        <row r="372">
          <cell r="C372" t="str">
            <v>Xe bồn 13-14m (chở bitum,</v>
          </cell>
          <cell r="P372">
            <v>0</v>
          </cell>
          <cell r="Q372">
            <v>0</v>
          </cell>
          <cell r="R372">
            <v>0</v>
          </cell>
          <cell r="S372">
            <v>0</v>
          </cell>
        </row>
        <row r="373">
          <cell r="C373" t="str">
            <v>polymer)</v>
          </cell>
          <cell r="P373">
            <v>0</v>
          </cell>
          <cell r="Q373">
            <v>0</v>
          </cell>
          <cell r="R373">
            <v>0</v>
          </cell>
          <cell r="S373">
            <v>0</v>
          </cell>
        </row>
        <row r="374">
          <cell r="B374" t="str">
            <v>M106.0903</v>
          </cell>
          <cell r="C374" t="str">
            <v>Ô tô cấp nhũ tương 5 m3</v>
          </cell>
          <cell r="D374" t="str">
            <v>lít diezel</v>
          </cell>
          <cell r="E374">
            <v>345013</v>
          </cell>
          <cell r="F374" t="str">
            <v>1x3/4 lái xe</v>
          </cell>
          <cell r="G374">
            <v>931000</v>
          </cell>
          <cell r="H374">
            <v>313761</v>
          </cell>
          <cell r="I374">
            <v>278307</v>
          </cell>
          <cell r="J374">
            <v>243487</v>
          </cell>
          <cell r="K374">
            <v>401581</v>
          </cell>
          <cell r="L374">
            <v>1755285</v>
          </cell>
          <cell r="M374">
            <v>1719831</v>
          </cell>
          <cell r="N374">
            <v>1685011</v>
          </cell>
          <cell r="O374">
            <v>1843105</v>
          </cell>
          <cell r="P374">
            <v>2069046</v>
          </cell>
          <cell r="Q374">
            <v>1998138</v>
          </cell>
          <cell r="R374">
            <v>1928498</v>
          </cell>
          <cell r="S374">
            <v>2244686</v>
          </cell>
        </row>
        <row r="375">
          <cell r="B375" t="str">
            <v>M107.0000</v>
          </cell>
          <cell r="C375" t="str">
            <v>MÁY KHOAN ĐẤT ĐÁ</v>
          </cell>
          <cell r="E375" t="str">
            <v>-</v>
          </cell>
          <cell r="P375">
            <v>0</v>
          </cell>
          <cell r="Q375">
            <v>0</v>
          </cell>
          <cell r="R375">
            <v>0</v>
          </cell>
          <cell r="S375">
            <v>0</v>
          </cell>
        </row>
        <row r="376">
          <cell r="B376" t="str">
            <v>M107.0100</v>
          </cell>
          <cell r="C376" t="str">
            <v>Máy khoan đất đá, cầm tay - đường kính khoan:</v>
          </cell>
          <cell r="E376" t="str">
            <v>-</v>
          </cell>
          <cell r="P376">
            <v>0</v>
          </cell>
          <cell r="Q376">
            <v>0</v>
          </cell>
          <cell r="R376">
            <v>0</v>
          </cell>
          <cell r="S376">
            <v>0</v>
          </cell>
        </row>
        <row r="377">
          <cell r="B377" t="str">
            <v>M107.0101</v>
          </cell>
          <cell r="C377" t="str">
            <v>D ≤ 42 mm (động cơ điện-1,2</v>
          </cell>
          <cell r="D377" t="str">
            <v>kWh</v>
          </cell>
          <cell r="E377">
            <v>9788</v>
          </cell>
          <cell r="F377" t="str">
            <v>1x3/7</v>
          </cell>
          <cell r="G377">
            <v>13471</v>
          </cell>
          <cell r="H377">
            <v>241838</v>
          </cell>
          <cell r="I377">
            <v>214511</v>
          </cell>
          <cell r="J377">
            <v>187673</v>
          </cell>
          <cell r="K377">
            <v>309526</v>
          </cell>
          <cell r="L377">
            <v>269307</v>
          </cell>
          <cell r="M377">
            <v>241980</v>
          </cell>
          <cell r="N377">
            <v>215142</v>
          </cell>
          <cell r="O377">
            <v>336995</v>
          </cell>
          <cell r="P377">
            <v>511145</v>
          </cell>
          <cell r="Q377">
            <v>456491</v>
          </cell>
          <cell r="R377">
            <v>402815</v>
          </cell>
          <cell r="S377">
            <v>646521</v>
          </cell>
        </row>
        <row r="378">
          <cell r="B378" t="str">
            <v>M107.0102</v>
          </cell>
          <cell r="C378" t="str">
            <v>D ≤ 42 mm (truyền động khí nén</v>
          </cell>
          <cell r="E378" t="str">
            <v>-</v>
          </cell>
          <cell r="F378" t="str">
            <v>1x3/7</v>
          </cell>
          <cell r="G378">
            <v>26484</v>
          </cell>
          <cell r="H378">
            <v>241838</v>
          </cell>
          <cell r="I378">
            <v>214511</v>
          </cell>
          <cell r="J378">
            <v>187673</v>
          </cell>
          <cell r="K378">
            <v>309526</v>
          </cell>
          <cell r="L378">
            <v>276598</v>
          </cell>
          <cell r="M378">
            <v>249271</v>
          </cell>
          <cell r="N378">
            <v>222433</v>
          </cell>
          <cell r="O378">
            <v>344286</v>
          </cell>
          <cell r="P378">
            <v>518436</v>
          </cell>
          <cell r="Q378">
            <v>463782</v>
          </cell>
          <cell r="R378">
            <v>410106</v>
          </cell>
          <cell r="S378">
            <v>653812</v>
          </cell>
        </row>
        <row r="379">
          <cell r="C379" t="str">
            <v>- chưa tính khí nén)</v>
          </cell>
          <cell r="P379">
            <v>0</v>
          </cell>
          <cell r="Q379">
            <v>0</v>
          </cell>
          <cell r="R379">
            <v>0</v>
          </cell>
          <cell r="S379">
            <v>0</v>
          </cell>
        </row>
        <row r="380">
          <cell r="B380" t="str">
            <v>M107.0103</v>
          </cell>
          <cell r="C380" t="str">
            <v>D ≤ 42 mm (khoan SIG - chưa</v>
          </cell>
          <cell r="E380" t="str">
            <v>-</v>
          </cell>
          <cell r="F380" t="str">
            <v>1x3/7</v>
          </cell>
          <cell r="G380">
            <v>126804</v>
          </cell>
          <cell r="H380">
            <v>241838</v>
          </cell>
          <cell r="I380">
            <v>214511</v>
          </cell>
          <cell r="J380">
            <v>187673</v>
          </cell>
          <cell r="K380">
            <v>309526</v>
          </cell>
          <cell r="L380">
            <v>388191</v>
          </cell>
          <cell r="M380">
            <v>360864</v>
          </cell>
          <cell r="N380">
            <v>334026</v>
          </cell>
          <cell r="O380">
            <v>455879</v>
          </cell>
          <cell r="P380">
            <v>630029</v>
          </cell>
          <cell r="Q380">
            <v>575375</v>
          </cell>
          <cell r="R380">
            <v>521699</v>
          </cell>
          <cell r="S380">
            <v>765405</v>
          </cell>
        </row>
        <row r="381">
          <cell r="C381" t="str">
            <v>tính khí nén)</v>
          </cell>
          <cell r="P381">
            <v>0</v>
          </cell>
          <cell r="Q381">
            <v>0</v>
          </cell>
          <cell r="R381">
            <v>0</v>
          </cell>
          <cell r="S381">
            <v>0</v>
          </cell>
        </row>
        <row r="382">
          <cell r="B382" t="str">
            <v>M107.0104</v>
          </cell>
          <cell r="C382" t="str">
            <v>Búa chèn (truyền động khí nén - chưa tính khí nén)</v>
          </cell>
          <cell r="E382" t="str">
            <v>-</v>
          </cell>
          <cell r="F382" t="str">
            <v>1x3/7</v>
          </cell>
          <cell r="G382">
            <v>6134</v>
          </cell>
          <cell r="H382">
            <v>241838</v>
          </cell>
          <cell r="I382">
            <v>214511</v>
          </cell>
          <cell r="J382">
            <v>187673</v>
          </cell>
          <cell r="K382">
            <v>309526</v>
          </cell>
          <cell r="L382">
            <v>249889</v>
          </cell>
          <cell r="M382">
            <v>222562</v>
          </cell>
          <cell r="N382">
            <v>195724</v>
          </cell>
          <cell r="O382">
            <v>317577</v>
          </cell>
          <cell r="P382">
            <v>491727</v>
          </cell>
          <cell r="Q382">
            <v>437073</v>
          </cell>
          <cell r="R382">
            <v>383397</v>
          </cell>
          <cell r="S382">
            <v>627103</v>
          </cell>
        </row>
        <row r="383">
          <cell r="B383" t="str">
            <v>M107.0200</v>
          </cell>
          <cell r="C383" t="str">
            <v>Máy khoan xoay đập tự hành, khí nén (chưa tính khí nén) - đường kính khoan:</v>
          </cell>
          <cell r="E383" t="str">
            <v>-</v>
          </cell>
          <cell r="P383">
            <v>0</v>
          </cell>
          <cell r="Q383">
            <v>0</v>
          </cell>
          <cell r="R383">
            <v>0</v>
          </cell>
          <cell r="S383">
            <v>0</v>
          </cell>
        </row>
        <row r="384">
          <cell r="B384" t="str">
            <v>M107.0201</v>
          </cell>
          <cell r="C384" t="str">
            <v>D75-95 mm</v>
          </cell>
          <cell r="E384" t="str">
            <v>-</v>
          </cell>
          <cell r="F384" t="str">
            <v>1x3/7+1x4/7</v>
          </cell>
          <cell r="G384">
            <v>1101564</v>
          </cell>
          <cell r="H384">
            <v>528912</v>
          </cell>
          <cell r="I384">
            <v>469146</v>
          </cell>
          <cell r="J384">
            <v>410450</v>
          </cell>
          <cell r="K384">
            <v>676950</v>
          </cell>
          <cell r="L384">
            <v>1573358</v>
          </cell>
          <cell r="M384">
            <v>1513592</v>
          </cell>
          <cell r="N384">
            <v>1454896</v>
          </cell>
          <cell r="O384">
            <v>1721396</v>
          </cell>
          <cell r="P384">
            <v>2102270</v>
          </cell>
          <cell r="Q384">
            <v>1982738</v>
          </cell>
          <cell r="R384">
            <v>1865346</v>
          </cell>
          <cell r="S384">
            <v>2398346</v>
          </cell>
        </row>
        <row r="385">
          <cell r="B385" t="str">
            <v>M107.0202</v>
          </cell>
          <cell r="C385" t="str">
            <v>D105-110 mm</v>
          </cell>
          <cell r="E385" t="str">
            <v>-</v>
          </cell>
          <cell r="F385" t="str">
            <v>1x3/7+1x4/7</v>
          </cell>
          <cell r="G385">
            <v>1376725</v>
          </cell>
          <cell r="H385">
            <v>528912</v>
          </cell>
          <cell r="I385">
            <v>469146</v>
          </cell>
          <cell r="J385">
            <v>410450</v>
          </cell>
          <cell r="K385">
            <v>676950</v>
          </cell>
          <cell r="L385">
            <v>1834251</v>
          </cell>
          <cell r="M385">
            <v>1774485</v>
          </cell>
          <cell r="N385">
            <v>1715789</v>
          </cell>
          <cell r="O385">
            <v>1982289</v>
          </cell>
          <cell r="P385">
            <v>2363163</v>
          </cell>
          <cell r="Q385">
            <v>2243631</v>
          </cell>
          <cell r="R385">
            <v>2126239</v>
          </cell>
          <cell r="S385">
            <v>2659239</v>
          </cell>
        </row>
        <row r="386">
          <cell r="B386" t="str">
            <v>M107.0300</v>
          </cell>
          <cell r="C386" t="str">
            <v>Máy khoan hầm tự hành, động cơ diezel - đường kính khoan:</v>
          </cell>
          <cell r="E386" t="str">
            <v>-</v>
          </cell>
          <cell r="P386">
            <v>0</v>
          </cell>
          <cell r="Q386">
            <v>0</v>
          </cell>
          <cell r="R386">
            <v>0</v>
          </cell>
          <cell r="S386">
            <v>0</v>
          </cell>
        </row>
        <row r="387">
          <cell r="B387" t="str">
            <v>M107.0301</v>
          </cell>
          <cell r="C387" t="str">
            <v>D 45 mm (2 cần - 147 cv)</v>
          </cell>
          <cell r="D387" t="str">
            <v>lít diezel</v>
          </cell>
          <cell r="E387">
            <v>1260046</v>
          </cell>
          <cell r="F387" t="str">
            <v>1x4/7+1x7/7</v>
          </cell>
          <cell r="G387">
            <v>11436520</v>
          </cell>
          <cell r="H387">
            <v>758571</v>
          </cell>
          <cell r="I387">
            <v>672854</v>
          </cell>
          <cell r="J387">
            <v>588672</v>
          </cell>
          <cell r="K387">
            <v>970889</v>
          </cell>
          <cell r="L387">
            <v>10686295</v>
          </cell>
          <cell r="M387">
            <v>10600578</v>
          </cell>
          <cell r="N387">
            <v>10516396</v>
          </cell>
          <cell r="O387">
            <v>10898613</v>
          </cell>
          <cell r="P387">
            <v>11444866</v>
          </cell>
          <cell r="Q387">
            <v>11273432</v>
          </cell>
          <cell r="R387">
            <v>11105068</v>
          </cell>
          <cell r="S387">
            <v>11869502</v>
          </cell>
        </row>
        <row r="388">
          <cell r="B388" t="str">
            <v>M107.0302</v>
          </cell>
          <cell r="C388" t="str">
            <v>D 45 mm (3 cần - 255 cv)</v>
          </cell>
          <cell r="D388" t="str">
            <v>lít diezel</v>
          </cell>
          <cell r="E388">
            <v>2070075</v>
          </cell>
          <cell r="F388" t="str">
            <v>1x4/7+1x7/7</v>
          </cell>
          <cell r="G388">
            <v>16668260</v>
          </cell>
          <cell r="H388">
            <v>758571</v>
          </cell>
          <cell r="I388">
            <v>672854</v>
          </cell>
          <cell r="J388">
            <v>588672</v>
          </cell>
          <cell r="K388">
            <v>970889</v>
          </cell>
          <cell r="L388">
            <v>15461433</v>
          </cell>
          <cell r="M388">
            <v>15375716</v>
          </cell>
          <cell r="N388">
            <v>15291534</v>
          </cell>
          <cell r="O388">
            <v>15673751</v>
          </cell>
          <cell r="P388">
            <v>16220004</v>
          </cell>
          <cell r="Q388">
            <v>16048570</v>
          </cell>
          <cell r="R388">
            <v>15880206</v>
          </cell>
          <cell r="S388">
            <v>16644640</v>
          </cell>
        </row>
        <row r="389">
          <cell r="B389" t="str">
            <v>M107.0400</v>
          </cell>
          <cell r="C389" t="str">
            <v>Máy khoan néo - độ sâu khoan:</v>
          </cell>
          <cell r="E389" t="str">
            <v>-</v>
          </cell>
          <cell r="P389">
            <v>0</v>
          </cell>
          <cell r="Q389">
            <v>0</v>
          </cell>
          <cell r="R389">
            <v>0</v>
          </cell>
          <cell r="S389">
            <v>0</v>
          </cell>
        </row>
        <row r="390">
          <cell r="B390" t="str">
            <v>M107.0401</v>
          </cell>
          <cell r="C390" t="str">
            <v>H 3,5 m (80 cv)</v>
          </cell>
          <cell r="D390" t="str">
            <v>lít diezel</v>
          </cell>
          <cell r="E390">
            <v>570021</v>
          </cell>
          <cell r="F390" t="str">
            <v>1x4/7+1x7/7</v>
          </cell>
          <cell r="G390">
            <v>12651359</v>
          </cell>
          <cell r="H390">
            <v>758571</v>
          </cell>
          <cell r="I390">
            <v>672854</v>
          </cell>
          <cell r="J390">
            <v>588672</v>
          </cell>
          <cell r="K390">
            <v>970889</v>
          </cell>
          <cell r="L390">
            <v>10916990</v>
          </cell>
          <cell r="M390">
            <v>10831273</v>
          </cell>
          <cell r="N390">
            <v>10747091</v>
          </cell>
          <cell r="O390">
            <v>11129308</v>
          </cell>
          <cell r="P390">
            <v>11675561</v>
          </cell>
          <cell r="Q390">
            <v>11504127</v>
          </cell>
          <cell r="R390">
            <v>11335763</v>
          </cell>
          <cell r="S390">
            <v>12100197</v>
          </cell>
        </row>
        <row r="391">
          <cell r="B391" t="str">
            <v>M107.0500</v>
          </cell>
          <cell r="C391" t="str">
            <v>Máy khoan ROBBIN, đường kính khoan:</v>
          </cell>
          <cell r="E391" t="str">
            <v>-</v>
          </cell>
          <cell r="P391">
            <v>0</v>
          </cell>
          <cell r="Q391">
            <v>0</v>
          </cell>
          <cell r="R391">
            <v>0</v>
          </cell>
          <cell r="S391">
            <v>0</v>
          </cell>
        </row>
        <row r="392">
          <cell r="B392" t="str">
            <v>M107.0501</v>
          </cell>
          <cell r="C392" t="str">
            <v>D 2,4 m (250 kW)</v>
          </cell>
          <cell r="D392" t="str">
            <v>kWh</v>
          </cell>
          <cell r="E392">
            <v>1321422</v>
          </cell>
          <cell r="F392" t="str">
            <v>1x4/7+1x7/7</v>
          </cell>
          <cell r="G392">
            <v>41605242</v>
          </cell>
          <cell r="H392">
            <v>758571</v>
          </cell>
          <cell r="I392">
            <v>672854</v>
          </cell>
          <cell r="J392">
            <v>588672</v>
          </cell>
          <cell r="K392">
            <v>970889</v>
          </cell>
          <cell r="L392">
            <v>38311224</v>
          </cell>
          <cell r="M392">
            <v>38225507</v>
          </cell>
          <cell r="N392">
            <v>38141325</v>
          </cell>
          <cell r="O392">
            <v>38523542</v>
          </cell>
          <cell r="P392">
            <v>39069795</v>
          </cell>
          <cell r="Q392">
            <v>38898361</v>
          </cell>
          <cell r="R392">
            <v>38729997</v>
          </cell>
          <cell r="S392">
            <v>39494431</v>
          </cell>
        </row>
        <row r="393">
          <cell r="B393" t="str">
            <v>M107.0600</v>
          </cell>
          <cell r="C393" t="str">
            <v>Tổ hợp dàn khoan neo, công</v>
          </cell>
          <cell r="E393" t="str">
            <v>-</v>
          </cell>
          <cell r="P393">
            <v>0</v>
          </cell>
          <cell r="Q393">
            <v>0</v>
          </cell>
          <cell r="R393">
            <v>0</v>
          </cell>
          <cell r="S393">
            <v>0</v>
          </cell>
        </row>
        <row r="394">
          <cell r="B394" t="str">
            <v>M107.0601</v>
          </cell>
          <cell r="C394" t="str">
            <v>9 kW</v>
          </cell>
          <cell r="D394" t="str">
            <v>kWh</v>
          </cell>
          <cell r="E394">
            <v>31323</v>
          </cell>
          <cell r="F394" t="str">
            <v>1x4/7</v>
          </cell>
          <cell r="G394">
            <v>2207026</v>
          </cell>
          <cell r="H394">
            <v>287074</v>
          </cell>
          <cell r="I394">
            <v>254635</v>
          </cell>
          <cell r="J394">
            <v>222777</v>
          </cell>
          <cell r="K394">
            <v>367424</v>
          </cell>
          <cell r="L394">
            <v>2525423</v>
          </cell>
          <cell r="M394">
            <v>2492984</v>
          </cell>
          <cell r="N394">
            <v>2461126</v>
          </cell>
          <cell r="O394">
            <v>2605773</v>
          </cell>
          <cell r="P394">
            <v>2812497</v>
          </cell>
          <cell r="Q394">
            <v>2747619</v>
          </cell>
          <cell r="R394">
            <v>2683903</v>
          </cell>
          <cell r="S394">
            <v>2973197</v>
          </cell>
        </row>
        <row r="395">
          <cell r="B395" t="str">
            <v>M107.0700</v>
          </cell>
          <cell r="C395" t="str">
            <v>Máy khoan tạo lỗ neo gia cố mái ta luy:</v>
          </cell>
          <cell r="E395" t="str">
            <v>-</v>
          </cell>
          <cell r="P395">
            <v>0</v>
          </cell>
          <cell r="Q395">
            <v>0</v>
          </cell>
          <cell r="R395">
            <v>0</v>
          </cell>
          <cell r="S395">
            <v>0</v>
          </cell>
        </row>
        <row r="396">
          <cell r="B396" t="str">
            <v>M107.0701</v>
          </cell>
          <cell r="C396" t="str">
            <v>YG 60</v>
          </cell>
          <cell r="D396" t="str">
            <v>lít diezel</v>
          </cell>
          <cell r="E396">
            <v>420015</v>
          </cell>
          <cell r="F396" t="str">
            <v>1x3/7+1x4/7</v>
          </cell>
          <cell r="G396">
            <v>1043321</v>
          </cell>
          <cell r="H396">
            <v>528912</v>
          </cell>
          <cell r="I396">
            <v>469146</v>
          </cell>
          <cell r="J396">
            <v>410450</v>
          </cell>
          <cell r="K396">
            <v>676950</v>
          </cell>
          <cell r="L396">
            <v>1833663</v>
          </cell>
          <cell r="M396">
            <v>1773897</v>
          </cell>
          <cell r="N396">
            <v>1715201</v>
          </cell>
          <cell r="O396">
            <v>1981701</v>
          </cell>
          <cell r="P396">
            <v>2362575</v>
          </cell>
          <cell r="Q396">
            <v>2243043</v>
          </cell>
          <cell r="R396">
            <v>2125651</v>
          </cell>
          <cell r="S396">
            <v>2658651</v>
          </cell>
        </row>
        <row r="397">
          <cell r="B397" t="str">
            <v>M107.0800</v>
          </cell>
          <cell r="C397" t="str">
            <v>Máy khoan dẫn chuyên dụng</v>
          </cell>
          <cell r="E397" t="str">
            <v>-</v>
          </cell>
          <cell r="P397">
            <v>0</v>
          </cell>
          <cell r="Q397">
            <v>0</v>
          </cell>
          <cell r="R397">
            <v>0</v>
          </cell>
          <cell r="S397">
            <v>0</v>
          </cell>
        </row>
        <row r="398">
          <cell r="B398" t="str">
            <v>M107.0801</v>
          </cell>
          <cell r="C398" t="str">
            <v>HCR1200-EDII</v>
          </cell>
          <cell r="D398" t="str">
            <v>lít diezel</v>
          </cell>
          <cell r="E398">
            <v>4980181</v>
          </cell>
          <cell r="F398" t="str">
            <v>1x4/7</v>
          </cell>
          <cell r="G398">
            <v>5660000</v>
          </cell>
          <cell r="H398">
            <v>287074</v>
          </cell>
          <cell r="I398">
            <v>254635</v>
          </cell>
          <cell r="J398">
            <v>222777</v>
          </cell>
          <cell r="K398">
            <v>367424</v>
          </cell>
          <cell r="L398">
            <v>9616518</v>
          </cell>
          <cell r="M398">
            <v>9584079</v>
          </cell>
          <cell r="N398">
            <v>9552221</v>
          </cell>
          <cell r="O398">
            <v>9696868</v>
          </cell>
          <cell r="P398">
            <v>9903592</v>
          </cell>
          <cell r="Q398">
            <v>9838714</v>
          </cell>
          <cell r="R398">
            <v>9774998</v>
          </cell>
          <cell r="S398">
            <v>10064292</v>
          </cell>
        </row>
        <row r="399">
          <cell r="B399" t="str">
            <v>M107.0803</v>
          </cell>
          <cell r="C399" t="str">
            <v>Máy khoan XY-1A (phục vụ công tác xây dựng)</v>
          </cell>
          <cell r="D399" t="str">
            <v>lít diezel</v>
          </cell>
          <cell r="E399">
            <v>306011</v>
          </cell>
          <cell r="F399" t="str">
            <v>1x4/7</v>
          </cell>
          <cell r="G399">
            <v>102500</v>
          </cell>
          <cell r="H399">
            <v>287074</v>
          </cell>
          <cell r="I399">
            <v>254635</v>
          </cell>
          <cell r="J399">
            <v>222777</v>
          </cell>
          <cell r="K399">
            <v>367424</v>
          </cell>
          <cell r="L399">
            <v>701280</v>
          </cell>
          <cell r="M399">
            <v>668841</v>
          </cell>
          <cell r="N399">
            <v>636983</v>
          </cell>
          <cell r="O399">
            <v>781630</v>
          </cell>
          <cell r="P399">
            <v>988354</v>
          </cell>
          <cell r="Q399">
            <v>923476</v>
          </cell>
          <cell r="R399">
            <v>859760</v>
          </cell>
          <cell r="S399">
            <v>1149054</v>
          </cell>
        </row>
        <row r="400">
          <cell r="B400" t="str">
            <v>M108.0000</v>
          </cell>
          <cell r="C400" t="str">
            <v>MÁY VÀ THIẾT BỊ ĐỘNG</v>
          </cell>
          <cell r="E400" t="str">
            <v>-</v>
          </cell>
          <cell r="P400">
            <v>0</v>
          </cell>
          <cell r="Q400">
            <v>0</v>
          </cell>
          <cell r="R400">
            <v>0</v>
          </cell>
          <cell r="S400">
            <v>0</v>
          </cell>
        </row>
        <row r="401">
          <cell r="B401" t="str">
            <v>M108.0100</v>
          </cell>
          <cell r="C401" t="str">
            <v>Máy phát điện lưu động - công suất:</v>
          </cell>
          <cell r="E401" t="str">
            <v>-</v>
          </cell>
          <cell r="P401">
            <v>0</v>
          </cell>
          <cell r="Q401">
            <v>0</v>
          </cell>
          <cell r="R401">
            <v>0</v>
          </cell>
          <cell r="S401">
            <v>0</v>
          </cell>
        </row>
        <row r="402">
          <cell r="B402" t="str">
            <v>M108.0101</v>
          </cell>
          <cell r="C402" t="str">
            <v>3,75 kVA</v>
          </cell>
          <cell r="D402" t="str">
            <v>lít diezel</v>
          </cell>
          <cell r="E402">
            <v>30001</v>
          </cell>
          <cell r="F402" t="str">
            <v>1x3/7</v>
          </cell>
          <cell r="G402">
            <v>8369</v>
          </cell>
          <cell r="H402">
            <v>241838</v>
          </cell>
          <cell r="I402">
            <v>214511</v>
          </cell>
          <cell r="J402">
            <v>187673</v>
          </cell>
          <cell r="K402">
            <v>309526</v>
          </cell>
          <cell r="L402">
            <v>282768</v>
          </cell>
          <cell r="M402">
            <v>255441</v>
          </cell>
          <cell r="N402">
            <v>228603</v>
          </cell>
          <cell r="O402">
            <v>350456</v>
          </cell>
          <cell r="P402">
            <v>524606</v>
          </cell>
          <cell r="Q402">
            <v>469952</v>
          </cell>
          <cell r="R402">
            <v>416276</v>
          </cell>
          <cell r="S402">
            <v>659982</v>
          </cell>
        </row>
        <row r="403">
          <cell r="B403" t="str">
            <v>M108.0102</v>
          </cell>
          <cell r="C403" t="str">
            <v>6,25 kVA</v>
          </cell>
          <cell r="D403" t="str">
            <v>lít diezel</v>
          </cell>
          <cell r="E403">
            <v>75003</v>
          </cell>
          <cell r="F403" t="str">
            <v>1x3/7</v>
          </cell>
          <cell r="G403">
            <v>28433</v>
          </cell>
          <cell r="H403">
            <v>241838</v>
          </cell>
          <cell r="I403">
            <v>214511</v>
          </cell>
          <cell r="J403">
            <v>187673</v>
          </cell>
          <cell r="K403">
            <v>309526</v>
          </cell>
          <cell r="L403">
            <v>353971</v>
          </cell>
          <cell r="M403">
            <v>326644</v>
          </cell>
          <cell r="N403">
            <v>299806</v>
          </cell>
          <cell r="O403">
            <v>421659</v>
          </cell>
          <cell r="P403">
            <v>595809</v>
          </cell>
          <cell r="Q403">
            <v>541155</v>
          </cell>
          <cell r="R403">
            <v>487479</v>
          </cell>
          <cell r="S403">
            <v>731185</v>
          </cell>
        </row>
        <row r="404">
          <cell r="B404" t="str">
            <v>M108.0103</v>
          </cell>
          <cell r="C404" t="str">
            <v>37,5 kVA</v>
          </cell>
          <cell r="D404" t="str">
            <v>lít diezel</v>
          </cell>
          <cell r="E404">
            <v>360013</v>
          </cell>
          <cell r="F404" t="str">
            <v>1x3/7</v>
          </cell>
          <cell r="G404">
            <v>117173</v>
          </cell>
          <cell r="H404">
            <v>241838</v>
          </cell>
          <cell r="I404">
            <v>214511</v>
          </cell>
          <cell r="J404">
            <v>187673</v>
          </cell>
          <cell r="K404">
            <v>309526</v>
          </cell>
          <cell r="L404">
            <v>737634</v>
          </cell>
          <cell r="M404">
            <v>710307</v>
          </cell>
          <cell r="N404">
            <v>683469</v>
          </cell>
          <cell r="O404">
            <v>805322</v>
          </cell>
          <cell r="P404">
            <v>979472</v>
          </cell>
          <cell r="Q404">
            <v>924818</v>
          </cell>
          <cell r="R404">
            <v>871142</v>
          </cell>
          <cell r="S404">
            <v>1114848</v>
          </cell>
        </row>
        <row r="405">
          <cell r="B405" t="str">
            <v>M108.0104</v>
          </cell>
          <cell r="C405" t="str">
            <v>62,5 kVA</v>
          </cell>
          <cell r="D405" t="str">
            <v>lít diezel</v>
          </cell>
          <cell r="E405">
            <v>540020</v>
          </cell>
          <cell r="F405" t="str">
            <v>1x3/7</v>
          </cell>
          <cell r="G405">
            <v>172893</v>
          </cell>
          <cell r="H405">
            <v>241838</v>
          </cell>
          <cell r="I405">
            <v>214511</v>
          </cell>
          <cell r="J405">
            <v>187673</v>
          </cell>
          <cell r="K405">
            <v>309526</v>
          </cell>
          <cell r="L405">
            <v>982210</v>
          </cell>
          <cell r="M405">
            <v>954883</v>
          </cell>
          <cell r="N405">
            <v>928045</v>
          </cell>
          <cell r="O405">
            <v>1049898</v>
          </cell>
          <cell r="P405">
            <v>1224048</v>
          </cell>
          <cell r="Q405">
            <v>1169394</v>
          </cell>
          <cell r="R405">
            <v>1115718</v>
          </cell>
          <cell r="S405">
            <v>1359424</v>
          </cell>
        </row>
        <row r="406">
          <cell r="B406" t="str">
            <v>M108.0105</v>
          </cell>
          <cell r="C406" t="str">
            <v>93,75 kVA</v>
          </cell>
          <cell r="D406" t="str">
            <v>lít diezel</v>
          </cell>
          <cell r="E406">
            <v>675025</v>
          </cell>
          <cell r="F406" t="str">
            <v>1x4/7</v>
          </cell>
          <cell r="G406">
            <v>244894</v>
          </cell>
          <cell r="H406">
            <v>287074</v>
          </cell>
          <cell r="I406">
            <v>254635</v>
          </cell>
          <cell r="J406">
            <v>222777</v>
          </cell>
          <cell r="K406">
            <v>367424</v>
          </cell>
          <cell r="L406">
            <v>1228601</v>
          </cell>
          <cell r="M406">
            <v>1196162</v>
          </cell>
          <cell r="N406">
            <v>1164304</v>
          </cell>
          <cell r="O406">
            <v>1308951</v>
          </cell>
          <cell r="P406">
            <v>1515675</v>
          </cell>
          <cell r="Q406">
            <v>1450797</v>
          </cell>
          <cell r="R406">
            <v>1387081</v>
          </cell>
          <cell r="S406">
            <v>1676375</v>
          </cell>
        </row>
        <row r="407">
          <cell r="B407" t="str">
            <v>M108.0106</v>
          </cell>
          <cell r="C407" t="str">
            <v>150kVA</v>
          </cell>
          <cell r="D407" t="str">
            <v>lít diezel</v>
          </cell>
          <cell r="E407">
            <v>1140041</v>
          </cell>
          <cell r="F407" t="str">
            <v>1x4/7</v>
          </cell>
          <cell r="G407">
            <v>320678</v>
          </cell>
          <cell r="H407">
            <v>287074</v>
          </cell>
          <cell r="I407">
            <v>254635</v>
          </cell>
          <cell r="J407">
            <v>222777</v>
          </cell>
          <cell r="K407">
            <v>367424</v>
          </cell>
          <cell r="L407">
            <v>1753452</v>
          </cell>
          <cell r="M407">
            <v>1721013</v>
          </cell>
          <cell r="N407">
            <v>1689155</v>
          </cell>
          <cell r="O407">
            <v>1833802</v>
          </cell>
          <cell r="P407">
            <v>2040526</v>
          </cell>
          <cell r="Q407">
            <v>1975648</v>
          </cell>
          <cell r="R407">
            <v>1911932</v>
          </cell>
          <cell r="S407">
            <v>2201226</v>
          </cell>
        </row>
        <row r="408">
          <cell r="B408" t="str">
            <v>M108.0107</v>
          </cell>
          <cell r="C408" t="str">
            <v>250 kVA</v>
          </cell>
          <cell r="D408" t="str">
            <v>lít diezel</v>
          </cell>
          <cell r="E408">
            <v>1590058</v>
          </cell>
          <cell r="F408" t="str">
            <v>1x4/7</v>
          </cell>
          <cell r="G408">
            <v>335697</v>
          </cell>
          <cell r="H408">
            <v>287074</v>
          </cell>
          <cell r="I408">
            <v>254635</v>
          </cell>
          <cell r="J408">
            <v>222777</v>
          </cell>
          <cell r="K408">
            <v>367424</v>
          </cell>
          <cell r="L408">
            <v>2218753</v>
          </cell>
          <cell r="M408">
            <v>2186314</v>
          </cell>
          <cell r="N408">
            <v>2154456</v>
          </cell>
          <cell r="O408">
            <v>2299103</v>
          </cell>
          <cell r="P408">
            <v>2505827</v>
          </cell>
          <cell r="Q408">
            <v>2440949</v>
          </cell>
          <cell r="R408">
            <v>2377233</v>
          </cell>
          <cell r="S408">
            <v>2666527</v>
          </cell>
        </row>
        <row r="409">
          <cell r="B409" t="str">
            <v>M108.0200</v>
          </cell>
          <cell r="C409" t="str">
            <v>Máy nén khí, động cơ xăng - năng suất:</v>
          </cell>
          <cell r="E409" t="str">
            <v>-</v>
          </cell>
          <cell r="P409">
            <v>0</v>
          </cell>
          <cell r="Q409">
            <v>0</v>
          </cell>
          <cell r="R409">
            <v>0</v>
          </cell>
          <cell r="S409">
            <v>0</v>
          </cell>
        </row>
        <row r="410">
          <cell r="B410" t="str">
            <v>M108.0201</v>
          </cell>
          <cell r="C410" t="str">
            <v>120 m3/h</v>
          </cell>
          <cell r="D410" t="str">
            <v>lít xăng</v>
          </cell>
          <cell r="E410">
            <v>261454</v>
          </cell>
          <cell r="F410" t="str">
            <v>1x4/7</v>
          </cell>
          <cell r="G410">
            <v>71198</v>
          </cell>
          <cell r="H410">
            <v>287074</v>
          </cell>
          <cell r="I410">
            <v>254635</v>
          </cell>
          <cell r="J410">
            <v>222777</v>
          </cell>
          <cell r="K410">
            <v>367424</v>
          </cell>
          <cell r="L410">
            <v>627241</v>
          </cell>
          <cell r="M410">
            <v>594802</v>
          </cell>
          <cell r="N410">
            <v>562944</v>
          </cell>
          <cell r="O410">
            <v>707591</v>
          </cell>
          <cell r="P410">
            <v>914315</v>
          </cell>
          <cell r="Q410">
            <v>849437</v>
          </cell>
          <cell r="R410">
            <v>785721</v>
          </cell>
          <cell r="S410">
            <v>1075015</v>
          </cell>
        </row>
        <row r="411">
          <cell r="B411" t="str">
            <v>M108.0202</v>
          </cell>
          <cell r="C411" t="str">
            <v>600 m3/h</v>
          </cell>
          <cell r="D411" t="str">
            <v>lít xăng</v>
          </cell>
          <cell r="E411">
            <v>859063</v>
          </cell>
          <cell r="F411" t="str">
            <v>1x4/7</v>
          </cell>
          <cell r="G411">
            <v>374105</v>
          </cell>
          <cell r="H411">
            <v>287074</v>
          </cell>
          <cell r="I411">
            <v>254635</v>
          </cell>
          <cell r="J411">
            <v>222777</v>
          </cell>
          <cell r="K411">
            <v>367424</v>
          </cell>
          <cell r="L411">
            <v>1532712</v>
          </cell>
          <cell r="M411">
            <v>1500273</v>
          </cell>
          <cell r="N411">
            <v>1468415</v>
          </cell>
          <cell r="O411">
            <v>1613062</v>
          </cell>
          <cell r="P411">
            <v>1819786</v>
          </cell>
          <cell r="Q411">
            <v>1754908</v>
          </cell>
          <cell r="R411">
            <v>1691192</v>
          </cell>
          <cell r="S411">
            <v>1980486</v>
          </cell>
        </row>
        <row r="412">
          <cell r="B412" t="str">
            <v>M108.0300</v>
          </cell>
          <cell r="C412" t="str">
            <v>Máy nén khí, động cơ diezel - năng suất:</v>
          </cell>
          <cell r="E412" t="str">
            <v>-</v>
          </cell>
          <cell r="P412">
            <v>0</v>
          </cell>
          <cell r="Q412">
            <v>0</v>
          </cell>
          <cell r="R412">
            <v>0</v>
          </cell>
          <cell r="S412">
            <v>0</v>
          </cell>
        </row>
        <row r="413">
          <cell r="B413" t="str">
            <v>M108.0301</v>
          </cell>
          <cell r="C413" t="str">
            <v>120 m3/h</v>
          </cell>
          <cell r="D413" t="str">
            <v>lít diezel</v>
          </cell>
          <cell r="E413">
            <v>210008</v>
          </cell>
          <cell r="F413" t="str">
            <v>1x4/7</v>
          </cell>
          <cell r="G413">
            <v>77045</v>
          </cell>
          <cell r="H413">
            <v>287074</v>
          </cell>
          <cell r="I413">
            <v>254635</v>
          </cell>
          <cell r="J413">
            <v>222777</v>
          </cell>
          <cell r="K413">
            <v>367424</v>
          </cell>
          <cell r="L413">
            <v>583971</v>
          </cell>
          <cell r="M413">
            <v>551532</v>
          </cell>
          <cell r="N413">
            <v>519674</v>
          </cell>
          <cell r="O413">
            <v>664321</v>
          </cell>
          <cell r="P413">
            <v>871045</v>
          </cell>
          <cell r="Q413">
            <v>806167</v>
          </cell>
          <cell r="R413">
            <v>742451</v>
          </cell>
          <cell r="S413">
            <v>1031745</v>
          </cell>
        </row>
        <row r="414">
          <cell r="B414" t="str">
            <v>M108.0302</v>
          </cell>
          <cell r="C414" t="str">
            <v>240 m3/h</v>
          </cell>
          <cell r="D414" t="str">
            <v>lít diezel</v>
          </cell>
          <cell r="E414">
            <v>420015</v>
          </cell>
          <cell r="F414" t="str">
            <v>1x4/7</v>
          </cell>
          <cell r="G414">
            <v>156842</v>
          </cell>
          <cell r="H414">
            <v>287074</v>
          </cell>
          <cell r="I414">
            <v>254635</v>
          </cell>
          <cell r="J414">
            <v>222777</v>
          </cell>
          <cell r="K414">
            <v>367424</v>
          </cell>
          <cell r="L414">
            <v>883972</v>
          </cell>
          <cell r="M414">
            <v>851533</v>
          </cell>
          <cell r="N414">
            <v>819675</v>
          </cell>
          <cell r="O414">
            <v>964322</v>
          </cell>
          <cell r="P414">
            <v>1171046</v>
          </cell>
          <cell r="Q414">
            <v>1106168</v>
          </cell>
          <cell r="R414">
            <v>1042452</v>
          </cell>
          <cell r="S414">
            <v>1331746</v>
          </cell>
        </row>
        <row r="415">
          <cell r="B415" t="str">
            <v>M108.0303</v>
          </cell>
          <cell r="C415" t="str">
            <v>360 m3/h</v>
          </cell>
          <cell r="D415" t="str">
            <v>lít diezel</v>
          </cell>
          <cell r="E415">
            <v>525019</v>
          </cell>
          <cell r="F415" t="str">
            <v>1x4/7</v>
          </cell>
          <cell r="G415">
            <v>217034</v>
          </cell>
          <cell r="H415">
            <v>287074</v>
          </cell>
          <cell r="I415">
            <v>254635</v>
          </cell>
          <cell r="J415">
            <v>222777</v>
          </cell>
          <cell r="K415">
            <v>367424</v>
          </cell>
          <cell r="L415">
            <v>1056859</v>
          </cell>
          <cell r="M415">
            <v>1024420</v>
          </cell>
          <cell r="N415">
            <v>992562</v>
          </cell>
          <cell r="O415">
            <v>1137209</v>
          </cell>
          <cell r="P415">
            <v>1343933</v>
          </cell>
          <cell r="Q415">
            <v>1279055</v>
          </cell>
          <cell r="R415">
            <v>1215339</v>
          </cell>
          <cell r="S415">
            <v>1504633</v>
          </cell>
        </row>
        <row r="416">
          <cell r="B416" t="str">
            <v>M108.0304</v>
          </cell>
          <cell r="C416" t="str">
            <v>420 m3/h</v>
          </cell>
          <cell r="D416" t="str">
            <v>lít diezel</v>
          </cell>
          <cell r="E416">
            <v>570021</v>
          </cell>
          <cell r="F416" t="str">
            <v>1x4/7</v>
          </cell>
          <cell r="G416">
            <v>281811</v>
          </cell>
          <cell r="H416">
            <v>287074</v>
          </cell>
          <cell r="I416">
            <v>254635</v>
          </cell>
          <cell r="J416">
            <v>222777</v>
          </cell>
          <cell r="K416">
            <v>367424</v>
          </cell>
          <cell r="L416">
            <v>1174915</v>
          </cell>
          <cell r="M416">
            <v>1142476</v>
          </cell>
          <cell r="N416">
            <v>1110618</v>
          </cell>
          <cell r="O416">
            <v>1255265</v>
          </cell>
          <cell r="P416">
            <v>1461989</v>
          </cell>
          <cell r="Q416">
            <v>1397111</v>
          </cell>
          <cell r="R416">
            <v>1333395</v>
          </cell>
          <cell r="S416">
            <v>1622689</v>
          </cell>
        </row>
        <row r="417">
          <cell r="B417" t="str">
            <v>M108.0305</v>
          </cell>
          <cell r="C417" t="str">
            <v>540 m3/h</v>
          </cell>
          <cell r="D417" t="str">
            <v>lít diezel</v>
          </cell>
          <cell r="E417">
            <v>660024</v>
          </cell>
          <cell r="F417" t="str">
            <v>1x4/7</v>
          </cell>
          <cell r="G417">
            <v>321366</v>
          </cell>
          <cell r="H417">
            <v>287074</v>
          </cell>
          <cell r="I417">
            <v>254635</v>
          </cell>
          <cell r="J417">
            <v>222777</v>
          </cell>
          <cell r="K417">
            <v>367424</v>
          </cell>
          <cell r="L417">
            <v>1309527</v>
          </cell>
          <cell r="M417">
            <v>1277088</v>
          </cell>
          <cell r="N417">
            <v>1245230</v>
          </cell>
          <cell r="O417">
            <v>1389877</v>
          </cell>
          <cell r="P417">
            <v>1596601</v>
          </cell>
          <cell r="Q417">
            <v>1531723</v>
          </cell>
          <cell r="R417">
            <v>1468007</v>
          </cell>
          <cell r="S417">
            <v>1757301</v>
          </cell>
        </row>
        <row r="418">
          <cell r="B418" t="str">
            <v>M108.0306</v>
          </cell>
          <cell r="C418" t="str">
            <v>600 m3/h</v>
          </cell>
          <cell r="D418" t="str">
            <v>lít diezel</v>
          </cell>
          <cell r="E418">
            <v>705026</v>
          </cell>
          <cell r="F418" t="str">
            <v>1x4/7</v>
          </cell>
          <cell r="G418">
            <v>410793</v>
          </cell>
          <cell r="H418">
            <v>287074</v>
          </cell>
          <cell r="I418">
            <v>254635</v>
          </cell>
          <cell r="J418">
            <v>222777</v>
          </cell>
          <cell r="K418">
            <v>367424</v>
          </cell>
          <cell r="L418">
            <v>1425714</v>
          </cell>
          <cell r="M418">
            <v>1393275</v>
          </cell>
          <cell r="N418">
            <v>1361417</v>
          </cell>
          <cell r="O418">
            <v>1506064</v>
          </cell>
          <cell r="P418">
            <v>1712788</v>
          </cell>
          <cell r="Q418">
            <v>1647910</v>
          </cell>
          <cell r="R418">
            <v>1584194</v>
          </cell>
          <cell r="S418">
            <v>1873488</v>
          </cell>
        </row>
        <row r="419">
          <cell r="B419" t="str">
            <v>M108.0307</v>
          </cell>
          <cell r="C419" t="str">
            <v>660 m3/h</v>
          </cell>
          <cell r="D419" t="str">
            <v>lít diezel</v>
          </cell>
          <cell r="E419">
            <v>750027</v>
          </cell>
          <cell r="F419" t="str">
            <v>1x4/7</v>
          </cell>
          <cell r="G419">
            <v>478552</v>
          </cell>
          <cell r="H419">
            <v>287074</v>
          </cell>
          <cell r="I419">
            <v>254635</v>
          </cell>
          <cell r="J419">
            <v>222777</v>
          </cell>
          <cell r="K419">
            <v>367424</v>
          </cell>
          <cell r="L419">
            <v>1542239</v>
          </cell>
          <cell r="M419">
            <v>1509800</v>
          </cell>
          <cell r="N419">
            <v>1477942</v>
          </cell>
          <cell r="O419">
            <v>1622589</v>
          </cell>
          <cell r="P419">
            <v>1829313</v>
          </cell>
          <cell r="Q419">
            <v>1764435</v>
          </cell>
          <cell r="R419">
            <v>1700719</v>
          </cell>
          <cell r="S419">
            <v>1990013</v>
          </cell>
        </row>
        <row r="420">
          <cell r="B420" t="str">
            <v>M108.0308</v>
          </cell>
          <cell r="C420" t="str">
            <v>1200 m3/h</v>
          </cell>
          <cell r="D420" t="str">
            <v>lít diezel</v>
          </cell>
          <cell r="E420">
            <v>1125041</v>
          </cell>
          <cell r="F420" t="str">
            <v>1x4/7</v>
          </cell>
          <cell r="G420">
            <v>959970</v>
          </cell>
          <cell r="H420">
            <v>287074</v>
          </cell>
          <cell r="I420">
            <v>254635</v>
          </cell>
          <cell r="J420">
            <v>222777</v>
          </cell>
          <cell r="K420">
            <v>367424</v>
          </cell>
          <cell r="L420">
            <v>2366752</v>
          </cell>
          <cell r="M420">
            <v>2334313</v>
          </cell>
          <cell r="N420">
            <v>2302455</v>
          </cell>
          <cell r="O420">
            <v>2447102</v>
          </cell>
          <cell r="P420">
            <v>2653826</v>
          </cell>
          <cell r="Q420">
            <v>2588948</v>
          </cell>
          <cell r="R420">
            <v>2525232</v>
          </cell>
          <cell r="S420">
            <v>2814526</v>
          </cell>
        </row>
        <row r="421">
          <cell r="B421" t="str">
            <v>M108.0309</v>
          </cell>
          <cell r="C421" t="str">
            <v>1260 m3/h</v>
          </cell>
          <cell r="D421" t="str">
            <v>lít diezel</v>
          </cell>
          <cell r="E421">
            <v>1170043</v>
          </cell>
          <cell r="F421" t="str">
            <v>1x4/7</v>
          </cell>
          <cell r="G421">
            <v>1103857</v>
          </cell>
          <cell r="H421">
            <v>287074</v>
          </cell>
          <cell r="I421">
            <v>254635</v>
          </cell>
          <cell r="J421">
            <v>222777</v>
          </cell>
          <cell r="K421">
            <v>367424</v>
          </cell>
          <cell r="L421">
            <v>2530311</v>
          </cell>
          <cell r="M421">
            <v>2497872</v>
          </cell>
          <cell r="N421">
            <v>2466014</v>
          </cell>
          <cell r="O421">
            <v>2610661</v>
          </cell>
          <cell r="P421">
            <v>2817385</v>
          </cell>
          <cell r="Q421">
            <v>2752507</v>
          </cell>
          <cell r="R421">
            <v>2688791</v>
          </cell>
          <cell r="S421">
            <v>2978085</v>
          </cell>
        </row>
        <row r="422">
          <cell r="B422" t="str">
            <v>M108.0400</v>
          </cell>
          <cell r="C422" t="str">
            <v>Máy nén khí, động cơ điện - năng suất:</v>
          </cell>
          <cell r="E422" t="str">
            <v>-</v>
          </cell>
          <cell r="P422">
            <v>0</v>
          </cell>
          <cell r="Q422">
            <v>0</v>
          </cell>
          <cell r="R422">
            <v>0</v>
          </cell>
          <cell r="S422">
            <v>0</v>
          </cell>
        </row>
        <row r="423">
          <cell r="B423" t="str">
            <v>M108.0401</v>
          </cell>
          <cell r="C423" t="str">
            <v>5 m3/h</v>
          </cell>
          <cell r="D423" t="str">
            <v>kWh</v>
          </cell>
          <cell r="E423">
            <v>3915</v>
          </cell>
          <cell r="F423" t="str">
            <v>1x3/7</v>
          </cell>
          <cell r="G423">
            <v>2866</v>
          </cell>
          <cell r="H423">
            <v>241838</v>
          </cell>
          <cell r="I423">
            <v>214511</v>
          </cell>
          <cell r="J423">
            <v>187673</v>
          </cell>
          <cell r="K423">
            <v>309526</v>
          </cell>
          <cell r="L423">
            <v>249288</v>
          </cell>
          <cell r="M423">
            <v>221961</v>
          </cell>
          <cell r="N423">
            <v>195123</v>
          </cell>
          <cell r="O423">
            <v>316976</v>
          </cell>
          <cell r="P423">
            <v>491126</v>
          </cell>
          <cell r="Q423">
            <v>436472</v>
          </cell>
          <cell r="R423">
            <v>382796</v>
          </cell>
          <cell r="S423">
            <v>626502</v>
          </cell>
        </row>
        <row r="424">
          <cell r="B424" t="str">
            <v>M108.0402</v>
          </cell>
          <cell r="C424" t="str">
            <v>300 m3/h</v>
          </cell>
          <cell r="D424" t="str">
            <v>kWh</v>
          </cell>
          <cell r="E424">
            <v>168359</v>
          </cell>
          <cell r="F424" t="str">
            <v>1x3/7</v>
          </cell>
          <cell r="G424">
            <v>143199</v>
          </cell>
          <cell r="H424">
            <v>241838</v>
          </cell>
          <cell r="I424">
            <v>214511</v>
          </cell>
          <cell r="J424">
            <v>187673</v>
          </cell>
          <cell r="K424">
            <v>309526</v>
          </cell>
          <cell r="L424">
            <v>558965</v>
          </cell>
          <cell r="M424">
            <v>531638</v>
          </cell>
          <cell r="N424">
            <v>504800</v>
          </cell>
          <cell r="O424">
            <v>626653</v>
          </cell>
          <cell r="P424">
            <v>800803</v>
          </cell>
          <cell r="Q424">
            <v>746149</v>
          </cell>
          <cell r="R424">
            <v>692473</v>
          </cell>
          <cell r="S424">
            <v>936179</v>
          </cell>
        </row>
        <row r="425">
          <cell r="B425" t="str">
            <v>M108.0403</v>
          </cell>
          <cell r="C425" t="str">
            <v>600 m3/h</v>
          </cell>
          <cell r="D425" t="str">
            <v>kWh</v>
          </cell>
          <cell r="E425">
            <v>244708</v>
          </cell>
          <cell r="F425" t="str">
            <v>1x4/7</v>
          </cell>
          <cell r="G425">
            <v>309098</v>
          </cell>
          <cell r="H425">
            <v>287074</v>
          </cell>
          <cell r="I425">
            <v>254635</v>
          </cell>
          <cell r="J425">
            <v>222777</v>
          </cell>
          <cell r="K425">
            <v>367424</v>
          </cell>
          <cell r="L425">
            <v>846031</v>
          </cell>
          <cell r="M425">
            <v>813592</v>
          </cell>
          <cell r="N425">
            <v>781734</v>
          </cell>
          <cell r="O425">
            <v>926381</v>
          </cell>
          <cell r="P425">
            <v>1133105</v>
          </cell>
          <cell r="Q425">
            <v>1068227</v>
          </cell>
          <cell r="R425">
            <v>1004511</v>
          </cell>
          <cell r="S425">
            <v>1293805</v>
          </cell>
        </row>
        <row r="426">
          <cell r="B426" t="str">
            <v>M109.0000</v>
          </cell>
          <cell r="C426" t="str">
            <v>MÁY VÀ THIẾT BỊ THI CÔNG CÔNG TRÌNH THỦY</v>
          </cell>
          <cell r="E426" t="str">
            <v>-</v>
          </cell>
          <cell r="P426">
            <v>0</v>
          </cell>
          <cell r="Q426">
            <v>0</v>
          </cell>
          <cell r="R426">
            <v>0</v>
          </cell>
          <cell r="S426">
            <v>0</v>
          </cell>
        </row>
        <row r="427">
          <cell r="B427" t="str">
            <v>M109.0100</v>
          </cell>
          <cell r="C427" t="str">
            <v>Sà lan - trọng tải:</v>
          </cell>
          <cell r="E427" t="str">
            <v>-</v>
          </cell>
          <cell r="P427">
            <v>0</v>
          </cell>
          <cell r="Q427">
            <v>0</v>
          </cell>
          <cell r="R427">
            <v>0</v>
          </cell>
          <cell r="S427">
            <v>0</v>
          </cell>
        </row>
        <row r="428">
          <cell r="B428" t="str">
            <v>M109.0101</v>
          </cell>
          <cell r="C428" t="str">
            <v>100 t</v>
          </cell>
          <cell r="E428" t="str">
            <v>-</v>
          </cell>
          <cell r="G428">
            <v>490476</v>
          </cell>
          <cell r="L428">
            <v>411245</v>
          </cell>
          <cell r="M428">
            <v>411245</v>
          </cell>
          <cell r="N428">
            <v>411245</v>
          </cell>
          <cell r="O428">
            <v>411245</v>
          </cell>
          <cell r="P428">
            <v>411245</v>
          </cell>
          <cell r="Q428">
            <v>411245</v>
          </cell>
          <cell r="R428">
            <v>411245</v>
          </cell>
          <cell r="S428">
            <v>411245</v>
          </cell>
        </row>
        <row r="429">
          <cell r="B429" t="str">
            <v>M109.0102</v>
          </cell>
          <cell r="C429" t="str">
            <v>200 t</v>
          </cell>
          <cell r="E429" t="str">
            <v>-</v>
          </cell>
          <cell r="G429">
            <v>721153</v>
          </cell>
          <cell r="L429">
            <v>542108</v>
          </cell>
          <cell r="M429">
            <v>542108</v>
          </cell>
          <cell r="N429">
            <v>542108</v>
          </cell>
          <cell r="O429">
            <v>542108</v>
          </cell>
          <cell r="P429">
            <v>542108</v>
          </cell>
          <cell r="Q429">
            <v>542108</v>
          </cell>
          <cell r="R429">
            <v>542108</v>
          </cell>
          <cell r="S429">
            <v>542108</v>
          </cell>
        </row>
        <row r="430">
          <cell r="B430" t="str">
            <v>M109.0103</v>
          </cell>
          <cell r="C430" t="str">
            <v>250 t</v>
          </cell>
          <cell r="E430" t="str">
            <v>-</v>
          </cell>
          <cell r="G430">
            <v>901384</v>
          </cell>
          <cell r="L430">
            <v>677592</v>
          </cell>
          <cell r="M430">
            <v>677592</v>
          </cell>
          <cell r="N430">
            <v>677592</v>
          </cell>
          <cell r="O430">
            <v>677592</v>
          </cell>
          <cell r="P430">
            <v>677592</v>
          </cell>
          <cell r="Q430">
            <v>677592</v>
          </cell>
          <cell r="R430">
            <v>677592</v>
          </cell>
          <cell r="S430">
            <v>677592</v>
          </cell>
        </row>
        <row r="431">
          <cell r="B431" t="str">
            <v>M109.0104</v>
          </cell>
          <cell r="C431" t="str">
            <v>400 t</v>
          </cell>
          <cell r="E431" t="str">
            <v>-</v>
          </cell>
          <cell r="G431">
            <v>1207730</v>
          </cell>
          <cell r="L431">
            <v>891221</v>
          </cell>
          <cell r="M431">
            <v>891221</v>
          </cell>
          <cell r="N431">
            <v>891221</v>
          </cell>
          <cell r="O431">
            <v>891221</v>
          </cell>
          <cell r="P431">
            <v>891221</v>
          </cell>
          <cell r="Q431">
            <v>891221</v>
          </cell>
          <cell r="R431">
            <v>891221</v>
          </cell>
          <cell r="S431">
            <v>891221</v>
          </cell>
        </row>
        <row r="432">
          <cell r="B432" t="str">
            <v>M109.0105</v>
          </cell>
          <cell r="C432" t="str">
            <v>600 t</v>
          </cell>
          <cell r="E432" t="str">
            <v>-</v>
          </cell>
          <cell r="G432">
            <v>1420866</v>
          </cell>
          <cell r="L432">
            <v>1048501</v>
          </cell>
          <cell r="M432">
            <v>1048501</v>
          </cell>
          <cell r="N432">
            <v>1048501</v>
          </cell>
          <cell r="O432">
            <v>1048501</v>
          </cell>
          <cell r="P432">
            <v>1048501</v>
          </cell>
          <cell r="Q432">
            <v>1048501</v>
          </cell>
          <cell r="R432">
            <v>1048501</v>
          </cell>
          <cell r="S432">
            <v>1048501</v>
          </cell>
        </row>
        <row r="433">
          <cell r="B433" t="str">
            <v>M109.0106</v>
          </cell>
          <cell r="C433" t="str">
            <v>800 t</v>
          </cell>
          <cell r="E433" t="str">
            <v>-</v>
          </cell>
          <cell r="G433">
            <v>2012922</v>
          </cell>
          <cell r="L433">
            <v>1464574</v>
          </cell>
          <cell r="M433">
            <v>1464574</v>
          </cell>
          <cell r="N433">
            <v>1464574</v>
          </cell>
          <cell r="O433">
            <v>1464574</v>
          </cell>
          <cell r="P433">
            <v>1464574</v>
          </cell>
          <cell r="Q433">
            <v>1464574</v>
          </cell>
          <cell r="R433">
            <v>1464574</v>
          </cell>
          <cell r="S433">
            <v>1464574</v>
          </cell>
        </row>
        <row r="434">
          <cell r="B434" t="str">
            <v>M109.0107</v>
          </cell>
          <cell r="C434" t="str">
            <v>1000 t</v>
          </cell>
          <cell r="E434" t="str">
            <v>-</v>
          </cell>
          <cell r="G434">
            <v>2368110</v>
          </cell>
          <cell r="L434">
            <v>1723004</v>
          </cell>
          <cell r="M434">
            <v>1723004</v>
          </cell>
          <cell r="N434">
            <v>1723004</v>
          </cell>
          <cell r="O434">
            <v>1723004</v>
          </cell>
          <cell r="P434">
            <v>1723004</v>
          </cell>
          <cell r="Q434">
            <v>1723004</v>
          </cell>
          <cell r="R434">
            <v>1723004</v>
          </cell>
          <cell r="S434">
            <v>1723004</v>
          </cell>
        </row>
        <row r="435">
          <cell r="B435" t="str">
            <v>M109.0200</v>
          </cell>
          <cell r="C435" t="str">
            <v>Phao thép - trọng tải:</v>
          </cell>
          <cell r="E435" t="str">
            <v>-</v>
          </cell>
          <cell r="P435">
            <v>0</v>
          </cell>
          <cell r="Q435">
            <v>0</v>
          </cell>
          <cell r="R435">
            <v>0</v>
          </cell>
          <cell r="S435">
            <v>0</v>
          </cell>
        </row>
        <row r="436">
          <cell r="B436" t="str">
            <v>M109.0201</v>
          </cell>
          <cell r="C436" t="str">
            <v>60 t</v>
          </cell>
          <cell r="E436" t="str">
            <v>-</v>
          </cell>
          <cell r="G436">
            <v>121530</v>
          </cell>
          <cell r="L436">
            <v>115189</v>
          </cell>
          <cell r="M436">
            <v>115189</v>
          </cell>
          <cell r="N436">
            <v>115189</v>
          </cell>
          <cell r="O436">
            <v>115189</v>
          </cell>
          <cell r="P436">
            <v>115189</v>
          </cell>
          <cell r="Q436">
            <v>115189</v>
          </cell>
          <cell r="R436">
            <v>115189</v>
          </cell>
          <cell r="S436">
            <v>115189</v>
          </cell>
        </row>
        <row r="437">
          <cell r="B437" t="str">
            <v>M109.0202</v>
          </cell>
          <cell r="C437" t="str">
            <v>200 t</v>
          </cell>
          <cell r="E437" t="str">
            <v>-</v>
          </cell>
          <cell r="G437">
            <v>211645</v>
          </cell>
          <cell r="L437">
            <v>200603</v>
          </cell>
          <cell r="M437">
            <v>200603</v>
          </cell>
          <cell r="N437">
            <v>200603</v>
          </cell>
          <cell r="O437">
            <v>200603</v>
          </cell>
          <cell r="P437">
            <v>200603</v>
          </cell>
          <cell r="Q437">
            <v>200603</v>
          </cell>
          <cell r="R437">
            <v>200603</v>
          </cell>
          <cell r="S437">
            <v>200603</v>
          </cell>
        </row>
        <row r="438">
          <cell r="B438" t="str">
            <v>M109.0203</v>
          </cell>
          <cell r="C438" t="str">
            <v>250 t</v>
          </cell>
          <cell r="E438" t="str">
            <v>-</v>
          </cell>
          <cell r="G438">
            <v>222193</v>
          </cell>
          <cell r="L438">
            <v>210600</v>
          </cell>
          <cell r="M438">
            <v>210600</v>
          </cell>
          <cell r="N438">
            <v>210600</v>
          </cell>
          <cell r="O438">
            <v>210600</v>
          </cell>
          <cell r="P438">
            <v>210600</v>
          </cell>
          <cell r="Q438">
            <v>210600</v>
          </cell>
          <cell r="R438">
            <v>210600</v>
          </cell>
          <cell r="S438">
            <v>210600</v>
          </cell>
        </row>
        <row r="439">
          <cell r="B439" t="str">
            <v>M109.0301</v>
          </cell>
          <cell r="C439" t="str">
            <v>Pông tông</v>
          </cell>
          <cell r="E439" t="str">
            <v>-</v>
          </cell>
          <cell r="G439">
            <v>343952</v>
          </cell>
          <cell r="L439">
            <v>342457</v>
          </cell>
          <cell r="M439">
            <v>342457</v>
          </cell>
          <cell r="N439">
            <v>342457</v>
          </cell>
          <cell r="O439">
            <v>342457</v>
          </cell>
          <cell r="P439">
            <v>342457</v>
          </cell>
          <cell r="Q439">
            <v>342457</v>
          </cell>
          <cell r="R439">
            <v>342457</v>
          </cell>
          <cell r="S439">
            <v>342457</v>
          </cell>
        </row>
        <row r="440">
          <cell r="B440" t="str">
            <v>M109.0400</v>
          </cell>
          <cell r="C440" t="str">
            <v>Thuyền (ghe) đặt máy bơm - trọng tải:</v>
          </cell>
          <cell r="E440" t="str">
            <v>-</v>
          </cell>
          <cell r="P440">
            <v>0</v>
          </cell>
          <cell r="Q440">
            <v>0</v>
          </cell>
          <cell r="R440">
            <v>0</v>
          </cell>
          <cell r="S440">
            <v>0</v>
          </cell>
        </row>
        <row r="441">
          <cell r="B441" t="str">
            <v>M109.0401</v>
          </cell>
          <cell r="C441" t="str">
            <v>5 t</v>
          </cell>
          <cell r="D441" t="str">
            <v>lít diezel</v>
          </cell>
          <cell r="E441">
            <v>660024</v>
          </cell>
          <cell r="F441" t="str">
            <v>1 thuyền trưởng 1/2</v>
          </cell>
          <cell r="G441">
            <v>258000</v>
          </cell>
          <cell r="H441">
            <v>360893</v>
          </cell>
          <cell r="I441">
            <v>320117</v>
          </cell>
          <cell r="J441">
            <v>280049</v>
          </cell>
          <cell r="K441">
            <v>461942</v>
          </cell>
          <cell r="L441">
            <v>1257604</v>
          </cell>
          <cell r="M441">
            <v>1216828</v>
          </cell>
          <cell r="N441">
            <v>1176760</v>
          </cell>
          <cell r="O441">
            <v>1358653</v>
          </cell>
          <cell r="P441">
            <v>1618497</v>
          </cell>
          <cell r="Q441">
            <v>1536945</v>
          </cell>
          <cell r="R441">
            <v>1456809</v>
          </cell>
          <cell r="S441">
            <v>1820595</v>
          </cell>
        </row>
        <row r="442">
          <cell r="B442" t="str">
            <v>M109.0402</v>
          </cell>
          <cell r="C442" t="str">
            <v>40 t</v>
          </cell>
          <cell r="D442" t="str">
            <v>lít diezel</v>
          </cell>
          <cell r="E442">
            <v>1965071</v>
          </cell>
          <cell r="F442" t="str">
            <v>1 thuyền trưởng 1/2 + 1 thủy thủ 1x3/4</v>
          </cell>
          <cell r="G442">
            <v>887000</v>
          </cell>
          <cell r="H442">
            <v>761247</v>
          </cell>
          <cell r="I442">
            <v>675235</v>
          </cell>
          <cell r="J442">
            <v>590726</v>
          </cell>
          <cell r="K442">
            <v>974395</v>
          </cell>
          <cell r="L442">
            <v>3540045</v>
          </cell>
          <cell r="M442">
            <v>3454033</v>
          </cell>
          <cell r="N442">
            <v>3369524</v>
          </cell>
          <cell r="O442">
            <v>3753193</v>
          </cell>
          <cell r="P442">
            <v>4301292</v>
          </cell>
          <cell r="Q442">
            <v>4129268</v>
          </cell>
          <cell r="R442">
            <v>3960250</v>
          </cell>
          <cell r="S442">
            <v>4727588</v>
          </cell>
        </row>
        <row r="443">
          <cell r="B443" t="str">
            <v>M109.0500</v>
          </cell>
          <cell r="C443" t="str">
            <v>Ca nô - công suất:</v>
          </cell>
          <cell r="E443" t="str">
            <v>-</v>
          </cell>
          <cell r="P443">
            <v>0</v>
          </cell>
          <cell r="Q443">
            <v>0</v>
          </cell>
          <cell r="R443">
            <v>0</v>
          </cell>
          <cell r="S443">
            <v>0</v>
          </cell>
        </row>
        <row r="444">
          <cell r="B444" t="str">
            <v>M109.0501</v>
          </cell>
          <cell r="C444" t="str">
            <v>12 cv</v>
          </cell>
          <cell r="D444" t="str">
            <v>lít diezel</v>
          </cell>
          <cell r="E444">
            <v>45002</v>
          </cell>
          <cell r="F444" t="str">
            <v>1 thuyền trưởng 1/2</v>
          </cell>
          <cell r="G444">
            <v>94701</v>
          </cell>
          <cell r="H444">
            <v>360893</v>
          </cell>
          <cell r="I444">
            <v>320117</v>
          </cell>
          <cell r="J444">
            <v>280049</v>
          </cell>
          <cell r="K444">
            <v>461942</v>
          </cell>
          <cell r="L444">
            <v>488940</v>
          </cell>
          <cell r="M444">
            <v>448164</v>
          </cell>
          <cell r="N444">
            <v>408096</v>
          </cell>
          <cell r="O444">
            <v>589989</v>
          </cell>
          <cell r="P444">
            <v>849833</v>
          </cell>
          <cell r="Q444">
            <v>768281</v>
          </cell>
          <cell r="R444">
            <v>688145</v>
          </cell>
          <cell r="S444">
            <v>1051931</v>
          </cell>
        </row>
        <row r="445">
          <cell r="B445" t="str">
            <v>M109.0502</v>
          </cell>
          <cell r="C445" t="str">
            <v>23 cv</v>
          </cell>
          <cell r="D445" t="str">
            <v>lít diezel</v>
          </cell>
          <cell r="E445">
            <v>75003</v>
          </cell>
          <cell r="F445" t="str">
            <v>1 thuyền trưởng 1/2</v>
          </cell>
          <cell r="G445">
            <v>103988</v>
          </cell>
          <cell r="H445">
            <v>360893</v>
          </cell>
          <cell r="I445">
            <v>320117</v>
          </cell>
          <cell r="J445">
            <v>280049</v>
          </cell>
          <cell r="K445">
            <v>461942</v>
          </cell>
          <cell r="L445">
            <v>527085</v>
          </cell>
          <cell r="M445">
            <v>486309</v>
          </cell>
          <cell r="N445">
            <v>446241</v>
          </cell>
          <cell r="O445">
            <v>628134</v>
          </cell>
          <cell r="P445">
            <v>887978</v>
          </cell>
          <cell r="Q445">
            <v>806426</v>
          </cell>
          <cell r="R445">
            <v>726290</v>
          </cell>
          <cell r="S445">
            <v>1090076</v>
          </cell>
        </row>
        <row r="446">
          <cell r="B446" t="str">
            <v>M109.0503</v>
          </cell>
          <cell r="C446" t="str">
            <v>30 cv</v>
          </cell>
          <cell r="D446" t="str">
            <v>lít diezel</v>
          </cell>
          <cell r="E446">
            <v>90003</v>
          </cell>
          <cell r="F446" t="str">
            <v>1 thuyền trưởng 1/2</v>
          </cell>
          <cell r="G446">
            <v>112816</v>
          </cell>
          <cell r="H446">
            <v>360893</v>
          </cell>
          <cell r="I446">
            <v>320117</v>
          </cell>
          <cell r="J446">
            <v>280049</v>
          </cell>
          <cell r="K446">
            <v>461942</v>
          </cell>
          <cell r="L446">
            <v>547224</v>
          </cell>
          <cell r="M446">
            <v>506448</v>
          </cell>
          <cell r="N446">
            <v>466380</v>
          </cell>
          <cell r="O446">
            <v>648273</v>
          </cell>
          <cell r="P446">
            <v>908117</v>
          </cell>
          <cell r="Q446">
            <v>826565</v>
          </cell>
          <cell r="R446">
            <v>746429</v>
          </cell>
          <cell r="S446">
            <v>1110215</v>
          </cell>
        </row>
        <row r="447">
          <cell r="B447" t="str">
            <v>M109.0504</v>
          </cell>
          <cell r="C447" t="str">
            <v>54 cv</v>
          </cell>
          <cell r="D447" t="str">
            <v>lít diezel</v>
          </cell>
          <cell r="E447">
            <v>150005</v>
          </cell>
          <cell r="F447" t="str">
            <v>1 thuyền trưởng 1/2 + 1 thủy thủ 2/4</v>
          </cell>
          <cell r="G447">
            <v>144918</v>
          </cell>
          <cell r="H447">
            <v>708893</v>
          </cell>
          <cell r="I447">
            <v>628797</v>
          </cell>
          <cell r="J447">
            <v>550099</v>
          </cell>
          <cell r="K447">
            <v>907382</v>
          </cell>
          <cell r="L447">
            <v>982636</v>
          </cell>
          <cell r="M447">
            <v>902540</v>
          </cell>
          <cell r="N447">
            <v>823842</v>
          </cell>
          <cell r="O447">
            <v>1181125</v>
          </cell>
          <cell r="P447">
            <v>1691529</v>
          </cell>
          <cell r="Q447">
            <v>1531337</v>
          </cell>
          <cell r="R447">
            <v>1373941</v>
          </cell>
          <cell r="S447">
            <v>2088507</v>
          </cell>
        </row>
        <row r="448">
          <cell r="B448" t="str">
            <v>M109.0505</v>
          </cell>
          <cell r="C448" t="str">
            <v>75 cv</v>
          </cell>
          <cell r="D448" t="str">
            <v>lít diezel</v>
          </cell>
          <cell r="E448">
            <v>210008</v>
          </cell>
          <cell r="F448" t="str">
            <v>1 thuyền trưởng 1/2 + 1 thủy thủ 2/4</v>
          </cell>
          <cell r="G448">
            <v>207403</v>
          </cell>
          <cell r="H448">
            <v>708893</v>
          </cell>
          <cell r="I448">
            <v>628797</v>
          </cell>
          <cell r="J448">
            <v>550099</v>
          </cell>
          <cell r="K448">
            <v>907382</v>
          </cell>
          <cell r="L448">
            <v>1082430</v>
          </cell>
          <cell r="M448">
            <v>1002334</v>
          </cell>
          <cell r="N448">
            <v>923636</v>
          </cell>
          <cell r="O448">
            <v>1280919</v>
          </cell>
          <cell r="P448">
            <v>1791323</v>
          </cell>
          <cell r="Q448">
            <v>1631131</v>
          </cell>
          <cell r="R448">
            <v>1473735</v>
          </cell>
          <cell r="S448">
            <v>2188301</v>
          </cell>
        </row>
        <row r="449">
          <cell r="B449" t="str">
            <v>M109.0506</v>
          </cell>
          <cell r="C449" t="str">
            <v>90 cv</v>
          </cell>
          <cell r="D449" t="str">
            <v>lít diezel</v>
          </cell>
          <cell r="E449">
            <v>28501</v>
          </cell>
          <cell r="F449" t="str">
            <v>1 thuyền trưởng 1/2 + 1 thủy thủ 2/4</v>
          </cell>
          <cell r="G449">
            <v>278115</v>
          </cell>
          <cell r="H449">
            <v>708893</v>
          </cell>
          <cell r="I449">
            <v>628797</v>
          </cell>
          <cell r="J449">
            <v>550099</v>
          </cell>
          <cell r="K449">
            <v>907382</v>
          </cell>
          <cell r="L449">
            <v>1213186</v>
          </cell>
          <cell r="M449">
            <v>1133090</v>
          </cell>
          <cell r="N449">
            <v>1054392</v>
          </cell>
          <cell r="O449">
            <v>1411675</v>
          </cell>
          <cell r="P449">
            <v>1922079</v>
          </cell>
          <cell r="Q449">
            <v>1761887</v>
          </cell>
          <cell r="R449">
            <v>1604491</v>
          </cell>
          <cell r="S449">
            <v>2319057</v>
          </cell>
        </row>
        <row r="450">
          <cell r="B450" t="str">
            <v>M109.0507</v>
          </cell>
          <cell r="C450" t="str">
            <v>150 cv</v>
          </cell>
          <cell r="D450" t="str">
            <v>lít diezel</v>
          </cell>
          <cell r="E450">
            <v>345013</v>
          </cell>
          <cell r="F450" t="str">
            <v>1 thuyền trưởng 1/2 + 1 máy I 1/2 +1 thủy thủ 2/4</v>
          </cell>
          <cell r="G450">
            <v>364360</v>
          </cell>
          <cell r="H450">
            <v>1063340</v>
          </cell>
          <cell r="I450">
            <v>943195</v>
          </cell>
          <cell r="J450">
            <v>825147</v>
          </cell>
          <cell r="K450">
            <v>1361071</v>
          </cell>
          <cell r="L450">
            <v>1695636</v>
          </cell>
          <cell r="M450">
            <v>1575491</v>
          </cell>
          <cell r="N450">
            <v>1457443</v>
          </cell>
          <cell r="O450">
            <v>1993367</v>
          </cell>
          <cell r="P450">
            <v>2758976</v>
          </cell>
          <cell r="Q450">
            <v>2518686</v>
          </cell>
          <cell r="R450">
            <v>2282590</v>
          </cell>
          <cell r="S450">
            <v>3354438</v>
          </cell>
        </row>
        <row r="451">
          <cell r="B451" t="str">
            <v>M109.0700</v>
          </cell>
          <cell r="C451" t="str">
            <v>Tầu kéo và phục vụ thi công thuỷ (làm neo, cấp dầu,...) -</v>
          </cell>
          <cell r="E451" t="str">
            <v>-</v>
          </cell>
          <cell r="P451">
            <v>0</v>
          </cell>
          <cell r="Q451">
            <v>0</v>
          </cell>
          <cell r="R451">
            <v>0</v>
          </cell>
          <cell r="S451">
            <v>0</v>
          </cell>
        </row>
        <row r="452">
          <cell r="B452" t="str">
            <v>M109.0701</v>
          </cell>
          <cell r="C452" t="str">
            <v>75 cv</v>
          </cell>
          <cell r="D452" t="str">
            <v>lít diezel</v>
          </cell>
          <cell r="E452">
            <v>1020037</v>
          </cell>
          <cell r="F452" t="str">
            <v>1 thuyền trưởng 1/2 + 2 thợ máy (1x2/4+1x3/4) + 1 thợ điện 2/4 + 2 thủy thủ 2/4</v>
          </cell>
          <cell r="G452">
            <v>258000</v>
          </cell>
          <cell r="H452">
            <v>2153247</v>
          </cell>
          <cell r="I452">
            <v>1909955</v>
          </cell>
          <cell r="J452">
            <v>1670926</v>
          </cell>
          <cell r="K452">
            <v>2756155</v>
          </cell>
          <cell r="L452">
            <v>3369265</v>
          </cell>
          <cell r="M452">
            <v>3125973</v>
          </cell>
          <cell r="N452">
            <v>2886944</v>
          </cell>
          <cell r="O452">
            <v>3972173</v>
          </cell>
          <cell r="P452">
            <v>5522512</v>
          </cell>
          <cell r="Q452">
            <v>5035928</v>
          </cell>
          <cell r="R452">
            <v>4557870</v>
          </cell>
          <cell r="S452">
            <v>6728328</v>
          </cell>
        </row>
        <row r="453">
          <cell r="B453" t="str">
            <v>M109.0702</v>
          </cell>
          <cell r="C453" t="str">
            <v>150 cv</v>
          </cell>
          <cell r="D453" t="str">
            <v>lít diezel</v>
          </cell>
          <cell r="E453">
            <v>1425052</v>
          </cell>
          <cell r="F453" t="str">
            <v>1 thuyền trưởng 2/2 + 1 thuyền phó 1/2 + 1 máy I 1/2 + 2 thợ máy (1x3/4+1x2/4) + 2 thủy thủ (1x2/4+1x3/4)</v>
          </cell>
          <cell r="G453">
            <v>612500</v>
          </cell>
          <cell r="H453">
            <v>2588148</v>
          </cell>
          <cell r="I453">
            <v>2295717</v>
          </cell>
          <cell r="J453">
            <v>2008403</v>
          </cell>
          <cell r="K453">
            <v>3312823</v>
          </cell>
          <cell r="L453">
            <v>4473753</v>
          </cell>
          <cell r="M453">
            <v>4181322</v>
          </cell>
          <cell r="N453">
            <v>3894008</v>
          </cell>
          <cell r="O453">
            <v>5198428</v>
          </cell>
          <cell r="P453">
            <v>7061901</v>
          </cell>
          <cell r="Q453">
            <v>6477039</v>
          </cell>
          <cell r="R453">
            <v>5902411</v>
          </cell>
          <cell r="S453">
            <v>8511251</v>
          </cell>
        </row>
        <row r="454">
          <cell r="B454" t="str">
            <v>M109.0703</v>
          </cell>
          <cell r="C454" t="str">
            <v>250 cv</v>
          </cell>
          <cell r="D454" t="str">
            <v>lít diezel</v>
          </cell>
          <cell r="E454">
            <v>2220081</v>
          </cell>
          <cell r="F454" t="str">
            <v>1 thuyền trưởng 2/2 + 1 thuyền phó 1/2 + 1 máy I 1/2 + 2 thợ máy (1x3/4+1x2/4) + 2 thủy thủ (1x2/4+1x3/4)</v>
          </cell>
          <cell r="G454">
            <v>787238</v>
          </cell>
          <cell r="H454">
            <v>2690760</v>
          </cell>
          <cell r="I454">
            <v>2386723</v>
          </cell>
          <cell r="J454">
            <v>2088032</v>
          </cell>
          <cell r="K454">
            <v>3444176</v>
          </cell>
          <cell r="L454">
            <v>5502783</v>
          </cell>
          <cell r="M454">
            <v>5198746</v>
          </cell>
          <cell r="N454">
            <v>4900055</v>
          </cell>
          <cell r="O454">
            <v>6256199</v>
          </cell>
          <cell r="P454">
            <v>8193543</v>
          </cell>
          <cell r="Q454">
            <v>7585469</v>
          </cell>
          <cell r="R454">
            <v>6988087</v>
          </cell>
          <cell r="S454">
            <v>9700375</v>
          </cell>
        </row>
        <row r="455">
          <cell r="B455" t="str">
            <v>M109.0704</v>
          </cell>
          <cell r="C455" t="str">
            <v>360 cv</v>
          </cell>
          <cell r="D455" t="str">
            <v>lít diezel</v>
          </cell>
          <cell r="E455">
            <v>3030110</v>
          </cell>
          <cell r="F455" t="str">
            <v>1 thuyền trưởng 2/2 + 1 thuyền phó 1/2 + 1 máy I 1/2 + 2 thợ máy (1x3/4+1x2/4) + 2 thủy thủ (1x2/4+1x3/4)</v>
          </cell>
          <cell r="G455">
            <v>887000</v>
          </cell>
          <cell r="H455">
            <v>2690760</v>
          </cell>
          <cell r="I455">
            <v>2386723</v>
          </cell>
          <cell r="J455">
            <v>2088032</v>
          </cell>
          <cell r="K455">
            <v>3444176</v>
          </cell>
          <cell r="L455">
            <v>6387826</v>
          </cell>
          <cell r="M455">
            <v>6083789</v>
          </cell>
          <cell r="N455">
            <v>5785098</v>
          </cell>
          <cell r="O455">
            <v>7141242</v>
          </cell>
          <cell r="P455">
            <v>9078586</v>
          </cell>
          <cell r="Q455">
            <v>8470512</v>
          </cell>
          <cell r="R455">
            <v>7873130</v>
          </cell>
          <cell r="S455">
            <v>10585418</v>
          </cell>
        </row>
        <row r="456">
          <cell r="B456" t="str">
            <v>M109.0705</v>
          </cell>
          <cell r="C456" t="str">
            <v>600 cv</v>
          </cell>
          <cell r="D456" t="str">
            <v>lít diezel</v>
          </cell>
          <cell r="E456">
            <v>4725172</v>
          </cell>
          <cell r="F456" t="str">
            <v>1 thuyền trưởng 2/2 + 1 thuyền phó 2/2 + 1 máy I 2/2 + 3 thợ máy (2x3/4</v>
          </cell>
          <cell r="G456">
            <v>1318800</v>
          </cell>
          <cell r="H456">
            <v>4042637</v>
          </cell>
          <cell r="I456">
            <v>3585853</v>
          </cell>
          <cell r="J456">
            <v>3137095</v>
          </cell>
          <cell r="K456">
            <v>5174578</v>
          </cell>
          <cell r="L456">
            <v>9718867</v>
          </cell>
          <cell r="M456">
            <v>9262083</v>
          </cell>
          <cell r="N456">
            <v>8813325</v>
          </cell>
          <cell r="O456">
            <v>10850808</v>
          </cell>
          <cell r="P456">
            <v>13761504</v>
          </cell>
          <cell r="Q456">
            <v>12847936</v>
          </cell>
          <cell r="R456">
            <v>11950420</v>
          </cell>
          <cell r="S456">
            <v>16025386</v>
          </cell>
        </row>
        <row r="457">
          <cell r="B457" t="str">
            <v>M109.0706</v>
          </cell>
          <cell r="C457" t="str">
            <v>1200 cv (tầu kéo biển)</v>
          </cell>
          <cell r="D457" t="str">
            <v>lít diezel</v>
          </cell>
          <cell r="E457">
            <v>10710389</v>
          </cell>
          <cell r="F457" t="str">
            <v>1 thuyền trưởng 2/2 + 1 thuyền phó I 2/2 + 1 máy I 2/2 + 3 thợ máy (2x3/4+1x2/4) + 4 thủy thủ (3x3/4+1x4/4)</v>
          </cell>
          <cell r="G457">
            <v>9851500</v>
          </cell>
          <cell r="H457">
            <v>4253512</v>
          </cell>
          <cell r="I457">
            <v>3772891</v>
          </cell>
          <cell r="J457">
            <v>3300743</v>
          </cell>
          <cell r="K457">
            <v>5212770</v>
          </cell>
          <cell r="L457">
            <v>21659273</v>
          </cell>
          <cell r="M457">
            <v>21178652</v>
          </cell>
          <cell r="N457">
            <v>20706504</v>
          </cell>
          <cell r="O457">
            <v>22618531</v>
          </cell>
          <cell r="P457">
            <v>25912785</v>
          </cell>
          <cell r="Q457">
            <v>24951543</v>
          </cell>
          <cell r="R457">
            <v>24007247</v>
          </cell>
          <cell r="S457">
            <v>27831301</v>
          </cell>
        </row>
        <row r="458">
          <cell r="B458" t="str">
            <v>M109.0800</v>
          </cell>
          <cell r="C458" t="str">
            <v>Tàu cuốc sông- công suất:</v>
          </cell>
          <cell r="E458" t="str">
            <v>-</v>
          </cell>
          <cell r="P458">
            <v>0</v>
          </cell>
          <cell r="Q458">
            <v>0</v>
          </cell>
          <cell r="R458">
            <v>0</v>
          </cell>
          <cell r="S458">
            <v>0</v>
          </cell>
        </row>
        <row r="459">
          <cell r="B459" t="str">
            <v>M109.0801</v>
          </cell>
          <cell r="C459" t="str">
            <v>495 cv</v>
          </cell>
          <cell r="D459" t="str">
            <v>lít diezel</v>
          </cell>
          <cell r="E459">
            <v>7800284</v>
          </cell>
          <cell r="F459" t="str">
            <v>1 thuyền trưởng 2/2 + 1 thuyền phó 2/2 + 1 máy trưởng 2/2 + 1 máy II 2/2 + 1 điện trưởng 2/2 + 1 kỹ thuật viên cuốc I 2/2 + 2 kỹ thuật viên cuốc II 2/2 + 4 thợ máy (3x3/4+1x4/4) + 4 thủy thủ (3x3/4+1x4/4)</v>
          </cell>
          <cell r="G459">
            <v>11237300</v>
          </cell>
          <cell r="H459">
            <v>7004332</v>
          </cell>
          <cell r="I459">
            <v>6212864</v>
          </cell>
          <cell r="J459">
            <v>5435398</v>
          </cell>
          <cell r="K459">
            <v>8567949</v>
          </cell>
          <cell r="L459">
            <v>21546996</v>
          </cell>
          <cell r="M459">
            <v>20755528</v>
          </cell>
          <cell r="N459">
            <v>19978062</v>
          </cell>
          <cell r="O459">
            <v>23110613</v>
          </cell>
          <cell r="P459">
            <v>28551328</v>
          </cell>
          <cell r="Q459">
            <v>26968392</v>
          </cell>
          <cell r="R459">
            <v>25413460</v>
          </cell>
          <cell r="S459">
            <v>31678562</v>
          </cell>
        </row>
        <row r="460">
          <cell r="B460" t="str">
            <v>M109.0900</v>
          </cell>
          <cell r="C460" t="str">
            <v>Tàu cuốc biển - công suất:</v>
          </cell>
          <cell r="E460" t="str">
            <v>-</v>
          </cell>
          <cell r="P460">
            <v>0</v>
          </cell>
          <cell r="Q460">
            <v>0</v>
          </cell>
          <cell r="R460">
            <v>0</v>
          </cell>
          <cell r="S460">
            <v>0</v>
          </cell>
        </row>
        <row r="461">
          <cell r="B461" t="str">
            <v>M109.0901</v>
          </cell>
          <cell r="C461" t="str">
            <v>2085 cv</v>
          </cell>
          <cell r="D461" t="str">
            <v>lít diezel</v>
          </cell>
          <cell r="E461">
            <v>26265955</v>
          </cell>
          <cell r="F461" t="str">
            <v>1 thuyền trưởng 2/2 + 1 thuyền phó 2/2 + 1 máy trưởng 2/2 + 1 máy II 2/2 + 1 điện trưởng 2/2 + 1 kỹ thuật viên cuốc I 2/2 + 2 kỹ thuật viên cuốc II 2/2 + 4 thợ máy (3x3/4+1x4/4) + 4 thủy thủ (3x3/4+1x4/4)</v>
          </cell>
          <cell r="G461">
            <v>34650000</v>
          </cell>
          <cell r="H461">
            <v>7004332</v>
          </cell>
          <cell r="I461">
            <v>6212864</v>
          </cell>
          <cell r="J461">
            <v>5435398</v>
          </cell>
          <cell r="K461">
            <v>8567949</v>
          </cell>
          <cell r="L461">
            <v>53343391</v>
          </cell>
          <cell r="M461">
            <v>52551923</v>
          </cell>
          <cell r="N461">
            <v>51774457</v>
          </cell>
          <cell r="O461">
            <v>54907008</v>
          </cell>
          <cell r="P461">
            <v>60347723</v>
          </cell>
          <cell r="Q461">
            <v>58764787</v>
          </cell>
          <cell r="R461">
            <v>57209855</v>
          </cell>
          <cell r="S461">
            <v>63474957</v>
          </cell>
        </row>
        <row r="462">
          <cell r="B462" t="str">
            <v>M109.1000</v>
          </cell>
          <cell r="C462" t="str">
            <v>Tàu hút - công suất:</v>
          </cell>
          <cell r="E462" t="str">
            <v>-</v>
          </cell>
          <cell r="P462">
            <v>0</v>
          </cell>
          <cell r="Q462">
            <v>0</v>
          </cell>
          <cell r="R462">
            <v>0</v>
          </cell>
          <cell r="S462">
            <v>0</v>
          </cell>
        </row>
        <row r="463">
          <cell r="B463" t="str">
            <v>M109.1001</v>
          </cell>
          <cell r="C463" t="str">
            <v>585 cv</v>
          </cell>
          <cell r="D463" t="str">
            <v>lít diezel</v>
          </cell>
          <cell r="E463">
            <v>8595313</v>
          </cell>
          <cell r="F463" t="str">
            <v>1 thuyền trưởng 2/2 + thuyền phó 2/2 + 1 máy trưởng 2/2 + 1 máy II 2/2 + 1 kỹ thuật viên cuốc I 2/2 + 1 kỹ thuật viên cuốc II 2/2 + 2 thợ máy (1x3/4+1x4/4) + 4 thủy thủ (3x3/4+1x4/4)</v>
          </cell>
          <cell r="G463">
            <v>7685500</v>
          </cell>
          <cell r="H463">
            <v>5331513</v>
          </cell>
          <cell r="I463">
            <v>4729071</v>
          </cell>
          <cell r="J463">
            <v>4137279</v>
          </cell>
          <cell r="K463">
            <v>6459656</v>
          </cell>
          <cell r="L463">
            <v>18750139</v>
          </cell>
          <cell r="M463">
            <v>18147697</v>
          </cell>
          <cell r="N463">
            <v>17555905</v>
          </cell>
          <cell r="O463">
            <v>19878282</v>
          </cell>
          <cell r="P463">
            <v>24081652</v>
          </cell>
          <cell r="Q463">
            <v>22876768</v>
          </cell>
          <cell r="R463">
            <v>21693184</v>
          </cell>
          <cell r="S463">
            <v>26337938</v>
          </cell>
        </row>
        <row r="464">
          <cell r="B464" t="str">
            <v>M109.1002</v>
          </cell>
          <cell r="C464" t="str">
            <v>1200 cv</v>
          </cell>
          <cell r="D464" t="str">
            <v>lít diezel</v>
          </cell>
          <cell r="E464">
            <v>15120550</v>
          </cell>
          <cell r="F464" t="str">
            <v>1 thuyền trưởng 2/2 + thuyền phó 2/2 + 1 máy trưởng 2/2 + 1 máy II 2/2 + 1 điện trưởng 2/2 + 1 kỹ thuật viên cuốc I 2/2 + 1 kỹ thuật viên cuốc II 2/2 + 6 thợ máy (5x3/4 + 1x4/4) + 2 thủy thủ (1x3/4 + 1x4/4)</v>
          </cell>
          <cell r="G464">
            <v>20115500</v>
          </cell>
          <cell r="H464">
            <v>6158017</v>
          </cell>
          <cell r="I464">
            <v>5462188</v>
          </cell>
          <cell r="J464">
            <v>4778648</v>
          </cell>
          <cell r="K464">
            <v>7484656</v>
          </cell>
          <cell r="L464">
            <v>32411456</v>
          </cell>
          <cell r="M464">
            <v>31715627</v>
          </cell>
          <cell r="N464">
            <v>31032087</v>
          </cell>
          <cell r="O464">
            <v>33738095</v>
          </cell>
          <cell r="P464">
            <v>38569473</v>
          </cell>
          <cell r="Q464">
            <v>37177815</v>
          </cell>
          <cell r="R464">
            <v>35810735</v>
          </cell>
          <cell r="S464">
            <v>41222751</v>
          </cell>
        </row>
        <row r="465">
          <cell r="B465" t="str">
            <v>M109.1003</v>
          </cell>
          <cell r="C465" t="str">
            <v>3958 cv ÷ 4170 cv</v>
          </cell>
          <cell r="D465" t="str">
            <v>lít diezel</v>
          </cell>
          <cell r="E465">
            <v>48166751</v>
          </cell>
          <cell r="F465" t="str">
            <v>1 thuyền trưởng 2/2 + thuyền phó 2/2 + 1 máy trưởng 2/2 + 1 máy II 2/2 + 1 điện trưởng 2/2 + 1 kỹ thuật viên cuốc I 2/2 + 3 kỹ thuật viên cuốc II 2/2 + 6 thợ máy (5x3/4 + 1x4/4) + 4 thủy thủ (3x3/4 + 1x4/4)</v>
          </cell>
          <cell r="G465">
            <v>101976100</v>
          </cell>
          <cell r="H465">
            <v>8228198</v>
          </cell>
          <cell r="I465">
            <v>7298439</v>
          </cell>
          <cell r="J465">
            <v>6385127</v>
          </cell>
          <cell r="K465">
            <v>10134501</v>
          </cell>
          <cell r="L465">
            <v>108086283</v>
          </cell>
          <cell r="M465">
            <v>107156524</v>
          </cell>
          <cell r="N465">
            <v>106243212</v>
          </cell>
          <cell r="O465">
            <v>109992586</v>
          </cell>
          <cell r="P465">
            <v>116314481</v>
          </cell>
          <cell r="Q465">
            <v>114454963</v>
          </cell>
          <cell r="R465">
            <v>112628339</v>
          </cell>
          <cell r="S465">
            <v>120127087</v>
          </cell>
        </row>
        <row r="466">
          <cell r="B466" t="str">
            <v>M109.1100</v>
          </cell>
          <cell r="C466" t="str">
            <v>Tàu hút bụng tự hành - công suất:</v>
          </cell>
          <cell r="E466" t="str">
            <v>-</v>
          </cell>
          <cell r="P466">
            <v>0</v>
          </cell>
          <cell r="Q466">
            <v>0</v>
          </cell>
          <cell r="R466">
            <v>0</v>
          </cell>
          <cell r="S466">
            <v>0</v>
          </cell>
        </row>
        <row r="467">
          <cell r="B467" t="str">
            <v>M109.1101</v>
          </cell>
          <cell r="C467" t="str">
            <v>1390 cv</v>
          </cell>
          <cell r="D467" t="str">
            <v>lít diezel</v>
          </cell>
          <cell r="E467">
            <v>21690789</v>
          </cell>
          <cell r="F467" t="str">
            <v>1 thuyền trưởng 2/2 + thuyền phó 2/2 + 1 máy trưởng 2/2 + 1 máy II 2/2 + 1 điện trưởng 2/2 + 1 kỹ thuật viên cuốc I 2/2 + 1 kỹ thuật viên cuốc II 2/2 + 2 thợ máy (1x3/4 + 1x4/4) + 4 thủy thủ (3x3/4 + 1x4/4)</v>
          </cell>
          <cell r="G467">
            <v>11388400</v>
          </cell>
          <cell r="H467">
            <v>5457038</v>
          </cell>
          <cell r="I467">
            <v>4840410</v>
          </cell>
          <cell r="J467">
            <v>4234679</v>
          </cell>
          <cell r="K467">
            <v>6952078</v>
          </cell>
          <cell r="L467">
            <v>34530652</v>
          </cell>
          <cell r="M467">
            <v>33914024</v>
          </cell>
          <cell r="N467">
            <v>33308293</v>
          </cell>
          <cell r="O467">
            <v>36025692</v>
          </cell>
          <cell r="P467">
            <v>39987690</v>
          </cell>
          <cell r="Q467">
            <v>38754434</v>
          </cell>
          <cell r="R467">
            <v>37542972</v>
          </cell>
          <cell r="S467">
            <v>42977770</v>
          </cell>
        </row>
        <row r="468">
          <cell r="B468" t="str">
            <v>M109.1102</v>
          </cell>
          <cell r="C468" t="str">
            <v>5945 cv</v>
          </cell>
          <cell r="D468" t="str">
            <v>lít diezel</v>
          </cell>
          <cell r="E468">
            <v>78482854</v>
          </cell>
          <cell r="F468" t="str">
            <v>1 thuyền trưởng 2/2 + 1 thuyền phó 2/2 + 1 máy trưởng 2/2 + 1 máy II 2/2 + 1 điện trưởng 2/2 + 1 kỹ thuật viên cuốc I 2/2 + 1 kỹ thuật viên cuốc II 2/2 + 2 thợ máy (1x3/4 + 1x4/4) + 4 thủy thủ (3x3/4 + 1x4/4)</v>
          </cell>
          <cell r="G468">
            <v>65840000</v>
          </cell>
          <cell r="H468">
            <v>5780466</v>
          </cell>
          <cell r="I468">
            <v>5127289</v>
          </cell>
          <cell r="J468">
            <v>4485669</v>
          </cell>
          <cell r="K468">
            <v>7001396</v>
          </cell>
          <cell r="L468">
            <v>125810630</v>
          </cell>
          <cell r="M468">
            <v>125157453</v>
          </cell>
          <cell r="N468">
            <v>124515833</v>
          </cell>
          <cell r="O468">
            <v>127031560</v>
          </cell>
          <cell r="P468">
            <v>131591096</v>
          </cell>
          <cell r="Q468">
            <v>130284742</v>
          </cell>
          <cell r="R468">
            <v>129001502</v>
          </cell>
          <cell r="S468">
            <v>134032956</v>
          </cell>
        </row>
        <row r="469">
          <cell r="B469" t="str">
            <v>M109.1200</v>
          </cell>
          <cell r="C469" t="str">
            <v>Tầu ngoạm (có tính năng phá đá ngầm), công suất 3170 CV - dung tích gầu:</v>
          </cell>
          <cell r="E469" t="str">
            <v>-</v>
          </cell>
          <cell r="P469">
            <v>0</v>
          </cell>
          <cell r="Q469">
            <v>0</v>
          </cell>
          <cell r="R469">
            <v>0</v>
          </cell>
          <cell r="S469">
            <v>0</v>
          </cell>
        </row>
        <row r="470">
          <cell r="B470" t="str">
            <v>M109.1201</v>
          </cell>
          <cell r="C470" t="str">
            <v>17 m3</v>
          </cell>
          <cell r="D470" t="str">
            <v>lít diezel</v>
          </cell>
          <cell r="E470">
            <v>39946453</v>
          </cell>
          <cell r="F470" t="str">
            <v>1 thuyền trưởng 2/2 + 1 thuyền phó 2/2 + 1 máy trưởng 2/2 + 1 máy II 2/2 + 1 kỹ thuật viên cuốc I 2/2 + 3 kỹ thuật viên cuốc II 2/2 + 4 thợ máy (3x3/4 + 1x4/4) + 4 thủy thủ (3x3/4 + 1x4/4)</v>
          </cell>
          <cell r="G470">
            <v>38478500</v>
          </cell>
          <cell r="H470">
            <v>6595732</v>
          </cell>
          <cell r="I470">
            <v>5850452</v>
          </cell>
          <cell r="J470">
            <v>5118296</v>
          </cell>
          <cell r="K470">
            <v>8409598</v>
          </cell>
          <cell r="L470">
            <v>72548343</v>
          </cell>
          <cell r="M470">
            <v>71803063</v>
          </cell>
          <cell r="N470">
            <v>71070907</v>
          </cell>
          <cell r="O470">
            <v>74362209</v>
          </cell>
          <cell r="P470">
            <v>79144075</v>
          </cell>
          <cell r="Q470">
            <v>77653515</v>
          </cell>
          <cell r="R470">
            <v>76189203</v>
          </cell>
          <cell r="S470">
            <v>82771807</v>
          </cell>
        </row>
        <row r="471">
          <cell r="B471" t="str">
            <v>M109.1300</v>
          </cell>
          <cell r="C471" t="str">
            <v>Máy xáng cạp - dung tích gầu:</v>
          </cell>
          <cell r="E471" t="str">
            <v>-</v>
          </cell>
          <cell r="P471">
            <v>0</v>
          </cell>
          <cell r="Q471">
            <v>0</v>
          </cell>
          <cell r="R471">
            <v>0</v>
          </cell>
          <cell r="S471">
            <v>0</v>
          </cell>
        </row>
        <row r="472">
          <cell r="B472" t="str">
            <v>M109.1301</v>
          </cell>
          <cell r="C472" t="str">
            <v>1,25 m3</v>
          </cell>
          <cell r="D472" t="str">
            <v>lít diezel</v>
          </cell>
          <cell r="E472">
            <v>1050038</v>
          </cell>
          <cell r="F472" t="str">
            <v>1x5/7</v>
          </cell>
          <cell r="G472">
            <v>1699696</v>
          </cell>
          <cell r="H472">
            <v>337529</v>
          </cell>
          <cell r="I472">
            <v>299389</v>
          </cell>
          <cell r="J472">
            <v>261932</v>
          </cell>
          <cell r="K472">
            <v>432001</v>
          </cell>
          <cell r="L472">
            <v>2760922</v>
          </cell>
          <cell r="M472">
            <v>2722782</v>
          </cell>
          <cell r="N472">
            <v>2685325</v>
          </cell>
          <cell r="O472">
            <v>2855394</v>
          </cell>
          <cell r="P472">
            <v>3098451</v>
          </cell>
          <cell r="Q472">
            <v>3022171</v>
          </cell>
          <cell r="R472">
            <v>2947257</v>
          </cell>
          <cell r="S472">
            <v>3287395</v>
          </cell>
        </row>
        <row r="473">
          <cell r="B473" t="str">
            <v>M109.1401</v>
          </cell>
          <cell r="C473" t="str">
            <v>Trạm lặn</v>
          </cell>
          <cell r="E473" t="str">
            <v>-</v>
          </cell>
          <cell r="F473" t="str">
            <v>1 thợ lặn cấp I 1/2 + 1 thợ lặn 2/4</v>
          </cell>
          <cell r="G473">
            <v>7716</v>
          </cell>
          <cell r="H473">
            <v>1240000</v>
          </cell>
          <cell r="I473">
            <v>1140000</v>
          </cell>
          <cell r="J473">
            <v>1068000</v>
          </cell>
          <cell r="K473">
            <v>1408800</v>
          </cell>
          <cell r="L473">
            <v>1412475</v>
          </cell>
          <cell r="M473">
            <v>1312475</v>
          </cell>
          <cell r="N473">
            <v>1240475</v>
          </cell>
          <cell r="O473">
            <v>1581275</v>
          </cell>
          <cell r="P473">
            <v>2652475</v>
          </cell>
          <cell r="Q473">
            <v>2452475</v>
          </cell>
          <cell r="R473">
            <v>2308475</v>
          </cell>
          <cell r="S473">
            <v>2990075</v>
          </cell>
        </row>
        <row r="474">
          <cell r="B474" t="str">
            <v>M110.0000</v>
          </cell>
          <cell r="C474" t="str">
            <v>MÁY VÀ THIẾT BỊ THI CÔNG TRONG HẦM</v>
          </cell>
          <cell r="E474" t="str">
            <v>-</v>
          </cell>
          <cell r="P474">
            <v>0</v>
          </cell>
          <cell r="Q474">
            <v>0</v>
          </cell>
          <cell r="R474">
            <v>0</v>
          </cell>
          <cell r="S474">
            <v>0</v>
          </cell>
        </row>
        <row r="475">
          <cell r="B475" t="str">
            <v>M110.0100</v>
          </cell>
          <cell r="C475" t="str">
            <v>Máy xúc chuyên dùng trong hầm - dung tích gầu:</v>
          </cell>
          <cell r="E475" t="str">
            <v>-</v>
          </cell>
          <cell r="P475">
            <v>0</v>
          </cell>
          <cell r="Q475">
            <v>0</v>
          </cell>
          <cell r="R475">
            <v>0</v>
          </cell>
          <cell r="S475">
            <v>0</v>
          </cell>
        </row>
        <row r="476">
          <cell r="B476" t="str">
            <v>M110.0101</v>
          </cell>
          <cell r="C476" t="str">
            <v>0,9 m3</v>
          </cell>
          <cell r="D476" t="str">
            <v>lít diezel</v>
          </cell>
          <cell r="E476">
            <v>780028</v>
          </cell>
          <cell r="F476" t="str">
            <v>1x4/7</v>
          </cell>
          <cell r="G476">
            <v>3125148</v>
          </cell>
          <cell r="H476">
            <v>287074</v>
          </cell>
          <cell r="I476">
            <v>254635</v>
          </cell>
          <cell r="J476">
            <v>222777</v>
          </cell>
          <cell r="K476">
            <v>367424</v>
          </cell>
          <cell r="L476">
            <v>3491786</v>
          </cell>
          <cell r="M476">
            <v>3459347</v>
          </cell>
          <cell r="N476">
            <v>3427489</v>
          </cell>
          <cell r="O476">
            <v>3572136</v>
          </cell>
          <cell r="P476">
            <v>3778860</v>
          </cell>
          <cell r="Q476">
            <v>3713982</v>
          </cell>
          <cell r="R476">
            <v>3650266</v>
          </cell>
          <cell r="S476">
            <v>3939560</v>
          </cell>
        </row>
        <row r="477">
          <cell r="B477" t="str">
            <v>M110.0102</v>
          </cell>
          <cell r="C477" t="str">
            <v>1,65 m3</v>
          </cell>
          <cell r="D477" t="str">
            <v>lít diezel</v>
          </cell>
          <cell r="E477">
            <v>975035</v>
          </cell>
          <cell r="F477" t="str">
            <v>1x4/7</v>
          </cell>
          <cell r="G477">
            <v>3593955</v>
          </cell>
          <cell r="H477">
            <v>287074</v>
          </cell>
          <cell r="I477">
            <v>254635</v>
          </cell>
          <cell r="J477">
            <v>222777</v>
          </cell>
          <cell r="K477">
            <v>367424</v>
          </cell>
          <cell r="L477">
            <v>4050523</v>
          </cell>
          <cell r="M477">
            <v>4018084</v>
          </cell>
          <cell r="N477">
            <v>3986226</v>
          </cell>
          <cell r="O477">
            <v>4130873</v>
          </cell>
          <cell r="P477">
            <v>4337597</v>
          </cell>
          <cell r="Q477">
            <v>4272719</v>
          </cell>
          <cell r="R477">
            <v>4209003</v>
          </cell>
          <cell r="S477">
            <v>4498297</v>
          </cell>
        </row>
        <row r="478">
          <cell r="B478" t="str">
            <v>M110.0200</v>
          </cell>
          <cell r="C478" t="str">
            <v>Máy cào đá, động cơ điện - năng suất:</v>
          </cell>
          <cell r="E478" t="str">
            <v>-</v>
          </cell>
          <cell r="P478">
            <v>0</v>
          </cell>
          <cell r="Q478">
            <v>0</v>
          </cell>
          <cell r="R478">
            <v>0</v>
          </cell>
          <cell r="S478">
            <v>0</v>
          </cell>
        </row>
        <row r="479">
          <cell r="B479" t="str">
            <v>M110.0201</v>
          </cell>
          <cell r="C479" t="str">
            <v>3 m3/ph</v>
          </cell>
          <cell r="D479" t="str">
            <v>kWh</v>
          </cell>
          <cell r="E479">
            <v>485500</v>
          </cell>
          <cell r="F479" t="str">
            <v>1x3/7</v>
          </cell>
          <cell r="G479">
            <v>975792</v>
          </cell>
          <cell r="H479">
            <v>241838</v>
          </cell>
          <cell r="I479">
            <v>214511</v>
          </cell>
          <cell r="J479">
            <v>187673</v>
          </cell>
          <cell r="K479">
            <v>309526</v>
          </cell>
          <cell r="L479">
            <v>1470959</v>
          </cell>
          <cell r="M479">
            <v>1443632</v>
          </cell>
          <cell r="N479">
            <v>1416794</v>
          </cell>
          <cell r="O479">
            <v>1538647</v>
          </cell>
          <cell r="P479">
            <v>1712797</v>
          </cell>
          <cell r="Q479">
            <v>1658143</v>
          </cell>
          <cell r="R479">
            <v>1604467</v>
          </cell>
          <cell r="S479">
            <v>1848173</v>
          </cell>
        </row>
        <row r="480">
          <cell r="B480" t="str">
            <v>M110.0300</v>
          </cell>
          <cell r="C480" t="str">
            <v>Thiết bị phục vụ vận chuyển đá nổ mìn trong hầm:</v>
          </cell>
          <cell r="E480" t="str">
            <v>-</v>
          </cell>
          <cell r="P480">
            <v>0</v>
          </cell>
          <cell r="Q480">
            <v>0</v>
          </cell>
          <cell r="R480">
            <v>0</v>
          </cell>
          <cell r="S480">
            <v>0</v>
          </cell>
        </row>
        <row r="481">
          <cell r="B481" t="str">
            <v>M110.0301</v>
          </cell>
          <cell r="C481" t="str">
            <v>Tời ma nơ - 13 kW</v>
          </cell>
          <cell r="D481" t="str">
            <v>kWh</v>
          </cell>
          <cell r="E481">
            <v>84179</v>
          </cell>
          <cell r="F481" t="str">
            <v>1x4/7</v>
          </cell>
          <cell r="G481">
            <v>29121</v>
          </cell>
          <cell r="H481">
            <v>287074</v>
          </cell>
          <cell r="I481">
            <v>254635</v>
          </cell>
          <cell r="J481">
            <v>222777</v>
          </cell>
          <cell r="K481">
            <v>367424</v>
          </cell>
          <cell r="L481">
            <v>394841</v>
          </cell>
          <cell r="M481">
            <v>362402</v>
          </cell>
          <cell r="N481">
            <v>330544</v>
          </cell>
          <cell r="O481">
            <v>475191</v>
          </cell>
          <cell r="P481">
            <v>681915</v>
          </cell>
          <cell r="Q481">
            <v>617037</v>
          </cell>
          <cell r="R481">
            <v>553321</v>
          </cell>
          <cell r="S481">
            <v>842615</v>
          </cell>
        </row>
        <row r="482">
          <cell r="B482" t="str">
            <v>M110.0302</v>
          </cell>
          <cell r="C482" t="str">
            <v>Xe goòng 3 t</v>
          </cell>
          <cell r="E482" t="str">
            <v>-</v>
          </cell>
          <cell r="F482" t="str">
            <v>1x4/7</v>
          </cell>
          <cell r="G482">
            <v>30956</v>
          </cell>
          <cell r="H482">
            <v>287074</v>
          </cell>
          <cell r="I482">
            <v>254635</v>
          </cell>
          <cell r="J482">
            <v>222777</v>
          </cell>
          <cell r="K482">
            <v>367424</v>
          </cell>
          <cell r="L482">
            <v>310704</v>
          </cell>
          <cell r="M482">
            <v>278265</v>
          </cell>
          <cell r="N482">
            <v>246407</v>
          </cell>
          <cell r="O482">
            <v>391054</v>
          </cell>
          <cell r="P482">
            <v>597778</v>
          </cell>
          <cell r="Q482">
            <v>532900</v>
          </cell>
          <cell r="R482">
            <v>469184</v>
          </cell>
          <cell r="S482">
            <v>758478</v>
          </cell>
        </row>
        <row r="483">
          <cell r="B483" t="str">
            <v>M110.0303</v>
          </cell>
          <cell r="C483" t="str">
            <v>Đầu kéo 30 t</v>
          </cell>
          <cell r="D483" t="str">
            <v>lít diezel</v>
          </cell>
          <cell r="E483">
            <v>555020</v>
          </cell>
          <cell r="F483" t="str">
            <v>1x4/7</v>
          </cell>
          <cell r="G483">
            <v>3107721</v>
          </cell>
          <cell r="H483">
            <v>287074</v>
          </cell>
          <cell r="I483">
            <v>254635</v>
          </cell>
          <cell r="J483">
            <v>222777</v>
          </cell>
          <cell r="K483">
            <v>367424</v>
          </cell>
          <cell r="L483">
            <v>2882831</v>
          </cell>
          <cell r="M483">
            <v>2850392</v>
          </cell>
          <cell r="N483">
            <v>2818534</v>
          </cell>
          <cell r="O483">
            <v>2963181</v>
          </cell>
          <cell r="P483">
            <v>3169905</v>
          </cell>
          <cell r="Q483">
            <v>3105027</v>
          </cell>
          <cell r="R483">
            <v>3041311</v>
          </cell>
          <cell r="S483">
            <v>3330605</v>
          </cell>
        </row>
        <row r="484">
          <cell r="B484" t="str">
            <v>M110.0304</v>
          </cell>
          <cell r="C484" t="str">
            <v>Quang lật 360 t/h</v>
          </cell>
          <cell r="D484" t="str">
            <v>kWh</v>
          </cell>
          <cell r="E484">
            <v>52857</v>
          </cell>
          <cell r="F484" t="str">
            <v>1x4/7</v>
          </cell>
          <cell r="G484">
            <v>247875</v>
          </cell>
          <cell r="H484">
            <v>287074</v>
          </cell>
          <cell r="I484">
            <v>254635</v>
          </cell>
          <cell r="J484">
            <v>222777</v>
          </cell>
          <cell r="K484">
            <v>367424</v>
          </cell>
          <cell r="L484">
            <v>529142</v>
          </cell>
          <cell r="M484">
            <v>496703</v>
          </cell>
          <cell r="N484">
            <v>464845</v>
          </cell>
          <cell r="O484">
            <v>609492</v>
          </cell>
          <cell r="P484">
            <v>816216</v>
          </cell>
          <cell r="Q484">
            <v>751338</v>
          </cell>
          <cell r="R484">
            <v>687622</v>
          </cell>
          <cell r="S484">
            <v>976916</v>
          </cell>
        </row>
        <row r="485">
          <cell r="B485" t="str">
            <v>M110.0400</v>
          </cell>
          <cell r="C485" t="str">
            <v>Máy nâng phục vụ thi công hầm - công suất:</v>
          </cell>
          <cell r="E485" t="str">
            <v>-</v>
          </cell>
          <cell r="P485">
            <v>0</v>
          </cell>
          <cell r="Q485">
            <v>0</v>
          </cell>
          <cell r="R485">
            <v>0</v>
          </cell>
          <cell r="S485">
            <v>0</v>
          </cell>
        </row>
        <row r="486">
          <cell r="B486" t="str">
            <v>M110.0401</v>
          </cell>
          <cell r="C486" t="str">
            <v>135 cv</v>
          </cell>
          <cell r="D486" t="str">
            <v>lít diezel</v>
          </cell>
          <cell r="E486">
            <v>675025</v>
          </cell>
          <cell r="F486" t="str">
            <v>1x4/7</v>
          </cell>
          <cell r="G486">
            <v>781918</v>
          </cell>
          <cell r="H486">
            <v>287074</v>
          </cell>
          <cell r="I486">
            <v>254635</v>
          </cell>
          <cell r="J486">
            <v>222777</v>
          </cell>
          <cell r="K486">
            <v>367424</v>
          </cell>
          <cell r="L486">
            <v>1538401</v>
          </cell>
          <cell r="M486">
            <v>1505962</v>
          </cell>
          <cell r="N486">
            <v>1474104</v>
          </cell>
          <cell r="O486">
            <v>1618751</v>
          </cell>
          <cell r="P486">
            <v>1825475</v>
          </cell>
          <cell r="Q486">
            <v>1760597</v>
          </cell>
          <cell r="R486">
            <v>1696881</v>
          </cell>
          <cell r="S486">
            <v>1986175</v>
          </cell>
        </row>
        <row r="487">
          <cell r="B487" t="str">
            <v>M111.0000</v>
          </cell>
          <cell r="C487" t="str">
            <v>MÁY VÀ THIẾT BỊ THI CÔNG ĐƯỜNG ỐNG, ĐƯỜNG CÁP NGẦM</v>
          </cell>
          <cell r="E487" t="str">
            <v>-</v>
          </cell>
          <cell r="P487">
            <v>0</v>
          </cell>
          <cell r="Q487">
            <v>0</v>
          </cell>
          <cell r="R487">
            <v>0</v>
          </cell>
          <cell r="S487">
            <v>0</v>
          </cell>
        </row>
        <row r="488">
          <cell r="B488" t="str">
            <v>M111.0100</v>
          </cell>
          <cell r="C488" t="str">
            <v>Máy và thiết bị khoan đặt đường ống:</v>
          </cell>
          <cell r="E488" t="str">
            <v>-</v>
          </cell>
          <cell r="P488">
            <v>0</v>
          </cell>
          <cell r="Q488">
            <v>0</v>
          </cell>
          <cell r="R488">
            <v>0</v>
          </cell>
          <cell r="S488">
            <v>0</v>
          </cell>
        </row>
        <row r="489">
          <cell r="B489" t="str">
            <v>M111.0101</v>
          </cell>
          <cell r="C489" t="str">
            <v>Máy nâng TO-12-24, sức nâng 15</v>
          </cell>
          <cell r="D489" t="str">
            <v>lít diezel</v>
          </cell>
          <cell r="E489">
            <v>795029</v>
          </cell>
          <cell r="F489" t="str">
            <v>1x4/7+1x7/7</v>
          </cell>
          <cell r="G489">
            <v>1091245</v>
          </cell>
          <cell r="H489">
            <v>758571</v>
          </cell>
          <cell r="I489">
            <v>672854</v>
          </cell>
          <cell r="J489">
            <v>588672</v>
          </cell>
          <cell r="K489">
            <v>970889</v>
          </cell>
          <cell r="L489">
            <v>3044968</v>
          </cell>
          <cell r="M489">
            <v>2959251</v>
          </cell>
          <cell r="N489">
            <v>2875069</v>
          </cell>
          <cell r="O489">
            <v>3257286</v>
          </cell>
          <cell r="P489">
            <v>3803539</v>
          </cell>
          <cell r="Q489">
            <v>3632105</v>
          </cell>
          <cell r="R489">
            <v>3463741</v>
          </cell>
          <cell r="S489">
            <v>4228175</v>
          </cell>
        </row>
        <row r="490">
          <cell r="B490" t="str">
            <v>M111.0102</v>
          </cell>
          <cell r="C490" t="str">
            <v>Máy khoan ngang UĐB-4</v>
          </cell>
          <cell r="D490" t="str">
            <v>lít xăng</v>
          </cell>
          <cell r="E490">
            <v>616284</v>
          </cell>
          <cell r="F490" t="str">
            <v>1x4/7+1x7/7</v>
          </cell>
          <cell r="G490">
            <v>464335</v>
          </cell>
          <cell r="H490">
            <v>758571</v>
          </cell>
          <cell r="I490">
            <v>672854</v>
          </cell>
          <cell r="J490">
            <v>588672</v>
          </cell>
          <cell r="K490">
            <v>970889</v>
          </cell>
          <cell r="L490">
            <v>2164225</v>
          </cell>
          <cell r="M490">
            <v>2078508</v>
          </cell>
          <cell r="N490">
            <v>1994326</v>
          </cell>
          <cell r="O490">
            <v>2376543</v>
          </cell>
          <cell r="P490">
            <v>2922796</v>
          </cell>
          <cell r="Q490">
            <v>2751362</v>
          </cell>
          <cell r="R490">
            <v>2582998</v>
          </cell>
          <cell r="S490">
            <v>3347432</v>
          </cell>
        </row>
        <row r="491">
          <cell r="B491" t="str">
            <v>M111.0200</v>
          </cell>
          <cell r="C491" t="str">
            <v>Máy và thiết bị khoan đặt đường cáp ngầm:</v>
          </cell>
          <cell r="E491" t="str">
            <v>-</v>
          </cell>
          <cell r="P491">
            <v>0</v>
          </cell>
          <cell r="Q491">
            <v>0</v>
          </cell>
          <cell r="R491">
            <v>0</v>
          </cell>
          <cell r="S491">
            <v>0</v>
          </cell>
        </row>
        <row r="492">
          <cell r="B492" t="str">
            <v>M111.0201</v>
          </cell>
          <cell r="C492" t="str">
            <v>Máy khoan ngầm có định hướng</v>
          </cell>
          <cell r="D492" t="str">
            <v>kWh</v>
          </cell>
          <cell r="E492">
            <v>393490</v>
          </cell>
          <cell r="F492" t="str">
            <v>1x4/7+1x7/7</v>
          </cell>
          <cell r="G492">
            <v>5938103</v>
          </cell>
          <cell r="H492">
            <v>758571</v>
          </cell>
          <cell r="I492">
            <v>672854</v>
          </cell>
          <cell r="J492">
            <v>588672</v>
          </cell>
          <cell r="K492">
            <v>970889</v>
          </cell>
          <cell r="L492">
            <v>6404998</v>
          </cell>
          <cell r="M492">
            <v>6319281</v>
          </cell>
          <cell r="N492">
            <v>6235099</v>
          </cell>
          <cell r="O492">
            <v>6617316</v>
          </cell>
          <cell r="P492">
            <v>7163569</v>
          </cell>
          <cell r="Q492">
            <v>6992135</v>
          </cell>
          <cell r="R492">
            <v>6823771</v>
          </cell>
          <cell r="S492">
            <v>7588205</v>
          </cell>
        </row>
        <row r="493">
          <cell r="B493" t="str">
            <v>M111.0202</v>
          </cell>
          <cell r="C493" t="str">
            <v>Hệ thống STS (phục vụ khoan ngầm có định hướng khi khoan qua sông nước)</v>
          </cell>
          <cell r="D493" t="str">
            <v>kWh</v>
          </cell>
          <cell r="E493">
            <v>3915</v>
          </cell>
          <cell r="F493" t="str">
            <v>1x6/7+1x4/7</v>
          </cell>
          <cell r="G493">
            <v>1755761</v>
          </cell>
          <cell r="H493">
            <v>687238</v>
          </cell>
          <cell r="I493">
            <v>609581</v>
          </cell>
          <cell r="J493">
            <v>533315</v>
          </cell>
          <cell r="K493">
            <v>879590</v>
          </cell>
          <cell r="L493">
            <v>3383320</v>
          </cell>
          <cell r="M493">
            <v>3305663</v>
          </cell>
          <cell r="N493">
            <v>3229397</v>
          </cell>
          <cell r="O493">
            <v>3575672</v>
          </cell>
          <cell r="P493">
            <v>4070558</v>
          </cell>
          <cell r="Q493">
            <v>3915244</v>
          </cell>
          <cell r="R493">
            <v>3762712</v>
          </cell>
          <cell r="S493">
            <v>4455262</v>
          </cell>
        </row>
        <row r="494">
          <cell r="B494" t="str">
            <v>M112.0000</v>
          </cell>
          <cell r="C494" t="str">
            <v>MÁY VÀ THIẾT BỊ THI CÔNG KHÁC</v>
          </cell>
          <cell r="E494" t="str">
            <v>-</v>
          </cell>
          <cell r="P494">
            <v>0</v>
          </cell>
          <cell r="Q494">
            <v>0</v>
          </cell>
          <cell r="R494">
            <v>0</v>
          </cell>
          <cell r="S494">
            <v>0</v>
          </cell>
        </row>
        <row r="495">
          <cell r="B495" t="str">
            <v>M112.0100</v>
          </cell>
          <cell r="C495" t="str">
            <v>Máy bơm nước, động cơ điện - công suất:</v>
          </cell>
          <cell r="E495" t="str">
            <v>-</v>
          </cell>
          <cell r="P495">
            <v>0</v>
          </cell>
          <cell r="Q495">
            <v>0</v>
          </cell>
          <cell r="R495">
            <v>0</v>
          </cell>
          <cell r="S495">
            <v>0</v>
          </cell>
        </row>
        <row r="496">
          <cell r="B496" t="str">
            <v>M112.0101</v>
          </cell>
          <cell r="C496" t="str">
            <v>1,1 kW</v>
          </cell>
          <cell r="D496" t="str">
            <v>kWh</v>
          </cell>
          <cell r="E496">
            <v>5873</v>
          </cell>
          <cell r="G496">
            <v>3440</v>
          </cell>
          <cell r="L496">
            <v>10707</v>
          </cell>
          <cell r="M496">
            <v>10707</v>
          </cell>
          <cell r="N496">
            <v>10707</v>
          </cell>
          <cell r="O496">
            <v>10707</v>
          </cell>
          <cell r="P496">
            <v>10707</v>
          </cell>
          <cell r="Q496">
            <v>10707</v>
          </cell>
          <cell r="R496">
            <v>10707</v>
          </cell>
          <cell r="S496">
            <v>10707</v>
          </cell>
        </row>
        <row r="497">
          <cell r="B497" t="str">
            <v>M112.0102</v>
          </cell>
          <cell r="C497" t="str">
            <v>2 kW</v>
          </cell>
          <cell r="D497" t="str">
            <v>kWh</v>
          </cell>
          <cell r="E497">
            <v>9788</v>
          </cell>
          <cell r="G497">
            <v>3898</v>
          </cell>
          <cell r="L497">
            <v>15266</v>
          </cell>
          <cell r="M497">
            <v>15266</v>
          </cell>
          <cell r="N497">
            <v>15266</v>
          </cell>
          <cell r="O497">
            <v>15266</v>
          </cell>
          <cell r="P497">
            <v>15266</v>
          </cell>
          <cell r="Q497">
            <v>15266</v>
          </cell>
          <cell r="R497">
            <v>15266</v>
          </cell>
          <cell r="S497">
            <v>15266</v>
          </cell>
        </row>
        <row r="498">
          <cell r="B498" t="str">
            <v>M112.0103</v>
          </cell>
          <cell r="C498" t="str">
            <v>2,8 kW</v>
          </cell>
          <cell r="D498" t="str">
            <v>kWh</v>
          </cell>
          <cell r="E498">
            <v>15661</v>
          </cell>
          <cell r="G498">
            <v>4586</v>
          </cell>
          <cell r="L498">
            <v>22106</v>
          </cell>
          <cell r="M498">
            <v>22106</v>
          </cell>
          <cell r="N498">
            <v>22106</v>
          </cell>
          <cell r="O498">
            <v>22106</v>
          </cell>
          <cell r="P498">
            <v>22106</v>
          </cell>
          <cell r="Q498">
            <v>22106</v>
          </cell>
          <cell r="R498">
            <v>22106</v>
          </cell>
          <cell r="S498">
            <v>22106</v>
          </cell>
        </row>
        <row r="499">
          <cell r="B499" t="str">
            <v>M112.0104</v>
          </cell>
          <cell r="C499" t="str">
            <v>7 kW ÷ 7,5 kW</v>
          </cell>
          <cell r="D499" t="str">
            <v>kWh</v>
          </cell>
          <cell r="E499">
            <v>19577</v>
          </cell>
          <cell r="G499">
            <v>10663</v>
          </cell>
          <cell r="L499">
            <v>35393</v>
          </cell>
          <cell r="M499">
            <v>35393</v>
          </cell>
          <cell r="N499">
            <v>35393</v>
          </cell>
          <cell r="O499">
            <v>35393</v>
          </cell>
          <cell r="P499">
            <v>35393</v>
          </cell>
          <cell r="Q499">
            <v>35393</v>
          </cell>
          <cell r="R499">
            <v>35393</v>
          </cell>
          <cell r="S499">
            <v>35393</v>
          </cell>
        </row>
        <row r="500">
          <cell r="B500" t="str">
            <v>M112.0105</v>
          </cell>
          <cell r="C500" t="str">
            <v>14 kW</v>
          </cell>
          <cell r="D500" t="str">
            <v>kWh</v>
          </cell>
          <cell r="E500">
            <v>66561</v>
          </cell>
          <cell r="G500">
            <v>17198</v>
          </cell>
          <cell r="L500">
            <v>90924</v>
          </cell>
          <cell r="M500">
            <v>90924</v>
          </cell>
          <cell r="N500">
            <v>90924</v>
          </cell>
          <cell r="O500">
            <v>90924</v>
          </cell>
          <cell r="P500">
            <v>90924</v>
          </cell>
          <cell r="Q500">
            <v>90924</v>
          </cell>
          <cell r="R500">
            <v>90924</v>
          </cell>
          <cell r="S500">
            <v>90924</v>
          </cell>
        </row>
        <row r="501">
          <cell r="B501" t="str">
            <v>M112.0106</v>
          </cell>
          <cell r="C501" t="str">
            <v>20 kW</v>
          </cell>
          <cell r="D501" t="str">
            <v>kWh</v>
          </cell>
          <cell r="E501">
            <v>93968</v>
          </cell>
          <cell r="G501">
            <v>27860</v>
          </cell>
          <cell r="L501">
            <v>132972</v>
          </cell>
          <cell r="M501">
            <v>132972</v>
          </cell>
          <cell r="N501">
            <v>132972</v>
          </cell>
          <cell r="O501">
            <v>132972</v>
          </cell>
          <cell r="P501">
            <v>132972</v>
          </cell>
          <cell r="Q501">
            <v>132972</v>
          </cell>
          <cell r="R501">
            <v>132972</v>
          </cell>
          <cell r="S501">
            <v>132972</v>
          </cell>
        </row>
        <row r="502">
          <cell r="B502" t="str">
            <v>M112.0200</v>
          </cell>
          <cell r="C502" t="str">
            <v>Máy bơm nước, động cơ diezel - công suất:</v>
          </cell>
          <cell r="E502" t="str">
            <v>-</v>
          </cell>
          <cell r="P502">
            <v>0</v>
          </cell>
          <cell r="Q502">
            <v>0</v>
          </cell>
          <cell r="R502">
            <v>0</v>
          </cell>
          <cell r="S502">
            <v>0</v>
          </cell>
        </row>
        <row r="503">
          <cell r="B503" t="str">
            <v>M112.0201</v>
          </cell>
          <cell r="C503" t="str">
            <v>5 cv</v>
          </cell>
          <cell r="D503" t="str">
            <v>lít diezel</v>
          </cell>
          <cell r="E503">
            <v>40501</v>
          </cell>
          <cell r="G503">
            <v>12956</v>
          </cell>
          <cell r="L503">
            <v>66759</v>
          </cell>
          <cell r="M503">
            <v>66759</v>
          </cell>
          <cell r="N503">
            <v>66759</v>
          </cell>
          <cell r="O503">
            <v>66759</v>
          </cell>
          <cell r="P503">
            <v>66759</v>
          </cell>
          <cell r="Q503">
            <v>66759</v>
          </cell>
          <cell r="R503">
            <v>66759</v>
          </cell>
          <cell r="S503">
            <v>66759</v>
          </cell>
        </row>
        <row r="504">
          <cell r="B504" t="str">
            <v>M112.0202</v>
          </cell>
          <cell r="C504" t="str">
            <v>5,5 cv</v>
          </cell>
          <cell r="D504" t="str">
            <v>lít diezel</v>
          </cell>
          <cell r="E504">
            <v>45002</v>
          </cell>
          <cell r="G504">
            <v>15478</v>
          </cell>
          <cell r="L504">
            <v>76370</v>
          </cell>
          <cell r="M504">
            <v>76370</v>
          </cell>
          <cell r="N504">
            <v>76370</v>
          </cell>
          <cell r="O504">
            <v>76370</v>
          </cell>
          <cell r="P504">
            <v>76370</v>
          </cell>
          <cell r="Q504">
            <v>76370</v>
          </cell>
          <cell r="R504">
            <v>76370</v>
          </cell>
          <cell r="S504">
            <v>76370</v>
          </cell>
        </row>
        <row r="505">
          <cell r="B505" t="str">
            <v>M112.0203</v>
          </cell>
          <cell r="C505" t="str">
            <v>10 cv</v>
          </cell>
          <cell r="D505" t="str">
            <v>lít diezel</v>
          </cell>
          <cell r="E505">
            <v>75003</v>
          </cell>
          <cell r="G505">
            <v>26943</v>
          </cell>
          <cell r="L505">
            <v>129607</v>
          </cell>
          <cell r="M505">
            <v>129607</v>
          </cell>
          <cell r="N505">
            <v>129607</v>
          </cell>
          <cell r="O505">
            <v>129607</v>
          </cell>
          <cell r="P505">
            <v>129607</v>
          </cell>
          <cell r="Q505">
            <v>129607</v>
          </cell>
          <cell r="R505">
            <v>129607</v>
          </cell>
          <cell r="S505">
            <v>129607</v>
          </cell>
        </row>
        <row r="506">
          <cell r="B506" t="str">
            <v>M112.0204</v>
          </cell>
          <cell r="C506" t="str">
            <v>20 cv</v>
          </cell>
          <cell r="D506" t="str">
            <v>lít diezel</v>
          </cell>
          <cell r="E506">
            <v>150005</v>
          </cell>
          <cell r="G506">
            <v>65809</v>
          </cell>
          <cell r="L506">
            <v>263636</v>
          </cell>
          <cell r="M506">
            <v>263636</v>
          </cell>
          <cell r="N506">
            <v>263636</v>
          </cell>
          <cell r="O506">
            <v>263636</v>
          </cell>
          <cell r="P506">
            <v>263636</v>
          </cell>
          <cell r="Q506">
            <v>263636</v>
          </cell>
          <cell r="R506">
            <v>263636</v>
          </cell>
          <cell r="S506">
            <v>263636</v>
          </cell>
        </row>
        <row r="507">
          <cell r="B507" t="str">
            <v>M112.0205</v>
          </cell>
          <cell r="C507" t="str">
            <v>25 cv</v>
          </cell>
          <cell r="D507" t="str">
            <v>lít diezel</v>
          </cell>
          <cell r="E507">
            <v>165006</v>
          </cell>
          <cell r="G507">
            <v>73720</v>
          </cell>
          <cell r="L507">
            <v>284432</v>
          </cell>
          <cell r="M507">
            <v>284432</v>
          </cell>
          <cell r="N507">
            <v>284432</v>
          </cell>
          <cell r="O507">
            <v>284432</v>
          </cell>
          <cell r="P507">
            <v>284432</v>
          </cell>
          <cell r="Q507">
            <v>284432</v>
          </cell>
          <cell r="R507">
            <v>284432</v>
          </cell>
          <cell r="S507">
            <v>284432</v>
          </cell>
        </row>
        <row r="508">
          <cell r="B508" t="str">
            <v>M112.0206</v>
          </cell>
          <cell r="C508" t="str">
            <v>30 cv</v>
          </cell>
          <cell r="D508" t="str">
            <v>lít diezel</v>
          </cell>
          <cell r="E508">
            <v>225008</v>
          </cell>
          <cell r="G508">
            <v>89198</v>
          </cell>
          <cell r="L508">
            <v>369509</v>
          </cell>
          <cell r="M508">
            <v>369509</v>
          </cell>
          <cell r="N508">
            <v>369509</v>
          </cell>
          <cell r="O508">
            <v>369509</v>
          </cell>
          <cell r="P508">
            <v>369509</v>
          </cell>
          <cell r="Q508">
            <v>369509</v>
          </cell>
          <cell r="R508">
            <v>369509</v>
          </cell>
          <cell r="S508">
            <v>369509</v>
          </cell>
        </row>
        <row r="509">
          <cell r="B509" t="str">
            <v>M112.0207</v>
          </cell>
          <cell r="C509" t="str">
            <v>40 cv</v>
          </cell>
          <cell r="D509" t="str">
            <v>lít diezel</v>
          </cell>
          <cell r="E509">
            <v>300011</v>
          </cell>
          <cell r="G509">
            <v>114952</v>
          </cell>
          <cell r="L509">
            <v>489299</v>
          </cell>
          <cell r="M509">
            <v>489299</v>
          </cell>
          <cell r="N509">
            <v>489299</v>
          </cell>
          <cell r="O509">
            <v>489299</v>
          </cell>
          <cell r="P509">
            <v>489299</v>
          </cell>
          <cell r="Q509">
            <v>489299</v>
          </cell>
          <cell r="R509">
            <v>489299</v>
          </cell>
          <cell r="S509">
            <v>489299</v>
          </cell>
        </row>
        <row r="510">
          <cell r="B510" t="str">
            <v>M112.0208</v>
          </cell>
          <cell r="C510" t="str">
            <v>75 cv</v>
          </cell>
          <cell r="D510" t="str">
            <v>lít diezel</v>
          </cell>
          <cell r="E510">
            <v>540020</v>
          </cell>
          <cell r="G510">
            <v>237442</v>
          </cell>
          <cell r="L510">
            <v>907263</v>
          </cell>
          <cell r="M510">
            <v>907263</v>
          </cell>
          <cell r="N510">
            <v>907263</v>
          </cell>
          <cell r="O510">
            <v>907263</v>
          </cell>
          <cell r="P510">
            <v>907263</v>
          </cell>
          <cell r="Q510">
            <v>907263</v>
          </cell>
          <cell r="R510">
            <v>907263</v>
          </cell>
          <cell r="S510">
            <v>907263</v>
          </cell>
        </row>
        <row r="511">
          <cell r="B511" t="str">
            <v>M112.0209</v>
          </cell>
          <cell r="C511" t="str">
            <v>120 cv</v>
          </cell>
          <cell r="D511" t="str">
            <v>lít diezel</v>
          </cell>
          <cell r="E511">
            <v>795029</v>
          </cell>
          <cell r="G511">
            <v>267801</v>
          </cell>
          <cell r="L511">
            <v>1209228</v>
          </cell>
          <cell r="M511">
            <v>1209228</v>
          </cell>
          <cell r="N511">
            <v>1209228</v>
          </cell>
          <cell r="O511">
            <v>1209228</v>
          </cell>
          <cell r="P511">
            <v>1209228</v>
          </cell>
          <cell r="Q511">
            <v>1209228</v>
          </cell>
          <cell r="R511">
            <v>1209228</v>
          </cell>
          <cell r="S511">
            <v>1209228</v>
          </cell>
        </row>
        <row r="512">
          <cell r="B512" t="str">
            <v>M112.0300</v>
          </cell>
          <cell r="C512" t="str">
            <v>Máy bơm nước, động cơ xăng - công suất:</v>
          </cell>
          <cell r="E512" t="str">
            <v>-</v>
          </cell>
          <cell r="P512">
            <v>0</v>
          </cell>
          <cell r="Q512">
            <v>0</v>
          </cell>
          <cell r="R512">
            <v>0</v>
          </cell>
          <cell r="S512">
            <v>0</v>
          </cell>
        </row>
        <row r="513">
          <cell r="B513" t="str">
            <v>M112.0301</v>
          </cell>
          <cell r="C513" t="str">
            <v>3 cv</v>
          </cell>
          <cell r="D513" t="str">
            <v>lít xăng</v>
          </cell>
          <cell r="E513">
            <v>29880</v>
          </cell>
          <cell r="G513">
            <v>9860</v>
          </cell>
          <cell r="L513">
            <v>50126</v>
          </cell>
          <cell r="M513">
            <v>50126</v>
          </cell>
          <cell r="N513">
            <v>50126</v>
          </cell>
          <cell r="O513">
            <v>50126</v>
          </cell>
          <cell r="P513">
            <v>50126</v>
          </cell>
          <cell r="Q513">
            <v>50126</v>
          </cell>
          <cell r="R513">
            <v>50126</v>
          </cell>
          <cell r="S513">
            <v>50126</v>
          </cell>
        </row>
        <row r="514">
          <cell r="B514" t="str">
            <v>M112.0302</v>
          </cell>
          <cell r="C514" t="str">
            <v>6 cv</v>
          </cell>
          <cell r="D514" t="str">
            <v>lít xăng</v>
          </cell>
          <cell r="E514">
            <v>56026</v>
          </cell>
          <cell r="G514">
            <v>16854</v>
          </cell>
          <cell r="L514">
            <v>90633</v>
          </cell>
          <cell r="M514">
            <v>90633</v>
          </cell>
          <cell r="N514">
            <v>90633</v>
          </cell>
          <cell r="O514">
            <v>90633</v>
          </cell>
          <cell r="P514">
            <v>90633</v>
          </cell>
          <cell r="Q514">
            <v>90633</v>
          </cell>
          <cell r="R514">
            <v>90633</v>
          </cell>
          <cell r="S514">
            <v>90633</v>
          </cell>
        </row>
        <row r="515">
          <cell r="B515" t="str">
            <v>M112.0303</v>
          </cell>
          <cell r="C515" t="str">
            <v>8 cv</v>
          </cell>
          <cell r="D515" t="str">
            <v>lít xăng</v>
          </cell>
          <cell r="E515">
            <v>74701</v>
          </cell>
          <cell r="G515">
            <v>22013</v>
          </cell>
          <cell r="L515">
            <v>119901</v>
          </cell>
          <cell r="M515">
            <v>119901</v>
          </cell>
          <cell r="N515">
            <v>119901</v>
          </cell>
          <cell r="O515">
            <v>119901</v>
          </cell>
          <cell r="P515">
            <v>119901</v>
          </cell>
          <cell r="Q515">
            <v>119901</v>
          </cell>
          <cell r="R515">
            <v>119901</v>
          </cell>
          <cell r="S515">
            <v>119901</v>
          </cell>
        </row>
        <row r="516">
          <cell r="B516" t="str">
            <v>M112.0401</v>
          </cell>
          <cell r="C516" t="str">
            <v>Máy bơm chân không 7,5 kW</v>
          </cell>
          <cell r="D516" t="str">
            <v>kWh</v>
          </cell>
          <cell r="E516">
            <v>43069</v>
          </cell>
          <cell r="G516">
            <v>252231</v>
          </cell>
          <cell r="L516">
            <v>225936</v>
          </cell>
          <cell r="M516">
            <v>225936</v>
          </cell>
          <cell r="N516">
            <v>225936</v>
          </cell>
          <cell r="O516">
            <v>225936</v>
          </cell>
          <cell r="P516">
            <v>225936</v>
          </cell>
          <cell r="Q516">
            <v>225936</v>
          </cell>
          <cell r="R516">
            <v>225936</v>
          </cell>
          <cell r="S516">
            <v>225936</v>
          </cell>
        </row>
        <row r="517">
          <cell r="B517" t="str">
            <v>M112.0402</v>
          </cell>
          <cell r="C517" t="str">
            <v>Máy bơm xói 4MC (75 kW)</v>
          </cell>
          <cell r="D517" t="str">
            <v>kWh</v>
          </cell>
          <cell r="E517">
            <v>352379</v>
          </cell>
          <cell r="F517" t="str">
            <v>1x3/7</v>
          </cell>
          <cell r="G517">
            <v>120039</v>
          </cell>
          <cell r="H517">
            <v>241838</v>
          </cell>
          <cell r="I517">
            <v>214511</v>
          </cell>
          <cell r="J517">
            <v>187673</v>
          </cell>
          <cell r="K517">
            <v>309526</v>
          </cell>
          <cell r="L517">
            <v>729594</v>
          </cell>
          <cell r="M517">
            <v>702267</v>
          </cell>
          <cell r="N517">
            <v>675429</v>
          </cell>
          <cell r="O517">
            <v>797282</v>
          </cell>
          <cell r="P517">
            <v>971432</v>
          </cell>
          <cell r="Q517">
            <v>916778</v>
          </cell>
          <cell r="R517">
            <v>863102</v>
          </cell>
          <cell r="S517">
            <v>1106808</v>
          </cell>
        </row>
        <row r="518">
          <cell r="B518" t="str">
            <v>M112.0501</v>
          </cell>
          <cell r="C518" t="str">
            <v>Máy bơm áp lực xói nước đầu cọc (300 cv)</v>
          </cell>
          <cell r="D518" t="str">
            <v>lít diezel</v>
          </cell>
          <cell r="E518">
            <v>1665061</v>
          </cell>
          <cell r="F518" t="str">
            <v>1x3/7</v>
          </cell>
          <cell r="G518">
            <v>1158316</v>
          </cell>
          <cell r="H518">
            <v>241838</v>
          </cell>
          <cell r="I518">
            <v>214511</v>
          </cell>
          <cell r="J518">
            <v>187673</v>
          </cell>
          <cell r="K518">
            <v>309526</v>
          </cell>
          <cell r="L518">
            <v>3123130</v>
          </cell>
          <cell r="M518">
            <v>3095803</v>
          </cell>
          <cell r="N518">
            <v>3068965</v>
          </cell>
          <cell r="O518">
            <v>3190818</v>
          </cell>
          <cell r="P518">
            <v>3364968</v>
          </cell>
          <cell r="Q518">
            <v>3310314</v>
          </cell>
          <cell r="R518">
            <v>3256638</v>
          </cell>
          <cell r="S518">
            <v>3500344</v>
          </cell>
        </row>
        <row r="519">
          <cell r="B519" t="str">
            <v>M112.0600</v>
          </cell>
          <cell r="C519" t="str">
            <v>Máy bơm vữa - năng suất:</v>
          </cell>
          <cell r="E519" t="str">
            <v>-</v>
          </cell>
          <cell r="P519">
            <v>0</v>
          </cell>
          <cell r="Q519">
            <v>0</v>
          </cell>
          <cell r="R519">
            <v>0</v>
          </cell>
          <cell r="S519">
            <v>0</v>
          </cell>
        </row>
        <row r="520">
          <cell r="B520" t="str">
            <v>M112.0601</v>
          </cell>
          <cell r="C520" t="str">
            <v>6 m3/h</v>
          </cell>
          <cell r="D520" t="str">
            <v>kWh</v>
          </cell>
          <cell r="E520">
            <v>37196</v>
          </cell>
          <cell r="F520" t="str">
            <v>1x4/7</v>
          </cell>
          <cell r="G520">
            <v>103415</v>
          </cell>
          <cell r="H520">
            <v>287074</v>
          </cell>
          <cell r="I520">
            <v>254635</v>
          </cell>
          <cell r="J520">
            <v>222777</v>
          </cell>
          <cell r="K520">
            <v>367424</v>
          </cell>
          <cell r="L520">
            <v>515932</v>
          </cell>
          <cell r="M520">
            <v>483493</v>
          </cell>
          <cell r="N520">
            <v>451635</v>
          </cell>
          <cell r="O520">
            <v>596282</v>
          </cell>
          <cell r="P520">
            <v>803006</v>
          </cell>
          <cell r="Q520">
            <v>738128</v>
          </cell>
          <cell r="R520">
            <v>674412</v>
          </cell>
          <cell r="S520">
            <v>963706</v>
          </cell>
        </row>
        <row r="521">
          <cell r="B521" t="str">
            <v>M112.0602</v>
          </cell>
          <cell r="C521" t="str">
            <v>9 m3/h</v>
          </cell>
          <cell r="D521" t="str">
            <v>kWh</v>
          </cell>
          <cell r="E521">
            <v>66561</v>
          </cell>
          <cell r="F521" t="str">
            <v>1x4/7</v>
          </cell>
          <cell r="G521">
            <v>129899</v>
          </cell>
          <cell r="H521">
            <v>287074</v>
          </cell>
          <cell r="I521">
            <v>254635</v>
          </cell>
          <cell r="J521">
            <v>222777</v>
          </cell>
          <cell r="K521">
            <v>367424</v>
          </cell>
          <cell r="L521">
            <v>594381</v>
          </cell>
          <cell r="M521">
            <v>561942</v>
          </cell>
          <cell r="N521">
            <v>530084</v>
          </cell>
          <cell r="O521">
            <v>674731</v>
          </cell>
          <cell r="P521">
            <v>881455</v>
          </cell>
          <cell r="Q521">
            <v>816577</v>
          </cell>
          <cell r="R521">
            <v>752861</v>
          </cell>
          <cell r="S521">
            <v>1042155</v>
          </cell>
        </row>
        <row r="522">
          <cell r="B522" t="str">
            <v>M112.0603</v>
          </cell>
          <cell r="C522" t="str">
            <v>32 - 50 m3/h</v>
          </cell>
          <cell r="D522" t="str">
            <v>kWh</v>
          </cell>
          <cell r="E522">
            <v>140952</v>
          </cell>
          <cell r="F522" t="str">
            <v>1x4/7</v>
          </cell>
          <cell r="G522">
            <v>170830</v>
          </cell>
          <cell r="H522">
            <v>287074</v>
          </cell>
          <cell r="I522">
            <v>254635</v>
          </cell>
          <cell r="J522">
            <v>222777</v>
          </cell>
          <cell r="K522">
            <v>367424</v>
          </cell>
          <cell r="L522">
            <v>738936</v>
          </cell>
          <cell r="M522">
            <v>706497</v>
          </cell>
          <cell r="N522">
            <v>674639</v>
          </cell>
          <cell r="O522">
            <v>819286</v>
          </cell>
          <cell r="P522">
            <v>1026010</v>
          </cell>
          <cell r="Q522">
            <v>961132</v>
          </cell>
          <cell r="R522">
            <v>897416</v>
          </cell>
          <cell r="S522">
            <v>1186710</v>
          </cell>
        </row>
        <row r="523">
          <cell r="B523" t="str">
            <v>M112.0700</v>
          </cell>
          <cell r="C523" t="str">
            <v>Máy bơm cát, động cơ diezel - công suất:</v>
          </cell>
          <cell r="E523" t="str">
            <v>-</v>
          </cell>
          <cell r="P523">
            <v>0</v>
          </cell>
          <cell r="Q523">
            <v>0</v>
          </cell>
          <cell r="R523">
            <v>0</v>
          </cell>
          <cell r="S523">
            <v>0</v>
          </cell>
        </row>
        <row r="524">
          <cell r="B524" t="str">
            <v>M112.0701</v>
          </cell>
          <cell r="C524" t="str">
            <v>126 cv</v>
          </cell>
          <cell r="D524" t="str">
            <v>lít diezel</v>
          </cell>
          <cell r="E524">
            <v>810029</v>
          </cell>
          <cell r="F524" t="str">
            <v>1x5/7</v>
          </cell>
          <cell r="G524">
            <v>240684</v>
          </cell>
          <cell r="H524">
            <v>337529</v>
          </cell>
          <cell r="I524">
            <v>299389</v>
          </cell>
          <cell r="J524">
            <v>261932</v>
          </cell>
          <cell r="K524">
            <v>432001</v>
          </cell>
          <cell r="L524">
            <v>1383429</v>
          </cell>
          <cell r="M524">
            <v>1345289</v>
          </cell>
          <cell r="N524">
            <v>1307832</v>
          </cell>
          <cell r="O524">
            <v>1477901</v>
          </cell>
          <cell r="P524">
            <v>1720958</v>
          </cell>
          <cell r="Q524">
            <v>1644678</v>
          </cell>
          <cell r="R524">
            <v>1569764</v>
          </cell>
          <cell r="S524">
            <v>1909902</v>
          </cell>
        </row>
        <row r="525">
          <cell r="B525" t="str">
            <v>M112.0702</v>
          </cell>
          <cell r="C525" t="str">
            <v>350 cv</v>
          </cell>
          <cell r="D525" t="str">
            <v>lít diezel</v>
          </cell>
          <cell r="E525">
            <v>1905069</v>
          </cell>
          <cell r="F525" t="str">
            <v>1x5/7</v>
          </cell>
          <cell r="G525">
            <v>505900</v>
          </cell>
          <cell r="H525">
            <v>337529</v>
          </cell>
          <cell r="I525">
            <v>299389</v>
          </cell>
          <cell r="J525">
            <v>261932</v>
          </cell>
          <cell r="K525">
            <v>432001</v>
          </cell>
          <cell r="L525">
            <v>2730792</v>
          </cell>
          <cell r="M525">
            <v>2692652</v>
          </cell>
          <cell r="N525">
            <v>2655195</v>
          </cell>
          <cell r="O525">
            <v>2825264</v>
          </cell>
          <cell r="P525">
            <v>3068321</v>
          </cell>
          <cell r="Q525">
            <v>2992041</v>
          </cell>
          <cell r="R525">
            <v>2917127</v>
          </cell>
          <cell r="S525">
            <v>3257265</v>
          </cell>
        </row>
        <row r="526">
          <cell r="B526" t="str">
            <v>M112.0703</v>
          </cell>
          <cell r="C526" t="str">
            <v>380 cv</v>
          </cell>
          <cell r="D526" t="str">
            <v>lít diezel</v>
          </cell>
          <cell r="E526">
            <v>2040074</v>
          </cell>
          <cell r="F526" t="str">
            <v>1x5/7</v>
          </cell>
          <cell r="G526">
            <v>541420</v>
          </cell>
          <cell r="H526">
            <v>337529</v>
          </cell>
          <cell r="I526">
            <v>299389</v>
          </cell>
          <cell r="J526">
            <v>261932</v>
          </cell>
          <cell r="K526">
            <v>432001</v>
          </cell>
          <cell r="L526">
            <v>2894659</v>
          </cell>
          <cell r="M526">
            <v>2856519</v>
          </cell>
          <cell r="N526">
            <v>2819062</v>
          </cell>
          <cell r="O526">
            <v>2989131</v>
          </cell>
          <cell r="P526">
            <v>3232188</v>
          </cell>
          <cell r="Q526">
            <v>3155908</v>
          </cell>
          <cell r="R526">
            <v>3080994</v>
          </cell>
          <cell r="S526">
            <v>3421132</v>
          </cell>
        </row>
        <row r="527">
          <cell r="B527" t="str">
            <v>M112.0704</v>
          </cell>
          <cell r="C527" t="str">
            <v>480 cv</v>
          </cell>
          <cell r="D527" t="str">
            <v>lít diezel</v>
          </cell>
          <cell r="E527">
            <v>2520092</v>
          </cell>
          <cell r="F527" t="str">
            <v>1x5/7</v>
          </cell>
          <cell r="G527">
            <v>659820</v>
          </cell>
          <cell r="H527">
            <v>337529</v>
          </cell>
          <cell r="I527">
            <v>299389</v>
          </cell>
          <cell r="J527">
            <v>261932</v>
          </cell>
          <cell r="K527">
            <v>432001</v>
          </cell>
          <cell r="L527">
            <v>3481151</v>
          </cell>
          <cell r="M527">
            <v>3443011</v>
          </cell>
          <cell r="N527">
            <v>3405554</v>
          </cell>
          <cell r="O527">
            <v>3575623</v>
          </cell>
          <cell r="P527">
            <v>3818680</v>
          </cell>
          <cell r="Q527">
            <v>3742400</v>
          </cell>
          <cell r="R527">
            <v>3667486</v>
          </cell>
          <cell r="S527">
            <v>4007624</v>
          </cell>
        </row>
        <row r="528">
          <cell r="B528" t="str">
            <v>M112.0800</v>
          </cell>
          <cell r="C528" t="str">
            <v>Xe bơm bê tông, tự hành - năng suất:</v>
          </cell>
          <cell r="E528" t="str">
            <v>-</v>
          </cell>
          <cell r="P528">
            <v>0</v>
          </cell>
          <cell r="Q528">
            <v>0</v>
          </cell>
          <cell r="R528">
            <v>0</v>
          </cell>
          <cell r="S528">
            <v>0</v>
          </cell>
        </row>
        <row r="529">
          <cell r="B529" t="str">
            <v>M112.0801</v>
          </cell>
          <cell r="C529" t="str">
            <v>50 m3/h</v>
          </cell>
          <cell r="D529" t="str">
            <v>lít diezel</v>
          </cell>
          <cell r="E529">
            <v>795029</v>
          </cell>
          <cell r="F529" t="str">
            <v>1x1/4+1x3/4 lái xe</v>
          </cell>
          <cell r="G529">
            <v>2508786</v>
          </cell>
          <cell r="H529">
            <v>537877</v>
          </cell>
          <cell r="I529">
            <v>477098</v>
          </cell>
          <cell r="J529">
            <v>417407</v>
          </cell>
          <cell r="K529">
            <v>688424</v>
          </cell>
          <cell r="L529">
            <v>3561866</v>
          </cell>
          <cell r="M529">
            <v>3501087</v>
          </cell>
          <cell r="N529">
            <v>3441396</v>
          </cell>
          <cell r="O529">
            <v>3712413</v>
          </cell>
          <cell r="P529">
            <v>4099743</v>
          </cell>
          <cell r="Q529">
            <v>3978185</v>
          </cell>
          <cell r="R529">
            <v>3858803</v>
          </cell>
          <cell r="S529">
            <v>4400837</v>
          </cell>
        </row>
        <row r="530">
          <cell r="B530" t="str">
            <v>M112.0802</v>
          </cell>
          <cell r="C530" t="str">
            <v>60 m3/h</v>
          </cell>
          <cell r="D530" t="str">
            <v>lít diezel</v>
          </cell>
          <cell r="E530">
            <v>900033</v>
          </cell>
          <cell r="F530" t="str">
            <v>1x1/4+1x3/4 lái xe</v>
          </cell>
          <cell r="G530">
            <v>2809744</v>
          </cell>
          <cell r="H530">
            <v>537877</v>
          </cell>
          <cell r="I530">
            <v>477098</v>
          </cell>
          <cell r="J530">
            <v>417407</v>
          </cell>
          <cell r="K530">
            <v>688424</v>
          </cell>
          <cell r="L530">
            <v>3891032</v>
          </cell>
          <cell r="M530">
            <v>3830253</v>
          </cell>
          <cell r="N530">
            <v>3770562</v>
          </cell>
          <cell r="O530">
            <v>4041579</v>
          </cell>
          <cell r="P530">
            <v>4428909</v>
          </cell>
          <cell r="Q530">
            <v>4307351</v>
          </cell>
          <cell r="R530">
            <v>4187969</v>
          </cell>
          <cell r="S530">
            <v>4730003</v>
          </cell>
        </row>
        <row r="531">
          <cell r="B531" t="str">
            <v>M112.0900</v>
          </cell>
          <cell r="C531" t="str">
            <v>Máy bơm bê tông - năng suất:</v>
          </cell>
          <cell r="E531" t="str">
            <v>-</v>
          </cell>
          <cell r="P531">
            <v>0</v>
          </cell>
          <cell r="Q531">
            <v>0</v>
          </cell>
          <cell r="R531">
            <v>0</v>
          </cell>
          <cell r="S531">
            <v>0</v>
          </cell>
        </row>
        <row r="532">
          <cell r="B532" t="str">
            <v>M112.0901</v>
          </cell>
          <cell r="C532" t="str">
            <v>40 - 60 m3/h</v>
          </cell>
          <cell r="D532" t="str">
            <v>kWh</v>
          </cell>
          <cell r="E532">
            <v>356294</v>
          </cell>
          <cell r="F532" t="str">
            <v>1x3/7+1x5/7</v>
          </cell>
          <cell r="G532">
            <v>1245106</v>
          </cell>
          <cell r="H532">
            <v>579367</v>
          </cell>
          <cell r="I532">
            <v>513900</v>
          </cell>
          <cell r="J532">
            <v>449605</v>
          </cell>
          <cell r="K532">
            <v>741527</v>
          </cell>
          <cell r="L532">
            <v>2248682</v>
          </cell>
          <cell r="M532">
            <v>2183215</v>
          </cell>
          <cell r="N532">
            <v>2118920</v>
          </cell>
          <cell r="O532">
            <v>2410842</v>
          </cell>
          <cell r="P532">
            <v>2828049</v>
          </cell>
          <cell r="Q532">
            <v>2697115</v>
          </cell>
          <cell r="R532">
            <v>2568525</v>
          </cell>
          <cell r="S532">
            <v>3152369</v>
          </cell>
        </row>
        <row r="533">
          <cell r="B533" t="str">
            <v>M112.0902</v>
          </cell>
          <cell r="C533" t="str">
            <v>60 - 90 m3/h</v>
          </cell>
          <cell r="D533" t="str">
            <v>kWh</v>
          </cell>
          <cell r="E533">
            <v>485500</v>
          </cell>
          <cell r="F533" t="str">
            <v>1x4/7+1x5/7</v>
          </cell>
          <cell r="G533">
            <v>1711849</v>
          </cell>
          <cell r="H533">
            <v>624603</v>
          </cell>
          <cell r="I533">
            <v>554024</v>
          </cell>
          <cell r="J533">
            <v>484709</v>
          </cell>
          <cell r="K533">
            <v>799425</v>
          </cell>
          <cell r="L533">
            <v>2915326</v>
          </cell>
          <cell r="M533">
            <v>2844747</v>
          </cell>
          <cell r="N533">
            <v>2775432</v>
          </cell>
          <cell r="O533">
            <v>3090148</v>
          </cell>
          <cell r="P533">
            <v>3539929</v>
          </cell>
          <cell r="Q533">
            <v>3398771</v>
          </cell>
          <cell r="R533">
            <v>3260141</v>
          </cell>
          <cell r="S533">
            <v>3889573</v>
          </cell>
        </row>
        <row r="534">
          <cell r="B534" t="str">
            <v>M112.1000</v>
          </cell>
          <cell r="C534" t="str">
            <v>Máy phun vẩy - năng suất:</v>
          </cell>
          <cell r="E534" t="str">
            <v>-</v>
          </cell>
          <cell r="P534">
            <v>0</v>
          </cell>
          <cell r="Q534">
            <v>0</v>
          </cell>
          <cell r="R534">
            <v>0</v>
          </cell>
          <cell r="S534">
            <v>0</v>
          </cell>
        </row>
        <row r="535">
          <cell r="B535" t="str">
            <v>M112.1001</v>
          </cell>
          <cell r="C535" t="str">
            <v>9 m3/h (AL 285)</v>
          </cell>
          <cell r="D535" t="str">
            <v>kWh</v>
          </cell>
          <cell r="E535">
            <v>105714</v>
          </cell>
          <cell r="F535" t="str">
            <v>1x4/7</v>
          </cell>
          <cell r="G535">
            <v>1734436</v>
          </cell>
          <cell r="H535">
            <v>287074</v>
          </cell>
          <cell r="I535">
            <v>254635</v>
          </cell>
          <cell r="J535">
            <v>222777</v>
          </cell>
          <cell r="K535">
            <v>367424</v>
          </cell>
          <cell r="L535">
            <v>2352700</v>
          </cell>
          <cell r="M535">
            <v>2320261</v>
          </cell>
          <cell r="N535">
            <v>2288403</v>
          </cell>
          <cell r="O535">
            <v>2433050</v>
          </cell>
          <cell r="P535">
            <v>2639774</v>
          </cell>
          <cell r="Q535">
            <v>2574896</v>
          </cell>
          <cell r="R535">
            <v>2511180</v>
          </cell>
          <cell r="S535">
            <v>2800474</v>
          </cell>
        </row>
        <row r="536">
          <cell r="B536" t="str">
            <v>M112.1002</v>
          </cell>
          <cell r="C536" t="str">
            <v>16 m3/h (AL 500)</v>
          </cell>
          <cell r="D536" t="str">
            <v>kWh</v>
          </cell>
          <cell r="E536">
            <v>839837</v>
          </cell>
          <cell r="F536" t="str">
            <v>1x4/7</v>
          </cell>
          <cell r="G536">
            <v>6737447</v>
          </cell>
          <cell r="H536">
            <v>287074</v>
          </cell>
          <cell r="I536">
            <v>254635</v>
          </cell>
          <cell r="J536">
            <v>222777</v>
          </cell>
          <cell r="K536">
            <v>367424</v>
          </cell>
          <cell r="L536">
            <v>8605477</v>
          </cell>
          <cell r="M536">
            <v>8573038</v>
          </cell>
          <cell r="N536">
            <v>8541180</v>
          </cell>
          <cell r="O536">
            <v>8685827</v>
          </cell>
          <cell r="P536">
            <v>8892551</v>
          </cell>
          <cell r="Q536">
            <v>8827673</v>
          </cell>
          <cell r="R536">
            <v>8763957</v>
          </cell>
          <cell r="S536">
            <v>9053251</v>
          </cell>
        </row>
        <row r="537">
          <cell r="B537" t="str">
            <v>M112.1100</v>
          </cell>
          <cell r="C537" t="str">
            <v>Máy đầm bê tông, đầm bàn - công suất:</v>
          </cell>
          <cell r="E537" t="str">
            <v>-</v>
          </cell>
          <cell r="P537">
            <v>0</v>
          </cell>
          <cell r="Q537">
            <v>0</v>
          </cell>
          <cell r="R537">
            <v>0</v>
          </cell>
          <cell r="S537">
            <v>0</v>
          </cell>
        </row>
        <row r="538">
          <cell r="B538" t="str">
            <v>M112.1101</v>
          </cell>
          <cell r="C538" t="str">
            <v>1,0 kW</v>
          </cell>
          <cell r="D538" t="str">
            <v>kWh</v>
          </cell>
          <cell r="E538">
            <v>9788</v>
          </cell>
          <cell r="F538" t="str">
            <v>1x3/7</v>
          </cell>
          <cell r="G538">
            <v>6420</v>
          </cell>
          <cell r="H538">
            <v>241838</v>
          </cell>
          <cell r="I538">
            <v>214511</v>
          </cell>
          <cell r="J538">
            <v>187673</v>
          </cell>
          <cell r="K538">
            <v>309526</v>
          </cell>
          <cell r="L538">
            <v>267805</v>
          </cell>
          <cell r="M538">
            <v>240478</v>
          </cell>
          <cell r="N538">
            <v>213640</v>
          </cell>
          <cell r="O538">
            <v>335493</v>
          </cell>
          <cell r="P538">
            <v>509643</v>
          </cell>
          <cell r="Q538">
            <v>454989</v>
          </cell>
          <cell r="R538">
            <v>401313</v>
          </cell>
          <cell r="S538">
            <v>645019</v>
          </cell>
        </row>
        <row r="539">
          <cell r="B539" t="str">
            <v>M112.1200</v>
          </cell>
          <cell r="C539" t="str">
            <v>Máy đầm bê tông, đầm cạnh - công suất:</v>
          </cell>
          <cell r="E539" t="str">
            <v>-</v>
          </cell>
          <cell r="P539">
            <v>0</v>
          </cell>
          <cell r="Q539">
            <v>0</v>
          </cell>
          <cell r="R539">
            <v>0</v>
          </cell>
          <cell r="S539">
            <v>0</v>
          </cell>
        </row>
        <row r="540">
          <cell r="B540" t="str">
            <v>M112.1201</v>
          </cell>
          <cell r="C540" t="str">
            <v>1,0 kW</v>
          </cell>
          <cell r="D540" t="str">
            <v>kWh</v>
          </cell>
          <cell r="E540">
            <v>9788</v>
          </cell>
          <cell r="G540">
            <v>5045</v>
          </cell>
          <cell r="L540">
            <v>22502</v>
          </cell>
          <cell r="M540">
            <v>22502</v>
          </cell>
          <cell r="N540">
            <v>22502</v>
          </cell>
          <cell r="O540">
            <v>22502</v>
          </cell>
          <cell r="P540">
            <v>22502</v>
          </cell>
          <cell r="Q540">
            <v>22502</v>
          </cell>
          <cell r="R540">
            <v>22502</v>
          </cell>
          <cell r="S540">
            <v>22502</v>
          </cell>
        </row>
        <row r="541">
          <cell r="B541" t="str">
            <v>M112.1300</v>
          </cell>
          <cell r="C541" t="str">
            <v>Máy đầm bê tông, dầm dùi - công suất:</v>
          </cell>
          <cell r="E541" t="str">
            <v>-</v>
          </cell>
          <cell r="P541">
            <v>0</v>
          </cell>
          <cell r="Q541">
            <v>0</v>
          </cell>
          <cell r="R541">
            <v>0</v>
          </cell>
          <cell r="S541">
            <v>0</v>
          </cell>
        </row>
        <row r="542">
          <cell r="B542" t="str">
            <v>M112.1301</v>
          </cell>
          <cell r="C542" t="str">
            <v>1,5 kW</v>
          </cell>
          <cell r="D542" t="str">
            <v>kWh</v>
          </cell>
          <cell r="E542">
            <v>13704</v>
          </cell>
          <cell r="F542" t="str">
            <v>1x3/7</v>
          </cell>
          <cell r="G542">
            <v>7395</v>
          </cell>
          <cell r="H542">
            <v>241838</v>
          </cell>
          <cell r="I542">
            <v>214511</v>
          </cell>
          <cell r="J542">
            <v>187673</v>
          </cell>
          <cell r="K542">
            <v>309526</v>
          </cell>
          <cell r="L542">
            <v>271712</v>
          </cell>
          <cell r="M542">
            <v>244385</v>
          </cell>
          <cell r="N542">
            <v>217547</v>
          </cell>
          <cell r="O542">
            <v>339400</v>
          </cell>
          <cell r="P542">
            <v>513550</v>
          </cell>
          <cell r="Q542">
            <v>458896</v>
          </cell>
          <cell r="R542">
            <v>405220</v>
          </cell>
          <cell r="S542">
            <v>648926</v>
          </cell>
        </row>
        <row r="543">
          <cell r="B543" t="str">
            <v>M112.1302</v>
          </cell>
          <cell r="C543" t="str">
            <v>3,5 kW</v>
          </cell>
          <cell r="D543" t="str">
            <v>kWh</v>
          </cell>
          <cell r="E543">
            <v>31323</v>
          </cell>
          <cell r="F543" t="str">
            <v>1x3/7</v>
          </cell>
          <cell r="G543">
            <v>24535</v>
          </cell>
          <cell r="H543">
            <v>241838</v>
          </cell>
          <cell r="I543">
            <v>214511</v>
          </cell>
          <cell r="J543">
            <v>187673</v>
          </cell>
          <cell r="K543">
            <v>309526</v>
          </cell>
          <cell r="L543">
            <v>323048</v>
          </cell>
          <cell r="M543">
            <v>295721</v>
          </cell>
          <cell r="N543">
            <v>268883</v>
          </cell>
          <cell r="O543">
            <v>390736</v>
          </cell>
          <cell r="P543">
            <v>564886</v>
          </cell>
          <cell r="Q543">
            <v>510232</v>
          </cell>
          <cell r="R543">
            <v>456556</v>
          </cell>
          <cell r="S543">
            <v>700262</v>
          </cell>
        </row>
        <row r="544">
          <cell r="B544" t="str">
            <v>M112.1400</v>
          </cell>
          <cell r="C544" t="str">
            <v>Máy phun (chưa tính khí nén):</v>
          </cell>
          <cell r="E544" t="str">
            <v>-</v>
          </cell>
          <cell r="P544">
            <v>0</v>
          </cell>
          <cell r="Q544">
            <v>0</v>
          </cell>
          <cell r="R544">
            <v>0</v>
          </cell>
          <cell r="S544">
            <v>0</v>
          </cell>
        </row>
        <row r="545">
          <cell r="B545" t="str">
            <v>M112.1401</v>
          </cell>
          <cell r="C545" t="str">
            <v>Máy phun sơn 400 m2/h</v>
          </cell>
          <cell r="E545" t="str">
            <v>-</v>
          </cell>
          <cell r="F545" t="str">
            <v>1x3/7</v>
          </cell>
          <cell r="G545">
            <v>8026</v>
          </cell>
          <cell r="H545">
            <v>241838</v>
          </cell>
          <cell r="I545">
            <v>214511</v>
          </cell>
          <cell r="J545">
            <v>187673</v>
          </cell>
          <cell r="K545">
            <v>309526</v>
          </cell>
          <cell r="L545">
            <v>258639</v>
          </cell>
          <cell r="M545">
            <v>231312</v>
          </cell>
          <cell r="N545">
            <v>204474</v>
          </cell>
          <cell r="O545">
            <v>326327</v>
          </cell>
          <cell r="P545">
            <v>500477</v>
          </cell>
          <cell r="Q545">
            <v>445823</v>
          </cell>
          <cell r="R545">
            <v>392147</v>
          </cell>
          <cell r="S545">
            <v>635853</v>
          </cell>
        </row>
        <row r="546">
          <cell r="B546" t="str">
            <v>M112.1402</v>
          </cell>
          <cell r="C546" t="str">
            <v>Máy phun chất tạo màng 5,5Hp</v>
          </cell>
          <cell r="E546" t="str">
            <v>-</v>
          </cell>
          <cell r="F546" t="str">
            <v>1x3/7</v>
          </cell>
          <cell r="G546">
            <v>7452</v>
          </cell>
          <cell r="H546">
            <v>241838</v>
          </cell>
          <cell r="I546">
            <v>214511</v>
          </cell>
          <cell r="J546">
            <v>187673</v>
          </cell>
          <cell r="K546">
            <v>309526</v>
          </cell>
          <cell r="L546">
            <v>257438</v>
          </cell>
          <cell r="M546">
            <v>230111</v>
          </cell>
          <cell r="N546">
            <v>203273</v>
          </cell>
          <cell r="O546">
            <v>325126</v>
          </cell>
          <cell r="P546">
            <v>499276</v>
          </cell>
          <cell r="Q546">
            <v>444622</v>
          </cell>
          <cell r="R546">
            <v>390946</v>
          </cell>
          <cell r="S546">
            <v>634652</v>
          </cell>
        </row>
        <row r="547">
          <cell r="B547" t="str">
            <v>M112.1403</v>
          </cell>
          <cell r="C547" t="str">
            <v>Máy phun cát</v>
          </cell>
          <cell r="E547" t="str">
            <v>-</v>
          </cell>
          <cell r="F547" t="str">
            <v>1x3/7</v>
          </cell>
          <cell r="G547">
            <v>16510</v>
          </cell>
          <cell r="H547">
            <v>241838</v>
          </cell>
          <cell r="I547">
            <v>214511</v>
          </cell>
          <cell r="J547">
            <v>187673</v>
          </cell>
          <cell r="K547">
            <v>309526</v>
          </cell>
          <cell r="L547">
            <v>266768</v>
          </cell>
          <cell r="M547">
            <v>239441</v>
          </cell>
          <cell r="N547">
            <v>212603</v>
          </cell>
          <cell r="O547">
            <v>334456</v>
          </cell>
          <cell r="P547">
            <v>508606</v>
          </cell>
          <cell r="Q547">
            <v>453952</v>
          </cell>
          <cell r="R547">
            <v>400276</v>
          </cell>
          <cell r="S547">
            <v>643982</v>
          </cell>
        </row>
        <row r="548">
          <cell r="B548" t="str">
            <v>M112.1404</v>
          </cell>
          <cell r="C548" t="str">
            <v>Máy phun bi 235 kW</v>
          </cell>
          <cell r="D548" t="str">
            <v>kWh</v>
          </cell>
          <cell r="E548">
            <v>344549</v>
          </cell>
          <cell r="F548" t="str">
            <v>1x3/7+1x4/7</v>
          </cell>
          <cell r="G548">
            <v>3123015</v>
          </cell>
          <cell r="H548">
            <v>528912</v>
          </cell>
          <cell r="I548">
            <v>469146</v>
          </cell>
          <cell r="J548">
            <v>410450</v>
          </cell>
          <cell r="K548">
            <v>676950</v>
          </cell>
          <cell r="L548">
            <v>4371237</v>
          </cell>
          <cell r="M548">
            <v>4311471</v>
          </cell>
          <cell r="N548">
            <v>4252775</v>
          </cell>
          <cell r="O548">
            <v>4519275</v>
          </cell>
          <cell r="P548">
            <v>4900149</v>
          </cell>
          <cell r="Q548">
            <v>4780617</v>
          </cell>
          <cell r="R548">
            <v>4663225</v>
          </cell>
          <cell r="S548">
            <v>5196225</v>
          </cell>
        </row>
        <row r="549">
          <cell r="B549" t="str">
            <v>M112.1500</v>
          </cell>
          <cell r="C549" t="str">
            <v>Máy khoan đứng - công suất:</v>
          </cell>
          <cell r="E549" t="str">
            <v>-</v>
          </cell>
          <cell r="P549">
            <v>0</v>
          </cell>
          <cell r="Q549">
            <v>0</v>
          </cell>
          <cell r="R549">
            <v>0</v>
          </cell>
          <cell r="S549">
            <v>0</v>
          </cell>
        </row>
        <row r="550">
          <cell r="B550" t="str">
            <v>M112.1501</v>
          </cell>
          <cell r="C550" t="str">
            <v>2,5 kW</v>
          </cell>
          <cell r="D550" t="str">
            <v>kWh</v>
          </cell>
          <cell r="E550">
            <v>9788</v>
          </cell>
          <cell r="G550">
            <v>42900</v>
          </cell>
          <cell r="L550">
            <v>47521</v>
          </cell>
          <cell r="M550">
            <v>47521</v>
          </cell>
          <cell r="N550">
            <v>47521</v>
          </cell>
          <cell r="O550">
            <v>47521</v>
          </cell>
          <cell r="P550">
            <v>47521</v>
          </cell>
          <cell r="Q550">
            <v>47521</v>
          </cell>
          <cell r="R550">
            <v>47521</v>
          </cell>
          <cell r="S550">
            <v>47521</v>
          </cell>
        </row>
        <row r="551">
          <cell r="B551" t="str">
            <v>M112.1502</v>
          </cell>
          <cell r="C551" t="str">
            <v>4,5 kW</v>
          </cell>
          <cell r="D551" t="str">
            <v>kWh</v>
          </cell>
          <cell r="E551">
            <v>17619</v>
          </cell>
          <cell r="G551">
            <v>57200</v>
          </cell>
          <cell r="L551">
            <v>67929</v>
          </cell>
          <cell r="M551">
            <v>67929</v>
          </cell>
          <cell r="N551">
            <v>67929</v>
          </cell>
          <cell r="O551">
            <v>67929</v>
          </cell>
          <cell r="P551">
            <v>67929</v>
          </cell>
          <cell r="Q551">
            <v>67929</v>
          </cell>
          <cell r="R551">
            <v>67929</v>
          </cell>
          <cell r="S551">
            <v>67929</v>
          </cell>
        </row>
        <row r="552">
          <cell r="B552" t="str">
            <v>M112.1600</v>
          </cell>
          <cell r="C552" t="str">
            <v>Máy khoan sắt cầm tay, đường kính khoan:</v>
          </cell>
          <cell r="E552" t="str">
            <v>-</v>
          </cell>
          <cell r="P552">
            <v>0</v>
          </cell>
          <cell r="Q552">
            <v>0</v>
          </cell>
          <cell r="R552">
            <v>0</v>
          </cell>
          <cell r="S552">
            <v>0</v>
          </cell>
        </row>
        <row r="553">
          <cell r="B553" t="str">
            <v>M112.1601</v>
          </cell>
          <cell r="C553" t="str">
            <v>1,7 kW</v>
          </cell>
          <cell r="D553" t="str">
            <v>kWh</v>
          </cell>
          <cell r="E553">
            <v>5873</v>
          </cell>
          <cell r="G553">
            <v>4150</v>
          </cell>
          <cell r="L553">
            <v>19408</v>
          </cell>
          <cell r="M553">
            <v>19408</v>
          </cell>
          <cell r="N553">
            <v>19408</v>
          </cell>
          <cell r="O553">
            <v>19408</v>
          </cell>
          <cell r="P553">
            <v>19408</v>
          </cell>
          <cell r="Q553">
            <v>19408</v>
          </cell>
          <cell r="R553">
            <v>19408</v>
          </cell>
          <cell r="S553">
            <v>19408</v>
          </cell>
        </row>
        <row r="554">
          <cell r="B554" t="str">
            <v>M112.1700</v>
          </cell>
          <cell r="C554" t="str">
            <v>Máy khoan bê tông cầm tay - công suất:</v>
          </cell>
          <cell r="E554" t="str">
            <v>-</v>
          </cell>
          <cell r="P554">
            <v>0</v>
          </cell>
          <cell r="Q554">
            <v>0</v>
          </cell>
          <cell r="R554">
            <v>0</v>
          </cell>
          <cell r="S554">
            <v>0</v>
          </cell>
        </row>
        <row r="555">
          <cell r="B555" t="str">
            <v>M112.1701</v>
          </cell>
          <cell r="C555" t="str">
            <v>0,62 kW</v>
          </cell>
          <cell r="D555" t="str">
            <v>kWh</v>
          </cell>
          <cell r="E555">
            <v>1762</v>
          </cell>
          <cell r="G555">
            <v>4800</v>
          </cell>
          <cell r="L555">
            <v>15042</v>
          </cell>
          <cell r="M555">
            <v>15042</v>
          </cell>
          <cell r="N555">
            <v>15042</v>
          </cell>
          <cell r="O555">
            <v>15042</v>
          </cell>
          <cell r="P555">
            <v>15042</v>
          </cell>
          <cell r="Q555">
            <v>15042</v>
          </cell>
          <cell r="R555">
            <v>15042</v>
          </cell>
          <cell r="S555">
            <v>15042</v>
          </cell>
        </row>
        <row r="556">
          <cell r="B556" t="str">
            <v>M112.1702</v>
          </cell>
          <cell r="C556" t="str">
            <v>0,75 kW</v>
          </cell>
          <cell r="D556" t="str">
            <v>kWh</v>
          </cell>
          <cell r="E556">
            <v>2153</v>
          </cell>
          <cell r="G556">
            <v>6250</v>
          </cell>
          <cell r="L556">
            <v>15278</v>
          </cell>
          <cell r="M556">
            <v>15278</v>
          </cell>
          <cell r="N556">
            <v>15278</v>
          </cell>
          <cell r="O556">
            <v>15278</v>
          </cell>
          <cell r="P556">
            <v>15278</v>
          </cell>
          <cell r="Q556">
            <v>15278</v>
          </cell>
          <cell r="R556">
            <v>15278</v>
          </cell>
          <cell r="S556">
            <v>15278</v>
          </cell>
        </row>
        <row r="557">
          <cell r="B557" t="str">
            <v>M112.1703</v>
          </cell>
          <cell r="C557" t="str">
            <v>0,85 kW</v>
          </cell>
          <cell r="D557" t="str">
            <v>kWh</v>
          </cell>
          <cell r="E557">
            <v>2545</v>
          </cell>
          <cell r="G557">
            <v>6750</v>
          </cell>
          <cell r="L557">
            <v>16720</v>
          </cell>
          <cell r="M557">
            <v>16720</v>
          </cell>
          <cell r="N557">
            <v>16720</v>
          </cell>
          <cell r="O557">
            <v>16720</v>
          </cell>
          <cell r="P557">
            <v>16720</v>
          </cell>
          <cell r="Q557">
            <v>16720</v>
          </cell>
          <cell r="R557">
            <v>16720</v>
          </cell>
          <cell r="S557">
            <v>16720</v>
          </cell>
        </row>
        <row r="558">
          <cell r="B558" t="str">
            <v>M112.1704</v>
          </cell>
          <cell r="C558" t="str">
            <v>1,00 kW</v>
          </cell>
          <cell r="D558" t="str">
            <v>kWh</v>
          </cell>
          <cell r="E558">
            <v>3132</v>
          </cell>
          <cell r="G558">
            <v>8400</v>
          </cell>
          <cell r="L558">
            <v>23486</v>
          </cell>
          <cell r="M558">
            <v>23486</v>
          </cell>
          <cell r="N558">
            <v>23486</v>
          </cell>
          <cell r="O558">
            <v>23486</v>
          </cell>
          <cell r="P558">
            <v>23486</v>
          </cell>
          <cell r="Q558">
            <v>23486</v>
          </cell>
          <cell r="R558">
            <v>23486</v>
          </cell>
          <cell r="S558">
            <v>23486</v>
          </cell>
        </row>
        <row r="559">
          <cell r="B559" t="str">
            <v>M112.1705</v>
          </cell>
          <cell r="C559" t="str">
            <v>1,50 kW</v>
          </cell>
          <cell r="D559" t="str">
            <v>kWh</v>
          </cell>
          <cell r="E559">
            <v>4503</v>
          </cell>
          <cell r="G559">
            <v>10400</v>
          </cell>
          <cell r="L559">
            <v>34284</v>
          </cell>
          <cell r="M559">
            <v>34284</v>
          </cell>
          <cell r="N559">
            <v>34284</v>
          </cell>
          <cell r="O559">
            <v>34284</v>
          </cell>
          <cell r="P559">
            <v>34284</v>
          </cell>
          <cell r="Q559">
            <v>34284</v>
          </cell>
          <cell r="R559">
            <v>34284</v>
          </cell>
          <cell r="S559">
            <v>34284</v>
          </cell>
        </row>
        <row r="560">
          <cell r="B560" t="str">
            <v>M112.1800</v>
          </cell>
          <cell r="C560" t="str">
            <v>Máy luồn cáp - công suất:</v>
          </cell>
          <cell r="E560" t="str">
            <v>-</v>
          </cell>
          <cell r="P560">
            <v>0</v>
          </cell>
          <cell r="Q560">
            <v>0</v>
          </cell>
          <cell r="R560">
            <v>0</v>
          </cell>
          <cell r="S560">
            <v>0</v>
          </cell>
        </row>
        <row r="561">
          <cell r="B561" t="str">
            <v>M112.1801</v>
          </cell>
          <cell r="C561" t="str">
            <v>15 kW</v>
          </cell>
          <cell r="D561" t="str">
            <v>kWh</v>
          </cell>
          <cell r="E561">
            <v>52857</v>
          </cell>
          <cell r="F561" t="str">
            <v>1x3/7</v>
          </cell>
          <cell r="G561">
            <v>94900</v>
          </cell>
          <cell r="H561">
            <v>241838</v>
          </cell>
          <cell r="I561">
            <v>214511</v>
          </cell>
          <cell r="J561">
            <v>187673</v>
          </cell>
          <cell r="K561">
            <v>309526</v>
          </cell>
          <cell r="L561">
            <v>355194</v>
          </cell>
          <cell r="M561">
            <v>327867</v>
          </cell>
          <cell r="N561">
            <v>301029</v>
          </cell>
          <cell r="O561">
            <v>422882</v>
          </cell>
          <cell r="P561">
            <v>597032</v>
          </cell>
          <cell r="Q561">
            <v>542378</v>
          </cell>
          <cell r="R561">
            <v>488702</v>
          </cell>
          <cell r="S561">
            <v>732408</v>
          </cell>
        </row>
        <row r="562">
          <cell r="B562" t="str">
            <v>M112.1900</v>
          </cell>
          <cell r="C562" t="str">
            <v>Máy cắt cáp - công suất:</v>
          </cell>
          <cell r="E562" t="str">
            <v>-</v>
          </cell>
          <cell r="P562">
            <v>0</v>
          </cell>
          <cell r="Q562">
            <v>0</v>
          </cell>
          <cell r="R562">
            <v>0</v>
          </cell>
          <cell r="S562">
            <v>0</v>
          </cell>
        </row>
        <row r="563">
          <cell r="B563" t="str">
            <v>M112.1901</v>
          </cell>
          <cell r="C563" t="str">
            <v>10 kW</v>
          </cell>
          <cell r="D563" t="str">
            <v>kWh</v>
          </cell>
          <cell r="E563">
            <v>25450</v>
          </cell>
          <cell r="F563" t="str">
            <v>1x3/7</v>
          </cell>
          <cell r="G563">
            <v>23400</v>
          </cell>
          <cell r="H563">
            <v>241838</v>
          </cell>
          <cell r="I563">
            <v>214511</v>
          </cell>
          <cell r="J563">
            <v>187673</v>
          </cell>
          <cell r="K563">
            <v>309526</v>
          </cell>
          <cell r="L563">
            <v>288449</v>
          </cell>
          <cell r="M563">
            <v>261122</v>
          </cell>
          <cell r="N563">
            <v>234284</v>
          </cell>
          <cell r="O563">
            <v>356137</v>
          </cell>
          <cell r="P563">
            <v>530287</v>
          </cell>
          <cell r="Q563">
            <v>475633</v>
          </cell>
          <cell r="R563">
            <v>421957</v>
          </cell>
          <cell r="S563">
            <v>665663</v>
          </cell>
        </row>
        <row r="564">
          <cell r="B564" t="str">
            <v>M112.2000</v>
          </cell>
          <cell r="C564" t="str">
            <v>Máy cắt sắt cầm tay - công</v>
          </cell>
          <cell r="E564" t="str">
            <v>-</v>
          </cell>
          <cell r="P564">
            <v>0</v>
          </cell>
          <cell r="Q564">
            <v>0</v>
          </cell>
          <cell r="R564">
            <v>0</v>
          </cell>
          <cell r="S564">
            <v>0</v>
          </cell>
        </row>
        <row r="565">
          <cell r="B565" t="str">
            <v>M112.2001</v>
          </cell>
          <cell r="C565" t="str">
            <v>1,7 kW</v>
          </cell>
          <cell r="D565" t="str">
            <v>kWh</v>
          </cell>
          <cell r="E565">
            <v>5873</v>
          </cell>
          <cell r="G565">
            <v>7750</v>
          </cell>
          <cell r="L565">
            <v>30613</v>
          </cell>
          <cell r="M565">
            <v>30613</v>
          </cell>
          <cell r="N565">
            <v>30613</v>
          </cell>
          <cell r="O565">
            <v>30613</v>
          </cell>
          <cell r="P565">
            <v>30613</v>
          </cell>
          <cell r="Q565">
            <v>30613</v>
          </cell>
          <cell r="R565">
            <v>30613</v>
          </cell>
          <cell r="S565">
            <v>30613</v>
          </cell>
        </row>
        <row r="566">
          <cell r="B566" t="str">
            <v>M112.2100</v>
          </cell>
          <cell r="C566" t="str">
            <v>Máy cắt gạch đá - công suất:</v>
          </cell>
          <cell r="E566" t="str">
            <v>-</v>
          </cell>
          <cell r="P566">
            <v>0</v>
          </cell>
          <cell r="Q566">
            <v>0</v>
          </cell>
          <cell r="R566">
            <v>0</v>
          </cell>
          <cell r="S566">
            <v>0</v>
          </cell>
        </row>
        <row r="567">
          <cell r="B567" t="str">
            <v>M112.2101</v>
          </cell>
          <cell r="C567" t="str">
            <v>1,5 kW</v>
          </cell>
          <cell r="D567" t="str">
            <v>kWh</v>
          </cell>
          <cell r="E567">
            <v>5286</v>
          </cell>
          <cell r="G567">
            <v>8750</v>
          </cell>
          <cell r="L567">
            <v>26796</v>
          </cell>
          <cell r="M567">
            <v>26796</v>
          </cell>
          <cell r="N567">
            <v>26796</v>
          </cell>
          <cell r="O567">
            <v>26796</v>
          </cell>
          <cell r="P567">
            <v>26796</v>
          </cell>
          <cell r="Q567">
            <v>26796</v>
          </cell>
          <cell r="R567">
            <v>26796</v>
          </cell>
          <cell r="S567">
            <v>26796</v>
          </cell>
        </row>
        <row r="568">
          <cell r="B568" t="str">
            <v>M112.2102</v>
          </cell>
          <cell r="C568" t="str">
            <v>1,7 kW</v>
          </cell>
          <cell r="D568" t="str">
            <v>kWh</v>
          </cell>
          <cell r="E568">
            <v>5873</v>
          </cell>
          <cell r="G568">
            <v>7900</v>
          </cell>
          <cell r="L568">
            <v>27817</v>
          </cell>
          <cell r="M568">
            <v>27817</v>
          </cell>
          <cell r="N568">
            <v>27817</v>
          </cell>
          <cell r="O568">
            <v>27817</v>
          </cell>
          <cell r="P568">
            <v>27817</v>
          </cell>
          <cell r="Q568">
            <v>27817</v>
          </cell>
          <cell r="R568">
            <v>27817</v>
          </cell>
          <cell r="S568">
            <v>27817</v>
          </cell>
        </row>
        <row r="569">
          <cell r="B569" t="str">
            <v>M112.2200</v>
          </cell>
          <cell r="C569" t="str">
            <v>Máy cắt bê tông - công suất:</v>
          </cell>
          <cell r="E569" t="str">
            <v>-</v>
          </cell>
          <cell r="P569">
            <v>0</v>
          </cell>
          <cell r="Q569">
            <v>0</v>
          </cell>
          <cell r="R569">
            <v>0</v>
          </cell>
          <cell r="S569">
            <v>0</v>
          </cell>
        </row>
        <row r="570">
          <cell r="B570" t="str">
            <v>M112.2201</v>
          </cell>
          <cell r="C570" t="str">
            <v>7,5 kW</v>
          </cell>
          <cell r="D570" t="str">
            <v>kWh</v>
          </cell>
          <cell r="E570">
            <v>21534</v>
          </cell>
          <cell r="F570" t="str">
            <v>1x3/7</v>
          </cell>
          <cell r="G570">
            <v>17400</v>
          </cell>
          <cell r="H570">
            <v>241838</v>
          </cell>
          <cell r="I570">
            <v>214511</v>
          </cell>
          <cell r="J570">
            <v>187673</v>
          </cell>
          <cell r="K570">
            <v>309526</v>
          </cell>
          <cell r="L570">
            <v>306147</v>
          </cell>
          <cell r="M570">
            <v>278820</v>
          </cell>
          <cell r="N570">
            <v>251982</v>
          </cell>
          <cell r="O570">
            <v>373835</v>
          </cell>
          <cell r="P570">
            <v>547985</v>
          </cell>
          <cell r="Q570">
            <v>493331</v>
          </cell>
          <cell r="R570">
            <v>439655</v>
          </cell>
          <cell r="S570">
            <v>683361</v>
          </cell>
        </row>
        <row r="571">
          <cell r="B571" t="str">
            <v>M112.2202</v>
          </cell>
          <cell r="C571" t="str">
            <v>12 cv (MCD 218)</v>
          </cell>
          <cell r="D571" t="str">
            <v>lít xăng</v>
          </cell>
          <cell r="E571">
            <v>149402</v>
          </cell>
          <cell r="F571" t="str">
            <v>1x3/7</v>
          </cell>
          <cell r="G571">
            <v>38500</v>
          </cell>
          <cell r="H571">
            <v>241838</v>
          </cell>
          <cell r="I571">
            <v>214511</v>
          </cell>
          <cell r="J571">
            <v>187673</v>
          </cell>
          <cell r="K571">
            <v>309526</v>
          </cell>
          <cell r="L571">
            <v>479469</v>
          </cell>
          <cell r="M571">
            <v>452142</v>
          </cell>
          <cell r="N571">
            <v>425304</v>
          </cell>
          <cell r="O571">
            <v>547157</v>
          </cell>
          <cell r="P571">
            <v>721307</v>
          </cell>
          <cell r="Q571">
            <v>666653</v>
          </cell>
          <cell r="R571">
            <v>612977</v>
          </cell>
          <cell r="S571">
            <v>856683</v>
          </cell>
        </row>
        <row r="572">
          <cell r="B572" t="str">
            <v>M112.2300</v>
          </cell>
          <cell r="C572" t="str">
            <v>Máy cắt ống - công suất:</v>
          </cell>
          <cell r="E572" t="str">
            <v>-</v>
          </cell>
          <cell r="P572">
            <v>0</v>
          </cell>
          <cell r="Q572">
            <v>0</v>
          </cell>
          <cell r="R572">
            <v>0</v>
          </cell>
          <cell r="S572">
            <v>0</v>
          </cell>
        </row>
        <row r="573">
          <cell r="B573" t="str">
            <v>M112.2301</v>
          </cell>
          <cell r="C573" t="str">
            <v>5 kW</v>
          </cell>
          <cell r="D573" t="str">
            <v>kWh</v>
          </cell>
          <cell r="E573">
            <v>17619</v>
          </cell>
          <cell r="F573" t="str">
            <v>1x3/7</v>
          </cell>
          <cell r="G573">
            <v>28200</v>
          </cell>
          <cell r="H573">
            <v>241838</v>
          </cell>
          <cell r="I573">
            <v>214511</v>
          </cell>
          <cell r="J573">
            <v>187673</v>
          </cell>
          <cell r="K573">
            <v>309526</v>
          </cell>
          <cell r="L573">
            <v>285894</v>
          </cell>
          <cell r="M573">
            <v>258567</v>
          </cell>
          <cell r="N573">
            <v>231729</v>
          </cell>
          <cell r="O573">
            <v>353582</v>
          </cell>
          <cell r="P573">
            <v>527732</v>
          </cell>
          <cell r="Q573">
            <v>473078</v>
          </cell>
          <cell r="R573">
            <v>419402</v>
          </cell>
          <cell r="S573">
            <v>663108</v>
          </cell>
        </row>
        <row r="574">
          <cell r="B574" t="str">
            <v>M112.2400</v>
          </cell>
          <cell r="C574" t="str">
            <v>Máy cắt tôn - công suất:</v>
          </cell>
          <cell r="E574" t="str">
            <v>-</v>
          </cell>
          <cell r="P574">
            <v>0</v>
          </cell>
          <cell r="Q574">
            <v>0</v>
          </cell>
          <cell r="R574">
            <v>0</v>
          </cell>
          <cell r="S574">
            <v>0</v>
          </cell>
        </row>
        <row r="575">
          <cell r="B575" t="str">
            <v>M112.2401</v>
          </cell>
          <cell r="C575" t="str">
            <v>5 kW</v>
          </cell>
          <cell r="D575" t="str">
            <v>kWh</v>
          </cell>
          <cell r="E575">
            <v>19577</v>
          </cell>
          <cell r="F575" t="str">
            <v>1x3/7</v>
          </cell>
          <cell r="G575">
            <v>18800</v>
          </cell>
          <cell r="H575">
            <v>241838</v>
          </cell>
          <cell r="I575">
            <v>214511</v>
          </cell>
          <cell r="J575">
            <v>187673</v>
          </cell>
          <cell r="K575">
            <v>309526</v>
          </cell>
          <cell r="L575">
            <v>277708</v>
          </cell>
          <cell r="M575">
            <v>250381</v>
          </cell>
          <cell r="N575">
            <v>223543</v>
          </cell>
          <cell r="O575">
            <v>345396</v>
          </cell>
          <cell r="P575">
            <v>519546</v>
          </cell>
          <cell r="Q575">
            <v>464892</v>
          </cell>
          <cell r="R575">
            <v>411216</v>
          </cell>
          <cell r="S575">
            <v>654922</v>
          </cell>
        </row>
        <row r="576">
          <cell r="B576" t="str">
            <v>M112.2402</v>
          </cell>
          <cell r="C576" t="str">
            <v>15 kW</v>
          </cell>
          <cell r="D576" t="str">
            <v>kWh</v>
          </cell>
          <cell r="E576">
            <v>52857</v>
          </cell>
          <cell r="F576" t="str">
            <v>1x3/7</v>
          </cell>
          <cell r="G576">
            <v>156600</v>
          </cell>
          <cell r="H576">
            <v>241838</v>
          </cell>
          <cell r="I576">
            <v>214511</v>
          </cell>
          <cell r="J576">
            <v>187673</v>
          </cell>
          <cell r="K576">
            <v>309526</v>
          </cell>
          <cell r="L576">
            <v>422585</v>
          </cell>
          <cell r="M576">
            <v>395258</v>
          </cell>
          <cell r="N576">
            <v>368420</v>
          </cell>
          <cell r="O576">
            <v>490273</v>
          </cell>
          <cell r="P576">
            <v>664423</v>
          </cell>
          <cell r="Q576">
            <v>609769</v>
          </cell>
          <cell r="R576">
            <v>556093</v>
          </cell>
          <cell r="S576">
            <v>799799</v>
          </cell>
        </row>
        <row r="577">
          <cell r="B577" t="str">
            <v>M112.2500</v>
          </cell>
          <cell r="C577" t="str">
            <v>Máy cắt đột - công suất:</v>
          </cell>
          <cell r="E577" t="str">
            <v>-</v>
          </cell>
          <cell r="P577">
            <v>0</v>
          </cell>
          <cell r="Q577">
            <v>0</v>
          </cell>
          <cell r="R577">
            <v>0</v>
          </cell>
          <cell r="S577">
            <v>0</v>
          </cell>
        </row>
        <row r="578">
          <cell r="B578" t="str">
            <v>M112.2501</v>
          </cell>
          <cell r="C578" t="str">
            <v>2,8 kW</v>
          </cell>
          <cell r="D578" t="str">
            <v>kWh</v>
          </cell>
          <cell r="E578">
            <v>9788</v>
          </cell>
          <cell r="F578" t="str">
            <v>1x3/7</v>
          </cell>
          <cell r="G578">
            <v>41700</v>
          </cell>
          <cell r="H578">
            <v>241838</v>
          </cell>
          <cell r="I578">
            <v>214511</v>
          </cell>
          <cell r="J578">
            <v>187673</v>
          </cell>
          <cell r="K578">
            <v>309526</v>
          </cell>
          <cell r="L578">
            <v>287593</v>
          </cell>
          <cell r="M578">
            <v>260266</v>
          </cell>
          <cell r="N578">
            <v>233428</v>
          </cell>
          <cell r="O578">
            <v>355281</v>
          </cell>
          <cell r="P578">
            <v>529431</v>
          </cell>
          <cell r="Q578">
            <v>474777</v>
          </cell>
          <cell r="R578">
            <v>421101</v>
          </cell>
          <cell r="S578">
            <v>664807</v>
          </cell>
        </row>
        <row r="579">
          <cell r="B579" t="str">
            <v>M112.2600</v>
          </cell>
          <cell r="C579" t="str">
            <v>Máy cắt uốn cốt thép - công</v>
          </cell>
          <cell r="E579" t="str">
            <v>-</v>
          </cell>
          <cell r="P579">
            <v>0</v>
          </cell>
          <cell r="Q579">
            <v>0</v>
          </cell>
          <cell r="R579">
            <v>0</v>
          </cell>
          <cell r="S579">
            <v>0</v>
          </cell>
        </row>
        <row r="580">
          <cell r="B580" t="str">
            <v>M112.2601</v>
          </cell>
          <cell r="C580" t="str">
            <v>5 kW</v>
          </cell>
          <cell r="D580" t="str">
            <v>kWh</v>
          </cell>
          <cell r="E580">
            <v>17619</v>
          </cell>
          <cell r="F580" t="str">
            <v>1x3/7</v>
          </cell>
          <cell r="G580">
            <v>18200</v>
          </cell>
          <cell r="H580">
            <v>241838</v>
          </cell>
          <cell r="I580">
            <v>214511</v>
          </cell>
          <cell r="J580">
            <v>187673</v>
          </cell>
          <cell r="K580">
            <v>309526</v>
          </cell>
          <cell r="L580">
            <v>276216</v>
          </cell>
          <cell r="M580">
            <v>248889</v>
          </cell>
          <cell r="N580">
            <v>222051</v>
          </cell>
          <cell r="O580">
            <v>343904</v>
          </cell>
          <cell r="P580">
            <v>518054</v>
          </cell>
          <cell r="Q580">
            <v>463400</v>
          </cell>
          <cell r="R580">
            <v>409724</v>
          </cell>
          <cell r="S580">
            <v>653430</v>
          </cell>
        </row>
        <row r="581">
          <cell r="B581" t="str">
            <v>M112.2700</v>
          </cell>
          <cell r="C581" t="str">
            <v>Máy cắt cỏ cầm tay - công suất:</v>
          </cell>
          <cell r="E581" t="str">
            <v>-</v>
          </cell>
          <cell r="P581">
            <v>0</v>
          </cell>
          <cell r="Q581">
            <v>0</v>
          </cell>
          <cell r="R581">
            <v>0</v>
          </cell>
          <cell r="S581">
            <v>0</v>
          </cell>
        </row>
        <row r="582">
          <cell r="B582" t="str">
            <v>M112.2701</v>
          </cell>
          <cell r="C582" t="str">
            <v>0,8 kW</v>
          </cell>
          <cell r="D582" t="str">
            <v>kWh</v>
          </cell>
          <cell r="E582">
            <v>3915</v>
          </cell>
          <cell r="G582">
            <v>4600</v>
          </cell>
          <cell r="L582">
            <v>12389</v>
          </cell>
          <cell r="M582">
            <v>12389</v>
          </cell>
          <cell r="N582">
            <v>12389</v>
          </cell>
          <cell r="O582">
            <v>12389</v>
          </cell>
          <cell r="P582">
            <v>12389</v>
          </cell>
          <cell r="Q582">
            <v>12389</v>
          </cell>
          <cell r="R582">
            <v>12389</v>
          </cell>
          <cell r="S582">
            <v>12389</v>
          </cell>
        </row>
        <row r="583">
          <cell r="B583" t="str">
            <v>M112.2801</v>
          </cell>
          <cell r="C583" t="str">
            <v>Máy cắt thép Plasma</v>
          </cell>
          <cell r="D583" t="str">
            <v>kWh</v>
          </cell>
          <cell r="E583">
            <v>25450</v>
          </cell>
          <cell r="F583" t="str">
            <v>1x3/7</v>
          </cell>
          <cell r="G583">
            <v>68900</v>
          </cell>
          <cell r="H583">
            <v>241838</v>
          </cell>
          <cell r="I583">
            <v>214511</v>
          </cell>
          <cell r="J583">
            <v>187673</v>
          </cell>
          <cell r="K583">
            <v>309526</v>
          </cell>
          <cell r="L583">
            <v>325703</v>
          </cell>
          <cell r="M583">
            <v>298376</v>
          </cell>
          <cell r="N583">
            <v>271538</v>
          </cell>
          <cell r="O583">
            <v>393391</v>
          </cell>
          <cell r="P583">
            <v>567541</v>
          </cell>
          <cell r="Q583">
            <v>512887</v>
          </cell>
          <cell r="R583">
            <v>459211</v>
          </cell>
          <cell r="S583">
            <v>702917</v>
          </cell>
        </row>
        <row r="584">
          <cell r="B584" t="str">
            <v>M112.2900</v>
          </cell>
          <cell r="C584" t="str">
            <v>Búa căn khí nén (chưa tính khí nén) - tiêu hao khí nén:</v>
          </cell>
          <cell r="E584" t="str">
            <v>-</v>
          </cell>
          <cell r="P584">
            <v>0</v>
          </cell>
          <cell r="Q584">
            <v>0</v>
          </cell>
          <cell r="R584">
            <v>0</v>
          </cell>
          <cell r="S584">
            <v>0</v>
          </cell>
        </row>
        <row r="585">
          <cell r="B585" t="str">
            <v>M112.2901</v>
          </cell>
          <cell r="C585" t="str">
            <v>1,5 m3/ph</v>
          </cell>
          <cell r="E585" t="str">
            <v>-</v>
          </cell>
          <cell r="G585">
            <v>5400</v>
          </cell>
          <cell r="L585">
            <v>18720</v>
          </cell>
          <cell r="M585">
            <v>18720</v>
          </cell>
          <cell r="N585">
            <v>18720</v>
          </cell>
          <cell r="O585">
            <v>18720</v>
          </cell>
          <cell r="P585">
            <v>18720</v>
          </cell>
          <cell r="Q585">
            <v>18720</v>
          </cell>
          <cell r="R585">
            <v>18720</v>
          </cell>
          <cell r="S585">
            <v>18720</v>
          </cell>
        </row>
        <row r="586">
          <cell r="B586" t="str">
            <v>M112.2902</v>
          </cell>
          <cell r="C586" t="str">
            <v>3,0 m3/ph</v>
          </cell>
          <cell r="E586" t="str">
            <v>-</v>
          </cell>
          <cell r="G586">
            <v>6100</v>
          </cell>
          <cell r="L586">
            <v>21147</v>
          </cell>
          <cell r="M586">
            <v>21147</v>
          </cell>
          <cell r="N586">
            <v>21147</v>
          </cell>
          <cell r="O586">
            <v>21147</v>
          </cell>
          <cell r="P586">
            <v>21147</v>
          </cell>
          <cell r="Q586">
            <v>21147</v>
          </cell>
          <cell r="R586">
            <v>21147</v>
          </cell>
          <cell r="S586">
            <v>21147</v>
          </cell>
        </row>
        <row r="587">
          <cell r="B587" t="str">
            <v>M112.3000</v>
          </cell>
          <cell r="C587" t="str">
            <v>Máy uốn ống - công suất:</v>
          </cell>
          <cell r="E587" t="str">
            <v>-</v>
          </cell>
          <cell r="P587">
            <v>0</v>
          </cell>
          <cell r="Q587">
            <v>0</v>
          </cell>
          <cell r="R587">
            <v>0</v>
          </cell>
          <cell r="S587">
            <v>0</v>
          </cell>
        </row>
        <row r="588">
          <cell r="B588" t="str">
            <v>M112.3001</v>
          </cell>
          <cell r="C588" t="str">
            <v>2,0 kW÷2,8 kW</v>
          </cell>
          <cell r="D588" t="str">
            <v>kWh</v>
          </cell>
          <cell r="E588">
            <v>9788</v>
          </cell>
          <cell r="F588" t="str">
            <v>1x3/7</v>
          </cell>
          <cell r="G588">
            <v>28200</v>
          </cell>
          <cell r="H588">
            <v>241838</v>
          </cell>
          <cell r="I588">
            <v>214511</v>
          </cell>
          <cell r="J588">
            <v>187673</v>
          </cell>
          <cell r="K588">
            <v>309526</v>
          </cell>
          <cell r="L588">
            <v>279213</v>
          </cell>
          <cell r="M588">
            <v>251886</v>
          </cell>
          <cell r="N588">
            <v>225048</v>
          </cell>
          <cell r="O588">
            <v>346901</v>
          </cell>
          <cell r="P588">
            <v>521051</v>
          </cell>
          <cell r="Q588">
            <v>466397</v>
          </cell>
          <cell r="R588">
            <v>412721</v>
          </cell>
          <cell r="S588">
            <v>656427</v>
          </cell>
        </row>
        <row r="589">
          <cell r="B589" t="str">
            <v>M112.3100</v>
          </cell>
          <cell r="C589" t="str">
            <v>Máy lốc tôn - công suất:</v>
          </cell>
          <cell r="E589" t="str">
            <v>-</v>
          </cell>
          <cell r="P589">
            <v>0</v>
          </cell>
          <cell r="Q589">
            <v>0</v>
          </cell>
          <cell r="R589">
            <v>0</v>
          </cell>
          <cell r="S589">
            <v>0</v>
          </cell>
        </row>
        <row r="590">
          <cell r="B590" t="str">
            <v>M112.3101</v>
          </cell>
          <cell r="C590" t="str">
            <v>5 kW</v>
          </cell>
          <cell r="D590" t="str">
            <v>kWh</v>
          </cell>
          <cell r="E590">
            <v>19577</v>
          </cell>
          <cell r="F590" t="str">
            <v>1x3/7</v>
          </cell>
          <cell r="G590">
            <v>54800</v>
          </cell>
          <cell r="H590">
            <v>241838</v>
          </cell>
          <cell r="I590">
            <v>214511</v>
          </cell>
          <cell r="J590">
            <v>187673</v>
          </cell>
          <cell r="K590">
            <v>309526</v>
          </cell>
          <cell r="L590">
            <v>308114</v>
          </cell>
          <cell r="M590">
            <v>280787</v>
          </cell>
          <cell r="N590">
            <v>253949</v>
          </cell>
          <cell r="O590">
            <v>375802</v>
          </cell>
          <cell r="P590">
            <v>549952</v>
          </cell>
          <cell r="Q590">
            <v>495298</v>
          </cell>
          <cell r="R590">
            <v>441622</v>
          </cell>
          <cell r="S590">
            <v>685328</v>
          </cell>
        </row>
        <row r="591">
          <cell r="B591" t="str">
            <v>M112.3200</v>
          </cell>
          <cell r="C591" t="str">
            <v>Máy cưa kim loại - công suất:</v>
          </cell>
          <cell r="E591" t="str">
            <v>-</v>
          </cell>
          <cell r="P591">
            <v>0</v>
          </cell>
          <cell r="Q591">
            <v>0</v>
          </cell>
          <cell r="R591">
            <v>0</v>
          </cell>
          <cell r="S591">
            <v>0</v>
          </cell>
        </row>
        <row r="592">
          <cell r="B592" t="str">
            <v>M112.3201</v>
          </cell>
          <cell r="C592" t="str">
            <v>1,7 kW</v>
          </cell>
          <cell r="D592" t="str">
            <v>kWh</v>
          </cell>
          <cell r="E592">
            <v>7831</v>
          </cell>
          <cell r="G592">
            <v>22700</v>
          </cell>
          <cell r="L592">
            <v>29642</v>
          </cell>
          <cell r="M592">
            <v>29642</v>
          </cell>
          <cell r="N592">
            <v>29642</v>
          </cell>
          <cell r="O592">
            <v>29642</v>
          </cell>
          <cell r="P592">
            <v>29642</v>
          </cell>
          <cell r="Q592">
            <v>29642</v>
          </cell>
          <cell r="R592">
            <v>29642</v>
          </cell>
          <cell r="S592">
            <v>29642</v>
          </cell>
        </row>
        <row r="593">
          <cell r="B593" t="str">
            <v>M112.3202</v>
          </cell>
          <cell r="C593" t="str">
            <v>2,7 kW</v>
          </cell>
          <cell r="D593" t="str">
            <v>kWh</v>
          </cell>
          <cell r="E593">
            <v>11746</v>
          </cell>
          <cell r="G593">
            <v>27300</v>
          </cell>
          <cell r="L593">
            <v>37978</v>
          </cell>
          <cell r="M593">
            <v>37978</v>
          </cell>
          <cell r="N593">
            <v>37978</v>
          </cell>
          <cell r="O593">
            <v>37978</v>
          </cell>
          <cell r="P593">
            <v>37978</v>
          </cell>
          <cell r="Q593">
            <v>37978</v>
          </cell>
          <cell r="R593">
            <v>37978</v>
          </cell>
          <cell r="S593">
            <v>37978</v>
          </cell>
        </row>
        <row r="594">
          <cell r="B594" t="str">
            <v>M112.3300</v>
          </cell>
          <cell r="C594" t="str">
            <v>Máy tiện - công suất:</v>
          </cell>
          <cell r="E594" t="str">
            <v>-</v>
          </cell>
          <cell r="P594">
            <v>0</v>
          </cell>
          <cell r="Q594">
            <v>0</v>
          </cell>
          <cell r="R594">
            <v>0</v>
          </cell>
          <cell r="S594">
            <v>0</v>
          </cell>
        </row>
        <row r="595">
          <cell r="B595" t="str">
            <v>M112.3301</v>
          </cell>
          <cell r="C595" t="str">
            <v>10 kW</v>
          </cell>
          <cell r="D595" t="str">
            <v>kWh</v>
          </cell>
          <cell r="E595">
            <v>37196</v>
          </cell>
          <cell r="F595" t="str">
            <v>1x3/7</v>
          </cell>
          <cell r="G595">
            <v>111400</v>
          </cell>
          <cell r="H595">
            <v>241838</v>
          </cell>
          <cell r="I595">
            <v>214511</v>
          </cell>
          <cell r="J595">
            <v>187673</v>
          </cell>
          <cell r="K595">
            <v>309526</v>
          </cell>
          <cell r="L595">
            <v>379294</v>
          </cell>
          <cell r="M595">
            <v>351967</v>
          </cell>
          <cell r="N595">
            <v>325129</v>
          </cell>
          <cell r="O595">
            <v>446982</v>
          </cell>
          <cell r="P595">
            <v>621132</v>
          </cell>
          <cell r="Q595">
            <v>566478</v>
          </cell>
          <cell r="R595">
            <v>512802</v>
          </cell>
          <cell r="S595">
            <v>756508</v>
          </cell>
        </row>
        <row r="596">
          <cell r="B596" t="str">
            <v>M112.3400</v>
          </cell>
          <cell r="C596" t="str">
            <v>Máy bào thép - công suất:</v>
          </cell>
          <cell r="E596" t="str">
            <v>-</v>
          </cell>
          <cell r="P596">
            <v>0</v>
          </cell>
          <cell r="Q596">
            <v>0</v>
          </cell>
          <cell r="R596">
            <v>0</v>
          </cell>
          <cell r="S596">
            <v>0</v>
          </cell>
        </row>
        <row r="597">
          <cell r="B597" t="str">
            <v>M112.3401</v>
          </cell>
          <cell r="C597" t="str">
            <v>7,5 kW</v>
          </cell>
          <cell r="D597" t="str">
            <v>kWh</v>
          </cell>
          <cell r="E597">
            <v>31323</v>
          </cell>
          <cell r="F597" t="str">
            <v>1x3/7</v>
          </cell>
          <cell r="G597">
            <v>72900</v>
          </cell>
          <cell r="H597">
            <v>241838</v>
          </cell>
          <cell r="I597">
            <v>214511</v>
          </cell>
          <cell r="J597">
            <v>187673</v>
          </cell>
          <cell r="K597">
            <v>309526</v>
          </cell>
          <cell r="L597">
            <v>338771</v>
          </cell>
          <cell r="M597">
            <v>311444</v>
          </cell>
          <cell r="N597">
            <v>284606</v>
          </cell>
          <cell r="O597">
            <v>406459</v>
          </cell>
          <cell r="P597">
            <v>580609</v>
          </cell>
          <cell r="Q597">
            <v>525955</v>
          </cell>
          <cell r="R597">
            <v>472279</v>
          </cell>
          <cell r="S597">
            <v>715985</v>
          </cell>
        </row>
        <row r="598">
          <cell r="B598" t="str">
            <v>M112.3500</v>
          </cell>
          <cell r="C598" t="str">
            <v>Máy phay - công suất:</v>
          </cell>
          <cell r="E598" t="str">
            <v>-</v>
          </cell>
          <cell r="P598">
            <v>0</v>
          </cell>
          <cell r="Q598">
            <v>0</v>
          </cell>
          <cell r="R598">
            <v>0</v>
          </cell>
          <cell r="S598">
            <v>0</v>
          </cell>
        </row>
        <row r="599">
          <cell r="B599" t="str">
            <v>M112.3501</v>
          </cell>
          <cell r="C599" t="str">
            <v>7 kW</v>
          </cell>
          <cell r="D599" t="str">
            <v>kWh</v>
          </cell>
          <cell r="E599">
            <v>29365</v>
          </cell>
          <cell r="F599" t="str">
            <v>1x3/7</v>
          </cell>
          <cell r="G599">
            <v>89100</v>
          </cell>
          <cell r="H599">
            <v>241838</v>
          </cell>
          <cell r="I599">
            <v>214511</v>
          </cell>
          <cell r="J599">
            <v>187673</v>
          </cell>
          <cell r="K599">
            <v>309526</v>
          </cell>
          <cell r="L599">
            <v>351393</v>
          </cell>
          <cell r="M599">
            <v>324066</v>
          </cell>
          <cell r="N599">
            <v>297228</v>
          </cell>
          <cell r="O599">
            <v>419081</v>
          </cell>
          <cell r="P599">
            <v>593231</v>
          </cell>
          <cell r="Q599">
            <v>538577</v>
          </cell>
          <cell r="R599">
            <v>484901</v>
          </cell>
          <cell r="S599">
            <v>728607</v>
          </cell>
        </row>
        <row r="600">
          <cell r="B600" t="str">
            <v>M112.3600</v>
          </cell>
          <cell r="C600" t="str">
            <v>Máy ghép mí - công suất:</v>
          </cell>
          <cell r="E600" t="str">
            <v>-</v>
          </cell>
          <cell r="P600">
            <v>0</v>
          </cell>
          <cell r="Q600">
            <v>0</v>
          </cell>
          <cell r="R600">
            <v>0</v>
          </cell>
          <cell r="S600">
            <v>0</v>
          </cell>
        </row>
        <row r="601">
          <cell r="B601" t="str">
            <v>M112.3601</v>
          </cell>
          <cell r="C601" t="str">
            <v>1,1 kW</v>
          </cell>
          <cell r="D601" t="str">
            <v>kWh</v>
          </cell>
          <cell r="E601">
            <v>3915</v>
          </cell>
          <cell r="F601" t="str">
            <v>1x3/7</v>
          </cell>
          <cell r="G601">
            <v>6100</v>
          </cell>
          <cell r="H601">
            <v>241838</v>
          </cell>
          <cell r="I601">
            <v>214511</v>
          </cell>
          <cell r="J601">
            <v>187673</v>
          </cell>
          <cell r="K601">
            <v>309526</v>
          </cell>
          <cell r="L601">
            <v>251881</v>
          </cell>
          <cell r="M601">
            <v>224554</v>
          </cell>
          <cell r="N601">
            <v>197716</v>
          </cell>
          <cell r="O601">
            <v>319569</v>
          </cell>
          <cell r="P601">
            <v>493719</v>
          </cell>
          <cell r="Q601">
            <v>439065</v>
          </cell>
          <cell r="R601">
            <v>385389</v>
          </cell>
          <cell r="S601">
            <v>629095</v>
          </cell>
        </row>
        <row r="602">
          <cell r="B602" t="str">
            <v>M112.3700</v>
          </cell>
          <cell r="C602" t="str">
            <v>Máy mài - công suất:</v>
          </cell>
          <cell r="E602" t="str">
            <v>-</v>
          </cell>
          <cell r="P602">
            <v>0</v>
          </cell>
          <cell r="Q602">
            <v>0</v>
          </cell>
          <cell r="R602">
            <v>0</v>
          </cell>
          <cell r="S602">
            <v>0</v>
          </cell>
        </row>
        <row r="603">
          <cell r="B603" t="str">
            <v>M112.3701</v>
          </cell>
          <cell r="C603" t="str">
            <v>1,0 kW</v>
          </cell>
          <cell r="D603" t="str">
            <v>kWh</v>
          </cell>
          <cell r="E603">
            <v>3915</v>
          </cell>
          <cell r="G603">
            <v>3500</v>
          </cell>
          <cell r="L603">
            <v>7559</v>
          </cell>
          <cell r="M603">
            <v>7559</v>
          </cell>
          <cell r="N603">
            <v>7559</v>
          </cell>
          <cell r="O603">
            <v>7559</v>
          </cell>
          <cell r="P603">
            <v>7559</v>
          </cell>
          <cell r="Q603">
            <v>7559</v>
          </cell>
          <cell r="R603">
            <v>7559</v>
          </cell>
          <cell r="S603">
            <v>7559</v>
          </cell>
        </row>
        <row r="604">
          <cell r="B604" t="str">
            <v>M112.3702</v>
          </cell>
          <cell r="C604" t="str">
            <v>1,7 kW</v>
          </cell>
          <cell r="D604" t="str">
            <v>kWh</v>
          </cell>
          <cell r="E604">
            <v>5873</v>
          </cell>
          <cell r="G604">
            <v>7400</v>
          </cell>
          <cell r="L604">
            <v>13576</v>
          </cell>
          <cell r="M604">
            <v>13576</v>
          </cell>
          <cell r="N604">
            <v>13576</v>
          </cell>
          <cell r="O604">
            <v>13576</v>
          </cell>
          <cell r="P604">
            <v>13576</v>
          </cell>
          <cell r="Q604">
            <v>13576</v>
          </cell>
          <cell r="R604">
            <v>13576</v>
          </cell>
          <cell r="S604">
            <v>13576</v>
          </cell>
        </row>
        <row r="605">
          <cell r="B605" t="str">
            <v>M112.3703</v>
          </cell>
          <cell r="C605" t="str">
            <v>2,7 kW</v>
          </cell>
          <cell r="D605" t="str">
            <v>kWh</v>
          </cell>
          <cell r="E605">
            <v>7831</v>
          </cell>
          <cell r="G605">
            <v>11200</v>
          </cell>
          <cell r="L605">
            <v>18982</v>
          </cell>
          <cell r="M605">
            <v>18982</v>
          </cell>
          <cell r="N605">
            <v>18982</v>
          </cell>
          <cell r="O605">
            <v>18982</v>
          </cell>
          <cell r="P605">
            <v>18982</v>
          </cell>
          <cell r="Q605">
            <v>18982</v>
          </cell>
          <cell r="R605">
            <v>18982</v>
          </cell>
          <cell r="S605">
            <v>18982</v>
          </cell>
        </row>
        <row r="606">
          <cell r="B606" t="str">
            <v>M112.3800</v>
          </cell>
          <cell r="C606" t="str">
            <v>Máy cưa gỗ cầm tay - công</v>
          </cell>
          <cell r="E606" t="str">
            <v>-</v>
          </cell>
          <cell r="P606">
            <v>0</v>
          </cell>
          <cell r="Q606">
            <v>0</v>
          </cell>
          <cell r="R606">
            <v>0</v>
          </cell>
          <cell r="S606">
            <v>0</v>
          </cell>
        </row>
        <row r="607">
          <cell r="B607" t="str">
            <v>M112.3801</v>
          </cell>
          <cell r="C607" t="str">
            <v>1,3 kW</v>
          </cell>
          <cell r="D607" t="str">
            <v>kWh</v>
          </cell>
          <cell r="E607">
            <v>5873</v>
          </cell>
          <cell r="G607">
            <v>7600</v>
          </cell>
          <cell r="L607">
            <v>24662</v>
          </cell>
          <cell r="M607">
            <v>24662</v>
          </cell>
          <cell r="N607">
            <v>24662</v>
          </cell>
          <cell r="O607">
            <v>24662</v>
          </cell>
          <cell r="P607">
            <v>24662</v>
          </cell>
          <cell r="Q607">
            <v>24662</v>
          </cell>
          <cell r="R607">
            <v>24662</v>
          </cell>
          <cell r="S607">
            <v>24662</v>
          </cell>
        </row>
        <row r="608">
          <cell r="B608" t="str">
            <v>M112.3900</v>
          </cell>
          <cell r="C608" t="str">
            <v>Máy hàn một chiều - công suất:</v>
          </cell>
          <cell r="E608" t="str">
            <v>-</v>
          </cell>
          <cell r="P608">
            <v>0</v>
          </cell>
          <cell r="Q608">
            <v>0</v>
          </cell>
          <cell r="R608">
            <v>0</v>
          </cell>
          <cell r="S608">
            <v>0</v>
          </cell>
        </row>
        <row r="609">
          <cell r="B609" t="str">
            <v>M112.3901</v>
          </cell>
          <cell r="C609" t="str">
            <v>50 kW</v>
          </cell>
          <cell r="D609" t="str">
            <v>kWh</v>
          </cell>
          <cell r="E609">
            <v>205555</v>
          </cell>
          <cell r="F609" t="str">
            <v>1x4/7</v>
          </cell>
          <cell r="G609">
            <v>2600</v>
          </cell>
          <cell r="H609">
            <v>287074</v>
          </cell>
          <cell r="I609">
            <v>254635</v>
          </cell>
          <cell r="J609">
            <v>222777</v>
          </cell>
          <cell r="K609">
            <v>367424</v>
          </cell>
          <cell r="L609">
            <v>536179</v>
          </cell>
          <cell r="M609">
            <v>503740</v>
          </cell>
          <cell r="N609">
            <v>471882</v>
          </cell>
          <cell r="O609">
            <v>616529</v>
          </cell>
          <cell r="P609">
            <v>823253</v>
          </cell>
          <cell r="Q609">
            <v>758375</v>
          </cell>
          <cell r="R609">
            <v>694659</v>
          </cell>
          <cell r="S609">
            <v>983953</v>
          </cell>
        </row>
        <row r="610">
          <cell r="B610" t="str">
            <v>M112.4000</v>
          </cell>
          <cell r="C610" t="str">
            <v>Máy hàn xoay chiều - công</v>
          </cell>
          <cell r="E610" t="str">
            <v>-</v>
          </cell>
          <cell r="P610">
            <v>0</v>
          </cell>
          <cell r="Q610">
            <v>0</v>
          </cell>
          <cell r="R610">
            <v>0</v>
          </cell>
          <cell r="S610">
            <v>0</v>
          </cell>
        </row>
        <row r="611">
          <cell r="B611" t="str">
            <v>M112.4001</v>
          </cell>
          <cell r="C611" t="str">
            <v>7 kW</v>
          </cell>
          <cell r="D611" t="str">
            <v>kWh</v>
          </cell>
          <cell r="E611">
            <v>29365</v>
          </cell>
          <cell r="F611" t="str">
            <v>1x4/7</v>
          </cell>
          <cell r="G611">
            <v>4300</v>
          </cell>
          <cell r="H611">
            <v>287074</v>
          </cell>
          <cell r="I611">
            <v>254635</v>
          </cell>
          <cell r="J611">
            <v>222777</v>
          </cell>
          <cell r="K611">
            <v>367424</v>
          </cell>
          <cell r="L611">
            <v>323061</v>
          </cell>
          <cell r="M611">
            <v>290622</v>
          </cell>
          <cell r="N611">
            <v>258764</v>
          </cell>
          <cell r="O611">
            <v>403411</v>
          </cell>
          <cell r="P611">
            <v>610135</v>
          </cell>
          <cell r="Q611">
            <v>545257</v>
          </cell>
          <cell r="R611">
            <v>481541</v>
          </cell>
          <cell r="S611">
            <v>770835</v>
          </cell>
        </row>
        <row r="612">
          <cell r="B612" t="str">
            <v>M112.4002</v>
          </cell>
          <cell r="C612" t="str">
            <v>14 kW ÷ 15 kW</v>
          </cell>
          <cell r="D612" t="str">
            <v>kWh</v>
          </cell>
          <cell r="E612">
            <v>56772</v>
          </cell>
          <cell r="F612" t="str">
            <v>1x4/7</v>
          </cell>
          <cell r="G612">
            <v>8600</v>
          </cell>
          <cell r="H612">
            <v>287074</v>
          </cell>
          <cell r="I612">
            <v>254635</v>
          </cell>
          <cell r="J612">
            <v>222777</v>
          </cell>
          <cell r="K612">
            <v>367424</v>
          </cell>
          <cell r="L612">
            <v>357090</v>
          </cell>
          <cell r="M612">
            <v>324651</v>
          </cell>
          <cell r="N612">
            <v>292793</v>
          </cell>
          <cell r="O612">
            <v>437440</v>
          </cell>
          <cell r="P612">
            <v>644164</v>
          </cell>
          <cell r="Q612">
            <v>579286</v>
          </cell>
          <cell r="R612">
            <v>515570</v>
          </cell>
          <cell r="S612">
            <v>804864</v>
          </cell>
        </row>
        <row r="613">
          <cell r="B613" t="str">
            <v>M112.4003</v>
          </cell>
          <cell r="C613" t="str">
            <v>23 kW</v>
          </cell>
          <cell r="D613" t="str">
            <v>kWh</v>
          </cell>
          <cell r="E613">
            <v>93968</v>
          </cell>
          <cell r="F613" t="str">
            <v>1x4/7</v>
          </cell>
          <cell r="G613">
            <v>16000</v>
          </cell>
          <cell r="H613">
            <v>287074</v>
          </cell>
          <cell r="I613">
            <v>254635</v>
          </cell>
          <cell r="J613">
            <v>222777</v>
          </cell>
          <cell r="K613">
            <v>367424</v>
          </cell>
          <cell r="L613">
            <v>405682</v>
          </cell>
          <cell r="M613">
            <v>373243</v>
          </cell>
          <cell r="N613">
            <v>341385</v>
          </cell>
          <cell r="O613">
            <v>486032</v>
          </cell>
          <cell r="P613">
            <v>692756</v>
          </cell>
          <cell r="Q613">
            <v>627878</v>
          </cell>
          <cell r="R613">
            <v>564162</v>
          </cell>
          <cell r="S613">
            <v>853456</v>
          </cell>
        </row>
        <row r="614">
          <cell r="B614" t="str">
            <v>M112.4100</v>
          </cell>
          <cell r="C614" t="str">
            <v>Máy hàn hơi - công suất:</v>
          </cell>
          <cell r="E614" t="str">
            <v>-</v>
          </cell>
          <cell r="P614">
            <v>0</v>
          </cell>
          <cell r="Q614">
            <v>0</v>
          </cell>
          <cell r="R614">
            <v>0</v>
          </cell>
          <cell r="S614">
            <v>0</v>
          </cell>
        </row>
        <row r="615">
          <cell r="B615" t="str">
            <v>M112.4101</v>
          </cell>
          <cell r="C615" t="str">
            <v>1000 l/h</v>
          </cell>
          <cell r="E615" t="str">
            <v>-</v>
          </cell>
          <cell r="F615" t="str">
            <v>1x4/7</v>
          </cell>
          <cell r="G615">
            <v>3400</v>
          </cell>
          <cell r="H615">
            <v>287074</v>
          </cell>
          <cell r="I615">
            <v>254635</v>
          </cell>
          <cell r="J615">
            <v>222777</v>
          </cell>
          <cell r="K615">
            <v>367424</v>
          </cell>
          <cell r="L615">
            <v>293619</v>
          </cell>
          <cell r="M615">
            <v>261180</v>
          </cell>
          <cell r="N615">
            <v>229322</v>
          </cell>
          <cell r="O615">
            <v>373969</v>
          </cell>
          <cell r="P615">
            <v>580693</v>
          </cell>
          <cell r="Q615">
            <v>515815</v>
          </cell>
          <cell r="R615">
            <v>452099</v>
          </cell>
          <cell r="S615">
            <v>741393</v>
          </cell>
        </row>
        <row r="616">
          <cell r="B616" t="str">
            <v>M112.4102</v>
          </cell>
          <cell r="C616" t="str">
            <v>2000 l/h</v>
          </cell>
          <cell r="E616" t="str">
            <v>-</v>
          </cell>
          <cell r="F616" t="str">
            <v>1x4/7</v>
          </cell>
          <cell r="G616">
            <v>5200</v>
          </cell>
          <cell r="H616">
            <v>287074</v>
          </cell>
          <cell r="I616">
            <v>254635</v>
          </cell>
          <cell r="J616">
            <v>222777</v>
          </cell>
          <cell r="K616">
            <v>367424</v>
          </cell>
          <cell r="L616">
            <v>297084</v>
          </cell>
          <cell r="M616">
            <v>264645</v>
          </cell>
          <cell r="N616">
            <v>232787</v>
          </cell>
          <cell r="O616">
            <v>377434</v>
          </cell>
          <cell r="P616">
            <v>584158</v>
          </cell>
          <cell r="Q616">
            <v>519280</v>
          </cell>
          <cell r="R616">
            <v>455564</v>
          </cell>
          <cell r="S616">
            <v>744858</v>
          </cell>
        </row>
        <row r="617">
          <cell r="B617" t="str">
            <v>M112.4201</v>
          </cell>
          <cell r="C617" t="str">
            <v>Máy hàn cắt dưới nước</v>
          </cell>
          <cell r="E617" t="str">
            <v>-</v>
          </cell>
          <cell r="F617" t="str">
            <v>2 thợ lặn (1/4 + 2/4)</v>
          </cell>
          <cell r="G617">
            <v>106900</v>
          </cell>
          <cell r="H617">
            <v>1183636</v>
          </cell>
          <cell r="I617">
            <v>1088182</v>
          </cell>
          <cell r="J617">
            <v>1019455</v>
          </cell>
          <cell r="K617">
            <v>1344764</v>
          </cell>
          <cell r="L617">
            <v>1586293</v>
          </cell>
          <cell r="M617">
            <v>1490839</v>
          </cell>
          <cell r="N617">
            <v>1422112</v>
          </cell>
          <cell r="O617">
            <v>1747421</v>
          </cell>
          <cell r="P617">
            <v>2769929</v>
          </cell>
          <cell r="Q617">
            <v>2579021</v>
          </cell>
          <cell r="R617">
            <v>2441567</v>
          </cell>
          <cell r="S617">
            <v>3092185</v>
          </cell>
        </row>
        <row r="618">
          <cell r="B618" t="str">
            <v>M112.4300</v>
          </cell>
          <cell r="C618" t="str">
            <v>Máy hàn nối ống nhựa:</v>
          </cell>
          <cell r="E618" t="str">
            <v>-</v>
          </cell>
          <cell r="P618">
            <v>0</v>
          </cell>
          <cell r="Q618">
            <v>0</v>
          </cell>
          <cell r="R618">
            <v>0</v>
          </cell>
          <cell r="S618">
            <v>0</v>
          </cell>
        </row>
        <row r="619">
          <cell r="B619" t="str">
            <v>M112.4301</v>
          </cell>
          <cell r="C619" t="str">
            <v>Máy hàn nhiệt cầm tay</v>
          </cell>
          <cell r="D619" t="str">
            <v>kWh</v>
          </cell>
          <cell r="E619">
            <v>11746</v>
          </cell>
          <cell r="G619">
            <v>1532</v>
          </cell>
          <cell r="L619">
            <v>14235</v>
          </cell>
          <cell r="M619">
            <v>14235</v>
          </cell>
          <cell r="N619">
            <v>14235</v>
          </cell>
          <cell r="O619">
            <v>14235</v>
          </cell>
          <cell r="P619">
            <v>14235</v>
          </cell>
          <cell r="Q619">
            <v>14235</v>
          </cell>
          <cell r="R619">
            <v>14235</v>
          </cell>
          <cell r="S619">
            <v>14235</v>
          </cell>
        </row>
        <row r="620">
          <cell r="B620" t="str">
            <v>M112.4302</v>
          </cell>
          <cell r="C620" t="str">
            <v>Máy gia nhiệt D315mm</v>
          </cell>
          <cell r="D620" t="str">
            <v>kWh</v>
          </cell>
          <cell r="E620">
            <v>15661</v>
          </cell>
          <cell r="F620" t="str">
            <v>1x4/7</v>
          </cell>
          <cell r="G620">
            <v>50000</v>
          </cell>
          <cell r="H620">
            <v>287074</v>
          </cell>
          <cell r="I620">
            <v>254635</v>
          </cell>
          <cell r="J620">
            <v>222777</v>
          </cell>
          <cell r="K620">
            <v>367424</v>
          </cell>
          <cell r="L620">
            <v>378735</v>
          </cell>
          <cell r="M620">
            <v>346296</v>
          </cell>
          <cell r="N620">
            <v>314438</v>
          </cell>
          <cell r="O620">
            <v>459085</v>
          </cell>
          <cell r="P620">
            <v>665809</v>
          </cell>
          <cell r="Q620">
            <v>600931</v>
          </cell>
          <cell r="R620">
            <v>537215</v>
          </cell>
          <cell r="S620">
            <v>826509</v>
          </cell>
        </row>
        <row r="621">
          <cell r="B621" t="str">
            <v>M112.4303</v>
          </cell>
          <cell r="C621" t="str">
            <v>Máy gia nhiệt D630mm</v>
          </cell>
          <cell r="D621" t="str">
            <v>kWh</v>
          </cell>
          <cell r="E621">
            <v>23492</v>
          </cell>
          <cell r="F621" t="str">
            <v>1x4/7</v>
          </cell>
          <cell r="G621">
            <v>122727</v>
          </cell>
          <cell r="H621">
            <v>287074</v>
          </cell>
          <cell r="I621">
            <v>254635</v>
          </cell>
          <cell r="J621">
            <v>222777</v>
          </cell>
          <cell r="K621">
            <v>367424</v>
          </cell>
          <cell r="L621">
            <v>497111</v>
          </cell>
          <cell r="M621">
            <v>464672</v>
          </cell>
          <cell r="N621">
            <v>432814</v>
          </cell>
          <cell r="O621">
            <v>577461</v>
          </cell>
          <cell r="P621">
            <v>784185</v>
          </cell>
          <cell r="Q621">
            <v>719307</v>
          </cell>
          <cell r="R621">
            <v>655591</v>
          </cell>
          <cell r="S621">
            <v>944885</v>
          </cell>
        </row>
        <row r="622">
          <cell r="B622" t="str">
            <v>M112.4304</v>
          </cell>
          <cell r="C622" t="str">
            <v>Máy gia nhiệt D1200mm</v>
          </cell>
          <cell r="D622" t="str">
            <v>kWh</v>
          </cell>
          <cell r="E622">
            <v>35238</v>
          </cell>
          <cell r="F622" t="str">
            <v>1x4/7</v>
          </cell>
          <cell r="G622">
            <v>170909</v>
          </cell>
          <cell r="H622">
            <v>287074</v>
          </cell>
          <cell r="I622">
            <v>254635</v>
          </cell>
          <cell r="J622">
            <v>222777</v>
          </cell>
          <cell r="K622">
            <v>367424</v>
          </cell>
          <cell r="L622">
            <v>582094</v>
          </cell>
          <cell r="M622">
            <v>549655</v>
          </cell>
          <cell r="N622">
            <v>517797</v>
          </cell>
          <cell r="O622">
            <v>662444</v>
          </cell>
          <cell r="P622">
            <v>869168</v>
          </cell>
          <cell r="Q622">
            <v>804290</v>
          </cell>
          <cell r="R622">
            <v>740574</v>
          </cell>
          <cell r="S622">
            <v>1029868</v>
          </cell>
        </row>
        <row r="623">
          <cell r="B623" t="str">
            <v>M112.4400</v>
          </cell>
          <cell r="C623" t="str">
            <v>Máy quạt gió - công suất:</v>
          </cell>
          <cell r="E623" t="str">
            <v>-</v>
          </cell>
          <cell r="P623">
            <v>0</v>
          </cell>
          <cell r="Q623">
            <v>0</v>
          </cell>
          <cell r="R623">
            <v>0</v>
          </cell>
          <cell r="S623">
            <v>0</v>
          </cell>
        </row>
        <row r="624">
          <cell r="B624" t="str">
            <v>M112.4401</v>
          </cell>
          <cell r="C624" t="str">
            <v>2,5 kW</v>
          </cell>
          <cell r="D624" t="str">
            <v>kWh</v>
          </cell>
          <cell r="E624">
            <v>31323</v>
          </cell>
          <cell r="G624">
            <v>3600</v>
          </cell>
          <cell r="L624">
            <v>37105</v>
          </cell>
          <cell r="M624">
            <v>37105</v>
          </cell>
          <cell r="N624">
            <v>37105</v>
          </cell>
          <cell r="O624">
            <v>37105</v>
          </cell>
          <cell r="P624">
            <v>37105</v>
          </cell>
          <cell r="Q624">
            <v>37105</v>
          </cell>
          <cell r="R624">
            <v>37105</v>
          </cell>
          <cell r="S624">
            <v>37105</v>
          </cell>
        </row>
        <row r="625">
          <cell r="B625" t="str">
            <v>M112.4402</v>
          </cell>
          <cell r="C625" t="str">
            <v>4,5 kW</v>
          </cell>
          <cell r="D625" t="str">
            <v>kWh</v>
          </cell>
          <cell r="E625">
            <v>56772</v>
          </cell>
          <cell r="G625">
            <v>7900</v>
          </cell>
          <cell r="L625">
            <v>69462</v>
          </cell>
          <cell r="M625">
            <v>69462</v>
          </cell>
          <cell r="N625">
            <v>69462</v>
          </cell>
          <cell r="O625">
            <v>69462</v>
          </cell>
          <cell r="P625">
            <v>69462</v>
          </cell>
          <cell r="Q625">
            <v>69462</v>
          </cell>
          <cell r="R625">
            <v>69462</v>
          </cell>
          <cell r="S625">
            <v>69462</v>
          </cell>
        </row>
        <row r="626">
          <cell r="B626" t="str">
            <v>M112.4500</v>
          </cell>
          <cell r="C626" t="str">
            <v>Máy khoan khoan đập cáp - công suất:</v>
          </cell>
          <cell r="E626" t="str">
            <v>-</v>
          </cell>
          <cell r="P626">
            <v>0</v>
          </cell>
          <cell r="Q626">
            <v>0</v>
          </cell>
          <cell r="R626">
            <v>0</v>
          </cell>
          <cell r="S626">
            <v>0</v>
          </cell>
        </row>
        <row r="627">
          <cell r="B627" t="str">
            <v>M112.4501</v>
          </cell>
          <cell r="C627" t="str">
            <v>40 kW</v>
          </cell>
          <cell r="D627" t="str">
            <v>kWh</v>
          </cell>
          <cell r="E627">
            <v>281903</v>
          </cell>
          <cell r="F627" t="str">
            <v>1x4/7</v>
          </cell>
          <cell r="G627">
            <v>630000</v>
          </cell>
          <cell r="H627">
            <v>287074</v>
          </cell>
          <cell r="I627">
            <v>254635</v>
          </cell>
          <cell r="J627">
            <v>222777</v>
          </cell>
          <cell r="K627">
            <v>367424</v>
          </cell>
          <cell r="L627">
            <v>1324977</v>
          </cell>
          <cell r="M627">
            <v>1292538</v>
          </cell>
          <cell r="N627">
            <v>1260680</v>
          </cell>
          <cell r="O627">
            <v>1405327</v>
          </cell>
          <cell r="P627">
            <v>1612051</v>
          </cell>
          <cell r="Q627">
            <v>1547173</v>
          </cell>
          <cell r="R627">
            <v>1483457</v>
          </cell>
          <cell r="S627">
            <v>1772751</v>
          </cell>
        </row>
        <row r="628">
          <cell r="B628" t="str">
            <v>M112.4600</v>
          </cell>
          <cell r="C628" t="str">
            <v>Máy khoan xoay - công suất:</v>
          </cell>
          <cell r="E628" t="str">
            <v>-</v>
          </cell>
          <cell r="P628">
            <v>0</v>
          </cell>
          <cell r="Q628">
            <v>0</v>
          </cell>
          <cell r="R628">
            <v>0</v>
          </cell>
          <cell r="S628">
            <v>0</v>
          </cell>
        </row>
        <row r="629">
          <cell r="B629" t="str">
            <v>M112.4601</v>
          </cell>
          <cell r="C629" t="str">
            <v>54 cv</v>
          </cell>
          <cell r="D629" t="str">
            <v>lít diezel</v>
          </cell>
          <cell r="E629">
            <v>285010</v>
          </cell>
          <cell r="F629" t="str">
            <v>1x4/7</v>
          </cell>
          <cell r="G629">
            <v>1117200</v>
          </cell>
          <cell r="H629">
            <v>287074</v>
          </cell>
          <cell r="I629">
            <v>254635</v>
          </cell>
          <cell r="J629">
            <v>222777</v>
          </cell>
          <cell r="K629">
            <v>367424</v>
          </cell>
          <cell r="L629">
            <v>1742716</v>
          </cell>
          <cell r="M629">
            <v>1710277</v>
          </cell>
          <cell r="N629">
            <v>1678419</v>
          </cell>
          <cell r="O629">
            <v>1823066</v>
          </cell>
          <cell r="P629">
            <v>2029790</v>
          </cell>
          <cell r="Q629">
            <v>1964912</v>
          </cell>
          <cell r="R629">
            <v>1901196</v>
          </cell>
          <cell r="S629">
            <v>2190490</v>
          </cell>
        </row>
        <row r="630">
          <cell r="B630" t="str">
            <v>M112.4602</v>
          </cell>
          <cell r="C630" t="str">
            <v>300 cv</v>
          </cell>
          <cell r="D630" t="str">
            <v>lít diezel</v>
          </cell>
          <cell r="E630">
            <v>1455053</v>
          </cell>
          <cell r="F630" t="str">
            <v>1x6/7</v>
          </cell>
          <cell r="G630">
            <v>7036900</v>
          </cell>
          <cell r="H630">
            <v>400164</v>
          </cell>
          <cell r="I630">
            <v>354946</v>
          </cell>
          <cell r="J630">
            <v>310538</v>
          </cell>
          <cell r="K630">
            <v>512166</v>
          </cell>
          <cell r="L630">
            <v>8157832</v>
          </cell>
          <cell r="M630">
            <v>8112614</v>
          </cell>
          <cell r="N630">
            <v>8068206</v>
          </cell>
          <cell r="O630">
            <v>8269834</v>
          </cell>
          <cell r="P630">
            <v>8557996</v>
          </cell>
          <cell r="Q630">
            <v>8467560</v>
          </cell>
          <cell r="R630">
            <v>8378744</v>
          </cell>
          <cell r="S630">
            <v>8782000</v>
          </cell>
        </row>
        <row r="631">
          <cell r="B631" t="str">
            <v>M112.4700</v>
          </cell>
          <cell r="C631" t="str">
            <v>Bộ kích chuyên dùng</v>
          </cell>
          <cell r="E631" t="str">
            <v>-</v>
          </cell>
          <cell r="P631">
            <v>0</v>
          </cell>
          <cell r="Q631">
            <v>0</v>
          </cell>
          <cell r="R631">
            <v>0</v>
          </cell>
          <cell r="S631">
            <v>0</v>
          </cell>
        </row>
        <row r="632">
          <cell r="B632" t="str">
            <v>M112.4701</v>
          </cell>
          <cell r="C632" t="str">
            <v>Bộ thiết bị trượt (60 kích loại 6 t)</v>
          </cell>
          <cell r="D632" t="str">
            <v>kWh</v>
          </cell>
          <cell r="E632">
            <v>127248</v>
          </cell>
          <cell r="F632" t="str">
            <v>1x4/7+1x7/7</v>
          </cell>
          <cell r="G632">
            <v>550300</v>
          </cell>
          <cell r="H632">
            <v>758571</v>
          </cell>
          <cell r="I632">
            <v>672854</v>
          </cell>
          <cell r="J632">
            <v>588672</v>
          </cell>
          <cell r="K632">
            <v>970889</v>
          </cell>
          <cell r="L632">
            <v>1592955</v>
          </cell>
          <cell r="M632">
            <v>1507238</v>
          </cell>
          <cell r="N632">
            <v>1423056</v>
          </cell>
          <cell r="O632">
            <v>1805273</v>
          </cell>
          <cell r="P632">
            <v>2351526</v>
          </cell>
          <cell r="Q632">
            <v>2180092</v>
          </cell>
          <cell r="R632">
            <v>2011728</v>
          </cell>
          <cell r="S632">
            <v>2776162</v>
          </cell>
        </row>
        <row r="633">
          <cell r="B633" t="str">
            <v>M112.4702</v>
          </cell>
          <cell r="C633" t="str">
            <v>Bộ kích lắp dựng, tháo dỡ ván khuôn 50-60 t</v>
          </cell>
          <cell r="D633" t="str">
            <v>kWh</v>
          </cell>
          <cell r="E633">
            <v>27407</v>
          </cell>
          <cell r="F633" t="str">
            <v>1x4/7</v>
          </cell>
          <cell r="G633">
            <v>91300</v>
          </cell>
          <cell r="H633">
            <v>287074</v>
          </cell>
          <cell r="I633">
            <v>254635</v>
          </cell>
          <cell r="J633">
            <v>222777</v>
          </cell>
          <cell r="K633">
            <v>367424</v>
          </cell>
          <cell r="L633">
            <v>400760</v>
          </cell>
          <cell r="M633">
            <v>368321</v>
          </cell>
          <cell r="N633">
            <v>336463</v>
          </cell>
          <cell r="O633">
            <v>481110</v>
          </cell>
          <cell r="P633">
            <v>687834</v>
          </cell>
          <cell r="Q633">
            <v>622956</v>
          </cell>
          <cell r="R633">
            <v>559240</v>
          </cell>
          <cell r="S633">
            <v>848534</v>
          </cell>
        </row>
        <row r="634">
          <cell r="B634" t="str">
            <v>M112.4800</v>
          </cell>
          <cell r="C634" t="str">
            <v>Một số máy và thiết bị chuyên dùng</v>
          </cell>
          <cell r="E634" t="str">
            <v>-</v>
          </cell>
          <cell r="P634">
            <v>0</v>
          </cell>
          <cell r="Q634">
            <v>0</v>
          </cell>
          <cell r="R634">
            <v>0</v>
          </cell>
          <cell r="S634">
            <v>0</v>
          </cell>
        </row>
        <row r="635">
          <cell r="B635" t="str">
            <v>M112.4801</v>
          </cell>
          <cell r="C635" t="str">
            <v>Máy xiết bu lông</v>
          </cell>
          <cell r="D635" t="str">
            <v>kWh</v>
          </cell>
          <cell r="E635">
            <v>5873</v>
          </cell>
          <cell r="G635">
            <v>37900</v>
          </cell>
          <cell r="L635">
            <v>41301</v>
          </cell>
          <cell r="M635">
            <v>41301</v>
          </cell>
          <cell r="N635">
            <v>41301</v>
          </cell>
          <cell r="O635">
            <v>41301</v>
          </cell>
          <cell r="P635">
            <v>41301</v>
          </cell>
          <cell r="Q635">
            <v>41301</v>
          </cell>
          <cell r="R635">
            <v>41301</v>
          </cell>
          <cell r="S635">
            <v>41301</v>
          </cell>
        </row>
        <row r="636">
          <cell r="B636" t="str">
            <v>M112.4802</v>
          </cell>
          <cell r="C636" t="str">
            <v>Máy xóa vạch sơn, công suất</v>
          </cell>
          <cell r="D636" t="str">
            <v>lít xăng</v>
          </cell>
          <cell r="E636">
            <v>74701</v>
          </cell>
          <cell r="G636">
            <v>34166</v>
          </cell>
          <cell r="L636">
            <v>119971</v>
          </cell>
          <cell r="M636">
            <v>119971</v>
          </cell>
          <cell r="N636">
            <v>119971</v>
          </cell>
          <cell r="O636">
            <v>119971</v>
          </cell>
          <cell r="P636">
            <v>119971</v>
          </cell>
          <cell r="Q636">
            <v>119971</v>
          </cell>
          <cell r="R636">
            <v>119971</v>
          </cell>
          <cell r="S636">
            <v>119971</v>
          </cell>
        </row>
        <row r="637">
          <cell r="B637" t="str">
            <v>M112.4803</v>
          </cell>
          <cell r="C637" t="str">
            <v>Máy hiện sóng 2 tia (Oscilograf)</v>
          </cell>
          <cell r="E637" t="str">
            <v>-</v>
          </cell>
          <cell r="G637">
            <v>93480</v>
          </cell>
          <cell r="L637">
            <v>74359</v>
          </cell>
          <cell r="M637">
            <v>74359</v>
          </cell>
          <cell r="N637">
            <v>74359</v>
          </cell>
          <cell r="O637">
            <v>74359</v>
          </cell>
          <cell r="P637">
            <v>74359</v>
          </cell>
          <cell r="Q637">
            <v>74359</v>
          </cell>
          <cell r="R637">
            <v>74359</v>
          </cell>
          <cell r="S637">
            <v>74359</v>
          </cell>
        </row>
        <row r="638">
          <cell r="B638" t="str">
            <v>M112.4804</v>
          </cell>
          <cell r="C638" t="str">
            <v>Vôn mét điện tử</v>
          </cell>
          <cell r="E638" t="str">
            <v>-</v>
          </cell>
          <cell r="G638">
            <v>3400</v>
          </cell>
          <cell r="L638">
            <v>2754</v>
          </cell>
          <cell r="M638">
            <v>2754</v>
          </cell>
          <cell r="N638">
            <v>2754</v>
          </cell>
          <cell r="O638">
            <v>2754</v>
          </cell>
          <cell r="P638">
            <v>2754</v>
          </cell>
          <cell r="Q638">
            <v>2754</v>
          </cell>
          <cell r="R638">
            <v>2754</v>
          </cell>
          <cell r="S638">
            <v>2754</v>
          </cell>
        </row>
        <row r="639">
          <cell r="B639" t="str">
            <v>M112.4805</v>
          </cell>
          <cell r="C639" t="str">
            <v>Đồng hồ vạn năng</v>
          </cell>
          <cell r="E639" t="str">
            <v>-</v>
          </cell>
          <cell r="G639">
            <v>1500</v>
          </cell>
          <cell r="L639">
            <v>1215</v>
          </cell>
          <cell r="M639">
            <v>1215</v>
          </cell>
          <cell r="N639">
            <v>1215</v>
          </cell>
          <cell r="O639">
            <v>1215</v>
          </cell>
          <cell r="P639">
            <v>1215</v>
          </cell>
          <cell r="Q639">
            <v>1215</v>
          </cell>
          <cell r="R639">
            <v>1215</v>
          </cell>
          <cell r="S639">
            <v>1215</v>
          </cell>
        </row>
        <row r="640">
          <cell r="C640" t="str">
            <v>CHƯƠNG II: MÁY VÀ THIẾT BỊ CHUYÊN DÙNG KHẢO SÁT, THÍ NGHIỆM</v>
          </cell>
          <cell r="E640" t="str">
            <v>-</v>
          </cell>
          <cell r="P640">
            <v>0</v>
          </cell>
          <cell r="Q640">
            <v>0</v>
          </cell>
          <cell r="R640">
            <v>0</v>
          </cell>
          <cell r="S640">
            <v>0</v>
          </cell>
        </row>
        <row r="641">
          <cell r="B641" t="str">
            <v>M201.0000</v>
          </cell>
          <cell r="C641" t="str">
            <v>MÁY VÀ THIẾT BỊ KHẢO</v>
          </cell>
          <cell r="E641" t="str">
            <v>-</v>
          </cell>
          <cell r="P641">
            <v>0</v>
          </cell>
          <cell r="Q641">
            <v>0</v>
          </cell>
          <cell r="R641">
            <v>0</v>
          </cell>
          <cell r="S641">
            <v>0</v>
          </cell>
        </row>
        <row r="642">
          <cell r="B642" t="str">
            <v>M201.0001</v>
          </cell>
          <cell r="C642" t="str">
            <v>Bộ khoan tay</v>
          </cell>
          <cell r="E642" t="str">
            <v>-</v>
          </cell>
          <cell r="G642">
            <v>35083</v>
          </cell>
          <cell r="L642">
            <v>47752</v>
          </cell>
          <cell r="M642">
            <v>47752</v>
          </cell>
          <cell r="N642">
            <v>47752</v>
          </cell>
          <cell r="O642">
            <v>47752</v>
          </cell>
          <cell r="P642">
            <v>47752</v>
          </cell>
          <cell r="Q642">
            <v>47752</v>
          </cell>
          <cell r="R642">
            <v>47752</v>
          </cell>
          <cell r="S642">
            <v>47752</v>
          </cell>
        </row>
        <row r="643">
          <cell r="B643" t="str">
            <v>M201.0002</v>
          </cell>
          <cell r="C643" t="str">
            <v>Máy khoan XY-1A</v>
          </cell>
          <cell r="E643" t="str">
            <v>-</v>
          </cell>
          <cell r="G643">
            <v>76000</v>
          </cell>
          <cell r="L643">
            <v>80222</v>
          </cell>
          <cell r="M643">
            <v>80222</v>
          </cell>
          <cell r="N643">
            <v>80222</v>
          </cell>
          <cell r="O643">
            <v>80222</v>
          </cell>
          <cell r="P643">
            <v>80222</v>
          </cell>
          <cell r="Q643">
            <v>80222</v>
          </cell>
          <cell r="R643">
            <v>80222</v>
          </cell>
          <cell r="S643">
            <v>80222</v>
          </cell>
        </row>
        <row r="644">
          <cell r="B644" t="str">
            <v>M201.0003</v>
          </cell>
          <cell r="C644" t="str">
            <v>Máy khoan XY-3</v>
          </cell>
          <cell r="E644" t="str">
            <v>-</v>
          </cell>
          <cell r="G644">
            <v>210909</v>
          </cell>
          <cell r="L644">
            <v>222626</v>
          </cell>
          <cell r="M644">
            <v>222626</v>
          </cell>
          <cell r="N644">
            <v>222626</v>
          </cell>
          <cell r="O644">
            <v>222626</v>
          </cell>
          <cell r="P644">
            <v>222626</v>
          </cell>
          <cell r="Q644">
            <v>222626</v>
          </cell>
          <cell r="R644">
            <v>222626</v>
          </cell>
          <cell r="S644">
            <v>222626</v>
          </cell>
        </row>
        <row r="645">
          <cell r="B645" t="str">
            <v>M201.0004</v>
          </cell>
          <cell r="C645" t="str">
            <v>Máy khoan GK-250</v>
          </cell>
          <cell r="E645" t="str">
            <v>-</v>
          </cell>
          <cell r="G645">
            <v>136364</v>
          </cell>
          <cell r="L645">
            <v>143940</v>
          </cell>
          <cell r="M645">
            <v>143940</v>
          </cell>
          <cell r="N645">
            <v>143940</v>
          </cell>
          <cell r="O645">
            <v>143940</v>
          </cell>
          <cell r="P645">
            <v>143940</v>
          </cell>
          <cell r="Q645">
            <v>143940</v>
          </cell>
          <cell r="R645">
            <v>143940</v>
          </cell>
          <cell r="S645">
            <v>143940</v>
          </cell>
        </row>
        <row r="646">
          <cell r="B646" t="str">
            <v>M201.0005</v>
          </cell>
          <cell r="C646" t="str">
            <v>Bộ nén ngang GA</v>
          </cell>
          <cell r="E646" t="str">
            <v>-</v>
          </cell>
          <cell r="G646">
            <v>476947</v>
          </cell>
          <cell r="L646">
            <v>450450</v>
          </cell>
          <cell r="M646">
            <v>450450</v>
          </cell>
          <cell r="N646">
            <v>450450</v>
          </cell>
          <cell r="O646">
            <v>450450</v>
          </cell>
          <cell r="P646">
            <v>450450</v>
          </cell>
          <cell r="Q646">
            <v>450450</v>
          </cell>
          <cell r="R646">
            <v>450450</v>
          </cell>
          <cell r="S646">
            <v>450450</v>
          </cell>
        </row>
        <row r="647">
          <cell r="B647" t="str">
            <v>M201.0006</v>
          </cell>
          <cell r="C647" t="str">
            <v>Búa căn MO - 10 (chưa tính khí nén)</v>
          </cell>
          <cell r="E647" t="str">
            <v>-</v>
          </cell>
          <cell r="G647">
            <v>6363</v>
          </cell>
          <cell r="L647">
            <v>11171</v>
          </cell>
          <cell r="M647">
            <v>11171</v>
          </cell>
          <cell r="N647">
            <v>11171</v>
          </cell>
          <cell r="O647">
            <v>11171</v>
          </cell>
          <cell r="P647">
            <v>11171</v>
          </cell>
          <cell r="Q647">
            <v>11171</v>
          </cell>
          <cell r="R647">
            <v>11171</v>
          </cell>
          <cell r="S647">
            <v>11171</v>
          </cell>
        </row>
        <row r="648">
          <cell r="B648" t="str">
            <v>M201.0007</v>
          </cell>
          <cell r="C648" t="str">
            <v>Búa khoan tay P30</v>
          </cell>
          <cell r="E648" t="str">
            <v>-</v>
          </cell>
          <cell r="G648">
            <v>12268</v>
          </cell>
          <cell r="L648">
            <v>19424</v>
          </cell>
          <cell r="M648">
            <v>19424</v>
          </cell>
          <cell r="N648">
            <v>19424</v>
          </cell>
          <cell r="O648">
            <v>19424</v>
          </cell>
          <cell r="P648">
            <v>19424</v>
          </cell>
          <cell r="Q648">
            <v>19424</v>
          </cell>
          <cell r="R648">
            <v>19424</v>
          </cell>
          <cell r="S648">
            <v>19424</v>
          </cell>
        </row>
        <row r="649">
          <cell r="B649" t="str">
            <v>M201.0008</v>
          </cell>
          <cell r="C649" t="str">
            <v>Thùng trục 0,5 m3</v>
          </cell>
          <cell r="E649" t="str">
            <v>-</v>
          </cell>
          <cell r="G649">
            <v>3096</v>
          </cell>
          <cell r="L649">
            <v>6811</v>
          </cell>
          <cell r="M649">
            <v>6811</v>
          </cell>
          <cell r="N649">
            <v>6811</v>
          </cell>
          <cell r="O649">
            <v>6811</v>
          </cell>
          <cell r="P649">
            <v>6811</v>
          </cell>
          <cell r="Q649">
            <v>6811</v>
          </cell>
          <cell r="R649">
            <v>6811</v>
          </cell>
          <cell r="S649">
            <v>6811</v>
          </cell>
        </row>
        <row r="650">
          <cell r="B650" t="str">
            <v>M201.0009</v>
          </cell>
          <cell r="C650" t="str">
            <v>Máy khoan F-60L</v>
          </cell>
          <cell r="E650" t="str">
            <v>-</v>
          </cell>
          <cell r="G650">
            <v>1396445</v>
          </cell>
          <cell r="L650">
            <v>1005440</v>
          </cell>
          <cell r="M650">
            <v>1005440</v>
          </cell>
          <cell r="N650">
            <v>1005440</v>
          </cell>
          <cell r="O650">
            <v>1005440</v>
          </cell>
          <cell r="P650">
            <v>1005440</v>
          </cell>
          <cell r="Q650">
            <v>1005440</v>
          </cell>
          <cell r="R650">
            <v>1005440</v>
          </cell>
          <cell r="S650">
            <v>1005440</v>
          </cell>
        </row>
        <row r="651">
          <cell r="B651" t="str">
            <v>M201.0010</v>
          </cell>
          <cell r="C651" t="str">
            <v>Máy xuyên động RA-50</v>
          </cell>
          <cell r="E651" t="str">
            <v>-</v>
          </cell>
          <cell r="G651">
            <v>58816</v>
          </cell>
          <cell r="L651">
            <v>57182</v>
          </cell>
          <cell r="M651">
            <v>57182</v>
          </cell>
          <cell r="N651">
            <v>57182</v>
          </cell>
          <cell r="O651">
            <v>57182</v>
          </cell>
          <cell r="P651">
            <v>57182</v>
          </cell>
          <cell r="Q651">
            <v>57182</v>
          </cell>
          <cell r="R651">
            <v>57182</v>
          </cell>
          <cell r="S651">
            <v>57182</v>
          </cell>
        </row>
        <row r="652">
          <cell r="B652" t="str">
            <v>M201.0011</v>
          </cell>
          <cell r="C652" t="str">
            <v>Máy xuyên tĩnh Gouda</v>
          </cell>
          <cell r="E652" t="str">
            <v>-</v>
          </cell>
          <cell r="G652">
            <v>495291</v>
          </cell>
          <cell r="L652">
            <v>462272</v>
          </cell>
          <cell r="M652">
            <v>462272</v>
          </cell>
          <cell r="N652">
            <v>462272</v>
          </cell>
          <cell r="O652">
            <v>462272</v>
          </cell>
          <cell r="P652">
            <v>462272</v>
          </cell>
          <cell r="Q652">
            <v>462272</v>
          </cell>
          <cell r="R652">
            <v>462272</v>
          </cell>
          <cell r="S652">
            <v>462272</v>
          </cell>
        </row>
        <row r="653">
          <cell r="B653" t="str">
            <v>M201.0012</v>
          </cell>
          <cell r="C653" t="str">
            <v>Thiết bị đo ngẫu lực</v>
          </cell>
          <cell r="E653" t="str">
            <v>-</v>
          </cell>
          <cell r="G653">
            <v>340513</v>
          </cell>
          <cell r="L653">
            <v>321596</v>
          </cell>
          <cell r="M653">
            <v>321596</v>
          </cell>
          <cell r="N653">
            <v>321596</v>
          </cell>
          <cell r="O653">
            <v>321596</v>
          </cell>
          <cell r="P653">
            <v>321596</v>
          </cell>
          <cell r="Q653">
            <v>321596</v>
          </cell>
          <cell r="R653">
            <v>321596</v>
          </cell>
          <cell r="S653">
            <v>321596</v>
          </cell>
        </row>
        <row r="654">
          <cell r="B654" t="str">
            <v>M201.0013</v>
          </cell>
          <cell r="C654" t="str">
            <v>Bộ dụng cụ thí nghiệm SPT</v>
          </cell>
          <cell r="E654" t="str">
            <v>-</v>
          </cell>
          <cell r="G654">
            <v>10777</v>
          </cell>
          <cell r="L654">
            <v>11076</v>
          </cell>
          <cell r="M654">
            <v>11076</v>
          </cell>
          <cell r="N654">
            <v>11076</v>
          </cell>
          <cell r="O654">
            <v>11076</v>
          </cell>
          <cell r="P654">
            <v>11076</v>
          </cell>
          <cell r="Q654">
            <v>11076</v>
          </cell>
          <cell r="R654">
            <v>11076</v>
          </cell>
          <cell r="S654">
            <v>11076</v>
          </cell>
        </row>
        <row r="655">
          <cell r="B655" t="str">
            <v>M201.0014</v>
          </cell>
          <cell r="C655" t="str">
            <v>Biến thế thắp sáng</v>
          </cell>
          <cell r="E655" t="str">
            <v>-</v>
          </cell>
          <cell r="G655">
            <v>3325</v>
          </cell>
          <cell r="L655">
            <v>6096</v>
          </cell>
          <cell r="M655">
            <v>6096</v>
          </cell>
          <cell r="N655">
            <v>6096</v>
          </cell>
          <cell r="O655">
            <v>6096</v>
          </cell>
          <cell r="P655">
            <v>6096</v>
          </cell>
          <cell r="Q655">
            <v>6096</v>
          </cell>
          <cell r="R655">
            <v>6096</v>
          </cell>
          <cell r="S655">
            <v>6096</v>
          </cell>
        </row>
        <row r="656">
          <cell r="B656" t="str">
            <v>M201.0015</v>
          </cell>
          <cell r="C656" t="str">
            <v>Máy thăm dò địa vật lý UJ-18</v>
          </cell>
          <cell r="E656" t="str">
            <v>-</v>
          </cell>
          <cell r="G656">
            <v>31300</v>
          </cell>
          <cell r="L656">
            <v>33804</v>
          </cell>
          <cell r="M656">
            <v>33804</v>
          </cell>
          <cell r="N656">
            <v>33804</v>
          </cell>
          <cell r="O656">
            <v>33804</v>
          </cell>
          <cell r="P656">
            <v>33804</v>
          </cell>
          <cell r="Q656">
            <v>33804</v>
          </cell>
          <cell r="R656">
            <v>33804</v>
          </cell>
          <cell r="S656">
            <v>33804</v>
          </cell>
        </row>
        <row r="657">
          <cell r="B657" t="str">
            <v>M201.0016</v>
          </cell>
          <cell r="C657" t="str">
            <v>Máy thăm dò địa vật lý MF-2-100</v>
          </cell>
          <cell r="E657" t="str">
            <v>-</v>
          </cell>
          <cell r="G657">
            <v>38752</v>
          </cell>
          <cell r="L657">
            <v>41852</v>
          </cell>
          <cell r="M657">
            <v>41852</v>
          </cell>
          <cell r="N657">
            <v>41852</v>
          </cell>
          <cell r="O657">
            <v>41852</v>
          </cell>
          <cell r="P657">
            <v>41852</v>
          </cell>
          <cell r="Q657">
            <v>41852</v>
          </cell>
          <cell r="R657">
            <v>41852</v>
          </cell>
          <cell r="S657">
            <v>41852</v>
          </cell>
        </row>
        <row r="658">
          <cell r="B658" t="str">
            <v>M201.0017</v>
          </cell>
          <cell r="C658" t="str">
            <v>Máy, thiết bị thăm dò địa chấn - loại 1 mạch (ES-125)</v>
          </cell>
          <cell r="E658" t="str">
            <v>-</v>
          </cell>
          <cell r="G658">
            <v>97797</v>
          </cell>
          <cell r="L658">
            <v>99101</v>
          </cell>
          <cell r="M658">
            <v>99101</v>
          </cell>
          <cell r="N658">
            <v>99101</v>
          </cell>
          <cell r="O658">
            <v>99101</v>
          </cell>
          <cell r="P658">
            <v>99101</v>
          </cell>
          <cell r="Q658">
            <v>99101</v>
          </cell>
          <cell r="R658">
            <v>99101</v>
          </cell>
          <cell r="S658">
            <v>99101</v>
          </cell>
        </row>
        <row r="659">
          <cell r="B659" t="str">
            <v>M201.0018</v>
          </cell>
          <cell r="C659" t="str">
            <v>Máy, thiết bị thăm dò địa chấn - loại 12 mạch (Triosx-12)</v>
          </cell>
          <cell r="E659" t="str">
            <v>-</v>
          </cell>
          <cell r="G659">
            <v>292130</v>
          </cell>
          <cell r="L659">
            <v>29213</v>
          </cell>
          <cell r="M659">
            <v>29213</v>
          </cell>
          <cell r="N659">
            <v>29213</v>
          </cell>
          <cell r="O659">
            <v>29213</v>
          </cell>
          <cell r="P659">
            <v>29213</v>
          </cell>
          <cell r="Q659">
            <v>29213</v>
          </cell>
          <cell r="R659">
            <v>29213</v>
          </cell>
          <cell r="S659">
            <v>29213</v>
          </cell>
        </row>
        <row r="660">
          <cell r="B660" t="str">
            <v>M201.0019</v>
          </cell>
          <cell r="C660" t="str">
            <v>Máy, thiết bị thăm dò địa chấn - loại 24 mạch (Triosx-24)</v>
          </cell>
          <cell r="E660" t="str">
            <v>-</v>
          </cell>
          <cell r="G660">
            <v>343379</v>
          </cell>
          <cell r="L660">
            <v>343379</v>
          </cell>
          <cell r="M660">
            <v>343379</v>
          </cell>
          <cell r="N660">
            <v>343379</v>
          </cell>
          <cell r="O660">
            <v>343379</v>
          </cell>
          <cell r="P660">
            <v>343379</v>
          </cell>
          <cell r="Q660">
            <v>343379</v>
          </cell>
          <cell r="R660">
            <v>343379</v>
          </cell>
          <cell r="S660">
            <v>343379</v>
          </cell>
        </row>
        <row r="661">
          <cell r="B661" t="str">
            <v>M201.0020</v>
          </cell>
          <cell r="C661" t="str">
            <v>Máy thuỷ bình điện tử</v>
          </cell>
          <cell r="E661" t="str">
            <v>-</v>
          </cell>
          <cell r="G661">
            <v>15822</v>
          </cell>
          <cell r="L661">
            <v>14767</v>
          </cell>
          <cell r="M661">
            <v>14767</v>
          </cell>
          <cell r="N661">
            <v>14767</v>
          </cell>
          <cell r="O661">
            <v>14767</v>
          </cell>
          <cell r="P661">
            <v>14767</v>
          </cell>
          <cell r="Q661">
            <v>14767</v>
          </cell>
          <cell r="R661">
            <v>14767</v>
          </cell>
          <cell r="S661">
            <v>14767</v>
          </cell>
        </row>
        <row r="662">
          <cell r="B662" t="str">
            <v>M201.0021</v>
          </cell>
          <cell r="C662" t="str">
            <v>Máy toàn đạc điện tử</v>
          </cell>
          <cell r="E662" t="str">
            <v>-</v>
          </cell>
          <cell r="G662">
            <v>178855</v>
          </cell>
          <cell r="L662">
            <v>147059</v>
          </cell>
          <cell r="M662">
            <v>147059</v>
          </cell>
          <cell r="N662">
            <v>147059</v>
          </cell>
          <cell r="O662">
            <v>147059</v>
          </cell>
          <cell r="P662">
            <v>147059</v>
          </cell>
          <cell r="Q662">
            <v>147059</v>
          </cell>
          <cell r="R662">
            <v>147059</v>
          </cell>
          <cell r="S662">
            <v>147059</v>
          </cell>
        </row>
        <row r="663">
          <cell r="B663" t="str">
            <v>M201.0022</v>
          </cell>
          <cell r="C663" t="str">
            <v>Bộ thiết bị khống chế mặt bằng GPS (3 máy)</v>
          </cell>
          <cell r="E663" t="str">
            <v>-</v>
          </cell>
          <cell r="G663">
            <v>670706</v>
          </cell>
          <cell r="L663">
            <v>540291</v>
          </cell>
          <cell r="M663">
            <v>540291</v>
          </cell>
          <cell r="N663">
            <v>540291</v>
          </cell>
          <cell r="O663">
            <v>540291</v>
          </cell>
          <cell r="P663">
            <v>540291</v>
          </cell>
          <cell r="Q663">
            <v>540291</v>
          </cell>
          <cell r="R663">
            <v>540291</v>
          </cell>
          <cell r="S663">
            <v>540291</v>
          </cell>
        </row>
        <row r="664">
          <cell r="B664" t="str">
            <v>M201.0023</v>
          </cell>
          <cell r="C664" t="str">
            <v>Ống nhòm</v>
          </cell>
          <cell r="E664" t="str">
            <v>-</v>
          </cell>
          <cell r="G664">
            <v>1147</v>
          </cell>
          <cell r="L664">
            <v>1020</v>
          </cell>
          <cell r="M664">
            <v>1020</v>
          </cell>
          <cell r="N664">
            <v>1020</v>
          </cell>
          <cell r="O664">
            <v>1020</v>
          </cell>
          <cell r="P664">
            <v>1020</v>
          </cell>
          <cell r="Q664">
            <v>1020</v>
          </cell>
          <cell r="R664">
            <v>1020</v>
          </cell>
          <cell r="S664">
            <v>1020</v>
          </cell>
        </row>
        <row r="665">
          <cell r="B665" t="str">
            <v>M201.0024</v>
          </cell>
          <cell r="C665" t="str">
            <v>Kính hiển vi</v>
          </cell>
          <cell r="E665" t="str">
            <v>-</v>
          </cell>
          <cell r="G665">
            <v>8943</v>
          </cell>
          <cell r="L665">
            <v>7065</v>
          </cell>
          <cell r="M665">
            <v>7065</v>
          </cell>
          <cell r="N665">
            <v>7065</v>
          </cell>
          <cell r="O665">
            <v>7065</v>
          </cell>
          <cell r="P665">
            <v>7065</v>
          </cell>
          <cell r="Q665">
            <v>7065</v>
          </cell>
          <cell r="R665">
            <v>7065</v>
          </cell>
          <cell r="S665">
            <v>7065</v>
          </cell>
        </row>
        <row r="666">
          <cell r="B666" t="str">
            <v>M201.0025</v>
          </cell>
          <cell r="C666" t="str">
            <v>Kính hiển vi điện tử quét</v>
          </cell>
          <cell r="E666" t="str">
            <v>-</v>
          </cell>
          <cell r="G666">
            <v>3221684</v>
          </cell>
          <cell r="L666">
            <v>2287396</v>
          </cell>
          <cell r="M666">
            <v>2287396</v>
          </cell>
          <cell r="N666">
            <v>2287396</v>
          </cell>
          <cell r="O666">
            <v>2287396</v>
          </cell>
          <cell r="P666">
            <v>2287396</v>
          </cell>
          <cell r="Q666">
            <v>2287396</v>
          </cell>
          <cell r="R666">
            <v>2287396</v>
          </cell>
          <cell r="S666">
            <v>2287396</v>
          </cell>
        </row>
        <row r="667">
          <cell r="B667" t="str">
            <v>M201.0026</v>
          </cell>
          <cell r="C667" t="str">
            <v>Máy ảnh</v>
          </cell>
          <cell r="E667" t="str">
            <v>-</v>
          </cell>
          <cell r="G667">
            <v>6306</v>
          </cell>
          <cell r="L667">
            <v>6726</v>
          </cell>
          <cell r="M667">
            <v>6726</v>
          </cell>
          <cell r="N667">
            <v>6726</v>
          </cell>
          <cell r="O667">
            <v>6726</v>
          </cell>
          <cell r="P667">
            <v>6726</v>
          </cell>
          <cell r="Q667">
            <v>6726</v>
          </cell>
          <cell r="R667">
            <v>6726</v>
          </cell>
          <cell r="S667">
            <v>6726</v>
          </cell>
        </row>
        <row r="668">
          <cell r="B668" t="str">
            <v>M202.0000</v>
          </cell>
          <cell r="C668" t="str">
            <v>MÁY VÀ THIẾT BỊ THÍ NGHIỆM VẬT LIỆU, CẤU KIỆN VÀ KẾT CẤU XÂY DỰNG</v>
          </cell>
          <cell r="E668" t="str">
            <v>-</v>
          </cell>
          <cell r="P668">
            <v>0</v>
          </cell>
          <cell r="Q668">
            <v>0</v>
          </cell>
          <cell r="R668">
            <v>0</v>
          </cell>
          <cell r="S668">
            <v>0</v>
          </cell>
        </row>
        <row r="669">
          <cell r="B669" t="str">
            <v>M202.0001</v>
          </cell>
          <cell r="C669" t="str">
            <v>Cần Belkenman</v>
          </cell>
          <cell r="E669" t="str">
            <v>-</v>
          </cell>
          <cell r="G669">
            <v>20866</v>
          </cell>
          <cell r="L669">
            <v>19475</v>
          </cell>
          <cell r="M669">
            <v>19475</v>
          </cell>
          <cell r="N669">
            <v>19475</v>
          </cell>
          <cell r="O669">
            <v>19475</v>
          </cell>
          <cell r="P669">
            <v>19475</v>
          </cell>
          <cell r="Q669">
            <v>19475</v>
          </cell>
          <cell r="R669">
            <v>19475</v>
          </cell>
          <cell r="S669">
            <v>19475</v>
          </cell>
        </row>
        <row r="670">
          <cell r="B670" t="str">
            <v>M202.0002</v>
          </cell>
          <cell r="C670" t="str">
            <v>Thiết bị đếm phóng xạ</v>
          </cell>
          <cell r="E670" t="str">
            <v>-</v>
          </cell>
          <cell r="G670">
            <v>142511</v>
          </cell>
          <cell r="L670">
            <v>120343</v>
          </cell>
          <cell r="M670">
            <v>120343</v>
          </cell>
          <cell r="N670">
            <v>120343</v>
          </cell>
          <cell r="O670">
            <v>120343</v>
          </cell>
          <cell r="P670">
            <v>120343</v>
          </cell>
          <cell r="Q670">
            <v>120343</v>
          </cell>
          <cell r="R670">
            <v>120343</v>
          </cell>
          <cell r="S670">
            <v>120343</v>
          </cell>
        </row>
        <row r="671">
          <cell r="B671" t="str">
            <v>M202.0003</v>
          </cell>
          <cell r="C671" t="str">
            <v>TRL Profile Beam</v>
          </cell>
          <cell r="E671" t="str">
            <v>-</v>
          </cell>
          <cell r="G671">
            <v>399443</v>
          </cell>
          <cell r="L671">
            <v>328431</v>
          </cell>
          <cell r="M671">
            <v>328431</v>
          </cell>
          <cell r="N671">
            <v>328431</v>
          </cell>
          <cell r="O671">
            <v>328431</v>
          </cell>
          <cell r="P671">
            <v>328431</v>
          </cell>
          <cell r="Q671">
            <v>328431</v>
          </cell>
          <cell r="R671">
            <v>328431</v>
          </cell>
          <cell r="S671">
            <v>328431</v>
          </cell>
        </row>
        <row r="672">
          <cell r="B672" t="str">
            <v>M202.0004</v>
          </cell>
          <cell r="C672" t="str">
            <v>Máy FWD</v>
          </cell>
          <cell r="E672" t="str">
            <v>-</v>
          </cell>
          <cell r="G672">
            <v>2056833</v>
          </cell>
          <cell r="L672">
            <v>1645466</v>
          </cell>
          <cell r="M672">
            <v>1645466</v>
          </cell>
          <cell r="N672">
            <v>1645466</v>
          </cell>
          <cell r="O672">
            <v>1645466</v>
          </cell>
          <cell r="P672">
            <v>1645466</v>
          </cell>
          <cell r="Q672">
            <v>1645466</v>
          </cell>
          <cell r="R672">
            <v>1645466</v>
          </cell>
          <cell r="S672">
            <v>1645466</v>
          </cell>
        </row>
        <row r="673">
          <cell r="B673" t="str">
            <v>M202.0005</v>
          </cell>
          <cell r="C673" t="str">
            <v>Thiết bị đo phản ứng Romdas</v>
          </cell>
          <cell r="E673" t="str">
            <v>-</v>
          </cell>
          <cell r="G673">
            <v>92408</v>
          </cell>
          <cell r="L673">
            <v>82140</v>
          </cell>
          <cell r="M673">
            <v>82140</v>
          </cell>
          <cell r="N673">
            <v>82140</v>
          </cell>
          <cell r="O673">
            <v>82140</v>
          </cell>
          <cell r="P673">
            <v>82140</v>
          </cell>
          <cell r="Q673">
            <v>82140</v>
          </cell>
          <cell r="R673">
            <v>82140</v>
          </cell>
          <cell r="S673">
            <v>82140</v>
          </cell>
        </row>
        <row r="674">
          <cell r="B674" t="str">
            <v>M202.0006</v>
          </cell>
          <cell r="C674" t="str">
            <v>Bộ thiết bị PIT (đo biến dạng</v>
          </cell>
          <cell r="E674" t="str">
            <v>-</v>
          </cell>
          <cell r="G674">
            <v>348767</v>
          </cell>
          <cell r="L674">
            <v>294514</v>
          </cell>
          <cell r="M674">
            <v>294514</v>
          </cell>
          <cell r="N674">
            <v>294514</v>
          </cell>
          <cell r="O674">
            <v>294514</v>
          </cell>
          <cell r="P674">
            <v>294514</v>
          </cell>
          <cell r="Q674">
            <v>294514</v>
          </cell>
          <cell r="R674">
            <v>294514</v>
          </cell>
          <cell r="S674">
            <v>294514</v>
          </cell>
        </row>
        <row r="675">
          <cell r="B675" t="str">
            <v>M202.0007</v>
          </cell>
          <cell r="C675" t="str">
            <v>Bộ thiết bị đo PDA (đo biến dạng lớn)</v>
          </cell>
          <cell r="E675" t="str">
            <v>-</v>
          </cell>
          <cell r="G675">
            <v>1371222</v>
          </cell>
          <cell r="L675">
            <v>1096978</v>
          </cell>
          <cell r="M675">
            <v>1096978</v>
          </cell>
          <cell r="N675">
            <v>1096978</v>
          </cell>
          <cell r="O675">
            <v>1096978</v>
          </cell>
          <cell r="P675">
            <v>1096978</v>
          </cell>
          <cell r="Q675">
            <v>1096978</v>
          </cell>
          <cell r="R675">
            <v>1096978</v>
          </cell>
          <cell r="S675">
            <v>1096978</v>
          </cell>
        </row>
        <row r="676">
          <cell r="B676" t="str">
            <v>M202.0008</v>
          </cell>
          <cell r="C676" t="str">
            <v>Bộ thiết bị siêu âm</v>
          </cell>
          <cell r="E676" t="str">
            <v>-</v>
          </cell>
          <cell r="G676">
            <v>573827</v>
          </cell>
          <cell r="L676">
            <v>478189</v>
          </cell>
          <cell r="M676">
            <v>478189</v>
          </cell>
          <cell r="N676">
            <v>478189</v>
          </cell>
          <cell r="O676">
            <v>478189</v>
          </cell>
          <cell r="P676">
            <v>478189</v>
          </cell>
          <cell r="Q676">
            <v>478189</v>
          </cell>
          <cell r="R676">
            <v>478189</v>
          </cell>
          <cell r="S676">
            <v>478189</v>
          </cell>
        </row>
        <row r="677">
          <cell r="B677" t="str">
            <v>M202.0009</v>
          </cell>
          <cell r="C677" t="str">
            <v>Cân điện tử</v>
          </cell>
          <cell r="E677" t="str">
            <v>-</v>
          </cell>
          <cell r="G677">
            <v>8255</v>
          </cell>
          <cell r="L677">
            <v>6521</v>
          </cell>
          <cell r="M677">
            <v>6521</v>
          </cell>
          <cell r="N677">
            <v>6521</v>
          </cell>
          <cell r="O677">
            <v>6521</v>
          </cell>
          <cell r="P677">
            <v>6521</v>
          </cell>
          <cell r="Q677">
            <v>6521</v>
          </cell>
          <cell r="R677">
            <v>6521</v>
          </cell>
          <cell r="S677">
            <v>6521</v>
          </cell>
        </row>
        <row r="678">
          <cell r="B678" t="str">
            <v>M202.0010</v>
          </cell>
          <cell r="C678" t="str">
            <v>Cân phân tích</v>
          </cell>
          <cell r="E678" t="str">
            <v>-</v>
          </cell>
          <cell r="G678">
            <v>12726</v>
          </cell>
          <cell r="L678">
            <v>10054</v>
          </cell>
          <cell r="M678">
            <v>10054</v>
          </cell>
          <cell r="N678">
            <v>10054</v>
          </cell>
          <cell r="O678">
            <v>10054</v>
          </cell>
          <cell r="P678">
            <v>10054</v>
          </cell>
          <cell r="Q678">
            <v>10054</v>
          </cell>
          <cell r="R678">
            <v>10054</v>
          </cell>
          <cell r="S678">
            <v>10054</v>
          </cell>
        </row>
        <row r="679">
          <cell r="B679" t="str">
            <v>M202.0011</v>
          </cell>
          <cell r="C679" t="str">
            <v>Cân bàn</v>
          </cell>
          <cell r="E679" t="str">
            <v>-</v>
          </cell>
          <cell r="G679">
            <v>4815</v>
          </cell>
          <cell r="L679">
            <v>3804</v>
          </cell>
          <cell r="M679">
            <v>3804</v>
          </cell>
          <cell r="N679">
            <v>3804</v>
          </cell>
          <cell r="O679">
            <v>3804</v>
          </cell>
          <cell r="P679">
            <v>3804</v>
          </cell>
          <cell r="Q679">
            <v>3804</v>
          </cell>
          <cell r="R679">
            <v>3804</v>
          </cell>
          <cell r="S679">
            <v>3804</v>
          </cell>
        </row>
        <row r="680">
          <cell r="B680" t="str">
            <v>M202.0012</v>
          </cell>
          <cell r="C680" t="str">
            <v>Cân thủy tĩnh</v>
          </cell>
          <cell r="E680" t="str">
            <v>-</v>
          </cell>
          <cell r="G680">
            <v>5618</v>
          </cell>
          <cell r="L680">
            <v>4438</v>
          </cell>
          <cell r="M680">
            <v>4438</v>
          </cell>
          <cell r="N680">
            <v>4438</v>
          </cell>
          <cell r="O680">
            <v>4438</v>
          </cell>
          <cell r="P680">
            <v>4438</v>
          </cell>
          <cell r="Q680">
            <v>4438</v>
          </cell>
          <cell r="R680">
            <v>4438</v>
          </cell>
          <cell r="S680">
            <v>4438</v>
          </cell>
        </row>
        <row r="681">
          <cell r="B681" t="str">
            <v>M202.0013</v>
          </cell>
          <cell r="C681" t="str">
            <v>Lò nung</v>
          </cell>
          <cell r="E681" t="str">
            <v>-</v>
          </cell>
          <cell r="G681">
            <v>14217</v>
          </cell>
          <cell r="L681">
            <v>12795</v>
          </cell>
          <cell r="M681">
            <v>12795</v>
          </cell>
          <cell r="N681">
            <v>12795</v>
          </cell>
          <cell r="O681">
            <v>12795</v>
          </cell>
          <cell r="P681">
            <v>12795</v>
          </cell>
          <cell r="Q681">
            <v>12795</v>
          </cell>
          <cell r="R681">
            <v>12795</v>
          </cell>
          <cell r="S681">
            <v>12795</v>
          </cell>
        </row>
        <row r="682">
          <cell r="B682" t="str">
            <v>M202.0014</v>
          </cell>
          <cell r="C682" t="str">
            <v>Tủ sấy</v>
          </cell>
          <cell r="E682" t="str">
            <v>-</v>
          </cell>
          <cell r="G682">
            <v>12268</v>
          </cell>
          <cell r="L682">
            <v>11348</v>
          </cell>
          <cell r="M682">
            <v>11348</v>
          </cell>
          <cell r="N682">
            <v>11348</v>
          </cell>
          <cell r="O682">
            <v>11348</v>
          </cell>
          <cell r="P682">
            <v>11348</v>
          </cell>
          <cell r="Q682">
            <v>11348</v>
          </cell>
          <cell r="R682">
            <v>11348</v>
          </cell>
          <cell r="S682">
            <v>11348</v>
          </cell>
        </row>
        <row r="683">
          <cell r="B683" t="str">
            <v>M202.0015</v>
          </cell>
          <cell r="C683" t="str">
            <v>Tủ hút khí độc</v>
          </cell>
          <cell r="E683" t="str">
            <v>-</v>
          </cell>
          <cell r="G683">
            <v>12268</v>
          </cell>
          <cell r="L683">
            <v>11041</v>
          </cell>
          <cell r="M683">
            <v>11041</v>
          </cell>
          <cell r="N683">
            <v>11041</v>
          </cell>
          <cell r="O683">
            <v>11041</v>
          </cell>
          <cell r="P683">
            <v>11041</v>
          </cell>
          <cell r="Q683">
            <v>11041</v>
          </cell>
          <cell r="R683">
            <v>11041</v>
          </cell>
          <cell r="S683">
            <v>11041</v>
          </cell>
        </row>
        <row r="684">
          <cell r="B684" t="str">
            <v>M202.0016</v>
          </cell>
          <cell r="C684" t="str">
            <v>Tủ lạnh</v>
          </cell>
          <cell r="E684" t="str">
            <v>-</v>
          </cell>
          <cell r="G684">
            <v>7796</v>
          </cell>
          <cell r="L684">
            <v>5613</v>
          </cell>
          <cell r="M684">
            <v>5613</v>
          </cell>
          <cell r="N684">
            <v>5613</v>
          </cell>
          <cell r="O684">
            <v>5613</v>
          </cell>
          <cell r="P684">
            <v>5613</v>
          </cell>
          <cell r="Q684">
            <v>5613</v>
          </cell>
          <cell r="R684">
            <v>5613</v>
          </cell>
          <cell r="S684">
            <v>5613</v>
          </cell>
        </row>
        <row r="685">
          <cell r="B685" t="str">
            <v>M202.0017</v>
          </cell>
          <cell r="C685" t="str">
            <v>Máy hút chân không</v>
          </cell>
          <cell r="E685" t="str">
            <v>-</v>
          </cell>
          <cell r="G685">
            <v>3783</v>
          </cell>
          <cell r="L685">
            <v>3499</v>
          </cell>
          <cell r="M685">
            <v>3499</v>
          </cell>
          <cell r="N685">
            <v>3499</v>
          </cell>
          <cell r="O685">
            <v>3499</v>
          </cell>
          <cell r="P685">
            <v>3499</v>
          </cell>
          <cell r="Q685">
            <v>3499</v>
          </cell>
          <cell r="R685">
            <v>3499</v>
          </cell>
          <cell r="S685">
            <v>3499</v>
          </cell>
        </row>
        <row r="686">
          <cell r="B686" t="str">
            <v>M202.0018</v>
          </cell>
          <cell r="C686" t="str">
            <v>Máy hút ẩm OASIS-America</v>
          </cell>
          <cell r="E686" t="str">
            <v>-</v>
          </cell>
          <cell r="G686">
            <v>10319</v>
          </cell>
          <cell r="L686">
            <v>9287</v>
          </cell>
          <cell r="M686">
            <v>9287</v>
          </cell>
          <cell r="N686">
            <v>9287</v>
          </cell>
          <cell r="O686">
            <v>9287</v>
          </cell>
          <cell r="P686">
            <v>9287</v>
          </cell>
          <cell r="Q686">
            <v>9287</v>
          </cell>
          <cell r="R686">
            <v>9287</v>
          </cell>
          <cell r="S686">
            <v>9287</v>
          </cell>
        </row>
        <row r="687">
          <cell r="B687" t="str">
            <v>M202.0019</v>
          </cell>
          <cell r="C687" t="str">
            <v>Bếp điện</v>
          </cell>
          <cell r="E687" t="str">
            <v>-</v>
          </cell>
          <cell r="G687">
            <v>803</v>
          </cell>
          <cell r="L687">
            <v>2168</v>
          </cell>
          <cell r="M687">
            <v>2168</v>
          </cell>
          <cell r="N687">
            <v>2168</v>
          </cell>
          <cell r="O687">
            <v>2168</v>
          </cell>
          <cell r="P687">
            <v>2168</v>
          </cell>
          <cell r="Q687">
            <v>2168</v>
          </cell>
          <cell r="R687">
            <v>2168</v>
          </cell>
          <cell r="S687">
            <v>2168</v>
          </cell>
        </row>
        <row r="688">
          <cell r="B688" t="str">
            <v>M202.0020</v>
          </cell>
          <cell r="C688" t="str">
            <v>Bếp cát</v>
          </cell>
          <cell r="E688" t="str">
            <v>-</v>
          </cell>
          <cell r="G688">
            <v>1032</v>
          </cell>
          <cell r="L688">
            <v>2786</v>
          </cell>
          <cell r="M688">
            <v>2786</v>
          </cell>
          <cell r="N688">
            <v>2786</v>
          </cell>
          <cell r="O688">
            <v>2786</v>
          </cell>
          <cell r="P688">
            <v>2786</v>
          </cell>
          <cell r="Q688">
            <v>2786</v>
          </cell>
          <cell r="R688">
            <v>2786</v>
          </cell>
          <cell r="S688">
            <v>2786</v>
          </cell>
        </row>
        <row r="689">
          <cell r="B689" t="str">
            <v>M202.0021</v>
          </cell>
          <cell r="C689" t="str">
            <v>Máy chưng cất nước</v>
          </cell>
          <cell r="E689" t="str">
            <v>-</v>
          </cell>
          <cell r="G689">
            <v>7567</v>
          </cell>
          <cell r="L689">
            <v>6621</v>
          </cell>
          <cell r="M689">
            <v>6621</v>
          </cell>
          <cell r="N689">
            <v>6621</v>
          </cell>
          <cell r="O689">
            <v>6621</v>
          </cell>
          <cell r="P689">
            <v>6621</v>
          </cell>
          <cell r="Q689">
            <v>6621</v>
          </cell>
          <cell r="R689">
            <v>6621</v>
          </cell>
          <cell r="S689">
            <v>6621</v>
          </cell>
        </row>
        <row r="690">
          <cell r="B690" t="str">
            <v>M202.0022</v>
          </cell>
          <cell r="C690" t="str">
            <v>Máy trộn đất</v>
          </cell>
          <cell r="E690" t="str">
            <v>-</v>
          </cell>
          <cell r="G690">
            <v>6306</v>
          </cell>
          <cell r="L690">
            <v>5518</v>
          </cell>
          <cell r="M690">
            <v>5518</v>
          </cell>
          <cell r="N690">
            <v>5518</v>
          </cell>
          <cell r="O690">
            <v>5518</v>
          </cell>
          <cell r="P690">
            <v>5518</v>
          </cell>
          <cell r="Q690">
            <v>5518</v>
          </cell>
          <cell r="R690">
            <v>5518</v>
          </cell>
          <cell r="S690">
            <v>5518</v>
          </cell>
        </row>
        <row r="691">
          <cell r="B691" t="str">
            <v>M202.0023</v>
          </cell>
          <cell r="C691" t="str">
            <v>Máy trộn xi măng, dung tích 5lít</v>
          </cell>
          <cell r="E691" t="str">
            <v>-</v>
          </cell>
          <cell r="G691">
            <v>19949</v>
          </cell>
          <cell r="L691">
            <v>17455</v>
          </cell>
          <cell r="M691">
            <v>17455</v>
          </cell>
          <cell r="N691">
            <v>17455</v>
          </cell>
          <cell r="O691">
            <v>17455</v>
          </cell>
          <cell r="P691">
            <v>17455</v>
          </cell>
          <cell r="Q691">
            <v>17455</v>
          </cell>
          <cell r="R691">
            <v>17455</v>
          </cell>
          <cell r="S691">
            <v>17455</v>
          </cell>
        </row>
        <row r="692">
          <cell r="B692" t="str">
            <v>M202.0024</v>
          </cell>
          <cell r="C692" t="str">
            <v>Máy trộn dung dịch lỏng (máy đo độ rung vữa)</v>
          </cell>
          <cell r="E692" t="str">
            <v>-</v>
          </cell>
          <cell r="G692">
            <v>16968</v>
          </cell>
          <cell r="L692">
            <v>14847</v>
          </cell>
          <cell r="M692">
            <v>14847</v>
          </cell>
          <cell r="N692">
            <v>14847</v>
          </cell>
          <cell r="O692">
            <v>14847</v>
          </cell>
          <cell r="P692">
            <v>14847</v>
          </cell>
          <cell r="Q692">
            <v>14847</v>
          </cell>
          <cell r="R692">
            <v>14847</v>
          </cell>
          <cell r="S692">
            <v>14847</v>
          </cell>
        </row>
        <row r="693">
          <cell r="B693" t="str">
            <v>M202.0025</v>
          </cell>
          <cell r="C693" t="str">
            <v>Máy đầm tiêu chuẩn (đầm rung)</v>
          </cell>
          <cell r="E693" t="str">
            <v>-</v>
          </cell>
          <cell r="G693">
            <v>6306</v>
          </cell>
          <cell r="L693">
            <v>5833</v>
          </cell>
          <cell r="M693">
            <v>5833</v>
          </cell>
          <cell r="N693">
            <v>5833</v>
          </cell>
          <cell r="O693">
            <v>5833</v>
          </cell>
          <cell r="P693">
            <v>5833</v>
          </cell>
          <cell r="Q693">
            <v>5833</v>
          </cell>
          <cell r="R693">
            <v>5833</v>
          </cell>
          <cell r="S693">
            <v>5833</v>
          </cell>
        </row>
        <row r="694">
          <cell r="B694" t="str">
            <v>M202.0026</v>
          </cell>
          <cell r="C694" t="str">
            <v>Máy cắt đất</v>
          </cell>
          <cell r="E694" t="str">
            <v>-</v>
          </cell>
          <cell r="G694">
            <v>2637</v>
          </cell>
          <cell r="L694">
            <v>2241</v>
          </cell>
          <cell r="M694">
            <v>2241</v>
          </cell>
          <cell r="N694">
            <v>2241</v>
          </cell>
          <cell r="O694">
            <v>2241</v>
          </cell>
          <cell r="P694">
            <v>2241</v>
          </cell>
          <cell r="Q694">
            <v>2241</v>
          </cell>
          <cell r="R694">
            <v>2241</v>
          </cell>
          <cell r="S694">
            <v>2241</v>
          </cell>
        </row>
        <row r="695">
          <cell r="B695" t="str">
            <v>M202.0027</v>
          </cell>
          <cell r="C695" t="str">
            <v>Máy cắt mẫu lớn (30x30) cm</v>
          </cell>
          <cell r="E695" t="str">
            <v>-</v>
          </cell>
          <cell r="G695">
            <v>17198</v>
          </cell>
          <cell r="L695">
            <v>14618</v>
          </cell>
          <cell r="M695">
            <v>14618</v>
          </cell>
          <cell r="N695">
            <v>14618</v>
          </cell>
          <cell r="O695">
            <v>14618</v>
          </cell>
          <cell r="P695">
            <v>14618</v>
          </cell>
          <cell r="Q695">
            <v>14618</v>
          </cell>
          <cell r="R695">
            <v>14618</v>
          </cell>
          <cell r="S695">
            <v>14618</v>
          </cell>
        </row>
        <row r="696">
          <cell r="B696" t="str">
            <v>M202.0028</v>
          </cell>
          <cell r="C696" t="str">
            <v>Máy cắt ứng biến</v>
          </cell>
          <cell r="E696" t="str">
            <v>-</v>
          </cell>
          <cell r="G696">
            <v>163950</v>
          </cell>
          <cell r="L696">
            <v>124602</v>
          </cell>
          <cell r="M696">
            <v>124602</v>
          </cell>
          <cell r="N696">
            <v>124602</v>
          </cell>
          <cell r="O696">
            <v>124602</v>
          </cell>
          <cell r="P696">
            <v>124602</v>
          </cell>
          <cell r="Q696">
            <v>124602</v>
          </cell>
          <cell r="R696">
            <v>124602</v>
          </cell>
          <cell r="S696">
            <v>124602</v>
          </cell>
        </row>
        <row r="697">
          <cell r="B697" t="str">
            <v>M202.0029</v>
          </cell>
          <cell r="C697" t="str">
            <v>Máy nén 3 trục</v>
          </cell>
          <cell r="E697" t="str">
            <v>-</v>
          </cell>
          <cell r="G697">
            <v>779854</v>
          </cell>
          <cell r="L697">
            <v>569293</v>
          </cell>
          <cell r="M697">
            <v>569293</v>
          </cell>
          <cell r="N697">
            <v>569293</v>
          </cell>
          <cell r="O697">
            <v>569293</v>
          </cell>
          <cell r="P697">
            <v>569293</v>
          </cell>
          <cell r="Q697">
            <v>569293</v>
          </cell>
          <cell r="R697">
            <v>569293</v>
          </cell>
          <cell r="S697">
            <v>569293</v>
          </cell>
        </row>
        <row r="698">
          <cell r="B698" t="str">
            <v>M202.0030</v>
          </cell>
          <cell r="C698" t="str">
            <v>Máy ép litvinốp</v>
          </cell>
          <cell r="E698" t="str">
            <v>-</v>
          </cell>
          <cell r="G698">
            <v>17886</v>
          </cell>
          <cell r="L698">
            <v>15203</v>
          </cell>
          <cell r="M698">
            <v>15203</v>
          </cell>
          <cell r="N698">
            <v>15203</v>
          </cell>
          <cell r="O698">
            <v>15203</v>
          </cell>
          <cell r="P698">
            <v>15203</v>
          </cell>
          <cell r="Q698">
            <v>15203</v>
          </cell>
          <cell r="R698">
            <v>15203</v>
          </cell>
          <cell r="S698">
            <v>15203</v>
          </cell>
        </row>
        <row r="699">
          <cell r="B699" t="str">
            <v>M202.0031</v>
          </cell>
          <cell r="C699" t="str">
            <v>Kích tháo mẫu</v>
          </cell>
          <cell r="E699" t="str">
            <v>-</v>
          </cell>
          <cell r="G699">
            <v>7796</v>
          </cell>
          <cell r="L699">
            <v>6315</v>
          </cell>
          <cell r="M699">
            <v>6315</v>
          </cell>
          <cell r="N699">
            <v>6315</v>
          </cell>
          <cell r="O699">
            <v>6315</v>
          </cell>
          <cell r="P699">
            <v>6315</v>
          </cell>
          <cell r="Q699">
            <v>6315</v>
          </cell>
          <cell r="R699">
            <v>6315</v>
          </cell>
          <cell r="S699">
            <v>6315</v>
          </cell>
        </row>
        <row r="700">
          <cell r="B700" t="str">
            <v>M202.0032</v>
          </cell>
          <cell r="C700" t="str">
            <v>Máy ép mẫu đá, bê tông</v>
          </cell>
          <cell r="E700" t="str">
            <v>-</v>
          </cell>
          <cell r="G700">
            <v>166931</v>
          </cell>
          <cell r="L700">
            <v>126868</v>
          </cell>
          <cell r="M700">
            <v>126868</v>
          </cell>
          <cell r="N700">
            <v>126868</v>
          </cell>
          <cell r="O700">
            <v>126868</v>
          </cell>
          <cell r="P700">
            <v>126868</v>
          </cell>
          <cell r="Q700">
            <v>126868</v>
          </cell>
          <cell r="R700">
            <v>126868</v>
          </cell>
          <cell r="S700">
            <v>126868</v>
          </cell>
        </row>
        <row r="701">
          <cell r="B701" t="str">
            <v>M202.0033</v>
          </cell>
          <cell r="C701" t="str">
            <v>Máy cắt mẫu vật liệu (bê tông, gạch, đá)</v>
          </cell>
          <cell r="E701" t="str">
            <v>-</v>
          </cell>
          <cell r="G701">
            <v>72574</v>
          </cell>
          <cell r="L701">
            <v>59874</v>
          </cell>
          <cell r="M701">
            <v>59874</v>
          </cell>
          <cell r="N701">
            <v>59874</v>
          </cell>
          <cell r="O701">
            <v>59874</v>
          </cell>
          <cell r="P701">
            <v>59874</v>
          </cell>
          <cell r="Q701">
            <v>59874</v>
          </cell>
          <cell r="R701">
            <v>59874</v>
          </cell>
          <cell r="S701">
            <v>59874</v>
          </cell>
        </row>
        <row r="702">
          <cell r="B702" t="str">
            <v>M202.0034</v>
          </cell>
          <cell r="C702" t="str">
            <v>Máy khoan mẫu đá</v>
          </cell>
          <cell r="E702" t="str">
            <v>-</v>
          </cell>
          <cell r="G702">
            <v>67071</v>
          </cell>
          <cell r="L702">
            <v>55334</v>
          </cell>
          <cell r="M702">
            <v>55334</v>
          </cell>
          <cell r="N702">
            <v>55334</v>
          </cell>
          <cell r="O702">
            <v>55334</v>
          </cell>
          <cell r="P702">
            <v>55334</v>
          </cell>
          <cell r="Q702">
            <v>55334</v>
          </cell>
          <cell r="R702">
            <v>55334</v>
          </cell>
          <cell r="S702">
            <v>55334</v>
          </cell>
        </row>
        <row r="703">
          <cell r="B703" t="str">
            <v>M202.0035</v>
          </cell>
          <cell r="C703" t="str">
            <v>Máy mài thử độ mài mòn</v>
          </cell>
          <cell r="E703" t="str">
            <v>-</v>
          </cell>
          <cell r="G703">
            <v>10319</v>
          </cell>
          <cell r="L703">
            <v>9390</v>
          </cell>
          <cell r="M703">
            <v>9390</v>
          </cell>
          <cell r="N703">
            <v>9390</v>
          </cell>
          <cell r="O703">
            <v>9390</v>
          </cell>
          <cell r="P703">
            <v>9390</v>
          </cell>
          <cell r="Q703">
            <v>9390</v>
          </cell>
          <cell r="R703">
            <v>9390</v>
          </cell>
          <cell r="S703">
            <v>9390</v>
          </cell>
        </row>
        <row r="704">
          <cell r="B704" t="str">
            <v>M202.0036</v>
          </cell>
          <cell r="C704" t="str">
            <v>Máy nén một trục</v>
          </cell>
          <cell r="E704" t="str">
            <v>-</v>
          </cell>
          <cell r="G704">
            <v>17886</v>
          </cell>
          <cell r="L704">
            <v>15203</v>
          </cell>
          <cell r="M704">
            <v>15203</v>
          </cell>
          <cell r="N704">
            <v>15203</v>
          </cell>
          <cell r="O704">
            <v>15203</v>
          </cell>
          <cell r="P704">
            <v>15203</v>
          </cell>
          <cell r="Q704">
            <v>15203</v>
          </cell>
          <cell r="R704">
            <v>15203</v>
          </cell>
          <cell r="S704">
            <v>15203</v>
          </cell>
        </row>
        <row r="705">
          <cell r="B705" t="str">
            <v>M202.0037</v>
          </cell>
          <cell r="C705" t="str">
            <v>Máy nén Marshall</v>
          </cell>
          <cell r="E705" t="str">
            <v>-</v>
          </cell>
          <cell r="G705">
            <v>264728</v>
          </cell>
          <cell r="L705">
            <v>201193</v>
          </cell>
          <cell r="M705">
            <v>201193</v>
          </cell>
          <cell r="N705">
            <v>201193</v>
          </cell>
          <cell r="O705">
            <v>201193</v>
          </cell>
          <cell r="P705">
            <v>201193</v>
          </cell>
          <cell r="Q705">
            <v>201193</v>
          </cell>
          <cell r="R705">
            <v>201193</v>
          </cell>
          <cell r="S705">
            <v>201193</v>
          </cell>
        </row>
        <row r="706">
          <cell r="B706" t="str">
            <v>M202.0038</v>
          </cell>
          <cell r="C706" t="str">
            <v>Máy CBR</v>
          </cell>
          <cell r="E706" t="str">
            <v>-</v>
          </cell>
          <cell r="G706">
            <v>78994</v>
          </cell>
          <cell r="L706">
            <v>61220</v>
          </cell>
          <cell r="M706">
            <v>61220</v>
          </cell>
          <cell r="N706">
            <v>61220</v>
          </cell>
          <cell r="O706">
            <v>61220</v>
          </cell>
          <cell r="P706">
            <v>61220</v>
          </cell>
          <cell r="Q706">
            <v>61220</v>
          </cell>
          <cell r="R706">
            <v>61220</v>
          </cell>
          <cell r="S706">
            <v>61220</v>
          </cell>
        </row>
        <row r="707">
          <cell r="B707" t="str">
            <v>M202.0039</v>
          </cell>
          <cell r="C707" t="str">
            <v>Máy thí nghiệm thuỷ lực quay tay</v>
          </cell>
          <cell r="E707" t="str">
            <v>-</v>
          </cell>
          <cell r="G707">
            <v>8369</v>
          </cell>
          <cell r="L707">
            <v>7323</v>
          </cell>
          <cell r="M707">
            <v>7323</v>
          </cell>
          <cell r="N707">
            <v>7323</v>
          </cell>
          <cell r="O707">
            <v>7323</v>
          </cell>
          <cell r="P707">
            <v>7323</v>
          </cell>
          <cell r="Q707">
            <v>7323</v>
          </cell>
          <cell r="R707">
            <v>7323</v>
          </cell>
          <cell r="S707">
            <v>7323</v>
          </cell>
        </row>
        <row r="708">
          <cell r="B708" t="str">
            <v>M202.0040</v>
          </cell>
          <cell r="C708" t="str">
            <v>Máy nén 4 t (quay tay)</v>
          </cell>
          <cell r="E708" t="str">
            <v>-</v>
          </cell>
          <cell r="G708">
            <v>7796</v>
          </cell>
          <cell r="L708">
            <v>6822</v>
          </cell>
          <cell r="M708">
            <v>6822</v>
          </cell>
          <cell r="N708">
            <v>6822</v>
          </cell>
          <cell r="O708">
            <v>6822</v>
          </cell>
          <cell r="P708">
            <v>6822</v>
          </cell>
          <cell r="Q708">
            <v>6822</v>
          </cell>
          <cell r="R708">
            <v>6822</v>
          </cell>
          <cell r="S708">
            <v>6822</v>
          </cell>
        </row>
        <row r="709">
          <cell r="B709" t="str">
            <v>M202.0041</v>
          </cell>
          <cell r="C709" t="str">
            <v>Máy nén thuỷ lực 10 t</v>
          </cell>
          <cell r="E709" t="str">
            <v>-</v>
          </cell>
          <cell r="G709">
            <v>21440</v>
          </cell>
          <cell r="L709">
            <v>18760</v>
          </cell>
          <cell r="M709">
            <v>18760</v>
          </cell>
          <cell r="N709">
            <v>18760</v>
          </cell>
          <cell r="O709">
            <v>18760</v>
          </cell>
          <cell r="P709">
            <v>18760</v>
          </cell>
          <cell r="Q709">
            <v>18760</v>
          </cell>
          <cell r="R709">
            <v>18760</v>
          </cell>
          <cell r="S709">
            <v>18760</v>
          </cell>
        </row>
        <row r="710">
          <cell r="B710" t="str">
            <v>M202.0042</v>
          </cell>
          <cell r="C710" t="str">
            <v>Máy nén thuỷ lực 50 t</v>
          </cell>
          <cell r="E710" t="str">
            <v>-</v>
          </cell>
          <cell r="G710">
            <v>35656</v>
          </cell>
          <cell r="L710">
            <v>29416</v>
          </cell>
          <cell r="M710">
            <v>29416</v>
          </cell>
          <cell r="N710">
            <v>29416</v>
          </cell>
          <cell r="O710">
            <v>29416</v>
          </cell>
          <cell r="P710">
            <v>29416</v>
          </cell>
          <cell r="Q710">
            <v>29416</v>
          </cell>
          <cell r="R710">
            <v>29416</v>
          </cell>
          <cell r="S710">
            <v>29416</v>
          </cell>
        </row>
        <row r="711">
          <cell r="B711" t="str">
            <v>M202.0043</v>
          </cell>
          <cell r="C711" t="str">
            <v>Máy nén thuỷ lực 125 t</v>
          </cell>
          <cell r="E711" t="str">
            <v>-</v>
          </cell>
          <cell r="G711">
            <v>47695</v>
          </cell>
          <cell r="L711">
            <v>39348</v>
          </cell>
          <cell r="M711">
            <v>39348</v>
          </cell>
          <cell r="N711">
            <v>39348</v>
          </cell>
          <cell r="O711">
            <v>39348</v>
          </cell>
          <cell r="P711">
            <v>39348</v>
          </cell>
          <cell r="Q711">
            <v>39348</v>
          </cell>
          <cell r="R711">
            <v>39348</v>
          </cell>
          <cell r="S711">
            <v>39348</v>
          </cell>
        </row>
        <row r="712">
          <cell r="B712" t="str">
            <v>M202.0044</v>
          </cell>
          <cell r="C712" t="str">
            <v>Máy nén thuỷ lực 200 t</v>
          </cell>
          <cell r="E712" t="str">
            <v>-</v>
          </cell>
          <cell r="G712">
            <v>62000</v>
          </cell>
          <cell r="L712">
            <v>51150</v>
          </cell>
          <cell r="M712">
            <v>51150</v>
          </cell>
          <cell r="N712">
            <v>51150</v>
          </cell>
          <cell r="O712">
            <v>51150</v>
          </cell>
          <cell r="P712">
            <v>51150</v>
          </cell>
          <cell r="Q712">
            <v>51150</v>
          </cell>
          <cell r="R712">
            <v>51150</v>
          </cell>
          <cell r="S712">
            <v>51150</v>
          </cell>
        </row>
        <row r="713">
          <cell r="B713" t="str">
            <v>M202.0045</v>
          </cell>
          <cell r="C713" t="str">
            <v>Máy kéo nén thủy lực 100 t</v>
          </cell>
          <cell r="E713" t="str">
            <v>-</v>
          </cell>
          <cell r="G713">
            <v>52166</v>
          </cell>
          <cell r="L713">
            <v>43037</v>
          </cell>
          <cell r="M713">
            <v>43037</v>
          </cell>
          <cell r="N713">
            <v>43037</v>
          </cell>
          <cell r="O713">
            <v>43037</v>
          </cell>
          <cell r="P713">
            <v>43037</v>
          </cell>
          <cell r="Q713">
            <v>43037</v>
          </cell>
          <cell r="R713">
            <v>43037</v>
          </cell>
          <cell r="S713">
            <v>43037</v>
          </cell>
        </row>
        <row r="714">
          <cell r="B714" t="str">
            <v>M202.0046</v>
          </cell>
          <cell r="C714" t="str">
            <v>Máy kéo nén uốn thuỷ lực 25 t</v>
          </cell>
          <cell r="E714" t="str">
            <v>-</v>
          </cell>
          <cell r="G714">
            <v>28892</v>
          </cell>
          <cell r="L714">
            <v>25281</v>
          </cell>
          <cell r="M714">
            <v>25281</v>
          </cell>
          <cell r="N714">
            <v>25281</v>
          </cell>
          <cell r="O714">
            <v>25281</v>
          </cell>
          <cell r="P714">
            <v>25281</v>
          </cell>
          <cell r="Q714">
            <v>25281</v>
          </cell>
          <cell r="R714">
            <v>25281</v>
          </cell>
          <cell r="S714">
            <v>25281</v>
          </cell>
        </row>
        <row r="715">
          <cell r="B715" t="str">
            <v>M202.0047</v>
          </cell>
          <cell r="C715" t="str">
            <v>Máy kéo nén uốn thuỷ lực 100 t</v>
          </cell>
          <cell r="E715" t="str">
            <v>-</v>
          </cell>
          <cell r="G715">
            <v>241340</v>
          </cell>
          <cell r="L715">
            <v>183418</v>
          </cell>
          <cell r="M715">
            <v>183418</v>
          </cell>
          <cell r="N715">
            <v>183418</v>
          </cell>
          <cell r="O715">
            <v>183418</v>
          </cell>
          <cell r="P715">
            <v>183418</v>
          </cell>
          <cell r="Q715">
            <v>183418</v>
          </cell>
          <cell r="R715">
            <v>183418</v>
          </cell>
          <cell r="S715">
            <v>183418</v>
          </cell>
        </row>
        <row r="716">
          <cell r="B716" t="str">
            <v>M202.0048</v>
          </cell>
          <cell r="C716" t="str">
            <v>Máy gia tải - 20 t</v>
          </cell>
          <cell r="E716" t="str">
            <v>-</v>
          </cell>
          <cell r="G716">
            <v>37261</v>
          </cell>
          <cell r="L716">
            <v>30740</v>
          </cell>
          <cell r="M716">
            <v>30740</v>
          </cell>
          <cell r="N716">
            <v>30740</v>
          </cell>
          <cell r="O716">
            <v>30740</v>
          </cell>
          <cell r="P716">
            <v>30740</v>
          </cell>
          <cell r="Q716">
            <v>30740</v>
          </cell>
          <cell r="R716">
            <v>30740</v>
          </cell>
          <cell r="S716">
            <v>30740</v>
          </cell>
        </row>
        <row r="717">
          <cell r="B717" t="str">
            <v>M202.0049</v>
          </cell>
          <cell r="C717" t="str">
            <v>Máy caragrang (làm thí nghiệm chảy)</v>
          </cell>
          <cell r="E717" t="str">
            <v>-</v>
          </cell>
          <cell r="G717">
            <v>6306</v>
          </cell>
          <cell r="L717">
            <v>5518</v>
          </cell>
          <cell r="M717">
            <v>5518</v>
          </cell>
          <cell r="N717">
            <v>5518</v>
          </cell>
          <cell r="O717">
            <v>5518</v>
          </cell>
          <cell r="P717">
            <v>5518</v>
          </cell>
          <cell r="Q717">
            <v>5518</v>
          </cell>
          <cell r="R717">
            <v>5518</v>
          </cell>
          <cell r="S717">
            <v>5518</v>
          </cell>
        </row>
        <row r="718">
          <cell r="B718" t="str">
            <v>M202.0050</v>
          </cell>
          <cell r="C718" t="str">
            <v>Máy xác định hệ số thấm</v>
          </cell>
          <cell r="E718" t="str">
            <v>-</v>
          </cell>
          <cell r="G718">
            <v>86447</v>
          </cell>
          <cell r="L718">
            <v>66996</v>
          </cell>
          <cell r="M718">
            <v>66996</v>
          </cell>
          <cell r="N718">
            <v>66996</v>
          </cell>
          <cell r="O718">
            <v>66996</v>
          </cell>
          <cell r="P718">
            <v>66996</v>
          </cell>
          <cell r="Q718">
            <v>66996</v>
          </cell>
          <cell r="R718">
            <v>66996</v>
          </cell>
          <cell r="S718">
            <v>66996</v>
          </cell>
        </row>
        <row r="719">
          <cell r="B719" t="str">
            <v>M202.0051</v>
          </cell>
          <cell r="C719" t="str">
            <v>Máy đo PH</v>
          </cell>
          <cell r="E719" t="str">
            <v>-</v>
          </cell>
          <cell r="G719">
            <v>9287</v>
          </cell>
          <cell r="L719">
            <v>8126</v>
          </cell>
          <cell r="M719">
            <v>8126</v>
          </cell>
          <cell r="N719">
            <v>8126</v>
          </cell>
          <cell r="O719">
            <v>8126</v>
          </cell>
          <cell r="P719">
            <v>8126</v>
          </cell>
          <cell r="Q719">
            <v>8126</v>
          </cell>
          <cell r="R719">
            <v>8126</v>
          </cell>
          <cell r="S719">
            <v>8126</v>
          </cell>
        </row>
        <row r="720">
          <cell r="B720" t="str">
            <v>M202.0052</v>
          </cell>
          <cell r="C720" t="str">
            <v>Máy đo âm thanh</v>
          </cell>
          <cell r="E720" t="str">
            <v>-</v>
          </cell>
          <cell r="G720">
            <v>8369</v>
          </cell>
          <cell r="L720">
            <v>7323</v>
          </cell>
          <cell r="M720">
            <v>7323</v>
          </cell>
          <cell r="N720">
            <v>7323</v>
          </cell>
          <cell r="O720">
            <v>7323</v>
          </cell>
          <cell r="P720">
            <v>7323</v>
          </cell>
          <cell r="Q720">
            <v>7323</v>
          </cell>
          <cell r="R720">
            <v>7323</v>
          </cell>
          <cell r="S720">
            <v>7323</v>
          </cell>
        </row>
        <row r="721">
          <cell r="B721" t="str">
            <v>M202.0053</v>
          </cell>
          <cell r="C721" t="str">
            <v>Máy đo chiều dày màng sơn</v>
          </cell>
          <cell r="E721" t="str">
            <v>-</v>
          </cell>
          <cell r="G721">
            <v>107772</v>
          </cell>
          <cell r="L721">
            <v>83523</v>
          </cell>
          <cell r="M721">
            <v>83523</v>
          </cell>
          <cell r="N721">
            <v>83523</v>
          </cell>
          <cell r="O721">
            <v>83523</v>
          </cell>
          <cell r="P721">
            <v>83523</v>
          </cell>
          <cell r="Q721">
            <v>83523</v>
          </cell>
          <cell r="R721">
            <v>83523</v>
          </cell>
          <cell r="S721">
            <v>83523</v>
          </cell>
        </row>
        <row r="722">
          <cell r="B722" t="str">
            <v>M202.0054</v>
          </cell>
          <cell r="C722" t="str">
            <v>Máy đo điện thế thí nghiệm ăn mòn cốt thép trong bê tông</v>
          </cell>
          <cell r="E722" t="str">
            <v>-</v>
          </cell>
          <cell r="G722">
            <v>92408</v>
          </cell>
          <cell r="L722">
            <v>71616</v>
          </cell>
          <cell r="M722">
            <v>71616</v>
          </cell>
          <cell r="N722">
            <v>71616</v>
          </cell>
          <cell r="O722">
            <v>71616</v>
          </cell>
          <cell r="P722">
            <v>71616</v>
          </cell>
          <cell r="Q722">
            <v>71616</v>
          </cell>
          <cell r="R722">
            <v>71616</v>
          </cell>
          <cell r="S722">
            <v>71616</v>
          </cell>
        </row>
        <row r="723">
          <cell r="B723" t="str">
            <v>M202.0055</v>
          </cell>
          <cell r="C723" t="str">
            <v>Máy đo vết nứt</v>
          </cell>
          <cell r="E723" t="str">
            <v>-</v>
          </cell>
          <cell r="G723">
            <v>16280</v>
          </cell>
          <cell r="L723">
            <v>14245</v>
          </cell>
          <cell r="M723">
            <v>14245</v>
          </cell>
          <cell r="N723">
            <v>14245</v>
          </cell>
          <cell r="O723">
            <v>14245</v>
          </cell>
          <cell r="P723">
            <v>14245</v>
          </cell>
          <cell r="Q723">
            <v>14245</v>
          </cell>
          <cell r="R723">
            <v>14245</v>
          </cell>
          <cell r="S723">
            <v>14245</v>
          </cell>
        </row>
        <row r="724">
          <cell r="B724" t="str">
            <v>M202.0056</v>
          </cell>
          <cell r="C724" t="str">
            <v>Máy đo tốc độ ăn mòn cốt thép trong bê tông</v>
          </cell>
          <cell r="E724" t="str">
            <v>-</v>
          </cell>
          <cell r="G724">
            <v>134027</v>
          </cell>
          <cell r="L724">
            <v>101861</v>
          </cell>
          <cell r="M724">
            <v>101861</v>
          </cell>
          <cell r="N724">
            <v>101861</v>
          </cell>
          <cell r="O724">
            <v>101861</v>
          </cell>
          <cell r="P724">
            <v>101861</v>
          </cell>
          <cell r="Q724">
            <v>101861</v>
          </cell>
          <cell r="R724">
            <v>101861</v>
          </cell>
          <cell r="S724">
            <v>101861</v>
          </cell>
        </row>
        <row r="725">
          <cell r="B725" t="str">
            <v>M202.0057</v>
          </cell>
          <cell r="C725" t="str">
            <v>Máy đo độ thấm của I-on Clo</v>
          </cell>
          <cell r="E725" t="str">
            <v>-</v>
          </cell>
          <cell r="G725">
            <v>193874</v>
          </cell>
          <cell r="L725">
            <v>145406</v>
          </cell>
          <cell r="M725">
            <v>145406</v>
          </cell>
          <cell r="N725">
            <v>145406</v>
          </cell>
          <cell r="O725">
            <v>145406</v>
          </cell>
          <cell r="P725">
            <v>145406</v>
          </cell>
          <cell r="Q725">
            <v>145406</v>
          </cell>
          <cell r="R725">
            <v>145406</v>
          </cell>
          <cell r="S725">
            <v>145406</v>
          </cell>
        </row>
        <row r="726">
          <cell r="B726" t="str">
            <v>M202.0058</v>
          </cell>
          <cell r="C726" t="str">
            <v>Dụng cụ đo độ cháy của than</v>
          </cell>
          <cell r="E726" t="str">
            <v>-</v>
          </cell>
          <cell r="G726">
            <v>12038</v>
          </cell>
          <cell r="L726">
            <v>10533</v>
          </cell>
          <cell r="M726">
            <v>10533</v>
          </cell>
          <cell r="N726">
            <v>10533</v>
          </cell>
          <cell r="O726">
            <v>10533</v>
          </cell>
          <cell r="P726">
            <v>10533</v>
          </cell>
          <cell r="Q726">
            <v>10533</v>
          </cell>
          <cell r="R726">
            <v>10533</v>
          </cell>
          <cell r="S726">
            <v>10533</v>
          </cell>
        </row>
        <row r="727">
          <cell r="B727" t="str">
            <v>M202.0059</v>
          </cell>
          <cell r="C727" t="str">
            <v>Máy đo gia tốc</v>
          </cell>
          <cell r="E727" t="str">
            <v>-</v>
          </cell>
          <cell r="G727">
            <v>98370</v>
          </cell>
          <cell r="L727">
            <v>76237</v>
          </cell>
          <cell r="M727">
            <v>76237</v>
          </cell>
          <cell r="N727">
            <v>76237</v>
          </cell>
          <cell r="O727">
            <v>76237</v>
          </cell>
          <cell r="P727">
            <v>76237</v>
          </cell>
          <cell r="Q727">
            <v>76237</v>
          </cell>
          <cell r="R727">
            <v>76237</v>
          </cell>
          <cell r="S727">
            <v>76237</v>
          </cell>
        </row>
        <row r="728">
          <cell r="B728" t="str">
            <v>M202.0060</v>
          </cell>
          <cell r="C728" t="str">
            <v>Máy ghi nhiệt ổn định</v>
          </cell>
          <cell r="E728" t="str">
            <v>-</v>
          </cell>
          <cell r="G728">
            <v>16854</v>
          </cell>
          <cell r="L728">
            <v>14747</v>
          </cell>
          <cell r="M728">
            <v>14747</v>
          </cell>
          <cell r="N728">
            <v>14747</v>
          </cell>
          <cell r="O728">
            <v>14747</v>
          </cell>
          <cell r="P728">
            <v>14747</v>
          </cell>
          <cell r="Q728">
            <v>14747</v>
          </cell>
          <cell r="R728">
            <v>14747</v>
          </cell>
          <cell r="S728">
            <v>14747</v>
          </cell>
        </row>
        <row r="729">
          <cell r="B729" t="str">
            <v>M202.0061</v>
          </cell>
          <cell r="C729" t="str">
            <v>Máy đo chuyển vị</v>
          </cell>
          <cell r="E729" t="str">
            <v>-</v>
          </cell>
          <cell r="G729">
            <v>60765</v>
          </cell>
          <cell r="L729">
            <v>47093</v>
          </cell>
          <cell r="M729">
            <v>47093</v>
          </cell>
          <cell r="N729">
            <v>47093</v>
          </cell>
          <cell r="O729">
            <v>47093</v>
          </cell>
          <cell r="P729">
            <v>47093</v>
          </cell>
          <cell r="Q729">
            <v>47093</v>
          </cell>
          <cell r="R729">
            <v>47093</v>
          </cell>
          <cell r="S729">
            <v>47093</v>
          </cell>
        </row>
        <row r="730">
          <cell r="B730" t="str">
            <v>M202.0062</v>
          </cell>
          <cell r="C730" t="str">
            <v>Máy xác định môđun</v>
          </cell>
          <cell r="E730" t="str">
            <v>-</v>
          </cell>
          <cell r="G730">
            <v>31300</v>
          </cell>
          <cell r="L730">
            <v>25040</v>
          </cell>
          <cell r="M730">
            <v>25040</v>
          </cell>
          <cell r="N730">
            <v>25040</v>
          </cell>
          <cell r="O730">
            <v>25040</v>
          </cell>
          <cell r="P730">
            <v>25040</v>
          </cell>
          <cell r="Q730">
            <v>25040</v>
          </cell>
          <cell r="R730">
            <v>25040</v>
          </cell>
          <cell r="S730">
            <v>25040</v>
          </cell>
        </row>
        <row r="731">
          <cell r="B731" t="str">
            <v>M202.0063</v>
          </cell>
          <cell r="C731" t="str">
            <v>Máy so màu ngọn lửa</v>
          </cell>
          <cell r="E731" t="str">
            <v>-</v>
          </cell>
          <cell r="G731">
            <v>41733</v>
          </cell>
          <cell r="L731">
            <v>33386</v>
          </cell>
          <cell r="M731">
            <v>33386</v>
          </cell>
          <cell r="N731">
            <v>33386</v>
          </cell>
          <cell r="O731">
            <v>33386</v>
          </cell>
          <cell r="P731">
            <v>33386</v>
          </cell>
          <cell r="Q731">
            <v>33386</v>
          </cell>
          <cell r="R731">
            <v>33386</v>
          </cell>
          <cell r="S731">
            <v>33386</v>
          </cell>
        </row>
        <row r="732">
          <cell r="B732" t="str">
            <v>M202.0064</v>
          </cell>
          <cell r="C732" t="str">
            <v>Máy so màu quang điện</v>
          </cell>
          <cell r="E732" t="str">
            <v>-</v>
          </cell>
          <cell r="G732">
            <v>107313</v>
          </cell>
          <cell r="L732">
            <v>83168</v>
          </cell>
          <cell r="M732">
            <v>83168</v>
          </cell>
          <cell r="N732">
            <v>83168</v>
          </cell>
          <cell r="O732">
            <v>83168</v>
          </cell>
          <cell r="P732">
            <v>83168</v>
          </cell>
          <cell r="Q732">
            <v>83168</v>
          </cell>
          <cell r="R732">
            <v>83168</v>
          </cell>
          <cell r="S732">
            <v>83168</v>
          </cell>
        </row>
        <row r="733">
          <cell r="B733" t="str">
            <v>M202.0065</v>
          </cell>
          <cell r="C733" t="str">
            <v>Máy đo độ dãn dài Bitum</v>
          </cell>
          <cell r="E733" t="str">
            <v>-</v>
          </cell>
          <cell r="G733">
            <v>62599</v>
          </cell>
          <cell r="L733">
            <v>48514</v>
          </cell>
          <cell r="M733">
            <v>48514</v>
          </cell>
          <cell r="N733">
            <v>48514</v>
          </cell>
          <cell r="O733">
            <v>48514</v>
          </cell>
          <cell r="P733">
            <v>48514</v>
          </cell>
          <cell r="Q733">
            <v>48514</v>
          </cell>
          <cell r="R733">
            <v>48514</v>
          </cell>
          <cell r="S733">
            <v>48514</v>
          </cell>
        </row>
        <row r="734">
          <cell r="B734" t="str">
            <v>M202.0066</v>
          </cell>
          <cell r="C734" t="str">
            <v>Máy chiết nhựa (Xốc lét)</v>
          </cell>
          <cell r="E734" t="str">
            <v>-</v>
          </cell>
          <cell r="G734">
            <v>8828</v>
          </cell>
          <cell r="L734">
            <v>7725</v>
          </cell>
          <cell r="M734">
            <v>7725</v>
          </cell>
          <cell r="N734">
            <v>7725</v>
          </cell>
          <cell r="O734">
            <v>7725</v>
          </cell>
          <cell r="P734">
            <v>7725</v>
          </cell>
          <cell r="Q734">
            <v>7725</v>
          </cell>
          <cell r="R734">
            <v>7725</v>
          </cell>
          <cell r="S734">
            <v>7725</v>
          </cell>
        </row>
        <row r="735">
          <cell r="B735" t="str">
            <v>M202.0067</v>
          </cell>
          <cell r="C735" t="str">
            <v>Bộ thí nghiệm độ co ngót, trương nở</v>
          </cell>
          <cell r="E735" t="str">
            <v>-</v>
          </cell>
          <cell r="G735">
            <v>14561</v>
          </cell>
          <cell r="L735">
            <v>12741</v>
          </cell>
          <cell r="M735">
            <v>12741</v>
          </cell>
          <cell r="N735">
            <v>12741</v>
          </cell>
          <cell r="O735">
            <v>12741</v>
          </cell>
          <cell r="P735">
            <v>12741</v>
          </cell>
          <cell r="Q735">
            <v>12741</v>
          </cell>
          <cell r="R735">
            <v>12741</v>
          </cell>
          <cell r="S735">
            <v>12741</v>
          </cell>
        </row>
        <row r="736">
          <cell r="B736" t="str">
            <v>M202.0068</v>
          </cell>
          <cell r="C736" t="str">
            <v>Bộ dụng cụ đo độ xuyên động hình côn DCP</v>
          </cell>
          <cell r="E736" t="str">
            <v>-</v>
          </cell>
          <cell r="G736">
            <v>1376</v>
          </cell>
          <cell r="L736">
            <v>1254</v>
          </cell>
          <cell r="M736">
            <v>1254</v>
          </cell>
          <cell r="N736">
            <v>1254</v>
          </cell>
          <cell r="O736">
            <v>1254</v>
          </cell>
          <cell r="P736">
            <v>1254</v>
          </cell>
          <cell r="Q736">
            <v>1254</v>
          </cell>
          <cell r="R736">
            <v>1254</v>
          </cell>
          <cell r="S736">
            <v>1254</v>
          </cell>
        </row>
        <row r="737">
          <cell r="B737" t="str">
            <v>M202.0069</v>
          </cell>
          <cell r="C737" t="str">
            <v>Thiết bị thử tỷ diện</v>
          </cell>
          <cell r="E737" t="str">
            <v>-</v>
          </cell>
          <cell r="G737">
            <v>15822</v>
          </cell>
          <cell r="L737">
            <v>13844</v>
          </cell>
          <cell r="M737">
            <v>13844</v>
          </cell>
          <cell r="N737">
            <v>13844</v>
          </cell>
          <cell r="O737">
            <v>13844</v>
          </cell>
          <cell r="P737">
            <v>13844</v>
          </cell>
          <cell r="Q737">
            <v>13844</v>
          </cell>
          <cell r="R737">
            <v>13844</v>
          </cell>
          <cell r="S737">
            <v>13844</v>
          </cell>
        </row>
        <row r="738">
          <cell r="B738" t="str">
            <v>M202.0070</v>
          </cell>
          <cell r="C738" t="str">
            <v>Bàn dằn</v>
          </cell>
          <cell r="E738" t="str">
            <v>-</v>
          </cell>
          <cell r="G738">
            <v>26828</v>
          </cell>
          <cell r="L738">
            <v>23475</v>
          </cell>
          <cell r="M738">
            <v>23475</v>
          </cell>
          <cell r="N738">
            <v>23475</v>
          </cell>
          <cell r="O738">
            <v>23475</v>
          </cell>
          <cell r="P738">
            <v>23475</v>
          </cell>
          <cell r="Q738">
            <v>23475</v>
          </cell>
          <cell r="R738">
            <v>23475</v>
          </cell>
          <cell r="S738">
            <v>23475</v>
          </cell>
        </row>
        <row r="739">
          <cell r="B739" t="str">
            <v>M202.0071</v>
          </cell>
          <cell r="C739" t="str">
            <v>Bàn rung</v>
          </cell>
          <cell r="E739" t="str">
            <v>-</v>
          </cell>
          <cell r="G739">
            <v>9745</v>
          </cell>
          <cell r="L739">
            <v>8527</v>
          </cell>
          <cell r="M739">
            <v>8527</v>
          </cell>
          <cell r="N739">
            <v>8527</v>
          </cell>
          <cell r="O739">
            <v>8527</v>
          </cell>
          <cell r="P739">
            <v>8527</v>
          </cell>
          <cell r="Q739">
            <v>8527</v>
          </cell>
          <cell r="R739">
            <v>8527</v>
          </cell>
          <cell r="S739">
            <v>8527</v>
          </cell>
        </row>
        <row r="740">
          <cell r="B740" t="str">
            <v>M202.0072</v>
          </cell>
          <cell r="C740" t="str">
            <v>Máy khuấy bằng từ</v>
          </cell>
          <cell r="E740" t="str">
            <v>-</v>
          </cell>
          <cell r="G740">
            <v>15249</v>
          </cell>
          <cell r="L740">
            <v>13343</v>
          </cell>
          <cell r="M740">
            <v>13343</v>
          </cell>
          <cell r="N740">
            <v>13343</v>
          </cell>
          <cell r="O740">
            <v>13343</v>
          </cell>
          <cell r="P740">
            <v>13343</v>
          </cell>
          <cell r="Q740">
            <v>13343</v>
          </cell>
          <cell r="R740">
            <v>13343</v>
          </cell>
          <cell r="S740">
            <v>13343</v>
          </cell>
        </row>
        <row r="741">
          <cell r="B741" t="str">
            <v>M202.0073</v>
          </cell>
          <cell r="C741" t="str">
            <v>Máy khuấy cầm tay NAG-2</v>
          </cell>
          <cell r="E741" t="str">
            <v>-</v>
          </cell>
          <cell r="G741">
            <v>9057</v>
          </cell>
          <cell r="L741">
            <v>7925</v>
          </cell>
          <cell r="M741">
            <v>7925</v>
          </cell>
          <cell r="N741">
            <v>7925</v>
          </cell>
          <cell r="O741">
            <v>7925</v>
          </cell>
          <cell r="P741">
            <v>7925</v>
          </cell>
          <cell r="Q741">
            <v>7925</v>
          </cell>
          <cell r="R741">
            <v>7925</v>
          </cell>
          <cell r="S741">
            <v>7925</v>
          </cell>
        </row>
        <row r="742">
          <cell r="B742" t="str">
            <v>M202.0074</v>
          </cell>
          <cell r="C742" t="str">
            <v>Máy nghiền bi sứ LE1</v>
          </cell>
          <cell r="E742" t="str">
            <v>-</v>
          </cell>
          <cell r="G742">
            <v>8369</v>
          </cell>
          <cell r="L742">
            <v>7323</v>
          </cell>
          <cell r="M742">
            <v>7323</v>
          </cell>
          <cell r="N742">
            <v>7323</v>
          </cell>
          <cell r="O742">
            <v>7323</v>
          </cell>
          <cell r="P742">
            <v>7323</v>
          </cell>
          <cell r="Q742">
            <v>7323</v>
          </cell>
          <cell r="R742">
            <v>7323</v>
          </cell>
          <cell r="S742">
            <v>7323</v>
          </cell>
        </row>
        <row r="743">
          <cell r="B743" t="str">
            <v>M202.0075</v>
          </cell>
          <cell r="C743" t="str">
            <v>Máy phân tích hạt Lazer</v>
          </cell>
          <cell r="E743" t="str">
            <v>-</v>
          </cell>
          <cell r="G743">
            <v>82778</v>
          </cell>
          <cell r="L743">
            <v>64153</v>
          </cell>
          <cell r="M743">
            <v>64153</v>
          </cell>
          <cell r="N743">
            <v>64153</v>
          </cell>
          <cell r="O743">
            <v>64153</v>
          </cell>
          <cell r="P743">
            <v>64153</v>
          </cell>
          <cell r="Q743">
            <v>64153</v>
          </cell>
          <cell r="R743">
            <v>64153</v>
          </cell>
          <cell r="S743">
            <v>64153</v>
          </cell>
        </row>
        <row r="744">
          <cell r="B744" t="str">
            <v>M202.0076</v>
          </cell>
          <cell r="C744" t="str">
            <v>Máy phân tích vi nhiệt</v>
          </cell>
          <cell r="E744" t="str">
            <v>-</v>
          </cell>
          <cell r="G744">
            <v>67071</v>
          </cell>
          <cell r="L744">
            <v>51980</v>
          </cell>
          <cell r="M744">
            <v>51980</v>
          </cell>
          <cell r="N744">
            <v>51980</v>
          </cell>
          <cell r="O744">
            <v>51980</v>
          </cell>
          <cell r="P744">
            <v>51980</v>
          </cell>
          <cell r="Q744">
            <v>51980</v>
          </cell>
          <cell r="R744">
            <v>51980</v>
          </cell>
          <cell r="S744">
            <v>51980</v>
          </cell>
        </row>
        <row r="745">
          <cell r="B745" t="str">
            <v>M202.0077</v>
          </cell>
          <cell r="C745" t="str">
            <v>Tenxômét</v>
          </cell>
          <cell r="E745" t="str">
            <v>-</v>
          </cell>
          <cell r="G745">
            <v>7911</v>
          </cell>
          <cell r="L745">
            <v>6922</v>
          </cell>
          <cell r="M745">
            <v>6922</v>
          </cell>
          <cell r="N745">
            <v>6922</v>
          </cell>
          <cell r="O745">
            <v>6922</v>
          </cell>
          <cell r="P745">
            <v>6922</v>
          </cell>
          <cell r="Q745">
            <v>6922</v>
          </cell>
          <cell r="R745">
            <v>6922</v>
          </cell>
          <cell r="S745">
            <v>6922</v>
          </cell>
        </row>
        <row r="746">
          <cell r="B746" t="str">
            <v>M202.0078</v>
          </cell>
          <cell r="C746" t="str">
            <v>Máy đo độ giãn nở bê tông</v>
          </cell>
          <cell r="E746" t="str">
            <v>-</v>
          </cell>
          <cell r="G746">
            <v>83466</v>
          </cell>
          <cell r="L746">
            <v>64686</v>
          </cell>
          <cell r="M746">
            <v>64686</v>
          </cell>
          <cell r="N746">
            <v>64686</v>
          </cell>
          <cell r="O746">
            <v>64686</v>
          </cell>
          <cell r="P746">
            <v>64686</v>
          </cell>
          <cell r="Q746">
            <v>64686</v>
          </cell>
          <cell r="R746">
            <v>64686</v>
          </cell>
          <cell r="S746">
            <v>64686</v>
          </cell>
        </row>
        <row r="747">
          <cell r="B747" t="str">
            <v>M202.0079</v>
          </cell>
          <cell r="C747" t="str">
            <v>Máy đo hệ số dẫn nhiệt</v>
          </cell>
          <cell r="E747" t="str">
            <v>-</v>
          </cell>
          <cell r="G747">
            <v>7452</v>
          </cell>
          <cell r="L747">
            <v>6521</v>
          </cell>
          <cell r="M747">
            <v>6521</v>
          </cell>
          <cell r="N747">
            <v>6521</v>
          </cell>
          <cell r="O747">
            <v>6521</v>
          </cell>
          <cell r="P747">
            <v>6521</v>
          </cell>
          <cell r="Q747">
            <v>6521</v>
          </cell>
          <cell r="R747">
            <v>6521</v>
          </cell>
          <cell r="S747">
            <v>6521</v>
          </cell>
        </row>
        <row r="748">
          <cell r="B748" t="str">
            <v>M202.0080</v>
          </cell>
          <cell r="C748" t="str">
            <v>Máy nhiễu xạ Rơn ghen (phân tích thành phần hoá lý của vật</v>
          </cell>
          <cell r="E748" t="str">
            <v>-</v>
          </cell>
          <cell r="G748">
            <v>2364900</v>
          </cell>
          <cell r="L748">
            <v>1679079</v>
          </cell>
          <cell r="M748">
            <v>1679079</v>
          </cell>
          <cell r="N748">
            <v>1679079</v>
          </cell>
          <cell r="O748">
            <v>1679079</v>
          </cell>
          <cell r="P748">
            <v>1679079</v>
          </cell>
          <cell r="Q748">
            <v>1679079</v>
          </cell>
          <cell r="R748">
            <v>1679079</v>
          </cell>
          <cell r="S748">
            <v>1679079</v>
          </cell>
        </row>
        <row r="749">
          <cell r="B749" t="str">
            <v>M202.0081</v>
          </cell>
          <cell r="C749" t="str">
            <v>Cần ép mẫu thử gạch chịu lửa</v>
          </cell>
          <cell r="E749" t="str">
            <v>-</v>
          </cell>
          <cell r="G749">
            <v>1147</v>
          </cell>
          <cell r="L749">
            <v>3871</v>
          </cell>
          <cell r="M749">
            <v>3871</v>
          </cell>
          <cell r="N749">
            <v>3871</v>
          </cell>
          <cell r="O749">
            <v>3871</v>
          </cell>
          <cell r="P749">
            <v>3871</v>
          </cell>
          <cell r="Q749">
            <v>3871</v>
          </cell>
          <cell r="R749">
            <v>3871</v>
          </cell>
          <cell r="S749">
            <v>3871</v>
          </cell>
        </row>
        <row r="750">
          <cell r="B750" t="str">
            <v>M202.0082</v>
          </cell>
          <cell r="C750" t="str">
            <v>Côn thử độ sụt</v>
          </cell>
          <cell r="E750" t="str">
            <v>-</v>
          </cell>
          <cell r="G750">
            <v>909</v>
          </cell>
          <cell r="L750">
            <v>3068</v>
          </cell>
          <cell r="M750">
            <v>3068</v>
          </cell>
          <cell r="N750">
            <v>3068</v>
          </cell>
          <cell r="O750">
            <v>3068</v>
          </cell>
          <cell r="P750">
            <v>3068</v>
          </cell>
          <cell r="Q750">
            <v>3068</v>
          </cell>
          <cell r="R750">
            <v>3068</v>
          </cell>
          <cell r="S750">
            <v>3068</v>
          </cell>
        </row>
        <row r="751">
          <cell r="B751" t="str">
            <v>M202.0083</v>
          </cell>
          <cell r="C751" t="str">
            <v>Dụng cụ xác định độ chịu lực va đập xung kích gạch lát xi măng (viên bi sắt)</v>
          </cell>
          <cell r="E751" t="str">
            <v>-</v>
          </cell>
          <cell r="G751">
            <v>1147</v>
          </cell>
          <cell r="L751">
            <v>3871</v>
          </cell>
          <cell r="M751">
            <v>3871</v>
          </cell>
          <cell r="N751">
            <v>3871</v>
          </cell>
          <cell r="O751">
            <v>3871</v>
          </cell>
          <cell r="P751">
            <v>3871</v>
          </cell>
          <cell r="Q751">
            <v>3871</v>
          </cell>
          <cell r="R751">
            <v>3871</v>
          </cell>
          <cell r="S751">
            <v>3871</v>
          </cell>
        </row>
        <row r="752">
          <cell r="B752" t="str">
            <v>M202.0084</v>
          </cell>
          <cell r="C752" t="str">
            <v>Dụng cụ xác định giới hạn bền liên kết</v>
          </cell>
          <cell r="E752" t="str">
            <v>-</v>
          </cell>
          <cell r="G752">
            <v>803</v>
          </cell>
          <cell r="L752">
            <v>2710</v>
          </cell>
          <cell r="M752">
            <v>2710</v>
          </cell>
          <cell r="N752">
            <v>2710</v>
          </cell>
          <cell r="O752">
            <v>2710</v>
          </cell>
          <cell r="P752">
            <v>2710</v>
          </cell>
          <cell r="Q752">
            <v>2710</v>
          </cell>
          <cell r="R752">
            <v>2710</v>
          </cell>
          <cell r="S752">
            <v>2710</v>
          </cell>
        </row>
        <row r="753">
          <cell r="B753" t="str">
            <v>M202.0085</v>
          </cell>
          <cell r="C753" t="str">
            <v>Chén bạch kim</v>
          </cell>
          <cell r="E753" t="str">
            <v>-</v>
          </cell>
          <cell r="G753">
            <v>25223</v>
          </cell>
          <cell r="L753">
            <v>19169</v>
          </cell>
          <cell r="M753">
            <v>19169</v>
          </cell>
          <cell r="N753">
            <v>19169</v>
          </cell>
          <cell r="O753">
            <v>19169</v>
          </cell>
          <cell r="P753">
            <v>19169</v>
          </cell>
          <cell r="Q753">
            <v>19169</v>
          </cell>
          <cell r="R753">
            <v>19169</v>
          </cell>
          <cell r="S753">
            <v>19169</v>
          </cell>
        </row>
        <row r="754">
          <cell r="B754" t="str">
            <v>M202.0086</v>
          </cell>
          <cell r="C754" t="str">
            <v>Kẹp niken</v>
          </cell>
          <cell r="E754" t="str">
            <v>-</v>
          </cell>
          <cell r="G754">
            <v>9057</v>
          </cell>
          <cell r="L754">
            <v>7155</v>
          </cell>
          <cell r="M754">
            <v>7155</v>
          </cell>
          <cell r="N754">
            <v>7155</v>
          </cell>
          <cell r="O754">
            <v>7155</v>
          </cell>
          <cell r="P754">
            <v>7155</v>
          </cell>
          <cell r="Q754">
            <v>7155</v>
          </cell>
          <cell r="R754">
            <v>7155</v>
          </cell>
          <cell r="S754">
            <v>7155</v>
          </cell>
        </row>
        <row r="755">
          <cell r="B755" t="str">
            <v>M202.0087</v>
          </cell>
          <cell r="C755" t="str">
            <v>Máy siêu âm đo chiều dầy kim</v>
          </cell>
          <cell r="E755" t="str">
            <v>-</v>
          </cell>
          <cell r="G755">
            <v>42306</v>
          </cell>
          <cell r="L755">
            <v>33845</v>
          </cell>
          <cell r="M755">
            <v>33845</v>
          </cell>
          <cell r="N755">
            <v>33845</v>
          </cell>
          <cell r="O755">
            <v>33845</v>
          </cell>
          <cell r="P755">
            <v>33845</v>
          </cell>
          <cell r="Q755">
            <v>33845</v>
          </cell>
          <cell r="R755">
            <v>33845</v>
          </cell>
          <cell r="S755">
            <v>33845</v>
          </cell>
        </row>
        <row r="756">
          <cell r="B756" t="str">
            <v>M202.0088</v>
          </cell>
          <cell r="C756" t="str">
            <v>Máy dò vị trí cốt thép</v>
          </cell>
          <cell r="E756" t="str">
            <v>-</v>
          </cell>
          <cell r="G756">
            <v>67071</v>
          </cell>
          <cell r="L756">
            <v>51980</v>
          </cell>
          <cell r="M756">
            <v>51980</v>
          </cell>
          <cell r="N756">
            <v>51980</v>
          </cell>
          <cell r="O756">
            <v>51980</v>
          </cell>
          <cell r="P756">
            <v>51980</v>
          </cell>
          <cell r="Q756">
            <v>51980</v>
          </cell>
          <cell r="R756">
            <v>51980</v>
          </cell>
          <cell r="S756">
            <v>51980</v>
          </cell>
        </row>
        <row r="757">
          <cell r="B757" t="str">
            <v>M202.0089</v>
          </cell>
          <cell r="C757" t="str">
            <v>Máy siêu âm kiểm tra chất lượng mối hàn</v>
          </cell>
          <cell r="E757" t="str">
            <v>-</v>
          </cell>
          <cell r="G757">
            <v>153517</v>
          </cell>
          <cell r="L757">
            <v>116673</v>
          </cell>
          <cell r="M757">
            <v>116673</v>
          </cell>
          <cell r="N757">
            <v>116673</v>
          </cell>
          <cell r="O757">
            <v>116673</v>
          </cell>
          <cell r="P757">
            <v>116673</v>
          </cell>
          <cell r="Q757">
            <v>116673</v>
          </cell>
          <cell r="R757">
            <v>116673</v>
          </cell>
          <cell r="S757">
            <v>116673</v>
          </cell>
        </row>
        <row r="758">
          <cell r="B758" t="str">
            <v>M202.0090</v>
          </cell>
          <cell r="C758" t="str">
            <v>Máy siêu âm kiểm tra cường độ bê tông của cấu kiện bê tông, bê tông cốt thép tại hiện trường</v>
          </cell>
          <cell r="E758" t="str">
            <v>-</v>
          </cell>
          <cell r="G758">
            <v>64204</v>
          </cell>
          <cell r="L758">
            <v>49758</v>
          </cell>
          <cell r="M758">
            <v>49758</v>
          </cell>
          <cell r="N758">
            <v>49758</v>
          </cell>
          <cell r="O758">
            <v>49758</v>
          </cell>
          <cell r="P758">
            <v>49758</v>
          </cell>
          <cell r="Q758">
            <v>49758</v>
          </cell>
          <cell r="R758">
            <v>49758</v>
          </cell>
          <cell r="S758">
            <v>49758</v>
          </cell>
        </row>
        <row r="759">
          <cell r="B759" t="str">
            <v>M202.0091</v>
          </cell>
          <cell r="C759" t="str">
            <v>Súng bi</v>
          </cell>
          <cell r="E759" t="str">
            <v>-</v>
          </cell>
          <cell r="G759">
            <v>8599</v>
          </cell>
          <cell r="L759">
            <v>7524</v>
          </cell>
          <cell r="M759">
            <v>7524</v>
          </cell>
          <cell r="N759">
            <v>7524</v>
          </cell>
          <cell r="O759">
            <v>7524</v>
          </cell>
          <cell r="P759">
            <v>7524</v>
          </cell>
          <cell r="Q759">
            <v>7524</v>
          </cell>
          <cell r="R759">
            <v>7524</v>
          </cell>
          <cell r="S759">
            <v>7524</v>
          </cell>
        </row>
        <row r="760">
          <cell r="B760" t="str">
            <v>M202.0092</v>
          </cell>
          <cell r="C760" t="str">
            <v>Thiết bị hấp mẫu xi măng</v>
          </cell>
          <cell r="E760" t="str">
            <v>-</v>
          </cell>
          <cell r="G760">
            <v>1200</v>
          </cell>
          <cell r="L760">
            <v>1050</v>
          </cell>
          <cell r="M760">
            <v>1050</v>
          </cell>
          <cell r="N760">
            <v>1050</v>
          </cell>
          <cell r="O760">
            <v>1050</v>
          </cell>
          <cell r="P760">
            <v>1050</v>
          </cell>
          <cell r="Q760">
            <v>1050</v>
          </cell>
          <cell r="R760">
            <v>1050</v>
          </cell>
          <cell r="S760">
            <v>1050</v>
          </cell>
        </row>
        <row r="761">
          <cell r="B761" t="str">
            <v>M202.0093</v>
          </cell>
          <cell r="C761" t="str">
            <v>Bình hút ẩm</v>
          </cell>
          <cell r="E761" t="str">
            <v>-</v>
          </cell>
          <cell r="G761">
            <v>500</v>
          </cell>
          <cell r="L761">
            <v>438</v>
          </cell>
          <cell r="M761">
            <v>438</v>
          </cell>
          <cell r="N761">
            <v>438</v>
          </cell>
          <cell r="O761">
            <v>438</v>
          </cell>
          <cell r="P761">
            <v>438</v>
          </cell>
          <cell r="Q761">
            <v>438</v>
          </cell>
          <cell r="R761">
            <v>438</v>
          </cell>
          <cell r="S761">
            <v>438</v>
          </cell>
        </row>
        <row r="762">
          <cell r="B762" t="str">
            <v>M202.0094</v>
          </cell>
          <cell r="C762" t="str">
            <v>Bộ dụng cụ xác định thấm nước</v>
          </cell>
          <cell r="E762" t="str">
            <v>-</v>
          </cell>
          <cell r="G762">
            <v>22000</v>
          </cell>
          <cell r="L762">
            <v>19250</v>
          </cell>
          <cell r="M762">
            <v>19250</v>
          </cell>
          <cell r="N762">
            <v>19250</v>
          </cell>
          <cell r="O762">
            <v>19250</v>
          </cell>
          <cell r="P762">
            <v>19250</v>
          </cell>
          <cell r="Q762">
            <v>19250</v>
          </cell>
          <cell r="R762">
            <v>19250</v>
          </cell>
          <cell r="S762">
            <v>19250</v>
          </cell>
        </row>
        <row r="763">
          <cell r="B763" t="str">
            <v>M202.0095</v>
          </cell>
          <cell r="C763" t="str">
            <v>Bơm thủy lực ZB4-500</v>
          </cell>
          <cell r="E763" t="str">
            <v>-</v>
          </cell>
          <cell r="G763">
            <v>16360</v>
          </cell>
          <cell r="L763">
            <v>14315</v>
          </cell>
          <cell r="M763">
            <v>14315</v>
          </cell>
          <cell r="N763">
            <v>14315</v>
          </cell>
          <cell r="O763">
            <v>14315</v>
          </cell>
          <cell r="P763">
            <v>14315</v>
          </cell>
          <cell r="Q763">
            <v>14315</v>
          </cell>
          <cell r="R763">
            <v>14315</v>
          </cell>
          <cell r="S763">
            <v>14315</v>
          </cell>
        </row>
        <row r="764">
          <cell r="B764" t="str">
            <v>M202.0096</v>
          </cell>
          <cell r="C764" t="str">
            <v>Đồng hồ đo áp lực</v>
          </cell>
          <cell r="E764" t="str">
            <v>-</v>
          </cell>
          <cell r="G764">
            <v>200</v>
          </cell>
          <cell r="L764">
            <v>162</v>
          </cell>
          <cell r="M764">
            <v>162</v>
          </cell>
          <cell r="N764">
            <v>162</v>
          </cell>
          <cell r="O764">
            <v>162</v>
          </cell>
          <cell r="P764">
            <v>162</v>
          </cell>
          <cell r="Q764">
            <v>162</v>
          </cell>
          <cell r="R764">
            <v>162</v>
          </cell>
          <cell r="S764">
            <v>162</v>
          </cell>
        </row>
        <row r="765">
          <cell r="B765" t="str">
            <v>M202.0097</v>
          </cell>
          <cell r="C765" t="str">
            <v>Đồng hồ đo biến dạng</v>
          </cell>
          <cell r="E765" t="str">
            <v>-</v>
          </cell>
          <cell r="G765">
            <v>1200</v>
          </cell>
          <cell r="L765">
            <v>972</v>
          </cell>
          <cell r="M765">
            <v>972</v>
          </cell>
          <cell r="N765">
            <v>972</v>
          </cell>
          <cell r="O765">
            <v>972</v>
          </cell>
          <cell r="P765">
            <v>972</v>
          </cell>
          <cell r="Q765">
            <v>972</v>
          </cell>
          <cell r="R765">
            <v>972</v>
          </cell>
          <cell r="S765">
            <v>972</v>
          </cell>
        </row>
        <row r="766">
          <cell r="B766" t="str">
            <v>M202.0098</v>
          </cell>
          <cell r="C766" t="str">
            <v>Đồng hồ đo nước</v>
          </cell>
          <cell r="E766" t="str">
            <v>-</v>
          </cell>
          <cell r="G766">
            <v>2800</v>
          </cell>
          <cell r="L766">
            <v>2268</v>
          </cell>
          <cell r="M766">
            <v>2268</v>
          </cell>
          <cell r="N766">
            <v>2268</v>
          </cell>
          <cell r="O766">
            <v>2268</v>
          </cell>
          <cell r="P766">
            <v>2268</v>
          </cell>
          <cell r="Q766">
            <v>2268</v>
          </cell>
          <cell r="R766">
            <v>2268</v>
          </cell>
          <cell r="S766">
            <v>2268</v>
          </cell>
        </row>
        <row r="767">
          <cell r="B767" t="str">
            <v>M202.0099</v>
          </cell>
          <cell r="C767" t="str">
            <v>Đồng hồ đo lún</v>
          </cell>
          <cell r="E767" t="str">
            <v>-</v>
          </cell>
          <cell r="G767">
            <v>1800</v>
          </cell>
          <cell r="L767">
            <v>1458</v>
          </cell>
          <cell r="M767">
            <v>1458</v>
          </cell>
          <cell r="N767">
            <v>1458</v>
          </cell>
          <cell r="O767">
            <v>1458</v>
          </cell>
          <cell r="P767">
            <v>1458</v>
          </cell>
          <cell r="Q767">
            <v>1458</v>
          </cell>
          <cell r="R767">
            <v>1458</v>
          </cell>
          <cell r="S767">
            <v>1458</v>
          </cell>
        </row>
        <row r="768">
          <cell r="B768" t="str">
            <v>M202.0100</v>
          </cell>
          <cell r="C768" t="str">
            <v>Đồng hồ Shore A</v>
          </cell>
          <cell r="E768" t="str">
            <v>-</v>
          </cell>
          <cell r="G768">
            <v>1500</v>
          </cell>
          <cell r="L768">
            <v>1215</v>
          </cell>
          <cell r="M768">
            <v>1215</v>
          </cell>
          <cell r="N768">
            <v>1215</v>
          </cell>
          <cell r="O768">
            <v>1215</v>
          </cell>
          <cell r="P768">
            <v>1215</v>
          </cell>
          <cell r="Q768">
            <v>1215</v>
          </cell>
          <cell r="R768">
            <v>1215</v>
          </cell>
          <cell r="S768">
            <v>1215</v>
          </cell>
        </row>
        <row r="769">
          <cell r="B769" t="str">
            <v>M202.0101</v>
          </cell>
          <cell r="C769" t="str">
            <v>Dụng cụ đo độ bền va đập</v>
          </cell>
          <cell r="E769" t="str">
            <v>-</v>
          </cell>
          <cell r="G769">
            <v>1200</v>
          </cell>
          <cell r="L769">
            <v>1230</v>
          </cell>
          <cell r="M769">
            <v>1230</v>
          </cell>
          <cell r="N769">
            <v>1230</v>
          </cell>
          <cell r="O769">
            <v>1230</v>
          </cell>
          <cell r="P769">
            <v>1230</v>
          </cell>
          <cell r="Q769">
            <v>1230</v>
          </cell>
          <cell r="R769">
            <v>1230</v>
          </cell>
          <cell r="S769">
            <v>1230</v>
          </cell>
        </row>
        <row r="770">
          <cell r="B770" t="str">
            <v>M202.0102</v>
          </cell>
          <cell r="C770" t="str">
            <v>Dụng cụ đo hệ số giãn nở ẩm</v>
          </cell>
          <cell r="E770" t="str">
            <v>-</v>
          </cell>
          <cell r="G770">
            <v>5000</v>
          </cell>
          <cell r="L770">
            <v>5125</v>
          </cell>
          <cell r="M770">
            <v>5125</v>
          </cell>
          <cell r="N770">
            <v>5125</v>
          </cell>
          <cell r="O770">
            <v>5125</v>
          </cell>
          <cell r="P770">
            <v>5125</v>
          </cell>
          <cell r="Q770">
            <v>5125</v>
          </cell>
          <cell r="R770">
            <v>5125</v>
          </cell>
          <cell r="S770">
            <v>5125</v>
          </cell>
        </row>
        <row r="771">
          <cell r="B771" t="str">
            <v>M202.0103</v>
          </cell>
          <cell r="C771" t="str">
            <v>Dụng cụ phá vỡ mẫu kính</v>
          </cell>
          <cell r="E771" t="str">
            <v>-</v>
          </cell>
          <cell r="G771">
            <v>2500</v>
          </cell>
          <cell r="L771">
            <v>2563</v>
          </cell>
          <cell r="M771">
            <v>2563</v>
          </cell>
          <cell r="N771">
            <v>2563</v>
          </cell>
          <cell r="O771">
            <v>2563</v>
          </cell>
          <cell r="P771">
            <v>2563</v>
          </cell>
          <cell r="Q771">
            <v>2563</v>
          </cell>
          <cell r="R771">
            <v>2563</v>
          </cell>
          <cell r="S771">
            <v>2563</v>
          </cell>
        </row>
        <row r="772">
          <cell r="B772" t="str">
            <v>M202.0104</v>
          </cell>
          <cell r="C772" t="str">
            <v>Dụng cụ thử thấm mực</v>
          </cell>
          <cell r="E772" t="str">
            <v>-</v>
          </cell>
          <cell r="G772">
            <v>500</v>
          </cell>
          <cell r="L772">
            <v>513</v>
          </cell>
          <cell r="M772">
            <v>513</v>
          </cell>
          <cell r="N772">
            <v>513</v>
          </cell>
          <cell r="O772">
            <v>513</v>
          </cell>
          <cell r="P772">
            <v>513</v>
          </cell>
          <cell r="Q772">
            <v>513</v>
          </cell>
          <cell r="R772">
            <v>513</v>
          </cell>
          <cell r="S772">
            <v>513</v>
          </cell>
        </row>
        <row r="773">
          <cell r="B773" t="str">
            <v>M202.0105</v>
          </cell>
          <cell r="C773" t="str">
            <v>Dụng cụ Vica</v>
          </cell>
          <cell r="E773" t="str">
            <v>-</v>
          </cell>
          <cell r="G773">
            <v>1900</v>
          </cell>
          <cell r="L773">
            <v>1948</v>
          </cell>
          <cell r="M773">
            <v>1948</v>
          </cell>
          <cell r="N773">
            <v>1948</v>
          </cell>
          <cell r="O773">
            <v>1948</v>
          </cell>
          <cell r="P773">
            <v>1948</v>
          </cell>
          <cell r="Q773">
            <v>1948</v>
          </cell>
          <cell r="R773">
            <v>1948</v>
          </cell>
          <cell r="S773">
            <v>1948</v>
          </cell>
        </row>
        <row r="774">
          <cell r="B774" t="str">
            <v>M202.0106</v>
          </cell>
          <cell r="C774" t="str">
            <v>Dụng cụ xác định độ bền va đập</v>
          </cell>
          <cell r="E774" t="str">
            <v>-</v>
          </cell>
          <cell r="G774">
            <v>90000</v>
          </cell>
          <cell r="L774">
            <v>87750</v>
          </cell>
          <cell r="M774">
            <v>87750</v>
          </cell>
          <cell r="N774">
            <v>87750</v>
          </cell>
          <cell r="O774">
            <v>87750</v>
          </cell>
          <cell r="P774">
            <v>87750</v>
          </cell>
          <cell r="Q774">
            <v>87750</v>
          </cell>
          <cell r="R774">
            <v>87750</v>
          </cell>
          <cell r="S774">
            <v>87750</v>
          </cell>
        </row>
        <row r="775">
          <cell r="B775" t="str">
            <v>M202.0107</v>
          </cell>
          <cell r="C775" t="str">
            <v>Dụng cụ xác định độ bền va uốn</v>
          </cell>
          <cell r="E775" t="str">
            <v>-</v>
          </cell>
          <cell r="G775">
            <v>80000</v>
          </cell>
          <cell r="L775">
            <v>78000</v>
          </cell>
          <cell r="M775">
            <v>78000</v>
          </cell>
          <cell r="N775">
            <v>78000</v>
          </cell>
          <cell r="O775">
            <v>78000</v>
          </cell>
          <cell r="P775">
            <v>78000</v>
          </cell>
          <cell r="Q775">
            <v>78000</v>
          </cell>
          <cell r="R775">
            <v>78000</v>
          </cell>
          <cell r="S775">
            <v>78000</v>
          </cell>
        </row>
        <row r="776">
          <cell r="B776" t="str">
            <v>M202.0108</v>
          </cell>
          <cell r="C776" t="str">
            <v>Khuôn Capping mẫu</v>
          </cell>
          <cell r="E776" t="str">
            <v>-</v>
          </cell>
          <cell r="G776">
            <v>1500</v>
          </cell>
          <cell r="L776">
            <v>1538</v>
          </cell>
          <cell r="M776">
            <v>1538</v>
          </cell>
          <cell r="N776">
            <v>1538</v>
          </cell>
          <cell r="O776">
            <v>1538</v>
          </cell>
          <cell r="P776">
            <v>1538</v>
          </cell>
          <cell r="Q776">
            <v>1538</v>
          </cell>
          <cell r="R776">
            <v>1538</v>
          </cell>
          <cell r="S776">
            <v>1538</v>
          </cell>
        </row>
        <row r="777">
          <cell r="B777" t="str">
            <v>M202.0109</v>
          </cell>
          <cell r="C777" t="str">
            <v>Khuôn dập mẫu</v>
          </cell>
          <cell r="E777" t="str">
            <v>-</v>
          </cell>
          <cell r="G777">
            <v>440</v>
          </cell>
          <cell r="L777">
            <v>451</v>
          </cell>
          <cell r="M777">
            <v>451</v>
          </cell>
          <cell r="N777">
            <v>451</v>
          </cell>
          <cell r="O777">
            <v>451</v>
          </cell>
          <cell r="P777">
            <v>451</v>
          </cell>
          <cell r="Q777">
            <v>451</v>
          </cell>
          <cell r="R777">
            <v>451</v>
          </cell>
          <cell r="S777">
            <v>451</v>
          </cell>
        </row>
        <row r="778">
          <cell r="B778" t="str">
            <v>M202.0110</v>
          </cell>
          <cell r="C778" t="str">
            <v>Kích kéo thủy lực 60 t</v>
          </cell>
          <cell r="E778" t="str">
            <v>-</v>
          </cell>
          <cell r="G778">
            <v>20455</v>
          </cell>
          <cell r="L778">
            <v>16569</v>
          </cell>
          <cell r="M778">
            <v>16569</v>
          </cell>
          <cell r="N778">
            <v>16569</v>
          </cell>
          <cell r="O778">
            <v>16569</v>
          </cell>
          <cell r="P778">
            <v>16569</v>
          </cell>
          <cell r="Q778">
            <v>16569</v>
          </cell>
          <cell r="R778">
            <v>16569</v>
          </cell>
          <cell r="S778">
            <v>16569</v>
          </cell>
        </row>
        <row r="779">
          <cell r="B779" t="str">
            <v>M202.0111</v>
          </cell>
          <cell r="C779" t="str">
            <v>Kích thủy lực 800 t</v>
          </cell>
          <cell r="E779" t="str">
            <v>-</v>
          </cell>
          <cell r="G779">
            <v>124150</v>
          </cell>
          <cell r="L779">
            <v>94354</v>
          </cell>
          <cell r="M779">
            <v>94354</v>
          </cell>
          <cell r="N779">
            <v>94354</v>
          </cell>
          <cell r="O779">
            <v>94354</v>
          </cell>
          <cell r="P779">
            <v>94354</v>
          </cell>
          <cell r="Q779">
            <v>94354</v>
          </cell>
          <cell r="R779">
            <v>94354</v>
          </cell>
          <cell r="S779">
            <v>94354</v>
          </cell>
        </row>
        <row r="780">
          <cell r="B780" t="str">
            <v>M202.0112</v>
          </cell>
          <cell r="C780" t="str">
            <v>Kính phóng đại đo lường</v>
          </cell>
          <cell r="E780" t="str">
            <v>-</v>
          </cell>
          <cell r="G780">
            <v>3500</v>
          </cell>
          <cell r="L780">
            <v>2888</v>
          </cell>
          <cell r="M780">
            <v>2888</v>
          </cell>
          <cell r="N780">
            <v>2888</v>
          </cell>
          <cell r="O780">
            <v>2888</v>
          </cell>
          <cell r="P780">
            <v>2888</v>
          </cell>
          <cell r="Q780">
            <v>2888</v>
          </cell>
          <cell r="R780">
            <v>2888</v>
          </cell>
          <cell r="S780">
            <v>2888</v>
          </cell>
        </row>
        <row r="781">
          <cell r="B781" t="str">
            <v>M202.0113</v>
          </cell>
          <cell r="C781" t="str">
            <v>Kính lúp</v>
          </cell>
          <cell r="E781" t="str">
            <v>-</v>
          </cell>
          <cell r="G781">
            <v>200</v>
          </cell>
          <cell r="L781">
            <v>165</v>
          </cell>
          <cell r="M781">
            <v>165</v>
          </cell>
          <cell r="N781">
            <v>165</v>
          </cell>
          <cell r="O781">
            <v>165</v>
          </cell>
          <cell r="P781">
            <v>165</v>
          </cell>
          <cell r="Q781">
            <v>165</v>
          </cell>
          <cell r="R781">
            <v>165</v>
          </cell>
          <cell r="S781">
            <v>165</v>
          </cell>
        </row>
        <row r="782">
          <cell r="B782" t="str">
            <v>M202.0114</v>
          </cell>
          <cell r="C782" t="str">
            <v>Máy bộ đàm</v>
          </cell>
          <cell r="E782" t="str">
            <v>-</v>
          </cell>
          <cell r="G782">
            <v>350</v>
          </cell>
          <cell r="L782">
            <v>289</v>
          </cell>
          <cell r="M782">
            <v>289</v>
          </cell>
          <cell r="N782">
            <v>289</v>
          </cell>
          <cell r="O782">
            <v>289</v>
          </cell>
          <cell r="P782">
            <v>289</v>
          </cell>
          <cell r="Q782">
            <v>289</v>
          </cell>
          <cell r="R782">
            <v>289</v>
          </cell>
          <cell r="S782">
            <v>289</v>
          </cell>
        </row>
        <row r="783">
          <cell r="B783" t="str">
            <v>M202.0115</v>
          </cell>
          <cell r="C783" t="str">
            <v>Máy cắt quay tay</v>
          </cell>
          <cell r="E783" t="str">
            <v>-</v>
          </cell>
          <cell r="G783">
            <v>1200</v>
          </cell>
          <cell r="L783">
            <v>990</v>
          </cell>
          <cell r="M783">
            <v>990</v>
          </cell>
          <cell r="N783">
            <v>990</v>
          </cell>
          <cell r="O783">
            <v>990</v>
          </cell>
          <cell r="P783">
            <v>990</v>
          </cell>
          <cell r="Q783">
            <v>990</v>
          </cell>
          <cell r="R783">
            <v>990</v>
          </cell>
          <cell r="S783">
            <v>990</v>
          </cell>
        </row>
        <row r="784">
          <cell r="B784" t="str">
            <v>M202.0116</v>
          </cell>
          <cell r="C784" t="str">
            <v>Máy cắt, mài mẫu vật liệu</v>
          </cell>
          <cell r="E784" t="str">
            <v>-</v>
          </cell>
          <cell r="G784">
            <v>18000</v>
          </cell>
          <cell r="L784">
            <v>14850</v>
          </cell>
          <cell r="M784">
            <v>14850</v>
          </cell>
          <cell r="N784">
            <v>14850</v>
          </cell>
          <cell r="O784">
            <v>14850</v>
          </cell>
          <cell r="P784">
            <v>14850</v>
          </cell>
          <cell r="Q784">
            <v>14850</v>
          </cell>
          <cell r="R784">
            <v>14850</v>
          </cell>
          <cell r="S784">
            <v>14850</v>
          </cell>
        </row>
        <row r="785">
          <cell r="B785" t="str">
            <v>M202.0117</v>
          </cell>
          <cell r="C785" t="str">
            <v>Máy đo dao động điện tử (kèm đầu đo dao động 3 chiều)</v>
          </cell>
          <cell r="E785" t="str">
            <v>-</v>
          </cell>
          <cell r="G785">
            <v>281375</v>
          </cell>
          <cell r="L785">
            <v>218066</v>
          </cell>
          <cell r="M785">
            <v>218066</v>
          </cell>
          <cell r="N785">
            <v>218066</v>
          </cell>
          <cell r="O785">
            <v>218066</v>
          </cell>
          <cell r="P785">
            <v>218066</v>
          </cell>
          <cell r="Q785">
            <v>218066</v>
          </cell>
          <cell r="R785">
            <v>218066</v>
          </cell>
          <cell r="S785">
            <v>218066</v>
          </cell>
        </row>
        <row r="786">
          <cell r="B786" t="str">
            <v>M202.0118</v>
          </cell>
          <cell r="C786" t="str">
            <v>Máy đo độ bóng</v>
          </cell>
          <cell r="E786" t="str">
            <v>-</v>
          </cell>
          <cell r="G786">
            <v>6500</v>
          </cell>
          <cell r="L786">
            <v>5363</v>
          </cell>
          <cell r="M786">
            <v>5363</v>
          </cell>
          <cell r="N786">
            <v>5363</v>
          </cell>
          <cell r="O786">
            <v>5363</v>
          </cell>
          <cell r="P786">
            <v>5363</v>
          </cell>
          <cell r="Q786">
            <v>5363</v>
          </cell>
          <cell r="R786">
            <v>5363</v>
          </cell>
          <cell r="S786">
            <v>5363</v>
          </cell>
        </row>
        <row r="787">
          <cell r="B787" t="str">
            <v>M202.0119</v>
          </cell>
          <cell r="C787" t="str">
            <v>Máy khoan HILTI hoặc loại tương tự</v>
          </cell>
          <cell r="E787" t="str">
            <v>-</v>
          </cell>
          <cell r="G787">
            <v>15000</v>
          </cell>
          <cell r="L787">
            <v>12375</v>
          </cell>
          <cell r="M787">
            <v>12375</v>
          </cell>
          <cell r="N787">
            <v>12375</v>
          </cell>
          <cell r="O787">
            <v>12375</v>
          </cell>
          <cell r="P787">
            <v>12375</v>
          </cell>
          <cell r="Q787">
            <v>12375</v>
          </cell>
          <cell r="R787">
            <v>12375</v>
          </cell>
          <cell r="S787">
            <v>12375</v>
          </cell>
        </row>
        <row r="788">
          <cell r="B788" t="str">
            <v>M202.0120</v>
          </cell>
          <cell r="C788" t="str">
            <v>Thiết bị đo độ dẫn nước</v>
          </cell>
          <cell r="E788" t="str">
            <v>-</v>
          </cell>
          <cell r="G788">
            <v>2500</v>
          </cell>
          <cell r="L788">
            <v>2188</v>
          </cell>
          <cell r="M788">
            <v>2188</v>
          </cell>
          <cell r="N788">
            <v>2188</v>
          </cell>
          <cell r="O788">
            <v>2188</v>
          </cell>
          <cell r="P788">
            <v>2188</v>
          </cell>
          <cell r="Q788">
            <v>2188</v>
          </cell>
          <cell r="R788">
            <v>2188</v>
          </cell>
          <cell r="S788">
            <v>2188</v>
          </cell>
        </row>
        <row r="789">
          <cell r="B789" t="str">
            <v>M202.0121</v>
          </cell>
          <cell r="C789" t="str">
            <v>Thiết bị đo độ dày</v>
          </cell>
          <cell r="E789" t="str">
            <v>-</v>
          </cell>
          <cell r="G789">
            <v>1500</v>
          </cell>
          <cell r="L789">
            <v>1313</v>
          </cell>
          <cell r="M789">
            <v>1313</v>
          </cell>
          <cell r="N789">
            <v>1313</v>
          </cell>
          <cell r="O789">
            <v>1313</v>
          </cell>
          <cell r="P789">
            <v>1313</v>
          </cell>
          <cell r="Q789">
            <v>1313</v>
          </cell>
          <cell r="R789">
            <v>1313</v>
          </cell>
          <cell r="S789">
            <v>1313</v>
          </cell>
        </row>
        <row r="790">
          <cell r="B790" t="str">
            <v>M202.0122</v>
          </cell>
          <cell r="C790" t="str">
            <v>Máy đo độ giãn nở nhiệt dài</v>
          </cell>
          <cell r="E790" t="str">
            <v>-</v>
          </cell>
          <cell r="G790">
            <v>2500</v>
          </cell>
          <cell r="L790">
            <v>2188</v>
          </cell>
          <cell r="M790">
            <v>2188</v>
          </cell>
          <cell r="N790">
            <v>2188</v>
          </cell>
          <cell r="O790">
            <v>2188</v>
          </cell>
          <cell r="P790">
            <v>2188</v>
          </cell>
          <cell r="Q790">
            <v>2188</v>
          </cell>
          <cell r="R790">
            <v>2188</v>
          </cell>
          <cell r="S790">
            <v>2188</v>
          </cell>
        </row>
        <row r="791">
          <cell r="B791" t="str">
            <v>M202.0123</v>
          </cell>
          <cell r="C791" t="str">
            <v>Máy dò khuyết tật</v>
          </cell>
          <cell r="E791" t="str">
            <v>-</v>
          </cell>
          <cell r="G791">
            <v>3500</v>
          </cell>
          <cell r="L791">
            <v>3063</v>
          </cell>
          <cell r="M791">
            <v>3063</v>
          </cell>
          <cell r="N791">
            <v>3063</v>
          </cell>
          <cell r="O791">
            <v>3063</v>
          </cell>
          <cell r="P791">
            <v>3063</v>
          </cell>
          <cell r="Q791">
            <v>3063</v>
          </cell>
          <cell r="R791">
            <v>3063</v>
          </cell>
          <cell r="S791">
            <v>3063</v>
          </cell>
        </row>
        <row r="792">
          <cell r="B792" t="str">
            <v>M202.0124</v>
          </cell>
          <cell r="C792" t="str">
            <v>Máy đo kích thước</v>
          </cell>
          <cell r="E792" t="str">
            <v>-</v>
          </cell>
          <cell r="G792">
            <v>2500</v>
          </cell>
          <cell r="L792">
            <v>2188</v>
          </cell>
          <cell r="M792">
            <v>2188</v>
          </cell>
          <cell r="N792">
            <v>2188</v>
          </cell>
          <cell r="O792">
            <v>2188</v>
          </cell>
          <cell r="P792">
            <v>2188</v>
          </cell>
          <cell r="Q792">
            <v>2188</v>
          </cell>
          <cell r="R792">
            <v>2188</v>
          </cell>
          <cell r="S792">
            <v>2188</v>
          </cell>
        </row>
        <row r="793">
          <cell r="B793" t="str">
            <v>M202.0125</v>
          </cell>
          <cell r="C793" t="str">
            <v>Máy đo thời gian khô màng sơn</v>
          </cell>
          <cell r="E793" t="str">
            <v>-</v>
          </cell>
          <cell r="G793">
            <v>3000</v>
          </cell>
          <cell r="L793">
            <v>2625</v>
          </cell>
          <cell r="M793">
            <v>2625</v>
          </cell>
          <cell r="N793">
            <v>2625</v>
          </cell>
          <cell r="O793">
            <v>2625</v>
          </cell>
          <cell r="P793">
            <v>2625</v>
          </cell>
          <cell r="Q793">
            <v>2625</v>
          </cell>
          <cell r="R793">
            <v>2625</v>
          </cell>
          <cell r="S793">
            <v>2625</v>
          </cell>
        </row>
        <row r="794">
          <cell r="B794" t="str">
            <v>M202.0126</v>
          </cell>
          <cell r="C794" t="str">
            <v>Máy đo ứng suất bề mặt</v>
          </cell>
          <cell r="E794" t="str">
            <v>-</v>
          </cell>
          <cell r="G794">
            <v>5000</v>
          </cell>
          <cell r="L794">
            <v>4375</v>
          </cell>
          <cell r="M794">
            <v>4375</v>
          </cell>
          <cell r="N794">
            <v>4375</v>
          </cell>
          <cell r="O794">
            <v>4375</v>
          </cell>
          <cell r="P794">
            <v>4375</v>
          </cell>
          <cell r="Q794">
            <v>4375</v>
          </cell>
          <cell r="R794">
            <v>4375</v>
          </cell>
          <cell r="S794">
            <v>4375</v>
          </cell>
        </row>
        <row r="795">
          <cell r="B795" t="str">
            <v>M202.0127</v>
          </cell>
          <cell r="C795" t="str">
            <v>Máy đo ứng suất điện tử</v>
          </cell>
          <cell r="E795" t="str">
            <v>-</v>
          </cell>
          <cell r="G795">
            <v>5000</v>
          </cell>
          <cell r="L795">
            <v>4375</v>
          </cell>
          <cell r="M795">
            <v>4375</v>
          </cell>
          <cell r="N795">
            <v>4375</v>
          </cell>
          <cell r="O795">
            <v>4375</v>
          </cell>
          <cell r="P795">
            <v>4375</v>
          </cell>
          <cell r="Q795">
            <v>4375</v>
          </cell>
          <cell r="R795">
            <v>4375</v>
          </cell>
          <cell r="S795">
            <v>4375</v>
          </cell>
        </row>
        <row r="796">
          <cell r="B796" t="str">
            <v>M202.0128</v>
          </cell>
          <cell r="C796" t="str">
            <v>Máy Hveem</v>
          </cell>
          <cell r="E796" t="str">
            <v>-</v>
          </cell>
          <cell r="G796">
            <v>15000</v>
          </cell>
          <cell r="L796">
            <v>12375</v>
          </cell>
          <cell r="M796">
            <v>12375</v>
          </cell>
          <cell r="N796">
            <v>12375</v>
          </cell>
          <cell r="O796">
            <v>12375</v>
          </cell>
          <cell r="P796">
            <v>12375</v>
          </cell>
          <cell r="Q796">
            <v>12375</v>
          </cell>
          <cell r="R796">
            <v>12375</v>
          </cell>
          <cell r="S796">
            <v>12375</v>
          </cell>
        </row>
        <row r="797">
          <cell r="B797" t="str">
            <v>M202.0129</v>
          </cell>
          <cell r="C797" t="str">
            <v>Máy kéo vải địa kỹ thuật</v>
          </cell>
          <cell r="E797" t="str">
            <v>-</v>
          </cell>
          <cell r="G797">
            <v>220000</v>
          </cell>
          <cell r="L797">
            <v>170500</v>
          </cell>
          <cell r="M797">
            <v>170500</v>
          </cell>
          <cell r="N797">
            <v>170500</v>
          </cell>
          <cell r="O797">
            <v>170500</v>
          </cell>
          <cell r="P797">
            <v>170500</v>
          </cell>
          <cell r="Q797">
            <v>170500</v>
          </cell>
          <cell r="R797">
            <v>170500</v>
          </cell>
          <cell r="S797">
            <v>170500</v>
          </cell>
        </row>
        <row r="798">
          <cell r="B798" t="str">
            <v>M202.0130</v>
          </cell>
          <cell r="C798" t="str">
            <v>Máy kéo, nén WDW-100</v>
          </cell>
          <cell r="E798" t="str">
            <v>-</v>
          </cell>
          <cell r="G798">
            <v>220000</v>
          </cell>
          <cell r="L798">
            <v>170500</v>
          </cell>
          <cell r="M798">
            <v>170500</v>
          </cell>
          <cell r="N798">
            <v>170500</v>
          </cell>
          <cell r="O798">
            <v>170500</v>
          </cell>
          <cell r="P798">
            <v>170500</v>
          </cell>
          <cell r="Q798">
            <v>170500</v>
          </cell>
          <cell r="R798">
            <v>170500</v>
          </cell>
          <cell r="S798">
            <v>170500</v>
          </cell>
        </row>
        <row r="799">
          <cell r="B799" t="str">
            <v>M202.0131</v>
          </cell>
          <cell r="C799" t="str">
            <v>Máy thử cơ lý thạch cao</v>
          </cell>
          <cell r="E799" t="str">
            <v>-</v>
          </cell>
          <cell r="G799">
            <v>5000</v>
          </cell>
          <cell r="L799">
            <v>4125</v>
          </cell>
          <cell r="M799">
            <v>4125</v>
          </cell>
          <cell r="N799">
            <v>4125</v>
          </cell>
          <cell r="O799">
            <v>4125</v>
          </cell>
          <cell r="P799">
            <v>4125</v>
          </cell>
          <cell r="Q799">
            <v>4125</v>
          </cell>
          <cell r="R799">
            <v>4125</v>
          </cell>
          <cell r="S799">
            <v>4125</v>
          </cell>
        </row>
        <row r="800">
          <cell r="B800" t="str">
            <v>M202.0132</v>
          </cell>
          <cell r="C800" t="str">
            <v>Máy kiểm tra độ cứng</v>
          </cell>
          <cell r="E800" t="str">
            <v>-</v>
          </cell>
          <cell r="G800">
            <v>9900</v>
          </cell>
          <cell r="L800">
            <v>8168</v>
          </cell>
          <cell r="M800">
            <v>8168</v>
          </cell>
          <cell r="N800">
            <v>8168</v>
          </cell>
          <cell r="O800">
            <v>8168</v>
          </cell>
          <cell r="P800">
            <v>8168</v>
          </cell>
          <cell r="Q800">
            <v>8168</v>
          </cell>
          <cell r="R800">
            <v>8168</v>
          </cell>
          <cell r="S800">
            <v>8168</v>
          </cell>
        </row>
        <row r="801">
          <cell r="B801" t="str">
            <v>M202.0133</v>
          </cell>
          <cell r="C801" t="str">
            <v>Máy làm sạch bằng siêu âm</v>
          </cell>
          <cell r="E801" t="str">
            <v>-</v>
          </cell>
          <cell r="G801">
            <v>3500</v>
          </cell>
          <cell r="L801">
            <v>2888</v>
          </cell>
          <cell r="M801">
            <v>2888</v>
          </cell>
          <cell r="N801">
            <v>2888</v>
          </cell>
          <cell r="O801">
            <v>2888</v>
          </cell>
          <cell r="P801">
            <v>2888</v>
          </cell>
          <cell r="Q801">
            <v>2888</v>
          </cell>
          <cell r="R801">
            <v>2888</v>
          </cell>
          <cell r="S801">
            <v>2888</v>
          </cell>
        </row>
        <row r="802">
          <cell r="B802" t="str">
            <v>M202.0134</v>
          </cell>
          <cell r="C802" t="str">
            <v>Máy mài mòn bề mặt</v>
          </cell>
          <cell r="E802" t="str">
            <v>-</v>
          </cell>
          <cell r="G802">
            <v>18000</v>
          </cell>
          <cell r="L802">
            <v>14850</v>
          </cell>
          <cell r="M802">
            <v>14850</v>
          </cell>
          <cell r="N802">
            <v>14850</v>
          </cell>
          <cell r="O802">
            <v>14850</v>
          </cell>
          <cell r="P802">
            <v>14850</v>
          </cell>
          <cell r="Q802">
            <v>14850</v>
          </cell>
          <cell r="R802">
            <v>14850</v>
          </cell>
          <cell r="S802">
            <v>14850</v>
          </cell>
        </row>
        <row r="803">
          <cell r="B803" t="str">
            <v>M202.0135</v>
          </cell>
          <cell r="C803" t="str">
            <v>Máy mài mòn sâu</v>
          </cell>
          <cell r="E803" t="str">
            <v>-</v>
          </cell>
          <cell r="G803">
            <v>4500</v>
          </cell>
          <cell r="L803">
            <v>3713</v>
          </cell>
          <cell r="M803">
            <v>3713</v>
          </cell>
          <cell r="N803">
            <v>3713</v>
          </cell>
          <cell r="O803">
            <v>3713</v>
          </cell>
          <cell r="P803">
            <v>3713</v>
          </cell>
          <cell r="Q803">
            <v>3713</v>
          </cell>
          <cell r="R803">
            <v>3713</v>
          </cell>
          <cell r="S803">
            <v>3713</v>
          </cell>
        </row>
        <row r="804">
          <cell r="B804" t="str">
            <v>M202.0136</v>
          </cell>
          <cell r="C804" t="str">
            <v>Máy nén cố kết</v>
          </cell>
          <cell r="E804" t="str">
            <v>-</v>
          </cell>
          <cell r="G804">
            <v>25000</v>
          </cell>
          <cell r="L804">
            <v>20625</v>
          </cell>
          <cell r="M804">
            <v>20625</v>
          </cell>
          <cell r="N804">
            <v>20625</v>
          </cell>
          <cell r="O804">
            <v>20625</v>
          </cell>
          <cell r="P804">
            <v>20625</v>
          </cell>
          <cell r="Q804">
            <v>20625</v>
          </cell>
          <cell r="R804">
            <v>20625</v>
          </cell>
          <cell r="S804">
            <v>20625</v>
          </cell>
        </row>
        <row r="805">
          <cell r="B805" t="str">
            <v>M202.0137</v>
          </cell>
          <cell r="C805" t="str">
            <v>Máy phân tích thành phần kim</v>
          </cell>
          <cell r="E805" t="str">
            <v>-</v>
          </cell>
          <cell r="G805">
            <v>10000</v>
          </cell>
          <cell r="L805">
            <v>8250</v>
          </cell>
          <cell r="M805">
            <v>8250</v>
          </cell>
          <cell r="N805">
            <v>8250</v>
          </cell>
          <cell r="O805">
            <v>8250</v>
          </cell>
          <cell r="P805">
            <v>8250</v>
          </cell>
          <cell r="Q805">
            <v>8250</v>
          </cell>
          <cell r="R805">
            <v>8250</v>
          </cell>
          <cell r="S805">
            <v>8250</v>
          </cell>
        </row>
        <row r="806">
          <cell r="B806" t="str">
            <v>M202.0138</v>
          </cell>
          <cell r="C806" t="str">
            <v>Máy quang phổ đo hệ số phản xạ ánh sáng</v>
          </cell>
          <cell r="E806" t="str">
            <v>-</v>
          </cell>
          <cell r="G806">
            <v>50000</v>
          </cell>
          <cell r="L806">
            <v>38750</v>
          </cell>
          <cell r="M806">
            <v>38750</v>
          </cell>
          <cell r="N806">
            <v>38750</v>
          </cell>
          <cell r="O806">
            <v>38750</v>
          </cell>
          <cell r="P806">
            <v>38750</v>
          </cell>
          <cell r="Q806">
            <v>38750</v>
          </cell>
          <cell r="R806">
            <v>38750</v>
          </cell>
          <cell r="S806">
            <v>38750</v>
          </cell>
        </row>
        <row r="807">
          <cell r="B807" t="str">
            <v>M202.0139</v>
          </cell>
          <cell r="C807" t="str">
            <v>Máy quang phổ đo hệ số truyền sáng</v>
          </cell>
          <cell r="E807" t="str">
            <v>-</v>
          </cell>
          <cell r="G807">
            <v>60000</v>
          </cell>
          <cell r="L807">
            <v>46500</v>
          </cell>
          <cell r="M807">
            <v>46500</v>
          </cell>
          <cell r="N807">
            <v>46500</v>
          </cell>
          <cell r="O807">
            <v>46500</v>
          </cell>
          <cell r="P807">
            <v>46500</v>
          </cell>
          <cell r="Q807">
            <v>46500</v>
          </cell>
          <cell r="R807">
            <v>46500</v>
          </cell>
          <cell r="S807">
            <v>46500</v>
          </cell>
        </row>
        <row r="808">
          <cell r="B808" t="str">
            <v>M202.0140</v>
          </cell>
          <cell r="C808" t="str">
            <v>Máy siêu âm đo vết nứt</v>
          </cell>
          <cell r="E808" t="str">
            <v>-</v>
          </cell>
          <cell r="G808">
            <v>36500</v>
          </cell>
          <cell r="L808">
            <v>28288</v>
          </cell>
          <cell r="M808">
            <v>28288</v>
          </cell>
          <cell r="N808">
            <v>28288</v>
          </cell>
          <cell r="O808">
            <v>28288</v>
          </cell>
          <cell r="P808">
            <v>28288</v>
          </cell>
          <cell r="Q808">
            <v>28288</v>
          </cell>
          <cell r="R808">
            <v>28288</v>
          </cell>
          <cell r="S808">
            <v>28288</v>
          </cell>
        </row>
        <row r="809">
          <cell r="B809" t="str">
            <v>M202.0141</v>
          </cell>
          <cell r="C809" t="str">
            <v>Máy soi kim tương</v>
          </cell>
          <cell r="E809" t="str">
            <v>-</v>
          </cell>
          <cell r="G809">
            <v>10000</v>
          </cell>
          <cell r="L809">
            <v>8100</v>
          </cell>
          <cell r="M809">
            <v>8100</v>
          </cell>
          <cell r="N809">
            <v>8100</v>
          </cell>
          <cell r="O809">
            <v>8100</v>
          </cell>
          <cell r="P809">
            <v>8100</v>
          </cell>
          <cell r="Q809">
            <v>8100</v>
          </cell>
          <cell r="R809">
            <v>8100</v>
          </cell>
          <cell r="S809">
            <v>8100</v>
          </cell>
        </row>
        <row r="810">
          <cell r="B810" t="str">
            <v>M202.0142</v>
          </cell>
          <cell r="C810" t="str">
            <v>Máy thấm</v>
          </cell>
          <cell r="E810" t="str">
            <v>-</v>
          </cell>
          <cell r="G810">
            <v>19900</v>
          </cell>
          <cell r="L810">
            <v>16119</v>
          </cell>
          <cell r="M810">
            <v>16119</v>
          </cell>
          <cell r="N810">
            <v>16119</v>
          </cell>
          <cell r="O810">
            <v>16119</v>
          </cell>
          <cell r="P810">
            <v>16119</v>
          </cell>
          <cell r="Q810">
            <v>16119</v>
          </cell>
          <cell r="R810">
            <v>16119</v>
          </cell>
          <cell r="S810">
            <v>16119</v>
          </cell>
        </row>
        <row r="811">
          <cell r="B811" t="str">
            <v>M202.0143</v>
          </cell>
          <cell r="C811" t="str">
            <v>Máy thử độ bền nén, uốn</v>
          </cell>
          <cell r="E811" t="str">
            <v>-</v>
          </cell>
          <cell r="G811">
            <v>210000</v>
          </cell>
          <cell r="L811">
            <v>159600</v>
          </cell>
          <cell r="M811">
            <v>159600</v>
          </cell>
          <cell r="N811">
            <v>159600</v>
          </cell>
          <cell r="O811">
            <v>159600</v>
          </cell>
          <cell r="P811">
            <v>159600</v>
          </cell>
          <cell r="Q811">
            <v>159600</v>
          </cell>
          <cell r="R811">
            <v>159600</v>
          </cell>
          <cell r="S811">
            <v>159600</v>
          </cell>
        </row>
        <row r="812">
          <cell r="B812" t="str">
            <v>M202.0144</v>
          </cell>
          <cell r="C812" t="str">
            <v>Máy thử độ bục</v>
          </cell>
          <cell r="E812" t="str">
            <v>-</v>
          </cell>
          <cell r="G812">
            <v>5000</v>
          </cell>
          <cell r="L812">
            <v>3950</v>
          </cell>
          <cell r="M812">
            <v>3950</v>
          </cell>
          <cell r="N812">
            <v>3950</v>
          </cell>
          <cell r="O812">
            <v>3950</v>
          </cell>
          <cell r="P812">
            <v>3950</v>
          </cell>
          <cell r="Q812">
            <v>3950</v>
          </cell>
          <cell r="R812">
            <v>3950</v>
          </cell>
          <cell r="S812">
            <v>3950</v>
          </cell>
        </row>
        <row r="813">
          <cell r="B813" t="str">
            <v>M202.0145</v>
          </cell>
          <cell r="C813" t="str">
            <v>Máy thử độ rơi côn</v>
          </cell>
          <cell r="E813" t="str">
            <v>-</v>
          </cell>
          <cell r="G813">
            <v>4500</v>
          </cell>
          <cell r="L813">
            <v>3555</v>
          </cell>
          <cell r="M813">
            <v>3555</v>
          </cell>
          <cell r="N813">
            <v>3555</v>
          </cell>
          <cell r="O813">
            <v>3555</v>
          </cell>
          <cell r="P813">
            <v>3555</v>
          </cell>
          <cell r="Q813">
            <v>3555</v>
          </cell>
          <cell r="R813">
            <v>3555</v>
          </cell>
          <cell r="S813">
            <v>3555</v>
          </cell>
        </row>
        <row r="814">
          <cell r="B814" t="str">
            <v>M202.0146</v>
          </cell>
          <cell r="C814" t="str">
            <v>Máy uốn gạch</v>
          </cell>
          <cell r="E814" t="str">
            <v>-</v>
          </cell>
          <cell r="G814">
            <v>80000</v>
          </cell>
          <cell r="L814">
            <v>59200</v>
          </cell>
          <cell r="M814">
            <v>59200</v>
          </cell>
          <cell r="N814">
            <v>59200</v>
          </cell>
          <cell r="O814">
            <v>59200</v>
          </cell>
          <cell r="P814">
            <v>59200</v>
          </cell>
          <cell r="Q814">
            <v>59200</v>
          </cell>
          <cell r="R814">
            <v>59200</v>
          </cell>
          <cell r="S814">
            <v>59200</v>
          </cell>
        </row>
        <row r="815">
          <cell r="B815" t="str">
            <v>M202.0147</v>
          </cell>
          <cell r="C815" t="str">
            <v>Nồi hấp áp suất cao (Autoclave)</v>
          </cell>
          <cell r="E815" t="str">
            <v>-</v>
          </cell>
          <cell r="G815">
            <v>5500</v>
          </cell>
          <cell r="L815">
            <v>4813</v>
          </cell>
          <cell r="M815">
            <v>4813</v>
          </cell>
          <cell r="N815">
            <v>4813</v>
          </cell>
          <cell r="O815">
            <v>4813</v>
          </cell>
          <cell r="P815">
            <v>4813</v>
          </cell>
          <cell r="Q815">
            <v>4813</v>
          </cell>
          <cell r="R815">
            <v>4813</v>
          </cell>
          <cell r="S815">
            <v>4813</v>
          </cell>
        </row>
        <row r="816">
          <cell r="B816" t="str">
            <v>M202.0148</v>
          </cell>
          <cell r="C816" t="str">
            <v>Thiết bị đo chuyển vị Indicator</v>
          </cell>
          <cell r="E816" t="str">
            <v>-</v>
          </cell>
          <cell r="G816">
            <v>15000</v>
          </cell>
          <cell r="L816">
            <v>13125</v>
          </cell>
          <cell r="M816">
            <v>13125</v>
          </cell>
          <cell r="N816">
            <v>13125</v>
          </cell>
          <cell r="O816">
            <v>13125</v>
          </cell>
          <cell r="P816">
            <v>13125</v>
          </cell>
          <cell r="Q816">
            <v>13125</v>
          </cell>
          <cell r="R816">
            <v>13125</v>
          </cell>
          <cell r="S816">
            <v>13125</v>
          </cell>
        </row>
        <row r="817">
          <cell r="B817" t="str">
            <v>M202.0149</v>
          </cell>
          <cell r="C817" t="str">
            <v>Thiết bị đo điểm sương</v>
          </cell>
          <cell r="E817" t="str">
            <v>-</v>
          </cell>
          <cell r="G817">
            <v>10000</v>
          </cell>
          <cell r="L817">
            <v>8750</v>
          </cell>
          <cell r="M817">
            <v>8750</v>
          </cell>
          <cell r="N817">
            <v>8750</v>
          </cell>
          <cell r="O817">
            <v>8750</v>
          </cell>
          <cell r="P817">
            <v>8750</v>
          </cell>
          <cell r="Q817">
            <v>8750</v>
          </cell>
          <cell r="R817">
            <v>8750</v>
          </cell>
          <cell r="S817">
            <v>8750</v>
          </cell>
        </row>
        <row r="818">
          <cell r="B818" t="str">
            <v>M202.0150</v>
          </cell>
          <cell r="C818" t="str">
            <v>Thiết bị đo độ bền ẩm</v>
          </cell>
          <cell r="E818" t="str">
            <v>-</v>
          </cell>
          <cell r="G818">
            <v>10000</v>
          </cell>
          <cell r="L818">
            <v>8750</v>
          </cell>
          <cell r="M818">
            <v>8750</v>
          </cell>
          <cell r="N818">
            <v>8750</v>
          </cell>
          <cell r="O818">
            <v>8750</v>
          </cell>
          <cell r="P818">
            <v>8750</v>
          </cell>
          <cell r="Q818">
            <v>8750</v>
          </cell>
          <cell r="R818">
            <v>8750</v>
          </cell>
          <cell r="S818">
            <v>8750</v>
          </cell>
        </row>
        <row r="819">
          <cell r="B819" t="str">
            <v>M202.0151</v>
          </cell>
          <cell r="C819" t="str">
            <v>Thiết bị đo độ cứng màng sơn</v>
          </cell>
          <cell r="E819" t="str">
            <v>-</v>
          </cell>
          <cell r="G819">
            <v>5000</v>
          </cell>
          <cell r="L819">
            <v>4375</v>
          </cell>
          <cell r="M819">
            <v>4375</v>
          </cell>
          <cell r="N819">
            <v>4375</v>
          </cell>
          <cell r="O819">
            <v>4375</v>
          </cell>
          <cell r="P819">
            <v>4375</v>
          </cell>
          <cell r="Q819">
            <v>4375</v>
          </cell>
          <cell r="R819">
            <v>4375</v>
          </cell>
          <cell r="S819">
            <v>4375</v>
          </cell>
        </row>
        <row r="820">
          <cell r="B820" t="str">
            <v>M202.0152</v>
          </cell>
          <cell r="C820" t="str">
            <v>Thiết bị đo độ dày</v>
          </cell>
          <cell r="E820" t="str">
            <v>-</v>
          </cell>
          <cell r="G820">
            <v>1500</v>
          </cell>
          <cell r="L820">
            <v>1313</v>
          </cell>
          <cell r="M820">
            <v>1313</v>
          </cell>
          <cell r="N820">
            <v>1313</v>
          </cell>
          <cell r="O820">
            <v>1313</v>
          </cell>
          <cell r="P820">
            <v>1313</v>
          </cell>
          <cell r="Q820">
            <v>1313</v>
          </cell>
          <cell r="R820">
            <v>1313</v>
          </cell>
          <cell r="S820">
            <v>1313</v>
          </cell>
        </row>
        <row r="821">
          <cell r="B821" t="str">
            <v>M202.0153</v>
          </cell>
          <cell r="C821" t="str">
            <v>Thiết bị đo hệ số ma sát</v>
          </cell>
          <cell r="E821" t="str">
            <v>-</v>
          </cell>
          <cell r="G821">
            <v>5000</v>
          </cell>
          <cell r="L821">
            <v>4375</v>
          </cell>
          <cell r="M821">
            <v>4375</v>
          </cell>
          <cell r="N821">
            <v>4375</v>
          </cell>
          <cell r="O821">
            <v>4375</v>
          </cell>
          <cell r="P821">
            <v>4375</v>
          </cell>
          <cell r="Q821">
            <v>4375</v>
          </cell>
          <cell r="R821">
            <v>4375</v>
          </cell>
          <cell r="S821">
            <v>4375</v>
          </cell>
        </row>
        <row r="822">
          <cell r="B822" t="str">
            <v>M202.0154</v>
          </cell>
          <cell r="C822" t="str">
            <v>Thiết bị đo thử độ kín</v>
          </cell>
          <cell r="E822" t="str">
            <v>-</v>
          </cell>
          <cell r="G822">
            <v>5000</v>
          </cell>
          <cell r="L822">
            <v>4375</v>
          </cell>
          <cell r="M822">
            <v>4375</v>
          </cell>
          <cell r="N822">
            <v>4375</v>
          </cell>
          <cell r="O822">
            <v>4375</v>
          </cell>
          <cell r="P822">
            <v>4375</v>
          </cell>
          <cell r="Q822">
            <v>4375</v>
          </cell>
          <cell r="R822">
            <v>4375</v>
          </cell>
          <cell r="S822">
            <v>4375</v>
          </cell>
        </row>
        <row r="823">
          <cell r="B823" t="str">
            <v>M202.0155</v>
          </cell>
          <cell r="C823" t="str">
            <v>Thiết bị thử tính năng sử dụng của sứ vệ sinh</v>
          </cell>
          <cell r="E823" t="str">
            <v>-</v>
          </cell>
          <cell r="G823">
            <v>15000</v>
          </cell>
          <cell r="L823">
            <v>12600</v>
          </cell>
          <cell r="M823">
            <v>12600</v>
          </cell>
          <cell r="N823">
            <v>12600</v>
          </cell>
          <cell r="O823">
            <v>12600</v>
          </cell>
          <cell r="P823">
            <v>12600</v>
          </cell>
          <cell r="Q823">
            <v>12600</v>
          </cell>
          <cell r="R823">
            <v>12600</v>
          </cell>
          <cell r="S823">
            <v>12600</v>
          </cell>
        </row>
        <row r="824">
          <cell r="B824" t="str">
            <v>M202.0156</v>
          </cell>
          <cell r="C824" t="str">
            <v>Thiết bị thử va đập phản hồi</v>
          </cell>
          <cell r="E824" t="str">
            <v>-</v>
          </cell>
          <cell r="G824">
            <v>10000</v>
          </cell>
          <cell r="L824">
            <v>8400</v>
          </cell>
          <cell r="M824">
            <v>8400</v>
          </cell>
          <cell r="N824">
            <v>8400</v>
          </cell>
          <cell r="O824">
            <v>8400</v>
          </cell>
          <cell r="P824">
            <v>8400</v>
          </cell>
          <cell r="Q824">
            <v>8400</v>
          </cell>
          <cell r="R824">
            <v>8400</v>
          </cell>
          <cell r="S824">
            <v>8400</v>
          </cell>
        </row>
        <row r="825">
          <cell r="B825" t="str">
            <v>M202.0157</v>
          </cell>
          <cell r="C825" t="str">
            <v>Tủ chiếu UV</v>
          </cell>
          <cell r="E825" t="str">
            <v>-</v>
          </cell>
          <cell r="G825">
            <v>5000</v>
          </cell>
          <cell r="L825">
            <v>4200</v>
          </cell>
          <cell r="M825">
            <v>4200</v>
          </cell>
          <cell r="N825">
            <v>4200</v>
          </cell>
          <cell r="O825">
            <v>4200</v>
          </cell>
          <cell r="P825">
            <v>4200</v>
          </cell>
          <cell r="Q825">
            <v>4200</v>
          </cell>
          <cell r="R825">
            <v>4200</v>
          </cell>
          <cell r="S825">
            <v>4200</v>
          </cell>
        </row>
        <row r="826">
          <cell r="B826" t="str">
            <v>M202.0158</v>
          </cell>
          <cell r="C826" t="str">
            <v>Tủ khí hậu</v>
          </cell>
          <cell r="E826" t="str">
            <v>-</v>
          </cell>
          <cell r="G826">
            <v>60000</v>
          </cell>
          <cell r="L826">
            <v>47400</v>
          </cell>
          <cell r="M826">
            <v>47400</v>
          </cell>
          <cell r="N826">
            <v>47400</v>
          </cell>
          <cell r="O826">
            <v>47400</v>
          </cell>
          <cell r="P826">
            <v>47400</v>
          </cell>
          <cell r="Q826">
            <v>47400</v>
          </cell>
          <cell r="R826">
            <v>47400</v>
          </cell>
          <cell r="S826">
            <v>47400</v>
          </cell>
        </row>
        <row r="827">
          <cell r="B827" t="str">
            <v>M202.0159</v>
          </cell>
          <cell r="C827" t="str">
            <v>Thước đo vết nứt</v>
          </cell>
          <cell r="E827" t="str">
            <v>-</v>
          </cell>
          <cell r="G827">
            <v>139</v>
          </cell>
          <cell r="L827">
            <v>117</v>
          </cell>
          <cell r="M827">
            <v>117</v>
          </cell>
          <cell r="N827">
            <v>117</v>
          </cell>
          <cell r="O827">
            <v>117</v>
          </cell>
          <cell r="P827">
            <v>117</v>
          </cell>
          <cell r="Q827">
            <v>117</v>
          </cell>
          <cell r="R827">
            <v>117</v>
          </cell>
          <cell r="S827">
            <v>117</v>
          </cell>
        </row>
        <row r="828">
          <cell r="B828" t="str">
            <v>M202.0160</v>
          </cell>
          <cell r="C828" t="str">
            <v>Vi kế</v>
          </cell>
          <cell r="E828" t="str">
            <v>-</v>
          </cell>
          <cell r="G828">
            <v>139</v>
          </cell>
          <cell r="L828">
            <v>117</v>
          </cell>
          <cell r="M828">
            <v>117</v>
          </cell>
          <cell r="N828">
            <v>117</v>
          </cell>
          <cell r="O828">
            <v>117</v>
          </cell>
          <cell r="P828">
            <v>117</v>
          </cell>
          <cell r="Q828">
            <v>117</v>
          </cell>
          <cell r="R828">
            <v>117</v>
          </cell>
          <cell r="S828">
            <v>117</v>
          </cell>
        </row>
        <row r="829">
          <cell r="B829" t="str">
            <v>M202.0161</v>
          </cell>
          <cell r="C829" t="str">
            <v>Máy scanner (khổ Ao)</v>
          </cell>
          <cell r="E829" t="str">
            <v>-</v>
          </cell>
          <cell r="G829">
            <v>119581</v>
          </cell>
          <cell r="L829">
            <v>149078</v>
          </cell>
          <cell r="M829">
            <v>149078</v>
          </cell>
          <cell r="N829">
            <v>149078</v>
          </cell>
          <cell r="O829">
            <v>149078</v>
          </cell>
          <cell r="P829">
            <v>149078</v>
          </cell>
          <cell r="Q829">
            <v>149078</v>
          </cell>
          <cell r="R829">
            <v>149078</v>
          </cell>
          <cell r="S829">
            <v>149078</v>
          </cell>
        </row>
        <row r="830">
          <cell r="B830" t="str">
            <v>M202.0162</v>
          </cell>
          <cell r="C830" t="str">
            <v>Máy vẽ plotter</v>
          </cell>
          <cell r="E830" t="str">
            <v>-</v>
          </cell>
          <cell r="G830">
            <v>99975</v>
          </cell>
          <cell r="L830">
            <v>84979</v>
          </cell>
          <cell r="M830">
            <v>84979</v>
          </cell>
          <cell r="N830">
            <v>84979</v>
          </cell>
          <cell r="O830">
            <v>84979</v>
          </cell>
          <cell r="P830">
            <v>84979</v>
          </cell>
          <cell r="Q830">
            <v>84979</v>
          </cell>
          <cell r="R830">
            <v>84979</v>
          </cell>
          <cell r="S830">
            <v>84979</v>
          </cell>
        </row>
        <row r="831">
          <cell r="B831" t="str">
            <v>M202.0163</v>
          </cell>
          <cell r="C831" t="str">
            <v>Máy vi tính</v>
          </cell>
          <cell r="E831" t="str">
            <v>-</v>
          </cell>
          <cell r="G831">
            <v>10089</v>
          </cell>
          <cell r="L831">
            <v>9630</v>
          </cell>
          <cell r="M831">
            <v>9630</v>
          </cell>
          <cell r="N831">
            <v>9630</v>
          </cell>
          <cell r="O831">
            <v>9630</v>
          </cell>
          <cell r="P831">
            <v>9630</v>
          </cell>
          <cell r="Q831">
            <v>9630</v>
          </cell>
          <cell r="R831">
            <v>9630</v>
          </cell>
          <cell r="S831">
            <v>9630</v>
          </cell>
        </row>
        <row r="832">
          <cell r="B832" t="str">
            <v>M202.0164</v>
          </cell>
          <cell r="C832" t="str">
            <v>Máy tính xách tay</v>
          </cell>
          <cell r="E832" t="str">
            <v>-</v>
          </cell>
          <cell r="G832">
            <v>18917</v>
          </cell>
          <cell r="L832">
            <v>17627</v>
          </cell>
          <cell r="M832">
            <v>17627</v>
          </cell>
          <cell r="N832">
            <v>17627</v>
          </cell>
          <cell r="O832">
            <v>17627</v>
          </cell>
          <cell r="P832">
            <v>17627</v>
          </cell>
          <cell r="Q832">
            <v>17627</v>
          </cell>
          <cell r="R832">
            <v>17627</v>
          </cell>
          <cell r="S832">
            <v>17627</v>
          </cell>
        </row>
        <row r="833">
          <cell r="B833" t="str">
            <v>M202.0165</v>
          </cell>
          <cell r="C833" t="str">
            <v>Bể ổn nhiệt</v>
          </cell>
          <cell r="E833" t="str">
            <v>-</v>
          </cell>
          <cell r="G833">
            <v>7452</v>
          </cell>
          <cell r="L833">
            <v>6521</v>
          </cell>
          <cell r="M833">
            <v>6521</v>
          </cell>
          <cell r="N833">
            <v>6521</v>
          </cell>
          <cell r="O833">
            <v>6521</v>
          </cell>
          <cell r="P833">
            <v>6521</v>
          </cell>
          <cell r="Q833">
            <v>6521</v>
          </cell>
          <cell r="R833">
            <v>6521</v>
          </cell>
          <cell r="S833">
            <v>6521</v>
          </cell>
        </row>
        <row r="834">
          <cell r="B834" t="str">
            <v>M202.0166</v>
          </cell>
          <cell r="C834" t="str">
            <v>Bếp gas công nghiệp</v>
          </cell>
          <cell r="E834" t="str">
            <v>-</v>
          </cell>
          <cell r="G834">
            <v>500</v>
          </cell>
          <cell r="L834">
            <v>1350</v>
          </cell>
          <cell r="M834">
            <v>1350</v>
          </cell>
          <cell r="N834">
            <v>1350</v>
          </cell>
          <cell r="O834">
            <v>1350</v>
          </cell>
          <cell r="P834">
            <v>1350</v>
          </cell>
          <cell r="Q834">
            <v>1350</v>
          </cell>
          <cell r="R834">
            <v>1350</v>
          </cell>
          <cell r="S834">
            <v>1350</v>
          </cell>
        </row>
        <row r="835">
          <cell r="B835" t="str">
            <v>M202.0167</v>
          </cell>
          <cell r="C835" t="str">
            <v>Bình thử bọt khí</v>
          </cell>
          <cell r="E835" t="str">
            <v>-</v>
          </cell>
          <cell r="G835">
            <v>27000</v>
          </cell>
          <cell r="L835">
            <v>22275</v>
          </cell>
          <cell r="M835">
            <v>22275</v>
          </cell>
          <cell r="N835">
            <v>22275</v>
          </cell>
          <cell r="O835">
            <v>22275</v>
          </cell>
          <cell r="P835">
            <v>22275</v>
          </cell>
          <cell r="Q835">
            <v>22275</v>
          </cell>
          <cell r="R835">
            <v>22275</v>
          </cell>
          <cell r="S835">
            <v>22275</v>
          </cell>
        </row>
        <row r="836">
          <cell r="B836" t="str">
            <v>M202.0168</v>
          </cell>
          <cell r="C836" t="str">
            <v>Bộ dụng cụ xác định hàm lượng</v>
          </cell>
          <cell r="E836" t="str">
            <v>-</v>
          </cell>
          <cell r="G836">
            <v>1500</v>
          </cell>
          <cell r="L836">
            <v>1538</v>
          </cell>
          <cell r="M836">
            <v>1538</v>
          </cell>
          <cell r="N836">
            <v>1538</v>
          </cell>
          <cell r="O836">
            <v>1538</v>
          </cell>
          <cell r="P836">
            <v>1538</v>
          </cell>
          <cell r="Q836">
            <v>1538</v>
          </cell>
          <cell r="R836">
            <v>1538</v>
          </cell>
          <cell r="S836">
            <v>1538</v>
          </cell>
        </row>
        <row r="837">
          <cell r="B837" t="str">
            <v>M202.0169</v>
          </cell>
          <cell r="C837" t="str">
            <v>Bộ thiết bị thí nghiệm điểm hóa mềm (ELE)</v>
          </cell>
          <cell r="E837" t="str">
            <v>-</v>
          </cell>
          <cell r="G837">
            <v>303030</v>
          </cell>
          <cell r="L837">
            <v>234848</v>
          </cell>
          <cell r="M837">
            <v>234848</v>
          </cell>
          <cell r="N837">
            <v>234848</v>
          </cell>
          <cell r="O837">
            <v>234848</v>
          </cell>
          <cell r="P837">
            <v>234848</v>
          </cell>
          <cell r="Q837">
            <v>234848</v>
          </cell>
          <cell r="R837">
            <v>234848</v>
          </cell>
          <cell r="S837">
            <v>234848</v>
          </cell>
        </row>
        <row r="838">
          <cell r="B838" t="str">
            <v>M202.0170</v>
          </cell>
          <cell r="C838" t="str">
            <v>Dụng cụ đo nhám</v>
          </cell>
          <cell r="E838" t="str">
            <v>-</v>
          </cell>
          <cell r="G838">
            <v>500</v>
          </cell>
          <cell r="L838">
            <v>513</v>
          </cell>
          <cell r="M838">
            <v>513</v>
          </cell>
          <cell r="N838">
            <v>513</v>
          </cell>
          <cell r="O838">
            <v>513</v>
          </cell>
          <cell r="P838">
            <v>513</v>
          </cell>
          <cell r="Q838">
            <v>513</v>
          </cell>
          <cell r="R838">
            <v>513</v>
          </cell>
          <cell r="S838">
            <v>513</v>
          </cell>
        </row>
        <row r="839">
          <cell r="B839" t="str">
            <v>M202.0171</v>
          </cell>
          <cell r="C839" t="str">
            <v>Dụng cụ thử va đập bi rơi</v>
          </cell>
          <cell r="E839" t="str">
            <v>-</v>
          </cell>
          <cell r="G839">
            <v>1200</v>
          </cell>
          <cell r="L839">
            <v>1230</v>
          </cell>
          <cell r="M839">
            <v>1230</v>
          </cell>
          <cell r="N839">
            <v>1230</v>
          </cell>
          <cell r="O839">
            <v>1230</v>
          </cell>
          <cell r="P839">
            <v>1230</v>
          </cell>
          <cell r="Q839">
            <v>1230</v>
          </cell>
          <cell r="R839">
            <v>1230</v>
          </cell>
          <cell r="S839">
            <v>1230</v>
          </cell>
        </row>
        <row r="840">
          <cell r="B840" t="str">
            <v>M202.0172</v>
          </cell>
          <cell r="C840" t="str">
            <v>Dụng cụ thử va đập con lắc</v>
          </cell>
          <cell r="E840" t="str">
            <v>-</v>
          </cell>
          <cell r="G840">
            <v>1200</v>
          </cell>
          <cell r="L840">
            <v>1230</v>
          </cell>
          <cell r="M840">
            <v>1230</v>
          </cell>
          <cell r="N840">
            <v>1230</v>
          </cell>
          <cell r="O840">
            <v>1230</v>
          </cell>
          <cell r="P840">
            <v>1230</v>
          </cell>
          <cell r="Q840">
            <v>1230</v>
          </cell>
          <cell r="R840">
            <v>1230</v>
          </cell>
          <cell r="S840">
            <v>1230</v>
          </cell>
        </row>
        <row r="841">
          <cell r="B841" t="str">
            <v>M202.0173</v>
          </cell>
          <cell r="C841" t="str">
            <v>Dụng cụ thử xuyên</v>
          </cell>
          <cell r="E841" t="str">
            <v>-</v>
          </cell>
          <cell r="G841">
            <v>1900</v>
          </cell>
          <cell r="L841">
            <v>1948</v>
          </cell>
          <cell r="M841">
            <v>1948</v>
          </cell>
          <cell r="N841">
            <v>1948</v>
          </cell>
          <cell r="O841">
            <v>1948</v>
          </cell>
          <cell r="P841">
            <v>1948</v>
          </cell>
          <cell r="Q841">
            <v>1948</v>
          </cell>
          <cell r="R841">
            <v>1948</v>
          </cell>
          <cell r="S841">
            <v>1948</v>
          </cell>
        </row>
        <row r="842">
          <cell r="B842" t="str">
            <v>M202.0174</v>
          </cell>
          <cell r="C842" t="str">
            <v>Dụng cụ xác định sự thay đổi chiều dài của mẫu vữa</v>
          </cell>
          <cell r="E842" t="str">
            <v>-</v>
          </cell>
          <cell r="G842">
            <v>2200</v>
          </cell>
          <cell r="L842">
            <v>1782</v>
          </cell>
          <cell r="M842">
            <v>1782</v>
          </cell>
          <cell r="N842">
            <v>1782</v>
          </cell>
          <cell r="O842">
            <v>1782</v>
          </cell>
          <cell r="P842">
            <v>1782</v>
          </cell>
          <cell r="Q842">
            <v>1782</v>
          </cell>
          <cell r="R842">
            <v>1782</v>
          </cell>
          <cell r="S842">
            <v>1782</v>
          </cell>
        </row>
        <row r="843">
          <cell r="B843" t="str">
            <v>M202.0175</v>
          </cell>
          <cell r="C843" t="str">
            <v>Dụng cụ xác định thời gian bắt đầu đông kết</v>
          </cell>
          <cell r="E843" t="str">
            <v>-</v>
          </cell>
          <cell r="G843">
            <v>3000</v>
          </cell>
          <cell r="L843">
            <v>2625</v>
          </cell>
          <cell r="M843">
            <v>2625</v>
          </cell>
          <cell r="N843">
            <v>2625</v>
          </cell>
          <cell r="O843">
            <v>2625</v>
          </cell>
          <cell r="P843">
            <v>2625</v>
          </cell>
          <cell r="Q843">
            <v>2625</v>
          </cell>
          <cell r="R843">
            <v>2625</v>
          </cell>
          <cell r="S843">
            <v>2625</v>
          </cell>
        </row>
        <row r="844">
          <cell r="B844" t="str">
            <v>M202.0176</v>
          </cell>
          <cell r="C844" t="str">
            <v>Khoáng chuẩn</v>
          </cell>
          <cell r="E844" t="str">
            <v>-</v>
          </cell>
          <cell r="G844">
            <v>1000</v>
          </cell>
          <cell r="L844">
            <v>875</v>
          </cell>
          <cell r="M844">
            <v>875</v>
          </cell>
          <cell r="N844">
            <v>875</v>
          </cell>
          <cell r="O844">
            <v>875</v>
          </cell>
          <cell r="P844">
            <v>875</v>
          </cell>
          <cell r="Q844">
            <v>875</v>
          </cell>
          <cell r="R844">
            <v>875</v>
          </cell>
          <cell r="S844">
            <v>875</v>
          </cell>
        </row>
        <row r="845">
          <cell r="B845" t="str">
            <v>M202.0177</v>
          </cell>
          <cell r="C845" t="str">
            <v>Khung giá máy &amp; Máy gia tải 50 tấn kỹ thuật số</v>
          </cell>
          <cell r="E845" t="str">
            <v>-</v>
          </cell>
          <cell r="G845">
            <v>37261</v>
          </cell>
          <cell r="L845">
            <v>28877</v>
          </cell>
          <cell r="M845">
            <v>28877</v>
          </cell>
          <cell r="N845">
            <v>28877</v>
          </cell>
          <cell r="O845">
            <v>28877</v>
          </cell>
          <cell r="P845">
            <v>28877</v>
          </cell>
          <cell r="Q845">
            <v>28877</v>
          </cell>
          <cell r="R845">
            <v>28877</v>
          </cell>
          <cell r="S845">
            <v>28877</v>
          </cell>
        </row>
        <row r="846">
          <cell r="B846" t="str">
            <v>M202.0178</v>
          </cell>
          <cell r="C846" t="str">
            <v>Máy Gigarang</v>
          </cell>
          <cell r="E846" t="str">
            <v>-</v>
          </cell>
          <cell r="G846">
            <v>10000</v>
          </cell>
          <cell r="L846">
            <v>8750</v>
          </cell>
          <cell r="M846">
            <v>8750</v>
          </cell>
          <cell r="N846">
            <v>8750</v>
          </cell>
          <cell r="O846">
            <v>8750</v>
          </cell>
          <cell r="P846">
            <v>8750</v>
          </cell>
          <cell r="Q846">
            <v>8750</v>
          </cell>
          <cell r="R846">
            <v>8750</v>
          </cell>
          <cell r="S846">
            <v>8750</v>
          </cell>
        </row>
        <row r="847">
          <cell r="B847" t="str">
            <v>M202.0179</v>
          </cell>
          <cell r="C847" t="str">
            <v>Máy SHWD</v>
          </cell>
          <cell r="E847" t="str">
            <v>-</v>
          </cell>
          <cell r="G847">
            <v>2056833</v>
          </cell>
          <cell r="L847">
            <v>1645466</v>
          </cell>
          <cell r="M847">
            <v>1645466</v>
          </cell>
          <cell r="N847">
            <v>1645466</v>
          </cell>
          <cell r="O847">
            <v>1645466</v>
          </cell>
          <cell r="P847">
            <v>1645466</v>
          </cell>
          <cell r="Q847">
            <v>1645466</v>
          </cell>
          <cell r="R847">
            <v>1645466</v>
          </cell>
          <cell r="S847">
            <v>1645466</v>
          </cell>
        </row>
        <row r="848">
          <cell r="B848" t="str">
            <v>M202.0180</v>
          </cell>
          <cell r="C848" t="str">
            <v>Máy bào gỗ</v>
          </cell>
          <cell r="E848" t="str">
            <v>-</v>
          </cell>
          <cell r="G848">
            <v>1200</v>
          </cell>
          <cell r="L848">
            <v>2967</v>
          </cell>
          <cell r="M848">
            <v>2967</v>
          </cell>
          <cell r="N848">
            <v>2967</v>
          </cell>
          <cell r="O848">
            <v>2967</v>
          </cell>
          <cell r="P848">
            <v>2967</v>
          </cell>
          <cell r="Q848">
            <v>2967</v>
          </cell>
          <cell r="R848">
            <v>2967</v>
          </cell>
          <cell r="S848">
            <v>2967</v>
          </cell>
        </row>
        <row r="849">
          <cell r="B849" t="str">
            <v>M202.0181</v>
          </cell>
          <cell r="C849" t="str">
            <v>Máy cắt Makita</v>
          </cell>
          <cell r="E849" t="str">
            <v>-</v>
          </cell>
          <cell r="G849">
            <v>3979</v>
          </cell>
          <cell r="L849">
            <v>3482</v>
          </cell>
          <cell r="M849">
            <v>3482</v>
          </cell>
          <cell r="N849">
            <v>3482</v>
          </cell>
          <cell r="O849">
            <v>3482</v>
          </cell>
          <cell r="P849">
            <v>3482</v>
          </cell>
          <cell r="Q849">
            <v>3482</v>
          </cell>
          <cell r="R849">
            <v>3482</v>
          </cell>
          <cell r="S849">
            <v>3482</v>
          </cell>
        </row>
        <row r="850">
          <cell r="B850" t="str">
            <v>M202.0182</v>
          </cell>
          <cell r="C850" t="str">
            <v>Máy cắt phẳng</v>
          </cell>
          <cell r="E850" t="str">
            <v>-</v>
          </cell>
          <cell r="G850">
            <v>25</v>
          </cell>
          <cell r="L850">
            <v>20625</v>
          </cell>
          <cell r="M850">
            <v>20625</v>
          </cell>
          <cell r="N850">
            <v>20625</v>
          </cell>
          <cell r="O850">
            <v>20625</v>
          </cell>
          <cell r="P850">
            <v>20625</v>
          </cell>
          <cell r="Q850">
            <v>20625</v>
          </cell>
          <cell r="R850">
            <v>20625</v>
          </cell>
          <cell r="S850">
            <v>20625</v>
          </cell>
        </row>
        <row r="851">
          <cell r="B851" t="str">
            <v>M202.0183</v>
          </cell>
          <cell r="C851" t="str">
            <v>Máy đầm xoay</v>
          </cell>
          <cell r="E851" t="str">
            <v>-</v>
          </cell>
          <cell r="G851">
            <v>6306</v>
          </cell>
          <cell r="L851">
            <v>5876</v>
          </cell>
          <cell r="M851">
            <v>5876</v>
          </cell>
          <cell r="N851">
            <v>5876</v>
          </cell>
          <cell r="O851">
            <v>5876</v>
          </cell>
          <cell r="P851">
            <v>5876</v>
          </cell>
          <cell r="Q851">
            <v>5876</v>
          </cell>
          <cell r="R851">
            <v>5876</v>
          </cell>
          <cell r="S851">
            <v>5876</v>
          </cell>
        </row>
        <row r="852">
          <cell r="B852" t="str">
            <v>M202.0184</v>
          </cell>
          <cell r="C852" t="str">
            <v>Máy đo chiều dày lớp bê tông bảo vệ và đo đường kính cốt thép</v>
          </cell>
          <cell r="E852" t="str">
            <v>-</v>
          </cell>
          <cell r="G852">
            <v>11435</v>
          </cell>
          <cell r="L852">
            <v>88621</v>
          </cell>
          <cell r="M852">
            <v>88621</v>
          </cell>
          <cell r="N852">
            <v>88621</v>
          </cell>
          <cell r="O852">
            <v>88621</v>
          </cell>
          <cell r="P852">
            <v>88621</v>
          </cell>
          <cell r="Q852">
            <v>88621</v>
          </cell>
          <cell r="R852">
            <v>88621</v>
          </cell>
          <cell r="S852">
            <v>88621</v>
          </cell>
        </row>
        <row r="853">
          <cell r="B853" t="str">
            <v>M202.0185</v>
          </cell>
          <cell r="C853" t="str">
            <v>Máy đo độ đàn hồi</v>
          </cell>
          <cell r="E853" t="str">
            <v>-</v>
          </cell>
          <cell r="G853">
            <v>62599</v>
          </cell>
          <cell r="L853">
            <v>48514</v>
          </cell>
          <cell r="M853">
            <v>48514</v>
          </cell>
          <cell r="N853">
            <v>48514</v>
          </cell>
          <cell r="O853">
            <v>48514</v>
          </cell>
          <cell r="P853">
            <v>48514</v>
          </cell>
          <cell r="Q853">
            <v>48514</v>
          </cell>
          <cell r="R853">
            <v>48514</v>
          </cell>
          <cell r="S853">
            <v>48514</v>
          </cell>
        </row>
        <row r="854">
          <cell r="B854" t="str">
            <v>M202.0186</v>
          </cell>
          <cell r="C854" t="str">
            <v>Máy kéo, nén thủy lực 0,5 tấn</v>
          </cell>
          <cell r="E854" t="str">
            <v>-</v>
          </cell>
          <cell r="G854">
            <v>8369</v>
          </cell>
          <cell r="L854">
            <v>7323</v>
          </cell>
          <cell r="M854">
            <v>7323</v>
          </cell>
          <cell r="N854">
            <v>7323</v>
          </cell>
          <cell r="O854">
            <v>7323</v>
          </cell>
          <cell r="P854">
            <v>7323</v>
          </cell>
          <cell r="Q854">
            <v>7323</v>
          </cell>
          <cell r="R854">
            <v>7323</v>
          </cell>
          <cell r="S854">
            <v>7323</v>
          </cell>
        </row>
        <row r="855">
          <cell r="B855" t="str">
            <v>M202.0187</v>
          </cell>
          <cell r="C855" t="str">
            <v>Máy kéo, nén thủy lực 20 tấn</v>
          </cell>
          <cell r="E855" t="str">
            <v>-</v>
          </cell>
          <cell r="G855">
            <v>25000</v>
          </cell>
          <cell r="L855">
            <v>21875</v>
          </cell>
          <cell r="M855">
            <v>21875</v>
          </cell>
          <cell r="N855">
            <v>21875</v>
          </cell>
          <cell r="O855">
            <v>21875</v>
          </cell>
          <cell r="P855">
            <v>21875</v>
          </cell>
          <cell r="Q855">
            <v>21875</v>
          </cell>
          <cell r="R855">
            <v>21875</v>
          </cell>
          <cell r="S855">
            <v>21875</v>
          </cell>
        </row>
        <row r="856">
          <cell r="B856" t="str">
            <v>M202.0188</v>
          </cell>
          <cell r="C856" t="str">
            <v>Máy kéo, nén thủy lực 200 tấn</v>
          </cell>
          <cell r="E856" t="str">
            <v>-</v>
          </cell>
          <cell r="G856">
            <v>62000</v>
          </cell>
          <cell r="L856">
            <v>48050</v>
          </cell>
          <cell r="M856">
            <v>48050</v>
          </cell>
          <cell r="N856">
            <v>48050</v>
          </cell>
          <cell r="O856">
            <v>48050</v>
          </cell>
          <cell r="P856">
            <v>48050</v>
          </cell>
          <cell r="Q856">
            <v>48050</v>
          </cell>
          <cell r="R856">
            <v>48050</v>
          </cell>
          <cell r="S856">
            <v>48050</v>
          </cell>
        </row>
        <row r="857">
          <cell r="B857" t="str">
            <v>M202.0189</v>
          </cell>
          <cell r="C857" t="str">
            <v>Máy kéo, nén thủy lực 50 tấn</v>
          </cell>
          <cell r="E857" t="str">
            <v>-</v>
          </cell>
          <cell r="G857">
            <v>35656</v>
          </cell>
          <cell r="L857">
            <v>27633</v>
          </cell>
          <cell r="M857">
            <v>27633</v>
          </cell>
          <cell r="N857">
            <v>27633</v>
          </cell>
          <cell r="O857">
            <v>27633</v>
          </cell>
          <cell r="P857">
            <v>27633</v>
          </cell>
          <cell r="Q857">
            <v>27633</v>
          </cell>
          <cell r="R857">
            <v>27633</v>
          </cell>
          <cell r="S857">
            <v>27633</v>
          </cell>
        </row>
        <row r="858">
          <cell r="B858" t="str">
            <v>M202.0190</v>
          </cell>
          <cell r="C858" t="str">
            <v>Máy khoan lấy mẫu chuyên dụng</v>
          </cell>
          <cell r="E858" t="str">
            <v>-</v>
          </cell>
          <cell r="G858">
            <v>6800</v>
          </cell>
          <cell r="L858">
            <v>5950</v>
          </cell>
          <cell r="M858">
            <v>5950</v>
          </cell>
          <cell r="N858">
            <v>5950</v>
          </cell>
          <cell r="O858">
            <v>5950</v>
          </cell>
          <cell r="P858">
            <v>5950</v>
          </cell>
          <cell r="Q858">
            <v>5950</v>
          </cell>
          <cell r="R858">
            <v>5950</v>
          </cell>
          <cell r="S858">
            <v>5950</v>
          </cell>
        </row>
        <row r="859">
          <cell r="B859" t="str">
            <v>M202.0191</v>
          </cell>
          <cell r="C859" t="str">
            <v>Máy khuấy và làm mát nước</v>
          </cell>
          <cell r="E859" t="str">
            <v>-</v>
          </cell>
          <cell r="G859">
            <v>5500</v>
          </cell>
          <cell r="L859">
            <v>4813</v>
          </cell>
          <cell r="M859">
            <v>4813</v>
          </cell>
          <cell r="N859">
            <v>4813</v>
          </cell>
          <cell r="O859">
            <v>4813</v>
          </cell>
          <cell r="P859">
            <v>4813</v>
          </cell>
          <cell r="Q859">
            <v>4813</v>
          </cell>
          <cell r="R859">
            <v>4813</v>
          </cell>
          <cell r="S859">
            <v>4813</v>
          </cell>
        </row>
        <row r="860">
          <cell r="B860" t="str">
            <v>M202.0192</v>
          </cell>
          <cell r="C860" t="str">
            <v>Máy thử cường độ bám dính</v>
          </cell>
          <cell r="E860" t="str">
            <v>-</v>
          </cell>
          <cell r="G860">
            <v>18000</v>
          </cell>
          <cell r="L860">
            <v>12600</v>
          </cell>
          <cell r="M860">
            <v>12600</v>
          </cell>
          <cell r="N860">
            <v>12600</v>
          </cell>
          <cell r="O860">
            <v>12600</v>
          </cell>
          <cell r="P860">
            <v>12600</v>
          </cell>
          <cell r="Q860">
            <v>12600</v>
          </cell>
          <cell r="R860">
            <v>12600</v>
          </cell>
          <cell r="S860">
            <v>12600</v>
          </cell>
        </row>
        <row r="861">
          <cell r="B861" t="str">
            <v>M202.0193</v>
          </cell>
          <cell r="C861" t="str">
            <v>Máy thử độ chống thấm</v>
          </cell>
          <cell r="E861" t="str">
            <v>-</v>
          </cell>
          <cell r="G861">
            <v>18000</v>
          </cell>
          <cell r="L861">
            <v>14850</v>
          </cell>
          <cell r="M861">
            <v>14850</v>
          </cell>
          <cell r="N861">
            <v>14850</v>
          </cell>
          <cell r="O861">
            <v>14850</v>
          </cell>
          <cell r="P861">
            <v>14850</v>
          </cell>
          <cell r="Q861">
            <v>14850</v>
          </cell>
          <cell r="R861">
            <v>14850</v>
          </cell>
          <cell r="S861">
            <v>14850</v>
          </cell>
        </row>
        <row r="862">
          <cell r="B862" t="str">
            <v>M202.0194</v>
          </cell>
          <cell r="C862" t="str">
            <v>Máy thử kéo xác định cường độ bám dính</v>
          </cell>
          <cell r="E862" t="str">
            <v>-</v>
          </cell>
          <cell r="G862">
            <v>18000</v>
          </cell>
          <cell r="L862">
            <v>12600</v>
          </cell>
          <cell r="M862">
            <v>12600</v>
          </cell>
          <cell r="N862">
            <v>12600</v>
          </cell>
          <cell r="O862">
            <v>12600</v>
          </cell>
          <cell r="P862">
            <v>12600</v>
          </cell>
          <cell r="Q862">
            <v>12600</v>
          </cell>
          <cell r="R862">
            <v>12600</v>
          </cell>
          <cell r="S862">
            <v>12600</v>
          </cell>
        </row>
        <row r="863">
          <cell r="B863" t="str">
            <v>M202.0195</v>
          </cell>
          <cell r="C863" t="str">
            <v>Máy xác định độ thấm nước của bê tông kiểu C430 (hoặc C431)</v>
          </cell>
          <cell r="E863" t="str">
            <v>-</v>
          </cell>
          <cell r="G863">
            <v>19900</v>
          </cell>
          <cell r="L863">
            <v>16119</v>
          </cell>
          <cell r="M863">
            <v>16119</v>
          </cell>
          <cell r="N863">
            <v>16119</v>
          </cell>
          <cell r="O863">
            <v>16119</v>
          </cell>
          <cell r="P863">
            <v>16119</v>
          </cell>
          <cell r="Q863">
            <v>16119</v>
          </cell>
          <cell r="R863">
            <v>16119</v>
          </cell>
          <cell r="S863">
            <v>16119</v>
          </cell>
        </row>
        <row r="864">
          <cell r="B864" t="str">
            <v>M202.0196</v>
          </cell>
          <cell r="C864" t="str">
            <v>Nhớt kế</v>
          </cell>
          <cell r="E864" t="str">
            <v>-</v>
          </cell>
          <cell r="G864">
            <v>20000</v>
          </cell>
          <cell r="L864">
            <v>20500</v>
          </cell>
          <cell r="M864">
            <v>20500</v>
          </cell>
          <cell r="N864">
            <v>20500</v>
          </cell>
          <cell r="O864">
            <v>20500</v>
          </cell>
          <cell r="P864">
            <v>20500</v>
          </cell>
          <cell r="Q864">
            <v>20500</v>
          </cell>
          <cell r="R864">
            <v>20500</v>
          </cell>
          <cell r="S864">
            <v>20500</v>
          </cell>
        </row>
        <row r="865">
          <cell r="B865" t="str">
            <v>M202.0197</v>
          </cell>
          <cell r="C865" t="str">
            <v>Nhớt kế Suttard</v>
          </cell>
          <cell r="E865" t="str">
            <v>-</v>
          </cell>
          <cell r="G865">
            <v>150</v>
          </cell>
          <cell r="L865">
            <v>154</v>
          </cell>
          <cell r="M865">
            <v>154</v>
          </cell>
          <cell r="N865">
            <v>154</v>
          </cell>
          <cell r="O865">
            <v>154</v>
          </cell>
          <cell r="P865">
            <v>154</v>
          </cell>
          <cell r="Q865">
            <v>154</v>
          </cell>
          <cell r="R865">
            <v>154</v>
          </cell>
          <cell r="S865">
            <v>154</v>
          </cell>
        </row>
        <row r="866">
          <cell r="B866" t="str">
            <v>M202.0198</v>
          </cell>
          <cell r="C866" t="str">
            <v>Nhớt kế Vebe</v>
          </cell>
          <cell r="E866" t="str">
            <v>-</v>
          </cell>
          <cell r="G866">
            <v>6000</v>
          </cell>
          <cell r="L866">
            <v>6150</v>
          </cell>
          <cell r="M866">
            <v>6150</v>
          </cell>
          <cell r="N866">
            <v>6150</v>
          </cell>
          <cell r="O866">
            <v>6150</v>
          </cell>
          <cell r="P866">
            <v>6150</v>
          </cell>
          <cell r="Q866">
            <v>6150</v>
          </cell>
          <cell r="R866">
            <v>6150</v>
          </cell>
          <cell r="S866">
            <v>6150</v>
          </cell>
        </row>
        <row r="867">
          <cell r="B867" t="str">
            <v>M202.0199</v>
          </cell>
          <cell r="C867" t="str">
            <v>Súng bật nẩy</v>
          </cell>
          <cell r="E867" t="str">
            <v>-</v>
          </cell>
          <cell r="G867">
            <v>9000</v>
          </cell>
          <cell r="L867">
            <v>7875</v>
          </cell>
          <cell r="M867">
            <v>7875</v>
          </cell>
          <cell r="N867">
            <v>7875</v>
          </cell>
          <cell r="O867">
            <v>7875</v>
          </cell>
          <cell r="P867">
            <v>7875</v>
          </cell>
          <cell r="Q867">
            <v>7875</v>
          </cell>
          <cell r="R867">
            <v>7875</v>
          </cell>
          <cell r="S867">
            <v>7875</v>
          </cell>
        </row>
        <row r="868">
          <cell r="B868" t="str">
            <v>M202.0200</v>
          </cell>
          <cell r="C868" t="str">
            <v>Thiết bị đo góc nghỉ của cát</v>
          </cell>
          <cell r="E868" t="str">
            <v>-</v>
          </cell>
          <cell r="G868">
            <v>2000</v>
          </cell>
          <cell r="L868">
            <v>1650</v>
          </cell>
          <cell r="M868">
            <v>1650</v>
          </cell>
          <cell r="N868">
            <v>1650</v>
          </cell>
          <cell r="O868">
            <v>1650</v>
          </cell>
          <cell r="P868">
            <v>1650</v>
          </cell>
          <cell r="Q868">
            <v>1650</v>
          </cell>
          <cell r="R868">
            <v>1650</v>
          </cell>
          <cell r="S868">
            <v>1650</v>
          </cell>
        </row>
        <row r="869">
          <cell r="B869" t="str">
            <v>M202.0201</v>
          </cell>
          <cell r="C869" t="str">
            <v>Thiết bị đo góc nghỉ tự nhiên của đất rời</v>
          </cell>
          <cell r="E869" t="str">
            <v>-</v>
          </cell>
          <cell r="G869">
            <v>1500</v>
          </cell>
          <cell r="L869">
            <v>1238</v>
          </cell>
          <cell r="M869">
            <v>1238</v>
          </cell>
          <cell r="N869">
            <v>1238</v>
          </cell>
          <cell r="O869">
            <v>1238</v>
          </cell>
          <cell r="P869">
            <v>1238</v>
          </cell>
          <cell r="Q869">
            <v>1238</v>
          </cell>
          <cell r="R869">
            <v>1238</v>
          </cell>
          <cell r="S869">
            <v>1238</v>
          </cell>
        </row>
        <row r="870">
          <cell r="B870" t="str">
            <v>M202.0202</v>
          </cell>
          <cell r="C870" t="str">
            <v>Thiết bị đo nhiệt độ bê tông</v>
          </cell>
          <cell r="E870" t="str">
            <v>-</v>
          </cell>
          <cell r="G870">
            <v>1800</v>
          </cell>
          <cell r="L870">
            <v>1575</v>
          </cell>
          <cell r="M870">
            <v>1575</v>
          </cell>
          <cell r="N870">
            <v>1575</v>
          </cell>
          <cell r="O870">
            <v>1575</v>
          </cell>
          <cell r="P870">
            <v>1575</v>
          </cell>
          <cell r="Q870">
            <v>1575</v>
          </cell>
          <cell r="R870">
            <v>1575</v>
          </cell>
          <cell r="S870">
            <v>1575</v>
          </cell>
        </row>
        <row r="871">
          <cell r="B871" t="str">
            <v>M202.0203</v>
          </cell>
          <cell r="C871" t="str">
            <v>Thiết bị đo nhiệt lượng</v>
          </cell>
          <cell r="E871" t="str">
            <v>-</v>
          </cell>
          <cell r="G871">
            <v>1500</v>
          </cell>
          <cell r="L871">
            <v>1313</v>
          </cell>
          <cell r="M871">
            <v>1313</v>
          </cell>
          <cell r="N871">
            <v>1313</v>
          </cell>
          <cell r="O871">
            <v>1313</v>
          </cell>
          <cell r="P871">
            <v>1313</v>
          </cell>
          <cell r="Q871">
            <v>1313</v>
          </cell>
          <cell r="R871">
            <v>1313</v>
          </cell>
          <cell r="S871">
            <v>1313</v>
          </cell>
        </row>
        <row r="872">
          <cell r="B872" t="str">
            <v>M202.0204</v>
          </cell>
          <cell r="C872" t="str">
            <v>Thiết bị gia nhiệt vòng và bi</v>
          </cell>
          <cell r="E872" t="str">
            <v>-</v>
          </cell>
          <cell r="G872">
            <v>10000</v>
          </cell>
          <cell r="L872">
            <v>8750</v>
          </cell>
          <cell r="M872">
            <v>8750</v>
          </cell>
          <cell r="N872">
            <v>8750</v>
          </cell>
          <cell r="O872">
            <v>8750</v>
          </cell>
          <cell r="P872">
            <v>8750</v>
          </cell>
          <cell r="Q872">
            <v>8750</v>
          </cell>
          <cell r="R872">
            <v>8750</v>
          </cell>
          <cell r="S872">
            <v>8750</v>
          </cell>
        </row>
        <row r="873">
          <cell r="B873" t="str">
            <v>M202.0205</v>
          </cell>
          <cell r="C873" t="str">
            <v>Thiết bị thử tải trọng</v>
          </cell>
          <cell r="E873" t="str">
            <v>-</v>
          </cell>
          <cell r="G873">
            <v>10000</v>
          </cell>
          <cell r="L873">
            <v>8750</v>
          </cell>
          <cell r="M873">
            <v>8750</v>
          </cell>
          <cell r="N873">
            <v>8750</v>
          </cell>
          <cell r="O873">
            <v>8750</v>
          </cell>
          <cell r="P873">
            <v>8750</v>
          </cell>
          <cell r="Q873">
            <v>8750</v>
          </cell>
          <cell r="R873">
            <v>8750</v>
          </cell>
          <cell r="S873">
            <v>8750</v>
          </cell>
        </row>
        <row r="874">
          <cell r="B874" t="str">
            <v>M202.0206</v>
          </cell>
          <cell r="C874" t="str">
            <v>Thiết bị wheel tracking</v>
          </cell>
          <cell r="E874" t="str">
            <v>-</v>
          </cell>
          <cell r="G874">
            <v>1387200</v>
          </cell>
          <cell r="L874">
            <v>1075080</v>
          </cell>
          <cell r="M874">
            <v>1075080</v>
          </cell>
          <cell r="N874">
            <v>1075080</v>
          </cell>
          <cell r="O874">
            <v>1075080</v>
          </cell>
          <cell r="P874">
            <v>1075080</v>
          </cell>
          <cell r="Q874">
            <v>1075080</v>
          </cell>
          <cell r="R874">
            <v>1075080</v>
          </cell>
          <cell r="S874">
            <v>1075080</v>
          </cell>
        </row>
        <row r="875">
          <cell r="B875" t="str">
            <v>M202.0207</v>
          </cell>
          <cell r="C875" t="str">
            <v>Thiết bị xác định độ bền cọ rửa</v>
          </cell>
          <cell r="E875" t="str">
            <v>-</v>
          </cell>
          <cell r="G875">
            <v>40000</v>
          </cell>
          <cell r="L875">
            <v>33000</v>
          </cell>
          <cell r="M875">
            <v>33000</v>
          </cell>
          <cell r="N875">
            <v>33000</v>
          </cell>
          <cell r="O875">
            <v>33000</v>
          </cell>
          <cell r="P875">
            <v>33000</v>
          </cell>
          <cell r="Q875">
            <v>33000</v>
          </cell>
          <cell r="R875">
            <v>33000</v>
          </cell>
          <cell r="S875">
            <v>33000</v>
          </cell>
        </row>
        <row r="876">
          <cell r="B876" t="str">
            <v>M202.0208</v>
          </cell>
          <cell r="C876" t="str">
            <v>Thiết bị xác định thay đổi chiều cao cột vữa</v>
          </cell>
          <cell r="E876" t="str">
            <v>-</v>
          </cell>
          <cell r="G876">
            <v>1000</v>
          </cell>
          <cell r="L876">
            <v>1025</v>
          </cell>
          <cell r="M876">
            <v>1025</v>
          </cell>
          <cell r="N876">
            <v>1025</v>
          </cell>
          <cell r="O876">
            <v>1025</v>
          </cell>
          <cell r="P876">
            <v>1025</v>
          </cell>
          <cell r="Q876">
            <v>1025</v>
          </cell>
          <cell r="R876">
            <v>1025</v>
          </cell>
          <cell r="S876">
            <v>1025</v>
          </cell>
        </row>
        <row r="877">
          <cell r="B877" t="str">
            <v>M202.0209</v>
          </cell>
          <cell r="C877" t="str">
            <v>Xe chuyên dùng</v>
          </cell>
          <cell r="E877" t="str">
            <v>-</v>
          </cell>
          <cell r="G877">
            <v>546000</v>
          </cell>
          <cell r="L877">
            <v>436800</v>
          </cell>
          <cell r="M877">
            <v>436800</v>
          </cell>
          <cell r="N877">
            <v>436800</v>
          </cell>
          <cell r="O877">
            <v>436800</v>
          </cell>
          <cell r="P877">
            <v>436800</v>
          </cell>
          <cell r="Q877">
            <v>436800</v>
          </cell>
          <cell r="R877">
            <v>436800</v>
          </cell>
          <cell r="S877">
            <v>436800</v>
          </cell>
        </row>
        <row r="878">
          <cell r="B878" t="str">
            <v>M202.0210</v>
          </cell>
          <cell r="C878" t="str">
            <v>Dụng cụ vòng và bi</v>
          </cell>
          <cell r="E878" t="str">
            <v>-</v>
          </cell>
          <cell r="G878">
            <v>3500</v>
          </cell>
          <cell r="L878">
            <v>3588</v>
          </cell>
          <cell r="M878">
            <v>3588</v>
          </cell>
          <cell r="N878">
            <v>3588</v>
          </cell>
          <cell r="O878">
            <v>3588</v>
          </cell>
          <cell r="P878">
            <v>3588</v>
          </cell>
          <cell r="Q878">
            <v>3588</v>
          </cell>
          <cell r="R878">
            <v>3588</v>
          </cell>
          <cell r="S878">
            <v>3588</v>
          </cell>
        </row>
        <row r="879">
          <cell r="B879" t="str">
            <v>M203.0000</v>
          </cell>
          <cell r="C879" t="str">
            <v>MÁY VÀ THIẾT BỊ THÍ NGHIỆM ĐIỆN, ĐƯỜNG DÂY VÀ TRẠM BIẾN ÁP</v>
          </cell>
          <cell r="E879" t="str">
            <v>-</v>
          </cell>
          <cell r="P879">
            <v>0</v>
          </cell>
          <cell r="Q879">
            <v>0</v>
          </cell>
          <cell r="R879">
            <v>0</v>
          </cell>
          <cell r="S879">
            <v>0</v>
          </cell>
        </row>
        <row r="880">
          <cell r="B880" t="str">
            <v>M203.0001</v>
          </cell>
          <cell r="C880" t="str">
            <v>Bộ tạo nguồn 3 pha</v>
          </cell>
          <cell r="E880" t="str">
            <v>-</v>
          </cell>
          <cell r="G880">
            <v>508246</v>
          </cell>
          <cell r="L880">
            <v>404287</v>
          </cell>
          <cell r="M880">
            <v>404287</v>
          </cell>
          <cell r="N880">
            <v>404287</v>
          </cell>
          <cell r="O880">
            <v>404287</v>
          </cell>
          <cell r="P880">
            <v>404287</v>
          </cell>
          <cell r="Q880">
            <v>404287</v>
          </cell>
          <cell r="R880">
            <v>404287</v>
          </cell>
          <cell r="S880">
            <v>404287</v>
          </cell>
        </row>
        <row r="881">
          <cell r="B881" t="str">
            <v>M203.0002</v>
          </cell>
          <cell r="C881" t="str">
            <v>Bộ nguồn AC-DC</v>
          </cell>
          <cell r="E881" t="str">
            <v>-</v>
          </cell>
          <cell r="G881">
            <v>49988</v>
          </cell>
          <cell r="L881">
            <v>39763</v>
          </cell>
          <cell r="M881">
            <v>39763</v>
          </cell>
          <cell r="N881">
            <v>39763</v>
          </cell>
          <cell r="O881">
            <v>39763</v>
          </cell>
          <cell r="P881">
            <v>39763</v>
          </cell>
          <cell r="Q881">
            <v>39763</v>
          </cell>
          <cell r="R881">
            <v>39763</v>
          </cell>
          <cell r="S881">
            <v>39763</v>
          </cell>
        </row>
        <row r="882">
          <cell r="B882" t="str">
            <v>M203.0003</v>
          </cell>
          <cell r="C882" t="str">
            <v>Công tơ mẫu xách tay</v>
          </cell>
          <cell r="E882" t="str">
            <v>-</v>
          </cell>
          <cell r="G882">
            <v>210613</v>
          </cell>
          <cell r="L882">
            <v>167533</v>
          </cell>
          <cell r="M882">
            <v>167533</v>
          </cell>
          <cell r="N882">
            <v>167533</v>
          </cell>
          <cell r="O882">
            <v>167533</v>
          </cell>
          <cell r="P882">
            <v>167533</v>
          </cell>
          <cell r="Q882">
            <v>167533</v>
          </cell>
          <cell r="R882">
            <v>167533</v>
          </cell>
          <cell r="S882">
            <v>167533</v>
          </cell>
        </row>
        <row r="883">
          <cell r="B883" t="str">
            <v>M203.0004</v>
          </cell>
          <cell r="C883" t="str">
            <v>Hộp bộ đo tgd Delta</v>
          </cell>
          <cell r="E883" t="str">
            <v>-</v>
          </cell>
          <cell r="G883">
            <v>1000900</v>
          </cell>
          <cell r="L883">
            <v>796170</v>
          </cell>
          <cell r="M883">
            <v>796170</v>
          </cell>
          <cell r="N883">
            <v>796170</v>
          </cell>
          <cell r="O883">
            <v>796170</v>
          </cell>
          <cell r="P883">
            <v>796170</v>
          </cell>
          <cell r="Q883">
            <v>796170</v>
          </cell>
          <cell r="R883">
            <v>796170</v>
          </cell>
          <cell r="S883">
            <v>796170</v>
          </cell>
        </row>
        <row r="884">
          <cell r="B884" t="str">
            <v>M203.0005</v>
          </cell>
          <cell r="C884" t="str">
            <v>Hợp bộ đo lường</v>
          </cell>
          <cell r="E884" t="str">
            <v>-</v>
          </cell>
          <cell r="G884">
            <v>946212</v>
          </cell>
          <cell r="L884">
            <v>752669</v>
          </cell>
          <cell r="M884">
            <v>752669</v>
          </cell>
          <cell r="N884">
            <v>752669</v>
          </cell>
          <cell r="O884">
            <v>752669</v>
          </cell>
          <cell r="P884">
            <v>752669</v>
          </cell>
          <cell r="Q884">
            <v>752669</v>
          </cell>
          <cell r="R884">
            <v>752669</v>
          </cell>
          <cell r="S884">
            <v>752669</v>
          </cell>
        </row>
        <row r="885">
          <cell r="B885" t="str">
            <v>M203.0006</v>
          </cell>
          <cell r="C885" t="str">
            <v>Hợp bộ phân tích hàm lượng khí</v>
          </cell>
          <cell r="E885" t="str">
            <v>-</v>
          </cell>
          <cell r="G885">
            <v>1618868</v>
          </cell>
          <cell r="L885">
            <v>1287736</v>
          </cell>
          <cell r="M885">
            <v>1287736</v>
          </cell>
          <cell r="N885">
            <v>1287736</v>
          </cell>
          <cell r="O885">
            <v>1287736</v>
          </cell>
          <cell r="P885">
            <v>1287736</v>
          </cell>
          <cell r="Q885">
            <v>1287736</v>
          </cell>
          <cell r="R885">
            <v>1287736</v>
          </cell>
          <cell r="S885">
            <v>1287736</v>
          </cell>
        </row>
        <row r="886">
          <cell r="B886" t="str">
            <v>M203.0007</v>
          </cell>
          <cell r="C886" t="str">
            <v>Hợp bộ thí nghiệm cao áp</v>
          </cell>
          <cell r="E886" t="str">
            <v>-</v>
          </cell>
          <cell r="G886">
            <v>507559</v>
          </cell>
          <cell r="L886">
            <v>403740</v>
          </cell>
          <cell r="M886">
            <v>403740</v>
          </cell>
          <cell r="N886">
            <v>403740</v>
          </cell>
          <cell r="O886">
            <v>403740</v>
          </cell>
          <cell r="P886">
            <v>403740</v>
          </cell>
          <cell r="Q886">
            <v>403740</v>
          </cell>
          <cell r="R886">
            <v>403740</v>
          </cell>
          <cell r="S886">
            <v>403740</v>
          </cell>
        </row>
        <row r="887">
          <cell r="B887" t="str">
            <v>M203.0008</v>
          </cell>
          <cell r="C887" t="str">
            <v>Hợp bộ thí nghiệm rơle</v>
          </cell>
          <cell r="E887" t="str">
            <v>-</v>
          </cell>
          <cell r="G887">
            <v>955957</v>
          </cell>
          <cell r="L887">
            <v>760420</v>
          </cell>
          <cell r="M887">
            <v>760420</v>
          </cell>
          <cell r="N887">
            <v>760420</v>
          </cell>
          <cell r="O887">
            <v>760420</v>
          </cell>
          <cell r="P887">
            <v>760420</v>
          </cell>
          <cell r="Q887">
            <v>760420</v>
          </cell>
          <cell r="R887">
            <v>760420</v>
          </cell>
          <cell r="S887">
            <v>760420</v>
          </cell>
        </row>
        <row r="888">
          <cell r="B888" t="str">
            <v>M203.0009</v>
          </cell>
          <cell r="C888" t="str">
            <v>Máy điều chỉnh điện áp 1pha</v>
          </cell>
          <cell r="E888" t="str">
            <v>-</v>
          </cell>
          <cell r="G888">
            <v>19835</v>
          </cell>
          <cell r="L888">
            <v>16679</v>
          </cell>
          <cell r="M888">
            <v>16679</v>
          </cell>
          <cell r="N888">
            <v>16679</v>
          </cell>
          <cell r="O888">
            <v>16679</v>
          </cell>
          <cell r="P888">
            <v>16679</v>
          </cell>
          <cell r="Q888">
            <v>16679</v>
          </cell>
          <cell r="R888">
            <v>16679</v>
          </cell>
          <cell r="S888">
            <v>16679</v>
          </cell>
        </row>
        <row r="889">
          <cell r="B889" t="str">
            <v>M203.0010</v>
          </cell>
          <cell r="C889" t="str">
            <v>Máy đo độ A xít</v>
          </cell>
          <cell r="E889" t="str">
            <v>-</v>
          </cell>
          <cell r="G889">
            <v>182524</v>
          </cell>
          <cell r="L889">
            <v>145190</v>
          </cell>
          <cell r="M889">
            <v>145190</v>
          </cell>
          <cell r="N889">
            <v>145190</v>
          </cell>
          <cell r="O889">
            <v>145190</v>
          </cell>
          <cell r="P889">
            <v>145190</v>
          </cell>
          <cell r="Q889">
            <v>145190</v>
          </cell>
          <cell r="R889">
            <v>145190</v>
          </cell>
          <cell r="S889">
            <v>145190</v>
          </cell>
        </row>
        <row r="890">
          <cell r="B890" t="str">
            <v>M203.0011</v>
          </cell>
          <cell r="C890" t="str">
            <v>Máy đo độ chớp cháy kín</v>
          </cell>
          <cell r="E890" t="str">
            <v>-</v>
          </cell>
          <cell r="G890">
            <v>174957</v>
          </cell>
          <cell r="L890">
            <v>139170</v>
          </cell>
          <cell r="M890">
            <v>139170</v>
          </cell>
          <cell r="N890">
            <v>139170</v>
          </cell>
          <cell r="O890">
            <v>139170</v>
          </cell>
          <cell r="P890">
            <v>139170</v>
          </cell>
          <cell r="Q890">
            <v>139170</v>
          </cell>
          <cell r="R890">
            <v>139170</v>
          </cell>
          <cell r="S890">
            <v>139170</v>
          </cell>
        </row>
        <row r="891">
          <cell r="B891" t="str">
            <v>M203.0012</v>
          </cell>
          <cell r="C891" t="str">
            <v>Máy đo độ nhớt</v>
          </cell>
          <cell r="E891" t="str">
            <v>-</v>
          </cell>
          <cell r="G891">
            <v>150307</v>
          </cell>
          <cell r="L891">
            <v>119562</v>
          </cell>
          <cell r="M891">
            <v>119562</v>
          </cell>
          <cell r="N891">
            <v>119562</v>
          </cell>
          <cell r="O891">
            <v>119562</v>
          </cell>
          <cell r="P891">
            <v>119562</v>
          </cell>
          <cell r="Q891">
            <v>119562</v>
          </cell>
          <cell r="R891">
            <v>119562</v>
          </cell>
          <cell r="S891">
            <v>119562</v>
          </cell>
        </row>
        <row r="892">
          <cell r="B892" t="str">
            <v>M203.0013</v>
          </cell>
          <cell r="C892" t="str">
            <v>Máy đo điện áp xuyên thủng</v>
          </cell>
          <cell r="E892" t="str">
            <v>-</v>
          </cell>
          <cell r="G892">
            <v>36574</v>
          </cell>
          <cell r="L892">
            <v>29093</v>
          </cell>
          <cell r="M892">
            <v>29093</v>
          </cell>
          <cell r="N892">
            <v>29093</v>
          </cell>
          <cell r="O892">
            <v>29093</v>
          </cell>
          <cell r="P892">
            <v>29093</v>
          </cell>
          <cell r="Q892">
            <v>29093</v>
          </cell>
          <cell r="R892">
            <v>29093</v>
          </cell>
          <cell r="S892">
            <v>29093</v>
          </cell>
        </row>
        <row r="893">
          <cell r="B893" t="str">
            <v>M203.0014</v>
          </cell>
          <cell r="C893" t="str">
            <v>Máy đo điện trở một chiều</v>
          </cell>
          <cell r="E893" t="str">
            <v>-</v>
          </cell>
          <cell r="G893">
            <v>179658</v>
          </cell>
          <cell r="L893">
            <v>142910</v>
          </cell>
          <cell r="M893">
            <v>142910</v>
          </cell>
          <cell r="N893">
            <v>142910</v>
          </cell>
          <cell r="O893">
            <v>142910</v>
          </cell>
          <cell r="P893">
            <v>142910</v>
          </cell>
          <cell r="Q893">
            <v>142910</v>
          </cell>
          <cell r="R893">
            <v>142910</v>
          </cell>
          <cell r="S893">
            <v>142910</v>
          </cell>
        </row>
        <row r="894">
          <cell r="B894" t="str">
            <v>M203.0015</v>
          </cell>
          <cell r="C894" t="str">
            <v>Máy đo điện trở tiếp địa</v>
          </cell>
          <cell r="E894" t="str">
            <v>-</v>
          </cell>
          <cell r="G894">
            <v>61109</v>
          </cell>
          <cell r="L894">
            <v>48609</v>
          </cell>
          <cell r="M894">
            <v>48609</v>
          </cell>
          <cell r="N894">
            <v>48609</v>
          </cell>
          <cell r="O894">
            <v>48609</v>
          </cell>
          <cell r="P894">
            <v>48609</v>
          </cell>
          <cell r="Q894">
            <v>48609</v>
          </cell>
          <cell r="R894">
            <v>48609</v>
          </cell>
          <cell r="S894">
            <v>48609</v>
          </cell>
        </row>
        <row r="895">
          <cell r="B895" t="str">
            <v>M203.0016</v>
          </cell>
          <cell r="C895" t="str">
            <v>Máy đo điện trở tiếp xúc</v>
          </cell>
          <cell r="E895" t="str">
            <v>-</v>
          </cell>
          <cell r="G895">
            <v>104905</v>
          </cell>
          <cell r="L895">
            <v>83447</v>
          </cell>
          <cell r="M895">
            <v>83447</v>
          </cell>
          <cell r="N895">
            <v>83447</v>
          </cell>
          <cell r="O895">
            <v>83447</v>
          </cell>
          <cell r="P895">
            <v>83447</v>
          </cell>
          <cell r="Q895">
            <v>83447</v>
          </cell>
          <cell r="R895">
            <v>83447</v>
          </cell>
          <cell r="S895">
            <v>83447</v>
          </cell>
        </row>
        <row r="896">
          <cell r="B896" t="str">
            <v>M203.0017</v>
          </cell>
          <cell r="C896" t="str">
            <v>Cầu đo tang dầu cách điện</v>
          </cell>
          <cell r="E896" t="str">
            <v>-</v>
          </cell>
          <cell r="G896">
            <v>365277</v>
          </cell>
          <cell r="L896">
            <v>290561</v>
          </cell>
          <cell r="M896">
            <v>290561</v>
          </cell>
          <cell r="N896">
            <v>290561</v>
          </cell>
          <cell r="O896">
            <v>290561</v>
          </cell>
          <cell r="P896">
            <v>290561</v>
          </cell>
          <cell r="Q896">
            <v>290561</v>
          </cell>
          <cell r="R896">
            <v>290561</v>
          </cell>
          <cell r="S896">
            <v>290561</v>
          </cell>
        </row>
        <row r="897">
          <cell r="B897" t="str">
            <v>M203.0018</v>
          </cell>
          <cell r="C897" t="str">
            <v>Máy đo tỷ trọng</v>
          </cell>
          <cell r="E897" t="str">
            <v>-</v>
          </cell>
          <cell r="G897">
            <v>73491</v>
          </cell>
          <cell r="L897">
            <v>58459</v>
          </cell>
          <cell r="M897">
            <v>58459</v>
          </cell>
          <cell r="N897">
            <v>58459</v>
          </cell>
          <cell r="O897">
            <v>58459</v>
          </cell>
          <cell r="P897">
            <v>58459</v>
          </cell>
          <cell r="Q897">
            <v>58459</v>
          </cell>
          <cell r="R897">
            <v>58459</v>
          </cell>
          <cell r="S897">
            <v>58459</v>
          </cell>
        </row>
        <row r="898">
          <cell r="B898" t="str">
            <v>M203.0019</v>
          </cell>
          <cell r="C898" t="str">
            <v>Máy đo vạn năng</v>
          </cell>
          <cell r="E898" t="str">
            <v>-</v>
          </cell>
          <cell r="G898">
            <v>151224</v>
          </cell>
          <cell r="L898">
            <v>120292</v>
          </cell>
          <cell r="M898">
            <v>120292</v>
          </cell>
          <cell r="N898">
            <v>120292</v>
          </cell>
          <cell r="O898">
            <v>120292</v>
          </cell>
          <cell r="P898">
            <v>120292</v>
          </cell>
          <cell r="Q898">
            <v>120292</v>
          </cell>
          <cell r="R898">
            <v>120292</v>
          </cell>
          <cell r="S898">
            <v>120292</v>
          </cell>
        </row>
        <row r="899">
          <cell r="B899" t="str">
            <v>M203.0020</v>
          </cell>
          <cell r="C899" t="str">
            <v>Máy chụp sóng</v>
          </cell>
          <cell r="E899" t="str">
            <v>-</v>
          </cell>
          <cell r="G899">
            <v>521317</v>
          </cell>
          <cell r="L899">
            <v>414684</v>
          </cell>
          <cell r="M899">
            <v>414684</v>
          </cell>
          <cell r="N899">
            <v>414684</v>
          </cell>
          <cell r="O899">
            <v>414684</v>
          </cell>
          <cell r="P899">
            <v>414684</v>
          </cell>
          <cell r="Q899">
            <v>414684</v>
          </cell>
          <cell r="R899">
            <v>414684</v>
          </cell>
          <cell r="S899">
            <v>414684</v>
          </cell>
        </row>
        <row r="900">
          <cell r="B900" t="str">
            <v>M203.0021</v>
          </cell>
          <cell r="C900" t="str">
            <v>Máy kiểm tra độ ổn định oxy hoá dầu</v>
          </cell>
          <cell r="E900" t="str">
            <v>-</v>
          </cell>
          <cell r="G900">
            <v>374105</v>
          </cell>
          <cell r="L900">
            <v>297584</v>
          </cell>
          <cell r="M900">
            <v>297584</v>
          </cell>
          <cell r="N900">
            <v>297584</v>
          </cell>
          <cell r="O900">
            <v>297584</v>
          </cell>
          <cell r="P900">
            <v>297584</v>
          </cell>
          <cell r="Q900">
            <v>297584</v>
          </cell>
          <cell r="R900">
            <v>297584</v>
          </cell>
          <cell r="S900">
            <v>297584</v>
          </cell>
        </row>
        <row r="901">
          <cell r="B901" t="str">
            <v>M203.0022</v>
          </cell>
          <cell r="C901" t="str">
            <v>Máy phát tần số</v>
          </cell>
          <cell r="E901" t="str">
            <v>-</v>
          </cell>
          <cell r="G901">
            <v>133224</v>
          </cell>
          <cell r="L901">
            <v>105974</v>
          </cell>
          <cell r="M901">
            <v>105974</v>
          </cell>
          <cell r="N901">
            <v>105974</v>
          </cell>
          <cell r="O901">
            <v>105974</v>
          </cell>
          <cell r="P901">
            <v>105974</v>
          </cell>
          <cell r="Q901">
            <v>105974</v>
          </cell>
          <cell r="R901">
            <v>105974</v>
          </cell>
          <cell r="S901">
            <v>105974</v>
          </cell>
        </row>
        <row r="902">
          <cell r="B902" t="str">
            <v>M203.0023</v>
          </cell>
          <cell r="C902" t="str">
            <v>Máy phân tích độ ẩm khí SF6</v>
          </cell>
          <cell r="E902" t="str">
            <v>-</v>
          </cell>
          <cell r="G902">
            <v>184244</v>
          </cell>
          <cell r="L902">
            <v>146558</v>
          </cell>
          <cell r="M902">
            <v>146558</v>
          </cell>
          <cell r="N902">
            <v>146558</v>
          </cell>
          <cell r="O902">
            <v>146558</v>
          </cell>
          <cell r="P902">
            <v>146558</v>
          </cell>
          <cell r="Q902">
            <v>146558</v>
          </cell>
          <cell r="R902">
            <v>146558</v>
          </cell>
          <cell r="S902">
            <v>146558</v>
          </cell>
        </row>
        <row r="903">
          <cell r="B903" t="str">
            <v>M203.0024</v>
          </cell>
          <cell r="C903" t="str">
            <v>Máy đo vi lượng ẩm</v>
          </cell>
          <cell r="E903" t="str">
            <v>-</v>
          </cell>
          <cell r="G903">
            <v>166702</v>
          </cell>
          <cell r="L903">
            <v>132604</v>
          </cell>
          <cell r="M903">
            <v>132604</v>
          </cell>
          <cell r="N903">
            <v>132604</v>
          </cell>
          <cell r="O903">
            <v>132604</v>
          </cell>
          <cell r="P903">
            <v>132604</v>
          </cell>
          <cell r="Q903">
            <v>132604</v>
          </cell>
          <cell r="R903">
            <v>132604</v>
          </cell>
          <cell r="S903">
            <v>132604</v>
          </cell>
        </row>
        <row r="904">
          <cell r="B904" t="str">
            <v>M203.0025</v>
          </cell>
          <cell r="C904" t="str">
            <v>Mê gôm mét</v>
          </cell>
          <cell r="E904" t="str">
            <v>-</v>
          </cell>
          <cell r="G904">
            <v>50446</v>
          </cell>
          <cell r="L904">
            <v>40128</v>
          </cell>
          <cell r="M904">
            <v>40128</v>
          </cell>
          <cell r="N904">
            <v>40128</v>
          </cell>
          <cell r="O904">
            <v>40128</v>
          </cell>
          <cell r="P904">
            <v>40128</v>
          </cell>
          <cell r="Q904">
            <v>40128</v>
          </cell>
          <cell r="R904">
            <v>40128</v>
          </cell>
          <cell r="S904">
            <v>40128</v>
          </cell>
        </row>
        <row r="905">
          <cell r="B905" t="str">
            <v>M203.0026</v>
          </cell>
          <cell r="C905" t="str">
            <v>Thiết bị kiểm tra áp lực</v>
          </cell>
          <cell r="E905" t="str">
            <v>-</v>
          </cell>
          <cell r="G905">
            <v>86332</v>
          </cell>
          <cell r="L905">
            <v>68673</v>
          </cell>
          <cell r="M905">
            <v>68673</v>
          </cell>
          <cell r="N905">
            <v>68673</v>
          </cell>
          <cell r="O905">
            <v>68673</v>
          </cell>
          <cell r="P905">
            <v>68673</v>
          </cell>
          <cell r="Q905">
            <v>68673</v>
          </cell>
          <cell r="R905">
            <v>68673</v>
          </cell>
          <cell r="S905">
            <v>68673</v>
          </cell>
        </row>
        <row r="906">
          <cell r="B906" t="str">
            <v>M203.0027</v>
          </cell>
          <cell r="C906" t="str">
            <v>Thiết bị tạo dòng điện</v>
          </cell>
          <cell r="E906" t="str">
            <v>-</v>
          </cell>
          <cell r="G906">
            <v>499762</v>
          </cell>
          <cell r="L906">
            <v>397538</v>
          </cell>
          <cell r="M906">
            <v>397538</v>
          </cell>
          <cell r="N906">
            <v>397538</v>
          </cell>
          <cell r="O906">
            <v>397538</v>
          </cell>
          <cell r="P906">
            <v>397538</v>
          </cell>
          <cell r="Q906">
            <v>397538</v>
          </cell>
          <cell r="R906">
            <v>397538</v>
          </cell>
          <cell r="S906">
            <v>397538</v>
          </cell>
        </row>
        <row r="907">
          <cell r="B907" t="str">
            <v>M-BS1</v>
          </cell>
          <cell r="C907" t="str">
            <v>Máy đo tỷ số biến</v>
          </cell>
          <cell r="E907" t="str">
            <v>-</v>
          </cell>
          <cell r="L907">
            <v>335289.59700000001</v>
          </cell>
          <cell r="M907">
            <v>315117.01199999999</v>
          </cell>
          <cell r="N907">
            <v>294307.39799999999</v>
          </cell>
          <cell r="O907">
            <v>280717.446</v>
          </cell>
          <cell r="P907">
            <v>335289.59700000001</v>
          </cell>
          <cell r="Q907">
            <v>315117.01199999999</v>
          </cell>
          <cell r="R907">
            <v>294307.39799999999</v>
          </cell>
          <cell r="S907">
            <v>280717.446</v>
          </cell>
        </row>
        <row r="908">
          <cell r="B908" t="str">
            <v>M-BS2</v>
          </cell>
          <cell r="C908" t="str">
            <v>Máy ép đầu cosse</v>
          </cell>
          <cell r="E908" t="str">
            <v>-</v>
          </cell>
          <cell r="L908">
            <v>93014.152999999991</v>
          </cell>
          <cell r="M908">
            <v>87417.987999999998</v>
          </cell>
          <cell r="N908">
            <v>81645.101999999999</v>
          </cell>
          <cell r="O908">
            <v>77875.054000000004</v>
          </cell>
          <cell r="P908">
            <v>93014.152999999991</v>
          </cell>
          <cell r="Q908">
            <v>87417.987999999998</v>
          </cell>
          <cell r="R908">
            <v>81645.101999999999</v>
          </cell>
          <cell r="S908">
            <v>77875.054000000004</v>
          </cell>
        </row>
        <row r="909">
          <cell r="B909" t="str">
            <v>M-BS3</v>
          </cell>
          <cell r="C909" t="str">
            <v>Đèn khò</v>
          </cell>
          <cell r="E909" t="str">
            <v>-</v>
          </cell>
          <cell r="L909">
            <v>16447.349999999999</v>
          </cell>
          <cell r="M909">
            <v>15607.967999999999</v>
          </cell>
          <cell r="N909">
            <v>14745.9</v>
          </cell>
          <cell r="O909">
            <v>14178.75</v>
          </cell>
          <cell r="P909">
            <v>16447.349999999999</v>
          </cell>
          <cell r="Q909">
            <v>15607.967999999999</v>
          </cell>
          <cell r="R909">
            <v>14745.9</v>
          </cell>
          <cell r="S909">
            <v>14178.75</v>
          </cell>
        </row>
        <row r="910">
          <cell r="B910" t="str">
            <v>M-BS4</v>
          </cell>
          <cell r="C910" t="str">
            <v>Máy lọc dầu cải tạo YBM-2</v>
          </cell>
          <cell r="E910" t="str">
            <v>-</v>
          </cell>
          <cell r="L910">
            <v>1098786.8</v>
          </cell>
          <cell r="M910">
            <v>1042710.7839999999</v>
          </cell>
          <cell r="N910">
            <v>985119.20000000007</v>
          </cell>
          <cell r="O910">
            <v>947230</v>
          </cell>
          <cell r="P910">
            <v>1098786.8</v>
          </cell>
          <cell r="Q910">
            <v>1042710.7839999999</v>
          </cell>
          <cell r="R910">
            <v>985119.20000000007</v>
          </cell>
          <cell r="S910">
            <v>947230</v>
          </cell>
        </row>
        <row r="911">
          <cell r="B911" t="str">
            <v>M-BS5</v>
          </cell>
          <cell r="C911" t="str">
            <v>Máy hàn cáp quang</v>
          </cell>
          <cell r="E911" t="str">
            <v>-</v>
          </cell>
          <cell r="L911">
            <v>707425.15899999999</v>
          </cell>
          <cell r="M911">
            <v>664863.16399999999</v>
          </cell>
          <cell r="N911">
            <v>620957.10599999991</v>
          </cell>
          <cell r="O911">
            <v>592283.76199999999</v>
          </cell>
          <cell r="P911">
            <v>707425.15899999999</v>
          </cell>
          <cell r="Q911">
            <v>664863.16399999999</v>
          </cell>
          <cell r="R911">
            <v>620957.10599999991</v>
          </cell>
          <cell r="S911">
            <v>592283.76199999999</v>
          </cell>
        </row>
        <row r="912">
          <cell r="B912" t="str">
            <v>M-BS6</v>
          </cell>
          <cell r="C912" t="str">
            <v>Máy bơm ly tâm</v>
          </cell>
          <cell r="E912" t="str">
            <v>-</v>
          </cell>
          <cell r="L912">
            <v>36445.75</v>
          </cell>
          <cell r="M912">
            <v>34585.759999999995</v>
          </cell>
          <cell r="N912">
            <v>32675.5</v>
          </cell>
          <cell r="O912">
            <v>31418.75</v>
          </cell>
          <cell r="P912">
            <v>36445.75</v>
          </cell>
          <cell r="Q912">
            <v>34585.759999999995</v>
          </cell>
          <cell r="R912">
            <v>32675.5</v>
          </cell>
          <cell r="S912">
            <v>31418.75</v>
          </cell>
        </row>
        <row r="913">
          <cell r="B913" t="str">
            <v>M-BS7</v>
          </cell>
          <cell r="C913" t="str">
            <v>Máy lọc dầu hợp bộ KATO KLVC-4AXVSO</v>
          </cell>
          <cell r="L913">
            <v>2105430.4499999997</v>
          </cell>
          <cell r="M913">
            <v>1997980.8959999999</v>
          </cell>
          <cell r="N913">
            <v>1887627.3</v>
          </cell>
          <cell r="O913">
            <v>1815026.25</v>
          </cell>
          <cell r="P913">
            <v>2105430.4499999997</v>
          </cell>
          <cell r="Q913">
            <v>1997980.8959999999</v>
          </cell>
          <cell r="R913">
            <v>1887627.3</v>
          </cell>
          <cell r="S913">
            <v>1815026.25</v>
          </cell>
        </row>
        <row r="914">
          <cell r="B914" t="str">
            <v>M-BS8</v>
          </cell>
          <cell r="C914" t="str">
            <v>Máy lọc ép</v>
          </cell>
          <cell r="L914">
            <v>34905.85</v>
          </cell>
          <cell r="M914">
            <v>33124.447999999997</v>
          </cell>
          <cell r="N914">
            <v>31294.9</v>
          </cell>
          <cell r="O914">
            <v>30091.25</v>
          </cell>
          <cell r="P914">
            <v>34905.85</v>
          </cell>
          <cell r="Q914">
            <v>33124.447999999997</v>
          </cell>
          <cell r="R914">
            <v>31294.9</v>
          </cell>
          <cell r="S914">
            <v>30091.25</v>
          </cell>
        </row>
        <row r="915">
          <cell r="B915" t="str">
            <v>M-BS9</v>
          </cell>
          <cell r="C915" t="str">
            <v>Máy ép thủy lực</v>
          </cell>
          <cell r="L915">
            <v>93014.152999999991</v>
          </cell>
          <cell r="M915">
            <v>87417.987999999998</v>
          </cell>
          <cell r="N915">
            <v>81645.101999999999</v>
          </cell>
          <cell r="O915">
            <v>77875.054000000004</v>
          </cell>
          <cell r="P915">
            <v>93014.152999999991</v>
          </cell>
          <cell r="Q915">
            <v>87417.987999999998</v>
          </cell>
          <cell r="R915">
            <v>81645.101999999999</v>
          </cell>
          <cell r="S915">
            <v>77875.054000000004</v>
          </cell>
        </row>
        <row r="916">
          <cell r="B916" t="str">
            <v>M-BS10</v>
          </cell>
          <cell r="C916" t="str">
            <v>Máy kéo bánh xích, công suất  110 CV</v>
          </cell>
          <cell r="L916">
            <v>1138586.899</v>
          </cell>
          <cell r="M916">
            <v>1070084.2039999999</v>
          </cell>
          <cell r="N916">
            <v>999418.26599999995</v>
          </cell>
          <cell r="O916">
            <v>953269.08200000005</v>
          </cell>
          <cell r="P916">
            <v>1138586.899</v>
          </cell>
          <cell r="Q916">
            <v>1070084.2039999999</v>
          </cell>
          <cell r="R916">
            <v>999418.26599999995</v>
          </cell>
          <cell r="S916">
            <v>953269.08200000005</v>
          </cell>
        </row>
        <row r="917">
          <cell r="B917" t="str">
            <v>M-BS11</v>
          </cell>
          <cell r="C917" t="str">
            <v>Máy kéo bánh xích, công suất 75 CV</v>
          </cell>
          <cell r="L917">
            <v>1446299.2609999999</v>
          </cell>
          <cell r="M917">
            <v>1359283.156</v>
          </cell>
          <cell r="N917">
            <v>1269519.1739999999</v>
          </cell>
          <cell r="O917">
            <v>1210897.798</v>
          </cell>
          <cell r="P917">
            <v>1446299.2609999999</v>
          </cell>
          <cell r="Q917">
            <v>1359283.156</v>
          </cell>
          <cell r="R917">
            <v>1269519.1739999999</v>
          </cell>
          <cell r="S917">
            <v>1210897.798</v>
          </cell>
        </row>
        <row r="918">
          <cell r="B918" t="str">
            <v>M-BS12</v>
          </cell>
          <cell r="C918" t="str">
            <v>Máy rải dây</v>
          </cell>
          <cell r="L918">
            <v>863106.66399999999</v>
          </cell>
          <cell r="M918">
            <v>811178.14399999997</v>
          </cell>
          <cell r="N918">
            <v>757609.77599999995</v>
          </cell>
          <cell r="O918">
            <v>722626.35200000007</v>
          </cell>
          <cell r="P918">
            <v>863106.66399999999</v>
          </cell>
          <cell r="Q918">
            <v>811178.14399999997</v>
          </cell>
          <cell r="R918">
            <v>757609.77599999995</v>
          </cell>
          <cell r="S918">
            <v>722626.35200000007</v>
          </cell>
        </row>
        <row r="919">
          <cell r="B919" t="str">
            <v>M-BS13</v>
          </cell>
          <cell r="C919" t="str">
            <v>Máy thử cao áp AI-70</v>
          </cell>
          <cell r="L919">
            <v>197434.9</v>
          </cell>
          <cell r="M919">
            <v>187358.91199999998</v>
          </cell>
          <cell r="N919">
            <v>177010.6</v>
          </cell>
          <cell r="O919">
            <v>170202.5</v>
          </cell>
          <cell r="P919">
            <v>197434.9</v>
          </cell>
          <cell r="Q919">
            <v>187358.91199999998</v>
          </cell>
          <cell r="R919">
            <v>177010.6</v>
          </cell>
          <cell r="S919">
            <v>170202.5</v>
          </cell>
        </row>
        <row r="920">
          <cell r="B920" t="str">
            <v>M-BS14</v>
          </cell>
          <cell r="C920" t="str">
            <v>Máy khác</v>
          </cell>
          <cell r="P920">
            <v>0</v>
          </cell>
          <cell r="Q920">
            <v>0</v>
          </cell>
          <cell r="R920">
            <v>0</v>
          </cell>
          <cell r="S920">
            <v>0</v>
          </cell>
        </row>
      </sheetData>
      <sheetData sheetId="24" refreshError="1"/>
      <sheetData sheetId="25" refreshError="1">
        <row r="7">
          <cell r="B7" t="str">
            <v>Amiăng</v>
          </cell>
          <cell r="C7" t="str">
            <v>kg</v>
          </cell>
          <cell r="D7">
            <v>45455</v>
          </cell>
          <cell r="F7">
            <v>45455</v>
          </cell>
          <cell r="K7">
            <v>45455</v>
          </cell>
        </row>
        <row r="8">
          <cell r="B8" t="str">
            <v>Bản lề thường</v>
          </cell>
          <cell r="C8" t="str">
            <v>cái</v>
          </cell>
          <cell r="D8">
            <v>5000</v>
          </cell>
          <cell r="F8">
            <v>5000</v>
          </cell>
          <cell r="K8">
            <v>5000</v>
          </cell>
        </row>
        <row r="9">
          <cell r="B9" t="str">
            <v>Băng cách điện</v>
          </cell>
          <cell r="C9" t="str">
            <v>cuộn</v>
          </cell>
          <cell r="D9">
            <v>6000</v>
          </cell>
          <cell r="F9">
            <v>6000</v>
          </cell>
          <cell r="K9">
            <v>6000</v>
          </cell>
        </row>
        <row r="10">
          <cell r="B10" t="str">
            <v>Băng nilông các loại</v>
          </cell>
          <cell r="C10" t="str">
            <v>cuộn</v>
          </cell>
          <cell r="D10">
            <v>5000</v>
          </cell>
          <cell r="F10">
            <v>5000</v>
          </cell>
          <cell r="K10">
            <v>5000</v>
          </cell>
        </row>
        <row r="11">
          <cell r="B11" t="str">
            <v>Băng dính giấy</v>
          </cell>
          <cell r="C11" t="str">
            <v>cuộn</v>
          </cell>
          <cell r="F11">
            <v>6000</v>
          </cell>
          <cell r="K11">
            <v>6000</v>
          </cell>
        </row>
        <row r="12">
          <cell r="B12" t="str">
            <v>Băng dính trắng</v>
          </cell>
          <cell r="C12" t="str">
            <v>cuộn</v>
          </cell>
          <cell r="F12">
            <v>6000</v>
          </cell>
          <cell r="K12">
            <v>6000</v>
          </cell>
        </row>
        <row r="13">
          <cell r="B13" t="str">
            <v>Bê tông trộn sẵn</v>
          </cell>
          <cell r="C13" t="str">
            <v>m3</v>
          </cell>
          <cell r="D13">
            <v>0</v>
          </cell>
          <cell r="F13">
            <v>0</v>
          </cell>
          <cell r="K13">
            <v>0</v>
          </cell>
        </row>
        <row r="14">
          <cell r="B14" t="str">
            <v>Bê tông đá 1x2 max 200 dộ sụt 2-4 cm</v>
          </cell>
          <cell r="C14" t="str">
            <v>m3</v>
          </cell>
          <cell r="D14">
            <v>0</v>
          </cell>
          <cell r="F14">
            <v>0</v>
          </cell>
          <cell r="K14">
            <v>0</v>
          </cell>
        </row>
        <row r="15">
          <cell r="B15" t="str">
            <v>Bê tông nhựa hạt mịn</v>
          </cell>
          <cell r="C15" t="str">
            <v>tấn</v>
          </cell>
          <cell r="D15">
            <v>1171190</v>
          </cell>
          <cell r="E15">
            <v>1171190</v>
          </cell>
          <cell r="F15">
            <v>1171190</v>
          </cell>
          <cell r="K15">
            <v>1171190</v>
          </cell>
        </row>
        <row r="16">
          <cell r="B16" t="str">
            <v>Bê tông nhựa hạt thô R&gt;15</v>
          </cell>
          <cell r="C16" t="str">
            <v>tấn</v>
          </cell>
          <cell r="D16">
            <v>1074720</v>
          </cell>
          <cell r="E16">
            <v>1074720</v>
          </cell>
          <cell r="F16">
            <v>1074720</v>
          </cell>
          <cell r="K16">
            <v>1074720</v>
          </cell>
        </row>
        <row r="17">
          <cell r="B17" t="str">
            <v>Bê tông nhựa hạt trung</v>
          </cell>
          <cell r="C17" t="str">
            <v>tấn</v>
          </cell>
          <cell r="D17">
            <v>1130110</v>
          </cell>
          <cell r="E17">
            <v>1130110</v>
          </cell>
          <cell r="F17">
            <v>1130110</v>
          </cell>
          <cell r="K17">
            <v>1130110</v>
          </cell>
        </row>
        <row r="18">
          <cell r="B18" t="str">
            <v>Bê tông nhựa độ nhám cao</v>
          </cell>
          <cell r="C18" t="str">
            <v>tấn</v>
          </cell>
          <cell r="E18">
            <v>1690909</v>
          </cell>
        </row>
        <row r="19">
          <cell r="B19" t="str">
            <v>Bê tông nhựa rỗng C&lt;12.5</v>
          </cell>
          <cell r="C19" t="str">
            <v>tấn</v>
          </cell>
          <cell r="E19">
            <v>1700000</v>
          </cell>
        </row>
        <row r="20">
          <cell r="B20" t="str">
            <v>Bột Bentonite</v>
          </cell>
          <cell r="C20" t="str">
            <v>kg</v>
          </cell>
          <cell r="D20">
            <v>4000</v>
          </cell>
          <cell r="E20">
            <v>4000</v>
          </cell>
          <cell r="F20">
            <v>4000</v>
          </cell>
          <cell r="K20">
            <v>4000</v>
          </cell>
        </row>
        <row r="21">
          <cell r="B21" t="str">
            <v>Bột Ejectomer</v>
          </cell>
          <cell r="C21" t="str">
            <v>kg</v>
          </cell>
          <cell r="F21">
            <v>8000</v>
          </cell>
          <cell r="K21">
            <v>8000</v>
          </cell>
        </row>
        <row r="22">
          <cell r="B22" t="str">
            <v>Bộ định vị</v>
          </cell>
          <cell r="C22" t="str">
            <v>bộ</v>
          </cell>
          <cell r="F22">
            <v>150000</v>
          </cell>
          <cell r="K22">
            <v>150000</v>
          </cell>
        </row>
        <row r="23">
          <cell r="B23" t="str">
            <v>Bộ phát sóng 86B11</v>
          </cell>
          <cell r="C23" t="str">
            <v>bộ</v>
          </cell>
          <cell r="K23">
            <v>0</v>
          </cell>
        </row>
        <row r="24">
          <cell r="B24" t="str">
            <v>Bột đá</v>
          </cell>
          <cell r="C24" t="str">
            <v>kg</v>
          </cell>
          <cell r="D24">
            <v>545</v>
          </cell>
          <cell r="E24">
            <v>545</v>
          </cell>
          <cell r="F24">
            <v>545</v>
          </cell>
          <cell r="K24">
            <v>545</v>
          </cell>
        </row>
        <row r="25">
          <cell r="B25" t="str">
            <v>Bulông f&gt;=6; L&gt;=60</v>
          </cell>
          <cell r="C25" t="str">
            <v>cái</v>
          </cell>
          <cell r="D25">
            <v>3500</v>
          </cell>
          <cell r="F25">
            <v>3500</v>
          </cell>
          <cell r="K25">
            <v>3500</v>
          </cell>
        </row>
        <row r="26">
          <cell r="B26" t="str">
            <v>Bulông M10</v>
          </cell>
          <cell r="C26" t="str">
            <v>cái</v>
          </cell>
          <cell r="E26">
            <v>6000</v>
          </cell>
        </row>
        <row r="27">
          <cell r="B27" t="str">
            <v>Bulông êcu M 16x50</v>
          </cell>
          <cell r="C27" t="str">
            <v>cái</v>
          </cell>
          <cell r="D27">
            <v>2000</v>
          </cell>
          <cell r="F27">
            <v>2000</v>
          </cell>
          <cell r="K27">
            <v>2000</v>
          </cell>
        </row>
        <row r="28">
          <cell r="B28" t="str">
            <v>Bulông M12x200</v>
          </cell>
          <cell r="C28" t="str">
            <v>cái</v>
          </cell>
          <cell r="D28">
            <v>8000</v>
          </cell>
          <cell r="E28">
            <v>8000</v>
          </cell>
          <cell r="F28">
            <v>8000</v>
          </cell>
          <cell r="K28">
            <v>8000</v>
          </cell>
        </row>
        <row r="29">
          <cell r="B29" t="str">
            <v>Bulông M12x250</v>
          </cell>
          <cell r="C29" t="str">
            <v>cái</v>
          </cell>
          <cell r="D29">
            <v>8500</v>
          </cell>
          <cell r="E29">
            <v>8500</v>
          </cell>
          <cell r="F29">
            <v>8500</v>
          </cell>
          <cell r="K29">
            <v>8500</v>
          </cell>
        </row>
        <row r="30">
          <cell r="B30" t="str">
            <v>Bu lông M14x150</v>
          </cell>
          <cell r="C30" t="str">
            <v>cái</v>
          </cell>
          <cell r="D30">
            <v>7000</v>
          </cell>
          <cell r="F30">
            <v>7000</v>
          </cell>
          <cell r="K30">
            <v>7000</v>
          </cell>
        </row>
        <row r="31">
          <cell r="B31" t="str">
            <v>Bulông M16x10</v>
          </cell>
          <cell r="C31" t="str">
            <v>cái</v>
          </cell>
          <cell r="D31">
            <v>2000</v>
          </cell>
          <cell r="E31">
            <v>2000</v>
          </cell>
          <cell r="F31">
            <v>2000</v>
          </cell>
          <cell r="K31">
            <v>2000</v>
          </cell>
        </row>
        <row r="32">
          <cell r="B32" t="str">
            <v>Bulông M16x150</v>
          </cell>
          <cell r="C32" t="str">
            <v>cái</v>
          </cell>
          <cell r="E32">
            <v>7000</v>
          </cell>
        </row>
        <row r="33">
          <cell r="B33" t="str">
            <v>Bulông M16x250</v>
          </cell>
          <cell r="C33" t="str">
            <v>cái</v>
          </cell>
          <cell r="D33">
            <v>9000</v>
          </cell>
          <cell r="E33">
            <v>9000</v>
          </cell>
          <cell r="F33">
            <v>9000</v>
          </cell>
          <cell r="K33">
            <v>9000</v>
          </cell>
        </row>
        <row r="34">
          <cell r="B34" t="str">
            <v>Bulông M20x50</v>
          </cell>
          <cell r="C34" t="str">
            <v>cái</v>
          </cell>
          <cell r="D34">
            <v>5000</v>
          </cell>
          <cell r="F34">
            <v>5000</v>
          </cell>
          <cell r="K34">
            <v>5000</v>
          </cell>
        </row>
        <row r="35">
          <cell r="B35" t="str">
            <v>Cần khoan 2,5m</v>
          </cell>
          <cell r="C35" t="str">
            <v>cái</v>
          </cell>
          <cell r="D35">
            <v>80000</v>
          </cell>
          <cell r="F35">
            <v>80000</v>
          </cell>
          <cell r="K35">
            <v>80000</v>
          </cell>
        </row>
        <row r="36">
          <cell r="B36" t="str">
            <v>Cần khoan D114m</v>
          </cell>
          <cell r="C36" t="str">
            <v>mét</v>
          </cell>
          <cell r="D36">
            <v>200000</v>
          </cell>
          <cell r="F36">
            <v>200000</v>
          </cell>
          <cell r="K36">
            <v>200000</v>
          </cell>
        </row>
        <row r="37">
          <cell r="B37" t="str">
            <v>Cần khoan D32, L=1,5m</v>
          </cell>
          <cell r="C37" t="str">
            <v>cái</v>
          </cell>
          <cell r="D37">
            <v>50000</v>
          </cell>
          <cell r="F37">
            <v>50000</v>
          </cell>
          <cell r="K37">
            <v>50000</v>
          </cell>
        </row>
        <row r="38">
          <cell r="B38" t="str">
            <v>Cần khoan D38, L=4,32m</v>
          </cell>
          <cell r="C38" t="str">
            <v>cái</v>
          </cell>
          <cell r="D38">
            <v>145000</v>
          </cell>
          <cell r="F38">
            <v>145000</v>
          </cell>
          <cell r="K38">
            <v>145000</v>
          </cell>
        </row>
        <row r="39">
          <cell r="B39" t="str">
            <v>Cần khoan D89, L=0,96m</v>
          </cell>
          <cell r="C39" t="str">
            <v>cái</v>
          </cell>
          <cell r="D39">
            <v>70000</v>
          </cell>
          <cell r="F39">
            <v>70000</v>
          </cell>
          <cell r="K39">
            <v>70000</v>
          </cell>
        </row>
        <row r="40">
          <cell r="B40" t="str">
            <v>Cần khoan Robbin</v>
          </cell>
          <cell r="C40" t="str">
            <v>cái</v>
          </cell>
          <cell r="D40">
            <v>800000</v>
          </cell>
          <cell r="F40">
            <v>800000</v>
          </cell>
          <cell r="K40">
            <v>800000</v>
          </cell>
        </row>
        <row r="41">
          <cell r="B41" t="str">
            <v>Cáp bọc CVV 4x2,5mm2</v>
          </cell>
          <cell r="C41" t="str">
            <v>m</v>
          </cell>
          <cell r="D41">
            <v>26970</v>
          </cell>
          <cell r="F41">
            <v>26970</v>
          </cell>
          <cell r="K41">
            <v>26970</v>
          </cell>
        </row>
        <row r="42">
          <cell r="B42" t="str">
            <v>Cáp thép D=10mm</v>
          </cell>
          <cell r="C42" t="str">
            <v>kg</v>
          </cell>
          <cell r="D42">
            <v>20000</v>
          </cell>
          <cell r="F42">
            <v>20000</v>
          </cell>
          <cell r="K42">
            <v>20000</v>
          </cell>
        </row>
        <row r="43">
          <cell r="B43" t="str">
            <v>Cáp thép D=4mm</v>
          </cell>
          <cell r="C43" t="str">
            <v>kg</v>
          </cell>
          <cell r="D43">
            <v>20000</v>
          </cell>
          <cell r="F43">
            <v>20000</v>
          </cell>
          <cell r="K43">
            <v>20000</v>
          </cell>
        </row>
        <row r="44">
          <cell r="B44" t="str">
            <v>Cát hạt mịn</v>
          </cell>
          <cell r="C44" t="str">
            <v>m3</v>
          </cell>
          <cell r="D44">
            <v>318182</v>
          </cell>
          <cell r="E44">
            <v>318182</v>
          </cell>
          <cell r="F44">
            <v>318182</v>
          </cell>
          <cell r="K44">
            <v>318182</v>
          </cell>
        </row>
        <row r="45">
          <cell r="B45" t="str">
            <v>Cát nền</v>
          </cell>
          <cell r="C45" t="str">
            <v>m3</v>
          </cell>
          <cell r="D45">
            <v>200000</v>
          </cell>
          <cell r="E45">
            <v>200000</v>
          </cell>
          <cell r="F45">
            <v>200000</v>
          </cell>
          <cell r="K45">
            <v>200000</v>
          </cell>
        </row>
        <row r="46">
          <cell r="B46" t="str">
            <v>Cát sạn</v>
          </cell>
          <cell r="C46" t="str">
            <v>m3</v>
          </cell>
          <cell r="D46">
            <v>200000</v>
          </cell>
          <cell r="E46">
            <v>200000</v>
          </cell>
          <cell r="F46">
            <v>200000</v>
          </cell>
          <cell r="K46">
            <v>200000</v>
          </cell>
        </row>
        <row r="47">
          <cell r="B47" t="str">
            <v>Cát vàng</v>
          </cell>
          <cell r="C47" t="str">
            <v>m3</v>
          </cell>
          <cell r="D47">
            <v>363636</v>
          </cell>
          <cell r="E47">
            <v>363636</v>
          </cell>
          <cell r="F47">
            <v>363636</v>
          </cell>
          <cell r="K47">
            <v>363636</v>
          </cell>
        </row>
        <row r="48">
          <cell r="B48" t="str">
            <v>Cát vàng ML &gt; 2</v>
          </cell>
          <cell r="C48" t="str">
            <v>kg</v>
          </cell>
          <cell r="D48">
            <v>251</v>
          </cell>
          <cell r="F48">
            <v>251</v>
          </cell>
          <cell r="K48">
            <v>251</v>
          </cell>
        </row>
        <row r="49">
          <cell r="B49" t="str">
            <v>Cây chống thép hình</v>
          </cell>
          <cell r="C49" t="str">
            <v>kg</v>
          </cell>
          <cell r="E49">
            <v>14500</v>
          </cell>
        </row>
        <row r="50">
          <cell r="B50" t="str">
            <v>Cây chống thép ống</v>
          </cell>
          <cell r="C50" t="str">
            <v>kg</v>
          </cell>
          <cell r="E50">
            <v>14500</v>
          </cell>
        </row>
        <row r="51">
          <cell r="B51" t="str">
            <v>Cây chống</v>
          </cell>
          <cell r="C51" t="str">
            <v>cây</v>
          </cell>
          <cell r="E51">
            <v>15000</v>
          </cell>
        </row>
        <row r="52">
          <cell r="B52" t="str">
            <v>Chất tạo màng</v>
          </cell>
          <cell r="C52" t="str">
            <v>lít</v>
          </cell>
          <cell r="E52">
            <v>15000</v>
          </cell>
        </row>
        <row r="53">
          <cell r="B53" t="str">
            <v>Chất trám khe</v>
          </cell>
          <cell r="C53" t="str">
            <v>lít</v>
          </cell>
          <cell r="E53">
            <v>35000</v>
          </cell>
        </row>
        <row r="54">
          <cell r="B54" t="str">
            <v>Chất cách điện</v>
          </cell>
          <cell r="C54" t="str">
            <v>kg</v>
          </cell>
          <cell r="D54">
            <v>20500</v>
          </cell>
          <cell r="F54">
            <v>20500</v>
          </cell>
          <cell r="K54">
            <v>20500</v>
          </cell>
        </row>
        <row r="55">
          <cell r="B55" t="str">
            <v>Chổi sơn</v>
          </cell>
          <cell r="C55" t="str">
            <v>cái</v>
          </cell>
          <cell r="D55">
            <v>15000</v>
          </cell>
          <cell r="F55">
            <v>15000</v>
          </cell>
          <cell r="K55">
            <v>15000</v>
          </cell>
        </row>
        <row r="56">
          <cell r="B56" t="str">
            <v>Côliê đk&lt;=100mm</v>
          </cell>
          <cell r="C56" t="str">
            <v>cái</v>
          </cell>
          <cell r="D56">
            <v>5000</v>
          </cell>
          <cell r="F56">
            <v>5000</v>
          </cell>
          <cell r="K56">
            <v>5000</v>
          </cell>
        </row>
        <row r="57">
          <cell r="B57" t="str">
            <v>Côliê đk&lt;=25mm</v>
          </cell>
          <cell r="C57" t="str">
            <v>cái</v>
          </cell>
          <cell r="D57">
            <v>2000</v>
          </cell>
          <cell r="F57">
            <v>2000</v>
          </cell>
          <cell r="K57">
            <v>2000</v>
          </cell>
        </row>
        <row r="58">
          <cell r="B58" t="str">
            <v>Côliê đk&lt;=50mm</v>
          </cell>
          <cell r="C58" t="str">
            <v>cái</v>
          </cell>
          <cell r="D58">
            <v>3000</v>
          </cell>
          <cell r="F58">
            <v>3000</v>
          </cell>
          <cell r="K58">
            <v>3000</v>
          </cell>
        </row>
        <row r="59">
          <cell r="B59" t="str">
            <v>Côliê đk&lt;=75mm</v>
          </cell>
          <cell r="C59" t="str">
            <v>cái</v>
          </cell>
          <cell r="D59">
            <v>4000</v>
          </cell>
          <cell r="F59">
            <v>4000</v>
          </cell>
          <cell r="K59">
            <v>4000</v>
          </cell>
        </row>
        <row r="60">
          <cell r="B60" t="str">
            <v>Côliê đk&gt;100mm</v>
          </cell>
          <cell r="C60" t="str">
            <v>cái</v>
          </cell>
          <cell r="D60">
            <v>6000</v>
          </cell>
          <cell r="F60">
            <v>6000</v>
          </cell>
          <cell r="K60">
            <v>6000</v>
          </cell>
        </row>
        <row r="61">
          <cell r="B61" t="str">
            <v>Coliê sắt</v>
          </cell>
          <cell r="C61" t="str">
            <v>bộ</v>
          </cell>
          <cell r="D61">
            <v>3000</v>
          </cell>
          <cell r="F61">
            <v>3000</v>
          </cell>
          <cell r="K61">
            <v>3000</v>
          </cell>
        </row>
        <row r="62">
          <cell r="B62" t="str">
            <v>Côn cao su</v>
          </cell>
          <cell r="C62" t="str">
            <v>cái</v>
          </cell>
          <cell r="E62">
            <v>600</v>
          </cell>
        </row>
        <row r="63">
          <cell r="B63" t="str">
            <v>Côn nhựa</v>
          </cell>
          <cell r="C63" t="str">
            <v>cái</v>
          </cell>
          <cell r="E63">
            <v>1500</v>
          </cell>
        </row>
        <row r="64">
          <cell r="B64" t="str">
            <v>Cồn công nghiệp</v>
          </cell>
          <cell r="C64" t="str">
            <v>kg</v>
          </cell>
          <cell r="D64">
            <v>23000</v>
          </cell>
          <cell r="F64">
            <v>23000</v>
          </cell>
          <cell r="K64">
            <v>23000</v>
          </cell>
        </row>
        <row r="65">
          <cell r="B65" t="str">
            <v>Củi đun</v>
          </cell>
          <cell r="C65" t="str">
            <v>kg</v>
          </cell>
          <cell r="D65">
            <v>1000</v>
          </cell>
          <cell r="E65">
            <v>1000</v>
          </cell>
          <cell r="F65">
            <v>1000</v>
          </cell>
          <cell r="K65">
            <v>1000</v>
          </cell>
        </row>
        <row r="66">
          <cell r="B66" t="str">
            <v>Đá 1x2</v>
          </cell>
          <cell r="C66" t="str">
            <v>m3</v>
          </cell>
          <cell r="D66">
            <v>245455</v>
          </cell>
          <cell r="E66">
            <v>245455</v>
          </cell>
          <cell r="F66">
            <v>245455</v>
          </cell>
          <cell r="K66">
            <v>245455</v>
          </cell>
        </row>
        <row r="67">
          <cell r="B67" t="str">
            <v>Đá 1x2</v>
          </cell>
          <cell r="C67" t="str">
            <v>kg</v>
          </cell>
          <cell r="D67">
            <v>164</v>
          </cell>
          <cell r="F67">
            <v>164</v>
          </cell>
          <cell r="K67">
            <v>164</v>
          </cell>
        </row>
        <row r="68">
          <cell r="B68" t="str">
            <v>Đá 2x4</v>
          </cell>
          <cell r="C68" t="str">
            <v>m3</v>
          </cell>
          <cell r="D68">
            <v>227273</v>
          </cell>
          <cell r="E68">
            <v>227273</v>
          </cell>
          <cell r="F68">
            <v>227273</v>
          </cell>
          <cell r="K68">
            <v>227273</v>
          </cell>
        </row>
        <row r="69">
          <cell r="B69" t="str">
            <v>Đá 4x6</v>
          </cell>
          <cell r="C69" t="str">
            <v>m3</v>
          </cell>
          <cell r="D69">
            <v>227273</v>
          </cell>
          <cell r="E69">
            <v>227273</v>
          </cell>
          <cell r="F69">
            <v>227273</v>
          </cell>
          <cell r="K69">
            <v>227273</v>
          </cell>
        </row>
        <row r="70">
          <cell r="B70" t="str">
            <v>Đá Granit tự nhiên</v>
          </cell>
          <cell r="C70" t="str">
            <v>m2</v>
          </cell>
          <cell r="D70">
            <v>500000</v>
          </cell>
          <cell r="E70">
            <v>500000</v>
          </cell>
          <cell r="F70">
            <v>500000</v>
          </cell>
          <cell r="K70">
            <v>500000</v>
          </cell>
        </row>
        <row r="71">
          <cell r="B71" t="str">
            <v>Đá hoa cương tiết diện &lt;0,16mm2</v>
          </cell>
          <cell r="C71" t="str">
            <v>m2</v>
          </cell>
          <cell r="D71">
            <v>500000</v>
          </cell>
          <cell r="E71">
            <v>500000</v>
          </cell>
          <cell r="F71">
            <v>500000</v>
          </cell>
          <cell r="K71">
            <v>500000</v>
          </cell>
        </row>
        <row r="72">
          <cell r="B72" t="str">
            <v>Đá hoa cương tiết diện &lt;0,25mm2</v>
          </cell>
          <cell r="C72" t="str">
            <v>m2</v>
          </cell>
          <cell r="D72">
            <v>500000</v>
          </cell>
          <cell r="E72">
            <v>500000</v>
          </cell>
          <cell r="F72">
            <v>500000</v>
          </cell>
          <cell r="K72">
            <v>500000</v>
          </cell>
        </row>
        <row r="73">
          <cell r="B73" t="str">
            <v>Đá hoa cương tiết diện &gt;0,25mm2</v>
          </cell>
          <cell r="C73" t="str">
            <v>m2</v>
          </cell>
          <cell r="D73">
            <v>500000</v>
          </cell>
          <cell r="E73">
            <v>500000</v>
          </cell>
          <cell r="F73">
            <v>500000</v>
          </cell>
          <cell r="K73">
            <v>500000</v>
          </cell>
        </row>
        <row r="74">
          <cell r="B74" t="str">
            <v>Dầu biến áp</v>
          </cell>
          <cell r="C74" t="str">
            <v>kg</v>
          </cell>
          <cell r="D74">
            <v>27940</v>
          </cell>
          <cell r="F74">
            <v>27940</v>
          </cell>
          <cell r="K74">
            <v>27940</v>
          </cell>
        </row>
        <row r="75">
          <cell r="B75" t="str">
            <v>Dầu hỏa</v>
          </cell>
          <cell r="C75" t="str">
            <v>lít</v>
          </cell>
          <cell r="D75">
            <v>9118</v>
          </cell>
          <cell r="F75">
            <v>9118</v>
          </cell>
          <cell r="K75">
            <v>9118</v>
          </cell>
        </row>
        <row r="76">
          <cell r="B76" t="str">
            <v>Dầu nhờn</v>
          </cell>
          <cell r="C76" t="str">
            <v>kg</v>
          </cell>
          <cell r="D76">
            <v>11600</v>
          </cell>
          <cell r="F76">
            <v>11600</v>
          </cell>
          <cell r="K76">
            <v>11600</v>
          </cell>
        </row>
        <row r="77">
          <cell r="B77" t="str">
            <v>Đầu nối cần khoan</v>
          </cell>
          <cell r="C77" t="str">
            <v>cái</v>
          </cell>
          <cell r="D77">
            <v>75000</v>
          </cell>
          <cell r="F77">
            <v>75000</v>
          </cell>
          <cell r="K77">
            <v>75000</v>
          </cell>
        </row>
        <row r="78">
          <cell r="B78" t="str">
            <v>Đầu phá 250mm</v>
          </cell>
          <cell r="C78" t="str">
            <v>cái</v>
          </cell>
          <cell r="F78">
            <v>180000</v>
          </cell>
          <cell r="K78">
            <v>180000</v>
          </cell>
        </row>
        <row r="79">
          <cell r="B79" t="str">
            <v>Dây điện CVV 2x1,5mm2</v>
          </cell>
          <cell r="C79" t="str">
            <v>m</v>
          </cell>
          <cell r="D79">
            <v>20040</v>
          </cell>
          <cell r="F79">
            <v>20040</v>
          </cell>
          <cell r="K79">
            <v>20040</v>
          </cell>
        </row>
        <row r="80">
          <cell r="B80" t="str">
            <v>Dây điện CVV 2x4mm2</v>
          </cell>
          <cell r="C80" t="str">
            <v>m</v>
          </cell>
          <cell r="F80">
            <v>37800</v>
          </cell>
          <cell r="K80">
            <v>37800</v>
          </cell>
        </row>
        <row r="81">
          <cell r="B81" t="str">
            <v>Dây điện CV 1x4mm2</v>
          </cell>
          <cell r="C81" t="str">
            <v>m</v>
          </cell>
          <cell r="F81">
            <v>16400</v>
          </cell>
          <cell r="K81">
            <v>16400</v>
          </cell>
        </row>
        <row r="82">
          <cell r="B82" t="str">
            <v>Dây điện CV 1x6mm2</v>
          </cell>
          <cell r="C82" t="str">
            <v>m</v>
          </cell>
          <cell r="F82">
            <v>23100</v>
          </cell>
          <cell r="K82">
            <v>23100</v>
          </cell>
        </row>
        <row r="83">
          <cell r="B83" t="str">
            <v>Dây cáp điện 3 pha Cu/XLPE/PVC - 4x50 mm2</v>
          </cell>
          <cell r="C83" t="str">
            <v>m</v>
          </cell>
          <cell r="F83">
            <v>647100</v>
          </cell>
          <cell r="K83">
            <v>647100</v>
          </cell>
        </row>
        <row r="84">
          <cell r="B84" t="str">
            <v>Dây đồng trần 6mm2</v>
          </cell>
          <cell r="C84" t="str">
            <v>m</v>
          </cell>
          <cell r="F84">
            <v>22110</v>
          </cell>
          <cell r="K84">
            <v>22110</v>
          </cell>
        </row>
        <row r="85">
          <cell r="B85" t="str">
            <v>Dây đồng 25mm2</v>
          </cell>
          <cell r="C85" t="str">
            <v>m</v>
          </cell>
          <cell r="D85">
            <v>85790</v>
          </cell>
          <cell r="F85">
            <v>85790</v>
          </cell>
          <cell r="K85">
            <v>85790</v>
          </cell>
        </row>
        <row r="86">
          <cell r="B86" t="str">
            <v>Dây thép buộc fi 2-4</v>
          </cell>
          <cell r="C86" t="str">
            <v>kg</v>
          </cell>
          <cell r="D86">
            <v>15455</v>
          </cell>
          <cell r="F86">
            <v>15455</v>
          </cell>
          <cell r="K86">
            <v>15455</v>
          </cell>
        </row>
        <row r="87">
          <cell r="B87" t="str">
            <v>Dây thép d=1mm</v>
          </cell>
          <cell r="C87" t="str">
            <v>kg</v>
          </cell>
          <cell r="D87">
            <v>14762</v>
          </cell>
          <cell r="F87">
            <v>14762</v>
          </cell>
          <cell r="K87">
            <v>14762</v>
          </cell>
        </row>
        <row r="88">
          <cell r="B88" t="str">
            <v>Dây thép d=2mm</v>
          </cell>
          <cell r="C88" t="str">
            <v>m</v>
          </cell>
          <cell r="D88">
            <v>1137</v>
          </cell>
          <cell r="F88">
            <v>1137</v>
          </cell>
          <cell r="K88">
            <v>1137</v>
          </cell>
        </row>
        <row r="89">
          <cell r="B89" t="str">
            <v>Dây thép d=4mm</v>
          </cell>
          <cell r="C89" t="str">
            <v>m</v>
          </cell>
          <cell r="D89">
            <v>2273</v>
          </cell>
          <cell r="F89">
            <v>2273</v>
          </cell>
          <cell r="K89">
            <v>2273</v>
          </cell>
        </row>
        <row r="90">
          <cell r="B90" t="str">
            <v>Dây thép d=6mm</v>
          </cell>
          <cell r="C90" t="str">
            <v>m</v>
          </cell>
          <cell r="D90">
            <v>3277</v>
          </cell>
          <cell r="F90">
            <v>3277</v>
          </cell>
          <cell r="K90">
            <v>3277</v>
          </cell>
        </row>
        <row r="91">
          <cell r="B91" t="str">
            <v>Dây thép mạ kẽm fi 2-4</v>
          </cell>
          <cell r="C91" t="str">
            <v>kg</v>
          </cell>
          <cell r="D91">
            <v>14762</v>
          </cell>
          <cell r="F91">
            <v>14762</v>
          </cell>
          <cell r="K91">
            <v>14762</v>
          </cell>
        </row>
        <row r="92">
          <cell r="B92" t="str">
            <v>Dây xích truyền động</v>
          </cell>
          <cell r="C92" t="str">
            <v>cái</v>
          </cell>
          <cell r="F92">
            <v>150000</v>
          </cell>
          <cell r="K92">
            <v>150000</v>
          </cell>
        </row>
        <row r="93">
          <cell r="B93" t="str">
            <v>Công tơ (điện kế) 1 pha</v>
          </cell>
          <cell r="C93" t="str">
            <v>cái</v>
          </cell>
          <cell r="D93">
            <v>150000</v>
          </cell>
          <cell r="F93">
            <v>150000</v>
          </cell>
          <cell r="K93">
            <v>150000</v>
          </cell>
        </row>
        <row r="94">
          <cell r="B94" t="str">
            <v>Công tơ (điện kế) 3 pha</v>
          </cell>
          <cell r="C94" t="str">
            <v>cái</v>
          </cell>
          <cell r="D94">
            <v>250000</v>
          </cell>
          <cell r="F94">
            <v>250000</v>
          </cell>
          <cell r="K94">
            <v>250000</v>
          </cell>
        </row>
        <row r="95">
          <cell r="B95" t="str">
            <v>Điện năng</v>
          </cell>
          <cell r="C95" t="str">
            <v>kWh</v>
          </cell>
          <cell r="D95">
            <v>1864.44</v>
          </cell>
          <cell r="F95">
            <v>1864.44</v>
          </cell>
          <cell r="K95">
            <v>1864.44</v>
          </cell>
        </row>
        <row r="96">
          <cell r="B96" t="str">
            <v>Dầu Diezen</v>
          </cell>
          <cell r="C96" t="str">
            <v>lít</v>
          </cell>
          <cell r="D96">
            <v>11009</v>
          </cell>
          <cell r="F96">
            <v>11009</v>
          </cell>
          <cell r="K96">
            <v>11009</v>
          </cell>
        </row>
        <row r="97">
          <cell r="B97" t="str">
            <v>Đinh</v>
          </cell>
          <cell r="C97" t="str">
            <v>kg</v>
          </cell>
          <cell r="D97">
            <v>16364</v>
          </cell>
          <cell r="F97">
            <v>16364</v>
          </cell>
          <cell r="K97">
            <v>16364</v>
          </cell>
        </row>
        <row r="98">
          <cell r="B98" t="str">
            <v>Đinh đỉa</v>
          </cell>
          <cell r="C98" t="str">
            <v>kg</v>
          </cell>
          <cell r="D98">
            <v>15455</v>
          </cell>
          <cell r="F98">
            <v>15455</v>
          </cell>
          <cell r="K98">
            <v>15455</v>
          </cell>
        </row>
        <row r="99">
          <cell r="B99" t="str">
            <v>Đồng lá 0,5mm</v>
          </cell>
          <cell r="C99" t="str">
            <v>kg</v>
          </cell>
          <cell r="D99">
            <v>100000</v>
          </cell>
          <cell r="F99">
            <v>100000</v>
          </cell>
          <cell r="K99">
            <v>100000</v>
          </cell>
        </row>
        <row r="100">
          <cell r="B100" t="str">
            <v>Găng tay sợi</v>
          </cell>
          <cell r="C100" t="str">
            <v>đôi</v>
          </cell>
          <cell r="F100">
            <v>12000</v>
          </cell>
          <cell r="K100">
            <v>12000</v>
          </cell>
        </row>
        <row r="101">
          <cell r="B101" t="str">
            <v>Gạch đất nung 30x30</v>
          </cell>
          <cell r="C101" t="str">
            <v>m2</v>
          </cell>
          <cell r="D101">
            <v>63800</v>
          </cell>
          <cell r="F101">
            <v>63800</v>
          </cell>
          <cell r="K101">
            <v>63800</v>
          </cell>
        </row>
        <row r="102">
          <cell r="B102" t="str">
            <v>Gạch lát ximang 40x40</v>
          </cell>
          <cell r="C102" t="str">
            <v>m2</v>
          </cell>
          <cell r="D102">
            <v>96000</v>
          </cell>
          <cell r="F102">
            <v>96000</v>
          </cell>
          <cell r="K102">
            <v>96000</v>
          </cell>
        </row>
        <row r="103">
          <cell r="B103" t="str">
            <v>Gạch lát ximang tự chèn dày 3,5cm</v>
          </cell>
          <cell r="C103" t="str">
            <v>m2</v>
          </cell>
          <cell r="D103">
            <v>89090</v>
          </cell>
          <cell r="F103">
            <v>89090</v>
          </cell>
          <cell r="K103">
            <v>89090</v>
          </cell>
        </row>
        <row r="104">
          <cell r="B104" t="str">
            <v>Gạch lát ximang tự chèn dày 5,5cm</v>
          </cell>
          <cell r="C104" t="str">
            <v>m2</v>
          </cell>
          <cell r="D104">
            <v>131820</v>
          </cell>
          <cell r="F104">
            <v>131820</v>
          </cell>
          <cell r="K104">
            <v>131820</v>
          </cell>
        </row>
        <row r="105">
          <cell r="B105" t="str">
            <v>Gas</v>
          </cell>
          <cell r="C105" t="str">
            <v>kg</v>
          </cell>
          <cell r="D105">
            <v>21212</v>
          </cell>
          <cell r="F105">
            <v>21212</v>
          </cell>
          <cell r="K105">
            <v>21212</v>
          </cell>
        </row>
        <row r="106">
          <cell r="B106" t="str">
            <v>Ghen nhựa d=6</v>
          </cell>
          <cell r="C106" t="str">
            <v>m</v>
          </cell>
          <cell r="D106">
            <v>4500</v>
          </cell>
          <cell r="F106">
            <v>4500</v>
          </cell>
          <cell r="K106">
            <v>4500</v>
          </cell>
        </row>
        <row r="107">
          <cell r="B107" t="str">
            <v>Ghen nilông</v>
          </cell>
          <cell r="C107" t="str">
            <v>m</v>
          </cell>
          <cell r="D107">
            <v>4500</v>
          </cell>
          <cell r="F107">
            <v>4500</v>
          </cell>
          <cell r="K107">
            <v>4500</v>
          </cell>
        </row>
        <row r="108">
          <cell r="B108" t="str">
            <v>Giấy nhám mịn</v>
          </cell>
          <cell r="C108" t="str">
            <v>tờ</v>
          </cell>
          <cell r="D108">
            <v>14000</v>
          </cell>
          <cell r="F108">
            <v>14000</v>
          </cell>
          <cell r="K108">
            <v>14000</v>
          </cell>
        </row>
        <row r="109">
          <cell r="B109" t="str">
            <v>Giấy ráp</v>
          </cell>
          <cell r="C109" t="str">
            <v>tờ</v>
          </cell>
          <cell r="D109">
            <v>14000</v>
          </cell>
          <cell r="F109">
            <v>14000</v>
          </cell>
          <cell r="K109">
            <v>14000</v>
          </cell>
        </row>
        <row r="110">
          <cell r="B110" t="str">
            <v>Giẻ lau</v>
          </cell>
          <cell r="C110" t="str">
            <v>kg</v>
          </cell>
          <cell r="D110">
            <v>5000</v>
          </cell>
          <cell r="F110">
            <v>5000</v>
          </cell>
          <cell r="K110">
            <v>5000</v>
          </cell>
        </row>
        <row r="111">
          <cell r="B111" t="str">
            <v>Gôm lắc</v>
          </cell>
          <cell r="C111" t="str">
            <v>kg</v>
          </cell>
          <cell r="D111">
            <v>40000</v>
          </cell>
          <cell r="F111">
            <v>40000</v>
          </cell>
          <cell r="K111">
            <v>40000</v>
          </cell>
        </row>
        <row r="112">
          <cell r="B112" t="str">
            <v>Gỗ chống</v>
          </cell>
          <cell r="C112" t="str">
            <v>m3</v>
          </cell>
          <cell r="D112">
            <v>3545455</v>
          </cell>
          <cell r="F112">
            <v>3545455</v>
          </cell>
          <cell r="K112">
            <v>3545455</v>
          </cell>
        </row>
        <row r="113">
          <cell r="B113" t="str">
            <v>Gỗ đà nẹp</v>
          </cell>
          <cell r="C113" t="str">
            <v>m3</v>
          </cell>
          <cell r="D113">
            <v>3545455</v>
          </cell>
          <cell r="F113">
            <v>3545455</v>
          </cell>
          <cell r="K113">
            <v>3545455</v>
          </cell>
        </row>
        <row r="114">
          <cell r="B114" t="str">
            <v>Gỗ hộp kê máy</v>
          </cell>
          <cell r="C114" t="str">
            <v>m3</v>
          </cell>
          <cell r="D114">
            <v>3545455</v>
          </cell>
          <cell r="F114">
            <v>3545455</v>
          </cell>
          <cell r="K114">
            <v>3545455</v>
          </cell>
        </row>
        <row r="115">
          <cell r="B115" t="str">
            <v>Gỗ kê chèn</v>
          </cell>
          <cell r="C115" t="str">
            <v>m3</v>
          </cell>
          <cell r="D115">
            <v>3545455</v>
          </cell>
          <cell r="F115">
            <v>3545455</v>
          </cell>
          <cell r="K115">
            <v>3545455</v>
          </cell>
        </row>
        <row r="116">
          <cell r="B116" t="str">
            <v>Gỗ nhóm 4</v>
          </cell>
          <cell r="C116" t="str">
            <v>m3</v>
          </cell>
          <cell r="D116">
            <v>4545455</v>
          </cell>
          <cell r="F116">
            <v>4545455</v>
          </cell>
          <cell r="K116">
            <v>4545455</v>
          </cell>
        </row>
        <row r="117">
          <cell r="B117" t="str">
            <v>Gỗ nhóm 5</v>
          </cell>
          <cell r="C117" t="str">
            <v>m3</v>
          </cell>
          <cell r="D117">
            <v>3545455</v>
          </cell>
          <cell r="F117">
            <v>3545455</v>
          </cell>
          <cell r="K117">
            <v>3545455</v>
          </cell>
        </row>
        <row r="118">
          <cell r="B118" t="str">
            <v>Gỗ ván khuôn</v>
          </cell>
          <cell r="C118" t="str">
            <v>m3</v>
          </cell>
          <cell r="D118">
            <v>3545455</v>
          </cell>
          <cell r="F118">
            <v>3545455</v>
          </cell>
          <cell r="K118">
            <v>3545455</v>
          </cell>
        </row>
        <row r="119">
          <cell r="B119" t="str">
            <v>Gỗ ván cầu công tác</v>
          </cell>
          <cell r="C119" t="str">
            <v>m4</v>
          </cell>
          <cell r="D119">
            <v>3545455</v>
          </cell>
          <cell r="F119">
            <v>3545455</v>
          </cell>
          <cell r="K119">
            <v>3545455</v>
          </cell>
        </row>
        <row r="120">
          <cell r="B120" t="str">
            <v>Hộp công tơ (hộp điện kế)</v>
          </cell>
          <cell r="C120" t="str">
            <v>cái</v>
          </cell>
          <cell r="D120">
            <v>35000</v>
          </cell>
          <cell r="F120">
            <v>35000</v>
          </cell>
          <cell r="K120">
            <v>35000</v>
          </cell>
        </row>
        <row r="121">
          <cell r="B121" t="str">
            <v>Hộp nối cáp loại 120mm2</v>
          </cell>
          <cell r="C121" t="str">
            <v>bộ</v>
          </cell>
          <cell r="D121">
            <v>27040</v>
          </cell>
          <cell r="F121">
            <v>27040</v>
          </cell>
          <cell r="K121">
            <v>27040</v>
          </cell>
        </row>
        <row r="122">
          <cell r="B122" t="str">
            <v>Hộp nối cáp loại 185mm2</v>
          </cell>
          <cell r="C122" t="str">
            <v>bộ</v>
          </cell>
          <cell r="D122">
            <v>27040</v>
          </cell>
          <cell r="F122">
            <v>27040</v>
          </cell>
          <cell r="K122">
            <v>27040</v>
          </cell>
        </row>
        <row r="123">
          <cell r="B123" t="str">
            <v>Hộp nối cáp loại 240mm2</v>
          </cell>
          <cell r="C123" t="str">
            <v>bộ</v>
          </cell>
          <cell r="D123">
            <v>33800</v>
          </cell>
          <cell r="F123">
            <v>33800</v>
          </cell>
          <cell r="K123">
            <v>33800</v>
          </cell>
        </row>
        <row r="124">
          <cell r="B124" t="str">
            <v>Hộp nối cáp loại 300mm2</v>
          </cell>
          <cell r="C124" t="str">
            <v>bộ</v>
          </cell>
          <cell r="D124">
            <v>33800</v>
          </cell>
          <cell r="F124">
            <v>33800</v>
          </cell>
          <cell r="K124">
            <v>33800</v>
          </cell>
        </row>
        <row r="125">
          <cell r="B125" t="str">
            <v>Hộp nối cáp loại 35mm2</v>
          </cell>
          <cell r="C125" t="str">
            <v>bộ</v>
          </cell>
          <cell r="D125">
            <v>16224</v>
          </cell>
          <cell r="F125">
            <v>16224</v>
          </cell>
          <cell r="K125">
            <v>16224</v>
          </cell>
        </row>
        <row r="126">
          <cell r="B126" t="str">
            <v>Hộp nối cáp loại 400mm2</v>
          </cell>
          <cell r="C126" t="str">
            <v>bộ</v>
          </cell>
          <cell r="D126">
            <v>33800</v>
          </cell>
          <cell r="F126">
            <v>33800</v>
          </cell>
          <cell r="K126">
            <v>33800</v>
          </cell>
        </row>
        <row r="127">
          <cell r="B127" t="str">
            <v>Hộp nối cáp loại 70mm2</v>
          </cell>
          <cell r="C127" t="str">
            <v>bộ</v>
          </cell>
          <cell r="D127">
            <v>20280</v>
          </cell>
          <cell r="F127">
            <v>20280</v>
          </cell>
          <cell r="K127">
            <v>20280</v>
          </cell>
        </row>
        <row r="128">
          <cell r="B128" t="str">
            <v>Hộp nối cáp</v>
          </cell>
          <cell r="C128" t="str">
            <v>bộ</v>
          </cell>
          <cell r="D128">
            <v>33800</v>
          </cell>
          <cell r="F128">
            <v>33800</v>
          </cell>
          <cell r="K128">
            <v>33800</v>
          </cell>
        </row>
        <row r="129">
          <cell r="B129" t="str">
            <v>Nhựa dán</v>
          </cell>
          <cell r="C129" t="str">
            <v>kg</v>
          </cell>
          <cell r="D129">
            <v>45000</v>
          </cell>
          <cell r="F129">
            <v>45000</v>
          </cell>
          <cell r="K129">
            <v>45000</v>
          </cell>
        </row>
        <row r="130">
          <cell r="B130" t="str">
            <v>Keo dán</v>
          </cell>
          <cell r="C130" t="str">
            <v>kg</v>
          </cell>
          <cell r="D130">
            <v>45000</v>
          </cell>
          <cell r="F130">
            <v>45000</v>
          </cell>
          <cell r="K130">
            <v>45000</v>
          </cell>
        </row>
        <row r="131">
          <cell r="B131" t="str">
            <v>Lưới thép B40</v>
          </cell>
          <cell r="C131" t="str">
            <v>m2</v>
          </cell>
          <cell r="D131">
            <v>35606</v>
          </cell>
          <cell r="F131">
            <v>35606</v>
          </cell>
          <cell r="K131">
            <v>35606</v>
          </cell>
        </row>
        <row r="132">
          <cell r="B132" t="str">
            <v>Lưỡi khoan</v>
          </cell>
          <cell r="C132" t="str">
            <v>cái</v>
          </cell>
          <cell r="F132">
            <v>65000</v>
          </cell>
          <cell r="K132">
            <v>65000</v>
          </cell>
        </row>
        <row r="133">
          <cell r="B133" t="str">
            <v>Măng sông PVC D100mm</v>
          </cell>
          <cell r="C133" t="str">
            <v>cái</v>
          </cell>
          <cell r="D133">
            <v>51300</v>
          </cell>
          <cell r="F133">
            <v>51300</v>
          </cell>
          <cell r="K133">
            <v>51300</v>
          </cell>
        </row>
        <row r="134">
          <cell r="B134" t="str">
            <v>Măng sông PVC D110mm</v>
          </cell>
          <cell r="C134" t="str">
            <v>cái</v>
          </cell>
          <cell r="D134">
            <v>51300</v>
          </cell>
          <cell r="F134">
            <v>51300</v>
          </cell>
          <cell r="K134">
            <v>51300</v>
          </cell>
        </row>
        <row r="135">
          <cell r="B135" t="str">
            <v>Măng sông PVC D150mm</v>
          </cell>
          <cell r="C135" t="str">
            <v>cái</v>
          </cell>
          <cell r="D135">
            <v>83200</v>
          </cell>
          <cell r="F135">
            <v>83200</v>
          </cell>
          <cell r="K135">
            <v>83200</v>
          </cell>
        </row>
        <row r="136">
          <cell r="B136" t="str">
            <v>Măng sông PVC D15mm</v>
          </cell>
          <cell r="C136" t="str">
            <v>cái</v>
          </cell>
          <cell r="D136">
            <v>16000</v>
          </cell>
          <cell r="F136">
            <v>16000</v>
          </cell>
          <cell r="K136">
            <v>16000</v>
          </cell>
        </row>
        <row r="137">
          <cell r="B137" t="str">
            <v>Măng sông PVC D200mm</v>
          </cell>
          <cell r="C137" t="str">
            <v>cái</v>
          </cell>
          <cell r="D137">
            <v>132600</v>
          </cell>
          <cell r="F137">
            <v>132600</v>
          </cell>
          <cell r="K137">
            <v>132600</v>
          </cell>
        </row>
        <row r="138">
          <cell r="B138" t="str">
            <v>Măng sông PVC D21mm</v>
          </cell>
          <cell r="C138" t="str">
            <v>cái</v>
          </cell>
          <cell r="D138">
            <v>2000</v>
          </cell>
          <cell r="F138">
            <v>2000</v>
          </cell>
          <cell r="K138">
            <v>2000</v>
          </cell>
        </row>
        <row r="139">
          <cell r="B139" t="str">
            <v>Măng sông PVC D250mm</v>
          </cell>
          <cell r="C139" t="str">
            <v>cái</v>
          </cell>
          <cell r="D139">
            <v>150000</v>
          </cell>
          <cell r="F139">
            <v>150000</v>
          </cell>
          <cell r="K139">
            <v>150000</v>
          </cell>
        </row>
        <row r="140">
          <cell r="B140" t="str">
            <v>Măng sông PVC D25mm</v>
          </cell>
          <cell r="C140" t="str">
            <v>cái</v>
          </cell>
          <cell r="D140">
            <v>2500</v>
          </cell>
          <cell r="F140">
            <v>2500</v>
          </cell>
          <cell r="K140">
            <v>2500</v>
          </cell>
        </row>
        <row r="141">
          <cell r="B141" t="str">
            <v>Măng sông PVC D32mm</v>
          </cell>
          <cell r="C141" t="str">
            <v>cái</v>
          </cell>
          <cell r="D141">
            <v>4000</v>
          </cell>
          <cell r="F141">
            <v>4000</v>
          </cell>
          <cell r="K141">
            <v>4000</v>
          </cell>
        </row>
        <row r="142">
          <cell r="B142" t="str">
            <v>Măng sông PVC D40mm</v>
          </cell>
          <cell r="C142" t="str">
            <v>cái</v>
          </cell>
          <cell r="D142">
            <v>5100</v>
          </cell>
          <cell r="F142">
            <v>5100</v>
          </cell>
          <cell r="K142">
            <v>5100</v>
          </cell>
        </row>
        <row r="143">
          <cell r="B143" t="str">
            <v>Măng sông PVC D50mm</v>
          </cell>
          <cell r="C143" t="str">
            <v>cái</v>
          </cell>
          <cell r="D143">
            <v>79000</v>
          </cell>
          <cell r="F143">
            <v>79000</v>
          </cell>
          <cell r="K143">
            <v>79000</v>
          </cell>
        </row>
        <row r="144">
          <cell r="B144" t="str">
            <v>Măng sông PVC D67mm</v>
          </cell>
          <cell r="C144" t="str">
            <v>cái</v>
          </cell>
          <cell r="D144">
            <v>12200</v>
          </cell>
          <cell r="F144">
            <v>12200</v>
          </cell>
          <cell r="K144">
            <v>12200</v>
          </cell>
        </row>
        <row r="145">
          <cell r="B145" t="str">
            <v>Măng sông PVC D76mm</v>
          </cell>
          <cell r="C145" t="str">
            <v>cái</v>
          </cell>
          <cell r="D145">
            <v>15800</v>
          </cell>
          <cell r="F145">
            <v>15800</v>
          </cell>
          <cell r="K145">
            <v>15800</v>
          </cell>
        </row>
        <row r="146">
          <cell r="B146" t="str">
            <v>Măng sông PVC D90mm</v>
          </cell>
          <cell r="C146" t="str">
            <v>cái</v>
          </cell>
          <cell r="D146">
            <v>25000</v>
          </cell>
          <cell r="F146">
            <v>25000</v>
          </cell>
          <cell r="K146">
            <v>25000</v>
          </cell>
        </row>
        <row r="147">
          <cell r="B147" t="str">
            <v>Ma tít</v>
          </cell>
          <cell r="C147" t="str">
            <v>kg</v>
          </cell>
          <cell r="D147">
            <v>1000</v>
          </cell>
          <cell r="F147">
            <v>1000</v>
          </cell>
          <cell r="K147">
            <v>1000</v>
          </cell>
        </row>
        <row r="148">
          <cell r="B148" t="str">
            <v>Mỡ bò</v>
          </cell>
          <cell r="C148" t="str">
            <v>kg</v>
          </cell>
          <cell r="D148">
            <v>31818</v>
          </cell>
          <cell r="F148">
            <v>31818</v>
          </cell>
          <cell r="K148">
            <v>31818</v>
          </cell>
        </row>
        <row r="149">
          <cell r="B149" t="str">
            <v>Mỡ trung tính</v>
          </cell>
          <cell r="C149" t="str">
            <v>kg</v>
          </cell>
          <cell r="D149">
            <v>65000</v>
          </cell>
          <cell r="F149">
            <v>65000</v>
          </cell>
          <cell r="K149">
            <v>65000</v>
          </cell>
        </row>
        <row r="150">
          <cell r="B150" t="str">
            <v>Mỡ các loại</v>
          </cell>
          <cell r="C150" t="str">
            <v>kg</v>
          </cell>
          <cell r="D150">
            <v>50000</v>
          </cell>
          <cell r="F150">
            <v>50000</v>
          </cell>
          <cell r="K150">
            <v>50000</v>
          </cell>
        </row>
        <row r="151">
          <cell r="B151" t="str">
            <v>Mỡ YOC</v>
          </cell>
          <cell r="C151" t="str">
            <v>kg</v>
          </cell>
          <cell r="D151">
            <v>38182</v>
          </cell>
          <cell r="F151">
            <v>38182</v>
          </cell>
          <cell r="K151">
            <v>38182</v>
          </cell>
        </row>
        <row r="152">
          <cell r="B152" t="str">
            <v>Mũi khoan D105</v>
          </cell>
          <cell r="C152" t="str">
            <v>cái</v>
          </cell>
          <cell r="D152">
            <v>130000</v>
          </cell>
          <cell r="F152">
            <v>130000</v>
          </cell>
          <cell r="K152">
            <v>130000</v>
          </cell>
        </row>
        <row r="153">
          <cell r="B153" t="str">
            <v>Mũi khoan D168</v>
          </cell>
          <cell r="C153" t="str">
            <v>cái</v>
          </cell>
          <cell r="D153">
            <v>205000</v>
          </cell>
          <cell r="F153">
            <v>205000</v>
          </cell>
          <cell r="K153">
            <v>205000</v>
          </cell>
        </row>
        <row r="154">
          <cell r="B154" t="str">
            <v>Mũi khoan hợp kim D50</v>
          </cell>
          <cell r="C154" t="str">
            <v>cái</v>
          </cell>
          <cell r="D154">
            <v>150000</v>
          </cell>
          <cell r="F154">
            <v>150000</v>
          </cell>
          <cell r="K154">
            <v>150000</v>
          </cell>
        </row>
        <row r="155">
          <cell r="B155" t="str">
            <v>Nhũ tương nhựa đường</v>
          </cell>
          <cell r="C155" t="str">
            <v>kg</v>
          </cell>
          <cell r="D155">
            <v>10091</v>
          </cell>
          <cell r="F155">
            <v>10091</v>
          </cell>
          <cell r="K155">
            <v>10091</v>
          </cell>
        </row>
        <row r="156">
          <cell r="B156" t="str">
            <v>Nhựa bitum</v>
          </cell>
          <cell r="C156" t="str">
            <v>kg</v>
          </cell>
          <cell r="D156">
            <v>10091</v>
          </cell>
          <cell r="F156">
            <v>10091</v>
          </cell>
          <cell r="K156">
            <v>10091</v>
          </cell>
        </row>
        <row r="157">
          <cell r="B157" t="str">
            <v>Nhựa dán ống PVC</v>
          </cell>
          <cell r="C157" t="str">
            <v>kg</v>
          </cell>
          <cell r="D157">
            <v>100900</v>
          </cell>
          <cell r="F157">
            <v>100900</v>
          </cell>
          <cell r="K157">
            <v>100900</v>
          </cell>
        </row>
        <row r="158">
          <cell r="B158" t="str">
            <v>nhựa thông</v>
          </cell>
          <cell r="C158" t="str">
            <v>kg</v>
          </cell>
          <cell r="D158">
            <v>42000</v>
          </cell>
          <cell r="F158">
            <v>42000</v>
          </cell>
          <cell r="K158">
            <v>42000</v>
          </cell>
        </row>
        <row r="159">
          <cell r="B159" t="str">
            <v>Nước ngọt</v>
          </cell>
          <cell r="C159" t="str">
            <v>lít</v>
          </cell>
          <cell r="D159">
            <v>12.5</v>
          </cell>
          <cell r="F159">
            <v>12.5</v>
          </cell>
          <cell r="K159">
            <v>12.5</v>
          </cell>
        </row>
        <row r="160">
          <cell r="B160" t="str">
            <v>Ống nhựa PVC D100mm</v>
          </cell>
          <cell r="C160" t="str">
            <v>mét</v>
          </cell>
          <cell r="D160">
            <v>56400</v>
          </cell>
          <cell r="F160">
            <v>56400</v>
          </cell>
          <cell r="K160">
            <v>56400</v>
          </cell>
        </row>
        <row r="161">
          <cell r="B161" t="str">
            <v>Ống nhựa PVC D110mm</v>
          </cell>
          <cell r="C161" t="str">
            <v>mét</v>
          </cell>
          <cell r="D161">
            <v>70500</v>
          </cell>
          <cell r="F161">
            <v>70500</v>
          </cell>
          <cell r="K161">
            <v>70500</v>
          </cell>
        </row>
        <row r="162">
          <cell r="B162" t="str">
            <v>Ống nhựa PVC D150mm</v>
          </cell>
          <cell r="C162" t="str">
            <v>mét</v>
          </cell>
          <cell r="D162">
            <v>109300</v>
          </cell>
          <cell r="F162">
            <v>109300</v>
          </cell>
          <cell r="K162">
            <v>109300</v>
          </cell>
        </row>
        <row r="163">
          <cell r="B163" t="str">
            <v>Ống nhựa PVC D15mm</v>
          </cell>
          <cell r="C163" t="str">
            <v>mét</v>
          </cell>
          <cell r="D163">
            <v>3045</v>
          </cell>
          <cell r="F163">
            <v>3045</v>
          </cell>
          <cell r="K163">
            <v>3045</v>
          </cell>
        </row>
        <row r="164">
          <cell r="B164" t="str">
            <v>Ống nhựa PVC D200mm</v>
          </cell>
          <cell r="C164" t="str">
            <v>mét</v>
          </cell>
          <cell r="D164">
            <v>259000</v>
          </cell>
          <cell r="F164">
            <v>259000</v>
          </cell>
          <cell r="K164">
            <v>259000</v>
          </cell>
        </row>
        <row r="165">
          <cell r="B165" t="str">
            <v>Ống nhựa PVC D21mm</v>
          </cell>
          <cell r="C165" t="str">
            <v>mét</v>
          </cell>
          <cell r="D165">
            <v>5300</v>
          </cell>
          <cell r="F165">
            <v>5300</v>
          </cell>
          <cell r="K165">
            <v>5300</v>
          </cell>
        </row>
        <row r="166">
          <cell r="B166" t="str">
            <v>Ống nhựa PVC D25mm</v>
          </cell>
          <cell r="C166" t="str">
            <v>mét</v>
          </cell>
          <cell r="D166">
            <v>7600</v>
          </cell>
          <cell r="F166">
            <v>7600</v>
          </cell>
          <cell r="K166">
            <v>7600</v>
          </cell>
        </row>
        <row r="167">
          <cell r="B167" t="str">
            <v>Ống nhựa PVC D32mm</v>
          </cell>
          <cell r="C167" t="str">
            <v>mét</v>
          </cell>
          <cell r="D167">
            <v>11200</v>
          </cell>
          <cell r="F167">
            <v>11200</v>
          </cell>
          <cell r="K167">
            <v>11200</v>
          </cell>
        </row>
        <row r="168">
          <cell r="B168" t="str">
            <v>Ống nhựa PVC D40mm</v>
          </cell>
          <cell r="C168" t="str">
            <v>mét</v>
          </cell>
          <cell r="D168">
            <v>13045</v>
          </cell>
          <cell r="F168">
            <v>13045</v>
          </cell>
          <cell r="K168">
            <v>13045</v>
          </cell>
        </row>
        <row r="169">
          <cell r="B169" t="str">
            <v>Ống nhựa PVC D50mm</v>
          </cell>
          <cell r="C169" t="str">
            <v>mét</v>
          </cell>
          <cell r="D169">
            <v>16100</v>
          </cell>
          <cell r="F169">
            <v>16100</v>
          </cell>
          <cell r="K169">
            <v>16100</v>
          </cell>
        </row>
        <row r="170">
          <cell r="B170" t="str">
            <v>Ống nhựa PVC D67mm</v>
          </cell>
          <cell r="C170" t="str">
            <v>mét</v>
          </cell>
          <cell r="D170">
            <v>22600</v>
          </cell>
          <cell r="F170">
            <v>22600</v>
          </cell>
          <cell r="K170">
            <v>22600</v>
          </cell>
        </row>
        <row r="171">
          <cell r="B171" t="str">
            <v>Ống nhựa PVC D76mm</v>
          </cell>
          <cell r="C171" t="str">
            <v>mét</v>
          </cell>
          <cell r="D171">
            <v>34500</v>
          </cell>
          <cell r="F171">
            <v>34500</v>
          </cell>
          <cell r="K171">
            <v>34500</v>
          </cell>
        </row>
        <row r="172">
          <cell r="B172" t="str">
            <v>Ống nhựa PVC D90mm</v>
          </cell>
          <cell r="C172" t="str">
            <v>mét</v>
          </cell>
          <cell r="D172">
            <v>32900</v>
          </cell>
          <cell r="F172">
            <v>32900</v>
          </cell>
          <cell r="K172">
            <v>32900</v>
          </cell>
        </row>
        <row r="173">
          <cell r="B173" t="str">
            <v>Ống nhựa PVC D250mm</v>
          </cell>
          <cell r="C173" t="str">
            <v>mét</v>
          </cell>
          <cell r="D173">
            <v>290000</v>
          </cell>
          <cell r="F173">
            <v>290000</v>
          </cell>
          <cell r="K173">
            <v>290000</v>
          </cell>
        </row>
        <row r="174">
          <cell r="B174" t="str">
            <v>Ống nối ép dây tiết diện &lt;=120mm2</v>
          </cell>
          <cell r="C174" t="str">
            <v>cái</v>
          </cell>
          <cell r="D174">
            <v>25000</v>
          </cell>
          <cell r="F174">
            <v>25000</v>
          </cell>
          <cell r="K174">
            <v>25000</v>
          </cell>
        </row>
        <row r="175">
          <cell r="B175" t="str">
            <v>Ống nối ép dây tiết diện &lt;=150mm2</v>
          </cell>
          <cell r="C175" t="str">
            <v>cái</v>
          </cell>
          <cell r="D175">
            <v>28000</v>
          </cell>
          <cell r="F175">
            <v>28000</v>
          </cell>
          <cell r="K175">
            <v>28000</v>
          </cell>
        </row>
        <row r="176">
          <cell r="B176" t="str">
            <v>Ống nối ép dây tiết diện &lt;=185mm2</v>
          </cell>
          <cell r="C176" t="str">
            <v>cái</v>
          </cell>
          <cell r="D176">
            <v>32000</v>
          </cell>
          <cell r="F176">
            <v>32000</v>
          </cell>
          <cell r="K176">
            <v>32000</v>
          </cell>
        </row>
        <row r="177">
          <cell r="B177" t="str">
            <v>Ống nối ép dây tiết diện &lt;=240mm2</v>
          </cell>
          <cell r="C177" t="str">
            <v>cái</v>
          </cell>
          <cell r="D177">
            <v>54000</v>
          </cell>
          <cell r="F177">
            <v>54000</v>
          </cell>
          <cell r="K177">
            <v>54000</v>
          </cell>
        </row>
        <row r="178">
          <cell r="B178" t="str">
            <v>Ống nối ép dây tiết diện &lt;=300mm2</v>
          </cell>
          <cell r="C178" t="str">
            <v>cái</v>
          </cell>
          <cell r="D178">
            <v>70000</v>
          </cell>
          <cell r="F178">
            <v>70000</v>
          </cell>
          <cell r="K178">
            <v>70000</v>
          </cell>
        </row>
        <row r="179">
          <cell r="B179" t="str">
            <v>Ống nối ép dây tiết diện &lt;=400mm2</v>
          </cell>
          <cell r="C179" t="str">
            <v>cái</v>
          </cell>
          <cell r="D179">
            <v>85000</v>
          </cell>
          <cell r="F179">
            <v>85000</v>
          </cell>
          <cell r="K179">
            <v>85000</v>
          </cell>
        </row>
        <row r="180">
          <cell r="B180" t="str">
            <v>Ống nối ép dây tiết diện &lt;=500mm2</v>
          </cell>
          <cell r="C180" t="str">
            <v>cái</v>
          </cell>
          <cell r="D180">
            <v>85000</v>
          </cell>
          <cell r="F180">
            <v>85000</v>
          </cell>
          <cell r="K180">
            <v>85000</v>
          </cell>
        </row>
        <row r="181">
          <cell r="B181" t="str">
            <v>Ống nối ép dây tiết diện &gt;500mm2</v>
          </cell>
          <cell r="C181" t="str">
            <v>cái</v>
          </cell>
          <cell r="D181">
            <v>85000</v>
          </cell>
          <cell r="F181">
            <v>85000</v>
          </cell>
          <cell r="K181">
            <v>85000</v>
          </cell>
        </row>
        <row r="182">
          <cell r="B182" t="str">
            <v>Oxy</v>
          </cell>
          <cell r="C182" t="str">
            <v>chai</v>
          </cell>
          <cell r="D182">
            <v>90000</v>
          </cell>
          <cell r="F182">
            <v>90000</v>
          </cell>
          <cell r="K182">
            <v>90000</v>
          </cell>
        </row>
        <row r="183">
          <cell r="B183" t="str">
            <v>Phễu cáp bằng gang loại &lt;=120mm2</v>
          </cell>
          <cell r="C183" t="str">
            <v>cái</v>
          </cell>
          <cell r="D183">
            <v>27040</v>
          </cell>
          <cell r="F183">
            <v>27040</v>
          </cell>
          <cell r="K183">
            <v>27040</v>
          </cell>
        </row>
        <row r="184">
          <cell r="B184" t="str">
            <v>Phễu cáp bằng gang loại &lt;=185mm2</v>
          </cell>
          <cell r="C184" t="str">
            <v>cái</v>
          </cell>
          <cell r="D184">
            <v>40560</v>
          </cell>
          <cell r="F184">
            <v>40560</v>
          </cell>
          <cell r="K184">
            <v>40560</v>
          </cell>
        </row>
        <row r="185">
          <cell r="B185" t="str">
            <v>Phễu cáp bằng gang loại &lt;=240mm2</v>
          </cell>
          <cell r="C185" t="str">
            <v>cái</v>
          </cell>
          <cell r="D185">
            <v>47320</v>
          </cell>
          <cell r="F185">
            <v>47320</v>
          </cell>
          <cell r="K185">
            <v>47320</v>
          </cell>
        </row>
        <row r="186">
          <cell r="B186" t="str">
            <v>Phễu cáp bằng gang loại &lt;=300mm2</v>
          </cell>
          <cell r="C186" t="str">
            <v>cái</v>
          </cell>
          <cell r="D186">
            <v>81120</v>
          </cell>
          <cell r="F186">
            <v>81120</v>
          </cell>
          <cell r="K186">
            <v>81120</v>
          </cell>
        </row>
        <row r="187">
          <cell r="B187" t="str">
            <v>Phễu cáp bằng gang loại &lt;=35mm2</v>
          </cell>
          <cell r="C187" t="str">
            <v>cái</v>
          </cell>
          <cell r="D187">
            <v>20280</v>
          </cell>
          <cell r="F187">
            <v>20280</v>
          </cell>
          <cell r="K187">
            <v>20280</v>
          </cell>
        </row>
        <row r="188">
          <cell r="B188" t="str">
            <v>Phễu cáp bằng gang loại &lt;=400mm2</v>
          </cell>
          <cell r="C188" t="str">
            <v>cái</v>
          </cell>
          <cell r="D188">
            <v>81120</v>
          </cell>
          <cell r="F188">
            <v>81120</v>
          </cell>
          <cell r="K188">
            <v>81120</v>
          </cell>
        </row>
        <row r="189">
          <cell r="B189" t="str">
            <v>Phễu cáp bằng gang loại &lt;=70mm2</v>
          </cell>
          <cell r="C189" t="str">
            <v>cái</v>
          </cell>
          <cell r="D189">
            <v>27040</v>
          </cell>
          <cell r="F189">
            <v>27040</v>
          </cell>
          <cell r="K189">
            <v>27040</v>
          </cell>
        </row>
        <row r="190">
          <cell r="B190" t="str">
            <v>Phễu cáp bằng tôn loại &lt;=120mm2</v>
          </cell>
          <cell r="C190" t="str">
            <v>cái</v>
          </cell>
          <cell r="D190">
            <v>13520</v>
          </cell>
          <cell r="F190">
            <v>13520</v>
          </cell>
          <cell r="K190">
            <v>13520</v>
          </cell>
        </row>
        <row r="191">
          <cell r="B191" t="str">
            <v>Phễu cáp bằng tôn loại &lt;=185mm2</v>
          </cell>
          <cell r="C191" t="str">
            <v>cái</v>
          </cell>
          <cell r="D191">
            <v>20280</v>
          </cell>
          <cell r="F191">
            <v>20280</v>
          </cell>
          <cell r="K191">
            <v>20280</v>
          </cell>
        </row>
        <row r="192">
          <cell r="B192" t="str">
            <v>Phễu cáp bằng tôn loại &lt;=240mm2</v>
          </cell>
          <cell r="C192" t="str">
            <v>cái</v>
          </cell>
          <cell r="D192">
            <v>23660</v>
          </cell>
          <cell r="F192">
            <v>23660</v>
          </cell>
          <cell r="K192">
            <v>23660</v>
          </cell>
        </row>
        <row r="193">
          <cell r="B193" t="str">
            <v>Phễu cáp bằng tôn loại &lt;=300mm2</v>
          </cell>
          <cell r="C193" t="str">
            <v>cái</v>
          </cell>
          <cell r="D193">
            <v>40560</v>
          </cell>
          <cell r="F193">
            <v>40560</v>
          </cell>
          <cell r="K193">
            <v>40560</v>
          </cell>
        </row>
        <row r="194">
          <cell r="B194" t="str">
            <v>Phễu cáp bằng tôn loại &lt;=35mm2</v>
          </cell>
          <cell r="C194" t="str">
            <v>cái</v>
          </cell>
          <cell r="D194">
            <v>10140</v>
          </cell>
          <cell r="F194">
            <v>10140</v>
          </cell>
          <cell r="K194">
            <v>10140</v>
          </cell>
        </row>
        <row r="195">
          <cell r="B195" t="str">
            <v>Phễu cáp bằng tôn loại &lt;=400mm2</v>
          </cell>
          <cell r="C195" t="str">
            <v>cái</v>
          </cell>
          <cell r="D195">
            <v>40560</v>
          </cell>
          <cell r="F195">
            <v>40560</v>
          </cell>
          <cell r="K195">
            <v>40560</v>
          </cell>
        </row>
        <row r="196">
          <cell r="B196" t="str">
            <v>Phễu cáp bằng tôn loại &lt;=70mm2</v>
          </cell>
          <cell r="C196" t="str">
            <v>cái</v>
          </cell>
          <cell r="D196">
            <v>13520</v>
          </cell>
          <cell r="F196">
            <v>13520</v>
          </cell>
          <cell r="K196">
            <v>13520</v>
          </cell>
        </row>
        <row r="197">
          <cell r="B197" t="str">
            <v>Potelet</v>
          </cell>
          <cell r="C197" t="str">
            <v>bộ</v>
          </cell>
          <cell r="D197">
            <v>15000</v>
          </cell>
          <cell r="F197">
            <v>15000</v>
          </cell>
          <cell r="K197">
            <v>15000</v>
          </cell>
        </row>
        <row r="198">
          <cell r="B198" t="str">
            <v>Puly nhôm</v>
          </cell>
          <cell r="C198" t="str">
            <v>cái</v>
          </cell>
          <cell r="D198">
            <v>5000</v>
          </cell>
          <cell r="F198">
            <v>5000</v>
          </cell>
          <cell r="K198">
            <v>5000</v>
          </cell>
        </row>
        <row r="199">
          <cell r="B199" t="str">
            <v>Que hàn d4</v>
          </cell>
          <cell r="C199" t="str">
            <v>kg</v>
          </cell>
          <cell r="D199">
            <v>28182</v>
          </cell>
          <cell r="F199">
            <v>28182</v>
          </cell>
          <cell r="K199">
            <v>28182</v>
          </cell>
        </row>
        <row r="200">
          <cell r="B200" t="str">
            <v xml:space="preserve">Sơn cách điện </v>
          </cell>
          <cell r="C200" t="str">
            <v>kg</v>
          </cell>
          <cell r="D200">
            <v>447636</v>
          </cell>
          <cell r="F200">
            <v>447636</v>
          </cell>
          <cell r="K200">
            <v>447636</v>
          </cell>
        </row>
        <row r="201">
          <cell r="B201" t="str">
            <v>Sơn cách nhiệt</v>
          </cell>
          <cell r="C201" t="str">
            <v>kg</v>
          </cell>
          <cell r="D201">
            <v>447636</v>
          </cell>
          <cell r="F201">
            <v>447636</v>
          </cell>
          <cell r="K201">
            <v>447636</v>
          </cell>
        </row>
        <row r="202">
          <cell r="B202" t="str">
            <v>Sơn chống rỉ</v>
          </cell>
          <cell r="C202" t="str">
            <v>kg</v>
          </cell>
          <cell r="D202">
            <v>66300</v>
          </cell>
          <cell r="F202">
            <v>66300</v>
          </cell>
          <cell r="K202">
            <v>66300</v>
          </cell>
        </row>
        <row r="203">
          <cell r="B203" t="str">
            <v>Sơn chống axit</v>
          </cell>
          <cell r="C203" t="str">
            <v>kg</v>
          </cell>
          <cell r="D203">
            <v>447636</v>
          </cell>
          <cell r="F203">
            <v>447636</v>
          </cell>
          <cell r="K203">
            <v>447636</v>
          </cell>
        </row>
        <row r="204">
          <cell r="B204" t="str">
            <v>Sơn</v>
          </cell>
          <cell r="C204" t="str">
            <v>kg</v>
          </cell>
          <cell r="D204">
            <v>73636</v>
          </cell>
          <cell r="F204">
            <v>73636</v>
          </cell>
          <cell r="K204">
            <v>73636</v>
          </cell>
        </row>
        <row r="205">
          <cell r="B205" t="str">
            <v>Sơn màu ghi</v>
          </cell>
          <cell r="C205" t="str">
            <v>kg</v>
          </cell>
          <cell r="D205">
            <v>73636</v>
          </cell>
          <cell r="F205">
            <v>73636</v>
          </cell>
          <cell r="K205">
            <v>73636</v>
          </cell>
        </row>
        <row r="206">
          <cell r="B206" t="str">
            <v>ống sứ hạ thế</v>
          </cell>
          <cell r="C206" t="str">
            <v>cái</v>
          </cell>
          <cell r="D206">
            <v>15000</v>
          </cell>
          <cell r="F206">
            <v>15000</v>
          </cell>
          <cell r="K206">
            <v>15000</v>
          </cell>
        </row>
        <row r="207">
          <cell r="B207" t="str">
            <v>Sứ hạ thế, loại 2 sứ</v>
          </cell>
          <cell r="C207" t="str">
            <v>cái</v>
          </cell>
          <cell r="D207">
            <v>30000</v>
          </cell>
          <cell r="F207">
            <v>30000</v>
          </cell>
          <cell r="K207">
            <v>30000</v>
          </cell>
        </row>
        <row r="208">
          <cell r="B208" t="str">
            <v>Sứ hạ thế, loại 3 sứ</v>
          </cell>
          <cell r="C208" t="str">
            <v>cái</v>
          </cell>
          <cell r="D208">
            <v>45000</v>
          </cell>
          <cell r="F208">
            <v>45000</v>
          </cell>
          <cell r="K208">
            <v>45000</v>
          </cell>
        </row>
        <row r="209">
          <cell r="B209" t="str">
            <v>Sứ hạ thế, loại 4 sứ</v>
          </cell>
          <cell r="C209" t="str">
            <v>cái</v>
          </cell>
          <cell r="D209">
            <v>60000</v>
          </cell>
          <cell r="F209">
            <v>60000</v>
          </cell>
          <cell r="K209">
            <v>60000</v>
          </cell>
        </row>
        <row r="210">
          <cell r="B210" t="str">
            <v>Sứ tai mèo</v>
          </cell>
          <cell r="C210" t="str">
            <v>bộ</v>
          </cell>
          <cell r="D210">
            <v>17000</v>
          </cell>
          <cell r="F210">
            <v>17000</v>
          </cell>
          <cell r="K210">
            <v>17000</v>
          </cell>
        </row>
        <row r="211">
          <cell r="B211" t="str">
            <v>Thép đệm</v>
          </cell>
          <cell r="C211" t="str">
            <v>kg</v>
          </cell>
          <cell r="D211">
            <v>12273</v>
          </cell>
          <cell r="F211">
            <v>12273</v>
          </cell>
          <cell r="K211">
            <v>12273</v>
          </cell>
        </row>
        <row r="212">
          <cell r="B212" t="str">
            <v>Thép lá 1mm</v>
          </cell>
          <cell r="C212" t="str">
            <v>kg</v>
          </cell>
          <cell r="D212">
            <v>14545</v>
          </cell>
          <cell r="F212">
            <v>14545</v>
          </cell>
          <cell r="K212">
            <v>14545</v>
          </cell>
        </row>
        <row r="213">
          <cell r="B213" t="str">
            <v>Thép hình</v>
          </cell>
          <cell r="C213" t="str">
            <v>kg</v>
          </cell>
          <cell r="D213">
            <v>13500</v>
          </cell>
          <cell r="F213">
            <v>13500</v>
          </cell>
          <cell r="K213">
            <v>13500</v>
          </cell>
        </row>
        <row r="214">
          <cell r="B214" t="str">
            <v>Thép tròn D&lt;=10mm</v>
          </cell>
          <cell r="C214" t="str">
            <v>kg</v>
          </cell>
          <cell r="D214">
            <v>12364</v>
          </cell>
          <cell r="F214">
            <v>12364</v>
          </cell>
          <cell r="K214">
            <v>12364</v>
          </cell>
        </row>
        <row r="215">
          <cell r="B215" t="str">
            <v>Thép tròn D&lt;=18mm</v>
          </cell>
          <cell r="C215" t="str">
            <v>kg</v>
          </cell>
          <cell r="D215">
            <v>12364</v>
          </cell>
          <cell r="F215">
            <v>12364</v>
          </cell>
          <cell r="K215">
            <v>12364</v>
          </cell>
        </row>
        <row r="216">
          <cell r="B216" t="str">
            <v>Thép U-80</v>
          </cell>
          <cell r="C216" t="str">
            <v>kg</v>
          </cell>
          <cell r="D216">
            <v>12273</v>
          </cell>
          <cell r="F216">
            <v>12273</v>
          </cell>
          <cell r="K216">
            <v>12273</v>
          </cell>
        </row>
        <row r="217">
          <cell r="B217" t="str">
            <v>Thiếc hàn</v>
          </cell>
          <cell r="C217" t="str">
            <v>kg</v>
          </cell>
          <cell r="D217">
            <v>30000</v>
          </cell>
          <cell r="F217">
            <v>30000</v>
          </cell>
          <cell r="K217">
            <v>30000</v>
          </cell>
        </row>
        <row r="218">
          <cell r="B218" t="str">
            <v>Tre cây 8 - 10 cm L = 6 - 8 m (kể cả phên tre)</v>
          </cell>
          <cell r="C218" t="str">
            <v>cây</v>
          </cell>
          <cell r="D218">
            <v>20000</v>
          </cell>
          <cell r="F218">
            <v>20000</v>
          </cell>
          <cell r="K218">
            <v>20000</v>
          </cell>
        </row>
        <row r="219">
          <cell r="B219" t="str">
            <v>Vải nhựa</v>
          </cell>
          <cell r="C219" t="str">
            <v>m2</v>
          </cell>
          <cell r="D219">
            <v>10000</v>
          </cell>
          <cell r="F219">
            <v>10000</v>
          </cell>
          <cell r="K219">
            <v>10000</v>
          </cell>
        </row>
        <row r="220">
          <cell r="B220" t="str">
            <v xml:space="preserve">Vải trắng mộc 0,8m </v>
          </cell>
          <cell r="C220" t="str">
            <v>m</v>
          </cell>
          <cell r="D220">
            <v>8000</v>
          </cell>
          <cell r="F220">
            <v>8000</v>
          </cell>
          <cell r="K220">
            <v>8000</v>
          </cell>
        </row>
        <row r="221">
          <cell r="B221" t="str">
            <v>Vải trắng mộc 0,8m</v>
          </cell>
          <cell r="C221" t="str">
            <v>m2</v>
          </cell>
          <cell r="D221">
            <v>6400</v>
          </cell>
          <cell r="F221">
            <v>6400</v>
          </cell>
          <cell r="K221">
            <v>6400</v>
          </cell>
        </row>
        <row r="222">
          <cell r="B222" t="str">
            <v>Vazơlin</v>
          </cell>
          <cell r="C222" t="str">
            <v>kg</v>
          </cell>
          <cell r="D222">
            <v>25000</v>
          </cell>
          <cell r="F222">
            <v>25000</v>
          </cell>
          <cell r="K222">
            <v>25000</v>
          </cell>
        </row>
        <row r="223">
          <cell r="B223" t="str">
            <v>Vít M4x40</v>
          </cell>
          <cell r="C223" t="str">
            <v>cái</v>
          </cell>
          <cell r="D223">
            <v>150</v>
          </cell>
          <cell r="F223">
            <v>150</v>
          </cell>
          <cell r="K223">
            <v>150</v>
          </cell>
        </row>
        <row r="224">
          <cell r="B224" t="str">
            <v>Vữa trộn sẵn M50 (trát)</v>
          </cell>
          <cell r="C224" t="str">
            <v>kg</v>
          </cell>
          <cell r="D224">
            <v>3273</v>
          </cell>
          <cell r="F224">
            <v>3273</v>
          </cell>
          <cell r="K224">
            <v>3273</v>
          </cell>
        </row>
        <row r="225">
          <cell r="B225" t="str">
            <v>Vữa trộn sẵn M75 (trát)</v>
          </cell>
          <cell r="C225" t="str">
            <v>kg</v>
          </cell>
          <cell r="D225">
            <v>3487</v>
          </cell>
          <cell r="F225">
            <v>3487</v>
          </cell>
          <cell r="K225">
            <v>3487</v>
          </cell>
        </row>
        <row r="226">
          <cell r="B226" t="str">
            <v>Xăng</v>
          </cell>
          <cell r="C226" t="str">
            <v>kg</v>
          </cell>
          <cell r="D226">
            <v>25155</v>
          </cell>
          <cell r="F226">
            <v>25155</v>
          </cell>
          <cell r="K226">
            <v>25155</v>
          </cell>
        </row>
        <row r="227">
          <cell r="B227" t="str">
            <v>Xi măng PC30</v>
          </cell>
          <cell r="C227" t="str">
            <v>kg</v>
          </cell>
          <cell r="D227">
            <v>1436</v>
          </cell>
          <cell r="F227">
            <v>1436</v>
          </cell>
          <cell r="K227">
            <v>1436</v>
          </cell>
        </row>
        <row r="228">
          <cell r="B228" t="str">
            <v>Xi măng PC40</v>
          </cell>
          <cell r="C228" t="str">
            <v>kg</v>
          </cell>
          <cell r="D228">
            <v>1473</v>
          </cell>
          <cell r="F228">
            <v>1473</v>
          </cell>
          <cell r="K228">
            <v>1473</v>
          </cell>
        </row>
        <row r="229">
          <cell r="B229" t="str">
            <v>Xi măng trắng</v>
          </cell>
          <cell r="C229" t="str">
            <v>kg</v>
          </cell>
          <cell r="D229">
            <v>3300</v>
          </cell>
          <cell r="F229">
            <v>3300</v>
          </cell>
          <cell r="K229">
            <v>3300</v>
          </cell>
        </row>
        <row r="230">
          <cell r="B230" t="str">
            <v>Vật liệu khác</v>
          </cell>
          <cell r="C230" t="str">
            <v>%</v>
          </cell>
          <cell r="D230">
            <v>5000</v>
          </cell>
          <cell r="F230">
            <v>5000</v>
          </cell>
          <cell r="K230">
            <v>5000</v>
          </cell>
        </row>
      </sheetData>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 - HT"/>
      <sheetName val="Tủ điện"/>
      <sheetName val="MUONG- HAO CAP"/>
      <sheetName val="MUONG- HAO CAP (2)"/>
    </sheetNames>
    <sheetDataSet>
      <sheetData sheetId="0">
        <row r="7">
          <cell r="A7" t="str">
            <v>A</v>
          </cell>
          <cell r="B7" t="str">
            <v>TRẠM BIẾN ÁP T1 - 1500KVA</v>
          </cell>
        </row>
        <row r="8">
          <cell r="A8" t="str">
            <v>I</v>
          </cell>
          <cell r="B8" t="str">
            <v>Đường dây hạ thế nhánh A (TBA 1500kVA XDM)</v>
          </cell>
        </row>
        <row r="9">
          <cell r="A9">
            <v>1</v>
          </cell>
          <cell r="C9" t="str">
            <v>Tủ điện DB1-HTA</v>
          </cell>
        </row>
        <row r="10">
          <cell r="A10">
            <v>2</v>
          </cell>
          <cell r="C10" t="str">
            <v>Tủ điện DB1-HTA1</v>
          </cell>
        </row>
        <row r="11">
          <cell r="A11">
            <v>3</v>
          </cell>
          <cell r="C11" t="str">
            <v>Tủ điện DB1-HTA1.1</v>
          </cell>
        </row>
        <row r="12">
          <cell r="A12">
            <v>4</v>
          </cell>
          <cell r="C12" t="str">
            <v>Tủ điện DB1-HTA2</v>
          </cell>
        </row>
        <row r="13">
          <cell r="A13">
            <v>5</v>
          </cell>
          <cell r="C13" t="str">
            <v>Tủ điện DB1-HTA2.1</v>
          </cell>
        </row>
        <row r="14">
          <cell r="A14">
            <v>6</v>
          </cell>
          <cell r="C14" t="str">
            <v>Tủ điện DB1-HTA2.2</v>
          </cell>
        </row>
        <row r="15">
          <cell r="A15" t="str">
            <v>II</v>
          </cell>
          <cell r="B15" t="str">
            <v>Đường dây hạ thế nhánh B (TBA 1500kVA XDM)</v>
          </cell>
        </row>
        <row r="16">
          <cell r="A16">
            <v>1</v>
          </cell>
          <cell r="C16" t="str">
            <v>Tủ HT - DB1-HTB</v>
          </cell>
        </row>
        <row r="17">
          <cell r="A17">
            <v>2</v>
          </cell>
          <cell r="C17" t="str">
            <v>Tủ HT - DB1-HTB1</v>
          </cell>
        </row>
        <row r="18">
          <cell r="A18">
            <v>3</v>
          </cell>
          <cell r="C18" t="str">
            <v>Tủ HT - DB1-HTB1.1</v>
          </cell>
        </row>
        <row r="19">
          <cell r="A19">
            <v>4</v>
          </cell>
          <cell r="C19" t="str">
            <v>Tủ HT - DB1-HTB2</v>
          </cell>
        </row>
        <row r="20">
          <cell r="A20">
            <v>5</v>
          </cell>
          <cell r="C20" t="str">
            <v>Tủ HT - DB1-HTB2.1</v>
          </cell>
        </row>
        <row r="21">
          <cell r="A21">
            <v>6</v>
          </cell>
          <cell r="C21" t="str">
            <v>Tủ HT - DB1-HTB2.2</v>
          </cell>
        </row>
        <row r="22">
          <cell r="A22" t="str">
            <v>III</v>
          </cell>
          <cell r="B22" t="str">
            <v>Đường dây hạ thế nhánh C (TBA 1500kVA XDM)</v>
          </cell>
        </row>
        <row r="23">
          <cell r="A23">
            <v>1</v>
          </cell>
          <cell r="C23" t="str">
            <v>Tủ HT - DB1-HTC</v>
          </cell>
        </row>
        <row r="24">
          <cell r="A24">
            <v>2</v>
          </cell>
          <cell r="C24" t="str">
            <v>Tủ HT - DB1-HTC1</v>
          </cell>
        </row>
        <row r="25">
          <cell r="A25">
            <v>3</v>
          </cell>
          <cell r="C25" t="str">
            <v>Tủ HT - DB1-HTC1.1</v>
          </cell>
        </row>
        <row r="26">
          <cell r="A26">
            <v>4</v>
          </cell>
          <cell r="C26" t="str">
            <v>Tủ HT - DB1-HTC2</v>
          </cell>
        </row>
        <row r="27">
          <cell r="A27">
            <v>5</v>
          </cell>
          <cell r="C27" t="str">
            <v>Tủ HT - DB1-HTC2.1</v>
          </cell>
        </row>
        <row r="28">
          <cell r="A28">
            <v>6</v>
          </cell>
          <cell r="C28" t="str">
            <v>Tủ HT - DB1-HTC2.2</v>
          </cell>
        </row>
        <row r="30">
          <cell r="A30" t="str">
            <v>B</v>
          </cell>
          <cell r="B30" t="str">
            <v>TRẠM BIẾN ÁP T2 - 1500KVA</v>
          </cell>
        </row>
        <row r="31">
          <cell r="A31" t="str">
            <v>I</v>
          </cell>
          <cell r="B31" t="str">
            <v>Đường dây hạ thế nhánh A (TBA 1500kVA XDM)</v>
          </cell>
        </row>
        <row r="32">
          <cell r="A32">
            <v>1</v>
          </cell>
          <cell r="C32" t="str">
            <v>Tủ điện DB2-HTA</v>
          </cell>
        </row>
        <row r="33">
          <cell r="A33">
            <v>2</v>
          </cell>
          <cell r="C33" t="str">
            <v>Tủ điện DB2-HTA1</v>
          </cell>
        </row>
        <row r="34">
          <cell r="A34">
            <v>3</v>
          </cell>
          <cell r="C34" t="str">
            <v>Tủ điện DB2-HTA2</v>
          </cell>
        </row>
        <row r="35">
          <cell r="A35">
            <v>4</v>
          </cell>
          <cell r="C35" t="str">
            <v>Tủ điện DB2-HTA2.1</v>
          </cell>
        </row>
        <row r="36">
          <cell r="A36" t="str">
            <v>II</v>
          </cell>
          <cell r="B36" t="str">
            <v>Đường dây hạ thế nhánh B (TBA 1500kVA XDM)</v>
          </cell>
        </row>
        <row r="37">
          <cell r="A37">
            <v>1</v>
          </cell>
          <cell r="C37" t="str">
            <v>Tủ điện DB2-HTB</v>
          </cell>
        </row>
        <row r="38">
          <cell r="A38">
            <v>2</v>
          </cell>
          <cell r="C38" t="str">
            <v>Tủ điện DB2-HTB1</v>
          </cell>
        </row>
        <row r="39">
          <cell r="A39">
            <v>3</v>
          </cell>
          <cell r="C39" t="str">
            <v>Tủ điện DB2-HTB2</v>
          </cell>
        </row>
        <row r="40">
          <cell r="A40">
            <v>4</v>
          </cell>
          <cell r="C40" t="str">
            <v>Tủ điện DB2-HTB2.1</v>
          </cell>
        </row>
        <row r="41">
          <cell r="A41">
            <v>5</v>
          </cell>
          <cell r="C41" t="str">
            <v>Tủ điện DB2-HTB3</v>
          </cell>
        </row>
        <row r="42">
          <cell r="A42">
            <v>6</v>
          </cell>
          <cell r="C42" t="str">
            <v>Tủ điện DB2-HTB3.1</v>
          </cell>
        </row>
        <row r="43">
          <cell r="A43">
            <v>7</v>
          </cell>
          <cell r="C43" t="str">
            <v>Tủ điện DB2-HTB3.2</v>
          </cell>
        </row>
        <row r="44">
          <cell r="A44">
            <v>8</v>
          </cell>
          <cell r="C44" t="str">
            <v>Tủ điện DB2-HTB3.3</v>
          </cell>
        </row>
        <row r="45">
          <cell r="A45">
            <v>9</v>
          </cell>
          <cell r="C45" t="str">
            <v>Tủ điện DB2-HTB4</v>
          </cell>
        </row>
        <row r="46">
          <cell r="A46">
            <v>10</v>
          </cell>
          <cell r="C46" t="str">
            <v>Tủ điện DB2-HTB4.1</v>
          </cell>
        </row>
        <row r="47">
          <cell r="A47">
            <v>11</v>
          </cell>
          <cell r="C47" t="str">
            <v>Tủ điện DB2-HTB4.2</v>
          </cell>
        </row>
        <row r="48">
          <cell r="A48">
            <v>12</v>
          </cell>
          <cell r="C48" t="str">
            <v>Tủ điện DB2-HTB4.3</v>
          </cell>
        </row>
        <row r="49">
          <cell r="A49" t="str">
            <v>III</v>
          </cell>
          <cell r="B49" t="str">
            <v>Đường dây hạ thế nhánh C (TBA 1500kVA XDM)</v>
          </cell>
        </row>
        <row r="50">
          <cell r="A50">
            <v>1</v>
          </cell>
          <cell r="C50" t="str">
            <v>Tủ điện DB2-HTC</v>
          </cell>
        </row>
        <row r="51">
          <cell r="A51">
            <v>2</v>
          </cell>
          <cell r="C51" t="str">
            <v>Tủ điện DB2-HTC1</v>
          </cell>
        </row>
        <row r="52">
          <cell r="A52">
            <v>3</v>
          </cell>
          <cell r="C52" t="str">
            <v>Tủ điện DB2-HTC2</v>
          </cell>
        </row>
        <row r="53">
          <cell r="A53">
            <v>4</v>
          </cell>
          <cell r="C53" t="str">
            <v>Tủ điện DB2-HTC2.1</v>
          </cell>
        </row>
        <row r="54">
          <cell r="A54">
            <v>5</v>
          </cell>
          <cell r="C54" t="str">
            <v>Tủ điện DB2-HTC3</v>
          </cell>
        </row>
        <row r="55">
          <cell r="A55">
            <v>6</v>
          </cell>
          <cell r="C55" t="str">
            <v>Tủ điện DB2-HTC3.1</v>
          </cell>
        </row>
        <row r="56">
          <cell r="A56" t="str">
            <v>IV</v>
          </cell>
          <cell r="B56" t="str">
            <v>Đường dây hạ thế nhánh D (TBA 1500kVA XDM)</v>
          </cell>
        </row>
        <row r="57">
          <cell r="A57">
            <v>1</v>
          </cell>
          <cell r="C57" t="str">
            <v>Tủ điện DB2-HTD</v>
          </cell>
        </row>
        <row r="58">
          <cell r="A58">
            <v>2</v>
          </cell>
          <cell r="C58" t="str">
            <v>Tủ điện DB2-HTD1</v>
          </cell>
        </row>
        <row r="59">
          <cell r="A59">
            <v>3</v>
          </cell>
          <cell r="C59" t="str">
            <v>Tủ điện DB2-HTD2</v>
          </cell>
        </row>
        <row r="60">
          <cell r="A60">
            <v>4</v>
          </cell>
          <cell r="C60" t="str">
            <v>Tủ điện DB2-HTD2.1</v>
          </cell>
        </row>
        <row r="61">
          <cell r="A61">
            <v>5</v>
          </cell>
          <cell r="C61" t="str">
            <v>Tủ điện DB2-HTD3</v>
          </cell>
        </row>
        <row r="62">
          <cell r="A62">
            <v>6</v>
          </cell>
          <cell r="C62" t="str">
            <v>Tủ điện DB2-HTD3.1</v>
          </cell>
        </row>
        <row r="63">
          <cell r="A63">
            <v>7</v>
          </cell>
          <cell r="C63" t="str">
            <v>Tủ điện DB2-HTD3.2</v>
          </cell>
        </row>
        <row r="64">
          <cell r="A64">
            <v>8</v>
          </cell>
          <cell r="C64" t="str">
            <v>Tủ điện DB2-HTD3.3</v>
          </cell>
        </row>
        <row r="65">
          <cell r="A65">
            <v>9</v>
          </cell>
          <cell r="C65" t="str">
            <v>Tủ điện DB2-HTD4</v>
          </cell>
        </row>
        <row r="66">
          <cell r="A66">
            <v>10</v>
          </cell>
          <cell r="C66" t="str">
            <v>Tủ điện DB2-HTD4.1</v>
          </cell>
        </row>
        <row r="67">
          <cell r="A67">
            <v>11</v>
          </cell>
          <cell r="C67" t="str">
            <v>Tủ điện DB2-HTD4.2</v>
          </cell>
        </row>
        <row r="68">
          <cell r="A68">
            <v>12</v>
          </cell>
          <cell r="C68" t="str">
            <v>Tủ điện DB2-HTD4.3</v>
          </cell>
        </row>
        <row r="70">
          <cell r="A70" t="str">
            <v>C</v>
          </cell>
          <cell r="B70" t="str">
            <v>TRẠM BIẾN ÁP T3 - 2000KVA</v>
          </cell>
        </row>
        <row r="71">
          <cell r="A71" t="str">
            <v>I</v>
          </cell>
          <cell r="B71" t="str">
            <v>Đường dây hạ thế nhánh A (TBA 2000kVA XDM)</v>
          </cell>
        </row>
        <row r="72">
          <cell r="A72">
            <v>1</v>
          </cell>
          <cell r="C72" t="str">
            <v>Tủ điện DB3-HTA</v>
          </cell>
        </row>
        <row r="73">
          <cell r="A73">
            <v>2</v>
          </cell>
          <cell r="C73" t="str">
            <v>Tủ điện DB3-HTA1</v>
          </cell>
        </row>
        <row r="74">
          <cell r="A74">
            <v>3</v>
          </cell>
          <cell r="C74" t="str">
            <v>Tủ điện DB3-HTA2</v>
          </cell>
        </row>
        <row r="75">
          <cell r="A75">
            <v>4</v>
          </cell>
          <cell r="C75" t="str">
            <v>Tủ điện DB3-HTA3</v>
          </cell>
        </row>
        <row r="76">
          <cell r="A76">
            <v>5</v>
          </cell>
          <cell r="C76" t="str">
            <v>Tủ điện DB3-HTA3.1</v>
          </cell>
        </row>
        <row r="77">
          <cell r="A77">
            <v>6</v>
          </cell>
          <cell r="C77" t="str">
            <v>Tủ điện DB3-HTA3.2</v>
          </cell>
        </row>
        <row r="78">
          <cell r="A78">
            <v>7</v>
          </cell>
          <cell r="C78" t="str">
            <v>Tủ điện DB3-HTA4</v>
          </cell>
        </row>
        <row r="79">
          <cell r="A79">
            <v>8</v>
          </cell>
          <cell r="C79" t="str">
            <v>Tủ điện DB3-HTA4.1</v>
          </cell>
        </row>
        <row r="80">
          <cell r="A80">
            <v>9</v>
          </cell>
          <cell r="C80" t="str">
            <v>Tủ điện DB3-HTA4.2</v>
          </cell>
        </row>
        <row r="81">
          <cell r="A81">
            <v>10</v>
          </cell>
          <cell r="C81" t="str">
            <v>Tủ điện DB3-HTA4.3</v>
          </cell>
        </row>
        <row r="82">
          <cell r="A82">
            <v>11</v>
          </cell>
          <cell r="C82" t="str">
            <v>Tủ điện DB3-HTA5</v>
          </cell>
        </row>
        <row r="83">
          <cell r="A83">
            <v>12</v>
          </cell>
          <cell r="C83" t="str">
            <v>Tủ điện DB3-HTA5.1</v>
          </cell>
        </row>
        <row r="84">
          <cell r="A84">
            <v>13</v>
          </cell>
          <cell r="C84" t="str">
            <v>Tủ điện DB3-HTA5.2</v>
          </cell>
        </row>
        <row r="85">
          <cell r="A85">
            <v>14</v>
          </cell>
          <cell r="C85" t="str">
            <v>Tủ điện DB3-HTA5.3</v>
          </cell>
        </row>
        <row r="86">
          <cell r="A86" t="str">
            <v>II</v>
          </cell>
          <cell r="B86" t="str">
            <v>Đường dây hạ thế nhánh B (TBA 2000kVA XDM)</v>
          </cell>
        </row>
        <row r="87">
          <cell r="A87">
            <v>1</v>
          </cell>
          <cell r="C87" t="str">
            <v>Tủ điện DB3-HTB</v>
          </cell>
        </row>
        <row r="88">
          <cell r="A88">
            <v>2</v>
          </cell>
          <cell r="C88" t="str">
            <v>Tủ điện DB3-HTB1</v>
          </cell>
        </row>
        <row r="89">
          <cell r="A89">
            <v>3</v>
          </cell>
          <cell r="C89" t="str">
            <v>Tủ điện DB3-HTB1.1</v>
          </cell>
        </row>
        <row r="90">
          <cell r="A90">
            <v>4</v>
          </cell>
          <cell r="C90" t="str">
            <v>Tủ điện DB3-HTB1.2</v>
          </cell>
        </row>
        <row r="91">
          <cell r="A91">
            <v>5</v>
          </cell>
          <cell r="C91" t="str">
            <v>Tủ điện DB3-HTB1.3</v>
          </cell>
        </row>
        <row r="92">
          <cell r="A92">
            <v>6</v>
          </cell>
          <cell r="C92" t="str">
            <v>Tủ điện DB3-HTB2</v>
          </cell>
        </row>
        <row r="93">
          <cell r="A93">
            <v>7</v>
          </cell>
          <cell r="C93" t="str">
            <v>Tủ điện DB3-HTB3</v>
          </cell>
        </row>
        <row r="94">
          <cell r="A94">
            <v>8</v>
          </cell>
          <cell r="C94" t="str">
            <v>Tủ điện DB3-HTB3.1</v>
          </cell>
        </row>
        <row r="95">
          <cell r="A95">
            <v>9</v>
          </cell>
          <cell r="C95" t="str">
            <v>Tủ điện DB3-HTB4</v>
          </cell>
        </row>
        <row r="96">
          <cell r="A96">
            <v>10</v>
          </cell>
          <cell r="C96" t="str">
            <v>Tủ điện DB3-HTB4.1</v>
          </cell>
        </row>
        <row r="97">
          <cell r="A97">
            <v>11</v>
          </cell>
          <cell r="C97" t="str">
            <v>Tủ điện DB3-HTB4.2</v>
          </cell>
        </row>
        <row r="98">
          <cell r="A98">
            <v>12</v>
          </cell>
          <cell r="C98" t="str">
            <v>Tủ điện DB3-HTB4.3</v>
          </cell>
        </row>
        <row r="99">
          <cell r="A99" t="str">
            <v>III</v>
          </cell>
          <cell r="B99" t="str">
            <v>Đường dây hạ thế nhánh C (TBA 2000kVA XDM)</v>
          </cell>
        </row>
        <row r="100">
          <cell r="A100">
            <v>1</v>
          </cell>
          <cell r="C100" t="str">
            <v>Tủ điện DB3-HTC</v>
          </cell>
        </row>
        <row r="101">
          <cell r="A101">
            <v>2</v>
          </cell>
          <cell r="C101" t="str">
            <v>Tủ điện DB3-HTC1</v>
          </cell>
        </row>
        <row r="102">
          <cell r="A102">
            <v>3</v>
          </cell>
          <cell r="C102" t="str">
            <v>Tủ điện DB3-HTC1.1</v>
          </cell>
        </row>
        <row r="103">
          <cell r="A103">
            <v>4</v>
          </cell>
          <cell r="C103" t="str">
            <v>Tủ điện DB3-HTC2</v>
          </cell>
        </row>
        <row r="104">
          <cell r="A104">
            <v>5</v>
          </cell>
          <cell r="C104" t="str">
            <v>Tủ điện DB3-HTC3</v>
          </cell>
        </row>
        <row r="105">
          <cell r="A105">
            <v>6</v>
          </cell>
          <cell r="C105" t="str">
            <v>Tủ điện DB3-HTC3.1</v>
          </cell>
        </row>
        <row r="106">
          <cell r="A106">
            <v>7</v>
          </cell>
          <cell r="C106" t="str">
            <v>Tủ điện DB3-HTC3.2</v>
          </cell>
        </row>
        <row r="107">
          <cell r="A107">
            <v>8</v>
          </cell>
          <cell r="C107" t="str">
            <v>Tủ điện DB3-HTC3.3</v>
          </cell>
        </row>
        <row r="108">
          <cell r="A108" t="str">
            <v>IV</v>
          </cell>
          <cell r="B108" t="str">
            <v>Đường dây hạ thế nhánh D (TBA 2000kVA XDM)</v>
          </cell>
        </row>
        <row r="109">
          <cell r="A109">
            <v>1</v>
          </cell>
          <cell r="C109" t="str">
            <v>Tủ điện DB3-HTD</v>
          </cell>
        </row>
        <row r="110">
          <cell r="A110">
            <v>2</v>
          </cell>
          <cell r="C110" t="str">
            <v>Tủ điện DB3-HTD1</v>
          </cell>
        </row>
        <row r="111">
          <cell r="A111">
            <v>3</v>
          </cell>
          <cell r="C111" t="str">
            <v>Tủ điện DB3-HTD2</v>
          </cell>
        </row>
        <row r="112">
          <cell r="A112">
            <v>4</v>
          </cell>
          <cell r="C112" t="str">
            <v>Tủ điện DB3-HTD2.1</v>
          </cell>
        </row>
        <row r="113">
          <cell r="A113">
            <v>5</v>
          </cell>
          <cell r="C113" t="str">
            <v>Tủ điện DB3-HTD3</v>
          </cell>
        </row>
        <row r="114">
          <cell r="A114">
            <v>6</v>
          </cell>
          <cell r="C114" t="str">
            <v>Tủ điện DB3-HTD3.1</v>
          </cell>
        </row>
        <row r="115">
          <cell r="A115">
            <v>7</v>
          </cell>
          <cell r="C115" t="str">
            <v>Tủ điện DB3-HTD3.2</v>
          </cell>
        </row>
        <row r="116">
          <cell r="A116">
            <v>8</v>
          </cell>
          <cell r="C116" t="str">
            <v>Tủ điện DB3-HTD3.3</v>
          </cell>
        </row>
        <row r="117">
          <cell r="A117">
            <v>9</v>
          </cell>
          <cell r="C117" t="str">
            <v>Tủ điện DB3-HTD4</v>
          </cell>
        </row>
        <row r="118">
          <cell r="A118">
            <v>10</v>
          </cell>
          <cell r="C118" t="str">
            <v>Tủ điện DB3-HTD4.1</v>
          </cell>
        </row>
        <row r="119">
          <cell r="A119">
            <v>11</v>
          </cell>
          <cell r="C119" t="str">
            <v>Tủ điện DB3-HTD4.2</v>
          </cell>
        </row>
        <row r="120">
          <cell r="A120">
            <v>12</v>
          </cell>
          <cell r="C120" t="str">
            <v>Tủ điện DB3-HTD4.3</v>
          </cell>
        </row>
        <row r="121">
          <cell r="A121" t="str">
            <v>V</v>
          </cell>
          <cell r="B121" t="str">
            <v>Đường dây hạ thế nhánh E (TBA 2000kVA XDM)</v>
          </cell>
        </row>
        <row r="122">
          <cell r="A122">
            <v>1</v>
          </cell>
          <cell r="C122" t="str">
            <v>Tủ điện DB3-HTE</v>
          </cell>
        </row>
        <row r="123">
          <cell r="A123">
            <v>2</v>
          </cell>
          <cell r="C123" t="str">
            <v>Tủ điện DB3-HTE1</v>
          </cell>
        </row>
        <row r="124">
          <cell r="A124">
            <v>3</v>
          </cell>
          <cell r="C124" t="str">
            <v>Tủ điện DB3-HTE2</v>
          </cell>
        </row>
        <row r="125">
          <cell r="A125">
            <v>4</v>
          </cell>
          <cell r="C125" t="str">
            <v>Tủ điện DB3-HTE2.1</v>
          </cell>
        </row>
        <row r="126">
          <cell r="A126">
            <v>5</v>
          </cell>
          <cell r="C126" t="str">
            <v>Tủ điện DB3-HTE3</v>
          </cell>
        </row>
        <row r="127">
          <cell r="A127">
            <v>6</v>
          </cell>
          <cell r="C127" t="str">
            <v>Tủ điện DB3-HTE3.1</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5"/>
  <sheetViews>
    <sheetView zoomScale="85" zoomScaleNormal="85" workbookViewId="0">
      <selection activeCell="C25" sqref="C25"/>
    </sheetView>
  </sheetViews>
  <sheetFormatPr defaultColWidth="9.140625" defaultRowHeight="14.25"/>
  <cols>
    <col min="1" max="1" width="71.5703125" style="264" customWidth="1"/>
    <col min="2" max="2" width="23.140625" style="264" bestFit="1" customWidth="1"/>
    <col min="3" max="4" width="11.5703125" style="264" bestFit="1" customWidth="1"/>
    <col min="5" max="5" width="12.42578125" style="264" customWidth="1"/>
    <col min="6" max="6" width="12.140625" style="264" customWidth="1"/>
    <col min="7" max="7" width="14.140625" style="264" customWidth="1"/>
    <col min="8" max="8" width="13.28515625" style="264" bestFit="1" customWidth="1"/>
    <col min="9" max="12" width="12" style="264" bestFit="1" customWidth="1"/>
    <col min="13" max="16384" width="9.140625" style="264"/>
  </cols>
  <sheetData>
    <row r="1" spans="1:13" ht="15.75">
      <c r="A1" s="263"/>
      <c r="B1" s="263"/>
      <c r="C1" s="263"/>
      <c r="D1" s="263"/>
      <c r="E1" s="263"/>
      <c r="F1" s="263"/>
      <c r="G1" s="263"/>
      <c r="H1" s="263"/>
      <c r="I1" s="263"/>
      <c r="J1" s="263"/>
      <c r="K1" s="263"/>
      <c r="L1" s="263"/>
      <c r="M1" s="263"/>
    </row>
    <row r="2" spans="1:13" ht="15.75">
      <c r="A2" s="263"/>
      <c r="B2" s="263"/>
      <c r="C2" s="263"/>
      <c r="D2" s="263"/>
      <c r="E2" s="263"/>
      <c r="F2" s="263"/>
      <c r="G2" s="263"/>
      <c r="H2" s="263"/>
      <c r="I2" s="263"/>
      <c r="J2" s="263"/>
      <c r="K2" s="263"/>
      <c r="L2" s="263"/>
      <c r="M2" s="263"/>
    </row>
    <row r="3" spans="1:13" ht="15.75">
      <c r="A3" s="265" t="s">
        <v>2737</v>
      </c>
      <c r="B3" s="266" t="e">
        <f>(#REF!+#REF!)/1000000000</f>
        <v>#REF!</v>
      </c>
      <c r="C3" s="267"/>
      <c r="D3" s="1473" t="s">
        <v>2738</v>
      </c>
      <c r="E3" s="1473"/>
      <c r="F3" s="267"/>
      <c r="G3" s="268" t="s">
        <v>2739</v>
      </c>
      <c r="H3" s="267"/>
      <c r="I3" s="267"/>
      <c r="J3" s="267"/>
      <c r="K3" s="267"/>
      <c r="L3" s="267"/>
      <c r="M3" s="267"/>
    </row>
    <row r="4" spans="1:13" ht="15.75">
      <c r="A4" s="269" t="s">
        <v>2740</v>
      </c>
      <c r="B4" s="270"/>
      <c r="C4" s="270"/>
      <c r="D4" s="270"/>
      <c r="E4" s="270"/>
      <c r="F4" s="270"/>
      <c r="G4" s="270"/>
      <c r="H4" s="270"/>
      <c r="I4" s="270"/>
      <c r="J4" s="270"/>
      <c r="K4" s="270"/>
      <c r="L4" s="270"/>
      <c r="M4" s="267"/>
    </row>
    <row r="5" spans="1:13" ht="16.5" thickBot="1">
      <c r="A5" s="271" t="s">
        <v>214</v>
      </c>
      <c r="B5" s="272">
        <v>10</v>
      </c>
      <c r="C5" s="272">
        <v>20</v>
      </c>
      <c r="D5" s="272">
        <v>50</v>
      </c>
      <c r="E5" s="272">
        <v>100</v>
      </c>
      <c r="F5" s="272">
        <v>200</v>
      </c>
      <c r="G5" s="272">
        <v>500</v>
      </c>
      <c r="H5" s="272">
        <v>1000</v>
      </c>
      <c r="I5" s="272">
        <v>2000</v>
      </c>
      <c r="J5" s="272">
        <v>5000</v>
      </c>
      <c r="K5" s="272">
        <v>10000</v>
      </c>
      <c r="L5" s="272">
        <v>20000</v>
      </c>
      <c r="M5" s="272">
        <v>30000</v>
      </c>
    </row>
    <row r="6" spans="1:13" ht="16.5" thickBot="1">
      <c r="A6" s="271" t="s">
        <v>215</v>
      </c>
      <c r="B6" s="273">
        <v>3.4529999999999998</v>
      </c>
      <c r="C6" s="274">
        <v>2.93</v>
      </c>
      <c r="D6" s="274">
        <v>2.6160000000000001</v>
      </c>
      <c r="E6" s="274">
        <v>2.0209999999999999</v>
      </c>
      <c r="F6" s="274">
        <v>1.89</v>
      </c>
      <c r="G6" s="274">
        <v>1.518</v>
      </c>
      <c r="H6" s="274">
        <v>1.242</v>
      </c>
      <c r="I6" s="274">
        <v>1.071</v>
      </c>
      <c r="J6" s="274">
        <v>0.71299999999999997</v>
      </c>
      <c r="K6" s="274">
        <v>0.51200000000000001</v>
      </c>
      <c r="L6" s="274">
        <v>0.38200000000000001</v>
      </c>
      <c r="M6" s="274">
        <v>0.30499999999999999</v>
      </c>
    </row>
    <row r="7" spans="1:13" ht="15.75">
      <c r="A7" s="271" t="s">
        <v>216</v>
      </c>
      <c r="B7" s="275" t="e">
        <f>IF($B$3&lt;=10,B6,0)</f>
        <v>#REF!</v>
      </c>
      <c r="C7" s="275" t="e">
        <f>IF(AND(($B$3&gt;B5),($B$3&lt;=C5)),(C6-((C6-B6)*(C5-$B$3)/(C5-B5))),0)</f>
        <v>#REF!</v>
      </c>
      <c r="D7" s="276" t="e">
        <f t="shared" ref="D7:M7" si="0">IF(AND(($B$3&gt;C5),($B$3&lt;=D5)),(D6-((D6-C6)*(D5-$B$3)/(D5-C5))),0)</f>
        <v>#REF!</v>
      </c>
      <c r="E7" s="275" t="e">
        <f t="shared" si="0"/>
        <v>#REF!</v>
      </c>
      <c r="F7" s="275" t="e">
        <f t="shared" si="0"/>
        <v>#REF!</v>
      </c>
      <c r="G7" s="275" t="e">
        <f t="shared" si="0"/>
        <v>#REF!</v>
      </c>
      <c r="H7" s="275" t="e">
        <f t="shared" si="0"/>
        <v>#REF!</v>
      </c>
      <c r="I7" s="275" t="e">
        <f t="shared" si="0"/>
        <v>#REF!</v>
      </c>
      <c r="J7" s="275" t="e">
        <f t="shared" si="0"/>
        <v>#REF!</v>
      </c>
      <c r="K7" s="275" t="e">
        <f t="shared" si="0"/>
        <v>#REF!</v>
      </c>
      <c r="L7" s="275" t="e">
        <f t="shared" si="0"/>
        <v>#REF!</v>
      </c>
      <c r="M7" s="275" t="e">
        <f t="shared" si="0"/>
        <v>#REF!</v>
      </c>
    </row>
    <row r="8" spans="1:13" ht="15.75">
      <c r="A8" s="277"/>
      <c r="B8" s="278"/>
      <c r="C8" s="278"/>
      <c r="D8" s="278"/>
      <c r="E8" s="278"/>
      <c r="F8" s="278"/>
      <c r="G8" s="278"/>
      <c r="H8" s="278"/>
      <c r="I8" s="278"/>
      <c r="J8" s="278"/>
      <c r="K8" s="278"/>
      <c r="L8" s="278"/>
      <c r="M8" s="279"/>
    </row>
    <row r="9" spans="1:13" ht="15.75">
      <c r="A9" s="265" t="s">
        <v>2741</v>
      </c>
      <c r="B9" s="266" t="e">
        <f>B3</f>
        <v>#REF!</v>
      </c>
      <c r="C9" s="278"/>
      <c r="D9" s="1473" t="s">
        <v>2738</v>
      </c>
      <c r="E9" s="1473"/>
      <c r="F9" s="278"/>
      <c r="G9" s="280" t="s">
        <v>2742</v>
      </c>
      <c r="H9" s="278"/>
      <c r="I9" s="278"/>
      <c r="J9" s="278"/>
      <c r="K9" s="278"/>
      <c r="L9" s="278"/>
      <c r="M9" s="279"/>
    </row>
    <row r="10" spans="1:13" ht="15.75">
      <c r="A10" s="269" t="s">
        <v>2743</v>
      </c>
      <c r="B10" s="281"/>
      <c r="C10" s="278"/>
      <c r="D10" s="278"/>
      <c r="E10" s="278"/>
      <c r="F10" s="278"/>
      <c r="G10" s="278"/>
      <c r="H10" s="278"/>
      <c r="I10" s="278"/>
      <c r="J10" s="278"/>
      <c r="K10" s="278"/>
      <c r="L10" s="278"/>
      <c r="M10" s="279"/>
    </row>
    <row r="11" spans="1:13" ht="16.5" thickBot="1">
      <c r="A11" s="271" t="s">
        <v>214</v>
      </c>
      <c r="B11" s="272">
        <v>10</v>
      </c>
      <c r="C11" s="272">
        <v>20</v>
      </c>
      <c r="D11" s="272">
        <v>50</v>
      </c>
      <c r="E11" s="272">
        <v>100</v>
      </c>
      <c r="F11" s="272">
        <v>200</v>
      </c>
      <c r="G11" s="272">
        <v>500</v>
      </c>
      <c r="H11" s="272">
        <v>1000</v>
      </c>
      <c r="I11" s="272">
        <v>2000</v>
      </c>
      <c r="J11" s="272">
        <v>5000</v>
      </c>
      <c r="K11" s="272">
        <v>10000</v>
      </c>
      <c r="L11" s="272">
        <v>20000</v>
      </c>
      <c r="M11" s="272">
        <v>30000</v>
      </c>
    </row>
    <row r="12" spans="1:13" ht="16.5" thickBot="1">
      <c r="A12" s="271" t="s">
        <v>215</v>
      </c>
      <c r="B12" s="282">
        <v>1.2609999999999999</v>
      </c>
      <c r="C12" s="283">
        <v>1.1120000000000001</v>
      </c>
      <c r="D12" s="283">
        <v>0.88200000000000001</v>
      </c>
      <c r="E12" s="283">
        <v>0.65400000000000003</v>
      </c>
      <c r="F12" s="283">
        <v>0.51500000000000001</v>
      </c>
      <c r="G12" s="283">
        <v>0.46600000000000003</v>
      </c>
      <c r="H12" s="283">
        <v>0.40400000000000003</v>
      </c>
      <c r="I12" s="283">
        <v>0.315</v>
      </c>
      <c r="J12" s="283">
        <v>0.248</v>
      </c>
      <c r="K12" s="283">
        <v>0.189</v>
      </c>
      <c r="L12" s="283">
        <v>0.13500000000000001</v>
      </c>
      <c r="M12" s="283">
        <v>0.107</v>
      </c>
    </row>
    <row r="13" spans="1:13" ht="15.75">
      <c r="A13" s="271" t="s">
        <v>216</v>
      </c>
      <c r="B13" s="275" t="e">
        <f>IF($B$3&lt;=10,B12,0)</f>
        <v>#REF!</v>
      </c>
      <c r="C13" s="275" t="e">
        <f>IF(AND(($B$3&gt;B11),($B$3&lt;=C11)),(C12-((C12-B12)*(C11-$B$3)/(C11-B11))),0)</f>
        <v>#REF!</v>
      </c>
      <c r="D13" s="276" t="e">
        <f t="shared" ref="D13:M13" si="1">IF(AND(($B$3&gt;C11),($B$3&lt;=D11)),(D12-((D12-C12)*(D11-$B$3)/(D11-C11))),0)</f>
        <v>#REF!</v>
      </c>
      <c r="E13" s="275" t="e">
        <f t="shared" si="1"/>
        <v>#REF!</v>
      </c>
      <c r="F13" s="275" t="e">
        <f t="shared" si="1"/>
        <v>#REF!</v>
      </c>
      <c r="G13" s="275" t="e">
        <f t="shared" si="1"/>
        <v>#REF!</v>
      </c>
      <c r="H13" s="275" t="e">
        <f t="shared" si="1"/>
        <v>#REF!</v>
      </c>
      <c r="I13" s="275" t="e">
        <f t="shared" si="1"/>
        <v>#REF!</v>
      </c>
      <c r="J13" s="275" t="e">
        <f t="shared" si="1"/>
        <v>#REF!</v>
      </c>
      <c r="K13" s="275" t="e">
        <f t="shared" si="1"/>
        <v>#REF!</v>
      </c>
      <c r="L13" s="275" t="e">
        <f t="shared" si="1"/>
        <v>#REF!</v>
      </c>
      <c r="M13" s="275" t="e">
        <f t="shared" si="1"/>
        <v>#REF!</v>
      </c>
    </row>
    <row r="14" spans="1:13" ht="15.75">
      <c r="A14" s="277"/>
      <c r="B14" s="278"/>
      <c r="C14" s="278"/>
      <c r="D14" s="278"/>
      <c r="E14" s="278"/>
      <c r="F14" s="278"/>
      <c r="G14" s="278"/>
      <c r="H14" s="278"/>
      <c r="I14" s="278"/>
      <c r="J14" s="278"/>
      <c r="K14" s="278"/>
      <c r="L14" s="278"/>
      <c r="M14" s="279"/>
    </row>
    <row r="15" spans="1:13" ht="15.75">
      <c r="A15" s="284" t="s">
        <v>2744</v>
      </c>
      <c r="B15" s="285" t="e">
        <f>#REF!/1000000000</f>
        <v>#REF!</v>
      </c>
      <c r="C15" s="263"/>
      <c r="D15" s="1473" t="s">
        <v>2738</v>
      </c>
      <c r="E15" s="1473"/>
      <c r="F15" s="263"/>
      <c r="G15" s="268" t="s">
        <v>2745</v>
      </c>
      <c r="H15" s="263"/>
      <c r="I15" s="263"/>
      <c r="J15" s="263"/>
      <c r="K15" s="263"/>
      <c r="L15" s="263"/>
      <c r="M15" s="263"/>
    </row>
    <row r="16" spans="1:13" ht="15.75">
      <c r="A16" s="286" t="s">
        <v>2746</v>
      </c>
      <c r="B16" s="263"/>
      <c r="C16" s="263"/>
      <c r="D16" s="263"/>
      <c r="E16" s="263"/>
      <c r="F16" s="263"/>
      <c r="G16" s="263"/>
      <c r="H16" s="263"/>
      <c r="I16" s="263"/>
      <c r="J16" s="263"/>
      <c r="K16" s="263"/>
      <c r="L16" s="263"/>
      <c r="M16" s="263"/>
    </row>
    <row r="17" spans="1:13" ht="15.75">
      <c r="A17" s="287" t="s">
        <v>214</v>
      </c>
      <c r="B17" s="287">
        <v>10</v>
      </c>
      <c r="C17" s="287">
        <v>20</v>
      </c>
      <c r="D17" s="287">
        <v>50</v>
      </c>
      <c r="E17" s="287">
        <v>100</v>
      </c>
      <c r="F17" s="287">
        <v>200</v>
      </c>
      <c r="G17" s="287">
        <v>500</v>
      </c>
      <c r="H17" s="287">
        <v>1000</v>
      </c>
      <c r="I17" s="287">
        <v>2000</v>
      </c>
      <c r="J17" s="287">
        <v>5000</v>
      </c>
      <c r="K17" s="287">
        <v>8000</v>
      </c>
      <c r="L17" s="287">
        <v>10000</v>
      </c>
      <c r="M17" s="263"/>
    </row>
    <row r="18" spans="1:13" ht="15.75">
      <c r="A18" s="287" t="s">
        <v>2747</v>
      </c>
      <c r="B18" s="287">
        <v>2.46</v>
      </c>
      <c r="C18" s="287">
        <v>2.25</v>
      </c>
      <c r="D18" s="287">
        <v>1.89</v>
      </c>
      <c r="E18" s="287">
        <v>1.72</v>
      </c>
      <c r="F18" s="287">
        <v>1.47</v>
      </c>
      <c r="G18" s="287">
        <v>1.22</v>
      </c>
      <c r="H18" s="287"/>
      <c r="I18" s="287"/>
      <c r="J18" s="287"/>
      <c r="K18" s="287"/>
      <c r="L18" s="287"/>
      <c r="M18" s="263"/>
    </row>
    <row r="19" spans="1:13" ht="15.75">
      <c r="A19" s="271" t="s">
        <v>216</v>
      </c>
      <c r="B19" s="288" t="e">
        <f>IF(($B$15&lt;=B17),(B18),(0))</f>
        <v>#REF!</v>
      </c>
      <c r="C19" s="288" t="e">
        <f>IF(AND(($B$15&gt;B17),($B$15&lt;=C17)),(C18-((C18-B18)*(C17-$B$15)/(C17-B17))),0)</f>
        <v>#REF!</v>
      </c>
      <c r="D19" s="276" t="e">
        <f t="shared" ref="D19:L19" si="2">IF(AND(($B$15&gt;C17),($B$15&lt;=D17)),(D18-((D18-C18)*(D17-$B$15)/(D17-C17))),0)</f>
        <v>#REF!</v>
      </c>
      <c r="E19" s="288" t="e">
        <f t="shared" si="2"/>
        <v>#REF!</v>
      </c>
      <c r="F19" s="288" t="e">
        <f t="shared" si="2"/>
        <v>#REF!</v>
      </c>
      <c r="G19" s="288" t="e">
        <f t="shared" si="2"/>
        <v>#REF!</v>
      </c>
      <c r="H19" s="288" t="e">
        <f t="shared" si="2"/>
        <v>#REF!</v>
      </c>
      <c r="I19" s="288" t="e">
        <f t="shared" si="2"/>
        <v>#REF!</v>
      </c>
      <c r="J19" s="288" t="e">
        <f t="shared" si="2"/>
        <v>#REF!</v>
      </c>
      <c r="K19" s="288" t="e">
        <f t="shared" si="2"/>
        <v>#REF!</v>
      </c>
      <c r="L19" s="288" t="e">
        <f t="shared" si="2"/>
        <v>#REF!</v>
      </c>
      <c r="M19" s="279"/>
    </row>
    <row r="20" spans="1:13" ht="15.75">
      <c r="A20" s="289"/>
      <c r="B20" s="278"/>
      <c r="C20" s="278"/>
      <c r="D20" s="290"/>
      <c r="E20" s="278"/>
      <c r="F20" s="278"/>
      <c r="G20" s="278"/>
      <c r="H20" s="278"/>
      <c r="I20" s="278"/>
      <c r="J20" s="278"/>
      <c r="K20" s="278"/>
      <c r="L20" s="278"/>
      <c r="M20" s="279"/>
    </row>
    <row r="21" spans="1:13" ht="15.75">
      <c r="A21" s="284" t="s">
        <v>2744</v>
      </c>
      <c r="B21" s="285" t="e">
        <f>#REF!/1000000000</f>
        <v>#REF!</v>
      </c>
      <c r="C21" s="263"/>
      <c r="D21" s="1473" t="s">
        <v>2738</v>
      </c>
      <c r="E21" s="1473"/>
      <c r="F21" s="263"/>
      <c r="G21" s="268" t="s">
        <v>2745</v>
      </c>
      <c r="H21" s="263"/>
      <c r="I21" s="263"/>
      <c r="J21" s="263"/>
      <c r="K21" s="263"/>
      <c r="L21" s="263"/>
      <c r="M21" s="263"/>
    </row>
    <row r="22" spans="1:13" ht="15.75">
      <c r="A22" s="286" t="s">
        <v>3551</v>
      </c>
      <c r="B22" s="263"/>
      <c r="C22" s="263"/>
      <c r="D22" s="263"/>
      <c r="E22" s="263"/>
      <c r="F22" s="263"/>
      <c r="G22" s="263"/>
      <c r="H22" s="263"/>
      <c r="I22" s="263"/>
      <c r="J22" s="263"/>
      <c r="K22" s="263"/>
      <c r="L22" s="263"/>
      <c r="M22" s="263"/>
    </row>
    <row r="23" spans="1:13" ht="15.75">
      <c r="A23" s="625" t="s">
        <v>214</v>
      </c>
      <c r="B23" s="287">
        <v>5</v>
      </c>
      <c r="C23" s="287">
        <v>15</v>
      </c>
      <c r="D23" s="287">
        <v>25</v>
      </c>
      <c r="E23" s="287">
        <v>50</v>
      </c>
      <c r="F23" s="287">
        <v>100</v>
      </c>
      <c r="G23" s="287">
        <v>200</v>
      </c>
      <c r="H23" s="287">
        <v>500</v>
      </c>
      <c r="I23" s="624"/>
      <c r="J23" s="624"/>
      <c r="K23" s="624"/>
      <c r="L23" s="624"/>
      <c r="M23" s="263"/>
    </row>
    <row r="24" spans="1:13" ht="15.75">
      <c r="A24" s="625" t="s">
        <v>2747</v>
      </c>
      <c r="B24" s="627">
        <v>1.7</v>
      </c>
      <c r="C24" s="627">
        <v>1.4</v>
      </c>
      <c r="D24" s="627">
        <v>1.3</v>
      </c>
      <c r="E24" s="627">
        <v>1.2</v>
      </c>
      <c r="F24" s="627">
        <v>1.1000000000000001</v>
      </c>
      <c r="G24" s="627">
        <v>0.95</v>
      </c>
      <c r="H24" s="627">
        <v>0.85</v>
      </c>
      <c r="I24" s="624"/>
      <c r="J24" s="624"/>
      <c r="K24" s="624"/>
      <c r="L24" s="624"/>
      <c r="M24" s="263"/>
    </row>
    <row r="25" spans="1:13" ht="15.75">
      <c r="A25" s="626" t="s">
        <v>216</v>
      </c>
      <c r="B25" s="288" t="e">
        <f>IF(($B$15&lt;=B23),(B24),(0))</f>
        <v>#REF!</v>
      </c>
      <c r="C25" s="288" t="e">
        <f>IF(AND(($B$15&gt;B23),($B$15&lt;=C23)),(C24-((C24-B24)*(C23-$B$15)/(C23-B23))),0)</f>
        <v>#REF!</v>
      </c>
      <c r="D25" s="276" t="e">
        <f t="shared" ref="D25" si="3">IF(AND(($B$15&gt;C23),($B$15&lt;=D23)),(D24-((D24-C24)*(D23-$B$15)/(D23-C23))),0)</f>
        <v>#REF!</v>
      </c>
      <c r="E25" s="288" t="e">
        <f t="shared" ref="E25" si="4">IF(AND(($B$15&gt;D23),($B$15&lt;=E23)),(E24-((E24-D24)*(E23-$B$15)/(E23-D23))),0)</f>
        <v>#REF!</v>
      </c>
      <c r="F25" s="288" t="e">
        <f t="shared" ref="F25" si="5">IF(AND(($B$15&gt;E23),($B$15&lt;=F23)),(F24-((F24-E24)*(F23-$B$15)/(F23-E23))),0)</f>
        <v>#REF!</v>
      </c>
      <c r="G25" s="288" t="e">
        <f t="shared" ref="G25" si="6">IF(AND(($B$15&gt;F23),($B$15&lt;=G23)),(G24-((G24-F24)*(G23-$B$15)/(G23-F23))),0)</f>
        <v>#REF!</v>
      </c>
      <c r="H25" s="288" t="e">
        <f t="shared" ref="H25" si="7">IF(AND(($B$15&gt;G23),($B$15&lt;=H23)),(H24-((H24-G24)*(H23-$B$15)/(H23-G23))),0)</f>
        <v>#REF!</v>
      </c>
      <c r="I25" s="622"/>
      <c r="J25" s="622"/>
      <c r="K25" s="622"/>
      <c r="L25" s="622"/>
      <c r="M25" s="279"/>
    </row>
    <row r="26" spans="1:13" ht="15.75">
      <c r="A26" s="621"/>
      <c r="B26" s="622"/>
      <c r="C26" s="622"/>
      <c r="D26" s="623"/>
      <c r="E26" s="622"/>
      <c r="F26" s="622"/>
      <c r="G26" s="622"/>
      <c r="H26" s="622"/>
      <c r="I26" s="622"/>
      <c r="J26" s="622"/>
      <c r="K26" s="622"/>
      <c r="L26" s="622"/>
      <c r="M26" s="279"/>
    </row>
    <row r="27" spans="1:13" ht="15.75">
      <c r="A27" s="284" t="s">
        <v>2748</v>
      </c>
      <c r="B27" s="285" t="e">
        <f>#REF!/1000000000</f>
        <v>#REF!</v>
      </c>
      <c r="C27" s="263"/>
      <c r="D27" s="1473" t="s">
        <v>2738</v>
      </c>
      <c r="E27" s="1473"/>
      <c r="F27" s="263"/>
      <c r="G27" s="268" t="s">
        <v>2749</v>
      </c>
      <c r="H27" s="263"/>
      <c r="I27" s="263"/>
      <c r="J27" s="263"/>
      <c r="K27" s="263"/>
      <c r="L27" s="263"/>
      <c r="M27" s="279"/>
    </row>
    <row r="28" spans="1:13" ht="16.5" thickBot="1">
      <c r="A28" s="286" t="s">
        <v>2750</v>
      </c>
      <c r="B28" s="263"/>
      <c r="C28" s="263"/>
      <c r="D28" s="263"/>
      <c r="E28" s="263"/>
      <c r="F28" s="263"/>
      <c r="G28" s="263"/>
      <c r="H28" s="263"/>
      <c r="I28" s="263"/>
      <c r="J28" s="263"/>
      <c r="K28" s="263"/>
      <c r="L28" s="263"/>
      <c r="M28" s="279"/>
    </row>
    <row r="29" spans="1:13" ht="16.5" thickBot="1">
      <c r="A29" s="287" t="s">
        <v>214</v>
      </c>
      <c r="B29" s="287">
        <v>5</v>
      </c>
      <c r="C29" s="291">
        <v>15</v>
      </c>
      <c r="D29" s="292">
        <v>25</v>
      </c>
      <c r="E29" s="292">
        <v>50</v>
      </c>
      <c r="F29" s="292">
        <v>100</v>
      </c>
      <c r="G29" s="292">
        <v>200</v>
      </c>
      <c r="H29" s="292">
        <v>500</v>
      </c>
      <c r="I29" s="293">
        <v>1000</v>
      </c>
      <c r="J29" s="293">
        <v>3000</v>
      </c>
      <c r="K29" s="287"/>
      <c r="L29" s="287"/>
      <c r="M29" s="279"/>
    </row>
    <row r="30" spans="1:13" ht="16.5" thickBot="1">
      <c r="A30" s="287" t="s">
        <v>2747</v>
      </c>
      <c r="B30" s="282">
        <v>0.73</v>
      </c>
      <c r="C30" s="283">
        <v>0.65</v>
      </c>
      <c r="D30" s="283">
        <v>0.56000000000000005</v>
      </c>
      <c r="E30" s="283">
        <v>0.51</v>
      </c>
      <c r="F30" s="283">
        <v>0.48</v>
      </c>
      <c r="G30" s="283">
        <v>0.42</v>
      </c>
      <c r="H30" s="283">
        <v>0.37</v>
      </c>
      <c r="I30" s="283">
        <v>0.34</v>
      </c>
      <c r="J30" s="283">
        <v>0.3</v>
      </c>
      <c r="K30" s="287"/>
      <c r="L30" s="287"/>
      <c r="M30" s="279"/>
    </row>
    <row r="31" spans="1:13" ht="15.75">
      <c r="A31" s="271" t="s">
        <v>216</v>
      </c>
      <c r="B31" s="276" t="e">
        <f>IF(($B$27&lt;=B29),(B30),(0))</f>
        <v>#REF!</v>
      </c>
      <c r="C31" s="276" t="e">
        <f>IF(AND(($B$27&gt;B29),($B$27&lt;=C29)),(C30-((C30-B30)*(C29-$B$27)/(C29-B29))),0)</f>
        <v>#REF!</v>
      </c>
      <c r="D31" s="288" t="e">
        <f t="shared" ref="D31:J31" si="8">IF(AND(($B$27&gt;C29),($B$27&lt;=D29)),(D30-((D30-C30)*(D29-$B$27)/(D29-C29))),0)</f>
        <v>#REF!</v>
      </c>
      <c r="E31" s="288" t="e">
        <f t="shared" si="8"/>
        <v>#REF!</v>
      </c>
      <c r="F31" s="288" t="e">
        <f t="shared" si="8"/>
        <v>#REF!</v>
      </c>
      <c r="G31" s="288" t="e">
        <f t="shared" si="8"/>
        <v>#REF!</v>
      </c>
      <c r="H31" s="288" t="e">
        <f t="shared" si="8"/>
        <v>#REF!</v>
      </c>
      <c r="I31" s="288" t="e">
        <f t="shared" si="8"/>
        <v>#REF!</v>
      </c>
      <c r="J31" s="288" t="e">
        <f t="shared" si="8"/>
        <v>#REF!</v>
      </c>
      <c r="K31" s="288" t="e">
        <f>IF(AND(($B$33&gt;J29),($B$33&lt;=K29)),(K30-((K30-J30)*(K29-$B$33)/(K29-J29))),0)</f>
        <v>#REF!</v>
      </c>
      <c r="L31" s="288" t="e">
        <f>IF(AND(($B$33&gt;K29),($B$33&lt;=L29)),(L30-((L30-K30)*(L29-$B$33)/(L29-K29))),0)</f>
        <v>#REF!</v>
      </c>
      <c r="M31" s="279"/>
    </row>
    <row r="32" spans="1:13" ht="15.75">
      <c r="A32" s="277"/>
      <c r="B32" s="278"/>
      <c r="C32" s="278"/>
      <c r="D32" s="290"/>
      <c r="E32" s="278"/>
      <c r="F32" s="278"/>
      <c r="G32" s="278"/>
      <c r="H32" s="278"/>
      <c r="I32" s="278"/>
      <c r="J32" s="278"/>
      <c r="K32" s="278"/>
      <c r="L32" s="278"/>
      <c r="M32" s="279"/>
    </row>
    <row r="33" spans="1:13" ht="15.75">
      <c r="A33" s="284" t="s">
        <v>2751</v>
      </c>
      <c r="B33" s="285" t="e">
        <f>#REF!/1000000000</f>
        <v>#REF!</v>
      </c>
      <c r="C33" s="263"/>
      <c r="D33" s="1473" t="s">
        <v>2738</v>
      </c>
      <c r="E33" s="1473"/>
      <c r="F33" s="263"/>
      <c r="G33" s="268" t="s">
        <v>2752</v>
      </c>
      <c r="H33" s="263"/>
      <c r="I33" s="263"/>
      <c r="J33" s="263"/>
      <c r="K33" s="263"/>
      <c r="L33" s="263"/>
      <c r="M33" s="279"/>
    </row>
    <row r="34" spans="1:13" ht="15.75">
      <c r="A34" s="286" t="s">
        <v>2753</v>
      </c>
      <c r="B34" s="263"/>
      <c r="C34" s="263"/>
      <c r="D34" s="263"/>
      <c r="E34" s="263"/>
      <c r="F34" s="263"/>
      <c r="G34" s="263"/>
      <c r="H34" s="263"/>
      <c r="I34" s="263"/>
      <c r="J34" s="263"/>
      <c r="K34" s="263"/>
      <c r="L34" s="263"/>
      <c r="M34" s="279"/>
    </row>
    <row r="35" spans="1:13" ht="15.75">
      <c r="A35" s="287" t="s">
        <v>214</v>
      </c>
      <c r="B35" s="287">
        <v>10</v>
      </c>
      <c r="C35" s="287">
        <v>20</v>
      </c>
      <c r="D35" s="287">
        <v>50</v>
      </c>
      <c r="E35" s="287">
        <v>100</v>
      </c>
      <c r="F35" s="287">
        <v>200</v>
      </c>
      <c r="G35" s="287">
        <v>500</v>
      </c>
      <c r="H35" s="287">
        <v>1000</v>
      </c>
      <c r="I35" s="287">
        <v>2000</v>
      </c>
      <c r="J35" s="287">
        <v>5000</v>
      </c>
      <c r="K35" s="287">
        <v>8000</v>
      </c>
      <c r="L35" s="287">
        <v>10000</v>
      </c>
      <c r="M35" s="279"/>
    </row>
    <row r="36" spans="1:13" ht="15.75">
      <c r="A36" s="287" t="s">
        <v>2747</v>
      </c>
      <c r="B36" s="287">
        <v>2.92</v>
      </c>
      <c r="C36" s="287">
        <v>2.5499999999999998</v>
      </c>
      <c r="D36" s="287">
        <v>2.12</v>
      </c>
      <c r="E36" s="287">
        <v>1.86</v>
      </c>
      <c r="F36" s="287">
        <v>1.51</v>
      </c>
      <c r="G36" s="287">
        <v>1.3</v>
      </c>
      <c r="H36" s="287"/>
      <c r="I36" s="287"/>
      <c r="J36" s="287"/>
      <c r="K36" s="287"/>
      <c r="L36" s="287"/>
      <c r="M36" s="279"/>
    </row>
    <row r="37" spans="1:13" ht="15.75">
      <c r="A37" s="271" t="s">
        <v>216</v>
      </c>
      <c r="B37" s="276" t="e">
        <f>IF(($B$33&lt;=B35),(B36),(0))</f>
        <v>#REF!</v>
      </c>
      <c r="C37" s="288" t="e">
        <f>IF(AND(($B$33&gt;B35),($B$33&lt;=C35)),(C36-((C36-B36)*(C35-$B$33)/(C35-B35))),0)</f>
        <v>#REF!</v>
      </c>
      <c r="D37" s="288" t="e">
        <f t="shared" ref="D37:L37" si="9">IF(AND(($B$33&gt;C35),($B$33&lt;=D35)),(D36-((D36-C36)*(D35-$B$33)/(D35-C35))),0)</f>
        <v>#REF!</v>
      </c>
      <c r="E37" s="288" t="e">
        <f t="shared" si="9"/>
        <v>#REF!</v>
      </c>
      <c r="F37" s="288" t="e">
        <f t="shared" si="9"/>
        <v>#REF!</v>
      </c>
      <c r="G37" s="288" t="e">
        <f t="shared" si="9"/>
        <v>#REF!</v>
      </c>
      <c r="H37" s="288" t="e">
        <f t="shared" si="9"/>
        <v>#REF!</v>
      </c>
      <c r="I37" s="288" t="e">
        <f t="shared" si="9"/>
        <v>#REF!</v>
      </c>
      <c r="J37" s="288" t="e">
        <f t="shared" si="9"/>
        <v>#REF!</v>
      </c>
      <c r="K37" s="288" t="e">
        <f t="shared" si="9"/>
        <v>#REF!</v>
      </c>
      <c r="L37" s="288" t="e">
        <f t="shared" si="9"/>
        <v>#REF!</v>
      </c>
      <c r="M37" s="279"/>
    </row>
    <row r="38" spans="1:13" ht="15.75">
      <c r="A38" s="289"/>
      <c r="B38" s="290"/>
      <c r="C38" s="278"/>
      <c r="D38" s="278"/>
      <c r="E38" s="278"/>
      <c r="F38" s="278"/>
      <c r="G38" s="278"/>
      <c r="H38" s="278"/>
      <c r="I38" s="278"/>
      <c r="J38" s="278"/>
      <c r="K38" s="278"/>
      <c r="L38" s="278"/>
      <c r="M38" s="279"/>
    </row>
    <row r="39" spans="1:13" ht="15.75">
      <c r="A39" s="294" t="s">
        <v>2754</v>
      </c>
      <c r="B39" s="285" t="e">
        <f>#REF!/1000000000</f>
        <v>#REF!</v>
      </c>
      <c r="C39" s="278"/>
      <c r="D39" s="1473" t="s">
        <v>2738</v>
      </c>
      <c r="E39" s="1473"/>
      <c r="F39" s="263"/>
      <c r="G39" s="268" t="s">
        <v>2755</v>
      </c>
      <c r="H39" s="278"/>
      <c r="I39" s="278"/>
      <c r="J39" s="278"/>
      <c r="K39" s="278"/>
      <c r="L39" s="278"/>
      <c r="M39" s="279"/>
    </row>
    <row r="40" spans="1:13" ht="15.75">
      <c r="A40" s="286" t="s">
        <v>2756</v>
      </c>
      <c r="B40" s="263"/>
      <c r="C40" s="263"/>
      <c r="D40" s="263"/>
      <c r="E40" s="263"/>
      <c r="F40" s="263"/>
      <c r="G40" s="263"/>
      <c r="H40" s="263"/>
      <c r="I40" s="263"/>
      <c r="J40" s="263"/>
      <c r="K40" s="263"/>
      <c r="L40" s="263"/>
      <c r="M40" s="263"/>
    </row>
    <row r="41" spans="1:13" ht="16.5" thickBot="1">
      <c r="A41" s="287" t="s">
        <v>214</v>
      </c>
      <c r="B41" s="287">
        <v>10</v>
      </c>
      <c r="C41" s="287">
        <v>20</v>
      </c>
      <c r="D41" s="287">
        <v>50</v>
      </c>
      <c r="E41" s="287">
        <v>100</v>
      </c>
      <c r="F41" s="287">
        <v>200</v>
      </c>
      <c r="G41" s="287">
        <v>500</v>
      </c>
      <c r="H41" s="287">
        <v>1000</v>
      </c>
      <c r="I41" s="287">
        <v>2000</v>
      </c>
      <c r="J41" s="287">
        <v>5000</v>
      </c>
      <c r="K41" s="287">
        <v>8000</v>
      </c>
      <c r="L41" s="287"/>
      <c r="M41" s="263"/>
    </row>
    <row r="42" spans="1:13" ht="16.5" thickBot="1">
      <c r="A42" s="287" t="s">
        <v>215</v>
      </c>
      <c r="B42" s="282">
        <v>0.54900000000000004</v>
      </c>
      <c r="C42" s="283">
        <v>0.379</v>
      </c>
      <c r="D42" s="283">
        <v>0.21099999999999999</v>
      </c>
      <c r="E42" s="283">
        <v>0.14399999999999999</v>
      </c>
      <c r="F42" s="283">
        <v>9.6000000000000002E-2</v>
      </c>
      <c r="G42" s="283">
        <v>6.7000000000000004E-2</v>
      </c>
      <c r="H42" s="283">
        <v>5.1999999999999998E-2</v>
      </c>
      <c r="I42" s="283">
        <v>4.1000000000000002E-2</v>
      </c>
      <c r="J42" s="287"/>
      <c r="K42" s="287"/>
      <c r="L42" s="287"/>
      <c r="M42" s="263"/>
    </row>
    <row r="43" spans="1:13" ht="15.75">
      <c r="A43" s="295" t="s">
        <v>216</v>
      </c>
      <c r="B43" s="288" t="e">
        <f>IF(($B$39&lt;=B41),(B42),(0))</f>
        <v>#REF!</v>
      </c>
      <c r="C43" s="288" t="e">
        <f>IF(AND($B$39&gt;B41,$B$39&lt;=C41),B42-(B42-C42)/(C41-B41)*($B$39-B41),0)</f>
        <v>#REF!</v>
      </c>
      <c r="D43" s="276" t="e">
        <f t="shared" ref="D43:I43" si="10">IF(AND($B$39&gt;C41,$B$39&lt;=D41),C42-(C42-D42)/(D41-C41)*($B$39-C41),0)</f>
        <v>#REF!</v>
      </c>
      <c r="E43" s="288" t="e">
        <f t="shared" si="10"/>
        <v>#REF!</v>
      </c>
      <c r="F43" s="288" t="e">
        <f t="shared" si="10"/>
        <v>#REF!</v>
      </c>
      <c r="G43" s="288" t="e">
        <f t="shared" si="10"/>
        <v>#REF!</v>
      </c>
      <c r="H43" s="288" t="e">
        <f t="shared" si="10"/>
        <v>#REF!</v>
      </c>
      <c r="I43" s="288" t="e">
        <f t="shared" si="10"/>
        <v>#REF!</v>
      </c>
      <c r="J43" s="288">
        <f>IF(AND($B$116&gt;I41,$B$116&lt;=J41),I42-(I42-J42)/(J41-I41)*($B$116-I41),0)</f>
        <v>0</v>
      </c>
      <c r="K43" s="288">
        <f>IF(AND($B$116&gt;J41,$B$116&lt;=K41),J42-(J42-K42)/(K41-J41)*($B$116-J41),0)</f>
        <v>0</v>
      </c>
      <c r="L43" s="288"/>
      <c r="M43" s="263"/>
    </row>
    <row r="44" spans="1:13" ht="15.75">
      <c r="A44" s="277"/>
      <c r="B44" s="278"/>
      <c r="C44" s="278"/>
      <c r="D44" s="278"/>
      <c r="E44" s="278"/>
      <c r="F44" s="278"/>
      <c r="G44" s="278"/>
      <c r="H44" s="278"/>
      <c r="I44" s="278"/>
      <c r="J44" s="278"/>
      <c r="K44" s="278"/>
      <c r="L44" s="278"/>
      <c r="M44" s="279"/>
    </row>
    <row r="45" spans="1:13" ht="15.75">
      <c r="A45" s="294" t="s">
        <v>2748</v>
      </c>
      <c r="B45" s="285" t="e">
        <f>B27</f>
        <v>#REF!</v>
      </c>
      <c r="C45" s="278"/>
      <c r="D45" s="1473" t="s">
        <v>2738</v>
      </c>
      <c r="E45" s="1473"/>
      <c r="F45" s="263"/>
      <c r="G45" s="268" t="s">
        <v>2757</v>
      </c>
      <c r="H45" s="278"/>
      <c r="I45" s="278"/>
      <c r="J45" s="278"/>
      <c r="K45" s="278"/>
      <c r="L45" s="278"/>
      <c r="M45" s="279"/>
    </row>
    <row r="46" spans="1:13" ht="15.75">
      <c r="A46" s="286" t="s">
        <v>2758</v>
      </c>
      <c r="B46" s="263"/>
      <c r="C46" s="263"/>
      <c r="D46" s="263"/>
      <c r="E46" s="263"/>
      <c r="F46" s="263"/>
      <c r="G46" s="263"/>
      <c r="H46" s="263"/>
      <c r="I46" s="263"/>
      <c r="J46" s="263"/>
      <c r="K46" s="263"/>
      <c r="L46" s="263"/>
      <c r="M46" s="279"/>
    </row>
    <row r="47" spans="1:13" ht="16.5" thickBot="1">
      <c r="A47" s="287" t="s">
        <v>214</v>
      </c>
      <c r="B47" s="287">
        <v>10</v>
      </c>
      <c r="C47" s="287">
        <v>20</v>
      </c>
      <c r="D47" s="287">
        <v>50</v>
      </c>
      <c r="E47" s="287">
        <v>100</v>
      </c>
      <c r="F47" s="287">
        <v>200</v>
      </c>
      <c r="G47" s="287">
        <v>500</v>
      </c>
      <c r="H47" s="287">
        <v>1000</v>
      </c>
      <c r="I47" s="287">
        <v>2000</v>
      </c>
      <c r="J47" s="287">
        <v>5000</v>
      </c>
      <c r="K47" s="287">
        <v>8000</v>
      </c>
      <c r="L47" s="287"/>
      <c r="M47" s="279"/>
    </row>
    <row r="48" spans="1:13" ht="16.5" thickBot="1">
      <c r="A48" s="287" t="s">
        <v>215</v>
      </c>
      <c r="B48" s="282">
        <v>0.54900000000000004</v>
      </c>
      <c r="C48" s="283">
        <v>0.49399999999999999</v>
      </c>
      <c r="D48" s="283">
        <v>0.28000000000000003</v>
      </c>
      <c r="E48" s="283">
        <v>0.17699999999999999</v>
      </c>
      <c r="F48" s="283">
        <v>0.152</v>
      </c>
      <c r="G48" s="283">
        <v>0.123</v>
      </c>
      <c r="H48" s="283">
        <v>8.4000000000000005E-2</v>
      </c>
      <c r="I48" s="283">
        <v>6.6000000000000003E-2</v>
      </c>
      <c r="J48" s="287"/>
      <c r="K48" s="287"/>
      <c r="L48" s="287"/>
      <c r="M48" s="279"/>
    </row>
    <row r="49" spans="1:13" ht="15.75">
      <c r="A49" s="295" t="s">
        <v>216</v>
      </c>
      <c r="B49" s="276" t="e">
        <f>IF(($B$45&lt;=B47),(B48),(0))</f>
        <v>#REF!</v>
      </c>
      <c r="C49" s="288" t="e">
        <f>IF(AND($B$45&gt;B47,$B$45&lt;=C47),B48-(B48-C48)/(C47-B47)*($B$45-B47),0)</f>
        <v>#REF!</v>
      </c>
      <c r="D49" s="288" t="e">
        <f t="shared" ref="D49:K49" si="11">IF(AND($B$45&gt;C47,$B$45&lt;=D47),C48-(C48-D48)/(D47-C47)*($B$45-C47),0)</f>
        <v>#REF!</v>
      </c>
      <c r="E49" s="288" t="e">
        <f t="shared" si="11"/>
        <v>#REF!</v>
      </c>
      <c r="F49" s="288" t="e">
        <f t="shared" si="11"/>
        <v>#REF!</v>
      </c>
      <c r="G49" s="288" t="e">
        <f t="shared" si="11"/>
        <v>#REF!</v>
      </c>
      <c r="H49" s="288" t="e">
        <f t="shared" si="11"/>
        <v>#REF!</v>
      </c>
      <c r="I49" s="288" t="e">
        <f t="shared" si="11"/>
        <v>#REF!</v>
      </c>
      <c r="J49" s="288" t="e">
        <f t="shared" si="11"/>
        <v>#REF!</v>
      </c>
      <c r="K49" s="288" t="e">
        <f t="shared" si="11"/>
        <v>#REF!</v>
      </c>
      <c r="L49" s="288"/>
      <c r="M49" s="279"/>
    </row>
    <row r="50" spans="1:13" ht="15.75">
      <c r="A50" s="277"/>
      <c r="B50" s="278"/>
      <c r="C50" s="278"/>
      <c r="D50" s="278"/>
      <c r="E50" s="278"/>
      <c r="F50" s="278"/>
      <c r="G50" s="278"/>
      <c r="H50" s="278"/>
      <c r="I50" s="278"/>
      <c r="J50" s="278"/>
      <c r="K50" s="278"/>
      <c r="L50" s="278"/>
      <c r="M50" s="279"/>
    </row>
    <row r="51" spans="1:13" ht="15.75">
      <c r="A51" s="294" t="s">
        <v>2754</v>
      </c>
      <c r="B51" s="285" t="e">
        <f>#REF!/1000000000</f>
        <v>#REF!</v>
      </c>
      <c r="C51" s="278"/>
      <c r="D51" s="1473" t="s">
        <v>2738</v>
      </c>
      <c r="E51" s="1473"/>
      <c r="F51" s="263"/>
      <c r="G51" s="268" t="s">
        <v>2759</v>
      </c>
      <c r="H51" s="278"/>
      <c r="I51" s="278"/>
      <c r="J51" s="278"/>
      <c r="K51" s="278"/>
      <c r="L51" s="278"/>
      <c r="M51" s="279"/>
    </row>
    <row r="52" spans="1:13" ht="16.5" thickBot="1">
      <c r="A52" s="286" t="s">
        <v>2760</v>
      </c>
      <c r="B52" s="263"/>
      <c r="C52" s="263"/>
      <c r="D52" s="263"/>
      <c r="E52" s="263"/>
      <c r="F52" s="263"/>
      <c r="G52" s="263"/>
      <c r="H52" s="263"/>
      <c r="I52" s="263"/>
      <c r="J52" s="263"/>
      <c r="K52" s="263"/>
      <c r="L52" s="263"/>
      <c r="M52" s="279"/>
    </row>
    <row r="53" spans="1:13" ht="16.5" thickBot="1">
      <c r="A53" s="287" t="s">
        <v>214</v>
      </c>
      <c r="B53" s="287">
        <v>10</v>
      </c>
      <c r="C53" s="291">
        <v>20</v>
      </c>
      <c r="D53" s="292">
        <v>50</v>
      </c>
      <c r="E53" s="292">
        <v>100</v>
      </c>
      <c r="F53" s="292">
        <v>200</v>
      </c>
      <c r="G53" s="292">
        <v>500</v>
      </c>
      <c r="H53" s="293">
        <v>1000</v>
      </c>
      <c r="I53" s="293">
        <v>2000</v>
      </c>
      <c r="J53" s="293">
        <v>5000</v>
      </c>
      <c r="K53" s="293">
        <v>8000</v>
      </c>
      <c r="L53" s="293">
        <v>10000</v>
      </c>
      <c r="M53" s="279"/>
    </row>
    <row r="54" spans="1:13" ht="16.5" thickBot="1">
      <c r="A54" s="287" t="s">
        <v>215</v>
      </c>
      <c r="B54" s="282">
        <v>3.508</v>
      </c>
      <c r="C54" s="283">
        <v>3.137</v>
      </c>
      <c r="D54" s="283">
        <v>2.5590000000000002</v>
      </c>
      <c r="E54" s="283">
        <v>2.0739999999999998</v>
      </c>
      <c r="F54" s="283">
        <v>1.6040000000000001</v>
      </c>
      <c r="G54" s="283">
        <v>1.3009999999999999</v>
      </c>
      <c r="H54" s="283">
        <v>0.82299999999999995</v>
      </c>
      <c r="I54" s="283">
        <v>0.71599999999999997</v>
      </c>
      <c r="J54" s="283">
        <v>0.64</v>
      </c>
      <c r="K54" s="283">
        <v>0.55000000000000004</v>
      </c>
      <c r="L54" s="283">
        <v>0.49299999999999999</v>
      </c>
      <c r="M54" s="279"/>
    </row>
    <row r="55" spans="1:13" ht="15.75">
      <c r="A55" s="295" t="s">
        <v>216</v>
      </c>
      <c r="B55" s="276" t="e">
        <f>IF(($B$51&lt;=B53),(B54),(0))</f>
        <v>#REF!</v>
      </c>
      <c r="C55" s="288" t="e">
        <f>IF(AND($B$51&gt;B53,$B$51&lt;=C53),B54-(B54-C54)/(C53-B53)*($B$51-B53),0)</f>
        <v>#REF!</v>
      </c>
      <c r="D55" s="276" t="e">
        <f t="shared" ref="D55:I55" si="12">IF(AND($B$51&gt;C53,$B$51&lt;=D53),C54-(C54-D54)/(D53-C53)*($B$51-C53),0)</f>
        <v>#REF!</v>
      </c>
      <c r="E55" s="288" t="e">
        <f t="shared" si="12"/>
        <v>#REF!</v>
      </c>
      <c r="F55" s="288" t="e">
        <f t="shared" si="12"/>
        <v>#REF!</v>
      </c>
      <c r="G55" s="288" t="e">
        <f t="shared" si="12"/>
        <v>#REF!</v>
      </c>
      <c r="H55" s="288" t="e">
        <f t="shared" si="12"/>
        <v>#REF!</v>
      </c>
      <c r="I55" s="288" t="e">
        <f t="shared" si="12"/>
        <v>#REF!</v>
      </c>
      <c r="J55" s="288" t="e">
        <f>IF(AND($B$45&gt;I53,$B$45&lt;=J53),I54-(I54-J54)/(J53-I53)*($B$45-I53),0)</f>
        <v>#REF!</v>
      </c>
      <c r="K55" s="288" t="e">
        <f>IF(AND($B$45&gt;J53,$B$45&lt;=K53),J54-(J54-K54)/(K53-J53)*($B$45-J53),0)</f>
        <v>#REF!</v>
      </c>
      <c r="L55" s="288"/>
      <c r="M55" s="279"/>
    </row>
    <row r="56" spans="1:13" ht="15.75">
      <c r="A56" s="277"/>
      <c r="B56" s="278"/>
      <c r="C56" s="278"/>
      <c r="D56" s="278"/>
      <c r="E56" s="278"/>
      <c r="F56" s="278"/>
      <c r="G56" s="278"/>
      <c r="H56" s="278"/>
      <c r="I56" s="278"/>
      <c r="J56" s="278"/>
      <c r="K56" s="278"/>
      <c r="L56" s="278"/>
      <c r="M56" s="279"/>
    </row>
    <row r="57" spans="1:13" ht="15.75">
      <c r="A57" s="294" t="s">
        <v>2761</v>
      </c>
      <c r="B57" s="285" t="e">
        <f>B27</f>
        <v>#REF!</v>
      </c>
      <c r="C57" s="278"/>
      <c r="D57" s="1473" t="s">
        <v>2738</v>
      </c>
      <c r="E57" s="1473"/>
      <c r="F57" s="263"/>
      <c r="G57" s="268" t="s">
        <v>2762</v>
      </c>
      <c r="H57" s="278"/>
      <c r="I57" s="278"/>
      <c r="J57" s="278"/>
      <c r="K57" s="278"/>
      <c r="L57" s="278"/>
      <c r="M57" s="279"/>
    </row>
    <row r="58" spans="1:13" ht="16.5" thickBot="1">
      <c r="A58" s="286" t="s">
        <v>2763</v>
      </c>
      <c r="B58" s="263"/>
      <c r="C58" s="263"/>
      <c r="D58" s="263"/>
      <c r="E58" s="263"/>
      <c r="F58" s="263"/>
      <c r="G58" s="263"/>
      <c r="H58" s="263"/>
      <c r="I58" s="263"/>
      <c r="J58" s="263"/>
      <c r="K58" s="263"/>
      <c r="L58" s="263"/>
      <c r="M58" s="279"/>
    </row>
    <row r="59" spans="1:13" ht="16.5" thickBot="1">
      <c r="A59" s="287" t="s">
        <v>214</v>
      </c>
      <c r="B59" s="287">
        <v>10</v>
      </c>
      <c r="C59" s="291">
        <v>20</v>
      </c>
      <c r="D59" s="292">
        <v>50</v>
      </c>
      <c r="E59" s="292">
        <v>100</v>
      </c>
      <c r="F59" s="292">
        <v>200</v>
      </c>
      <c r="G59" s="292">
        <v>500</v>
      </c>
      <c r="H59" s="293">
        <v>1000</v>
      </c>
      <c r="I59" s="293">
        <v>2000</v>
      </c>
      <c r="J59" s="293">
        <v>5000</v>
      </c>
      <c r="K59" s="293">
        <v>8000</v>
      </c>
      <c r="L59" s="293">
        <v>10000</v>
      </c>
      <c r="M59" s="279"/>
    </row>
    <row r="60" spans="1:13" ht="16.5" thickBot="1">
      <c r="A60" s="287" t="s">
        <v>215</v>
      </c>
      <c r="B60" s="282">
        <v>1.147</v>
      </c>
      <c r="C60" s="283">
        <v>1.0049999999999999</v>
      </c>
      <c r="D60" s="283">
        <v>0.95799999999999996</v>
      </c>
      <c r="E60" s="283">
        <v>0.81100000000000005</v>
      </c>
      <c r="F60" s="283">
        <v>0.49</v>
      </c>
      <c r="G60" s="283">
        <v>0.42199999999999999</v>
      </c>
      <c r="H60" s="283">
        <v>0.35599999999999998</v>
      </c>
      <c r="I60" s="283">
        <v>0.309</v>
      </c>
      <c r="J60" s="283">
        <v>0.27</v>
      </c>
      <c r="K60" s="283">
        <v>0.23</v>
      </c>
      <c r="L60" s="283">
        <v>0.21</v>
      </c>
      <c r="M60" s="279"/>
    </row>
    <row r="61" spans="1:13" ht="15.75">
      <c r="A61" s="295" t="s">
        <v>216</v>
      </c>
      <c r="B61" s="276" t="e">
        <f>IF(($B$57&lt;=B59),(B60),(0))</f>
        <v>#REF!</v>
      </c>
      <c r="C61" s="288" t="e">
        <f>IF(AND($B$57&gt;B59,$B$57&lt;=C59),B60-(B60-C60)/(C59-B59)*($B$57-B59),0)</f>
        <v>#REF!</v>
      </c>
      <c r="D61" s="288" t="e">
        <f t="shared" ref="D61:L61" si="13">IF(AND($B$57&gt;C59,$B$57&lt;=D59),C60-(C60-D60)/(D59-C59)*($B$57-C59),0)</f>
        <v>#REF!</v>
      </c>
      <c r="E61" s="288" t="e">
        <f t="shared" si="13"/>
        <v>#REF!</v>
      </c>
      <c r="F61" s="288" t="e">
        <f t="shared" si="13"/>
        <v>#REF!</v>
      </c>
      <c r="G61" s="288" t="e">
        <f t="shared" si="13"/>
        <v>#REF!</v>
      </c>
      <c r="H61" s="288" t="e">
        <f t="shared" si="13"/>
        <v>#REF!</v>
      </c>
      <c r="I61" s="288" t="e">
        <f t="shared" si="13"/>
        <v>#REF!</v>
      </c>
      <c r="J61" s="288" t="e">
        <f t="shared" si="13"/>
        <v>#REF!</v>
      </c>
      <c r="K61" s="288" t="e">
        <f t="shared" si="13"/>
        <v>#REF!</v>
      </c>
      <c r="L61" s="288" t="e">
        <f t="shared" si="13"/>
        <v>#REF!</v>
      </c>
      <c r="M61" s="279"/>
    </row>
    <row r="62" spans="1:13" ht="15.75">
      <c r="A62" s="277"/>
      <c r="B62" s="278"/>
      <c r="C62" s="278"/>
      <c r="D62" s="278"/>
      <c r="E62" s="278"/>
      <c r="F62" s="278"/>
      <c r="G62" s="278"/>
      <c r="H62" s="278"/>
      <c r="I62" s="278"/>
      <c r="J62" s="278"/>
      <c r="K62" s="278"/>
      <c r="L62" s="278"/>
      <c r="M62" s="279"/>
    </row>
    <row r="63" spans="1:13" ht="15.75">
      <c r="A63" s="294" t="s">
        <v>2764</v>
      </c>
      <c r="B63" s="285" t="e">
        <f>(#REF!+#REF!+#REF!+#REF!)/1000000000</f>
        <v>#REF!</v>
      </c>
      <c r="C63" s="278"/>
      <c r="D63" s="1473" t="s">
        <v>2765</v>
      </c>
      <c r="E63" s="1473"/>
      <c r="F63" s="263"/>
      <c r="G63" s="268" t="s">
        <v>2766</v>
      </c>
      <c r="H63" s="278"/>
      <c r="I63" s="278"/>
      <c r="J63" s="278"/>
      <c r="K63" s="278"/>
      <c r="L63" s="278"/>
      <c r="M63" s="279"/>
    </row>
    <row r="64" spans="1:13" ht="16.5" thickBot="1">
      <c r="A64" s="286" t="s">
        <v>2767</v>
      </c>
      <c r="B64" s="263"/>
      <c r="C64" s="263"/>
      <c r="D64" s="263"/>
      <c r="E64" s="263"/>
      <c r="F64" s="263"/>
      <c r="G64" s="263"/>
      <c r="H64" s="263"/>
      <c r="I64" s="263"/>
      <c r="J64" s="263"/>
      <c r="K64" s="263"/>
      <c r="L64" s="263"/>
      <c r="M64" s="279"/>
    </row>
    <row r="65" spans="1:13" ht="16.5" thickBot="1">
      <c r="A65" s="287" t="s">
        <v>214</v>
      </c>
      <c r="B65" s="287">
        <v>15</v>
      </c>
      <c r="C65" s="296">
        <v>25</v>
      </c>
      <c r="D65" s="297">
        <v>50</v>
      </c>
      <c r="E65" s="297">
        <v>100</v>
      </c>
      <c r="F65" s="297">
        <v>200</v>
      </c>
      <c r="G65" s="297">
        <v>500</v>
      </c>
      <c r="H65" s="298">
        <v>1000</v>
      </c>
      <c r="I65" s="298">
        <v>2000</v>
      </c>
      <c r="J65" s="298">
        <v>5000</v>
      </c>
      <c r="K65" s="297" t="s">
        <v>2768</v>
      </c>
      <c r="L65" s="293"/>
      <c r="M65" s="279"/>
    </row>
    <row r="66" spans="1:13" ht="16.5" thickBot="1">
      <c r="A66" s="287" t="s">
        <v>215</v>
      </c>
      <c r="B66" s="296">
        <v>1.9E-2</v>
      </c>
      <c r="C66" s="297">
        <v>1.7000000000000001E-2</v>
      </c>
      <c r="D66" s="297">
        <v>1.4999999999999999E-2</v>
      </c>
      <c r="E66" s="297">
        <v>1.2500000000000001E-2</v>
      </c>
      <c r="F66" s="297">
        <v>0.01</v>
      </c>
      <c r="G66" s="297">
        <v>7.4999999999999997E-3</v>
      </c>
      <c r="H66" s="297">
        <v>4.7000000000000002E-3</v>
      </c>
      <c r="I66" s="297">
        <v>2.5000000000000001E-3</v>
      </c>
      <c r="J66" s="297">
        <v>2E-3</v>
      </c>
      <c r="K66" s="297">
        <v>1E-3</v>
      </c>
      <c r="L66" s="283"/>
      <c r="M66" s="279"/>
    </row>
    <row r="67" spans="1:13" ht="15.75">
      <c r="A67" s="295" t="s">
        <v>216</v>
      </c>
      <c r="B67" s="276" t="e">
        <f>IF(($B$63&lt;=B65),(B66),(0))</f>
        <v>#REF!</v>
      </c>
      <c r="C67" s="299" t="e">
        <f t="shared" ref="C67:K67" si="14">IF(AND($B$63&gt;B65,$B$63&lt;=C65),B66-(B66-C66)/(C65-B65)*($B$63-B65),0)</f>
        <v>#REF!</v>
      </c>
      <c r="D67" s="300" t="e">
        <f t="shared" si="14"/>
        <v>#REF!</v>
      </c>
      <c r="E67" s="299" t="e">
        <f t="shared" si="14"/>
        <v>#REF!</v>
      </c>
      <c r="F67" s="299" t="e">
        <f t="shared" si="14"/>
        <v>#REF!</v>
      </c>
      <c r="G67" s="299" t="e">
        <f t="shared" si="14"/>
        <v>#REF!</v>
      </c>
      <c r="H67" s="299" t="e">
        <f t="shared" si="14"/>
        <v>#REF!</v>
      </c>
      <c r="I67" s="299" t="e">
        <f t="shared" si="14"/>
        <v>#REF!</v>
      </c>
      <c r="J67" s="299" t="e">
        <f t="shared" si="14"/>
        <v>#REF!</v>
      </c>
      <c r="K67" s="299" t="e">
        <f t="shared" si="14"/>
        <v>#REF!</v>
      </c>
      <c r="L67" s="288" t="e">
        <f>IF(AND($B$57&gt;K65,$B$57&lt;=L65),K66-(K66-L66)/(L65-K65)*($B$57-K65),0)</f>
        <v>#REF!</v>
      </c>
      <c r="M67" s="279"/>
    </row>
    <row r="68" spans="1:13" ht="15.75">
      <c r="A68" s="277"/>
      <c r="B68" s="278"/>
      <c r="C68" s="278"/>
      <c r="D68" s="278"/>
      <c r="E68" s="278"/>
      <c r="F68" s="278"/>
      <c r="G68" s="278"/>
      <c r="H68" s="278"/>
      <c r="I68" s="278"/>
      <c r="J68" s="278"/>
      <c r="K68" s="278"/>
      <c r="L68" s="278"/>
      <c r="M68" s="279"/>
    </row>
    <row r="69" spans="1:13" ht="15.75">
      <c r="A69" s="294" t="s">
        <v>2769</v>
      </c>
      <c r="B69" s="285" t="e">
        <f>#REF!/1000000000</f>
        <v>#REF!</v>
      </c>
      <c r="C69" s="278"/>
      <c r="D69" s="1473" t="s">
        <v>2770</v>
      </c>
      <c r="E69" s="1473"/>
      <c r="F69" s="263"/>
      <c r="G69" s="268" t="s">
        <v>2771</v>
      </c>
      <c r="H69" s="278"/>
      <c r="I69" s="278"/>
      <c r="J69" s="278"/>
      <c r="K69" s="278"/>
      <c r="L69" s="278"/>
      <c r="M69" s="279"/>
    </row>
    <row r="70" spans="1:13" ht="16.5" thickBot="1">
      <c r="A70" s="286" t="s">
        <v>2772</v>
      </c>
      <c r="B70" s="263"/>
      <c r="C70" s="263"/>
      <c r="D70" s="263"/>
      <c r="E70" s="263"/>
      <c r="F70" s="263"/>
      <c r="G70" s="263"/>
      <c r="H70" s="263"/>
      <c r="I70" s="263"/>
      <c r="J70" s="263"/>
      <c r="K70" s="263"/>
      <c r="L70" s="263"/>
      <c r="M70" s="279"/>
    </row>
    <row r="71" spans="1:13" ht="16.5" thickBot="1">
      <c r="A71" s="287" t="s">
        <v>214</v>
      </c>
      <c r="B71" s="287">
        <v>15</v>
      </c>
      <c r="C71" s="301">
        <v>50</v>
      </c>
      <c r="D71" s="302">
        <v>100</v>
      </c>
      <c r="E71" s="302">
        <v>200</v>
      </c>
      <c r="F71" s="302">
        <v>500</v>
      </c>
      <c r="G71" s="303">
        <v>1000</v>
      </c>
      <c r="H71" s="303">
        <v>2000</v>
      </c>
      <c r="I71" s="303">
        <v>5000</v>
      </c>
      <c r="J71" s="303">
        <v>8000</v>
      </c>
      <c r="K71" s="297"/>
      <c r="L71" s="293"/>
      <c r="M71" s="279"/>
    </row>
    <row r="72" spans="1:13" ht="16.5" thickBot="1">
      <c r="A72" s="287" t="s">
        <v>215</v>
      </c>
      <c r="B72" s="296">
        <v>0.19</v>
      </c>
      <c r="C72" s="297">
        <v>0.126</v>
      </c>
      <c r="D72" s="297">
        <v>9.7000000000000003E-2</v>
      </c>
      <c r="E72" s="297">
        <v>7.4999999999999997E-2</v>
      </c>
      <c r="F72" s="297">
        <v>5.8000000000000003E-2</v>
      </c>
      <c r="G72" s="297">
        <v>4.3999999999999997E-2</v>
      </c>
      <c r="H72" s="297">
        <v>3.5000000000000003E-2</v>
      </c>
      <c r="I72" s="297">
        <v>2.5999999999999999E-2</v>
      </c>
      <c r="J72" s="297">
        <v>2.1999999999999999E-2</v>
      </c>
      <c r="K72" s="297"/>
      <c r="L72" s="283"/>
      <c r="M72" s="279"/>
    </row>
    <row r="73" spans="1:13" ht="15.75">
      <c r="A73" s="295" t="s">
        <v>216</v>
      </c>
      <c r="B73" s="276" t="e">
        <f>IF(($B$69&lt;=B71),(B72),(0))</f>
        <v>#REF!</v>
      </c>
      <c r="C73" s="300" t="e">
        <f>IF(AND($B$69&gt;B71,$B$69&lt;=C71),B72-(B72-C72)/(C71-B71)*($B$69-B71),0)</f>
        <v>#REF!</v>
      </c>
      <c r="D73" s="299" t="e">
        <f t="shared" ref="D73:K73" si="15">IF(AND($B$69&gt;C71,$B$69&lt;=D71),C72-(C72-D72)/(D71-C71)*($B$69-C71),0)</f>
        <v>#REF!</v>
      </c>
      <c r="E73" s="299" t="e">
        <f t="shared" si="15"/>
        <v>#REF!</v>
      </c>
      <c r="F73" s="299" t="e">
        <f t="shared" si="15"/>
        <v>#REF!</v>
      </c>
      <c r="G73" s="299" t="e">
        <f t="shared" si="15"/>
        <v>#REF!</v>
      </c>
      <c r="H73" s="299" t="e">
        <f t="shared" si="15"/>
        <v>#REF!</v>
      </c>
      <c r="I73" s="299" t="e">
        <f t="shared" si="15"/>
        <v>#REF!</v>
      </c>
      <c r="J73" s="299" t="e">
        <f t="shared" si="15"/>
        <v>#REF!</v>
      </c>
      <c r="K73" s="299" t="e">
        <f t="shared" si="15"/>
        <v>#REF!</v>
      </c>
      <c r="L73" s="288" t="e">
        <f>IF(AND($B$57&gt;K71,$B$57&lt;=L71),K72-(K72-L72)/(L71-K71)*($B$57-K71),0)</f>
        <v>#REF!</v>
      </c>
      <c r="M73" s="279"/>
    </row>
    <row r="74" spans="1:13" ht="15.75">
      <c r="A74" s="277"/>
      <c r="B74" s="278"/>
      <c r="C74" s="278"/>
      <c r="D74" s="278"/>
      <c r="E74" s="278"/>
      <c r="F74" s="278"/>
      <c r="G74" s="278"/>
      <c r="H74" s="278"/>
      <c r="I74" s="278"/>
      <c r="J74" s="278"/>
      <c r="K74" s="278"/>
      <c r="L74" s="278"/>
      <c r="M74" s="279"/>
    </row>
    <row r="75" spans="1:13" ht="15.75">
      <c r="A75" s="294" t="s">
        <v>2769</v>
      </c>
      <c r="B75" s="285" t="e">
        <f>B69</f>
        <v>#REF!</v>
      </c>
      <c r="C75" s="278"/>
      <c r="D75" s="1473" t="s">
        <v>2770</v>
      </c>
      <c r="E75" s="1473"/>
      <c r="F75" s="263"/>
      <c r="G75" s="268" t="s">
        <v>2773</v>
      </c>
      <c r="H75" s="278"/>
      <c r="I75" s="278"/>
      <c r="J75" s="278"/>
      <c r="K75" s="278"/>
      <c r="L75" s="278"/>
      <c r="M75" s="279"/>
    </row>
    <row r="76" spans="1:13" ht="16.5" thickBot="1">
      <c r="A76" s="286" t="s">
        <v>2774</v>
      </c>
      <c r="B76" s="263"/>
      <c r="C76" s="263"/>
      <c r="D76" s="263"/>
      <c r="E76" s="263"/>
      <c r="F76" s="263"/>
      <c r="G76" s="263"/>
      <c r="H76" s="263"/>
      <c r="I76" s="263"/>
      <c r="J76" s="263"/>
      <c r="K76" s="263"/>
      <c r="L76" s="263"/>
      <c r="M76" s="279"/>
    </row>
    <row r="77" spans="1:13" ht="16.5" thickBot="1">
      <c r="A77" s="287" t="s">
        <v>214</v>
      </c>
      <c r="B77" s="287">
        <v>15</v>
      </c>
      <c r="C77" s="301">
        <v>50</v>
      </c>
      <c r="D77" s="302">
        <v>100</v>
      </c>
      <c r="E77" s="302">
        <v>200</v>
      </c>
      <c r="F77" s="302">
        <v>500</v>
      </c>
      <c r="G77" s="303">
        <v>1000</v>
      </c>
      <c r="H77" s="303">
        <v>2000</v>
      </c>
      <c r="I77" s="303">
        <v>5000</v>
      </c>
      <c r="J77" s="303">
        <v>8000</v>
      </c>
      <c r="K77" s="297"/>
      <c r="L77" s="293"/>
      <c r="M77" s="279"/>
    </row>
    <row r="78" spans="1:13" ht="16.5" thickBot="1">
      <c r="A78" s="287" t="s">
        <v>215</v>
      </c>
      <c r="B78" s="296">
        <v>0.185</v>
      </c>
      <c r="C78" s="297">
        <v>0.121</v>
      </c>
      <c r="D78" s="297">
        <v>9.4E-2</v>
      </c>
      <c r="E78" s="297">
        <v>7.1999999999999995E-2</v>
      </c>
      <c r="F78" s="297">
        <v>5.5E-2</v>
      </c>
      <c r="G78" s="297">
        <v>4.1000000000000002E-2</v>
      </c>
      <c r="H78" s="297">
        <v>3.3000000000000002E-2</v>
      </c>
      <c r="I78" s="297">
        <v>2.3E-2</v>
      </c>
      <c r="J78" s="297">
        <v>0.02</v>
      </c>
      <c r="K78" s="297"/>
      <c r="L78" s="283"/>
      <c r="M78" s="279"/>
    </row>
    <row r="79" spans="1:13" ht="15.75">
      <c r="A79" s="295" t="s">
        <v>216</v>
      </c>
      <c r="B79" s="276" t="e">
        <f>IF(($B$75&lt;=B77),(B78),(0))</f>
        <v>#REF!</v>
      </c>
      <c r="C79" s="300" t="e">
        <f>IF(AND($B$75&gt;B77,$B$75&lt;=C77),B78-(B78-C78)/(C77-B77)*($B$75-B77),0)</f>
        <v>#REF!</v>
      </c>
      <c r="D79" s="300" t="e">
        <f t="shared" ref="D79:K79" si="16">IF(AND($B$75&gt;C77,$B$75&lt;=D77),C78-(C78-D78)/(D77-C77)*($B$75-C77),0)</f>
        <v>#REF!</v>
      </c>
      <c r="E79" s="300" t="e">
        <f t="shared" si="16"/>
        <v>#REF!</v>
      </c>
      <c r="F79" s="300" t="e">
        <f t="shared" si="16"/>
        <v>#REF!</v>
      </c>
      <c r="G79" s="300" t="e">
        <f t="shared" si="16"/>
        <v>#REF!</v>
      </c>
      <c r="H79" s="300" t="e">
        <f t="shared" si="16"/>
        <v>#REF!</v>
      </c>
      <c r="I79" s="300" t="e">
        <f t="shared" si="16"/>
        <v>#REF!</v>
      </c>
      <c r="J79" s="300" t="e">
        <f t="shared" si="16"/>
        <v>#REF!</v>
      </c>
      <c r="K79" s="300" t="e">
        <f t="shared" si="16"/>
        <v>#REF!</v>
      </c>
      <c r="L79" s="288" t="e">
        <f>IF(AND($B$57&gt;K77,$B$57&lt;=L77),K78-(K78-L78)/(L77-K77)*($B$57-K77),0)</f>
        <v>#REF!</v>
      </c>
      <c r="M79" s="279"/>
    </row>
    <row r="80" spans="1:13" ht="15.75">
      <c r="A80" s="277"/>
      <c r="B80" s="278"/>
      <c r="C80" s="278"/>
      <c r="D80" s="278"/>
      <c r="E80" s="278"/>
      <c r="F80" s="278"/>
      <c r="G80" s="278"/>
      <c r="H80" s="278"/>
      <c r="I80" s="278"/>
      <c r="J80" s="278"/>
      <c r="K80" s="278"/>
      <c r="L80" s="278"/>
      <c r="M80" s="279"/>
    </row>
    <row r="81" spans="1:13" ht="31.5">
      <c r="A81" s="304" t="s">
        <v>2775</v>
      </c>
      <c r="B81" s="285" t="e">
        <f>(#REF!+#REF!+#REF!+#REF!+#REF!+#REF!+#REF!+#REF!)/1000000000</f>
        <v>#REF!</v>
      </c>
      <c r="C81" s="278"/>
      <c r="D81" s="1473" t="s">
        <v>2770</v>
      </c>
      <c r="E81" s="1473"/>
      <c r="F81" s="263"/>
      <c r="G81" s="268" t="s">
        <v>2773</v>
      </c>
      <c r="H81" s="278"/>
      <c r="I81" s="278"/>
      <c r="J81" s="278"/>
      <c r="K81" s="278"/>
      <c r="L81" s="278"/>
      <c r="M81" s="279"/>
    </row>
    <row r="82" spans="1:13" ht="16.5" thickBot="1">
      <c r="A82" s="286" t="s">
        <v>2776</v>
      </c>
      <c r="B82" s="263"/>
      <c r="C82" s="263"/>
      <c r="D82" s="263"/>
      <c r="E82" s="263"/>
      <c r="F82" s="263"/>
      <c r="G82" s="263"/>
      <c r="H82" s="263"/>
      <c r="I82" s="263"/>
      <c r="J82" s="263"/>
      <c r="K82" s="263"/>
      <c r="L82" s="263"/>
      <c r="M82" s="279"/>
    </row>
    <row r="83" spans="1:13" ht="16.5" thickBot="1">
      <c r="A83" s="287" t="s">
        <v>214</v>
      </c>
      <c r="B83" s="287">
        <v>5</v>
      </c>
      <c r="C83" s="305">
        <v>10</v>
      </c>
      <c r="D83" s="305">
        <v>50</v>
      </c>
      <c r="E83" s="305">
        <v>100</v>
      </c>
      <c r="F83" s="305">
        <v>500</v>
      </c>
      <c r="G83" s="306">
        <v>1000</v>
      </c>
      <c r="H83" s="305" t="s">
        <v>2777</v>
      </c>
      <c r="I83" s="303"/>
      <c r="J83" s="303"/>
      <c r="K83" s="297"/>
      <c r="L83" s="293"/>
      <c r="M83" s="279"/>
    </row>
    <row r="84" spans="1:13" ht="16.5" thickBot="1">
      <c r="A84" s="287" t="s">
        <v>215</v>
      </c>
      <c r="B84" s="307">
        <v>0.56999999999999995</v>
      </c>
      <c r="C84" s="307">
        <v>0.39</v>
      </c>
      <c r="D84" s="307">
        <v>0.28499999999999998</v>
      </c>
      <c r="E84" s="307">
        <v>0.22500000000000001</v>
      </c>
      <c r="F84" s="307">
        <v>0.13500000000000001</v>
      </c>
      <c r="G84" s="307">
        <v>0.09</v>
      </c>
      <c r="H84" s="307">
        <v>4.8000000000000001E-2</v>
      </c>
      <c r="I84" s="297"/>
      <c r="J84" s="297"/>
      <c r="K84" s="297"/>
      <c r="L84" s="283"/>
      <c r="M84" s="279"/>
    </row>
    <row r="85" spans="1:13" ht="15.75">
      <c r="A85" s="295" t="s">
        <v>216</v>
      </c>
      <c r="B85" s="276" t="e">
        <f>IF(($B$81&lt;=B83),(B84),(0))</f>
        <v>#REF!</v>
      </c>
      <c r="C85" s="300" t="e">
        <f>IF(AND($B$81&gt;B83,$B$81&lt;=C83),B84-(B84-C84)/(C83-B83)*($B$81-B83),0)</f>
        <v>#REF!</v>
      </c>
      <c r="D85" s="300" t="e">
        <f t="shared" ref="D85:J85" si="17">IF(AND($B$81&gt;C83,$B$81&lt;=D83),C84-(C84-D84)/(D83-C83)*($B$81-C83),0)</f>
        <v>#REF!</v>
      </c>
      <c r="E85" s="300" t="e">
        <f t="shared" si="17"/>
        <v>#REF!</v>
      </c>
      <c r="F85" s="300" t="e">
        <f t="shared" si="17"/>
        <v>#REF!</v>
      </c>
      <c r="G85" s="300" t="e">
        <f t="shared" si="17"/>
        <v>#REF!</v>
      </c>
      <c r="H85" s="300" t="e">
        <f t="shared" si="17"/>
        <v>#REF!</v>
      </c>
      <c r="I85" s="300" t="e">
        <f t="shared" si="17"/>
        <v>#REF!</v>
      </c>
      <c r="J85" s="300" t="e">
        <f t="shared" si="17"/>
        <v>#REF!</v>
      </c>
      <c r="K85" s="300" t="e">
        <f>IF(AND($B$75&gt;J83,$B$75&lt;=K83),J84-(J84-K84)/(K83-J83)*($B$75-J83),0)</f>
        <v>#REF!</v>
      </c>
      <c r="L85" s="288" t="e">
        <f>IF(AND($B$57&gt;K83,$B$57&lt;=L83),K84-(K84-L84)/(L83-K83)*($B$57-K83),0)</f>
        <v>#REF!</v>
      </c>
      <c r="M85" s="279"/>
    </row>
    <row r="86" spans="1:13" ht="15.75">
      <c r="A86" s="277"/>
      <c r="B86" s="278"/>
      <c r="C86" s="278"/>
      <c r="D86" s="278"/>
      <c r="E86" s="278"/>
      <c r="F86" s="278"/>
      <c r="G86" s="278"/>
      <c r="H86" s="278"/>
      <c r="I86" s="278"/>
      <c r="J86" s="278"/>
      <c r="K86" s="278"/>
      <c r="L86" s="278"/>
      <c r="M86" s="279"/>
    </row>
    <row r="87" spans="1:13" ht="31.5">
      <c r="A87" s="304" t="s">
        <v>2775</v>
      </c>
      <c r="B87" s="285" t="e">
        <f>B81</f>
        <v>#REF!</v>
      </c>
      <c r="C87" s="278"/>
      <c r="D87" s="1473" t="s">
        <v>2770</v>
      </c>
      <c r="E87" s="1473"/>
      <c r="F87" s="263"/>
      <c r="G87" s="268" t="s">
        <v>2773</v>
      </c>
      <c r="H87" s="278"/>
      <c r="I87" s="278"/>
      <c r="J87" s="278"/>
      <c r="K87" s="278"/>
      <c r="L87" s="278"/>
      <c r="M87" s="279"/>
    </row>
    <row r="88" spans="1:13" ht="16.5" thickBot="1">
      <c r="A88" s="286" t="s">
        <v>2778</v>
      </c>
      <c r="B88" s="263"/>
      <c r="C88" s="263"/>
      <c r="D88" s="263"/>
      <c r="E88" s="263"/>
      <c r="F88" s="263"/>
      <c r="G88" s="263"/>
      <c r="H88" s="263"/>
      <c r="I88" s="263"/>
      <c r="J88" s="263"/>
      <c r="K88" s="263"/>
      <c r="L88" s="263"/>
      <c r="M88" s="279"/>
    </row>
    <row r="89" spans="1:13" ht="16.5" thickBot="1">
      <c r="A89" s="287" t="s">
        <v>214</v>
      </c>
      <c r="B89" s="287">
        <v>5</v>
      </c>
      <c r="C89" s="305">
        <v>10</v>
      </c>
      <c r="D89" s="305">
        <v>50</v>
      </c>
      <c r="E89" s="305">
        <v>100</v>
      </c>
      <c r="F89" s="305">
        <v>500</v>
      </c>
      <c r="G89" s="306">
        <v>1000</v>
      </c>
      <c r="H89" s="305" t="s">
        <v>2777</v>
      </c>
      <c r="I89" s="303"/>
      <c r="J89" s="303"/>
      <c r="K89" s="297"/>
      <c r="L89" s="293"/>
      <c r="M89" s="279"/>
    </row>
    <row r="90" spans="1:13" ht="16.5" thickBot="1">
      <c r="A90" s="287" t="s">
        <v>215</v>
      </c>
      <c r="B90" s="307">
        <v>0.96</v>
      </c>
      <c r="C90" s="307">
        <v>0.64500000000000002</v>
      </c>
      <c r="D90" s="307">
        <v>0.45</v>
      </c>
      <c r="E90" s="307">
        <v>0.34499999999999997</v>
      </c>
      <c r="F90" s="307">
        <v>0.19500000000000001</v>
      </c>
      <c r="G90" s="307">
        <v>0.129</v>
      </c>
      <c r="H90" s="307">
        <v>6.9000000000000006E-2</v>
      </c>
      <c r="I90" s="297"/>
      <c r="J90" s="297"/>
      <c r="K90" s="297"/>
      <c r="L90" s="283"/>
      <c r="M90" s="279"/>
    </row>
    <row r="91" spans="1:13" ht="15.75">
      <c r="A91" s="295" t="s">
        <v>216</v>
      </c>
      <c r="B91" s="276" t="e">
        <f>IF(($B$87&lt;=B89),(B90),(0))</f>
        <v>#REF!</v>
      </c>
      <c r="C91" s="300" t="e">
        <f>IF(AND($B$87&gt;B89,$B$87&lt;=C89),B90-(B90-C90)/(C89-B89)*($B$87-B89),0)</f>
        <v>#REF!</v>
      </c>
      <c r="D91" s="300" t="e">
        <f t="shared" ref="D91:L91" si="18">IF(AND($B$87&gt;C89,$B$87&lt;=D89),C90-(C90-D90)/(D89-C89)*($B$87-C89),0)</f>
        <v>#REF!</v>
      </c>
      <c r="E91" s="300" t="e">
        <f t="shared" si="18"/>
        <v>#REF!</v>
      </c>
      <c r="F91" s="300" t="e">
        <f t="shared" si="18"/>
        <v>#REF!</v>
      </c>
      <c r="G91" s="300" t="e">
        <f t="shared" si="18"/>
        <v>#REF!</v>
      </c>
      <c r="H91" s="300" t="e">
        <f t="shared" si="18"/>
        <v>#REF!</v>
      </c>
      <c r="I91" s="300" t="e">
        <f t="shared" si="18"/>
        <v>#REF!</v>
      </c>
      <c r="J91" s="300" t="e">
        <f t="shared" si="18"/>
        <v>#REF!</v>
      </c>
      <c r="K91" s="300" t="e">
        <f t="shared" si="18"/>
        <v>#REF!</v>
      </c>
      <c r="L91" s="300" t="e">
        <f t="shared" si="18"/>
        <v>#REF!</v>
      </c>
      <c r="M91" s="279"/>
    </row>
    <row r="92" spans="1:13" ht="15.75">
      <c r="A92" s="405"/>
      <c r="B92" s="290"/>
      <c r="C92" s="406"/>
      <c r="D92" s="406"/>
      <c r="E92" s="406"/>
      <c r="F92" s="406"/>
      <c r="G92" s="406"/>
      <c r="H92" s="406"/>
      <c r="I92" s="406"/>
      <c r="J92" s="406"/>
      <c r="K92" s="406"/>
      <c r="L92" s="406"/>
      <c r="M92" s="279"/>
    </row>
    <row r="93" spans="1:13" ht="15.75">
      <c r="A93" s="539" t="s">
        <v>3465</v>
      </c>
      <c r="B93" s="285" t="e">
        <f>#REF!/1000000000</f>
        <v>#REF!</v>
      </c>
      <c r="C93" s="278"/>
      <c r="D93" s="1473" t="s">
        <v>2738</v>
      </c>
      <c r="E93" s="1473"/>
      <c r="F93" s="263"/>
      <c r="G93" s="268" t="s">
        <v>3467</v>
      </c>
      <c r="H93" s="278"/>
      <c r="I93" s="278"/>
      <c r="J93" s="278"/>
      <c r="K93" s="278"/>
      <c r="L93" s="278"/>
      <c r="M93" s="279"/>
    </row>
    <row r="94" spans="1:13" ht="16.5" thickBot="1">
      <c r="A94" s="286" t="s">
        <v>3466</v>
      </c>
      <c r="B94" s="263"/>
      <c r="C94" s="263"/>
      <c r="D94" s="263"/>
      <c r="E94" s="263"/>
      <c r="F94" s="263"/>
      <c r="G94" s="263"/>
      <c r="H94" s="263"/>
      <c r="I94" s="263"/>
      <c r="J94" s="263"/>
      <c r="K94" s="263"/>
      <c r="L94" s="263"/>
      <c r="M94" s="279"/>
    </row>
    <row r="95" spans="1:13" ht="16.5" thickBot="1">
      <c r="A95" s="287" t="s">
        <v>214</v>
      </c>
      <c r="B95" s="291">
        <v>1</v>
      </c>
      <c r="C95" s="292">
        <v>3</v>
      </c>
      <c r="D95" s="292">
        <v>5</v>
      </c>
      <c r="E95" s="292">
        <v>10</v>
      </c>
      <c r="F95" s="292">
        <v>20</v>
      </c>
      <c r="G95" s="292">
        <v>50</v>
      </c>
      <c r="H95" s="292">
        <v>100</v>
      </c>
      <c r="I95" s="303"/>
      <c r="J95" s="303"/>
      <c r="K95" s="297"/>
      <c r="L95" s="293"/>
      <c r="M95" s="279"/>
    </row>
    <row r="96" spans="1:13" ht="16.5" thickBot="1">
      <c r="A96" s="287" t="s">
        <v>215</v>
      </c>
      <c r="B96" s="282">
        <v>0.81599999999999995</v>
      </c>
      <c r="C96" s="283">
        <v>0.58299999999999996</v>
      </c>
      <c r="D96" s="283">
        <v>0.505</v>
      </c>
      <c r="E96" s="283">
        <v>0.38900000000000001</v>
      </c>
      <c r="F96" s="283">
        <v>0.311</v>
      </c>
      <c r="G96" s="283">
        <v>0.17599999999999999</v>
      </c>
      <c r="H96" s="283">
        <v>0.114</v>
      </c>
      <c r="I96" s="297"/>
      <c r="J96" s="297"/>
      <c r="K96" s="297"/>
      <c r="L96" s="283"/>
      <c r="M96" s="279"/>
    </row>
    <row r="97" spans="1:13" ht="15.75">
      <c r="A97" s="295" t="s">
        <v>216</v>
      </c>
      <c r="B97" s="276" t="e">
        <f>IF(($B$93&lt;=B95),(B96),(0))</f>
        <v>#REF!</v>
      </c>
      <c r="C97" s="300" t="e">
        <f>IF(AND($B$93&gt;B95,$B$93&lt;=C95),B96-(B96-C96)/(C95-B95)*($B$93-B95),0)</f>
        <v>#REF!</v>
      </c>
      <c r="D97" s="300" t="e">
        <f t="shared" ref="D97:H97" si="19">IF(AND($B$93&gt;C95,$B$93&lt;=D95),C96-(C96-D96)/(D95-C95)*($B$93-C95),0)</f>
        <v>#REF!</v>
      </c>
      <c r="E97" s="300" t="e">
        <f t="shared" si="19"/>
        <v>#REF!</v>
      </c>
      <c r="F97" s="300" t="e">
        <f t="shared" si="19"/>
        <v>#REF!</v>
      </c>
      <c r="G97" s="300" t="e">
        <f t="shared" si="19"/>
        <v>#REF!</v>
      </c>
      <c r="H97" s="300" t="e">
        <f t="shared" si="19"/>
        <v>#REF!</v>
      </c>
      <c r="I97" s="300" t="e">
        <f t="shared" ref="I97:L97" si="20">IF(AND($B$87&gt;H95,$B$87&lt;=I95),H96-(H96-I96)/(I95-H95)*($B$87-H95),0)</f>
        <v>#REF!</v>
      </c>
      <c r="J97" s="300" t="e">
        <f t="shared" si="20"/>
        <v>#REF!</v>
      </c>
      <c r="K97" s="300" t="e">
        <f t="shared" si="20"/>
        <v>#REF!</v>
      </c>
      <c r="L97" s="300" t="e">
        <f t="shared" si="20"/>
        <v>#REF!</v>
      </c>
      <c r="M97" s="279"/>
    </row>
    <row r="98" spans="1:13" ht="15.75">
      <c r="A98" s="277"/>
      <c r="B98" s="278"/>
      <c r="C98" s="278"/>
      <c r="D98" s="278"/>
      <c r="E98" s="278"/>
      <c r="F98" s="278"/>
      <c r="G98" s="278"/>
      <c r="H98" s="278"/>
      <c r="I98" s="278"/>
      <c r="J98" s="278"/>
      <c r="K98" s="278"/>
      <c r="L98" s="278"/>
      <c r="M98" s="279"/>
    </row>
    <row r="99" spans="1:13" ht="15.75">
      <c r="A99" s="277"/>
      <c r="B99" s="278"/>
      <c r="C99" s="278"/>
      <c r="D99" s="278"/>
      <c r="E99" s="278"/>
      <c r="F99" s="278"/>
      <c r="G99" s="278"/>
      <c r="H99" s="278"/>
      <c r="I99" s="278"/>
      <c r="J99" s="278"/>
      <c r="K99" s="278"/>
      <c r="L99" s="278"/>
      <c r="M99" s="279"/>
    </row>
    <row r="100" spans="1:13" ht="15.75">
      <c r="A100" s="277"/>
      <c r="B100" s="278"/>
      <c r="C100" s="278"/>
      <c r="D100" s="278"/>
      <c r="E100" s="278"/>
      <c r="F100" s="278"/>
      <c r="G100" s="278"/>
      <c r="H100" s="278"/>
      <c r="I100" s="278"/>
      <c r="J100" s="278"/>
      <c r="K100" s="278"/>
      <c r="L100" s="278"/>
      <c r="M100" s="279"/>
    </row>
    <row r="101" spans="1:13" ht="15.75">
      <c r="A101" s="277"/>
      <c r="B101" s="278"/>
      <c r="C101" s="278"/>
      <c r="D101" s="278"/>
      <c r="E101" s="278"/>
      <c r="F101" s="278"/>
      <c r="G101" s="278"/>
      <c r="H101" s="278"/>
      <c r="I101" s="278"/>
      <c r="J101" s="278"/>
      <c r="K101" s="278"/>
      <c r="L101" s="278"/>
      <c r="M101" s="279"/>
    </row>
    <row r="102" spans="1:13" ht="15.75">
      <c r="A102" s="277"/>
      <c r="B102" s="278"/>
      <c r="C102" s="278"/>
      <c r="D102" s="278"/>
      <c r="E102" s="278"/>
      <c r="F102" s="278"/>
      <c r="G102" s="278"/>
      <c r="H102" s="278"/>
      <c r="I102" s="278"/>
      <c r="J102" s="278"/>
      <c r="K102" s="278"/>
      <c r="L102" s="278"/>
      <c r="M102" s="279"/>
    </row>
    <row r="103" spans="1:13" ht="15.75">
      <c r="A103" s="277"/>
      <c r="B103" s="278"/>
      <c r="C103" s="278"/>
      <c r="D103" s="278"/>
      <c r="E103" s="278"/>
      <c r="F103" s="278"/>
      <c r="G103" s="278"/>
      <c r="H103" s="278"/>
      <c r="I103" s="278"/>
      <c r="J103" s="278"/>
      <c r="K103" s="278"/>
      <c r="L103" s="278"/>
      <c r="M103" s="263"/>
    </row>
    <row r="104" spans="1:13" ht="15.75">
      <c r="A104" s="277"/>
      <c r="B104" s="278"/>
      <c r="C104" s="278"/>
      <c r="D104" s="278"/>
      <c r="E104" s="278"/>
      <c r="F104" s="278"/>
      <c r="G104" s="278"/>
      <c r="H104" s="278"/>
      <c r="I104" s="278"/>
      <c r="J104" s="278"/>
      <c r="K104" s="278"/>
      <c r="L104" s="278"/>
      <c r="M104" s="308"/>
    </row>
    <row r="105" spans="1:13" ht="15" customHeight="1">
      <c r="A105" s="277"/>
      <c r="B105" s="278"/>
      <c r="C105" s="278"/>
      <c r="D105" s="278"/>
      <c r="E105" s="278"/>
      <c r="F105" s="278"/>
      <c r="G105" s="278"/>
      <c r="H105" s="278"/>
      <c r="I105" s="278"/>
      <c r="J105" s="278"/>
      <c r="K105" s="278"/>
      <c r="L105" s="278"/>
      <c r="M105" s="263"/>
    </row>
    <row r="106" spans="1:13" ht="15.75">
      <c r="A106" s="277"/>
      <c r="B106" s="278"/>
      <c r="C106" s="278"/>
      <c r="D106" s="278"/>
      <c r="E106" s="278"/>
      <c r="F106" s="278"/>
      <c r="G106" s="278"/>
      <c r="H106" s="278"/>
      <c r="I106" s="278"/>
      <c r="J106" s="278"/>
      <c r="K106" s="278"/>
      <c r="L106" s="278"/>
      <c r="M106" s="279"/>
    </row>
    <row r="107" spans="1:13" ht="15.75">
      <c r="A107" s="277"/>
      <c r="B107" s="278"/>
      <c r="C107" s="278"/>
      <c r="D107" s="278"/>
      <c r="E107" s="278"/>
      <c r="F107" s="278"/>
      <c r="G107" s="278"/>
      <c r="H107" s="278"/>
      <c r="I107" s="278"/>
      <c r="J107" s="278"/>
      <c r="K107" s="278"/>
      <c r="L107" s="278"/>
      <c r="M107" s="279"/>
    </row>
    <row r="108" spans="1:13" ht="15.75">
      <c r="A108" s="277" t="s">
        <v>2702</v>
      </c>
      <c r="B108" s="277"/>
      <c r="C108" s="277"/>
      <c r="D108" s="277"/>
      <c r="E108" s="277"/>
      <c r="F108" s="277"/>
      <c r="G108" s="277"/>
      <c r="H108" s="277"/>
      <c r="I108" s="277"/>
      <c r="J108" s="277"/>
      <c r="K108" s="277"/>
      <c r="L108" s="277"/>
      <c r="M108" s="279"/>
    </row>
    <row r="109" spans="1:13" ht="15.75">
      <c r="A109" s="287" t="s">
        <v>214</v>
      </c>
      <c r="B109" s="309">
        <v>5</v>
      </c>
      <c r="C109" s="310">
        <v>10</v>
      </c>
      <c r="D109" s="310">
        <v>50</v>
      </c>
      <c r="E109" s="310">
        <v>100</v>
      </c>
      <c r="F109" s="310">
        <v>500</v>
      </c>
      <c r="G109" s="310">
        <v>1000</v>
      </c>
      <c r="H109" s="310">
        <v>10000</v>
      </c>
      <c r="I109" s="310"/>
      <c r="J109" s="311"/>
      <c r="K109" s="312"/>
      <c r="L109" s="308"/>
      <c r="M109" s="279"/>
    </row>
    <row r="110" spans="1:13" ht="16.5" thickBot="1">
      <c r="A110" s="287" t="s">
        <v>215</v>
      </c>
      <c r="B110" s="313">
        <v>0.56999999999999995</v>
      </c>
      <c r="C110" s="313">
        <v>0.39</v>
      </c>
      <c r="D110" s="313">
        <v>0.28499999999999998</v>
      </c>
      <c r="E110" s="313">
        <v>0.22500000000000001</v>
      </c>
      <c r="F110" s="313">
        <v>0.13500000000000001</v>
      </c>
      <c r="G110" s="313">
        <v>0.09</v>
      </c>
      <c r="H110" s="313">
        <v>4.8000000000000001E-2</v>
      </c>
      <c r="I110" s="287"/>
      <c r="J110" s="314"/>
      <c r="K110" s="263"/>
      <c r="L110" s="263"/>
      <c r="M110" s="279"/>
    </row>
    <row r="111" spans="1:13" ht="15.75">
      <c r="A111" s="295" t="s">
        <v>216</v>
      </c>
      <c r="B111" s="288">
        <f>IF($B$8&lt;=B109,B110,0)</f>
        <v>0.56999999999999995</v>
      </c>
      <c r="C111" s="288">
        <f t="shared" ref="C111:H111" si="21">IF(AND(($B$8&gt;B109),($B$8&lt;=C109)),(C110-((C110-B110)*(C109-$B$8)/(C109-B109))),0)</f>
        <v>0</v>
      </c>
      <c r="D111" s="315">
        <f t="shared" si="21"/>
        <v>0</v>
      </c>
      <c r="E111" s="288">
        <f t="shared" si="21"/>
        <v>0</v>
      </c>
      <c r="F111" s="288">
        <f t="shared" si="21"/>
        <v>0</v>
      </c>
      <c r="G111" s="288">
        <f t="shared" si="21"/>
        <v>0</v>
      </c>
      <c r="H111" s="288">
        <f t="shared" si="21"/>
        <v>0</v>
      </c>
      <c r="I111" s="288"/>
      <c r="J111" s="316"/>
      <c r="K111" s="279"/>
      <c r="L111" s="279"/>
      <c r="M111" s="263"/>
    </row>
    <row r="112" spans="1:13" ht="15.75">
      <c r="A112" s="1474" t="s">
        <v>2703</v>
      </c>
      <c r="B112" s="1474"/>
      <c r="C112" s="1474"/>
      <c r="D112" s="1474"/>
      <c r="E112" s="1474"/>
      <c r="F112" s="1474"/>
      <c r="G112" s="1474"/>
      <c r="H112" s="1474"/>
      <c r="I112" s="1474"/>
      <c r="J112" s="1475"/>
      <c r="K112" s="1475"/>
      <c r="L112" s="1475"/>
      <c r="M112" s="263"/>
    </row>
    <row r="113" spans="1:13" ht="15.75">
      <c r="A113" s="287" t="s">
        <v>214</v>
      </c>
      <c r="B113" s="309">
        <v>5</v>
      </c>
      <c r="C113" s="309">
        <v>10</v>
      </c>
      <c r="D113" s="309">
        <v>50</v>
      </c>
      <c r="E113" s="309">
        <v>100</v>
      </c>
      <c r="F113" s="309">
        <v>500</v>
      </c>
      <c r="G113" s="309">
        <v>1000</v>
      </c>
      <c r="H113" s="309">
        <v>10000</v>
      </c>
      <c r="I113" s="310"/>
      <c r="J113" s="311"/>
      <c r="K113" s="308"/>
      <c r="L113" s="308"/>
      <c r="M113" s="263"/>
    </row>
    <row r="114" spans="1:13" ht="16.5" thickBot="1">
      <c r="A114" s="287" t="s">
        <v>215</v>
      </c>
      <c r="B114" s="313">
        <v>0.96</v>
      </c>
      <c r="C114" s="313">
        <v>0.64500000000000002</v>
      </c>
      <c r="D114" s="313">
        <v>0.45</v>
      </c>
      <c r="E114" s="313">
        <v>0.34499999999999997</v>
      </c>
      <c r="F114" s="313">
        <v>0.19500000000000001</v>
      </c>
      <c r="G114" s="313">
        <v>0.129</v>
      </c>
      <c r="H114" s="313">
        <v>6.9000000000000006E-2</v>
      </c>
      <c r="I114" s="287"/>
      <c r="J114" s="314"/>
      <c r="K114" s="263"/>
      <c r="L114" s="263"/>
      <c r="M114" s="263"/>
    </row>
    <row r="115" spans="1:13" ht="15.75">
      <c r="A115" s="295" t="s">
        <v>216</v>
      </c>
      <c r="B115" s="288">
        <f>IF($B$8&lt;=B113,B114,0)</f>
        <v>0.96</v>
      </c>
      <c r="C115" s="288">
        <f t="shared" ref="C115:H115" si="22">IF(AND(($B$8&gt;B113),($B$8&lt;=C113)),(C114-((C114-B114)*(C113-$B$8)/(C113-B113))),0)</f>
        <v>0</v>
      </c>
      <c r="D115" s="315">
        <f t="shared" si="22"/>
        <v>0</v>
      </c>
      <c r="E115" s="288">
        <f t="shared" si="22"/>
        <v>0</v>
      </c>
      <c r="F115" s="288">
        <f t="shared" si="22"/>
        <v>0</v>
      </c>
      <c r="G115" s="288">
        <f t="shared" si="22"/>
        <v>0</v>
      </c>
      <c r="H115" s="288">
        <f t="shared" si="22"/>
        <v>0</v>
      </c>
      <c r="I115" s="288"/>
      <c r="J115" s="316"/>
      <c r="K115" s="279"/>
      <c r="L115" s="279"/>
      <c r="M115" s="263"/>
    </row>
    <row r="116" spans="1:13" ht="15.75" hidden="1">
      <c r="A116" s="284" t="s">
        <v>217</v>
      </c>
      <c r="B116" s="285">
        <v>1.0408003556173437</v>
      </c>
      <c r="C116" s="263" t="s">
        <v>2779</v>
      </c>
      <c r="D116" s="263"/>
      <c r="E116" s="263"/>
      <c r="F116" s="263"/>
      <c r="G116" s="263"/>
      <c r="H116" s="263"/>
      <c r="I116" s="263"/>
      <c r="J116" s="263"/>
      <c r="K116" s="263"/>
      <c r="L116" s="263"/>
      <c r="M116" s="263"/>
    </row>
    <row r="117" spans="1:13" ht="15.75" hidden="1">
      <c r="A117" s="263" t="s">
        <v>218</v>
      </c>
      <c r="B117" s="263"/>
      <c r="C117" s="263"/>
      <c r="D117" s="263"/>
      <c r="E117" s="263"/>
      <c r="F117" s="263"/>
      <c r="G117" s="263"/>
      <c r="H117" s="263"/>
      <c r="I117" s="263"/>
      <c r="J117" s="263"/>
      <c r="K117" s="263"/>
      <c r="L117" s="263"/>
      <c r="M117" s="263"/>
    </row>
    <row r="118" spans="1:13" ht="15.75" hidden="1">
      <c r="A118" s="287" t="s">
        <v>214</v>
      </c>
      <c r="B118" s="287">
        <v>10</v>
      </c>
      <c r="C118" s="287">
        <v>20</v>
      </c>
      <c r="D118" s="287">
        <v>50</v>
      </c>
      <c r="E118" s="287">
        <v>100</v>
      </c>
      <c r="F118" s="287">
        <v>200</v>
      </c>
      <c r="G118" s="287">
        <v>500</v>
      </c>
      <c r="H118" s="287">
        <v>1000</v>
      </c>
      <c r="I118" s="287">
        <v>2000</v>
      </c>
      <c r="J118" s="287">
        <v>5000</v>
      </c>
      <c r="K118" s="287">
        <v>8000</v>
      </c>
      <c r="L118" s="287">
        <v>10000</v>
      </c>
      <c r="M118" s="263"/>
    </row>
    <row r="119" spans="1:13" ht="15.75" hidden="1">
      <c r="A119" s="287" t="s">
        <v>2747</v>
      </c>
      <c r="B119" s="287">
        <v>2.46</v>
      </c>
      <c r="C119" s="287">
        <v>2.25</v>
      </c>
      <c r="D119" s="287">
        <v>1.89</v>
      </c>
      <c r="E119" s="287">
        <v>1.72</v>
      </c>
      <c r="F119" s="287">
        <v>1.47</v>
      </c>
      <c r="G119" s="287">
        <v>1.22</v>
      </c>
      <c r="H119" s="287"/>
      <c r="I119" s="287"/>
      <c r="J119" s="287"/>
      <c r="K119" s="287"/>
      <c r="L119" s="287"/>
      <c r="M119" s="263"/>
    </row>
    <row r="120" spans="1:13" ht="15.75" hidden="1">
      <c r="A120" s="295" t="s">
        <v>216</v>
      </c>
      <c r="B120" s="315">
        <f>IF(($B$116&lt;=B118),(B119),(0))</f>
        <v>2.46</v>
      </c>
      <c r="C120" s="288">
        <f t="shared" ref="C120:L120" si="23">IF(AND(($B$116&gt;B118),($B$116&lt;=C118)),(C119-((C119-B119)*(C118-$B$116)/(C118-B118))),0)</f>
        <v>0</v>
      </c>
      <c r="D120" s="288">
        <f t="shared" si="23"/>
        <v>0</v>
      </c>
      <c r="E120" s="288">
        <f t="shared" si="23"/>
        <v>0</v>
      </c>
      <c r="F120" s="288">
        <f t="shared" si="23"/>
        <v>0</v>
      </c>
      <c r="G120" s="288">
        <f t="shared" si="23"/>
        <v>0</v>
      </c>
      <c r="H120" s="288">
        <f t="shared" si="23"/>
        <v>0</v>
      </c>
      <c r="I120" s="288">
        <f t="shared" si="23"/>
        <v>0</v>
      </c>
      <c r="J120" s="288">
        <f t="shared" si="23"/>
        <v>0</v>
      </c>
      <c r="K120" s="288">
        <f t="shared" si="23"/>
        <v>0</v>
      </c>
      <c r="L120" s="288">
        <f t="shared" si="23"/>
        <v>0</v>
      </c>
      <c r="M120" s="263"/>
    </row>
    <row r="121" spans="1:13" ht="15.75" hidden="1">
      <c r="A121" s="263" t="s">
        <v>219</v>
      </c>
      <c r="B121" s="263"/>
      <c r="C121" s="263"/>
      <c r="D121" s="263"/>
      <c r="E121" s="263"/>
      <c r="F121" s="263"/>
      <c r="G121" s="263"/>
      <c r="H121" s="263"/>
      <c r="I121" s="263"/>
      <c r="J121" s="263"/>
      <c r="K121" s="263"/>
      <c r="L121" s="263"/>
      <c r="M121" s="263"/>
    </row>
    <row r="122" spans="1:13" ht="15.75" hidden="1">
      <c r="A122" s="287" t="s">
        <v>214</v>
      </c>
      <c r="B122" s="287">
        <v>10</v>
      </c>
      <c r="C122" s="287">
        <v>20</v>
      </c>
      <c r="D122" s="287">
        <v>50</v>
      </c>
      <c r="E122" s="287">
        <v>100</v>
      </c>
      <c r="F122" s="287">
        <v>200</v>
      </c>
      <c r="G122" s="287">
        <v>500</v>
      </c>
      <c r="H122" s="287">
        <v>1000</v>
      </c>
      <c r="I122" s="287">
        <v>2000</v>
      </c>
      <c r="J122" s="287">
        <v>5000</v>
      </c>
      <c r="K122" s="287">
        <v>8000</v>
      </c>
      <c r="L122" s="287"/>
      <c r="M122" s="263"/>
    </row>
    <row r="123" spans="1:13" ht="15.75" hidden="1">
      <c r="A123" s="287" t="s">
        <v>215</v>
      </c>
      <c r="B123" s="287">
        <v>0.28999999999999998</v>
      </c>
      <c r="C123" s="287">
        <v>0.252</v>
      </c>
      <c r="D123" s="287">
        <v>0.192</v>
      </c>
      <c r="E123" s="287">
        <v>0.14599999999999999</v>
      </c>
      <c r="F123" s="287">
        <v>0.113</v>
      </c>
      <c r="G123" s="287">
        <v>8.6999999999999994E-2</v>
      </c>
      <c r="H123" s="287">
        <v>6.6000000000000003E-2</v>
      </c>
      <c r="I123" s="287">
        <v>5.2999999999999999E-2</v>
      </c>
      <c r="J123" s="287">
        <v>3.7999999999999999E-2</v>
      </c>
      <c r="K123" s="287">
        <v>3.1E-2</v>
      </c>
      <c r="L123" s="287"/>
      <c r="M123" s="263"/>
    </row>
    <row r="124" spans="1:13" ht="15.75">
      <c r="A124" s="295" t="s">
        <v>216</v>
      </c>
      <c r="B124" s="288">
        <f>IF(($B$116&lt;=B122),(B123),(0))</f>
        <v>0.28999999999999998</v>
      </c>
      <c r="C124" s="288">
        <f t="shared" ref="C124:K124" si="24">IF(AND(($B$116&gt;B122),($B$116&lt;=C122)),(C123-((C123-B123)*(C122-$B$116)/(C122-B122))),0)</f>
        <v>0</v>
      </c>
      <c r="D124" s="288">
        <f t="shared" si="24"/>
        <v>0</v>
      </c>
      <c r="E124" s="288">
        <f t="shared" si="24"/>
        <v>0</v>
      </c>
      <c r="F124" s="288">
        <f t="shared" si="24"/>
        <v>0</v>
      </c>
      <c r="G124" s="288">
        <f t="shared" si="24"/>
        <v>0</v>
      </c>
      <c r="H124" s="288">
        <f t="shared" si="24"/>
        <v>0</v>
      </c>
      <c r="I124" s="288">
        <f t="shared" si="24"/>
        <v>0</v>
      </c>
      <c r="J124" s="288">
        <f t="shared" si="24"/>
        <v>0</v>
      </c>
      <c r="K124" s="288">
        <f t="shared" si="24"/>
        <v>0</v>
      </c>
      <c r="L124" s="288"/>
      <c r="M124" s="263"/>
    </row>
    <row r="125" spans="1:13" ht="15.75">
      <c r="A125" s="263" t="s">
        <v>220</v>
      </c>
      <c r="B125" s="263"/>
      <c r="C125" s="263"/>
      <c r="D125" s="263"/>
      <c r="E125" s="263"/>
      <c r="F125" s="263"/>
      <c r="G125" s="263"/>
      <c r="H125" s="263"/>
      <c r="I125" s="263"/>
      <c r="J125" s="263"/>
      <c r="K125" s="263"/>
      <c r="L125" s="263"/>
      <c r="M125" s="263"/>
    </row>
    <row r="126" spans="1:13" ht="15.75">
      <c r="A126" s="287" t="s">
        <v>214</v>
      </c>
      <c r="B126" s="287">
        <v>10</v>
      </c>
      <c r="C126" s="287">
        <v>20</v>
      </c>
      <c r="D126" s="287">
        <v>50</v>
      </c>
      <c r="E126" s="287">
        <v>100</v>
      </c>
      <c r="F126" s="287">
        <v>200</v>
      </c>
      <c r="G126" s="287">
        <v>500</v>
      </c>
      <c r="H126" s="287">
        <v>1000</v>
      </c>
      <c r="I126" s="287">
        <v>2000</v>
      </c>
      <c r="J126" s="287">
        <v>5000</v>
      </c>
      <c r="K126" s="287">
        <v>8000</v>
      </c>
      <c r="L126" s="287"/>
      <c r="M126" s="263"/>
    </row>
    <row r="127" spans="1:13" ht="15.75">
      <c r="A127" s="287" t="s">
        <v>215</v>
      </c>
      <c r="B127" s="287">
        <v>0.28199999999999997</v>
      </c>
      <c r="C127" s="287">
        <v>0.24399999999999999</v>
      </c>
      <c r="D127" s="287">
        <v>0.185</v>
      </c>
      <c r="E127" s="287">
        <v>0.14099999999999999</v>
      </c>
      <c r="F127" s="287">
        <v>0.108</v>
      </c>
      <c r="G127" s="287">
        <v>8.3000000000000004E-2</v>
      </c>
      <c r="H127" s="287">
        <v>6.2E-2</v>
      </c>
      <c r="I127" s="287">
        <v>0.05</v>
      </c>
      <c r="J127" s="287">
        <v>3.4000000000000002E-2</v>
      </c>
      <c r="K127" s="287">
        <v>0.03</v>
      </c>
      <c r="L127" s="287"/>
      <c r="M127" s="263"/>
    </row>
    <row r="128" spans="1:13" ht="15.75">
      <c r="A128" s="295" t="s">
        <v>216</v>
      </c>
      <c r="B128" s="288">
        <f>IF(($B$116&lt;=B126),(B127),0)</f>
        <v>0.28199999999999997</v>
      </c>
      <c r="C128" s="288">
        <f t="shared" ref="C128:K128" si="25">IF(AND($B$116&gt;B126,$B$116&lt;=C126),B127-(B127-C127)/(C126-B126)*($B$116-B126),0)</f>
        <v>0</v>
      </c>
      <c r="D128" s="288">
        <f t="shared" si="25"/>
        <v>0</v>
      </c>
      <c r="E128" s="288">
        <f t="shared" si="25"/>
        <v>0</v>
      </c>
      <c r="F128" s="288">
        <f t="shared" si="25"/>
        <v>0</v>
      </c>
      <c r="G128" s="288">
        <f t="shared" si="25"/>
        <v>0</v>
      </c>
      <c r="H128" s="288">
        <f t="shared" si="25"/>
        <v>0</v>
      </c>
      <c r="I128" s="288">
        <f t="shared" si="25"/>
        <v>0</v>
      </c>
      <c r="J128" s="288">
        <f t="shared" si="25"/>
        <v>0</v>
      </c>
      <c r="K128" s="288">
        <f t="shared" si="25"/>
        <v>0</v>
      </c>
      <c r="L128" s="288"/>
      <c r="M128" s="263"/>
    </row>
    <row r="129" spans="1:13" ht="15.75">
      <c r="A129" s="263" t="s">
        <v>221</v>
      </c>
      <c r="B129" s="263"/>
      <c r="C129" s="263"/>
      <c r="D129" s="263"/>
      <c r="E129" s="263"/>
      <c r="F129" s="263"/>
      <c r="G129" s="263"/>
      <c r="H129" s="263"/>
      <c r="I129" s="263"/>
      <c r="J129" s="263"/>
      <c r="K129" s="263"/>
      <c r="L129" s="263"/>
      <c r="M129" s="263"/>
    </row>
    <row r="130" spans="1:13" ht="15.75">
      <c r="A130" s="287" t="s">
        <v>214</v>
      </c>
      <c r="B130" s="287">
        <v>10</v>
      </c>
      <c r="C130" s="287">
        <v>20</v>
      </c>
      <c r="D130" s="287">
        <v>50</v>
      </c>
      <c r="E130" s="287">
        <v>100</v>
      </c>
      <c r="F130" s="287">
        <v>200</v>
      </c>
      <c r="G130" s="287">
        <v>500</v>
      </c>
      <c r="H130" s="287">
        <v>1000</v>
      </c>
      <c r="I130" s="287">
        <v>2000</v>
      </c>
      <c r="J130" s="287">
        <v>5000</v>
      </c>
      <c r="K130" s="287">
        <v>8000</v>
      </c>
      <c r="L130" s="287"/>
      <c r="M130" s="263"/>
    </row>
    <row r="131" spans="1:13" ht="15.75">
      <c r="A131" s="287" t="s">
        <v>215</v>
      </c>
      <c r="B131" s="287">
        <v>3.508</v>
      </c>
      <c r="C131" s="287">
        <v>3.137</v>
      </c>
      <c r="D131" s="287">
        <v>2.5590000000000002</v>
      </c>
      <c r="E131" s="287">
        <v>2.0739999999999998</v>
      </c>
      <c r="F131" s="287">
        <v>1.6040000000000001</v>
      </c>
      <c r="G131" s="287">
        <v>1.3009999999999999</v>
      </c>
      <c r="H131" s="287">
        <v>0.82299999999999995</v>
      </c>
      <c r="I131" s="287">
        <v>0.71599999999999997</v>
      </c>
      <c r="J131" s="287">
        <v>0.61</v>
      </c>
      <c r="K131" s="287">
        <v>0.55000000000000004</v>
      </c>
      <c r="L131" s="287"/>
      <c r="M131" s="263"/>
    </row>
    <row r="132" spans="1:13" ht="15.75">
      <c r="A132" s="295" t="s">
        <v>216</v>
      </c>
      <c r="B132" s="315">
        <f>IF(($B$116&lt;=B130),(B131),0)</f>
        <v>3.508</v>
      </c>
      <c r="C132" s="288">
        <f>IF(AND($B$116&gt;B130,$B$116&lt;=C130),B131-(B131-C131)/(C130-B130)*($B$116-B130),0)</f>
        <v>0</v>
      </c>
      <c r="D132" s="288">
        <f t="shared" ref="D132:K132" si="26">IF(AND($B$116&gt;C130,$B$116&lt;=D130),C131-(C131-D131)/(D130-C130)*($B$116-C130),0)</f>
        <v>0</v>
      </c>
      <c r="E132" s="288">
        <f t="shared" si="26"/>
        <v>0</v>
      </c>
      <c r="F132" s="288">
        <f t="shared" si="26"/>
        <v>0</v>
      </c>
      <c r="G132" s="288">
        <f t="shared" si="26"/>
        <v>0</v>
      </c>
      <c r="H132" s="288">
        <f t="shared" si="26"/>
        <v>0</v>
      </c>
      <c r="I132" s="288">
        <f t="shared" si="26"/>
        <v>0</v>
      </c>
      <c r="J132" s="288">
        <f t="shared" si="26"/>
        <v>0</v>
      </c>
      <c r="K132" s="288">
        <f t="shared" si="26"/>
        <v>0</v>
      </c>
      <c r="L132" s="288"/>
      <c r="M132" s="263"/>
    </row>
    <row r="133" spans="1:13" ht="15.75">
      <c r="A133" s="263" t="s">
        <v>222</v>
      </c>
      <c r="B133" s="263"/>
      <c r="C133" s="263"/>
      <c r="D133" s="263"/>
      <c r="E133" s="263"/>
      <c r="F133" s="263"/>
      <c r="G133" s="263"/>
      <c r="H133" s="263"/>
      <c r="I133" s="263"/>
      <c r="J133" s="263"/>
      <c r="K133" s="263"/>
      <c r="L133" s="263"/>
      <c r="M133" s="263"/>
    </row>
    <row r="134" spans="1:13" ht="15.75">
      <c r="A134" s="287" t="s">
        <v>214</v>
      </c>
      <c r="B134" s="287">
        <v>10</v>
      </c>
      <c r="C134" s="287">
        <v>20</v>
      </c>
      <c r="D134" s="287">
        <v>50</v>
      </c>
      <c r="E134" s="287">
        <v>100</v>
      </c>
      <c r="F134" s="287">
        <v>200</v>
      </c>
      <c r="G134" s="287">
        <v>500</v>
      </c>
      <c r="H134" s="287">
        <v>1000</v>
      </c>
      <c r="I134" s="287">
        <v>2000</v>
      </c>
      <c r="J134" s="287">
        <v>5000</v>
      </c>
      <c r="K134" s="287">
        <v>8000</v>
      </c>
      <c r="L134" s="287"/>
      <c r="M134" s="263"/>
    </row>
    <row r="135" spans="1:13" ht="15.75">
      <c r="A135" s="287" t="s">
        <v>215</v>
      </c>
      <c r="B135" s="287">
        <v>0.54900000000000004</v>
      </c>
      <c r="C135" s="287">
        <v>0.379</v>
      </c>
      <c r="D135" s="287">
        <v>0.21099999999999999</v>
      </c>
      <c r="E135" s="287">
        <v>0.14399999999999999</v>
      </c>
      <c r="F135" s="287">
        <v>9.6000000000000002E-2</v>
      </c>
      <c r="G135" s="287">
        <v>6.7000000000000004E-2</v>
      </c>
      <c r="H135" s="287">
        <v>5.1999999999999998E-2</v>
      </c>
      <c r="I135" s="287">
        <v>0.41</v>
      </c>
      <c r="J135" s="287"/>
      <c r="K135" s="287"/>
      <c r="L135" s="287"/>
      <c r="M135" s="263"/>
    </row>
    <row r="136" spans="1:13" ht="15.75">
      <c r="A136" s="295" t="s">
        <v>216</v>
      </c>
      <c r="B136" s="315">
        <f>IF(($B$116&lt;=B134),(B135),(0))</f>
        <v>0.54900000000000004</v>
      </c>
      <c r="C136" s="288">
        <f t="shared" ref="C136:K136" si="27">IF(AND($B$116&gt;B134,$B$116&lt;=C134),B135-(B135-C135)/(C134-B134)*($B$116-B134),0)</f>
        <v>0</v>
      </c>
      <c r="D136" s="288">
        <f t="shared" si="27"/>
        <v>0</v>
      </c>
      <c r="E136" s="288">
        <f t="shared" si="27"/>
        <v>0</v>
      </c>
      <c r="F136" s="288">
        <f t="shared" si="27"/>
        <v>0</v>
      </c>
      <c r="G136" s="288">
        <f t="shared" si="27"/>
        <v>0</v>
      </c>
      <c r="H136" s="288">
        <f t="shared" si="27"/>
        <v>0</v>
      </c>
      <c r="I136" s="288">
        <f t="shared" si="27"/>
        <v>0</v>
      </c>
      <c r="J136" s="288">
        <f t="shared" si="27"/>
        <v>0</v>
      </c>
      <c r="K136" s="288">
        <f t="shared" si="27"/>
        <v>0</v>
      </c>
      <c r="L136" s="288"/>
      <c r="M136" s="263"/>
    </row>
    <row r="137" spans="1:13" ht="15.75">
      <c r="A137" s="263" t="s">
        <v>2780</v>
      </c>
      <c r="B137" s="263"/>
      <c r="C137" s="263"/>
      <c r="D137" s="263"/>
      <c r="E137" s="263"/>
      <c r="F137" s="263"/>
      <c r="G137" s="263"/>
      <c r="H137" s="263"/>
      <c r="I137" s="263"/>
      <c r="J137" s="263"/>
      <c r="K137" s="263"/>
      <c r="L137" s="263"/>
      <c r="M137" s="263"/>
    </row>
    <row r="138" spans="1:13" ht="15.75">
      <c r="A138" s="287" t="s">
        <v>214</v>
      </c>
      <c r="B138" s="287">
        <v>15</v>
      </c>
      <c r="C138" s="287">
        <v>50</v>
      </c>
      <c r="D138" s="287">
        <v>100</v>
      </c>
      <c r="E138" s="287">
        <v>200</v>
      </c>
      <c r="F138" s="287">
        <v>500</v>
      </c>
      <c r="G138" s="287">
        <v>1000</v>
      </c>
      <c r="H138" s="287">
        <v>2000</v>
      </c>
      <c r="I138" s="287">
        <v>5000</v>
      </c>
      <c r="J138" s="287">
        <v>8000</v>
      </c>
      <c r="K138" s="287"/>
      <c r="L138" s="287"/>
      <c r="M138" s="263"/>
    </row>
    <row r="139" spans="1:13" ht="15.75">
      <c r="A139" s="287" t="s">
        <v>215</v>
      </c>
      <c r="B139" s="287">
        <v>0.19</v>
      </c>
      <c r="C139" s="287">
        <v>0.126</v>
      </c>
      <c r="D139" s="287">
        <v>9.7000000000000003E-2</v>
      </c>
      <c r="E139" s="287">
        <v>7.4999999999999997E-2</v>
      </c>
      <c r="F139" s="287">
        <v>5.8000000000000003E-2</v>
      </c>
      <c r="G139" s="287">
        <v>4.3999999999999997E-2</v>
      </c>
      <c r="H139" s="287">
        <v>3.5000000000000003E-2</v>
      </c>
      <c r="I139" s="287">
        <v>2.5999999999999999E-2</v>
      </c>
      <c r="J139" s="287">
        <v>2.1999999999999999E-2</v>
      </c>
      <c r="K139" s="287"/>
      <c r="L139" s="287"/>
      <c r="M139" s="263"/>
    </row>
    <row r="140" spans="1:13" ht="15.75">
      <c r="A140" s="295" t="s">
        <v>216</v>
      </c>
      <c r="B140" s="288">
        <f>IF(($B$116&lt;=B138),(B139),0)</f>
        <v>0.19</v>
      </c>
      <c r="C140" s="288">
        <f t="shared" ref="C140:J140" si="28">IF(AND($B$116&gt;B138,$B$116&lt;=C138),B139-(B139-C139)/(C138-B138)*($B$116-B138),0)</f>
        <v>0</v>
      </c>
      <c r="D140" s="288">
        <f t="shared" si="28"/>
        <v>0</v>
      </c>
      <c r="E140" s="288">
        <f t="shared" si="28"/>
        <v>0</v>
      </c>
      <c r="F140" s="288">
        <f t="shared" si="28"/>
        <v>0</v>
      </c>
      <c r="G140" s="288">
        <f t="shared" si="28"/>
        <v>0</v>
      </c>
      <c r="H140" s="288">
        <f t="shared" si="28"/>
        <v>0</v>
      </c>
      <c r="I140" s="288">
        <f t="shared" si="28"/>
        <v>0</v>
      </c>
      <c r="J140" s="288">
        <f t="shared" si="28"/>
        <v>0</v>
      </c>
      <c r="K140" s="288"/>
      <c r="L140" s="288"/>
      <c r="M140" s="263"/>
    </row>
    <row r="141" spans="1:13" ht="15.75">
      <c r="A141" s="263" t="s">
        <v>2781</v>
      </c>
      <c r="B141" s="263"/>
      <c r="C141" s="263"/>
      <c r="D141" s="263"/>
      <c r="E141" s="263"/>
      <c r="F141" s="263"/>
      <c r="G141" s="263"/>
      <c r="H141" s="263"/>
      <c r="I141" s="263"/>
      <c r="J141" s="263"/>
      <c r="K141" s="263"/>
      <c r="L141" s="263"/>
      <c r="M141" s="263"/>
    </row>
    <row r="142" spans="1:13" ht="15.75">
      <c r="A142" s="287" t="s">
        <v>214</v>
      </c>
      <c r="B142" s="287">
        <v>15</v>
      </c>
      <c r="C142" s="287">
        <v>50</v>
      </c>
      <c r="D142" s="287">
        <v>100</v>
      </c>
      <c r="E142" s="287">
        <v>200</v>
      </c>
      <c r="F142" s="287">
        <v>500</v>
      </c>
      <c r="G142" s="287">
        <v>1000</v>
      </c>
      <c r="H142" s="287">
        <v>2000</v>
      </c>
      <c r="I142" s="287">
        <v>5000</v>
      </c>
      <c r="J142" s="287">
        <v>8000</v>
      </c>
      <c r="K142" s="287"/>
      <c r="L142" s="287"/>
      <c r="M142" s="263"/>
    </row>
    <row r="143" spans="1:13" ht="15.75">
      <c r="A143" s="287" t="s">
        <v>215</v>
      </c>
      <c r="B143" s="287">
        <v>0.185</v>
      </c>
      <c r="C143" s="287">
        <v>0.121</v>
      </c>
      <c r="D143" s="287">
        <v>9.4E-2</v>
      </c>
      <c r="E143" s="287">
        <v>7.1999999999999995E-2</v>
      </c>
      <c r="F143" s="287">
        <v>5.5E-2</v>
      </c>
      <c r="G143" s="287">
        <v>4.1000000000000002E-2</v>
      </c>
      <c r="H143" s="287">
        <v>3.3000000000000002E-2</v>
      </c>
      <c r="I143" s="287">
        <v>2.3E-2</v>
      </c>
      <c r="J143" s="287">
        <v>0.02</v>
      </c>
      <c r="K143" s="287"/>
      <c r="L143" s="287"/>
      <c r="M143" s="263"/>
    </row>
    <row r="144" spans="1:13" ht="15.75">
      <c r="A144" s="295" t="s">
        <v>216</v>
      </c>
      <c r="B144" s="288">
        <f>IF(($B$116&lt;=B142),(B143),0)</f>
        <v>0.185</v>
      </c>
      <c r="C144" s="288">
        <f t="shared" ref="C144:J144" si="29">IF(AND($B$116&gt;B142,$B$116&lt;=C142),B143-(B143-C143)/(C142-B142)*($B$116-B142),0)</f>
        <v>0</v>
      </c>
      <c r="D144" s="288">
        <f t="shared" si="29"/>
        <v>0</v>
      </c>
      <c r="E144" s="288">
        <f t="shared" si="29"/>
        <v>0</v>
      </c>
      <c r="F144" s="288">
        <f t="shared" si="29"/>
        <v>0</v>
      </c>
      <c r="G144" s="288">
        <f t="shared" si="29"/>
        <v>0</v>
      </c>
      <c r="H144" s="288">
        <f t="shared" si="29"/>
        <v>0</v>
      </c>
      <c r="I144" s="288">
        <f t="shared" si="29"/>
        <v>0</v>
      </c>
      <c r="J144" s="288">
        <f t="shared" si="29"/>
        <v>0</v>
      </c>
      <c r="K144" s="288"/>
      <c r="L144" s="288"/>
      <c r="M144" s="263"/>
    </row>
    <row r="145" spans="1:13" ht="15.75">
      <c r="A145" s="284" t="s">
        <v>223</v>
      </c>
      <c r="B145" s="285">
        <v>0.14547876663897508</v>
      </c>
      <c r="C145" s="279"/>
      <c r="D145" s="279"/>
      <c r="E145" s="279"/>
      <c r="F145" s="279"/>
      <c r="G145" s="279"/>
      <c r="H145" s="279"/>
      <c r="I145" s="279"/>
      <c r="J145" s="279"/>
      <c r="K145" s="279"/>
      <c r="L145" s="279"/>
      <c r="M145" s="263"/>
    </row>
    <row r="146" spans="1:13" ht="15.75">
      <c r="A146" s="263" t="s">
        <v>224</v>
      </c>
      <c r="B146" s="263"/>
      <c r="C146" s="263"/>
      <c r="D146" s="263"/>
      <c r="E146" s="263"/>
      <c r="F146" s="263"/>
      <c r="G146" s="263"/>
      <c r="H146" s="263"/>
      <c r="I146" s="263"/>
      <c r="J146" s="263"/>
      <c r="K146" s="263"/>
      <c r="L146" s="263"/>
      <c r="M146" s="263"/>
    </row>
    <row r="147" spans="1:13" ht="15.75">
      <c r="A147" s="287" t="s">
        <v>214</v>
      </c>
      <c r="B147" s="287">
        <v>10</v>
      </c>
      <c r="C147" s="287">
        <v>20</v>
      </c>
      <c r="D147" s="287">
        <v>50</v>
      </c>
      <c r="E147" s="287">
        <v>100</v>
      </c>
      <c r="F147" s="287">
        <v>200</v>
      </c>
      <c r="G147" s="287">
        <v>500</v>
      </c>
      <c r="H147" s="287">
        <v>1000</v>
      </c>
      <c r="I147" s="287">
        <v>2000</v>
      </c>
      <c r="J147" s="287">
        <v>5000</v>
      </c>
      <c r="K147" s="287">
        <v>8000</v>
      </c>
      <c r="L147" s="287"/>
      <c r="M147" s="263"/>
    </row>
    <row r="148" spans="1:13" ht="15.75">
      <c r="A148" s="287" t="s">
        <v>215</v>
      </c>
      <c r="B148" s="287">
        <v>1.147</v>
      </c>
      <c r="C148" s="287">
        <v>1.0049999999999999</v>
      </c>
      <c r="D148" s="287">
        <v>0.94799999999999995</v>
      </c>
      <c r="E148" s="287">
        <v>0.81100000000000005</v>
      </c>
      <c r="F148" s="287">
        <v>0.49</v>
      </c>
      <c r="G148" s="287">
        <v>0.42199999999999999</v>
      </c>
      <c r="H148" s="287">
        <v>0.35599999999999998</v>
      </c>
      <c r="I148" s="287">
        <v>0.309</v>
      </c>
      <c r="J148" s="287">
        <v>0.27</v>
      </c>
      <c r="K148" s="287">
        <v>0.23</v>
      </c>
      <c r="L148" s="287"/>
      <c r="M148" s="263"/>
    </row>
    <row r="149" spans="1:13" ht="15.75">
      <c r="A149" s="295" t="s">
        <v>216</v>
      </c>
      <c r="B149" s="288">
        <f>IF(($B$145&lt;=B147),(B148),0)</f>
        <v>1.147</v>
      </c>
      <c r="C149" s="288">
        <f>IF(AND($B$145&gt;B147,$B$145&lt;=C147),B148-(B148-C148)/(C147-B147)*($B$145-B147),0)</f>
        <v>0</v>
      </c>
      <c r="D149" s="288">
        <f t="shared" ref="D149:K149" si="30">IF(AND($B$145&gt;C147,$B$145&lt;=D147),C148-(C148-D148)/(D147-C147)*($B$145-C147),0)</f>
        <v>0</v>
      </c>
      <c r="E149" s="288">
        <f t="shared" si="30"/>
        <v>0</v>
      </c>
      <c r="F149" s="288">
        <f t="shared" si="30"/>
        <v>0</v>
      </c>
      <c r="G149" s="288">
        <f t="shared" si="30"/>
        <v>0</v>
      </c>
      <c r="H149" s="288">
        <f t="shared" si="30"/>
        <v>0</v>
      </c>
      <c r="I149" s="288">
        <f t="shared" si="30"/>
        <v>0</v>
      </c>
      <c r="J149" s="288">
        <f t="shared" si="30"/>
        <v>0</v>
      </c>
      <c r="K149" s="288">
        <f t="shared" si="30"/>
        <v>0</v>
      </c>
      <c r="L149" s="288"/>
      <c r="M149" s="263"/>
    </row>
    <row r="150" spans="1:13" ht="15.75">
      <c r="A150" s="263" t="s">
        <v>225</v>
      </c>
      <c r="B150" s="263"/>
      <c r="C150" s="263"/>
      <c r="D150" s="263"/>
      <c r="E150" s="263"/>
      <c r="F150" s="263"/>
      <c r="G150" s="263"/>
      <c r="H150" s="263"/>
      <c r="I150" s="263"/>
      <c r="J150" s="263"/>
      <c r="K150" s="263"/>
      <c r="L150" s="263"/>
      <c r="M150" s="263"/>
    </row>
    <row r="151" spans="1:13" ht="15.75">
      <c r="A151" s="287" t="s">
        <v>214</v>
      </c>
      <c r="B151" s="287">
        <v>10</v>
      </c>
      <c r="C151" s="287">
        <v>20</v>
      </c>
      <c r="D151" s="287">
        <v>50</v>
      </c>
      <c r="E151" s="287">
        <v>100</v>
      </c>
      <c r="F151" s="287">
        <v>200</v>
      </c>
      <c r="G151" s="287">
        <v>500</v>
      </c>
      <c r="H151" s="287">
        <v>1000</v>
      </c>
      <c r="I151" s="287">
        <v>2000</v>
      </c>
      <c r="J151" s="287">
        <v>5000</v>
      </c>
      <c r="K151" s="287">
        <v>8000</v>
      </c>
      <c r="L151" s="287"/>
    </row>
    <row r="152" spans="1:13" ht="15.75">
      <c r="A152" s="287" t="s">
        <v>215</v>
      </c>
      <c r="B152" s="287">
        <v>0.54900000000000004</v>
      </c>
      <c r="C152" s="287">
        <v>0.49399999999999999</v>
      </c>
      <c r="D152" s="287">
        <v>0.28000000000000003</v>
      </c>
      <c r="E152" s="287">
        <v>0.17699999999999999</v>
      </c>
      <c r="F152" s="287">
        <v>0.152</v>
      </c>
      <c r="G152" s="287">
        <v>0.123</v>
      </c>
      <c r="H152" s="287">
        <v>8.4000000000000005E-2</v>
      </c>
      <c r="I152" s="287">
        <v>6.6000000000000003E-2</v>
      </c>
      <c r="J152" s="287"/>
      <c r="K152" s="287"/>
      <c r="L152" s="287"/>
    </row>
    <row r="153" spans="1:13" ht="15.75">
      <c r="A153" s="295" t="s">
        <v>216</v>
      </c>
      <c r="B153" s="288">
        <f>IF(($B$145&lt;=B151),(B152),0)</f>
        <v>0.54900000000000004</v>
      </c>
      <c r="C153" s="288">
        <f t="shared" ref="C153:K153" si="31">IF(AND($B$145&gt;B151,$B$145&lt;=C151),B152-(B152-C152)/(C151-B151)*($B$145-B151),0)</f>
        <v>0</v>
      </c>
      <c r="D153" s="288">
        <f t="shared" si="31"/>
        <v>0</v>
      </c>
      <c r="E153" s="288">
        <f t="shared" si="31"/>
        <v>0</v>
      </c>
      <c r="F153" s="288">
        <f t="shared" si="31"/>
        <v>0</v>
      </c>
      <c r="G153" s="288">
        <f t="shared" si="31"/>
        <v>0</v>
      </c>
      <c r="H153" s="288">
        <f t="shared" si="31"/>
        <v>0</v>
      </c>
      <c r="I153" s="288">
        <f t="shared" si="31"/>
        <v>0</v>
      </c>
      <c r="J153" s="288">
        <f t="shared" si="31"/>
        <v>0</v>
      </c>
      <c r="K153" s="288">
        <f t="shared" si="31"/>
        <v>0</v>
      </c>
      <c r="L153" s="288"/>
    </row>
    <row r="154" spans="1:13" ht="15.75">
      <c r="A154" s="284" t="s">
        <v>226</v>
      </c>
      <c r="B154" s="285">
        <f>+B145+B116</f>
        <v>1.1862791222563187</v>
      </c>
      <c r="C154" s="279"/>
      <c r="D154" s="279"/>
      <c r="E154" s="279"/>
      <c r="F154" s="279"/>
      <c r="G154" s="279"/>
      <c r="H154" s="279"/>
      <c r="I154" s="279"/>
      <c r="J154" s="279"/>
      <c r="K154" s="279"/>
      <c r="L154" s="279"/>
    </row>
    <row r="155" spans="1:13" ht="15.75">
      <c r="A155" s="263" t="s">
        <v>227</v>
      </c>
      <c r="B155" s="279"/>
      <c r="C155" s="279"/>
      <c r="D155" s="279"/>
      <c r="E155" s="279"/>
      <c r="F155" s="279"/>
      <c r="G155" s="279"/>
      <c r="H155" s="279"/>
      <c r="I155" s="279"/>
      <c r="J155" s="279"/>
      <c r="K155" s="279"/>
      <c r="L155" s="279"/>
    </row>
    <row r="156" spans="1:13" ht="15.75">
      <c r="A156" s="287" t="s">
        <v>228</v>
      </c>
      <c r="B156" s="287">
        <v>1</v>
      </c>
      <c r="C156" s="287">
        <v>3</v>
      </c>
      <c r="D156" s="287">
        <v>7</v>
      </c>
      <c r="E156" s="287">
        <v>15</v>
      </c>
      <c r="F156" s="287"/>
      <c r="G156" s="287"/>
      <c r="H156" s="287"/>
      <c r="I156" s="287"/>
      <c r="J156" s="287"/>
      <c r="K156" s="287"/>
      <c r="L156" s="287"/>
      <c r="M156" s="263"/>
    </row>
    <row r="157" spans="1:13" ht="16.5" thickBot="1">
      <c r="A157" s="287" t="s">
        <v>215</v>
      </c>
      <c r="B157" s="317">
        <v>6.7</v>
      </c>
      <c r="C157" s="317">
        <v>4.8</v>
      </c>
      <c r="D157" s="317">
        <v>4.3</v>
      </c>
      <c r="E157" s="317">
        <v>3.8</v>
      </c>
      <c r="F157" s="287"/>
      <c r="G157" s="287"/>
      <c r="H157" s="287"/>
      <c r="I157" s="287"/>
      <c r="J157" s="287"/>
      <c r="K157" s="287"/>
      <c r="L157" s="287"/>
      <c r="M157" s="263"/>
    </row>
    <row r="158" spans="1:13" ht="15.75">
      <c r="A158" s="295" t="s">
        <v>216</v>
      </c>
      <c r="B158" s="288">
        <f>IF((B154&lt;=B156),(B157),0)</f>
        <v>0</v>
      </c>
      <c r="C158" s="288">
        <f>IF(AND(($B$154&gt;B156),($B$154&lt;=C156)),(C157-((C157-B157)*(C156-$B$154)/(C156-B156))),0)</f>
        <v>6.5230348338564976</v>
      </c>
      <c r="D158" s="288">
        <f>IF(AND(($B$154&gt;C156),($B$154&lt;=D156)),(D157-((D157-C157)*(D156-$B$154)/(D156-C156))),0)</f>
        <v>0</v>
      </c>
      <c r="E158" s="288">
        <f>IF(AND(($B$154&gt;D156),($B$154&lt;=E156)),(E157-((E157-D157)*(E156-$B$154)/(E156-D156))),0)</f>
        <v>0</v>
      </c>
      <c r="F158" s="288"/>
      <c r="G158" s="288"/>
      <c r="H158" s="288"/>
      <c r="I158" s="288"/>
      <c r="J158" s="288"/>
      <c r="K158" s="288"/>
      <c r="L158" s="288"/>
      <c r="M158" s="263"/>
    </row>
    <row r="159" spans="1:13" ht="15.75">
      <c r="M159" s="263"/>
    </row>
    <row r="161" spans="1:12" ht="15.75">
      <c r="A161" s="263" t="s">
        <v>229</v>
      </c>
      <c r="B161" s="263"/>
      <c r="C161" s="263"/>
      <c r="D161" s="263"/>
      <c r="E161" s="263"/>
      <c r="F161" s="263"/>
      <c r="G161" s="263"/>
      <c r="H161" s="263"/>
      <c r="I161" s="263"/>
      <c r="J161" s="263"/>
      <c r="K161" s="263"/>
      <c r="L161" s="263"/>
    </row>
    <row r="162" spans="1:12" ht="15.75">
      <c r="A162" s="287" t="s">
        <v>214</v>
      </c>
      <c r="B162" s="287">
        <v>1</v>
      </c>
      <c r="C162" s="287">
        <v>3</v>
      </c>
      <c r="D162" s="287">
        <v>5</v>
      </c>
      <c r="E162" s="287">
        <v>10</v>
      </c>
      <c r="F162" s="287">
        <v>20</v>
      </c>
      <c r="G162" s="287">
        <v>50</v>
      </c>
      <c r="H162" s="287">
        <v>100</v>
      </c>
      <c r="I162" s="287"/>
      <c r="J162" s="287"/>
      <c r="K162" s="287"/>
      <c r="L162" s="287"/>
    </row>
    <row r="163" spans="1:12" ht="15.75">
      <c r="A163" s="287" t="s">
        <v>215</v>
      </c>
      <c r="B163" s="287">
        <v>0.81599999999999995</v>
      </c>
      <c r="C163" s="287">
        <v>0.58299999999999996</v>
      </c>
      <c r="D163" s="287">
        <v>0.505</v>
      </c>
      <c r="E163" s="287">
        <v>0.38900000000000001</v>
      </c>
      <c r="F163" s="287">
        <v>0.311</v>
      </c>
      <c r="G163" s="287">
        <v>0.17599999999999999</v>
      </c>
      <c r="H163" s="287">
        <v>0.114</v>
      </c>
      <c r="I163" s="287"/>
      <c r="J163" s="287"/>
      <c r="K163" s="287"/>
      <c r="L163" s="287"/>
    </row>
    <row r="164" spans="1:12" ht="15.75">
      <c r="A164" s="295" t="s">
        <v>216</v>
      </c>
      <c r="B164" s="288">
        <f>IF(($B$116&lt;=B162),(B163),(0))</f>
        <v>0</v>
      </c>
      <c r="C164" s="288">
        <f t="shared" ref="C164:K164" si="32">IF(AND($B$116&gt;B162,$B$116&lt;=C162),B163-(B163-C163)/(C162-B162)*($B$116-B162),0)</f>
        <v>0.81124675857057937</v>
      </c>
      <c r="D164" s="288">
        <f t="shared" si="32"/>
        <v>0</v>
      </c>
      <c r="E164" s="288">
        <f t="shared" si="32"/>
        <v>0</v>
      </c>
      <c r="F164" s="288">
        <f t="shared" si="32"/>
        <v>0</v>
      </c>
      <c r="G164" s="288">
        <f t="shared" si="32"/>
        <v>0</v>
      </c>
      <c r="H164" s="288">
        <f t="shared" si="32"/>
        <v>0</v>
      </c>
      <c r="I164" s="288">
        <f t="shared" si="32"/>
        <v>0</v>
      </c>
      <c r="J164" s="288">
        <f t="shared" si="32"/>
        <v>0</v>
      </c>
      <c r="K164" s="288">
        <f t="shared" si="32"/>
        <v>0</v>
      </c>
      <c r="L164" s="288"/>
    </row>
    <row r="165" spans="1:12">
      <c r="E165" s="318"/>
    </row>
  </sheetData>
  <mergeCells count="17">
    <mergeCell ref="D75:E75"/>
    <mergeCell ref="D81:E81"/>
    <mergeCell ref="D87:E87"/>
    <mergeCell ref="A112:L112"/>
    <mergeCell ref="D45:E45"/>
    <mergeCell ref="D51:E51"/>
    <mergeCell ref="D57:E57"/>
    <mergeCell ref="D63:E63"/>
    <mergeCell ref="D69:E69"/>
    <mergeCell ref="D93:E93"/>
    <mergeCell ref="D39:E39"/>
    <mergeCell ref="D3:E3"/>
    <mergeCell ref="D9:E9"/>
    <mergeCell ref="D15:E15"/>
    <mergeCell ref="D27:E27"/>
    <mergeCell ref="D33:E33"/>
    <mergeCell ref="D21:E21"/>
  </mergeCells>
  <pageMargins left="0.16" right="0.16" top="0.28999999999999998" bottom="0.28000000000000003" header="0.22" footer="0.16"/>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8" sqref="B8"/>
    </sheetView>
  </sheetViews>
  <sheetFormatPr defaultRowHeight="15"/>
  <cols>
    <col min="2" max="2" width="30.140625" customWidth="1"/>
    <col min="3" max="3" width="18.140625" bestFit="1" customWidth="1"/>
    <col min="4" max="4" width="21.28515625" customWidth="1"/>
    <col min="5" max="5" width="22" customWidth="1"/>
  </cols>
  <sheetData>
    <row r="1" spans="1:5" ht="33">
      <c r="A1" s="319" t="s">
        <v>0</v>
      </c>
      <c r="B1" s="319" t="s">
        <v>2782</v>
      </c>
      <c r="C1" s="319" t="s">
        <v>2783</v>
      </c>
      <c r="D1" s="319" t="s">
        <v>2784</v>
      </c>
      <c r="E1" s="319" t="s">
        <v>2785</v>
      </c>
    </row>
    <row r="2" spans="1:5" ht="16.5">
      <c r="A2" s="320">
        <v>1</v>
      </c>
      <c r="B2" s="321" t="s">
        <v>2786</v>
      </c>
      <c r="C2" s="322" t="e">
        <f>#REF!</f>
        <v>#REF!</v>
      </c>
      <c r="D2" s="322"/>
      <c r="E2" s="322" t="e">
        <f t="shared" ref="E2:E7" si="0">D2-C2</f>
        <v>#REF!</v>
      </c>
    </row>
    <row r="3" spans="1:5" ht="16.5">
      <c r="A3" s="323">
        <v>2</v>
      </c>
      <c r="B3" s="324" t="s">
        <v>2787</v>
      </c>
      <c r="C3" s="325" t="e">
        <f>#REF!</f>
        <v>#REF!</v>
      </c>
      <c r="D3" s="325"/>
      <c r="E3" s="326" t="e">
        <f t="shared" si="0"/>
        <v>#REF!</v>
      </c>
    </row>
    <row r="4" spans="1:5" ht="16.5">
      <c r="A4" s="323">
        <v>3</v>
      </c>
      <c r="B4" s="324" t="s">
        <v>2788</v>
      </c>
      <c r="C4" s="327" t="e">
        <f>#REF!</f>
        <v>#REF!</v>
      </c>
      <c r="D4" s="327"/>
      <c r="E4" s="326" t="e">
        <f t="shared" si="0"/>
        <v>#REF!</v>
      </c>
    </row>
    <row r="5" spans="1:5" ht="16.5">
      <c r="A5" s="323">
        <v>4</v>
      </c>
      <c r="B5" s="324" t="s">
        <v>2789</v>
      </c>
      <c r="C5" s="327" t="e">
        <f>#REF!</f>
        <v>#REF!</v>
      </c>
      <c r="D5" s="327"/>
      <c r="E5" s="326" t="e">
        <f t="shared" si="0"/>
        <v>#REF!</v>
      </c>
    </row>
    <row r="6" spans="1:5" ht="16.5">
      <c r="A6" s="323">
        <v>5</v>
      </c>
      <c r="B6" s="324" t="s">
        <v>2790</v>
      </c>
      <c r="C6" s="327" t="e">
        <f>#REF!</f>
        <v>#REF!</v>
      </c>
      <c r="D6" s="327"/>
      <c r="E6" s="326" t="e">
        <f t="shared" si="0"/>
        <v>#REF!</v>
      </c>
    </row>
    <row r="7" spans="1:5" ht="16.5">
      <c r="A7" s="328">
        <v>6</v>
      </c>
      <c r="B7" s="329" t="s">
        <v>2791</v>
      </c>
      <c r="C7" s="327" t="e">
        <f>#REF!</f>
        <v>#REF!</v>
      </c>
      <c r="D7" s="330"/>
      <c r="E7" s="331" t="e">
        <f t="shared" si="0"/>
        <v>#REF!</v>
      </c>
    </row>
    <row r="8" spans="1:5">
      <c r="C8" s="332" t="e">
        <f>SUM(C2:C7)</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topLeftCell="B1" workbookViewId="0">
      <selection activeCell="H15" sqref="H15"/>
    </sheetView>
  </sheetViews>
  <sheetFormatPr defaultRowHeight="15"/>
  <cols>
    <col min="1" max="1" width="0" hidden="1" customWidth="1"/>
    <col min="2" max="2" width="12.42578125" customWidth="1"/>
    <col min="3" max="3" width="47.140625" customWidth="1"/>
    <col min="4" max="4" width="10.42578125" customWidth="1"/>
    <col min="5" max="5" width="9.140625" customWidth="1"/>
    <col min="6" max="6" width="8.5703125" bestFit="1" customWidth="1"/>
    <col min="7" max="8" width="10.42578125" bestFit="1" customWidth="1"/>
    <col min="9" max="9" width="10.140625" customWidth="1"/>
    <col min="10" max="11" width="10.42578125" bestFit="1" customWidth="1"/>
    <col min="12" max="12" width="9.85546875" customWidth="1"/>
    <col min="13" max="13" width="9.140625" customWidth="1"/>
  </cols>
  <sheetData>
    <row r="1" spans="2:13">
      <c r="B1" s="26" t="s">
        <v>213</v>
      </c>
      <c r="C1" s="4"/>
      <c r="D1" s="4"/>
      <c r="E1" s="3"/>
      <c r="F1" s="4"/>
      <c r="G1" s="4"/>
      <c r="H1" s="4"/>
      <c r="I1" s="14"/>
      <c r="J1" s="14"/>
      <c r="K1" s="14"/>
      <c r="L1" s="14">
        <v>1</v>
      </c>
      <c r="M1" s="1"/>
    </row>
    <row r="2" spans="2:13" ht="15.75">
      <c r="B2" s="2" t="s">
        <v>199</v>
      </c>
      <c r="C2" s="2"/>
      <c r="D2" s="2"/>
      <c r="E2" s="2"/>
      <c r="F2" s="2"/>
      <c r="G2" s="2"/>
      <c r="H2" s="2"/>
      <c r="I2" s="7"/>
      <c r="J2" s="7"/>
      <c r="K2" s="7"/>
      <c r="L2" s="7">
        <v>1</v>
      </c>
      <c r="M2" s="1"/>
    </row>
    <row r="3" spans="2:13" ht="15.75">
      <c r="B3" s="2" t="s">
        <v>230</v>
      </c>
      <c r="C3" s="10"/>
      <c r="D3" s="10"/>
      <c r="E3" s="10"/>
      <c r="F3" s="10"/>
      <c r="G3" s="10"/>
      <c r="H3" s="10"/>
      <c r="I3" s="15"/>
      <c r="J3" s="15"/>
      <c r="K3" s="15"/>
      <c r="L3" s="15">
        <v>1</v>
      </c>
      <c r="M3" s="1"/>
    </row>
    <row r="4" spans="2:13">
      <c r="B4" s="6"/>
      <c r="C4" s="6"/>
      <c r="D4" s="6"/>
      <c r="E4" s="13"/>
      <c r="F4" s="6"/>
      <c r="G4" s="6"/>
      <c r="H4" s="6"/>
      <c r="I4" s="11"/>
      <c r="J4" s="11"/>
      <c r="K4" s="11"/>
      <c r="L4" s="14"/>
      <c r="M4" s="1"/>
    </row>
    <row r="5" spans="2:13">
      <c r="B5" s="1476" t="s">
        <v>99</v>
      </c>
      <c r="C5" s="1476" t="s">
        <v>200</v>
      </c>
      <c r="D5" s="1476" t="s">
        <v>101</v>
      </c>
      <c r="E5" s="1476" t="s">
        <v>102</v>
      </c>
      <c r="F5" s="16" t="s">
        <v>97</v>
      </c>
      <c r="G5" s="16"/>
      <c r="H5" s="16"/>
      <c r="I5" s="8" t="s">
        <v>201</v>
      </c>
      <c r="J5" s="8"/>
      <c r="K5" s="8"/>
      <c r="L5" s="27">
        <v>1</v>
      </c>
      <c r="M5" s="1"/>
    </row>
    <row r="6" spans="2:13">
      <c r="B6" s="1476"/>
      <c r="C6" s="1476"/>
      <c r="D6" s="1476"/>
      <c r="E6" s="1476"/>
      <c r="F6" s="5" t="s">
        <v>11</v>
      </c>
      <c r="G6" s="5" t="s">
        <v>12</v>
      </c>
      <c r="H6" s="5" t="s">
        <v>93</v>
      </c>
      <c r="I6" s="9" t="s">
        <v>11</v>
      </c>
      <c r="J6" s="9" t="s">
        <v>12</v>
      </c>
      <c r="K6" s="9" t="s">
        <v>93</v>
      </c>
      <c r="L6" s="28">
        <v>1</v>
      </c>
      <c r="M6" s="1"/>
    </row>
    <row r="7" spans="2:13">
      <c r="B7" s="21" t="s">
        <v>2689</v>
      </c>
      <c r="C7" s="21" t="s">
        <v>204</v>
      </c>
      <c r="D7" s="22" t="s">
        <v>205</v>
      </c>
      <c r="E7" s="23"/>
      <c r="F7" s="24" t="e">
        <f>+'DM 1781'!#REF!*0.1</f>
        <v>#REF!</v>
      </c>
      <c r="G7" s="24" t="e">
        <f>+'DM 1781'!#REF!*0.1</f>
        <v>#REF!</v>
      </c>
      <c r="H7" s="24" t="e">
        <f>+'DM 1781'!#REF!*0.1</f>
        <v>#REF!</v>
      </c>
      <c r="I7" s="12" t="e">
        <f>E7*F7</f>
        <v>#REF!</v>
      </c>
      <c r="J7" s="12" t="e">
        <f>E7*G7</f>
        <v>#REF!</v>
      </c>
      <c r="K7" s="12" t="e">
        <f>E7*H7</f>
        <v>#REF!</v>
      </c>
      <c r="L7" s="29">
        <v>3</v>
      </c>
      <c r="M7" s="1">
        <v>4</v>
      </c>
    </row>
    <row r="8" spans="2:13">
      <c r="B8" s="17" t="s">
        <v>259</v>
      </c>
      <c r="C8" s="17" t="s">
        <v>260</v>
      </c>
      <c r="D8" s="18" t="s">
        <v>261</v>
      </c>
      <c r="E8" s="19"/>
      <c r="F8" s="20" t="e">
        <f>+'DM 1781'!#REF!</f>
        <v>#REF!</v>
      </c>
      <c r="G8" s="20" t="e">
        <f>+'DM 1781'!#REF!</f>
        <v>#REF!</v>
      </c>
      <c r="H8" s="20" t="e">
        <f>+'DM 1781'!#REF!</f>
        <v>#REF!</v>
      </c>
      <c r="I8" s="12" t="e">
        <f>E8*F8</f>
        <v>#REF!</v>
      </c>
      <c r="J8" s="12" t="e">
        <f>E8*G8</f>
        <v>#REF!</v>
      </c>
      <c r="K8" s="12" t="e">
        <f>E8*H8</f>
        <v>#REF!</v>
      </c>
      <c r="L8" s="29">
        <v>3</v>
      </c>
      <c r="M8" s="1">
        <v>4</v>
      </c>
    </row>
    <row r="9" spans="2:13">
      <c r="B9" s="17" t="s">
        <v>206</v>
      </c>
      <c r="C9" s="25" t="s">
        <v>207</v>
      </c>
      <c r="D9" s="18" t="s">
        <v>208</v>
      </c>
      <c r="E9" s="19"/>
      <c r="F9" s="20" t="e">
        <f>+'DM 1781'!#REF!</f>
        <v>#REF!</v>
      </c>
      <c r="G9" s="20" t="e">
        <f>+'DM 1781'!#REF!</f>
        <v>#REF!</v>
      </c>
      <c r="H9" s="20" t="e">
        <f>+'DM 1781'!#REF!</f>
        <v>#REF!</v>
      </c>
      <c r="I9" s="12" t="e">
        <f>E9*F9</f>
        <v>#REF!</v>
      </c>
      <c r="J9" s="12" t="e">
        <f>E9*G9</f>
        <v>#REF!</v>
      </c>
      <c r="K9" s="12" t="e">
        <f>E9*H9</f>
        <v>#REF!</v>
      </c>
      <c r="L9" s="29">
        <v>3</v>
      </c>
      <c r="M9" s="1">
        <v>4</v>
      </c>
    </row>
    <row r="10" spans="2:13">
      <c r="B10" s="17" t="s">
        <v>209</v>
      </c>
      <c r="C10" s="25" t="s">
        <v>210</v>
      </c>
      <c r="D10" s="18" t="s">
        <v>208</v>
      </c>
      <c r="E10" s="19"/>
      <c r="F10" s="20" t="e">
        <f>+'DM 1781'!#REF!</f>
        <v>#REF!</v>
      </c>
      <c r="G10" s="20" t="e">
        <f>+'DM 1781'!#REF!</f>
        <v>#REF!</v>
      </c>
      <c r="H10" s="20" t="e">
        <f>+'DM 1781'!#REF!</f>
        <v>#REF!</v>
      </c>
      <c r="I10" s="12" t="e">
        <f>E10*F10</f>
        <v>#REF!</v>
      </c>
      <c r="J10" s="12" t="e">
        <f>E10*G10</f>
        <v>#REF!</v>
      </c>
      <c r="K10" s="12" t="e">
        <f>E10*H10</f>
        <v>#REF!</v>
      </c>
      <c r="L10" s="29">
        <v>3</v>
      </c>
      <c r="M10" s="1">
        <v>4</v>
      </c>
    </row>
    <row r="11" spans="2:13">
      <c r="B11" s="17" t="s">
        <v>262</v>
      </c>
      <c r="C11" s="17" t="s">
        <v>263</v>
      </c>
      <c r="D11" s="18" t="s">
        <v>264</v>
      </c>
      <c r="E11" s="19"/>
      <c r="F11" s="20" t="e">
        <f>+'DM 1781'!#REF!</f>
        <v>#REF!</v>
      </c>
      <c r="G11" s="20" t="e">
        <f>+'DM 1781'!#REF!</f>
        <v>#REF!</v>
      </c>
      <c r="H11" s="20" t="e">
        <f>+'DM 1781'!#REF!</f>
        <v>#REF!</v>
      </c>
      <c r="I11" s="12" t="e">
        <f>E11*F11</f>
        <v>#REF!</v>
      </c>
      <c r="J11" s="12" t="e">
        <f>E11*G11</f>
        <v>#REF!</v>
      </c>
      <c r="K11" s="12" t="e">
        <f>E11*H11</f>
        <v>#REF!</v>
      </c>
      <c r="L11" s="29">
        <v>3</v>
      </c>
      <c r="M11" s="1">
        <v>4</v>
      </c>
    </row>
    <row r="12" spans="2:13">
      <c r="B12" s="21"/>
      <c r="C12" s="22" t="s">
        <v>212</v>
      </c>
      <c r="D12" s="22"/>
      <c r="E12" s="23"/>
      <c r="F12" s="24"/>
      <c r="G12" s="24"/>
      <c r="H12" s="24"/>
      <c r="I12" s="12" t="e">
        <f>+SUM(I7:I11)</f>
        <v>#REF!</v>
      </c>
      <c r="J12" s="12" t="e">
        <f>+SUM(J7:J11)</f>
        <v>#REF!</v>
      </c>
      <c r="K12" s="12" t="e">
        <f>+SUM(K7:K11)</f>
        <v>#REF!</v>
      </c>
      <c r="L12" s="29">
        <v>1</v>
      </c>
      <c r="M12" s="1"/>
    </row>
  </sheetData>
  <mergeCells count="4">
    <mergeCell ref="B5:B6"/>
    <mergeCell ref="C5:C6"/>
    <mergeCell ref="D5:D6"/>
    <mergeCell ref="E5:E6"/>
  </mergeCells>
  <conditionalFormatting sqref="B2:D12 C1:D1 F1:K12">
    <cfRule type="expression" dxfId="615" priority="12">
      <formula>$L1=3</formula>
    </cfRule>
    <cfRule type="expression" dxfId="614" priority="13">
      <formula>$L1=2</formula>
    </cfRule>
    <cfRule type="expression" dxfId="613" priority="14">
      <formula>$L1=1</formula>
    </cfRule>
  </conditionalFormatting>
  <conditionalFormatting sqref="B1">
    <cfRule type="expression" dxfId="612" priority="5">
      <formula>$D1="NC"</formula>
    </cfRule>
    <cfRule type="expression" dxfId="611" priority="6">
      <formula>$D1="VL"</formula>
    </cfRule>
    <cfRule type="expression" dxfId="610" priority="7">
      <formula>$Z1=5</formula>
    </cfRule>
    <cfRule type="expression" dxfId="609" priority="8">
      <formula>$Z1=4</formula>
    </cfRule>
    <cfRule type="expression" dxfId="608" priority="9">
      <formula>$Z1=3</formula>
    </cfRule>
    <cfRule type="expression" dxfId="607" priority="10">
      <formula>$Z1=2</formula>
    </cfRule>
    <cfRule type="expression" dxfId="606" priority="11">
      <formula>$Z1=1</formula>
    </cfRule>
  </conditionalFormatting>
  <conditionalFormatting sqref="E1:E12">
    <cfRule type="expression" dxfId="605" priority="2">
      <formula>$L1=3</formula>
    </cfRule>
    <cfRule type="expression" dxfId="604" priority="3">
      <formula>$L1=2</formula>
    </cfRule>
    <cfRule type="expression" dxfId="603" priority="4">
      <formula>$L1=1</formula>
    </cfRule>
  </conditionalFormatting>
  <conditionalFormatting sqref="E1:E12">
    <cfRule type="expression" dxfId="602" priority="1">
      <formula>$M1=4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N24" sqref="N24"/>
    </sheetView>
  </sheetViews>
  <sheetFormatPr defaultRowHeight="15"/>
  <cols>
    <col min="1" max="1" width="4.28515625" bestFit="1" customWidth="1"/>
    <col min="3" max="3" width="48.7109375" customWidth="1"/>
    <col min="4" max="4" width="9.7109375" customWidth="1"/>
    <col min="5" max="5" width="24.28515625" customWidth="1"/>
    <col min="6" max="6" width="20.7109375" customWidth="1"/>
    <col min="7" max="7" width="16.7109375" customWidth="1"/>
    <col min="8" max="8" width="19" customWidth="1"/>
  </cols>
  <sheetData>
    <row r="1" spans="1:8" ht="15.75">
      <c r="A1" s="845"/>
      <c r="B1" s="846"/>
      <c r="C1" s="826"/>
      <c r="D1" s="825"/>
      <c r="E1" s="826"/>
      <c r="F1" s="826"/>
      <c r="G1" s="826"/>
      <c r="H1" s="845"/>
    </row>
    <row r="2" spans="1:8" ht="15.75">
      <c r="A2" s="847"/>
      <c r="B2" s="1477" t="s">
        <v>3871</v>
      </c>
      <c r="C2" s="1477"/>
      <c r="D2" s="1477"/>
      <c r="E2" s="1477"/>
      <c r="F2" s="1477"/>
      <c r="G2" s="1477"/>
      <c r="H2" s="1477"/>
    </row>
    <row r="3" spans="1:8" ht="38.25" customHeight="1">
      <c r="A3" s="848"/>
      <c r="B3" s="1478" t="s">
        <v>13150</v>
      </c>
      <c r="C3" s="1478"/>
      <c r="D3" s="1478"/>
      <c r="E3" s="1478"/>
      <c r="F3" s="1478"/>
      <c r="G3" s="1478"/>
      <c r="H3" s="1478"/>
    </row>
    <row r="4" spans="1:8" ht="28.15" customHeight="1">
      <c r="A4" s="848"/>
      <c r="B4" s="1478" t="s">
        <v>13144</v>
      </c>
      <c r="C4" s="1478"/>
      <c r="D4" s="1478"/>
      <c r="E4" s="1478"/>
      <c r="F4" s="1478"/>
      <c r="G4" s="1478"/>
      <c r="H4" s="1478"/>
    </row>
    <row r="5" spans="1:8" ht="15.75">
      <c r="A5" s="848"/>
      <c r="B5" s="827"/>
      <c r="C5" s="827"/>
      <c r="D5" s="827"/>
      <c r="E5" s="827"/>
      <c r="F5" s="827"/>
      <c r="G5" s="1687" t="s">
        <v>3842</v>
      </c>
      <c r="H5" s="1687"/>
    </row>
    <row r="6" spans="1:8" ht="15.75">
      <c r="A6" s="849"/>
      <c r="B6" s="1479" t="s">
        <v>0</v>
      </c>
      <c r="C6" s="1479" t="s">
        <v>1</v>
      </c>
      <c r="D6" s="1481" t="s">
        <v>3843</v>
      </c>
      <c r="E6" s="1479" t="s">
        <v>3</v>
      </c>
      <c r="F6" s="1481" t="s">
        <v>3844</v>
      </c>
      <c r="G6" s="1481" t="s">
        <v>3872</v>
      </c>
      <c r="H6" s="1483" t="s">
        <v>3873</v>
      </c>
    </row>
    <row r="7" spans="1:8" ht="15.75">
      <c r="A7" s="849"/>
      <c r="B7" s="1480"/>
      <c r="C7" s="1480"/>
      <c r="D7" s="1482"/>
      <c r="E7" s="1480"/>
      <c r="F7" s="1482"/>
      <c r="G7" s="1482"/>
      <c r="H7" s="1483"/>
    </row>
    <row r="8" spans="1:8" ht="18.75" customHeight="1">
      <c r="A8" s="847" t="str">
        <f>IF(H8&gt;0,"x","")</f>
        <v>x</v>
      </c>
      <c r="B8" s="842" t="s">
        <v>4</v>
      </c>
      <c r="C8" s="850" t="s">
        <v>3874</v>
      </c>
      <c r="D8" s="842" t="s">
        <v>5</v>
      </c>
      <c r="E8" s="832" t="s">
        <v>12967</v>
      </c>
      <c r="F8" s="843">
        <f>SUM(F9:F13)</f>
        <v>796049311.92969918</v>
      </c>
      <c r="G8" s="843">
        <f>SUM(G9:G13)</f>
        <v>63683944.954375938</v>
      </c>
      <c r="H8" s="843">
        <f>SUM(H9:H13)</f>
        <v>859734000</v>
      </c>
    </row>
    <row r="9" spans="1:8" ht="18.75" customHeight="1">
      <c r="A9" s="847" t="str">
        <f t="shared" ref="A9:A22" si="0">IF(H9&gt;0,"x","")</f>
        <v>x</v>
      </c>
      <c r="B9" s="829">
        <v>1</v>
      </c>
      <c r="C9" s="830" t="s">
        <v>13126</v>
      </c>
      <c r="D9" s="832" t="s">
        <v>3875</v>
      </c>
      <c r="E9" s="832" t="s">
        <v>13133</v>
      </c>
      <c r="F9" s="833">
        <f>'THKP-TT-Đ'!E22</f>
        <v>232786755.21596321</v>
      </c>
      <c r="G9" s="835">
        <f>F9*8%</f>
        <v>18622940.417277057</v>
      </c>
      <c r="H9" s="836">
        <f t="shared" ref="H9:H19" si="1">ROUND(F9+G9,-3)</f>
        <v>251410000</v>
      </c>
    </row>
    <row r="10" spans="1:8" ht="18.75" customHeight="1">
      <c r="A10" s="847" t="str">
        <f t="shared" si="0"/>
        <v>x</v>
      </c>
      <c r="B10" s="829">
        <v>2</v>
      </c>
      <c r="C10" s="830" t="s">
        <v>13127</v>
      </c>
      <c r="D10" s="832" t="s">
        <v>3840</v>
      </c>
      <c r="E10" s="832" t="s">
        <v>13134</v>
      </c>
      <c r="F10" s="833">
        <f>'THKP-TT-XD'!E19</f>
        <v>74385701.972769082</v>
      </c>
      <c r="G10" s="835">
        <f t="shared" ref="G10:G16" si="2">F10*8%</f>
        <v>5950856.1578215268</v>
      </c>
      <c r="H10" s="836">
        <f t="shared" si="1"/>
        <v>80337000</v>
      </c>
    </row>
    <row r="11" spans="1:8" ht="18.75" customHeight="1">
      <c r="A11" s="847"/>
      <c r="B11" s="829">
        <v>3</v>
      </c>
      <c r="C11" s="830" t="s">
        <v>13128</v>
      </c>
      <c r="D11" s="832" t="s">
        <v>3876</v>
      </c>
      <c r="E11" s="832" t="s">
        <v>13135</v>
      </c>
      <c r="F11" s="833">
        <f>'THKP-HT-Đ'!E22</f>
        <v>208335451.19920537</v>
      </c>
      <c r="G11" s="835">
        <f t="shared" si="2"/>
        <v>16666836.095936431</v>
      </c>
      <c r="H11" s="836">
        <f t="shared" si="1"/>
        <v>225002000</v>
      </c>
    </row>
    <row r="12" spans="1:8" ht="18.75" customHeight="1">
      <c r="A12" s="847"/>
      <c r="B12" s="829">
        <v>4</v>
      </c>
      <c r="C12" s="830" t="s">
        <v>13129</v>
      </c>
      <c r="D12" s="832" t="s">
        <v>12949</v>
      </c>
      <c r="E12" s="832" t="s">
        <v>13136</v>
      </c>
      <c r="F12" s="833">
        <f>'THKP-HT-XD'!E19</f>
        <v>25801544.228313558</v>
      </c>
      <c r="G12" s="835">
        <f t="shared" si="2"/>
        <v>2064123.5382650846</v>
      </c>
      <c r="H12" s="836">
        <f t="shared" si="1"/>
        <v>27866000</v>
      </c>
    </row>
    <row r="13" spans="1:8" ht="18.75" customHeight="1">
      <c r="A13" s="847" t="str">
        <f t="shared" si="0"/>
        <v>x</v>
      </c>
      <c r="B13" s="829">
        <v>5</v>
      </c>
      <c r="C13" s="830" t="s">
        <v>13130</v>
      </c>
      <c r="D13" s="832" t="s">
        <v>13131</v>
      </c>
      <c r="E13" s="832" t="s">
        <v>3164</v>
      </c>
      <c r="F13" s="833">
        <f>THKPTBA!E22</f>
        <v>254739859.31344789</v>
      </c>
      <c r="G13" s="835">
        <f t="shared" si="2"/>
        <v>20379188.745075833</v>
      </c>
      <c r="H13" s="836">
        <f t="shared" si="1"/>
        <v>275119000</v>
      </c>
    </row>
    <row r="14" spans="1:8" ht="18.75" customHeight="1">
      <c r="A14" s="847" t="str">
        <f t="shared" si="0"/>
        <v>x</v>
      </c>
      <c r="B14" s="842" t="s">
        <v>6</v>
      </c>
      <c r="C14" s="850" t="s">
        <v>3877</v>
      </c>
      <c r="D14" s="842" t="s">
        <v>3878</v>
      </c>
      <c r="E14" s="832" t="s">
        <v>13121</v>
      </c>
      <c r="F14" s="843">
        <f>F15+F16</f>
        <v>52469626</v>
      </c>
      <c r="G14" s="843">
        <f>G15+G16</f>
        <v>4197570.08</v>
      </c>
      <c r="H14" s="843">
        <f t="shared" si="1"/>
        <v>56667000</v>
      </c>
    </row>
    <row r="15" spans="1:8" ht="18.75" customHeight="1">
      <c r="A15" s="847" t="str">
        <f t="shared" si="0"/>
        <v>x</v>
      </c>
      <c r="B15" s="829">
        <v>1</v>
      </c>
      <c r="C15" s="830" t="s">
        <v>13120</v>
      </c>
      <c r="D15" s="832" t="s">
        <v>3879</v>
      </c>
      <c r="E15" s="832" t="s">
        <v>13137</v>
      </c>
      <c r="F15" s="833">
        <f>Chiphithetbi!E21</f>
        <v>39427299</v>
      </c>
      <c r="G15" s="835">
        <f t="shared" si="2"/>
        <v>3154183.92</v>
      </c>
      <c r="H15" s="836">
        <f t="shared" si="1"/>
        <v>42581000</v>
      </c>
    </row>
    <row r="16" spans="1:8" ht="18.75" customHeight="1">
      <c r="A16" s="847"/>
      <c r="B16" s="829">
        <v>2</v>
      </c>
      <c r="C16" s="830" t="s">
        <v>13122</v>
      </c>
      <c r="D16" s="832" t="s">
        <v>13123</v>
      </c>
      <c r="E16" s="832" t="s">
        <v>13138</v>
      </c>
      <c r="F16" s="833">
        <f>Chiphithetbi!E46</f>
        <v>13042327</v>
      </c>
      <c r="G16" s="835">
        <f t="shared" si="2"/>
        <v>1043386.16</v>
      </c>
      <c r="H16" s="836">
        <f t="shared" si="1"/>
        <v>14086000</v>
      </c>
    </row>
    <row r="17" spans="1:10" ht="18.75" customHeight="1">
      <c r="A17" s="847" t="str">
        <f t="shared" si="0"/>
        <v>x</v>
      </c>
      <c r="B17" s="842" t="s">
        <v>7</v>
      </c>
      <c r="C17" s="850" t="s">
        <v>3880</v>
      </c>
      <c r="D17" s="842" t="s">
        <v>3881</v>
      </c>
      <c r="E17" s="852" t="s">
        <v>3882</v>
      </c>
      <c r="F17" s="1455">
        <f>3.557%*(F8+F14)</f>
        <v>30181818.622159399</v>
      </c>
      <c r="G17" s="853">
        <f t="shared" ref="G17" si="3">F17*8%</f>
        <v>2414545.4897727519</v>
      </c>
      <c r="H17" s="851">
        <f t="shared" si="1"/>
        <v>32596000</v>
      </c>
    </row>
    <row r="18" spans="1:10" ht="18.75" customHeight="1">
      <c r="A18" s="847" t="str">
        <f t="shared" si="0"/>
        <v>x</v>
      </c>
      <c r="B18" s="842" t="s">
        <v>8</v>
      </c>
      <c r="C18" s="850" t="s">
        <v>3883</v>
      </c>
      <c r="D18" s="842" t="s">
        <v>3884</v>
      </c>
      <c r="E18" s="832" t="s">
        <v>2766</v>
      </c>
      <c r="F18" s="843">
        <f>'THKP-TVĐT'!E15</f>
        <v>91748316.841289848</v>
      </c>
      <c r="G18" s="853">
        <f>'THKP-TVĐT'!G15</f>
        <v>7339865.7999999998</v>
      </c>
      <c r="H18" s="851">
        <f t="shared" si="1"/>
        <v>99088000</v>
      </c>
    </row>
    <row r="19" spans="1:10" ht="18.75" customHeight="1">
      <c r="A19" s="847" t="str">
        <f t="shared" si="0"/>
        <v>x</v>
      </c>
      <c r="B19" s="842" t="s">
        <v>3885</v>
      </c>
      <c r="C19" s="854" t="s">
        <v>3886</v>
      </c>
      <c r="D19" s="842" t="s">
        <v>3887</v>
      </c>
      <c r="E19" s="832" t="s">
        <v>3888</v>
      </c>
      <c r="F19" s="843">
        <f>'Chi phí khác'!E12</f>
        <v>14174189.728433622</v>
      </c>
      <c r="G19" s="853">
        <f>'Chi phí khác'!G12</f>
        <v>872672.88836593798</v>
      </c>
      <c r="H19" s="851">
        <f t="shared" si="1"/>
        <v>15047000</v>
      </c>
    </row>
    <row r="20" spans="1:10" ht="18.75" customHeight="1">
      <c r="A20" s="847" t="str">
        <f t="shared" si="0"/>
        <v/>
      </c>
      <c r="B20" s="842" t="s">
        <v>3889</v>
      </c>
      <c r="C20" s="854" t="s">
        <v>3890</v>
      </c>
      <c r="D20" s="842" t="s">
        <v>3891</v>
      </c>
      <c r="E20" s="832" t="s">
        <v>3892</v>
      </c>
      <c r="F20" s="843"/>
      <c r="G20" s="853"/>
      <c r="H20" s="851">
        <f>SUM(H21)</f>
        <v>0</v>
      </c>
    </row>
    <row r="21" spans="1:10" ht="18.75" customHeight="1">
      <c r="A21" s="847" t="str">
        <f t="shared" si="0"/>
        <v/>
      </c>
      <c r="B21" s="829"/>
      <c r="C21" s="855" t="s">
        <v>3893</v>
      </c>
      <c r="D21" s="832" t="s">
        <v>3892</v>
      </c>
      <c r="E21" s="832" t="s">
        <v>12968</v>
      </c>
      <c r="F21" s="833"/>
      <c r="G21" s="835"/>
      <c r="H21" s="836">
        <f>ROUND(0%*(H8+H14+H17+H18+H19),0)</f>
        <v>0</v>
      </c>
    </row>
    <row r="22" spans="1:10" ht="18.75" customHeight="1">
      <c r="A22" s="847" t="str">
        <f t="shared" si="0"/>
        <v>x</v>
      </c>
      <c r="B22" s="842"/>
      <c r="C22" s="842" t="s">
        <v>60</v>
      </c>
      <c r="D22" s="842"/>
      <c r="E22" s="832" t="s">
        <v>3894</v>
      </c>
      <c r="F22" s="843"/>
      <c r="G22" s="843"/>
      <c r="H22" s="851">
        <f>H8+H14+H17+H18+H19+H20</f>
        <v>1063132000</v>
      </c>
    </row>
    <row r="23" spans="1:10" ht="15.75">
      <c r="A23" s="845"/>
      <c r="B23" s="845"/>
      <c r="C23" s="1485"/>
      <c r="D23" s="1485"/>
      <c r="E23" s="1485"/>
      <c r="F23" s="1485"/>
      <c r="G23" s="1485"/>
      <c r="H23" s="845"/>
    </row>
    <row r="24" spans="1:10" ht="15.75">
      <c r="A24" s="845"/>
      <c r="B24" s="1486" t="s">
        <v>2809</v>
      </c>
      <c r="C24" s="1486"/>
      <c r="D24" s="856"/>
      <c r="E24" s="857"/>
      <c r="F24" s="845"/>
      <c r="G24" s="845"/>
      <c r="H24" s="851">
        <v>1066143043.5419298</v>
      </c>
    </row>
    <row r="25" spans="1:10" ht="15.75">
      <c r="A25" s="845"/>
      <c r="B25" s="1487" t="s">
        <v>3895</v>
      </c>
      <c r="C25" s="1487"/>
      <c r="D25" s="1487"/>
      <c r="E25" s="1487"/>
      <c r="F25" s="1487"/>
      <c r="G25" s="1487"/>
      <c r="H25" s="845"/>
    </row>
    <row r="26" spans="1:10" ht="15.75">
      <c r="A26" s="845"/>
      <c r="B26" s="1487" t="s">
        <v>3896</v>
      </c>
      <c r="C26" s="1487"/>
      <c r="D26" s="1487"/>
      <c r="E26" s="1487"/>
      <c r="F26" s="1487"/>
      <c r="G26" s="1487"/>
      <c r="H26" s="1428">
        <f>H22-H24</f>
        <v>-3011043.541929841</v>
      </c>
      <c r="J26" t="s">
        <v>13151</v>
      </c>
    </row>
    <row r="27" spans="1:10" ht="15.75">
      <c r="A27" s="845"/>
      <c r="B27" s="1487" t="s">
        <v>3897</v>
      </c>
      <c r="C27" s="1487"/>
      <c r="D27" s="1487"/>
      <c r="E27" s="1487"/>
      <c r="F27" s="1487"/>
      <c r="G27" s="1487"/>
      <c r="H27" s="845"/>
    </row>
    <row r="28" spans="1:10" ht="15.75">
      <c r="A28" s="845"/>
      <c r="B28" s="1487" t="s">
        <v>3898</v>
      </c>
      <c r="C28" s="1487"/>
      <c r="D28" s="1487"/>
      <c r="E28" s="1487"/>
      <c r="F28" s="1487"/>
      <c r="G28" s="1487"/>
      <c r="H28" s="845"/>
    </row>
    <row r="29" spans="1:10" ht="15.75">
      <c r="A29" s="845"/>
      <c r="B29" s="1488" t="s">
        <v>3899</v>
      </c>
      <c r="C29" s="1488"/>
      <c r="D29" s="1488"/>
      <c r="E29" s="1488"/>
      <c r="F29" s="1488"/>
      <c r="G29" s="1488"/>
      <c r="H29" s="845"/>
    </row>
    <row r="30" spans="1:10" ht="15.75">
      <c r="A30" s="845"/>
      <c r="B30" s="1484" t="s">
        <v>13147</v>
      </c>
      <c r="C30" s="1484"/>
      <c r="D30" s="1484"/>
      <c r="E30" s="1484"/>
      <c r="F30" s="1484"/>
      <c r="G30" s="1484"/>
      <c r="H30" s="845"/>
    </row>
  </sheetData>
  <mergeCells count="19">
    <mergeCell ref="B30:G30"/>
    <mergeCell ref="C23:G23"/>
    <mergeCell ref="B24:C24"/>
    <mergeCell ref="B25:G25"/>
    <mergeCell ref="B26:G26"/>
    <mergeCell ref="B27:G27"/>
    <mergeCell ref="B28:G28"/>
    <mergeCell ref="B29:G29"/>
    <mergeCell ref="B2:H2"/>
    <mergeCell ref="B3:H3"/>
    <mergeCell ref="G5:H5"/>
    <mergeCell ref="B6:B7"/>
    <mergeCell ref="C6:C7"/>
    <mergeCell ref="D6:D7"/>
    <mergeCell ref="E6:E7"/>
    <mergeCell ref="F6:F7"/>
    <mergeCell ref="G6:G7"/>
    <mergeCell ref="H6:H7"/>
    <mergeCell ref="B4:H4"/>
  </mergeCells>
  <pageMargins left="0.49" right="0.45" top="0.57999999999999996" bottom="0.62" header="0.3" footer="0.3"/>
  <pageSetup paperSize="9" scale="90" orientation="landscape"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C26" sqref="C26"/>
    </sheetView>
  </sheetViews>
  <sheetFormatPr defaultRowHeight="15"/>
  <cols>
    <col min="1" max="1" width="9.7109375" bestFit="1" customWidth="1"/>
    <col min="2" max="2" width="38.7109375" customWidth="1"/>
    <col min="3" max="3" width="10.140625" customWidth="1"/>
    <col min="4" max="4" width="29.140625" customWidth="1"/>
    <col min="5" max="5" width="16.28515625" customWidth="1"/>
    <col min="6" max="6" width="8.140625" customWidth="1"/>
    <col min="7" max="7" width="13.28515625" customWidth="1"/>
    <col min="8" max="8" width="12.5703125" customWidth="1"/>
  </cols>
  <sheetData>
    <row r="1" spans="1:8" ht="15.75">
      <c r="A1" s="1489" t="s">
        <v>2766</v>
      </c>
      <c r="B1" s="1489"/>
      <c r="C1" s="825"/>
      <c r="D1" s="826"/>
      <c r="E1" s="826"/>
      <c r="F1" s="826"/>
      <c r="G1" s="826"/>
      <c r="H1" s="336"/>
    </row>
    <row r="2" spans="1:8" ht="15.75">
      <c r="A2" s="1477" t="s">
        <v>3841</v>
      </c>
      <c r="B2" s="1477"/>
      <c r="C2" s="1477"/>
      <c r="D2" s="1477"/>
      <c r="E2" s="1477"/>
      <c r="F2" s="1477"/>
      <c r="G2" s="1477"/>
      <c r="H2" s="1477"/>
    </row>
    <row r="3" spans="1:8" ht="31.9" customHeight="1">
      <c r="A3" s="1478" t="s">
        <v>13143</v>
      </c>
      <c r="B3" s="1478"/>
      <c r="C3" s="1478"/>
      <c r="D3" s="1478"/>
      <c r="E3" s="1478"/>
      <c r="F3" s="1478"/>
      <c r="G3" s="1478"/>
      <c r="H3" s="1478"/>
    </row>
    <row r="4" spans="1:8" ht="20.45" customHeight="1">
      <c r="A4" s="827"/>
      <c r="B4" s="827"/>
      <c r="C4" s="827"/>
      <c r="D4" s="827"/>
      <c r="E4" s="827"/>
      <c r="F4" s="827"/>
      <c r="G4" s="1490" t="s">
        <v>3842</v>
      </c>
      <c r="H4" s="1490"/>
    </row>
    <row r="5" spans="1:8" ht="15.75">
      <c r="A5" s="1479" t="s">
        <v>0</v>
      </c>
      <c r="B5" s="1479" t="s">
        <v>1</v>
      </c>
      <c r="C5" s="1481" t="s">
        <v>3843</v>
      </c>
      <c r="D5" s="1479" t="s">
        <v>3</v>
      </c>
      <c r="E5" s="1481" t="s">
        <v>3844</v>
      </c>
      <c r="F5" s="1491" t="s">
        <v>3845</v>
      </c>
      <c r="G5" s="1491"/>
      <c r="H5" s="1483" t="s">
        <v>3846</v>
      </c>
    </row>
    <row r="6" spans="1:8" ht="31.5">
      <c r="A6" s="1480"/>
      <c r="B6" s="1480"/>
      <c r="C6" s="1482"/>
      <c r="D6" s="1480"/>
      <c r="E6" s="1482"/>
      <c r="F6" s="828" t="s">
        <v>3847</v>
      </c>
      <c r="G6" s="828" t="s">
        <v>3848</v>
      </c>
      <c r="H6" s="1483"/>
    </row>
    <row r="7" spans="1:8" ht="15.75" hidden="1">
      <c r="A7" s="829">
        <f>IF(E7&gt;0,COUNTIF(A6:A$6,"&gt;0")+1,0)</f>
        <v>0</v>
      </c>
      <c r="B7" s="830" t="s">
        <v>3849</v>
      </c>
      <c r="C7" s="831" t="s">
        <v>3850</v>
      </c>
      <c r="D7" s="832" t="s">
        <v>3851</v>
      </c>
      <c r="E7" s="833"/>
      <c r="F7" s="834">
        <v>0.08</v>
      </c>
      <c r="G7" s="835">
        <f>ROUND(E7*F7,0)</f>
        <v>0</v>
      </c>
      <c r="H7" s="836">
        <f t="shared" ref="H7:H10" si="0">E7+G7</f>
        <v>0</v>
      </c>
    </row>
    <row r="8" spans="1:8" ht="26.25" customHeight="1">
      <c r="A8" s="829">
        <f>IF(E8&gt;0,COUNTIF(A7:A$7,"&gt;0")+1,0)</f>
        <v>1</v>
      </c>
      <c r="B8" s="837" t="s">
        <v>3852</v>
      </c>
      <c r="C8" s="831" t="s">
        <v>3850</v>
      </c>
      <c r="D8" s="838" t="s">
        <v>3854</v>
      </c>
      <c r="E8" s="833">
        <f>6.7%*('THKP-CT'!F8+'THKP-CT'!F14)</f>
        <v>56850768.841289848</v>
      </c>
      <c r="F8" s="834">
        <v>0.08</v>
      </c>
      <c r="G8" s="835">
        <f>ROUND(E8*F8,0)</f>
        <v>4548062</v>
      </c>
      <c r="H8" s="836">
        <f t="shared" si="0"/>
        <v>61398830.841289848</v>
      </c>
    </row>
    <row r="9" spans="1:8" ht="31.5">
      <c r="A9" s="829">
        <f>IF(E9&gt;0,COUNTIF(A$7:A8,"&gt;0")+1,0)</f>
        <v>2</v>
      </c>
      <c r="B9" s="839" t="s">
        <v>3856</v>
      </c>
      <c r="C9" s="831" t="s">
        <v>3853</v>
      </c>
      <c r="D9" s="1456" t="s">
        <v>13148</v>
      </c>
      <c r="E9" s="1457">
        <f>ROUND(0.549%*45%*'THKP-CT'!F8,0)</f>
        <v>1966640</v>
      </c>
      <c r="F9" s="834">
        <v>0.08</v>
      </c>
      <c r="G9" s="835">
        <f>ROUND(E9*F9,0)</f>
        <v>157331</v>
      </c>
      <c r="H9" s="836">
        <f t="shared" si="0"/>
        <v>2123971</v>
      </c>
    </row>
    <row r="10" spans="1:8" ht="31.5">
      <c r="A10" s="829">
        <f>IF(E10&gt;0,COUNTIF(A$7:A9,"&gt;0")+1,0)</f>
        <v>3</v>
      </c>
      <c r="B10" s="839" t="s">
        <v>3858</v>
      </c>
      <c r="C10" s="831" t="s">
        <v>3855</v>
      </c>
      <c r="D10" s="1456" t="s">
        <v>13149</v>
      </c>
      <c r="E10" s="1457">
        <f>ROUND(0.549%*55%*'THKP-CT'!F8,0)</f>
        <v>2403671</v>
      </c>
      <c r="F10" s="834">
        <v>0.08</v>
      </c>
      <c r="G10" s="835">
        <f>ROUND(E10*F10,0)</f>
        <v>192294</v>
      </c>
      <c r="H10" s="836">
        <f t="shared" si="0"/>
        <v>2595965</v>
      </c>
    </row>
    <row r="11" spans="1:8" ht="31.5">
      <c r="A11" s="829">
        <f>IF(E11&gt;0,COUNTIF(A$7:A10,"&gt;0")+1,0)</f>
        <v>4</v>
      </c>
      <c r="B11" s="839" t="s">
        <v>3860</v>
      </c>
      <c r="C11" s="831" t="s">
        <v>3857</v>
      </c>
      <c r="D11" s="840" t="s">
        <v>3862</v>
      </c>
      <c r="E11" s="833">
        <f>ROUND(IF(0.05%*'THKP-CT'!F8&lt;1000000,1000000,0.05%*([2]TONG!E7+[2]TONG!E11)),0)</f>
        <v>1000000</v>
      </c>
      <c r="F11" s="834">
        <v>0.08</v>
      </c>
      <c r="G11" s="835">
        <f>E11*F11</f>
        <v>80000</v>
      </c>
      <c r="H11" s="836">
        <f>E11+G11</f>
        <v>1080000</v>
      </c>
    </row>
    <row r="12" spans="1:8" ht="31.5">
      <c r="A12" s="829">
        <f>IF(E12&gt;0,COUNTIF(A$7:A11,"&gt;0")+1,0)</f>
        <v>5</v>
      </c>
      <c r="B12" s="839" t="s">
        <v>3863</v>
      </c>
      <c r="C12" s="831" t="s">
        <v>3859</v>
      </c>
      <c r="D12" s="840" t="s">
        <v>3862</v>
      </c>
      <c r="E12" s="833">
        <f>ROUND(IF(0.05%*'THKP-CT'!F8&lt;1000000,1000000,0.05%*([2]TONG!E7+[2]TONG!E11)),0)</f>
        <v>1000000</v>
      </c>
      <c r="F12" s="834">
        <v>0.08</v>
      </c>
      <c r="G12" s="835">
        <f>E12*F12</f>
        <v>80000</v>
      </c>
      <c r="H12" s="836">
        <f>E12+G12</f>
        <v>1080000</v>
      </c>
    </row>
    <row r="13" spans="1:8" ht="22.5" customHeight="1">
      <c r="A13" s="829">
        <f>IF(E13&gt;0,COUNTIF(A$7:A12,"&gt;0")+1,0)</f>
        <v>6</v>
      </c>
      <c r="B13" s="841" t="s">
        <v>3865</v>
      </c>
      <c r="C13" s="831" t="s">
        <v>3861</v>
      </c>
      <c r="D13" s="831" t="s">
        <v>3866</v>
      </c>
      <c r="E13" s="833">
        <f>ROUND(3.508%*'THKP-CT'!F8,0)</f>
        <v>27925410</v>
      </c>
      <c r="F13" s="834">
        <v>0.08</v>
      </c>
      <c r="G13" s="835">
        <f>E13*F13</f>
        <v>2234032.7999999998</v>
      </c>
      <c r="H13" s="836">
        <f>E13+G13</f>
        <v>30159442.800000001</v>
      </c>
    </row>
    <row r="14" spans="1:8" ht="22.5" customHeight="1">
      <c r="A14" s="829">
        <f>IF(E14&gt;0,COUNTIF(A$7:A13,"&gt;0")+1,0)</f>
        <v>7</v>
      </c>
      <c r="B14" s="841" t="s">
        <v>3867</v>
      </c>
      <c r="C14" s="831" t="s">
        <v>3864</v>
      </c>
      <c r="D14" s="831" t="s">
        <v>3868</v>
      </c>
      <c r="E14" s="833">
        <f>ROUND(1.147%*'THKP-CT'!F14,0)</f>
        <v>601827</v>
      </c>
      <c r="F14" s="834">
        <v>0.08</v>
      </c>
      <c r="G14" s="835">
        <f>ROUND(E14*F14,0)</f>
        <v>48146</v>
      </c>
      <c r="H14" s="836">
        <f>E14+G14</f>
        <v>649973</v>
      </c>
    </row>
    <row r="15" spans="1:8" ht="22.5" customHeight="1">
      <c r="A15" s="842"/>
      <c r="B15" s="842" t="s">
        <v>60</v>
      </c>
      <c r="C15" s="842" t="s">
        <v>3869</v>
      </c>
      <c r="D15" s="842" t="s">
        <v>3870</v>
      </c>
      <c r="E15" s="843">
        <f>SUM(E7:E14)</f>
        <v>91748316.841289848</v>
      </c>
      <c r="F15" s="843"/>
      <c r="G15" s="843">
        <f t="shared" ref="G15:H15" si="1">SUM(G7:G14)</f>
        <v>7339865.7999999998</v>
      </c>
      <c r="H15" s="843">
        <f t="shared" si="1"/>
        <v>99088182.641289845</v>
      </c>
    </row>
  </sheetData>
  <mergeCells count="11">
    <mergeCell ref="H5:H6"/>
    <mergeCell ref="A1:B1"/>
    <mergeCell ref="A2:H2"/>
    <mergeCell ref="A3:H3"/>
    <mergeCell ref="G4:H4"/>
    <mergeCell ref="A5:A6"/>
    <mergeCell ref="B5:B6"/>
    <mergeCell ref="C5:C6"/>
    <mergeCell ref="D5:D6"/>
    <mergeCell ref="E5:E6"/>
    <mergeCell ref="F5:G5"/>
  </mergeCells>
  <conditionalFormatting sqref="E9:E12">
    <cfRule type="expression" dxfId="601" priority="1" stopIfTrue="1">
      <formula>$M9=4</formula>
    </cfRule>
    <cfRule type="expression" dxfId="600" priority="2" stopIfTrue="1">
      <formula>$M9=3</formula>
    </cfRule>
    <cfRule type="expression" dxfId="599" priority="3" stopIfTrue="1">
      <formula>$M9=2</formula>
    </cfRule>
    <cfRule type="expression" dxfId="598" priority="4" stopIfTrue="1">
      <formula>$M9=1</formula>
    </cfRule>
  </conditionalFormatting>
  <pageMargins left="0.41" right="0.34" top="0.75" bottom="0.75" header="0.3" footer="0.3"/>
  <pageSetup paperSize="9" orientation="landscape" verticalDpi="0"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O19" sqref="O19"/>
    </sheetView>
  </sheetViews>
  <sheetFormatPr defaultRowHeight="15"/>
  <cols>
    <col min="2" max="2" width="35.140625" customWidth="1"/>
    <col min="3" max="3" width="9.7109375" customWidth="1"/>
    <col min="4" max="4" width="23.5703125" customWidth="1"/>
    <col min="5" max="5" width="17" customWidth="1"/>
    <col min="6" max="6" width="10.28515625" customWidth="1"/>
    <col min="7" max="7" width="14.7109375" customWidth="1"/>
    <col min="8" max="8" width="17.28515625" customWidth="1"/>
    <col min="10" max="10" width="10" bestFit="1" customWidth="1"/>
    <col min="11" max="11" width="14" customWidth="1"/>
  </cols>
  <sheetData>
    <row r="1" spans="1:11" ht="15.75">
      <c r="A1" s="1226" t="s">
        <v>13132</v>
      </c>
      <c r="B1" s="1227"/>
      <c r="C1" s="1228"/>
      <c r="D1" s="1227"/>
      <c r="E1" s="1227"/>
      <c r="F1" s="1227"/>
      <c r="G1" s="1227"/>
      <c r="H1" s="1229"/>
    </row>
    <row r="2" spans="1:11" ht="18.75">
      <c r="A2" s="1496" t="s">
        <v>12950</v>
      </c>
      <c r="B2" s="1496"/>
      <c r="C2" s="1496"/>
      <c r="D2" s="1496"/>
      <c r="E2" s="1496"/>
      <c r="F2" s="1496"/>
      <c r="G2" s="1496"/>
      <c r="H2" s="1496"/>
    </row>
    <row r="3" spans="1:11" ht="15.75">
      <c r="A3" s="1497"/>
      <c r="B3" s="1497"/>
      <c r="C3" s="1497"/>
      <c r="D3" s="1497"/>
      <c r="E3" s="1497"/>
      <c r="F3" s="1497"/>
      <c r="G3" s="1497"/>
      <c r="H3" s="1497"/>
    </row>
    <row r="4" spans="1:11" ht="18.75">
      <c r="A4" s="1230"/>
      <c r="B4" s="1498"/>
      <c r="C4" s="1498"/>
      <c r="D4" s="1498"/>
      <c r="E4" s="1498"/>
      <c r="F4" s="1498"/>
      <c r="G4" s="1498"/>
      <c r="H4" s="1231"/>
    </row>
    <row r="5" spans="1:11" ht="15.75">
      <c r="A5" s="1479" t="s">
        <v>0</v>
      </c>
      <c r="B5" s="1479" t="s">
        <v>1</v>
      </c>
      <c r="C5" s="1481" t="s">
        <v>2</v>
      </c>
      <c r="D5" s="1479" t="s">
        <v>3</v>
      </c>
      <c r="E5" s="1481" t="s">
        <v>12951</v>
      </c>
      <c r="F5" s="1491" t="s">
        <v>3845</v>
      </c>
      <c r="G5" s="1491"/>
      <c r="H5" s="1483" t="s">
        <v>12952</v>
      </c>
    </row>
    <row r="6" spans="1:11" ht="31.5">
      <c r="A6" s="1480"/>
      <c r="B6" s="1480"/>
      <c r="C6" s="1482"/>
      <c r="D6" s="1480"/>
      <c r="E6" s="1482"/>
      <c r="F6" s="828" t="s">
        <v>3847</v>
      </c>
      <c r="G6" s="828" t="s">
        <v>3848</v>
      </c>
      <c r="H6" s="1483"/>
    </row>
    <row r="7" spans="1:11" ht="25.5" customHeight="1">
      <c r="A7" s="829">
        <f>IF(E7&gt;0,COUNTIF(A6:A$6,"&gt;0")+1,0)</f>
        <v>1</v>
      </c>
      <c r="B7" s="855" t="s">
        <v>12953</v>
      </c>
      <c r="C7" s="832" t="s">
        <v>12954</v>
      </c>
      <c r="D7" s="1458" t="s">
        <v>12955</v>
      </c>
      <c r="E7" s="833">
        <f>2/1000*'THKP-CT'!F8</f>
        <v>1592098.6238593983</v>
      </c>
      <c r="F7" s="834">
        <v>0.08</v>
      </c>
      <c r="G7" s="835">
        <f>ROUND(E7*F7,0)</f>
        <v>127368</v>
      </c>
      <c r="H7" s="836">
        <f>E7+G7</f>
        <v>1719466.6238593983</v>
      </c>
    </row>
    <row r="8" spans="1:11" ht="36.75" customHeight="1">
      <c r="A8" s="829">
        <f>IF(E8&gt;0,COUNTIF(A$7:A7,"&gt;0")+1,0)</f>
        <v>2</v>
      </c>
      <c r="B8" s="855" t="s">
        <v>12956</v>
      </c>
      <c r="C8" s="832" t="s">
        <v>12957</v>
      </c>
      <c r="D8" s="1433" t="s">
        <v>12958</v>
      </c>
      <c r="E8" s="1434">
        <v>500000</v>
      </c>
      <c r="F8" s="1435"/>
      <c r="G8" s="1436">
        <f>E8*F8</f>
        <v>0</v>
      </c>
      <c r="H8" s="1437">
        <f>E8+G8</f>
        <v>500000</v>
      </c>
      <c r="K8" s="1432">
        <f>0.019%*J10*150%*50%</f>
        <v>138288.99295852362</v>
      </c>
    </row>
    <row r="9" spans="1:11" ht="15.75" hidden="1">
      <c r="A9" s="829">
        <f>IF(E9&gt;0,COUNTIF(A$7:A8,"&gt;0")+1,0)</f>
        <v>0</v>
      </c>
      <c r="B9" s="1232" t="s">
        <v>12959</v>
      </c>
      <c r="C9" s="832" t="s">
        <v>12960</v>
      </c>
      <c r="D9" s="1233"/>
      <c r="E9" s="1234"/>
      <c r="F9" s="834">
        <v>0.08</v>
      </c>
      <c r="G9" s="835">
        <f>ROUND(E9*F9,0)</f>
        <v>0</v>
      </c>
      <c r="H9" s="836">
        <f>E9+G9</f>
        <v>0</v>
      </c>
    </row>
    <row r="10" spans="1:11" ht="41.25" customHeight="1">
      <c r="A10" s="829">
        <f>IF(E10&gt;0,COUNTIF(A$7:A9,"&gt;0")+1,0)</f>
        <v>3</v>
      </c>
      <c r="B10" s="855" t="s">
        <v>12961</v>
      </c>
      <c r="C10" s="832" t="s">
        <v>12962</v>
      </c>
      <c r="D10" s="1235" t="s">
        <v>12963</v>
      </c>
      <c r="E10" s="1236">
        <f>ROUND(0.57%*50%*J10,0)</f>
        <v>2765780</v>
      </c>
      <c r="F10" s="834"/>
      <c r="G10" s="835">
        <f>E10*F10</f>
        <v>0</v>
      </c>
      <c r="H10" s="836">
        <f>E10+G10</f>
        <v>2765780</v>
      </c>
      <c r="J10">
        <f>'THKP-CT'!F8+'THKP-CT'!F14+'THKP-CT'!F17+'THKP-CT'!F18</f>
        <v>970449073.39314842</v>
      </c>
      <c r="K10">
        <f>'THKP-CT'!F8+'THKP-CT'!F14+'THKP-CT'!F17+'THKP-CT'!F18</f>
        <v>970449073.39314842</v>
      </c>
    </row>
    <row r="11" spans="1:11" ht="31.5">
      <c r="A11" s="829">
        <f>IF(E11&gt;0,COUNTIF(A$7:A10,"&gt;0")+1,0)</f>
        <v>4</v>
      </c>
      <c r="B11" s="855" t="s">
        <v>12964</v>
      </c>
      <c r="C11" s="832" t="s">
        <v>12965</v>
      </c>
      <c r="D11" s="1235" t="s">
        <v>12966</v>
      </c>
      <c r="E11" s="1236">
        <f>0.96%*J10</f>
        <v>9316311.104574224</v>
      </c>
      <c r="F11" s="834">
        <v>0.08</v>
      </c>
      <c r="G11" s="835">
        <f>E11*F11</f>
        <v>745304.88836593798</v>
      </c>
      <c r="H11" s="836">
        <f>E11+G11</f>
        <v>10061615.992940161</v>
      </c>
    </row>
    <row r="12" spans="1:11" ht="15.75">
      <c r="A12" s="842"/>
      <c r="B12" s="842" t="s">
        <v>60</v>
      </c>
      <c r="C12" s="842" t="s">
        <v>3887</v>
      </c>
      <c r="D12" s="842"/>
      <c r="E12" s="843">
        <f>SUM(E7:E11)</f>
        <v>14174189.728433622</v>
      </c>
      <c r="F12" s="844">
        <v>0.08</v>
      </c>
      <c r="G12" s="843">
        <f>SUM(G7:G11)</f>
        <v>872672.88836593798</v>
      </c>
      <c r="H12" s="843">
        <f>SUM(H7:H11)</f>
        <v>15046862.616799559</v>
      </c>
    </row>
    <row r="13" spans="1:11">
      <c r="A13" s="1229"/>
      <c r="B13" s="1229"/>
      <c r="C13" s="1229"/>
      <c r="D13" s="1229"/>
      <c r="E13" s="1229"/>
      <c r="F13" s="1229"/>
      <c r="G13" s="1229"/>
      <c r="H13" s="1229"/>
    </row>
    <row r="14" spans="1:11" ht="15.75">
      <c r="A14" s="1237"/>
      <c r="B14" s="1229"/>
      <c r="C14" s="1229"/>
      <c r="D14" s="1229"/>
      <c r="E14" s="1229"/>
      <c r="F14" s="1229"/>
      <c r="G14" s="1229"/>
      <c r="H14" s="1229"/>
    </row>
    <row r="15" spans="1:11" ht="16.5">
      <c r="A15" s="1493" t="s">
        <v>2809</v>
      </c>
      <c r="B15" s="1493"/>
      <c r="C15" s="1238"/>
      <c r="D15" s="1239"/>
      <c r="E15" s="1239"/>
      <c r="F15" s="1239"/>
      <c r="G15" s="1238"/>
      <c r="H15" s="1229"/>
    </row>
    <row r="16" spans="1:11">
      <c r="A16" s="1494" t="s">
        <v>3895</v>
      </c>
      <c r="B16" s="1494"/>
      <c r="C16" s="1494"/>
      <c r="D16" s="1494"/>
      <c r="E16" s="1494"/>
      <c r="F16" s="1494"/>
      <c r="G16" s="1494"/>
      <c r="H16" s="1229"/>
    </row>
    <row r="17" spans="1:8">
      <c r="A17" s="1494" t="s">
        <v>3896</v>
      </c>
      <c r="B17" s="1494"/>
      <c r="C17" s="1494"/>
      <c r="D17" s="1494"/>
      <c r="E17" s="1494"/>
      <c r="F17" s="1494"/>
      <c r="G17" s="1494"/>
      <c r="H17" s="1229"/>
    </row>
    <row r="18" spans="1:8">
      <c r="A18" s="1494" t="s">
        <v>3897</v>
      </c>
      <c r="B18" s="1494"/>
      <c r="C18" s="1494"/>
      <c r="D18" s="1494"/>
      <c r="E18" s="1494"/>
      <c r="F18" s="1494"/>
      <c r="G18" s="1494"/>
      <c r="H18" s="1229"/>
    </row>
    <row r="19" spans="1:8">
      <c r="A19" s="1494" t="s">
        <v>3898</v>
      </c>
      <c r="B19" s="1494"/>
      <c r="C19" s="1494"/>
      <c r="D19" s="1494"/>
      <c r="E19" s="1494"/>
      <c r="F19" s="1494"/>
      <c r="G19" s="1494"/>
      <c r="H19" s="1229"/>
    </row>
    <row r="20" spans="1:8">
      <c r="A20" s="1495" t="s">
        <v>3899</v>
      </c>
      <c r="B20" s="1495"/>
      <c r="C20" s="1495"/>
      <c r="D20" s="1495"/>
      <c r="E20" s="1495"/>
      <c r="F20" s="1495"/>
      <c r="G20" s="1495"/>
      <c r="H20" s="1229"/>
    </row>
    <row r="21" spans="1:8">
      <c r="A21" s="1492" t="s">
        <v>13147</v>
      </c>
      <c r="B21" s="1492"/>
      <c r="C21" s="1492"/>
      <c r="D21" s="1492"/>
      <c r="E21" s="1492"/>
      <c r="F21" s="1492"/>
      <c r="G21" s="1492"/>
      <c r="H21" s="1229"/>
    </row>
    <row r="22" spans="1:8">
      <c r="A22" s="1229"/>
      <c r="B22" s="1229"/>
      <c r="C22" s="1229"/>
      <c r="D22" s="1229"/>
      <c r="E22" s="1229"/>
      <c r="F22" s="1229"/>
      <c r="G22" s="1229"/>
      <c r="H22" s="1229"/>
    </row>
  </sheetData>
  <mergeCells count="17">
    <mergeCell ref="A2:H2"/>
    <mergeCell ref="A3:H3"/>
    <mergeCell ref="B4:G4"/>
    <mergeCell ref="A5:A6"/>
    <mergeCell ref="B5:B6"/>
    <mergeCell ref="C5:C6"/>
    <mergeCell ref="D5:D6"/>
    <mergeCell ref="E5:E6"/>
    <mergeCell ref="F5:G5"/>
    <mergeCell ref="H5:H6"/>
    <mergeCell ref="A21:G21"/>
    <mergeCell ref="A15:B15"/>
    <mergeCell ref="A16:G16"/>
    <mergeCell ref="A17:G17"/>
    <mergeCell ref="A18:G18"/>
    <mergeCell ref="A19:G19"/>
    <mergeCell ref="A20:G20"/>
  </mergeCells>
  <conditionalFormatting sqref="E10:E11">
    <cfRule type="expression" dxfId="597" priority="1" stopIfTrue="1">
      <formula>$M10=4</formula>
    </cfRule>
    <cfRule type="expression" dxfId="596" priority="2" stopIfTrue="1">
      <formula>$M10=3</formula>
    </cfRule>
    <cfRule type="expression" dxfId="595" priority="3" stopIfTrue="1">
      <formula>$M10=2</formula>
    </cfRule>
    <cfRule type="expression" dxfId="594" priority="4" stopIfTrue="1">
      <formula>$M10=1</formula>
    </cfRule>
  </conditionalFormatting>
  <pageMargins left="0.54" right="0.41" top="0.56000000000000005" bottom="0.75" header="0.3" footer="0.3"/>
  <pageSetup paperSize="9" orientation="landscape" verticalDpi="0"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workbookViewId="0">
      <selection activeCell="E31" sqref="E31"/>
    </sheetView>
  </sheetViews>
  <sheetFormatPr defaultColWidth="9.140625" defaultRowHeight="15"/>
  <cols>
    <col min="1" max="1" width="12.140625" style="687" customWidth="1"/>
    <col min="2" max="2" width="43" style="687" bestFit="1" customWidth="1"/>
    <col min="3" max="3" width="24.42578125" style="687" customWidth="1"/>
    <col min="4" max="4" width="25.5703125" style="687" customWidth="1"/>
    <col min="5" max="5" width="23.7109375" style="687" customWidth="1"/>
    <col min="6" max="16384" width="9.140625" style="687"/>
  </cols>
  <sheetData>
    <row r="1" spans="1:5">
      <c r="A1" s="685" t="s">
        <v>13141</v>
      </c>
      <c r="B1" s="4"/>
      <c r="C1" s="3"/>
      <c r="D1" s="3"/>
      <c r="E1" s="686"/>
    </row>
    <row r="2" spans="1:5" ht="15.75">
      <c r="A2" s="688" t="s">
        <v>61</v>
      </c>
      <c r="B2" s="2"/>
      <c r="C2" s="2"/>
      <c r="D2" s="2"/>
      <c r="E2" s="698"/>
    </row>
    <row r="3" spans="1:5">
      <c r="A3" s="691" t="s">
        <v>3472</v>
      </c>
      <c r="B3" s="699"/>
      <c r="C3" s="699"/>
      <c r="D3" s="699"/>
      <c r="E3" s="700"/>
    </row>
    <row r="4" spans="1:5">
      <c r="A4" s="4"/>
      <c r="B4" s="4"/>
      <c r="C4" s="3"/>
      <c r="D4" s="3"/>
      <c r="E4" s="686"/>
    </row>
    <row r="5" spans="1:5" s="690" customFormat="1">
      <c r="A5" s="250" t="s">
        <v>0</v>
      </c>
      <c r="B5" s="250" t="s">
        <v>1</v>
      </c>
      <c r="C5" s="250" t="s">
        <v>2</v>
      </c>
      <c r="D5" s="250" t="s">
        <v>3</v>
      </c>
      <c r="E5" s="693" t="s">
        <v>34</v>
      </c>
    </row>
    <row r="6" spans="1:5" s="690" customFormat="1">
      <c r="A6" s="250" t="s">
        <v>4</v>
      </c>
      <c r="B6" s="694" t="s">
        <v>9</v>
      </c>
      <c r="C6" s="250" t="s">
        <v>14</v>
      </c>
      <c r="D6" s="250" t="s">
        <v>265</v>
      </c>
      <c r="E6" s="695">
        <f>+E7+E11+E14</f>
        <v>188475397.78439999</v>
      </c>
    </row>
    <row r="7" spans="1:5">
      <c r="A7" s="250">
        <v>1</v>
      </c>
      <c r="B7" s="694" t="s">
        <v>10</v>
      </c>
      <c r="C7" s="250" t="s">
        <v>11</v>
      </c>
      <c r="D7" s="250" t="s">
        <v>3556</v>
      </c>
      <c r="E7" s="695">
        <f>SUM(E8:E9)</f>
        <v>184770851.1604</v>
      </c>
    </row>
    <row r="8" spans="1:5">
      <c r="A8" s="5"/>
      <c r="B8" s="696" t="s">
        <v>64</v>
      </c>
      <c r="C8" s="5" t="s">
        <v>65</v>
      </c>
      <c r="D8" s="5" t="s">
        <v>66</v>
      </c>
      <c r="E8" s="697">
        <f>THOPCN04!I11</f>
        <v>184518931.20000002</v>
      </c>
    </row>
    <row r="9" spans="1:5">
      <c r="A9" s="5"/>
      <c r="B9" s="696" t="s">
        <v>67</v>
      </c>
      <c r="C9" s="5" t="s">
        <v>68</v>
      </c>
      <c r="D9" s="5" t="s">
        <v>66</v>
      </c>
      <c r="E9" s="697">
        <f>THOPCN04!J11</f>
        <v>251919.96040000001</v>
      </c>
    </row>
    <row r="10" spans="1:5">
      <c r="A10" s="5"/>
      <c r="B10" s="696" t="s">
        <v>3553</v>
      </c>
      <c r="C10" s="5" t="s">
        <v>3552</v>
      </c>
      <c r="D10" s="5" t="s">
        <v>66</v>
      </c>
      <c r="E10" s="697">
        <f>ChitietTNHCngam04!H8</f>
        <v>3397.9638399999999</v>
      </c>
    </row>
    <row r="11" spans="1:5">
      <c r="A11" s="250">
        <v>2</v>
      </c>
      <c r="B11" s="694" t="s">
        <v>69</v>
      </c>
      <c r="C11" s="250" t="s">
        <v>12</v>
      </c>
      <c r="D11" s="250" t="s">
        <v>3557</v>
      </c>
      <c r="E11" s="695">
        <f>E12</f>
        <v>3422682.1140000001</v>
      </c>
    </row>
    <row r="12" spans="1:5">
      <c r="A12" s="5"/>
      <c r="B12" s="696" t="s">
        <v>71</v>
      </c>
      <c r="C12" s="5" t="s">
        <v>70</v>
      </c>
      <c r="D12" s="5" t="s">
        <v>72</v>
      </c>
      <c r="E12" s="697">
        <f>THOPCN04!K11</f>
        <v>3422682.1140000001</v>
      </c>
    </row>
    <row r="13" spans="1:5">
      <c r="A13" s="5"/>
      <c r="B13" s="696" t="s">
        <v>3555</v>
      </c>
      <c r="C13" s="5" t="s">
        <v>3554</v>
      </c>
      <c r="D13" s="5" t="s">
        <v>72</v>
      </c>
      <c r="E13" s="697">
        <f>ChitietTNHCngam04!I8</f>
        <v>61001.850000000006</v>
      </c>
    </row>
    <row r="14" spans="1:5">
      <c r="A14" s="250">
        <v>3</v>
      </c>
      <c r="B14" s="694" t="s">
        <v>73</v>
      </c>
      <c r="C14" s="250" t="s">
        <v>13</v>
      </c>
      <c r="D14" s="250" t="s">
        <v>3560</v>
      </c>
      <c r="E14" s="695">
        <f>E15</f>
        <v>281864.51</v>
      </c>
    </row>
    <row r="15" spans="1:5">
      <c r="A15" s="5"/>
      <c r="B15" s="696" t="s">
        <v>75</v>
      </c>
      <c r="C15" s="5" t="s">
        <v>74</v>
      </c>
      <c r="D15" s="5" t="s">
        <v>72</v>
      </c>
      <c r="E15" s="697">
        <f>THOPCN04!L11</f>
        <v>281864.51</v>
      </c>
    </row>
    <row r="16" spans="1:5">
      <c r="A16" s="5"/>
      <c r="B16" s="696" t="s">
        <v>3559</v>
      </c>
      <c r="C16" s="5" t="s">
        <v>310</v>
      </c>
      <c r="D16" s="5" t="s">
        <v>72</v>
      </c>
      <c r="E16" s="697">
        <f>ChitietTNHCngam04!J8</f>
        <v>8879.8200000000015</v>
      </c>
    </row>
    <row r="17" spans="1:5" s="690" customFormat="1">
      <c r="A17" s="250" t="s">
        <v>6</v>
      </c>
      <c r="B17" s="694" t="s">
        <v>76</v>
      </c>
      <c r="C17" s="250" t="s">
        <v>77</v>
      </c>
      <c r="D17" s="250" t="s">
        <v>78</v>
      </c>
      <c r="E17" s="695">
        <f>SUM(E18:E20)</f>
        <v>8067480.7054164</v>
      </c>
    </row>
    <row r="18" spans="1:5">
      <c r="A18" s="5">
        <v>1</v>
      </c>
      <c r="B18" s="696" t="s">
        <v>79</v>
      </c>
      <c r="C18" s="5" t="s">
        <v>15</v>
      </c>
      <c r="D18" s="1438" t="s">
        <v>80</v>
      </c>
      <c r="E18" s="697">
        <f>65%*E11</f>
        <v>2224743.3741000001</v>
      </c>
    </row>
    <row r="19" spans="1:5">
      <c r="A19" s="5">
        <v>2</v>
      </c>
      <c r="B19" s="696" t="s">
        <v>81</v>
      </c>
      <c r="C19" s="5" t="s">
        <v>82</v>
      </c>
      <c r="D19" s="1438" t="s">
        <v>12945</v>
      </c>
      <c r="E19" s="697">
        <f>1.1%*E6</f>
        <v>2073229.3756284001</v>
      </c>
    </row>
    <row r="20" spans="1:5">
      <c r="A20" s="5">
        <v>3</v>
      </c>
      <c r="B20" s="696" t="s">
        <v>83</v>
      </c>
      <c r="C20" s="5" t="s">
        <v>84</v>
      </c>
      <c r="D20" s="1438" t="s">
        <v>85</v>
      </c>
      <c r="E20" s="697">
        <f>2%*E6</f>
        <v>3769507.9556879997</v>
      </c>
    </row>
    <row r="21" spans="1:5" s="690" customFormat="1">
      <c r="A21" s="250" t="s">
        <v>7</v>
      </c>
      <c r="B21" s="694" t="s">
        <v>16</v>
      </c>
      <c r="C21" s="250" t="s">
        <v>17</v>
      </c>
      <c r="D21" s="250" t="s">
        <v>86</v>
      </c>
      <c r="E21" s="695">
        <f>6%*(E17+E6)</f>
        <v>11792572.709388983</v>
      </c>
    </row>
    <row r="22" spans="1:5">
      <c r="A22" s="5"/>
      <c r="B22" s="696" t="s">
        <v>87</v>
      </c>
      <c r="C22" s="5" t="s">
        <v>18</v>
      </c>
      <c r="D22" s="5" t="s">
        <v>91</v>
      </c>
      <c r="E22" s="697">
        <f>+E21+E17+E6</f>
        <v>208335451.19920537</v>
      </c>
    </row>
    <row r="23" spans="1:5" s="690" customFormat="1">
      <c r="A23" s="250" t="s">
        <v>8</v>
      </c>
      <c r="B23" s="694" t="s">
        <v>88</v>
      </c>
      <c r="C23" s="250" t="s">
        <v>19</v>
      </c>
      <c r="D23" s="250" t="s">
        <v>3735</v>
      </c>
      <c r="E23" s="695">
        <f>+E22*0.08</f>
        <v>16666836.095936431</v>
      </c>
    </row>
    <row r="24" spans="1:5" s="690" customFormat="1">
      <c r="A24" s="250"/>
      <c r="B24" s="694" t="s">
        <v>89</v>
      </c>
      <c r="C24" s="250" t="s">
        <v>5</v>
      </c>
      <c r="D24" s="250" t="s">
        <v>90</v>
      </c>
      <c r="E24" s="695">
        <f>+E23+E22</f>
        <v>225002287.29514179</v>
      </c>
    </row>
  </sheetData>
  <conditionalFormatting sqref="A1:E24">
    <cfRule type="expression" dxfId="593" priority="936" stopIfTrue="1">
      <formula>#REF!=4</formula>
    </cfRule>
    <cfRule type="expression" dxfId="592" priority="937" stopIfTrue="1">
      <formula>#REF!=3</formula>
    </cfRule>
    <cfRule type="expression" dxfId="591" priority="938" stopIfTrue="1">
      <formula>#REF!=2</formula>
    </cfRule>
    <cfRule type="expression" dxfId="590" priority="939" stopIfTrue="1">
      <formula>#REF!=1</formula>
    </cfRule>
  </conditionalFormatting>
  <printOptions horizontalCentered="1"/>
  <pageMargins left="0.2" right="0.2" top="1" bottom="0.75" header="0.3" footer="0.3"/>
  <pageSetup paperSize="9" orientation="landscape" blackAndWhite="1"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2"/>
  <sheetViews>
    <sheetView workbookViewId="0">
      <selection activeCell="D22" sqref="D22"/>
    </sheetView>
  </sheetViews>
  <sheetFormatPr defaultColWidth="9.140625" defaultRowHeight="15"/>
  <cols>
    <col min="1" max="1" width="12.140625" style="687" customWidth="1"/>
    <col min="2" max="2" width="43" style="687" bestFit="1" customWidth="1"/>
    <col min="3" max="3" width="24.42578125" style="687" customWidth="1"/>
    <col min="4" max="4" width="26.7109375" style="687" customWidth="1"/>
    <col min="5" max="5" width="24.85546875" style="687" customWidth="1"/>
    <col min="6" max="6" width="9.140625" style="687"/>
    <col min="7" max="7" width="18" style="687" customWidth="1"/>
    <col min="8" max="16384" width="9.140625" style="687"/>
  </cols>
  <sheetData>
    <row r="1" spans="1:5">
      <c r="A1" s="685" t="s">
        <v>13142</v>
      </c>
      <c r="B1" s="4"/>
      <c r="C1" s="3"/>
      <c r="D1" s="3"/>
      <c r="E1" s="686"/>
    </row>
    <row r="2" spans="1:5" s="690" customFormat="1" ht="22.5" customHeight="1">
      <c r="A2" s="688" t="s">
        <v>61</v>
      </c>
      <c r="B2" s="688"/>
      <c r="C2" s="688"/>
      <c r="D2" s="688"/>
      <c r="E2" s="689"/>
    </row>
    <row r="3" spans="1:5" s="690" customFormat="1" ht="18" customHeight="1">
      <c r="A3" s="691" t="s">
        <v>3473</v>
      </c>
      <c r="B3" s="691"/>
      <c r="C3" s="691"/>
      <c r="D3" s="691"/>
      <c r="E3" s="692"/>
    </row>
    <row r="4" spans="1:5">
      <c r="A4" s="4"/>
      <c r="B4" s="4"/>
      <c r="C4" s="3"/>
      <c r="D4" s="3"/>
      <c r="E4" s="686"/>
    </row>
    <row r="5" spans="1:5" s="690" customFormat="1">
      <c r="A5" s="250" t="s">
        <v>0</v>
      </c>
      <c r="B5" s="250" t="s">
        <v>1</v>
      </c>
      <c r="C5" s="250" t="s">
        <v>2</v>
      </c>
      <c r="D5" s="250" t="s">
        <v>3</v>
      </c>
      <c r="E5" s="693" t="s">
        <v>34</v>
      </c>
    </row>
    <row r="6" spans="1:5" s="690" customFormat="1">
      <c r="A6" s="250" t="s">
        <v>4</v>
      </c>
      <c r="B6" s="694" t="s">
        <v>9</v>
      </c>
      <c r="C6" s="250" t="s">
        <v>14</v>
      </c>
      <c r="D6" s="250" t="s">
        <v>62</v>
      </c>
      <c r="E6" s="695">
        <f>+E7+E10+E12</f>
        <v>22052696.146832727</v>
      </c>
    </row>
    <row r="7" spans="1:5">
      <c r="A7" s="250">
        <v>1</v>
      </c>
      <c r="B7" s="694" t="s">
        <v>10</v>
      </c>
      <c r="C7" s="250" t="s">
        <v>11</v>
      </c>
      <c r="D7" s="250" t="s">
        <v>63</v>
      </c>
      <c r="E7" s="695">
        <f>SUM(E8:E9)</f>
        <v>10335742.567272728</v>
      </c>
    </row>
    <row r="8" spans="1:5">
      <c r="A8" s="5"/>
      <c r="B8" s="696" t="s">
        <v>64</v>
      </c>
      <c r="C8" s="5" t="s">
        <v>65</v>
      </c>
      <c r="D8" s="5" t="s">
        <v>66</v>
      </c>
      <c r="E8" s="697">
        <f>THOPCN04!I7</f>
        <v>10335742.567272728</v>
      </c>
    </row>
    <row r="9" spans="1:5">
      <c r="A9" s="5"/>
      <c r="B9" s="696" t="s">
        <v>67</v>
      </c>
      <c r="C9" s="5" t="s">
        <v>68</v>
      </c>
      <c r="D9" s="5" t="s">
        <v>66</v>
      </c>
      <c r="E9" s="697">
        <f>THOPCN04!J7</f>
        <v>0</v>
      </c>
    </row>
    <row r="10" spans="1:5">
      <c r="A10" s="250">
        <v>2</v>
      </c>
      <c r="B10" s="694" t="s">
        <v>69</v>
      </c>
      <c r="C10" s="250" t="s">
        <v>12</v>
      </c>
      <c r="D10" s="250" t="s">
        <v>70</v>
      </c>
      <c r="E10" s="695">
        <f>E11</f>
        <v>11697734.55896</v>
      </c>
    </row>
    <row r="11" spans="1:5">
      <c r="A11" s="5"/>
      <c r="B11" s="696" t="s">
        <v>71</v>
      </c>
      <c r="C11" s="5" t="s">
        <v>70</v>
      </c>
      <c r="D11" s="5" t="s">
        <v>72</v>
      </c>
      <c r="E11" s="697">
        <f>THOPCN04!K7</f>
        <v>11697734.55896</v>
      </c>
    </row>
    <row r="12" spans="1:5">
      <c r="A12" s="250">
        <v>3</v>
      </c>
      <c r="B12" s="694" t="s">
        <v>73</v>
      </c>
      <c r="C12" s="250" t="s">
        <v>13</v>
      </c>
      <c r="D12" s="250" t="s">
        <v>74</v>
      </c>
      <c r="E12" s="695">
        <f>E13</f>
        <v>19219.0206</v>
      </c>
    </row>
    <row r="13" spans="1:5">
      <c r="A13" s="250"/>
      <c r="B13" s="696" t="s">
        <v>3705</v>
      </c>
      <c r="C13" s="5" t="s">
        <v>74</v>
      </c>
      <c r="D13" s="5" t="s">
        <v>72</v>
      </c>
      <c r="E13" s="695">
        <f>THOPCN04!L7</f>
        <v>19219.0206</v>
      </c>
    </row>
    <row r="14" spans="1:5" s="690" customFormat="1">
      <c r="A14" s="250" t="s">
        <v>6</v>
      </c>
      <c r="B14" s="694" t="s">
        <v>76</v>
      </c>
      <c r="C14" s="250" t="s">
        <v>77</v>
      </c>
      <c r="D14" s="250" t="s">
        <v>78</v>
      </c>
      <c r="E14" s="695">
        <f>SUM(E15:E17)</f>
        <v>2403743.8800047673</v>
      </c>
    </row>
    <row r="15" spans="1:5">
      <c r="A15" s="5">
        <v>1</v>
      </c>
      <c r="B15" s="696" t="s">
        <v>79</v>
      </c>
      <c r="C15" s="5" t="s">
        <v>15</v>
      </c>
      <c r="D15" s="5" t="s">
        <v>2701</v>
      </c>
      <c r="E15" s="697">
        <f>7.3%*E6</f>
        <v>1609846.8187187889</v>
      </c>
    </row>
    <row r="16" spans="1:5">
      <c r="A16" s="5">
        <v>2</v>
      </c>
      <c r="B16" s="696" t="s">
        <v>81</v>
      </c>
      <c r="C16" s="5" t="s">
        <v>82</v>
      </c>
      <c r="D16" s="5" t="s">
        <v>12945</v>
      </c>
      <c r="E16" s="697">
        <f>1.1%*E6</f>
        <v>242579.65761516002</v>
      </c>
    </row>
    <row r="17" spans="1:5">
      <c r="A17" s="5">
        <v>3</v>
      </c>
      <c r="B17" s="696" t="s">
        <v>83</v>
      </c>
      <c r="C17" s="5" t="s">
        <v>84</v>
      </c>
      <c r="D17" s="5" t="s">
        <v>12946</v>
      </c>
      <c r="E17" s="697">
        <f>2.5%*E6</f>
        <v>551317.4036708182</v>
      </c>
    </row>
    <row r="18" spans="1:5" s="690" customFormat="1">
      <c r="A18" s="250" t="s">
        <v>7</v>
      </c>
      <c r="B18" s="694" t="s">
        <v>16</v>
      </c>
      <c r="C18" s="250" t="s">
        <v>17</v>
      </c>
      <c r="D18" s="250" t="s">
        <v>12947</v>
      </c>
      <c r="E18" s="695">
        <f>5.5%*(E14+E6)</f>
        <v>1345104.2014760622</v>
      </c>
    </row>
    <row r="19" spans="1:5">
      <c r="A19" s="5"/>
      <c r="B19" s="696" t="s">
        <v>87</v>
      </c>
      <c r="C19" s="5" t="s">
        <v>18</v>
      </c>
      <c r="D19" s="5" t="s">
        <v>91</v>
      </c>
      <c r="E19" s="697">
        <f>+E18+E14+E6</f>
        <v>25801544.228313558</v>
      </c>
    </row>
    <row r="20" spans="1:5" s="690" customFormat="1">
      <c r="A20" s="250" t="s">
        <v>8</v>
      </c>
      <c r="B20" s="694" t="s">
        <v>88</v>
      </c>
      <c r="C20" s="250" t="s">
        <v>19</v>
      </c>
      <c r="D20" s="250" t="s">
        <v>3735</v>
      </c>
      <c r="E20" s="695">
        <f>+E19*0.08</f>
        <v>2064123.5382650846</v>
      </c>
    </row>
    <row r="21" spans="1:5">
      <c r="A21" s="5"/>
      <c r="B21" s="696" t="s">
        <v>20</v>
      </c>
      <c r="C21" s="5" t="s">
        <v>5</v>
      </c>
      <c r="D21" s="5" t="s">
        <v>92</v>
      </c>
      <c r="E21" s="697">
        <f>+E20+E19</f>
        <v>27865667.766578641</v>
      </c>
    </row>
    <row r="22" spans="1:5" s="690" customFormat="1">
      <c r="A22" s="250"/>
      <c r="B22" s="694" t="s">
        <v>89</v>
      </c>
      <c r="C22" s="250" t="s">
        <v>5</v>
      </c>
      <c r="D22" s="250" t="s">
        <v>90</v>
      </c>
      <c r="E22" s="695">
        <f>+E21</f>
        <v>27865667.766578641</v>
      </c>
    </row>
  </sheetData>
  <conditionalFormatting sqref="A1:E22">
    <cfRule type="expression" dxfId="589" priority="940" stopIfTrue="1">
      <formula>#REF!=4</formula>
    </cfRule>
    <cfRule type="expression" dxfId="588" priority="941" stopIfTrue="1">
      <formula>#REF!=3</formula>
    </cfRule>
    <cfRule type="expression" dxfId="587" priority="942" stopIfTrue="1">
      <formula>#REF!=2</formula>
    </cfRule>
    <cfRule type="expression" dxfId="586" priority="943" stopIfTrue="1">
      <formula>#REF!=1</formula>
    </cfRule>
  </conditionalFormatting>
  <printOptions horizontalCentered="1"/>
  <pageMargins left="0.2" right="0.2" top="0.83" bottom="0.75" header="0.3" footer="0.3"/>
  <pageSetup paperSize="9" orientation="landscape" blackAndWhite="1" verticalDpi="300"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2"/>
  <sheetViews>
    <sheetView workbookViewId="0">
      <selection activeCell="G32" sqref="G32"/>
    </sheetView>
  </sheetViews>
  <sheetFormatPr defaultColWidth="9" defaultRowHeight="12.75"/>
  <cols>
    <col min="1" max="1" width="8.140625" style="705" customWidth="1"/>
    <col min="2" max="2" width="47.7109375" style="705" customWidth="1"/>
    <col min="3" max="3" width="6.5703125" style="712" customWidth="1"/>
    <col min="4" max="4" width="7.7109375" style="705" customWidth="1"/>
    <col min="5" max="5" width="14.28515625" style="705" customWidth="1"/>
    <col min="6" max="6" width="10.7109375" style="705" customWidth="1"/>
    <col min="7" max="7" width="10.42578125" style="705" customWidth="1"/>
    <col min="8" max="8" width="10.5703125" style="705" customWidth="1"/>
    <col min="9" max="9" width="12.42578125" style="705" customWidth="1"/>
    <col min="10" max="10" width="9.140625" style="705" customWidth="1"/>
    <col min="11" max="11" width="11.5703125" style="705" customWidth="1"/>
    <col min="12" max="12" width="10.5703125" style="705" customWidth="1"/>
    <col min="13" max="256" width="9" style="705"/>
    <col min="257" max="257" width="8.140625" style="705" customWidth="1"/>
    <col min="258" max="258" width="31.7109375" style="705" customWidth="1"/>
    <col min="259" max="259" width="6.5703125" style="705" customWidth="1"/>
    <col min="260" max="260" width="7.7109375" style="705" customWidth="1"/>
    <col min="261" max="261" width="14.28515625" style="705" customWidth="1"/>
    <col min="262" max="262" width="10.7109375" style="705" customWidth="1"/>
    <col min="263" max="263" width="11.42578125" style="705" customWidth="1"/>
    <col min="264" max="264" width="12" style="705" customWidth="1"/>
    <col min="265" max="265" width="14" style="705" customWidth="1"/>
    <col min="266" max="266" width="10.7109375" style="705" customWidth="1"/>
    <col min="267" max="267" width="13" style="705" customWidth="1"/>
    <col min="268" max="268" width="11.7109375" style="705" customWidth="1"/>
    <col min="269" max="512" width="9" style="705"/>
    <col min="513" max="513" width="8.140625" style="705" customWidth="1"/>
    <col min="514" max="514" width="31.7109375" style="705" customWidth="1"/>
    <col min="515" max="515" width="6.5703125" style="705" customWidth="1"/>
    <col min="516" max="516" width="7.7109375" style="705" customWidth="1"/>
    <col min="517" max="517" width="14.28515625" style="705" customWidth="1"/>
    <col min="518" max="518" width="10.7109375" style="705" customWidth="1"/>
    <col min="519" max="519" width="11.42578125" style="705" customWidth="1"/>
    <col min="520" max="520" width="12" style="705" customWidth="1"/>
    <col min="521" max="521" width="14" style="705" customWidth="1"/>
    <col min="522" max="522" width="10.7109375" style="705" customWidth="1"/>
    <col min="523" max="523" width="13" style="705" customWidth="1"/>
    <col min="524" max="524" width="11.7109375" style="705" customWidth="1"/>
    <col min="525" max="768" width="9" style="705"/>
    <col min="769" max="769" width="8.140625" style="705" customWidth="1"/>
    <col min="770" max="770" width="31.7109375" style="705" customWidth="1"/>
    <col min="771" max="771" width="6.5703125" style="705" customWidth="1"/>
    <col min="772" max="772" width="7.7109375" style="705" customWidth="1"/>
    <col min="773" max="773" width="14.28515625" style="705" customWidth="1"/>
    <col min="774" max="774" width="10.7109375" style="705" customWidth="1"/>
    <col min="775" max="775" width="11.42578125" style="705" customWidth="1"/>
    <col min="776" max="776" width="12" style="705" customWidth="1"/>
    <col min="777" max="777" width="14" style="705" customWidth="1"/>
    <col min="778" max="778" width="10.7109375" style="705" customWidth="1"/>
    <col min="779" max="779" width="13" style="705" customWidth="1"/>
    <col min="780" max="780" width="11.7109375" style="705" customWidth="1"/>
    <col min="781" max="1024" width="9" style="705"/>
    <col min="1025" max="1025" width="8.140625" style="705" customWidth="1"/>
    <col min="1026" max="1026" width="31.7109375" style="705" customWidth="1"/>
    <col min="1027" max="1027" width="6.5703125" style="705" customWidth="1"/>
    <col min="1028" max="1028" width="7.7109375" style="705" customWidth="1"/>
    <col min="1029" max="1029" width="14.28515625" style="705" customWidth="1"/>
    <col min="1030" max="1030" width="10.7109375" style="705" customWidth="1"/>
    <col min="1031" max="1031" width="11.42578125" style="705" customWidth="1"/>
    <col min="1032" max="1032" width="12" style="705" customWidth="1"/>
    <col min="1033" max="1033" width="14" style="705" customWidth="1"/>
    <col min="1034" max="1034" width="10.7109375" style="705" customWidth="1"/>
    <col min="1035" max="1035" width="13" style="705" customWidth="1"/>
    <col min="1036" max="1036" width="11.7109375" style="705" customWidth="1"/>
    <col min="1037" max="1280" width="9" style="705"/>
    <col min="1281" max="1281" width="8.140625" style="705" customWidth="1"/>
    <col min="1282" max="1282" width="31.7109375" style="705" customWidth="1"/>
    <col min="1283" max="1283" width="6.5703125" style="705" customWidth="1"/>
    <col min="1284" max="1284" width="7.7109375" style="705" customWidth="1"/>
    <col min="1285" max="1285" width="14.28515625" style="705" customWidth="1"/>
    <col min="1286" max="1286" width="10.7109375" style="705" customWidth="1"/>
    <col min="1287" max="1287" width="11.42578125" style="705" customWidth="1"/>
    <col min="1288" max="1288" width="12" style="705" customWidth="1"/>
    <col min="1289" max="1289" width="14" style="705" customWidth="1"/>
    <col min="1290" max="1290" width="10.7109375" style="705" customWidth="1"/>
    <col min="1291" max="1291" width="13" style="705" customWidth="1"/>
    <col min="1292" max="1292" width="11.7109375" style="705" customWidth="1"/>
    <col min="1293" max="1536" width="9" style="705"/>
    <col min="1537" max="1537" width="8.140625" style="705" customWidth="1"/>
    <col min="1538" max="1538" width="31.7109375" style="705" customWidth="1"/>
    <col min="1539" max="1539" width="6.5703125" style="705" customWidth="1"/>
    <col min="1540" max="1540" width="7.7109375" style="705" customWidth="1"/>
    <col min="1541" max="1541" width="14.28515625" style="705" customWidth="1"/>
    <col min="1542" max="1542" width="10.7109375" style="705" customWidth="1"/>
    <col min="1543" max="1543" width="11.42578125" style="705" customWidth="1"/>
    <col min="1544" max="1544" width="12" style="705" customWidth="1"/>
    <col min="1545" max="1545" width="14" style="705" customWidth="1"/>
    <col min="1546" max="1546" width="10.7109375" style="705" customWidth="1"/>
    <col min="1547" max="1547" width="13" style="705" customWidth="1"/>
    <col min="1548" max="1548" width="11.7109375" style="705" customWidth="1"/>
    <col min="1549" max="1792" width="9" style="705"/>
    <col min="1793" max="1793" width="8.140625" style="705" customWidth="1"/>
    <col min="1794" max="1794" width="31.7109375" style="705" customWidth="1"/>
    <col min="1795" max="1795" width="6.5703125" style="705" customWidth="1"/>
    <col min="1796" max="1796" width="7.7109375" style="705" customWidth="1"/>
    <col min="1797" max="1797" width="14.28515625" style="705" customWidth="1"/>
    <col min="1798" max="1798" width="10.7109375" style="705" customWidth="1"/>
    <col min="1799" max="1799" width="11.42578125" style="705" customWidth="1"/>
    <col min="1800" max="1800" width="12" style="705" customWidth="1"/>
    <col min="1801" max="1801" width="14" style="705" customWidth="1"/>
    <col min="1802" max="1802" width="10.7109375" style="705" customWidth="1"/>
    <col min="1803" max="1803" width="13" style="705" customWidth="1"/>
    <col min="1804" max="1804" width="11.7109375" style="705" customWidth="1"/>
    <col min="1805" max="2048" width="9" style="705"/>
    <col min="2049" max="2049" width="8.140625" style="705" customWidth="1"/>
    <col min="2050" max="2050" width="31.7109375" style="705" customWidth="1"/>
    <col min="2051" max="2051" width="6.5703125" style="705" customWidth="1"/>
    <col min="2052" max="2052" width="7.7109375" style="705" customWidth="1"/>
    <col min="2053" max="2053" width="14.28515625" style="705" customWidth="1"/>
    <col min="2054" max="2054" width="10.7109375" style="705" customWidth="1"/>
    <col min="2055" max="2055" width="11.42578125" style="705" customWidth="1"/>
    <col min="2056" max="2056" width="12" style="705" customWidth="1"/>
    <col min="2057" max="2057" width="14" style="705" customWidth="1"/>
    <col min="2058" max="2058" width="10.7109375" style="705" customWidth="1"/>
    <col min="2059" max="2059" width="13" style="705" customWidth="1"/>
    <col min="2060" max="2060" width="11.7109375" style="705" customWidth="1"/>
    <col min="2061" max="2304" width="9" style="705"/>
    <col min="2305" max="2305" width="8.140625" style="705" customWidth="1"/>
    <col min="2306" max="2306" width="31.7109375" style="705" customWidth="1"/>
    <col min="2307" max="2307" width="6.5703125" style="705" customWidth="1"/>
    <col min="2308" max="2308" width="7.7109375" style="705" customWidth="1"/>
    <col min="2309" max="2309" width="14.28515625" style="705" customWidth="1"/>
    <col min="2310" max="2310" width="10.7109375" style="705" customWidth="1"/>
    <col min="2311" max="2311" width="11.42578125" style="705" customWidth="1"/>
    <col min="2312" max="2312" width="12" style="705" customWidth="1"/>
    <col min="2313" max="2313" width="14" style="705" customWidth="1"/>
    <col min="2314" max="2314" width="10.7109375" style="705" customWidth="1"/>
    <col min="2315" max="2315" width="13" style="705" customWidth="1"/>
    <col min="2316" max="2316" width="11.7109375" style="705" customWidth="1"/>
    <col min="2317" max="2560" width="9" style="705"/>
    <col min="2561" max="2561" width="8.140625" style="705" customWidth="1"/>
    <col min="2562" max="2562" width="31.7109375" style="705" customWidth="1"/>
    <col min="2563" max="2563" width="6.5703125" style="705" customWidth="1"/>
    <col min="2564" max="2564" width="7.7109375" style="705" customWidth="1"/>
    <col min="2565" max="2565" width="14.28515625" style="705" customWidth="1"/>
    <col min="2566" max="2566" width="10.7109375" style="705" customWidth="1"/>
    <col min="2567" max="2567" width="11.42578125" style="705" customWidth="1"/>
    <col min="2568" max="2568" width="12" style="705" customWidth="1"/>
    <col min="2569" max="2569" width="14" style="705" customWidth="1"/>
    <col min="2570" max="2570" width="10.7109375" style="705" customWidth="1"/>
    <col min="2571" max="2571" width="13" style="705" customWidth="1"/>
    <col min="2572" max="2572" width="11.7109375" style="705" customWidth="1"/>
    <col min="2573" max="2816" width="9" style="705"/>
    <col min="2817" max="2817" width="8.140625" style="705" customWidth="1"/>
    <col min="2818" max="2818" width="31.7109375" style="705" customWidth="1"/>
    <col min="2819" max="2819" width="6.5703125" style="705" customWidth="1"/>
    <col min="2820" max="2820" width="7.7109375" style="705" customWidth="1"/>
    <col min="2821" max="2821" width="14.28515625" style="705" customWidth="1"/>
    <col min="2822" max="2822" width="10.7109375" style="705" customWidth="1"/>
    <col min="2823" max="2823" width="11.42578125" style="705" customWidth="1"/>
    <col min="2824" max="2824" width="12" style="705" customWidth="1"/>
    <col min="2825" max="2825" width="14" style="705" customWidth="1"/>
    <col min="2826" max="2826" width="10.7109375" style="705" customWidth="1"/>
    <col min="2827" max="2827" width="13" style="705" customWidth="1"/>
    <col min="2828" max="2828" width="11.7109375" style="705" customWidth="1"/>
    <col min="2829" max="3072" width="9" style="705"/>
    <col min="3073" max="3073" width="8.140625" style="705" customWidth="1"/>
    <col min="3074" max="3074" width="31.7109375" style="705" customWidth="1"/>
    <col min="3075" max="3075" width="6.5703125" style="705" customWidth="1"/>
    <col min="3076" max="3076" width="7.7109375" style="705" customWidth="1"/>
    <col min="3077" max="3077" width="14.28515625" style="705" customWidth="1"/>
    <col min="3078" max="3078" width="10.7109375" style="705" customWidth="1"/>
    <col min="3079" max="3079" width="11.42578125" style="705" customWidth="1"/>
    <col min="3080" max="3080" width="12" style="705" customWidth="1"/>
    <col min="3081" max="3081" width="14" style="705" customWidth="1"/>
    <col min="3082" max="3082" width="10.7109375" style="705" customWidth="1"/>
    <col min="3083" max="3083" width="13" style="705" customWidth="1"/>
    <col min="3084" max="3084" width="11.7109375" style="705" customWidth="1"/>
    <col min="3085" max="3328" width="9" style="705"/>
    <col min="3329" max="3329" width="8.140625" style="705" customWidth="1"/>
    <col min="3330" max="3330" width="31.7109375" style="705" customWidth="1"/>
    <col min="3331" max="3331" width="6.5703125" style="705" customWidth="1"/>
    <col min="3332" max="3332" width="7.7109375" style="705" customWidth="1"/>
    <col min="3333" max="3333" width="14.28515625" style="705" customWidth="1"/>
    <col min="3334" max="3334" width="10.7109375" style="705" customWidth="1"/>
    <col min="3335" max="3335" width="11.42578125" style="705" customWidth="1"/>
    <col min="3336" max="3336" width="12" style="705" customWidth="1"/>
    <col min="3337" max="3337" width="14" style="705" customWidth="1"/>
    <col min="3338" max="3338" width="10.7109375" style="705" customWidth="1"/>
    <col min="3339" max="3339" width="13" style="705" customWidth="1"/>
    <col min="3340" max="3340" width="11.7109375" style="705" customWidth="1"/>
    <col min="3341" max="3584" width="9" style="705"/>
    <col min="3585" max="3585" width="8.140625" style="705" customWidth="1"/>
    <col min="3586" max="3586" width="31.7109375" style="705" customWidth="1"/>
    <col min="3587" max="3587" width="6.5703125" style="705" customWidth="1"/>
    <col min="3588" max="3588" width="7.7109375" style="705" customWidth="1"/>
    <col min="3589" max="3589" width="14.28515625" style="705" customWidth="1"/>
    <col min="3590" max="3590" width="10.7109375" style="705" customWidth="1"/>
    <col min="3591" max="3591" width="11.42578125" style="705" customWidth="1"/>
    <col min="3592" max="3592" width="12" style="705" customWidth="1"/>
    <col min="3593" max="3593" width="14" style="705" customWidth="1"/>
    <col min="3594" max="3594" width="10.7109375" style="705" customWidth="1"/>
    <col min="3595" max="3595" width="13" style="705" customWidth="1"/>
    <col min="3596" max="3596" width="11.7109375" style="705" customWidth="1"/>
    <col min="3597" max="3840" width="9" style="705"/>
    <col min="3841" max="3841" width="8.140625" style="705" customWidth="1"/>
    <col min="3842" max="3842" width="31.7109375" style="705" customWidth="1"/>
    <col min="3843" max="3843" width="6.5703125" style="705" customWidth="1"/>
    <col min="3844" max="3844" width="7.7109375" style="705" customWidth="1"/>
    <col min="3845" max="3845" width="14.28515625" style="705" customWidth="1"/>
    <col min="3846" max="3846" width="10.7109375" style="705" customWidth="1"/>
    <col min="3847" max="3847" width="11.42578125" style="705" customWidth="1"/>
    <col min="3848" max="3848" width="12" style="705" customWidth="1"/>
    <col min="3849" max="3849" width="14" style="705" customWidth="1"/>
    <col min="3850" max="3850" width="10.7109375" style="705" customWidth="1"/>
    <col min="3851" max="3851" width="13" style="705" customWidth="1"/>
    <col min="3852" max="3852" width="11.7109375" style="705" customWidth="1"/>
    <col min="3853" max="4096" width="9" style="705"/>
    <col min="4097" max="4097" width="8.140625" style="705" customWidth="1"/>
    <col min="4098" max="4098" width="31.7109375" style="705" customWidth="1"/>
    <col min="4099" max="4099" width="6.5703125" style="705" customWidth="1"/>
    <col min="4100" max="4100" width="7.7109375" style="705" customWidth="1"/>
    <col min="4101" max="4101" width="14.28515625" style="705" customWidth="1"/>
    <col min="4102" max="4102" width="10.7109375" style="705" customWidth="1"/>
    <col min="4103" max="4103" width="11.42578125" style="705" customWidth="1"/>
    <col min="4104" max="4104" width="12" style="705" customWidth="1"/>
    <col min="4105" max="4105" width="14" style="705" customWidth="1"/>
    <col min="4106" max="4106" width="10.7109375" style="705" customWidth="1"/>
    <col min="4107" max="4107" width="13" style="705" customWidth="1"/>
    <col min="4108" max="4108" width="11.7109375" style="705" customWidth="1"/>
    <col min="4109" max="4352" width="9" style="705"/>
    <col min="4353" max="4353" width="8.140625" style="705" customWidth="1"/>
    <col min="4354" max="4354" width="31.7109375" style="705" customWidth="1"/>
    <col min="4355" max="4355" width="6.5703125" style="705" customWidth="1"/>
    <col min="4356" max="4356" width="7.7109375" style="705" customWidth="1"/>
    <col min="4357" max="4357" width="14.28515625" style="705" customWidth="1"/>
    <col min="4358" max="4358" width="10.7109375" style="705" customWidth="1"/>
    <col min="4359" max="4359" width="11.42578125" style="705" customWidth="1"/>
    <col min="4360" max="4360" width="12" style="705" customWidth="1"/>
    <col min="4361" max="4361" width="14" style="705" customWidth="1"/>
    <col min="4362" max="4362" width="10.7109375" style="705" customWidth="1"/>
    <col min="4363" max="4363" width="13" style="705" customWidth="1"/>
    <col min="4364" max="4364" width="11.7109375" style="705" customWidth="1"/>
    <col min="4365" max="4608" width="9" style="705"/>
    <col min="4609" max="4609" width="8.140625" style="705" customWidth="1"/>
    <col min="4610" max="4610" width="31.7109375" style="705" customWidth="1"/>
    <col min="4611" max="4611" width="6.5703125" style="705" customWidth="1"/>
    <col min="4612" max="4612" width="7.7109375" style="705" customWidth="1"/>
    <col min="4613" max="4613" width="14.28515625" style="705" customWidth="1"/>
    <col min="4614" max="4614" width="10.7109375" style="705" customWidth="1"/>
    <col min="4615" max="4615" width="11.42578125" style="705" customWidth="1"/>
    <col min="4616" max="4616" width="12" style="705" customWidth="1"/>
    <col min="4617" max="4617" width="14" style="705" customWidth="1"/>
    <col min="4618" max="4618" width="10.7109375" style="705" customWidth="1"/>
    <col min="4619" max="4619" width="13" style="705" customWidth="1"/>
    <col min="4620" max="4620" width="11.7109375" style="705" customWidth="1"/>
    <col min="4621" max="4864" width="9" style="705"/>
    <col min="4865" max="4865" width="8.140625" style="705" customWidth="1"/>
    <col min="4866" max="4866" width="31.7109375" style="705" customWidth="1"/>
    <col min="4867" max="4867" width="6.5703125" style="705" customWidth="1"/>
    <col min="4868" max="4868" width="7.7109375" style="705" customWidth="1"/>
    <col min="4869" max="4869" width="14.28515625" style="705" customWidth="1"/>
    <col min="4870" max="4870" width="10.7109375" style="705" customWidth="1"/>
    <col min="4871" max="4871" width="11.42578125" style="705" customWidth="1"/>
    <col min="4872" max="4872" width="12" style="705" customWidth="1"/>
    <col min="4873" max="4873" width="14" style="705" customWidth="1"/>
    <col min="4874" max="4874" width="10.7109375" style="705" customWidth="1"/>
    <col min="4875" max="4875" width="13" style="705" customWidth="1"/>
    <col min="4876" max="4876" width="11.7109375" style="705" customWidth="1"/>
    <col min="4877" max="5120" width="9" style="705"/>
    <col min="5121" max="5121" width="8.140625" style="705" customWidth="1"/>
    <col min="5122" max="5122" width="31.7109375" style="705" customWidth="1"/>
    <col min="5123" max="5123" width="6.5703125" style="705" customWidth="1"/>
    <col min="5124" max="5124" width="7.7109375" style="705" customWidth="1"/>
    <col min="5125" max="5125" width="14.28515625" style="705" customWidth="1"/>
    <col min="5126" max="5126" width="10.7109375" style="705" customWidth="1"/>
    <col min="5127" max="5127" width="11.42578125" style="705" customWidth="1"/>
    <col min="5128" max="5128" width="12" style="705" customWidth="1"/>
    <col min="5129" max="5129" width="14" style="705" customWidth="1"/>
    <col min="5130" max="5130" width="10.7109375" style="705" customWidth="1"/>
    <col min="5131" max="5131" width="13" style="705" customWidth="1"/>
    <col min="5132" max="5132" width="11.7109375" style="705" customWidth="1"/>
    <col min="5133" max="5376" width="9" style="705"/>
    <col min="5377" max="5377" width="8.140625" style="705" customWidth="1"/>
    <col min="5378" max="5378" width="31.7109375" style="705" customWidth="1"/>
    <col min="5379" max="5379" width="6.5703125" style="705" customWidth="1"/>
    <col min="5380" max="5380" width="7.7109375" style="705" customWidth="1"/>
    <col min="5381" max="5381" width="14.28515625" style="705" customWidth="1"/>
    <col min="5382" max="5382" width="10.7109375" style="705" customWidth="1"/>
    <col min="5383" max="5383" width="11.42578125" style="705" customWidth="1"/>
    <col min="5384" max="5384" width="12" style="705" customWidth="1"/>
    <col min="5385" max="5385" width="14" style="705" customWidth="1"/>
    <col min="5386" max="5386" width="10.7109375" style="705" customWidth="1"/>
    <col min="5387" max="5387" width="13" style="705" customWidth="1"/>
    <col min="5388" max="5388" width="11.7109375" style="705" customWidth="1"/>
    <col min="5389" max="5632" width="9" style="705"/>
    <col min="5633" max="5633" width="8.140625" style="705" customWidth="1"/>
    <col min="5634" max="5634" width="31.7109375" style="705" customWidth="1"/>
    <col min="5635" max="5635" width="6.5703125" style="705" customWidth="1"/>
    <col min="5636" max="5636" width="7.7109375" style="705" customWidth="1"/>
    <col min="5637" max="5637" width="14.28515625" style="705" customWidth="1"/>
    <col min="5638" max="5638" width="10.7109375" style="705" customWidth="1"/>
    <col min="5639" max="5639" width="11.42578125" style="705" customWidth="1"/>
    <col min="5640" max="5640" width="12" style="705" customWidth="1"/>
    <col min="5641" max="5641" width="14" style="705" customWidth="1"/>
    <col min="5642" max="5642" width="10.7109375" style="705" customWidth="1"/>
    <col min="5643" max="5643" width="13" style="705" customWidth="1"/>
    <col min="5644" max="5644" width="11.7109375" style="705" customWidth="1"/>
    <col min="5645" max="5888" width="9" style="705"/>
    <col min="5889" max="5889" width="8.140625" style="705" customWidth="1"/>
    <col min="5890" max="5890" width="31.7109375" style="705" customWidth="1"/>
    <col min="5891" max="5891" width="6.5703125" style="705" customWidth="1"/>
    <col min="5892" max="5892" width="7.7109375" style="705" customWidth="1"/>
    <col min="5893" max="5893" width="14.28515625" style="705" customWidth="1"/>
    <col min="5894" max="5894" width="10.7109375" style="705" customWidth="1"/>
    <col min="5895" max="5895" width="11.42578125" style="705" customWidth="1"/>
    <col min="5896" max="5896" width="12" style="705" customWidth="1"/>
    <col min="5897" max="5897" width="14" style="705" customWidth="1"/>
    <col min="5898" max="5898" width="10.7109375" style="705" customWidth="1"/>
    <col min="5899" max="5899" width="13" style="705" customWidth="1"/>
    <col min="5900" max="5900" width="11.7109375" style="705" customWidth="1"/>
    <col min="5901" max="6144" width="9" style="705"/>
    <col min="6145" max="6145" width="8.140625" style="705" customWidth="1"/>
    <col min="6146" max="6146" width="31.7109375" style="705" customWidth="1"/>
    <col min="6147" max="6147" width="6.5703125" style="705" customWidth="1"/>
    <col min="6148" max="6148" width="7.7109375" style="705" customWidth="1"/>
    <col min="6149" max="6149" width="14.28515625" style="705" customWidth="1"/>
    <col min="6150" max="6150" width="10.7109375" style="705" customWidth="1"/>
    <col min="6151" max="6151" width="11.42578125" style="705" customWidth="1"/>
    <col min="6152" max="6152" width="12" style="705" customWidth="1"/>
    <col min="6153" max="6153" width="14" style="705" customWidth="1"/>
    <col min="6154" max="6154" width="10.7109375" style="705" customWidth="1"/>
    <col min="6155" max="6155" width="13" style="705" customWidth="1"/>
    <col min="6156" max="6156" width="11.7109375" style="705" customWidth="1"/>
    <col min="6157" max="6400" width="9" style="705"/>
    <col min="6401" max="6401" width="8.140625" style="705" customWidth="1"/>
    <col min="6402" max="6402" width="31.7109375" style="705" customWidth="1"/>
    <col min="6403" max="6403" width="6.5703125" style="705" customWidth="1"/>
    <col min="6404" max="6404" width="7.7109375" style="705" customWidth="1"/>
    <col min="6405" max="6405" width="14.28515625" style="705" customWidth="1"/>
    <col min="6406" max="6406" width="10.7109375" style="705" customWidth="1"/>
    <col min="6407" max="6407" width="11.42578125" style="705" customWidth="1"/>
    <col min="6408" max="6408" width="12" style="705" customWidth="1"/>
    <col min="6409" max="6409" width="14" style="705" customWidth="1"/>
    <col min="6410" max="6410" width="10.7109375" style="705" customWidth="1"/>
    <col min="6411" max="6411" width="13" style="705" customWidth="1"/>
    <col min="6412" max="6412" width="11.7109375" style="705" customWidth="1"/>
    <col min="6413" max="6656" width="9" style="705"/>
    <col min="6657" max="6657" width="8.140625" style="705" customWidth="1"/>
    <col min="6658" max="6658" width="31.7109375" style="705" customWidth="1"/>
    <col min="6659" max="6659" width="6.5703125" style="705" customWidth="1"/>
    <col min="6660" max="6660" width="7.7109375" style="705" customWidth="1"/>
    <col min="6661" max="6661" width="14.28515625" style="705" customWidth="1"/>
    <col min="6662" max="6662" width="10.7109375" style="705" customWidth="1"/>
    <col min="6663" max="6663" width="11.42578125" style="705" customWidth="1"/>
    <col min="6664" max="6664" width="12" style="705" customWidth="1"/>
    <col min="6665" max="6665" width="14" style="705" customWidth="1"/>
    <col min="6666" max="6666" width="10.7109375" style="705" customWidth="1"/>
    <col min="6667" max="6667" width="13" style="705" customWidth="1"/>
    <col min="6668" max="6668" width="11.7109375" style="705" customWidth="1"/>
    <col min="6669" max="6912" width="9" style="705"/>
    <col min="6913" max="6913" width="8.140625" style="705" customWidth="1"/>
    <col min="6914" max="6914" width="31.7109375" style="705" customWidth="1"/>
    <col min="6915" max="6915" width="6.5703125" style="705" customWidth="1"/>
    <col min="6916" max="6916" width="7.7109375" style="705" customWidth="1"/>
    <col min="6917" max="6917" width="14.28515625" style="705" customWidth="1"/>
    <col min="6918" max="6918" width="10.7109375" style="705" customWidth="1"/>
    <col min="6919" max="6919" width="11.42578125" style="705" customWidth="1"/>
    <col min="6920" max="6920" width="12" style="705" customWidth="1"/>
    <col min="6921" max="6921" width="14" style="705" customWidth="1"/>
    <col min="6922" max="6922" width="10.7109375" style="705" customWidth="1"/>
    <col min="6923" max="6923" width="13" style="705" customWidth="1"/>
    <col min="6924" max="6924" width="11.7109375" style="705" customWidth="1"/>
    <col min="6925" max="7168" width="9" style="705"/>
    <col min="7169" max="7169" width="8.140625" style="705" customWidth="1"/>
    <col min="7170" max="7170" width="31.7109375" style="705" customWidth="1"/>
    <col min="7171" max="7171" width="6.5703125" style="705" customWidth="1"/>
    <col min="7172" max="7172" width="7.7109375" style="705" customWidth="1"/>
    <col min="7173" max="7173" width="14.28515625" style="705" customWidth="1"/>
    <col min="7174" max="7174" width="10.7109375" style="705" customWidth="1"/>
    <col min="7175" max="7175" width="11.42578125" style="705" customWidth="1"/>
    <col min="7176" max="7176" width="12" style="705" customWidth="1"/>
    <col min="7177" max="7177" width="14" style="705" customWidth="1"/>
    <col min="7178" max="7178" width="10.7109375" style="705" customWidth="1"/>
    <col min="7179" max="7179" width="13" style="705" customWidth="1"/>
    <col min="7180" max="7180" width="11.7109375" style="705" customWidth="1"/>
    <col min="7181" max="7424" width="9" style="705"/>
    <col min="7425" max="7425" width="8.140625" style="705" customWidth="1"/>
    <col min="7426" max="7426" width="31.7109375" style="705" customWidth="1"/>
    <col min="7427" max="7427" width="6.5703125" style="705" customWidth="1"/>
    <col min="7428" max="7428" width="7.7109375" style="705" customWidth="1"/>
    <col min="7429" max="7429" width="14.28515625" style="705" customWidth="1"/>
    <col min="7430" max="7430" width="10.7109375" style="705" customWidth="1"/>
    <col min="7431" max="7431" width="11.42578125" style="705" customWidth="1"/>
    <col min="7432" max="7432" width="12" style="705" customWidth="1"/>
    <col min="7433" max="7433" width="14" style="705" customWidth="1"/>
    <col min="7434" max="7434" width="10.7109375" style="705" customWidth="1"/>
    <col min="7435" max="7435" width="13" style="705" customWidth="1"/>
    <col min="7436" max="7436" width="11.7109375" style="705" customWidth="1"/>
    <col min="7437" max="7680" width="9" style="705"/>
    <col min="7681" max="7681" width="8.140625" style="705" customWidth="1"/>
    <col min="7682" max="7682" width="31.7109375" style="705" customWidth="1"/>
    <col min="7683" max="7683" width="6.5703125" style="705" customWidth="1"/>
    <col min="7684" max="7684" width="7.7109375" style="705" customWidth="1"/>
    <col min="7685" max="7685" width="14.28515625" style="705" customWidth="1"/>
    <col min="7686" max="7686" width="10.7109375" style="705" customWidth="1"/>
    <col min="7687" max="7687" width="11.42578125" style="705" customWidth="1"/>
    <col min="7688" max="7688" width="12" style="705" customWidth="1"/>
    <col min="7689" max="7689" width="14" style="705" customWidth="1"/>
    <col min="7690" max="7690" width="10.7109375" style="705" customWidth="1"/>
    <col min="7691" max="7691" width="13" style="705" customWidth="1"/>
    <col min="7692" max="7692" width="11.7109375" style="705" customWidth="1"/>
    <col min="7693" max="7936" width="9" style="705"/>
    <col min="7937" max="7937" width="8.140625" style="705" customWidth="1"/>
    <col min="7938" max="7938" width="31.7109375" style="705" customWidth="1"/>
    <col min="7939" max="7939" width="6.5703125" style="705" customWidth="1"/>
    <col min="7940" max="7940" width="7.7109375" style="705" customWidth="1"/>
    <col min="7941" max="7941" width="14.28515625" style="705" customWidth="1"/>
    <col min="7942" max="7942" width="10.7109375" style="705" customWidth="1"/>
    <col min="7943" max="7943" width="11.42578125" style="705" customWidth="1"/>
    <col min="7944" max="7944" width="12" style="705" customWidth="1"/>
    <col min="7945" max="7945" width="14" style="705" customWidth="1"/>
    <col min="7946" max="7946" width="10.7109375" style="705" customWidth="1"/>
    <col min="7947" max="7947" width="13" style="705" customWidth="1"/>
    <col min="7948" max="7948" width="11.7109375" style="705" customWidth="1"/>
    <col min="7949" max="8192" width="9" style="705"/>
    <col min="8193" max="8193" width="8.140625" style="705" customWidth="1"/>
    <col min="8194" max="8194" width="31.7109375" style="705" customWidth="1"/>
    <col min="8195" max="8195" width="6.5703125" style="705" customWidth="1"/>
    <col min="8196" max="8196" width="7.7109375" style="705" customWidth="1"/>
    <col min="8197" max="8197" width="14.28515625" style="705" customWidth="1"/>
    <col min="8198" max="8198" width="10.7109375" style="705" customWidth="1"/>
    <col min="8199" max="8199" width="11.42578125" style="705" customWidth="1"/>
    <col min="8200" max="8200" width="12" style="705" customWidth="1"/>
    <col min="8201" max="8201" width="14" style="705" customWidth="1"/>
    <col min="8202" max="8202" width="10.7109375" style="705" customWidth="1"/>
    <col min="8203" max="8203" width="13" style="705" customWidth="1"/>
    <col min="8204" max="8204" width="11.7109375" style="705" customWidth="1"/>
    <col min="8205" max="8448" width="9" style="705"/>
    <col min="8449" max="8449" width="8.140625" style="705" customWidth="1"/>
    <col min="8450" max="8450" width="31.7109375" style="705" customWidth="1"/>
    <col min="8451" max="8451" width="6.5703125" style="705" customWidth="1"/>
    <col min="8452" max="8452" width="7.7109375" style="705" customWidth="1"/>
    <col min="8453" max="8453" width="14.28515625" style="705" customWidth="1"/>
    <col min="8454" max="8454" width="10.7109375" style="705" customWidth="1"/>
    <col min="8455" max="8455" width="11.42578125" style="705" customWidth="1"/>
    <col min="8456" max="8456" width="12" style="705" customWidth="1"/>
    <col min="8457" max="8457" width="14" style="705" customWidth="1"/>
    <col min="8458" max="8458" width="10.7109375" style="705" customWidth="1"/>
    <col min="8459" max="8459" width="13" style="705" customWidth="1"/>
    <col min="8460" max="8460" width="11.7109375" style="705" customWidth="1"/>
    <col min="8461" max="8704" width="9" style="705"/>
    <col min="8705" max="8705" width="8.140625" style="705" customWidth="1"/>
    <col min="8706" max="8706" width="31.7109375" style="705" customWidth="1"/>
    <col min="8707" max="8707" width="6.5703125" style="705" customWidth="1"/>
    <col min="8708" max="8708" width="7.7109375" style="705" customWidth="1"/>
    <col min="8709" max="8709" width="14.28515625" style="705" customWidth="1"/>
    <col min="8710" max="8710" width="10.7109375" style="705" customWidth="1"/>
    <col min="8711" max="8711" width="11.42578125" style="705" customWidth="1"/>
    <col min="8712" max="8712" width="12" style="705" customWidth="1"/>
    <col min="8713" max="8713" width="14" style="705" customWidth="1"/>
    <col min="8714" max="8714" width="10.7109375" style="705" customWidth="1"/>
    <col min="8715" max="8715" width="13" style="705" customWidth="1"/>
    <col min="8716" max="8716" width="11.7109375" style="705" customWidth="1"/>
    <col min="8717" max="8960" width="9" style="705"/>
    <col min="8961" max="8961" width="8.140625" style="705" customWidth="1"/>
    <col min="8962" max="8962" width="31.7109375" style="705" customWidth="1"/>
    <col min="8963" max="8963" width="6.5703125" style="705" customWidth="1"/>
    <col min="8964" max="8964" width="7.7109375" style="705" customWidth="1"/>
    <col min="8965" max="8965" width="14.28515625" style="705" customWidth="1"/>
    <col min="8966" max="8966" width="10.7109375" style="705" customWidth="1"/>
    <col min="8967" max="8967" width="11.42578125" style="705" customWidth="1"/>
    <col min="8968" max="8968" width="12" style="705" customWidth="1"/>
    <col min="8969" max="8969" width="14" style="705" customWidth="1"/>
    <col min="8970" max="8970" width="10.7109375" style="705" customWidth="1"/>
    <col min="8971" max="8971" width="13" style="705" customWidth="1"/>
    <col min="8972" max="8972" width="11.7109375" style="705" customWidth="1"/>
    <col min="8973" max="9216" width="9" style="705"/>
    <col min="9217" max="9217" width="8.140625" style="705" customWidth="1"/>
    <col min="9218" max="9218" width="31.7109375" style="705" customWidth="1"/>
    <col min="9219" max="9219" width="6.5703125" style="705" customWidth="1"/>
    <col min="9220" max="9220" width="7.7109375" style="705" customWidth="1"/>
    <col min="9221" max="9221" width="14.28515625" style="705" customWidth="1"/>
    <col min="9222" max="9222" width="10.7109375" style="705" customWidth="1"/>
    <col min="9223" max="9223" width="11.42578125" style="705" customWidth="1"/>
    <col min="9224" max="9224" width="12" style="705" customWidth="1"/>
    <col min="9225" max="9225" width="14" style="705" customWidth="1"/>
    <col min="9226" max="9226" width="10.7109375" style="705" customWidth="1"/>
    <col min="9227" max="9227" width="13" style="705" customWidth="1"/>
    <col min="9228" max="9228" width="11.7109375" style="705" customWidth="1"/>
    <col min="9229" max="9472" width="9" style="705"/>
    <col min="9473" max="9473" width="8.140625" style="705" customWidth="1"/>
    <col min="9474" max="9474" width="31.7109375" style="705" customWidth="1"/>
    <col min="9475" max="9475" width="6.5703125" style="705" customWidth="1"/>
    <col min="9476" max="9476" width="7.7109375" style="705" customWidth="1"/>
    <col min="9477" max="9477" width="14.28515625" style="705" customWidth="1"/>
    <col min="9478" max="9478" width="10.7109375" style="705" customWidth="1"/>
    <col min="9479" max="9479" width="11.42578125" style="705" customWidth="1"/>
    <col min="9480" max="9480" width="12" style="705" customWidth="1"/>
    <col min="9481" max="9481" width="14" style="705" customWidth="1"/>
    <col min="9482" max="9482" width="10.7109375" style="705" customWidth="1"/>
    <col min="9483" max="9483" width="13" style="705" customWidth="1"/>
    <col min="9484" max="9484" width="11.7109375" style="705" customWidth="1"/>
    <col min="9485" max="9728" width="9" style="705"/>
    <col min="9729" max="9729" width="8.140625" style="705" customWidth="1"/>
    <col min="9730" max="9730" width="31.7109375" style="705" customWidth="1"/>
    <col min="9731" max="9731" width="6.5703125" style="705" customWidth="1"/>
    <col min="9732" max="9732" width="7.7109375" style="705" customWidth="1"/>
    <col min="9733" max="9733" width="14.28515625" style="705" customWidth="1"/>
    <col min="9734" max="9734" width="10.7109375" style="705" customWidth="1"/>
    <col min="9735" max="9735" width="11.42578125" style="705" customWidth="1"/>
    <col min="9736" max="9736" width="12" style="705" customWidth="1"/>
    <col min="9737" max="9737" width="14" style="705" customWidth="1"/>
    <col min="9738" max="9738" width="10.7109375" style="705" customWidth="1"/>
    <col min="9739" max="9739" width="13" style="705" customWidth="1"/>
    <col min="9740" max="9740" width="11.7109375" style="705" customWidth="1"/>
    <col min="9741" max="9984" width="9" style="705"/>
    <col min="9985" max="9985" width="8.140625" style="705" customWidth="1"/>
    <col min="9986" max="9986" width="31.7109375" style="705" customWidth="1"/>
    <col min="9987" max="9987" width="6.5703125" style="705" customWidth="1"/>
    <col min="9988" max="9988" width="7.7109375" style="705" customWidth="1"/>
    <col min="9989" max="9989" width="14.28515625" style="705" customWidth="1"/>
    <col min="9990" max="9990" width="10.7109375" style="705" customWidth="1"/>
    <col min="9991" max="9991" width="11.42578125" style="705" customWidth="1"/>
    <col min="9992" max="9992" width="12" style="705" customWidth="1"/>
    <col min="9993" max="9993" width="14" style="705" customWidth="1"/>
    <col min="9994" max="9994" width="10.7109375" style="705" customWidth="1"/>
    <col min="9995" max="9995" width="13" style="705" customWidth="1"/>
    <col min="9996" max="9996" width="11.7109375" style="705" customWidth="1"/>
    <col min="9997" max="10240" width="9" style="705"/>
    <col min="10241" max="10241" width="8.140625" style="705" customWidth="1"/>
    <col min="10242" max="10242" width="31.7109375" style="705" customWidth="1"/>
    <col min="10243" max="10243" width="6.5703125" style="705" customWidth="1"/>
    <col min="10244" max="10244" width="7.7109375" style="705" customWidth="1"/>
    <col min="10245" max="10245" width="14.28515625" style="705" customWidth="1"/>
    <col min="10246" max="10246" width="10.7109375" style="705" customWidth="1"/>
    <col min="10247" max="10247" width="11.42578125" style="705" customWidth="1"/>
    <col min="10248" max="10248" width="12" style="705" customWidth="1"/>
    <col min="10249" max="10249" width="14" style="705" customWidth="1"/>
    <col min="10250" max="10250" width="10.7109375" style="705" customWidth="1"/>
    <col min="10251" max="10251" width="13" style="705" customWidth="1"/>
    <col min="10252" max="10252" width="11.7109375" style="705" customWidth="1"/>
    <col min="10253" max="10496" width="9" style="705"/>
    <col min="10497" max="10497" width="8.140625" style="705" customWidth="1"/>
    <col min="10498" max="10498" width="31.7109375" style="705" customWidth="1"/>
    <col min="10499" max="10499" width="6.5703125" style="705" customWidth="1"/>
    <col min="10500" max="10500" width="7.7109375" style="705" customWidth="1"/>
    <col min="10501" max="10501" width="14.28515625" style="705" customWidth="1"/>
    <col min="10502" max="10502" width="10.7109375" style="705" customWidth="1"/>
    <col min="10503" max="10503" width="11.42578125" style="705" customWidth="1"/>
    <col min="10504" max="10504" width="12" style="705" customWidth="1"/>
    <col min="10505" max="10505" width="14" style="705" customWidth="1"/>
    <col min="10506" max="10506" width="10.7109375" style="705" customWidth="1"/>
    <col min="10507" max="10507" width="13" style="705" customWidth="1"/>
    <col min="10508" max="10508" width="11.7109375" style="705" customWidth="1"/>
    <col min="10509" max="10752" width="9" style="705"/>
    <col min="10753" max="10753" width="8.140625" style="705" customWidth="1"/>
    <col min="10754" max="10754" width="31.7109375" style="705" customWidth="1"/>
    <col min="10755" max="10755" width="6.5703125" style="705" customWidth="1"/>
    <col min="10756" max="10756" width="7.7109375" style="705" customWidth="1"/>
    <col min="10757" max="10757" width="14.28515625" style="705" customWidth="1"/>
    <col min="10758" max="10758" width="10.7109375" style="705" customWidth="1"/>
    <col min="10759" max="10759" width="11.42578125" style="705" customWidth="1"/>
    <col min="10760" max="10760" width="12" style="705" customWidth="1"/>
    <col min="10761" max="10761" width="14" style="705" customWidth="1"/>
    <col min="10762" max="10762" width="10.7109375" style="705" customWidth="1"/>
    <col min="10763" max="10763" width="13" style="705" customWidth="1"/>
    <col min="10764" max="10764" width="11.7109375" style="705" customWidth="1"/>
    <col min="10765" max="11008" width="9" style="705"/>
    <col min="11009" max="11009" width="8.140625" style="705" customWidth="1"/>
    <col min="11010" max="11010" width="31.7109375" style="705" customWidth="1"/>
    <col min="11011" max="11011" width="6.5703125" style="705" customWidth="1"/>
    <col min="11012" max="11012" width="7.7109375" style="705" customWidth="1"/>
    <col min="11013" max="11013" width="14.28515625" style="705" customWidth="1"/>
    <col min="11014" max="11014" width="10.7109375" style="705" customWidth="1"/>
    <col min="11015" max="11015" width="11.42578125" style="705" customWidth="1"/>
    <col min="11016" max="11016" width="12" style="705" customWidth="1"/>
    <col min="11017" max="11017" width="14" style="705" customWidth="1"/>
    <col min="11018" max="11018" width="10.7109375" style="705" customWidth="1"/>
    <col min="11019" max="11019" width="13" style="705" customWidth="1"/>
    <col min="11020" max="11020" width="11.7109375" style="705" customWidth="1"/>
    <col min="11021" max="11264" width="9" style="705"/>
    <col min="11265" max="11265" width="8.140625" style="705" customWidth="1"/>
    <col min="11266" max="11266" width="31.7109375" style="705" customWidth="1"/>
    <col min="11267" max="11267" width="6.5703125" style="705" customWidth="1"/>
    <col min="11268" max="11268" width="7.7109375" style="705" customWidth="1"/>
    <col min="11269" max="11269" width="14.28515625" style="705" customWidth="1"/>
    <col min="11270" max="11270" width="10.7109375" style="705" customWidth="1"/>
    <col min="11271" max="11271" width="11.42578125" style="705" customWidth="1"/>
    <col min="11272" max="11272" width="12" style="705" customWidth="1"/>
    <col min="11273" max="11273" width="14" style="705" customWidth="1"/>
    <col min="11274" max="11274" width="10.7109375" style="705" customWidth="1"/>
    <col min="11275" max="11275" width="13" style="705" customWidth="1"/>
    <col min="11276" max="11276" width="11.7109375" style="705" customWidth="1"/>
    <col min="11277" max="11520" width="9" style="705"/>
    <col min="11521" max="11521" width="8.140625" style="705" customWidth="1"/>
    <col min="11522" max="11522" width="31.7109375" style="705" customWidth="1"/>
    <col min="11523" max="11523" width="6.5703125" style="705" customWidth="1"/>
    <col min="11524" max="11524" width="7.7109375" style="705" customWidth="1"/>
    <col min="11525" max="11525" width="14.28515625" style="705" customWidth="1"/>
    <col min="11526" max="11526" width="10.7109375" style="705" customWidth="1"/>
    <col min="11527" max="11527" width="11.42578125" style="705" customWidth="1"/>
    <col min="11528" max="11528" width="12" style="705" customWidth="1"/>
    <col min="11529" max="11529" width="14" style="705" customWidth="1"/>
    <col min="11530" max="11530" width="10.7109375" style="705" customWidth="1"/>
    <col min="11531" max="11531" width="13" style="705" customWidth="1"/>
    <col min="11532" max="11532" width="11.7109375" style="705" customWidth="1"/>
    <col min="11533" max="11776" width="9" style="705"/>
    <col min="11777" max="11777" width="8.140625" style="705" customWidth="1"/>
    <col min="11778" max="11778" width="31.7109375" style="705" customWidth="1"/>
    <col min="11779" max="11779" width="6.5703125" style="705" customWidth="1"/>
    <col min="11780" max="11780" width="7.7109375" style="705" customWidth="1"/>
    <col min="11781" max="11781" width="14.28515625" style="705" customWidth="1"/>
    <col min="11782" max="11782" width="10.7109375" style="705" customWidth="1"/>
    <col min="11783" max="11783" width="11.42578125" style="705" customWidth="1"/>
    <col min="11784" max="11784" width="12" style="705" customWidth="1"/>
    <col min="11785" max="11785" width="14" style="705" customWidth="1"/>
    <col min="11786" max="11786" width="10.7109375" style="705" customWidth="1"/>
    <col min="11787" max="11787" width="13" style="705" customWidth="1"/>
    <col min="11788" max="11788" width="11.7109375" style="705" customWidth="1"/>
    <col min="11789" max="12032" width="9" style="705"/>
    <col min="12033" max="12033" width="8.140625" style="705" customWidth="1"/>
    <col min="12034" max="12034" width="31.7109375" style="705" customWidth="1"/>
    <col min="12035" max="12035" width="6.5703125" style="705" customWidth="1"/>
    <col min="12036" max="12036" width="7.7109375" style="705" customWidth="1"/>
    <col min="12037" max="12037" width="14.28515625" style="705" customWidth="1"/>
    <col min="12038" max="12038" width="10.7109375" style="705" customWidth="1"/>
    <col min="12039" max="12039" width="11.42578125" style="705" customWidth="1"/>
    <col min="12040" max="12040" width="12" style="705" customWidth="1"/>
    <col min="12041" max="12041" width="14" style="705" customWidth="1"/>
    <col min="12042" max="12042" width="10.7109375" style="705" customWidth="1"/>
    <col min="12043" max="12043" width="13" style="705" customWidth="1"/>
    <col min="12044" max="12044" width="11.7109375" style="705" customWidth="1"/>
    <col min="12045" max="12288" width="9" style="705"/>
    <col min="12289" max="12289" width="8.140625" style="705" customWidth="1"/>
    <col min="12290" max="12290" width="31.7109375" style="705" customWidth="1"/>
    <col min="12291" max="12291" width="6.5703125" style="705" customWidth="1"/>
    <col min="12292" max="12292" width="7.7109375" style="705" customWidth="1"/>
    <col min="12293" max="12293" width="14.28515625" style="705" customWidth="1"/>
    <col min="12294" max="12294" width="10.7109375" style="705" customWidth="1"/>
    <col min="12295" max="12295" width="11.42578125" style="705" customWidth="1"/>
    <col min="12296" max="12296" width="12" style="705" customWidth="1"/>
    <col min="12297" max="12297" width="14" style="705" customWidth="1"/>
    <col min="12298" max="12298" width="10.7109375" style="705" customWidth="1"/>
    <col min="12299" max="12299" width="13" style="705" customWidth="1"/>
    <col min="12300" max="12300" width="11.7109375" style="705" customWidth="1"/>
    <col min="12301" max="12544" width="9" style="705"/>
    <col min="12545" max="12545" width="8.140625" style="705" customWidth="1"/>
    <col min="12546" max="12546" width="31.7109375" style="705" customWidth="1"/>
    <col min="12547" max="12547" width="6.5703125" style="705" customWidth="1"/>
    <col min="12548" max="12548" width="7.7109375" style="705" customWidth="1"/>
    <col min="12549" max="12549" width="14.28515625" style="705" customWidth="1"/>
    <col min="12550" max="12550" width="10.7109375" style="705" customWidth="1"/>
    <col min="12551" max="12551" width="11.42578125" style="705" customWidth="1"/>
    <col min="12552" max="12552" width="12" style="705" customWidth="1"/>
    <col min="12553" max="12553" width="14" style="705" customWidth="1"/>
    <col min="12554" max="12554" width="10.7109375" style="705" customWidth="1"/>
    <col min="12555" max="12555" width="13" style="705" customWidth="1"/>
    <col min="12556" max="12556" width="11.7109375" style="705" customWidth="1"/>
    <col min="12557" max="12800" width="9" style="705"/>
    <col min="12801" max="12801" width="8.140625" style="705" customWidth="1"/>
    <col min="12802" max="12802" width="31.7109375" style="705" customWidth="1"/>
    <col min="12803" max="12803" width="6.5703125" style="705" customWidth="1"/>
    <col min="12804" max="12804" width="7.7109375" style="705" customWidth="1"/>
    <col min="12805" max="12805" width="14.28515625" style="705" customWidth="1"/>
    <col min="12806" max="12806" width="10.7109375" style="705" customWidth="1"/>
    <col min="12807" max="12807" width="11.42578125" style="705" customWidth="1"/>
    <col min="12808" max="12808" width="12" style="705" customWidth="1"/>
    <col min="12809" max="12809" width="14" style="705" customWidth="1"/>
    <col min="12810" max="12810" width="10.7109375" style="705" customWidth="1"/>
    <col min="12811" max="12811" width="13" style="705" customWidth="1"/>
    <col min="12812" max="12812" width="11.7109375" style="705" customWidth="1"/>
    <col min="12813" max="13056" width="9" style="705"/>
    <col min="13057" max="13057" width="8.140625" style="705" customWidth="1"/>
    <col min="13058" max="13058" width="31.7109375" style="705" customWidth="1"/>
    <col min="13059" max="13059" width="6.5703125" style="705" customWidth="1"/>
    <col min="13060" max="13060" width="7.7109375" style="705" customWidth="1"/>
    <col min="13061" max="13061" width="14.28515625" style="705" customWidth="1"/>
    <col min="13062" max="13062" width="10.7109375" style="705" customWidth="1"/>
    <col min="13063" max="13063" width="11.42578125" style="705" customWidth="1"/>
    <col min="13064" max="13064" width="12" style="705" customWidth="1"/>
    <col min="13065" max="13065" width="14" style="705" customWidth="1"/>
    <col min="13066" max="13066" width="10.7109375" style="705" customWidth="1"/>
    <col min="13067" max="13067" width="13" style="705" customWidth="1"/>
    <col min="13068" max="13068" width="11.7109375" style="705" customWidth="1"/>
    <col min="13069" max="13312" width="9" style="705"/>
    <col min="13313" max="13313" width="8.140625" style="705" customWidth="1"/>
    <col min="13314" max="13314" width="31.7109375" style="705" customWidth="1"/>
    <col min="13315" max="13315" width="6.5703125" style="705" customWidth="1"/>
    <col min="13316" max="13316" width="7.7109375" style="705" customWidth="1"/>
    <col min="13317" max="13317" width="14.28515625" style="705" customWidth="1"/>
    <col min="13318" max="13318" width="10.7109375" style="705" customWidth="1"/>
    <col min="13319" max="13319" width="11.42578125" style="705" customWidth="1"/>
    <col min="13320" max="13320" width="12" style="705" customWidth="1"/>
    <col min="13321" max="13321" width="14" style="705" customWidth="1"/>
    <col min="13322" max="13322" width="10.7109375" style="705" customWidth="1"/>
    <col min="13323" max="13323" width="13" style="705" customWidth="1"/>
    <col min="13324" max="13324" width="11.7109375" style="705" customWidth="1"/>
    <col min="13325" max="13568" width="9" style="705"/>
    <col min="13569" max="13569" width="8.140625" style="705" customWidth="1"/>
    <col min="13570" max="13570" width="31.7109375" style="705" customWidth="1"/>
    <col min="13571" max="13571" width="6.5703125" style="705" customWidth="1"/>
    <col min="13572" max="13572" width="7.7109375" style="705" customWidth="1"/>
    <col min="13573" max="13573" width="14.28515625" style="705" customWidth="1"/>
    <col min="13574" max="13574" width="10.7109375" style="705" customWidth="1"/>
    <col min="13575" max="13575" width="11.42578125" style="705" customWidth="1"/>
    <col min="13576" max="13576" width="12" style="705" customWidth="1"/>
    <col min="13577" max="13577" width="14" style="705" customWidth="1"/>
    <col min="13578" max="13578" width="10.7109375" style="705" customWidth="1"/>
    <col min="13579" max="13579" width="13" style="705" customWidth="1"/>
    <col min="13580" max="13580" width="11.7109375" style="705" customWidth="1"/>
    <col min="13581" max="13824" width="9" style="705"/>
    <col min="13825" max="13825" width="8.140625" style="705" customWidth="1"/>
    <col min="13826" max="13826" width="31.7109375" style="705" customWidth="1"/>
    <col min="13827" max="13827" width="6.5703125" style="705" customWidth="1"/>
    <col min="13828" max="13828" width="7.7109375" style="705" customWidth="1"/>
    <col min="13829" max="13829" width="14.28515625" style="705" customWidth="1"/>
    <col min="13830" max="13830" width="10.7109375" style="705" customWidth="1"/>
    <col min="13831" max="13831" width="11.42578125" style="705" customWidth="1"/>
    <col min="13832" max="13832" width="12" style="705" customWidth="1"/>
    <col min="13833" max="13833" width="14" style="705" customWidth="1"/>
    <col min="13834" max="13834" width="10.7109375" style="705" customWidth="1"/>
    <col min="13835" max="13835" width="13" style="705" customWidth="1"/>
    <col min="13836" max="13836" width="11.7109375" style="705" customWidth="1"/>
    <col min="13837" max="14080" width="9" style="705"/>
    <col min="14081" max="14081" width="8.140625" style="705" customWidth="1"/>
    <col min="14082" max="14082" width="31.7109375" style="705" customWidth="1"/>
    <col min="14083" max="14083" width="6.5703125" style="705" customWidth="1"/>
    <col min="14084" max="14084" width="7.7109375" style="705" customWidth="1"/>
    <col min="14085" max="14085" width="14.28515625" style="705" customWidth="1"/>
    <col min="14086" max="14086" width="10.7109375" style="705" customWidth="1"/>
    <col min="14087" max="14087" width="11.42578125" style="705" customWidth="1"/>
    <col min="14088" max="14088" width="12" style="705" customWidth="1"/>
    <col min="14089" max="14089" width="14" style="705" customWidth="1"/>
    <col min="14090" max="14090" width="10.7109375" style="705" customWidth="1"/>
    <col min="14091" max="14091" width="13" style="705" customWidth="1"/>
    <col min="14092" max="14092" width="11.7109375" style="705" customWidth="1"/>
    <col min="14093" max="14336" width="9" style="705"/>
    <col min="14337" max="14337" width="8.140625" style="705" customWidth="1"/>
    <col min="14338" max="14338" width="31.7109375" style="705" customWidth="1"/>
    <col min="14339" max="14339" width="6.5703125" style="705" customWidth="1"/>
    <col min="14340" max="14340" width="7.7109375" style="705" customWidth="1"/>
    <col min="14341" max="14341" width="14.28515625" style="705" customWidth="1"/>
    <col min="14342" max="14342" width="10.7109375" style="705" customWidth="1"/>
    <col min="14343" max="14343" width="11.42578125" style="705" customWidth="1"/>
    <col min="14344" max="14344" width="12" style="705" customWidth="1"/>
    <col min="14345" max="14345" width="14" style="705" customWidth="1"/>
    <col min="14346" max="14346" width="10.7109375" style="705" customWidth="1"/>
    <col min="14347" max="14347" width="13" style="705" customWidth="1"/>
    <col min="14348" max="14348" width="11.7109375" style="705" customWidth="1"/>
    <col min="14349" max="14592" width="9" style="705"/>
    <col min="14593" max="14593" width="8.140625" style="705" customWidth="1"/>
    <col min="14594" max="14594" width="31.7109375" style="705" customWidth="1"/>
    <col min="14595" max="14595" width="6.5703125" style="705" customWidth="1"/>
    <col min="14596" max="14596" width="7.7109375" style="705" customWidth="1"/>
    <col min="14597" max="14597" width="14.28515625" style="705" customWidth="1"/>
    <col min="14598" max="14598" width="10.7109375" style="705" customWidth="1"/>
    <col min="14599" max="14599" width="11.42578125" style="705" customWidth="1"/>
    <col min="14600" max="14600" width="12" style="705" customWidth="1"/>
    <col min="14601" max="14601" width="14" style="705" customWidth="1"/>
    <col min="14602" max="14602" width="10.7109375" style="705" customWidth="1"/>
    <col min="14603" max="14603" width="13" style="705" customWidth="1"/>
    <col min="14604" max="14604" width="11.7109375" style="705" customWidth="1"/>
    <col min="14605" max="14848" width="9" style="705"/>
    <col min="14849" max="14849" width="8.140625" style="705" customWidth="1"/>
    <col min="14850" max="14850" width="31.7109375" style="705" customWidth="1"/>
    <col min="14851" max="14851" width="6.5703125" style="705" customWidth="1"/>
    <col min="14852" max="14852" width="7.7109375" style="705" customWidth="1"/>
    <col min="14853" max="14853" width="14.28515625" style="705" customWidth="1"/>
    <col min="14854" max="14854" width="10.7109375" style="705" customWidth="1"/>
    <col min="14855" max="14855" width="11.42578125" style="705" customWidth="1"/>
    <col min="14856" max="14856" width="12" style="705" customWidth="1"/>
    <col min="14857" max="14857" width="14" style="705" customWidth="1"/>
    <col min="14858" max="14858" width="10.7109375" style="705" customWidth="1"/>
    <col min="14859" max="14859" width="13" style="705" customWidth="1"/>
    <col min="14860" max="14860" width="11.7109375" style="705" customWidth="1"/>
    <col min="14861" max="15104" width="9" style="705"/>
    <col min="15105" max="15105" width="8.140625" style="705" customWidth="1"/>
    <col min="15106" max="15106" width="31.7109375" style="705" customWidth="1"/>
    <col min="15107" max="15107" width="6.5703125" style="705" customWidth="1"/>
    <col min="15108" max="15108" width="7.7109375" style="705" customWidth="1"/>
    <col min="15109" max="15109" width="14.28515625" style="705" customWidth="1"/>
    <col min="15110" max="15110" width="10.7109375" style="705" customWidth="1"/>
    <col min="15111" max="15111" width="11.42578125" style="705" customWidth="1"/>
    <col min="15112" max="15112" width="12" style="705" customWidth="1"/>
    <col min="15113" max="15113" width="14" style="705" customWidth="1"/>
    <col min="15114" max="15114" width="10.7109375" style="705" customWidth="1"/>
    <col min="15115" max="15115" width="13" style="705" customWidth="1"/>
    <col min="15116" max="15116" width="11.7109375" style="705" customWidth="1"/>
    <col min="15117" max="15360" width="9" style="705"/>
    <col min="15361" max="15361" width="8.140625" style="705" customWidth="1"/>
    <col min="15362" max="15362" width="31.7109375" style="705" customWidth="1"/>
    <col min="15363" max="15363" width="6.5703125" style="705" customWidth="1"/>
    <col min="15364" max="15364" width="7.7109375" style="705" customWidth="1"/>
    <col min="15365" max="15365" width="14.28515625" style="705" customWidth="1"/>
    <col min="15366" max="15366" width="10.7109375" style="705" customWidth="1"/>
    <col min="15367" max="15367" width="11.42578125" style="705" customWidth="1"/>
    <col min="15368" max="15368" width="12" style="705" customWidth="1"/>
    <col min="15369" max="15369" width="14" style="705" customWidth="1"/>
    <col min="15370" max="15370" width="10.7109375" style="705" customWidth="1"/>
    <col min="15371" max="15371" width="13" style="705" customWidth="1"/>
    <col min="15372" max="15372" width="11.7109375" style="705" customWidth="1"/>
    <col min="15373" max="15616" width="9" style="705"/>
    <col min="15617" max="15617" width="8.140625" style="705" customWidth="1"/>
    <col min="15618" max="15618" width="31.7109375" style="705" customWidth="1"/>
    <col min="15619" max="15619" width="6.5703125" style="705" customWidth="1"/>
    <col min="15620" max="15620" width="7.7109375" style="705" customWidth="1"/>
    <col min="15621" max="15621" width="14.28515625" style="705" customWidth="1"/>
    <col min="15622" max="15622" width="10.7109375" style="705" customWidth="1"/>
    <col min="15623" max="15623" width="11.42578125" style="705" customWidth="1"/>
    <col min="15624" max="15624" width="12" style="705" customWidth="1"/>
    <col min="15625" max="15625" width="14" style="705" customWidth="1"/>
    <col min="15626" max="15626" width="10.7109375" style="705" customWidth="1"/>
    <col min="15627" max="15627" width="13" style="705" customWidth="1"/>
    <col min="15628" max="15628" width="11.7109375" style="705" customWidth="1"/>
    <col min="15629" max="15872" width="9" style="705"/>
    <col min="15873" max="15873" width="8.140625" style="705" customWidth="1"/>
    <col min="15874" max="15874" width="31.7109375" style="705" customWidth="1"/>
    <col min="15875" max="15875" width="6.5703125" style="705" customWidth="1"/>
    <col min="15876" max="15876" width="7.7109375" style="705" customWidth="1"/>
    <col min="15877" max="15877" width="14.28515625" style="705" customWidth="1"/>
    <col min="15878" max="15878" width="10.7109375" style="705" customWidth="1"/>
    <col min="15879" max="15879" width="11.42578125" style="705" customWidth="1"/>
    <col min="15880" max="15880" width="12" style="705" customWidth="1"/>
    <col min="15881" max="15881" width="14" style="705" customWidth="1"/>
    <col min="15882" max="15882" width="10.7109375" style="705" customWidth="1"/>
    <col min="15883" max="15883" width="13" style="705" customWidth="1"/>
    <col min="15884" max="15884" width="11.7109375" style="705" customWidth="1"/>
    <col min="15885" max="16128" width="9" style="705"/>
    <col min="16129" max="16129" width="8.140625" style="705" customWidth="1"/>
    <col min="16130" max="16130" width="31.7109375" style="705" customWidth="1"/>
    <col min="16131" max="16131" width="6.5703125" style="705" customWidth="1"/>
    <col min="16132" max="16132" width="7.7109375" style="705" customWidth="1"/>
    <col min="16133" max="16133" width="14.28515625" style="705" customWidth="1"/>
    <col min="16134" max="16134" width="10.7109375" style="705" customWidth="1"/>
    <col min="16135" max="16135" width="11.42578125" style="705" customWidth="1"/>
    <col min="16136" max="16136" width="12" style="705" customWidth="1"/>
    <col min="16137" max="16137" width="14" style="705" customWidth="1"/>
    <col min="16138" max="16138" width="10.7109375" style="705" customWidth="1"/>
    <col min="16139" max="16139" width="13" style="705" customWidth="1"/>
    <col min="16140" max="16140" width="11.7109375" style="705" customWidth="1"/>
    <col min="16141" max="16384" width="9" style="705"/>
  </cols>
  <sheetData>
    <row r="1" spans="1:12">
      <c r="A1" s="701" t="s">
        <v>13145</v>
      </c>
      <c r="B1" s="702"/>
      <c r="C1" s="703"/>
      <c r="D1" s="703"/>
      <c r="E1" s="704"/>
      <c r="F1" s="704"/>
      <c r="G1" s="704"/>
      <c r="H1" s="704"/>
      <c r="I1" s="704"/>
      <c r="J1" s="704"/>
      <c r="K1" s="704"/>
      <c r="L1" s="704"/>
    </row>
    <row r="2" spans="1:12">
      <c r="A2" s="1499" t="s">
        <v>3533</v>
      </c>
      <c r="B2" s="1499"/>
      <c r="C2" s="1499"/>
      <c r="D2" s="1499"/>
      <c r="E2" s="1499"/>
      <c r="F2" s="1499"/>
      <c r="G2" s="1499"/>
      <c r="H2" s="1499"/>
      <c r="I2" s="1499"/>
      <c r="J2" s="1499"/>
      <c r="K2" s="1499"/>
      <c r="L2" s="1499"/>
    </row>
    <row r="3" spans="1:12">
      <c r="A3" s="1499" t="s">
        <v>3734</v>
      </c>
      <c r="B3" s="1499"/>
      <c r="C3" s="1499"/>
      <c r="D3" s="1499"/>
      <c r="E3" s="1499"/>
      <c r="F3" s="1499"/>
      <c r="G3" s="1499"/>
      <c r="H3" s="1499"/>
      <c r="I3" s="1499"/>
      <c r="J3" s="1499"/>
      <c r="K3" s="1499"/>
      <c r="L3" s="1499"/>
    </row>
    <row r="4" spans="1:12">
      <c r="A4" s="703"/>
      <c r="B4" s="702"/>
      <c r="C4" s="703"/>
      <c r="D4" s="703"/>
      <c r="E4" s="704"/>
      <c r="F4" s="704"/>
      <c r="G4" s="704"/>
      <c r="H4" s="704"/>
      <c r="I4" s="704"/>
      <c r="J4" s="704"/>
      <c r="K4" s="704"/>
      <c r="L4" s="704"/>
    </row>
    <row r="5" spans="1:12">
      <c r="A5" s="682" t="s">
        <v>3534</v>
      </c>
      <c r="B5" s="1500" t="s">
        <v>3535</v>
      </c>
      <c r="C5" s="682" t="s">
        <v>3536</v>
      </c>
      <c r="D5" s="706" t="s">
        <v>3537</v>
      </c>
      <c r="E5" s="707" t="s">
        <v>33</v>
      </c>
      <c r="F5" s="707"/>
      <c r="G5" s="707"/>
      <c r="H5" s="707"/>
      <c r="I5" s="707" t="s">
        <v>34</v>
      </c>
      <c r="J5" s="707"/>
      <c r="K5" s="707"/>
      <c r="L5" s="707"/>
    </row>
    <row r="6" spans="1:12">
      <c r="A6" s="683" t="s">
        <v>84</v>
      </c>
      <c r="B6" s="1501"/>
      <c r="C6" s="683" t="s">
        <v>3538</v>
      </c>
      <c r="D6" s="708" t="s">
        <v>3539</v>
      </c>
      <c r="E6" s="591" t="s">
        <v>3540</v>
      </c>
      <c r="F6" s="591" t="s">
        <v>3541</v>
      </c>
      <c r="G6" s="591" t="s">
        <v>12</v>
      </c>
      <c r="H6" s="591" t="s">
        <v>93</v>
      </c>
      <c r="I6" s="591" t="s">
        <v>3540</v>
      </c>
      <c r="J6" s="591" t="s">
        <v>3541</v>
      </c>
      <c r="K6" s="591" t="s">
        <v>12</v>
      </c>
      <c r="L6" s="591" t="s">
        <v>93</v>
      </c>
    </row>
    <row r="7" spans="1:12" s="710" customFormat="1">
      <c r="A7" s="709" t="s">
        <v>4</v>
      </c>
      <c r="B7" s="588" t="str">
        <f>ChitietCapngam04!B9</f>
        <v>PHẦN XÂY DỰNG</v>
      </c>
      <c r="C7" s="587"/>
      <c r="D7" s="587"/>
      <c r="E7" s="591"/>
      <c r="F7" s="591"/>
      <c r="G7" s="591"/>
      <c r="H7" s="591"/>
      <c r="I7" s="591">
        <f>SUM(I8:I10)</f>
        <v>10335742.567272728</v>
      </c>
      <c r="J7" s="591">
        <f>SUM(J8:J10)</f>
        <v>0</v>
      </c>
      <c r="K7" s="591">
        <f>SUM(K8:K10)</f>
        <v>11697734.55896</v>
      </c>
      <c r="L7" s="591">
        <f>SUM(L8:L10)</f>
        <v>19219.0206</v>
      </c>
    </row>
    <row r="8" spans="1:12">
      <c r="A8" s="582">
        <f>ChitietCapngam04!A10</f>
        <v>1</v>
      </c>
      <c r="B8" s="659" t="str">
        <f>ChitietCapngam04!B10</f>
        <v>Mương cáp ngầm - MC2-1 (02 ống HDPE 130/110 đi dưới đất)</v>
      </c>
      <c r="C8" s="582" t="str">
        <f>ChitietCapngam04!C10</f>
        <v>m</v>
      </c>
      <c r="D8" s="586">
        <f>'PPT - HT'!M10</f>
        <v>30</v>
      </c>
      <c r="E8" s="583">
        <f>ChitietCapngam04!K10</f>
        <v>297395.09090909094</v>
      </c>
      <c r="F8" s="583">
        <f>ChitietCapngam04!L10</f>
        <v>0</v>
      </c>
      <c r="G8" s="583">
        <f>ChitietCapngam04!M10</f>
        <v>384599.71844999999</v>
      </c>
      <c r="H8" s="583">
        <f>ChitietCapngam04!N10</f>
        <v>0</v>
      </c>
      <c r="I8" s="584">
        <f>D8*E8</f>
        <v>8921852.7272727285</v>
      </c>
      <c r="J8" s="584">
        <f>D8*F8</f>
        <v>0</v>
      </c>
      <c r="K8" s="584">
        <f>D8*G8</f>
        <v>11537991.5535</v>
      </c>
      <c r="L8" s="584">
        <f t="shared" ref="L8" si="0">D8*H8</f>
        <v>0</v>
      </c>
    </row>
    <row r="9" spans="1:12">
      <c r="A9" s="582">
        <f>ChitietCapngam04!A23</f>
        <v>2</v>
      </c>
      <c r="B9" s="659" t="str">
        <f>ChitietCapngam04!B23</f>
        <v>Móng tủ phân phối hạ thế</v>
      </c>
      <c r="C9" s="582" t="str">
        <f>ChitietCapngam04!C23</f>
        <v>móng</v>
      </c>
      <c r="D9" s="586">
        <f>'PPT - HT'!O10</f>
        <v>1</v>
      </c>
      <c r="E9" s="583">
        <f>ChitietCapngam04!K23</f>
        <v>1144264.8399999999</v>
      </c>
      <c r="F9" s="583">
        <f>ChitietCapngam04!L23</f>
        <v>0</v>
      </c>
      <c r="G9" s="583">
        <f>ChitietCapngam04!M23</f>
        <v>130755.26890999998</v>
      </c>
      <c r="H9" s="583">
        <f>ChitietCapngam04!N23</f>
        <v>15220.758</v>
      </c>
      <c r="I9" s="584">
        <f t="shared" ref="I9:I10" si="1">D9*E9</f>
        <v>1144264.8399999999</v>
      </c>
      <c r="J9" s="584">
        <f t="shared" ref="J9:J10" si="2">D9*F9</f>
        <v>0</v>
      </c>
      <c r="K9" s="584">
        <f t="shared" ref="K9:K10" si="3">D9*G9</f>
        <v>130755.26890999998</v>
      </c>
      <c r="L9" s="584">
        <f t="shared" ref="L9:L10" si="4">D9*H9</f>
        <v>15220.758</v>
      </c>
    </row>
    <row r="10" spans="1:12">
      <c r="A10" s="582">
        <f>ChitietCapngam04!A39</f>
        <v>3</v>
      </c>
      <c r="B10" s="659" t="str">
        <f>ChitietCapngam04!B39</f>
        <v>Mốc báo hiệu cáp ngầm</v>
      </c>
      <c r="C10" s="582" t="str">
        <f>ChitietCapngam04!C39</f>
        <v>mốc</v>
      </c>
      <c r="D10" s="582">
        <f>'PPT - HT'!Q10</f>
        <v>3</v>
      </c>
      <c r="E10" s="583">
        <f>ChitietCapngam04!K39</f>
        <v>89875</v>
      </c>
      <c r="F10" s="583">
        <f>ChitietCapngam04!L39</f>
        <v>0</v>
      </c>
      <c r="G10" s="583">
        <f>ChitietCapngam04!M39</f>
        <v>9662.5788500000017</v>
      </c>
      <c r="H10" s="583">
        <f>ChitietCapngam04!N39</f>
        <v>1332.7542000000001</v>
      </c>
      <c r="I10" s="584">
        <f t="shared" si="1"/>
        <v>269625</v>
      </c>
      <c r="J10" s="584">
        <f t="shared" si="2"/>
        <v>0</v>
      </c>
      <c r="K10" s="584">
        <f t="shared" si="3"/>
        <v>28987.736550000005</v>
      </c>
      <c r="L10" s="584">
        <f t="shared" si="4"/>
        <v>3998.2626</v>
      </c>
    </row>
    <row r="11" spans="1:12" s="710" customFormat="1">
      <c r="A11" s="587" t="s">
        <v>6</v>
      </c>
      <c r="B11" s="588" t="str">
        <f>ChitietCapngam04!B45</f>
        <v>PHẦN ĐIỆN</v>
      </c>
      <c r="C11" s="587"/>
      <c r="D11" s="587"/>
      <c r="E11" s="589"/>
      <c r="F11" s="589"/>
      <c r="G11" s="589"/>
      <c r="H11" s="589"/>
      <c r="I11" s="591">
        <f>SUM(I12:I15)</f>
        <v>184518931.20000002</v>
      </c>
      <c r="J11" s="591">
        <f>SUM(J12:J15)</f>
        <v>251919.96040000001</v>
      </c>
      <c r="K11" s="591">
        <f>SUM(K12:K15)</f>
        <v>3422682.1140000001</v>
      </c>
      <c r="L11" s="591">
        <f>SUM(L12:L15)</f>
        <v>281864.51</v>
      </c>
    </row>
    <row r="12" spans="1:12" s="711" customFormat="1">
      <c r="A12" s="586">
        <f>ChitietCapngam04!A46</f>
        <v>1</v>
      </c>
      <c r="B12" s="660" t="str">
        <f>ChitietCapngam04!B46</f>
        <v xml:space="preserve">Tiếp địa tủ phân phối </v>
      </c>
      <c r="C12" s="586" t="str">
        <f>ChitietCapngam04!C46</f>
        <v>bộ</v>
      </c>
      <c r="D12" s="586">
        <f>'PPT - HT'!P10</f>
        <v>1</v>
      </c>
      <c r="E12" s="590">
        <f>ChitietCapngam04!K46</f>
        <v>959200</v>
      </c>
      <c r="F12" s="590">
        <f>ChitietCapngam04!L46</f>
        <v>10636.400000000001</v>
      </c>
      <c r="G12" s="590">
        <f>ChitietCapngam04!M46</f>
        <v>134218.592</v>
      </c>
      <c r="H12" s="590">
        <f>ChitietCapngam04!N46</f>
        <v>3246.51</v>
      </c>
      <c r="I12" s="584">
        <f t="shared" ref="I12:I14" si="5">D12*E12</f>
        <v>959200</v>
      </c>
      <c r="J12" s="584">
        <f t="shared" ref="J12:J14" si="6">D12*F12</f>
        <v>10636.400000000001</v>
      </c>
      <c r="K12" s="584">
        <f t="shared" ref="K12:K14" si="7">D12*G12</f>
        <v>134218.592</v>
      </c>
      <c r="L12" s="584">
        <f t="shared" ref="L12:L14" si="8">D12*H12</f>
        <v>3246.51</v>
      </c>
    </row>
    <row r="13" spans="1:12" s="711" customFormat="1">
      <c r="A13" s="586">
        <f>ChitietCapngam04!A55</f>
        <v>2</v>
      </c>
      <c r="B13" s="660" t="str">
        <f>ChitietCapngam04!B55</f>
        <v>Cách điện , đầu cáp, phụ kiện</v>
      </c>
      <c r="C13" s="586" t="s">
        <v>95</v>
      </c>
      <c r="D13" s="586">
        <v>1</v>
      </c>
      <c r="E13" s="590">
        <f>ChitietCapngam04!K56</f>
        <v>2295000</v>
      </c>
      <c r="F13" s="590">
        <f>ChitietCapngam04!L56</f>
        <v>70400</v>
      </c>
      <c r="G13" s="590">
        <f>ChitietCapngam04!M56</f>
        <v>548469.96</v>
      </c>
      <c r="H13" s="590">
        <f>ChitietCapngam04!N56</f>
        <v>0</v>
      </c>
      <c r="I13" s="584">
        <f>D13*E13</f>
        <v>2295000</v>
      </c>
      <c r="J13" s="584">
        <f t="shared" si="6"/>
        <v>70400</v>
      </c>
      <c r="K13" s="584">
        <f t="shared" si="7"/>
        <v>548469.96</v>
      </c>
      <c r="L13" s="584"/>
    </row>
    <row r="14" spans="1:12" s="711" customFormat="1" ht="14.25" customHeight="1">
      <c r="A14" s="586">
        <f>ChitietCapngam04!A60</f>
        <v>3</v>
      </c>
      <c r="B14" s="660" t="str">
        <f>ChitietCapngam04!B60</f>
        <v xml:space="preserve">Tủ điện phân phối </v>
      </c>
      <c r="C14" s="586" t="s">
        <v>95</v>
      </c>
      <c r="D14" s="586">
        <v>1</v>
      </c>
      <c r="E14" s="590">
        <f>ChitietCapngam04!K61</f>
        <v>6533168</v>
      </c>
      <c r="F14" s="590">
        <f>ChitietCapngam04!L61</f>
        <v>134481.1</v>
      </c>
      <c r="G14" s="590">
        <f>ChitietCapngam04!M61</f>
        <v>692804.15999999992</v>
      </c>
      <c r="H14" s="590">
        <f>ChitietCapngam04!N61</f>
        <v>278618</v>
      </c>
      <c r="I14" s="584">
        <f t="shared" si="5"/>
        <v>6533168</v>
      </c>
      <c r="J14" s="584">
        <f t="shared" si="6"/>
        <v>134481.1</v>
      </c>
      <c r="K14" s="584">
        <f t="shared" si="7"/>
        <v>692804.15999999992</v>
      </c>
      <c r="L14" s="584">
        <f t="shared" si="8"/>
        <v>278618</v>
      </c>
    </row>
    <row r="15" spans="1:12" s="711" customFormat="1" ht="14.25" customHeight="1">
      <c r="A15" s="586">
        <f>ChitietCapngam04!A68</f>
        <v>4</v>
      </c>
      <c r="B15" s="585" t="str">
        <f>ChitietCapngam04!B68</f>
        <v xml:space="preserve">Cáp ngầm và phụ kiện </v>
      </c>
      <c r="C15" s="586" t="str">
        <f>ChitietCapngam04!C68</f>
        <v>t.bộ</v>
      </c>
      <c r="D15" s="586">
        <v>1</v>
      </c>
      <c r="E15" s="590">
        <f>ChitietCapngam04!K68</f>
        <v>174731563.20000002</v>
      </c>
      <c r="F15" s="590">
        <f>ChitietCapngam04!L68</f>
        <v>36402.460400000004</v>
      </c>
      <c r="G15" s="590">
        <f>ChitietCapngam04!M68</f>
        <v>2047189.4020000002</v>
      </c>
      <c r="H15" s="590">
        <f>ChitietCapngam04!N68</f>
        <v>0</v>
      </c>
      <c r="I15" s="584">
        <f t="shared" ref="I15" si="9">D15*E15</f>
        <v>174731563.20000002</v>
      </c>
      <c r="J15" s="584">
        <f t="shared" ref="J15" si="10">D15*F15</f>
        <v>36402.460400000004</v>
      </c>
      <c r="K15" s="584">
        <f t="shared" ref="K15" si="11">D15*G15</f>
        <v>2047189.4020000002</v>
      </c>
      <c r="L15" s="584">
        <f t="shared" ref="L15" si="12">D15*H15</f>
        <v>0</v>
      </c>
    </row>
    <row r="16" spans="1:12">
      <c r="E16" s="713"/>
      <c r="F16" s="713"/>
      <c r="G16" s="713"/>
      <c r="H16" s="713"/>
      <c r="I16" s="713"/>
      <c r="J16" s="713"/>
      <c r="K16" s="713"/>
      <c r="L16" s="713"/>
    </row>
    <row r="17" spans="5:12">
      <c r="E17" s="713"/>
      <c r="F17" s="713"/>
      <c r="G17" s="713"/>
      <c r="H17" s="713"/>
      <c r="I17" s="713"/>
      <c r="J17" s="713"/>
      <c r="K17" s="713"/>
      <c r="L17" s="713"/>
    </row>
    <row r="18" spans="5:12">
      <c r="E18" s="713"/>
      <c r="F18" s="713"/>
      <c r="G18" s="713"/>
      <c r="H18" s="713"/>
      <c r="I18" s="713"/>
      <c r="J18" s="713"/>
      <c r="K18" s="713"/>
      <c r="L18" s="713"/>
    </row>
    <row r="19" spans="5:12">
      <c r="E19" s="713"/>
      <c r="F19" s="713"/>
      <c r="G19" s="713"/>
      <c r="H19" s="713"/>
      <c r="I19" s="713"/>
      <c r="J19" s="713"/>
      <c r="K19" s="713"/>
      <c r="L19" s="713"/>
    </row>
    <row r="20" spans="5:12">
      <c r="E20" s="713"/>
      <c r="F20" s="713"/>
      <c r="G20" s="713"/>
      <c r="H20" s="713"/>
      <c r="I20" s="713"/>
      <c r="J20" s="713"/>
      <c r="K20" s="713"/>
      <c r="L20" s="713"/>
    </row>
    <row r="21" spans="5:12">
      <c r="E21" s="713"/>
      <c r="F21" s="713"/>
      <c r="G21" s="713"/>
      <c r="H21" s="713"/>
      <c r="I21" s="713"/>
      <c r="J21" s="713"/>
      <c r="K21" s="713"/>
      <c r="L21" s="713"/>
    </row>
    <row r="22" spans="5:12">
      <c r="E22" s="713"/>
      <c r="F22" s="713"/>
      <c r="G22" s="713"/>
      <c r="H22" s="713"/>
      <c r="I22" s="713"/>
      <c r="J22" s="713"/>
      <c r="K22" s="713"/>
      <c r="L22" s="713"/>
    </row>
    <row r="23" spans="5:12">
      <c r="E23" s="713"/>
      <c r="F23" s="713"/>
      <c r="G23" s="713"/>
      <c r="H23" s="713"/>
      <c r="I23" s="713"/>
      <c r="J23" s="713"/>
      <c r="K23" s="713"/>
      <c r="L23" s="713"/>
    </row>
    <row r="24" spans="5:12">
      <c r="E24" s="713"/>
      <c r="F24" s="713"/>
      <c r="G24" s="713"/>
      <c r="H24" s="713"/>
      <c r="I24" s="713"/>
      <c r="J24" s="713"/>
      <c r="K24" s="713"/>
      <c r="L24" s="713"/>
    </row>
    <row r="25" spans="5:12">
      <c r="E25" s="713"/>
      <c r="F25" s="713"/>
      <c r="G25" s="713"/>
      <c r="H25" s="713"/>
      <c r="I25" s="713"/>
      <c r="J25" s="713"/>
      <c r="K25" s="713"/>
      <c r="L25" s="713"/>
    </row>
    <row r="26" spans="5:12">
      <c r="E26" s="713"/>
      <c r="F26" s="713"/>
      <c r="G26" s="713"/>
      <c r="H26" s="713"/>
      <c r="I26" s="713"/>
      <c r="J26" s="713"/>
      <c r="K26" s="713"/>
      <c r="L26" s="713"/>
    </row>
    <row r="27" spans="5:12">
      <c r="E27" s="713"/>
      <c r="F27" s="713"/>
      <c r="G27" s="713"/>
      <c r="H27" s="713"/>
      <c r="I27" s="713"/>
      <c r="J27" s="713"/>
      <c r="K27" s="713"/>
      <c r="L27" s="713"/>
    </row>
    <row r="28" spans="5:12">
      <c r="E28" s="713"/>
      <c r="F28" s="713"/>
      <c r="G28" s="713"/>
      <c r="H28" s="713"/>
      <c r="I28" s="713"/>
      <c r="J28" s="713"/>
      <c r="K28" s="713"/>
      <c r="L28" s="713"/>
    </row>
    <row r="29" spans="5:12">
      <c r="E29" s="713"/>
      <c r="F29" s="713"/>
      <c r="G29" s="713"/>
      <c r="H29" s="713"/>
      <c r="I29" s="713"/>
      <c r="J29" s="713"/>
      <c r="K29" s="713"/>
      <c r="L29" s="713"/>
    </row>
    <row r="30" spans="5:12">
      <c r="E30" s="713"/>
      <c r="F30" s="713"/>
      <c r="G30" s="713"/>
      <c r="H30" s="713"/>
      <c r="I30" s="713"/>
      <c r="J30" s="713"/>
      <c r="K30" s="713"/>
      <c r="L30" s="713"/>
    </row>
    <row r="31" spans="5:12">
      <c r="E31" s="713"/>
      <c r="F31" s="713"/>
      <c r="G31" s="713"/>
      <c r="H31" s="713"/>
      <c r="I31" s="713"/>
      <c r="J31" s="713"/>
      <c r="K31" s="713"/>
      <c r="L31" s="713"/>
    </row>
    <row r="32" spans="5:12">
      <c r="E32" s="713"/>
      <c r="F32" s="713"/>
      <c r="G32" s="713"/>
      <c r="H32" s="713"/>
      <c r="I32" s="713"/>
      <c r="J32" s="713"/>
      <c r="K32" s="713"/>
      <c r="L32" s="713"/>
    </row>
    <row r="33" spans="5:12">
      <c r="E33" s="713"/>
      <c r="F33" s="713"/>
      <c r="G33" s="713"/>
      <c r="H33" s="713"/>
      <c r="I33" s="713"/>
      <c r="J33" s="713"/>
      <c r="K33" s="713"/>
      <c r="L33" s="713"/>
    </row>
    <row r="34" spans="5:12">
      <c r="E34" s="713"/>
      <c r="F34" s="713"/>
      <c r="G34" s="713"/>
      <c r="H34" s="713"/>
      <c r="I34" s="713"/>
      <c r="J34" s="713"/>
      <c r="K34" s="713"/>
      <c r="L34" s="713"/>
    </row>
    <row r="35" spans="5:12">
      <c r="E35" s="713"/>
      <c r="F35" s="713"/>
      <c r="G35" s="713"/>
      <c r="H35" s="713"/>
      <c r="I35" s="713"/>
      <c r="J35" s="713"/>
      <c r="K35" s="713"/>
      <c r="L35" s="713"/>
    </row>
    <row r="36" spans="5:12">
      <c r="E36" s="713"/>
      <c r="F36" s="713"/>
      <c r="G36" s="713"/>
      <c r="H36" s="713"/>
      <c r="I36" s="713"/>
      <c r="J36" s="713"/>
      <c r="K36" s="713"/>
      <c r="L36" s="713"/>
    </row>
    <row r="37" spans="5:12">
      <c r="E37" s="713"/>
      <c r="F37" s="713"/>
      <c r="G37" s="713"/>
      <c r="H37" s="713"/>
      <c r="I37" s="713"/>
      <c r="J37" s="713"/>
      <c r="K37" s="713"/>
      <c r="L37" s="713"/>
    </row>
    <row r="38" spans="5:12">
      <c r="E38" s="713"/>
      <c r="F38" s="713"/>
      <c r="G38" s="713"/>
      <c r="H38" s="713"/>
      <c r="I38" s="713"/>
      <c r="J38" s="713"/>
      <c r="K38" s="713"/>
      <c r="L38" s="713"/>
    </row>
    <row r="39" spans="5:12">
      <c r="E39" s="713"/>
      <c r="F39" s="713"/>
      <c r="G39" s="713"/>
      <c r="H39" s="713"/>
      <c r="I39" s="713"/>
      <c r="J39" s="713"/>
      <c r="K39" s="713"/>
      <c r="L39" s="713"/>
    </row>
    <row r="40" spans="5:12">
      <c r="E40" s="713"/>
      <c r="F40" s="713"/>
      <c r="G40" s="713"/>
      <c r="H40" s="713"/>
      <c r="I40" s="713"/>
      <c r="J40" s="713"/>
      <c r="K40" s="713"/>
      <c r="L40" s="713"/>
    </row>
    <row r="41" spans="5:12">
      <c r="E41" s="713"/>
      <c r="F41" s="713"/>
      <c r="G41" s="713"/>
      <c r="H41" s="713"/>
      <c r="I41" s="713"/>
      <c r="J41" s="713"/>
      <c r="K41" s="713"/>
      <c r="L41" s="713"/>
    </row>
    <row r="42" spans="5:12">
      <c r="E42" s="713"/>
      <c r="F42" s="713"/>
      <c r="G42" s="713"/>
      <c r="H42" s="713"/>
      <c r="I42" s="713"/>
      <c r="J42" s="713"/>
      <c r="K42" s="713"/>
      <c r="L42" s="713"/>
    </row>
    <row r="43" spans="5:12">
      <c r="E43" s="713"/>
      <c r="F43" s="713"/>
      <c r="G43" s="713"/>
      <c r="H43" s="713"/>
      <c r="I43" s="713"/>
      <c r="J43" s="713"/>
      <c r="K43" s="713"/>
      <c r="L43" s="713"/>
    </row>
    <row r="44" spans="5:12">
      <c r="E44" s="713"/>
      <c r="F44" s="713"/>
      <c r="G44" s="713"/>
      <c r="H44" s="713"/>
      <c r="I44" s="713"/>
      <c r="J44" s="713"/>
      <c r="K44" s="713"/>
      <c r="L44" s="713"/>
    </row>
    <row r="45" spans="5:12">
      <c r="E45" s="713"/>
      <c r="F45" s="713"/>
      <c r="G45" s="713"/>
      <c r="H45" s="713"/>
      <c r="I45" s="713"/>
      <c r="J45" s="713"/>
      <c r="K45" s="713"/>
      <c r="L45" s="713"/>
    </row>
    <row r="46" spans="5:12">
      <c r="E46" s="713"/>
      <c r="F46" s="713"/>
      <c r="G46" s="713"/>
      <c r="H46" s="713"/>
      <c r="I46" s="713"/>
      <c r="J46" s="713"/>
      <c r="K46" s="713"/>
      <c r="L46" s="713"/>
    </row>
    <row r="47" spans="5:12">
      <c r="E47" s="713"/>
      <c r="F47" s="713"/>
      <c r="G47" s="713"/>
      <c r="H47" s="713"/>
      <c r="I47" s="713"/>
      <c r="J47" s="713"/>
      <c r="K47" s="713"/>
      <c r="L47" s="713"/>
    </row>
    <row r="48" spans="5:12">
      <c r="E48" s="713"/>
      <c r="F48" s="713"/>
      <c r="G48" s="713"/>
      <c r="H48" s="713"/>
      <c r="I48" s="713"/>
      <c r="J48" s="713"/>
      <c r="K48" s="713"/>
      <c r="L48" s="713"/>
    </row>
    <row r="49" spans="5:12">
      <c r="E49" s="713"/>
      <c r="F49" s="713"/>
      <c r="G49" s="713"/>
      <c r="H49" s="713"/>
      <c r="I49" s="713"/>
      <c r="J49" s="713"/>
      <c r="K49" s="713"/>
      <c r="L49" s="713"/>
    </row>
    <row r="50" spans="5:12">
      <c r="E50" s="713"/>
      <c r="F50" s="713"/>
      <c r="G50" s="713"/>
      <c r="H50" s="713"/>
      <c r="I50" s="713"/>
      <c r="J50" s="713"/>
      <c r="K50" s="713"/>
      <c r="L50" s="713"/>
    </row>
    <row r="51" spans="5:12">
      <c r="E51" s="713"/>
      <c r="F51" s="713"/>
      <c r="G51" s="713"/>
      <c r="H51" s="713"/>
      <c r="I51" s="713"/>
      <c r="J51" s="713"/>
      <c r="K51" s="713"/>
      <c r="L51" s="713"/>
    </row>
    <row r="52" spans="5:12">
      <c r="E52" s="713"/>
      <c r="F52" s="713"/>
      <c r="G52" s="713"/>
      <c r="H52" s="713"/>
      <c r="I52" s="713"/>
      <c r="J52" s="713"/>
      <c r="K52" s="713"/>
      <c r="L52" s="713"/>
    </row>
    <row r="53" spans="5:12">
      <c r="E53" s="713"/>
      <c r="F53" s="713"/>
      <c r="G53" s="713"/>
      <c r="H53" s="713"/>
      <c r="I53" s="713"/>
      <c r="J53" s="713"/>
      <c r="K53" s="713"/>
      <c r="L53" s="713"/>
    </row>
    <row r="54" spans="5:12">
      <c r="E54" s="713"/>
      <c r="F54" s="713"/>
      <c r="G54" s="713"/>
      <c r="H54" s="713"/>
      <c r="I54" s="713"/>
      <c r="J54" s="713"/>
      <c r="K54" s="713"/>
      <c r="L54" s="713"/>
    </row>
    <row r="55" spans="5:12">
      <c r="E55" s="713"/>
      <c r="F55" s="713"/>
      <c r="G55" s="713"/>
      <c r="H55" s="713"/>
      <c r="I55" s="713"/>
      <c r="J55" s="713"/>
      <c r="K55" s="713"/>
      <c r="L55" s="713"/>
    </row>
    <row r="56" spans="5:12">
      <c r="E56" s="713"/>
      <c r="F56" s="713"/>
      <c r="G56" s="713"/>
      <c r="H56" s="713"/>
      <c r="I56" s="713"/>
      <c r="J56" s="713"/>
      <c r="K56" s="713"/>
      <c r="L56" s="713"/>
    </row>
    <row r="57" spans="5:12">
      <c r="E57" s="713"/>
      <c r="F57" s="713"/>
      <c r="G57" s="713"/>
      <c r="H57" s="713"/>
      <c r="I57" s="713"/>
      <c r="J57" s="713"/>
      <c r="K57" s="713"/>
      <c r="L57" s="713"/>
    </row>
    <row r="58" spans="5:12">
      <c r="E58" s="713"/>
      <c r="F58" s="713"/>
      <c r="G58" s="713"/>
      <c r="H58" s="713"/>
      <c r="I58" s="713"/>
      <c r="J58" s="713"/>
      <c r="K58" s="713"/>
      <c r="L58" s="713"/>
    </row>
    <row r="59" spans="5:12">
      <c r="E59" s="713"/>
      <c r="F59" s="713"/>
      <c r="G59" s="713"/>
      <c r="H59" s="713"/>
      <c r="I59" s="713"/>
      <c r="J59" s="713"/>
      <c r="K59" s="713"/>
      <c r="L59" s="713"/>
    </row>
    <row r="60" spans="5:12">
      <c r="E60" s="713"/>
      <c r="F60" s="713"/>
      <c r="G60" s="713"/>
      <c r="H60" s="713"/>
      <c r="I60" s="713"/>
      <c r="J60" s="713"/>
      <c r="K60" s="713"/>
      <c r="L60" s="713"/>
    </row>
    <row r="61" spans="5:12">
      <c r="E61" s="713"/>
      <c r="F61" s="713"/>
      <c r="G61" s="713"/>
      <c r="H61" s="713"/>
      <c r="I61" s="713"/>
      <c r="J61" s="713"/>
      <c r="K61" s="713"/>
      <c r="L61" s="713"/>
    </row>
    <row r="62" spans="5:12">
      <c r="E62" s="713"/>
      <c r="F62" s="713"/>
      <c r="G62" s="713"/>
      <c r="H62" s="713"/>
      <c r="I62" s="713"/>
      <c r="J62" s="713"/>
      <c r="K62" s="713"/>
      <c r="L62" s="713"/>
    </row>
  </sheetData>
  <mergeCells count="3">
    <mergeCell ref="A2:L2"/>
    <mergeCell ref="A3:L3"/>
    <mergeCell ref="B5:B6"/>
  </mergeCells>
  <printOptions horizontalCentered="1"/>
  <pageMargins left="0.2" right="0.19" top="0.56000000000000005" bottom="0.49803149600000002" header="0.31496062992126" footer="0.31496062992126"/>
  <pageSetup paperSize="9" scale="85" orientation="landscape"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76"/>
  <sheetViews>
    <sheetView zoomScale="115" zoomScaleNormal="115" workbookViewId="0">
      <pane xSplit="1" ySplit="6" topLeftCell="B71" activePane="bottomRight" state="frozen"/>
      <selection pane="topRight" activeCell="B1" sqref="B1"/>
      <selection pane="bottomLeft" activeCell="A7" sqref="A7"/>
      <selection pane="bottomRight" activeCell="E32" sqref="E32"/>
    </sheetView>
  </sheetViews>
  <sheetFormatPr defaultColWidth="9" defaultRowHeight="14.25"/>
  <cols>
    <col min="1" max="1" width="11" style="744" customWidth="1"/>
    <col min="2" max="2" width="51.42578125" style="745" customWidth="1"/>
    <col min="3" max="4" width="6.85546875" style="744" customWidth="1"/>
    <col min="5" max="5" width="10.7109375" style="719" customWidth="1"/>
    <col min="6" max="6" width="10.85546875" style="719" customWidth="1"/>
    <col min="7" max="7" width="10.28515625" style="719" customWidth="1"/>
    <col min="8" max="8" width="10.85546875" style="719" customWidth="1"/>
    <col min="9" max="9" width="7.28515625" style="746" customWidth="1"/>
    <col min="10" max="10" width="6.5703125" style="746" customWidth="1"/>
    <col min="11" max="11" width="15.7109375" style="719" customWidth="1"/>
    <col min="12" max="12" width="12.140625" style="719" customWidth="1"/>
    <col min="13" max="13" width="13" style="719" customWidth="1"/>
    <col min="14" max="14" width="13.140625" style="719" customWidth="1"/>
    <col min="15" max="15" width="14.5703125" style="719" customWidth="1"/>
    <col min="16" max="16" width="17.5703125" style="719" customWidth="1"/>
    <col min="17" max="256" width="9" style="719"/>
    <col min="257" max="257" width="11" style="719" customWidth="1"/>
    <col min="258" max="258" width="53.7109375" style="719" customWidth="1"/>
    <col min="259" max="260" width="6.85546875" style="719" customWidth="1"/>
    <col min="261" max="261" width="10.7109375" style="719" customWidth="1"/>
    <col min="262" max="262" width="10.42578125" style="719" customWidth="1"/>
    <col min="263" max="263" width="10.28515625" style="719" customWidth="1"/>
    <col min="264" max="264" width="10.85546875" style="719" customWidth="1"/>
    <col min="265" max="265" width="6.28515625" style="719" customWidth="1"/>
    <col min="266" max="266" width="5.7109375" style="719" customWidth="1"/>
    <col min="267" max="267" width="13.7109375" style="719" customWidth="1"/>
    <col min="268" max="268" width="11" style="719" customWidth="1"/>
    <col min="269" max="269" width="11.7109375" style="719" customWidth="1"/>
    <col min="270" max="270" width="11.5703125" style="719" customWidth="1"/>
    <col min="271" max="271" width="14.5703125" style="719" customWidth="1"/>
    <col min="272" max="272" width="17.5703125" style="719" customWidth="1"/>
    <col min="273" max="512" width="9" style="719"/>
    <col min="513" max="513" width="11" style="719" customWidth="1"/>
    <col min="514" max="514" width="53.7109375" style="719" customWidth="1"/>
    <col min="515" max="516" width="6.85546875" style="719" customWidth="1"/>
    <col min="517" max="517" width="10.7109375" style="719" customWidth="1"/>
    <col min="518" max="518" width="10.42578125" style="719" customWidth="1"/>
    <col min="519" max="519" width="10.28515625" style="719" customWidth="1"/>
    <col min="520" max="520" width="10.85546875" style="719" customWidth="1"/>
    <col min="521" max="521" width="6.28515625" style="719" customWidth="1"/>
    <col min="522" max="522" width="5.7109375" style="719" customWidth="1"/>
    <col min="523" max="523" width="13.7109375" style="719" customWidth="1"/>
    <col min="524" max="524" width="11" style="719" customWidth="1"/>
    <col min="525" max="525" width="11.7109375" style="719" customWidth="1"/>
    <col min="526" max="526" width="11.5703125" style="719" customWidth="1"/>
    <col min="527" max="527" width="14.5703125" style="719" customWidth="1"/>
    <col min="528" max="528" width="17.5703125" style="719" customWidth="1"/>
    <col min="529" max="768" width="9" style="719"/>
    <col min="769" max="769" width="11" style="719" customWidth="1"/>
    <col min="770" max="770" width="53.7109375" style="719" customWidth="1"/>
    <col min="771" max="772" width="6.85546875" style="719" customWidth="1"/>
    <col min="773" max="773" width="10.7109375" style="719" customWidth="1"/>
    <col min="774" max="774" width="10.42578125" style="719" customWidth="1"/>
    <col min="775" max="775" width="10.28515625" style="719" customWidth="1"/>
    <col min="776" max="776" width="10.85546875" style="719" customWidth="1"/>
    <col min="777" max="777" width="6.28515625" style="719" customWidth="1"/>
    <col min="778" max="778" width="5.7109375" style="719" customWidth="1"/>
    <col min="779" max="779" width="13.7109375" style="719" customWidth="1"/>
    <col min="780" max="780" width="11" style="719" customWidth="1"/>
    <col min="781" max="781" width="11.7109375" style="719" customWidth="1"/>
    <col min="782" max="782" width="11.5703125" style="719" customWidth="1"/>
    <col min="783" max="783" width="14.5703125" style="719" customWidth="1"/>
    <col min="784" max="784" width="17.5703125" style="719" customWidth="1"/>
    <col min="785" max="1024" width="9" style="719"/>
    <col min="1025" max="1025" width="11" style="719" customWidth="1"/>
    <col min="1026" max="1026" width="53.7109375" style="719" customWidth="1"/>
    <col min="1027" max="1028" width="6.85546875" style="719" customWidth="1"/>
    <col min="1029" max="1029" width="10.7109375" style="719" customWidth="1"/>
    <col min="1030" max="1030" width="10.42578125" style="719" customWidth="1"/>
    <col min="1031" max="1031" width="10.28515625" style="719" customWidth="1"/>
    <col min="1032" max="1032" width="10.85546875" style="719" customWidth="1"/>
    <col min="1033" max="1033" width="6.28515625" style="719" customWidth="1"/>
    <col min="1034" max="1034" width="5.7109375" style="719" customWidth="1"/>
    <col min="1035" max="1035" width="13.7109375" style="719" customWidth="1"/>
    <col min="1036" max="1036" width="11" style="719" customWidth="1"/>
    <col min="1037" max="1037" width="11.7109375" style="719" customWidth="1"/>
    <col min="1038" max="1038" width="11.5703125" style="719" customWidth="1"/>
    <col min="1039" max="1039" width="14.5703125" style="719" customWidth="1"/>
    <col min="1040" max="1040" width="17.5703125" style="719" customWidth="1"/>
    <col min="1041" max="1280" width="9" style="719"/>
    <col min="1281" max="1281" width="11" style="719" customWidth="1"/>
    <col min="1282" max="1282" width="53.7109375" style="719" customWidth="1"/>
    <col min="1283" max="1284" width="6.85546875" style="719" customWidth="1"/>
    <col min="1285" max="1285" width="10.7109375" style="719" customWidth="1"/>
    <col min="1286" max="1286" width="10.42578125" style="719" customWidth="1"/>
    <col min="1287" max="1287" width="10.28515625" style="719" customWidth="1"/>
    <col min="1288" max="1288" width="10.85546875" style="719" customWidth="1"/>
    <col min="1289" max="1289" width="6.28515625" style="719" customWidth="1"/>
    <col min="1290" max="1290" width="5.7109375" style="719" customWidth="1"/>
    <col min="1291" max="1291" width="13.7109375" style="719" customWidth="1"/>
    <col min="1292" max="1292" width="11" style="719" customWidth="1"/>
    <col min="1293" max="1293" width="11.7109375" style="719" customWidth="1"/>
    <col min="1294" max="1294" width="11.5703125" style="719" customWidth="1"/>
    <col min="1295" max="1295" width="14.5703125" style="719" customWidth="1"/>
    <col min="1296" max="1296" width="17.5703125" style="719" customWidth="1"/>
    <col min="1297" max="1536" width="9" style="719"/>
    <col min="1537" max="1537" width="11" style="719" customWidth="1"/>
    <col min="1538" max="1538" width="53.7109375" style="719" customWidth="1"/>
    <col min="1539" max="1540" width="6.85546875" style="719" customWidth="1"/>
    <col min="1541" max="1541" width="10.7109375" style="719" customWidth="1"/>
    <col min="1542" max="1542" width="10.42578125" style="719" customWidth="1"/>
    <col min="1543" max="1543" width="10.28515625" style="719" customWidth="1"/>
    <col min="1544" max="1544" width="10.85546875" style="719" customWidth="1"/>
    <col min="1545" max="1545" width="6.28515625" style="719" customWidth="1"/>
    <col min="1546" max="1546" width="5.7109375" style="719" customWidth="1"/>
    <col min="1547" max="1547" width="13.7109375" style="719" customWidth="1"/>
    <col min="1548" max="1548" width="11" style="719" customWidth="1"/>
    <col min="1549" max="1549" width="11.7109375" style="719" customWidth="1"/>
    <col min="1550" max="1550" width="11.5703125" style="719" customWidth="1"/>
    <col min="1551" max="1551" width="14.5703125" style="719" customWidth="1"/>
    <col min="1552" max="1552" width="17.5703125" style="719" customWidth="1"/>
    <col min="1553" max="1792" width="9" style="719"/>
    <col min="1793" max="1793" width="11" style="719" customWidth="1"/>
    <col min="1794" max="1794" width="53.7109375" style="719" customWidth="1"/>
    <col min="1795" max="1796" width="6.85546875" style="719" customWidth="1"/>
    <col min="1797" max="1797" width="10.7109375" style="719" customWidth="1"/>
    <col min="1798" max="1798" width="10.42578125" style="719" customWidth="1"/>
    <col min="1799" max="1799" width="10.28515625" style="719" customWidth="1"/>
    <col min="1800" max="1800" width="10.85546875" style="719" customWidth="1"/>
    <col min="1801" max="1801" width="6.28515625" style="719" customWidth="1"/>
    <col min="1802" max="1802" width="5.7109375" style="719" customWidth="1"/>
    <col min="1803" max="1803" width="13.7109375" style="719" customWidth="1"/>
    <col min="1804" max="1804" width="11" style="719" customWidth="1"/>
    <col min="1805" max="1805" width="11.7109375" style="719" customWidth="1"/>
    <col min="1806" max="1806" width="11.5703125" style="719" customWidth="1"/>
    <col min="1807" max="1807" width="14.5703125" style="719" customWidth="1"/>
    <col min="1808" max="1808" width="17.5703125" style="719" customWidth="1"/>
    <col min="1809" max="2048" width="9" style="719"/>
    <col min="2049" max="2049" width="11" style="719" customWidth="1"/>
    <col min="2050" max="2050" width="53.7109375" style="719" customWidth="1"/>
    <col min="2051" max="2052" width="6.85546875" style="719" customWidth="1"/>
    <col min="2053" max="2053" width="10.7109375" style="719" customWidth="1"/>
    <col min="2054" max="2054" width="10.42578125" style="719" customWidth="1"/>
    <col min="2055" max="2055" width="10.28515625" style="719" customWidth="1"/>
    <col min="2056" max="2056" width="10.85546875" style="719" customWidth="1"/>
    <col min="2057" max="2057" width="6.28515625" style="719" customWidth="1"/>
    <col min="2058" max="2058" width="5.7109375" style="719" customWidth="1"/>
    <col min="2059" max="2059" width="13.7109375" style="719" customWidth="1"/>
    <col min="2060" max="2060" width="11" style="719" customWidth="1"/>
    <col min="2061" max="2061" width="11.7109375" style="719" customWidth="1"/>
    <col min="2062" max="2062" width="11.5703125" style="719" customWidth="1"/>
    <col min="2063" max="2063" width="14.5703125" style="719" customWidth="1"/>
    <col min="2064" max="2064" width="17.5703125" style="719" customWidth="1"/>
    <col min="2065" max="2304" width="9" style="719"/>
    <col min="2305" max="2305" width="11" style="719" customWidth="1"/>
    <col min="2306" max="2306" width="53.7109375" style="719" customWidth="1"/>
    <col min="2307" max="2308" width="6.85546875" style="719" customWidth="1"/>
    <col min="2309" max="2309" width="10.7109375" style="719" customWidth="1"/>
    <col min="2310" max="2310" width="10.42578125" style="719" customWidth="1"/>
    <col min="2311" max="2311" width="10.28515625" style="719" customWidth="1"/>
    <col min="2312" max="2312" width="10.85546875" style="719" customWidth="1"/>
    <col min="2313" max="2313" width="6.28515625" style="719" customWidth="1"/>
    <col min="2314" max="2314" width="5.7109375" style="719" customWidth="1"/>
    <col min="2315" max="2315" width="13.7109375" style="719" customWidth="1"/>
    <col min="2316" max="2316" width="11" style="719" customWidth="1"/>
    <col min="2317" max="2317" width="11.7109375" style="719" customWidth="1"/>
    <col min="2318" max="2318" width="11.5703125" style="719" customWidth="1"/>
    <col min="2319" max="2319" width="14.5703125" style="719" customWidth="1"/>
    <col min="2320" max="2320" width="17.5703125" style="719" customWidth="1"/>
    <col min="2321" max="2560" width="9" style="719"/>
    <col min="2561" max="2561" width="11" style="719" customWidth="1"/>
    <col min="2562" max="2562" width="53.7109375" style="719" customWidth="1"/>
    <col min="2563" max="2564" width="6.85546875" style="719" customWidth="1"/>
    <col min="2565" max="2565" width="10.7109375" style="719" customWidth="1"/>
    <col min="2566" max="2566" width="10.42578125" style="719" customWidth="1"/>
    <col min="2567" max="2567" width="10.28515625" style="719" customWidth="1"/>
    <col min="2568" max="2568" width="10.85546875" style="719" customWidth="1"/>
    <col min="2569" max="2569" width="6.28515625" style="719" customWidth="1"/>
    <col min="2570" max="2570" width="5.7109375" style="719" customWidth="1"/>
    <col min="2571" max="2571" width="13.7109375" style="719" customWidth="1"/>
    <col min="2572" max="2572" width="11" style="719" customWidth="1"/>
    <col min="2573" max="2573" width="11.7109375" style="719" customWidth="1"/>
    <col min="2574" max="2574" width="11.5703125" style="719" customWidth="1"/>
    <col min="2575" max="2575" width="14.5703125" style="719" customWidth="1"/>
    <col min="2576" max="2576" width="17.5703125" style="719" customWidth="1"/>
    <col min="2577" max="2816" width="9" style="719"/>
    <col min="2817" max="2817" width="11" style="719" customWidth="1"/>
    <col min="2818" max="2818" width="53.7109375" style="719" customWidth="1"/>
    <col min="2819" max="2820" width="6.85546875" style="719" customWidth="1"/>
    <col min="2821" max="2821" width="10.7109375" style="719" customWidth="1"/>
    <col min="2822" max="2822" width="10.42578125" style="719" customWidth="1"/>
    <col min="2823" max="2823" width="10.28515625" style="719" customWidth="1"/>
    <col min="2824" max="2824" width="10.85546875" style="719" customWidth="1"/>
    <col min="2825" max="2825" width="6.28515625" style="719" customWidth="1"/>
    <col min="2826" max="2826" width="5.7109375" style="719" customWidth="1"/>
    <col min="2827" max="2827" width="13.7109375" style="719" customWidth="1"/>
    <col min="2828" max="2828" width="11" style="719" customWidth="1"/>
    <col min="2829" max="2829" width="11.7109375" style="719" customWidth="1"/>
    <col min="2830" max="2830" width="11.5703125" style="719" customWidth="1"/>
    <col min="2831" max="2831" width="14.5703125" style="719" customWidth="1"/>
    <col min="2832" max="2832" width="17.5703125" style="719" customWidth="1"/>
    <col min="2833" max="3072" width="9" style="719"/>
    <col min="3073" max="3073" width="11" style="719" customWidth="1"/>
    <col min="3074" max="3074" width="53.7109375" style="719" customWidth="1"/>
    <col min="3075" max="3076" width="6.85546875" style="719" customWidth="1"/>
    <col min="3077" max="3077" width="10.7109375" style="719" customWidth="1"/>
    <col min="3078" max="3078" width="10.42578125" style="719" customWidth="1"/>
    <col min="3079" max="3079" width="10.28515625" style="719" customWidth="1"/>
    <col min="3080" max="3080" width="10.85546875" style="719" customWidth="1"/>
    <col min="3081" max="3081" width="6.28515625" style="719" customWidth="1"/>
    <col min="3082" max="3082" width="5.7109375" style="719" customWidth="1"/>
    <col min="3083" max="3083" width="13.7109375" style="719" customWidth="1"/>
    <col min="3084" max="3084" width="11" style="719" customWidth="1"/>
    <col min="3085" max="3085" width="11.7109375" style="719" customWidth="1"/>
    <col min="3086" max="3086" width="11.5703125" style="719" customWidth="1"/>
    <col min="3087" max="3087" width="14.5703125" style="719" customWidth="1"/>
    <col min="3088" max="3088" width="17.5703125" style="719" customWidth="1"/>
    <col min="3089" max="3328" width="9" style="719"/>
    <col min="3329" max="3329" width="11" style="719" customWidth="1"/>
    <col min="3330" max="3330" width="53.7109375" style="719" customWidth="1"/>
    <col min="3331" max="3332" width="6.85546875" style="719" customWidth="1"/>
    <col min="3333" max="3333" width="10.7109375" style="719" customWidth="1"/>
    <col min="3334" max="3334" width="10.42578125" style="719" customWidth="1"/>
    <col min="3335" max="3335" width="10.28515625" style="719" customWidth="1"/>
    <col min="3336" max="3336" width="10.85546875" style="719" customWidth="1"/>
    <col min="3337" max="3337" width="6.28515625" style="719" customWidth="1"/>
    <col min="3338" max="3338" width="5.7109375" style="719" customWidth="1"/>
    <col min="3339" max="3339" width="13.7109375" style="719" customWidth="1"/>
    <col min="3340" max="3340" width="11" style="719" customWidth="1"/>
    <col min="3341" max="3341" width="11.7109375" style="719" customWidth="1"/>
    <col min="3342" max="3342" width="11.5703125" style="719" customWidth="1"/>
    <col min="3343" max="3343" width="14.5703125" style="719" customWidth="1"/>
    <col min="3344" max="3344" width="17.5703125" style="719" customWidth="1"/>
    <col min="3345" max="3584" width="9" style="719"/>
    <col min="3585" max="3585" width="11" style="719" customWidth="1"/>
    <col min="3586" max="3586" width="53.7109375" style="719" customWidth="1"/>
    <col min="3587" max="3588" width="6.85546875" style="719" customWidth="1"/>
    <col min="3589" max="3589" width="10.7109375" style="719" customWidth="1"/>
    <col min="3590" max="3590" width="10.42578125" style="719" customWidth="1"/>
    <col min="3591" max="3591" width="10.28515625" style="719" customWidth="1"/>
    <col min="3592" max="3592" width="10.85546875" style="719" customWidth="1"/>
    <col min="3593" max="3593" width="6.28515625" style="719" customWidth="1"/>
    <col min="3594" max="3594" width="5.7109375" style="719" customWidth="1"/>
    <col min="3595" max="3595" width="13.7109375" style="719" customWidth="1"/>
    <col min="3596" max="3596" width="11" style="719" customWidth="1"/>
    <col min="3597" max="3597" width="11.7109375" style="719" customWidth="1"/>
    <col min="3598" max="3598" width="11.5703125" style="719" customWidth="1"/>
    <col min="3599" max="3599" width="14.5703125" style="719" customWidth="1"/>
    <col min="3600" max="3600" width="17.5703125" style="719" customWidth="1"/>
    <col min="3601" max="3840" width="9" style="719"/>
    <col min="3841" max="3841" width="11" style="719" customWidth="1"/>
    <col min="3842" max="3842" width="53.7109375" style="719" customWidth="1"/>
    <col min="3843" max="3844" width="6.85546875" style="719" customWidth="1"/>
    <col min="3845" max="3845" width="10.7109375" style="719" customWidth="1"/>
    <col min="3846" max="3846" width="10.42578125" style="719" customWidth="1"/>
    <col min="3847" max="3847" width="10.28515625" style="719" customWidth="1"/>
    <col min="3848" max="3848" width="10.85546875" style="719" customWidth="1"/>
    <col min="3849" max="3849" width="6.28515625" style="719" customWidth="1"/>
    <col min="3850" max="3850" width="5.7109375" style="719" customWidth="1"/>
    <col min="3851" max="3851" width="13.7109375" style="719" customWidth="1"/>
    <col min="3852" max="3852" width="11" style="719" customWidth="1"/>
    <col min="3853" max="3853" width="11.7109375" style="719" customWidth="1"/>
    <col min="3854" max="3854" width="11.5703125" style="719" customWidth="1"/>
    <col min="3855" max="3855" width="14.5703125" style="719" customWidth="1"/>
    <col min="3856" max="3856" width="17.5703125" style="719" customWidth="1"/>
    <col min="3857" max="4096" width="9" style="719"/>
    <col min="4097" max="4097" width="11" style="719" customWidth="1"/>
    <col min="4098" max="4098" width="53.7109375" style="719" customWidth="1"/>
    <col min="4099" max="4100" width="6.85546875" style="719" customWidth="1"/>
    <col min="4101" max="4101" width="10.7109375" style="719" customWidth="1"/>
    <col min="4102" max="4102" width="10.42578125" style="719" customWidth="1"/>
    <col min="4103" max="4103" width="10.28515625" style="719" customWidth="1"/>
    <col min="4104" max="4104" width="10.85546875" style="719" customWidth="1"/>
    <col min="4105" max="4105" width="6.28515625" style="719" customWidth="1"/>
    <col min="4106" max="4106" width="5.7109375" style="719" customWidth="1"/>
    <col min="4107" max="4107" width="13.7109375" style="719" customWidth="1"/>
    <col min="4108" max="4108" width="11" style="719" customWidth="1"/>
    <col min="4109" max="4109" width="11.7109375" style="719" customWidth="1"/>
    <col min="4110" max="4110" width="11.5703125" style="719" customWidth="1"/>
    <col min="4111" max="4111" width="14.5703125" style="719" customWidth="1"/>
    <col min="4112" max="4112" width="17.5703125" style="719" customWidth="1"/>
    <col min="4113" max="4352" width="9" style="719"/>
    <col min="4353" max="4353" width="11" style="719" customWidth="1"/>
    <col min="4354" max="4354" width="53.7109375" style="719" customWidth="1"/>
    <col min="4355" max="4356" width="6.85546875" style="719" customWidth="1"/>
    <col min="4357" max="4357" width="10.7109375" style="719" customWidth="1"/>
    <col min="4358" max="4358" width="10.42578125" style="719" customWidth="1"/>
    <col min="4359" max="4359" width="10.28515625" style="719" customWidth="1"/>
    <col min="4360" max="4360" width="10.85546875" style="719" customWidth="1"/>
    <col min="4361" max="4361" width="6.28515625" style="719" customWidth="1"/>
    <col min="4362" max="4362" width="5.7109375" style="719" customWidth="1"/>
    <col min="4363" max="4363" width="13.7109375" style="719" customWidth="1"/>
    <col min="4364" max="4364" width="11" style="719" customWidth="1"/>
    <col min="4365" max="4365" width="11.7109375" style="719" customWidth="1"/>
    <col min="4366" max="4366" width="11.5703125" style="719" customWidth="1"/>
    <col min="4367" max="4367" width="14.5703125" style="719" customWidth="1"/>
    <col min="4368" max="4368" width="17.5703125" style="719" customWidth="1"/>
    <col min="4369" max="4608" width="9" style="719"/>
    <col min="4609" max="4609" width="11" style="719" customWidth="1"/>
    <col min="4610" max="4610" width="53.7109375" style="719" customWidth="1"/>
    <col min="4611" max="4612" width="6.85546875" style="719" customWidth="1"/>
    <col min="4613" max="4613" width="10.7109375" style="719" customWidth="1"/>
    <col min="4614" max="4614" width="10.42578125" style="719" customWidth="1"/>
    <col min="4615" max="4615" width="10.28515625" style="719" customWidth="1"/>
    <col min="4616" max="4616" width="10.85546875" style="719" customWidth="1"/>
    <col min="4617" max="4617" width="6.28515625" style="719" customWidth="1"/>
    <col min="4618" max="4618" width="5.7109375" style="719" customWidth="1"/>
    <col min="4619" max="4619" width="13.7109375" style="719" customWidth="1"/>
    <col min="4620" max="4620" width="11" style="719" customWidth="1"/>
    <col min="4621" max="4621" width="11.7109375" style="719" customWidth="1"/>
    <col min="4622" max="4622" width="11.5703125" style="719" customWidth="1"/>
    <col min="4623" max="4623" width="14.5703125" style="719" customWidth="1"/>
    <col min="4624" max="4624" width="17.5703125" style="719" customWidth="1"/>
    <col min="4625" max="4864" width="9" style="719"/>
    <col min="4865" max="4865" width="11" style="719" customWidth="1"/>
    <col min="4866" max="4866" width="53.7109375" style="719" customWidth="1"/>
    <col min="4867" max="4868" width="6.85546875" style="719" customWidth="1"/>
    <col min="4869" max="4869" width="10.7109375" style="719" customWidth="1"/>
    <col min="4870" max="4870" width="10.42578125" style="719" customWidth="1"/>
    <col min="4871" max="4871" width="10.28515625" style="719" customWidth="1"/>
    <col min="4872" max="4872" width="10.85546875" style="719" customWidth="1"/>
    <col min="4873" max="4873" width="6.28515625" style="719" customWidth="1"/>
    <col min="4874" max="4874" width="5.7109375" style="719" customWidth="1"/>
    <col min="4875" max="4875" width="13.7109375" style="719" customWidth="1"/>
    <col min="4876" max="4876" width="11" style="719" customWidth="1"/>
    <col min="4877" max="4877" width="11.7109375" style="719" customWidth="1"/>
    <col min="4878" max="4878" width="11.5703125" style="719" customWidth="1"/>
    <col min="4879" max="4879" width="14.5703125" style="719" customWidth="1"/>
    <col min="4880" max="4880" width="17.5703125" style="719" customWidth="1"/>
    <col min="4881" max="5120" width="9" style="719"/>
    <col min="5121" max="5121" width="11" style="719" customWidth="1"/>
    <col min="5122" max="5122" width="53.7109375" style="719" customWidth="1"/>
    <col min="5123" max="5124" width="6.85546875" style="719" customWidth="1"/>
    <col min="5125" max="5125" width="10.7109375" style="719" customWidth="1"/>
    <col min="5126" max="5126" width="10.42578125" style="719" customWidth="1"/>
    <col min="5127" max="5127" width="10.28515625" style="719" customWidth="1"/>
    <col min="5128" max="5128" width="10.85546875" style="719" customWidth="1"/>
    <col min="5129" max="5129" width="6.28515625" style="719" customWidth="1"/>
    <col min="5130" max="5130" width="5.7109375" style="719" customWidth="1"/>
    <col min="5131" max="5131" width="13.7109375" style="719" customWidth="1"/>
    <col min="5132" max="5132" width="11" style="719" customWidth="1"/>
    <col min="5133" max="5133" width="11.7109375" style="719" customWidth="1"/>
    <col min="5134" max="5134" width="11.5703125" style="719" customWidth="1"/>
    <col min="5135" max="5135" width="14.5703125" style="719" customWidth="1"/>
    <col min="5136" max="5136" width="17.5703125" style="719" customWidth="1"/>
    <col min="5137" max="5376" width="9" style="719"/>
    <col min="5377" max="5377" width="11" style="719" customWidth="1"/>
    <col min="5378" max="5378" width="53.7109375" style="719" customWidth="1"/>
    <col min="5379" max="5380" width="6.85546875" style="719" customWidth="1"/>
    <col min="5381" max="5381" width="10.7109375" style="719" customWidth="1"/>
    <col min="5382" max="5382" width="10.42578125" style="719" customWidth="1"/>
    <col min="5383" max="5383" width="10.28515625" style="719" customWidth="1"/>
    <col min="5384" max="5384" width="10.85546875" style="719" customWidth="1"/>
    <col min="5385" max="5385" width="6.28515625" style="719" customWidth="1"/>
    <col min="5386" max="5386" width="5.7109375" style="719" customWidth="1"/>
    <col min="5387" max="5387" width="13.7109375" style="719" customWidth="1"/>
    <col min="5388" max="5388" width="11" style="719" customWidth="1"/>
    <col min="5389" max="5389" width="11.7109375" style="719" customWidth="1"/>
    <col min="5390" max="5390" width="11.5703125" style="719" customWidth="1"/>
    <col min="5391" max="5391" width="14.5703125" style="719" customWidth="1"/>
    <col min="5392" max="5392" width="17.5703125" style="719" customWidth="1"/>
    <col min="5393" max="5632" width="9" style="719"/>
    <col min="5633" max="5633" width="11" style="719" customWidth="1"/>
    <col min="5634" max="5634" width="53.7109375" style="719" customWidth="1"/>
    <col min="5635" max="5636" width="6.85546875" style="719" customWidth="1"/>
    <col min="5637" max="5637" width="10.7109375" style="719" customWidth="1"/>
    <col min="5638" max="5638" width="10.42578125" style="719" customWidth="1"/>
    <col min="5639" max="5639" width="10.28515625" style="719" customWidth="1"/>
    <col min="5640" max="5640" width="10.85546875" style="719" customWidth="1"/>
    <col min="5641" max="5641" width="6.28515625" style="719" customWidth="1"/>
    <col min="5642" max="5642" width="5.7109375" style="719" customWidth="1"/>
    <col min="5643" max="5643" width="13.7109375" style="719" customWidth="1"/>
    <col min="5644" max="5644" width="11" style="719" customWidth="1"/>
    <col min="5645" max="5645" width="11.7109375" style="719" customWidth="1"/>
    <col min="5646" max="5646" width="11.5703125" style="719" customWidth="1"/>
    <col min="5647" max="5647" width="14.5703125" style="719" customWidth="1"/>
    <col min="5648" max="5648" width="17.5703125" style="719" customWidth="1"/>
    <col min="5649" max="5888" width="9" style="719"/>
    <col min="5889" max="5889" width="11" style="719" customWidth="1"/>
    <col min="5890" max="5890" width="53.7109375" style="719" customWidth="1"/>
    <col min="5891" max="5892" width="6.85546875" style="719" customWidth="1"/>
    <col min="5893" max="5893" width="10.7109375" style="719" customWidth="1"/>
    <col min="5894" max="5894" width="10.42578125" style="719" customWidth="1"/>
    <col min="5895" max="5895" width="10.28515625" style="719" customWidth="1"/>
    <col min="5896" max="5896" width="10.85546875" style="719" customWidth="1"/>
    <col min="5897" max="5897" width="6.28515625" style="719" customWidth="1"/>
    <col min="5898" max="5898" width="5.7109375" style="719" customWidth="1"/>
    <col min="5899" max="5899" width="13.7109375" style="719" customWidth="1"/>
    <col min="5900" max="5900" width="11" style="719" customWidth="1"/>
    <col min="5901" max="5901" width="11.7109375" style="719" customWidth="1"/>
    <col min="5902" max="5902" width="11.5703125" style="719" customWidth="1"/>
    <col min="5903" max="5903" width="14.5703125" style="719" customWidth="1"/>
    <col min="5904" max="5904" width="17.5703125" style="719" customWidth="1"/>
    <col min="5905" max="6144" width="9" style="719"/>
    <col min="6145" max="6145" width="11" style="719" customWidth="1"/>
    <col min="6146" max="6146" width="53.7109375" style="719" customWidth="1"/>
    <col min="6147" max="6148" width="6.85546875" style="719" customWidth="1"/>
    <col min="6149" max="6149" width="10.7109375" style="719" customWidth="1"/>
    <col min="6150" max="6150" width="10.42578125" style="719" customWidth="1"/>
    <col min="6151" max="6151" width="10.28515625" style="719" customWidth="1"/>
    <col min="6152" max="6152" width="10.85546875" style="719" customWidth="1"/>
    <col min="6153" max="6153" width="6.28515625" style="719" customWidth="1"/>
    <col min="6154" max="6154" width="5.7109375" style="719" customWidth="1"/>
    <col min="6155" max="6155" width="13.7109375" style="719" customWidth="1"/>
    <col min="6156" max="6156" width="11" style="719" customWidth="1"/>
    <col min="6157" max="6157" width="11.7109375" style="719" customWidth="1"/>
    <col min="6158" max="6158" width="11.5703125" style="719" customWidth="1"/>
    <col min="6159" max="6159" width="14.5703125" style="719" customWidth="1"/>
    <col min="6160" max="6160" width="17.5703125" style="719" customWidth="1"/>
    <col min="6161" max="6400" width="9" style="719"/>
    <col min="6401" max="6401" width="11" style="719" customWidth="1"/>
    <col min="6402" max="6402" width="53.7109375" style="719" customWidth="1"/>
    <col min="6403" max="6404" width="6.85546875" style="719" customWidth="1"/>
    <col min="6405" max="6405" width="10.7109375" style="719" customWidth="1"/>
    <col min="6406" max="6406" width="10.42578125" style="719" customWidth="1"/>
    <col min="6407" max="6407" width="10.28515625" style="719" customWidth="1"/>
    <col min="6408" max="6408" width="10.85546875" style="719" customWidth="1"/>
    <col min="6409" max="6409" width="6.28515625" style="719" customWidth="1"/>
    <col min="6410" max="6410" width="5.7109375" style="719" customWidth="1"/>
    <col min="6411" max="6411" width="13.7109375" style="719" customWidth="1"/>
    <col min="6412" max="6412" width="11" style="719" customWidth="1"/>
    <col min="6413" max="6413" width="11.7109375" style="719" customWidth="1"/>
    <col min="6414" max="6414" width="11.5703125" style="719" customWidth="1"/>
    <col min="6415" max="6415" width="14.5703125" style="719" customWidth="1"/>
    <col min="6416" max="6416" width="17.5703125" style="719" customWidth="1"/>
    <col min="6417" max="6656" width="9" style="719"/>
    <col min="6657" max="6657" width="11" style="719" customWidth="1"/>
    <col min="6658" max="6658" width="53.7109375" style="719" customWidth="1"/>
    <col min="6659" max="6660" width="6.85546875" style="719" customWidth="1"/>
    <col min="6661" max="6661" width="10.7109375" style="719" customWidth="1"/>
    <col min="6662" max="6662" width="10.42578125" style="719" customWidth="1"/>
    <col min="6663" max="6663" width="10.28515625" style="719" customWidth="1"/>
    <col min="6664" max="6664" width="10.85546875" style="719" customWidth="1"/>
    <col min="6665" max="6665" width="6.28515625" style="719" customWidth="1"/>
    <col min="6666" max="6666" width="5.7109375" style="719" customWidth="1"/>
    <col min="6667" max="6667" width="13.7109375" style="719" customWidth="1"/>
    <col min="6668" max="6668" width="11" style="719" customWidth="1"/>
    <col min="6669" max="6669" width="11.7109375" style="719" customWidth="1"/>
    <col min="6670" max="6670" width="11.5703125" style="719" customWidth="1"/>
    <col min="6671" max="6671" width="14.5703125" style="719" customWidth="1"/>
    <col min="6672" max="6672" width="17.5703125" style="719" customWidth="1"/>
    <col min="6673" max="6912" width="9" style="719"/>
    <col min="6913" max="6913" width="11" style="719" customWidth="1"/>
    <col min="6914" max="6914" width="53.7109375" style="719" customWidth="1"/>
    <col min="6915" max="6916" width="6.85546875" style="719" customWidth="1"/>
    <col min="6917" max="6917" width="10.7109375" style="719" customWidth="1"/>
    <col min="6918" max="6918" width="10.42578125" style="719" customWidth="1"/>
    <col min="6919" max="6919" width="10.28515625" style="719" customWidth="1"/>
    <col min="6920" max="6920" width="10.85546875" style="719" customWidth="1"/>
    <col min="6921" max="6921" width="6.28515625" style="719" customWidth="1"/>
    <col min="6922" max="6922" width="5.7109375" style="719" customWidth="1"/>
    <col min="6923" max="6923" width="13.7109375" style="719" customWidth="1"/>
    <col min="6924" max="6924" width="11" style="719" customWidth="1"/>
    <col min="6925" max="6925" width="11.7109375" style="719" customWidth="1"/>
    <col min="6926" max="6926" width="11.5703125" style="719" customWidth="1"/>
    <col min="6927" max="6927" width="14.5703125" style="719" customWidth="1"/>
    <col min="6928" max="6928" width="17.5703125" style="719" customWidth="1"/>
    <col min="6929" max="7168" width="9" style="719"/>
    <col min="7169" max="7169" width="11" style="719" customWidth="1"/>
    <col min="7170" max="7170" width="53.7109375" style="719" customWidth="1"/>
    <col min="7171" max="7172" width="6.85546875" style="719" customWidth="1"/>
    <col min="7173" max="7173" width="10.7109375" style="719" customWidth="1"/>
    <col min="7174" max="7174" width="10.42578125" style="719" customWidth="1"/>
    <col min="7175" max="7175" width="10.28515625" style="719" customWidth="1"/>
    <col min="7176" max="7176" width="10.85546875" style="719" customWidth="1"/>
    <col min="7177" max="7177" width="6.28515625" style="719" customWidth="1"/>
    <col min="7178" max="7178" width="5.7109375" style="719" customWidth="1"/>
    <col min="7179" max="7179" width="13.7109375" style="719" customWidth="1"/>
    <col min="7180" max="7180" width="11" style="719" customWidth="1"/>
    <col min="7181" max="7181" width="11.7109375" style="719" customWidth="1"/>
    <col min="7182" max="7182" width="11.5703125" style="719" customWidth="1"/>
    <col min="7183" max="7183" width="14.5703125" style="719" customWidth="1"/>
    <col min="7184" max="7184" width="17.5703125" style="719" customWidth="1"/>
    <col min="7185" max="7424" width="9" style="719"/>
    <col min="7425" max="7425" width="11" style="719" customWidth="1"/>
    <col min="7426" max="7426" width="53.7109375" style="719" customWidth="1"/>
    <col min="7427" max="7428" width="6.85546875" style="719" customWidth="1"/>
    <col min="7429" max="7429" width="10.7109375" style="719" customWidth="1"/>
    <col min="7430" max="7430" width="10.42578125" style="719" customWidth="1"/>
    <col min="7431" max="7431" width="10.28515625" style="719" customWidth="1"/>
    <col min="7432" max="7432" width="10.85546875" style="719" customWidth="1"/>
    <col min="7433" max="7433" width="6.28515625" style="719" customWidth="1"/>
    <col min="7434" max="7434" width="5.7109375" style="719" customWidth="1"/>
    <col min="7435" max="7435" width="13.7109375" style="719" customWidth="1"/>
    <col min="7436" max="7436" width="11" style="719" customWidth="1"/>
    <col min="7437" max="7437" width="11.7109375" style="719" customWidth="1"/>
    <col min="7438" max="7438" width="11.5703125" style="719" customWidth="1"/>
    <col min="7439" max="7439" width="14.5703125" style="719" customWidth="1"/>
    <col min="7440" max="7440" width="17.5703125" style="719" customWidth="1"/>
    <col min="7441" max="7680" width="9" style="719"/>
    <col min="7681" max="7681" width="11" style="719" customWidth="1"/>
    <col min="7682" max="7682" width="53.7109375" style="719" customWidth="1"/>
    <col min="7683" max="7684" width="6.85546875" style="719" customWidth="1"/>
    <col min="7685" max="7685" width="10.7109375" style="719" customWidth="1"/>
    <col min="7686" max="7686" width="10.42578125" style="719" customWidth="1"/>
    <col min="7687" max="7687" width="10.28515625" style="719" customWidth="1"/>
    <col min="7688" max="7688" width="10.85546875" style="719" customWidth="1"/>
    <col min="7689" max="7689" width="6.28515625" style="719" customWidth="1"/>
    <col min="7690" max="7690" width="5.7109375" style="719" customWidth="1"/>
    <col min="7691" max="7691" width="13.7109375" style="719" customWidth="1"/>
    <col min="7692" max="7692" width="11" style="719" customWidth="1"/>
    <col min="7693" max="7693" width="11.7109375" style="719" customWidth="1"/>
    <col min="7694" max="7694" width="11.5703125" style="719" customWidth="1"/>
    <col min="7695" max="7695" width="14.5703125" style="719" customWidth="1"/>
    <col min="7696" max="7696" width="17.5703125" style="719" customWidth="1"/>
    <col min="7697" max="7936" width="9" style="719"/>
    <col min="7937" max="7937" width="11" style="719" customWidth="1"/>
    <col min="7938" max="7938" width="53.7109375" style="719" customWidth="1"/>
    <col min="7939" max="7940" width="6.85546875" style="719" customWidth="1"/>
    <col min="7941" max="7941" width="10.7109375" style="719" customWidth="1"/>
    <col min="7942" max="7942" width="10.42578125" style="719" customWidth="1"/>
    <col min="7943" max="7943" width="10.28515625" style="719" customWidth="1"/>
    <col min="7944" max="7944" width="10.85546875" style="719" customWidth="1"/>
    <col min="7945" max="7945" width="6.28515625" style="719" customWidth="1"/>
    <col min="7946" max="7946" width="5.7109375" style="719" customWidth="1"/>
    <col min="7947" max="7947" width="13.7109375" style="719" customWidth="1"/>
    <col min="7948" max="7948" width="11" style="719" customWidth="1"/>
    <col min="7949" max="7949" width="11.7109375" style="719" customWidth="1"/>
    <col min="7950" max="7950" width="11.5703125" style="719" customWidth="1"/>
    <col min="7951" max="7951" width="14.5703125" style="719" customWidth="1"/>
    <col min="7952" max="7952" width="17.5703125" style="719" customWidth="1"/>
    <col min="7953" max="8192" width="9" style="719"/>
    <col min="8193" max="8193" width="11" style="719" customWidth="1"/>
    <col min="8194" max="8194" width="53.7109375" style="719" customWidth="1"/>
    <col min="8195" max="8196" width="6.85546875" style="719" customWidth="1"/>
    <col min="8197" max="8197" width="10.7109375" style="719" customWidth="1"/>
    <col min="8198" max="8198" width="10.42578125" style="719" customWidth="1"/>
    <col min="8199" max="8199" width="10.28515625" style="719" customWidth="1"/>
    <col min="8200" max="8200" width="10.85546875" style="719" customWidth="1"/>
    <col min="8201" max="8201" width="6.28515625" style="719" customWidth="1"/>
    <col min="8202" max="8202" width="5.7109375" style="719" customWidth="1"/>
    <col min="8203" max="8203" width="13.7109375" style="719" customWidth="1"/>
    <col min="8204" max="8204" width="11" style="719" customWidth="1"/>
    <col min="8205" max="8205" width="11.7109375" style="719" customWidth="1"/>
    <col min="8206" max="8206" width="11.5703125" style="719" customWidth="1"/>
    <col min="8207" max="8207" width="14.5703125" style="719" customWidth="1"/>
    <col min="8208" max="8208" width="17.5703125" style="719" customWidth="1"/>
    <col min="8209" max="8448" width="9" style="719"/>
    <col min="8449" max="8449" width="11" style="719" customWidth="1"/>
    <col min="8450" max="8450" width="53.7109375" style="719" customWidth="1"/>
    <col min="8451" max="8452" width="6.85546875" style="719" customWidth="1"/>
    <col min="8453" max="8453" width="10.7109375" style="719" customWidth="1"/>
    <col min="8454" max="8454" width="10.42578125" style="719" customWidth="1"/>
    <col min="8455" max="8455" width="10.28515625" style="719" customWidth="1"/>
    <col min="8456" max="8456" width="10.85546875" style="719" customWidth="1"/>
    <col min="8457" max="8457" width="6.28515625" style="719" customWidth="1"/>
    <col min="8458" max="8458" width="5.7109375" style="719" customWidth="1"/>
    <col min="8459" max="8459" width="13.7109375" style="719" customWidth="1"/>
    <col min="8460" max="8460" width="11" style="719" customWidth="1"/>
    <col min="8461" max="8461" width="11.7109375" style="719" customWidth="1"/>
    <col min="8462" max="8462" width="11.5703125" style="719" customWidth="1"/>
    <col min="8463" max="8463" width="14.5703125" style="719" customWidth="1"/>
    <col min="8464" max="8464" width="17.5703125" style="719" customWidth="1"/>
    <col min="8465" max="8704" width="9" style="719"/>
    <col min="8705" max="8705" width="11" style="719" customWidth="1"/>
    <col min="8706" max="8706" width="53.7109375" style="719" customWidth="1"/>
    <col min="8707" max="8708" width="6.85546875" style="719" customWidth="1"/>
    <col min="8709" max="8709" width="10.7109375" style="719" customWidth="1"/>
    <col min="8710" max="8710" width="10.42578125" style="719" customWidth="1"/>
    <col min="8711" max="8711" width="10.28515625" style="719" customWidth="1"/>
    <col min="8712" max="8712" width="10.85546875" style="719" customWidth="1"/>
    <col min="8713" max="8713" width="6.28515625" style="719" customWidth="1"/>
    <col min="8714" max="8714" width="5.7109375" style="719" customWidth="1"/>
    <col min="8715" max="8715" width="13.7109375" style="719" customWidth="1"/>
    <col min="8716" max="8716" width="11" style="719" customWidth="1"/>
    <col min="8717" max="8717" width="11.7109375" style="719" customWidth="1"/>
    <col min="8718" max="8718" width="11.5703125" style="719" customWidth="1"/>
    <col min="8719" max="8719" width="14.5703125" style="719" customWidth="1"/>
    <col min="8720" max="8720" width="17.5703125" style="719" customWidth="1"/>
    <col min="8721" max="8960" width="9" style="719"/>
    <col min="8961" max="8961" width="11" style="719" customWidth="1"/>
    <col min="8962" max="8962" width="53.7109375" style="719" customWidth="1"/>
    <col min="8963" max="8964" width="6.85546875" style="719" customWidth="1"/>
    <col min="8965" max="8965" width="10.7109375" style="719" customWidth="1"/>
    <col min="8966" max="8966" width="10.42578125" style="719" customWidth="1"/>
    <col min="8967" max="8967" width="10.28515625" style="719" customWidth="1"/>
    <col min="8968" max="8968" width="10.85546875" style="719" customWidth="1"/>
    <col min="8969" max="8969" width="6.28515625" style="719" customWidth="1"/>
    <col min="8970" max="8970" width="5.7109375" style="719" customWidth="1"/>
    <col min="8971" max="8971" width="13.7109375" style="719" customWidth="1"/>
    <col min="8972" max="8972" width="11" style="719" customWidth="1"/>
    <col min="8973" max="8973" width="11.7109375" style="719" customWidth="1"/>
    <col min="8974" max="8974" width="11.5703125" style="719" customWidth="1"/>
    <col min="8975" max="8975" width="14.5703125" style="719" customWidth="1"/>
    <col min="8976" max="8976" width="17.5703125" style="719" customWidth="1"/>
    <col min="8977" max="9216" width="9" style="719"/>
    <col min="9217" max="9217" width="11" style="719" customWidth="1"/>
    <col min="9218" max="9218" width="53.7109375" style="719" customWidth="1"/>
    <col min="9219" max="9220" width="6.85546875" style="719" customWidth="1"/>
    <col min="9221" max="9221" width="10.7109375" style="719" customWidth="1"/>
    <col min="9222" max="9222" width="10.42578125" style="719" customWidth="1"/>
    <col min="9223" max="9223" width="10.28515625" style="719" customWidth="1"/>
    <col min="9224" max="9224" width="10.85546875" style="719" customWidth="1"/>
    <col min="9225" max="9225" width="6.28515625" style="719" customWidth="1"/>
    <col min="9226" max="9226" width="5.7109375" style="719" customWidth="1"/>
    <col min="9227" max="9227" width="13.7109375" style="719" customWidth="1"/>
    <col min="9228" max="9228" width="11" style="719" customWidth="1"/>
    <col min="9229" max="9229" width="11.7109375" style="719" customWidth="1"/>
    <col min="9230" max="9230" width="11.5703125" style="719" customWidth="1"/>
    <col min="9231" max="9231" width="14.5703125" style="719" customWidth="1"/>
    <col min="9232" max="9232" width="17.5703125" style="719" customWidth="1"/>
    <col min="9233" max="9472" width="9" style="719"/>
    <col min="9473" max="9473" width="11" style="719" customWidth="1"/>
    <col min="9474" max="9474" width="53.7109375" style="719" customWidth="1"/>
    <col min="9475" max="9476" width="6.85546875" style="719" customWidth="1"/>
    <col min="9477" max="9477" width="10.7109375" style="719" customWidth="1"/>
    <col min="9478" max="9478" width="10.42578125" style="719" customWidth="1"/>
    <col min="9479" max="9479" width="10.28515625" style="719" customWidth="1"/>
    <col min="9480" max="9480" width="10.85546875" style="719" customWidth="1"/>
    <col min="9481" max="9481" width="6.28515625" style="719" customWidth="1"/>
    <col min="9482" max="9482" width="5.7109375" style="719" customWidth="1"/>
    <col min="9483" max="9483" width="13.7109375" style="719" customWidth="1"/>
    <col min="9484" max="9484" width="11" style="719" customWidth="1"/>
    <col min="9485" max="9485" width="11.7109375" style="719" customWidth="1"/>
    <col min="9486" max="9486" width="11.5703125" style="719" customWidth="1"/>
    <col min="9487" max="9487" width="14.5703125" style="719" customWidth="1"/>
    <col min="9488" max="9488" width="17.5703125" style="719" customWidth="1"/>
    <col min="9489" max="9728" width="9" style="719"/>
    <col min="9729" max="9729" width="11" style="719" customWidth="1"/>
    <col min="9730" max="9730" width="53.7109375" style="719" customWidth="1"/>
    <col min="9731" max="9732" width="6.85546875" style="719" customWidth="1"/>
    <col min="9733" max="9733" width="10.7109375" style="719" customWidth="1"/>
    <col min="9734" max="9734" width="10.42578125" style="719" customWidth="1"/>
    <col min="9735" max="9735" width="10.28515625" style="719" customWidth="1"/>
    <col min="9736" max="9736" width="10.85546875" style="719" customWidth="1"/>
    <col min="9737" max="9737" width="6.28515625" style="719" customWidth="1"/>
    <col min="9738" max="9738" width="5.7109375" style="719" customWidth="1"/>
    <col min="9739" max="9739" width="13.7109375" style="719" customWidth="1"/>
    <col min="9740" max="9740" width="11" style="719" customWidth="1"/>
    <col min="9741" max="9741" width="11.7109375" style="719" customWidth="1"/>
    <col min="9742" max="9742" width="11.5703125" style="719" customWidth="1"/>
    <col min="9743" max="9743" width="14.5703125" style="719" customWidth="1"/>
    <col min="9744" max="9744" width="17.5703125" style="719" customWidth="1"/>
    <col min="9745" max="9984" width="9" style="719"/>
    <col min="9985" max="9985" width="11" style="719" customWidth="1"/>
    <col min="9986" max="9986" width="53.7109375" style="719" customWidth="1"/>
    <col min="9987" max="9988" width="6.85546875" style="719" customWidth="1"/>
    <col min="9989" max="9989" width="10.7109375" style="719" customWidth="1"/>
    <col min="9990" max="9990" width="10.42578125" style="719" customWidth="1"/>
    <col min="9991" max="9991" width="10.28515625" style="719" customWidth="1"/>
    <col min="9992" max="9992" width="10.85546875" style="719" customWidth="1"/>
    <col min="9993" max="9993" width="6.28515625" style="719" customWidth="1"/>
    <col min="9994" max="9994" width="5.7109375" style="719" customWidth="1"/>
    <col min="9995" max="9995" width="13.7109375" style="719" customWidth="1"/>
    <col min="9996" max="9996" width="11" style="719" customWidth="1"/>
    <col min="9997" max="9997" width="11.7109375" style="719" customWidth="1"/>
    <col min="9998" max="9998" width="11.5703125" style="719" customWidth="1"/>
    <col min="9999" max="9999" width="14.5703125" style="719" customWidth="1"/>
    <col min="10000" max="10000" width="17.5703125" style="719" customWidth="1"/>
    <col min="10001" max="10240" width="9" style="719"/>
    <col min="10241" max="10241" width="11" style="719" customWidth="1"/>
    <col min="10242" max="10242" width="53.7109375" style="719" customWidth="1"/>
    <col min="10243" max="10244" width="6.85546875" style="719" customWidth="1"/>
    <col min="10245" max="10245" width="10.7109375" style="719" customWidth="1"/>
    <col min="10246" max="10246" width="10.42578125" style="719" customWidth="1"/>
    <col min="10247" max="10247" width="10.28515625" style="719" customWidth="1"/>
    <col min="10248" max="10248" width="10.85546875" style="719" customWidth="1"/>
    <col min="10249" max="10249" width="6.28515625" style="719" customWidth="1"/>
    <col min="10250" max="10250" width="5.7109375" style="719" customWidth="1"/>
    <col min="10251" max="10251" width="13.7109375" style="719" customWidth="1"/>
    <col min="10252" max="10252" width="11" style="719" customWidth="1"/>
    <col min="10253" max="10253" width="11.7109375" style="719" customWidth="1"/>
    <col min="10254" max="10254" width="11.5703125" style="719" customWidth="1"/>
    <col min="10255" max="10255" width="14.5703125" style="719" customWidth="1"/>
    <col min="10256" max="10256" width="17.5703125" style="719" customWidth="1"/>
    <col min="10257" max="10496" width="9" style="719"/>
    <col min="10497" max="10497" width="11" style="719" customWidth="1"/>
    <col min="10498" max="10498" width="53.7109375" style="719" customWidth="1"/>
    <col min="10499" max="10500" width="6.85546875" style="719" customWidth="1"/>
    <col min="10501" max="10501" width="10.7109375" style="719" customWidth="1"/>
    <col min="10502" max="10502" width="10.42578125" style="719" customWidth="1"/>
    <col min="10503" max="10503" width="10.28515625" style="719" customWidth="1"/>
    <col min="10504" max="10504" width="10.85546875" style="719" customWidth="1"/>
    <col min="10505" max="10505" width="6.28515625" style="719" customWidth="1"/>
    <col min="10506" max="10506" width="5.7109375" style="719" customWidth="1"/>
    <col min="10507" max="10507" width="13.7109375" style="719" customWidth="1"/>
    <col min="10508" max="10508" width="11" style="719" customWidth="1"/>
    <col min="10509" max="10509" width="11.7109375" style="719" customWidth="1"/>
    <col min="10510" max="10510" width="11.5703125" style="719" customWidth="1"/>
    <col min="10511" max="10511" width="14.5703125" style="719" customWidth="1"/>
    <col min="10512" max="10512" width="17.5703125" style="719" customWidth="1"/>
    <col min="10513" max="10752" width="9" style="719"/>
    <col min="10753" max="10753" width="11" style="719" customWidth="1"/>
    <col min="10754" max="10754" width="53.7109375" style="719" customWidth="1"/>
    <col min="10755" max="10756" width="6.85546875" style="719" customWidth="1"/>
    <col min="10757" max="10757" width="10.7109375" style="719" customWidth="1"/>
    <col min="10758" max="10758" width="10.42578125" style="719" customWidth="1"/>
    <col min="10759" max="10759" width="10.28515625" style="719" customWidth="1"/>
    <col min="10760" max="10760" width="10.85546875" style="719" customWidth="1"/>
    <col min="10761" max="10761" width="6.28515625" style="719" customWidth="1"/>
    <col min="10762" max="10762" width="5.7109375" style="719" customWidth="1"/>
    <col min="10763" max="10763" width="13.7109375" style="719" customWidth="1"/>
    <col min="10764" max="10764" width="11" style="719" customWidth="1"/>
    <col min="10765" max="10765" width="11.7109375" style="719" customWidth="1"/>
    <col min="10766" max="10766" width="11.5703125" style="719" customWidth="1"/>
    <col min="10767" max="10767" width="14.5703125" style="719" customWidth="1"/>
    <col min="10768" max="10768" width="17.5703125" style="719" customWidth="1"/>
    <col min="10769" max="11008" width="9" style="719"/>
    <col min="11009" max="11009" width="11" style="719" customWidth="1"/>
    <col min="11010" max="11010" width="53.7109375" style="719" customWidth="1"/>
    <col min="11011" max="11012" width="6.85546875" style="719" customWidth="1"/>
    <col min="11013" max="11013" width="10.7109375" style="719" customWidth="1"/>
    <col min="11014" max="11014" width="10.42578125" style="719" customWidth="1"/>
    <col min="11015" max="11015" width="10.28515625" style="719" customWidth="1"/>
    <col min="11016" max="11016" width="10.85546875" style="719" customWidth="1"/>
    <col min="11017" max="11017" width="6.28515625" style="719" customWidth="1"/>
    <col min="11018" max="11018" width="5.7109375" style="719" customWidth="1"/>
    <col min="11019" max="11019" width="13.7109375" style="719" customWidth="1"/>
    <col min="11020" max="11020" width="11" style="719" customWidth="1"/>
    <col min="11021" max="11021" width="11.7109375" style="719" customWidth="1"/>
    <col min="11022" max="11022" width="11.5703125" style="719" customWidth="1"/>
    <col min="11023" max="11023" width="14.5703125" style="719" customWidth="1"/>
    <col min="11024" max="11024" width="17.5703125" style="719" customWidth="1"/>
    <col min="11025" max="11264" width="9" style="719"/>
    <col min="11265" max="11265" width="11" style="719" customWidth="1"/>
    <col min="11266" max="11266" width="53.7109375" style="719" customWidth="1"/>
    <col min="11267" max="11268" width="6.85546875" style="719" customWidth="1"/>
    <col min="11269" max="11269" width="10.7109375" style="719" customWidth="1"/>
    <col min="11270" max="11270" width="10.42578125" style="719" customWidth="1"/>
    <col min="11271" max="11271" width="10.28515625" style="719" customWidth="1"/>
    <col min="11272" max="11272" width="10.85546875" style="719" customWidth="1"/>
    <col min="11273" max="11273" width="6.28515625" style="719" customWidth="1"/>
    <col min="11274" max="11274" width="5.7109375" style="719" customWidth="1"/>
    <col min="11275" max="11275" width="13.7109375" style="719" customWidth="1"/>
    <col min="11276" max="11276" width="11" style="719" customWidth="1"/>
    <col min="11277" max="11277" width="11.7109375" style="719" customWidth="1"/>
    <col min="11278" max="11278" width="11.5703125" style="719" customWidth="1"/>
    <col min="11279" max="11279" width="14.5703125" style="719" customWidth="1"/>
    <col min="11280" max="11280" width="17.5703125" style="719" customWidth="1"/>
    <col min="11281" max="11520" width="9" style="719"/>
    <col min="11521" max="11521" width="11" style="719" customWidth="1"/>
    <col min="11522" max="11522" width="53.7109375" style="719" customWidth="1"/>
    <col min="11523" max="11524" width="6.85546875" style="719" customWidth="1"/>
    <col min="11525" max="11525" width="10.7109375" style="719" customWidth="1"/>
    <col min="11526" max="11526" width="10.42578125" style="719" customWidth="1"/>
    <col min="11527" max="11527" width="10.28515625" style="719" customWidth="1"/>
    <col min="11528" max="11528" width="10.85546875" style="719" customWidth="1"/>
    <col min="11529" max="11529" width="6.28515625" style="719" customWidth="1"/>
    <col min="11530" max="11530" width="5.7109375" style="719" customWidth="1"/>
    <col min="11531" max="11531" width="13.7109375" style="719" customWidth="1"/>
    <col min="11532" max="11532" width="11" style="719" customWidth="1"/>
    <col min="11533" max="11533" width="11.7109375" style="719" customWidth="1"/>
    <col min="11534" max="11534" width="11.5703125" style="719" customWidth="1"/>
    <col min="11535" max="11535" width="14.5703125" style="719" customWidth="1"/>
    <col min="11536" max="11536" width="17.5703125" style="719" customWidth="1"/>
    <col min="11537" max="11776" width="9" style="719"/>
    <col min="11777" max="11777" width="11" style="719" customWidth="1"/>
    <col min="11778" max="11778" width="53.7109375" style="719" customWidth="1"/>
    <col min="11779" max="11780" width="6.85546875" style="719" customWidth="1"/>
    <col min="11781" max="11781" width="10.7109375" style="719" customWidth="1"/>
    <col min="11782" max="11782" width="10.42578125" style="719" customWidth="1"/>
    <col min="11783" max="11783" width="10.28515625" style="719" customWidth="1"/>
    <col min="11784" max="11784" width="10.85546875" style="719" customWidth="1"/>
    <col min="11785" max="11785" width="6.28515625" style="719" customWidth="1"/>
    <col min="11786" max="11786" width="5.7109375" style="719" customWidth="1"/>
    <col min="11787" max="11787" width="13.7109375" style="719" customWidth="1"/>
    <col min="11788" max="11788" width="11" style="719" customWidth="1"/>
    <col min="11789" max="11789" width="11.7109375" style="719" customWidth="1"/>
    <col min="11790" max="11790" width="11.5703125" style="719" customWidth="1"/>
    <col min="11791" max="11791" width="14.5703125" style="719" customWidth="1"/>
    <col min="11792" max="11792" width="17.5703125" style="719" customWidth="1"/>
    <col min="11793" max="12032" width="9" style="719"/>
    <col min="12033" max="12033" width="11" style="719" customWidth="1"/>
    <col min="12034" max="12034" width="53.7109375" style="719" customWidth="1"/>
    <col min="12035" max="12036" width="6.85546875" style="719" customWidth="1"/>
    <col min="12037" max="12037" width="10.7109375" style="719" customWidth="1"/>
    <col min="12038" max="12038" width="10.42578125" style="719" customWidth="1"/>
    <col min="12039" max="12039" width="10.28515625" style="719" customWidth="1"/>
    <col min="12040" max="12040" width="10.85546875" style="719" customWidth="1"/>
    <col min="12041" max="12041" width="6.28515625" style="719" customWidth="1"/>
    <col min="12042" max="12042" width="5.7109375" style="719" customWidth="1"/>
    <col min="12043" max="12043" width="13.7109375" style="719" customWidth="1"/>
    <col min="12044" max="12044" width="11" style="719" customWidth="1"/>
    <col min="12045" max="12045" width="11.7109375" style="719" customWidth="1"/>
    <col min="12046" max="12046" width="11.5703125" style="719" customWidth="1"/>
    <col min="12047" max="12047" width="14.5703125" style="719" customWidth="1"/>
    <col min="12048" max="12048" width="17.5703125" style="719" customWidth="1"/>
    <col min="12049" max="12288" width="9" style="719"/>
    <col min="12289" max="12289" width="11" style="719" customWidth="1"/>
    <col min="12290" max="12290" width="53.7109375" style="719" customWidth="1"/>
    <col min="12291" max="12292" width="6.85546875" style="719" customWidth="1"/>
    <col min="12293" max="12293" width="10.7109375" style="719" customWidth="1"/>
    <col min="12294" max="12294" width="10.42578125" style="719" customWidth="1"/>
    <col min="12295" max="12295" width="10.28515625" style="719" customWidth="1"/>
    <col min="12296" max="12296" width="10.85546875" style="719" customWidth="1"/>
    <col min="12297" max="12297" width="6.28515625" style="719" customWidth="1"/>
    <col min="12298" max="12298" width="5.7109375" style="719" customWidth="1"/>
    <col min="12299" max="12299" width="13.7109375" style="719" customWidth="1"/>
    <col min="12300" max="12300" width="11" style="719" customWidth="1"/>
    <col min="12301" max="12301" width="11.7109375" style="719" customWidth="1"/>
    <col min="12302" max="12302" width="11.5703125" style="719" customWidth="1"/>
    <col min="12303" max="12303" width="14.5703125" style="719" customWidth="1"/>
    <col min="12304" max="12304" width="17.5703125" style="719" customWidth="1"/>
    <col min="12305" max="12544" width="9" style="719"/>
    <col min="12545" max="12545" width="11" style="719" customWidth="1"/>
    <col min="12546" max="12546" width="53.7109375" style="719" customWidth="1"/>
    <col min="12547" max="12548" width="6.85546875" style="719" customWidth="1"/>
    <col min="12549" max="12549" width="10.7109375" style="719" customWidth="1"/>
    <col min="12550" max="12550" width="10.42578125" style="719" customWidth="1"/>
    <col min="12551" max="12551" width="10.28515625" style="719" customWidth="1"/>
    <col min="12552" max="12552" width="10.85546875" style="719" customWidth="1"/>
    <col min="12553" max="12553" width="6.28515625" style="719" customWidth="1"/>
    <col min="12554" max="12554" width="5.7109375" style="719" customWidth="1"/>
    <col min="12555" max="12555" width="13.7109375" style="719" customWidth="1"/>
    <col min="12556" max="12556" width="11" style="719" customWidth="1"/>
    <col min="12557" max="12557" width="11.7109375" style="719" customWidth="1"/>
    <col min="12558" max="12558" width="11.5703125" style="719" customWidth="1"/>
    <col min="12559" max="12559" width="14.5703125" style="719" customWidth="1"/>
    <col min="12560" max="12560" width="17.5703125" style="719" customWidth="1"/>
    <col min="12561" max="12800" width="9" style="719"/>
    <col min="12801" max="12801" width="11" style="719" customWidth="1"/>
    <col min="12802" max="12802" width="53.7109375" style="719" customWidth="1"/>
    <col min="12803" max="12804" width="6.85546875" style="719" customWidth="1"/>
    <col min="12805" max="12805" width="10.7109375" style="719" customWidth="1"/>
    <col min="12806" max="12806" width="10.42578125" style="719" customWidth="1"/>
    <col min="12807" max="12807" width="10.28515625" style="719" customWidth="1"/>
    <col min="12808" max="12808" width="10.85546875" style="719" customWidth="1"/>
    <col min="12809" max="12809" width="6.28515625" style="719" customWidth="1"/>
    <col min="12810" max="12810" width="5.7109375" style="719" customWidth="1"/>
    <col min="12811" max="12811" width="13.7109375" style="719" customWidth="1"/>
    <col min="12812" max="12812" width="11" style="719" customWidth="1"/>
    <col min="12813" max="12813" width="11.7109375" style="719" customWidth="1"/>
    <col min="12814" max="12814" width="11.5703125" style="719" customWidth="1"/>
    <col min="12815" max="12815" width="14.5703125" style="719" customWidth="1"/>
    <col min="12816" max="12816" width="17.5703125" style="719" customWidth="1"/>
    <col min="12817" max="13056" width="9" style="719"/>
    <col min="13057" max="13057" width="11" style="719" customWidth="1"/>
    <col min="13058" max="13058" width="53.7109375" style="719" customWidth="1"/>
    <col min="13059" max="13060" width="6.85546875" style="719" customWidth="1"/>
    <col min="13061" max="13061" width="10.7109375" style="719" customWidth="1"/>
    <col min="13062" max="13062" width="10.42578125" style="719" customWidth="1"/>
    <col min="13063" max="13063" width="10.28515625" style="719" customWidth="1"/>
    <col min="13064" max="13064" width="10.85546875" style="719" customWidth="1"/>
    <col min="13065" max="13065" width="6.28515625" style="719" customWidth="1"/>
    <col min="13066" max="13066" width="5.7109375" style="719" customWidth="1"/>
    <col min="13067" max="13067" width="13.7109375" style="719" customWidth="1"/>
    <col min="13068" max="13068" width="11" style="719" customWidth="1"/>
    <col min="13069" max="13069" width="11.7109375" style="719" customWidth="1"/>
    <col min="13070" max="13070" width="11.5703125" style="719" customWidth="1"/>
    <col min="13071" max="13071" width="14.5703125" style="719" customWidth="1"/>
    <col min="13072" max="13072" width="17.5703125" style="719" customWidth="1"/>
    <col min="13073" max="13312" width="9" style="719"/>
    <col min="13313" max="13313" width="11" style="719" customWidth="1"/>
    <col min="13314" max="13314" width="53.7109375" style="719" customWidth="1"/>
    <col min="13315" max="13316" width="6.85546875" style="719" customWidth="1"/>
    <col min="13317" max="13317" width="10.7109375" style="719" customWidth="1"/>
    <col min="13318" max="13318" width="10.42578125" style="719" customWidth="1"/>
    <col min="13319" max="13319" width="10.28515625" style="719" customWidth="1"/>
    <col min="13320" max="13320" width="10.85546875" style="719" customWidth="1"/>
    <col min="13321" max="13321" width="6.28515625" style="719" customWidth="1"/>
    <col min="13322" max="13322" width="5.7109375" style="719" customWidth="1"/>
    <col min="13323" max="13323" width="13.7109375" style="719" customWidth="1"/>
    <col min="13324" max="13324" width="11" style="719" customWidth="1"/>
    <col min="13325" max="13325" width="11.7109375" style="719" customWidth="1"/>
    <col min="13326" max="13326" width="11.5703125" style="719" customWidth="1"/>
    <col min="13327" max="13327" width="14.5703125" style="719" customWidth="1"/>
    <col min="13328" max="13328" width="17.5703125" style="719" customWidth="1"/>
    <col min="13329" max="13568" width="9" style="719"/>
    <col min="13569" max="13569" width="11" style="719" customWidth="1"/>
    <col min="13570" max="13570" width="53.7109375" style="719" customWidth="1"/>
    <col min="13571" max="13572" width="6.85546875" style="719" customWidth="1"/>
    <col min="13573" max="13573" width="10.7109375" style="719" customWidth="1"/>
    <col min="13574" max="13574" width="10.42578125" style="719" customWidth="1"/>
    <col min="13575" max="13575" width="10.28515625" style="719" customWidth="1"/>
    <col min="13576" max="13576" width="10.85546875" style="719" customWidth="1"/>
    <col min="13577" max="13577" width="6.28515625" style="719" customWidth="1"/>
    <col min="13578" max="13578" width="5.7109375" style="719" customWidth="1"/>
    <col min="13579" max="13579" width="13.7109375" style="719" customWidth="1"/>
    <col min="13580" max="13580" width="11" style="719" customWidth="1"/>
    <col min="13581" max="13581" width="11.7109375" style="719" customWidth="1"/>
    <col min="13582" max="13582" width="11.5703125" style="719" customWidth="1"/>
    <col min="13583" max="13583" width="14.5703125" style="719" customWidth="1"/>
    <col min="13584" max="13584" width="17.5703125" style="719" customWidth="1"/>
    <col min="13585" max="13824" width="9" style="719"/>
    <col min="13825" max="13825" width="11" style="719" customWidth="1"/>
    <col min="13826" max="13826" width="53.7109375" style="719" customWidth="1"/>
    <col min="13827" max="13828" width="6.85546875" style="719" customWidth="1"/>
    <col min="13829" max="13829" width="10.7109375" style="719" customWidth="1"/>
    <col min="13830" max="13830" width="10.42578125" style="719" customWidth="1"/>
    <col min="13831" max="13831" width="10.28515625" style="719" customWidth="1"/>
    <col min="13832" max="13832" width="10.85546875" style="719" customWidth="1"/>
    <col min="13833" max="13833" width="6.28515625" style="719" customWidth="1"/>
    <col min="13834" max="13834" width="5.7109375" style="719" customWidth="1"/>
    <col min="13835" max="13835" width="13.7109375" style="719" customWidth="1"/>
    <col min="13836" max="13836" width="11" style="719" customWidth="1"/>
    <col min="13837" max="13837" width="11.7109375" style="719" customWidth="1"/>
    <col min="13838" max="13838" width="11.5703125" style="719" customWidth="1"/>
    <col min="13839" max="13839" width="14.5703125" style="719" customWidth="1"/>
    <col min="13840" max="13840" width="17.5703125" style="719" customWidth="1"/>
    <col min="13841" max="14080" width="9" style="719"/>
    <col min="14081" max="14081" width="11" style="719" customWidth="1"/>
    <col min="14082" max="14082" width="53.7109375" style="719" customWidth="1"/>
    <col min="14083" max="14084" width="6.85546875" style="719" customWidth="1"/>
    <col min="14085" max="14085" width="10.7109375" style="719" customWidth="1"/>
    <col min="14086" max="14086" width="10.42578125" style="719" customWidth="1"/>
    <col min="14087" max="14087" width="10.28515625" style="719" customWidth="1"/>
    <col min="14088" max="14088" width="10.85546875" style="719" customWidth="1"/>
    <col min="14089" max="14089" width="6.28515625" style="719" customWidth="1"/>
    <col min="14090" max="14090" width="5.7109375" style="719" customWidth="1"/>
    <col min="14091" max="14091" width="13.7109375" style="719" customWidth="1"/>
    <col min="14092" max="14092" width="11" style="719" customWidth="1"/>
    <col min="14093" max="14093" width="11.7109375" style="719" customWidth="1"/>
    <col min="14094" max="14094" width="11.5703125" style="719" customWidth="1"/>
    <col min="14095" max="14095" width="14.5703125" style="719" customWidth="1"/>
    <col min="14096" max="14096" width="17.5703125" style="719" customWidth="1"/>
    <col min="14097" max="14336" width="9" style="719"/>
    <col min="14337" max="14337" width="11" style="719" customWidth="1"/>
    <col min="14338" max="14338" width="53.7109375" style="719" customWidth="1"/>
    <col min="14339" max="14340" width="6.85546875" style="719" customWidth="1"/>
    <col min="14341" max="14341" width="10.7109375" style="719" customWidth="1"/>
    <col min="14342" max="14342" width="10.42578125" style="719" customWidth="1"/>
    <col min="14343" max="14343" width="10.28515625" style="719" customWidth="1"/>
    <col min="14344" max="14344" width="10.85546875" style="719" customWidth="1"/>
    <col min="14345" max="14345" width="6.28515625" style="719" customWidth="1"/>
    <col min="14346" max="14346" width="5.7109375" style="719" customWidth="1"/>
    <col min="14347" max="14347" width="13.7109375" style="719" customWidth="1"/>
    <col min="14348" max="14348" width="11" style="719" customWidth="1"/>
    <col min="14349" max="14349" width="11.7109375" style="719" customWidth="1"/>
    <col min="14350" max="14350" width="11.5703125" style="719" customWidth="1"/>
    <col min="14351" max="14351" width="14.5703125" style="719" customWidth="1"/>
    <col min="14352" max="14352" width="17.5703125" style="719" customWidth="1"/>
    <col min="14353" max="14592" width="9" style="719"/>
    <col min="14593" max="14593" width="11" style="719" customWidth="1"/>
    <col min="14594" max="14594" width="53.7109375" style="719" customWidth="1"/>
    <col min="14595" max="14596" width="6.85546875" style="719" customWidth="1"/>
    <col min="14597" max="14597" width="10.7109375" style="719" customWidth="1"/>
    <col min="14598" max="14598" width="10.42578125" style="719" customWidth="1"/>
    <col min="14599" max="14599" width="10.28515625" style="719" customWidth="1"/>
    <col min="14600" max="14600" width="10.85546875" style="719" customWidth="1"/>
    <col min="14601" max="14601" width="6.28515625" style="719" customWidth="1"/>
    <col min="14602" max="14602" width="5.7109375" style="719" customWidth="1"/>
    <col min="14603" max="14603" width="13.7109375" style="719" customWidth="1"/>
    <col min="14604" max="14604" width="11" style="719" customWidth="1"/>
    <col min="14605" max="14605" width="11.7109375" style="719" customWidth="1"/>
    <col min="14606" max="14606" width="11.5703125" style="719" customWidth="1"/>
    <col min="14607" max="14607" width="14.5703125" style="719" customWidth="1"/>
    <col min="14608" max="14608" width="17.5703125" style="719" customWidth="1"/>
    <col min="14609" max="14848" width="9" style="719"/>
    <col min="14849" max="14849" width="11" style="719" customWidth="1"/>
    <col min="14850" max="14850" width="53.7109375" style="719" customWidth="1"/>
    <col min="14851" max="14852" width="6.85546875" style="719" customWidth="1"/>
    <col min="14853" max="14853" width="10.7109375" style="719" customWidth="1"/>
    <col min="14854" max="14854" width="10.42578125" style="719" customWidth="1"/>
    <col min="14855" max="14855" width="10.28515625" style="719" customWidth="1"/>
    <col min="14856" max="14856" width="10.85546875" style="719" customWidth="1"/>
    <col min="14857" max="14857" width="6.28515625" style="719" customWidth="1"/>
    <col min="14858" max="14858" width="5.7109375" style="719" customWidth="1"/>
    <col min="14859" max="14859" width="13.7109375" style="719" customWidth="1"/>
    <col min="14860" max="14860" width="11" style="719" customWidth="1"/>
    <col min="14861" max="14861" width="11.7109375" style="719" customWidth="1"/>
    <col min="14862" max="14862" width="11.5703125" style="719" customWidth="1"/>
    <col min="14863" max="14863" width="14.5703125" style="719" customWidth="1"/>
    <col min="14864" max="14864" width="17.5703125" style="719" customWidth="1"/>
    <col min="14865" max="15104" width="9" style="719"/>
    <col min="15105" max="15105" width="11" style="719" customWidth="1"/>
    <col min="15106" max="15106" width="53.7109375" style="719" customWidth="1"/>
    <col min="15107" max="15108" width="6.85546875" style="719" customWidth="1"/>
    <col min="15109" max="15109" width="10.7109375" style="719" customWidth="1"/>
    <col min="15110" max="15110" width="10.42578125" style="719" customWidth="1"/>
    <col min="15111" max="15111" width="10.28515625" style="719" customWidth="1"/>
    <col min="15112" max="15112" width="10.85546875" style="719" customWidth="1"/>
    <col min="15113" max="15113" width="6.28515625" style="719" customWidth="1"/>
    <col min="15114" max="15114" width="5.7109375" style="719" customWidth="1"/>
    <col min="15115" max="15115" width="13.7109375" style="719" customWidth="1"/>
    <col min="15116" max="15116" width="11" style="719" customWidth="1"/>
    <col min="15117" max="15117" width="11.7109375" style="719" customWidth="1"/>
    <col min="15118" max="15118" width="11.5703125" style="719" customWidth="1"/>
    <col min="15119" max="15119" width="14.5703125" style="719" customWidth="1"/>
    <col min="15120" max="15120" width="17.5703125" style="719" customWidth="1"/>
    <col min="15121" max="15360" width="9" style="719"/>
    <col min="15361" max="15361" width="11" style="719" customWidth="1"/>
    <col min="15362" max="15362" width="53.7109375" style="719" customWidth="1"/>
    <col min="15363" max="15364" width="6.85546875" style="719" customWidth="1"/>
    <col min="15365" max="15365" width="10.7109375" style="719" customWidth="1"/>
    <col min="15366" max="15366" width="10.42578125" style="719" customWidth="1"/>
    <col min="15367" max="15367" width="10.28515625" style="719" customWidth="1"/>
    <col min="15368" max="15368" width="10.85546875" style="719" customWidth="1"/>
    <col min="15369" max="15369" width="6.28515625" style="719" customWidth="1"/>
    <col min="15370" max="15370" width="5.7109375" style="719" customWidth="1"/>
    <col min="15371" max="15371" width="13.7109375" style="719" customWidth="1"/>
    <col min="15372" max="15372" width="11" style="719" customWidth="1"/>
    <col min="15373" max="15373" width="11.7109375" style="719" customWidth="1"/>
    <col min="15374" max="15374" width="11.5703125" style="719" customWidth="1"/>
    <col min="15375" max="15375" width="14.5703125" style="719" customWidth="1"/>
    <col min="15376" max="15376" width="17.5703125" style="719" customWidth="1"/>
    <col min="15377" max="15616" width="9" style="719"/>
    <col min="15617" max="15617" width="11" style="719" customWidth="1"/>
    <col min="15618" max="15618" width="53.7109375" style="719" customWidth="1"/>
    <col min="15619" max="15620" width="6.85546875" style="719" customWidth="1"/>
    <col min="15621" max="15621" width="10.7109375" style="719" customWidth="1"/>
    <col min="15622" max="15622" width="10.42578125" style="719" customWidth="1"/>
    <col min="15623" max="15623" width="10.28515625" style="719" customWidth="1"/>
    <col min="15624" max="15624" width="10.85546875" style="719" customWidth="1"/>
    <col min="15625" max="15625" width="6.28515625" style="719" customWidth="1"/>
    <col min="15626" max="15626" width="5.7109375" style="719" customWidth="1"/>
    <col min="15627" max="15627" width="13.7109375" style="719" customWidth="1"/>
    <col min="15628" max="15628" width="11" style="719" customWidth="1"/>
    <col min="15629" max="15629" width="11.7109375" style="719" customWidth="1"/>
    <col min="15630" max="15630" width="11.5703125" style="719" customWidth="1"/>
    <col min="15631" max="15631" width="14.5703125" style="719" customWidth="1"/>
    <col min="15632" max="15632" width="17.5703125" style="719" customWidth="1"/>
    <col min="15633" max="15872" width="9" style="719"/>
    <col min="15873" max="15873" width="11" style="719" customWidth="1"/>
    <col min="15874" max="15874" width="53.7109375" style="719" customWidth="1"/>
    <col min="15875" max="15876" width="6.85546875" style="719" customWidth="1"/>
    <col min="15877" max="15877" width="10.7109375" style="719" customWidth="1"/>
    <col min="15878" max="15878" width="10.42578125" style="719" customWidth="1"/>
    <col min="15879" max="15879" width="10.28515625" style="719" customWidth="1"/>
    <col min="15880" max="15880" width="10.85546875" style="719" customWidth="1"/>
    <col min="15881" max="15881" width="6.28515625" style="719" customWidth="1"/>
    <col min="15882" max="15882" width="5.7109375" style="719" customWidth="1"/>
    <col min="15883" max="15883" width="13.7109375" style="719" customWidth="1"/>
    <col min="15884" max="15884" width="11" style="719" customWidth="1"/>
    <col min="15885" max="15885" width="11.7109375" style="719" customWidth="1"/>
    <col min="15886" max="15886" width="11.5703125" style="719" customWidth="1"/>
    <col min="15887" max="15887" width="14.5703125" style="719" customWidth="1"/>
    <col min="15888" max="15888" width="17.5703125" style="719" customWidth="1"/>
    <col min="15889" max="16128" width="9" style="719"/>
    <col min="16129" max="16129" width="11" style="719" customWidth="1"/>
    <col min="16130" max="16130" width="53.7109375" style="719" customWidth="1"/>
    <col min="16131" max="16132" width="6.85546875" style="719" customWidth="1"/>
    <col min="16133" max="16133" width="10.7109375" style="719" customWidth="1"/>
    <col min="16134" max="16134" width="10.42578125" style="719" customWidth="1"/>
    <col min="16135" max="16135" width="10.28515625" style="719" customWidth="1"/>
    <col min="16136" max="16136" width="10.85546875" style="719" customWidth="1"/>
    <col min="16137" max="16137" width="6.28515625" style="719" customWidth="1"/>
    <col min="16138" max="16138" width="5.7109375" style="719" customWidth="1"/>
    <col min="16139" max="16139" width="13.7109375" style="719" customWidth="1"/>
    <col min="16140" max="16140" width="11" style="719" customWidth="1"/>
    <col min="16141" max="16141" width="11.7109375" style="719" customWidth="1"/>
    <col min="16142" max="16142" width="11.5703125" style="719" customWidth="1"/>
    <col min="16143" max="16143" width="14.5703125" style="719" customWidth="1"/>
    <col min="16144" max="16144" width="17.5703125" style="719" customWidth="1"/>
    <col min="16145" max="16384" width="9" style="719"/>
  </cols>
  <sheetData>
    <row r="1" spans="1:14">
      <c r="A1" s="714" t="s">
        <v>13146</v>
      </c>
      <c r="B1" s="715"/>
      <c r="C1" s="714"/>
      <c r="D1" s="714"/>
      <c r="E1" s="716"/>
      <c r="F1" s="716"/>
      <c r="G1" s="716"/>
      <c r="H1" s="717"/>
      <c r="I1" s="718"/>
      <c r="J1" s="718"/>
      <c r="K1" s="716"/>
      <c r="L1" s="716"/>
      <c r="M1" s="716"/>
      <c r="N1" s="716"/>
    </row>
    <row r="2" spans="1:14">
      <c r="A2" s="1502" t="s">
        <v>96</v>
      </c>
      <c r="B2" s="1502"/>
      <c r="C2" s="1502"/>
      <c r="D2" s="1502"/>
      <c r="E2" s="1502"/>
      <c r="F2" s="1502"/>
      <c r="G2" s="1502"/>
      <c r="H2" s="1502"/>
      <c r="I2" s="1502"/>
      <c r="J2" s="1502"/>
      <c r="K2" s="1502"/>
      <c r="L2" s="1502"/>
      <c r="M2" s="1502"/>
      <c r="N2" s="1502"/>
    </row>
    <row r="3" spans="1:14">
      <c r="A3" s="1502" t="s">
        <v>3734</v>
      </c>
      <c r="B3" s="1502"/>
      <c r="C3" s="1502"/>
      <c r="D3" s="1502"/>
      <c r="E3" s="1502"/>
      <c r="F3" s="1502"/>
      <c r="G3" s="1502"/>
      <c r="H3" s="1502"/>
      <c r="I3" s="1502"/>
      <c r="J3" s="1502"/>
      <c r="K3" s="1502"/>
      <c r="L3" s="1502"/>
      <c r="M3" s="1502"/>
      <c r="N3" s="1502"/>
    </row>
    <row r="4" spans="1:14">
      <c r="A4" s="720"/>
      <c r="B4" s="721"/>
      <c r="C4" s="720"/>
      <c r="D4" s="720"/>
      <c r="E4" s="722"/>
      <c r="F4" s="722"/>
      <c r="G4" s="722"/>
      <c r="H4" s="723"/>
      <c r="I4" s="724"/>
      <c r="J4" s="724"/>
      <c r="K4" s="722"/>
      <c r="L4" s="722"/>
      <c r="M4" s="722"/>
      <c r="N4" s="722"/>
    </row>
    <row r="5" spans="1:14" ht="27.75" customHeight="1">
      <c r="A5" s="1503" t="s">
        <v>99</v>
      </c>
      <c r="B5" s="1504" t="s">
        <v>100</v>
      </c>
      <c r="C5" s="1503" t="s">
        <v>101</v>
      </c>
      <c r="D5" s="1503" t="s">
        <v>102</v>
      </c>
      <c r="E5" s="1506" t="s">
        <v>97</v>
      </c>
      <c r="F5" s="1507"/>
      <c r="G5" s="1507"/>
      <c r="H5" s="1508"/>
      <c r="I5" s="1509" t="s">
        <v>3505</v>
      </c>
      <c r="J5" s="1510"/>
      <c r="K5" s="1506" t="s">
        <v>98</v>
      </c>
      <c r="L5" s="1507"/>
      <c r="M5" s="1507"/>
      <c r="N5" s="1508"/>
    </row>
    <row r="6" spans="1:14" ht="20.25" customHeight="1">
      <c r="A6" s="1503"/>
      <c r="B6" s="1505"/>
      <c r="C6" s="1503"/>
      <c r="D6" s="1503"/>
      <c r="E6" s="593" t="s">
        <v>103</v>
      </c>
      <c r="F6" s="593" t="s">
        <v>3506</v>
      </c>
      <c r="G6" s="593" t="s">
        <v>12</v>
      </c>
      <c r="H6" s="593" t="s">
        <v>93</v>
      </c>
      <c r="I6" s="594" t="s">
        <v>104</v>
      </c>
      <c r="J6" s="594" t="s">
        <v>105</v>
      </c>
      <c r="K6" s="593" t="s">
        <v>103</v>
      </c>
      <c r="L6" s="593" t="s">
        <v>3506</v>
      </c>
      <c r="M6" s="593" t="s">
        <v>12</v>
      </c>
      <c r="N6" s="593" t="s">
        <v>93</v>
      </c>
    </row>
    <row r="7" spans="1:14" ht="12.75" customHeight="1">
      <c r="A7" s="595"/>
      <c r="B7" s="596"/>
      <c r="C7" s="595"/>
      <c r="D7" s="595"/>
      <c r="E7" s="597" t="s">
        <v>106</v>
      </c>
      <c r="F7" s="597"/>
      <c r="G7" s="597"/>
      <c r="H7" s="597"/>
      <c r="I7" s="598"/>
      <c r="J7" s="598"/>
      <c r="K7" s="597" t="s">
        <v>106</v>
      </c>
      <c r="L7" s="597"/>
      <c r="M7" s="597"/>
      <c r="N7" s="597"/>
    </row>
    <row r="8" spans="1:14" ht="12.75" customHeight="1">
      <c r="A8" s="595">
        <v>1</v>
      </c>
      <c r="B8" s="595">
        <v>2</v>
      </c>
      <c r="C8" s="595">
        <v>3</v>
      </c>
      <c r="D8" s="595">
        <v>4</v>
      </c>
      <c r="E8" s="597">
        <v>5</v>
      </c>
      <c r="F8" s="597"/>
      <c r="G8" s="597">
        <v>7</v>
      </c>
      <c r="H8" s="597">
        <v>8</v>
      </c>
      <c r="I8" s="599">
        <v>9</v>
      </c>
      <c r="J8" s="599">
        <v>10</v>
      </c>
      <c r="K8" s="597" t="s">
        <v>107</v>
      </c>
      <c r="L8" s="597"/>
      <c r="M8" s="597" t="s">
        <v>3531</v>
      </c>
      <c r="N8" s="597" t="s">
        <v>3532</v>
      </c>
    </row>
    <row r="9" spans="1:14" ht="12.75" customHeight="1">
      <c r="A9" s="595" t="s">
        <v>4</v>
      </c>
      <c r="B9" s="596" t="s">
        <v>3507</v>
      </c>
      <c r="C9" s="595"/>
      <c r="D9" s="595"/>
      <c r="E9" s="597"/>
      <c r="F9" s="597"/>
      <c r="G9" s="597"/>
      <c r="H9" s="600"/>
      <c r="I9" s="598"/>
      <c r="J9" s="598"/>
      <c r="K9" s="597"/>
      <c r="L9" s="597"/>
      <c r="M9" s="597"/>
      <c r="N9" s="597"/>
    </row>
    <row r="10" spans="1:14" s="725" customFormat="1" ht="12.75">
      <c r="A10" s="662">
        <v>1</v>
      </c>
      <c r="B10" s="663" t="s">
        <v>3721</v>
      </c>
      <c r="C10" s="662" t="s">
        <v>49</v>
      </c>
      <c r="D10" s="662">
        <v>1</v>
      </c>
      <c r="E10" s="664"/>
      <c r="F10" s="662"/>
      <c r="G10" s="664"/>
      <c r="H10" s="662"/>
      <c r="I10" s="662"/>
      <c r="J10" s="664"/>
      <c r="K10" s="664">
        <f>SUM(K12:K22)</f>
        <v>297395.09090909094</v>
      </c>
      <c r="L10" s="664">
        <f>SUM(L12:L22)</f>
        <v>0</v>
      </c>
      <c r="M10" s="664">
        <f>SUM(M12:M22)</f>
        <v>384599.71844999999</v>
      </c>
      <c r="N10" s="664">
        <f>SUM(N12:N22)</f>
        <v>0</v>
      </c>
    </row>
    <row r="11" spans="1:14" s="725" customFormat="1" ht="12.75">
      <c r="A11" s="662"/>
      <c r="B11" s="663" t="s">
        <v>108</v>
      </c>
      <c r="C11" s="662"/>
      <c r="D11" s="662"/>
      <c r="E11" s="664"/>
      <c r="F11" s="662"/>
      <c r="G11" s="664"/>
      <c r="H11" s="662"/>
      <c r="I11" s="662"/>
      <c r="J11" s="664"/>
      <c r="K11" s="664"/>
      <c r="L11" s="664"/>
      <c r="M11" s="664"/>
      <c r="N11" s="664"/>
    </row>
    <row r="12" spans="1:14" s="725" customFormat="1" ht="12.75">
      <c r="A12" s="665"/>
      <c r="B12" s="666" t="s">
        <v>3714</v>
      </c>
      <c r="C12" s="667" t="s">
        <v>59</v>
      </c>
      <c r="D12" s="668">
        <v>2</v>
      </c>
      <c r="E12" s="669">
        <v>88500</v>
      </c>
      <c r="F12" s="670"/>
      <c r="G12" s="670"/>
      <c r="H12" s="670"/>
      <c r="I12" s="671"/>
      <c r="J12" s="671"/>
      <c r="K12" s="670">
        <f>E12*D12</f>
        <v>177000</v>
      </c>
      <c r="L12" s="670"/>
      <c r="M12" s="670"/>
      <c r="N12" s="670"/>
    </row>
    <row r="13" spans="1:14" s="725" customFormat="1" ht="12.75">
      <c r="A13" s="665"/>
      <c r="B13" s="666" t="s">
        <v>3508</v>
      </c>
      <c r="C13" s="667" t="s">
        <v>3509</v>
      </c>
      <c r="D13" s="668">
        <v>24</v>
      </c>
      <c r="E13" s="669">
        <v>1104.5454545454545</v>
      </c>
      <c r="F13" s="670"/>
      <c r="G13" s="670"/>
      <c r="H13" s="670"/>
      <c r="I13" s="671"/>
      <c r="J13" s="671"/>
      <c r="K13" s="670">
        <f>E13*D13</f>
        <v>26509.090909090908</v>
      </c>
      <c r="L13" s="670"/>
      <c r="M13" s="670"/>
      <c r="N13" s="670"/>
    </row>
    <row r="14" spans="1:14" s="725" customFormat="1" ht="12.75">
      <c r="A14" s="665"/>
      <c r="B14" s="666" t="s">
        <v>3510</v>
      </c>
      <c r="C14" s="667" t="s">
        <v>59</v>
      </c>
      <c r="D14" s="668">
        <v>2</v>
      </c>
      <c r="E14" s="669">
        <v>6500</v>
      </c>
      <c r="F14" s="670"/>
      <c r="G14" s="670"/>
      <c r="H14" s="670"/>
      <c r="I14" s="671"/>
      <c r="J14" s="671"/>
      <c r="K14" s="670">
        <f>E14*D14</f>
        <v>13000</v>
      </c>
      <c r="L14" s="670"/>
      <c r="M14" s="670"/>
      <c r="N14" s="670"/>
    </row>
    <row r="15" spans="1:14" s="725" customFormat="1" ht="12.75">
      <c r="A15" s="665"/>
      <c r="B15" s="666" t="s">
        <v>3305</v>
      </c>
      <c r="C15" s="667" t="s">
        <v>47</v>
      </c>
      <c r="D15" s="672">
        <v>0.32500000000000001</v>
      </c>
      <c r="E15" s="669">
        <v>248880</v>
      </c>
      <c r="F15" s="670"/>
      <c r="G15" s="670"/>
      <c r="H15" s="670"/>
      <c r="I15" s="671"/>
      <c r="J15" s="671"/>
      <c r="K15" s="670">
        <f>E15*D15</f>
        <v>80886</v>
      </c>
      <c r="L15" s="670"/>
      <c r="M15" s="670"/>
      <c r="N15" s="670"/>
    </row>
    <row r="16" spans="1:14" s="725" customFormat="1" ht="12.75">
      <c r="A16" s="662"/>
      <c r="B16" s="663" t="s">
        <v>112</v>
      </c>
      <c r="C16" s="662"/>
      <c r="D16" s="662"/>
      <c r="E16" s="664"/>
      <c r="F16" s="662"/>
      <c r="G16" s="664"/>
      <c r="H16" s="662"/>
      <c r="I16" s="662"/>
      <c r="J16" s="664"/>
      <c r="K16" s="664"/>
      <c r="L16" s="664"/>
      <c r="M16" s="664"/>
      <c r="N16" s="664"/>
    </row>
    <row r="17" spans="1:14" s="726" customFormat="1" ht="12.75">
      <c r="A17" s="673" t="s">
        <v>1545</v>
      </c>
      <c r="B17" s="674" t="s">
        <v>3715</v>
      </c>
      <c r="C17" s="670" t="s">
        <v>43</v>
      </c>
      <c r="D17" s="671">
        <f>D12/100</f>
        <v>0.02</v>
      </c>
      <c r="E17" s="670"/>
      <c r="F17" s="669">
        <v>0</v>
      </c>
      <c r="G17" s="1442">
        <f>Sheet5!L5282</f>
        <v>5852387.1900000004</v>
      </c>
      <c r="H17" s="1442">
        <v>0</v>
      </c>
      <c r="I17" s="1459">
        <v>1</v>
      </c>
      <c r="J17" s="1459">
        <v>1</v>
      </c>
      <c r="K17" s="670"/>
      <c r="L17" s="670">
        <f>D17*F17</f>
        <v>0</v>
      </c>
      <c r="M17" s="670">
        <f>G17*D17*I17</f>
        <v>117047.74380000001</v>
      </c>
      <c r="N17" s="670">
        <f>D17*H17*J17</f>
        <v>0</v>
      </c>
    </row>
    <row r="18" spans="1:14" s="726" customFormat="1" ht="12.75">
      <c r="A18" s="673" t="s">
        <v>3716</v>
      </c>
      <c r="B18" s="674" t="s">
        <v>3717</v>
      </c>
      <c r="C18" s="670" t="s">
        <v>116</v>
      </c>
      <c r="D18" s="671">
        <v>0.77</v>
      </c>
      <c r="E18" s="670"/>
      <c r="F18" s="669">
        <v>0</v>
      </c>
      <c r="G18" s="669">
        <v>257567</v>
      </c>
      <c r="H18" s="669">
        <v>0</v>
      </c>
      <c r="I18" s="675">
        <v>0.88700000000000001</v>
      </c>
      <c r="J18" s="1440">
        <v>0.98399999999999999</v>
      </c>
      <c r="K18" s="670"/>
      <c r="L18" s="670">
        <f t="shared" ref="L18:L20" si="0">D18*F18</f>
        <v>0</v>
      </c>
      <c r="M18" s="670">
        <f>G18*D18*I18</f>
        <v>175915.68533000001</v>
      </c>
      <c r="N18" s="670">
        <f t="shared" ref="N18:N20" si="1">D18*H18*J18</f>
        <v>0</v>
      </c>
    </row>
    <row r="19" spans="1:14" s="726" customFormat="1" ht="12.75">
      <c r="A19" s="673" t="s">
        <v>114</v>
      </c>
      <c r="B19" s="674" t="s">
        <v>3718</v>
      </c>
      <c r="C19" s="670" t="s">
        <v>116</v>
      </c>
      <c r="D19" s="676">
        <v>0.47</v>
      </c>
      <c r="E19" s="670"/>
      <c r="F19" s="669">
        <v>0</v>
      </c>
      <c r="G19" s="669">
        <v>132328</v>
      </c>
      <c r="H19" s="669">
        <v>0</v>
      </c>
      <c r="I19" s="675">
        <v>0.88700000000000001</v>
      </c>
      <c r="J19" s="1440">
        <v>0.98399999999999999</v>
      </c>
      <c r="K19" s="670"/>
      <c r="L19" s="670">
        <f t="shared" si="0"/>
        <v>0</v>
      </c>
      <c r="M19" s="670">
        <f t="shared" ref="M19:M20" si="2">G19*D19*I19</f>
        <v>55166.219919999996</v>
      </c>
      <c r="N19" s="670">
        <f t="shared" si="1"/>
        <v>0</v>
      </c>
    </row>
    <row r="20" spans="1:14" s="726" customFormat="1" ht="12.75">
      <c r="A20" s="1441" t="s">
        <v>3719</v>
      </c>
      <c r="B20" s="1442" t="s">
        <v>3720</v>
      </c>
      <c r="C20" s="1443" t="s">
        <v>116</v>
      </c>
      <c r="D20" s="1444">
        <v>0.3</v>
      </c>
      <c r="E20" s="1443"/>
      <c r="F20" s="1442">
        <v>0</v>
      </c>
      <c r="G20" s="1439">
        <v>137054</v>
      </c>
      <c r="H20" s="669">
        <v>0</v>
      </c>
      <c r="I20" s="675">
        <v>0.88700000000000001</v>
      </c>
      <c r="J20" s="1440">
        <v>0.98399999999999999</v>
      </c>
      <c r="K20" s="670"/>
      <c r="L20" s="670">
        <f t="shared" si="0"/>
        <v>0</v>
      </c>
      <c r="M20" s="670">
        <f t="shared" si="2"/>
        <v>36470.0694</v>
      </c>
      <c r="N20" s="670">
        <f t="shared" si="1"/>
        <v>0</v>
      </c>
    </row>
    <row r="21" spans="1:14" s="726" customFormat="1" ht="12.75" hidden="1">
      <c r="A21" s="673" t="s">
        <v>238</v>
      </c>
      <c r="B21" s="669" t="s">
        <v>3395</v>
      </c>
      <c r="C21" s="670" t="s">
        <v>136</v>
      </c>
      <c r="D21" s="676"/>
      <c r="E21" s="670"/>
      <c r="F21" s="669">
        <v>0</v>
      </c>
      <c r="G21" s="669">
        <v>1416647</v>
      </c>
      <c r="H21" s="667">
        <v>0</v>
      </c>
      <c r="I21" s="681">
        <v>0.85099999999999998</v>
      </c>
      <c r="J21" s="681">
        <v>0.92500000000000004</v>
      </c>
      <c r="K21" s="670"/>
      <c r="L21" s="670">
        <f>D21*F21</f>
        <v>0</v>
      </c>
      <c r="M21" s="670">
        <f>G21*D21*I21</f>
        <v>0</v>
      </c>
      <c r="N21" s="670">
        <f>D21*H21*J21</f>
        <v>0</v>
      </c>
    </row>
    <row r="22" spans="1:14" s="726" customFormat="1" ht="12.75" hidden="1">
      <c r="A22" s="673" t="s">
        <v>240</v>
      </c>
      <c r="B22" s="669" t="s">
        <v>3378</v>
      </c>
      <c r="C22" s="670" t="s">
        <v>136</v>
      </c>
      <c r="D22" s="676"/>
      <c r="E22" s="670"/>
      <c r="F22" s="669">
        <v>0</v>
      </c>
      <c r="G22" s="669">
        <v>88278</v>
      </c>
      <c r="H22" s="667">
        <v>0</v>
      </c>
      <c r="I22" s="681">
        <v>0.85099999999999998</v>
      </c>
      <c r="J22" s="681">
        <v>0.92500000000000004</v>
      </c>
      <c r="K22" s="670"/>
      <c r="L22" s="670">
        <f>D22*F22</f>
        <v>0</v>
      </c>
      <c r="M22" s="670">
        <f>G22*D22*I22</f>
        <v>0</v>
      </c>
      <c r="N22" s="670">
        <f>D22*H22*J22</f>
        <v>0</v>
      </c>
    </row>
    <row r="23" spans="1:14" s="727" customFormat="1" ht="12.75" customHeight="1">
      <c r="A23" s="579">
        <v>2</v>
      </c>
      <c r="B23" s="611" t="s">
        <v>3513</v>
      </c>
      <c r="C23" s="579" t="s">
        <v>3514</v>
      </c>
      <c r="D23" s="579">
        <v>1</v>
      </c>
      <c r="E23" s="612"/>
      <c r="F23" s="612"/>
      <c r="G23" s="612"/>
      <c r="H23" s="612"/>
      <c r="I23" s="613"/>
      <c r="J23" s="613"/>
      <c r="K23" s="612">
        <f>SUM(K25:K38)</f>
        <v>1144264.8399999999</v>
      </c>
      <c r="L23" s="612">
        <f>SUM(L25:L38)</f>
        <v>0</v>
      </c>
      <c r="M23" s="612">
        <f>SUM(M25:M38)</f>
        <v>130755.26890999998</v>
      </c>
      <c r="N23" s="612">
        <f>SUM(N25:N38)</f>
        <v>15220.758</v>
      </c>
    </row>
    <row r="24" spans="1:14" ht="12.75" customHeight="1">
      <c r="A24" s="578"/>
      <c r="B24" s="608" t="s">
        <v>108</v>
      </c>
      <c r="C24" s="578"/>
      <c r="D24" s="578"/>
      <c r="E24" s="609"/>
      <c r="F24" s="609"/>
      <c r="G24" s="609"/>
      <c r="H24" s="609"/>
      <c r="I24" s="610"/>
      <c r="J24" s="610"/>
      <c r="K24" s="609"/>
      <c r="L24" s="609"/>
      <c r="M24" s="609"/>
      <c r="N24" s="609"/>
    </row>
    <row r="25" spans="1:14" ht="12.75" customHeight="1">
      <c r="A25" s="601"/>
      <c r="B25" s="608" t="s">
        <v>109</v>
      </c>
      <c r="C25" s="578" t="s">
        <v>47</v>
      </c>
      <c r="D25" s="578">
        <v>0.21</v>
      </c>
      <c r="E25" s="1449">
        <v>1195000</v>
      </c>
      <c r="F25" s="609"/>
      <c r="G25" s="609"/>
      <c r="H25" s="609"/>
      <c r="I25" s="610"/>
      <c r="J25" s="610"/>
      <c r="K25" s="603">
        <f t="shared" ref="K25:K33" si="3">D25*E25</f>
        <v>250950</v>
      </c>
      <c r="L25" s="603"/>
      <c r="M25" s="609"/>
      <c r="N25" s="609"/>
    </row>
    <row r="26" spans="1:14" ht="12.75" customHeight="1">
      <c r="A26" s="601"/>
      <c r="B26" s="608" t="s">
        <v>3511</v>
      </c>
      <c r="C26" s="578" t="s">
        <v>47</v>
      </c>
      <c r="D26" s="578">
        <v>7.5999999999999998E-2</v>
      </c>
      <c r="E26" s="603">
        <v>670590</v>
      </c>
      <c r="F26" s="609"/>
      <c r="G26" s="609"/>
      <c r="H26" s="609"/>
      <c r="I26" s="610"/>
      <c r="J26" s="610"/>
      <c r="K26" s="603">
        <f t="shared" si="3"/>
        <v>50964.84</v>
      </c>
      <c r="L26" s="603"/>
      <c r="M26" s="609"/>
      <c r="N26" s="609"/>
    </row>
    <row r="27" spans="1:14" ht="12.75" customHeight="1">
      <c r="A27" s="601"/>
      <c r="B27" s="608" t="s">
        <v>3515</v>
      </c>
      <c r="C27" s="578" t="s">
        <v>45</v>
      </c>
      <c r="D27" s="578">
        <v>3.5</v>
      </c>
      <c r="E27" s="603">
        <v>32000</v>
      </c>
      <c r="F27" s="609"/>
      <c r="G27" s="609"/>
      <c r="H27" s="609"/>
      <c r="I27" s="610"/>
      <c r="J27" s="610"/>
      <c r="K27" s="603">
        <f t="shared" si="3"/>
        <v>112000</v>
      </c>
      <c r="L27" s="603"/>
      <c r="M27" s="609"/>
      <c r="N27" s="609"/>
    </row>
    <row r="28" spans="1:14" ht="12.75" customHeight="1">
      <c r="A28" s="601"/>
      <c r="B28" s="608" t="s">
        <v>3516</v>
      </c>
      <c r="C28" s="578" t="s">
        <v>139</v>
      </c>
      <c r="D28" s="578">
        <v>4</v>
      </c>
      <c r="E28" s="603">
        <v>25650</v>
      </c>
      <c r="F28" s="609"/>
      <c r="G28" s="609"/>
      <c r="H28" s="609"/>
      <c r="I28" s="610"/>
      <c r="J28" s="610"/>
      <c r="K28" s="603">
        <f t="shared" si="3"/>
        <v>102600</v>
      </c>
      <c r="L28" s="603"/>
      <c r="M28" s="609"/>
      <c r="N28" s="609"/>
    </row>
    <row r="29" spans="1:14" ht="12.75" customHeight="1">
      <c r="A29" s="601"/>
      <c r="B29" s="608" t="s">
        <v>3546</v>
      </c>
      <c r="C29" s="578" t="s">
        <v>310</v>
      </c>
      <c r="D29" s="578">
        <v>3.35</v>
      </c>
      <c r="E29" s="603">
        <v>89000</v>
      </c>
      <c r="F29" s="609"/>
      <c r="G29" s="609"/>
      <c r="H29" s="609"/>
      <c r="I29" s="610"/>
      <c r="J29" s="610"/>
      <c r="K29" s="603">
        <f t="shared" si="3"/>
        <v>298150</v>
      </c>
      <c r="L29" s="603"/>
      <c r="M29" s="609"/>
      <c r="N29" s="609"/>
    </row>
    <row r="30" spans="1:14" ht="12.75" customHeight="1">
      <c r="A30" s="601"/>
      <c r="B30" s="608" t="s">
        <v>3547</v>
      </c>
      <c r="C30" s="578" t="s">
        <v>51</v>
      </c>
      <c r="D30" s="578">
        <v>1</v>
      </c>
      <c r="E30" s="603">
        <v>150000</v>
      </c>
      <c r="F30" s="609"/>
      <c r="G30" s="609"/>
      <c r="H30" s="609"/>
      <c r="I30" s="610"/>
      <c r="J30" s="610"/>
      <c r="K30" s="603">
        <f t="shared" si="3"/>
        <v>150000</v>
      </c>
      <c r="L30" s="603"/>
      <c r="M30" s="609"/>
      <c r="N30" s="609"/>
    </row>
    <row r="31" spans="1:14" ht="12.75" customHeight="1">
      <c r="A31" s="601"/>
      <c r="B31" s="608" t="s">
        <v>3548</v>
      </c>
      <c r="C31" s="578" t="s">
        <v>45</v>
      </c>
      <c r="D31" s="578">
        <v>5.2</v>
      </c>
      <c r="E31" s="603">
        <v>32000</v>
      </c>
      <c r="F31" s="609"/>
      <c r="G31" s="609"/>
      <c r="H31" s="609"/>
      <c r="I31" s="610"/>
      <c r="J31" s="610"/>
      <c r="K31" s="603">
        <f t="shared" si="3"/>
        <v>166400</v>
      </c>
      <c r="L31" s="603"/>
      <c r="M31" s="609"/>
      <c r="N31" s="609"/>
    </row>
    <row r="32" spans="1:14" ht="12.75" customHeight="1">
      <c r="A32" s="601"/>
      <c r="B32" s="608" t="s">
        <v>3549</v>
      </c>
      <c r="C32" s="578" t="s">
        <v>59</v>
      </c>
      <c r="D32" s="578">
        <v>0.2</v>
      </c>
      <c r="E32" s="603">
        <v>54000</v>
      </c>
      <c r="F32" s="609"/>
      <c r="G32" s="609"/>
      <c r="H32" s="609"/>
      <c r="I32" s="610"/>
      <c r="J32" s="610"/>
      <c r="K32" s="603">
        <f t="shared" si="3"/>
        <v>10800</v>
      </c>
      <c r="L32" s="603"/>
      <c r="M32" s="609"/>
      <c r="N32" s="609"/>
    </row>
    <row r="33" spans="1:256" ht="12.75" customHeight="1">
      <c r="A33" s="601"/>
      <c r="B33" s="608" t="s">
        <v>3550</v>
      </c>
      <c r="C33" s="578" t="s">
        <v>59</v>
      </c>
      <c r="D33" s="578">
        <v>0.2</v>
      </c>
      <c r="E33" s="603">
        <v>12000</v>
      </c>
      <c r="F33" s="609"/>
      <c r="G33" s="609"/>
      <c r="H33" s="609"/>
      <c r="I33" s="610"/>
      <c r="J33" s="610"/>
      <c r="K33" s="603">
        <f t="shared" si="3"/>
        <v>2400</v>
      </c>
      <c r="L33" s="603"/>
      <c r="M33" s="609"/>
      <c r="N33" s="609"/>
    </row>
    <row r="34" spans="1:256" ht="12.75" customHeight="1">
      <c r="A34" s="578"/>
      <c r="B34" s="608" t="s">
        <v>112</v>
      </c>
      <c r="C34" s="578"/>
      <c r="D34" s="578"/>
      <c r="E34" s="609"/>
      <c r="F34" s="609"/>
      <c r="G34" s="609"/>
      <c r="H34" s="609"/>
      <c r="I34" s="610"/>
      <c r="J34" s="610"/>
      <c r="K34" s="609"/>
      <c r="L34" s="609"/>
      <c r="M34" s="609"/>
      <c r="N34" s="609"/>
    </row>
    <row r="35" spans="1:256" ht="12.75" customHeight="1">
      <c r="A35" s="601" t="s">
        <v>3517</v>
      </c>
      <c r="B35" s="614" t="s">
        <v>3518</v>
      </c>
      <c r="C35" s="578" t="s">
        <v>116</v>
      </c>
      <c r="D35" s="578">
        <v>0.21</v>
      </c>
      <c r="E35" s="609"/>
      <c r="F35" s="603">
        <v>0</v>
      </c>
      <c r="G35" s="603">
        <v>193766</v>
      </c>
      <c r="H35" s="603">
        <v>0</v>
      </c>
      <c r="I35" s="1440">
        <v>0.88700000000000001</v>
      </c>
      <c r="J35" s="1440">
        <v>0.98399999999999999</v>
      </c>
      <c r="K35" s="609"/>
      <c r="L35" s="609"/>
      <c r="M35" s="603">
        <f t="shared" ref="M35:M37" si="4">D35*G35*I35</f>
        <v>36092.792820000002</v>
      </c>
      <c r="N35" s="603">
        <f t="shared" ref="N35:N38" si="5">D35*H35*J35</f>
        <v>0</v>
      </c>
    </row>
    <row r="36" spans="1:256" s="726" customFormat="1" ht="12.75">
      <c r="A36" s="673" t="s">
        <v>114</v>
      </c>
      <c r="B36" s="674" t="s">
        <v>3718</v>
      </c>
      <c r="C36" s="670" t="s">
        <v>116</v>
      </c>
      <c r="D36" s="676">
        <v>0.12</v>
      </c>
      <c r="E36" s="670"/>
      <c r="F36" s="669">
        <v>0</v>
      </c>
      <c r="G36" s="669">
        <v>132328</v>
      </c>
      <c r="H36" s="669">
        <v>0</v>
      </c>
      <c r="I36" s="1440">
        <v>0.88700000000000001</v>
      </c>
      <c r="J36" s="1440">
        <v>0.98399999999999999</v>
      </c>
      <c r="K36" s="670"/>
      <c r="L36" s="670">
        <f t="shared" ref="L36" si="6">D36*F36</f>
        <v>0</v>
      </c>
      <c r="M36" s="670">
        <f t="shared" ref="M36" si="7">G36*D36*I36</f>
        <v>14084.992319999999</v>
      </c>
      <c r="N36" s="670">
        <f t="shared" si="5"/>
        <v>0</v>
      </c>
    </row>
    <row r="37" spans="1:256" ht="15" customHeight="1">
      <c r="A37" s="1445" t="s">
        <v>3722</v>
      </c>
      <c r="B37" s="1446" t="s">
        <v>3723</v>
      </c>
      <c r="C37" s="1447" t="s">
        <v>116</v>
      </c>
      <c r="D37" s="1447">
        <f>D25</f>
        <v>0.21</v>
      </c>
      <c r="E37" s="1448"/>
      <c r="F37" s="1449">
        <v>0</v>
      </c>
      <c r="G37" s="1449">
        <v>355267</v>
      </c>
      <c r="H37" s="1449">
        <v>54177</v>
      </c>
      <c r="I37" s="1440">
        <v>0.88700000000000001</v>
      </c>
      <c r="J37" s="1440">
        <v>0.98399999999999999</v>
      </c>
      <c r="K37" s="609"/>
      <c r="L37" s="609"/>
      <c r="M37" s="603">
        <f t="shared" si="4"/>
        <v>66175.584089999989</v>
      </c>
      <c r="N37" s="603">
        <f t="shared" si="5"/>
        <v>11195.13528</v>
      </c>
    </row>
    <row r="38" spans="1:256" s="726" customFormat="1" ht="12.75">
      <c r="A38" s="1440" t="s">
        <v>3512</v>
      </c>
      <c r="B38" s="1442" t="s">
        <v>3724</v>
      </c>
      <c r="C38" s="1443" t="s">
        <v>116</v>
      </c>
      <c r="D38" s="1444">
        <f>D26</f>
        <v>7.5999999999999998E-2</v>
      </c>
      <c r="E38" s="1443"/>
      <c r="F38" s="1442">
        <v>0</v>
      </c>
      <c r="G38" s="1442">
        <v>213640</v>
      </c>
      <c r="H38" s="1442">
        <v>53830</v>
      </c>
      <c r="I38" s="1440">
        <v>0.88700000000000001</v>
      </c>
      <c r="J38" s="1440">
        <v>0.98399999999999999</v>
      </c>
      <c r="K38" s="670"/>
      <c r="L38" s="670">
        <f t="shared" ref="L38" si="8">D38*F38</f>
        <v>0</v>
      </c>
      <c r="M38" s="670">
        <f t="shared" ref="M38" si="9">G38*D38*I38</f>
        <v>14401.89968</v>
      </c>
      <c r="N38" s="670">
        <f t="shared" si="5"/>
        <v>4025.6227199999998</v>
      </c>
    </row>
    <row r="39" spans="1:256" s="725" customFormat="1">
      <c r="A39" s="677">
        <v>3</v>
      </c>
      <c r="B39" s="728" t="s">
        <v>3621</v>
      </c>
      <c r="C39" s="677" t="s">
        <v>3727</v>
      </c>
      <c r="D39" s="677">
        <v>1</v>
      </c>
      <c r="E39" s="729"/>
      <c r="F39" s="729"/>
      <c r="G39" s="729"/>
      <c r="H39" s="729"/>
      <c r="I39" s="730"/>
      <c r="J39" s="731"/>
      <c r="K39" s="732">
        <f>SUM(K41:K44)</f>
        <v>89875</v>
      </c>
      <c r="L39" s="732">
        <f>SUM(L41:L44)</f>
        <v>0</v>
      </c>
      <c r="M39" s="732">
        <f>SUM(M41:M44)</f>
        <v>9662.5788500000017</v>
      </c>
      <c r="N39" s="732">
        <f>SUM(N41:N44)</f>
        <v>1332.7542000000001</v>
      </c>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c r="AY39" s="733"/>
      <c r="AZ39" s="733"/>
      <c r="BA39" s="733"/>
      <c r="BB39" s="733"/>
      <c r="BC39" s="733"/>
      <c r="BD39" s="733"/>
      <c r="BE39" s="733"/>
      <c r="BF39" s="733"/>
      <c r="BG39" s="733"/>
      <c r="BH39" s="733"/>
      <c r="BI39" s="733"/>
      <c r="BJ39" s="733"/>
      <c r="BK39" s="733"/>
      <c r="BL39" s="733"/>
      <c r="BM39" s="733"/>
      <c r="BN39" s="733"/>
      <c r="BO39" s="733"/>
      <c r="BP39" s="733"/>
      <c r="BQ39" s="733"/>
      <c r="BR39" s="733"/>
      <c r="BS39" s="733"/>
      <c r="BT39" s="733"/>
      <c r="BU39" s="733"/>
      <c r="BV39" s="733"/>
      <c r="BW39" s="733"/>
      <c r="BX39" s="733"/>
      <c r="BY39" s="733"/>
      <c r="BZ39" s="733"/>
      <c r="CA39" s="733"/>
      <c r="CB39" s="733"/>
      <c r="CC39" s="733"/>
      <c r="CD39" s="733"/>
      <c r="CE39" s="733"/>
      <c r="CF39" s="733"/>
      <c r="CG39" s="733"/>
      <c r="CH39" s="733"/>
      <c r="CI39" s="733"/>
      <c r="CJ39" s="733"/>
      <c r="CK39" s="733"/>
      <c r="CL39" s="733"/>
      <c r="CM39" s="733"/>
      <c r="CN39" s="733"/>
      <c r="CO39" s="733"/>
      <c r="CP39" s="733"/>
      <c r="CQ39" s="733"/>
      <c r="CR39" s="733"/>
      <c r="CS39" s="733"/>
      <c r="CT39" s="733"/>
      <c r="CU39" s="733"/>
      <c r="CV39" s="733"/>
      <c r="CW39" s="733"/>
      <c r="CX39" s="733"/>
      <c r="CY39" s="733"/>
      <c r="CZ39" s="733"/>
      <c r="DA39" s="733"/>
      <c r="DB39" s="733"/>
      <c r="DC39" s="733"/>
      <c r="DD39" s="733"/>
      <c r="DE39" s="733"/>
      <c r="DF39" s="733"/>
      <c r="DG39" s="733"/>
      <c r="DH39" s="733"/>
      <c r="DI39" s="733"/>
      <c r="DJ39" s="733"/>
      <c r="DK39" s="733"/>
      <c r="DL39" s="733"/>
      <c r="DM39" s="733"/>
      <c r="DN39" s="733"/>
      <c r="DO39" s="733"/>
      <c r="DP39" s="733"/>
      <c r="DQ39" s="733"/>
      <c r="DR39" s="733"/>
      <c r="DS39" s="733"/>
      <c r="DT39" s="733"/>
      <c r="DU39" s="733"/>
      <c r="DV39" s="733"/>
      <c r="DW39" s="733"/>
      <c r="DX39" s="733"/>
      <c r="DY39" s="733"/>
      <c r="DZ39" s="733"/>
      <c r="EA39" s="733"/>
      <c r="EB39" s="733"/>
      <c r="EC39" s="733"/>
      <c r="ED39" s="733"/>
      <c r="EE39" s="733"/>
      <c r="EF39" s="733"/>
      <c r="EG39" s="733"/>
      <c r="EH39" s="733"/>
      <c r="EI39" s="733"/>
      <c r="EJ39" s="733"/>
      <c r="EK39" s="733"/>
      <c r="EL39" s="733"/>
      <c r="EM39" s="733"/>
      <c r="EN39" s="733"/>
      <c r="EO39" s="733"/>
      <c r="EP39" s="733"/>
      <c r="EQ39" s="733"/>
      <c r="ER39" s="733"/>
      <c r="ES39" s="733"/>
      <c r="ET39" s="733"/>
      <c r="EU39" s="733"/>
      <c r="EV39" s="733"/>
      <c r="EW39" s="733"/>
      <c r="EX39" s="733"/>
      <c r="EY39" s="733"/>
      <c r="EZ39" s="733"/>
      <c r="FA39" s="733"/>
      <c r="FB39" s="733"/>
      <c r="FC39" s="733"/>
      <c r="FD39" s="733"/>
      <c r="FE39" s="733"/>
      <c r="FF39" s="733"/>
      <c r="FG39" s="733"/>
      <c r="FH39" s="733"/>
      <c r="FI39" s="733"/>
      <c r="FJ39" s="733"/>
      <c r="FK39" s="733"/>
      <c r="FL39" s="733"/>
      <c r="FM39" s="733"/>
      <c r="FN39" s="733"/>
      <c r="FO39" s="733"/>
      <c r="FP39" s="733"/>
      <c r="FQ39" s="733"/>
      <c r="FR39" s="733"/>
      <c r="FS39" s="733"/>
      <c r="FT39" s="733"/>
      <c r="FU39" s="733"/>
      <c r="FV39" s="733"/>
      <c r="FW39" s="733"/>
      <c r="FX39" s="733"/>
      <c r="FY39" s="733"/>
      <c r="FZ39" s="733"/>
      <c r="GA39" s="733"/>
      <c r="GB39" s="733"/>
      <c r="GC39" s="733"/>
      <c r="GD39" s="733"/>
      <c r="GE39" s="733"/>
      <c r="GF39" s="733"/>
      <c r="GG39" s="733"/>
      <c r="GH39" s="733"/>
      <c r="GI39" s="733"/>
      <c r="GJ39" s="733"/>
      <c r="GK39" s="733"/>
      <c r="GL39" s="733"/>
      <c r="GM39" s="733"/>
      <c r="GN39" s="733"/>
      <c r="GO39" s="733"/>
      <c r="GP39" s="733"/>
      <c r="GQ39" s="733"/>
      <c r="GR39" s="733"/>
      <c r="GS39" s="733"/>
      <c r="GT39" s="733"/>
      <c r="GU39" s="733"/>
      <c r="GV39" s="733"/>
      <c r="GW39" s="733"/>
      <c r="GX39" s="733"/>
      <c r="GY39" s="733"/>
      <c r="GZ39" s="733"/>
      <c r="HA39" s="733"/>
      <c r="HB39" s="733"/>
      <c r="HC39" s="733"/>
      <c r="HD39" s="733"/>
      <c r="HE39" s="733"/>
      <c r="HF39" s="733"/>
      <c r="HG39" s="733"/>
      <c r="HH39" s="733"/>
      <c r="HI39" s="733"/>
      <c r="HJ39" s="733"/>
      <c r="HK39" s="733"/>
      <c r="HL39" s="733"/>
      <c r="HM39" s="733"/>
      <c r="HN39" s="733"/>
      <c r="HO39" s="733"/>
      <c r="HP39" s="733"/>
      <c r="HQ39" s="733"/>
      <c r="HR39" s="733"/>
      <c r="HS39" s="733"/>
      <c r="HT39" s="733"/>
      <c r="HU39" s="733"/>
      <c r="HV39" s="733"/>
      <c r="HW39" s="733"/>
      <c r="HX39" s="733"/>
      <c r="HY39" s="733"/>
      <c r="HZ39" s="733"/>
      <c r="IA39" s="733"/>
      <c r="IB39" s="733"/>
      <c r="IC39" s="733"/>
      <c r="ID39" s="733"/>
      <c r="IE39" s="733"/>
      <c r="IF39" s="733"/>
      <c r="IG39" s="733"/>
      <c r="IH39" s="733"/>
      <c r="II39" s="733"/>
      <c r="IJ39" s="733"/>
      <c r="IK39" s="733"/>
      <c r="IL39" s="733"/>
      <c r="IM39" s="733"/>
      <c r="IN39" s="733"/>
      <c r="IO39" s="733"/>
      <c r="IP39" s="733"/>
      <c r="IQ39" s="733"/>
      <c r="IR39" s="733"/>
      <c r="IS39" s="733"/>
      <c r="IT39" s="733"/>
      <c r="IU39" s="733"/>
      <c r="IV39" s="733"/>
    </row>
    <row r="40" spans="1:256" s="725" customFormat="1">
      <c r="A40" s="678"/>
      <c r="B40" s="734" t="s">
        <v>108</v>
      </c>
      <c r="C40" s="735"/>
      <c r="D40" s="735"/>
      <c r="E40" s="729"/>
      <c r="F40" s="729"/>
      <c r="G40" s="729"/>
      <c r="H40" s="729"/>
      <c r="I40" s="736"/>
      <c r="J40" s="736"/>
      <c r="K40" s="729"/>
      <c r="L40" s="729"/>
      <c r="M40" s="729"/>
      <c r="N40" s="737"/>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c r="AY40" s="733"/>
      <c r="AZ40" s="733"/>
      <c r="BA40" s="733"/>
      <c r="BB40" s="733"/>
      <c r="BC40" s="733"/>
      <c r="BD40" s="733"/>
      <c r="BE40" s="733"/>
      <c r="BF40" s="733"/>
      <c r="BG40" s="733"/>
      <c r="BH40" s="733"/>
      <c r="BI40" s="733"/>
      <c r="BJ40" s="733"/>
      <c r="BK40" s="733"/>
      <c r="BL40" s="733"/>
      <c r="BM40" s="733"/>
      <c r="BN40" s="733"/>
      <c r="BO40" s="733"/>
      <c r="BP40" s="733"/>
      <c r="BQ40" s="733"/>
      <c r="BR40" s="733"/>
      <c r="BS40" s="733"/>
      <c r="BT40" s="733"/>
      <c r="BU40" s="733"/>
      <c r="BV40" s="733"/>
      <c r="BW40" s="733"/>
      <c r="BX40" s="733"/>
      <c r="BY40" s="733"/>
      <c r="BZ40" s="733"/>
      <c r="CA40" s="733"/>
      <c r="CB40" s="733"/>
      <c r="CC40" s="733"/>
      <c r="CD40" s="733"/>
      <c r="CE40" s="733"/>
      <c r="CF40" s="733"/>
      <c r="CG40" s="733"/>
      <c r="CH40" s="733"/>
      <c r="CI40" s="733"/>
      <c r="CJ40" s="733"/>
      <c r="CK40" s="733"/>
      <c r="CL40" s="733"/>
      <c r="CM40" s="733"/>
      <c r="CN40" s="733"/>
      <c r="CO40" s="733"/>
      <c r="CP40" s="733"/>
      <c r="CQ40" s="733"/>
      <c r="CR40" s="733"/>
      <c r="CS40" s="733"/>
      <c r="CT40" s="733"/>
      <c r="CU40" s="733"/>
      <c r="CV40" s="733"/>
      <c r="CW40" s="733"/>
      <c r="CX40" s="733"/>
      <c r="CY40" s="733"/>
      <c r="CZ40" s="733"/>
      <c r="DA40" s="733"/>
      <c r="DB40" s="733"/>
      <c r="DC40" s="733"/>
      <c r="DD40" s="733"/>
      <c r="DE40" s="733"/>
      <c r="DF40" s="733"/>
      <c r="DG40" s="733"/>
      <c r="DH40" s="733"/>
      <c r="DI40" s="733"/>
      <c r="DJ40" s="733"/>
      <c r="DK40" s="733"/>
      <c r="DL40" s="733"/>
      <c r="DM40" s="733"/>
      <c r="DN40" s="733"/>
      <c r="DO40" s="733"/>
      <c r="DP40" s="733"/>
      <c r="DQ40" s="733"/>
      <c r="DR40" s="733"/>
      <c r="DS40" s="733"/>
      <c r="DT40" s="733"/>
      <c r="DU40" s="733"/>
      <c r="DV40" s="733"/>
      <c r="DW40" s="733"/>
      <c r="DX40" s="733"/>
      <c r="DY40" s="733"/>
      <c r="DZ40" s="733"/>
      <c r="EA40" s="733"/>
      <c r="EB40" s="733"/>
      <c r="EC40" s="733"/>
      <c r="ED40" s="733"/>
      <c r="EE40" s="733"/>
      <c r="EF40" s="733"/>
      <c r="EG40" s="733"/>
      <c r="EH40" s="733"/>
      <c r="EI40" s="733"/>
      <c r="EJ40" s="733"/>
      <c r="EK40" s="733"/>
      <c r="EL40" s="733"/>
      <c r="EM40" s="733"/>
      <c r="EN40" s="733"/>
      <c r="EO40" s="733"/>
      <c r="EP40" s="733"/>
      <c r="EQ40" s="733"/>
      <c r="ER40" s="733"/>
      <c r="ES40" s="733"/>
      <c r="ET40" s="733"/>
      <c r="EU40" s="733"/>
      <c r="EV40" s="733"/>
      <c r="EW40" s="733"/>
      <c r="EX40" s="733"/>
      <c r="EY40" s="733"/>
      <c r="EZ40" s="733"/>
      <c r="FA40" s="733"/>
      <c r="FB40" s="733"/>
      <c r="FC40" s="733"/>
      <c r="FD40" s="733"/>
      <c r="FE40" s="733"/>
      <c r="FF40" s="733"/>
      <c r="FG40" s="733"/>
      <c r="FH40" s="733"/>
      <c r="FI40" s="733"/>
      <c r="FJ40" s="733"/>
      <c r="FK40" s="733"/>
      <c r="FL40" s="733"/>
      <c r="FM40" s="733"/>
      <c r="FN40" s="733"/>
      <c r="FO40" s="733"/>
      <c r="FP40" s="733"/>
      <c r="FQ40" s="733"/>
      <c r="FR40" s="733"/>
      <c r="FS40" s="733"/>
      <c r="FT40" s="733"/>
      <c r="FU40" s="733"/>
      <c r="FV40" s="733"/>
      <c r="FW40" s="733"/>
      <c r="FX40" s="733"/>
      <c r="FY40" s="733"/>
      <c r="FZ40" s="733"/>
      <c r="GA40" s="733"/>
      <c r="GB40" s="733"/>
      <c r="GC40" s="733"/>
      <c r="GD40" s="733"/>
      <c r="GE40" s="733"/>
      <c r="GF40" s="733"/>
      <c r="GG40" s="733"/>
      <c r="GH40" s="733"/>
      <c r="GI40" s="733"/>
      <c r="GJ40" s="733"/>
      <c r="GK40" s="733"/>
      <c r="GL40" s="733"/>
      <c r="GM40" s="733"/>
      <c r="GN40" s="733"/>
      <c r="GO40" s="733"/>
      <c r="GP40" s="733"/>
      <c r="GQ40" s="733"/>
      <c r="GR40" s="733"/>
      <c r="GS40" s="733"/>
      <c r="GT40" s="733"/>
      <c r="GU40" s="733"/>
      <c r="GV40" s="733"/>
      <c r="GW40" s="733"/>
      <c r="GX40" s="733"/>
      <c r="GY40" s="733"/>
      <c r="GZ40" s="733"/>
      <c r="HA40" s="733"/>
      <c r="HB40" s="733"/>
      <c r="HC40" s="733"/>
      <c r="HD40" s="733"/>
      <c r="HE40" s="733"/>
      <c r="HF40" s="733"/>
      <c r="HG40" s="733"/>
      <c r="HH40" s="733"/>
      <c r="HI40" s="733"/>
      <c r="HJ40" s="733"/>
      <c r="HK40" s="733"/>
      <c r="HL40" s="733"/>
      <c r="HM40" s="733"/>
      <c r="HN40" s="733"/>
      <c r="HO40" s="733"/>
      <c r="HP40" s="733"/>
      <c r="HQ40" s="733"/>
      <c r="HR40" s="733"/>
      <c r="HS40" s="733"/>
      <c r="HT40" s="733"/>
      <c r="HU40" s="733"/>
      <c r="HV40" s="733"/>
      <c r="HW40" s="733"/>
      <c r="HX40" s="733"/>
      <c r="HY40" s="733"/>
      <c r="HZ40" s="733"/>
      <c r="IA40" s="733"/>
      <c r="IB40" s="733"/>
      <c r="IC40" s="733"/>
      <c r="ID40" s="733"/>
      <c r="IE40" s="733"/>
      <c r="IF40" s="733"/>
      <c r="IG40" s="733"/>
      <c r="IH40" s="733"/>
      <c r="II40" s="733"/>
      <c r="IJ40" s="733"/>
      <c r="IK40" s="733"/>
      <c r="IL40" s="733"/>
      <c r="IM40" s="733"/>
      <c r="IN40" s="733"/>
      <c r="IO40" s="733"/>
      <c r="IP40" s="733"/>
      <c r="IQ40" s="733"/>
      <c r="IR40" s="733"/>
      <c r="IS40" s="733"/>
      <c r="IT40" s="733"/>
      <c r="IU40" s="733"/>
      <c r="IV40" s="733"/>
    </row>
    <row r="41" spans="1:256" s="725" customFormat="1">
      <c r="A41" s="678"/>
      <c r="B41" s="738" t="s">
        <v>3621</v>
      </c>
      <c r="C41" s="729" t="s">
        <v>51</v>
      </c>
      <c r="D41" s="735">
        <v>1</v>
      </c>
      <c r="E41" s="729">
        <v>60000</v>
      </c>
      <c r="F41" s="729"/>
      <c r="G41" s="729"/>
      <c r="H41" s="729"/>
      <c r="I41" s="736"/>
      <c r="J41" s="736"/>
      <c r="K41" s="729">
        <f>D41*E41</f>
        <v>60000</v>
      </c>
      <c r="L41" s="729"/>
      <c r="M41" s="729"/>
      <c r="N41" s="737"/>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733"/>
      <c r="AZ41" s="733"/>
      <c r="BA41" s="733"/>
      <c r="BB41" s="733"/>
      <c r="BC41" s="733"/>
      <c r="BD41" s="733"/>
      <c r="BE41" s="733"/>
      <c r="BF41" s="733"/>
      <c r="BG41" s="733"/>
      <c r="BH41" s="733"/>
      <c r="BI41" s="733"/>
      <c r="BJ41" s="733"/>
      <c r="BK41" s="733"/>
      <c r="BL41" s="733"/>
      <c r="BM41" s="733"/>
      <c r="BN41" s="733"/>
      <c r="BO41" s="733"/>
      <c r="BP41" s="733"/>
      <c r="BQ41" s="733"/>
      <c r="BR41" s="733"/>
      <c r="BS41" s="733"/>
      <c r="BT41" s="733"/>
      <c r="BU41" s="733"/>
      <c r="BV41" s="733"/>
      <c r="BW41" s="733"/>
      <c r="BX41" s="733"/>
      <c r="BY41" s="733"/>
      <c r="BZ41" s="733"/>
      <c r="CA41" s="733"/>
      <c r="CB41" s="733"/>
      <c r="CC41" s="733"/>
      <c r="CD41" s="733"/>
      <c r="CE41" s="733"/>
      <c r="CF41" s="733"/>
      <c r="CG41" s="733"/>
      <c r="CH41" s="733"/>
      <c r="CI41" s="733"/>
      <c r="CJ41" s="733"/>
      <c r="CK41" s="733"/>
      <c r="CL41" s="733"/>
      <c r="CM41" s="733"/>
      <c r="CN41" s="733"/>
      <c r="CO41" s="733"/>
      <c r="CP41" s="733"/>
      <c r="CQ41" s="733"/>
      <c r="CR41" s="733"/>
      <c r="CS41" s="733"/>
      <c r="CT41" s="733"/>
      <c r="CU41" s="733"/>
      <c r="CV41" s="733"/>
      <c r="CW41" s="733"/>
      <c r="CX41" s="733"/>
      <c r="CY41" s="733"/>
      <c r="CZ41" s="733"/>
      <c r="DA41" s="733"/>
      <c r="DB41" s="733"/>
      <c r="DC41" s="733"/>
      <c r="DD41" s="733"/>
      <c r="DE41" s="733"/>
      <c r="DF41" s="733"/>
      <c r="DG41" s="733"/>
      <c r="DH41" s="733"/>
      <c r="DI41" s="733"/>
      <c r="DJ41" s="733"/>
      <c r="DK41" s="733"/>
      <c r="DL41" s="733"/>
      <c r="DM41" s="733"/>
      <c r="DN41" s="733"/>
      <c r="DO41" s="733"/>
      <c r="DP41" s="733"/>
      <c r="DQ41" s="733"/>
      <c r="DR41" s="733"/>
      <c r="DS41" s="733"/>
      <c r="DT41" s="733"/>
      <c r="DU41" s="733"/>
      <c r="DV41" s="733"/>
      <c r="DW41" s="733"/>
      <c r="DX41" s="733"/>
      <c r="DY41" s="733"/>
      <c r="DZ41" s="733"/>
      <c r="EA41" s="733"/>
      <c r="EB41" s="733"/>
      <c r="EC41" s="733"/>
      <c r="ED41" s="733"/>
      <c r="EE41" s="733"/>
      <c r="EF41" s="733"/>
      <c r="EG41" s="733"/>
      <c r="EH41" s="733"/>
      <c r="EI41" s="733"/>
      <c r="EJ41" s="733"/>
      <c r="EK41" s="733"/>
      <c r="EL41" s="733"/>
      <c r="EM41" s="733"/>
      <c r="EN41" s="733"/>
      <c r="EO41" s="733"/>
      <c r="EP41" s="733"/>
      <c r="EQ41" s="733"/>
      <c r="ER41" s="733"/>
      <c r="ES41" s="733"/>
      <c r="ET41" s="733"/>
      <c r="EU41" s="733"/>
      <c r="EV41" s="733"/>
      <c r="EW41" s="733"/>
      <c r="EX41" s="733"/>
      <c r="EY41" s="733"/>
      <c r="EZ41" s="733"/>
      <c r="FA41" s="733"/>
      <c r="FB41" s="733"/>
      <c r="FC41" s="733"/>
      <c r="FD41" s="733"/>
      <c r="FE41" s="733"/>
      <c r="FF41" s="733"/>
      <c r="FG41" s="733"/>
      <c r="FH41" s="733"/>
      <c r="FI41" s="733"/>
      <c r="FJ41" s="733"/>
      <c r="FK41" s="733"/>
      <c r="FL41" s="733"/>
      <c r="FM41" s="733"/>
      <c r="FN41" s="733"/>
      <c r="FO41" s="733"/>
      <c r="FP41" s="733"/>
      <c r="FQ41" s="733"/>
      <c r="FR41" s="733"/>
      <c r="FS41" s="733"/>
      <c r="FT41" s="733"/>
      <c r="FU41" s="733"/>
      <c r="FV41" s="733"/>
      <c r="FW41" s="733"/>
      <c r="FX41" s="733"/>
      <c r="FY41" s="733"/>
      <c r="FZ41" s="733"/>
      <c r="GA41" s="733"/>
      <c r="GB41" s="733"/>
      <c r="GC41" s="733"/>
      <c r="GD41" s="733"/>
      <c r="GE41" s="733"/>
      <c r="GF41" s="733"/>
      <c r="GG41" s="733"/>
      <c r="GH41" s="733"/>
      <c r="GI41" s="733"/>
      <c r="GJ41" s="733"/>
      <c r="GK41" s="733"/>
      <c r="GL41" s="733"/>
      <c r="GM41" s="733"/>
      <c r="GN41" s="733"/>
      <c r="GO41" s="733"/>
      <c r="GP41" s="733"/>
      <c r="GQ41" s="733"/>
      <c r="GR41" s="733"/>
      <c r="GS41" s="733"/>
      <c r="GT41" s="733"/>
      <c r="GU41" s="733"/>
      <c r="GV41" s="733"/>
      <c r="GW41" s="733"/>
      <c r="GX41" s="733"/>
      <c r="GY41" s="733"/>
      <c r="GZ41" s="733"/>
      <c r="HA41" s="733"/>
      <c r="HB41" s="733"/>
      <c r="HC41" s="733"/>
      <c r="HD41" s="733"/>
      <c r="HE41" s="733"/>
      <c r="HF41" s="733"/>
      <c r="HG41" s="733"/>
      <c r="HH41" s="733"/>
      <c r="HI41" s="733"/>
      <c r="HJ41" s="733"/>
      <c r="HK41" s="733"/>
      <c r="HL41" s="733"/>
      <c r="HM41" s="733"/>
      <c r="HN41" s="733"/>
      <c r="HO41" s="733"/>
      <c r="HP41" s="733"/>
      <c r="HQ41" s="733"/>
      <c r="HR41" s="733"/>
      <c r="HS41" s="733"/>
      <c r="HT41" s="733"/>
      <c r="HU41" s="733"/>
      <c r="HV41" s="733"/>
      <c r="HW41" s="733"/>
      <c r="HX41" s="733"/>
      <c r="HY41" s="733"/>
      <c r="HZ41" s="733"/>
      <c r="IA41" s="733"/>
      <c r="IB41" s="733"/>
      <c r="IC41" s="733"/>
      <c r="ID41" s="733"/>
      <c r="IE41" s="733"/>
      <c r="IF41" s="733"/>
      <c r="IG41" s="733"/>
      <c r="IH41" s="733"/>
      <c r="II41" s="733"/>
      <c r="IJ41" s="733"/>
      <c r="IK41" s="733"/>
      <c r="IL41" s="733"/>
      <c r="IM41" s="733"/>
      <c r="IN41" s="733"/>
      <c r="IO41" s="733"/>
      <c r="IP41" s="733"/>
      <c r="IQ41" s="733"/>
      <c r="IR41" s="733"/>
      <c r="IS41" s="733"/>
      <c r="IT41" s="733"/>
      <c r="IU41" s="733"/>
      <c r="IV41" s="733"/>
    </row>
    <row r="42" spans="1:256" s="725" customFormat="1">
      <c r="A42" s="678"/>
      <c r="B42" s="739" t="s">
        <v>3728</v>
      </c>
      <c r="C42" s="740" t="s">
        <v>47</v>
      </c>
      <c r="D42" s="678">
        <v>2.5000000000000001E-2</v>
      </c>
      <c r="E42" s="1452">
        <f>E25</f>
        <v>1195000</v>
      </c>
      <c r="F42" s="729"/>
      <c r="G42" s="729"/>
      <c r="H42" s="729"/>
      <c r="I42" s="736"/>
      <c r="J42" s="741"/>
      <c r="K42" s="729">
        <f>D42*E42</f>
        <v>29875</v>
      </c>
      <c r="L42" s="729"/>
      <c r="M42" s="729"/>
      <c r="N42" s="737"/>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3"/>
      <c r="BG42" s="733"/>
      <c r="BH42" s="733"/>
      <c r="BI42" s="733"/>
      <c r="BJ42" s="733"/>
      <c r="BK42" s="733"/>
      <c r="BL42" s="733"/>
      <c r="BM42" s="733"/>
      <c r="BN42" s="733"/>
      <c r="BO42" s="733"/>
      <c r="BP42" s="733"/>
      <c r="BQ42" s="733"/>
      <c r="BR42" s="733"/>
      <c r="BS42" s="733"/>
      <c r="BT42" s="733"/>
      <c r="BU42" s="733"/>
      <c r="BV42" s="733"/>
      <c r="BW42" s="733"/>
      <c r="BX42" s="733"/>
      <c r="BY42" s="733"/>
      <c r="BZ42" s="733"/>
      <c r="CA42" s="733"/>
      <c r="CB42" s="733"/>
      <c r="CC42" s="733"/>
      <c r="CD42" s="733"/>
      <c r="CE42" s="733"/>
      <c r="CF42" s="733"/>
      <c r="CG42" s="733"/>
      <c r="CH42" s="733"/>
      <c r="CI42" s="733"/>
      <c r="CJ42" s="733"/>
      <c r="CK42" s="733"/>
      <c r="CL42" s="733"/>
      <c r="CM42" s="733"/>
      <c r="CN42" s="733"/>
      <c r="CO42" s="733"/>
      <c r="CP42" s="733"/>
      <c r="CQ42" s="733"/>
      <c r="CR42" s="733"/>
      <c r="CS42" s="733"/>
      <c r="CT42" s="733"/>
      <c r="CU42" s="733"/>
      <c r="CV42" s="733"/>
      <c r="CW42" s="733"/>
      <c r="CX42" s="733"/>
      <c r="CY42" s="733"/>
      <c r="CZ42" s="733"/>
      <c r="DA42" s="733"/>
      <c r="DB42" s="733"/>
      <c r="DC42" s="733"/>
      <c r="DD42" s="733"/>
      <c r="DE42" s="733"/>
      <c r="DF42" s="733"/>
      <c r="DG42" s="733"/>
      <c r="DH42" s="733"/>
      <c r="DI42" s="733"/>
      <c r="DJ42" s="733"/>
      <c r="DK42" s="733"/>
      <c r="DL42" s="733"/>
      <c r="DM42" s="733"/>
      <c r="DN42" s="733"/>
      <c r="DO42" s="733"/>
      <c r="DP42" s="733"/>
      <c r="DQ42" s="733"/>
      <c r="DR42" s="733"/>
      <c r="DS42" s="733"/>
      <c r="DT42" s="733"/>
      <c r="DU42" s="733"/>
      <c r="DV42" s="733"/>
      <c r="DW42" s="733"/>
      <c r="DX42" s="733"/>
      <c r="DY42" s="733"/>
      <c r="DZ42" s="733"/>
      <c r="EA42" s="733"/>
      <c r="EB42" s="733"/>
      <c r="EC42" s="733"/>
      <c r="ED42" s="733"/>
      <c r="EE42" s="733"/>
      <c r="EF42" s="733"/>
      <c r="EG42" s="733"/>
      <c r="EH42" s="733"/>
      <c r="EI42" s="733"/>
      <c r="EJ42" s="733"/>
      <c r="EK42" s="733"/>
      <c r="EL42" s="733"/>
      <c r="EM42" s="733"/>
      <c r="EN42" s="733"/>
      <c r="EO42" s="733"/>
      <c r="EP42" s="733"/>
      <c r="EQ42" s="733"/>
      <c r="ER42" s="733"/>
      <c r="ES42" s="733"/>
      <c r="ET42" s="733"/>
      <c r="EU42" s="733"/>
      <c r="EV42" s="733"/>
      <c r="EW42" s="733"/>
      <c r="EX42" s="733"/>
      <c r="EY42" s="733"/>
      <c r="EZ42" s="733"/>
      <c r="FA42" s="733"/>
      <c r="FB42" s="733"/>
      <c r="FC42" s="733"/>
      <c r="FD42" s="733"/>
      <c r="FE42" s="733"/>
      <c r="FF42" s="733"/>
      <c r="FG42" s="733"/>
      <c r="FH42" s="733"/>
      <c r="FI42" s="733"/>
      <c r="FJ42" s="733"/>
      <c r="FK42" s="733"/>
      <c r="FL42" s="733"/>
      <c r="FM42" s="733"/>
      <c r="FN42" s="733"/>
      <c r="FO42" s="733"/>
      <c r="FP42" s="733"/>
      <c r="FQ42" s="733"/>
      <c r="FR42" s="733"/>
      <c r="FS42" s="733"/>
      <c r="FT42" s="733"/>
      <c r="FU42" s="733"/>
      <c r="FV42" s="733"/>
      <c r="FW42" s="733"/>
      <c r="FX42" s="733"/>
      <c r="FY42" s="733"/>
      <c r="FZ42" s="733"/>
      <c r="GA42" s="733"/>
      <c r="GB42" s="733"/>
      <c r="GC42" s="733"/>
      <c r="GD42" s="733"/>
      <c r="GE42" s="733"/>
      <c r="GF42" s="733"/>
      <c r="GG42" s="733"/>
      <c r="GH42" s="733"/>
      <c r="GI42" s="733"/>
      <c r="GJ42" s="733"/>
      <c r="GK42" s="733"/>
      <c r="GL42" s="733"/>
      <c r="GM42" s="733"/>
      <c r="GN42" s="733"/>
      <c r="GO42" s="733"/>
      <c r="GP42" s="733"/>
      <c r="GQ42" s="733"/>
      <c r="GR42" s="733"/>
      <c r="GS42" s="733"/>
      <c r="GT42" s="733"/>
      <c r="GU42" s="733"/>
      <c r="GV42" s="733"/>
      <c r="GW42" s="733"/>
      <c r="GX42" s="733"/>
      <c r="GY42" s="733"/>
      <c r="GZ42" s="733"/>
      <c r="HA42" s="733"/>
      <c r="HB42" s="733"/>
      <c r="HC42" s="733"/>
      <c r="HD42" s="733"/>
      <c r="HE42" s="733"/>
      <c r="HF42" s="733"/>
      <c r="HG42" s="733"/>
      <c r="HH42" s="733"/>
      <c r="HI42" s="733"/>
      <c r="HJ42" s="733"/>
      <c r="HK42" s="733"/>
      <c r="HL42" s="733"/>
      <c r="HM42" s="733"/>
      <c r="HN42" s="733"/>
      <c r="HO42" s="733"/>
      <c r="HP42" s="733"/>
      <c r="HQ42" s="733"/>
      <c r="HR42" s="733"/>
      <c r="HS42" s="733"/>
      <c r="HT42" s="733"/>
      <c r="HU42" s="733"/>
      <c r="HV42" s="733"/>
      <c r="HW42" s="733"/>
      <c r="HX42" s="733"/>
      <c r="HY42" s="733"/>
      <c r="HZ42" s="733"/>
      <c r="IA42" s="733"/>
      <c r="IB42" s="733"/>
      <c r="IC42" s="733"/>
      <c r="ID42" s="733"/>
      <c r="IE42" s="733"/>
      <c r="IF42" s="733"/>
      <c r="IG42" s="733"/>
      <c r="IH42" s="733"/>
      <c r="II42" s="733"/>
      <c r="IJ42" s="733"/>
      <c r="IK42" s="733"/>
      <c r="IL42" s="733"/>
      <c r="IM42" s="733"/>
      <c r="IN42" s="733"/>
      <c r="IO42" s="733"/>
      <c r="IP42" s="733"/>
      <c r="IQ42" s="733"/>
      <c r="IR42" s="733"/>
      <c r="IS42" s="733"/>
      <c r="IT42" s="733"/>
      <c r="IU42" s="733"/>
      <c r="IV42" s="733"/>
    </row>
    <row r="43" spans="1:256" s="725" customFormat="1">
      <c r="A43" s="679"/>
      <c r="B43" s="742" t="s">
        <v>112</v>
      </c>
      <c r="C43" s="679"/>
      <c r="D43" s="742"/>
      <c r="E43" s="729"/>
      <c r="F43" s="729"/>
      <c r="G43" s="729"/>
      <c r="H43" s="729"/>
      <c r="I43" s="743"/>
      <c r="J43" s="743"/>
      <c r="K43" s="737"/>
      <c r="L43" s="737"/>
      <c r="M43" s="737"/>
      <c r="N43" s="737"/>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c r="CQ43" s="733"/>
      <c r="CR43" s="733"/>
      <c r="CS43" s="733"/>
      <c r="CT43" s="733"/>
      <c r="CU43" s="733"/>
      <c r="CV43" s="733"/>
      <c r="CW43" s="733"/>
      <c r="CX43" s="733"/>
      <c r="CY43" s="733"/>
      <c r="CZ43" s="733"/>
      <c r="DA43" s="733"/>
      <c r="DB43" s="733"/>
      <c r="DC43" s="733"/>
      <c r="DD43" s="733"/>
      <c r="DE43" s="733"/>
      <c r="DF43" s="733"/>
      <c r="DG43" s="733"/>
      <c r="DH43" s="733"/>
      <c r="DI43" s="733"/>
      <c r="DJ43" s="733"/>
      <c r="DK43" s="733"/>
      <c r="DL43" s="733"/>
      <c r="DM43" s="733"/>
      <c r="DN43" s="733"/>
      <c r="DO43" s="733"/>
      <c r="DP43" s="733"/>
      <c r="DQ43" s="733"/>
      <c r="DR43" s="733"/>
      <c r="DS43" s="733"/>
      <c r="DT43" s="733"/>
      <c r="DU43" s="733"/>
      <c r="DV43" s="733"/>
      <c r="DW43" s="733"/>
      <c r="DX43" s="733"/>
      <c r="DY43" s="733"/>
      <c r="DZ43" s="733"/>
      <c r="EA43" s="733"/>
      <c r="EB43" s="733"/>
      <c r="EC43" s="733"/>
      <c r="ED43" s="733"/>
      <c r="EE43" s="733"/>
      <c r="EF43" s="733"/>
      <c r="EG43" s="733"/>
      <c r="EH43" s="733"/>
      <c r="EI43" s="733"/>
      <c r="EJ43" s="733"/>
      <c r="EK43" s="733"/>
      <c r="EL43" s="733"/>
      <c r="EM43" s="733"/>
      <c r="EN43" s="733"/>
      <c r="EO43" s="733"/>
      <c r="EP43" s="733"/>
      <c r="EQ43" s="733"/>
      <c r="ER43" s="733"/>
      <c r="ES43" s="733"/>
      <c r="ET43" s="733"/>
      <c r="EU43" s="733"/>
      <c r="EV43" s="733"/>
      <c r="EW43" s="733"/>
      <c r="EX43" s="733"/>
      <c r="EY43" s="733"/>
      <c r="EZ43" s="733"/>
      <c r="FA43" s="733"/>
      <c r="FB43" s="733"/>
      <c r="FC43" s="733"/>
      <c r="FD43" s="733"/>
      <c r="FE43" s="733"/>
      <c r="FF43" s="733"/>
      <c r="FG43" s="733"/>
      <c r="FH43" s="733"/>
      <c r="FI43" s="733"/>
      <c r="FJ43" s="733"/>
      <c r="FK43" s="733"/>
      <c r="FL43" s="733"/>
      <c r="FM43" s="733"/>
      <c r="FN43" s="733"/>
      <c r="FO43" s="733"/>
      <c r="FP43" s="733"/>
      <c r="FQ43" s="733"/>
      <c r="FR43" s="733"/>
      <c r="FS43" s="733"/>
      <c r="FT43" s="733"/>
      <c r="FU43" s="733"/>
      <c r="FV43" s="733"/>
      <c r="FW43" s="733"/>
      <c r="FX43" s="733"/>
      <c r="FY43" s="733"/>
      <c r="FZ43" s="733"/>
      <c r="GA43" s="733"/>
      <c r="GB43" s="733"/>
      <c r="GC43" s="733"/>
      <c r="GD43" s="733"/>
      <c r="GE43" s="733"/>
      <c r="GF43" s="733"/>
      <c r="GG43" s="733"/>
      <c r="GH43" s="733"/>
      <c r="GI43" s="733"/>
      <c r="GJ43" s="733"/>
      <c r="GK43" s="733"/>
      <c r="GL43" s="733"/>
      <c r="GM43" s="733"/>
      <c r="GN43" s="733"/>
      <c r="GO43" s="733"/>
      <c r="GP43" s="733"/>
      <c r="GQ43" s="733"/>
      <c r="GR43" s="733"/>
      <c r="GS43" s="733"/>
      <c r="GT43" s="733"/>
      <c r="GU43" s="733"/>
      <c r="GV43" s="733"/>
      <c r="GW43" s="733"/>
      <c r="GX43" s="733"/>
      <c r="GY43" s="733"/>
      <c r="GZ43" s="733"/>
      <c r="HA43" s="733"/>
      <c r="HB43" s="733"/>
      <c r="HC43" s="733"/>
      <c r="HD43" s="733"/>
      <c r="HE43" s="733"/>
      <c r="HF43" s="733"/>
      <c r="HG43" s="733"/>
      <c r="HH43" s="733"/>
      <c r="HI43" s="733"/>
      <c r="HJ43" s="733"/>
      <c r="HK43" s="733"/>
      <c r="HL43" s="733"/>
      <c r="HM43" s="733"/>
      <c r="HN43" s="733"/>
      <c r="HO43" s="733"/>
      <c r="HP43" s="733"/>
      <c r="HQ43" s="733"/>
      <c r="HR43" s="733"/>
      <c r="HS43" s="733"/>
      <c r="HT43" s="733"/>
      <c r="HU43" s="733"/>
      <c r="HV43" s="733"/>
      <c r="HW43" s="733"/>
      <c r="HX43" s="733"/>
      <c r="HY43" s="733"/>
      <c r="HZ43" s="733"/>
      <c r="IA43" s="733"/>
      <c r="IB43" s="733"/>
      <c r="IC43" s="733"/>
      <c r="ID43" s="733"/>
      <c r="IE43" s="733"/>
      <c r="IF43" s="733"/>
      <c r="IG43" s="733"/>
      <c r="IH43" s="733"/>
      <c r="II43" s="733"/>
      <c r="IJ43" s="733"/>
      <c r="IK43" s="733"/>
      <c r="IL43" s="733"/>
      <c r="IM43" s="733"/>
      <c r="IN43" s="733"/>
      <c r="IO43" s="733"/>
      <c r="IP43" s="733"/>
      <c r="IQ43" s="733"/>
      <c r="IR43" s="733"/>
      <c r="IS43" s="733"/>
      <c r="IT43" s="733"/>
      <c r="IU43" s="733"/>
      <c r="IV43" s="733"/>
    </row>
    <row r="44" spans="1:256" s="725" customFormat="1">
      <c r="A44" s="1450" t="s">
        <v>3729</v>
      </c>
      <c r="B44" s="1451" t="s">
        <v>3730</v>
      </c>
      <c r="C44" s="1452" t="s">
        <v>116</v>
      </c>
      <c r="D44" s="1453">
        <v>2.5000000000000001E-2</v>
      </c>
      <c r="E44" s="1452"/>
      <c r="F44" s="1452">
        <v>0</v>
      </c>
      <c r="G44" s="1452">
        <v>435742</v>
      </c>
      <c r="H44" s="1452">
        <v>54177</v>
      </c>
      <c r="I44" s="675">
        <v>0.88700000000000001</v>
      </c>
      <c r="J44" s="1440">
        <v>0.98399999999999999</v>
      </c>
      <c r="K44" s="729"/>
      <c r="L44" s="729">
        <f>D44*F44</f>
        <v>0</v>
      </c>
      <c r="M44" s="729">
        <f>D44*G44*I44</f>
        <v>9662.5788500000017</v>
      </c>
      <c r="N44" s="737">
        <f>D44*H44*J44</f>
        <v>1332.7542000000001</v>
      </c>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c r="AY44" s="733"/>
      <c r="AZ44" s="733"/>
      <c r="BA44" s="733"/>
      <c r="BB44" s="733"/>
      <c r="BC44" s="733"/>
      <c r="BD44" s="733"/>
      <c r="BE44" s="733"/>
      <c r="BF44" s="733"/>
      <c r="BG44" s="733"/>
      <c r="BH44" s="733"/>
      <c r="BI44" s="733"/>
      <c r="BJ44" s="733"/>
      <c r="BK44" s="733"/>
      <c r="BL44" s="733"/>
      <c r="BM44" s="733"/>
      <c r="BN44" s="733"/>
      <c r="BO44" s="733"/>
      <c r="BP44" s="733"/>
      <c r="BQ44" s="733"/>
      <c r="BR44" s="733"/>
      <c r="BS44" s="733"/>
      <c r="BT44" s="733"/>
      <c r="BU44" s="733"/>
      <c r="BV44" s="733"/>
      <c r="BW44" s="733"/>
      <c r="BX44" s="733"/>
      <c r="BY44" s="733"/>
      <c r="BZ44" s="733"/>
      <c r="CA44" s="733"/>
      <c r="CB44" s="733"/>
      <c r="CC44" s="733"/>
      <c r="CD44" s="733"/>
      <c r="CE44" s="733"/>
      <c r="CF44" s="733"/>
      <c r="CG44" s="733"/>
      <c r="CH44" s="733"/>
      <c r="CI44" s="733"/>
      <c r="CJ44" s="733"/>
      <c r="CK44" s="733"/>
      <c r="CL44" s="733"/>
      <c r="CM44" s="733"/>
      <c r="CN44" s="733"/>
      <c r="CO44" s="733"/>
      <c r="CP44" s="733"/>
      <c r="CQ44" s="733"/>
      <c r="CR44" s="733"/>
      <c r="CS44" s="733"/>
      <c r="CT44" s="733"/>
      <c r="CU44" s="733"/>
      <c r="CV44" s="733"/>
      <c r="CW44" s="733"/>
      <c r="CX44" s="733"/>
      <c r="CY44" s="733"/>
      <c r="CZ44" s="733"/>
      <c r="DA44" s="733"/>
      <c r="DB44" s="733"/>
      <c r="DC44" s="733"/>
      <c r="DD44" s="733"/>
      <c r="DE44" s="733"/>
      <c r="DF44" s="733"/>
      <c r="DG44" s="733"/>
      <c r="DH44" s="733"/>
      <c r="DI44" s="733"/>
      <c r="DJ44" s="733"/>
      <c r="DK44" s="733"/>
      <c r="DL44" s="733"/>
      <c r="DM44" s="733"/>
      <c r="DN44" s="733"/>
      <c r="DO44" s="733"/>
      <c r="DP44" s="733"/>
      <c r="DQ44" s="733"/>
      <c r="DR44" s="733"/>
      <c r="DS44" s="733"/>
      <c r="DT44" s="733"/>
      <c r="DU44" s="733"/>
      <c r="DV44" s="733"/>
      <c r="DW44" s="733"/>
      <c r="DX44" s="733"/>
      <c r="DY44" s="733"/>
      <c r="DZ44" s="733"/>
      <c r="EA44" s="733"/>
      <c r="EB44" s="733"/>
      <c r="EC44" s="733"/>
      <c r="ED44" s="733"/>
      <c r="EE44" s="733"/>
      <c r="EF44" s="733"/>
      <c r="EG44" s="733"/>
      <c r="EH44" s="733"/>
      <c r="EI44" s="733"/>
      <c r="EJ44" s="733"/>
      <c r="EK44" s="733"/>
      <c r="EL44" s="733"/>
      <c r="EM44" s="733"/>
      <c r="EN44" s="733"/>
      <c r="EO44" s="733"/>
      <c r="EP44" s="733"/>
      <c r="EQ44" s="733"/>
      <c r="ER44" s="733"/>
      <c r="ES44" s="733"/>
      <c r="ET44" s="733"/>
      <c r="EU44" s="733"/>
      <c r="EV44" s="733"/>
      <c r="EW44" s="733"/>
      <c r="EX44" s="733"/>
      <c r="EY44" s="733"/>
      <c r="EZ44" s="733"/>
      <c r="FA44" s="733"/>
      <c r="FB44" s="733"/>
      <c r="FC44" s="733"/>
      <c r="FD44" s="733"/>
      <c r="FE44" s="733"/>
      <c r="FF44" s="733"/>
      <c r="FG44" s="733"/>
      <c r="FH44" s="733"/>
      <c r="FI44" s="733"/>
      <c r="FJ44" s="733"/>
      <c r="FK44" s="733"/>
      <c r="FL44" s="733"/>
      <c r="FM44" s="733"/>
      <c r="FN44" s="733"/>
      <c r="FO44" s="733"/>
      <c r="FP44" s="733"/>
      <c r="FQ44" s="733"/>
      <c r="FR44" s="733"/>
      <c r="FS44" s="733"/>
      <c r="FT44" s="733"/>
      <c r="FU44" s="733"/>
      <c r="FV44" s="733"/>
      <c r="FW44" s="733"/>
      <c r="FX44" s="733"/>
      <c r="FY44" s="733"/>
      <c r="FZ44" s="733"/>
      <c r="GA44" s="733"/>
      <c r="GB44" s="733"/>
      <c r="GC44" s="733"/>
      <c r="GD44" s="733"/>
      <c r="GE44" s="733"/>
      <c r="GF44" s="733"/>
      <c r="GG44" s="733"/>
      <c r="GH44" s="733"/>
      <c r="GI44" s="733"/>
      <c r="GJ44" s="733"/>
      <c r="GK44" s="733"/>
      <c r="GL44" s="733"/>
      <c r="GM44" s="733"/>
      <c r="GN44" s="733"/>
      <c r="GO44" s="733"/>
      <c r="GP44" s="733"/>
      <c r="GQ44" s="733"/>
      <c r="GR44" s="733"/>
      <c r="GS44" s="733"/>
      <c r="GT44" s="733"/>
      <c r="GU44" s="733"/>
      <c r="GV44" s="733"/>
      <c r="GW44" s="733"/>
      <c r="GX44" s="733"/>
      <c r="GY44" s="733"/>
      <c r="GZ44" s="733"/>
      <c r="HA44" s="733"/>
      <c r="HB44" s="733"/>
      <c r="HC44" s="733"/>
      <c r="HD44" s="733"/>
      <c r="HE44" s="733"/>
      <c r="HF44" s="733"/>
      <c r="HG44" s="733"/>
      <c r="HH44" s="733"/>
      <c r="HI44" s="733"/>
      <c r="HJ44" s="733"/>
      <c r="HK44" s="733"/>
      <c r="HL44" s="733"/>
      <c r="HM44" s="733"/>
      <c r="HN44" s="733"/>
      <c r="HO44" s="733"/>
      <c r="HP44" s="733"/>
      <c r="HQ44" s="733"/>
      <c r="HR44" s="733"/>
      <c r="HS44" s="733"/>
      <c r="HT44" s="733"/>
      <c r="HU44" s="733"/>
      <c r="HV44" s="733"/>
      <c r="HW44" s="733"/>
      <c r="HX44" s="733"/>
      <c r="HY44" s="733"/>
      <c r="HZ44" s="733"/>
      <c r="IA44" s="733"/>
      <c r="IB44" s="733"/>
      <c r="IC44" s="733"/>
      <c r="ID44" s="733"/>
      <c r="IE44" s="733"/>
      <c r="IF44" s="733"/>
      <c r="IG44" s="733"/>
      <c r="IH44" s="733"/>
      <c r="II44" s="733"/>
      <c r="IJ44" s="733"/>
      <c r="IK44" s="733"/>
      <c r="IL44" s="733"/>
      <c r="IM44" s="733"/>
      <c r="IN44" s="733"/>
      <c r="IO44" s="733"/>
      <c r="IP44" s="733"/>
      <c r="IQ44" s="733"/>
      <c r="IR44" s="733"/>
      <c r="IS44" s="733"/>
      <c r="IT44" s="733"/>
      <c r="IU44" s="733"/>
      <c r="IV44" s="733"/>
    </row>
    <row r="45" spans="1:256" s="727" customFormat="1" ht="12.75" customHeight="1">
      <c r="A45" s="595" t="s">
        <v>6</v>
      </c>
      <c r="B45" s="607" t="s">
        <v>3525</v>
      </c>
      <c r="C45" s="579"/>
      <c r="D45" s="579"/>
      <c r="E45" s="612"/>
      <c r="F45" s="612"/>
      <c r="G45" s="597"/>
      <c r="H45" s="597"/>
      <c r="I45" s="613"/>
      <c r="J45" s="613"/>
      <c r="K45" s="612"/>
      <c r="L45" s="612"/>
      <c r="M45" s="597"/>
      <c r="N45" s="597"/>
    </row>
    <row r="46" spans="1:256" s="727" customFormat="1" ht="12.75" customHeight="1">
      <c r="A46" s="579">
        <v>1</v>
      </c>
      <c r="B46" s="611" t="s">
        <v>3519</v>
      </c>
      <c r="C46" s="579" t="s">
        <v>139</v>
      </c>
      <c r="D46" s="579">
        <v>1</v>
      </c>
      <c r="E46" s="612"/>
      <c r="F46" s="612"/>
      <c r="G46" s="612"/>
      <c r="H46" s="612"/>
      <c r="I46" s="613"/>
      <c r="J46" s="613"/>
      <c r="K46" s="612">
        <f>SUM(K48:K54)</f>
        <v>959200</v>
      </c>
      <c r="L46" s="612">
        <f>SUM(L48:L54)</f>
        <v>10636.400000000001</v>
      </c>
      <c r="M46" s="612">
        <f>SUM(M48:M54)</f>
        <v>134218.592</v>
      </c>
      <c r="N46" s="612">
        <f>SUM(N48:N54)</f>
        <v>3246.51</v>
      </c>
    </row>
    <row r="47" spans="1:256" ht="12.75" customHeight="1">
      <c r="A47" s="578"/>
      <c r="B47" s="608" t="s">
        <v>108</v>
      </c>
      <c r="C47" s="578"/>
      <c r="D47" s="578"/>
      <c r="E47" s="609"/>
      <c r="F47" s="609"/>
      <c r="G47" s="609"/>
      <c r="H47" s="609"/>
      <c r="I47" s="610"/>
      <c r="J47" s="610"/>
      <c r="K47" s="609"/>
      <c r="L47" s="609"/>
      <c r="M47" s="609"/>
      <c r="N47" s="609"/>
    </row>
    <row r="48" spans="1:256" ht="12.75" customHeight="1">
      <c r="A48" s="601"/>
      <c r="B48" s="615" t="s">
        <v>124</v>
      </c>
      <c r="C48" s="609" t="s">
        <v>45</v>
      </c>
      <c r="D48" s="578">
        <v>1</v>
      </c>
      <c r="E48" s="603">
        <f>305000</f>
        <v>305000</v>
      </c>
      <c r="F48" s="609"/>
      <c r="G48" s="609"/>
      <c r="H48" s="609"/>
      <c r="I48" s="610"/>
      <c r="J48" s="610"/>
      <c r="K48" s="603">
        <f>D48*E48</f>
        <v>305000</v>
      </c>
      <c r="L48" s="603"/>
      <c r="M48" s="609"/>
      <c r="N48" s="609"/>
    </row>
    <row r="49" spans="1:14" ht="12.75" customHeight="1">
      <c r="A49" s="601"/>
      <c r="B49" s="630" t="s">
        <v>3520</v>
      </c>
      <c r="C49" s="609" t="s">
        <v>123</v>
      </c>
      <c r="D49" s="578">
        <v>2</v>
      </c>
      <c r="E49" s="603">
        <v>122600</v>
      </c>
      <c r="F49" s="609"/>
      <c r="G49" s="609"/>
      <c r="H49" s="609"/>
      <c r="I49" s="610"/>
      <c r="J49" s="610"/>
      <c r="K49" s="603">
        <f>D49*E49</f>
        <v>245200</v>
      </c>
      <c r="L49" s="603"/>
      <c r="M49" s="609"/>
      <c r="N49" s="609"/>
    </row>
    <row r="50" spans="1:14" ht="12.75" customHeight="1">
      <c r="A50" s="601"/>
      <c r="B50" s="615" t="s">
        <v>194</v>
      </c>
      <c r="C50" s="609" t="s">
        <v>195</v>
      </c>
      <c r="D50" s="578">
        <v>2</v>
      </c>
      <c r="E50" s="603">
        <v>200000</v>
      </c>
      <c r="F50" s="609"/>
      <c r="G50" s="609"/>
      <c r="H50" s="609"/>
      <c r="I50" s="610"/>
      <c r="J50" s="610"/>
      <c r="K50" s="603">
        <f>D50*E50</f>
        <v>400000</v>
      </c>
      <c r="L50" s="603"/>
      <c r="M50" s="609"/>
      <c r="N50" s="609"/>
    </row>
    <row r="51" spans="1:14" ht="12.75" customHeight="1">
      <c r="A51" s="601"/>
      <c r="B51" s="615" t="s">
        <v>125</v>
      </c>
      <c r="C51" s="609" t="s">
        <v>51</v>
      </c>
      <c r="D51" s="578">
        <v>1</v>
      </c>
      <c r="E51" s="603">
        <v>9000</v>
      </c>
      <c r="F51" s="609"/>
      <c r="G51" s="609"/>
      <c r="H51" s="609"/>
      <c r="I51" s="610"/>
      <c r="J51" s="610"/>
      <c r="K51" s="603">
        <f>D51*E51</f>
        <v>9000</v>
      </c>
      <c r="L51" s="603"/>
      <c r="M51" s="609"/>
      <c r="N51" s="609"/>
    </row>
    <row r="52" spans="1:14" ht="12.75" customHeight="1">
      <c r="A52" s="578"/>
      <c r="B52" s="608" t="s">
        <v>112</v>
      </c>
      <c r="C52" s="578"/>
      <c r="D52" s="578"/>
      <c r="E52" s="609"/>
      <c r="F52" s="609"/>
      <c r="G52" s="609"/>
      <c r="H52" s="609"/>
      <c r="I52" s="610"/>
      <c r="J52" s="610"/>
      <c r="K52" s="609"/>
      <c r="L52" s="609"/>
      <c r="M52" s="609"/>
      <c r="N52" s="609"/>
    </row>
    <row r="53" spans="1:14" ht="12.75" customHeight="1">
      <c r="A53" s="601" t="s">
        <v>2695</v>
      </c>
      <c r="B53" s="605" t="s">
        <v>3561</v>
      </c>
      <c r="C53" s="609" t="s">
        <v>130</v>
      </c>
      <c r="D53" s="578">
        <f>D49/10</f>
        <v>0.2</v>
      </c>
      <c r="E53" s="609"/>
      <c r="F53" s="1449">
        <f>Sheet5!J551</f>
        <v>53182</v>
      </c>
      <c r="G53" s="1449">
        <f>Sheet5!L551</f>
        <v>651848.39999999991</v>
      </c>
      <c r="H53" s="1449">
        <f>Sheet5!N551</f>
        <v>16232.550000000001</v>
      </c>
      <c r="I53" s="1459">
        <v>1</v>
      </c>
      <c r="J53" s="1459">
        <v>1</v>
      </c>
      <c r="K53" s="609"/>
      <c r="L53" s="609">
        <f>D53*F53</f>
        <v>10636.400000000001</v>
      </c>
      <c r="M53" s="603">
        <f t="shared" ref="M53:M54" si="10">D53*G53*I53</f>
        <v>130369.68</v>
      </c>
      <c r="N53" s="603">
        <f t="shared" ref="N53:N54" si="11">D53*H53*J53</f>
        <v>3246.51</v>
      </c>
    </row>
    <row r="54" spans="1:14" ht="12.75" customHeight="1">
      <c r="A54" s="601" t="s">
        <v>179</v>
      </c>
      <c r="B54" s="605" t="s">
        <v>3562</v>
      </c>
      <c r="C54" s="609" t="s">
        <v>1775</v>
      </c>
      <c r="D54" s="578">
        <f>D51/10</f>
        <v>0.1</v>
      </c>
      <c r="E54" s="609"/>
      <c r="F54" s="1449">
        <f>Sheet5!J8306</f>
        <v>0</v>
      </c>
      <c r="G54" s="1449">
        <f>Sheet5!L8306</f>
        <v>38489.120000000003</v>
      </c>
      <c r="H54" s="1449">
        <f>Sheet5!N8306</f>
        <v>0</v>
      </c>
      <c r="I54" s="1459">
        <v>1</v>
      </c>
      <c r="J54" s="1459">
        <v>1</v>
      </c>
      <c r="K54" s="609"/>
      <c r="L54" s="609">
        <f>D54*F54</f>
        <v>0</v>
      </c>
      <c r="M54" s="603">
        <f t="shared" si="10"/>
        <v>3848.9120000000003</v>
      </c>
      <c r="N54" s="603">
        <f t="shared" si="11"/>
        <v>0</v>
      </c>
    </row>
    <row r="55" spans="1:14" s="727" customFormat="1" ht="12.75" customHeight="1">
      <c r="A55" s="579">
        <v>2</v>
      </c>
      <c r="B55" s="617" t="s">
        <v>3526</v>
      </c>
      <c r="C55" s="579"/>
      <c r="D55" s="579"/>
      <c r="E55" s="612"/>
      <c r="F55" s="612"/>
      <c r="G55" s="612"/>
      <c r="H55" s="612"/>
      <c r="I55" s="613"/>
      <c r="J55" s="613"/>
      <c r="K55" s="612"/>
      <c r="L55" s="612"/>
      <c r="M55" s="612"/>
      <c r="N55" s="612"/>
    </row>
    <row r="56" spans="1:14" s="727" customFormat="1" ht="12.75" customHeight="1">
      <c r="A56" s="579"/>
      <c r="B56" s="611" t="s">
        <v>3521</v>
      </c>
      <c r="C56" s="579" t="s">
        <v>95</v>
      </c>
      <c r="D56" s="579">
        <v>1</v>
      </c>
      <c r="E56" s="612"/>
      <c r="F56" s="612"/>
      <c r="G56" s="612"/>
      <c r="H56" s="612"/>
      <c r="I56" s="613"/>
      <c r="J56" s="613"/>
      <c r="K56" s="612">
        <f>SUM(K57:K59)</f>
        <v>2295000</v>
      </c>
      <c r="L56" s="612">
        <f>SUM(L57:L59)</f>
        <v>70400</v>
      </c>
      <c r="M56" s="612">
        <f>SUM(M57:M59)</f>
        <v>548469.96</v>
      </c>
      <c r="N56" s="612">
        <f>SUM(N57:N59)</f>
        <v>0</v>
      </c>
    </row>
    <row r="57" spans="1:14" ht="12.75" customHeight="1">
      <c r="A57" s="616"/>
      <c r="B57" s="615" t="s">
        <v>3731</v>
      </c>
      <c r="C57" s="609" t="s">
        <v>139</v>
      </c>
      <c r="D57" s="580">
        <f>'PPT - HT'!L10</f>
        <v>2</v>
      </c>
      <c r="E57" s="603">
        <v>1147500</v>
      </c>
      <c r="F57" s="609"/>
      <c r="G57" s="609"/>
      <c r="H57" s="609"/>
      <c r="I57" s="610"/>
      <c r="J57" s="610"/>
      <c r="K57" s="603">
        <f t="shared" ref="K57:K59" si="12">D57*E57</f>
        <v>2295000</v>
      </c>
      <c r="L57" s="603"/>
      <c r="M57" s="609"/>
      <c r="N57" s="609"/>
    </row>
    <row r="58" spans="1:14" ht="12.75" customHeight="1">
      <c r="A58" s="578"/>
      <c r="B58" s="608" t="s">
        <v>112</v>
      </c>
      <c r="C58" s="609"/>
      <c r="D58" s="578"/>
      <c r="E58" s="609"/>
      <c r="F58" s="609"/>
      <c r="G58" s="609"/>
      <c r="H58" s="609"/>
      <c r="I58" s="610"/>
      <c r="J58" s="610"/>
      <c r="K58" s="603">
        <f t="shared" si="12"/>
        <v>0</v>
      </c>
      <c r="L58" s="603"/>
      <c r="M58" s="609"/>
      <c r="N58" s="609"/>
    </row>
    <row r="59" spans="1:14" ht="12.75" customHeight="1">
      <c r="A59" s="601" t="s">
        <v>3522</v>
      </c>
      <c r="B59" s="605" t="s">
        <v>3563</v>
      </c>
      <c r="C59" s="609" t="s">
        <v>1663</v>
      </c>
      <c r="D59" s="578">
        <f>D57</f>
        <v>2</v>
      </c>
      <c r="E59" s="609"/>
      <c r="F59" s="1449">
        <f>Sheet5!J5744</f>
        <v>35200</v>
      </c>
      <c r="G59" s="1449">
        <f>Sheet5!L5744</f>
        <v>274234.98</v>
      </c>
      <c r="H59" s="1449">
        <f>Sheet5!N5744</f>
        <v>0</v>
      </c>
      <c r="I59" s="1459">
        <v>1</v>
      </c>
      <c r="J59" s="1459">
        <v>1</v>
      </c>
      <c r="K59" s="603">
        <f t="shared" si="12"/>
        <v>0</v>
      </c>
      <c r="L59" s="609">
        <f t="shared" ref="L59" si="13">D59*F59</f>
        <v>70400</v>
      </c>
      <c r="M59" s="603">
        <f t="shared" ref="M59" si="14">D59*G59*I59</f>
        <v>548469.96</v>
      </c>
      <c r="N59" s="603">
        <f t="shared" ref="N59" si="15">D59*H59*J59</f>
        <v>0</v>
      </c>
    </row>
    <row r="60" spans="1:14" s="727" customFormat="1" ht="12.75" customHeight="1">
      <c r="A60" s="579">
        <v>3</v>
      </c>
      <c r="B60" s="617" t="s">
        <v>3527</v>
      </c>
      <c r="C60" s="579"/>
      <c r="D60" s="579"/>
      <c r="E60" s="612"/>
      <c r="F60" s="612"/>
      <c r="G60" s="612"/>
      <c r="H60" s="612"/>
      <c r="I60" s="613"/>
      <c r="J60" s="613"/>
      <c r="K60" s="612"/>
      <c r="L60" s="612"/>
      <c r="M60" s="612"/>
      <c r="N60" s="612"/>
    </row>
    <row r="61" spans="1:14" s="727" customFormat="1" ht="12.75" customHeight="1">
      <c r="A61" s="579"/>
      <c r="B61" s="611" t="s">
        <v>3523</v>
      </c>
      <c r="C61" s="579" t="s">
        <v>95</v>
      </c>
      <c r="D61" s="579">
        <v>1</v>
      </c>
      <c r="E61" s="612"/>
      <c r="F61" s="612"/>
      <c r="G61" s="612"/>
      <c r="H61" s="612"/>
      <c r="I61" s="613"/>
      <c r="J61" s="613"/>
      <c r="K61" s="612">
        <f>SUM(K63:K67)</f>
        <v>6533168</v>
      </c>
      <c r="L61" s="612">
        <f>SUM(L63:L67)</f>
        <v>134481.1</v>
      </c>
      <c r="M61" s="612">
        <f>SUM(M63:M67)</f>
        <v>692804.15999999992</v>
      </c>
      <c r="N61" s="612">
        <f>SUM(N63:N67)</f>
        <v>278618</v>
      </c>
    </row>
    <row r="62" spans="1:14" ht="12.75" customHeight="1">
      <c r="A62" s="578"/>
      <c r="B62" s="608" t="s">
        <v>108</v>
      </c>
      <c r="C62" s="578"/>
      <c r="D62" s="578"/>
      <c r="E62" s="609"/>
      <c r="F62" s="609"/>
      <c r="G62" s="609"/>
      <c r="H62" s="609"/>
      <c r="I62" s="610"/>
      <c r="J62" s="610"/>
      <c r="K62" s="609"/>
      <c r="L62" s="609"/>
      <c r="M62" s="609"/>
      <c r="N62" s="609"/>
    </row>
    <row r="63" spans="1:14" ht="12.75" customHeight="1">
      <c r="A63" s="601"/>
      <c r="B63" s="615" t="s">
        <v>3530</v>
      </c>
      <c r="C63" s="609" t="s">
        <v>3524</v>
      </c>
      <c r="D63" s="580">
        <v>1</v>
      </c>
      <c r="E63" s="603">
        <v>4780000</v>
      </c>
      <c r="F63" s="609"/>
      <c r="G63" s="609"/>
      <c r="H63" s="609"/>
      <c r="I63" s="610"/>
      <c r="J63" s="610"/>
      <c r="K63" s="603">
        <f t="shared" ref="K63:K65" si="16">D63*E63</f>
        <v>4780000</v>
      </c>
      <c r="L63" s="603"/>
      <c r="M63" s="609"/>
      <c r="N63" s="609"/>
    </row>
    <row r="64" spans="1:14" ht="12.75" customHeight="1">
      <c r="A64" s="601"/>
      <c r="B64" s="615" t="s">
        <v>3615</v>
      </c>
      <c r="C64" s="609" t="s">
        <v>3298</v>
      </c>
      <c r="D64" s="578">
        <v>6.7</v>
      </c>
      <c r="E64" s="603">
        <v>187040</v>
      </c>
      <c r="F64" s="609"/>
      <c r="G64" s="609"/>
      <c r="H64" s="609"/>
      <c r="I64" s="610"/>
      <c r="J64" s="610"/>
      <c r="K64" s="603">
        <f t="shared" si="16"/>
        <v>1253168</v>
      </c>
      <c r="L64" s="603"/>
      <c r="M64" s="609"/>
      <c r="N64" s="609"/>
    </row>
    <row r="65" spans="1:16" ht="12.75" customHeight="1">
      <c r="A65" s="601"/>
      <c r="B65" s="615" t="s">
        <v>3725</v>
      </c>
      <c r="C65" s="609" t="s">
        <v>51</v>
      </c>
      <c r="D65" s="580">
        <f>D63</f>
        <v>1</v>
      </c>
      <c r="E65" s="603">
        <v>500000</v>
      </c>
      <c r="F65" s="609"/>
      <c r="G65" s="609"/>
      <c r="H65" s="609"/>
      <c r="I65" s="610"/>
      <c r="J65" s="610"/>
      <c r="K65" s="603">
        <f t="shared" si="16"/>
        <v>500000</v>
      </c>
      <c r="L65" s="603"/>
      <c r="M65" s="609"/>
      <c r="N65" s="609"/>
    </row>
    <row r="66" spans="1:16" ht="12.75" customHeight="1">
      <c r="A66" s="578"/>
      <c r="B66" s="608" t="s">
        <v>112</v>
      </c>
      <c r="C66" s="578"/>
      <c r="D66" s="578"/>
      <c r="E66" s="609"/>
      <c r="F66" s="609"/>
      <c r="G66" s="609"/>
      <c r="H66" s="609"/>
      <c r="I66" s="610"/>
      <c r="J66" s="610"/>
      <c r="K66" s="609"/>
      <c r="L66" s="609"/>
      <c r="M66" s="609"/>
      <c r="N66" s="609"/>
    </row>
    <row r="67" spans="1:16" ht="12.75" customHeight="1">
      <c r="A67" s="601" t="s">
        <v>169</v>
      </c>
      <c r="B67" s="615" t="s">
        <v>170</v>
      </c>
      <c r="C67" s="609" t="s">
        <v>168</v>
      </c>
      <c r="D67" s="580">
        <f>D63</f>
        <v>1</v>
      </c>
      <c r="E67" s="609"/>
      <c r="F67" s="1449">
        <f>Sheet5!J12587</f>
        <v>134481.1</v>
      </c>
      <c r="G67" s="1449">
        <f>Sheet5!L12587</f>
        <v>692804.15999999992</v>
      </c>
      <c r="H67" s="1449">
        <f>Sheet5!N12587</f>
        <v>278618</v>
      </c>
      <c r="I67" s="1459">
        <v>1</v>
      </c>
      <c r="J67" s="1459">
        <v>1</v>
      </c>
      <c r="K67" s="609"/>
      <c r="L67" s="609">
        <f>D67*F67</f>
        <v>134481.1</v>
      </c>
      <c r="M67" s="603">
        <f t="shared" ref="M67" si="17">D67*G67*I67</f>
        <v>692804.15999999992</v>
      </c>
      <c r="N67" s="603">
        <f t="shared" ref="N67" si="18">D67*H67*J67</f>
        <v>278618</v>
      </c>
    </row>
    <row r="68" spans="1:16" s="727" customFormat="1" ht="12.75" customHeight="1">
      <c r="A68" s="579">
        <v>4</v>
      </c>
      <c r="B68" s="617" t="s">
        <v>3542</v>
      </c>
      <c r="C68" s="579" t="s">
        <v>95</v>
      </c>
      <c r="D68" s="579">
        <v>1</v>
      </c>
      <c r="E68" s="612"/>
      <c r="F68" s="612"/>
      <c r="G68" s="612"/>
      <c r="H68" s="612"/>
      <c r="I68" s="613"/>
      <c r="J68" s="613"/>
      <c r="K68" s="612">
        <f>SUM(K70:K74)</f>
        <v>174731563.20000002</v>
      </c>
      <c r="L68" s="612">
        <f>SUM(L70:L74)</f>
        <v>36402.460400000004</v>
      </c>
      <c r="M68" s="612">
        <f>SUM(M70:M74)</f>
        <v>2047189.4020000002</v>
      </c>
      <c r="N68" s="612">
        <f>SUM(N70:N74)</f>
        <v>0</v>
      </c>
    </row>
    <row r="69" spans="1:16" ht="12.75" customHeight="1">
      <c r="A69" s="578"/>
      <c r="B69" s="608" t="s">
        <v>108</v>
      </c>
      <c r="C69" s="578"/>
      <c r="D69" s="578"/>
      <c r="E69" s="609"/>
      <c r="F69" s="609"/>
      <c r="G69" s="609"/>
      <c r="H69" s="609"/>
      <c r="I69" s="610"/>
      <c r="J69" s="610"/>
      <c r="K69" s="609"/>
      <c r="L69" s="609"/>
      <c r="M69" s="609"/>
      <c r="N69" s="609"/>
    </row>
    <row r="70" spans="1:16" ht="12.75" customHeight="1">
      <c r="A70" s="601"/>
      <c r="B70" s="615" t="s">
        <v>3733</v>
      </c>
      <c r="C70" s="609" t="s">
        <v>59</v>
      </c>
      <c r="D70" s="592">
        <f>'PPT - HT'!K10</f>
        <v>68.680000000000007</v>
      </c>
      <c r="E70" s="1449">
        <v>2543740</v>
      </c>
      <c r="F70" s="609"/>
      <c r="G70" s="609"/>
      <c r="H70" s="609"/>
      <c r="I70" s="610"/>
      <c r="J70" s="610"/>
      <c r="K70" s="603">
        <f>D70*E70</f>
        <v>174704063.20000002</v>
      </c>
      <c r="L70" s="603"/>
      <c r="M70" s="609"/>
      <c r="N70" s="609"/>
    </row>
    <row r="71" spans="1:16" ht="12.75" customHeight="1">
      <c r="A71" s="601"/>
      <c r="B71" s="602" t="s">
        <v>3726</v>
      </c>
      <c r="C71" s="601" t="s">
        <v>51</v>
      </c>
      <c r="D71" s="592">
        <v>5</v>
      </c>
      <c r="E71" s="603">
        <v>5500</v>
      </c>
      <c r="F71" s="603"/>
      <c r="G71" s="603"/>
      <c r="H71" s="603"/>
      <c r="I71" s="604"/>
      <c r="J71" s="604"/>
      <c r="K71" s="603">
        <f t="shared" ref="K71" si="19">D71*E71</f>
        <v>27500</v>
      </c>
      <c r="L71" s="603"/>
      <c r="M71" s="603"/>
      <c r="N71" s="603"/>
    </row>
    <row r="72" spans="1:16" ht="12.75" customHeight="1">
      <c r="A72" s="578"/>
      <c r="B72" s="608" t="s">
        <v>112</v>
      </c>
      <c r="C72" s="578"/>
      <c r="D72" s="578"/>
      <c r="E72" s="609"/>
      <c r="F72" s="609"/>
      <c r="G72" s="609"/>
      <c r="H72" s="609"/>
      <c r="I72" s="610"/>
      <c r="J72" s="610"/>
      <c r="K72" s="609"/>
      <c r="L72" s="609"/>
      <c r="M72" s="609"/>
      <c r="N72" s="609"/>
    </row>
    <row r="73" spans="1:16" ht="12.75" customHeight="1">
      <c r="A73" s="616" t="s">
        <v>3529</v>
      </c>
      <c r="B73" s="605" t="s">
        <v>3528</v>
      </c>
      <c r="C73" s="606" t="s">
        <v>43</v>
      </c>
      <c r="D73" s="618">
        <f>D70/100</f>
        <v>0.68680000000000008</v>
      </c>
      <c r="E73" s="603"/>
      <c r="F73" s="1449">
        <f>Sheet5!J5667</f>
        <v>53003</v>
      </c>
      <c r="G73" s="1449">
        <f>Sheet5!L5667</f>
        <v>2980765</v>
      </c>
      <c r="H73" s="1449">
        <v>0</v>
      </c>
      <c r="I73" s="1459">
        <v>1</v>
      </c>
      <c r="J73" s="1459">
        <v>1</v>
      </c>
      <c r="K73" s="603"/>
      <c r="L73" s="609">
        <f>F73*D73</f>
        <v>36402.460400000004</v>
      </c>
      <c r="M73" s="603">
        <f t="shared" ref="M73" si="20">D73*G73*I73</f>
        <v>2047189.4020000002</v>
      </c>
      <c r="N73" s="603">
        <f>D73*H73*J73</f>
        <v>0</v>
      </c>
    </row>
    <row r="74" spans="1:16">
      <c r="A74" s="619"/>
      <c r="B74" s="605"/>
      <c r="C74" s="578"/>
      <c r="D74" s="620"/>
      <c r="E74" s="609"/>
      <c r="F74" s="603"/>
      <c r="G74" s="603"/>
      <c r="H74" s="603"/>
      <c r="I74" s="681"/>
      <c r="J74" s="681"/>
      <c r="K74" s="609"/>
      <c r="L74" s="609"/>
      <c r="M74" s="603"/>
      <c r="N74" s="603"/>
    </row>
    <row r="75" spans="1:16">
      <c r="P75" s="747"/>
    </row>
    <row r="76" spans="1:16">
      <c r="P76" s="747"/>
    </row>
  </sheetData>
  <mergeCells count="9">
    <mergeCell ref="A2:N2"/>
    <mergeCell ref="A3:N3"/>
    <mergeCell ref="A5:A6"/>
    <mergeCell ref="B5:B6"/>
    <mergeCell ref="C5:C6"/>
    <mergeCell ref="D5:D6"/>
    <mergeCell ref="E5:H5"/>
    <mergeCell ref="I5:J5"/>
    <mergeCell ref="K5:N5"/>
  </mergeCells>
  <conditionalFormatting sqref="A11:N16">
    <cfRule type="expression" dxfId="585" priority="80">
      <formula>$R11=5</formula>
    </cfRule>
    <cfRule type="expression" dxfId="584" priority="81">
      <formula>$R11=4</formula>
    </cfRule>
    <cfRule type="expression" dxfId="583" priority="82">
      <formula>$R11=3</formula>
    </cfRule>
    <cfRule type="expression" dxfId="582" priority="83">
      <formula>$R11=2</formula>
    </cfRule>
    <cfRule type="expression" dxfId="581" priority="84">
      <formula>$R11=1</formula>
    </cfRule>
  </conditionalFormatting>
  <conditionalFormatting sqref="F11:N15 E12:E15 A11:D15">
    <cfRule type="expression" dxfId="580" priority="78">
      <formula>$C11="NC"</formula>
    </cfRule>
    <cfRule type="expression" dxfId="579" priority="79">
      <formula>$C11="VL"</formula>
    </cfRule>
  </conditionalFormatting>
  <conditionalFormatting sqref="A10:F10">
    <cfRule type="expression" dxfId="578" priority="73">
      <formula>$R10=5</formula>
    </cfRule>
    <cfRule type="expression" dxfId="577" priority="74">
      <formula>$R10=4</formula>
    </cfRule>
    <cfRule type="expression" dxfId="576" priority="75">
      <formula>$R10=3</formula>
    </cfRule>
    <cfRule type="expression" dxfId="575" priority="76">
      <formula>$R10=2</formula>
    </cfRule>
    <cfRule type="expression" dxfId="574" priority="77">
      <formula>$R10=1</formula>
    </cfRule>
  </conditionalFormatting>
  <conditionalFormatting sqref="A10:F10 A16:N16">
    <cfRule type="expression" dxfId="573" priority="71">
      <formula>$C10="NC"</formula>
    </cfRule>
    <cfRule type="expression" dxfId="572" priority="72">
      <formula>$C10="VL"</formula>
    </cfRule>
  </conditionalFormatting>
  <conditionalFormatting sqref="K10:N10">
    <cfRule type="expression" dxfId="571" priority="66">
      <formula>$R10=5</formula>
    </cfRule>
    <cfRule type="expression" dxfId="570" priority="67">
      <formula>$R10=4</formula>
    </cfRule>
    <cfRule type="expression" dxfId="569" priority="68">
      <formula>$R10=3</formula>
    </cfRule>
    <cfRule type="expression" dxfId="568" priority="69">
      <formula>$R10=2</formula>
    </cfRule>
    <cfRule type="expression" dxfId="567" priority="70">
      <formula>$R10=1</formula>
    </cfRule>
  </conditionalFormatting>
  <conditionalFormatting sqref="K10:N10 E11">
    <cfRule type="expression" dxfId="566" priority="64">
      <formula>$C10="NC"</formula>
    </cfRule>
    <cfRule type="expression" dxfId="565" priority="65">
      <formula>$C10="VL"</formula>
    </cfRule>
  </conditionalFormatting>
  <conditionalFormatting sqref="G10:J10">
    <cfRule type="expression" dxfId="564" priority="59">
      <formula>$R10=5</formula>
    </cfRule>
    <cfRule type="expression" dxfId="563" priority="60">
      <formula>$R10=4</formula>
    </cfRule>
    <cfRule type="expression" dxfId="562" priority="61">
      <formula>$R10=3</formula>
    </cfRule>
    <cfRule type="expression" dxfId="561" priority="62">
      <formula>$R10=2</formula>
    </cfRule>
    <cfRule type="expression" dxfId="560" priority="63">
      <formula>$R10=1</formula>
    </cfRule>
  </conditionalFormatting>
  <conditionalFormatting sqref="G10:J10">
    <cfRule type="expression" dxfId="559" priority="57">
      <formula>$C10="NC"</formula>
    </cfRule>
    <cfRule type="expression" dxfId="558" priority="58">
      <formula>$C10="VL"</formula>
    </cfRule>
  </conditionalFormatting>
  <conditionalFormatting sqref="I17:J17">
    <cfRule type="expression" dxfId="557" priority="50">
      <formula>#REF!="NC"</formula>
    </cfRule>
    <cfRule type="expression" dxfId="556" priority="51">
      <formula>#REF!="VL"</formula>
    </cfRule>
  </conditionalFormatting>
  <conditionalFormatting sqref="I17:J17">
    <cfRule type="expression" dxfId="555" priority="52">
      <formula>#REF!=5</formula>
    </cfRule>
    <cfRule type="expression" dxfId="554" priority="53">
      <formula>#REF!=4</formula>
    </cfRule>
    <cfRule type="expression" dxfId="553" priority="54">
      <formula>#REF!=3</formula>
    </cfRule>
    <cfRule type="expression" dxfId="552" priority="55">
      <formula>#REF!=2</formula>
    </cfRule>
    <cfRule type="expression" dxfId="551" priority="56">
      <formula>#REF!=1</formula>
    </cfRule>
  </conditionalFormatting>
  <conditionalFormatting sqref="I21:J22">
    <cfRule type="expression" dxfId="550" priority="43">
      <formula>#REF!="NC"</formula>
    </cfRule>
    <cfRule type="expression" dxfId="549" priority="44">
      <formula>#REF!="VL"</formula>
    </cfRule>
  </conditionalFormatting>
  <conditionalFormatting sqref="I21:J22">
    <cfRule type="expression" dxfId="548" priority="45">
      <formula>#REF!=5</formula>
    </cfRule>
    <cfRule type="expression" dxfId="547" priority="46">
      <formula>#REF!=4</formula>
    </cfRule>
    <cfRule type="expression" dxfId="546" priority="47">
      <formula>#REF!=3</formula>
    </cfRule>
    <cfRule type="expression" dxfId="545" priority="48">
      <formula>#REF!=2</formula>
    </cfRule>
    <cfRule type="expression" dxfId="544" priority="49">
      <formula>#REF!=1</formula>
    </cfRule>
  </conditionalFormatting>
  <conditionalFormatting sqref="I53:J54">
    <cfRule type="expression" dxfId="543" priority="36">
      <formula>#REF!="NC"</formula>
    </cfRule>
    <cfRule type="expression" dxfId="542" priority="37">
      <formula>#REF!="VL"</formula>
    </cfRule>
  </conditionalFormatting>
  <conditionalFormatting sqref="I53:J54">
    <cfRule type="expression" dxfId="541" priority="38">
      <formula>#REF!=5</formula>
    </cfRule>
    <cfRule type="expression" dxfId="540" priority="39">
      <formula>#REF!=4</formula>
    </cfRule>
    <cfRule type="expression" dxfId="539" priority="40">
      <formula>#REF!=3</formula>
    </cfRule>
    <cfRule type="expression" dxfId="538" priority="41">
      <formula>#REF!=2</formula>
    </cfRule>
    <cfRule type="expression" dxfId="537" priority="42">
      <formula>#REF!=1</formula>
    </cfRule>
  </conditionalFormatting>
  <conditionalFormatting sqref="I59:J59">
    <cfRule type="expression" dxfId="536" priority="29">
      <formula>#REF!="NC"</formula>
    </cfRule>
    <cfRule type="expression" dxfId="535" priority="30">
      <formula>#REF!="VL"</formula>
    </cfRule>
  </conditionalFormatting>
  <conditionalFormatting sqref="I59:J59">
    <cfRule type="expression" dxfId="534" priority="31">
      <formula>#REF!=5</formula>
    </cfRule>
    <cfRule type="expression" dxfId="533" priority="32">
      <formula>#REF!=4</formula>
    </cfRule>
    <cfRule type="expression" dxfId="532" priority="33">
      <formula>#REF!=3</formula>
    </cfRule>
    <cfRule type="expression" dxfId="531" priority="34">
      <formula>#REF!=2</formula>
    </cfRule>
    <cfRule type="expression" dxfId="530" priority="35">
      <formula>#REF!=1</formula>
    </cfRule>
  </conditionalFormatting>
  <conditionalFormatting sqref="I67:J67">
    <cfRule type="expression" dxfId="529" priority="22">
      <formula>#REF!="NC"</formula>
    </cfRule>
    <cfRule type="expression" dxfId="528" priority="23">
      <formula>#REF!="VL"</formula>
    </cfRule>
  </conditionalFormatting>
  <conditionalFormatting sqref="I67:J67">
    <cfRule type="expression" dxfId="527" priority="24">
      <formula>#REF!=5</formula>
    </cfRule>
    <cfRule type="expression" dxfId="526" priority="25">
      <formula>#REF!=4</formula>
    </cfRule>
    <cfRule type="expression" dxfId="525" priority="26">
      <formula>#REF!=3</formula>
    </cfRule>
    <cfRule type="expression" dxfId="524" priority="27">
      <formula>#REF!=2</formula>
    </cfRule>
    <cfRule type="expression" dxfId="523" priority="28">
      <formula>#REF!=1</formula>
    </cfRule>
  </conditionalFormatting>
  <conditionalFormatting sqref="I74:J74 J73">
    <cfRule type="expression" dxfId="522" priority="15">
      <formula>#REF!="NC"</formula>
    </cfRule>
    <cfRule type="expression" dxfId="521" priority="16">
      <formula>#REF!="VL"</formula>
    </cfRule>
  </conditionalFormatting>
  <conditionalFormatting sqref="I74:J74 J73">
    <cfRule type="expression" dxfId="520" priority="17">
      <formula>#REF!=5</formula>
    </cfRule>
    <cfRule type="expression" dxfId="519" priority="18">
      <formula>#REF!=4</formula>
    </cfRule>
    <cfRule type="expression" dxfId="518" priority="19">
      <formula>#REF!=3</formula>
    </cfRule>
    <cfRule type="expression" dxfId="517" priority="20">
      <formula>#REF!=2</formula>
    </cfRule>
    <cfRule type="expression" dxfId="516" priority="21">
      <formula>#REF!=1</formula>
    </cfRule>
  </conditionalFormatting>
  <conditionalFormatting sqref="I73">
    <cfRule type="expression" dxfId="515" priority="1">
      <formula>#REF!="NC"</formula>
    </cfRule>
    <cfRule type="expression" dxfId="514" priority="2">
      <formula>#REF!="VL"</formula>
    </cfRule>
  </conditionalFormatting>
  <conditionalFormatting sqref="I73">
    <cfRule type="expression" dxfId="513" priority="3">
      <formula>#REF!=5</formula>
    </cfRule>
    <cfRule type="expression" dxfId="512" priority="4">
      <formula>#REF!=4</formula>
    </cfRule>
    <cfRule type="expression" dxfId="511" priority="5">
      <formula>#REF!=3</formula>
    </cfRule>
    <cfRule type="expression" dxfId="510" priority="6">
      <formula>#REF!=2</formula>
    </cfRule>
    <cfRule type="expression" dxfId="509" priority="7">
      <formula>#REF!=1</formula>
    </cfRule>
  </conditionalFormatting>
  <printOptions horizontalCentered="1"/>
  <pageMargins left="0.27559055118110198" right="0.196850393700787" top="0.75" bottom="0.48622047200000001" header="0.23622047244094499" footer="0.15748031496063"/>
  <pageSetup paperSize="9" scale="75" orientation="landscape"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58"/>
  <sheetViews>
    <sheetView showZeros="0" workbookViewId="0">
      <pane ySplit="2" topLeftCell="A3" activePane="bottomLeft" state="frozen"/>
      <selection pane="bottomLeft" activeCell="I4" sqref="I4"/>
    </sheetView>
  </sheetViews>
  <sheetFormatPr defaultColWidth="0" defaultRowHeight="0" customHeight="1" zeroHeight="1"/>
  <cols>
    <col min="1" max="1" width="11.85546875" style="196" bestFit="1" customWidth="1"/>
    <col min="2" max="2" width="56" style="40" customWidth="1"/>
    <col min="3" max="3" width="8.7109375" style="40" customWidth="1"/>
    <col min="4" max="4" width="12" style="40" customWidth="1"/>
    <col min="5" max="5" width="8.140625" style="40" customWidth="1"/>
    <col min="6" max="6" width="8.5703125" style="40" customWidth="1"/>
    <col min="7" max="7" width="10.28515625" style="40" customWidth="1"/>
    <col min="8" max="8" width="11.85546875" style="40" bestFit="1" customWidth="1"/>
    <col min="9" max="9" width="11.42578125" style="40" bestFit="1" customWidth="1"/>
    <col min="10" max="11" width="11.42578125" style="40" customWidth="1"/>
    <col min="12" max="12" width="11.42578125" style="114" customWidth="1"/>
    <col min="13" max="13" width="14.85546875" style="40" bestFit="1" customWidth="1"/>
    <col min="14" max="14" width="11.42578125" style="40" customWidth="1"/>
    <col min="15" max="15" width="14.85546875" style="40" bestFit="1" customWidth="1"/>
    <col min="16" max="16" width="11.42578125" style="40" customWidth="1"/>
    <col min="17" max="17" width="14.85546875" style="40" bestFit="1" customWidth="1"/>
    <col min="18" max="18" width="15.5703125" style="40" customWidth="1"/>
    <col min="19" max="19" width="11.28515625" style="40" bestFit="1" customWidth="1"/>
    <col min="20" max="16384" width="0" style="40" hidden="1"/>
  </cols>
  <sheetData>
    <row r="1" spans="1:19" ht="16.5" customHeight="1">
      <c r="A1" s="183" t="s">
        <v>99</v>
      </c>
      <c r="B1" s="31" t="s">
        <v>275</v>
      </c>
      <c r="C1" s="32"/>
      <c r="D1" s="33" t="s">
        <v>97</v>
      </c>
      <c r="E1" s="34" t="s">
        <v>276</v>
      </c>
      <c r="F1" s="34"/>
      <c r="G1" s="34"/>
      <c r="H1" s="187"/>
      <c r="I1" s="37" t="s">
        <v>93</v>
      </c>
      <c r="J1" s="37"/>
      <c r="K1" s="37"/>
      <c r="L1" s="38"/>
      <c r="M1" s="37"/>
      <c r="N1" s="37"/>
      <c r="O1" s="37"/>
      <c r="P1" s="37"/>
      <c r="Q1" s="39"/>
      <c r="R1" s="39"/>
    </row>
    <row r="2" spans="1:19" ht="16.5" customHeight="1">
      <c r="A2" s="184">
        <v>6060</v>
      </c>
      <c r="B2" s="42"/>
      <c r="C2" s="43" t="s">
        <v>278</v>
      </c>
      <c r="D2" s="44" t="s">
        <v>279</v>
      </c>
      <c r="E2" s="45" t="s">
        <v>280</v>
      </c>
      <c r="F2" s="45" t="s">
        <v>281</v>
      </c>
      <c r="G2" s="45" t="s">
        <v>282</v>
      </c>
      <c r="H2" s="45" t="s">
        <v>97</v>
      </c>
      <c r="I2" s="47" t="s">
        <v>1916</v>
      </c>
      <c r="J2" s="47" t="s">
        <v>97</v>
      </c>
      <c r="K2" s="47" t="s">
        <v>285</v>
      </c>
      <c r="L2" s="48" t="s">
        <v>286</v>
      </c>
      <c r="M2" s="47" t="s">
        <v>287</v>
      </c>
      <c r="N2" s="48" t="s">
        <v>288</v>
      </c>
      <c r="O2" s="47" t="s">
        <v>289</v>
      </c>
      <c r="P2" s="48" t="s">
        <v>290</v>
      </c>
      <c r="Q2" s="47" t="s">
        <v>291</v>
      </c>
      <c r="R2" s="47" t="s">
        <v>292</v>
      </c>
    </row>
    <row r="3" spans="1:19" ht="16.5" customHeight="1">
      <c r="A3" s="188">
        <v>1</v>
      </c>
      <c r="B3" s="50">
        <v>2</v>
      </c>
      <c r="C3" s="49">
        <v>3</v>
      </c>
      <c r="D3" s="50">
        <v>4</v>
      </c>
      <c r="E3" s="52">
        <v>5</v>
      </c>
      <c r="F3" s="53">
        <v>6</v>
      </c>
      <c r="G3" s="52">
        <v>7</v>
      </c>
      <c r="H3" s="53">
        <v>8</v>
      </c>
      <c r="I3" s="189">
        <v>9</v>
      </c>
      <c r="J3" s="189">
        <v>10</v>
      </c>
      <c r="K3" s="190">
        <v>11</v>
      </c>
      <c r="L3" s="190">
        <v>12</v>
      </c>
      <c r="M3" s="190">
        <v>13</v>
      </c>
      <c r="N3" s="190">
        <v>14</v>
      </c>
      <c r="O3" s="190">
        <v>15</v>
      </c>
      <c r="P3" s="190">
        <v>16</v>
      </c>
      <c r="Q3" s="190">
        <v>17</v>
      </c>
      <c r="R3" s="190">
        <v>18</v>
      </c>
      <c r="S3" s="40">
        <v>14</v>
      </c>
    </row>
    <row r="4" spans="1:19" ht="16.5" customHeight="1">
      <c r="A4" s="191"/>
      <c r="B4" s="192"/>
      <c r="C4" s="61"/>
      <c r="D4" s="192"/>
      <c r="E4" s="61"/>
      <c r="F4" s="192"/>
      <c r="G4" s="61"/>
      <c r="H4" s="56">
        <v>2150000</v>
      </c>
      <c r="I4" s="59">
        <f>+IF(H4=2350000, 1.579, IF(H4=2150000, 1.484, 1.386))</f>
        <v>1.484</v>
      </c>
      <c r="J4" s="61"/>
      <c r="K4" s="61"/>
      <c r="L4" s="62"/>
      <c r="M4" s="61"/>
      <c r="N4" s="61"/>
      <c r="O4" s="61"/>
      <c r="P4" s="61"/>
      <c r="Q4" s="61"/>
      <c r="R4" s="61"/>
    </row>
    <row r="5" spans="1:19" ht="16.5" hidden="1" customHeight="1">
      <c r="A5" s="115" t="s">
        <v>1917</v>
      </c>
      <c r="B5" s="116" t="s">
        <v>1918</v>
      </c>
      <c r="C5" s="117" t="s">
        <v>163</v>
      </c>
      <c r="D5" s="118">
        <v>874438</v>
      </c>
      <c r="E5" s="119" t="s">
        <v>1299</v>
      </c>
      <c r="F5" s="72">
        <v>3.08</v>
      </c>
      <c r="G5" s="119">
        <v>257587</v>
      </c>
      <c r="H5" s="193">
        <f t="shared" ref="H5:H27" si="0">IF(G5&lt;&gt;0,ROUND(G5*F5,0), )</f>
        <v>793368</v>
      </c>
      <c r="I5" s="63">
        <f>+K5</f>
        <v>376098.40927272727</v>
      </c>
      <c r="J5" s="194">
        <v>150004</v>
      </c>
      <c r="K5" s="194">
        <f t="shared" ref="K5:K27" si="1">+((L5*M5)+(N5*O5)+(P5*Q5))*(1+R5/100)</f>
        <v>376098.40927272727</v>
      </c>
      <c r="L5" s="195">
        <v>0.26</v>
      </c>
      <c r="M5" s="194">
        <v>1446532.3433566433</v>
      </c>
      <c r="N5" s="194"/>
      <c r="O5" s="194"/>
      <c r="P5" s="194"/>
      <c r="Q5" s="194"/>
      <c r="R5" s="194"/>
    </row>
    <row r="6" spans="1:19" ht="16.5" hidden="1" customHeight="1">
      <c r="A6" s="115" t="s">
        <v>1919</v>
      </c>
      <c r="B6" s="116" t="s">
        <v>1920</v>
      </c>
      <c r="C6" s="117" t="s">
        <v>163</v>
      </c>
      <c r="D6" s="118">
        <v>876371</v>
      </c>
      <c r="E6" s="119" t="s">
        <v>1299</v>
      </c>
      <c r="F6" s="72">
        <v>3.47</v>
      </c>
      <c r="G6" s="119">
        <v>257587</v>
      </c>
      <c r="H6" s="193">
        <f t="shared" si="0"/>
        <v>893827</v>
      </c>
      <c r="I6" s="63">
        <f t="shared" ref="I6:I27" si="2">+K6</f>
        <v>376098.40927272727</v>
      </c>
      <c r="J6" s="194">
        <v>150004</v>
      </c>
      <c r="K6" s="194">
        <f t="shared" si="1"/>
        <v>376098.40927272727</v>
      </c>
      <c r="L6" s="195">
        <v>0.26</v>
      </c>
      <c r="M6" s="194">
        <v>1446532.3433566433</v>
      </c>
      <c r="N6" s="194"/>
      <c r="O6" s="194"/>
      <c r="P6" s="194"/>
      <c r="Q6" s="194"/>
      <c r="R6" s="194"/>
    </row>
    <row r="7" spans="1:19" ht="16.5" hidden="1" customHeight="1">
      <c r="A7" s="115" t="s">
        <v>1921</v>
      </c>
      <c r="B7" s="116" t="s">
        <v>1922</v>
      </c>
      <c r="C7" s="117" t="s">
        <v>163</v>
      </c>
      <c r="D7" s="118">
        <v>879521</v>
      </c>
      <c r="E7" s="119" t="s">
        <v>1299</v>
      </c>
      <c r="F7" s="72">
        <v>4.24</v>
      </c>
      <c r="G7" s="119">
        <v>257587</v>
      </c>
      <c r="H7" s="193">
        <f t="shared" si="0"/>
        <v>1092169</v>
      </c>
      <c r="I7" s="63">
        <f t="shared" si="2"/>
        <v>376098.40927272727</v>
      </c>
      <c r="J7" s="194">
        <v>150004</v>
      </c>
      <c r="K7" s="194">
        <f t="shared" si="1"/>
        <v>376098.40927272727</v>
      </c>
      <c r="L7" s="195">
        <v>0.26</v>
      </c>
      <c r="M7" s="194">
        <v>1446532.3433566433</v>
      </c>
      <c r="N7" s="194"/>
      <c r="O7" s="194"/>
      <c r="P7" s="194"/>
      <c r="Q7" s="194"/>
      <c r="R7" s="194"/>
    </row>
    <row r="8" spans="1:19" ht="16.5" hidden="1" customHeight="1">
      <c r="A8" s="115" t="s">
        <v>1923</v>
      </c>
      <c r="B8" s="116" t="s">
        <v>1924</v>
      </c>
      <c r="C8" s="117" t="s">
        <v>163</v>
      </c>
      <c r="D8" s="118">
        <v>879521</v>
      </c>
      <c r="E8" s="119" t="s">
        <v>1299</v>
      </c>
      <c r="F8" s="72">
        <v>4.97</v>
      </c>
      <c r="G8" s="119">
        <v>257587</v>
      </c>
      <c r="H8" s="185">
        <f>IF(G8&lt;&gt;0,ROUND(G8*F8,0), )</f>
        <v>1280207</v>
      </c>
      <c r="I8" s="63">
        <f t="shared" si="2"/>
        <v>376098.40927272727</v>
      </c>
      <c r="J8" s="66">
        <v>225007</v>
      </c>
      <c r="K8" s="194">
        <f t="shared" si="1"/>
        <v>376098.40927272727</v>
      </c>
      <c r="L8" s="195">
        <v>0.26</v>
      </c>
      <c r="M8" s="194">
        <v>1446532.3433566433</v>
      </c>
      <c r="N8" s="194"/>
      <c r="O8" s="194"/>
      <c r="P8" s="194"/>
      <c r="Q8" s="194"/>
      <c r="R8" s="194"/>
    </row>
    <row r="9" spans="1:19" ht="16.5" hidden="1" customHeight="1">
      <c r="A9" s="115" t="s">
        <v>1925</v>
      </c>
      <c r="B9" s="116" t="s">
        <v>1926</v>
      </c>
      <c r="C9" s="117" t="s">
        <v>163</v>
      </c>
      <c r="D9" s="118">
        <v>879521</v>
      </c>
      <c r="E9" s="119" t="s">
        <v>1299</v>
      </c>
      <c r="F9" s="72">
        <v>4.97</v>
      </c>
      <c r="G9" s="119">
        <v>257587</v>
      </c>
      <c r="H9" s="193">
        <f t="shared" si="0"/>
        <v>1280207</v>
      </c>
      <c r="I9" s="63">
        <f t="shared" si="2"/>
        <v>376098.40927272727</v>
      </c>
      <c r="J9" s="194">
        <v>150004</v>
      </c>
      <c r="K9" s="194">
        <f t="shared" si="1"/>
        <v>376098.40927272727</v>
      </c>
      <c r="L9" s="195">
        <v>0.26</v>
      </c>
      <c r="M9" s="194">
        <v>1446532.3433566433</v>
      </c>
      <c r="N9" s="194"/>
      <c r="O9" s="194"/>
      <c r="P9" s="194"/>
      <c r="Q9" s="194"/>
      <c r="R9" s="194"/>
    </row>
    <row r="10" spans="1:19" ht="16.5" hidden="1" customHeight="1">
      <c r="A10" s="115" t="s">
        <v>1927</v>
      </c>
      <c r="B10" s="116" t="s">
        <v>1928</v>
      </c>
      <c r="C10" s="117" t="s">
        <v>163</v>
      </c>
      <c r="D10" s="118">
        <v>879521</v>
      </c>
      <c r="E10" s="119" t="s">
        <v>1299</v>
      </c>
      <c r="F10" s="72">
        <v>5.81</v>
      </c>
      <c r="G10" s="119">
        <v>257587</v>
      </c>
      <c r="H10" s="185">
        <f t="shared" si="0"/>
        <v>1496580</v>
      </c>
      <c r="I10" s="63">
        <f t="shared" si="2"/>
        <v>433959.70300699299</v>
      </c>
      <c r="J10" s="66">
        <v>225007</v>
      </c>
      <c r="K10" s="194">
        <f t="shared" si="1"/>
        <v>433959.70300699299</v>
      </c>
      <c r="L10" s="71">
        <f>ROUND((0.26+(0.33-0.26)/(320-180)*(250-180)),2)</f>
        <v>0.3</v>
      </c>
      <c r="M10" s="194">
        <v>1446532.3433566433</v>
      </c>
      <c r="N10" s="194"/>
      <c r="O10" s="194"/>
      <c r="P10" s="194"/>
      <c r="Q10" s="194"/>
      <c r="R10" s="194"/>
    </row>
    <row r="11" spans="1:19" ht="16.5" hidden="1" customHeight="1">
      <c r="A11" s="115" t="s">
        <v>1929</v>
      </c>
      <c r="B11" s="116" t="s">
        <v>1930</v>
      </c>
      <c r="C11" s="117" t="s">
        <v>163</v>
      </c>
      <c r="D11" s="118">
        <v>879521</v>
      </c>
      <c r="E11" s="119" t="s">
        <v>1299</v>
      </c>
      <c r="F11" s="72">
        <v>5.81</v>
      </c>
      <c r="G11" s="119">
        <v>257587</v>
      </c>
      <c r="H11" s="193">
        <f t="shared" si="0"/>
        <v>1496580</v>
      </c>
      <c r="I11" s="63">
        <f t="shared" si="2"/>
        <v>477355.67330769234</v>
      </c>
      <c r="J11" s="194">
        <v>190390</v>
      </c>
      <c r="K11" s="194">
        <f t="shared" si="1"/>
        <v>477355.67330769234</v>
      </c>
      <c r="L11" s="195">
        <v>0.33</v>
      </c>
      <c r="M11" s="194">
        <v>1446532.3433566433</v>
      </c>
      <c r="N11" s="194"/>
      <c r="O11" s="194"/>
      <c r="P11" s="194"/>
      <c r="Q11" s="194"/>
      <c r="R11" s="194"/>
    </row>
    <row r="12" spans="1:19" ht="16.5" hidden="1" customHeight="1">
      <c r="A12" s="115" t="s">
        <v>1931</v>
      </c>
      <c r="B12" s="116" t="s">
        <v>1932</v>
      </c>
      <c r="C12" s="117" t="s">
        <v>163</v>
      </c>
      <c r="D12" s="118">
        <v>879521</v>
      </c>
      <c r="E12" s="119" t="s">
        <v>1299</v>
      </c>
      <c r="F12" s="72">
        <f>ROUND((5.81+(6.93-5.81)/(560-320)*(400-320)),2)</f>
        <v>6.18</v>
      </c>
      <c r="G12" s="119">
        <v>257587</v>
      </c>
      <c r="H12" s="185">
        <f>IF(G12&lt;&gt;0,ROUND(G12*F12,0), )</f>
        <v>1591888</v>
      </c>
      <c r="I12" s="63">
        <f t="shared" si="2"/>
        <v>477355.67330769234</v>
      </c>
      <c r="J12" s="66">
        <v>225007</v>
      </c>
      <c r="K12" s="194">
        <f t="shared" si="1"/>
        <v>477355.67330769234</v>
      </c>
      <c r="L12" s="195">
        <v>0.33</v>
      </c>
      <c r="M12" s="194">
        <v>1446532.3433566433</v>
      </c>
      <c r="N12" s="194"/>
      <c r="O12" s="194"/>
      <c r="P12" s="194"/>
      <c r="Q12" s="194"/>
      <c r="R12" s="194"/>
    </row>
    <row r="13" spans="1:19" ht="16.5" hidden="1" customHeight="1">
      <c r="A13" s="115" t="s">
        <v>1933</v>
      </c>
      <c r="B13" s="116" t="s">
        <v>1934</v>
      </c>
      <c r="C13" s="117" t="s">
        <v>163</v>
      </c>
      <c r="D13" s="118">
        <v>879521</v>
      </c>
      <c r="E13" s="119" t="s">
        <v>1299</v>
      </c>
      <c r="F13" s="72">
        <v>6.93</v>
      </c>
      <c r="G13" s="119">
        <v>257587</v>
      </c>
      <c r="H13" s="193">
        <f t="shared" si="0"/>
        <v>1785078</v>
      </c>
      <c r="I13" s="63">
        <f t="shared" si="2"/>
        <v>477355.67330769234</v>
      </c>
      <c r="J13" s="194">
        <v>190390</v>
      </c>
      <c r="K13" s="194">
        <f t="shared" si="1"/>
        <v>477355.67330769234</v>
      </c>
      <c r="L13" s="195">
        <v>0.33</v>
      </c>
      <c r="M13" s="194">
        <v>1446532.3433566433</v>
      </c>
      <c r="N13" s="194"/>
      <c r="O13" s="194"/>
      <c r="P13" s="194"/>
      <c r="Q13" s="194"/>
      <c r="R13" s="194"/>
    </row>
    <row r="14" spans="1:19" ht="16.5" hidden="1" customHeight="1">
      <c r="A14" s="115" t="s">
        <v>1935</v>
      </c>
      <c r="B14" s="116" t="s">
        <v>1936</v>
      </c>
      <c r="C14" s="117" t="s">
        <v>163</v>
      </c>
      <c r="D14" s="118">
        <v>879521</v>
      </c>
      <c r="E14" s="119" t="s">
        <v>1299</v>
      </c>
      <c r="F14" s="72">
        <f>ROUND((6.93+($F$15-$F$13)/(750-560)*(630-560)),2)</f>
        <v>7.34</v>
      </c>
      <c r="G14" s="119">
        <v>257587</v>
      </c>
      <c r="H14" s="185">
        <f t="shared" si="0"/>
        <v>1890689</v>
      </c>
      <c r="I14" s="63">
        <f t="shared" si="2"/>
        <v>535216.96704195801</v>
      </c>
      <c r="J14" s="66">
        <v>225007</v>
      </c>
      <c r="K14" s="194">
        <f t="shared" si="1"/>
        <v>535216.96704195801</v>
      </c>
      <c r="L14" s="71">
        <f>ROUND((0.33+(0.39-0.33)/(750-630)*(630-560)),2)</f>
        <v>0.37</v>
      </c>
      <c r="M14" s="194">
        <v>1446532.3433566433</v>
      </c>
      <c r="N14" s="194"/>
      <c r="O14" s="194"/>
      <c r="P14" s="194"/>
      <c r="Q14" s="194"/>
      <c r="R14" s="194"/>
    </row>
    <row r="15" spans="1:19" ht="16.5" hidden="1" customHeight="1">
      <c r="A15" s="115" t="s">
        <v>1937</v>
      </c>
      <c r="B15" s="116" t="s">
        <v>1938</v>
      </c>
      <c r="C15" s="117" t="s">
        <v>163</v>
      </c>
      <c r="D15" s="118">
        <v>879521</v>
      </c>
      <c r="E15" s="119" t="s">
        <v>1299</v>
      </c>
      <c r="F15" s="72">
        <v>8.0500000000000007</v>
      </c>
      <c r="G15" s="119">
        <v>257587</v>
      </c>
      <c r="H15" s="193">
        <f t="shared" si="0"/>
        <v>2073575</v>
      </c>
      <c r="I15" s="63">
        <f t="shared" si="2"/>
        <v>564147.61390909087</v>
      </c>
      <c r="J15" s="194">
        <v>225007</v>
      </c>
      <c r="K15" s="194">
        <f t="shared" si="1"/>
        <v>564147.61390909087</v>
      </c>
      <c r="L15" s="195">
        <v>0.39</v>
      </c>
      <c r="M15" s="194">
        <v>1446532.3433566433</v>
      </c>
      <c r="N15" s="194"/>
      <c r="O15" s="194"/>
      <c r="P15" s="194"/>
      <c r="Q15" s="194"/>
      <c r="R15" s="194"/>
    </row>
    <row r="16" spans="1:19" ht="16.5" hidden="1" customHeight="1">
      <c r="A16" s="115" t="s">
        <v>1939</v>
      </c>
      <c r="B16" s="116" t="s">
        <v>1940</v>
      </c>
      <c r="C16" s="117" t="s">
        <v>163</v>
      </c>
      <c r="D16" s="118">
        <v>879521</v>
      </c>
      <c r="E16" s="119" t="s">
        <v>1299</v>
      </c>
      <c r="F16" s="72">
        <f>ROUND((8.05+($F$15-$F$13)/(750-560)*(800-750)),2)</f>
        <v>8.34</v>
      </c>
      <c r="G16" s="119">
        <v>257587</v>
      </c>
      <c r="H16" s="185">
        <f t="shared" si="0"/>
        <v>2148276</v>
      </c>
      <c r="I16" s="63">
        <f t="shared" si="2"/>
        <v>593078.26077622373</v>
      </c>
      <c r="J16" s="66">
        <v>225007</v>
      </c>
      <c r="K16" s="194">
        <f t="shared" si="1"/>
        <v>593078.26077622373</v>
      </c>
      <c r="L16" s="72">
        <f>ROUND((0.39+($L$15-$L$13)/(750-560)*(800-750)),2)</f>
        <v>0.41</v>
      </c>
      <c r="M16" s="194">
        <v>1446532.3433566433</v>
      </c>
      <c r="N16" s="194"/>
      <c r="O16" s="194"/>
      <c r="P16" s="194"/>
      <c r="Q16" s="194"/>
      <c r="R16" s="194"/>
    </row>
    <row r="17" spans="1:18" ht="16.5" hidden="1" customHeight="1">
      <c r="A17" s="115" t="s">
        <v>1941</v>
      </c>
      <c r="B17" s="116" t="s">
        <v>1938</v>
      </c>
      <c r="C17" s="117" t="s">
        <v>163</v>
      </c>
      <c r="D17" s="118">
        <v>879521</v>
      </c>
      <c r="E17" s="119" t="s">
        <v>1299</v>
      </c>
      <c r="F17" s="72">
        <f>ROUND((8.05+($F$15-$F$13)/(750-560)*(1000-750)),2)</f>
        <v>9.52</v>
      </c>
      <c r="G17" s="119">
        <v>257587</v>
      </c>
      <c r="H17" s="185">
        <f t="shared" si="0"/>
        <v>2452228</v>
      </c>
      <c r="I17" s="63">
        <f t="shared" si="2"/>
        <v>679870.20137762232</v>
      </c>
      <c r="J17" s="66">
        <v>225007</v>
      </c>
      <c r="K17" s="194">
        <f t="shared" si="1"/>
        <v>679870.20137762232</v>
      </c>
      <c r="L17" s="72">
        <f>ROUND((0.39+($L$15-$L$13)/(750-560)*(1000-750)),2)</f>
        <v>0.47</v>
      </c>
      <c r="M17" s="194">
        <v>1446532.3433566433</v>
      </c>
      <c r="N17" s="194"/>
      <c r="O17" s="194"/>
      <c r="P17" s="194"/>
      <c r="Q17" s="194"/>
      <c r="R17" s="194"/>
    </row>
    <row r="18" spans="1:18" ht="16.5" hidden="1" customHeight="1">
      <c r="A18" s="115" t="s">
        <v>1942</v>
      </c>
      <c r="B18" s="116" t="s">
        <v>1943</v>
      </c>
      <c r="C18" s="117" t="s">
        <v>163</v>
      </c>
      <c r="D18" s="118">
        <v>879521</v>
      </c>
      <c r="E18" s="119" t="s">
        <v>1299</v>
      </c>
      <c r="F18" s="72">
        <f>ROUND((8.05+($F$15-$F$13)/(750-560)*(1250-750)),2)</f>
        <v>11</v>
      </c>
      <c r="G18" s="119">
        <v>257587</v>
      </c>
      <c r="H18" s="185">
        <f t="shared" si="0"/>
        <v>2833457</v>
      </c>
      <c r="I18" s="63">
        <f t="shared" si="2"/>
        <v>795592.78884615388</v>
      </c>
      <c r="J18" s="66">
        <v>225007</v>
      </c>
      <c r="K18" s="194">
        <f t="shared" si="1"/>
        <v>795592.78884615388</v>
      </c>
      <c r="L18" s="72">
        <f>ROUND((0.39+($L$15-$L$13)/(750-560)*(1250-750)),2)</f>
        <v>0.55000000000000004</v>
      </c>
      <c r="M18" s="194">
        <v>1446532.3433566433</v>
      </c>
      <c r="N18" s="194"/>
      <c r="O18" s="194"/>
      <c r="P18" s="194"/>
      <c r="Q18" s="194"/>
      <c r="R18" s="194"/>
    </row>
    <row r="19" spans="1:18" ht="16.5" hidden="1" customHeight="1">
      <c r="A19" s="115" t="s">
        <v>1944</v>
      </c>
      <c r="B19" s="116" t="s">
        <v>1938</v>
      </c>
      <c r="C19" s="117" t="s">
        <v>163</v>
      </c>
      <c r="D19" s="118">
        <v>879521</v>
      </c>
      <c r="E19" s="119" t="s">
        <v>1299</v>
      </c>
      <c r="F19" s="72">
        <f>ROUND((8.05+($F$15-$F$13)/(750-560)*(1500-750)),2)</f>
        <v>12.47</v>
      </c>
      <c r="G19" s="119">
        <v>257587</v>
      </c>
      <c r="H19" s="185">
        <f t="shared" si="0"/>
        <v>3212110</v>
      </c>
      <c r="I19" s="63">
        <f t="shared" si="2"/>
        <v>911315.37631468533</v>
      </c>
      <c r="J19" s="66">
        <v>225007</v>
      </c>
      <c r="K19" s="194">
        <f t="shared" si="1"/>
        <v>911315.37631468533</v>
      </c>
      <c r="L19" s="72">
        <f>ROUND((0.39+($L$15-$L$13)/(750-560)*(1500-750)),2)</f>
        <v>0.63</v>
      </c>
      <c r="M19" s="194">
        <v>1446532.3433566433</v>
      </c>
      <c r="N19" s="194"/>
      <c r="O19" s="194"/>
      <c r="P19" s="194"/>
      <c r="Q19" s="194"/>
      <c r="R19" s="194"/>
    </row>
    <row r="20" spans="1:18" ht="16.5" hidden="1" customHeight="1">
      <c r="A20" s="115" t="s">
        <v>1945</v>
      </c>
      <c r="B20" s="116" t="s">
        <v>1946</v>
      </c>
      <c r="C20" s="117" t="s">
        <v>163</v>
      </c>
      <c r="D20" s="118">
        <v>879521</v>
      </c>
      <c r="E20" s="119" t="s">
        <v>1299</v>
      </c>
      <c r="F20" s="72">
        <f>ROUND((8.05+($F$15-$F$13)/(750-560)*(1600-750)),2)</f>
        <v>13.06</v>
      </c>
      <c r="G20" s="119">
        <v>257587</v>
      </c>
      <c r="H20" s="185">
        <f t="shared" si="0"/>
        <v>3364086</v>
      </c>
      <c r="I20" s="63">
        <f t="shared" si="2"/>
        <v>954711.34661538468</v>
      </c>
      <c r="J20" s="66">
        <v>225007</v>
      </c>
      <c r="K20" s="194">
        <f t="shared" si="1"/>
        <v>954711.34661538468</v>
      </c>
      <c r="L20" s="72">
        <f>ROUND((0.39+($L$15-$L$13)/(750-560)*(1600-750)),2)</f>
        <v>0.66</v>
      </c>
      <c r="M20" s="194">
        <v>1446532.3433566433</v>
      </c>
      <c r="N20" s="194"/>
      <c r="O20" s="194"/>
      <c r="P20" s="194"/>
      <c r="Q20" s="194"/>
      <c r="R20" s="194"/>
    </row>
    <row r="21" spans="1:18" ht="16.5" hidden="1" customHeight="1">
      <c r="A21" s="115" t="s">
        <v>1947</v>
      </c>
      <c r="B21" s="116" t="s">
        <v>1948</v>
      </c>
      <c r="C21" s="117" t="s">
        <v>163</v>
      </c>
      <c r="D21" s="118">
        <v>879521</v>
      </c>
      <c r="E21" s="119" t="s">
        <v>1299</v>
      </c>
      <c r="F21" s="72">
        <f>ROUND((8.05+($F$15-$F$13)/(750-560)*(2000-750)),2)</f>
        <v>15.42</v>
      </c>
      <c r="G21" s="119">
        <v>257587</v>
      </c>
      <c r="H21" s="185">
        <f t="shared" si="0"/>
        <v>3971992</v>
      </c>
      <c r="I21" s="63">
        <f t="shared" si="2"/>
        <v>1128295.2278181817</v>
      </c>
      <c r="J21" s="66">
        <v>225007</v>
      </c>
      <c r="K21" s="194">
        <f t="shared" si="1"/>
        <v>1128295.2278181817</v>
      </c>
      <c r="L21" s="72">
        <f>ROUND((0.39+($L$15-$L$13)/(750-560)*(2000-750)),2)</f>
        <v>0.78</v>
      </c>
      <c r="M21" s="194">
        <v>1446532.3433566433</v>
      </c>
      <c r="N21" s="194"/>
      <c r="O21" s="194"/>
      <c r="P21" s="194"/>
      <c r="Q21" s="194"/>
      <c r="R21" s="194"/>
    </row>
    <row r="22" spans="1:18" ht="16.5" hidden="1" customHeight="1">
      <c r="A22" s="115" t="s">
        <v>1949</v>
      </c>
      <c r="B22" s="116" t="s">
        <v>1950</v>
      </c>
      <c r="C22" s="117" t="s">
        <v>163</v>
      </c>
      <c r="D22" s="118">
        <v>879521</v>
      </c>
      <c r="E22" s="119" t="s">
        <v>1299</v>
      </c>
      <c r="F22" s="72">
        <f>ROUND((8.05+($F$15-$F$13)/(750-560)*(2500-750)),2)</f>
        <v>18.37</v>
      </c>
      <c r="G22" s="119">
        <v>257587</v>
      </c>
      <c r="H22" s="185">
        <f t="shared" si="0"/>
        <v>4731873</v>
      </c>
      <c r="I22" s="63">
        <f t="shared" si="2"/>
        <v>1359740.4027552446</v>
      </c>
      <c r="J22" s="66">
        <v>225007</v>
      </c>
      <c r="K22" s="194">
        <f t="shared" si="1"/>
        <v>1359740.4027552446</v>
      </c>
      <c r="L22" s="72">
        <f>ROUND((0.39+($L$15-$L$13)/(750-560)*(2500-750)),2)</f>
        <v>0.94</v>
      </c>
      <c r="M22" s="194">
        <v>1446532.3433566433</v>
      </c>
      <c r="N22" s="194"/>
      <c r="O22" s="194"/>
      <c r="P22" s="194"/>
      <c r="Q22" s="194"/>
      <c r="R22" s="194"/>
    </row>
    <row r="23" spans="1:18" ht="16.5" hidden="1" customHeight="1">
      <c r="A23" s="115" t="s">
        <v>1951</v>
      </c>
      <c r="B23" s="116" t="s">
        <v>1952</v>
      </c>
      <c r="C23" s="117" t="s">
        <v>163</v>
      </c>
      <c r="D23" s="118">
        <v>879521</v>
      </c>
      <c r="E23" s="119" t="s">
        <v>1299</v>
      </c>
      <c r="F23" s="72">
        <f>ROUND((8.05+($F$15-$F$13)/(750-560)*(3000-750)),2)</f>
        <v>21.31</v>
      </c>
      <c r="G23" s="119">
        <v>257587</v>
      </c>
      <c r="H23" s="185">
        <f t="shared" si="0"/>
        <v>5489179</v>
      </c>
      <c r="I23" s="63">
        <f t="shared" si="2"/>
        <v>1591185.5776923078</v>
      </c>
      <c r="J23" s="66">
        <v>225007</v>
      </c>
      <c r="K23" s="194">
        <f t="shared" si="1"/>
        <v>1591185.5776923078</v>
      </c>
      <c r="L23" s="72">
        <f>ROUND((0.39+($L$15-$L$13)/(750-560)*(3000-750)),2)</f>
        <v>1.1000000000000001</v>
      </c>
      <c r="M23" s="194">
        <v>1446532.3433566433</v>
      </c>
      <c r="N23" s="194"/>
      <c r="O23" s="194"/>
      <c r="P23" s="194"/>
      <c r="Q23" s="194"/>
      <c r="R23" s="194"/>
    </row>
    <row r="24" spans="1:18" ht="16.5" hidden="1" customHeight="1">
      <c r="A24" s="115" t="s">
        <v>1953</v>
      </c>
      <c r="B24" s="116" t="s">
        <v>1954</v>
      </c>
      <c r="C24" s="117" t="s">
        <v>163</v>
      </c>
      <c r="D24" s="118">
        <v>879521</v>
      </c>
      <c r="E24" s="119" t="s">
        <v>1299</v>
      </c>
      <c r="F24" s="72">
        <f>ROUND((8.05+($F$15-$F$13)/(750-560)*(4000-750)),2)</f>
        <v>27.21</v>
      </c>
      <c r="G24" s="119">
        <v>257587</v>
      </c>
      <c r="H24" s="185">
        <f t="shared" si="0"/>
        <v>7008942</v>
      </c>
      <c r="I24" s="63">
        <f t="shared" si="2"/>
        <v>2054075.9275664333</v>
      </c>
      <c r="J24" s="66">
        <v>225007</v>
      </c>
      <c r="K24" s="194">
        <f t="shared" si="1"/>
        <v>2054075.9275664333</v>
      </c>
      <c r="L24" s="72">
        <f>ROUND((0.39+($L$15-$L$13)/(750-560)*(4000-750)),2)</f>
        <v>1.42</v>
      </c>
      <c r="M24" s="194">
        <v>1446532.3433566433</v>
      </c>
      <c r="N24" s="194"/>
      <c r="O24" s="194"/>
      <c r="P24" s="194"/>
      <c r="Q24" s="194"/>
      <c r="R24" s="194"/>
    </row>
    <row r="25" spans="1:18" ht="16.5" hidden="1" customHeight="1">
      <c r="A25" s="115" t="s">
        <v>1955</v>
      </c>
      <c r="B25" s="116" t="s">
        <v>1956</v>
      </c>
      <c r="C25" s="117" t="s">
        <v>163</v>
      </c>
      <c r="D25" s="118">
        <v>879521</v>
      </c>
      <c r="E25" s="119" t="s">
        <v>1299</v>
      </c>
      <c r="F25" s="72">
        <f>ROUND((8.05+($F$15-$F$13)/(750-560)*(6300-750)),2)</f>
        <v>40.770000000000003</v>
      </c>
      <c r="G25" s="119">
        <v>257587</v>
      </c>
      <c r="H25" s="185">
        <f t="shared" si="0"/>
        <v>10501822</v>
      </c>
      <c r="I25" s="63">
        <f t="shared" si="2"/>
        <v>3095579.2147832168</v>
      </c>
      <c r="J25" s="66">
        <v>225007</v>
      </c>
      <c r="K25" s="194">
        <f t="shared" si="1"/>
        <v>3095579.2147832168</v>
      </c>
      <c r="L25" s="72">
        <f>ROUND((0.39+($L$15-$L$13)/(750-560)*(6300-750)),2)</f>
        <v>2.14</v>
      </c>
      <c r="M25" s="194">
        <v>1446532.3433566433</v>
      </c>
      <c r="N25" s="194"/>
      <c r="O25" s="194"/>
      <c r="P25" s="194"/>
      <c r="Q25" s="194"/>
      <c r="R25" s="194"/>
    </row>
    <row r="26" spans="1:18" ht="16.5" hidden="1" customHeight="1">
      <c r="A26" s="115" t="s">
        <v>1957</v>
      </c>
      <c r="B26" s="116" t="s">
        <v>1958</v>
      </c>
      <c r="C26" s="117" t="s">
        <v>163</v>
      </c>
      <c r="D26" s="118">
        <v>879521</v>
      </c>
      <c r="E26" s="119" t="s">
        <v>1299</v>
      </c>
      <c r="F26" s="72">
        <f>ROUND((8.05+($F$15-$F$13)/(750-560)*(12500-750)),2)</f>
        <v>77.31</v>
      </c>
      <c r="G26" s="119">
        <v>257587</v>
      </c>
      <c r="H26" s="185">
        <f t="shared" si="0"/>
        <v>19914051</v>
      </c>
      <c r="I26" s="63">
        <f t="shared" si="2"/>
        <v>5930782.6077622371</v>
      </c>
      <c r="J26" s="66">
        <v>225007</v>
      </c>
      <c r="K26" s="194">
        <f t="shared" si="1"/>
        <v>5930782.6077622371</v>
      </c>
      <c r="L26" s="72">
        <f>ROUND((0.39+($L$15-$L$13)/(750-560)*(12500-750)),2)</f>
        <v>4.0999999999999996</v>
      </c>
      <c r="M26" s="194">
        <v>1446532.3433566433</v>
      </c>
      <c r="N26" s="194"/>
      <c r="O26" s="194"/>
      <c r="P26" s="194"/>
      <c r="Q26" s="194"/>
      <c r="R26" s="194"/>
    </row>
    <row r="27" spans="1:18" ht="16.5" hidden="1" customHeight="1">
      <c r="A27" s="115" t="s">
        <v>1959</v>
      </c>
      <c r="B27" s="116" t="s">
        <v>1960</v>
      </c>
      <c r="C27" s="117" t="s">
        <v>163</v>
      </c>
      <c r="D27" s="118">
        <v>879521</v>
      </c>
      <c r="E27" s="119" t="s">
        <v>1299</v>
      </c>
      <c r="F27" s="72">
        <f>ROUND((8.05+($F$15-$F$13)/(750-560)*(15000-750)),2)</f>
        <v>92.05</v>
      </c>
      <c r="G27" s="119">
        <v>257587</v>
      </c>
      <c r="H27" s="185">
        <f t="shared" si="0"/>
        <v>23710883</v>
      </c>
      <c r="I27" s="63">
        <f t="shared" si="2"/>
        <v>7073543.1590139857</v>
      </c>
      <c r="J27" s="66">
        <v>225007</v>
      </c>
      <c r="K27" s="194">
        <f t="shared" si="1"/>
        <v>7073543.1590139857</v>
      </c>
      <c r="L27" s="72">
        <f>ROUND((0.39+($L$15-$L$13)/(750-560)*(15000-750)),2)</f>
        <v>4.8899999999999997</v>
      </c>
      <c r="M27" s="194">
        <v>1446532.3433566433</v>
      </c>
      <c r="N27" s="194"/>
      <c r="O27" s="194"/>
      <c r="P27" s="194"/>
      <c r="Q27" s="194"/>
      <c r="R27" s="194"/>
    </row>
    <row r="28" spans="1:18" ht="16.5" hidden="1" customHeight="1">
      <c r="A28" s="115"/>
      <c r="B28" s="116"/>
      <c r="C28" s="117"/>
      <c r="D28" s="118"/>
      <c r="E28" s="119"/>
      <c r="F28" s="72"/>
      <c r="G28" s="119"/>
      <c r="H28" s="193"/>
      <c r="I28" s="63">
        <f t="shared" ref="I28:I36" si="3">+J28*$I$4</f>
        <v>0</v>
      </c>
      <c r="J28" s="194"/>
      <c r="K28" s="194"/>
      <c r="L28" s="195"/>
      <c r="M28" s="194"/>
      <c r="N28" s="194"/>
      <c r="O28" s="194"/>
      <c r="P28" s="194"/>
      <c r="Q28" s="194"/>
      <c r="R28" s="194"/>
    </row>
    <row r="29" spans="1:18" ht="16.5" hidden="1" customHeight="1">
      <c r="A29" s="115" t="s">
        <v>1961</v>
      </c>
      <c r="B29" s="116" t="s">
        <v>1962</v>
      </c>
      <c r="C29" s="117" t="s">
        <v>163</v>
      </c>
      <c r="D29" s="120">
        <v>844864</v>
      </c>
      <c r="E29" s="119" t="s">
        <v>1299</v>
      </c>
      <c r="F29" s="72">
        <v>2.8</v>
      </c>
      <c r="G29" s="119">
        <v>257587</v>
      </c>
      <c r="H29" s="193">
        <f t="shared" ref="H29:H35" si="4">IF(G29&lt;&gt;0,ROUND(G29*F29,0), )</f>
        <v>721244</v>
      </c>
      <c r="I29" s="63">
        <f t="shared" si="3"/>
        <v>222605.93599999999</v>
      </c>
      <c r="J29" s="194">
        <v>150004</v>
      </c>
      <c r="K29" s="194"/>
      <c r="L29" s="195"/>
      <c r="M29" s="194"/>
      <c r="N29" s="194"/>
      <c r="O29" s="194"/>
      <c r="P29" s="194"/>
      <c r="Q29" s="194"/>
      <c r="R29" s="194"/>
    </row>
    <row r="30" spans="1:18" ht="16.5" hidden="1" customHeight="1">
      <c r="A30" s="115" t="s">
        <v>1963</v>
      </c>
      <c r="B30" s="116" t="s">
        <v>1964</v>
      </c>
      <c r="C30" s="117" t="s">
        <v>163</v>
      </c>
      <c r="D30" s="120">
        <v>846742</v>
      </c>
      <c r="E30" s="119" t="s">
        <v>1299</v>
      </c>
      <c r="F30" s="72">
        <v>3.15</v>
      </c>
      <c r="G30" s="119">
        <v>257587</v>
      </c>
      <c r="H30" s="193">
        <f t="shared" si="4"/>
        <v>811399</v>
      </c>
      <c r="I30" s="63">
        <f t="shared" si="3"/>
        <v>222605.93599999999</v>
      </c>
      <c r="J30" s="194">
        <v>150004</v>
      </c>
      <c r="K30" s="194"/>
      <c r="L30" s="195"/>
      <c r="M30" s="194"/>
      <c r="N30" s="194"/>
      <c r="O30" s="194"/>
      <c r="P30" s="194"/>
      <c r="Q30" s="194"/>
      <c r="R30" s="194"/>
    </row>
    <row r="31" spans="1:18" ht="16.5" hidden="1" customHeight="1">
      <c r="A31" s="115" t="s">
        <v>1965</v>
      </c>
      <c r="B31" s="116" t="s">
        <v>1966</v>
      </c>
      <c r="C31" s="117" t="s">
        <v>163</v>
      </c>
      <c r="D31" s="120">
        <v>849802</v>
      </c>
      <c r="E31" s="119" t="s">
        <v>1299</v>
      </c>
      <c r="F31" s="72">
        <v>3.85</v>
      </c>
      <c r="G31" s="119">
        <v>257587</v>
      </c>
      <c r="H31" s="193">
        <f t="shared" si="4"/>
        <v>991710</v>
      </c>
      <c r="I31" s="63">
        <f t="shared" si="3"/>
        <v>222605.93599999999</v>
      </c>
      <c r="J31" s="194">
        <v>150004</v>
      </c>
      <c r="K31" s="194"/>
      <c r="L31" s="195"/>
      <c r="M31" s="194"/>
      <c r="N31" s="194"/>
      <c r="O31" s="194"/>
      <c r="P31" s="194"/>
      <c r="Q31" s="194"/>
      <c r="R31" s="194"/>
    </row>
    <row r="32" spans="1:18" ht="16.5" hidden="1" customHeight="1">
      <c r="A32" s="115" t="s">
        <v>1967</v>
      </c>
      <c r="B32" s="116" t="s">
        <v>1968</v>
      </c>
      <c r="C32" s="117" t="s">
        <v>163</v>
      </c>
      <c r="D32" s="120">
        <v>849802</v>
      </c>
      <c r="E32" s="119" t="s">
        <v>1299</v>
      </c>
      <c r="F32" s="72">
        <v>4.55</v>
      </c>
      <c r="G32" s="119">
        <v>257587</v>
      </c>
      <c r="H32" s="193">
        <f t="shared" si="4"/>
        <v>1172021</v>
      </c>
      <c r="I32" s="63">
        <f t="shared" si="3"/>
        <v>222605.93599999999</v>
      </c>
      <c r="J32" s="194">
        <v>150004</v>
      </c>
      <c r="K32" s="194"/>
      <c r="L32" s="195"/>
      <c r="M32" s="194"/>
      <c r="N32" s="194"/>
      <c r="O32" s="194"/>
      <c r="P32" s="194"/>
      <c r="Q32" s="194"/>
      <c r="R32" s="194"/>
    </row>
    <row r="33" spans="1:18" ht="16.5" hidden="1" customHeight="1">
      <c r="A33" s="115" t="s">
        <v>1969</v>
      </c>
      <c r="B33" s="116" t="s">
        <v>1970</v>
      </c>
      <c r="C33" s="117" t="s">
        <v>163</v>
      </c>
      <c r="D33" s="120">
        <v>849802</v>
      </c>
      <c r="E33" s="119" t="s">
        <v>1299</v>
      </c>
      <c r="F33" s="72">
        <v>5.32</v>
      </c>
      <c r="G33" s="119">
        <v>257587</v>
      </c>
      <c r="H33" s="193">
        <f t="shared" si="4"/>
        <v>1370363</v>
      </c>
      <c r="I33" s="63">
        <f t="shared" si="3"/>
        <v>282538.76</v>
      </c>
      <c r="J33" s="194">
        <v>190390</v>
      </c>
      <c r="K33" s="194"/>
      <c r="L33" s="195"/>
      <c r="M33" s="194"/>
      <c r="N33" s="194"/>
      <c r="O33" s="194"/>
      <c r="P33" s="194"/>
      <c r="Q33" s="194"/>
      <c r="R33" s="194"/>
    </row>
    <row r="34" spans="1:18" ht="16.5" hidden="1" customHeight="1">
      <c r="A34" s="115" t="s">
        <v>1971</v>
      </c>
      <c r="B34" s="116" t="s">
        <v>1972</v>
      </c>
      <c r="C34" s="117" t="s">
        <v>163</v>
      </c>
      <c r="D34" s="120">
        <v>849802</v>
      </c>
      <c r="E34" s="119" t="s">
        <v>1299</v>
      </c>
      <c r="F34" s="72">
        <v>6.3</v>
      </c>
      <c r="G34" s="119">
        <v>257587</v>
      </c>
      <c r="H34" s="193">
        <f t="shared" si="4"/>
        <v>1622798</v>
      </c>
      <c r="I34" s="63">
        <f t="shared" si="3"/>
        <v>282538.76</v>
      </c>
      <c r="J34" s="194">
        <v>190390</v>
      </c>
      <c r="K34" s="194"/>
      <c r="L34" s="195"/>
      <c r="M34" s="194"/>
      <c r="N34" s="194"/>
      <c r="O34" s="194"/>
      <c r="P34" s="194"/>
      <c r="Q34" s="194"/>
      <c r="R34" s="194"/>
    </row>
    <row r="35" spans="1:18" ht="16.5" hidden="1" customHeight="1">
      <c r="A35" s="115" t="s">
        <v>1973</v>
      </c>
      <c r="B35" s="116" t="s">
        <v>1974</v>
      </c>
      <c r="C35" s="117" t="s">
        <v>163</v>
      </c>
      <c r="D35" s="120">
        <v>849802</v>
      </c>
      <c r="E35" s="119" t="s">
        <v>1299</v>
      </c>
      <c r="F35" s="72">
        <v>7.35</v>
      </c>
      <c r="G35" s="119">
        <v>257587</v>
      </c>
      <c r="H35" s="193">
        <f t="shared" si="4"/>
        <v>1893264</v>
      </c>
      <c r="I35" s="63">
        <f t="shared" si="3"/>
        <v>333910.38799999998</v>
      </c>
      <c r="J35" s="194">
        <v>225007</v>
      </c>
      <c r="K35" s="194"/>
      <c r="L35" s="195"/>
      <c r="M35" s="194"/>
      <c r="N35" s="194"/>
      <c r="O35" s="194"/>
      <c r="P35" s="194"/>
      <c r="Q35" s="194"/>
      <c r="R35" s="194"/>
    </row>
    <row r="36" spans="1:18" ht="16.5" hidden="1" customHeight="1">
      <c r="A36" s="115"/>
      <c r="B36" s="116"/>
      <c r="C36" s="117"/>
      <c r="D36" s="120"/>
      <c r="E36" s="119"/>
      <c r="F36" s="72"/>
      <c r="G36" s="119"/>
      <c r="H36" s="193"/>
      <c r="I36" s="63">
        <f t="shared" si="3"/>
        <v>0</v>
      </c>
      <c r="J36" s="194"/>
      <c r="K36" s="194"/>
      <c r="L36" s="195"/>
      <c r="M36" s="194"/>
      <c r="N36" s="194"/>
      <c r="O36" s="194"/>
      <c r="P36" s="194"/>
      <c r="Q36" s="194"/>
      <c r="R36" s="194"/>
    </row>
    <row r="37" spans="1:18" ht="16.5" hidden="1" customHeight="1">
      <c r="A37" s="115" t="s">
        <v>1975</v>
      </c>
      <c r="B37" s="116" t="s">
        <v>1976</v>
      </c>
      <c r="C37" s="117" t="s">
        <v>163</v>
      </c>
      <c r="D37" s="118">
        <v>879521</v>
      </c>
      <c r="E37" s="119" t="s">
        <v>1299</v>
      </c>
      <c r="F37" s="72">
        <f>ROUND((2.28-(2.63-2.28)/(50-30)*(30-10)),2)</f>
        <v>1.93</v>
      </c>
      <c r="G37" s="119">
        <v>257587</v>
      </c>
      <c r="H37" s="185">
        <f>IF(G37&lt;&gt;0,ROUND(G37*F37,0), )</f>
        <v>497143</v>
      </c>
      <c r="I37" s="63">
        <f t="shared" ref="I37:I42" si="5">+K37</f>
        <v>376098.40927272727</v>
      </c>
      <c r="J37" s="66">
        <v>225007</v>
      </c>
      <c r="K37" s="194">
        <f t="shared" ref="K37:K42" si="6">+((L37*M37)+(N37*O37)+(P37*Q37))*(1+R37/100)</f>
        <v>376098.40927272727</v>
      </c>
      <c r="L37" s="72">
        <v>0.26</v>
      </c>
      <c r="M37" s="194">
        <v>1446532.3433566433</v>
      </c>
      <c r="N37" s="194"/>
      <c r="O37" s="194"/>
      <c r="P37" s="194"/>
      <c r="Q37" s="194"/>
      <c r="R37" s="194"/>
    </row>
    <row r="38" spans="1:18" ht="16.5" hidden="1" customHeight="1">
      <c r="A38" s="115" t="s">
        <v>1977</v>
      </c>
      <c r="B38" s="116" t="s">
        <v>1978</v>
      </c>
      <c r="C38" s="117" t="s">
        <v>163</v>
      </c>
      <c r="D38" s="118">
        <v>879521</v>
      </c>
      <c r="E38" s="119" t="s">
        <v>1299</v>
      </c>
      <c r="F38" s="72">
        <f>ROUND((2.28 -(2.63-2.28)/(50-30)*(30-15)),2)</f>
        <v>2.02</v>
      </c>
      <c r="G38" s="119">
        <v>257587</v>
      </c>
      <c r="H38" s="185">
        <f>IF(G38&lt;&gt;0,ROUND(G38*F38,0), )</f>
        <v>520326</v>
      </c>
      <c r="I38" s="63">
        <f t="shared" si="5"/>
        <v>376098.40927272727</v>
      </c>
      <c r="J38" s="66">
        <v>225007</v>
      </c>
      <c r="K38" s="194">
        <f t="shared" si="6"/>
        <v>376098.40927272727</v>
      </c>
      <c r="L38" s="72">
        <v>0.26</v>
      </c>
      <c r="M38" s="194">
        <v>1446532.3433566433</v>
      </c>
      <c r="N38" s="194"/>
      <c r="O38" s="194"/>
      <c r="P38" s="194"/>
      <c r="Q38" s="194"/>
      <c r="R38" s="194"/>
    </row>
    <row r="39" spans="1:18" ht="16.5" hidden="1" customHeight="1">
      <c r="A39" s="115" t="s">
        <v>1979</v>
      </c>
      <c r="B39" s="116" t="s">
        <v>1980</v>
      </c>
      <c r="C39" s="117" t="s">
        <v>163</v>
      </c>
      <c r="D39" s="118">
        <v>879521</v>
      </c>
      <c r="E39" s="119" t="s">
        <v>1299</v>
      </c>
      <c r="F39" s="72">
        <f>ROUND((2.28-((2.63-2.28)/(50-30))*(30-25)),2)</f>
        <v>2.19</v>
      </c>
      <c r="G39" s="119">
        <v>257587</v>
      </c>
      <c r="H39" s="185">
        <f>IF(G39&lt;&gt;0,ROUND(G39*F39,0), )</f>
        <v>564116</v>
      </c>
      <c r="I39" s="63">
        <f t="shared" si="5"/>
        <v>376098.40927272727</v>
      </c>
      <c r="J39" s="66">
        <v>225007</v>
      </c>
      <c r="K39" s="194">
        <f t="shared" si="6"/>
        <v>376098.40927272727</v>
      </c>
      <c r="L39" s="72">
        <v>0.26</v>
      </c>
      <c r="M39" s="194">
        <v>1446532.3433566433</v>
      </c>
      <c r="N39" s="194"/>
      <c r="O39" s="194"/>
      <c r="P39" s="194"/>
      <c r="Q39" s="194"/>
      <c r="R39" s="194"/>
    </row>
    <row r="40" spans="1:18" ht="16.5" hidden="1" customHeight="1">
      <c r="A40" s="115" t="s">
        <v>1981</v>
      </c>
      <c r="B40" s="116" t="s">
        <v>1982</v>
      </c>
      <c r="C40" s="117" t="s">
        <v>163</v>
      </c>
      <c r="D40" s="120">
        <v>246612</v>
      </c>
      <c r="E40" s="119" t="s">
        <v>1299</v>
      </c>
      <c r="F40" s="72">
        <v>2.2799999999999998</v>
      </c>
      <c r="G40" s="119">
        <v>257587</v>
      </c>
      <c r="H40" s="193">
        <f t="shared" ref="H40:H46" si="7">IF(G40&lt;&gt;0,ROUND(G40*F40,0), )</f>
        <v>587298</v>
      </c>
      <c r="I40" s="63">
        <f t="shared" si="5"/>
        <v>376098.40927272727</v>
      </c>
      <c r="J40" s="194">
        <v>150004</v>
      </c>
      <c r="K40" s="194">
        <f t="shared" si="6"/>
        <v>376098.40927272727</v>
      </c>
      <c r="L40" s="72">
        <v>0.26</v>
      </c>
      <c r="M40" s="194">
        <v>1446532.3433566433</v>
      </c>
      <c r="N40" s="194"/>
      <c r="O40" s="194"/>
      <c r="P40" s="194"/>
      <c r="Q40" s="194"/>
      <c r="R40" s="194"/>
    </row>
    <row r="41" spans="1:18" ht="16.5" hidden="1" customHeight="1">
      <c r="A41" s="115" t="s">
        <v>1983</v>
      </c>
      <c r="B41" s="116" t="s">
        <v>1984</v>
      </c>
      <c r="C41" s="117" t="s">
        <v>163</v>
      </c>
      <c r="D41" s="118">
        <v>879521</v>
      </c>
      <c r="E41" s="119" t="s">
        <v>1299</v>
      </c>
      <c r="F41" s="72">
        <f>ROUND((2.28 +(2.63-2.28)/(50-30)*(37.5-30)),2)</f>
        <v>2.41</v>
      </c>
      <c r="G41" s="119">
        <v>257587</v>
      </c>
      <c r="H41" s="185">
        <f t="shared" si="7"/>
        <v>620785</v>
      </c>
      <c r="I41" s="63">
        <f t="shared" si="5"/>
        <v>376098.40927272727</v>
      </c>
      <c r="J41" s="66">
        <v>225007</v>
      </c>
      <c r="K41" s="194">
        <f t="shared" si="6"/>
        <v>376098.40927272727</v>
      </c>
      <c r="L41" s="72">
        <v>0.26</v>
      </c>
      <c r="M41" s="194">
        <v>1446532.3433566433</v>
      </c>
      <c r="N41" s="194"/>
      <c r="O41" s="194"/>
      <c r="P41" s="194"/>
      <c r="Q41" s="194"/>
      <c r="R41" s="194"/>
    </row>
    <row r="42" spans="1:18" ht="16.5" hidden="1" customHeight="1">
      <c r="A42" s="115" t="s">
        <v>1985</v>
      </c>
      <c r="B42" s="116" t="s">
        <v>1986</v>
      </c>
      <c r="C42" s="117" t="s">
        <v>163</v>
      </c>
      <c r="D42" s="120">
        <v>284469</v>
      </c>
      <c r="E42" s="119" t="s">
        <v>1299</v>
      </c>
      <c r="F42" s="72">
        <v>2.63</v>
      </c>
      <c r="G42" s="119">
        <v>257587</v>
      </c>
      <c r="H42" s="193">
        <f t="shared" si="7"/>
        <v>677454</v>
      </c>
      <c r="I42" s="63">
        <f t="shared" si="5"/>
        <v>376098.40927272727</v>
      </c>
      <c r="J42" s="194">
        <v>150004</v>
      </c>
      <c r="K42" s="194">
        <f t="shared" si="6"/>
        <v>376098.40927272727</v>
      </c>
      <c r="L42" s="72">
        <v>0.26</v>
      </c>
      <c r="M42" s="194">
        <v>1446532.3433566433</v>
      </c>
      <c r="N42" s="194"/>
      <c r="O42" s="194"/>
      <c r="P42" s="194"/>
      <c r="Q42" s="194"/>
      <c r="R42" s="194"/>
    </row>
    <row r="43" spans="1:18" s="150" customFormat="1" ht="16.5" customHeight="1">
      <c r="A43" s="199" t="s">
        <v>161</v>
      </c>
      <c r="B43" s="200" t="s">
        <v>162</v>
      </c>
      <c r="C43" s="201" t="s">
        <v>163</v>
      </c>
      <c r="D43" s="202">
        <v>1701577</v>
      </c>
      <c r="E43" s="127"/>
      <c r="F43" s="205"/>
      <c r="G43" s="127"/>
      <c r="H43" s="203">
        <v>1062600</v>
      </c>
      <c r="I43" s="122"/>
      <c r="J43" s="204">
        <v>150004</v>
      </c>
      <c r="K43" s="204"/>
      <c r="L43" s="205"/>
      <c r="M43" s="204"/>
      <c r="N43" s="204"/>
      <c r="O43" s="204"/>
      <c r="P43" s="204"/>
      <c r="Q43" s="204"/>
      <c r="R43" s="204"/>
    </row>
    <row r="44" spans="1:18" ht="16.5" hidden="1" customHeight="1">
      <c r="A44" s="115" t="s">
        <v>1987</v>
      </c>
      <c r="B44" s="116" t="s">
        <v>1988</v>
      </c>
      <c r="C44" s="117" t="s">
        <v>163</v>
      </c>
      <c r="D44" s="120">
        <v>402366</v>
      </c>
      <c r="E44" s="119"/>
      <c r="F44" s="72"/>
      <c r="G44" s="119"/>
      <c r="H44" s="193">
        <f t="shared" si="7"/>
        <v>0</v>
      </c>
      <c r="I44" s="63"/>
      <c r="J44" s="194">
        <v>150004</v>
      </c>
      <c r="K44" s="194"/>
      <c r="L44" s="72"/>
      <c r="M44" s="194"/>
      <c r="N44" s="194"/>
      <c r="O44" s="194"/>
      <c r="P44" s="194"/>
      <c r="Q44" s="194"/>
      <c r="R44" s="194"/>
    </row>
    <row r="45" spans="1:18" ht="16.5" hidden="1" customHeight="1">
      <c r="A45" s="115" t="s">
        <v>1989</v>
      </c>
      <c r="B45" s="116" t="s">
        <v>1990</v>
      </c>
      <c r="C45" s="117" t="s">
        <v>163</v>
      </c>
      <c r="D45" s="120">
        <v>439412</v>
      </c>
      <c r="E45" s="119"/>
      <c r="F45" s="72"/>
      <c r="G45" s="119"/>
      <c r="H45" s="193">
        <f t="shared" si="7"/>
        <v>0</v>
      </c>
      <c r="I45" s="63"/>
      <c r="J45" s="194">
        <v>150004</v>
      </c>
      <c r="K45" s="194"/>
      <c r="L45" s="72"/>
      <c r="M45" s="194"/>
      <c r="N45" s="194"/>
      <c r="O45" s="194"/>
      <c r="P45" s="194"/>
      <c r="Q45" s="194"/>
      <c r="R45" s="194"/>
    </row>
    <row r="46" spans="1:18" ht="17.25" hidden="1" customHeight="1">
      <c r="A46" s="115" t="s">
        <v>1991</v>
      </c>
      <c r="B46" s="116" t="s">
        <v>1992</v>
      </c>
      <c r="C46" s="117" t="s">
        <v>163</v>
      </c>
      <c r="D46" s="120">
        <v>492142</v>
      </c>
      <c r="E46" s="119"/>
      <c r="F46" s="72"/>
      <c r="G46" s="119"/>
      <c r="H46" s="193">
        <f t="shared" si="7"/>
        <v>0</v>
      </c>
      <c r="I46" s="63"/>
      <c r="J46" s="194">
        <v>150004</v>
      </c>
      <c r="K46" s="194"/>
      <c r="L46" s="72"/>
      <c r="M46" s="194"/>
      <c r="N46" s="194"/>
      <c r="O46" s="194"/>
      <c r="P46" s="194"/>
      <c r="Q46" s="194"/>
      <c r="R46" s="194"/>
    </row>
    <row r="47" spans="1:18" ht="16.5" hidden="1" customHeight="1">
      <c r="A47" s="115"/>
      <c r="B47" s="116"/>
      <c r="C47" s="117"/>
      <c r="D47" s="120"/>
      <c r="E47" s="119"/>
      <c r="F47" s="72"/>
      <c r="G47" s="119"/>
      <c r="H47" s="193"/>
      <c r="I47" s="63"/>
      <c r="J47" s="194"/>
      <c r="K47" s="194"/>
      <c r="L47" s="195"/>
      <c r="M47" s="194"/>
      <c r="N47" s="194"/>
      <c r="O47" s="194"/>
      <c r="P47" s="194"/>
      <c r="Q47" s="194"/>
      <c r="R47" s="194"/>
    </row>
    <row r="48" spans="1:18" ht="16.5" hidden="1" customHeight="1">
      <c r="A48" s="115" t="s">
        <v>1993</v>
      </c>
      <c r="B48" s="116" t="s">
        <v>1994</v>
      </c>
      <c r="C48" s="117" t="s">
        <v>160</v>
      </c>
      <c r="D48" s="120">
        <v>12160</v>
      </c>
      <c r="E48" s="119"/>
      <c r="F48" s="72"/>
      <c r="G48" s="119"/>
      <c r="H48" s="193">
        <f t="shared" ref="H48:H53" si="8">IF(G48&lt;&gt;0,ROUND(G48*F48,0), )</f>
        <v>0</v>
      </c>
      <c r="I48" s="63"/>
      <c r="J48" s="194">
        <v>115388</v>
      </c>
      <c r="K48" s="194"/>
      <c r="L48" s="72"/>
      <c r="M48" s="194"/>
      <c r="N48" s="194"/>
      <c r="O48" s="194"/>
      <c r="P48" s="194"/>
      <c r="Q48" s="194"/>
      <c r="R48" s="194"/>
    </row>
    <row r="49" spans="1:18" ht="16.5" hidden="1" customHeight="1">
      <c r="A49" s="115" t="s">
        <v>1995</v>
      </c>
      <c r="B49" s="116" t="s">
        <v>1996</v>
      </c>
      <c r="C49" s="117" t="s">
        <v>160</v>
      </c>
      <c r="D49" s="120">
        <v>6931</v>
      </c>
      <c r="E49" s="119"/>
      <c r="F49" s="72"/>
      <c r="G49" s="119"/>
      <c r="H49" s="193">
        <f t="shared" si="8"/>
        <v>0</v>
      </c>
      <c r="I49" s="63"/>
      <c r="J49" s="194">
        <v>115388</v>
      </c>
      <c r="K49" s="194"/>
      <c r="L49" s="195"/>
      <c r="M49" s="194"/>
      <c r="N49" s="194"/>
      <c r="O49" s="194"/>
      <c r="P49" s="194"/>
      <c r="Q49" s="194"/>
      <c r="R49" s="194"/>
    </row>
    <row r="50" spans="1:18" ht="16.5" hidden="1" customHeight="1">
      <c r="A50" s="115" t="s">
        <v>1997</v>
      </c>
      <c r="B50" s="116" t="s">
        <v>1998</v>
      </c>
      <c r="C50" s="117" t="s">
        <v>160</v>
      </c>
      <c r="D50" s="120">
        <v>9728</v>
      </c>
      <c r="E50" s="119"/>
      <c r="F50" s="72"/>
      <c r="G50" s="119"/>
      <c r="H50" s="193">
        <f t="shared" si="8"/>
        <v>0</v>
      </c>
      <c r="I50" s="63"/>
      <c r="J50" s="194">
        <v>86541</v>
      </c>
      <c r="K50" s="194"/>
      <c r="L50" s="195"/>
      <c r="M50" s="194"/>
      <c r="N50" s="194"/>
      <c r="O50" s="194"/>
      <c r="P50" s="194"/>
      <c r="Q50" s="194"/>
      <c r="R50" s="194"/>
    </row>
    <row r="51" spans="1:18" ht="16.5" hidden="1" customHeight="1">
      <c r="A51" s="115" t="s">
        <v>1999</v>
      </c>
      <c r="B51" s="116" t="s">
        <v>2000</v>
      </c>
      <c r="C51" s="117" t="s">
        <v>160</v>
      </c>
      <c r="D51" s="120">
        <v>5545</v>
      </c>
      <c r="E51" s="119"/>
      <c r="F51" s="72"/>
      <c r="G51" s="119"/>
      <c r="H51" s="193">
        <f t="shared" si="8"/>
        <v>0</v>
      </c>
      <c r="I51" s="63"/>
      <c r="J51" s="194">
        <v>86541</v>
      </c>
      <c r="K51" s="194"/>
      <c r="L51" s="195"/>
      <c r="M51" s="194"/>
      <c r="N51" s="194"/>
      <c r="O51" s="194"/>
      <c r="P51" s="194"/>
      <c r="Q51" s="194"/>
      <c r="R51" s="194"/>
    </row>
    <row r="52" spans="1:18" ht="16.5" hidden="1" customHeight="1">
      <c r="A52" s="115" t="s">
        <v>2001</v>
      </c>
      <c r="B52" s="116" t="s">
        <v>2002</v>
      </c>
      <c r="C52" s="117" t="s">
        <v>160</v>
      </c>
      <c r="D52" s="120">
        <v>12160</v>
      </c>
      <c r="E52" s="119"/>
      <c r="F52" s="72"/>
      <c r="G52" s="119"/>
      <c r="H52" s="193">
        <f t="shared" si="8"/>
        <v>0</v>
      </c>
      <c r="I52" s="63"/>
      <c r="J52" s="194">
        <v>115388</v>
      </c>
      <c r="K52" s="194"/>
      <c r="L52" s="195"/>
      <c r="M52" s="194"/>
      <c r="N52" s="194"/>
      <c r="O52" s="194"/>
      <c r="P52" s="194"/>
      <c r="Q52" s="194"/>
      <c r="R52" s="194"/>
    </row>
    <row r="53" spans="1:18" ht="16.5" hidden="1" customHeight="1">
      <c r="A53" s="115" t="s">
        <v>2003</v>
      </c>
      <c r="B53" s="116" t="s">
        <v>2004</v>
      </c>
      <c r="C53" s="117" t="s">
        <v>237</v>
      </c>
      <c r="D53" s="120">
        <v>6931</v>
      </c>
      <c r="E53" s="119"/>
      <c r="F53" s="72"/>
      <c r="G53" s="119"/>
      <c r="H53" s="193">
        <f t="shared" si="8"/>
        <v>0</v>
      </c>
      <c r="I53" s="63"/>
      <c r="J53" s="194">
        <v>115388</v>
      </c>
      <c r="K53" s="194"/>
      <c r="L53" s="195"/>
      <c r="M53" s="194"/>
      <c r="N53" s="194"/>
      <c r="O53" s="194"/>
      <c r="P53" s="194"/>
      <c r="Q53" s="194"/>
      <c r="R53" s="194"/>
    </row>
    <row r="54" spans="1:18" ht="16.5" hidden="1" customHeight="1">
      <c r="A54" s="115"/>
      <c r="B54" s="116"/>
      <c r="C54" s="117"/>
      <c r="D54" s="120"/>
      <c r="E54" s="119"/>
      <c r="F54" s="72"/>
      <c r="G54" s="119"/>
      <c r="H54" s="193"/>
      <c r="I54" s="63"/>
      <c r="J54" s="194"/>
      <c r="K54" s="194"/>
      <c r="L54" s="195"/>
      <c r="M54" s="194"/>
      <c r="N54" s="194"/>
      <c r="O54" s="194"/>
      <c r="P54" s="194"/>
      <c r="Q54" s="194"/>
      <c r="R54" s="194"/>
    </row>
    <row r="55" spans="1:18" ht="16.5" hidden="1" customHeight="1">
      <c r="A55" s="115" t="s">
        <v>2005</v>
      </c>
      <c r="B55" s="116" t="s">
        <v>2006</v>
      </c>
      <c r="C55" s="117" t="s">
        <v>163</v>
      </c>
      <c r="D55" s="120">
        <v>44105</v>
      </c>
      <c r="E55" s="119"/>
      <c r="F55" s="72"/>
      <c r="G55" s="119"/>
      <c r="H55" s="193">
        <f>IF(G55&lt;&gt;0,ROUND(G55*F55,0), )</f>
        <v>0</v>
      </c>
      <c r="I55" s="63"/>
      <c r="J55" s="194">
        <v>230776</v>
      </c>
      <c r="K55" s="194"/>
      <c r="L55" s="195"/>
      <c r="M55" s="194"/>
      <c r="N55" s="194"/>
      <c r="O55" s="194"/>
      <c r="P55" s="194"/>
      <c r="Q55" s="194"/>
      <c r="R55" s="194"/>
    </row>
    <row r="56" spans="1:18" ht="16.5" hidden="1" customHeight="1">
      <c r="A56" s="115" t="s">
        <v>2007</v>
      </c>
      <c r="B56" s="116" t="s">
        <v>2008</v>
      </c>
      <c r="C56" s="117" t="s">
        <v>163</v>
      </c>
      <c r="D56" s="120">
        <v>44105</v>
      </c>
      <c r="E56" s="119"/>
      <c r="F56" s="72"/>
      <c r="G56" s="119"/>
      <c r="H56" s="193">
        <f>IF(G56&lt;&gt;0,ROUND(G56*F56,0), )</f>
        <v>0</v>
      </c>
      <c r="I56" s="63"/>
      <c r="J56" s="194">
        <v>15388</v>
      </c>
      <c r="K56" s="194"/>
      <c r="L56" s="195"/>
      <c r="M56" s="194"/>
      <c r="N56" s="194"/>
      <c r="O56" s="194"/>
      <c r="P56" s="194"/>
      <c r="Q56" s="194"/>
      <c r="R56" s="194"/>
    </row>
    <row r="57" spans="1:18" ht="16.5" hidden="1" customHeight="1">
      <c r="A57" s="115"/>
      <c r="B57" s="116"/>
      <c r="C57" s="117"/>
      <c r="D57" s="120"/>
      <c r="E57" s="119"/>
      <c r="F57" s="72"/>
      <c r="G57" s="119"/>
      <c r="H57" s="193"/>
      <c r="I57" s="63"/>
      <c r="J57" s="194"/>
      <c r="K57" s="194"/>
      <c r="L57" s="195"/>
      <c r="M57" s="194"/>
      <c r="N57" s="194"/>
      <c r="O57" s="194"/>
      <c r="P57" s="194"/>
      <c r="Q57" s="194"/>
      <c r="R57" s="194"/>
    </row>
    <row r="58" spans="1:18" ht="16.5" hidden="1" customHeight="1">
      <c r="A58" s="115" t="s">
        <v>2009</v>
      </c>
      <c r="B58" s="116" t="s">
        <v>2010</v>
      </c>
      <c r="C58" s="117" t="s">
        <v>237</v>
      </c>
      <c r="D58" s="120">
        <v>8450</v>
      </c>
      <c r="E58" s="119"/>
      <c r="F58" s="72"/>
      <c r="G58" s="119"/>
      <c r="H58" s="185">
        <f t="shared" ref="H58:H70" si="9">IF(G58&lt;&gt;0,ROUND(G58*F58,0), )</f>
        <v>0</v>
      </c>
      <c r="I58" s="63"/>
      <c r="J58" s="66">
        <v>71310</v>
      </c>
      <c r="K58" s="194"/>
      <c r="L58" s="195"/>
      <c r="M58" s="194"/>
      <c r="N58" s="194"/>
      <c r="O58" s="194"/>
      <c r="P58" s="194"/>
      <c r="Q58" s="194"/>
      <c r="R58" s="194">
        <v>3</v>
      </c>
    </row>
    <row r="59" spans="1:18" ht="16.5" hidden="1" customHeight="1">
      <c r="A59" s="115" t="s">
        <v>2011</v>
      </c>
      <c r="B59" s="116" t="s">
        <v>2012</v>
      </c>
      <c r="C59" s="117" t="s">
        <v>237</v>
      </c>
      <c r="D59" s="120">
        <v>8450</v>
      </c>
      <c r="E59" s="119"/>
      <c r="F59" s="72"/>
      <c r="G59" s="119"/>
      <c r="H59" s="185">
        <f t="shared" si="9"/>
        <v>0</v>
      </c>
      <c r="I59" s="63"/>
      <c r="J59" s="66">
        <v>71310</v>
      </c>
      <c r="K59" s="194"/>
      <c r="L59" s="195"/>
      <c r="M59" s="194"/>
      <c r="N59" s="194"/>
      <c r="O59" s="194"/>
      <c r="P59" s="194"/>
      <c r="Q59" s="194"/>
      <c r="R59" s="194">
        <v>3</v>
      </c>
    </row>
    <row r="60" spans="1:18" ht="16.5" hidden="1" customHeight="1">
      <c r="A60" s="115" t="s">
        <v>2013</v>
      </c>
      <c r="B60" s="116" t="s">
        <v>2014</v>
      </c>
      <c r="C60" s="117" t="s">
        <v>237</v>
      </c>
      <c r="D60" s="120">
        <v>8450</v>
      </c>
      <c r="E60" s="119"/>
      <c r="F60" s="72"/>
      <c r="G60" s="119"/>
      <c r="H60" s="185">
        <f t="shared" si="9"/>
        <v>0</v>
      </c>
      <c r="I60" s="63"/>
      <c r="J60" s="66">
        <v>71310</v>
      </c>
      <c r="K60" s="194"/>
      <c r="L60" s="195"/>
      <c r="M60" s="194"/>
      <c r="N60" s="194"/>
      <c r="O60" s="194"/>
      <c r="P60" s="194"/>
      <c r="Q60" s="194"/>
      <c r="R60" s="194">
        <v>3</v>
      </c>
    </row>
    <row r="61" spans="1:18" ht="16.5" hidden="1" customHeight="1">
      <c r="A61" s="115" t="s">
        <v>2015</v>
      </c>
      <c r="B61" s="116" t="s">
        <v>2016</v>
      </c>
      <c r="C61" s="117" t="s">
        <v>237</v>
      </c>
      <c r="D61" s="120">
        <v>22880</v>
      </c>
      <c r="E61" s="119"/>
      <c r="F61" s="72"/>
      <c r="G61" s="119"/>
      <c r="H61" s="193">
        <f t="shared" si="9"/>
        <v>0</v>
      </c>
      <c r="I61" s="63"/>
      <c r="J61" s="194">
        <v>142620</v>
      </c>
      <c r="K61" s="194"/>
      <c r="L61" s="195"/>
      <c r="M61" s="194"/>
      <c r="N61" s="194"/>
      <c r="O61" s="194"/>
      <c r="P61" s="194"/>
      <c r="Q61" s="194"/>
      <c r="R61" s="194">
        <v>3</v>
      </c>
    </row>
    <row r="62" spans="1:18" ht="16.5" hidden="1" customHeight="1">
      <c r="A62" s="115" t="s">
        <v>2017</v>
      </c>
      <c r="B62" s="116" t="s">
        <v>2018</v>
      </c>
      <c r="C62" s="117" t="s">
        <v>237</v>
      </c>
      <c r="D62" s="120">
        <v>22880</v>
      </c>
      <c r="E62" s="119"/>
      <c r="F62" s="72"/>
      <c r="G62" s="119"/>
      <c r="H62" s="193">
        <f t="shared" si="9"/>
        <v>0</v>
      </c>
      <c r="I62" s="63"/>
      <c r="J62" s="194">
        <v>142620</v>
      </c>
      <c r="K62" s="194"/>
      <c r="L62" s="195"/>
      <c r="M62" s="194"/>
      <c r="N62" s="194"/>
      <c r="O62" s="194"/>
      <c r="P62" s="194"/>
      <c r="Q62" s="194"/>
      <c r="R62" s="194">
        <v>3</v>
      </c>
    </row>
    <row r="63" spans="1:18" ht="16.5" hidden="1" customHeight="1">
      <c r="A63" s="115" t="s">
        <v>2019</v>
      </c>
      <c r="B63" s="116" t="s">
        <v>2020</v>
      </c>
      <c r="C63" s="117" t="s">
        <v>237</v>
      </c>
      <c r="D63" s="120">
        <v>22880</v>
      </c>
      <c r="E63" s="119"/>
      <c r="F63" s="72"/>
      <c r="G63" s="119"/>
      <c r="H63" s="193">
        <f t="shared" si="9"/>
        <v>0</v>
      </c>
      <c r="I63" s="63"/>
      <c r="J63" s="194">
        <v>142620</v>
      </c>
      <c r="K63" s="194"/>
      <c r="L63" s="195"/>
      <c r="M63" s="194"/>
      <c r="N63" s="194"/>
      <c r="O63" s="194"/>
      <c r="P63" s="194"/>
      <c r="Q63" s="194"/>
      <c r="R63" s="194">
        <v>3</v>
      </c>
    </row>
    <row r="64" spans="1:18" ht="16.5" hidden="1" customHeight="1">
      <c r="A64" s="115" t="s">
        <v>2021</v>
      </c>
      <c r="B64" s="116" t="s">
        <v>2022</v>
      </c>
      <c r="C64" s="117" t="s">
        <v>237</v>
      </c>
      <c r="D64" s="120">
        <v>29850</v>
      </c>
      <c r="E64" s="119"/>
      <c r="F64" s="72"/>
      <c r="G64" s="119"/>
      <c r="H64" s="185">
        <f t="shared" si="9"/>
        <v>0</v>
      </c>
      <c r="I64" s="63"/>
      <c r="J64" s="66"/>
      <c r="K64" s="194"/>
      <c r="L64" s="195"/>
      <c r="M64" s="194"/>
      <c r="N64" s="194"/>
      <c r="O64" s="194"/>
      <c r="P64" s="194"/>
      <c r="Q64" s="194"/>
      <c r="R64" s="194"/>
    </row>
    <row r="65" spans="1:18" ht="16.5" hidden="1" customHeight="1">
      <c r="A65" s="115" t="s">
        <v>2023</v>
      </c>
      <c r="B65" s="116" t="s">
        <v>2024</v>
      </c>
      <c r="C65" s="117" t="s">
        <v>237</v>
      </c>
      <c r="D65" s="120">
        <v>29850</v>
      </c>
      <c r="E65" s="119"/>
      <c r="F65" s="72"/>
      <c r="G65" s="119"/>
      <c r="H65" s="185">
        <f t="shared" si="9"/>
        <v>0</v>
      </c>
      <c r="I65" s="63"/>
      <c r="J65" s="66"/>
      <c r="K65" s="194"/>
      <c r="L65" s="195"/>
      <c r="M65" s="194"/>
      <c r="N65" s="194"/>
      <c r="O65" s="194"/>
      <c r="P65" s="194"/>
      <c r="Q65" s="194"/>
      <c r="R65" s="194"/>
    </row>
    <row r="66" spans="1:18" ht="16.5" hidden="1" customHeight="1">
      <c r="A66" s="115" t="s">
        <v>2025</v>
      </c>
      <c r="B66" s="116" t="s">
        <v>2026</v>
      </c>
      <c r="C66" s="117" t="s">
        <v>237</v>
      </c>
      <c r="D66" s="120">
        <v>29850</v>
      </c>
      <c r="E66" s="119"/>
      <c r="F66" s="72"/>
      <c r="G66" s="119"/>
      <c r="H66" s="185">
        <f t="shared" si="9"/>
        <v>0</v>
      </c>
      <c r="I66" s="63"/>
      <c r="J66" s="66"/>
      <c r="K66" s="194"/>
      <c r="L66" s="195"/>
      <c r="M66" s="194"/>
      <c r="N66" s="194"/>
      <c r="O66" s="194"/>
      <c r="P66" s="194"/>
      <c r="Q66" s="194"/>
      <c r="R66" s="194"/>
    </row>
    <row r="67" spans="1:18" ht="16.5" hidden="1" customHeight="1">
      <c r="A67" s="115" t="s">
        <v>2027</v>
      </c>
      <c r="B67" s="116" t="s">
        <v>2028</v>
      </c>
      <c r="C67" s="117" t="s">
        <v>237</v>
      </c>
      <c r="D67" s="120">
        <v>29850</v>
      </c>
      <c r="E67" s="119"/>
      <c r="F67" s="72"/>
      <c r="G67" s="119"/>
      <c r="H67" s="185">
        <f>IF(G67&lt;&gt;0,ROUND(G67*F67,0), )</f>
        <v>0</v>
      </c>
      <c r="I67" s="63"/>
      <c r="J67" s="66"/>
      <c r="K67" s="194"/>
      <c r="L67" s="195"/>
      <c r="M67" s="194"/>
      <c r="N67" s="194"/>
      <c r="O67" s="194"/>
      <c r="P67" s="194"/>
      <c r="Q67" s="194"/>
      <c r="R67" s="194"/>
    </row>
    <row r="68" spans="1:18" ht="16.5" hidden="1" customHeight="1">
      <c r="A68" s="115" t="s">
        <v>2029</v>
      </c>
      <c r="B68" s="116" t="s">
        <v>2030</v>
      </c>
      <c r="C68" s="117" t="s">
        <v>237</v>
      </c>
      <c r="D68" s="120">
        <f>0.5*29850</f>
        <v>14925</v>
      </c>
      <c r="E68" s="119"/>
      <c r="F68" s="72"/>
      <c r="G68" s="119"/>
      <c r="H68" s="185">
        <f t="shared" si="9"/>
        <v>0</v>
      </c>
      <c r="I68" s="63"/>
      <c r="J68" s="66"/>
      <c r="K68" s="194"/>
      <c r="L68" s="195"/>
      <c r="M68" s="194"/>
      <c r="N68" s="194"/>
      <c r="O68" s="194"/>
      <c r="P68" s="194"/>
      <c r="Q68" s="194"/>
      <c r="R68" s="194"/>
    </row>
    <row r="69" spans="1:18" ht="16.5" hidden="1" customHeight="1">
      <c r="A69" s="115" t="s">
        <v>2031</v>
      </c>
      <c r="B69" s="116" t="s">
        <v>2032</v>
      </c>
      <c r="C69" s="117" t="s">
        <v>237</v>
      </c>
      <c r="D69" s="120">
        <f>0.5*29850</f>
        <v>14925</v>
      </c>
      <c r="E69" s="119"/>
      <c r="F69" s="72"/>
      <c r="G69" s="119"/>
      <c r="H69" s="185">
        <f t="shared" si="9"/>
        <v>0</v>
      </c>
      <c r="I69" s="63"/>
      <c r="J69" s="66"/>
      <c r="K69" s="194"/>
      <c r="L69" s="195"/>
      <c r="M69" s="194"/>
      <c r="N69" s="194"/>
      <c r="O69" s="194"/>
      <c r="P69" s="194"/>
      <c r="Q69" s="194"/>
      <c r="R69" s="194"/>
    </row>
    <row r="70" spans="1:18" ht="16.5" hidden="1" customHeight="1">
      <c r="A70" s="115" t="s">
        <v>2033</v>
      </c>
      <c r="B70" s="116" t="s">
        <v>2034</v>
      </c>
      <c r="C70" s="117" t="s">
        <v>237</v>
      </c>
      <c r="D70" s="120">
        <f>0.5*29850</f>
        <v>14925</v>
      </c>
      <c r="E70" s="119"/>
      <c r="F70" s="72"/>
      <c r="G70" s="119"/>
      <c r="H70" s="185">
        <f t="shared" si="9"/>
        <v>0</v>
      </c>
      <c r="I70" s="63"/>
      <c r="J70" s="66"/>
      <c r="K70" s="194"/>
      <c r="L70" s="195"/>
      <c r="M70" s="194"/>
      <c r="N70" s="194"/>
      <c r="O70" s="194"/>
      <c r="P70" s="194"/>
      <c r="Q70" s="194"/>
      <c r="R70" s="194"/>
    </row>
    <row r="71" spans="1:18" ht="16.5" hidden="1" customHeight="1">
      <c r="A71" s="115"/>
      <c r="B71" s="116"/>
      <c r="C71" s="117"/>
      <c r="D71" s="120"/>
      <c r="E71" s="119"/>
      <c r="F71" s="72"/>
      <c r="G71" s="119"/>
      <c r="H71" s="185"/>
      <c r="I71" s="63"/>
      <c r="J71" s="66"/>
      <c r="K71" s="194"/>
      <c r="L71" s="195"/>
      <c r="M71" s="194"/>
      <c r="N71" s="194"/>
      <c r="O71" s="194"/>
      <c r="P71" s="194"/>
      <c r="Q71" s="194"/>
      <c r="R71" s="194"/>
    </row>
    <row r="72" spans="1:18" ht="16.5" hidden="1" customHeight="1">
      <c r="A72" s="115" t="s">
        <v>2035</v>
      </c>
      <c r="B72" s="116" t="s">
        <v>2036</v>
      </c>
      <c r="C72" s="117" t="s">
        <v>237</v>
      </c>
      <c r="D72" s="120">
        <v>800</v>
      </c>
      <c r="E72" s="119"/>
      <c r="F72" s="72"/>
      <c r="G72" s="119"/>
      <c r="H72" s="185">
        <f t="shared" ref="H72:H81" si="10">IF(G72&lt;&gt;0,ROUND(G72*F72,0), )</f>
        <v>0</v>
      </c>
      <c r="I72" s="63"/>
      <c r="J72" s="66"/>
      <c r="K72" s="194"/>
      <c r="L72" s="195"/>
      <c r="M72" s="194"/>
      <c r="N72" s="194"/>
      <c r="O72" s="194"/>
      <c r="P72" s="194"/>
      <c r="Q72" s="194"/>
      <c r="R72" s="194"/>
    </row>
    <row r="73" spans="1:18" ht="16.5" hidden="1" customHeight="1">
      <c r="A73" s="121" t="s">
        <v>2037</v>
      </c>
      <c r="B73" s="116" t="s">
        <v>2038</v>
      </c>
      <c r="C73" s="117" t="s">
        <v>237</v>
      </c>
      <c r="D73" s="120">
        <v>800</v>
      </c>
      <c r="E73" s="119"/>
      <c r="F73" s="72"/>
      <c r="G73" s="119"/>
      <c r="H73" s="185">
        <f t="shared" si="10"/>
        <v>0</v>
      </c>
      <c r="I73" s="63"/>
      <c r="J73" s="66"/>
      <c r="K73" s="194"/>
      <c r="L73" s="195"/>
      <c r="M73" s="194"/>
      <c r="N73" s="194"/>
      <c r="O73" s="194"/>
      <c r="P73" s="194"/>
      <c r="Q73" s="194"/>
      <c r="R73" s="194"/>
    </row>
    <row r="74" spans="1:18" ht="16.5" hidden="1" customHeight="1">
      <c r="A74" s="121" t="s">
        <v>2039</v>
      </c>
      <c r="B74" s="116" t="s">
        <v>2040</v>
      </c>
      <c r="C74" s="117" t="s">
        <v>237</v>
      </c>
      <c r="D74" s="120">
        <v>1600</v>
      </c>
      <c r="E74" s="119"/>
      <c r="F74" s="72"/>
      <c r="G74" s="119"/>
      <c r="H74" s="185">
        <f t="shared" si="10"/>
        <v>0</v>
      </c>
      <c r="I74" s="63"/>
      <c r="J74" s="66"/>
      <c r="K74" s="194"/>
      <c r="L74" s="195"/>
      <c r="M74" s="194"/>
      <c r="N74" s="194"/>
      <c r="O74" s="194"/>
      <c r="P74" s="194"/>
      <c r="Q74" s="194"/>
      <c r="R74" s="194"/>
    </row>
    <row r="75" spans="1:18" ht="16.5" hidden="1" customHeight="1">
      <c r="A75" s="121" t="s">
        <v>2041</v>
      </c>
      <c r="B75" s="116" t="s">
        <v>2042</v>
      </c>
      <c r="C75" s="117" t="s">
        <v>237</v>
      </c>
      <c r="D75" s="120">
        <v>1600</v>
      </c>
      <c r="E75" s="119"/>
      <c r="F75" s="72"/>
      <c r="G75" s="119"/>
      <c r="H75" s="185">
        <f t="shared" si="10"/>
        <v>0</v>
      </c>
      <c r="I75" s="63"/>
      <c r="J75" s="66"/>
      <c r="K75" s="194"/>
      <c r="L75" s="195"/>
      <c r="M75" s="194"/>
      <c r="N75" s="194"/>
      <c r="O75" s="194"/>
      <c r="P75" s="194"/>
      <c r="Q75" s="194"/>
      <c r="R75" s="194"/>
    </row>
    <row r="76" spans="1:18" ht="16.5" hidden="1" customHeight="1">
      <c r="A76" s="115" t="s">
        <v>2043</v>
      </c>
      <c r="B76" s="116" t="s">
        <v>2044</v>
      </c>
      <c r="C76" s="117" t="s">
        <v>237</v>
      </c>
      <c r="D76" s="120">
        <v>1600</v>
      </c>
      <c r="E76" s="119"/>
      <c r="F76" s="72"/>
      <c r="G76" s="119"/>
      <c r="H76" s="185">
        <f t="shared" si="10"/>
        <v>0</v>
      </c>
      <c r="I76" s="63"/>
      <c r="J76" s="66"/>
      <c r="K76" s="194"/>
      <c r="L76" s="195"/>
      <c r="M76" s="194"/>
      <c r="N76" s="194"/>
      <c r="O76" s="194"/>
      <c r="P76" s="194"/>
      <c r="Q76" s="194"/>
      <c r="R76" s="194"/>
    </row>
    <row r="77" spans="1:18" ht="16.5" hidden="1" customHeight="1">
      <c r="A77" s="115" t="s">
        <v>2045</v>
      </c>
      <c r="B77" s="116" t="s">
        <v>2046</v>
      </c>
      <c r="C77" s="117" t="s">
        <v>237</v>
      </c>
      <c r="D77" s="120">
        <f>0.8*800</f>
        <v>640</v>
      </c>
      <c r="E77" s="119"/>
      <c r="F77" s="72"/>
      <c r="G77" s="119"/>
      <c r="H77" s="193">
        <f t="shared" si="10"/>
        <v>0</v>
      </c>
      <c r="I77" s="63"/>
      <c r="J77" s="194"/>
      <c r="K77" s="194"/>
      <c r="L77" s="195"/>
      <c r="M77" s="194"/>
      <c r="N77" s="194"/>
      <c r="O77" s="194"/>
      <c r="P77" s="194"/>
      <c r="Q77" s="194"/>
      <c r="R77" s="194"/>
    </row>
    <row r="78" spans="1:18" ht="16.5" hidden="1" customHeight="1">
      <c r="A78" s="121" t="s">
        <v>2047</v>
      </c>
      <c r="B78" s="116" t="s">
        <v>2048</v>
      </c>
      <c r="C78" s="117" t="s">
        <v>237</v>
      </c>
      <c r="D78" s="120">
        <f>0.8*800</f>
        <v>640</v>
      </c>
      <c r="E78" s="119"/>
      <c r="F78" s="72"/>
      <c r="G78" s="119"/>
      <c r="H78" s="193">
        <f t="shared" si="10"/>
        <v>0</v>
      </c>
      <c r="I78" s="63"/>
      <c r="J78" s="194"/>
      <c r="K78" s="194"/>
      <c r="L78" s="195"/>
      <c r="M78" s="194"/>
      <c r="N78" s="194"/>
      <c r="O78" s="194"/>
      <c r="P78" s="194"/>
      <c r="Q78" s="194"/>
      <c r="R78" s="194"/>
    </row>
    <row r="79" spans="1:18" ht="16.5" hidden="1" customHeight="1">
      <c r="A79" s="121" t="s">
        <v>2049</v>
      </c>
      <c r="B79" s="116" t="s">
        <v>2048</v>
      </c>
      <c r="C79" s="117" t="s">
        <v>237</v>
      </c>
      <c r="D79" s="120">
        <f>0.8*1600</f>
        <v>1280</v>
      </c>
      <c r="E79" s="119"/>
      <c r="F79" s="72"/>
      <c r="G79" s="119"/>
      <c r="H79" s="193">
        <f t="shared" si="10"/>
        <v>0</v>
      </c>
      <c r="I79" s="63"/>
      <c r="J79" s="194"/>
      <c r="K79" s="194"/>
      <c r="L79" s="195"/>
      <c r="M79" s="194"/>
      <c r="N79" s="194"/>
      <c r="O79" s="194"/>
      <c r="P79" s="194"/>
      <c r="Q79" s="194"/>
      <c r="R79" s="194"/>
    </row>
    <row r="80" spans="1:18" ht="16.5" hidden="1" customHeight="1">
      <c r="A80" s="121" t="s">
        <v>2050</v>
      </c>
      <c r="B80" s="116" t="s">
        <v>2051</v>
      </c>
      <c r="C80" s="117" t="s">
        <v>237</v>
      </c>
      <c r="D80" s="120">
        <f>0.8*1600</f>
        <v>1280</v>
      </c>
      <c r="E80" s="119"/>
      <c r="F80" s="72"/>
      <c r="G80" s="119"/>
      <c r="H80" s="193">
        <f t="shared" si="10"/>
        <v>0</v>
      </c>
      <c r="I80" s="63"/>
      <c r="J80" s="194"/>
      <c r="K80" s="194"/>
      <c r="L80" s="195"/>
      <c r="M80" s="194"/>
      <c r="N80" s="194"/>
      <c r="O80" s="194"/>
      <c r="P80" s="194"/>
      <c r="Q80" s="194"/>
      <c r="R80" s="194"/>
    </row>
    <row r="81" spans="1:18" ht="16.5" hidden="1" customHeight="1">
      <c r="A81" s="115" t="s">
        <v>2052</v>
      </c>
      <c r="B81" s="116" t="s">
        <v>2053</v>
      </c>
      <c r="C81" s="117" t="s">
        <v>237</v>
      </c>
      <c r="D81" s="120">
        <f>0.8*1600</f>
        <v>1280</v>
      </c>
      <c r="E81" s="119"/>
      <c r="F81" s="72"/>
      <c r="G81" s="119"/>
      <c r="H81" s="193">
        <f t="shared" si="10"/>
        <v>0</v>
      </c>
      <c r="I81" s="63"/>
      <c r="J81" s="194"/>
      <c r="K81" s="194"/>
      <c r="L81" s="195"/>
      <c r="M81" s="194"/>
      <c r="N81" s="194"/>
      <c r="O81" s="194"/>
      <c r="P81" s="194"/>
      <c r="Q81" s="194"/>
      <c r="R81" s="194"/>
    </row>
    <row r="82" spans="1:18" ht="16.5" hidden="1" customHeight="1">
      <c r="A82" s="115"/>
      <c r="B82" s="116"/>
      <c r="C82" s="117"/>
      <c r="D82" s="120"/>
      <c r="E82" s="119"/>
      <c r="F82" s="72"/>
      <c r="G82" s="119"/>
      <c r="H82" s="193"/>
      <c r="I82" s="63"/>
      <c r="J82" s="194"/>
      <c r="K82" s="194"/>
      <c r="L82" s="195"/>
      <c r="M82" s="194"/>
      <c r="N82" s="194"/>
      <c r="O82" s="194"/>
      <c r="P82" s="194"/>
      <c r="Q82" s="194"/>
      <c r="R82" s="194"/>
    </row>
    <row r="83" spans="1:18" ht="16.5" hidden="1" customHeight="1">
      <c r="A83" s="115" t="s">
        <v>2054</v>
      </c>
      <c r="B83" s="116" t="s">
        <v>2055</v>
      </c>
      <c r="C83" s="117" t="s">
        <v>237</v>
      </c>
      <c r="D83" s="120">
        <v>38792</v>
      </c>
      <c r="E83" s="119"/>
      <c r="F83" s="72"/>
      <c r="G83" s="119"/>
      <c r="H83" s="193">
        <f>IF(G83&lt;&gt;0,ROUND(G83*F83,0), )</f>
        <v>0</v>
      </c>
      <c r="I83" s="63"/>
      <c r="J83" s="194"/>
      <c r="K83" s="194"/>
      <c r="L83" s="195"/>
      <c r="M83" s="194"/>
      <c r="N83" s="194"/>
      <c r="O83" s="194"/>
      <c r="P83" s="194"/>
      <c r="Q83" s="194"/>
      <c r="R83" s="194"/>
    </row>
    <row r="84" spans="1:18" ht="16.5" hidden="1" customHeight="1">
      <c r="A84" s="115" t="s">
        <v>2056</v>
      </c>
      <c r="B84" s="116" t="s">
        <v>2057</v>
      </c>
      <c r="C84" s="117" t="s">
        <v>237</v>
      </c>
      <c r="D84" s="120">
        <v>38792</v>
      </c>
      <c r="E84" s="119"/>
      <c r="F84" s="72"/>
      <c r="G84" s="119"/>
      <c r="H84" s="193">
        <f>IF(G84&lt;&gt;0,ROUND(G84*F84,0), )</f>
        <v>0</v>
      </c>
      <c r="I84" s="63"/>
      <c r="J84" s="194"/>
      <c r="K84" s="194"/>
      <c r="L84" s="195"/>
      <c r="M84" s="194"/>
      <c r="N84" s="194"/>
      <c r="O84" s="194"/>
      <c r="P84" s="194"/>
      <c r="Q84" s="194"/>
      <c r="R84" s="194"/>
    </row>
    <row r="85" spans="1:18" ht="16.5" hidden="1" customHeight="1">
      <c r="A85" s="115" t="s">
        <v>2058</v>
      </c>
      <c r="B85" s="116" t="s">
        <v>2059</v>
      </c>
      <c r="C85" s="117" t="s">
        <v>237</v>
      </c>
      <c r="D85" s="120">
        <v>13565</v>
      </c>
      <c r="E85" s="119"/>
      <c r="F85" s="72"/>
      <c r="G85" s="119"/>
      <c r="H85" s="193">
        <f>IF(G85&lt;&gt;0,ROUND(G85*F85,0), )</f>
        <v>0</v>
      </c>
      <c r="I85" s="63"/>
      <c r="J85" s="194"/>
      <c r="K85" s="194"/>
      <c r="L85" s="195"/>
      <c r="M85" s="194"/>
      <c r="N85" s="194"/>
      <c r="O85" s="194"/>
      <c r="P85" s="194"/>
      <c r="Q85" s="194"/>
      <c r="R85" s="194"/>
    </row>
    <row r="86" spans="1:18" ht="16.5" hidden="1" customHeight="1">
      <c r="A86" s="115"/>
      <c r="B86" s="116"/>
      <c r="C86" s="117"/>
      <c r="D86" s="120"/>
      <c r="E86" s="119"/>
      <c r="F86" s="72"/>
      <c r="G86" s="119"/>
      <c r="H86" s="185"/>
      <c r="I86" s="63"/>
      <c r="J86" s="66"/>
      <c r="K86" s="194"/>
      <c r="L86" s="195"/>
      <c r="M86" s="194"/>
      <c r="N86" s="194"/>
      <c r="O86" s="194"/>
      <c r="P86" s="194"/>
      <c r="Q86" s="194"/>
      <c r="R86" s="194"/>
    </row>
    <row r="87" spans="1:18" ht="16.5" hidden="1" customHeight="1">
      <c r="A87" s="115" t="s">
        <v>2060</v>
      </c>
      <c r="B87" s="116" t="s">
        <v>2061</v>
      </c>
      <c r="C87" s="117" t="s">
        <v>237</v>
      </c>
      <c r="D87" s="120">
        <v>13565</v>
      </c>
      <c r="E87" s="119"/>
      <c r="F87" s="72"/>
      <c r="G87" s="119"/>
      <c r="H87" s="193">
        <f>IF(G87&lt;&gt;0,ROUND(G87*F87,0), )</f>
        <v>0</v>
      </c>
      <c r="I87" s="63"/>
      <c r="J87" s="194"/>
      <c r="K87" s="194"/>
      <c r="L87" s="195"/>
      <c r="M87" s="194"/>
      <c r="N87" s="194"/>
      <c r="O87" s="194"/>
      <c r="P87" s="194"/>
      <c r="Q87" s="194"/>
      <c r="R87" s="194"/>
    </row>
    <row r="88" spans="1:18" ht="16.5" hidden="1" customHeight="1">
      <c r="A88" s="115" t="s">
        <v>2062</v>
      </c>
      <c r="B88" s="116" t="s">
        <v>2063</v>
      </c>
      <c r="C88" s="117" t="s">
        <v>237</v>
      </c>
      <c r="D88" s="120">
        <v>13565</v>
      </c>
      <c r="E88" s="119"/>
      <c r="F88" s="72"/>
      <c r="G88" s="119"/>
      <c r="H88" s="193">
        <f>IF(G88&lt;&gt;0,ROUND(G88*F88,0), )</f>
        <v>0</v>
      </c>
      <c r="I88" s="63"/>
      <c r="J88" s="194"/>
      <c r="K88" s="194"/>
      <c r="L88" s="195"/>
      <c r="M88" s="194"/>
      <c r="N88" s="194"/>
      <c r="O88" s="194"/>
      <c r="P88" s="194"/>
      <c r="Q88" s="194"/>
      <c r="R88" s="194"/>
    </row>
    <row r="89" spans="1:18" s="150" customFormat="1" ht="16.5" customHeight="1">
      <c r="A89" s="199" t="s">
        <v>164</v>
      </c>
      <c r="B89" s="200" t="s">
        <v>165</v>
      </c>
      <c r="C89" s="201" t="s">
        <v>51</v>
      </c>
      <c r="D89" s="202">
        <v>18900</v>
      </c>
      <c r="E89" s="127"/>
      <c r="F89" s="205"/>
      <c r="G89" s="127"/>
      <c r="H89" s="128">
        <v>500940</v>
      </c>
      <c r="I89" s="122"/>
      <c r="J89" s="149"/>
      <c r="K89" s="149"/>
      <c r="L89" s="148"/>
      <c r="M89" s="149"/>
      <c r="N89" s="149"/>
      <c r="O89" s="149"/>
      <c r="P89" s="149"/>
      <c r="Q89" s="149"/>
      <c r="R89" s="149"/>
    </row>
    <row r="90" spans="1:18" ht="16.5" hidden="1" customHeight="1">
      <c r="A90" s="115"/>
      <c r="B90" s="116"/>
      <c r="C90" s="117"/>
      <c r="D90" s="120"/>
      <c r="E90" s="119"/>
      <c r="F90" s="72"/>
      <c r="G90" s="119"/>
      <c r="H90" s="193"/>
      <c r="I90" s="63"/>
      <c r="J90" s="194"/>
      <c r="K90" s="194"/>
      <c r="L90" s="195"/>
      <c r="M90" s="194"/>
      <c r="N90" s="194"/>
      <c r="O90" s="194"/>
      <c r="P90" s="194"/>
      <c r="Q90" s="194"/>
      <c r="R90" s="194"/>
    </row>
    <row r="91" spans="1:18" ht="16.5" hidden="1" customHeight="1">
      <c r="A91" s="115" t="s">
        <v>2064</v>
      </c>
      <c r="B91" s="116" t="s">
        <v>2065</v>
      </c>
      <c r="C91" s="117" t="s">
        <v>237</v>
      </c>
      <c r="D91" s="120">
        <v>14576</v>
      </c>
      <c r="E91" s="119"/>
      <c r="F91" s="72"/>
      <c r="G91" s="119"/>
      <c r="H91" s="193">
        <f>IF(G91&lt;&gt;0,ROUND(G91*F91,0), )</f>
        <v>0</v>
      </c>
      <c r="I91" s="63"/>
      <c r="J91" s="194"/>
      <c r="K91" s="194"/>
      <c r="L91" s="195"/>
      <c r="M91" s="194"/>
      <c r="N91" s="194"/>
      <c r="O91" s="194"/>
      <c r="P91" s="194"/>
      <c r="Q91" s="194"/>
      <c r="R91" s="194"/>
    </row>
    <row r="92" spans="1:18" ht="16.5" hidden="1" customHeight="1">
      <c r="A92" s="115" t="s">
        <v>2066</v>
      </c>
      <c r="B92" s="116" t="s">
        <v>2067</v>
      </c>
      <c r="C92" s="117" t="s">
        <v>237</v>
      </c>
      <c r="D92" s="120">
        <f>0.6*14576</f>
        <v>8745.6</v>
      </c>
      <c r="E92" s="119"/>
      <c r="F92" s="72"/>
      <c r="G92" s="119"/>
      <c r="H92" s="193">
        <f>IF(G92&lt;&gt;0,ROUND(G92*F92,0), )</f>
        <v>0</v>
      </c>
      <c r="I92" s="63"/>
      <c r="J92" s="194"/>
      <c r="K92" s="194"/>
      <c r="L92" s="195"/>
      <c r="M92" s="194"/>
      <c r="N92" s="194"/>
      <c r="O92" s="194"/>
      <c r="P92" s="194"/>
      <c r="Q92" s="194"/>
      <c r="R92" s="194"/>
    </row>
    <row r="93" spans="1:18" ht="16.5" hidden="1" customHeight="1">
      <c r="A93" s="115" t="s">
        <v>2068</v>
      </c>
      <c r="B93" s="116" t="s">
        <v>2069</v>
      </c>
      <c r="C93" s="117" t="s">
        <v>51</v>
      </c>
      <c r="D93" s="120">
        <f>0.6*14576/3</f>
        <v>2915.2000000000003</v>
      </c>
      <c r="E93" s="119"/>
      <c r="F93" s="72"/>
      <c r="G93" s="119"/>
      <c r="H93" s="193">
        <f>IF(G93&lt;&gt;0,ROUND(G93*F93,0), )</f>
        <v>0</v>
      </c>
      <c r="I93" s="63"/>
      <c r="J93" s="194"/>
      <c r="K93" s="194"/>
      <c r="L93" s="195"/>
      <c r="M93" s="194"/>
      <c r="N93" s="194"/>
      <c r="O93" s="194"/>
      <c r="P93" s="194"/>
      <c r="Q93" s="194"/>
      <c r="R93" s="194"/>
    </row>
    <row r="94" spans="1:18" ht="16.5" hidden="1" customHeight="1">
      <c r="A94" s="115"/>
      <c r="B94" s="116"/>
      <c r="C94" s="117"/>
      <c r="D94" s="120"/>
      <c r="E94" s="119"/>
      <c r="F94" s="72"/>
      <c r="G94" s="119"/>
      <c r="H94" s="193"/>
      <c r="I94" s="63"/>
      <c r="J94" s="194"/>
      <c r="K94" s="194"/>
      <c r="L94" s="195"/>
      <c r="M94" s="194"/>
      <c r="N94" s="194"/>
      <c r="O94" s="194"/>
      <c r="P94" s="194"/>
      <c r="Q94" s="194"/>
      <c r="R94" s="194"/>
    </row>
    <row r="95" spans="1:18" ht="16.5" hidden="1" customHeight="1">
      <c r="A95" s="115" t="s">
        <v>2070</v>
      </c>
      <c r="B95" s="116" t="s">
        <v>2071</v>
      </c>
      <c r="C95" s="117" t="s">
        <v>139</v>
      </c>
      <c r="D95" s="120">
        <v>58065</v>
      </c>
      <c r="E95" s="119"/>
      <c r="F95" s="72"/>
      <c r="G95" s="119"/>
      <c r="H95" s="185">
        <v>998150</v>
      </c>
      <c r="I95" s="63"/>
      <c r="J95" s="66">
        <v>105271</v>
      </c>
      <c r="K95" s="194"/>
      <c r="L95" s="195"/>
      <c r="M95" s="194"/>
      <c r="N95" s="194"/>
      <c r="O95" s="194"/>
      <c r="P95" s="194"/>
      <c r="Q95" s="194"/>
      <c r="R95" s="194"/>
    </row>
    <row r="96" spans="1:18" ht="16.5" hidden="1" customHeight="1">
      <c r="A96" s="115" t="s">
        <v>2072</v>
      </c>
      <c r="B96" s="116" t="s">
        <v>2073</v>
      </c>
      <c r="C96" s="117" t="s">
        <v>139</v>
      </c>
      <c r="D96" s="120">
        <v>18084</v>
      </c>
      <c r="E96" s="119"/>
      <c r="F96" s="72"/>
      <c r="G96" s="119"/>
      <c r="H96" s="185">
        <f>IF(G96&lt;&gt;0,ROUND(G96*F96,0), )</f>
        <v>0</v>
      </c>
      <c r="I96" s="63"/>
      <c r="J96" s="66"/>
      <c r="K96" s="194"/>
      <c r="L96" s="195"/>
      <c r="M96" s="194"/>
      <c r="N96" s="194"/>
      <c r="O96" s="194"/>
      <c r="P96" s="194"/>
      <c r="Q96" s="194"/>
      <c r="R96" s="194"/>
    </row>
    <row r="97" spans="1:18" ht="16.5" hidden="1" customHeight="1">
      <c r="A97" s="115" t="s">
        <v>2074</v>
      </c>
      <c r="B97" s="116" t="s">
        <v>2075</v>
      </c>
      <c r="C97" s="117" t="s">
        <v>237</v>
      </c>
      <c r="D97" s="120">
        <v>18084</v>
      </c>
      <c r="E97" s="119"/>
      <c r="F97" s="72"/>
      <c r="G97" s="119"/>
      <c r="H97" s="193">
        <f>IF(G97&lt;&gt;0,ROUND(G97*F97,0), )</f>
        <v>0</v>
      </c>
      <c r="I97" s="63"/>
      <c r="J97" s="194"/>
      <c r="K97" s="194"/>
      <c r="L97" s="195"/>
      <c r="M97" s="194"/>
      <c r="N97" s="194"/>
      <c r="O97" s="194"/>
      <c r="P97" s="194"/>
      <c r="Q97" s="194"/>
      <c r="R97" s="194"/>
    </row>
    <row r="98" spans="1:18" ht="16.5" hidden="1" customHeight="1">
      <c r="A98" s="115" t="s">
        <v>2076</v>
      </c>
      <c r="B98" s="116" t="s">
        <v>2077</v>
      </c>
      <c r="C98" s="117" t="s">
        <v>136</v>
      </c>
      <c r="D98" s="120">
        <v>223253</v>
      </c>
      <c r="E98" s="119"/>
      <c r="F98" s="72"/>
      <c r="G98" s="119"/>
      <c r="H98" s="193">
        <v>568946</v>
      </c>
      <c r="I98" s="63"/>
      <c r="J98" s="194">
        <v>6308</v>
      </c>
      <c r="K98" s="194"/>
      <c r="L98" s="195"/>
      <c r="M98" s="194"/>
      <c r="N98" s="194"/>
      <c r="O98" s="194"/>
      <c r="P98" s="194"/>
      <c r="Q98" s="194"/>
      <c r="R98" s="194"/>
    </row>
    <row r="99" spans="1:18" ht="16.5" hidden="1" customHeight="1">
      <c r="A99" s="115"/>
      <c r="B99" s="116"/>
      <c r="C99" s="117"/>
      <c r="D99" s="120"/>
      <c r="E99" s="119"/>
      <c r="F99" s="72"/>
      <c r="G99" s="119"/>
      <c r="H99" s="193"/>
      <c r="I99" s="63"/>
      <c r="J99" s="194"/>
      <c r="K99" s="194"/>
      <c r="L99" s="195"/>
      <c r="M99" s="194"/>
      <c r="N99" s="194"/>
      <c r="O99" s="194"/>
      <c r="P99" s="194"/>
      <c r="Q99" s="194"/>
      <c r="R99" s="194"/>
    </row>
    <row r="100" spans="1:18" ht="16.5" hidden="1" customHeight="1">
      <c r="A100" s="115" t="s">
        <v>2078</v>
      </c>
      <c r="B100" s="116" t="s">
        <v>2079</v>
      </c>
      <c r="C100" s="117" t="s">
        <v>51</v>
      </c>
      <c r="D100" s="120">
        <f>D$115</f>
        <v>30541</v>
      </c>
      <c r="E100" s="119"/>
      <c r="F100" s="72"/>
      <c r="G100" s="119"/>
      <c r="H100" s="185">
        <v>72366</v>
      </c>
      <c r="I100" s="63"/>
      <c r="J100" s="66"/>
      <c r="K100" s="194"/>
      <c r="L100" s="195"/>
      <c r="M100" s="194"/>
      <c r="N100" s="194"/>
      <c r="O100" s="194"/>
      <c r="P100" s="194"/>
      <c r="Q100" s="194"/>
      <c r="R100" s="194"/>
    </row>
    <row r="101" spans="1:18" ht="16.5" hidden="1" customHeight="1">
      <c r="A101" s="115" t="s">
        <v>2080</v>
      </c>
      <c r="B101" s="116" t="s">
        <v>2081</v>
      </c>
      <c r="C101" s="117" t="s">
        <v>51</v>
      </c>
      <c r="D101" s="120">
        <f t="shared" ref="D101:D113" si="11">D$115</f>
        <v>30541</v>
      </c>
      <c r="E101" s="119"/>
      <c r="F101" s="72"/>
      <c r="G101" s="119"/>
      <c r="H101" s="185">
        <v>77981</v>
      </c>
      <c r="I101" s="63"/>
      <c r="J101" s="66"/>
      <c r="K101" s="194"/>
      <c r="L101" s="195"/>
      <c r="M101" s="194"/>
      <c r="N101" s="194"/>
      <c r="O101" s="194"/>
      <c r="P101" s="194"/>
      <c r="Q101" s="194"/>
      <c r="R101" s="194"/>
    </row>
    <row r="102" spans="1:18" ht="16.5" hidden="1" customHeight="1">
      <c r="A102" s="115" t="s">
        <v>2082</v>
      </c>
      <c r="B102" s="116" t="s">
        <v>2083</v>
      </c>
      <c r="C102" s="117" t="s">
        <v>51</v>
      </c>
      <c r="D102" s="120">
        <f t="shared" si="11"/>
        <v>30541</v>
      </c>
      <c r="E102" s="119"/>
      <c r="F102" s="72"/>
      <c r="G102" s="119"/>
      <c r="H102" s="185">
        <v>82348</v>
      </c>
      <c r="I102" s="63"/>
      <c r="J102" s="66"/>
      <c r="K102" s="194"/>
      <c r="L102" s="195"/>
      <c r="M102" s="194"/>
      <c r="N102" s="194"/>
      <c r="O102" s="194"/>
      <c r="P102" s="194"/>
      <c r="Q102" s="194"/>
      <c r="R102" s="194"/>
    </row>
    <row r="103" spans="1:18" ht="16.5" hidden="1" customHeight="1">
      <c r="A103" s="115" t="s">
        <v>2084</v>
      </c>
      <c r="B103" s="116" t="s">
        <v>2085</v>
      </c>
      <c r="C103" s="117" t="s">
        <v>51</v>
      </c>
      <c r="D103" s="120">
        <f t="shared" si="11"/>
        <v>30541</v>
      </c>
      <c r="E103" s="119"/>
      <c r="F103" s="72"/>
      <c r="G103" s="119"/>
      <c r="H103" s="185">
        <v>87338</v>
      </c>
      <c r="I103" s="63"/>
      <c r="J103" s="66"/>
      <c r="K103" s="194"/>
      <c r="L103" s="195"/>
      <c r="M103" s="194"/>
      <c r="N103" s="194"/>
      <c r="O103" s="194"/>
      <c r="P103" s="194"/>
      <c r="Q103" s="194"/>
      <c r="R103" s="194"/>
    </row>
    <row r="104" spans="1:18" ht="16.5" hidden="1" customHeight="1">
      <c r="A104" s="115" t="s">
        <v>2086</v>
      </c>
      <c r="B104" s="116" t="s">
        <v>2087</v>
      </c>
      <c r="C104" s="117" t="s">
        <v>51</v>
      </c>
      <c r="D104" s="120">
        <f t="shared" si="11"/>
        <v>30541</v>
      </c>
      <c r="E104" s="119"/>
      <c r="F104" s="72"/>
      <c r="G104" s="119"/>
      <c r="H104" s="185">
        <v>93577</v>
      </c>
      <c r="I104" s="63"/>
      <c r="J104" s="66"/>
      <c r="K104" s="194"/>
      <c r="L104" s="195"/>
      <c r="M104" s="194"/>
      <c r="N104" s="194"/>
      <c r="O104" s="194"/>
      <c r="P104" s="194"/>
      <c r="Q104" s="194"/>
      <c r="R104" s="194"/>
    </row>
    <row r="105" spans="1:18" ht="16.5" hidden="1" customHeight="1">
      <c r="A105" s="115" t="s">
        <v>2088</v>
      </c>
      <c r="B105" s="116" t="s">
        <v>2089</v>
      </c>
      <c r="C105" s="117" t="s">
        <v>51</v>
      </c>
      <c r="D105" s="120">
        <f t="shared" si="11"/>
        <v>30541</v>
      </c>
      <c r="E105" s="119"/>
      <c r="F105" s="72"/>
      <c r="G105" s="119"/>
      <c r="H105" s="185">
        <v>101687</v>
      </c>
      <c r="I105" s="63"/>
      <c r="J105" s="66"/>
      <c r="K105" s="194"/>
      <c r="L105" s="195"/>
      <c r="M105" s="194"/>
      <c r="N105" s="194"/>
      <c r="O105" s="194"/>
      <c r="P105" s="194"/>
      <c r="Q105" s="194"/>
      <c r="R105" s="194"/>
    </row>
    <row r="106" spans="1:18" ht="16.5" hidden="1" customHeight="1">
      <c r="A106" s="115" t="s">
        <v>2090</v>
      </c>
      <c r="B106" s="116" t="s">
        <v>2091</v>
      </c>
      <c r="C106" s="117" t="s">
        <v>51</v>
      </c>
      <c r="D106" s="120">
        <f t="shared" si="11"/>
        <v>30541</v>
      </c>
      <c r="E106" s="119"/>
      <c r="F106" s="72"/>
      <c r="G106" s="119"/>
      <c r="H106" s="185">
        <v>109173</v>
      </c>
      <c r="I106" s="63"/>
      <c r="J106" s="66"/>
      <c r="K106" s="194"/>
      <c r="L106" s="195"/>
      <c r="M106" s="194"/>
      <c r="N106" s="194"/>
      <c r="O106" s="194"/>
      <c r="P106" s="194"/>
      <c r="Q106" s="194"/>
      <c r="R106" s="194"/>
    </row>
    <row r="107" spans="1:18" ht="16.5" hidden="1" customHeight="1">
      <c r="A107" s="115" t="s">
        <v>2092</v>
      </c>
      <c r="B107" s="116" t="s">
        <v>2093</v>
      </c>
      <c r="C107" s="117" t="s">
        <v>51</v>
      </c>
      <c r="D107" s="120">
        <f t="shared" si="11"/>
        <v>30541</v>
      </c>
      <c r="E107" s="119"/>
      <c r="F107" s="72"/>
      <c r="G107" s="119"/>
      <c r="H107" s="185">
        <v>112292</v>
      </c>
      <c r="I107" s="63"/>
      <c r="J107" s="66"/>
      <c r="K107" s="194"/>
      <c r="L107" s="195"/>
      <c r="M107" s="194"/>
      <c r="N107" s="194"/>
      <c r="O107" s="194"/>
      <c r="P107" s="194"/>
      <c r="Q107" s="194"/>
      <c r="R107" s="194"/>
    </row>
    <row r="108" spans="1:18" ht="16.5" hidden="1" customHeight="1">
      <c r="A108" s="115" t="s">
        <v>2094</v>
      </c>
      <c r="B108" s="116" t="s">
        <v>2095</v>
      </c>
      <c r="C108" s="117" t="s">
        <v>51</v>
      </c>
      <c r="D108" s="120">
        <f t="shared" si="11"/>
        <v>30541</v>
      </c>
      <c r="E108" s="119"/>
      <c r="F108" s="72"/>
      <c r="G108" s="119"/>
      <c r="H108" s="185">
        <v>124769</v>
      </c>
      <c r="I108" s="63"/>
      <c r="J108" s="66"/>
      <c r="K108" s="194"/>
      <c r="L108" s="195"/>
      <c r="M108" s="194"/>
      <c r="N108" s="194"/>
      <c r="O108" s="194"/>
      <c r="P108" s="194"/>
      <c r="Q108" s="194"/>
      <c r="R108" s="194"/>
    </row>
    <row r="109" spans="1:18" ht="16.5" hidden="1" customHeight="1">
      <c r="A109" s="115" t="s">
        <v>2096</v>
      </c>
      <c r="B109" s="116" t="s">
        <v>2097</v>
      </c>
      <c r="C109" s="117" t="s">
        <v>51</v>
      </c>
      <c r="D109" s="120">
        <f t="shared" si="11"/>
        <v>30541</v>
      </c>
      <c r="E109" s="119"/>
      <c r="F109" s="72"/>
      <c r="G109" s="119"/>
      <c r="H109" s="185">
        <v>140365</v>
      </c>
      <c r="I109" s="63"/>
      <c r="J109" s="66"/>
      <c r="K109" s="194"/>
      <c r="L109" s="195"/>
      <c r="M109" s="194"/>
      <c r="N109" s="194"/>
      <c r="O109" s="194"/>
      <c r="P109" s="194"/>
      <c r="Q109" s="194"/>
      <c r="R109" s="194"/>
    </row>
    <row r="110" spans="1:18" ht="16.5" hidden="1" customHeight="1">
      <c r="A110" s="115" t="s">
        <v>2098</v>
      </c>
      <c r="B110" s="116" t="s">
        <v>2099</v>
      </c>
      <c r="C110" s="117" t="s">
        <v>51</v>
      </c>
      <c r="D110" s="120">
        <f t="shared" si="11"/>
        <v>30541</v>
      </c>
      <c r="E110" s="119"/>
      <c r="F110" s="72"/>
      <c r="G110" s="119"/>
      <c r="H110" s="185">
        <v>155961</v>
      </c>
      <c r="I110" s="63"/>
      <c r="J110" s="66"/>
      <c r="K110" s="194"/>
      <c r="L110" s="195"/>
      <c r="M110" s="194"/>
      <c r="N110" s="194"/>
      <c r="O110" s="194"/>
      <c r="P110" s="194"/>
      <c r="Q110" s="194"/>
      <c r="R110" s="194"/>
    </row>
    <row r="111" spans="1:18" ht="16.5" hidden="1" customHeight="1">
      <c r="A111" s="115" t="s">
        <v>2100</v>
      </c>
      <c r="B111" s="116" t="s">
        <v>2101</v>
      </c>
      <c r="C111" s="117" t="s">
        <v>51</v>
      </c>
      <c r="D111" s="120">
        <f t="shared" si="11"/>
        <v>30541</v>
      </c>
      <c r="E111" s="119"/>
      <c r="F111" s="72"/>
      <c r="G111" s="119"/>
      <c r="H111" s="185">
        <v>162200</v>
      </c>
      <c r="I111" s="63"/>
      <c r="J111" s="66"/>
      <c r="K111" s="194"/>
      <c r="L111" s="195"/>
      <c r="M111" s="194"/>
      <c r="N111" s="194"/>
      <c r="O111" s="194"/>
      <c r="P111" s="194"/>
      <c r="Q111" s="194"/>
      <c r="R111" s="194"/>
    </row>
    <row r="112" spans="1:18" ht="16.5" hidden="1" customHeight="1">
      <c r="A112" s="115" t="s">
        <v>2102</v>
      </c>
      <c r="B112" s="116" t="s">
        <v>2103</v>
      </c>
      <c r="C112" s="117" t="s">
        <v>51</v>
      </c>
      <c r="D112" s="120">
        <f t="shared" si="11"/>
        <v>30541</v>
      </c>
      <c r="E112" s="119"/>
      <c r="F112" s="72"/>
      <c r="G112" s="119"/>
      <c r="H112" s="185">
        <v>187154</v>
      </c>
      <c r="I112" s="63"/>
      <c r="J112" s="66"/>
      <c r="K112" s="194"/>
      <c r="L112" s="195"/>
      <c r="M112" s="194"/>
      <c r="N112" s="194"/>
      <c r="O112" s="194"/>
      <c r="P112" s="194"/>
      <c r="Q112" s="194"/>
      <c r="R112" s="194"/>
    </row>
    <row r="113" spans="1:18" ht="16.5" hidden="1" customHeight="1">
      <c r="A113" s="115" t="s">
        <v>2104</v>
      </c>
      <c r="B113" s="116" t="s">
        <v>2105</v>
      </c>
      <c r="C113" s="117" t="s">
        <v>51</v>
      </c>
      <c r="D113" s="120">
        <f t="shared" si="11"/>
        <v>30541</v>
      </c>
      <c r="E113" s="119"/>
      <c r="F113" s="72"/>
      <c r="G113" s="119"/>
      <c r="H113" s="185">
        <v>218346</v>
      </c>
      <c r="I113" s="63"/>
      <c r="J113" s="66"/>
      <c r="K113" s="194"/>
      <c r="L113" s="195"/>
      <c r="M113" s="194"/>
      <c r="N113" s="194"/>
      <c r="O113" s="194"/>
      <c r="P113" s="194"/>
      <c r="Q113" s="194"/>
      <c r="R113" s="194"/>
    </row>
    <row r="114" spans="1:18" ht="16.5" hidden="1" customHeight="1">
      <c r="A114" s="115"/>
      <c r="B114" s="116"/>
      <c r="C114" s="117"/>
      <c r="D114" s="120"/>
      <c r="E114" s="119"/>
      <c r="F114" s="72"/>
      <c r="G114" s="119"/>
      <c r="H114" s="185"/>
      <c r="I114" s="63"/>
      <c r="J114" s="66"/>
      <c r="K114" s="194"/>
      <c r="L114" s="195"/>
      <c r="M114" s="194"/>
      <c r="N114" s="194"/>
      <c r="O114" s="194"/>
      <c r="P114" s="194"/>
      <c r="Q114" s="194"/>
      <c r="R114" s="194"/>
    </row>
    <row r="115" spans="1:18" ht="16.5" hidden="1" customHeight="1">
      <c r="A115" s="115" t="s">
        <v>2106</v>
      </c>
      <c r="B115" s="116" t="s">
        <v>2107</v>
      </c>
      <c r="C115" s="117" t="s">
        <v>2108</v>
      </c>
      <c r="D115" s="120">
        <v>30541</v>
      </c>
      <c r="E115" s="119"/>
      <c r="F115" s="72"/>
      <c r="G115" s="119"/>
      <c r="H115" s="193">
        <f>IF(G115&lt;&gt;0,ROUND(G115*F115,0), )</f>
        <v>0</v>
      </c>
      <c r="I115" s="63"/>
      <c r="J115" s="194"/>
      <c r="K115" s="194"/>
      <c r="L115" s="195"/>
      <c r="M115" s="194"/>
      <c r="N115" s="194"/>
      <c r="O115" s="194"/>
      <c r="P115" s="194"/>
      <c r="Q115" s="194"/>
      <c r="R115" s="194"/>
    </row>
    <row r="116" spans="1:18" ht="16.5" hidden="1" customHeight="1">
      <c r="A116" s="115" t="s">
        <v>2109</v>
      </c>
      <c r="B116" s="116" t="s">
        <v>2110</v>
      </c>
      <c r="C116" s="117" t="s">
        <v>2108</v>
      </c>
      <c r="D116" s="120">
        <v>30541</v>
      </c>
      <c r="E116" s="119"/>
      <c r="F116" s="72"/>
      <c r="G116" s="119"/>
      <c r="H116" s="193">
        <v>262015</v>
      </c>
      <c r="I116" s="63"/>
      <c r="J116" s="194"/>
      <c r="K116" s="194"/>
      <c r="L116" s="195"/>
      <c r="M116" s="194"/>
      <c r="N116" s="194"/>
      <c r="O116" s="194"/>
      <c r="P116" s="194"/>
      <c r="Q116" s="194"/>
      <c r="R116" s="194"/>
    </row>
    <row r="117" spans="1:18" ht="16.5" hidden="1" customHeight="1">
      <c r="A117" s="115" t="s">
        <v>2111</v>
      </c>
      <c r="B117" s="116" t="s">
        <v>2112</v>
      </c>
      <c r="C117" s="117" t="s">
        <v>2108</v>
      </c>
      <c r="D117" s="120">
        <v>31732</v>
      </c>
      <c r="E117" s="119"/>
      <c r="F117" s="72"/>
      <c r="G117" s="119"/>
      <c r="H117" s="193">
        <f>IF(G117&lt;&gt;0,ROUND(G117*F117,0), )</f>
        <v>0</v>
      </c>
      <c r="I117" s="63"/>
      <c r="J117" s="194"/>
      <c r="K117" s="194"/>
      <c r="L117" s="195"/>
      <c r="M117" s="194"/>
      <c r="N117" s="194"/>
      <c r="O117" s="194"/>
      <c r="P117" s="194"/>
      <c r="Q117" s="194"/>
      <c r="R117" s="194"/>
    </row>
    <row r="118" spans="1:18" ht="16.5" hidden="1" customHeight="1">
      <c r="A118" s="115" t="s">
        <v>2113</v>
      </c>
      <c r="B118" s="116" t="s">
        <v>2114</v>
      </c>
      <c r="C118" s="117" t="s">
        <v>2108</v>
      </c>
      <c r="D118" s="120">
        <v>37867</v>
      </c>
      <c r="E118" s="119"/>
      <c r="F118" s="72"/>
      <c r="G118" s="119"/>
      <c r="H118" s="193">
        <f>IF(G118&lt;&gt;0,ROUND(G118*F118,0), )</f>
        <v>0</v>
      </c>
      <c r="I118" s="63"/>
      <c r="J118" s="194"/>
      <c r="K118" s="194"/>
      <c r="L118" s="195"/>
      <c r="M118" s="194"/>
      <c r="N118" s="194"/>
      <c r="O118" s="194"/>
      <c r="P118" s="194"/>
      <c r="Q118" s="194"/>
      <c r="R118" s="194"/>
    </row>
    <row r="119" spans="1:18" ht="16.5" hidden="1" customHeight="1">
      <c r="A119" s="115" t="s">
        <v>2115</v>
      </c>
      <c r="B119" s="116" t="s">
        <v>2116</v>
      </c>
      <c r="C119" s="117" t="s">
        <v>2108</v>
      </c>
      <c r="D119" s="120">
        <v>56798</v>
      </c>
      <c r="E119" s="119"/>
      <c r="F119" s="72"/>
      <c r="G119" s="119"/>
      <c r="H119" s="193">
        <f>IF(G119&lt;&gt;0,ROUND(G119*F119,0), )</f>
        <v>0</v>
      </c>
      <c r="I119" s="63"/>
      <c r="J119" s="194"/>
      <c r="K119" s="194"/>
      <c r="L119" s="195"/>
      <c r="M119" s="194"/>
      <c r="N119" s="194"/>
      <c r="O119" s="194"/>
      <c r="P119" s="194"/>
      <c r="Q119" s="194"/>
      <c r="R119" s="194"/>
    </row>
    <row r="120" spans="1:18" ht="16.5" hidden="1" customHeight="1">
      <c r="A120" s="115" t="s">
        <v>2117</v>
      </c>
      <c r="B120" s="116" t="s">
        <v>2118</v>
      </c>
      <c r="C120" s="117" t="s">
        <v>2108</v>
      </c>
      <c r="D120" s="120">
        <v>56798</v>
      </c>
      <c r="E120" s="119"/>
      <c r="F120" s="72"/>
      <c r="G120" s="119"/>
      <c r="H120" s="185">
        <v>748613</v>
      </c>
      <c r="I120" s="63"/>
      <c r="J120" s="66"/>
      <c r="K120" s="194"/>
      <c r="L120" s="195"/>
      <c r="M120" s="194"/>
      <c r="N120" s="194"/>
      <c r="O120" s="194"/>
      <c r="P120" s="194"/>
      <c r="Q120" s="194"/>
      <c r="R120" s="194"/>
    </row>
    <row r="121" spans="1:18" ht="16.5" hidden="1" customHeight="1">
      <c r="A121" s="115" t="s">
        <v>2119</v>
      </c>
      <c r="B121" s="116" t="s">
        <v>2120</v>
      </c>
      <c r="C121" s="117" t="s">
        <v>2108</v>
      </c>
      <c r="D121" s="120">
        <v>56798</v>
      </c>
      <c r="E121" s="119"/>
      <c r="F121" s="72"/>
      <c r="G121" s="119"/>
      <c r="H121" s="185">
        <v>810997</v>
      </c>
      <c r="I121" s="63"/>
      <c r="J121" s="66"/>
      <c r="K121" s="194"/>
      <c r="L121" s="195"/>
      <c r="M121" s="194"/>
      <c r="N121" s="194"/>
      <c r="O121" s="194"/>
      <c r="P121" s="194"/>
      <c r="Q121" s="194"/>
      <c r="R121" s="194"/>
    </row>
    <row r="122" spans="1:18" ht="16.5" hidden="1" customHeight="1">
      <c r="A122" s="115" t="s">
        <v>2121</v>
      </c>
      <c r="B122" s="116" t="s">
        <v>2122</v>
      </c>
      <c r="C122" s="117" t="s">
        <v>2108</v>
      </c>
      <c r="D122" s="120">
        <v>56798</v>
      </c>
      <c r="E122" s="119"/>
      <c r="F122" s="72"/>
      <c r="G122" s="119"/>
      <c r="H122" s="185">
        <v>1122919</v>
      </c>
      <c r="I122" s="63"/>
      <c r="J122" s="66"/>
      <c r="K122" s="194"/>
      <c r="L122" s="195"/>
      <c r="M122" s="194"/>
      <c r="N122" s="194"/>
      <c r="O122" s="194"/>
      <c r="P122" s="194"/>
      <c r="Q122" s="194"/>
      <c r="R122" s="194"/>
    </row>
    <row r="123" spans="1:18" ht="16.5" hidden="1" customHeight="1">
      <c r="A123" s="115" t="s">
        <v>2123</v>
      </c>
      <c r="B123" s="116" t="s">
        <v>2124</v>
      </c>
      <c r="C123" s="117" t="s">
        <v>2108</v>
      </c>
      <c r="D123" s="120">
        <v>56798</v>
      </c>
      <c r="E123" s="119"/>
      <c r="F123" s="72"/>
      <c r="G123" s="119"/>
      <c r="H123" s="185">
        <v>1247688</v>
      </c>
      <c r="I123" s="63"/>
      <c r="J123" s="66"/>
      <c r="K123" s="194"/>
      <c r="L123" s="195"/>
      <c r="M123" s="194"/>
      <c r="N123" s="194"/>
      <c r="O123" s="194"/>
      <c r="P123" s="194"/>
      <c r="Q123" s="194"/>
      <c r="R123" s="194"/>
    </row>
    <row r="124" spans="1:18" ht="16.5" hidden="1" customHeight="1">
      <c r="A124" s="115" t="s">
        <v>2125</v>
      </c>
      <c r="B124" s="116" t="s">
        <v>2126</v>
      </c>
      <c r="C124" s="117" t="s">
        <v>2108</v>
      </c>
      <c r="D124" s="120">
        <v>56798</v>
      </c>
      <c r="E124" s="119"/>
      <c r="F124" s="72"/>
      <c r="G124" s="119"/>
      <c r="H124" s="185">
        <v>1746763</v>
      </c>
      <c r="I124" s="63"/>
      <c r="J124" s="66"/>
      <c r="K124" s="194"/>
      <c r="L124" s="195"/>
      <c r="M124" s="194"/>
      <c r="N124" s="194"/>
      <c r="O124" s="194"/>
      <c r="P124" s="194"/>
      <c r="Q124" s="194"/>
      <c r="R124" s="194"/>
    </row>
    <row r="125" spans="1:18" ht="16.5" hidden="1" customHeight="1">
      <c r="A125" s="115" t="s">
        <v>2127</v>
      </c>
      <c r="B125" s="116" t="s">
        <v>2128</v>
      </c>
      <c r="C125" s="117" t="s">
        <v>2108</v>
      </c>
      <c r="D125" s="120">
        <v>56798</v>
      </c>
      <c r="E125" s="119"/>
      <c r="F125" s="72"/>
      <c r="G125" s="119"/>
      <c r="H125" s="185">
        <v>2370606</v>
      </c>
      <c r="I125" s="63"/>
      <c r="J125" s="66"/>
      <c r="K125" s="194"/>
      <c r="L125" s="195"/>
      <c r="M125" s="194"/>
      <c r="N125" s="194"/>
      <c r="O125" s="194"/>
      <c r="P125" s="194"/>
      <c r="Q125" s="194"/>
      <c r="R125" s="194"/>
    </row>
    <row r="126" spans="1:18" ht="16.5" hidden="1" customHeight="1">
      <c r="A126" s="115"/>
      <c r="B126" s="116"/>
      <c r="C126" s="117"/>
      <c r="D126" s="120"/>
      <c r="E126" s="119"/>
      <c r="F126" s="72"/>
      <c r="G126" s="119"/>
      <c r="H126" s="193"/>
      <c r="I126" s="63"/>
      <c r="J126" s="194"/>
      <c r="K126" s="194"/>
      <c r="L126" s="195"/>
      <c r="M126" s="194"/>
      <c r="N126" s="194"/>
      <c r="O126" s="194"/>
      <c r="P126" s="194"/>
      <c r="Q126" s="194"/>
      <c r="R126" s="194"/>
    </row>
    <row r="127" spans="1:18" ht="16.5" hidden="1" customHeight="1">
      <c r="A127" s="115" t="s">
        <v>2129</v>
      </c>
      <c r="B127" s="116" t="s">
        <v>2130</v>
      </c>
      <c r="C127" s="117" t="s">
        <v>2108</v>
      </c>
      <c r="D127" s="120">
        <v>56798</v>
      </c>
      <c r="E127" s="119"/>
      <c r="F127" s="72"/>
      <c r="G127" s="119"/>
      <c r="H127" s="185">
        <v>429205</v>
      </c>
      <c r="I127" s="63"/>
      <c r="J127" s="66"/>
      <c r="K127" s="194"/>
      <c r="L127" s="195"/>
      <c r="M127" s="194"/>
      <c r="N127" s="194"/>
      <c r="O127" s="194"/>
      <c r="P127" s="194"/>
      <c r="Q127" s="194"/>
      <c r="R127" s="194"/>
    </row>
    <row r="128" spans="1:18" ht="16.5" hidden="1" customHeight="1">
      <c r="A128" s="115" t="s">
        <v>2131</v>
      </c>
      <c r="B128" s="116" t="s">
        <v>2132</v>
      </c>
      <c r="C128" s="117" t="s">
        <v>2108</v>
      </c>
      <c r="D128" s="120">
        <v>56798</v>
      </c>
      <c r="E128" s="119"/>
      <c r="F128" s="72"/>
      <c r="G128" s="119"/>
      <c r="H128" s="185">
        <v>499075</v>
      </c>
      <c r="I128" s="63"/>
      <c r="J128" s="66"/>
      <c r="K128" s="194"/>
      <c r="L128" s="195"/>
      <c r="M128" s="194"/>
      <c r="N128" s="194"/>
      <c r="O128" s="194"/>
      <c r="P128" s="194"/>
      <c r="Q128" s="194"/>
      <c r="R128" s="194"/>
    </row>
    <row r="129" spans="1:18" ht="16.5" hidden="1" customHeight="1">
      <c r="A129" s="115" t="s">
        <v>2133</v>
      </c>
      <c r="B129" s="116" t="s">
        <v>2134</v>
      </c>
      <c r="C129" s="117" t="s">
        <v>2108</v>
      </c>
      <c r="D129" s="120">
        <v>56798</v>
      </c>
      <c r="E129" s="119"/>
      <c r="F129" s="72"/>
      <c r="G129" s="119"/>
      <c r="H129" s="185">
        <v>499075</v>
      </c>
      <c r="I129" s="63"/>
      <c r="J129" s="66"/>
      <c r="K129" s="194"/>
      <c r="L129" s="195"/>
      <c r="M129" s="194"/>
      <c r="N129" s="194"/>
      <c r="O129" s="194"/>
      <c r="P129" s="194"/>
      <c r="Q129" s="194"/>
      <c r="R129" s="194"/>
    </row>
    <row r="130" spans="1:18" ht="16.5" hidden="1" customHeight="1">
      <c r="A130" s="115" t="s">
        <v>2135</v>
      </c>
      <c r="B130" s="116" t="s">
        <v>2136</v>
      </c>
      <c r="C130" s="117" t="s">
        <v>2108</v>
      </c>
      <c r="D130" s="120">
        <v>56798</v>
      </c>
      <c r="E130" s="119"/>
      <c r="F130" s="72"/>
      <c r="G130" s="119"/>
      <c r="H130" s="185">
        <v>810997</v>
      </c>
      <c r="I130" s="63"/>
      <c r="J130" s="66"/>
      <c r="K130" s="194"/>
      <c r="L130" s="195"/>
      <c r="M130" s="194"/>
      <c r="N130" s="194"/>
      <c r="O130" s="194"/>
      <c r="P130" s="194"/>
      <c r="Q130" s="194"/>
      <c r="R130" s="194"/>
    </row>
    <row r="131" spans="1:18" ht="16.5" hidden="1" customHeight="1">
      <c r="A131" s="115" t="s">
        <v>2137</v>
      </c>
      <c r="B131" s="116" t="s">
        <v>2138</v>
      </c>
      <c r="C131" s="117" t="s">
        <v>2108</v>
      </c>
      <c r="D131" s="120">
        <v>56798</v>
      </c>
      <c r="E131" s="119"/>
      <c r="F131" s="72"/>
      <c r="G131" s="119"/>
      <c r="H131" s="185">
        <v>1247688</v>
      </c>
      <c r="I131" s="63"/>
      <c r="J131" s="66"/>
      <c r="K131" s="194"/>
      <c r="L131" s="195"/>
      <c r="M131" s="194"/>
      <c r="N131" s="194"/>
      <c r="O131" s="194"/>
      <c r="P131" s="194"/>
      <c r="Q131" s="194"/>
      <c r="R131" s="194"/>
    </row>
    <row r="132" spans="1:18" ht="16.5" hidden="1" customHeight="1">
      <c r="A132" s="115" t="s">
        <v>2139</v>
      </c>
      <c r="B132" s="116" t="s">
        <v>2140</v>
      </c>
      <c r="C132" s="117" t="s">
        <v>2108</v>
      </c>
      <c r="D132" s="120">
        <v>56798</v>
      </c>
      <c r="E132" s="119"/>
      <c r="F132" s="72"/>
      <c r="G132" s="119"/>
      <c r="H132" s="185">
        <v>1746763</v>
      </c>
      <c r="I132" s="63"/>
      <c r="J132" s="66"/>
      <c r="K132" s="194"/>
      <c r="L132" s="195"/>
      <c r="M132" s="194"/>
      <c r="N132" s="194"/>
      <c r="O132" s="194"/>
      <c r="P132" s="194"/>
      <c r="Q132" s="194"/>
      <c r="R132" s="194"/>
    </row>
    <row r="133" spans="1:18" ht="16.5" hidden="1" customHeight="1">
      <c r="A133" s="115" t="s">
        <v>2141</v>
      </c>
      <c r="B133" s="116" t="s">
        <v>2142</v>
      </c>
      <c r="C133" s="117" t="s">
        <v>2108</v>
      </c>
      <c r="D133" s="120">
        <v>56798</v>
      </c>
      <c r="E133" s="119"/>
      <c r="F133" s="72"/>
      <c r="G133" s="119"/>
      <c r="H133" s="185">
        <v>2370606</v>
      </c>
      <c r="I133" s="63"/>
      <c r="J133" s="66"/>
      <c r="K133" s="194"/>
      <c r="L133" s="195"/>
      <c r="M133" s="194"/>
      <c r="N133" s="194"/>
      <c r="O133" s="194"/>
      <c r="P133" s="194"/>
      <c r="Q133" s="194"/>
      <c r="R133" s="194"/>
    </row>
    <row r="134" spans="1:18" ht="16.5" hidden="1" customHeight="1">
      <c r="A134" s="115" t="s">
        <v>2143</v>
      </c>
      <c r="B134" s="116" t="s">
        <v>2144</v>
      </c>
      <c r="C134" s="117" t="s">
        <v>2108</v>
      </c>
      <c r="D134" s="120">
        <v>56798</v>
      </c>
      <c r="E134" s="119"/>
      <c r="F134" s="72"/>
      <c r="G134" s="119"/>
      <c r="H134" s="185">
        <v>3618294</v>
      </c>
      <c r="I134" s="63"/>
      <c r="J134" s="66"/>
      <c r="K134" s="194"/>
      <c r="L134" s="195"/>
      <c r="M134" s="194"/>
      <c r="N134" s="194"/>
      <c r="O134" s="194"/>
      <c r="P134" s="194"/>
      <c r="Q134" s="194"/>
      <c r="R134" s="194"/>
    </row>
    <row r="135" spans="1:18" ht="16.5" hidden="1" customHeight="1">
      <c r="A135" s="115" t="s">
        <v>2145</v>
      </c>
      <c r="B135" s="116" t="s">
        <v>2146</v>
      </c>
      <c r="C135" s="117" t="s">
        <v>2108</v>
      </c>
      <c r="D135" s="120">
        <v>56798</v>
      </c>
      <c r="E135" s="119"/>
      <c r="F135" s="72"/>
      <c r="G135" s="119"/>
      <c r="H135" s="185">
        <v>4242138</v>
      </c>
      <c r="I135" s="63"/>
      <c r="J135" s="66"/>
      <c r="K135" s="194"/>
      <c r="L135" s="195"/>
      <c r="M135" s="194"/>
      <c r="N135" s="194"/>
      <c r="O135" s="194"/>
      <c r="P135" s="194"/>
      <c r="Q135" s="194"/>
      <c r="R135" s="194"/>
    </row>
    <row r="136" spans="1:18" ht="16.5" hidden="1" customHeight="1">
      <c r="A136" s="115" t="s">
        <v>2147</v>
      </c>
      <c r="B136" s="116" t="s">
        <v>2148</v>
      </c>
      <c r="C136" s="117" t="s">
        <v>2108</v>
      </c>
      <c r="D136" s="120">
        <v>56798</v>
      </c>
      <c r="E136" s="119"/>
      <c r="F136" s="72"/>
      <c r="G136" s="119"/>
      <c r="H136" s="185">
        <v>5489825</v>
      </c>
      <c r="I136" s="63"/>
      <c r="J136" s="66"/>
      <c r="K136" s="194"/>
      <c r="L136" s="195"/>
      <c r="M136" s="194"/>
      <c r="N136" s="194"/>
      <c r="O136" s="194"/>
      <c r="P136" s="194"/>
      <c r="Q136" s="194"/>
      <c r="R136" s="194"/>
    </row>
    <row r="137" spans="1:18" ht="16.5" hidden="1" customHeight="1">
      <c r="A137" s="115" t="s">
        <v>2149</v>
      </c>
      <c r="B137" s="116" t="s">
        <v>2150</v>
      </c>
      <c r="C137" s="117" t="s">
        <v>2108</v>
      </c>
      <c r="D137" s="120">
        <v>56798</v>
      </c>
      <c r="E137" s="119"/>
      <c r="F137" s="72"/>
      <c r="G137" s="119"/>
      <c r="H137" s="185">
        <v>7111819</v>
      </c>
      <c r="I137" s="63"/>
      <c r="J137" s="66"/>
      <c r="K137" s="194"/>
      <c r="L137" s="195"/>
      <c r="M137" s="194"/>
      <c r="N137" s="194"/>
      <c r="O137" s="194"/>
      <c r="P137" s="194"/>
      <c r="Q137" s="194"/>
      <c r="R137" s="194"/>
    </row>
    <row r="138" spans="1:18" ht="16.5" hidden="1" customHeight="1">
      <c r="A138" s="115"/>
      <c r="B138" s="116"/>
      <c r="C138" s="117"/>
      <c r="D138" s="120"/>
      <c r="E138" s="119"/>
      <c r="F138" s="72"/>
      <c r="G138" s="119"/>
      <c r="H138" s="193"/>
      <c r="I138" s="63"/>
      <c r="J138" s="194"/>
      <c r="K138" s="194"/>
      <c r="L138" s="195"/>
      <c r="M138" s="194"/>
      <c r="N138" s="194"/>
      <c r="O138" s="194"/>
      <c r="P138" s="194"/>
      <c r="Q138" s="194"/>
      <c r="R138" s="194"/>
    </row>
    <row r="139" spans="1:18" ht="16.5" hidden="1" customHeight="1">
      <c r="A139" s="115" t="s">
        <v>2151</v>
      </c>
      <c r="B139" s="116" t="s">
        <v>2152</v>
      </c>
      <c r="C139" s="117" t="s">
        <v>2153</v>
      </c>
      <c r="D139" s="120">
        <v>3862</v>
      </c>
      <c r="E139" s="119"/>
      <c r="F139" s="72"/>
      <c r="G139" s="119"/>
      <c r="H139" s="193">
        <v>190367</v>
      </c>
      <c r="I139" s="63"/>
      <c r="J139" s="194">
        <v>66628</v>
      </c>
      <c r="K139" s="194"/>
      <c r="L139" s="195"/>
      <c r="M139" s="194"/>
      <c r="N139" s="194"/>
      <c r="O139" s="194"/>
      <c r="P139" s="194"/>
      <c r="Q139" s="194"/>
      <c r="R139" s="194"/>
    </row>
    <row r="140" spans="1:18" ht="16.5" hidden="1" customHeight="1">
      <c r="A140" s="115" t="s">
        <v>2154</v>
      </c>
      <c r="B140" s="116" t="s">
        <v>2155</v>
      </c>
      <c r="C140" s="117" t="s">
        <v>2153</v>
      </c>
      <c r="D140" s="120">
        <v>3862</v>
      </c>
      <c r="E140" s="119"/>
      <c r="F140" s="72"/>
      <c r="G140" s="119"/>
      <c r="H140" s="193">
        <v>229306</v>
      </c>
      <c r="I140" s="63"/>
      <c r="J140" s="194">
        <v>66628</v>
      </c>
      <c r="K140" s="194"/>
      <c r="L140" s="195"/>
      <c r="M140" s="194"/>
      <c r="N140" s="194"/>
      <c r="O140" s="194"/>
      <c r="P140" s="194"/>
      <c r="Q140" s="194"/>
      <c r="R140" s="194"/>
    </row>
    <row r="141" spans="1:18" ht="16.5" hidden="1" customHeight="1">
      <c r="A141" s="115" t="s">
        <v>2156</v>
      </c>
      <c r="B141" s="116" t="s">
        <v>2157</v>
      </c>
      <c r="C141" s="117" t="s">
        <v>2153</v>
      </c>
      <c r="D141" s="120">
        <v>3862</v>
      </c>
      <c r="E141" s="119"/>
      <c r="F141" s="72"/>
      <c r="G141" s="119"/>
      <c r="H141" s="193">
        <v>258510</v>
      </c>
      <c r="I141" s="63"/>
      <c r="J141" s="194">
        <v>66628</v>
      </c>
      <c r="K141" s="194"/>
      <c r="L141" s="195"/>
      <c r="M141" s="194"/>
      <c r="N141" s="194"/>
      <c r="O141" s="194"/>
      <c r="P141" s="194"/>
      <c r="Q141" s="194"/>
      <c r="R141" s="194"/>
    </row>
    <row r="142" spans="1:18" ht="16.5" hidden="1" customHeight="1">
      <c r="A142" s="115" t="s">
        <v>2158</v>
      </c>
      <c r="B142" s="116" t="s">
        <v>2159</v>
      </c>
      <c r="C142" s="117" t="s">
        <v>2160</v>
      </c>
      <c r="D142" s="120">
        <v>3108</v>
      </c>
      <c r="E142" s="119"/>
      <c r="F142" s="72"/>
      <c r="G142" s="119"/>
      <c r="H142" s="193">
        <v>152510</v>
      </c>
      <c r="I142" s="63"/>
      <c r="J142" s="194">
        <v>57694</v>
      </c>
      <c r="K142" s="194"/>
      <c r="L142" s="195"/>
      <c r="M142" s="194"/>
      <c r="N142" s="194"/>
      <c r="O142" s="194"/>
      <c r="P142" s="194"/>
      <c r="Q142" s="194"/>
      <c r="R142" s="194"/>
    </row>
    <row r="143" spans="1:18" ht="16.5" hidden="1" customHeight="1">
      <c r="A143" s="115" t="s">
        <v>2161</v>
      </c>
      <c r="B143" s="116" t="s">
        <v>2162</v>
      </c>
      <c r="C143" s="117" t="s">
        <v>2160</v>
      </c>
      <c r="D143" s="120">
        <v>3108</v>
      </c>
      <c r="E143" s="119"/>
      <c r="F143" s="72"/>
      <c r="G143" s="119"/>
      <c r="H143" s="193">
        <v>182795</v>
      </c>
      <c r="I143" s="63"/>
      <c r="J143" s="194">
        <v>57694</v>
      </c>
      <c r="K143" s="194"/>
      <c r="L143" s="195"/>
      <c r="M143" s="194"/>
      <c r="N143" s="194"/>
      <c r="O143" s="194"/>
      <c r="P143" s="194"/>
      <c r="Q143" s="194"/>
      <c r="R143" s="194"/>
    </row>
    <row r="144" spans="1:18" ht="16.5" hidden="1" customHeight="1">
      <c r="A144" s="115" t="s">
        <v>2163</v>
      </c>
      <c r="B144" s="116" t="s">
        <v>2164</v>
      </c>
      <c r="C144" s="117" t="s">
        <v>2160</v>
      </c>
      <c r="D144" s="120">
        <v>3108</v>
      </c>
      <c r="E144" s="119"/>
      <c r="F144" s="72"/>
      <c r="G144" s="119"/>
      <c r="H144" s="185">
        <v>206591</v>
      </c>
      <c r="I144" s="63"/>
      <c r="J144" s="66">
        <v>57694</v>
      </c>
      <c r="K144" s="66"/>
      <c r="L144" s="65"/>
      <c r="M144" s="66"/>
      <c r="N144" s="66"/>
      <c r="O144" s="66"/>
      <c r="P144" s="66"/>
      <c r="Q144" s="66"/>
      <c r="R144" s="66"/>
    </row>
    <row r="145" spans="1:18" ht="16.5" hidden="1" customHeight="1">
      <c r="A145" s="115"/>
      <c r="B145" s="116"/>
      <c r="C145" s="117"/>
      <c r="D145" s="120"/>
      <c r="E145" s="119"/>
      <c r="F145" s="72"/>
      <c r="G145" s="119"/>
      <c r="H145" s="193"/>
      <c r="I145" s="63"/>
      <c r="J145" s="194"/>
      <c r="K145" s="194"/>
      <c r="L145" s="195"/>
      <c r="M145" s="194"/>
      <c r="N145" s="194"/>
      <c r="O145" s="194"/>
      <c r="P145" s="194"/>
      <c r="Q145" s="194"/>
      <c r="R145" s="194"/>
    </row>
    <row r="146" spans="1:18" ht="16.5" hidden="1" customHeight="1">
      <c r="A146" s="115" t="s">
        <v>2165</v>
      </c>
      <c r="B146" s="116" t="s">
        <v>2166</v>
      </c>
      <c r="C146" s="117" t="s">
        <v>185</v>
      </c>
      <c r="D146" s="120">
        <v>6970</v>
      </c>
      <c r="E146" s="119"/>
      <c r="F146" s="72"/>
      <c r="G146" s="119"/>
      <c r="H146" s="193">
        <f t="shared" ref="H146:H160" si="12">IF(G146&lt;&gt;0,ROUND(G146*F146,0), )</f>
        <v>0</v>
      </c>
      <c r="I146" s="63"/>
      <c r="J146" s="194"/>
      <c r="K146" s="194"/>
      <c r="L146" s="195"/>
      <c r="M146" s="194"/>
      <c r="N146" s="194"/>
      <c r="O146" s="194"/>
      <c r="P146" s="194"/>
      <c r="Q146" s="194"/>
      <c r="R146" s="194"/>
    </row>
    <row r="147" spans="1:18" ht="16.5" hidden="1" customHeight="1">
      <c r="A147" s="115" t="s">
        <v>2167</v>
      </c>
      <c r="B147" s="116" t="s">
        <v>2168</v>
      </c>
      <c r="C147" s="117" t="s">
        <v>185</v>
      </c>
      <c r="D147" s="120">
        <v>6970</v>
      </c>
      <c r="E147" s="119"/>
      <c r="F147" s="72"/>
      <c r="G147" s="119"/>
      <c r="H147" s="193">
        <f t="shared" si="12"/>
        <v>0</v>
      </c>
      <c r="I147" s="63"/>
      <c r="J147" s="194"/>
      <c r="K147" s="194"/>
      <c r="L147" s="195"/>
      <c r="M147" s="194"/>
      <c r="N147" s="194"/>
      <c r="O147" s="194"/>
      <c r="P147" s="194"/>
      <c r="Q147" s="194"/>
      <c r="R147" s="194"/>
    </row>
    <row r="148" spans="1:18" ht="16.5" hidden="1" customHeight="1">
      <c r="A148" s="115" t="s">
        <v>2169</v>
      </c>
      <c r="B148" s="116" t="s">
        <v>2170</v>
      </c>
      <c r="C148" s="117" t="s">
        <v>185</v>
      </c>
      <c r="D148" s="120">
        <v>6970</v>
      </c>
      <c r="E148" s="119"/>
      <c r="F148" s="72"/>
      <c r="G148" s="119"/>
      <c r="H148" s="193">
        <f t="shared" si="12"/>
        <v>0</v>
      </c>
      <c r="I148" s="63"/>
      <c r="J148" s="194"/>
      <c r="K148" s="194"/>
      <c r="L148" s="195"/>
      <c r="M148" s="194"/>
      <c r="N148" s="194"/>
      <c r="O148" s="194"/>
      <c r="P148" s="194"/>
      <c r="Q148" s="194"/>
      <c r="R148" s="194"/>
    </row>
    <row r="149" spans="1:18" ht="16.5" hidden="1" customHeight="1">
      <c r="A149" s="115" t="s">
        <v>2171</v>
      </c>
      <c r="B149" s="116" t="s">
        <v>2172</v>
      </c>
      <c r="C149" s="117" t="s">
        <v>185</v>
      </c>
      <c r="D149" s="120">
        <v>8680</v>
      </c>
      <c r="E149" s="119"/>
      <c r="F149" s="72"/>
      <c r="G149" s="119"/>
      <c r="H149" s="193">
        <f t="shared" si="12"/>
        <v>0</v>
      </c>
      <c r="I149" s="63"/>
      <c r="J149" s="194"/>
      <c r="K149" s="194"/>
      <c r="L149" s="195"/>
      <c r="M149" s="194"/>
      <c r="N149" s="194"/>
      <c r="O149" s="194"/>
      <c r="P149" s="194"/>
      <c r="Q149" s="194"/>
      <c r="R149" s="194"/>
    </row>
    <row r="150" spans="1:18" ht="16.5" hidden="1" customHeight="1">
      <c r="A150" s="115" t="s">
        <v>2173</v>
      </c>
      <c r="B150" s="116" t="s">
        <v>2174</v>
      </c>
      <c r="C150" s="117" t="s">
        <v>185</v>
      </c>
      <c r="D150" s="120">
        <v>8680</v>
      </c>
      <c r="E150" s="119"/>
      <c r="F150" s="72"/>
      <c r="G150" s="119"/>
      <c r="H150" s="193">
        <f t="shared" si="12"/>
        <v>0</v>
      </c>
      <c r="I150" s="63"/>
      <c r="J150" s="194"/>
      <c r="K150" s="194"/>
      <c r="L150" s="195"/>
      <c r="M150" s="194"/>
      <c r="N150" s="194"/>
      <c r="O150" s="194"/>
      <c r="P150" s="194"/>
      <c r="Q150" s="194"/>
      <c r="R150" s="194"/>
    </row>
    <row r="151" spans="1:18" ht="16.5" hidden="1" customHeight="1">
      <c r="A151" s="115" t="s">
        <v>2175</v>
      </c>
      <c r="B151" s="116" t="s">
        <v>2176</v>
      </c>
      <c r="C151" s="117" t="s">
        <v>185</v>
      </c>
      <c r="D151" s="120">
        <v>10390</v>
      </c>
      <c r="E151" s="119"/>
      <c r="F151" s="72"/>
      <c r="G151" s="119"/>
      <c r="H151" s="193">
        <f t="shared" si="12"/>
        <v>0</v>
      </c>
      <c r="I151" s="63"/>
      <c r="J151" s="194"/>
      <c r="K151" s="194"/>
      <c r="L151" s="195"/>
      <c r="M151" s="194"/>
      <c r="N151" s="194"/>
      <c r="O151" s="194"/>
      <c r="P151" s="194"/>
      <c r="Q151" s="194"/>
      <c r="R151" s="194"/>
    </row>
    <row r="152" spans="1:18" ht="16.5" hidden="1" customHeight="1">
      <c r="A152" s="121" t="s">
        <v>2177</v>
      </c>
      <c r="B152" s="116" t="s">
        <v>2178</v>
      </c>
      <c r="C152" s="117" t="s">
        <v>185</v>
      </c>
      <c r="D152" s="120">
        <v>10390</v>
      </c>
      <c r="E152" s="119"/>
      <c r="F152" s="72"/>
      <c r="G152" s="119"/>
      <c r="H152" s="193">
        <f t="shared" si="12"/>
        <v>0</v>
      </c>
      <c r="I152" s="63"/>
      <c r="J152" s="194"/>
      <c r="K152" s="194"/>
      <c r="L152" s="195"/>
      <c r="M152" s="194"/>
      <c r="N152" s="194"/>
      <c r="O152" s="194"/>
      <c r="P152" s="194"/>
      <c r="Q152" s="194"/>
      <c r="R152" s="194"/>
    </row>
    <row r="153" spans="1:18" ht="16.5" hidden="1" customHeight="1">
      <c r="A153" s="121" t="s">
        <v>2179</v>
      </c>
      <c r="B153" s="116" t="s">
        <v>2180</v>
      </c>
      <c r="C153" s="117" t="s">
        <v>185</v>
      </c>
      <c r="D153" s="120">
        <v>11300</v>
      </c>
      <c r="E153" s="119"/>
      <c r="F153" s="72"/>
      <c r="G153" s="119"/>
      <c r="H153" s="193">
        <f t="shared" si="12"/>
        <v>0</v>
      </c>
      <c r="I153" s="63"/>
      <c r="J153" s="194"/>
      <c r="K153" s="194"/>
      <c r="L153" s="195"/>
      <c r="M153" s="194"/>
      <c r="N153" s="194"/>
      <c r="O153" s="194"/>
      <c r="P153" s="194"/>
      <c r="Q153" s="194"/>
      <c r="R153" s="194"/>
    </row>
    <row r="154" spans="1:18" ht="16.5" hidden="1" customHeight="1">
      <c r="A154" s="121" t="s">
        <v>2181</v>
      </c>
      <c r="B154" s="116" t="s">
        <v>2182</v>
      </c>
      <c r="C154" s="117" t="s">
        <v>185</v>
      </c>
      <c r="D154" s="120">
        <v>11300</v>
      </c>
      <c r="E154" s="119"/>
      <c r="F154" s="72"/>
      <c r="G154" s="119"/>
      <c r="H154" s="193">
        <f t="shared" si="12"/>
        <v>0</v>
      </c>
      <c r="I154" s="63"/>
      <c r="J154" s="194"/>
      <c r="K154" s="194"/>
      <c r="L154" s="195"/>
      <c r="M154" s="194"/>
      <c r="N154" s="194"/>
      <c r="O154" s="194"/>
      <c r="P154" s="194"/>
      <c r="Q154" s="194"/>
      <c r="R154" s="194"/>
    </row>
    <row r="155" spans="1:18" ht="16.5" hidden="1" customHeight="1">
      <c r="A155" s="121" t="s">
        <v>2183</v>
      </c>
      <c r="B155" s="116" t="s">
        <v>2184</v>
      </c>
      <c r="C155" s="117" t="s">
        <v>185</v>
      </c>
      <c r="D155" s="120">
        <v>13120</v>
      </c>
      <c r="E155" s="119"/>
      <c r="F155" s="72"/>
      <c r="G155" s="119"/>
      <c r="H155" s="193">
        <f t="shared" si="12"/>
        <v>0</v>
      </c>
      <c r="I155" s="63"/>
      <c r="J155" s="194"/>
      <c r="K155" s="194"/>
      <c r="L155" s="195"/>
      <c r="M155" s="194"/>
      <c r="N155" s="194"/>
      <c r="O155" s="194"/>
      <c r="P155" s="194"/>
      <c r="Q155" s="194"/>
      <c r="R155" s="194"/>
    </row>
    <row r="156" spans="1:18" ht="16.5" hidden="1" customHeight="1">
      <c r="A156" s="121" t="s">
        <v>2185</v>
      </c>
      <c r="B156" s="116" t="s">
        <v>2186</v>
      </c>
      <c r="C156" s="117" t="s">
        <v>185</v>
      </c>
      <c r="D156" s="120">
        <v>13920</v>
      </c>
      <c r="E156" s="119"/>
      <c r="F156" s="72"/>
      <c r="G156" s="119"/>
      <c r="H156" s="193">
        <f t="shared" si="12"/>
        <v>0</v>
      </c>
      <c r="I156" s="63"/>
      <c r="J156" s="194"/>
      <c r="K156" s="194"/>
      <c r="L156" s="195"/>
      <c r="M156" s="194"/>
      <c r="N156" s="194"/>
      <c r="O156" s="194"/>
      <c r="P156" s="194"/>
      <c r="Q156" s="194"/>
      <c r="R156" s="194"/>
    </row>
    <row r="157" spans="1:18" ht="16.5" hidden="1" customHeight="1">
      <c r="A157" s="121" t="s">
        <v>2187</v>
      </c>
      <c r="B157" s="116" t="s">
        <v>2188</v>
      </c>
      <c r="C157" s="117" t="s">
        <v>185</v>
      </c>
      <c r="D157" s="120">
        <v>13920</v>
      </c>
      <c r="E157" s="119"/>
      <c r="F157" s="72"/>
      <c r="G157" s="119"/>
      <c r="H157" s="193">
        <f t="shared" si="12"/>
        <v>0</v>
      </c>
      <c r="I157" s="63"/>
      <c r="J157" s="194"/>
      <c r="K157" s="194"/>
      <c r="L157" s="195"/>
      <c r="M157" s="194"/>
      <c r="N157" s="194"/>
      <c r="O157" s="194"/>
      <c r="P157" s="194"/>
      <c r="Q157" s="194"/>
      <c r="R157" s="194"/>
    </row>
    <row r="158" spans="1:18" ht="16.5" hidden="1" customHeight="1">
      <c r="A158" s="121" t="s">
        <v>2189</v>
      </c>
      <c r="B158" s="116" t="s">
        <v>2190</v>
      </c>
      <c r="C158" s="117" t="s">
        <v>185</v>
      </c>
      <c r="D158" s="120">
        <v>15740</v>
      </c>
      <c r="E158" s="119"/>
      <c r="F158" s="72"/>
      <c r="G158" s="119"/>
      <c r="H158" s="193">
        <f t="shared" si="12"/>
        <v>0</v>
      </c>
      <c r="I158" s="63"/>
      <c r="J158" s="194"/>
      <c r="K158" s="194"/>
      <c r="L158" s="195"/>
      <c r="M158" s="194"/>
      <c r="N158" s="194"/>
      <c r="O158" s="194"/>
      <c r="P158" s="194"/>
      <c r="Q158" s="194"/>
      <c r="R158" s="194"/>
    </row>
    <row r="159" spans="1:18" ht="16.5" hidden="1" customHeight="1">
      <c r="A159" s="121" t="s">
        <v>2191</v>
      </c>
      <c r="B159" s="116" t="s">
        <v>2192</v>
      </c>
      <c r="C159" s="117" t="s">
        <v>185</v>
      </c>
      <c r="D159" s="120">
        <v>17200</v>
      </c>
      <c r="E159" s="119"/>
      <c r="F159" s="72"/>
      <c r="G159" s="119"/>
      <c r="H159" s="193">
        <f t="shared" si="12"/>
        <v>0</v>
      </c>
      <c r="I159" s="63"/>
      <c r="J159" s="194"/>
      <c r="K159" s="194"/>
      <c r="L159" s="195"/>
      <c r="M159" s="194"/>
      <c r="N159" s="194"/>
      <c r="O159" s="194"/>
      <c r="P159" s="194"/>
      <c r="Q159" s="194"/>
      <c r="R159" s="194"/>
    </row>
    <row r="160" spans="1:18" ht="16.5" hidden="1" customHeight="1">
      <c r="A160" s="121" t="s">
        <v>2193</v>
      </c>
      <c r="B160" s="116" t="s">
        <v>2194</v>
      </c>
      <c r="C160" s="117" t="s">
        <v>185</v>
      </c>
      <c r="D160" s="120">
        <v>17860</v>
      </c>
      <c r="E160" s="119"/>
      <c r="F160" s="72"/>
      <c r="G160" s="119"/>
      <c r="H160" s="193">
        <f t="shared" si="12"/>
        <v>0</v>
      </c>
      <c r="I160" s="63"/>
      <c r="J160" s="194"/>
      <c r="K160" s="194"/>
      <c r="L160" s="195"/>
      <c r="M160" s="194"/>
      <c r="N160" s="194"/>
      <c r="O160" s="194"/>
      <c r="P160" s="194"/>
      <c r="Q160" s="194"/>
      <c r="R160" s="194"/>
    </row>
    <row r="161" spans="1:18" ht="16.5" hidden="1" customHeight="1">
      <c r="A161" s="121"/>
      <c r="B161" s="116"/>
      <c r="C161" s="117"/>
      <c r="D161" s="120"/>
      <c r="E161" s="119"/>
      <c r="F161" s="72"/>
      <c r="G161" s="119"/>
      <c r="H161" s="193"/>
      <c r="I161" s="63"/>
      <c r="J161" s="194"/>
      <c r="K161" s="194"/>
      <c r="L161" s="195"/>
      <c r="M161" s="194"/>
      <c r="N161" s="194"/>
      <c r="O161" s="194"/>
      <c r="P161" s="194"/>
      <c r="Q161" s="194"/>
      <c r="R161" s="194"/>
    </row>
    <row r="162" spans="1:18" ht="16.5" hidden="1" customHeight="1">
      <c r="A162" s="121" t="s">
        <v>2195</v>
      </c>
      <c r="B162" s="116" t="s">
        <v>2196</v>
      </c>
      <c r="C162" s="117" t="s">
        <v>185</v>
      </c>
      <c r="D162" s="120">
        <v>18970</v>
      </c>
      <c r="E162" s="119"/>
      <c r="F162" s="72"/>
      <c r="G162" s="119"/>
      <c r="H162" s="193">
        <f t="shared" ref="H162:H176" si="13">IF(G162&lt;&gt;0,ROUND(G162*F162,0), )</f>
        <v>0</v>
      </c>
      <c r="I162" s="63"/>
      <c r="J162" s="194"/>
      <c r="K162" s="194"/>
      <c r="L162" s="195"/>
      <c r="M162" s="194"/>
      <c r="N162" s="194"/>
      <c r="O162" s="194"/>
      <c r="P162" s="194"/>
      <c r="Q162" s="194"/>
      <c r="R162" s="194"/>
    </row>
    <row r="163" spans="1:18" ht="16.5" hidden="1" customHeight="1">
      <c r="A163" s="121" t="s">
        <v>2197</v>
      </c>
      <c r="B163" s="116" t="s">
        <v>2198</v>
      </c>
      <c r="C163" s="117" t="s">
        <v>185</v>
      </c>
      <c r="D163" s="120">
        <v>18970</v>
      </c>
      <c r="E163" s="119"/>
      <c r="F163" s="72"/>
      <c r="G163" s="119"/>
      <c r="H163" s="193">
        <f t="shared" si="13"/>
        <v>0</v>
      </c>
      <c r="I163" s="63"/>
      <c r="J163" s="194"/>
      <c r="K163" s="194"/>
      <c r="L163" s="195"/>
      <c r="M163" s="194"/>
      <c r="N163" s="194"/>
      <c r="O163" s="194"/>
      <c r="P163" s="194"/>
      <c r="Q163" s="194"/>
      <c r="R163" s="194"/>
    </row>
    <row r="164" spans="1:18" ht="16.5" hidden="1" customHeight="1">
      <c r="A164" s="121" t="s">
        <v>2199</v>
      </c>
      <c r="B164" s="116" t="s">
        <v>2200</v>
      </c>
      <c r="C164" s="117" t="s">
        <v>185</v>
      </c>
      <c r="D164" s="120">
        <v>18970</v>
      </c>
      <c r="E164" s="119"/>
      <c r="F164" s="72"/>
      <c r="G164" s="119"/>
      <c r="H164" s="193">
        <f t="shared" si="13"/>
        <v>0</v>
      </c>
      <c r="I164" s="63"/>
      <c r="J164" s="194"/>
      <c r="K164" s="194"/>
      <c r="L164" s="195"/>
      <c r="M164" s="194"/>
      <c r="N164" s="194"/>
      <c r="O164" s="194"/>
      <c r="P164" s="194"/>
      <c r="Q164" s="194"/>
      <c r="R164" s="194"/>
    </row>
    <row r="165" spans="1:18" ht="16.5" hidden="1" customHeight="1">
      <c r="A165" s="121" t="s">
        <v>2201</v>
      </c>
      <c r="B165" s="116" t="s">
        <v>2202</v>
      </c>
      <c r="C165" s="117" t="s">
        <v>185</v>
      </c>
      <c r="D165" s="120">
        <v>128680</v>
      </c>
      <c r="E165" s="119"/>
      <c r="F165" s="72"/>
      <c r="G165" s="119"/>
      <c r="H165" s="193">
        <f t="shared" si="13"/>
        <v>0</v>
      </c>
      <c r="I165" s="63"/>
      <c r="J165" s="194"/>
      <c r="K165" s="194"/>
      <c r="L165" s="195"/>
      <c r="M165" s="194"/>
      <c r="N165" s="194"/>
      <c r="O165" s="194"/>
      <c r="P165" s="194"/>
      <c r="Q165" s="194"/>
      <c r="R165" s="194"/>
    </row>
    <row r="166" spans="1:18" ht="16.5" hidden="1" customHeight="1">
      <c r="A166" s="121" t="s">
        <v>2203</v>
      </c>
      <c r="B166" s="116" t="s">
        <v>2204</v>
      </c>
      <c r="C166" s="117" t="s">
        <v>185</v>
      </c>
      <c r="D166" s="120">
        <v>158680</v>
      </c>
      <c r="E166" s="119"/>
      <c r="F166" s="72"/>
      <c r="G166" s="119"/>
      <c r="H166" s="193">
        <f t="shared" si="13"/>
        <v>0</v>
      </c>
      <c r="I166" s="63"/>
      <c r="J166" s="194"/>
      <c r="K166" s="194"/>
      <c r="L166" s="195"/>
      <c r="M166" s="194"/>
      <c r="N166" s="194"/>
      <c r="O166" s="194"/>
      <c r="P166" s="194"/>
      <c r="Q166" s="194"/>
      <c r="R166" s="194"/>
    </row>
    <row r="167" spans="1:18" ht="16.5" hidden="1" customHeight="1">
      <c r="A167" s="121" t="s">
        <v>2205</v>
      </c>
      <c r="B167" s="116" t="s">
        <v>2206</v>
      </c>
      <c r="C167" s="117" t="s">
        <v>185</v>
      </c>
      <c r="D167" s="120">
        <v>160390</v>
      </c>
      <c r="E167" s="119"/>
      <c r="F167" s="72"/>
      <c r="G167" s="119"/>
      <c r="H167" s="193">
        <f t="shared" si="13"/>
        <v>0</v>
      </c>
      <c r="I167" s="63"/>
      <c r="J167" s="194"/>
      <c r="K167" s="194"/>
      <c r="L167" s="195"/>
      <c r="M167" s="194"/>
      <c r="N167" s="194"/>
      <c r="O167" s="194"/>
      <c r="P167" s="194"/>
      <c r="Q167" s="194"/>
      <c r="R167" s="194"/>
    </row>
    <row r="168" spans="1:18" ht="16.5" hidden="1" customHeight="1">
      <c r="A168" s="121" t="s">
        <v>2207</v>
      </c>
      <c r="B168" s="116" t="s">
        <v>2208</v>
      </c>
      <c r="C168" s="117" t="s">
        <v>185</v>
      </c>
      <c r="D168" s="120">
        <v>160390</v>
      </c>
      <c r="E168" s="119"/>
      <c r="F168" s="72"/>
      <c r="G168" s="119"/>
      <c r="H168" s="193">
        <f t="shared" si="13"/>
        <v>0</v>
      </c>
      <c r="I168" s="63"/>
      <c r="J168" s="194"/>
      <c r="K168" s="194"/>
      <c r="L168" s="195"/>
      <c r="M168" s="194"/>
      <c r="N168" s="194"/>
      <c r="O168" s="194"/>
      <c r="P168" s="194"/>
      <c r="Q168" s="194"/>
      <c r="R168" s="194"/>
    </row>
    <row r="169" spans="1:18" ht="16.5" hidden="1" customHeight="1">
      <c r="A169" s="121" t="s">
        <v>2209</v>
      </c>
      <c r="B169" s="116" t="s">
        <v>2210</v>
      </c>
      <c r="C169" s="117" t="s">
        <v>185</v>
      </c>
      <c r="D169" s="120">
        <v>161300</v>
      </c>
      <c r="E169" s="119"/>
      <c r="F169" s="72"/>
      <c r="G169" s="119"/>
      <c r="H169" s="193">
        <f t="shared" si="13"/>
        <v>0</v>
      </c>
      <c r="I169" s="63"/>
      <c r="J169" s="194"/>
      <c r="K169" s="194"/>
      <c r="L169" s="195"/>
      <c r="M169" s="194"/>
      <c r="N169" s="194"/>
      <c r="O169" s="194"/>
      <c r="P169" s="194"/>
      <c r="Q169" s="194"/>
      <c r="R169" s="194"/>
    </row>
    <row r="170" spans="1:18" ht="16.5" hidden="1" customHeight="1">
      <c r="A170" s="121" t="s">
        <v>2211</v>
      </c>
      <c r="B170" s="116" t="s">
        <v>2212</v>
      </c>
      <c r="C170" s="117" t="s">
        <v>185</v>
      </c>
      <c r="D170" s="120">
        <v>161300</v>
      </c>
      <c r="E170" s="119"/>
      <c r="F170" s="72"/>
      <c r="G170" s="119"/>
      <c r="H170" s="193">
        <f t="shared" si="13"/>
        <v>0</v>
      </c>
      <c r="I170" s="63"/>
      <c r="J170" s="194"/>
      <c r="K170" s="194"/>
      <c r="L170" s="195"/>
      <c r="M170" s="194"/>
      <c r="N170" s="194"/>
      <c r="O170" s="194"/>
      <c r="P170" s="194"/>
      <c r="Q170" s="194"/>
      <c r="R170" s="194"/>
    </row>
    <row r="171" spans="1:18" ht="16.5" hidden="1" customHeight="1">
      <c r="A171" s="121" t="s">
        <v>2213</v>
      </c>
      <c r="B171" s="116" t="s">
        <v>2214</v>
      </c>
      <c r="C171" s="117" t="s">
        <v>185</v>
      </c>
      <c r="D171" s="120">
        <v>163120</v>
      </c>
      <c r="E171" s="119"/>
      <c r="F171" s="72"/>
      <c r="G171" s="119"/>
      <c r="H171" s="193">
        <f t="shared" si="13"/>
        <v>0</v>
      </c>
      <c r="I171" s="63"/>
      <c r="J171" s="194"/>
      <c r="K171" s="194"/>
      <c r="L171" s="195"/>
      <c r="M171" s="194"/>
      <c r="N171" s="194"/>
      <c r="O171" s="194"/>
      <c r="P171" s="194"/>
      <c r="Q171" s="194"/>
      <c r="R171" s="194"/>
    </row>
    <row r="172" spans="1:18" ht="16.5" hidden="1" customHeight="1">
      <c r="A172" s="121" t="s">
        <v>2215</v>
      </c>
      <c r="B172" s="116" t="s">
        <v>2216</v>
      </c>
      <c r="C172" s="117" t="s">
        <v>185</v>
      </c>
      <c r="D172" s="120">
        <v>193920</v>
      </c>
      <c r="E172" s="119"/>
      <c r="F172" s="72"/>
      <c r="G172" s="119"/>
      <c r="H172" s="193">
        <f t="shared" si="13"/>
        <v>0</v>
      </c>
      <c r="I172" s="63"/>
      <c r="J172" s="194"/>
      <c r="K172" s="194"/>
      <c r="L172" s="195"/>
      <c r="M172" s="194"/>
      <c r="N172" s="194"/>
      <c r="O172" s="194"/>
      <c r="P172" s="194"/>
      <c r="Q172" s="194"/>
      <c r="R172" s="194"/>
    </row>
    <row r="173" spans="1:18" ht="16.5" hidden="1" customHeight="1">
      <c r="A173" s="121" t="s">
        <v>2217</v>
      </c>
      <c r="B173" s="116" t="s">
        <v>2218</v>
      </c>
      <c r="C173" s="117" t="s">
        <v>185</v>
      </c>
      <c r="D173" s="120">
        <v>193920</v>
      </c>
      <c r="E173" s="119"/>
      <c r="F173" s="72"/>
      <c r="G173" s="119"/>
      <c r="H173" s="193">
        <f t="shared" si="13"/>
        <v>0</v>
      </c>
      <c r="I173" s="63"/>
      <c r="J173" s="194"/>
      <c r="K173" s="194"/>
      <c r="L173" s="195"/>
      <c r="M173" s="194"/>
      <c r="N173" s="194"/>
      <c r="O173" s="194"/>
      <c r="P173" s="194"/>
      <c r="Q173" s="194"/>
      <c r="R173" s="194"/>
    </row>
    <row r="174" spans="1:18" ht="16.5" hidden="1" customHeight="1">
      <c r="A174" s="121" t="s">
        <v>2219</v>
      </c>
      <c r="B174" s="116" t="s">
        <v>2220</v>
      </c>
      <c r="C174" s="117" t="s">
        <v>185</v>
      </c>
      <c r="D174" s="120">
        <v>195740</v>
      </c>
      <c r="E174" s="119"/>
      <c r="F174" s="72"/>
      <c r="G174" s="119"/>
      <c r="H174" s="193">
        <f t="shared" si="13"/>
        <v>0</v>
      </c>
      <c r="I174" s="63"/>
      <c r="J174" s="194"/>
      <c r="K174" s="194"/>
      <c r="L174" s="195"/>
      <c r="M174" s="194"/>
      <c r="N174" s="194"/>
      <c r="O174" s="194"/>
      <c r="P174" s="194"/>
      <c r="Q174" s="194"/>
      <c r="R174" s="194"/>
    </row>
    <row r="175" spans="1:18" ht="16.5" hidden="1" customHeight="1">
      <c r="A175" s="121" t="s">
        <v>2221</v>
      </c>
      <c r="B175" s="116" t="s">
        <v>2222</v>
      </c>
      <c r="C175" s="117" t="s">
        <v>185</v>
      </c>
      <c r="D175" s="120">
        <v>197200</v>
      </c>
      <c r="E175" s="119"/>
      <c r="F175" s="72"/>
      <c r="G175" s="119"/>
      <c r="H175" s="193">
        <f t="shared" si="13"/>
        <v>0</v>
      </c>
      <c r="I175" s="63"/>
      <c r="J175" s="194"/>
      <c r="K175" s="194"/>
      <c r="L175" s="195"/>
      <c r="M175" s="194"/>
      <c r="N175" s="194"/>
      <c r="O175" s="194"/>
      <c r="P175" s="194"/>
      <c r="Q175" s="194"/>
      <c r="R175" s="194"/>
    </row>
    <row r="176" spans="1:18" ht="16.5" hidden="1" customHeight="1">
      <c r="A176" s="121" t="s">
        <v>2223</v>
      </c>
      <c r="B176" s="116" t="s">
        <v>2224</v>
      </c>
      <c r="C176" s="117" t="s">
        <v>185</v>
      </c>
      <c r="D176" s="120">
        <v>197860</v>
      </c>
      <c r="E176" s="119"/>
      <c r="F176" s="72"/>
      <c r="G176" s="119"/>
      <c r="H176" s="193">
        <f t="shared" si="13"/>
        <v>0</v>
      </c>
      <c r="I176" s="63"/>
      <c r="J176" s="194"/>
      <c r="K176" s="194"/>
      <c r="L176" s="195"/>
      <c r="M176" s="194"/>
      <c r="N176" s="194"/>
      <c r="O176" s="194"/>
      <c r="P176" s="194"/>
      <c r="Q176" s="194"/>
      <c r="R176" s="194"/>
    </row>
    <row r="177" spans="1:18" ht="16.5" hidden="1" customHeight="1">
      <c r="A177" s="121"/>
      <c r="B177" s="116"/>
      <c r="C177" s="117"/>
      <c r="D177" s="120"/>
      <c r="E177" s="119"/>
      <c r="F177" s="72"/>
      <c r="G177" s="119"/>
      <c r="H177" s="193"/>
      <c r="I177" s="63"/>
      <c r="J177" s="194"/>
      <c r="K177" s="194"/>
      <c r="L177" s="195"/>
      <c r="M177" s="194"/>
      <c r="N177" s="194"/>
      <c r="O177" s="194"/>
      <c r="P177" s="194"/>
      <c r="Q177" s="194"/>
      <c r="R177" s="194"/>
    </row>
    <row r="178" spans="1:18" ht="16.5" hidden="1" customHeight="1">
      <c r="A178" s="121" t="s">
        <v>2225</v>
      </c>
      <c r="B178" s="116" t="s">
        <v>2226</v>
      </c>
      <c r="C178" s="117" t="s">
        <v>185</v>
      </c>
      <c r="D178" s="120">
        <v>1608631</v>
      </c>
      <c r="E178" s="119"/>
      <c r="F178" s="72"/>
      <c r="G178" s="119"/>
      <c r="H178" s="193">
        <f t="shared" ref="H178:H186" si="14">IF(G178&lt;&gt;0,ROUND(G178*F178,0), )</f>
        <v>0</v>
      </c>
      <c r="I178" s="63"/>
      <c r="J178" s="194"/>
      <c r="K178" s="194"/>
      <c r="L178" s="195"/>
      <c r="M178" s="194"/>
      <c r="N178" s="194"/>
      <c r="O178" s="194"/>
      <c r="P178" s="194"/>
      <c r="Q178" s="194"/>
      <c r="R178" s="194"/>
    </row>
    <row r="179" spans="1:18" ht="16.5" hidden="1" customHeight="1">
      <c r="A179" s="121" t="s">
        <v>2227</v>
      </c>
      <c r="B179" s="116" t="s">
        <v>2228</v>
      </c>
      <c r="C179" s="117" t="s">
        <v>185</v>
      </c>
      <c r="D179" s="120">
        <v>1608631</v>
      </c>
      <c r="E179" s="119"/>
      <c r="F179" s="72"/>
      <c r="G179" s="119"/>
      <c r="H179" s="193">
        <f t="shared" si="14"/>
        <v>0</v>
      </c>
      <c r="I179" s="63"/>
      <c r="J179" s="194"/>
      <c r="K179" s="194"/>
      <c r="L179" s="195"/>
      <c r="M179" s="194"/>
      <c r="N179" s="194"/>
      <c r="O179" s="194"/>
      <c r="P179" s="194"/>
      <c r="Q179" s="194"/>
      <c r="R179" s="194"/>
    </row>
    <row r="180" spans="1:18" ht="16.5" hidden="1" customHeight="1">
      <c r="A180" s="121" t="s">
        <v>2229</v>
      </c>
      <c r="B180" s="116" t="s">
        <v>2230</v>
      </c>
      <c r="C180" s="117" t="s">
        <v>185</v>
      </c>
      <c r="D180" s="120">
        <v>1609431</v>
      </c>
      <c r="E180" s="119"/>
      <c r="F180" s="72"/>
      <c r="G180" s="119"/>
      <c r="H180" s="193">
        <f t="shared" si="14"/>
        <v>0</v>
      </c>
      <c r="I180" s="63"/>
      <c r="J180" s="194"/>
      <c r="K180" s="194"/>
      <c r="L180" s="195"/>
      <c r="M180" s="194"/>
      <c r="N180" s="194"/>
      <c r="O180" s="194"/>
      <c r="P180" s="194"/>
      <c r="Q180" s="194"/>
      <c r="R180" s="194"/>
    </row>
    <row r="181" spans="1:18" ht="16.5" hidden="1" customHeight="1">
      <c r="A181" s="121" t="s">
        <v>2231</v>
      </c>
      <c r="B181" s="116" t="s">
        <v>2232</v>
      </c>
      <c r="C181" s="117" t="s">
        <v>185</v>
      </c>
      <c r="D181" s="120">
        <v>1737340</v>
      </c>
      <c r="E181" s="119"/>
      <c r="F181" s="72"/>
      <c r="G181" s="119"/>
      <c r="H181" s="193">
        <f t="shared" si="14"/>
        <v>0</v>
      </c>
      <c r="I181" s="63"/>
      <c r="J181" s="194"/>
      <c r="K181" s="194"/>
      <c r="L181" s="195"/>
      <c r="M181" s="194"/>
      <c r="N181" s="194"/>
      <c r="O181" s="194"/>
      <c r="P181" s="194"/>
      <c r="Q181" s="194"/>
      <c r="R181" s="194"/>
    </row>
    <row r="182" spans="1:18" ht="16.5" hidden="1" customHeight="1">
      <c r="A182" s="121" t="s">
        <v>2233</v>
      </c>
      <c r="B182" s="116" t="s">
        <v>2234</v>
      </c>
      <c r="C182" s="117" t="s">
        <v>185</v>
      </c>
      <c r="D182" s="120">
        <v>1738140</v>
      </c>
      <c r="E182" s="119"/>
      <c r="F182" s="72"/>
      <c r="G182" s="119"/>
      <c r="H182" s="193">
        <f t="shared" si="14"/>
        <v>0</v>
      </c>
      <c r="I182" s="63"/>
      <c r="J182" s="194"/>
      <c r="K182" s="194"/>
      <c r="L182" s="195"/>
      <c r="M182" s="194"/>
      <c r="N182" s="194"/>
      <c r="O182" s="194"/>
      <c r="P182" s="194"/>
      <c r="Q182" s="194"/>
      <c r="R182" s="194"/>
    </row>
    <row r="183" spans="1:18" ht="16.5" hidden="1" customHeight="1">
      <c r="A183" s="121" t="s">
        <v>2235</v>
      </c>
      <c r="B183" s="116" t="s">
        <v>2236</v>
      </c>
      <c r="C183" s="117" t="s">
        <v>185</v>
      </c>
      <c r="D183" s="120">
        <v>1739050</v>
      </c>
      <c r="E183" s="119"/>
      <c r="F183" s="72"/>
      <c r="G183" s="119"/>
      <c r="H183" s="193">
        <f t="shared" si="14"/>
        <v>0</v>
      </c>
      <c r="I183" s="63"/>
      <c r="J183" s="194"/>
      <c r="K183" s="194"/>
      <c r="L183" s="195"/>
      <c r="M183" s="194"/>
      <c r="N183" s="194"/>
      <c r="O183" s="194"/>
      <c r="P183" s="194"/>
      <c r="Q183" s="194"/>
      <c r="R183" s="194"/>
    </row>
    <row r="184" spans="1:18" ht="16.5" hidden="1" customHeight="1">
      <c r="A184" s="121" t="s">
        <v>2237</v>
      </c>
      <c r="B184" s="116" t="s">
        <v>2238</v>
      </c>
      <c r="C184" s="117" t="s">
        <v>185</v>
      </c>
      <c r="D184" s="120">
        <v>1739050</v>
      </c>
      <c r="E184" s="119"/>
      <c r="F184" s="72"/>
      <c r="G184" s="119"/>
      <c r="H184" s="193">
        <f t="shared" si="14"/>
        <v>0</v>
      </c>
      <c r="I184" s="63"/>
      <c r="J184" s="194"/>
      <c r="K184" s="194"/>
      <c r="L184" s="195"/>
      <c r="M184" s="194"/>
      <c r="N184" s="194"/>
      <c r="O184" s="194"/>
      <c r="P184" s="194"/>
      <c r="Q184" s="194"/>
      <c r="R184" s="194"/>
    </row>
    <row r="185" spans="1:18" ht="16.5" hidden="1" customHeight="1">
      <c r="A185" s="121" t="s">
        <v>2239</v>
      </c>
      <c r="B185" s="116" t="s">
        <v>2240</v>
      </c>
      <c r="C185" s="117" t="s">
        <v>185</v>
      </c>
      <c r="D185" s="120">
        <v>1740760</v>
      </c>
      <c r="E185" s="119"/>
      <c r="F185" s="72"/>
      <c r="G185" s="119"/>
      <c r="H185" s="193">
        <f t="shared" si="14"/>
        <v>0</v>
      </c>
      <c r="I185" s="63"/>
      <c r="J185" s="194"/>
      <c r="K185" s="194"/>
      <c r="L185" s="195"/>
      <c r="M185" s="194"/>
      <c r="N185" s="194"/>
      <c r="O185" s="194"/>
      <c r="P185" s="194"/>
      <c r="Q185" s="194"/>
      <c r="R185" s="194"/>
    </row>
    <row r="186" spans="1:18" ht="16.5" hidden="1" customHeight="1">
      <c r="A186" s="121" t="s">
        <v>2241</v>
      </c>
      <c r="B186" s="116" t="s">
        <v>2242</v>
      </c>
      <c r="C186" s="117" t="s">
        <v>185</v>
      </c>
      <c r="D186" s="120">
        <v>1740760</v>
      </c>
      <c r="E186" s="119"/>
      <c r="F186" s="72"/>
      <c r="G186" s="119"/>
      <c r="H186" s="193">
        <f t="shared" si="14"/>
        <v>0</v>
      </c>
      <c r="I186" s="63"/>
      <c r="J186" s="194"/>
      <c r="K186" s="194"/>
      <c r="L186" s="195"/>
      <c r="M186" s="194"/>
      <c r="N186" s="194"/>
      <c r="O186" s="194"/>
      <c r="P186" s="194"/>
      <c r="Q186" s="194"/>
      <c r="R186" s="194"/>
    </row>
    <row r="187" spans="1:18" ht="16.5" hidden="1" customHeight="1">
      <c r="A187" s="121"/>
      <c r="B187" s="116"/>
      <c r="C187" s="117"/>
      <c r="D187" s="120"/>
      <c r="E187" s="119"/>
      <c r="F187" s="72"/>
      <c r="G187" s="119"/>
      <c r="H187" s="193"/>
      <c r="I187" s="63"/>
      <c r="J187" s="194"/>
      <c r="K187" s="194"/>
      <c r="L187" s="195"/>
      <c r="M187" s="194"/>
      <c r="N187" s="194"/>
      <c r="O187" s="194"/>
      <c r="P187" s="194"/>
      <c r="Q187" s="194"/>
      <c r="R187" s="194"/>
    </row>
    <row r="188" spans="1:18" s="150" customFormat="1" ht="16.5" customHeight="1">
      <c r="A188" s="206" t="s">
        <v>186</v>
      </c>
      <c r="B188" s="200" t="s">
        <v>187</v>
      </c>
      <c r="C188" s="201" t="s">
        <v>185</v>
      </c>
      <c r="D188" s="202">
        <v>31107</v>
      </c>
      <c r="E188" s="127"/>
      <c r="F188" s="205"/>
      <c r="G188" s="127"/>
      <c r="H188" s="203">
        <v>804287</v>
      </c>
      <c r="I188" s="122"/>
      <c r="J188" s="204"/>
      <c r="K188" s="204"/>
      <c r="L188" s="207"/>
      <c r="M188" s="204"/>
      <c r="N188" s="204"/>
      <c r="O188" s="204"/>
      <c r="P188" s="204"/>
      <c r="Q188" s="204"/>
      <c r="R188" s="204"/>
    </row>
    <row r="189" spans="1:18" s="150" customFormat="1" ht="16.5" customHeight="1">
      <c r="A189" s="206" t="s">
        <v>183</v>
      </c>
      <c r="B189" s="200" t="s">
        <v>184</v>
      </c>
      <c r="C189" s="201" t="s">
        <v>185</v>
      </c>
      <c r="D189" s="202">
        <v>31107</v>
      </c>
      <c r="E189" s="127"/>
      <c r="F189" s="205"/>
      <c r="G189" s="127"/>
      <c r="H189" s="203">
        <v>918390</v>
      </c>
      <c r="I189" s="122"/>
      <c r="J189" s="204"/>
      <c r="K189" s="204"/>
      <c r="L189" s="207"/>
      <c r="M189" s="204"/>
      <c r="N189" s="204"/>
      <c r="O189" s="204"/>
      <c r="P189" s="204"/>
      <c r="Q189" s="204"/>
      <c r="R189" s="204"/>
    </row>
    <row r="190" spans="1:18" ht="16.5" hidden="1" customHeight="1">
      <c r="A190" s="121" t="s">
        <v>2243</v>
      </c>
      <c r="B190" s="116" t="s">
        <v>2244</v>
      </c>
      <c r="C190" s="117" t="s">
        <v>185</v>
      </c>
      <c r="D190" s="120">
        <v>9610</v>
      </c>
      <c r="E190" s="119"/>
      <c r="F190" s="72"/>
      <c r="G190" s="119"/>
      <c r="H190" s="193">
        <f t="shared" ref="H190:H202" si="15">IF(G190&lt;&gt;0,ROUND(G190*F190,0), )</f>
        <v>0</v>
      </c>
      <c r="I190" s="63"/>
      <c r="J190" s="194"/>
      <c r="K190" s="194"/>
      <c r="L190" s="195"/>
      <c r="M190" s="194"/>
      <c r="N190" s="194"/>
      <c r="O190" s="194"/>
      <c r="P190" s="194"/>
      <c r="Q190" s="194"/>
      <c r="R190" s="194"/>
    </row>
    <row r="191" spans="1:18" ht="16.5" hidden="1" customHeight="1">
      <c r="A191" s="121" t="s">
        <v>2245</v>
      </c>
      <c r="B191" s="116" t="s">
        <v>2246</v>
      </c>
      <c r="C191" s="117" t="s">
        <v>185</v>
      </c>
      <c r="D191" s="120">
        <v>11320</v>
      </c>
      <c r="E191" s="119"/>
      <c r="F191" s="72"/>
      <c r="G191" s="119"/>
      <c r="H191" s="193">
        <f t="shared" si="15"/>
        <v>0</v>
      </c>
      <c r="I191" s="63"/>
      <c r="J191" s="194"/>
      <c r="K191" s="194"/>
      <c r="L191" s="195"/>
      <c r="M191" s="194"/>
      <c r="N191" s="194"/>
      <c r="O191" s="194"/>
      <c r="P191" s="194"/>
      <c r="Q191" s="194"/>
      <c r="R191" s="194"/>
    </row>
    <row r="192" spans="1:18" ht="16.5" hidden="1" customHeight="1">
      <c r="A192" s="121" t="s">
        <v>2247</v>
      </c>
      <c r="B192" s="116" t="s">
        <v>2248</v>
      </c>
      <c r="C192" s="117" t="s">
        <v>185</v>
      </c>
      <c r="D192" s="120">
        <v>11320</v>
      </c>
      <c r="E192" s="119"/>
      <c r="F192" s="72"/>
      <c r="G192" s="119"/>
      <c r="H192" s="193">
        <f t="shared" si="15"/>
        <v>0</v>
      </c>
      <c r="I192" s="63"/>
      <c r="J192" s="194"/>
      <c r="K192" s="194"/>
      <c r="L192" s="195"/>
      <c r="M192" s="194"/>
      <c r="N192" s="194"/>
      <c r="O192" s="194"/>
      <c r="P192" s="194"/>
      <c r="Q192" s="194"/>
      <c r="R192" s="194"/>
    </row>
    <row r="193" spans="1:18" ht="16.5" hidden="1" customHeight="1">
      <c r="A193" s="121" t="s">
        <v>2249</v>
      </c>
      <c r="B193" s="116" t="s">
        <v>2250</v>
      </c>
      <c r="C193" s="117" t="s">
        <v>185</v>
      </c>
      <c r="D193" s="120">
        <v>21247</v>
      </c>
      <c r="E193" s="119"/>
      <c r="F193" s="72"/>
      <c r="G193" s="119"/>
      <c r="H193" s="193">
        <f t="shared" si="15"/>
        <v>0</v>
      </c>
      <c r="I193" s="63"/>
      <c r="J193" s="194"/>
      <c r="K193" s="194"/>
      <c r="L193" s="195"/>
      <c r="M193" s="194"/>
      <c r="N193" s="194"/>
      <c r="O193" s="194"/>
      <c r="P193" s="194"/>
      <c r="Q193" s="194"/>
      <c r="R193" s="194"/>
    </row>
    <row r="194" spans="1:18" ht="16.5" hidden="1" customHeight="1">
      <c r="A194" s="121" t="s">
        <v>2251</v>
      </c>
      <c r="B194" s="116" t="s">
        <v>2252</v>
      </c>
      <c r="C194" s="117" t="s">
        <v>185</v>
      </c>
      <c r="D194" s="120">
        <v>21247</v>
      </c>
      <c r="E194" s="119"/>
      <c r="F194" s="72"/>
      <c r="G194" s="119"/>
      <c r="H194" s="193">
        <f t="shared" si="15"/>
        <v>0</v>
      </c>
      <c r="I194" s="63"/>
      <c r="J194" s="194"/>
      <c r="K194" s="194"/>
      <c r="L194" s="195"/>
      <c r="M194" s="194"/>
      <c r="N194" s="194"/>
      <c r="O194" s="194"/>
      <c r="P194" s="194"/>
      <c r="Q194" s="194"/>
      <c r="R194" s="194"/>
    </row>
    <row r="195" spans="1:18" ht="16.5" hidden="1" customHeight="1">
      <c r="A195" s="121" t="s">
        <v>2253</v>
      </c>
      <c r="B195" s="116" t="s">
        <v>2254</v>
      </c>
      <c r="C195" s="117" t="s">
        <v>185</v>
      </c>
      <c r="D195" s="120">
        <v>22157</v>
      </c>
      <c r="E195" s="119"/>
      <c r="F195" s="72"/>
      <c r="G195" s="119"/>
      <c r="H195" s="193">
        <f t="shared" si="15"/>
        <v>0</v>
      </c>
      <c r="I195" s="63"/>
      <c r="J195" s="194"/>
      <c r="K195" s="194"/>
      <c r="L195" s="195"/>
      <c r="M195" s="194"/>
      <c r="N195" s="194"/>
      <c r="O195" s="194"/>
      <c r="P195" s="194"/>
      <c r="Q195" s="194"/>
      <c r="R195" s="194"/>
    </row>
    <row r="196" spans="1:18" ht="16.5" hidden="1" customHeight="1">
      <c r="A196" s="121" t="s">
        <v>2255</v>
      </c>
      <c r="B196" s="116" t="s">
        <v>2256</v>
      </c>
      <c r="C196" s="117" t="s">
        <v>185</v>
      </c>
      <c r="D196" s="120">
        <v>22157</v>
      </c>
      <c r="E196" s="119"/>
      <c r="F196" s="72"/>
      <c r="G196" s="119"/>
      <c r="H196" s="193">
        <f t="shared" si="15"/>
        <v>0</v>
      </c>
      <c r="I196" s="63"/>
      <c r="J196" s="194"/>
      <c r="K196" s="194"/>
      <c r="L196" s="195"/>
      <c r="M196" s="194"/>
      <c r="N196" s="194"/>
      <c r="O196" s="194"/>
      <c r="P196" s="194"/>
      <c r="Q196" s="194"/>
      <c r="R196" s="194"/>
    </row>
    <row r="197" spans="1:18" ht="16.5" hidden="1" customHeight="1">
      <c r="A197" s="121" t="s">
        <v>2257</v>
      </c>
      <c r="B197" s="116" t="s">
        <v>2258</v>
      </c>
      <c r="C197" s="117" t="s">
        <v>185</v>
      </c>
      <c r="D197" s="120">
        <v>23977</v>
      </c>
      <c r="E197" s="119"/>
      <c r="F197" s="72"/>
      <c r="G197" s="119"/>
      <c r="H197" s="193">
        <f t="shared" si="15"/>
        <v>0</v>
      </c>
      <c r="I197" s="63"/>
      <c r="J197" s="194"/>
      <c r="K197" s="194"/>
      <c r="L197" s="195"/>
      <c r="M197" s="194"/>
      <c r="N197" s="194"/>
      <c r="O197" s="194"/>
      <c r="P197" s="194"/>
      <c r="Q197" s="194"/>
      <c r="R197" s="194"/>
    </row>
    <row r="198" spans="1:18" ht="16.5" hidden="1" customHeight="1">
      <c r="A198" s="121" t="s">
        <v>2259</v>
      </c>
      <c r="B198" s="116" t="s">
        <v>2260</v>
      </c>
      <c r="C198" s="117" t="s">
        <v>185</v>
      </c>
      <c r="D198" s="120">
        <v>24777</v>
      </c>
      <c r="E198" s="119"/>
      <c r="F198" s="72"/>
      <c r="G198" s="119"/>
      <c r="H198" s="193">
        <f t="shared" si="15"/>
        <v>0</v>
      </c>
      <c r="I198" s="63"/>
      <c r="J198" s="194"/>
      <c r="K198" s="194"/>
      <c r="L198" s="195"/>
      <c r="M198" s="194"/>
      <c r="N198" s="194"/>
      <c r="O198" s="194"/>
      <c r="P198" s="194"/>
      <c r="Q198" s="194"/>
      <c r="R198" s="194"/>
    </row>
    <row r="199" spans="1:18" ht="16.5" hidden="1" customHeight="1">
      <c r="A199" s="121" t="s">
        <v>2261</v>
      </c>
      <c r="B199" s="116" t="s">
        <v>2262</v>
      </c>
      <c r="C199" s="117" t="s">
        <v>185</v>
      </c>
      <c r="D199" s="120">
        <v>24777</v>
      </c>
      <c r="E199" s="119"/>
      <c r="F199" s="72"/>
      <c r="G199" s="119"/>
      <c r="H199" s="193">
        <f t="shared" si="15"/>
        <v>0</v>
      </c>
      <c r="I199" s="63"/>
      <c r="J199" s="194"/>
      <c r="K199" s="194"/>
      <c r="L199" s="195"/>
      <c r="M199" s="194"/>
      <c r="N199" s="194"/>
      <c r="O199" s="194"/>
      <c r="P199" s="194"/>
      <c r="Q199" s="194"/>
      <c r="R199" s="194"/>
    </row>
    <row r="200" spans="1:18" ht="16.5" hidden="1" customHeight="1">
      <c r="A200" s="121" t="s">
        <v>2263</v>
      </c>
      <c r="B200" s="116" t="s">
        <v>2264</v>
      </c>
      <c r="C200" s="117" t="s">
        <v>185</v>
      </c>
      <c r="D200" s="120">
        <v>26597</v>
      </c>
      <c r="E200" s="119"/>
      <c r="F200" s="72"/>
      <c r="G200" s="119"/>
      <c r="H200" s="193">
        <f t="shared" si="15"/>
        <v>0</v>
      </c>
      <c r="I200" s="63"/>
      <c r="J200" s="194"/>
      <c r="K200" s="194"/>
      <c r="L200" s="195"/>
      <c r="M200" s="194"/>
      <c r="N200" s="194"/>
      <c r="O200" s="194"/>
      <c r="P200" s="194"/>
      <c r="Q200" s="194"/>
      <c r="R200" s="194"/>
    </row>
    <row r="201" spans="1:18" ht="16.5" hidden="1" customHeight="1">
      <c r="A201" s="121" t="s">
        <v>2265</v>
      </c>
      <c r="B201" s="116" t="s">
        <v>2266</v>
      </c>
      <c r="C201" s="117" t="s">
        <v>185</v>
      </c>
      <c r="D201" s="120">
        <v>28057</v>
      </c>
      <c r="E201" s="119"/>
      <c r="F201" s="72"/>
      <c r="G201" s="119"/>
      <c r="H201" s="193">
        <f t="shared" si="15"/>
        <v>0</v>
      </c>
      <c r="I201" s="63"/>
      <c r="J201" s="194"/>
      <c r="K201" s="194"/>
      <c r="L201" s="195"/>
      <c r="M201" s="194"/>
      <c r="N201" s="194"/>
      <c r="O201" s="194"/>
      <c r="P201" s="194"/>
      <c r="Q201" s="194"/>
      <c r="R201" s="194"/>
    </row>
    <row r="202" spans="1:18" ht="16.5" hidden="1" customHeight="1">
      <c r="A202" s="121" t="s">
        <v>2267</v>
      </c>
      <c r="B202" s="116" t="s">
        <v>2268</v>
      </c>
      <c r="C202" s="117" t="s">
        <v>185</v>
      </c>
      <c r="D202" s="120">
        <v>28717</v>
      </c>
      <c r="E202" s="119"/>
      <c r="F202" s="72"/>
      <c r="G202" s="119"/>
      <c r="H202" s="193">
        <f t="shared" si="15"/>
        <v>0</v>
      </c>
      <c r="I202" s="63"/>
      <c r="J202" s="194"/>
      <c r="K202" s="194"/>
      <c r="L202" s="195"/>
      <c r="M202" s="194"/>
      <c r="N202" s="194"/>
      <c r="O202" s="194"/>
      <c r="P202" s="194"/>
      <c r="Q202" s="194"/>
      <c r="R202" s="194"/>
    </row>
    <row r="203" spans="1:18" ht="16.5" hidden="1" customHeight="1">
      <c r="A203" s="121"/>
      <c r="B203" s="116"/>
      <c r="C203" s="117"/>
      <c r="D203" s="120"/>
      <c r="E203" s="119"/>
      <c r="F203" s="72"/>
      <c r="G203" s="119"/>
      <c r="H203" s="193"/>
      <c r="I203" s="63"/>
      <c r="J203" s="194"/>
      <c r="K203" s="194"/>
      <c r="L203" s="195"/>
      <c r="M203" s="194"/>
      <c r="N203" s="194"/>
      <c r="O203" s="194"/>
      <c r="P203" s="194"/>
      <c r="Q203" s="194"/>
      <c r="R203" s="194"/>
    </row>
    <row r="204" spans="1:18" ht="16.5" hidden="1" customHeight="1">
      <c r="A204" s="121" t="s">
        <v>2269</v>
      </c>
      <c r="B204" s="116" t="s">
        <v>2270</v>
      </c>
      <c r="C204" s="117" t="s">
        <v>2271</v>
      </c>
      <c r="D204" s="120">
        <v>2499</v>
      </c>
      <c r="E204" s="119"/>
      <c r="F204" s="72"/>
      <c r="G204" s="119"/>
      <c r="H204" s="193">
        <f t="shared" ref="H204:H210" si="16">IF(G204&lt;&gt;0,ROUND(G204*F204,0), )</f>
        <v>0</v>
      </c>
      <c r="I204" s="63"/>
      <c r="J204" s="194"/>
      <c r="K204" s="194"/>
      <c r="L204" s="195"/>
      <c r="M204" s="194"/>
      <c r="N204" s="194"/>
      <c r="O204" s="194"/>
      <c r="P204" s="194"/>
      <c r="Q204" s="194"/>
      <c r="R204" s="194"/>
    </row>
    <row r="205" spans="1:18" ht="16.5" hidden="1" customHeight="1">
      <c r="A205" s="121" t="s">
        <v>2272</v>
      </c>
      <c r="B205" s="116" t="s">
        <v>2273</v>
      </c>
      <c r="C205" s="117" t="s">
        <v>2271</v>
      </c>
      <c r="D205" s="120">
        <v>2499</v>
      </c>
      <c r="E205" s="119"/>
      <c r="F205" s="72"/>
      <c r="G205" s="119"/>
      <c r="H205" s="193">
        <f t="shared" si="16"/>
        <v>0</v>
      </c>
      <c r="I205" s="63"/>
      <c r="J205" s="194"/>
      <c r="K205" s="194"/>
      <c r="L205" s="195"/>
      <c r="M205" s="194"/>
      <c r="N205" s="194"/>
      <c r="O205" s="194"/>
      <c r="P205" s="194"/>
      <c r="Q205" s="194"/>
      <c r="R205" s="194"/>
    </row>
    <row r="206" spans="1:18" ht="16.5" hidden="1" customHeight="1">
      <c r="A206" s="121" t="s">
        <v>2274</v>
      </c>
      <c r="B206" s="116" t="s">
        <v>2275</v>
      </c>
      <c r="C206" s="117" t="s">
        <v>2271</v>
      </c>
      <c r="D206" s="120">
        <v>2604</v>
      </c>
      <c r="E206" s="119"/>
      <c r="F206" s="72"/>
      <c r="G206" s="119"/>
      <c r="H206" s="193">
        <f t="shared" si="16"/>
        <v>0</v>
      </c>
      <c r="I206" s="63"/>
      <c r="J206" s="194"/>
      <c r="K206" s="194"/>
      <c r="L206" s="195"/>
      <c r="M206" s="194"/>
      <c r="N206" s="194"/>
      <c r="O206" s="194"/>
      <c r="P206" s="194"/>
      <c r="Q206" s="194"/>
      <c r="R206" s="194"/>
    </row>
    <row r="207" spans="1:18" ht="16.5" hidden="1" customHeight="1">
      <c r="A207" s="121" t="s">
        <v>2276</v>
      </c>
      <c r="B207" s="116" t="s">
        <v>2277</v>
      </c>
      <c r="C207" s="117" t="s">
        <v>2271</v>
      </c>
      <c r="D207" s="120">
        <v>3297</v>
      </c>
      <c r="E207" s="119"/>
      <c r="F207" s="72"/>
      <c r="G207" s="119"/>
      <c r="H207" s="193">
        <f t="shared" si="16"/>
        <v>0</v>
      </c>
      <c r="I207" s="63"/>
      <c r="J207" s="194"/>
      <c r="K207" s="194"/>
      <c r="L207" s="195"/>
      <c r="M207" s="194"/>
      <c r="N207" s="194"/>
      <c r="O207" s="194"/>
      <c r="P207" s="194"/>
      <c r="Q207" s="194"/>
      <c r="R207" s="194"/>
    </row>
    <row r="208" spans="1:18" ht="16.5" hidden="1" customHeight="1">
      <c r="A208" s="121" t="s">
        <v>2278</v>
      </c>
      <c r="B208" s="116" t="s">
        <v>2279</v>
      </c>
      <c r="C208" s="117" t="s">
        <v>2271</v>
      </c>
      <c r="D208" s="120">
        <v>3402</v>
      </c>
      <c r="E208" s="119"/>
      <c r="F208" s="72"/>
      <c r="G208" s="119"/>
      <c r="H208" s="193">
        <f t="shared" si="16"/>
        <v>0</v>
      </c>
      <c r="I208" s="63"/>
      <c r="J208" s="194"/>
      <c r="K208" s="194"/>
      <c r="L208" s="195"/>
      <c r="M208" s="194"/>
      <c r="N208" s="194"/>
      <c r="O208" s="194"/>
      <c r="P208" s="194"/>
      <c r="Q208" s="194"/>
      <c r="R208" s="194"/>
    </row>
    <row r="209" spans="1:18" ht="16.5" hidden="1" customHeight="1">
      <c r="A209" s="121" t="s">
        <v>2280</v>
      </c>
      <c r="B209" s="116" t="s">
        <v>2281</v>
      </c>
      <c r="C209" s="117" t="s">
        <v>2271</v>
      </c>
      <c r="D209" s="120">
        <v>3402</v>
      </c>
      <c r="E209" s="119"/>
      <c r="F209" s="72"/>
      <c r="G209" s="119"/>
      <c r="H209" s="193">
        <f t="shared" si="16"/>
        <v>0</v>
      </c>
      <c r="I209" s="63"/>
      <c r="J209" s="194"/>
      <c r="K209" s="194"/>
      <c r="L209" s="195"/>
      <c r="M209" s="194"/>
      <c r="N209" s="194"/>
      <c r="O209" s="194"/>
      <c r="P209" s="194"/>
      <c r="Q209" s="194"/>
      <c r="R209" s="194"/>
    </row>
    <row r="210" spans="1:18" ht="16.5" hidden="1" customHeight="1">
      <c r="A210" s="121" t="s">
        <v>2282</v>
      </c>
      <c r="B210" s="116" t="s">
        <v>2283</v>
      </c>
      <c r="C210" s="117" t="s">
        <v>2271</v>
      </c>
      <c r="D210" s="120">
        <v>4226</v>
      </c>
      <c r="E210" s="119"/>
      <c r="F210" s="72"/>
      <c r="G210" s="119"/>
      <c r="H210" s="193">
        <f t="shared" si="16"/>
        <v>0</v>
      </c>
      <c r="I210" s="63"/>
      <c r="J210" s="194"/>
      <c r="K210" s="194"/>
      <c r="L210" s="195"/>
      <c r="M210" s="194"/>
      <c r="N210" s="194"/>
      <c r="O210" s="194"/>
      <c r="P210" s="194"/>
      <c r="Q210" s="194"/>
      <c r="R210" s="194"/>
    </row>
    <row r="211" spans="1:18" ht="16.5" hidden="1" customHeight="1">
      <c r="A211" s="121" t="s">
        <v>2284</v>
      </c>
      <c r="B211" s="116" t="s">
        <v>2285</v>
      </c>
      <c r="C211" s="117" t="s">
        <v>2271</v>
      </c>
      <c r="D211" s="120">
        <v>1999</v>
      </c>
      <c r="E211" s="119"/>
      <c r="F211" s="72"/>
      <c r="G211" s="119"/>
      <c r="H211" s="193">
        <v>68359</v>
      </c>
      <c r="I211" s="63"/>
      <c r="J211" s="194"/>
      <c r="K211" s="194"/>
      <c r="L211" s="195"/>
      <c r="M211" s="194"/>
      <c r="N211" s="194"/>
      <c r="O211" s="194"/>
      <c r="P211" s="194"/>
      <c r="Q211" s="194"/>
      <c r="R211" s="194"/>
    </row>
    <row r="212" spans="1:18" ht="16.5" hidden="1" customHeight="1">
      <c r="A212" s="121" t="s">
        <v>2286</v>
      </c>
      <c r="B212" s="116" t="s">
        <v>2287</v>
      </c>
      <c r="C212" s="117" t="s">
        <v>2271</v>
      </c>
      <c r="D212" s="120">
        <v>1999</v>
      </c>
      <c r="E212" s="119"/>
      <c r="F212" s="72"/>
      <c r="G212" s="119"/>
      <c r="H212" s="193">
        <v>78742</v>
      </c>
      <c r="I212" s="63"/>
      <c r="J212" s="194"/>
      <c r="K212" s="194"/>
      <c r="L212" s="195"/>
      <c r="M212" s="194"/>
      <c r="N212" s="194"/>
      <c r="O212" s="194"/>
      <c r="P212" s="194"/>
      <c r="Q212" s="194"/>
      <c r="R212" s="194"/>
    </row>
    <row r="213" spans="1:18" ht="16.5" hidden="1" customHeight="1">
      <c r="A213" s="121" t="s">
        <v>2288</v>
      </c>
      <c r="B213" s="116" t="s">
        <v>2289</v>
      </c>
      <c r="C213" s="117" t="s">
        <v>2271</v>
      </c>
      <c r="D213" s="120">
        <v>2083</v>
      </c>
      <c r="E213" s="119"/>
      <c r="F213" s="72"/>
      <c r="G213" s="119"/>
      <c r="H213" s="193">
        <v>89126</v>
      </c>
      <c r="I213" s="63"/>
      <c r="J213" s="194"/>
      <c r="K213" s="194"/>
      <c r="L213" s="195"/>
      <c r="M213" s="194"/>
      <c r="N213" s="194"/>
      <c r="O213" s="194"/>
      <c r="P213" s="194"/>
      <c r="Q213" s="194"/>
      <c r="R213" s="194"/>
    </row>
    <row r="214" spans="1:18" ht="16.5" hidden="1" customHeight="1">
      <c r="A214" s="121" t="s">
        <v>2290</v>
      </c>
      <c r="B214" s="116" t="s">
        <v>2291</v>
      </c>
      <c r="C214" s="117" t="s">
        <v>2271</v>
      </c>
      <c r="D214" s="120">
        <v>2638</v>
      </c>
      <c r="E214" s="119"/>
      <c r="F214" s="72"/>
      <c r="G214" s="119"/>
      <c r="H214" s="193">
        <v>98645</v>
      </c>
      <c r="I214" s="63"/>
      <c r="J214" s="194"/>
      <c r="K214" s="194"/>
      <c r="L214" s="195"/>
      <c r="M214" s="194"/>
      <c r="N214" s="194"/>
      <c r="O214" s="194"/>
      <c r="P214" s="194"/>
      <c r="Q214" s="194"/>
      <c r="R214" s="194"/>
    </row>
    <row r="215" spans="1:18" ht="16.5" hidden="1" customHeight="1">
      <c r="A215" s="121" t="s">
        <v>2292</v>
      </c>
      <c r="B215" s="116" t="s">
        <v>2293</v>
      </c>
      <c r="C215" s="117" t="s">
        <v>2271</v>
      </c>
      <c r="D215" s="120">
        <v>2722</v>
      </c>
      <c r="E215" s="119"/>
      <c r="F215" s="72"/>
      <c r="G215" s="119"/>
      <c r="H215" s="193">
        <v>110759</v>
      </c>
      <c r="I215" s="63"/>
      <c r="J215" s="194"/>
      <c r="K215" s="194"/>
      <c r="L215" s="195"/>
      <c r="M215" s="194"/>
      <c r="N215" s="194"/>
      <c r="O215" s="194"/>
      <c r="P215" s="194"/>
      <c r="Q215" s="194"/>
      <c r="R215" s="194"/>
    </row>
    <row r="216" spans="1:18" ht="16.5" hidden="1" customHeight="1">
      <c r="A216" s="121" t="s">
        <v>2294</v>
      </c>
      <c r="B216" s="116" t="s">
        <v>2295</v>
      </c>
      <c r="C216" s="117" t="s">
        <v>2271</v>
      </c>
      <c r="D216" s="120">
        <v>2722</v>
      </c>
      <c r="E216" s="119"/>
      <c r="F216" s="72"/>
      <c r="G216" s="119"/>
      <c r="H216" s="193">
        <v>124604</v>
      </c>
      <c r="I216" s="63"/>
      <c r="J216" s="194"/>
      <c r="K216" s="194"/>
      <c r="L216" s="195"/>
      <c r="M216" s="194"/>
      <c r="N216" s="194"/>
      <c r="O216" s="194"/>
      <c r="P216" s="194"/>
      <c r="Q216" s="194"/>
      <c r="R216" s="194"/>
    </row>
    <row r="217" spans="1:18" ht="16.5" hidden="1" customHeight="1">
      <c r="A217" s="121" t="s">
        <v>2296</v>
      </c>
      <c r="B217" s="116" t="s">
        <v>2297</v>
      </c>
      <c r="C217" s="117" t="s">
        <v>2271</v>
      </c>
      <c r="D217" s="120">
        <v>3381</v>
      </c>
      <c r="E217" s="119"/>
      <c r="F217" s="72"/>
      <c r="G217" s="119"/>
      <c r="H217" s="193">
        <v>149698</v>
      </c>
      <c r="I217" s="63"/>
      <c r="J217" s="194"/>
      <c r="K217" s="194"/>
      <c r="L217" s="195"/>
      <c r="M217" s="194"/>
      <c r="N217" s="194"/>
      <c r="O217" s="194"/>
      <c r="P217" s="194"/>
      <c r="Q217" s="194"/>
      <c r="R217" s="194"/>
    </row>
    <row r="218" spans="1:18" ht="16.5" hidden="1" customHeight="1">
      <c r="A218" s="121"/>
      <c r="B218" s="116"/>
      <c r="C218" s="117"/>
      <c r="D218" s="120"/>
      <c r="E218" s="119"/>
      <c r="F218" s="72"/>
      <c r="G218" s="119"/>
      <c r="H218" s="193"/>
      <c r="I218" s="63"/>
      <c r="J218" s="194"/>
      <c r="K218" s="194"/>
      <c r="L218" s="195"/>
      <c r="M218" s="194"/>
      <c r="N218" s="194"/>
      <c r="O218" s="194"/>
      <c r="P218" s="194"/>
      <c r="Q218" s="194"/>
      <c r="R218" s="194"/>
    </row>
    <row r="219" spans="1:18" ht="16.5" hidden="1" customHeight="1">
      <c r="A219" s="121" t="s">
        <v>2298</v>
      </c>
      <c r="B219" s="116" t="s">
        <v>2299</v>
      </c>
      <c r="C219" s="117" t="s">
        <v>2271</v>
      </c>
      <c r="D219" s="120">
        <v>4578</v>
      </c>
      <c r="E219" s="119"/>
      <c r="F219" s="72"/>
      <c r="G219" s="119"/>
      <c r="H219" s="193">
        <f t="shared" ref="H219:H225" si="17">IF(G219&lt;&gt;0,ROUND(G219*F219,0), )</f>
        <v>0</v>
      </c>
      <c r="I219" s="63"/>
      <c r="J219" s="194"/>
      <c r="K219" s="194"/>
      <c r="L219" s="195"/>
      <c r="M219" s="194"/>
      <c r="N219" s="194"/>
      <c r="O219" s="194"/>
      <c r="P219" s="194"/>
      <c r="Q219" s="194"/>
      <c r="R219" s="194"/>
    </row>
    <row r="220" spans="1:18" ht="16.5" hidden="1" customHeight="1">
      <c r="A220" s="121" t="s">
        <v>2300</v>
      </c>
      <c r="B220" s="116" t="s">
        <v>2301</v>
      </c>
      <c r="C220" s="117" t="s">
        <v>2271</v>
      </c>
      <c r="D220" s="120">
        <v>4578</v>
      </c>
      <c r="E220" s="119"/>
      <c r="F220" s="72"/>
      <c r="G220" s="119"/>
      <c r="H220" s="193">
        <f t="shared" si="17"/>
        <v>0</v>
      </c>
      <c r="I220" s="63"/>
      <c r="J220" s="194"/>
      <c r="K220" s="194"/>
      <c r="L220" s="195"/>
      <c r="M220" s="194"/>
      <c r="N220" s="194"/>
      <c r="O220" s="194"/>
      <c r="P220" s="194"/>
      <c r="Q220" s="194"/>
      <c r="R220" s="194"/>
    </row>
    <row r="221" spans="1:18" ht="16.5" hidden="1" customHeight="1">
      <c r="A221" s="121" t="s">
        <v>2302</v>
      </c>
      <c r="B221" s="116" t="s">
        <v>2303</v>
      </c>
      <c r="C221" s="117" t="s">
        <v>2271</v>
      </c>
      <c r="D221" s="120">
        <v>4683</v>
      </c>
      <c r="E221" s="119"/>
      <c r="F221" s="72"/>
      <c r="G221" s="119"/>
      <c r="H221" s="193">
        <f t="shared" si="17"/>
        <v>0</v>
      </c>
      <c r="I221" s="63"/>
      <c r="J221" s="194"/>
      <c r="K221" s="194"/>
      <c r="L221" s="195"/>
      <c r="M221" s="194"/>
      <c r="N221" s="194"/>
      <c r="O221" s="194"/>
      <c r="P221" s="194"/>
      <c r="Q221" s="194"/>
      <c r="R221" s="194"/>
    </row>
    <row r="222" spans="1:18" ht="16.5" hidden="1" customHeight="1">
      <c r="A222" s="121" t="s">
        <v>2304</v>
      </c>
      <c r="B222" s="116" t="s">
        <v>2305</v>
      </c>
      <c r="C222" s="117" t="s">
        <v>2271</v>
      </c>
      <c r="D222" s="120">
        <v>5376</v>
      </c>
      <c r="E222" s="119"/>
      <c r="F222" s="72"/>
      <c r="G222" s="119"/>
      <c r="H222" s="193">
        <f t="shared" si="17"/>
        <v>0</v>
      </c>
      <c r="I222" s="63"/>
      <c r="J222" s="194"/>
      <c r="K222" s="194"/>
      <c r="L222" s="195"/>
      <c r="M222" s="194"/>
      <c r="N222" s="194"/>
      <c r="O222" s="194"/>
      <c r="P222" s="194"/>
      <c r="Q222" s="194"/>
      <c r="R222" s="194"/>
    </row>
    <row r="223" spans="1:18" ht="16.5" hidden="1" customHeight="1">
      <c r="A223" s="121" t="s">
        <v>2306</v>
      </c>
      <c r="B223" s="116" t="s">
        <v>2307</v>
      </c>
      <c r="C223" s="117" t="s">
        <v>2271</v>
      </c>
      <c r="D223" s="120">
        <v>5481</v>
      </c>
      <c r="E223" s="119"/>
      <c r="F223" s="72"/>
      <c r="G223" s="119"/>
      <c r="H223" s="193">
        <f t="shared" si="17"/>
        <v>0</v>
      </c>
      <c r="I223" s="63"/>
      <c r="J223" s="194"/>
      <c r="K223" s="194"/>
      <c r="L223" s="195"/>
      <c r="M223" s="194"/>
      <c r="N223" s="194"/>
      <c r="O223" s="194"/>
      <c r="P223" s="194"/>
      <c r="Q223" s="194"/>
      <c r="R223" s="194"/>
    </row>
    <row r="224" spans="1:18" ht="16.5" hidden="1" customHeight="1">
      <c r="A224" s="121" t="s">
        <v>2308</v>
      </c>
      <c r="B224" s="116" t="s">
        <v>2309</v>
      </c>
      <c r="C224" s="117" t="s">
        <v>2271</v>
      </c>
      <c r="D224" s="120">
        <v>5481</v>
      </c>
      <c r="E224" s="119"/>
      <c r="F224" s="72"/>
      <c r="G224" s="119"/>
      <c r="H224" s="193">
        <f t="shared" si="17"/>
        <v>0</v>
      </c>
      <c r="I224" s="63"/>
      <c r="J224" s="194"/>
      <c r="K224" s="194"/>
      <c r="L224" s="195"/>
      <c r="M224" s="194"/>
      <c r="N224" s="194"/>
      <c r="O224" s="194"/>
      <c r="P224" s="194"/>
      <c r="Q224" s="194"/>
      <c r="R224" s="194"/>
    </row>
    <row r="225" spans="1:18" ht="16.5" hidden="1" customHeight="1">
      <c r="A225" s="121" t="s">
        <v>2310</v>
      </c>
      <c r="B225" s="116" t="s">
        <v>2311</v>
      </c>
      <c r="C225" s="117" t="s">
        <v>2271</v>
      </c>
      <c r="D225" s="120">
        <v>6582</v>
      </c>
      <c r="E225" s="119"/>
      <c r="F225" s="72"/>
      <c r="G225" s="119"/>
      <c r="H225" s="193">
        <f t="shared" si="17"/>
        <v>0</v>
      </c>
      <c r="I225" s="63"/>
      <c r="J225" s="194"/>
      <c r="K225" s="194"/>
      <c r="L225" s="195"/>
      <c r="M225" s="194"/>
      <c r="N225" s="194"/>
      <c r="O225" s="194"/>
      <c r="P225" s="194"/>
      <c r="Q225" s="194"/>
      <c r="R225" s="194"/>
    </row>
    <row r="226" spans="1:18" ht="16.5" hidden="1" customHeight="1">
      <c r="A226" s="121"/>
      <c r="B226" s="116"/>
      <c r="C226" s="117"/>
      <c r="D226" s="120"/>
      <c r="E226" s="119"/>
      <c r="F226" s="72"/>
      <c r="G226" s="119"/>
      <c r="H226" s="193"/>
      <c r="I226" s="63"/>
      <c r="J226" s="194"/>
      <c r="K226" s="194"/>
      <c r="L226" s="195"/>
      <c r="M226" s="194"/>
      <c r="N226" s="194"/>
      <c r="O226" s="194"/>
      <c r="P226" s="194"/>
      <c r="Q226" s="194"/>
      <c r="R226" s="194"/>
    </row>
    <row r="227" spans="1:18" ht="16.5" hidden="1" customHeight="1">
      <c r="A227" s="121" t="s">
        <v>2312</v>
      </c>
      <c r="B227" s="116" t="s">
        <v>2313</v>
      </c>
      <c r="C227" s="117" t="s">
        <v>2271</v>
      </c>
      <c r="D227" s="120">
        <v>4578</v>
      </c>
      <c r="E227" s="119"/>
      <c r="F227" s="72"/>
      <c r="G227" s="119"/>
      <c r="H227" s="193">
        <f t="shared" ref="H227:H233" si="18">IF(G227&lt;&gt;0,ROUND(G227*F227,0), )</f>
        <v>0</v>
      </c>
      <c r="I227" s="63"/>
      <c r="J227" s="194"/>
      <c r="K227" s="194"/>
      <c r="L227" s="195"/>
      <c r="M227" s="194"/>
      <c r="N227" s="194"/>
      <c r="O227" s="194"/>
      <c r="P227" s="194"/>
      <c r="Q227" s="194"/>
      <c r="R227" s="194"/>
    </row>
    <row r="228" spans="1:18" ht="16.5" hidden="1" customHeight="1">
      <c r="A228" s="121" t="s">
        <v>2314</v>
      </c>
      <c r="B228" s="116" t="s">
        <v>2315</v>
      </c>
      <c r="C228" s="117" t="s">
        <v>2271</v>
      </c>
      <c r="D228" s="120">
        <v>4578</v>
      </c>
      <c r="E228" s="119"/>
      <c r="F228" s="72"/>
      <c r="G228" s="119"/>
      <c r="H228" s="193">
        <f t="shared" si="18"/>
        <v>0</v>
      </c>
      <c r="I228" s="63"/>
      <c r="J228" s="194"/>
      <c r="K228" s="194"/>
      <c r="L228" s="195"/>
      <c r="M228" s="194"/>
      <c r="N228" s="194"/>
      <c r="O228" s="194"/>
      <c r="P228" s="194"/>
      <c r="Q228" s="194"/>
      <c r="R228" s="194"/>
    </row>
    <row r="229" spans="1:18" ht="16.5" hidden="1" customHeight="1">
      <c r="A229" s="121" t="s">
        <v>2316</v>
      </c>
      <c r="B229" s="116" t="s">
        <v>2317</v>
      </c>
      <c r="C229" s="117" t="s">
        <v>2271</v>
      </c>
      <c r="D229" s="120">
        <v>4683</v>
      </c>
      <c r="E229" s="119"/>
      <c r="F229" s="72"/>
      <c r="G229" s="119"/>
      <c r="H229" s="193">
        <f t="shared" si="18"/>
        <v>0</v>
      </c>
      <c r="I229" s="63"/>
      <c r="J229" s="194"/>
      <c r="K229" s="194"/>
      <c r="L229" s="195"/>
      <c r="M229" s="194"/>
      <c r="N229" s="194"/>
      <c r="O229" s="194"/>
      <c r="P229" s="194"/>
      <c r="Q229" s="194"/>
      <c r="R229" s="194"/>
    </row>
    <row r="230" spans="1:18" ht="16.5" hidden="1" customHeight="1">
      <c r="A230" s="121" t="s">
        <v>2318</v>
      </c>
      <c r="B230" s="116" t="s">
        <v>2319</v>
      </c>
      <c r="C230" s="117" t="s">
        <v>2271</v>
      </c>
      <c r="D230" s="120">
        <v>5376</v>
      </c>
      <c r="E230" s="119"/>
      <c r="F230" s="72"/>
      <c r="G230" s="119"/>
      <c r="H230" s="193">
        <f t="shared" si="18"/>
        <v>0</v>
      </c>
      <c r="I230" s="63"/>
      <c r="J230" s="194"/>
      <c r="K230" s="194"/>
      <c r="L230" s="195"/>
      <c r="M230" s="194"/>
      <c r="N230" s="194"/>
      <c r="O230" s="194"/>
      <c r="P230" s="194"/>
      <c r="Q230" s="194"/>
      <c r="R230" s="194"/>
    </row>
    <row r="231" spans="1:18" ht="16.5" hidden="1" customHeight="1">
      <c r="A231" s="121" t="s">
        <v>2320</v>
      </c>
      <c r="B231" s="116" t="s">
        <v>2321</v>
      </c>
      <c r="C231" s="117" t="s">
        <v>2271</v>
      </c>
      <c r="D231" s="120">
        <v>5481</v>
      </c>
      <c r="E231" s="119"/>
      <c r="F231" s="72"/>
      <c r="G231" s="119"/>
      <c r="H231" s="193">
        <f t="shared" si="18"/>
        <v>0</v>
      </c>
      <c r="I231" s="63"/>
      <c r="J231" s="194"/>
      <c r="K231" s="194"/>
      <c r="L231" s="195"/>
      <c r="M231" s="194"/>
      <c r="N231" s="194"/>
      <c r="O231" s="194"/>
      <c r="P231" s="194"/>
      <c r="Q231" s="194"/>
      <c r="R231" s="194"/>
    </row>
    <row r="232" spans="1:18" ht="16.5" hidden="1" customHeight="1">
      <c r="A232" s="121" t="s">
        <v>2322</v>
      </c>
      <c r="B232" s="116" t="s">
        <v>2323</v>
      </c>
      <c r="C232" s="117" t="s">
        <v>2271</v>
      </c>
      <c r="D232" s="120">
        <v>5481</v>
      </c>
      <c r="E232" s="119"/>
      <c r="F232" s="72"/>
      <c r="G232" s="119"/>
      <c r="H232" s="193">
        <f t="shared" si="18"/>
        <v>0</v>
      </c>
      <c r="I232" s="63"/>
      <c r="J232" s="194"/>
      <c r="K232" s="194"/>
      <c r="L232" s="195"/>
      <c r="M232" s="194"/>
      <c r="N232" s="194"/>
      <c r="O232" s="194"/>
      <c r="P232" s="194"/>
      <c r="Q232" s="194"/>
      <c r="R232" s="194"/>
    </row>
    <row r="233" spans="1:18" ht="16.5" hidden="1" customHeight="1">
      <c r="A233" s="121" t="s">
        <v>2324</v>
      </c>
      <c r="B233" s="116" t="s">
        <v>2325</v>
      </c>
      <c r="C233" s="117" t="s">
        <v>2271</v>
      </c>
      <c r="D233" s="120">
        <v>6582</v>
      </c>
      <c r="E233" s="119"/>
      <c r="F233" s="72"/>
      <c r="G233" s="119"/>
      <c r="H233" s="193">
        <f t="shared" si="18"/>
        <v>0</v>
      </c>
      <c r="I233" s="63"/>
      <c r="J233" s="194"/>
      <c r="K233" s="194"/>
      <c r="L233" s="195"/>
      <c r="M233" s="194"/>
      <c r="N233" s="194"/>
      <c r="O233" s="194"/>
      <c r="P233" s="194"/>
      <c r="Q233" s="194"/>
      <c r="R233" s="194"/>
    </row>
    <row r="234" spans="1:18" ht="16.5" hidden="1" customHeight="1">
      <c r="A234" s="121"/>
      <c r="B234" s="116"/>
      <c r="C234" s="117"/>
      <c r="D234" s="120"/>
      <c r="E234" s="119"/>
      <c r="F234" s="72"/>
      <c r="G234" s="119"/>
      <c r="H234" s="193"/>
      <c r="I234" s="63"/>
      <c r="J234" s="194"/>
      <c r="K234" s="194"/>
      <c r="L234" s="195"/>
      <c r="M234" s="194"/>
      <c r="N234" s="194"/>
      <c r="O234" s="194"/>
      <c r="P234" s="194"/>
      <c r="Q234" s="194"/>
      <c r="R234" s="194"/>
    </row>
    <row r="235" spans="1:18" ht="16.5" hidden="1" customHeight="1">
      <c r="A235" s="115" t="s">
        <v>2326</v>
      </c>
      <c r="B235" s="116" t="s">
        <v>2327</v>
      </c>
      <c r="C235" s="117" t="s">
        <v>2271</v>
      </c>
      <c r="D235" s="120">
        <v>2948</v>
      </c>
      <c r="E235" s="119"/>
      <c r="F235" s="72"/>
      <c r="G235" s="119"/>
      <c r="H235" s="185">
        <v>29128</v>
      </c>
      <c r="I235" s="63"/>
      <c r="J235" s="194"/>
      <c r="K235" s="194"/>
      <c r="L235" s="195"/>
      <c r="M235" s="194"/>
      <c r="N235" s="194"/>
      <c r="O235" s="194"/>
      <c r="P235" s="194"/>
      <c r="Q235" s="194"/>
      <c r="R235" s="194"/>
    </row>
    <row r="236" spans="1:18" ht="16.5" hidden="1" customHeight="1">
      <c r="A236" s="115" t="s">
        <v>2328</v>
      </c>
      <c r="B236" s="116" t="s">
        <v>2329</v>
      </c>
      <c r="C236" s="117" t="s">
        <v>2271</v>
      </c>
      <c r="D236" s="120">
        <v>3927</v>
      </c>
      <c r="E236" s="119"/>
      <c r="F236" s="72"/>
      <c r="G236" s="119"/>
      <c r="H236" s="185">
        <v>58255</v>
      </c>
      <c r="I236" s="63"/>
      <c r="J236" s="194"/>
      <c r="K236" s="194"/>
      <c r="L236" s="195"/>
      <c r="M236" s="194"/>
      <c r="N236" s="194"/>
      <c r="O236" s="194"/>
      <c r="P236" s="194"/>
      <c r="Q236" s="194"/>
      <c r="R236" s="194"/>
    </row>
    <row r="237" spans="1:18" ht="16.5" hidden="1" customHeight="1">
      <c r="A237" s="115" t="s">
        <v>2330</v>
      </c>
      <c r="B237" s="116" t="s">
        <v>2331</v>
      </c>
      <c r="C237" s="117" t="s">
        <v>2271</v>
      </c>
      <c r="D237" s="120">
        <v>4531</v>
      </c>
      <c r="E237" s="119"/>
      <c r="F237" s="72"/>
      <c r="G237" s="119"/>
      <c r="H237" s="185">
        <v>87383</v>
      </c>
      <c r="I237" s="63"/>
      <c r="J237" s="194"/>
      <c r="K237" s="194"/>
      <c r="L237" s="195"/>
      <c r="M237" s="194"/>
      <c r="N237" s="194"/>
      <c r="O237" s="194"/>
      <c r="P237" s="194"/>
      <c r="Q237" s="194"/>
      <c r="R237" s="194"/>
    </row>
    <row r="238" spans="1:18" ht="16.5" hidden="1" customHeight="1">
      <c r="A238" s="115" t="s">
        <v>2332</v>
      </c>
      <c r="B238" s="116" t="s">
        <v>2333</v>
      </c>
      <c r="C238" s="117" t="s">
        <v>2271</v>
      </c>
      <c r="D238" s="120">
        <v>5579</v>
      </c>
      <c r="E238" s="119"/>
      <c r="F238" s="72"/>
      <c r="G238" s="119"/>
      <c r="H238" s="185">
        <v>116510</v>
      </c>
      <c r="I238" s="63"/>
      <c r="J238" s="194"/>
      <c r="K238" s="194"/>
      <c r="L238" s="195"/>
      <c r="M238" s="194"/>
      <c r="N238" s="194"/>
      <c r="O238" s="194"/>
      <c r="P238" s="194"/>
      <c r="Q238" s="194"/>
      <c r="R238" s="194"/>
    </row>
    <row r="239" spans="1:18" ht="16.5" hidden="1" customHeight="1">
      <c r="A239" s="115" t="s">
        <v>2334</v>
      </c>
      <c r="B239" s="116" t="s">
        <v>2335</v>
      </c>
      <c r="C239" s="117" t="s">
        <v>2271</v>
      </c>
      <c r="D239" s="120">
        <v>7161</v>
      </c>
      <c r="E239" s="119"/>
      <c r="F239" s="72"/>
      <c r="G239" s="119"/>
      <c r="H239" s="185">
        <v>145638</v>
      </c>
      <c r="I239" s="63"/>
      <c r="J239" s="194"/>
      <c r="K239" s="194"/>
      <c r="L239" s="195"/>
      <c r="M239" s="194"/>
      <c r="N239" s="194"/>
      <c r="O239" s="194"/>
      <c r="P239" s="194"/>
      <c r="Q239" s="194"/>
      <c r="R239" s="194"/>
    </row>
    <row r="240" spans="1:18" ht="16.5" hidden="1" customHeight="1">
      <c r="A240" s="121"/>
      <c r="B240" s="116"/>
      <c r="C240" s="117"/>
      <c r="D240" s="120"/>
      <c r="E240" s="119"/>
      <c r="F240" s="72"/>
      <c r="G240" s="119"/>
      <c r="H240" s="193"/>
      <c r="I240" s="63"/>
      <c r="J240" s="194"/>
      <c r="K240" s="194"/>
      <c r="L240" s="195"/>
      <c r="M240" s="194"/>
      <c r="N240" s="194"/>
      <c r="O240" s="194"/>
      <c r="P240" s="194"/>
      <c r="Q240" s="194"/>
      <c r="R240" s="194"/>
    </row>
    <row r="241" spans="1:18" ht="16.5" hidden="1" customHeight="1">
      <c r="A241" s="115" t="s">
        <v>635</v>
      </c>
      <c r="B241" s="116" t="s">
        <v>2336</v>
      </c>
      <c r="C241" s="117" t="s">
        <v>2337</v>
      </c>
      <c r="D241" s="120">
        <v>4946</v>
      </c>
      <c r="E241" s="119"/>
      <c r="F241" s="72"/>
      <c r="G241" s="119"/>
      <c r="H241" s="185">
        <v>205510</v>
      </c>
      <c r="I241" s="63"/>
      <c r="J241" s="194"/>
      <c r="K241" s="194"/>
      <c r="L241" s="195"/>
      <c r="M241" s="194"/>
      <c r="N241" s="194"/>
      <c r="O241" s="194"/>
      <c r="P241" s="194"/>
      <c r="Q241" s="194"/>
      <c r="R241" s="194"/>
    </row>
    <row r="242" spans="1:18" ht="16.5" hidden="1" customHeight="1">
      <c r="A242" s="115" t="s">
        <v>637</v>
      </c>
      <c r="B242" s="116" t="s">
        <v>2338</v>
      </c>
      <c r="C242" s="117" t="s">
        <v>2337</v>
      </c>
      <c r="D242" s="120">
        <v>4946</v>
      </c>
      <c r="E242" s="119"/>
      <c r="F242" s="72"/>
      <c r="G242" s="119"/>
      <c r="H242" s="185">
        <v>209836</v>
      </c>
      <c r="I242" s="63"/>
      <c r="J242" s="194"/>
      <c r="K242" s="194"/>
      <c r="L242" s="195"/>
      <c r="M242" s="194"/>
      <c r="N242" s="194"/>
      <c r="O242" s="194"/>
      <c r="P242" s="194"/>
      <c r="Q242" s="194"/>
      <c r="R242" s="194"/>
    </row>
    <row r="243" spans="1:18" ht="16.5" hidden="1" customHeight="1">
      <c r="A243" s="115" t="s">
        <v>639</v>
      </c>
      <c r="B243" s="116" t="s">
        <v>2339</v>
      </c>
      <c r="C243" s="117" t="s">
        <v>2337</v>
      </c>
      <c r="D243" s="120">
        <v>4946</v>
      </c>
      <c r="E243" s="119"/>
      <c r="F243" s="72"/>
      <c r="G243" s="119"/>
      <c r="H243" s="185">
        <v>231469</v>
      </c>
      <c r="I243" s="63"/>
      <c r="J243" s="194"/>
      <c r="K243" s="194"/>
      <c r="L243" s="195"/>
      <c r="M243" s="194"/>
      <c r="N243" s="194"/>
      <c r="O243" s="194"/>
      <c r="P243" s="194"/>
      <c r="Q243" s="194"/>
      <c r="R243" s="194"/>
    </row>
    <row r="244" spans="1:18" ht="16.5" hidden="1" customHeight="1">
      <c r="A244" s="115" t="s">
        <v>641</v>
      </c>
      <c r="B244" s="116" t="s">
        <v>2340</v>
      </c>
      <c r="C244" s="117" t="s">
        <v>2337</v>
      </c>
      <c r="D244" s="120">
        <v>6248</v>
      </c>
      <c r="E244" s="119"/>
      <c r="F244" s="72"/>
      <c r="G244" s="119"/>
      <c r="H244" s="185">
        <v>256346</v>
      </c>
      <c r="I244" s="63"/>
      <c r="J244" s="194"/>
      <c r="K244" s="194"/>
      <c r="L244" s="195"/>
      <c r="M244" s="194"/>
      <c r="N244" s="194"/>
      <c r="O244" s="194"/>
      <c r="P244" s="194"/>
      <c r="Q244" s="194"/>
      <c r="R244" s="194"/>
    </row>
    <row r="245" spans="1:18" ht="16.5" hidden="1" customHeight="1">
      <c r="A245" s="115" t="s">
        <v>2341</v>
      </c>
      <c r="B245" s="116" t="s">
        <v>2342</v>
      </c>
      <c r="C245" s="117" t="s">
        <v>2337</v>
      </c>
      <c r="D245" s="120">
        <v>6248</v>
      </c>
      <c r="E245" s="119"/>
      <c r="F245" s="72"/>
      <c r="G245" s="119"/>
      <c r="H245" s="185">
        <v>277979</v>
      </c>
      <c r="I245" s="63"/>
      <c r="J245" s="194"/>
      <c r="K245" s="194"/>
      <c r="L245" s="195"/>
      <c r="M245" s="194"/>
      <c r="N245" s="194"/>
      <c r="O245" s="194"/>
      <c r="P245" s="194"/>
      <c r="Q245" s="194"/>
      <c r="R245" s="194"/>
    </row>
    <row r="246" spans="1:18" ht="16.5" hidden="1" customHeight="1">
      <c r="A246" s="115" t="s">
        <v>2343</v>
      </c>
      <c r="B246" s="116" t="s">
        <v>2344</v>
      </c>
      <c r="C246" s="117" t="s">
        <v>2337</v>
      </c>
      <c r="D246" s="120">
        <v>6248</v>
      </c>
      <c r="E246" s="119"/>
      <c r="F246" s="72"/>
      <c r="G246" s="119"/>
      <c r="H246" s="185">
        <v>301775</v>
      </c>
      <c r="I246" s="63"/>
      <c r="J246" s="194"/>
      <c r="K246" s="194"/>
      <c r="L246" s="195"/>
      <c r="M246" s="194"/>
      <c r="N246" s="194"/>
      <c r="O246" s="194"/>
      <c r="P246" s="194"/>
      <c r="Q246" s="194"/>
      <c r="R246" s="194"/>
    </row>
    <row r="247" spans="1:18" ht="16.5" hidden="1" customHeight="1">
      <c r="A247" s="115" t="s">
        <v>2345</v>
      </c>
      <c r="B247" s="116" t="s">
        <v>2346</v>
      </c>
      <c r="C247" s="117" t="s">
        <v>2337</v>
      </c>
      <c r="D247" s="120">
        <v>7497</v>
      </c>
      <c r="E247" s="119"/>
      <c r="F247" s="72"/>
      <c r="G247" s="119"/>
      <c r="H247" s="185">
        <v>362346</v>
      </c>
      <c r="I247" s="63"/>
      <c r="J247" s="194"/>
      <c r="K247" s="194"/>
      <c r="L247" s="195"/>
      <c r="M247" s="194"/>
      <c r="N247" s="194"/>
      <c r="O247" s="194"/>
      <c r="P247" s="194"/>
      <c r="Q247" s="194"/>
      <c r="R247" s="194"/>
    </row>
    <row r="248" spans="1:18" ht="16.5" hidden="1" customHeight="1">
      <c r="A248" s="121"/>
      <c r="B248" s="116"/>
      <c r="C248" s="117"/>
      <c r="D248" s="120"/>
      <c r="E248" s="119"/>
      <c r="F248" s="72"/>
      <c r="G248" s="119"/>
      <c r="H248" s="193"/>
      <c r="I248" s="63"/>
      <c r="J248" s="194"/>
      <c r="K248" s="194"/>
      <c r="L248" s="195"/>
      <c r="M248" s="194"/>
      <c r="N248" s="194"/>
      <c r="O248" s="194"/>
      <c r="P248" s="194"/>
      <c r="Q248" s="194"/>
      <c r="R248" s="194"/>
    </row>
    <row r="249" spans="1:18" ht="16.5" hidden="1" customHeight="1">
      <c r="A249" s="115" t="s">
        <v>2347</v>
      </c>
      <c r="B249" s="116" t="s">
        <v>2348</v>
      </c>
      <c r="C249" s="117" t="s">
        <v>2337</v>
      </c>
      <c r="D249" s="120">
        <v>11183</v>
      </c>
      <c r="E249" s="119"/>
      <c r="F249" s="72"/>
      <c r="G249" s="119"/>
      <c r="H249" s="185">
        <v>416428</v>
      </c>
      <c r="I249" s="63"/>
      <c r="J249" s="194"/>
      <c r="K249" s="194"/>
      <c r="L249" s="195"/>
      <c r="M249" s="194"/>
      <c r="N249" s="194"/>
      <c r="O249" s="194"/>
      <c r="P249" s="194"/>
      <c r="Q249" s="194"/>
      <c r="R249" s="194"/>
    </row>
    <row r="250" spans="1:18" ht="16.5" hidden="1" customHeight="1">
      <c r="A250" s="115" t="s">
        <v>2349</v>
      </c>
      <c r="B250" s="116" t="s">
        <v>2350</v>
      </c>
      <c r="C250" s="117" t="s">
        <v>2337</v>
      </c>
      <c r="D250" s="120">
        <v>11183</v>
      </c>
      <c r="E250" s="119"/>
      <c r="F250" s="72"/>
      <c r="G250" s="119"/>
      <c r="H250" s="185">
        <v>451040</v>
      </c>
      <c r="I250" s="63"/>
      <c r="J250" s="194"/>
      <c r="K250" s="194"/>
      <c r="L250" s="195"/>
      <c r="M250" s="194"/>
      <c r="N250" s="194"/>
      <c r="O250" s="194"/>
      <c r="P250" s="194"/>
      <c r="Q250" s="194"/>
      <c r="R250" s="194"/>
    </row>
    <row r="251" spans="1:18" ht="16.5" hidden="1" customHeight="1">
      <c r="A251" s="115" t="s">
        <v>2351</v>
      </c>
      <c r="B251" s="116" t="s">
        <v>2352</v>
      </c>
      <c r="C251" s="117" t="s">
        <v>2337</v>
      </c>
      <c r="D251" s="120">
        <v>11183</v>
      </c>
      <c r="E251" s="119"/>
      <c r="F251" s="72"/>
      <c r="G251" s="119"/>
      <c r="H251" s="185">
        <v>504040</v>
      </c>
      <c r="I251" s="63"/>
      <c r="J251" s="194"/>
      <c r="K251" s="194"/>
      <c r="L251" s="195"/>
      <c r="M251" s="194"/>
      <c r="N251" s="194"/>
      <c r="O251" s="194"/>
      <c r="P251" s="194"/>
      <c r="Q251" s="194"/>
      <c r="R251" s="194"/>
    </row>
    <row r="252" spans="1:18" ht="16.5" hidden="1" customHeight="1">
      <c r="A252" s="115" t="s">
        <v>2353</v>
      </c>
      <c r="B252" s="116" t="s">
        <v>2354</v>
      </c>
      <c r="C252" s="117" t="s">
        <v>2337</v>
      </c>
      <c r="D252" s="120">
        <v>14910</v>
      </c>
      <c r="E252" s="119"/>
      <c r="F252" s="72"/>
      <c r="G252" s="119"/>
      <c r="H252" s="185">
        <v>554786</v>
      </c>
      <c r="I252" s="63"/>
      <c r="J252" s="194"/>
      <c r="K252" s="194"/>
      <c r="L252" s="195"/>
      <c r="M252" s="194"/>
      <c r="N252" s="194"/>
      <c r="O252" s="194"/>
      <c r="P252" s="194"/>
      <c r="Q252" s="194"/>
      <c r="R252" s="194"/>
    </row>
    <row r="253" spans="1:18" ht="16.5" hidden="1" customHeight="1">
      <c r="A253" s="115" t="s">
        <v>2355</v>
      </c>
      <c r="B253" s="116" t="s">
        <v>2356</v>
      </c>
      <c r="C253" s="117" t="s">
        <v>2337</v>
      </c>
      <c r="D253" s="120">
        <v>14910</v>
      </c>
      <c r="E253" s="119"/>
      <c r="F253" s="72"/>
      <c r="G253" s="119"/>
      <c r="H253" s="185">
        <v>606794</v>
      </c>
      <c r="I253" s="63"/>
      <c r="J253" s="194"/>
      <c r="K253" s="194"/>
      <c r="L253" s="195"/>
      <c r="M253" s="194"/>
      <c r="N253" s="194"/>
      <c r="O253" s="194"/>
      <c r="P253" s="194"/>
      <c r="Q253" s="194"/>
      <c r="R253" s="194"/>
    </row>
    <row r="254" spans="1:18" ht="16.5" hidden="1" customHeight="1">
      <c r="A254" s="115" t="s">
        <v>2357</v>
      </c>
      <c r="B254" s="116" t="s">
        <v>2358</v>
      </c>
      <c r="C254" s="117" t="s">
        <v>2337</v>
      </c>
      <c r="D254" s="120">
        <v>14910</v>
      </c>
      <c r="E254" s="119"/>
      <c r="F254" s="72"/>
      <c r="G254" s="119"/>
      <c r="H254" s="185">
        <v>666284</v>
      </c>
      <c r="I254" s="63"/>
      <c r="J254" s="194"/>
      <c r="K254" s="194"/>
      <c r="L254" s="195"/>
      <c r="M254" s="194"/>
      <c r="N254" s="194"/>
      <c r="O254" s="194"/>
      <c r="P254" s="194"/>
      <c r="Q254" s="194"/>
      <c r="R254" s="194"/>
    </row>
    <row r="255" spans="1:18" ht="16.5" hidden="1" customHeight="1">
      <c r="A255" s="115" t="s">
        <v>2359</v>
      </c>
      <c r="B255" s="116" t="s">
        <v>2360</v>
      </c>
      <c r="C255" s="117" t="s">
        <v>2337</v>
      </c>
      <c r="D255" s="120">
        <v>18391</v>
      </c>
      <c r="E255" s="119"/>
      <c r="F255" s="72"/>
      <c r="G255" s="119"/>
      <c r="H255" s="185">
        <v>799325</v>
      </c>
      <c r="I255" s="63"/>
      <c r="J255" s="194"/>
      <c r="K255" s="194"/>
      <c r="L255" s="195"/>
      <c r="M255" s="194"/>
      <c r="N255" s="194"/>
      <c r="O255" s="194"/>
      <c r="P255" s="194"/>
      <c r="Q255" s="194"/>
      <c r="R255" s="194"/>
    </row>
    <row r="256" spans="1:18" ht="16.5" hidden="1" customHeight="1">
      <c r="A256" s="121"/>
      <c r="B256" s="116"/>
      <c r="C256" s="117"/>
      <c r="D256" s="120"/>
      <c r="E256" s="119"/>
      <c r="F256" s="72"/>
      <c r="G256" s="119"/>
      <c r="H256" s="193"/>
      <c r="I256" s="63"/>
      <c r="J256" s="194"/>
      <c r="K256" s="194"/>
      <c r="L256" s="195"/>
      <c r="M256" s="194"/>
      <c r="N256" s="194"/>
      <c r="O256" s="194"/>
      <c r="P256" s="194"/>
      <c r="Q256" s="194"/>
      <c r="R256" s="194"/>
    </row>
    <row r="257" spans="1:18" ht="16.5" hidden="1" customHeight="1">
      <c r="A257" s="115" t="s">
        <v>2361</v>
      </c>
      <c r="B257" s="116" t="s">
        <v>2362</v>
      </c>
      <c r="C257" s="117" t="s">
        <v>2337</v>
      </c>
      <c r="D257" s="120">
        <v>801</v>
      </c>
      <c r="E257" s="119"/>
      <c r="F257" s="72"/>
      <c r="G257" s="119"/>
      <c r="H257" s="185">
        <v>23302</v>
      </c>
      <c r="I257" s="63"/>
      <c r="J257" s="194"/>
      <c r="K257" s="194"/>
      <c r="L257" s="195"/>
      <c r="M257" s="194"/>
      <c r="N257" s="194"/>
      <c r="O257" s="194"/>
      <c r="P257" s="194"/>
      <c r="Q257" s="194"/>
      <c r="R257" s="194"/>
    </row>
    <row r="258" spans="1:18" ht="16.5" hidden="1" customHeight="1">
      <c r="A258" s="115" t="s">
        <v>2363</v>
      </c>
      <c r="B258" s="116" t="s">
        <v>2364</v>
      </c>
      <c r="C258" s="117" t="s">
        <v>2337</v>
      </c>
      <c r="D258" s="120">
        <v>1601</v>
      </c>
      <c r="E258" s="119"/>
      <c r="F258" s="72"/>
      <c r="G258" s="119"/>
      <c r="H258" s="185">
        <v>44274</v>
      </c>
      <c r="I258" s="63"/>
      <c r="J258" s="194"/>
      <c r="K258" s="194"/>
      <c r="L258" s="195"/>
      <c r="M258" s="194"/>
      <c r="N258" s="194"/>
      <c r="O258" s="194"/>
      <c r="P258" s="194"/>
      <c r="Q258" s="194"/>
      <c r="R258" s="194"/>
    </row>
    <row r="259" spans="1:18" ht="16.5" hidden="1" customHeight="1">
      <c r="A259" s="115" t="s">
        <v>2365</v>
      </c>
      <c r="B259" s="116" t="s">
        <v>2366</v>
      </c>
      <c r="C259" s="117" t="s">
        <v>2337</v>
      </c>
      <c r="D259" s="120">
        <v>3075</v>
      </c>
      <c r="E259" s="119"/>
      <c r="F259" s="72"/>
      <c r="G259" s="119"/>
      <c r="H259" s="185">
        <v>88548</v>
      </c>
      <c r="I259" s="63"/>
      <c r="J259" s="194"/>
      <c r="K259" s="194"/>
      <c r="L259" s="195"/>
      <c r="M259" s="194"/>
      <c r="N259" s="194"/>
      <c r="O259" s="194"/>
      <c r="P259" s="194"/>
      <c r="Q259" s="194"/>
      <c r="R259" s="194"/>
    </row>
    <row r="260" spans="1:18" ht="16.5" hidden="1" customHeight="1">
      <c r="A260" s="115" t="s">
        <v>2367</v>
      </c>
      <c r="B260" s="116" t="s">
        <v>2368</v>
      </c>
      <c r="C260" s="117" t="s">
        <v>2337</v>
      </c>
      <c r="D260" s="120">
        <v>3825</v>
      </c>
      <c r="E260" s="119"/>
      <c r="F260" s="72"/>
      <c r="G260" s="119"/>
      <c r="H260" s="185">
        <v>132821</v>
      </c>
      <c r="I260" s="63"/>
      <c r="J260" s="194"/>
      <c r="K260" s="194"/>
      <c r="L260" s="195"/>
      <c r="M260" s="194"/>
      <c r="N260" s="194"/>
      <c r="O260" s="194"/>
      <c r="P260" s="194"/>
      <c r="Q260" s="194"/>
      <c r="R260" s="194"/>
    </row>
    <row r="261" spans="1:18" ht="16.5" hidden="1" customHeight="1">
      <c r="A261" s="115" t="s">
        <v>2369</v>
      </c>
      <c r="B261" s="116" t="s">
        <v>2370</v>
      </c>
      <c r="C261" s="117" t="s">
        <v>2337</v>
      </c>
      <c r="D261" s="120">
        <v>5273</v>
      </c>
      <c r="E261" s="119"/>
      <c r="F261" s="72"/>
      <c r="G261" s="119"/>
      <c r="H261" s="185">
        <v>177095</v>
      </c>
      <c r="I261" s="63"/>
      <c r="J261" s="194"/>
      <c r="K261" s="194"/>
      <c r="L261" s="195"/>
      <c r="M261" s="194"/>
      <c r="N261" s="194"/>
      <c r="O261" s="194"/>
      <c r="P261" s="194"/>
      <c r="Q261" s="194"/>
      <c r="R261" s="194"/>
    </row>
    <row r="262" spans="1:18" ht="16.5" hidden="1" customHeight="1">
      <c r="A262" s="115" t="s">
        <v>2371</v>
      </c>
      <c r="B262" s="116" t="s">
        <v>2372</v>
      </c>
      <c r="C262" s="117" t="s">
        <v>2337</v>
      </c>
      <c r="D262" s="120">
        <v>6747</v>
      </c>
      <c r="E262" s="119"/>
      <c r="F262" s="72"/>
      <c r="G262" s="119"/>
      <c r="H262" s="193">
        <v>221369</v>
      </c>
      <c r="I262" s="63"/>
      <c r="J262" s="194"/>
      <c r="K262" s="194"/>
      <c r="L262" s="195"/>
      <c r="M262" s="194"/>
      <c r="N262" s="194"/>
      <c r="O262" s="194"/>
      <c r="P262" s="194"/>
      <c r="Q262" s="194"/>
      <c r="R262" s="194"/>
    </row>
    <row r="263" spans="1:18" ht="16.5" hidden="1" customHeight="1">
      <c r="A263" s="121"/>
      <c r="B263" s="116"/>
      <c r="C263" s="117"/>
      <c r="D263" s="120"/>
      <c r="E263" s="119"/>
      <c r="F263" s="72"/>
      <c r="G263" s="119"/>
      <c r="H263" s="193"/>
      <c r="I263" s="63"/>
      <c r="J263" s="194"/>
      <c r="K263" s="194"/>
      <c r="L263" s="195"/>
      <c r="M263" s="194"/>
      <c r="N263" s="194"/>
      <c r="O263" s="194"/>
      <c r="P263" s="194"/>
      <c r="Q263" s="194"/>
      <c r="R263" s="194"/>
    </row>
    <row r="264" spans="1:18" ht="16.5" hidden="1" customHeight="1">
      <c r="A264" s="115" t="s">
        <v>2373</v>
      </c>
      <c r="B264" s="116" t="s">
        <v>2374</v>
      </c>
      <c r="C264" s="117" t="s">
        <v>180</v>
      </c>
      <c r="D264" s="120">
        <v>3636</v>
      </c>
      <c r="E264" s="119"/>
      <c r="F264" s="119"/>
      <c r="G264" s="119"/>
      <c r="H264" s="193">
        <f t="shared" ref="H264:H274" si="19">IF(G264&lt;&gt;0,ROUND(G264*F264,0), )</f>
        <v>0</v>
      </c>
      <c r="I264" s="63"/>
      <c r="J264" s="194">
        <f>ROUND(J265*0.6,0)</f>
        <v>8836</v>
      </c>
      <c r="K264" s="194"/>
      <c r="L264" s="195"/>
      <c r="M264" s="194"/>
      <c r="N264" s="194"/>
      <c r="O264" s="194"/>
      <c r="P264" s="194"/>
      <c r="Q264" s="194"/>
      <c r="R264" s="194"/>
    </row>
    <row r="265" spans="1:18" s="150" customFormat="1" ht="16.5" customHeight="1">
      <c r="A265" s="199" t="s">
        <v>179</v>
      </c>
      <c r="B265" s="200" t="s">
        <v>2375</v>
      </c>
      <c r="C265" s="201" t="s">
        <v>180</v>
      </c>
      <c r="D265" s="202"/>
      <c r="E265" s="127"/>
      <c r="F265" s="127"/>
      <c r="G265" s="127"/>
      <c r="H265" s="203">
        <v>60720</v>
      </c>
      <c r="I265" s="122"/>
      <c r="J265" s="204">
        <v>14727</v>
      </c>
      <c r="K265" s="204"/>
      <c r="L265" s="207"/>
      <c r="M265" s="204"/>
      <c r="N265" s="204"/>
      <c r="O265" s="204"/>
      <c r="P265" s="204"/>
      <c r="Q265" s="204"/>
      <c r="R265" s="204"/>
    </row>
    <row r="266" spans="1:18" ht="16.5" hidden="1" customHeight="1">
      <c r="A266" s="115" t="s">
        <v>1776</v>
      </c>
      <c r="B266" s="116" t="s">
        <v>2376</v>
      </c>
      <c r="C266" s="117" t="s">
        <v>180</v>
      </c>
      <c r="D266" s="120">
        <v>3636</v>
      </c>
      <c r="E266" s="119"/>
      <c r="F266" s="119"/>
      <c r="G266" s="119"/>
      <c r="H266" s="193">
        <f t="shared" si="19"/>
        <v>0</v>
      </c>
      <c r="I266" s="63"/>
      <c r="J266" s="194">
        <v>14727</v>
      </c>
      <c r="K266" s="194"/>
      <c r="L266" s="195"/>
      <c r="M266" s="194"/>
      <c r="N266" s="194"/>
      <c r="O266" s="194"/>
      <c r="P266" s="194"/>
      <c r="Q266" s="194"/>
      <c r="R266" s="194"/>
    </row>
    <row r="267" spans="1:18" s="150" customFormat="1" ht="16.5" customHeight="1">
      <c r="A267" s="199" t="s">
        <v>190</v>
      </c>
      <c r="B267" s="200" t="s">
        <v>191</v>
      </c>
      <c r="C267" s="201" t="s">
        <v>180</v>
      </c>
      <c r="D267" s="202"/>
      <c r="E267" s="127"/>
      <c r="F267" s="127"/>
      <c r="G267" s="127"/>
      <c r="H267" s="203">
        <v>166980</v>
      </c>
      <c r="I267" s="122"/>
      <c r="J267" s="204">
        <v>17672</v>
      </c>
      <c r="K267" s="204"/>
      <c r="L267" s="207"/>
      <c r="M267" s="204"/>
      <c r="N267" s="204"/>
      <c r="O267" s="204"/>
      <c r="P267" s="204"/>
      <c r="Q267" s="204"/>
      <c r="R267" s="204"/>
    </row>
    <row r="268" spans="1:18" ht="16.5" hidden="1" customHeight="1">
      <c r="A268" s="115" t="s">
        <v>1779</v>
      </c>
      <c r="B268" s="116" t="s">
        <v>2377</v>
      </c>
      <c r="C268" s="117" t="s">
        <v>180</v>
      </c>
      <c r="D268" s="120">
        <v>4040</v>
      </c>
      <c r="E268" s="119"/>
      <c r="F268" s="119"/>
      <c r="G268" s="119"/>
      <c r="H268" s="193">
        <f t="shared" si="19"/>
        <v>0</v>
      </c>
      <c r="I268" s="63"/>
      <c r="J268" s="194">
        <v>17672</v>
      </c>
      <c r="K268" s="194"/>
      <c r="L268" s="195"/>
      <c r="M268" s="194"/>
      <c r="N268" s="194"/>
      <c r="O268" s="194"/>
      <c r="P268" s="194"/>
      <c r="Q268" s="194"/>
      <c r="R268" s="194"/>
    </row>
    <row r="269" spans="1:18" s="150" customFormat="1" ht="16.5" customHeight="1">
      <c r="A269" s="199" t="s">
        <v>188</v>
      </c>
      <c r="B269" s="200" t="s">
        <v>189</v>
      </c>
      <c r="C269" s="201" t="s">
        <v>180</v>
      </c>
      <c r="D269" s="202"/>
      <c r="E269" s="127"/>
      <c r="F269" s="127"/>
      <c r="G269" s="127"/>
      <c r="H269" s="203">
        <v>273240</v>
      </c>
      <c r="I269" s="122"/>
      <c r="J269" s="204">
        <v>20617</v>
      </c>
      <c r="K269" s="204"/>
      <c r="L269" s="207"/>
      <c r="M269" s="204"/>
      <c r="N269" s="204"/>
      <c r="O269" s="204"/>
      <c r="P269" s="204"/>
      <c r="Q269" s="204"/>
      <c r="R269" s="204"/>
    </row>
    <row r="270" spans="1:18" ht="16.5" hidden="1" customHeight="1">
      <c r="A270" s="115" t="s">
        <v>1782</v>
      </c>
      <c r="B270" s="116" t="s">
        <v>2378</v>
      </c>
      <c r="C270" s="117" t="s">
        <v>180</v>
      </c>
      <c r="D270" s="120">
        <v>10908</v>
      </c>
      <c r="E270" s="119"/>
      <c r="F270" s="119"/>
      <c r="G270" s="119"/>
      <c r="H270" s="193">
        <f t="shared" si="19"/>
        <v>0</v>
      </c>
      <c r="I270" s="63"/>
      <c r="J270" s="194">
        <v>23563</v>
      </c>
      <c r="K270" s="194"/>
      <c r="L270" s="195"/>
      <c r="M270" s="194"/>
      <c r="N270" s="194"/>
      <c r="O270" s="194"/>
      <c r="P270" s="194"/>
      <c r="Q270" s="194"/>
      <c r="R270" s="194"/>
    </row>
    <row r="271" spans="1:18" ht="16.5" hidden="1" customHeight="1">
      <c r="A271" s="115" t="s">
        <v>192</v>
      </c>
      <c r="B271" s="116" t="s">
        <v>193</v>
      </c>
      <c r="C271" s="117" t="s">
        <v>180</v>
      </c>
      <c r="D271" s="120">
        <v>10908</v>
      </c>
      <c r="E271" s="119"/>
      <c r="F271" s="119"/>
      <c r="G271" s="119"/>
      <c r="H271" s="193">
        <f t="shared" si="19"/>
        <v>0</v>
      </c>
      <c r="I271" s="63"/>
      <c r="J271" s="194">
        <v>26508</v>
      </c>
      <c r="K271" s="194"/>
      <c r="L271" s="195"/>
      <c r="M271" s="194"/>
      <c r="N271" s="194"/>
      <c r="O271" s="194"/>
      <c r="P271" s="194"/>
      <c r="Q271" s="194"/>
      <c r="R271" s="194"/>
    </row>
    <row r="272" spans="1:18" ht="16.5" hidden="1" customHeight="1">
      <c r="A272" s="115" t="s">
        <v>1785</v>
      </c>
      <c r="B272" s="116" t="s">
        <v>2379</v>
      </c>
      <c r="C272" s="117" t="s">
        <v>180</v>
      </c>
      <c r="D272" s="120">
        <v>26664</v>
      </c>
      <c r="E272" s="119"/>
      <c r="F272" s="119"/>
      <c r="G272" s="119"/>
      <c r="H272" s="193">
        <f t="shared" si="19"/>
        <v>0</v>
      </c>
      <c r="I272" s="63"/>
      <c r="J272" s="194">
        <v>29454</v>
      </c>
      <c r="K272" s="194"/>
      <c r="L272" s="195"/>
      <c r="M272" s="194"/>
      <c r="N272" s="194"/>
      <c r="O272" s="194"/>
      <c r="P272" s="194"/>
      <c r="Q272" s="194"/>
      <c r="R272" s="194"/>
    </row>
    <row r="273" spans="1:18" ht="16.5" hidden="1" customHeight="1">
      <c r="A273" s="115" t="s">
        <v>1787</v>
      </c>
      <c r="B273" s="116" t="s">
        <v>2380</v>
      </c>
      <c r="C273" s="117" t="s">
        <v>180</v>
      </c>
      <c r="D273" s="120">
        <v>26664</v>
      </c>
      <c r="E273" s="119"/>
      <c r="F273" s="119"/>
      <c r="G273" s="119"/>
      <c r="H273" s="193">
        <f t="shared" si="19"/>
        <v>0</v>
      </c>
      <c r="I273" s="63"/>
      <c r="J273" s="194">
        <v>41235</v>
      </c>
      <c r="K273" s="194"/>
      <c r="L273" s="195"/>
      <c r="M273" s="194"/>
      <c r="N273" s="194"/>
      <c r="O273" s="194"/>
      <c r="P273" s="194"/>
      <c r="Q273" s="194"/>
      <c r="R273" s="194"/>
    </row>
    <row r="274" spans="1:18" ht="16.5" hidden="1" customHeight="1">
      <c r="A274" s="115" t="s">
        <v>1789</v>
      </c>
      <c r="B274" s="116" t="s">
        <v>2381</v>
      </c>
      <c r="C274" s="117" t="s">
        <v>180</v>
      </c>
      <c r="D274" s="120">
        <v>26664</v>
      </c>
      <c r="E274" s="119"/>
      <c r="F274" s="119"/>
      <c r="G274" s="119"/>
      <c r="H274" s="193">
        <f t="shared" si="19"/>
        <v>0</v>
      </c>
      <c r="I274" s="63"/>
      <c r="J274" s="194">
        <v>53016</v>
      </c>
      <c r="K274" s="194"/>
      <c r="L274" s="195"/>
      <c r="M274" s="194"/>
      <c r="N274" s="194"/>
      <c r="O274" s="194"/>
      <c r="P274" s="194"/>
      <c r="Q274" s="194"/>
      <c r="R274" s="194"/>
    </row>
    <row r="275" spans="1:18" ht="16.5" hidden="1" customHeight="1">
      <c r="A275" s="115"/>
      <c r="B275" s="116"/>
      <c r="C275" s="117"/>
      <c r="D275" s="120"/>
      <c r="E275" s="119"/>
      <c r="F275" s="119"/>
      <c r="G275" s="119"/>
      <c r="H275" s="193"/>
      <c r="I275" s="63"/>
      <c r="J275" s="194"/>
      <c r="K275" s="194"/>
      <c r="L275" s="195"/>
      <c r="M275" s="194"/>
      <c r="N275" s="194"/>
      <c r="O275" s="194"/>
      <c r="P275" s="194"/>
      <c r="Q275" s="194"/>
      <c r="R275" s="194"/>
    </row>
    <row r="276" spans="1:18" ht="16.5" hidden="1" customHeight="1">
      <c r="A276" s="115" t="s">
        <v>2373</v>
      </c>
      <c r="B276" s="116" t="s">
        <v>2382</v>
      </c>
      <c r="C276" s="117" t="s">
        <v>180</v>
      </c>
      <c r="D276" s="120">
        <v>3636</v>
      </c>
      <c r="E276" s="119"/>
      <c r="F276" s="119"/>
      <c r="G276" s="119"/>
      <c r="H276" s="193">
        <f t="shared" ref="H276:H285" si="20">IF(G276&lt;&gt;0,ROUND(G276*F276,0), )</f>
        <v>0</v>
      </c>
      <c r="I276" s="63"/>
      <c r="J276" s="194">
        <v>14727</v>
      </c>
      <c r="K276" s="194"/>
      <c r="L276" s="195"/>
      <c r="M276" s="194"/>
      <c r="N276" s="194"/>
      <c r="O276" s="194"/>
      <c r="P276" s="194"/>
      <c r="Q276" s="194"/>
      <c r="R276" s="194"/>
    </row>
    <row r="277" spans="1:18" ht="16.5" hidden="1" customHeight="1">
      <c r="A277" s="115" t="s">
        <v>2383</v>
      </c>
      <c r="B277" s="116" t="s">
        <v>2384</v>
      </c>
      <c r="C277" s="117" t="s">
        <v>180</v>
      </c>
      <c r="D277" s="120">
        <v>3636</v>
      </c>
      <c r="E277" s="119"/>
      <c r="F277" s="119"/>
      <c r="G277" s="119"/>
      <c r="H277" s="193">
        <f t="shared" si="20"/>
        <v>0</v>
      </c>
      <c r="I277" s="63"/>
      <c r="J277" s="194">
        <v>14727</v>
      </c>
      <c r="K277" s="194"/>
      <c r="L277" s="195"/>
      <c r="M277" s="194"/>
      <c r="N277" s="194"/>
      <c r="O277" s="194"/>
      <c r="P277" s="194"/>
      <c r="Q277" s="194"/>
      <c r="R277" s="194"/>
    </row>
    <row r="278" spans="1:18" ht="16.5" hidden="1" customHeight="1">
      <c r="A278" s="115" t="s">
        <v>2385</v>
      </c>
      <c r="B278" s="116" t="s">
        <v>2386</v>
      </c>
      <c r="C278" s="117" t="s">
        <v>180</v>
      </c>
      <c r="D278" s="120">
        <v>3636</v>
      </c>
      <c r="E278" s="119"/>
      <c r="F278" s="119"/>
      <c r="G278" s="119"/>
      <c r="H278" s="193">
        <f t="shared" si="20"/>
        <v>0</v>
      </c>
      <c r="I278" s="63"/>
      <c r="J278" s="194">
        <v>17672</v>
      </c>
      <c r="K278" s="194"/>
      <c r="L278" s="195"/>
      <c r="M278" s="194"/>
      <c r="N278" s="194"/>
      <c r="O278" s="194"/>
      <c r="P278" s="194"/>
      <c r="Q278" s="194"/>
      <c r="R278" s="194"/>
    </row>
    <row r="279" spans="1:18" ht="16.5" hidden="1" customHeight="1">
      <c r="A279" s="115" t="s">
        <v>2387</v>
      </c>
      <c r="B279" s="116" t="s">
        <v>2388</v>
      </c>
      <c r="C279" s="117" t="s">
        <v>180</v>
      </c>
      <c r="D279" s="120">
        <v>4040</v>
      </c>
      <c r="E279" s="119"/>
      <c r="F279" s="119"/>
      <c r="G279" s="119"/>
      <c r="H279" s="193">
        <f t="shared" si="20"/>
        <v>0</v>
      </c>
      <c r="I279" s="63"/>
      <c r="J279" s="194">
        <v>17672</v>
      </c>
      <c r="K279" s="194"/>
      <c r="L279" s="195"/>
      <c r="M279" s="194"/>
      <c r="N279" s="194"/>
      <c r="O279" s="194"/>
      <c r="P279" s="194"/>
      <c r="Q279" s="194"/>
      <c r="R279" s="194"/>
    </row>
    <row r="280" spans="1:18" ht="16.5" hidden="1" customHeight="1">
      <c r="A280" s="115" t="s">
        <v>2389</v>
      </c>
      <c r="B280" s="116" t="s">
        <v>2390</v>
      </c>
      <c r="C280" s="117" t="s">
        <v>180</v>
      </c>
      <c r="D280" s="120">
        <v>10908</v>
      </c>
      <c r="E280" s="119"/>
      <c r="F280" s="119"/>
      <c r="G280" s="119"/>
      <c r="H280" s="193">
        <f t="shared" si="20"/>
        <v>0</v>
      </c>
      <c r="I280" s="63"/>
      <c r="J280" s="194">
        <v>20617</v>
      </c>
      <c r="K280" s="194"/>
      <c r="L280" s="195"/>
      <c r="M280" s="194"/>
      <c r="N280" s="194"/>
      <c r="O280" s="194"/>
      <c r="P280" s="194"/>
      <c r="Q280" s="194"/>
      <c r="R280" s="194"/>
    </row>
    <row r="281" spans="1:18" ht="16.5" hidden="1" customHeight="1">
      <c r="A281" s="115" t="s">
        <v>2391</v>
      </c>
      <c r="B281" s="116" t="s">
        <v>2392</v>
      </c>
      <c r="C281" s="117" t="s">
        <v>180</v>
      </c>
      <c r="D281" s="120">
        <v>10908</v>
      </c>
      <c r="E281" s="119"/>
      <c r="F281" s="119"/>
      <c r="G281" s="119"/>
      <c r="H281" s="193">
        <f t="shared" si="20"/>
        <v>0</v>
      </c>
      <c r="I281" s="63"/>
      <c r="J281" s="194">
        <v>23563</v>
      </c>
      <c r="K281" s="194"/>
      <c r="L281" s="195"/>
      <c r="M281" s="194"/>
      <c r="N281" s="194"/>
      <c r="O281" s="194"/>
      <c r="P281" s="194"/>
      <c r="Q281" s="194"/>
      <c r="R281" s="194"/>
    </row>
    <row r="282" spans="1:18" ht="16.5" hidden="1" customHeight="1">
      <c r="A282" s="115" t="s">
        <v>2393</v>
      </c>
      <c r="B282" s="116" t="s">
        <v>2394</v>
      </c>
      <c r="C282" s="117" t="s">
        <v>180</v>
      </c>
      <c r="D282" s="120">
        <v>10908</v>
      </c>
      <c r="E282" s="119"/>
      <c r="F282" s="119"/>
      <c r="G282" s="119"/>
      <c r="H282" s="193">
        <f t="shared" si="20"/>
        <v>0</v>
      </c>
      <c r="I282" s="63"/>
      <c r="J282" s="194">
        <v>26508</v>
      </c>
      <c r="K282" s="194"/>
      <c r="L282" s="195"/>
      <c r="M282" s="194"/>
      <c r="N282" s="194"/>
      <c r="O282" s="194"/>
      <c r="P282" s="194"/>
      <c r="Q282" s="194"/>
      <c r="R282" s="194"/>
    </row>
    <row r="283" spans="1:18" ht="16.5" hidden="1" customHeight="1">
      <c r="A283" s="115" t="s">
        <v>2395</v>
      </c>
      <c r="B283" s="116" t="s">
        <v>2396</v>
      </c>
      <c r="C283" s="117" t="s">
        <v>180</v>
      </c>
      <c r="D283" s="120">
        <v>26664</v>
      </c>
      <c r="E283" s="119"/>
      <c r="F283" s="119"/>
      <c r="G283" s="119"/>
      <c r="H283" s="193">
        <f t="shared" si="20"/>
        <v>0</v>
      </c>
      <c r="I283" s="63"/>
      <c r="J283" s="194">
        <v>29454</v>
      </c>
      <c r="K283" s="194"/>
      <c r="L283" s="195"/>
      <c r="M283" s="194"/>
      <c r="N283" s="194"/>
      <c r="O283" s="194"/>
      <c r="P283" s="194"/>
      <c r="Q283" s="194"/>
      <c r="R283" s="194"/>
    </row>
    <row r="284" spans="1:18" ht="16.5" hidden="1" customHeight="1">
      <c r="A284" s="115" t="s">
        <v>2397</v>
      </c>
      <c r="B284" s="116" t="s">
        <v>2398</v>
      </c>
      <c r="C284" s="117" t="s">
        <v>180</v>
      </c>
      <c r="D284" s="120">
        <v>26664</v>
      </c>
      <c r="E284" s="119"/>
      <c r="F284" s="119"/>
      <c r="G284" s="119"/>
      <c r="H284" s="193">
        <f t="shared" si="20"/>
        <v>0</v>
      </c>
      <c r="I284" s="63"/>
      <c r="J284" s="194">
        <v>41235</v>
      </c>
      <c r="K284" s="194"/>
      <c r="L284" s="195"/>
      <c r="M284" s="194"/>
      <c r="N284" s="194"/>
      <c r="O284" s="194"/>
      <c r="P284" s="194"/>
      <c r="Q284" s="194"/>
      <c r="R284" s="194"/>
    </row>
    <row r="285" spans="1:18" ht="16.5" hidden="1" customHeight="1">
      <c r="A285" s="115" t="s">
        <v>2399</v>
      </c>
      <c r="B285" s="116" t="s">
        <v>2400</v>
      </c>
      <c r="C285" s="117" t="s">
        <v>180</v>
      </c>
      <c r="D285" s="120">
        <v>26664</v>
      </c>
      <c r="E285" s="119"/>
      <c r="F285" s="119"/>
      <c r="G285" s="119"/>
      <c r="H285" s="193">
        <f t="shared" si="20"/>
        <v>0</v>
      </c>
      <c r="I285" s="63"/>
      <c r="J285" s="194">
        <v>53016</v>
      </c>
      <c r="K285" s="194"/>
      <c r="L285" s="195"/>
      <c r="M285" s="194"/>
      <c r="N285" s="194"/>
      <c r="O285" s="194"/>
      <c r="P285" s="194"/>
      <c r="Q285" s="194"/>
      <c r="R285" s="194"/>
    </row>
    <row r="286" spans="1:18" ht="16.5" hidden="1" customHeight="1">
      <c r="A286" s="115"/>
      <c r="B286" s="116"/>
      <c r="C286" s="117"/>
      <c r="D286" s="120"/>
      <c r="E286" s="119"/>
      <c r="F286" s="119"/>
      <c r="G286" s="119"/>
      <c r="H286" s="193"/>
      <c r="I286" s="63"/>
      <c r="J286" s="194"/>
      <c r="K286" s="194"/>
      <c r="L286" s="195"/>
      <c r="M286" s="194"/>
      <c r="N286" s="194"/>
      <c r="O286" s="194"/>
      <c r="P286" s="194"/>
      <c r="Q286" s="194"/>
      <c r="R286" s="194"/>
    </row>
    <row r="287" spans="1:18" ht="16.5" hidden="1" customHeight="1">
      <c r="A287" s="115" t="s">
        <v>2401</v>
      </c>
      <c r="B287" s="116" t="s">
        <v>2402</v>
      </c>
      <c r="C287" s="117" t="s">
        <v>249</v>
      </c>
      <c r="D287" s="120">
        <v>530</v>
      </c>
      <c r="E287" s="119"/>
      <c r="F287" s="119"/>
      <c r="G287" s="119"/>
      <c r="H287" s="193">
        <f>IF(G287&lt;&gt;0,ROUND(G287*F287,0), )</f>
        <v>0</v>
      </c>
      <c r="I287" s="63"/>
      <c r="J287" s="194"/>
      <c r="K287" s="194"/>
      <c r="L287" s="195"/>
      <c r="M287" s="194"/>
      <c r="N287" s="194"/>
      <c r="O287" s="194"/>
      <c r="P287" s="194"/>
      <c r="Q287" s="194"/>
      <c r="R287" s="194"/>
    </row>
    <row r="288" spans="1:18" ht="16.5" hidden="1" customHeight="1">
      <c r="A288" s="115" t="s">
        <v>2403</v>
      </c>
      <c r="B288" s="116" t="s">
        <v>2404</v>
      </c>
      <c r="C288" s="117" t="s">
        <v>249</v>
      </c>
      <c r="D288" s="120">
        <v>530</v>
      </c>
      <c r="E288" s="119"/>
      <c r="F288" s="119"/>
      <c r="G288" s="119"/>
      <c r="H288" s="193">
        <f>IF(G288&lt;&gt;0,ROUND(G288*F288,0), )</f>
        <v>0</v>
      </c>
      <c r="I288" s="63"/>
      <c r="J288" s="194"/>
      <c r="K288" s="194"/>
      <c r="L288" s="195"/>
      <c r="M288" s="194"/>
      <c r="N288" s="194"/>
      <c r="O288" s="194"/>
      <c r="P288" s="194"/>
      <c r="Q288" s="194"/>
      <c r="R288" s="194"/>
    </row>
    <row r="289" spans="1:18" ht="16.5" hidden="1" customHeight="1">
      <c r="A289" s="115" t="s">
        <v>2405</v>
      </c>
      <c r="B289" s="116" t="s">
        <v>2406</v>
      </c>
      <c r="C289" s="117" t="s">
        <v>2108</v>
      </c>
      <c r="D289" s="120">
        <v>1961</v>
      </c>
      <c r="E289" s="119"/>
      <c r="F289" s="119"/>
      <c r="G289" s="119"/>
      <c r="H289" s="193">
        <f>IF(G289&lt;&gt;0,ROUND(G289*F289,0), )</f>
        <v>0</v>
      </c>
      <c r="I289" s="63"/>
      <c r="J289" s="194"/>
      <c r="K289" s="194"/>
      <c r="L289" s="195"/>
      <c r="M289" s="194"/>
      <c r="N289" s="194"/>
      <c r="O289" s="194"/>
      <c r="P289" s="194"/>
      <c r="Q289" s="194"/>
      <c r="R289" s="194"/>
    </row>
    <row r="290" spans="1:18" ht="16.5" hidden="1" customHeight="1">
      <c r="A290" s="115" t="s">
        <v>800</v>
      </c>
      <c r="B290" s="116" t="s">
        <v>2407</v>
      </c>
      <c r="C290" s="117" t="s">
        <v>2108</v>
      </c>
      <c r="D290" s="120">
        <v>3433</v>
      </c>
      <c r="E290" s="119"/>
      <c r="F290" s="119"/>
      <c r="G290" s="119"/>
      <c r="H290" s="193">
        <f>IF(G290&lt;&gt;0,ROUND(G290*F290,0), )</f>
        <v>0</v>
      </c>
      <c r="I290" s="63"/>
      <c r="J290" s="194"/>
      <c r="K290" s="194"/>
      <c r="L290" s="195"/>
      <c r="M290" s="194"/>
      <c r="N290" s="194"/>
      <c r="O290" s="194"/>
      <c r="P290" s="194"/>
      <c r="Q290" s="194"/>
      <c r="R290" s="194"/>
    </row>
    <row r="291" spans="1:18" ht="16.5" hidden="1" customHeight="1">
      <c r="A291" s="115"/>
      <c r="B291" s="116"/>
      <c r="C291" s="117"/>
      <c r="D291" s="120"/>
      <c r="E291" s="119"/>
      <c r="F291" s="119"/>
      <c r="G291" s="119"/>
      <c r="H291" s="193"/>
      <c r="I291" s="63"/>
      <c r="J291" s="194"/>
      <c r="K291" s="194"/>
      <c r="L291" s="195"/>
      <c r="M291" s="194"/>
      <c r="N291" s="194"/>
      <c r="O291" s="194"/>
      <c r="P291" s="194"/>
      <c r="Q291" s="194"/>
      <c r="R291" s="194"/>
    </row>
    <row r="292" spans="1:18" ht="16.5" hidden="1" customHeight="1">
      <c r="A292" s="115" t="s">
        <v>2408</v>
      </c>
      <c r="B292" s="116" t="s">
        <v>2409</v>
      </c>
      <c r="C292" s="117" t="s">
        <v>237</v>
      </c>
      <c r="D292" s="120">
        <v>138</v>
      </c>
      <c r="E292" s="119"/>
      <c r="F292" s="119"/>
      <c r="G292" s="119"/>
      <c r="H292" s="193">
        <v>52902</v>
      </c>
      <c r="I292" s="63"/>
      <c r="J292" s="194"/>
      <c r="K292" s="194"/>
      <c r="L292" s="195"/>
      <c r="M292" s="194"/>
      <c r="N292" s="194"/>
      <c r="O292" s="194"/>
      <c r="P292" s="194"/>
      <c r="Q292" s="194"/>
      <c r="R292" s="194"/>
    </row>
    <row r="293" spans="1:18" ht="16.5" hidden="1" customHeight="1">
      <c r="A293" s="115" t="s">
        <v>2410</v>
      </c>
      <c r="B293" s="116" t="s">
        <v>2411</v>
      </c>
      <c r="C293" s="117" t="s">
        <v>237</v>
      </c>
      <c r="D293" s="120">
        <v>413</v>
      </c>
      <c r="E293" s="119"/>
      <c r="F293" s="119"/>
      <c r="G293" s="119"/>
      <c r="H293" s="193">
        <v>41922</v>
      </c>
      <c r="I293" s="63"/>
      <c r="J293" s="194"/>
      <c r="K293" s="194"/>
      <c r="L293" s="195"/>
      <c r="M293" s="194"/>
      <c r="N293" s="194"/>
      <c r="O293" s="194"/>
      <c r="P293" s="194"/>
      <c r="Q293" s="194"/>
      <c r="R293" s="194"/>
    </row>
    <row r="294" spans="1:18" ht="16.5" hidden="1" customHeight="1">
      <c r="A294" s="115" t="s">
        <v>2412</v>
      </c>
      <c r="B294" s="116" t="s">
        <v>2413</v>
      </c>
      <c r="C294" s="117" t="s">
        <v>237</v>
      </c>
      <c r="D294" s="120">
        <v>413</v>
      </c>
      <c r="E294" s="119"/>
      <c r="F294" s="119"/>
      <c r="G294" s="119"/>
      <c r="H294" s="193">
        <f t="shared" ref="H294:H301" si="21">IF(G294&lt;&gt;0,ROUND(G294*F294,0), )</f>
        <v>0</v>
      </c>
      <c r="I294" s="63"/>
      <c r="J294" s="194"/>
      <c r="K294" s="194"/>
      <c r="L294" s="195"/>
      <c r="M294" s="194"/>
      <c r="N294" s="194"/>
      <c r="O294" s="194"/>
      <c r="P294" s="194"/>
      <c r="Q294" s="194"/>
      <c r="R294" s="194"/>
    </row>
    <row r="295" spans="1:18" ht="16.5" hidden="1" customHeight="1">
      <c r="A295" s="115" t="s">
        <v>2414</v>
      </c>
      <c r="B295" s="116" t="s">
        <v>2411</v>
      </c>
      <c r="C295" s="117" t="s">
        <v>237</v>
      </c>
      <c r="D295" s="120">
        <v>413</v>
      </c>
      <c r="E295" s="119"/>
      <c r="F295" s="119"/>
      <c r="G295" s="119"/>
      <c r="H295" s="193">
        <f t="shared" si="21"/>
        <v>0</v>
      </c>
      <c r="I295" s="63"/>
      <c r="J295" s="194"/>
      <c r="K295" s="194"/>
      <c r="L295" s="195"/>
      <c r="M295" s="194"/>
      <c r="N295" s="194"/>
      <c r="O295" s="194"/>
      <c r="P295" s="194"/>
      <c r="Q295" s="194"/>
      <c r="R295" s="194"/>
    </row>
    <row r="296" spans="1:18" ht="16.5" hidden="1" customHeight="1">
      <c r="A296" s="115" t="s">
        <v>2415</v>
      </c>
      <c r="B296" s="116" t="s">
        <v>2416</v>
      </c>
      <c r="C296" s="117" t="s">
        <v>237</v>
      </c>
      <c r="D296" s="120">
        <v>138</v>
      </c>
      <c r="E296" s="119"/>
      <c r="F296" s="119"/>
      <c r="G296" s="119"/>
      <c r="H296" s="193">
        <f t="shared" si="21"/>
        <v>0</v>
      </c>
      <c r="I296" s="63"/>
      <c r="J296" s="194"/>
      <c r="K296" s="194"/>
      <c r="L296" s="195"/>
      <c r="M296" s="194"/>
      <c r="N296" s="194"/>
      <c r="O296" s="194"/>
      <c r="P296" s="194"/>
      <c r="Q296" s="194"/>
      <c r="R296" s="194"/>
    </row>
    <row r="297" spans="1:18" ht="16.5" hidden="1" customHeight="1">
      <c r="A297" s="115" t="s">
        <v>2417</v>
      </c>
      <c r="B297" s="116" t="s">
        <v>2418</v>
      </c>
      <c r="C297" s="117" t="s">
        <v>237</v>
      </c>
      <c r="D297" s="120">
        <v>138</v>
      </c>
      <c r="E297" s="119"/>
      <c r="F297" s="119"/>
      <c r="G297" s="119"/>
      <c r="H297" s="193">
        <f t="shared" si="21"/>
        <v>0</v>
      </c>
      <c r="I297" s="63"/>
      <c r="J297" s="194"/>
      <c r="K297" s="194"/>
      <c r="L297" s="195"/>
      <c r="M297" s="194"/>
      <c r="N297" s="194"/>
      <c r="O297" s="194"/>
      <c r="P297" s="194"/>
      <c r="Q297" s="194"/>
      <c r="R297" s="194"/>
    </row>
    <row r="298" spans="1:18" ht="16.5" hidden="1" customHeight="1">
      <c r="A298" s="115" t="s">
        <v>2419</v>
      </c>
      <c r="B298" s="116" t="s">
        <v>2420</v>
      </c>
      <c r="C298" s="117" t="s">
        <v>237</v>
      </c>
      <c r="D298" s="120">
        <v>138</v>
      </c>
      <c r="E298" s="119"/>
      <c r="F298" s="119"/>
      <c r="G298" s="119"/>
      <c r="H298" s="193">
        <f t="shared" si="21"/>
        <v>0</v>
      </c>
      <c r="I298" s="63"/>
      <c r="J298" s="194"/>
      <c r="K298" s="194"/>
      <c r="L298" s="195"/>
      <c r="M298" s="194"/>
      <c r="N298" s="194"/>
      <c r="O298" s="194"/>
      <c r="P298" s="194"/>
      <c r="Q298" s="194"/>
      <c r="R298" s="194"/>
    </row>
    <row r="299" spans="1:18" ht="16.5" hidden="1" customHeight="1">
      <c r="A299" s="115" t="s">
        <v>2421</v>
      </c>
      <c r="B299" s="116" t="s">
        <v>2422</v>
      </c>
      <c r="C299" s="117" t="s">
        <v>237</v>
      </c>
      <c r="D299" s="120">
        <v>138</v>
      </c>
      <c r="E299" s="119"/>
      <c r="F299" s="119"/>
      <c r="G299" s="119"/>
      <c r="H299" s="193">
        <f>IF(G299&lt;&gt;0,ROUND(G299*F299,0), )</f>
        <v>0</v>
      </c>
      <c r="I299" s="63"/>
      <c r="J299" s="194"/>
      <c r="K299" s="194"/>
      <c r="L299" s="195"/>
      <c r="M299" s="194"/>
      <c r="N299" s="194"/>
      <c r="O299" s="194"/>
      <c r="P299" s="194"/>
      <c r="Q299" s="194"/>
      <c r="R299" s="194"/>
    </row>
    <row r="300" spans="1:18" ht="16.5" hidden="1" customHeight="1">
      <c r="A300" s="115" t="s">
        <v>2423</v>
      </c>
      <c r="B300" s="116" t="s">
        <v>2424</v>
      </c>
      <c r="C300" s="117" t="s">
        <v>237</v>
      </c>
      <c r="D300" s="120">
        <v>138</v>
      </c>
      <c r="E300" s="119"/>
      <c r="F300" s="119"/>
      <c r="G300" s="119"/>
      <c r="H300" s="193">
        <f t="shared" si="21"/>
        <v>0</v>
      </c>
      <c r="I300" s="63"/>
      <c r="J300" s="194"/>
      <c r="K300" s="194"/>
      <c r="L300" s="195"/>
      <c r="M300" s="194"/>
      <c r="N300" s="194"/>
      <c r="O300" s="194"/>
      <c r="P300" s="194"/>
      <c r="Q300" s="194"/>
      <c r="R300" s="194"/>
    </row>
    <row r="301" spans="1:18" ht="16.5" hidden="1" customHeight="1">
      <c r="A301" s="115" t="s">
        <v>2425</v>
      </c>
      <c r="B301" s="116" t="s">
        <v>2426</v>
      </c>
      <c r="C301" s="117" t="s">
        <v>237</v>
      </c>
      <c r="D301" s="120">
        <v>138</v>
      </c>
      <c r="E301" s="119"/>
      <c r="F301" s="119"/>
      <c r="G301" s="119"/>
      <c r="H301" s="193">
        <f t="shared" si="21"/>
        <v>0</v>
      </c>
      <c r="I301" s="63"/>
      <c r="J301" s="194"/>
      <c r="K301" s="194"/>
      <c r="L301" s="195"/>
      <c r="M301" s="194"/>
      <c r="N301" s="194"/>
      <c r="O301" s="194"/>
      <c r="P301" s="194"/>
      <c r="Q301" s="194"/>
      <c r="R301" s="194"/>
    </row>
    <row r="302" spans="1:18" ht="16.5" hidden="1" customHeight="1">
      <c r="A302" s="115"/>
      <c r="B302" s="116"/>
      <c r="C302" s="117"/>
      <c r="D302" s="120"/>
      <c r="E302" s="119"/>
      <c r="F302" s="119"/>
      <c r="G302" s="119"/>
      <c r="H302" s="193"/>
      <c r="I302" s="63"/>
      <c r="J302" s="194"/>
      <c r="K302" s="194"/>
      <c r="L302" s="195"/>
      <c r="M302" s="194"/>
      <c r="N302" s="194"/>
      <c r="O302" s="194"/>
      <c r="P302" s="194"/>
      <c r="Q302" s="194"/>
      <c r="R302" s="194"/>
    </row>
    <row r="303" spans="1:18" ht="16.5" hidden="1" customHeight="1">
      <c r="A303" s="121" t="s">
        <v>2427</v>
      </c>
      <c r="B303" s="116" t="s">
        <v>2428</v>
      </c>
      <c r="C303" s="117" t="s">
        <v>178</v>
      </c>
      <c r="D303" s="120">
        <v>2888</v>
      </c>
      <c r="E303" s="119"/>
      <c r="F303" s="119"/>
      <c r="G303" s="119"/>
      <c r="H303" s="193">
        <f t="shared" ref="H303:H309" si="22">IF(G303&lt;&gt;0,ROUND(G303*F303,0), )</f>
        <v>0</v>
      </c>
      <c r="I303" s="63"/>
      <c r="J303" s="194"/>
      <c r="K303" s="194"/>
      <c r="L303" s="195"/>
      <c r="M303" s="194"/>
      <c r="N303" s="194"/>
      <c r="O303" s="194"/>
      <c r="P303" s="194"/>
      <c r="Q303" s="194"/>
      <c r="R303" s="194"/>
    </row>
    <row r="304" spans="1:18" ht="16.5" hidden="1" customHeight="1">
      <c r="A304" s="115" t="s">
        <v>2429</v>
      </c>
      <c r="B304" s="116" t="s">
        <v>2430</v>
      </c>
      <c r="C304" s="117" t="s">
        <v>178</v>
      </c>
      <c r="D304" s="120">
        <v>2888</v>
      </c>
      <c r="E304" s="119"/>
      <c r="F304" s="119"/>
      <c r="G304" s="119"/>
      <c r="H304" s="193">
        <f t="shared" si="22"/>
        <v>0</v>
      </c>
      <c r="I304" s="63"/>
      <c r="J304" s="194"/>
      <c r="K304" s="194"/>
      <c r="L304" s="195"/>
      <c r="M304" s="194"/>
      <c r="N304" s="194"/>
      <c r="O304" s="194"/>
      <c r="P304" s="194"/>
      <c r="Q304" s="194"/>
      <c r="R304" s="194"/>
    </row>
    <row r="305" spans="1:18" ht="16.5" hidden="1" customHeight="1">
      <c r="A305" s="115" t="s">
        <v>2431</v>
      </c>
      <c r="B305" s="116" t="s">
        <v>2432</v>
      </c>
      <c r="C305" s="117" t="s">
        <v>178</v>
      </c>
      <c r="D305" s="120">
        <v>2970</v>
      </c>
      <c r="E305" s="119"/>
      <c r="F305" s="119"/>
      <c r="G305" s="119"/>
      <c r="H305" s="193">
        <f t="shared" si="22"/>
        <v>0</v>
      </c>
      <c r="I305" s="63"/>
      <c r="J305" s="194"/>
      <c r="K305" s="194"/>
      <c r="L305" s="195"/>
      <c r="M305" s="194"/>
      <c r="N305" s="194"/>
      <c r="O305" s="194"/>
      <c r="P305" s="194"/>
      <c r="Q305" s="194"/>
      <c r="R305" s="194"/>
    </row>
    <row r="306" spans="1:18" ht="16.5" hidden="1" customHeight="1">
      <c r="A306" s="115" t="s">
        <v>2433</v>
      </c>
      <c r="B306" s="116" t="s">
        <v>2434</v>
      </c>
      <c r="C306" s="117" t="s">
        <v>178</v>
      </c>
      <c r="D306" s="120">
        <v>3205</v>
      </c>
      <c r="E306" s="119"/>
      <c r="F306" s="119"/>
      <c r="G306" s="119"/>
      <c r="H306" s="193">
        <f t="shared" si="22"/>
        <v>0</v>
      </c>
      <c r="I306" s="63"/>
      <c r="J306" s="194"/>
      <c r="K306" s="194"/>
      <c r="L306" s="195"/>
      <c r="M306" s="194"/>
      <c r="N306" s="194"/>
      <c r="O306" s="194"/>
      <c r="P306" s="194"/>
      <c r="Q306" s="194"/>
      <c r="R306" s="194"/>
    </row>
    <row r="307" spans="1:18" s="150" customFormat="1" ht="16.5" customHeight="1">
      <c r="A307" s="199" t="s">
        <v>177</v>
      </c>
      <c r="B307" s="200" t="s">
        <v>256</v>
      </c>
      <c r="C307" s="201" t="s">
        <v>178</v>
      </c>
      <c r="D307" s="202">
        <v>315</v>
      </c>
      <c r="E307" s="127"/>
      <c r="F307" s="127"/>
      <c r="G307" s="127"/>
      <c r="H307" s="203">
        <v>13915</v>
      </c>
      <c r="I307" s="122"/>
      <c r="J307" s="204"/>
      <c r="K307" s="122"/>
      <c r="L307" s="123"/>
      <c r="M307" s="124"/>
      <c r="N307" s="124"/>
      <c r="O307" s="124"/>
      <c r="P307" s="124"/>
      <c r="Q307" s="204"/>
      <c r="R307" s="204"/>
    </row>
    <row r="308" spans="1:18" ht="16.5" hidden="1" customHeight="1">
      <c r="A308" s="115" t="s">
        <v>2435</v>
      </c>
      <c r="B308" s="116" t="s">
        <v>2436</v>
      </c>
      <c r="C308" s="117" t="s">
        <v>178</v>
      </c>
      <c r="D308" s="120">
        <v>2888</v>
      </c>
      <c r="E308" s="119"/>
      <c r="F308" s="119"/>
      <c r="G308" s="119"/>
      <c r="H308" s="193">
        <f t="shared" si="22"/>
        <v>0</v>
      </c>
      <c r="I308" s="63"/>
      <c r="J308" s="194"/>
      <c r="K308" s="194"/>
      <c r="L308" s="195"/>
      <c r="M308" s="194"/>
      <c r="N308" s="194"/>
      <c r="O308" s="194"/>
      <c r="P308" s="194"/>
      <c r="Q308" s="194"/>
      <c r="R308" s="194"/>
    </row>
    <row r="309" spans="1:18" ht="16.5" hidden="1" customHeight="1">
      <c r="A309" s="115" t="s">
        <v>2437</v>
      </c>
      <c r="B309" s="116" t="s">
        <v>2438</v>
      </c>
      <c r="C309" s="117" t="s">
        <v>178</v>
      </c>
      <c r="D309" s="120">
        <v>2970</v>
      </c>
      <c r="E309" s="119"/>
      <c r="F309" s="119"/>
      <c r="G309" s="119"/>
      <c r="H309" s="193">
        <f t="shared" si="22"/>
        <v>0</v>
      </c>
      <c r="I309" s="63"/>
      <c r="J309" s="194"/>
      <c r="K309" s="194"/>
      <c r="L309" s="195"/>
      <c r="M309" s="194"/>
      <c r="N309" s="194"/>
      <c r="O309" s="194"/>
      <c r="P309" s="194"/>
      <c r="Q309" s="194"/>
      <c r="R309" s="194"/>
    </row>
    <row r="310" spans="1:18" ht="16.5" hidden="1" customHeight="1">
      <c r="A310" s="115" t="s">
        <v>2439</v>
      </c>
      <c r="B310" s="116" t="s">
        <v>2440</v>
      </c>
      <c r="C310" s="117" t="s">
        <v>178</v>
      </c>
      <c r="D310" s="120">
        <v>2970</v>
      </c>
      <c r="E310" s="119"/>
      <c r="F310" s="119"/>
      <c r="G310" s="119"/>
      <c r="H310" s="193">
        <f>IF(G310&lt;&gt;0,ROUND(G310*F310,0), )</f>
        <v>0</v>
      </c>
      <c r="I310" s="63"/>
      <c r="J310" s="194"/>
      <c r="K310" s="194"/>
      <c r="L310" s="195"/>
      <c r="M310" s="194"/>
      <c r="N310" s="194"/>
      <c r="O310" s="194"/>
      <c r="P310" s="194"/>
      <c r="Q310" s="194"/>
      <c r="R310" s="194"/>
    </row>
    <row r="311" spans="1:18" ht="16.5" hidden="1" customHeight="1">
      <c r="A311" s="115"/>
      <c r="B311" s="116"/>
      <c r="C311" s="117"/>
      <c r="D311" s="120"/>
      <c r="E311" s="119"/>
      <c r="F311" s="119"/>
      <c r="G311" s="119"/>
      <c r="H311" s="193"/>
      <c r="I311" s="63"/>
      <c r="J311" s="194"/>
      <c r="K311" s="194"/>
      <c r="L311" s="195"/>
      <c r="M311" s="194"/>
      <c r="N311" s="194"/>
      <c r="O311" s="194"/>
      <c r="P311" s="194"/>
      <c r="Q311" s="194"/>
      <c r="R311" s="194"/>
    </row>
    <row r="312" spans="1:18" ht="16.5" hidden="1" customHeight="1">
      <c r="A312" s="115" t="s">
        <v>817</v>
      </c>
      <c r="B312" s="116" t="s">
        <v>2441</v>
      </c>
      <c r="C312" s="117" t="s">
        <v>2442</v>
      </c>
      <c r="D312" s="120">
        <v>3138</v>
      </c>
      <c r="E312" s="119"/>
      <c r="F312" s="119"/>
      <c r="G312" s="119"/>
      <c r="H312" s="193">
        <f t="shared" ref="H312:H317" si="23">IF(G312&lt;&gt;0,ROUND(G312*F312,0), )</f>
        <v>0</v>
      </c>
      <c r="I312" s="63">
        <f t="shared" ref="I312:I321" si="24">+J312*$I$4</f>
        <v>5475.96</v>
      </c>
      <c r="J312" s="194">
        <v>3690</v>
      </c>
      <c r="K312" s="194"/>
      <c r="L312" s="195"/>
      <c r="M312" s="194"/>
      <c r="N312" s="194"/>
      <c r="O312" s="194"/>
      <c r="P312" s="194"/>
      <c r="Q312" s="194"/>
      <c r="R312" s="194"/>
    </row>
    <row r="313" spans="1:18" ht="16.5" hidden="1" customHeight="1">
      <c r="A313" s="115" t="s">
        <v>819</v>
      </c>
      <c r="B313" s="116" t="s">
        <v>2443</v>
      </c>
      <c r="C313" s="117" t="s">
        <v>2442</v>
      </c>
      <c r="D313" s="120">
        <v>3275</v>
      </c>
      <c r="E313" s="119"/>
      <c r="F313" s="119"/>
      <c r="G313" s="119"/>
      <c r="H313" s="193">
        <f t="shared" si="23"/>
        <v>0</v>
      </c>
      <c r="I313" s="63">
        <f t="shared" si="24"/>
        <v>5475.96</v>
      </c>
      <c r="J313" s="194">
        <v>3690</v>
      </c>
      <c r="K313" s="194"/>
      <c r="L313" s="195"/>
      <c r="M313" s="194"/>
      <c r="N313" s="194"/>
      <c r="O313" s="194"/>
      <c r="P313" s="194"/>
      <c r="Q313" s="194"/>
      <c r="R313" s="194"/>
    </row>
    <row r="314" spans="1:18" ht="16.5" hidden="1" customHeight="1">
      <c r="A314" s="115" t="s">
        <v>821</v>
      </c>
      <c r="B314" s="116" t="s">
        <v>2444</v>
      </c>
      <c r="C314" s="117" t="s">
        <v>2442</v>
      </c>
      <c r="D314" s="120">
        <v>3413</v>
      </c>
      <c r="E314" s="119"/>
      <c r="F314" s="119"/>
      <c r="G314" s="119"/>
      <c r="H314" s="193">
        <f t="shared" si="23"/>
        <v>0</v>
      </c>
      <c r="I314" s="63">
        <f t="shared" si="24"/>
        <v>5475.96</v>
      </c>
      <c r="J314" s="194">
        <v>3690</v>
      </c>
      <c r="K314" s="194"/>
      <c r="L314" s="195"/>
      <c r="M314" s="194"/>
      <c r="N314" s="194"/>
      <c r="O314" s="194"/>
      <c r="P314" s="194"/>
      <c r="Q314" s="194"/>
      <c r="R314" s="194"/>
    </row>
    <row r="315" spans="1:18" ht="16.5" hidden="1" customHeight="1">
      <c r="A315" s="121" t="s">
        <v>2445</v>
      </c>
      <c r="B315" s="116" t="s">
        <v>2446</v>
      </c>
      <c r="C315" s="117" t="s">
        <v>2442</v>
      </c>
      <c r="D315" s="120">
        <v>3495</v>
      </c>
      <c r="E315" s="119"/>
      <c r="F315" s="72"/>
      <c r="G315" s="119"/>
      <c r="H315" s="193">
        <f t="shared" si="23"/>
        <v>0</v>
      </c>
      <c r="I315" s="63">
        <f t="shared" si="24"/>
        <v>5475.96</v>
      </c>
      <c r="J315" s="194">
        <v>3690</v>
      </c>
      <c r="K315" s="194"/>
      <c r="L315" s="195"/>
      <c r="M315" s="194"/>
      <c r="N315" s="194"/>
      <c r="O315" s="194"/>
      <c r="P315" s="194"/>
      <c r="Q315" s="194"/>
      <c r="R315" s="194"/>
    </row>
    <row r="316" spans="1:18" ht="16.5" hidden="1" customHeight="1">
      <c r="A316" s="121" t="s">
        <v>2447</v>
      </c>
      <c r="B316" s="116" t="s">
        <v>2448</v>
      </c>
      <c r="C316" s="117" t="s">
        <v>2442</v>
      </c>
      <c r="D316" s="120">
        <v>3605</v>
      </c>
      <c r="E316" s="119"/>
      <c r="F316" s="72"/>
      <c r="G316" s="119"/>
      <c r="H316" s="193">
        <f t="shared" si="23"/>
        <v>0</v>
      </c>
      <c r="I316" s="63">
        <f t="shared" si="24"/>
        <v>5475.96</v>
      </c>
      <c r="J316" s="194">
        <v>3690</v>
      </c>
      <c r="K316" s="194"/>
      <c r="L316" s="195"/>
      <c r="M316" s="194"/>
      <c r="N316" s="194"/>
      <c r="O316" s="194"/>
      <c r="P316" s="194"/>
      <c r="Q316" s="194"/>
      <c r="R316" s="194"/>
    </row>
    <row r="317" spans="1:18" ht="16.5" hidden="1" customHeight="1">
      <c r="A317" s="121" t="s">
        <v>2449</v>
      </c>
      <c r="B317" s="116" t="s">
        <v>2450</v>
      </c>
      <c r="C317" s="117" t="s">
        <v>2442</v>
      </c>
      <c r="D317" s="120">
        <v>3688</v>
      </c>
      <c r="E317" s="119"/>
      <c r="F317" s="72"/>
      <c r="G317" s="119"/>
      <c r="H317" s="193">
        <f t="shared" si="23"/>
        <v>0</v>
      </c>
      <c r="I317" s="63">
        <f t="shared" si="24"/>
        <v>5475.96</v>
      </c>
      <c r="J317" s="194">
        <v>3690</v>
      </c>
      <c r="K317" s="194"/>
      <c r="L317" s="195"/>
      <c r="M317" s="194"/>
      <c r="N317" s="194"/>
      <c r="O317" s="194"/>
      <c r="P317" s="194"/>
      <c r="Q317" s="194"/>
      <c r="R317" s="194"/>
    </row>
    <row r="318" spans="1:18" ht="16.5" hidden="1" customHeight="1">
      <c r="A318" s="115"/>
      <c r="B318" s="116"/>
      <c r="C318" s="117"/>
      <c r="D318" s="120"/>
      <c r="E318" s="119"/>
      <c r="F318" s="119"/>
      <c r="G318" s="119"/>
      <c r="H318" s="193"/>
      <c r="I318" s="63"/>
      <c r="J318" s="194"/>
      <c r="K318" s="194"/>
      <c r="L318" s="195"/>
      <c r="M318" s="194"/>
      <c r="N318" s="194"/>
      <c r="O318" s="194"/>
      <c r="P318" s="194"/>
      <c r="Q318" s="194"/>
      <c r="R318" s="194"/>
    </row>
    <row r="319" spans="1:18" ht="16.5" hidden="1" customHeight="1">
      <c r="A319" s="121" t="s">
        <v>2451</v>
      </c>
      <c r="B319" s="116" t="s">
        <v>2452</v>
      </c>
      <c r="C319" s="117" t="s">
        <v>2453</v>
      </c>
      <c r="D319" s="120">
        <v>704</v>
      </c>
      <c r="E319" s="119"/>
      <c r="F319" s="72"/>
      <c r="G319" s="119"/>
      <c r="H319" s="193">
        <f>IF(G319&lt;&gt;0,ROUND(G319*F319,0), )</f>
        <v>0</v>
      </c>
      <c r="I319" s="63"/>
      <c r="J319" s="194"/>
      <c r="K319" s="194"/>
      <c r="L319" s="195"/>
      <c r="M319" s="194"/>
      <c r="N319" s="194"/>
      <c r="O319" s="194"/>
      <c r="P319" s="194"/>
      <c r="Q319" s="194"/>
      <c r="R319" s="194"/>
    </row>
    <row r="320" spans="1:18" ht="16.5" hidden="1" customHeight="1">
      <c r="A320" s="121" t="s">
        <v>2454</v>
      </c>
      <c r="B320" s="116" t="s">
        <v>2455</v>
      </c>
      <c r="C320" s="117" t="s">
        <v>2453</v>
      </c>
      <c r="D320" s="120">
        <v>704</v>
      </c>
      <c r="E320" s="119"/>
      <c r="F320" s="72"/>
      <c r="G320" s="119"/>
      <c r="H320" s="193">
        <f>IF(G320&lt;&gt;0,ROUND(G320*F320,0), )</f>
        <v>0</v>
      </c>
      <c r="I320" s="63"/>
      <c r="J320" s="194"/>
      <c r="K320" s="194"/>
      <c r="L320" s="195"/>
      <c r="M320" s="194"/>
      <c r="N320" s="194"/>
      <c r="O320" s="194"/>
      <c r="P320" s="194"/>
      <c r="Q320" s="194"/>
      <c r="R320" s="194"/>
    </row>
    <row r="321" spans="1:18" ht="16.5" hidden="1" customHeight="1">
      <c r="A321" s="121" t="s">
        <v>2456</v>
      </c>
      <c r="B321" s="116" t="s">
        <v>2457</v>
      </c>
      <c r="C321" s="117" t="s">
        <v>2442</v>
      </c>
      <c r="D321" s="120">
        <v>926</v>
      </c>
      <c r="E321" s="119"/>
      <c r="F321" s="72"/>
      <c r="G321" s="119"/>
      <c r="H321" s="193">
        <f>IF(G321&lt;&gt;0,ROUND(G321*F321,0), )</f>
        <v>0</v>
      </c>
      <c r="I321" s="63">
        <f t="shared" si="24"/>
        <v>12168.8</v>
      </c>
      <c r="J321" s="194">
        <v>8200</v>
      </c>
      <c r="K321" s="194"/>
      <c r="L321" s="195"/>
      <c r="M321" s="194"/>
      <c r="N321" s="194"/>
      <c r="O321" s="194"/>
      <c r="P321" s="194"/>
      <c r="Q321" s="194"/>
      <c r="R321" s="194"/>
    </row>
    <row r="322" spans="1:18" ht="16.5" hidden="1" customHeight="1">
      <c r="A322" s="115"/>
      <c r="B322" s="116"/>
      <c r="C322" s="117"/>
      <c r="D322" s="120"/>
      <c r="E322" s="119"/>
      <c r="F322" s="119"/>
      <c r="G322" s="119"/>
      <c r="H322" s="193"/>
      <c r="I322" s="63"/>
      <c r="J322" s="194"/>
      <c r="K322" s="194"/>
      <c r="L322" s="195"/>
      <c r="M322" s="194"/>
      <c r="N322" s="194"/>
      <c r="O322" s="194"/>
      <c r="P322" s="194"/>
      <c r="Q322" s="194"/>
      <c r="R322" s="194"/>
    </row>
    <row r="323" spans="1:18" ht="16.5" hidden="1" customHeight="1">
      <c r="A323" s="121" t="s">
        <v>2458</v>
      </c>
      <c r="B323" s="116" t="s">
        <v>2459</v>
      </c>
      <c r="C323" s="117" t="s">
        <v>174</v>
      </c>
      <c r="D323" s="120"/>
      <c r="E323" s="119"/>
      <c r="F323" s="72"/>
      <c r="G323" s="119"/>
      <c r="H323" s="193">
        <f>IF(G323&lt;&gt;0,ROUND(G323*F323,0), )</f>
        <v>0</v>
      </c>
      <c r="I323" s="63"/>
      <c r="J323" s="194"/>
      <c r="K323" s="194"/>
      <c r="L323" s="195"/>
      <c r="M323" s="194"/>
      <c r="N323" s="194"/>
      <c r="O323" s="194"/>
      <c r="P323" s="194"/>
      <c r="Q323" s="194"/>
      <c r="R323" s="194"/>
    </row>
    <row r="324" spans="1:18" s="150" customFormat="1" ht="16.5" customHeight="1">
      <c r="A324" s="206" t="s">
        <v>175</v>
      </c>
      <c r="B324" s="200" t="s">
        <v>2460</v>
      </c>
      <c r="C324" s="201" t="s">
        <v>174</v>
      </c>
      <c r="D324" s="202"/>
      <c r="E324" s="127"/>
      <c r="F324" s="205"/>
      <c r="G324" s="127"/>
      <c r="H324" s="203">
        <v>2821962</v>
      </c>
      <c r="I324" s="122"/>
      <c r="J324" s="204"/>
      <c r="K324" s="204"/>
      <c r="L324" s="207"/>
      <c r="M324" s="204"/>
      <c r="N324" s="204"/>
      <c r="O324" s="204"/>
      <c r="P324" s="204"/>
      <c r="Q324" s="204"/>
      <c r="R324" s="204"/>
    </row>
    <row r="325" spans="1:18" ht="16.5" hidden="1" customHeight="1">
      <c r="A325" s="121" t="s">
        <v>1535</v>
      </c>
      <c r="B325" s="116" t="s">
        <v>2461</v>
      </c>
      <c r="C325" s="117" t="s">
        <v>2442</v>
      </c>
      <c r="D325" s="120">
        <v>8000</v>
      </c>
      <c r="E325" s="119"/>
      <c r="F325" s="72"/>
      <c r="G325" s="119"/>
      <c r="H325" s="193">
        <f>IF(G325&lt;&gt;0,ROUND(G325*F325,0), )</f>
        <v>0</v>
      </c>
      <c r="I325" s="63"/>
      <c r="J325" s="194"/>
      <c r="K325" s="194"/>
      <c r="L325" s="195"/>
      <c r="M325" s="194"/>
      <c r="N325" s="194"/>
      <c r="O325" s="194"/>
      <c r="P325" s="194"/>
      <c r="Q325" s="194"/>
      <c r="R325" s="194"/>
    </row>
    <row r="326" spans="1:18" ht="16.5" hidden="1" customHeight="1">
      <c r="A326" s="121" t="s">
        <v>2462</v>
      </c>
      <c r="B326" s="116" t="s">
        <v>2463</v>
      </c>
      <c r="C326" s="117" t="s">
        <v>2442</v>
      </c>
      <c r="D326" s="120">
        <v>8000</v>
      </c>
      <c r="E326" s="119"/>
      <c r="F326" s="72"/>
      <c r="G326" s="119"/>
      <c r="H326" s="193">
        <f>IF(G326&lt;&gt;0,ROUND(G326*F326,0), )</f>
        <v>0</v>
      </c>
      <c r="I326" s="63"/>
      <c r="J326" s="194"/>
      <c r="K326" s="194"/>
      <c r="L326" s="195"/>
      <c r="M326" s="194"/>
      <c r="N326" s="194"/>
      <c r="O326" s="194"/>
      <c r="P326" s="194"/>
      <c r="Q326" s="194"/>
      <c r="R326" s="194"/>
    </row>
    <row r="327" spans="1:18" ht="16.5" hidden="1" customHeight="1">
      <c r="A327" s="121" t="s">
        <v>2464</v>
      </c>
      <c r="B327" s="116" t="s">
        <v>2465</v>
      </c>
      <c r="C327" s="117" t="s">
        <v>2442</v>
      </c>
      <c r="D327" s="120">
        <v>8000</v>
      </c>
      <c r="E327" s="119"/>
      <c r="F327" s="72"/>
      <c r="G327" s="119"/>
      <c r="H327" s="185">
        <f>IF(G327&lt;&gt;0,ROUND(G327*F327,0), )</f>
        <v>0</v>
      </c>
      <c r="I327" s="63"/>
      <c r="J327" s="66"/>
      <c r="K327" s="66"/>
      <c r="L327" s="65"/>
      <c r="M327" s="66"/>
      <c r="N327" s="66"/>
      <c r="O327" s="66"/>
      <c r="P327" s="66"/>
      <c r="Q327" s="66"/>
      <c r="R327" s="66"/>
    </row>
    <row r="328" spans="1:18" ht="16.5" hidden="1" customHeight="1">
      <c r="A328" s="121"/>
      <c r="B328" s="116"/>
      <c r="C328" s="117"/>
      <c r="D328" s="120"/>
      <c r="E328" s="119"/>
      <c r="F328" s="72"/>
      <c r="G328" s="119"/>
      <c r="H328" s="193"/>
      <c r="I328" s="63"/>
      <c r="J328" s="194"/>
      <c r="K328" s="194"/>
      <c r="L328" s="195"/>
      <c r="M328" s="194"/>
      <c r="N328" s="194"/>
      <c r="O328" s="194"/>
      <c r="P328" s="194"/>
      <c r="Q328" s="194"/>
      <c r="R328" s="194"/>
    </row>
    <row r="329" spans="1:18" s="150" customFormat="1" ht="16.5" customHeight="1">
      <c r="A329" s="206" t="s">
        <v>173</v>
      </c>
      <c r="B329" s="200" t="s">
        <v>2466</v>
      </c>
      <c r="C329" s="201" t="s">
        <v>174</v>
      </c>
      <c r="D329" s="202">
        <v>24679</v>
      </c>
      <c r="E329" s="127"/>
      <c r="F329" s="205"/>
      <c r="G329" s="127"/>
      <c r="H329" s="203">
        <v>3202683</v>
      </c>
      <c r="I329" s="122"/>
      <c r="J329" s="204"/>
      <c r="K329" s="204"/>
      <c r="L329" s="207"/>
      <c r="M329" s="204"/>
      <c r="N329" s="204"/>
      <c r="O329" s="204"/>
      <c r="P329" s="204"/>
      <c r="Q329" s="204"/>
      <c r="R329" s="204"/>
    </row>
    <row r="330" spans="1:18" ht="16.5" hidden="1" customHeight="1">
      <c r="A330" s="121" t="s">
        <v>2467</v>
      </c>
      <c r="B330" s="116" t="s">
        <v>2468</v>
      </c>
      <c r="C330" s="117" t="s">
        <v>174</v>
      </c>
      <c r="D330" s="120">
        <v>85212</v>
      </c>
      <c r="E330" s="119"/>
      <c r="F330" s="72"/>
      <c r="G330" s="119"/>
      <c r="H330" s="193">
        <f>IF(G330&lt;&gt;0,ROUND(G330*F330,0), )</f>
        <v>0</v>
      </c>
      <c r="I330" s="63">
        <f>+J330*$I$4</f>
        <v>206188.44399999999</v>
      </c>
      <c r="J330" s="194">
        <v>138941</v>
      </c>
      <c r="K330" s="194"/>
      <c r="L330" s="195"/>
      <c r="M330" s="194"/>
      <c r="N330" s="194"/>
      <c r="O330" s="194"/>
      <c r="P330" s="194"/>
      <c r="Q330" s="194"/>
      <c r="R330" s="194"/>
    </row>
    <row r="331" spans="1:18" ht="16.5" hidden="1" customHeight="1">
      <c r="A331" s="121" t="s">
        <v>2469</v>
      </c>
      <c r="B331" s="116" t="s">
        <v>2470</v>
      </c>
      <c r="C331" s="117" t="s">
        <v>174</v>
      </c>
      <c r="D331" s="120">
        <v>18160</v>
      </c>
      <c r="E331" s="119"/>
      <c r="F331" s="72"/>
      <c r="G331" s="119"/>
      <c r="H331" s="193">
        <f>IF(G331&lt;&gt;0,ROUND(G331*F331,0), )</f>
        <v>0</v>
      </c>
      <c r="I331" s="63"/>
      <c r="J331" s="194"/>
      <c r="K331" s="194"/>
      <c r="L331" s="195"/>
      <c r="M331" s="194"/>
      <c r="N331" s="194"/>
      <c r="O331" s="194"/>
      <c r="P331" s="194"/>
      <c r="Q331" s="194"/>
      <c r="R331" s="194"/>
    </row>
    <row r="332" spans="1:18" ht="16.5" hidden="1" customHeight="1">
      <c r="A332" s="121" t="s">
        <v>2471</v>
      </c>
      <c r="B332" s="116" t="s">
        <v>2472</v>
      </c>
      <c r="C332" s="117" t="s">
        <v>142</v>
      </c>
      <c r="D332" s="120">
        <v>15893</v>
      </c>
      <c r="E332" s="119"/>
      <c r="F332" s="72"/>
      <c r="G332" s="119"/>
      <c r="H332" s="193">
        <f>IF(G332&lt;&gt;0,ROUND(G332*F332,0), )</f>
        <v>0</v>
      </c>
      <c r="I332" s="63">
        <f>+J332*$I$4</f>
        <v>312444.32799999998</v>
      </c>
      <c r="J332" s="194">
        <v>210542</v>
      </c>
      <c r="K332" s="194"/>
      <c r="L332" s="195"/>
      <c r="M332" s="194"/>
      <c r="N332" s="194"/>
      <c r="O332" s="194"/>
      <c r="P332" s="194"/>
      <c r="Q332" s="194"/>
      <c r="R332" s="194"/>
    </row>
    <row r="333" spans="1:18" ht="16.5" hidden="1" customHeight="1">
      <c r="A333" s="121" t="s">
        <v>2473</v>
      </c>
      <c r="B333" s="116" t="s">
        <v>2474</v>
      </c>
      <c r="C333" s="117" t="s">
        <v>142</v>
      </c>
      <c r="D333" s="120">
        <v>15893</v>
      </c>
      <c r="E333" s="119"/>
      <c r="F333" s="72"/>
      <c r="G333" s="119"/>
      <c r="H333" s="193">
        <f>IF(G333&lt;&gt;0,ROUND(G333*F333,0), )</f>
        <v>0</v>
      </c>
      <c r="I333" s="63">
        <f>+J333*$I$4</f>
        <v>156222.16399999999</v>
      </c>
      <c r="J333" s="194">
        <v>105271</v>
      </c>
      <c r="K333" s="194"/>
      <c r="L333" s="195"/>
      <c r="M333" s="194"/>
      <c r="N333" s="194"/>
      <c r="O333" s="194"/>
      <c r="P333" s="194"/>
      <c r="Q333" s="194"/>
      <c r="R333" s="194"/>
    </row>
    <row r="334" spans="1:18" ht="16.5" hidden="1" customHeight="1">
      <c r="A334" s="121" t="s">
        <v>2475</v>
      </c>
      <c r="B334" s="116" t="s">
        <v>2476</v>
      </c>
      <c r="C334" s="117" t="s">
        <v>174</v>
      </c>
      <c r="D334" s="120">
        <v>14080</v>
      </c>
      <c r="E334" s="119"/>
      <c r="F334" s="72"/>
      <c r="G334" s="119"/>
      <c r="H334" s="193">
        <f>IF(G334&lt;&gt;0,ROUND(G334*F334,0), )</f>
        <v>0</v>
      </c>
      <c r="I334" s="63"/>
      <c r="J334" s="194"/>
      <c r="K334" s="194"/>
      <c r="L334" s="195"/>
      <c r="M334" s="194"/>
      <c r="N334" s="194"/>
      <c r="O334" s="194"/>
      <c r="P334" s="194"/>
      <c r="Q334" s="194"/>
      <c r="R334" s="194"/>
    </row>
    <row r="335" spans="1:18" ht="16.5" hidden="1" customHeight="1">
      <c r="A335" s="121"/>
      <c r="B335" s="116"/>
      <c r="C335" s="117"/>
      <c r="D335" s="120"/>
      <c r="E335" s="119"/>
      <c r="F335" s="72"/>
      <c r="G335" s="119"/>
      <c r="H335" s="193"/>
      <c r="I335" s="63"/>
      <c r="J335" s="194"/>
      <c r="K335" s="194"/>
      <c r="L335" s="195"/>
      <c r="M335" s="194"/>
      <c r="N335" s="194"/>
      <c r="O335" s="194"/>
      <c r="P335" s="194"/>
      <c r="Q335" s="194"/>
      <c r="R335" s="194"/>
    </row>
    <row r="336" spans="1:18" ht="16.5" hidden="1" customHeight="1">
      <c r="A336" s="121" t="s">
        <v>2477</v>
      </c>
      <c r="B336" s="116" t="s">
        <v>2478</v>
      </c>
      <c r="C336" s="117" t="s">
        <v>168</v>
      </c>
      <c r="D336" s="120">
        <v>69573</v>
      </c>
      <c r="E336" s="119"/>
      <c r="F336" s="72"/>
      <c r="G336" s="119"/>
      <c r="H336" s="193">
        <f>IF(G336&lt;&gt;0,ROUND(G336*F336,0), )</f>
        <v>0</v>
      </c>
      <c r="I336" s="63">
        <f>+K336</f>
        <v>0</v>
      </c>
      <c r="J336" s="194">
        <v>55839</v>
      </c>
      <c r="K336" s="194"/>
      <c r="L336" s="195"/>
      <c r="M336" s="194"/>
      <c r="N336" s="194"/>
      <c r="O336" s="194"/>
      <c r="P336" s="194"/>
      <c r="Q336" s="194"/>
      <c r="R336" s="194"/>
    </row>
    <row r="337" spans="1:18" ht="16.5" hidden="1" customHeight="1">
      <c r="A337" s="121" t="s">
        <v>2479</v>
      </c>
      <c r="B337" s="116" t="s">
        <v>2480</v>
      </c>
      <c r="C337" s="117" t="s">
        <v>168</v>
      </c>
      <c r="D337" s="120">
        <v>70299</v>
      </c>
      <c r="E337" s="119"/>
      <c r="F337" s="72"/>
      <c r="G337" s="119"/>
      <c r="H337" s="193">
        <f>IF(G337&lt;&gt;0,ROUND(G337*F337,0), )</f>
        <v>0</v>
      </c>
      <c r="I337" s="63">
        <f>+K337</f>
        <v>0</v>
      </c>
      <c r="J337" s="194">
        <v>55839</v>
      </c>
      <c r="K337" s="194"/>
      <c r="L337" s="195"/>
      <c r="M337" s="194"/>
      <c r="N337" s="194"/>
      <c r="O337" s="194"/>
      <c r="P337" s="194"/>
      <c r="Q337" s="194"/>
      <c r="R337" s="194"/>
    </row>
    <row r="338" spans="1:18" ht="16.5" hidden="1" customHeight="1">
      <c r="A338" s="121" t="s">
        <v>2481</v>
      </c>
      <c r="B338" s="116" t="s">
        <v>2482</v>
      </c>
      <c r="C338" s="117" t="s">
        <v>168</v>
      </c>
      <c r="D338" s="120">
        <v>69573</v>
      </c>
      <c r="E338" s="119"/>
      <c r="F338" s="72"/>
      <c r="G338" s="119"/>
      <c r="H338" s="193">
        <f>IF(G338&lt;&gt;0,ROUND(G338*F338,0), )</f>
        <v>0</v>
      </c>
      <c r="I338" s="63">
        <f>+K338</f>
        <v>0</v>
      </c>
      <c r="J338" s="194">
        <v>55839</v>
      </c>
      <c r="K338" s="194"/>
      <c r="L338" s="195"/>
      <c r="M338" s="194"/>
      <c r="N338" s="194"/>
      <c r="O338" s="194"/>
      <c r="P338" s="194"/>
      <c r="Q338" s="194"/>
      <c r="R338" s="194"/>
    </row>
    <row r="339" spans="1:18" ht="16.5" hidden="1" customHeight="1">
      <c r="A339" s="121" t="s">
        <v>2483</v>
      </c>
      <c r="B339" s="116" t="s">
        <v>2484</v>
      </c>
      <c r="C339" s="117" t="s">
        <v>168</v>
      </c>
      <c r="D339" s="120">
        <v>68289</v>
      </c>
      <c r="E339" s="119"/>
      <c r="F339" s="72"/>
      <c r="G339" s="119"/>
      <c r="H339" s="193">
        <f>IF(G339&lt;&gt;0,ROUND(G339*F339,0), )</f>
        <v>0</v>
      </c>
      <c r="I339" s="63"/>
      <c r="J339" s="194"/>
      <c r="K339" s="194"/>
      <c r="L339" s="195"/>
      <c r="M339" s="194"/>
      <c r="N339" s="194"/>
      <c r="O339" s="194"/>
      <c r="P339" s="194"/>
      <c r="Q339" s="194"/>
      <c r="R339" s="194"/>
    </row>
    <row r="340" spans="1:18" ht="16.5" hidden="1" customHeight="1">
      <c r="A340" s="121" t="s">
        <v>2485</v>
      </c>
      <c r="B340" s="116" t="s">
        <v>2486</v>
      </c>
      <c r="C340" s="117" t="s">
        <v>168</v>
      </c>
      <c r="D340" s="120">
        <v>28289</v>
      </c>
      <c r="E340" s="119"/>
      <c r="F340" s="72"/>
      <c r="G340" s="119"/>
      <c r="H340" s="193">
        <f>IF(G340&lt;&gt;0,ROUND(G340*F340,0), )</f>
        <v>0</v>
      </c>
      <c r="I340" s="63">
        <f>+J340*$I$4</f>
        <v>254100.86799999999</v>
      </c>
      <c r="J340" s="194">
        <v>171227</v>
      </c>
      <c r="K340" s="194"/>
      <c r="L340" s="195"/>
      <c r="M340" s="194"/>
      <c r="N340" s="194"/>
      <c r="O340" s="194"/>
      <c r="P340" s="194"/>
      <c r="Q340" s="194"/>
      <c r="R340" s="194"/>
    </row>
    <row r="341" spans="1:18" ht="16.5" hidden="1" customHeight="1">
      <c r="A341" s="121"/>
      <c r="B341" s="116"/>
      <c r="C341" s="117"/>
      <c r="D341" s="120"/>
      <c r="E341" s="119"/>
      <c r="F341" s="72"/>
      <c r="G341" s="119"/>
      <c r="H341" s="193"/>
      <c r="I341" s="63"/>
      <c r="J341" s="194"/>
      <c r="K341" s="194"/>
      <c r="L341" s="195"/>
      <c r="M341" s="194"/>
      <c r="N341" s="194"/>
      <c r="O341" s="194"/>
      <c r="P341" s="194"/>
      <c r="Q341" s="194"/>
      <c r="R341" s="194"/>
    </row>
    <row r="342" spans="1:18" s="150" customFormat="1" ht="16.5" customHeight="1">
      <c r="A342" s="206" t="s">
        <v>166</v>
      </c>
      <c r="B342" s="200" t="s">
        <v>167</v>
      </c>
      <c r="C342" s="201" t="s">
        <v>168</v>
      </c>
      <c r="D342" s="202">
        <v>88030</v>
      </c>
      <c r="E342" s="127"/>
      <c r="F342" s="205"/>
      <c r="G342" s="127"/>
      <c r="H342" s="203">
        <v>759000</v>
      </c>
      <c r="I342" s="122"/>
      <c r="J342" s="204"/>
      <c r="K342" s="204"/>
      <c r="L342" s="207"/>
      <c r="M342" s="204"/>
      <c r="N342" s="204"/>
      <c r="O342" s="204"/>
      <c r="P342" s="204"/>
      <c r="Q342" s="204"/>
      <c r="R342" s="204"/>
    </row>
    <row r="343" spans="1:18" ht="16.5" hidden="1" customHeight="1">
      <c r="A343" s="121" t="s">
        <v>169</v>
      </c>
      <c r="B343" s="116" t="s">
        <v>170</v>
      </c>
      <c r="C343" s="117" t="s">
        <v>168</v>
      </c>
      <c r="D343" s="120">
        <v>70299</v>
      </c>
      <c r="E343" s="119"/>
      <c r="F343" s="72"/>
      <c r="G343" s="119"/>
      <c r="H343" s="185">
        <f>IF(G343&lt;&gt;0,ROUND(G343*F343,0), )</f>
        <v>0</v>
      </c>
      <c r="I343" s="63"/>
      <c r="J343" s="66"/>
      <c r="K343" s="66"/>
      <c r="L343" s="65"/>
      <c r="M343" s="66"/>
      <c r="N343" s="66"/>
      <c r="O343" s="66"/>
      <c r="P343" s="66"/>
      <c r="Q343" s="66"/>
      <c r="R343" s="66"/>
    </row>
    <row r="344" spans="1:18" ht="16.5" hidden="1" customHeight="1">
      <c r="A344" s="121" t="s">
        <v>2487</v>
      </c>
      <c r="B344" s="116" t="s">
        <v>2488</v>
      </c>
      <c r="C344" s="117" t="s">
        <v>168</v>
      </c>
      <c r="D344" s="120">
        <v>69573</v>
      </c>
      <c r="E344" s="119"/>
      <c r="F344" s="72"/>
      <c r="G344" s="119"/>
      <c r="H344" s="193">
        <f>IF(G344&lt;&gt;0,ROUND(G344*F344,0), )</f>
        <v>0</v>
      </c>
      <c r="I344" s="63"/>
      <c r="J344" s="194"/>
      <c r="K344" s="194"/>
      <c r="L344" s="195"/>
      <c r="M344" s="194"/>
      <c r="N344" s="194"/>
      <c r="O344" s="194"/>
      <c r="P344" s="194"/>
      <c r="Q344" s="194"/>
      <c r="R344" s="194"/>
    </row>
    <row r="345" spans="1:18" ht="16.5" hidden="1" customHeight="1">
      <c r="A345" s="121" t="s">
        <v>2489</v>
      </c>
      <c r="B345" s="116" t="s">
        <v>2490</v>
      </c>
      <c r="C345" s="117" t="s">
        <v>168</v>
      </c>
      <c r="D345" s="120">
        <v>68289</v>
      </c>
      <c r="E345" s="119"/>
      <c r="F345" s="72"/>
      <c r="G345" s="119"/>
      <c r="H345" s="193">
        <f>IF(G345&lt;&gt;0,ROUND(G345*F345,0), )</f>
        <v>0</v>
      </c>
      <c r="I345" s="63"/>
      <c r="J345" s="194"/>
      <c r="K345" s="194"/>
      <c r="L345" s="195"/>
      <c r="M345" s="194"/>
      <c r="N345" s="194"/>
      <c r="O345" s="194"/>
      <c r="P345" s="194"/>
      <c r="Q345" s="194"/>
      <c r="R345" s="194"/>
    </row>
    <row r="346" spans="1:18" ht="16.5" hidden="1" customHeight="1">
      <c r="A346" s="121" t="s">
        <v>2491</v>
      </c>
      <c r="B346" s="116" t="s">
        <v>2492</v>
      </c>
      <c r="C346" s="117" t="s">
        <v>168</v>
      </c>
      <c r="D346" s="120">
        <v>28289</v>
      </c>
      <c r="E346" s="119"/>
      <c r="F346" s="72"/>
      <c r="G346" s="119"/>
      <c r="H346" s="193">
        <f>IF(G346&lt;&gt;0,ROUND(G346*F346,0), )</f>
        <v>0</v>
      </c>
      <c r="I346" s="63"/>
      <c r="J346" s="194"/>
      <c r="K346" s="194"/>
      <c r="L346" s="195"/>
      <c r="M346" s="194"/>
      <c r="N346" s="194"/>
      <c r="O346" s="194"/>
      <c r="P346" s="194"/>
      <c r="Q346" s="194"/>
      <c r="R346" s="194"/>
    </row>
    <row r="347" spans="1:18" ht="16.5" hidden="1" customHeight="1">
      <c r="A347" s="121"/>
      <c r="B347" s="116"/>
      <c r="C347" s="117"/>
      <c r="D347" s="120"/>
      <c r="E347" s="119"/>
      <c r="F347" s="72"/>
      <c r="G347" s="119"/>
      <c r="H347" s="193"/>
      <c r="I347" s="63"/>
      <c r="J347" s="194"/>
      <c r="K347" s="194"/>
      <c r="L347" s="195"/>
      <c r="M347" s="194"/>
      <c r="N347" s="194"/>
      <c r="O347" s="194"/>
      <c r="P347" s="194"/>
      <c r="Q347" s="194"/>
      <c r="R347" s="194"/>
    </row>
    <row r="348" spans="1:18" ht="16.5" hidden="1" customHeight="1">
      <c r="A348" s="121" t="s">
        <v>2493</v>
      </c>
      <c r="B348" s="116" t="s">
        <v>2494</v>
      </c>
      <c r="C348" s="117" t="s">
        <v>168</v>
      </c>
      <c r="D348" s="120">
        <v>5005</v>
      </c>
      <c r="E348" s="119"/>
      <c r="F348" s="72"/>
      <c r="G348" s="119"/>
      <c r="H348" s="193">
        <f t="shared" ref="H348:H354" si="25">IF(G348&lt;&gt;0,ROUND(G348*F348,0), )</f>
        <v>0</v>
      </c>
      <c r="I348" s="63">
        <f t="shared" ref="I348:I353" si="26">+K348</f>
        <v>0</v>
      </c>
      <c r="J348" s="194">
        <v>55839</v>
      </c>
      <c r="K348" s="194"/>
      <c r="L348" s="195"/>
      <c r="M348" s="194"/>
      <c r="N348" s="194"/>
      <c r="O348" s="194"/>
      <c r="P348" s="194"/>
      <c r="Q348" s="194"/>
      <c r="R348" s="194"/>
    </row>
    <row r="349" spans="1:18" ht="16.5" hidden="1" customHeight="1">
      <c r="A349" s="121" t="s">
        <v>2495</v>
      </c>
      <c r="B349" s="116" t="s">
        <v>2496</v>
      </c>
      <c r="C349" s="117" t="s">
        <v>168</v>
      </c>
      <c r="D349" s="120">
        <v>7733</v>
      </c>
      <c r="E349" s="119"/>
      <c r="F349" s="72"/>
      <c r="G349" s="119"/>
      <c r="H349" s="193">
        <f t="shared" si="25"/>
        <v>0</v>
      </c>
      <c r="I349" s="63">
        <f t="shared" si="26"/>
        <v>0</v>
      </c>
      <c r="J349" s="194">
        <v>55839</v>
      </c>
      <c r="K349" s="194"/>
      <c r="L349" s="195"/>
      <c r="M349" s="194"/>
      <c r="N349" s="194"/>
      <c r="O349" s="194"/>
      <c r="P349" s="194"/>
      <c r="Q349" s="194"/>
      <c r="R349" s="194"/>
    </row>
    <row r="350" spans="1:18" ht="16.5" hidden="1" customHeight="1">
      <c r="A350" s="121" t="s">
        <v>2497</v>
      </c>
      <c r="B350" s="116" t="s">
        <v>2498</v>
      </c>
      <c r="C350" s="117" t="s">
        <v>168</v>
      </c>
      <c r="D350" s="120">
        <v>4730</v>
      </c>
      <c r="E350" s="119"/>
      <c r="F350" s="72"/>
      <c r="G350" s="119"/>
      <c r="H350" s="193">
        <f t="shared" si="25"/>
        <v>0</v>
      </c>
      <c r="I350" s="63">
        <f t="shared" si="26"/>
        <v>0</v>
      </c>
      <c r="J350" s="194">
        <v>69799</v>
      </c>
      <c r="K350" s="194"/>
      <c r="L350" s="195"/>
      <c r="M350" s="194"/>
      <c r="N350" s="194"/>
      <c r="O350" s="194"/>
      <c r="P350" s="194"/>
      <c r="Q350" s="194"/>
      <c r="R350" s="194"/>
    </row>
    <row r="351" spans="1:18" ht="16.5" hidden="1" customHeight="1">
      <c r="A351" s="121" t="s">
        <v>2499</v>
      </c>
      <c r="B351" s="116" t="s">
        <v>2500</v>
      </c>
      <c r="C351" s="117" t="s">
        <v>168</v>
      </c>
      <c r="D351" s="120">
        <v>4730</v>
      </c>
      <c r="E351" s="119"/>
      <c r="F351" s="72"/>
      <c r="G351" s="119"/>
      <c r="H351" s="193">
        <f t="shared" si="25"/>
        <v>0</v>
      </c>
      <c r="I351" s="63">
        <f t="shared" si="26"/>
        <v>0</v>
      </c>
      <c r="J351" s="194">
        <v>69799</v>
      </c>
      <c r="K351" s="194"/>
      <c r="L351" s="195"/>
      <c r="M351" s="194"/>
      <c r="N351" s="194"/>
      <c r="O351" s="194"/>
      <c r="P351" s="194"/>
      <c r="Q351" s="194"/>
      <c r="R351" s="194"/>
    </row>
    <row r="352" spans="1:18" ht="16.5" hidden="1" customHeight="1">
      <c r="A352" s="121" t="s">
        <v>2501</v>
      </c>
      <c r="B352" s="116" t="s">
        <v>2502</v>
      </c>
      <c r="C352" s="117" t="s">
        <v>168</v>
      </c>
      <c r="D352" s="120">
        <v>4730</v>
      </c>
      <c r="E352" s="119"/>
      <c r="F352" s="72"/>
      <c r="G352" s="119"/>
      <c r="H352" s="185">
        <f t="shared" si="25"/>
        <v>0</v>
      </c>
      <c r="I352" s="63">
        <f t="shared" si="26"/>
        <v>0</v>
      </c>
      <c r="J352" s="66">
        <v>69799</v>
      </c>
      <c r="K352" s="66"/>
      <c r="L352" s="65"/>
      <c r="M352" s="66"/>
      <c r="N352" s="66"/>
      <c r="O352" s="66"/>
      <c r="P352" s="66"/>
      <c r="Q352" s="66"/>
      <c r="R352" s="66"/>
    </row>
    <row r="353" spans="1:18" ht="16.5" hidden="1" customHeight="1">
      <c r="A353" s="121" t="s">
        <v>2503</v>
      </c>
      <c r="B353" s="116" t="s">
        <v>2504</v>
      </c>
      <c r="C353" s="117" t="s">
        <v>168</v>
      </c>
      <c r="D353" s="120">
        <v>4730</v>
      </c>
      <c r="E353" s="119"/>
      <c r="F353" s="72"/>
      <c r="G353" s="119"/>
      <c r="H353" s="193">
        <f t="shared" si="25"/>
        <v>0</v>
      </c>
      <c r="I353" s="63">
        <f t="shared" si="26"/>
        <v>0</v>
      </c>
      <c r="J353" s="194">
        <v>69799</v>
      </c>
      <c r="K353" s="194"/>
      <c r="L353" s="195"/>
      <c r="M353" s="194"/>
      <c r="N353" s="194"/>
      <c r="O353" s="194"/>
      <c r="P353" s="194"/>
      <c r="Q353" s="194"/>
      <c r="R353" s="194"/>
    </row>
    <row r="354" spans="1:18" ht="16.5" hidden="1" customHeight="1">
      <c r="A354" s="121" t="s">
        <v>2505</v>
      </c>
      <c r="B354" s="116" t="s">
        <v>2506</v>
      </c>
      <c r="C354" s="117" t="s">
        <v>168</v>
      </c>
      <c r="D354" s="120">
        <v>4730</v>
      </c>
      <c r="E354" s="119"/>
      <c r="F354" s="72"/>
      <c r="G354" s="119"/>
      <c r="H354" s="193">
        <f t="shared" si="25"/>
        <v>0</v>
      </c>
      <c r="I354" s="63">
        <f>+K354</f>
        <v>0</v>
      </c>
      <c r="J354" s="194">
        <v>69799</v>
      </c>
      <c r="K354" s="194"/>
      <c r="L354" s="195"/>
      <c r="M354" s="194"/>
      <c r="N354" s="194"/>
      <c r="O354" s="194"/>
      <c r="P354" s="194"/>
      <c r="Q354" s="194"/>
      <c r="R354" s="194"/>
    </row>
    <row r="355" spans="1:18" ht="16.5" hidden="1" customHeight="1">
      <c r="A355" s="121"/>
      <c r="B355" s="116"/>
      <c r="C355" s="117"/>
      <c r="D355" s="120"/>
      <c r="E355" s="119"/>
      <c r="F355" s="72"/>
      <c r="G355" s="119"/>
      <c r="H355" s="193"/>
      <c r="I355" s="63"/>
      <c r="J355" s="194"/>
      <c r="K355" s="194"/>
      <c r="L355" s="195"/>
      <c r="M355" s="194"/>
      <c r="N355" s="194"/>
      <c r="O355" s="194"/>
      <c r="P355" s="194"/>
      <c r="Q355" s="194"/>
      <c r="R355" s="194"/>
    </row>
    <row r="356" spans="1:18" ht="16.5" hidden="1" customHeight="1">
      <c r="A356" s="115" t="s">
        <v>2507</v>
      </c>
      <c r="B356" s="116" t="s">
        <v>2508</v>
      </c>
      <c r="C356" s="117" t="s">
        <v>139</v>
      </c>
      <c r="D356" s="120">
        <v>1102</v>
      </c>
      <c r="E356" s="119"/>
      <c r="F356" s="72"/>
      <c r="G356" s="119"/>
      <c r="H356" s="193">
        <v>129796</v>
      </c>
      <c r="I356" s="63"/>
      <c r="J356" s="194"/>
      <c r="K356" s="194"/>
      <c r="L356" s="195"/>
      <c r="M356" s="194"/>
      <c r="N356" s="194"/>
      <c r="O356" s="194"/>
      <c r="P356" s="194"/>
      <c r="Q356" s="194"/>
      <c r="R356" s="194"/>
    </row>
    <row r="357" spans="1:18" ht="16.5" hidden="1" customHeight="1">
      <c r="A357" s="115" t="s">
        <v>2509</v>
      </c>
      <c r="B357" s="116" t="s">
        <v>2510</v>
      </c>
      <c r="C357" s="117" t="s">
        <v>139</v>
      </c>
      <c r="D357" s="120">
        <v>926</v>
      </c>
      <c r="E357" s="119"/>
      <c r="F357" s="72"/>
      <c r="G357" s="119"/>
      <c r="H357" s="193">
        <v>43265</v>
      </c>
      <c r="I357" s="63"/>
      <c r="J357" s="194"/>
      <c r="K357" s="194"/>
      <c r="L357" s="195"/>
      <c r="M357" s="194"/>
      <c r="N357" s="194"/>
      <c r="O357" s="194"/>
      <c r="P357" s="194"/>
      <c r="Q357" s="194"/>
      <c r="R357" s="194"/>
    </row>
    <row r="358" spans="1:18" ht="16.5" hidden="1" customHeight="1">
      <c r="A358" s="115" t="s">
        <v>2511</v>
      </c>
      <c r="B358" s="116" t="s">
        <v>2512</v>
      </c>
      <c r="C358" s="117" t="s">
        <v>139</v>
      </c>
      <c r="D358" s="120">
        <v>838</v>
      </c>
      <c r="E358" s="119"/>
      <c r="F358" s="72"/>
      <c r="G358" s="119"/>
      <c r="H358" s="193">
        <v>12980</v>
      </c>
      <c r="I358" s="63"/>
      <c r="J358" s="194"/>
      <c r="K358" s="194"/>
      <c r="L358" s="195"/>
      <c r="M358" s="194"/>
      <c r="N358" s="194"/>
      <c r="O358" s="194"/>
      <c r="P358" s="194"/>
      <c r="Q358" s="194"/>
      <c r="R358" s="194"/>
    </row>
    <row r="359" spans="1:18" ht="16.5" hidden="1" customHeight="1">
      <c r="A359" s="115" t="s">
        <v>2513</v>
      </c>
      <c r="B359" s="116" t="s">
        <v>2514</v>
      </c>
      <c r="C359" s="117" t="s">
        <v>139</v>
      </c>
      <c r="D359" s="120">
        <v>926</v>
      </c>
      <c r="E359" s="119"/>
      <c r="F359" s="72"/>
      <c r="G359" s="119"/>
      <c r="H359" s="193">
        <v>43265</v>
      </c>
      <c r="I359" s="63"/>
      <c r="J359" s="194"/>
      <c r="K359" s="194"/>
      <c r="L359" s="195"/>
      <c r="M359" s="194"/>
      <c r="N359" s="194"/>
      <c r="O359" s="194"/>
      <c r="P359" s="194"/>
      <c r="Q359" s="194"/>
      <c r="R359" s="194"/>
    </row>
    <row r="360" spans="1:18" ht="16.5" hidden="1" customHeight="1">
      <c r="A360" s="115" t="s">
        <v>2515</v>
      </c>
      <c r="B360" s="116" t="s">
        <v>2516</v>
      </c>
      <c r="C360" s="117" t="s">
        <v>139</v>
      </c>
      <c r="D360" s="120">
        <v>926</v>
      </c>
      <c r="E360" s="119"/>
      <c r="F360" s="72"/>
      <c r="G360" s="119"/>
      <c r="H360" s="193">
        <v>32446</v>
      </c>
      <c r="I360" s="63"/>
      <c r="J360" s="194"/>
      <c r="K360" s="194"/>
      <c r="L360" s="195"/>
      <c r="M360" s="194"/>
      <c r="N360" s="194"/>
      <c r="O360" s="194"/>
      <c r="P360" s="194"/>
      <c r="Q360" s="194"/>
      <c r="R360" s="194"/>
    </row>
    <row r="361" spans="1:18" ht="16.5" hidden="1" customHeight="1">
      <c r="A361" s="115" t="s">
        <v>2517</v>
      </c>
      <c r="B361" s="116" t="s">
        <v>2518</v>
      </c>
      <c r="C361" s="117" t="s">
        <v>139</v>
      </c>
      <c r="D361" s="120">
        <v>518</v>
      </c>
      <c r="E361" s="119"/>
      <c r="F361" s="72"/>
      <c r="G361" s="119"/>
      <c r="H361" s="193">
        <v>23796</v>
      </c>
      <c r="I361" s="63"/>
      <c r="J361" s="194"/>
      <c r="K361" s="194"/>
      <c r="L361" s="195"/>
      <c r="M361" s="194"/>
      <c r="N361" s="194"/>
      <c r="O361" s="194"/>
      <c r="P361" s="194"/>
      <c r="Q361" s="194"/>
      <c r="R361" s="194"/>
    </row>
    <row r="362" spans="1:18" ht="16.5" hidden="1" customHeight="1">
      <c r="A362" s="121"/>
      <c r="B362" s="116"/>
      <c r="C362" s="117"/>
      <c r="D362" s="120"/>
      <c r="E362" s="119"/>
      <c r="F362" s="72"/>
      <c r="G362" s="119"/>
      <c r="H362" s="193"/>
      <c r="I362" s="63"/>
      <c r="J362" s="194"/>
      <c r="K362" s="194"/>
      <c r="L362" s="195"/>
      <c r="M362" s="194"/>
      <c r="N362" s="194"/>
      <c r="O362" s="194"/>
      <c r="P362" s="194"/>
      <c r="Q362" s="194"/>
      <c r="R362" s="194"/>
    </row>
    <row r="363" spans="1:18" ht="16.5" hidden="1" customHeight="1">
      <c r="A363" s="115" t="s">
        <v>2519</v>
      </c>
      <c r="B363" s="116" t="s">
        <v>2520</v>
      </c>
      <c r="C363" s="117" t="s">
        <v>139</v>
      </c>
      <c r="D363" s="120">
        <v>1275</v>
      </c>
      <c r="E363" s="119"/>
      <c r="F363" s="72"/>
      <c r="G363" s="119"/>
      <c r="H363" s="193">
        <v>162245</v>
      </c>
      <c r="I363" s="63">
        <f>+J363*$I$4</f>
        <v>214044.74</v>
      </c>
      <c r="J363" s="194">
        <v>144235</v>
      </c>
      <c r="K363" s="194"/>
      <c r="L363" s="195"/>
      <c r="M363" s="194"/>
      <c r="N363" s="194"/>
      <c r="O363" s="194"/>
      <c r="P363" s="194"/>
      <c r="Q363" s="194"/>
      <c r="R363" s="194"/>
    </row>
    <row r="364" spans="1:18" ht="16.5" hidden="1" customHeight="1">
      <c r="A364" s="115" t="s">
        <v>2521</v>
      </c>
      <c r="B364" s="116" t="s">
        <v>2522</v>
      </c>
      <c r="C364" s="117" t="s">
        <v>139</v>
      </c>
      <c r="D364" s="120">
        <v>663</v>
      </c>
      <c r="E364" s="119"/>
      <c r="F364" s="72"/>
      <c r="G364" s="119"/>
      <c r="H364" s="193">
        <v>21633</v>
      </c>
      <c r="I364" s="63"/>
      <c r="J364" s="194"/>
      <c r="K364" s="194"/>
      <c r="L364" s="195"/>
      <c r="M364" s="194"/>
      <c r="N364" s="194"/>
      <c r="O364" s="194"/>
      <c r="P364" s="194"/>
      <c r="Q364" s="194"/>
      <c r="R364" s="194"/>
    </row>
    <row r="365" spans="1:18" ht="16.5" hidden="1" customHeight="1">
      <c r="A365" s="115" t="s">
        <v>2523</v>
      </c>
      <c r="B365" s="116" t="s">
        <v>2524</v>
      </c>
      <c r="C365" s="117" t="s">
        <v>139</v>
      </c>
      <c r="D365" s="120">
        <v>536</v>
      </c>
      <c r="E365" s="119"/>
      <c r="F365" s="72"/>
      <c r="G365" s="119"/>
      <c r="H365" s="193">
        <v>10816</v>
      </c>
      <c r="I365" s="63"/>
      <c r="J365" s="194"/>
      <c r="K365" s="194"/>
      <c r="L365" s="195"/>
      <c r="M365" s="194"/>
      <c r="N365" s="194"/>
      <c r="O365" s="194"/>
      <c r="P365" s="194"/>
      <c r="Q365" s="194"/>
      <c r="R365" s="194"/>
    </row>
    <row r="366" spans="1:18" ht="16.5" hidden="1" customHeight="1">
      <c r="A366" s="115" t="s">
        <v>2525</v>
      </c>
      <c r="B366" s="116" t="s">
        <v>2526</v>
      </c>
      <c r="C366" s="117" t="s">
        <v>139</v>
      </c>
      <c r="D366" s="120">
        <v>663</v>
      </c>
      <c r="E366" s="119"/>
      <c r="F366" s="72"/>
      <c r="G366" s="119"/>
      <c r="H366" s="193">
        <v>32449</v>
      </c>
      <c r="I366" s="63"/>
      <c r="J366" s="194"/>
      <c r="K366" s="194"/>
      <c r="L366" s="195"/>
      <c r="M366" s="194"/>
      <c r="N366" s="194"/>
      <c r="O366" s="194"/>
      <c r="P366" s="194"/>
      <c r="Q366" s="194"/>
      <c r="R366" s="194"/>
    </row>
    <row r="367" spans="1:18" ht="16.5" hidden="1" customHeight="1">
      <c r="A367" s="115" t="s">
        <v>2527</v>
      </c>
      <c r="B367" s="116" t="s">
        <v>2528</v>
      </c>
      <c r="C367" s="117" t="s">
        <v>139</v>
      </c>
      <c r="D367" s="120">
        <v>663</v>
      </c>
      <c r="E367" s="119"/>
      <c r="F367" s="72"/>
      <c r="G367" s="119"/>
      <c r="H367" s="193">
        <v>21633</v>
      </c>
      <c r="I367" s="63"/>
      <c r="J367" s="194"/>
      <c r="K367" s="194"/>
      <c r="L367" s="195"/>
      <c r="M367" s="194"/>
      <c r="N367" s="194"/>
      <c r="O367" s="194"/>
      <c r="P367" s="194"/>
      <c r="Q367" s="194"/>
      <c r="R367" s="194"/>
    </row>
    <row r="368" spans="1:18" ht="16.5" hidden="1" customHeight="1">
      <c r="A368" s="121"/>
      <c r="B368" s="116"/>
      <c r="C368" s="117"/>
      <c r="D368" s="120"/>
      <c r="E368" s="119"/>
      <c r="F368" s="72"/>
      <c r="G368" s="119"/>
      <c r="H368" s="193"/>
      <c r="I368" s="63"/>
      <c r="J368" s="194"/>
      <c r="K368" s="194"/>
      <c r="L368" s="195"/>
      <c r="M368" s="194"/>
      <c r="N368" s="194"/>
      <c r="O368" s="194"/>
      <c r="P368" s="194"/>
      <c r="Q368" s="194"/>
      <c r="R368" s="194"/>
    </row>
    <row r="369" spans="1:18" ht="16.5" hidden="1" customHeight="1">
      <c r="A369" s="121" t="s">
        <v>2529</v>
      </c>
      <c r="B369" s="116" t="s">
        <v>2530</v>
      </c>
      <c r="C369" s="117" t="s">
        <v>2108</v>
      </c>
      <c r="D369" s="120">
        <v>125</v>
      </c>
      <c r="E369" s="119"/>
      <c r="F369" s="72"/>
      <c r="G369" s="119"/>
      <c r="H369" s="193">
        <f>IF(G369&lt;&gt;0,ROUND(G369*F369,0), )</f>
        <v>0</v>
      </c>
      <c r="I369" s="63"/>
      <c r="J369" s="194"/>
      <c r="K369" s="194"/>
      <c r="L369" s="195"/>
      <c r="M369" s="194"/>
      <c r="N369" s="194"/>
      <c r="O369" s="194"/>
      <c r="P369" s="194"/>
      <c r="Q369" s="194"/>
      <c r="R369" s="194"/>
    </row>
    <row r="370" spans="1:18" ht="16.5" hidden="1" customHeight="1">
      <c r="A370" s="121" t="s">
        <v>2531</v>
      </c>
      <c r="B370" s="116" t="s">
        <v>2532</v>
      </c>
      <c r="C370" s="117" t="s">
        <v>2108</v>
      </c>
      <c r="D370" s="120">
        <v>125</v>
      </c>
      <c r="E370" s="119"/>
      <c r="F370" s="72"/>
      <c r="G370" s="119"/>
      <c r="H370" s="193">
        <f>IF(G370&lt;&gt;0,ROUND(G370*F370,0), )</f>
        <v>0</v>
      </c>
      <c r="I370" s="63"/>
      <c r="J370" s="194"/>
      <c r="K370" s="194"/>
      <c r="L370" s="195"/>
      <c r="M370" s="194"/>
      <c r="N370" s="194"/>
      <c r="O370" s="194"/>
      <c r="P370" s="194"/>
      <c r="Q370" s="194"/>
      <c r="R370" s="194"/>
    </row>
    <row r="371" spans="1:18" ht="16.5" hidden="1" customHeight="1">
      <c r="A371" s="121" t="s">
        <v>2533</v>
      </c>
      <c r="B371" s="116" t="s">
        <v>2534</v>
      </c>
      <c r="C371" s="117" t="s">
        <v>2108</v>
      </c>
      <c r="D371" s="120">
        <v>125</v>
      </c>
      <c r="E371" s="119"/>
      <c r="F371" s="72"/>
      <c r="G371" s="119"/>
      <c r="H371" s="193">
        <f>IF(G371&lt;&gt;0,ROUND(G371*F371,0), )</f>
        <v>0</v>
      </c>
      <c r="I371" s="63"/>
      <c r="J371" s="194"/>
      <c r="K371" s="194"/>
      <c r="L371" s="195"/>
      <c r="M371" s="194"/>
      <c r="N371" s="194"/>
      <c r="O371" s="194"/>
      <c r="P371" s="194"/>
      <c r="Q371" s="194"/>
      <c r="R371" s="194"/>
    </row>
    <row r="372" spans="1:18" ht="16.5" hidden="1" customHeight="1">
      <c r="A372" s="121" t="s">
        <v>2535</v>
      </c>
      <c r="B372" s="116" t="s">
        <v>2536</v>
      </c>
      <c r="C372" s="117" t="s">
        <v>2108</v>
      </c>
      <c r="D372" s="120">
        <v>125</v>
      </c>
      <c r="E372" s="119"/>
      <c r="F372" s="72"/>
      <c r="G372" s="119"/>
      <c r="H372" s="193">
        <f>IF(G372&lt;&gt;0,ROUND(G372*F372,0), )</f>
        <v>0</v>
      </c>
      <c r="I372" s="63"/>
      <c r="J372" s="194"/>
      <c r="K372" s="194"/>
      <c r="L372" s="195"/>
      <c r="M372" s="194"/>
      <c r="N372" s="194"/>
      <c r="O372" s="194"/>
      <c r="P372" s="194"/>
      <c r="Q372" s="194"/>
      <c r="R372" s="194"/>
    </row>
    <row r="373" spans="1:18" ht="16.5" hidden="1" customHeight="1">
      <c r="A373" s="125"/>
      <c r="B373" s="126"/>
      <c r="C373" s="117" t="s">
        <v>274</v>
      </c>
      <c r="D373" s="118"/>
      <c r="E373" s="116"/>
      <c r="F373" s="116"/>
      <c r="G373" s="116"/>
      <c r="H373" s="193">
        <f t="shared" ref="H373:H436" si="27">IF(G373&lt;&gt;0,ROUND(G373*F373,0), )</f>
        <v>0</v>
      </c>
      <c r="I373" s="63"/>
      <c r="J373" s="194"/>
      <c r="K373" s="194"/>
      <c r="L373" s="195"/>
      <c r="M373" s="194"/>
      <c r="N373" s="194"/>
      <c r="O373" s="194"/>
      <c r="P373" s="194"/>
      <c r="Q373" s="194"/>
      <c r="R373" s="194"/>
    </row>
    <row r="374" spans="1:18" ht="16.5" hidden="1" customHeight="1">
      <c r="A374" s="186" t="s">
        <v>2537</v>
      </c>
      <c r="B374" s="126"/>
      <c r="C374" s="117" t="s">
        <v>274</v>
      </c>
      <c r="D374" s="118"/>
      <c r="E374" s="116"/>
      <c r="F374" s="116"/>
      <c r="G374" s="116"/>
      <c r="H374" s="193">
        <f t="shared" si="27"/>
        <v>0</v>
      </c>
      <c r="I374" s="63"/>
      <c r="J374" s="194"/>
      <c r="K374" s="194"/>
      <c r="L374" s="195"/>
      <c r="M374" s="194"/>
      <c r="N374" s="194"/>
      <c r="O374" s="194"/>
      <c r="P374" s="194"/>
      <c r="Q374" s="194"/>
      <c r="R374" s="194"/>
    </row>
    <row r="375" spans="1:18" ht="16.5" hidden="1" customHeight="1">
      <c r="A375" s="125" t="s">
        <v>2538</v>
      </c>
      <c r="B375" s="126" t="s">
        <v>2539</v>
      </c>
      <c r="C375" s="117" t="s">
        <v>59</v>
      </c>
      <c r="D375" s="118"/>
      <c r="E375" s="116"/>
      <c r="F375" s="116"/>
      <c r="G375" s="119"/>
      <c r="H375" s="193">
        <f t="shared" si="27"/>
        <v>0</v>
      </c>
      <c r="I375" s="63"/>
      <c r="J375" s="194"/>
      <c r="K375" s="194"/>
      <c r="L375" s="195"/>
      <c r="M375" s="194"/>
      <c r="N375" s="194"/>
      <c r="O375" s="194"/>
      <c r="P375" s="194"/>
      <c r="Q375" s="194"/>
      <c r="R375" s="194"/>
    </row>
    <row r="376" spans="1:18" ht="16.5" hidden="1" customHeight="1">
      <c r="A376" s="125" t="s">
        <v>2540</v>
      </c>
      <c r="B376" s="126" t="s">
        <v>2541</v>
      </c>
      <c r="C376" s="117" t="s">
        <v>59</v>
      </c>
      <c r="D376" s="118"/>
      <c r="E376" s="116"/>
      <c r="F376" s="116"/>
      <c r="G376" s="119"/>
      <c r="H376" s="193">
        <f t="shared" si="27"/>
        <v>0</v>
      </c>
      <c r="I376" s="63"/>
      <c r="J376" s="194"/>
      <c r="K376" s="194"/>
      <c r="L376" s="195"/>
      <c r="M376" s="194"/>
      <c r="N376" s="194"/>
      <c r="O376" s="194"/>
      <c r="P376" s="194"/>
      <c r="Q376" s="194"/>
      <c r="R376" s="194"/>
    </row>
    <row r="377" spans="1:18" ht="16.5" hidden="1" customHeight="1">
      <c r="A377" s="125" t="s">
        <v>2542</v>
      </c>
      <c r="B377" s="126" t="s">
        <v>2543</v>
      </c>
      <c r="C377" s="117" t="s">
        <v>59</v>
      </c>
      <c r="D377" s="118"/>
      <c r="E377" s="116"/>
      <c r="F377" s="116"/>
      <c r="G377" s="119"/>
      <c r="H377" s="193">
        <f t="shared" si="27"/>
        <v>0</v>
      </c>
      <c r="I377" s="63"/>
      <c r="J377" s="194"/>
      <c r="K377" s="194"/>
      <c r="L377" s="195"/>
      <c r="M377" s="194"/>
      <c r="N377" s="194"/>
      <c r="O377" s="194"/>
      <c r="P377" s="194"/>
      <c r="Q377" s="194"/>
      <c r="R377" s="194"/>
    </row>
    <row r="378" spans="1:18" ht="16.5" hidden="1" customHeight="1">
      <c r="A378" s="125" t="s">
        <v>2544</v>
      </c>
      <c r="B378" s="126" t="s">
        <v>2545</v>
      </c>
      <c r="C378" s="117" t="s">
        <v>59</v>
      </c>
      <c r="D378" s="118"/>
      <c r="E378" s="116"/>
      <c r="F378" s="116"/>
      <c r="G378" s="119"/>
      <c r="H378" s="193">
        <f t="shared" si="27"/>
        <v>0</v>
      </c>
      <c r="I378" s="63"/>
      <c r="J378" s="194"/>
      <c r="K378" s="194"/>
      <c r="L378" s="195"/>
      <c r="M378" s="194"/>
      <c r="N378" s="194"/>
      <c r="O378" s="194"/>
      <c r="P378" s="194"/>
      <c r="Q378" s="194"/>
      <c r="R378" s="194"/>
    </row>
    <row r="379" spans="1:18" ht="16.5" hidden="1" customHeight="1">
      <c r="A379" s="125" t="s">
        <v>2546</v>
      </c>
      <c r="B379" s="126" t="s">
        <v>2547</v>
      </c>
      <c r="C379" s="117" t="s">
        <v>59</v>
      </c>
      <c r="D379" s="118"/>
      <c r="E379" s="116"/>
      <c r="F379" s="116"/>
      <c r="G379" s="119"/>
      <c r="H379" s="193">
        <f t="shared" si="27"/>
        <v>0</v>
      </c>
      <c r="I379" s="63"/>
      <c r="J379" s="194"/>
      <c r="K379" s="194"/>
      <c r="L379" s="195"/>
      <c r="M379" s="194"/>
      <c r="N379" s="194"/>
      <c r="O379" s="194"/>
      <c r="P379" s="194"/>
      <c r="Q379" s="194"/>
      <c r="R379" s="194"/>
    </row>
    <row r="380" spans="1:18" ht="16.5" hidden="1" customHeight="1">
      <c r="A380" s="125" t="s">
        <v>2548</v>
      </c>
      <c r="B380" s="126" t="s">
        <v>2549</v>
      </c>
      <c r="C380" s="117" t="s">
        <v>59</v>
      </c>
      <c r="D380" s="118"/>
      <c r="E380" s="116"/>
      <c r="F380" s="116"/>
      <c r="G380" s="119"/>
      <c r="H380" s="193">
        <f t="shared" si="27"/>
        <v>0</v>
      </c>
      <c r="I380" s="63"/>
      <c r="J380" s="194"/>
      <c r="K380" s="194"/>
      <c r="L380" s="195"/>
      <c r="M380" s="194"/>
      <c r="N380" s="194"/>
      <c r="O380" s="194"/>
      <c r="P380" s="194"/>
      <c r="Q380" s="194"/>
      <c r="R380" s="194"/>
    </row>
    <row r="381" spans="1:18" ht="16.5" hidden="1" customHeight="1">
      <c r="A381" s="125" t="s">
        <v>2550</v>
      </c>
      <c r="B381" s="126" t="s">
        <v>2551</v>
      </c>
      <c r="C381" s="117" t="s">
        <v>59</v>
      </c>
      <c r="D381" s="118"/>
      <c r="E381" s="116"/>
      <c r="F381" s="116"/>
      <c r="G381" s="119"/>
      <c r="H381" s="193">
        <f t="shared" si="27"/>
        <v>0</v>
      </c>
      <c r="I381" s="63"/>
      <c r="J381" s="194"/>
      <c r="K381" s="194"/>
      <c r="L381" s="195"/>
      <c r="M381" s="194"/>
      <c r="N381" s="194"/>
      <c r="O381" s="194"/>
      <c r="P381" s="194"/>
      <c r="Q381" s="194"/>
      <c r="R381" s="194"/>
    </row>
    <row r="382" spans="1:18" ht="16.5" hidden="1" customHeight="1">
      <c r="A382" s="125" t="s">
        <v>2552</v>
      </c>
      <c r="B382" s="126" t="s">
        <v>2553</v>
      </c>
      <c r="C382" s="117" t="s">
        <v>59</v>
      </c>
      <c r="D382" s="118"/>
      <c r="E382" s="116"/>
      <c r="F382" s="116"/>
      <c r="G382" s="119"/>
      <c r="H382" s="193">
        <f t="shared" si="27"/>
        <v>0</v>
      </c>
      <c r="I382" s="63"/>
      <c r="J382" s="194"/>
      <c r="K382" s="194"/>
      <c r="L382" s="195"/>
      <c r="M382" s="194"/>
      <c r="N382" s="194"/>
      <c r="O382" s="194"/>
      <c r="P382" s="194"/>
      <c r="Q382" s="194"/>
      <c r="R382" s="194"/>
    </row>
    <row r="383" spans="1:18" ht="16.5" hidden="1" customHeight="1">
      <c r="A383" s="125" t="s">
        <v>2554</v>
      </c>
      <c r="B383" s="126" t="s">
        <v>2555</v>
      </c>
      <c r="C383" s="117" t="s">
        <v>59</v>
      </c>
      <c r="D383" s="118"/>
      <c r="E383" s="116"/>
      <c r="F383" s="116"/>
      <c r="G383" s="119"/>
      <c r="H383" s="193">
        <f t="shared" si="27"/>
        <v>0</v>
      </c>
      <c r="I383" s="63"/>
      <c r="J383" s="194"/>
      <c r="K383" s="194"/>
      <c r="L383" s="195"/>
      <c r="M383" s="194"/>
      <c r="N383" s="194"/>
      <c r="O383" s="194"/>
      <c r="P383" s="194"/>
      <c r="Q383" s="194"/>
      <c r="R383" s="194"/>
    </row>
    <row r="384" spans="1:18" ht="16.5" hidden="1" customHeight="1">
      <c r="A384" s="125" t="s">
        <v>2556</v>
      </c>
      <c r="B384" s="126" t="s">
        <v>2557</v>
      </c>
      <c r="C384" s="117" t="s">
        <v>59</v>
      </c>
      <c r="D384" s="118"/>
      <c r="E384" s="116"/>
      <c r="F384" s="116"/>
      <c r="G384" s="119"/>
      <c r="H384" s="193">
        <f t="shared" si="27"/>
        <v>0</v>
      </c>
      <c r="I384" s="63"/>
      <c r="J384" s="194"/>
      <c r="K384" s="194"/>
      <c r="L384" s="195"/>
      <c r="M384" s="194"/>
      <c r="N384" s="194"/>
      <c r="O384" s="194"/>
      <c r="P384" s="194"/>
      <c r="Q384" s="194"/>
      <c r="R384" s="194"/>
    </row>
    <row r="385" spans="1:18" ht="16.5" hidden="1" customHeight="1">
      <c r="A385" s="125" t="s">
        <v>2558</v>
      </c>
      <c r="B385" s="126" t="s">
        <v>2559</v>
      </c>
      <c r="C385" s="117" t="s">
        <v>59</v>
      </c>
      <c r="D385" s="118"/>
      <c r="E385" s="116"/>
      <c r="F385" s="116"/>
      <c r="G385" s="119"/>
      <c r="H385" s="193">
        <f t="shared" si="27"/>
        <v>0</v>
      </c>
      <c r="I385" s="63"/>
      <c r="J385" s="194"/>
      <c r="K385" s="194"/>
      <c r="L385" s="195"/>
      <c r="M385" s="194"/>
      <c r="N385" s="194"/>
      <c r="O385" s="194"/>
      <c r="P385" s="194"/>
      <c r="Q385" s="194"/>
      <c r="R385" s="194"/>
    </row>
    <row r="386" spans="1:18" ht="16.5" hidden="1" customHeight="1">
      <c r="A386" s="125" t="s">
        <v>2560</v>
      </c>
      <c r="B386" s="126" t="s">
        <v>2561</v>
      </c>
      <c r="C386" s="117" t="s">
        <v>59</v>
      </c>
      <c r="D386" s="118"/>
      <c r="E386" s="116"/>
      <c r="F386" s="116"/>
      <c r="G386" s="119"/>
      <c r="H386" s="193">
        <f t="shared" si="27"/>
        <v>0</v>
      </c>
      <c r="I386" s="63"/>
      <c r="J386" s="194"/>
      <c r="K386" s="194"/>
      <c r="L386" s="195"/>
      <c r="M386" s="194"/>
      <c r="N386" s="194"/>
      <c r="O386" s="194"/>
      <c r="P386" s="194"/>
      <c r="Q386" s="194"/>
      <c r="R386" s="194"/>
    </row>
    <row r="387" spans="1:18" ht="16.5" hidden="1" customHeight="1">
      <c r="A387" s="125" t="s">
        <v>2562</v>
      </c>
      <c r="B387" s="126" t="s">
        <v>2563</v>
      </c>
      <c r="C387" s="117" t="s">
        <v>59</v>
      </c>
      <c r="D387" s="118"/>
      <c r="E387" s="116"/>
      <c r="F387" s="116"/>
      <c r="G387" s="119"/>
      <c r="H387" s="193">
        <f t="shared" si="27"/>
        <v>0</v>
      </c>
      <c r="I387" s="63"/>
      <c r="J387" s="194"/>
      <c r="K387" s="194"/>
      <c r="L387" s="195"/>
      <c r="M387" s="194"/>
      <c r="N387" s="194"/>
      <c r="O387" s="194"/>
      <c r="P387" s="194"/>
      <c r="Q387" s="194"/>
      <c r="R387" s="194"/>
    </row>
    <row r="388" spans="1:18" ht="16.5" hidden="1" customHeight="1">
      <c r="A388" s="125" t="s">
        <v>2564</v>
      </c>
      <c r="B388" s="126" t="s">
        <v>2565</v>
      </c>
      <c r="C388" s="117" t="s">
        <v>59</v>
      </c>
      <c r="D388" s="118"/>
      <c r="E388" s="116"/>
      <c r="F388" s="116"/>
      <c r="G388" s="119"/>
      <c r="H388" s="193">
        <f t="shared" si="27"/>
        <v>0</v>
      </c>
      <c r="I388" s="63"/>
      <c r="J388" s="194"/>
      <c r="K388" s="194"/>
      <c r="L388" s="195"/>
      <c r="M388" s="194"/>
      <c r="N388" s="194"/>
      <c r="O388" s="194"/>
      <c r="P388" s="194"/>
      <c r="Q388" s="194"/>
      <c r="R388" s="194"/>
    </row>
    <row r="389" spans="1:18" ht="16.5" hidden="1" customHeight="1">
      <c r="A389" s="125" t="s">
        <v>2566</v>
      </c>
      <c r="B389" s="126" t="s">
        <v>2567</v>
      </c>
      <c r="C389" s="117" t="s">
        <v>59</v>
      </c>
      <c r="D389" s="118"/>
      <c r="E389" s="116"/>
      <c r="F389" s="116"/>
      <c r="G389" s="119"/>
      <c r="H389" s="193">
        <f t="shared" si="27"/>
        <v>0</v>
      </c>
      <c r="I389" s="63"/>
      <c r="J389" s="194"/>
      <c r="K389" s="194"/>
      <c r="L389" s="195"/>
      <c r="M389" s="194"/>
      <c r="N389" s="194"/>
      <c r="O389" s="194"/>
      <c r="P389" s="194"/>
      <c r="Q389" s="194"/>
      <c r="R389" s="194"/>
    </row>
    <row r="390" spans="1:18" ht="16.5" hidden="1" customHeight="1">
      <c r="A390" s="125"/>
      <c r="B390" s="126"/>
      <c r="C390" s="117" t="s">
        <v>274</v>
      </c>
      <c r="D390" s="118"/>
      <c r="E390" s="116"/>
      <c r="F390" s="116"/>
      <c r="G390" s="119"/>
      <c r="H390" s="193">
        <f t="shared" si="27"/>
        <v>0</v>
      </c>
      <c r="I390" s="63"/>
      <c r="J390" s="194"/>
      <c r="K390" s="194"/>
      <c r="L390" s="195"/>
      <c r="M390" s="194"/>
      <c r="N390" s="194"/>
      <c r="O390" s="194"/>
      <c r="P390" s="194"/>
      <c r="Q390" s="194"/>
      <c r="R390" s="194"/>
    </row>
    <row r="391" spans="1:18" ht="16.5" hidden="1" customHeight="1">
      <c r="A391" s="125" t="s">
        <v>2568</v>
      </c>
      <c r="B391" s="126" t="s">
        <v>2569</v>
      </c>
      <c r="C391" s="117" t="s">
        <v>59</v>
      </c>
      <c r="D391" s="118"/>
      <c r="E391" s="116"/>
      <c r="F391" s="116"/>
      <c r="G391" s="119"/>
      <c r="H391" s="193">
        <f t="shared" si="27"/>
        <v>0</v>
      </c>
      <c r="I391" s="63"/>
      <c r="J391" s="194"/>
      <c r="K391" s="194"/>
      <c r="L391" s="195"/>
      <c r="M391" s="194"/>
      <c r="N391" s="194"/>
      <c r="O391" s="194"/>
      <c r="P391" s="194"/>
      <c r="Q391" s="194"/>
      <c r="R391" s="194"/>
    </row>
    <row r="392" spans="1:18" ht="16.5" hidden="1" customHeight="1">
      <c r="A392" s="125" t="s">
        <v>2570</v>
      </c>
      <c r="B392" s="126" t="s">
        <v>2571</v>
      </c>
      <c r="C392" s="117" t="s">
        <v>59</v>
      </c>
      <c r="D392" s="118"/>
      <c r="E392" s="116"/>
      <c r="F392" s="116"/>
      <c r="G392" s="119"/>
      <c r="H392" s="193">
        <f t="shared" si="27"/>
        <v>0</v>
      </c>
      <c r="I392" s="63"/>
      <c r="J392" s="194"/>
      <c r="K392" s="194"/>
      <c r="L392" s="195"/>
      <c r="M392" s="194"/>
      <c r="N392" s="194"/>
      <c r="O392" s="194"/>
      <c r="P392" s="194"/>
      <c r="Q392" s="194"/>
      <c r="R392" s="194"/>
    </row>
    <row r="393" spans="1:18" ht="16.5" hidden="1" customHeight="1">
      <c r="A393" s="125" t="s">
        <v>2572</v>
      </c>
      <c r="B393" s="126" t="s">
        <v>2573</v>
      </c>
      <c r="C393" s="117" t="s">
        <v>59</v>
      </c>
      <c r="D393" s="118"/>
      <c r="E393" s="116"/>
      <c r="F393" s="116"/>
      <c r="G393" s="119"/>
      <c r="H393" s="193">
        <f t="shared" si="27"/>
        <v>0</v>
      </c>
      <c r="I393" s="63"/>
      <c r="J393" s="194"/>
      <c r="K393" s="194"/>
      <c r="L393" s="195"/>
      <c r="M393" s="194"/>
      <c r="N393" s="194"/>
      <c r="O393" s="194"/>
      <c r="P393" s="194"/>
      <c r="Q393" s="194"/>
      <c r="R393" s="194"/>
    </row>
    <row r="394" spans="1:18" ht="16.5" hidden="1" customHeight="1">
      <c r="A394" s="125" t="s">
        <v>2574</v>
      </c>
      <c r="B394" s="126" t="s">
        <v>2575</v>
      </c>
      <c r="C394" s="117" t="s">
        <v>59</v>
      </c>
      <c r="D394" s="118"/>
      <c r="E394" s="116"/>
      <c r="F394" s="116"/>
      <c r="G394" s="119"/>
      <c r="H394" s="193">
        <f t="shared" si="27"/>
        <v>0</v>
      </c>
      <c r="I394" s="63"/>
      <c r="J394" s="194"/>
      <c r="K394" s="194"/>
      <c r="L394" s="195"/>
      <c r="M394" s="194"/>
      <c r="N394" s="194"/>
      <c r="O394" s="194"/>
      <c r="P394" s="194"/>
      <c r="Q394" s="194"/>
      <c r="R394" s="194"/>
    </row>
    <row r="395" spans="1:18" ht="16.5" hidden="1" customHeight="1">
      <c r="A395" s="125" t="s">
        <v>2576</v>
      </c>
      <c r="B395" s="126" t="s">
        <v>2577</v>
      </c>
      <c r="C395" s="117" t="s">
        <v>59</v>
      </c>
      <c r="D395" s="118"/>
      <c r="E395" s="116"/>
      <c r="F395" s="116"/>
      <c r="G395" s="119"/>
      <c r="H395" s="193">
        <f t="shared" si="27"/>
        <v>0</v>
      </c>
      <c r="I395" s="63"/>
      <c r="J395" s="194"/>
      <c r="K395" s="194"/>
      <c r="L395" s="195"/>
      <c r="M395" s="194"/>
      <c r="N395" s="194"/>
      <c r="O395" s="194"/>
      <c r="P395" s="194"/>
      <c r="Q395" s="194"/>
      <c r="R395" s="194"/>
    </row>
    <row r="396" spans="1:18" ht="16.5" hidden="1" customHeight="1">
      <c r="A396" s="125" t="s">
        <v>2578</v>
      </c>
      <c r="B396" s="126" t="s">
        <v>2579</v>
      </c>
      <c r="C396" s="117" t="s">
        <v>59</v>
      </c>
      <c r="D396" s="118"/>
      <c r="E396" s="116"/>
      <c r="F396" s="116"/>
      <c r="G396" s="119"/>
      <c r="H396" s="193">
        <f t="shared" si="27"/>
        <v>0</v>
      </c>
      <c r="I396" s="63"/>
      <c r="J396" s="194"/>
      <c r="K396" s="194"/>
      <c r="L396" s="195"/>
      <c r="M396" s="194"/>
      <c r="N396" s="194"/>
      <c r="O396" s="194"/>
      <c r="P396" s="194"/>
      <c r="Q396" s="194"/>
      <c r="R396" s="194"/>
    </row>
    <row r="397" spans="1:18" ht="16.5" hidden="1" customHeight="1">
      <c r="A397" s="125" t="s">
        <v>2580</v>
      </c>
      <c r="B397" s="126" t="s">
        <v>2581</v>
      </c>
      <c r="C397" s="117" t="s">
        <v>59</v>
      </c>
      <c r="D397" s="118"/>
      <c r="E397" s="116"/>
      <c r="F397" s="116"/>
      <c r="G397" s="119"/>
      <c r="H397" s="193">
        <f t="shared" si="27"/>
        <v>0</v>
      </c>
      <c r="I397" s="63"/>
      <c r="J397" s="194"/>
      <c r="K397" s="194"/>
      <c r="L397" s="195"/>
      <c r="M397" s="194"/>
      <c r="N397" s="194"/>
      <c r="O397" s="194"/>
      <c r="P397" s="194"/>
      <c r="Q397" s="194"/>
      <c r="R397" s="194"/>
    </row>
    <row r="398" spans="1:18" ht="16.5" hidden="1" customHeight="1">
      <c r="A398" s="125" t="s">
        <v>2582</v>
      </c>
      <c r="B398" s="126" t="s">
        <v>2583</v>
      </c>
      <c r="C398" s="117" t="s">
        <v>59</v>
      </c>
      <c r="D398" s="118"/>
      <c r="E398" s="116"/>
      <c r="F398" s="116"/>
      <c r="G398" s="119"/>
      <c r="H398" s="193">
        <f t="shared" si="27"/>
        <v>0</v>
      </c>
      <c r="I398" s="63"/>
      <c r="J398" s="194"/>
      <c r="K398" s="194"/>
      <c r="L398" s="195"/>
      <c r="M398" s="194"/>
      <c r="N398" s="194"/>
      <c r="O398" s="194"/>
      <c r="P398" s="194"/>
      <c r="Q398" s="194"/>
      <c r="R398" s="194"/>
    </row>
    <row r="399" spans="1:18" ht="16.5" hidden="1" customHeight="1">
      <c r="A399" s="125" t="s">
        <v>2584</v>
      </c>
      <c r="B399" s="126" t="s">
        <v>2585</v>
      </c>
      <c r="C399" s="117" t="s">
        <v>59</v>
      </c>
      <c r="D399" s="118"/>
      <c r="E399" s="116"/>
      <c r="F399" s="116"/>
      <c r="G399" s="119"/>
      <c r="H399" s="193">
        <f t="shared" si="27"/>
        <v>0</v>
      </c>
      <c r="I399" s="63"/>
      <c r="J399" s="194"/>
      <c r="K399" s="194"/>
      <c r="L399" s="195"/>
      <c r="M399" s="194"/>
      <c r="N399" s="194"/>
      <c r="O399" s="194"/>
      <c r="P399" s="194"/>
      <c r="Q399" s="194"/>
      <c r="R399" s="194"/>
    </row>
    <row r="400" spans="1:18" ht="16.5" hidden="1" customHeight="1">
      <c r="A400" s="125" t="s">
        <v>2586</v>
      </c>
      <c r="B400" s="126" t="s">
        <v>2587</v>
      </c>
      <c r="C400" s="117" t="s">
        <v>59</v>
      </c>
      <c r="D400" s="118"/>
      <c r="E400" s="116"/>
      <c r="F400" s="116"/>
      <c r="G400" s="119"/>
      <c r="H400" s="193">
        <f t="shared" si="27"/>
        <v>0</v>
      </c>
      <c r="I400" s="63"/>
      <c r="J400" s="194"/>
      <c r="K400" s="194"/>
      <c r="L400" s="195"/>
      <c r="M400" s="194"/>
      <c r="N400" s="194"/>
      <c r="O400" s="194"/>
      <c r="P400" s="194"/>
      <c r="Q400" s="194"/>
      <c r="R400" s="194"/>
    </row>
    <row r="401" spans="1:18" ht="16.5" hidden="1" customHeight="1">
      <c r="A401" s="125" t="s">
        <v>2588</v>
      </c>
      <c r="B401" s="126" t="s">
        <v>2589</v>
      </c>
      <c r="C401" s="117" t="s">
        <v>59</v>
      </c>
      <c r="D401" s="118"/>
      <c r="E401" s="116"/>
      <c r="F401" s="116"/>
      <c r="G401" s="119"/>
      <c r="H401" s="193">
        <f t="shared" si="27"/>
        <v>0</v>
      </c>
      <c r="I401" s="63"/>
      <c r="J401" s="194"/>
      <c r="K401" s="194"/>
      <c r="L401" s="195"/>
      <c r="M401" s="194"/>
      <c r="N401" s="194"/>
      <c r="O401" s="194"/>
      <c r="P401" s="194"/>
      <c r="Q401" s="194"/>
      <c r="R401" s="194"/>
    </row>
    <row r="402" spans="1:18" ht="16.5" hidden="1" customHeight="1">
      <c r="A402" s="125"/>
      <c r="B402" s="126"/>
      <c r="C402" s="117" t="s">
        <v>274</v>
      </c>
      <c r="D402" s="118"/>
      <c r="E402" s="116"/>
      <c r="F402" s="116"/>
      <c r="G402" s="119"/>
      <c r="H402" s="193">
        <f t="shared" si="27"/>
        <v>0</v>
      </c>
      <c r="I402" s="63"/>
      <c r="J402" s="194"/>
      <c r="K402" s="194"/>
      <c r="L402" s="195"/>
      <c r="M402" s="194"/>
      <c r="N402" s="194"/>
      <c r="O402" s="194"/>
      <c r="P402" s="194"/>
      <c r="Q402" s="194"/>
      <c r="R402" s="194"/>
    </row>
    <row r="403" spans="1:18" ht="16.5" hidden="1" customHeight="1">
      <c r="A403" s="125" t="s">
        <v>2590</v>
      </c>
      <c r="B403" s="126" t="s">
        <v>2591</v>
      </c>
      <c r="C403" s="117" t="s">
        <v>59</v>
      </c>
      <c r="D403" s="118"/>
      <c r="E403" s="116"/>
      <c r="F403" s="116"/>
      <c r="G403" s="119"/>
      <c r="H403" s="193">
        <f t="shared" si="27"/>
        <v>0</v>
      </c>
      <c r="I403" s="63"/>
      <c r="J403" s="194"/>
      <c r="K403" s="194"/>
      <c r="L403" s="195"/>
      <c r="M403" s="194"/>
      <c r="N403" s="194"/>
      <c r="O403" s="194"/>
      <c r="P403" s="194"/>
      <c r="Q403" s="194"/>
      <c r="R403" s="194"/>
    </row>
    <row r="404" spans="1:18" ht="16.5" hidden="1" customHeight="1">
      <c r="A404" s="125" t="s">
        <v>2592</v>
      </c>
      <c r="B404" s="126" t="s">
        <v>2593</v>
      </c>
      <c r="C404" s="117" t="s">
        <v>59</v>
      </c>
      <c r="D404" s="118"/>
      <c r="E404" s="116"/>
      <c r="F404" s="116"/>
      <c r="G404" s="119"/>
      <c r="H404" s="193">
        <f t="shared" si="27"/>
        <v>0</v>
      </c>
      <c r="I404" s="63"/>
      <c r="J404" s="194"/>
      <c r="K404" s="194"/>
      <c r="L404" s="195"/>
      <c r="M404" s="194"/>
      <c r="N404" s="194"/>
      <c r="O404" s="194"/>
      <c r="P404" s="194"/>
      <c r="Q404" s="194"/>
      <c r="R404" s="194"/>
    </row>
    <row r="405" spans="1:18" ht="16.5" hidden="1" customHeight="1">
      <c r="A405" s="125" t="s">
        <v>2594</v>
      </c>
      <c r="B405" s="126" t="s">
        <v>2595</v>
      </c>
      <c r="C405" s="117" t="s">
        <v>59</v>
      </c>
      <c r="D405" s="118"/>
      <c r="E405" s="116"/>
      <c r="F405" s="116"/>
      <c r="G405" s="119"/>
      <c r="H405" s="193">
        <f t="shared" si="27"/>
        <v>0</v>
      </c>
      <c r="I405" s="63"/>
      <c r="J405" s="194"/>
      <c r="K405" s="194"/>
      <c r="L405" s="195"/>
      <c r="M405" s="194"/>
      <c r="N405" s="194"/>
      <c r="O405" s="194"/>
      <c r="P405" s="194"/>
      <c r="Q405" s="194"/>
      <c r="R405" s="194"/>
    </row>
    <row r="406" spans="1:18" ht="16.5" hidden="1" customHeight="1">
      <c r="A406" s="125" t="s">
        <v>2596</v>
      </c>
      <c r="B406" s="126" t="s">
        <v>2597</v>
      </c>
      <c r="C406" s="117" t="s">
        <v>59</v>
      </c>
      <c r="D406" s="118"/>
      <c r="E406" s="116"/>
      <c r="F406" s="116"/>
      <c r="G406" s="119"/>
      <c r="H406" s="193">
        <f t="shared" si="27"/>
        <v>0</v>
      </c>
      <c r="I406" s="63"/>
      <c r="J406" s="194"/>
      <c r="K406" s="194"/>
      <c r="L406" s="195"/>
      <c r="M406" s="194"/>
      <c r="N406" s="194"/>
      <c r="O406" s="194"/>
      <c r="P406" s="194"/>
      <c r="Q406" s="194"/>
      <c r="R406" s="194"/>
    </row>
    <row r="407" spans="1:18" ht="16.5" hidden="1" customHeight="1">
      <c r="A407" s="125" t="s">
        <v>2598</v>
      </c>
      <c r="B407" s="126" t="s">
        <v>2599</v>
      </c>
      <c r="C407" s="117" t="s">
        <v>59</v>
      </c>
      <c r="D407" s="118"/>
      <c r="E407" s="116"/>
      <c r="F407" s="116"/>
      <c r="G407" s="119"/>
      <c r="H407" s="193">
        <f t="shared" si="27"/>
        <v>0</v>
      </c>
      <c r="I407" s="63"/>
      <c r="J407" s="194"/>
      <c r="K407" s="194"/>
      <c r="L407" s="195"/>
      <c r="M407" s="194"/>
      <c r="N407" s="194"/>
      <c r="O407" s="194"/>
      <c r="P407" s="194"/>
      <c r="Q407" s="194"/>
      <c r="R407" s="194"/>
    </row>
    <row r="408" spans="1:18" ht="16.5" hidden="1" customHeight="1">
      <c r="A408" s="125" t="s">
        <v>2600</v>
      </c>
      <c r="B408" s="126" t="s">
        <v>2601</v>
      </c>
      <c r="C408" s="117" t="s">
        <v>59</v>
      </c>
      <c r="D408" s="118"/>
      <c r="E408" s="116"/>
      <c r="F408" s="116"/>
      <c r="G408" s="119"/>
      <c r="H408" s="193">
        <f t="shared" si="27"/>
        <v>0</v>
      </c>
      <c r="I408" s="63"/>
      <c r="J408" s="194"/>
      <c r="K408" s="194"/>
      <c r="L408" s="195"/>
      <c r="M408" s="194"/>
      <c r="N408" s="194"/>
      <c r="O408" s="194"/>
      <c r="P408" s="194"/>
      <c r="Q408" s="194"/>
      <c r="R408" s="194"/>
    </row>
    <row r="409" spans="1:18" ht="16.5" hidden="1" customHeight="1">
      <c r="A409" s="125" t="s">
        <v>2602</v>
      </c>
      <c r="B409" s="126" t="s">
        <v>2603</v>
      </c>
      <c r="C409" s="117" t="s">
        <v>59</v>
      </c>
      <c r="D409" s="118"/>
      <c r="E409" s="116"/>
      <c r="F409" s="116"/>
      <c r="G409" s="119"/>
      <c r="H409" s="193">
        <f t="shared" si="27"/>
        <v>0</v>
      </c>
      <c r="I409" s="63"/>
      <c r="J409" s="194"/>
      <c r="K409" s="194"/>
      <c r="L409" s="195"/>
      <c r="M409" s="194"/>
      <c r="N409" s="194"/>
      <c r="O409" s="194"/>
      <c r="P409" s="194"/>
      <c r="Q409" s="194"/>
      <c r="R409" s="194"/>
    </row>
    <row r="410" spans="1:18" ht="16.5" hidden="1" customHeight="1">
      <c r="A410" s="125" t="s">
        <v>2604</v>
      </c>
      <c r="B410" s="126" t="s">
        <v>2605</v>
      </c>
      <c r="C410" s="117" t="s">
        <v>59</v>
      </c>
      <c r="D410" s="118"/>
      <c r="E410" s="116"/>
      <c r="F410" s="116"/>
      <c r="G410" s="119"/>
      <c r="H410" s="193">
        <f t="shared" si="27"/>
        <v>0</v>
      </c>
      <c r="I410" s="63"/>
      <c r="J410" s="194"/>
      <c r="K410" s="194"/>
      <c r="L410" s="195"/>
      <c r="M410" s="194"/>
      <c r="N410" s="194"/>
      <c r="O410" s="194"/>
      <c r="P410" s="194"/>
      <c r="Q410" s="194"/>
      <c r="R410" s="194"/>
    </row>
    <row r="411" spans="1:18" ht="16.5" hidden="1" customHeight="1">
      <c r="A411" s="125" t="s">
        <v>2606</v>
      </c>
      <c r="B411" s="126" t="s">
        <v>2607</v>
      </c>
      <c r="C411" s="117" t="s">
        <v>59</v>
      </c>
      <c r="D411" s="118"/>
      <c r="E411" s="116"/>
      <c r="F411" s="116"/>
      <c r="G411" s="119"/>
      <c r="H411" s="193">
        <f t="shared" si="27"/>
        <v>0</v>
      </c>
      <c r="I411" s="63"/>
      <c r="J411" s="194"/>
      <c r="K411" s="194"/>
      <c r="L411" s="195"/>
      <c r="M411" s="194"/>
      <c r="N411" s="194"/>
      <c r="O411" s="194"/>
      <c r="P411" s="194"/>
      <c r="Q411" s="194"/>
      <c r="R411" s="194"/>
    </row>
    <row r="412" spans="1:18" ht="16.5" hidden="1" customHeight="1">
      <c r="A412" s="125"/>
      <c r="B412" s="126"/>
      <c r="C412" s="117" t="s">
        <v>274</v>
      </c>
      <c r="D412" s="118"/>
      <c r="E412" s="116"/>
      <c r="F412" s="116"/>
      <c r="G412" s="119"/>
      <c r="H412" s="193">
        <f t="shared" si="27"/>
        <v>0</v>
      </c>
      <c r="I412" s="63"/>
      <c r="J412" s="194"/>
      <c r="K412" s="194"/>
      <c r="L412" s="195"/>
      <c r="M412" s="194"/>
      <c r="N412" s="194"/>
      <c r="O412" s="194"/>
      <c r="P412" s="194"/>
      <c r="Q412" s="194"/>
      <c r="R412" s="194"/>
    </row>
    <row r="413" spans="1:18" ht="16.5" hidden="1" customHeight="1">
      <c r="A413" s="125" t="s">
        <v>2608</v>
      </c>
      <c r="B413" s="126" t="s">
        <v>2609</v>
      </c>
      <c r="C413" s="116" t="s">
        <v>51</v>
      </c>
      <c r="D413" s="118"/>
      <c r="E413" s="116"/>
      <c r="F413" s="116"/>
      <c r="G413" s="119"/>
      <c r="H413" s="193">
        <f t="shared" si="27"/>
        <v>0</v>
      </c>
      <c r="I413" s="63"/>
      <c r="J413" s="194"/>
      <c r="K413" s="194"/>
      <c r="L413" s="195"/>
      <c r="M413" s="194"/>
      <c r="N413" s="194"/>
      <c r="O413" s="194"/>
      <c r="P413" s="194"/>
      <c r="Q413" s="194"/>
      <c r="R413" s="194"/>
    </row>
    <row r="414" spans="1:18" ht="16.5" hidden="1" customHeight="1">
      <c r="A414" s="125" t="s">
        <v>2610</v>
      </c>
      <c r="B414" s="126" t="s">
        <v>2611</v>
      </c>
      <c r="C414" s="116" t="s">
        <v>51</v>
      </c>
      <c r="D414" s="118"/>
      <c r="E414" s="116"/>
      <c r="F414" s="116"/>
      <c r="G414" s="119"/>
      <c r="H414" s="193">
        <f t="shared" si="27"/>
        <v>0</v>
      </c>
      <c r="I414" s="63"/>
      <c r="J414" s="194"/>
      <c r="K414" s="194"/>
      <c r="L414" s="195"/>
      <c r="M414" s="194"/>
      <c r="N414" s="194"/>
      <c r="O414" s="194"/>
      <c r="P414" s="194"/>
      <c r="Q414" s="194"/>
      <c r="R414" s="194"/>
    </row>
    <row r="415" spans="1:18" ht="16.5" hidden="1" customHeight="1">
      <c r="A415" s="125" t="s">
        <v>2612</v>
      </c>
      <c r="B415" s="126" t="s">
        <v>2613</v>
      </c>
      <c r="C415" s="116" t="s">
        <v>51</v>
      </c>
      <c r="D415" s="118"/>
      <c r="E415" s="116"/>
      <c r="F415" s="116"/>
      <c r="G415" s="119"/>
      <c r="H415" s="193">
        <f t="shared" si="27"/>
        <v>0</v>
      </c>
      <c r="I415" s="63"/>
      <c r="J415" s="194"/>
      <c r="K415" s="194"/>
      <c r="L415" s="195"/>
      <c r="M415" s="194"/>
      <c r="N415" s="194"/>
      <c r="O415" s="194"/>
      <c r="P415" s="194"/>
      <c r="Q415" s="194"/>
      <c r="R415" s="194"/>
    </row>
    <row r="416" spans="1:18" ht="16.5" hidden="1" customHeight="1">
      <c r="A416" s="125" t="s">
        <v>2614</v>
      </c>
      <c r="B416" s="126" t="s">
        <v>2609</v>
      </c>
      <c r="C416" s="116" t="s">
        <v>51</v>
      </c>
      <c r="D416" s="118"/>
      <c r="E416" s="116"/>
      <c r="F416" s="116"/>
      <c r="G416" s="119"/>
      <c r="H416" s="193">
        <f t="shared" si="27"/>
        <v>0</v>
      </c>
      <c r="I416" s="63"/>
      <c r="J416" s="194"/>
      <c r="K416" s="194"/>
      <c r="L416" s="195"/>
      <c r="M416" s="194"/>
      <c r="N416" s="194"/>
      <c r="O416" s="194"/>
      <c r="P416" s="194"/>
      <c r="Q416" s="194"/>
      <c r="R416" s="194"/>
    </row>
    <row r="417" spans="1:18" ht="16.5" hidden="1" customHeight="1">
      <c r="A417" s="125" t="s">
        <v>2615</v>
      </c>
      <c r="B417" s="126" t="s">
        <v>2616</v>
      </c>
      <c r="C417" s="116" t="s">
        <v>51</v>
      </c>
      <c r="D417" s="118"/>
      <c r="E417" s="116"/>
      <c r="F417" s="116"/>
      <c r="G417" s="119"/>
      <c r="H417" s="193">
        <f t="shared" si="27"/>
        <v>0</v>
      </c>
      <c r="I417" s="63"/>
      <c r="J417" s="194"/>
      <c r="K417" s="194"/>
      <c r="L417" s="195"/>
      <c r="M417" s="194"/>
      <c r="N417" s="194"/>
      <c r="O417" s="194"/>
      <c r="P417" s="194"/>
      <c r="Q417" s="194"/>
      <c r="R417" s="194"/>
    </row>
    <row r="418" spans="1:18" ht="16.5" hidden="1" customHeight="1">
      <c r="A418" s="125"/>
      <c r="B418" s="126"/>
      <c r="C418" s="117" t="s">
        <v>274</v>
      </c>
      <c r="D418" s="118"/>
      <c r="E418" s="116"/>
      <c r="F418" s="116"/>
      <c r="G418" s="119"/>
      <c r="H418" s="193">
        <f t="shared" si="27"/>
        <v>0</v>
      </c>
      <c r="I418" s="63"/>
      <c r="J418" s="194"/>
      <c r="K418" s="194"/>
      <c r="L418" s="195"/>
      <c r="M418" s="194"/>
      <c r="N418" s="194"/>
      <c r="O418" s="194"/>
      <c r="P418" s="194"/>
      <c r="Q418" s="194"/>
      <c r="R418" s="194"/>
    </row>
    <row r="419" spans="1:18" ht="16.5" hidden="1" customHeight="1">
      <c r="A419" s="125" t="s">
        <v>2617</v>
      </c>
      <c r="B419" s="126" t="s">
        <v>2618</v>
      </c>
      <c r="C419" s="116" t="s">
        <v>51</v>
      </c>
      <c r="D419" s="118"/>
      <c r="E419" s="116"/>
      <c r="F419" s="116"/>
      <c r="G419" s="119"/>
      <c r="H419" s="193">
        <f t="shared" si="27"/>
        <v>0</v>
      </c>
      <c r="I419" s="63"/>
      <c r="J419" s="194"/>
      <c r="K419" s="194"/>
      <c r="L419" s="195"/>
      <c r="M419" s="194"/>
      <c r="N419" s="194"/>
      <c r="O419" s="194"/>
      <c r="P419" s="194"/>
      <c r="Q419" s="194"/>
      <c r="R419" s="194"/>
    </row>
    <row r="420" spans="1:18" ht="16.5" hidden="1" customHeight="1">
      <c r="A420" s="125" t="s">
        <v>2619</v>
      </c>
      <c r="B420" s="126" t="s">
        <v>2620</v>
      </c>
      <c r="C420" s="116" t="s">
        <v>51</v>
      </c>
      <c r="D420" s="118"/>
      <c r="E420" s="116"/>
      <c r="F420" s="116"/>
      <c r="G420" s="119"/>
      <c r="H420" s="193">
        <f t="shared" si="27"/>
        <v>0</v>
      </c>
      <c r="I420" s="63"/>
      <c r="J420" s="194"/>
      <c r="K420" s="194"/>
      <c r="L420" s="195"/>
      <c r="M420" s="194"/>
      <c r="N420" s="194"/>
      <c r="O420" s="194"/>
      <c r="P420" s="194"/>
      <c r="Q420" s="194"/>
      <c r="R420" s="194"/>
    </row>
    <row r="421" spans="1:18" ht="16.5" hidden="1" customHeight="1">
      <c r="A421" s="125" t="s">
        <v>2621</v>
      </c>
      <c r="B421" s="126" t="s">
        <v>2622</v>
      </c>
      <c r="C421" s="116" t="s">
        <v>51</v>
      </c>
      <c r="D421" s="118"/>
      <c r="E421" s="116"/>
      <c r="F421" s="116"/>
      <c r="G421" s="119"/>
      <c r="H421" s="193">
        <f t="shared" si="27"/>
        <v>0</v>
      </c>
      <c r="I421" s="63"/>
      <c r="J421" s="194"/>
      <c r="K421" s="194"/>
      <c r="L421" s="195"/>
      <c r="M421" s="194"/>
      <c r="N421" s="194"/>
      <c r="O421" s="194"/>
      <c r="P421" s="194"/>
      <c r="Q421" s="194"/>
      <c r="R421" s="194"/>
    </row>
    <row r="422" spans="1:18" ht="16.5" hidden="1" customHeight="1">
      <c r="A422" s="125" t="s">
        <v>2623</v>
      </c>
      <c r="B422" s="126" t="s">
        <v>2624</v>
      </c>
      <c r="C422" s="116" t="s">
        <v>51</v>
      </c>
      <c r="D422" s="118"/>
      <c r="E422" s="116"/>
      <c r="F422" s="116"/>
      <c r="G422" s="119"/>
      <c r="H422" s="193">
        <f t="shared" si="27"/>
        <v>0</v>
      </c>
      <c r="I422" s="63"/>
      <c r="J422" s="194"/>
      <c r="K422" s="194"/>
      <c r="L422" s="195"/>
      <c r="M422" s="194"/>
      <c r="N422" s="194"/>
      <c r="O422" s="194"/>
      <c r="P422" s="194"/>
      <c r="Q422" s="194"/>
      <c r="R422" s="194"/>
    </row>
    <row r="423" spans="1:18" ht="16.5" hidden="1" customHeight="1">
      <c r="A423" s="125" t="s">
        <v>2625</v>
      </c>
      <c r="B423" s="126" t="s">
        <v>2626</v>
      </c>
      <c r="C423" s="116" t="s">
        <v>51</v>
      </c>
      <c r="D423" s="118"/>
      <c r="E423" s="116"/>
      <c r="F423" s="116"/>
      <c r="G423" s="119"/>
      <c r="H423" s="193">
        <f t="shared" si="27"/>
        <v>0</v>
      </c>
      <c r="I423" s="63"/>
      <c r="J423" s="194"/>
      <c r="K423" s="194"/>
      <c r="L423" s="195"/>
      <c r="M423" s="194"/>
      <c r="N423" s="194"/>
      <c r="O423" s="194"/>
      <c r="P423" s="194"/>
      <c r="Q423" s="194"/>
      <c r="R423" s="194"/>
    </row>
    <row r="424" spans="1:18" ht="16.5" hidden="1" customHeight="1">
      <c r="A424" s="125" t="s">
        <v>2627</v>
      </c>
      <c r="B424" s="126" t="s">
        <v>2628</v>
      </c>
      <c r="C424" s="116" t="s">
        <v>51</v>
      </c>
      <c r="D424" s="118"/>
      <c r="E424" s="116"/>
      <c r="F424" s="116"/>
      <c r="G424" s="119"/>
      <c r="H424" s="193">
        <f t="shared" si="27"/>
        <v>0</v>
      </c>
      <c r="I424" s="63"/>
      <c r="J424" s="194"/>
      <c r="K424" s="194"/>
      <c r="L424" s="195"/>
      <c r="M424" s="194"/>
      <c r="N424" s="194"/>
      <c r="O424" s="194"/>
      <c r="P424" s="194"/>
      <c r="Q424" s="194"/>
      <c r="R424" s="194"/>
    </row>
    <row r="425" spans="1:18" ht="16.5" hidden="1" customHeight="1">
      <c r="A425" s="125"/>
      <c r="B425" s="126"/>
      <c r="C425" s="117" t="s">
        <v>274</v>
      </c>
      <c r="D425" s="118"/>
      <c r="E425" s="116"/>
      <c r="F425" s="116"/>
      <c r="G425" s="119"/>
      <c r="H425" s="193">
        <f t="shared" si="27"/>
        <v>0</v>
      </c>
      <c r="I425" s="63"/>
      <c r="J425" s="194"/>
      <c r="K425" s="194"/>
      <c r="L425" s="195"/>
      <c r="M425" s="194"/>
      <c r="N425" s="194"/>
      <c r="O425" s="194"/>
      <c r="P425" s="194"/>
      <c r="Q425" s="194"/>
      <c r="R425" s="194"/>
    </row>
    <row r="426" spans="1:18" ht="16.5" hidden="1" customHeight="1">
      <c r="A426" s="125" t="s">
        <v>2629</v>
      </c>
      <c r="B426" s="126" t="s">
        <v>2630</v>
      </c>
      <c r="C426" s="116" t="s">
        <v>51</v>
      </c>
      <c r="D426" s="118"/>
      <c r="E426" s="116"/>
      <c r="F426" s="116"/>
      <c r="G426" s="119"/>
      <c r="H426" s="193">
        <f t="shared" si="27"/>
        <v>0</v>
      </c>
      <c r="I426" s="63"/>
      <c r="J426" s="194"/>
      <c r="K426" s="194"/>
      <c r="L426" s="195"/>
      <c r="M426" s="194"/>
      <c r="N426" s="194"/>
      <c r="O426" s="194"/>
      <c r="P426" s="194"/>
      <c r="Q426" s="194"/>
      <c r="R426" s="194"/>
    </row>
    <row r="427" spans="1:18" ht="16.5" hidden="1" customHeight="1">
      <c r="A427" s="125" t="s">
        <v>2631</v>
      </c>
      <c r="B427" s="126" t="s">
        <v>2632</v>
      </c>
      <c r="C427" s="116" t="s">
        <v>51</v>
      </c>
      <c r="D427" s="118"/>
      <c r="E427" s="116"/>
      <c r="F427" s="116"/>
      <c r="G427" s="119"/>
      <c r="H427" s="193">
        <f t="shared" si="27"/>
        <v>0</v>
      </c>
      <c r="I427" s="63"/>
      <c r="J427" s="194"/>
      <c r="K427" s="194"/>
      <c r="L427" s="195"/>
      <c r="M427" s="194"/>
      <c r="N427" s="194"/>
      <c r="O427" s="194"/>
      <c r="P427" s="194"/>
      <c r="Q427" s="194"/>
      <c r="R427" s="194"/>
    </row>
    <row r="428" spans="1:18" ht="16.5" hidden="1" customHeight="1">
      <c r="A428" s="125" t="s">
        <v>2633</v>
      </c>
      <c r="B428" s="126" t="s">
        <v>2634</v>
      </c>
      <c r="C428" s="116" t="s">
        <v>51</v>
      </c>
      <c r="D428" s="118"/>
      <c r="E428" s="116"/>
      <c r="F428" s="116"/>
      <c r="G428" s="119"/>
      <c r="H428" s="193">
        <f t="shared" si="27"/>
        <v>0</v>
      </c>
      <c r="I428" s="63"/>
      <c r="J428" s="194"/>
      <c r="K428" s="194"/>
      <c r="L428" s="195"/>
      <c r="M428" s="194"/>
      <c r="N428" s="194"/>
      <c r="O428" s="194"/>
      <c r="P428" s="194"/>
      <c r="Q428" s="194"/>
      <c r="R428" s="194"/>
    </row>
    <row r="429" spans="1:18" ht="16.5" hidden="1" customHeight="1">
      <c r="A429" s="125" t="s">
        <v>2635</v>
      </c>
      <c r="B429" s="126" t="s">
        <v>2636</v>
      </c>
      <c r="C429" s="116" t="s">
        <v>51</v>
      </c>
      <c r="D429" s="118"/>
      <c r="E429" s="116"/>
      <c r="F429" s="116"/>
      <c r="G429" s="119"/>
      <c r="H429" s="193">
        <f t="shared" si="27"/>
        <v>0</v>
      </c>
      <c r="I429" s="63"/>
      <c r="J429" s="194"/>
      <c r="K429" s="194"/>
      <c r="L429" s="195"/>
      <c r="M429" s="194"/>
      <c r="N429" s="194"/>
      <c r="O429" s="194"/>
      <c r="P429" s="194"/>
      <c r="Q429" s="194"/>
      <c r="R429" s="194"/>
    </row>
    <row r="430" spans="1:18" ht="16.5" hidden="1" customHeight="1">
      <c r="A430" s="125" t="s">
        <v>2637</v>
      </c>
      <c r="B430" s="126" t="s">
        <v>2638</v>
      </c>
      <c r="C430" s="116" t="s">
        <v>139</v>
      </c>
      <c r="D430" s="118"/>
      <c r="E430" s="116"/>
      <c r="F430" s="116"/>
      <c r="G430" s="119"/>
      <c r="H430" s="193">
        <f t="shared" si="27"/>
        <v>0</v>
      </c>
      <c r="I430" s="63"/>
      <c r="J430" s="194"/>
      <c r="K430" s="194"/>
      <c r="L430" s="195"/>
      <c r="M430" s="194"/>
      <c r="N430" s="194"/>
      <c r="O430" s="194"/>
      <c r="P430" s="194"/>
      <c r="Q430" s="194"/>
      <c r="R430" s="194"/>
    </row>
    <row r="431" spans="1:18" ht="16.5" hidden="1" customHeight="1">
      <c r="A431" s="125" t="s">
        <v>2639</v>
      </c>
      <c r="B431" s="126" t="s">
        <v>2640</v>
      </c>
      <c r="C431" s="116" t="s">
        <v>160</v>
      </c>
      <c r="D431" s="118"/>
      <c r="E431" s="116"/>
      <c r="F431" s="116"/>
      <c r="G431" s="119"/>
      <c r="H431" s="193">
        <f>IF(G431&lt;&gt;0,ROUND(G431*F431,0), )</f>
        <v>0</v>
      </c>
      <c r="I431" s="63"/>
      <c r="J431" s="194"/>
      <c r="K431" s="194"/>
      <c r="L431" s="195"/>
      <c r="M431" s="194"/>
      <c r="N431" s="194"/>
      <c r="O431" s="194"/>
      <c r="P431" s="194"/>
      <c r="Q431" s="194"/>
      <c r="R431" s="194"/>
    </row>
    <row r="432" spans="1:18" ht="16.5" hidden="1" customHeight="1">
      <c r="A432" s="125"/>
      <c r="B432" s="126"/>
      <c r="C432" s="116"/>
      <c r="D432" s="118"/>
      <c r="E432" s="116"/>
      <c r="F432" s="116"/>
      <c r="G432" s="119"/>
      <c r="H432" s="193"/>
      <c r="I432" s="63"/>
      <c r="J432" s="194"/>
      <c r="K432" s="194"/>
      <c r="L432" s="195"/>
      <c r="M432" s="194"/>
      <c r="N432" s="194"/>
      <c r="O432" s="194"/>
      <c r="P432" s="194"/>
      <c r="Q432" s="194"/>
      <c r="R432" s="194"/>
    </row>
    <row r="433" spans="1:18" ht="16.5" hidden="1" customHeight="1">
      <c r="A433" s="125"/>
      <c r="B433" s="126"/>
      <c r="C433" s="117" t="s">
        <v>274</v>
      </c>
      <c r="D433" s="118"/>
      <c r="E433" s="116"/>
      <c r="F433" s="116"/>
      <c r="G433" s="119"/>
      <c r="H433" s="193">
        <f t="shared" si="27"/>
        <v>0</v>
      </c>
      <c r="I433" s="63"/>
      <c r="J433" s="194"/>
      <c r="K433" s="194"/>
      <c r="L433" s="195"/>
      <c r="M433" s="194"/>
      <c r="N433" s="194"/>
      <c r="O433" s="194"/>
      <c r="P433" s="194"/>
      <c r="Q433" s="194"/>
      <c r="R433" s="194"/>
    </row>
    <row r="434" spans="1:18" ht="16.5" hidden="1" customHeight="1">
      <c r="A434" s="125" t="s">
        <v>2641</v>
      </c>
      <c r="B434" s="126" t="s">
        <v>2642</v>
      </c>
      <c r="C434" s="116" t="s">
        <v>51</v>
      </c>
      <c r="D434" s="118"/>
      <c r="E434" s="116"/>
      <c r="F434" s="116"/>
      <c r="G434" s="119"/>
      <c r="H434" s="193">
        <f t="shared" si="27"/>
        <v>0</v>
      </c>
      <c r="I434" s="63"/>
      <c r="J434" s="194"/>
      <c r="K434" s="194"/>
      <c r="L434" s="195"/>
      <c r="M434" s="194"/>
      <c r="N434" s="194"/>
      <c r="O434" s="194"/>
      <c r="P434" s="194"/>
      <c r="Q434" s="194"/>
      <c r="R434" s="194"/>
    </row>
    <row r="435" spans="1:18" ht="16.5" hidden="1" customHeight="1">
      <c r="A435" s="125" t="s">
        <v>2643</v>
      </c>
      <c r="B435" s="126" t="s">
        <v>2644</v>
      </c>
      <c r="C435" s="116" t="s">
        <v>51</v>
      </c>
      <c r="D435" s="118"/>
      <c r="E435" s="116"/>
      <c r="F435" s="116"/>
      <c r="G435" s="119"/>
      <c r="H435" s="193">
        <f t="shared" si="27"/>
        <v>0</v>
      </c>
      <c r="I435" s="63"/>
      <c r="J435" s="194"/>
      <c r="K435" s="194"/>
      <c r="L435" s="195"/>
      <c r="M435" s="194"/>
      <c r="N435" s="194"/>
      <c r="O435" s="194"/>
      <c r="P435" s="194"/>
      <c r="Q435" s="194"/>
      <c r="R435" s="194"/>
    </row>
    <row r="436" spans="1:18" ht="16.5" hidden="1" customHeight="1">
      <c r="A436" s="125" t="s">
        <v>2645</v>
      </c>
      <c r="B436" s="126" t="s">
        <v>2646</v>
      </c>
      <c r="C436" s="116" t="s">
        <v>159</v>
      </c>
      <c r="D436" s="118"/>
      <c r="E436" s="116"/>
      <c r="F436" s="116"/>
      <c r="G436" s="119"/>
      <c r="H436" s="193">
        <f t="shared" si="27"/>
        <v>0</v>
      </c>
      <c r="I436" s="63"/>
      <c r="J436" s="194"/>
      <c r="K436" s="194"/>
      <c r="L436" s="195"/>
      <c r="M436" s="194"/>
      <c r="N436" s="194"/>
      <c r="O436" s="194"/>
      <c r="P436" s="194"/>
      <c r="Q436" s="194"/>
      <c r="R436" s="194"/>
    </row>
    <row r="437" spans="1:18" ht="16.5" hidden="1" customHeight="1">
      <c r="A437" s="125" t="s">
        <v>2647</v>
      </c>
      <c r="B437" s="126" t="s">
        <v>2648</v>
      </c>
      <c r="C437" s="116" t="s">
        <v>159</v>
      </c>
      <c r="D437" s="118"/>
      <c r="E437" s="116"/>
      <c r="F437" s="116"/>
      <c r="G437" s="119"/>
      <c r="H437" s="193">
        <f t="shared" ref="H437:H442" si="28">IF(G437&lt;&gt;0,ROUND(G437*F437,0), )</f>
        <v>0</v>
      </c>
      <c r="I437" s="63"/>
      <c r="J437" s="194"/>
      <c r="K437" s="194"/>
      <c r="L437" s="195"/>
      <c r="M437" s="194"/>
      <c r="N437" s="194"/>
      <c r="O437" s="194"/>
      <c r="P437" s="194"/>
      <c r="Q437" s="194"/>
      <c r="R437" s="194"/>
    </row>
    <row r="438" spans="1:18" ht="16.5" hidden="1" customHeight="1">
      <c r="A438" s="125" t="s">
        <v>2649</v>
      </c>
      <c r="B438" s="126" t="s">
        <v>2642</v>
      </c>
      <c r="C438" s="116" t="s">
        <v>51</v>
      </c>
      <c r="D438" s="118"/>
      <c r="E438" s="116"/>
      <c r="F438" s="116"/>
      <c r="G438" s="119"/>
      <c r="H438" s="193">
        <f t="shared" si="28"/>
        <v>0</v>
      </c>
      <c r="I438" s="63"/>
      <c r="J438" s="194"/>
      <c r="K438" s="194"/>
      <c r="L438" s="195"/>
      <c r="M438" s="194"/>
      <c r="N438" s="194"/>
      <c r="O438" s="194"/>
      <c r="P438" s="194"/>
      <c r="Q438" s="194"/>
      <c r="R438" s="194"/>
    </row>
    <row r="439" spans="1:18" ht="16.5" hidden="1" customHeight="1">
      <c r="A439" s="125" t="s">
        <v>2650</v>
      </c>
      <c r="B439" s="126" t="s">
        <v>2644</v>
      </c>
      <c r="C439" s="116" t="s">
        <v>51</v>
      </c>
      <c r="D439" s="118"/>
      <c r="E439" s="116"/>
      <c r="F439" s="116"/>
      <c r="G439" s="119"/>
      <c r="H439" s="193">
        <f t="shared" si="28"/>
        <v>0</v>
      </c>
      <c r="I439" s="63"/>
      <c r="J439" s="194"/>
      <c r="K439" s="194"/>
      <c r="L439" s="195"/>
      <c r="M439" s="194"/>
      <c r="N439" s="194"/>
      <c r="O439" s="194"/>
      <c r="P439" s="194"/>
      <c r="Q439" s="194"/>
      <c r="R439" s="194"/>
    </row>
    <row r="440" spans="1:18" ht="16.5" hidden="1" customHeight="1">
      <c r="A440" s="125" t="s">
        <v>2651</v>
      </c>
      <c r="B440" s="126" t="s">
        <v>2652</v>
      </c>
      <c r="C440" s="116" t="s">
        <v>51</v>
      </c>
      <c r="D440" s="118"/>
      <c r="E440" s="116"/>
      <c r="F440" s="116"/>
      <c r="G440" s="119"/>
      <c r="H440" s="193">
        <f t="shared" si="28"/>
        <v>0</v>
      </c>
      <c r="I440" s="63"/>
      <c r="J440" s="194"/>
      <c r="K440" s="194"/>
      <c r="L440" s="195"/>
      <c r="M440" s="194"/>
      <c r="N440" s="194"/>
      <c r="O440" s="194"/>
      <c r="P440" s="194"/>
      <c r="Q440" s="194"/>
      <c r="R440" s="194"/>
    </row>
    <row r="441" spans="1:18" ht="16.5" hidden="1" customHeight="1">
      <c r="A441" s="125"/>
      <c r="B441" s="126"/>
      <c r="C441" s="116"/>
      <c r="D441" s="118"/>
      <c r="E441" s="116"/>
      <c r="F441" s="116"/>
      <c r="G441" s="119"/>
      <c r="H441" s="193">
        <f t="shared" si="28"/>
        <v>0</v>
      </c>
      <c r="I441" s="63"/>
      <c r="J441" s="194"/>
      <c r="K441" s="194"/>
      <c r="L441" s="195"/>
      <c r="M441" s="194"/>
      <c r="N441" s="194"/>
      <c r="O441" s="194"/>
      <c r="P441" s="194"/>
      <c r="Q441" s="194"/>
      <c r="R441" s="194"/>
    </row>
    <row r="442" spans="1:18" ht="16.5" hidden="1" customHeight="1">
      <c r="A442" s="125" t="s">
        <v>2653</v>
      </c>
      <c r="B442" s="126" t="s">
        <v>2654</v>
      </c>
      <c r="C442" s="116" t="s">
        <v>159</v>
      </c>
      <c r="D442" s="118"/>
      <c r="E442" s="116"/>
      <c r="F442" s="116"/>
      <c r="G442" s="119"/>
      <c r="H442" s="193">
        <f t="shared" si="28"/>
        <v>0</v>
      </c>
      <c r="I442" s="63"/>
      <c r="J442" s="194"/>
      <c r="K442" s="194"/>
      <c r="L442" s="195"/>
      <c r="M442" s="194"/>
      <c r="N442" s="194"/>
      <c r="O442" s="194"/>
      <c r="P442" s="194"/>
      <c r="Q442" s="194"/>
      <c r="R442" s="194"/>
    </row>
    <row r="443" spans="1:18" s="150" customFormat="1" ht="16.5" customHeight="1">
      <c r="A443" s="208" t="s">
        <v>171</v>
      </c>
      <c r="B443" s="209" t="s">
        <v>172</v>
      </c>
      <c r="C443" s="200" t="s">
        <v>159</v>
      </c>
      <c r="D443" s="210"/>
      <c r="E443" s="200"/>
      <c r="F443" s="200"/>
      <c r="G443" s="127"/>
      <c r="H443" s="203">
        <v>1296372</v>
      </c>
      <c r="I443" s="122"/>
      <c r="J443" s="204"/>
      <c r="K443" s="204"/>
      <c r="L443" s="207"/>
      <c r="M443" s="204"/>
      <c r="N443" s="204"/>
      <c r="O443" s="204"/>
      <c r="P443" s="204"/>
      <c r="Q443" s="204"/>
      <c r="R443" s="204"/>
    </row>
    <row r="444" spans="1:18" ht="16.5" hidden="1" customHeight="1">
      <c r="A444" s="125" t="s">
        <v>2655</v>
      </c>
      <c r="B444" s="126" t="s">
        <v>2656</v>
      </c>
      <c r="C444" s="116" t="s">
        <v>159</v>
      </c>
      <c r="D444" s="118"/>
      <c r="E444" s="116" t="s">
        <v>807</v>
      </c>
      <c r="F444" s="116">
        <v>0.7</v>
      </c>
      <c r="G444" s="119">
        <v>236500</v>
      </c>
      <c r="H444" s="193">
        <f>IF(G444&lt;&gt;0,ROUND(G444*F444,0), )</f>
        <v>165550</v>
      </c>
      <c r="I444" s="63"/>
      <c r="J444" s="194"/>
      <c r="K444" s="194"/>
      <c r="L444" s="195"/>
      <c r="M444" s="194"/>
      <c r="N444" s="194"/>
      <c r="O444" s="194"/>
      <c r="P444" s="194"/>
      <c r="Q444" s="194"/>
      <c r="R444" s="194"/>
    </row>
    <row r="445" spans="1:18" ht="16.5" hidden="1" customHeight="1">
      <c r="A445" s="125" t="s">
        <v>2657</v>
      </c>
      <c r="B445" s="126" t="s">
        <v>2658</v>
      </c>
      <c r="C445" s="116" t="s">
        <v>2659</v>
      </c>
      <c r="D445" s="118"/>
      <c r="E445" s="116" t="s">
        <v>807</v>
      </c>
      <c r="F445" s="116">
        <v>0.5</v>
      </c>
      <c r="G445" s="119">
        <v>236500</v>
      </c>
      <c r="H445" s="193">
        <f>IF(G445&lt;&gt;0,ROUND(G445*F445,0), )</f>
        <v>118250</v>
      </c>
      <c r="I445" s="63"/>
      <c r="J445" s="194"/>
      <c r="K445" s="194"/>
      <c r="L445" s="195"/>
      <c r="M445" s="194"/>
      <c r="N445" s="194"/>
      <c r="O445" s="194"/>
      <c r="P445" s="194"/>
      <c r="Q445" s="194"/>
      <c r="R445" s="194"/>
    </row>
    <row r="446" spans="1:18" ht="16.5" hidden="1" customHeight="1">
      <c r="I446" s="63"/>
      <c r="K446" s="194"/>
      <c r="L446" s="195"/>
      <c r="M446" s="194"/>
      <c r="N446" s="194"/>
      <c r="O446" s="194"/>
      <c r="P446" s="194"/>
      <c r="Q446" s="194"/>
      <c r="R446" s="194"/>
    </row>
    <row r="447" spans="1:18" ht="16.5" hidden="1" customHeight="1">
      <c r="A447" s="121" t="s">
        <v>2660</v>
      </c>
      <c r="B447" s="116" t="s">
        <v>2661</v>
      </c>
      <c r="C447" s="117" t="s">
        <v>168</v>
      </c>
      <c r="D447" s="120"/>
      <c r="E447" s="119" t="s">
        <v>1299</v>
      </c>
      <c r="F447" s="72">
        <f>1.3*2.5*0.6</f>
        <v>1.95</v>
      </c>
      <c r="G447" s="119">
        <v>257587</v>
      </c>
      <c r="H447" s="193">
        <f>IF(G447&lt;&gt;0,ROUND(G447*F447,0), )</f>
        <v>502295</v>
      </c>
      <c r="I447" s="63"/>
      <c r="J447" s="194"/>
      <c r="K447" s="194"/>
      <c r="L447" s="195"/>
      <c r="M447" s="194"/>
      <c r="N447" s="194"/>
      <c r="O447" s="194"/>
      <c r="P447" s="194"/>
      <c r="Q447" s="194"/>
      <c r="R447" s="194"/>
    </row>
    <row r="448" spans="1:18" ht="16.5" hidden="1" customHeight="1">
      <c r="A448" s="121" t="s">
        <v>2662</v>
      </c>
      <c r="B448" s="116" t="s">
        <v>2663</v>
      </c>
      <c r="C448" s="117" t="s">
        <v>168</v>
      </c>
      <c r="D448" s="120"/>
      <c r="E448" s="119" t="s">
        <v>1299</v>
      </c>
      <c r="F448" s="72">
        <f>1.3*2.88*0.6</f>
        <v>2.2464</v>
      </c>
      <c r="G448" s="119">
        <v>257587</v>
      </c>
      <c r="H448" s="193">
        <f>IF(G448&lt;&gt;0,ROUND(G448*F448,0), )</f>
        <v>578643</v>
      </c>
      <c r="I448" s="63"/>
      <c r="J448" s="194"/>
      <c r="K448" s="194"/>
      <c r="L448" s="195"/>
      <c r="M448" s="194"/>
      <c r="N448" s="194"/>
      <c r="O448" s="194"/>
      <c r="P448" s="194"/>
      <c r="Q448" s="194"/>
      <c r="R448" s="194"/>
    </row>
    <row r="449" spans="1:18" ht="16.5" hidden="1" customHeight="1">
      <c r="A449" s="121" t="s">
        <v>2664</v>
      </c>
      <c r="B449" s="116" t="s">
        <v>2665</v>
      </c>
      <c r="C449" s="117" t="s">
        <v>174</v>
      </c>
      <c r="D449" s="120"/>
      <c r="E449" s="119" t="s">
        <v>646</v>
      </c>
      <c r="F449" s="72">
        <f>0.6*12.42</f>
        <v>7.452</v>
      </c>
      <c r="G449" s="119">
        <v>219135</v>
      </c>
      <c r="H449" s="193">
        <f>IF(G449&lt;&gt;0,ROUND(G449*F449,0), )</f>
        <v>1632994</v>
      </c>
      <c r="I449" s="63"/>
      <c r="J449" s="194"/>
      <c r="K449" s="194"/>
      <c r="L449" s="195"/>
      <c r="M449" s="194"/>
      <c r="N449" s="194"/>
      <c r="O449" s="194"/>
      <c r="P449" s="194"/>
      <c r="Q449" s="194"/>
      <c r="R449" s="194"/>
    </row>
    <row r="450" spans="1:18" ht="16.5" hidden="1" customHeight="1">
      <c r="A450" s="121" t="s">
        <v>2666</v>
      </c>
      <c r="B450" s="116" t="s">
        <v>2667</v>
      </c>
      <c r="C450" s="117" t="s">
        <v>174</v>
      </c>
      <c r="D450" s="120"/>
      <c r="E450" s="119" t="s">
        <v>807</v>
      </c>
      <c r="F450" s="72">
        <f>0.6*10.14</f>
        <v>6.0840000000000005</v>
      </c>
      <c r="G450" s="119">
        <v>236500</v>
      </c>
      <c r="H450" s="193">
        <f>IF(G450&lt;&gt;0,ROUND(G450*F450,0), )</f>
        <v>1438866</v>
      </c>
      <c r="I450" s="63"/>
      <c r="J450" s="194"/>
      <c r="K450" s="194"/>
      <c r="L450" s="195"/>
      <c r="M450" s="194"/>
      <c r="N450" s="194"/>
      <c r="O450" s="194"/>
      <c r="P450" s="194"/>
      <c r="Q450" s="194"/>
      <c r="R450" s="194"/>
    </row>
    <row r="451" spans="1:18" ht="16.5" hidden="1" customHeight="1">
      <c r="B451" s="108" t="s">
        <v>2668</v>
      </c>
      <c r="I451" s="63"/>
    </row>
    <row r="452" spans="1:18" ht="16.5" hidden="1" customHeight="1">
      <c r="A452" s="196" t="s">
        <v>2669</v>
      </c>
      <c r="B452" s="40" t="s">
        <v>2670</v>
      </c>
      <c r="C452" s="40" t="s">
        <v>47</v>
      </c>
      <c r="H452" s="197">
        <v>74188</v>
      </c>
      <c r="I452" s="63"/>
      <c r="J452" s="197"/>
      <c r="K452" s="197"/>
      <c r="L452" s="198"/>
      <c r="M452" s="197"/>
      <c r="N452" s="197"/>
      <c r="O452" s="197"/>
      <c r="P452" s="197"/>
      <c r="Q452" s="197"/>
      <c r="R452" s="197"/>
    </row>
    <row r="453" spans="1:18" ht="16.5" hidden="1" customHeight="1">
      <c r="A453" s="196" t="s">
        <v>1874</v>
      </c>
      <c r="B453" s="40" t="s">
        <v>2671</v>
      </c>
      <c r="C453" s="40" t="s">
        <v>310</v>
      </c>
      <c r="H453" s="197">
        <v>11945</v>
      </c>
      <c r="I453" s="63">
        <f>+J453*$I$4</f>
        <v>277.50799999999998</v>
      </c>
      <c r="J453" s="197">
        <v>187</v>
      </c>
      <c r="K453" s="197"/>
      <c r="L453" s="198"/>
      <c r="M453" s="197"/>
      <c r="N453" s="197"/>
      <c r="O453" s="197"/>
      <c r="P453" s="197"/>
      <c r="Q453" s="197"/>
      <c r="R453" s="197"/>
    </row>
    <row r="454" spans="1:18" ht="16.5" hidden="1" customHeight="1">
      <c r="A454" s="196" t="s">
        <v>1876</v>
      </c>
      <c r="B454" s="40" t="s">
        <v>2672</v>
      </c>
      <c r="C454" s="40" t="s">
        <v>310</v>
      </c>
      <c r="H454" s="197">
        <v>9189</v>
      </c>
      <c r="I454" s="63">
        <f>+J454*$I$4</f>
        <v>270.08800000000002</v>
      </c>
      <c r="J454" s="197">
        <v>182</v>
      </c>
      <c r="K454" s="197"/>
      <c r="L454" s="198"/>
      <c r="M454" s="197"/>
      <c r="N454" s="197"/>
      <c r="O454" s="197"/>
      <c r="P454" s="197"/>
      <c r="Q454" s="197"/>
      <c r="R454" s="197"/>
    </row>
    <row r="455" spans="1:18" ht="16.5" customHeight="1"/>
    <row r="456" spans="1:18" ht="16.5" customHeight="1"/>
    <row r="457" spans="1:18" ht="16.5" customHeight="1"/>
    <row r="458" spans="1:18" ht="16.5" customHeight="1"/>
  </sheetData>
  <pageMargins left="0.54" right="0.51" top="0.73" bottom="0.8" header="0.5" footer="0.5"/>
  <pageSetup paperSize="9" scale="80" orientation="landscape" r:id="rId1"/>
  <headerFooter alignWithMargins="0">
    <oddFooter>&amp;R&amp;8&amp;A</oddFooter>
  </headerFooter>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7"/>
  <sheetViews>
    <sheetView zoomScale="85" zoomScaleNormal="85" workbookViewId="0">
      <pane ySplit="7" topLeftCell="A8" activePane="bottomLeft" state="frozen"/>
      <selection activeCell="A18" sqref="A18"/>
      <selection pane="bottomLeft" activeCell="K204" sqref="K204"/>
    </sheetView>
  </sheetViews>
  <sheetFormatPr defaultRowHeight="15"/>
  <cols>
    <col min="1" max="1" width="5.140625" style="456" customWidth="1"/>
    <col min="2" max="2" width="32.42578125" style="453" customWidth="1"/>
    <col min="3" max="3" width="20.140625" style="453" customWidth="1"/>
    <col min="4" max="4" width="11.7109375" style="453" customWidth="1"/>
    <col min="5" max="5" width="12.85546875" style="453" customWidth="1"/>
    <col min="6" max="6" width="14.7109375" style="454" customWidth="1"/>
    <col min="7" max="7" width="15.28515625" style="453" customWidth="1"/>
    <col min="8" max="8" width="12.7109375" style="453" customWidth="1"/>
    <col min="9" max="9" width="14.85546875" style="453" customWidth="1"/>
    <col min="10" max="10" width="12.7109375" style="453" customWidth="1"/>
    <col min="11" max="11" width="17.42578125" style="453" customWidth="1"/>
    <col min="12" max="251" width="9.140625" style="455"/>
    <col min="252" max="252" width="5.140625" style="455" customWidth="1"/>
    <col min="253" max="253" width="29.42578125" style="455" customWidth="1"/>
    <col min="254" max="254" width="8.42578125" style="455" customWidth="1"/>
    <col min="255" max="255" width="11.7109375" style="455" customWidth="1"/>
    <col min="256" max="256" width="0" style="455" hidden="1" customWidth="1"/>
    <col min="257" max="257" width="14.7109375" style="455" customWidth="1"/>
    <col min="258" max="258" width="15.28515625" style="455" customWidth="1"/>
    <col min="259" max="259" width="12.7109375" style="455" customWidth="1"/>
    <col min="260" max="260" width="14.85546875" style="455" customWidth="1"/>
    <col min="261" max="261" width="12.7109375" style="455" customWidth="1"/>
    <col min="262" max="262" width="17.42578125" style="455" customWidth="1"/>
    <col min="263" max="268" width="9.140625" style="455"/>
    <col min="269" max="269" width="14.28515625" style="455" bestFit="1" customWidth="1"/>
    <col min="270" max="507" width="9.140625" style="455"/>
    <col min="508" max="508" width="5.140625" style="455" customWidth="1"/>
    <col min="509" max="509" width="29.42578125" style="455" customWidth="1"/>
    <col min="510" max="510" width="8.42578125" style="455" customWidth="1"/>
    <col min="511" max="511" width="11.7109375" style="455" customWidth="1"/>
    <col min="512" max="512" width="0" style="455" hidden="1" customWidth="1"/>
    <col min="513" max="513" width="14.7109375" style="455" customWidth="1"/>
    <col min="514" max="514" width="15.28515625" style="455" customWidth="1"/>
    <col min="515" max="515" width="12.7109375" style="455" customWidth="1"/>
    <col min="516" max="516" width="14.85546875" style="455" customWidth="1"/>
    <col min="517" max="517" width="12.7109375" style="455" customWidth="1"/>
    <col min="518" max="518" width="17.42578125" style="455" customWidth="1"/>
    <col min="519" max="524" width="9.140625" style="455"/>
    <col min="525" max="525" width="14.28515625" style="455" bestFit="1" customWidth="1"/>
    <col min="526" max="763" width="9.140625" style="455"/>
    <col min="764" max="764" width="5.140625" style="455" customWidth="1"/>
    <col min="765" max="765" width="29.42578125" style="455" customWidth="1"/>
    <col min="766" max="766" width="8.42578125" style="455" customWidth="1"/>
    <col min="767" max="767" width="11.7109375" style="455" customWidth="1"/>
    <col min="768" max="768" width="0" style="455" hidden="1" customWidth="1"/>
    <col min="769" max="769" width="14.7109375" style="455" customWidth="1"/>
    <col min="770" max="770" width="15.28515625" style="455" customWidth="1"/>
    <col min="771" max="771" width="12.7109375" style="455" customWidth="1"/>
    <col min="772" max="772" width="14.85546875" style="455" customWidth="1"/>
    <col min="773" max="773" width="12.7109375" style="455" customWidth="1"/>
    <col min="774" max="774" width="17.42578125" style="455" customWidth="1"/>
    <col min="775" max="780" width="9.140625" style="455"/>
    <col min="781" max="781" width="14.28515625" style="455" bestFit="1" customWidth="1"/>
    <col min="782" max="1019" width="9.140625" style="455"/>
    <col min="1020" max="1020" width="5.140625" style="455" customWidth="1"/>
    <col min="1021" max="1021" width="29.42578125" style="455" customWidth="1"/>
    <col min="1022" max="1022" width="8.42578125" style="455" customWidth="1"/>
    <col min="1023" max="1023" width="11.7109375" style="455" customWidth="1"/>
    <col min="1024" max="1024" width="0" style="455" hidden="1" customWidth="1"/>
    <col min="1025" max="1025" width="14.7109375" style="455" customWidth="1"/>
    <col min="1026" max="1026" width="15.28515625" style="455" customWidth="1"/>
    <col min="1027" max="1027" width="12.7109375" style="455" customWidth="1"/>
    <col min="1028" max="1028" width="14.85546875" style="455" customWidth="1"/>
    <col min="1029" max="1029" width="12.7109375" style="455" customWidth="1"/>
    <col min="1030" max="1030" width="17.42578125" style="455" customWidth="1"/>
    <col min="1031" max="1036" width="9.140625" style="455"/>
    <col min="1037" max="1037" width="14.28515625" style="455" bestFit="1" customWidth="1"/>
    <col min="1038" max="1275" width="9.140625" style="455"/>
    <col min="1276" max="1276" width="5.140625" style="455" customWidth="1"/>
    <col min="1277" max="1277" width="29.42578125" style="455" customWidth="1"/>
    <col min="1278" max="1278" width="8.42578125" style="455" customWidth="1"/>
    <col min="1279" max="1279" width="11.7109375" style="455" customWidth="1"/>
    <col min="1280" max="1280" width="0" style="455" hidden="1" customWidth="1"/>
    <col min="1281" max="1281" width="14.7109375" style="455" customWidth="1"/>
    <col min="1282" max="1282" width="15.28515625" style="455" customWidth="1"/>
    <col min="1283" max="1283" width="12.7109375" style="455" customWidth="1"/>
    <col min="1284" max="1284" width="14.85546875" style="455" customWidth="1"/>
    <col min="1285" max="1285" width="12.7109375" style="455" customWidth="1"/>
    <col min="1286" max="1286" width="17.42578125" style="455" customWidth="1"/>
    <col min="1287" max="1292" width="9.140625" style="455"/>
    <col min="1293" max="1293" width="14.28515625" style="455" bestFit="1" customWidth="1"/>
    <col min="1294" max="1531" width="9.140625" style="455"/>
    <col min="1532" max="1532" width="5.140625" style="455" customWidth="1"/>
    <col min="1533" max="1533" width="29.42578125" style="455" customWidth="1"/>
    <col min="1534" max="1534" width="8.42578125" style="455" customWidth="1"/>
    <col min="1535" max="1535" width="11.7109375" style="455" customWidth="1"/>
    <col min="1536" max="1536" width="0" style="455" hidden="1" customWidth="1"/>
    <col min="1537" max="1537" width="14.7109375" style="455" customWidth="1"/>
    <col min="1538" max="1538" width="15.28515625" style="455" customWidth="1"/>
    <col min="1539" max="1539" width="12.7109375" style="455" customWidth="1"/>
    <col min="1540" max="1540" width="14.85546875" style="455" customWidth="1"/>
    <col min="1541" max="1541" width="12.7109375" style="455" customWidth="1"/>
    <col min="1542" max="1542" width="17.42578125" style="455" customWidth="1"/>
    <col min="1543" max="1548" width="9.140625" style="455"/>
    <col min="1549" max="1549" width="14.28515625" style="455" bestFit="1" customWidth="1"/>
    <col min="1550" max="1787" width="9.140625" style="455"/>
    <col min="1788" max="1788" width="5.140625" style="455" customWidth="1"/>
    <col min="1789" max="1789" width="29.42578125" style="455" customWidth="1"/>
    <col min="1790" max="1790" width="8.42578125" style="455" customWidth="1"/>
    <col min="1791" max="1791" width="11.7109375" style="455" customWidth="1"/>
    <col min="1792" max="1792" width="0" style="455" hidden="1" customWidth="1"/>
    <col min="1793" max="1793" width="14.7109375" style="455" customWidth="1"/>
    <col min="1794" max="1794" width="15.28515625" style="455" customWidth="1"/>
    <col min="1795" max="1795" width="12.7109375" style="455" customWidth="1"/>
    <col min="1796" max="1796" width="14.85546875" style="455" customWidth="1"/>
    <col min="1797" max="1797" width="12.7109375" style="455" customWidth="1"/>
    <col min="1798" max="1798" width="17.42578125" style="455" customWidth="1"/>
    <col min="1799" max="1804" width="9.140625" style="455"/>
    <col min="1805" max="1805" width="14.28515625" style="455" bestFit="1" customWidth="1"/>
    <col min="1806" max="2043" width="9.140625" style="455"/>
    <col min="2044" max="2044" width="5.140625" style="455" customWidth="1"/>
    <col min="2045" max="2045" width="29.42578125" style="455" customWidth="1"/>
    <col min="2046" max="2046" width="8.42578125" style="455" customWidth="1"/>
    <col min="2047" max="2047" width="11.7109375" style="455" customWidth="1"/>
    <col min="2048" max="2048" width="0" style="455" hidden="1" customWidth="1"/>
    <col min="2049" max="2049" width="14.7109375" style="455" customWidth="1"/>
    <col min="2050" max="2050" width="15.28515625" style="455" customWidth="1"/>
    <col min="2051" max="2051" width="12.7109375" style="455" customWidth="1"/>
    <col min="2052" max="2052" width="14.85546875" style="455" customWidth="1"/>
    <col min="2053" max="2053" width="12.7109375" style="455" customWidth="1"/>
    <col min="2054" max="2054" width="17.42578125" style="455" customWidth="1"/>
    <col min="2055" max="2060" width="9.140625" style="455"/>
    <col min="2061" max="2061" width="14.28515625" style="455" bestFit="1" customWidth="1"/>
    <col min="2062" max="2299" width="9.140625" style="455"/>
    <col min="2300" max="2300" width="5.140625" style="455" customWidth="1"/>
    <col min="2301" max="2301" width="29.42578125" style="455" customWidth="1"/>
    <col min="2302" max="2302" width="8.42578125" style="455" customWidth="1"/>
    <col min="2303" max="2303" width="11.7109375" style="455" customWidth="1"/>
    <col min="2304" max="2304" width="0" style="455" hidden="1" customWidth="1"/>
    <col min="2305" max="2305" width="14.7109375" style="455" customWidth="1"/>
    <col min="2306" max="2306" width="15.28515625" style="455" customWidth="1"/>
    <col min="2307" max="2307" width="12.7109375" style="455" customWidth="1"/>
    <col min="2308" max="2308" width="14.85546875" style="455" customWidth="1"/>
    <col min="2309" max="2309" width="12.7109375" style="455" customWidth="1"/>
    <col min="2310" max="2310" width="17.42578125" style="455" customWidth="1"/>
    <col min="2311" max="2316" width="9.140625" style="455"/>
    <col min="2317" max="2317" width="14.28515625" style="455" bestFit="1" customWidth="1"/>
    <col min="2318" max="2555" width="9.140625" style="455"/>
    <col min="2556" max="2556" width="5.140625" style="455" customWidth="1"/>
    <col min="2557" max="2557" width="29.42578125" style="455" customWidth="1"/>
    <col min="2558" max="2558" width="8.42578125" style="455" customWidth="1"/>
    <col min="2559" max="2559" width="11.7109375" style="455" customWidth="1"/>
    <col min="2560" max="2560" width="0" style="455" hidden="1" customWidth="1"/>
    <col min="2561" max="2561" width="14.7109375" style="455" customWidth="1"/>
    <col min="2562" max="2562" width="15.28515625" style="455" customWidth="1"/>
    <col min="2563" max="2563" width="12.7109375" style="455" customWidth="1"/>
    <col min="2564" max="2564" width="14.85546875" style="455" customWidth="1"/>
    <col min="2565" max="2565" width="12.7109375" style="455" customWidth="1"/>
    <col min="2566" max="2566" width="17.42578125" style="455" customWidth="1"/>
    <col min="2567" max="2572" width="9.140625" style="455"/>
    <col min="2573" max="2573" width="14.28515625" style="455" bestFit="1" customWidth="1"/>
    <col min="2574" max="2811" width="9.140625" style="455"/>
    <col min="2812" max="2812" width="5.140625" style="455" customWidth="1"/>
    <col min="2813" max="2813" width="29.42578125" style="455" customWidth="1"/>
    <col min="2814" max="2814" width="8.42578125" style="455" customWidth="1"/>
    <col min="2815" max="2815" width="11.7109375" style="455" customWidth="1"/>
    <col min="2816" max="2816" width="0" style="455" hidden="1" customWidth="1"/>
    <col min="2817" max="2817" width="14.7109375" style="455" customWidth="1"/>
    <col min="2818" max="2818" width="15.28515625" style="455" customWidth="1"/>
    <col min="2819" max="2819" width="12.7109375" style="455" customWidth="1"/>
    <col min="2820" max="2820" width="14.85546875" style="455" customWidth="1"/>
    <col min="2821" max="2821" width="12.7109375" style="455" customWidth="1"/>
    <col min="2822" max="2822" width="17.42578125" style="455" customWidth="1"/>
    <col min="2823" max="2828" width="9.140625" style="455"/>
    <col min="2829" max="2829" width="14.28515625" style="455" bestFit="1" customWidth="1"/>
    <col min="2830" max="3067" width="9.140625" style="455"/>
    <col min="3068" max="3068" width="5.140625" style="455" customWidth="1"/>
    <col min="3069" max="3069" width="29.42578125" style="455" customWidth="1"/>
    <col min="3070" max="3070" width="8.42578125" style="455" customWidth="1"/>
    <col min="3071" max="3071" width="11.7109375" style="455" customWidth="1"/>
    <col min="3072" max="3072" width="0" style="455" hidden="1" customWidth="1"/>
    <col min="3073" max="3073" width="14.7109375" style="455" customWidth="1"/>
    <col min="3074" max="3074" width="15.28515625" style="455" customWidth="1"/>
    <col min="3075" max="3075" width="12.7109375" style="455" customWidth="1"/>
    <col min="3076" max="3076" width="14.85546875" style="455" customWidth="1"/>
    <col min="3077" max="3077" width="12.7109375" style="455" customWidth="1"/>
    <col min="3078" max="3078" width="17.42578125" style="455" customWidth="1"/>
    <col min="3079" max="3084" width="9.140625" style="455"/>
    <col min="3085" max="3085" width="14.28515625" style="455" bestFit="1" customWidth="1"/>
    <col min="3086" max="3323" width="9.140625" style="455"/>
    <col min="3324" max="3324" width="5.140625" style="455" customWidth="1"/>
    <col min="3325" max="3325" width="29.42578125" style="455" customWidth="1"/>
    <col min="3326" max="3326" width="8.42578125" style="455" customWidth="1"/>
    <col min="3327" max="3327" width="11.7109375" style="455" customWidth="1"/>
    <col min="3328" max="3328" width="0" style="455" hidden="1" customWidth="1"/>
    <col min="3329" max="3329" width="14.7109375" style="455" customWidth="1"/>
    <col min="3330" max="3330" width="15.28515625" style="455" customWidth="1"/>
    <col min="3331" max="3331" width="12.7109375" style="455" customWidth="1"/>
    <col min="3332" max="3332" width="14.85546875" style="455" customWidth="1"/>
    <col min="3333" max="3333" width="12.7109375" style="455" customWidth="1"/>
    <col min="3334" max="3334" width="17.42578125" style="455" customWidth="1"/>
    <col min="3335" max="3340" width="9.140625" style="455"/>
    <col min="3341" max="3341" width="14.28515625" style="455" bestFit="1" customWidth="1"/>
    <col min="3342" max="3579" width="9.140625" style="455"/>
    <col min="3580" max="3580" width="5.140625" style="455" customWidth="1"/>
    <col min="3581" max="3581" width="29.42578125" style="455" customWidth="1"/>
    <col min="3582" max="3582" width="8.42578125" style="455" customWidth="1"/>
    <col min="3583" max="3583" width="11.7109375" style="455" customWidth="1"/>
    <col min="3584" max="3584" width="0" style="455" hidden="1" customWidth="1"/>
    <col min="3585" max="3585" width="14.7109375" style="455" customWidth="1"/>
    <col min="3586" max="3586" width="15.28515625" style="455" customWidth="1"/>
    <col min="3587" max="3587" width="12.7109375" style="455" customWidth="1"/>
    <col min="3588" max="3588" width="14.85546875" style="455" customWidth="1"/>
    <col min="3589" max="3589" width="12.7109375" style="455" customWidth="1"/>
    <col min="3590" max="3590" width="17.42578125" style="455" customWidth="1"/>
    <col min="3591" max="3596" width="9.140625" style="455"/>
    <col min="3597" max="3597" width="14.28515625" style="455" bestFit="1" customWidth="1"/>
    <col min="3598" max="3835" width="9.140625" style="455"/>
    <col min="3836" max="3836" width="5.140625" style="455" customWidth="1"/>
    <col min="3837" max="3837" width="29.42578125" style="455" customWidth="1"/>
    <col min="3838" max="3838" width="8.42578125" style="455" customWidth="1"/>
    <col min="3839" max="3839" width="11.7109375" style="455" customWidth="1"/>
    <col min="3840" max="3840" width="0" style="455" hidden="1" customWidth="1"/>
    <col min="3841" max="3841" width="14.7109375" style="455" customWidth="1"/>
    <col min="3842" max="3842" width="15.28515625" style="455" customWidth="1"/>
    <col min="3843" max="3843" width="12.7109375" style="455" customWidth="1"/>
    <col min="3844" max="3844" width="14.85546875" style="455" customWidth="1"/>
    <col min="3845" max="3845" width="12.7109375" style="455" customWidth="1"/>
    <col min="3846" max="3846" width="17.42578125" style="455" customWidth="1"/>
    <col min="3847" max="3852" width="9.140625" style="455"/>
    <col min="3853" max="3853" width="14.28515625" style="455" bestFit="1" customWidth="1"/>
    <col min="3854" max="4091" width="9.140625" style="455"/>
    <col min="4092" max="4092" width="5.140625" style="455" customWidth="1"/>
    <col min="4093" max="4093" width="29.42578125" style="455" customWidth="1"/>
    <col min="4094" max="4094" width="8.42578125" style="455" customWidth="1"/>
    <col min="4095" max="4095" width="11.7109375" style="455" customWidth="1"/>
    <col min="4096" max="4096" width="0" style="455" hidden="1" customWidth="1"/>
    <col min="4097" max="4097" width="14.7109375" style="455" customWidth="1"/>
    <col min="4098" max="4098" width="15.28515625" style="455" customWidth="1"/>
    <col min="4099" max="4099" width="12.7109375" style="455" customWidth="1"/>
    <col min="4100" max="4100" width="14.85546875" style="455" customWidth="1"/>
    <col min="4101" max="4101" width="12.7109375" style="455" customWidth="1"/>
    <col min="4102" max="4102" width="17.42578125" style="455" customWidth="1"/>
    <col min="4103" max="4108" width="9.140625" style="455"/>
    <col min="4109" max="4109" width="14.28515625" style="455" bestFit="1" customWidth="1"/>
    <col min="4110" max="4347" width="9.140625" style="455"/>
    <col min="4348" max="4348" width="5.140625" style="455" customWidth="1"/>
    <col min="4349" max="4349" width="29.42578125" style="455" customWidth="1"/>
    <col min="4350" max="4350" width="8.42578125" style="455" customWidth="1"/>
    <col min="4351" max="4351" width="11.7109375" style="455" customWidth="1"/>
    <col min="4352" max="4352" width="0" style="455" hidden="1" customWidth="1"/>
    <col min="4353" max="4353" width="14.7109375" style="455" customWidth="1"/>
    <col min="4354" max="4354" width="15.28515625" style="455" customWidth="1"/>
    <col min="4355" max="4355" width="12.7109375" style="455" customWidth="1"/>
    <col min="4356" max="4356" width="14.85546875" style="455" customWidth="1"/>
    <col min="4357" max="4357" width="12.7109375" style="455" customWidth="1"/>
    <col min="4358" max="4358" width="17.42578125" style="455" customWidth="1"/>
    <col min="4359" max="4364" width="9.140625" style="455"/>
    <col min="4365" max="4365" width="14.28515625" style="455" bestFit="1" customWidth="1"/>
    <col min="4366" max="4603" width="9.140625" style="455"/>
    <col min="4604" max="4604" width="5.140625" style="455" customWidth="1"/>
    <col min="4605" max="4605" width="29.42578125" style="455" customWidth="1"/>
    <col min="4606" max="4606" width="8.42578125" style="455" customWidth="1"/>
    <col min="4607" max="4607" width="11.7109375" style="455" customWidth="1"/>
    <col min="4608" max="4608" width="0" style="455" hidden="1" customWidth="1"/>
    <col min="4609" max="4609" width="14.7109375" style="455" customWidth="1"/>
    <col min="4610" max="4610" width="15.28515625" style="455" customWidth="1"/>
    <col min="4611" max="4611" width="12.7109375" style="455" customWidth="1"/>
    <col min="4612" max="4612" width="14.85546875" style="455" customWidth="1"/>
    <col min="4613" max="4613" width="12.7109375" style="455" customWidth="1"/>
    <col min="4614" max="4614" width="17.42578125" style="455" customWidth="1"/>
    <col min="4615" max="4620" width="9.140625" style="455"/>
    <col min="4621" max="4621" width="14.28515625" style="455" bestFit="1" customWidth="1"/>
    <col min="4622" max="4859" width="9.140625" style="455"/>
    <col min="4860" max="4860" width="5.140625" style="455" customWidth="1"/>
    <col min="4861" max="4861" width="29.42578125" style="455" customWidth="1"/>
    <col min="4862" max="4862" width="8.42578125" style="455" customWidth="1"/>
    <col min="4863" max="4863" width="11.7109375" style="455" customWidth="1"/>
    <col min="4864" max="4864" width="0" style="455" hidden="1" customWidth="1"/>
    <col min="4865" max="4865" width="14.7109375" style="455" customWidth="1"/>
    <col min="4866" max="4866" width="15.28515625" style="455" customWidth="1"/>
    <col min="4867" max="4867" width="12.7109375" style="455" customWidth="1"/>
    <col min="4868" max="4868" width="14.85546875" style="455" customWidth="1"/>
    <col min="4869" max="4869" width="12.7109375" style="455" customWidth="1"/>
    <col min="4870" max="4870" width="17.42578125" style="455" customWidth="1"/>
    <col min="4871" max="4876" width="9.140625" style="455"/>
    <col min="4877" max="4877" width="14.28515625" style="455" bestFit="1" customWidth="1"/>
    <col min="4878" max="5115" width="9.140625" style="455"/>
    <col min="5116" max="5116" width="5.140625" style="455" customWidth="1"/>
    <col min="5117" max="5117" width="29.42578125" style="455" customWidth="1"/>
    <col min="5118" max="5118" width="8.42578125" style="455" customWidth="1"/>
    <col min="5119" max="5119" width="11.7109375" style="455" customWidth="1"/>
    <col min="5120" max="5120" width="0" style="455" hidden="1" customWidth="1"/>
    <col min="5121" max="5121" width="14.7109375" style="455" customWidth="1"/>
    <col min="5122" max="5122" width="15.28515625" style="455" customWidth="1"/>
    <col min="5123" max="5123" width="12.7109375" style="455" customWidth="1"/>
    <col min="5124" max="5124" width="14.85546875" style="455" customWidth="1"/>
    <col min="5125" max="5125" width="12.7109375" style="455" customWidth="1"/>
    <col min="5126" max="5126" width="17.42578125" style="455" customWidth="1"/>
    <col min="5127" max="5132" width="9.140625" style="455"/>
    <col min="5133" max="5133" width="14.28515625" style="455" bestFit="1" customWidth="1"/>
    <col min="5134" max="5371" width="9.140625" style="455"/>
    <col min="5372" max="5372" width="5.140625" style="455" customWidth="1"/>
    <col min="5373" max="5373" width="29.42578125" style="455" customWidth="1"/>
    <col min="5374" max="5374" width="8.42578125" style="455" customWidth="1"/>
    <col min="5375" max="5375" width="11.7109375" style="455" customWidth="1"/>
    <col min="5376" max="5376" width="0" style="455" hidden="1" customWidth="1"/>
    <col min="5377" max="5377" width="14.7109375" style="455" customWidth="1"/>
    <col min="5378" max="5378" width="15.28515625" style="455" customWidth="1"/>
    <col min="5379" max="5379" width="12.7109375" style="455" customWidth="1"/>
    <col min="5380" max="5380" width="14.85546875" style="455" customWidth="1"/>
    <col min="5381" max="5381" width="12.7109375" style="455" customWidth="1"/>
    <col min="5382" max="5382" width="17.42578125" style="455" customWidth="1"/>
    <col min="5383" max="5388" width="9.140625" style="455"/>
    <col min="5389" max="5389" width="14.28515625" style="455" bestFit="1" customWidth="1"/>
    <col min="5390" max="5627" width="9.140625" style="455"/>
    <col min="5628" max="5628" width="5.140625" style="455" customWidth="1"/>
    <col min="5629" max="5629" width="29.42578125" style="455" customWidth="1"/>
    <col min="5630" max="5630" width="8.42578125" style="455" customWidth="1"/>
    <col min="5631" max="5631" width="11.7109375" style="455" customWidth="1"/>
    <col min="5632" max="5632" width="0" style="455" hidden="1" customWidth="1"/>
    <col min="5633" max="5633" width="14.7109375" style="455" customWidth="1"/>
    <col min="5634" max="5634" width="15.28515625" style="455" customWidth="1"/>
    <col min="5635" max="5635" width="12.7109375" style="455" customWidth="1"/>
    <col min="5636" max="5636" width="14.85546875" style="455" customWidth="1"/>
    <col min="5637" max="5637" width="12.7109375" style="455" customWidth="1"/>
    <col min="5638" max="5638" width="17.42578125" style="455" customWidth="1"/>
    <col min="5639" max="5644" width="9.140625" style="455"/>
    <col min="5645" max="5645" width="14.28515625" style="455" bestFit="1" customWidth="1"/>
    <col min="5646" max="5883" width="9.140625" style="455"/>
    <col min="5884" max="5884" width="5.140625" style="455" customWidth="1"/>
    <col min="5885" max="5885" width="29.42578125" style="455" customWidth="1"/>
    <col min="5886" max="5886" width="8.42578125" style="455" customWidth="1"/>
    <col min="5887" max="5887" width="11.7109375" style="455" customWidth="1"/>
    <col min="5888" max="5888" width="0" style="455" hidden="1" customWidth="1"/>
    <col min="5889" max="5889" width="14.7109375" style="455" customWidth="1"/>
    <col min="5890" max="5890" width="15.28515625" style="455" customWidth="1"/>
    <col min="5891" max="5891" width="12.7109375" style="455" customWidth="1"/>
    <col min="5892" max="5892" width="14.85546875" style="455" customWidth="1"/>
    <col min="5893" max="5893" width="12.7109375" style="455" customWidth="1"/>
    <col min="5894" max="5894" width="17.42578125" style="455" customWidth="1"/>
    <col min="5895" max="5900" width="9.140625" style="455"/>
    <col min="5901" max="5901" width="14.28515625" style="455" bestFit="1" customWidth="1"/>
    <col min="5902" max="6139" width="9.140625" style="455"/>
    <col min="6140" max="6140" width="5.140625" style="455" customWidth="1"/>
    <col min="6141" max="6141" width="29.42578125" style="455" customWidth="1"/>
    <col min="6142" max="6142" width="8.42578125" style="455" customWidth="1"/>
    <col min="6143" max="6143" width="11.7109375" style="455" customWidth="1"/>
    <col min="6144" max="6144" width="0" style="455" hidden="1" customWidth="1"/>
    <col min="6145" max="6145" width="14.7109375" style="455" customWidth="1"/>
    <col min="6146" max="6146" width="15.28515625" style="455" customWidth="1"/>
    <col min="6147" max="6147" width="12.7109375" style="455" customWidth="1"/>
    <col min="6148" max="6148" width="14.85546875" style="455" customWidth="1"/>
    <col min="6149" max="6149" width="12.7109375" style="455" customWidth="1"/>
    <col min="6150" max="6150" width="17.42578125" style="455" customWidth="1"/>
    <col min="6151" max="6156" width="9.140625" style="455"/>
    <col min="6157" max="6157" width="14.28515625" style="455" bestFit="1" customWidth="1"/>
    <col min="6158" max="6395" width="9.140625" style="455"/>
    <col min="6396" max="6396" width="5.140625" style="455" customWidth="1"/>
    <col min="6397" max="6397" width="29.42578125" style="455" customWidth="1"/>
    <col min="6398" max="6398" width="8.42578125" style="455" customWidth="1"/>
    <col min="6399" max="6399" width="11.7109375" style="455" customWidth="1"/>
    <col min="6400" max="6400" width="0" style="455" hidden="1" customWidth="1"/>
    <col min="6401" max="6401" width="14.7109375" style="455" customWidth="1"/>
    <col min="6402" max="6402" width="15.28515625" style="455" customWidth="1"/>
    <col min="6403" max="6403" width="12.7109375" style="455" customWidth="1"/>
    <col min="6404" max="6404" width="14.85546875" style="455" customWidth="1"/>
    <col min="6405" max="6405" width="12.7109375" style="455" customWidth="1"/>
    <col min="6406" max="6406" width="17.42578125" style="455" customWidth="1"/>
    <col min="6407" max="6412" width="9.140625" style="455"/>
    <col min="6413" max="6413" width="14.28515625" style="455" bestFit="1" customWidth="1"/>
    <col min="6414" max="6651" width="9.140625" style="455"/>
    <col min="6652" max="6652" width="5.140625" style="455" customWidth="1"/>
    <col min="6653" max="6653" width="29.42578125" style="455" customWidth="1"/>
    <col min="6654" max="6654" width="8.42578125" style="455" customWidth="1"/>
    <col min="6655" max="6655" width="11.7109375" style="455" customWidth="1"/>
    <col min="6656" max="6656" width="0" style="455" hidden="1" customWidth="1"/>
    <col min="6657" max="6657" width="14.7109375" style="455" customWidth="1"/>
    <col min="6658" max="6658" width="15.28515625" style="455" customWidth="1"/>
    <col min="6659" max="6659" width="12.7109375" style="455" customWidth="1"/>
    <col min="6660" max="6660" width="14.85546875" style="455" customWidth="1"/>
    <col min="6661" max="6661" width="12.7109375" style="455" customWidth="1"/>
    <col min="6662" max="6662" width="17.42578125" style="455" customWidth="1"/>
    <col min="6663" max="6668" width="9.140625" style="455"/>
    <col min="6669" max="6669" width="14.28515625" style="455" bestFit="1" customWidth="1"/>
    <col min="6670" max="6907" width="9.140625" style="455"/>
    <col min="6908" max="6908" width="5.140625" style="455" customWidth="1"/>
    <col min="6909" max="6909" width="29.42578125" style="455" customWidth="1"/>
    <col min="6910" max="6910" width="8.42578125" style="455" customWidth="1"/>
    <col min="6911" max="6911" width="11.7109375" style="455" customWidth="1"/>
    <col min="6912" max="6912" width="0" style="455" hidden="1" customWidth="1"/>
    <col min="6913" max="6913" width="14.7109375" style="455" customWidth="1"/>
    <col min="6914" max="6914" width="15.28515625" style="455" customWidth="1"/>
    <col min="6915" max="6915" width="12.7109375" style="455" customWidth="1"/>
    <col min="6916" max="6916" width="14.85546875" style="455" customWidth="1"/>
    <col min="6917" max="6917" width="12.7109375" style="455" customWidth="1"/>
    <col min="6918" max="6918" width="17.42578125" style="455" customWidth="1"/>
    <col min="6919" max="6924" width="9.140625" style="455"/>
    <col min="6925" max="6925" width="14.28515625" style="455" bestFit="1" customWidth="1"/>
    <col min="6926" max="7163" width="9.140625" style="455"/>
    <col min="7164" max="7164" width="5.140625" style="455" customWidth="1"/>
    <col min="7165" max="7165" width="29.42578125" style="455" customWidth="1"/>
    <col min="7166" max="7166" width="8.42578125" style="455" customWidth="1"/>
    <col min="7167" max="7167" width="11.7109375" style="455" customWidth="1"/>
    <col min="7168" max="7168" width="0" style="455" hidden="1" customWidth="1"/>
    <col min="7169" max="7169" width="14.7109375" style="455" customWidth="1"/>
    <col min="7170" max="7170" width="15.28515625" style="455" customWidth="1"/>
    <col min="7171" max="7171" width="12.7109375" style="455" customWidth="1"/>
    <col min="7172" max="7172" width="14.85546875" style="455" customWidth="1"/>
    <col min="7173" max="7173" width="12.7109375" style="455" customWidth="1"/>
    <col min="7174" max="7174" width="17.42578125" style="455" customWidth="1"/>
    <col min="7175" max="7180" width="9.140625" style="455"/>
    <col min="7181" max="7181" width="14.28515625" style="455" bestFit="1" customWidth="1"/>
    <col min="7182" max="7419" width="9.140625" style="455"/>
    <col min="7420" max="7420" width="5.140625" style="455" customWidth="1"/>
    <col min="7421" max="7421" width="29.42578125" style="455" customWidth="1"/>
    <col min="7422" max="7422" width="8.42578125" style="455" customWidth="1"/>
    <col min="7423" max="7423" width="11.7109375" style="455" customWidth="1"/>
    <col min="7424" max="7424" width="0" style="455" hidden="1" customWidth="1"/>
    <col min="7425" max="7425" width="14.7109375" style="455" customWidth="1"/>
    <col min="7426" max="7426" width="15.28515625" style="455" customWidth="1"/>
    <col min="7427" max="7427" width="12.7109375" style="455" customWidth="1"/>
    <col min="7428" max="7428" width="14.85546875" style="455" customWidth="1"/>
    <col min="7429" max="7429" width="12.7109375" style="455" customWidth="1"/>
    <col min="7430" max="7430" width="17.42578125" style="455" customWidth="1"/>
    <col min="7431" max="7436" width="9.140625" style="455"/>
    <col min="7437" max="7437" width="14.28515625" style="455" bestFit="1" customWidth="1"/>
    <col min="7438" max="7675" width="9.140625" style="455"/>
    <col min="7676" max="7676" width="5.140625" style="455" customWidth="1"/>
    <col min="7677" max="7677" width="29.42578125" style="455" customWidth="1"/>
    <col min="7678" max="7678" width="8.42578125" style="455" customWidth="1"/>
    <col min="7679" max="7679" width="11.7109375" style="455" customWidth="1"/>
    <col min="7680" max="7680" width="0" style="455" hidden="1" customWidth="1"/>
    <col min="7681" max="7681" width="14.7109375" style="455" customWidth="1"/>
    <col min="7682" max="7682" width="15.28515625" style="455" customWidth="1"/>
    <col min="7683" max="7683" width="12.7109375" style="455" customWidth="1"/>
    <col min="7684" max="7684" width="14.85546875" style="455" customWidth="1"/>
    <col min="7685" max="7685" width="12.7109375" style="455" customWidth="1"/>
    <col min="7686" max="7686" width="17.42578125" style="455" customWidth="1"/>
    <col min="7687" max="7692" width="9.140625" style="455"/>
    <col min="7693" max="7693" width="14.28515625" style="455" bestFit="1" customWidth="1"/>
    <col min="7694" max="7931" width="9.140625" style="455"/>
    <col min="7932" max="7932" width="5.140625" style="455" customWidth="1"/>
    <col min="7933" max="7933" width="29.42578125" style="455" customWidth="1"/>
    <col min="7934" max="7934" width="8.42578125" style="455" customWidth="1"/>
    <col min="7935" max="7935" width="11.7109375" style="455" customWidth="1"/>
    <col min="7936" max="7936" width="0" style="455" hidden="1" customWidth="1"/>
    <col min="7937" max="7937" width="14.7109375" style="455" customWidth="1"/>
    <col min="7938" max="7938" width="15.28515625" style="455" customWidth="1"/>
    <col min="7939" max="7939" width="12.7109375" style="455" customWidth="1"/>
    <col min="7940" max="7940" width="14.85546875" style="455" customWidth="1"/>
    <col min="7941" max="7941" width="12.7109375" style="455" customWidth="1"/>
    <col min="7942" max="7942" width="17.42578125" style="455" customWidth="1"/>
    <col min="7943" max="7948" width="9.140625" style="455"/>
    <col min="7949" max="7949" width="14.28515625" style="455" bestFit="1" customWidth="1"/>
    <col min="7950" max="8187" width="9.140625" style="455"/>
    <col min="8188" max="8188" width="5.140625" style="455" customWidth="1"/>
    <col min="8189" max="8189" width="29.42578125" style="455" customWidth="1"/>
    <col min="8190" max="8190" width="8.42578125" style="455" customWidth="1"/>
    <col min="8191" max="8191" width="11.7109375" style="455" customWidth="1"/>
    <col min="8192" max="8192" width="0" style="455" hidden="1" customWidth="1"/>
    <col min="8193" max="8193" width="14.7109375" style="455" customWidth="1"/>
    <col min="8194" max="8194" width="15.28515625" style="455" customWidth="1"/>
    <col min="8195" max="8195" width="12.7109375" style="455" customWidth="1"/>
    <col min="8196" max="8196" width="14.85546875" style="455" customWidth="1"/>
    <col min="8197" max="8197" width="12.7109375" style="455" customWidth="1"/>
    <col min="8198" max="8198" width="17.42578125" style="455" customWidth="1"/>
    <col min="8199" max="8204" width="9.140625" style="455"/>
    <col min="8205" max="8205" width="14.28515625" style="455" bestFit="1" customWidth="1"/>
    <col min="8206" max="8443" width="9.140625" style="455"/>
    <col min="8444" max="8444" width="5.140625" style="455" customWidth="1"/>
    <col min="8445" max="8445" width="29.42578125" style="455" customWidth="1"/>
    <col min="8446" max="8446" width="8.42578125" style="455" customWidth="1"/>
    <col min="8447" max="8447" width="11.7109375" style="455" customWidth="1"/>
    <col min="8448" max="8448" width="0" style="455" hidden="1" customWidth="1"/>
    <col min="8449" max="8449" width="14.7109375" style="455" customWidth="1"/>
    <col min="8450" max="8450" width="15.28515625" style="455" customWidth="1"/>
    <col min="8451" max="8451" width="12.7109375" style="455" customWidth="1"/>
    <col min="8452" max="8452" width="14.85546875" style="455" customWidth="1"/>
    <col min="8453" max="8453" width="12.7109375" style="455" customWidth="1"/>
    <col min="8454" max="8454" width="17.42578125" style="455" customWidth="1"/>
    <col min="8455" max="8460" width="9.140625" style="455"/>
    <col min="8461" max="8461" width="14.28515625" style="455" bestFit="1" customWidth="1"/>
    <col min="8462" max="8699" width="9.140625" style="455"/>
    <col min="8700" max="8700" width="5.140625" style="455" customWidth="1"/>
    <col min="8701" max="8701" width="29.42578125" style="455" customWidth="1"/>
    <col min="8702" max="8702" width="8.42578125" style="455" customWidth="1"/>
    <col min="8703" max="8703" width="11.7109375" style="455" customWidth="1"/>
    <col min="8704" max="8704" width="0" style="455" hidden="1" customWidth="1"/>
    <col min="8705" max="8705" width="14.7109375" style="455" customWidth="1"/>
    <col min="8706" max="8706" width="15.28515625" style="455" customWidth="1"/>
    <col min="8707" max="8707" width="12.7109375" style="455" customWidth="1"/>
    <col min="8708" max="8708" width="14.85546875" style="455" customWidth="1"/>
    <col min="8709" max="8709" width="12.7109375" style="455" customWidth="1"/>
    <col min="8710" max="8710" width="17.42578125" style="455" customWidth="1"/>
    <col min="8711" max="8716" width="9.140625" style="455"/>
    <col min="8717" max="8717" width="14.28515625" style="455" bestFit="1" customWidth="1"/>
    <col min="8718" max="8955" width="9.140625" style="455"/>
    <col min="8956" max="8956" width="5.140625" style="455" customWidth="1"/>
    <col min="8957" max="8957" width="29.42578125" style="455" customWidth="1"/>
    <col min="8958" max="8958" width="8.42578125" style="455" customWidth="1"/>
    <col min="8959" max="8959" width="11.7109375" style="455" customWidth="1"/>
    <col min="8960" max="8960" width="0" style="455" hidden="1" customWidth="1"/>
    <col min="8961" max="8961" width="14.7109375" style="455" customWidth="1"/>
    <col min="8962" max="8962" width="15.28515625" style="455" customWidth="1"/>
    <col min="8963" max="8963" width="12.7109375" style="455" customWidth="1"/>
    <col min="8964" max="8964" width="14.85546875" style="455" customWidth="1"/>
    <col min="8965" max="8965" width="12.7109375" style="455" customWidth="1"/>
    <col min="8966" max="8966" width="17.42578125" style="455" customWidth="1"/>
    <col min="8967" max="8972" width="9.140625" style="455"/>
    <col min="8973" max="8973" width="14.28515625" style="455" bestFit="1" customWidth="1"/>
    <col min="8974" max="9211" width="9.140625" style="455"/>
    <col min="9212" max="9212" width="5.140625" style="455" customWidth="1"/>
    <col min="9213" max="9213" width="29.42578125" style="455" customWidth="1"/>
    <col min="9214" max="9214" width="8.42578125" style="455" customWidth="1"/>
    <col min="9215" max="9215" width="11.7109375" style="455" customWidth="1"/>
    <col min="9216" max="9216" width="0" style="455" hidden="1" customWidth="1"/>
    <col min="9217" max="9217" width="14.7109375" style="455" customWidth="1"/>
    <col min="9218" max="9218" width="15.28515625" style="455" customWidth="1"/>
    <col min="9219" max="9219" width="12.7109375" style="455" customWidth="1"/>
    <col min="9220" max="9220" width="14.85546875" style="455" customWidth="1"/>
    <col min="9221" max="9221" width="12.7109375" style="455" customWidth="1"/>
    <col min="9222" max="9222" width="17.42578125" style="455" customWidth="1"/>
    <col min="9223" max="9228" width="9.140625" style="455"/>
    <col min="9229" max="9229" width="14.28515625" style="455" bestFit="1" customWidth="1"/>
    <col min="9230" max="9467" width="9.140625" style="455"/>
    <col min="9468" max="9468" width="5.140625" style="455" customWidth="1"/>
    <col min="9469" max="9469" width="29.42578125" style="455" customWidth="1"/>
    <col min="9470" max="9470" width="8.42578125" style="455" customWidth="1"/>
    <col min="9471" max="9471" width="11.7109375" style="455" customWidth="1"/>
    <col min="9472" max="9472" width="0" style="455" hidden="1" customWidth="1"/>
    <col min="9473" max="9473" width="14.7109375" style="455" customWidth="1"/>
    <col min="9474" max="9474" width="15.28515625" style="455" customWidth="1"/>
    <col min="9475" max="9475" width="12.7109375" style="455" customWidth="1"/>
    <col min="9476" max="9476" width="14.85546875" style="455" customWidth="1"/>
    <col min="9477" max="9477" width="12.7109375" style="455" customWidth="1"/>
    <col min="9478" max="9478" width="17.42578125" style="455" customWidth="1"/>
    <col min="9479" max="9484" width="9.140625" style="455"/>
    <col min="9485" max="9485" width="14.28515625" style="455" bestFit="1" customWidth="1"/>
    <col min="9486" max="9723" width="9.140625" style="455"/>
    <col min="9724" max="9724" width="5.140625" style="455" customWidth="1"/>
    <col min="9725" max="9725" width="29.42578125" style="455" customWidth="1"/>
    <col min="9726" max="9726" width="8.42578125" style="455" customWidth="1"/>
    <col min="9727" max="9727" width="11.7109375" style="455" customWidth="1"/>
    <col min="9728" max="9728" width="0" style="455" hidden="1" customWidth="1"/>
    <col min="9729" max="9729" width="14.7109375" style="455" customWidth="1"/>
    <col min="9730" max="9730" width="15.28515625" style="455" customWidth="1"/>
    <col min="9731" max="9731" width="12.7109375" style="455" customWidth="1"/>
    <col min="9732" max="9732" width="14.85546875" style="455" customWidth="1"/>
    <col min="9733" max="9733" width="12.7109375" style="455" customWidth="1"/>
    <col min="9734" max="9734" width="17.42578125" style="455" customWidth="1"/>
    <col min="9735" max="9740" width="9.140625" style="455"/>
    <col min="9741" max="9741" width="14.28515625" style="455" bestFit="1" customWidth="1"/>
    <col min="9742" max="9979" width="9.140625" style="455"/>
    <col min="9980" max="9980" width="5.140625" style="455" customWidth="1"/>
    <col min="9981" max="9981" width="29.42578125" style="455" customWidth="1"/>
    <col min="9982" max="9982" width="8.42578125" style="455" customWidth="1"/>
    <col min="9983" max="9983" width="11.7109375" style="455" customWidth="1"/>
    <col min="9984" max="9984" width="0" style="455" hidden="1" customWidth="1"/>
    <col min="9985" max="9985" width="14.7109375" style="455" customWidth="1"/>
    <col min="9986" max="9986" width="15.28515625" style="455" customWidth="1"/>
    <col min="9987" max="9987" width="12.7109375" style="455" customWidth="1"/>
    <col min="9988" max="9988" width="14.85546875" style="455" customWidth="1"/>
    <col min="9989" max="9989" width="12.7109375" style="455" customWidth="1"/>
    <col min="9990" max="9990" width="17.42578125" style="455" customWidth="1"/>
    <col min="9991" max="9996" width="9.140625" style="455"/>
    <col min="9997" max="9997" width="14.28515625" style="455" bestFit="1" customWidth="1"/>
    <col min="9998" max="10235" width="9.140625" style="455"/>
    <col min="10236" max="10236" width="5.140625" style="455" customWidth="1"/>
    <col min="10237" max="10237" width="29.42578125" style="455" customWidth="1"/>
    <col min="10238" max="10238" width="8.42578125" style="455" customWidth="1"/>
    <col min="10239" max="10239" width="11.7109375" style="455" customWidth="1"/>
    <col min="10240" max="10240" width="0" style="455" hidden="1" customWidth="1"/>
    <col min="10241" max="10241" width="14.7109375" style="455" customWidth="1"/>
    <col min="10242" max="10242" width="15.28515625" style="455" customWidth="1"/>
    <col min="10243" max="10243" width="12.7109375" style="455" customWidth="1"/>
    <col min="10244" max="10244" width="14.85546875" style="455" customWidth="1"/>
    <col min="10245" max="10245" width="12.7109375" style="455" customWidth="1"/>
    <col min="10246" max="10246" width="17.42578125" style="455" customWidth="1"/>
    <col min="10247" max="10252" width="9.140625" style="455"/>
    <col min="10253" max="10253" width="14.28515625" style="455" bestFit="1" customWidth="1"/>
    <col min="10254" max="10491" width="9.140625" style="455"/>
    <col min="10492" max="10492" width="5.140625" style="455" customWidth="1"/>
    <col min="10493" max="10493" width="29.42578125" style="455" customWidth="1"/>
    <col min="10494" max="10494" width="8.42578125" style="455" customWidth="1"/>
    <col min="10495" max="10495" width="11.7109375" style="455" customWidth="1"/>
    <col min="10496" max="10496" width="0" style="455" hidden="1" customWidth="1"/>
    <col min="10497" max="10497" width="14.7109375" style="455" customWidth="1"/>
    <col min="10498" max="10498" width="15.28515625" style="455" customWidth="1"/>
    <col min="10499" max="10499" width="12.7109375" style="455" customWidth="1"/>
    <col min="10500" max="10500" width="14.85546875" style="455" customWidth="1"/>
    <col min="10501" max="10501" width="12.7109375" style="455" customWidth="1"/>
    <col min="10502" max="10502" width="17.42578125" style="455" customWidth="1"/>
    <col min="10503" max="10508" width="9.140625" style="455"/>
    <col min="10509" max="10509" width="14.28515625" style="455" bestFit="1" customWidth="1"/>
    <col min="10510" max="10747" width="9.140625" style="455"/>
    <col min="10748" max="10748" width="5.140625" style="455" customWidth="1"/>
    <col min="10749" max="10749" width="29.42578125" style="455" customWidth="1"/>
    <col min="10750" max="10750" width="8.42578125" style="455" customWidth="1"/>
    <col min="10751" max="10751" width="11.7109375" style="455" customWidth="1"/>
    <col min="10752" max="10752" width="0" style="455" hidden="1" customWidth="1"/>
    <col min="10753" max="10753" width="14.7109375" style="455" customWidth="1"/>
    <col min="10754" max="10754" width="15.28515625" style="455" customWidth="1"/>
    <col min="10755" max="10755" width="12.7109375" style="455" customWidth="1"/>
    <col min="10756" max="10756" width="14.85546875" style="455" customWidth="1"/>
    <col min="10757" max="10757" width="12.7109375" style="455" customWidth="1"/>
    <col min="10758" max="10758" width="17.42578125" style="455" customWidth="1"/>
    <col min="10759" max="10764" width="9.140625" style="455"/>
    <col min="10765" max="10765" width="14.28515625" style="455" bestFit="1" customWidth="1"/>
    <col min="10766" max="11003" width="9.140625" style="455"/>
    <col min="11004" max="11004" width="5.140625" style="455" customWidth="1"/>
    <col min="11005" max="11005" width="29.42578125" style="455" customWidth="1"/>
    <col min="11006" max="11006" width="8.42578125" style="455" customWidth="1"/>
    <col min="11007" max="11007" width="11.7109375" style="455" customWidth="1"/>
    <col min="11008" max="11008" width="0" style="455" hidden="1" customWidth="1"/>
    <col min="11009" max="11009" width="14.7109375" style="455" customWidth="1"/>
    <col min="11010" max="11010" width="15.28515625" style="455" customWidth="1"/>
    <col min="11011" max="11011" width="12.7109375" style="455" customWidth="1"/>
    <col min="11012" max="11012" width="14.85546875" style="455" customWidth="1"/>
    <col min="11013" max="11013" width="12.7109375" style="455" customWidth="1"/>
    <col min="11014" max="11014" width="17.42578125" style="455" customWidth="1"/>
    <col min="11015" max="11020" width="9.140625" style="455"/>
    <col min="11021" max="11021" width="14.28515625" style="455" bestFit="1" customWidth="1"/>
    <col min="11022" max="11259" width="9.140625" style="455"/>
    <col min="11260" max="11260" width="5.140625" style="455" customWidth="1"/>
    <col min="11261" max="11261" width="29.42578125" style="455" customWidth="1"/>
    <col min="11262" max="11262" width="8.42578125" style="455" customWidth="1"/>
    <col min="11263" max="11263" width="11.7109375" style="455" customWidth="1"/>
    <col min="11264" max="11264" width="0" style="455" hidden="1" customWidth="1"/>
    <col min="11265" max="11265" width="14.7109375" style="455" customWidth="1"/>
    <col min="11266" max="11266" width="15.28515625" style="455" customWidth="1"/>
    <col min="11267" max="11267" width="12.7109375" style="455" customWidth="1"/>
    <col min="11268" max="11268" width="14.85546875" style="455" customWidth="1"/>
    <col min="11269" max="11269" width="12.7109375" style="455" customWidth="1"/>
    <col min="11270" max="11270" width="17.42578125" style="455" customWidth="1"/>
    <col min="11271" max="11276" width="9.140625" style="455"/>
    <col min="11277" max="11277" width="14.28515625" style="455" bestFit="1" customWidth="1"/>
    <col min="11278" max="11515" width="9.140625" style="455"/>
    <col min="11516" max="11516" width="5.140625" style="455" customWidth="1"/>
    <col min="11517" max="11517" width="29.42578125" style="455" customWidth="1"/>
    <col min="11518" max="11518" width="8.42578125" style="455" customWidth="1"/>
    <col min="11519" max="11519" width="11.7109375" style="455" customWidth="1"/>
    <col min="11520" max="11520" width="0" style="455" hidden="1" customWidth="1"/>
    <col min="11521" max="11521" width="14.7109375" style="455" customWidth="1"/>
    <col min="11522" max="11522" width="15.28515625" style="455" customWidth="1"/>
    <col min="11523" max="11523" width="12.7109375" style="455" customWidth="1"/>
    <col min="11524" max="11524" width="14.85546875" style="455" customWidth="1"/>
    <col min="11525" max="11525" width="12.7109375" style="455" customWidth="1"/>
    <col min="11526" max="11526" width="17.42578125" style="455" customWidth="1"/>
    <col min="11527" max="11532" width="9.140625" style="455"/>
    <col min="11533" max="11533" width="14.28515625" style="455" bestFit="1" customWidth="1"/>
    <col min="11534" max="11771" width="9.140625" style="455"/>
    <col min="11772" max="11772" width="5.140625" style="455" customWidth="1"/>
    <col min="11773" max="11773" width="29.42578125" style="455" customWidth="1"/>
    <col min="11774" max="11774" width="8.42578125" style="455" customWidth="1"/>
    <col min="11775" max="11775" width="11.7109375" style="455" customWidth="1"/>
    <col min="11776" max="11776" width="0" style="455" hidden="1" customWidth="1"/>
    <col min="11777" max="11777" width="14.7109375" style="455" customWidth="1"/>
    <col min="11778" max="11778" width="15.28515625" style="455" customWidth="1"/>
    <col min="11779" max="11779" width="12.7109375" style="455" customWidth="1"/>
    <col min="11780" max="11780" width="14.85546875" style="455" customWidth="1"/>
    <col min="11781" max="11781" width="12.7109375" style="455" customWidth="1"/>
    <col min="11782" max="11782" width="17.42578125" style="455" customWidth="1"/>
    <col min="11783" max="11788" width="9.140625" style="455"/>
    <col min="11789" max="11789" width="14.28515625" style="455" bestFit="1" customWidth="1"/>
    <col min="11790" max="12027" width="9.140625" style="455"/>
    <col min="12028" max="12028" width="5.140625" style="455" customWidth="1"/>
    <col min="12029" max="12029" width="29.42578125" style="455" customWidth="1"/>
    <col min="12030" max="12030" width="8.42578125" style="455" customWidth="1"/>
    <col min="12031" max="12031" width="11.7109375" style="455" customWidth="1"/>
    <col min="12032" max="12032" width="0" style="455" hidden="1" customWidth="1"/>
    <col min="12033" max="12033" width="14.7109375" style="455" customWidth="1"/>
    <col min="12034" max="12034" width="15.28515625" style="455" customWidth="1"/>
    <col min="12035" max="12035" width="12.7109375" style="455" customWidth="1"/>
    <col min="12036" max="12036" width="14.85546875" style="455" customWidth="1"/>
    <col min="12037" max="12037" width="12.7109375" style="455" customWidth="1"/>
    <col min="12038" max="12038" width="17.42578125" style="455" customWidth="1"/>
    <col min="12039" max="12044" width="9.140625" style="455"/>
    <col min="12045" max="12045" width="14.28515625" style="455" bestFit="1" customWidth="1"/>
    <col min="12046" max="12283" width="9.140625" style="455"/>
    <col min="12284" max="12284" width="5.140625" style="455" customWidth="1"/>
    <col min="12285" max="12285" width="29.42578125" style="455" customWidth="1"/>
    <col min="12286" max="12286" width="8.42578125" style="455" customWidth="1"/>
    <col min="12287" max="12287" width="11.7109375" style="455" customWidth="1"/>
    <col min="12288" max="12288" width="0" style="455" hidden="1" customWidth="1"/>
    <col min="12289" max="12289" width="14.7109375" style="455" customWidth="1"/>
    <col min="12290" max="12290" width="15.28515625" style="455" customWidth="1"/>
    <col min="12291" max="12291" width="12.7109375" style="455" customWidth="1"/>
    <col min="12292" max="12292" width="14.85546875" style="455" customWidth="1"/>
    <col min="12293" max="12293" width="12.7109375" style="455" customWidth="1"/>
    <col min="12294" max="12294" width="17.42578125" style="455" customWidth="1"/>
    <col min="12295" max="12300" width="9.140625" style="455"/>
    <col min="12301" max="12301" width="14.28515625" style="455" bestFit="1" customWidth="1"/>
    <col min="12302" max="12539" width="9.140625" style="455"/>
    <col min="12540" max="12540" width="5.140625" style="455" customWidth="1"/>
    <col min="12541" max="12541" width="29.42578125" style="455" customWidth="1"/>
    <col min="12542" max="12542" width="8.42578125" style="455" customWidth="1"/>
    <col min="12543" max="12543" width="11.7109375" style="455" customWidth="1"/>
    <col min="12544" max="12544" width="0" style="455" hidden="1" customWidth="1"/>
    <col min="12545" max="12545" width="14.7109375" style="455" customWidth="1"/>
    <col min="12546" max="12546" width="15.28515625" style="455" customWidth="1"/>
    <col min="12547" max="12547" width="12.7109375" style="455" customWidth="1"/>
    <col min="12548" max="12548" width="14.85546875" style="455" customWidth="1"/>
    <col min="12549" max="12549" width="12.7109375" style="455" customWidth="1"/>
    <col min="12550" max="12550" width="17.42578125" style="455" customWidth="1"/>
    <col min="12551" max="12556" width="9.140625" style="455"/>
    <col min="12557" max="12557" width="14.28515625" style="455" bestFit="1" customWidth="1"/>
    <col min="12558" max="12795" width="9.140625" style="455"/>
    <col min="12796" max="12796" width="5.140625" style="455" customWidth="1"/>
    <col min="12797" max="12797" width="29.42578125" style="455" customWidth="1"/>
    <col min="12798" max="12798" width="8.42578125" style="455" customWidth="1"/>
    <col min="12799" max="12799" width="11.7109375" style="455" customWidth="1"/>
    <col min="12800" max="12800" width="0" style="455" hidden="1" customWidth="1"/>
    <col min="12801" max="12801" width="14.7109375" style="455" customWidth="1"/>
    <col min="12802" max="12802" width="15.28515625" style="455" customWidth="1"/>
    <col min="12803" max="12803" width="12.7109375" style="455" customWidth="1"/>
    <col min="12804" max="12804" width="14.85546875" style="455" customWidth="1"/>
    <col min="12805" max="12805" width="12.7109375" style="455" customWidth="1"/>
    <col min="12806" max="12806" width="17.42578125" style="455" customWidth="1"/>
    <col min="12807" max="12812" width="9.140625" style="455"/>
    <col min="12813" max="12813" width="14.28515625" style="455" bestFit="1" customWidth="1"/>
    <col min="12814" max="13051" width="9.140625" style="455"/>
    <col min="13052" max="13052" width="5.140625" style="455" customWidth="1"/>
    <col min="13053" max="13053" width="29.42578125" style="455" customWidth="1"/>
    <col min="13054" max="13054" width="8.42578125" style="455" customWidth="1"/>
    <col min="13055" max="13055" width="11.7109375" style="455" customWidth="1"/>
    <col min="13056" max="13056" width="0" style="455" hidden="1" customWidth="1"/>
    <col min="13057" max="13057" width="14.7109375" style="455" customWidth="1"/>
    <col min="13058" max="13058" width="15.28515625" style="455" customWidth="1"/>
    <col min="13059" max="13059" width="12.7109375" style="455" customWidth="1"/>
    <col min="13060" max="13060" width="14.85546875" style="455" customWidth="1"/>
    <col min="13061" max="13061" width="12.7109375" style="455" customWidth="1"/>
    <col min="13062" max="13062" width="17.42578125" style="455" customWidth="1"/>
    <col min="13063" max="13068" width="9.140625" style="455"/>
    <col min="13069" max="13069" width="14.28515625" style="455" bestFit="1" customWidth="1"/>
    <col min="13070" max="13307" width="9.140625" style="455"/>
    <col min="13308" max="13308" width="5.140625" style="455" customWidth="1"/>
    <col min="13309" max="13309" width="29.42578125" style="455" customWidth="1"/>
    <col min="13310" max="13310" width="8.42578125" style="455" customWidth="1"/>
    <col min="13311" max="13311" width="11.7109375" style="455" customWidth="1"/>
    <col min="13312" max="13312" width="0" style="455" hidden="1" customWidth="1"/>
    <col min="13313" max="13313" width="14.7109375" style="455" customWidth="1"/>
    <col min="13314" max="13314" width="15.28515625" style="455" customWidth="1"/>
    <col min="13315" max="13315" width="12.7109375" style="455" customWidth="1"/>
    <col min="13316" max="13316" width="14.85546875" style="455" customWidth="1"/>
    <col min="13317" max="13317" width="12.7109375" style="455" customWidth="1"/>
    <col min="13318" max="13318" width="17.42578125" style="455" customWidth="1"/>
    <col min="13319" max="13324" width="9.140625" style="455"/>
    <col min="13325" max="13325" width="14.28515625" style="455" bestFit="1" customWidth="1"/>
    <col min="13326" max="13563" width="9.140625" style="455"/>
    <col min="13564" max="13564" width="5.140625" style="455" customWidth="1"/>
    <col min="13565" max="13565" width="29.42578125" style="455" customWidth="1"/>
    <col min="13566" max="13566" width="8.42578125" style="455" customWidth="1"/>
    <col min="13567" max="13567" width="11.7109375" style="455" customWidth="1"/>
    <col min="13568" max="13568" width="0" style="455" hidden="1" customWidth="1"/>
    <col min="13569" max="13569" width="14.7109375" style="455" customWidth="1"/>
    <col min="13570" max="13570" width="15.28515625" style="455" customWidth="1"/>
    <col min="13571" max="13571" width="12.7109375" style="455" customWidth="1"/>
    <col min="13572" max="13572" width="14.85546875" style="455" customWidth="1"/>
    <col min="13573" max="13573" width="12.7109375" style="455" customWidth="1"/>
    <col min="13574" max="13574" width="17.42578125" style="455" customWidth="1"/>
    <col min="13575" max="13580" width="9.140625" style="455"/>
    <col min="13581" max="13581" width="14.28515625" style="455" bestFit="1" customWidth="1"/>
    <col min="13582" max="13819" width="9.140625" style="455"/>
    <col min="13820" max="13820" width="5.140625" style="455" customWidth="1"/>
    <col min="13821" max="13821" width="29.42578125" style="455" customWidth="1"/>
    <col min="13822" max="13822" width="8.42578125" style="455" customWidth="1"/>
    <col min="13823" max="13823" width="11.7109375" style="455" customWidth="1"/>
    <col min="13824" max="13824" width="0" style="455" hidden="1" customWidth="1"/>
    <col min="13825" max="13825" width="14.7109375" style="455" customWidth="1"/>
    <col min="13826" max="13826" width="15.28515625" style="455" customWidth="1"/>
    <col min="13827" max="13827" width="12.7109375" style="455" customWidth="1"/>
    <col min="13828" max="13828" width="14.85546875" style="455" customWidth="1"/>
    <col min="13829" max="13829" width="12.7109375" style="455" customWidth="1"/>
    <col min="13830" max="13830" width="17.42578125" style="455" customWidth="1"/>
    <col min="13831" max="13836" width="9.140625" style="455"/>
    <col min="13837" max="13837" width="14.28515625" style="455" bestFit="1" customWidth="1"/>
    <col min="13838" max="14075" width="9.140625" style="455"/>
    <col min="14076" max="14076" width="5.140625" style="455" customWidth="1"/>
    <col min="14077" max="14077" width="29.42578125" style="455" customWidth="1"/>
    <col min="14078" max="14078" width="8.42578125" style="455" customWidth="1"/>
    <col min="14079" max="14079" width="11.7109375" style="455" customWidth="1"/>
    <col min="14080" max="14080" width="0" style="455" hidden="1" customWidth="1"/>
    <col min="14081" max="14081" width="14.7109375" style="455" customWidth="1"/>
    <col min="14082" max="14082" width="15.28515625" style="455" customWidth="1"/>
    <col min="14083" max="14083" width="12.7109375" style="455" customWidth="1"/>
    <col min="14084" max="14084" width="14.85546875" style="455" customWidth="1"/>
    <col min="14085" max="14085" width="12.7109375" style="455" customWidth="1"/>
    <col min="14086" max="14086" width="17.42578125" style="455" customWidth="1"/>
    <col min="14087" max="14092" width="9.140625" style="455"/>
    <col min="14093" max="14093" width="14.28515625" style="455" bestFit="1" customWidth="1"/>
    <col min="14094" max="14331" width="9.140625" style="455"/>
    <col min="14332" max="14332" width="5.140625" style="455" customWidth="1"/>
    <col min="14333" max="14333" width="29.42578125" style="455" customWidth="1"/>
    <col min="14334" max="14334" width="8.42578125" style="455" customWidth="1"/>
    <col min="14335" max="14335" width="11.7109375" style="455" customWidth="1"/>
    <col min="14336" max="14336" width="0" style="455" hidden="1" customWidth="1"/>
    <col min="14337" max="14337" width="14.7109375" style="455" customWidth="1"/>
    <col min="14338" max="14338" width="15.28515625" style="455" customWidth="1"/>
    <col min="14339" max="14339" width="12.7109375" style="455" customWidth="1"/>
    <col min="14340" max="14340" width="14.85546875" style="455" customWidth="1"/>
    <col min="14341" max="14341" width="12.7109375" style="455" customWidth="1"/>
    <col min="14342" max="14342" width="17.42578125" style="455" customWidth="1"/>
    <col min="14343" max="14348" width="9.140625" style="455"/>
    <col min="14349" max="14349" width="14.28515625" style="455" bestFit="1" customWidth="1"/>
    <col min="14350" max="14587" width="9.140625" style="455"/>
    <col min="14588" max="14588" width="5.140625" style="455" customWidth="1"/>
    <col min="14589" max="14589" width="29.42578125" style="455" customWidth="1"/>
    <col min="14590" max="14590" width="8.42578125" style="455" customWidth="1"/>
    <col min="14591" max="14591" width="11.7109375" style="455" customWidth="1"/>
    <col min="14592" max="14592" width="0" style="455" hidden="1" customWidth="1"/>
    <col min="14593" max="14593" width="14.7109375" style="455" customWidth="1"/>
    <col min="14594" max="14594" width="15.28515625" style="455" customWidth="1"/>
    <col min="14595" max="14595" width="12.7109375" style="455" customWidth="1"/>
    <col min="14596" max="14596" width="14.85546875" style="455" customWidth="1"/>
    <col min="14597" max="14597" width="12.7109375" style="455" customWidth="1"/>
    <col min="14598" max="14598" width="17.42578125" style="455" customWidth="1"/>
    <col min="14599" max="14604" width="9.140625" style="455"/>
    <col min="14605" max="14605" width="14.28515625" style="455" bestFit="1" customWidth="1"/>
    <col min="14606" max="14843" width="9.140625" style="455"/>
    <col min="14844" max="14844" width="5.140625" style="455" customWidth="1"/>
    <col min="14845" max="14845" width="29.42578125" style="455" customWidth="1"/>
    <col min="14846" max="14846" width="8.42578125" style="455" customWidth="1"/>
    <col min="14847" max="14847" width="11.7109375" style="455" customWidth="1"/>
    <col min="14848" max="14848" width="0" style="455" hidden="1" customWidth="1"/>
    <col min="14849" max="14849" width="14.7109375" style="455" customWidth="1"/>
    <col min="14850" max="14850" width="15.28515625" style="455" customWidth="1"/>
    <col min="14851" max="14851" width="12.7109375" style="455" customWidth="1"/>
    <col min="14852" max="14852" width="14.85546875" style="455" customWidth="1"/>
    <col min="14853" max="14853" width="12.7109375" style="455" customWidth="1"/>
    <col min="14854" max="14854" width="17.42578125" style="455" customWidth="1"/>
    <col min="14855" max="14860" width="9.140625" style="455"/>
    <col min="14861" max="14861" width="14.28515625" style="455" bestFit="1" customWidth="1"/>
    <col min="14862" max="15099" width="9.140625" style="455"/>
    <col min="15100" max="15100" width="5.140625" style="455" customWidth="1"/>
    <col min="15101" max="15101" width="29.42578125" style="455" customWidth="1"/>
    <col min="15102" max="15102" width="8.42578125" style="455" customWidth="1"/>
    <col min="15103" max="15103" width="11.7109375" style="455" customWidth="1"/>
    <col min="15104" max="15104" width="0" style="455" hidden="1" customWidth="1"/>
    <col min="15105" max="15105" width="14.7109375" style="455" customWidth="1"/>
    <col min="15106" max="15106" width="15.28515625" style="455" customWidth="1"/>
    <col min="15107" max="15107" width="12.7109375" style="455" customWidth="1"/>
    <col min="15108" max="15108" width="14.85546875" style="455" customWidth="1"/>
    <col min="15109" max="15109" width="12.7109375" style="455" customWidth="1"/>
    <col min="15110" max="15110" width="17.42578125" style="455" customWidth="1"/>
    <col min="15111" max="15116" width="9.140625" style="455"/>
    <col min="15117" max="15117" width="14.28515625" style="455" bestFit="1" customWidth="1"/>
    <col min="15118" max="15355" width="9.140625" style="455"/>
    <col min="15356" max="15356" width="5.140625" style="455" customWidth="1"/>
    <col min="15357" max="15357" width="29.42578125" style="455" customWidth="1"/>
    <col min="15358" max="15358" width="8.42578125" style="455" customWidth="1"/>
    <col min="15359" max="15359" width="11.7109375" style="455" customWidth="1"/>
    <col min="15360" max="15360" width="0" style="455" hidden="1" customWidth="1"/>
    <col min="15361" max="15361" width="14.7109375" style="455" customWidth="1"/>
    <col min="15362" max="15362" width="15.28515625" style="455" customWidth="1"/>
    <col min="15363" max="15363" width="12.7109375" style="455" customWidth="1"/>
    <col min="15364" max="15364" width="14.85546875" style="455" customWidth="1"/>
    <col min="15365" max="15365" width="12.7109375" style="455" customWidth="1"/>
    <col min="15366" max="15366" width="17.42578125" style="455" customWidth="1"/>
    <col min="15367" max="15372" width="9.140625" style="455"/>
    <col min="15373" max="15373" width="14.28515625" style="455" bestFit="1" customWidth="1"/>
    <col min="15374" max="15611" width="9.140625" style="455"/>
    <col min="15612" max="15612" width="5.140625" style="455" customWidth="1"/>
    <col min="15613" max="15613" width="29.42578125" style="455" customWidth="1"/>
    <col min="15614" max="15614" width="8.42578125" style="455" customWidth="1"/>
    <col min="15615" max="15615" width="11.7109375" style="455" customWidth="1"/>
    <col min="15616" max="15616" width="0" style="455" hidden="1" customWidth="1"/>
    <col min="15617" max="15617" width="14.7109375" style="455" customWidth="1"/>
    <col min="15618" max="15618" width="15.28515625" style="455" customWidth="1"/>
    <col min="15619" max="15619" width="12.7109375" style="455" customWidth="1"/>
    <col min="15620" max="15620" width="14.85546875" style="455" customWidth="1"/>
    <col min="15621" max="15621" width="12.7109375" style="455" customWidth="1"/>
    <col min="15622" max="15622" width="17.42578125" style="455" customWidth="1"/>
    <col min="15623" max="15628" width="9.140625" style="455"/>
    <col min="15629" max="15629" width="14.28515625" style="455" bestFit="1" customWidth="1"/>
    <col min="15630" max="15867" width="9.140625" style="455"/>
    <col min="15868" max="15868" width="5.140625" style="455" customWidth="1"/>
    <col min="15869" max="15869" width="29.42578125" style="455" customWidth="1"/>
    <col min="15870" max="15870" width="8.42578125" style="455" customWidth="1"/>
    <col min="15871" max="15871" width="11.7109375" style="455" customWidth="1"/>
    <col min="15872" max="15872" width="0" style="455" hidden="1" customWidth="1"/>
    <col min="15873" max="15873" width="14.7109375" style="455" customWidth="1"/>
    <col min="15874" max="15874" width="15.28515625" style="455" customWidth="1"/>
    <col min="15875" max="15875" width="12.7109375" style="455" customWidth="1"/>
    <col min="15876" max="15876" width="14.85546875" style="455" customWidth="1"/>
    <col min="15877" max="15877" width="12.7109375" style="455" customWidth="1"/>
    <col min="15878" max="15878" width="17.42578125" style="455" customWidth="1"/>
    <col min="15879" max="15884" width="9.140625" style="455"/>
    <col min="15885" max="15885" width="14.28515625" style="455" bestFit="1" customWidth="1"/>
    <col min="15886" max="16123" width="9.140625" style="455"/>
    <col min="16124" max="16124" width="5.140625" style="455" customWidth="1"/>
    <col min="16125" max="16125" width="29.42578125" style="455" customWidth="1"/>
    <col min="16126" max="16126" width="8.42578125" style="455" customWidth="1"/>
    <col min="16127" max="16127" width="11.7109375" style="455" customWidth="1"/>
    <col min="16128" max="16128" width="0" style="455" hidden="1" customWidth="1"/>
    <col min="16129" max="16129" width="14.7109375" style="455" customWidth="1"/>
    <col min="16130" max="16130" width="15.28515625" style="455" customWidth="1"/>
    <col min="16131" max="16131" width="12.7109375" style="455" customWidth="1"/>
    <col min="16132" max="16132" width="14.85546875" style="455" customWidth="1"/>
    <col min="16133" max="16133" width="12.7109375" style="455" customWidth="1"/>
    <col min="16134" max="16134" width="17.42578125" style="455" customWidth="1"/>
    <col min="16135" max="16140" width="9.140625" style="455"/>
    <col min="16141" max="16141" width="14.28515625" style="455" bestFit="1" customWidth="1"/>
    <col min="16142" max="16384" width="9.140625" style="455"/>
  </cols>
  <sheetData>
    <row r="1" spans="1:12">
      <c r="A1" s="1495" t="s">
        <v>3164</v>
      </c>
      <c r="B1" s="1495"/>
    </row>
    <row r="2" spans="1:12" ht="16.5" customHeight="1">
      <c r="A2" s="1511" t="s">
        <v>3134</v>
      </c>
      <c r="B2" s="1511"/>
      <c r="C2" s="1511"/>
      <c r="D2" s="1511"/>
      <c r="E2" s="1511"/>
      <c r="F2" s="1511"/>
      <c r="G2" s="1511"/>
      <c r="H2" s="1511"/>
      <c r="I2" s="1511"/>
      <c r="J2" s="1511"/>
      <c r="K2" s="1511"/>
    </row>
    <row r="4" spans="1:12">
      <c r="A4" s="1512" t="s">
        <v>3564</v>
      </c>
      <c r="B4" s="1512"/>
      <c r="C4" s="1512"/>
      <c r="D4" s="1512"/>
      <c r="E4" s="1512"/>
      <c r="F4" s="1512"/>
      <c r="G4" s="1512"/>
      <c r="H4" s="1512"/>
      <c r="I4" s="1512"/>
      <c r="J4" s="1512"/>
      <c r="K4" s="1512"/>
    </row>
    <row r="6" spans="1:12" ht="15" customHeight="1">
      <c r="A6" s="1513" t="s">
        <v>3135</v>
      </c>
      <c r="B6" s="1513" t="s">
        <v>3136</v>
      </c>
      <c r="C6" s="1513" t="s">
        <v>278</v>
      </c>
      <c r="D6" s="1513" t="s">
        <v>3137</v>
      </c>
      <c r="E6" s="457"/>
      <c r="F6" s="1513" t="s">
        <v>3138</v>
      </c>
      <c r="G6" s="1513"/>
      <c r="H6" s="1513"/>
      <c r="I6" s="457"/>
      <c r="J6" s="1513" t="s">
        <v>3139</v>
      </c>
      <c r="K6" s="1513" t="s">
        <v>3140</v>
      </c>
    </row>
    <row r="7" spans="1:12" ht="42.75">
      <c r="A7" s="1513"/>
      <c r="B7" s="1513"/>
      <c r="C7" s="1513"/>
      <c r="D7" s="1513"/>
      <c r="E7" s="457"/>
      <c r="F7" s="457" t="s">
        <v>3141</v>
      </c>
      <c r="G7" s="457" t="s">
        <v>3142</v>
      </c>
      <c r="H7" s="457" t="s">
        <v>3143</v>
      </c>
      <c r="I7" s="457"/>
      <c r="J7" s="1513"/>
      <c r="K7" s="1513"/>
    </row>
    <row r="8" spans="1:12">
      <c r="A8" s="458" t="s">
        <v>35</v>
      </c>
      <c r="B8" s="458" t="s">
        <v>36</v>
      </c>
      <c r="C8" s="458" t="s">
        <v>37</v>
      </c>
      <c r="D8" s="458"/>
      <c r="E8" s="458"/>
      <c r="F8" s="458" t="s">
        <v>38</v>
      </c>
      <c r="G8" s="458" t="s">
        <v>39</v>
      </c>
      <c r="H8" s="458" t="s">
        <v>40</v>
      </c>
      <c r="I8" s="458"/>
      <c r="J8" s="458"/>
      <c r="K8" s="458" t="s">
        <v>41</v>
      </c>
    </row>
    <row r="9" spans="1:12" ht="16.5" hidden="1">
      <c r="A9" s="459">
        <v>1</v>
      </c>
      <c r="B9" s="460" t="s">
        <v>3165</v>
      </c>
      <c r="C9" s="459" t="s">
        <v>45</v>
      </c>
      <c r="D9" s="459"/>
      <c r="E9" s="461">
        <v>45455</v>
      </c>
      <c r="F9" s="461">
        <f>E9</f>
        <v>45455</v>
      </c>
      <c r="G9" s="461"/>
      <c r="H9" s="461"/>
      <c r="I9" s="461"/>
      <c r="J9" s="461"/>
      <c r="K9" s="461">
        <f t="shared" ref="K9:K72" si="0">+SUM(F9:H9)+J9</f>
        <v>45455</v>
      </c>
      <c r="L9" s="462"/>
    </row>
    <row r="10" spans="1:12" ht="16.5" hidden="1">
      <c r="A10" s="459">
        <v>2</v>
      </c>
      <c r="B10" s="460" t="s">
        <v>3151</v>
      </c>
      <c r="C10" s="459" t="s">
        <v>2690</v>
      </c>
      <c r="D10" s="459"/>
      <c r="E10" s="461">
        <v>5000</v>
      </c>
      <c r="F10" s="461">
        <f t="shared" ref="F10:F82" si="1">E10</f>
        <v>5000</v>
      </c>
      <c r="G10" s="461"/>
      <c r="H10" s="461"/>
      <c r="I10" s="461"/>
      <c r="J10" s="461"/>
      <c r="K10" s="461">
        <f t="shared" si="0"/>
        <v>5000</v>
      </c>
      <c r="L10" s="462"/>
    </row>
    <row r="11" spans="1:12" ht="16.5" hidden="1">
      <c r="A11" s="459">
        <v>3</v>
      </c>
      <c r="B11" s="460" t="s">
        <v>2691</v>
      </c>
      <c r="C11" s="459" t="s">
        <v>2690</v>
      </c>
      <c r="D11" s="459"/>
      <c r="E11" s="461">
        <v>6000</v>
      </c>
      <c r="F11" s="461">
        <f t="shared" si="1"/>
        <v>6000</v>
      </c>
      <c r="G11" s="461"/>
      <c r="H11" s="461"/>
      <c r="I11" s="461"/>
      <c r="J11" s="461"/>
      <c r="K11" s="461">
        <f t="shared" si="0"/>
        <v>6000</v>
      </c>
      <c r="L11" s="462"/>
    </row>
    <row r="12" spans="1:12" ht="16.5" hidden="1">
      <c r="A12" s="459">
        <v>4</v>
      </c>
      <c r="B12" s="460" t="s">
        <v>3155</v>
      </c>
      <c r="C12" s="459"/>
      <c r="D12" s="459"/>
      <c r="E12" s="461">
        <v>3500</v>
      </c>
      <c r="F12" s="461">
        <f>E12</f>
        <v>3500</v>
      </c>
      <c r="G12" s="461"/>
      <c r="H12" s="461"/>
      <c r="I12" s="461"/>
      <c r="J12" s="461"/>
      <c r="K12" s="461">
        <f t="shared" si="0"/>
        <v>3500</v>
      </c>
      <c r="L12" s="462"/>
    </row>
    <row r="13" spans="1:12" ht="16.5" hidden="1">
      <c r="A13" s="459">
        <v>5</v>
      </c>
      <c r="B13" s="460" t="s">
        <v>3166</v>
      </c>
      <c r="C13" s="459" t="s">
        <v>51</v>
      </c>
      <c r="D13" s="459"/>
      <c r="E13" s="461">
        <v>2000</v>
      </c>
      <c r="F13" s="461">
        <f>E13</f>
        <v>2000</v>
      </c>
      <c r="G13" s="461"/>
      <c r="H13" s="461"/>
      <c r="I13" s="461"/>
      <c r="J13" s="461"/>
      <c r="K13" s="461">
        <f t="shared" si="0"/>
        <v>2000</v>
      </c>
      <c r="L13" s="462"/>
    </row>
    <row r="14" spans="1:12" ht="16.5" hidden="1">
      <c r="A14" s="459">
        <v>6</v>
      </c>
      <c r="B14" s="460" t="s">
        <v>3167</v>
      </c>
      <c r="C14" s="459" t="s">
        <v>51</v>
      </c>
      <c r="D14" s="459"/>
      <c r="E14" s="461">
        <v>2000</v>
      </c>
      <c r="F14" s="461">
        <f t="shared" si="1"/>
        <v>2000</v>
      </c>
      <c r="G14" s="461"/>
      <c r="H14" s="461"/>
      <c r="I14" s="461"/>
      <c r="J14" s="461"/>
      <c r="K14" s="461">
        <f t="shared" si="0"/>
        <v>2000</v>
      </c>
      <c r="L14" s="462"/>
    </row>
    <row r="15" spans="1:12" ht="16.5" hidden="1">
      <c r="A15" s="459">
        <v>7</v>
      </c>
      <c r="B15" s="460" t="s">
        <v>3168</v>
      </c>
      <c r="C15" s="459" t="s">
        <v>139</v>
      </c>
      <c r="D15" s="459"/>
      <c r="E15" s="461">
        <v>5000</v>
      </c>
      <c r="F15" s="461">
        <f t="shared" si="1"/>
        <v>5000</v>
      </c>
      <c r="G15" s="461"/>
      <c r="H15" s="461"/>
      <c r="I15" s="461"/>
      <c r="J15" s="461"/>
      <c r="K15" s="461">
        <f t="shared" si="0"/>
        <v>5000</v>
      </c>
      <c r="L15" s="462"/>
    </row>
    <row r="16" spans="1:12" ht="16.5" hidden="1">
      <c r="A16" s="459">
        <v>8</v>
      </c>
      <c r="B16" s="460" t="s">
        <v>3169</v>
      </c>
      <c r="C16" s="459" t="s">
        <v>47</v>
      </c>
      <c r="D16" s="459"/>
      <c r="E16" s="461">
        <v>272727</v>
      </c>
      <c r="F16" s="461">
        <f t="shared" si="1"/>
        <v>272727</v>
      </c>
      <c r="G16" s="461"/>
      <c r="H16" s="461"/>
      <c r="I16" s="461"/>
      <c r="J16" s="461"/>
      <c r="K16" s="461">
        <f t="shared" si="0"/>
        <v>272727</v>
      </c>
      <c r="L16" s="462"/>
    </row>
    <row r="17" spans="1:12" ht="16.5" hidden="1">
      <c r="A17" s="459"/>
      <c r="B17" s="460" t="s">
        <v>50</v>
      </c>
      <c r="C17" s="459" t="s">
        <v>51</v>
      </c>
      <c r="D17" s="459"/>
      <c r="E17" s="461"/>
      <c r="F17" s="461">
        <v>3491</v>
      </c>
      <c r="G17" s="461"/>
      <c r="H17" s="461"/>
      <c r="I17" s="461"/>
      <c r="J17" s="461"/>
      <c r="K17" s="461">
        <f t="shared" si="0"/>
        <v>3491</v>
      </c>
      <c r="L17" s="462"/>
    </row>
    <row r="18" spans="1:12" ht="16.5" hidden="1">
      <c r="A18" s="459">
        <v>9</v>
      </c>
      <c r="B18" s="460" t="s">
        <v>3170</v>
      </c>
      <c r="C18" s="459" t="s">
        <v>45</v>
      </c>
      <c r="D18" s="459"/>
      <c r="E18" s="461">
        <v>1000</v>
      </c>
      <c r="F18" s="461">
        <f t="shared" si="1"/>
        <v>1000</v>
      </c>
      <c r="G18" s="461"/>
      <c r="H18" s="461"/>
      <c r="I18" s="461"/>
      <c r="J18" s="461"/>
      <c r="K18" s="461">
        <f t="shared" si="0"/>
        <v>1000</v>
      </c>
      <c r="L18" s="462"/>
    </row>
    <row r="19" spans="1:12" ht="16.5" hidden="1">
      <c r="A19" s="459">
        <v>10</v>
      </c>
      <c r="B19" s="460" t="s">
        <v>3171</v>
      </c>
      <c r="C19" s="459" t="s">
        <v>51</v>
      </c>
      <c r="D19" s="459"/>
      <c r="E19" s="461">
        <v>2000</v>
      </c>
      <c r="F19" s="461">
        <f t="shared" si="1"/>
        <v>2000</v>
      </c>
      <c r="G19" s="461"/>
      <c r="H19" s="461"/>
      <c r="I19" s="461"/>
      <c r="J19" s="461"/>
      <c r="K19" s="461">
        <f t="shared" si="0"/>
        <v>2000</v>
      </c>
      <c r="L19" s="462"/>
    </row>
    <row r="20" spans="1:12" ht="16.5" hidden="1">
      <c r="A20" s="459">
        <v>11</v>
      </c>
      <c r="B20" s="460" t="s">
        <v>3172</v>
      </c>
      <c r="C20" s="459" t="s">
        <v>51</v>
      </c>
      <c r="D20" s="459"/>
      <c r="E20" s="461">
        <v>3000</v>
      </c>
      <c r="F20" s="461">
        <f t="shared" si="1"/>
        <v>3000</v>
      </c>
      <c r="G20" s="461"/>
      <c r="H20" s="461"/>
      <c r="I20" s="461"/>
      <c r="J20" s="461"/>
      <c r="K20" s="461">
        <f t="shared" si="0"/>
        <v>3000</v>
      </c>
      <c r="L20" s="462"/>
    </row>
    <row r="21" spans="1:12" ht="16.5" hidden="1">
      <c r="A21" s="459">
        <v>12</v>
      </c>
      <c r="B21" s="460" t="s">
        <v>3173</v>
      </c>
      <c r="C21" s="459" t="s">
        <v>51</v>
      </c>
      <c r="D21" s="459"/>
      <c r="E21" s="461">
        <v>4000</v>
      </c>
      <c r="F21" s="461">
        <f t="shared" si="1"/>
        <v>4000</v>
      </c>
      <c r="G21" s="461"/>
      <c r="H21" s="461"/>
      <c r="I21" s="461"/>
      <c r="J21" s="461"/>
      <c r="K21" s="461">
        <f t="shared" si="0"/>
        <v>4000</v>
      </c>
      <c r="L21" s="462"/>
    </row>
    <row r="22" spans="1:12" ht="16.5" hidden="1">
      <c r="A22" s="459">
        <v>13</v>
      </c>
      <c r="B22" s="460" t="s">
        <v>3174</v>
      </c>
      <c r="C22" s="459" t="s">
        <v>51</v>
      </c>
      <c r="D22" s="459"/>
      <c r="E22" s="461">
        <v>5000</v>
      </c>
      <c r="F22" s="461">
        <f t="shared" si="1"/>
        <v>5000</v>
      </c>
      <c r="G22" s="461"/>
      <c r="H22" s="461"/>
      <c r="I22" s="461"/>
      <c r="J22" s="461"/>
      <c r="K22" s="461">
        <f t="shared" si="0"/>
        <v>5000</v>
      </c>
      <c r="L22" s="462"/>
    </row>
    <row r="23" spans="1:12" ht="16.5" hidden="1">
      <c r="A23" s="459">
        <v>14</v>
      </c>
      <c r="B23" s="460" t="s">
        <v>3175</v>
      </c>
      <c r="C23" s="459" t="s">
        <v>51</v>
      </c>
      <c r="D23" s="459"/>
      <c r="E23" s="461">
        <v>6000</v>
      </c>
      <c r="F23" s="461">
        <f t="shared" si="1"/>
        <v>6000</v>
      </c>
      <c r="G23" s="461"/>
      <c r="H23" s="461"/>
      <c r="I23" s="461"/>
      <c r="J23" s="461"/>
      <c r="K23" s="461">
        <f t="shared" si="0"/>
        <v>6000</v>
      </c>
      <c r="L23" s="462"/>
    </row>
    <row r="24" spans="1:12" ht="16.5" hidden="1">
      <c r="A24" s="459">
        <v>15</v>
      </c>
      <c r="B24" s="460" t="s">
        <v>3176</v>
      </c>
      <c r="C24" s="459" t="s">
        <v>139</v>
      </c>
      <c r="D24" s="459"/>
      <c r="E24" s="461">
        <v>3000</v>
      </c>
      <c r="F24" s="461">
        <f t="shared" si="1"/>
        <v>3000</v>
      </c>
      <c r="G24" s="461"/>
      <c r="H24" s="461"/>
      <c r="I24" s="461"/>
      <c r="J24" s="461"/>
      <c r="K24" s="461">
        <f t="shared" si="0"/>
        <v>3000</v>
      </c>
      <c r="L24" s="462"/>
    </row>
    <row r="25" spans="1:12" ht="16.5" hidden="1">
      <c r="A25" s="459">
        <v>16</v>
      </c>
      <c r="B25" s="460" t="s">
        <v>2681</v>
      </c>
      <c r="C25" s="459" t="s">
        <v>45</v>
      </c>
      <c r="D25" s="459"/>
      <c r="E25" s="461">
        <v>23000</v>
      </c>
      <c r="F25" s="461">
        <f t="shared" si="1"/>
        <v>23000</v>
      </c>
      <c r="G25" s="461"/>
      <c r="H25" s="461"/>
      <c r="I25" s="461"/>
      <c r="J25" s="461"/>
      <c r="K25" s="461">
        <f t="shared" si="0"/>
        <v>23000</v>
      </c>
      <c r="L25" s="462"/>
    </row>
    <row r="26" spans="1:12" ht="16.5" hidden="1">
      <c r="A26" s="459">
        <v>17</v>
      </c>
      <c r="B26" s="460" t="s">
        <v>3177</v>
      </c>
      <c r="C26" s="459" t="s">
        <v>45</v>
      </c>
      <c r="D26" s="459"/>
      <c r="E26" s="461">
        <v>20000</v>
      </c>
      <c r="F26" s="461">
        <f t="shared" si="1"/>
        <v>20000</v>
      </c>
      <c r="G26" s="461"/>
      <c r="H26" s="461"/>
      <c r="I26" s="461"/>
      <c r="J26" s="461"/>
      <c r="K26" s="461">
        <f t="shared" si="0"/>
        <v>20000</v>
      </c>
      <c r="L26" s="462"/>
    </row>
    <row r="27" spans="1:12" ht="16.5" hidden="1">
      <c r="A27" s="459">
        <v>18</v>
      </c>
      <c r="B27" s="460" t="s">
        <v>3178</v>
      </c>
      <c r="C27" s="459" t="s">
        <v>45</v>
      </c>
      <c r="D27" s="459"/>
      <c r="E27" s="461">
        <v>20000</v>
      </c>
      <c r="F27" s="461">
        <f t="shared" si="1"/>
        <v>20000</v>
      </c>
      <c r="G27" s="461"/>
      <c r="H27" s="461"/>
      <c r="I27" s="461"/>
      <c r="J27" s="461"/>
      <c r="K27" s="461">
        <f t="shared" si="0"/>
        <v>20000</v>
      </c>
      <c r="L27" s="462"/>
    </row>
    <row r="28" spans="1:12" ht="16.5" hidden="1">
      <c r="A28" s="459">
        <v>19</v>
      </c>
      <c r="B28" s="460" t="s">
        <v>3179</v>
      </c>
      <c r="C28" s="459" t="s">
        <v>45</v>
      </c>
      <c r="D28" s="459"/>
      <c r="E28" s="461">
        <v>20500</v>
      </c>
      <c r="F28" s="461">
        <f t="shared" si="1"/>
        <v>20500</v>
      </c>
      <c r="G28" s="461"/>
      <c r="H28" s="461"/>
      <c r="I28" s="461"/>
      <c r="J28" s="461"/>
      <c r="K28" s="461">
        <f t="shared" si="0"/>
        <v>20500</v>
      </c>
      <c r="L28" s="462"/>
    </row>
    <row r="29" spans="1:12" ht="16.5" hidden="1">
      <c r="A29" s="459">
        <v>20</v>
      </c>
      <c r="B29" s="460" t="s">
        <v>3150</v>
      </c>
      <c r="C29" s="459" t="s">
        <v>45</v>
      </c>
      <c r="D29" s="459"/>
      <c r="E29" s="461">
        <v>15455</v>
      </c>
      <c r="F29" s="461">
        <f t="shared" si="1"/>
        <v>15455</v>
      </c>
      <c r="G29" s="461"/>
      <c r="H29" s="461"/>
      <c r="I29" s="461"/>
      <c r="J29" s="461"/>
      <c r="K29" s="461">
        <f t="shared" si="0"/>
        <v>15455</v>
      </c>
      <c r="L29" s="462"/>
    </row>
    <row r="30" spans="1:12" ht="16.5" hidden="1">
      <c r="A30" s="459">
        <v>21</v>
      </c>
      <c r="B30" s="460" t="s">
        <v>3180</v>
      </c>
      <c r="C30" s="459" t="s">
        <v>45</v>
      </c>
      <c r="D30" s="459"/>
      <c r="E30" s="461">
        <v>15455</v>
      </c>
      <c r="F30" s="461">
        <f t="shared" si="1"/>
        <v>15455</v>
      </c>
      <c r="G30" s="461"/>
      <c r="H30" s="461"/>
      <c r="I30" s="461"/>
      <c r="J30" s="461"/>
      <c r="K30" s="461">
        <f t="shared" si="0"/>
        <v>15455</v>
      </c>
      <c r="L30" s="462"/>
    </row>
    <row r="31" spans="1:12" ht="16.5" hidden="1">
      <c r="A31" s="459">
        <v>22</v>
      </c>
      <c r="B31" s="460" t="s">
        <v>2677</v>
      </c>
      <c r="C31" s="459" t="s">
        <v>3127</v>
      </c>
      <c r="D31" s="459"/>
      <c r="E31" s="461">
        <v>1720.65</v>
      </c>
      <c r="F31" s="461">
        <v>1864.44</v>
      </c>
      <c r="G31" s="461"/>
      <c r="H31" s="461"/>
      <c r="I31" s="461"/>
      <c r="J31" s="461"/>
      <c r="K31" s="461">
        <f t="shared" si="0"/>
        <v>1864.44</v>
      </c>
      <c r="L31" s="462"/>
    </row>
    <row r="32" spans="1:12" ht="16.5" hidden="1">
      <c r="A32" s="459">
        <v>23</v>
      </c>
      <c r="B32" s="460" t="s">
        <v>3181</v>
      </c>
      <c r="C32" s="459" t="s">
        <v>45</v>
      </c>
      <c r="D32" s="459"/>
      <c r="E32" s="461">
        <v>14762</v>
      </c>
      <c r="F32" s="461">
        <f t="shared" si="1"/>
        <v>14762</v>
      </c>
      <c r="G32" s="461"/>
      <c r="H32" s="461"/>
      <c r="I32" s="461"/>
      <c r="J32" s="461"/>
      <c r="K32" s="461">
        <f t="shared" si="0"/>
        <v>14762</v>
      </c>
      <c r="L32" s="462"/>
    </row>
    <row r="33" spans="1:12" ht="16.5" hidden="1">
      <c r="A33" s="459">
        <v>24</v>
      </c>
      <c r="B33" s="460" t="s">
        <v>3182</v>
      </c>
      <c r="C33" s="459" t="s">
        <v>45</v>
      </c>
      <c r="D33" s="459"/>
      <c r="E33" s="461">
        <v>14762</v>
      </c>
      <c r="F33" s="461">
        <f t="shared" si="1"/>
        <v>14762</v>
      </c>
      <c r="G33" s="461"/>
      <c r="H33" s="461"/>
      <c r="I33" s="461"/>
      <c r="J33" s="461"/>
      <c r="K33" s="461">
        <f t="shared" si="0"/>
        <v>14762</v>
      </c>
      <c r="L33" s="462"/>
    </row>
    <row r="34" spans="1:12" ht="16.5" hidden="1">
      <c r="A34" s="459">
        <v>25</v>
      </c>
      <c r="B34" s="460" t="s">
        <v>3183</v>
      </c>
      <c r="C34" s="459" t="s">
        <v>3184</v>
      </c>
      <c r="D34" s="459"/>
      <c r="E34" s="461">
        <v>16027</v>
      </c>
      <c r="F34" s="461">
        <f t="shared" si="1"/>
        <v>16027</v>
      </c>
      <c r="G34" s="461"/>
      <c r="H34" s="461"/>
      <c r="I34" s="461"/>
      <c r="J34" s="461"/>
      <c r="K34" s="461">
        <f t="shared" si="0"/>
        <v>16027</v>
      </c>
      <c r="L34" s="462"/>
    </row>
    <row r="35" spans="1:12" ht="16.5" hidden="1">
      <c r="A35" s="459">
        <v>26</v>
      </c>
      <c r="B35" s="460" t="s">
        <v>3185</v>
      </c>
      <c r="C35" s="459" t="s">
        <v>51</v>
      </c>
      <c r="D35" s="459"/>
      <c r="E35" s="461">
        <v>150000</v>
      </c>
      <c r="F35" s="461">
        <f t="shared" si="1"/>
        <v>150000</v>
      </c>
      <c r="G35" s="461"/>
      <c r="H35" s="461"/>
      <c r="I35" s="461"/>
      <c r="J35" s="461"/>
      <c r="K35" s="461">
        <f t="shared" si="0"/>
        <v>150000</v>
      </c>
      <c r="L35" s="462"/>
    </row>
    <row r="36" spans="1:12" ht="16.5" hidden="1">
      <c r="A36" s="459">
        <v>27</v>
      </c>
      <c r="B36" s="460" t="s">
        <v>3186</v>
      </c>
      <c r="C36" s="459" t="s">
        <v>51</v>
      </c>
      <c r="D36" s="459"/>
      <c r="E36" s="461">
        <v>250000</v>
      </c>
      <c r="F36" s="461">
        <f t="shared" si="1"/>
        <v>250000</v>
      </c>
      <c r="G36" s="461"/>
      <c r="H36" s="461"/>
      <c r="I36" s="461"/>
      <c r="J36" s="461"/>
      <c r="K36" s="461">
        <f t="shared" si="0"/>
        <v>250000</v>
      </c>
      <c r="L36" s="462"/>
    </row>
    <row r="37" spans="1:12" ht="16.5" hidden="1">
      <c r="A37" s="459">
        <v>28</v>
      </c>
      <c r="B37" s="460" t="s">
        <v>3187</v>
      </c>
      <c r="C37" s="459" t="s">
        <v>47</v>
      </c>
      <c r="D37" s="459"/>
      <c r="E37" s="461">
        <f>255500*0.224</f>
        <v>57232</v>
      </c>
      <c r="F37" s="461">
        <f t="shared" si="1"/>
        <v>57232</v>
      </c>
      <c r="G37" s="461"/>
      <c r="H37" s="461"/>
      <c r="I37" s="461"/>
      <c r="J37" s="461"/>
      <c r="K37" s="461">
        <f t="shared" si="0"/>
        <v>57232</v>
      </c>
      <c r="L37" s="462"/>
    </row>
    <row r="38" spans="1:12" ht="16.5" hidden="1">
      <c r="A38" s="459">
        <v>29</v>
      </c>
      <c r="B38" s="460" t="s">
        <v>3188</v>
      </c>
      <c r="C38" s="459" t="s">
        <v>49</v>
      </c>
      <c r="D38" s="459"/>
      <c r="E38" s="461">
        <v>10940</v>
      </c>
      <c r="F38" s="461">
        <f t="shared" si="1"/>
        <v>10940</v>
      </c>
      <c r="G38" s="461"/>
      <c r="H38" s="461"/>
      <c r="I38" s="461"/>
      <c r="J38" s="461"/>
      <c r="K38" s="461">
        <f t="shared" si="0"/>
        <v>10940</v>
      </c>
      <c r="L38" s="462"/>
    </row>
    <row r="39" spans="1:12" ht="16.5" hidden="1">
      <c r="A39" s="459">
        <v>30</v>
      </c>
      <c r="B39" s="460" t="s">
        <v>3189</v>
      </c>
      <c r="C39" s="459" t="s">
        <v>49</v>
      </c>
      <c r="D39" s="459"/>
      <c r="E39" s="461">
        <v>26970</v>
      </c>
      <c r="F39" s="461">
        <f t="shared" si="1"/>
        <v>26970</v>
      </c>
      <c r="G39" s="461"/>
      <c r="H39" s="461"/>
      <c r="I39" s="461"/>
      <c r="J39" s="461"/>
      <c r="K39" s="461">
        <f t="shared" si="0"/>
        <v>26970</v>
      </c>
      <c r="L39" s="462"/>
    </row>
    <row r="40" spans="1:12" ht="16.5" hidden="1">
      <c r="A40" s="459">
        <v>31</v>
      </c>
      <c r="B40" s="460" t="s">
        <v>3190</v>
      </c>
      <c r="C40" s="459" t="s">
        <v>45</v>
      </c>
      <c r="D40" s="459"/>
      <c r="E40" s="461">
        <v>27940</v>
      </c>
      <c r="F40" s="461">
        <f t="shared" si="1"/>
        <v>27940</v>
      </c>
      <c r="G40" s="461"/>
      <c r="H40" s="461"/>
      <c r="I40" s="461"/>
      <c r="J40" s="461"/>
      <c r="K40" s="461">
        <f t="shared" si="0"/>
        <v>27940</v>
      </c>
      <c r="L40" s="462"/>
    </row>
    <row r="41" spans="1:12" ht="16.5" hidden="1">
      <c r="A41" s="459">
        <v>32</v>
      </c>
      <c r="B41" s="460" t="s">
        <v>3191</v>
      </c>
      <c r="C41" s="459" t="s">
        <v>49</v>
      </c>
      <c r="D41" s="459"/>
      <c r="E41" s="461">
        <v>1137</v>
      </c>
      <c r="F41" s="461">
        <f t="shared" si="1"/>
        <v>1137</v>
      </c>
      <c r="G41" s="461"/>
      <c r="H41" s="461"/>
      <c r="I41" s="461"/>
      <c r="J41" s="461"/>
      <c r="K41" s="461">
        <f t="shared" si="0"/>
        <v>1137</v>
      </c>
      <c r="L41" s="462"/>
    </row>
    <row r="42" spans="1:12" ht="16.5" hidden="1">
      <c r="A42" s="459">
        <v>33</v>
      </c>
      <c r="B42" s="460" t="s">
        <v>3192</v>
      </c>
      <c r="C42" s="459" t="s">
        <v>49</v>
      </c>
      <c r="D42" s="459"/>
      <c r="E42" s="461">
        <v>2273</v>
      </c>
      <c r="F42" s="461">
        <f t="shared" si="1"/>
        <v>2273</v>
      </c>
      <c r="G42" s="461"/>
      <c r="H42" s="461"/>
      <c r="I42" s="461"/>
      <c r="J42" s="461"/>
      <c r="K42" s="461">
        <f t="shared" si="0"/>
        <v>2273</v>
      </c>
      <c r="L42" s="462"/>
    </row>
    <row r="43" spans="1:12" ht="16.5" hidden="1">
      <c r="A43" s="459">
        <v>34</v>
      </c>
      <c r="B43" s="460" t="s">
        <v>3193</v>
      </c>
      <c r="C43" s="459" t="s">
        <v>49</v>
      </c>
      <c r="D43" s="459"/>
      <c r="E43" s="461">
        <v>3277</v>
      </c>
      <c r="F43" s="461">
        <f t="shared" si="1"/>
        <v>3277</v>
      </c>
      <c r="G43" s="461"/>
      <c r="H43" s="461"/>
      <c r="I43" s="461"/>
      <c r="J43" s="461"/>
      <c r="K43" s="461">
        <f t="shared" si="0"/>
        <v>3277</v>
      </c>
      <c r="L43" s="462"/>
    </row>
    <row r="44" spans="1:12" ht="16.5" hidden="1">
      <c r="A44" s="459">
        <v>35</v>
      </c>
      <c r="B44" s="460" t="s">
        <v>3194</v>
      </c>
      <c r="C44" s="459" t="s">
        <v>47</v>
      </c>
      <c r="D44" s="459"/>
      <c r="E44" s="461">
        <v>3636364</v>
      </c>
      <c r="F44" s="461">
        <f t="shared" si="1"/>
        <v>3636364</v>
      </c>
      <c r="G44" s="461"/>
      <c r="H44" s="461"/>
      <c r="I44" s="461"/>
      <c r="J44" s="461"/>
      <c r="K44" s="461">
        <f t="shared" si="0"/>
        <v>3636364</v>
      </c>
      <c r="L44" s="462"/>
    </row>
    <row r="45" spans="1:12" ht="16.5" hidden="1">
      <c r="A45" s="459">
        <v>36</v>
      </c>
      <c r="B45" s="460" t="s">
        <v>3146</v>
      </c>
      <c r="C45" s="459" t="s">
        <v>47</v>
      </c>
      <c r="D45" s="459"/>
      <c r="E45" s="461">
        <v>3636364</v>
      </c>
      <c r="F45" s="461">
        <f>E45</f>
        <v>3636364</v>
      </c>
      <c r="G45" s="461"/>
      <c r="H45" s="461"/>
      <c r="I45" s="461"/>
      <c r="J45" s="461"/>
      <c r="K45" s="461">
        <f t="shared" si="0"/>
        <v>3636364</v>
      </c>
      <c r="L45" s="462"/>
    </row>
    <row r="46" spans="1:12" ht="16.5" hidden="1">
      <c r="A46" s="459">
        <v>37</v>
      </c>
      <c r="B46" s="460" t="s">
        <v>3145</v>
      </c>
      <c r="C46" s="459" t="s">
        <v>47</v>
      </c>
      <c r="D46" s="459"/>
      <c r="E46" s="461">
        <v>3636364</v>
      </c>
      <c r="F46" s="461">
        <f>E46</f>
        <v>3636364</v>
      </c>
      <c r="G46" s="461"/>
      <c r="H46" s="461"/>
      <c r="I46" s="461"/>
      <c r="J46" s="461"/>
      <c r="K46" s="461">
        <f t="shared" si="0"/>
        <v>3636364</v>
      </c>
      <c r="L46" s="462"/>
    </row>
    <row r="47" spans="1:12" ht="16.5" hidden="1">
      <c r="A47" s="459">
        <v>38</v>
      </c>
      <c r="B47" s="460" t="s">
        <v>111</v>
      </c>
      <c r="C47" s="459" t="s">
        <v>47</v>
      </c>
      <c r="D47" s="459"/>
      <c r="E47" s="461">
        <v>3636364</v>
      </c>
      <c r="F47" s="461">
        <f>E47</f>
        <v>3636364</v>
      </c>
      <c r="G47" s="461"/>
      <c r="H47" s="461"/>
      <c r="I47" s="461"/>
      <c r="J47" s="461"/>
      <c r="K47" s="461">
        <f t="shared" si="0"/>
        <v>3636364</v>
      </c>
      <c r="L47" s="462"/>
    </row>
    <row r="48" spans="1:12" ht="16.5" hidden="1">
      <c r="A48" s="459">
        <v>39</v>
      </c>
      <c r="B48" s="460" t="s">
        <v>110</v>
      </c>
      <c r="C48" s="459" t="s">
        <v>47</v>
      </c>
      <c r="D48" s="459"/>
      <c r="E48" s="461">
        <v>3636364</v>
      </c>
      <c r="F48" s="461">
        <f>E48</f>
        <v>3636364</v>
      </c>
      <c r="G48" s="461"/>
      <c r="H48" s="461"/>
      <c r="I48" s="461"/>
      <c r="J48" s="461"/>
      <c r="K48" s="461">
        <f t="shared" si="0"/>
        <v>3636364</v>
      </c>
      <c r="L48" s="462"/>
    </row>
    <row r="49" spans="1:12" s="463" customFormat="1" ht="16.5" hidden="1">
      <c r="A49" s="459">
        <v>40</v>
      </c>
      <c r="B49" s="460" t="s">
        <v>3146</v>
      </c>
      <c r="C49" s="459" t="s">
        <v>47</v>
      </c>
      <c r="D49" s="459"/>
      <c r="E49" s="461">
        <v>3636364</v>
      </c>
      <c r="F49" s="461">
        <f t="shared" si="1"/>
        <v>3636364</v>
      </c>
      <c r="G49" s="461"/>
      <c r="H49" s="461"/>
      <c r="I49" s="461"/>
      <c r="J49" s="461"/>
      <c r="K49" s="461">
        <f t="shared" si="0"/>
        <v>3636364</v>
      </c>
      <c r="L49" s="462"/>
    </row>
    <row r="50" spans="1:12" s="463" customFormat="1" ht="16.5" hidden="1">
      <c r="A50" s="459">
        <v>41</v>
      </c>
      <c r="B50" s="460" t="s">
        <v>3195</v>
      </c>
      <c r="C50" s="459" t="s">
        <v>3144</v>
      </c>
      <c r="D50" s="459"/>
      <c r="E50" s="461">
        <v>727</v>
      </c>
      <c r="F50" s="461">
        <f t="shared" si="1"/>
        <v>727</v>
      </c>
      <c r="G50" s="461"/>
      <c r="H50" s="461"/>
      <c r="I50" s="461"/>
      <c r="J50" s="461"/>
      <c r="K50" s="461">
        <f t="shared" si="0"/>
        <v>727</v>
      </c>
      <c r="L50" s="462"/>
    </row>
    <row r="51" spans="1:12" s="463" customFormat="1" ht="16.5" hidden="1">
      <c r="A51" s="459">
        <v>42</v>
      </c>
      <c r="B51" s="460" t="s">
        <v>3196</v>
      </c>
      <c r="C51" s="459" t="s">
        <v>47</v>
      </c>
      <c r="D51" s="459"/>
      <c r="E51" s="461">
        <v>4545455</v>
      </c>
      <c r="F51" s="461">
        <f t="shared" si="1"/>
        <v>4545455</v>
      </c>
      <c r="G51" s="461"/>
      <c r="H51" s="461"/>
      <c r="I51" s="461"/>
      <c r="J51" s="461"/>
      <c r="K51" s="461">
        <f t="shared" si="0"/>
        <v>4545455</v>
      </c>
      <c r="L51" s="462"/>
    </row>
    <row r="52" spans="1:12" ht="16.5" hidden="1">
      <c r="A52" s="459">
        <v>43</v>
      </c>
      <c r="B52" s="460" t="s">
        <v>2682</v>
      </c>
      <c r="C52" s="459" t="s">
        <v>45</v>
      </c>
      <c r="D52" s="459"/>
      <c r="E52" s="461">
        <v>5000</v>
      </c>
      <c r="F52" s="461">
        <f t="shared" si="1"/>
        <v>5000</v>
      </c>
      <c r="G52" s="461"/>
      <c r="H52" s="461"/>
      <c r="I52" s="461"/>
      <c r="J52" s="461"/>
      <c r="K52" s="461">
        <f t="shared" si="0"/>
        <v>5000</v>
      </c>
      <c r="L52" s="462"/>
    </row>
    <row r="53" spans="1:12" ht="33" hidden="1">
      <c r="A53" s="459">
        <v>44</v>
      </c>
      <c r="B53" s="460" t="s">
        <v>3197</v>
      </c>
      <c r="C53" s="459" t="s">
        <v>139</v>
      </c>
      <c r="D53" s="459"/>
      <c r="E53" s="461">
        <v>16224</v>
      </c>
      <c r="F53" s="461">
        <f t="shared" si="1"/>
        <v>16224</v>
      </c>
      <c r="G53" s="461"/>
      <c r="H53" s="461"/>
      <c r="I53" s="461"/>
      <c r="J53" s="461"/>
      <c r="K53" s="461">
        <f t="shared" si="0"/>
        <v>16224</v>
      </c>
      <c r="L53" s="462"/>
    </row>
    <row r="54" spans="1:12" ht="33" hidden="1">
      <c r="A54" s="459">
        <v>45</v>
      </c>
      <c r="B54" s="460" t="s">
        <v>3198</v>
      </c>
      <c r="C54" s="459" t="s">
        <v>139</v>
      </c>
      <c r="D54" s="459"/>
      <c r="E54" s="461">
        <v>20280</v>
      </c>
      <c r="F54" s="461">
        <f t="shared" si="1"/>
        <v>20280</v>
      </c>
      <c r="G54" s="461"/>
      <c r="H54" s="461"/>
      <c r="I54" s="461"/>
      <c r="J54" s="461"/>
      <c r="K54" s="461">
        <f>+SUM(F54:H54)+J54</f>
        <v>20280</v>
      </c>
      <c r="L54" s="462"/>
    </row>
    <row r="55" spans="1:12" ht="33" hidden="1">
      <c r="A55" s="459">
        <v>46</v>
      </c>
      <c r="B55" s="460" t="s">
        <v>3199</v>
      </c>
      <c r="C55" s="459" t="s">
        <v>139</v>
      </c>
      <c r="D55" s="459"/>
      <c r="E55" s="461">
        <v>27040</v>
      </c>
      <c r="F55" s="461">
        <f t="shared" si="1"/>
        <v>27040</v>
      </c>
      <c r="G55" s="461"/>
      <c r="H55" s="461"/>
      <c r="I55" s="461"/>
      <c r="J55" s="461"/>
      <c r="K55" s="461">
        <f t="shared" si="0"/>
        <v>27040</v>
      </c>
      <c r="L55" s="462"/>
    </row>
    <row r="56" spans="1:12" ht="33" hidden="1">
      <c r="A56" s="459">
        <v>47</v>
      </c>
      <c r="B56" s="460" t="s">
        <v>3200</v>
      </c>
      <c r="C56" s="459" t="s">
        <v>139</v>
      </c>
      <c r="D56" s="459"/>
      <c r="E56" s="461">
        <v>27040</v>
      </c>
      <c r="F56" s="461">
        <f t="shared" si="1"/>
        <v>27040</v>
      </c>
      <c r="G56" s="461"/>
      <c r="H56" s="461"/>
      <c r="I56" s="461"/>
      <c r="J56" s="461"/>
      <c r="K56" s="461">
        <f t="shared" si="0"/>
        <v>27040</v>
      </c>
      <c r="L56" s="462"/>
    </row>
    <row r="57" spans="1:12" ht="33" hidden="1">
      <c r="A57" s="459">
        <v>48</v>
      </c>
      <c r="B57" s="460" t="s">
        <v>3201</v>
      </c>
      <c r="C57" s="459" t="s">
        <v>139</v>
      </c>
      <c r="D57" s="459"/>
      <c r="E57" s="461">
        <v>33800</v>
      </c>
      <c r="F57" s="461">
        <f t="shared" si="1"/>
        <v>33800</v>
      </c>
      <c r="G57" s="461"/>
      <c r="H57" s="461"/>
      <c r="I57" s="461"/>
      <c r="J57" s="461"/>
      <c r="K57" s="461">
        <f t="shared" si="0"/>
        <v>33800</v>
      </c>
      <c r="L57" s="462"/>
    </row>
    <row r="58" spans="1:12" ht="33" hidden="1">
      <c r="A58" s="459">
        <v>49</v>
      </c>
      <c r="B58" s="460" t="s">
        <v>3202</v>
      </c>
      <c r="C58" s="459" t="s">
        <v>139</v>
      </c>
      <c r="D58" s="459"/>
      <c r="E58" s="461">
        <v>33800</v>
      </c>
      <c r="F58" s="461">
        <f t="shared" si="1"/>
        <v>33800</v>
      </c>
      <c r="G58" s="461"/>
      <c r="H58" s="461"/>
      <c r="I58" s="461"/>
      <c r="J58" s="461"/>
      <c r="K58" s="461">
        <f t="shared" si="0"/>
        <v>33800</v>
      </c>
      <c r="L58" s="462"/>
    </row>
    <row r="59" spans="1:12" ht="33" hidden="1">
      <c r="A59" s="459">
        <v>50</v>
      </c>
      <c r="B59" s="460" t="s">
        <v>3203</v>
      </c>
      <c r="C59" s="459" t="s">
        <v>139</v>
      </c>
      <c r="D59" s="459"/>
      <c r="E59" s="461">
        <v>33800</v>
      </c>
      <c r="F59" s="461">
        <f t="shared" si="1"/>
        <v>33800</v>
      </c>
      <c r="G59" s="461"/>
      <c r="H59" s="461"/>
      <c r="I59" s="461"/>
      <c r="J59" s="461"/>
      <c r="K59" s="461">
        <f t="shared" si="0"/>
        <v>33800</v>
      </c>
      <c r="L59" s="462"/>
    </row>
    <row r="60" spans="1:12" ht="16.5" hidden="1">
      <c r="A60" s="459">
        <v>51</v>
      </c>
      <c r="B60" s="460" t="s">
        <v>3204</v>
      </c>
      <c r="C60" s="459" t="s">
        <v>51</v>
      </c>
      <c r="D60" s="459"/>
      <c r="E60" s="461">
        <v>35000</v>
      </c>
      <c r="F60" s="461">
        <f t="shared" si="1"/>
        <v>35000</v>
      </c>
      <c r="G60" s="461"/>
      <c r="H60" s="461"/>
      <c r="I60" s="461"/>
      <c r="J60" s="461"/>
      <c r="K60" s="461">
        <f t="shared" si="0"/>
        <v>35000</v>
      </c>
      <c r="L60" s="462"/>
    </row>
    <row r="61" spans="1:12" ht="16.5" hidden="1">
      <c r="A61" s="459">
        <v>52</v>
      </c>
      <c r="B61" s="460" t="s">
        <v>3205</v>
      </c>
      <c r="C61" s="459" t="s">
        <v>45</v>
      </c>
      <c r="D61" s="459"/>
      <c r="E61" s="461">
        <v>65000</v>
      </c>
      <c r="F61" s="461">
        <f t="shared" si="1"/>
        <v>65000</v>
      </c>
      <c r="G61" s="461"/>
      <c r="H61" s="461"/>
      <c r="I61" s="461"/>
      <c r="J61" s="461"/>
      <c r="K61" s="461">
        <f t="shared" si="0"/>
        <v>65000</v>
      </c>
      <c r="L61" s="462"/>
    </row>
    <row r="62" spans="1:12" ht="14.25" hidden="1" customHeight="1">
      <c r="A62" s="459">
        <v>53</v>
      </c>
      <c r="B62" s="460" t="s">
        <v>3206</v>
      </c>
      <c r="C62" s="459" t="s">
        <v>51</v>
      </c>
      <c r="D62" s="459"/>
      <c r="E62" s="461">
        <v>16000</v>
      </c>
      <c r="F62" s="461">
        <f t="shared" si="1"/>
        <v>16000</v>
      </c>
      <c r="G62" s="461"/>
      <c r="H62" s="461"/>
      <c r="I62" s="461"/>
      <c r="J62" s="461"/>
      <c r="K62" s="461">
        <f t="shared" si="0"/>
        <v>16000</v>
      </c>
      <c r="L62" s="462"/>
    </row>
    <row r="63" spans="1:12" ht="16.5" hidden="1">
      <c r="A63" s="459">
        <v>54</v>
      </c>
      <c r="B63" s="460" t="s">
        <v>3207</v>
      </c>
      <c r="C63" s="459" t="s">
        <v>51</v>
      </c>
      <c r="D63" s="459"/>
      <c r="E63" s="461">
        <v>2000</v>
      </c>
      <c r="F63" s="461">
        <f t="shared" si="1"/>
        <v>2000</v>
      </c>
      <c r="G63" s="461"/>
      <c r="H63" s="461"/>
      <c r="I63" s="461"/>
      <c r="J63" s="461"/>
      <c r="K63" s="461">
        <f t="shared" si="0"/>
        <v>2000</v>
      </c>
      <c r="L63" s="462"/>
    </row>
    <row r="64" spans="1:12" ht="16.5" hidden="1">
      <c r="A64" s="459">
        <v>55</v>
      </c>
      <c r="B64" s="460" t="s">
        <v>3208</v>
      </c>
      <c r="C64" s="459" t="s">
        <v>51</v>
      </c>
      <c r="D64" s="459"/>
      <c r="E64" s="461">
        <v>2500</v>
      </c>
      <c r="F64" s="461">
        <f t="shared" si="1"/>
        <v>2500</v>
      </c>
      <c r="G64" s="461"/>
      <c r="H64" s="461"/>
      <c r="I64" s="461"/>
      <c r="J64" s="461"/>
      <c r="K64" s="461">
        <f t="shared" si="0"/>
        <v>2500</v>
      </c>
      <c r="L64" s="462"/>
    </row>
    <row r="65" spans="1:12" ht="16.5" hidden="1">
      <c r="A65" s="459">
        <v>56</v>
      </c>
      <c r="B65" s="460" t="s">
        <v>3209</v>
      </c>
      <c r="C65" s="459" t="s">
        <v>51</v>
      </c>
      <c r="D65" s="459"/>
      <c r="E65" s="461">
        <v>4000</v>
      </c>
      <c r="F65" s="461">
        <f t="shared" si="1"/>
        <v>4000</v>
      </c>
      <c r="G65" s="461"/>
      <c r="H65" s="461"/>
      <c r="I65" s="461"/>
      <c r="J65" s="461"/>
      <c r="K65" s="461">
        <f t="shared" si="0"/>
        <v>4000</v>
      </c>
      <c r="L65" s="462"/>
    </row>
    <row r="66" spans="1:12" ht="16.5" hidden="1">
      <c r="A66" s="459">
        <v>57</v>
      </c>
      <c r="B66" s="460" t="s">
        <v>3210</v>
      </c>
      <c r="C66" s="459" t="s">
        <v>51</v>
      </c>
      <c r="D66" s="459"/>
      <c r="E66" s="461">
        <v>5100</v>
      </c>
      <c r="F66" s="461">
        <f t="shared" si="1"/>
        <v>5100</v>
      </c>
      <c r="G66" s="461"/>
      <c r="H66" s="461"/>
      <c r="I66" s="461"/>
      <c r="J66" s="461"/>
      <c r="K66" s="461">
        <f t="shared" si="0"/>
        <v>5100</v>
      </c>
      <c r="L66" s="462"/>
    </row>
    <row r="67" spans="1:12" ht="16.5" hidden="1">
      <c r="A67" s="459">
        <v>58</v>
      </c>
      <c r="B67" s="460" t="s">
        <v>3211</v>
      </c>
      <c r="C67" s="459" t="s">
        <v>51</v>
      </c>
      <c r="D67" s="459"/>
      <c r="E67" s="461">
        <v>79000</v>
      </c>
      <c r="F67" s="461">
        <f t="shared" si="1"/>
        <v>79000</v>
      </c>
      <c r="G67" s="461"/>
      <c r="H67" s="461"/>
      <c r="I67" s="461"/>
      <c r="J67" s="461"/>
      <c r="K67" s="461">
        <f t="shared" si="0"/>
        <v>79000</v>
      </c>
      <c r="L67" s="462"/>
    </row>
    <row r="68" spans="1:12" ht="16.5" hidden="1">
      <c r="A68" s="459">
        <v>59</v>
      </c>
      <c r="B68" s="460" t="s">
        <v>3212</v>
      </c>
      <c r="C68" s="459" t="s">
        <v>51</v>
      </c>
      <c r="D68" s="459"/>
      <c r="E68" s="461">
        <v>12200</v>
      </c>
      <c r="F68" s="461">
        <f t="shared" si="1"/>
        <v>12200</v>
      </c>
      <c r="G68" s="461"/>
      <c r="H68" s="461"/>
      <c r="I68" s="461"/>
      <c r="J68" s="461"/>
      <c r="K68" s="461">
        <f t="shared" si="0"/>
        <v>12200</v>
      </c>
      <c r="L68" s="462"/>
    </row>
    <row r="69" spans="1:12" s="463" customFormat="1" ht="16.5" hidden="1">
      <c r="A69" s="459">
        <v>60</v>
      </c>
      <c r="B69" s="460" t="s">
        <v>3213</v>
      </c>
      <c r="C69" s="459" t="s">
        <v>51</v>
      </c>
      <c r="D69" s="459"/>
      <c r="E69" s="461">
        <v>15800</v>
      </c>
      <c r="F69" s="461">
        <f t="shared" si="1"/>
        <v>15800</v>
      </c>
      <c r="G69" s="461"/>
      <c r="H69" s="461"/>
      <c r="I69" s="461"/>
      <c r="J69" s="461"/>
      <c r="K69" s="461">
        <f t="shared" si="0"/>
        <v>15800</v>
      </c>
      <c r="L69" s="462"/>
    </row>
    <row r="70" spans="1:12" ht="16.5" hidden="1">
      <c r="A70" s="459">
        <v>61</v>
      </c>
      <c r="B70" s="460" t="s">
        <v>3214</v>
      </c>
      <c r="C70" s="459" t="s">
        <v>51</v>
      </c>
      <c r="D70" s="459"/>
      <c r="E70" s="461">
        <v>25000</v>
      </c>
      <c r="F70" s="461">
        <f t="shared" si="1"/>
        <v>25000</v>
      </c>
      <c r="G70" s="461"/>
      <c r="H70" s="461"/>
      <c r="I70" s="461"/>
      <c r="J70" s="461"/>
      <c r="K70" s="461">
        <f t="shared" si="0"/>
        <v>25000</v>
      </c>
      <c r="L70" s="462"/>
    </row>
    <row r="71" spans="1:12" ht="16.5" hidden="1">
      <c r="A71" s="459">
        <v>62</v>
      </c>
      <c r="B71" s="460" t="s">
        <v>3215</v>
      </c>
      <c r="C71" s="459" t="s">
        <v>51</v>
      </c>
      <c r="D71" s="459"/>
      <c r="E71" s="461">
        <v>51300</v>
      </c>
      <c r="F71" s="461">
        <f t="shared" si="1"/>
        <v>51300</v>
      </c>
      <c r="G71" s="461"/>
      <c r="H71" s="461"/>
      <c r="I71" s="461"/>
      <c r="J71" s="461"/>
      <c r="K71" s="461">
        <f t="shared" si="0"/>
        <v>51300</v>
      </c>
      <c r="L71" s="462"/>
    </row>
    <row r="72" spans="1:12" ht="16.5" hidden="1">
      <c r="A72" s="459">
        <v>63</v>
      </c>
      <c r="B72" s="460" t="s">
        <v>3216</v>
      </c>
      <c r="C72" s="459" t="s">
        <v>51</v>
      </c>
      <c r="D72" s="459"/>
      <c r="E72" s="461">
        <v>51300</v>
      </c>
      <c r="F72" s="461">
        <f t="shared" si="1"/>
        <v>51300</v>
      </c>
      <c r="G72" s="461"/>
      <c r="H72" s="461"/>
      <c r="I72" s="461"/>
      <c r="J72" s="461"/>
      <c r="K72" s="461">
        <f t="shared" si="0"/>
        <v>51300</v>
      </c>
      <c r="L72" s="462"/>
    </row>
    <row r="73" spans="1:12" ht="16.5" hidden="1">
      <c r="A73" s="459">
        <v>64</v>
      </c>
      <c r="B73" s="460" t="s">
        <v>3217</v>
      </c>
      <c r="C73" s="459" t="s">
        <v>51</v>
      </c>
      <c r="D73" s="459"/>
      <c r="E73" s="461">
        <v>83200</v>
      </c>
      <c r="F73" s="461">
        <f t="shared" si="1"/>
        <v>83200</v>
      </c>
      <c r="G73" s="461"/>
      <c r="H73" s="461"/>
      <c r="I73" s="461"/>
      <c r="J73" s="461"/>
      <c r="K73" s="461">
        <f t="shared" ref="K73:K136" si="2">+SUM(F73:H73)+J73</f>
        <v>83200</v>
      </c>
      <c r="L73" s="462"/>
    </row>
    <row r="74" spans="1:12" ht="16.5" hidden="1">
      <c r="A74" s="459">
        <v>65</v>
      </c>
      <c r="B74" s="460" t="s">
        <v>3218</v>
      </c>
      <c r="C74" s="459" t="s">
        <v>51</v>
      </c>
      <c r="D74" s="459"/>
      <c r="E74" s="461">
        <v>132600</v>
      </c>
      <c r="F74" s="461">
        <f t="shared" si="1"/>
        <v>132600</v>
      </c>
      <c r="G74" s="461"/>
      <c r="H74" s="461"/>
      <c r="I74" s="461"/>
      <c r="J74" s="461"/>
      <c r="K74" s="461">
        <f t="shared" si="2"/>
        <v>132600</v>
      </c>
      <c r="L74" s="462"/>
    </row>
    <row r="75" spans="1:12" ht="16.5" hidden="1">
      <c r="A75" s="459">
        <v>66</v>
      </c>
      <c r="B75" s="460" t="s">
        <v>3219</v>
      </c>
      <c r="C75" s="459" t="s">
        <v>51</v>
      </c>
      <c r="D75" s="459"/>
      <c r="E75" s="461">
        <v>150000</v>
      </c>
      <c r="F75" s="461">
        <f t="shared" si="1"/>
        <v>150000</v>
      </c>
      <c r="G75" s="461"/>
      <c r="H75" s="461"/>
      <c r="I75" s="461"/>
      <c r="J75" s="461"/>
      <c r="K75" s="461">
        <f t="shared" si="2"/>
        <v>150000</v>
      </c>
      <c r="L75" s="462"/>
    </row>
    <row r="76" spans="1:12" ht="16.5" hidden="1">
      <c r="A76" s="459">
        <v>67</v>
      </c>
      <c r="B76" s="460" t="s">
        <v>3220</v>
      </c>
      <c r="C76" s="459" t="s">
        <v>45</v>
      </c>
      <c r="D76" s="459"/>
      <c r="E76" s="461">
        <v>1000</v>
      </c>
      <c r="F76" s="461">
        <f t="shared" si="1"/>
        <v>1000</v>
      </c>
      <c r="G76" s="461"/>
      <c r="H76" s="461"/>
      <c r="I76" s="461"/>
      <c r="J76" s="461"/>
      <c r="K76" s="461">
        <f t="shared" si="2"/>
        <v>1000</v>
      </c>
      <c r="L76" s="462"/>
    </row>
    <row r="77" spans="1:12" ht="16.5" hidden="1">
      <c r="A77" s="459">
        <v>68</v>
      </c>
      <c r="B77" s="460" t="s">
        <v>3221</v>
      </c>
      <c r="C77" s="459" t="s">
        <v>45</v>
      </c>
      <c r="D77" s="459"/>
      <c r="E77" s="461">
        <v>42000</v>
      </c>
      <c r="F77" s="461">
        <f t="shared" si="1"/>
        <v>42000</v>
      </c>
      <c r="G77" s="461"/>
      <c r="H77" s="461"/>
      <c r="I77" s="461"/>
      <c r="J77" s="461"/>
      <c r="K77" s="461">
        <f t="shared" si="2"/>
        <v>42000</v>
      </c>
      <c r="L77" s="462"/>
    </row>
    <row r="78" spans="1:12" ht="16.5" hidden="1">
      <c r="A78" s="459">
        <v>69</v>
      </c>
      <c r="B78" s="460" t="s">
        <v>3222</v>
      </c>
      <c r="C78" s="459" t="s">
        <v>45</v>
      </c>
      <c r="D78" s="459"/>
      <c r="E78" s="461">
        <v>100900</v>
      </c>
      <c r="F78" s="461">
        <f t="shared" si="1"/>
        <v>100900</v>
      </c>
      <c r="G78" s="461"/>
      <c r="H78" s="461"/>
      <c r="I78" s="461"/>
      <c r="J78" s="461"/>
      <c r="K78" s="461">
        <f t="shared" si="2"/>
        <v>100900</v>
      </c>
      <c r="L78" s="462"/>
    </row>
    <row r="79" spans="1:12" ht="16.5" hidden="1">
      <c r="A79" s="459">
        <v>70</v>
      </c>
      <c r="B79" s="460" t="s">
        <v>3223</v>
      </c>
      <c r="C79" s="459" t="s">
        <v>59</v>
      </c>
      <c r="D79" s="459"/>
      <c r="E79" s="461">
        <v>3045</v>
      </c>
      <c r="F79" s="461">
        <f t="shared" si="1"/>
        <v>3045</v>
      </c>
      <c r="G79" s="461"/>
      <c r="H79" s="461"/>
      <c r="I79" s="461"/>
      <c r="J79" s="461"/>
      <c r="K79" s="461">
        <f t="shared" si="2"/>
        <v>3045</v>
      </c>
      <c r="L79" s="462"/>
    </row>
    <row r="80" spans="1:12" s="464" customFormat="1" ht="16.5" hidden="1">
      <c r="A80" s="459">
        <v>71</v>
      </c>
      <c r="B80" s="460" t="s">
        <v>3224</v>
      </c>
      <c r="C80" s="459" t="s">
        <v>59</v>
      </c>
      <c r="D80" s="459"/>
      <c r="E80" s="461">
        <v>6200</v>
      </c>
      <c r="F80" s="461">
        <f t="shared" si="1"/>
        <v>6200</v>
      </c>
      <c r="G80" s="461"/>
      <c r="H80" s="461"/>
      <c r="I80" s="461"/>
      <c r="J80" s="461"/>
      <c r="K80" s="461">
        <f t="shared" si="2"/>
        <v>6200</v>
      </c>
      <c r="L80" s="462"/>
    </row>
    <row r="81" spans="1:12" s="464" customFormat="1" ht="16.5" hidden="1">
      <c r="A81" s="459">
        <v>72</v>
      </c>
      <c r="B81" s="460" t="s">
        <v>3225</v>
      </c>
      <c r="C81" s="459" t="s">
        <v>59</v>
      </c>
      <c r="D81" s="459"/>
      <c r="E81" s="461">
        <v>8800</v>
      </c>
      <c r="F81" s="461">
        <f t="shared" si="1"/>
        <v>8800</v>
      </c>
      <c r="G81" s="461"/>
      <c r="H81" s="461"/>
      <c r="I81" s="461"/>
      <c r="J81" s="461"/>
      <c r="K81" s="461">
        <f t="shared" si="2"/>
        <v>8800</v>
      </c>
      <c r="L81" s="462"/>
    </row>
    <row r="82" spans="1:12" s="464" customFormat="1" ht="16.5" hidden="1">
      <c r="A82" s="459">
        <v>73</v>
      </c>
      <c r="B82" s="460" t="s">
        <v>3226</v>
      </c>
      <c r="C82" s="459" t="s">
        <v>59</v>
      </c>
      <c r="D82" s="459"/>
      <c r="E82" s="461">
        <v>12300</v>
      </c>
      <c r="F82" s="461">
        <f t="shared" si="1"/>
        <v>12300</v>
      </c>
      <c r="G82" s="461"/>
      <c r="H82" s="461"/>
      <c r="I82" s="461"/>
      <c r="J82" s="461"/>
      <c r="K82" s="461">
        <f t="shared" si="2"/>
        <v>12300</v>
      </c>
      <c r="L82" s="462"/>
    </row>
    <row r="83" spans="1:12" s="464" customFormat="1" ht="16.5" hidden="1">
      <c r="A83" s="459">
        <v>74</v>
      </c>
      <c r="B83" s="460" t="s">
        <v>3227</v>
      </c>
      <c r="C83" s="459" t="s">
        <v>59</v>
      </c>
      <c r="D83" s="459"/>
      <c r="E83" s="461">
        <v>16400</v>
      </c>
      <c r="F83" s="461">
        <f t="shared" ref="F83:F146" si="3">E83</f>
        <v>16400</v>
      </c>
      <c r="G83" s="461"/>
      <c r="H83" s="461"/>
      <c r="I83" s="461"/>
      <c r="J83" s="461"/>
      <c r="K83" s="461">
        <f t="shared" si="2"/>
        <v>16400</v>
      </c>
      <c r="L83" s="462"/>
    </row>
    <row r="84" spans="1:12" s="464" customFormat="1" ht="16.5" hidden="1">
      <c r="A84" s="459">
        <v>75</v>
      </c>
      <c r="B84" s="460" t="s">
        <v>3228</v>
      </c>
      <c r="C84" s="459" t="s">
        <v>59</v>
      </c>
      <c r="D84" s="459"/>
      <c r="E84" s="461">
        <v>21400</v>
      </c>
      <c r="F84" s="461">
        <f t="shared" si="3"/>
        <v>21400</v>
      </c>
      <c r="G84" s="461"/>
      <c r="H84" s="461"/>
      <c r="I84" s="461"/>
      <c r="J84" s="461"/>
      <c r="K84" s="461">
        <f t="shared" si="2"/>
        <v>21400</v>
      </c>
      <c r="L84" s="462"/>
    </row>
    <row r="85" spans="1:12" s="464" customFormat="1" ht="16.5" hidden="1">
      <c r="A85" s="459">
        <v>76</v>
      </c>
      <c r="B85" s="460" t="s">
        <v>3229</v>
      </c>
      <c r="C85" s="459" t="s">
        <v>59</v>
      </c>
      <c r="D85" s="459"/>
      <c r="E85" s="461">
        <v>31200</v>
      </c>
      <c r="F85" s="461">
        <f t="shared" si="3"/>
        <v>31200</v>
      </c>
      <c r="G85" s="461"/>
      <c r="H85" s="461"/>
      <c r="I85" s="461"/>
      <c r="J85" s="461"/>
      <c r="K85" s="461">
        <f t="shared" si="2"/>
        <v>31200</v>
      </c>
      <c r="L85" s="462"/>
    </row>
    <row r="86" spans="1:12" s="464" customFormat="1" ht="16.5" hidden="1">
      <c r="A86" s="459">
        <v>77</v>
      </c>
      <c r="B86" s="460" t="s">
        <v>3230</v>
      </c>
      <c r="C86" s="459" t="s">
        <v>59</v>
      </c>
      <c r="D86" s="459"/>
      <c r="E86" s="461">
        <v>48800</v>
      </c>
      <c r="F86" s="461">
        <f t="shared" si="3"/>
        <v>48800</v>
      </c>
      <c r="G86" s="461"/>
      <c r="H86" s="461"/>
      <c r="I86" s="461"/>
      <c r="J86" s="461"/>
      <c r="K86" s="461">
        <f t="shared" si="2"/>
        <v>48800</v>
      </c>
      <c r="L86" s="462"/>
    </row>
    <row r="87" spans="1:12" s="464" customFormat="1" ht="16.5" hidden="1">
      <c r="A87" s="459">
        <v>78</v>
      </c>
      <c r="B87" s="460" t="s">
        <v>3231</v>
      </c>
      <c r="C87" s="459" t="s">
        <v>59</v>
      </c>
      <c r="D87" s="459"/>
      <c r="E87" s="461">
        <v>56400</v>
      </c>
      <c r="F87" s="461">
        <f t="shared" si="3"/>
        <v>56400</v>
      </c>
      <c r="G87" s="461"/>
      <c r="H87" s="461"/>
      <c r="I87" s="461"/>
      <c r="J87" s="461"/>
      <c r="K87" s="461">
        <f t="shared" si="2"/>
        <v>56400</v>
      </c>
      <c r="L87" s="462"/>
    </row>
    <row r="88" spans="1:12" s="464" customFormat="1" ht="16.5" hidden="1">
      <c r="A88" s="459">
        <v>79</v>
      </c>
      <c r="B88" s="460" t="s">
        <v>3232</v>
      </c>
      <c r="C88" s="459" t="s">
        <v>59</v>
      </c>
      <c r="D88" s="459"/>
      <c r="E88" s="461">
        <v>70500</v>
      </c>
      <c r="F88" s="461">
        <f t="shared" si="3"/>
        <v>70500</v>
      </c>
      <c r="G88" s="461"/>
      <c r="H88" s="461"/>
      <c r="I88" s="461"/>
      <c r="J88" s="461"/>
      <c r="K88" s="461">
        <f t="shared" si="2"/>
        <v>70500</v>
      </c>
      <c r="L88" s="462"/>
    </row>
    <row r="89" spans="1:12" s="464" customFormat="1" ht="16.5" hidden="1">
      <c r="A89" s="459">
        <v>80</v>
      </c>
      <c r="B89" s="460" t="s">
        <v>3233</v>
      </c>
      <c r="C89" s="459" t="s">
        <v>59</v>
      </c>
      <c r="D89" s="459"/>
      <c r="E89" s="461">
        <v>109300</v>
      </c>
      <c r="F89" s="461">
        <f t="shared" si="3"/>
        <v>109300</v>
      </c>
      <c r="G89" s="461"/>
      <c r="H89" s="461"/>
      <c r="I89" s="461"/>
      <c r="J89" s="461"/>
      <c r="K89" s="461">
        <f t="shared" si="2"/>
        <v>109300</v>
      </c>
      <c r="L89" s="462"/>
    </row>
    <row r="90" spans="1:12" s="464" customFormat="1" ht="16.5" hidden="1">
      <c r="A90" s="459">
        <v>81</v>
      </c>
      <c r="B90" s="460" t="s">
        <v>3234</v>
      </c>
      <c r="C90" s="459" t="s">
        <v>59</v>
      </c>
      <c r="D90" s="459"/>
      <c r="E90" s="461">
        <v>259000</v>
      </c>
      <c r="F90" s="461">
        <f t="shared" si="3"/>
        <v>259000</v>
      </c>
      <c r="G90" s="461"/>
      <c r="H90" s="461"/>
      <c r="I90" s="461"/>
      <c r="J90" s="461"/>
      <c r="K90" s="461">
        <f t="shared" si="2"/>
        <v>259000</v>
      </c>
      <c r="L90" s="462"/>
    </row>
    <row r="91" spans="1:12" ht="16.5" hidden="1">
      <c r="A91" s="459">
        <v>82</v>
      </c>
      <c r="B91" s="460" t="s">
        <v>3235</v>
      </c>
      <c r="C91" s="459" t="s">
        <v>59</v>
      </c>
      <c r="D91" s="459"/>
      <c r="E91" s="461">
        <v>290000</v>
      </c>
      <c r="F91" s="461">
        <f t="shared" si="3"/>
        <v>290000</v>
      </c>
      <c r="G91" s="461"/>
      <c r="H91" s="461"/>
      <c r="I91" s="461"/>
      <c r="J91" s="461"/>
      <c r="K91" s="461">
        <f t="shared" si="2"/>
        <v>290000</v>
      </c>
      <c r="L91" s="462"/>
    </row>
    <row r="92" spans="1:12" ht="33" hidden="1">
      <c r="A92" s="459">
        <v>83</v>
      </c>
      <c r="B92" s="460" t="s">
        <v>3236</v>
      </c>
      <c r="C92" s="459" t="s">
        <v>51</v>
      </c>
      <c r="D92" s="459"/>
      <c r="E92" s="461">
        <v>25000</v>
      </c>
      <c r="F92" s="461">
        <f t="shared" si="3"/>
        <v>25000</v>
      </c>
      <c r="G92" s="461"/>
      <c r="H92" s="461"/>
      <c r="I92" s="461"/>
      <c r="J92" s="461"/>
      <c r="K92" s="461">
        <f t="shared" si="2"/>
        <v>25000</v>
      </c>
      <c r="L92" s="462"/>
    </row>
    <row r="93" spans="1:12" s="465" customFormat="1" ht="33" hidden="1">
      <c r="A93" s="459">
        <v>84</v>
      </c>
      <c r="B93" s="460" t="s">
        <v>3237</v>
      </c>
      <c r="C93" s="459" t="s">
        <v>51</v>
      </c>
      <c r="D93" s="459"/>
      <c r="E93" s="461">
        <v>28000</v>
      </c>
      <c r="F93" s="461">
        <f t="shared" si="3"/>
        <v>28000</v>
      </c>
      <c r="G93" s="461"/>
      <c r="H93" s="461"/>
      <c r="I93" s="461"/>
      <c r="J93" s="461"/>
      <c r="K93" s="461">
        <f t="shared" si="2"/>
        <v>28000</v>
      </c>
      <c r="L93" s="462"/>
    </row>
    <row r="94" spans="1:12" s="465" customFormat="1" ht="33" hidden="1">
      <c r="A94" s="459">
        <v>85</v>
      </c>
      <c r="B94" s="460" t="s">
        <v>3238</v>
      </c>
      <c r="C94" s="459" t="s">
        <v>51</v>
      </c>
      <c r="D94" s="459"/>
      <c r="E94" s="461">
        <v>32000</v>
      </c>
      <c r="F94" s="461">
        <f t="shared" si="3"/>
        <v>32000</v>
      </c>
      <c r="G94" s="461"/>
      <c r="H94" s="461"/>
      <c r="I94" s="461"/>
      <c r="J94" s="461"/>
      <c r="K94" s="461">
        <f t="shared" si="2"/>
        <v>32000</v>
      </c>
      <c r="L94" s="462"/>
    </row>
    <row r="95" spans="1:12" s="465" customFormat="1" ht="33" hidden="1">
      <c r="A95" s="459">
        <v>86</v>
      </c>
      <c r="B95" s="460" t="s">
        <v>3239</v>
      </c>
      <c r="C95" s="459" t="s">
        <v>51</v>
      </c>
      <c r="D95" s="459"/>
      <c r="E95" s="461">
        <v>54000</v>
      </c>
      <c r="F95" s="461">
        <f t="shared" si="3"/>
        <v>54000</v>
      </c>
      <c r="G95" s="461"/>
      <c r="H95" s="461"/>
      <c r="I95" s="461"/>
      <c r="J95" s="461"/>
      <c r="K95" s="461">
        <f t="shared" si="2"/>
        <v>54000</v>
      </c>
      <c r="L95" s="462"/>
    </row>
    <row r="96" spans="1:12" s="465" customFormat="1" ht="33" hidden="1">
      <c r="A96" s="459">
        <v>87</v>
      </c>
      <c r="B96" s="460" t="s">
        <v>3240</v>
      </c>
      <c r="C96" s="459" t="s">
        <v>51</v>
      </c>
      <c r="D96" s="459"/>
      <c r="E96" s="461">
        <v>70000</v>
      </c>
      <c r="F96" s="461">
        <f t="shared" si="3"/>
        <v>70000</v>
      </c>
      <c r="G96" s="461"/>
      <c r="H96" s="461"/>
      <c r="I96" s="461"/>
      <c r="J96" s="461"/>
      <c r="K96" s="461">
        <f t="shared" si="2"/>
        <v>70000</v>
      </c>
      <c r="L96" s="462"/>
    </row>
    <row r="97" spans="1:12" s="465" customFormat="1" ht="33" hidden="1">
      <c r="A97" s="459">
        <v>88</v>
      </c>
      <c r="B97" s="460" t="s">
        <v>3241</v>
      </c>
      <c r="C97" s="459" t="s">
        <v>51</v>
      </c>
      <c r="D97" s="459"/>
      <c r="E97" s="461">
        <v>85000</v>
      </c>
      <c r="F97" s="461">
        <f t="shared" si="3"/>
        <v>85000</v>
      </c>
      <c r="G97" s="461"/>
      <c r="H97" s="461"/>
      <c r="I97" s="461"/>
      <c r="J97" s="461"/>
      <c r="K97" s="461">
        <f t="shared" si="2"/>
        <v>85000</v>
      </c>
      <c r="L97" s="462"/>
    </row>
    <row r="98" spans="1:12" ht="33" hidden="1">
      <c r="A98" s="459">
        <v>89</v>
      </c>
      <c r="B98" s="460" t="s">
        <v>3242</v>
      </c>
      <c r="C98" s="459" t="s">
        <v>51</v>
      </c>
      <c r="D98" s="459"/>
      <c r="E98" s="461">
        <v>85000</v>
      </c>
      <c r="F98" s="461">
        <f t="shared" si="3"/>
        <v>85000</v>
      </c>
      <c r="G98" s="461"/>
      <c r="H98" s="461"/>
      <c r="I98" s="461"/>
      <c r="J98" s="461"/>
      <c r="K98" s="461">
        <f t="shared" si="2"/>
        <v>85000</v>
      </c>
      <c r="L98" s="462"/>
    </row>
    <row r="99" spans="1:12" ht="33" hidden="1">
      <c r="A99" s="459">
        <v>90</v>
      </c>
      <c r="B99" s="460" t="s">
        <v>3243</v>
      </c>
      <c r="C99" s="459" t="s">
        <v>51</v>
      </c>
      <c r="D99" s="459"/>
      <c r="E99" s="461">
        <v>85000</v>
      </c>
      <c r="F99" s="461">
        <f t="shared" si="3"/>
        <v>85000</v>
      </c>
      <c r="G99" s="461"/>
      <c r="H99" s="461"/>
      <c r="I99" s="461"/>
      <c r="J99" s="461"/>
      <c r="K99" s="461">
        <f t="shared" si="2"/>
        <v>85000</v>
      </c>
      <c r="L99" s="462"/>
    </row>
    <row r="100" spans="1:12" ht="16.5" hidden="1">
      <c r="A100" s="459">
        <v>91</v>
      </c>
      <c r="B100" s="460" t="s">
        <v>3244</v>
      </c>
      <c r="C100" s="459" t="s">
        <v>51</v>
      </c>
      <c r="D100" s="459"/>
      <c r="E100" s="461">
        <v>5000</v>
      </c>
      <c r="F100" s="461">
        <f t="shared" si="3"/>
        <v>5000</v>
      </c>
      <c r="G100" s="461"/>
      <c r="H100" s="461"/>
      <c r="I100" s="461"/>
      <c r="J100" s="461"/>
      <c r="K100" s="461">
        <f t="shared" si="2"/>
        <v>5000</v>
      </c>
      <c r="L100" s="462"/>
    </row>
    <row r="101" spans="1:12" ht="33" hidden="1">
      <c r="A101" s="459">
        <v>92</v>
      </c>
      <c r="B101" s="460" t="s">
        <v>3245</v>
      </c>
      <c r="C101" s="459" t="s">
        <v>51</v>
      </c>
      <c r="D101" s="459"/>
      <c r="E101" s="461">
        <v>20280</v>
      </c>
      <c r="F101" s="461">
        <f t="shared" si="3"/>
        <v>20280</v>
      </c>
      <c r="G101" s="461"/>
      <c r="H101" s="461"/>
      <c r="I101" s="461"/>
      <c r="J101" s="461"/>
      <c r="K101" s="461">
        <f t="shared" si="2"/>
        <v>20280</v>
      </c>
      <c r="L101" s="462"/>
    </row>
    <row r="102" spans="1:12" ht="33" hidden="1">
      <c r="A102" s="459">
        <v>93</v>
      </c>
      <c r="B102" s="460" t="s">
        <v>3246</v>
      </c>
      <c r="C102" s="459" t="s">
        <v>51</v>
      </c>
      <c r="D102" s="459"/>
      <c r="E102" s="461">
        <v>27040</v>
      </c>
      <c r="F102" s="461">
        <f t="shared" si="3"/>
        <v>27040</v>
      </c>
      <c r="G102" s="461"/>
      <c r="H102" s="461"/>
      <c r="I102" s="461"/>
      <c r="J102" s="461"/>
      <c r="K102" s="461">
        <f t="shared" si="2"/>
        <v>27040</v>
      </c>
      <c r="L102" s="462"/>
    </row>
    <row r="103" spans="1:12" ht="33" hidden="1">
      <c r="A103" s="459">
        <v>94</v>
      </c>
      <c r="B103" s="460" t="s">
        <v>3247</v>
      </c>
      <c r="C103" s="459" t="s">
        <v>51</v>
      </c>
      <c r="D103" s="459"/>
      <c r="E103" s="461">
        <v>27040</v>
      </c>
      <c r="F103" s="461">
        <f t="shared" si="3"/>
        <v>27040</v>
      </c>
      <c r="G103" s="461"/>
      <c r="H103" s="461"/>
      <c r="I103" s="461"/>
      <c r="J103" s="461"/>
      <c r="K103" s="461">
        <f t="shared" si="2"/>
        <v>27040</v>
      </c>
      <c r="L103" s="462"/>
    </row>
    <row r="104" spans="1:12" ht="33" hidden="1">
      <c r="A104" s="459">
        <v>95</v>
      </c>
      <c r="B104" s="460" t="s">
        <v>3248</v>
      </c>
      <c r="C104" s="459" t="s">
        <v>51</v>
      </c>
      <c r="D104" s="459"/>
      <c r="E104" s="461">
        <v>40560</v>
      </c>
      <c r="F104" s="461">
        <f t="shared" si="3"/>
        <v>40560</v>
      </c>
      <c r="G104" s="461"/>
      <c r="H104" s="461"/>
      <c r="I104" s="461"/>
      <c r="J104" s="461"/>
      <c r="K104" s="461">
        <f t="shared" si="2"/>
        <v>40560</v>
      </c>
      <c r="L104" s="462"/>
    </row>
    <row r="105" spans="1:12" ht="33" hidden="1">
      <c r="A105" s="459">
        <v>96</v>
      </c>
      <c r="B105" s="460" t="s">
        <v>3249</v>
      </c>
      <c r="C105" s="459" t="s">
        <v>51</v>
      </c>
      <c r="D105" s="459"/>
      <c r="E105" s="461">
        <v>47320</v>
      </c>
      <c r="F105" s="461">
        <f t="shared" si="3"/>
        <v>47320</v>
      </c>
      <c r="G105" s="461"/>
      <c r="H105" s="461"/>
      <c r="I105" s="461"/>
      <c r="J105" s="461"/>
      <c r="K105" s="461">
        <f t="shared" si="2"/>
        <v>47320</v>
      </c>
      <c r="L105" s="462"/>
    </row>
    <row r="106" spans="1:12" ht="33" hidden="1">
      <c r="A106" s="459">
        <v>97</v>
      </c>
      <c r="B106" s="460" t="s">
        <v>3250</v>
      </c>
      <c r="C106" s="459" t="s">
        <v>51</v>
      </c>
      <c r="D106" s="459"/>
      <c r="E106" s="461">
        <v>81120</v>
      </c>
      <c r="F106" s="461">
        <f t="shared" si="3"/>
        <v>81120</v>
      </c>
      <c r="G106" s="461"/>
      <c r="H106" s="461"/>
      <c r="I106" s="461"/>
      <c r="J106" s="461"/>
      <c r="K106" s="461">
        <f t="shared" si="2"/>
        <v>81120</v>
      </c>
      <c r="L106" s="462"/>
    </row>
    <row r="107" spans="1:12" ht="33" hidden="1">
      <c r="A107" s="459">
        <v>98</v>
      </c>
      <c r="B107" s="460" t="s">
        <v>3251</v>
      </c>
      <c r="C107" s="459" t="s">
        <v>51</v>
      </c>
      <c r="D107" s="459"/>
      <c r="E107" s="461">
        <v>81120</v>
      </c>
      <c r="F107" s="461">
        <f t="shared" si="3"/>
        <v>81120</v>
      </c>
      <c r="G107" s="461"/>
      <c r="H107" s="461"/>
      <c r="I107" s="461"/>
      <c r="J107" s="461"/>
      <c r="K107" s="461">
        <f t="shared" si="2"/>
        <v>81120</v>
      </c>
      <c r="L107" s="462"/>
    </row>
    <row r="108" spans="1:12" ht="33" hidden="1">
      <c r="A108" s="459">
        <v>99</v>
      </c>
      <c r="B108" s="460" t="s">
        <v>3252</v>
      </c>
      <c r="C108" s="459" t="s">
        <v>51</v>
      </c>
      <c r="D108" s="459"/>
      <c r="E108" s="461">
        <v>10140</v>
      </c>
      <c r="F108" s="461">
        <f t="shared" si="3"/>
        <v>10140</v>
      </c>
      <c r="G108" s="461"/>
      <c r="H108" s="461"/>
      <c r="I108" s="461"/>
      <c r="J108" s="461"/>
      <c r="K108" s="461">
        <f t="shared" si="2"/>
        <v>10140</v>
      </c>
      <c r="L108" s="462"/>
    </row>
    <row r="109" spans="1:12" ht="33" hidden="1">
      <c r="A109" s="459">
        <v>100</v>
      </c>
      <c r="B109" s="460" t="s">
        <v>3253</v>
      </c>
      <c r="C109" s="459" t="s">
        <v>51</v>
      </c>
      <c r="D109" s="459"/>
      <c r="E109" s="461">
        <v>13520</v>
      </c>
      <c r="F109" s="461">
        <f t="shared" si="3"/>
        <v>13520</v>
      </c>
      <c r="G109" s="461"/>
      <c r="H109" s="461"/>
      <c r="I109" s="461"/>
      <c r="J109" s="461"/>
      <c r="K109" s="461">
        <f t="shared" si="2"/>
        <v>13520</v>
      </c>
      <c r="L109" s="462"/>
    </row>
    <row r="110" spans="1:12" ht="33" hidden="1">
      <c r="A110" s="459">
        <v>101</v>
      </c>
      <c r="B110" s="460" t="s">
        <v>3254</v>
      </c>
      <c r="C110" s="459" t="s">
        <v>51</v>
      </c>
      <c r="D110" s="459"/>
      <c r="E110" s="461">
        <v>13520</v>
      </c>
      <c r="F110" s="461">
        <f t="shared" si="3"/>
        <v>13520</v>
      </c>
      <c r="G110" s="461"/>
      <c r="H110" s="461"/>
      <c r="I110" s="461"/>
      <c r="J110" s="461"/>
      <c r="K110" s="461">
        <f t="shared" si="2"/>
        <v>13520</v>
      </c>
      <c r="L110" s="462"/>
    </row>
    <row r="111" spans="1:12" ht="33" hidden="1">
      <c r="A111" s="459">
        <v>102</v>
      </c>
      <c r="B111" s="460" t="s">
        <v>3255</v>
      </c>
      <c r="C111" s="459" t="s">
        <v>51</v>
      </c>
      <c r="D111" s="459"/>
      <c r="E111" s="461">
        <v>20280</v>
      </c>
      <c r="F111" s="461">
        <f t="shared" si="3"/>
        <v>20280</v>
      </c>
      <c r="G111" s="461"/>
      <c r="H111" s="461"/>
      <c r="I111" s="461"/>
      <c r="J111" s="461"/>
      <c r="K111" s="461">
        <f t="shared" si="2"/>
        <v>20280</v>
      </c>
      <c r="L111" s="462"/>
    </row>
    <row r="112" spans="1:12" ht="33" hidden="1">
      <c r="A112" s="459">
        <v>103</v>
      </c>
      <c r="B112" s="460" t="s">
        <v>3256</v>
      </c>
      <c r="C112" s="459" t="s">
        <v>51</v>
      </c>
      <c r="D112" s="459"/>
      <c r="E112" s="461">
        <v>23660</v>
      </c>
      <c r="F112" s="461">
        <f t="shared" si="3"/>
        <v>23660</v>
      </c>
      <c r="G112" s="461"/>
      <c r="H112" s="461"/>
      <c r="I112" s="461"/>
      <c r="J112" s="461"/>
      <c r="K112" s="461">
        <f t="shared" si="2"/>
        <v>23660</v>
      </c>
      <c r="L112" s="462"/>
    </row>
    <row r="113" spans="1:12" ht="33" hidden="1">
      <c r="A113" s="459">
        <v>104</v>
      </c>
      <c r="B113" s="460" t="s">
        <v>3257</v>
      </c>
      <c r="C113" s="459" t="s">
        <v>51</v>
      </c>
      <c r="D113" s="459"/>
      <c r="E113" s="461">
        <v>40560</v>
      </c>
      <c r="F113" s="461">
        <f t="shared" si="3"/>
        <v>40560</v>
      </c>
      <c r="G113" s="461"/>
      <c r="H113" s="461"/>
      <c r="I113" s="461"/>
      <c r="J113" s="461"/>
      <c r="K113" s="461">
        <f t="shared" si="2"/>
        <v>40560</v>
      </c>
      <c r="L113" s="462"/>
    </row>
    <row r="114" spans="1:12" ht="33" hidden="1">
      <c r="A114" s="459">
        <v>105</v>
      </c>
      <c r="B114" s="460" t="s">
        <v>3258</v>
      </c>
      <c r="C114" s="459" t="s">
        <v>51</v>
      </c>
      <c r="D114" s="459"/>
      <c r="E114" s="461">
        <v>40560</v>
      </c>
      <c r="F114" s="461">
        <f t="shared" si="3"/>
        <v>40560</v>
      </c>
      <c r="G114" s="461"/>
      <c r="H114" s="461"/>
      <c r="I114" s="461"/>
      <c r="J114" s="461"/>
      <c r="K114" s="461">
        <f t="shared" si="2"/>
        <v>40560</v>
      </c>
      <c r="L114" s="462"/>
    </row>
    <row r="115" spans="1:12" ht="16.5" hidden="1">
      <c r="A115" s="459">
        <v>106</v>
      </c>
      <c r="B115" s="460" t="s">
        <v>3259</v>
      </c>
      <c r="C115" s="459" t="s">
        <v>139</v>
      </c>
      <c r="D115" s="459"/>
      <c r="E115" s="461">
        <v>15000</v>
      </c>
      <c r="F115" s="461">
        <f t="shared" si="3"/>
        <v>15000</v>
      </c>
      <c r="G115" s="461"/>
      <c r="H115" s="461"/>
      <c r="I115" s="461"/>
      <c r="J115" s="461"/>
      <c r="K115" s="461">
        <f t="shared" si="2"/>
        <v>15000</v>
      </c>
      <c r="L115" s="462"/>
    </row>
    <row r="116" spans="1:12" ht="16.5" hidden="1">
      <c r="A116" s="459">
        <v>107</v>
      </c>
      <c r="B116" s="460" t="s">
        <v>3149</v>
      </c>
      <c r="C116" s="459" t="s">
        <v>45</v>
      </c>
      <c r="D116" s="459"/>
      <c r="E116" s="461">
        <v>21455</v>
      </c>
      <c r="F116" s="461">
        <f t="shared" si="3"/>
        <v>21455</v>
      </c>
      <c r="G116" s="461"/>
      <c r="H116" s="461"/>
      <c r="I116" s="461"/>
      <c r="J116" s="461"/>
      <c r="K116" s="461">
        <f t="shared" si="2"/>
        <v>21455</v>
      </c>
      <c r="L116" s="462"/>
    </row>
    <row r="117" spans="1:12" ht="16.5" hidden="1">
      <c r="A117" s="459"/>
      <c r="B117" s="460" t="s">
        <v>52</v>
      </c>
      <c r="C117" s="459" t="s">
        <v>3260</v>
      </c>
      <c r="D117" s="459"/>
      <c r="E117" s="461"/>
      <c r="F117" s="461">
        <v>13000</v>
      </c>
      <c r="G117" s="461"/>
      <c r="H117" s="461"/>
      <c r="I117" s="461"/>
      <c r="J117" s="461"/>
      <c r="K117" s="461">
        <f t="shared" si="2"/>
        <v>13000</v>
      </c>
      <c r="L117" s="462"/>
    </row>
    <row r="118" spans="1:12" ht="16.5" hidden="1">
      <c r="A118" s="459">
        <v>108</v>
      </c>
      <c r="B118" s="460" t="s">
        <v>3261</v>
      </c>
      <c r="C118" s="459" t="s">
        <v>45</v>
      </c>
      <c r="D118" s="459"/>
      <c r="E118" s="461">
        <v>73636</v>
      </c>
      <c r="F118" s="461">
        <f t="shared" si="3"/>
        <v>73636</v>
      </c>
      <c r="G118" s="461"/>
      <c r="H118" s="461"/>
      <c r="I118" s="461"/>
      <c r="J118" s="461"/>
      <c r="K118" s="461">
        <f t="shared" si="2"/>
        <v>73636</v>
      </c>
      <c r="L118" s="462"/>
    </row>
    <row r="119" spans="1:12" ht="16.5" hidden="1">
      <c r="A119" s="459">
        <v>109</v>
      </c>
      <c r="B119" s="460" t="s">
        <v>3262</v>
      </c>
      <c r="C119" s="459" t="s">
        <v>45</v>
      </c>
      <c r="D119" s="459"/>
      <c r="E119" s="461">
        <v>66300</v>
      </c>
      <c r="F119" s="461">
        <f t="shared" si="3"/>
        <v>66300</v>
      </c>
      <c r="G119" s="461"/>
      <c r="H119" s="461"/>
      <c r="I119" s="461"/>
      <c r="J119" s="461"/>
      <c r="K119" s="461">
        <f t="shared" si="2"/>
        <v>66300</v>
      </c>
      <c r="L119" s="462"/>
    </row>
    <row r="120" spans="1:12" ht="16.5" hidden="1">
      <c r="A120" s="459">
        <v>110</v>
      </c>
      <c r="B120" s="460" t="s">
        <v>3263</v>
      </c>
      <c r="C120" s="459" t="s">
        <v>51</v>
      </c>
      <c r="D120" s="459"/>
      <c r="E120" s="461">
        <v>15000</v>
      </c>
      <c r="F120" s="461">
        <f t="shared" si="3"/>
        <v>15000</v>
      </c>
      <c r="G120" s="461"/>
      <c r="H120" s="461"/>
      <c r="I120" s="461"/>
      <c r="J120" s="461"/>
      <c r="K120" s="461">
        <f t="shared" si="2"/>
        <v>15000</v>
      </c>
      <c r="L120" s="462"/>
    </row>
    <row r="121" spans="1:12" ht="16.5" hidden="1">
      <c r="A121" s="459">
        <v>111</v>
      </c>
      <c r="B121" s="460" t="s">
        <v>3264</v>
      </c>
      <c r="C121" s="459" t="s">
        <v>139</v>
      </c>
      <c r="D121" s="459"/>
      <c r="E121" s="461">
        <v>15000</v>
      </c>
      <c r="F121" s="461">
        <f t="shared" si="3"/>
        <v>15000</v>
      </c>
      <c r="G121" s="461"/>
      <c r="H121" s="461"/>
      <c r="I121" s="461"/>
      <c r="J121" s="461"/>
      <c r="K121" s="461">
        <f t="shared" si="2"/>
        <v>15000</v>
      </c>
      <c r="L121" s="462"/>
    </row>
    <row r="122" spans="1:12" ht="16.5" hidden="1">
      <c r="A122" s="459">
        <v>112</v>
      </c>
      <c r="B122" s="460" t="s">
        <v>3265</v>
      </c>
      <c r="C122" s="459" t="s">
        <v>139</v>
      </c>
      <c r="D122" s="459"/>
      <c r="E122" s="461">
        <v>20000</v>
      </c>
      <c r="F122" s="461">
        <f t="shared" si="3"/>
        <v>20000</v>
      </c>
      <c r="G122" s="461"/>
      <c r="H122" s="461"/>
      <c r="I122" s="461"/>
      <c r="J122" s="461"/>
      <c r="K122" s="461">
        <f t="shared" si="2"/>
        <v>20000</v>
      </c>
      <c r="L122" s="462"/>
    </row>
    <row r="123" spans="1:12" ht="16.5" hidden="1">
      <c r="A123" s="459">
        <v>113</v>
      </c>
      <c r="B123" s="460" t="s">
        <v>3266</v>
      </c>
      <c r="C123" s="459" t="s">
        <v>139</v>
      </c>
      <c r="D123" s="459"/>
      <c r="E123" s="461">
        <v>25000</v>
      </c>
      <c r="F123" s="461">
        <f t="shared" si="3"/>
        <v>25000</v>
      </c>
      <c r="G123" s="461"/>
      <c r="H123" s="461"/>
      <c r="I123" s="461"/>
      <c r="J123" s="461"/>
      <c r="K123" s="461">
        <f t="shared" si="2"/>
        <v>25000</v>
      </c>
      <c r="L123" s="462"/>
    </row>
    <row r="124" spans="1:12" ht="16.5" hidden="1">
      <c r="A124" s="459">
        <v>114</v>
      </c>
      <c r="B124" s="460" t="s">
        <v>3267</v>
      </c>
      <c r="C124" s="459" t="s">
        <v>45</v>
      </c>
      <c r="D124" s="459"/>
      <c r="E124" s="461">
        <v>30000</v>
      </c>
      <c r="F124" s="461">
        <f t="shared" si="3"/>
        <v>30000</v>
      </c>
      <c r="G124" s="461"/>
      <c r="H124" s="461"/>
      <c r="I124" s="461"/>
      <c r="J124" s="461"/>
      <c r="K124" s="461">
        <f t="shared" si="2"/>
        <v>30000</v>
      </c>
      <c r="L124" s="462"/>
    </row>
    <row r="125" spans="1:12" ht="16.5" hidden="1">
      <c r="A125" s="459">
        <v>115</v>
      </c>
      <c r="B125" s="460" t="s">
        <v>3268</v>
      </c>
      <c r="C125" s="459" t="s">
        <v>45</v>
      </c>
      <c r="D125" s="459"/>
      <c r="E125" s="461">
        <v>12273</v>
      </c>
      <c r="F125" s="461">
        <f t="shared" si="3"/>
        <v>12273</v>
      </c>
      <c r="G125" s="461"/>
      <c r="H125" s="461"/>
      <c r="I125" s="461"/>
      <c r="J125" s="461"/>
      <c r="K125" s="461">
        <f t="shared" si="2"/>
        <v>12273</v>
      </c>
      <c r="L125" s="462"/>
    </row>
    <row r="126" spans="1:12" ht="16.5" hidden="1">
      <c r="A126" s="459">
        <v>116</v>
      </c>
      <c r="B126" s="460" t="s">
        <v>3269</v>
      </c>
      <c r="C126" s="459" t="s">
        <v>45</v>
      </c>
      <c r="D126" s="459"/>
      <c r="E126" s="461">
        <v>14545</v>
      </c>
      <c r="F126" s="461">
        <f t="shared" si="3"/>
        <v>14545</v>
      </c>
      <c r="G126" s="461"/>
      <c r="H126" s="461"/>
      <c r="I126" s="461"/>
      <c r="J126" s="461"/>
      <c r="K126" s="461">
        <f t="shared" si="2"/>
        <v>14545</v>
      </c>
      <c r="L126" s="462"/>
    </row>
    <row r="127" spans="1:12" ht="16.5" hidden="1">
      <c r="A127" s="459">
        <v>117</v>
      </c>
      <c r="B127" s="460" t="s">
        <v>3270</v>
      </c>
      <c r="C127" s="459" t="s">
        <v>45</v>
      </c>
      <c r="D127" s="459"/>
      <c r="E127" s="461">
        <v>12273</v>
      </c>
      <c r="F127" s="461">
        <f t="shared" si="3"/>
        <v>12273</v>
      </c>
      <c r="G127" s="461"/>
      <c r="H127" s="461"/>
      <c r="I127" s="461"/>
      <c r="J127" s="461"/>
      <c r="K127" s="461">
        <f t="shared" si="2"/>
        <v>12273</v>
      </c>
      <c r="L127" s="462"/>
    </row>
    <row r="128" spans="1:12" ht="16.5" hidden="1">
      <c r="A128" s="459"/>
      <c r="B128" s="460" t="s">
        <v>48</v>
      </c>
      <c r="C128" s="459" t="s">
        <v>45</v>
      </c>
      <c r="D128" s="459"/>
      <c r="E128" s="461"/>
      <c r="F128" s="461">
        <v>14638</v>
      </c>
      <c r="G128" s="461"/>
      <c r="H128" s="461"/>
      <c r="I128" s="461"/>
      <c r="J128" s="461"/>
      <c r="K128" s="461">
        <f t="shared" si="2"/>
        <v>14638</v>
      </c>
      <c r="L128" s="462"/>
    </row>
    <row r="129" spans="1:14" ht="16.5" hidden="1">
      <c r="A129" s="459">
        <v>118</v>
      </c>
      <c r="B129" s="460" t="s">
        <v>3271</v>
      </c>
      <c r="C129" s="459" t="s">
        <v>3272</v>
      </c>
      <c r="D129" s="459"/>
      <c r="E129" s="461">
        <v>20000</v>
      </c>
      <c r="F129" s="461">
        <f t="shared" si="3"/>
        <v>20000</v>
      </c>
      <c r="G129" s="461"/>
      <c r="H129" s="461"/>
      <c r="I129" s="461"/>
      <c r="J129" s="461"/>
      <c r="K129" s="461">
        <f t="shared" si="2"/>
        <v>20000</v>
      </c>
      <c r="L129" s="462"/>
    </row>
    <row r="130" spans="1:14" ht="16.5" hidden="1">
      <c r="A130" s="459">
        <v>119</v>
      </c>
      <c r="B130" s="460" t="s">
        <v>3271</v>
      </c>
      <c r="C130" s="459" t="s">
        <v>310</v>
      </c>
      <c r="D130" s="459"/>
      <c r="E130" s="461">
        <v>6400</v>
      </c>
      <c r="F130" s="461">
        <f t="shared" si="3"/>
        <v>6400</v>
      </c>
      <c r="G130" s="461"/>
      <c r="H130" s="461"/>
      <c r="I130" s="461"/>
      <c r="J130" s="461"/>
      <c r="K130" s="461">
        <f t="shared" si="2"/>
        <v>6400</v>
      </c>
      <c r="L130" s="462"/>
    </row>
    <row r="131" spans="1:14" ht="16.5" hidden="1">
      <c r="A131" s="459">
        <v>120</v>
      </c>
      <c r="B131" s="460" t="s">
        <v>3273</v>
      </c>
      <c r="C131" s="459" t="s">
        <v>45</v>
      </c>
      <c r="D131" s="459"/>
      <c r="E131" s="461">
        <v>25000</v>
      </c>
      <c r="F131" s="461">
        <f>E131</f>
        <v>25000</v>
      </c>
      <c r="G131" s="461"/>
      <c r="H131" s="461"/>
      <c r="I131" s="461"/>
      <c r="J131" s="461"/>
      <c r="K131" s="461">
        <f t="shared" si="2"/>
        <v>25000</v>
      </c>
      <c r="L131" s="462"/>
    </row>
    <row r="132" spans="1:14" ht="16.5" hidden="1">
      <c r="A132" s="459">
        <v>121</v>
      </c>
      <c r="B132" s="460" t="s">
        <v>3274</v>
      </c>
      <c r="C132" s="459" t="s">
        <v>51</v>
      </c>
      <c r="D132" s="459"/>
      <c r="E132" s="461">
        <v>150</v>
      </c>
      <c r="F132" s="461">
        <f t="shared" si="3"/>
        <v>150</v>
      </c>
      <c r="G132" s="461"/>
      <c r="H132" s="461"/>
      <c r="I132" s="461"/>
      <c r="J132" s="461"/>
      <c r="K132" s="461">
        <f t="shared" si="2"/>
        <v>150</v>
      </c>
      <c r="L132" s="462"/>
    </row>
    <row r="133" spans="1:14" ht="16.5" hidden="1">
      <c r="A133" s="459">
        <v>122</v>
      </c>
      <c r="B133" s="460" t="s">
        <v>3147</v>
      </c>
      <c r="C133" s="459" t="s">
        <v>45</v>
      </c>
      <c r="D133" s="459"/>
      <c r="E133" s="461">
        <v>45000</v>
      </c>
      <c r="F133" s="461">
        <f t="shared" si="3"/>
        <v>45000</v>
      </c>
      <c r="G133" s="461"/>
      <c r="H133" s="461"/>
      <c r="I133" s="461"/>
      <c r="J133" s="461"/>
      <c r="K133" s="461">
        <f t="shared" si="2"/>
        <v>45000</v>
      </c>
      <c r="L133" s="462"/>
    </row>
    <row r="134" spans="1:14" ht="16.5" hidden="1">
      <c r="A134" s="459">
        <v>123</v>
      </c>
      <c r="B134" s="460" t="s">
        <v>3275</v>
      </c>
      <c r="C134" s="459" t="s">
        <v>45</v>
      </c>
      <c r="D134" s="459"/>
      <c r="E134" s="461">
        <v>22874</v>
      </c>
      <c r="F134" s="461">
        <f t="shared" si="3"/>
        <v>22874</v>
      </c>
      <c r="G134" s="461"/>
      <c r="H134" s="461"/>
      <c r="I134" s="461"/>
      <c r="J134" s="461"/>
      <c r="K134" s="461">
        <f t="shared" si="2"/>
        <v>22874</v>
      </c>
      <c r="L134" s="462"/>
    </row>
    <row r="135" spans="1:14" ht="16.5" hidden="1">
      <c r="A135" s="459">
        <v>124</v>
      </c>
      <c r="B135" s="460" t="s">
        <v>44</v>
      </c>
      <c r="C135" s="459" t="s">
        <v>45</v>
      </c>
      <c r="D135" s="459"/>
      <c r="E135" s="461">
        <f>80000/1.1/50</f>
        <v>1454.5454545454545</v>
      </c>
      <c r="F135" s="461">
        <f t="shared" si="3"/>
        <v>1454.5454545454545</v>
      </c>
      <c r="G135" s="461"/>
      <c r="H135" s="461"/>
      <c r="I135" s="461"/>
      <c r="J135" s="461"/>
      <c r="K135" s="461">
        <f t="shared" si="2"/>
        <v>1454.5454545454545</v>
      </c>
      <c r="L135" s="462"/>
    </row>
    <row r="136" spans="1:14" ht="16.5" hidden="1">
      <c r="A136" s="459">
        <v>125</v>
      </c>
      <c r="B136" s="460" t="s">
        <v>3148</v>
      </c>
      <c r="C136" s="459" t="s">
        <v>310</v>
      </c>
      <c r="D136" s="459"/>
      <c r="E136" s="461">
        <v>10000</v>
      </c>
      <c r="F136" s="461">
        <f t="shared" si="3"/>
        <v>10000</v>
      </c>
      <c r="G136" s="461"/>
      <c r="H136" s="461"/>
      <c r="I136" s="461"/>
      <c r="J136" s="461"/>
      <c r="K136" s="461">
        <f t="shared" si="2"/>
        <v>10000</v>
      </c>
      <c r="L136" s="462"/>
    </row>
    <row r="137" spans="1:14" ht="16.5" hidden="1">
      <c r="A137" s="459">
        <v>126</v>
      </c>
      <c r="B137" s="460" t="s">
        <v>3276</v>
      </c>
      <c r="C137" s="459" t="s">
        <v>49</v>
      </c>
      <c r="D137" s="459"/>
      <c r="E137" s="461">
        <v>8000</v>
      </c>
      <c r="F137" s="461">
        <f t="shared" si="3"/>
        <v>8000</v>
      </c>
      <c r="G137" s="461"/>
      <c r="H137" s="461"/>
      <c r="I137" s="461"/>
      <c r="J137" s="461"/>
      <c r="K137" s="461">
        <f t="shared" ref="K137:K187" si="4">+SUM(F137:H137)+J137</f>
        <v>8000</v>
      </c>
      <c r="L137" s="466"/>
    </row>
    <row r="138" spans="1:14" ht="33" hidden="1">
      <c r="A138" s="459">
        <v>127</v>
      </c>
      <c r="B138" s="460" t="s">
        <v>3277</v>
      </c>
      <c r="C138" s="459" t="s">
        <v>123</v>
      </c>
      <c r="D138" s="459">
        <v>2.98E-3</v>
      </c>
      <c r="E138" s="461">
        <v>110700</v>
      </c>
      <c r="F138" s="461">
        <f t="shared" si="3"/>
        <v>110700</v>
      </c>
      <c r="G138" s="461"/>
      <c r="H138" s="461">
        <v>256.80448000000001</v>
      </c>
      <c r="I138" s="461"/>
      <c r="J138" s="461">
        <v>2173.4391599999999</v>
      </c>
      <c r="K138" s="461">
        <f t="shared" si="4"/>
        <v>113130.24364</v>
      </c>
      <c r="L138" s="462"/>
    </row>
    <row r="139" spans="1:14" ht="33.6" hidden="1" customHeight="1">
      <c r="A139" s="459">
        <v>128</v>
      </c>
      <c r="B139" s="460" t="s">
        <v>3278</v>
      </c>
      <c r="C139" s="459" t="s">
        <v>1206</v>
      </c>
      <c r="D139" s="459"/>
      <c r="E139" s="461">
        <v>200000</v>
      </c>
      <c r="F139" s="461">
        <f t="shared" si="3"/>
        <v>200000</v>
      </c>
      <c r="G139" s="461"/>
      <c r="H139" s="461"/>
      <c r="I139" s="461"/>
      <c r="J139" s="461"/>
      <c r="K139" s="461">
        <f t="shared" si="4"/>
        <v>200000</v>
      </c>
      <c r="L139" s="462"/>
    </row>
    <row r="140" spans="1:14" ht="16.5" hidden="1">
      <c r="A140" s="459">
        <v>129</v>
      </c>
      <c r="B140" s="460" t="s">
        <v>3279</v>
      </c>
      <c r="C140" s="459" t="s">
        <v>51</v>
      </c>
      <c r="D140" s="459"/>
      <c r="E140" s="461">
        <v>11000</v>
      </c>
      <c r="F140" s="461">
        <f t="shared" si="3"/>
        <v>11000</v>
      </c>
      <c r="G140" s="461"/>
      <c r="H140" s="461"/>
      <c r="I140" s="461"/>
      <c r="J140" s="461"/>
      <c r="K140" s="461">
        <f t="shared" si="4"/>
        <v>11000</v>
      </c>
      <c r="L140" s="462"/>
    </row>
    <row r="141" spans="1:14" s="142" customFormat="1" ht="33">
      <c r="A141" s="535">
        <v>130</v>
      </c>
      <c r="B141" s="536" t="s">
        <v>3280</v>
      </c>
      <c r="C141" s="535" t="s">
        <v>3154</v>
      </c>
      <c r="D141" s="535">
        <v>0.6</v>
      </c>
      <c r="E141" s="492">
        <f>1800000/1.1</f>
        <v>1636363.6363636362</v>
      </c>
      <c r="F141" s="492">
        <f>E141*$M$141</f>
        <v>1636363.6363636362</v>
      </c>
      <c r="G141" s="492">
        <f>('DG VC'!$C$12+'DG VC'!$C$27)/10*D141</f>
        <v>214161.96</v>
      </c>
      <c r="H141" s="492">
        <v>0</v>
      </c>
      <c r="I141" s="492"/>
      <c r="J141" s="492">
        <f>D141*('DG VCN'!$G$155+'DG VCN'!$G$156)/2</f>
        <v>148655.69999999998</v>
      </c>
      <c r="K141" s="492">
        <f t="shared" si="4"/>
        <v>1999181.2963636362</v>
      </c>
      <c r="L141" s="537"/>
      <c r="M141" s="142">
        <v>1</v>
      </c>
    </row>
    <row r="142" spans="1:14" s="142" customFormat="1" ht="33">
      <c r="A142" s="535">
        <v>131</v>
      </c>
      <c r="B142" s="536" t="s">
        <v>3281</v>
      </c>
      <c r="C142" s="535" t="s">
        <v>3154</v>
      </c>
      <c r="D142" s="535">
        <v>0.6</v>
      </c>
      <c r="E142" s="492">
        <f>1950000/1.1</f>
        <v>1772727.2727272725</v>
      </c>
      <c r="F142" s="492">
        <f>E142*$M$141</f>
        <v>1772727.2727272725</v>
      </c>
      <c r="G142" s="492">
        <f>('DG VC'!$C$12+'DG VC'!$C$27)/10*D142</f>
        <v>214161.96</v>
      </c>
      <c r="H142" s="492">
        <v>0</v>
      </c>
      <c r="I142" s="492"/>
      <c r="J142" s="492">
        <f>D142*('DG VCN'!$G$155+'DG VCN'!$G$156)/2</f>
        <v>148655.69999999998</v>
      </c>
      <c r="K142" s="492">
        <f t="shared" si="4"/>
        <v>2135544.9327272726</v>
      </c>
      <c r="L142" s="537"/>
    </row>
    <row r="143" spans="1:14" s="220" customFormat="1" ht="33" hidden="1">
      <c r="A143" s="548"/>
      <c r="B143" s="549" t="s">
        <v>3282</v>
      </c>
      <c r="C143" s="548" t="s">
        <v>3154</v>
      </c>
      <c r="D143" s="548">
        <v>1</v>
      </c>
      <c r="E143" s="545">
        <f>2700000/1.1</f>
        <v>2454545.4545454541</v>
      </c>
      <c r="F143" s="545">
        <f>E143*$M$141</f>
        <v>2454545.4545454541</v>
      </c>
      <c r="G143" s="545">
        <f>('DG VC'!$C$12+'DG VC'!$C$27)/10*D143</f>
        <v>356936.6</v>
      </c>
      <c r="H143" s="545">
        <v>0</v>
      </c>
      <c r="I143" s="545"/>
      <c r="J143" s="545">
        <f>D143*('DG VCN'!$G$155+'DG VCN'!$G$156)/2</f>
        <v>247759.5</v>
      </c>
      <c r="K143" s="545">
        <f t="shared" si="4"/>
        <v>3059241.5545454542</v>
      </c>
      <c r="L143" s="550"/>
      <c r="N143" s="547">
        <f>G143+J143</f>
        <v>604696.1</v>
      </c>
    </row>
    <row r="144" spans="1:14" s="220" customFormat="1" ht="16.5" hidden="1">
      <c r="A144" s="548">
        <v>132</v>
      </c>
      <c r="B144" s="549" t="s">
        <v>3283</v>
      </c>
      <c r="C144" s="548" t="s">
        <v>806</v>
      </c>
      <c r="D144" s="548">
        <v>8.7999999999999995E-2</v>
      </c>
      <c r="E144" s="545">
        <v>172727</v>
      </c>
      <c r="F144" s="545">
        <f t="shared" si="3"/>
        <v>172727</v>
      </c>
      <c r="G144" s="545">
        <f>('DG VC'!$C$12+'DG VC'!$C$27)/10*D144</f>
        <v>31410.420799999996</v>
      </c>
      <c r="H144" s="545">
        <v>0</v>
      </c>
      <c r="I144" s="545"/>
      <c r="J144" s="545">
        <f>D144*('DG VCN'!$G$155+'DG VCN'!$G$156)/2</f>
        <v>21802.835999999999</v>
      </c>
      <c r="K144" s="545">
        <f t="shared" si="4"/>
        <v>225940.2568</v>
      </c>
      <c r="L144" s="550"/>
    </row>
    <row r="145" spans="1:12" s="220" customFormat="1" ht="16.5" hidden="1">
      <c r="A145" s="548">
        <v>133</v>
      </c>
      <c r="B145" s="549" t="s">
        <v>3284</v>
      </c>
      <c r="C145" s="548" t="s">
        <v>806</v>
      </c>
      <c r="D145" s="548">
        <v>0.193</v>
      </c>
      <c r="E145" s="545">
        <v>236364</v>
      </c>
      <c r="F145" s="545">
        <f t="shared" si="3"/>
        <v>236364</v>
      </c>
      <c r="G145" s="545">
        <f>('DG VC'!$C$12+'DG VC'!$C$27)/10*D145</f>
        <v>68888.763800000001</v>
      </c>
      <c r="H145" s="545">
        <v>0</v>
      </c>
      <c r="I145" s="545"/>
      <c r="J145" s="545">
        <f>D145*('DG VCN'!$G$155+'DG VCN'!$G$156)/2</f>
        <v>47817.583500000001</v>
      </c>
      <c r="K145" s="545">
        <f t="shared" si="4"/>
        <v>353070.34730000002</v>
      </c>
      <c r="L145" s="550"/>
    </row>
    <row r="146" spans="1:12" ht="33" hidden="1">
      <c r="A146" s="459">
        <v>134</v>
      </c>
      <c r="B146" s="460" t="s">
        <v>3285</v>
      </c>
      <c r="C146" s="459" t="s">
        <v>139</v>
      </c>
      <c r="D146" s="459">
        <f>1.58*2.4/1000</f>
        <v>3.7919999999999998E-3</v>
      </c>
      <c r="E146" s="461">
        <f>149000+7500</f>
        <v>156500</v>
      </c>
      <c r="F146" s="461">
        <f t="shared" si="3"/>
        <v>156500</v>
      </c>
      <c r="G146" s="461"/>
      <c r="H146" s="461">
        <v>661.52956799999993</v>
      </c>
      <c r="I146" s="461"/>
      <c r="J146" s="461">
        <v>3267.7882319999999</v>
      </c>
      <c r="K146" s="461">
        <f t="shared" si="4"/>
        <v>160429.31779999999</v>
      </c>
      <c r="L146" s="462"/>
    </row>
    <row r="147" spans="1:12" ht="33" hidden="1">
      <c r="A147" s="459">
        <v>135</v>
      </c>
      <c r="B147" s="460" t="s">
        <v>3286</v>
      </c>
      <c r="C147" s="459" t="s">
        <v>139</v>
      </c>
      <c r="D147" s="459">
        <f>1.58*0.5/1000</f>
        <v>7.9000000000000001E-4</v>
      </c>
      <c r="E147" s="461">
        <f>36900+17500</f>
        <v>54400</v>
      </c>
      <c r="F147" s="461">
        <f t="shared" ref="F147:F187" si="5">E147</f>
        <v>54400</v>
      </c>
      <c r="G147" s="461"/>
      <c r="H147" s="461">
        <v>137.81865999999999</v>
      </c>
      <c r="I147" s="461"/>
      <c r="J147" s="461">
        <v>680.78921500000001</v>
      </c>
      <c r="K147" s="461">
        <f t="shared" si="4"/>
        <v>55218.607874999994</v>
      </c>
      <c r="L147" s="462"/>
    </row>
    <row r="148" spans="1:12" ht="33" hidden="1">
      <c r="A148" s="459">
        <v>136</v>
      </c>
      <c r="B148" s="460" t="s">
        <v>3287</v>
      </c>
      <c r="C148" s="459"/>
      <c r="D148" s="459"/>
      <c r="E148" s="461">
        <v>5000</v>
      </c>
      <c r="F148" s="461">
        <f t="shared" si="5"/>
        <v>5000</v>
      </c>
      <c r="G148" s="461"/>
      <c r="H148" s="461">
        <v>0</v>
      </c>
      <c r="I148" s="461"/>
      <c r="J148" s="461">
        <v>0</v>
      </c>
      <c r="K148" s="461">
        <f t="shared" si="4"/>
        <v>5000</v>
      </c>
      <c r="L148" s="462"/>
    </row>
    <row r="149" spans="1:12" ht="33" hidden="1">
      <c r="A149" s="459">
        <v>137</v>
      </c>
      <c r="B149" s="460" t="s">
        <v>3288</v>
      </c>
      <c r="C149" s="459" t="s">
        <v>139</v>
      </c>
      <c r="D149" s="459">
        <f>1.58*0.5/1000</f>
        <v>7.9000000000000001E-4</v>
      </c>
      <c r="E149" s="461">
        <v>57000</v>
      </c>
      <c r="F149" s="461">
        <f t="shared" si="5"/>
        <v>57000</v>
      </c>
      <c r="G149" s="461"/>
      <c r="H149" s="461">
        <v>79.702309999999997</v>
      </c>
      <c r="I149" s="461"/>
      <c r="J149" s="461">
        <v>523.87546499999996</v>
      </c>
      <c r="K149" s="461">
        <f t="shared" si="4"/>
        <v>57603.577774999998</v>
      </c>
      <c r="L149" s="462"/>
    </row>
    <row r="150" spans="1:12" ht="33" hidden="1">
      <c r="A150" s="459">
        <v>138</v>
      </c>
      <c r="B150" s="460" t="s">
        <v>3289</v>
      </c>
      <c r="C150" s="459" t="s">
        <v>139</v>
      </c>
      <c r="D150" s="459">
        <f>1.58*0.45/1000</f>
        <v>7.1100000000000004E-4</v>
      </c>
      <c r="E150" s="461">
        <v>51000</v>
      </c>
      <c r="F150" s="461">
        <f t="shared" si="5"/>
        <v>51000</v>
      </c>
      <c r="G150" s="461"/>
      <c r="H150" s="461">
        <v>61.271136000000006</v>
      </c>
      <c r="I150" s="461"/>
      <c r="J150" s="461">
        <v>424.41403050000002</v>
      </c>
      <c r="K150" s="461">
        <f t="shared" si="4"/>
        <v>51485.685166499999</v>
      </c>
      <c r="L150" s="462"/>
    </row>
    <row r="151" spans="1:12" ht="33" hidden="1">
      <c r="A151" s="459">
        <v>139</v>
      </c>
      <c r="B151" s="460" t="s">
        <v>3290</v>
      </c>
      <c r="C151" s="459" t="s">
        <v>139</v>
      </c>
      <c r="D151" s="459">
        <f>1.58*0.4/1000</f>
        <v>6.3200000000000007E-4</v>
      </c>
      <c r="E151" s="461">
        <v>43000</v>
      </c>
      <c r="F151" s="461">
        <f t="shared" si="5"/>
        <v>43000</v>
      </c>
      <c r="G151" s="461"/>
      <c r="H151" s="461">
        <v>54.463232000000005</v>
      </c>
      <c r="I151" s="461"/>
      <c r="J151" s="461">
        <v>377.25691600000005</v>
      </c>
      <c r="K151" s="461">
        <f t="shared" si="4"/>
        <v>43431.720148</v>
      </c>
      <c r="L151" s="462"/>
    </row>
    <row r="152" spans="1:12" ht="33" hidden="1">
      <c r="A152" s="459">
        <v>140</v>
      </c>
      <c r="B152" s="460" t="s">
        <v>3291</v>
      </c>
      <c r="C152" s="459" t="s">
        <v>139</v>
      </c>
      <c r="D152" s="459">
        <f>1.58*0.3/1000</f>
        <v>4.7399999999999997E-4</v>
      </c>
      <c r="E152" s="461">
        <f>22500+4*5000</f>
        <v>42500</v>
      </c>
      <c r="F152" s="461">
        <f t="shared" si="5"/>
        <v>42500</v>
      </c>
      <c r="G152" s="461"/>
      <c r="H152" s="461">
        <v>49.814081999999999</v>
      </c>
      <c r="I152" s="461"/>
      <c r="J152" s="461">
        <v>439.856358</v>
      </c>
      <c r="K152" s="461">
        <f t="shared" si="4"/>
        <v>42989.670439999994</v>
      </c>
      <c r="L152" s="462"/>
    </row>
    <row r="153" spans="1:12" ht="33" hidden="1">
      <c r="A153" s="459">
        <v>141</v>
      </c>
      <c r="B153" s="460" t="s">
        <v>3292</v>
      </c>
      <c r="C153" s="459" t="s">
        <v>139</v>
      </c>
      <c r="D153" s="459">
        <f>1.58*0.25/1000</f>
        <v>3.9500000000000001E-4</v>
      </c>
      <c r="E153" s="461">
        <f>22500+4*5000</f>
        <v>42500</v>
      </c>
      <c r="F153" s="461">
        <f t="shared" si="5"/>
        <v>42500</v>
      </c>
      <c r="G153" s="461"/>
      <c r="H153" s="461">
        <v>41.511735000000002</v>
      </c>
      <c r="I153" s="461"/>
      <c r="J153" s="461">
        <v>366.546965</v>
      </c>
      <c r="K153" s="461">
        <f t="shared" si="4"/>
        <v>42908.058700000001</v>
      </c>
      <c r="L153" s="462"/>
    </row>
    <row r="154" spans="1:12" ht="33" hidden="1">
      <c r="A154" s="459">
        <v>142</v>
      </c>
      <c r="B154" s="460" t="s">
        <v>3293</v>
      </c>
      <c r="C154" s="459" t="s">
        <v>139</v>
      </c>
      <c r="D154" s="459">
        <f>1.58*0.4/1000</f>
        <v>6.3200000000000007E-4</v>
      </c>
      <c r="E154" s="461">
        <v>42000</v>
      </c>
      <c r="F154" s="461">
        <f t="shared" si="5"/>
        <v>42000</v>
      </c>
      <c r="G154" s="461"/>
      <c r="H154" s="461">
        <v>71.732000000000014</v>
      </c>
      <c r="I154" s="461"/>
      <c r="J154" s="461">
        <v>61.461684000000005</v>
      </c>
      <c r="K154" s="461">
        <f t="shared" si="4"/>
        <v>42133.193684000005</v>
      </c>
      <c r="L154" s="462"/>
    </row>
    <row r="155" spans="1:12" ht="33" hidden="1">
      <c r="A155" s="459">
        <v>143</v>
      </c>
      <c r="B155" s="460" t="s">
        <v>3294</v>
      </c>
      <c r="C155" s="459" t="s">
        <v>139</v>
      </c>
      <c r="D155" s="459">
        <f>1.58*0.25/1000</f>
        <v>3.9500000000000001E-4</v>
      </c>
      <c r="E155" s="461">
        <f>41000+5000</f>
        <v>46000</v>
      </c>
      <c r="F155" s="461">
        <f t="shared" si="5"/>
        <v>46000</v>
      </c>
      <c r="G155" s="461"/>
      <c r="H155" s="461">
        <v>44.832500000000003</v>
      </c>
      <c r="I155" s="461"/>
      <c r="J155" s="461">
        <v>38.413552500000002</v>
      </c>
      <c r="K155" s="461">
        <f t="shared" si="4"/>
        <v>46083.246052499999</v>
      </c>
      <c r="L155" s="462"/>
    </row>
    <row r="156" spans="1:12" ht="33" hidden="1">
      <c r="A156" s="459">
        <v>144</v>
      </c>
      <c r="B156" s="460" t="s">
        <v>3295</v>
      </c>
      <c r="C156" s="459"/>
      <c r="D156" s="459">
        <f>1.58*0.3/1000</f>
        <v>4.7399999999999997E-4</v>
      </c>
      <c r="E156" s="461">
        <f>45000+10000</f>
        <v>55000</v>
      </c>
      <c r="F156" s="461">
        <f t="shared" si="5"/>
        <v>55000</v>
      </c>
      <c r="G156" s="461"/>
      <c r="H156" s="461">
        <v>0</v>
      </c>
      <c r="I156" s="461"/>
      <c r="J156" s="461">
        <v>0</v>
      </c>
      <c r="K156" s="461">
        <f t="shared" si="4"/>
        <v>55000</v>
      </c>
      <c r="L156" s="462"/>
    </row>
    <row r="157" spans="1:12" ht="33" hidden="1">
      <c r="A157" s="459">
        <v>145</v>
      </c>
      <c r="B157" s="469" t="s">
        <v>3296</v>
      </c>
      <c r="C157" s="459" t="s">
        <v>139</v>
      </c>
      <c r="D157" s="459">
        <f>1.58*0.55/1000</f>
        <v>8.6900000000000009E-4</v>
      </c>
      <c r="E157" s="461">
        <v>81000</v>
      </c>
      <c r="F157" s="461">
        <f t="shared" si="5"/>
        <v>81000</v>
      </c>
      <c r="G157" s="461"/>
      <c r="H157" s="461">
        <v>717.81746300000009</v>
      </c>
      <c r="I157" s="461"/>
      <c r="J157" s="461">
        <v>300.46066050000002</v>
      </c>
      <c r="K157" s="461">
        <f t="shared" si="4"/>
        <v>82018.2781235</v>
      </c>
    </row>
    <row r="158" spans="1:12" ht="16.5" hidden="1">
      <c r="A158" s="459">
        <v>146</v>
      </c>
      <c r="B158" s="469" t="s">
        <v>3156</v>
      </c>
      <c r="C158" s="459" t="s">
        <v>139</v>
      </c>
      <c r="D158" s="459">
        <f>1.58*0.35/1000</f>
        <v>5.5299999999999989E-4</v>
      </c>
      <c r="E158" s="461">
        <v>43000</v>
      </c>
      <c r="F158" s="461">
        <f t="shared" si="5"/>
        <v>43000</v>
      </c>
      <c r="G158" s="461"/>
      <c r="H158" s="461">
        <v>456.7929309999999</v>
      </c>
      <c r="I158" s="461"/>
      <c r="J158" s="461">
        <v>191.20223849999996</v>
      </c>
      <c r="K158" s="461">
        <f t="shared" si="4"/>
        <v>43647.995169499998</v>
      </c>
    </row>
    <row r="159" spans="1:12" ht="16.5" hidden="1">
      <c r="A159" s="459">
        <v>147</v>
      </c>
      <c r="B159" s="469" t="s">
        <v>3297</v>
      </c>
      <c r="C159" s="459" t="s">
        <v>51</v>
      </c>
      <c r="D159" s="459"/>
      <c r="E159" s="461">
        <v>45000</v>
      </c>
      <c r="F159" s="461">
        <f t="shared" si="5"/>
        <v>45000</v>
      </c>
      <c r="G159" s="461"/>
      <c r="H159" s="461"/>
      <c r="I159" s="461"/>
      <c r="J159" s="461"/>
      <c r="K159" s="461">
        <f t="shared" si="4"/>
        <v>45000</v>
      </c>
    </row>
    <row r="160" spans="1:12" ht="16.5" hidden="1">
      <c r="A160" s="459">
        <v>148</v>
      </c>
      <c r="B160" s="469" t="s">
        <v>21</v>
      </c>
      <c r="C160" s="459" t="s">
        <v>3298</v>
      </c>
      <c r="D160" s="470"/>
      <c r="E160" s="461">
        <v>37300</v>
      </c>
      <c r="F160" s="461">
        <f t="shared" si="5"/>
        <v>37300</v>
      </c>
      <c r="G160" s="461"/>
      <c r="H160" s="461"/>
      <c r="I160" s="461"/>
      <c r="J160" s="461"/>
      <c r="K160" s="461">
        <f t="shared" si="4"/>
        <v>37300</v>
      </c>
    </row>
    <row r="161" spans="1:11" ht="16.5" hidden="1">
      <c r="A161" s="459">
        <v>149</v>
      </c>
      <c r="B161" s="469" t="s">
        <v>22</v>
      </c>
      <c r="C161" s="459" t="s">
        <v>2683</v>
      </c>
      <c r="D161" s="470"/>
      <c r="E161" s="461">
        <v>30700</v>
      </c>
      <c r="F161" s="461">
        <f t="shared" si="5"/>
        <v>30700</v>
      </c>
      <c r="G161" s="461"/>
      <c r="H161" s="461"/>
      <c r="I161" s="461"/>
      <c r="J161" s="461"/>
      <c r="K161" s="461">
        <f t="shared" si="4"/>
        <v>30700</v>
      </c>
    </row>
    <row r="162" spans="1:11" ht="16.5" hidden="1">
      <c r="A162" s="459">
        <v>150</v>
      </c>
      <c r="B162" s="469" t="s">
        <v>23</v>
      </c>
      <c r="C162" s="459" t="s">
        <v>2683</v>
      </c>
      <c r="D162" s="470"/>
      <c r="E162" s="461">
        <v>34400</v>
      </c>
      <c r="F162" s="461">
        <f t="shared" si="5"/>
        <v>34400</v>
      </c>
      <c r="G162" s="461"/>
      <c r="H162" s="461"/>
      <c r="I162" s="461"/>
      <c r="J162" s="461"/>
      <c r="K162" s="461">
        <f t="shared" si="4"/>
        <v>34400</v>
      </c>
    </row>
    <row r="163" spans="1:11" ht="16.5" hidden="1">
      <c r="A163" s="459">
        <v>151</v>
      </c>
      <c r="B163" s="469" t="s">
        <v>24</v>
      </c>
      <c r="C163" s="459" t="s">
        <v>2683</v>
      </c>
      <c r="D163" s="470"/>
      <c r="E163" s="461">
        <v>7200</v>
      </c>
      <c r="F163" s="461">
        <f t="shared" si="5"/>
        <v>7200</v>
      </c>
      <c r="G163" s="461"/>
      <c r="H163" s="461"/>
      <c r="I163" s="461"/>
      <c r="J163" s="461"/>
      <c r="K163" s="461">
        <f t="shared" si="4"/>
        <v>7200</v>
      </c>
    </row>
    <row r="164" spans="1:11" ht="16.5" hidden="1">
      <c r="A164" s="459">
        <v>152</v>
      </c>
      <c r="B164" s="469" t="s">
        <v>25</v>
      </c>
      <c r="C164" s="459" t="s">
        <v>2683</v>
      </c>
      <c r="D164" s="470"/>
      <c r="E164" s="461">
        <v>39700</v>
      </c>
      <c r="F164" s="461">
        <f t="shared" si="5"/>
        <v>39700</v>
      </c>
      <c r="G164" s="461"/>
      <c r="H164" s="461"/>
      <c r="I164" s="461"/>
      <c r="J164" s="461"/>
      <c r="K164" s="461">
        <f t="shared" si="4"/>
        <v>39700</v>
      </c>
    </row>
    <row r="165" spans="1:11" ht="16.5" hidden="1">
      <c r="A165" s="459">
        <v>153</v>
      </c>
      <c r="B165" s="469" t="s">
        <v>26</v>
      </c>
      <c r="C165" s="459" t="s">
        <v>2683</v>
      </c>
      <c r="D165" s="470"/>
      <c r="E165" s="461">
        <v>100000</v>
      </c>
      <c r="F165" s="461">
        <f t="shared" si="5"/>
        <v>100000</v>
      </c>
      <c r="G165" s="461"/>
      <c r="H165" s="461"/>
      <c r="I165" s="461"/>
      <c r="J165" s="461"/>
      <c r="K165" s="461">
        <f t="shared" si="4"/>
        <v>100000</v>
      </c>
    </row>
    <row r="166" spans="1:11" ht="16.5" hidden="1">
      <c r="A166" s="459">
        <v>154</v>
      </c>
      <c r="B166" s="469" t="s">
        <v>27</v>
      </c>
      <c r="C166" s="459" t="s">
        <v>2683</v>
      </c>
      <c r="D166" s="470"/>
      <c r="E166" s="461">
        <v>134440</v>
      </c>
      <c r="F166" s="461">
        <f t="shared" si="5"/>
        <v>134440</v>
      </c>
      <c r="G166" s="461"/>
      <c r="H166" s="461"/>
      <c r="I166" s="461"/>
      <c r="J166" s="461"/>
      <c r="K166" s="461">
        <f t="shared" si="4"/>
        <v>134440</v>
      </c>
    </row>
    <row r="167" spans="1:11" ht="16.5" hidden="1">
      <c r="A167" s="459">
        <v>155</v>
      </c>
      <c r="B167" s="469" t="s">
        <v>28</v>
      </c>
      <c r="C167" s="459" t="s">
        <v>2683</v>
      </c>
      <c r="D167" s="470"/>
      <c r="E167" s="461">
        <v>28750</v>
      </c>
      <c r="F167" s="461">
        <f t="shared" si="5"/>
        <v>28750</v>
      </c>
      <c r="G167" s="461"/>
      <c r="H167" s="461"/>
      <c r="I167" s="461"/>
      <c r="J167" s="461"/>
      <c r="K167" s="461">
        <f t="shared" si="4"/>
        <v>28750</v>
      </c>
    </row>
    <row r="168" spans="1:11" ht="16.5" hidden="1">
      <c r="A168" s="459">
        <v>156</v>
      </c>
      <c r="B168" s="469" t="s">
        <v>3299</v>
      </c>
      <c r="C168" s="459" t="s">
        <v>139</v>
      </c>
      <c r="D168" s="459"/>
      <c r="E168" s="461">
        <v>35000</v>
      </c>
      <c r="F168" s="461">
        <f t="shared" si="5"/>
        <v>35000</v>
      </c>
      <c r="G168" s="461"/>
      <c r="H168" s="461"/>
      <c r="I168" s="461"/>
      <c r="J168" s="461"/>
      <c r="K168" s="461">
        <f t="shared" si="4"/>
        <v>35000</v>
      </c>
    </row>
    <row r="169" spans="1:11" ht="16.5" hidden="1">
      <c r="A169" s="459"/>
      <c r="B169" s="469" t="s">
        <v>3300</v>
      </c>
      <c r="C169" s="459" t="s">
        <v>139</v>
      </c>
      <c r="D169" s="459"/>
      <c r="E169" s="461">
        <v>35000</v>
      </c>
      <c r="F169" s="461">
        <f>E169</f>
        <v>35000</v>
      </c>
      <c r="G169" s="461"/>
      <c r="H169" s="461"/>
      <c r="I169" s="461"/>
      <c r="J169" s="461"/>
      <c r="K169" s="461">
        <f>+SUM(F169:H169)+J169</f>
        <v>35000</v>
      </c>
    </row>
    <row r="170" spans="1:11" ht="16.5" hidden="1">
      <c r="A170" s="459">
        <v>157</v>
      </c>
      <c r="B170" s="469" t="s">
        <v>3301</v>
      </c>
      <c r="C170" s="459" t="s">
        <v>45</v>
      </c>
      <c r="D170" s="459"/>
      <c r="E170" s="461">
        <v>65000</v>
      </c>
      <c r="F170" s="461">
        <f t="shared" si="5"/>
        <v>65000</v>
      </c>
      <c r="G170" s="461"/>
      <c r="H170" s="461"/>
      <c r="I170" s="461"/>
      <c r="J170" s="461"/>
      <c r="K170" s="461">
        <f t="shared" si="4"/>
        <v>65000</v>
      </c>
    </row>
    <row r="171" spans="1:11" ht="16.5" hidden="1">
      <c r="A171" s="459"/>
      <c r="B171" s="469" t="s">
        <v>3302</v>
      </c>
      <c r="C171" s="459" t="s">
        <v>45</v>
      </c>
      <c r="D171" s="459"/>
      <c r="E171" s="461">
        <v>65000</v>
      </c>
      <c r="F171" s="461">
        <f>E171</f>
        <v>65000</v>
      </c>
      <c r="G171" s="461"/>
      <c r="H171" s="461"/>
      <c r="I171" s="461"/>
      <c r="J171" s="461"/>
      <c r="K171" s="461">
        <f>+SUM(F171:H171)+J171</f>
        <v>65000</v>
      </c>
    </row>
    <row r="172" spans="1:11" s="473" customFormat="1" ht="33" hidden="1">
      <c r="A172" s="459">
        <v>158</v>
      </c>
      <c r="B172" s="471" t="s">
        <v>3303</v>
      </c>
      <c r="C172" s="472" t="s">
        <v>139</v>
      </c>
      <c r="D172" s="459"/>
      <c r="E172" s="461">
        <v>246000</v>
      </c>
      <c r="F172" s="461">
        <f t="shared" si="5"/>
        <v>246000</v>
      </c>
      <c r="G172" s="461"/>
      <c r="H172" s="461"/>
      <c r="I172" s="461"/>
      <c r="J172" s="461"/>
      <c r="K172" s="461">
        <f t="shared" si="4"/>
        <v>246000</v>
      </c>
    </row>
    <row r="173" spans="1:11" s="473" customFormat="1" ht="33" hidden="1">
      <c r="A173" s="459">
        <v>159</v>
      </c>
      <c r="B173" s="471" t="s">
        <v>3304</v>
      </c>
      <c r="C173" s="472" t="s">
        <v>139</v>
      </c>
      <c r="D173" s="459"/>
      <c r="E173" s="461">
        <v>45000</v>
      </c>
      <c r="F173" s="461">
        <f t="shared" si="5"/>
        <v>45000</v>
      </c>
      <c r="G173" s="461"/>
      <c r="H173" s="461"/>
      <c r="I173" s="461"/>
      <c r="J173" s="461"/>
      <c r="K173" s="461">
        <f t="shared" si="4"/>
        <v>45000</v>
      </c>
    </row>
    <row r="174" spans="1:11" ht="16.5" hidden="1">
      <c r="A174" s="459">
        <v>160</v>
      </c>
      <c r="B174" s="469" t="s">
        <v>3305</v>
      </c>
      <c r="C174" s="459" t="s">
        <v>47</v>
      </c>
      <c r="D174" s="459">
        <v>1</v>
      </c>
      <c r="E174" s="461">
        <f>80000/1.1</f>
        <v>72727.272727272721</v>
      </c>
      <c r="F174" s="461">
        <f t="shared" si="5"/>
        <v>72727.272727272721</v>
      </c>
      <c r="G174" s="461">
        <v>88978</v>
      </c>
      <c r="H174" s="461"/>
      <c r="I174" s="461"/>
      <c r="J174" s="461"/>
      <c r="K174" s="461">
        <f t="shared" si="4"/>
        <v>161705.27272727271</v>
      </c>
    </row>
    <row r="175" spans="1:11" ht="16.5" hidden="1">
      <c r="A175" s="459">
        <v>161</v>
      </c>
      <c r="B175" s="469" t="s">
        <v>3306</v>
      </c>
      <c r="C175" s="459" t="s">
        <v>47</v>
      </c>
      <c r="D175" s="459">
        <v>1</v>
      </c>
      <c r="E175" s="461">
        <v>363636.36363636359</v>
      </c>
      <c r="F175" s="461">
        <f t="shared" si="5"/>
        <v>363636.36363636359</v>
      </c>
      <c r="G175" s="461">
        <v>88978</v>
      </c>
      <c r="H175" s="461"/>
      <c r="I175" s="461"/>
      <c r="J175" s="461"/>
      <c r="K175" s="461">
        <f t="shared" si="4"/>
        <v>452614.36363636359</v>
      </c>
    </row>
    <row r="176" spans="1:11" ht="16.5" hidden="1">
      <c r="A176" s="459">
        <v>162</v>
      </c>
      <c r="B176" s="469" t="s">
        <v>46</v>
      </c>
      <c r="C176" s="459" t="s">
        <v>47</v>
      </c>
      <c r="D176" s="459">
        <v>1</v>
      </c>
      <c r="E176" s="461">
        <v>318181.81818181818</v>
      </c>
      <c r="F176" s="461">
        <f t="shared" si="5"/>
        <v>318181.81818181818</v>
      </c>
      <c r="G176" s="461">
        <v>88978</v>
      </c>
      <c r="H176" s="461"/>
      <c r="I176" s="461"/>
      <c r="J176" s="461"/>
      <c r="K176" s="461">
        <f t="shared" si="4"/>
        <v>407159.81818181818</v>
      </c>
    </row>
    <row r="177" spans="1:13" ht="16.5" hidden="1">
      <c r="A177" s="459">
        <v>163</v>
      </c>
      <c r="B177" s="451" t="s">
        <v>3157</v>
      </c>
      <c r="C177" s="452" t="s">
        <v>47</v>
      </c>
      <c r="D177" s="452">
        <v>1</v>
      </c>
      <c r="E177" s="461">
        <v>246818.18181818179</v>
      </c>
      <c r="F177" s="461">
        <f t="shared" si="5"/>
        <v>246818.18181818179</v>
      </c>
      <c r="G177" s="461"/>
      <c r="H177" s="461"/>
      <c r="I177" s="461"/>
      <c r="J177" s="461"/>
      <c r="K177" s="461">
        <f t="shared" si="4"/>
        <v>246818.18181818179</v>
      </c>
    </row>
    <row r="178" spans="1:13" ht="16.5" hidden="1">
      <c r="A178" s="459">
        <v>164</v>
      </c>
      <c r="B178" s="469" t="s">
        <v>3158</v>
      </c>
      <c r="C178" s="459" t="s">
        <v>3184</v>
      </c>
      <c r="D178" s="459"/>
      <c r="E178" s="461">
        <v>90</v>
      </c>
      <c r="F178" s="461">
        <f t="shared" si="5"/>
        <v>90</v>
      </c>
      <c r="G178" s="461"/>
      <c r="H178" s="461"/>
      <c r="I178" s="461"/>
      <c r="J178" s="461"/>
      <c r="K178" s="461">
        <f t="shared" si="4"/>
        <v>90</v>
      </c>
    </row>
    <row r="179" spans="1:13" s="220" customFormat="1" ht="16.5">
      <c r="A179" s="467">
        <v>165</v>
      </c>
      <c r="B179" s="551" t="s">
        <v>3307</v>
      </c>
      <c r="C179" s="467" t="s">
        <v>59</v>
      </c>
      <c r="D179" s="467">
        <v>5.0100000000000003E-4</v>
      </c>
      <c r="E179" s="468">
        <v>91400</v>
      </c>
      <c r="F179" s="468">
        <f t="shared" ref="F179:F184" si="6">E179*$M$180</f>
        <v>100540.00000000001</v>
      </c>
      <c r="G179" s="468">
        <f>('DG VC'!$C$7+'DG VC'!$C$17)*D179/10</f>
        <v>173.85717030000001</v>
      </c>
      <c r="H179" s="468">
        <f>D179*'DG VCN'!$G$24</f>
        <v>50.545389</v>
      </c>
      <c r="I179" s="468"/>
      <c r="J179" s="468">
        <f>D179*'DG VCN'!$G$93/2</f>
        <v>332.22988350000003</v>
      </c>
      <c r="K179" s="468">
        <f t="shared" si="4"/>
        <v>101096.63244280002</v>
      </c>
    </row>
    <row r="180" spans="1:13" s="142" customFormat="1" ht="33">
      <c r="A180" s="535">
        <v>166</v>
      </c>
      <c r="B180" s="538" t="s">
        <v>3308</v>
      </c>
      <c r="C180" s="535" t="s">
        <v>59</v>
      </c>
      <c r="D180" s="535">
        <f>987/1000000</f>
        <v>9.8700000000000003E-4</v>
      </c>
      <c r="E180" s="492">
        <v>97700</v>
      </c>
      <c r="F180" s="492">
        <f t="shared" si="6"/>
        <v>107470.00000000001</v>
      </c>
      <c r="G180" s="492">
        <f>('DG VC'!$C$7+'DG VC'!$C$17)*D180/10</f>
        <v>342.5090361</v>
      </c>
      <c r="H180" s="492">
        <f>D180*'DG VCN'!$G$24</f>
        <v>99.577443000000002</v>
      </c>
      <c r="I180" s="492"/>
      <c r="J180" s="492">
        <f>D180*'DG VCN'!$G$93/2</f>
        <v>654.5127645</v>
      </c>
      <c r="K180" s="492">
        <f t="shared" si="4"/>
        <v>108566.59924360002</v>
      </c>
      <c r="M180" s="474">
        <v>1.1000000000000001</v>
      </c>
    </row>
    <row r="181" spans="1:13" s="142" customFormat="1" ht="33">
      <c r="A181" s="535"/>
      <c r="B181" s="538" t="s">
        <v>3468</v>
      </c>
      <c r="C181" s="535" t="s">
        <v>59</v>
      </c>
      <c r="D181" s="535">
        <v>1.3159999999999999E-3</v>
      </c>
      <c r="E181" s="492">
        <v>127900</v>
      </c>
      <c r="F181" s="492">
        <f t="shared" si="6"/>
        <v>140690</v>
      </c>
      <c r="G181" s="492">
        <f>('DG VC'!$C$7+'DG VC'!$C$17)*D181/10</f>
        <v>456.67871479999997</v>
      </c>
      <c r="H181" s="492">
        <f>D181*'DG VCN'!$G$24</f>
        <v>132.769924</v>
      </c>
      <c r="I181" s="492"/>
      <c r="J181" s="492">
        <f>D181*'DG VCN'!$G$93/2</f>
        <v>872.68368599999997</v>
      </c>
      <c r="K181" s="492">
        <f>+SUM(F181:H181)+J181</f>
        <v>142152.13232479998</v>
      </c>
      <c r="M181" s="474"/>
    </row>
    <row r="182" spans="1:13" s="142" customFormat="1" ht="16.5">
      <c r="A182" s="535"/>
      <c r="B182" s="551" t="s">
        <v>3469</v>
      </c>
      <c r="C182" s="467" t="s">
        <v>59</v>
      </c>
      <c r="D182" s="467">
        <f>1175/1000000</f>
        <v>1.175E-3</v>
      </c>
      <c r="E182" s="468">
        <v>432800</v>
      </c>
      <c r="F182" s="492">
        <f t="shared" si="6"/>
        <v>476080.00000000006</v>
      </c>
      <c r="G182" s="468">
        <f>('DG VC'!$C$7+'DG VC'!$C$17)*D182/10</f>
        <v>407.7488525</v>
      </c>
      <c r="H182" s="468">
        <f>D182*'DG VCN'!$G$24</f>
        <v>118.54457500000001</v>
      </c>
      <c r="I182" s="468"/>
      <c r="J182" s="468">
        <f>D182*'DG VCN'!$G$93/2</f>
        <v>779.18186250000008</v>
      </c>
      <c r="K182" s="468">
        <f t="shared" ref="K182" si="7">+SUM(F182:H182)+J182</f>
        <v>477385.47529000003</v>
      </c>
    </row>
    <row r="183" spans="1:13" s="220" customFormat="1" ht="16.5">
      <c r="A183" s="467">
        <v>167</v>
      </c>
      <c r="B183" s="551" t="s">
        <v>3309</v>
      </c>
      <c r="C183" s="467" t="s">
        <v>59</v>
      </c>
      <c r="D183" s="467">
        <f>1142/1000000</f>
        <v>1.142E-3</v>
      </c>
      <c r="E183" s="468">
        <v>290000</v>
      </c>
      <c r="F183" s="492">
        <f t="shared" si="6"/>
        <v>319000</v>
      </c>
      <c r="G183" s="468">
        <f>('DG VC'!$C$7+'DG VC'!$C$17)*D183/10</f>
        <v>396.29718259999999</v>
      </c>
      <c r="H183" s="468">
        <f>D183*'DG VCN'!$G$24</f>
        <v>115.215238</v>
      </c>
      <c r="I183" s="468"/>
      <c r="J183" s="468">
        <f>D183*'DG VCN'!$G$93/2</f>
        <v>757.29845699999998</v>
      </c>
      <c r="K183" s="468">
        <f t="shared" si="4"/>
        <v>320268.81087759999</v>
      </c>
    </row>
    <row r="184" spans="1:13" s="220" customFormat="1" ht="16.5">
      <c r="A184" s="467">
        <v>168</v>
      </c>
      <c r="B184" s="551" t="s">
        <v>3310</v>
      </c>
      <c r="C184" s="467" t="s">
        <v>59</v>
      </c>
      <c r="D184" s="467">
        <f>676/1000000</f>
        <v>6.7599999999999995E-4</v>
      </c>
      <c r="E184" s="468">
        <v>161000</v>
      </c>
      <c r="F184" s="492">
        <f t="shared" si="6"/>
        <v>177100</v>
      </c>
      <c r="G184" s="468">
        <f>('DG VC'!$C$7+'DG VC'!$C$17)*D184/10</f>
        <v>234.58572279999998</v>
      </c>
      <c r="H184" s="468">
        <f>D184*'DG VCN'!$G$24</f>
        <v>68.200963999999999</v>
      </c>
      <c r="I184" s="468"/>
      <c r="J184" s="468">
        <f>D184*'DG VCN'!$G$93/2</f>
        <v>448.27824599999997</v>
      </c>
      <c r="K184" s="468">
        <f t="shared" si="4"/>
        <v>177851.06493279999</v>
      </c>
    </row>
    <row r="185" spans="1:13" ht="33" hidden="1">
      <c r="A185" s="459">
        <v>169</v>
      </c>
      <c r="B185" s="475" t="s">
        <v>3311</v>
      </c>
      <c r="C185" s="459" t="s">
        <v>51</v>
      </c>
      <c r="D185" s="459"/>
      <c r="E185" s="461">
        <v>165000</v>
      </c>
      <c r="F185" s="461">
        <f t="shared" si="5"/>
        <v>165000</v>
      </c>
      <c r="G185" s="461"/>
      <c r="H185" s="461"/>
      <c r="I185" s="461"/>
      <c r="J185" s="461"/>
      <c r="K185" s="461">
        <f t="shared" si="4"/>
        <v>165000</v>
      </c>
    </row>
    <row r="186" spans="1:13" ht="33" hidden="1">
      <c r="A186" s="459"/>
      <c r="B186" s="475" t="s">
        <v>3312</v>
      </c>
      <c r="C186" s="459" t="s">
        <v>51</v>
      </c>
      <c r="D186" s="459"/>
      <c r="E186" s="461">
        <v>165000</v>
      </c>
      <c r="F186" s="461">
        <f>E186</f>
        <v>165000</v>
      </c>
      <c r="G186" s="461"/>
      <c r="H186" s="461"/>
      <c r="I186" s="461"/>
      <c r="J186" s="461"/>
      <c r="K186" s="461">
        <f>+SUM(F186:H186)+J186</f>
        <v>165000</v>
      </c>
    </row>
    <row r="187" spans="1:13" ht="33" hidden="1">
      <c r="A187" s="459">
        <v>170</v>
      </c>
      <c r="B187" s="475" t="s">
        <v>3313</v>
      </c>
      <c r="C187" s="459" t="s">
        <v>51</v>
      </c>
      <c r="D187" s="459"/>
      <c r="E187" s="461">
        <v>5000</v>
      </c>
      <c r="F187" s="461">
        <f t="shared" si="5"/>
        <v>5000</v>
      </c>
      <c r="G187" s="461"/>
      <c r="H187" s="461"/>
      <c r="I187" s="461"/>
      <c r="J187" s="461"/>
      <c r="K187" s="461">
        <f t="shared" si="4"/>
        <v>5000</v>
      </c>
    </row>
    <row r="188" spans="1:13" ht="33" hidden="1">
      <c r="A188" s="459"/>
      <c r="B188" s="475" t="s">
        <v>3314</v>
      </c>
      <c r="C188" s="459" t="s">
        <v>51</v>
      </c>
      <c r="D188" s="459"/>
      <c r="E188" s="461">
        <v>5000</v>
      </c>
      <c r="F188" s="461">
        <f>E188</f>
        <v>5000</v>
      </c>
      <c r="G188" s="461"/>
      <c r="H188" s="461"/>
      <c r="I188" s="461"/>
      <c r="J188" s="461"/>
      <c r="K188" s="461">
        <f>+SUM(F188:H188)+J188</f>
        <v>5000</v>
      </c>
    </row>
    <row r="189" spans="1:13" ht="16.5" hidden="1">
      <c r="A189" s="459">
        <v>171</v>
      </c>
      <c r="B189" s="476" t="s">
        <v>3315</v>
      </c>
      <c r="C189" s="459" t="s">
        <v>139</v>
      </c>
      <c r="D189" s="459"/>
      <c r="E189" s="461"/>
      <c r="F189" s="461"/>
      <c r="G189" s="461"/>
      <c r="H189" s="461"/>
      <c r="I189" s="461"/>
      <c r="J189" s="461"/>
      <c r="K189" s="461"/>
    </row>
    <row r="190" spans="1:13" ht="16.5" hidden="1">
      <c r="A190" s="459">
        <v>172</v>
      </c>
      <c r="B190" s="476" t="s">
        <v>3316</v>
      </c>
      <c r="C190" s="459" t="s">
        <v>3317</v>
      </c>
      <c r="D190" s="459"/>
      <c r="E190" s="461">
        <v>8500</v>
      </c>
      <c r="F190" s="461">
        <f t="shared" ref="F190:F217" si="8">E190</f>
        <v>8500</v>
      </c>
      <c r="G190" s="461"/>
      <c r="H190" s="461"/>
      <c r="I190" s="461"/>
      <c r="J190" s="461"/>
      <c r="K190" s="461">
        <f t="shared" ref="K190:K217" si="9">+SUM(F190:H190)+J190</f>
        <v>8500</v>
      </c>
    </row>
    <row r="191" spans="1:13" ht="16.5" hidden="1">
      <c r="A191" s="459">
        <v>173</v>
      </c>
      <c r="B191" s="476" t="s">
        <v>3318</v>
      </c>
      <c r="C191" s="459" t="s">
        <v>3317</v>
      </c>
      <c r="D191" s="459"/>
      <c r="E191" s="461">
        <v>15500</v>
      </c>
      <c r="F191" s="461">
        <f t="shared" si="8"/>
        <v>15500</v>
      </c>
      <c r="G191" s="461"/>
      <c r="H191" s="461"/>
      <c r="I191" s="461"/>
      <c r="J191" s="461"/>
      <c r="K191" s="461">
        <f t="shared" si="9"/>
        <v>15500</v>
      </c>
    </row>
    <row r="192" spans="1:13" ht="16.5" hidden="1">
      <c r="A192" s="459">
        <v>174</v>
      </c>
      <c r="B192" s="476" t="s">
        <v>181</v>
      </c>
      <c r="C192" s="459" t="s">
        <v>3317</v>
      </c>
      <c r="D192" s="459"/>
      <c r="E192" s="461">
        <v>26500</v>
      </c>
      <c r="F192" s="461">
        <f t="shared" si="8"/>
        <v>26500</v>
      </c>
      <c r="G192" s="461"/>
      <c r="H192" s="461"/>
      <c r="I192" s="461"/>
      <c r="J192" s="461"/>
      <c r="K192" s="461">
        <f t="shared" si="9"/>
        <v>26500</v>
      </c>
    </row>
    <row r="193" spans="1:11" ht="16.5" hidden="1">
      <c r="A193" s="459">
        <v>175</v>
      </c>
      <c r="B193" s="476" t="s">
        <v>3319</v>
      </c>
      <c r="C193" s="459" t="s">
        <v>3317</v>
      </c>
      <c r="D193" s="459"/>
      <c r="E193" s="461">
        <v>15500</v>
      </c>
      <c r="F193" s="461">
        <f t="shared" si="8"/>
        <v>15500</v>
      </c>
      <c r="G193" s="461"/>
      <c r="H193" s="461"/>
      <c r="I193" s="461"/>
      <c r="J193" s="461"/>
      <c r="K193" s="461">
        <f t="shared" si="9"/>
        <v>15500</v>
      </c>
    </row>
    <row r="194" spans="1:11" ht="16.5" hidden="1">
      <c r="A194" s="459">
        <v>176</v>
      </c>
      <c r="B194" s="476" t="s">
        <v>182</v>
      </c>
      <c r="C194" s="459" t="s">
        <v>3317</v>
      </c>
      <c r="D194" s="459"/>
      <c r="E194" s="461">
        <v>13500</v>
      </c>
      <c r="F194" s="461">
        <f t="shared" si="8"/>
        <v>13500</v>
      </c>
      <c r="G194" s="461"/>
      <c r="H194" s="461"/>
      <c r="I194" s="461"/>
      <c r="J194" s="461"/>
      <c r="K194" s="461">
        <f t="shared" si="9"/>
        <v>13500</v>
      </c>
    </row>
    <row r="195" spans="1:11" ht="33" hidden="1">
      <c r="A195" s="459">
        <v>177</v>
      </c>
      <c r="B195" s="476" t="s">
        <v>3320</v>
      </c>
      <c r="C195" s="459" t="s">
        <v>51</v>
      </c>
      <c r="D195" s="459"/>
      <c r="E195" s="461">
        <v>5000</v>
      </c>
      <c r="F195" s="461">
        <f t="shared" si="8"/>
        <v>5000</v>
      </c>
      <c r="G195" s="461"/>
      <c r="H195" s="461"/>
      <c r="I195" s="461"/>
      <c r="J195" s="461"/>
      <c r="K195" s="461">
        <f t="shared" si="9"/>
        <v>5000</v>
      </c>
    </row>
    <row r="196" spans="1:11" ht="33" hidden="1">
      <c r="A196" s="459">
        <v>178</v>
      </c>
      <c r="B196" s="476" t="s">
        <v>3321</v>
      </c>
      <c r="C196" s="459" t="s">
        <v>51</v>
      </c>
      <c r="D196" s="459"/>
      <c r="E196" s="461">
        <v>5000</v>
      </c>
      <c r="F196" s="461">
        <f t="shared" si="8"/>
        <v>5000</v>
      </c>
      <c r="G196" s="461"/>
      <c r="H196" s="461"/>
      <c r="I196" s="461"/>
      <c r="J196" s="461"/>
      <c r="K196" s="461">
        <f t="shared" si="9"/>
        <v>5000</v>
      </c>
    </row>
    <row r="197" spans="1:11" s="142" customFormat="1" ht="33">
      <c r="A197" s="535">
        <v>179</v>
      </c>
      <c r="B197" s="536" t="s">
        <v>3322</v>
      </c>
      <c r="C197" s="535" t="s">
        <v>3323</v>
      </c>
      <c r="D197" s="535">
        <v>0.41</v>
      </c>
      <c r="E197" s="492">
        <v>66517000</v>
      </c>
      <c r="F197" s="492">
        <f>E197</f>
        <v>66517000</v>
      </c>
      <c r="G197" s="492">
        <f>D197/10*('DG VC'!C7+'DG VC'!C17)</f>
        <v>142278.32299999997</v>
      </c>
      <c r="H197" s="492"/>
      <c r="I197" s="492"/>
      <c r="J197" s="492">
        <f>('DG VCN'!G148+'DG VCN'!G149)*D197/2</f>
        <v>118816.56499999999</v>
      </c>
      <c r="K197" s="492">
        <f t="shared" si="9"/>
        <v>66778094.887999997</v>
      </c>
    </row>
    <row r="198" spans="1:11" s="142" customFormat="1" ht="33">
      <c r="A198" s="535">
        <v>180</v>
      </c>
      <c r="B198" s="536" t="s">
        <v>3322</v>
      </c>
      <c r="C198" s="535" t="s">
        <v>3323</v>
      </c>
      <c r="D198" s="535">
        <v>1.1930000000000001</v>
      </c>
      <c r="E198" s="492">
        <v>199363180</v>
      </c>
      <c r="F198" s="492">
        <f>E198</f>
        <v>199363180</v>
      </c>
      <c r="G198" s="492">
        <f>D198/10*('DG VC'!C7+'DG VC'!C17)</f>
        <v>413995.21789999999</v>
      </c>
      <c r="H198" s="492"/>
      <c r="I198" s="492"/>
      <c r="J198" s="492">
        <f>('DG VCN'!G148+'DG VCN'!G149)*D198/2</f>
        <v>345727.22450000001</v>
      </c>
      <c r="K198" s="492">
        <f t="shared" si="9"/>
        <v>200122902.44240001</v>
      </c>
    </row>
    <row r="199" spans="1:11" s="142" customFormat="1" ht="16.5">
      <c r="A199" s="467">
        <v>181</v>
      </c>
      <c r="B199" s="552" t="s">
        <v>3324</v>
      </c>
      <c r="C199" s="467" t="s">
        <v>51</v>
      </c>
      <c r="D199" s="467"/>
      <c r="E199" s="468">
        <v>105700</v>
      </c>
      <c r="F199" s="468">
        <f t="shared" si="8"/>
        <v>105700</v>
      </c>
      <c r="G199" s="468"/>
      <c r="H199" s="468"/>
      <c r="I199" s="468"/>
      <c r="J199" s="468"/>
      <c r="K199" s="468">
        <f t="shared" si="9"/>
        <v>105700</v>
      </c>
    </row>
    <row r="200" spans="1:11" s="142" customFormat="1" ht="33">
      <c r="A200" s="467">
        <v>181</v>
      </c>
      <c r="B200" s="552" t="s">
        <v>3161</v>
      </c>
      <c r="C200" s="553" t="s">
        <v>139</v>
      </c>
      <c r="D200" s="467"/>
      <c r="E200" s="468">
        <v>1270000</v>
      </c>
      <c r="F200" s="468">
        <f t="shared" si="8"/>
        <v>1270000</v>
      </c>
      <c r="G200" s="468"/>
      <c r="H200" s="468"/>
      <c r="I200" s="468"/>
      <c r="J200" s="468"/>
      <c r="K200" s="468">
        <f t="shared" si="9"/>
        <v>1270000</v>
      </c>
    </row>
    <row r="201" spans="1:11" s="142" customFormat="1" ht="33">
      <c r="A201" s="467"/>
      <c r="B201" s="552" t="s">
        <v>3471</v>
      </c>
      <c r="C201" s="553" t="s">
        <v>139</v>
      </c>
      <c r="D201" s="467"/>
      <c r="E201" s="468">
        <v>1506100</v>
      </c>
      <c r="F201" s="468">
        <f t="shared" si="8"/>
        <v>1506100</v>
      </c>
      <c r="G201" s="468"/>
      <c r="H201" s="468"/>
      <c r="I201" s="468"/>
      <c r="J201" s="468"/>
      <c r="K201" s="468">
        <f t="shared" si="9"/>
        <v>1506100</v>
      </c>
    </row>
    <row r="202" spans="1:11" s="142" customFormat="1" ht="16.5">
      <c r="A202" s="467">
        <v>181</v>
      </c>
      <c r="B202" s="552" t="s">
        <v>3470</v>
      </c>
      <c r="C202" s="553" t="s">
        <v>208</v>
      </c>
      <c r="D202" s="467"/>
      <c r="E202" s="468">
        <v>24700</v>
      </c>
      <c r="F202" s="468">
        <f t="shared" si="8"/>
        <v>24700</v>
      </c>
      <c r="G202" s="468"/>
      <c r="H202" s="468"/>
      <c r="I202" s="468"/>
      <c r="J202" s="468"/>
      <c r="K202" s="468">
        <f t="shared" si="9"/>
        <v>24700</v>
      </c>
    </row>
    <row r="203" spans="1:11" ht="33" hidden="1">
      <c r="A203" s="459">
        <v>181</v>
      </c>
      <c r="B203" s="460" t="s">
        <v>3162</v>
      </c>
      <c r="C203" s="477" t="s">
        <v>139</v>
      </c>
      <c r="D203" s="459"/>
      <c r="E203" s="461">
        <v>56100</v>
      </c>
      <c r="F203" s="461">
        <f t="shared" si="8"/>
        <v>56100</v>
      </c>
      <c r="G203" s="461"/>
      <c r="H203" s="461"/>
      <c r="I203" s="461"/>
      <c r="J203" s="461"/>
      <c r="K203" s="461">
        <f t="shared" si="9"/>
        <v>56100</v>
      </c>
    </row>
    <row r="204" spans="1:11" ht="33">
      <c r="A204" s="459">
        <v>181</v>
      </c>
      <c r="B204" s="460" t="s">
        <v>3163</v>
      </c>
      <c r="C204" s="477" t="s">
        <v>51</v>
      </c>
      <c r="D204" s="459"/>
      <c r="E204" s="461">
        <v>224100</v>
      </c>
      <c r="F204" s="461">
        <f t="shared" si="8"/>
        <v>224100</v>
      </c>
      <c r="G204" s="461"/>
      <c r="H204" s="461"/>
      <c r="I204" s="461"/>
      <c r="J204" s="461"/>
      <c r="K204" s="461">
        <f t="shared" si="9"/>
        <v>224100</v>
      </c>
    </row>
    <row r="205" spans="1:11" ht="33">
      <c r="A205" s="459">
        <v>181</v>
      </c>
      <c r="B205" s="460" t="s">
        <v>3159</v>
      </c>
      <c r="C205" s="477" t="s">
        <v>139</v>
      </c>
      <c r="D205" s="459"/>
      <c r="E205" s="461">
        <v>1265000</v>
      </c>
      <c r="F205" s="461">
        <f t="shared" si="8"/>
        <v>1265000</v>
      </c>
      <c r="G205" s="461"/>
      <c r="H205" s="461"/>
      <c r="I205" s="461"/>
      <c r="J205" s="461"/>
      <c r="K205" s="461">
        <f t="shared" si="9"/>
        <v>1265000</v>
      </c>
    </row>
    <row r="206" spans="1:11" ht="33">
      <c r="A206" s="459">
        <v>181</v>
      </c>
      <c r="B206" s="460" t="s">
        <v>176</v>
      </c>
      <c r="C206" s="477" t="s">
        <v>51</v>
      </c>
      <c r="D206" s="459"/>
      <c r="E206" s="461">
        <v>58100</v>
      </c>
      <c r="F206" s="461">
        <f t="shared" si="8"/>
        <v>58100</v>
      </c>
      <c r="G206" s="461"/>
      <c r="H206" s="461"/>
      <c r="I206" s="461"/>
      <c r="J206" s="461"/>
      <c r="K206" s="461">
        <f t="shared" si="9"/>
        <v>58100</v>
      </c>
    </row>
    <row r="207" spans="1:11" ht="16.5">
      <c r="A207" s="459">
        <v>181</v>
      </c>
      <c r="B207" s="460" t="s">
        <v>3325</v>
      </c>
      <c r="C207" s="477" t="s">
        <v>51</v>
      </c>
      <c r="D207" s="459"/>
      <c r="E207" s="461">
        <v>52200</v>
      </c>
      <c r="F207" s="461">
        <f t="shared" si="8"/>
        <v>52200</v>
      </c>
      <c r="G207" s="461"/>
      <c r="H207" s="461"/>
      <c r="I207" s="461"/>
      <c r="J207" s="461"/>
      <c r="K207" s="461">
        <f t="shared" si="9"/>
        <v>52200</v>
      </c>
    </row>
    <row r="208" spans="1:11" ht="33">
      <c r="A208" s="459">
        <v>181</v>
      </c>
      <c r="B208" s="469" t="s">
        <v>3326</v>
      </c>
      <c r="C208" s="459" t="s">
        <v>160</v>
      </c>
      <c r="D208" s="459"/>
      <c r="E208" s="461">
        <v>500000</v>
      </c>
      <c r="F208" s="461">
        <f t="shared" si="8"/>
        <v>500000</v>
      </c>
      <c r="G208" s="461"/>
      <c r="H208" s="461"/>
      <c r="I208" s="461"/>
      <c r="J208" s="461"/>
      <c r="K208" s="461">
        <f t="shared" si="9"/>
        <v>500000</v>
      </c>
    </row>
    <row r="209" spans="1:11" ht="33">
      <c r="A209" s="459">
        <v>181</v>
      </c>
      <c r="B209" s="460" t="s">
        <v>3327</v>
      </c>
      <c r="C209" s="459" t="s">
        <v>159</v>
      </c>
      <c r="D209" s="459"/>
      <c r="E209" s="461">
        <v>3500000</v>
      </c>
      <c r="F209" s="461">
        <f t="shared" si="8"/>
        <v>3500000</v>
      </c>
      <c r="G209" s="461"/>
      <c r="H209" s="461"/>
      <c r="I209" s="461"/>
      <c r="J209" s="461"/>
      <c r="K209" s="461">
        <f t="shared" si="9"/>
        <v>3500000</v>
      </c>
    </row>
    <row r="210" spans="1:11" ht="49.15" customHeight="1">
      <c r="A210" s="459">
        <v>181</v>
      </c>
      <c r="B210" s="469" t="s">
        <v>3328</v>
      </c>
      <c r="C210" s="459" t="s">
        <v>51</v>
      </c>
      <c r="D210" s="459"/>
      <c r="E210" s="461">
        <v>9508000</v>
      </c>
      <c r="F210" s="461">
        <f t="shared" si="8"/>
        <v>9508000</v>
      </c>
      <c r="G210" s="461"/>
      <c r="H210" s="461"/>
      <c r="I210" s="461"/>
      <c r="J210" s="461"/>
      <c r="K210" s="461">
        <f t="shared" si="9"/>
        <v>9508000</v>
      </c>
    </row>
    <row r="211" spans="1:11" s="473" customFormat="1" ht="17.25">
      <c r="A211" s="459">
        <v>181</v>
      </c>
      <c r="B211" s="478" t="s">
        <v>3329</v>
      </c>
      <c r="C211" s="459" t="s">
        <v>51</v>
      </c>
      <c r="D211" s="459"/>
      <c r="E211" s="461">
        <v>42000</v>
      </c>
      <c r="F211" s="461">
        <f t="shared" si="8"/>
        <v>42000</v>
      </c>
      <c r="G211" s="461"/>
      <c r="H211" s="461"/>
      <c r="I211" s="461"/>
      <c r="J211" s="461"/>
      <c r="K211" s="461">
        <f t="shared" si="9"/>
        <v>42000</v>
      </c>
    </row>
    <row r="212" spans="1:11" ht="16.5">
      <c r="A212" s="459">
        <v>181</v>
      </c>
      <c r="B212" s="469" t="s">
        <v>3160</v>
      </c>
      <c r="C212" s="459" t="s">
        <v>139</v>
      </c>
      <c r="D212" s="459"/>
      <c r="E212" s="461">
        <v>150000</v>
      </c>
      <c r="F212" s="461">
        <f t="shared" si="8"/>
        <v>150000</v>
      </c>
      <c r="G212" s="461"/>
      <c r="H212" s="461"/>
      <c r="I212" s="461"/>
      <c r="J212" s="461"/>
      <c r="K212" s="461">
        <f t="shared" si="9"/>
        <v>150000</v>
      </c>
    </row>
    <row r="213" spans="1:11" ht="16.5">
      <c r="A213" s="459">
        <v>181</v>
      </c>
      <c r="B213" s="460" t="s">
        <v>3330</v>
      </c>
      <c r="C213" s="459" t="s">
        <v>51</v>
      </c>
      <c r="D213" s="459"/>
      <c r="E213" s="461">
        <v>34800</v>
      </c>
      <c r="F213" s="461">
        <f t="shared" si="8"/>
        <v>34800</v>
      </c>
      <c r="G213" s="461"/>
      <c r="H213" s="461"/>
      <c r="I213" s="461"/>
      <c r="J213" s="461"/>
      <c r="K213" s="461">
        <f t="shared" si="9"/>
        <v>34800</v>
      </c>
    </row>
    <row r="214" spans="1:11" ht="16.5">
      <c r="A214" s="459">
        <v>181</v>
      </c>
      <c r="B214" s="460" t="s">
        <v>3331</v>
      </c>
      <c r="C214" s="459" t="s">
        <v>59</v>
      </c>
      <c r="D214" s="459"/>
      <c r="E214" s="461">
        <v>38300</v>
      </c>
      <c r="F214" s="461">
        <f t="shared" si="8"/>
        <v>38300</v>
      </c>
      <c r="G214" s="461"/>
      <c r="H214" s="461"/>
      <c r="I214" s="461"/>
      <c r="J214" s="461"/>
      <c r="K214" s="461">
        <f t="shared" si="9"/>
        <v>38300</v>
      </c>
    </row>
    <row r="215" spans="1:11" ht="16.5">
      <c r="A215" s="459">
        <v>181</v>
      </c>
      <c r="B215" s="469" t="s">
        <v>3332</v>
      </c>
      <c r="C215" s="459" t="s">
        <v>139</v>
      </c>
      <c r="D215" s="459"/>
      <c r="E215" s="461">
        <v>285000</v>
      </c>
      <c r="F215" s="461">
        <f t="shared" si="8"/>
        <v>285000</v>
      </c>
      <c r="G215" s="461"/>
      <c r="H215" s="461"/>
      <c r="I215" s="461"/>
      <c r="J215" s="461"/>
      <c r="K215" s="461">
        <f t="shared" si="9"/>
        <v>285000</v>
      </c>
    </row>
    <row r="216" spans="1:11" ht="16.5">
      <c r="A216" s="459">
        <v>181</v>
      </c>
      <c r="B216" s="460" t="s">
        <v>3152</v>
      </c>
      <c r="C216" s="459" t="s">
        <v>1810</v>
      </c>
      <c r="D216" s="459"/>
      <c r="E216" s="461">
        <v>50000</v>
      </c>
      <c r="F216" s="461">
        <f t="shared" si="8"/>
        <v>50000</v>
      </c>
      <c r="G216" s="461"/>
      <c r="H216" s="461"/>
      <c r="I216" s="461"/>
      <c r="J216" s="461"/>
      <c r="K216" s="461">
        <f t="shared" si="9"/>
        <v>50000</v>
      </c>
    </row>
    <row r="217" spans="1:11" ht="16.5">
      <c r="A217" s="459">
        <v>181</v>
      </c>
      <c r="B217" s="460" t="s">
        <v>3153</v>
      </c>
      <c r="C217" s="459" t="s">
        <v>1810</v>
      </c>
      <c r="D217" s="459"/>
      <c r="E217" s="461">
        <v>50000</v>
      </c>
      <c r="F217" s="461">
        <f t="shared" si="8"/>
        <v>50000</v>
      </c>
      <c r="G217" s="461"/>
      <c r="H217" s="461"/>
      <c r="I217" s="461"/>
      <c r="J217" s="461"/>
      <c r="K217" s="461">
        <f t="shared" si="9"/>
        <v>50000</v>
      </c>
    </row>
  </sheetData>
  <mergeCells count="10">
    <mergeCell ref="A1:B1"/>
    <mergeCell ref="A2:K2"/>
    <mergeCell ref="A4:K4"/>
    <mergeCell ref="A6:A7"/>
    <mergeCell ref="K6:K7"/>
    <mergeCell ref="B6:B7"/>
    <mergeCell ref="C6:C7"/>
    <mergeCell ref="D6:D7"/>
    <mergeCell ref="F6:H6"/>
    <mergeCell ref="J6:J7"/>
  </mergeCells>
  <conditionalFormatting sqref="B116:B122">
    <cfRule type="expression" dxfId="508" priority="2013">
      <formula>$G116="NC"</formula>
    </cfRule>
    <cfRule type="expression" dxfId="507" priority="2014">
      <formula>$G116="VL"</formula>
    </cfRule>
    <cfRule type="expression" dxfId="506" priority="2015">
      <formula>$AB116=5</formula>
    </cfRule>
    <cfRule type="expression" dxfId="505" priority="2016">
      <formula>$AB116=4</formula>
    </cfRule>
    <cfRule type="expression" dxfId="504" priority="2017">
      <formula>$AB116=3</formula>
    </cfRule>
    <cfRule type="expression" dxfId="503" priority="2018">
      <formula>$AB116=2</formula>
    </cfRule>
    <cfRule type="expression" dxfId="502" priority="2019">
      <formula>$AB116=1</formula>
    </cfRule>
  </conditionalFormatting>
  <conditionalFormatting sqref="B71:C73">
    <cfRule type="expression" dxfId="501" priority="2020">
      <formula>$F71="NC"</formula>
    </cfRule>
    <cfRule type="expression" dxfId="500" priority="2021">
      <formula>$F71="VL"</formula>
    </cfRule>
    <cfRule type="expression" dxfId="499" priority="2022">
      <formula>$AA71=5</formula>
    </cfRule>
    <cfRule type="expression" dxfId="498" priority="2023">
      <formula>$AA71=4</formula>
    </cfRule>
    <cfRule type="expression" dxfId="497" priority="2024">
      <formula>$AA71=3</formula>
    </cfRule>
    <cfRule type="expression" dxfId="496" priority="2025">
      <formula>$AA71=2</formula>
    </cfRule>
    <cfRule type="expression" dxfId="495" priority="2026">
      <formula>$AA71=1</formula>
    </cfRule>
  </conditionalFormatting>
  <pageMargins left="0.7" right="0.7" top="0.75" bottom="0.75" header="0.3" footer="0.3"/>
  <pageSetup orientation="portrait" verticalDpi="0"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O111"/>
  <sheetViews>
    <sheetView topLeftCell="A15" workbookViewId="0">
      <selection activeCell="D45" sqref="D45"/>
    </sheetView>
  </sheetViews>
  <sheetFormatPr defaultColWidth="9.140625" defaultRowHeight="15.75"/>
  <cols>
    <col min="1" max="1" width="9.140625" style="410" customWidth="1"/>
    <col min="2" max="2" width="4.7109375" style="410" bestFit="1" customWidth="1"/>
    <col min="3" max="3" width="23.28515625" style="410" bestFit="1" customWidth="1"/>
    <col min="4" max="4" width="50.7109375" style="410" bestFit="1" customWidth="1"/>
    <col min="5" max="5" width="11.7109375" style="410" bestFit="1" customWidth="1"/>
    <col min="6" max="6" width="8.140625" style="415" bestFit="1" customWidth="1"/>
    <col min="7" max="7" width="9.7109375" style="410" bestFit="1" customWidth="1"/>
    <col min="8" max="8" width="12" style="410" bestFit="1" customWidth="1"/>
    <col min="9" max="9" width="8.7109375" style="410" customWidth="1"/>
    <col min="10" max="10" width="9.42578125" style="410" customWidth="1"/>
    <col min="11" max="11" width="9.28515625" style="410" customWidth="1"/>
    <col min="12" max="15" width="9.140625" style="411"/>
    <col min="16" max="16384" width="9.140625" style="410"/>
  </cols>
  <sheetData>
    <row r="2" spans="2:8">
      <c r="B2" s="1515" t="s">
        <v>3128</v>
      </c>
      <c r="C2" s="1515"/>
      <c r="D2" s="1515"/>
      <c r="E2" s="1515"/>
      <c r="F2" s="1515"/>
      <c r="G2" s="1515"/>
      <c r="H2" s="1515"/>
    </row>
    <row r="4" spans="2:8">
      <c r="B4" s="1514" t="s">
        <v>3129</v>
      </c>
      <c r="C4" s="1514"/>
      <c r="D4" s="1514"/>
      <c r="E4" s="1514"/>
      <c r="F4" s="1514"/>
      <c r="G4" s="1514"/>
      <c r="H4" s="1514"/>
    </row>
    <row r="6" spans="2:8" ht="25.5">
      <c r="B6" s="334" t="s">
        <v>0</v>
      </c>
      <c r="C6" s="334" t="s">
        <v>29</v>
      </c>
      <c r="D6" s="334" t="s">
        <v>30</v>
      </c>
      <c r="E6" s="334" t="s">
        <v>31</v>
      </c>
      <c r="F6" s="416" t="s">
        <v>32</v>
      </c>
      <c r="G6" s="334" t="s">
        <v>33</v>
      </c>
      <c r="H6" s="334" t="s">
        <v>34</v>
      </c>
    </row>
    <row r="7" spans="2:8">
      <c r="B7" s="412" t="s">
        <v>7</v>
      </c>
      <c r="C7" s="412" t="s">
        <v>3121</v>
      </c>
      <c r="D7" s="412"/>
      <c r="E7" s="412"/>
      <c r="F7" s="417"/>
      <c r="G7" s="412"/>
      <c r="H7" s="412"/>
    </row>
    <row r="8" spans="2:8">
      <c r="B8" s="422" t="s">
        <v>42</v>
      </c>
      <c r="C8" s="422" t="s">
        <v>2692</v>
      </c>
      <c r="D8" s="422" t="s">
        <v>202</v>
      </c>
      <c r="E8" s="423" t="s">
        <v>160</v>
      </c>
      <c r="F8" s="424">
        <v>1</v>
      </c>
      <c r="G8" s="423"/>
      <c r="H8" s="423"/>
    </row>
    <row r="9" spans="2:8">
      <c r="B9" s="423"/>
      <c r="C9" s="423"/>
      <c r="D9" s="425" t="s">
        <v>3110</v>
      </c>
      <c r="E9" s="425"/>
      <c r="F9" s="426"/>
      <c r="G9" s="425"/>
      <c r="H9" s="425">
        <f>SUM(H10:H17)</f>
        <v>42874.879077658174</v>
      </c>
    </row>
    <row r="10" spans="2:8">
      <c r="B10" s="423"/>
      <c r="C10" s="423"/>
      <c r="D10" s="423" t="s">
        <v>2677</v>
      </c>
      <c r="E10" s="423" t="s">
        <v>2676</v>
      </c>
      <c r="F10" s="424">
        <v>1.085</v>
      </c>
      <c r="G10" s="423">
        <v>1720.65</v>
      </c>
      <c r="H10" s="423">
        <f>F10*G10</f>
        <v>1866.90525</v>
      </c>
    </row>
    <row r="11" spans="2:8">
      <c r="B11" s="423"/>
      <c r="C11" s="423"/>
      <c r="D11" s="423" t="s">
        <v>3111</v>
      </c>
      <c r="E11" s="423" t="s">
        <v>49</v>
      </c>
      <c r="F11" s="424">
        <v>0.27100000000000002</v>
      </c>
      <c r="G11" s="423">
        <v>10000</v>
      </c>
      <c r="H11" s="423">
        <f t="shared" ref="H11:H17" si="0">F11*G11</f>
        <v>2710</v>
      </c>
    </row>
    <row r="12" spans="2:8">
      <c r="B12" s="423"/>
      <c r="C12" s="423"/>
      <c r="D12" s="423" t="s">
        <v>2682</v>
      </c>
      <c r="E12" s="423" t="s">
        <v>45</v>
      </c>
      <c r="F12" s="424">
        <v>0.27100000000000002</v>
      </c>
      <c r="G12" s="423">
        <v>10000</v>
      </c>
      <c r="H12" s="423">
        <f t="shared" si="0"/>
        <v>2710</v>
      </c>
    </row>
    <row r="13" spans="2:8">
      <c r="B13" s="423"/>
      <c r="C13" s="423"/>
      <c r="D13" s="423" t="s">
        <v>2691</v>
      </c>
      <c r="E13" s="423" t="s">
        <v>2690</v>
      </c>
      <c r="F13" s="424">
        <v>0.54300000000000004</v>
      </c>
      <c r="G13" s="423">
        <v>10000</v>
      </c>
      <c r="H13" s="423">
        <f t="shared" si="0"/>
        <v>5430</v>
      </c>
    </row>
    <row r="14" spans="2:8">
      <c r="B14" s="423"/>
      <c r="C14" s="423"/>
      <c r="D14" s="423" t="s">
        <v>2681</v>
      </c>
      <c r="E14" s="423" t="s">
        <v>45</v>
      </c>
      <c r="F14" s="424">
        <v>0.27100000000000002</v>
      </c>
      <c r="G14" s="423">
        <v>20000</v>
      </c>
      <c r="H14" s="423">
        <f t="shared" si="0"/>
        <v>5420</v>
      </c>
    </row>
    <row r="15" spans="2:8">
      <c r="B15" s="423"/>
      <c r="C15" s="423"/>
      <c r="D15" s="423" t="s">
        <v>3112</v>
      </c>
      <c r="E15" s="423" t="s">
        <v>3113</v>
      </c>
      <c r="F15" s="424">
        <v>0.27100000000000002</v>
      </c>
      <c r="G15" s="423">
        <v>4545.454545454545</v>
      </c>
      <c r="H15" s="423">
        <f t="shared" si="0"/>
        <v>1231.8181818181818</v>
      </c>
    </row>
    <row r="16" spans="2:8">
      <c r="B16" s="423"/>
      <c r="C16" s="423"/>
      <c r="D16" s="423" t="s">
        <v>3114</v>
      </c>
      <c r="E16" s="423" t="s">
        <v>49</v>
      </c>
      <c r="F16" s="424">
        <v>1.085</v>
      </c>
      <c r="G16" s="423">
        <v>13365.726224</v>
      </c>
      <c r="H16" s="423">
        <f t="shared" si="0"/>
        <v>14501.81295304</v>
      </c>
    </row>
    <row r="17" spans="2:8">
      <c r="B17" s="423"/>
      <c r="C17" s="423"/>
      <c r="D17" s="423" t="s">
        <v>3115</v>
      </c>
      <c r="E17" s="423" t="s">
        <v>49</v>
      </c>
      <c r="F17" s="424">
        <v>0.27100000000000002</v>
      </c>
      <c r="G17" s="423">
        <v>33226.356800000001</v>
      </c>
      <c r="H17" s="423">
        <f t="shared" si="0"/>
        <v>9004.3426928000008</v>
      </c>
    </row>
    <row r="18" spans="2:8">
      <c r="B18" s="412"/>
      <c r="C18" s="412"/>
      <c r="D18" s="425" t="s">
        <v>3116</v>
      </c>
      <c r="E18" s="425"/>
      <c r="F18" s="426"/>
      <c r="G18" s="425"/>
      <c r="H18" s="425">
        <f>SUM(H19:H20)</f>
        <v>1456666.2399999998</v>
      </c>
    </row>
    <row r="19" spans="2:8">
      <c r="B19" s="412"/>
      <c r="C19" s="412"/>
      <c r="D19" s="423" t="s">
        <v>2675</v>
      </c>
      <c r="E19" s="423" t="s">
        <v>2674</v>
      </c>
      <c r="F19" s="424">
        <v>3.28</v>
      </c>
      <c r="G19" s="423">
        <v>318196</v>
      </c>
      <c r="H19" s="423">
        <f>F19*G19</f>
        <v>1043682.8799999999</v>
      </c>
    </row>
    <row r="20" spans="2:8">
      <c r="B20" s="412"/>
      <c r="C20" s="412"/>
      <c r="D20" s="423" t="s">
        <v>3117</v>
      </c>
      <c r="E20" s="423" t="s">
        <v>2674</v>
      </c>
      <c r="F20" s="424">
        <v>1.41</v>
      </c>
      <c r="G20" s="423">
        <v>292896</v>
      </c>
      <c r="H20" s="423">
        <f>F20*G20</f>
        <v>412983.36</v>
      </c>
    </row>
    <row r="21" spans="2:8">
      <c r="B21" s="423"/>
      <c r="C21" s="423"/>
      <c r="D21" s="425" t="s">
        <v>3118</v>
      </c>
      <c r="E21" s="425"/>
      <c r="F21" s="426"/>
      <c r="G21" s="425"/>
      <c r="H21" s="425">
        <f>SUM(H22:H26)</f>
        <v>129745.71731699999</v>
      </c>
    </row>
    <row r="22" spans="2:8">
      <c r="B22" s="423"/>
      <c r="C22" s="423"/>
      <c r="D22" s="423" t="s">
        <v>2679</v>
      </c>
      <c r="E22" s="423" t="s">
        <v>2673</v>
      </c>
      <c r="F22" s="424">
        <v>0.14399999999999999</v>
      </c>
      <c r="G22" s="423">
        <v>23557.5</v>
      </c>
      <c r="H22" s="423">
        <f>F22*G22</f>
        <v>3392.2799999999997</v>
      </c>
    </row>
    <row r="23" spans="2:8">
      <c r="B23" s="423"/>
      <c r="C23" s="423"/>
      <c r="D23" s="423" t="s">
        <v>2686</v>
      </c>
      <c r="E23" s="423" t="s">
        <v>2673</v>
      </c>
      <c r="F23" s="424">
        <v>0.13900000000000001</v>
      </c>
      <c r="G23" s="423">
        <v>222323.12099999998</v>
      </c>
      <c r="H23" s="423">
        <f>F23*G23</f>
        <v>30902.913819000001</v>
      </c>
    </row>
    <row r="24" spans="2:8">
      <c r="B24" s="423"/>
      <c r="C24" s="423"/>
      <c r="D24" s="423" t="s">
        <v>3119</v>
      </c>
      <c r="E24" s="423" t="s">
        <v>2673</v>
      </c>
      <c r="F24" s="424">
        <v>0.185</v>
      </c>
      <c r="G24" s="423">
        <v>414420.39899999998</v>
      </c>
      <c r="H24" s="423">
        <f>F24*G24</f>
        <v>76667.773814999993</v>
      </c>
    </row>
    <row r="25" spans="2:8">
      <c r="B25" s="423"/>
      <c r="C25" s="423"/>
      <c r="D25" s="423" t="s">
        <v>3120</v>
      </c>
      <c r="E25" s="423" t="s">
        <v>2673</v>
      </c>
      <c r="F25" s="424">
        <v>0.14399999999999999</v>
      </c>
      <c r="G25" s="423">
        <v>78727.070999999996</v>
      </c>
      <c r="H25" s="423">
        <f>F25*G25</f>
        <v>11336.698223999998</v>
      </c>
    </row>
    <row r="26" spans="2:8">
      <c r="B26" s="423"/>
      <c r="C26" s="423"/>
      <c r="D26" s="423" t="s">
        <v>2678</v>
      </c>
      <c r="E26" s="423" t="s">
        <v>2673</v>
      </c>
      <c r="F26" s="424">
        <v>0.23100000000000001</v>
      </c>
      <c r="G26" s="423">
        <v>32233.988999999998</v>
      </c>
      <c r="H26" s="423">
        <f>F26*G26</f>
        <v>7446.0514590000002</v>
      </c>
    </row>
    <row r="27" spans="2:8">
      <c r="B27" s="540">
        <v>2</v>
      </c>
      <c r="C27" s="540" t="s">
        <v>2692</v>
      </c>
      <c r="D27" s="540" t="s">
        <v>202</v>
      </c>
      <c r="E27" s="541" t="s">
        <v>160</v>
      </c>
      <c r="F27" s="542">
        <v>1</v>
      </c>
      <c r="G27" s="541"/>
      <c r="H27" s="541"/>
    </row>
    <row r="28" spans="2:8">
      <c r="B28" s="541"/>
      <c r="C28" s="541"/>
      <c r="D28" s="543" t="s">
        <v>3110</v>
      </c>
      <c r="E28" s="543"/>
      <c r="F28" s="542"/>
      <c r="G28" s="543"/>
      <c r="H28" s="543">
        <f>SUM(H29:H36)</f>
        <v>71152.792308654549</v>
      </c>
    </row>
    <row r="29" spans="2:8">
      <c r="B29" s="541"/>
      <c r="C29" s="541"/>
      <c r="D29" s="541" t="s">
        <v>2677</v>
      </c>
      <c r="E29" s="541" t="s">
        <v>2676</v>
      </c>
      <c r="F29" s="542">
        <v>1.8</v>
      </c>
      <c r="G29" s="541">
        <v>1720.65</v>
      </c>
      <c r="H29" s="541">
        <f>F29*G29</f>
        <v>3097.17</v>
      </c>
    </row>
    <row r="30" spans="2:8">
      <c r="B30" s="541"/>
      <c r="C30" s="541"/>
      <c r="D30" s="541" t="s">
        <v>3111</v>
      </c>
      <c r="E30" s="541" t="s">
        <v>49</v>
      </c>
      <c r="F30" s="542">
        <v>0.45</v>
      </c>
      <c r="G30" s="541">
        <v>10000</v>
      </c>
      <c r="H30" s="541">
        <f t="shared" ref="H30:H36" si="1">F30*G30</f>
        <v>4500</v>
      </c>
    </row>
    <row r="31" spans="2:8">
      <c r="B31" s="541"/>
      <c r="C31" s="541"/>
      <c r="D31" s="541" t="s">
        <v>2682</v>
      </c>
      <c r="E31" s="541" t="s">
        <v>45</v>
      </c>
      <c r="F31" s="542">
        <v>0.45</v>
      </c>
      <c r="G31" s="541">
        <v>10000</v>
      </c>
      <c r="H31" s="541">
        <f t="shared" si="1"/>
        <v>4500</v>
      </c>
    </row>
    <row r="32" spans="2:8">
      <c r="B32" s="541"/>
      <c r="C32" s="541"/>
      <c r="D32" s="541" t="s">
        <v>2691</v>
      </c>
      <c r="E32" s="541" t="s">
        <v>2690</v>
      </c>
      <c r="F32" s="542">
        <v>0.9</v>
      </c>
      <c r="G32" s="541">
        <v>10000</v>
      </c>
      <c r="H32" s="541">
        <f t="shared" si="1"/>
        <v>9000</v>
      </c>
    </row>
    <row r="33" spans="2:8">
      <c r="B33" s="541"/>
      <c r="C33" s="541"/>
      <c r="D33" s="541" t="s">
        <v>2681</v>
      </c>
      <c r="E33" s="541" t="s">
        <v>45</v>
      </c>
      <c r="F33" s="542">
        <v>0.45</v>
      </c>
      <c r="G33" s="541">
        <v>20000</v>
      </c>
      <c r="H33" s="541">
        <f t="shared" si="1"/>
        <v>9000</v>
      </c>
    </row>
    <row r="34" spans="2:8">
      <c r="B34" s="541"/>
      <c r="C34" s="541"/>
      <c r="D34" s="541" t="s">
        <v>3112</v>
      </c>
      <c r="E34" s="541" t="s">
        <v>3113</v>
      </c>
      <c r="F34" s="542">
        <v>0.45</v>
      </c>
      <c r="G34" s="541">
        <v>4545.454545454545</v>
      </c>
      <c r="H34" s="541">
        <f t="shared" si="1"/>
        <v>2045.4545454545453</v>
      </c>
    </row>
    <row r="35" spans="2:8">
      <c r="B35" s="541"/>
      <c r="C35" s="541"/>
      <c r="D35" s="541" t="s">
        <v>3114</v>
      </c>
      <c r="E35" s="541" t="s">
        <v>49</v>
      </c>
      <c r="F35" s="542">
        <v>1.8</v>
      </c>
      <c r="G35" s="541">
        <v>13365.726224</v>
      </c>
      <c r="H35" s="541">
        <f t="shared" si="1"/>
        <v>24058.307203200002</v>
      </c>
    </row>
    <row r="36" spans="2:8">
      <c r="B36" s="541"/>
      <c r="C36" s="541"/>
      <c r="D36" s="541" t="s">
        <v>3115</v>
      </c>
      <c r="E36" s="541" t="s">
        <v>49</v>
      </c>
      <c r="F36" s="542">
        <v>0.45</v>
      </c>
      <c r="G36" s="541">
        <v>33226.356800000001</v>
      </c>
      <c r="H36" s="541">
        <f t="shared" si="1"/>
        <v>14951.860560000001</v>
      </c>
    </row>
    <row r="37" spans="2:8">
      <c r="B37" s="544"/>
      <c r="C37" s="544"/>
      <c r="D37" s="543" t="s">
        <v>3116</v>
      </c>
      <c r="E37" s="543"/>
      <c r="F37" s="542"/>
      <c r="G37" s="543"/>
      <c r="H37" s="543">
        <f>SUM(H38:H39)</f>
        <v>2413433.9200000004</v>
      </c>
    </row>
    <row r="38" spans="2:8">
      <c r="B38" s="544"/>
      <c r="C38" s="544"/>
      <c r="D38" s="541" t="s">
        <v>2675</v>
      </c>
      <c r="E38" s="541" t="s">
        <v>2674</v>
      </c>
      <c r="F38" s="542">
        <v>5.44</v>
      </c>
      <c r="G38" s="541">
        <v>318196</v>
      </c>
      <c r="H38" s="541">
        <f>F38*G38</f>
        <v>1730986.2400000002</v>
      </c>
    </row>
    <row r="39" spans="2:8">
      <c r="B39" s="544"/>
      <c r="C39" s="544"/>
      <c r="D39" s="541" t="s">
        <v>3117</v>
      </c>
      <c r="E39" s="541" t="s">
        <v>2674</v>
      </c>
      <c r="F39" s="542">
        <v>2.33</v>
      </c>
      <c r="G39" s="541">
        <v>292896</v>
      </c>
      <c r="H39" s="541">
        <f>F39*G39</f>
        <v>682447.68</v>
      </c>
    </row>
    <row r="40" spans="2:8">
      <c r="B40" s="541"/>
      <c r="C40" s="541"/>
      <c r="D40" s="543" t="s">
        <v>3118</v>
      </c>
      <c r="E40" s="543"/>
      <c r="F40" s="542"/>
      <c r="G40" s="543"/>
      <c r="H40" s="543">
        <f>SUM(H41:H45)</f>
        <v>173727.39706199997</v>
      </c>
    </row>
    <row r="41" spans="2:8">
      <c r="B41" s="541"/>
      <c r="C41" s="541"/>
      <c r="D41" s="541" t="s">
        <v>2679</v>
      </c>
      <c r="E41" s="541" t="s">
        <v>2673</v>
      </c>
      <c r="F41" s="542">
        <v>0.18</v>
      </c>
      <c r="G41" s="541">
        <v>23557.5</v>
      </c>
      <c r="H41" s="541">
        <f>F41*G41</f>
        <v>4240.3499999999995</v>
      </c>
    </row>
    <row r="42" spans="2:8">
      <c r="B42" s="541"/>
      <c r="C42" s="541"/>
      <c r="D42" s="541" t="s">
        <v>2686</v>
      </c>
      <c r="E42" s="541" t="s">
        <v>2673</v>
      </c>
      <c r="F42" s="542">
        <v>0.22700000000000001</v>
      </c>
      <c r="G42" s="541">
        <v>222323.12099999998</v>
      </c>
      <c r="H42" s="541">
        <f>F42*G42</f>
        <v>50467.348466999996</v>
      </c>
    </row>
    <row r="43" spans="2:8">
      <c r="B43" s="541"/>
      <c r="C43" s="541"/>
      <c r="D43" s="541" t="s">
        <v>3119</v>
      </c>
      <c r="E43" s="541" t="s">
        <v>2673</v>
      </c>
      <c r="F43" s="542">
        <v>0.22500000000000001</v>
      </c>
      <c r="G43" s="541">
        <v>414420.39899999998</v>
      </c>
      <c r="H43" s="541">
        <f>F43*G43</f>
        <v>93244.589775</v>
      </c>
    </row>
    <row r="44" spans="2:8">
      <c r="B44" s="541"/>
      <c r="C44" s="541"/>
      <c r="D44" s="541" t="s">
        <v>3120</v>
      </c>
      <c r="E44" s="541" t="s">
        <v>2673</v>
      </c>
      <c r="F44" s="542">
        <v>0.18</v>
      </c>
      <c r="G44" s="541">
        <v>78727.070999999996</v>
      </c>
      <c r="H44" s="541">
        <f>F44*G44</f>
        <v>14170.87278</v>
      </c>
    </row>
    <row r="45" spans="2:8">
      <c r="B45" s="541"/>
      <c r="C45" s="541"/>
      <c r="D45" s="541" t="s">
        <v>2678</v>
      </c>
      <c r="E45" s="541" t="s">
        <v>2673</v>
      </c>
      <c r="F45" s="542">
        <v>0.36</v>
      </c>
      <c r="G45" s="541">
        <v>32233.988999999998</v>
      </c>
      <c r="H45" s="541">
        <f>F45*G45</f>
        <v>11604.236039999998</v>
      </c>
    </row>
    <row r="46" spans="2:8">
      <c r="B46" s="422">
        <v>3</v>
      </c>
      <c r="C46" s="422" t="s">
        <v>203</v>
      </c>
      <c r="D46" s="422" t="s">
        <v>3122</v>
      </c>
      <c r="E46" s="423" t="s">
        <v>51</v>
      </c>
      <c r="F46" s="424">
        <v>1</v>
      </c>
      <c r="G46" s="423"/>
      <c r="H46" s="423"/>
    </row>
    <row r="47" spans="2:8">
      <c r="B47" s="423"/>
      <c r="C47" s="423"/>
      <c r="D47" s="425" t="s">
        <v>3110</v>
      </c>
      <c r="E47" s="425"/>
      <c r="F47" s="424"/>
      <c r="G47" s="425"/>
      <c r="H47" s="425">
        <f>SUM(H48:H53)</f>
        <v>6362.0675175272727</v>
      </c>
    </row>
    <row r="48" spans="2:8">
      <c r="B48" s="423"/>
      <c r="C48" s="423"/>
      <c r="D48" s="423" t="s">
        <v>2677</v>
      </c>
      <c r="E48" s="423" t="s">
        <v>2676</v>
      </c>
      <c r="F48" s="424">
        <v>0.3</v>
      </c>
      <c r="G48" s="423">
        <v>1720.65</v>
      </c>
      <c r="H48" s="423">
        <f t="shared" ref="H48:H53" si="2">F48*G48</f>
        <v>516.19500000000005</v>
      </c>
    </row>
    <row r="49" spans="2:15">
      <c r="B49" s="423"/>
      <c r="C49" s="423"/>
      <c r="D49" s="423" t="s">
        <v>2682</v>
      </c>
      <c r="E49" s="423" t="s">
        <v>45</v>
      </c>
      <c r="F49" s="424">
        <v>0.05</v>
      </c>
      <c r="G49" s="423">
        <v>10000</v>
      </c>
      <c r="H49" s="423">
        <f t="shared" si="2"/>
        <v>500</v>
      </c>
    </row>
    <row r="50" spans="2:15">
      <c r="B50" s="423"/>
      <c r="C50" s="423"/>
      <c r="D50" s="423" t="s">
        <v>3112</v>
      </c>
      <c r="E50" s="423" t="s">
        <v>3113</v>
      </c>
      <c r="F50" s="424">
        <v>0.06</v>
      </c>
      <c r="G50" s="423">
        <v>4545.454545454545</v>
      </c>
      <c r="H50" s="423">
        <f t="shared" si="2"/>
        <v>272.72727272727269</v>
      </c>
    </row>
    <row r="51" spans="2:15">
      <c r="B51" s="423"/>
      <c r="C51" s="423"/>
      <c r="D51" s="423" t="s">
        <v>2681</v>
      </c>
      <c r="E51" s="423" t="s">
        <v>45</v>
      </c>
      <c r="F51" s="424">
        <v>0.1</v>
      </c>
      <c r="G51" s="423">
        <v>20000</v>
      </c>
      <c r="H51" s="423">
        <f t="shared" si="2"/>
        <v>2000</v>
      </c>
    </row>
    <row r="52" spans="2:15">
      <c r="B52" s="423"/>
      <c r="C52" s="423"/>
      <c r="D52" s="423" t="s">
        <v>2691</v>
      </c>
      <c r="E52" s="423" t="s">
        <v>2690</v>
      </c>
      <c r="F52" s="424">
        <v>0.04</v>
      </c>
      <c r="G52" s="423">
        <v>10000</v>
      </c>
      <c r="H52" s="423">
        <f t="shared" si="2"/>
        <v>400</v>
      </c>
    </row>
    <row r="53" spans="2:15">
      <c r="B53" s="423"/>
      <c r="C53" s="423"/>
      <c r="D53" s="423" t="s">
        <v>3114</v>
      </c>
      <c r="E53" s="423" t="s">
        <v>49</v>
      </c>
      <c r="F53" s="424">
        <v>0.2</v>
      </c>
      <c r="G53" s="423">
        <v>13365.726224</v>
      </c>
      <c r="H53" s="423">
        <f t="shared" si="2"/>
        <v>2673.1452448</v>
      </c>
    </row>
    <row r="54" spans="2:15" s="418" customFormat="1">
      <c r="B54" s="413"/>
      <c r="C54" s="413"/>
      <c r="D54" s="425" t="s">
        <v>3116</v>
      </c>
      <c r="E54" s="425"/>
      <c r="F54" s="426"/>
      <c r="G54" s="425"/>
      <c r="H54" s="425">
        <f>SUM(H55:H56)</f>
        <v>509444.43999999994</v>
      </c>
      <c r="L54" s="419"/>
      <c r="M54" s="419"/>
      <c r="N54" s="419"/>
      <c r="O54" s="419"/>
    </row>
    <row r="55" spans="2:15">
      <c r="B55" s="412"/>
      <c r="C55" s="412"/>
      <c r="D55" s="423" t="s">
        <v>2675</v>
      </c>
      <c r="E55" s="423" t="s">
        <v>2674</v>
      </c>
      <c r="F55" s="424">
        <v>1.1499999999999999</v>
      </c>
      <c r="G55" s="423">
        <v>318196</v>
      </c>
      <c r="H55" s="423">
        <f>F55*G55</f>
        <v>365925.39999999997</v>
      </c>
    </row>
    <row r="56" spans="2:15">
      <c r="B56" s="412"/>
      <c r="C56" s="412"/>
      <c r="D56" s="423" t="s">
        <v>3117</v>
      </c>
      <c r="E56" s="423" t="s">
        <v>2674</v>
      </c>
      <c r="F56" s="424">
        <v>0.49</v>
      </c>
      <c r="G56" s="423">
        <v>292896</v>
      </c>
      <c r="H56" s="423">
        <f>F56*G56</f>
        <v>143519.04000000001</v>
      </c>
    </row>
    <row r="57" spans="2:15" s="418" customFormat="1">
      <c r="B57" s="413"/>
      <c r="C57" s="413"/>
      <c r="D57" s="425" t="s">
        <v>3118</v>
      </c>
      <c r="E57" s="425"/>
      <c r="F57" s="426"/>
      <c r="G57" s="425"/>
      <c r="H57" s="425">
        <f>SUM(H58:H61)</f>
        <v>30775.690755</v>
      </c>
      <c r="L57" s="419"/>
      <c r="M57" s="419"/>
      <c r="N57" s="419"/>
      <c r="O57" s="419"/>
    </row>
    <row r="58" spans="2:15">
      <c r="B58" s="412"/>
      <c r="C58" s="412"/>
      <c r="D58" s="423" t="s">
        <v>2679</v>
      </c>
      <c r="E58" s="423" t="s">
        <v>2673</v>
      </c>
      <c r="F58" s="424">
        <v>0.04</v>
      </c>
      <c r="G58" s="423">
        <v>23557.5</v>
      </c>
      <c r="H58" s="423">
        <f>F58*G58</f>
        <v>942.30000000000007</v>
      </c>
    </row>
    <row r="59" spans="2:15">
      <c r="B59" s="412"/>
      <c r="C59" s="412"/>
      <c r="D59" s="423" t="s">
        <v>3119</v>
      </c>
      <c r="E59" s="423" t="s">
        <v>2673</v>
      </c>
      <c r="F59" s="424">
        <v>0.05</v>
      </c>
      <c r="G59" s="423">
        <v>414420.39899999998</v>
      </c>
      <c r="H59" s="423">
        <f>F59*G59</f>
        <v>20721.019950000002</v>
      </c>
    </row>
    <row r="60" spans="2:15">
      <c r="B60" s="412"/>
      <c r="C60" s="412"/>
      <c r="D60" s="423" t="s">
        <v>3120</v>
      </c>
      <c r="E60" s="423" t="s">
        <v>2673</v>
      </c>
      <c r="F60" s="424">
        <v>0.04</v>
      </c>
      <c r="G60" s="423">
        <v>78727.070999999996</v>
      </c>
      <c r="H60" s="423">
        <f>F60*G60</f>
        <v>3149.08284</v>
      </c>
    </row>
    <row r="61" spans="2:15">
      <c r="B61" s="412"/>
      <c r="C61" s="412"/>
      <c r="D61" s="423" t="s">
        <v>2678</v>
      </c>
      <c r="E61" s="423" t="s">
        <v>2673</v>
      </c>
      <c r="F61" s="424">
        <v>0.185</v>
      </c>
      <c r="G61" s="423">
        <v>32233.988999999998</v>
      </c>
      <c r="H61" s="423">
        <f>F61*G61</f>
        <v>5963.2879649999995</v>
      </c>
    </row>
    <row r="62" spans="2:15" s="420" customFormat="1">
      <c r="B62" s="422">
        <v>4</v>
      </c>
      <c r="C62" s="422" t="s">
        <v>203</v>
      </c>
      <c r="D62" s="422" t="s">
        <v>3123</v>
      </c>
      <c r="E62" s="422" t="s">
        <v>51</v>
      </c>
      <c r="F62" s="427">
        <v>1</v>
      </c>
      <c r="G62" s="422"/>
      <c r="H62" s="422"/>
      <c r="L62" s="421"/>
      <c r="M62" s="421"/>
      <c r="N62" s="421"/>
      <c r="O62" s="421"/>
    </row>
    <row r="63" spans="2:15" s="418" customFormat="1">
      <c r="B63" s="425"/>
      <c r="C63" s="425"/>
      <c r="D63" s="425" t="s">
        <v>3110</v>
      </c>
      <c r="E63" s="425"/>
      <c r="F63" s="426"/>
      <c r="G63" s="425"/>
      <c r="H63" s="425">
        <f>SUM(H64:H69)</f>
        <v>5089.6540140218185</v>
      </c>
      <c r="L63" s="419"/>
      <c r="M63" s="419"/>
      <c r="N63" s="419"/>
      <c r="O63" s="419"/>
    </row>
    <row r="64" spans="2:15">
      <c r="B64" s="423"/>
      <c r="C64" s="423"/>
      <c r="D64" s="423" t="s">
        <v>2677</v>
      </c>
      <c r="E64" s="423" t="s">
        <v>2676</v>
      </c>
      <c r="F64" s="424">
        <f>F48*0.8</f>
        <v>0.24</v>
      </c>
      <c r="G64" s="423">
        <v>1720.65</v>
      </c>
      <c r="H64" s="423">
        <f t="shared" ref="H64:H69" si="3">F64*G64</f>
        <v>412.95600000000002</v>
      </c>
    </row>
    <row r="65" spans="2:15">
      <c r="B65" s="423"/>
      <c r="C65" s="423"/>
      <c r="D65" s="423" t="s">
        <v>2682</v>
      </c>
      <c r="E65" s="423" t="s">
        <v>45</v>
      </c>
      <c r="F65" s="424">
        <f t="shared" ref="F65:F77" si="4">F49*0.8</f>
        <v>4.0000000000000008E-2</v>
      </c>
      <c r="G65" s="423">
        <v>10000</v>
      </c>
      <c r="H65" s="423">
        <f t="shared" si="3"/>
        <v>400.00000000000006</v>
      </c>
    </row>
    <row r="66" spans="2:15">
      <c r="B66" s="423"/>
      <c r="C66" s="423"/>
      <c r="D66" s="423" t="s">
        <v>3112</v>
      </c>
      <c r="E66" s="423" t="s">
        <v>3113</v>
      </c>
      <c r="F66" s="424">
        <f t="shared" si="4"/>
        <v>4.8000000000000001E-2</v>
      </c>
      <c r="G66" s="423">
        <v>4545.454545454545</v>
      </c>
      <c r="H66" s="423">
        <f t="shared" si="3"/>
        <v>218.18181818181816</v>
      </c>
    </row>
    <row r="67" spans="2:15">
      <c r="B67" s="423"/>
      <c r="C67" s="423"/>
      <c r="D67" s="423" t="s">
        <v>2681</v>
      </c>
      <c r="E67" s="423" t="s">
        <v>45</v>
      </c>
      <c r="F67" s="424">
        <f t="shared" si="4"/>
        <v>8.0000000000000016E-2</v>
      </c>
      <c r="G67" s="423">
        <v>20000</v>
      </c>
      <c r="H67" s="423">
        <f t="shared" si="3"/>
        <v>1600.0000000000002</v>
      </c>
    </row>
    <row r="68" spans="2:15">
      <c r="B68" s="423"/>
      <c r="C68" s="423"/>
      <c r="D68" s="423" t="s">
        <v>2691</v>
      </c>
      <c r="E68" s="423" t="s">
        <v>2690</v>
      </c>
      <c r="F68" s="424">
        <f t="shared" si="4"/>
        <v>3.2000000000000001E-2</v>
      </c>
      <c r="G68" s="423">
        <v>10000</v>
      </c>
      <c r="H68" s="423">
        <f t="shared" si="3"/>
        <v>320</v>
      </c>
    </row>
    <row r="69" spans="2:15">
      <c r="B69" s="423"/>
      <c r="C69" s="423"/>
      <c r="D69" s="423" t="s">
        <v>3114</v>
      </c>
      <c r="E69" s="423" t="s">
        <v>49</v>
      </c>
      <c r="F69" s="424">
        <f t="shared" si="4"/>
        <v>0.16000000000000003</v>
      </c>
      <c r="G69" s="423">
        <v>13365.726224</v>
      </c>
      <c r="H69" s="423">
        <f t="shared" si="3"/>
        <v>2138.5161958400004</v>
      </c>
    </row>
    <row r="70" spans="2:15" s="418" customFormat="1">
      <c r="B70" s="425"/>
      <c r="C70" s="425"/>
      <c r="D70" s="425" t="s">
        <v>3116</v>
      </c>
      <c r="E70" s="425"/>
      <c r="F70" s="424">
        <f t="shared" si="4"/>
        <v>0</v>
      </c>
      <c r="G70" s="425"/>
      <c r="H70" s="425">
        <f>SUM(H71:H72)</f>
        <v>407555.55199999997</v>
      </c>
      <c r="L70" s="419"/>
      <c r="M70" s="419"/>
      <c r="N70" s="419"/>
      <c r="O70" s="419"/>
    </row>
    <row r="71" spans="2:15">
      <c r="B71" s="423"/>
      <c r="C71" s="423"/>
      <c r="D71" s="423" t="s">
        <v>2675</v>
      </c>
      <c r="E71" s="423" t="s">
        <v>2674</v>
      </c>
      <c r="F71" s="424">
        <f t="shared" si="4"/>
        <v>0.91999999999999993</v>
      </c>
      <c r="G71" s="423">
        <v>318196</v>
      </c>
      <c r="H71" s="423">
        <f>F71*G71</f>
        <v>292740.31999999995</v>
      </c>
    </row>
    <row r="72" spans="2:15">
      <c r="B72" s="423"/>
      <c r="C72" s="423"/>
      <c r="D72" s="423" t="s">
        <v>3117</v>
      </c>
      <c r="E72" s="423" t="s">
        <v>2674</v>
      </c>
      <c r="F72" s="424">
        <f t="shared" si="4"/>
        <v>0.39200000000000002</v>
      </c>
      <c r="G72" s="423">
        <v>292896</v>
      </c>
      <c r="H72" s="423">
        <f>F72*G72</f>
        <v>114815.232</v>
      </c>
    </row>
    <row r="73" spans="2:15" s="418" customFormat="1">
      <c r="B73" s="425"/>
      <c r="C73" s="425"/>
      <c r="D73" s="425" t="s">
        <v>3118</v>
      </c>
      <c r="E73" s="425"/>
      <c r="F73" s="424">
        <f t="shared" si="4"/>
        <v>0</v>
      </c>
      <c r="G73" s="425"/>
      <c r="H73" s="425">
        <f>SUM(H74:H77)</f>
        <v>24620.552604000004</v>
      </c>
      <c r="L73" s="419"/>
      <c r="M73" s="419"/>
      <c r="N73" s="419"/>
      <c r="O73" s="419"/>
    </row>
    <row r="74" spans="2:15">
      <c r="B74" s="423"/>
      <c r="C74" s="423"/>
      <c r="D74" s="423" t="s">
        <v>2679</v>
      </c>
      <c r="E74" s="423" t="s">
        <v>2673</v>
      </c>
      <c r="F74" s="424">
        <f t="shared" si="4"/>
        <v>3.2000000000000001E-2</v>
      </c>
      <c r="G74" s="423">
        <v>23557.5</v>
      </c>
      <c r="H74" s="423">
        <f>F74*G74</f>
        <v>753.84</v>
      </c>
    </row>
    <row r="75" spans="2:15">
      <c r="B75" s="423"/>
      <c r="C75" s="423"/>
      <c r="D75" s="423" t="s">
        <v>3119</v>
      </c>
      <c r="E75" s="423" t="s">
        <v>2673</v>
      </c>
      <c r="F75" s="424">
        <f t="shared" si="4"/>
        <v>4.0000000000000008E-2</v>
      </c>
      <c r="G75" s="423">
        <v>414420.39899999998</v>
      </c>
      <c r="H75" s="423">
        <f>F75*G75</f>
        <v>16576.815960000004</v>
      </c>
    </row>
    <row r="76" spans="2:15">
      <c r="B76" s="423"/>
      <c r="C76" s="423"/>
      <c r="D76" s="423" t="s">
        <v>3120</v>
      </c>
      <c r="E76" s="423" t="s">
        <v>2673</v>
      </c>
      <c r="F76" s="424">
        <f t="shared" si="4"/>
        <v>3.2000000000000001E-2</v>
      </c>
      <c r="G76" s="423">
        <v>78727.070999999996</v>
      </c>
      <c r="H76" s="423">
        <f>F76*G76</f>
        <v>2519.2662719999998</v>
      </c>
    </row>
    <row r="77" spans="2:15">
      <c r="B77" s="423"/>
      <c r="C77" s="423"/>
      <c r="D77" s="423" t="s">
        <v>2678</v>
      </c>
      <c r="E77" s="423" t="s">
        <v>2673</v>
      </c>
      <c r="F77" s="424">
        <f t="shared" si="4"/>
        <v>0.14799999999999999</v>
      </c>
      <c r="G77" s="423">
        <v>32233.988999999998</v>
      </c>
      <c r="H77" s="423">
        <f>F77*G77</f>
        <v>4770.6303719999996</v>
      </c>
    </row>
    <row r="78" spans="2:15" s="420" customFormat="1">
      <c r="B78" s="422">
        <v>5</v>
      </c>
      <c r="C78" s="422" t="s">
        <v>2689</v>
      </c>
      <c r="D78" s="422" t="s">
        <v>3124</v>
      </c>
      <c r="E78" s="422" t="s">
        <v>3125</v>
      </c>
      <c r="F78" s="427">
        <v>1</v>
      </c>
      <c r="G78" s="422"/>
      <c r="H78" s="422"/>
      <c r="L78" s="421"/>
      <c r="M78" s="421"/>
      <c r="N78" s="421"/>
      <c r="O78" s="421"/>
    </row>
    <row r="79" spans="2:15" s="418" customFormat="1">
      <c r="B79" s="425"/>
      <c r="C79" s="425"/>
      <c r="D79" s="425" t="s">
        <v>3110</v>
      </c>
      <c r="E79" s="425"/>
      <c r="F79" s="426"/>
      <c r="G79" s="425"/>
      <c r="H79" s="425">
        <f>SUM(H80:H84)</f>
        <v>13551.983753960727</v>
      </c>
      <c r="L79" s="419"/>
      <c r="M79" s="419"/>
      <c r="N79" s="419"/>
      <c r="O79" s="419"/>
    </row>
    <row r="80" spans="2:15">
      <c r="B80" s="423"/>
      <c r="C80" s="423"/>
      <c r="D80" s="423" t="s">
        <v>2677</v>
      </c>
      <c r="E80" s="423" t="s">
        <v>2676</v>
      </c>
      <c r="F80" s="424">
        <v>0.76800000000000002</v>
      </c>
      <c r="G80" s="423">
        <v>1720.65</v>
      </c>
      <c r="H80" s="423">
        <f>F80*G80</f>
        <v>1321.4592</v>
      </c>
    </row>
    <row r="81" spans="2:15">
      <c r="B81" s="423"/>
      <c r="C81" s="423"/>
      <c r="D81" s="423" t="s">
        <v>2682</v>
      </c>
      <c r="E81" s="423" t="s">
        <v>45</v>
      </c>
      <c r="F81" s="424">
        <v>0.10199999999999999</v>
      </c>
      <c r="G81" s="423">
        <v>10000</v>
      </c>
      <c r="H81" s="423">
        <f>F81*G81</f>
        <v>1019.9999999999999</v>
      </c>
    </row>
    <row r="82" spans="2:15">
      <c r="B82" s="423"/>
      <c r="C82" s="423"/>
      <c r="D82" s="423" t="s">
        <v>3112</v>
      </c>
      <c r="E82" s="423" t="s">
        <v>3113</v>
      </c>
      <c r="F82" s="424">
        <v>0.51200000000000001</v>
      </c>
      <c r="G82" s="423">
        <v>4545.454545454545</v>
      </c>
      <c r="H82" s="423">
        <f>F82*G82</f>
        <v>2327.272727272727</v>
      </c>
    </row>
    <row r="83" spans="2:15">
      <c r="B83" s="423"/>
      <c r="C83" s="423"/>
      <c r="D83" s="423" t="s">
        <v>2681</v>
      </c>
      <c r="E83" s="423" t="s">
        <v>45</v>
      </c>
      <c r="F83" s="424">
        <v>0.10199999999999999</v>
      </c>
      <c r="G83" s="423">
        <v>20000</v>
      </c>
      <c r="H83" s="423">
        <f>F83*G83</f>
        <v>2039.9999999999998</v>
      </c>
    </row>
    <row r="84" spans="2:15">
      <c r="B84" s="423"/>
      <c r="C84" s="423"/>
      <c r="D84" s="423" t="s">
        <v>3114</v>
      </c>
      <c r="E84" s="423" t="s">
        <v>49</v>
      </c>
      <c r="F84" s="424">
        <v>0.51200000000000001</v>
      </c>
      <c r="G84" s="423">
        <v>13365.726224</v>
      </c>
      <c r="H84" s="423">
        <f>F84*G84</f>
        <v>6843.2518266879997</v>
      </c>
    </row>
    <row r="85" spans="2:15" s="418" customFormat="1">
      <c r="B85" s="425"/>
      <c r="C85" s="425"/>
      <c r="D85" s="425" t="s">
        <v>3116</v>
      </c>
      <c r="E85" s="425"/>
      <c r="F85" s="426"/>
      <c r="G85" s="425"/>
      <c r="H85" s="425">
        <f>SUM(H86:H87)</f>
        <v>128277.74800000002</v>
      </c>
      <c r="L85" s="419"/>
      <c r="M85" s="419"/>
      <c r="N85" s="419"/>
      <c r="O85" s="419"/>
    </row>
    <row r="86" spans="2:15">
      <c r="B86" s="423"/>
      <c r="C86" s="423"/>
      <c r="D86" s="423" t="s">
        <v>2675</v>
      </c>
      <c r="E86" s="423" t="s">
        <v>2674</v>
      </c>
      <c r="F86" s="424">
        <v>0.28900000000000003</v>
      </c>
      <c r="G86" s="423">
        <v>318196</v>
      </c>
      <c r="H86" s="423">
        <f>F86*G86</f>
        <v>91958.644000000015</v>
      </c>
    </row>
    <row r="87" spans="2:15">
      <c r="B87" s="423"/>
      <c r="C87" s="423"/>
      <c r="D87" s="423" t="s">
        <v>3117</v>
      </c>
      <c r="E87" s="423" t="s">
        <v>2674</v>
      </c>
      <c r="F87" s="424">
        <v>0.124</v>
      </c>
      <c r="G87" s="423">
        <v>292896</v>
      </c>
      <c r="H87" s="423">
        <f>F87*G87</f>
        <v>36319.103999999999</v>
      </c>
    </row>
    <row r="88" spans="2:15" s="418" customFormat="1">
      <c r="B88" s="425"/>
      <c r="C88" s="425"/>
      <c r="D88" s="425" t="s">
        <v>53</v>
      </c>
      <c r="E88" s="425"/>
      <c r="F88" s="426"/>
      <c r="G88" s="425"/>
      <c r="H88" s="425">
        <f>SUM(H89:H91)</f>
        <v>24059.036034000001</v>
      </c>
      <c r="L88" s="419"/>
      <c r="M88" s="419"/>
      <c r="N88" s="419"/>
      <c r="O88" s="419"/>
    </row>
    <row r="89" spans="2:15">
      <c r="B89" s="423"/>
      <c r="C89" s="423"/>
      <c r="D89" s="423" t="s">
        <v>2688</v>
      </c>
      <c r="E89" s="423" t="s">
        <v>2673</v>
      </c>
      <c r="F89" s="424">
        <v>4.1000000000000002E-2</v>
      </c>
      <c r="G89" s="423">
        <v>45990.521999999997</v>
      </c>
      <c r="H89" s="423">
        <f>F89*G89</f>
        <v>1885.611402</v>
      </c>
    </row>
    <row r="90" spans="2:15">
      <c r="B90" s="412"/>
      <c r="C90" s="412"/>
      <c r="D90" s="423" t="s">
        <v>2679</v>
      </c>
      <c r="E90" s="423" t="s">
        <v>2673</v>
      </c>
      <c r="F90" s="424">
        <v>7.2999999999999995E-2</v>
      </c>
      <c r="G90" s="423">
        <v>23557.5</v>
      </c>
      <c r="H90" s="423">
        <f>F90*G90</f>
        <v>1719.6975</v>
      </c>
    </row>
    <row r="91" spans="2:15">
      <c r="B91" s="412"/>
      <c r="C91" s="412"/>
      <c r="D91" s="423" t="s">
        <v>2686</v>
      </c>
      <c r="E91" s="423" t="s">
        <v>2673</v>
      </c>
      <c r="F91" s="424">
        <v>9.1999999999999998E-2</v>
      </c>
      <c r="G91" s="423">
        <v>222323.12099999998</v>
      </c>
      <c r="H91" s="423">
        <f>F91*G91</f>
        <v>20453.727132</v>
      </c>
    </row>
    <row r="92" spans="2:15" s="420" customFormat="1">
      <c r="B92" s="414">
        <v>6</v>
      </c>
      <c r="C92" s="414" t="s">
        <v>2687</v>
      </c>
      <c r="D92" s="422" t="s">
        <v>3126</v>
      </c>
      <c r="E92" s="422" t="s">
        <v>139</v>
      </c>
      <c r="F92" s="427">
        <v>1</v>
      </c>
      <c r="G92" s="422"/>
      <c r="H92" s="422"/>
      <c r="L92" s="421"/>
      <c r="M92" s="421"/>
      <c r="N92" s="421"/>
      <c r="O92" s="421"/>
    </row>
    <row r="93" spans="2:15" s="418" customFormat="1">
      <c r="B93" s="413"/>
      <c r="C93" s="413"/>
      <c r="D93" s="425" t="s">
        <v>3110</v>
      </c>
      <c r="E93" s="425"/>
      <c r="F93" s="426"/>
      <c r="G93" s="425"/>
      <c r="H93" s="425">
        <f>SUM(H94:H97)</f>
        <v>4245.0350091199998</v>
      </c>
      <c r="L93" s="419"/>
      <c r="M93" s="419"/>
      <c r="N93" s="419"/>
      <c r="O93" s="419"/>
    </row>
    <row r="94" spans="2:15">
      <c r="B94" s="412"/>
      <c r="C94" s="412"/>
      <c r="D94" s="423" t="s">
        <v>2677</v>
      </c>
      <c r="E94" s="423" t="s">
        <v>3127</v>
      </c>
      <c r="F94" s="424">
        <v>0.32400000000000001</v>
      </c>
      <c r="G94" s="423">
        <v>1720.65</v>
      </c>
      <c r="H94" s="423">
        <f>F94*G94</f>
        <v>557.49060000000009</v>
      </c>
    </row>
    <row r="95" spans="2:15">
      <c r="B95" s="412"/>
      <c r="C95" s="412"/>
      <c r="D95" s="423" t="s">
        <v>2682</v>
      </c>
      <c r="E95" s="423" t="s">
        <v>45</v>
      </c>
      <c r="F95" s="424">
        <v>6.5000000000000002E-2</v>
      </c>
      <c r="G95" s="423">
        <v>10000</v>
      </c>
      <c r="H95" s="423">
        <f>F95*G95</f>
        <v>650</v>
      </c>
    </row>
    <row r="96" spans="2:15">
      <c r="B96" s="412"/>
      <c r="C96" s="412"/>
      <c r="D96" s="423" t="s">
        <v>2681</v>
      </c>
      <c r="E96" s="423" t="s">
        <v>45</v>
      </c>
      <c r="F96" s="424">
        <v>6.5000000000000002E-2</v>
      </c>
      <c r="G96" s="423">
        <v>20000</v>
      </c>
      <c r="H96" s="423">
        <f>F96*G96</f>
        <v>1300</v>
      </c>
    </row>
    <row r="97" spans="2:15">
      <c r="B97" s="412"/>
      <c r="C97" s="412"/>
      <c r="D97" s="423" t="s">
        <v>3114</v>
      </c>
      <c r="E97" s="423" t="s">
        <v>49</v>
      </c>
      <c r="F97" s="424">
        <v>0.13</v>
      </c>
      <c r="G97" s="423">
        <v>13365.726224</v>
      </c>
      <c r="H97" s="423">
        <f>F97*G97</f>
        <v>1737.54440912</v>
      </c>
    </row>
    <row r="98" spans="2:15" s="418" customFormat="1">
      <c r="B98" s="413"/>
      <c r="C98" s="413"/>
      <c r="D98" s="425" t="s">
        <v>3116</v>
      </c>
      <c r="E98" s="425"/>
      <c r="F98" s="426"/>
      <c r="G98" s="425"/>
      <c r="H98" s="425">
        <f>SUM(H99:H100)</f>
        <v>133029.28</v>
      </c>
      <c r="L98" s="419"/>
      <c r="M98" s="419"/>
      <c r="N98" s="419"/>
      <c r="O98" s="419"/>
    </row>
    <row r="99" spans="2:15">
      <c r="B99" s="412"/>
      <c r="C99" s="412"/>
      <c r="D99" s="423" t="s">
        <v>2675</v>
      </c>
      <c r="E99" s="423" t="s">
        <v>2674</v>
      </c>
      <c r="F99" s="424">
        <v>0.28000000000000003</v>
      </c>
      <c r="G99" s="423">
        <v>318196</v>
      </c>
      <c r="H99" s="423">
        <f>F99*G99</f>
        <v>89094.88</v>
      </c>
    </row>
    <row r="100" spans="2:15">
      <c r="B100" s="412"/>
      <c r="C100" s="412"/>
      <c r="D100" s="423" t="s">
        <v>3117</v>
      </c>
      <c r="E100" s="423" t="s">
        <v>2674</v>
      </c>
      <c r="F100" s="424">
        <v>0.15</v>
      </c>
      <c r="G100" s="423">
        <v>292896</v>
      </c>
      <c r="H100" s="423">
        <f>F100*G100</f>
        <v>43934.400000000001</v>
      </c>
    </row>
    <row r="101" spans="2:15" s="418" customFormat="1">
      <c r="B101" s="413"/>
      <c r="C101" s="413"/>
      <c r="D101" s="425" t="s">
        <v>3118</v>
      </c>
      <c r="E101" s="425"/>
      <c r="F101" s="426"/>
      <c r="G101" s="425"/>
      <c r="H101" s="425">
        <f>SUM(H102:H103)</f>
        <v>12924.191033999999</v>
      </c>
      <c r="L101" s="419"/>
      <c r="M101" s="419"/>
      <c r="N101" s="419"/>
      <c r="O101" s="419"/>
    </row>
    <row r="102" spans="2:15">
      <c r="B102" s="412"/>
      <c r="C102" s="412"/>
      <c r="D102" s="423" t="s">
        <v>2679</v>
      </c>
      <c r="E102" s="423" t="s">
        <v>2673</v>
      </c>
      <c r="F102" s="424">
        <v>3.9E-2</v>
      </c>
      <c r="G102" s="423">
        <v>23557.5</v>
      </c>
      <c r="H102" s="423">
        <f>F102*G102</f>
        <v>918.74249999999995</v>
      </c>
    </row>
    <row r="103" spans="2:15">
      <c r="B103" s="412"/>
      <c r="C103" s="412"/>
      <c r="D103" s="423" t="s">
        <v>2686</v>
      </c>
      <c r="E103" s="423" t="s">
        <v>2673</v>
      </c>
      <c r="F103" s="424">
        <v>5.3999999999999999E-2</v>
      </c>
      <c r="G103" s="423">
        <v>222323.12099999998</v>
      </c>
      <c r="H103" s="423">
        <f>F103*G103</f>
        <v>12005.448533999999</v>
      </c>
    </row>
    <row r="104" spans="2:15">
      <c r="B104" s="414">
        <v>7</v>
      </c>
      <c r="C104" s="428" t="s">
        <v>2685</v>
      </c>
      <c r="D104" s="429" t="s">
        <v>3130</v>
      </c>
      <c r="E104" s="430" t="s">
        <v>211</v>
      </c>
      <c r="F104" s="431">
        <v>1</v>
      </c>
      <c r="G104" s="432"/>
      <c r="H104" s="432"/>
    </row>
    <row r="105" spans="2:15">
      <c r="B105" s="412"/>
      <c r="C105" s="409"/>
      <c r="D105" s="433" t="s">
        <v>3110</v>
      </c>
      <c r="E105" s="434"/>
      <c r="F105" s="435"/>
      <c r="G105" s="436"/>
      <c r="H105" s="437">
        <f>H106</f>
        <v>21385.1619584</v>
      </c>
    </row>
    <row r="106" spans="2:15">
      <c r="B106" s="412"/>
      <c r="C106" s="409"/>
      <c r="D106" s="438" t="s">
        <v>3114</v>
      </c>
      <c r="E106" s="439" t="s">
        <v>49</v>
      </c>
      <c r="F106" s="440">
        <v>1.6</v>
      </c>
      <c r="G106" s="407">
        <v>13365.726224</v>
      </c>
      <c r="H106" s="441">
        <f>F106*G106</f>
        <v>21385.1619584</v>
      </c>
    </row>
    <row r="107" spans="2:15">
      <c r="B107" s="412"/>
      <c r="C107" s="409"/>
      <c r="D107" s="433" t="s">
        <v>3116</v>
      </c>
      <c r="E107" s="434"/>
      <c r="F107" s="435"/>
      <c r="G107" s="436"/>
      <c r="H107" s="437">
        <f>SUM(H108:H109)</f>
        <v>1282555.6399999999</v>
      </c>
    </row>
    <row r="108" spans="2:15">
      <c r="B108" s="412"/>
      <c r="C108" s="409"/>
      <c r="D108" s="408" t="s">
        <v>2680</v>
      </c>
      <c r="E108" s="439" t="s">
        <v>2674</v>
      </c>
      <c r="F108" s="442">
        <v>3.04</v>
      </c>
      <c r="G108" s="443">
        <v>288031</v>
      </c>
      <c r="H108" s="441">
        <f>F108*G108</f>
        <v>875614.24</v>
      </c>
    </row>
    <row r="109" spans="2:15">
      <c r="B109" s="412"/>
      <c r="C109" s="409"/>
      <c r="D109" s="408" t="s">
        <v>3131</v>
      </c>
      <c r="E109" s="439" t="s">
        <v>2674</v>
      </c>
      <c r="F109" s="442">
        <v>1.64</v>
      </c>
      <c r="G109" s="443">
        <v>248135</v>
      </c>
      <c r="H109" s="441">
        <v>406941.39999999997</v>
      </c>
    </row>
    <row r="110" spans="2:15">
      <c r="B110" s="412"/>
      <c r="C110" s="409"/>
      <c r="D110" s="433" t="s">
        <v>3118</v>
      </c>
      <c r="E110" s="434"/>
      <c r="F110" s="444"/>
      <c r="G110" s="445"/>
      <c r="H110" s="437">
        <f>H111</f>
        <v>14867.023079999999</v>
      </c>
    </row>
    <row r="111" spans="2:15">
      <c r="B111" s="412"/>
      <c r="C111" s="409"/>
      <c r="D111" s="446" t="s">
        <v>2684</v>
      </c>
      <c r="E111" s="447"/>
      <c r="F111" s="448">
        <v>0.52</v>
      </c>
      <c r="G111" s="407">
        <v>28590.428999999996</v>
      </c>
      <c r="H111" s="441">
        <f>F111*G111</f>
        <v>14867.023079999999</v>
      </c>
    </row>
  </sheetData>
  <mergeCells count="2">
    <mergeCell ref="B4:H4"/>
    <mergeCell ref="B2:H2"/>
  </mergeCells>
  <pageMargins left="0.7" right="0.7" top="0.75" bottom="0.75" header="0.3" footer="0.3"/>
  <pageSetup orientation="landscape" horizontalDpi="4294967293" r:id="rId1"/>
  <headerFooter>
    <oddHeader>&amp;CNGUYỄN HẢI VĂN</oddHeader>
  </headerFooter>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topLeftCell="A19" zoomScale="85" zoomScaleNormal="85" workbookViewId="0">
      <selection activeCell="R17" sqref="R17"/>
    </sheetView>
  </sheetViews>
  <sheetFormatPr defaultRowHeight="15.75"/>
  <cols>
    <col min="1" max="1" width="5.42578125" style="573" customWidth="1"/>
    <col min="2" max="2" width="33.28515625" style="573" customWidth="1"/>
    <col min="3" max="3" width="10.28515625" style="573" customWidth="1"/>
    <col min="4" max="4" width="12.7109375" style="573" customWidth="1"/>
    <col min="5" max="5" width="12.28515625" style="573" customWidth="1"/>
    <col min="6" max="6" width="10.7109375" style="573" customWidth="1"/>
    <col min="7" max="7" width="11" style="573" customWidth="1"/>
    <col min="8" max="8" width="12.5703125" style="573" customWidth="1"/>
    <col min="9" max="9" width="14.42578125" style="573" customWidth="1"/>
    <col min="10" max="10" width="15.140625" style="573" customWidth="1"/>
    <col min="11" max="12" width="14.42578125" style="573" customWidth="1"/>
    <col min="13" max="13" width="17.28515625" style="573" customWidth="1"/>
    <col min="14" max="14" width="17" style="573" customWidth="1"/>
    <col min="15" max="256" width="9.140625" style="573"/>
    <col min="257" max="257" width="5.42578125" style="573" customWidth="1"/>
    <col min="258" max="258" width="29" style="573" customWidth="1"/>
    <col min="259" max="259" width="10.28515625" style="573" customWidth="1"/>
    <col min="260" max="260" width="12.7109375" style="573" customWidth="1"/>
    <col min="261" max="261" width="12.28515625" style="573" customWidth="1"/>
    <col min="262" max="262" width="10.7109375" style="573" customWidth="1"/>
    <col min="263" max="263" width="11" style="573" customWidth="1"/>
    <col min="264" max="264" width="12.5703125" style="573" customWidth="1"/>
    <col min="265" max="265" width="14.42578125" style="573" customWidth="1"/>
    <col min="266" max="266" width="15.140625" style="573" customWidth="1"/>
    <col min="267" max="268" width="14.42578125" style="573" customWidth="1"/>
    <col min="269" max="269" width="17.28515625" style="573" customWidth="1"/>
    <col min="270" max="270" width="17" style="573" customWidth="1"/>
    <col min="271" max="512" width="9.140625" style="573"/>
    <col min="513" max="513" width="5.42578125" style="573" customWidth="1"/>
    <col min="514" max="514" width="29" style="573" customWidth="1"/>
    <col min="515" max="515" width="10.28515625" style="573" customWidth="1"/>
    <col min="516" max="516" width="12.7109375" style="573" customWidth="1"/>
    <col min="517" max="517" width="12.28515625" style="573" customWidth="1"/>
    <col min="518" max="518" width="10.7109375" style="573" customWidth="1"/>
    <col min="519" max="519" width="11" style="573" customWidth="1"/>
    <col min="520" max="520" width="12.5703125" style="573" customWidth="1"/>
    <col min="521" max="521" width="14.42578125" style="573" customWidth="1"/>
    <col min="522" max="522" width="15.140625" style="573" customWidth="1"/>
    <col min="523" max="524" width="14.42578125" style="573" customWidth="1"/>
    <col min="525" max="525" width="17.28515625" style="573" customWidth="1"/>
    <col min="526" max="526" width="17" style="573" customWidth="1"/>
    <col min="527" max="768" width="9.140625" style="573"/>
    <col min="769" max="769" width="5.42578125" style="573" customWidth="1"/>
    <col min="770" max="770" width="29" style="573" customWidth="1"/>
    <col min="771" max="771" width="10.28515625" style="573" customWidth="1"/>
    <col min="772" max="772" width="12.7109375" style="573" customWidth="1"/>
    <col min="773" max="773" width="12.28515625" style="573" customWidth="1"/>
    <col min="774" max="774" width="10.7109375" style="573" customWidth="1"/>
    <col min="775" max="775" width="11" style="573" customWidth="1"/>
    <col min="776" max="776" width="12.5703125" style="573" customWidth="1"/>
    <col min="777" max="777" width="14.42578125" style="573" customWidth="1"/>
    <col min="778" max="778" width="15.140625" style="573" customWidth="1"/>
    <col min="779" max="780" width="14.42578125" style="573" customWidth="1"/>
    <col min="781" max="781" width="17.28515625" style="573" customWidth="1"/>
    <col min="782" max="782" width="17" style="573" customWidth="1"/>
    <col min="783" max="1024" width="9.140625" style="573"/>
    <col min="1025" max="1025" width="5.42578125" style="573" customWidth="1"/>
    <col min="1026" max="1026" width="29" style="573" customWidth="1"/>
    <col min="1027" max="1027" width="10.28515625" style="573" customWidth="1"/>
    <col min="1028" max="1028" width="12.7109375" style="573" customWidth="1"/>
    <col min="1029" max="1029" width="12.28515625" style="573" customWidth="1"/>
    <col min="1030" max="1030" width="10.7109375" style="573" customWidth="1"/>
    <col min="1031" max="1031" width="11" style="573" customWidth="1"/>
    <col min="1032" max="1032" width="12.5703125" style="573" customWidth="1"/>
    <col min="1033" max="1033" width="14.42578125" style="573" customWidth="1"/>
    <col min="1034" max="1034" width="15.140625" style="573" customWidth="1"/>
    <col min="1035" max="1036" width="14.42578125" style="573" customWidth="1"/>
    <col min="1037" max="1037" width="17.28515625" style="573" customWidth="1"/>
    <col min="1038" max="1038" width="17" style="573" customWidth="1"/>
    <col min="1039" max="1280" width="9.140625" style="573"/>
    <col min="1281" max="1281" width="5.42578125" style="573" customWidth="1"/>
    <col min="1282" max="1282" width="29" style="573" customWidth="1"/>
    <col min="1283" max="1283" width="10.28515625" style="573" customWidth="1"/>
    <col min="1284" max="1284" width="12.7109375" style="573" customWidth="1"/>
    <col min="1285" max="1285" width="12.28515625" style="573" customWidth="1"/>
    <col min="1286" max="1286" width="10.7109375" style="573" customWidth="1"/>
    <col min="1287" max="1287" width="11" style="573" customWidth="1"/>
    <col min="1288" max="1288" width="12.5703125" style="573" customWidth="1"/>
    <col min="1289" max="1289" width="14.42578125" style="573" customWidth="1"/>
    <col min="1290" max="1290" width="15.140625" style="573" customWidth="1"/>
    <col min="1291" max="1292" width="14.42578125" style="573" customWidth="1"/>
    <col min="1293" max="1293" width="17.28515625" style="573" customWidth="1"/>
    <col min="1294" max="1294" width="17" style="573" customWidth="1"/>
    <col min="1295" max="1536" width="9.140625" style="573"/>
    <col min="1537" max="1537" width="5.42578125" style="573" customWidth="1"/>
    <col min="1538" max="1538" width="29" style="573" customWidth="1"/>
    <col min="1539" max="1539" width="10.28515625" style="573" customWidth="1"/>
    <col min="1540" max="1540" width="12.7109375" style="573" customWidth="1"/>
    <col min="1541" max="1541" width="12.28515625" style="573" customWidth="1"/>
    <col min="1542" max="1542" width="10.7109375" style="573" customWidth="1"/>
    <col min="1543" max="1543" width="11" style="573" customWidth="1"/>
    <col min="1544" max="1544" width="12.5703125" style="573" customWidth="1"/>
    <col min="1545" max="1545" width="14.42578125" style="573" customWidth="1"/>
    <col min="1546" max="1546" width="15.140625" style="573" customWidth="1"/>
    <col min="1547" max="1548" width="14.42578125" style="573" customWidth="1"/>
    <col min="1549" max="1549" width="17.28515625" style="573" customWidth="1"/>
    <col min="1550" max="1550" width="17" style="573" customWidth="1"/>
    <col min="1551" max="1792" width="9.140625" style="573"/>
    <col min="1793" max="1793" width="5.42578125" style="573" customWidth="1"/>
    <col min="1794" max="1794" width="29" style="573" customWidth="1"/>
    <col min="1795" max="1795" width="10.28515625" style="573" customWidth="1"/>
    <col min="1796" max="1796" width="12.7109375" style="573" customWidth="1"/>
    <col min="1797" max="1797" width="12.28515625" style="573" customWidth="1"/>
    <col min="1798" max="1798" width="10.7109375" style="573" customWidth="1"/>
    <col min="1799" max="1799" width="11" style="573" customWidth="1"/>
    <col min="1800" max="1800" width="12.5703125" style="573" customWidth="1"/>
    <col min="1801" max="1801" width="14.42578125" style="573" customWidth="1"/>
    <col min="1802" max="1802" width="15.140625" style="573" customWidth="1"/>
    <col min="1803" max="1804" width="14.42578125" style="573" customWidth="1"/>
    <col min="1805" max="1805" width="17.28515625" style="573" customWidth="1"/>
    <col min="1806" max="1806" width="17" style="573" customWidth="1"/>
    <col min="1807" max="2048" width="9.140625" style="573"/>
    <col min="2049" max="2049" width="5.42578125" style="573" customWidth="1"/>
    <col min="2050" max="2050" width="29" style="573" customWidth="1"/>
    <col min="2051" max="2051" width="10.28515625" style="573" customWidth="1"/>
    <col min="2052" max="2052" width="12.7109375" style="573" customWidth="1"/>
    <col min="2053" max="2053" width="12.28515625" style="573" customWidth="1"/>
    <col min="2054" max="2054" width="10.7109375" style="573" customWidth="1"/>
    <col min="2055" max="2055" width="11" style="573" customWidth="1"/>
    <col min="2056" max="2056" width="12.5703125" style="573" customWidth="1"/>
    <col min="2057" max="2057" width="14.42578125" style="573" customWidth="1"/>
    <col min="2058" max="2058" width="15.140625" style="573" customWidth="1"/>
    <col min="2059" max="2060" width="14.42578125" style="573" customWidth="1"/>
    <col min="2061" max="2061" width="17.28515625" style="573" customWidth="1"/>
    <col min="2062" max="2062" width="17" style="573" customWidth="1"/>
    <col min="2063" max="2304" width="9.140625" style="573"/>
    <col min="2305" max="2305" width="5.42578125" style="573" customWidth="1"/>
    <col min="2306" max="2306" width="29" style="573" customWidth="1"/>
    <col min="2307" max="2307" width="10.28515625" style="573" customWidth="1"/>
    <col min="2308" max="2308" width="12.7109375" style="573" customWidth="1"/>
    <col min="2309" max="2309" width="12.28515625" style="573" customWidth="1"/>
    <col min="2310" max="2310" width="10.7109375" style="573" customWidth="1"/>
    <col min="2311" max="2311" width="11" style="573" customWidth="1"/>
    <col min="2312" max="2312" width="12.5703125" style="573" customWidth="1"/>
    <col min="2313" max="2313" width="14.42578125" style="573" customWidth="1"/>
    <col min="2314" max="2314" width="15.140625" style="573" customWidth="1"/>
    <col min="2315" max="2316" width="14.42578125" style="573" customWidth="1"/>
    <col min="2317" max="2317" width="17.28515625" style="573" customWidth="1"/>
    <col min="2318" max="2318" width="17" style="573" customWidth="1"/>
    <col min="2319" max="2560" width="9.140625" style="573"/>
    <col min="2561" max="2561" width="5.42578125" style="573" customWidth="1"/>
    <col min="2562" max="2562" width="29" style="573" customWidth="1"/>
    <col min="2563" max="2563" width="10.28515625" style="573" customWidth="1"/>
    <col min="2564" max="2564" width="12.7109375" style="573" customWidth="1"/>
    <col min="2565" max="2565" width="12.28515625" style="573" customWidth="1"/>
    <col min="2566" max="2566" width="10.7109375" style="573" customWidth="1"/>
    <col min="2567" max="2567" width="11" style="573" customWidth="1"/>
    <col min="2568" max="2568" width="12.5703125" style="573" customWidth="1"/>
    <col min="2569" max="2569" width="14.42578125" style="573" customWidth="1"/>
    <col min="2570" max="2570" width="15.140625" style="573" customWidth="1"/>
    <col min="2571" max="2572" width="14.42578125" style="573" customWidth="1"/>
    <col min="2573" max="2573" width="17.28515625" style="573" customWidth="1"/>
    <col min="2574" max="2574" width="17" style="573" customWidth="1"/>
    <col min="2575" max="2816" width="9.140625" style="573"/>
    <col min="2817" max="2817" width="5.42578125" style="573" customWidth="1"/>
    <col min="2818" max="2818" width="29" style="573" customWidth="1"/>
    <col min="2819" max="2819" width="10.28515625" style="573" customWidth="1"/>
    <col min="2820" max="2820" width="12.7109375" style="573" customWidth="1"/>
    <col min="2821" max="2821" width="12.28515625" style="573" customWidth="1"/>
    <col min="2822" max="2822" width="10.7109375" style="573" customWidth="1"/>
    <col min="2823" max="2823" width="11" style="573" customWidth="1"/>
    <col min="2824" max="2824" width="12.5703125" style="573" customWidth="1"/>
    <col min="2825" max="2825" width="14.42578125" style="573" customWidth="1"/>
    <col min="2826" max="2826" width="15.140625" style="573" customWidth="1"/>
    <col min="2827" max="2828" width="14.42578125" style="573" customWidth="1"/>
    <col min="2829" max="2829" width="17.28515625" style="573" customWidth="1"/>
    <col min="2830" max="2830" width="17" style="573" customWidth="1"/>
    <col min="2831" max="3072" width="9.140625" style="573"/>
    <col min="3073" max="3073" width="5.42578125" style="573" customWidth="1"/>
    <col min="3074" max="3074" width="29" style="573" customWidth="1"/>
    <col min="3075" max="3075" width="10.28515625" style="573" customWidth="1"/>
    <col min="3076" max="3076" width="12.7109375" style="573" customWidth="1"/>
    <col min="3077" max="3077" width="12.28515625" style="573" customWidth="1"/>
    <col min="3078" max="3078" width="10.7109375" style="573" customWidth="1"/>
    <col min="3079" max="3079" width="11" style="573" customWidth="1"/>
    <col min="3080" max="3080" width="12.5703125" style="573" customWidth="1"/>
    <col min="3081" max="3081" width="14.42578125" style="573" customWidth="1"/>
    <col min="3082" max="3082" width="15.140625" style="573" customWidth="1"/>
    <col min="3083" max="3084" width="14.42578125" style="573" customWidth="1"/>
    <col min="3085" max="3085" width="17.28515625" style="573" customWidth="1"/>
    <col min="3086" max="3086" width="17" style="573" customWidth="1"/>
    <col min="3087" max="3328" width="9.140625" style="573"/>
    <col min="3329" max="3329" width="5.42578125" style="573" customWidth="1"/>
    <col min="3330" max="3330" width="29" style="573" customWidth="1"/>
    <col min="3331" max="3331" width="10.28515625" style="573" customWidth="1"/>
    <col min="3332" max="3332" width="12.7109375" style="573" customWidth="1"/>
    <col min="3333" max="3333" width="12.28515625" style="573" customWidth="1"/>
    <col min="3334" max="3334" width="10.7109375" style="573" customWidth="1"/>
    <col min="3335" max="3335" width="11" style="573" customWidth="1"/>
    <col min="3336" max="3336" width="12.5703125" style="573" customWidth="1"/>
    <col min="3337" max="3337" width="14.42578125" style="573" customWidth="1"/>
    <col min="3338" max="3338" width="15.140625" style="573" customWidth="1"/>
    <col min="3339" max="3340" width="14.42578125" style="573" customWidth="1"/>
    <col min="3341" max="3341" width="17.28515625" style="573" customWidth="1"/>
    <col min="3342" max="3342" width="17" style="573" customWidth="1"/>
    <col min="3343" max="3584" width="9.140625" style="573"/>
    <col min="3585" max="3585" width="5.42578125" style="573" customWidth="1"/>
    <col min="3586" max="3586" width="29" style="573" customWidth="1"/>
    <col min="3587" max="3587" width="10.28515625" style="573" customWidth="1"/>
    <col min="3588" max="3588" width="12.7109375" style="573" customWidth="1"/>
    <col min="3589" max="3589" width="12.28515625" style="573" customWidth="1"/>
    <col min="3590" max="3590" width="10.7109375" style="573" customWidth="1"/>
    <col min="3591" max="3591" width="11" style="573" customWidth="1"/>
    <col min="3592" max="3592" width="12.5703125" style="573" customWidth="1"/>
    <col min="3593" max="3593" width="14.42578125" style="573" customWidth="1"/>
    <col min="3594" max="3594" width="15.140625" style="573" customWidth="1"/>
    <col min="3595" max="3596" width="14.42578125" style="573" customWidth="1"/>
    <col min="3597" max="3597" width="17.28515625" style="573" customWidth="1"/>
    <col min="3598" max="3598" width="17" style="573" customWidth="1"/>
    <col min="3599" max="3840" width="9.140625" style="573"/>
    <col min="3841" max="3841" width="5.42578125" style="573" customWidth="1"/>
    <col min="3842" max="3842" width="29" style="573" customWidth="1"/>
    <col min="3843" max="3843" width="10.28515625" style="573" customWidth="1"/>
    <col min="3844" max="3844" width="12.7109375" style="573" customWidth="1"/>
    <col min="3845" max="3845" width="12.28515625" style="573" customWidth="1"/>
    <col min="3846" max="3846" width="10.7109375" style="573" customWidth="1"/>
    <col min="3847" max="3847" width="11" style="573" customWidth="1"/>
    <col min="3848" max="3848" width="12.5703125" style="573" customWidth="1"/>
    <col min="3849" max="3849" width="14.42578125" style="573" customWidth="1"/>
    <col min="3850" max="3850" width="15.140625" style="573" customWidth="1"/>
    <col min="3851" max="3852" width="14.42578125" style="573" customWidth="1"/>
    <col min="3853" max="3853" width="17.28515625" style="573" customWidth="1"/>
    <col min="3854" max="3854" width="17" style="573" customWidth="1"/>
    <col min="3855" max="4096" width="9.140625" style="573"/>
    <col min="4097" max="4097" width="5.42578125" style="573" customWidth="1"/>
    <col min="4098" max="4098" width="29" style="573" customWidth="1"/>
    <col min="4099" max="4099" width="10.28515625" style="573" customWidth="1"/>
    <col min="4100" max="4100" width="12.7109375" style="573" customWidth="1"/>
    <col min="4101" max="4101" width="12.28515625" style="573" customWidth="1"/>
    <col min="4102" max="4102" width="10.7109375" style="573" customWidth="1"/>
    <col min="4103" max="4103" width="11" style="573" customWidth="1"/>
    <col min="4104" max="4104" width="12.5703125" style="573" customWidth="1"/>
    <col min="4105" max="4105" width="14.42578125" style="573" customWidth="1"/>
    <col min="4106" max="4106" width="15.140625" style="573" customWidth="1"/>
    <col min="4107" max="4108" width="14.42578125" style="573" customWidth="1"/>
    <col min="4109" max="4109" width="17.28515625" style="573" customWidth="1"/>
    <col min="4110" max="4110" width="17" style="573" customWidth="1"/>
    <col min="4111" max="4352" width="9.140625" style="573"/>
    <col min="4353" max="4353" width="5.42578125" style="573" customWidth="1"/>
    <col min="4354" max="4354" width="29" style="573" customWidth="1"/>
    <col min="4355" max="4355" width="10.28515625" style="573" customWidth="1"/>
    <col min="4356" max="4356" width="12.7109375" style="573" customWidth="1"/>
    <col min="4357" max="4357" width="12.28515625" style="573" customWidth="1"/>
    <col min="4358" max="4358" width="10.7109375" style="573" customWidth="1"/>
    <col min="4359" max="4359" width="11" style="573" customWidth="1"/>
    <col min="4360" max="4360" width="12.5703125" style="573" customWidth="1"/>
    <col min="4361" max="4361" width="14.42578125" style="573" customWidth="1"/>
    <col min="4362" max="4362" width="15.140625" style="573" customWidth="1"/>
    <col min="4363" max="4364" width="14.42578125" style="573" customWidth="1"/>
    <col min="4365" max="4365" width="17.28515625" style="573" customWidth="1"/>
    <col min="4366" max="4366" width="17" style="573" customWidth="1"/>
    <col min="4367" max="4608" width="9.140625" style="573"/>
    <col min="4609" max="4609" width="5.42578125" style="573" customWidth="1"/>
    <col min="4610" max="4610" width="29" style="573" customWidth="1"/>
    <col min="4611" max="4611" width="10.28515625" style="573" customWidth="1"/>
    <col min="4612" max="4612" width="12.7109375" style="573" customWidth="1"/>
    <col min="4613" max="4613" width="12.28515625" style="573" customWidth="1"/>
    <col min="4614" max="4614" width="10.7109375" style="573" customWidth="1"/>
    <col min="4615" max="4615" width="11" style="573" customWidth="1"/>
    <col min="4616" max="4616" width="12.5703125" style="573" customWidth="1"/>
    <col min="4617" max="4617" width="14.42578125" style="573" customWidth="1"/>
    <col min="4618" max="4618" width="15.140625" style="573" customWidth="1"/>
    <col min="4619" max="4620" width="14.42578125" style="573" customWidth="1"/>
    <col min="4621" max="4621" width="17.28515625" style="573" customWidth="1"/>
    <col min="4622" max="4622" width="17" style="573" customWidth="1"/>
    <col min="4623" max="4864" width="9.140625" style="573"/>
    <col min="4865" max="4865" width="5.42578125" style="573" customWidth="1"/>
    <col min="4866" max="4866" width="29" style="573" customWidth="1"/>
    <col min="4867" max="4867" width="10.28515625" style="573" customWidth="1"/>
    <col min="4868" max="4868" width="12.7109375" style="573" customWidth="1"/>
    <col min="4869" max="4869" width="12.28515625" style="573" customWidth="1"/>
    <col min="4870" max="4870" width="10.7109375" style="573" customWidth="1"/>
    <col min="4871" max="4871" width="11" style="573" customWidth="1"/>
    <col min="4872" max="4872" width="12.5703125" style="573" customWidth="1"/>
    <col min="4873" max="4873" width="14.42578125" style="573" customWidth="1"/>
    <col min="4874" max="4874" width="15.140625" style="573" customWidth="1"/>
    <col min="4875" max="4876" width="14.42578125" style="573" customWidth="1"/>
    <col min="4877" max="4877" width="17.28515625" style="573" customWidth="1"/>
    <col min="4878" max="4878" width="17" style="573" customWidth="1"/>
    <col min="4879" max="5120" width="9.140625" style="573"/>
    <col min="5121" max="5121" width="5.42578125" style="573" customWidth="1"/>
    <col min="5122" max="5122" width="29" style="573" customWidth="1"/>
    <col min="5123" max="5123" width="10.28515625" style="573" customWidth="1"/>
    <col min="5124" max="5124" width="12.7109375" style="573" customWidth="1"/>
    <col min="5125" max="5125" width="12.28515625" style="573" customWidth="1"/>
    <col min="5126" max="5126" width="10.7109375" style="573" customWidth="1"/>
    <col min="5127" max="5127" width="11" style="573" customWidth="1"/>
    <col min="5128" max="5128" width="12.5703125" style="573" customWidth="1"/>
    <col min="5129" max="5129" width="14.42578125" style="573" customWidth="1"/>
    <col min="5130" max="5130" width="15.140625" style="573" customWidth="1"/>
    <col min="5131" max="5132" width="14.42578125" style="573" customWidth="1"/>
    <col min="5133" max="5133" width="17.28515625" style="573" customWidth="1"/>
    <col min="5134" max="5134" width="17" style="573" customWidth="1"/>
    <col min="5135" max="5376" width="9.140625" style="573"/>
    <col min="5377" max="5377" width="5.42578125" style="573" customWidth="1"/>
    <col min="5378" max="5378" width="29" style="573" customWidth="1"/>
    <col min="5379" max="5379" width="10.28515625" style="573" customWidth="1"/>
    <col min="5380" max="5380" width="12.7109375" style="573" customWidth="1"/>
    <col min="5381" max="5381" width="12.28515625" style="573" customWidth="1"/>
    <col min="5382" max="5382" width="10.7109375" style="573" customWidth="1"/>
    <col min="5383" max="5383" width="11" style="573" customWidth="1"/>
    <col min="5384" max="5384" width="12.5703125" style="573" customWidth="1"/>
    <col min="5385" max="5385" width="14.42578125" style="573" customWidth="1"/>
    <col min="5386" max="5386" width="15.140625" style="573" customWidth="1"/>
    <col min="5387" max="5388" width="14.42578125" style="573" customWidth="1"/>
    <col min="5389" max="5389" width="17.28515625" style="573" customWidth="1"/>
    <col min="5390" max="5390" width="17" style="573" customWidth="1"/>
    <col min="5391" max="5632" width="9.140625" style="573"/>
    <col min="5633" max="5633" width="5.42578125" style="573" customWidth="1"/>
    <col min="5634" max="5634" width="29" style="573" customWidth="1"/>
    <col min="5635" max="5635" width="10.28515625" style="573" customWidth="1"/>
    <col min="5636" max="5636" width="12.7109375" style="573" customWidth="1"/>
    <col min="5637" max="5637" width="12.28515625" style="573" customWidth="1"/>
    <col min="5638" max="5638" width="10.7109375" style="573" customWidth="1"/>
    <col min="5639" max="5639" width="11" style="573" customWidth="1"/>
    <col min="5640" max="5640" width="12.5703125" style="573" customWidth="1"/>
    <col min="5641" max="5641" width="14.42578125" style="573" customWidth="1"/>
    <col min="5642" max="5642" width="15.140625" style="573" customWidth="1"/>
    <col min="5643" max="5644" width="14.42578125" style="573" customWidth="1"/>
    <col min="5645" max="5645" width="17.28515625" style="573" customWidth="1"/>
    <col min="5646" max="5646" width="17" style="573" customWidth="1"/>
    <col min="5647" max="5888" width="9.140625" style="573"/>
    <col min="5889" max="5889" width="5.42578125" style="573" customWidth="1"/>
    <col min="5890" max="5890" width="29" style="573" customWidth="1"/>
    <col min="5891" max="5891" width="10.28515625" style="573" customWidth="1"/>
    <col min="5892" max="5892" width="12.7109375" style="573" customWidth="1"/>
    <col min="5893" max="5893" width="12.28515625" style="573" customWidth="1"/>
    <col min="5894" max="5894" width="10.7109375" style="573" customWidth="1"/>
    <col min="5895" max="5895" width="11" style="573" customWidth="1"/>
    <col min="5896" max="5896" width="12.5703125" style="573" customWidth="1"/>
    <col min="5897" max="5897" width="14.42578125" style="573" customWidth="1"/>
    <col min="5898" max="5898" width="15.140625" style="573" customWidth="1"/>
    <col min="5899" max="5900" width="14.42578125" style="573" customWidth="1"/>
    <col min="5901" max="5901" width="17.28515625" style="573" customWidth="1"/>
    <col min="5902" max="5902" width="17" style="573" customWidth="1"/>
    <col min="5903" max="6144" width="9.140625" style="573"/>
    <col min="6145" max="6145" width="5.42578125" style="573" customWidth="1"/>
    <col min="6146" max="6146" width="29" style="573" customWidth="1"/>
    <col min="6147" max="6147" width="10.28515625" style="573" customWidth="1"/>
    <col min="6148" max="6148" width="12.7109375" style="573" customWidth="1"/>
    <col min="6149" max="6149" width="12.28515625" style="573" customWidth="1"/>
    <col min="6150" max="6150" width="10.7109375" style="573" customWidth="1"/>
    <col min="6151" max="6151" width="11" style="573" customWidth="1"/>
    <col min="6152" max="6152" width="12.5703125" style="573" customWidth="1"/>
    <col min="6153" max="6153" width="14.42578125" style="573" customWidth="1"/>
    <col min="6154" max="6154" width="15.140625" style="573" customWidth="1"/>
    <col min="6155" max="6156" width="14.42578125" style="573" customWidth="1"/>
    <col min="6157" max="6157" width="17.28515625" style="573" customWidth="1"/>
    <col min="6158" max="6158" width="17" style="573" customWidth="1"/>
    <col min="6159" max="6400" width="9.140625" style="573"/>
    <col min="6401" max="6401" width="5.42578125" style="573" customWidth="1"/>
    <col min="6402" max="6402" width="29" style="573" customWidth="1"/>
    <col min="6403" max="6403" width="10.28515625" style="573" customWidth="1"/>
    <col min="6404" max="6404" width="12.7109375" style="573" customWidth="1"/>
    <col min="6405" max="6405" width="12.28515625" style="573" customWidth="1"/>
    <col min="6406" max="6406" width="10.7109375" style="573" customWidth="1"/>
    <col min="6407" max="6407" width="11" style="573" customWidth="1"/>
    <col min="6408" max="6408" width="12.5703125" style="573" customWidth="1"/>
    <col min="6409" max="6409" width="14.42578125" style="573" customWidth="1"/>
    <col min="6410" max="6410" width="15.140625" style="573" customWidth="1"/>
    <col min="6411" max="6412" width="14.42578125" style="573" customWidth="1"/>
    <col min="6413" max="6413" width="17.28515625" style="573" customWidth="1"/>
    <col min="6414" max="6414" width="17" style="573" customWidth="1"/>
    <col min="6415" max="6656" width="9.140625" style="573"/>
    <col min="6657" max="6657" width="5.42578125" style="573" customWidth="1"/>
    <col min="6658" max="6658" width="29" style="573" customWidth="1"/>
    <col min="6659" max="6659" width="10.28515625" style="573" customWidth="1"/>
    <col min="6660" max="6660" width="12.7109375" style="573" customWidth="1"/>
    <col min="6661" max="6661" width="12.28515625" style="573" customWidth="1"/>
    <col min="6662" max="6662" width="10.7109375" style="573" customWidth="1"/>
    <col min="6663" max="6663" width="11" style="573" customWidth="1"/>
    <col min="6664" max="6664" width="12.5703125" style="573" customWidth="1"/>
    <col min="6665" max="6665" width="14.42578125" style="573" customWidth="1"/>
    <col min="6666" max="6666" width="15.140625" style="573" customWidth="1"/>
    <col min="6667" max="6668" width="14.42578125" style="573" customWidth="1"/>
    <col min="6669" max="6669" width="17.28515625" style="573" customWidth="1"/>
    <col min="6670" max="6670" width="17" style="573" customWidth="1"/>
    <col min="6671" max="6912" width="9.140625" style="573"/>
    <col min="6913" max="6913" width="5.42578125" style="573" customWidth="1"/>
    <col min="6914" max="6914" width="29" style="573" customWidth="1"/>
    <col min="6915" max="6915" width="10.28515625" style="573" customWidth="1"/>
    <col min="6916" max="6916" width="12.7109375" style="573" customWidth="1"/>
    <col min="6917" max="6917" width="12.28515625" style="573" customWidth="1"/>
    <col min="6918" max="6918" width="10.7109375" style="573" customWidth="1"/>
    <col min="6919" max="6919" width="11" style="573" customWidth="1"/>
    <col min="6920" max="6920" width="12.5703125" style="573" customWidth="1"/>
    <col min="6921" max="6921" width="14.42578125" style="573" customWidth="1"/>
    <col min="6922" max="6922" width="15.140625" style="573" customWidth="1"/>
    <col min="6923" max="6924" width="14.42578125" style="573" customWidth="1"/>
    <col min="6925" max="6925" width="17.28515625" style="573" customWidth="1"/>
    <col min="6926" max="6926" width="17" style="573" customWidth="1"/>
    <col min="6927" max="7168" width="9.140625" style="573"/>
    <col min="7169" max="7169" width="5.42578125" style="573" customWidth="1"/>
    <col min="7170" max="7170" width="29" style="573" customWidth="1"/>
    <col min="7171" max="7171" width="10.28515625" style="573" customWidth="1"/>
    <col min="7172" max="7172" width="12.7109375" style="573" customWidth="1"/>
    <col min="7173" max="7173" width="12.28515625" style="573" customWidth="1"/>
    <col min="7174" max="7174" width="10.7109375" style="573" customWidth="1"/>
    <col min="7175" max="7175" width="11" style="573" customWidth="1"/>
    <col min="7176" max="7176" width="12.5703125" style="573" customWidth="1"/>
    <col min="7177" max="7177" width="14.42578125" style="573" customWidth="1"/>
    <col min="7178" max="7178" width="15.140625" style="573" customWidth="1"/>
    <col min="7179" max="7180" width="14.42578125" style="573" customWidth="1"/>
    <col min="7181" max="7181" width="17.28515625" style="573" customWidth="1"/>
    <col min="7182" max="7182" width="17" style="573" customWidth="1"/>
    <col min="7183" max="7424" width="9.140625" style="573"/>
    <col min="7425" max="7425" width="5.42578125" style="573" customWidth="1"/>
    <col min="7426" max="7426" width="29" style="573" customWidth="1"/>
    <col min="7427" max="7427" width="10.28515625" style="573" customWidth="1"/>
    <col min="7428" max="7428" width="12.7109375" style="573" customWidth="1"/>
    <col min="7429" max="7429" width="12.28515625" style="573" customWidth="1"/>
    <col min="7430" max="7430" width="10.7109375" style="573" customWidth="1"/>
    <col min="7431" max="7431" width="11" style="573" customWidth="1"/>
    <col min="7432" max="7432" width="12.5703125" style="573" customWidth="1"/>
    <col min="7433" max="7433" width="14.42578125" style="573" customWidth="1"/>
    <col min="7434" max="7434" width="15.140625" style="573" customWidth="1"/>
    <col min="7435" max="7436" width="14.42578125" style="573" customWidth="1"/>
    <col min="7437" max="7437" width="17.28515625" style="573" customWidth="1"/>
    <col min="7438" max="7438" width="17" style="573" customWidth="1"/>
    <col min="7439" max="7680" width="9.140625" style="573"/>
    <col min="7681" max="7681" width="5.42578125" style="573" customWidth="1"/>
    <col min="7682" max="7682" width="29" style="573" customWidth="1"/>
    <col min="7683" max="7683" width="10.28515625" style="573" customWidth="1"/>
    <col min="7684" max="7684" width="12.7109375" style="573" customWidth="1"/>
    <col min="7685" max="7685" width="12.28515625" style="573" customWidth="1"/>
    <col min="7686" max="7686" width="10.7109375" style="573" customWidth="1"/>
    <col min="7687" max="7687" width="11" style="573" customWidth="1"/>
    <col min="7688" max="7688" width="12.5703125" style="573" customWidth="1"/>
    <col min="7689" max="7689" width="14.42578125" style="573" customWidth="1"/>
    <col min="7690" max="7690" width="15.140625" style="573" customWidth="1"/>
    <col min="7691" max="7692" width="14.42578125" style="573" customWidth="1"/>
    <col min="7693" max="7693" width="17.28515625" style="573" customWidth="1"/>
    <col min="7694" max="7694" width="17" style="573" customWidth="1"/>
    <col min="7695" max="7936" width="9.140625" style="573"/>
    <col min="7937" max="7937" width="5.42578125" style="573" customWidth="1"/>
    <col min="7938" max="7938" width="29" style="573" customWidth="1"/>
    <col min="7939" max="7939" width="10.28515625" style="573" customWidth="1"/>
    <col min="7940" max="7940" width="12.7109375" style="573" customWidth="1"/>
    <col min="7941" max="7941" width="12.28515625" style="573" customWidth="1"/>
    <col min="7942" max="7942" width="10.7109375" style="573" customWidth="1"/>
    <col min="7943" max="7943" width="11" style="573" customWidth="1"/>
    <col min="7944" max="7944" width="12.5703125" style="573" customWidth="1"/>
    <col min="7945" max="7945" width="14.42578125" style="573" customWidth="1"/>
    <col min="7946" max="7946" width="15.140625" style="573" customWidth="1"/>
    <col min="7947" max="7948" width="14.42578125" style="573" customWidth="1"/>
    <col min="7949" max="7949" width="17.28515625" style="573" customWidth="1"/>
    <col min="7950" max="7950" width="17" style="573" customWidth="1"/>
    <col min="7951" max="8192" width="9.140625" style="573"/>
    <col min="8193" max="8193" width="5.42578125" style="573" customWidth="1"/>
    <col min="8194" max="8194" width="29" style="573" customWidth="1"/>
    <col min="8195" max="8195" width="10.28515625" style="573" customWidth="1"/>
    <col min="8196" max="8196" width="12.7109375" style="573" customWidth="1"/>
    <col min="8197" max="8197" width="12.28515625" style="573" customWidth="1"/>
    <col min="8198" max="8198" width="10.7109375" style="573" customWidth="1"/>
    <col min="8199" max="8199" width="11" style="573" customWidth="1"/>
    <col min="8200" max="8200" width="12.5703125" style="573" customWidth="1"/>
    <col min="8201" max="8201" width="14.42578125" style="573" customWidth="1"/>
    <col min="8202" max="8202" width="15.140625" style="573" customWidth="1"/>
    <col min="8203" max="8204" width="14.42578125" style="573" customWidth="1"/>
    <col min="8205" max="8205" width="17.28515625" style="573" customWidth="1"/>
    <col min="8206" max="8206" width="17" style="573" customWidth="1"/>
    <col min="8207" max="8448" width="9.140625" style="573"/>
    <col min="8449" max="8449" width="5.42578125" style="573" customWidth="1"/>
    <col min="8450" max="8450" width="29" style="573" customWidth="1"/>
    <col min="8451" max="8451" width="10.28515625" style="573" customWidth="1"/>
    <col min="8452" max="8452" width="12.7109375" style="573" customWidth="1"/>
    <col min="8453" max="8453" width="12.28515625" style="573" customWidth="1"/>
    <col min="8454" max="8454" width="10.7109375" style="573" customWidth="1"/>
    <col min="8455" max="8455" width="11" style="573" customWidth="1"/>
    <col min="8456" max="8456" width="12.5703125" style="573" customWidth="1"/>
    <col min="8457" max="8457" width="14.42578125" style="573" customWidth="1"/>
    <col min="8458" max="8458" width="15.140625" style="573" customWidth="1"/>
    <col min="8459" max="8460" width="14.42578125" style="573" customWidth="1"/>
    <col min="8461" max="8461" width="17.28515625" style="573" customWidth="1"/>
    <col min="8462" max="8462" width="17" style="573" customWidth="1"/>
    <col min="8463" max="8704" width="9.140625" style="573"/>
    <col min="8705" max="8705" width="5.42578125" style="573" customWidth="1"/>
    <col min="8706" max="8706" width="29" style="573" customWidth="1"/>
    <col min="8707" max="8707" width="10.28515625" style="573" customWidth="1"/>
    <col min="8708" max="8708" width="12.7109375" style="573" customWidth="1"/>
    <col min="8709" max="8709" width="12.28515625" style="573" customWidth="1"/>
    <col min="8710" max="8710" width="10.7109375" style="573" customWidth="1"/>
    <col min="8711" max="8711" width="11" style="573" customWidth="1"/>
    <col min="8712" max="8712" width="12.5703125" style="573" customWidth="1"/>
    <col min="8713" max="8713" width="14.42578125" style="573" customWidth="1"/>
    <col min="8714" max="8714" width="15.140625" style="573" customWidth="1"/>
    <col min="8715" max="8716" width="14.42578125" style="573" customWidth="1"/>
    <col min="8717" max="8717" width="17.28515625" style="573" customWidth="1"/>
    <col min="8718" max="8718" width="17" style="573" customWidth="1"/>
    <col min="8719" max="8960" width="9.140625" style="573"/>
    <col min="8961" max="8961" width="5.42578125" style="573" customWidth="1"/>
    <col min="8962" max="8962" width="29" style="573" customWidth="1"/>
    <col min="8963" max="8963" width="10.28515625" style="573" customWidth="1"/>
    <col min="8964" max="8964" width="12.7109375" style="573" customWidth="1"/>
    <col min="8965" max="8965" width="12.28515625" style="573" customWidth="1"/>
    <col min="8966" max="8966" width="10.7109375" style="573" customWidth="1"/>
    <col min="8967" max="8967" width="11" style="573" customWidth="1"/>
    <col min="8968" max="8968" width="12.5703125" style="573" customWidth="1"/>
    <col min="8969" max="8969" width="14.42578125" style="573" customWidth="1"/>
    <col min="8970" max="8970" width="15.140625" style="573" customWidth="1"/>
    <col min="8971" max="8972" width="14.42578125" style="573" customWidth="1"/>
    <col min="8973" max="8973" width="17.28515625" style="573" customWidth="1"/>
    <col min="8974" max="8974" width="17" style="573" customWidth="1"/>
    <col min="8975" max="9216" width="9.140625" style="573"/>
    <col min="9217" max="9217" width="5.42578125" style="573" customWidth="1"/>
    <col min="9218" max="9218" width="29" style="573" customWidth="1"/>
    <col min="9219" max="9219" width="10.28515625" style="573" customWidth="1"/>
    <col min="9220" max="9220" width="12.7109375" style="573" customWidth="1"/>
    <col min="9221" max="9221" width="12.28515625" style="573" customWidth="1"/>
    <col min="9222" max="9222" width="10.7109375" style="573" customWidth="1"/>
    <col min="9223" max="9223" width="11" style="573" customWidth="1"/>
    <col min="9224" max="9224" width="12.5703125" style="573" customWidth="1"/>
    <col min="9225" max="9225" width="14.42578125" style="573" customWidth="1"/>
    <col min="9226" max="9226" width="15.140625" style="573" customWidth="1"/>
    <col min="9227" max="9228" width="14.42578125" style="573" customWidth="1"/>
    <col min="9229" max="9229" width="17.28515625" style="573" customWidth="1"/>
    <col min="9230" max="9230" width="17" style="573" customWidth="1"/>
    <col min="9231" max="9472" width="9.140625" style="573"/>
    <col min="9473" max="9473" width="5.42578125" style="573" customWidth="1"/>
    <col min="9474" max="9474" width="29" style="573" customWidth="1"/>
    <col min="9475" max="9475" width="10.28515625" style="573" customWidth="1"/>
    <col min="9476" max="9476" width="12.7109375" style="573" customWidth="1"/>
    <col min="9477" max="9477" width="12.28515625" style="573" customWidth="1"/>
    <col min="9478" max="9478" width="10.7109375" style="573" customWidth="1"/>
    <col min="9479" max="9479" width="11" style="573" customWidth="1"/>
    <col min="9480" max="9480" width="12.5703125" style="573" customWidth="1"/>
    <col min="9481" max="9481" width="14.42578125" style="573" customWidth="1"/>
    <col min="9482" max="9482" width="15.140625" style="573" customWidth="1"/>
    <col min="9483" max="9484" width="14.42578125" style="573" customWidth="1"/>
    <col min="9485" max="9485" width="17.28515625" style="573" customWidth="1"/>
    <col min="9486" max="9486" width="17" style="573" customWidth="1"/>
    <col min="9487" max="9728" width="9.140625" style="573"/>
    <col min="9729" max="9729" width="5.42578125" style="573" customWidth="1"/>
    <col min="9730" max="9730" width="29" style="573" customWidth="1"/>
    <col min="9731" max="9731" width="10.28515625" style="573" customWidth="1"/>
    <col min="9732" max="9732" width="12.7109375" style="573" customWidth="1"/>
    <col min="9733" max="9733" width="12.28515625" style="573" customWidth="1"/>
    <col min="9734" max="9734" width="10.7109375" style="573" customWidth="1"/>
    <col min="9735" max="9735" width="11" style="573" customWidth="1"/>
    <col min="9736" max="9736" width="12.5703125" style="573" customWidth="1"/>
    <col min="9737" max="9737" width="14.42578125" style="573" customWidth="1"/>
    <col min="9738" max="9738" width="15.140625" style="573" customWidth="1"/>
    <col min="9739" max="9740" width="14.42578125" style="573" customWidth="1"/>
    <col min="9741" max="9741" width="17.28515625" style="573" customWidth="1"/>
    <col min="9742" max="9742" width="17" style="573" customWidth="1"/>
    <col min="9743" max="9984" width="9.140625" style="573"/>
    <col min="9985" max="9985" width="5.42578125" style="573" customWidth="1"/>
    <col min="9986" max="9986" width="29" style="573" customWidth="1"/>
    <col min="9987" max="9987" width="10.28515625" style="573" customWidth="1"/>
    <col min="9988" max="9988" width="12.7109375" style="573" customWidth="1"/>
    <col min="9989" max="9989" width="12.28515625" style="573" customWidth="1"/>
    <col min="9990" max="9990" width="10.7109375" style="573" customWidth="1"/>
    <col min="9991" max="9991" width="11" style="573" customWidth="1"/>
    <col min="9992" max="9992" width="12.5703125" style="573" customWidth="1"/>
    <col min="9993" max="9993" width="14.42578125" style="573" customWidth="1"/>
    <col min="9994" max="9994" width="15.140625" style="573" customWidth="1"/>
    <col min="9995" max="9996" width="14.42578125" style="573" customWidth="1"/>
    <col min="9997" max="9997" width="17.28515625" style="573" customWidth="1"/>
    <col min="9998" max="9998" width="17" style="573" customWidth="1"/>
    <col min="9999" max="10240" width="9.140625" style="573"/>
    <col min="10241" max="10241" width="5.42578125" style="573" customWidth="1"/>
    <col min="10242" max="10242" width="29" style="573" customWidth="1"/>
    <col min="10243" max="10243" width="10.28515625" style="573" customWidth="1"/>
    <col min="10244" max="10244" width="12.7109375" style="573" customWidth="1"/>
    <col min="10245" max="10245" width="12.28515625" style="573" customWidth="1"/>
    <col min="10246" max="10246" width="10.7109375" style="573" customWidth="1"/>
    <col min="10247" max="10247" width="11" style="573" customWidth="1"/>
    <col min="10248" max="10248" width="12.5703125" style="573" customWidth="1"/>
    <col min="10249" max="10249" width="14.42578125" style="573" customWidth="1"/>
    <col min="10250" max="10250" width="15.140625" style="573" customWidth="1"/>
    <col min="10251" max="10252" width="14.42578125" style="573" customWidth="1"/>
    <col min="10253" max="10253" width="17.28515625" style="573" customWidth="1"/>
    <col min="10254" max="10254" width="17" style="573" customWidth="1"/>
    <col min="10255" max="10496" width="9.140625" style="573"/>
    <col min="10497" max="10497" width="5.42578125" style="573" customWidth="1"/>
    <col min="10498" max="10498" width="29" style="573" customWidth="1"/>
    <col min="10499" max="10499" width="10.28515625" style="573" customWidth="1"/>
    <col min="10500" max="10500" width="12.7109375" style="573" customWidth="1"/>
    <col min="10501" max="10501" width="12.28515625" style="573" customWidth="1"/>
    <col min="10502" max="10502" width="10.7109375" style="573" customWidth="1"/>
    <col min="10503" max="10503" width="11" style="573" customWidth="1"/>
    <col min="10504" max="10504" width="12.5703125" style="573" customWidth="1"/>
    <col min="10505" max="10505" width="14.42578125" style="573" customWidth="1"/>
    <col min="10506" max="10506" width="15.140625" style="573" customWidth="1"/>
    <col min="10507" max="10508" width="14.42578125" style="573" customWidth="1"/>
    <col min="10509" max="10509" width="17.28515625" style="573" customWidth="1"/>
    <col min="10510" max="10510" width="17" style="573" customWidth="1"/>
    <col min="10511" max="10752" width="9.140625" style="573"/>
    <col min="10753" max="10753" width="5.42578125" style="573" customWidth="1"/>
    <col min="10754" max="10754" width="29" style="573" customWidth="1"/>
    <col min="10755" max="10755" width="10.28515625" style="573" customWidth="1"/>
    <col min="10756" max="10756" width="12.7109375" style="573" customWidth="1"/>
    <col min="10757" max="10757" width="12.28515625" style="573" customWidth="1"/>
    <col min="10758" max="10758" width="10.7109375" style="573" customWidth="1"/>
    <col min="10759" max="10759" width="11" style="573" customWidth="1"/>
    <col min="10760" max="10760" width="12.5703125" style="573" customWidth="1"/>
    <col min="10761" max="10761" width="14.42578125" style="573" customWidth="1"/>
    <col min="10762" max="10762" width="15.140625" style="573" customWidth="1"/>
    <col min="10763" max="10764" width="14.42578125" style="573" customWidth="1"/>
    <col min="10765" max="10765" width="17.28515625" style="573" customWidth="1"/>
    <col min="10766" max="10766" width="17" style="573" customWidth="1"/>
    <col min="10767" max="11008" width="9.140625" style="573"/>
    <col min="11009" max="11009" width="5.42578125" style="573" customWidth="1"/>
    <col min="11010" max="11010" width="29" style="573" customWidth="1"/>
    <col min="11011" max="11011" width="10.28515625" style="573" customWidth="1"/>
    <col min="11012" max="11012" width="12.7109375" style="573" customWidth="1"/>
    <col min="11013" max="11013" width="12.28515625" style="573" customWidth="1"/>
    <col min="11014" max="11014" width="10.7109375" style="573" customWidth="1"/>
    <col min="11015" max="11015" width="11" style="573" customWidth="1"/>
    <col min="11016" max="11016" width="12.5703125" style="573" customWidth="1"/>
    <col min="11017" max="11017" width="14.42578125" style="573" customWidth="1"/>
    <col min="11018" max="11018" width="15.140625" style="573" customWidth="1"/>
    <col min="11019" max="11020" width="14.42578125" style="573" customWidth="1"/>
    <col min="11021" max="11021" width="17.28515625" style="573" customWidth="1"/>
    <col min="11022" max="11022" width="17" style="573" customWidth="1"/>
    <col min="11023" max="11264" width="9.140625" style="573"/>
    <col min="11265" max="11265" width="5.42578125" style="573" customWidth="1"/>
    <col min="11266" max="11266" width="29" style="573" customWidth="1"/>
    <col min="11267" max="11267" width="10.28515625" style="573" customWidth="1"/>
    <col min="11268" max="11268" width="12.7109375" style="573" customWidth="1"/>
    <col min="11269" max="11269" width="12.28515625" style="573" customWidth="1"/>
    <col min="11270" max="11270" width="10.7109375" style="573" customWidth="1"/>
    <col min="11271" max="11271" width="11" style="573" customWidth="1"/>
    <col min="11272" max="11272" width="12.5703125" style="573" customWidth="1"/>
    <col min="11273" max="11273" width="14.42578125" style="573" customWidth="1"/>
    <col min="11274" max="11274" width="15.140625" style="573" customWidth="1"/>
    <col min="11275" max="11276" width="14.42578125" style="573" customWidth="1"/>
    <col min="11277" max="11277" width="17.28515625" style="573" customWidth="1"/>
    <col min="11278" max="11278" width="17" style="573" customWidth="1"/>
    <col min="11279" max="11520" width="9.140625" style="573"/>
    <col min="11521" max="11521" width="5.42578125" style="573" customWidth="1"/>
    <col min="11522" max="11522" width="29" style="573" customWidth="1"/>
    <col min="11523" max="11523" width="10.28515625" style="573" customWidth="1"/>
    <col min="11524" max="11524" width="12.7109375" style="573" customWidth="1"/>
    <col min="11525" max="11525" width="12.28515625" style="573" customWidth="1"/>
    <col min="11526" max="11526" width="10.7109375" style="573" customWidth="1"/>
    <col min="11527" max="11527" width="11" style="573" customWidth="1"/>
    <col min="11528" max="11528" width="12.5703125" style="573" customWidth="1"/>
    <col min="11529" max="11529" width="14.42578125" style="573" customWidth="1"/>
    <col min="11530" max="11530" width="15.140625" style="573" customWidth="1"/>
    <col min="11531" max="11532" width="14.42578125" style="573" customWidth="1"/>
    <col min="11533" max="11533" width="17.28515625" style="573" customWidth="1"/>
    <col min="11534" max="11534" width="17" style="573" customWidth="1"/>
    <col min="11535" max="11776" width="9.140625" style="573"/>
    <col min="11777" max="11777" width="5.42578125" style="573" customWidth="1"/>
    <col min="11778" max="11778" width="29" style="573" customWidth="1"/>
    <col min="11779" max="11779" width="10.28515625" style="573" customWidth="1"/>
    <col min="11780" max="11780" width="12.7109375" style="573" customWidth="1"/>
    <col min="11781" max="11781" width="12.28515625" style="573" customWidth="1"/>
    <col min="11782" max="11782" width="10.7109375" style="573" customWidth="1"/>
    <col min="11783" max="11783" width="11" style="573" customWidth="1"/>
    <col min="11784" max="11784" width="12.5703125" style="573" customWidth="1"/>
    <col min="11785" max="11785" width="14.42578125" style="573" customWidth="1"/>
    <col min="11786" max="11786" width="15.140625" style="573" customWidth="1"/>
    <col min="11787" max="11788" width="14.42578125" style="573" customWidth="1"/>
    <col min="11789" max="11789" width="17.28515625" style="573" customWidth="1"/>
    <col min="11790" max="11790" width="17" style="573" customWidth="1"/>
    <col min="11791" max="12032" width="9.140625" style="573"/>
    <col min="12033" max="12033" width="5.42578125" style="573" customWidth="1"/>
    <col min="12034" max="12034" width="29" style="573" customWidth="1"/>
    <col min="12035" max="12035" width="10.28515625" style="573" customWidth="1"/>
    <col min="12036" max="12036" width="12.7109375" style="573" customWidth="1"/>
    <col min="12037" max="12037" width="12.28515625" style="573" customWidth="1"/>
    <col min="12038" max="12038" width="10.7109375" style="573" customWidth="1"/>
    <col min="12039" max="12039" width="11" style="573" customWidth="1"/>
    <col min="12040" max="12040" width="12.5703125" style="573" customWidth="1"/>
    <col min="12041" max="12041" width="14.42578125" style="573" customWidth="1"/>
    <col min="12042" max="12042" width="15.140625" style="573" customWidth="1"/>
    <col min="12043" max="12044" width="14.42578125" style="573" customWidth="1"/>
    <col min="12045" max="12045" width="17.28515625" style="573" customWidth="1"/>
    <col min="12046" max="12046" width="17" style="573" customWidth="1"/>
    <col min="12047" max="12288" width="9.140625" style="573"/>
    <col min="12289" max="12289" width="5.42578125" style="573" customWidth="1"/>
    <col min="12290" max="12290" width="29" style="573" customWidth="1"/>
    <col min="12291" max="12291" width="10.28515625" style="573" customWidth="1"/>
    <col min="12292" max="12292" width="12.7109375" style="573" customWidth="1"/>
    <col min="12293" max="12293" width="12.28515625" style="573" customWidth="1"/>
    <col min="12294" max="12294" width="10.7109375" style="573" customWidth="1"/>
    <col min="12295" max="12295" width="11" style="573" customWidth="1"/>
    <col min="12296" max="12296" width="12.5703125" style="573" customWidth="1"/>
    <col min="12297" max="12297" width="14.42578125" style="573" customWidth="1"/>
    <col min="12298" max="12298" width="15.140625" style="573" customWidth="1"/>
    <col min="12299" max="12300" width="14.42578125" style="573" customWidth="1"/>
    <col min="12301" max="12301" width="17.28515625" style="573" customWidth="1"/>
    <col min="12302" max="12302" width="17" style="573" customWidth="1"/>
    <col min="12303" max="12544" width="9.140625" style="573"/>
    <col min="12545" max="12545" width="5.42578125" style="573" customWidth="1"/>
    <col min="12546" max="12546" width="29" style="573" customWidth="1"/>
    <col min="12547" max="12547" width="10.28515625" style="573" customWidth="1"/>
    <col min="12548" max="12548" width="12.7109375" style="573" customWidth="1"/>
    <col min="12549" max="12549" width="12.28515625" style="573" customWidth="1"/>
    <col min="12550" max="12550" width="10.7109375" style="573" customWidth="1"/>
    <col min="12551" max="12551" width="11" style="573" customWidth="1"/>
    <col min="12552" max="12552" width="12.5703125" style="573" customWidth="1"/>
    <col min="12553" max="12553" width="14.42578125" style="573" customWidth="1"/>
    <col min="12554" max="12554" width="15.140625" style="573" customWidth="1"/>
    <col min="12555" max="12556" width="14.42578125" style="573" customWidth="1"/>
    <col min="12557" max="12557" width="17.28515625" style="573" customWidth="1"/>
    <col min="12558" max="12558" width="17" style="573" customWidth="1"/>
    <col min="12559" max="12800" width="9.140625" style="573"/>
    <col min="12801" max="12801" width="5.42578125" style="573" customWidth="1"/>
    <col min="12802" max="12802" width="29" style="573" customWidth="1"/>
    <col min="12803" max="12803" width="10.28515625" style="573" customWidth="1"/>
    <col min="12804" max="12804" width="12.7109375" style="573" customWidth="1"/>
    <col min="12805" max="12805" width="12.28515625" style="573" customWidth="1"/>
    <col min="12806" max="12806" width="10.7109375" style="573" customWidth="1"/>
    <col min="12807" max="12807" width="11" style="573" customWidth="1"/>
    <col min="12808" max="12808" width="12.5703125" style="573" customWidth="1"/>
    <col min="12809" max="12809" width="14.42578125" style="573" customWidth="1"/>
    <col min="12810" max="12810" width="15.140625" style="573" customWidth="1"/>
    <col min="12811" max="12812" width="14.42578125" style="573" customWidth="1"/>
    <col min="12813" max="12813" width="17.28515625" style="573" customWidth="1"/>
    <col min="12814" max="12814" width="17" style="573" customWidth="1"/>
    <col min="12815" max="13056" width="9.140625" style="573"/>
    <col min="13057" max="13057" width="5.42578125" style="573" customWidth="1"/>
    <col min="13058" max="13058" width="29" style="573" customWidth="1"/>
    <col min="13059" max="13059" width="10.28515625" style="573" customWidth="1"/>
    <col min="13060" max="13060" width="12.7109375" style="573" customWidth="1"/>
    <col min="13061" max="13061" width="12.28515625" style="573" customWidth="1"/>
    <col min="13062" max="13062" width="10.7109375" style="573" customWidth="1"/>
    <col min="13063" max="13063" width="11" style="573" customWidth="1"/>
    <col min="13064" max="13064" width="12.5703125" style="573" customWidth="1"/>
    <col min="13065" max="13065" width="14.42578125" style="573" customWidth="1"/>
    <col min="13066" max="13066" width="15.140625" style="573" customWidth="1"/>
    <col min="13067" max="13068" width="14.42578125" style="573" customWidth="1"/>
    <col min="13069" max="13069" width="17.28515625" style="573" customWidth="1"/>
    <col min="13070" max="13070" width="17" style="573" customWidth="1"/>
    <col min="13071" max="13312" width="9.140625" style="573"/>
    <col min="13313" max="13313" width="5.42578125" style="573" customWidth="1"/>
    <col min="13314" max="13314" width="29" style="573" customWidth="1"/>
    <col min="13315" max="13315" width="10.28515625" style="573" customWidth="1"/>
    <col min="13316" max="13316" width="12.7109375" style="573" customWidth="1"/>
    <col min="13317" max="13317" width="12.28515625" style="573" customWidth="1"/>
    <col min="13318" max="13318" width="10.7109375" style="573" customWidth="1"/>
    <col min="13319" max="13319" width="11" style="573" customWidth="1"/>
    <col min="13320" max="13320" width="12.5703125" style="573" customWidth="1"/>
    <col min="13321" max="13321" width="14.42578125" style="573" customWidth="1"/>
    <col min="13322" max="13322" width="15.140625" style="573" customWidth="1"/>
    <col min="13323" max="13324" width="14.42578125" style="573" customWidth="1"/>
    <col min="13325" max="13325" width="17.28515625" style="573" customWidth="1"/>
    <col min="13326" max="13326" width="17" style="573" customWidth="1"/>
    <col min="13327" max="13568" width="9.140625" style="573"/>
    <col min="13569" max="13569" width="5.42578125" style="573" customWidth="1"/>
    <col min="13570" max="13570" width="29" style="573" customWidth="1"/>
    <col min="13571" max="13571" width="10.28515625" style="573" customWidth="1"/>
    <col min="13572" max="13572" width="12.7109375" style="573" customWidth="1"/>
    <col min="13573" max="13573" width="12.28515625" style="573" customWidth="1"/>
    <col min="13574" max="13574" width="10.7109375" style="573" customWidth="1"/>
    <col min="13575" max="13575" width="11" style="573" customWidth="1"/>
    <col min="13576" max="13576" width="12.5703125" style="573" customWidth="1"/>
    <col min="13577" max="13577" width="14.42578125" style="573" customWidth="1"/>
    <col min="13578" max="13578" width="15.140625" style="573" customWidth="1"/>
    <col min="13579" max="13580" width="14.42578125" style="573" customWidth="1"/>
    <col min="13581" max="13581" width="17.28515625" style="573" customWidth="1"/>
    <col min="13582" max="13582" width="17" style="573" customWidth="1"/>
    <col min="13583" max="13824" width="9.140625" style="573"/>
    <col min="13825" max="13825" width="5.42578125" style="573" customWidth="1"/>
    <col min="13826" max="13826" width="29" style="573" customWidth="1"/>
    <col min="13827" max="13827" width="10.28515625" style="573" customWidth="1"/>
    <col min="13828" max="13828" width="12.7109375" style="573" customWidth="1"/>
    <col min="13829" max="13829" width="12.28515625" style="573" customWidth="1"/>
    <col min="13830" max="13830" width="10.7109375" style="573" customWidth="1"/>
    <col min="13831" max="13831" width="11" style="573" customWidth="1"/>
    <col min="13832" max="13832" width="12.5703125" style="573" customWidth="1"/>
    <col min="13833" max="13833" width="14.42578125" style="573" customWidth="1"/>
    <col min="13834" max="13834" width="15.140625" style="573" customWidth="1"/>
    <col min="13835" max="13836" width="14.42578125" style="573" customWidth="1"/>
    <col min="13837" max="13837" width="17.28515625" style="573" customWidth="1"/>
    <col min="13838" max="13838" width="17" style="573" customWidth="1"/>
    <col min="13839" max="14080" width="9.140625" style="573"/>
    <col min="14081" max="14081" width="5.42578125" style="573" customWidth="1"/>
    <col min="14082" max="14082" width="29" style="573" customWidth="1"/>
    <col min="14083" max="14083" width="10.28515625" style="573" customWidth="1"/>
    <col min="14084" max="14084" width="12.7109375" style="573" customWidth="1"/>
    <col min="14085" max="14085" width="12.28515625" style="573" customWidth="1"/>
    <col min="14086" max="14086" width="10.7109375" style="573" customWidth="1"/>
    <col min="14087" max="14087" width="11" style="573" customWidth="1"/>
    <col min="14088" max="14088" width="12.5703125" style="573" customWidth="1"/>
    <col min="14089" max="14089" width="14.42578125" style="573" customWidth="1"/>
    <col min="14090" max="14090" width="15.140625" style="573" customWidth="1"/>
    <col min="14091" max="14092" width="14.42578125" style="573" customWidth="1"/>
    <col min="14093" max="14093" width="17.28515625" style="573" customWidth="1"/>
    <col min="14094" max="14094" width="17" style="573" customWidth="1"/>
    <col min="14095" max="14336" width="9.140625" style="573"/>
    <col min="14337" max="14337" width="5.42578125" style="573" customWidth="1"/>
    <col min="14338" max="14338" width="29" style="573" customWidth="1"/>
    <col min="14339" max="14339" width="10.28515625" style="573" customWidth="1"/>
    <col min="14340" max="14340" width="12.7109375" style="573" customWidth="1"/>
    <col min="14341" max="14341" width="12.28515625" style="573" customWidth="1"/>
    <col min="14342" max="14342" width="10.7109375" style="573" customWidth="1"/>
    <col min="14343" max="14343" width="11" style="573" customWidth="1"/>
    <col min="14344" max="14344" width="12.5703125" style="573" customWidth="1"/>
    <col min="14345" max="14345" width="14.42578125" style="573" customWidth="1"/>
    <col min="14346" max="14346" width="15.140625" style="573" customWidth="1"/>
    <col min="14347" max="14348" width="14.42578125" style="573" customWidth="1"/>
    <col min="14349" max="14349" width="17.28515625" style="573" customWidth="1"/>
    <col min="14350" max="14350" width="17" style="573" customWidth="1"/>
    <col min="14351" max="14592" width="9.140625" style="573"/>
    <col min="14593" max="14593" width="5.42578125" style="573" customWidth="1"/>
    <col min="14594" max="14594" width="29" style="573" customWidth="1"/>
    <col min="14595" max="14595" width="10.28515625" style="573" customWidth="1"/>
    <col min="14596" max="14596" width="12.7109375" style="573" customWidth="1"/>
    <col min="14597" max="14597" width="12.28515625" style="573" customWidth="1"/>
    <col min="14598" max="14598" width="10.7109375" style="573" customWidth="1"/>
    <col min="14599" max="14599" width="11" style="573" customWidth="1"/>
    <col min="14600" max="14600" width="12.5703125" style="573" customWidth="1"/>
    <col min="14601" max="14601" width="14.42578125" style="573" customWidth="1"/>
    <col min="14602" max="14602" width="15.140625" style="573" customWidth="1"/>
    <col min="14603" max="14604" width="14.42578125" style="573" customWidth="1"/>
    <col min="14605" max="14605" width="17.28515625" style="573" customWidth="1"/>
    <col min="14606" max="14606" width="17" style="573" customWidth="1"/>
    <col min="14607" max="14848" width="9.140625" style="573"/>
    <col min="14849" max="14849" width="5.42578125" style="573" customWidth="1"/>
    <col min="14850" max="14850" width="29" style="573" customWidth="1"/>
    <col min="14851" max="14851" width="10.28515625" style="573" customWidth="1"/>
    <col min="14852" max="14852" width="12.7109375" style="573" customWidth="1"/>
    <col min="14853" max="14853" width="12.28515625" style="573" customWidth="1"/>
    <col min="14854" max="14854" width="10.7109375" style="573" customWidth="1"/>
    <col min="14855" max="14855" width="11" style="573" customWidth="1"/>
    <col min="14856" max="14856" width="12.5703125" style="573" customWidth="1"/>
    <col min="14857" max="14857" width="14.42578125" style="573" customWidth="1"/>
    <col min="14858" max="14858" width="15.140625" style="573" customWidth="1"/>
    <col min="14859" max="14860" width="14.42578125" style="573" customWidth="1"/>
    <col min="14861" max="14861" width="17.28515625" style="573" customWidth="1"/>
    <col min="14862" max="14862" width="17" style="573" customWidth="1"/>
    <col min="14863" max="15104" width="9.140625" style="573"/>
    <col min="15105" max="15105" width="5.42578125" style="573" customWidth="1"/>
    <col min="15106" max="15106" width="29" style="573" customWidth="1"/>
    <col min="15107" max="15107" width="10.28515625" style="573" customWidth="1"/>
    <col min="15108" max="15108" width="12.7109375" style="573" customWidth="1"/>
    <col min="15109" max="15109" width="12.28515625" style="573" customWidth="1"/>
    <col min="15110" max="15110" width="10.7109375" style="573" customWidth="1"/>
    <col min="15111" max="15111" width="11" style="573" customWidth="1"/>
    <col min="15112" max="15112" width="12.5703125" style="573" customWidth="1"/>
    <col min="15113" max="15113" width="14.42578125" style="573" customWidth="1"/>
    <col min="15114" max="15114" width="15.140625" style="573" customWidth="1"/>
    <col min="15115" max="15116" width="14.42578125" style="573" customWidth="1"/>
    <col min="15117" max="15117" width="17.28515625" style="573" customWidth="1"/>
    <col min="15118" max="15118" width="17" style="573" customWidth="1"/>
    <col min="15119" max="15360" width="9.140625" style="573"/>
    <col min="15361" max="15361" width="5.42578125" style="573" customWidth="1"/>
    <col min="15362" max="15362" width="29" style="573" customWidth="1"/>
    <col min="15363" max="15363" width="10.28515625" style="573" customWidth="1"/>
    <col min="15364" max="15364" width="12.7109375" style="573" customWidth="1"/>
    <col min="15365" max="15365" width="12.28515625" style="573" customWidth="1"/>
    <col min="15366" max="15366" width="10.7109375" style="573" customWidth="1"/>
    <col min="15367" max="15367" width="11" style="573" customWidth="1"/>
    <col min="15368" max="15368" width="12.5703125" style="573" customWidth="1"/>
    <col min="15369" max="15369" width="14.42578125" style="573" customWidth="1"/>
    <col min="15370" max="15370" width="15.140625" style="573" customWidth="1"/>
    <col min="15371" max="15372" width="14.42578125" style="573" customWidth="1"/>
    <col min="15373" max="15373" width="17.28515625" style="573" customWidth="1"/>
    <col min="15374" max="15374" width="17" style="573" customWidth="1"/>
    <col min="15375" max="15616" width="9.140625" style="573"/>
    <col min="15617" max="15617" width="5.42578125" style="573" customWidth="1"/>
    <col min="15618" max="15618" width="29" style="573" customWidth="1"/>
    <col min="15619" max="15619" width="10.28515625" style="573" customWidth="1"/>
    <col min="15620" max="15620" width="12.7109375" style="573" customWidth="1"/>
    <col min="15621" max="15621" width="12.28515625" style="573" customWidth="1"/>
    <col min="15622" max="15622" width="10.7109375" style="573" customWidth="1"/>
    <col min="15623" max="15623" width="11" style="573" customWidth="1"/>
    <col min="15624" max="15624" width="12.5703125" style="573" customWidth="1"/>
    <col min="15625" max="15625" width="14.42578125" style="573" customWidth="1"/>
    <col min="15626" max="15626" width="15.140625" style="573" customWidth="1"/>
    <col min="15627" max="15628" width="14.42578125" style="573" customWidth="1"/>
    <col min="15629" max="15629" width="17.28515625" style="573" customWidth="1"/>
    <col min="15630" max="15630" width="17" style="573" customWidth="1"/>
    <col min="15631" max="15872" width="9.140625" style="573"/>
    <col min="15873" max="15873" width="5.42578125" style="573" customWidth="1"/>
    <col min="15874" max="15874" width="29" style="573" customWidth="1"/>
    <col min="15875" max="15875" width="10.28515625" style="573" customWidth="1"/>
    <col min="15876" max="15876" width="12.7109375" style="573" customWidth="1"/>
    <col min="15877" max="15877" width="12.28515625" style="573" customWidth="1"/>
    <col min="15878" max="15878" width="10.7109375" style="573" customWidth="1"/>
    <col min="15879" max="15879" width="11" style="573" customWidth="1"/>
    <col min="15880" max="15880" width="12.5703125" style="573" customWidth="1"/>
    <col min="15881" max="15881" width="14.42578125" style="573" customWidth="1"/>
    <col min="15882" max="15882" width="15.140625" style="573" customWidth="1"/>
    <col min="15883" max="15884" width="14.42578125" style="573" customWidth="1"/>
    <col min="15885" max="15885" width="17.28515625" style="573" customWidth="1"/>
    <col min="15886" max="15886" width="17" style="573" customWidth="1"/>
    <col min="15887" max="16128" width="9.140625" style="573"/>
    <col min="16129" max="16129" width="5.42578125" style="573" customWidth="1"/>
    <col min="16130" max="16130" width="29" style="573" customWidth="1"/>
    <col min="16131" max="16131" width="10.28515625" style="573" customWidth="1"/>
    <col min="16132" max="16132" width="12.7109375" style="573" customWidth="1"/>
    <col min="16133" max="16133" width="12.28515625" style="573" customWidth="1"/>
    <col min="16134" max="16134" width="10.7109375" style="573" customWidth="1"/>
    <col min="16135" max="16135" width="11" style="573" customWidth="1"/>
    <col min="16136" max="16136" width="12.5703125" style="573" customWidth="1"/>
    <col min="16137" max="16137" width="14.42578125" style="573" customWidth="1"/>
    <col min="16138" max="16138" width="15.140625" style="573" customWidth="1"/>
    <col min="16139" max="16140" width="14.42578125" style="573" customWidth="1"/>
    <col min="16141" max="16141" width="17.28515625" style="573" customWidth="1"/>
    <col min="16142" max="16142" width="17" style="573" customWidth="1"/>
    <col min="16143" max="16384" width="9.140625" style="573"/>
  </cols>
  <sheetData>
    <row r="1" spans="1:16" ht="36.75" customHeight="1">
      <c r="A1" s="1516" t="s">
        <v>3646</v>
      </c>
      <c r="B1" s="1516"/>
      <c r="C1" s="1516"/>
      <c r="D1" s="1516"/>
      <c r="E1" s="1516"/>
      <c r="F1" s="1516"/>
      <c r="G1" s="1516"/>
      <c r="H1" s="1516"/>
      <c r="I1" s="1516"/>
      <c r="J1" s="1516"/>
      <c r="K1" s="1516"/>
      <c r="L1" s="1516"/>
      <c r="M1" s="1516"/>
      <c r="N1" s="1516"/>
    </row>
    <row r="2" spans="1:16">
      <c r="A2" s="572" t="s">
        <v>3488</v>
      </c>
      <c r="B2" s="572"/>
    </row>
    <row r="3" spans="1:16">
      <c r="A3" s="1517" t="s">
        <v>0</v>
      </c>
      <c r="B3" s="1517" t="s">
        <v>3489</v>
      </c>
      <c r="C3" s="1518" t="s">
        <v>3490</v>
      </c>
      <c r="D3" s="1518"/>
      <c r="E3" s="1518"/>
      <c r="F3" s="1518" t="s">
        <v>3491</v>
      </c>
      <c r="G3" s="1518"/>
      <c r="H3" s="1518"/>
      <c r="I3" s="1518"/>
      <c r="J3" s="1518"/>
      <c r="K3" s="1518"/>
      <c r="L3" s="1518"/>
      <c r="M3" s="1517" t="s">
        <v>3492</v>
      </c>
      <c r="N3" s="1517" t="s">
        <v>3493</v>
      </c>
    </row>
    <row r="4" spans="1:16">
      <c r="A4" s="1517"/>
      <c r="B4" s="1517"/>
      <c r="C4" s="574" t="s">
        <v>3494</v>
      </c>
      <c r="D4" s="574" t="s">
        <v>3495</v>
      </c>
      <c r="E4" s="574" t="s">
        <v>3496</v>
      </c>
      <c r="F4" s="574" t="s">
        <v>3494</v>
      </c>
      <c r="G4" s="574" t="s">
        <v>3495</v>
      </c>
      <c r="H4" s="574" t="s">
        <v>3496</v>
      </c>
      <c r="I4" s="574" t="s">
        <v>3568</v>
      </c>
      <c r="J4" s="574" t="s">
        <v>3497</v>
      </c>
      <c r="K4" s="574" t="s">
        <v>3569</v>
      </c>
      <c r="L4" s="574" t="s">
        <v>3498</v>
      </c>
      <c r="M4" s="1517"/>
      <c r="N4" s="1517"/>
      <c r="P4" s="573">
        <f>0.165/2</f>
        <v>8.2500000000000004E-2</v>
      </c>
    </row>
    <row r="5" spans="1:16">
      <c r="A5" s="575">
        <v>1</v>
      </c>
      <c r="B5" s="575" t="s">
        <v>3565</v>
      </c>
      <c r="C5" s="575">
        <v>0.4</v>
      </c>
      <c r="D5" s="575">
        <v>0.4</v>
      </c>
      <c r="E5" s="575">
        <v>0.8</v>
      </c>
      <c r="F5" s="575">
        <v>0.4</v>
      </c>
      <c r="G5" s="575">
        <v>0.4</v>
      </c>
      <c r="H5" s="575">
        <f>0.8-0.15</f>
        <v>0.65</v>
      </c>
      <c r="I5" s="575">
        <f>0.02*0.02*3.14</f>
        <v>1.2560000000000002E-3</v>
      </c>
      <c r="J5" s="575">
        <f t="shared" ref="J5:J12" si="0">0.065*0.065*3.14</f>
        <v>1.3266500000000002E-2</v>
      </c>
      <c r="K5" s="575">
        <f>0.0825*0.0825*3.14</f>
        <v>2.1371625000000002E-2</v>
      </c>
      <c r="L5" s="575">
        <f t="shared" ref="L5:L13" si="1">0.033*0.033*3.14</f>
        <v>3.4194600000000005E-3</v>
      </c>
      <c r="M5" s="576">
        <f>(C5+D5)*E5/2</f>
        <v>0.32000000000000006</v>
      </c>
      <c r="N5" s="576">
        <f>(F5+G5)*H5/2-J5-L5-I5*4</f>
        <v>0.23829003999999998</v>
      </c>
    </row>
    <row r="6" spans="1:16">
      <c r="A6" s="575">
        <v>2</v>
      </c>
      <c r="B6" s="575" t="s">
        <v>3499</v>
      </c>
      <c r="C6" s="575">
        <v>0.6</v>
      </c>
      <c r="D6" s="575">
        <v>0.6</v>
      </c>
      <c r="E6" s="575">
        <v>0.8</v>
      </c>
      <c r="F6" s="575">
        <v>0.6</v>
      </c>
      <c r="G6" s="575">
        <v>0.6</v>
      </c>
      <c r="H6" s="575">
        <f>H5</f>
        <v>0.65</v>
      </c>
      <c r="I6" s="575">
        <f t="shared" ref="I6:I13" si="2">0.02*0.02*3.14</f>
        <v>1.2560000000000002E-3</v>
      </c>
      <c r="J6" s="575">
        <f t="shared" si="0"/>
        <v>1.3266500000000002E-2</v>
      </c>
      <c r="K6" s="575">
        <f t="shared" ref="K6:K12" si="3">0.0825*0.0825*3.14</f>
        <v>2.1371625000000002E-2</v>
      </c>
      <c r="L6" s="575">
        <f t="shared" si="1"/>
        <v>3.4194600000000005E-3</v>
      </c>
      <c r="M6" s="576">
        <f>(C6+D6)*E6/2</f>
        <v>0.48</v>
      </c>
      <c r="N6" s="576">
        <f>(F6+G6)*H6/2-I6*4-J6*2-L6</f>
        <v>0.35502353999999997</v>
      </c>
    </row>
    <row r="7" spans="1:16">
      <c r="A7" s="575">
        <v>3</v>
      </c>
      <c r="B7" s="575" t="s">
        <v>3500</v>
      </c>
      <c r="C7" s="575">
        <v>0.6</v>
      </c>
      <c r="D7" s="575">
        <v>0.6</v>
      </c>
      <c r="E7" s="575">
        <v>0.8</v>
      </c>
      <c r="F7" s="575">
        <v>0.6</v>
      </c>
      <c r="G7" s="575">
        <v>0.6</v>
      </c>
      <c r="H7" s="575">
        <f>H6</f>
        <v>0.65</v>
      </c>
      <c r="I7" s="575">
        <f t="shared" si="2"/>
        <v>1.2560000000000002E-3</v>
      </c>
      <c r="J7" s="575">
        <f t="shared" si="0"/>
        <v>1.3266500000000002E-2</v>
      </c>
      <c r="K7" s="575">
        <f t="shared" si="3"/>
        <v>2.1371625000000002E-2</v>
      </c>
      <c r="L7" s="575">
        <f t="shared" si="1"/>
        <v>3.4194600000000005E-3</v>
      </c>
      <c r="M7" s="576">
        <f t="shared" ref="M7:M13" si="4">(C7+D7)*E7/2</f>
        <v>0.48</v>
      </c>
      <c r="N7" s="576">
        <f>(F7+G7)*H7/2-I7*4-J7*2-K7-L7</f>
        <v>0.33365191499999997</v>
      </c>
    </row>
    <row r="8" spans="1:16">
      <c r="A8" s="575">
        <v>4</v>
      </c>
      <c r="B8" s="575" t="s">
        <v>3501</v>
      </c>
      <c r="C8" s="575">
        <v>0.6</v>
      </c>
      <c r="D8" s="575">
        <v>0.6</v>
      </c>
      <c r="E8" s="575">
        <v>1</v>
      </c>
      <c r="F8" s="575">
        <v>0.6</v>
      </c>
      <c r="G8" s="575">
        <v>0.6</v>
      </c>
      <c r="H8" s="575">
        <f>1-0.15</f>
        <v>0.85</v>
      </c>
      <c r="I8" s="575">
        <f t="shared" si="2"/>
        <v>1.2560000000000002E-3</v>
      </c>
      <c r="J8" s="575">
        <f t="shared" si="0"/>
        <v>1.3266500000000002E-2</v>
      </c>
      <c r="K8" s="575">
        <f t="shared" si="3"/>
        <v>2.1371625000000002E-2</v>
      </c>
      <c r="L8" s="575">
        <f t="shared" si="1"/>
        <v>3.4194600000000005E-3</v>
      </c>
      <c r="M8" s="576">
        <f t="shared" ref="M8:M9" si="5">(C8+D8)*E8/2</f>
        <v>0.6</v>
      </c>
      <c r="N8" s="576">
        <f>(F8+G8)*H8/2-I8*4-J8*2-K8*2-L8</f>
        <v>0.43228028999999996</v>
      </c>
    </row>
    <row r="9" spans="1:16">
      <c r="A9" s="575">
        <v>5</v>
      </c>
      <c r="B9" s="575" t="s">
        <v>3566</v>
      </c>
      <c r="C9" s="575">
        <v>0.8</v>
      </c>
      <c r="D9" s="575">
        <v>0.8</v>
      </c>
      <c r="E9" s="575">
        <v>1</v>
      </c>
      <c r="F9" s="575">
        <v>0.8</v>
      </c>
      <c r="G9" s="575">
        <v>0.8</v>
      </c>
      <c r="H9" s="575">
        <f>1-0.15</f>
        <v>0.85</v>
      </c>
      <c r="I9" s="575">
        <f t="shared" si="2"/>
        <v>1.2560000000000002E-3</v>
      </c>
      <c r="J9" s="575">
        <f t="shared" si="0"/>
        <v>1.3266500000000002E-2</v>
      </c>
      <c r="K9" s="575">
        <f t="shared" si="3"/>
        <v>2.1371625000000002E-2</v>
      </c>
      <c r="L9" s="575">
        <f t="shared" si="1"/>
        <v>3.4194600000000005E-3</v>
      </c>
      <c r="M9" s="576">
        <f t="shared" si="5"/>
        <v>0.8</v>
      </c>
      <c r="N9" s="576">
        <f>(F9+G9)*H9/2-I9*4-J9*3-K9*2-L9</f>
        <v>0.58901378999999998</v>
      </c>
    </row>
    <row r="10" spans="1:16">
      <c r="A10" s="575">
        <v>6</v>
      </c>
      <c r="B10" s="575" t="s">
        <v>3567</v>
      </c>
      <c r="C10" s="575">
        <v>0.4</v>
      </c>
      <c r="D10" s="575">
        <v>0.4</v>
      </c>
      <c r="E10" s="575">
        <v>1.05</v>
      </c>
      <c r="F10" s="575">
        <v>0.4</v>
      </c>
      <c r="G10" s="575">
        <v>0.4</v>
      </c>
      <c r="H10" s="575">
        <f>H7</f>
        <v>0.65</v>
      </c>
      <c r="I10" s="575">
        <f t="shared" si="2"/>
        <v>1.2560000000000002E-3</v>
      </c>
      <c r="J10" s="575">
        <f t="shared" si="0"/>
        <v>1.3266500000000002E-2</v>
      </c>
      <c r="K10" s="575">
        <f t="shared" si="3"/>
        <v>2.1371625000000002E-2</v>
      </c>
      <c r="L10" s="575">
        <f t="shared" si="1"/>
        <v>3.4194600000000005E-3</v>
      </c>
      <c r="M10" s="576">
        <f t="shared" si="4"/>
        <v>0.42000000000000004</v>
      </c>
      <c r="N10" s="576">
        <f>(F10+G10)*H10/2-J10-L10</f>
        <v>0.24331403999999998</v>
      </c>
    </row>
    <row r="11" spans="1:16">
      <c r="A11" s="575">
        <v>7</v>
      </c>
      <c r="B11" s="575" t="s">
        <v>3502</v>
      </c>
      <c r="C11" s="575">
        <v>0.6</v>
      </c>
      <c r="D11" s="575">
        <v>0.6</v>
      </c>
      <c r="E11" s="575">
        <v>1.05</v>
      </c>
      <c r="F11" s="575">
        <v>0.6</v>
      </c>
      <c r="G11" s="575">
        <v>0.6</v>
      </c>
      <c r="H11" s="575">
        <f>H10</f>
        <v>0.65</v>
      </c>
      <c r="I11" s="575">
        <f t="shared" si="2"/>
        <v>1.2560000000000002E-3</v>
      </c>
      <c r="J11" s="575">
        <f t="shared" si="0"/>
        <v>1.3266500000000002E-2</v>
      </c>
      <c r="K11" s="575">
        <f t="shared" si="3"/>
        <v>2.1371625000000002E-2</v>
      </c>
      <c r="L11" s="575">
        <f t="shared" si="1"/>
        <v>3.4194600000000005E-3</v>
      </c>
      <c r="M11" s="576">
        <f t="shared" si="4"/>
        <v>0.63</v>
      </c>
      <c r="N11" s="576">
        <f>(F11+G11)*H11/2-J11-K11-L11</f>
        <v>0.35194241500000001</v>
      </c>
    </row>
    <row r="12" spans="1:16">
      <c r="A12" s="575">
        <v>8</v>
      </c>
      <c r="B12" s="575" t="s">
        <v>3503</v>
      </c>
      <c r="C12" s="575">
        <v>0.6</v>
      </c>
      <c r="D12" s="575">
        <v>0.6</v>
      </c>
      <c r="E12" s="575">
        <v>1.05</v>
      </c>
      <c r="F12" s="575">
        <v>0.6</v>
      </c>
      <c r="G12" s="575">
        <v>0.6</v>
      </c>
      <c r="H12" s="575">
        <f>H11</f>
        <v>0.65</v>
      </c>
      <c r="I12" s="575">
        <f t="shared" si="2"/>
        <v>1.2560000000000002E-3</v>
      </c>
      <c r="J12" s="575">
        <f t="shared" si="0"/>
        <v>1.3266500000000002E-2</v>
      </c>
      <c r="K12" s="575">
        <f t="shared" si="3"/>
        <v>2.1371625000000002E-2</v>
      </c>
      <c r="L12" s="575">
        <f t="shared" si="1"/>
        <v>3.4194600000000005E-3</v>
      </c>
      <c r="M12" s="576">
        <f t="shared" si="4"/>
        <v>0.63</v>
      </c>
      <c r="N12" s="576">
        <f>(F12+G12)*H12/2-J12*2-K12-L12</f>
        <v>0.33867591499999999</v>
      </c>
    </row>
    <row r="13" spans="1:16">
      <c r="A13" s="575">
        <v>9</v>
      </c>
      <c r="B13" s="575" t="s">
        <v>3704</v>
      </c>
      <c r="C13" s="575">
        <v>0.4</v>
      </c>
      <c r="D13" s="575">
        <v>0.4</v>
      </c>
      <c r="E13" s="575">
        <v>0.6</v>
      </c>
      <c r="F13" s="575">
        <v>0.4</v>
      </c>
      <c r="G13" s="575">
        <v>0.4</v>
      </c>
      <c r="H13" s="575">
        <v>0.45</v>
      </c>
      <c r="I13" s="575">
        <f t="shared" si="2"/>
        <v>1.2560000000000002E-3</v>
      </c>
      <c r="J13" s="575"/>
      <c r="K13" s="575"/>
      <c r="L13" s="575">
        <f t="shared" si="1"/>
        <v>3.4194600000000005E-3</v>
      </c>
      <c r="M13" s="576">
        <f t="shared" si="4"/>
        <v>0.24</v>
      </c>
      <c r="N13" s="576">
        <f>(F13+G13)*H13/2-I13*4-J13*2-K13-L13</f>
        <v>0.17155654000000001</v>
      </c>
    </row>
    <row r="14" spans="1:16">
      <c r="A14" s="633"/>
      <c r="B14" s="633"/>
      <c r="C14" s="633"/>
      <c r="D14" s="633"/>
      <c r="E14" s="633"/>
      <c r="F14" s="633"/>
      <c r="G14" s="633"/>
      <c r="H14" s="633"/>
      <c r="I14" s="633"/>
      <c r="J14" s="633"/>
      <c r="K14" s="633"/>
      <c r="L14" s="633"/>
      <c r="M14" s="634"/>
      <c r="N14" s="634"/>
    </row>
    <row r="15" spans="1:16">
      <c r="A15" s="572" t="s">
        <v>3570</v>
      </c>
      <c r="M15" s="577"/>
      <c r="N15" s="577"/>
    </row>
    <row r="16" spans="1:16">
      <c r="A16" s="575">
        <v>1</v>
      </c>
      <c r="B16" s="575" t="s">
        <v>3543</v>
      </c>
      <c r="C16" s="575">
        <v>0.5</v>
      </c>
      <c r="D16" s="575">
        <v>0.7</v>
      </c>
      <c r="E16" s="575">
        <v>0.6</v>
      </c>
      <c r="F16" s="575"/>
      <c r="G16" s="575"/>
      <c r="H16" s="575"/>
      <c r="I16" s="575"/>
      <c r="J16" s="575"/>
      <c r="K16" s="575"/>
      <c r="L16" s="575"/>
      <c r="M16" s="576">
        <f>C16*D16*E16</f>
        <v>0.21</v>
      </c>
      <c r="N16" s="576"/>
    </row>
    <row r="17" spans="1:14">
      <c r="A17" s="575">
        <v>2</v>
      </c>
      <c r="B17" s="575" t="s">
        <v>3544</v>
      </c>
      <c r="C17" s="575">
        <v>0.3</v>
      </c>
      <c r="D17" s="575">
        <v>0.5</v>
      </c>
      <c r="E17" s="575">
        <v>0.6</v>
      </c>
      <c r="F17" s="575"/>
      <c r="G17" s="575"/>
      <c r="H17" s="575"/>
      <c r="I17" s="575"/>
      <c r="J17" s="575"/>
      <c r="K17" s="575"/>
      <c r="L17" s="575"/>
      <c r="M17" s="576">
        <f>C17*D17*E17</f>
        <v>0.09</v>
      </c>
      <c r="N17" s="576">
        <f>M16-M17</f>
        <v>0.12</v>
      </c>
    </row>
    <row r="18" spans="1:14">
      <c r="A18" s="575">
        <v>3</v>
      </c>
      <c r="B18" s="575" t="s">
        <v>3504</v>
      </c>
      <c r="C18" s="575">
        <v>0.3</v>
      </c>
      <c r="D18" s="575">
        <v>0.5</v>
      </c>
      <c r="E18" s="575">
        <v>0.1</v>
      </c>
      <c r="F18" s="575"/>
      <c r="G18" s="575"/>
      <c r="H18" s="575"/>
      <c r="I18" s="575"/>
      <c r="J18" s="575"/>
      <c r="K18" s="575"/>
      <c r="L18" s="575"/>
      <c r="M18" s="576">
        <f>C18*D18*E18</f>
        <v>1.4999999999999999E-2</v>
      </c>
      <c r="N18" s="576"/>
    </row>
    <row r="19" spans="1:14">
      <c r="A19" s="575">
        <v>4</v>
      </c>
      <c r="B19" s="575" t="s">
        <v>3545</v>
      </c>
      <c r="C19" s="575">
        <v>0.3</v>
      </c>
      <c r="D19" s="575">
        <v>0.3</v>
      </c>
      <c r="E19" s="575">
        <v>0.5</v>
      </c>
      <c r="F19" s="575">
        <v>0.3</v>
      </c>
      <c r="G19" s="575">
        <v>0.3</v>
      </c>
      <c r="H19" s="575">
        <v>0.5</v>
      </c>
      <c r="I19" s="575"/>
      <c r="J19" s="575"/>
      <c r="K19" s="575"/>
      <c r="L19" s="575"/>
      <c r="M19" s="576">
        <f>C19*D19*E19+F19*G19*H19</f>
        <v>0.09</v>
      </c>
      <c r="N19" s="576"/>
    </row>
    <row r="21" spans="1:14">
      <c r="A21" s="573" t="s">
        <v>3571</v>
      </c>
    </row>
    <row r="23" spans="1:14">
      <c r="A23" s="575">
        <v>1</v>
      </c>
      <c r="B23" s="575" t="s">
        <v>3572</v>
      </c>
      <c r="C23" s="575">
        <v>1.2</v>
      </c>
      <c r="D23" s="575">
        <v>1.2</v>
      </c>
      <c r="E23" s="575">
        <v>1</v>
      </c>
      <c r="F23" s="575">
        <v>0.2</v>
      </c>
      <c r="G23" s="575">
        <v>0.2</v>
      </c>
      <c r="H23" s="575"/>
      <c r="I23" s="575"/>
      <c r="J23" s="575"/>
      <c r="K23" s="575"/>
      <c r="L23" s="575"/>
      <c r="M23" s="576">
        <f>C23*D23*E23</f>
        <v>1.44</v>
      </c>
      <c r="N23" s="575">
        <f>0.1*0.1*(1+1+0.8)</f>
        <v>2.8000000000000004E-2</v>
      </c>
    </row>
    <row r="24" spans="1:14">
      <c r="A24" s="575">
        <v>2</v>
      </c>
      <c r="B24" s="575" t="s">
        <v>3573</v>
      </c>
      <c r="C24" s="656" t="s">
        <v>3574</v>
      </c>
      <c r="D24" s="656" t="s">
        <v>3575</v>
      </c>
      <c r="E24" s="575" t="s">
        <v>3576</v>
      </c>
      <c r="F24" s="575"/>
      <c r="G24" s="575"/>
      <c r="H24" s="575"/>
      <c r="I24" s="575"/>
      <c r="J24" s="575"/>
      <c r="K24" s="575"/>
      <c r="L24" s="575"/>
      <c r="M24" s="575"/>
      <c r="N24" s="575"/>
    </row>
    <row r="25" spans="1:14">
      <c r="A25" s="575"/>
      <c r="B25" s="575" t="s">
        <v>3580</v>
      </c>
      <c r="C25" s="656"/>
      <c r="D25" s="656"/>
      <c r="E25" s="575"/>
      <c r="F25" s="575"/>
      <c r="G25" s="575"/>
      <c r="H25" s="656" t="s">
        <v>3298</v>
      </c>
      <c r="I25" s="575"/>
      <c r="J25" s="575"/>
      <c r="K25" s="575"/>
      <c r="L25" s="575"/>
      <c r="M25" s="575"/>
      <c r="N25" s="575"/>
    </row>
    <row r="26" spans="1:14">
      <c r="A26" s="575"/>
      <c r="B26" s="575" t="s">
        <v>3578</v>
      </c>
      <c r="C26" s="575">
        <v>1</v>
      </c>
      <c r="D26" s="575">
        <v>19</v>
      </c>
      <c r="E26" s="574">
        <f>C26*D26</f>
        <v>19</v>
      </c>
      <c r="F26" s="657">
        <v>19</v>
      </c>
      <c r="G26" s="575">
        <v>0.22</v>
      </c>
      <c r="H26" s="574">
        <f>F26*G26</f>
        <v>4.18</v>
      </c>
      <c r="I26" s="575"/>
      <c r="J26" s="575"/>
      <c r="K26" s="575"/>
      <c r="L26" s="575"/>
      <c r="M26" s="575"/>
      <c r="N26" s="575"/>
    </row>
    <row r="27" spans="1:14">
      <c r="A27" s="575"/>
      <c r="B27" s="575" t="s">
        <v>3579</v>
      </c>
      <c r="C27" s="575">
        <v>1.88</v>
      </c>
      <c r="D27" s="575">
        <v>7</v>
      </c>
      <c r="E27" s="575">
        <f t="shared" ref="E27:E28" si="6">C27*D27</f>
        <v>13.16</v>
      </c>
      <c r="F27" s="575"/>
      <c r="G27" s="575"/>
      <c r="H27" s="575"/>
      <c r="I27" s="575"/>
      <c r="J27" s="575"/>
      <c r="K27" s="575"/>
      <c r="L27" s="575"/>
      <c r="M27" s="575"/>
      <c r="N27" s="575"/>
    </row>
    <row r="28" spans="1:14">
      <c r="A28" s="575"/>
      <c r="B28" s="575" t="s">
        <v>3579</v>
      </c>
      <c r="C28" s="575">
        <v>0.8</v>
      </c>
      <c r="D28" s="575">
        <v>7</v>
      </c>
      <c r="E28" s="575">
        <f t="shared" si="6"/>
        <v>5.6000000000000005</v>
      </c>
      <c r="F28" s="575"/>
      <c r="G28" s="575"/>
      <c r="H28" s="575"/>
      <c r="I28" s="575"/>
      <c r="J28" s="575"/>
      <c r="K28" s="575"/>
      <c r="L28" s="575"/>
      <c r="M28" s="575"/>
      <c r="N28" s="575"/>
    </row>
    <row r="29" spans="1:14">
      <c r="A29" s="575"/>
      <c r="B29" s="575"/>
      <c r="C29" s="575"/>
      <c r="D29" s="575"/>
      <c r="E29" s="574">
        <f>SUM(E27:E28)</f>
        <v>18.760000000000002</v>
      </c>
      <c r="F29" s="658">
        <f>E29</f>
        <v>18.760000000000002</v>
      </c>
      <c r="G29" s="575">
        <v>0.247</v>
      </c>
      <c r="H29" s="574">
        <f>F29*G29</f>
        <v>4.6337200000000003</v>
      </c>
      <c r="I29" s="575"/>
      <c r="J29" s="575"/>
      <c r="K29" s="575"/>
      <c r="L29" s="575"/>
      <c r="M29" s="575"/>
      <c r="N29" s="575"/>
    </row>
    <row r="30" spans="1:14">
      <c r="A30" s="575"/>
      <c r="B30" s="575" t="s">
        <v>3581</v>
      </c>
      <c r="C30" s="575"/>
      <c r="D30" s="575"/>
      <c r="E30" s="574"/>
      <c r="F30" s="575"/>
      <c r="G30" s="575"/>
      <c r="H30" s="575"/>
      <c r="I30" s="575"/>
      <c r="J30" s="575"/>
      <c r="K30" s="575"/>
      <c r="L30" s="575"/>
      <c r="M30" s="575"/>
      <c r="N30" s="575"/>
    </row>
    <row r="31" spans="1:14">
      <c r="A31" s="575"/>
      <c r="B31" s="575" t="s">
        <v>3579</v>
      </c>
      <c r="C31" s="575">
        <v>0.9</v>
      </c>
      <c r="D31" s="575">
        <v>7</v>
      </c>
      <c r="E31" s="575">
        <f>C31*D31</f>
        <v>6.3</v>
      </c>
      <c r="F31" s="575"/>
      <c r="G31" s="575"/>
      <c r="H31" s="575"/>
      <c r="I31" s="575"/>
      <c r="J31" s="575"/>
      <c r="K31" s="575"/>
      <c r="L31" s="575"/>
      <c r="M31" s="575"/>
      <c r="N31" s="575"/>
    </row>
    <row r="32" spans="1:14">
      <c r="A32" s="575"/>
      <c r="B32" s="575"/>
      <c r="C32" s="575">
        <v>1</v>
      </c>
      <c r="D32" s="575">
        <v>7</v>
      </c>
      <c r="E32" s="575">
        <f>C32*D32</f>
        <v>7</v>
      </c>
      <c r="F32" s="575"/>
      <c r="G32" s="575"/>
      <c r="H32" s="575"/>
      <c r="I32" s="575"/>
      <c r="J32" s="575"/>
      <c r="K32" s="575"/>
      <c r="L32" s="575"/>
      <c r="M32" s="575"/>
      <c r="N32" s="575"/>
    </row>
    <row r="33" spans="1:14">
      <c r="A33" s="575"/>
      <c r="B33" s="575"/>
      <c r="C33" s="575"/>
      <c r="D33" s="575"/>
      <c r="E33" s="574">
        <f>SUM(E31:E32)</f>
        <v>13.3</v>
      </c>
      <c r="F33" s="657">
        <f>E33</f>
        <v>13.3</v>
      </c>
      <c r="G33" s="575">
        <v>0.39</v>
      </c>
      <c r="H33" s="574">
        <f>F33*G33</f>
        <v>5.1870000000000003</v>
      </c>
      <c r="I33" s="575"/>
      <c r="J33" s="575"/>
      <c r="K33" s="575"/>
      <c r="L33" s="575"/>
      <c r="M33" s="575"/>
      <c r="N33" s="575"/>
    </row>
    <row r="34" spans="1:14">
      <c r="A34" s="575"/>
      <c r="B34" s="575" t="s">
        <v>3577</v>
      </c>
      <c r="C34" s="575">
        <f>0.06*2</f>
        <v>0.12</v>
      </c>
      <c r="D34" s="575"/>
      <c r="E34" s="575"/>
      <c r="F34" s="575"/>
      <c r="G34" s="575"/>
      <c r="H34" s="575"/>
      <c r="I34" s="575"/>
      <c r="J34" s="575"/>
      <c r="K34" s="575"/>
      <c r="L34" s="575"/>
      <c r="M34" s="575"/>
      <c r="N34" s="575"/>
    </row>
    <row r="35" spans="1:14">
      <c r="A35" s="575"/>
      <c r="B35" s="575"/>
      <c r="C35" s="575">
        <f>0.03*2</f>
        <v>0.06</v>
      </c>
      <c r="D35" s="575"/>
      <c r="E35" s="575"/>
      <c r="F35" s="575"/>
      <c r="G35" s="575"/>
      <c r="H35" s="575"/>
      <c r="I35" s="575"/>
      <c r="J35" s="575"/>
      <c r="K35" s="575"/>
      <c r="L35" s="575"/>
      <c r="M35" s="575"/>
      <c r="N35" s="575"/>
    </row>
    <row r="36" spans="1:14">
      <c r="A36" s="575"/>
      <c r="B36" s="575"/>
      <c r="C36" s="575">
        <v>4.8000000000000001E-2</v>
      </c>
      <c r="D36" s="575"/>
      <c r="E36" s="575"/>
      <c r="F36" s="575"/>
      <c r="G36" s="575"/>
      <c r="H36" s="575"/>
      <c r="I36" s="575"/>
      <c r="J36" s="575"/>
      <c r="K36" s="575"/>
      <c r="L36" s="575"/>
      <c r="M36" s="575"/>
      <c r="N36" s="575"/>
    </row>
    <row r="37" spans="1:14">
      <c r="A37" s="575"/>
      <c r="B37" s="575" t="s">
        <v>3580</v>
      </c>
      <c r="C37" s="574">
        <f>SUM(C34:C36)</f>
        <v>0.22799999999999998</v>
      </c>
      <c r="D37" s="575"/>
      <c r="E37" s="575"/>
      <c r="F37" s="574">
        <f>C37+C38</f>
        <v>0.31899999999999995</v>
      </c>
      <c r="G37" s="575"/>
      <c r="H37" s="575"/>
      <c r="I37" s="575"/>
      <c r="J37" s="575"/>
      <c r="K37" s="575"/>
      <c r="L37" s="575"/>
      <c r="M37" s="575"/>
      <c r="N37" s="575"/>
    </row>
    <row r="38" spans="1:14">
      <c r="A38" s="575"/>
      <c r="B38" s="575" t="s">
        <v>3581</v>
      </c>
      <c r="C38" s="574">
        <v>9.0999999999999998E-2</v>
      </c>
      <c r="D38" s="575"/>
      <c r="E38" s="575"/>
      <c r="F38" s="575"/>
      <c r="G38" s="575"/>
      <c r="H38" s="575"/>
      <c r="I38" s="575"/>
      <c r="J38" s="575"/>
      <c r="K38" s="575"/>
      <c r="L38" s="575"/>
      <c r="M38" s="575"/>
      <c r="N38" s="575"/>
    </row>
    <row r="39" spans="1:14">
      <c r="A39" s="575"/>
      <c r="B39" s="575"/>
      <c r="C39" s="575"/>
      <c r="D39" s="575"/>
      <c r="E39" s="575"/>
      <c r="F39" s="575"/>
      <c r="G39" s="575"/>
      <c r="H39" s="575"/>
      <c r="I39" s="575"/>
      <c r="J39" s="575"/>
      <c r="K39" s="575"/>
      <c r="L39" s="575"/>
      <c r="M39" s="575"/>
      <c r="N39" s="575"/>
    </row>
    <row r="40" spans="1:14">
      <c r="A40" s="575"/>
      <c r="B40" s="575" t="s">
        <v>3582</v>
      </c>
      <c r="C40" s="574">
        <f>C41+C42</f>
        <v>6.5</v>
      </c>
      <c r="D40" s="575"/>
      <c r="E40" s="575"/>
      <c r="F40" s="657">
        <f>C40/100</f>
        <v>6.5000000000000002E-2</v>
      </c>
      <c r="G40" s="575"/>
      <c r="H40" s="575"/>
      <c r="I40" s="575"/>
      <c r="J40" s="575"/>
      <c r="K40" s="575"/>
      <c r="L40" s="575"/>
      <c r="M40" s="575"/>
      <c r="N40" s="575"/>
    </row>
    <row r="41" spans="1:14">
      <c r="A41" s="575"/>
      <c r="B41" s="575" t="s">
        <v>3580</v>
      </c>
      <c r="C41" s="575">
        <v>4.5</v>
      </c>
      <c r="D41" s="575"/>
      <c r="E41" s="575"/>
      <c r="F41" s="575"/>
      <c r="G41" s="575"/>
      <c r="H41" s="575"/>
      <c r="I41" s="575"/>
      <c r="J41" s="575"/>
      <c r="K41" s="575"/>
      <c r="L41" s="575"/>
      <c r="M41" s="575"/>
      <c r="N41" s="575"/>
    </row>
    <row r="42" spans="1:14">
      <c r="A42" s="575"/>
      <c r="B42" s="575" t="s">
        <v>3581</v>
      </c>
      <c r="C42" s="575">
        <v>2</v>
      </c>
      <c r="D42" s="575"/>
      <c r="E42" s="575"/>
      <c r="F42" s="575"/>
      <c r="G42" s="575"/>
      <c r="H42" s="575"/>
      <c r="I42" s="575"/>
      <c r="J42" s="575"/>
      <c r="K42" s="575"/>
      <c r="L42" s="575"/>
      <c r="M42" s="575"/>
      <c r="N42" s="575"/>
    </row>
  </sheetData>
  <mergeCells count="7">
    <mergeCell ref="A1:N1"/>
    <mergeCell ref="N3:N4"/>
    <mergeCell ref="A3:A4"/>
    <mergeCell ref="B3:B4"/>
    <mergeCell ref="C3:E3"/>
    <mergeCell ref="F3:L3"/>
    <mergeCell ref="M3:M4"/>
  </mergeCells>
  <pageMargins left="0.7" right="0.7" top="0.75" bottom="0.75" header="0.3" footer="0.3"/>
  <pageSetup orientation="portrait"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176"/>
  <sheetViews>
    <sheetView showZeros="0" topLeftCell="A5" zoomScale="85" zoomScaleNormal="85" workbookViewId="0">
      <pane xSplit="1" ySplit="3" topLeftCell="B8" activePane="bottomRight" state="frozen"/>
      <selection activeCell="A5" sqref="A5"/>
      <selection pane="topRight" activeCell="B5" sqref="B5"/>
      <selection pane="bottomLeft" activeCell="A8" sqref="A8"/>
      <selection pane="bottomRight" activeCell="M6" sqref="M6:M7"/>
    </sheetView>
  </sheetViews>
  <sheetFormatPr defaultRowHeight="15"/>
  <cols>
    <col min="1" max="1" width="8.28515625" style="554" customWidth="1"/>
    <col min="2" max="3" width="23.7109375" style="554" customWidth="1"/>
    <col min="4" max="4" width="9.42578125" style="554" customWidth="1"/>
    <col min="5" max="6" width="10.42578125" style="554" bestFit="1" customWidth="1"/>
    <col min="7" max="8" width="9.28515625" style="554" bestFit="1" customWidth="1"/>
    <col min="9" max="13" width="9.28515625" style="554" customWidth="1"/>
    <col min="14" max="14" width="10.42578125" style="554" bestFit="1" customWidth="1"/>
    <col min="15" max="15" width="9.140625" style="554"/>
    <col min="16" max="16" width="9.28515625" style="554" bestFit="1" customWidth="1"/>
    <col min="17" max="17" width="7.28515625" style="554" customWidth="1"/>
    <col min="18" max="257" width="9.140625" style="554"/>
    <col min="258" max="258" width="8.28515625" style="554" customWidth="1"/>
    <col min="259" max="260" width="23.7109375" style="554" customWidth="1"/>
    <col min="261" max="261" width="9.42578125" style="554" customWidth="1"/>
    <col min="262" max="263" width="10.42578125" style="554" bestFit="1" customWidth="1"/>
    <col min="264" max="265" width="9.28515625" style="554" bestFit="1" customWidth="1"/>
    <col min="266" max="269" width="9.28515625" style="554" customWidth="1"/>
    <col min="270" max="270" width="10.42578125" style="554" bestFit="1" customWidth="1"/>
    <col min="271" max="271" width="9.140625" style="554"/>
    <col min="272" max="272" width="9.28515625" style="554" bestFit="1" customWidth="1"/>
    <col min="273" max="273" width="7.28515625" style="554" customWidth="1"/>
    <col min="274" max="513" width="9.140625" style="554"/>
    <col min="514" max="514" width="8.28515625" style="554" customWidth="1"/>
    <col min="515" max="516" width="23.7109375" style="554" customWidth="1"/>
    <col min="517" max="517" width="9.42578125" style="554" customWidth="1"/>
    <col min="518" max="519" width="10.42578125" style="554" bestFit="1" customWidth="1"/>
    <col min="520" max="521" width="9.28515625" style="554" bestFit="1" customWidth="1"/>
    <col min="522" max="525" width="9.28515625" style="554" customWidth="1"/>
    <col min="526" max="526" width="10.42578125" style="554" bestFit="1" customWidth="1"/>
    <col min="527" max="527" width="9.140625" style="554"/>
    <col min="528" max="528" width="9.28515625" style="554" bestFit="1" customWidth="1"/>
    <col min="529" max="529" width="7.28515625" style="554" customWidth="1"/>
    <col min="530" max="769" width="9.140625" style="554"/>
    <col min="770" max="770" width="8.28515625" style="554" customWidth="1"/>
    <col min="771" max="772" width="23.7109375" style="554" customWidth="1"/>
    <col min="773" max="773" width="9.42578125" style="554" customWidth="1"/>
    <col min="774" max="775" width="10.42578125" style="554" bestFit="1" customWidth="1"/>
    <col min="776" max="777" width="9.28515625" style="554" bestFit="1" customWidth="1"/>
    <col min="778" max="781" width="9.28515625" style="554" customWidth="1"/>
    <col min="782" max="782" width="10.42578125" style="554" bestFit="1" customWidth="1"/>
    <col min="783" max="783" width="9.140625" style="554"/>
    <col min="784" max="784" width="9.28515625" style="554" bestFit="1" customWidth="1"/>
    <col min="785" max="785" width="7.28515625" style="554" customWidth="1"/>
    <col min="786" max="1025" width="9.140625" style="554"/>
    <col min="1026" max="1026" width="8.28515625" style="554" customWidth="1"/>
    <col min="1027" max="1028" width="23.7109375" style="554" customWidth="1"/>
    <col min="1029" max="1029" width="9.42578125" style="554" customWidth="1"/>
    <col min="1030" max="1031" width="10.42578125" style="554" bestFit="1" customWidth="1"/>
    <col min="1032" max="1033" width="9.28515625" style="554" bestFit="1" customWidth="1"/>
    <col min="1034" max="1037" width="9.28515625" style="554" customWidth="1"/>
    <col min="1038" max="1038" width="10.42578125" style="554" bestFit="1" customWidth="1"/>
    <col min="1039" max="1039" width="9.140625" style="554"/>
    <col min="1040" max="1040" width="9.28515625" style="554" bestFit="1" customWidth="1"/>
    <col min="1041" max="1041" width="7.28515625" style="554" customWidth="1"/>
    <col min="1042" max="1281" width="9.140625" style="554"/>
    <col min="1282" max="1282" width="8.28515625" style="554" customWidth="1"/>
    <col min="1283" max="1284" width="23.7109375" style="554" customWidth="1"/>
    <col min="1285" max="1285" width="9.42578125" style="554" customWidth="1"/>
    <col min="1286" max="1287" width="10.42578125" style="554" bestFit="1" customWidth="1"/>
    <col min="1288" max="1289" width="9.28515625" style="554" bestFit="1" customWidth="1"/>
    <col min="1290" max="1293" width="9.28515625" style="554" customWidth="1"/>
    <col min="1294" max="1294" width="10.42578125" style="554" bestFit="1" customWidth="1"/>
    <col min="1295" max="1295" width="9.140625" style="554"/>
    <col min="1296" max="1296" width="9.28515625" style="554" bestFit="1" customWidth="1"/>
    <col min="1297" max="1297" width="7.28515625" style="554" customWidth="1"/>
    <col min="1298" max="1537" width="9.140625" style="554"/>
    <col min="1538" max="1538" width="8.28515625" style="554" customWidth="1"/>
    <col min="1539" max="1540" width="23.7109375" style="554" customWidth="1"/>
    <col min="1541" max="1541" width="9.42578125" style="554" customWidth="1"/>
    <col min="1542" max="1543" width="10.42578125" style="554" bestFit="1" customWidth="1"/>
    <col min="1544" max="1545" width="9.28515625" style="554" bestFit="1" customWidth="1"/>
    <col min="1546" max="1549" width="9.28515625" style="554" customWidth="1"/>
    <col min="1550" max="1550" width="10.42578125" style="554" bestFit="1" customWidth="1"/>
    <col min="1551" max="1551" width="9.140625" style="554"/>
    <col min="1552" max="1552" width="9.28515625" style="554" bestFit="1" customWidth="1"/>
    <col min="1553" max="1553" width="7.28515625" style="554" customWidth="1"/>
    <col min="1554" max="1793" width="9.140625" style="554"/>
    <col min="1794" max="1794" width="8.28515625" style="554" customWidth="1"/>
    <col min="1795" max="1796" width="23.7109375" style="554" customWidth="1"/>
    <col min="1797" max="1797" width="9.42578125" style="554" customWidth="1"/>
    <col min="1798" max="1799" width="10.42578125" style="554" bestFit="1" customWidth="1"/>
    <col min="1800" max="1801" width="9.28515625" style="554" bestFit="1" customWidth="1"/>
    <col min="1802" max="1805" width="9.28515625" style="554" customWidth="1"/>
    <col min="1806" max="1806" width="10.42578125" style="554" bestFit="1" customWidth="1"/>
    <col min="1807" max="1807" width="9.140625" style="554"/>
    <col min="1808" max="1808" width="9.28515625" style="554" bestFit="1" customWidth="1"/>
    <col min="1809" max="1809" width="7.28515625" style="554" customWidth="1"/>
    <col min="1810" max="2049" width="9.140625" style="554"/>
    <col min="2050" max="2050" width="8.28515625" style="554" customWidth="1"/>
    <col min="2051" max="2052" width="23.7109375" style="554" customWidth="1"/>
    <col min="2053" max="2053" width="9.42578125" style="554" customWidth="1"/>
    <col min="2054" max="2055" width="10.42578125" style="554" bestFit="1" customWidth="1"/>
    <col min="2056" max="2057" width="9.28515625" style="554" bestFit="1" customWidth="1"/>
    <col min="2058" max="2061" width="9.28515625" style="554" customWidth="1"/>
    <col min="2062" max="2062" width="10.42578125" style="554" bestFit="1" customWidth="1"/>
    <col min="2063" max="2063" width="9.140625" style="554"/>
    <col min="2064" max="2064" width="9.28515625" style="554" bestFit="1" customWidth="1"/>
    <col min="2065" max="2065" width="7.28515625" style="554" customWidth="1"/>
    <col min="2066" max="2305" width="9.140625" style="554"/>
    <col min="2306" max="2306" width="8.28515625" style="554" customWidth="1"/>
    <col min="2307" max="2308" width="23.7109375" style="554" customWidth="1"/>
    <col min="2309" max="2309" width="9.42578125" style="554" customWidth="1"/>
    <col min="2310" max="2311" width="10.42578125" style="554" bestFit="1" customWidth="1"/>
    <col min="2312" max="2313" width="9.28515625" style="554" bestFit="1" customWidth="1"/>
    <col min="2314" max="2317" width="9.28515625" style="554" customWidth="1"/>
    <col min="2318" max="2318" width="10.42578125" style="554" bestFit="1" customWidth="1"/>
    <col min="2319" max="2319" width="9.140625" style="554"/>
    <col min="2320" max="2320" width="9.28515625" style="554" bestFit="1" customWidth="1"/>
    <col min="2321" max="2321" width="7.28515625" style="554" customWidth="1"/>
    <col min="2322" max="2561" width="9.140625" style="554"/>
    <col min="2562" max="2562" width="8.28515625" style="554" customWidth="1"/>
    <col min="2563" max="2564" width="23.7109375" style="554" customWidth="1"/>
    <col min="2565" max="2565" width="9.42578125" style="554" customWidth="1"/>
    <col min="2566" max="2567" width="10.42578125" style="554" bestFit="1" customWidth="1"/>
    <col min="2568" max="2569" width="9.28515625" style="554" bestFit="1" customWidth="1"/>
    <col min="2570" max="2573" width="9.28515625" style="554" customWidth="1"/>
    <col min="2574" max="2574" width="10.42578125" style="554" bestFit="1" customWidth="1"/>
    <col min="2575" max="2575" width="9.140625" style="554"/>
    <col min="2576" max="2576" width="9.28515625" style="554" bestFit="1" customWidth="1"/>
    <col min="2577" max="2577" width="7.28515625" style="554" customWidth="1"/>
    <col min="2578" max="2817" width="9.140625" style="554"/>
    <col min="2818" max="2818" width="8.28515625" style="554" customWidth="1"/>
    <col min="2819" max="2820" width="23.7109375" style="554" customWidth="1"/>
    <col min="2821" max="2821" width="9.42578125" style="554" customWidth="1"/>
    <col min="2822" max="2823" width="10.42578125" style="554" bestFit="1" customWidth="1"/>
    <col min="2824" max="2825" width="9.28515625" style="554" bestFit="1" customWidth="1"/>
    <col min="2826" max="2829" width="9.28515625" style="554" customWidth="1"/>
    <col min="2830" max="2830" width="10.42578125" style="554" bestFit="1" customWidth="1"/>
    <col min="2831" max="2831" width="9.140625" style="554"/>
    <col min="2832" max="2832" width="9.28515625" style="554" bestFit="1" customWidth="1"/>
    <col min="2833" max="2833" width="7.28515625" style="554" customWidth="1"/>
    <col min="2834" max="3073" width="9.140625" style="554"/>
    <col min="3074" max="3074" width="8.28515625" style="554" customWidth="1"/>
    <col min="3075" max="3076" width="23.7109375" style="554" customWidth="1"/>
    <col min="3077" max="3077" width="9.42578125" style="554" customWidth="1"/>
    <col min="3078" max="3079" width="10.42578125" style="554" bestFit="1" customWidth="1"/>
    <col min="3080" max="3081" width="9.28515625" style="554" bestFit="1" customWidth="1"/>
    <col min="3082" max="3085" width="9.28515625" style="554" customWidth="1"/>
    <col min="3086" max="3086" width="10.42578125" style="554" bestFit="1" customWidth="1"/>
    <col min="3087" max="3087" width="9.140625" style="554"/>
    <col min="3088" max="3088" width="9.28515625" style="554" bestFit="1" customWidth="1"/>
    <col min="3089" max="3089" width="7.28515625" style="554" customWidth="1"/>
    <col min="3090" max="3329" width="9.140625" style="554"/>
    <col min="3330" max="3330" width="8.28515625" style="554" customWidth="1"/>
    <col min="3331" max="3332" width="23.7109375" style="554" customWidth="1"/>
    <col min="3333" max="3333" width="9.42578125" style="554" customWidth="1"/>
    <col min="3334" max="3335" width="10.42578125" style="554" bestFit="1" customWidth="1"/>
    <col min="3336" max="3337" width="9.28515625" style="554" bestFit="1" customWidth="1"/>
    <col min="3338" max="3341" width="9.28515625" style="554" customWidth="1"/>
    <col min="3342" max="3342" width="10.42578125" style="554" bestFit="1" customWidth="1"/>
    <col min="3343" max="3343" width="9.140625" style="554"/>
    <col min="3344" max="3344" width="9.28515625" style="554" bestFit="1" customWidth="1"/>
    <col min="3345" max="3345" width="7.28515625" style="554" customWidth="1"/>
    <col min="3346" max="3585" width="9.140625" style="554"/>
    <col min="3586" max="3586" width="8.28515625" style="554" customWidth="1"/>
    <col min="3587" max="3588" width="23.7109375" style="554" customWidth="1"/>
    <col min="3589" max="3589" width="9.42578125" style="554" customWidth="1"/>
    <col min="3590" max="3591" width="10.42578125" style="554" bestFit="1" customWidth="1"/>
    <col min="3592" max="3593" width="9.28515625" style="554" bestFit="1" customWidth="1"/>
    <col min="3594" max="3597" width="9.28515625" style="554" customWidth="1"/>
    <col min="3598" max="3598" width="10.42578125" style="554" bestFit="1" customWidth="1"/>
    <col min="3599" max="3599" width="9.140625" style="554"/>
    <col min="3600" max="3600" width="9.28515625" style="554" bestFit="1" customWidth="1"/>
    <col min="3601" max="3601" width="7.28515625" style="554" customWidth="1"/>
    <col min="3602" max="3841" width="9.140625" style="554"/>
    <col min="3842" max="3842" width="8.28515625" style="554" customWidth="1"/>
    <col min="3843" max="3844" width="23.7109375" style="554" customWidth="1"/>
    <col min="3845" max="3845" width="9.42578125" style="554" customWidth="1"/>
    <col min="3846" max="3847" width="10.42578125" style="554" bestFit="1" customWidth="1"/>
    <col min="3848" max="3849" width="9.28515625" style="554" bestFit="1" customWidth="1"/>
    <col min="3850" max="3853" width="9.28515625" style="554" customWidth="1"/>
    <col min="3854" max="3854" width="10.42578125" style="554" bestFit="1" customWidth="1"/>
    <col min="3855" max="3855" width="9.140625" style="554"/>
    <col min="3856" max="3856" width="9.28515625" style="554" bestFit="1" customWidth="1"/>
    <col min="3857" max="3857" width="7.28515625" style="554" customWidth="1"/>
    <col min="3858" max="4097" width="9.140625" style="554"/>
    <col min="4098" max="4098" width="8.28515625" style="554" customWidth="1"/>
    <col min="4099" max="4100" width="23.7109375" style="554" customWidth="1"/>
    <col min="4101" max="4101" width="9.42578125" style="554" customWidth="1"/>
    <col min="4102" max="4103" width="10.42578125" style="554" bestFit="1" customWidth="1"/>
    <col min="4104" max="4105" width="9.28515625" style="554" bestFit="1" customWidth="1"/>
    <col min="4106" max="4109" width="9.28515625" style="554" customWidth="1"/>
    <col min="4110" max="4110" width="10.42578125" style="554" bestFit="1" customWidth="1"/>
    <col min="4111" max="4111" width="9.140625" style="554"/>
    <col min="4112" max="4112" width="9.28515625" style="554" bestFit="1" customWidth="1"/>
    <col min="4113" max="4113" width="7.28515625" style="554" customWidth="1"/>
    <col min="4114" max="4353" width="9.140625" style="554"/>
    <col min="4354" max="4354" width="8.28515625" style="554" customWidth="1"/>
    <col min="4355" max="4356" width="23.7109375" style="554" customWidth="1"/>
    <col min="4357" max="4357" width="9.42578125" style="554" customWidth="1"/>
    <col min="4358" max="4359" width="10.42578125" style="554" bestFit="1" customWidth="1"/>
    <col min="4360" max="4361" width="9.28515625" style="554" bestFit="1" customWidth="1"/>
    <col min="4362" max="4365" width="9.28515625" style="554" customWidth="1"/>
    <col min="4366" max="4366" width="10.42578125" style="554" bestFit="1" customWidth="1"/>
    <col min="4367" max="4367" width="9.140625" style="554"/>
    <col min="4368" max="4368" width="9.28515625" style="554" bestFit="1" customWidth="1"/>
    <col min="4369" max="4369" width="7.28515625" style="554" customWidth="1"/>
    <col min="4370" max="4609" width="9.140625" style="554"/>
    <col min="4610" max="4610" width="8.28515625" style="554" customWidth="1"/>
    <col min="4611" max="4612" width="23.7109375" style="554" customWidth="1"/>
    <col min="4613" max="4613" width="9.42578125" style="554" customWidth="1"/>
    <col min="4614" max="4615" width="10.42578125" style="554" bestFit="1" customWidth="1"/>
    <col min="4616" max="4617" width="9.28515625" style="554" bestFit="1" customWidth="1"/>
    <col min="4618" max="4621" width="9.28515625" style="554" customWidth="1"/>
    <col min="4622" max="4622" width="10.42578125" style="554" bestFit="1" customWidth="1"/>
    <col min="4623" max="4623" width="9.140625" style="554"/>
    <col min="4624" max="4624" width="9.28515625" style="554" bestFit="1" customWidth="1"/>
    <col min="4625" max="4625" width="7.28515625" style="554" customWidth="1"/>
    <col min="4626" max="4865" width="9.140625" style="554"/>
    <col min="4866" max="4866" width="8.28515625" style="554" customWidth="1"/>
    <col min="4867" max="4868" width="23.7109375" style="554" customWidth="1"/>
    <col min="4869" max="4869" width="9.42578125" style="554" customWidth="1"/>
    <col min="4870" max="4871" width="10.42578125" style="554" bestFit="1" customWidth="1"/>
    <col min="4872" max="4873" width="9.28515625" style="554" bestFit="1" customWidth="1"/>
    <col min="4874" max="4877" width="9.28515625" style="554" customWidth="1"/>
    <col min="4878" max="4878" width="10.42578125" style="554" bestFit="1" customWidth="1"/>
    <col min="4879" max="4879" width="9.140625" style="554"/>
    <col min="4880" max="4880" width="9.28515625" style="554" bestFit="1" customWidth="1"/>
    <col min="4881" max="4881" width="7.28515625" style="554" customWidth="1"/>
    <col min="4882" max="5121" width="9.140625" style="554"/>
    <col min="5122" max="5122" width="8.28515625" style="554" customWidth="1"/>
    <col min="5123" max="5124" width="23.7109375" style="554" customWidth="1"/>
    <col min="5125" max="5125" width="9.42578125" style="554" customWidth="1"/>
    <col min="5126" max="5127" width="10.42578125" style="554" bestFit="1" customWidth="1"/>
    <col min="5128" max="5129" width="9.28515625" style="554" bestFit="1" customWidth="1"/>
    <col min="5130" max="5133" width="9.28515625" style="554" customWidth="1"/>
    <col min="5134" max="5134" width="10.42578125" style="554" bestFit="1" customWidth="1"/>
    <col min="5135" max="5135" width="9.140625" style="554"/>
    <col min="5136" max="5136" width="9.28515625" style="554" bestFit="1" customWidth="1"/>
    <col min="5137" max="5137" width="7.28515625" style="554" customWidth="1"/>
    <col min="5138" max="5377" width="9.140625" style="554"/>
    <col min="5378" max="5378" width="8.28515625" style="554" customWidth="1"/>
    <col min="5379" max="5380" width="23.7109375" style="554" customWidth="1"/>
    <col min="5381" max="5381" width="9.42578125" style="554" customWidth="1"/>
    <col min="5382" max="5383" width="10.42578125" style="554" bestFit="1" customWidth="1"/>
    <col min="5384" max="5385" width="9.28515625" style="554" bestFit="1" customWidth="1"/>
    <col min="5386" max="5389" width="9.28515625" style="554" customWidth="1"/>
    <col min="5390" max="5390" width="10.42578125" style="554" bestFit="1" customWidth="1"/>
    <col min="5391" max="5391" width="9.140625" style="554"/>
    <col min="5392" max="5392" width="9.28515625" style="554" bestFit="1" customWidth="1"/>
    <col min="5393" max="5393" width="7.28515625" style="554" customWidth="1"/>
    <col min="5394" max="5633" width="9.140625" style="554"/>
    <col min="5634" max="5634" width="8.28515625" style="554" customWidth="1"/>
    <col min="5635" max="5636" width="23.7109375" style="554" customWidth="1"/>
    <col min="5637" max="5637" width="9.42578125" style="554" customWidth="1"/>
    <col min="5638" max="5639" width="10.42578125" style="554" bestFit="1" customWidth="1"/>
    <col min="5640" max="5641" width="9.28515625" style="554" bestFit="1" customWidth="1"/>
    <col min="5642" max="5645" width="9.28515625" style="554" customWidth="1"/>
    <col min="5646" max="5646" width="10.42578125" style="554" bestFit="1" customWidth="1"/>
    <col min="5647" max="5647" width="9.140625" style="554"/>
    <col min="5648" max="5648" width="9.28515625" style="554" bestFit="1" customWidth="1"/>
    <col min="5649" max="5649" width="7.28515625" style="554" customWidth="1"/>
    <col min="5650" max="5889" width="9.140625" style="554"/>
    <col min="5890" max="5890" width="8.28515625" style="554" customWidth="1"/>
    <col min="5891" max="5892" width="23.7109375" style="554" customWidth="1"/>
    <col min="5893" max="5893" width="9.42578125" style="554" customWidth="1"/>
    <col min="5894" max="5895" width="10.42578125" style="554" bestFit="1" customWidth="1"/>
    <col min="5896" max="5897" width="9.28515625" style="554" bestFit="1" customWidth="1"/>
    <col min="5898" max="5901" width="9.28515625" style="554" customWidth="1"/>
    <col min="5902" max="5902" width="10.42578125" style="554" bestFit="1" customWidth="1"/>
    <col min="5903" max="5903" width="9.140625" style="554"/>
    <col min="5904" max="5904" width="9.28515625" style="554" bestFit="1" customWidth="1"/>
    <col min="5905" max="5905" width="7.28515625" style="554" customWidth="1"/>
    <col min="5906" max="6145" width="9.140625" style="554"/>
    <col min="6146" max="6146" width="8.28515625" style="554" customWidth="1"/>
    <col min="6147" max="6148" width="23.7109375" style="554" customWidth="1"/>
    <col min="6149" max="6149" width="9.42578125" style="554" customWidth="1"/>
    <col min="6150" max="6151" width="10.42578125" style="554" bestFit="1" customWidth="1"/>
    <col min="6152" max="6153" width="9.28515625" style="554" bestFit="1" customWidth="1"/>
    <col min="6154" max="6157" width="9.28515625" style="554" customWidth="1"/>
    <col min="6158" max="6158" width="10.42578125" style="554" bestFit="1" customWidth="1"/>
    <col min="6159" max="6159" width="9.140625" style="554"/>
    <col min="6160" max="6160" width="9.28515625" style="554" bestFit="1" customWidth="1"/>
    <col min="6161" max="6161" width="7.28515625" style="554" customWidth="1"/>
    <col min="6162" max="6401" width="9.140625" style="554"/>
    <col min="6402" max="6402" width="8.28515625" style="554" customWidth="1"/>
    <col min="6403" max="6404" width="23.7109375" style="554" customWidth="1"/>
    <col min="6405" max="6405" width="9.42578125" style="554" customWidth="1"/>
    <col min="6406" max="6407" width="10.42578125" style="554" bestFit="1" customWidth="1"/>
    <col min="6408" max="6409" width="9.28515625" style="554" bestFit="1" customWidth="1"/>
    <col min="6410" max="6413" width="9.28515625" style="554" customWidth="1"/>
    <col min="6414" max="6414" width="10.42578125" style="554" bestFit="1" customWidth="1"/>
    <col min="6415" max="6415" width="9.140625" style="554"/>
    <col min="6416" max="6416" width="9.28515625" style="554" bestFit="1" customWidth="1"/>
    <col min="6417" max="6417" width="7.28515625" style="554" customWidth="1"/>
    <col min="6418" max="6657" width="9.140625" style="554"/>
    <col min="6658" max="6658" width="8.28515625" style="554" customWidth="1"/>
    <col min="6659" max="6660" width="23.7109375" style="554" customWidth="1"/>
    <col min="6661" max="6661" width="9.42578125" style="554" customWidth="1"/>
    <col min="6662" max="6663" width="10.42578125" style="554" bestFit="1" customWidth="1"/>
    <col min="6664" max="6665" width="9.28515625" style="554" bestFit="1" customWidth="1"/>
    <col min="6666" max="6669" width="9.28515625" style="554" customWidth="1"/>
    <col min="6670" max="6670" width="10.42578125" style="554" bestFit="1" customWidth="1"/>
    <col min="6671" max="6671" width="9.140625" style="554"/>
    <col min="6672" max="6672" width="9.28515625" style="554" bestFit="1" customWidth="1"/>
    <col min="6673" max="6673" width="7.28515625" style="554" customWidth="1"/>
    <col min="6674" max="6913" width="9.140625" style="554"/>
    <col min="6914" max="6914" width="8.28515625" style="554" customWidth="1"/>
    <col min="6915" max="6916" width="23.7109375" style="554" customWidth="1"/>
    <col min="6917" max="6917" width="9.42578125" style="554" customWidth="1"/>
    <col min="6918" max="6919" width="10.42578125" style="554" bestFit="1" customWidth="1"/>
    <col min="6920" max="6921" width="9.28515625" style="554" bestFit="1" customWidth="1"/>
    <col min="6922" max="6925" width="9.28515625" style="554" customWidth="1"/>
    <col min="6926" max="6926" width="10.42578125" style="554" bestFit="1" customWidth="1"/>
    <col min="6927" max="6927" width="9.140625" style="554"/>
    <col min="6928" max="6928" width="9.28515625" style="554" bestFit="1" customWidth="1"/>
    <col min="6929" max="6929" width="7.28515625" style="554" customWidth="1"/>
    <col min="6930" max="7169" width="9.140625" style="554"/>
    <col min="7170" max="7170" width="8.28515625" style="554" customWidth="1"/>
    <col min="7171" max="7172" width="23.7109375" style="554" customWidth="1"/>
    <col min="7173" max="7173" width="9.42578125" style="554" customWidth="1"/>
    <col min="7174" max="7175" width="10.42578125" style="554" bestFit="1" customWidth="1"/>
    <col min="7176" max="7177" width="9.28515625" style="554" bestFit="1" customWidth="1"/>
    <col min="7178" max="7181" width="9.28515625" style="554" customWidth="1"/>
    <col min="7182" max="7182" width="10.42578125" style="554" bestFit="1" customWidth="1"/>
    <col min="7183" max="7183" width="9.140625" style="554"/>
    <col min="7184" max="7184" width="9.28515625" style="554" bestFit="1" customWidth="1"/>
    <col min="7185" max="7185" width="7.28515625" style="554" customWidth="1"/>
    <col min="7186" max="7425" width="9.140625" style="554"/>
    <col min="7426" max="7426" width="8.28515625" style="554" customWidth="1"/>
    <col min="7427" max="7428" width="23.7109375" style="554" customWidth="1"/>
    <col min="7429" max="7429" width="9.42578125" style="554" customWidth="1"/>
    <col min="7430" max="7431" width="10.42578125" style="554" bestFit="1" customWidth="1"/>
    <col min="7432" max="7433" width="9.28515625" style="554" bestFit="1" customWidth="1"/>
    <col min="7434" max="7437" width="9.28515625" style="554" customWidth="1"/>
    <col min="7438" max="7438" width="10.42578125" style="554" bestFit="1" customWidth="1"/>
    <col min="7439" max="7439" width="9.140625" style="554"/>
    <col min="7440" max="7440" width="9.28515625" style="554" bestFit="1" customWidth="1"/>
    <col min="7441" max="7441" width="7.28515625" style="554" customWidth="1"/>
    <col min="7442" max="7681" width="9.140625" style="554"/>
    <col min="7682" max="7682" width="8.28515625" style="554" customWidth="1"/>
    <col min="7683" max="7684" width="23.7109375" style="554" customWidth="1"/>
    <col min="7685" max="7685" width="9.42578125" style="554" customWidth="1"/>
    <col min="7686" max="7687" width="10.42578125" style="554" bestFit="1" customWidth="1"/>
    <col min="7688" max="7689" width="9.28515625" style="554" bestFit="1" customWidth="1"/>
    <col min="7690" max="7693" width="9.28515625" style="554" customWidth="1"/>
    <col min="7694" max="7694" width="10.42578125" style="554" bestFit="1" customWidth="1"/>
    <col min="7695" max="7695" width="9.140625" style="554"/>
    <col min="7696" max="7696" width="9.28515625" style="554" bestFit="1" customWidth="1"/>
    <col min="7697" max="7697" width="7.28515625" style="554" customWidth="1"/>
    <col min="7698" max="7937" width="9.140625" style="554"/>
    <col min="7938" max="7938" width="8.28515625" style="554" customWidth="1"/>
    <col min="7939" max="7940" width="23.7109375" style="554" customWidth="1"/>
    <col min="7941" max="7941" width="9.42578125" style="554" customWidth="1"/>
    <col min="7942" max="7943" width="10.42578125" style="554" bestFit="1" customWidth="1"/>
    <col min="7944" max="7945" width="9.28515625" style="554" bestFit="1" customWidth="1"/>
    <col min="7946" max="7949" width="9.28515625" style="554" customWidth="1"/>
    <col min="7950" max="7950" width="10.42578125" style="554" bestFit="1" customWidth="1"/>
    <col min="7951" max="7951" width="9.140625" style="554"/>
    <col min="7952" max="7952" width="9.28515625" style="554" bestFit="1" customWidth="1"/>
    <col min="7953" max="7953" width="7.28515625" style="554" customWidth="1"/>
    <col min="7954" max="8193" width="9.140625" style="554"/>
    <col min="8194" max="8194" width="8.28515625" style="554" customWidth="1"/>
    <col min="8195" max="8196" width="23.7109375" style="554" customWidth="1"/>
    <col min="8197" max="8197" width="9.42578125" style="554" customWidth="1"/>
    <col min="8198" max="8199" width="10.42578125" style="554" bestFit="1" customWidth="1"/>
    <col min="8200" max="8201" width="9.28515625" style="554" bestFit="1" customWidth="1"/>
    <col min="8202" max="8205" width="9.28515625" style="554" customWidth="1"/>
    <col min="8206" max="8206" width="10.42578125" style="554" bestFit="1" customWidth="1"/>
    <col min="8207" max="8207" width="9.140625" style="554"/>
    <col min="8208" max="8208" width="9.28515625" style="554" bestFit="1" customWidth="1"/>
    <col min="8209" max="8209" width="7.28515625" style="554" customWidth="1"/>
    <col min="8210" max="8449" width="9.140625" style="554"/>
    <col min="8450" max="8450" width="8.28515625" style="554" customWidth="1"/>
    <col min="8451" max="8452" width="23.7109375" style="554" customWidth="1"/>
    <col min="8453" max="8453" width="9.42578125" style="554" customWidth="1"/>
    <col min="8454" max="8455" width="10.42578125" style="554" bestFit="1" customWidth="1"/>
    <col min="8456" max="8457" width="9.28515625" style="554" bestFit="1" customWidth="1"/>
    <col min="8458" max="8461" width="9.28515625" style="554" customWidth="1"/>
    <col min="8462" max="8462" width="10.42578125" style="554" bestFit="1" customWidth="1"/>
    <col min="8463" max="8463" width="9.140625" style="554"/>
    <col min="8464" max="8464" width="9.28515625" style="554" bestFit="1" customWidth="1"/>
    <col min="8465" max="8465" width="7.28515625" style="554" customWidth="1"/>
    <col min="8466" max="8705" width="9.140625" style="554"/>
    <col min="8706" max="8706" width="8.28515625" style="554" customWidth="1"/>
    <col min="8707" max="8708" width="23.7109375" style="554" customWidth="1"/>
    <col min="8709" max="8709" width="9.42578125" style="554" customWidth="1"/>
    <col min="8710" max="8711" width="10.42578125" style="554" bestFit="1" customWidth="1"/>
    <col min="8712" max="8713" width="9.28515625" style="554" bestFit="1" customWidth="1"/>
    <col min="8714" max="8717" width="9.28515625" style="554" customWidth="1"/>
    <col min="8718" max="8718" width="10.42578125" style="554" bestFit="1" customWidth="1"/>
    <col min="8719" max="8719" width="9.140625" style="554"/>
    <col min="8720" max="8720" width="9.28515625" style="554" bestFit="1" customWidth="1"/>
    <col min="8721" max="8721" width="7.28515625" style="554" customWidth="1"/>
    <col min="8722" max="8961" width="9.140625" style="554"/>
    <col min="8962" max="8962" width="8.28515625" style="554" customWidth="1"/>
    <col min="8963" max="8964" width="23.7109375" style="554" customWidth="1"/>
    <col min="8965" max="8965" width="9.42578125" style="554" customWidth="1"/>
    <col min="8966" max="8967" width="10.42578125" style="554" bestFit="1" customWidth="1"/>
    <col min="8968" max="8969" width="9.28515625" style="554" bestFit="1" customWidth="1"/>
    <col min="8970" max="8973" width="9.28515625" style="554" customWidth="1"/>
    <col min="8974" max="8974" width="10.42578125" style="554" bestFit="1" customWidth="1"/>
    <col min="8975" max="8975" width="9.140625" style="554"/>
    <col min="8976" max="8976" width="9.28515625" style="554" bestFit="1" customWidth="1"/>
    <col min="8977" max="8977" width="7.28515625" style="554" customWidth="1"/>
    <col min="8978" max="9217" width="9.140625" style="554"/>
    <col min="9218" max="9218" width="8.28515625" style="554" customWidth="1"/>
    <col min="9219" max="9220" width="23.7109375" style="554" customWidth="1"/>
    <col min="9221" max="9221" width="9.42578125" style="554" customWidth="1"/>
    <col min="9222" max="9223" width="10.42578125" style="554" bestFit="1" customWidth="1"/>
    <col min="9224" max="9225" width="9.28515625" style="554" bestFit="1" customWidth="1"/>
    <col min="9226" max="9229" width="9.28515625" style="554" customWidth="1"/>
    <col min="9230" max="9230" width="10.42578125" style="554" bestFit="1" customWidth="1"/>
    <col min="9231" max="9231" width="9.140625" style="554"/>
    <col min="9232" max="9232" width="9.28515625" style="554" bestFit="1" customWidth="1"/>
    <col min="9233" max="9233" width="7.28515625" style="554" customWidth="1"/>
    <col min="9234" max="9473" width="9.140625" style="554"/>
    <col min="9474" max="9474" width="8.28515625" style="554" customWidth="1"/>
    <col min="9475" max="9476" width="23.7109375" style="554" customWidth="1"/>
    <col min="9477" max="9477" width="9.42578125" style="554" customWidth="1"/>
    <col min="9478" max="9479" width="10.42578125" style="554" bestFit="1" customWidth="1"/>
    <col min="9480" max="9481" width="9.28515625" style="554" bestFit="1" customWidth="1"/>
    <col min="9482" max="9485" width="9.28515625" style="554" customWidth="1"/>
    <col min="9486" max="9486" width="10.42578125" style="554" bestFit="1" customWidth="1"/>
    <col min="9487" max="9487" width="9.140625" style="554"/>
    <col min="9488" max="9488" width="9.28515625" style="554" bestFit="1" customWidth="1"/>
    <col min="9489" max="9489" width="7.28515625" style="554" customWidth="1"/>
    <col min="9490" max="9729" width="9.140625" style="554"/>
    <col min="9730" max="9730" width="8.28515625" style="554" customWidth="1"/>
    <col min="9731" max="9732" width="23.7109375" style="554" customWidth="1"/>
    <col min="9733" max="9733" width="9.42578125" style="554" customWidth="1"/>
    <col min="9734" max="9735" width="10.42578125" style="554" bestFit="1" customWidth="1"/>
    <col min="9736" max="9737" width="9.28515625" style="554" bestFit="1" customWidth="1"/>
    <col min="9738" max="9741" width="9.28515625" style="554" customWidth="1"/>
    <col min="9742" max="9742" width="10.42578125" style="554" bestFit="1" customWidth="1"/>
    <col min="9743" max="9743" width="9.140625" style="554"/>
    <col min="9744" max="9744" width="9.28515625" style="554" bestFit="1" customWidth="1"/>
    <col min="9745" max="9745" width="7.28515625" style="554" customWidth="1"/>
    <col min="9746" max="9985" width="9.140625" style="554"/>
    <col min="9986" max="9986" width="8.28515625" style="554" customWidth="1"/>
    <col min="9987" max="9988" width="23.7109375" style="554" customWidth="1"/>
    <col min="9989" max="9989" width="9.42578125" style="554" customWidth="1"/>
    <col min="9990" max="9991" width="10.42578125" style="554" bestFit="1" customWidth="1"/>
    <col min="9992" max="9993" width="9.28515625" style="554" bestFit="1" customWidth="1"/>
    <col min="9994" max="9997" width="9.28515625" style="554" customWidth="1"/>
    <col min="9998" max="9998" width="10.42578125" style="554" bestFit="1" customWidth="1"/>
    <col min="9999" max="9999" width="9.140625" style="554"/>
    <col min="10000" max="10000" width="9.28515625" style="554" bestFit="1" customWidth="1"/>
    <col min="10001" max="10001" width="7.28515625" style="554" customWidth="1"/>
    <col min="10002" max="10241" width="9.140625" style="554"/>
    <col min="10242" max="10242" width="8.28515625" style="554" customWidth="1"/>
    <col min="10243" max="10244" width="23.7109375" style="554" customWidth="1"/>
    <col min="10245" max="10245" width="9.42578125" style="554" customWidth="1"/>
    <col min="10246" max="10247" width="10.42578125" style="554" bestFit="1" customWidth="1"/>
    <col min="10248" max="10249" width="9.28515625" style="554" bestFit="1" customWidth="1"/>
    <col min="10250" max="10253" width="9.28515625" style="554" customWidth="1"/>
    <col min="10254" max="10254" width="10.42578125" style="554" bestFit="1" customWidth="1"/>
    <col min="10255" max="10255" width="9.140625" style="554"/>
    <col min="10256" max="10256" width="9.28515625" style="554" bestFit="1" customWidth="1"/>
    <col min="10257" max="10257" width="7.28515625" style="554" customWidth="1"/>
    <col min="10258" max="10497" width="9.140625" style="554"/>
    <col min="10498" max="10498" width="8.28515625" style="554" customWidth="1"/>
    <col min="10499" max="10500" width="23.7109375" style="554" customWidth="1"/>
    <col min="10501" max="10501" width="9.42578125" style="554" customWidth="1"/>
    <col min="10502" max="10503" width="10.42578125" style="554" bestFit="1" customWidth="1"/>
    <col min="10504" max="10505" width="9.28515625" style="554" bestFit="1" customWidth="1"/>
    <col min="10506" max="10509" width="9.28515625" style="554" customWidth="1"/>
    <col min="10510" max="10510" width="10.42578125" style="554" bestFit="1" customWidth="1"/>
    <col min="10511" max="10511" width="9.140625" style="554"/>
    <col min="10512" max="10512" width="9.28515625" style="554" bestFit="1" customWidth="1"/>
    <col min="10513" max="10513" width="7.28515625" style="554" customWidth="1"/>
    <col min="10514" max="10753" width="9.140625" style="554"/>
    <col min="10754" max="10754" width="8.28515625" style="554" customWidth="1"/>
    <col min="10755" max="10756" width="23.7109375" style="554" customWidth="1"/>
    <col min="10757" max="10757" width="9.42578125" style="554" customWidth="1"/>
    <col min="10758" max="10759" width="10.42578125" style="554" bestFit="1" customWidth="1"/>
    <col min="10760" max="10761" width="9.28515625" style="554" bestFit="1" customWidth="1"/>
    <col min="10762" max="10765" width="9.28515625" style="554" customWidth="1"/>
    <col min="10766" max="10766" width="10.42578125" style="554" bestFit="1" customWidth="1"/>
    <col min="10767" max="10767" width="9.140625" style="554"/>
    <col min="10768" max="10768" width="9.28515625" style="554" bestFit="1" customWidth="1"/>
    <col min="10769" max="10769" width="7.28515625" style="554" customWidth="1"/>
    <col min="10770" max="11009" width="9.140625" style="554"/>
    <col min="11010" max="11010" width="8.28515625" style="554" customWidth="1"/>
    <col min="11011" max="11012" width="23.7109375" style="554" customWidth="1"/>
    <col min="11013" max="11013" width="9.42578125" style="554" customWidth="1"/>
    <col min="11014" max="11015" width="10.42578125" style="554" bestFit="1" customWidth="1"/>
    <col min="11016" max="11017" width="9.28515625" style="554" bestFit="1" customWidth="1"/>
    <col min="11018" max="11021" width="9.28515625" style="554" customWidth="1"/>
    <col min="11022" max="11022" width="10.42578125" style="554" bestFit="1" customWidth="1"/>
    <col min="11023" max="11023" width="9.140625" style="554"/>
    <col min="11024" max="11024" width="9.28515625" style="554" bestFit="1" customWidth="1"/>
    <col min="11025" max="11025" width="7.28515625" style="554" customWidth="1"/>
    <col min="11026" max="11265" width="9.140625" style="554"/>
    <col min="11266" max="11266" width="8.28515625" style="554" customWidth="1"/>
    <col min="11267" max="11268" width="23.7109375" style="554" customWidth="1"/>
    <col min="11269" max="11269" width="9.42578125" style="554" customWidth="1"/>
    <col min="11270" max="11271" width="10.42578125" style="554" bestFit="1" customWidth="1"/>
    <col min="11272" max="11273" width="9.28515625" style="554" bestFit="1" customWidth="1"/>
    <col min="11274" max="11277" width="9.28515625" style="554" customWidth="1"/>
    <col min="11278" max="11278" width="10.42578125" style="554" bestFit="1" customWidth="1"/>
    <col min="11279" max="11279" width="9.140625" style="554"/>
    <col min="11280" max="11280" width="9.28515625" style="554" bestFit="1" customWidth="1"/>
    <col min="11281" max="11281" width="7.28515625" style="554" customWidth="1"/>
    <col min="11282" max="11521" width="9.140625" style="554"/>
    <col min="11522" max="11522" width="8.28515625" style="554" customWidth="1"/>
    <col min="11523" max="11524" width="23.7109375" style="554" customWidth="1"/>
    <col min="11525" max="11525" width="9.42578125" style="554" customWidth="1"/>
    <col min="11526" max="11527" width="10.42578125" style="554" bestFit="1" customWidth="1"/>
    <col min="11528" max="11529" width="9.28515625" style="554" bestFit="1" customWidth="1"/>
    <col min="11530" max="11533" width="9.28515625" style="554" customWidth="1"/>
    <col min="11534" max="11534" width="10.42578125" style="554" bestFit="1" customWidth="1"/>
    <col min="11535" max="11535" width="9.140625" style="554"/>
    <col min="11536" max="11536" width="9.28515625" style="554" bestFit="1" customWidth="1"/>
    <col min="11537" max="11537" width="7.28515625" style="554" customWidth="1"/>
    <col min="11538" max="11777" width="9.140625" style="554"/>
    <col min="11778" max="11778" width="8.28515625" style="554" customWidth="1"/>
    <col min="11779" max="11780" width="23.7109375" style="554" customWidth="1"/>
    <col min="11781" max="11781" width="9.42578125" style="554" customWidth="1"/>
    <col min="11782" max="11783" width="10.42578125" style="554" bestFit="1" customWidth="1"/>
    <col min="11784" max="11785" width="9.28515625" style="554" bestFit="1" customWidth="1"/>
    <col min="11786" max="11789" width="9.28515625" style="554" customWidth="1"/>
    <col min="11790" max="11790" width="10.42578125" style="554" bestFit="1" customWidth="1"/>
    <col min="11791" max="11791" width="9.140625" style="554"/>
    <col min="11792" max="11792" width="9.28515625" style="554" bestFit="1" customWidth="1"/>
    <col min="11793" max="11793" width="7.28515625" style="554" customWidth="1"/>
    <col min="11794" max="12033" width="9.140625" style="554"/>
    <col min="12034" max="12034" width="8.28515625" style="554" customWidth="1"/>
    <col min="12035" max="12036" width="23.7109375" style="554" customWidth="1"/>
    <col min="12037" max="12037" width="9.42578125" style="554" customWidth="1"/>
    <col min="12038" max="12039" width="10.42578125" style="554" bestFit="1" customWidth="1"/>
    <col min="12040" max="12041" width="9.28515625" style="554" bestFit="1" customWidth="1"/>
    <col min="12042" max="12045" width="9.28515625" style="554" customWidth="1"/>
    <col min="12046" max="12046" width="10.42578125" style="554" bestFit="1" customWidth="1"/>
    <col min="12047" max="12047" width="9.140625" style="554"/>
    <col min="12048" max="12048" width="9.28515625" style="554" bestFit="1" customWidth="1"/>
    <col min="12049" max="12049" width="7.28515625" style="554" customWidth="1"/>
    <col min="12050" max="12289" width="9.140625" style="554"/>
    <col min="12290" max="12290" width="8.28515625" style="554" customWidth="1"/>
    <col min="12291" max="12292" width="23.7109375" style="554" customWidth="1"/>
    <col min="12293" max="12293" width="9.42578125" style="554" customWidth="1"/>
    <col min="12294" max="12295" width="10.42578125" style="554" bestFit="1" customWidth="1"/>
    <col min="12296" max="12297" width="9.28515625" style="554" bestFit="1" customWidth="1"/>
    <col min="12298" max="12301" width="9.28515625" style="554" customWidth="1"/>
    <col min="12302" max="12302" width="10.42578125" style="554" bestFit="1" customWidth="1"/>
    <col min="12303" max="12303" width="9.140625" style="554"/>
    <col min="12304" max="12304" width="9.28515625" style="554" bestFit="1" customWidth="1"/>
    <col min="12305" max="12305" width="7.28515625" style="554" customWidth="1"/>
    <col min="12306" max="12545" width="9.140625" style="554"/>
    <col min="12546" max="12546" width="8.28515625" style="554" customWidth="1"/>
    <col min="12547" max="12548" width="23.7109375" style="554" customWidth="1"/>
    <col min="12549" max="12549" width="9.42578125" style="554" customWidth="1"/>
    <col min="12550" max="12551" width="10.42578125" style="554" bestFit="1" customWidth="1"/>
    <col min="12552" max="12553" width="9.28515625" style="554" bestFit="1" customWidth="1"/>
    <col min="12554" max="12557" width="9.28515625" style="554" customWidth="1"/>
    <col min="12558" max="12558" width="10.42578125" style="554" bestFit="1" customWidth="1"/>
    <col min="12559" max="12559" width="9.140625" style="554"/>
    <col min="12560" max="12560" width="9.28515625" style="554" bestFit="1" customWidth="1"/>
    <col min="12561" max="12561" width="7.28515625" style="554" customWidth="1"/>
    <col min="12562" max="12801" width="9.140625" style="554"/>
    <col min="12802" max="12802" width="8.28515625" style="554" customWidth="1"/>
    <col min="12803" max="12804" width="23.7109375" style="554" customWidth="1"/>
    <col min="12805" max="12805" width="9.42578125" style="554" customWidth="1"/>
    <col min="12806" max="12807" width="10.42578125" style="554" bestFit="1" customWidth="1"/>
    <col min="12808" max="12809" width="9.28515625" style="554" bestFit="1" customWidth="1"/>
    <col min="12810" max="12813" width="9.28515625" style="554" customWidth="1"/>
    <col min="12814" max="12814" width="10.42578125" style="554" bestFit="1" customWidth="1"/>
    <col min="12815" max="12815" width="9.140625" style="554"/>
    <col min="12816" max="12816" width="9.28515625" style="554" bestFit="1" customWidth="1"/>
    <col min="12817" max="12817" width="7.28515625" style="554" customWidth="1"/>
    <col min="12818" max="13057" width="9.140625" style="554"/>
    <col min="13058" max="13058" width="8.28515625" style="554" customWidth="1"/>
    <col min="13059" max="13060" width="23.7109375" style="554" customWidth="1"/>
    <col min="13061" max="13061" width="9.42578125" style="554" customWidth="1"/>
    <col min="13062" max="13063" width="10.42578125" style="554" bestFit="1" customWidth="1"/>
    <col min="13064" max="13065" width="9.28515625" style="554" bestFit="1" customWidth="1"/>
    <col min="13066" max="13069" width="9.28515625" style="554" customWidth="1"/>
    <col min="13070" max="13070" width="10.42578125" style="554" bestFit="1" customWidth="1"/>
    <col min="13071" max="13071" width="9.140625" style="554"/>
    <col min="13072" max="13072" width="9.28515625" style="554" bestFit="1" customWidth="1"/>
    <col min="13073" max="13073" width="7.28515625" style="554" customWidth="1"/>
    <col min="13074" max="13313" width="9.140625" style="554"/>
    <col min="13314" max="13314" width="8.28515625" style="554" customWidth="1"/>
    <col min="13315" max="13316" width="23.7109375" style="554" customWidth="1"/>
    <col min="13317" max="13317" width="9.42578125" style="554" customWidth="1"/>
    <col min="13318" max="13319" width="10.42578125" style="554" bestFit="1" customWidth="1"/>
    <col min="13320" max="13321" width="9.28515625" style="554" bestFit="1" customWidth="1"/>
    <col min="13322" max="13325" width="9.28515625" style="554" customWidth="1"/>
    <col min="13326" max="13326" width="10.42578125" style="554" bestFit="1" customWidth="1"/>
    <col min="13327" max="13327" width="9.140625" style="554"/>
    <col min="13328" max="13328" width="9.28515625" style="554" bestFit="1" customWidth="1"/>
    <col min="13329" max="13329" width="7.28515625" style="554" customWidth="1"/>
    <col min="13330" max="13569" width="9.140625" style="554"/>
    <col min="13570" max="13570" width="8.28515625" style="554" customWidth="1"/>
    <col min="13571" max="13572" width="23.7109375" style="554" customWidth="1"/>
    <col min="13573" max="13573" width="9.42578125" style="554" customWidth="1"/>
    <col min="13574" max="13575" width="10.42578125" style="554" bestFit="1" customWidth="1"/>
    <col min="13576" max="13577" width="9.28515625" style="554" bestFit="1" customWidth="1"/>
    <col min="13578" max="13581" width="9.28515625" style="554" customWidth="1"/>
    <col min="13582" max="13582" width="10.42578125" style="554" bestFit="1" customWidth="1"/>
    <col min="13583" max="13583" width="9.140625" style="554"/>
    <col min="13584" max="13584" width="9.28515625" style="554" bestFit="1" customWidth="1"/>
    <col min="13585" max="13585" width="7.28515625" style="554" customWidth="1"/>
    <col min="13586" max="13825" width="9.140625" style="554"/>
    <col min="13826" max="13826" width="8.28515625" style="554" customWidth="1"/>
    <col min="13827" max="13828" width="23.7109375" style="554" customWidth="1"/>
    <col min="13829" max="13829" width="9.42578125" style="554" customWidth="1"/>
    <col min="13830" max="13831" width="10.42578125" style="554" bestFit="1" customWidth="1"/>
    <col min="13832" max="13833" width="9.28515625" style="554" bestFit="1" customWidth="1"/>
    <col min="13834" max="13837" width="9.28515625" style="554" customWidth="1"/>
    <col min="13838" max="13838" width="10.42578125" style="554" bestFit="1" customWidth="1"/>
    <col min="13839" max="13839" width="9.140625" style="554"/>
    <col min="13840" max="13840" width="9.28515625" style="554" bestFit="1" customWidth="1"/>
    <col min="13841" max="13841" width="7.28515625" style="554" customWidth="1"/>
    <col min="13842" max="14081" width="9.140625" style="554"/>
    <col min="14082" max="14082" width="8.28515625" style="554" customWidth="1"/>
    <col min="14083" max="14084" width="23.7109375" style="554" customWidth="1"/>
    <col min="14085" max="14085" width="9.42578125" style="554" customWidth="1"/>
    <col min="14086" max="14087" width="10.42578125" style="554" bestFit="1" customWidth="1"/>
    <col min="14088" max="14089" width="9.28515625" style="554" bestFit="1" customWidth="1"/>
    <col min="14090" max="14093" width="9.28515625" style="554" customWidth="1"/>
    <col min="14094" max="14094" width="10.42578125" style="554" bestFit="1" customWidth="1"/>
    <col min="14095" max="14095" width="9.140625" style="554"/>
    <col min="14096" max="14096" width="9.28515625" style="554" bestFit="1" customWidth="1"/>
    <col min="14097" max="14097" width="7.28515625" style="554" customWidth="1"/>
    <col min="14098" max="14337" width="9.140625" style="554"/>
    <col min="14338" max="14338" width="8.28515625" style="554" customWidth="1"/>
    <col min="14339" max="14340" width="23.7109375" style="554" customWidth="1"/>
    <col min="14341" max="14341" width="9.42578125" style="554" customWidth="1"/>
    <col min="14342" max="14343" width="10.42578125" style="554" bestFit="1" customWidth="1"/>
    <col min="14344" max="14345" width="9.28515625" style="554" bestFit="1" customWidth="1"/>
    <col min="14346" max="14349" width="9.28515625" style="554" customWidth="1"/>
    <col min="14350" max="14350" width="10.42578125" style="554" bestFit="1" customWidth="1"/>
    <col min="14351" max="14351" width="9.140625" style="554"/>
    <col min="14352" max="14352" width="9.28515625" style="554" bestFit="1" customWidth="1"/>
    <col min="14353" max="14353" width="7.28515625" style="554" customWidth="1"/>
    <col min="14354" max="14593" width="9.140625" style="554"/>
    <col min="14594" max="14594" width="8.28515625" style="554" customWidth="1"/>
    <col min="14595" max="14596" width="23.7109375" style="554" customWidth="1"/>
    <col min="14597" max="14597" width="9.42578125" style="554" customWidth="1"/>
    <col min="14598" max="14599" width="10.42578125" style="554" bestFit="1" customWidth="1"/>
    <col min="14600" max="14601" width="9.28515625" style="554" bestFit="1" customWidth="1"/>
    <col min="14602" max="14605" width="9.28515625" style="554" customWidth="1"/>
    <col min="14606" max="14606" width="10.42578125" style="554" bestFit="1" customWidth="1"/>
    <col min="14607" max="14607" width="9.140625" style="554"/>
    <col min="14608" max="14608" width="9.28515625" style="554" bestFit="1" customWidth="1"/>
    <col min="14609" max="14609" width="7.28515625" style="554" customWidth="1"/>
    <col min="14610" max="14849" width="9.140625" style="554"/>
    <col min="14850" max="14850" width="8.28515625" style="554" customWidth="1"/>
    <col min="14851" max="14852" width="23.7109375" style="554" customWidth="1"/>
    <col min="14853" max="14853" width="9.42578125" style="554" customWidth="1"/>
    <col min="14854" max="14855" width="10.42578125" style="554" bestFit="1" customWidth="1"/>
    <col min="14856" max="14857" width="9.28515625" style="554" bestFit="1" customWidth="1"/>
    <col min="14858" max="14861" width="9.28515625" style="554" customWidth="1"/>
    <col min="14862" max="14862" width="10.42578125" style="554" bestFit="1" customWidth="1"/>
    <col min="14863" max="14863" width="9.140625" style="554"/>
    <col min="14864" max="14864" width="9.28515625" style="554" bestFit="1" customWidth="1"/>
    <col min="14865" max="14865" width="7.28515625" style="554" customWidth="1"/>
    <col min="14866" max="15105" width="9.140625" style="554"/>
    <col min="15106" max="15106" width="8.28515625" style="554" customWidth="1"/>
    <col min="15107" max="15108" width="23.7109375" style="554" customWidth="1"/>
    <col min="15109" max="15109" width="9.42578125" style="554" customWidth="1"/>
    <col min="15110" max="15111" width="10.42578125" style="554" bestFit="1" customWidth="1"/>
    <col min="15112" max="15113" width="9.28515625" style="554" bestFit="1" customWidth="1"/>
    <col min="15114" max="15117" width="9.28515625" style="554" customWidth="1"/>
    <col min="15118" max="15118" width="10.42578125" style="554" bestFit="1" customWidth="1"/>
    <col min="15119" max="15119" width="9.140625" style="554"/>
    <col min="15120" max="15120" width="9.28515625" style="554" bestFit="1" customWidth="1"/>
    <col min="15121" max="15121" width="7.28515625" style="554" customWidth="1"/>
    <col min="15122" max="15361" width="9.140625" style="554"/>
    <col min="15362" max="15362" width="8.28515625" style="554" customWidth="1"/>
    <col min="15363" max="15364" width="23.7109375" style="554" customWidth="1"/>
    <col min="15365" max="15365" width="9.42578125" style="554" customWidth="1"/>
    <col min="15366" max="15367" width="10.42578125" style="554" bestFit="1" customWidth="1"/>
    <col min="15368" max="15369" width="9.28515625" style="554" bestFit="1" customWidth="1"/>
    <col min="15370" max="15373" width="9.28515625" style="554" customWidth="1"/>
    <col min="15374" max="15374" width="10.42578125" style="554" bestFit="1" customWidth="1"/>
    <col min="15375" max="15375" width="9.140625" style="554"/>
    <col min="15376" max="15376" width="9.28515625" style="554" bestFit="1" customWidth="1"/>
    <col min="15377" max="15377" width="7.28515625" style="554" customWidth="1"/>
    <col min="15378" max="15617" width="9.140625" style="554"/>
    <col min="15618" max="15618" width="8.28515625" style="554" customWidth="1"/>
    <col min="15619" max="15620" width="23.7109375" style="554" customWidth="1"/>
    <col min="15621" max="15621" width="9.42578125" style="554" customWidth="1"/>
    <col min="15622" max="15623" width="10.42578125" style="554" bestFit="1" customWidth="1"/>
    <col min="15624" max="15625" width="9.28515625" style="554" bestFit="1" customWidth="1"/>
    <col min="15626" max="15629" width="9.28515625" style="554" customWidth="1"/>
    <col min="15630" max="15630" width="10.42578125" style="554" bestFit="1" customWidth="1"/>
    <col min="15631" max="15631" width="9.140625" style="554"/>
    <col min="15632" max="15632" width="9.28515625" style="554" bestFit="1" customWidth="1"/>
    <col min="15633" max="15633" width="7.28515625" style="554" customWidth="1"/>
    <col min="15634" max="15873" width="9.140625" style="554"/>
    <col min="15874" max="15874" width="8.28515625" style="554" customWidth="1"/>
    <col min="15875" max="15876" width="23.7109375" style="554" customWidth="1"/>
    <col min="15877" max="15877" width="9.42578125" style="554" customWidth="1"/>
    <col min="15878" max="15879" width="10.42578125" style="554" bestFit="1" customWidth="1"/>
    <col min="15880" max="15881" width="9.28515625" style="554" bestFit="1" customWidth="1"/>
    <col min="15882" max="15885" width="9.28515625" style="554" customWidth="1"/>
    <col min="15886" max="15886" width="10.42578125" style="554" bestFit="1" customWidth="1"/>
    <col min="15887" max="15887" width="9.140625" style="554"/>
    <col min="15888" max="15888" width="9.28515625" style="554" bestFit="1" customWidth="1"/>
    <col min="15889" max="15889" width="7.28515625" style="554" customWidth="1"/>
    <col min="15890" max="16129" width="9.140625" style="554"/>
    <col min="16130" max="16130" width="8.28515625" style="554" customWidth="1"/>
    <col min="16131" max="16132" width="23.7109375" style="554" customWidth="1"/>
    <col min="16133" max="16133" width="9.42578125" style="554" customWidth="1"/>
    <col min="16134" max="16135" width="10.42578125" style="554" bestFit="1" customWidth="1"/>
    <col min="16136" max="16137" width="9.28515625" style="554" bestFit="1" customWidth="1"/>
    <col min="16138" max="16141" width="9.28515625" style="554" customWidth="1"/>
    <col min="16142" max="16142" width="10.42578125" style="554" bestFit="1" customWidth="1"/>
    <col min="16143" max="16143" width="9.140625" style="554"/>
    <col min="16144" max="16144" width="9.28515625" style="554" bestFit="1" customWidth="1"/>
    <col min="16145" max="16145" width="7.28515625" style="554" customWidth="1"/>
    <col min="16146" max="16384" width="9.140625" style="554"/>
  </cols>
  <sheetData>
    <row r="2" spans="1:22" ht="15.75">
      <c r="A2" s="1521" t="s">
        <v>3588</v>
      </c>
      <c r="B2" s="1521"/>
      <c r="C2" s="1521"/>
      <c r="D2" s="1521"/>
      <c r="E2" s="1521"/>
      <c r="F2" s="1521"/>
      <c r="G2" s="1521"/>
      <c r="H2" s="1521"/>
      <c r="I2" s="1521"/>
      <c r="J2" s="1521"/>
      <c r="K2" s="1521"/>
      <c r="L2" s="1521"/>
      <c r="M2" s="1521"/>
      <c r="N2" s="1521"/>
      <c r="O2" s="1521"/>
      <c r="P2" s="1521"/>
      <c r="Q2" s="1521"/>
    </row>
    <row r="4" spans="1:22" ht="15.75" thickBot="1"/>
    <row r="5" spans="1:22" ht="37.5" customHeight="1" thickTop="1">
      <c r="A5" s="1522" t="s">
        <v>0</v>
      </c>
      <c r="B5" s="1524" t="s">
        <v>3616</v>
      </c>
      <c r="C5" s="1526" t="s">
        <v>3616</v>
      </c>
      <c r="D5" s="1529" t="s">
        <v>3617</v>
      </c>
      <c r="E5" s="1532" t="s">
        <v>3618</v>
      </c>
      <c r="F5" s="1533"/>
      <c r="G5" s="1533"/>
      <c r="H5" s="1533"/>
      <c r="I5" s="1533"/>
      <c r="J5" s="1533"/>
      <c r="K5" s="1533"/>
      <c r="L5" s="1533"/>
      <c r="M5" s="1534"/>
      <c r="N5" s="1529" t="s">
        <v>3619</v>
      </c>
      <c r="O5" s="1535" t="s">
        <v>3620</v>
      </c>
      <c r="P5" s="1529" t="s">
        <v>3621</v>
      </c>
      <c r="Q5" s="1538" t="s">
        <v>2809</v>
      </c>
    </row>
    <row r="6" spans="1:22" ht="15" customHeight="1">
      <c r="A6" s="1523"/>
      <c r="B6" s="1525"/>
      <c r="C6" s="1527"/>
      <c r="D6" s="1530"/>
      <c r="E6" s="1519" t="s">
        <v>3622</v>
      </c>
      <c r="F6" s="1519" t="s">
        <v>3623</v>
      </c>
      <c r="G6" s="1519" t="s">
        <v>3624</v>
      </c>
      <c r="H6" s="1519" t="s">
        <v>3625</v>
      </c>
      <c r="I6" s="1519" t="s">
        <v>3626</v>
      </c>
      <c r="J6" s="1519" t="s">
        <v>3657</v>
      </c>
      <c r="K6" s="1519" t="s">
        <v>3627</v>
      </c>
      <c r="L6" s="1519" t="s">
        <v>3628</v>
      </c>
      <c r="M6" s="1519" t="s">
        <v>3629</v>
      </c>
      <c r="N6" s="1530"/>
      <c r="O6" s="1536"/>
      <c r="P6" s="1530"/>
      <c r="Q6" s="1539"/>
    </row>
    <row r="7" spans="1:22" ht="161.25" customHeight="1">
      <c r="A7" s="1523"/>
      <c r="B7" s="1525"/>
      <c r="C7" s="1528"/>
      <c r="D7" s="1531"/>
      <c r="E7" s="1520"/>
      <c r="F7" s="1520"/>
      <c r="G7" s="1520"/>
      <c r="H7" s="1520"/>
      <c r="I7" s="1520"/>
      <c r="J7" s="1520"/>
      <c r="K7" s="1520"/>
      <c r="L7" s="1520"/>
      <c r="M7" s="1520"/>
      <c r="N7" s="1531"/>
      <c r="O7" s="1537"/>
      <c r="P7" s="1531"/>
      <c r="Q7" s="1539"/>
    </row>
    <row r="8" spans="1:22" s="567" customFormat="1" ht="14.25">
      <c r="A8" s="638" t="s">
        <v>3486</v>
      </c>
      <c r="B8" s="569" t="s">
        <v>3585</v>
      </c>
      <c r="C8" s="569"/>
      <c r="D8" s="569"/>
      <c r="E8" s="569"/>
      <c r="F8" s="569"/>
      <c r="G8" s="569"/>
      <c r="H8" s="569"/>
      <c r="I8" s="569"/>
      <c r="J8" s="569"/>
      <c r="K8" s="569"/>
      <c r="L8" s="569"/>
      <c r="M8" s="569"/>
      <c r="N8" s="569"/>
      <c r="O8" s="569"/>
      <c r="P8" s="569"/>
      <c r="Q8" s="639"/>
    </row>
    <row r="9" spans="1:22">
      <c r="A9" s="640">
        <v>1</v>
      </c>
      <c r="B9" s="557" t="s">
        <v>3630</v>
      </c>
      <c r="C9" s="557" t="s">
        <v>3647</v>
      </c>
      <c r="D9" s="557">
        <v>50</v>
      </c>
      <c r="E9" s="557"/>
      <c r="F9" s="557"/>
      <c r="G9" s="557"/>
      <c r="H9" s="557"/>
      <c r="I9" s="557"/>
      <c r="J9" s="557"/>
      <c r="K9" s="557"/>
      <c r="L9" s="557"/>
      <c r="M9" s="557"/>
      <c r="N9" s="557">
        <f>D9</f>
        <v>50</v>
      </c>
      <c r="O9" s="557">
        <v>2</v>
      </c>
      <c r="P9" s="581">
        <f>D9/15</f>
        <v>3.3333333333333335</v>
      </c>
      <c r="Q9" s="641"/>
      <c r="S9" s="554">
        <f t="shared" ref="S9:S25" si="0">SUM(E9:N9)</f>
        <v>50</v>
      </c>
      <c r="T9" s="554" t="str">
        <f>IF(D9=S9,"ok",)</f>
        <v>ok</v>
      </c>
    </row>
    <row r="10" spans="1:22">
      <c r="A10" s="640">
        <v>2</v>
      </c>
      <c r="B10" s="557" t="s">
        <v>3647</v>
      </c>
      <c r="C10" s="557" t="s">
        <v>3631</v>
      </c>
      <c r="D10" s="557">
        <v>22</v>
      </c>
      <c r="E10" s="557">
        <v>16</v>
      </c>
      <c r="F10" s="557"/>
      <c r="G10" s="557"/>
      <c r="H10" s="557"/>
      <c r="I10" s="557"/>
      <c r="J10" s="557"/>
      <c r="K10" s="557">
        <f>D10-E10</f>
        <v>6</v>
      </c>
      <c r="L10" s="557"/>
      <c r="M10" s="557"/>
      <c r="N10" s="557"/>
      <c r="O10" s="557">
        <v>1</v>
      </c>
      <c r="P10" s="581">
        <f t="shared" ref="P10:P106" si="1">D10/15</f>
        <v>1.4666666666666666</v>
      </c>
      <c r="Q10" s="641"/>
      <c r="S10" s="554">
        <f t="shared" si="0"/>
        <v>22</v>
      </c>
      <c r="T10" s="554" t="str">
        <f t="shared" ref="T10:T97" si="2">IF(D10=S10,"ok",)</f>
        <v>ok</v>
      </c>
    </row>
    <row r="11" spans="1:22">
      <c r="A11" s="640">
        <v>3</v>
      </c>
      <c r="B11" s="557" t="s">
        <v>3631</v>
      </c>
      <c r="C11" s="557" t="s">
        <v>3632</v>
      </c>
      <c r="D11" s="557">
        <v>37</v>
      </c>
      <c r="E11" s="557"/>
      <c r="F11" s="557"/>
      <c r="G11" s="557"/>
      <c r="H11" s="557"/>
      <c r="I11" s="557"/>
      <c r="J11" s="557"/>
      <c r="K11" s="557"/>
      <c r="L11" s="557"/>
      <c r="M11" s="557"/>
      <c r="N11" s="557">
        <f>D11</f>
        <v>37</v>
      </c>
      <c r="O11" s="557">
        <v>1</v>
      </c>
      <c r="P11" s="581">
        <f t="shared" si="1"/>
        <v>2.4666666666666668</v>
      </c>
      <c r="Q11" s="641"/>
      <c r="S11" s="554">
        <f t="shared" si="0"/>
        <v>37</v>
      </c>
      <c r="T11" s="554" t="str">
        <f t="shared" si="2"/>
        <v>ok</v>
      </c>
    </row>
    <row r="12" spans="1:22">
      <c r="A12" s="640">
        <v>4</v>
      </c>
      <c r="B12" s="557" t="s">
        <v>3632</v>
      </c>
      <c r="C12" s="557" t="s">
        <v>3644</v>
      </c>
      <c r="D12" s="557">
        <v>25</v>
      </c>
      <c r="E12" s="557">
        <v>18</v>
      </c>
      <c r="F12" s="557"/>
      <c r="G12" s="557"/>
      <c r="H12" s="557"/>
      <c r="I12" s="557"/>
      <c r="J12" s="557"/>
      <c r="K12" s="557">
        <v>7</v>
      </c>
      <c r="L12" s="557"/>
      <c r="M12" s="557"/>
      <c r="N12" s="557"/>
      <c r="O12" s="557">
        <v>1</v>
      </c>
      <c r="P12" s="581">
        <f t="shared" si="1"/>
        <v>1.6666666666666667</v>
      </c>
      <c r="Q12" s="641"/>
      <c r="S12" s="554">
        <f t="shared" si="0"/>
        <v>25</v>
      </c>
      <c r="T12" s="554" t="str">
        <f t="shared" si="2"/>
        <v>ok</v>
      </c>
      <c r="V12" s="554">
        <f>66+34</f>
        <v>100</v>
      </c>
    </row>
    <row r="13" spans="1:22">
      <c r="A13" s="640">
        <v>5</v>
      </c>
      <c r="B13" s="557" t="s">
        <v>3644</v>
      </c>
      <c r="C13" s="557" t="s">
        <v>3649</v>
      </c>
      <c r="D13" s="557">
        <v>184</v>
      </c>
      <c r="E13" s="557"/>
      <c r="F13" s="557"/>
      <c r="G13" s="557"/>
      <c r="H13" s="557"/>
      <c r="I13" s="557"/>
      <c r="J13" s="557"/>
      <c r="K13" s="557"/>
      <c r="L13" s="557"/>
      <c r="M13" s="557"/>
      <c r="N13" s="557">
        <f>D13</f>
        <v>184</v>
      </c>
      <c r="O13" s="557">
        <v>1</v>
      </c>
      <c r="P13" s="581">
        <f t="shared" si="1"/>
        <v>12.266666666666667</v>
      </c>
      <c r="Q13" s="641"/>
      <c r="S13" s="554">
        <f t="shared" si="0"/>
        <v>184</v>
      </c>
      <c r="T13" s="554" t="str">
        <f t="shared" si="2"/>
        <v>ok</v>
      </c>
    </row>
    <row r="14" spans="1:22">
      <c r="A14" s="640">
        <v>6</v>
      </c>
      <c r="B14" s="557" t="s">
        <v>3630</v>
      </c>
      <c r="C14" s="557" t="s">
        <v>3648</v>
      </c>
      <c r="D14" s="557">
        <v>25</v>
      </c>
      <c r="E14" s="557"/>
      <c r="F14" s="557">
        <v>11</v>
      </c>
      <c r="G14" s="557"/>
      <c r="H14" s="557"/>
      <c r="I14" s="557"/>
      <c r="J14" s="557"/>
      <c r="K14" s="557"/>
      <c r="L14" s="557">
        <v>14</v>
      </c>
      <c r="M14" s="557"/>
      <c r="N14" s="557"/>
      <c r="O14" s="557">
        <v>1</v>
      </c>
      <c r="P14" s="581">
        <f t="shared" si="1"/>
        <v>1.6666666666666667</v>
      </c>
      <c r="Q14" s="641"/>
      <c r="S14" s="554">
        <f t="shared" si="0"/>
        <v>25</v>
      </c>
      <c r="T14" s="554" t="str">
        <f t="shared" si="2"/>
        <v>ok</v>
      </c>
    </row>
    <row r="15" spans="1:22">
      <c r="A15" s="640">
        <v>7</v>
      </c>
      <c r="B15" s="557" t="s">
        <v>3648</v>
      </c>
      <c r="C15" s="557" t="s">
        <v>3650</v>
      </c>
      <c r="D15" s="557">
        <v>41</v>
      </c>
      <c r="E15" s="557"/>
      <c r="F15" s="557"/>
      <c r="G15" s="557"/>
      <c r="H15" s="557"/>
      <c r="I15" s="557"/>
      <c r="J15" s="557"/>
      <c r="K15" s="557"/>
      <c r="L15" s="557"/>
      <c r="M15" s="557"/>
      <c r="N15" s="557">
        <f>D15</f>
        <v>41</v>
      </c>
      <c r="O15" s="557">
        <v>1</v>
      </c>
      <c r="P15" s="581">
        <f t="shared" si="1"/>
        <v>2.7333333333333334</v>
      </c>
      <c r="Q15" s="641"/>
      <c r="S15" s="554">
        <f t="shared" si="0"/>
        <v>41</v>
      </c>
      <c r="T15" s="554" t="str">
        <f t="shared" si="2"/>
        <v>ok</v>
      </c>
    </row>
    <row r="16" spans="1:22">
      <c r="A16" s="640">
        <v>8</v>
      </c>
      <c r="B16" s="557" t="s">
        <v>3650</v>
      </c>
      <c r="C16" s="557" t="s">
        <v>3633</v>
      </c>
      <c r="D16" s="557">
        <v>22</v>
      </c>
      <c r="E16" s="557">
        <v>4</v>
      </c>
      <c r="F16" s="557">
        <v>12</v>
      </c>
      <c r="G16" s="557"/>
      <c r="H16" s="557"/>
      <c r="I16" s="557"/>
      <c r="J16" s="557"/>
      <c r="K16" s="557">
        <v>6</v>
      </c>
      <c r="L16" s="557"/>
      <c r="M16" s="557"/>
      <c r="N16" s="557"/>
      <c r="O16" s="557">
        <v>1</v>
      </c>
      <c r="P16" s="581">
        <f t="shared" si="1"/>
        <v>1.4666666666666666</v>
      </c>
      <c r="Q16" s="641"/>
      <c r="S16" s="554">
        <f t="shared" si="0"/>
        <v>22</v>
      </c>
      <c r="T16" s="554" t="str">
        <f t="shared" si="2"/>
        <v>ok</v>
      </c>
    </row>
    <row r="17" spans="1:20">
      <c r="A17" s="640">
        <v>9</v>
      </c>
      <c r="B17" s="557" t="s">
        <v>3633</v>
      </c>
      <c r="C17" s="557" t="s">
        <v>3651</v>
      </c>
      <c r="D17" s="557">
        <v>37</v>
      </c>
      <c r="E17" s="557"/>
      <c r="F17" s="557"/>
      <c r="G17" s="557"/>
      <c r="H17" s="557"/>
      <c r="I17" s="557"/>
      <c r="J17" s="557"/>
      <c r="K17" s="557"/>
      <c r="L17" s="557"/>
      <c r="M17" s="557"/>
      <c r="N17" s="557">
        <f>D17</f>
        <v>37</v>
      </c>
      <c r="O17" s="557">
        <v>1</v>
      </c>
      <c r="P17" s="581">
        <f t="shared" si="1"/>
        <v>2.4666666666666668</v>
      </c>
      <c r="Q17" s="641"/>
      <c r="S17" s="554">
        <f t="shared" si="0"/>
        <v>37</v>
      </c>
      <c r="T17" s="554" t="str">
        <f t="shared" si="2"/>
        <v>ok</v>
      </c>
    </row>
    <row r="18" spans="1:20">
      <c r="A18" s="640">
        <v>10</v>
      </c>
      <c r="B18" s="557" t="s">
        <v>3651</v>
      </c>
      <c r="C18" s="557" t="s">
        <v>3634</v>
      </c>
      <c r="D18" s="557">
        <v>22</v>
      </c>
      <c r="E18" s="557">
        <v>14</v>
      </c>
      <c r="F18" s="557"/>
      <c r="G18" s="557"/>
      <c r="H18" s="557"/>
      <c r="I18" s="557"/>
      <c r="J18" s="557"/>
      <c r="K18" s="557">
        <v>8</v>
      </c>
      <c r="L18" s="557"/>
      <c r="M18" s="557"/>
      <c r="N18" s="557"/>
      <c r="O18" s="557">
        <v>1</v>
      </c>
      <c r="P18" s="581">
        <f t="shared" si="1"/>
        <v>1.4666666666666666</v>
      </c>
      <c r="Q18" s="641"/>
      <c r="S18" s="554">
        <f t="shared" si="0"/>
        <v>22</v>
      </c>
      <c r="T18" s="554" t="str">
        <f t="shared" si="2"/>
        <v>ok</v>
      </c>
    </row>
    <row r="19" spans="1:20">
      <c r="A19" s="640">
        <v>11</v>
      </c>
      <c r="B19" s="557" t="s">
        <v>3634</v>
      </c>
      <c r="C19" s="557" t="s">
        <v>3635</v>
      </c>
      <c r="D19" s="557">
        <v>184</v>
      </c>
      <c r="E19" s="557"/>
      <c r="F19" s="557"/>
      <c r="G19" s="557"/>
      <c r="H19" s="557"/>
      <c r="I19" s="557"/>
      <c r="J19" s="557"/>
      <c r="K19" s="557"/>
      <c r="L19" s="557"/>
      <c r="M19" s="557"/>
      <c r="N19" s="557">
        <f>D19</f>
        <v>184</v>
      </c>
      <c r="O19" s="557">
        <v>1</v>
      </c>
      <c r="P19" s="581">
        <f t="shared" si="1"/>
        <v>12.266666666666667</v>
      </c>
      <c r="Q19" s="641"/>
      <c r="S19" s="554">
        <f t="shared" si="0"/>
        <v>184</v>
      </c>
      <c r="T19" s="554" t="str">
        <f t="shared" si="2"/>
        <v>ok</v>
      </c>
    </row>
    <row r="20" spans="1:20">
      <c r="A20" s="640">
        <v>12</v>
      </c>
      <c r="B20" s="557" t="s">
        <v>3631</v>
      </c>
      <c r="C20" s="557" t="s">
        <v>3652</v>
      </c>
      <c r="D20" s="557">
        <v>36</v>
      </c>
      <c r="E20" s="557">
        <f>D20</f>
        <v>36</v>
      </c>
      <c r="F20" s="557"/>
      <c r="G20" s="557"/>
      <c r="H20" s="557"/>
      <c r="I20" s="557"/>
      <c r="J20" s="557"/>
      <c r="K20" s="557"/>
      <c r="L20" s="557"/>
      <c r="M20" s="557"/>
      <c r="N20" s="557"/>
      <c r="O20" s="557"/>
      <c r="P20" s="581">
        <f t="shared" si="1"/>
        <v>2.4</v>
      </c>
      <c r="Q20" s="641"/>
      <c r="S20" s="554">
        <f t="shared" si="0"/>
        <v>36</v>
      </c>
      <c r="T20" s="554" t="str">
        <f t="shared" si="2"/>
        <v>ok</v>
      </c>
    </row>
    <row r="21" spans="1:20">
      <c r="A21" s="640">
        <v>13</v>
      </c>
      <c r="B21" s="557" t="s">
        <v>3652</v>
      </c>
      <c r="C21" s="557" t="s">
        <v>3653</v>
      </c>
      <c r="D21" s="557">
        <v>35</v>
      </c>
      <c r="E21" s="557">
        <f>D21</f>
        <v>35</v>
      </c>
      <c r="F21" s="557"/>
      <c r="G21" s="557"/>
      <c r="H21" s="557"/>
      <c r="I21" s="557"/>
      <c r="J21" s="557"/>
      <c r="K21" s="557"/>
      <c r="L21" s="557"/>
      <c r="M21" s="557"/>
      <c r="N21" s="557"/>
      <c r="O21" s="557"/>
      <c r="P21" s="581">
        <f t="shared" si="1"/>
        <v>2.3333333333333335</v>
      </c>
      <c r="Q21" s="641"/>
      <c r="S21" s="554">
        <f t="shared" si="0"/>
        <v>35</v>
      </c>
      <c r="T21" s="554" t="str">
        <f t="shared" si="2"/>
        <v>ok</v>
      </c>
    </row>
    <row r="22" spans="1:20">
      <c r="A22" s="640">
        <v>14</v>
      </c>
      <c r="B22" s="557" t="s">
        <v>3653</v>
      </c>
      <c r="C22" s="557" t="s">
        <v>3654</v>
      </c>
      <c r="D22" s="557">
        <v>60</v>
      </c>
      <c r="E22" s="557">
        <f>D22</f>
        <v>60</v>
      </c>
      <c r="F22" s="557"/>
      <c r="G22" s="557"/>
      <c r="H22" s="557"/>
      <c r="I22" s="557"/>
      <c r="J22" s="557"/>
      <c r="K22" s="557"/>
      <c r="L22" s="557"/>
      <c r="M22" s="557"/>
      <c r="N22" s="557"/>
      <c r="O22" s="557"/>
      <c r="P22" s="581">
        <f t="shared" si="1"/>
        <v>4</v>
      </c>
      <c r="Q22" s="641"/>
      <c r="S22" s="554">
        <f t="shared" si="0"/>
        <v>60</v>
      </c>
      <c r="T22" s="554" t="str">
        <f t="shared" si="2"/>
        <v>ok</v>
      </c>
    </row>
    <row r="23" spans="1:20">
      <c r="A23" s="640">
        <v>15</v>
      </c>
      <c r="B23" s="557" t="s">
        <v>3632</v>
      </c>
      <c r="C23" s="557" t="s">
        <v>3655</v>
      </c>
      <c r="D23" s="557">
        <v>36</v>
      </c>
      <c r="E23" s="557">
        <f>D23</f>
        <v>36</v>
      </c>
      <c r="F23" s="557"/>
      <c r="G23" s="557"/>
      <c r="H23" s="557"/>
      <c r="I23" s="557"/>
      <c r="J23" s="557"/>
      <c r="K23" s="557"/>
      <c r="L23" s="557"/>
      <c r="M23" s="557"/>
      <c r="N23" s="557"/>
      <c r="O23" s="557"/>
      <c r="P23" s="581">
        <f t="shared" si="1"/>
        <v>2.4</v>
      </c>
      <c r="Q23" s="641"/>
      <c r="S23" s="554">
        <f t="shared" si="0"/>
        <v>36</v>
      </c>
      <c r="T23" s="554" t="str">
        <f t="shared" si="2"/>
        <v>ok</v>
      </c>
    </row>
    <row r="24" spans="1:20">
      <c r="A24" s="640">
        <v>16</v>
      </c>
      <c r="B24" s="557" t="s">
        <v>3655</v>
      </c>
      <c r="C24" s="557" t="s">
        <v>3656</v>
      </c>
      <c r="D24" s="557">
        <v>35</v>
      </c>
      <c r="E24" s="557">
        <f>D24</f>
        <v>35</v>
      </c>
      <c r="F24" s="557"/>
      <c r="G24" s="557"/>
      <c r="H24" s="557"/>
      <c r="I24" s="557"/>
      <c r="J24" s="557"/>
      <c r="K24" s="557"/>
      <c r="L24" s="557"/>
      <c r="M24" s="557"/>
      <c r="N24" s="557"/>
      <c r="O24" s="557"/>
      <c r="P24" s="581">
        <f t="shared" si="1"/>
        <v>2.3333333333333335</v>
      </c>
      <c r="Q24" s="641"/>
      <c r="S24" s="554">
        <f t="shared" si="0"/>
        <v>35</v>
      </c>
      <c r="T24" s="554" t="str">
        <f t="shared" si="2"/>
        <v>ok</v>
      </c>
    </row>
    <row r="25" spans="1:20">
      <c r="A25" s="640">
        <v>17</v>
      </c>
      <c r="B25" s="557" t="s">
        <v>3656</v>
      </c>
      <c r="C25" s="557" t="s">
        <v>3654</v>
      </c>
      <c r="D25" s="557">
        <v>60</v>
      </c>
      <c r="E25" s="557"/>
      <c r="F25" s="557"/>
      <c r="G25" s="557"/>
      <c r="H25" s="557"/>
      <c r="I25" s="557"/>
      <c r="J25" s="557">
        <f>D25</f>
        <v>60</v>
      </c>
      <c r="K25" s="557"/>
      <c r="L25" s="557"/>
      <c r="M25" s="557"/>
      <c r="N25" s="557"/>
      <c r="O25" s="557"/>
      <c r="P25" s="581">
        <f t="shared" si="1"/>
        <v>4</v>
      </c>
      <c r="Q25" s="641"/>
      <c r="S25" s="554">
        <f t="shared" si="0"/>
        <v>60</v>
      </c>
      <c r="T25" s="554" t="str">
        <f t="shared" si="2"/>
        <v>ok</v>
      </c>
    </row>
    <row r="26" spans="1:20">
      <c r="A26" s="640">
        <v>18</v>
      </c>
      <c r="B26" s="557" t="s">
        <v>3648</v>
      </c>
      <c r="C26" s="557" t="s">
        <v>3658</v>
      </c>
      <c r="D26" s="557">
        <v>41</v>
      </c>
      <c r="E26" s="557">
        <f>D26</f>
        <v>41</v>
      </c>
      <c r="F26" s="557"/>
      <c r="G26" s="557"/>
      <c r="H26" s="557"/>
      <c r="I26" s="557"/>
      <c r="J26" s="557"/>
      <c r="K26" s="557"/>
      <c r="L26" s="557"/>
      <c r="M26" s="557"/>
      <c r="N26" s="557"/>
      <c r="O26" s="557"/>
      <c r="P26" s="581">
        <f t="shared" si="1"/>
        <v>2.7333333333333334</v>
      </c>
      <c r="Q26" s="641"/>
      <c r="S26" s="554">
        <f t="shared" ref="S26:S36" si="3">SUM(E26:N26)</f>
        <v>41</v>
      </c>
      <c r="T26" s="554" t="str">
        <f t="shared" ref="T26:T36" si="4">IF(D26=S26,"ok",)</f>
        <v>ok</v>
      </c>
    </row>
    <row r="27" spans="1:20">
      <c r="A27" s="640">
        <v>19</v>
      </c>
      <c r="B27" s="557" t="s">
        <v>3658</v>
      </c>
      <c r="C27" s="557" t="s">
        <v>3659</v>
      </c>
      <c r="D27" s="557">
        <v>40</v>
      </c>
      <c r="E27" s="557">
        <f>D27</f>
        <v>40</v>
      </c>
      <c r="F27" s="557"/>
      <c r="G27" s="557"/>
      <c r="H27" s="557"/>
      <c r="I27" s="557"/>
      <c r="J27" s="557"/>
      <c r="K27" s="557"/>
      <c r="L27" s="557"/>
      <c r="M27" s="557"/>
      <c r="N27" s="557"/>
      <c r="O27" s="557"/>
      <c r="P27" s="581">
        <f t="shared" si="1"/>
        <v>2.6666666666666665</v>
      </c>
      <c r="Q27" s="641"/>
      <c r="S27" s="554">
        <f t="shared" si="3"/>
        <v>40</v>
      </c>
      <c r="T27" s="554" t="str">
        <f t="shared" si="4"/>
        <v>ok</v>
      </c>
    </row>
    <row r="28" spans="1:20">
      <c r="A28" s="640">
        <v>20</v>
      </c>
      <c r="B28" s="557" t="s">
        <v>3659</v>
      </c>
      <c r="C28" s="557" t="s">
        <v>3660</v>
      </c>
      <c r="D28" s="557">
        <v>72</v>
      </c>
      <c r="E28" s="557">
        <f>D28</f>
        <v>72</v>
      </c>
      <c r="F28" s="557"/>
      <c r="G28" s="557"/>
      <c r="H28" s="557"/>
      <c r="I28" s="557"/>
      <c r="J28" s="557"/>
      <c r="K28" s="557"/>
      <c r="L28" s="557"/>
      <c r="M28" s="557"/>
      <c r="N28" s="557"/>
      <c r="O28" s="557"/>
      <c r="P28" s="581">
        <f t="shared" si="1"/>
        <v>4.8</v>
      </c>
      <c r="Q28" s="641"/>
      <c r="S28" s="554">
        <f t="shared" si="3"/>
        <v>72</v>
      </c>
      <c r="T28" s="554" t="str">
        <f t="shared" si="4"/>
        <v>ok</v>
      </c>
    </row>
    <row r="29" spans="1:20">
      <c r="A29" s="640">
        <v>21</v>
      </c>
      <c r="B29" s="557" t="s">
        <v>3650</v>
      </c>
      <c r="C29" s="557" t="s">
        <v>3661</v>
      </c>
      <c r="D29" s="557">
        <v>35</v>
      </c>
      <c r="E29" s="557">
        <f>D29</f>
        <v>35</v>
      </c>
      <c r="F29" s="557"/>
      <c r="G29" s="557"/>
      <c r="H29" s="557"/>
      <c r="I29" s="557"/>
      <c r="J29" s="557"/>
      <c r="K29" s="557"/>
      <c r="L29" s="557"/>
      <c r="M29" s="557"/>
      <c r="N29" s="557"/>
      <c r="O29" s="557"/>
      <c r="P29" s="581">
        <f t="shared" si="1"/>
        <v>2.3333333333333335</v>
      </c>
      <c r="Q29" s="641"/>
      <c r="S29" s="554">
        <f t="shared" si="3"/>
        <v>35</v>
      </c>
      <c r="T29" s="554" t="str">
        <f t="shared" si="4"/>
        <v>ok</v>
      </c>
    </row>
    <row r="30" spans="1:20">
      <c r="A30" s="640">
        <v>22</v>
      </c>
      <c r="B30" s="557" t="s">
        <v>3661</v>
      </c>
      <c r="C30" s="557" t="s">
        <v>3662</v>
      </c>
      <c r="D30" s="557">
        <v>40</v>
      </c>
      <c r="E30" s="557">
        <f>D30</f>
        <v>40</v>
      </c>
      <c r="F30" s="557"/>
      <c r="G30" s="557"/>
      <c r="H30" s="557"/>
      <c r="I30" s="557"/>
      <c r="J30" s="557"/>
      <c r="K30" s="557"/>
      <c r="L30" s="557"/>
      <c r="M30" s="557"/>
      <c r="N30" s="557"/>
      <c r="O30" s="557"/>
      <c r="P30" s="581">
        <f t="shared" si="1"/>
        <v>2.6666666666666665</v>
      </c>
      <c r="Q30" s="641"/>
      <c r="S30" s="554">
        <f t="shared" si="3"/>
        <v>40</v>
      </c>
      <c r="T30" s="554" t="str">
        <f t="shared" si="4"/>
        <v>ok</v>
      </c>
    </row>
    <row r="31" spans="1:20">
      <c r="A31" s="640">
        <v>23</v>
      </c>
      <c r="B31" s="557" t="s">
        <v>3662</v>
      </c>
      <c r="C31" s="557" t="s">
        <v>3660</v>
      </c>
      <c r="D31" s="557">
        <v>72</v>
      </c>
      <c r="E31" s="557"/>
      <c r="F31" s="557"/>
      <c r="G31" s="557"/>
      <c r="H31" s="557"/>
      <c r="I31" s="557"/>
      <c r="J31" s="557">
        <f>D31</f>
        <v>72</v>
      </c>
      <c r="K31" s="557"/>
      <c r="L31" s="557"/>
      <c r="M31" s="557"/>
      <c r="N31" s="557"/>
      <c r="O31" s="557"/>
      <c r="P31" s="581">
        <f t="shared" si="1"/>
        <v>4.8</v>
      </c>
      <c r="Q31" s="641"/>
      <c r="S31" s="554">
        <f t="shared" si="3"/>
        <v>72</v>
      </c>
      <c r="T31" s="554" t="str">
        <f t="shared" si="4"/>
        <v>ok</v>
      </c>
    </row>
    <row r="32" spans="1:20">
      <c r="A32" s="640">
        <v>24</v>
      </c>
      <c r="B32" s="557" t="s">
        <v>3633</v>
      </c>
      <c r="C32" s="557" t="s">
        <v>3663</v>
      </c>
      <c r="D32" s="557">
        <v>35</v>
      </c>
      <c r="E32" s="557">
        <f>D32</f>
        <v>35</v>
      </c>
      <c r="F32" s="557"/>
      <c r="G32" s="557"/>
      <c r="H32" s="557"/>
      <c r="I32" s="557"/>
      <c r="J32" s="557"/>
      <c r="K32" s="557"/>
      <c r="L32" s="557"/>
      <c r="M32" s="557"/>
      <c r="N32" s="557"/>
      <c r="O32" s="557"/>
      <c r="P32" s="581">
        <f t="shared" si="1"/>
        <v>2.3333333333333335</v>
      </c>
      <c r="Q32" s="641"/>
      <c r="S32" s="554">
        <f t="shared" si="3"/>
        <v>35</v>
      </c>
      <c r="T32" s="554" t="str">
        <f t="shared" si="4"/>
        <v>ok</v>
      </c>
    </row>
    <row r="33" spans="1:21">
      <c r="A33" s="640">
        <v>25</v>
      </c>
      <c r="B33" s="557" t="s">
        <v>3663</v>
      </c>
      <c r="C33" s="557" t="s">
        <v>3664</v>
      </c>
      <c r="D33" s="557">
        <v>40</v>
      </c>
      <c r="E33" s="557">
        <f>D33</f>
        <v>40</v>
      </c>
      <c r="F33" s="557"/>
      <c r="G33" s="557"/>
      <c r="H33" s="557"/>
      <c r="I33" s="557"/>
      <c r="J33" s="557"/>
      <c r="K33" s="557"/>
      <c r="L33" s="557"/>
      <c r="M33" s="557"/>
      <c r="N33" s="557"/>
      <c r="O33" s="557"/>
      <c r="P33" s="581">
        <f t="shared" si="1"/>
        <v>2.6666666666666665</v>
      </c>
      <c r="Q33" s="641"/>
      <c r="S33" s="554">
        <f t="shared" si="3"/>
        <v>40</v>
      </c>
      <c r="T33" s="554" t="str">
        <f t="shared" si="4"/>
        <v>ok</v>
      </c>
    </row>
    <row r="34" spans="1:21">
      <c r="A34" s="640">
        <v>26</v>
      </c>
      <c r="B34" s="557" t="s">
        <v>3664</v>
      </c>
      <c r="C34" s="557" t="s">
        <v>3665</v>
      </c>
      <c r="D34" s="557">
        <v>72</v>
      </c>
      <c r="E34" s="557">
        <f>D34</f>
        <v>72</v>
      </c>
      <c r="F34" s="557"/>
      <c r="G34" s="557"/>
      <c r="H34" s="557"/>
      <c r="I34" s="557"/>
      <c r="J34" s="557"/>
      <c r="K34" s="557"/>
      <c r="L34" s="557"/>
      <c r="M34" s="557"/>
      <c r="N34" s="557"/>
      <c r="O34" s="557"/>
      <c r="P34" s="581">
        <f t="shared" si="1"/>
        <v>4.8</v>
      </c>
      <c r="Q34" s="641"/>
      <c r="S34" s="554">
        <f t="shared" si="3"/>
        <v>72</v>
      </c>
      <c r="T34" s="554" t="str">
        <f t="shared" si="4"/>
        <v>ok</v>
      </c>
    </row>
    <row r="35" spans="1:21">
      <c r="A35" s="640">
        <v>27</v>
      </c>
      <c r="B35" s="557" t="s">
        <v>3651</v>
      </c>
      <c r="C35" s="557" t="s">
        <v>3666</v>
      </c>
      <c r="D35" s="557">
        <v>41</v>
      </c>
      <c r="E35" s="557">
        <f>D35</f>
        <v>41</v>
      </c>
      <c r="F35" s="557"/>
      <c r="G35" s="557"/>
      <c r="H35" s="557"/>
      <c r="I35" s="557"/>
      <c r="J35" s="557"/>
      <c r="K35" s="557"/>
      <c r="L35" s="557"/>
      <c r="M35" s="557"/>
      <c r="N35" s="557"/>
      <c r="O35" s="557"/>
      <c r="P35" s="581">
        <f t="shared" si="1"/>
        <v>2.7333333333333334</v>
      </c>
      <c r="Q35" s="641"/>
      <c r="S35" s="554">
        <f t="shared" si="3"/>
        <v>41</v>
      </c>
      <c r="T35" s="554" t="str">
        <f t="shared" si="4"/>
        <v>ok</v>
      </c>
    </row>
    <row r="36" spans="1:21">
      <c r="A36" s="640">
        <v>28</v>
      </c>
      <c r="B36" s="557" t="s">
        <v>3666</v>
      </c>
      <c r="C36" s="557" t="s">
        <v>3667</v>
      </c>
      <c r="D36" s="557">
        <v>40</v>
      </c>
      <c r="E36" s="557">
        <f>D36</f>
        <v>40</v>
      </c>
      <c r="F36" s="557"/>
      <c r="G36" s="557"/>
      <c r="H36" s="557"/>
      <c r="I36" s="557"/>
      <c r="J36" s="557"/>
      <c r="K36" s="557"/>
      <c r="L36" s="557"/>
      <c r="M36" s="557"/>
      <c r="N36" s="557"/>
      <c r="O36" s="557"/>
      <c r="P36" s="581">
        <f t="shared" si="1"/>
        <v>2.6666666666666665</v>
      </c>
      <c r="Q36" s="641"/>
      <c r="S36" s="554">
        <f t="shared" si="3"/>
        <v>40</v>
      </c>
      <c r="T36" s="554" t="str">
        <f t="shared" si="4"/>
        <v>ok</v>
      </c>
    </row>
    <row r="37" spans="1:21">
      <c r="A37" s="640">
        <v>29</v>
      </c>
      <c r="B37" s="557" t="s">
        <v>3667</v>
      </c>
      <c r="C37" s="557" t="s">
        <v>3665</v>
      </c>
      <c r="D37" s="557">
        <v>72</v>
      </c>
      <c r="E37" s="557"/>
      <c r="F37" s="557"/>
      <c r="G37" s="557"/>
      <c r="H37" s="557"/>
      <c r="I37" s="557"/>
      <c r="J37" s="557"/>
      <c r="K37" s="557"/>
      <c r="L37" s="557"/>
      <c r="M37" s="557"/>
      <c r="N37" s="557"/>
      <c r="O37" s="557"/>
      <c r="P37" s="581">
        <f t="shared" si="1"/>
        <v>4.8</v>
      </c>
      <c r="Q37" s="641"/>
      <c r="S37" s="554">
        <f t="shared" ref="S37:S49" si="5">SUM(E37:N37)</f>
        <v>0</v>
      </c>
      <c r="T37" s="554">
        <f t="shared" si="2"/>
        <v>0</v>
      </c>
      <c r="U37" s="554">
        <v>29</v>
      </c>
    </row>
    <row r="38" spans="1:21" s="567" customFormat="1" ht="14.25">
      <c r="A38" s="638" t="s">
        <v>3576</v>
      </c>
      <c r="B38" s="569"/>
      <c r="C38" s="569"/>
      <c r="D38" s="568">
        <f>SUM(D9:D37)</f>
        <v>1511</v>
      </c>
      <c r="E38" s="568">
        <f t="shared" ref="E38:P38" si="6">SUM(E9:E37)</f>
        <v>710</v>
      </c>
      <c r="F38" s="568">
        <f t="shared" si="6"/>
        <v>23</v>
      </c>
      <c r="G38" s="568">
        <f t="shared" si="6"/>
        <v>0</v>
      </c>
      <c r="H38" s="568">
        <f t="shared" si="6"/>
        <v>0</v>
      </c>
      <c r="I38" s="568">
        <f t="shared" si="6"/>
        <v>0</v>
      </c>
      <c r="J38" s="568">
        <f t="shared" si="6"/>
        <v>132</v>
      </c>
      <c r="K38" s="568">
        <f t="shared" si="6"/>
        <v>27</v>
      </c>
      <c r="L38" s="568">
        <f t="shared" si="6"/>
        <v>14</v>
      </c>
      <c r="M38" s="568">
        <f t="shared" si="6"/>
        <v>0</v>
      </c>
      <c r="N38" s="568">
        <f>SUM(N9:N37)</f>
        <v>533</v>
      </c>
      <c r="O38" s="568">
        <f>SUM(O9:O37)</f>
        <v>12</v>
      </c>
      <c r="P38" s="568">
        <f t="shared" si="6"/>
        <v>100.73333333333333</v>
      </c>
      <c r="Q38" s="639"/>
      <c r="S38" s="567">
        <f t="shared" si="5"/>
        <v>1439</v>
      </c>
      <c r="T38" s="567">
        <f t="shared" si="2"/>
        <v>0</v>
      </c>
    </row>
    <row r="39" spans="1:21" s="650" customFormat="1">
      <c r="A39" s="645" t="s">
        <v>3487</v>
      </c>
      <c r="B39" s="646" t="s">
        <v>3586</v>
      </c>
      <c r="C39" s="646"/>
      <c r="D39" s="646"/>
      <c r="E39" s="646"/>
      <c r="F39" s="646"/>
      <c r="G39" s="646"/>
      <c r="H39" s="646"/>
      <c r="I39" s="646"/>
      <c r="J39" s="646"/>
      <c r="K39" s="646"/>
      <c r="L39" s="646"/>
      <c r="M39" s="646"/>
      <c r="N39" s="647"/>
      <c r="O39" s="647"/>
      <c r="P39" s="648">
        <f t="shared" si="1"/>
        <v>0</v>
      </c>
      <c r="Q39" s="649"/>
      <c r="S39" s="554">
        <f t="shared" si="5"/>
        <v>0</v>
      </c>
      <c r="T39" s="554" t="str">
        <f t="shared" si="2"/>
        <v>ok</v>
      </c>
    </row>
    <row r="40" spans="1:21" s="653" customFormat="1">
      <c r="A40" s="651">
        <v>1</v>
      </c>
      <c r="B40" s="647" t="s">
        <v>3668</v>
      </c>
      <c r="C40" s="647" t="s">
        <v>3636</v>
      </c>
      <c r="D40" s="647">
        <v>27</v>
      </c>
      <c r="E40" s="647">
        <v>8</v>
      </c>
      <c r="F40" s="647">
        <v>7</v>
      </c>
      <c r="G40" s="647"/>
      <c r="H40" s="647">
        <v>4</v>
      </c>
      <c r="I40" s="647"/>
      <c r="J40" s="647"/>
      <c r="K40" s="647">
        <v>8</v>
      </c>
      <c r="L40" s="647"/>
      <c r="M40" s="647"/>
      <c r="N40" s="647"/>
      <c r="O40" s="647">
        <v>1</v>
      </c>
      <c r="P40" s="648">
        <f t="shared" si="1"/>
        <v>1.8</v>
      </c>
      <c r="Q40" s="652"/>
      <c r="S40" s="554">
        <f t="shared" si="5"/>
        <v>27</v>
      </c>
      <c r="T40" s="554" t="str">
        <f t="shared" si="2"/>
        <v>ok</v>
      </c>
    </row>
    <row r="41" spans="1:21">
      <c r="A41" s="640">
        <v>2</v>
      </c>
      <c r="B41" s="647" t="s">
        <v>3636</v>
      </c>
      <c r="C41" s="647" t="s">
        <v>3637</v>
      </c>
      <c r="D41" s="557">
        <v>43</v>
      </c>
      <c r="E41" s="557"/>
      <c r="F41" s="557"/>
      <c r="G41" s="557"/>
      <c r="H41" s="557"/>
      <c r="I41" s="557"/>
      <c r="J41" s="557"/>
      <c r="K41" s="557"/>
      <c r="L41" s="557"/>
      <c r="M41" s="557"/>
      <c r="N41" s="557">
        <f>D41</f>
        <v>43</v>
      </c>
      <c r="O41" s="557">
        <v>1</v>
      </c>
      <c r="P41" s="581">
        <f t="shared" si="1"/>
        <v>2.8666666666666667</v>
      </c>
      <c r="Q41" s="641"/>
      <c r="S41" s="554">
        <f t="shared" si="5"/>
        <v>43</v>
      </c>
      <c r="T41" s="554" t="str">
        <f t="shared" si="2"/>
        <v>ok</v>
      </c>
    </row>
    <row r="42" spans="1:21">
      <c r="A42" s="640">
        <v>3</v>
      </c>
      <c r="B42" s="647" t="s">
        <v>3636</v>
      </c>
      <c r="C42" s="557" t="s">
        <v>3669</v>
      </c>
      <c r="D42" s="557">
        <v>36</v>
      </c>
      <c r="E42" s="557">
        <f>D42</f>
        <v>36</v>
      </c>
      <c r="F42" s="557"/>
      <c r="G42" s="557"/>
      <c r="H42" s="557"/>
      <c r="I42" s="557"/>
      <c r="J42" s="557"/>
      <c r="K42" s="557"/>
      <c r="L42" s="557"/>
      <c r="M42" s="557"/>
      <c r="N42" s="557"/>
      <c r="O42" s="557"/>
      <c r="P42" s="581">
        <f t="shared" si="1"/>
        <v>2.4</v>
      </c>
      <c r="Q42" s="641"/>
      <c r="S42" s="554">
        <f t="shared" si="5"/>
        <v>36</v>
      </c>
      <c r="T42" s="554" t="str">
        <f t="shared" si="2"/>
        <v>ok</v>
      </c>
    </row>
    <row r="43" spans="1:21">
      <c r="A43" s="651">
        <v>4</v>
      </c>
      <c r="B43" s="557" t="s">
        <v>3669</v>
      </c>
      <c r="C43" s="557" t="s">
        <v>3670</v>
      </c>
      <c r="D43" s="557">
        <v>80</v>
      </c>
      <c r="E43" s="557">
        <f>D43</f>
        <v>80</v>
      </c>
      <c r="F43" s="557"/>
      <c r="G43" s="557"/>
      <c r="H43" s="557"/>
      <c r="I43" s="557"/>
      <c r="J43" s="557"/>
      <c r="K43" s="557"/>
      <c r="L43" s="557"/>
      <c r="M43" s="557"/>
      <c r="N43" s="557"/>
      <c r="O43" s="557"/>
      <c r="P43" s="581">
        <f t="shared" si="1"/>
        <v>5.333333333333333</v>
      </c>
      <c r="Q43" s="641"/>
      <c r="S43" s="554">
        <f t="shared" si="5"/>
        <v>80</v>
      </c>
      <c r="T43" s="554" t="str">
        <f t="shared" si="2"/>
        <v>ok</v>
      </c>
    </row>
    <row r="44" spans="1:21">
      <c r="A44" s="640">
        <v>5</v>
      </c>
      <c r="B44" s="557" t="s">
        <v>3670</v>
      </c>
      <c r="C44" s="647" t="s">
        <v>3671</v>
      </c>
      <c r="D44" s="557">
        <v>31</v>
      </c>
      <c r="E44" s="557"/>
      <c r="F44" s="557"/>
      <c r="G44" s="557"/>
      <c r="H44" s="557"/>
      <c r="I44" s="557"/>
      <c r="J44" s="557">
        <f>D44</f>
        <v>31</v>
      </c>
      <c r="K44" s="557"/>
      <c r="L44" s="557"/>
      <c r="M44" s="557"/>
      <c r="N44" s="557"/>
      <c r="O44" s="557"/>
      <c r="P44" s="581">
        <f t="shared" si="1"/>
        <v>2.0666666666666669</v>
      </c>
      <c r="Q44" s="641"/>
      <c r="S44" s="554">
        <f t="shared" si="5"/>
        <v>31</v>
      </c>
      <c r="T44" s="554" t="str">
        <f t="shared" si="2"/>
        <v>ok</v>
      </c>
    </row>
    <row r="45" spans="1:21">
      <c r="A45" s="640">
        <v>6</v>
      </c>
      <c r="B45" s="647" t="s">
        <v>3637</v>
      </c>
      <c r="C45" s="557" t="s">
        <v>3672</v>
      </c>
      <c r="D45" s="557">
        <v>60</v>
      </c>
      <c r="E45" s="557">
        <f>D45</f>
        <v>60</v>
      </c>
      <c r="F45" s="557"/>
      <c r="G45" s="557"/>
      <c r="H45" s="557"/>
      <c r="I45" s="557"/>
      <c r="J45" s="557"/>
      <c r="K45" s="557"/>
      <c r="L45" s="557"/>
      <c r="M45" s="557"/>
      <c r="N45" s="557"/>
      <c r="O45" s="557"/>
      <c r="P45" s="581">
        <f t="shared" si="1"/>
        <v>4</v>
      </c>
      <c r="Q45" s="641"/>
      <c r="S45" s="554">
        <f t="shared" si="5"/>
        <v>60</v>
      </c>
      <c r="T45" s="554" t="str">
        <f t="shared" si="2"/>
        <v>ok</v>
      </c>
    </row>
    <row r="46" spans="1:21">
      <c r="A46" s="651">
        <v>7</v>
      </c>
      <c r="B46" s="557" t="s">
        <v>3672</v>
      </c>
      <c r="C46" s="557" t="s">
        <v>3673</v>
      </c>
      <c r="D46" s="557">
        <v>104</v>
      </c>
      <c r="E46" s="557">
        <f>D46</f>
        <v>104</v>
      </c>
      <c r="F46" s="557"/>
      <c r="G46" s="557"/>
      <c r="H46" s="557"/>
      <c r="I46" s="557"/>
      <c r="J46" s="557"/>
      <c r="K46" s="557"/>
      <c r="L46" s="557"/>
      <c r="M46" s="557"/>
      <c r="N46" s="557"/>
      <c r="O46" s="557"/>
      <c r="P46" s="581">
        <f t="shared" si="1"/>
        <v>6.9333333333333336</v>
      </c>
      <c r="Q46" s="641"/>
      <c r="S46" s="554">
        <f t="shared" si="5"/>
        <v>104</v>
      </c>
      <c r="T46" s="554" t="str">
        <f t="shared" si="2"/>
        <v>ok</v>
      </c>
    </row>
    <row r="47" spans="1:21">
      <c r="A47" s="640">
        <v>8</v>
      </c>
      <c r="B47" s="557" t="s">
        <v>3673</v>
      </c>
      <c r="C47" s="647" t="s">
        <v>3671</v>
      </c>
      <c r="D47" s="557">
        <v>40</v>
      </c>
      <c r="E47" s="557"/>
      <c r="F47" s="557"/>
      <c r="G47" s="557"/>
      <c r="H47" s="557"/>
      <c r="I47" s="557"/>
      <c r="J47" s="557">
        <f>D47</f>
        <v>40</v>
      </c>
      <c r="K47" s="557"/>
      <c r="L47" s="557"/>
      <c r="M47" s="557"/>
      <c r="N47" s="557"/>
      <c r="O47" s="557"/>
      <c r="P47" s="581">
        <f t="shared" si="1"/>
        <v>2.6666666666666665</v>
      </c>
      <c r="Q47" s="641"/>
      <c r="S47" s="554">
        <f t="shared" si="5"/>
        <v>40</v>
      </c>
      <c r="T47" s="554" t="str">
        <f t="shared" si="2"/>
        <v>ok</v>
      </c>
    </row>
    <row r="48" spans="1:21">
      <c r="A48" s="640">
        <v>9</v>
      </c>
      <c r="B48" s="647" t="s">
        <v>3668</v>
      </c>
      <c r="C48" s="647" t="s">
        <v>3674</v>
      </c>
      <c r="D48" s="557">
        <v>20</v>
      </c>
      <c r="E48" s="557"/>
      <c r="F48" s="557"/>
      <c r="G48" s="557">
        <v>9</v>
      </c>
      <c r="H48" s="557"/>
      <c r="I48" s="557"/>
      <c r="J48" s="557"/>
      <c r="K48" s="557"/>
      <c r="L48" s="557"/>
      <c r="M48" s="557">
        <v>11</v>
      </c>
      <c r="N48" s="557"/>
      <c r="O48" s="557">
        <v>1</v>
      </c>
      <c r="P48" s="581">
        <f t="shared" si="1"/>
        <v>1.3333333333333333</v>
      </c>
      <c r="Q48" s="641"/>
      <c r="S48" s="554">
        <f t="shared" si="5"/>
        <v>20</v>
      </c>
      <c r="T48" s="554" t="str">
        <f t="shared" si="2"/>
        <v>ok</v>
      </c>
    </row>
    <row r="49" spans="1:20">
      <c r="A49" s="651">
        <v>10</v>
      </c>
      <c r="B49" s="647" t="s">
        <v>3638</v>
      </c>
      <c r="C49" s="647" t="s">
        <v>3675</v>
      </c>
      <c r="D49" s="557">
        <v>91</v>
      </c>
      <c r="E49" s="557"/>
      <c r="F49" s="557"/>
      <c r="G49" s="557"/>
      <c r="H49" s="557"/>
      <c r="I49" s="557"/>
      <c r="J49" s="557"/>
      <c r="K49" s="557"/>
      <c r="L49" s="557"/>
      <c r="M49" s="557"/>
      <c r="N49" s="557">
        <f>D49</f>
        <v>91</v>
      </c>
      <c r="O49" s="557">
        <v>2</v>
      </c>
      <c r="P49" s="581">
        <f t="shared" si="1"/>
        <v>6.0666666666666664</v>
      </c>
      <c r="Q49" s="641"/>
      <c r="S49" s="554">
        <f t="shared" si="5"/>
        <v>91</v>
      </c>
      <c r="T49" s="554" t="str">
        <f t="shared" si="2"/>
        <v>ok</v>
      </c>
    </row>
    <row r="50" spans="1:20">
      <c r="A50" s="640">
        <v>11</v>
      </c>
      <c r="B50" s="647" t="s">
        <v>3675</v>
      </c>
      <c r="C50" s="557" t="s">
        <v>3687</v>
      </c>
      <c r="D50" s="557">
        <v>20</v>
      </c>
      <c r="E50" s="557">
        <v>14</v>
      </c>
      <c r="F50" s="557">
        <v>6</v>
      </c>
      <c r="G50" s="557"/>
      <c r="H50" s="557"/>
      <c r="I50" s="557"/>
      <c r="J50" s="557"/>
      <c r="K50" s="557"/>
      <c r="L50" s="557"/>
      <c r="M50" s="557"/>
      <c r="N50" s="557"/>
      <c r="O50" s="557"/>
      <c r="P50" s="581">
        <f t="shared" si="1"/>
        <v>1.3333333333333333</v>
      </c>
      <c r="Q50" s="641"/>
      <c r="S50" s="554">
        <f t="shared" ref="S50:S57" si="7">SUM(E50:N50)</f>
        <v>20</v>
      </c>
      <c r="T50" s="554" t="str">
        <f t="shared" ref="T50:T57" si="8">IF(D50=S50,"ok",)</f>
        <v>ok</v>
      </c>
    </row>
    <row r="51" spans="1:20">
      <c r="A51" s="640">
        <v>12</v>
      </c>
      <c r="B51" s="557" t="s">
        <v>3687</v>
      </c>
      <c r="C51" s="647" t="s">
        <v>3671</v>
      </c>
      <c r="D51" s="557">
        <v>18</v>
      </c>
      <c r="E51" s="557"/>
      <c r="F51" s="557"/>
      <c r="G51" s="557"/>
      <c r="H51" s="557"/>
      <c r="I51" s="557"/>
      <c r="J51" s="557">
        <f>D51</f>
        <v>18</v>
      </c>
      <c r="K51" s="557"/>
      <c r="L51" s="557"/>
      <c r="M51" s="557"/>
      <c r="N51" s="557"/>
      <c r="O51" s="557"/>
      <c r="P51" s="581">
        <f t="shared" si="1"/>
        <v>1.2</v>
      </c>
      <c r="Q51" s="641"/>
      <c r="S51" s="554">
        <f t="shared" si="7"/>
        <v>18</v>
      </c>
      <c r="T51" s="554" t="str">
        <f t="shared" si="8"/>
        <v>ok</v>
      </c>
    </row>
    <row r="52" spans="1:20">
      <c r="A52" s="651">
        <v>13</v>
      </c>
      <c r="B52" s="647" t="s">
        <v>3675</v>
      </c>
      <c r="C52" s="557" t="s">
        <v>3688</v>
      </c>
      <c r="D52" s="557">
        <f>6+7+22</f>
        <v>35</v>
      </c>
      <c r="E52" s="557">
        <v>6</v>
      </c>
      <c r="F52" s="557">
        <v>22</v>
      </c>
      <c r="G52" s="557"/>
      <c r="H52" s="557"/>
      <c r="I52" s="557"/>
      <c r="J52" s="557"/>
      <c r="K52" s="557">
        <v>7</v>
      </c>
      <c r="L52" s="557"/>
      <c r="M52" s="557"/>
      <c r="N52" s="557"/>
      <c r="O52" s="557"/>
      <c r="P52" s="581">
        <f t="shared" si="1"/>
        <v>2.3333333333333335</v>
      </c>
      <c r="Q52" s="641"/>
      <c r="S52" s="554">
        <f t="shared" si="7"/>
        <v>35</v>
      </c>
      <c r="T52" s="554" t="str">
        <f t="shared" si="8"/>
        <v>ok</v>
      </c>
    </row>
    <row r="53" spans="1:20">
      <c r="A53" s="640">
        <v>14</v>
      </c>
      <c r="B53" s="557" t="s">
        <v>3688</v>
      </c>
      <c r="C53" s="557" t="s">
        <v>3689</v>
      </c>
      <c r="D53" s="557">
        <v>40</v>
      </c>
      <c r="E53" s="557">
        <f>D53</f>
        <v>40</v>
      </c>
      <c r="F53" s="557"/>
      <c r="G53" s="557"/>
      <c r="H53" s="557"/>
      <c r="I53" s="557"/>
      <c r="J53" s="557"/>
      <c r="K53" s="557"/>
      <c r="L53" s="557"/>
      <c r="M53" s="557"/>
      <c r="N53" s="557"/>
      <c r="O53" s="557"/>
      <c r="P53" s="581">
        <f t="shared" si="1"/>
        <v>2.6666666666666665</v>
      </c>
      <c r="Q53" s="641"/>
      <c r="S53" s="554">
        <f t="shared" si="7"/>
        <v>40</v>
      </c>
      <c r="T53" s="554" t="str">
        <f t="shared" si="8"/>
        <v>ok</v>
      </c>
    </row>
    <row r="54" spans="1:20">
      <c r="A54" s="640">
        <v>15</v>
      </c>
      <c r="B54" s="557" t="s">
        <v>3689</v>
      </c>
      <c r="C54" s="557" t="s">
        <v>3671</v>
      </c>
      <c r="D54" s="557">
        <v>40</v>
      </c>
      <c r="E54" s="557"/>
      <c r="F54" s="557"/>
      <c r="G54" s="557"/>
      <c r="H54" s="557"/>
      <c r="I54" s="557"/>
      <c r="J54" s="557">
        <f>D54</f>
        <v>40</v>
      </c>
      <c r="K54" s="557"/>
      <c r="L54" s="557"/>
      <c r="M54" s="557"/>
      <c r="N54" s="557"/>
      <c r="O54" s="557"/>
      <c r="P54" s="581">
        <f t="shared" si="1"/>
        <v>2.6666666666666665</v>
      </c>
      <c r="Q54" s="641"/>
    </row>
    <row r="55" spans="1:20">
      <c r="A55" s="651">
        <v>16</v>
      </c>
      <c r="B55" s="647" t="s">
        <v>3675</v>
      </c>
      <c r="C55" s="647" t="s">
        <v>3639</v>
      </c>
      <c r="D55" s="557">
        <v>6</v>
      </c>
      <c r="E55" s="557"/>
      <c r="F55" s="557">
        <f>D55</f>
        <v>6</v>
      </c>
      <c r="G55" s="557"/>
      <c r="H55" s="557"/>
      <c r="I55" s="557"/>
      <c r="J55" s="557"/>
      <c r="K55" s="557"/>
      <c r="L55" s="557"/>
      <c r="M55" s="557"/>
      <c r="N55" s="557"/>
      <c r="O55" s="557">
        <v>1</v>
      </c>
      <c r="P55" s="581">
        <f t="shared" si="1"/>
        <v>0.4</v>
      </c>
      <c r="Q55" s="641"/>
      <c r="S55" s="554">
        <f t="shared" si="7"/>
        <v>6</v>
      </c>
      <c r="T55" s="554" t="str">
        <f t="shared" si="8"/>
        <v>ok</v>
      </c>
    </row>
    <row r="56" spans="1:20">
      <c r="A56" s="640">
        <v>17</v>
      </c>
      <c r="B56" s="647" t="s">
        <v>3639</v>
      </c>
      <c r="C56" s="647" t="s">
        <v>3640</v>
      </c>
      <c r="D56" s="557">
        <v>37</v>
      </c>
      <c r="E56" s="557"/>
      <c r="F56" s="557"/>
      <c r="G56" s="557"/>
      <c r="H56" s="557"/>
      <c r="I56" s="557"/>
      <c r="J56" s="557"/>
      <c r="K56" s="557"/>
      <c r="L56" s="557"/>
      <c r="M56" s="557"/>
      <c r="N56" s="557">
        <f>D56</f>
        <v>37</v>
      </c>
      <c r="O56" s="557">
        <v>1</v>
      </c>
      <c r="P56" s="581">
        <f t="shared" si="1"/>
        <v>2.4666666666666668</v>
      </c>
      <c r="Q56" s="641"/>
      <c r="S56" s="554">
        <f t="shared" si="7"/>
        <v>37</v>
      </c>
      <c r="T56" s="554" t="str">
        <f t="shared" si="8"/>
        <v>ok</v>
      </c>
    </row>
    <row r="57" spans="1:20">
      <c r="A57" s="640">
        <v>18</v>
      </c>
      <c r="B57" s="647" t="s">
        <v>3640</v>
      </c>
      <c r="C57" s="647" t="s">
        <v>3641</v>
      </c>
      <c r="D57" s="557">
        <v>90</v>
      </c>
      <c r="E57" s="557"/>
      <c r="F57" s="557"/>
      <c r="G57" s="557"/>
      <c r="H57" s="557"/>
      <c r="I57" s="557"/>
      <c r="J57" s="557"/>
      <c r="K57" s="557"/>
      <c r="L57" s="557"/>
      <c r="M57" s="557"/>
      <c r="N57" s="557">
        <f>D57</f>
        <v>90</v>
      </c>
      <c r="O57" s="557">
        <v>1</v>
      </c>
      <c r="P57" s="581">
        <f t="shared" si="1"/>
        <v>6</v>
      </c>
      <c r="Q57" s="641"/>
      <c r="S57" s="554">
        <f t="shared" si="7"/>
        <v>90</v>
      </c>
      <c r="T57" s="554" t="str">
        <f t="shared" si="8"/>
        <v>ok</v>
      </c>
    </row>
    <row r="58" spans="1:20">
      <c r="A58" s="651">
        <v>19</v>
      </c>
      <c r="B58" s="647" t="s">
        <v>3638</v>
      </c>
      <c r="C58" s="557" t="s">
        <v>3676</v>
      </c>
      <c r="D58" s="557">
        <v>20</v>
      </c>
      <c r="E58" s="557"/>
      <c r="F58" s="557"/>
      <c r="G58" s="557"/>
      <c r="H58" s="557">
        <f>D58</f>
        <v>20</v>
      </c>
      <c r="I58" s="557"/>
      <c r="J58" s="557"/>
      <c r="K58" s="557"/>
      <c r="L58" s="557"/>
      <c r="M58" s="557"/>
      <c r="N58" s="557"/>
      <c r="O58" s="557"/>
      <c r="P58" s="581">
        <f t="shared" si="1"/>
        <v>1.3333333333333333</v>
      </c>
      <c r="Q58" s="641"/>
      <c r="S58" s="554">
        <f t="shared" ref="S58:S97" si="9">SUM(E58:N58)</f>
        <v>20</v>
      </c>
      <c r="T58" s="554" t="str">
        <f t="shared" si="2"/>
        <v>ok</v>
      </c>
    </row>
    <row r="59" spans="1:20">
      <c r="A59" s="640">
        <v>20</v>
      </c>
      <c r="B59" s="557" t="s">
        <v>3676</v>
      </c>
      <c r="C59" s="557" t="s">
        <v>3677</v>
      </c>
      <c r="D59" s="557">
        <f>25+46</f>
        <v>71</v>
      </c>
      <c r="E59" s="557">
        <v>46</v>
      </c>
      <c r="F59" s="557"/>
      <c r="G59" s="557"/>
      <c r="H59" s="557">
        <v>25</v>
      </c>
      <c r="I59" s="557"/>
      <c r="J59" s="557"/>
      <c r="K59" s="557"/>
      <c r="L59" s="557"/>
      <c r="M59" s="557"/>
      <c r="N59" s="557"/>
      <c r="O59" s="557"/>
      <c r="P59" s="581">
        <f t="shared" si="1"/>
        <v>4.7333333333333334</v>
      </c>
      <c r="Q59" s="641"/>
      <c r="S59" s="554">
        <f t="shared" si="9"/>
        <v>71</v>
      </c>
      <c r="T59" s="554" t="str">
        <f t="shared" si="2"/>
        <v>ok</v>
      </c>
    </row>
    <row r="60" spans="1:20">
      <c r="A60" s="640">
        <v>21</v>
      </c>
      <c r="B60" s="557" t="s">
        <v>3677</v>
      </c>
      <c r="C60" s="647" t="s">
        <v>3671</v>
      </c>
      <c r="D60" s="557">
        <v>30</v>
      </c>
      <c r="E60" s="557"/>
      <c r="F60" s="557"/>
      <c r="G60" s="557"/>
      <c r="H60" s="557"/>
      <c r="I60" s="557"/>
      <c r="J60" s="557">
        <f>D60</f>
        <v>30</v>
      </c>
      <c r="K60" s="557"/>
      <c r="L60" s="557"/>
      <c r="M60" s="557"/>
      <c r="N60" s="557"/>
      <c r="O60" s="557"/>
      <c r="P60" s="581">
        <f t="shared" si="1"/>
        <v>2</v>
      </c>
      <c r="Q60" s="641"/>
      <c r="S60" s="554">
        <f t="shared" si="9"/>
        <v>30</v>
      </c>
      <c r="T60" s="554" t="str">
        <f t="shared" si="2"/>
        <v>ok</v>
      </c>
    </row>
    <row r="61" spans="1:20">
      <c r="A61" s="651">
        <v>22</v>
      </c>
      <c r="B61" s="557" t="s">
        <v>3676</v>
      </c>
      <c r="C61" s="557" t="s">
        <v>3678</v>
      </c>
      <c r="D61" s="557">
        <f>2+6+2+21</f>
        <v>31</v>
      </c>
      <c r="E61" s="557"/>
      <c r="F61" s="557"/>
      <c r="G61" s="557">
        <v>4</v>
      </c>
      <c r="H61" s="557">
        <v>21</v>
      </c>
      <c r="I61" s="557"/>
      <c r="J61" s="557"/>
      <c r="K61" s="557"/>
      <c r="L61" s="557"/>
      <c r="M61" s="557">
        <v>6</v>
      </c>
      <c r="N61" s="557"/>
      <c r="O61" s="557"/>
      <c r="P61" s="581">
        <f t="shared" si="1"/>
        <v>2.0666666666666669</v>
      </c>
      <c r="Q61" s="641"/>
      <c r="S61" s="554">
        <f t="shared" si="9"/>
        <v>31</v>
      </c>
      <c r="T61" s="554" t="str">
        <f t="shared" si="2"/>
        <v>ok</v>
      </c>
    </row>
    <row r="62" spans="1:20">
      <c r="A62" s="640">
        <v>23</v>
      </c>
      <c r="B62" s="557" t="s">
        <v>3678</v>
      </c>
      <c r="C62" s="557" t="s">
        <v>3679</v>
      </c>
      <c r="D62" s="557">
        <v>71</v>
      </c>
      <c r="E62" s="557">
        <v>46</v>
      </c>
      <c r="F62" s="557"/>
      <c r="G62" s="557">
        <v>25</v>
      </c>
      <c r="H62" s="557"/>
      <c r="I62" s="557"/>
      <c r="J62" s="557"/>
      <c r="K62" s="557"/>
      <c r="L62" s="557"/>
      <c r="M62" s="557"/>
      <c r="N62" s="557"/>
      <c r="O62" s="557"/>
      <c r="P62" s="581">
        <f t="shared" si="1"/>
        <v>4.7333333333333334</v>
      </c>
      <c r="Q62" s="641"/>
      <c r="S62" s="554">
        <f t="shared" si="9"/>
        <v>71</v>
      </c>
      <c r="T62" s="554" t="str">
        <f t="shared" si="2"/>
        <v>ok</v>
      </c>
    </row>
    <row r="63" spans="1:20">
      <c r="A63" s="640">
        <v>24</v>
      </c>
      <c r="B63" s="557" t="s">
        <v>3679</v>
      </c>
      <c r="C63" s="647" t="s">
        <v>3671</v>
      </c>
      <c r="D63" s="557">
        <v>30</v>
      </c>
      <c r="E63" s="557"/>
      <c r="F63" s="557"/>
      <c r="G63" s="557"/>
      <c r="H63" s="557"/>
      <c r="I63" s="557"/>
      <c r="J63" s="557">
        <f>D63</f>
        <v>30</v>
      </c>
      <c r="K63" s="557"/>
      <c r="L63" s="557"/>
      <c r="M63" s="557"/>
      <c r="N63" s="557"/>
      <c r="O63" s="557"/>
      <c r="P63" s="581">
        <f t="shared" si="1"/>
        <v>2</v>
      </c>
      <c r="Q63" s="641"/>
      <c r="S63" s="554">
        <f t="shared" si="9"/>
        <v>30</v>
      </c>
      <c r="T63" s="554" t="str">
        <f t="shared" si="2"/>
        <v>ok</v>
      </c>
    </row>
    <row r="64" spans="1:20">
      <c r="A64" s="651">
        <v>25</v>
      </c>
      <c r="B64" s="557" t="s">
        <v>3678</v>
      </c>
      <c r="C64" s="557" t="s">
        <v>3680</v>
      </c>
      <c r="D64" s="557">
        <v>46</v>
      </c>
      <c r="E64" s="557">
        <f>D64</f>
        <v>46</v>
      </c>
      <c r="F64" s="557"/>
      <c r="G64" s="557"/>
      <c r="H64" s="557"/>
      <c r="I64" s="557"/>
      <c r="J64" s="557"/>
      <c r="K64" s="557"/>
      <c r="L64" s="557"/>
      <c r="M64" s="557"/>
      <c r="N64" s="557"/>
      <c r="O64" s="557"/>
      <c r="P64" s="581">
        <f t="shared" si="1"/>
        <v>3.0666666666666669</v>
      </c>
      <c r="Q64" s="641"/>
      <c r="S64" s="554">
        <f t="shared" si="9"/>
        <v>46</v>
      </c>
      <c r="T64" s="554" t="str">
        <f t="shared" si="2"/>
        <v>ok</v>
      </c>
    </row>
    <row r="65" spans="1:20">
      <c r="A65" s="640">
        <v>26</v>
      </c>
      <c r="B65" s="557" t="s">
        <v>3680</v>
      </c>
      <c r="C65" s="557" t="s">
        <v>3681</v>
      </c>
      <c r="D65" s="557">
        <v>65</v>
      </c>
      <c r="E65" s="557">
        <f>D65</f>
        <v>65</v>
      </c>
      <c r="F65" s="557"/>
      <c r="G65" s="557"/>
      <c r="H65" s="557"/>
      <c r="I65" s="557"/>
      <c r="J65" s="557"/>
      <c r="K65" s="557"/>
      <c r="L65" s="557"/>
      <c r="M65" s="557"/>
      <c r="N65" s="557"/>
      <c r="O65" s="557"/>
      <c r="P65" s="581">
        <f t="shared" si="1"/>
        <v>4.333333333333333</v>
      </c>
      <c r="Q65" s="641"/>
      <c r="S65" s="554">
        <f t="shared" si="9"/>
        <v>65</v>
      </c>
      <c r="T65" s="554" t="str">
        <f t="shared" si="2"/>
        <v>ok</v>
      </c>
    </row>
    <row r="66" spans="1:20">
      <c r="A66" s="640">
        <v>27</v>
      </c>
      <c r="B66" s="557" t="s">
        <v>3681</v>
      </c>
      <c r="C66" s="647" t="s">
        <v>3671</v>
      </c>
      <c r="D66" s="557">
        <v>18</v>
      </c>
      <c r="E66" s="557"/>
      <c r="F66" s="557"/>
      <c r="G66" s="557"/>
      <c r="H66" s="557"/>
      <c r="I66" s="557"/>
      <c r="J66" s="557">
        <f>D66</f>
        <v>18</v>
      </c>
      <c r="K66" s="557"/>
      <c r="L66" s="557"/>
      <c r="M66" s="557"/>
      <c r="N66" s="557"/>
      <c r="O66" s="557"/>
      <c r="P66" s="581">
        <f t="shared" si="1"/>
        <v>1.2</v>
      </c>
      <c r="Q66" s="641"/>
      <c r="S66" s="554">
        <f t="shared" si="9"/>
        <v>18</v>
      </c>
      <c r="T66" s="554" t="str">
        <f t="shared" si="2"/>
        <v>ok</v>
      </c>
    </row>
    <row r="67" spans="1:20">
      <c r="A67" s="651">
        <v>28</v>
      </c>
      <c r="B67" s="557" t="s">
        <v>3678</v>
      </c>
      <c r="C67" s="557" t="s">
        <v>3682</v>
      </c>
      <c r="D67" s="557">
        <v>47</v>
      </c>
      <c r="E67" s="557"/>
      <c r="F67" s="557"/>
      <c r="G67" s="557"/>
      <c r="H67" s="557">
        <f>D67</f>
        <v>47</v>
      </c>
      <c r="I67" s="557"/>
      <c r="J67" s="557"/>
      <c r="K67" s="557"/>
      <c r="L67" s="557"/>
      <c r="M67" s="557"/>
      <c r="N67" s="557"/>
      <c r="O67" s="557"/>
      <c r="P67" s="581">
        <f t="shared" si="1"/>
        <v>3.1333333333333333</v>
      </c>
      <c r="Q67" s="641"/>
      <c r="S67" s="554">
        <f t="shared" si="9"/>
        <v>47</v>
      </c>
      <c r="T67" s="554" t="str">
        <f t="shared" si="2"/>
        <v>ok</v>
      </c>
    </row>
    <row r="68" spans="1:20">
      <c r="A68" s="640">
        <v>29</v>
      </c>
      <c r="B68" s="557" t="s">
        <v>3682</v>
      </c>
      <c r="C68" s="557" t="s">
        <v>3683</v>
      </c>
      <c r="D68" s="557">
        <v>81</v>
      </c>
      <c r="E68" s="557">
        <v>40</v>
      </c>
      <c r="F68" s="557"/>
      <c r="G68" s="557">
        <f>41</f>
        <v>41</v>
      </c>
      <c r="H68" s="557"/>
      <c r="I68" s="557"/>
      <c r="J68" s="557"/>
      <c r="K68" s="557"/>
      <c r="L68" s="557"/>
      <c r="M68" s="557"/>
      <c r="N68" s="557"/>
      <c r="O68" s="557"/>
      <c r="P68" s="581">
        <f t="shared" si="1"/>
        <v>5.4</v>
      </c>
      <c r="Q68" s="641"/>
      <c r="S68" s="554">
        <f t="shared" si="9"/>
        <v>81</v>
      </c>
      <c r="T68" s="554" t="str">
        <f t="shared" si="2"/>
        <v>ok</v>
      </c>
    </row>
    <row r="69" spans="1:20">
      <c r="A69" s="640">
        <v>30</v>
      </c>
      <c r="B69" s="557" t="s">
        <v>3683</v>
      </c>
      <c r="C69" s="557" t="s">
        <v>3671</v>
      </c>
      <c r="D69" s="557">
        <v>51</v>
      </c>
      <c r="E69" s="557"/>
      <c r="F69" s="557"/>
      <c r="G69" s="557"/>
      <c r="H69" s="557"/>
      <c r="I69" s="557"/>
      <c r="J69" s="557">
        <f>D69</f>
        <v>51</v>
      </c>
      <c r="K69" s="557"/>
      <c r="L69" s="557"/>
      <c r="M69" s="557"/>
      <c r="N69" s="557"/>
      <c r="O69" s="557"/>
      <c r="P69" s="581">
        <f t="shared" si="1"/>
        <v>3.4</v>
      </c>
      <c r="Q69" s="641"/>
      <c r="S69" s="554">
        <f t="shared" si="9"/>
        <v>51</v>
      </c>
      <c r="T69" s="554" t="str">
        <f t="shared" si="2"/>
        <v>ok</v>
      </c>
    </row>
    <row r="70" spans="1:20">
      <c r="A70" s="651">
        <v>31</v>
      </c>
      <c r="B70" s="557" t="s">
        <v>3682</v>
      </c>
      <c r="C70" s="557" t="s">
        <v>3684</v>
      </c>
      <c r="D70" s="557">
        <v>50</v>
      </c>
      <c r="E70" s="557"/>
      <c r="F70" s="557">
        <v>44</v>
      </c>
      <c r="G70" s="557"/>
      <c r="H70" s="557"/>
      <c r="I70" s="557"/>
      <c r="J70" s="557"/>
      <c r="K70" s="557"/>
      <c r="L70" s="557">
        <v>6</v>
      </c>
      <c r="M70" s="557"/>
      <c r="N70" s="557"/>
      <c r="O70" s="557"/>
      <c r="P70" s="581">
        <f t="shared" si="1"/>
        <v>3.3333333333333335</v>
      </c>
      <c r="Q70" s="641"/>
      <c r="S70" s="554">
        <f t="shared" ref="S70:S81" si="10">SUM(E70:N70)</f>
        <v>50</v>
      </c>
      <c r="T70" s="554" t="str">
        <f t="shared" ref="T70:T81" si="11">IF(D70=S70,"ok",)</f>
        <v>ok</v>
      </c>
    </row>
    <row r="71" spans="1:20">
      <c r="A71" s="640">
        <v>32</v>
      </c>
      <c r="B71" s="557" t="s">
        <v>3684</v>
      </c>
      <c r="C71" s="647" t="s">
        <v>3671</v>
      </c>
      <c r="D71" s="557">
        <v>51</v>
      </c>
      <c r="E71" s="557"/>
      <c r="F71" s="557"/>
      <c r="G71" s="557"/>
      <c r="H71" s="557"/>
      <c r="I71" s="557"/>
      <c r="J71" s="557">
        <f>D71</f>
        <v>51</v>
      </c>
      <c r="K71" s="557"/>
      <c r="L71" s="557"/>
      <c r="M71" s="557"/>
      <c r="N71" s="557"/>
      <c r="O71" s="557"/>
      <c r="P71" s="581">
        <f t="shared" si="1"/>
        <v>3.4</v>
      </c>
      <c r="Q71" s="641"/>
      <c r="S71" s="554">
        <f t="shared" si="10"/>
        <v>51</v>
      </c>
      <c r="T71" s="554" t="str">
        <f t="shared" si="11"/>
        <v>ok</v>
      </c>
    </row>
    <row r="72" spans="1:20">
      <c r="A72" s="640">
        <v>33</v>
      </c>
      <c r="B72" s="557" t="s">
        <v>3684</v>
      </c>
      <c r="C72" s="557" t="s">
        <v>3685</v>
      </c>
      <c r="D72" s="557">
        <v>89</v>
      </c>
      <c r="E72" s="557">
        <v>40</v>
      </c>
      <c r="F72" s="557">
        <v>49</v>
      </c>
      <c r="G72" s="557"/>
      <c r="H72" s="557"/>
      <c r="I72" s="557"/>
      <c r="J72" s="557"/>
      <c r="K72" s="557"/>
      <c r="L72" s="557"/>
      <c r="M72" s="557"/>
      <c r="N72" s="557"/>
      <c r="O72" s="557"/>
      <c r="P72" s="581">
        <f t="shared" si="1"/>
        <v>5.9333333333333336</v>
      </c>
      <c r="Q72" s="641"/>
      <c r="S72" s="554">
        <f t="shared" si="10"/>
        <v>89</v>
      </c>
      <c r="T72" s="554" t="str">
        <f t="shared" si="11"/>
        <v>ok</v>
      </c>
    </row>
    <row r="73" spans="1:20">
      <c r="A73" s="651">
        <v>34</v>
      </c>
      <c r="B73" s="557" t="s">
        <v>3685</v>
      </c>
      <c r="C73" s="647" t="s">
        <v>3671</v>
      </c>
      <c r="D73" s="557">
        <v>76</v>
      </c>
      <c r="E73" s="557"/>
      <c r="F73" s="557"/>
      <c r="G73" s="557"/>
      <c r="H73" s="557"/>
      <c r="I73" s="557"/>
      <c r="J73" s="557">
        <f>D73</f>
        <v>76</v>
      </c>
      <c r="K73" s="557"/>
      <c r="L73" s="557"/>
      <c r="M73" s="557"/>
      <c r="N73" s="557"/>
      <c r="O73" s="557"/>
      <c r="P73" s="581">
        <f t="shared" si="1"/>
        <v>5.0666666666666664</v>
      </c>
      <c r="Q73" s="641"/>
      <c r="S73" s="554">
        <f t="shared" si="10"/>
        <v>76</v>
      </c>
      <c r="T73" s="554" t="str">
        <f t="shared" si="11"/>
        <v>ok</v>
      </c>
    </row>
    <row r="74" spans="1:20">
      <c r="A74" s="640">
        <v>35</v>
      </c>
      <c r="B74" s="557" t="s">
        <v>3682</v>
      </c>
      <c r="C74" s="557" t="s">
        <v>3686</v>
      </c>
      <c r="D74" s="557">
        <v>53</v>
      </c>
      <c r="E74" s="557">
        <v>6</v>
      </c>
      <c r="F74" s="557">
        <v>40</v>
      </c>
      <c r="G74" s="557"/>
      <c r="H74" s="557"/>
      <c r="I74" s="557"/>
      <c r="J74" s="557"/>
      <c r="K74" s="557">
        <v>7</v>
      </c>
      <c r="L74" s="557"/>
      <c r="M74" s="557"/>
      <c r="N74" s="557"/>
      <c r="O74" s="557"/>
      <c r="P74" s="581">
        <f t="shared" si="1"/>
        <v>3.5333333333333332</v>
      </c>
      <c r="Q74" s="641"/>
      <c r="S74" s="554">
        <f t="shared" si="10"/>
        <v>53</v>
      </c>
      <c r="T74" s="554" t="str">
        <f t="shared" si="11"/>
        <v>ok</v>
      </c>
    </row>
    <row r="75" spans="1:20">
      <c r="A75" s="640">
        <v>36</v>
      </c>
      <c r="B75" s="557" t="s">
        <v>3686</v>
      </c>
      <c r="C75" s="647" t="s">
        <v>3690</v>
      </c>
      <c r="D75" s="557">
        <v>49</v>
      </c>
      <c r="E75" s="557">
        <f>D75</f>
        <v>49</v>
      </c>
      <c r="F75" s="557"/>
      <c r="G75" s="557"/>
      <c r="H75" s="557"/>
      <c r="I75" s="557"/>
      <c r="J75" s="557"/>
      <c r="K75" s="557"/>
      <c r="L75" s="557"/>
      <c r="M75" s="557"/>
      <c r="N75" s="557"/>
      <c r="O75" s="557">
        <v>1</v>
      </c>
      <c r="P75" s="581">
        <f t="shared" si="1"/>
        <v>3.2666666666666666</v>
      </c>
      <c r="Q75" s="641"/>
      <c r="S75" s="554">
        <f t="shared" si="10"/>
        <v>49</v>
      </c>
      <c r="T75" s="554" t="str">
        <f t="shared" si="11"/>
        <v>ok</v>
      </c>
    </row>
    <row r="76" spans="1:20">
      <c r="A76" s="651">
        <v>37</v>
      </c>
      <c r="B76" s="557" t="s">
        <v>3686</v>
      </c>
      <c r="C76" s="557" t="s">
        <v>3671</v>
      </c>
      <c r="D76" s="557">
        <v>76</v>
      </c>
      <c r="E76" s="557"/>
      <c r="F76" s="557"/>
      <c r="G76" s="557"/>
      <c r="H76" s="557"/>
      <c r="I76" s="557"/>
      <c r="J76" s="557">
        <f>D76</f>
        <v>76</v>
      </c>
      <c r="K76" s="557"/>
      <c r="L76" s="557"/>
      <c r="M76" s="557"/>
      <c r="N76" s="557"/>
      <c r="O76" s="557"/>
      <c r="P76" s="581">
        <f t="shared" si="1"/>
        <v>5.0666666666666664</v>
      </c>
      <c r="Q76" s="641"/>
      <c r="S76" s="554">
        <f t="shared" si="10"/>
        <v>76</v>
      </c>
      <c r="T76" s="554" t="str">
        <f t="shared" si="11"/>
        <v>ok</v>
      </c>
    </row>
    <row r="77" spans="1:20">
      <c r="A77" s="640">
        <v>38</v>
      </c>
      <c r="B77" s="647" t="s">
        <v>3690</v>
      </c>
      <c r="C77" s="647" t="s">
        <v>3691</v>
      </c>
      <c r="D77" s="557">
        <v>90</v>
      </c>
      <c r="E77" s="557"/>
      <c r="F77" s="557"/>
      <c r="G77" s="557"/>
      <c r="H77" s="557"/>
      <c r="I77" s="557"/>
      <c r="J77" s="557"/>
      <c r="K77" s="557"/>
      <c r="L77" s="557"/>
      <c r="M77" s="557"/>
      <c r="N77" s="557">
        <f>D77</f>
        <v>90</v>
      </c>
      <c r="O77" s="557">
        <v>1</v>
      </c>
      <c r="P77" s="581">
        <f t="shared" si="1"/>
        <v>6</v>
      </c>
      <c r="Q77" s="641"/>
      <c r="S77" s="554">
        <f t="shared" si="10"/>
        <v>90</v>
      </c>
      <c r="T77" s="554" t="str">
        <f t="shared" si="11"/>
        <v>ok</v>
      </c>
    </row>
    <row r="78" spans="1:20">
      <c r="A78" s="640">
        <v>39</v>
      </c>
      <c r="B78" s="557" t="s">
        <v>3682</v>
      </c>
      <c r="C78" s="557" t="s">
        <v>3692</v>
      </c>
      <c r="D78" s="557">
        <v>34</v>
      </c>
      <c r="E78" s="557">
        <v>6</v>
      </c>
      <c r="F78" s="557"/>
      <c r="G78" s="557">
        <v>21</v>
      </c>
      <c r="H78" s="557"/>
      <c r="I78" s="557"/>
      <c r="J78" s="557"/>
      <c r="K78" s="557">
        <v>7</v>
      </c>
      <c r="L78" s="557"/>
      <c r="M78" s="557"/>
      <c r="N78" s="557"/>
      <c r="O78" s="557"/>
      <c r="P78" s="581">
        <f t="shared" si="1"/>
        <v>2.2666666666666666</v>
      </c>
      <c r="Q78" s="641"/>
      <c r="S78" s="554">
        <f t="shared" si="10"/>
        <v>34</v>
      </c>
      <c r="T78" s="554" t="str">
        <f t="shared" si="11"/>
        <v>ok</v>
      </c>
    </row>
    <row r="79" spans="1:20">
      <c r="A79" s="651">
        <v>40</v>
      </c>
      <c r="B79" s="557" t="s">
        <v>3682</v>
      </c>
      <c r="C79" s="647" t="s">
        <v>3671</v>
      </c>
      <c r="D79" s="557">
        <v>18</v>
      </c>
      <c r="E79" s="557"/>
      <c r="F79" s="557"/>
      <c r="G79" s="557"/>
      <c r="H79" s="557"/>
      <c r="I79" s="557"/>
      <c r="J79" s="557">
        <f>D79</f>
        <v>18</v>
      </c>
      <c r="K79" s="557"/>
      <c r="L79" s="557"/>
      <c r="M79" s="557"/>
      <c r="N79" s="557"/>
      <c r="O79" s="557"/>
      <c r="P79" s="581">
        <f t="shared" si="1"/>
        <v>1.2</v>
      </c>
      <c r="Q79" s="641"/>
      <c r="S79" s="554">
        <f t="shared" si="10"/>
        <v>18</v>
      </c>
      <c r="T79" s="554" t="str">
        <f t="shared" si="11"/>
        <v>ok</v>
      </c>
    </row>
    <row r="80" spans="1:20">
      <c r="A80" s="640">
        <v>41</v>
      </c>
      <c r="B80" s="557" t="s">
        <v>3692</v>
      </c>
      <c r="C80" s="557" t="s">
        <v>3693</v>
      </c>
      <c r="D80" s="557">
        <v>74</v>
      </c>
      <c r="E80" s="557">
        <v>48</v>
      </c>
      <c r="F80" s="557">
        <v>26</v>
      </c>
      <c r="G80" s="557"/>
      <c r="H80" s="557"/>
      <c r="I80" s="557"/>
      <c r="J80" s="557"/>
      <c r="K80" s="557"/>
      <c r="L80" s="557"/>
      <c r="M80" s="557"/>
      <c r="N80" s="557"/>
      <c r="O80" s="557"/>
      <c r="P80" s="581">
        <f t="shared" si="1"/>
        <v>4.9333333333333336</v>
      </c>
      <c r="Q80" s="641"/>
      <c r="S80" s="554">
        <f t="shared" si="10"/>
        <v>74</v>
      </c>
      <c r="T80" s="554" t="str">
        <f t="shared" si="11"/>
        <v>ok</v>
      </c>
    </row>
    <row r="81" spans="1:21">
      <c r="A81" s="640">
        <v>42</v>
      </c>
      <c r="B81" s="557" t="s">
        <v>3693</v>
      </c>
      <c r="C81" s="647" t="s">
        <v>3671</v>
      </c>
      <c r="D81" s="557">
        <v>25</v>
      </c>
      <c r="E81" s="557"/>
      <c r="F81" s="557"/>
      <c r="G81" s="557"/>
      <c r="H81" s="557"/>
      <c r="I81" s="557"/>
      <c r="J81" s="557">
        <f>D81</f>
        <v>25</v>
      </c>
      <c r="K81" s="557"/>
      <c r="L81" s="557"/>
      <c r="M81" s="557"/>
      <c r="N81" s="557"/>
      <c r="O81" s="557"/>
      <c r="P81" s="581">
        <f t="shared" si="1"/>
        <v>1.6666666666666667</v>
      </c>
      <c r="Q81" s="641"/>
      <c r="S81" s="554">
        <f t="shared" si="10"/>
        <v>25</v>
      </c>
      <c r="T81" s="554" t="str">
        <f t="shared" si="11"/>
        <v>ok</v>
      </c>
    </row>
    <row r="82" spans="1:21">
      <c r="A82" s="651">
        <v>43</v>
      </c>
      <c r="B82" s="557" t="s">
        <v>3692</v>
      </c>
      <c r="C82" s="557" t="s">
        <v>3694</v>
      </c>
      <c r="D82" s="557">
        <v>48</v>
      </c>
      <c r="E82" s="557"/>
      <c r="F82" s="557">
        <f>D82</f>
        <v>48</v>
      </c>
      <c r="G82" s="557"/>
      <c r="H82" s="557"/>
      <c r="I82" s="557"/>
      <c r="J82" s="557"/>
      <c r="K82" s="557"/>
      <c r="L82" s="557"/>
      <c r="M82" s="557"/>
      <c r="N82" s="557"/>
      <c r="O82" s="557"/>
      <c r="P82" s="581">
        <f t="shared" si="1"/>
        <v>3.2</v>
      </c>
      <c r="Q82" s="641"/>
      <c r="S82" s="554">
        <f t="shared" ref="S82:S84" si="12">SUM(E82:N82)</f>
        <v>48</v>
      </c>
      <c r="T82" s="554" t="str">
        <f t="shared" ref="T82:T84" si="13">IF(D82=S82,"ok",)</f>
        <v>ok</v>
      </c>
    </row>
    <row r="83" spans="1:21">
      <c r="A83" s="640">
        <v>44</v>
      </c>
      <c r="B83" s="557" t="s">
        <v>3694</v>
      </c>
      <c r="C83" s="557" t="s">
        <v>3695</v>
      </c>
      <c r="D83" s="557">
        <v>64</v>
      </c>
      <c r="E83" s="557">
        <v>15</v>
      </c>
      <c r="F83" s="557">
        <v>49</v>
      </c>
      <c r="G83" s="557"/>
      <c r="H83" s="557"/>
      <c r="I83" s="557"/>
      <c r="J83" s="557"/>
      <c r="K83" s="557"/>
      <c r="L83" s="557"/>
      <c r="M83" s="557"/>
      <c r="N83" s="557"/>
      <c r="O83" s="557"/>
      <c r="P83" s="581">
        <f t="shared" si="1"/>
        <v>4.2666666666666666</v>
      </c>
      <c r="Q83" s="641"/>
      <c r="S83" s="554">
        <f t="shared" si="12"/>
        <v>64</v>
      </c>
      <c r="T83" s="554" t="str">
        <f t="shared" si="13"/>
        <v>ok</v>
      </c>
    </row>
    <row r="84" spans="1:21">
      <c r="A84" s="640">
        <v>45</v>
      </c>
      <c r="B84" s="557" t="s">
        <v>3695</v>
      </c>
      <c r="C84" s="647" t="s">
        <v>3671</v>
      </c>
      <c r="D84" s="557">
        <v>19</v>
      </c>
      <c r="E84" s="557"/>
      <c r="F84" s="557"/>
      <c r="G84" s="557"/>
      <c r="H84" s="557"/>
      <c r="I84" s="557"/>
      <c r="J84" s="557">
        <f>D84</f>
        <v>19</v>
      </c>
      <c r="K84" s="557"/>
      <c r="L84" s="557"/>
      <c r="M84" s="557"/>
      <c r="N84" s="557"/>
      <c r="O84" s="557"/>
      <c r="P84" s="581">
        <f t="shared" si="1"/>
        <v>1.2666666666666666</v>
      </c>
      <c r="Q84" s="641"/>
      <c r="S84" s="554">
        <f t="shared" si="12"/>
        <v>19</v>
      </c>
      <c r="T84" s="554" t="str">
        <f t="shared" si="13"/>
        <v>ok</v>
      </c>
    </row>
    <row r="85" spans="1:21">
      <c r="A85" s="651">
        <v>46</v>
      </c>
      <c r="B85" s="557" t="s">
        <v>3692</v>
      </c>
      <c r="C85" s="557" t="s">
        <v>3696</v>
      </c>
      <c r="D85" s="557">
        <v>35</v>
      </c>
      <c r="E85" s="557">
        <v>6</v>
      </c>
      <c r="F85" s="557">
        <v>22</v>
      </c>
      <c r="G85" s="557"/>
      <c r="H85" s="557"/>
      <c r="I85" s="557"/>
      <c r="J85" s="557"/>
      <c r="K85" s="557">
        <v>7</v>
      </c>
      <c r="L85" s="557"/>
      <c r="M85" s="557"/>
      <c r="N85" s="557"/>
      <c r="O85" s="557"/>
      <c r="P85" s="581">
        <f t="shared" si="1"/>
        <v>2.3333333333333335</v>
      </c>
      <c r="Q85" s="641"/>
      <c r="S85" s="554">
        <f t="shared" si="9"/>
        <v>35</v>
      </c>
      <c r="T85" s="554" t="str">
        <f t="shared" si="2"/>
        <v>ok</v>
      </c>
    </row>
    <row r="86" spans="1:21">
      <c r="A86" s="640">
        <v>47</v>
      </c>
      <c r="B86" s="557" t="s">
        <v>3696</v>
      </c>
      <c r="C86" s="557" t="s">
        <v>3697</v>
      </c>
      <c r="D86" s="557">
        <v>40</v>
      </c>
      <c r="E86" s="557">
        <f>D86</f>
        <v>40</v>
      </c>
      <c r="F86" s="557"/>
      <c r="G86" s="557"/>
      <c r="H86" s="557"/>
      <c r="I86" s="557"/>
      <c r="J86" s="557"/>
      <c r="K86" s="557"/>
      <c r="L86" s="557"/>
      <c r="M86" s="557"/>
      <c r="N86" s="557"/>
      <c r="O86" s="557"/>
      <c r="P86" s="581">
        <f t="shared" si="1"/>
        <v>2.6666666666666665</v>
      </c>
      <c r="Q86" s="641"/>
      <c r="S86" s="554">
        <f t="shared" si="9"/>
        <v>40</v>
      </c>
      <c r="T86" s="554" t="str">
        <f t="shared" si="2"/>
        <v>ok</v>
      </c>
    </row>
    <row r="87" spans="1:21">
      <c r="A87" s="640">
        <v>48</v>
      </c>
      <c r="B87" s="557" t="s">
        <v>3697</v>
      </c>
      <c r="C87" s="557" t="s">
        <v>3671</v>
      </c>
      <c r="D87" s="557">
        <v>49</v>
      </c>
      <c r="E87" s="557"/>
      <c r="F87" s="557"/>
      <c r="G87" s="557"/>
      <c r="H87" s="557"/>
      <c r="I87" s="557"/>
      <c r="J87" s="557">
        <f>D87</f>
        <v>49</v>
      </c>
      <c r="K87" s="557"/>
      <c r="L87" s="557"/>
      <c r="M87" s="557"/>
      <c r="N87" s="557"/>
      <c r="O87" s="557"/>
      <c r="P87" s="581">
        <f t="shared" si="1"/>
        <v>3.2666666666666666</v>
      </c>
      <c r="Q87" s="641"/>
      <c r="S87" s="554">
        <f t="shared" si="9"/>
        <v>49</v>
      </c>
      <c r="T87" s="554" t="str">
        <f t="shared" si="2"/>
        <v>ok</v>
      </c>
    </row>
    <row r="88" spans="1:21">
      <c r="A88" s="651">
        <v>49</v>
      </c>
      <c r="B88" s="557" t="s">
        <v>3696</v>
      </c>
      <c r="C88" s="647" t="s">
        <v>3698</v>
      </c>
      <c r="D88" s="557">
        <v>49</v>
      </c>
      <c r="E88" s="557">
        <f>D88</f>
        <v>49</v>
      </c>
      <c r="F88" s="557"/>
      <c r="G88" s="557"/>
      <c r="H88" s="557"/>
      <c r="I88" s="557"/>
      <c r="J88" s="557"/>
      <c r="K88" s="557"/>
      <c r="L88" s="557"/>
      <c r="M88" s="557"/>
      <c r="N88" s="557"/>
      <c r="O88" s="557">
        <v>1</v>
      </c>
      <c r="P88" s="581">
        <f t="shared" si="1"/>
        <v>3.2666666666666666</v>
      </c>
      <c r="Q88" s="641"/>
      <c r="S88" s="554">
        <f t="shared" si="9"/>
        <v>49</v>
      </c>
      <c r="T88" s="554" t="str">
        <f t="shared" si="2"/>
        <v>ok</v>
      </c>
    </row>
    <row r="89" spans="1:21">
      <c r="A89" s="640">
        <v>50</v>
      </c>
      <c r="B89" s="647" t="s">
        <v>3698</v>
      </c>
      <c r="C89" s="647" t="s">
        <v>3699</v>
      </c>
      <c r="D89" s="557">
        <v>88</v>
      </c>
      <c r="E89" s="557"/>
      <c r="F89" s="557"/>
      <c r="G89" s="557"/>
      <c r="H89" s="557"/>
      <c r="I89" s="557"/>
      <c r="J89" s="557"/>
      <c r="K89" s="557"/>
      <c r="L89" s="557"/>
      <c r="M89" s="557"/>
      <c r="N89" s="557">
        <f>D89</f>
        <v>88</v>
      </c>
      <c r="O89" s="557">
        <v>1</v>
      </c>
      <c r="P89" s="581">
        <f t="shared" si="1"/>
        <v>5.8666666666666663</v>
      </c>
      <c r="Q89" s="641"/>
      <c r="S89" s="554">
        <f t="shared" si="9"/>
        <v>88</v>
      </c>
      <c r="T89" s="554" t="str">
        <f t="shared" si="2"/>
        <v>ok</v>
      </c>
    </row>
    <row r="90" spans="1:21">
      <c r="A90" s="640">
        <v>51</v>
      </c>
      <c r="B90" s="557" t="s">
        <v>3692</v>
      </c>
      <c r="C90" s="557" t="s">
        <v>3700</v>
      </c>
      <c r="D90" s="557">
        <v>31</v>
      </c>
      <c r="E90" s="557">
        <v>4</v>
      </c>
      <c r="F90" s="557">
        <v>21</v>
      </c>
      <c r="G90" s="557"/>
      <c r="H90" s="557"/>
      <c r="I90" s="557"/>
      <c r="J90" s="557"/>
      <c r="K90" s="557">
        <v>6</v>
      </c>
      <c r="L90" s="557"/>
      <c r="M90" s="557"/>
      <c r="N90" s="557"/>
      <c r="O90" s="557"/>
      <c r="P90" s="581">
        <f t="shared" si="1"/>
        <v>2.0666666666666669</v>
      </c>
      <c r="Q90" s="641"/>
      <c r="S90" s="554">
        <f t="shared" si="9"/>
        <v>31</v>
      </c>
      <c r="T90" s="554" t="str">
        <f t="shared" si="2"/>
        <v>ok</v>
      </c>
    </row>
    <row r="91" spans="1:21">
      <c r="A91" s="651">
        <v>52</v>
      </c>
      <c r="B91" s="557" t="s">
        <v>3700</v>
      </c>
      <c r="C91" s="557" t="s">
        <v>3701</v>
      </c>
      <c r="D91" s="557">
        <v>74</v>
      </c>
      <c r="E91" s="557">
        <f>D91</f>
        <v>74</v>
      </c>
      <c r="F91" s="557"/>
      <c r="G91" s="557"/>
      <c r="H91" s="557"/>
      <c r="I91" s="557"/>
      <c r="J91" s="557"/>
      <c r="K91" s="557"/>
      <c r="L91" s="557"/>
      <c r="M91" s="557"/>
      <c r="N91" s="557"/>
      <c r="O91" s="557"/>
      <c r="P91" s="581">
        <f t="shared" si="1"/>
        <v>4.9333333333333336</v>
      </c>
      <c r="Q91" s="641"/>
      <c r="S91" s="554">
        <f t="shared" si="9"/>
        <v>74</v>
      </c>
      <c r="T91" s="554" t="str">
        <f t="shared" si="2"/>
        <v>ok</v>
      </c>
    </row>
    <row r="92" spans="1:21">
      <c r="A92" s="640">
        <v>53</v>
      </c>
      <c r="B92" s="557" t="s">
        <v>3701</v>
      </c>
      <c r="C92" s="647" t="s">
        <v>3671</v>
      </c>
      <c r="D92" s="557">
        <v>25</v>
      </c>
      <c r="E92" s="557"/>
      <c r="F92" s="557"/>
      <c r="G92" s="557"/>
      <c r="H92" s="557"/>
      <c r="I92" s="557"/>
      <c r="J92" s="557">
        <f>D92</f>
        <v>25</v>
      </c>
      <c r="K92" s="557"/>
      <c r="L92" s="557"/>
      <c r="M92" s="557"/>
      <c r="N92" s="557"/>
      <c r="O92" s="557"/>
      <c r="P92" s="581">
        <f t="shared" si="1"/>
        <v>1.6666666666666667</v>
      </c>
      <c r="Q92" s="641"/>
      <c r="S92" s="554">
        <f t="shared" ref="S92:S95" si="14">SUM(E92:N92)</f>
        <v>25</v>
      </c>
      <c r="T92" s="554" t="str">
        <f t="shared" ref="T92:T95" si="15">IF(D92=S92,"ok",)</f>
        <v>ok</v>
      </c>
    </row>
    <row r="93" spans="1:21">
      <c r="A93" s="640">
        <v>54</v>
      </c>
      <c r="B93" s="557" t="s">
        <v>3700</v>
      </c>
      <c r="C93" s="557" t="s">
        <v>3702</v>
      </c>
      <c r="D93" s="557">
        <v>48</v>
      </c>
      <c r="E93" s="557">
        <f>D93</f>
        <v>48</v>
      </c>
      <c r="F93" s="557"/>
      <c r="G93" s="557"/>
      <c r="H93" s="557"/>
      <c r="I93" s="557"/>
      <c r="J93" s="557"/>
      <c r="K93" s="557"/>
      <c r="L93" s="557"/>
      <c r="M93" s="557"/>
      <c r="N93" s="557"/>
      <c r="O93" s="557"/>
      <c r="P93" s="581">
        <f t="shared" si="1"/>
        <v>3.2</v>
      </c>
      <c r="Q93" s="641"/>
      <c r="S93" s="554">
        <f t="shared" si="14"/>
        <v>48</v>
      </c>
      <c r="T93" s="554" t="str">
        <f t="shared" si="15"/>
        <v>ok</v>
      </c>
    </row>
    <row r="94" spans="1:21">
      <c r="A94" s="651">
        <v>55</v>
      </c>
      <c r="B94" s="557" t="s">
        <v>3702</v>
      </c>
      <c r="C94" s="557" t="s">
        <v>3703</v>
      </c>
      <c r="D94" s="557">
        <v>64</v>
      </c>
      <c r="E94" s="557">
        <f>D94</f>
        <v>64</v>
      </c>
      <c r="F94" s="557"/>
      <c r="G94" s="557"/>
      <c r="H94" s="557"/>
      <c r="I94" s="557"/>
      <c r="J94" s="557"/>
      <c r="K94" s="557"/>
      <c r="L94" s="557"/>
      <c r="M94" s="557"/>
      <c r="N94" s="557"/>
      <c r="O94" s="557"/>
      <c r="P94" s="581">
        <f t="shared" si="1"/>
        <v>4.2666666666666666</v>
      </c>
      <c r="Q94" s="641"/>
      <c r="S94" s="554">
        <f t="shared" si="14"/>
        <v>64</v>
      </c>
      <c r="T94" s="554" t="str">
        <f t="shared" si="15"/>
        <v>ok</v>
      </c>
    </row>
    <row r="95" spans="1:21">
      <c r="A95" s="640">
        <v>56</v>
      </c>
      <c r="B95" s="557" t="s">
        <v>3703</v>
      </c>
      <c r="C95" s="647" t="s">
        <v>3671</v>
      </c>
      <c r="D95" s="557">
        <v>19</v>
      </c>
      <c r="E95" s="557"/>
      <c r="F95" s="557"/>
      <c r="G95" s="557"/>
      <c r="H95" s="557"/>
      <c r="I95" s="557"/>
      <c r="J95" s="557">
        <f>D95</f>
        <v>19</v>
      </c>
      <c r="K95" s="557"/>
      <c r="L95" s="557"/>
      <c r="M95" s="557"/>
      <c r="N95" s="557"/>
      <c r="O95" s="557"/>
      <c r="P95" s="581">
        <f t="shared" si="1"/>
        <v>1.2666666666666666</v>
      </c>
      <c r="Q95" s="641"/>
      <c r="S95" s="554">
        <f t="shared" si="14"/>
        <v>19</v>
      </c>
      <c r="T95" s="554" t="str">
        <f t="shared" si="15"/>
        <v>ok</v>
      </c>
      <c r="U95" s="554">
        <v>70</v>
      </c>
    </row>
    <row r="96" spans="1:21" s="567" customFormat="1" ht="14.25">
      <c r="A96" s="638" t="s">
        <v>3576</v>
      </c>
      <c r="B96" s="646"/>
      <c r="C96" s="646"/>
      <c r="D96" s="568">
        <f t="shared" ref="D96:P96" si="16">SUM(D40:D95)</f>
        <v>2717</v>
      </c>
      <c r="E96" s="568">
        <f t="shared" si="16"/>
        <v>1040</v>
      </c>
      <c r="F96" s="568">
        <f t="shared" si="16"/>
        <v>340</v>
      </c>
      <c r="G96" s="568">
        <f t="shared" si="16"/>
        <v>100</v>
      </c>
      <c r="H96" s="568">
        <f t="shared" si="16"/>
        <v>117</v>
      </c>
      <c r="I96" s="568">
        <f t="shared" si="16"/>
        <v>0</v>
      </c>
      <c r="J96" s="568">
        <f t="shared" si="16"/>
        <v>616</v>
      </c>
      <c r="K96" s="568">
        <f t="shared" si="16"/>
        <v>42</v>
      </c>
      <c r="L96" s="568">
        <f t="shared" si="16"/>
        <v>6</v>
      </c>
      <c r="M96" s="568">
        <f t="shared" si="16"/>
        <v>17</v>
      </c>
      <c r="N96" s="568">
        <f t="shared" si="16"/>
        <v>439</v>
      </c>
      <c r="O96" s="568">
        <f t="shared" si="16"/>
        <v>12</v>
      </c>
      <c r="P96" s="568">
        <f t="shared" si="16"/>
        <v>181.13333333333338</v>
      </c>
      <c r="Q96" s="639"/>
      <c r="S96" s="567">
        <f t="shared" si="9"/>
        <v>2717</v>
      </c>
      <c r="T96" s="567" t="str">
        <f t="shared" si="2"/>
        <v>ok</v>
      </c>
    </row>
    <row r="97" spans="1:20" s="567" customFormat="1">
      <c r="A97" s="638" t="s">
        <v>15</v>
      </c>
      <c r="B97" s="569" t="s">
        <v>3587</v>
      </c>
      <c r="C97" s="569"/>
      <c r="D97" s="569"/>
      <c r="E97" s="569"/>
      <c r="F97" s="569"/>
      <c r="G97" s="569"/>
      <c r="H97" s="569"/>
      <c r="I97" s="569"/>
      <c r="J97" s="569"/>
      <c r="K97" s="569"/>
      <c r="L97" s="569"/>
      <c r="M97" s="569"/>
      <c r="N97" s="557"/>
      <c r="O97" s="557"/>
      <c r="P97" s="581">
        <f t="shared" si="1"/>
        <v>0</v>
      </c>
      <c r="Q97" s="639"/>
      <c r="S97" s="554">
        <f t="shared" si="9"/>
        <v>0</v>
      </c>
      <c r="T97" s="554" t="str">
        <f t="shared" si="2"/>
        <v>ok</v>
      </c>
    </row>
    <row r="98" spans="1:20">
      <c r="A98" s="640">
        <v>1</v>
      </c>
      <c r="B98" s="557"/>
      <c r="C98" s="557"/>
      <c r="D98" s="557"/>
      <c r="E98" s="557"/>
      <c r="F98" s="557"/>
      <c r="G98" s="557"/>
      <c r="H98" s="557"/>
      <c r="I98" s="557"/>
      <c r="J98" s="557"/>
      <c r="K98" s="557"/>
      <c r="L98" s="557"/>
      <c r="M98" s="557"/>
      <c r="N98" s="557"/>
      <c r="O98" s="557"/>
      <c r="P98" s="581">
        <f t="shared" si="1"/>
        <v>0</v>
      </c>
      <c r="Q98" s="641"/>
      <c r="S98" s="554">
        <f t="shared" ref="S98:S161" si="17">SUM(E98:N98)</f>
        <v>0</v>
      </c>
      <c r="T98" s="554" t="str">
        <f t="shared" ref="T98:T161" si="18">IF(D98=S98,"ok",)</f>
        <v>ok</v>
      </c>
    </row>
    <row r="99" spans="1:20">
      <c r="A99" s="640">
        <v>2</v>
      </c>
      <c r="B99" s="557"/>
      <c r="C99" s="557"/>
      <c r="D99" s="557"/>
      <c r="E99" s="557"/>
      <c r="F99" s="557"/>
      <c r="G99" s="557"/>
      <c r="H99" s="557"/>
      <c r="I99" s="557"/>
      <c r="J99" s="557"/>
      <c r="K99" s="557"/>
      <c r="L99" s="557"/>
      <c r="M99" s="557"/>
      <c r="N99" s="557"/>
      <c r="O99" s="557"/>
      <c r="P99" s="581">
        <f t="shared" si="1"/>
        <v>0</v>
      </c>
      <c r="Q99" s="641"/>
      <c r="S99" s="554">
        <f t="shared" si="17"/>
        <v>0</v>
      </c>
      <c r="T99" s="554" t="str">
        <f t="shared" si="18"/>
        <v>ok</v>
      </c>
    </row>
    <row r="100" spans="1:20">
      <c r="A100" s="640">
        <v>3</v>
      </c>
      <c r="B100" s="557"/>
      <c r="C100" s="557"/>
      <c r="D100" s="557"/>
      <c r="E100" s="557"/>
      <c r="F100" s="557"/>
      <c r="G100" s="557"/>
      <c r="H100" s="557"/>
      <c r="I100" s="557"/>
      <c r="J100" s="557"/>
      <c r="K100" s="557"/>
      <c r="L100" s="557"/>
      <c r="M100" s="557"/>
      <c r="N100" s="557"/>
      <c r="O100" s="557"/>
      <c r="P100" s="581">
        <f t="shared" si="1"/>
        <v>0</v>
      </c>
      <c r="Q100" s="641"/>
      <c r="S100" s="554">
        <f t="shared" si="17"/>
        <v>0</v>
      </c>
      <c r="T100" s="554" t="str">
        <f t="shared" si="18"/>
        <v>ok</v>
      </c>
    </row>
    <row r="101" spans="1:20">
      <c r="A101" s="640">
        <v>4</v>
      </c>
      <c r="B101" s="557"/>
      <c r="C101" s="557"/>
      <c r="D101" s="557"/>
      <c r="E101" s="557"/>
      <c r="F101" s="557"/>
      <c r="G101" s="557"/>
      <c r="H101" s="557"/>
      <c r="I101" s="557"/>
      <c r="J101" s="557"/>
      <c r="K101" s="557"/>
      <c r="L101" s="557"/>
      <c r="M101" s="557"/>
      <c r="N101" s="557"/>
      <c r="O101" s="557"/>
      <c r="P101" s="581">
        <f t="shared" si="1"/>
        <v>0</v>
      </c>
      <c r="Q101" s="641"/>
      <c r="S101" s="554">
        <f t="shared" si="17"/>
        <v>0</v>
      </c>
      <c r="T101" s="554" t="str">
        <f t="shared" si="18"/>
        <v>ok</v>
      </c>
    </row>
    <row r="102" spans="1:20">
      <c r="A102" s="640">
        <v>5</v>
      </c>
      <c r="B102" s="557"/>
      <c r="C102" s="557"/>
      <c r="D102" s="557"/>
      <c r="E102" s="557"/>
      <c r="F102" s="557"/>
      <c r="G102" s="557"/>
      <c r="H102" s="557"/>
      <c r="I102" s="557"/>
      <c r="J102" s="557"/>
      <c r="K102" s="557"/>
      <c r="L102" s="557"/>
      <c r="M102" s="557"/>
      <c r="N102" s="557"/>
      <c r="O102" s="557"/>
      <c r="P102" s="581">
        <f t="shared" si="1"/>
        <v>0</v>
      </c>
      <c r="Q102" s="641"/>
      <c r="S102" s="554">
        <f t="shared" si="17"/>
        <v>0</v>
      </c>
      <c r="T102" s="554" t="str">
        <f t="shared" si="18"/>
        <v>ok</v>
      </c>
    </row>
    <row r="103" spans="1:20">
      <c r="A103" s="640">
        <v>6</v>
      </c>
      <c r="B103" s="557"/>
      <c r="C103" s="557"/>
      <c r="D103" s="557"/>
      <c r="E103" s="557"/>
      <c r="F103" s="557"/>
      <c r="G103" s="557"/>
      <c r="H103" s="557"/>
      <c r="I103" s="557"/>
      <c r="J103" s="557"/>
      <c r="K103" s="557"/>
      <c r="L103" s="557"/>
      <c r="M103" s="557"/>
      <c r="N103" s="557"/>
      <c r="O103" s="557"/>
      <c r="P103" s="581">
        <f t="shared" si="1"/>
        <v>0</v>
      </c>
      <c r="Q103" s="641"/>
      <c r="S103" s="554">
        <f t="shared" si="17"/>
        <v>0</v>
      </c>
      <c r="T103" s="554" t="str">
        <f t="shared" si="18"/>
        <v>ok</v>
      </c>
    </row>
    <row r="104" spans="1:20">
      <c r="A104" s="640">
        <v>7</v>
      </c>
      <c r="B104" s="557"/>
      <c r="C104" s="557"/>
      <c r="D104" s="557"/>
      <c r="E104" s="557"/>
      <c r="F104" s="557"/>
      <c r="G104" s="557"/>
      <c r="H104" s="557"/>
      <c r="I104" s="557"/>
      <c r="J104" s="557"/>
      <c r="K104" s="557"/>
      <c r="L104" s="557"/>
      <c r="M104" s="557"/>
      <c r="N104" s="557"/>
      <c r="O104" s="557"/>
      <c r="P104" s="581">
        <f t="shared" si="1"/>
        <v>0</v>
      </c>
      <c r="Q104" s="641"/>
      <c r="S104" s="554">
        <f t="shared" si="17"/>
        <v>0</v>
      </c>
      <c r="T104" s="554" t="str">
        <f t="shared" si="18"/>
        <v>ok</v>
      </c>
    </row>
    <row r="105" spans="1:20">
      <c r="A105" s="640">
        <v>8</v>
      </c>
      <c r="B105" s="557"/>
      <c r="C105" s="557"/>
      <c r="D105" s="557"/>
      <c r="E105" s="557"/>
      <c r="F105" s="557"/>
      <c r="G105" s="557"/>
      <c r="H105" s="557"/>
      <c r="I105" s="557"/>
      <c r="J105" s="557"/>
      <c r="K105" s="557"/>
      <c r="L105" s="557"/>
      <c r="M105" s="557"/>
      <c r="N105" s="557"/>
      <c r="O105" s="557"/>
      <c r="P105" s="581">
        <f t="shared" si="1"/>
        <v>0</v>
      </c>
      <c r="Q105" s="641"/>
      <c r="S105" s="554">
        <f t="shared" si="17"/>
        <v>0</v>
      </c>
      <c r="T105" s="554" t="str">
        <f t="shared" si="18"/>
        <v>ok</v>
      </c>
    </row>
    <row r="106" spans="1:20">
      <c r="A106" s="640">
        <v>9</v>
      </c>
      <c r="B106" s="557"/>
      <c r="C106" s="557"/>
      <c r="D106" s="557"/>
      <c r="E106" s="557"/>
      <c r="F106" s="557"/>
      <c r="G106" s="557"/>
      <c r="H106" s="557"/>
      <c r="I106" s="557"/>
      <c r="J106" s="557"/>
      <c r="K106" s="557"/>
      <c r="L106" s="557"/>
      <c r="M106" s="557"/>
      <c r="N106" s="557"/>
      <c r="O106" s="557"/>
      <c r="P106" s="581">
        <f t="shared" si="1"/>
        <v>0</v>
      </c>
      <c r="Q106" s="641"/>
      <c r="S106" s="554">
        <f t="shared" si="17"/>
        <v>0</v>
      </c>
      <c r="T106" s="554" t="str">
        <f t="shared" si="18"/>
        <v>ok</v>
      </c>
    </row>
    <row r="107" spans="1:20">
      <c r="A107" s="640">
        <v>10</v>
      </c>
      <c r="B107" s="557"/>
      <c r="C107" s="557"/>
      <c r="D107" s="557"/>
      <c r="E107" s="557"/>
      <c r="F107" s="557"/>
      <c r="G107" s="557"/>
      <c r="H107" s="557"/>
      <c r="I107" s="557"/>
      <c r="J107" s="557"/>
      <c r="K107" s="557"/>
      <c r="L107" s="557"/>
      <c r="M107" s="557"/>
      <c r="N107" s="557"/>
      <c r="O107" s="557"/>
      <c r="P107" s="581">
        <f t="shared" ref="P107:P170" si="19">D107/15</f>
        <v>0</v>
      </c>
      <c r="Q107" s="641"/>
      <c r="S107" s="554">
        <f t="shared" si="17"/>
        <v>0</v>
      </c>
      <c r="T107" s="554" t="str">
        <f t="shared" si="18"/>
        <v>ok</v>
      </c>
    </row>
    <row r="108" spans="1:20">
      <c r="A108" s="640">
        <v>11</v>
      </c>
      <c r="B108" s="557"/>
      <c r="C108" s="557"/>
      <c r="D108" s="557"/>
      <c r="E108" s="557"/>
      <c r="F108" s="557"/>
      <c r="G108" s="557"/>
      <c r="H108" s="557"/>
      <c r="I108" s="557"/>
      <c r="J108" s="557"/>
      <c r="K108" s="557"/>
      <c r="L108" s="557"/>
      <c r="M108" s="557"/>
      <c r="N108" s="557"/>
      <c r="O108" s="557"/>
      <c r="P108" s="581">
        <f t="shared" si="19"/>
        <v>0</v>
      </c>
      <c r="Q108" s="641"/>
      <c r="S108" s="554">
        <f t="shared" si="17"/>
        <v>0</v>
      </c>
      <c r="T108" s="554" t="str">
        <f t="shared" si="18"/>
        <v>ok</v>
      </c>
    </row>
    <row r="109" spans="1:20">
      <c r="A109" s="640">
        <v>12</v>
      </c>
      <c r="B109" s="557"/>
      <c r="C109" s="557"/>
      <c r="D109" s="557"/>
      <c r="E109" s="557"/>
      <c r="F109" s="557"/>
      <c r="G109" s="557"/>
      <c r="H109" s="557"/>
      <c r="I109" s="557"/>
      <c r="J109" s="557"/>
      <c r="K109" s="557"/>
      <c r="L109" s="557"/>
      <c r="M109" s="557"/>
      <c r="N109" s="557"/>
      <c r="O109" s="557"/>
      <c r="P109" s="581">
        <f t="shared" si="19"/>
        <v>0</v>
      </c>
      <c r="Q109" s="641"/>
      <c r="S109" s="554">
        <f t="shared" si="17"/>
        <v>0</v>
      </c>
      <c r="T109" s="554" t="str">
        <f t="shared" si="18"/>
        <v>ok</v>
      </c>
    </row>
    <row r="110" spans="1:20">
      <c r="A110" s="640">
        <v>13</v>
      </c>
      <c r="B110" s="557"/>
      <c r="C110" s="557"/>
      <c r="D110" s="557"/>
      <c r="E110" s="557"/>
      <c r="F110" s="557"/>
      <c r="G110" s="557"/>
      <c r="H110" s="557"/>
      <c r="I110" s="557"/>
      <c r="J110" s="557"/>
      <c r="K110" s="557"/>
      <c r="L110" s="557"/>
      <c r="M110" s="557"/>
      <c r="N110" s="557"/>
      <c r="O110" s="557"/>
      <c r="P110" s="581">
        <f t="shared" si="19"/>
        <v>0</v>
      </c>
      <c r="Q110" s="641"/>
      <c r="S110" s="554">
        <f t="shared" si="17"/>
        <v>0</v>
      </c>
      <c r="T110" s="554" t="str">
        <f t="shared" si="18"/>
        <v>ok</v>
      </c>
    </row>
    <row r="111" spans="1:20">
      <c r="A111" s="640">
        <v>14</v>
      </c>
      <c r="B111" s="557"/>
      <c r="C111" s="557"/>
      <c r="D111" s="557"/>
      <c r="E111" s="557"/>
      <c r="F111" s="557"/>
      <c r="G111" s="557"/>
      <c r="H111" s="557"/>
      <c r="I111" s="557"/>
      <c r="J111" s="557"/>
      <c r="K111" s="557"/>
      <c r="L111" s="557"/>
      <c r="M111" s="557"/>
      <c r="N111" s="557"/>
      <c r="O111" s="557"/>
      <c r="P111" s="581">
        <f t="shared" si="19"/>
        <v>0</v>
      </c>
      <c r="Q111" s="641"/>
      <c r="S111" s="554">
        <f t="shared" si="17"/>
        <v>0</v>
      </c>
      <c r="T111" s="554" t="str">
        <f t="shared" si="18"/>
        <v>ok</v>
      </c>
    </row>
    <row r="112" spans="1:20">
      <c r="A112" s="640">
        <v>15</v>
      </c>
      <c r="B112" s="557"/>
      <c r="C112" s="557"/>
      <c r="D112" s="557"/>
      <c r="E112" s="557"/>
      <c r="F112" s="557"/>
      <c r="G112" s="557"/>
      <c r="H112" s="557"/>
      <c r="I112" s="557"/>
      <c r="J112" s="557"/>
      <c r="K112" s="557"/>
      <c r="L112" s="557"/>
      <c r="M112" s="557"/>
      <c r="N112" s="557"/>
      <c r="O112" s="557"/>
      <c r="P112" s="581">
        <f t="shared" si="19"/>
        <v>0</v>
      </c>
      <c r="Q112" s="641"/>
      <c r="S112" s="554">
        <f t="shared" si="17"/>
        <v>0</v>
      </c>
      <c r="T112" s="554" t="str">
        <f t="shared" si="18"/>
        <v>ok</v>
      </c>
    </row>
    <row r="113" spans="1:20">
      <c r="A113" s="640">
        <v>16</v>
      </c>
      <c r="B113" s="557"/>
      <c r="C113" s="557"/>
      <c r="D113" s="557"/>
      <c r="E113" s="557"/>
      <c r="F113" s="557"/>
      <c r="G113" s="557"/>
      <c r="H113" s="557"/>
      <c r="I113" s="557"/>
      <c r="J113" s="557"/>
      <c r="K113" s="557"/>
      <c r="L113" s="557"/>
      <c r="M113" s="557"/>
      <c r="N113" s="557"/>
      <c r="O113" s="557"/>
      <c r="P113" s="581">
        <f t="shared" si="19"/>
        <v>0</v>
      </c>
      <c r="Q113" s="641"/>
      <c r="S113" s="554">
        <f t="shared" si="17"/>
        <v>0</v>
      </c>
      <c r="T113" s="554" t="str">
        <f t="shared" si="18"/>
        <v>ok</v>
      </c>
    </row>
    <row r="114" spans="1:20">
      <c r="A114" s="640">
        <v>17</v>
      </c>
      <c r="B114" s="557"/>
      <c r="C114" s="557"/>
      <c r="D114" s="557"/>
      <c r="E114" s="557"/>
      <c r="F114" s="557"/>
      <c r="G114" s="557"/>
      <c r="H114" s="557"/>
      <c r="I114" s="557"/>
      <c r="J114" s="557"/>
      <c r="K114" s="557"/>
      <c r="L114" s="557"/>
      <c r="M114" s="557"/>
      <c r="N114" s="557"/>
      <c r="O114" s="557"/>
      <c r="P114" s="581">
        <f t="shared" si="19"/>
        <v>0</v>
      </c>
      <c r="Q114" s="641"/>
      <c r="S114" s="554">
        <f t="shared" si="17"/>
        <v>0</v>
      </c>
      <c r="T114" s="554" t="str">
        <f t="shared" si="18"/>
        <v>ok</v>
      </c>
    </row>
    <row r="115" spans="1:20">
      <c r="A115" s="640">
        <v>18</v>
      </c>
      <c r="B115" s="557"/>
      <c r="C115" s="557"/>
      <c r="D115" s="557"/>
      <c r="E115" s="557"/>
      <c r="F115" s="557"/>
      <c r="G115" s="557"/>
      <c r="H115" s="557"/>
      <c r="I115" s="557"/>
      <c r="J115" s="557"/>
      <c r="K115" s="557"/>
      <c r="L115" s="557"/>
      <c r="M115" s="557"/>
      <c r="N115" s="557"/>
      <c r="O115" s="557"/>
      <c r="P115" s="581">
        <f t="shared" si="19"/>
        <v>0</v>
      </c>
      <c r="Q115" s="641"/>
      <c r="S115" s="554">
        <f t="shared" si="17"/>
        <v>0</v>
      </c>
      <c r="T115" s="554" t="str">
        <f t="shared" si="18"/>
        <v>ok</v>
      </c>
    </row>
    <row r="116" spans="1:20">
      <c r="A116" s="640">
        <v>19</v>
      </c>
      <c r="B116" s="557"/>
      <c r="C116" s="557"/>
      <c r="D116" s="557"/>
      <c r="E116" s="557"/>
      <c r="F116" s="557"/>
      <c r="G116" s="557"/>
      <c r="H116" s="557"/>
      <c r="I116" s="557"/>
      <c r="J116" s="557"/>
      <c r="K116" s="557"/>
      <c r="L116" s="557"/>
      <c r="M116" s="557"/>
      <c r="N116" s="557"/>
      <c r="O116" s="557"/>
      <c r="P116" s="581">
        <f t="shared" si="19"/>
        <v>0</v>
      </c>
      <c r="Q116" s="641"/>
      <c r="S116" s="554">
        <f t="shared" si="17"/>
        <v>0</v>
      </c>
      <c r="T116" s="554" t="str">
        <f t="shared" si="18"/>
        <v>ok</v>
      </c>
    </row>
    <row r="117" spans="1:20">
      <c r="A117" s="640">
        <v>20</v>
      </c>
      <c r="B117" s="557"/>
      <c r="C117" s="557"/>
      <c r="D117" s="557"/>
      <c r="E117" s="557"/>
      <c r="F117" s="557"/>
      <c r="G117" s="557"/>
      <c r="H117" s="557"/>
      <c r="I117" s="557"/>
      <c r="J117" s="557"/>
      <c r="K117" s="557"/>
      <c r="L117" s="557"/>
      <c r="M117" s="557"/>
      <c r="N117" s="557"/>
      <c r="O117" s="557"/>
      <c r="P117" s="581">
        <f t="shared" si="19"/>
        <v>0</v>
      </c>
      <c r="Q117" s="641"/>
      <c r="S117" s="554">
        <f t="shared" si="17"/>
        <v>0</v>
      </c>
      <c r="T117" s="554" t="str">
        <f t="shared" si="18"/>
        <v>ok</v>
      </c>
    </row>
    <row r="118" spans="1:20">
      <c r="A118" s="640">
        <v>21</v>
      </c>
      <c r="B118" s="557"/>
      <c r="C118" s="557"/>
      <c r="D118" s="557"/>
      <c r="E118" s="557"/>
      <c r="F118" s="557"/>
      <c r="G118" s="557"/>
      <c r="H118" s="557"/>
      <c r="I118" s="557"/>
      <c r="J118" s="557"/>
      <c r="K118" s="557"/>
      <c r="L118" s="557"/>
      <c r="M118" s="557"/>
      <c r="N118" s="557"/>
      <c r="O118" s="557"/>
      <c r="P118" s="581">
        <f t="shared" si="19"/>
        <v>0</v>
      </c>
      <c r="Q118" s="641"/>
      <c r="S118" s="554">
        <f t="shared" si="17"/>
        <v>0</v>
      </c>
      <c r="T118" s="554" t="str">
        <f t="shared" si="18"/>
        <v>ok</v>
      </c>
    </row>
    <row r="119" spans="1:20">
      <c r="A119" s="640">
        <v>22</v>
      </c>
      <c r="B119" s="557"/>
      <c r="C119" s="557"/>
      <c r="D119" s="557"/>
      <c r="E119" s="557"/>
      <c r="F119" s="557"/>
      <c r="G119" s="557"/>
      <c r="H119" s="557"/>
      <c r="I119" s="557"/>
      <c r="J119" s="557"/>
      <c r="K119" s="557"/>
      <c r="L119" s="557"/>
      <c r="M119" s="557"/>
      <c r="N119" s="557"/>
      <c r="O119" s="557"/>
      <c r="P119" s="581">
        <f t="shared" si="19"/>
        <v>0</v>
      </c>
      <c r="Q119" s="641"/>
      <c r="S119" s="554">
        <f t="shared" si="17"/>
        <v>0</v>
      </c>
      <c r="T119" s="554" t="str">
        <f t="shared" si="18"/>
        <v>ok</v>
      </c>
    </row>
    <row r="120" spans="1:20">
      <c r="A120" s="640">
        <v>23</v>
      </c>
      <c r="B120" s="557"/>
      <c r="C120" s="557"/>
      <c r="D120" s="557"/>
      <c r="E120" s="557"/>
      <c r="F120" s="557"/>
      <c r="G120" s="557"/>
      <c r="H120" s="557"/>
      <c r="I120" s="557"/>
      <c r="J120" s="557"/>
      <c r="K120" s="557"/>
      <c r="L120" s="557"/>
      <c r="M120" s="557"/>
      <c r="N120" s="557"/>
      <c r="O120" s="557"/>
      <c r="P120" s="581">
        <f t="shared" si="19"/>
        <v>0</v>
      </c>
      <c r="Q120" s="641"/>
      <c r="S120" s="554">
        <f t="shared" si="17"/>
        <v>0</v>
      </c>
      <c r="T120" s="554" t="str">
        <f t="shared" si="18"/>
        <v>ok</v>
      </c>
    </row>
    <row r="121" spans="1:20">
      <c r="A121" s="640">
        <v>24</v>
      </c>
      <c r="B121" s="557"/>
      <c r="C121" s="557"/>
      <c r="D121" s="557"/>
      <c r="E121" s="557"/>
      <c r="F121" s="557"/>
      <c r="G121" s="557"/>
      <c r="H121" s="557"/>
      <c r="I121" s="557"/>
      <c r="J121" s="557"/>
      <c r="K121" s="557"/>
      <c r="L121" s="557"/>
      <c r="M121" s="557"/>
      <c r="N121" s="557"/>
      <c r="O121" s="557"/>
      <c r="P121" s="581">
        <f t="shared" si="19"/>
        <v>0</v>
      </c>
      <c r="Q121" s="641"/>
      <c r="S121" s="554">
        <f t="shared" si="17"/>
        <v>0</v>
      </c>
      <c r="T121" s="554" t="str">
        <f t="shared" si="18"/>
        <v>ok</v>
      </c>
    </row>
    <row r="122" spans="1:20">
      <c r="A122" s="640">
        <v>25</v>
      </c>
      <c r="B122" s="557"/>
      <c r="C122" s="557"/>
      <c r="D122" s="557"/>
      <c r="E122" s="557"/>
      <c r="F122" s="557"/>
      <c r="G122" s="557"/>
      <c r="H122" s="557"/>
      <c r="I122" s="557"/>
      <c r="J122" s="557"/>
      <c r="K122" s="557"/>
      <c r="L122" s="557"/>
      <c r="M122" s="557"/>
      <c r="N122" s="557"/>
      <c r="O122" s="557"/>
      <c r="P122" s="581">
        <f t="shared" si="19"/>
        <v>0</v>
      </c>
      <c r="Q122" s="641"/>
      <c r="S122" s="554">
        <f t="shared" si="17"/>
        <v>0</v>
      </c>
      <c r="T122" s="554" t="str">
        <f t="shared" si="18"/>
        <v>ok</v>
      </c>
    </row>
    <row r="123" spans="1:20">
      <c r="A123" s="640">
        <v>26</v>
      </c>
      <c r="B123" s="557"/>
      <c r="C123" s="557"/>
      <c r="D123" s="557"/>
      <c r="E123" s="557"/>
      <c r="F123" s="557"/>
      <c r="G123" s="557"/>
      <c r="H123" s="557"/>
      <c r="I123" s="557"/>
      <c r="J123" s="557"/>
      <c r="K123" s="557"/>
      <c r="L123" s="557"/>
      <c r="M123" s="557"/>
      <c r="N123" s="557"/>
      <c r="O123" s="557"/>
      <c r="P123" s="581">
        <f t="shared" si="19"/>
        <v>0</v>
      </c>
      <c r="Q123" s="641"/>
      <c r="S123" s="554">
        <f t="shared" si="17"/>
        <v>0</v>
      </c>
      <c r="T123" s="554" t="str">
        <f t="shared" si="18"/>
        <v>ok</v>
      </c>
    </row>
    <row r="124" spans="1:20">
      <c r="A124" s="640">
        <v>27</v>
      </c>
      <c r="B124" s="557"/>
      <c r="C124" s="557"/>
      <c r="D124" s="557"/>
      <c r="E124" s="557"/>
      <c r="F124" s="557"/>
      <c r="G124" s="557"/>
      <c r="H124" s="557"/>
      <c r="I124" s="557"/>
      <c r="J124" s="557"/>
      <c r="K124" s="557"/>
      <c r="L124" s="557"/>
      <c r="M124" s="557"/>
      <c r="N124" s="557"/>
      <c r="O124" s="557"/>
      <c r="P124" s="581">
        <f t="shared" si="19"/>
        <v>0</v>
      </c>
      <c r="Q124" s="641"/>
      <c r="S124" s="554">
        <f t="shared" si="17"/>
        <v>0</v>
      </c>
      <c r="T124" s="554" t="str">
        <f t="shared" si="18"/>
        <v>ok</v>
      </c>
    </row>
    <row r="125" spans="1:20">
      <c r="A125" s="640">
        <v>28</v>
      </c>
      <c r="B125" s="557"/>
      <c r="C125" s="557"/>
      <c r="D125" s="557"/>
      <c r="E125" s="557"/>
      <c r="F125" s="557"/>
      <c r="G125" s="557"/>
      <c r="H125" s="557"/>
      <c r="I125" s="557"/>
      <c r="J125" s="557"/>
      <c r="K125" s="557"/>
      <c r="L125" s="557"/>
      <c r="M125" s="557"/>
      <c r="N125" s="557"/>
      <c r="O125" s="557"/>
      <c r="P125" s="581">
        <f t="shared" si="19"/>
        <v>0</v>
      </c>
      <c r="Q125" s="641"/>
      <c r="S125" s="554">
        <f t="shared" si="17"/>
        <v>0</v>
      </c>
      <c r="T125" s="554" t="str">
        <f t="shared" si="18"/>
        <v>ok</v>
      </c>
    </row>
    <row r="126" spans="1:20">
      <c r="A126" s="640">
        <v>29</v>
      </c>
      <c r="B126" s="557"/>
      <c r="C126" s="557"/>
      <c r="D126" s="557"/>
      <c r="E126" s="557"/>
      <c r="F126" s="557"/>
      <c r="G126" s="557"/>
      <c r="H126" s="557"/>
      <c r="I126" s="557"/>
      <c r="J126" s="557"/>
      <c r="K126" s="557"/>
      <c r="L126" s="557"/>
      <c r="M126" s="557"/>
      <c r="N126" s="557"/>
      <c r="O126" s="557"/>
      <c r="P126" s="581">
        <f t="shared" si="19"/>
        <v>0</v>
      </c>
      <c r="Q126" s="641"/>
      <c r="S126" s="554">
        <f t="shared" si="17"/>
        <v>0</v>
      </c>
      <c r="T126" s="554" t="str">
        <f t="shared" si="18"/>
        <v>ok</v>
      </c>
    </row>
    <row r="127" spans="1:20">
      <c r="A127" s="640">
        <v>30</v>
      </c>
      <c r="B127" s="557"/>
      <c r="C127" s="557"/>
      <c r="D127" s="557"/>
      <c r="E127" s="557"/>
      <c r="F127" s="557"/>
      <c r="G127" s="557"/>
      <c r="H127" s="557"/>
      <c r="I127" s="557"/>
      <c r="J127" s="557"/>
      <c r="K127" s="557"/>
      <c r="L127" s="557"/>
      <c r="M127" s="557"/>
      <c r="N127" s="557"/>
      <c r="O127" s="557"/>
      <c r="P127" s="581">
        <f t="shared" si="19"/>
        <v>0</v>
      </c>
      <c r="Q127" s="641"/>
      <c r="S127" s="554">
        <f t="shared" si="17"/>
        <v>0</v>
      </c>
      <c r="T127" s="554" t="str">
        <f t="shared" si="18"/>
        <v>ok</v>
      </c>
    </row>
    <row r="128" spans="1:20">
      <c r="A128" s="640">
        <v>31</v>
      </c>
      <c r="B128" s="557"/>
      <c r="C128" s="557"/>
      <c r="D128" s="557"/>
      <c r="E128" s="557"/>
      <c r="F128" s="557"/>
      <c r="G128" s="557"/>
      <c r="H128" s="557"/>
      <c r="I128" s="557"/>
      <c r="J128" s="557"/>
      <c r="K128" s="557"/>
      <c r="L128" s="557"/>
      <c r="M128" s="557"/>
      <c r="N128" s="557"/>
      <c r="O128" s="557"/>
      <c r="P128" s="581">
        <f t="shared" si="19"/>
        <v>0</v>
      </c>
      <c r="Q128" s="641"/>
      <c r="S128" s="554">
        <f t="shared" si="17"/>
        <v>0</v>
      </c>
      <c r="T128" s="554" t="str">
        <f t="shared" si="18"/>
        <v>ok</v>
      </c>
    </row>
    <row r="129" spans="1:20">
      <c r="A129" s="640">
        <v>32</v>
      </c>
      <c r="B129" s="557"/>
      <c r="C129" s="557"/>
      <c r="D129" s="557"/>
      <c r="E129" s="557"/>
      <c r="F129" s="557"/>
      <c r="G129" s="557"/>
      <c r="H129" s="557"/>
      <c r="I129" s="557"/>
      <c r="J129" s="557"/>
      <c r="K129" s="557"/>
      <c r="L129" s="557"/>
      <c r="M129" s="557"/>
      <c r="N129" s="557"/>
      <c r="O129" s="557"/>
      <c r="P129" s="581">
        <f t="shared" si="19"/>
        <v>0</v>
      </c>
      <c r="Q129" s="641"/>
      <c r="S129" s="554">
        <f t="shared" si="17"/>
        <v>0</v>
      </c>
      <c r="T129" s="554" t="str">
        <f t="shared" si="18"/>
        <v>ok</v>
      </c>
    </row>
    <row r="130" spans="1:20">
      <c r="A130" s="640">
        <v>33</v>
      </c>
      <c r="B130" s="557"/>
      <c r="C130" s="557"/>
      <c r="D130" s="557"/>
      <c r="E130" s="557"/>
      <c r="F130" s="557"/>
      <c r="G130" s="557"/>
      <c r="H130" s="557"/>
      <c r="I130" s="557"/>
      <c r="J130" s="557"/>
      <c r="K130" s="557"/>
      <c r="L130" s="557"/>
      <c r="M130" s="557"/>
      <c r="N130" s="557"/>
      <c r="O130" s="557"/>
      <c r="P130" s="581">
        <f t="shared" si="19"/>
        <v>0</v>
      </c>
      <c r="Q130" s="641"/>
      <c r="S130" s="554">
        <f t="shared" si="17"/>
        <v>0</v>
      </c>
      <c r="T130" s="554" t="str">
        <f t="shared" si="18"/>
        <v>ok</v>
      </c>
    </row>
    <row r="131" spans="1:20">
      <c r="A131" s="640">
        <v>34</v>
      </c>
      <c r="B131" s="557"/>
      <c r="C131" s="557"/>
      <c r="D131" s="557"/>
      <c r="E131" s="557"/>
      <c r="F131" s="557"/>
      <c r="G131" s="557"/>
      <c r="H131" s="557"/>
      <c r="I131" s="557"/>
      <c r="J131" s="557"/>
      <c r="K131" s="557"/>
      <c r="L131" s="557"/>
      <c r="M131" s="557"/>
      <c r="N131" s="557"/>
      <c r="O131" s="557"/>
      <c r="P131" s="581">
        <f t="shared" si="19"/>
        <v>0</v>
      </c>
      <c r="Q131" s="641"/>
      <c r="S131" s="554">
        <f t="shared" si="17"/>
        <v>0</v>
      </c>
      <c r="T131" s="554" t="str">
        <f t="shared" si="18"/>
        <v>ok</v>
      </c>
    </row>
    <row r="132" spans="1:20">
      <c r="A132" s="640">
        <v>35</v>
      </c>
      <c r="B132" s="557"/>
      <c r="C132" s="557"/>
      <c r="D132" s="557"/>
      <c r="E132" s="557"/>
      <c r="F132" s="557"/>
      <c r="G132" s="557"/>
      <c r="H132" s="557"/>
      <c r="I132" s="557"/>
      <c r="J132" s="557"/>
      <c r="K132" s="557"/>
      <c r="L132" s="557"/>
      <c r="M132" s="557"/>
      <c r="N132" s="557"/>
      <c r="O132" s="557"/>
      <c r="P132" s="581">
        <f t="shared" si="19"/>
        <v>0</v>
      </c>
      <c r="Q132" s="641"/>
      <c r="S132" s="554">
        <f t="shared" si="17"/>
        <v>0</v>
      </c>
      <c r="T132" s="554" t="str">
        <f t="shared" si="18"/>
        <v>ok</v>
      </c>
    </row>
    <row r="133" spans="1:20">
      <c r="A133" s="640">
        <v>36</v>
      </c>
      <c r="B133" s="557"/>
      <c r="C133" s="557"/>
      <c r="D133" s="557"/>
      <c r="E133" s="557"/>
      <c r="F133" s="557"/>
      <c r="G133" s="557"/>
      <c r="H133" s="557"/>
      <c r="I133" s="557"/>
      <c r="J133" s="557"/>
      <c r="K133" s="557"/>
      <c r="L133" s="557"/>
      <c r="M133" s="557"/>
      <c r="N133" s="557"/>
      <c r="O133" s="557"/>
      <c r="P133" s="581">
        <f t="shared" si="19"/>
        <v>0</v>
      </c>
      <c r="Q133" s="641"/>
      <c r="S133" s="554">
        <f t="shared" si="17"/>
        <v>0</v>
      </c>
      <c r="T133" s="554" t="str">
        <f t="shared" si="18"/>
        <v>ok</v>
      </c>
    </row>
    <row r="134" spans="1:20">
      <c r="A134" s="640">
        <v>37</v>
      </c>
      <c r="B134" s="557"/>
      <c r="C134" s="557"/>
      <c r="D134" s="557"/>
      <c r="E134" s="557"/>
      <c r="F134" s="557"/>
      <c r="G134" s="557"/>
      <c r="H134" s="557"/>
      <c r="I134" s="557"/>
      <c r="J134" s="557"/>
      <c r="K134" s="557"/>
      <c r="L134" s="557"/>
      <c r="M134" s="557"/>
      <c r="N134" s="557"/>
      <c r="O134" s="557"/>
      <c r="P134" s="581">
        <f t="shared" si="19"/>
        <v>0</v>
      </c>
      <c r="Q134" s="641"/>
      <c r="S134" s="554">
        <f t="shared" si="17"/>
        <v>0</v>
      </c>
      <c r="T134" s="554" t="str">
        <f t="shared" si="18"/>
        <v>ok</v>
      </c>
    </row>
    <row r="135" spans="1:20">
      <c r="A135" s="640">
        <v>38</v>
      </c>
      <c r="B135" s="557"/>
      <c r="C135" s="557"/>
      <c r="D135" s="557"/>
      <c r="E135" s="557"/>
      <c r="F135" s="557"/>
      <c r="G135" s="557"/>
      <c r="H135" s="557"/>
      <c r="I135" s="557"/>
      <c r="J135" s="557"/>
      <c r="K135" s="557"/>
      <c r="L135" s="557"/>
      <c r="M135" s="557"/>
      <c r="N135" s="557"/>
      <c r="O135" s="557"/>
      <c r="P135" s="581">
        <f t="shared" si="19"/>
        <v>0</v>
      </c>
      <c r="Q135" s="641"/>
      <c r="S135" s="554">
        <f t="shared" si="17"/>
        <v>0</v>
      </c>
      <c r="T135" s="554" t="str">
        <f t="shared" si="18"/>
        <v>ok</v>
      </c>
    </row>
    <row r="136" spans="1:20">
      <c r="A136" s="640">
        <v>39</v>
      </c>
      <c r="B136" s="557"/>
      <c r="C136" s="557"/>
      <c r="D136" s="557"/>
      <c r="E136" s="557"/>
      <c r="F136" s="557"/>
      <c r="G136" s="557"/>
      <c r="H136" s="557"/>
      <c r="I136" s="557"/>
      <c r="J136" s="557"/>
      <c r="K136" s="557"/>
      <c r="L136" s="557"/>
      <c r="M136" s="557"/>
      <c r="N136" s="557"/>
      <c r="O136" s="557"/>
      <c r="P136" s="581">
        <f t="shared" si="19"/>
        <v>0</v>
      </c>
      <c r="Q136" s="641"/>
      <c r="S136" s="554">
        <f t="shared" si="17"/>
        <v>0</v>
      </c>
      <c r="T136" s="554" t="str">
        <f t="shared" si="18"/>
        <v>ok</v>
      </c>
    </row>
    <row r="137" spans="1:20">
      <c r="A137" s="640">
        <v>40</v>
      </c>
      <c r="B137" s="557"/>
      <c r="C137" s="557"/>
      <c r="D137" s="557"/>
      <c r="E137" s="557"/>
      <c r="F137" s="557"/>
      <c r="G137" s="557"/>
      <c r="H137" s="557"/>
      <c r="I137" s="557"/>
      <c r="J137" s="557"/>
      <c r="K137" s="557"/>
      <c r="L137" s="557"/>
      <c r="M137" s="557"/>
      <c r="N137" s="557"/>
      <c r="O137" s="557"/>
      <c r="P137" s="581">
        <f t="shared" si="19"/>
        <v>0</v>
      </c>
      <c r="Q137" s="641"/>
      <c r="S137" s="554">
        <f t="shared" si="17"/>
        <v>0</v>
      </c>
      <c r="T137" s="554" t="str">
        <f t="shared" si="18"/>
        <v>ok</v>
      </c>
    </row>
    <row r="138" spans="1:20">
      <c r="A138" s="640">
        <v>41</v>
      </c>
      <c r="B138" s="557"/>
      <c r="C138" s="557"/>
      <c r="D138" s="557"/>
      <c r="E138" s="557"/>
      <c r="F138" s="557"/>
      <c r="G138" s="557"/>
      <c r="H138" s="557"/>
      <c r="I138" s="557"/>
      <c r="J138" s="557"/>
      <c r="K138" s="557"/>
      <c r="L138" s="557"/>
      <c r="M138" s="557"/>
      <c r="N138" s="557"/>
      <c r="O138" s="557"/>
      <c r="P138" s="581">
        <f t="shared" si="19"/>
        <v>0</v>
      </c>
      <c r="Q138" s="641"/>
      <c r="S138" s="554">
        <f t="shared" si="17"/>
        <v>0</v>
      </c>
      <c r="T138" s="554" t="str">
        <f t="shared" si="18"/>
        <v>ok</v>
      </c>
    </row>
    <row r="139" spans="1:20">
      <c r="A139" s="640">
        <v>42</v>
      </c>
      <c r="B139" s="557"/>
      <c r="C139" s="557"/>
      <c r="D139" s="557"/>
      <c r="E139" s="557"/>
      <c r="F139" s="557"/>
      <c r="G139" s="557"/>
      <c r="H139" s="557"/>
      <c r="I139" s="557"/>
      <c r="J139" s="557"/>
      <c r="K139" s="557"/>
      <c r="L139" s="557"/>
      <c r="M139" s="557"/>
      <c r="N139" s="557"/>
      <c r="O139" s="557"/>
      <c r="P139" s="581">
        <f t="shared" si="19"/>
        <v>0</v>
      </c>
      <c r="Q139" s="641"/>
      <c r="S139" s="554">
        <f t="shared" si="17"/>
        <v>0</v>
      </c>
      <c r="T139" s="554" t="str">
        <f t="shared" si="18"/>
        <v>ok</v>
      </c>
    </row>
    <row r="140" spans="1:20">
      <c r="A140" s="640">
        <v>43</v>
      </c>
      <c r="B140" s="557"/>
      <c r="C140" s="557"/>
      <c r="D140" s="557"/>
      <c r="E140" s="557"/>
      <c r="F140" s="557"/>
      <c r="G140" s="557"/>
      <c r="H140" s="557"/>
      <c r="I140" s="557"/>
      <c r="J140" s="557"/>
      <c r="K140" s="557"/>
      <c r="L140" s="557"/>
      <c r="M140" s="557"/>
      <c r="N140" s="557"/>
      <c r="O140" s="557"/>
      <c r="P140" s="581">
        <f t="shared" si="19"/>
        <v>0</v>
      </c>
      <c r="Q140" s="641"/>
      <c r="S140" s="554">
        <f t="shared" si="17"/>
        <v>0</v>
      </c>
      <c r="T140" s="554" t="str">
        <f t="shared" si="18"/>
        <v>ok</v>
      </c>
    </row>
    <row r="141" spans="1:20">
      <c r="A141" s="640">
        <v>44</v>
      </c>
      <c r="B141" s="557"/>
      <c r="C141" s="557"/>
      <c r="D141" s="557"/>
      <c r="E141" s="557"/>
      <c r="F141" s="557"/>
      <c r="G141" s="557"/>
      <c r="H141" s="557"/>
      <c r="I141" s="557"/>
      <c r="J141" s="557"/>
      <c r="K141" s="557"/>
      <c r="L141" s="557"/>
      <c r="M141" s="557"/>
      <c r="N141" s="557"/>
      <c r="O141" s="557"/>
      <c r="P141" s="581">
        <f t="shared" si="19"/>
        <v>0</v>
      </c>
      <c r="Q141" s="641"/>
      <c r="S141" s="554">
        <f t="shared" si="17"/>
        <v>0</v>
      </c>
      <c r="T141" s="554" t="str">
        <f t="shared" si="18"/>
        <v>ok</v>
      </c>
    </row>
    <row r="142" spans="1:20">
      <c r="A142" s="640">
        <v>45</v>
      </c>
      <c r="B142" s="557"/>
      <c r="C142" s="557"/>
      <c r="D142" s="557"/>
      <c r="E142" s="557"/>
      <c r="F142" s="557"/>
      <c r="G142" s="557"/>
      <c r="H142" s="557"/>
      <c r="I142" s="557"/>
      <c r="J142" s="557"/>
      <c r="K142" s="557"/>
      <c r="L142" s="557"/>
      <c r="M142" s="557"/>
      <c r="N142" s="557"/>
      <c r="O142" s="557"/>
      <c r="P142" s="581">
        <f t="shared" si="19"/>
        <v>0</v>
      </c>
      <c r="Q142" s="641"/>
      <c r="S142" s="554">
        <f t="shared" si="17"/>
        <v>0</v>
      </c>
      <c r="T142" s="554" t="str">
        <f t="shared" si="18"/>
        <v>ok</v>
      </c>
    </row>
    <row r="143" spans="1:20">
      <c r="A143" s="640">
        <v>46</v>
      </c>
      <c r="B143" s="557"/>
      <c r="C143" s="557"/>
      <c r="D143" s="557"/>
      <c r="E143" s="557"/>
      <c r="F143" s="557"/>
      <c r="G143" s="557"/>
      <c r="H143" s="557"/>
      <c r="I143" s="557"/>
      <c r="J143" s="557"/>
      <c r="K143" s="557"/>
      <c r="L143" s="557"/>
      <c r="M143" s="557"/>
      <c r="N143" s="557"/>
      <c r="O143" s="557"/>
      <c r="P143" s="581">
        <f t="shared" si="19"/>
        <v>0</v>
      </c>
      <c r="Q143" s="641"/>
      <c r="S143" s="554">
        <f t="shared" si="17"/>
        <v>0</v>
      </c>
      <c r="T143" s="554" t="str">
        <f t="shared" si="18"/>
        <v>ok</v>
      </c>
    </row>
    <row r="144" spans="1:20">
      <c r="A144" s="640">
        <v>47</v>
      </c>
      <c r="B144" s="557"/>
      <c r="C144" s="557"/>
      <c r="D144" s="557"/>
      <c r="E144" s="557"/>
      <c r="F144" s="557"/>
      <c r="G144" s="557"/>
      <c r="H144" s="557"/>
      <c r="I144" s="557"/>
      <c r="J144" s="557"/>
      <c r="K144" s="557"/>
      <c r="L144" s="557"/>
      <c r="M144" s="557"/>
      <c r="N144" s="557"/>
      <c r="O144" s="557"/>
      <c r="P144" s="581">
        <f t="shared" si="19"/>
        <v>0</v>
      </c>
      <c r="Q144" s="641"/>
      <c r="S144" s="554">
        <f t="shared" si="17"/>
        <v>0</v>
      </c>
      <c r="T144" s="554" t="str">
        <f t="shared" si="18"/>
        <v>ok</v>
      </c>
    </row>
    <row r="145" spans="1:20">
      <c r="A145" s="640">
        <v>48</v>
      </c>
      <c r="B145" s="557"/>
      <c r="C145" s="557"/>
      <c r="D145" s="557"/>
      <c r="E145" s="557"/>
      <c r="F145" s="557"/>
      <c r="G145" s="557"/>
      <c r="H145" s="557"/>
      <c r="I145" s="557"/>
      <c r="J145" s="557"/>
      <c r="K145" s="557"/>
      <c r="L145" s="557"/>
      <c r="M145" s="557"/>
      <c r="N145" s="557"/>
      <c r="O145" s="557"/>
      <c r="P145" s="581">
        <f t="shared" si="19"/>
        <v>0</v>
      </c>
      <c r="Q145" s="641"/>
      <c r="S145" s="554">
        <f t="shared" si="17"/>
        <v>0</v>
      </c>
      <c r="T145" s="554" t="str">
        <f t="shared" si="18"/>
        <v>ok</v>
      </c>
    </row>
    <row r="146" spans="1:20">
      <c r="A146" s="640">
        <v>49</v>
      </c>
      <c r="B146" s="557"/>
      <c r="C146" s="557"/>
      <c r="D146" s="557"/>
      <c r="E146" s="557"/>
      <c r="F146" s="557"/>
      <c r="G146" s="557"/>
      <c r="H146" s="557"/>
      <c r="I146" s="557"/>
      <c r="J146" s="557"/>
      <c r="K146" s="557"/>
      <c r="L146" s="557"/>
      <c r="M146" s="557"/>
      <c r="N146" s="557"/>
      <c r="O146" s="557"/>
      <c r="P146" s="581">
        <f t="shared" si="19"/>
        <v>0</v>
      </c>
      <c r="Q146" s="641"/>
      <c r="S146" s="554">
        <f t="shared" si="17"/>
        <v>0</v>
      </c>
      <c r="T146" s="554" t="str">
        <f t="shared" si="18"/>
        <v>ok</v>
      </c>
    </row>
    <row r="147" spans="1:20">
      <c r="A147" s="640">
        <v>50</v>
      </c>
      <c r="B147" s="557"/>
      <c r="C147" s="557"/>
      <c r="D147" s="557"/>
      <c r="E147" s="557"/>
      <c r="F147" s="557"/>
      <c r="G147" s="557"/>
      <c r="H147" s="557"/>
      <c r="I147" s="557"/>
      <c r="J147" s="557"/>
      <c r="K147" s="557"/>
      <c r="L147" s="557"/>
      <c r="M147" s="557"/>
      <c r="N147" s="557"/>
      <c r="O147" s="557"/>
      <c r="P147" s="581">
        <f t="shared" si="19"/>
        <v>0</v>
      </c>
      <c r="Q147" s="641"/>
      <c r="S147" s="554">
        <f t="shared" si="17"/>
        <v>0</v>
      </c>
      <c r="T147" s="554" t="str">
        <f t="shared" si="18"/>
        <v>ok</v>
      </c>
    </row>
    <row r="148" spans="1:20">
      <c r="A148" s="640">
        <v>51</v>
      </c>
      <c r="B148" s="557"/>
      <c r="C148" s="557"/>
      <c r="D148" s="557"/>
      <c r="E148" s="557"/>
      <c r="F148" s="557"/>
      <c r="G148" s="557"/>
      <c r="H148" s="557"/>
      <c r="I148" s="557"/>
      <c r="J148" s="557"/>
      <c r="K148" s="557"/>
      <c r="L148" s="557"/>
      <c r="M148" s="557"/>
      <c r="N148" s="557"/>
      <c r="O148" s="557"/>
      <c r="P148" s="581">
        <f t="shared" si="19"/>
        <v>0</v>
      </c>
      <c r="Q148" s="641"/>
      <c r="S148" s="554">
        <f t="shared" si="17"/>
        <v>0</v>
      </c>
      <c r="T148" s="554" t="str">
        <f t="shared" si="18"/>
        <v>ok</v>
      </c>
    </row>
    <row r="149" spans="1:20">
      <c r="A149" s="640">
        <v>52</v>
      </c>
      <c r="B149" s="557"/>
      <c r="C149" s="557"/>
      <c r="D149" s="557"/>
      <c r="E149" s="557"/>
      <c r="F149" s="557"/>
      <c r="G149" s="557"/>
      <c r="H149" s="557"/>
      <c r="I149" s="557"/>
      <c r="J149" s="557"/>
      <c r="K149" s="557"/>
      <c r="L149" s="557"/>
      <c r="M149" s="557"/>
      <c r="N149" s="557"/>
      <c r="O149" s="557"/>
      <c r="P149" s="581">
        <f t="shared" si="19"/>
        <v>0</v>
      </c>
      <c r="Q149" s="641"/>
      <c r="S149" s="554">
        <f t="shared" si="17"/>
        <v>0</v>
      </c>
      <c r="T149" s="554" t="str">
        <f t="shared" si="18"/>
        <v>ok</v>
      </c>
    </row>
    <row r="150" spans="1:20">
      <c r="A150" s="640">
        <v>53</v>
      </c>
      <c r="B150" s="557"/>
      <c r="C150" s="557"/>
      <c r="D150" s="557"/>
      <c r="E150" s="557"/>
      <c r="F150" s="557"/>
      <c r="G150" s="557"/>
      <c r="H150" s="557"/>
      <c r="I150" s="557"/>
      <c r="J150" s="557"/>
      <c r="K150" s="557"/>
      <c r="L150" s="557"/>
      <c r="M150" s="557"/>
      <c r="N150" s="557"/>
      <c r="O150" s="557"/>
      <c r="P150" s="581">
        <f t="shared" si="19"/>
        <v>0</v>
      </c>
      <c r="Q150" s="641"/>
      <c r="S150" s="554">
        <f t="shared" si="17"/>
        <v>0</v>
      </c>
      <c r="T150" s="554" t="str">
        <f t="shared" si="18"/>
        <v>ok</v>
      </c>
    </row>
    <row r="151" spans="1:20">
      <c r="A151" s="640">
        <v>54</v>
      </c>
      <c r="B151" s="557"/>
      <c r="C151" s="557"/>
      <c r="D151" s="557"/>
      <c r="E151" s="557"/>
      <c r="F151" s="557"/>
      <c r="G151" s="557"/>
      <c r="H151" s="557"/>
      <c r="I151" s="557"/>
      <c r="J151" s="557"/>
      <c r="K151" s="557"/>
      <c r="L151" s="557"/>
      <c r="M151" s="557"/>
      <c r="N151" s="557"/>
      <c r="O151" s="557"/>
      <c r="P151" s="581">
        <f t="shared" si="19"/>
        <v>0</v>
      </c>
      <c r="Q151" s="641"/>
      <c r="S151" s="554">
        <f t="shared" si="17"/>
        <v>0</v>
      </c>
      <c r="T151" s="554" t="str">
        <f t="shared" si="18"/>
        <v>ok</v>
      </c>
    </row>
    <row r="152" spans="1:20">
      <c r="A152" s="640">
        <v>55</v>
      </c>
      <c r="B152" s="557"/>
      <c r="C152" s="557"/>
      <c r="D152" s="557"/>
      <c r="E152" s="557"/>
      <c r="F152" s="557"/>
      <c r="G152" s="557"/>
      <c r="H152" s="557"/>
      <c r="I152" s="557"/>
      <c r="J152" s="557"/>
      <c r="K152" s="557"/>
      <c r="L152" s="557"/>
      <c r="M152" s="557"/>
      <c r="N152" s="557"/>
      <c r="O152" s="557"/>
      <c r="P152" s="581">
        <f t="shared" si="19"/>
        <v>0</v>
      </c>
      <c r="Q152" s="641"/>
      <c r="S152" s="554">
        <f t="shared" si="17"/>
        <v>0</v>
      </c>
      <c r="T152" s="554" t="str">
        <f t="shared" si="18"/>
        <v>ok</v>
      </c>
    </row>
    <row r="153" spans="1:20">
      <c r="A153" s="640">
        <v>56</v>
      </c>
      <c r="B153" s="557"/>
      <c r="C153" s="557"/>
      <c r="D153" s="557"/>
      <c r="E153" s="557"/>
      <c r="F153" s="557"/>
      <c r="G153" s="557"/>
      <c r="H153" s="557"/>
      <c r="I153" s="557"/>
      <c r="J153" s="557"/>
      <c r="K153" s="557"/>
      <c r="L153" s="557"/>
      <c r="M153" s="557"/>
      <c r="N153" s="557"/>
      <c r="O153" s="557"/>
      <c r="P153" s="581">
        <f t="shared" si="19"/>
        <v>0</v>
      </c>
      <c r="Q153" s="641"/>
      <c r="S153" s="554">
        <f t="shared" si="17"/>
        <v>0</v>
      </c>
      <c r="T153" s="554" t="str">
        <f t="shared" si="18"/>
        <v>ok</v>
      </c>
    </row>
    <row r="154" spans="1:20">
      <c r="A154" s="640">
        <v>57</v>
      </c>
      <c r="B154" s="557"/>
      <c r="C154" s="557"/>
      <c r="D154" s="557"/>
      <c r="E154" s="557"/>
      <c r="F154" s="557"/>
      <c r="G154" s="557"/>
      <c r="H154" s="557"/>
      <c r="I154" s="557"/>
      <c r="J154" s="557"/>
      <c r="K154" s="557"/>
      <c r="L154" s="557"/>
      <c r="M154" s="557"/>
      <c r="N154" s="557"/>
      <c r="O154" s="557"/>
      <c r="P154" s="581">
        <f t="shared" si="19"/>
        <v>0</v>
      </c>
      <c r="Q154" s="641"/>
      <c r="S154" s="554">
        <f t="shared" si="17"/>
        <v>0</v>
      </c>
      <c r="T154" s="554" t="str">
        <f t="shared" si="18"/>
        <v>ok</v>
      </c>
    </row>
    <row r="155" spans="1:20">
      <c r="A155" s="640">
        <v>58</v>
      </c>
      <c r="B155" s="557"/>
      <c r="C155" s="557"/>
      <c r="D155" s="557"/>
      <c r="E155" s="557"/>
      <c r="F155" s="557"/>
      <c r="G155" s="557"/>
      <c r="H155" s="557"/>
      <c r="I155" s="557"/>
      <c r="J155" s="557"/>
      <c r="K155" s="557"/>
      <c r="L155" s="557"/>
      <c r="M155" s="557"/>
      <c r="N155" s="557"/>
      <c r="O155" s="557"/>
      <c r="P155" s="581">
        <f t="shared" si="19"/>
        <v>0</v>
      </c>
      <c r="Q155" s="641"/>
      <c r="S155" s="554">
        <f t="shared" si="17"/>
        <v>0</v>
      </c>
      <c r="T155" s="554" t="str">
        <f t="shared" si="18"/>
        <v>ok</v>
      </c>
    </row>
    <row r="156" spans="1:20">
      <c r="A156" s="640">
        <v>59</v>
      </c>
      <c r="B156" s="557"/>
      <c r="C156" s="557"/>
      <c r="D156" s="557"/>
      <c r="E156" s="557"/>
      <c r="F156" s="557"/>
      <c r="G156" s="557"/>
      <c r="H156" s="557"/>
      <c r="I156" s="557"/>
      <c r="J156" s="557"/>
      <c r="K156" s="557"/>
      <c r="L156" s="557"/>
      <c r="M156" s="557"/>
      <c r="N156" s="557"/>
      <c r="O156" s="557"/>
      <c r="P156" s="581">
        <f t="shared" si="19"/>
        <v>0</v>
      </c>
      <c r="Q156" s="641"/>
      <c r="S156" s="554">
        <f t="shared" si="17"/>
        <v>0</v>
      </c>
      <c r="T156" s="554" t="str">
        <f t="shared" si="18"/>
        <v>ok</v>
      </c>
    </row>
    <row r="157" spans="1:20">
      <c r="A157" s="640">
        <v>60</v>
      </c>
      <c r="B157" s="557"/>
      <c r="C157" s="557"/>
      <c r="D157" s="557"/>
      <c r="E157" s="557"/>
      <c r="F157" s="557"/>
      <c r="G157" s="557"/>
      <c r="H157" s="557"/>
      <c r="I157" s="557"/>
      <c r="J157" s="557"/>
      <c r="K157" s="557"/>
      <c r="L157" s="557"/>
      <c r="M157" s="557"/>
      <c r="N157" s="557"/>
      <c r="O157" s="557"/>
      <c r="P157" s="581">
        <f t="shared" si="19"/>
        <v>0</v>
      </c>
      <c r="Q157" s="641"/>
      <c r="S157" s="554">
        <f t="shared" si="17"/>
        <v>0</v>
      </c>
      <c r="T157" s="554" t="str">
        <f t="shared" si="18"/>
        <v>ok</v>
      </c>
    </row>
    <row r="158" spans="1:20">
      <c r="A158" s="640">
        <v>61</v>
      </c>
      <c r="B158" s="557"/>
      <c r="C158" s="557"/>
      <c r="D158" s="557"/>
      <c r="E158" s="557"/>
      <c r="F158" s="557"/>
      <c r="G158" s="557"/>
      <c r="H158" s="557"/>
      <c r="I158" s="557"/>
      <c r="J158" s="557"/>
      <c r="K158" s="557"/>
      <c r="L158" s="557"/>
      <c r="M158" s="557"/>
      <c r="N158" s="557"/>
      <c r="O158" s="557"/>
      <c r="P158" s="581">
        <f t="shared" si="19"/>
        <v>0</v>
      </c>
      <c r="Q158" s="641"/>
      <c r="S158" s="554">
        <f t="shared" si="17"/>
        <v>0</v>
      </c>
      <c r="T158" s="554" t="str">
        <f t="shared" si="18"/>
        <v>ok</v>
      </c>
    </row>
    <row r="159" spans="1:20">
      <c r="A159" s="640">
        <v>62</v>
      </c>
      <c r="B159" s="557"/>
      <c r="C159" s="557"/>
      <c r="D159" s="557"/>
      <c r="E159" s="557"/>
      <c r="F159" s="557"/>
      <c r="G159" s="557"/>
      <c r="H159" s="557"/>
      <c r="I159" s="557"/>
      <c r="J159" s="557"/>
      <c r="K159" s="557"/>
      <c r="L159" s="557"/>
      <c r="M159" s="557"/>
      <c r="N159" s="557"/>
      <c r="O159" s="557"/>
      <c r="P159" s="581">
        <f t="shared" si="19"/>
        <v>0</v>
      </c>
      <c r="Q159" s="641"/>
      <c r="S159" s="554">
        <f t="shared" si="17"/>
        <v>0</v>
      </c>
      <c r="T159" s="554" t="str">
        <f t="shared" si="18"/>
        <v>ok</v>
      </c>
    </row>
    <row r="160" spans="1:20">
      <c r="A160" s="640">
        <v>63</v>
      </c>
      <c r="B160" s="557"/>
      <c r="C160" s="557"/>
      <c r="D160" s="557"/>
      <c r="E160" s="557"/>
      <c r="F160" s="557"/>
      <c r="G160" s="557"/>
      <c r="H160" s="557"/>
      <c r="I160" s="557"/>
      <c r="J160" s="557"/>
      <c r="K160" s="557"/>
      <c r="L160" s="557"/>
      <c r="M160" s="557"/>
      <c r="N160" s="557"/>
      <c r="O160" s="557"/>
      <c r="P160" s="581">
        <f t="shared" si="19"/>
        <v>0</v>
      </c>
      <c r="Q160" s="641"/>
      <c r="S160" s="554">
        <f t="shared" si="17"/>
        <v>0</v>
      </c>
      <c r="T160" s="554" t="str">
        <f t="shared" si="18"/>
        <v>ok</v>
      </c>
    </row>
    <row r="161" spans="1:21">
      <c r="A161" s="640">
        <v>64</v>
      </c>
      <c r="B161" s="557"/>
      <c r="C161" s="557"/>
      <c r="D161" s="557"/>
      <c r="E161" s="557"/>
      <c r="F161" s="557"/>
      <c r="G161" s="557"/>
      <c r="H161" s="557"/>
      <c r="I161" s="557"/>
      <c r="J161" s="557"/>
      <c r="K161" s="557"/>
      <c r="L161" s="557"/>
      <c r="M161" s="557"/>
      <c r="N161" s="557"/>
      <c r="O161" s="557"/>
      <c r="P161" s="581">
        <f t="shared" si="19"/>
        <v>0</v>
      </c>
      <c r="Q161" s="641"/>
      <c r="S161" s="554">
        <f t="shared" si="17"/>
        <v>0</v>
      </c>
      <c r="T161" s="554" t="str">
        <f t="shared" si="18"/>
        <v>ok</v>
      </c>
    </row>
    <row r="162" spans="1:21">
      <c r="A162" s="640">
        <v>65</v>
      </c>
      <c r="B162" s="557"/>
      <c r="C162" s="557"/>
      <c r="D162" s="557"/>
      <c r="E162" s="557"/>
      <c r="F162" s="557"/>
      <c r="G162" s="557"/>
      <c r="H162" s="557"/>
      <c r="I162" s="557"/>
      <c r="J162" s="557"/>
      <c r="K162" s="557"/>
      <c r="L162" s="557"/>
      <c r="M162" s="557"/>
      <c r="N162" s="557"/>
      <c r="O162" s="557"/>
      <c r="P162" s="581">
        <f t="shared" si="19"/>
        <v>0</v>
      </c>
      <c r="Q162" s="641"/>
      <c r="S162" s="554">
        <f t="shared" ref="S162:S171" si="20">SUM(E162:N162)</f>
        <v>0</v>
      </c>
      <c r="T162" s="554" t="str">
        <f t="shared" ref="T162:T171" si="21">IF(D162=S162,"ok",)</f>
        <v>ok</v>
      </c>
    </row>
    <row r="163" spans="1:21">
      <c r="A163" s="640">
        <v>66</v>
      </c>
      <c r="B163" s="557"/>
      <c r="C163" s="557"/>
      <c r="D163" s="557"/>
      <c r="E163" s="557"/>
      <c r="F163" s="557"/>
      <c r="G163" s="557"/>
      <c r="H163" s="557"/>
      <c r="I163" s="557"/>
      <c r="J163" s="557"/>
      <c r="K163" s="557"/>
      <c r="L163" s="557"/>
      <c r="M163" s="557"/>
      <c r="N163" s="557"/>
      <c r="O163" s="557"/>
      <c r="P163" s="581">
        <f t="shared" si="19"/>
        <v>0</v>
      </c>
      <c r="Q163" s="641"/>
      <c r="S163" s="554">
        <f t="shared" si="20"/>
        <v>0</v>
      </c>
      <c r="T163" s="554" t="str">
        <f t="shared" si="21"/>
        <v>ok</v>
      </c>
    </row>
    <row r="164" spans="1:21">
      <c r="A164" s="640">
        <v>67</v>
      </c>
      <c r="B164" s="557"/>
      <c r="C164" s="557"/>
      <c r="D164" s="557"/>
      <c r="E164" s="557"/>
      <c r="F164" s="557"/>
      <c r="G164" s="557"/>
      <c r="H164" s="557"/>
      <c r="I164" s="557"/>
      <c r="J164" s="557"/>
      <c r="K164" s="557"/>
      <c r="L164" s="557"/>
      <c r="M164" s="557"/>
      <c r="N164" s="557"/>
      <c r="O164" s="557"/>
      <c r="P164" s="581">
        <f t="shared" si="19"/>
        <v>0</v>
      </c>
      <c r="Q164" s="641"/>
      <c r="S164" s="554">
        <f t="shared" si="20"/>
        <v>0</v>
      </c>
      <c r="T164" s="554" t="str">
        <f t="shared" si="21"/>
        <v>ok</v>
      </c>
    </row>
    <row r="165" spans="1:21">
      <c r="A165" s="640">
        <v>68</v>
      </c>
      <c r="B165" s="557"/>
      <c r="C165" s="557"/>
      <c r="D165" s="557"/>
      <c r="E165" s="557"/>
      <c r="F165" s="557"/>
      <c r="G165" s="557"/>
      <c r="H165" s="557"/>
      <c r="I165" s="557"/>
      <c r="J165" s="557"/>
      <c r="K165" s="557"/>
      <c r="L165" s="557"/>
      <c r="M165" s="557"/>
      <c r="N165" s="557"/>
      <c r="O165" s="557"/>
      <c r="P165" s="581">
        <f t="shared" si="19"/>
        <v>0</v>
      </c>
      <c r="Q165" s="641"/>
      <c r="S165" s="554">
        <f t="shared" si="20"/>
        <v>0</v>
      </c>
      <c r="T165" s="554" t="str">
        <f t="shared" si="21"/>
        <v>ok</v>
      </c>
    </row>
    <row r="166" spans="1:21">
      <c r="A166" s="640">
        <v>69</v>
      </c>
      <c r="B166" s="557"/>
      <c r="C166" s="557"/>
      <c r="D166" s="557"/>
      <c r="E166" s="557"/>
      <c r="F166" s="557"/>
      <c r="G166" s="557"/>
      <c r="H166" s="557"/>
      <c r="I166" s="557"/>
      <c r="J166" s="557"/>
      <c r="K166" s="557"/>
      <c r="L166" s="557"/>
      <c r="M166" s="557"/>
      <c r="N166" s="557"/>
      <c r="O166" s="557"/>
      <c r="P166" s="581">
        <f t="shared" si="19"/>
        <v>0</v>
      </c>
      <c r="Q166" s="641"/>
      <c r="S166" s="554">
        <f t="shared" si="20"/>
        <v>0</v>
      </c>
      <c r="T166" s="554" t="str">
        <f t="shared" si="21"/>
        <v>ok</v>
      </c>
    </row>
    <row r="167" spans="1:21">
      <c r="A167" s="640">
        <v>70</v>
      </c>
      <c r="B167" s="557"/>
      <c r="C167" s="557"/>
      <c r="D167" s="557"/>
      <c r="E167" s="557"/>
      <c r="F167" s="557"/>
      <c r="G167" s="557"/>
      <c r="H167" s="557"/>
      <c r="I167" s="557"/>
      <c r="J167" s="557"/>
      <c r="K167" s="557"/>
      <c r="L167" s="557"/>
      <c r="M167" s="557"/>
      <c r="N167" s="557"/>
      <c r="O167" s="557"/>
      <c r="P167" s="581">
        <f t="shared" si="19"/>
        <v>0</v>
      </c>
      <c r="Q167" s="641"/>
      <c r="S167" s="554">
        <f t="shared" si="20"/>
        <v>0</v>
      </c>
      <c r="T167" s="554" t="str">
        <f t="shared" si="21"/>
        <v>ok</v>
      </c>
      <c r="U167" s="554">
        <v>112</v>
      </c>
    </row>
    <row r="168" spans="1:21" s="567" customFormat="1" ht="14.25">
      <c r="A168" s="638" t="s">
        <v>3576</v>
      </c>
      <c r="B168" s="569"/>
      <c r="C168" s="569"/>
      <c r="D168" s="568">
        <f>SUM(D98:D167)</f>
        <v>0</v>
      </c>
      <c r="E168" s="568">
        <f t="shared" ref="E168:P168" si="22">SUM(E98:E167)</f>
        <v>0</v>
      </c>
      <c r="F168" s="568">
        <f t="shared" si="22"/>
        <v>0</v>
      </c>
      <c r="G168" s="568">
        <f t="shared" si="22"/>
        <v>0</v>
      </c>
      <c r="H168" s="568">
        <f t="shared" si="22"/>
        <v>0</v>
      </c>
      <c r="I168" s="568"/>
      <c r="J168" s="568"/>
      <c r="K168" s="568"/>
      <c r="L168" s="568"/>
      <c r="M168" s="568"/>
      <c r="N168" s="568">
        <f t="shared" si="22"/>
        <v>0</v>
      </c>
      <c r="O168" s="568">
        <f t="shared" si="22"/>
        <v>0</v>
      </c>
      <c r="P168" s="568">
        <f t="shared" si="22"/>
        <v>0</v>
      </c>
      <c r="Q168" s="639"/>
      <c r="S168" s="567">
        <f t="shared" si="20"/>
        <v>0</v>
      </c>
      <c r="T168" s="567" t="str">
        <f t="shared" si="21"/>
        <v>ok</v>
      </c>
    </row>
    <row r="169" spans="1:21">
      <c r="A169" s="638" t="s">
        <v>3642</v>
      </c>
      <c r="B169" s="569" t="s">
        <v>3643</v>
      </c>
      <c r="C169" s="557"/>
      <c r="D169" s="557"/>
      <c r="E169" s="557"/>
      <c r="F169" s="557"/>
      <c r="G169" s="557"/>
      <c r="H169" s="557"/>
      <c r="I169" s="557"/>
      <c r="J169" s="557"/>
      <c r="K169" s="557"/>
      <c r="L169" s="557"/>
      <c r="M169" s="557"/>
      <c r="N169" s="557"/>
      <c r="O169" s="557"/>
      <c r="P169" s="581"/>
      <c r="Q169" s="641"/>
      <c r="S169" s="554">
        <f t="shared" si="20"/>
        <v>0</v>
      </c>
      <c r="T169" s="554" t="str">
        <f t="shared" si="21"/>
        <v>ok</v>
      </c>
    </row>
    <row r="170" spans="1:21">
      <c r="A170" s="640">
        <v>1</v>
      </c>
      <c r="B170" s="557" t="s">
        <v>3644</v>
      </c>
      <c r="C170" s="557" t="s">
        <v>3645</v>
      </c>
      <c r="D170" s="557">
        <v>189</v>
      </c>
      <c r="E170" s="557"/>
      <c r="F170" s="557"/>
      <c r="G170" s="557"/>
      <c r="H170" s="557"/>
      <c r="I170" s="557"/>
      <c r="J170" s="557"/>
      <c r="K170" s="557"/>
      <c r="L170" s="557"/>
      <c r="M170" s="557"/>
      <c r="N170" s="557">
        <f>D170</f>
        <v>189</v>
      </c>
      <c r="O170" s="557">
        <v>3</v>
      </c>
      <c r="P170" s="581">
        <f t="shared" si="19"/>
        <v>12.6</v>
      </c>
      <c r="Q170" s="641"/>
      <c r="S170" s="554">
        <f t="shared" si="20"/>
        <v>189</v>
      </c>
      <c r="T170" s="554" t="str">
        <f t="shared" si="21"/>
        <v>ok</v>
      </c>
      <c r="U170" s="554">
        <v>3</v>
      </c>
    </row>
    <row r="171" spans="1:21">
      <c r="A171" s="640">
        <v>2</v>
      </c>
      <c r="B171" s="557" t="s">
        <v>3644</v>
      </c>
      <c r="C171" s="557" t="s">
        <v>3633</v>
      </c>
      <c r="D171" s="557">
        <v>13</v>
      </c>
      <c r="E171" s="557"/>
      <c r="F171" s="557"/>
      <c r="G171" s="557">
        <f>D171</f>
        <v>13</v>
      </c>
      <c r="H171" s="557"/>
      <c r="I171" s="557"/>
      <c r="J171" s="557"/>
      <c r="K171" s="557"/>
      <c r="L171" s="557"/>
      <c r="M171" s="557"/>
      <c r="N171" s="557"/>
      <c r="O171" s="557">
        <v>0</v>
      </c>
      <c r="P171" s="581"/>
      <c r="Q171" s="641"/>
      <c r="S171" s="554">
        <f t="shared" si="20"/>
        <v>13</v>
      </c>
      <c r="T171" s="554" t="str">
        <f t="shared" si="21"/>
        <v>ok</v>
      </c>
    </row>
    <row r="172" spans="1:21" s="567" customFormat="1" ht="14.25">
      <c r="A172" s="638" t="s">
        <v>3576</v>
      </c>
      <c r="B172" s="569"/>
      <c r="C172" s="569"/>
      <c r="D172" s="654">
        <f>SUM(D170:D171)</f>
        <v>202</v>
      </c>
      <c r="E172" s="654">
        <f t="shared" ref="E172:P172" si="23">SUM(E170:E171)</f>
        <v>0</v>
      </c>
      <c r="F172" s="654">
        <f t="shared" si="23"/>
        <v>0</v>
      </c>
      <c r="G172" s="654">
        <f t="shared" si="23"/>
        <v>13</v>
      </c>
      <c r="H172" s="654">
        <f t="shared" si="23"/>
        <v>0</v>
      </c>
      <c r="I172" s="654"/>
      <c r="J172" s="654"/>
      <c r="K172" s="654"/>
      <c r="L172" s="654"/>
      <c r="M172" s="654"/>
      <c r="N172" s="654">
        <f t="shared" si="23"/>
        <v>189</v>
      </c>
      <c r="O172" s="654">
        <f t="shared" si="23"/>
        <v>3</v>
      </c>
      <c r="P172" s="654">
        <f t="shared" si="23"/>
        <v>12.6</v>
      </c>
      <c r="Q172" s="639"/>
      <c r="U172" s="567">
        <f>SUM(U9:U171)</f>
        <v>214</v>
      </c>
    </row>
    <row r="173" spans="1:21" s="567" customFormat="1" thickBot="1">
      <c r="A173" s="642" t="s">
        <v>60</v>
      </c>
      <c r="B173" s="643"/>
      <c r="C173" s="643"/>
      <c r="D173" s="655">
        <f>D38+D96+D168+D172</f>
        <v>4430</v>
      </c>
      <c r="E173" s="655">
        <f t="shared" ref="E173:P173" si="24">E38+E96+E168+E172</f>
        <v>1750</v>
      </c>
      <c r="F173" s="655">
        <f t="shared" si="24"/>
        <v>363</v>
      </c>
      <c r="G173" s="655">
        <f t="shared" si="24"/>
        <v>113</v>
      </c>
      <c r="H173" s="655">
        <f t="shared" si="24"/>
        <v>117</v>
      </c>
      <c r="I173" s="655">
        <f t="shared" si="24"/>
        <v>0</v>
      </c>
      <c r="J173" s="655"/>
      <c r="K173" s="655">
        <f t="shared" si="24"/>
        <v>69</v>
      </c>
      <c r="L173" s="655">
        <f t="shared" si="24"/>
        <v>20</v>
      </c>
      <c r="M173" s="655">
        <f t="shared" si="24"/>
        <v>17</v>
      </c>
      <c r="N173" s="655">
        <f t="shared" si="24"/>
        <v>1161</v>
      </c>
      <c r="O173" s="655">
        <f t="shared" si="24"/>
        <v>27</v>
      </c>
      <c r="P173" s="655">
        <f t="shared" si="24"/>
        <v>294.46666666666675</v>
      </c>
      <c r="Q173" s="644"/>
    </row>
    <row r="174" spans="1:21" ht="15.75" thickTop="1"/>
    <row r="175" spans="1:21">
      <c r="E175" s="571"/>
    </row>
    <row r="176" spans="1:21">
      <c r="E176" s="571"/>
    </row>
  </sheetData>
  <mergeCells count="19">
    <mergeCell ref="H6:H7"/>
    <mergeCell ref="J6:J7"/>
    <mergeCell ref="I6:I7"/>
    <mergeCell ref="K6:K7"/>
    <mergeCell ref="A2:Q2"/>
    <mergeCell ref="A5:A7"/>
    <mergeCell ref="B5:B7"/>
    <mergeCell ref="C5:C7"/>
    <mergeCell ref="D5:D7"/>
    <mergeCell ref="E5:M5"/>
    <mergeCell ref="N5:N7"/>
    <mergeCell ref="O5:O7"/>
    <mergeCell ref="P5:P7"/>
    <mergeCell ref="Q5:Q7"/>
    <mergeCell ref="L6:L7"/>
    <mergeCell ref="M6:M7"/>
    <mergeCell ref="E6:E7"/>
    <mergeCell ref="F6:F7"/>
    <mergeCell ref="G6:G7"/>
  </mergeCells>
  <pageMargins left="0.7" right="0.7" top="0.75" bottom="0.75" header="0.3" footer="0.3"/>
  <pageSetup orientation="portrait"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
  <sheetViews>
    <sheetView workbookViewId="0">
      <selection activeCell="J37" sqref="J37"/>
    </sheetView>
  </sheetViews>
  <sheetFormatPr defaultColWidth="9" defaultRowHeight="14.25"/>
  <cols>
    <col min="1" max="1" width="15.42578125" style="719" customWidth="1"/>
    <col min="2" max="2" width="34.5703125" style="719" customWidth="1"/>
    <col min="3" max="3" width="8.42578125" style="719" customWidth="1"/>
    <col min="4" max="4" width="8.140625" style="719" customWidth="1"/>
    <col min="5" max="5" width="6" style="719" customWidth="1"/>
    <col min="6" max="6" width="7.5703125" style="719" customWidth="1"/>
    <col min="7" max="7" width="7.140625" style="719" customWidth="1"/>
    <col min="8" max="8" width="10.42578125" style="719" customWidth="1"/>
    <col min="9" max="9" width="12" style="719" customWidth="1"/>
    <col min="10" max="10" width="13.85546875" style="719" customWidth="1"/>
    <col min="11" max="257" width="9" style="719"/>
    <col min="258" max="258" width="34.5703125" style="719" customWidth="1"/>
    <col min="259" max="259" width="8.42578125" style="719" customWidth="1"/>
    <col min="260" max="260" width="8.140625" style="719" customWidth="1"/>
    <col min="261" max="261" width="6" style="719" customWidth="1"/>
    <col min="262" max="262" width="7.5703125" style="719" customWidth="1"/>
    <col min="263" max="263" width="6" style="719" customWidth="1"/>
    <col min="264" max="264" width="8.42578125" style="719" customWidth="1"/>
    <col min="265" max="265" width="12" style="719" customWidth="1"/>
    <col min="266" max="266" width="9.85546875" style="719" customWidth="1"/>
    <col min="267" max="513" width="9" style="719"/>
    <col min="514" max="514" width="34.5703125" style="719" customWidth="1"/>
    <col min="515" max="515" width="8.42578125" style="719" customWidth="1"/>
    <col min="516" max="516" width="8.140625" style="719" customWidth="1"/>
    <col min="517" max="517" width="6" style="719" customWidth="1"/>
    <col min="518" max="518" width="7.5703125" style="719" customWidth="1"/>
    <col min="519" max="519" width="6" style="719" customWidth="1"/>
    <col min="520" max="520" width="8.42578125" style="719" customWidth="1"/>
    <col min="521" max="521" width="12" style="719" customWidth="1"/>
    <col min="522" max="522" width="9.85546875" style="719" customWidth="1"/>
    <col min="523" max="769" width="9" style="719"/>
    <col min="770" max="770" width="34.5703125" style="719" customWidth="1"/>
    <col min="771" max="771" width="8.42578125" style="719" customWidth="1"/>
    <col min="772" max="772" width="8.140625" style="719" customWidth="1"/>
    <col min="773" max="773" width="6" style="719" customWidth="1"/>
    <col min="774" max="774" width="7.5703125" style="719" customWidth="1"/>
    <col min="775" max="775" width="6" style="719" customWidth="1"/>
    <col min="776" max="776" width="8.42578125" style="719" customWidth="1"/>
    <col min="777" max="777" width="12" style="719" customWidth="1"/>
    <col min="778" max="778" width="9.85546875" style="719" customWidth="1"/>
    <col min="779" max="1025" width="9" style="719"/>
    <col min="1026" max="1026" width="34.5703125" style="719" customWidth="1"/>
    <col min="1027" max="1027" width="8.42578125" style="719" customWidth="1"/>
    <col min="1028" max="1028" width="8.140625" style="719" customWidth="1"/>
    <col min="1029" max="1029" width="6" style="719" customWidth="1"/>
    <col min="1030" max="1030" width="7.5703125" style="719" customWidth="1"/>
    <col min="1031" max="1031" width="6" style="719" customWidth="1"/>
    <col min="1032" max="1032" width="8.42578125" style="719" customWidth="1"/>
    <col min="1033" max="1033" width="12" style="719" customWidth="1"/>
    <col min="1034" max="1034" width="9.85546875" style="719" customWidth="1"/>
    <col min="1035" max="1281" width="9" style="719"/>
    <col min="1282" max="1282" width="34.5703125" style="719" customWidth="1"/>
    <col min="1283" max="1283" width="8.42578125" style="719" customWidth="1"/>
    <col min="1284" max="1284" width="8.140625" style="719" customWidth="1"/>
    <col min="1285" max="1285" width="6" style="719" customWidth="1"/>
    <col min="1286" max="1286" width="7.5703125" style="719" customWidth="1"/>
    <col min="1287" max="1287" width="6" style="719" customWidth="1"/>
    <col min="1288" max="1288" width="8.42578125" style="719" customWidth="1"/>
    <col min="1289" max="1289" width="12" style="719" customWidth="1"/>
    <col min="1290" max="1290" width="9.85546875" style="719" customWidth="1"/>
    <col min="1291" max="1537" width="9" style="719"/>
    <col min="1538" max="1538" width="34.5703125" style="719" customWidth="1"/>
    <col min="1539" max="1539" width="8.42578125" style="719" customWidth="1"/>
    <col min="1540" max="1540" width="8.140625" style="719" customWidth="1"/>
    <col min="1541" max="1541" width="6" style="719" customWidth="1"/>
    <col min="1542" max="1542" width="7.5703125" style="719" customWidth="1"/>
    <col min="1543" max="1543" width="6" style="719" customWidth="1"/>
    <col min="1544" max="1544" width="8.42578125" style="719" customWidth="1"/>
    <col min="1545" max="1545" width="12" style="719" customWidth="1"/>
    <col min="1546" max="1546" width="9.85546875" style="719" customWidth="1"/>
    <col min="1547" max="1793" width="9" style="719"/>
    <col min="1794" max="1794" width="34.5703125" style="719" customWidth="1"/>
    <col min="1795" max="1795" width="8.42578125" style="719" customWidth="1"/>
    <col min="1796" max="1796" width="8.140625" style="719" customWidth="1"/>
    <col min="1797" max="1797" width="6" style="719" customWidth="1"/>
    <col min="1798" max="1798" width="7.5703125" style="719" customWidth="1"/>
    <col min="1799" max="1799" width="6" style="719" customWidth="1"/>
    <col min="1800" max="1800" width="8.42578125" style="719" customWidth="1"/>
    <col min="1801" max="1801" width="12" style="719" customWidth="1"/>
    <col min="1802" max="1802" width="9.85546875" style="719" customWidth="1"/>
    <col min="1803" max="2049" width="9" style="719"/>
    <col min="2050" max="2050" width="34.5703125" style="719" customWidth="1"/>
    <col min="2051" max="2051" width="8.42578125" style="719" customWidth="1"/>
    <col min="2052" max="2052" width="8.140625" style="719" customWidth="1"/>
    <col min="2053" max="2053" width="6" style="719" customWidth="1"/>
    <col min="2054" max="2054" width="7.5703125" style="719" customWidth="1"/>
    <col min="2055" max="2055" width="6" style="719" customWidth="1"/>
    <col min="2056" max="2056" width="8.42578125" style="719" customWidth="1"/>
    <col min="2057" max="2057" width="12" style="719" customWidth="1"/>
    <col min="2058" max="2058" width="9.85546875" style="719" customWidth="1"/>
    <col min="2059" max="2305" width="9" style="719"/>
    <col min="2306" max="2306" width="34.5703125" style="719" customWidth="1"/>
    <col min="2307" max="2307" width="8.42578125" style="719" customWidth="1"/>
    <col min="2308" max="2308" width="8.140625" style="719" customWidth="1"/>
    <col min="2309" max="2309" width="6" style="719" customWidth="1"/>
    <col min="2310" max="2310" width="7.5703125" style="719" customWidth="1"/>
    <col min="2311" max="2311" width="6" style="719" customWidth="1"/>
    <col min="2312" max="2312" width="8.42578125" style="719" customWidth="1"/>
    <col min="2313" max="2313" width="12" style="719" customWidth="1"/>
    <col min="2314" max="2314" width="9.85546875" style="719" customWidth="1"/>
    <col min="2315" max="2561" width="9" style="719"/>
    <col min="2562" max="2562" width="34.5703125" style="719" customWidth="1"/>
    <col min="2563" max="2563" width="8.42578125" style="719" customWidth="1"/>
    <col min="2564" max="2564" width="8.140625" style="719" customWidth="1"/>
    <col min="2565" max="2565" width="6" style="719" customWidth="1"/>
    <col min="2566" max="2566" width="7.5703125" style="719" customWidth="1"/>
    <col min="2567" max="2567" width="6" style="719" customWidth="1"/>
    <col min="2568" max="2568" width="8.42578125" style="719" customWidth="1"/>
    <col min="2569" max="2569" width="12" style="719" customWidth="1"/>
    <col min="2570" max="2570" width="9.85546875" style="719" customWidth="1"/>
    <col min="2571" max="2817" width="9" style="719"/>
    <col min="2818" max="2818" width="34.5703125" style="719" customWidth="1"/>
    <col min="2819" max="2819" width="8.42578125" style="719" customWidth="1"/>
    <col min="2820" max="2820" width="8.140625" style="719" customWidth="1"/>
    <col min="2821" max="2821" width="6" style="719" customWidth="1"/>
    <col min="2822" max="2822" width="7.5703125" style="719" customWidth="1"/>
    <col min="2823" max="2823" width="6" style="719" customWidth="1"/>
    <col min="2824" max="2824" width="8.42578125" style="719" customWidth="1"/>
    <col min="2825" max="2825" width="12" style="719" customWidth="1"/>
    <col min="2826" max="2826" width="9.85546875" style="719" customWidth="1"/>
    <col min="2827" max="3073" width="9" style="719"/>
    <col min="3074" max="3074" width="34.5703125" style="719" customWidth="1"/>
    <col min="3075" max="3075" width="8.42578125" style="719" customWidth="1"/>
    <col min="3076" max="3076" width="8.140625" style="719" customWidth="1"/>
    <col min="3077" max="3077" width="6" style="719" customWidth="1"/>
    <col min="3078" max="3078" width="7.5703125" style="719" customWidth="1"/>
    <col min="3079" max="3079" width="6" style="719" customWidth="1"/>
    <col min="3080" max="3080" width="8.42578125" style="719" customWidth="1"/>
    <col min="3081" max="3081" width="12" style="719" customWidth="1"/>
    <col min="3082" max="3082" width="9.85546875" style="719" customWidth="1"/>
    <col min="3083" max="3329" width="9" style="719"/>
    <col min="3330" max="3330" width="34.5703125" style="719" customWidth="1"/>
    <col min="3331" max="3331" width="8.42578125" style="719" customWidth="1"/>
    <col min="3332" max="3332" width="8.140625" style="719" customWidth="1"/>
    <col min="3333" max="3333" width="6" style="719" customWidth="1"/>
    <col min="3334" max="3334" width="7.5703125" style="719" customWidth="1"/>
    <col min="3335" max="3335" width="6" style="719" customWidth="1"/>
    <col min="3336" max="3336" width="8.42578125" style="719" customWidth="1"/>
    <col min="3337" max="3337" width="12" style="719" customWidth="1"/>
    <col min="3338" max="3338" width="9.85546875" style="719" customWidth="1"/>
    <col min="3339" max="3585" width="9" style="719"/>
    <col min="3586" max="3586" width="34.5703125" style="719" customWidth="1"/>
    <col min="3587" max="3587" width="8.42578125" style="719" customWidth="1"/>
    <col min="3588" max="3588" width="8.140625" style="719" customWidth="1"/>
    <col min="3589" max="3589" width="6" style="719" customWidth="1"/>
    <col min="3590" max="3590" width="7.5703125" style="719" customWidth="1"/>
    <col min="3591" max="3591" width="6" style="719" customWidth="1"/>
    <col min="3592" max="3592" width="8.42578125" style="719" customWidth="1"/>
    <col min="3593" max="3593" width="12" style="719" customWidth="1"/>
    <col min="3594" max="3594" width="9.85546875" style="719" customWidth="1"/>
    <col min="3595" max="3841" width="9" style="719"/>
    <col min="3842" max="3842" width="34.5703125" style="719" customWidth="1"/>
    <col min="3843" max="3843" width="8.42578125" style="719" customWidth="1"/>
    <col min="3844" max="3844" width="8.140625" style="719" customWidth="1"/>
    <col min="3845" max="3845" width="6" style="719" customWidth="1"/>
    <col min="3846" max="3846" width="7.5703125" style="719" customWidth="1"/>
    <col min="3847" max="3847" width="6" style="719" customWidth="1"/>
    <col min="3848" max="3848" width="8.42578125" style="719" customWidth="1"/>
    <col min="3849" max="3849" width="12" style="719" customWidth="1"/>
    <col min="3850" max="3850" width="9.85546875" style="719" customWidth="1"/>
    <col min="3851" max="4097" width="9" style="719"/>
    <col min="4098" max="4098" width="34.5703125" style="719" customWidth="1"/>
    <col min="4099" max="4099" width="8.42578125" style="719" customWidth="1"/>
    <col min="4100" max="4100" width="8.140625" style="719" customWidth="1"/>
    <col min="4101" max="4101" width="6" style="719" customWidth="1"/>
    <col min="4102" max="4102" width="7.5703125" style="719" customWidth="1"/>
    <col min="4103" max="4103" width="6" style="719" customWidth="1"/>
    <col min="4104" max="4104" width="8.42578125" style="719" customWidth="1"/>
    <col min="4105" max="4105" width="12" style="719" customWidth="1"/>
    <col min="4106" max="4106" width="9.85546875" style="719" customWidth="1"/>
    <col min="4107" max="4353" width="9" style="719"/>
    <col min="4354" max="4354" width="34.5703125" style="719" customWidth="1"/>
    <col min="4355" max="4355" width="8.42578125" style="719" customWidth="1"/>
    <col min="4356" max="4356" width="8.140625" style="719" customWidth="1"/>
    <col min="4357" max="4357" width="6" style="719" customWidth="1"/>
    <col min="4358" max="4358" width="7.5703125" style="719" customWidth="1"/>
    <col min="4359" max="4359" width="6" style="719" customWidth="1"/>
    <col min="4360" max="4360" width="8.42578125" style="719" customWidth="1"/>
    <col min="4361" max="4361" width="12" style="719" customWidth="1"/>
    <col min="4362" max="4362" width="9.85546875" style="719" customWidth="1"/>
    <col min="4363" max="4609" width="9" style="719"/>
    <col min="4610" max="4610" width="34.5703125" style="719" customWidth="1"/>
    <col min="4611" max="4611" width="8.42578125" style="719" customWidth="1"/>
    <col min="4612" max="4612" width="8.140625" style="719" customWidth="1"/>
    <col min="4613" max="4613" width="6" style="719" customWidth="1"/>
    <col min="4614" max="4614" width="7.5703125" style="719" customWidth="1"/>
    <col min="4615" max="4615" width="6" style="719" customWidth="1"/>
    <col min="4616" max="4616" width="8.42578125" style="719" customWidth="1"/>
    <col min="4617" max="4617" width="12" style="719" customWidth="1"/>
    <col min="4618" max="4618" width="9.85546875" style="719" customWidth="1"/>
    <col min="4619" max="4865" width="9" style="719"/>
    <col min="4866" max="4866" width="34.5703125" style="719" customWidth="1"/>
    <col min="4867" max="4867" width="8.42578125" style="719" customWidth="1"/>
    <col min="4868" max="4868" width="8.140625" style="719" customWidth="1"/>
    <col min="4869" max="4869" width="6" style="719" customWidth="1"/>
    <col min="4870" max="4870" width="7.5703125" style="719" customWidth="1"/>
    <col min="4871" max="4871" width="6" style="719" customWidth="1"/>
    <col min="4872" max="4872" width="8.42578125" style="719" customWidth="1"/>
    <col min="4873" max="4873" width="12" style="719" customWidth="1"/>
    <col min="4874" max="4874" width="9.85546875" style="719" customWidth="1"/>
    <col min="4875" max="5121" width="9" style="719"/>
    <col min="5122" max="5122" width="34.5703125" style="719" customWidth="1"/>
    <col min="5123" max="5123" width="8.42578125" style="719" customWidth="1"/>
    <col min="5124" max="5124" width="8.140625" style="719" customWidth="1"/>
    <col min="5125" max="5125" width="6" style="719" customWidth="1"/>
    <col min="5126" max="5126" width="7.5703125" style="719" customWidth="1"/>
    <col min="5127" max="5127" width="6" style="719" customWidth="1"/>
    <col min="5128" max="5128" width="8.42578125" style="719" customWidth="1"/>
    <col min="5129" max="5129" width="12" style="719" customWidth="1"/>
    <col min="5130" max="5130" width="9.85546875" style="719" customWidth="1"/>
    <col min="5131" max="5377" width="9" style="719"/>
    <col min="5378" max="5378" width="34.5703125" style="719" customWidth="1"/>
    <col min="5379" max="5379" width="8.42578125" style="719" customWidth="1"/>
    <col min="5380" max="5380" width="8.140625" style="719" customWidth="1"/>
    <col min="5381" max="5381" width="6" style="719" customWidth="1"/>
    <col min="5382" max="5382" width="7.5703125" style="719" customWidth="1"/>
    <col min="5383" max="5383" width="6" style="719" customWidth="1"/>
    <col min="5384" max="5384" width="8.42578125" style="719" customWidth="1"/>
    <col min="5385" max="5385" width="12" style="719" customWidth="1"/>
    <col min="5386" max="5386" width="9.85546875" style="719" customWidth="1"/>
    <col min="5387" max="5633" width="9" style="719"/>
    <col min="5634" max="5634" width="34.5703125" style="719" customWidth="1"/>
    <col min="5635" max="5635" width="8.42578125" style="719" customWidth="1"/>
    <col min="5636" max="5636" width="8.140625" style="719" customWidth="1"/>
    <col min="5637" max="5637" width="6" style="719" customWidth="1"/>
    <col min="5638" max="5638" width="7.5703125" style="719" customWidth="1"/>
    <col min="5639" max="5639" width="6" style="719" customWidth="1"/>
    <col min="5640" max="5640" width="8.42578125" style="719" customWidth="1"/>
    <col min="5641" max="5641" width="12" style="719" customWidth="1"/>
    <col min="5642" max="5642" width="9.85546875" style="719" customWidth="1"/>
    <col min="5643" max="5889" width="9" style="719"/>
    <col min="5890" max="5890" width="34.5703125" style="719" customWidth="1"/>
    <col min="5891" max="5891" width="8.42578125" style="719" customWidth="1"/>
    <col min="5892" max="5892" width="8.140625" style="719" customWidth="1"/>
    <col min="5893" max="5893" width="6" style="719" customWidth="1"/>
    <col min="5894" max="5894" width="7.5703125" style="719" customWidth="1"/>
    <col min="5895" max="5895" width="6" style="719" customWidth="1"/>
    <col min="5896" max="5896" width="8.42578125" style="719" customWidth="1"/>
    <col min="5897" max="5897" width="12" style="719" customWidth="1"/>
    <col min="5898" max="5898" width="9.85546875" style="719" customWidth="1"/>
    <col min="5899" max="6145" width="9" style="719"/>
    <col min="6146" max="6146" width="34.5703125" style="719" customWidth="1"/>
    <col min="6147" max="6147" width="8.42578125" style="719" customWidth="1"/>
    <col min="6148" max="6148" width="8.140625" style="719" customWidth="1"/>
    <col min="6149" max="6149" width="6" style="719" customWidth="1"/>
    <col min="6150" max="6150" width="7.5703125" style="719" customWidth="1"/>
    <col min="6151" max="6151" width="6" style="719" customWidth="1"/>
    <col min="6152" max="6152" width="8.42578125" style="719" customWidth="1"/>
    <col min="6153" max="6153" width="12" style="719" customWidth="1"/>
    <col min="6154" max="6154" width="9.85546875" style="719" customWidth="1"/>
    <col min="6155" max="6401" width="9" style="719"/>
    <col min="6402" max="6402" width="34.5703125" style="719" customWidth="1"/>
    <col min="6403" max="6403" width="8.42578125" style="719" customWidth="1"/>
    <col min="6404" max="6404" width="8.140625" style="719" customWidth="1"/>
    <col min="6405" max="6405" width="6" style="719" customWidth="1"/>
    <col min="6406" max="6406" width="7.5703125" style="719" customWidth="1"/>
    <col min="6407" max="6407" width="6" style="719" customWidth="1"/>
    <col min="6408" max="6408" width="8.42578125" style="719" customWidth="1"/>
    <col min="6409" max="6409" width="12" style="719" customWidth="1"/>
    <col min="6410" max="6410" width="9.85546875" style="719" customWidth="1"/>
    <col min="6411" max="6657" width="9" style="719"/>
    <col min="6658" max="6658" width="34.5703125" style="719" customWidth="1"/>
    <col min="6659" max="6659" width="8.42578125" style="719" customWidth="1"/>
    <col min="6660" max="6660" width="8.140625" style="719" customWidth="1"/>
    <col min="6661" max="6661" width="6" style="719" customWidth="1"/>
    <col min="6662" max="6662" width="7.5703125" style="719" customWidth="1"/>
    <col min="6663" max="6663" width="6" style="719" customWidth="1"/>
    <col min="6664" max="6664" width="8.42578125" style="719" customWidth="1"/>
    <col min="6665" max="6665" width="12" style="719" customWidth="1"/>
    <col min="6666" max="6666" width="9.85546875" style="719" customWidth="1"/>
    <col min="6667" max="6913" width="9" style="719"/>
    <col min="6914" max="6914" width="34.5703125" style="719" customWidth="1"/>
    <col min="6915" max="6915" width="8.42578125" style="719" customWidth="1"/>
    <col min="6916" max="6916" width="8.140625" style="719" customWidth="1"/>
    <col min="6917" max="6917" width="6" style="719" customWidth="1"/>
    <col min="6918" max="6918" width="7.5703125" style="719" customWidth="1"/>
    <col min="6919" max="6919" width="6" style="719" customWidth="1"/>
    <col min="6920" max="6920" width="8.42578125" style="719" customWidth="1"/>
    <col min="6921" max="6921" width="12" style="719" customWidth="1"/>
    <col min="6922" max="6922" width="9.85546875" style="719" customWidth="1"/>
    <col min="6923" max="7169" width="9" style="719"/>
    <col min="7170" max="7170" width="34.5703125" style="719" customWidth="1"/>
    <col min="7171" max="7171" width="8.42578125" style="719" customWidth="1"/>
    <col min="7172" max="7172" width="8.140625" style="719" customWidth="1"/>
    <col min="7173" max="7173" width="6" style="719" customWidth="1"/>
    <col min="7174" max="7174" width="7.5703125" style="719" customWidth="1"/>
    <col min="7175" max="7175" width="6" style="719" customWidth="1"/>
    <col min="7176" max="7176" width="8.42578125" style="719" customWidth="1"/>
    <col min="7177" max="7177" width="12" style="719" customWidth="1"/>
    <col min="7178" max="7178" width="9.85546875" style="719" customWidth="1"/>
    <col min="7179" max="7425" width="9" style="719"/>
    <col min="7426" max="7426" width="34.5703125" style="719" customWidth="1"/>
    <col min="7427" max="7427" width="8.42578125" style="719" customWidth="1"/>
    <col min="7428" max="7428" width="8.140625" style="719" customWidth="1"/>
    <col min="7429" max="7429" width="6" style="719" customWidth="1"/>
    <col min="7430" max="7430" width="7.5703125" style="719" customWidth="1"/>
    <col min="7431" max="7431" width="6" style="719" customWidth="1"/>
    <col min="7432" max="7432" width="8.42578125" style="719" customWidth="1"/>
    <col min="7433" max="7433" width="12" style="719" customWidth="1"/>
    <col min="7434" max="7434" width="9.85546875" style="719" customWidth="1"/>
    <col min="7435" max="7681" width="9" style="719"/>
    <col min="7682" max="7682" width="34.5703125" style="719" customWidth="1"/>
    <col min="7683" max="7683" width="8.42578125" style="719" customWidth="1"/>
    <col min="7684" max="7684" width="8.140625" style="719" customWidth="1"/>
    <col min="7685" max="7685" width="6" style="719" customWidth="1"/>
    <col min="7686" max="7686" width="7.5703125" style="719" customWidth="1"/>
    <col min="7687" max="7687" width="6" style="719" customWidth="1"/>
    <col min="7688" max="7688" width="8.42578125" style="719" customWidth="1"/>
    <col min="7689" max="7689" width="12" style="719" customWidth="1"/>
    <col min="7690" max="7690" width="9.85546875" style="719" customWidth="1"/>
    <col min="7691" max="7937" width="9" style="719"/>
    <col min="7938" max="7938" width="34.5703125" style="719" customWidth="1"/>
    <col min="7939" max="7939" width="8.42578125" style="719" customWidth="1"/>
    <col min="7940" max="7940" width="8.140625" style="719" customWidth="1"/>
    <col min="7941" max="7941" width="6" style="719" customWidth="1"/>
    <col min="7942" max="7942" width="7.5703125" style="719" customWidth="1"/>
    <col min="7943" max="7943" width="6" style="719" customWidth="1"/>
    <col min="7944" max="7944" width="8.42578125" style="719" customWidth="1"/>
    <col min="7945" max="7945" width="12" style="719" customWidth="1"/>
    <col min="7946" max="7946" width="9.85546875" style="719" customWidth="1"/>
    <col min="7947" max="8193" width="9" style="719"/>
    <col min="8194" max="8194" width="34.5703125" style="719" customWidth="1"/>
    <col min="8195" max="8195" width="8.42578125" style="719" customWidth="1"/>
    <col min="8196" max="8196" width="8.140625" style="719" customWidth="1"/>
    <col min="8197" max="8197" width="6" style="719" customWidth="1"/>
    <col min="8198" max="8198" width="7.5703125" style="719" customWidth="1"/>
    <col min="8199" max="8199" width="6" style="719" customWidth="1"/>
    <col min="8200" max="8200" width="8.42578125" style="719" customWidth="1"/>
    <col min="8201" max="8201" width="12" style="719" customWidth="1"/>
    <col min="8202" max="8202" width="9.85546875" style="719" customWidth="1"/>
    <col min="8203" max="8449" width="9" style="719"/>
    <col min="8450" max="8450" width="34.5703125" style="719" customWidth="1"/>
    <col min="8451" max="8451" width="8.42578125" style="719" customWidth="1"/>
    <col min="8452" max="8452" width="8.140625" style="719" customWidth="1"/>
    <col min="8453" max="8453" width="6" style="719" customWidth="1"/>
    <col min="8454" max="8454" width="7.5703125" style="719" customWidth="1"/>
    <col min="8455" max="8455" width="6" style="719" customWidth="1"/>
    <col min="8456" max="8456" width="8.42578125" style="719" customWidth="1"/>
    <col min="8457" max="8457" width="12" style="719" customWidth="1"/>
    <col min="8458" max="8458" width="9.85546875" style="719" customWidth="1"/>
    <col min="8459" max="8705" width="9" style="719"/>
    <col min="8706" max="8706" width="34.5703125" style="719" customWidth="1"/>
    <col min="8707" max="8707" width="8.42578125" style="719" customWidth="1"/>
    <col min="8708" max="8708" width="8.140625" style="719" customWidth="1"/>
    <col min="8709" max="8709" width="6" style="719" customWidth="1"/>
    <col min="8710" max="8710" width="7.5703125" style="719" customWidth="1"/>
    <col min="8711" max="8711" width="6" style="719" customWidth="1"/>
    <col min="8712" max="8712" width="8.42578125" style="719" customWidth="1"/>
    <col min="8713" max="8713" width="12" style="719" customWidth="1"/>
    <col min="8714" max="8714" width="9.85546875" style="719" customWidth="1"/>
    <col min="8715" max="8961" width="9" style="719"/>
    <col min="8962" max="8962" width="34.5703125" style="719" customWidth="1"/>
    <col min="8963" max="8963" width="8.42578125" style="719" customWidth="1"/>
    <col min="8964" max="8964" width="8.140625" style="719" customWidth="1"/>
    <col min="8965" max="8965" width="6" style="719" customWidth="1"/>
    <col min="8966" max="8966" width="7.5703125" style="719" customWidth="1"/>
    <col min="8967" max="8967" width="6" style="719" customWidth="1"/>
    <col min="8968" max="8968" width="8.42578125" style="719" customWidth="1"/>
    <col min="8969" max="8969" width="12" style="719" customWidth="1"/>
    <col min="8970" max="8970" width="9.85546875" style="719" customWidth="1"/>
    <col min="8971" max="9217" width="9" style="719"/>
    <col min="9218" max="9218" width="34.5703125" style="719" customWidth="1"/>
    <col min="9219" max="9219" width="8.42578125" style="719" customWidth="1"/>
    <col min="9220" max="9220" width="8.140625" style="719" customWidth="1"/>
    <col min="9221" max="9221" width="6" style="719" customWidth="1"/>
    <col min="9222" max="9222" width="7.5703125" style="719" customWidth="1"/>
    <col min="9223" max="9223" width="6" style="719" customWidth="1"/>
    <col min="9224" max="9224" width="8.42578125" style="719" customWidth="1"/>
    <col min="9225" max="9225" width="12" style="719" customWidth="1"/>
    <col min="9226" max="9226" width="9.85546875" style="719" customWidth="1"/>
    <col min="9227" max="9473" width="9" style="719"/>
    <col min="9474" max="9474" width="34.5703125" style="719" customWidth="1"/>
    <col min="9475" max="9475" width="8.42578125" style="719" customWidth="1"/>
    <col min="9476" max="9476" width="8.140625" style="719" customWidth="1"/>
    <col min="9477" max="9477" width="6" style="719" customWidth="1"/>
    <col min="9478" max="9478" width="7.5703125" style="719" customWidth="1"/>
    <col min="9479" max="9479" width="6" style="719" customWidth="1"/>
    <col min="9480" max="9480" width="8.42578125" style="719" customWidth="1"/>
    <col min="9481" max="9481" width="12" style="719" customWidth="1"/>
    <col min="9482" max="9482" width="9.85546875" style="719" customWidth="1"/>
    <col min="9483" max="9729" width="9" style="719"/>
    <col min="9730" max="9730" width="34.5703125" style="719" customWidth="1"/>
    <col min="9731" max="9731" width="8.42578125" style="719" customWidth="1"/>
    <col min="9732" max="9732" width="8.140625" style="719" customWidth="1"/>
    <col min="9733" max="9733" width="6" style="719" customWidth="1"/>
    <col min="9734" max="9734" width="7.5703125" style="719" customWidth="1"/>
    <col min="9735" max="9735" width="6" style="719" customWidth="1"/>
    <col min="9736" max="9736" width="8.42578125" style="719" customWidth="1"/>
    <col min="9737" max="9737" width="12" style="719" customWidth="1"/>
    <col min="9738" max="9738" width="9.85546875" style="719" customWidth="1"/>
    <col min="9739" max="9985" width="9" style="719"/>
    <col min="9986" max="9986" width="34.5703125" style="719" customWidth="1"/>
    <col min="9987" max="9987" width="8.42578125" style="719" customWidth="1"/>
    <col min="9988" max="9988" width="8.140625" style="719" customWidth="1"/>
    <col min="9989" max="9989" width="6" style="719" customWidth="1"/>
    <col min="9990" max="9990" width="7.5703125" style="719" customWidth="1"/>
    <col min="9991" max="9991" width="6" style="719" customWidth="1"/>
    <col min="9992" max="9992" width="8.42578125" style="719" customWidth="1"/>
    <col min="9993" max="9993" width="12" style="719" customWidth="1"/>
    <col min="9994" max="9994" width="9.85546875" style="719" customWidth="1"/>
    <col min="9995" max="10241" width="9" style="719"/>
    <col min="10242" max="10242" width="34.5703125" style="719" customWidth="1"/>
    <col min="10243" max="10243" width="8.42578125" style="719" customWidth="1"/>
    <col min="10244" max="10244" width="8.140625" style="719" customWidth="1"/>
    <col min="10245" max="10245" width="6" style="719" customWidth="1"/>
    <col min="10246" max="10246" width="7.5703125" style="719" customWidth="1"/>
    <col min="10247" max="10247" width="6" style="719" customWidth="1"/>
    <col min="10248" max="10248" width="8.42578125" style="719" customWidth="1"/>
    <col min="10249" max="10249" width="12" style="719" customWidth="1"/>
    <col min="10250" max="10250" width="9.85546875" style="719" customWidth="1"/>
    <col min="10251" max="10497" width="9" style="719"/>
    <col min="10498" max="10498" width="34.5703125" style="719" customWidth="1"/>
    <col min="10499" max="10499" width="8.42578125" style="719" customWidth="1"/>
    <col min="10500" max="10500" width="8.140625" style="719" customWidth="1"/>
    <col min="10501" max="10501" width="6" style="719" customWidth="1"/>
    <col min="10502" max="10502" width="7.5703125" style="719" customWidth="1"/>
    <col min="10503" max="10503" width="6" style="719" customWidth="1"/>
    <col min="10504" max="10504" width="8.42578125" style="719" customWidth="1"/>
    <col min="10505" max="10505" width="12" style="719" customWidth="1"/>
    <col min="10506" max="10506" width="9.85546875" style="719" customWidth="1"/>
    <col min="10507" max="10753" width="9" style="719"/>
    <col min="10754" max="10754" width="34.5703125" style="719" customWidth="1"/>
    <col min="10755" max="10755" width="8.42578125" style="719" customWidth="1"/>
    <col min="10756" max="10756" width="8.140625" style="719" customWidth="1"/>
    <col min="10757" max="10757" width="6" style="719" customWidth="1"/>
    <col min="10758" max="10758" width="7.5703125" style="719" customWidth="1"/>
    <col min="10759" max="10759" width="6" style="719" customWidth="1"/>
    <col min="10760" max="10760" width="8.42578125" style="719" customWidth="1"/>
    <col min="10761" max="10761" width="12" style="719" customWidth="1"/>
    <col min="10762" max="10762" width="9.85546875" style="719" customWidth="1"/>
    <col min="10763" max="11009" width="9" style="719"/>
    <col min="11010" max="11010" width="34.5703125" style="719" customWidth="1"/>
    <col min="11011" max="11011" width="8.42578125" style="719" customWidth="1"/>
    <col min="11012" max="11012" width="8.140625" style="719" customWidth="1"/>
    <col min="11013" max="11013" width="6" style="719" customWidth="1"/>
    <col min="11014" max="11014" width="7.5703125" style="719" customWidth="1"/>
    <col min="11015" max="11015" width="6" style="719" customWidth="1"/>
    <col min="11016" max="11016" width="8.42578125" style="719" customWidth="1"/>
    <col min="11017" max="11017" width="12" style="719" customWidth="1"/>
    <col min="11018" max="11018" width="9.85546875" style="719" customWidth="1"/>
    <col min="11019" max="11265" width="9" style="719"/>
    <col min="11266" max="11266" width="34.5703125" style="719" customWidth="1"/>
    <col min="11267" max="11267" width="8.42578125" style="719" customWidth="1"/>
    <col min="11268" max="11268" width="8.140625" style="719" customWidth="1"/>
    <col min="11269" max="11269" width="6" style="719" customWidth="1"/>
    <col min="11270" max="11270" width="7.5703125" style="719" customWidth="1"/>
    <col min="11271" max="11271" width="6" style="719" customWidth="1"/>
    <col min="11272" max="11272" width="8.42578125" style="719" customWidth="1"/>
    <col min="11273" max="11273" width="12" style="719" customWidth="1"/>
    <col min="11274" max="11274" width="9.85546875" style="719" customWidth="1"/>
    <col min="11275" max="11521" width="9" style="719"/>
    <col min="11522" max="11522" width="34.5703125" style="719" customWidth="1"/>
    <col min="11523" max="11523" width="8.42578125" style="719" customWidth="1"/>
    <col min="11524" max="11524" width="8.140625" style="719" customWidth="1"/>
    <col min="11525" max="11525" width="6" style="719" customWidth="1"/>
    <col min="11526" max="11526" width="7.5703125" style="719" customWidth="1"/>
    <col min="11527" max="11527" width="6" style="719" customWidth="1"/>
    <col min="11528" max="11528" width="8.42578125" style="719" customWidth="1"/>
    <col min="11529" max="11529" width="12" style="719" customWidth="1"/>
    <col min="11530" max="11530" width="9.85546875" style="719" customWidth="1"/>
    <col min="11531" max="11777" width="9" style="719"/>
    <col min="11778" max="11778" width="34.5703125" style="719" customWidth="1"/>
    <col min="11779" max="11779" width="8.42578125" style="719" customWidth="1"/>
    <col min="11780" max="11780" width="8.140625" style="719" customWidth="1"/>
    <col min="11781" max="11781" width="6" style="719" customWidth="1"/>
    <col min="11782" max="11782" width="7.5703125" style="719" customWidth="1"/>
    <col min="11783" max="11783" width="6" style="719" customWidth="1"/>
    <col min="11784" max="11784" width="8.42578125" style="719" customWidth="1"/>
    <col min="11785" max="11785" width="12" style="719" customWidth="1"/>
    <col min="11786" max="11786" width="9.85546875" style="719" customWidth="1"/>
    <col min="11787" max="12033" width="9" style="719"/>
    <col min="12034" max="12034" width="34.5703125" style="719" customWidth="1"/>
    <col min="12035" max="12035" width="8.42578125" style="719" customWidth="1"/>
    <col min="12036" max="12036" width="8.140625" style="719" customWidth="1"/>
    <col min="12037" max="12037" width="6" style="719" customWidth="1"/>
    <col min="12038" max="12038" width="7.5703125" style="719" customWidth="1"/>
    <col min="12039" max="12039" width="6" style="719" customWidth="1"/>
    <col min="12040" max="12040" width="8.42578125" style="719" customWidth="1"/>
    <col min="12041" max="12041" width="12" style="719" customWidth="1"/>
    <col min="12042" max="12042" width="9.85546875" style="719" customWidth="1"/>
    <col min="12043" max="12289" width="9" style="719"/>
    <col min="12290" max="12290" width="34.5703125" style="719" customWidth="1"/>
    <col min="12291" max="12291" width="8.42578125" style="719" customWidth="1"/>
    <col min="12292" max="12292" width="8.140625" style="719" customWidth="1"/>
    <col min="12293" max="12293" width="6" style="719" customWidth="1"/>
    <col min="12294" max="12294" width="7.5703125" style="719" customWidth="1"/>
    <col min="12295" max="12295" width="6" style="719" customWidth="1"/>
    <col min="12296" max="12296" width="8.42578125" style="719" customWidth="1"/>
    <col min="12297" max="12297" width="12" style="719" customWidth="1"/>
    <col min="12298" max="12298" width="9.85546875" style="719" customWidth="1"/>
    <col min="12299" max="12545" width="9" style="719"/>
    <col min="12546" max="12546" width="34.5703125" style="719" customWidth="1"/>
    <col min="12547" max="12547" width="8.42578125" style="719" customWidth="1"/>
    <col min="12548" max="12548" width="8.140625" style="719" customWidth="1"/>
    <col min="12549" max="12549" width="6" style="719" customWidth="1"/>
    <col min="12550" max="12550" width="7.5703125" style="719" customWidth="1"/>
    <col min="12551" max="12551" width="6" style="719" customWidth="1"/>
    <col min="12552" max="12552" width="8.42578125" style="719" customWidth="1"/>
    <col min="12553" max="12553" width="12" style="719" customWidth="1"/>
    <col min="12554" max="12554" width="9.85546875" style="719" customWidth="1"/>
    <col min="12555" max="12801" width="9" style="719"/>
    <col min="12802" max="12802" width="34.5703125" style="719" customWidth="1"/>
    <col min="12803" max="12803" width="8.42578125" style="719" customWidth="1"/>
    <col min="12804" max="12804" width="8.140625" style="719" customWidth="1"/>
    <col min="12805" max="12805" width="6" style="719" customWidth="1"/>
    <col min="12806" max="12806" width="7.5703125" style="719" customWidth="1"/>
    <col min="12807" max="12807" width="6" style="719" customWidth="1"/>
    <col min="12808" max="12808" width="8.42578125" style="719" customWidth="1"/>
    <col min="12809" max="12809" width="12" style="719" customWidth="1"/>
    <col min="12810" max="12810" width="9.85546875" style="719" customWidth="1"/>
    <col min="12811" max="13057" width="9" style="719"/>
    <col min="13058" max="13058" width="34.5703125" style="719" customWidth="1"/>
    <col min="13059" max="13059" width="8.42578125" style="719" customWidth="1"/>
    <col min="13060" max="13060" width="8.140625" style="719" customWidth="1"/>
    <col min="13061" max="13061" width="6" style="719" customWidth="1"/>
    <col min="13062" max="13062" width="7.5703125" style="719" customWidth="1"/>
    <col min="13063" max="13063" width="6" style="719" customWidth="1"/>
    <col min="13064" max="13064" width="8.42578125" style="719" customWidth="1"/>
    <col min="13065" max="13065" width="12" style="719" customWidth="1"/>
    <col min="13066" max="13066" width="9.85546875" style="719" customWidth="1"/>
    <col min="13067" max="13313" width="9" style="719"/>
    <col min="13314" max="13314" width="34.5703125" style="719" customWidth="1"/>
    <col min="13315" max="13315" width="8.42578125" style="719" customWidth="1"/>
    <col min="13316" max="13316" width="8.140625" style="719" customWidth="1"/>
    <col min="13317" max="13317" width="6" style="719" customWidth="1"/>
    <col min="13318" max="13318" width="7.5703125" style="719" customWidth="1"/>
    <col min="13319" max="13319" width="6" style="719" customWidth="1"/>
    <col min="13320" max="13320" width="8.42578125" style="719" customWidth="1"/>
    <col min="13321" max="13321" width="12" style="719" customWidth="1"/>
    <col min="13322" max="13322" width="9.85546875" style="719" customWidth="1"/>
    <col min="13323" max="13569" width="9" style="719"/>
    <col min="13570" max="13570" width="34.5703125" style="719" customWidth="1"/>
    <col min="13571" max="13571" width="8.42578125" style="719" customWidth="1"/>
    <col min="13572" max="13572" width="8.140625" style="719" customWidth="1"/>
    <col min="13573" max="13573" width="6" style="719" customWidth="1"/>
    <col min="13574" max="13574" width="7.5703125" style="719" customWidth="1"/>
    <col min="13575" max="13575" width="6" style="719" customWidth="1"/>
    <col min="13576" max="13576" width="8.42578125" style="719" customWidth="1"/>
    <col min="13577" max="13577" width="12" style="719" customWidth="1"/>
    <col min="13578" max="13578" width="9.85546875" style="719" customWidth="1"/>
    <col min="13579" max="13825" width="9" style="719"/>
    <col min="13826" max="13826" width="34.5703125" style="719" customWidth="1"/>
    <col min="13827" max="13827" width="8.42578125" style="719" customWidth="1"/>
    <col min="13828" max="13828" width="8.140625" style="719" customWidth="1"/>
    <col min="13829" max="13829" width="6" style="719" customWidth="1"/>
    <col min="13830" max="13830" width="7.5703125" style="719" customWidth="1"/>
    <col min="13831" max="13831" width="6" style="719" customWidth="1"/>
    <col min="13832" max="13832" width="8.42578125" style="719" customWidth="1"/>
    <col min="13833" max="13833" width="12" style="719" customWidth="1"/>
    <col min="13834" max="13834" width="9.85546875" style="719" customWidth="1"/>
    <col min="13835" max="14081" width="9" style="719"/>
    <col min="14082" max="14082" width="34.5703125" style="719" customWidth="1"/>
    <col min="14083" max="14083" width="8.42578125" style="719" customWidth="1"/>
    <col min="14084" max="14084" width="8.140625" style="719" customWidth="1"/>
    <col min="14085" max="14085" width="6" style="719" customWidth="1"/>
    <col min="14086" max="14086" width="7.5703125" style="719" customWidth="1"/>
    <col min="14087" max="14087" width="6" style="719" customWidth="1"/>
    <col min="14088" max="14088" width="8.42578125" style="719" customWidth="1"/>
    <col min="14089" max="14089" width="12" style="719" customWidth="1"/>
    <col min="14090" max="14090" width="9.85546875" style="719" customWidth="1"/>
    <col min="14091" max="14337" width="9" style="719"/>
    <col min="14338" max="14338" width="34.5703125" style="719" customWidth="1"/>
    <col min="14339" max="14339" width="8.42578125" style="719" customWidth="1"/>
    <col min="14340" max="14340" width="8.140625" style="719" customWidth="1"/>
    <col min="14341" max="14341" width="6" style="719" customWidth="1"/>
    <col min="14342" max="14342" width="7.5703125" style="719" customWidth="1"/>
    <col min="14343" max="14343" width="6" style="719" customWidth="1"/>
    <col min="14344" max="14344" width="8.42578125" style="719" customWidth="1"/>
    <col min="14345" max="14345" width="12" style="719" customWidth="1"/>
    <col min="14346" max="14346" width="9.85546875" style="719" customWidth="1"/>
    <col min="14347" max="14593" width="9" style="719"/>
    <col min="14594" max="14594" width="34.5703125" style="719" customWidth="1"/>
    <col min="14595" max="14595" width="8.42578125" style="719" customWidth="1"/>
    <col min="14596" max="14596" width="8.140625" style="719" customWidth="1"/>
    <col min="14597" max="14597" width="6" style="719" customWidth="1"/>
    <col min="14598" max="14598" width="7.5703125" style="719" customWidth="1"/>
    <col min="14599" max="14599" width="6" style="719" customWidth="1"/>
    <col min="14600" max="14600" width="8.42578125" style="719" customWidth="1"/>
    <col min="14601" max="14601" width="12" style="719" customWidth="1"/>
    <col min="14602" max="14602" width="9.85546875" style="719" customWidth="1"/>
    <col min="14603" max="14849" width="9" style="719"/>
    <col min="14850" max="14850" width="34.5703125" style="719" customWidth="1"/>
    <col min="14851" max="14851" width="8.42578125" style="719" customWidth="1"/>
    <col min="14852" max="14852" width="8.140625" style="719" customWidth="1"/>
    <col min="14853" max="14853" width="6" style="719" customWidth="1"/>
    <col min="14854" max="14854" width="7.5703125" style="719" customWidth="1"/>
    <col min="14855" max="14855" width="6" style="719" customWidth="1"/>
    <col min="14856" max="14856" width="8.42578125" style="719" customWidth="1"/>
    <col min="14857" max="14857" width="12" style="719" customWidth="1"/>
    <col min="14858" max="14858" width="9.85546875" style="719" customWidth="1"/>
    <col min="14859" max="15105" width="9" style="719"/>
    <col min="15106" max="15106" width="34.5703125" style="719" customWidth="1"/>
    <col min="15107" max="15107" width="8.42578125" style="719" customWidth="1"/>
    <col min="15108" max="15108" width="8.140625" style="719" customWidth="1"/>
    <col min="15109" max="15109" width="6" style="719" customWidth="1"/>
    <col min="15110" max="15110" width="7.5703125" style="719" customWidth="1"/>
    <col min="15111" max="15111" width="6" style="719" customWidth="1"/>
    <col min="15112" max="15112" width="8.42578125" style="719" customWidth="1"/>
    <col min="15113" max="15113" width="12" style="719" customWidth="1"/>
    <col min="15114" max="15114" width="9.85546875" style="719" customWidth="1"/>
    <col min="15115" max="15361" width="9" style="719"/>
    <col min="15362" max="15362" width="34.5703125" style="719" customWidth="1"/>
    <col min="15363" max="15363" width="8.42578125" style="719" customWidth="1"/>
    <col min="15364" max="15364" width="8.140625" style="719" customWidth="1"/>
    <col min="15365" max="15365" width="6" style="719" customWidth="1"/>
    <col min="15366" max="15366" width="7.5703125" style="719" customWidth="1"/>
    <col min="15367" max="15367" width="6" style="719" customWidth="1"/>
    <col min="15368" max="15368" width="8.42578125" style="719" customWidth="1"/>
    <col min="15369" max="15369" width="12" style="719" customWidth="1"/>
    <col min="15370" max="15370" width="9.85546875" style="719" customWidth="1"/>
    <col min="15371" max="15617" width="9" style="719"/>
    <col min="15618" max="15618" width="34.5703125" style="719" customWidth="1"/>
    <col min="15619" max="15619" width="8.42578125" style="719" customWidth="1"/>
    <col min="15620" max="15620" width="8.140625" style="719" customWidth="1"/>
    <col min="15621" max="15621" width="6" style="719" customWidth="1"/>
    <col min="15622" max="15622" width="7.5703125" style="719" customWidth="1"/>
    <col min="15623" max="15623" width="6" style="719" customWidth="1"/>
    <col min="15624" max="15624" width="8.42578125" style="719" customWidth="1"/>
    <col min="15625" max="15625" width="12" style="719" customWidth="1"/>
    <col min="15626" max="15626" width="9.85546875" style="719" customWidth="1"/>
    <col min="15627" max="15873" width="9" style="719"/>
    <col min="15874" max="15874" width="34.5703125" style="719" customWidth="1"/>
    <col min="15875" max="15875" width="8.42578125" style="719" customWidth="1"/>
    <col min="15876" max="15876" width="8.140625" style="719" customWidth="1"/>
    <col min="15877" max="15877" width="6" style="719" customWidth="1"/>
    <col min="15878" max="15878" width="7.5703125" style="719" customWidth="1"/>
    <col min="15879" max="15879" width="6" style="719" customWidth="1"/>
    <col min="15880" max="15880" width="8.42578125" style="719" customWidth="1"/>
    <col min="15881" max="15881" width="12" style="719" customWidth="1"/>
    <col min="15882" max="15882" width="9.85546875" style="719" customWidth="1"/>
    <col min="15883" max="16129" width="9" style="719"/>
    <col min="16130" max="16130" width="34.5703125" style="719" customWidth="1"/>
    <col min="16131" max="16131" width="8.42578125" style="719" customWidth="1"/>
    <col min="16132" max="16132" width="8.140625" style="719" customWidth="1"/>
    <col min="16133" max="16133" width="6" style="719" customWidth="1"/>
    <col min="16134" max="16134" width="7.5703125" style="719" customWidth="1"/>
    <col min="16135" max="16135" width="6" style="719" customWidth="1"/>
    <col min="16136" max="16136" width="8.42578125" style="719" customWidth="1"/>
    <col min="16137" max="16137" width="12" style="719" customWidth="1"/>
    <col min="16138" max="16138" width="9.85546875" style="719" customWidth="1"/>
    <col min="16139" max="16384" width="9" style="719"/>
  </cols>
  <sheetData>
    <row r="1" spans="1:10">
      <c r="A1" s="748" t="s">
        <v>3707</v>
      </c>
      <c r="B1" s="749"/>
      <c r="C1" s="749"/>
      <c r="D1" s="750"/>
      <c r="E1" s="749"/>
      <c r="F1" s="749"/>
      <c r="G1" s="749"/>
      <c r="H1" s="751"/>
      <c r="I1" s="751"/>
      <c r="J1" s="751"/>
    </row>
    <row r="2" spans="1:10">
      <c r="A2" s="1540" t="s">
        <v>199</v>
      </c>
      <c r="B2" s="1540"/>
      <c r="C2" s="1540"/>
      <c r="D2" s="1540"/>
      <c r="E2" s="1540"/>
      <c r="F2" s="1540"/>
      <c r="G2" s="1540"/>
      <c r="H2" s="1540"/>
      <c r="I2" s="1540"/>
      <c r="J2" s="1540"/>
    </row>
    <row r="3" spans="1:10">
      <c r="A3" s="1540" t="s">
        <v>3734</v>
      </c>
      <c r="B3" s="1540"/>
      <c r="C3" s="1540"/>
      <c r="D3" s="1540"/>
      <c r="E3" s="1540"/>
      <c r="F3" s="1540"/>
      <c r="G3" s="1540"/>
      <c r="H3" s="1540"/>
      <c r="I3" s="1540"/>
      <c r="J3" s="1540"/>
    </row>
    <row r="4" spans="1:10">
      <c r="A4" s="749"/>
      <c r="B4" s="749"/>
      <c r="C4" s="749"/>
      <c r="D4" s="750"/>
      <c r="E4" s="749"/>
      <c r="F4" s="749"/>
      <c r="G4" s="749"/>
      <c r="H4" s="751"/>
      <c r="I4" s="751"/>
      <c r="J4" s="751"/>
    </row>
    <row r="5" spans="1:10">
      <c r="A5" s="1541" t="s">
        <v>99</v>
      </c>
      <c r="B5" s="1541" t="s">
        <v>200</v>
      </c>
      <c r="C5" s="1541" t="s">
        <v>101</v>
      </c>
      <c r="D5" s="1541" t="s">
        <v>102</v>
      </c>
      <c r="E5" s="752" t="s">
        <v>97</v>
      </c>
      <c r="F5" s="752"/>
      <c r="G5" s="752"/>
      <c r="H5" s="753" t="s">
        <v>201</v>
      </c>
      <c r="I5" s="753"/>
      <c r="J5" s="753"/>
    </row>
    <row r="6" spans="1:10">
      <c r="A6" s="1541"/>
      <c r="B6" s="1541"/>
      <c r="C6" s="1541"/>
      <c r="D6" s="1541"/>
      <c r="E6" s="684" t="s">
        <v>11</v>
      </c>
      <c r="F6" s="684" t="s">
        <v>12</v>
      </c>
      <c r="G6" s="684" t="s">
        <v>93</v>
      </c>
      <c r="H6" s="754" t="s">
        <v>11</v>
      </c>
      <c r="I6" s="754" t="s">
        <v>12</v>
      </c>
      <c r="J6" s="754" t="s">
        <v>93</v>
      </c>
    </row>
    <row r="7" spans="1:10" ht="15.75">
      <c r="A7" s="1320" t="s">
        <v>13050</v>
      </c>
      <c r="B7" s="1321" t="s">
        <v>13051</v>
      </c>
      <c r="C7" s="22" t="s">
        <v>208</v>
      </c>
      <c r="D7" s="1322">
        <v>1</v>
      </c>
      <c r="E7" s="24">
        <f>TNHC!F199</f>
        <v>3397.9638399999999</v>
      </c>
      <c r="F7" s="24">
        <f>TNHC!G199*1.5</f>
        <v>61001.850000000006</v>
      </c>
      <c r="G7" s="24">
        <f>TNHC!H199</f>
        <v>8879.8200000000015</v>
      </c>
      <c r="H7" s="1323">
        <f>D7*E7</f>
        <v>3397.9638399999999</v>
      </c>
      <c r="I7" s="1323">
        <f>D7*F7</f>
        <v>61001.850000000006</v>
      </c>
      <c r="J7" s="1323">
        <f>D7*G7</f>
        <v>8879.8200000000015</v>
      </c>
    </row>
    <row r="8" spans="1:10">
      <c r="A8" s="757"/>
      <c r="B8" s="757" t="s">
        <v>212</v>
      </c>
      <c r="C8" s="757"/>
      <c r="D8" s="757"/>
      <c r="E8" s="758"/>
      <c r="F8" s="758"/>
      <c r="G8" s="758"/>
      <c r="H8" s="759">
        <f>SUM(H7:H7)</f>
        <v>3397.9638399999999</v>
      </c>
      <c r="I8" s="759">
        <f>SUM(I7:I7)</f>
        <v>61001.850000000006</v>
      </c>
      <c r="J8" s="759">
        <f>SUM(J7:J7)</f>
        <v>8879.8200000000015</v>
      </c>
    </row>
  </sheetData>
  <mergeCells count="6">
    <mergeCell ref="A2:J2"/>
    <mergeCell ref="A3:J3"/>
    <mergeCell ref="A5:A6"/>
    <mergeCell ref="B5:B6"/>
    <mergeCell ref="C5:C6"/>
    <mergeCell ref="D5:D6"/>
  </mergeCells>
  <printOptions horizontalCentered="1"/>
  <pageMargins left="0.45866141700000002" right="0.44" top="0.96" bottom="0.49803149600000002" header="0.84" footer="0.31496062992126"/>
  <pageSetup paperSize="9" orientation="landscape"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3"/>
  <sheetViews>
    <sheetView topLeftCell="A4" workbookViewId="0">
      <selection activeCell="M31" sqref="M31"/>
    </sheetView>
  </sheetViews>
  <sheetFormatPr defaultRowHeight="15"/>
  <cols>
    <col min="1" max="1" width="5.5703125" customWidth="1"/>
    <col min="2" max="2" width="41.5703125" customWidth="1"/>
    <col min="3" max="4" width="8.42578125" bestFit="1" customWidth="1"/>
    <col min="5" max="5" width="13.5703125" bestFit="1" customWidth="1"/>
    <col min="6" max="6" width="11.140625" customWidth="1"/>
    <col min="7" max="7" width="13" customWidth="1"/>
    <col min="8" max="8" width="11.5703125" customWidth="1"/>
    <col min="9" max="9" width="14.5703125" bestFit="1" customWidth="1"/>
    <col min="10" max="10" width="12.85546875" customWidth="1"/>
    <col min="11" max="11" width="12.42578125" bestFit="1" customWidth="1"/>
    <col min="12" max="12" width="11" bestFit="1" customWidth="1"/>
  </cols>
  <sheetData>
    <row r="1" spans="1:12">
      <c r="A1" s="765" t="s">
        <v>3736</v>
      </c>
      <c r="B1" s="766"/>
      <c r="C1" s="767"/>
      <c r="D1" s="767"/>
      <c r="E1" s="768"/>
      <c r="F1" s="768"/>
      <c r="G1" s="768"/>
      <c r="H1" s="768"/>
      <c r="I1" s="768"/>
      <c r="J1" s="768"/>
      <c r="K1" s="768"/>
      <c r="L1" s="768"/>
    </row>
    <row r="2" spans="1:12" ht="15.75">
      <c r="A2" s="769" t="s">
        <v>3737</v>
      </c>
      <c r="B2" s="770"/>
      <c r="C2" s="770"/>
      <c r="D2" s="770"/>
      <c r="E2" s="771"/>
      <c r="F2" s="771"/>
      <c r="G2" s="771"/>
      <c r="H2" s="771"/>
      <c r="I2" s="771"/>
      <c r="J2" s="771"/>
      <c r="K2" s="771"/>
      <c r="L2" s="771"/>
    </row>
    <row r="3" spans="1:12" ht="15.75">
      <c r="A3" s="769" t="s">
        <v>3738</v>
      </c>
      <c r="B3" s="770"/>
      <c r="C3" s="770"/>
      <c r="D3" s="770"/>
      <c r="E3" s="771"/>
      <c r="F3" s="771"/>
      <c r="G3" s="771"/>
      <c r="H3" s="771"/>
      <c r="I3" s="771"/>
      <c r="J3" s="771"/>
      <c r="K3" s="771"/>
      <c r="L3" s="771"/>
    </row>
    <row r="4" spans="1:12">
      <c r="A4" s="767"/>
      <c r="B4" s="766"/>
      <c r="C4" s="767"/>
      <c r="D4" s="767"/>
      <c r="E4" s="768"/>
      <c r="F4" s="768"/>
      <c r="G4" s="768"/>
      <c r="H4" s="768"/>
      <c r="I4" s="768"/>
      <c r="J4" s="768"/>
      <c r="K4" s="768"/>
      <c r="L4" s="768"/>
    </row>
    <row r="5" spans="1:12">
      <c r="A5" s="772" t="s">
        <v>3534</v>
      </c>
      <c r="B5" s="772" t="s">
        <v>3535</v>
      </c>
      <c r="C5" s="772" t="s">
        <v>3536</v>
      </c>
      <c r="D5" s="773" t="s">
        <v>3537</v>
      </c>
      <c r="E5" s="774" t="s">
        <v>33</v>
      </c>
      <c r="F5" s="774"/>
      <c r="G5" s="774"/>
      <c r="H5" s="774"/>
      <c r="I5" s="774" t="s">
        <v>34</v>
      </c>
      <c r="J5" s="774"/>
      <c r="K5" s="774"/>
      <c r="L5" s="774"/>
    </row>
    <row r="6" spans="1:12">
      <c r="A6" s="775" t="s">
        <v>84</v>
      </c>
      <c r="B6" s="775"/>
      <c r="C6" s="775" t="s">
        <v>3538</v>
      </c>
      <c r="D6" s="776" t="s">
        <v>3539</v>
      </c>
      <c r="E6" s="774" t="s">
        <v>3540</v>
      </c>
      <c r="F6" s="774" t="s">
        <v>3541</v>
      </c>
      <c r="G6" s="774" t="s">
        <v>12</v>
      </c>
      <c r="H6" s="774" t="s">
        <v>93</v>
      </c>
      <c r="I6" s="774" t="s">
        <v>3540</v>
      </c>
      <c r="J6" s="774" t="s">
        <v>3541</v>
      </c>
      <c r="K6" s="774" t="s">
        <v>12</v>
      </c>
      <c r="L6" s="774" t="s">
        <v>93</v>
      </c>
    </row>
    <row r="7" spans="1:12">
      <c r="A7" s="777" t="str">
        <f>'Chi tiết-TBA'!A9</f>
        <v>I</v>
      </c>
      <c r="B7" s="778" t="str">
        <f>'Chi tiết-TBA'!B9</f>
        <v>PHẦN THIẾT BỊ</v>
      </c>
      <c r="C7" s="777"/>
      <c r="D7" s="777"/>
      <c r="E7" s="779"/>
      <c r="F7" s="779"/>
      <c r="G7" s="779"/>
      <c r="H7" s="779"/>
      <c r="I7" s="779">
        <f>SUM(I8:I10)*1</f>
        <v>5257360</v>
      </c>
      <c r="J7" s="779">
        <f>SUM(J8:J10)*1</f>
        <v>5406841</v>
      </c>
      <c r="K7" s="779">
        <f t="shared" ref="K7:L7" si="0">SUM(K8:K10)*1</f>
        <v>14159519.092</v>
      </c>
      <c r="L7" s="779">
        <f t="shared" si="0"/>
        <v>2326501.9800000004</v>
      </c>
    </row>
    <row r="8" spans="1:12">
      <c r="A8" s="675">
        <f>'Chi tiết-TBA'!A10</f>
        <v>1</v>
      </c>
      <c r="B8" s="780" t="str">
        <f>'Chi tiết-TBA'!B10</f>
        <v>Máy biến áp 3 pha 320kVA-22/0.4kV</v>
      </c>
      <c r="C8" s="781" t="str">
        <f>'Chi tiết-TBA'!C10</f>
        <v>máy</v>
      </c>
      <c r="D8" s="675">
        <v>1</v>
      </c>
      <c r="E8" s="782">
        <f>'Chi tiết-TBA'!K10</f>
        <v>750000</v>
      </c>
      <c r="F8" s="782">
        <f>'Chi tiết-TBA'!L10</f>
        <v>1975595</v>
      </c>
      <c r="G8" s="782">
        <f>'Chi tiết-TBA'!M10</f>
        <v>2236217.872</v>
      </c>
      <c r="H8" s="782">
        <f>'Chi tiết-TBA'!N10</f>
        <v>973676.88</v>
      </c>
      <c r="I8" s="783">
        <f>D8*E8</f>
        <v>750000</v>
      </c>
      <c r="J8" s="783">
        <f>D8*F8</f>
        <v>1975595</v>
      </c>
      <c r="K8" s="783">
        <f>D8*G8</f>
        <v>2236217.872</v>
      </c>
      <c r="L8" s="783">
        <f>D8*H8</f>
        <v>973676.88</v>
      </c>
    </row>
    <row r="9" spans="1:12">
      <c r="A9" s="781">
        <f>'Chi tiết-TBA'!A17</f>
        <v>2</v>
      </c>
      <c r="B9" s="784" t="str">
        <f>'Chi tiết-TBA'!B17</f>
        <v>Hệ thống đo đếm trung thế</v>
      </c>
      <c r="C9" s="781" t="s">
        <v>95</v>
      </c>
      <c r="D9" s="781">
        <v>1</v>
      </c>
      <c r="E9" s="783">
        <f>'Chi tiết-TBA'!K17</f>
        <v>4507360</v>
      </c>
      <c r="F9" s="783">
        <f>'Chi tiết-TBA'!L17</f>
        <v>705762</v>
      </c>
      <c r="G9" s="783">
        <f>'Chi tiết-TBA'!M17</f>
        <v>1840001.22</v>
      </c>
      <c r="H9" s="783">
        <f>'Chi tiết-TBA'!N17</f>
        <v>1190499.6000000003</v>
      </c>
      <c r="I9" s="783">
        <f>D9*E9</f>
        <v>4507360</v>
      </c>
      <c r="J9" s="783">
        <f>D9*F9</f>
        <v>705762</v>
      </c>
      <c r="K9" s="783">
        <f>D9*G9</f>
        <v>1840001.22</v>
      </c>
      <c r="L9" s="783">
        <f>D9*H9</f>
        <v>1190499.6000000003</v>
      </c>
    </row>
    <row r="10" spans="1:12">
      <c r="A10" s="781">
        <f>'Chi tiết-TBA'!A31</f>
        <v>3</v>
      </c>
      <c r="B10" s="784" t="str">
        <f>'Chi tiết-TBA'!B31</f>
        <v>Máy phát điện 3 pha 320kVA</v>
      </c>
      <c r="C10" s="785" t="str">
        <f>'Chi tiết-TBA'!C31</f>
        <v>máy</v>
      </c>
      <c r="D10" s="785">
        <f>'Chi tiết-TBA'!D31</f>
        <v>1</v>
      </c>
      <c r="E10" s="783">
        <f>'Chi tiết-TBA'!K31</f>
        <v>0</v>
      </c>
      <c r="F10" s="783">
        <f>'Chi tiết-TBA'!L31</f>
        <v>2725484</v>
      </c>
      <c r="G10" s="783">
        <f>'Chi tiết-TBA'!M31</f>
        <v>10083300</v>
      </c>
      <c r="H10" s="783">
        <f>'Chi tiết-TBA'!N31</f>
        <v>162325.5</v>
      </c>
      <c r="I10" s="783">
        <f>D10*E10</f>
        <v>0</v>
      </c>
      <c r="J10" s="783">
        <f>D10*F10</f>
        <v>2725484</v>
      </c>
      <c r="K10" s="783">
        <f>D10*G10</f>
        <v>10083300</v>
      </c>
      <c r="L10" s="783">
        <f>D10*H10</f>
        <v>162325.5</v>
      </c>
    </row>
    <row r="11" spans="1:12">
      <c r="A11" s="777" t="str">
        <f>'Chi tiết-TBA'!A37</f>
        <v>II</v>
      </c>
      <c r="B11" s="778" t="str">
        <f>'Chi tiết-TBA'!B37</f>
        <v>PHẦN VẬT TƯ - PHỤ KIỆN</v>
      </c>
      <c r="C11" s="777"/>
      <c r="D11" s="777"/>
      <c r="E11" s="779"/>
      <c r="F11" s="779"/>
      <c r="G11" s="779"/>
      <c r="H11" s="779"/>
      <c r="I11" s="779">
        <f>SUM(I12:I23)</f>
        <v>203622044</v>
      </c>
      <c r="J11" s="779">
        <f t="shared" ref="J11:L11" si="1">SUM(J12:J23)</f>
        <v>1016107.972</v>
      </c>
      <c r="K11" s="779">
        <f t="shared" si="1"/>
        <v>16470972.216749998</v>
      </c>
      <c r="L11" s="779">
        <f t="shared" si="1"/>
        <v>1601341.43</v>
      </c>
    </row>
    <row r="12" spans="1:12">
      <c r="A12" s="781">
        <f>'Chi tiết-TBA'!A38</f>
        <v>1</v>
      </c>
      <c r="B12" s="784" t="str">
        <f>'Chi tiết-TBA'!B38</f>
        <v>Tủ MCCB trạm biến áp 320kVA</v>
      </c>
      <c r="C12" s="785" t="str">
        <f>'Chi tiết-TBA'!C38</f>
        <v>Tủ</v>
      </c>
      <c r="D12" s="781">
        <v>1</v>
      </c>
      <c r="E12" s="786">
        <f>'Chi tiết-TBA'!K38</f>
        <v>22800000</v>
      </c>
      <c r="F12" s="786">
        <f>'Chi tiết-TBA'!L38</f>
        <v>268962.2</v>
      </c>
      <c r="G12" s="786">
        <f>'Chi tiết-TBA'!M38</f>
        <v>1039206.2399999999</v>
      </c>
      <c r="H12" s="786">
        <f>'Chi tiết-TBA'!N38</f>
        <v>557236</v>
      </c>
      <c r="I12" s="783">
        <f t="shared" ref="I12:I23" si="2">D12*E12</f>
        <v>22800000</v>
      </c>
      <c r="J12" s="783">
        <f t="shared" ref="J12:J23" si="3">D12*F12</f>
        <v>268962.2</v>
      </c>
      <c r="K12" s="783">
        <f t="shared" ref="K12:K23" si="4">D12*G12</f>
        <v>1039206.2399999999</v>
      </c>
      <c r="L12" s="783">
        <f t="shared" ref="L12:L23" si="5">D12*H12</f>
        <v>557236</v>
      </c>
    </row>
    <row r="13" spans="1:12">
      <c r="A13" s="781">
        <f>'Chi tiết-TBA'!A46</f>
        <v>2</v>
      </c>
      <c r="B13" s="784" t="str">
        <f>'Chi tiết-TBA'!B46</f>
        <v>Tủ MCCB máy phát điện</v>
      </c>
      <c r="C13" s="785" t="str">
        <f>'Chi tiết-TBA'!C46</f>
        <v>Tủ</v>
      </c>
      <c r="D13" s="781">
        <v>1</v>
      </c>
      <c r="E13" s="786">
        <f>'Chi tiết-TBA'!K46</f>
        <v>0</v>
      </c>
      <c r="F13" s="786">
        <f>'Chi tiết-TBA'!L46</f>
        <v>0</v>
      </c>
      <c r="G13" s="786">
        <f>'Chi tiết-TBA'!M46</f>
        <v>0</v>
      </c>
      <c r="H13" s="786">
        <f>'Chi tiết-TBA'!N46</f>
        <v>0</v>
      </c>
      <c r="I13" s="783">
        <f t="shared" si="2"/>
        <v>0</v>
      </c>
      <c r="J13" s="783">
        <f t="shared" si="3"/>
        <v>0</v>
      </c>
      <c r="K13" s="783">
        <f t="shared" si="4"/>
        <v>0</v>
      </c>
      <c r="L13" s="783">
        <f t="shared" si="5"/>
        <v>0</v>
      </c>
    </row>
    <row r="14" spans="1:12">
      <c r="A14" s="781">
        <f>'Chi tiết-TBA'!A54</f>
        <v>2</v>
      </c>
      <c r="B14" s="784" t="str">
        <f>'Chi tiết-TBA'!B54</f>
        <v>Tủ ATS 600A(630A)</v>
      </c>
      <c r="C14" s="785" t="str">
        <f>'Chi tiết-TBA'!C54</f>
        <v>Tủ</v>
      </c>
      <c r="D14" s="781">
        <v>1</v>
      </c>
      <c r="E14" s="786">
        <f>'Chi tiết-TBA'!K54</f>
        <v>0</v>
      </c>
      <c r="F14" s="786">
        <f>'Chi tiết-TBA'!L54</f>
        <v>268962.2</v>
      </c>
      <c r="G14" s="786">
        <f>'Chi tiết-TBA'!M54</f>
        <v>1039206.2399999999</v>
      </c>
      <c r="H14" s="786">
        <f>'Chi tiết-TBA'!N54</f>
        <v>557236</v>
      </c>
      <c r="I14" s="783">
        <f t="shared" si="2"/>
        <v>0</v>
      </c>
      <c r="J14" s="783">
        <f t="shared" si="3"/>
        <v>268962.2</v>
      </c>
      <c r="K14" s="783">
        <f t="shared" si="4"/>
        <v>1039206.2399999999</v>
      </c>
      <c r="L14" s="783">
        <f t="shared" si="5"/>
        <v>557236</v>
      </c>
    </row>
    <row r="15" spans="1:12">
      <c r="A15" s="781">
        <f>'Chi tiết-TBA'!A60</f>
        <v>4</v>
      </c>
      <c r="B15" s="787" t="str">
        <f>'Chi tiết-TBA'!B60</f>
        <v>Tủ tụ bù hạ thế 120kVAr</v>
      </c>
      <c r="C15" s="788" t="str">
        <f>'Chi tiết-TBA'!C60</f>
        <v>Tủ</v>
      </c>
      <c r="D15" s="781">
        <v>1</v>
      </c>
      <c r="E15" s="786">
        <f>'Chi tiết-TBA'!K60</f>
        <v>27600000</v>
      </c>
      <c r="F15" s="786">
        <f>'Chi tiết-TBA'!L60</f>
        <v>42192.372000000003</v>
      </c>
      <c r="G15" s="786">
        <f>'Chi tiết-TBA'!M60</f>
        <v>542696.59199999995</v>
      </c>
      <c r="H15" s="786">
        <f>'Chi tiết-TBA'!N60</f>
        <v>295053.60000000003</v>
      </c>
      <c r="I15" s="783">
        <f t="shared" si="2"/>
        <v>27600000</v>
      </c>
      <c r="J15" s="783">
        <f t="shared" si="3"/>
        <v>42192.372000000003</v>
      </c>
      <c r="K15" s="783">
        <f t="shared" si="4"/>
        <v>542696.59199999995</v>
      </c>
      <c r="L15" s="783">
        <f t="shared" si="5"/>
        <v>295053.60000000003</v>
      </c>
    </row>
    <row r="16" spans="1:12">
      <c r="A16" s="781">
        <f>'Chi tiết-TBA'!A66</f>
        <v>5</v>
      </c>
      <c r="B16" s="784" t="str">
        <f>'Chi tiết-TBA'!B66</f>
        <v>Đấu nối phía trung thế trạm biến áp 3P320 kVA</v>
      </c>
      <c r="C16" s="785" t="str">
        <f>'Chi tiết-TBA'!C66</f>
        <v xml:space="preserve">tủ </v>
      </c>
      <c r="D16" s="781">
        <v>1</v>
      </c>
      <c r="E16" s="783">
        <f>'Chi tiết-TBA'!K66</f>
        <v>2362380</v>
      </c>
      <c r="F16" s="783">
        <f>'Chi tiết-TBA'!L66</f>
        <v>29000</v>
      </c>
      <c r="G16" s="783">
        <f>'Chi tiết-TBA'!M66</f>
        <v>605525.71400000004</v>
      </c>
      <c r="H16" s="783">
        <f>'Chi tiết-TBA'!N66</f>
        <v>0</v>
      </c>
      <c r="I16" s="783">
        <f t="shared" si="2"/>
        <v>2362380</v>
      </c>
      <c r="J16" s="783">
        <f t="shared" si="3"/>
        <v>29000</v>
      </c>
      <c r="K16" s="783">
        <f t="shared" si="4"/>
        <v>605525.71400000004</v>
      </c>
      <c r="L16" s="783">
        <f t="shared" si="5"/>
        <v>0</v>
      </c>
    </row>
    <row r="17" spans="1:12">
      <c r="A17" s="781">
        <f>'Chi tiết-TBA'!A74</f>
        <v>6</v>
      </c>
      <c r="B17" s="784" t="str">
        <f>'Chi tiết-TBA'!B74</f>
        <v>Đấu nối Tủ MCCB trạm biến áp 3P320 kVA</v>
      </c>
      <c r="C17" s="785" t="str">
        <f>'Chi tiết-TBA'!C74</f>
        <v xml:space="preserve">tủ </v>
      </c>
      <c r="D17" s="781">
        <v>1</v>
      </c>
      <c r="E17" s="783">
        <f>'Chi tiết-TBA'!K74</f>
        <v>28108080</v>
      </c>
      <c r="F17" s="783">
        <f>'Chi tiết-TBA'!L74</f>
        <v>2900</v>
      </c>
      <c r="G17" s="783">
        <f>'Chi tiết-TBA'!M74</f>
        <v>360326.27</v>
      </c>
      <c r="H17" s="783">
        <f>'Chi tiết-TBA'!N74</f>
        <v>0</v>
      </c>
      <c r="I17" s="783">
        <f t="shared" si="2"/>
        <v>28108080</v>
      </c>
      <c r="J17" s="783">
        <f t="shared" si="3"/>
        <v>2900</v>
      </c>
      <c r="K17" s="783">
        <f t="shared" si="4"/>
        <v>360326.27</v>
      </c>
      <c r="L17" s="783">
        <f t="shared" si="5"/>
        <v>0</v>
      </c>
    </row>
    <row r="18" spans="1:12">
      <c r="A18" s="781">
        <f>'Chi tiết-TBA'!A87</f>
        <v>7</v>
      </c>
      <c r="B18" s="784" t="str">
        <f>'Chi tiết-TBA'!B87</f>
        <v>Đấu nối Tủ MCCB phòng máy phát</v>
      </c>
      <c r="C18" s="785" t="str">
        <f>'Chi tiết-TBA'!C87</f>
        <v xml:space="preserve">tủ </v>
      </c>
      <c r="D18" s="781">
        <v>1</v>
      </c>
      <c r="E18" s="783">
        <f>'Chi tiết-TBA'!K87</f>
        <v>27183900</v>
      </c>
      <c r="F18" s="783">
        <f>'Chi tiết-TBA'!L87</f>
        <v>79750</v>
      </c>
      <c r="G18" s="783">
        <f>'Chi tiết-TBA'!M87</f>
        <v>1822484.8599999999</v>
      </c>
      <c r="H18" s="783">
        <f>'Chi tiết-TBA'!N87</f>
        <v>0</v>
      </c>
      <c r="I18" s="783">
        <f t="shared" si="2"/>
        <v>27183900</v>
      </c>
      <c r="J18" s="783">
        <f t="shared" si="3"/>
        <v>79750</v>
      </c>
      <c r="K18" s="783">
        <f t="shared" si="4"/>
        <v>1822484.8599999999</v>
      </c>
      <c r="L18" s="783">
        <f t="shared" si="5"/>
        <v>0</v>
      </c>
    </row>
    <row r="19" spans="1:12">
      <c r="A19" s="781">
        <f>'Chi tiết-TBA'!A100</f>
        <v>8</v>
      </c>
      <c r="B19" s="789" t="str">
        <f>'Chi tiết-TBA'!B100</f>
        <v>Đấu nối Tủ ATS phòng máy phát điện</v>
      </c>
      <c r="C19" s="781" t="str">
        <f>'Chi tiết-TBA'!C100</f>
        <v xml:space="preserve">tủ </v>
      </c>
      <c r="D19" s="781">
        <v>1</v>
      </c>
      <c r="E19" s="783">
        <f>'Chi tiết-TBA'!K100</f>
        <v>73017700</v>
      </c>
      <c r="F19" s="783">
        <f>'Chi tiết-TBA'!L100</f>
        <v>239250</v>
      </c>
      <c r="G19" s="783">
        <f>'Chi tiết-TBA'!M100</f>
        <v>4033734.86</v>
      </c>
      <c r="H19" s="783">
        <f>'Chi tiết-TBA'!N100</f>
        <v>0</v>
      </c>
      <c r="I19" s="783">
        <f t="shared" si="2"/>
        <v>73017700</v>
      </c>
      <c r="J19" s="783">
        <f t="shared" si="3"/>
        <v>239250</v>
      </c>
      <c r="K19" s="783">
        <f t="shared" si="4"/>
        <v>4033734.86</v>
      </c>
      <c r="L19" s="783">
        <f t="shared" si="5"/>
        <v>0</v>
      </c>
    </row>
    <row r="20" spans="1:12">
      <c r="A20" s="781">
        <f>'Chi tiết-TBA'!A113</f>
        <v>9</v>
      </c>
      <c r="B20" s="789" t="str">
        <f>'Chi tiết-TBA'!B113</f>
        <v>Đấu nối Tủ tụ bù 120kVAR</v>
      </c>
      <c r="C20" s="781" t="str">
        <f>'Chi tiết-TBA'!C113</f>
        <v xml:space="preserve">tủ </v>
      </c>
      <c r="D20" s="781">
        <v>1</v>
      </c>
      <c r="E20" s="783">
        <f>'Chi tiết-TBA'!K113</f>
        <v>7320600</v>
      </c>
      <c r="F20" s="783">
        <f>'Chi tiết-TBA'!L113</f>
        <v>0</v>
      </c>
      <c r="G20" s="783">
        <f>'Chi tiết-TBA'!M113</f>
        <v>151650.78</v>
      </c>
      <c r="H20" s="783">
        <f>'Chi tiết-TBA'!N113</f>
        <v>165843.75</v>
      </c>
      <c r="I20" s="783">
        <f t="shared" si="2"/>
        <v>7320600</v>
      </c>
      <c r="J20" s="783">
        <f t="shared" si="3"/>
        <v>0</v>
      </c>
      <c r="K20" s="783">
        <f t="shared" si="4"/>
        <v>151650.78</v>
      </c>
      <c r="L20" s="783">
        <f t="shared" si="5"/>
        <v>165843.75</v>
      </c>
    </row>
    <row r="21" spans="1:12">
      <c r="A21" s="781">
        <f>'Chi tiết-TBA'!A121</f>
        <v>10</v>
      </c>
      <c r="B21" s="784" t="str">
        <f>'Chi tiết-TBA'!B121</f>
        <v xml:space="preserve">Hệ thống tiếp địa trạm </v>
      </c>
      <c r="C21" s="785" t="str">
        <f>'Chi tiết-TBA'!C121</f>
        <v>bộ</v>
      </c>
      <c r="D21" s="785">
        <v>1</v>
      </c>
      <c r="E21" s="786">
        <f>'Chi tiết-TBA'!K121</f>
        <v>13325280.000000002</v>
      </c>
      <c r="F21" s="786">
        <f>'Chi tiết-TBA'!L121</f>
        <v>79773</v>
      </c>
      <c r="G21" s="786">
        <f>'Chi tiết-TBA'!M121</f>
        <v>5623895.7532500001</v>
      </c>
      <c r="H21" s="786">
        <f>'Chi tiết-TBA'!N121</f>
        <v>24348.825000000001</v>
      </c>
      <c r="I21" s="783">
        <f t="shared" si="2"/>
        <v>13325280.000000002</v>
      </c>
      <c r="J21" s="783">
        <f t="shared" si="3"/>
        <v>79773</v>
      </c>
      <c r="K21" s="783">
        <f t="shared" si="4"/>
        <v>5623895.7532500001</v>
      </c>
      <c r="L21" s="783">
        <f t="shared" si="5"/>
        <v>24348.825000000001</v>
      </c>
    </row>
    <row r="22" spans="1:12">
      <c r="A22" s="781">
        <f>'Chi tiết-TBA'!A131</f>
        <v>11</v>
      </c>
      <c r="B22" s="784" t="str">
        <f>'Chi tiết-TBA'!B131</f>
        <v>Tiếp địa hệ thống đo đếm</v>
      </c>
      <c r="C22" s="785" t="str">
        <f>'Chi tiết-TBA'!C131</f>
        <v>bộ</v>
      </c>
      <c r="D22" s="781">
        <v>1</v>
      </c>
      <c r="E22" s="783">
        <f>'Chi tiết-TBA'!K131</f>
        <v>1454104.0000000002</v>
      </c>
      <c r="F22" s="783">
        <f>'Chi tiết-TBA'!L131</f>
        <v>5318.2000000000007</v>
      </c>
      <c r="G22" s="783">
        <f>'Chi tiết-TBA'!M131</f>
        <v>809994.90749999997</v>
      </c>
      <c r="H22" s="783">
        <f>'Chi tiết-TBA'!N131</f>
        <v>1623.2550000000001</v>
      </c>
      <c r="I22" s="783">
        <f t="shared" si="2"/>
        <v>1454104.0000000002</v>
      </c>
      <c r="J22" s="783">
        <f t="shared" si="3"/>
        <v>5318.2000000000007</v>
      </c>
      <c r="K22" s="783">
        <f t="shared" si="4"/>
        <v>809994.90749999997</v>
      </c>
      <c r="L22" s="783">
        <f t="shared" si="5"/>
        <v>1623.2550000000001</v>
      </c>
    </row>
    <row r="23" spans="1:12">
      <c r="A23" s="781">
        <f>'Chi tiết-TBA'!A141</f>
        <v>11</v>
      </c>
      <c r="B23" s="789" t="str">
        <f>'Chi tiết-TBA'!B141</f>
        <v xml:space="preserve">Biển báo an toàn, biển tên trạm biến áp </v>
      </c>
      <c r="C23" s="781" t="str">
        <f>'Chi tiết-TBA'!C141</f>
        <v>bộ</v>
      </c>
      <c r="D23" s="781">
        <v>1</v>
      </c>
      <c r="E23" s="783">
        <f>'Chi tiết-TBA'!K141</f>
        <v>450000</v>
      </c>
      <c r="F23" s="783">
        <f>'Chi tiết-TBA'!L141</f>
        <v>0</v>
      </c>
      <c r="G23" s="783">
        <f>'Chi tiết-TBA'!M141</f>
        <v>442250</v>
      </c>
      <c r="H23" s="783">
        <f>'Chi tiết-TBA'!N141</f>
        <v>0</v>
      </c>
      <c r="I23" s="783">
        <f t="shared" si="2"/>
        <v>450000</v>
      </c>
      <c r="J23" s="783">
        <f t="shared" si="3"/>
        <v>0</v>
      </c>
      <c r="K23" s="783">
        <f t="shared" si="4"/>
        <v>442250</v>
      </c>
      <c r="L23" s="783">
        <f t="shared" si="5"/>
        <v>0</v>
      </c>
    </row>
  </sheetData>
  <conditionalFormatting sqref="A1">
    <cfRule type="expression" dxfId="494" priority="19" stopIfTrue="1">
      <formula>$F1=4</formula>
    </cfRule>
    <cfRule type="expression" dxfId="493" priority="20" stopIfTrue="1">
      <formula>$F1=3</formula>
    </cfRule>
    <cfRule type="expression" dxfId="492" priority="21" stopIfTrue="1">
      <formula>$F1=2</formula>
    </cfRule>
    <cfRule type="expression" dxfId="491" priority="22" stopIfTrue="1">
      <formula>$F1=1</formula>
    </cfRule>
  </conditionalFormatting>
  <conditionalFormatting sqref="B1:L1 A2:L23">
    <cfRule type="expression" dxfId="490" priority="15">
      <formula>#REF!=4</formula>
    </cfRule>
    <cfRule type="expression" dxfId="489" priority="16">
      <formula>#REF!=3</formula>
    </cfRule>
    <cfRule type="expression" dxfId="488" priority="17">
      <formula>#REF!=2</formula>
    </cfRule>
    <cfRule type="expression" dxfId="487" priority="18">
      <formula>#REF!=1</formula>
    </cfRule>
  </conditionalFormatting>
  <conditionalFormatting sqref="B15:C15">
    <cfRule type="expression" dxfId="486" priority="13">
      <formula>#REF!="NC"</formula>
    </cfRule>
    <cfRule type="expression" dxfId="485" priority="14">
      <formula>#REF!="VL"</formula>
    </cfRule>
  </conditionalFormatting>
  <conditionalFormatting sqref="B15:C15">
    <cfRule type="expression" dxfId="484" priority="8">
      <formula>$Z15=5</formula>
    </cfRule>
    <cfRule type="expression" dxfId="483" priority="9">
      <formula>$Z15=4</formula>
    </cfRule>
    <cfRule type="expression" dxfId="482" priority="10">
      <formula>$Z15=3</formula>
    </cfRule>
    <cfRule type="expression" dxfId="481" priority="11">
      <formula>$Z15=2</formula>
    </cfRule>
    <cfRule type="expression" dxfId="480" priority="12">
      <formula>$Z15=1</formula>
    </cfRule>
  </conditionalFormatting>
  <conditionalFormatting sqref="B15:C15">
    <cfRule type="expression" dxfId="479" priority="6">
      <formula>$D15="NC"</formula>
    </cfRule>
    <cfRule type="expression" dxfId="478" priority="7">
      <formula>$D15="VL"</formula>
    </cfRule>
  </conditionalFormatting>
  <conditionalFormatting sqref="B15:C15">
    <cfRule type="expression" dxfId="477" priority="1">
      <formula>$U15=5</formula>
    </cfRule>
    <cfRule type="expression" dxfId="476" priority="2">
      <formula>$U15=4</formula>
    </cfRule>
    <cfRule type="expression" dxfId="475" priority="3">
      <formula>$U15=3</formula>
    </cfRule>
    <cfRule type="expression" dxfId="474" priority="4">
      <formula>$U15=2</formula>
    </cfRule>
    <cfRule type="expression" dxfId="473" priority="5">
      <formula>$U15=1</formula>
    </cfRule>
  </conditionalFormatting>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8"/>
  <sheetViews>
    <sheetView workbookViewId="0">
      <selection activeCell="L33" sqref="L33"/>
    </sheetView>
  </sheetViews>
  <sheetFormatPr defaultRowHeight="15"/>
  <cols>
    <col min="1" max="1" width="4.85546875" customWidth="1"/>
    <col min="2" max="2" width="48.7109375" customWidth="1"/>
    <col min="3" max="3" width="10.85546875" customWidth="1"/>
    <col min="4" max="4" width="10.7109375" customWidth="1"/>
    <col min="5" max="5" width="12.5703125" customWidth="1"/>
  </cols>
  <sheetData>
    <row r="1" spans="1:5">
      <c r="A1" s="1295" t="s">
        <v>13139</v>
      </c>
      <c r="B1" s="1296"/>
      <c r="C1" s="1296"/>
      <c r="D1" s="1296"/>
      <c r="E1" s="1296"/>
    </row>
    <row r="2" spans="1:5" ht="15.75">
      <c r="A2" s="1297" t="s">
        <v>61</v>
      </c>
      <c r="B2" s="1297"/>
      <c r="C2" s="1297"/>
      <c r="D2" s="1297"/>
      <c r="E2" s="1298"/>
    </row>
    <row r="3" spans="1:5">
      <c r="A3" s="1299" t="s">
        <v>13109</v>
      </c>
      <c r="B3" s="1299"/>
      <c r="C3" s="1299"/>
      <c r="D3" s="1299"/>
      <c r="E3" s="1300"/>
    </row>
    <row r="4" spans="1:5">
      <c r="A4" s="1301"/>
      <c r="B4" s="1302"/>
      <c r="C4" s="1302"/>
      <c r="D4" s="1302"/>
      <c r="E4" s="1302"/>
    </row>
    <row r="5" spans="1:5">
      <c r="A5" s="1303" t="s">
        <v>0</v>
      </c>
      <c r="B5" s="1303" t="s">
        <v>1</v>
      </c>
      <c r="C5" s="1303" t="s">
        <v>2</v>
      </c>
      <c r="D5" s="1303" t="s">
        <v>3</v>
      </c>
      <c r="E5" s="1304" t="s">
        <v>34</v>
      </c>
    </row>
    <row r="6" spans="1:5">
      <c r="A6" s="675" t="s">
        <v>4</v>
      </c>
      <c r="B6" s="795" t="s">
        <v>9</v>
      </c>
      <c r="C6" s="675"/>
      <c r="D6" s="675"/>
      <c r="E6" s="794"/>
    </row>
    <row r="7" spans="1:5">
      <c r="A7" s="791">
        <v>1</v>
      </c>
      <c r="B7" s="792" t="s">
        <v>10</v>
      </c>
      <c r="C7" s="791" t="s">
        <v>11</v>
      </c>
      <c r="D7" s="791" t="s">
        <v>13125</v>
      </c>
      <c r="E7" s="1305">
        <f>ROUND(E8+E9,0)</f>
        <v>10664201</v>
      </c>
    </row>
    <row r="8" spans="1:5">
      <c r="A8" s="675"/>
      <c r="B8" s="795" t="s">
        <v>64</v>
      </c>
      <c r="C8" s="675" t="s">
        <v>65</v>
      </c>
      <c r="D8" s="675" t="s">
        <v>66</v>
      </c>
      <c r="E8" s="1306">
        <f>'VL-NC-MTC-TBA'!I7</f>
        <v>5257360</v>
      </c>
    </row>
    <row r="9" spans="1:5">
      <c r="A9" s="675"/>
      <c r="B9" s="795" t="s">
        <v>67</v>
      </c>
      <c r="C9" s="675" t="s">
        <v>68</v>
      </c>
      <c r="D9" s="675" t="s">
        <v>66</v>
      </c>
      <c r="E9" s="1306">
        <f>'VL-NC-MTC-TBA'!J7</f>
        <v>5406841</v>
      </c>
    </row>
    <row r="10" spans="1:5">
      <c r="A10" s="791">
        <v>2</v>
      </c>
      <c r="B10" s="792" t="s">
        <v>69</v>
      </c>
      <c r="C10" s="791" t="s">
        <v>12</v>
      </c>
      <c r="D10" s="791" t="s">
        <v>70</v>
      </c>
      <c r="E10" s="1305">
        <f>ROUND(E11,0)</f>
        <v>14159519</v>
      </c>
    </row>
    <row r="11" spans="1:5">
      <c r="A11" s="675"/>
      <c r="B11" s="795" t="s">
        <v>13110</v>
      </c>
      <c r="C11" s="675" t="s">
        <v>70</v>
      </c>
      <c r="D11" s="675" t="s">
        <v>66</v>
      </c>
      <c r="E11" s="1306">
        <f>'VL-NC-MTC-TBA'!K7</f>
        <v>14159519.092</v>
      </c>
    </row>
    <row r="12" spans="1:5">
      <c r="A12" s="791">
        <v>3</v>
      </c>
      <c r="B12" s="792" t="s">
        <v>73</v>
      </c>
      <c r="C12" s="791" t="s">
        <v>13</v>
      </c>
      <c r="D12" s="791" t="s">
        <v>74</v>
      </c>
      <c r="E12" s="1305">
        <f>ROUND(E13,0)</f>
        <v>2326502</v>
      </c>
    </row>
    <row r="13" spans="1:5">
      <c r="A13" s="675"/>
      <c r="B13" s="795" t="s">
        <v>13111</v>
      </c>
      <c r="C13" s="675" t="s">
        <v>74</v>
      </c>
      <c r="D13" s="675" t="s">
        <v>66</v>
      </c>
      <c r="E13" s="1306">
        <f>'VL-NC-MTC-TBA'!L7</f>
        <v>2326501.9800000004</v>
      </c>
    </row>
    <row r="14" spans="1:5">
      <c r="A14" s="1307"/>
      <c r="B14" s="1308" t="s">
        <v>12943</v>
      </c>
      <c r="C14" s="1307" t="s">
        <v>14</v>
      </c>
      <c r="D14" s="1307" t="s">
        <v>12670</v>
      </c>
      <c r="E14" s="1309">
        <f>ROUND(E7+E10+E12,0)</f>
        <v>27150222</v>
      </c>
    </row>
    <row r="15" spans="1:5">
      <c r="A15" s="675" t="s">
        <v>6</v>
      </c>
      <c r="B15" s="795" t="s">
        <v>12681</v>
      </c>
      <c r="C15" s="675"/>
      <c r="D15" s="675"/>
      <c r="E15" s="794"/>
    </row>
    <row r="16" spans="1:5">
      <c r="A16" s="675">
        <v>1</v>
      </c>
      <c r="B16" s="795" t="s">
        <v>79</v>
      </c>
      <c r="C16" s="675" t="s">
        <v>15</v>
      </c>
      <c r="D16" s="675" t="s">
        <v>80</v>
      </c>
      <c r="E16" s="794">
        <f>ROUND(65*E10/100,0)</f>
        <v>9203687</v>
      </c>
    </row>
    <row r="17" spans="1:5">
      <c r="A17" s="675">
        <v>2</v>
      </c>
      <c r="B17" s="795" t="s">
        <v>12683</v>
      </c>
      <c r="C17" s="675" t="s">
        <v>82</v>
      </c>
      <c r="D17" s="675" t="s">
        <v>13112</v>
      </c>
      <c r="E17" s="794">
        <f>ROUND(1.1*E14/100,0)</f>
        <v>298652</v>
      </c>
    </row>
    <row r="18" spans="1:5" ht="25.5">
      <c r="A18" s="675">
        <v>3</v>
      </c>
      <c r="B18" s="1310" t="s">
        <v>12685</v>
      </c>
      <c r="C18" s="675" t="s">
        <v>84</v>
      </c>
      <c r="D18" s="675" t="s">
        <v>13113</v>
      </c>
      <c r="E18" s="794">
        <f>ROUND(2*E14/100,0)</f>
        <v>543004</v>
      </c>
    </row>
    <row r="19" spans="1:5">
      <c r="A19" s="1307"/>
      <c r="B19" s="1308" t="s">
        <v>12944</v>
      </c>
      <c r="C19" s="1307" t="s">
        <v>77</v>
      </c>
      <c r="D19" s="1307" t="s">
        <v>78</v>
      </c>
      <c r="E19" s="1309">
        <f>ROUND(SUM(E16:E18),0)</f>
        <v>10045343</v>
      </c>
    </row>
    <row r="20" spans="1:5">
      <c r="A20" s="675" t="s">
        <v>7</v>
      </c>
      <c r="B20" s="795" t="s">
        <v>16</v>
      </c>
      <c r="C20" s="675" t="s">
        <v>17</v>
      </c>
      <c r="D20" s="675" t="s">
        <v>86</v>
      </c>
      <c r="E20" s="794">
        <f>ROUND(6%*(E14+E19),0)</f>
        <v>2231734</v>
      </c>
    </row>
    <row r="21" spans="1:5">
      <c r="A21" s="675"/>
      <c r="B21" s="795" t="s">
        <v>87</v>
      </c>
      <c r="C21" s="675" t="s">
        <v>18</v>
      </c>
      <c r="D21" s="675" t="s">
        <v>13114</v>
      </c>
      <c r="E21" s="794">
        <f>ROUND(E14+E19+E20,0)</f>
        <v>39427299</v>
      </c>
    </row>
    <row r="22" spans="1:5">
      <c r="A22" s="675" t="s">
        <v>8</v>
      </c>
      <c r="B22" s="795" t="s">
        <v>88</v>
      </c>
      <c r="C22" s="675" t="s">
        <v>19</v>
      </c>
      <c r="D22" s="675" t="s">
        <v>3735</v>
      </c>
      <c r="E22" s="794">
        <f>ROUND(8*E21/100,0)</f>
        <v>3154184</v>
      </c>
    </row>
    <row r="23" spans="1:5">
      <c r="A23" s="1307"/>
      <c r="B23" s="1308" t="s">
        <v>20</v>
      </c>
      <c r="C23" s="1307" t="s">
        <v>13115</v>
      </c>
      <c r="D23" s="1307" t="s">
        <v>92</v>
      </c>
      <c r="E23" s="1309">
        <f>ROUND(SUM(E21:E22),0)</f>
        <v>42581483</v>
      </c>
    </row>
    <row r="24" spans="1:5">
      <c r="A24" s="1296"/>
      <c r="B24" s="1296"/>
      <c r="C24" s="1296"/>
      <c r="D24" s="1296"/>
      <c r="E24" s="1296"/>
    </row>
    <row r="25" spans="1:5">
      <c r="A25" s="1296"/>
      <c r="B25" s="1296"/>
      <c r="C25" s="1296"/>
      <c r="D25" s="1296"/>
      <c r="E25" s="1296"/>
    </row>
    <row r="26" spans="1:5">
      <c r="A26" s="1295" t="s">
        <v>13140</v>
      </c>
      <c r="B26" s="1296"/>
      <c r="C26" s="1296"/>
      <c r="D26" s="1296"/>
      <c r="E26" s="1296"/>
    </row>
    <row r="27" spans="1:5" ht="15.75">
      <c r="A27" s="1297" t="s">
        <v>61</v>
      </c>
      <c r="B27" s="1297"/>
      <c r="C27" s="1297"/>
      <c r="D27" s="1297"/>
      <c r="E27" s="1298"/>
    </row>
    <row r="28" spans="1:5">
      <c r="A28" s="1299" t="s">
        <v>13116</v>
      </c>
      <c r="B28" s="1299"/>
      <c r="C28" s="1299"/>
      <c r="D28" s="1299"/>
      <c r="E28" s="1300"/>
    </row>
    <row r="29" spans="1:5">
      <c r="A29" s="1301"/>
      <c r="B29" s="1302"/>
      <c r="C29" s="1302"/>
      <c r="D29" s="1302"/>
      <c r="E29" s="1302"/>
    </row>
    <row r="30" spans="1:5">
      <c r="A30" s="1303" t="s">
        <v>0</v>
      </c>
      <c r="B30" s="1303" t="s">
        <v>1</v>
      </c>
      <c r="C30" s="1303" t="s">
        <v>2</v>
      </c>
      <c r="D30" s="1303" t="s">
        <v>3</v>
      </c>
      <c r="E30" s="1304" t="s">
        <v>34</v>
      </c>
    </row>
    <row r="31" spans="1:5">
      <c r="A31" s="675" t="s">
        <v>4</v>
      </c>
      <c r="B31" s="795" t="s">
        <v>9</v>
      </c>
      <c r="C31" s="675"/>
      <c r="D31" s="675"/>
      <c r="E31" s="794"/>
    </row>
    <row r="32" spans="1:5">
      <c r="A32" s="791">
        <v>1</v>
      </c>
      <c r="B32" s="792" t="s">
        <v>10</v>
      </c>
      <c r="C32" s="791" t="s">
        <v>11</v>
      </c>
      <c r="D32" s="791" t="s">
        <v>65</v>
      </c>
      <c r="E32" s="1305">
        <f>ROUND(E33,0)</f>
        <v>491103</v>
      </c>
    </row>
    <row r="33" spans="1:5">
      <c r="A33" s="675"/>
      <c r="B33" s="795" t="s">
        <v>64</v>
      </c>
      <c r="C33" s="675" t="s">
        <v>65</v>
      </c>
      <c r="D33" s="675" t="s">
        <v>66</v>
      </c>
      <c r="E33" s="794">
        <f>ChitietTNHCTBA!H17</f>
        <v>491102.86400000006</v>
      </c>
    </row>
    <row r="34" spans="1:5">
      <c r="A34" s="675"/>
      <c r="B34" s="795" t="s">
        <v>64</v>
      </c>
      <c r="C34" s="675" t="s">
        <v>68</v>
      </c>
      <c r="D34" s="675"/>
      <c r="E34" s="794"/>
    </row>
    <row r="35" spans="1:5">
      <c r="A35" s="791">
        <v>2</v>
      </c>
      <c r="B35" s="792" t="s">
        <v>69</v>
      </c>
      <c r="C35" s="791" t="s">
        <v>12</v>
      </c>
      <c r="D35" s="791" t="s">
        <v>70</v>
      </c>
      <c r="E35" s="1305">
        <f>ROUND(E36,0)</f>
        <v>6025361</v>
      </c>
    </row>
    <row r="36" spans="1:5">
      <c r="A36" s="675"/>
      <c r="B36" s="795" t="s">
        <v>13117</v>
      </c>
      <c r="C36" s="675" t="s">
        <v>70</v>
      </c>
      <c r="D36" s="675" t="s">
        <v>66</v>
      </c>
      <c r="E36" s="794">
        <f>ChitietTNHCTBA!I17</f>
        <v>6025361.1999999993</v>
      </c>
    </row>
    <row r="37" spans="1:5">
      <c r="A37" s="791">
        <v>3</v>
      </c>
      <c r="B37" s="792" t="s">
        <v>73</v>
      </c>
      <c r="C37" s="791" t="s">
        <v>13</v>
      </c>
      <c r="D37" s="791" t="s">
        <v>74</v>
      </c>
      <c r="E37" s="1305">
        <f>ROUND(E38,0)</f>
        <v>1618936</v>
      </c>
    </row>
    <row r="38" spans="1:5">
      <c r="A38" s="675"/>
      <c r="B38" s="795" t="s">
        <v>13118</v>
      </c>
      <c r="C38" s="675" t="s">
        <v>74</v>
      </c>
      <c r="D38" s="675" t="s">
        <v>66</v>
      </c>
      <c r="E38" s="794">
        <f>ChitietTNHCTBA!J17</f>
        <v>1618935.5191559999</v>
      </c>
    </row>
    <row r="39" spans="1:5">
      <c r="A39" s="1307"/>
      <c r="B39" s="1308" t="s">
        <v>12943</v>
      </c>
      <c r="C39" s="1307" t="s">
        <v>14</v>
      </c>
      <c r="D39" s="1307" t="s">
        <v>12670</v>
      </c>
      <c r="E39" s="1309">
        <f>ROUND(E32+E35+E37,0)</f>
        <v>8135400</v>
      </c>
    </row>
    <row r="40" spans="1:5">
      <c r="A40" s="675" t="s">
        <v>6</v>
      </c>
      <c r="B40" s="795" t="s">
        <v>12681</v>
      </c>
      <c r="C40" s="675"/>
      <c r="D40" s="675"/>
      <c r="E40" s="794"/>
    </row>
    <row r="41" spans="1:5">
      <c r="A41" s="675">
        <v>1</v>
      </c>
      <c r="B41" s="795" t="s">
        <v>79</v>
      </c>
      <c r="C41" s="675" t="s">
        <v>15</v>
      </c>
      <c r="D41" s="675" t="s">
        <v>80</v>
      </c>
      <c r="E41" s="794">
        <f>ROUND(65*E35/100,0)</f>
        <v>3916485</v>
      </c>
    </row>
    <row r="42" spans="1:5">
      <c r="A42" s="675">
        <v>2</v>
      </c>
      <c r="B42" s="795" t="s">
        <v>12683</v>
      </c>
      <c r="C42" s="675" t="s">
        <v>82</v>
      </c>
      <c r="D42" s="675" t="s">
        <v>13112</v>
      </c>
      <c r="E42" s="794">
        <f>ROUND(1.1*E39/100,0)</f>
        <v>89489</v>
      </c>
    </row>
    <row r="43" spans="1:5" ht="25.5">
      <c r="A43" s="675">
        <v>3</v>
      </c>
      <c r="B43" s="1310" t="s">
        <v>12685</v>
      </c>
      <c r="C43" s="675" t="s">
        <v>84</v>
      </c>
      <c r="D43" s="675" t="s">
        <v>13113</v>
      </c>
      <c r="E43" s="794">
        <f>ROUND(2*E39/100,0)</f>
        <v>162708</v>
      </c>
    </row>
    <row r="44" spans="1:5">
      <c r="A44" s="1307"/>
      <c r="B44" s="1308" t="s">
        <v>12944</v>
      </c>
      <c r="C44" s="1307" t="s">
        <v>77</v>
      </c>
      <c r="D44" s="1307" t="s">
        <v>78</v>
      </c>
      <c r="E44" s="1309">
        <f>ROUND(SUM(E41:E43),0)</f>
        <v>4168682</v>
      </c>
    </row>
    <row r="45" spans="1:5">
      <c r="A45" s="675" t="s">
        <v>7</v>
      </c>
      <c r="B45" s="795" t="s">
        <v>16</v>
      </c>
      <c r="C45" s="675" t="s">
        <v>17</v>
      </c>
      <c r="D45" s="675" t="s">
        <v>86</v>
      </c>
      <c r="E45" s="794">
        <f>ROUND(6%*(E39+E44),0)</f>
        <v>738245</v>
      </c>
    </row>
    <row r="46" spans="1:5">
      <c r="A46" s="675"/>
      <c r="B46" s="795" t="s">
        <v>87</v>
      </c>
      <c r="C46" s="675" t="s">
        <v>18</v>
      </c>
      <c r="D46" s="675" t="s">
        <v>13114</v>
      </c>
      <c r="E46" s="794">
        <f>ROUND(E39+E44+E45,0)</f>
        <v>13042327</v>
      </c>
    </row>
    <row r="47" spans="1:5">
      <c r="A47" s="675" t="s">
        <v>8</v>
      </c>
      <c r="B47" s="795" t="s">
        <v>88</v>
      </c>
      <c r="C47" s="675" t="s">
        <v>19</v>
      </c>
      <c r="D47" s="675" t="s">
        <v>3735</v>
      </c>
      <c r="E47" s="794">
        <f>ROUND(8*E46/100,0)</f>
        <v>1043386</v>
      </c>
    </row>
    <row r="48" spans="1:5">
      <c r="A48" s="1307"/>
      <c r="B48" s="1308" t="s">
        <v>20</v>
      </c>
      <c r="C48" s="1307" t="s">
        <v>13119</v>
      </c>
      <c r="D48" s="1307" t="s">
        <v>92</v>
      </c>
      <c r="E48" s="1309">
        <f>ROUND(SUM(E46:E47),0)</f>
        <v>14085713</v>
      </c>
    </row>
  </sheetData>
  <conditionalFormatting sqref="E13">
    <cfRule type="expression" dxfId="472" priority="1" stopIfTrue="1">
      <formula>$H13=4</formula>
    </cfRule>
    <cfRule type="expression" dxfId="471" priority="2" stopIfTrue="1">
      <formula>$H13=3</formula>
    </cfRule>
    <cfRule type="expression" dxfId="470" priority="3" stopIfTrue="1">
      <formula>$H13=2</formula>
    </cfRule>
    <cfRule type="expression" dxfId="469" priority="4" stopIfTrue="1">
      <formula>$H13=1</formula>
    </cfRule>
  </conditionalFormatting>
  <conditionalFormatting sqref="A2:E3 A5:E7 A10:E10 A12:E12 A11:D11 A14:E23 A13:D13 A8:D9">
    <cfRule type="expression" dxfId="468" priority="25" stopIfTrue="1">
      <formula>$H2=4</formula>
    </cfRule>
    <cfRule type="expression" dxfId="467" priority="26" stopIfTrue="1">
      <formula>$H2=3</formula>
    </cfRule>
    <cfRule type="expression" dxfId="466" priority="27" stopIfTrue="1">
      <formula>$H2=2</formula>
    </cfRule>
    <cfRule type="expression" dxfId="465" priority="28" stopIfTrue="1">
      <formula>$H2=1</formula>
    </cfRule>
  </conditionalFormatting>
  <conditionalFormatting sqref="A27:E28 A30:E48">
    <cfRule type="expression" dxfId="464" priority="21" stopIfTrue="1">
      <formula>$H27=4</formula>
    </cfRule>
    <cfRule type="expression" dxfId="463" priority="22" stopIfTrue="1">
      <formula>$H27=3</formula>
    </cfRule>
    <cfRule type="expression" dxfId="462" priority="23" stopIfTrue="1">
      <formula>$H27=2</formula>
    </cfRule>
    <cfRule type="expression" dxfId="461" priority="24" stopIfTrue="1">
      <formula>$H27=1</formula>
    </cfRule>
  </conditionalFormatting>
  <conditionalFormatting sqref="A1">
    <cfRule type="expression" dxfId="460" priority="17" stopIfTrue="1">
      <formula>$H1=4</formula>
    </cfRule>
    <cfRule type="expression" dxfId="459" priority="18" stopIfTrue="1">
      <formula>$H1=3</formula>
    </cfRule>
    <cfRule type="expression" dxfId="458" priority="19" stopIfTrue="1">
      <formula>$H1=2</formula>
    </cfRule>
    <cfRule type="expression" dxfId="457" priority="20" stopIfTrue="1">
      <formula>$H1=1</formula>
    </cfRule>
  </conditionalFormatting>
  <conditionalFormatting sqref="A26">
    <cfRule type="expression" dxfId="456" priority="13" stopIfTrue="1">
      <formula>$H26=4</formula>
    </cfRule>
    <cfRule type="expression" dxfId="455" priority="14" stopIfTrue="1">
      <formula>$H26=3</formula>
    </cfRule>
    <cfRule type="expression" dxfId="454" priority="15" stopIfTrue="1">
      <formula>$H26=2</formula>
    </cfRule>
    <cfRule type="expression" dxfId="453" priority="16" stopIfTrue="1">
      <formula>$H26=1</formula>
    </cfRule>
  </conditionalFormatting>
  <conditionalFormatting sqref="E8:E9">
    <cfRule type="expression" dxfId="452" priority="9" stopIfTrue="1">
      <formula>$H8=4</formula>
    </cfRule>
    <cfRule type="expression" dxfId="451" priority="10" stopIfTrue="1">
      <formula>$H8=3</formula>
    </cfRule>
    <cfRule type="expression" dxfId="450" priority="11" stopIfTrue="1">
      <formula>$H8=2</formula>
    </cfRule>
    <cfRule type="expression" dxfId="449" priority="12" stopIfTrue="1">
      <formula>$H8=1</formula>
    </cfRule>
  </conditionalFormatting>
  <conditionalFormatting sqref="E11">
    <cfRule type="expression" dxfId="448" priority="5" stopIfTrue="1">
      <formula>$H11=4</formula>
    </cfRule>
    <cfRule type="expression" dxfId="447" priority="6" stopIfTrue="1">
      <formula>$H11=3</formula>
    </cfRule>
    <cfRule type="expression" dxfId="446" priority="7" stopIfTrue="1">
      <formula>$H11=2</formula>
    </cfRule>
    <cfRule type="expression" dxfId="445" priority="8" stopIfTrue="1">
      <formula>$H11=1</formula>
    </cfRule>
  </conditionalFormatting>
  <pageMargins left="0.7" right="0.44" top="0.75" bottom="0.75" header="0.3" footer="0.3"/>
  <pageSetup paperSize="9" orientation="portrait" verticalDpi="0"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4"/>
  <sheetViews>
    <sheetView workbookViewId="0">
      <selection activeCell="G28" sqref="G28"/>
    </sheetView>
  </sheetViews>
  <sheetFormatPr defaultRowHeight="15"/>
  <cols>
    <col min="1" max="1" width="7.7109375" customWidth="1"/>
    <col min="2" max="2" width="39.5703125" bestFit="1" customWidth="1"/>
    <col min="3" max="3" width="13" customWidth="1"/>
    <col min="4" max="4" width="29.85546875" customWidth="1"/>
    <col min="5" max="5" width="21.42578125" customWidth="1"/>
    <col min="6" max="6" width="10.7109375" bestFit="1" customWidth="1"/>
  </cols>
  <sheetData>
    <row r="1" spans="1:6" ht="15.75">
      <c r="A1" s="1542" t="s">
        <v>3164</v>
      </c>
      <c r="B1" s="1542"/>
      <c r="C1" s="847"/>
      <c r="D1" s="847"/>
      <c r="E1" s="847"/>
      <c r="F1" s="847"/>
    </row>
    <row r="2" spans="1:6" ht="15.75">
      <c r="A2" s="1543" t="s">
        <v>61</v>
      </c>
      <c r="B2" s="1543"/>
      <c r="C2" s="1543"/>
      <c r="D2" s="1543"/>
      <c r="E2" s="1543"/>
      <c r="F2" s="1543"/>
    </row>
    <row r="3" spans="1:6" ht="15.75">
      <c r="A3" s="1543"/>
      <c r="B3" s="1543"/>
      <c r="C3" s="1543"/>
      <c r="D3" s="1543"/>
      <c r="E3" s="1543"/>
      <c r="F3" s="1543"/>
    </row>
    <row r="4" spans="1:6" ht="15.75">
      <c r="A4" s="1544"/>
      <c r="B4" s="1544"/>
      <c r="C4" s="1544"/>
      <c r="D4" s="1544"/>
      <c r="E4" s="1544"/>
      <c r="F4" s="1544"/>
    </row>
    <row r="5" spans="1:6" ht="15.75">
      <c r="A5" s="1169"/>
      <c r="B5" s="1170"/>
      <c r="C5" s="1171"/>
      <c r="D5" s="1171"/>
      <c r="E5" s="847"/>
      <c r="F5" s="847"/>
    </row>
    <row r="6" spans="1:6" ht="15.75">
      <c r="A6" s="1172" t="s">
        <v>0</v>
      </c>
      <c r="B6" s="1173" t="s">
        <v>1</v>
      </c>
      <c r="C6" s="1172" t="s">
        <v>2</v>
      </c>
      <c r="D6" s="1172" t="s">
        <v>3</v>
      </c>
      <c r="E6" s="1174" t="s">
        <v>3848</v>
      </c>
      <c r="F6" s="483" t="s">
        <v>2710</v>
      </c>
    </row>
    <row r="7" spans="1:6" ht="15.75">
      <c r="A7" s="1175" t="s">
        <v>4</v>
      </c>
      <c r="B7" s="1176" t="s">
        <v>3874</v>
      </c>
      <c r="C7" s="1175" t="s">
        <v>3876</v>
      </c>
      <c r="D7" s="1175" t="s">
        <v>90</v>
      </c>
      <c r="E7" s="1177">
        <f>E22+E23</f>
        <v>275119048.05852371</v>
      </c>
      <c r="F7" s="1178"/>
    </row>
    <row r="8" spans="1:6" ht="15.75">
      <c r="A8" s="1175">
        <v>1</v>
      </c>
      <c r="B8" s="1179" t="s">
        <v>9</v>
      </c>
      <c r="C8" s="1175" t="s">
        <v>14</v>
      </c>
      <c r="D8" s="1175" t="s">
        <v>12670</v>
      </c>
      <c r="E8" s="1177">
        <f>E9+E13+E15</f>
        <v>222710465.61875001</v>
      </c>
      <c r="F8" s="1178"/>
    </row>
    <row r="9" spans="1:6" ht="15.75">
      <c r="A9" s="1175" t="s">
        <v>12671</v>
      </c>
      <c r="B9" s="1179" t="s">
        <v>10</v>
      </c>
      <c r="C9" s="1175" t="s">
        <v>11</v>
      </c>
      <c r="D9" s="1175" t="s">
        <v>12672</v>
      </c>
      <c r="E9" s="1177">
        <f>E10+E12</f>
        <v>204638151.972</v>
      </c>
      <c r="F9" s="1178"/>
    </row>
    <row r="10" spans="1:6" ht="15.75">
      <c r="A10" s="831"/>
      <c r="B10" s="1180" t="s">
        <v>12673</v>
      </c>
      <c r="C10" s="1181" t="s">
        <v>65</v>
      </c>
      <c r="D10" s="1181" t="s">
        <v>12674</v>
      </c>
      <c r="E10" s="1182">
        <f>+E11</f>
        <v>203622044</v>
      </c>
      <c r="F10" s="462"/>
    </row>
    <row r="11" spans="1:6" ht="15.75">
      <c r="A11" s="831"/>
      <c r="B11" s="1183" t="s">
        <v>12688</v>
      </c>
      <c r="C11" s="1181" t="s">
        <v>12675</v>
      </c>
      <c r="D11" s="1181" t="s">
        <v>3333</v>
      </c>
      <c r="E11" s="1182">
        <f>'VL-NC-MTC-TBA'!I11</f>
        <v>203622044</v>
      </c>
      <c r="F11" s="462"/>
    </row>
    <row r="12" spans="1:6" ht="15.75">
      <c r="A12" s="831"/>
      <c r="B12" s="1180" t="s">
        <v>3913</v>
      </c>
      <c r="C12" s="1181" t="s">
        <v>68</v>
      </c>
      <c r="D12" s="1184" t="s">
        <v>12676</v>
      </c>
      <c r="E12" s="1182">
        <f>'VL-NC-MTC-TBA'!J11</f>
        <v>1016107.972</v>
      </c>
      <c r="F12" s="462"/>
    </row>
    <row r="13" spans="1:6" ht="15.75">
      <c r="A13" s="831" t="s">
        <v>12677</v>
      </c>
      <c r="B13" s="841" t="s">
        <v>69</v>
      </c>
      <c r="C13" s="831" t="s">
        <v>12</v>
      </c>
      <c r="D13" s="831" t="s">
        <v>3557</v>
      </c>
      <c r="E13" s="1185">
        <f>SUM(E14:E14)</f>
        <v>16470972.216749998</v>
      </c>
      <c r="F13" s="462"/>
    </row>
    <row r="14" spans="1:6" ht="15.75">
      <c r="A14" s="831"/>
      <c r="B14" s="1180" t="s">
        <v>12678</v>
      </c>
      <c r="C14" s="1181" t="s">
        <v>70</v>
      </c>
      <c r="D14" s="1184" t="s">
        <v>12676</v>
      </c>
      <c r="E14" s="1182">
        <f>'VL-NC-MTC-TBA'!K11</f>
        <v>16470972.216749998</v>
      </c>
      <c r="F14" s="462"/>
    </row>
    <row r="15" spans="1:6" ht="15.75">
      <c r="A15" s="831" t="s">
        <v>12679</v>
      </c>
      <c r="B15" s="841" t="s">
        <v>73</v>
      </c>
      <c r="C15" s="831" t="s">
        <v>13</v>
      </c>
      <c r="D15" s="831" t="s">
        <v>3560</v>
      </c>
      <c r="E15" s="1185">
        <f>SUM(E16:E16)</f>
        <v>1601341.43</v>
      </c>
      <c r="F15" s="462"/>
    </row>
    <row r="16" spans="1:6" ht="15.75">
      <c r="A16" s="831"/>
      <c r="B16" s="1180" t="s">
        <v>12680</v>
      </c>
      <c r="C16" s="1181" t="s">
        <v>74</v>
      </c>
      <c r="D16" s="1184" t="s">
        <v>12676</v>
      </c>
      <c r="E16" s="1182">
        <f>'VL-NC-MTC-TBA'!L11</f>
        <v>1601341.43</v>
      </c>
      <c r="F16" s="462"/>
    </row>
    <row r="17" spans="1:6" ht="15.75">
      <c r="A17" s="1175">
        <v>2</v>
      </c>
      <c r="B17" s="1179" t="s">
        <v>12681</v>
      </c>
      <c r="C17" s="1175" t="s">
        <v>77</v>
      </c>
      <c r="D17" s="1175" t="s">
        <v>78</v>
      </c>
      <c r="E17" s="1177">
        <f>E18+E19+E20</f>
        <v>17610156.37506875</v>
      </c>
      <c r="F17" s="1178"/>
    </row>
    <row r="18" spans="1:6" ht="15.75">
      <c r="A18" s="831"/>
      <c r="B18" s="841" t="s">
        <v>79</v>
      </c>
      <c r="C18" s="831" t="s">
        <v>15</v>
      </c>
      <c r="D18" s="831" t="s">
        <v>12682</v>
      </c>
      <c r="E18" s="1185">
        <f>65%*E13</f>
        <v>10706131.9408875</v>
      </c>
      <c r="F18" s="462"/>
    </row>
    <row r="19" spans="1:6" ht="15.75">
      <c r="A19" s="831"/>
      <c r="B19" s="841" t="s">
        <v>12683</v>
      </c>
      <c r="C19" s="831" t="s">
        <v>82</v>
      </c>
      <c r="D19" s="831" t="s">
        <v>12684</v>
      </c>
      <c r="E19" s="1185">
        <f>E8*1.1%</f>
        <v>2449815.1218062504</v>
      </c>
      <c r="F19" s="462"/>
    </row>
    <row r="20" spans="1:6" ht="31.5">
      <c r="A20" s="831"/>
      <c r="B20" s="841" t="s">
        <v>12685</v>
      </c>
      <c r="C20" s="831" t="s">
        <v>84</v>
      </c>
      <c r="D20" s="831" t="s">
        <v>12686</v>
      </c>
      <c r="E20" s="1185">
        <f>E8*2%</f>
        <v>4454209.3123749997</v>
      </c>
      <c r="F20" s="462"/>
    </row>
    <row r="21" spans="1:6" ht="31.5">
      <c r="A21" s="1175">
        <v>3</v>
      </c>
      <c r="B21" s="1179" t="s">
        <v>16</v>
      </c>
      <c r="C21" s="1175" t="s">
        <v>17</v>
      </c>
      <c r="D21" s="1175" t="s">
        <v>12687</v>
      </c>
      <c r="E21" s="1177">
        <f>(E8+E17)*6%</f>
        <v>14419237.319629125</v>
      </c>
      <c r="F21" s="462"/>
    </row>
    <row r="22" spans="1:6" ht="15.75">
      <c r="A22" s="831">
        <v>1</v>
      </c>
      <c r="B22" s="841" t="s">
        <v>87</v>
      </c>
      <c r="C22" s="831" t="s">
        <v>18</v>
      </c>
      <c r="D22" s="831" t="s">
        <v>91</v>
      </c>
      <c r="E22" s="1185">
        <f>E8+E17+E21</f>
        <v>254739859.31344789</v>
      </c>
      <c r="F22" s="462"/>
    </row>
    <row r="23" spans="1:6" ht="15.75">
      <c r="A23" s="842">
        <v>4</v>
      </c>
      <c r="B23" s="1186" t="s">
        <v>12689</v>
      </c>
      <c r="C23" s="842" t="s">
        <v>19</v>
      </c>
      <c r="D23" s="832" t="s">
        <v>12690</v>
      </c>
      <c r="E23" s="1185">
        <f>E22*8%</f>
        <v>20379188.745075833</v>
      </c>
      <c r="F23" s="462"/>
    </row>
    <row r="24" spans="1:6" ht="15.75">
      <c r="A24" s="801"/>
      <c r="B24" s="819" t="s">
        <v>89</v>
      </c>
      <c r="C24" s="801" t="s">
        <v>3840</v>
      </c>
      <c r="D24" s="801" t="s">
        <v>90</v>
      </c>
      <c r="E24" s="820">
        <f>+E23+E22</f>
        <v>275119048.05852371</v>
      </c>
      <c r="F24" s="1178"/>
    </row>
  </sheetData>
  <mergeCells count="4">
    <mergeCell ref="A1:B1"/>
    <mergeCell ref="A2:F2"/>
    <mergeCell ref="A3:F3"/>
    <mergeCell ref="A4:F4"/>
  </mergeCells>
  <conditionalFormatting sqref="B19:B20">
    <cfRule type="expression" dxfId="444" priority="5" stopIfTrue="1">
      <formula>#REF!=4</formula>
    </cfRule>
    <cfRule type="expression" dxfId="443" priority="6" stopIfTrue="1">
      <formula>#REF!=3</formula>
    </cfRule>
    <cfRule type="expression" dxfId="442" priority="7" stopIfTrue="1">
      <formula>#REF!=2</formula>
    </cfRule>
    <cfRule type="expression" dxfId="441" priority="8" stopIfTrue="1">
      <formula>#REF!=1</formula>
    </cfRule>
  </conditionalFormatting>
  <conditionalFormatting sqref="A24:E24">
    <cfRule type="expression" dxfId="440" priority="1" stopIfTrue="1">
      <formula>#REF!=4</formula>
    </cfRule>
    <cfRule type="expression" dxfId="439" priority="2" stopIfTrue="1">
      <formula>#REF!=3</formula>
    </cfRule>
    <cfRule type="expression" dxfId="438" priority="3" stopIfTrue="1">
      <formula>#REF!=2</formula>
    </cfRule>
    <cfRule type="expression" dxfId="437" priority="4" stopIfTrue="1">
      <formula>#REF!=1</formula>
    </cfRule>
  </conditionalFormatting>
  <pageMargins left="0.7" right="0.7" top="0.75" bottom="0.75" header="0.3" footer="0.3"/>
  <pageSetup paperSize="9" orientation="landscape" verticalDpi="0"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46"/>
  <sheetViews>
    <sheetView workbookViewId="0">
      <pane ySplit="7" topLeftCell="A8" activePane="bottomLeft" state="frozen"/>
      <selection pane="bottomLeft" activeCell="E78" sqref="E78"/>
    </sheetView>
  </sheetViews>
  <sheetFormatPr defaultColWidth="8.85546875" defaultRowHeight="15"/>
  <cols>
    <col min="1" max="1" width="9" style="1329" customWidth="1"/>
    <col min="2" max="2" width="44.42578125" style="1329" customWidth="1"/>
    <col min="3" max="3" width="7.42578125" style="1329" bestFit="1" customWidth="1"/>
    <col min="4" max="4" width="9.42578125" style="1329" customWidth="1"/>
    <col min="5" max="5" width="12.140625" style="1329" customWidth="1"/>
    <col min="6" max="6" width="10.85546875" style="1329" customWidth="1"/>
    <col min="7" max="8" width="11.42578125" style="1329" customWidth="1"/>
    <col min="9" max="10" width="8.5703125" style="1329" customWidth="1"/>
    <col min="11" max="11" width="15.42578125" style="1329" customWidth="1"/>
    <col min="12" max="12" width="13.7109375" style="1329" customWidth="1"/>
    <col min="13" max="13" width="12.5703125" style="1329" customWidth="1"/>
    <col min="14" max="14" width="10.85546875" style="1329" customWidth="1"/>
    <col min="15" max="16384" width="8.85546875" style="1329"/>
  </cols>
  <sheetData>
    <row r="1" spans="1:14" ht="15.75">
      <c r="A1" s="1324" t="s">
        <v>3739</v>
      </c>
      <c r="B1" s="1325"/>
      <c r="C1" s="1325"/>
      <c r="D1" s="1326"/>
      <c r="E1" s="1327"/>
      <c r="F1" s="1327"/>
      <c r="G1" s="1327"/>
      <c r="H1" s="1327"/>
      <c r="I1" s="1328"/>
      <c r="J1" s="1328"/>
      <c r="K1" s="1327"/>
      <c r="L1" s="1327"/>
      <c r="M1" s="1327"/>
      <c r="N1" s="1327"/>
    </row>
    <row r="2" spans="1:14" ht="15.75">
      <c r="A2" s="1545" t="s">
        <v>96</v>
      </c>
      <c r="B2" s="1545"/>
      <c r="C2" s="1545"/>
      <c r="D2" s="1545"/>
      <c r="E2" s="1545"/>
      <c r="F2" s="1545"/>
      <c r="G2" s="1545"/>
      <c r="H2" s="1545"/>
      <c r="I2" s="1545"/>
      <c r="J2" s="1545"/>
      <c r="K2" s="1545"/>
      <c r="L2" s="1545"/>
      <c r="M2" s="1545"/>
      <c r="N2" s="1545"/>
    </row>
    <row r="3" spans="1:14" ht="15.75">
      <c r="A3" s="1545" t="s">
        <v>3738</v>
      </c>
      <c r="B3" s="1545"/>
      <c r="C3" s="1545"/>
      <c r="D3" s="1545"/>
      <c r="E3" s="1545"/>
      <c r="F3" s="1545"/>
      <c r="G3" s="1545"/>
      <c r="H3" s="1545"/>
      <c r="I3" s="1545"/>
      <c r="J3" s="1545"/>
      <c r="K3" s="1545"/>
      <c r="L3" s="1545"/>
      <c r="M3" s="1545"/>
      <c r="N3" s="1545"/>
    </row>
    <row r="4" spans="1:14">
      <c r="A4" s="1330"/>
      <c r="B4" s="1330"/>
      <c r="C4" s="1330"/>
      <c r="D4" s="1331"/>
      <c r="E4" s="1332"/>
      <c r="F4" s="1332"/>
      <c r="G4" s="1332"/>
      <c r="H4" s="1332"/>
      <c r="I4" s="1333"/>
      <c r="J4" s="1333"/>
      <c r="K4" s="1332"/>
      <c r="L4" s="1332"/>
      <c r="M4" s="1332"/>
      <c r="N4" s="1332"/>
    </row>
    <row r="5" spans="1:14">
      <c r="A5" s="1334"/>
      <c r="B5" s="1334"/>
      <c r="C5" s="1334"/>
      <c r="D5" s="1335"/>
      <c r="E5" s="1336" t="s">
        <v>97</v>
      </c>
      <c r="F5" s="1336"/>
      <c r="G5" s="1337"/>
      <c r="H5" s="1337"/>
      <c r="I5" s="1338"/>
      <c r="J5" s="1338"/>
      <c r="K5" s="1336" t="s">
        <v>98</v>
      </c>
      <c r="L5" s="1337"/>
      <c r="M5" s="1337"/>
      <c r="N5" s="1337"/>
    </row>
    <row r="6" spans="1:14">
      <c r="A6" s="1339" t="s">
        <v>99</v>
      </c>
      <c r="B6" s="1339" t="s">
        <v>100</v>
      </c>
      <c r="C6" s="1339" t="s">
        <v>101</v>
      </c>
      <c r="D6" s="1340" t="s">
        <v>102</v>
      </c>
      <c r="E6" s="1341" t="s">
        <v>103</v>
      </c>
      <c r="F6" s="1336" t="s">
        <v>3740</v>
      </c>
      <c r="G6" s="1336" t="s">
        <v>12</v>
      </c>
      <c r="H6" s="1336" t="s">
        <v>93</v>
      </c>
      <c r="I6" s="1342" t="s">
        <v>104</v>
      </c>
      <c r="J6" s="1342" t="s">
        <v>105</v>
      </c>
      <c r="K6" s="1341" t="s">
        <v>103</v>
      </c>
      <c r="L6" s="1336" t="s">
        <v>3740</v>
      </c>
      <c r="M6" s="1336" t="s">
        <v>12</v>
      </c>
      <c r="N6" s="1336" t="s">
        <v>93</v>
      </c>
    </row>
    <row r="7" spans="1:14">
      <c r="A7" s="1339"/>
      <c r="B7" s="1339"/>
      <c r="C7" s="1339"/>
      <c r="D7" s="1340"/>
      <c r="E7" s="1343" t="s">
        <v>106</v>
      </c>
      <c r="F7" s="1343" t="s">
        <v>3741</v>
      </c>
      <c r="G7" s="1343"/>
      <c r="H7" s="1343"/>
      <c r="I7" s="1344"/>
      <c r="J7" s="1344"/>
      <c r="K7" s="1343" t="s">
        <v>106</v>
      </c>
      <c r="L7" s="1343" t="s">
        <v>3741</v>
      </c>
      <c r="M7" s="1343"/>
      <c r="N7" s="1343"/>
    </row>
    <row r="8" spans="1:14">
      <c r="A8" s="1345">
        <v>1</v>
      </c>
      <c r="B8" s="1345">
        <v>2</v>
      </c>
      <c r="C8" s="1345">
        <v>3</v>
      </c>
      <c r="D8" s="1346">
        <v>4</v>
      </c>
      <c r="E8" s="1347">
        <v>5</v>
      </c>
      <c r="F8" s="1347">
        <v>6</v>
      </c>
      <c r="G8" s="1347">
        <v>7</v>
      </c>
      <c r="H8" s="1347">
        <v>8</v>
      </c>
      <c r="I8" s="1348">
        <v>9</v>
      </c>
      <c r="J8" s="1348">
        <v>10</v>
      </c>
      <c r="K8" s="1347" t="s">
        <v>107</v>
      </c>
      <c r="L8" s="1347" t="s">
        <v>3742</v>
      </c>
      <c r="M8" s="1347" t="s">
        <v>3531</v>
      </c>
      <c r="N8" s="1347" t="s">
        <v>3532</v>
      </c>
    </row>
    <row r="9" spans="1:14">
      <c r="A9" s="1349" t="s">
        <v>4</v>
      </c>
      <c r="B9" s="1350" t="s">
        <v>3743</v>
      </c>
      <c r="C9" s="1351" t="s">
        <v>3744</v>
      </c>
      <c r="D9" s="1352">
        <v>1</v>
      </c>
      <c r="E9" s="1353"/>
      <c r="F9" s="1353"/>
      <c r="G9" s="1353"/>
      <c r="H9" s="1353"/>
      <c r="I9" s="1354"/>
      <c r="J9" s="1354"/>
      <c r="K9" s="1353">
        <f>K10+K17</f>
        <v>5257360</v>
      </c>
      <c r="L9" s="1353">
        <v>2638563</v>
      </c>
      <c r="M9" s="1353">
        <v>11444711.199999999</v>
      </c>
      <c r="N9" s="1353">
        <v>2791807.4226783216</v>
      </c>
    </row>
    <row r="10" spans="1:14">
      <c r="A10" s="1351">
        <v>1</v>
      </c>
      <c r="B10" s="1355" t="s">
        <v>3745</v>
      </c>
      <c r="C10" s="1351" t="s">
        <v>160</v>
      </c>
      <c r="D10" s="1356">
        <v>1</v>
      </c>
      <c r="E10" s="1357"/>
      <c r="F10" s="1357"/>
      <c r="G10" s="1358"/>
      <c r="H10" s="1357"/>
      <c r="I10" s="1359"/>
      <c r="J10" s="1359"/>
      <c r="K10" s="1357">
        <f>SUM(K11:K16)</f>
        <v>750000</v>
      </c>
      <c r="L10" s="1357">
        <f>SUM(L11:L16)</f>
        <v>1975595</v>
      </c>
      <c r="M10" s="1357">
        <f>SUM(M11:M16)</f>
        <v>2236217.872</v>
      </c>
      <c r="N10" s="1357">
        <f>SUM(N11:N16)</f>
        <v>973676.88</v>
      </c>
    </row>
    <row r="11" spans="1:14">
      <c r="A11" s="1360"/>
      <c r="B11" s="1361" t="s">
        <v>3746</v>
      </c>
      <c r="C11" s="1360"/>
      <c r="D11" s="1362"/>
      <c r="E11" s="1363"/>
      <c r="F11" s="1363"/>
      <c r="G11" s="1364"/>
      <c r="H11" s="1363"/>
      <c r="I11" s="1365"/>
      <c r="J11" s="1365"/>
      <c r="K11" s="1363"/>
      <c r="L11" s="1363"/>
      <c r="M11" s="1364"/>
      <c r="N11" s="1363"/>
    </row>
    <row r="12" spans="1:14">
      <c r="A12" s="1366">
        <v>1</v>
      </c>
      <c r="B12" s="1367" t="s">
        <v>3745</v>
      </c>
      <c r="C12" s="1368" t="s">
        <v>160</v>
      </c>
      <c r="D12" s="1369">
        <v>1</v>
      </c>
      <c r="E12" s="1370" t="s">
        <v>3747</v>
      </c>
      <c r="F12" s="1370"/>
      <c r="G12" s="1371"/>
      <c r="H12" s="1370"/>
      <c r="I12" s="1372"/>
      <c r="J12" s="1372"/>
      <c r="K12" s="1370">
        <v>0</v>
      </c>
      <c r="L12" s="1370"/>
      <c r="M12" s="1370"/>
      <c r="N12" s="1370"/>
    </row>
    <row r="13" spans="1:14">
      <c r="A13" s="1366">
        <v>2</v>
      </c>
      <c r="B13" s="1367" t="s">
        <v>3748</v>
      </c>
      <c r="C13" s="1368" t="s">
        <v>51</v>
      </c>
      <c r="D13" s="1369">
        <v>3</v>
      </c>
      <c r="E13" s="1370">
        <v>250000</v>
      </c>
      <c r="F13" s="1370"/>
      <c r="G13" s="1371"/>
      <c r="H13" s="1370"/>
      <c r="I13" s="1372"/>
      <c r="J13" s="1372"/>
      <c r="K13" s="1370">
        <f>D13*E13</f>
        <v>750000</v>
      </c>
      <c r="L13" s="1370"/>
      <c r="M13" s="1370"/>
      <c r="N13" s="1370"/>
    </row>
    <row r="14" spans="1:14">
      <c r="A14" s="1366"/>
      <c r="B14" s="1361" t="s">
        <v>3749</v>
      </c>
      <c r="C14" s="1368"/>
      <c r="D14" s="1369"/>
      <c r="E14" s="1370"/>
      <c r="F14" s="1370"/>
      <c r="G14" s="1371"/>
      <c r="H14" s="1370"/>
      <c r="I14" s="1372"/>
      <c r="J14" s="1372"/>
      <c r="K14" s="1370"/>
      <c r="L14" s="1370"/>
      <c r="M14" s="1370"/>
      <c r="N14" s="1370"/>
    </row>
    <row r="15" spans="1:14" ht="25.5">
      <c r="A15" s="1366" t="s">
        <v>3750</v>
      </c>
      <c r="B15" s="1373" t="s">
        <v>3751</v>
      </c>
      <c r="C15" s="1368" t="s">
        <v>160</v>
      </c>
      <c r="D15" s="1369">
        <v>1</v>
      </c>
      <c r="E15" s="1370"/>
      <c r="F15" s="1462">
        <f>F16</f>
        <v>987797.5</v>
      </c>
      <c r="G15" s="1462">
        <f>G16*0.6</f>
        <v>838581.70199999993</v>
      </c>
      <c r="H15" s="1462">
        <f>H16</f>
        <v>486838.44</v>
      </c>
      <c r="I15" s="1463">
        <v>1</v>
      </c>
      <c r="J15" s="1463">
        <v>1</v>
      </c>
      <c r="K15" s="1370"/>
      <c r="L15" s="1370">
        <f>D15*F15</f>
        <v>987797.5</v>
      </c>
      <c r="M15" s="1370">
        <f>D15*G15*I15</f>
        <v>838581.70199999993</v>
      </c>
      <c r="N15" s="1370">
        <f>D15*H15*J15</f>
        <v>486838.44</v>
      </c>
    </row>
    <row r="16" spans="1:14" ht="25.5">
      <c r="A16" s="1366" t="s">
        <v>1927</v>
      </c>
      <c r="B16" s="1373" t="s">
        <v>3752</v>
      </c>
      <c r="C16" s="1368" t="s">
        <v>160</v>
      </c>
      <c r="D16" s="1369">
        <f>D12</f>
        <v>1</v>
      </c>
      <c r="E16" s="1370"/>
      <c r="F16" s="1462">
        <f>Sheet5!J8790</f>
        <v>987797.5</v>
      </c>
      <c r="G16" s="1462">
        <f>Sheet5!L8790</f>
        <v>1397636.17</v>
      </c>
      <c r="H16" s="1462">
        <f>Sheet5!N8790</f>
        <v>486838.44</v>
      </c>
      <c r="I16" s="1463">
        <v>1</v>
      </c>
      <c r="J16" s="1463">
        <v>1</v>
      </c>
      <c r="K16" s="1370"/>
      <c r="L16" s="1370">
        <f>D16*F16</f>
        <v>987797.5</v>
      </c>
      <c r="M16" s="1370">
        <f>D16*G16*I16</f>
        <v>1397636.17</v>
      </c>
      <c r="N16" s="1370">
        <f>D16*H16*J16</f>
        <v>486838.44</v>
      </c>
    </row>
    <row r="17" spans="1:14">
      <c r="A17" s="1351">
        <v>2</v>
      </c>
      <c r="B17" s="1375" t="s">
        <v>3753</v>
      </c>
      <c r="C17" s="1376" t="s">
        <v>139</v>
      </c>
      <c r="D17" s="1377"/>
      <c r="E17" s="1378"/>
      <c r="F17" s="1377"/>
      <c r="G17" s="1377"/>
      <c r="H17" s="1379"/>
      <c r="I17" s="1380"/>
      <c r="J17" s="1380"/>
      <c r="K17" s="1377">
        <f>SUM(K18:K30)</f>
        <v>4507360</v>
      </c>
      <c r="L17" s="1377">
        <f t="shared" ref="L17:N17" si="0">SUM(L18:L30)</f>
        <v>705762</v>
      </c>
      <c r="M17" s="1377">
        <f t="shared" si="0"/>
        <v>1840001.22</v>
      </c>
      <c r="N17" s="1377">
        <f t="shared" si="0"/>
        <v>1190499.6000000003</v>
      </c>
    </row>
    <row r="18" spans="1:14">
      <c r="A18" s="1381"/>
      <c r="B18" s="1382" t="s">
        <v>3746</v>
      </c>
      <c r="C18" s="1381"/>
      <c r="D18" s="1383"/>
      <c r="E18" s="1384"/>
      <c r="F18" s="1383"/>
      <c r="G18" s="1383"/>
      <c r="H18" s="1385"/>
      <c r="I18" s="1386"/>
      <c r="J18" s="1386"/>
      <c r="K18" s="1374"/>
      <c r="L18" s="1374"/>
      <c r="M18" s="1374"/>
      <c r="N18" s="1374"/>
    </row>
    <row r="19" spans="1:14">
      <c r="A19" s="1387"/>
      <c r="B19" s="1388" t="s">
        <v>3754</v>
      </c>
      <c r="C19" s="1387" t="s">
        <v>2683</v>
      </c>
      <c r="D19" s="1389">
        <v>1</v>
      </c>
      <c r="E19" s="1374" t="s">
        <v>3747</v>
      </c>
      <c r="F19" s="1390"/>
      <c r="G19" s="1374"/>
      <c r="H19" s="1391"/>
      <c r="I19" s="1390"/>
      <c r="J19" s="1392"/>
      <c r="K19" s="1370">
        <v>0</v>
      </c>
      <c r="L19" s="1374"/>
      <c r="M19" s="1374"/>
      <c r="N19" s="1374"/>
    </row>
    <row r="20" spans="1:14">
      <c r="A20" s="1387"/>
      <c r="B20" s="1388" t="s">
        <v>3755</v>
      </c>
      <c r="C20" s="1387" t="s">
        <v>2683</v>
      </c>
      <c r="D20" s="1389">
        <v>1</v>
      </c>
      <c r="E20" s="1374">
        <v>4500000</v>
      </c>
      <c r="F20" s="1390"/>
      <c r="G20" s="1374"/>
      <c r="H20" s="1391"/>
      <c r="I20" s="1390"/>
      <c r="J20" s="1390"/>
      <c r="K20" s="1370">
        <f>D20*E20</f>
        <v>4500000</v>
      </c>
      <c r="L20" s="1374"/>
      <c r="M20" s="1374"/>
      <c r="N20" s="1374"/>
    </row>
    <row r="21" spans="1:14">
      <c r="A21" s="1387"/>
      <c r="B21" s="1388" t="s">
        <v>3756</v>
      </c>
      <c r="C21" s="1387" t="s">
        <v>2683</v>
      </c>
      <c r="D21" s="1389">
        <v>8</v>
      </c>
      <c r="E21" s="1374">
        <v>920</v>
      </c>
      <c r="F21" s="1390"/>
      <c r="G21" s="1374"/>
      <c r="H21" s="1391"/>
      <c r="I21" s="1390"/>
      <c r="J21" s="1390"/>
      <c r="K21" s="1370">
        <f>D21*E21</f>
        <v>7360</v>
      </c>
      <c r="L21" s="1374"/>
      <c r="M21" s="1374"/>
      <c r="N21" s="1374"/>
    </row>
    <row r="22" spans="1:14">
      <c r="A22" s="1387"/>
      <c r="B22" s="1388" t="s">
        <v>3757</v>
      </c>
      <c r="C22" s="1387" t="s">
        <v>2683</v>
      </c>
      <c r="D22" s="1389">
        <v>3</v>
      </c>
      <c r="E22" s="1374" t="s">
        <v>3747</v>
      </c>
      <c r="F22" s="1390"/>
      <c r="G22" s="1374"/>
      <c r="H22" s="1391"/>
      <c r="I22" s="1390"/>
      <c r="J22" s="1390"/>
      <c r="K22" s="1370">
        <v>0</v>
      </c>
      <c r="L22" s="1374"/>
      <c r="M22" s="1374"/>
      <c r="N22" s="1374"/>
    </row>
    <row r="23" spans="1:14">
      <c r="A23" s="1387"/>
      <c r="B23" s="1388" t="s">
        <v>3758</v>
      </c>
      <c r="C23" s="1387" t="s">
        <v>2683</v>
      </c>
      <c r="D23" s="1389">
        <v>3</v>
      </c>
      <c r="E23" s="1374" t="s">
        <v>3747</v>
      </c>
      <c r="F23" s="1390"/>
      <c r="G23" s="1374"/>
      <c r="H23" s="1391"/>
      <c r="I23" s="1390"/>
      <c r="J23" s="1390"/>
      <c r="K23" s="1370">
        <v>0</v>
      </c>
      <c r="L23" s="1374"/>
      <c r="M23" s="1374"/>
      <c r="N23" s="1374"/>
    </row>
    <row r="24" spans="1:14">
      <c r="A24" s="1381"/>
      <c r="B24" s="1382" t="s">
        <v>3749</v>
      </c>
      <c r="C24" s="1381"/>
      <c r="D24" s="1383"/>
      <c r="E24" s="1384"/>
      <c r="F24" s="1383"/>
      <c r="G24" s="1383"/>
      <c r="H24" s="1385"/>
      <c r="I24" s="1386"/>
      <c r="J24" s="1386"/>
      <c r="K24" s="1374"/>
      <c r="L24" s="1374"/>
      <c r="M24" s="1374"/>
      <c r="N24" s="1374"/>
    </row>
    <row r="25" spans="1:14">
      <c r="A25" s="1393" t="s">
        <v>3759</v>
      </c>
      <c r="B25" s="1388" t="s">
        <v>3760</v>
      </c>
      <c r="C25" s="1387" t="s">
        <v>2683</v>
      </c>
      <c r="D25" s="1389">
        <v>1</v>
      </c>
      <c r="E25" s="1394"/>
      <c r="F25" s="1462">
        <f>F30</f>
        <v>260000</v>
      </c>
      <c r="G25" s="1462">
        <f>G30*0.5</f>
        <v>16296.24</v>
      </c>
      <c r="H25" s="1464">
        <f>H30</f>
        <v>5142.5999999999995</v>
      </c>
      <c r="I25" s="1463">
        <v>1</v>
      </c>
      <c r="J25" s="1463">
        <v>1</v>
      </c>
      <c r="K25" s="1374"/>
      <c r="L25" s="1374">
        <f>D25*F25</f>
        <v>260000</v>
      </c>
      <c r="M25" s="1374">
        <f>D25*G25*I25</f>
        <v>16296.24</v>
      </c>
      <c r="N25" s="1374">
        <f>D25*H25*J25</f>
        <v>5142.5999999999995</v>
      </c>
    </row>
    <row r="26" spans="1:14">
      <c r="A26" s="1393" t="s">
        <v>3761</v>
      </c>
      <c r="B26" s="1388" t="s">
        <v>3762</v>
      </c>
      <c r="C26" s="1387" t="s">
        <v>2722</v>
      </c>
      <c r="D26" s="1389">
        <v>1</v>
      </c>
      <c r="E26" s="1394"/>
      <c r="F26" s="1462">
        <f>F28</f>
        <v>52215.5</v>
      </c>
      <c r="G26" s="1462">
        <f>G28*0.5</f>
        <v>331687.5</v>
      </c>
      <c r="H26" s="1464">
        <f>H28</f>
        <v>295053.60000000003</v>
      </c>
      <c r="I26" s="1463">
        <v>1</v>
      </c>
      <c r="J26" s="1463">
        <v>1</v>
      </c>
      <c r="K26" s="1374"/>
      <c r="L26" s="1374">
        <f t="shared" ref="L26:L30" si="1">D26*F26</f>
        <v>52215.5</v>
      </c>
      <c r="M26" s="1374">
        <f t="shared" ref="M26:M30" si="2">D26*G26*I26</f>
        <v>331687.5</v>
      </c>
      <c r="N26" s="1374">
        <f t="shared" ref="N26:N30" si="3">D26*H26*J26</f>
        <v>295053.60000000003</v>
      </c>
    </row>
    <row r="27" spans="1:14">
      <c r="A27" s="1393" t="s">
        <v>3763</v>
      </c>
      <c r="B27" s="1388" t="s">
        <v>3764</v>
      </c>
      <c r="C27" s="1387" t="s">
        <v>2722</v>
      </c>
      <c r="D27" s="1389">
        <v>1</v>
      </c>
      <c r="E27" s="1394"/>
      <c r="F27" s="1462">
        <f>F29</f>
        <v>40665.5</v>
      </c>
      <c r="G27" s="1462">
        <f>G29*0.5</f>
        <v>265350</v>
      </c>
      <c r="H27" s="1464">
        <f>H29</f>
        <v>295053.60000000003</v>
      </c>
      <c r="I27" s="1463">
        <v>1</v>
      </c>
      <c r="J27" s="1463">
        <v>1</v>
      </c>
      <c r="K27" s="1374"/>
      <c r="L27" s="1374">
        <f t="shared" si="1"/>
        <v>40665.5</v>
      </c>
      <c r="M27" s="1374">
        <f t="shared" si="2"/>
        <v>265350</v>
      </c>
      <c r="N27" s="1374">
        <f t="shared" si="3"/>
        <v>295053.60000000003</v>
      </c>
    </row>
    <row r="28" spans="1:14">
      <c r="A28" s="1393" t="s">
        <v>6691</v>
      </c>
      <c r="B28" s="1388" t="s">
        <v>3765</v>
      </c>
      <c r="C28" s="1387" t="s">
        <v>2722</v>
      </c>
      <c r="D28" s="1389">
        <v>1</v>
      </c>
      <c r="E28" s="1394"/>
      <c r="F28" s="1462">
        <f>Sheet5!J10443</f>
        <v>52215.5</v>
      </c>
      <c r="G28" s="1462">
        <f>Sheet5!L10443</f>
        <v>663375</v>
      </c>
      <c r="H28" s="1464">
        <f>Sheet5!N10443</f>
        <v>295053.60000000003</v>
      </c>
      <c r="I28" s="1463">
        <v>1</v>
      </c>
      <c r="J28" s="1463">
        <v>1</v>
      </c>
      <c r="K28" s="1374"/>
      <c r="L28" s="1374">
        <f t="shared" si="1"/>
        <v>52215.5</v>
      </c>
      <c r="M28" s="1374">
        <f t="shared" si="2"/>
        <v>663375</v>
      </c>
      <c r="N28" s="1374">
        <f t="shared" si="3"/>
        <v>295053.60000000003</v>
      </c>
    </row>
    <row r="29" spans="1:14">
      <c r="A29" s="1393" t="s">
        <v>6706</v>
      </c>
      <c r="B29" s="1388" t="s">
        <v>3766</v>
      </c>
      <c r="C29" s="1387" t="s">
        <v>2722</v>
      </c>
      <c r="D29" s="1389">
        <v>1</v>
      </c>
      <c r="E29" s="1394"/>
      <c r="F29" s="1462">
        <f>Sheet5!J10542</f>
        <v>40665.5</v>
      </c>
      <c r="G29" s="1462">
        <f>Sheet5!L10542</f>
        <v>530700</v>
      </c>
      <c r="H29" s="1464">
        <f>Sheet5!N10542</f>
        <v>295053.60000000003</v>
      </c>
      <c r="I29" s="1463">
        <v>1</v>
      </c>
      <c r="J29" s="1463">
        <v>1</v>
      </c>
      <c r="K29" s="1374"/>
      <c r="L29" s="1374">
        <f t="shared" si="1"/>
        <v>40665.5</v>
      </c>
      <c r="M29" s="1374">
        <f t="shared" si="2"/>
        <v>530700</v>
      </c>
      <c r="N29" s="1374">
        <f t="shared" si="3"/>
        <v>295053.60000000003</v>
      </c>
    </row>
    <row r="30" spans="1:14">
      <c r="A30" s="1393" t="s">
        <v>2421</v>
      </c>
      <c r="B30" s="1388" t="s">
        <v>3767</v>
      </c>
      <c r="C30" s="1387" t="s">
        <v>2683</v>
      </c>
      <c r="D30" s="1389">
        <f>D19</f>
        <v>1</v>
      </c>
      <c r="E30" s="1390"/>
      <c r="F30" s="1462">
        <f>Sheet5!J8417</f>
        <v>260000</v>
      </c>
      <c r="G30" s="1462">
        <f>Sheet5!L8417</f>
        <v>32592.48</v>
      </c>
      <c r="H30" s="1464">
        <f>Sheet5!N8417</f>
        <v>5142.5999999999995</v>
      </c>
      <c r="I30" s="1463">
        <v>1</v>
      </c>
      <c r="J30" s="1463">
        <v>1</v>
      </c>
      <c r="K30" s="1374"/>
      <c r="L30" s="1374">
        <f t="shared" si="1"/>
        <v>260000</v>
      </c>
      <c r="M30" s="1374">
        <f t="shared" si="2"/>
        <v>32592.48</v>
      </c>
      <c r="N30" s="1374">
        <f t="shared" si="3"/>
        <v>5142.5999999999995</v>
      </c>
    </row>
    <row r="31" spans="1:14">
      <c r="A31" s="1351">
        <v>3</v>
      </c>
      <c r="B31" s="1355" t="s">
        <v>3768</v>
      </c>
      <c r="C31" s="1351" t="s">
        <v>160</v>
      </c>
      <c r="D31" s="1356">
        <v>1</v>
      </c>
      <c r="E31" s="1357"/>
      <c r="F31" s="1357"/>
      <c r="G31" s="1358"/>
      <c r="H31" s="1357"/>
      <c r="I31" s="1359"/>
      <c r="J31" s="1359"/>
      <c r="K31" s="1357">
        <f>SUM(K32:K36)</f>
        <v>0</v>
      </c>
      <c r="L31" s="1357">
        <f t="shared" ref="L31:N31" si="4">SUM(L32:L36)</f>
        <v>2725484</v>
      </c>
      <c r="M31" s="1357">
        <f t="shared" si="4"/>
        <v>10083300</v>
      </c>
      <c r="N31" s="1357">
        <f t="shared" si="4"/>
        <v>162325.5</v>
      </c>
    </row>
    <row r="32" spans="1:14">
      <c r="A32" s="1360"/>
      <c r="B32" s="1361" t="s">
        <v>3746</v>
      </c>
      <c r="C32" s="1360"/>
      <c r="D32" s="1362"/>
      <c r="E32" s="1363"/>
      <c r="F32" s="1363"/>
      <c r="G32" s="1364"/>
      <c r="H32" s="1363"/>
      <c r="I32" s="1365"/>
      <c r="J32" s="1365"/>
      <c r="K32" s="1363"/>
      <c r="L32" s="1363"/>
      <c r="M32" s="1364"/>
      <c r="N32" s="1363"/>
    </row>
    <row r="33" spans="1:14">
      <c r="A33" s="1366">
        <v>1</v>
      </c>
      <c r="B33" s="1367" t="s">
        <v>3769</v>
      </c>
      <c r="C33" s="1368" t="s">
        <v>160</v>
      </c>
      <c r="D33" s="1369">
        <v>1</v>
      </c>
      <c r="E33" s="1370" t="s">
        <v>3747</v>
      </c>
      <c r="F33" s="1370"/>
      <c r="G33" s="1371"/>
      <c r="H33" s="1370"/>
      <c r="I33" s="1372"/>
      <c r="J33" s="1372"/>
      <c r="K33" s="1370">
        <v>0</v>
      </c>
      <c r="L33" s="1370"/>
      <c r="M33" s="1370"/>
      <c r="N33" s="1370"/>
    </row>
    <row r="34" spans="1:14">
      <c r="A34" s="1366"/>
      <c r="B34" s="1361" t="s">
        <v>3749</v>
      </c>
      <c r="C34" s="1368"/>
      <c r="D34" s="1369"/>
      <c r="E34" s="1370"/>
      <c r="F34" s="1370"/>
      <c r="G34" s="1371"/>
      <c r="H34" s="1370"/>
      <c r="I34" s="1372"/>
      <c r="J34" s="1372"/>
      <c r="K34" s="1370">
        <f>D34*E34</f>
        <v>0</v>
      </c>
      <c r="L34" s="1370"/>
      <c r="M34" s="1370"/>
      <c r="N34" s="1370"/>
    </row>
    <row r="35" spans="1:14" ht="25.5">
      <c r="A35" s="1395" t="s">
        <v>3770</v>
      </c>
      <c r="B35" s="1373" t="s">
        <v>3771</v>
      </c>
      <c r="C35" s="1368" t="s">
        <v>3772</v>
      </c>
      <c r="D35" s="1369">
        <v>5</v>
      </c>
      <c r="E35" s="1370"/>
      <c r="F35" s="1465">
        <f>F36</f>
        <v>272548.40000000002</v>
      </c>
      <c r="G35" s="1466">
        <f>G36*0.6</f>
        <v>756247.5</v>
      </c>
      <c r="H35" s="1465">
        <f>H36</f>
        <v>16232.550000000001</v>
      </c>
      <c r="I35" s="1463">
        <v>1</v>
      </c>
      <c r="J35" s="1463">
        <v>1</v>
      </c>
      <c r="K35" s="1370"/>
      <c r="L35" s="1370">
        <f>D35*F35</f>
        <v>1362742</v>
      </c>
      <c r="M35" s="1370">
        <f>D35*G35*I35</f>
        <v>3781237.5</v>
      </c>
      <c r="N35" s="1370">
        <f>D35*H35*J35</f>
        <v>81162.75</v>
      </c>
    </row>
    <row r="36" spans="1:14" ht="25.5">
      <c r="A36" s="1395" t="s">
        <v>3773</v>
      </c>
      <c r="B36" s="1373" t="s">
        <v>3774</v>
      </c>
      <c r="C36" s="1368" t="s">
        <v>3772</v>
      </c>
      <c r="D36" s="1369">
        <f>D35</f>
        <v>5</v>
      </c>
      <c r="E36" s="1370"/>
      <c r="F36" s="1462">
        <f>Sheet5!J11393</f>
        <v>272548.40000000002</v>
      </c>
      <c r="G36" s="1462">
        <f>Sheet5!L11393</f>
        <v>1260412.5</v>
      </c>
      <c r="H36" s="1462">
        <f>Sheet5!N11393</f>
        <v>16232.550000000001</v>
      </c>
      <c r="I36" s="1463">
        <v>1</v>
      </c>
      <c r="J36" s="1463">
        <v>1</v>
      </c>
      <c r="K36" s="1370">
        <f>D36*E36</f>
        <v>0</v>
      </c>
      <c r="L36" s="1370">
        <f>D36*F36</f>
        <v>1362742</v>
      </c>
      <c r="M36" s="1370">
        <f>D36*G36*I36</f>
        <v>6302062.5</v>
      </c>
      <c r="N36" s="1370">
        <f>D36*H36*J36</f>
        <v>81162.75</v>
      </c>
    </row>
    <row r="37" spans="1:14">
      <c r="A37" s="1351" t="s">
        <v>6</v>
      </c>
      <c r="B37" s="1396" t="s">
        <v>3775</v>
      </c>
      <c r="C37" s="1351"/>
      <c r="D37" s="1356"/>
      <c r="E37" s="1397"/>
      <c r="F37" s="1398"/>
      <c r="G37" s="1398"/>
      <c r="H37" s="1398"/>
      <c r="I37" s="1399"/>
      <c r="J37" s="1399"/>
      <c r="K37" s="1397"/>
      <c r="L37" s="1397"/>
      <c r="M37" s="1397"/>
      <c r="N37" s="1397"/>
    </row>
    <row r="38" spans="1:14">
      <c r="A38" s="1349">
        <v>1</v>
      </c>
      <c r="B38" s="1400" t="s">
        <v>3776</v>
      </c>
      <c r="C38" s="1376" t="s">
        <v>3777</v>
      </c>
      <c r="D38" s="1377"/>
      <c r="E38" s="1378"/>
      <c r="F38" s="1377"/>
      <c r="G38" s="1377"/>
      <c r="H38" s="1379"/>
      <c r="I38" s="1380"/>
      <c r="J38" s="1380"/>
      <c r="K38" s="1377">
        <f>SUM(K39:K45)</f>
        <v>22800000</v>
      </c>
      <c r="L38" s="1377">
        <f t="shared" ref="L38:N38" si="5">SUM(L39:L45)</f>
        <v>268962.2</v>
      </c>
      <c r="M38" s="1377">
        <f t="shared" si="5"/>
        <v>1039206.2399999999</v>
      </c>
      <c r="N38" s="1377">
        <f t="shared" si="5"/>
        <v>557236</v>
      </c>
    </row>
    <row r="39" spans="1:14">
      <c r="A39" s="1381"/>
      <c r="B39" s="1382" t="s">
        <v>3746</v>
      </c>
      <c r="C39" s="1381"/>
      <c r="D39" s="1383"/>
      <c r="E39" s="1384"/>
      <c r="F39" s="1383"/>
      <c r="G39" s="1383"/>
      <c r="H39" s="1385"/>
      <c r="I39" s="1386"/>
      <c r="J39" s="1386"/>
      <c r="K39" s="1374">
        <f t="shared" ref="K39:K45" si="6">D39*E39</f>
        <v>0</v>
      </c>
      <c r="L39" s="1374"/>
      <c r="M39" s="1374"/>
      <c r="N39" s="1374"/>
    </row>
    <row r="40" spans="1:14">
      <c r="A40" s="1381"/>
      <c r="B40" s="1401" t="s">
        <v>3778</v>
      </c>
      <c r="C40" s="1387" t="s">
        <v>2683</v>
      </c>
      <c r="D40" s="1374">
        <v>1</v>
      </c>
      <c r="E40" s="1394">
        <v>7500000</v>
      </c>
      <c r="F40" s="1374"/>
      <c r="G40" s="1374"/>
      <c r="H40" s="1391"/>
      <c r="I40" s="1390"/>
      <c r="J40" s="1390"/>
      <c r="K40" s="1374">
        <f t="shared" si="6"/>
        <v>7500000</v>
      </c>
      <c r="L40" s="1374"/>
      <c r="M40" s="1374"/>
      <c r="N40" s="1374"/>
    </row>
    <row r="41" spans="1:14">
      <c r="A41" s="1387"/>
      <c r="B41" s="1401" t="s">
        <v>3779</v>
      </c>
      <c r="C41" s="1387" t="s">
        <v>2683</v>
      </c>
      <c r="D41" s="1374">
        <v>1</v>
      </c>
      <c r="E41" s="1374">
        <v>9000000</v>
      </c>
      <c r="F41" s="1374"/>
      <c r="G41" s="1374"/>
      <c r="H41" s="1391"/>
      <c r="I41" s="1390"/>
      <c r="J41" s="1390"/>
      <c r="K41" s="1374">
        <f t="shared" si="6"/>
        <v>9000000</v>
      </c>
      <c r="L41" s="1374"/>
      <c r="M41" s="1374"/>
      <c r="N41" s="1374"/>
    </row>
    <row r="42" spans="1:14">
      <c r="A42" s="1387"/>
      <c r="B42" s="1401" t="s">
        <v>3780</v>
      </c>
      <c r="C42" s="1387" t="s">
        <v>3781</v>
      </c>
      <c r="D42" s="1374">
        <v>1</v>
      </c>
      <c r="E42" s="1374">
        <v>6300000</v>
      </c>
      <c r="F42" s="1374"/>
      <c r="G42" s="1374"/>
      <c r="H42" s="1391"/>
      <c r="I42" s="1390"/>
      <c r="J42" s="1390"/>
      <c r="K42" s="1374">
        <f t="shared" si="6"/>
        <v>6300000</v>
      </c>
      <c r="L42" s="1374"/>
      <c r="M42" s="1374"/>
      <c r="N42" s="1374"/>
    </row>
    <row r="43" spans="1:14">
      <c r="A43" s="1381"/>
      <c r="B43" s="1382" t="s">
        <v>3749</v>
      </c>
      <c r="C43" s="1381"/>
      <c r="D43" s="1383"/>
      <c r="E43" s="1383"/>
      <c r="F43" s="1383"/>
      <c r="G43" s="1383"/>
      <c r="H43" s="1385"/>
      <c r="I43" s="1386"/>
      <c r="J43" s="1386"/>
      <c r="K43" s="1374"/>
      <c r="L43" s="1374"/>
      <c r="M43" s="1374"/>
      <c r="N43" s="1374"/>
    </row>
    <row r="44" spans="1:14">
      <c r="A44" s="1393" t="s">
        <v>3782</v>
      </c>
      <c r="B44" s="1388" t="s">
        <v>3783</v>
      </c>
      <c r="C44" s="1387" t="s">
        <v>159</v>
      </c>
      <c r="D44" s="1374">
        <v>1</v>
      </c>
      <c r="E44" s="1374"/>
      <c r="F44" s="1462">
        <f>F45</f>
        <v>134481.1</v>
      </c>
      <c r="G44" s="1462">
        <f>G45*0.5</f>
        <v>346402.07999999996</v>
      </c>
      <c r="H44" s="1462">
        <f>H45</f>
        <v>278618</v>
      </c>
      <c r="I44" s="1463">
        <v>1</v>
      </c>
      <c r="J44" s="1463">
        <v>1</v>
      </c>
      <c r="K44" s="1374">
        <f t="shared" si="6"/>
        <v>0</v>
      </c>
      <c r="L44" s="1370">
        <f t="shared" ref="L44:L45" si="7">D44*F44</f>
        <v>134481.1</v>
      </c>
      <c r="M44" s="1370">
        <f t="shared" ref="M44:M45" si="8">D44*G44*I44</f>
        <v>346402.07999999996</v>
      </c>
      <c r="N44" s="1370">
        <f t="shared" ref="N44:N45" si="9">D44*H44*J44</f>
        <v>278618</v>
      </c>
    </row>
    <row r="45" spans="1:14">
      <c r="A45" s="1393" t="s">
        <v>169</v>
      </c>
      <c r="B45" s="1388" t="s">
        <v>3784</v>
      </c>
      <c r="C45" s="1387" t="s">
        <v>159</v>
      </c>
      <c r="D45" s="1374">
        <v>1</v>
      </c>
      <c r="E45" s="1374"/>
      <c r="F45" s="1462">
        <f>Sheet5!J12587</f>
        <v>134481.1</v>
      </c>
      <c r="G45" s="1462">
        <f>Sheet5!L12587</f>
        <v>692804.15999999992</v>
      </c>
      <c r="H45" s="1462">
        <f>Sheet5!N12587</f>
        <v>278618</v>
      </c>
      <c r="I45" s="1463">
        <v>1</v>
      </c>
      <c r="J45" s="1463">
        <v>1</v>
      </c>
      <c r="K45" s="1374">
        <f t="shared" si="6"/>
        <v>0</v>
      </c>
      <c r="L45" s="1370">
        <f t="shared" si="7"/>
        <v>134481.1</v>
      </c>
      <c r="M45" s="1370">
        <f t="shared" si="8"/>
        <v>692804.15999999992</v>
      </c>
      <c r="N45" s="1370">
        <f t="shared" si="9"/>
        <v>278618</v>
      </c>
    </row>
    <row r="46" spans="1:14" hidden="1">
      <c r="A46" s="1349">
        <v>2</v>
      </c>
      <c r="B46" s="1400" t="s">
        <v>3785</v>
      </c>
      <c r="C46" s="1376" t="s">
        <v>3777</v>
      </c>
      <c r="D46" s="1377"/>
      <c r="E46" s="1378"/>
      <c r="F46" s="1377"/>
      <c r="G46" s="1377"/>
      <c r="H46" s="1379"/>
      <c r="I46" s="1380"/>
      <c r="J46" s="1380"/>
      <c r="K46" s="1377">
        <f>SUM(K47:K53)</f>
        <v>0</v>
      </c>
      <c r="L46" s="1377">
        <f t="shared" ref="L46:N46" si="10">SUM(L47:L53)</f>
        <v>0</v>
      </c>
      <c r="M46" s="1377">
        <f t="shared" si="10"/>
        <v>0</v>
      </c>
      <c r="N46" s="1377">
        <f t="shared" si="10"/>
        <v>0</v>
      </c>
    </row>
    <row r="47" spans="1:14" hidden="1">
      <c r="A47" s="1381"/>
      <c r="B47" s="1382" t="s">
        <v>3746</v>
      </c>
      <c r="C47" s="1381"/>
      <c r="D47" s="1383"/>
      <c r="E47" s="1384"/>
      <c r="F47" s="1383"/>
      <c r="G47" s="1383"/>
      <c r="H47" s="1385"/>
      <c r="I47" s="1386"/>
      <c r="J47" s="1386"/>
      <c r="K47" s="1374">
        <f t="shared" ref="K47:K53" si="11">D47*E47</f>
        <v>0</v>
      </c>
      <c r="L47" s="1374"/>
      <c r="M47" s="1374"/>
      <c r="N47" s="1374"/>
    </row>
    <row r="48" spans="1:14" hidden="1">
      <c r="A48" s="1381"/>
      <c r="B48" s="1401" t="s">
        <v>3778</v>
      </c>
      <c r="C48" s="1387" t="s">
        <v>2683</v>
      </c>
      <c r="D48" s="1374"/>
      <c r="E48" s="1394">
        <v>600000</v>
      </c>
      <c r="F48" s="1374"/>
      <c r="G48" s="1374"/>
      <c r="H48" s="1391"/>
      <c r="I48" s="1390"/>
      <c r="J48" s="1390"/>
      <c r="K48" s="1374">
        <f t="shared" si="11"/>
        <v>0</v>
      </c>
      <c r="L48" s="1374"/>
      <c r="M48" s="1374"/>
      <c r="N48" s="1374"/>
    </row>
    <row r="49" spans="1:14" hidden="1">
      <c r="A49" s="1387"/>
      <c r="B49" s="1401" t="s">
        <v>3786</v>
      </c>
      <c r="C49" s="1387" t="s">
        <v>2683</v>
      </c>
      <c r="D49" s="1374"/>
      <c r="E49" s="1374">
        <v>21000000</v>
      </c>
      <c r="F49" s="1374"/>
      <c r="G49" s="1374"/>
      <c r="H49" s="1391"/>
      <c r="I49" s="1390"/>
      <c r="J49" s="1390"/>
      <c r="K49" s="1374">
        <f t="shared" si="11"/>
        <v>0</v>
      </c>
      <c r="L49" s="1374"/>
      <c r="M49" s="1374"/>
      <c r="N49" s="1374"/>
    </row>
    <row r="50" spans="1:14" hidden="1">
      <c r="A50" s="1387"/>
      <c r="B50" s="1401" t="s">
        <v>3780</v>
      </c>
      <c r="C50" s="1387" t="s">
        <v>3781</v>
      </c>
      <c r="D50" s="1374"/>
      <c r="E50" s="1374">
        <v>6300000</v>
      </c>
      <c r="F50" s="1374"/>
      <c r="G50" s="1374"/>
      <c r="H50" s="1391"/>
      <c r="I50" s="1390"/>
      <c r="J50" s="1390"/>
      <c r="K50" s="1374">
        <f t="shared" si="11"/>
        <v>0</v>
      </c>
      <c r="L50" s="1374"/>
      <c r="M50" s="1374"/>
      <c r="N50" s="1374"/>
    </row>
    <row r="51" spans="1:14" hidden="1">
      <c r="A51" s="1381"/>
      <c r="B51" s="1382" t="s">
        <v>3749</v>
      </c>
      <c r="C51" s="1381"/>
      <c r="D51" s="1383"/>
      <c r="E51" s="1383"/>
      <c r="F51" s="1383"/>
      <c r="G51" s="1383"/>
      <c r="H51" s="1385"/>
      <c r="I51" s="1386"/>
      <c r="J51" s="1386"/>
      <c r="K51" s="1374"/>
      <c r="L51" s="1374"/>
      <c r="M51" s="1374"/>
      <c r="N51" s="1374"/>
    </row>
    <row r="52" spans="1:14" hidden="1">
      <c r="A52" s="1393" t="s">
        <v>3782</v>
      </c>
      <c r="B52" s="1388" t="s">
        <v>3783</v>
      </c>
      <c r="C52" s="1387" t="s">
        <v>159</v>
      </c>
      <c r="D52" s="1374"/>
      <c r="E52" s="1374"/>
      <c r="F52" s="1462">
        <f>F44</f>
        <v>134481.1</v>
      </c>
      <c r="G52" s="1462">
        <f t="shared" ref="G52:J52" si="12">G44</f>
        <v>346402.07999999996</v>
      </c>
      <c r="H52" s="1462">
        <f t="shared" si="12"/>
        <v>278618</v>
      </c>
      <c r="I52" s="1462">
        <f t="shared" si="12"/>
        <v>1</v>
      </c>
      <c r="J52" s="1462">
        <f t="shared" si="12"/>
        <v>1</v>
      </c>
      <c r="K52" s="1374">
        <f t="shared" si="11"/>
        <v>0</v>
      </c>
      <c r="L52" s="1370">
        <f t="shared" ref="L52:L53" si="13">D52*F52</f>
        <v>0</v>
      </c>
      <c r="M52" s="1370">
        <f t="shared" ref="M52:M53" si="14">D52*G52*I52</f>
        <v>0</v>
      </c>
      <c r="N52" s="1370">
        <f t="shared" ref="N52:N53" si="15">D52*H52*J52</f>
        <v>0</v>
      </c>
    </row>
    <row r="53" spans="1:14">
      <c r="A53" s="1393" t="s">
        <v>169</v>
      </c>
      <c r="B53" s="1388" t="s">
        <v>3784</v>
      </c>
      <c r="C53" s="1387" t="s">
        <v>159</v>
      </c>
      <c r="D53" s="1374"/>
      <c r="E53" s="1374"/>
      <c r="F53" s="1462">
        <f>Sheet5!J12587</f>
        <v>134481.1</v>
      </c>
      <c r="G53" s="1462">
        <f>Sheet5!L12587</f>
        <v>692804.15999999992</v>
      </c>
      <c r="H53" s="1462">
        <f>Sheet5!N12587</f>
        <v>278618</v>
      </c>
      <c r="I53" s="1463">
        <v>1</v>
      </c>
      <c r="J53" s="1463">
        <v>1</v>
      </c>
      <c r="K53" s="1374">
        <f t="shared" si="11"/>
        <v>0</v>
      </c>
      <c r="L53" s="1370">
        <f t="shared" si="13"/>
        <v>0</v>
      </c>
      <c r="M53" s="1370">
        <f t="shared" si="14"/>
        <v>0</v>
      </c>
      <c r="N53" s="1370">
        <f t="shared" si="15"/>
        <v>0</v>
      </c>
    </row>
    <row r="54" spans="1:14">
      <c r="A54" s="1349">
        <v>2</v>
      </c>
      <c r="B54" s="1400" t="s">
        <v>3787</v>
      </c>
      <c r="C54" s="1376" t="s">
        <v>3777</v>
      </c>
      <c r="D54" s="1377"/>
      <c r="E54" s="1378"/>
      <c r="F54" s="1377"/>
      <c r="G54" s="1377"/>
      <c r="H54" s="1379"/>
      <c r="I54" s="1380"/>
      <c r="J54" s="1380"/>
      <c r="K54" s="1377">
        <f>SUM(K55:K59)</f>
        <v>0</v>
      </c>
      <c r="L54" s="1377">
        <f t="shared" ref="L54:N54" si="16">SUM(L55:L59)</f>
        <v>268962.2</v>
      </c>
      <c r="M54" s="1377">
        <f t="shared" si="16"/>
        <v>1039206.2399999999</v>
      </c>
      <c r="N54" s="1377">
        <f t="shared" si="16"/>
        <v>557236</v>
      </c>
    </row>
    <row r="55" spans="1:14">
      <c r="A55" s="1381"/>
      <c r="B55" s="1382" t="s">
        <v>3746</v>
      </c>
      <c r="C55" s="1381"/>
      <c r="D55" s="1383"/>
      <c r="E55" s="1384"/>
      <c r="F55" s="1383"/>
      <c r="G55" s="1383"/>
      <c r="H55" s="1385"/>
      <c r="I55" s="1386"/>
      <c r="J55" s="1386"/>
      <c r="K55" s="1374">
        <f>D55*E55</f>
        <v>0</v>
      </c>
      <c r="L55" s="1374"/>
      <c r="M55" s="1374"/>
      <c r="N55" s="1374"/>
    </row>
    <row r="56" spans="1:14">
      <c r="A56" s="1381"/>
      <c r="B56" s="1401" t="s">
        <v>3788</v>
      </c>
      <c r="C56" s="1387" t="s">
        <v>2683</v>
      </c>
      <c r="D56" s="1374">
        <v>1</v>
      </c>
      <c r="E56" s="1394" t="s">
        <v>3747</v>
      </c>
      <c r="F56" s="1374"/>
      <c r="G56" s="1374"/>
      <c r="H56" s="1391"/>
      <c r="I56" s="1390"/>
      <c r="J56" s="1390"/>
      <c r="K56" s="1374">
        <v>0</v>
      </c>
      <c r="L56" s="1374"/>
      <c r="M56" s="1374"/>
      <c r="N56" s="1374"/>
    </row>
    <row r="57" spans="1:14">
      <c r="A57" s="1381"/>
      <c r="B57" s="1382" t="s">
        <v>3749</v>
      </c>
      <c r="C57" s="1381"/>
      <c r="D57" s="1383"/>
      <c r="E57" s="1383"/>
      <c r="F57" s="1383"/>
      <c r="G57" s="1383"/>
      <c r="H57" s="1385"/>
      <c r="I57" s="1386"/>
      <c r="J57" s="1386"/>
      <c r="K57" s="1374">
        <f>D57*E57</f>
        <v>0</v>
      </c>
      <c r="L57" s="1374"/>
      <c r="M57" s="1374"/>
      <c r="N57" s="1374"/>
    </row>
    <row r="58" spans="1:14">
      <c r="A58" s="1393" t="s">
        <v>3782</v>
      </c>
      <c r="B58" s="1388" t="s">
        <v>3783</v>
      </c>
      <c r="C58" s="1387" t="s">
        <v>159</v>
      </c>
      <c r="D58" s="1374">
        <v>1</v>
      </c>
      <c r="E58" s="1374"/>
      <c r="F58" s="1462">
        <f>F44</f>
        <v>134481.1</v>
      </c>
      <c r="G58" s="1462">
        <f t="shared" ref="G58:J58" si="17">G44</f>
        <v>346402.07999999996</v>
      </c>
      <c r="H58" s="1462">
        <f t="shared" si="17"/>
        <v>278618</v>
      </c>
      <c r="I58" s="1462">
        <f t="shared" si="17"/>
        <v>1</v>
      </c>
      <c r="J58" s="1462">
        <f t="shared" si="17"/>
        <v>1</v>
      </c>
      <c r="K58" s="1374">
        <f>D58*E58</f>
        <v>0</v>
      </c>
      <c r="L58" s="1370">
        <f t="shared" ref="L58:L59" si="18">D58*F58</f>
        <v>134481.1</v>
      </c>
      <c r="M58" s="1370">
        <f t="shared" ref="M58:M59" si="19">D58*G58*I58</f>
        <v>346402.07999999996</v>
      </c>
      <c r="N58" s="1370">
        <f t="shared" ref="N58:N59" si="20">D58*H58*J58</f>
        <v>278618</v>
      </c>
    </row>
    <row r="59" spans="1:14">
      <c r="A59" s="1393" t="s">
        <v>169</v>
      </c>
      <c r="B59" s="1388" t="s">
        <v>3784</v>
      </c>
      <c r="C59" s="1387" t="s">
        <v>159</v>
      </c>
      <c r="D59" s="1374">
        <v>1</v>
      </c>
      <c r="E59" s="1374"/>
      <c r="F59" s="1462">
        <f>F45</f>
        <v>134481.1</v>
      </c>
      <c r="G59" s="1462">
        <f t="shared" ref="G59:J59" si="21">G45</f>
        <v>692804.15999999992</v>
      </c>
      <c r="H59" s="1462">
        <f t="shared" si="21"/>
        <v>278618</v>
      </c>
      <c r="I59" s="1462">
        <f t="shared" si="21"/>
        <v>1</v>
      </c>
      <c r="J59" s="1462">
        <f t="shared" si="21"/>
        <v>1</v>
      </c>
      <c r="K59" s="1374">
        <f>D59*E59</f>
        <v>0</v>
      </c>
      <c r="L59" s="1370">
        <f t="shared" si="18"/>
        <v>134481.1</v>
      </c>
      <c r="M59" s="1370">
        <f t="shared" si="19"/>
        <v>692804.15999999992</v>
      </c>
      <c r="N59" s="1370">
        <f t="shared" si="20"/>
        <v>278618</v>
      </c>
    </row>
    <row r="60" spans="1:14">
      <c r="A60" s="1349">
        <v>4</v>
      </c>
      <c r="B60" s="1400" t="s">
        <v>3789</v>
      </c>
      <c r="C60" s="1376" t="s">
        <v>3777</v>
      </c>
      <c r="D60" s="1377"/>
      <c r="E60" s="1378"/>
      <c r="F60" s="1377"/>
      <c r="G60" s="1377"/>
      <c r="H60" s="1379"/>
      <c r="I60" s="1380"/>
      <c r="J60" s="1380"/>
      <c r="K60" s="1377">
        <f>SUM(K61:K65)</f>
        <v>27600000</v>
      </c>
      <c r="L60" s="1377">
        <f>SUM(L61:L65)</f>
        <v>42192.372000000003</v>
      </c>
      <c r="M60" s="1377">
        <f>SUM(M61:M65)</f>
        <v>542696.59199999995</v>
      </c>
      <c r="N60" s="1377">
        <f>SUM(N61:N65)</f>
        <v>295053.60000000003</v>
      </c>
    </row>
    <row r="61" spans="1:14">
      <c r="A61" s="1381"/>
      <c r="B61" s="1382" t="s">
        <v>3746</v>
      </c>
      <c r="C61" s="1381"/>
      <c r="D61" s="1383"/>
      <c r="E61" s="1384"/>
      <c r="F61" s="1383"/>
      <c r="G61" s="1383"/>
      <c r="H61" s="1385"/>
      <c r="I61" s="1386"/>
      <c r="J61" s="1386"/>
      <c r="K61" s="1374">
        <f>D61*E61</f>
        <v>0</v>
      </c>
      <c r="L61" s="1374"/>
      <c r="M61" s="1374"/>
      <c r="N61" s="1374"/>
    </row>
    <row r="62" spans="1:14">
      <c r="A62" s="1387"/>
      <c r="B62" s="1388" t="s">
        <v>3790</v>
      </c>
      <c r="C62" s="1387" t="s">
        <v>3777</v>
      </c>
      <c r="D62" s="1374">
        <v>1</v>
      </c>
      <c r="E62" s="1374">
        <f>230000*120</f>
        <v>27600000</v>
      </c>
      <c r="F62" s="1374"/>
      <c r="G62" s="1374"/>
      <c r="H62" s="1391"/>
      <c r="I62" s="1390"/>
      <c r="J62" s="1390"/>
      <c r="K62" s="1374">
        <f>D62*E62</f>
        <v>27600000</v>
      </c>
      <c r="L62" s="1374"/>
      <c r="M62" s="1374"/>
      <c r="N62" s="1374"/>
    </row>
    <row r="63" spans="1:14">
      <c r="A63" s="1381"/>
      <c r="B63" s="1382" t="s">
        <v>3749</v>
      </c>
      <c r="C63" s="1381"/>
      <c r="D63" s="1383"/>
      <c r="E63" s="1383"/>
      <c r="F63" s="1383"/>
      <c r="G63" s="1383"/>
      <c r="H63" s="1402"/>
      <c r="I63" s="1403"/>
      <c r="J63" s="1403"/>
      <c r="K63" s="1374">
        <f>D63*E63</f>
        <v>0</v>
      </c>
      <c r="L63" s="1374"/>
      <c r="M63" s="1374"/>
      <c r="N63" s="1374"/>
    </row>
    <row r="64" spans="1:14">
      <c r="A64" s="1393" t="s">
        <v>6976</v>
      </c>
      <c r="B64" s="1401" t="s">
        <v>3791</v>
      </c>
      <c r="C64" s="1387" t="s">
        <v>3792</v>
      </c>
      <c r="D64" s="1374">
        <v>1</v>
      </c>
      <c r="E64" s="1374"/>
      <c r="F64" s="1462">
        <f>Sheet5!J11749</f>
        <v>21096.186000000002</v>
      </c>
      <c r="G64" s="1462">
        <f>G65*0.6</f>
        <v>203511.22199999998</v>
      </c>
      <c r="H64" s="1462">
        <f>H65</f>
        <v>147526.80000000002</v>
      </c>
      <c r="I64" s="1463">
        <v>1</v>
      </c>
      <c r="J64" s="1463">
        <v>1</v>
      </c>
      <c r="K64" s="1374">
        <f>D64*E64</f>
        <v>0</v>
      </c>
      <c r="L64" s="1370">
        <f t="shared" ref="L64:L65" si="22">D64*F64</f>
        <v>21096.186000000002</v>
      </c>
      <c r="M64" s="1370">
        <f t="shared" ref="M64:M65" si="23">D64*G64*I64</f>
        <v>203511.22199999998</v>
      </c>
      <c r="N64" s="1370">
        <f t="shared" ref="N64:N65" si="24">D64*H64*J64</f>
        <v>147526.80000000002</v>
      </c>
    </row>
    <row r="65" spans="1:14">
      <c r="A65" s="1393" t="s">
        <v>6976</v>
      </c>
      <c r="B65" s="1401" t="s">
        <v>3793</v>
      </c>
      <c r="C65" s="1387" t="s">
        <v>3792</v>
      </c>
      <c r="D65" s="1374">
        <v>1</v>
      </c>
      <c r="E65" s="1374"/>
      <c r="F65" s="1462">
        <f>Sheet5!J11749</f>
        <v>21096.186000000002</v>
      </c>
      <c r="G65" s="1462">
        <f>Sheet5!L11749</f>
        <v>339185.37</v>
      </c>
      <c r="H65" s="1462">
        <f>Sheet5!N11749</f>
        <v>147526.80000000002</v>
      </c>
      <c r="I65" s="1463">
        <v>1</v>
      </c>
      <c r="J65" s="1463">
        <v>1</v>
      </c>
      <c r="K65" s="1374">
        <f>D65*E65</f>
        <v>0</v>
      </c>
      <c r="L65" s="1370">
        <f t="shared" si="22"/>
        <v>21096.186000000002</v>
      </c>
      <c r="M65" s="1370">
        <f t="shared" si="23"/>
        <v>339185.37</v>
      </c>
      <c r="N65" s="1370">
        <f t="shared" si="24"/>
        <v>147526.80000000002</v>
      </c>
    </row>
    <row r="66" spans="1:14">
      <c r="A66" s="1349">
        <v>5</v>
      </c>
      <c r="B66" s="1396" t="s">
        <v>3794</v>
      </c>
      <c r="C66" s="1404" t="s">
        <v>3795</v>
      </c>
      <c r="D66" s="1352">
        <v>1</v>
      </c>
      <c r="E66" s="1353"/>
      <c r="F66" s="1353"/>
      <c r="G66" s="1353"/>
      <c r="H66" s="1353"/>
      <c r="I66" s="1354"/>
      <c r="J66" s="1354"/>
      <c r="K66" s="1353">
        <f>SUM(K68:K73)</f>
        <v>2362380</v>
      </c>
      <c r="L66" s="1353">
        <f>SUM(L68:L74)</f>
        <v>29000</v>
      </c>
      <c r="M66" s="1353">
        <f>SUM(M68:M74)</f>
        <v>605525.71400000004</v>
      </c>
      <c r="N66" s="1353">
        <f>SUM(N68:N74)</f>
        <v>0</v>
      </c>
    </row>
    <row r="67" spans="1:14">
      <c r="A67" s="1345"/>
      <c r="B67" s="1382" t="s">
        <v>3746</v>
      </c>
      <c r="C67" s="1381"/>
      <c r="D67" s="1383"/>
      <c r="E67" s="1384"/>
      <c r="F67" s="1383"/>
      <c r="G67" s="1383"/>
      <c r="H67" s="1385"/>
      <c r="I67" s="1386"/>
      <c r="J67" s="1386"/>
      <c r="K67" s="1374">
        <f>D67*E67</f>
        <v>0</v>
      </c>
      <c r="L67" s="1374"/>
      <c r="M67" s="1374"/>
      <c r="N67" s="1374"/>
    </row>
    <row r="68" spans="1:14">
      <c r="A68" s="1345"/>
      <c r="B68" s="1405" t="s">
        <v>3796</v>
      </c>
      <c r="C68" s="1406" t="s">
        <v>59</v>
      </c>
      <c r="D68" s="1407">
        <v>18</v>
      </c>
      <c r="E68" s="1405">
        <v>127910</v>
      </c>
      <c r="F68" s="1406"/>
      <c r="G68" s="1406"/>
      <c r="H68" s="1406"/>
      <c r="I68" s="1408"/>
      <c r="J68" s="1408"/>
      <c r="K68" s="1406">
        <f t="shared" ref="K68" si="25">E68*D68</f>
        <v>2302380</v>
      </c>
      <c r="L68" s="1406"/>
      <c r="M68" s="1406"/>
      <c r="N68" s="1406"/>
    </row>
    <row r="69" spans="1:14">
      <c r="A69" s="1345"/>
      <c r="B69" s="1409" t="s">
        <v>125</v>
      </c>
      <c r="C69" s="1410" t="s">
        <v>51</v>
      </c>
      <c r="D69" s="1346">
        <v>12</v>
      </c>
      <c r="E69" s="1411">
        <v>3500</v>
      </c>
      <c r="F69" s="1347"/>
      <c r="G69" s="1347"/>
      <c r="H69" s="1347"/>
      <c r="I69" s="1412"/>
      <c r="J69" s="1412"/>
      <c r="K69" s="1347">
        <f t="shared" ref="K69:K70" si="26">D69*E69</f>
        <v>42000</v>
      </c>
      <c r="L69" s="1411"/>
      <c r="M69" s="1411"/>
      <c r="N69" s="1411"/>
    </row>
    <row r="70" spans="1:14">
      <c r="A70" s="1345"/>
      <c r="B70" s="1409" t="s">
        <v>3797</v>
      </c>
      <c r="C70" s="1410" t="s">
        <v>51</v>
      </c>
      <c r="D70" s="1346">
        <v>12</v>
      </c>
      <c r="E70" s="1411">
        <v>1500</v>
      </c>
      <c r="F70" s="1347"/>
      <c r="G70" s="1347"/>
      <c r="H70" s="1347"/>
      <c r="I70" s="1412"/>
      <c r="J70" s="1412"/>
      <c r="K70" s="1347">
        <f t="shared" si="26"/>
        <v>18000</v>
      </c>
      <c r="L70" s="1411"/>
      <c r="M70" s="1411"/>
      <c r="N70" s="1411"/>
    </row>
    <row r="71" spans="1:14">
      <c r="A71" s="1345"/>
      <c r="B71" s="1413" t="s">
        <v>112</v>
      </c>
      <c r="C71" s="1410"/>
      <c r="D71" s="1346"/>
      <c r="E71" s="1411"/>
      <c r="F71" s="1347"/>
      <c r="G71" s="1347"/>
      <c r="H71" s="1347"/>
      <c r="I71" s="1412"/>
      <c r="J71" s="1412"/>
      <c r="K71" s="1411"/>
      <c r="L71" s="1411"/>
      <c r="M71" s="1411"/>
      <c r="N71" s="1411"/>
    </row>
    <row r="72" spans="1:14" ht="25.5">
      <c r="A72" s="1470" t="s">
        <v>7100</v>
      </c>
      <c r="B72" s="1414" t="s">
        <v>3798</v>
      </c>
      <c r="C72" s="1387" t="s">
        <v>2720</v>
      </c>
      <c r="D72" s="1394">
        <f>D68</f>
        <v>18</v>
      </c>
      <c r="E72" s="1394"/>
      <c r="F72" s="1462">
        <f>F84</f>
        <v>1450</v>
      </c>
      <c r="G72" s="1462">
        <f t="shared" ref="G72:J72" si="27">G84</f>
        <v>11056.25</v>
      </c>
      <c r="H72" s="1462">
        <f t="shared" si="27"/>
        <v>0</v>
      </c>
      <c r="I72" s="1462">
        <f t="shared" si="27"/>
        <v>1</v>
      </c>
      <c r="J72" s="1462">
        <f t="shared" si="27"/>
        <v>0</v>
      </c>
      <c r="K72" s="1374">
        <f t="shared" ref="K72:K73" si="28">D72*E72</f>
        <v>0</v>
      </c>
      <c r="L72" s="1370">
        <f t="shared" ref="L72:L73" si="29">D72*F72</f>
        <v>26100</v>
      </c>
      <c r="M72" s="1370">
        <f t="shared" ref="M72:M73" si="30">D72*G72*I72</f>
        <v>199012.5</v>
      </c>
      <c r="N72" s="1370">
        <f t="shared" ref="N72:N73" si="31">D72*H72*J72</f>
        <v>0</v>
      </c>
    </row>
    <row r="73" spans="1:14">
      <c r="A73" s="1393" t="s">
        <v>179</v>
      </c>
      <c r="B73" s="1401" t="s">
        <v>3799</v>
      </c>
      <c r="C73" s="1387" t="s">
        <v>3800</v>
      </c>
      <c r="D73" s="1415">
        <f>D69/10</f>
        <v>1.2</v>
      </c>
      <c r="E73" s="1374"/>
      <c r="F73" s="1462"/>
      <c r="G73" s="1462">
        <f>Sheet5!L8306</f>
        <v>38489.120000000003</v>
      </c>
      <c r="H73" s="1462">
        <f>Sheet5!N8306</f>
        <v>0</v>
      </c>
      <c r="I73" s="1463">
        <v>1</v>
      </c>
      <c r="J73" s="1463">
        <v>1</v>
      </c>
      <c r="K73" s="1374">
        <f t="shared" si="28"/>
        <v>0</v>
      </c>
      <c r="L73" s="1370">
        <f t="shared" si="29"/>
        <v>0</v>
      </c>
      <c r="M73" s="1370">
        <f t="shared" si="30"/>
        <v>46186.944000000003</v>
      </c>
      <c r="N73" s="1370">
        <f t="shared" si="31"/>
        <v>0</v>
      </c>
    </row>
    <row r="74" spans="1:14">
      <c r="A74" s="1349">
        <v>6</v>
      </c>
      <c r="B74" s="1396" t="s">
        <v>3801</v>
      </c>
      <c r="C74" s="1404" t="s">
        <v>3795</v>
      </c>
      <c r="D74" s="1352">
        <v>1</v>
      </c>
      <c r="E74" s="1353"/>
      <c r="F74" s="1353"/>
      <c r="G74" s="1353"/>
      <c r="H74" s="1353"/>
      <c r="I74" s="1354"/>
      <c r="J74" s="1354"/>
      <c r="K74" s="1353">
        <f>SUM(K76:K86)</f>
        <v>28108080</v>
      </c>
      <c r="L74" s="1353">
        <f>SUM(L76:L86)</f>
        <v>2900</v>
      </c>
      <c r="M74" s="1353">
        <f>SUM(M76:M86)</f>
        <v>360326.27</v>
      </c>
      <c r="N74" s="1353">
        <f>SUM(N76:N86)</f>
        <v>0</v>
      </c>
    </row>
    <row r="75" spans="1:14">
      <c r="A75" s="1345"/>
      <c r="B75" s="1382" t="s">
        <v>3746</v>
      </c>
      <c r="C75" s="1381"/>
      <c r="D75" s="1383"/>
      <c r="E75" s="1384"/>
      <c r="F75" s="1383"/>
      <c r="G75" s="1383"/>
      <c r="H75" s="1385"/>
      <c r="I75" s="1386"/>
      <c r="J75" s="1386"/>
      <c r="K75" s="1374">
        <f>D75*E75</f>
        <v>0</v>
      </c>
      <c r="L75" s="1374"/>
      <c r="M75" s="1374"/>
      <c r="N75" s="1374"/>
    </row>
    <row r="76" spans="1:14">
      <c r="A76" s="1345"/>
      <c r="B76" s="1401" t="s">
        <v>3802</v>
      </c>
      <c r="C76" s="1387" t="s">
        <v>2720</v>
      </c>
      <c r="D76" s="1346">
        <f>2*3*8</f>
        <v>48</v>
      </c>
      <c r="E76" s="1416">
        <v>435040</v>
      </c>
      <c r="F76" s="1374"/>
      <c r="G76" s="1374"/>
      <c r="H76" s="1391"/>
      <c r="I76" s="1390"/>
      <c r="J76" s="1390"/>
      <c r="K76" s="1374">
        <f>D76*E76</f>
        <v>20881920</v>
      </c>
      <c r="L76" s="1374"/>
      <c r="M76" s="1374"/>
      <c r="N76" s="1374"/>
    </row>
    <row r="77" spans="1:14">
      <c r="A77" s="1345"/>
      <c r="B77" s="1401" t="s">
        <v>3803</v>
      </c>
      <c r="C77" s="1387" t="s">
        <v>2720</v>
      </c>
      <c r="D77" s="1346">
        <v>16</v>
      </c>
      <c r="E77" s="1417">
        <v>334010</v>
      </c>
      <c r="F77" s="1374"/>
      <c r="G77" s="1374"/>
      <c r="H77" s="1391"/>
      <c r="I77" s="1390"/>
      <c r="J77" s="1390"/>
      <c r="K77" s="1374">
        <f>D77*E77</f>
        <v>5344160</v>
      </c>
      <c r="L77" s="1374"/>
      <c r="M77" s="1374"/>
      <c r="N77" s="1374"/>
    </row>
    <row r="78" spans="1:14">
      <c r="A78" s="1345"/>
      <c r="B78" s="1409" t="s">
        <v>181</v>
      </c>
      <c r="C78" s="1410" t="s">
        <v>51</v>
      </c>
      <c r="D78" s="1346">
        <v>12</v>
      </c>
      <c r="E78" s="1411">
        <v>126500</v>
      </c>
      <c r="F78" s="1347"/>
      <c r="G78" s="1347"/>
      <c r="H78" s="1347"/>
      <c r="I78" s="1412"/>
      <c r="J78" s="1412"/>
      <c r="K78" s="1347">
        <f t="shared" ref="K78:K81" si="32">D78*E78</f>
        <v>1518000</v>
      </c>
      <c r="L78" s="1411"/>
      <c r="M78" s="1411"/>
      <c r="N78" s="1411"/>
    </row>
    <row r="79" spans="1:14">
      <c r="A79" s="1345"/>
      <c r="B79" s="1409" t="s">
        <v>3804</v>
      </c>
      <c r="C79" s="1410" t="s">
        <v>51</v>
      </c>
      <c r="D79" s="1346">
        <v>4</v>
      </c>
      <c r="E79" s="1411">
        <v>67000</v>
      </c>
      <c r="F79" s="1347"/>
      <c r="G79" s="1347"/>
      <c r="H79" s="1347"/>
      <c r="I79" s="1412"/>
      <c r="J79" s="1412"/>
      <c r="K79" s="1347">
        <f t="shared" si="32"/>
        <v>268000</v>
      </c>
      <c r="L79" s="1411"/>
      <c r="M79" s="1411"/>
      <c r="N79" s="1411"/>
    </row>
    <row r="80" spans="1:14">
      <c r="A80" s="1345"/>
      <c r="B80" s="1409" t="s">
        <v>3805</v>
      </c>
      <c r="C80" s="1410" t="s">
        <v>51</v>
      </c>
      <c r="D80" s="1346">
        <v>12</v>
      </c>
      <c r="E80" s="1411">
        <v>6000</v>
      </c>
      <c r="F80" s="1347"/>
      <c r="G80" s="1347"/>
      <c r="H80" s="1347"/>
      <c r="I80" s="1412"/>
      <c r="J80" s="1412"/>
      <c r="K80" s="1347">
        <f t="shared" si="32"/>
        <v>72000</v>
      </c>
      <c r="L80" s="1411"/>
      <c r="M80" s="1411"/>
      <c r="N80" s="1411"/>
    </row>
    <row r="81" spans="1:14">
      <c r="A81" s="1345"/>
      <c r="B81" s="1409" t="s">
        <v>3806</v>
      </c>
      <c r="C81" s="1410" t="s">
        <v>51</v>
      </c>
      <c r="D81" s="1346">
        <v>4</v>
      </c>
      <c r="E81" s="1411">
        <v>6000</v>
      </c>
      <c r="F81" s="1347"/>
      <c r="G81" s="1347"/>
      <c r="H81" s="1347"/>
      <c r="I81" s="1412"/>
      <c r="J81" s="1412"/>
      <c r="K81" s="1347">
        <f t="shared" si="32"/>
        <v>24000</v>
      </c>
      <c r="L81" s="1411"/>
      <c r="M81" s="1411"/>
      <c r="N81" s="1411"/>
    </row>
    <row r="82" spans="1:14">
      <c r="A82" s="1345"/>
      <c r="B82" s="1413" t="s">
        <v>112</v>
      </c>
      <c r="C82" s="1410"/>
      <c r="D82" s="1346"/>
      <c r="E82" s="1411"/>
      <c r="F82" s="1347"/>
      <c r="G82" s="1347"/>
      <c r="H82" s="1347"/>
      <c r="I82" s="1412"/>
      <c r="J82" s="1412"/>
      <c r="K82" s="1411"/>
      <c r="L82" s="1411"/>
      <c r="M82" s="1411"/>
      <c r="N82" s="1411"/>
    </row>
    <row r="83" spans="1:14" ht="25.5">
      <c r="A83" s="1470" t="s">
        <v>7102</v>
      </c>
      <c r="B83" s="1414" t="s">
        <v>3807</v>
      </c>
      <c r="C83" s="1387" t="s">
        <v>2720</v>
      </c>
      <c r="D83" s="1394">
        <v>1</v>
      </c>
      <c r="E83" s="1374"/>
      <c r="F83" s="1462">
        <f>F96</f>
        <v>1450</v>
      </c>
      <c r="G83" s="1462">
        <f t="shared" ref="G83:J83" si="33">G96</f>
        <v>22112.5</v>
      </c>
      <c r="H83" s="1462">
        <f t="shared" si="33"/>
        <v>0</v>
      </c>
      <c r="I83" s="1462">
        <f t="shared" si="33"/>
        <v>1</v>
      </c>
      <c r="J83" s="1462">
        <f t="shared" si="33"/>
        <v>1</v>
      </c>
      <c r="K83" s="1374">
        <f>D83*E83</f>
        <v>0</v>
      </c>
      <c r="L83" s="1370">
        <f t="shared" ref="L83:L86" si="34">D83*F83</f>
        <v>1450</v>
      </c>
      <c r="M83" s="1370">
        <f t="shared" ref="M83:M86" si="35">D83*G83*I83</f>
        <v>22112.5</v>
      </c>
      <c r="N83" s="1370">
        <f t="shared" ref="N83:N86" si="36">D83*H83*J83</f>
        <v>0</v>
      </c>
    </row>
    <row r="84" spans="1:14" ht="25.5">
      <c r="A84" s="1470" t="s">
        <v>7100</v>
      </c>
      <c r="B84" s="1414" t="s">
        <v>3798</v>
      </c>
      <c r="C84" s="1387" t="s">
        <v>2720</v>
      </c>
      <c r="D84" s="1394">
        <v>1</v>
      </c>
      <c r="E84" s="1374"/>
      <c r="F84" s="1462">
        <f>F97</f>
        <v>1450</v>
      </c>
      <c r="G84" s="1462">
        <f t="shared" ref="G84:J84" si="37">G97</f>
        <v>11056.25</v>
      </c>
      <c r="H84" s="1462">
        <f t="shared" si="37"/>
        <v>0</v>
      </c>
      <c r="I84" s="1462">
        <f t="shared" si="37"/>
        <v>1</v>
      </c>
      <c r="J84" s="1462">
        <f t="shared" si="37"/>
        <v>0</v>
      </c>
      <c r="K84" s="1374">
        <f>D84*E84</f>
        <v>0</v>
      </c>
      <c r="L84" s="1370">
        <f t="shared" si="34"/>
        <v>1450</v>
      </c>
      <c r="M84" s="1370">
        <f t="shared" si="35"/>
        <v>11056.25</v>
      </c>
      <c r="N84" s="1370">
        <f t="shared" si="36"/>
        <v>0</v>
      </c>
    </row>
    <row r="85" spans="1:14">
      <c r="A85" s="1347" t="s">
        <v>188</v>
      </c>
      <c r="B85" s="1409" t="s">
        <v>189</v>
      </c>
      <c r="C85" s="1410" t="s">
        <v>180</v>
      </c>
      <c r="D85" s="1369">
        <f>D78/10</f>
        <v>1.2</v>
      </c>
      <c r="E85" s="1347"/>
      <c r="F85" s="1471">
        <f>F98</f>
        <v>0</v>
      </c>
      <c r="G85" s="1471">
        <f t="shared" ref="G85:J85" si="38">G98</f>
        <v>216501.30000000002</v>
      </c>
      <c r="H85" s="1471">
        <f t="shared" si="38"/>
        <v>0</v>
      </c>
      <c r="I85" s="1471">
        <f t="shared" si="38"/>
        <v>1</v>
      </c>
      <c r="J85" s="1471">
        <f t="shared" si="38"/>
        <v>1</v>
      </c>
      <c r="K85" s="1411"/>
      <c r="L85" s="1370">
        <f t="shared" si="34"/>
        <v>0</v>
      </c>
      <c r="M85" s="1370">
        <f t="shared" si="35"/>
        <v>259801.56</v>
      </c>
      <c r="N85" s="1370">
        <f t="shared" si="36"/>
        <v>0</v>
      </c>
    </row>
    <row r="86" spans="1:14">
      <c r="A86" s="1419" t="s">
        <v>1779</v>
      </c>
      <c r="B86" s="1420" t="s">
        <v>2377</v>
      </c>
      <c r="C86" s="1410" t="s">
        <v>180</v>
      </c>
      <c r="D86" s="1346">
        <f>D79/10</f>
        <v>0.4</v>
      </c>
      <c r="E86" s="1347"/>
      <c r="F86" s="1467">
        <f>F99</f>
        <v>0</v>
      </c>
      <c r="G86" s="1467">
        <f t="shared" ref="G86:J86" si="39">G99</f>
        <v>168389.9</v>
      </c>
      <c r="H86" s="1467">
        <f t="shared" si="39"/>
        <v>0</v>
      </c>
      <c r="I86" s="1467">
        <f t="shared" si="39"/>
        <v>1</v>
      </c>
      <c r="J86" s="1467">
        <f t="shared" si="39"/>
        <v>1</v>
      </c>
      <c r="K86" s="1347"/>
      <c r="L86" s="1370">
        <f t="shared" si="34"/>
        <v>0</v>
      </c>
      <c r="M86" s="1370">
        <f t="shared" si="35"/>
        <v>67355.960000000006</v>
      </c>
      <c r="N86" s="1370">
        <f t="shared" si="36"/>
        <v>0</v>
      </c>
    </row>
    <row r="87" spans="1:14">
      <c r="A87" s="1349">
        <v>7</v>
      </c>
      <c r="B87" s="1396" t="s">
        <v>3808</v>
      </c>
      <c r="C87" s="1404" t="s">
        <v>3795</v>
      </c>
      <c r="D87" s="1352">
        <v>1</v>
      </c>
      <c r="E87" s="1353"/>
      <c r="F87" s="1353"/>
      <c r="G87" s="1353"/>
      <c r="H87" s="1353"/>
      <c r="I87" s="1354"/>
      <c r="J87" s="1354"/>
      <c r="K87" s="1353">
        <f>SUM(K89:K99)</f>
        <v>27183900</v>
      </c>
      <c r="L87" s="1353">
        <f>SUM(L89:L99)</f>
        <v>79750</v>
      </c>
      <c r="M87" s="1353">
        <f>SUM(M89:M99)</f>
        <v>1822484.8599999999</v>
      </c>
      <c r="N87" s="1353">
        <f>SUM(N89:N99)</f>
        <v>0</v>
      </c>
    </row>
    <row r="88" spans="1:14">
      <c r="A88" s="1345"/>
      <c r="B88" s="1382" t="s">
        <v>3746</v>
      </c>
      <c r="C88" s="1381"/>
      <c r="D88" s="1383"/>
      <c r="E88" s="1384"/>
      <c r="F88" s="1383"/>
      <c r="G88" s="1383"/>
      <c r="H88" s="1385"/>
      <c r="I88" s="1386"/>
      <c r="J88" s="1386"/>
      <c r="K88" s="1374">
        <f>D88*E88</f>
        <v>0</v>
      </c>
      <c r="L88" s="1374"/>
      <c r="M88" s="1374"/>
      <c r="N88" s="1374"/>
    </row>
    <row r="89" spans="1:14">
      <c r="A89" s="1345"/>
      <c r="B89" s="1401" t="s">
        <v>3802</v>
      </c>
      <c r="C89" s="1387" t="s">
        <v>2720</v>
      </c>
      <c r="D89" s="1346">
        <v>45</v>
      </c>
      <c r="E89" s="1417">
        <f>E76</f>
        <v>435040</v>
      </c>
      <c r="F89" s="1374"/>
      <c r="G89" s="1374"/>
      <c r="H89" s="1391"/>
      <c r="I89" s="1390"/>
      <c r="J89" s="1390"/>
      <c r="K89" s="1374">
        <f>D89*E89</f>
        <v>19576800</v>
      </c>
      <c r="L89" s="1374"/>
      <c r="M89" s="1374"/>
      <c r="N89" s="1374"/>
    </row>
    <row r="90" spans="1:14">
      <c r="A90" s="1345"/>
      <c r="B90" s="1401" t="s">
        <v>3803</v>
      </c>
      <c r="C90" s="1387" t="s">
        <v>2720</v>
      </c>
      <c r="D90" s="1346">
        <v>10</v>
      </c>
      <c r="E90" s="1417">
        <v>334010</v>
      </c>
      <c r="F90" s="1374"/>
      <c r="G90" s="1374"/>
      <c r="H90" s="1391"/>
      <c r="I90" s="1390"/>
      <c r="J90" s="1390"/>
      <c r="K90" s="1374">
        <f>D90*E90</f>
        <v>3340100</v>
      </c>
      <c r="L90" s="1374"/>
      <c r="M90" s="1374"/>
      <c r="N90" s="1374"/>
    </row>
    <row r="91" spans="1:14">
      <c r="A91" s="1345"/>
      <c r="B91" s="1409" t="s">
        <v>181</v>
      </c>
      <c r="C91" s="1410" t="s">
        <v>51</v>
      </c>
      <c r="D91" s="1346">
        <v>30</v>
      </c>
      <c r="E91" s="1411">
        <v>126500</v>
      </c>
      <c r="F91" s="1347"/>
      <c r="G91" s="1347"/>
      <c r="H91" s="1347"/>
      <c r="I91" s="1412"/>
      <c r="J91" s="1412"/>
      <c r="K91" s="1347">
        <f t="shared" ref="K91:K94" si="40">D91*E91</f>
        <v>3795000</v>
      </c>
      <c r="L91" s="1411"/>
      <c r="M91" s="1411"/>
      <c r="N91" s="1411"/>
    </row>
    <row r="92" spans="1:14">
      <c r="A92" s="1345"/>
      <c r="B92" s="1409" t="s">
        <v>3804</v>
      </c>
      <c r="C92" s="1410" t="s">
        <v>51</v>
      </c>
      <c r="D92" s="1346">
        <v>4</v>
      </c>
      <c r="E92" s="1411">
        <v>67000</v>
      </c>
      <c r="F92" s="1347"/>
      <c r="G92" s="1347"/>
      <c r="H92" s="1347"/>
      <c r="I92" s="1412"/>
      <c r="J92" s="1412"/>
      <c r="K92" s="1347">
        <f t="shared" si="40"/>
        <v>268000</v>
      </c>
      <c r="L92" s="1411"/>
      <c r="M92" s="1411"/>
      <c r="N92" s="1411"/>
    </row>
    <row r="93" spans="1:14">
      <c r="A93" s="1345"/>
      <c r="B93" s="1409" t="s">
        <v>3805</v>
      </c>
      <c r="C93" s="1410" t="s">
        <v>51</v>
      </c>
      <c r="D93" s="1346">
        <v>30</v>
      </c>
      <c r="E93" s="1411">
        <v>6000</v>
      </c>
      <c r="F93" s="1347"/>
      <c r="G93" s="1347"/>
      <c r="H93" s="1347"/>
      <c r="I93" s="1412"/>
      <c r="J93" s="1412"/>
      <c r="K93" s="1347">
        <f t="shared" si="40"/>
        <v>180000</v>
      </c>
      <c r="L93" s="1411"/>
      <c r="M93" s="1411"/>
      <c r="N93" s="1411"/>
    </row>
    <row r="94" spans="1:14">
      <c r="A94" s="1345"/>
      <c r="B94" s="1409" t="s">
        <v>3806</v>
      </c>
      <c r="C94" s="1410" t="s">
        <v>51</v>
      </c>
      <c r="D94" s="1346">
        <v>4</v>
      </c>
      <c r="E94" s="1411">
        <v>6000</v>
      </c>
      <c r="F94" s="1347"/>
      <c r="G94" s="1347"/>
      <c r="H94" s="1347"/>
      <c r="I94" s="1412"/>
      <c r="J94" s="1412"/>
      <c r="K94" s="1347">
        <f t="shared" si="40"/>
        <v>24000</v>
      </c>
      <c r="L94" s="1411"/>
      <c r="M94" s="1411"/>
      <c r="N94" s="1411"/>
    </row>
    <row r="95" spans="1:14">
      <c r="A95" s="1345"/>
      <c r="B95" s="1413" t="s">
        <v>112</v>
      </c>
      <c r="C95" s="1410"/>
      <c r="D95" s="1346"/>
      <c r="E95" s="1411"/>
      <c r="F95" s="1347"/>
      <c r="G95" s="1347"/>
      <c r="H95" s="1347"/>
      <c r="I95" s="1412"/>
      <c r="J95" s="1412"/>
      <c r="K95" s="1411"/>
      <c r="L95" s="1411"/>
      <c r="M95" s="1411"/>
      <c r="N95" s="1411"/>
    </row>
    <row r="96" spans="1:14">
      <c r="A96" s="1470" t="s">
        <v>7102</v>
      </c>
      <c r="B96" s="1401" t="s">
        <v>3807</v>
      </c>
      <c r="C96" s="1387" t="s">
        <v>2720</v>
      </c>
      <c r="D96" s="1394">
        <f>D89</f>
        <v>45</v>
      </c>
      <c r="E96" s="1374"/>
      <c r="F96" s="1462">
        <f>F109</f>
        <v>1450</v>
      </c>
      <c r="G96" s="1462">
        <f t="shared" ref="G96:J96" si="41">G109</f>
        <v>22112.5</v>
      </c>
      <c r="H96" s="1462">
        <f t="shared" si="41"/>
        <v>0</v>
      </c>
      <c r="I96" s="1462">
        <f t="shared" si="41"/>
        <v>1</v>
      </c>
      <c r="J96" s="1462">
        <f t="shared" si="41"/>
        <v>1</v>
      </c>
      <c r="K96" s="1374">
        <f>D96*E96</f>
        <v>0</v>
      </c>
      <c r="L96" s="1370">
        <f t="shared" ref="L96:L99" si="42">D96*F96</f>
        <v>65250</v>
      </c>
      <c r="M96" s="1370">
        <f t="shared" ref="M96:M99" si="43">D96*G96*I96</f>
        <v>995062.5</v>
      </c>
      <c r="N96" s="1370">
        <f t="shared" ref="N96:N99" si="44">D96*H96*J96</f>
        <v>0</v>
      </c>
    </row>
    <row r="97" spans="1:14">
      <c r="A97" s="1470" t="s">
        <v>7100</v>
      </c>
      <c r="B97" s="1401" t="s">
        <v>3798</v>
      </c>
      <c r="C97" s="1387" t="s">
        <v>2720</v>
      </c>
      <c r="D97" s="1394">
        <f>D90</f>
        <v>10</v>
      </c>
      <c r="E97" s="1374"/>
      <c r="F97" s="1462">
        <f>F110</f>
        <v>1450</v>
      </c>
      <c r="G97" s="1462">
        <f t="shared" ref="G97:J97" si="45">G110</f>
        <v>11056.25</v>
      </c>
      <c r="H97" s="1462">
        <f t="shared" si="45"/>
        <v>0</v>
      </c>
      <c r="I97" s="1462">
        <f t="shared" si="45"/>
        <v>1</v>
      </c>
      <c r="J97" s="1462">
        <f t="shared" si="45"/>
        <v>0</v>
      </c>
      <c r="K97" s="1374">
        <f>D97*E97</f>
        <v>0</v>
      </c>
      <c r="L97" s="1370">
        <f t="shared" si="42"/>
        <v>14500</v>
      </c>
      <c r="M97" s="1370">
        <f t="shared" si="43"/>
        <v>110562.5</v>
      </c>
      <c r="N97" s="1370">
        <f t="shared" si="44"/>
        <v>0</v>
      </c>
    </row>
    <row r="98" spans="1:14">
      <c r="A98" s="1347" t="s">
        <v>188</v>
      </c>
      <c r="B98" s="1409" t="s">
        <v>189</v>
      </c>
      <c r="C98" s="1410" t="s">
        <v>180</v>
      </c>
      <c r="D98" s="1369">
        <f>D91/10</f>
        <v>3</v>
      </c>
      <c r="E98" s="1347"/>
      <c r="F98" s="1471"/>
      <c r="G98" s="1471">
        <f>G111</f>
        <v>216501.30000000002</v>
      </c>
      <c r="H98" s="1471">
        <f t="shared" ref="H98:J98" si="46">H111</f>
        <v>0</v>
      </c>
      <c r="I98" s="1471">
        <f t="shared" si="46"/>
        <v>1</v>
      </c>
      <c r="J98" s="1471">
        <f t="shared" si="46"/>
        <v>1</v>
      </c>
      <c r="K98" s="1411"/>
      <c r="L98" s="1370">
        <f t="shared" si="42"/>
        <v>0</v>
      </c>
      <c r="M98" s="1370">
        <f t="shared" si="43"/>
        <v>649503.9</v>
      </c>
      <c r="N98" s="1370">
        <f t="shared" si="44"/>
        <v>0</v>
      </c>
    </row>
    <row r="99" spans="1:14">
      <c r="A99" s="1419" t="s">
        <v>1779</v>
      </c>
      <c r="B99" s="1420" t="s">
        <v>2377</v>
      </c>
      <c r="C99" s="1410" t="s">
        <v>180</v>
      </c>
      <c r="D99" s="1346">
        <f>D92/10</f>
        <v>0.4</v>
      </c>
      <c r="E99" s="1347"/>
      <c r="F99" s="1467"/>
      <c r="G99" s="1467">
        <f>G112</f>
        <v>168389.9</v>
      </c>
      <c r="H99" s="1467">
        <f t="shared" ref="H99:J99" si="47">H112</f>
        <v>0</v>
      </c>
      <c r="I99" s="1467">
        <f t="shared" si="47"/>
        <v>1</v>
      </c>
      <c r="J99" s="1467">
        <f t="shared" si="47"/>
        <v>1</v>
      </c>
      <c r="K99" s="1347"/>
      <c r="L99" s="1370">
        <f t="shared" si="42"/>
        <v>0</v>
      </c>
      <c r="M99" s="1370">
        <f t="shared" si="43"/>
        <v>67355.960000000006</v>
      </c>
      <c r="N99" s="1370">
        <f t="shared" si="44"/>
        <v>0</v>
      </c>
    </row>
    <row r="100" spans="1:14">
      <c r="A100" s="1349">
        <v>8</v>
      </c>
      <c r="B100" s="1396" t="s">
        <v>3809</v>
      </c>
      <c r="C100" s="1404" t="s">
        <v>3795</v>
      </c>
      <c r="D100" s="1352">
        <v>1</v>
      </c>
      <c r="E100" s="1353"/>
      <c r="F100" s="1353"/>
      <c r="G100" s="1353"/>
      <c r="H100" s="1353"/>
      <c r="I100" s="1354"/>
      <c r="J100" s="1354"/>
      <c r="K100" s="1353">
        <f>SUM(K102:K112)</f>
        <v>73017700</v>
      </c>
      <c r="L100" s="1353">
        <f>SUM(L102:L112)</f>
        <v>239250</v>
      </c>
      <c r="M100" s="1353">
        <f>SUM(M102:M112)</f>
        <v>4033734.86</v>
      </c>
      <c r="N100" s="1353">
        <f>SUM(N102:N112)</f>
        <v>0</v>
      </c>
    </row>
    <row r="101" spans="1:14">
      <c r="A101" s="1345"/>
      <c r="B101" s="1382" t="s">
        <v>3746</v>
      </c>
      <c r="C101" s="1381"/>
      <c r="D101" s="1383"/>
      <c r="E101" s="1384"/>
      <c r="F101" s="1383"/>
      <c r="G101" s="1383"/>
      <c r="H101" s="1385"/>
      <c r="I101" s="1386"/>
      <c r="J101" s="1386"/>
      <c r="K101" s="1374">
        <f>D101*E101</f>
        <v>0</v>
      </c>
      <c r="L101" s="1374"/>
      <c r="M101" s="1374"/>
      <c r="N101" s="1374"/>
    </row>
    <row r="102" spans="1:14">
      <c r="A102" s="1345"/>
      <c r="B102" s="1401" t="s">
        <v>3802</v>
      </c>
      <c r="C102" s="1387" t="s">
        <v>2720</v>
      </c>
      <c r="D102" s="1346">
        <v>135</v>
      </c>
      <c r="E102" s="1417">
        <v>435040</v>
      </c>
      <c r="F102" s="1374"/>
      <c r="G102" s="1374"/>
      <c r="H102" s="1391"/>
      <c r="I102" s="1390"/>
      <c r="J102" s="1390"/>
      <c r="K102" s="1374">
        <f>D102*E102</f>
        <v>58730400</v>
      </c>
      <c r="L102" s="1374"/>
      <c r="M102" s="1374"/>
      <c r="N102" s="1374"/>
    </row>
    <row r="103" spans="1:14">
      <c r="A103" s="1345"/>
      <c r="B103" s="1401" t="s">
        <v>3803</v>
      </c>
      <c r="C103" s="1387" t="s">
        <v>2720</v>
      </c>
      <c r="D103" s="1346">
        <v>30</v>
      </c>
      <c r="E103" s="1417">
        <v>334010</v>
      </c>
      <c r="F103" s="1374"/>
      <c r="G103" s="1374"/>
      <c r="H103" s="1391"/>
      <c r="I103" s="1390"/>
      <c r="J103" s="1390"/>
      <c r="K103" s="1374">
        <f>D103*E103</f>
        <v>10020300</v>
      </c>
      <c r="L103" s="1374"/>
      <c r="M103" s="1374"/>
      <c r="N103" s="1374"/>
    </row>
    <row r="104" spans="1:14">
      <c r="A104" s="1345"/>
      <c r="B104" s="1409" t="s">
        <v>181</v>
      </c>
      <c r="C104" s="1410" t="s">
        <v>51</v>
      </c>
      <c r="D104" s="1346">
        <v>30</v>
      </c>
      <c r="E104" s="1411">
        <v>126500</v>
      </c>
      <c r="F104" s="1347"/>
      <c r="G104" s="1347"/>
      <c r="H104" s="1347"/>
      <c r="I104" s="1412"/>
      <c r="J104" s="1412"/>
      <c r="K104" s="1347">
        <f t="shared" ref="K104:K107" si="48">D104*E104</f>
        <v>3795000</v>
      </c>
      <c r="L104" s="1411"/>
      <c r="M104" s="1411"/>
      <c r="N104" s="1411"/>
    </row>
    <row r="105" spans="1:14">
      <c r="A105" s="1345"/>
      <c r="B105" s="1409" t="s">
        <v>3804</v>
      </c>
      <c r="C105" s="1410" t="s">
        <v>51</v>
      </c>
      <c r="D105" s="1346">
        <v>4</v>
      </c>
      <c r="E105" s="1411">
        <v>67000</v>
      </c>
      <c r="F105" s="1347"/>
      <c r="G105" s="1347"/>
      <c r="H105" s="1347"/>
      <c r="I105" s="1412"/>
      <c r="J105" s="1412"/>
      <c r="K105" s="1347">
        <f t="shared" si="48"/>
        <v>268000</v>
      </c>
      <c r="L105" s="1411"/>
      <c r="M105" s="1411"/>
      <c r="N105" s="1411"/>
    </row>
    <row r="106" spans="1:14">
      <c r="A106" s="1345"/>
      <c r="B106" s="1409" t="s">
        <v>3805</v>
      </c>
      <c r="C106" s="1410" t="s">
        <v>51</v>
      </c>
      <c r="D106" s="1346">
        <v>30</v>
      </c>
      <c r="E106" s="1411">
        <v>6000</v>
      </c>
      <c r="F106" s="1347"/>
      <c r="G106" s="1347"/>
      <c r="H106" s="1347"/>
      <c r="I106" s="1412"/>
      <c r="J106" s="1412"/>
      <c r="K106" s="1347">
        <f t="shared" si="48"/>
        <v>180000</v>
      </c>
      <c r="L106" s="1411"/>
      <c r="M106" s="1411"/>
      <c r="N106" s="1411"/>
    </row>
    <row r="107" spans="1:14">
      <c r="A107" s="1345"/>
      <c r="B107" s="1409" t="s">
        <v>3806</v>
      </c>
      <c r="C107" s="1410" t="s">
        <v>51</v>
      </c>
      <c r="D107" s="1346">
        <v>4</v>
      </c>
      <c r="E107" s="1411">
        <v>6000</v>
      </c>
      <c r="F107" s="1347"/>
      <c r="G107" s="1347"/>
      <c r="H107" s="1347"/>
      <c r="I107" s="1412"/>
      <c r="J107" s="1412"/>
      <c r="K107" s="1347">
        <f t="shared" si="48"/>
        <v>24000</v>
      </c>
      <c r="L107" s="1411"/>
      <c r="M107" s="1411"/>
      <c r="N107" s="1411"/>
    </row>
    <row r="108" spans="1:14">
      <c r="A108" s="1345"/>
      <c r="B108" s="1413" t="s">
        <v>112</v>
      </c>
      <c r="C108" s="1410"/>
      <c r="D108" s="1346"/>
      <c r="E108" s="1411"/>
      <c r="F108" s="1347"/>
      <c r="G108" s="1347"/>
      <c r="H108" s="1347"/>
      <c r="I108" s="1412"/>
      <c r="J108" s="1412"/>
      <c r="K108" s="1411"/>
      <c r="L108" s="1411"/>
      <c r="M108" s="1411"/>
      <c r="N108" s="1411"/>
    </row>
    <row r="109" spans="1:14">
      <c r="A109" s="1470" t="str">
        <f>A119</f>
        <v>T4.4102</v>
      </c>
      <c r="B109" s="1393" t="str">
        <f t="shared" ref="B109:C109" si="49">B119</f>
        <v>Lắp dây dẫn xuống thiết bị, cáp đồng tiết diện &lt;= 150mm2</v>
      </c>
      <c r="C109" s="1393" t="str">
        <f t="shared" si="49"/>
        <v>Mét</v>
      </c>
      <c r="D109" s="1394">
        <f>D102</f>
        <v>135</v>
      </c>
      <c r="E109" s="1374"/>
      <c r="F109" s="1462">
        <f>Sheet5!J12201</f>
        <v>1450</v>
      </c>
      <c r="G109" s="1462">
        <f>Sheet5!L12208</f>
        <v>22112.5</v>
      </c>
      <c r="H109" s="1462">
        <v>0</v>
      </c>
      <c r="I109" s="1462">
        <f t="shared" ref="I109:J109" si="50">I119</f>
        <v>1</v>
      </c>
      <c r="J109" s="1462">
        <f t="shared" si="50"/>
        <v>1</v>
      </c>
      <c r="K109" s="1462">
        <f>D109*E109</f>
        <v>0</v>
      </c>
      <c r="L109" s="1465">
        <f t="shared" ref="L109:L112" si="51">D109*F109</f>
        <v>195750</v>
      </c>
      <c r="M109" s="1465">
        <f t="shared" ref="M109:M112" si="52">D109*G109*I109</f>
        <v>2985187.5</v>
      </c>
      <c r="N109" s="1465">
        <f t="shared" ref="N109:N112" si="53">D109*H109*J109</f>
        <v>0</v>
      </c>
    </row>
    <row r="110" spans="1:14">
      <c r="A110" s="1470" t="s">
        <v>7100</v>
      </c>
      <c r="B110" s="1401" t="s">
        <v>3798</v>
      </c>
      <c r="C110" s="1387" t="s">
        <v>2720</v>
      </c>
      <c r="D110" s="1394">
        <f>D103</f>
        <v>30</v>
      </c>
      <c r="E110" s="1374"/>
      <c r="F110" s="1462">
        <f>Sheet5!J12201</f>
        <v>1450</v>
      </c>
      <c r="G110" s="1462">
        <f>Sheet5!L12201</f>
        <v>11056.25</v>
      </c>
      <c r="H110" s="1464"/>
      <c r="I110" s="1469">
        <v>1</v>
      </c>
      <c r="J110" s="1469"/>
      <c r="K110" s="1462">
        <f>D110*E110</f>
        <v>0</v>
      </c>
      <c r="L110" s="1465">
        <f t="shared" si="51"/>
        <v>43500</v>
      </c>
      <c r="M110" s="1465">
        <f t="shared" si="52"/>
        <v>331687.5</v>
      </c>
      <c r="N110" s="1465">
        <f t="shared" si="53"/>
        <v>0</v>
      </c>
    </row>
    <row r="111" spans="1:14">
      <c r="A111" s="1347" t="s">
        <v>188</v>
      </c>
      <c r="B111" s="1409" t="s">
        <v>189</v>
      </c>
      <c r="C111" s="1410" t="s">
        <v>180</v>
      </c>
      <c r="D111" s="1369">
        <f>D104/10</f>
        <v>3</v>
      </c>
      <c r="E111" s="1347"/>
      <c r="F111" s="1471"/>
      <c r="G111" s="1471">
        <f>Sheet5!L8326</f>
        <v>216501.30000000002</v>
      </c>
      <c r="H111" s="1471">
        <f>Sheet5!N8326</f>
        <v>0</v>
      </c>
      <c r="I111" s="1463">
        <v>1</v>
      </c>
      <c r="J111" s="1463">
        <v>1</v>
      </c>
      <c r="K111" s="1411"/>
      <c r="L111" s="1370">
        <f t="shared" si="51"/>
        <v>0</v>
      </c>
      <c r="M111" s="1370">
        <f t="shared" si="52"/>
        <v>649503.9</v>
      </c>
      <c r="N111" s="1370">
        <f t="shared" si="53"/>
        <v>0</v>
      </c>
    </row>
    <row r="112" spans="1:14">
      <c r="A112" s="1419" t="s">
        <v>1779</v>
      </c>
      <c r="B112" s="1420" t="s">
        <v>2377</v>
      </c>
      <c r="C112" s="1410" t="s">
        <v>180</v>
      </c>
      <c r="D112" s="1346">
        <f>D105/10</f>
        <v>0.4</v>
      </c>
      <c r="E112" s="1347"/>
      <c r="F112" s="1467"/>
      <c r="G112" s="1467">
        <f>Sheet5!L8321</f>
        <v>168389.9</v>
      </c>
      <c r="H112" s="1467">
        <f>Sheet5!N8321</f>
        <v>0</v>
      </c>
      <c r="I112" s="1463">
        <v>1</v>
      </c>
      <c r="J112" s="1463">
        <v>1</v>
      </c>
      <c r="K112" s="1347"/>
      <c r="L112" s="1370">
        <f t="shared" si="51"/>
        <v>0</v>
      </c>
      <c r="M112" s="1370">
        <f t="shared" si="52"/>
        <v>67355.960000000006</v>
      </c>
      <c r="N112" s="1370">
        <f t="shared" si="53"/>
        <v>0</v>
      </c>
    </row>
    <row r="113" spans="1:14">
      <c r="A113" s="1349">
        <v>9</v>
      </c>
      <c r="B113" s="1396" t="s">
        <v>3810</v>
      </c>
      <c r="C113" s="1404" t="s">
        <v>3795</v>
      </c>
      <c r="D113" s="1352">
        <v>1</v>
      </c>
      <c r="E113" s="1353"/>
      <c r="F113" s="1353"/>
      <c r="G113" s="1353"/>
      <c r="H113" s="1353"/>
      <c r="I113" s="1354"/>
      <c r="J113" s="1354"/>
      <c r="K113" s="1353">
        <f>SUM(K115:K120)</f>
        <v>7320600</v>
      </c>
      <c r="L113" s="1353">
        <f>SUM(L115:L120)</f>
        <v>0</v>
      </c>
      <c r="M113" s="1353">
        <f>SUM(M115:M120)</f>
        <v>151650.78</v>
      </c>
      <c r="N113" s="1353">
        <f>SUM(N115:N120)</f>
        <v>165843.75</v>
      </c>
    </row>
    <row r="114" spans="1:14">
      <c r="A114" s="1345"/>
      <c r="B114" s="1382" t="s">
        <v>3746</v>
      </c>
      <c r="C114" s="1381"/>
      <c r="D114" s="1383"/>
      <c r="E114" s="1384"/>
      <c r="F114" s="1383"/>
      <c r="G114" s="1383"/>
      <c r="H114" s="1385"/>
      <c r="I114" s="1386"/>
      <c r="J114" s="1386"/>
      <c r="K114" s="1374">
        <f>D114*E114</f>
        <v>0</v>
      </c>
      <c r="L114" s="1374"/>
      <c r="M114" s="1374"/>
      <c r="N114" s="1374"/>
    </row>
    <row r="115" spans="1:14">
      <c r="A115" s="1345"/>
      <c r="B115" s="1401" t="s">
        <v>3802</v>
      </c>
      <c r="C115" s="1387" t="s">
        <v>2720</v>
      </c>
      <c r="D115" s="1346">
        <v>15</v>
      </c>
      <c r="E115" s="1417">
        <v>435040</v>
      </c>
      <c r="F115" s="1374"/>
      <c r="G115" s="1374"/>
      <c r="H115" s="1391"/>
      <c r="I115" s="1390"/>
      <c r="J115" s="1390"/>
      <c r="K115" s="1374">
        <f>D115*E115</f>
        <v>6525600</v>
      </c>
      <c r="L115" s="1374"/>
      <c r="M115" s="1374"/>
      <c r="N115" s="1374"/>
    </row>
    <row r="116" spans="1:14">
      <c r="A116" s="1345"/>
      <c r="B116" s="1409" t="s">
        <v>181</v>
      </c>
      <c r="C116" s="1410" t="s">
        <v>51</v>
      </c>
      <c r="D116" s="1346">
        <v>6</v>
      </c>
      <c r="E116" s="1411">
        <v>126500</v>
      </c>
      <c r="F116" s="1347"/>
      <c r="G116" s="1347"/>
      <c r="H116" s="1347"/>
      <c r="I116" s="1412"/>
      <c r="J116" s="1412"/>
      <c r="K116" s="1347">
        <f t="shared" ref="K116:K117" si="54">D116*E116</f>
        <v>759000</v>
      </c>
      <c r="L116" s="1411"/>
      <c r="M116" s="1411"/>
      <c r="N116" s="1411"/>
    </row>
    <row r="117" spans="1:14">
      <c r="A117" s="1345"/>
      <c r="B117" s="1409" t="s">
        <v>3805</v>
      </c>
      <c r="C117" s="1410" t="s">
        <v>51</v>
      </c>
      <c r="D117" s="1346">
        <v>6</v>
      </c>
      <c r="E117" s="1411">
        <v>6000</v>
      </c>
      <c r="F117" s="1347"/>
      <c r="G117" s="1347"/>
      <c r="H117" s="1347"/>
      <c r="I117" s="1412"/>
      <c r="J117" s="1412"/>
      <c r="K117" s="1347">
        <f t="shared" si="54"/>
        <v>36000</v>
      </c>
      <c r="L117" s="1411"/>
      <c r="M117" s="1411"/>
      <c r="N117" s="1411"/>
    </row>
    <row r="118" spans="1:14">
      <c r="A118" s="1345"/>
      <c r="B118" s="1421" t="s">
        <v>112</v>
      </c>
      <c r="C118" s="1410"/>
      <c r="D118" s="1346"/>
      <c r="E118" s="1411"/>
      <c r="F118" s="1347"/>
      <c r="G118" s="1347"/>
      <c r="H118" s="1347"/>
      <c r="I118" s="1412"/>
      <c r="J118" s="1412"/>
      <c r="K118" s="1411"/>
      <c r="L118" s="1411"/>
      <c r="M118" s="1411"/>
      <c r="N118" s="1411"/>
    </row>
    <row r="119" spans="1:14">
      <c r="A119" s="1470" t="s">
        <v>7102</v>
      </c>
      <c r="B119" s="1401" t="s">
        <v>3807</v>
      </c>
      <c r="C119" s="1387" t="s">
        <v>2720</v>
      </c>
      <c r="D119" s="1394">
        <f>D115</f>
        <v>15</v>
      </c>
      <c r="E119" s="1374"/>
      <c r="F119" s="1462"/>
      <c r="G119" s="1462">
        <f>Sheet5!J12208</f>
        <v>1450</v>
      </c>
      <c r="H119" s="1464">
        <f>Sheet5!L12201</f>
        <v>11056.25</v>
      </c>
      <c r="I119" s="1463">
        <v>1</v>
      </c>
      <c r="J119" s="1463">
        <v>1</v>
      </c>
      <c r="K119" s="1374">
        <f>D119*E119</f>
        <v>0</v>
      </c>
      <c r="L119" s="1370">
        <f t="shared" ref="L119:L120" si="55">D119*F119</f>
        <v>0</v>
      </c>
      <c r="M119" s="1370">
        <f t="shared" ref="M119:M120" si="56">D119*G119*I119</f>
        <v>21750</v>
      </c>
      <c r="N119" s="1370">
        <f t="shared" ref="N119:N120" si="57">D119*H119*J119</f>
        <v>165843.75</v>
      </c>
    </row>
    <row r="120" spans="1:14">
      <c r="A120" s="1347" t="s">
        <v>188</v>
      </c>
      <c r="B120" s="1409" t="s">
        <v>189</v>
      </c>
      <c r="C120" s="1410" t="s">
        <v>180</v>
      </c>
      <c r="D120" s="1369">
        <f>D116/10</f>
        <v>0.6</v>
      </c>
      <c r="E120" s="1347"/>
      <c r="F120" s="1471">
        <f>F111</f>
        <v>0</v>
      </c>
      <c r="G120" s="1471">
        <f t="shared" ref="G120:J120" si="58">G111</f>
        <v>216501.30000000002</v>
      </c>
      <c r="H120" s="1471">
        <f t="shared" si="58"/>
        <v>0</v>
      </c>
      <c r="I120" s="1471">
        <f t="shared" si="58"/>
        <v>1</v>
      </c>
      <c r="J120" s="1471">
        <f t="shared" si="58"/>
        <v>1</v>
      </c>
      <c r="K120" s="1411"/>
      <c r="L120" s="1370">
        <f t="shared" si="55"/>
        <v>0</v>
      </c>
      <c r="M120" s="1370">
        <f t="shared" si="56"/>
        <v>129900.78</v>
      </c>
      <c r="N120" s="1370">
        <f t="shared" si="57"/>
        <v>0</v>
      </c>
    </row>
    <row r="121" spans="1:14">
      <c r="A121" s="1404">
        <v>10</v>
      </c>
      <c r="B121" s="1421" t="s">
        <v>3811</v>
      </c>
      <c r="C121" s="1404" t="s">
        <v>139</v>
      </c>
      <c r="D121" s="1356">
        <v>1</v>
      </c>
      <c r="E121" s="1353"/>
      <c r="F121" s="1353"/>
      <c r="G121" s="1353"/>
      <c r="H121" s="1353"/>
      <c r="I121" s="1354"/>
      <c r="J121" s="1354"/>
      <c r="K121" s="1397">
        <f>SUM(K122:K130)</f>
        <v>13325280.000000002</v>
      </c>
      <c r="L121" s="1397">
        <f t="shared" ref="L121:N121" si="59">SUM(L122:L130)</f>
        <v>79773</v>
      </c>
      <c r="M121" s="1397">
        <f t="shared" si="59"/>
        <v>5623895.7532500001</v>
      </c>
      <c r="N121" s="1397">
        <f t="shared" si="59"/>
        <v>24348.825000000001</v>
      </c>
    </row>
    <row r="122" spans="1:14">
      <c r="A122" s="1404"/>
      <c r="B122" s="1421" t="s">
        <v>3812</v>
      </c>
      <c r="C122" s="1404"/>
      <c r="D122" s="1356"/>
      <c r="E122" s="1353"/>
      <c r="F122" s="1353"/>
      <c r="G122" s="1353"/>
      <c r="H122" s="1353"/>
      <c r="I122" s="1354"/>
      <c r="J122" s="1354"/>
      <c r="K122" s="1397"/>
      <c r="L122" s="1397"/>
      <c r="M122" s="1397"/>
      <c r="N122" s="1397"/>
    </row>
    <row r="123" spans="1:14">
      <c r="A123" s="1410"/>
      <c r="B123" s="1409" t="s">
        <v>3813</v>
      </c>
      <c r="C123" s="1410" t="s">
        <v>123</v>
      </c>
      <c r="D123" s="1369">
        <v>15</v>
      </c>
      <c r="E123" s="1347">
        <v>122600</v>
      </c>
      <c r="F123" s="1347"/>
      <c r="G123" s="1347"/>
      <c r="H123" s="1347"/>
      <c r="I123" s="1412"/>
      <c r="J123" s="1412"/>
      <c r="K123" s="1347">
        <f t="shared" ref="K123:K125" si="60">D123*E123</f>
        <v>1839000</v>
      </c>
      <c r="L123" s="1411"/>
      <c r="M123" s="1411"/>
      <c r="N123" s="1411"/>
    </row>
    <row r="124" spans="1:14">
      <c r="A124" s="1410"/>
      <c r="B124" s="1409" t="s">
        <v>194</v>
      </c>
      <c r="C124" s="1410" t="s">
        <v>195</v>
      </c>
      <c r="D124" s="1369">
        <v>15</v>
      </c>
      <c r="E124" s="1347">
        <v>200000</v>
      </c>
      <c r="F124" s="1347"/>
      <c r="G124" s="1347"/>
      <c r="H124" s="1347"/>
      <c r="I124" s="1422"/>
      <c r="J124" s="1422"/>
      <c r="K124" s="1347">
        <f t="shared" si="60"/>
        <v>3000000</v>
      </c>
      <c r="L124" s="1411"/>
      <c r="M124" s="1411"/>
      <c r="N124" s="1411"/>
    </row>
    <row r="125" spans="1:14">
      <c r="A125" s="1410"/>
      <c r="B125" s="1409" t="s">
        <v>3814</v>
      </c>
      <c r="C125" s="1410" t="s">
        <v>45</v>
      </c>
      <c r="D125" s="1369">
        <v>22.5</v>
      </c>
      <c r="E125" s="1347">
        <f>4.4*85720</f>
        <v>377168.00000000006</v>
      </c>
      <c r="F125" s="1347"/>
      <c r="G125" s="1347"/>
      <c r="H125" s="1347"/>
      <c r="I125" s="1422"/>
      <c r="J125" s="1422"/>
      <c r="K125" s="1347">
        <f t="shared" si="60"/>
        <v>8486280.0000000019</v>
      </c>
      <c r="L125" s="1411"/>
      <c r="M125" s="1411"/>
      <c r="N125" s="1411"/>
    </row>
    <row r="126" spans="1:14">
      <c r="A126" s="1349"/>
      <c r="B126" s="1350" t="s">
        <v>112</v>
      </c>
      <c r="C126" s="1404"/>
      <c r="D126" s="1352"/>
      <c r="E126" s="1353"/>
      <c r="F126" s="1353"/>
      <c r="G126" s="1353"/>
      <c r="H126" s="1353"/>
      <c r="I126" s="1354"/>
      <c r="J126" s="1354"/>
      <c r="K126" s="1353"/>
      <c r="L126" s="1353"/>
      <c r="M126" s="1353"/>
      <c r="N126" s="1353"/>
    </row>
    <row r="127" spans="1:14" ht="25.5">
      <c r="A127" s="1423" t="s">
        <v>3716</v>
      </c>
      <c r="B127" s="1405" t="s">
        <v>3717</v>
      </c>
      <c r="C127" s="1406" t="s">
        <v>116</v>
      </c>
      <c r="D127" s="1346">
        <f>(0.3+0.5)*0.5/2*64</f>
        <v>12.8</v>
      </c>
      <c r="E127" s="1406"/>
      <c r="F127" s="1405">
        <v>0</v>
      </c>
      <c r="G127" s="1442">
        <v>257567</v>
      </c>
      <c r="H127" s="1442">
        <v>0</v>
      </c>
      <c r="I127" s="1454">
        <v>0.88700000000000001</v>
      </c>
      <c r="J127" s="1454">
        <v>0.98399999999999999</v>
      </c>
      <c r="K127" s="1406"/>
      <c r="L127" s="1370">
        <f t="shared" ref="L127:L130" si="61">D127*F127</f>
        <v>0</v>
      </c>
      <c r="M127" s="1370">
        <f t="shared" ref="M127:M130" si="62">D127*G127*I127</f>
        <v>2924312.6912000002</v>
      </c>
      <c r="N127" s="1370">
        <f t="shared" ref="N127:N130" si="63">D127*H127*J127</f>
        <v>0</v>
      </c>
    </row>
    <row r="128" spans="1:14">
      <c r="A128" s="1423" t="s">
        <v>114</v>
      </c>
      <c r="B128" s="1405" t="s">
        <v>3718</v>
      </c>
      <c r="C128" s="1406" t="s">
        <v>116</v>
      </c>
      <c r="D128" s="1346">
        <f>D127</f>
        <v>12.8</v>
      </c>
      <c r="E128" s="1406"/>
      <c r="F128" s="1405">
        <v>0</v>
      </c>
      <c r="G128" s="1442">
        <v>132328</v>
      </c>
      <c r="H128" s="1442">
        <v>0</v>
      </c>
      <c r="I128" s="1454">
        <v>0.88700000000000001</v>
      </c>
      <c r="J128" s="1454">
        <v>0.98399999999999999</v>
      </c>
      <c r="K128" s="1406"/>
      <c r="L128" s="1370">
        <f t="shared" si="61"/>
        <v>0</v>
      </c>
      <c r="M128" s="1370">
        <f t="shared" si="62"/>
        <v>1502399.1808000002</v>
      </c>
      <c r="N128" s="1370">
        <f t="shared" si="63"/>
        <v>0</v>
      </c>
    </row>
    <row r="129" spans="1:14">
      <c r="A129" s="1345" t="s">
        <v>2695</v>
      </c>
      <c r="B129" s="1409" t="s">
        <v>129</v>
      </c>
      <c r="C129" s="1410" t="s">
        <v>130</v>
      </c>
      <c r="D129" s="1346">
        <f>D123/10</f>
        <v>1.5</v>
      </c>
      <c r="E129" s="1411"/>
      <c r="F129" s="1467">
        <f>ChitetCN22!F36</f>
        <v>53182</v>
      </c>
      <c r="G129" s="1467">
        <f>ChitetCN22!G36</f>
        <v>651848.39999999991</v>
      </c>
      <c r="H129" s="1467">
        <f>ChitetCN22!H36</f>
        <v>16232.550000000001</v>
      </c>
      <c r="I129" s="1467">
        <f>ChitetCN22!I36</f>
        <v>1</v>
      </c>
      <c r="J129" s="1467">
        <f>ChitetCN22!J36</f>
        <v>1</v>
      </c>
      <c r="K129" s="1411"/>
      <c r="L129" s="1370">
        <f t="shared" si="61"/>
        <v>79773</v>
      </c>
      <c r="M129" s="1370">
        <f t="shared" si="62"/>
        <v>977772.59999999986</v>
      </c>
      <c r="N129" s="1370">
        <f t="shared" si="63"/>
        <v>24348.825000000001</v>
      </c>
    </row>
    <row r="130" spans="1:14">
      <c r="A130" s="1468" t="str">
        <f>A140</f>
        <v>T4.7212</v>
      </c>
      <c r="B130" s="1468" t="str">
        <f>B140</f>
        <v>Kéo rải dây tiếp địa liên kết các cọc tiếp địa (D &lt;= 20)</v>
      </c>
      <c r="C130" s="1468" t="str">
        <f>C140</f>
        <v>10m</v>
      </c>
      <c r="D130" s="1346">
        <f>D125*2.45/10</f>
        <v>5.5125000000000011</v>
      </c>
      <c r="E130" s="1411"/>
      <c r="F130" s="1467">
        <f>F140</f>
        <v>0</v>
      </c>
      <c r="G130" s="1467">
        <f t="shared" ref="G130:H130" si="64">G140</f>
        <v>39802.5</v>
      </c>
      <c r="H130" s="1467">
        <f t="shared" si="64"/>
        <v>0</v>
      </c>
      <c r="I130" s="1463">
        <v>1</v>
      </c>
      <c r="J130" s="1463">
        <v>1</v>
      </c>
      <c r="K130" s="1411"/>
      <c r="L130" s="1370">
        <f t="shared" si="61"/>
        <v>0</v>
      </c>
      <c r="M130" s="1370">
        <f t="shared" si="62"/>
        <v>219411.28125000003</v>
      </c>
      <c r="N130" s="1370">
        <f t="shared" si="63"/>
        <v>0</v>
      </c>
    </row>
    <row r="131" spans="1:14">
      <c r="A131" s="1404">
        <v>11</v>
      </c>
      <c r="B131" s="1421" t="s">
        <v>3815</v>
      </c>
      <c r="C131" s="1404" t="s">
        <v>139</v>
      </c>
      <c r="D131" s="1356">
        <v>1</v>
      </c>
      <c r="E131" s="1353"/>
      <c r="F131" s="1353"/>
      <c r="G131" s="1353"/>
      <c r="H131" s="1353"/>
      <c r="I131" s="1354"/>
      <c r="J131" s="1354"/>
      <c r="K131" s="1397">
        <f>SUM(K133:K140)</f>
        <v>1454104.0000000002</v>
      </c>
      <c r="L131" s="1397">
        <f t="shared" ref="L131:N131" si="65">SUM(L133:L140)</f>
        <v>5318.2000000000007</v>
      </c>
      <c r="M131" s="1397">
        <f t="shared" si="65"/>
        <v>809994.90749999997</v>
      </c>
      <c r="N131" s="1397">
        <f t="shared" si="65"/>
        <v>1623.2550000000001</v>
      </c>
    </row>
    <row r="132" spans="1:14">
      <c r="A132" s="1404"/>
      <c r="B132" s="1421" t="s">
        <v>3812</v>
      </c>
      <c r="C132" s="1404"/>
      <c r="D132" s="1356"/>
      <c r="E132" s="1353"/>
      <c r="F132" s="1353"/>
      <c r="G132" s="1353"/>
      <c r="H132" s="1353"/>
      <c r="I132" s="1354"/>
      <c r="J132" s="1354"/>
      <c r="K132" s="1397"/>
      <c r="L132" s="1397"/>
      <c r="M132" s="1397"/>
      <c r="N132" s="1397"/>
    </row>
    <row r="133" spans="1:14">
      <c r="A133" s="1410"/>
      <c r="B133" s="1409" t="s">
        <v>3813</v>
      </c>
      <c r="C133" s="1410" t="s">
        <v>123</v>
      </c>
      <c r="D133" s="1369">
        <v>1</v>
      </c>
      <c r="E133" s="1347">
        <v>122600</v>
      </c>
      <c r="F133" s="1347"/>
      <c r="G133" s="1347"/>
      <c r="H133" s="1347"/>
      <c r="I133" s="1412"/>
      <c r="J133" s="1412"/>
      <c r="K133" s="1347">
        <f t="shared" ref="K133:K135" si="66">D133*E133</f>
        <v>122600</v>
      </c>
      <c r="L133" s="1411"/>
      <c r="M133" s="1411"/>
      <c r="N133" s="1411"/>
    </row>
    <row r="134" spans="1:14">
      <c r="A134" s="1410"/>
      <c r="B134" s="1409" t="s">
        <v>194</v>
      </c>
      <c r="C134" s="1410" t="s">
        <v>195</v>
      </c>
      <c r="D134" s="1369">
        <v>1</v>
      </c>
      <c r="E134" s="1347">
        <v>200000</v>
      </c>
      <c r="F134" s="1347"/>
      <c r="G134" s="1347"/>
      <c r="H134" s="1347"/>
      <c r="I134" s="1422"/>
      <c r="J134" s="1422"/>
      <c r="K134" s="1347">
        <f t="shared" si="66"/>
        <v>200000</v>
      </c>
      <c r="L134" s="1411"/>
      <c r="M134" s="1411"/>
      <c r="N134" s="1411"/>
    </row>
    <row r="135" spans="1:14">
      <c r="A135" s="1410"/>
      <c r="B135" s="1409" t="s">
        <v>3816</v>
      </c>
      <c r="C135" s="1410" t="s">
        <v>45</v>
      </c>
      <c r="D135" s="1369">
        <v>3</v>
      </c>
      <c r="E135" s="1347">
        <f>4.4*85720</f>
        <v>377168.00000000006</v>
      </c>
      <c r="F135" s="1347"/>
      <c r="G135" s="1347"/>
      <c r="H135" s="1347"/>
      <c r="I135" s="1422"/>
      <c r="J135" s="1422"/>
      <c r="K135" s="1347">
        <f t="shared" si="66"/>
        <v>1131504.0000000002</v>
      </c>
      <c r="L135" s="1411"/>
      <c r="M135" s="1411"/>
      <c r="N135" s="1411"/>
    </row>
    <row r="136" spans="1:14">
      <c r="A136" s="1349"/>
      <c r="B136" s="1350" t="s">
        <v>112</v>
      </c>
      <c r="C136" s="1404"/>
      <c r="D136" s="1352"/>
      <c r="E136" s="1353"/>
      <c r="F136" s="1353"/>
      <c r="G136" s="1353"/>
      <c r="H136" s="1353"/>
      <c r="I136" s="1354"/>
      <c r="J136" s="1354"/>
      <c r="K136" s="1353"/>
      <c r="L136" s="1353"/>
      <c r="M136" s="1353"/>
      <c r="N136" s="1353"/>
    </row>
    <row r="137" spans="1:14" ht="25.5">
      <c r="A137" s="1423" t="s">
        <v>3716</v>
      </c>
      <c r="B137" s="1405" t="s">
        <v>3717</v>
      </c>
      <c r="C137" s="1406" t="s">
        <v>116</v>
      </c>
      <c r="D137" s="1346">
        <f>(0.3+0.5)*0.5/2*10</f>
        <v>2</v>
      </c>
      <c r="E137" s="1406"/>
      <c r="F137" s="1405">
        <v>0</v>
      </c>
      <c r="G137" s="1442">
        <v>257567</v>
      </c>
      <c r="H137" s="1442">
        <v>0</v>
      </c>
      <c r="I137" s="1454">
        <v>0.88700000000000001</v>
      </c>
      <c r="J137" s="1454">
        <v>0.98399999999999999</v>
      </c>
      <c r="K137" s="1406"/>
      <c r="L137" s="1370">
        <f t="shared" ref="L137:L140" si="67">D137*F137</f>
        <v>0</v>
      </c>
      <c r="M137" s="1370">
        <f t="shared" ref="M137:M140" si="68">D137*G137*I137</f>
        <v>456923.85800000001</v>
      </c>
      <c r="N137" s="1370">
        <f t="shared" ref="N137:N140" si="69">D137*H137*J137</f>
        <v>0</v>
      </c>
    </row>
    <row r="138" spans="1:14">
      <c r="A138" s="1423" t="s">
        <v>114</v>
      </c>
      <c r="B138" s="1405" t="s">
        <v>3718</v>
      </c>
      <c r="C138" s="1406" t="s">
        <v>116</v>
      </c>
      <c r="D138" s="1346">
        <f>D137</f>
        <v>2</v>
      </c>
      <c r="E138" s="1406"/>
      <c r="F138" s="1405">
        <v>0</v>
      </c>
      <c r="G138" s="1442">
        <v>132328</v>
      </c>
      <c r="H138" s="1442">
        <v>0</v>
      </c>
      <c r="I138" s="1454">
        <v>0.88700000000000001</v>
      </c>
      <c r="J138" s="1454">
        <v>0.98399999999999999</v>
      </c>
      <c r="K138" s="1406"/>
      <c r="L138" s="1370">
        <f t="shared" si="67"/>
        <v>0</v>
      </c>
      <c r="M138" s="1370">
        <f t="shared" si="68"/>
        <v>234749.872</v>
      </c>
      <c r="N138" s="1370">
        <f t="shared" si="69"/>
        <v>0</v>
      </c>
    </row>
    <row r="139" spans="1:14">
      <c r="A139" s="1345" t="s">
        <v>2695</v>
      </c>
      <c r="B139" s="1409" t="s">
        <v>129</v>
      </c>
      <c r="C139" s="1410" t="s">
        <v>130</v>
      </c>
      <c r="D139" s="1346">
        <f>D133/10</f>
        <v>0.1</v>
      </c>
      <c r="E139" s="1411"/>
      <c r="F139" s="1467">
        <f>F129</f>
        <v>53182</v>
      </c>
      <c r="G139" s="1467">
        <f t="shared" ref="G139:H139" si="70">G129</f>
        <v>651848.39999999991</v>
      </c>
      <c r="H139" s="1467">
        <f t="shared" si="70"/>
        <v>16232.550000000001</v>
      </c>
      <c r="I139" s="1463">
        <v>1</v>
      </c>
      <c r="J139" s="1463">
        <v>1</v>
      </c>
      <c r="K139" s="1411"/>
      <c r="L139" s="1370">
        <f t="shared" si="67"/>
        <v>5318.2000000000007</v>
      </c>
      <c r="M139" s="1370">
        <f t="shared" si="68"/>
        <v>65184.84</v>
      </c>
      <c r="N139" s="1370">
        <f t="shared" si="69"/>
        <v>1623.2550000000001</v>
      </c>
    </row>
    <row r="140" spans="1:14">
      <c r="A140" s="1468" t="str">
        <f>Sheet5!B12484</f>
        <v>T4.7212</v>
      </c>
      <c r="B140" s="1409" t="str">
        <f>Sheet5!E12484</f>
        <v>Kéo rải dây tiếp địa liên kết các cọc tiếp địa (D &lt;= 20)</v>
      </c>
      <c r="C140" s="1410" t="str">
        <f>Sheet5!F12484</f>
        <v>10m</v>
      </c>
      <c r="D140" s="1346">
        <f>D135*4.45/10</f>
        <v>1.3350000000000002</v>
      </c>
      <c r="E140" s="1411"/>
      <c r="F140" s="1467"/>
      <c r="G140" s="1467">
        <f>Sheet5!L12484</f>
        <v>39802.5</v>
      </c>
      <c r="H140" s="1467">
        <v>0</v>
      </c>
      <c r="I140" s="1463">
        <v>1</v>
      </c>
      <c r="J140" s="1463">
        <v>1</v>
      </c>
      <c r="K140" s="1411"/>
      <c r="L140" s="1370">
        <f t="shared" si="67"/>
        <v>0</v>
      </c>
      <c r="M140" s="1370">
        <f t="shared" si="68"/>
        <v>53136.337500000009</v>
      </c>
      <c r="N140" s="1370">
        <f t="shared" si="69"/>
        <v>0</v>
      </c>
    </row>
    <row r="141" spans="1:14">
      <c r="A141" s="1349">
        <v>11</v>
      </c>
      <c r="B141" s="1421" t="s">
        <v>3817</v>
      </c>
      <c r="C141" s="1404" t="s">
        <v>139</v>
      </c>
      <c r="D141" s="1352">
        <v>1</v>
      </c>
      <c r="E141" s="1397"/>
      <c r="F141" s="1353"/>
      <c r="G141" s="1353"/>
      <c r="H141" s="1353"/>
      <c r="I141" s="1354"/>
      <c r="J141" s="1354"/>
      <c r="K141" s="1397">
        <f>SUM(K143:K146)</f>
        <v>450000</v>
      </c>
      <c r="L141" s="1397">
        <f t="shared" ref="L141:N141" si="71">SUM(L143:L146)</f>
        <v>0</v>
      </c>
      <c r="M141" s="1397">
        <f t="shared" si="71"/>
        <v>442250</v>
      </c>
      <c r="N141" s="1397">
        <f t="shared" si="71"/>
        <v>0</v>
      </c>
    </row>
    <row r="142" spans="1:14">
      <c r="A142" s="1349"/>
      <c r="B142" s="1421" t="s">
        <v>3812</v>
      </c>
      <c r="C142" s="1404"/>
      <c r="D142" s="1352"/>
      <c r="E142" s="1397"/>
      <c r="F142" s="1353"/>
      <c r="G142" s="1353"/>
      <c r="H142" s="1353"/>
      <c r="I142" s="1354"/>
      <c r="J142" s="1354"/>
      <c r="K142" s="1397"/>
      <c r="L142" s="1397"/>
      <c r="M142" s="1397"/>
      <c r="N142" s="1397"/>
    </row>
    <row r="143" spans="1:14">
      <c r="A143" s="1345"/>
      <c r="B143" s="1409" t="s">
        <v>3818</v>
      </c>
      <c r="C143" s="1410" t="s">
        <v>51</v>
      </c>
      <c r="D143" s="1346">
        <v>5</v>
      </c>
      <c r="E143" s="1411">
        <v>45000</v>
      </c>
      <c r="F143" s="1347"/>
      <c r="G143" s="1347"/>
      <c r="H143" s="1347"/>
      <c r="I143" s="1412"/>
      <c r="J143" s="1412"/>
      <c r="K143" s="1347">
        <f t="shared" ref="K143:K144" si="72">D143*E143</f>
        <v>225000</v>
      </c>
      <c r="L143" s="1411"/>
      <c r="M143" s="1411"/>
      <c r="N143" s="1411"/>
    </row>
    <row r="144" spans="1:14">
      <c r="A144" s="1345"/>
      <c r="B144" s="1424" t="s">
        <v>3819</v>
      </c>
      <c r="C144" s="1345" t="s">
        <v>51</v>
      </c>
      <c r="D144" s="1346">
        <v>5</v>
      </c>
      <c r="E144" s="1347">
        <v>45000</v>
      </c>
      <c r="F144" s="1347"/>
      <c r="G144" s="1347"/>
      <c r="H144" s="1347"/>
      <c r="I144" s="1412"/>
      <c r="J144" s="1412"/>
      <c r="K144" s="1347">
        <f t="shared" si="72"/>
        <v>225000</v>
      </c>
      <c r="L144" s="1411"/>
      <c r="M144" s="1411"/>
      <c r="N144" s="1411"/>
    </row>
    <row r="145" spans="1:14">
      <c r="A145" s="1425"/>
      <c r="B145" s="1421" t="s">
        <v>3820</v>
      </c>
      <c r="C145" s="1410"/>
      <c r="D145" s="1346"/>
      <c r="E145" s="1347"/>
      <c r="F145" s="1418"/>
      <c r="G145" s="1418"/>
      <c r="H145" s="1418"/>
      <c r="I145" s="1422"/>
      <c r="J145" s="1422"/>
      <c r="K145" s="1411"/>
      <c r="L145" s="1411"/>
      <c r="M145" s="1411"/>
      <c r="N145" s="1411"/>
    </row>
    <row r="146" spans="1:14" ht="15.75">
      <c r="A146" s="1472" t="s">
        <v>5311</v>
      </c>
      <c r="B146" s="1401" t="s">
        <v>3821</v>
      </c>
      <c r="C146" s="1387" t="s">
        <v>2683</v>
      </c>
      <c r="D146" s="1394">
        <v>10</v>
      </c>
      <c r="E146" s="1394"/>
      <c r="F146" s="1462"/>
      <c r="G146" s="1462">
        <f>Sheet5!L3625</f>
        <v>44225</v>
      </c>
      <c r="H146" s="1464"/>
      <c r="I146" s="1463">
        <v>1</v>
      </c>
      <c r="J146" s="1463">
        <v>1</v>
      </c>
      <c r="K146" s="1374"/>
      <c r="L146" s="1370">
        <f>D146*F146</f>
        <v>0</v>
      </c>
      <c r="M146" s="1370">
        <f>D146*G146*I146</f>
        <v>442250</v>
      </c>
      <c r="N146" s="1370">
        <f>D146*H146*J146</f>
        <v>0</v>
      </c>
    </row>
  </sheetData>
  <mergeCells count="2">
    <mergeCell ref="A2:N2"/>
    <mergeCell ref="A3:N3"/>
  </mergeCells>
  <conditionalFormatting sqref="A141:J144 A85:E85 A39:N39 A145:E146 L19:N24 A48:A53 F48:H53 K83:K86 K129:K130 I145:J145 A37:N37 A74:N82 A69:N71 A120:E120 K119:K120 D84:E84 A115:N118 A9:N18 A121:N126 A40:J45 I47:J53 A119:H119 K25:N36 B38:N38 L40:N45 K46:N53 K141:N146 A19:J36 G52:J52 A129:J129 A130:C130 E130:H130 D83:J83 A86:J86 B83:B84 B72:J72">
    <cfRule type="expression" dxfId="436" priority="394">
      <formula>#REF!="NC"</formula>
    </cfRule>
    <cfRule type="expression" dxfId="435" priority="395">
      <formula>#REF!="VL"</formula>
    </cfRule>
  </conditionalFormatting>
  <conditionalFormatting sqref="F145:H146 F84:J85 F120:J120">
    <cfRule type="expression" dxfId="434" priority="392">
      <formula>#REF!="NC"</formula>
    </cfRule>
    <cfRule type="expression" dxfId="433" priority="393">
      <formula>#REF!="VL"</formula>
    </cfRule>
  </conditionalFormatting>
  <conditionalFormatting sqref="I145:J145">
    <cfRule type="expression" dxfId="432" priority="388" stopIfTrue="1">
      <formula>$C145=4</formula>
    </cfRule>
    <cfRule type="expression" dxfId="431" priority="389" stopIfTrue="1">
      <formula>$C145=3</formula>
    </cfRule>
    <cfRule type="expression" dxfId="430" priority="390" stopIfTrue="1">
      <formula>$C145=2</formula>
    </cfRule>
    <cfRule type="expression" dxfId="429" priority="391" stopIfTrue="1">
      <formula>$C145=1</formula>
    </cfRule>
  </conditionalFormatting>
  <conditionalFormatting sqref="I145:J145">
    <cfRule type="expression" dxfId="428" priority="386">
      <formula>#REF!="NC"</formula>
    </cfRule>
    <cfRule type="expression" dxfId="427" priority="387">
      <formula>#REF!="VL"</formula>
    </cfRule>
  </conditionalFormatting>
  <conditionalFormatting sqref="A47:J47 A48:A52 B46:J46 F48:J52">
    <cfRule type="expression" dxfId="426" priority="381">
      <formula>$O46=5</formula>
    </cfRule>
    <cfRule type="expression" dxfId="425" priority="382">
      <formula>$O46=4</formula>
    </cfRule>
    <cfRule type="expression" dxfId="424" priority="383">
      <formula>$O46=3</formula>
    </cfRule>
    <cfRule type="expression" dxfId="423" priority="384">
      <formula>$O46=2</formula>
    </cfRule>
    <cfRule type="expression" dxfId="422" priority="385">
      <formula>$O46=1</formula>
    </cfRule>
  </conditionalFormatting>
  <conditionalFormatting sqref="A47:J47 A48:A52 B46:J46 F48:J52">
    <cfRule type="expression" dxfId="421" priority="379">
      <formula>$D46="NC"</formula>
    </cfRule>
    <cfRule type="expression" dxfId="420" priority="380">
      <formula>$D46="VL"</formula>
    </cfRule>
  </conditionalFormatting>
  <conditionalFormatting sqref="A85:E85 A141:J144 I47:J52 A39:N39 A145:E146 L19:N24 A48:A53 K83:K86 K129:K130 I145:J145 A37:N37 A74:N82 A69:N71 A120:E120 K119:K120 D84:E84 A115:N118 A1:N1 K46:N52 A121:N126 A4:N18 A2:A3 A40:J45 A119:H119 K25:N36 B38:N38 L40:N45 F48:H53 I53:N53 K141:N146 A19:J36 G52:J52 A129:J129 A130:C130 E130:H130 D83:J83 A86:J86 B83:B84 B72:J72">
    <cfRule type="expression" dxfId="419" priority="396">
      <formula>#REF!=5</formula>
    </cfRule>
    <cfRule type="expression" dxfId="418" priority="397">
      <formula>#REF!=4</formula>
    </cfRule>
    <cfRule type="expression" dxfId="417" priority="398">
      <formula>#REF!=3</formula>
    </cfRule>
    <cfRule type="expression" dxfId="416" priority="399">
      <formula>#REF!=2</formula>
    </cfRule>
    <cfRule type="expression" dxfId="415" priority="400">
      <formula>#REF!=1</formula>
    </cfRule>
  </conditionalFormatting>
  <conditionalFormatting sqref="F145:H146 F84:J85 F120:J120">
    <cfRule type="expression" dxfId="414" priority="401">
      <formula>#REF!=5</formula>
    </cfRule>
    <cfRule type="expression" dxfId="413" priority="402">
      <formula>#REF!=4</formula>
    </cfRule>
    <cfRule type="expression" dxfId="412" priority="403">
      <formula>#REF!=3</formula>
    </cfRule>
    <cfRule type="expression" dxfId="411" priority="404">
      <formula>#REF!=2</formula>
    </cfRule>
    <cfRule type="expression" dxfId="410" priority="405">
      <formula>#REF!=1</formula>
    </cfRule>
  </conditionalFormatting>
  <conditionalFormatting sqref="I145:J145">
    <cfRule type="expression" dxfId="409" priority="406">
      <formula>#REF!="NC"</formula>
    </cfRule>
    <cfRule type="expression" dxfId="408" priority="407">
      <formula>#REF!="VL"</formula>
    </cfRule>
    <cfRule type="expression" dxfId="407" priority="408">
      <formula>#REF!=5</formula>
    </cfRule>
    <cfRule type="expression" dxfId="406" priority="409">
      <formula>#REF!=4</formula>
    </cfRule>
    <cfRule type="expression" dxfId="405" priority="410">
      <formula>#REF!=3</formula>
    </cfRule>
    <cfRule type="expression" dxfId="404" priority="411">
      <formula>#REF!=2</formula>
    </cfRule>
    <cfRule type="expression" dxfId="403" priority="412">
      <formula>#REF!=1</formula>
    </cfRule>
  </conditionalFormatting>
  <conditionalFormatting sqref="I145:J145">
    <cfRule type="expression" dxfId="402" priority="413">
      <formula>#REF!="NC"</formula>
    </cfRule>
    <cfRule type="expression" dxfId="401" priority="414">
      <formula>#REF!="VL"</formula>
    </cfRule>
    <cfRule type="expression" dxfId="400" priority="415">
      <formula>#REF!=5</formula>
    </cfRule>
    <cfRule type="expression" dxfId="399" priority="416">
      <formula>#REF!=4</formula>
    </cfRule>
    <cfRule type="expression" dxfId="398" priority="417">
      <formula>#REF!=3</formula>
    </cfRule>
    <cfRule type="expression" dxfId="397" priority="418">
      <formula>#REF!=2</formula>
    </cfRule>
    <cfRule type="expression" dxfId="396" priority="419">
      <formula>#REF!=1</formula>
    </cfRule>
  </conditionalFormatting>
  <conditionalFormatting sqref="K40:K45">
    <cfRule type="expression" dxfId="395" priority="365">
      <formula>#REF!="NC"</formula>
    </cfRule>
    <cfRule type="expression" dxfId="394" priority="366">
      <formula>#REF!="VL"</formula>
    </cfRule>
  </conditionalFormatting>
  <conditionalFormatting sqref="K40:K45">
    <cfRule type="expression" dxfId="393" priority="367">
      <formula>#REF!=5</formula>
    </cfRule>
    <cfRule type="expression" dxfId="392" priority="368">
      <formula>#REF!=4</formula>
    </cfRule>
    <cfRule type="expression" dxfId="391" priority="369">
      <formula>#REF!=3</formula>
    </cfRule>
    <cfRule type="expression" dxfId="390" priority="370">
      <formula>#REF!=2</formula>
    </cfRule>
    <cfRule type="expression" dxfId="389" priority="371">
      <formula>#REF!=1</formula>
    </cfRule>
  </conditionalFormatting>
  <conditionalFormatting sqref="K19:K24">
    <cfRule type="expression" dxfId="388" priority="372">
      <formula>#REF!="NC"</formula>
    </cfRule>
    <cfRule type="expression" dxfId="387" priority="373">
      <formula>#REF!="VL"</formula>
    </cfRule>
  </conditionalFormatting>
  <conditionalFormatting sqref="K19:K24">
    <cfRule type="expression" dxfId="386" priority="374">
      <formula>#REF!=5</formula>
    </cfRule>
    <cfRule type="expression" dxfId="385" priority="375">
      <formula>#REF!=4</formula>
    </cfRule>
    <cfRule type="expression" dxfId="384" priority="376">
      <formula>#REF!=3</formula>
    </cfRule>
    <cfRule type="expression" dxfId="383" priority="377">
      <formula>#REF!=2</formula>
    </cfRule>
    <cfRule type="expression" dxfId="382" priority="378">
      <formula>#REF!=1</formula>
    </cfRule>
  </conditionalFormatting>
  <conditionalFormatting sqref="B48:E53">
    <cfRule type="expression" dxfId="381" priority="358">
      <formula>#REF!="NC"</formula>
    </cfRule>
    <cfRule type="expression" dxfId="380" priority="359">
      <formula>#REF!="VL"</formula>
    </cfRule>
  </conditionalFormatting>
  <conditionalFormatting sqref="B48:E53">
    <cfRule type="expression" dxfId="379" priority="360">
      <formula>#REF!=5</formula>
    </cfRule>
    <cfRule type="expression" dxfId="378" priority="361">
      <formula>#REF!=4</formula>
    </cfRule>
    <cfRule type="expression" dxfId="377" priority="362">
      <formula>#REF!=3</formula>
    </cfRule>
    <cfRule type="expression" dxfId="376" priority="363">
      <formula>#REF!=2</formula>
    </cfRule>
    <cfRule type="expression" dxfId="375" priority="364">
      <formula>#REF!=1</formula>
    </cfRule>
  </conditionalFormatting>
  <conditionalFormatting sqref="I55:J57 A56:A59 F56:H57 K54:N57 I60:N63 K64:K65 F60:H65 F58:K59 A61:A65">
    <cfRule type="expression" dxfId="374" priority="351">
      <formula>#REF!="NC"</formula>
    </cfRule>
    <cfRule type="expression" dxfId="373" priority="352">
      <formula>#REF!="VL"</formula>
    </cfRule>
  </conditionalFormatting>
  <conditionalFormatting sqref="B56:E65">
    <cfRule type="expression" dxfId="372" priority="339">
      <formula>#REF!=5</formula>
    </cfRule>
    <cfRule type="expression" dxfId="371" priority="340">
      <formula>#REF!=4</formula>
    </cfRule>
    <cfRule type="expression" dxfId="370" priority="341">
      <formula>#REF!=3</formula>
    </cfRule>
    <cfRule type="expression" dxfId="369" priority="342">
      <formula>#REF!=2</formula>
    </cfRule>
    <cfRule type="expression" dxfId="368" priority="343">
      <formula>#REF!=1</formula>
    </cfRule>
  </conditionalFormatting>
  <conditionalFormatting sqref="A55:J55 A56:A59 B54:J54 A61 F56:J61">
    <cfRule type="expression" dxfId="367" priority="346">
      <formula>$O54=5</formula>
    </cfRule>
    <cfRule type="expression" dxfId="366" priority="347">
      <formula>$O54=4</formula>
    </cfRule>
    <cfRule type="expression" dxfId="365" priority="348">
      <formula>$O54=3</formula>
    </cfRule>
    <cfRule type="expression" dxfId="364" priority="349">
      <formula>$O54=2</formula>
    </cfRule>
    <cfRule type="expression" dxfId="363" priority="350">
      <formula>$O54=1</formula>
    </cfRule>
  </conditionalFormatting>
  <conditionalFormatting sqref="A55:J55 A56:A59 B54:J54 A61 F56:J61">
    <cfRule type="expression" dxfId="362" priority="344">
      <formula>$D54="NC"</formula>
    </cfRule>
    <cfRule type="expression" dxfId="361" priority="345">
      <formula>$D54="VL"</formula>
    </cfRule>
  </conditionalFormatting>
  <conditionalFormatting sqref="A56:A59 I55:J57 F56:H57 K54:N57 I60:N63 K64:K65 F60:H65 F58:K59 A61:A65">
    <cfRule type="expression" dxfId="360" priority="353">
      <formula>#REF!=5</formula>
    </cfRule>
    <cfRule type="expression" dxfId="359" priority="354">
      <formula>#REF!=4</formula>
    </cfRule>
    <cfRule type="expression" dxfId="358" priority="355">
      <formula>#REF!=3</formula>
    </cfRule>
    <cfRule type="expression" dxfId="357" priority="356">
      <formula>#REF!=2</formula>
    </cfRule>
    <cfRule type="expression" dxfId="356" priority="357">
      <formula>#REF!=1</formula>
    </cfRule>
  </conditionalFormatting>
  <conditionalFormatting sqref="B56:E65">
    <cfRule type="expression" dxfId="355" priority="337">
      <formula>#REF!="NC"</formula>
    </cfRule>
    <cfRule type="expression" dxfId="354" priority="338">
      <formula>#REF!="VL"</formula>
    </cfRule>
  </conditionalFormatting>
  <conditionalFormatting sqref="A38">
    <cfRule type="expression" dxfId="353" priority="332">
      <formula>$O38=5</formula>
    </cfRule>
    <cfRule type="expression" dxfId="352" priority="333">
      <formula>$O38=4</formula>
    </cfRule>
    <cfRule type="expression" dxfId="351" priority="334">
      <formula>$O38=3</formula>
    </cfRule>
    <cfRule type="expression" dxfId="350" priority="335">
      <formula>$O38=2</formula>
    </cfRule>
    <cfRule type="expression" dxfId="349" priority="336">
      <formula>$O38=1</formula>
    </cfRule>
  </conditionalFormatting>
  <conditionalFormatting sqref="A38">
    <cfRule type="expression" dxfId="348" priority="330">
      <formula>$D38="NC"</formula>
    </cfRule>
    <cfRule type="expression" dxfId="347" priority="331">
      <formula>$D38="VL"</formula>
    </cfRule>
  </conditionalFormatting>
  <conditionalFormatting sqref="A46">
    <cfRule type="expression" dxfId="346" priority="325">
      <formula>$O46=5</formula>
    </cfRule>
    <cfRule type="expression" dxfId="345" priority="326">
      <formula>$O46=4</formula>
    </cfRule>
    <cfRule type="expression" dxfId="344" priority="327">
      <formula>$O46=3</formula>
    </cfRule>
    <cfRule type="expression" dxfId="343" priority="328">
      <formula>$O46=2</formula>
    </cfRule>
    <cfRule type="expression" dxfId="342" priority="329">
      <formula>$O46=1</formula>
    </cfRule>
  </conditionalFormatting>
  <conditionalFormatting sqref="A46">
    <cfRule type="expression" dxfId="341" priority="323">
      <formula>$D46="NC"</formula>
    </cfRule>
    <cfRule type="expression" dxfId="340" priority="324">
      <formula>$D46="VL"</formula>
    </cfRule>
  </conditionalFormatting>
  <conditionalFormatting sqref="A54">
    <cfRule type="expression" dxfId="339" priority="318">
      <formula>$O54=5</formula>
    </cfRule>
    <cfRule type="expression" dxfId="338" priority="319">
      <formula>$O54=4</formula>
    </cfRule>
    <cfRule type="expression" dxfId="337" priority="320">
      <formula>$O54=3</formula>
    </cfRule>
    <cfRule type="expression" dxfId="336" priority="321">
      <formula>$O54=2</formula>
    </cfRule>
    <cfRule type="expression" dxfId="335" priority="322">
      <formula>$O54=1</formula>
    </cfRule>
  </conditionalFormatting>
  <conditionalFormatting sqref="A54">
    <cfRule type="expression" dxfId="334" priority="316">
      <formula>$D54="NC"</formula>
    </cfRule>
    <cfRule type="expression" dxfId="333" priority="317">
      <formula>$D54="VL"</formula>
    </cfRule>
  </conditionalFormatting>
  <conditionalFormatting sqref="A60">
    <cfRule type="expression" dxfId="332" priority="311">
      <formula>$O60=5</formula>
    </cfRule>
    <cfRule type="expression" dxfId="331" priority="312">
      <formula>$O60=4</formula>
    </cfRule>
    <cfRule type="expression" dxfId="330" priority="313">
      <formula>$O60=3</formula>
    </cfRule>
    <cfRule type="expression" dxfId="329" priority="314">
      <formula>$O60=2</formula>
    </cfRule>
    <cfRule type="expression" dxfId="328" priority="315">
      <formula>$O60=1</formula>
    </cfRule>
  </conditionalFormatting>
  <conditionalFormatting sqref="A60">
    <cfRule type="expression" dxfId="327" priority="309">
      <formula>$D60="NC"</formula>
    </cfRule>
    <cfRule type="expression" dxfId="326" priority="310">
      <formula>$D60="VL"</formula>
    </cfRule>
  </conditionalFormatting>
  <conditionalFormatting sqref="A73:E73 K72:K73 A66:N67 A68">
    <cfRule type="expression" dxfId="325" priority="297">
      <formula>#REF!="NC"</formula>
    </cfRule>
    <cfRule type="expression" dxfId="324" priority="298">
      <formula>#REF!="VL"</formula>
    </cfRule>
  </conditionalFormatting>
  <conditionalFormatting sqref="F73:H73">
    <cfRule type="expression" dxfId="323" priority="295">
      <formula>#REF!="NC"</formula>
    </cfRule>
    <cfRule type="expression" dxfId="322" priority="296">
      <formula>#REF!="VL"</formula>
    </cfRule>
  </conditionalFormatting>
  <conditionalFormatting sqref="A73:E73 K72:K73 A66:N67 A68">
    <cfRule type="expression" dxfId="321" priority="299">
      <formula>#REF!=5</formula>
    </cfRule>
    <cfRule type="expression" dxfId="320" priority="300">
      <formula>#REF!=4</formula>
    </cfRule>
    <cfRule type="expression" dxfId="319" priority="301">
      <formula>#REF!=3</formula>
    </cfRule>
    <cfRule type="expression" dxfId="318" priority="302">
      <formula>#REF!=2</formula>
    </cfRule>
    <cfRule type="expression" dxfId="317" priority="303">
      <formula>#REF!=1</formula>
    </cfRule>
  </conditionalFormatting>
  <conditionalFormatting sqref="F73:H73">
    <cfRule type="expression" dxfId="316" priority="304">
      <formula>#REF!=5</formula>
    </cfRule>
    <cfRule type="expression" dxfId="315" priority="305">
      <formula>#REF!=4</formula>
    </cfRule>
    <cfRule type="expression" dxfId="314" priority="306">
      <formula>#REF!=3</formula>
    </cfRule>
    <cfRule type="expression" dxfId="313" priority="307">
      <formula>#REF!=2</formula>
    </cfRule>
    <cfRule type="expression" dxfId="312" priority="308">
      <formula>#REF!=1</formula>
    </cfRule>
  </conditionalFormatting>
  <conditionalFormatting sqref="A111:E111 A112:H112 K109:K112 A100:N108 A110:B110 D110:E110 A109:J109">
    <cfRule type="expression" dxfId="311" priority="283">
      <formula>#REF!="NC"</formula>
    </cfRule>
    <cfRule type="expression" dxfId="310" priority="284">
      <formula>#REF!="VL"</formula>
    </cfRule>
  </conditionalFormatting>
  <conditionalFormatting sqref="F110:H111">
    <cfRule type="expression" dxfId="309" priority="281">
      <formula>#REF!="NC"</formula>
    </cfRule>
    <cfRule type="expression" dxfId="308" priority="282">
      <formula>#REF!="VL"</formula>
    </cfRule>
  </conditionalFormatting>
  <conditionalFormatting sqref="A111:E111 A112:H112 K109:K112 A100:N108 A110:B110 D110:E110 A109:J109">
    <cfRule type="expression" dxfId="307" priority="285">
      <formula>#REF!=5</formula>
    </cfRule>
    <cfRule type="expression" dxfId="306" priority="286">
      <formula>#REF!=4</formula>
    </cfRule>
    <cfRule type="expression" dxfId="305" priority="287">
      <formula>#REF!=3</formula>
    </cfRule>
    <cfRule type="expression" dxfId="304" priority="288">
      <formula>#REF!=2</formula>
    </cfRule>
    <cfRule type="expression" dxfId="303" priority="289">
      <formula>#REF!=1</formula>
    </cfRule>
  </conditionalFormatting>
  <conditionalFormatting sqref="F110:H111">
    <cfRule type="expression" dxfId="302" priority="290">
      <formula>#REF!=5</formula>
    </cfRule>
    <cfRule type="expression" dxfId="301" priority="291">
      <formula>#REF!=4</formula>
    </cfRule>
    <cfRule type="expression" dxfId="300" priority="292">
      <formula>#REF!=3</formula>
    </cfRule>
    <cfRule type="expression" dxfId="299" priority="293">
      <formula>#REF!=2</formula>
    </cfRule>
    <cfRule type="expression" dxfId="298" priority="294">
      <formula>#REF!=1</formula>
    </cfRule>
  </conditionalFormatting>
  <conditionalFormatting sqref="I110:J110">
    <cfRule type="expression" dxfId="297" priority="274">
      <formula>#REF!="NC"</formula>
    </cfRule>
    <cfRule type="expression" dxfId="296" priority="275">
      <formula>#REF!="VL"</formula>
    </cfRule>
  </conditionalFormatting>
  <conditionalFormatting sqref="I110:J110">
    <cfRule type="expression" dxfId="295" priority="276">
      <formula>#REF!=5</formula>
    </cfRule>
    <cfRule type="expression" dxfId="294" priority="277">
      <formula>#REF!=4</formula>
    </cfRule>
    <cfRule type="expression" dxfId="293" priority="278">
      <formula>#REF!=3</formula>
    </cfRule>
    <cfRule type="expression" dxfId="292" priority="279">
      <formula>#REF!=2</formula>
    </cfRule>
    <cfRule type="expression" dxfId="291" priority="280">
      <formula>#REF!=1</formula>
    </cfRule>
  </conditionalFormatting>
  <conditionalFormatting sqref="A113:N114">
    <cfRule type="expression" dxfId="290" priority="267">
      <formula>#REF!="NC"</formula>
    </cfRule>
    <cfRule type="expression" dxfId="289" priority="268">
      <formula>#REF!="VL"</formula>
    </cfRule>
  </conditionalFormatting>
  <conditionalFormatting sqref="A113:N114">
    <cfRule type="expression" dxfId="288" priority="269">
      <formula>#REF!=5</formula>
    </cfRule>
    <cfRule type="expression" dxfId="287" priority="270">
      <formula>#REF!=4</formula>
    </cfRule>
    <cfRule type="expression" dxfId="286" priority="271">
      <formula>#REF!=3</formula>
    </cfRule>
    <cfRule type="expression" dxfId="285" priority="272">
      <formula>#REF!=2</formula>
    </cfRule>
    <cfRule type="expression" dxfId="284" priority="273">
      <formula>#REF!=1</formula>
    </cfRule>
  </conditionalFormatting>
  <conditionalFormatting sqref="C83:C84">
    <cfRule type="expression" dxfId="283" priority="260">
      <formula>#REF!="NC"</formula>
    </cfRule>
    <cfRule type="expression" dxfId="282" priority="261">
      <formula>#REF!="VL"</formula>
    </cfRule>
  </conditionalFormatting>
  <conditionalFormatting sqref="C83:C84">
    <cfRule type="expression" dxfId="281" priority="262">
      <formula>#REF!=5</formula>
    </cfRule>
    <cfRule type="expression" dxfId="280" priority="263">
      <formula>#REF!=4</formula>
    </cfRule>
    <cfRule type="expression" dxfId="279" priority="264">
      <formula>#REF!=3</formula>
    </cfRule>
    <cfRule type="expression" dxfId="278" priority="265">
      <formula>#REF!=2</formula>
    </cfRule>
    <cfRule type="expression" dxfId="277" priority="266">
      <formula>#REF!=1</formula>
    </cfRule>
  </conditionalFormatting>
  <conditionalFormatting sqref="C110">
    <cfRule type="expression" dxfId="276" priority="253">
      <formula>#REF!="NC"</formula>
    </cfRule>
    <cfRule type="expression" dxfId="275" priority="254">
      <formula>#REF!="VL"</formula>
    </cfRule>
  </conditionalFormatting>
  <conditionalFormatting sqref="C110">
    <cfRule type="expression" dxfId="274" priority="255">
      <formula>#REF!=5</formula>
    </cfRule>
    <cfRule type="expression" dxfId="273" priority="256">
      <formula>#REF!=4</formula>
    </cfRule>
    <cfRule type="expression" dxfId="272" priority="257">
      <formula>#REF!=3</formula>
    </cfRule>
    <cfRule type="expression" dxfId="271" priority="258">
      <formula>#REF!=2</formula>
    </cfRule>
    <cfRule type="expression" dxfId="270" priority="259">
      <formula>#REF!=1</formula>
    </cfRule>
  </conditionalFormatting>
  <conditionalFormatting sqref="A98:E98 K96:K99 A87:N95 B96:B97 D97:E97 A99:J99 D96:J96">
    <cfRule type="expression" dxfId="269" priority="241">
      <formula>#REF!="NC"</formula>
    </cfRule>
    <cfRule type="expression" dxfId="268" priority="242">
      <formula>#REF!="VL"</formula>
    </cfRule>
  </conditionalFormatting>
  <conditionalFormatting sqref="F97:J98">
    <cfRule type="expression" dxfId="267" priority="239">
      <formula>#REF!="NC"</formula>
    </cfRule>
    <cfRule type="expression" dxfId="266" priority="240">
      <formula>#REF!="VL"</formula>
    </cfRule>
  </conditionalFormatting>
  <conditionalFormatting sqref="A98:E98 K96:K99 A87:N95 B96:B97 D97:E97 A99:J99 D96:J96">
    <cfRule type="expression" dxfId="265" priority="243">
      <formula>#REF!=5</formula>
    </cfRule>
    <cfRule type="expression" dxfId="264" priority="244">
      <formula>#REF!=4</formula>
    </cfRule>
    <cfRule type="expression" dxfId="263" priority="245">
      <formula>#REF!=3</formula>
    </cfRule>
    <cfRule type="expression" dxfId="262" priority="246">
      <formula>#REF!=2</formula>
    </cfRule>
    <cfRule type="expression" dxfId="261" priority="247">
      <formula>#REF!=1</formula>
    </cfRule>
  </conditionalFormatting>
  <conditionalFormatting sqref="F97:J98">
    <cfRule type="expression" dxfId="260" priority="248">
      <formula>#REF!=5</formula>
    </cfRule>
    <cfRule type="expression" dxfId="259" priority="249">
      <formula>#REF!=4</formula>
    </cfRule>
    <cfRule type="expression" dxfId="258" priority="250">
      <formula>#REF!=3</formula>
    </cfRule>
    <cfRule type="expression" dxfId="257" priority="251">
      <formula>#REF!=2</formula>
    </cfRule>
    <cfRule type="expression" dxfId="256" priority="252">
      <formula>#REF!=1</formula>
    </cfRule>
  </conditionalFormatting>
  <conditionalFormatting sqref="C96:C97">
    <cfRule type="expression" dxfId="255" priority="232">
      <formula>#REF!="NC"</formula>
    </cfRule>
    <cfRule type="expression" dxfId="254" priority="233">
      <formula>#REF!="VL"</formula>
    </cfRule>
  </conditionalFormatting>
  <conditionalFormatting sqref="C96:C97">
    <cfRule type="expression" dxfId="253" priority="234">
      <formula>#REF!=5</formula>
    </cfRule>
    <cfRule type="expression" dxfId="252" priority="235">
      <formula>#REF!=4</formula>
    </cfRule>
    <cfRule type="expression" dxfId="251" priority="236">
      <formula>#REF!=3</formula>
    </cfRule>
    <cfRule type="expression" dxfId="250" priority="237">
      <formula>#REF!=2</formula>
    </cfRule>
    <cfRule type="expression" dxfId="249" priority="238">
      <formula>#REF!=1</formula>
    </cfRule>
  </conditionalFormatting>
  <conditionalFormatting sqref="K139:K140 A131:N136 A139:H140">
    <cfRule type="expression" dxfId="248" priority="225">
      <formula>#REF!="NC"</formula>
    </cfRule>
    <cfRule type="expression" dxfId="247" priority="226">
      <formula>#REF!="VL"</formula>
    </cfRule>
  </conditionalFormatting>
  <conditionalFormatting sqref="K139:K140 A131:N136 A139:H140">
    <cfRule type="expression" dxfId="246" priority="227">
      <formula>#REF!=5</formula>
    </cfRule>
    <cfRule type="expression" dxfId="245" priority="228">
      <formula>#REF!=4</formula>
    </cfRule>
    <cfRule type="expression" dxfId="244" priority="229">
      <formula>#REF!=3</formula>
    </cfRule>
    <cfRule type="expression" dxfId="243" priority="230">
      <formula>#REF!=2</formula>
    </cfRule>
    <cfRule type="expression" dxfId="242" priority="231">
      <formula>#REF!=1</formula>
    </cfRule>
  </conditionalFormatting>
  <conditionalFormatting sqref="I64:J65">
    <cfRule type="expression" dxfId="241" priority="204">
      <formula>#REF!="NC"</formula>
    </cfRule>
    <cfRule type="expression" dxfId="240" priority="205">
      <formula>#REF!="VL"</formula>
    </cfRule>
  </conditionalFormatting>
  <conditionalFormatting sqref="I64:J65">
    <cfRule type="expression" dxfId="239" priority="206">
      <formula>#REF!=5</formula>
    </cfRule>
    <cfRule type="expression" dxfId="238" priority="207">
      <formula>#REF!=4</formula>
    </cfRule>
    <cfRule type="expression" dxfId="237" priority="208">
      <formula>#REF!=3</formula>
    </cfRule>
    <cfRule type="expression" dxfId="236" priority="209">
      <formula>#REF!=2</formula>
    </cfRule>
    <cfRule type="expression" dxfId="235" priority="210">
      <formula>#REF!=1</formula>
    </cfRule>
  </conditionalFormatting>
  <conditionalFormatting sqref="I73:J73">
    <cfRule type="expression" dxfId="234" priority="197">
      <formula>#REF!="NC"</formula>
    </cfRule>
    <cfRule type="expression" dxfId="233" priority="198">
      <formula>#REF!="VL"</formula>
    </cfRule>
  </conditionalFormatting>
  <conditionalFormatting sqref="I73:J73">
    <cfRule type="expression" dxfId="232" priority="199">
      <formula>#REF!=5</formula>
    </cfRule>
    <cfRule type="expression" dxfId="231" priority="200">
      <formula>#REF!=4</formula>
    </cfRule>
    <cfRule type="expression" dxfId="230" priority="201">
      <formula>#REF!=3</formula>
    </cfRule>
    <cfRule type="expression" dxfId="229" priority="202">
      <formula>#REF!=2</formula>
    </cfRule>
    <cfRule type="expression" dxfId="228" priority="203">
      <formula>#REF!=1</formula>
    </cfRule>
  </conditionalFormatting>
  <conditionalFormatting sqref="I111:J112">
    <cfRule type="expression" dxfId="227" priority="155">
      <formula>#REF!="NC"</formula>
    </cfRule>
    <cfRule type="expression" dxfId="226" priority="156">
      <formula>#REF!="VL"</formula>
    </cfRule>
  </conditionalFormatting>
  <conditionalFormatting sqref="I111:J112">
    <cfRule type="expression" dxfId="225" priority="157">
      <formula>#REF!=5</formula>
    </cfRule>
    <cfRule type="expression" dxfId="224" priority="158">
      <formula>#REF!=4</formula>
    </cfRule>
    <cfRule type="expression" dxfId="223" priority="159">
      <formula>#REF!=3</formula>
    </cfRule>
    <cfRule type="expression" dxfId="222" priority="160">
      <formula>#REF!=2</formula>
    </cfRule>
    <cfRule type="expression" dxfId="221" priority="161">
      <formula>#REF!=1</formula>
    </cfRule>
  </conditionalFormatting>
  <conditionalFormatting sqref="I119:J119">
    <cfRule type="expression" dxfId="220" priority="148">
      <formula>#REF!="NC"</formula>
    </cfRule>
    <cfRule type="expression" dxfId="219" priority="149">
      <formula>#REF!="VL"</formula>
    </cfRule>
  </conditionalFormatting>
  <conditionalFormatting sqref="I119:J119">
    <cfRule type="expression" dxfId="218" priority="150">
      <formula>#REF!=5</formula>
    </cfRule>
    <cfRule type="expression" dxfId="217" priority="151">
      <formula>#REF!=4</formula>
    </cfRule>
    <cfRule type="expression" dxfId="216" priority="152">
      <formula>#REF!=3</formula>
    </cfRule>
    <cfRule type="expression" dxfId="215" priority="153">
      <formula>#REF!=2</formula>
    </cfRule>
    <cfRule type="expression" dxfId="214" priority="154">
      <formula>#REF!=1</formula>
    </cfRule>
  </conditionalFormatting>
  <conditionalFormatting sqref="I130:J130">
    <cfRule type="expression" dxfId="213" priority="141">
      <formula>#REF!="NC"</formula>
    </cfRule>
    <cfRule type="expression" dxfId="212" priority="142">
      <formula>#REF!="VL"</formula>
    </cfRule>
  </conditionalFormatting>
  <conditionalFormatting sqref="I130:J130">
    <cfRule type="expression" dxfId="211" priority="143">
      <formula>#REF!=5</formula>
    </cfRule>
    <cfRule type="expression" dxfId="210" priority="144">
      <formula>#REF!=4</formula>
    </cfRule>
    <cfRule type="expression" dxfId="209" priority="145">
      <formula>#REF!=3</formula>
    </cfRule>
    <cfRule type="expression" dxfId="208" priority="146">
      <formula>#REF!=2</formula>
    </cfRule>
    <cfRule type="expression" dxfId="207" priority="147">
      <formula>#REF!=1</formula>
    </cfRule>
  </conditionalFormatting>
  <conditionalFormatting sqref="I139:J140">
    <cfRule type="expression" dxfId="206" priority="134">
      <formula>#REF!="NC"</formula>
    </cfRule>
    <cfRule type="expression" dxfId="205" priority="135">
      <formula>#REF!="VL"</formula>
    </cfRule>
  </conditionalFormatting>
  <conditionalFormatting sqref="I139:J140">
    <cfRule type="expression" dxfId="204" priority="136">
      <formula>#REF!=5</formula>
    </cfRule>
    <cfRule type="expression" dxfId="203" priority="137">
      <formula>#REF!=4</formula>
    </cfRule>
    <cfRule type="expression" dxfId="202" priority="138">
      <formula>#REF!=3</formula>
    </cfRule>
    <cfRule type="expression" dxfId="201" priority="139">
      <formula>#REF!=2</formula>
    </cfRule>
    <cfRule type="expression" dxfId="200" priority="140">
      <formula>#REF!=1</formula>
    </cfRule>
  </conditionalFormatting>
  <conditionalFormatting sqref="I146:J146">
    <cfRule type="expression" dxfId="199" priority="127">
      <formula>#REF!="NC"</formula>
    </cfRule>
    <cfRule type="expression" dxfId="198" priority="128">
      <formula>#REF!="VL"</formula>
    </cfRule>
  </conditionalFormatting>
  <conditionalFormatting sqref="I146:J146">
    <cfRule type="expression" dxfId="197" priority="129">
      <formula>#REF!=5</formula>
    </cfRule>
    <cfRule type="expression" dxfId="196" priority="130">
      <formula>#REF!=4</formula>
    </cfRule>
    <cfRule type="expression" dxfId="195" priority="131">
      <formula>#REF!=3</formula>
    </cfRule>
    <cfRule type="expression" dxfId="194" priority="132">
      <formula>#REF!=2</formula>
    </cfRule>
    <cfRule type="expression" dxfId="193" priority="133">
      <formula>#REF!=1</formula>
    </cfRule>
  </conditionalFormatting>
  <conditionalFormatting sqref="L58:N59">
    <cfRule type="expression" dxfId="192" priority="120">
      <formula>#REF!="NC"</formula>
    </cfRule>
    <cfRule type="expression" dxfId="191" priority="121">
      <formula>#REF!="VL"</formula>
    </cfRule>
  </conditionalFormatting>
  <conditionalFormatting sqref="L58:N59">
    <cfRule type="expression" dxfId="190" priority="122">
      <formula>#REF!=5</formula>
    </cfRule>
    <cfRule type="expression" dxfId="189" priority="123">
      <formula>#REF!=4</formula>
    </cfRule>
    <cfRule type="expression" dxfId="188" priority="124">
      <formula>#REF!=3</formula>
    </cfRule>
    <cfRule type="expression" dxfId="187" priority="125">
      <formula>#REF!=2</formula>
    </cfRule>
    <cfRule type="expression" dxfId="186" priority="126">
      <formula>#REF!=1</formula>
    </cfRule>
  </conditionalFormatting>
  <conditionalFormatting sqref="L64:N65">
    <cfRule type="expression" dxfId="185" priority="113">
      <formula>#REF!="NC"</formula>
    </cfRule>
    <cfRule type="expression" dxfId="184" priority="114">
      <formula>#REF!="VL"</formula>
    </cfRule>
  </conditionalFormatting>
  <conditionalFormatting sqref="L64:N65">
    <cfRule type="expression" dxfId="183" priority="115">
      <formula>#REF!=5</formula>
    </cfRule>
    <cfRule type="expression" dxfId="182" priority="116">
      <formula>#REF!=4</formula>
    </cfRule>
    <cfRule type="expression" dxfId="181" priority="117">
      <formula>#REF!=3</formula>
    </cfRule>
    <cfRule type="expression" dxfId="180" priority="118">
      <formula>#REF!=2</formula>
    </cfRule>
    <cfRule type="expression" dxfId="179" priority="119">
      <formula>#REF!=1</formula>
    </cfRule>
  </conditionalFormatting>
  <conditionalFormatting sqref="L72:N73">
    <cfRule type="expression" dxfId="178" priority="106">
      <formula>#REF!="NC"</formula>
    </cfRule>
    <cfRule type="expression" dxfId="177" priority="107">
      <formula>#REF!="VL"</formula>
    </cfRule>
  </conditionalFormatting>
  <conditionalFormatting sqref="L72:N73">
    <cfRule type="expression" dxfId="176" priority="108">
      <formula>#REF!=5</formula>
    </cfRule>
    <cfRule type="expression" dxfId="175" priority="109">
      <formula>#REF!=4</formula>
    </cfRule>
    <cfRule type="expression" dxfId="174" priority="110">
      <formula>#REF!=3</formula>
    </cfRule>
    <cfRule type="expression" dxfId="173" priority="111">
      <formula>#REF!=2</formula>
    </cfRule>
    <cfRule type="expression" dxfId="172" priority="112">
      <formula>#REF!=1</formula>
    </cfRule>
  </conditionalFormatting>
  <conditionalFormatting sqref="L83:N86">
    <cfRule type="expression" dxfId="171" priority="99">
      <formula>#REF!="NC"</formula>
    </cfRule>
    <cfRule type="expression" dxfId="170" priority="100">
      <formula>#REF!="VL"</formula>
    </cfRule>
  </conditionalFormatting>
  <conditionalFormatting sqref="L83:N86">
    <cfRule type="expression" dxfId="169" priority="101">
      <formula>#REF!=5</formula>
    </cfRule>
    <cfRule type="expression" dxfId="168" priority="102">
      <formula>#REF!=4</formula>
    </cfRule>
    <cfRule type="expression" dxfId="167" priority="103">
      <formula>#REF!=3</formula>
    </cfRule>
    <cfRule type="expression" dxfId="166" priority="104">
      <formula>#REF!=2</formula>
    </cfRule>
    <cfRule type="expression" dxfId="165" priority="105">
      <formula>#REF!=1</formula>
    </cfRule>
  </conditionalFormatting>
  <conditionalFormatting sqref="L96:N99">
    <cfRule type="expression" dxfId="164" priority="92">
      <formula>#REF!="NC"</formula>
    </cfRule>
    <cfRule type="expression" dxfId="163" priority="93">
      <formula>#REF!="VL"</formula>
    </cfRule>
  </conditionalFormatting>
  <conditionalFormatting sqref="L96:N99">
    <cfRule type="expression" dxfId="162" priority="94">
      <formula>#REF!=5</formula>
    </cfRule>
    <cfRule type="expression" dxfId="161" priority="95">
      <formula>#REF!=4</formula>
    </cfRule>
    <cfRule type="expression" dxfId="160" priority="96">
      <formula>#REF!=3</formula>
    </cfRule>
    <cfRule type="expression" dxfId="159" priority="97">
      <formula>#REF!=2</formula>
    </cfRule>
    <cfRule type="expression" dxfId="158" priority="98">
      <formula>#REF!=1</formula>
    </cfRule>
  </conditionalFormatting>
  <conditionalFormatting sqref="L109:N112">
    <cfRule type="expression" dxfId="157" priority="85">
      <formula>#REF!="NC"</formula>
    </cfRule>
    <cfRule type="expression" dxfId="156" priority="86">
      <formula>#REF!="VL"</formula>
    </cfRule>
  </conditionalFormatting>
  <conditionalFormatting sqref="L109:N112">
    <cfRule type="expression" dxfId="155" priority="87">
      <formula>#REF!=5</formula>
    </cfRule>
    <cfRule type="expression" dxfId="154" priority="88">
      <formula>#REF!=4</formula>
    </cfRule>
    <cfRule type="expression" dxfId="153" priority="89">
      <formula>#REF!=3</formula>
    </cfRule>
    <cfRule type="expression" dxfId="152" priority="90">
      <formula>#REF!=2</formula>
    </cfRule>
    <cfRule type="expression" dxfId="151" priority="91">
      <formula>#REF!=1</formula>
    </cfRule>
  </conditionalFormatting>
  <conditionalFormatting sqref="L119:N120">
    <cfRule type="expression" dxfId="150" priority="78">
      <formula>#REF!="NC"</formula>
    </cfRule>
    <cfRule type="expression" dxfId="149" priority="79">
      <formula>#REF!="VL"</formula>
    </cfRule>
  </conditionalFormatting>
  <conditionalFormatting sqref="L119:N120">
    <cfRule type="expression" dxfId="148" priority="80">
      <formula>#REF!=5</formula>
    </cfRule>
    <cfRule type="expression" dxfId="147" priority="81">
      <formula>#REF!=4</formula>
    </cfRule>
    <cfRule type="expression" dxfId="146" priority="82">
      <formula>#REF!=3</formula>
    </cfRule>
    <cfRule type="expression" dxfId="145" priority="83">
      <formula>#REF!=2</formula>
    </cfRule>
    <cfRule type="expression" dxfId="144" priority="84">
      <formula>#REF!=1</formula>
    </cfRule>
  </conditionalFormatting>
  <conditionalFormatting sqref="L127:N130">
    <cfRule type="expression" dxfId="143" priority="71">
      <formula>#REF!="NC"</formula>
    </cfRule>
    <cfRule type="expression" dxfId="142" priority="72">
      <formula>#REF!="VL"</formula>
    </cfRule>
  </conditionalFormatting>
  <conditionalFormatting sqref="L127:N130">
    <cfRule type="expression" dxfId="141" priority="73">
      <formula>#REF!=5</formula>
    </cfRule>
    <cfRule type="expression" dxfId="140" priority="74">
      <formula>#REF!=4</formula>
    </cfRule>
    <cfRule type="expression" dxfId="139" priority="75">
      <formula>#REF!=3</formula>
    </cfRule>
    <cfRule type="expression" dxfId="138" priority="76">
      <formula>#REF!=2</formula>
    </cfRule>
    <cfRule type="expression" dxfId="137" priority="77">
      <formula>#REF!=1</formula>
    </cfRule>
  </conditionalFormatting>
  <conditionalFormatting sqref="L137:N140">
    <cfRule type="expression" dxfId="136" priority="64">
      <formula>#REF!="NC"</formula>
    </cfRule>
    <cfRule type="expression" dxfId="135" priority="65">
      <formula>#REF!="VL"</formula>
    </cfRule>
  </conditionalFormatting>
  <conditionalFormatting sqref="L137:N140">
    <cfRule type="expression" dxfId="134" priority="66">
      <formula>#REF!=5</formula>
    </cfRule>
    <cfRule type="expression" dxfId="133" priority="67">
      <formula>#REF!=4</formula>
    </cfRule>
    <cfRule type="expression" dxfId="132" priority="68">
      <formula>#REF!=3</formula>
    </cfRule>
    <cfRule type="expression" dxfId="131" priority="69">
      <formula>#REF!=2</formula>
    </cfRule>
    <cfRule type="expression" dxfId="130" priority="70">
      <formula>#REF!=1</formula>
    </cfRule>
  </conditionalFormatting>
  <conditionalFormatting sqref="D130">
    <cfRule type="expression" dxfId="129" priority="29">
      <formula>#REF!="NC"</formula>
    </cfRule>
    <cfRule type="expression" dxfId="128" priority="30">
      <formula>#REF!="VL"</formula>
    </cfRule>
  </conditionalFormatting>
  <conditionalFormatting sqref="D130">
    <cfRule type="expression" dxfId="127" priority="31">
      <formula>#REF!=5</formula>
    </cfRule>
    <cfRule type="expression" dxfId="126" priority="32">
      <formula>#REF!=4</formula>
    </cfRule>
    <cfRule type="expression" dxfId="125" priority="33">
      <formula>#REF!=3</formula>
    </cfRule>
    <cfRule type="expression" dxfId="124" priority="34">
      <formula>#REF!=2</formula>
    </cfRule>
    <cfRule type="expression" dxfId="123" priority="35">
      <formula>#REF!=1</formula>
    </cfRule>
  </conditionalFormatting>
  <conditionalFormatting sqref="A96:A97">
    <cfRule type="expression" dxfId="122" priority="22">
      <formula>#REF!="NC"</formula>
    </cfRule>
    <cfRule type="expression" dxfId="121" priority="23">
      <formula>#REF!="VL"</formula>
    </cfRule>
  </conditionalFormatting>
  <conditionalFormatting sqref="A96:A97">
    <cfRule type="expression" dxfId="120" priority="24">
      <formula>#REF!=5</formula>
    </cfRule>
    <cfRule type="expression" dxfId="119" priority="25">
      <formula>#REF!=4</formula>
    </cfRule>
    <cfRule type="expression" dxfId="118" priority="26">
      <formula>#REF!=3</formula>
    </cfRule>
    <cfRule type="expression" dxfId="117" priority="27">
      <formula>#REF!=2</formula>
    </cfRule>
    <cfRule type="expression" dxfId="116" priority="28">
      <formula>#REF!=1</formula>
    </cfRule>
  </conditionalFormatting>
  <conditionalFormatting sqref="A83">
    <cfRule type="expression" dxfId="115" priority="15">
      <formula>#REF!="NC"</formula>
    </cfRule>
    <cfRule type="expression" dxfId="114" priority="16">
      <formula>#REF!="VL"</formula>
    </cfRule>
  </conditionalFormatting>
  <conditionalFormatting sqref="A83">
    <cfRule type="expression" dxfId="113" priority="17">
      <formula>#REF!=5</formula>
    </cfRule>
    <cfRule type="expression" dxfId="112" priority="18">
      <formula>#REF!=4</formula>
    </cfRule>
    <cfRule type="expression" dxfId="111" priority="19">
      <formula>#REF!=3</formula>
    </cfRule>
    <cfRule type="expression" dxfId="110" priority="20">
      <formula>#REF!=2</formula>
    </cfRule>
    <cfRule type="expression" dxfId="109" priority="21">
      <formula>#REF!=1</formula>
    </cfRule>
  </conditionalFormatting>
  <conditionalFormatting sqref="A84">
    <cfRule type="expression" dxfId="108" priority="8">
      <formula>#REF!="NC"</formula>
    </cfRule>
    <cfRule type="expression" dxfId="107" priority="9">
      <formula>#REF!="VL"</formula>
    </cfRule>
  </conditionalFormatting>
  <conditionalFormatting sqref="A84">
    <cfRule type="expression" dxfId="106" priority="10">
      <formula>#REF!=5</formula>
    </cfRule>
    <cfRule type="expression" dxfId="105" priority="11">
      <formula>#REF!=4</formula>
    </cfRule>
    <cfRule type="expression" dxfId="104" priority="12">
      <formula>#REF!=3</formula>
    </cfRule>
    <cfRule type="expression" dxfId="103" priority="13">
      <formula>#REF!=2</formula>
    </cfRule>
    <cfRule type="expression" dxfId="102" priority="14">
      <formula>#REF!=1</formula>
    </cfRule>
  </conditionalFormatting>
  <conditionalFormatting sqref="A72">
    <cfRule type="expression" dxfId="101" priority="1">
      <formula>#REF!="NC"</formula>
    </cfRule>
    <cfRule type="expression" dxfId="100" priority="2">
      <formula>#REF!="VL"</formula>
    </cfRule>
  </conditionalFormatting>
  <conditionalFormatting sqref="A72">
    <cfRule type="expression" dxfId="99" priority="3">
      <formula>#REF!=5</formula>
    </cfRule>
    <cfRule type="expression" dxfId="98" priority="4">
      <formula>#REF!=4</formula>
    </cfRule>
    <cfRule type="expression" dxfId="97" priority="5">
      <formula>#REF!=3</formula>
    </cfRule>
    <cfRule type="expression" dxfId="96" priority="6">
      <formula>#REF!=2</formula>
    </cfRule>
    <cfRule type="expression" dxfId="95" priority="7">
      <formula>#REF!=1</formula>
    </cfRule>
  </conditionalFormatting>
  <pageMargins left="0.42" right="0.28999999999999998" top="0.75" bottom="0.75" header="0.3" footer="0.3"/>
  <pageSetup paperSize="9" scale="75" orientation="landscape" r:id="rId1"/>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7"/>
  <sheetViews>
    <sheetView workbookViewId="0">
      <selection activeCell="L37" sqref="L37"/>
    </sheetView>
  </sheetViews>
  <sheetFormatPr defaultRowHeight="15"/>
  <cols>
    <col min="1" max="1" width="12.42578125" customWidth="1"/>
    <col min="2" max="2" width="48.85546875" customWidth="1"/>
    <col min="3" max="4" width="9.140625" customWidth="1"/>
    <col min="5" max="5" width="8.5703125" bestFit="1" customWidth="1"/>
    <col min="6" max="7" width="10.42578125" bestFit="1" customWidth="1"/>
    <col min="8" max="8" width="12.140625" customWidth="1"/>
    <col min="9" max="9" width="13.85546875" customWidth="1"/>
    <col min="10" max="10" width="12" customWidth="1"/>
  </cols>
  <sheetData>
    <row r="1" spans="1:10">
      <c r="A1" s="765" t="s">
        <v>3822</v>
      </c>
      <c r="B1" s="796"/>
      <c r="C1" s="796"/>
      <c r="D1" s="790"/>
      <c r="E1" s="790"/>
      <c r="F1" s="796"/>
      <c r="G1" s="796"/>
      <c r="H1" s="14"/>
      <c r="I1" s="14"/>
      <c r="J1" s="14"/>
    </row>
    <row r="2" spans="1:10" ht="15.75">
      <c r="A2" s="1543" t="s">
        <v>199</v>
      </c>
      <c r="B2" s="1543"/>
      <c r="C2" s="1543"/>
      <c r="D2" s="1543"/>
      <c r="E2" s="1543"/>
      <c r="F2" s="1543"/>
      <c r="G2" s="1543"/>
      <c r="H2" s="1543"/>
      <c r="I2" s="1543"/>
      <c r="J2" s="1543"/>
    </row>
    <row r="3" spans="1:10" ht="15.75">
      <c r="A3" s="1543" t="s">
        <v>3823</v>
      </c>
      <c r="B3" s="1543"/>
      <c r="C3" s="1543"/>
      <c r="D3" s="1543"/>
      <c r="E3" s="1543"/>
      <c r="F3" s="1543"/>
      <c r="G3" s="1543"/>
      <c r="H3" s="1543"/>
      <c r="I3" s="1543"/>
      <c r="J3" s="1543"/>
    </row>
    <row r="4" spans="1:10">
      <c r="A4" s="766"/>
      <c r="B4" s="766"/>
      <c r="C4" s="766"/>
      <c r="D4" s="767"/>
      <c r="E4" s="767"/>
      <c r="F4" s="766"/>
      <c r="G4" s="766"/>
      <c r="H4" s="11"/>
      <c r="I4" s="11"/>
      <c r="J4" s="11"/>
    </row>
    <row r="5" spans="1:10">
      <c r="A5" s="1546" t="s">
        <v>99</v>
      </c>
      <c r="B5" s="1546" t="s">
        <v>200</v>
      </c>
      <c r="C5" s="1546" t="s">
        <v>101</v>
      </c>
      <c r="D5" s="1546" t="s">
        <v>102</v>
      </c>
      <c r="E5" s="791" t="s">
        <v>97</v>
      </c>
      <c r="F5" s="797"/>
      <c r="G5" s="797"/>
      <c r="H5" s="798" t="s">
        <v>201</v>
      </c>
      <c r="I5" s="798"/>
      <c r="J5" s="798"/>
    </row>
    <row r="6" spans="1:10">
      <c r="A6" s="1546"/>
      <c r="B6" s="1546"/>
      <c r="C6" s="1546"/>
      <c r="D6" s="1546"/>
      <c r="E6" s="791" t="s">
        <v>11</v>
      </c>
      <c r="F6" s="791" t="s">
        <v>12</v>
      </c>
      <c r="G6" s="791" t="s">
        <v>93</v>
      </c>
      <c r="H6" s="793" t="s">
        <v>11</v>
      </c>
      <c r="I6" s="793" t="s">
        <v>12</v>
      </c>
      <c r="J6" s="793" t="s">
        <v>93</v>
      </c>
    </row>
    <row r="7" spans="1:10">
      <c r="A7" s="799"/>
      <c r="B7" s="800" t="s">
        <v>3824</v>
      </c>
      <c r="C7" s="799"/>
      <c r="D7" s="799"/>
      <c r="E7" s="801"/>
      <c r="F7" s="801"/>
      <c r="G7" s="801"/>
      <c r="H7" s="802"/>
      <c r="I7" s="802"/>
      <c r="J7" s="802"/>
    </row>
    <row r="8" spans="1:10">
      <c r="A8" s="803" t="s">
        <v>3825</v>
      </c>
      <c r="B8" s="804" t="s">
        <v>12982</v>
      </c>
      <c r="C8" s="805" t="s">
        <v>160</v>
      </c>
      <c r="D8" s="806">
        <v>1</v>
      </c>
      <c r="E8" s="807">
        <f>TNHC!F12</f>
        <v>208358.88</v>
      </c>
      <c r="F8" s="808">
        <f>TNHC!G12</f>
        <v>1885641.8</v>
      </c>
      <c r="G8" s="808">
        <f>TNHC!H12</f>
        <v>401119.30989199999</v>
      </c>
      <c r="H8" s="809">
        <f t="shared" ref="H8:J16" si="0">E8*$D8</f>
        <v>208358.88</v>
      </c>
      <c r="I8" s="809">
        <f t="shared" si="0"/>
        <v>1885641.8</v>
      </c>
      <c r="J8" s="809">
        <f t="shared" si="0"/>
        <v>401119.30989199999</v>
      </c>
    </row>
    <row r="9" spans="1:10">
      <c r="A9" s="803" t="s">
        <v>3826</v>
      </c>
      <c r="B9" s="804" t="s">
        <v>3827</v>
      </c>
      <c r="C9" s="805" t="s">
        <v>160</v>
      </c>
      <c r="D9" s="810">
        <v>3</v>
      </c>
      <c r="E9" s="810">
        <v>13081</v>
      </c>
      <c r="F9" s="811">
        <v>318206</v>
      </c>
      <c r="G9" s="811">
        <v>156461</v>
      </c>
      <c r="H9" s="809">
        <f t="shared" si="0"/>
        <v>39243</v>
      </c>
      <c r="I9" s="809">
        <f t="shared" si="0"/>
        <v>954618</v>
      </c>
      <c r="J9" s="809">
        <f t="shared" si="0"/>
        <v>469383</v>
      </c>
    </row>
    <row r="10" spans="1:10">
      <c r="A10" s="803" t="s">
        <v>3828</v>
      </c>
      <c r="B10" s="804" t="s">
        <v>3829</v>
      </c>
      <c r="C10" s="805" t="s">
        <v>51</v>
      </c>
      <c r="D10" s="810">
        <v>3</v>
      </c>
      <c r="E10" s="812">
        <f>TNHC!F78</f>
        <v>73697.328000000009</v>
      </c>
      <c r="F10" s="811">
        <f>TNHC!G78</f>
        <v>909283.79999999993</v>
      </c>
      <c r="G10" s="811">
        <f>TNHC!H78</f>
        <v>196140.40308799999</v>
      </c>
      <c r="H10" s="809">
        <f t="shared" si="0"/>
        <v>221091.98400000003</v>
      </c>
      <c r="I10" s="809">
        <f t="shared" si="0"/>
        <v>2727851.4</v>
      </c>
      <c r="J10" s="809">
        <f t="shared" si="0"/>
        <v>588421.20926399995</v>
      </c>
    </row>
    <row r="11" spans="1:10">
      <c r="A11" s="803" t="s">
        <v>3830</v>
      </c>
      <c r="B11" s="804" t="s">
        <v>3831</v>
      </c>
      <c r="C11" s="805" t="s">
        <v>3832</v>
      </c>
      <c r="D11" s="806">
        <v>3</v>
      </c>
      <c r="E11" s="807">
        <v>1479</v>
      </c>
      <c r="F11" s="808">
        <v>25413</v>
      </c>
      <c r="G11" s="808">
        <v>11183</v>
      </c>
      <c r="H11" s="809">
        <f t="shared" si="0"/>
        <v>4437</v>
      </c>
      <c r="I11" s="809">
        <f t="shared" si="0"/>
        <v>76239</v>
      </c>
      <c r="J11" s="809">
        <f t="shared" si="0"/>
        <v>33549</v>
      </c>
    </row>
    <row r="12" spans="1:10">
      <c r="A12" s="803" t="s">
        <v>206</v>
      </c>
      <c r="B12" s="804" t="s">
        <v>207</v>
      </c>
      <c r="C12" s="805" t="s">
        <v>208</v>
      </c>
      <c r="D12" s="806">
        <v>1</v>
      </c>
      <c r="E12" s="807">
        <v>4996</v>
      </c>
      <c r="F12" s="808">
        <v>5731</v>
      </c>
      <c r="G12" s="808">
        <v>41026</v>
      </c>
      <c r="H12" s="809">
        <f t="shared" si="0"/>
        <v>4996</v>
      </c>
      <c r="I12" s="809">
        <f t="shared" si="0"/>
        <v>5731</v>
      </c>
      <c r="J12" s="809">
        <f t="shared" si="0"/>
        <v>41026</v>
      </c>
    </row>
    <row r="13" spans="1:10">
      <c r="A13" s="803" t="s">
        <v>209</v>
      </c>
      <c r="B13" s="804" t="s">
        <v>210</v>
      </c>
      <c r="C13" s="805" t="s">
        <v>208</v>
      </c>
      <c r="D13" s="806">
        <v>1</v>
      </c>
      <c r="E13" s="807">
        <v>69</v>
      </c>
      <c r="F13" s="808">
        <v>5692</v>
      </c>
      <c r="G13" s="808">
        <v>1487</v>
      </c>
      <c r="H13" s="809">
        <f t="shared" si="0"/>
        <v>69</v>
      </c>
      <c r="I13" s="809">
        <f t="shared" si="0"/>
        <v>5692</v>
      </c>
      <c r="J13" s="809">
        <f t="shared" si="0"/>
        <v>1487</v>
      </c>
    </row>
    <row r="14" spans="1:10">
      <c r="A14" s="803" t="s">
        <v>3833</v>
      </c>
      <c r="B14" s="804" t="s">
        <v>3834</v>
      </c>
      <c r="C14" s="805" t="s">
        <v>51</v>
      </c>
      <c r="D14" s="806">
        <v>2</v>
      </c>
      <c r="E14" s="807">
        <v>1155</v>
      </c>
      <c r="F14" s="808">
        <v>34065</v>
      </c>
      <c r="G14" s="808">
        <v>18654</v>
      </c>
      <c r="H14" s="809">
        <f t="shared" si="0"/>
        <v>2310</v>
      </c>
      <c r="I14" s="809">
        <f t="shared" si="0"/>
        <v>68130</v>
      </c>
      <c r="J14" s="809">
        <f t="shared" si="0"/>
        <v>37308</v>
      </c>
    </row>
    <row r="15" spans="1:10">
      <c r="A15" s="803" t="s">
        <v>3835</v>
      </c>
      <c r="B15" s="804" t="s">
        <v>3836</v>
      </c>
      <c r="C15" s="805" t="s">
        <v>211</v>
      </c>
      <c r="D15" s="806">
        <v>1</v>
      </c>
      <c r="E15" s="807">
        <v>8576</v>
      </c>
      <c r="F15" s="808">
        <v>240609</v>
      </c>
      <c r="G15" s="808">
        <v>20383</v>
      </c>
      <c r="H15" s="809">
        <f t="shared" si="0"/>
        <v>8576</v>
      </c>
      <c r="I15" s="809">
        <f t="shared" si="0"/>
        <v>240609</v>
      </c>
      <c r="J15" s="809">
        <f t="shared" si="0"/>
        <v>20383</v>
      </c>
    </row>
    <row r="16" spans="1:10">
      <c r="A16" s="803" t="s">
        <v>3837</v>
      </c>
      <c r="B16" s="804" t="s">
        <v>3838</v>
      </c>
      <c r="C16" s="805" t="s">
        <v>51</v>
      </c>
      <c r="D16" s="806">
        <v>1</v>
      </c>
      <c r="E16" s="807">
        <v>2021</v>
      </c>
      <c r="F16" s="808">
        <v>60849</v>
      </c>
      <c r="G16" s="808">
        <v>26259</v>
      </c>
      <c r="H16" s="809">
        <f t="shared" si="0"/>
        <v>2021</v>
      </c>
      <c r="I16" s="809">
        <f t="shared" si="0"/>
        <v>60849</v>
      </c>
      <c r="J16" s="809">
        <f t="shared" si="0"/>
        <v>26259</v>
      </c>
    </row>
    <row r="17" spans="1:10">
      <c r="A17" s="813"/>
      <c r="B17" s="814" t="s">
        <v>212</v>
      </c>
      <c r="C17" s="814"/>
      <c r="D17" s="815"/>
      <c r="E17" s="816"/>
      <c r="F17" s="817"/>
      <c r="G17" s="817"/>
      <c r="H17" s="818">
        <f>SUM(H8:H16)</f>
        <v>491102.86400000006</v>
      </c>
      <c r="I17" s="818">
        <f>SUM(I8:I16)</f>
        <v>6025361.1999999993</v>
      </c>
      <c r="J17" s="818">
        <f>SUM(J8:J16)</f>
        <v>1618935.5191559999</v>
      </c>
    </row>
  </sheetData>
  <mergeCells count="6">
    <mergeCell ref="A2:J2"/>
    <mergeCell ref="A3:J3"/>
    <mergeCell ref="A5:A6"/>
    <mergeCell ref="B5:B6"/>
    <mergeCell ref="C5:C6"/>
    <mergeCell ref="D5:D6"/>
  </mergeCells>
  <conditionalFormatting sqref="A1">
    <cfRule type="expression" dxfId="94" priority="2" stopIfTrue="1">
      <formula>$G1=4</formula>
    </cfRule>
    <cfRule type="expression" dxfId="93" priority="3" stopIfTrue="1">
      <formula>$G1=3</formula>
    </cfRule>
    <cfRule type="expression" dxfId="92" priority="4" stopIfTrue="1">
      <formula>$G1=2</formula>
    </cfRule>
    <cfRule type="expression" dxfId="91" priority="5" stopIfTrue="1">
      <formula>$G1=1</formula>
    </cfRule>
  </conditionalFormatting>
  <conditionalFormatting sqref="B1:J1 A2:A3 A4:J17">
    <cfRule type="expression" dxfId="90" priority="6">
      <formula>#REF!=3</formula>
    </cfRule>
    <cfRule type="expression" dxfId="89" priority="7">
      <formula>#REF!=2</formula>
    </cfRule>
    <cfRule type="expression" dxfId="88" priority="8">
      <formula>#REF!=1</formula>
    </cfRule>
  </conditionalFormatting>
  <conditionalFormatting sqref="D1 D4:D17">
    <cfRule type="expression" dxfId="87" priority="9">
      <formula>#REF!=4</formula>
    </cfRule>
  </conditionalFormatting>
  <conditionalFormatting sqref="E9">
    <cfRule type="expression" dxfId="86" priority="1">
      <formula>#REF!=4</formula>
    </cfRule>
  </conditionalFormatting>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6"/>
  <sheetViews>
    <sheetView zoomScaleNormal="100" workbookViewId="0">
      <selection activeCell="K34" sqref="K34"/>
    </sheetView>
  </sheetViews>
  <sheetFormatPr defaultRowHeight="15"/>
  <cols>
    <col min="1" max="1" width="12.140625" customWidth="1"/>
    <col min="2" max="2" width="43" bestFit="1" customWidth="1"/>
    <col min="3" max="3" width="24.42578125" customWidth="1"/>
    <col min="4" max="4" width="26.7109375" customWidth="1"/>
    <col min="5" max="5" width="24.85546875" customWidth="1"/>
    <col min="10" max="10" width="31.5703125" customWidth="1"/>
    <col min="11" max="11" width="21.28515625" customWidth="1"/>
    <col min="13" max="13" width="13.5703125" customWidth="1"/>
  </cols>
  <sheetData>
    <row r="1" spans="1:13">
      <c r="A1" s="685" t="s">
        <v>3901</v>
      </c>
      <c r="B1" s="4"/>
      <c r="C1" s="3"/>
      <c r="D1" s="3"/>
      <c r="E1" s="686"/>
    </row>
    <row r="2" spans="1:13" ht="15.75">
      <c r="A2" s="688" t="s">
        <v>61</v>
      </c>
      <c r="B2" s="688"/>
      <c r="C2" s="688"/>
      <c r="D2" s="688"/>
      <c r="E2" s="689"/>
    </row>
    <row r="3" spans="1:13">
      <c r="A3" s="691" t="s">
        <v>3902</v>
      </c>
      <c r="B3" s="691"/>
      <c r="C3" s="691"/>
      <c r="D3" s="691"/>
      <c r="E3" s="692"/>
    </row>
    <row r="4" spans="1:13" ht="15.75">
      <c r="A4" s="4"/>
      <c r="B4" s="4"/>
      <c r="C4" s="3"/>
      <c r="D4" s="3"/>
      <c r="E4" s="686"/>
      <c r="I4" s="1548"/>
      <c r="J4" s="1548"/>
      <c r="K4" s="848"/>
      <c r="L4" s="848"/>
      <c r="M4" s="848"/>
    </row>
    <row r="5" spans="1:13" ht="15.75">
      <c r="A5" s="250" t="s">
        <v>0</v>
      </c>
      <c r="B5" s="250" t="s">
        <v>1</v>
      </c>
      <c r="C5" s="250" t="s">
        <v>2</v>
      </c>
      <c r="D5" s="250" t="s">
        <v>3</v>
      </c>
      <c r="E5" s="693" t="s">
        <v>34</v>
      </c>
      <c r="I5" s="1549"/>
      <c r="J5" s="1549"/>
      <c r="K5" s="1549"/>
      <c r="L5" s="1549"/>
      <c r="M5" s="1549"/>
    </row>
    <row r="6" spans="1:13" ht="15.75">
      <c r="A6" s="250" t="s">
        <v>4</v>
      </c>
      <c r="B6" s="694" t="s">
        <v>9</v>
      </c>
      <c r="C6" s="250" t="s">
        <v>14</v>
      </c>
      <c r="D6" s="250" t="s">
        <v>12670</v>
      </c>
      <c r="E6" s="695">
        <f>+E7+E10+E12</f>
        <v>63577794.753626369</v>
      </c>
      <c r="I6" s="1549"/>
      <c r="J6" s="1549"/>
      <c r="K6" s="1549"/>
      <c r="L6" s="1549"/>
      <c r="M6" s="1549"/>
    </row>
    <row r="7" spans="1:13" ht="15.75">
      <c r="A7" s="250">
        <v>1</v>
      </c>
      <c r="B7" s="694" t="s">
        <v>10</v>
      </c>
      <c r="C7" s="250" t="s">
        <v>11</v>
      </c>
      <c r="D7" s="250" t="s">
        <v>63</v>
      </c>
      <c r="E7" s="695">
        <f>SUM(E8:E9)</f>
        <v>28517829.963636365</v>
      </c>
      <c r="I7" s="1550"/>
      <c r="J7" s="1550"/>
      <c r="K7" s="1550"/>
      <c r="L7" s="1550"/>
      <c r="M7" s="1550"/>
    </row>
    <row r="8" spans="1:13" ht="15.75">
      <c r="A8" s="5"/>
      <c r="B8" s="696" t="s">
        <v>64</v>
      </c>
      <c r="C8" s="5" t="s">
        <v>65</v>
      </c>
      <c r="D8" s="5" t="s">
        <v>66</v>
      </c>
      <c r="E8" s="697">
        <f>THCN22!I7</f>
        <v>28517829.963636365</v>
      </c>
      <c r="I8" s="1216"/>
      <c r="J8" s="1216"/>
      <c r="K8" s="1216"/>
      <c r="L8" s="1551"/>
      <c r="M8" s="1551"/>
    </row>
    <row r="9" spans="1:13" ht="15.75">
      <c r="A9" s="5"/>
      <c r="B9" s="696" t="s">
        <v>67</v>
      </c>
      <c r="C9" s="5" t="s">
        <v>68</v>
      </c>
      <c r="D9" s="5" t="s">
        <v>66</v>
      </c>
      <c r="E9" s="697">
        <f>THCN22!J7</f>
        <v>0</v>
      </c>
      <c r="I9" s="1217"/>
      <c r="J9" s="1217"/>
      <c r="K9" s="1217"/>
      <c r="L9" s="1217"/>
      <c r="M9" s="1218"/>
    </row>
    <row r="10" spans="1:13" ht="15.75">
      <c r="A10" s="250">
        <v>2</v>
      </c>
      <c r="B10" s="694" t="s">
        <v>69</v>
      </c>
      <c r="C10" s="250" t="s">
        <v>12</v>
      </c>
      <c r="D10" s="250" t="s">
        <v>70</v>
      </c>
      <c r="E10" s="695">
        <f>E11</f>
        <v>35050635.510590002</v>
      </c>
      <c r="I10" s="1217"/>
      <c r="J10" s="1219"/>
      <c r="K10" s="1217"/>
      <c r="L10" s="1220"/>
      <c r="M10" s="1217"/>
    </row>
    <row r="11" spans="1:13" ht="15.75">
      <c r="A11" s="5"/>
      <c r="B11" s="696" t="s">
        <v>71</v>
      </c>
      <c r="C11" s="5" t="s">
        <v>70</v>
      </c>
      <c r="D11" s="5" t="s">
        <v>72</v>
      </c>
      <c r="E11" s="697">
        <f>THCN22!K7</f>
        <v>35050635.510590002</v>
      </c>
      <c r="I11" s="829"/>
      <c r="J11" s="1221"/>
      <c r="K11" s="829"/>
      <c r="L11" s="1222"/>
      <c r="M11" s="829"/>
    </row>
    <row r="12" spans="1:13" ht="15.75">
      <c r="A12" s="250">
        <v>3</v>
      </c>
      <c r="B12" s="694" t="s">
        <v>73</v>
      </c>
      <c r="C12" s="250" t="s">
        <v>13</v>
      </c>
      <c r="D12" s="250" t="s">
        <v>74</v>
      </c>
      <c r="E12" s="695">
        <f>E13</f>
        <v>9329.2794000000013</v>
      </c>
      <c r="I12" s="829"/>
      <c r="J12" s="1221"/>
      <c r="K12" s="829"/>
      <c r="L12" s="1222"/>
      <c r="M12" s="829"/>
    </row>
    <row r="13" spans="1:13" ht="15.75">
      <c r="A13" s="250"/>
      <c r="B13" s="696" t="s">
        <v>3705</v>
      </c>
      <c r="C13" s="5" t="s">
        <v>74</v>
      </c>
      <c r="D13" s="5" t="s">
        <v>72</v>
      </c>
      <c r="E13" s="695">
        <f>THCN22!L7</f>
        <v>9329.2794000000013</v>
      </c>
      <c r="I13" s="829"/>
      <c r="J13" s="1221"/>
      <c r="K13" s="829"/>
      <c r="L13" s="1222"/>
      <c r="M13" s="829"/>
    </row>
    <row r="14" spans="1:13" ht="15.75">
      <c r="A14" s="250" t="s">
        <v>6</v>
      </c>
      <c r="B14" s="694" t="s">
        <v>76</v>
      </c>
      <c r="C14" s="250" t="s">
        <v>77</v>
      </c>
      <c r="D14" s="250" t="s">
        <v>78</v>
      </c>
      <c r="E14" s="695">
        <f>SUM(E15:E17)</f>
        <v>6929979.6281452738</v>
      </c>
      <c r="I14" s="1217"/>
      <c r="J14" s="1219"/>
      <c r="K14" s="1217"/>
      <c r="L14" s="1223"/>
      <c r="M14" s="1217"/>
    </row>
    <row r="15" spans="1:13" ht="15.75">
      <c r="A15" s="5">
        <v>1</v>
      </c>
      <c r="B15" s="696" t="s">
        <v>79</v>
      </c>
      <c r="C15" s="5" t="s">
        <v>15</v>
      </c>
      <c r="D15" s="5" t="s">
        <v>2701</v>
      </c>
      <c r="E15" s="697">
        <f>7.3%*E6</f>
        <v>4641179.0170147242</v>
      </c>
      <c r="I15" s="1217"/>
      <c r="J15" s="1219"/>
      <c r="K15" s="829"/>
      <c r="L15" s="1222"/>
      <c r="M15" s="1217"/>
    </row>
    <row r="16" spans="1:13" ht="15.75">
      <c r="A16" s="5">
        <v>2</v>
      </c>
      <c r="B16" s="696" t="s">
        <v>81</v>
      </c>
      <c r="C16" s="5" t="s">
        <v>82</v>
      </c>
      <c r="D16" s="5" t="s">
        <v>12945</v>
      </c>
      <c r="E16" s="697">
        <f>1.1%*E6</f>
        <v>699355.74228989019</v>
      </c>
      <c r="I16" s="829"/>
      <c r="J16" s="1221"/>
      <c r="K16" s="824"/>
      <c r="L16" s="1222"/>
      <c r="M16" s="829"/>
    </row>
    <row r="17" spans="1:13" ht="15.75">
      <c r="A17" s="5">
        <v>3</v>
      </c>
      <c r="B17" s="696" t="s">
        <v>83</v>
      </c>
      <c r="C17" s="5" t="s">
        <v>84</v>
      </c>
      <c r="D17" s="5" t="s">
        <v>12946</v>
      </c>
      <c r="E17" s="697">
        <f>2.5%*E6</f>
        <v>1589444.8688406593</v>
      </c>
      <c r="I17" s="829"/>
      <c r="J17" s="1221"/>
      <c r="K17" s="829"/>
      <c r="L17" s="1222"/>
      <c r="M17" s="829"/>
    </row>
    <row r="18" spans="1:13" ht="15.75">
      <c r="A18" s="250" t="s">
        <v>7</v>
      </c>
      <c r="B18" s="694" t="s">
        <v>16</v>
      </c>
      <c r="C18" s="250" t="s">
        <v>17</v>
      </c>
      <c r="D18" s="250" t="s">
        <v>12947</v>
      </c>
      <c r="E18" s="695">
        <f>5.5%*(E14+E6)</f>
        <v>3877927.5909974403</v>
      </c>
      <c r="I18" s="829"/>
      <c r="J18" s="1224"/>
      <c r="K18" s="829"/>
      <c r="L18" s="1222"/>
      <c r="M18" s="829"/>
    </row>
    <row r="19" spans="1:13" ht="15.75">
      <c r="A19" s="5"/>
      <c r="B19" s="696" t="s">
        <v>87</v>
      </c>
      <c r="C19" s="5" t="s">
        <v>18</v>
      </c>
      <c r="D19" s="5" t="s">
        <v>91</v>
      </c>
      <c r="E19" s="697">
        <f>+E18+E14+E6</f>
        <v>74385701.972769082</v>
      </c>
      <c r="I19" s="1217"/>
      <c r="J19" s="1225"/>
      <c r="K19" s="1217"/>
      <c r="L19" s="1223"/>
      <c r="M19" s="1217"/>
    </row>
    <row r="20" spans="1:13" ht="15.75">
      <c r="A20" s="250" t="s">
        <v>8</v>
      </c>
      <c r="B20" s="694" t="s">
        <v>88</v>
      </c>
      <c r="C20" s="250" t="s">
        <v>19</v>
      </c>
      <c r="D20" s="250" t="s">
        <v>3735</v>
      </c>
      <c r="E20" s="695">
        <f>+E19*0.08</f>
        <v>5950856.1578215268</v>
      </c>
      <c r="I20" s="1217"/>
      <c r="J20" s="1219"/>
      <c r="K20" s="829"/>
      <c r="L20" s="1222"/>
      <c r="M20" s="829"/>
    </row>
    <row r="21" spans="1:13" ht="15.75">
      <c r="A21" s="5"/>
      <c r="B21" s="696" t="s">
        <v>20</v>
      </c>
      <c r="C21" s="5" t="s">
        <v>5</v>
      </c>
      <c r="D21" s="5" t="s">
        <v>92</v>
      </c>
      <c r="E21" s="697">
        <f>+E20+E19</f>
        <v>80336558.130590603</v>
      </c>
      <c r="I21" s="829"/>
      <c r="J21" s="1221"/>
      <c r="K21" s="829"/>
      <c r="L21" s="1222"/>
      <c r="M21" s="829"/>
    </row>
    <row r="22" spans="1:13" ht="15.75">
      <c r="A22" s="250"/>
      <c r="B22" s="694" t="s">
        <v>89</v>
      </c>
      <c r="C22" s="250" t="s">
        <v>5</v>
      </c>
      <c r="D22" s="250" t="s">
        <v>90</v>
      </c>
      <c r="E22" s="695">
        <f>+E21</f>
        <v>80336558.130590603</v>
      </c>
      <c r="I22" s="1217"/>
      <c r="J22" s="1219"/>
      <c r="K22" s="829"/>
      <c r="L22" s="1222"/>
      <c r="M22" s="829"/>
    </row>
    <row r="23" spans="1:13" ht="15.75">
      <c r="I23" s="1217"/>
      <c r="J23" s="1219"/>
      <c r="K23" s="1217"/>
      <c r="L23" s="1223"/>
      <c r="M23" s="1217"/>
    </row>
    <row r="24" spans="1:13" ht="15.75">
      <c r="I24" s="1216"/>
      <c r="J24" s="1216"/>
      <c r="K24" s="1216"/>
      <c r="L24" s="1216"/>
      <c r="M24" s="1216"/>
    </row>
    <row r="25" spans="1:13" ht="15.75">
      <c r="I25" s="1552"/>
      <c r="J25" s="1552"/>
      <c r="K25" s="1552"/>
      <c r="L25" s="1552"/>
      <c r="M25" s="1552"/>
    </row>
    <row r="26" spans="1:13" ht="15.75">
      <c r="I26" s="1547"/>
      <c r="J26" s="1547"/>
      <c r="K26" s="1547"/>
      <c r="L26" s="1547"/>
      <c r="M26" s="1547"/>
    </row>
  </sheetData>
  <mergeCells count="7">
    <mergeCell ref="I26:M26"/>
    <mergeCell ref="I4:J4"/>
    <mergeCell ref="I5:M5"/>
    <mergeCell ref="I6:M6"/>
    <mergeCell ref="I7:M7"/>
    <mergeCell ref="L8:M8"/>
    <mergeCell ref="I25:M2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stopIfTrue="1" id="{2BF70FC6-C88E-4A77-BA97-C5DD11102FA8}">
            <xm:f>'THKP-HT-XD'!#REF!=4</xm:f>
            <x14:dxf>
              <font>
                <b/>
                <i val="0"/>
              </font>
              <fill>
                <patternFill>
                  <bgColor theme="8" tint="0.59996337778862885"/>
                </patternFill>
              </fill>
            </x14:dxf>
          </x14:cfRule>
          <x14:cfRule type="expression" priority="2" stopIfTrue="1" id="{200D18A5-A4CF-4AFD-BF2C-A6BC2DCEABCD}">
            <xm:f>'THKP-HT-XD'!#REF!=3</xm:f>
            <x14:dxf>
              <font>
                <b/>
                <i val="0"/>
              </font>
              <fill>
                <patternFill>
                  <bgColor theme="9"/>
                </patternFill>
              </fill>
            </x14:dxf>
          </x14:cfRule>
          <x14:cfRule type="expression" priority="3" stopIfTrue="1" id="{A66D22B2-CD3A-4464-BA89-56F4EA81756B}">
            <xm:f>'THKP-HT-XD'!#REF!=2</xm:f>
            <x14:dxf>
              <font>
                <b/>
                <i val="0"/>
                <strike val="0"/>
                <u val="none"/>
              </font>
            </x14:dxf>
          </x14:cfRule>
          <x14:cfRule type="expression" priority="4" stopIfTrue="1" id="{7F69EA5F-8113-42FA-9BE3-9C158D02B8C4}">
            <xm:f>'THKP-HT-XD'!#REF!=1</xm:f>
            <x14:dxf>
              <font>
                <b/>
                <i val="0"/>
                <strike val="0"/>
              </font>
            </x14:dxf>
          </x14:cfRule>
          <xm:sqref>A1:E22</xm:sqref>
        </x14:conditionalFormatting>
      </x14:conditionalFormattings>
    </ext>
  </extLst>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workbookViewId="0">
      <selection activeCell="K38" sqref="K38"/>
    </sheetView>
  </sheetViews>
  <sheetFormatPr defaultRowHeight="15"/>
  <cols>
    <col min="1" max="1" width="12.140625" customWidth="1"/>
    <col min="2" max="2" width="43" bestFit="1" customWidth="1"/>
    <col min="3" max="3" width="24.42578125" customWidth="1"/>
    <col min="4" max="4" width="25.5703125" customWidth="1"/>
    <col min="5" max="5" width="23.7109375" customWidth="1"/>
  </cols>
  <sheetData>
    <row r="1" spans="1:5">
      <c r="A1" s="685" t="s">
        <v>3839</v>
      </c>
      <c r="B1" s="4"/>
      <c r="C1" s="3"/>
      <c r="D1" s="3"/>
      <c r="E1" s="686"/>
    </row>
    <row r="2" spans="1:5" ht="15.75">
      <c r="A2" s="688" t="s">
        <v>61</v>
      </c>
      <c r="B2" s="2"/>
      <c r="C2" s="2"/>
      <c r="D2" s="2"/>
      <c r="E2" s="698"/>
    </row>
    <row r="3" spans="1:5">
      <c r="A3" s="691" t="s">
        <v>3900</v>
      </c>
      <c r="B3" s="699"/>
      <c r="C3" s="699"/>
      <c r="D3" s="699"/>
      <c r="E3" s="700"/>
    </row>
    <row r="4" spans="1:5">
      <c r="A4" s="4"/>
      <c r="B4" s="4"/>
      <c r="C4" s="3"/>
      <c r="D4" s="3"/>
      <c r="E4" s="686"/>
    </row>
    <row r="5" spans="1:5">
      <c r="A5" s="250" t="s">
        <v>0</v>
      </c>
      <c r="B5" s="250" t="s">
        <v>1</v>
      </c>
      <c r="C5" s="250" t="s">
        <v>2</v>
      </c>
      <c r="D5" s="250" t="s">
        <v>3</v>
      </c>
      <c r="E5" s="693" t="s">
        <v>34</v>
      </c>
    </row>
    <row r="6" spans="1:5">
      <c r="A6" s="250" t="s">
        <v>4</v>
      </c>
      <c r="B6" s="694" t="s">
        <v>9</v>
      </c>
      <c r="C6" s="250" t="s">
        <v>14</v>
      </c>
      <c r="D6" s="250" t="s">
        <v>265</v>
      </c>
      <c r="E6" s="695">
        <f>+E7+E11+E14</f>
        <v>207488531.24949998</v>
      </c>
    </row>
    <row r="7" spans="1:5">
      <c r="A7" s="250">
        <v>1</v>
      </c>
      <c r="B7" s="694" t="s">
        <v>10</v>
      </c>
      <c r="C7" s="250" t="s">
        <v>11</v>
      </c>
      <c r="D7" s="250" t="s">
        <v>3556</v>
      </c>
      <c r="E7" s="695">
        <f>SUM(E8:E9)</f>
        <v>202243597.25</v>
      </c>
    </row>
    <row r="8" spans="1:5">
      <c r="A8" s="5"/>
      <c r="B8" s="696" t="s">
        <v>64</v>
      </c>
      <c r="C8" s="5" t="s">
        <v>65</v>
      </c>
      <c r="D8" s="5" t="s">
        <v>66</v>
      </c>
      <c r="E8" s="697">
        <f>THCN22!I10</f>
        <v>202074730</v>
      </c>
    </row>
    <row r="9" spans="1:5">
      <c r="A9" s="5"/>
      <c r="B9" s="696" t="s">
        <v>67</v>
      </c>
      <c r="C9" s="5" t="s">
        <v>68</v>
      </c>
      <c r="D9" s="5" t="s">
        <v>66</v>
      </c>
      <c r="E9" s="697">
        <f>THCN22!J10</f>
        <v>168867.25</v>
      </c>
    </row>
    <row r="10" spans="1:5">
      <c r="A10" s="5"/>
      <c r="B10" s="696" t="s">
        <v>3553</v>
      </c>
      <c r="C10" s="5" t="s">
        <v>3552</v>
      </c>
      <c r="D10" s="5" t="s">
        <v>66</v>
      </c>
      <c r="E10" s="697">
        <f>TNCN22!H8</f>
        <v>761044</v>
      </c>
    </row>
    <row r="11" spans="1:5">
      <c r="A11" s="250">
        <v>2</v>
      </c>
      <c r="B11" s="694" t="s">
        <v>69</v>
      </c>
      <c r="C11" s="250" t="s">
        <v>12</v>
      </c>
      <c r="D11" s="250" t="s">
        <v>3557</v>
      </c>
      <c r="E11" s="695">
        <f>E12</f>
        <v>5241687.4895000001</v>
      </c>
    </row>
    <row r="12" spans="1:5">
      <c r="A12" s="5"/>
      <c r="B12" s="696" t="s">
        <v>71</v>
      </c>
      <c r="C12" s="5" t="s">
        <v>70</v>
      </c>
      <c r="D12" s="5" t="s">
        <v>72</v>
      </c>
      <c r="E12" s="697">
        <f>THCN22!K10</f>
        <v>5241687.4895000001</v>
      </c>
    </row>
    <row r="13" spans="1:5">
      <c r="A13" s="5"/>
      <c r="B13" s="696" t="s">
        <v>3555</v>
      </c>
      <c r="C13" s="5" t="s">
        <v>3554</v>
      </c>
      <c r="D13" s="5" t="s">
        <v>3558</v>
      </c>
      <c r="E13" s="697">
        <f>TNHC!G233</f>
        <v>6741877.4920000006</v>
      </c>
    </row>
    <row r="14" spans="1:5">
      <c r="A14" s="250">
        <v>3</v>
      </c>
      <c r="B14" s="694" t="s">
        <v>73</v>
      </c>
      <c r="C14" s="250" t="s">
        <v>13</v>
      </c>
      <c r="D14" s="250" t="s">
        <v>3560</v>
      </c>
      <c r="E14" s="695">
        <f>THCN22!L10</f>
        <v>3246.51</v>
      </c>
    </row>
    <row r="15" spans="1:5">
      <c r="A15" s="5"/>
      <c r="B15" s="696" t="s">
        <v>75</v>
      </c>
      <c r="C15" s="5" t="s">
        <v>74</v>
      </c>
      <c r="D15" s="5" t="s">
        <v>72</v>
      </c>
      <c r="E15" s="697">
        <f>THOPCN04!L11</f>
        <v>281864.51</v>
      </c>
    </row>
    <row r="16" spans="1:5">
      <c r="A16" s="5"/>
      <c r="B16" s="696" t="s">
        <v>3559</v>
      </c>
      <c r="C16" s="5" t="s">
        <v>310</v>
      </c>
      <c r="D16" s="5" t="s">
        <v>72</v>
      </c>
      <c r="E16" s="697">
        <f>TNCN22!J8</f>
        <v>2772417.4909999999</v>
      </c>
    </row>
    <row r="17" spans="1:5">
      <c r="A17" s="250" t="s">
        <v>6</v>
      </c>
      <c r="B17" s="694" t="s">
        <v>76</v>
      </c>
      <c r="C17" s="250" t="s">
        <v>77</v>
      </c>
      <c r="D17" s="250" t="s">
        <v>78</v>
      </c>
      <c r="E17" s="695">
        <f>SUM(E18:E20)</f>
        <v>12121615.180654</v>
      </c>
    </row>
    <row r="18" spans="1:5">
      <c r="A18" s="5">
        <v>1</v>
      </c>
      <c r="B18" s="696" t="s">
        <v>79</v>
      </c>
      <c r="C18" s="5" t="s">
        <v>15</v>
      </c>
      <c r="D18" s="5" t="s">
        <v>80</v>
      </c>
      <c r="E18" s="697">
        <f>65%*E11</f>
        <v>3407096.8681750004</v>
      </c>
    </row>
    <row r="19" spans="1:5">
      <c r="A19" s="5">
        <v>2</v>
      </c>
      <c r="B19" s="696" t="s">
        <v>81</v>
      </c>
      <c r="C19" s="5" t="s">
        <v>82</v>
      </c>
      <c r="D19" s="5" t="s">
        <v>12948</v>
      </c>
      <c r="E19" s="697">
        <f>2.2%*E6</f>
        <v>4564747.6874890001</v>
      </c>
    </row>
    <row r="20" spans="1:5">
      <c r="A20" s="5">
        <v>3</v>
      </c>
      <c r="B20" s="696" t="s">
        <v>83</v>
      </c>
      <c r="C20" s="5" t="s">
        <v>84</v>
      </c>
      <c r="D20" s="5" t="s">
        <v>85</v>
      </c>
      <c r="E20" s="697">
        <f>2%*E6</f>
        <v>4149770.6249899995</v>
      </c>
    </row>
    <row r="21" spans="1:5">
      <c r="A21" s="250" t="s">
        <v>7</v>
      </c>
      <c r="B21" s="694" t="s">
        <v>16</v>
      </c>
      <c r="C21" s="250" t="s">
        <v>17</v>
      </c>
      <c r="D21" s="250" t="s">
        <v>86</v>
      </c>
      <c r="E21" s="695">
        <f>6%*(E17+E6)</f>
        <v>13176608.785809238</v>
      </c>
    </row>
    <row r="22" spans="1:5">
      <c r="A22" s="5"/>
      <c r="B22" s="696" t="s">
        <v>87</v>
      </c>
      <c r="C22" s="5" t="s">
        <v>18</v>
      </c>
      <c r="D22" s="5" t="s">
        <v>91</v>
      </c>
      <c r="E22" s="697">
        <f>+E21+E17+E6</f>
        <v>232786755.21596321</v>
      </c>
    </row>
    <row r="23" spans="1:5">
      <c r="A23" s="250" t="s">
        <v>8</v>
      </c>
      <c r="B23" s="694" t="s">
        <v>88</v>
      </c>
      <c r="C23" s="250" t="s">
        <v>19</v>
      </c>
      <c r="D23" s="250" t="s">
        <v>3735</v>
      </c>
      <c r="E23" s="695">
        <f>+E22*0.08</f>
        <v>18622940.417277057</v>
      </c>
    </row>
    <row r="24" spans="1:5">
      <c r="A24" s="250"/>
      <c r="B24" s="694" t="s">
        <v>89</v>
      </c>
      <c r="C24" s="250" t="s">
        <v>5</v>
      </c>
      <c r="D24" s="250" t="s">
        <v>90</v>
      </c>
      <c r="E24" s="695">
        <f>+E23+E22</f>
        <v>251409695.63324028</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stopIfTrue="1" id="{5F745A67-4BB9-41D1-A270-4CB725BF8767}">
            <xm:f>'THKP-HT-Đ'!#REF!=4</xm:f>
            <x14:dxf>
              <font>
                <b/>
                <i val="0"/>
              </font>
              <fill>
                <patternFill>
                  <bgColor theme="8" tint="0.59996337778862885"/>
                </patternFill>
              </fill>
            </x14:dxf>
          </x14:cfRule>
          <x14:cfRule type="expression" priority="2" stopIfTrue="1" id="{ACB382F6-46D8-4726-AD7C-F1240A426A82}">
            <xm:f>'THKP-HT-Đ'!#REF!=3</xm:f>
            <x14:dxf>
              <font>
                <b/>
                <i val="0"/>
              </font>
              <fill>
                <patternFill>
                  <bgColor theme="9"/>
                </patternFill>
              </fill>
            </x14:dxf>
          </x14:cfRule>
          <x14:cfRule type="expression" priority="3" stopIfTrue="1" id="{C1198032-6198-48C3-94EF-A73C42EC1A23}">
            <xm:f>'THKP-HT-Đ'!#REF!=2</xm:f>
            <x14:dxf>
              <font>
                <b/>
                <i val="0"/>
                <strike val="0"/>
                <u val="none"/>
              </font>
            </x14:dxf>
          </x14:cfRule>
          <x14:cfRule type="expression" priority="4" stopIfTrue="1" id="{50CF12E0-8662-4DE0-A240-8998136A82BD}">
            <xm:f>'THKP-HT-Đ'!#REF!=1</xm:f>
            <x14:dxf>
              <font>
                <b/>
                <i val="0"/>
                <strike val="0"/>
              </font>
            </x14:dxf>
          </x14:cfRule>
          <xm:sqref>A1:E24</xm:sqref>
        </x14:conditionalFormatting>
      </x14:conditionalFormattings>
    </ext>
  </extLst>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51"/>
  <sheetViews>
    <sheetView topLeftCell="A13" workbookViewId="0">
      <selection activeCell="L56" sqref="L56"/>
    </sheetView>
  </sheetViews>
  <sheetFormatPr defaultColWidth="9" defaultRowHeight="14.25"/>
  <cols>
    <col min="1" max="1" width="11" style="744" customWidth="1"/>
    <col min="2" max="2" width="51.42578125" style="745" customWidth="1"/>
    <col min="3" max="4" width="6.85546875" style="744" customWidth="1"/>
    <col min="5" max="5" width="10.7109375" style="719" customWidth="1"/>
    <col min="6" max="6" width="10.85546875" style="719" customWidth="1"/>
    <col min="7" max="7" width="10.28515625" style="719" customWidth="1"/>
    <col min="8" max="8" width="10.85546875" style="719" customWidth="1"/>
    <col min="9" max="9" width="7.28515625" style="746" customWidth="1"/>
    <col min="10" max="10" width="6.5703125" style="746" customWidth="1"/>
    <col min="11" max="11" width="15.7109375" style="719" customWidth="1"/>
    <col min="12" max="12" width="12.140625" style="719" customWidth="1"/>
    <col min="13" max="13" width="13" style="719" customWidth="1"/>
    <col min="14" max="14" width="13.140625" style="719" customWidth="1"/>
    <col min="15" max="15" width="14.5703125" style="719" customWidth="1"/>
    <col min="16" max="16" width="17.5703125" style="719" customWidth="1"/>
    <col min="17" max="256" width="9" style="719"/>
    <col min="257" max="257" width="11" style="719" customWidth="1"/>
    <col min="258" max="258" width="53.7109375" style="719" customWidth="1"/>
    <col min="259" max="260" width="6.85546875" style="719" customWidth="1"/>
    <col min="261" max="261" width="10.7109375" style="719" customWidth="1"/>
    <col min="262" max="262" width="10.42578125" style="719" customWidth="1"/>
    <col min="263" max="263" width="10.28515625" style="719" customWidth="1"/>
    <col min="264" max="264" width="10.85546875" style="719" customWidth="1"/>
    <col min="265" max="265" width="6.28515625" style="719" customWidth="1"/>
    <col min="266" max="266" width="5.7109375" style="719" customWidth="1"/>
    <col min="267" max="267" width="13.7109375" style="719" customWidth="1"/>
    <col min="268" max="268" width="11" style="719" customWidth="1"/>
    <col min="269" max="269" width="11.7109375" style="719" customWidth="1"/>
    <col min="270" max="270" width="11.5703125" style="719" customWidth="1"/>
    <col min="271" max="271" width="14.5703125" style="719" customWidth="1"/>
    <col min="272" max="272" width="17.5703125" style="719" customWidth="1"/>
    <col min="273" max="512" width="9" style="719"/>
    <col min="513" max="513" width="11" style="719" customWidth="1"/>
    <col min="514" max="514" width="53.7109375" style="719" customWidth="1"/>
    <col min="515" max="516" width="6.85546875" style="719" customWidth="1"/>
    <col min="517" max="517" width="10.7109375" style="719" customWidth="1"/>
    <col min="518" max="518" width="10.42578125" style="719" customWidth="1"/>
    <col min="519" max="519" width="10.28515625" style="719" customWidth="1"/>
    <col min="520" max="520" width="10.85546875" style="719" customWidth="1"/>
    <col min="521" max="521" width="6.28515625" style="719" customWidth="1"/>
    <col min="522" max="522" width="5.7109375" style="719" customWidth="1"/>
    <col min="523" max="523" width="13.7109375" style="719" customWidth="1"/>
    <col min="524" max="524" width="11" style="719" customWidth="1"/>
    <col min="525" max="525" width="11.7109375" style="719" customWidth="1"/>
    <col min="526" max="526" width="11.5703125" style="719" customWidth="1"/>
    <col min="527" max="527" width="14.5703125" style="719" customWidth="1"/>
    <col min="528" max="528" width="17.5703125" style="719" customWidth="1"/>
    <col min="529" max="768" width="9" style="719"/>
    <col min="769" max="769" width="11" style="719" customWidth="1"/>
    <col min="770" max="770" width="53.7109375" style="719" customWidth="1"/>
    <col min="771" max="772" width="6.85546875" style="719" customWidth="1"/>
    <col min="773" max="773" width="10.7109375" style="719" customWidth="1"/>
    <col min="774" max="774" width="10.42578125" style="719" customWidth="1"/>
    <col min="775" max="775" width="10.28515625" style="719" customWidth="1"/>
    <col min="776" max="776" width="10.85546875" style="719" customWidth="1"/>
    <col min="777" max="777" width="6.28515625" style="719" customWidth="1"/>
    <col min="778" max="778" width="5.7109375" style="719" customWidth="1"/>
    <col min="779" max="779" width="13.7109375" style="719" customWidth="1"/>
    <col min="780" max="780" width="11" style="719" customWidth="1"/>
    <col min="781" max="781" width="11.7109375" style="719" customWidth="1"/>
    <col min="782" max="782" width="11.5703125" style="719" customWidth="1"/>
    <col min="783" max="783" width="14.5703125" style="719" customWidth="1"/>
    <col min="784" max="784" width="17.5703125" style="719" customWidth="1"/>
    <col min="785" max="1024" width="9" style="719"/>
    <col min="1025" max="1025" width="11" style="719" customWidth="1"/>
    <col min="1026" max="1026" width="53.7109375" style="719" customWidth="1"/>
    <col min="1027" max="1028" width="6.85546875" style="719" customWidth="1"/>
    <col min="1029" max="1029" width="10.7109375" style="719" customWidth="1"/>
    <col min="1030" max="1030" width="10.42578125" style="719" customWidth="1"/>
    <col min="1031" max="1031" width="10.28515625" style="719" customWidth="1"/>
    <col min="1032" max="1032" width="10.85546875" style="719" customWidth="1"/>
    <col min="1033" max="1033" width="6.28515625" style="719" customWidth="1"/>
    <col min="1034" max="1034" width="5.7109375" style="719" customWidth="1"/>
    <col min="1035" max="1035" width="13.7109375" style="719" customWidth="1"/>
    <col min="1036" max="1036" width="11" style="719" customWidth="1"/>
    <col min="1037" max="1037" width="11.7109375" style="719" customWidth="1"/>
    <col min="1038" max="1038" width="11.5703125" style="719" customWidth="1"/>
    <col min="1039" max="1039" width="14.5703125" style="719" customWidth="1"/>
    <col min="1040" max="1040" width="17.5703125" style="719" customWidth="1"/>
    <col min="1041" max="1280" width="9" style="719"/>
    <col min="1281" max="1281" width="11" style="719" customWidth="1"/>
    <col min="1282" max="1282" width="53.7109375" style="719" customWidth="1"/>
    <col min="1283" max="1284" width="6.85546875" style="719" customWidth="1"/>
    <col min="1285" max="1285" width="10.7109375" style="719" customWidth="1"/>
    <col min="1286" max="1286" width="10.42578125" style="719" customWidth="1"/>
    <col min="1287" max="1287" width="10.28515625" style="719" customWidth="1"/>
    <col min="1288" max="1288" width="10.85546875" style="719" customWidth="1"/>
    <col min="1289" max="1289" width="6.28515625" style="719" customWidth="1"/>
    <col min="1290" max="1290" width="5.7109375" style="719" customWidth="1"/>
    <col min="1291" max="1291" width="13.7109375" style="719" customWidth="1"/>
    <col min="1292" max="1292" width="11" style="719" customWidth="1"/>
    <col min="1293" max="1293" width="11.7109375" style="719" customWidth="1"/>
    <col min="1294" max="1294" width="11.5703125" style="719" customWidth="1"/>
    <col min="1295" max="1295" width="14.5703125" style="719" customWidth="1"/>
    <col min="1296" max="1296" width="17.5703125" style="719" customWidth="1"/>
    <col min="1297" max="1536" width="9" style="719"/>
    <col min="1537" max="1537" width="11" style="719" customWidth="1"/>
    <col min="1538" max="1538" width="53.7109375" style="719" customWidth="1"/>
    <col min="1539" max="1540" width="6.85546875" style="719" customWidth="1"/>
    <col min="1541" max="1541" width="10.7109375" style="719" customWidth="1"/>
    <col min="1542" max="1542" width="10.42578125" style="719" customWidth="1"/>
    <col min="1543" max="1543" width="10.28515625" style="719" customWidth="1"/>
    <col min="1544" max="1544" width="10.85546875" style="719" customWidth="1"/>
    <col min="1545" max="1545" width="6.28515625" style="719" customWidth="1"/>
    <col min="1546" max="1546" width="5.7109375" style="719" customWidth="1"/>
    <col min="1547" max="1547" width="13.7109375" style="719" customWidth="1"/>
    <col min="1548" max="1548" width="11" style="719" customWidth="1"/>
    <col min="1549" max="1549" width="11.7109375" style="719" customWidth="1"/>
    <col min="1550" max="1550" width="11.5703125" style="719" customWidth="1"/>
    <col min="1551" max="1551" width="14.5703125" style="719" customWidth="1"/>
    <col min="1552" max="1552" width="17.5703125" style="719" customWidth="1"/>
    <col min="1553" max="1792" width="9" style="719"/>
    <col min="1793" max="1793" width="11" style="719" customWidth="1"/>
    <col min="1794" max="1794" width="53.7109375" style="719" customWidth="1"/>
    <col min="1795" max="1796" width="6.85546875" style="719" customWidth="1"/>
    <col min="1797" max="1797" width="10.7109375" style="719" customWidth="1"/>
    <col min="1798" max="1798" width="10.42578125" style="719" customWidth="1"/>
    <col min="1799" max="1799" width="10.28515625" style="719" customWidth="1"/>
    <col min="1800" max="1800" width="10.85546875" style="719" customWidth="1"/>
    <col min="1801" max="1801" width="6.28515625" style="719" customWidth="1"/>
    <col min="1802" max="1802" width="5.7109375" style="719" customWidth="1"/>
    <col min="1803" max="1803" width="13.7109375" style="719" customWidth="1"/>
    <col min="1804" max="1804" width="11" style="719" customWidth="1"/>
    <col min="1805" max="1805" width="11.7109375" style="719" customWidth="1"/>
    <col min="1806" max="1806" width="11.5703125" style="719" customWidth="1"/>
    <col min="1807" max="1807" width="14.5703125" style="719" customWidth="1"/>
    <col min="1808" max="1808" width="17.5703125" style="719" customWidth="1"/>
    <col min="1809" max="2048" width="9" style="719"/>
    <col min="2049" max="2049" width="11" style="719" customWidth="1"/>
    <col min="2050" max="2050" width="53.7109375" style="719" customWidth="1"/>
    <col min="2051" max="2052" width="6.85546875" style="719" customWidth="1"/>
    <col min="2053" max="2053" width="10.7109375" style="719" customWidth="1"/>
    <col min="2054" max="2054" width="10.42578125" style="719" customWidth="1"/>
    <col min="2055" max="2055" width="10.28515625" style="719" customWidth="1"/>
    <col min="2056" max="2056" width="10.85546875" style="719" customWidth="1"/>
    <col min="2057" max="2057" width="6.28515625" style="719" customWidth="1"/>
    <col min="2058" max="2058" width="5.7109375" style="719" customWidth="1"/>
    <col min="2059" max="2059" width="13.7109375" style="719" customWidth="1"/>
    <col min="2060" max="2060" width="11" style="719" customWidth="1"/>
    <col min="2061" max="2061" width="11.7109375" style="719" customWidth="1"/>
    <col min="2062" max="2062" width="11.5703125" style="719" customWidth="1"/>
    <col min="2063" max="2063" width="14.5703125" style="719" customWidth="1"/>
    <col min="2064" max="2064" width="17.5703125" style="719" customWidth="1"/>
    <col min="2065" max="2304" width="9" style="719"/>
    <col min="2305" max="2305" width="11" style="719" customWidth="1"/>
    <col min="2306" max="2306" width="53.7109375" style="719" customWidth="1"/>
    <col min="2307" max="2308" width="6.85546875" style="719" customWidth="1"/>
    <col min="2309" max="2309" width="10.7109375" style="719" customWidth="1"/>
    <col min="2310" max="2310" width="10.42578125" style="719" customWidth="1"/>
    <col min="2311" max="2311" width="10.28515625" style="719" customWidth="1"/>
    <col min="2312" max="2312" width="10.85546875" style="719" customWidth="1"/>
    <col min="2313" max="2313" width="6.28515625" style="719" customWidth="1"/>
    <col min="2314" max="2314" width="5.7109375" style="719" customWidth="1"/>
    <col min="2315" max="2315" width="13.7109375" style="719" customWidth="1"/>
    <col min="2316" max="2316" width="11" style="719" customWidth="1"/>
    <col min="2317" max="2317" width="11.7109375" style="719" customWidth="1"/>
    <col min="2318" max="2318" width="11.5703125" style="719" customWidth="1"/>
    <col min="2319" max="2319" width="14.5703125" style="719" customWidth="1"/>
    <col min="2320" max="2320" width="17.5703125" style="719" customWidth="1"/>
    <col min="2321" max="2560" width="9" style="719"/>
    <col min="2561" max="2561" width="11" style="719" customWidth="1"/>
    <col min="2562" max="2562" width="53.7109375" style="719" customWidth="1"/>
    <col min="2563" max="2564" width="6.85546875" style="719" customWidth="1"/>
    <col min="2565" max="2565" width="10.7109375" style="719" customWidth="1"/>
    <col min="2566" max="2566" width="10.42578125" style="719" customWidth="1"/>
    <col min="2567" max="2567" width="10.28515625" style="719" customWidth="1"/>
    <col min="2568" max="2568" width="10.85546875" style="719" customWidth="1"/>
    <col min="2569" max="2569" width="6.28515625" style="719" customWidth="1"/>
    <col min="2570" max="2570" width="5.7109375" style="719" customWidth="1"/>
    <col min="2571" max="2571" width="13.7109375" style="719" customWidth="1"/>
    <col min="2572" max="2572" width="11" style="719" customWidth="1"/>
    <col min="2573" max="2573" width="11.7109375" style="719" customWidth="1"/>
    <col min="2574" max="2574" width="11.5703125" style="719" customWidth="1"/>
    <col min="2575" max="2575" width="14.5703125" style="719" customWidth="1"/>
    <col min="2576" max="2576" width="17.5703125" style="719" customWidth="1"/>
    <col min="2577" max="2816" width="9" style="719"/>
    <col min="2817" max="2817" width="11" style="719" customWidth="1"/>
    <col min="2818" max="2818" width="53.7109375" style="719" customWidth="1"/>
    <col min="2819" max="2820" width="6.85546875" style="719" customWidth="1"/>
    <col min="2821" max="2821" width="10.7109375" style="719" customWidth="1"/>
    <col min="2822" max="2822" width="10.42578125" style="719" customWidth="1"/>
    <col min="2823" max="2823" width="10.28515625" style="719" customWidth="1"/>
    <col min="2824" max="2824" width="10.85546875" style="719" customWidth="1"/>
    <col min="2825" max="2825" width="6.28515625" style="719" customWidth="1"/>
    <col min="2826" max="2826" width="5.7109375" style="719" customWidth="1"/>
    <col min="2827" max="2827" width="13.7109375" style="719" customWidth="1"/>
    <col min="2828" max="2828" width="11" style="719" customWidth="1"/>
    <col min="2829" max="2829" width="11.7109375" style="719" customWidth="1"/>
    <col min="2830" max="2830" width="11.5703125" style="719" customWidth="1"/>
    <col min="2831" max="2831" width="14.5703125" style="719" customWidth="1"/>
    <col min="2832" max="2832" width="17.5703125" style="719" customWidth="1"/>
    <col min="2833" max="3072" width="9" style="719"/>
    <col min="3073" max="3073" width="11" style="719" customWidth="1"/>
    <col min="3074" max="3074" width="53.7109375" style="719" customWidth="1"/>
    <col min="3075" max="3076" width="6.85546875" style="719" customWidth="1"/>
    <col min="3077" max="3077" width="10.7109375" style="719" customWidth="1"/>
    <col min="3078" max="3078" width="10.42578125" style="719" customWidth="1"/>
    <col min="3079" max="3079" width="10.28515625" style="719" customWidth="1"/>
    <col min="3080" max="3080" width="10.85546875" style="719" customWidth="1"/>
    <col min="3081" max="3081" width="6.28515625" style="719" customWidth="1"/>
    <col min="3082" max="3082" width="5.7109375" style="719" customWidth="1"/>
    <col min="3083" max="3083" width="13.7109375" style="719" customWidth="1"/>
    <col min="3084" max="3084" width="11" style="719" customWidth="1"/>
    <col min="3085" max="3085" width="11.7109375" style="719" customWidth="1"/>
    <col min="3086" max="3086" width="11.5703125" style="719" customWidth="1"/>
    <col min="3087" max="3087" width="14.5703125" style="719" customWidth="1"/>
    <col min="3088" max="3088" width="17.5703125" style="719" customWidth="1"/>
    <col min="3089" max="3328" width="9" style="719"/>
    <col min="3329" max="3329" width="11" style="719" customWidth="1"/>
    <col min="3330" max="3330" width="53.7109375" style="719" customWidth="1"/>
    <col min="3331" max="3332" width="6.85546875" style="719" customWidth="1"/>
    <col min="3333" max="3333" width="10.7109375" style="719" customWidth="1"/>
    <col min="3334" max="3334" width="10.42578125" style="719" customWidth="1"/>
    <col min="3335" max="3335" width="10.28515625" style="719" customWidth="1"/>
    <col min="3336" max="3336" width="10.85546875" style="719" customWidth="1"/>
    <col min="3337" max="3337" width="6.28515625" style="719" customWidth="1"/>
    <col min="3338" max="3338" width="5.7109375" style="719" customWidth="1"/>
    <col min="3339" max="3339" width="13.7109375" style="719" customWidth="1"/>
    <col min="3340" max="3340" width="11" style="719" customWidth="1"/>
    <col min="3341" max="3341" width="11.7109375" style="719" customWidth="1"/>
    <col min="3342" max="3342" width="11.5703125" style="719" customWidth="1"/>
    <col min="3343" max="3343" width="14.5703125" style="719" customWidth="1"/>
    <col min="3344" max="3344" width="17.5703125" style="719" customWidth="1"/>
    <col min="3345" max="3584" width="9" style="719"/>
    <col min="3585" max="3585" width="11" style="719" customWidth="1"/>
    <col min="3586" max="3586" width="53.7109375" style="719" customWidth="1"/>
    <col min="3587" max="3588" width="6.85546875" style="719" customWidth="1"/>
    <col min="3589" max="3589" width="10.7109375" style="719" customWidth="1"/>
    <col min="3590" max="3590" width="10.42578125" style="719" customWidth="1"/>
    <col min="3591" max="3591" width="10.28515625" style="719" customWidth="1"/>
    <col min="3592" max="3592" width="10.85546875" style="719" customWidth="1"/>
    <col min="3593" max="3593" width="6.28515625" style="719" customWidth="1"/>
    <col min="3594" max="3594" width="5.7109375" style="719" customWidth="1"/>
    <col min="3595" max="3595" width="13.7109375" style="719" customWidth="1"/>
    <col min="3596" max="3596" width="11" style="719" customWidth="1"/>
    <col min="3597" max="3597" width="11.7109375" style="719" customWidth="1"/>
    <col min="3598" max="3598" width="11.5703125" style="719" customWidth="1"/>
    <col min="3599" max="3599" width="14.5703125" style="719" customWidth="1"/>
    <col min="3600" max="3600" width="17.5703125" style="719" customWidth="1"/>
    <col min="3601" max="3840" width="9" style="719"/>
    <col min="3841" max="3841" width="11" style="719" customWidth="1"/>
    <col min="3842" max="3842" width="53.7109375" style="719" customWidth="1"/>
    <col min="3843" max="3844" width="6.85546875" style="719" customWidth="1"/>
    <col min="3845" max="3845" width="10.7109375" style="719" customWidth="1"/>
    <col min="3846" max="3846" width="10.42578125" style="719" customWidth="1"/>
    <col min="3847" max="3847" width="10.28515625" style="719" customWidth="1"/>
    <col min="3848" max="3848" width="10.85546875" style="719" customWidth="1"/>
    <col min="3849" max="3849" width="6.28515625" style="719" customWidth="1"/>
    <col min="3850" max="3850" width="5.7109375" style="719" customWidth="1"/>
    <col min="3851" max="3851" width="13.7109375" style="719" customWidth="1"/>
    <col min="3852" max="3852" width="11" style="719" customWidth="1"/>
    <col min="3853" max="3853" width="11.7109375" style="719" customWidth="1"/>
    <col min="3854" max="3854" width="11.5703125" style="719" customWidth="1"/>
    <col min="3855" max="3855" width="14.5703125" style="719" customWidth="1"/>
    <col min="3856" max="3856" width="17.5703125" style="719" customWidth="1"/>
    <col min="3857" max="4096" width="9" style="719"/>
    <col min="4097" max="4097" width="11" style="719" customWidth="1"/>
    <col min="4098" max="4098" width="53.7109375" style="719" customWidth="1"/>
    <col min="4099" max="4100" width="6.85546875" style="719" customWidth="1"/>
    <col min="4101" max="4101" width="10.7109375" style="719" customWidth="1"/>
    <col min="4102" max="4102" width="10.42578125" style="719" customWidth="1"/>
    <col min="4103" max="4103" width="10.28515625" style="719" customWidth="1"/>
    <col min="4104" max="4104" width="10.85546875" style="719" customWidth="1"/>
    <col min="4105" max="4105" width="6.28515625" style="719" customWidth="1"/>
    <col min="4106" max="4106" width="5.7109375" style="719" customWidth="1"/>
    <col min="4107" max="4107" width="13.7109375" style="719" customWidth="1"/>
    <col min="4108" max="4108" width="11" style="719" customWidth="1"/>
    <col min="4109" max="4109" width="11.7109375" style="719" customWidth="1"/>
    <col min="4110" max="4110" width="11.5703125" style="719" customWidth="1"/>
    <col min="4111" max="4111" width="14.5703125" style="719" customWidth="1"/>
    <col min="4112" max="4112" width="17.5703125" style="719" customWidth="1"/>
    <col min="4113" max="4352" width="9" style="719"/>
    <col min="4353" max="4353" width="11" style="719" customWidth="1"/>
    <col min="4354" max="4354" width="53.7109375" style="719" customWidth="1"/>
    <col min="4355" max="4356" width="6.85546875" style="719" customWidth="1"/>
    <col min="4357" max="4357" width="10.7109375" style="719" customWidth="1"/>
    <col min="4358" max="4358" width="10.42578125" style="719" customWidth="1"/>
    <col min="4359" max="4359" width="10.28515625" style="719" customWidth="1"/>
    <col min="4360" max="4360" width="10.85546875" style="719" customWidth="1"/>
    <col min="4361" max="4361" width="6.28515625" style="719" customWidth="1"/>
    <col min="4362" max="4362" width="5.7109375" style="719" customWidth="1"/>
    <col min="4363" max="4363" width="13.7109375" style="719" customWidth="1"/>
    <col min="4364" max="4364" width="11" style="719" customWidth="1"/>
    <col min="4365" max="4365" width="11.7109375" style="719" customWidth="1"/>
    <col min="4366" max="4366" width="11.5703125" style="719" customWidth="1"/>
    <col min="4367" max="4367" width="14.5703125" style="719" customWidth="1"/>
    <col min="4368" max="4368" width="17.5703125" style="719" customWidth="1"/>
    <col min="4369" max="4608" width="9" style="719"/>
    <col min="4609" max="4609" width="11" style="719" customWidth="1"/>
    <col min="4610" max="4610" width="53.7109375" style="719" customWidth="1"/>
    <col min="4611" max="4612" width="6.85546875" style="719" customWidth="1"/>
    <col min="4613" max="4613" width="10.7109375" style="719" customWidth="1"/>
    <col min="4614" max="4614" width="10.42578125" style="719" customWidth="1"/>
    <col min="4615" max="4615" width="10.28515625" style="719" customWidth="1"/>
    <col min="4616" max="4616" width="10.85546875" style="719" customWidth="1"/>
    <col min="4617" max="4617" width="6.28515625" style="719" customWidth="1"/>
    <col min="4618" max="4618" width="5.7109375" style="719" customWidth="1"/>
    <col min="4619" max="4619" width="13.7109375" style="719" customWidth="1"/>
    <col min="4620" max="4620" width="11" style="719" customWidth="1"/>
    <col min="4621" max="4621" width="11.7109375" style="719" customWidth="1"/>
    <col min="4622" max="4622" width="11.5703125" style="719" customWidth="1"/>
    <col min="4623" max="4623" width="14.5703125" style="719" customWidth="1"/>
    <col min="4624" max="4624" width="17.5703125" style="719" customWidth="1"/>
    <col min="4625" max="4864" width="9" style="719"/>
    <col min="4865" max="4865" width="11" style="719" customWidth="1"/>
    <col min="4866" max="4866" width="53.7109375" style="719" customWidth="1"/>
    <col min="4867" max="4868" width="6.85546875" style="719" customWidth="1"/>
    <col min="4869" max="4869" width="10.7109375" style="719" customWidth="1"/>
    <col min="4870" max="4870" width="10.42578125" style="719" customWidth="1"/>
    <col min="4871" max="4871" width="10.28515625" style="719" customWidth="1"/>
    <col min="4872" max="4872" width="10.85546875" style="719" customWidth="1"/>
    <col min="4873" max="4873" width="6.28515625" style="719" customWidth="1"/>
    <col min="4874" max="4874" width="5.7109375" style="719" customWidth="1"/>
    <col min="4875" max="4875" width="13.7109375" style="719" customWidth="1"/>
    <col min="4876" max="4876" width="11" style="719" customWidth="1"/>
    <col min="4877" max="4877" width="11.7109375" style="719" customWidth="1"/>
    <col min="4878" max="4878" width="11.5703125" style="719" customWidth="1"/>
    <col min="4879" max="4879" width="14.5703125" style="719" customWidth="1"/>
    <col min="4880" max="4880" width="17.5703125" style="719" customWidth="1"/>
    <col min="4881" max="5120" width="9" style="719"/>
    <col min="5121" max="5121" width="11" style="719" customWidth="1"/>
    <col min="5122" max="5122" width="53.7109375" style="719" customWidth="1"/>
    <col min="5123" max="5124" width="6.85546875" style="719" customWidth="1"/>
    <col min="5125" max="5125" width="10.7109375" style="719" customWidth="1"/>
    <col min="5126" max="5126" width="10.42578125" style="719" customWidth="1"/>
    <col min="5127" max="5127" width="10.28515625" style="719" customWidth="1"/>
    <col min="5128" max="5128" width="10.85546875" style="719" customWidth="1"/>
    <col min="5129" max="5129" width="6.28515625" style="719" customWidth="1"/>
    <col min="5130" max="5130" width="5.7109375" style="719" customWidth="1"/>
    <col min="5131" max="5131" width="13.7109375" style="719" customWidth="1"/>
    <col min="5132" max="5132" width="11" style="719" customWidth="1"/>
    <col min="5133" max="5133" width="11.7109375" style="719" customWidth="1"/>
    <col min="5134" max="5134" width="11.5703125" style="719" customWidth="1"/>
    <col min="5135" max="5135" width="14.5703125" style="719" customWidth="1"/>
    <col min="5136" max="5136" width="17.5703125" style="719" customWidth="1"/>
    <col min="5137" max="5376" width="9" style="719"/>
    <col min="5377" max="5377" width="11" style="719" customWidth="1"/>
    <col min="5378" max="5378" width="53.7109375" style="719" customWidth="1"/>
    <col min="5379" max="5380" width="6.85546875" style="719" customWidth="1"/>
    <col min="5381" max="5381" width="10.7109375" style="719" customWidth="1"/>
    <col min="5382" max="5382" width="10.42578125" style="719" customWidth="1"/>
    <col min="5383" max="5383" width="10.28515625" style="719" customWidth="1"/>
    <col min="5384" max="5384" width="10.85546875" style="719" customWidth="1"/>
    <col min="5385" max="5385" width="6.28515625" style="719" customWidth="1"/>
    <col min="5386" max="5386" width="5.7109375" style="719" customWidth="1"/>
    <col min="5387" max="5387" width="13.7109375" style="719" customWidth="1"/>
    <col min="5388" max="5388" width="11" style="719" customWidth="1"/>
    <col min="5389" max="5389" width="11.7109375" style="719" customWidth="1"/>
    <col min="5390" max="5390" width="11.5703125" style="719" customWidth="1"/>
    <col min="5391" max="5391" width="14.5703125" style="719" customWidth="1"/>
    <col min="5392" max="5392" width="17.5703125" style="719" customWidth="1"/>
    <col min="5393" max="5632" width="9" style="719"/>
    <col min="5633" max="5633" width="11" style="719" customWidth="1"/>
    <col min="5634" max="5634" width="53.7109375" style="719" customWidth="1"/>
    <col min="5635" max="5636" width="6.85546875" style="719" customWidth="1"/>
    <col min="5637" max="5637" width="10.7109375" style="719" customWidth="1"/>
    <col min="5638" max="5638" width="10.42578125" style="719" customWidth="1"/>
    <col min="5639" max="5639" width="10.28515625" style="719" customWidth="1"/>
    <col min="5640" max="5640" width="10.85546875" style="719" customWidth="1"/>
    <col min="5641" max="5641" width="6.28515625" style="719" customWidth="1"/>
    <col min="5642" max="5642" width="5.7109375" style="719" customWidth="1"/>
    <col min="5643" max="5643" width="13.7109375" style="719" customWidth="1"/>
    <col min="5644" max="5644" width="11" style="719" customWidth="1"/>
    <col min="5645" max="5645" width="11.7109375" style="719" customWidth="1"/>
    <col min="5646" max="5646" width="11.5703125" style="719" customWidth="1"/>
    <col min="5647" max="5647" width="14.5703125" style="719" customWidth="1"/>
    <col min="5648" max="5648" width="17.5703125" style="719" customWidth="1"/>
    <col min="5649" max="5888" width="9" style="719"/>
    <col min="5889" max="5889" width="11" style="719" customWidth="1"/>
    <col min="5890" max="5890" width="53.7109375" style="719" customWidth="1"/>
    <col min="5891" max="5892" width="6.85546875" style="719" customWidth="1"/>
    <col min="5893" max="5893" width="10.7109375" style="719" customWidth="1"/>
    <col min="5894" max="5894" width="10.42578125" style="719" customWidth="1"/>
    <col min="5895" max="5895" width="10.28515625" style="719" customWidth="1"/>
    <col min="5896" max="5896" width="10.85546875" style="719" customWidth="1"/>
    <col min="5897" max="5897" width="6.28515625" style="719" customWidth="1"/>
    <col min="5898" max="5898" width="5.7109375" style="719" customWidth="1"/>
    <col min="5899" max="5899" width="13.7109375" style="719" customWidth="1"/>
    <col min="5900" max="5900" width="11" style="719" customWidth="1"/>
    <col min="5901" max="5901" width="11.7109375" style="719" customWidth="1"/>
    <col min="5902" max="5902" width="11.5703125" style="719" customWidth="1"/>
    <col min="5903" max="5903" width="14.5703125" style="719" customWidth="1"/>
    <col min="5904" max="5904" width="17.5703125" style="719" customWidth="1"/>
    <col min="5905" max="6144" width="9" style="719"/>
    <col min="6145" max="6145" width="11" style="719" customWidth="1"/>
    <col min="6146" max="6146" width="53.7109375" style="719" customWidth="1"/>
    <col min="6147" max="6148" width="6.85546875" style="719" customWidth="1"/>
    <col min="6149" max="6149" width="10.7109375" style="719" customWidth="1"/>
    <col min="6150" max="6150" width="10.42578125" style="719" customWidth="1"/>
    <col min="6151" max="6151" width="10.28515625" style="719" customWidth="1"/>
    <col min="6152" max="6152" width="10.85546875" style="719" customWidth="1"/>
    <col min="6153" max="6153" width="6.28515625" style="719" customWidth="1"/>
    <col min="6154" max="6154" width="5.7109375" style="719" customWidth="1"/>
    <col min="6155" max="6155" width="13.7109375" style="719" customWidth="1"/>
    <col min="6156" max="6156" width="11" style="719" customWidth="1"/>
    <col min="6157" max="6157" width="11.7109375" style="719" customWidth="1"/>
    <col min="6158" max="6158" width="11.5703125" style="719" customWidth="1"/>
    <col min="6159" max="6159" width="14.5703125" style="719" customWidth="1"/>
    <col min="6160" max="6160" width="17.5703125" style="719" customWidth="1"/>
    <col min="6161" max="6400" width="9" style="719"/>
    <col min="6401" max="6401" width="11" style="719" customWidth="1"/>
    <col min="6402" max="6402" width="53.7109375" style="719" customWidth="1"/>
    <col min="6403" max="6404" width="6.85546875" style="719" customWidth="1"/>
    <col min="6405" max="6405" width="10.7109375" style="719" customWidth="1"/>
    <col min="6406" max="6406" width="10.42578125" style="719" customWidth="1"/>
    <col min="6407" max="6407" width="10.28515625" style="719" customWidth="1"/>
    <col min="6408" max="6408" width="10.85546875" style="719" customWidth="1"/>
    <col min="6409" max="6409" width="6.28515625" style="719" customWidth="1"/>
    <col min="6410" max="6410" width="5.7109375" style="719" customWidth="1"/>
    <col min="6411" max="6411" width="13.7109375" style="719" customWidth="1"/>
    <col min="6412" max="6412" width="11" style="719" customWidth="1"/>
    <col min="6413" max="6413" width="11.7109375" style="719" customWidth="1"/>
    <col min="6414" max="6414" width="11.5703125" style="719" customWidth="1"/>
    <col min="6415" max="6415" width="14.5703125" style="719" customWidth="1"/>
    <col min="6416" max="6416" width="17.5703125" style="719" customWidth="1"/>
    <col min="6417" max="6656" width="9" style="719"/>
    <col min="6657" max="6657" width="11" style="719" customWidth="1"/>
    <col min="6658" max="6658" width="53.7109375" style="719" customWidth="1"/>
    <col min="6659" max="6660" width="6.85546875" style="719" customWidth="1"/>
    <col min="6661" max="6661" width="10.7109375" style="719" customWidth="1"/>
    <col min="6662" max="6662" width="10.42578125" style="719" customWidth="1"/>
    <col min="6663" max="6663" width="10.28515625" style="719" customWidth="1"/>
    <col min="6664" max="6664" width="10.85546875" style="719" customWidth="1"/>
    <col min="6665" max="6665" width="6.28515625" style="719" customWidth="1"/>
    <col min="6666" max="6666" width="5.7109375" style="719" customWidth="1"/>
    <col min="6667" max="6667" width="13.7109375" style="719" customWidth="1"/>
    <col min="6668" max="6668" width="11" style="719" customWidth="1"/>
    <col min="6669" max="6669" width="11.7109375" style="719" customWidth="1"/>
    <col min="6670" max="6670" width="11.5703125" style="719" customWidth="1"/>
    <col min="6671" max="6671" width="14.5703125" style="719" customWidth="1"/>
    <col min="6672" max="6672" width="17.5703125" style="719" customWidth="1"/>
    <col min="6673" max="6912" width="9" style="719"/>
    <col min="6913" max="6913" width="11" style="719" customWidth="1"/>
    <col min="6914" max="6914" width="53.7109375" style="719" customWidth="1"/>
    <col min="6915" max="6916" width="6.85546875" style="719" customWidth="1"/>
    <col min="6917" max="6917" width="10.7109375" style="719" customWidth="1"/>
    <col min="6918" max="6918" width="10.42578125" style="719" customWidth="1"/>
    <col min="6919" max="6919" width="10.28515625" style="719" customWidth="1"/>
    <col min="6920" max="6920" width="10.85546875" style="719" customWidth="1"/>
    <col min="6921" max="6921" width="6.28515625" style="719" customWidth="1"/>
    <col min="6922" max="6922" width="5.7109375" style="719" customWidth="1"/>
    <col min="6923" max="6923" width="13.7109375" style="719" customWidth="1"/>
    <col min="6924" max="6924" width="11" style="719" customWidth="1"/>
    <col min="6925" max="6925" width="11.7109375" style="719" customWidth="1"/>
    <col min="6926" max="6926" width="11.5703125" style="719" customWidth="1"/>
    <col min="6927" max="6927" width="14.5703125" style="719" customWidth="1"/>
    <col min="6928" max="6928" width="17.5703125" style="719" customWidth="1"/>
    <col min="6929" max="7168" width="9" style="719"/>
    <col min="7169" max="7169" width="11" style="719" customWidth="1"/>
    <col min="7170" max="7170" width="53.7109375" style="719" customWidth="1"/>
    <col min="7171" max="7172" width="6.85546875" style="719" customWidth="1"/>
    <col min="7173" max="7173" width="10.7109375" style="719" customWidth="1"/>
    <col min="7174" max="7174" width="10.42578125" style="719" customWidth="1"/>
    <col min="7175" max="7175" width="10.28515625" style="719" customWidth="1"/>
    <col min="7176" max="7176" width="10.85546875" style="719" customWidth="1"/>
    <col min="7177" max="7177" width="6.28515625" style="719" customWidth="1"/>
    <col min="7178" max="7178" width="5.7109375" style="719" customWidth="1"/>
    <col min="7179" max="7179" width="13.7109375" style="719" customWidth="1"/>
    <col min="7180" max="7180" width="11" style="719" customWidth="1"/>
    <col min="7181" max="7181" width="11.7109375" style="719" customWidth="1"/>
    <col min="7182" max="7182" width="11.5703125" style="719" customWidth="1"/>
    <col min="7183" max="7183" width="14.5703125" style="719" customWidth="1"/>
    <col min="7184" max="7184" width="17.5703125" style="719" customWidth="1"/>
    <col min="7185" max="7424" width="9" style="719"/>
    <col min="7425" max="7425" width="11" style="719" customWidth="1"/>
    <col min="7426" max="7426" width="53.7109375" style="719" customWidth="1"/>
    <col min="7427" max="7428" width="6.85546875" style="719" customWidth="1"/>
    <col min="7429" max="7429" width="10.7109375" style="719" customWidth="1"/>
    <col min="7430" max="7430" width="10.42578125" style="719" customWidth="1"/>
    <col min="7431" max="7431" width="10.28515625" style="719" customWidth="1"/>
    <col min="7432" max="7432" width="10.85546875" style="719" customWidth="1"/>
    <col min="7433" max="7433" width="6.28515625" style="719" customWidth="1"/>
    <col min="7434" max="7434" width="5.7109375" style="719" customWidth="1"/>
    <col min="7435" max="7435" width="13.7109375" style="719" customWidth="1"/>
    <col min="7436" max="7436" width="11" style="719" customWidth="1"/>
    <col min="7437" max="7437" width="11.7109375" style="719" customWidth="1"/>
    <col min="7438" max="7438" width="11.5703125" style="719" customWidth="1"/>
    <col min="7439" max="7439" width="14.5703125" style="719" customWidth="1"/>
    <col min="7440" max="7440" width="17.5703125" style="719" customWidth="1"/>
    <col min="7441" max="7680" width="9" style="719"/>
    <col min="7681" max="7681" width="11" style="719" customWidth="1"/>
    <col min="7682" max="7682" width="53.7109375" style="719" customWidth="1"/>
    <col min="7683" max="7684" width="6.85546875" style="719" customWidth="1"/>
    <col min="7685" max="7685" width="10.7109375" style="719" customWidth="1"/>
    <col min="7686" max="7686" width="10.42578125" style="719" customWidth="1"/>
    <col min="7687" max="7687" width="10.28515625" style="719" customWidth="1"/>
    <col min="7688" max="7688" width="10.85546875" style="719" customWidth="1"/>
    <col min="7689" max="7689" width="6.28515625" style="719" customWidth="1"/>
    <col min="7690" max="7690" width="5.7109375" style="719" customWidth="1"/>
    <col min="7691" max="7691" width="13.7109375" style="719" customWidth="1"/>
    <col min="7692" max="7692" width="11" style="719" customWidth="1"/>
    <col min="7693" max="7693" width="11.7109375" style="719" customWidth="1"/>
    <col min="7694" max="7694" width="11.5703125" style="719" customWidth="1"/>
    <col min="7695" max="7695" width="14.5703125" style="719" customWidth="1"/>
    <col min="7696" max="7696" width="17.5703125" style="719" customWidth="1"/>
    <col min="7697" max="7936" width="9" style="719"/>
    <col min="7937" max="7937" width="11" style="719" customWidth="1"/>
    <col min="7938" max="7938" width="53.7109375" style="719" customWidth="1"/>
    <col min="7939" max="7940" width="6.85546875" style="719" customWidth="1"/>
    <col min="7941" max="7941" width="10.7109375" style="719" customWidth="1"/>
    <col min="7942" max="7942" width="10.42578125" style="719" customWidth="1"/>
    <col min="7943" max="7943" width="10.28515625" style="719" customWidth="1"/>
    <col min="7944" max="7944" width="10.85546875" style="719" customWidth="1"/>
    <col min="7945" max="7945" width="6.28515625" style="719" customWidth="1"/>
    <col min="7946" max="7946" width="5.7109375" style="719" customWidth="1"/>
    <col min="7947" max="7947" width="13.7109375" style="719" customWidth="1"/>
    <col min="7948" max="7948" width="11" style="719" customWidth="1"/>
    <col min="7949" max="7949" width="11.7109375" style="719" customWidth="1"/>
    <col min="7950" max="7950" width="11.5703125" style="719" customWidth="1"/>
    <col min="7951" max="7951" width="14.5703125" style="719" customWidth="1"/>
    <col min="7952" max="7952" width="17.5703125" style="719" customWidth="1"/>
    <col min="7953" max="8192" width="9" style="719"/>
    <col min="8193" max="8193" width="11" style="719" customWidth="1"/>
    <col min="8194" max="8194" width="53.7109375" style="719" customWidth="1"/>
    <col min="8195" max="8196" width="6.85546875" style="719" customWidth="1"/>
    <col min="8197" max="8197" width="10.7109375" style="719" customWidth="1"/>
    <col min="8198" max="8198" width="10.42578125" style="719" customWidth="1"/>
    <col min="8199" max="8199" width="10.28515625" style="719" customWidth="1"/>
    <col min="8200" max="8200" width="10.85546875" style="719" customWidth="1"/>
    <col min="8201" max="8201" width="6.28515625" style="719" customWidth="1"/>
    <col min="8202" max="8202" width="5.7109375" style="719" customWidth="1"/>
    <col min="8203" max="8203" width="13.7109375" style="719" customWidth="1"/>
    <col min="8204" max="8204" width="11" style="719" customWidth="1"/>
    <col min="8205" max="8205" width="11.7109375" style="719" customWidth="1"/>
    <col min="8206" max="8206" width="11.5703125" style="719" customWidth="1"/>
    <col min="8207" max="8207" width="14.5703125" style="719" customWidth="1"/>
    <col min="8208" max="8208" width="17.5703125" style="719" customWidth="1"/>
    <col min="8209" max="8448" width="9" style="719"/>
    <col min="8449" max="8449" width="11" style="719" customWidth="1"/>
    <col min="8450" max="8450" width="53.7109375" style="719" customWidth="1"/>
    <col min="8451" max="8452" width="6.85546875" style="719" customWidth="1"/>
    <col min="8453" max="8453" width="10.7109375" style="719" customWidth="1"/>
    <col min="8454" max="8454" width="10.42578125" style="719" customWidth="1"/>
    <col min="8455" max="8455" width="10.28515625" style="719" customWidth="1"/>
    <col min="8456" max="8456" width="10.85546875" style="719" customWidth="1"/>
    <col min="8457" max="8457" width="6.28515625" style="719" customWidth="1"/>
    <col min="8458" max="8458" width="5.7109375" style="719" customWidth="1"/>
    <col min="8459" max="8459" width="13.7109375" style="719" customWidth="1"/>
    <col min="8460" max="8460" width="11" style="719" customWidth="1"/>
    <col min="8461" max="8461" width="11.7109375" style="719" customWidth="1"/>
    <col min="8462" max="8462" width="11.5703125" style="719" customWidth="1"/>
    <col min="8463" max="8463" width="14.5703125" style="719" customWidth="1"/>
    <col min="8464" max="8464" width="17.5703125" style="719" customWidth="1"/>
    <col min="8465" max="8704" width="9" style="719"/>
    <col min="8705" max="8705" width="11" style="719" customWidth="1"/>
    <col min="8706" max="8706" width="53.7109375" style="719" customWidth="1"/>
    <col min="8707" max="8708" width="6.85546875" style="719" customWidth="1"/>
    <col min="8709" max="8709" width="10.7109375" style="719" customWidth="1"/>
    <col min="8710" max="8710" width="10.42578125" style="719" customWidth="1"/>
    <col min="8711" max="8711" width="10.28515625" style="719" customWidth="1"/>
    <col min="8712" max="8712" width="10.85546875" style="719" customWidth="1"/>
    <col min="8713" max="8713" width="6.28515625" style="719" customWidth="1"/>
    <col min="8714" max="8714" width="5.7109375" style="719" customWidth="1"/>
    <col min="8715" max="8715" width="13.7109375" style="719" customWidth="1"/>
    <col min="8716" max="8716" width="11" style="719" customWidth="1"/>
    <col min="8717" max="8717" width="11.7109375" style="719" customWidth="1"/>
    <col min="8718" max="8718" width="11.5703125" style="719" customWidth="1"/>
    <col min="8719" max="8719" width="14.5703125" style="719" customWidth="1"/>
    <col min="8720" max="8720" width="17.5703125" style="719" customWidth="1"/>
    <col min="8721" max="8960" width="9" style="719"/>
    <col min="8961" max="8961" width="11" style="719" customWidth="1"/>
    <col min="8962" max="8962" width="53.7109375" style="719" customWidth="1"/>
    <col min="8963" max="8964" width="6.85546875" style="719" customWidth="1"/>
    <col min="8965" max="8965" width="10.7109375" style="719" customWidth="1"/>
    <col min="8966" max="8966" width="10.42578125" style="719" customWidth="1"/>
    <col min="8967" max="8967" width="10.28515625" style="719" customWidth="1"/>
    <col min="8968" max="8968" width="10.85546875" style="719" customWidth="1"/>
    <col min="8969" max="8969" width="6.28515625" style="719" customWidth="1"/>
    <col min="8970" max="8970" width="5.7109375" style="719" customWidth="1"/>
    <col min="8971" max="8971" width="13.7109375" style="719" customWidth="1"/>
    <col min="8972" max="8972" width="11" style="719" customWidth="1"/>
    <col min="8973" max="8973" width="11.7109375" style="719" customWidth="1"/>
    <col min="8974" max="8974" width="11.5703125" style="719" customWidth="1"/>
    <col min="8975" max="8975" width="14.5703125" style="719" customWidth="1"/>
    <col min="8976" max="8976" width="17.5703125" style="719" customWidth="1"/>
    <col min="8977" max="9216" width="9" style="719"/>
    <col min="9217" max="9217" width="11" style="719" customWidth="1"/>
    <col min="9218" max="9218" width="53.7109375" style="719" customWidth="1"/>
    <col min="9219" max="9220" width="6.85546875" style="719" customWidth="1"/>
    <col min="9221" max="9221" width="10.7109375" style="719" customWidth="1"/>
    <col min="9222" max="9222" width="10.42578125" style="719" customWidth="1"/>
    <col min="9223" max="9223" width="10.28515625" style="719" customWidth="1"/>
    <col min="9224" max="9224" width="10.85546875" style="719" customWidth="1"/>
    <col min="9225" max="9225" width="6.28515625" style="719" customWidth="1"/>
    <col min="9226" max="9226" width="5.7109375" style="719" customWidth="1"/>
    <col min="9227" max="9227" width="13.7109375" style="719" customWidth="1"/>
    <col min="9228" max="9228" width="11" style="719" customWidth="1"/>
    <col min="9229" max="9229" width="11.7109375" style="719" customWidth="1"/>
    <col min="9230" max="9230" width="11.5703125" style="719" customWidth="1"/>
    <col min="9231" max="9231" width="14.5703125" style="719" customWidth="1"/>
    <col min="9232" max="9232" width="17.5703125" style="719" customWidth="1"/>
    <col min="9233" max="9472" width="9" style="719"/>
    <col min="9473" max="9473" width="11" style="719" customWidth="1"/>
    <col min="9474" max="9474" width="53.7109375" style="719" customWidth="1"/>
    <col min="9475" max="9476" width="6.85546875" style="719" customWidth="1"/>
    <col min="9477" max="9477" width="10.7109375" style="719" customWidth="1"/>
    <col min="9478" max="9478" width="10.42578125" style="719" customWidth="1"/>
    <col min="9479" max="9479" width="10.28515625" style="719" customWidth="1"/>
    <col min="9480" max="9480" width="10.85546875" style="719" customWidth="1"/>
    <col min="9481" max="9481" width="6.28515625" style="719" customWidth="1"/>
    <col min="9482" max="9482" width="5.7109375" style="719" customWidth="1"/>
    <col min="9483" max="9483" width="13.7109375" style="719" customWidth="1"/>
    <col min="9484" max="9484" width="11" style="719" customWidth="1"/>
    <col min="9485" max="9485" width="11.7109375" style="719" customWidth="1"/>
    <col min="9486" max="9486" width="11.5703125" style="719" customWidth="1"/>
    <col min="9487" max="9487" width="14.5703125" style="719" customWidth="1"/>
    <col min="9488" max="9488" width="17.5703125" style="719" customWidth="1"/>
    <col min="9489" max="9728" width="9" style="719"/>
    <col min="9729" max="9729" width="11" style="719" customWidth="1"/>
    <col min="9730" max="9730" width="53.7109375" style="719" customWidth="1"/>
    <col min="9731" max="9732" width="6.85546875" style="719" customWidth="1"/>
    <col min="9733" max="9733" width="10.7109375" style="719" customWidth="1"/>
    <col min="9734" max="9734" width="10.42578125" style="719" customWidth="1"/>
    <col min="9735" max="9735" width="10.28515625" style="719" customWidth="1"/>
    <col min="9736" max="9736" width="10.85546875" style="719" customWidth="1"/>
    <col min="9737" max="9737" width="6.28515625" style="719" customWidth="1"/>
    <col min="9738" max="9738" width="5.7109375" style="719" customWidth="1"/>
    <col min="9739" max="9739" width="13.7109375" style="719" customWidth="1"/>
    <col min="9740" max="9740" width="11" style="719" customWidth="1"/>
    <col min="9741" max="9741" width="11.7109375" style="719" customWidth="1"/>
    <col min="9742" max="9742" width="11.5703125" style="719" customWidth="1"/>
    <col min="9743" max="9743" width="14.5703125" style="719" customWidth="1"/>
    <col min="9744" max="9744" width="17.5703125" style="719" customWidth="1"/>
    <col min="9745" max="9984" width="9" style="719"/>
    <col min="9985" max="9985" width="11" style="719" customWidth="1"/>
    <col min="9986" max="9986" width="53.7109375" style="719" customWidth="1"/>
    <col min="9987" max="9988" width="6.85546875" style="719" customWidth="1"/>
    <col min="9989" max="9989" width="10.7109375" style="719" customWidth="1"/>
    <col min="9990" max="9990" width="10.42578125" style="719" customWidth="1"/>
    <col min="9991" max="9991" width="10.28515625" style="719" customWidth="1"/>
    <col min="9992" max="9992" width="10.85546875" style="719" customWidth="1"/>
    <col min="9993" max="9993" width="6.28515625" style="719" customWidth="1"/>
    <col min="9994" max="9994" width="5.7109375" style="719" customWidth="1"/>
    <col min="9995" max="9995" width="13.7109375" style="719" customWidth="1"/>
    <col min="9996" max="9996" width="11" style="719" customWidth="1"/>
    <col min="9997" max="9997" width="11.7109375" style="719" customWidth="1"/>
    <col min="9998" max="9998" width="11.5703125" style="719" customWidth="1"/>
    <col min="9999" max="9999" width="14.5703125" style="719" customWidth="1"/>
    <col min="10000" max="10000" width="17.5703125" style="719" customWidth="1"/>
    <col min="10001" max="10240" width="9" style="719"/>
    <col min="10241" max="10241" width="11" style="719" customWidth="1"/>
    <col min="10242" max="10242" width="53.7109375" style="719" customWidth="1"/>
    <col min="10243" max="10244" width="6.85546875" style="719" customWidth="1"/>
    <col min="10245" max="10245" width="10.7109375" style="719" customWidth="1"/>
    <col min="10246" max="10246" width="10.42578125" style="719" customWidth="1"/>
    <col min="10247" max="10247" width="10.28515625" style="719" customWidth="1"/>
    <col min="10248" max="10248" width="10.85546875" style="719" customWidth="1"/>
    <col min="10249" max="10249" width="6.28515625" style="719" customWidth="1"/>
    <col min="10250" max="10250" width="5.7109375" style="719" customWidth="1"/>
    <col min="10251" max="10251" width="13.7109375" style="719" customWidth="1"/>
    <col min="10252" max="10252" width="11" style="719" customWidth="1"/>
    <col min="10253" max="10253" width="11.7109375" style="719" customWidth="1"/>
    <col min="10254" max="10254" width="11.5703125" style="719" customWidth="1"/>
    <col min="10255" max="10255" width="14.5703125" style="719" customWidth="1"/>
    <col min="10256" max="10256" width="17.5703125" style="719" customWidth="1"/>
    <col min="10257" max="10496" width="9" style="719"/>
    <col min="10497" max="10497" width="11" style="719" customWidth="1"/>
    <col min="10498" max="10498" width="53.7109375" style="719" customWidth="1"/>
    <col min="10499" max="10500" width="6.85546875" style="719" customWidth="1"/>
    <col min="10501" max="10501" width="10.7109375" style="719" customWidth="1"/>
    <col min="10502" max="10502" width="10.42578125" style="719" customWidth="1"/>
    <col min="10503" max="10503" width="10.28515625" style="719" customWidth="1"/>
    <col min="10504" max="10504" width="10.85546875" style="719" customWidth="1"/>
    <col min="10505" max="10505" width="6.28515625" style="719" customWidth="1"/>
    <col min="10506" max="10506" width="5.7109375" style="719" customWidth="1"/>
    <col min="10507" max="10507" width="13.7109375" style="719" customWidth="1"/>
    <col min="10508" max="10508" width="11" style="719" customWidth="1"/>
    <col min="10509" max="10509" width="11.7109375" style="719" customWidth="1"/>
    <col min="10510" max="10510" width="11.5703125" style="719" customWidth="1"/>
    <col min="10511" max="10511" width="14.5703125" style="719" customWidth="1"/>
    <col min="10512" max="10512" width="17.5703125" style="719" customWidth="1"/>
    <col min="10513" max="10752" width="9" style="719"/>
    <col min="10753" max="10753" width="11" style="719" customWidth="1"/>
    <col min="10754" max="10754" width="53.7109375" style="719" customWidth="1"/>
    <col min="10755" max="10756" width="6.85546875" style="719" customWidth="1"/>
    <col min="10757" max="10757" width="10.7109375" style="719" customWidth="1"/>
    <col min="10758" max="10758" width="10.42578125" style="719" customWidth="1"/>
    <col min="10759" max="10759" width="10.28515625" style="719" customWidth="1"/>
    <col min="10760" max="10760" width="10.85546875" style="719" customWidth="1"/>
    <col min="10761" max="10761" width="6.28515625" style="719" customWidth="1"/>
    <col min="10762" max="10762" width="5.7109375" style="719" customWidth="1"/>
    <col min="10763" max="10763" width="13.7109375" style="719" customWidth="1"/>
    <col min="10764" max="10764" width="11" style="719" customWidth="1"/>
    <col min="10765" max="10765" width="11.7109375" style="719" customWidth="1"/>
    <col min="10766" max="10766" width="11.5703125" style="719" customWidth="1"/>
    <col min="10767" max="10767" width="14.5703125" style="719" customWidth="1"/>
    <col min="10768" max="10768" width="17.5703125" style="719" customWidth="1"/>
    <col min="10769" max="11008" width="9" style="719"/>
    <col min="11009" max="11009" width="11" style="719" customWidth="1"/>
    <col min="11010" max="11010" width="53.7109375" style="719" customWidth="1"/>
    <col min="11011" max="11012" width="6.85546875" style="719" customWidth="1"/>
    <col min="11013" max="11013" width="10.7109375" style="719" customWidth="1"/>
    <col min="11014" max="11014" width="10.42578125" style="719" customWidth="1"/>
    <col min="11015" max="11015" width="10.28515625" style="719" customWidth="1"/>
    <col min="11016" max="11016" width="10.85546875" style="719" customWidth="1"/>
    <col min="11017" max="11017" width="6.28515625" style="719" customWidth="1"/>
    <col min="11018" max="11018" width="5.7109375" style="719" customWidth="1"/>
    <col min="11019" max="11019" width="13.7109375" style="719" customWidth="1"/>
    <col min="11020" max="11020" width="11" style="719" customWidth="1"/>
    <col min="11021" max="11021" width="11.7109375" style="719" customWidth="1"/>
    <col min="11022" max="11022" width="11.5703125" style="719" customWidth="1"/>
    <col min="11023" max="11023" width="14.5703125" style="719" customWidth="1"/>
    <col min="11024" max="11024" width="17.5703125" style="719" customWidth="1"/>
    <col min="11025" max="11264" width="9" style="719"/>
    <col min="11265" max="11265" width="11" style="719" customWidth="1"/>
    <col min="11266" max="11266" width="53.7109375" style="719" customWidth="1"/>
    <col min="11267" max="11268" width="6.85546875" style="719" customWidth="1"/>
    <col min="11269" max="11269" width="10.7109375" style="719" customWidth="1"/>
    <col min="11270" max="11270" width="10.42578125" style="719" customWidth="1"/>
    <col min="11271" max="11271" width="10.28515625" style="719" customWidth="1"/>
    <col min="11272" max="11272" width="10.85546875" style="719" customWidth="1"/>
    <col min="11273" max="11273" width="6.28515625" style="719" customWidth="1"/>
    <col min="11274" max="11274" width="5.7109375" style="719" customWidth="1"/>
    <col min="11275" max="11275" width="13.7109375" style="719" customWidth="1"/>
    <col min="11276" max="11276" width="11" style="719" customWidth="1"/>
    <col min="11277" max="11277" width="11.7109375" style="719" customWidth="1"/>
    <col min="11278" max="11278" width="11.5703125" style="719" customWidth="1"/>
    <col min="11279" max="11279" width="14.5703125" style="719" customWidth="1"/>
    <col min="11280" max="11280" width="17.5703125" style="719" customWidth="1"/>
    <col min="11281" max="11520" width="9" style="719"/>
    <col min="11521" max="11521" width="11" style="719" customWidth="1"/>
    <col min="11522" max="11522" width="53.7109375" style="719" customWidth="1"/>
    <col min="11523" max="11524" width="6.85546875" style="719" customWidth="1"/>
    <col min="11525" max="11525" width="10.7109375" style="719" customWidth="1"/>
    <col min="11526" max="11526" width="10.42578125" style="719" customWidth="1"/>
    <col min="11527" max="11527" width="10.28515625" style="719" customWidth="1"/>
    <col min="11528" max="11528" width="10.85546875" style="719" customWidth="1"/>
    <col min="11529" max="11529" width="6.28515625" style="719" customWidth="1"/>
    <col min="11530" max="11530" width="5.7109375" style="719" customWidth="1"/>
    <col min="11531" max="11531" width="13.7109375" style="719" customWidth="1"/>
    <col min="11532" max="11532" width="11" style="719" customWidth="1"/>
    <col min="11533" max="11533" width="11.7109375" style="719" customWidth="1"/>
    <col min="11534" max="11534" width="11.5703125" style="719" customWidth="1"/>
    <col min="11535" max="11535" width="14.5703125" style="719" customWidth="1"/>
    <col min="11536" max="11536" width="17.5703125" style="719" customWidth="1"/>
    <col min="11537" max="11776" width="9" style="719"/>
    <col min="11777" max="11777" width="11" style="719" customWidth="1"/>
    <col min="11778" max="11778" width="53.7109375" style="719" customWidth="1"/>
    <col min="11779" max="11780" width="6.85546875" style="719" customWidth="1"/>
    <col min="11781" max="11781" width="10.7109375" style="719" customWidth="1"/>
    <col min="11782" max="11782" width="10.42578125" style="719" customWidth="1"/>
    <col min="11783" max="11783" width="10.28515625" style="719" customWidth="1"/>
    <col min="11784" max="11784" width="10.85546875" style="719" customWidth="1"/>
    <col min="11785" max="11785" width="6.28515625" style="719" customWidth="1"/>
    <col min="11786" max="11786" width="5.7109375" style="719" customWidth="1"/>
    <col min="11787" max="11787" width="13.7109375" style="719" customWidth="1"/>
    <col min="11788" max="11788" width="11" style="719" customWidth="1"/>
    <col min="11789" max="11789" width="11.7109375" style="719" customWidth="1"/>
    <col min="11790" max="11790" width="11.5703125" style="719" customWidth="1"/>
    <col min="11791" max="11791" width="14.5703125" style="719" customWidth="1"/>
    <col min="11792" max="11792" width="17.5703125" style="719" customWidth="1"/>
    <col min="11793" max="12032" width="9" style="719"/>
    <col min="12033" max="12033" width="11" style="719" customWidth="1"/>
    <col min="12034" max="12034" width="53.7109375" style="719" customWidth="1"/>
    <col min="12035" max="12036" width="6.85546875" style="719" customWidth="1"/>
    <col min="12037" max="12037" width="10.7109375" style="719" customWidth="1"/>
    <col min="12038" max="12038" width="10.42578125" style="719" customWidth="1"/>
    <col min="12039" max="12039" width="10.28515625" style="719" customWidth="1"/>
    <col min="12040" max="12040" width="10.85546875" style="719" customWidth="1"/>
    <col min="12041" max="12041" width="6.28515625" style="719" customWidth="1"/>
    <col min="12042" max="12042" width="5.7109375" style="719" customWidth="1"/>
    <col min="12043" max="12043" width="13.7109375" style="719" customWidth="1"/>
    <col min="12044" max="12044" width="11" style="719" customWidth="1"/>
    <col min="12045" max="12045" width="11.7109375" style="719" customWidth="1"/>
    <col min="12046" max="12046" width="11.5703125" style="719" customWidth="1"/>
    <col min="12047" max="12047" width="14.5703125" style="719" customWidth="1"/>
    <col min="12048" max="12048" width="17.5703125" style="719" customWidth="1"/>
    <col min="12049" max="12288" width="9" style="719"/>
    <col min="12289" max="12289" width="11" style="719" customWidth="1"/>
    <col min="12290" max="12290" width="53.7109375" style="719" customWidth="1"/>
    <col min="12291" max="12292" width="6.85546875" style="719" customWidth="1"/>
    <col min="12293" max="12293" width="10.7109375" style="719" customWidth="1"/>
    <col min="12294" max="12294" width="10.42578125" style="719" customWidth="1"/>
    <col min="12295" max="12295" width="10.28515625" style="719" customWidth="1"/>
    <col min="12296" max="12296" width="10.85546875" style="719" customWidth="1"/>
    <col min="12297" max="12297" width="6.28515625" style="719" customWidth="1"/>
    <col min="12298" max="12298" width="5.7109375" style="719" customWidth="1"/>
    <col min="12299" max="12299" width="13.7109375" style="719" customWidth="1"/>
    <col min="12300" max="12300" width="11" style="719" customWidth="1"/>
    <col min="12301" max="12301" width="11.7109375" style="719" customWidth="1"/>
    <col min="12302" max="12302" width="11.5703125" style="719" customWidth="1"/>
    <col min="12303" max="12303" width="14.5703125" style="719" customWidth="1"/>
    <col min="12304" max="12304" width="17.5703125" style="719" customWidth="1"/>
    <col min="12305" max="12544" width="9" style="719"/>
    <col min="12545" max="12545" width="11" style="719" customWidth="1"/>
    <col min="12546" max="12546" width="53.7109375" style="719" customWidth="1"/>
    <col min="12547" max="12548" width="6.85546875" style="719" customWidth="1"/>
    <col min="12549" max="12549" width="10.7109375" style="719" customWidth="1"/>
    <col min="12550" max="12550" width="10.42578125" style="719" customWidth="1"/>
    <col min="12551" max="12551" width="10.28515625" style="719" customWidth="1"/>
    <col min="12552" max="12552" width="10.85546875" style="719" customWidth="1"/>
    <col min="12553" max="12553" width="6.28515625" style="719" customWidth="1"/>
    <col min="12554" max="12554" width="5.7109375" style="719" customWidth="1"/>
    <col min="12555" max="12555" width="13.7109375" style="719" customWidth="1"/>
    <col min="12556" max="12556" width="11" style="719" customWidth="1"/>
    <col min="12557" max="12557" width="11.7109375" style="719" customWidth="1"/>
    <col min="12558" max="12558" width="11.5703125" style="719" customWidth="1"/>
    <col min="12559" max="12559" width="14.5703125" style="719" customWidth="1"/>
    <col min="12560" max="12560" width="17.5703125" style="719" customWidth="1"/>
    <col min="12561" max="12800" width="9" style="719"/>
    <col min="12801" max="12801" width="11" style="719" customWidth="1"/>
    <col min="12802" max="12802" width="53.7109375" style="719" customWidth="1"/>
    <col min="12803" max="12804" width="6.85546875" style="719" customWidth="1"/>
    <col min="12805" max="12805" width="10.7109375" style="719" customWidth="1"/>
    <col min="12806" max="12806" width="10.42578125" style="719" customWidth="1"/>
    <col min="12807" max="12807" width="10.28515625" style="719" customWidth="1"/>
    <col min="12808" max="12808" width="10.85546875" style="719" customWidth="1"/>
    <col min="12809" max="12809" width="6.28515625" style="719" customWidth="1"/>
    <col min="12810" max="12810" width="5.7109375" style="719" customWidth="1"/>
    <col min="12811" max="12811" width="13.7109375" style="719" customWidth="1"/>
    <col min="12812" max="12812" width="11" style="719" customWidth="1"/>
    <col min="12813" max="12813" width="11.7109375" style="719" customWidth="1"/>
    <col min="12814" max="12814" width="11.5703125" style="719" customWidth="1"/>
    <col min="12815" max="12815" width="14.5703125" style="719" customWidth="1"/>
    <col min="12816" max="12816" width="17.5703125" style="719" customWidth="1"/>
    <col min="12817" max="13056" width="9" style="719"/>
    <col min="13057" max="13057" width="11" style="719" customWidth="1"/>
    <col min="13058" max="13058" width="53.7109375" style="719" customWidth="1"/>
    <col min="13059" max="13060" width="6.85546875" style="719" customWidth="1"/>
    <col min="13061" max="13061" width="10.7109375" style="719" customWidth="1"/>
    <col min="13062" max="13062" width="10.42578125" style="719" customWidth="1"/>
    <col min="13063" max="13063" width="10.28515625" style="719" customWidth="1"/>
    <col min="13064" max="13064" width="10.85546875" style="719" customWidth="1"/>
    <col min="13065" max="13065" width="6.28515625" style="719" customWidth="1"/>
    <col min="13066" max="13066" width="5.7109375" style="719" customWidth="1"/>
    <col min="13067" max="13067" width="13.7109375" style="719" customWidth="1"/>
    <col min="13068" max="13068" width="11" style="719" customWidth="1"/>
    <col min="13069" max="13069" width="11.7109375" style="719" customWidth="1"/>
    <col min="13070" max="13070" width="11.5703125" style="719" customWidth="1"/>
    <col min="13071" max="13071" width="14.5703125" style="719" customWidth="1"/>
    <col min="13072" max="13072" width="17.5703125" style="719" customWidth="1"/>
    <col min="13073" max="13312" width="9" style="719"/>
    <col min="13313" max="13313" width="11" style="719" customWidth="1"/>
    <col min="13314" max="13314" width="53.7109375" style="719" customWidth="1"/>
    <col min="13315" max="13316" width="6.85546875" style="719" customWidth="1"/>
    <col min="13317" max="13317" width="10.7109375" style="719" customWidth="1"/>
    <col min="13318" max="13318" width="10.42578125" style="719" customWidth="1"/>
    <col min="13319" max="13319" width="10.28515625" style="719" customWidth="1"/>
    <col min="13320" max="13320" width="10.85546875" style="719" customWidth="1"/>
    <col min="13321" max="13321" width="6.28515625" style="719" customWidth="1"/>
    <col min="13322" max="13322" width="5.7109375" style="719" customWidth="1"/>
    <col min="13323" max="13323" width="13.7109375" style="719" customWidth="1"/>
    <col min="13324" max="13324" width="11" style="719" customWidth="1"/>
    <col min="13325" max="13325" width="11.7109375" style="719" customWidth="1"/>
    <col min="13326" max="13326" width="11.5703125" style="719" customWidth="1"/>
    <col min="13327" max="13327" width="14.5703125" style="719" customWidth="1"/>
    <col min="13328" max="13328" width="17.5703125" style="719" customWidth="1"/>
    <col min="13329" max="13568" width="9" style="719"/>
    <col min="13569" max="13569" width="11" style="719" customWidth="1"/>
    <col min="13570" max="13570" width="53.7109375" style="719" customWidth="1"/>
    <col min="13571" max="13572" width="6.85546875" style="719" customWidth="1"/>
    <col min="13573" max="13573" width="10.7109375" style="719" customWidth="1"/>
    <col min="13574" max="13574" width="10.42578125" style="719" customWidth="1"/>
    <col min="13575" max="13575" width="10.28515625" style="719" customWidth="1"/>
    <col min="13576" max="13576" width="10.85546875" style="719" customWidth="1"/>
    <col min="13577" max="13577" width="6.28515625" style="719" customWidth="1"/>
    <col min="13578" max="13578" width="5.7109375" style="719" customWidth="1"/>
    <col min="13579" max="13579" width="13.7109375" style="719" customWidth="1"/>
    <col min="13580" max="13580" width="11" style="719" customWidth="1"/>
    <col min="13581" max="13581" width="11.7109375" style="719" customWidth="1"/>
    <col min="13582" max="13582" width="11.5703125" style="719" customWidth="1"/>
    <col min="13583" max="13583" width="14.5703125" style="719" customWidth="1"/>
    <col min="13584" max="13584" width="17.5703125" style="719" customWidth="1"/>
    <col min="13585" max="13824" width="9" style="719"/>
    <col min="13825" max="13825" width="11" style="719" customWidth="1"/>
    <col min="13826" max="13826" width="53.7109375" style="719" customWidth="1"/>
    <col min="13827" max="13828" width="6.85546875" style="719" customWidth="1"/>
    <col min="13829" max="13829" width="10.7109375" style="719" customWidth="1"/>
    <col min="13830" max="13830" width="10.42578125" style="719" customWidth="1"/>
    <col min="13831" max="13831" width="10.28515625" style="719" customWidth="1"/>
    <col min="13832" max="13832" width="10.85546875" style="719" customWidth="1"/>
    <col min="13833" max="13833" width="6.28515625" style="719" customWidth="1"/>
    <col min="13834" max="13834" width="5.7109375" style="719" customWidth="1"/>
    <col min="13835" max="13835" width="13.7109375" style="719" customWidth="1"/>
    <col min="13836" max="13836" width="11" style="719" customWidth="1"/>
    <col min="13837" max="13837" width="11.7109375" style="719" customWidth="1"/>
    <col min="13838" max="13838" width="11.5703125" style="719" customWidth="1"/>
    <col min="13839" max="13839" width="14.5703125" style="719" customWidth="1"/>
    <col min="13840" max="13840" width="17.5703125" style="719" customWidth="1"/>
    <col min="13841" max="14080" width="9" style="719"/>
    <col min="14081" max="14081" width="11" style="719" customWidth="1"/>
    <col min="14082" max="14082" width="53.7109375" style="719" customWidth="1"/>
    <col min="14083" max="14084" width="6.85546875" style="719" customWidth="1"/>
    <col min="14085" max="14085" width="10.7109375" style="719" customWidth="1"/>
    <col min="14086" max="14086" width="10.42578125" style="719" customWidth="1"/>
    <col min="14087" max="14087" width="10.28515625" style="719" customWidth="1"/>
    <col min="14088" max="14088" width="10.85546875" style="719" customWidth="1"/>
    <col min="14089" max="14089" width="6.28515625" style="719" customWidth="1"/>
    <col min="14090" max="14090" width="5.7109375" style="719" customWidth="1"/>
    <col min="14091" max="14091" width="13.7109375" style="719" customWidth="1"/>
    <col min="14092" max="14092" width="11" style="719" customWidth="1"/>
    <col min="14093" max="14093" width="11.7109375" style="719" customWidth="1"/>
    <col min="14094" max="14094" width="11.5703125" style="719" customWidth="1"/>
    <col min="14095" max="14095" width="14.5703125" style="719" customWidth="1"/>
    <col min="14096" max="14096" width="17.5703125" style="719" customWidth="1"/>
    <col min="14097" max="14336" width="9" style="719"/>
    <col min="14337" max="14337" width="11" style="719" customWidth="1"/>
    <col min="14338" max="14338" width="53.7109375" style="719" customWidth="1"/>
    <col min="14339" max="14340" width="6.85546875" style="719" customWidth="1"/>
    <col min="14341" max="14341" width="10.7109375" style="719" customWidth="1"/>
    <col min="14342" max="14342" width="10.42578125" style="719" customWidth="1"/>
    <col min="14343" max="14343" width="10.28515625" style="719" customWidth="1"/>
    <col min="14344" max="14344" width="10.85546875" style="719" customWidth="1"/>
    <col min="14345" max="14345" width="6.28515625" style="719" customWidth="1"/>
    <col min="14346" max="14346" width="5.7109375" style="719" customWidth="1"/>
    <col min="14347" max="14347" width="13.7109375" style="719" customWidth="1"/>
    <col min="14348" max="14348" width="11" style="719" customWidth="1"/>
    <col min="14349" max="14349" width="11.7109375" style="719" customWidth="1"/>
    <col min="14350" max="14350" width="11.5703125" style="719" customWidth="1"/>
    <col min="14351" max="14351" width="14.5703125" style="719" customWidth="1"/>
    <col min="14352" max="14352" width="17.5703125" style="719" customWidth="1"/>
    <col min="14353" max="14592" width="9" style="719"/>
    <col min="14593" max="14593" width="11" style="719" customWidth="1"/>
    <col min="14594" max="14594" width="53.7109375" style="719" customWidth="1"/>
    <col min="14595" max="14596" width="6.85546875" style="719" customWidth="1"/>
    <col min="14597" max="14597" width="10.7109375" style="719" customWidth="1"/>
    <col min="14598" max="14598" width="10.42578125" style="719" customWidth="1"/>
    <col min="14599" max="14599" width="10.28515625" style="719" customWidth="1"/>
    <col min="14600" max="14600" width="10.85546875" style="719" customWidth="1"/>
    <col min="14601" max="14601" width="6.28515625" style="719" customWidth="1"/>
    <col min="14602" max="14602" width="5.7109375" style="719" customWidth="1"/>
    <col min="14603" max="14603" width="13.7109375" style="719" customWidth="1"/>
    <col min="14604" max="14604" width="11" style="719" customWidth="1"/>
    <col min="14605" max="14605" width="11.7109375" style="719" customWidth="1"/>
    <col min="14606" max="14606" width="11.5703125" style="719" customWidth="1"/>
    <col min="14607" max="14607" width="14.5703125" style="719" customWidth="1"/>
    <col min="14608" max="14608" width="17.5703125" style="719" customWidth="1"/>
    <col min="14609" max="14848" width="9" style="719"/>
    <col min="14849" max="14849" width="11" style="719" customWidth="1"/>
    <col min="14850" max="14850" width="53.7109375" style="719" customWidth="1"/>
    <col min="14851" max="14852" width="6.85546875" style="719" customWidth="1"/>
    <col min="14853" max="14853" width="10.7109375" style="719" customWidth="1"/>
    <col min="14854" max="14854" width="10.42578125" style="719" customWidth="1"/>
    <col min="14855" max="14855" width="10.28515625" style="719" customWidth="1"/>
    <col min="14856" max="14856" width="10.85546875" style="719" customWidth="1"/>
    <col min="14857" max="14857" width="6.28515625" style="719" customWidth="1"/>
    <col min="14858" max="14858" width="5.7109375" style="719" customWidth="1"/>
    <col min="14859" max="14859" width="13.7109375" style="719" customWidth="1"/>
    <col min="14860" max="14860" width="11" style="719" customWidth="1"/>
    <col min="14861" max="14861" width="11.7109375" style="719" customWidth="1"/>
    <col min="14862" max="14862" width="11.5703125" style="719" customWidth="1"/>
    <col min="14863" max="14863" width="14.5703125" style="719" customWidth="1"/>
    <col min="14864" max="14864" width="17.5703125" style="719" customWidth="1"/>
    <col min="14865" max="15104" width="9" style="719"/>
    <col min="15105" max="15105" width="11" style="719" customWidth="1"/>
    <col min="15106" max="15106" width="53.7109375" style="719" customWidth="1"/>
    <col min="15107" max="15108" width="6.85546875" style="719" customWidth="1"/>
    <col min="15109" max="15109" width="10.7109375" style="719" customWidth="1"/>
    <col min="15110" max="15110" width="10.42578125" style="719" customWidth="1"/>
    <col min="15111" max="15111" width="10.28515625" style="719" customWidth="1"/>
    <col min="15112" max="15112" width="10.85546875" style="719" customWidth="1"/>
    <col min="15113" max="15113" width="6.28515625" style="719" customWidth="1"/>
    <col min="15114" max="15114" width="5.7109375" style="719" customWidth="1"/>
    <col min="15115" max="15115" width="13.7109375" style="719" customWidth="1"/>
    <col min="15116" max="15116" width="11" style="719" customWidth="1"/>
    <col min="15117" max="15117" width="11.7109375" style="719" customWidth="1"/>
    <col min="15118" max="15118" width="11.5703125" style="719" customWidth="1"/>
    <col min="15119" max="15119" width="14.5703125" style="719" customWidth="1"/>
    <col min="15120" max="15120" width="17.5703125" style="719" customWidth="1"/>
    <col min="15121" max="15360" width="9" style="719"/>
    <col min="15361" max="15361" width="11" style="719" customWidth="1"/>
    <col min="15362" max="15362" width="53.7109375" style="719" customWidth="1"/>
    <col min="15363" max="15364" width="6.85546875" style="719" customWidth="1"/>
    <col min="15365" max="15365" width="10.7109375" style="719" customWidth="1"/>
    <col min="15366" max="15366" width="10.42578125" style="719" customWidth="1"/>
    <col min="15367" max="15367" width="10.28515625" style="719" customWidth="1"/>
    <col min="15368" max="15368" width="10.85546875" style="719" customWidth="1"/>
    <col min="15369" max="15369" width="6.28515625" style="719" customWidth="1"/>
    <col min="15370" max="15370" width="5.7109375" style="719" customWidth="1"/>
    <col min="15371" max="15371" width="13.7109375" style="719" customWidth="1"/>
    <col min="15372" max="15372" width="11" style="719" customWidth="1"/>
    <col min="15373" max="15373" width="11.7109375" style="719" customWidth="1"/>
    <col min="15374" max="15374" width="11.5703125" style="719" customWidth="1"/>
    <col min="15375" max="15375" width="14.5703125" style="719" customWidth="1"/>
    <col min="15376" max="15376" width="17.5703125" style="719" customWidth="1"/>
    <col min="15377" max="15616" width="9" style="719"/>
    <col min="15617" max="15617" width="11" style="719" customWidth="1"/>
    <col min="15618" max="15618" width="53.7109375" style="719" customWidth="1"/>
    <col min="15619" max="15620" width="6.85546875" style="719" customWidth="1"/>
    <col min="15621" max="15621" width="10.7109375" style="719" customWidth="1"/>
    <col min="15622" max="15622" width="10.42578125" style="719" customWidth="1"/>
    <col min="15623" max="15623" width="10.28515625" style="719" customWidth="1"/>
    <col min="15624" max="15624" width="10.85546875" style="719" customWidth="1"/>
    <col min="15625" max="15625" width="6.28515625" style="719" customWidth="1"/>
    <col min="15626" max="15626" width="5.7109375" style="719" customWidth="1"/>
    <col min="15627" max="15627" width="13.7109375" style="719" customWidth="1"/>
    <col min="15628" max="15628" width="11" style="719" customWidth="1"/>
    <col min="15629" max="15629" width="11.7109375" style="719" customWidth="1"/>
    <col min="15630" max="15630" width="11.5703125" style="719" customWidth="1"/>
    <col min="15631" max="15631" width="14.5703125" style="719" customWidth="1"/>
    <col min="15632" max="15632" width="17.5703125" style="719" customWidth="1"/>
    <col min="15633" max="15872" width="9" style="719"/>
    <col min="15873" max="15873" width="11" style="719" customWidth="1"/>
    <col min="15874" max="15874" width="53.7109375" style="719" customWidth="1"/>
    <col min="15875" max="15876" width="6.85546875" style="719" customWidth="1"/>
    <col min="15877" max="15877" width="10.7109375" style="719" customWidth="1"/>
    <col min="15878" max="15878" width="10.42578125" style="719" customWidth="1"/>
    <col min="15879" max="15879" width="10.28515625" style="719" customWidth="1"/>
    <col min="15880" max="15880" width="10.85546875" style="719" customWidth="1"/>
    <col min="15881" max="15881" width="6.28515625" style="719" customWidth="1"/>
    <col min="15882" max="15882" width="5.7109375" style="719" customWidth="1"/>
    <col min="15883" max="15883" width="13.7109375" style="719" customWidth="1"/>
    <col min="15884" max="15884" width="11" style="719" customWidth="1"/>
    <col min="15885" max="15885" width="11.7109375" style="719" customWidth="1"/>
    <col min="15886" max="15886" width="11.5703125" style="719" customWidth="1"/>
    <col min="15887" max="15887" width="14.5703125" style="719" customWidth="1"/>
    <col min="15888" max="15888" width="17.5703125" style="719" customWidth="1"/>
    <col min="15889" max="16128" width="9" style="719"/>
    <col min="16129" max="16129" width="11" style="719" customWidth="1"/>
    <col min="16130" max="16130" width="53.7109375" style="719" customWidth="1"/>
    <col min="16131" max="16132" width="6.85546875" style="719" customWidth="1"/>
    <col min="16133" max="16133" width="10.7109375" style="719" customWidth="1"/>
    <col min="16134" max="16134" width="10.42578125" style="719" customWidth="1"/>
    <col min="16135" max="16135" width="10.28515625" style="719" customWidth="1"/>
    <col min="16136" max="16136" width="10.85546875" style="719" customWidth="1"/>
    <col min="16137" max="16137" width="6.28515625" style="719" customWidth="1"/>
    <col min="16138" max="16138" width="5.7109375" style="719" customWidth="1"/>
    <col min="16139" max="16139" width="13.7109375" style="719" customWidth="1"/>
    <col min="16140" max="16140" width="11" style="719" customWidth="1"/>
    <col min="16141" max="16141" width="11.7109375" style="719" customWidth="1"/>
    <col min="16142" max="16142" width="11.5703125" style="719" customWidth="1"/>
    <col min="16143" max="16143" width="14.5703125" style="719" customWidth="1"/>
    <col min="16144" max="16144" width="17.5703125" style="719" customWidth="1"/>
    <col min="16145" max="16384" width="9" style="719"/>
  </cols>
  <sheetData>
    <row r="1" spans="1:14">
      <c r="A1" s="821" t="s">
        <v>3706</v>
      </c>
      <c r="B1" s="715"/>
      <c r="C1" s="821"/>
      <c r="D1" s="821"/>
      <c r="E1" s="716"/>
      <c r="F1" s="716"/>
      <c r="G1" s="716"/>
      <c r="H1" s="717"/>
      <c r="I1" s="718"/>
      <c r="J1" s="718"/>
      <c r="K1" s="716"/>
      <c r="L1" s="716"/>
      <c r="M1" s="716"/>
      <c r="N1" s="716"/>
    </row>
    <row r="2" spans="1:14">
      <c r="A2" s="1502" t="s">
        <v>96</v>
      </c>
      <c r="B2" s="1502"/>
      <c r="C2" s="1502"/>
      <c r="D2" s="1502"/>
      <c r="E2" s="1502"/>
      <c r="F2" s="1502"/>
      <c r="G2" s="1502"/>
      <c r="H2" s="1502"/>
      <c r="I2" s="1502"/>
      <c r="J2" s="1502"/>
      <c r="K2" s="1502"/>
      <c r="L2" s="1502"/>
      <c r="M2" s="1502"/>
      <c r="N2" s="1502"/>
    </row>
    <row r="3" spans="1:14">
      <c r="A3" s="1502" t="s">
        <v>3903</v>
      </c>
      <c r="B3" s="1502"/>
      <c r="C3" s="1502"/>
      <c r="D3" s="1502"/>
      <c r="E3" s="1502"/>
      <c r="F3" s="1502"/>
      <c r="G3" s="1502"/>
      <c r="H3" s="1502"/>
      <c r="I3" s="1502"/>
      <c r="J3" s="1502"/>
      <c r="K3" s="1502"/>
      <c r="L3" s="1502"/>
      <c r="M3" s="1502"/>
      <c r="N3" s="1502"/>
    </row>
    <row r="4" spans="1:14">
      <c r="A4" s="720"/>
      <c r="B4" s="721"/>
      <c r="C4" s="720"/>
      <c r="D4" s="720"/>
      <c r="E4" s="722"/>
      <c r="F4" s="722"/>
      <c r="G4" s="722"/>
      <c r="H4" s="723"/>
      <c r="I4" s="724"/>
      <c r="J4" s="724"/>
      <c r="K4" s="722"/>
      <c r="L4" s="722"/>
      <c r="M4" s="722"/>
      <c r="N4" s="722"/>
    </row>
    <row r="5" spans="1:14" ht="27.75" customHeight="1">
      <c r="A5" s="1503" t="s">
        <v>99</v>
      </c>
      <c r="B5" s="1504" t="s">
        <v>100</v>
      </c>
      <c r="C5" s="1503" t="s">
        <v>101</v>
      </c>
      <c r="D5" s="1503" t="s">
        <v>102</v>
      </c>
      <c r="E5" s="1506" t="s">
        <v>97</v>
      </c>
      <c r="F5" s="1507"/>
      <c r="G5" s="1507"/>
      <c r="H5" s="1508"/>
      <c r="I5" s="1509" t="s">
        <v>3505</v>
      </c>
      <c r="J5" s="1510"/>
      <c r="K5" s="1506" t="s">
        <v>98</v>
      </c>
      <c r="L5" s="1507"/>
      <c r="M5" s="1507"/>
      <c r="N5" s="1508"/>
    </row>
    <row r="6" spans="1:14" ht="20.25" customHeight="1">
      <c r="A6" s="1503"/>
      <c r="B6" s="1505"/>
      <c r="C6" s="1503"/>
      <c r="D6" s="1503"/>
      <c r="E6" s="593" t="s">
        <v>103</v>
      </c>
      <c r="F6" s="593" t="s">
        <v>3506</v>
      </c>
      <c r="G6" s="593" t="s">
        <v>12</v>
      </c>
      <c r="H6" s="593" t="s">
        <v>93</v>
      </c>
      <c r="I6" s="594" t="s">
        <v>104</v>
      </c>
      <c r="J6" s="594" t="s">
        <v>105</v>
      </c>
      <c r="K6" s="593" t="s">
        <v>103</v>
      </c>
      <c r="L6" s="593" t="s">
        <v>3506</v>
      </c>
      <c r="M6" s="593" t="s">
        <v>12</v>
      </c>
      <c r="N6" s="593" t="s">
        <v>93</v>
      </c>
    </row>
    <row r="7" spans="1:14" ht="12.75" customHeight="1">
      <c r="A7" s="595"/>
      <c r="B7" s="596"/>
      <c r="C7" s="595"/>
      <c r="D7" s="595"/>
      <c r="E7" s="597" t="s">
        <v>106</v>
      </c>
      <c r="F7" s="597"/>
      <c r="G7" s="597"/>
      <c r="H7" s="597"/>
      <c r="I7" s="598"/>
      <c r="J7" s="598"/>
      <c r="K7" s="597" t="s">
        <v>106</v>
      </c>
      <c r="L7" s="597"/>
      <c r="M7" s="597"/>
      <c r="N7" s="597"/>
    </row>
    <row r="8" spans="1:14" ht="12.75" customHeight="1">
      <c r="A8" s="595">
        <v>1</v>
      </c>
      <c r="B8" s="595">
        <v>2</v>
      </c>
      <c r="C8" s="595">
        <v>3</v>
      </c>
      <c r="D8" s="595">
        <v>4</v>
      </c>
      <c r="E8" s="597">
        <v>5</v>
      </c>
      <c r="F8" s="597"/>
      <c r="G8" s="597">
        <v>7</v>
      </c>
      <c r="H8" s="597">
        <v>8</v>
      </c>
      <c r="I8" s="599">
        <v>9</v>
      </c>
      <c r="J8" s="599">
        <v>10</v>
      </c>
      <c r="K8" s="597" t="s">
        <v>107</v>
      </c>
      <c r="L8" s="597"/>
      <c r="M8" s="597" t="s">
        <v>3531</v>
      </c>
      <c r="N8" s="597" t="s">
        <v>3532</v>
      </c>
    </row>
    <row r="9" spans="1:14" ht="12.75" customHeight="1">
      <c r="A9" s="595" t="s">
        <v>4</v>
      </c>
      <c r="B9" s="596" t="s">
        <v>3507</v>
      </c>
      <c r="C9" s="595"/>
      <c r="D9" s="595"/>
      <c r="E9" s="597"/>
      <c r="F9" s="597"/>
      <c r="G9" s="597"/>
      <c r="H9" s="600"/>
      <c r="I9" s="598"/>
      <c r="J9" s="598"/>
      <c r="K9" s="597"/>
      <c r="L9" s="597"/>
      <c r="M9" s="597"/>
      <c r="N9" s="597"/>
    </row>
    <row r="10" spans="1:14" s="725" customFormat="1" ht="12.75">
      <c r="A10" s="662">
        <v>1</v>
      </c>
      <c r="B10" s="663" t="s">
        <v>12942</v>
      </c>
      <c r="C10" s="662" t="s">
        <v>49</v>
      </c>
      <c r="D10" s="662">
        <v>1</v>
      </c>
      <c r="E10" s="664"/>
      <c r="F10" s="662"/>
      <c r="G10" s="664"/>
      <c r="H10" s="662"/>
      <c r="I10" s="662"/>
      <c r="J10" s="664"/>
      <c r="K10" s="664">
        <f>SUM(K12:K22)</f>
        <v>176198.78545454546</v>
      </c>
      <c r="L10" s="664">
        <f>SUM(L12:L22)</f>
        <v>0</v>
      </c>
      <c r="M10" s="664">
        <f>SUM(M12:M22)</f>
        <v>249878.55327600002</v>
      </c>
      <c r="N10" s="664">
        <f>SUM(N12:N22)</f>
        <v>0</v>
      </c>
    </row>
    <row r="11" spans="1:14" s="725" customFormat="1" ht="12.75">
      <c r="A11" s="662"/>
      <c r="B11" s="663" t="s">
        <v>108</v>
      </c>
      <c r="C11" s="662"/>
      <c r="D11" s="662"/>
      <c r="E11" s="664"/>
      <c r="F11" s="662"/>
      <c r="G11" s="664"/>
      <c r="H11" s="662"/>
      <c r="I11" s="662"/>
      <c r="J11" s="664"/>
      <c r="K11" s="664"/>
      <c r="L11" s="664"/>
      <c r="M11" s="664"/>
      <c r="N11" s="664"/>
    </row>
    <row r="12" spans="1:14" s="725" customFormat="1" ht="12.75">
      <c r="A12" s="665"/>
      <c r="B12" s="666" t="s">
        <v>3714</v>
      </c>
      <c r="C12" s="667" t="s">
        <v>59</v>
      </c>
      <c r="D12" s="668">
        <v>1</v>
      </c>
      <c r="E12" s="669">
        <v>88500</v>
      </c>
      <c r="F12" s="670"/>
      <c r="G12" s="670"/>
      <c r="H12" s="670"/>
      <c r="I12" s="671"/>
      <c r="J12" s="671"/>
      <c r="K12" s="670">
        <f>E12*D12</f>
        <v>88500</v>
      </c>
      <c r="L12" s="670"/>
      <c r="M12" s="670"/>
      <c r="N12" s="670"/>
    </row>
    <row r="13" spans="1:14" s="725" customFormat="1" ht="12.75">
      <c r="A13" s="665"/>
      <c r="B13" s="666" t="s">
        <v>3508</v>
      </c>
      <c r="C13" s="667" t="s">
        <v>3509</v>
      </c>
      <c r="D13" s="668">
        <v>12</v>
      </c>
      <c r="E13" s="669">
        <v>1104.5454545454545</v>
      </c>
      <c r="F13" s="670"/>
      <c r="G13" s="670"/>
      <c r="H13" s="670"/>
      <c r="I13" s="671"/>
      <c r="J13" s="671"/>
      <c r="K13" s="670">
        <f>E13*D13</f>
        <v>13254.545454545454</v>
      </c>
      <c r="L13" s="670"/>
      <c r="M13" s="670"/>
      <c r="N13" s="670"/>
    </row>
    <row r="14" spans="1:14" s="725" customFormat="1" ht="12.75">
      <c r="A14" s="665"/>
      <c r="B14" s="666" t="s">
        <v>3510</v>
      </c>
      <c r="C14" s="667" t="s">
        <v>59</v>
      </c>
      <c r="D14" s="668">
        <v>1</v>
      </c>
      <c r="E14" s="669">
        <v>6500</v>
      </c>
      <c r="F14" s="670"/>
      <c r="G14" s="670"/>
      <c r="H14" s="670"/>
      <c r="I14" s="671"/>
      <c r="J14" s="671"/>
      <c r="K14" s="670">
        <f>E14*D14</f>
        <v>6500</v>
      </c>
      <c r="L14" s="670"/>
      <c r="M14" s="670"/>
      <c r="N14" s="670"/>
    </row>
    <row r="15" spans="1:14" s="725" customFormat="1" ht="12.75">
      <c r="A15" s="665"/>
      <c r="B15" s="666" t="s">
        <v>3305</v>
      </c>
      <c r="C15" s="667" t="s">
        <v>47</v>
      </c>
      <c r="D15" s="672">
        <v>0.27300000000000002</v>
      </c>
      <c r="E15" s="669">
        <v>248880</v>
      </c>
      <c r="F15" s="670"/>
      <c r="G15" s="670"/>
      <c r="H15" s="670"/>
      <c r="I15" s="671"/>
      <c r="J15" s="671"/>
      <c r="K15" s="670">
        <f>E15*D15</f>
        <v>67944.240000000005</v>
      </c>
      <c r="L15" s="670"/>
      <c r="M15" s="670"/>
      <c r="N15" s="670"/>
    </row>
    <row r="16" spans="1:14" s="725" customFormat="1" ht="12.75">
      <c r="A16" s="662"/>
      <c r="B16" s="663" t="s">
        <v>112</v>
      </c>
      <c r="C16" s="662"/>
      <c r="D16" s="662"/>
      <c r="E16" s="664"/>
      <c r="F16" s="662"/>
      <c r="G16" s="664"/>
      <c r="H16" s="662"/>
      <c r="I16" s="662"/>
      <c r="J16" s="664"/>
      <c r="K16" s="664"/>
      <c r="L16" s="664"/>
      <c r="M16" s="664"/>
      <c r="N16" s="664"/>
    </row>
    <row r="17" spans="1:256" s="726" customFormat="1" ht="12.75">
      <c r="A17" s="673" t="s">
        <v>1545</v>
      </c>
      <c r="B17" s="674" t="s">
        <v>3715</v>
      </c>
      <c r="C17" s="670" t="s">
        <v>43</v>
      </c>
      <c r="D17" s="671">
        <f>D12/100</f>
        <v>0.01</v>
      </c>
      <c r="E17" s="670"/>
      <c r="F17" s="669">
        <v>0</v>
      </c>
      <c r="G17" s="1442">
        <f>Sheet5!L5282</f>
        <v>5852387.1900000004</v>
      </c>
      <c r="H17" s="1442">
        <v>0</v>
      </c>
      <c r="I17" s="1459">
        <v>1</v>
      </c>
      <c r="J17" s="1459">
        <v>1</v>
      </c>
      <c r="K17" s="670"/>
      <c r="L17" s="670">
        <f>D17*F17</f>
        <v>0</v>
      </c>
      <c r="M17" s="670">
        <f>G17*D17*I17</f>
        <v>58523.871900000006</v>
      </c>
      <c r="N17" s="670">
        <f>D17*H17*J17</f>
        <v>0</v>
      </c>
    </row>
    <row r="18" spans="1:256" s="726" customFormat="1" ht="12.75">
      <c r="A18" s="673" t="s">
        <v>3716</v>
      </c>
      <c r="B18" s="674" t="s">
        <v>3717</v>
      </c>
      <c r="C18" s="670" t="s">
        <v>116</v>
      </c>
      <c r="D18" s="671">
        <v>0.55000000000000004</v>
      </c>
      <c r="E18" s="670"/>
      <c r="F18" s="669">
        <v>0</v>
      </c>
      <c r="G18" s="669">
        <v>257567</v>
      </c>
      <c r="H18" s="669">
        <v>0</v>
      </c>
      <c r="I18" s="675">
        <v>0.88700000000000001</v>
      </c>
      <c r="J18" s="1440">
        <v>0.98399999999999999</v>
      </c>
      <c r="K18" s="670"/>
      <c r="L18" s="670">
        <f t="shared" ref="L18:L20" si="0">D18*F18</f>
        <v>0</v>
      </c>
      <c r="M18" s="670">
        <f t="shared" ref="M18:M20" si="1">G18*D18*I18</f>
        <v>125654.06095000001</v>
      </c>
      <c r="N18" s="670">
        <f t="shared" ref="N18:N20" si="2">D18*H18*J18</f>
        <v>0</v>
      </c>
    </row>
    <row r="19" spans="1:256" s="726" customFormat="1" ht="12.75">
      <c r="A19" s="673" t="s">
        <v>114</v>
      </c>
      <c r="B19" s="674" t="s">
        <v>3718</v>
      </c>
      <c r="C19" s="670" t="s">
        <v>116</v>
      </c>
      <c r="D19" s="676">
        <v>0.27700000000000002</v>
      </c>
      <c r="E19" s="670"/>
      <c r="F19" s="669">
        <v>0</v>
      </c>
      <c r="G19" s="669">
        <v>132328</v>
      </c>
      <c r="H19" s="669">
        <v>0</v>
      </c>
      <c r="I19" s="675">
        <v>0.88700000000000001</v>
      </c>
      <c r="J19" s="1440">
        <v>0.98399999999999999</v>
      </c>
      <c r="K19" s="670"/>
      <c r="L19" s="670">
        <f t="shared" si="0"/>
        <v>0</v>
      </c>
      <c r="M19" s="670">
        <f t="shared" si="1"/>
        <v>32512.857272000001</v>
      </c>
      <c r="N19" s="670">
        <f t="shared" si="2"/>
        <v>0</v>
      </c>
    </row>
    <row r="20" spans="1:256" s="726" customFormat="1" ht="12.75">
      <c r="A20" s="673" t="s">
        <v>3719</v>
      </c>
      <c r="B20" s="674" t="s">
        <v>3720</v>
      </c>
      <c r="C20" s="670" t="s">
        <v>116</v>
      </c>
      <c r="D20" s="676">
        <f>D15</f>
        <v>0.27300000000000002</v>
      </c>
      <c r="E20" s="670"/>
      <c r="F20" s="669">
        <v>0</v>
      </c>
      <c r="G20" s="1442">
        <v>137054</v>
      </c>
      <c r="H20" s="669">
        <v>0</v>
      </c>
      <c r="I20" s="675">
        <v>0.88700000000000001</v>
      </c>
      <c r="J20" s="1440">
        <v>0.98399999999999999</v>
      </c>
      <c r="K20" s="670"/>
      <c r="L20" s="670">
        <f t="shared" si="0"/>
        <v>0</v>
      </c>
      <c r="M20" s="670">
        <f t="shared" si="1"/>
        <v>33187.763154000007</v>
      </c>
      <c r="N20" s="670">
        <f t="shared" si="2"/>
        <v>0</v>
      </c>
    </row>
    <row r="21" spans="1:256" s="726" customFormat="1" ht="18.600000000000001" hidden="1" customHeight="1">
      <c r="A21" s="673" t="s">
        <v>238</v>
      </c>
      <c r="B21" s="669" t="s">
        <v>3395</v>
      </c>
      <c r="C21" s="670" t="s">
        <v>136</v>
      </c>
      <c r="D21" s="676"/>
      <c r="E21" s="670"/>
      <c r="F21" s="669">
        <v>0</v>
      </c>
      <c r="G21" s="1429">
        <v>1416647</v>
      </c>
      <c r="H21" s="1430">
        <v>0</v>
      </c>
      <c r="I21" s="1431">
        <v>0.85099999999999998</v>
      </c>
      <c r="J21" s="1431">
        <v>0.92500000000000004</v>
      </c>
      <c r="K21" s="670"/>
      <c r="L21" s="670">
        <f>D21*F21</f>
        <v>0</v>
      </c>
      <c r="M21" s="670">
        <f>G21*D21*I21</f>
        <v>0</v>
      </c>
      <c r="N21" s="670">
        <f>D21*H21*J21</f>
        <v>0</v>
      </c>
    </row>
    <row r="22" spans="1:256" s="726" customFormat="1" ht="14.45" hidden="1" customHeight="1">
      <c r="A22" s="673" t="s">
        <v>240</v>
      </c>
      <c r="B22" s="669" t="s">
        <v>3378</v>
      </c>
      <c r="C22" s="670" t="s">
        <v>136</v>
      </c>
      <c r="D22" s="676"/>
      <c r="E22" s="670"/>
      <c r="F22" s="669">
        <v>0</v>
      </c>
      <c r="G22" s="1429">
        <v>88278</v>
      </c>
      <c r="H22" s="1430">
        <v>0</v>
      </c>
      <c r="I22" s="1431">
        <v>0.85099999999999998</v>
      </c>
      <c r="J22" s="1431">
        <v>0.92500000000000004</v>
      </c>
      <c r="K22" s="670"/>
      <c r="L22" s="670">
        <f>D22*F22</f>
        <v>0</v>
      </c>
      <c r="M22" s="670">
        <f>G22*D22*I22</f>
        <v>0</v>
      </c>
      <c r="N22" s="670">
        <f>D22*H22*J22</f>
        <v>0</v>
      </c>
    </row>
    <row r="23" spans="1:256" s="725" customFormat="1">
      <c r="A23" s="677">
        <v>3</v>
      </c>
      <c r="B23" s="728" t="s">
        <v>3621</v>
      </c>
      <c r="C23" s="677" t="s">
        <v>3727</v>
      </c>
      <c r="D23" s="677">
        <v>1</v>
      </c>
      <c r="E23" s="729"/>
      <c r="F23" s="729"/>
      <c r="G23" s="729"/>
      <c r="H23" s="729"/>
      <c r="I23" s="730"/>
      <c r="J23" s="731"/>
      <c r="K23" s="732">
        <f>SUM(K25:K27)</f>
        <v>550000</v>
      </c>
      <c r="L23" s="732">
        <f>SUM(L25:L27)</f>
        <v>0</v>
      </c>
      <c r="M23" s="732">
        <f>SUM(M25:M27)</f>
        <v>9662.5788500000017</v>
      </c>
      <c r="N23" s="732">
        <f>SUM(N25:N27)</f>
        <v>1332.7542000000001</v>
      </c>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3"/>
      <c r="BZ23" s="733"/>
      <c r="CA23" s="733"/>
      <c r="CB23" s="733"/>
      <c r="CC23" s="733"/>
      <c r="CD23" s="733"/>
      <c r="CE23" s="733"/>
      <c r="CF23" s="733"/>
      <c r="CG23" s="733"/>
      <c r="CH23" s="733"/>
      <c r="CI23" s="733"/>
      <c r="CJ23" s="733"/>
      <c r="CK23" s="733"/>
      <c r="CL23" s="733"/>
      <c r="CM23" s="733"/>
      <c r="CN23" s="733"/>
      <c r="CO23" s="733"/>
      <c r="CP23" s="733"/>
      <c r="CQ23" s="733"/>
      <c r="CR23" s="733"/>
      <c r="CS23" s="733"/>
      <c r="CT23" s="733"/>
      <c r="CU23" s="733"/>
      <c r="CV23" s="733"/>
      <c r="CW23" s="733"/>
      <c r="CX23" s="733"/>
      <c r="CY23" s="733"/>
      <c r="CZ23" s="733"/>
      <c r="DA23" s="733"/>
      <c r="DB23" s="733"/>
      <c r="DC23" s="733"/>
      <c r="DD23" s="733"/>
      <c r="DE23" s="733"/>
      <c r="DF23" s="733"/>
      <c r="DG23" s="733"/>
      <c r="DH23" s="733"/>
      <c r="DI23" s="733"/>
      <c r="DJ23" s="733"/>
      <c r="DK23" s="733"/>
      <c r="DL23" s="733"/>
      <c r="DM23" s="733"/>
      <c r="DN23" s="733"/>
      <c r="DO23" s="733"/>
      <c r="DP23" s="733"/>
      <c r="DQ23" s="733"/>
      <c r="DR23" s="733"/>
      <c r="DS23" s="733"/>
      <c r="DT23" s="733"/>
      <c r="DU23" s="733"/>
      <c r="DV23" s="733"/>
      <c r="DW23" s="733"/>
      <c r="DX23" s="733"/>
      <c r="DY23" s="733"/>
      <c r="DZ23" s="733"/>
      <c r="EA23" s="733"/>
      <c r="EB23" s="733"/>
      <c r="EC23" s="733"/>
      <c r="ED23" s="733"/>
      <c r="EE23" s="733"/>
      <c r="EF23" s="733"/>
      <c r="EG23" s="733"/>
      <c r="EH23" s="733"/>
      <c r="EI23" s="733"/>
      <c r="EJ23" s="733"/>
      <c r="EK23" s="733"/>
      <c r="EL23" s="733"/>
      <c r="EM23" s="733"/>
      <c r="EN23" s="733"/>
      <c r="EO23" s="733"/>
      <c r="EP23" s="733"/>
      <c r="EQ23" s="733"/>
      <c r="ER23" s="733"/>
      <c r="ES23" s="733"/>
      <c r="ET23" s="733"/>
      <c r="EU23" s="733"/>
      <c r="EV23" s="733"/>
      <c r="EW23" s="733"/>
      <c r="EX23" s="733"/>
      <c r="EY23" s="733"/>
      <c r="EZ23" s="733"/>
      <c r="FA23" s="733"/>
      <c r="FB23" s="733"/>
      <c r="FC23" s="733"/>
      <c r="FD23" s="733"/>
      <c r="FE23" s="733"/>
      <c r="FF23" s="733"/>
      <c r="FG23" s="733"/>
      <c r="FH23" s="733"/>
      <c r="FI23" s="733"/>
      <c r="FJ23" s="733"/>
      <c r="FK23" s="733"/>
      <c r="FL23" s="733"/>
      <c r="FM23" s="733"/>
      <c r="FN23" s="733"/>
      <c r="FO23" s="733"/>
      <c r="FP23" s="733"/>
      <c r="FQ23" s="733"/>
      <c r="FR23" s="733"/>
      <c r="FS23" s="733"/>
      <c r="FT23" s="733"/>
      <c r="FU23" s="733"/>
      <c r="FV23" s="733"/>
      <c r="FW23" s="733"/>
      <c r="FX23" s="733"/>
      <c r="FY23" s="733"/>
      <c r="FZ23" s="733"/>
      <c r="GA23" s="733"/>
      <c r="GB23" s="733"/>
      <c r="GC23" s="733"/>
      <c r="GD23" s="733"/>
      <c r="GE23" s="733"/>
      <c r="GF23" s="733"/>
      <c r="GG23" s="733"/>
      <c r="GH23" s="733"/>
      <c r="GI23" s="733"/>
      <c r="GJ23" s="733"/>
      <c r="GK23" s="733"/>
      <c r="GL23" s="733"/>
      <c r="GM23" s="733"/>
      <c r="GN23" s="733"/>
      <c r="GO23" s="733"/>
      <c r="GP23" s="733"/>
      <c r="GQ23" s="733"/>
      <c r="GR23" s="733"/>
      <c r="GS23" s="733"/>
      <c r="GT23" s="733"/>
      <c r="GU23" s="733"/>
      <c r="GV23" s="733"/>
      <c r="GW23" s="733"/>
      <c r="GX23" s="733"/>
      <c r="GY23" s="733"/>
      <c r="GZ23" s="733"/>
      <c r="HA23" s="733"/>
      <c r="HB23" s="733"/>
      <c r="HC23" s="733"/>
      <c r="HD23" s="733"/>
      <c r="HE23" s="733"/>
      <c r="HF23" s="733"/>
      <c r="HG23" s="733"/>
      <c r="HH23" s="733"/>
      <c r="HI23" s="733"/>
      <c r="HJ23" s="733"/>
      <c r="HK23" s="733"/>
      <c r="HL23" s="733"/>
      <c r="HM23" s="733"/>
      <c r="HN23" s="733"/>
      <c r="HO23" s="733"/>
      <c r="HP23" s="733"/>
      <c r="HQ23" s="733"/>
      <c r="HR23" s="733"/>
      <c r="HS23" s="733"/>
      <c r="HT23" s="733"/>
      <c r="HU23" s="733"/>
      <c r="HV23" s="733"/>
      <c r="HW23" s="733"/>
      <c r="HX23" s="733"/>
      <c r="HY23" s="733"/>
      <c r="HZ23" s="733"/>
      <c r="IA23" s="733"/>
      <c r="IB23" s="733"/>
      <c r="IC23" s="733"/>
      <c r="ID23" s="733"/>
      <c r="IE23" s="733"/>
      <c r="IF23" s="733"/>
      <c r="IG23" s="733"/>
      <c r="IH23" s="733"/>
      <c r="II23" s="733"/>
      <c r="IJ23" s="733"/>
      <c r="IK23" s="733"/>
      <c r="IL23" s="733"/>
      <c r="IM23" s="733"/>
      <c r="IN23" s="733"/>
      <c r="IO23" s="733"/>
      <c r="IP23" s="733"/>
      <c r="IQ23" s="733"/>
      <c r="IR23" s="733"/>
      <c r="IS23" s="733"/>
      <c r="IT23" s="733"/>
      <c r="IU23" s="733"/>
      <c r="IV23" s="733"/>
    </row>
    <row r="24" spans="1:256" s="725" customFormat="1">
      <c r="A24" s="678"/>
      <c r="B24" s="734" t="s">
        <v>108</v>
      </c>
      <c r="C24" s="735"/>
      <c r="D24" s="735"/>
      <c r="E24" s="729"/>
      <c r="F24" s="729"/>
      <c r="G24" s="729"/>
      <c r="H24" s="729"/>
      <c r="I24" s="736"/>
      <c r="J24" s="736"/>
      <c r="K24" s="729"/>
      <c r="L24" s="729"/>
      <c r="M24" s="729"/>
      <c r="N24" s="737"/>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733"/>
      <c r="BA24" s="733"/>
      <c r="BB24" s="733"/>
      <c r="BC24" s="733"/>
      <c r="BD24" s="733"/>
      <c r="BE24" s="733"/>
      <c r="BF24" s="733"/>
      <c r="BG24" s="733"/>
      <c r="BH24" s="733"/>
      <c r="BI24" s="733"/>
      <c r="BJ24" s="733"/>
      <c r="BK24" s="733"/>
      <c r="BL24" s="733"/>
      <c r="BM24" s="733"/>
      <c r="BN24" s="733"/>
      <c r="BO24" s="733"/>
      <c r="BP24" s="733"/>
      <c r="BQ24" s="733"/>
      <c r="BR24" s="733"/>
      <c r="BS24" s="733"/>
      <c r="BT24" s="733"/>
      <c r="BU24" s="733"/>
      <c r="BV24" s="733"/>
      <c r="BW24" s="733"/>
      <c r="BX24" s="733"/>
      <c r="BY24" s="733"/>
      <c r="BZ24" s="733"/>
      <c r="CA24" s="733"/>
      <c r="CB24" s="733"/>
      <c r="CC24" s="733"/>
      <c r="CD24" s="733"/>
      <c r="CE24" s="733"/>
      <c r="CF24" s="733"/>
      <c r="CG24" s="733"/>
      <c r="CH24" s="733"/>
      <c r="CI24" s="733"/>
      <c r="CJ24" s="733"/>
      <c r="CK24" s="733"/>
      <c r="CL24" s="733"/>
      <c r="CM24" s="733"/>
      <c r="CN24" s="733"/>
      <c r="CO24" s="733"/>
      <c r="CP24" s="733"/>
      <c r="CQ24" s="733"/>
      <c r="CR24" s="733"/>
      <c r="CS24" s="733"/>
      <c r="CT24" s="733"/>
      <c r="CU24" s="733"/>
      <c r="CV24" s="733"/>
      <c r="CW24" s="733"/>
      <c r="CX24" s="733"/>
      <c r="CY24" s="733"/>
      <c r="CZ24" s="733"/>
      <c r="DA24" s="733"/>
      <c r="DB24" s="733"/>
      <c r="DC24" s="733"/>
      <c r="DD24" s="733"/>
      <c r="DE24" s="733"/>
      <c r="DF24" s="733"/>
      <c r="DG24" s="733"/>
      <c r="DH24" s="733"/>
      <c r="DI24" s="733"/>
      <c r="DJ24" s="733"/>
      <c r="DK24" s="733"/>
      <c r="DL24" s="733"/>
      <c r="DM24" s="733"/>
      <c r="DN24" s="733"/>
      <c r="DO24" s="733"/>
      <c r="DP24" s="733"/>
      <c r="DQ24" s="733"/>
      <c r="DR24" s="733"/>
      <c r="DS24" s="733"/>
      <c r="DT24" s="733"/>
      <c r="DU24" s="733"/>
      <c r="DV24" s="733"/>
      <c r="DW24" s="733"/>
      <c r="DX24" s="733"/>
      <c r="DY24" s="733"/>
      <c r="DZ24" s="733"/>
      <c r="EA24" s="733"/>
      <c r="EB24" s="733"/>
      <c r="EC24" s="733"/>
      <c r="ED24" s="733"/>
      <c r="EE24" s="733"/>
      <c r="EF24" s="733"/>
      <c r="EG24" s="733"/>
      <c r="EH24" s="733"/>
      <c r="EI24" s="733"/>
      <c r="EJ24" s="733"/>
      <c r="EK24" s="733"/>
      <c r="EL24" s="733"/>
      <c r="EM24" s="733"/>
      <c r="EN24" s="733"/>
      <c r="EO24" s="733"/>
      <c r="EP24" s="733"/>
      <c r="EQ24" s="733"/>
      <c r="ER24" s="733"/>
      <c r="ES24" s="733"/>
      <c r="ET24" s="733"/>
      <c r="EU24" s="733"/>
      <c r="EV24" s="733"/>
      <c r="EW24" s="733"/>
      <c r="EX24" s="733"/>
      <c r="EY24" s="733"/>
      <c r="EZ24" s="733"/>
      <c r="FA24" s="733"/>
      <c r="FB24" s="733"/>
      <c r="FC24" s="733"/>
      <c r="FD24" s="733"/>
      <c r="FE24" s="733"/>
      <c r="FF24" s="733"/>
      <c r="FG24" s="733"/>
      <c r="FH24" s="733"/>
      <c r="FI24" s="733"/>
      <c r="FJ24" s="733"/>
      <c r="FK24" s="733"/>
      <c r="FL24" s="733"/>
      <c r="FM24" s="733"/>
      <c r="FN24" s="733"/>
      <c r="FO24" s="733"/>
      <c r="FP24" s="733"/>
      <c r="FQ24" s="733"/>
      <c r="FR24" s="733"/>
      <c r="FS24" s="733"/>
      <c r="FT24" s="733"/>
      <c r="FU24" s="733"/>
      <c r="FV24" s="733"/>
      <c r="FW24" s="733"/>
      <c r="FX24" s="733"/>
      <c r="FY24" s="733"/>
      <c r="FZ24" s="733"/>
      <c r="GA24" s="733"/>
      <c r="GB24" s="733"/>
      <c r="GC24" s="733"/>
      <c r="GD24" s="733"/>
      <c r="GE24" s="733"/>
      <c r="GF24" s="733"/>
      <c r="GG24" s="733"/>
      <c r="GH24" s="733"/>
      <c r="GI24" s="733"/>
      <c r="GJ24" s="733"/>
      <c r="GK24" s="733"/>
      <c r="GL24" s="733"/>
      <c r="GM24" s="733"/>
      <c r="GN24" s="733"/>
      <c r="GO24" s="733"/>
      <c r="GP24" s="733"/>
      <c r="GQ24" s="733"/>
      <c r="GR24" s="733"/>
      <c r="GS24" s="733"/>
      <c r="GT24" s="733"/>
      <c r="GU24" s="733"/>
      <c r="GV24" s="733"/>
      <c r="GW24" s="733"/>
      <c r="GX24" s="733"/>
      <c r="GY24" s="733"/>
      <c r="GZ24" s="733"/>
      <c r="HA24" s="733"/>
      <c r="HB24" s="733"/>
      <c r="HC24" s="733"/>
      <c r="HD24" s="733"/>
      <c r="HE24" s="733"/>
      <c r="HF24" s="733"/>
      <c r="HG24" s="733"/>
      <c r="HH24" s="733"/>
      <c r="HI24" s="733"/>
      <c r="HJ24" s="733"/>
      <c r="HK24" s="733"/>
      <c r="HL24" s="733"/>
      <c r="HM24" s="733"/>
      <c r="HN24" s="733"/>
      <c r="HO24" s="733"/>
      <c r="HP24" s="733"/>
      <c r="HQ24" s="733"/>
      <c r="HR24" s="733"/>
      <c r="HS24" s="733"/>
      <c r="HT24" s="733"/>
      <c r="HU24" s="733"/>
      <c r="HV24" s="733"/>
      <c r="HW24" s="733"/>
      <c r="HX24" s="733"/>
      <c r="HY24" s="733"/>
      <c r="HZ24" s="733"/>
      <c r="IA24" s="733"/>
      <c r="IB24" s="733"/>
      <c r="IC24" s="733"/>
      <c r="ID24" s="733"/>
      <c r="IE24" s="733"/>
      <c r="IF24" s="733"/>
      <c r="IG24" s="733"/>
      <c r="IH24" s="733"/>
      <c r="II24" s="733"/>
      <c r="IJ24" s="733"/>
      <c r="IK24" s="733"/>
      <c r="IL24" s="733"/>
      <c r="IM24" s="733"/>
      <c r="IN24" s="733"/>
      <c r="IO24" s="733"/>
      <c r="IP24" s="733"/>
      <c r="IQ24" s="733"/>
      <c r="IR24" s="733"/>
      <c r="IS24" s="733"/>
      <c r="IT24" s="733"/>
      <c r="IU24" s="733"/>
      <c r="IV24" s="733"/>
    </row>
    <row r="25" spans="1:256" s="725" customFormat="1">
      <c r="A25" s="678"/>
      <c r="B25" s="738" t="s">
        <v>3621</v>
      </c>
      <c r="C25" s="729" t="s">
        <v>51</v>
      </c>
      <c r="D25" s="735">
        <v>1</v>
      </c>
      <c r="E25" s="729">
        <v>550000</v>
      </c>
      <c r="F25" s="729"/>
      <c r="G25" s="729"/>
      <c r="H25" s="729"/>
      <c r="I25" s="736"/>
      <c r="J25" s="736"/>
      <c r="K25" s="729">
        <f>D25*E25</f>
        <v>550000</v>
      </c>
      <c r="L25" s="729"/>
      <c r="M25" s="729"/>
      <c r="N25" s="737"/>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33"/>
      <c r="BQ25" s="733"/>
      <c r="BR25" s="733"/>
      <c r="BS25" s="733"/>
      <c r="BT25" s="733"/>
      <c r="BU25" s="733"/>
      <c r="BV25" s="733"/>
      <c r="BW25" s="733"/>
      <c r="BX25" s="733"/>
      <c r="BY25" s="733"/>
      <c r="BZ25" s="733"/>
      <c r="CA25" s="733"/>
      <c r="CB25" s="733"/>
      <c r="CC25" s="733"/>
      <c r="CD25" s="733"/>
      <c r="CE25" s="733"/>
      <c r="CF25" s="733"/>
      <c r="CG25" s="733"/>
      <c r="CH25" s="733"/>
      <c r="CI25" s="733"/>
      <c r="CJ25" s="733"/>
      <c r="CK25" s="733"/>
      <c r="CL25" s="733"/>
      <c r="CM25" s="733"/>
      <c r="CN25" s="733"/>
      <c r="CO25" s="733"/>
      <c r="CP25" s="733"/>
      <c r="CQ25" s="733"/>
      <c r="CR25" s="733"/>
      <c r="CS25" s="733"/>
      <c r="CT25" s="733"/>
      <c r="CU25" s="733"/>
      <c r="CV25" s="733"/>
      <c r="CW25" s="733"/>
      <c r="CX25" s="733"/>
      <c r="CY25" s="733"/>
      <c r="CZ25" s="733"/>
      <c r="DA25" s="733"/>
      <c r="DB25" s="733"/>
      <c r="DC25" s="733"/>
      <c r="DD25" s="733"/>
      <c r="DE25" s="733"/>
      <c r="DF25" s="733"/>
      <c r="DG25" s="733"/>
      <c r="DH25" s="733"/>
      <c r="DI25" s="733"/>
      <c r="DJ25" s="733"/>
      <c r="DK25" s="733"/>
      <c r="DL25" s="733"/>
      <c r="DM25" s="733"/>
      <c r="DN25" s="733"/>
      <c r="DO25" s="733"/>
      <c r="DP25" s="733"/>
      <c r="DQ25" s="733"/>
      <c r="DR25" s="733"/>
      <c r="DS25" s="733"/>
      <c r="DT25" s="733"/>
      <c r="DU25" s="733"/>
      <c r="DV25" s="733"/>
      <c r="DW25" s="733"/>
      <c r="DX25" s="733"/>
      <c r="DY25" s="733"/>
      <c r="DZ25" s="733"/>
      <c r="EA25" s="733"/>
      <c r="EB25" s="733"/>
      <c r="EC25" s="733"/>
      <c r="ED25" s="733"/>
      <c r="EE25" s="733"/>
      <c r="EF25" s="733"/>
      <c r="EG25" s="733"/>
      <c r="EH25" s="733"/>
      <c r="EI25" s="733"/>
      <c r="EJ25" s="733"/>
      <c r="EK25" s="733"/>
      <c r="EL25" s="733"/>
      <c r="EM25" s="733"/>
      <c r="EN25" s="733"/>
      <c r="EO25" s="733"/>
      <c r="EP25" s="733"/>
      <c r="EQ25" s="733"/>
      <c r="ER25" s="733"/>
      <c r="ES25" s="733"/>
      <c r="ET25" s="733"/>
      <c r="EU25" s="733"/>
      <c r="EV25" s="733"/>
      <c r="EW25" s="733"/>
      <c r="EX25" s="733"/>
      <c r="EY25" s="733"/>
      <c r="EZ25" s="733"/>
      <c r="FA25" s="733"/>
      <c r="FB25" s="733"/>
      <c r="FC25" s="733"/>
      <c r="FD25" s="733"/>
      <c r="FE25" s="733"/>
      <c r="FF25" s="733"/>
      <c r="FG25" s="733"/>
      <c r="FH25" s="733"/>
      <c r="FI25" s="733"/>
      <c r="FJ25" s="733"/>
      <c r="FK25" s="733"/>
      <c r="FL25" s="733"/>
      <c r="FM25" s="733"/>
      <c r="FN25" s="733"/>
      <c r="FO25" s="733"/>
      <c r="FP25" s="733"/>
      <c r="FQ25" s="733"/>
      <c r="FR25" s="733"/>
      <c r="FS25" s="733"/>
      <c r="FT25" s="733"/>
      <c r="FU25" s="733"/>
      <c r="FV25" s="733"/>
      <c r="FW25" s="733"/>
      <c r="FX25" s="733"/>
      <c r="FY25" s="733"/>
      <c r="FZ25" s="733"/>
      <c r="GA25" s="733"/>
      <c r="GB25" s="733"/>
      <c r="GC25" s="733"/>
      <c r="GD25" s="733"/>
      <c r="GE25" s="733"/>
      <c r="GF25" s="733"/>
      <c r="GG25" s="733"/>
      <c r="GH25" s="733"/>
      <c r="GI25" s="733"/>
      <c r="GJ25" s="733"/>
      <c r="GK25" s="733"/>
      <c r="GL25" s="733"/>
      <c r="GM25" s="733"/>
      <c r="GN25" s="733"/>
      <c r="GO25" s="733"/>
      <c r="GP25" s="733"/>
      <c r="GQ25" s="733"/>
      <c r="GR25" s="733"/>
      <c r="GS25" s="733"/>
      <c r="GT25" s="733"/>
      <c r="GU25" s="733"/>
      <c r="GV25" s="733"/>
      <c r="GW25" s="733"/>
      <c r="GX25" s="733"/>
      <c r="GY25" s="733"/>
      <c r="GZ25" s="733"/>
      <c r="HA25" s="733"/>
      <c r="HB25" s="733"/>
      <c r="HC25" s="733"/>
      <c r="HD25" s="733"/>
      <c r="HE25" s="733"/>
      <c r="HF25" s="733"/>
      <c r="HG25" s="733"/>
      <c r="HH25" s="733"/>
      <c r="HI25" s="733"/>
      <c r="HJ25" s="733"/>
      <c r="HK25" s="733"/>
      <c r="HL25" s="733"/>
      <c r="HM25" s="733"/>
      <c r="HN25" s="733"/>
      <c r="HO25" s="733"/>
      <c r="HP25" s="733"/>
      <c r="HQ25" s="733"/>
      <c r="HR25" s="733"/>
      <c r="HS25" s="733"/>
      <c r="HT25" s="733"/>
      <c r="HU25" s="733"/>
      <c r="HV25" s="733"/>
      <c r="HW25" s="733"/>
      <c r="HX25" s="733"/>
      <c r="HY25" s="733"/>
      <c r="HZ25" s="733"/>
      <c r="IA25" s="733"/>
      <c r="IB25" s="733"/>
      <c r="IC25" s="733"/>
      <c r="ID25" s="733"/>
      <c r="IE25" s="733"/>
      <c r="IF25" s="733"/>
      <c r="IG25" s="733"/>
      <c r="IH25" s="733"/>
      <c r="II25" s="733"/>
      <c r="IJ25" s="733"/>
      <c r="IK25" s="733"/>
      <c r="IL25" s="733"/>
      <c r="IM25" s="733"/>
      <c r="IN25" s="733"/>
      <c r="IO25" s="733"/>
      <c r="IP25" s="733"/>
      <c r="IQ25" s="733"/>
      <c r="IR25" s="733"/>
      <c r="IS25" s="733"/>
      <c r="IT25" s="733"/>
      <c r="IU25" s="733"/>
      <c r="IV25" s="733"/>
    </row>
    <row r="26" spans="1:256" s="725" customFormat="1">
      <c r="A26" s="679"/>
      <c r="B26" s="742" t="s">
        <v>112</v>
      </c>
      <c r="C26" s="679"/>
      <c r="D26" s="742"/>
      <c r="E26" s="729"/>
      <c r="F26" s="729"/>
      <c r="G26" s="729"/>
      <c r="H26" s="729"/>
      <c r="I26" s="743"/>
      <c r="J26" s="743"/>
      <c r="K26" s="737"/>
      <c r="L26" s="737"/>
      <c r="M26" s="737"/>
      <c r="N26" s="737"/>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c r="BC26" s="733"/>
      <c r="BD26" s="733"/>
      <c r="BE26" s="733"/>
      <c r="BF26" s="733"/>
      <c r="BG26" s="733"/>
      <c r="BH26" s="733"/>
      <c r="BI26" s="733"/>
      <c r="BJ26" s="733"/>
      <c r="BK26" s="733"/>
      <c r="BL26" s="733"/>
      <c r="BM26" s="733"/>
      <c r="BN26" s="733"/>
      <c r="BO26" s="733"/>
      <c r="BP26" s="733"/>
      <c r="BQ26" s="733"/>
      <c r="BR26" s="733"/>
      <c r="BS26" s="733"/>
      <c r="BT26" s="733"/>
      <c r="BU26" s="733"/>
      <c r="BV26" s="733"/>
      <c r="BW26" s="733"/>
      <c r="BX26" s="733"/>
      <c r="BY26" s="733"/>
      <c r="BZ26" s="733"/>
      <c r="CA26" s="733"/>
      <c r="CB26" s="733"/>
      <c r="CC26" s="733"/>
      <c r="CD26" s="733"/>
      <c r="CE26" s="733"/>
      <c r="CF26" s="733"/>
      <c r="CG26" s="733"/>
      <c r="CH26" s="733"/>
      <c r="CI26" s="733"/>
      <c r="CJ26" s="733"/>
      <c r="CK26" s="733"/>
      <c r="CL26" s="733"/>
      <c r="CM26" s="733"/>
      <c r="CN26" s="733"/>
      <c r="CO26" s="733"/>
      <c r="CP26" s="733"/>
      <c r="CQ26" s="733"/>
      <c r="CR26" s="733"/>
      <c r="CS26" s="733"/>
      <c r="CT26" s="733"/>
      <c r="CU26" s="733"/>
      <c r="CV26" s="733"/>
      <c r="CW26" s="733"/>
      <c r="CX26" s="733"/>
      <c r="CY26" s="733"/>
      <c r="CZ26" s="733"/>
      <c r="DA26" s="733"/>
      <c r="DB26" s="733"/>
      <c r="DC26" s="733"/>
      <c r="DD26" s="733"/>
      <c r="DE26" s="733"/>
      <c r="DF26" s="733"/>
      <c r="DG26" s="733"/>
      <c r="DH26" s="733"/>
      <c r="DI26" s="733"/>
      <c r="DJ26" s="733"/>
      <c r="DK26" s="733"/>
      <c r="DL26" s="733"/>
      <c r="DM26" s="733"/>
      <c r="DN26" s="733"/>
      <c r="DO26" s="733"/>
      <c r="DP26" s="733"/>
      <c r="DQ26" s="733"/>
      <c r="DR26" s="733"/>
      <c r="DS26" s="733"/>
      <c r="DT26" s="733"/>
      <c r="DU26" s="733"/>
      <c r="DV26" s="733"/>
      <c r="DW26" s="733"/>
      <c r="DX26" s="733"/>
      <c r="DY26" s="733"/>
      <c r="DZ26" s="733"/>
      <c r="EA26" s="733"/>
      <c r="EB26" s="733"/>
      <c r="EC26" s="733"/>
      <c r="ED26" s="733"/>
      <c r="EE26" s="733"/>
      <c r="EF26" s="733"/>
      <c r="EG26" s="733"/>
      <c r="EH26" s="733"/>
      <c r="EI26" s="733"/>
      <c r="EJ26" s="733"/>
      <c r="EK26" s="733"/>
      <c r="EL26" s="733"/>
      <c r="EM26" s="733"/>
      <c r="EN26" s="733"/>
      <c r="EO26" s="733"/>
      <c r="EP26" s="733"/>
      <c r="EQ26" s="733"/>
      <c r="ER26" s="733"/>
      <c r="ES26" s="733"/>
      <c r="ET26" s="733"/>
      <c r="EU26" s="733"/>
      <c r="EV26" s="733"/>
      <c r="EW26" s="733"/>
      <c r="EX26" s="733"/>
      <c r="EY26" s="733"/>
      <c r="EZ26" s="733"/>
      <c r="FA26" s="733"/>
      <c r="FB26" s="733"/>
      <c r="FC26" s="733"/>
      <c r="FD26" s="733"/>
      <c r="FE26" s="733"/>
      <c r="FF26" s="733"/>
      <c r="FG26" s="733"/>
      <c r="FH26" s="733"/>
      <c r="FI26" s="733"/>
      <c r="FJ26" s="733"/>
      <c r="FK26" s="733"/>
      <c r="FL26" s="733"/>
      <c r="FM26" s="733"/>
      <c r="FN26" s="733"/>
      <c r="FO26" s="733"/>
      <c r="FP26" s="733"/>
      <c r="FQ26" s="733"/>
      <c r="FR26" s="733"/>
      <c r="FS26" s="733"/>
      <c r="FT26" s="733"/>
      <c r="FU26" s="733"/>
      <c r="FV26" s="733"/>
      <c r="FW26" s="733"/>
      <c r="FX26" s="733"/>
      <c r="FY26" s="733"/>
      <c r="FZ26" s="733"/>
      <c r="GA26" s="733"/>
      <c r="GB26" s="733"/>
      <c r="GC26" s="733"/>
      <c r="GD26" s="733"/>
      <c r="GE26" s="733"/>
      <c r="GF26" s="733"/>
      <c r="GG26" s="733"/>
      <c r="GH26" s="733"/>
      <c r="GI26" s="733"/>
      <c r="GJ26" s="733"/>
      <c r="GK26" s="733"/>
      <c r="GL26" s="733"/>
      <c r="GM26" s="733"/>
      <c r="GN26" s="733"/>
      <c r="GO26" s="733"/>
      <c r="GP26" s="733"/>
      <c r="GQ26" s="733"/>
      <c r="GR26" s="733"/>
      <c r="GS26" s="733"/>
      <c r="GT26" s="733"/>
      <c r="GU26" s="733"/>
      <c r="GV26" s="733"/>
      <c r="GW26" s="733"/>
      <c r="GX26" s="733"/>
      <c r="GY26" s="733"/>
      <c r="GZ26" s="733"/>
      <c r="HA26" s="733"/>
      <c r="HB26" s="733"/>
      <c r="HC26" s="733"/>
      <c r="HD26" s="733"/>
      <c r="HE26" s="733"/>
      <c r="HF26" s="733"/>
      <c r="HG26" s="733"/>
      <c r="HH26" s="733"/>
      <c r="HI26" s="733"/>
      <c r="HJ26" s="733"/>
      <c r="HK26" s="733"/>
      <c r="HL26" s="733"/>
      <c r="HM26" s="733"/>
      <c r="HN26" s="733"/>
      <c r="HO26" s="733"/>
      <c r="HP26" s="733"/>
      <c r="HQ26" s="733"/>
      <c r="HR26" s="733"/>
      <c r="HS26" s="733"/>
      <c r="HT26" s="733"/>
      <c r="HU26" s="733"/>
      <c r="HV26" s="733"/>
      <c r="HW26" s="733"/>
      <c r="HX26" s="733"/>
      <c r="HY26" s="733"/>
      <c r="HZ26" s="733"/>
      <c r="IA26" s="733"/>
      <c r="IB26" s="733"/>
      <c r="IC26" s="733"/>
      <c r="ID26" s="733"/>
      <c r="IE26" s="733"/>
      <c r="IF26" s="733"/>
      <c r="IG26" s="733"/>
      <c r="IH26" s="733"/>
      <c r="II26" s="733"/>
      <c r="IJ26" s="733"/>
      <c r="IK26" s="733"/>
      <c r="IL26" s="733"/>
      <c r="IM26" s="733"/>
      <c r="IN26" s="733"/>
      <c r="IO26" s="733"/>
      <c r="IP26" s="733"/>
      <c r="IQ26" s="733"/>
      <c r="IR26" s="733"/>
      <c r="IS26" s="733"/>
      <c r="IT26" s="733"/>
      <c r="IU26" s="733"/>
      <c r="IV26" s="733"/>
    </row>
    <row r="27" spans="1:256" s="725" customFormat="1">
      <c r="A27" s="680" t="s">
        <v>3729</v>
      </c>
      <c r="B27" s="738" t="s">
        <v>3730</v>
      </c>
      <c r="C27" s="729" t="s">
        <v>116</v>
      </c>
      <c r="D27" s="735">
        <v>2.5000000000000001E-2</v>
      </c>
      <c r="E27" s="729"/>
      <c r="F27" s="729">
        <v>0</v>
      </c>
      <c r="G27" s="1452">
        <v>435742</v>
      </c>
      <c r="H27" s="1452">
        <v>54177</v>
      </c>
      <c r="I27" s="1440">
        <v>0.88700000000000001</v>
      </c>
      <c r="J27" s="1440">
        <v>0.98399999999999999</v>
      </c>
      <c r="K27" s="729"/>
      <c r="L27" s="729">
        <f>D27*F27</f>
        <v>0</v>
      </c>
      <c r="M27" s="729">
        <f>D27*G27*I27</f>
        <v>9662.5788500000017</v>
      </c>
      <c r="N27" s="737">
        <f>D27*H27*J27</f>
        <v>1332.7542000000001</v>
      </c>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3"/>
      <c r="AZ27" s="733"/>
      <c r="BA27" s="733"/>
      <c r="BB27" s="733"/>
      <c r="BC27" s="733"/>
      <c r="BD27" s="733"/>
      <c r="BE27" s="733"/>
      <c r="BF27" s="733"/>
      <c r="BG27" s="733"/>
      <c r="BH27" s="733"/>
      <c r="BI27" s="733"/>
      <c r="BJ27" s="733"/>
      <c r="BK27" s="733"/>
      <c r="BL27" s="733"/>
      <c r="BM27" s="733"/>
      <c r="BN27" s="733"/>
      <c r="BO27" s="733"/>
      <c r="BP27" s="733"/>
      <c r="BQ27" s="733"/>
      <c r="BR27" s="733"/>
      <c r="BS27" s="733"/>
      <c r="BT27" s="733"/>
      <c r="BU27" s="733"/>
      <c r="BV27" s="733"/>
      <c r="BW27" s="733"/>
      <c r="BX27" s="733"/>
      <c r="BY27" s="733"/>
      <c r="BZ27" s="733"/>
      <c r="CA27" s="733"/>
      <c r="CB27" s="733"/>
      <c r="CC27" s="733"/>
      <c r="CD27" s="733"/>
      <c r="CE27" s="733"/>
      <c r="CF27" s="733"/>
      <c r="CG27" s="733"/>
      <c r="CH27" s="733"/>
      <c r="CI27" s="733"/>
      <c r="CJ27" s="733"/>
      <c r="CK27" s="733"/>
      <c r="CL27" s="733"/>
      <c r="CM27" s="733"/>
      <c r="CN27" s="733"/>
      <c r="CO27" s="733"/>
      <c r="CP27" s="733"/>
      <c r="CQ27" s="733"/>
      <c r="CR27" s="733"/>
      <c r="CS27" s="733"/>
      <c r="CT27" s="733"/>
      <c r="CU27" s="733"/>
      <c r="CV27" s="733"/>
      <c r="CW27" s="733"/>
      <c r="CX27" s="733"/>
      <c r="CY27" s="733"/>
      <c r="CZ27" s="733"/>
      <c r="DA27" s="733"/>
      <c r="DB27" s="733"/>
      <c r="DC27" s="733"/>
      <c r="DD27" s="733"/>
      <c r="DE27" s="733"/>
      <c r="DF27" s="733"/>
      <c r="DG27" s="733"/>
      <c r="DH27" s="733"/>
      <c r="DI27" s="733"/>
      <c r="DJ27" s="733"/>
      <c r="DK27" s="733"/>
      <c r="DL27" s="733"/>
      <c r="DM27" s="733"/>
      <c r="DN27" s="733"/>
      <c r="DO27" s="733"/>
      <c r="DP27" s="733"/>
      <c r="DQ27" s="733"/>
      <c r="DR27" s="733"/>
      <c r="DS27" s="733"/>
      <c r="DT27" s="733"/>
      <c r="DU27" s="733"/>
      <c r="DV27" s="733"/>
      <c r="DW27" s="733"/>
      <c r="DX27" s="733"/>
      <c r="DY27" s="733"/>
      <c r="DZ27" s="733"/>
      <c r="EA27" s="733"/>
      <c r="EB27" s="733"/>
      <c r="EC27" s="733"/>
      <c r="ED27" s="733"/>
      <c r="EE27" s="733"/>
      <c r="EF27" s="733"/>
      <c r="EG27" s="733"/>
      <c r="EH27" s="733"/>
      <c r="EI27" s="733"/>
      <c r="EJ27" s="733"/>
      <c r="EK27" s="733"/>
      <c r="EL27" s="733"/>
      <c r="EM27" s="733"/>
      <c r="EN27" s="733"/>
      <c r="EO27" s="733"/>
      <c r="EP27" s="733"/>
      <c r="EQ27" s="733"/>
      <c r="ER27" s="733"/>
      <c r="ES27" s="733"/>
      <c r="ET27" s="733"/>
      <c r="EU27" s="733"/>
      <c r="EV27" s="733"/>
      <c r="EW27" s="733"/>
      <c r="EX27" s="733"/>
      <c r="EY27" s="733"/>
      <c r="EZ27" s="733"/>
      <c r="FA27" s="733"/>
      <c r="FB27" s="733"/>
      <c r="FC27" s="733"/>
      <c r="FD27" s="733"/>
      <c r="FE27" s="733"/>
      <c r="FF27" s="733"/>
      <c r="FG27" s="733"/>
      <c r="FH27" s="733"/>
      <c r="FI27" s="733"/>
      <c r="FJ27" s="733"/>
      <c r="FK27" s="733"/>
      <c r="FL27" s="733"/>
      <c r="FM27" s="733"/>
      <c r="FN27" s="733"/>
      <c r="FO27" s="733"/>
      <c r="FP27" s="733"/>
      <c r="FQ27" s="733"/>
      <c r="FR27" s="733"/>
      <c r="FS27" s="733"/>
      <c r="FT27" s="733"/>
      <c r="FU27" s="733"/>
      <c r="FV27" s="733"/>
      <c r="FW27" s="733"/>
      <c r="FX27" s="733"/>
      <c r="FY27" s="733"/>
      <c r="FZ27" s="733"/>
      <c r="GA27" s="733"/>
      <c r="GB27" s="733"/>
      <c r="GC27" s="733"/>
      <c r="GD27" s="733"/>
      <c r="GE27" s="733"/>
      <c r="GF27" s="733"/>
      <c r="GG27" s="733"/>
      <c r="GH27" s="733"/>
      <c r="GI27" s="733"/>
      <c r="GJ27" s="733"/>
      <c r="GK27" s="733"/>
      <c r="GL27" s="733"/>
      <c r="GM27" s="733"/>
      <c r="GN27" s="733"/>
      <c r="GO27" s="733"/>
      <c r="GP27" s="733"/>
      <c r="GQ27" s="733"/>
      <c r="GR27" s="733"/>
      <c r="GS27" s="733"/>
      <c r="GT27" s="733"/>
      <c r="GU27" s="733"/>
      <c r="GV27" s="733"/>
      <c r="GW27" s="733"/>
      <c r="GX27" s="733"/>
      <c r="GY27" s="733"/>
      <c r="GZ27" s="733"/>
      <c r="HA27" s="733"/>
      <c r="HB27" s="733"/>
      <c r="HC27" s="733"/>
      <c r="HD27" s="733"/>
      <c r="HE27" s="733"/>
      <c r="HF27" s="733"/>
      <c r="HG27" s="733"/>
      <c r="HH27" s="733"/>
      <c r="HI27" s="733"/>
      <c r="HJ27" s="733"/>
      <c r="HK27" s="733"/>
      <c r="HL27" s="733"/>
      <c r="HM27" s="733"/>
      <c r="HN27" s="733"/>
      <c r="HO27" s="733"/>
      <c r="HP27" s="733"/>
      <c r="HQ27" s="733"/>
      <c r="HR27" s="733"/>
      <c r="HS27" s="733"/>
      <c r="HT27" s="733"/>
      <c r="HU27" s="733"/>
      <c r="HV27" s="733"/>
      <c r="HW27" s="733"/>
      <c r="HX27" s="733"/>
      <c r="HY27" s="733"/>
      <c r="HZ27" s="733"/>
      <c r="IA27" s="733"/>
      <c r="IB27" s="733"/>
      <c r="IC27" s="733"/>
      <c r="ID27" s="733"/>
      <c r="IE27" s="733"/>
      <c r="IF27" s="733"/>
      <c r="IG27" s="733"/>
      <c r="IH27" s="733"/>
      <c r="II27" s="733"/>
      <c r="IJ27" s="733"/>
      <c r="IK27" s="733"/>
      <c r="IL27" s="733"/>
      <c r="IM27" s="733"/>
      <c r="IN27" s="733"/>
      <c r="IO27" s="733"/>
      <c r="IP27" s="733"/>
      <c r="IQ27" s="733"/>
      <c r="IR27" s="733"/>
      <c r="IS27" s="733"/>
      <c r="IT27" s="733"/>
      <c r="IU27" s="733"/>
      <c r="IV27" s="733"/>
    </row>
    <row r="28" spans="1:256" s="727" customFormat="1" ht="12.75" customHeight="1">
      <c r="A28" s="595" t="s">
        <v>6</v>
      </c>
      <c r="B28" s="607" t="s">
        <v>3525</v>
      </c>
      <c r="C28" s="579"/>
      <c r="D28" s="579"/>
      <c r="E28" s="612"/>
      <c r="F28" s="612"/>
      <c r="G28" s="597"/>
      <c r="H28" s="597"/>
      <c r="I28" s="613"/>
      <c r="J28" s="613"/>
      <c r="K28" s="612"/>
      <c r="L28" s="612"/>
      <c r="M28" s="597"/>
      <c r="N28" s="597"/>
    </row>
    <row r="29" spans="1:256" s="727" customFormat="1" ht="12.75" customHeight="1">
      <c r="A29" s="579">
        <v>1</v>
      </c>
      <c r="B29" s="611" t="s">
        <v>12940</v>
      </c>
      <c r="C29" s="579" t="s">
        <v>139</v>
      </c>
      <c r="D29" s="579">
        <v>1</v>
      </c>
      <c r="E29" s="612"/>
      <c r="F29" s="612"/>
      <c r="G29" s="612"/>
      <c r="H29" s="612"/>
      <c r="I29" s="613"/>
      <c r="J29" s="613"/>
      <c r="K29" s="612">
        <f>SUM(K31:K37)</f>
        <v>4425880</v>
      </c>
      <c r="L29" s="612">
        <f>SUM(L31:L37)</f>
        <v>10636.400000000001</v>
      </c>
      <c r="M29" s="612">
        <f>SUM(M31:M37)</f>
        <v>134218.592</v>
      </c>
      <c r="N29" s="612">
        <f>SUM(N31:N37)</f>
        <v>3246.51</v>
      </c>
    </row>
    <row r="30" spans="1:256" ht="12.75" customHeight="1">
      <c r="A30" s="578"/>
      <c r="B30" s="608" t="s">
        <v>108</v>
      </c>
      <c r="C30" s="578"/>
      <c r="D30" s="578"/>
      <c r="E30" s="609"/>
      <c r="F30" s="609"/>
      <c r="G30" s="609"/>
      <c r="H30" s="609"/>
      <c r="I30" s="610"/>
      <c r="J30" s="610"/>
      <c r="K30" s="609"/>
      <c r="L30" s="609"/>
      <c r="M30" s="609"/>
      <c r="N30" s="609"/>
    </row>
    <row r="31" spans="1:256" ht="12.75" customHeight="1">
      <c r="A31" s="601"/>
      <c r="B31" s="615" t="s">
        <v>124</v>
      </c>
      <c r="C31" s="609" t="s">
        <v>45</v>
      </c>
      <c r="D31" s="578">
        <v>10</v>
      </c>
      <c r="E31" s="9">
        <f>4.4*85720</f>
        <v>377168.00000000006</v>
      </c>
      <c r="F31" s="609"/>
      <c r="G31" s="609"/>
      <c r="H31" s="609"/>
      <c r="I31" s="610"/>
      <c r="J31" s="610"/>
      <c r="K31" s="603">
        <f>D31*E31</f>
        <v>3771680.0000000005</v>
      </c>
      <c r="L31" s="603"/>
      <c r="M31" s="609"/>
      <c r="N31" s="609"/>
    </row>
    <row r="32" spans="1:256" ht="12.75" customHeight="1">
      <c r="A32" s="601"/>
      <c r="B32" s="630" t="s">
        <v>3520</v>
      </c>
      <c r="C32" s="609" t="s">
        <v>123</v>
      </c>
      <c r="D32" s="578">
        <v>2</v>
      </c>
      <c r="E32" s="603">
        <v>122600</v>
      </c>
      <c r="F32" s="609"/>
      <c r="G32" s="609"/>
      <c r="H32" s="609"/>
      <c r="I32" s="610"/>
      <c r="J32" s="610"/>
      <c r="K32" s="603">
        <f>D32*E32</f>
        <v>245200</v>
      </c>
      <c r="L32" s="603"/>
      <c r="M32" s="609"/>
      <c r="N32" s="609"/>
    </row>
    <row r="33" spans="1:14" ht="12.75" customHeight="1">
      <c r="A33" s="601"/>
      <c r="B33" s="615" t="s">
        <v>194</v>
      </c>
      <c r="C33" s="609" t="s">
        <v>195</v>
      </c>
      <c r="D33" s="578">
        <v>2</v>
      </c>
      <c r="E33" s="603">
        <v>200000</v>
      </c>
      <c r="F33" s="609"/>
      <c r="G33" s="609"/>
      <c r="H33" s="609"/>
      <c r="I33" s="610"/>
      <c r="J33" s="610"/>
      <c r="K33" s="603">
        <f>D33*E33</f>
        <v>400000</v>
      </c>
      <c r="L33" s="603"/>
      <c r="M33" s="609"/>
      <c r="N33" s="609"/>
    </row>
    <row r="34" spans="1:14" ht="12.75" customHeight="1">
      <c r="A34" s="601"/>
      <c r="B34" s="615" t="s">
        <v>125</v>
      </c>
      <c r="C34" s="609" t="s">
        <v>51</v>
      </c>
      <c r="D34" s="578">
        <v>1</v>
      </c>
      <c r="E34" s="603">
        <v>9000</v>
      </c>
      <c r="F34" s="609"/>
      <c r="G34" s="609"/>
      <c r="H34" s="609"/>
      <c r="I34" s="610"/>
      <c r="J34" s="610"/>
      <c r="K34" s="603">
        <f>D34*E34</f>
        <v>9000</v>
      </c>
      <c r="L34" s="603"/>
      <c r="M34" s="609"/>
      <c r="N34" s="609"/>
    </row>
    <row r="35" spans="1:14" ht="12.75" customHeight="1">
      <c r="A35" s="578"/>
      <c r="B35" s="608" t="s">
        <v>112</v>
      </c>
      <c r="C35" s="578"/>
      <c r="D35" s="578"/>
      <c r="E35" s="609"/>
      <c r="F35" s="609"/>
      <c r="G35" s="609"/>
      <c r="H35" s="609"/>
      <c r="I35" s="610"/>
      <c r="J35" s="610"/>
      <c r="K35" s="609"/>
      <c r="L35" s="609"/>
      <c r="M35" s="609"/>
      <c r="N35" s="609"/>
    </row>
    <row r="36" spans="1:14" ht="12.75" customHeight="1">
      <c r="A36" s="601" t="s">
        <v>4119</v>
      </c>
      <c r="B36" s="605" t="s">
        <v>3561</v>
      </c>
      <c r="C36" s="609" t="s">
        <v>130</v>
      </c>
      <c r="D36" s="578">
        <f>D32/10</f>
        <v>0.2</v>
      </c>
      <c r="E36" s="609"/>
      <c r="F36" s="1449">
        <f>Sheet5!J551</f>
        <v>53182</v>
      </c>
      <c r="G36" s="1449">
        <f>Sheet5!L551</f>
        <v>651848.39999999991</v>
      </c>
      <c r="H36" s="1449">
        <f>Sheet5!N551</f>
        <v>16232.550000000001</v>
      </c>
      <c r="I36" s="1459">
        <v>1</v>
      </c>
      <c r="J36" s="1459">
        <v>1</v>
      </c>
      <c r="K36" s="609"/>
      <c r="L36" s="609">
        <f>D36*F36</f>
        <v>10636.400000000001</v>
      </c>
      <c r="M36" s="603">
        <f t="shared" ref="M36:M37" si="3">D36*G36*I36</f>
        <v>130369.68</v>
      </c>
      <c r="N36" s="603">
        <f t="shared" ref="N36:N37" si="4">D36*H36*J36</f>
        <v>3246.51</v>
      </c>
    </row>
    <row r="37" spans="1:14" ht="12.75" customHeight="1">
      <c r="A37" s="601" t="s">
        <v>179</v>
      </c>
      <c r="B37" s="605" t="s">
        <v>3562</v>
      </c>
      <c r="C37" s="609" t="s">
        <v>1775</v>
      </c>
      <c r="D37" s="578">
        <f>D34/10</f>
        <v>0.1</v>
      </c>
      <c r="E37" s="609"/>
      <c r="F37" s="1449">
        <v>0</v>
      </c>
      <c r="G37" s="1449">
        <f>Sheet5!L8306</f>
        <v>38489.120000000003</v>
      </c>
      <c r="H37" s="1449">
        <f>Sheet5!N8306</f>
        <v>0</v>
      </c>
      <c r="I37" s="1459">
        <v>1</v>
      </c>
      <c r="J37" s="1459">
        <v>1</v>
      </c>
      <c r="K37" s="609"/>
      <c r="L37" s="609">
        <f>D37*F37</f>
        <v>0</v>
      </c>
      <c r="M37" s="603">
        <f t="shared" si="3"/>
        <v>3848.9120000000003</v>
      </c>
      <c r="N37" s="603">
        <f t="shared" si="4"/>
        <v>0</v>
      </c>
    </row>
    <row r="38" spans="1:14" s="727" customFormat="1" ht="12.75" customHeight="1">
      <c r="A38" s="579">
        <v>2</v>
      </c>
      <c r="B38" s="617" t="s">
        <v>3526</v>
      </c>
      <c r="C38" s="579"/>
      <c r="D38" s="579"/>
      <c r="E38" s="612"/>
      <c r="F38" s="612"/>
      <c r="G38" s="612"/>
      <c r="H38" s="612"/>
      <c r="I38" s="613"/>
      <c r="J38" s="613"/>
      <c r="K38" s="612"/>
      <c r="L38" s="612"/>
      <c r="M38" s="612"/>
      <c r="N38" s="612"/>
    </row>
    <row r="39" spans="1:14" s="727" customFormat="1" ht="12.75" customHeight="1">
      <c r="A39" s="579"/>
      <c r="B39" s="611" t="s">
        <v>13124</v>
      </c>
      <c r="C39" s="579" t="s">
        <v>95</v>
      </c>
      <c r="D39" s="579">
        <v>1</v>
      </c>
      <c r="E39" s="612"/>
      <c r="F39" s="612"/>
      <c r="G39" s="612"/>
      <c r="H39" s="612"/>
      <c r="I39" s="613"/>
      <c r="J39" s="613"/>
      <c r="K39" s="612">
        <f>SUM(K40:K42)</f>
        <v>11000000</v>
      </c>
      <c r="L39" s="612">
        <f>SUM(L40:L42)</f>
        <v>237600</v>
      </c>
      <c r="M39" s="612">
        <f>SUM(M40:M42)</f>
        <v>3853723.1399999997</v>
      </c>
      <c r="N39" s="612">
        <f>SUM(N40:N42)</f>
        <v>0</v>
      </c>
    </row>
    <row r="40" spans="1:14" ht="12.75" customHeight="1">
      <c r="A40" s="616"/>
      <c r="B40" s="615" t="s">
        <v>12941</v>
      </c>
      <c r="C40" s="609" t="s">
        <v>139</v>
      </c>
      <c r="D40" s="580">
        <f>'PPT - HT'!L10</f>
        <v>2</v>
      </c>
      <c r="E40" s="603">
        <v>5500000</v>
      </c>
      <c r="F40" s="609"/>
      <c r="G40" s="609"/>
      <c r="H40" s="609"/>
      <c r="I40" s="610"/>
      <c r="J40" s="610"/>
      <c r="K40" s="603">
        <f t="shared" ref="K40:K42" si="5">D40*E40</f>
        <v>11000000</v>
      </c>
      <c r="L40" s="603"/>
      <c r="M40" s="609"/>
      <c r="N40" s="609"/>
    </row>
    <row r="41" spans="1:14" ht="12.75" customHeight="1">
      <c r="A41" s="578"/>
      <c r="B41" s="608" t="s">
        <v>112</v>
      </c>
      <c r="C41" s="609"/>
      <c r="D41" s="578"/>
      <c r="E41" s="609"/>
      <c r="F41" s="609"/>
      <c r="G41" s="609"/>
      <c r="H41" s="609"/>
      <c r="I41" s="610"/>
      <c r="J41" s="610"/>
      <c r="K41" s="603">
        <f t="shared" si="5"/>
        <v>0</v>
      </c>
      <c r="L41" s="603"/>
      <c r="M41" s="609"/>
      <c r="N41" s="609"/>
    </row>
    <row r="42" spans="1:14" ht="12.75" customHeight="1">
      <c r="A42" s="616" t="s">
        <v>5969</v>
      </c>
      <c r="B42" s="615" t="s">
        <v>5970</v>
      </c>
      <c r="C42" s="609" t="s">
        <v>1663</v>
      </c>
      <c r="D42" s="578">
        <v>6</v>
      </c>
      <c r="E42" s="609"/>
      <c r="F42" s="1449">
        <f>Sheet5!J6472</f>
        <v>39600</v>
      </c>
      <c r="G42" s="1449">
        <f>Sheet5!L6472</f>
        <v>642287.18999999994</v>
      </c>
      <c r="H42" s="1449">
        <v>0</v>
      </c>
      <c r="I42" s="1459">
        <v>1</v>
      </c>
      <c r="J42" s="1459">
        <v>1</v>
      </c>
      <c r="K42" s="603">
        <f t="shared" si="5"/>
        <v>0</v>
      </c>
      <c r="L42" s="609">
        <f t="shared" ref="L42" si="6">D42*F42</f>
        <v>237600</v>
      </c>
      <c r="M42" s="603">
        <f t="shared" ref="M42" si="7">D42*G42*I42</f>
        <v>3853723.1399999997</v>
      </c>
      <c r="N42" s="603">
        <f t="shared" ref="N42" si="8">D42*H42*J42</f>
        <v>0</v>
      </c>
    </row>
    <row r="43" spans="1:14" s="727" customFormat="1" ht="12.75" customHeight="1">
      <c r="A43" s="579">
        <v>3</v>
      </c>
      <c r="B43" s="617" t="s">
        <v>3542</v>
      </c>
      <c r="C43" s="579" t="s">
        <v>95</v>
      </c>
      <c r="D43" s="579">
        <v>1</v>
      </c>
      <c r="E43" s="612"/>
      <c r="F43" s="612"/>
      <c r="G43" s="612"/>
      <c r="H43" s="612"/>
      <c r="I43" s="613"/>
      <c r="J43" s="613"/>
      <c r="K43" s="612">
        <f>SUM(K45:K48)</f>
        <v>195353850</v>
      </c>
      <c r="L43" s="612">
        <f>SUM(L45:L48)</f>
        <v>53330.85</v>
      </c>
      <c r="M43" s="612">
        <f>SUM(M45:M48)</f>
        <v>2402633.6875</v>
      </c>
      <c r="N43" s="612">
        <f>SUM(N45:N49)</f>
        <v>0</v>
      </c>
    </row>
    <row r="44" spans="1:14" ht="12.75" customHeight="1">
      <c r="A44" s="578"/>
      <c r="B44" s="608" t="s">
        <v>108</v>
      </c>
      <c r="C44" s="578"/>
      <c r="D44" s="578"/>
      <c r="E44" s="609"/>
      <c r="F44" s="609"/>
      <c r="G44" s="609"/>
      <c r="H44" s="609"/>
      <c r="I44" s="610"/>
      <c r="J44" s="610"/>
      <c r="K44" s="609"/>
      <c r="L44" s="609"/>
      <c r="M44" s="609"/>
      <c r="N44" s="609"/>
    </row>
    <row r="45" spans="1:14" ht="12.75" customHeight="1">
      <c r="A45" s="601"/>
      <c r="B45" s="615" t="s">
        <v>12669</v>
      </c>
      <c r="C45" s="609" t="s">
        <v>59</v>
      </c>
      <c r="D45" s="592">
        <f>140+10+5</f>
        <v>155</v>
      </c>
      <c r="E45" s="603">
        <v>1260170</v>
      </c>
      <c r="F45" s="609"/>
      <c r="G45" s="609"/>
      <c r="H45" s="609"/>
      <c r="I45" s="610"/>
      <c r="J45" s="610"/>
      <c r="K45" s="603">
        <f>D45*E45</f>
        <v>195326350</v>
      </c>
      <c r="L45" s="603"/>
      <c r="M45" s="609"/>
      <c r="N45" s="609"/>
    </row>
    <row r="46" spans="1:14" ht="12.75" customHeight="1">
      <c r="A46" s="601"/>
      <c r="B46" s="602" t="s">
        <v>3726</v>
      </c>
      <c r="C46" s="601" t="s">
        <v>51</v>
      </c>
      <c r="D46" s="592">
        <v>5</v>
      </c>
      <c r="E46" s="603">
        <v>5500</v>
      </c>
      <c r="F46" s="603"/>
      <c r="G46" s="603"/>
      <c r="H46" s="603"/>
      <c r="I46" s="604"/>
      <c r="J46" s="604"/>
      <c r="K46" s="603">
        <f t="shared" ref="K46" si="9">D46*E46</f>
        <v>27500</v>
      </c>
      <c r="L46" s="603"/>
      <c r="M46" s="603"/>
      <c r="N46" s="603"/>
    </row>
    <row r="47" spans="1:14" ht="12.75" customHeight="1">
      <c r="A47" s="578"/>
      <c r="B47" s="608" t="s">
        <v>112</v>
      </c>
      <c r="C47" s="578"/>
      <c r="D47" s="578"/>
      <c r="E47" s="609"/>
      <c r="F47" s="609"/>
      <c r="G47" s="609"/>
      <c r="H47" s="609"/>
      <c r="I47" s="610"/>
      <c r="J47" s="610"/>
      <c r="K47" s="609"/>
      <c r="L47" s="609"/>
      <c r="M47" s="609"/>
      <c r="N47" s="609"/>
    </row>
    <row r="48" spans="1:14" ht="12.75" customHeight="1">
      <c r="A48" s="616" t="s">
        <v>5801</v>
      </c>
      <c r="B48" s="1312" t="s">
        <v>5802</v>
      </c>
      <c r="C48" s="606" t="s">
        <v>43</v>
      </c>
      <c r="D48" s="618">
        <f>D45/100</f>
        <v>1.55</v>
      </c>
      <c r="E48" s="603"/>
      <c r="F48" s="1449">
        <f>Sheet5!J5646</f>
        <v>34407</v>
      </c>
      <c r="G48" s="1449">
        <f>Sheet5!L5646</f>
        <v>1550086.25</v>
      </c>
      <c r="H48" s="1449">
        <v>0</v>
      </c>
      <c r="I48" s="1459">
        <v>1</v>
      </c>
      <c r="J48" s="1459">
        <v>1</v>
      </c>
      <c r="K48" s="603"/>
      <c r="L48" s="609">
        <f t="shared" ref="L48" si="10">D48*F48</f>
        <v>53330.85</v>
      </c>
      <c r="M48" s="603">
        <f t="shared" ref="M48" si="11">D48*G48*I48</f>
        <v>2402633.6875</v>
      </c>
      <c r="N48" s="603">
        <f>D48*H48*J48</f>
        <v>0</v>
      </c>
    </row>
    <row r="49" spans="1:16" s="727" customFormat="1" ht="15">
      <c r="A49" s="1315">
        <v>4</v>
      </c>
      <c r="B49" s="607" t="s">
        <v>12969</v>
      </c>
      <c r="C49" s="579" t="s">
        <v>95</v>
      </c>
      <c r="D49" s="579">
        <v>1</v>
      </c>
      <c r="E49" s="612"/>
      <c r="F49" s="597"/>
      <c r="G49" s="597"/>
      <c r="H49" s="597"/>
      <c r="I49" s="1316"/>
      <c r="J49" s="1316"/>
      <c r="K49" s="612">
        <f>SUM(K51:K55)</f>
        <v>0</v>
      </c>
      <c r="L49" s="612">
        <f>SUM(L50)</f>
        <v>34500</v>
      </c>
      <c r="M49" s="612">
        <f t="shared" ref="M49:N49" si="12">SUM(M50)</f>
        <v>2156365.25</v>
      </c>
      <c r="N49" s="612">
        <f t="shared" si="12"/>
        <v>0</v>
      </c>
    </row>
    <row r="50" spans="1:16" ht="15">
      <c r="A50" s="1311" t="s">
        <v>11532</v>
      </c>
      <c r="B50" s="1312" t="s">
        <v>11533</v>
      </c>
      <c r="C50" s="1313" t="s">
        <v>43</v>
      </c>
      <c r="D50" s="618">
        <v>1.25</v>
      </c>
      <c r="E50" s="1314"/>
      <c r="F50" s="1460">
        <f>'DG203'!E1211</f>
        <v>27600</v>
      </c>
      <c r="G50" s="1460">
        <f>'DG203'!F1211</f>
        <v>1725092.2</v>
      </c>
      <c r="H50" s="1461"/>
      <c r="I50" s="1459">
        <v>1</v>
      </c>
      <c r="J50" s="1459">
        <v>1</v>
      </c>
      <c r="K50" s="1314"/>
      <c r="L50" s="609">
        <f>D50*F50</f>
        <v>34500</v>
      </c>
      <c r="M50" s="603">
        <f>D50*G50*I50</f>
        <v>2156365.25</v>
      </c>
      <c r="N50" s="1314"/>
      <c r="P50" s="747"/>
    </row>
    <row r="51" spans="1:16">
      <c r="P51" s="747"/>
    </row>
  </sheetData>
  <mergeCells count="9">
    <mergeCell ref="A2:N2"/>
    <mergeCell ref="A3:N3"/>
    <mergeCell ref="A5:A6"/>
    <mergeCell ref="B5:B6"/>
    <mergeCell ref="C5:C6"/>
    <mergeCell ref="D5:D6"/>
    <mergeCell ref="E5:H5"/>
    <mergeCell ref="I5:J5"/>
    <mergeCell ref="K5:N5"/>
  </mergeCells>
  <conditionalFormatting sqref="A11:N16">
    <cfRule type="expression" dxfId="77" priority="94">
      <formula>$R11=5</formula>
    </cfRule>
    <cfRule type="expression" dxfId="76" priority="95">
      <formula>$R11=4</formula>
    </cfRule>
    <cfRule type="expression" dxfId="75" priority="96">
      <formula>$R11=3</formula>
    </cfRule>
    <cfRule type="expression" dxfId="74" priority="97">
      <formula>$R11=2</formula>
    </cfRule>
    <cfRule type="expression" dxfId="73" priority="98">
      <formula>$R11=1</formula>
    </cfRule>
  </conditionalFormatting>
  <conditionalFormatting sqref="F11:N15 E12:E15 A11:D15">
    <cfRule type="expression" dxfId="72" priority="92">
      <formula>$C11="NC"</formula>
    </cfRule>
    <cfRule type="expression" dxfId="71" priority="93">
      <formula>$C11="VL"</formula>
    </cfRule>
  </conditionalFormatting>
  <conditionalFormatting sqref="A10:F10">
    <cfRule type="expression" dxfId="70" priority="87">
      <formula>$R10=5</formula>
    </cfRule>
    <cfRule type="expression" dxfId="69" priority="88">
      <formula>$R10=4</formula>
    </cfRule>
    <cfRule type="expression" dxfId="68" priority="89">
      <formula>$R10=3</formula>
    </cfRule>
    <cfRule type="expression" dxfId="67" priority="90">
      <formula>$R10=2</formula>
    </cfRule>
    <cfRule type="expression" dxfId="66" priority="91">
      <formula>$R10=1</formula>
    </cfRule>
  </conditionalFormatting>
  <conditionalFormatting sqref="A10:F10 A16:N16">
    <cfRule type="expression" dxfId="65" priority="85">
      <formula>$C10="NC"</formula>
    </cfRule>
    <cfRule type="expression" dxfId="64" priority="86">
      <formula>$C10="VL"</formula>
    </cfRule>
  </conditionalFormatting>
  <conditionalFormatting sqref="K10:N10">
    <cfRule type="expression" dxfId="63" priority="80">
      <formula>$R10=5</formula>
    </cfRule>
    <cfRule type="expression" dxfId="62" priority="81">
      <formula>$R10=4</formula>
    </cfRule>
    <cfRule type="expression" dxfId="61" priority="82">
      <formula>$R10=3</formula>
    </cfRule>
    <cfRule type="expression" dxfId="60" priority="83">
      <formula>$R10=2</formula>
    </cfRule>
    <cfRule type="expression" dxfId="59" priority="84">
      <formula>$R10=1</formula>
    </cfRule>
  </conditionalFormatting>
  <conditionalFormatting sqref="K10:N10 E11">
    <cfRule type="expression" dxfId="58" priority="78">
      <formula>$C10="NC"</formula>
    </cfRule>
    <cfRule type="expression" dxfId="57" priority="79">
      <formula>$C10="VL"</formula>
    </cfRule>
  </conditionalFormatting>
  <conditionalFormatting sqref="G10:J10">
    <cfRule type="expression" dxfId="56" priority="73">
      <formula>$R10=5</formula>
    </cfRule>
    <cfRule type="expression" dxfId="55" priority="74">
      <formula>$R10=4</formula>
    </cfRule>
    <cfRule type="expression" dxfId="54" priority="75">
      <formula>$R10=3</formula>
    </cfRule>
    <cfRule type="expression" dxfId="53" priority="76">
      <formula>$R10=2</formula>
    </cfRule>
    <cfRule type="expression" dxfId="52" priority="77">
      <formula>$R10=1</formula>
    </cfRule>
  </conditionalFormatting>
  <conditionalFormatting sqref="G10:J10">
    <cfRule type="expression" dxfId="51" priority="71">
      <formula>$C10="NC"</formula>
    </cfRule>
    <cfRule type="expression" dxfId="50" priority="72">
      <formula>$C10="VL"</formula>
    </cfRule>
  </conditionalFormatting>
  <conditionalFormatting sqref="I17:J17">
    <cfRule type="expression" dxfId="49" priority="64">
      <formula>#REF!="NC"</formula>
    </cfRule>
    <cfRule type="expression" dxfId="48" priority="65">
      <formula>#REF!="VL"</formula>
    </cfRule>
  </conditionalFormatting>
  <conditionalFormatting sqref="I17:J17">
    <cfRule type="expression" dxfId="47" priority="66">
      <formula>#REF!=5</formula>
    </cfRule>
    <cfRule type="expression" dxfId="46" priority="67">
      <formula>#REF!=4</formula>
    </cfRule>
    <cfRule type="expression" dxfId="45" priority="68">
      <formula>#REF!=3</formula>
    </cfRule>
    <cfRule type="expression" dxfId="44" priority="69">
      <formula>#REF!=2</formula>
    </cfRule>
    <cfRule type="expression" dxfId="43" priority="70">
      <formula>#REF!=1</formula>
    </cfRule>
  </conditionalFormatting>
  <conditionalFormatting sqref="I21:J22">
    <cfRule type="expression" dxfId="42" priority="57">
      <formula>#REF!="NC"</formula>
    </cfRule>
    <cfRule type="expression" dxfId="41" priority="58">
      <formula>#REF!="VL"</formula>
    </cfRule>
  </conditionalFormatting>
  <conditionalFormatting sqref="I21:J22">
    <cfRule type="expression" dxfId="40" priority="59">
      <formula>#REF!=5</formula>
    </cfRule>
    <cfRule type="expression" dxfId="39" priority="60">
      <formula>#REF!=4</formula>
    </cfRule>
    <cfRule type="expression" dxfId="38" priority="61">
      <formula>#REF!=3</formula>
    </cfRule>
    <cfRule type="expression" dxfId="37" priority="62">
      <formula>#REF!=2</formula>
    </cfRule>
    <cfRule type="expression" dxfId="36" priority="63">
      <formula>#REF!=1</formula>
    </cfRule>
  </conditionalFormatting>
  <conditionalFormatting sqref="I36:J37">
    <cfRule type="expression" dxfId="35" priority="50">
      <formula>#REF!="NC"</formula>
    </cfRule>
    <cfRule type="expression" dxfId="34" priority="51">
      <formula>#REF!="VL"</formula>
    </cfRule>
  </conditionalFormatting>
  <conditionalFormatting sqref="I36:J37">
    <cfRule type="expression" dxfId="33" priority="52">
      <formula>#REF!=5</formula>
    </cfRule>
    <cfRule type="expression" dxfId="32" priority="53">
      <formula>#REF!=4</formula>
    </cfRule>
    <cfRule type="expression" dxfId="31" priority="54">
      <formula>#REF!=3</formula>
    </cfRule>
    <cfRule type="expression" dxfId="30" priority="55">
      <formula>#REF!=2</formula>
    </cfRule>
    <cfRule type="expression" dxfId="29" priority="56">
      <formula>#REF!=1</formula>
    </cfRule>
  </conditionalFormatting>
  <conditionalFormatting sqref="I42:J42">
    <cfRule type="expression" dxfId="28" priority="43">
      <formula>#REF!="NC"</formula>
    </cfRule>
    <cfRule type="expression" dxfId="27" priority="44">
      <formula>#REF!="VL"</formula>
    </cfRule>
  </conditionalFormatting>
  <conditionalFormatting sqref="I42:J42">
    <cfRule type="expression" dxfId="26" priority="45">
      <formula>#REF!=5</formula>
    </cfRule>
    <cfRule type="expression" dxfId="25" priority="46">
      <formula>#REF!=4</formula>
    </cfRule>
    <cfRule type="expression" dxfId="24" priority="47">
      <formula>#REF!=3</formula>
    </cfRule>
    <cfRule type="expression" dxfId="23" priority="48">
      <formula>#REF!=2</formula>
    </cfRule>
    <cfRule type="expression" dxfId="22" priority="49">
      <formula>#REF!=1</formula>
    </cfRule>
  </conditionalFormatting>
  <conditionalFormatting sqref="I48:J49">
    <cfRule type="expression" dxfId="21" priority="29">
      <formula>#REF!="NC"</formula>
    </cfRule>
    <cfRule type="expression" dxfId="20" priority="30">
      <formula>#REF!="VL"</formula>
    </cfRule>
  </conditionalFormatting>
  <conditionalFormatting sqref="I48:J49">
    <cfRule type="expression" dxfId="19" priority="31">
      <formula>#REF!=5</formula>
    </cfRule>
    <cfRule type="expression" dxfId="18" priority="32">
      <formula>#REF!=4</formula>
    </cfRule>
    <cfRule type="expression" dxfId="17" priority="33">
      <formula>#REF!=3</formula>
    </cfRule>
    <cfRule type="expression" dxfId="16" priority="34">
      <formula>#REF!=2</formula>
    </cfRule>
    <cfRule type="expression" dxfId="15" priority="35">
      <formula>#REF!=1</formula>
    </cfRule>
  </conditionalFormatting>
  <conditionalFormatting sqref="E31">
    <cfRule type="expression" dxfId="14" priority="22">
      <formula>#REF!="NC"</formula>
    </cfRule>
    <cfRule type="expression" dxfId="13" priority="23">
      <formula>#REF!="VL"</formula>
    </cfRule>
  </conditionalFormatting>
  <conditionalFormatting sqref="E31">
    <cfRule type="expression" dxfId="12" priority="24">
      <formula>#REF!=5</formula>
    </cfRule>
    <cfRule type="expression" dxfId="11" priority="25">
      <formula>#REF!=4</formula>
    </cfRule>
    <cfRule type="expression" dxfId="10" priority="26">
      <formula>#REF!=3</formula>
    </cfRule>
    <cfRule type="expression" dxfId="9" priority="27">
      <formula>#REF!=2</formula>
    </cfRule>
    <cfRule type="expression" dxfId="8" priority="28">
      <formula>#REF!=1</formula>
    </cfRule>
  </conditionalFormatting>
  <conditionalFormatting sqref="I50:J50">
    <cfRule type="expression" dxfId="7" priority="1">
      <formula>#REF!="NC"</formula>
    </cfRule>
    <cfRule type="expression" dxfId="6" priority="2">
      <formula>#REF!="VL"</formula>
    </cfRule>
  </conditionalFormatting>
  <conditionalFormatting sqref="I50:J50">
    <cfRule type="expression" dxfId="5" priority="3">
      <formula>#REF!=5</formula>
    </cfRule>
    <cfRule type="expression" dxfId="4" priority="4">
      <formula>#REF!=4</formula>
    </cfRule>
    <cfRule type="expression" dxfId="3" priority="5">
      <formula>#REF!=3</formula>
    </cfRule>
    <cfRule type="expression" dxfId="2" priority="6">
      <formula>#REF!=2</formula>
    </cfRule>
    <cfRule type="expression" dxfId="1" priority="7">
      <formula>#REF!=1</formula>
    </cfRule>
  </conditionalFormatting>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workbookViewId="0">
      <selection activeCell="E13" sqref="E13"/>
    </sheetView>
  </sheetViews>
  <sheetFormatPr defaultRowHeight="15"/>
  <cols>
    <col min="2" max="2" width="49.140625" customWidth="1"/>
    <col min="5" max="5" width="12.85546875" customWidth="1"/>
    <col min="7" max="7" width="12.140625" customWidth="1"/>
    <col min="8" max="8" width="12.28515625" customWidth="1"/>
    <col min="9" max="9" width="12.85546875" customWidth="1"/>
    <col min="11" max="11" width="12" customWidth="1"/>
    <col min="12" max="12" width="12.42578125" customWidth="1"/>
  </cols>
  <sheetData>
    <row r="1" spans="1:12">
      <c r="A1" s="701" t="s">
        <v>3739</v>
      </c>
      <c r="B1" s="702"/>
      <c r="C1" s="703"/>
      <c r="D1" s="703"/>
      <c r="E1" s="704"/>
      <c r="F1" s="704"/>
      <c r="G1" s="704"/>
      <c r="H1" s="704"/>
      <c r="I1" s="704"/>
      <c r="J1" s="704"/>
      <c r="K1" s="704"/>
      <c r="L1" s="704"/>
    </row>
    <row r="2" spans="1:12">
      <c r="A2" s="1499" t="s">
        <v>3533</v>
      </c>
      <c r="B2" s="1499"/>
      <c r="C2" s="1499"/>
      <c r="D2" s="1499"/>
      <c r="E2" s="1499"/>
      <c r="F2" s="1499"/>
      <c r="G2" s="1499"/>
      <c r="H2" s="1499"/>
      <c r="I2" s="1499"/>
      <c r="J2" s="1499"/>
      <c r="K2" s="1499"/>
      <c r="L2" s="1499"/>
    </row>
    <row r="3" spans="1:12">
      <c r="A3" s="1499" t="s">
        <v>3903</v>
      </c>
      <c r="B3" s="1499"/>
      <c r="C3" s="1499"/>
      <c r="D3" s="1499"/>
      <c r="E3" s="1499"/>
      <c r="F3" s="1499"/>
      <c r="G3" s="1499"/>
      <c r="H3" s="1499"/>
      <c r="I3" s="1499"/>
      <c r="J3" s="1499"/>
      <c r="K3" s="1499"/>
      <c r="L3" s="1499"/>
    </row>
    <row r="4" spans="1:12">
      <c r="A4" s="703"/>
      <c r="B4" s="702"/>
      <c r="C4" s="703"/>
      <c r="D4" s="703"/>
      <c r="E4" s="704"/>
      <c r="F4" s="704"/>
      <c r="G4" s="704"/>
      <c r="H4" s="704"/>
      <c r="I4" s="704"/>
      <c r="J4" s="704"/>
      <c r="K4" s="704"/>
      <c r="L4" s="704"/>
    </row>
    <row r="5" spans="1:12">
      <c r="A5" s="760" t="s">
        <v>3534</v>
      </c>
      <c r="B5" s="1500" t="s">
        <v>3535</v>
      </c>
      <c r="C5" s="760" t="s">
        <v>3536</v>
      </c>
      <c r="D5" s="706" t="s">
        <v>3537</v>
      </c>
      <c r="E5" s="707" t="s">
        <v>33</v>
      </c>
      <c r="F5" s="707"/>
      <c r="G5" s="707"/>
      <c r="H5" s="707"/>
      <c r="I5" s="707" t="s">
        <v>34</v>
      </c>
      <c r="J5" s="707"/>
      <c r="K5" s="707"/>
      <c r="L5" s="707"/>
    </row>
    <row r="6" spans="1:12">
      <c r="A6" s="761" t="s">
        <v>84</v>
      </c>
      <c r="B6" s="1501"/>
      <c r="C6" s="761" t="s">
        <v>3538</v>
      </c>
      <c r="D6" s="708" t="s">
        <v>3539</v>
      </c>
      <c r="E6" s="591" t="s">
        <v>3540</v>
      </c>
      <c r="F6" s="591" t="s">
        <v>3541</v>
      </c>
      <c r="G6" s="591" t="s">
        <v>12</v>
      </c>
      <c r="H6" s="591" t="s">
        <v>93</v>
      </c>
      <c r="I6" s="591" t="s">
        <v>3540</v>
      </c>
      <c r="J6" s="591" t="s">
        <v>3541</v>
      </c>
      <c r="K6" s="591" t="s">
        <v>12</v>
      </c>
      <c r="L6" s="591" t="s">
        <v>93</v>
      </c>
    </row>
    <row r="7" spans="1:12">
      <c r="A7" s="709" t="s">
        <v>4</v>
      </c>
      <c r="B7" s="588" t="str">
        <f>ChitietCapngam04!B9</f>
        <v>PHẦN XÂY DỰNG</v>
      </c>
      <c r="C7" s="587"/>
      <c r="D7" s="587"/>
      <c r="E7" s="591"/>
      <c r="F7" s="591"/>
      <c r="G7" s="591"/>
      <c r="H7" s="591"/>
      <c r="I7" s="591">
        <f>SUM(I8:I9)</f>
        <v>28517829.963636365</v>
      </c>
      <c r="J7" s="591">
        <f>SUM(J8:J9)</f>
        <v>0</v>
      </c>
      <c r="K7" s="591">
        <f>SUM(K8:K9)</f>
        <v>35050635.510590002</v>
      </c>
      <c r="L7" s="591">
        <f>SUM(L8:L9)</f>
        <v>9329.2794000000013</v>
      </c>
    </row>
    <row r="8" spans="1:12">
      <c r="A8" s="582">
        <f>ChitietCapngam04!A10</f>
        <v>1</v>
      </c>
      <c r="B8" s="659" t="str">
        <f>ChitetCN22!B10</f>
        <v>Mương cáp ngầm - MC1-1 (01 ống HDPE 130/110 đi dưới đất)</v>
      </c>
      <c r="C8" s="582" t="str">
        <f>ChitietCapngam04!C10</f>
        <v>m</v>
      </c>
      <c r="D8" s="586">
        <f>140</f>
        <v>140</v>
      </c>
      <c r="E8" s="583">
        <f>ChitetCN22!K10</f>
        <v>176198.78545454546</v>
      </c>
      <c r="F8" s="583">
        <f>ChitetCN22!L10</f>
        <v>0</v>
      </c>
      <c r="G8" s="583">
        <f>ChitetCN22!M10</f>
        <v>249878.55327600002</v>
      </c>
      <c r="H8" s="583">
        <f>ChitetCN22!N10</f>
        <v>0</v>
      </c>
      <c r="I8" s="584">
        <f>D8*E8</f>
        <v>24667829.963636365</v>
      </c>
      <c r="J8" s="584">
        <f>D8*F8</f>
        <v>0</v>
      </c>
      <c r="K8" s="584">
        <f>D8*G8</f>
        <v>34982997.458640002</v>
      </c>
      <c r="L8" s="584">
        <f t="shared" ref="L8:L9" si="0">D8*H8</f>
        <v>0</v>
      </c>
    </row>
    <row r="9" spans="1:12">
      <c r="A9" s="582">
        <f>ChitietCapngam04!A39</f>
        <v>3</v>
      </c>
      <c r="B9" s="659" t="str">
        <f>ChitietCapngam04!B39</f>
        <v>Mốc báo hiệu cáp ngầm</v>
      </c>
      <c r="C9" s="582" t="str">
        <f>ChitietCapngam04!C39</f>
        <v>mốc</v>
      </c>
      <c r="D9" s="582">
        <v>7</v>
      </c>
      <c r="E9" s="583">
        <f>ChitetCN22!K23</f>
        <v>550000</v>
      </c>
      <c r="F9" s="583">
        <f>ChitetCN22!L23</f>
        <v>0</v>
      </c>
      <c r="G9" s="583">
        <f>ChitetCN22!M23</f>
        <v>9662.5788500000017</v>
      </c>
      <c r="H9" s="583">
        <f>ChitetCN22!N23</f>
        <v>1332.7542000000001</v>
      </c>
      <c r="I9" s="584">
        <f t="shared" ref="I9" si="1">D9*E9</f>
        <v>3850000</v>
      </c>
      <c r="J9" s="584">
        <f t="shared" ref="J9" si="2">D9*F9</f>
        <v>0</v>
      </c>
      <c r="K9" s="584">
        <f t="shared" ref="K9" si="3">D9*G9</f>
        <v>67638.051950000008</v>
      </c>
      <c r="L9" s="584">
        <f t="shared" si="0"/>
        <v>9329.2794000000013</v>
      </c>
    </row>
    <row r="10" spans="1:12">
      <c r="A10" s="587" t="s">
        <v>6</v>
      </c>
      <c r="B10" s="588" t="str">
        <f>ChitietCapngam04!B45</f>
        <v>PHẦN ĐIỆN</v>
      </c>
      <c r="C10" s="587"/>
      <c r="D10" s="587"/>
      <c r="E10" s="589"/>
      <c r="F10" s="589"/>
      <c r="G10" s="589"/>
      <c r="H10" s="589"/>
      <c r="I10" s="591">
        <f>SUM(I11:I13)</f>
        <v>202074730</v>
      </c>
      <c r="J10" s="591">
        <f>SUM(J11:J14)</f>
        <v>168867.25</v>
      </c>
      <c r="K10" s="591">
        <f>SUM(K11:K14)</f>
        <v>5241687.4895000001</v>
      </c>
      <c r="L10" s="591">
        <f>SUM(L11:L14)</f>
        <v>3246.51</v>
      </c>
    </row>
    <row r="11" spans="1:12">
      <c r="A11" s="586">
        <f>ChitetCN22!A29</f>
        <v>1</v>
      </c>
      <c r="B11" s="660" t="str">
        <f>ChitetCN22!B29</f>
        <v>Tiếp địa cáp ngầm</v>
      </c>
      <c r="C11" s="586" t="str">
        <f>ChitietCapngam04!C46</f>
        <v>bộ</v>
      </c>
      <c r="D11" s="586">
        <f>'PPT - HT'!P10</f>
        <v>1</v>
      </c>
      <c r="E11" s="590">
        <f>ChitetCN22!K29</f>
        <v>4425880</v>
      </c>
      <c r="F11" s="590">
        <f>ChitetCN22!L29</f>
        <v>10636.400000000001</v>
      </c>
      <c r="G11" s="590">
        <f>ChitetCN22!M29</f>
        <v>134218.592</v>
      </c>
      <c r="H11" s="590">
        <f>ChitetCN22!N29</f>
        <v>3246.51</v>
      </c>
      <c r="I11" s="584">
        <f t="shared" ref="I11:I14" si="4">D11*E11</f>
        <v>4425880</v>
      </c>
      <c r="J11" s="584">
        <f t="shared" ref="J11:J14" si="5">D11*F11</f>
        <v>10636.400000000001</v>
      </c>
      <c r="K11" s="584">
        <f t="shared" ref="K11:K14" si="6">D11*G11</f>
        <v>134218.592</v>
      </c>
      <c r="L11" s="584">
        <f t="shared" ref="L11:L13" si="7">D11*H11</f>
        <v>3246.51</v>
      </c>
    </row>
    <row r="12" spans="1:12">
      <c r="A12" s="586">
        <f>ChitetCN22!A38</f>
        <v>2</v>
      </c>
      <c r="B12" s="660" t="str">
        <f>ChitetCN22!B38</f>
        <v>Cách điện , đầu cáp, phụ kiện</v>
      </c>
      <c r="C12" s="586" t="s">
        <v>95</v>
      </c>
      <c r="D12" s="586">
        <v>1</v>
      </c>
      <c r="E12" s="590">
        <f>ChitietCapngam04!K56</f>
        <v>2295000</v>
      </c>
      <c r="F12" s="590">
        <f>ChitietCapngam04!L56</f>
        <v>70400</v>
      </c>
      <c r="G12" s="590">
        <f>ChitietCapngam04!M56</f>
        <v>548469.96</v>
      </c>
      <c r="H12" s="590">
        <f>ChitietCapngam04!N56</f>
        <v>0</v>
      </c>
      <c r="I12" s="584">
        <f>D12*E12</f>
        <v>2295000</v>
      </c>
      <c r="J12" s="584">
        <f t="shared" si="5"/>
        <v>70400</v>
      </c>
      <c r="K12" s="584">
        <f t="shared" si="6"/>
        <v>548469.96</v>
      </c>
      <c r="L12" s="584"/>
    </row>
    <row r="13" spans="1:12">
      <c r="A13" s="586">
        <f>ChitetCN22!A43</f>
        <v>3</v>
      </c>
      <c r="B13" s="585" t="str">
        <f>ChitetCN22!B43</f>
        <v xml:space="preserve">Cáp ngầm và phụ kiện </v>
      </c>
      <c r="C13" s="586" t="str">
        <f>ChitietCapngam04!C68</f>
        <v>t.bộ</v>
      </c>
      <c r="D13" s="586">
        <v>1</v>
      </c>
      <c r="E13" s="590">
        <f>ChitetCN22!K43</f>
        <v>195353850</v>
      </c>
      <c r="F13" s="590">
        <f>ChitetCN22!L43</f>
        <v>53330.85</v>
      </c>
      <c r="G13" s="590">
        <f>ChitetCN22!M43</f>
        <v>2402633.6875</v>
      </c>
      <c r="H13" s="590">
        <f>ChitetCN22!N43</f>
        <v>0</v>
      </c>
      <c r="I13" s="584">
        <f t="shared" si="4"/>
        <v>195353850</v>
      </c>
      <c r="J13" s="584">
        <f t="shared" si="5"/>
        <v>53330.85</v>
      </c>
      <c r="K13" s="584">
        <f t="shared" si="6"/>
        <v>2402633.6875</v>
      </c>
      <c r="L13" s="584">
        <f t="shared" si="7"/>
        <v>0</v>
      </c>
    </row>
    <row r="14" spans="1:12">
      <c r="A14" s="1318">
        <f>ChitetCN22!A49</f>
        <v>4</v>
      </c>
      <c r="B14" s="1317" t="str">
        <f>ChitetCN22!B49</f>
        <v>Thu hồi cáp ngầm</v>
      </c>
      <c r="C14" s="1318" t="str">
        <f>ChitetCN22!C49</f>
        <v>t.bộ</v>
      </c>
      <c r="D14" s="1318">
        <f>ChitetCN22!D49</f>
        <v>1</v>
      </c>
      <c r="E14" s="1319">
        <f>ChitetCN22!K49</f>
        <v>0</v>
      </c>
      <c r="F14" s="1319">
        <f>ChitetCN22!L49</f>
        <v>34500</v>
      </c>
      <c r="G14" s="1319">
        <f>ChitetCN22!M49</f>
        <v>2156365.25</v>
      </c>
      <c r="H14" s="1319">
        <f>ChitetCN22!N49</f>
        <v>0</v>
      </c>
      <c r="I14" s="584">
        <f t="shared" si="4"/>
        <v>0</v>
      </c>
      <c r="J14" s="584">
        <f t="shared" si="5"/>
        <v>34500</v>
      </c>
      <c r="K14" s="584">
        <f t="shared" si="6"/>
        <v>2156365.25</v>
      </c>
      <c r="L14" s="1319"/>
    </row>
    <row r="15" spans="1:12">
      <c r="A15" s="705"/>
      <c r="B15" s="705"/>
      <c r="C15" s="712"/>
      <c r="D15" s="705"/>
      <c r="E15" s="713"/>
      <c r="F15" s="713"/>
      <c r="G15" s="713"/>
      <c r="H15" s="713"/>
      <c r="I15" s="713"/>
      <c r="J15" s="713"/>
      <c r="K15" s="713"/>
      <c r="L15" s="713"/>
    </row>
  </sheetData>
  <mergeCells count="3">
    <mergeCell ref="A2:L2"/>
    <mergeCell ref="A3:L3"/>
    <mergeCell ref="B5:B6"/>
  </mergeCells>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
  <sheetViews>
    <sheetView workbookViewId="0">
      <selection activeCell="F21" sqref="F21"/>
    </sheetView>
  </sheetViews>
  <sheetFormatPr defaultRowHeight="15"/>
  <cols>
    <col min="1" max="1" width="15.42578125" customWidth="1"/>
    <col min="2" max="2" width="34.5703125" customWidth="1"/>
    <col min="3" max="3" width="8.42578125" customWidth="1"/>
    <col min="4" max="4" width="8.140625" customWidth="1"/>
    <col min="5" max="5" width="9.7109375" customWidth="1"/>
    <col min="6" max="6" width="9.28515625" customWidth="1"/>
    <col min="7" max="7" width="11.28515625" customWidth="1"/>
    <col min="8" max="8" width="10.42578125" customWidth="1"/>
    <col min="9" max="9" width="12" customWidth="1"/>
    <col min="10" max="10" width="13.85546875" customWidth="1"/>
  </cols>
  <sheetData>
    <row r="1" spans="1:10">
      <c r="A1" s="748" t="s">
        <v>3707</v>
      </c>
      <c r="B1" s="749"/>
      <c r="C1" s="749"/>
      <c r="D1" s="750"/>
      <c r="E1" s="749"/>
      <c r="F1" s="749"/>
      <c r="G1" s="749"/>
      <c r="H1" s="751"/>
      <c r="I1" s="751"/>
      <c r="J1" s="751"/>
    </row>
    <row r="2" spans="1:10">
      <c r="A2" s="1540" t="s">
        <v>199</v>
      </c>
      <c r="B2" s="1540"/>
      <c r="C2" s="1540"/>
      <c r="D2" s="1540"/>
      <c r="E2" s="1540"/>
      <c r="F2" s="1540"/>
      <c r="G2" s="1540"/>
      <c r="H2" s="1540"/>
      <c r="I2" s="1540"/>
      <c r="J2" s="1540"/>
    </row>
    <row r="3" spans="1:10">
      <c r="A3" s="1540" t="s">
        <v>3903</v>
      </c>
      <c r="B3" s="1540"/>
      <c r="C3" s="1540"/>
      <c r="D3" s="1540"/>
      <c r="E3" s="1540"/>
      <c r="F3" s="1540"/>
      <c r="G3" s="1540"/>
      <c r="H3" s="1540"/>
      <c r="I3" s="1540"/>
      <c r="J3" s="1540"/>
    </row>
    <row r="4" spans="1:10">
      <c r="A4" s="749"/>
      <c r="B4" s="749"/>
      <c r="C4" s="749"/>
      <c r="D4" s="750"/>
      <c r="E4" s="749"/>
      <c r="F4" s="749"/>
      <c r="G4" s="749"/>
      <c r="H4" s="751"/>
      <c r="I4" s="751"/>
      <c r="J4" s="751"/>
    </row>
    <row r="5" spans="1:10">
      <c r="A5" s="1541" t="s">
        <v>99</v>
      </c>
      <c r="B5" s="1541" t="s">
        <v>200</v>
      </c>
      <c r="C5" s="1541" t="s">
        <v>101</v>
      </c>
      <c r="D5" s="1541" t="s">
        <v>102</v>
      </c>
      <c r="E5" s="752" t="s">
        <v>97</v>
      </c>
      <c r="F5" s="752"/>
      <c r="G5" s="752"/>
      <c r="H5" s="753" t="s">
        <v>201</v>
      </c>
      <c r="I5" s="753"/>
      <c r="J5" s="753"/>
    </row>
    <row r="6" spans="1:10">
      <c r="A6" s="1541"/>
      <c r="B6" s="1541"/>
      <c r="C6" s="1541"/>
      <c r="D6" s="1541"/>
      <c r="E6" s="822" t="s">
        <v>11</v>
      </c>
      <c r="F6" s="822" t="s">
        <v>12</v>
      </c>
      <c r="G6" s="822" t="s">
        <v>93</v>
      </c>
      <c r="H6" s="754" t="s">
        <v>11</v>
      </c>
      <c r="I6" s="754" t="s">
        <v>12</v>
      </c>
      <c r="J6" s="754" t="s">
        <v>93</v>
      </c>
    </row>
    <row r="7" spans="1:10" ht="15.75">
      <c r="A7" s="1269" t="str">
        <f>TNHC!A233</f>
        <v>EB.114010</v>
      </c>
      <c r="B7" s="1270" t="str">
        <f>TNHC!B233</f>
        <v>Cáp lực, điện áp 1-35kV, cáp 1 ruột</v>
      </c>
      <c r="C7" s="628" t="s">
        <v>208</v>
      </c>
      <c r="D7" s="755">
        <v>1</v>
      </c>
      <c r="E7" s="629">
        <f>TNHC!F233</f>
        <v>761044</v>
      </c>
      <c r="F7" s="629">
        <f>TNHC!G233</f>
        <v>6741877.4920000006</v>
      </c>
      <c r="G7" s="629">
        <f>TNHC!H233</f>
        <v>2772417.4909999999</v>
      </c>
      <c r="H7" s="756">
        <f>D7*E7</f>
        <v>761044</v>
      </c>
      <c r="I7" s="756">
        <f>D7*F7</f>
        <v>6741877.4920000006</v>
      </c>
      <c r="J7" s="756">
        <f>D7*G7</f>
        <v>2772417.4909999999</v>
      </c>
    </row>
    <row r="8" spans="1:10">
      <c r="A8" s="757"/>
      <c r="B8" s="757" t="s">
        <v>212</v>
      </c>
      <c r="C8" s="757"/>
      <c r="D8" s="757"/>
      <c r="E8" s="758"/>
      <c r="F8" s="758"/>
      <c r="G8" s="758"/>
      <c r="H8" s="759">
        <f>SUM(H7:H7)</f>
        <v>761044</v>
      </c>
      <c r="I8" s="759">
        <f>SUM(I7:I7)</f>
        <v>6741877.4920000006</v>
      </c>
      <c r="J8" s="759">
        <f>SUM(J7:J7)</f>
        <v>2772417.4909999999</v>
      </c>
    </row>
  </sheetData>
  <mergeCells count="6">
    <mergeCell ref="A2:J2"/>
    <mergeCell ref="A3:J3"/>
    <mergeCell ref="A5:A6"/>
    <mergeCell ref="B5:B6"/>
    <mergeCell ref="C5:C6"/>
    <mergeCell ref="D5:D6"/>
  </mergeCells>
  <pageMargins left="0.7" right="0.7" top="0.75" bottom="0.75" header="0.3" footer="0.3"/>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68"/>
  <sheetViews>
    <sheetView topLeftCell="A5260" zoomScale="70" zoomScaleNormal="70" workbookViewId="0">
      <selection activeCell="H5112" sqref="H5112"/>
    </sheetView>
  </sheetViews>
  <sheetFormatPr defaultColWidth="9.140625" defaultRowHeight="15.75"/>
  <cols>
    <col min="1" max="1" width="6.5703125" style="1052" customWidth="1"/>
    <col min="2" max="2" width="12.42578125" style="913" customWidth="1"/>
    <col min="3" max="4" width="6.42578125" style="1053" customWidth="1"/>
    <col min="5" max="5" width="56" style="913" customWidth="1"/>
    <col min="6" max="6" width="9.85546875" style="913" customWidth="1"/>
    <col min="7" max="7" width="7" style="913" customWidth="1"/>
    <col min="8" max="8" width="12.5703125" style="1054" customWidth="1"/>
    <col min="9" max="10" width="12.5703125" style="1055" customWidth="1"/>
    <col min="11" max="11" width="10.42578125" style="1055" customWidth="1"/>
    <col min="12" max="14" width="12.5703125" style="1055" customWidth="1"/>
    <col min="15" max="15" width="12.7109375" style="1056" bestFit="1" customWidth="1"/>
    <col min="16" max="16" width="14.42578125" style="1056" bestFit="1" customWidth="1"/>
    <col min="17" max="256" width="9.140625" style="913"/>
    <col min="257" max="257" width="6.5703125" style="913" customWidth="1"/>
    <col min="258" max="258" width="12.42578125" style="913" customWidth="1"/>
    <col min="259" max="260" width="6.42578125" style="913" customWidth="1"/>
    <col min="261" max="261" width="56" style="913" customWidth="1"/>
    <col min="262" max="262" width="9.85546875" style="913" customWidth="1"/>
    <col min="263" max="263" width="7" style="913" customWidth="1"/>
    <col min="264" max="266" width="12.5703125" style="913" customWidth="1"/>
    <col min="267" max="267" width="8.42578125" style="913" bestFit="1" customWidth="1"/>
    <col min="268" max="270" width="12.5703125" style="913" customWidth="1"/>
    <col min="271" max="271" width="12.7109375" style="913" bestFit="1" customWidth="1"/>
    <col min="272" max="272" width="14.42578125" style="913" bestFit="1" customWidth="1"/>
    <col min="273" max="512" width="9.140625" style="913"/>
    <col min="513" max="513" width="6.5703125" style="913" customWidth="1"/>
    <col min="514" max="514" width="12.42578125" style="913" customWidth="1"/>
    <col min="515" max="516" width="6.42578125" style="913" customWidth="1"/>
    <col min="517" max="517" width="56" style="913" customWidth="1"/>
    <col min="518" max="518" width="9.85546875" style="913" customWidth="1"/>
    <col min="519" max="519" width="7" style="913" customWidth="1"/>
    <col min="520" max="522" width="12.5703125" style="913" customWidth="1"/>
    <col min="523" max="523" width="8.42578125" style="913" bestFit="1" customWidth="1"/>
    <col min="524" max="526" width="12.5703125" style="913" customWidth="1"/>
    <col min="527" max="527" width="12.7109375" style="913" bestFit="1" customWidth="1"/>
    <col min="528" max="528" width="14.42578125" style="913" bestFit="1" customWidth="1"/>
    <col min="529" max="768" width="9.140625" style="913"/>
    <col min="769" max="769" width="6.5703125" style="913" customWidth="1"/>
    <col min="770" max="770" width="12.42578125" style="913" customWidth="1"/>
    <col min="771" max="772" width="6.42578125" style="913" customWidth="1"/>
    <col min="773" max="773" width="56" style="913" customWidth="1"/>
    <col min="774" max="774" width="9.85546875" style="913" customWidth="1"/>
    <col min="775" max="775" width="7" style="913" customWidth="1"/>
    <col min="776" max="778" width="12.5703125" style="913" customWidth="1"/>
    <col min="779" max="779" width="8.42578125" style="913" bestFit="1" customWidth="1"/>
    <col min="780" max="782" width="12.5703125" style="913" customWidth="1"/>
    <col min="783" max="783" width="12.7109375" style="913" bestFit="1" customWidth="1"/>
    <col min="784" max="784" width="14.42578125" style="913" bestFit="1" customWidth="1"/>
    <col min="785" max="1024" width="9.140625" style="913"/>
    <col min="1025" max="1025" width="6.5703125" style="913" customWidth="1"/>
    <col min="1026" max="1026" width="12.42578125" style="913" customWidth="1"/>
    <col min="1027" max="1028" width="6.42578125" style="913" customWidth="1"/>
    <col min="1029" max="1029" width="56" style="913" customWidth="1"/>
    <col min="1030" max="1030" width="9.85546875" style="913" customWidth="1"/>
    <col min="1031" max="1031" width="7" style="913" customWidth="1"/>
    <col min="1032" max="1034" width="12.5703125" style="913" customWidth="1"/>
    <col min="1035" max="1035" width="8.42578125" style="913" bestFit="1" customWidth="1"/>
    <col min="1036" max="1038" width="12.5703125" style="913" customWidth="1"/>
    <col min="1039" max="1039" width="12.7109375" style="913" bestFit="1" customWidth="1"/>
    <col min="1040" max="1040" width="14.42578125" style="913" bestFit="1" customWidth="1"/>
    <col min="1041" max="1280" width="9.140625" style="913"/>
    <col min="1281" max="1281" width="6.5703125" style="913" customWidth="1"/>
    <col min="1282" max="1282" width="12.42578125" style="913" customWidth="1"/>
    <col min="1283" max="1284" width="6.42578125" style="913" customWidth="1"/>
    <col min="1285" max="1285" width="56" style="913" customWidth="1"/>
    <col min="1286" max="1286" width="9.85546875" style="913" customWidth="1"/>
    <col min="1287" max="1287" width="7" style="913" customWidth="1"/>
    <col min="1288" max="1290" width="12.5703125" style="913" customWidth="1"/>
    <col min="1291" max="1291" width="8.42578125" style="913" bestFit="1" customWidth="1"/>
    <col min="1292" max="1294" width="12.5703125" style="913" customWidth="1"/>
    <col min="1295" max="1295" width="12.7109375" style="913" bestFit="1" customWidth="1"/>
    <col min="1296" max="1296" width="14.42578125" style="913" bestFit="1" customWidth="1"/>
    <col min="1297" max="1536" width="9.140625" style="913"/>
    <col min="1537" max="1537" width="6.5703125" style="913" customWidth="1"/>
    <col min="1538" max="1538" width="12.42578125" style="913" customWidth="1"/>
    <col min="1539" max="1540" width="6.42578125" style="913" customWidth="1"/>
    <col min="1541" max="1541" width="56" style="913" customWidth="1"/>
    <col min="1542" max="1542" width="9.85546875" style="913" customWidth="1"/>
    <col min="1543" max="1543" width="7" style="913" customWidth="1"/>
    <col min="1544" max="1546" width="12.5703125" style="913" customWidth="1"/>
    <col min="1547" max="1547" width="8.42578125" style="913" bestFit="1" customWidth="1"/>
    <col min="1548" max="1550" width="12.5703125" style="913" customWidth="1"/>
    <col min="1551" max="1551" width="12.7109375" style="913" bestFit="1" customWidth="1"/>
    <col min="1552" max="1552" width="14.42578125" style="913" bestFit="1" customWidth="1"/>
    <col min="1553" max="1792" width="9.140625" style="913"/>
    <col min="1793" max="1793" width="6.5703125" style="913" customWidth="1"/>
    <col min="1794" max="1794" width="12.42578125" style="913" customWidth="1"/>
    <col min="1795" max="1796" width="6.42578125" style="913" customWidth="1"/>
    <col min="1797" max="1797" width="56" style="913" customWidth="1"/>
    <col min="1798" max="1798" width="9.85546875" style="913" customWidth="1"/>
    <col min="1799" max="1799" width="7" style="913" customWidth="1"/>
    <col min="1800" max="1802" width="12.5703125" style="913" customWidth="1"/>
    <col min="1803" max="1803" width="8.42578125" style="913" bestFit="1" customWidth="1"/>
    <col min="1804" max="1806" width="12.5703125" style="913" customWidth="1"/>
    <col min="1807" max="1807" width="12.7109375" style="913" bestFit="1" customWidth="1"/>
    <col min="1808" max="1808" width="14.42578125" style="913" bestFit="1" customWidth="1"/>
    <col min="1809" max="2048" width="9.140625" style="913"/>
    <col min="2049" max="2049" width="6.5703125" style="913" customWidth="1"/>
    <col min="2050" max="2050" width="12.42578125" style="913" customWidth="1"/>
    <col min="2051" max="2052" width="6.42578125" style="913" customWidth="1"/>
    <col min="2053" max="2053" width="56" style="913" customWidth="1"/>
    <col min="2054" max="2054" width="9.85546875" style="913" customWidth="1"/>
    <col min="2055" max="2055" width="7" style="913" customWidth="1"/>
    <col min="2056" max="2058" width="12.5703125" style="913" customWidth="1"/>
    <col min="2059" max="2059" width="8.42578125" style="913" bestFit="1" customWidth="1"/>
    <col min="2060" max="2062" width="12.5703125" style="913" customWidth="1"/>
    <col min="2063" max="2063" width="12.7109375" style="913" bestFit="1" customWidth="1"/>
    <col min="2064" max="2064" width="14.42578125" style="913" bestFit="1" customWidth="1"/>
    <col min="2065" max="2304" width="9.140625" style="913"/>
    <col min="2305" max="2305" width="6.5703125" style="913" customWidth="1"/>
    <col min="2306" max="2306" width="12.42578125" style="913" customWidth="1"/>
    <col min="2307" max="2308" width="6.42578125" style="913" customWidth="1"/>
    <col min="2309" max="2309" width="56" style="913" customWidth="1"/>
    <col min="2310" max="2310" width="9.85546875" style="913" customWidth="1"/>
    <col min="2311" max="2311" width="7" style="913" customWidth="1"/>
    <col min="2312" max="2314" width="12.5703125" style="913" customWidth="1"/>
    <col min="2315" max="2315" width="8.42578125" style="913" bestFit="1" customWidth="1"/>
    <col min="2316" max="2318" width="12.5703125" style="913" customWidth="1"/>
    <col min="2319" max="2319" width="12.7109375" style="913" bestFit="1" customWidth="1"/>
    <col min="2320" max="2320" width="14.42578125" style="913" bestFit="1" customWidth="1"/>
    <col min="2321" max="2560" width="9.140625" style="913"/>
    <col min="2561" max="2561" width="6.5703125" style="913" customWidth="1"/>
    <col min="2562" max="2562" width="12.42578125" style="913" customWidth="1"/>
    <col min="2563" max="2564" width="6.42578125" style="913" customWidth="1"/>
    <col min="2565" max="2565" width="56" style="913" customWidth="1"/>
    <col min="2566" max="2566" width="9.85546875" style="913" customWidth="1"/>
    <col min="2567" max="2567" width="7" style="913" customWidth="1"/>
    <col min="2568" max="2570" width="12.5703125" style="913" customWidth="1"/>
    <col min="2571" max="2571" width="8.42578125" style="913" bestFit="1" customWidth="1"/>
    <col min="2572" max="2574" width="12.5703125" style="913" customWidth="1"/>
    <col min="2575" max="2575" width="12.7109375" style="913" bestFit="1" customWidth="1"/>
    <col min="2576" max="2576" width="14.42578125" style="913" bestFit="1" customWidth="1"/>
    <col min="2577" max="2816" width="9.140625" style="913"/>
    <col min="2817" max="2817" width="6.5703125" style="913" customWidth="1"/>
    <col min="2818" max="2818" width="12.42578125" style="913" customWidth="1"/>
    <col min="2819" max="2820" width="6.42578125" style="913" customWidth="1"/>
    <col min="2821" max="2821" width="56" style="913" customWidth="1"/>
    <col min="2822" max="2822" width="9.85546875" style="913" customWidth="1"/>
    <col min="2823" max="2823" width="7" style="913" customWidth="1"/>
    <col min="2824" max="2826" width="12.5703125" style="913" customWidth="1"/>
    <col min="2827" max="2827" width="8.42578125" style="913" bestFit="1" customWidth="1"/>
    <col min="2828" max="2830" width="12.5703125" style="913" customWidth="1"/>
    <col min="2831" max="2831" width="12.7109375" style="913" bestFit="1" customWidth="1"/>
    <col min="2832" max="2832" width="14.42578125" style="913" bestFit="1" customWidth="1"/>
    <col min="2833" max="3072" width="9.140625" style="913"/>
    <col min="3073" max="3073" width="6.5703125" style="913" customWidth="1"/>
    <col min="3074" max="3074" width="12.42578125" style="913" customWidth="1"/>
    <col min="3075" max="3076" width="6.42578125" style="913" customWidth="1"/>
    <col min="3077" max="3077" width="56" style="913" customWidth="1"/>
    <col min="3078" max="3078" width="9.85546875" style="913" customWidth="1"/>
    <col min="3079" max="3079" width="7" style="913" customWidth="1"/>
    <col min="3080" max="3082" width="12.5703125" style="913" customWidth="1"/>
    <col min="3083" max="3083" width="8.42578125" style="913" bestFit="1" customWidth="1"/>
    <col min="3084" max="3086" width="12.5703125" style="913" customWidth="1"/>
    <col min="3087" max="3087" width="12.7109375" style="913" bestFit="1" customWidth="1"/>
    <col min="3088" max="3088" width="14.42578125" style="913" bestFit="1" customWidth="1"/>
    <col min="3089" max="3328" width="9.140625" style="913"/>
    <col min="3329" max="3329" width="6.5703125" style="913" customWidth="1"/>
    <col min="3330" max="3330" width="12.42578125" style="913" customWidth="1"/>
    <col min="3331" max="3332" width="6.42578125" style="913" customWidth="1"/>
    <col min="3333" max="3333" width="56" style="913" customWidth="1"/>
    <col min="3334" max="3334" width="9.85546875" style="913" customWidth="1"/>
    <col min="3335" max="3335" width="7" style="913" customWidth="1"/>
    <col min="3336" max="3338" width="12.5703125" style="913" customWidth="1"/>
    <col min="3339" max="3339" width="8.42578125" style="913" bestFit="1" customWidth="1"/>
    <col min="3340" max="3342" width="12.5703125" style="913" customWidth="1"/>
    <col min="3343" max="3343" width="12.7109375" style="913" bestFit="1" customWidth="1"/>
    <col min="3344" max="3344" width="14.42578125" style="913" bestFit="1" customWidth="1"/>
    <col min="3345" max="3584" width="9.140625" style="913"/>
    <col min="3585" max="3585" width="6.5703125" style="913" customWidth="1"/>
    <col min="3586" max="3586" width="12.42578125" style="913" customWidth="1"/>
    <col min="3587" max="3588" width="6.42578125" style="913" customWidth="1"/>
    <col min="3589" max="3589" width="56" style="913" customWidth="1"/>
    <col min="3590" max="3590" width="9.85546875" style="913" customWidth="1"/>
    <col min="3591" max="3591" width="7" style="913" customWidth="1"/>
    <col min="3592" max="3594" width="12.5703125" style="913" customWidth="1"/>
    <col min="3595" max="3595" width="8.42578125" style="913" bestFit="1" customWidth="1"/>
    <col min="3596" max="3598" width="12.5703125" style="913" customWidth="1"/>
    <col min="3599" max="3599" width="12.7109375" style="913" bestFit="1" customWidth="1"/>
    <col min="3600" max="3600" width="14.42578125" style="913" bestFit="1" customWidth="1"/>
    <col min="3601" max="3840" width="9.140625" style="913"/>
    <col min="3841" max="3841" width="6.5703125" style="913" customWidth="1"/>
    <col min="3842" max="3842" width="12.42578125" style="913" customWidth="1"/>
    <col min="3843" max="3844" width="6.42578125" style="913" customWidth="1"/>
    <col min="3845" max="3845" width="56" style="913" customWidth="1"/>
    <col min="3846" max="3846" width="9.85546875" style="913" customWidth="1"/>
    <col min="3847" max="3847" width="7" style="913" customWidth="1"/>
    <col min="3848" max="3850" width="12.5703125" style="913" customWidth="1"/>
    <col min="3851" max="3851" width="8.42578125" style="913" bestFit="1" customWidth="1"/>
    <col min="3852" max="3854" width="12.5703125" style="913" customWidth="1"/>
    <col min="3855" max="3855" width="12.7109375" style="913" bestFit="1" customWidth="1"/>
    <col min="3856" max="3856" width="14.42578125" style="913" bestFit="1" customWidth="1"/>
    <col min="3857" max="4096" width="9.140625" style="913"/>
    <col min="4097" max="4097" width="6.5703125" style="913" customWidth="1"/>
    <col min="4098" max="4098" width="12.42578125" style="913" customWidth="1"/>
    <col min="4099" max="4100" width="6.42578125" style="913" customWidth="1"/>
    <col min="4101" max="4101" width="56" style="913" customWidth="1"/>
    <col min="4102" max="4102" width="9.85546875" style="913" customWidth="1"/>
    <col min="4103" max="4103" width="7" style="913" customWidth="1"/>
    <col min="4104" max="4106" width="12.5703125" style="913" customWidth="1"/>
    <col min="4107" max="4107" width="8.42578125" style="913" bestFit="1" customWidth="1"/>
    <col min="4108" max="4110" width="12.5703125" style="913" customWidth="1"/>
    <col min="4111" max="4111" width="12.7109375" style="913" bestFit="1" customWidth="1"/>
    <col min="4112" max="4112" width="14.42578125" style="913" bestFit="1" customWidth="1"/>
    <col min="4113" max="4352" width="9.140625" style="913"/>
    <col min="4353" max="4353" width="6.5703125" style="913" customWidth="1"/>
    <col min="4354" max="4354" width="12.42578125" style="913" customWidth="1"/>
    <col min="4355" max="4356" width="6.42578125" style="913" customWidth="1"/>
    <col min="4357" max="4357" width="56" style="913" customWidth="1"/>
    <col min="4358" max="4358" width="9.85546875" style="913" customWidth="1"/>
    <col min="4359" max="4359" width="7" style="913" customWidth="1"/>
    <col min="4360" max="4362" width="12.5703125" style="913" customWidth="1"/>
    <col min="4363" max="4363" width="8.42578125" style="913" bestFit="1" customWidth="1"/>
    <col min="4364" max="4366" width="12.5703125" style="913" customWidth="1"/>
    <col min="4367" max="4367" width="12.7109375" style="913" bestFit="1" customWidth="1"/>
    <col min="4368" max="4368" width="14.42578125" style="913" bestFit="1" customWidth="1"/>
    <col min="4369" max="4608" width="9.140625" style="913"/>
    <col min="4609" max="4609" width="6.5703125" style="913" customWidth="1"/>
    <col min="4610" max="4610" width="12.42578125" style="913" customWidth="1"/>
    <col min="4611" max="4612" width="6.42578125" style="913" customWidth="1"/>
    <col min="4613" max="4613" width="56" style="913" customWidth="1"/>
    <col min="4614" max="4614" width="9.85546875" style="913" customWidth="1"/>
    <col min="4615" max="4615" width="7" style="913" customWidth="1"/>
    <col min="4616" max="4618" width="12.5703125" style="913" customWidth="1"/>
    <col min="4619" max="4619" width="8.42578125" style="913" bestFit="1" customWidth="1"/>
    <col min="4620" max="4622" width="12.5703125" style="913" customWidth="1"/>
    <col min="4623" max="4623" width="12.7109375" style="913" bestFit="1" customWidth="1"/>
    <col min="4624" max="4624" width="14.42578125" style="913" bestFit="1" customWidth="1"/>
    <col min="4625" max="4864" width="9.140625" style="913"/>
    <col min="4865" max="4865" width="6.5703125" style="913" customWidth="1"/>
    <col min="4866" max="4866" width="12.42578125" style="913" customWidth="1"/>
    <col min="4867" max="4868" width="6.42578125" style="913" customWidth="1"/>
    <col min="4869" max="4869" width="56" style="913" customWidth="1"/>
    <col min="4870" max="4870" width="9.85546875" style="913" customWidth="1"/>
    <col min="4871" max="4871" width="7" style="913" customWidth="1"/>
    <col min="4872" max="4874" width="12.5703125" style="913" customWidth="1"/>
    <col min="4875" max="4875" width="8.42578125" style="913" bestFit="1" customWidth="1"/>
    <col min="4876" max="4878" width="12.5703125" style="913" customWidth="1"/>
    <col min="4879" max="4879" width="12.7109375" style="913" bestFit="1" customWidth="1"/>
    <col min="4880" max="4880" width="14.42578125" style="913" bestFit="1" customWidth="1"/>
    <col min="4881" max="5120" width="9.140625" style="913"/>
    <col min="5121" max="5121" width="6.5703125" style="913" customWidth="1"/>
    <col min="5122" max="5122" width="12.42578125" style="913" customWidth="1"/>
    <col min="5123" max="5124" width="6.42578125" style="913" customWidth="1"/>
    <col min="5125" max="5125" width="56" style="913" customWidth="1"/>
    <col min="5126" max="5126" width="9.85546875" style="913" customWidth="1"/>
    <col min="5127" max="5127" width="7" style="913" customWidth="1"/>
    <col min="5128" max="5130" width="12.5703125" style="913" customWidth="1"/>
    <col min="5131" max="5131" width="8.42578125" style="913" bestFit="1" customWidth="1"/>
    <col min="5132" max="5134" width="12.5703125" style="913" customWidth="1"/>
    <col min="5135" max="5135" width="12.7109375" style="913" bestFit="1" customWidth="1"/>
    <col min="5136" max="5136" width="14.42578125" style="913" bestFit="1" customWidth="1"/>
    <col min="5137" max="5376" width="9.140625" style="913"/>
    <col min="5377" max="5377" width="6.5703125" style="913" customWidth="1"/>
    <col min="5378" max="5378" width="12.42578125" style="913" customWidth="1"/>
    <col min="5379" max="5380" width="6.42578125" style="913" customWidth="1"/>
    <col min="5381" max="5381" width="56" style="913" customWidth="1"/>
    <col min="5382" max="5382" width="9.85546875" style="913" customWidth="1"/>
    <col min="5383" max="5383" width="7" style="913" customWidth="1"/>
    <col min="5384" max="5386" width="12.5703125" style="913" customWidth="1"/>
    <col min="5387" max="5387" width="8.42578125" style="913" bestFit="1" customWidth="1"/>
    <col min="5388" max="5390" width="12.5703125" style="913" customWidth="1"/>
    <col min="5391" max="5391" width="12.7109375" style="913" bestFit="1" customWidth="1"/>
    <col min="5392" max="5392" width="14.42578125" style="913" bestFit="1" customWidth="1"/>
    <col min="5393" max="5632" width="9.140625" style="913"/>
    <col min="5633" max="5633" width="6.5703125" style="913" customWidth="1"/>
    <col min="5634" max="5634" width="12.42578125" style="913" customWidth="1"/>
    <col min="5635" max="5636" width="6.42578125" style="913" customWidth="1"/>
    <col min="5637" max="5637" width="56" style="913" customWidth="1"/>
    <col min="5638" max="5638" width="9.85546875" style="913" customWidth="1"/>
    <col min="5639" max="5639" width="7" style="913" customWidth="1"/>
    <col min="5640" max="5642" width="12.5703125" style="913" customWidth="1"/>
    <col min="5643" max="5643" width="8.42578125" style="913" bestFit="1" customWidth="1"/>
    <col min="5644" max="5646" width="12.5703125" style="913" customWidth="1"/>
    <col min="5647" max="5647" width="12.7109375" style="913" bestFit="1" customWidth="1"/>
    <col min="5648" max="5648" width="14.42578125" style="913" bestFit="1" customWidth="1"/>
    <col min="5649" max="5888" width="9.140625" style="913"/>
    <col min="5889" max="5889" width="6.5703125" style="913" customWidth="1"/>
    <col min="5890" max="5890" width="12.42578125" style="913" customWidth="1"/>
    <col min="5891" max="5892" width="6.42578125" style="913" customWidth="1"/>
    <col min="5893" max="5893" width="56" style="913" customWidth="1"/>
    <col min="5894" max="5894" width="9.85546875" style="913" customWidth="1"/>
    <col min="5895" max="5895" width="7" style="913" customWidth="1"/>
    <col min="5896" max="5898" width="12.5703125" style="913" customWidth="1"/>
    <col min="5899" max="5899" width="8.42578125" style="913" bestFit="1" customWidth="1"/>
    <col min="5900" max="5902" width="12.5703125" style="913" customWidth="1"/>
    <col min="5903" max="5903" width="12.7109375" style="913" bestFit="1" customWidth="1"/>
    <col min="5904" max="5904" width="14.42578125" style="913" bestFit="1" customWidth="1"/>
    <col min="5905" max="6144" width="9.140625" style="913"/>
    <col min="6145" max="6145" width="6.5703125" style="913" customWidth="1"/>
    <col min="6146" max="6146" width="12.42578125" style="913" customWidth="1"/>
    <col min="6147" max="6148" width="6.42578125" style="913" customWidth="1"/>
    <col min="6149" max="6149" width="56" style="913" customWidth="1"/>
    <col min="6150" max="6150" width="9.85546875" style="913" customWidth="1"/>
    <col min="6151" max="6151" width="7" style="913" customWidth="1"/>
    <col min="6152" max="6154" width="12.5703125" style="913" customWidth="1"/>
    <col min="6155" max="6155" width="8.42578125" style="913" bestFit="1" customWidth="1"/>
    <col min="6156" max="6158" width="12.5703125" style="913" customWidth="1"/>
    <col min="6159" max="6159" width="12.7109375" style="913" bestFit="1" customWidth="1"/>
    <col min="6160" max="6160" width="14.42578125" style="913" bestFit="1" customWidth="1"/>
    <col min="6161" max="6400" width="9.140625" style="913"/>
    <col min="6401" max="6401" width="6.5703125" style="913" customWidth="1"/>
    <col min="6402" max="6402" width="12.42578125" style="913" customWidth="1"/>
    <col min="6403" max="6404" width="6.42578125" style="913" customWidth="1"/>
    <col min="6405" max="6405" width="56" style="913" customWidth="1"/>
    <col min="6406" max="6406" width="9.85546875" style="913" customWidth="1"/>
    <col min="6407" max="6407" width="7" style="913" customWidth="1"/>
    <col min="6408" max="6410" width="12.5703125" style="913" customWidth="1"/>
    <col min="6411" max="6411" width="8.42578125" style="913" bestFit="1" customWidth="1"/>
    <col min="6412" max="6414" width="12.5703125" style="913" customWidth="1"/>
    <col min="6415" max="6415" width="12.7109375" style="913" bestFit="1" customWidth="1"/>
    <col min="6416" max="6416" width="14.42578125" style="913" bestFit="1" customWidth="1"/>
    <col min="6417" max="6656" width="9.140625" style="913"/>
    <col min="6657" max="6657" width="6.5703125" style="913" customWidth="1"/>
    <col min="6658" max="6658" width="12.42578125" style="913" customWidth="1"/>
    <col min="6659" max="6660" width="6.42578125" style="913" customWidth="1"/>
    <col min="6661" max="6661" width="56" style="913" customWidth="1"/>
    <col min="6662" max="6662" width="9.85546875" style="913" customWidth="1"/>
    <col min="6663" max="6663" width="7" style="913" customWidth="1"/>
    <col min="6664" max="6666" width="12.5703125" style="913" customWidth="1"/>
    <col min="6667" max="6667" width="8.42578125" style="913" bestFit="1" customWidth="1"/>
    <col min="6668" max="6670" width="12.5703125" style="913" customWidth="1"/>
    <col min="6671" max="6671" width="12.7109375" style="913" bestFit="1" customWidth="1"/>
    <col min="6672" max="6672" width="14.42578125" style="913" bestFit="1" customWidth="1"/>
    <col min="6673" max="6912" width="9.140625" style="913"/>
    <col min="6913" max="6913" width="6.5703125" style="913" customWidth="1"/>
    <col min="6914" max="6914" width="12.42578125" style="913" customWidth="1"/>
    <col min="6915" max="6916" width="6.42578125" style="913" customWidth="1"/>
    <col min="6917" max="6917" width="56" style="913" customWidth="1"/>
    <col min="6918" max="6918" width="9.85546875" style="913" customWidth="1"/>
    <col min="6919" max="6919" width="7" style="913" customWidth="1"/>
    <col min="6920" max="6922" width="12.5703125" style="913" customWidth="1"/>
    <col min="6923" max="6923" width="8.42578125" style="913" bestFit="1" customWidth="1"/>
    <col min="6924" max="6926" width="12.5703125" style="913" customWidth="1"/>
    <col min="6927" max="6927" width="12.7109375" style="913" bestFit="1" customWidth="1"/>
    <col min="6928" max="6928" width="14.42578125" style="913" bestFit="1" customWidth="1"/>
    <col min="6929" max="7168" width="9.140625" style="913"/>
    <col min="7169" max="7169" width="6.5703125" style="913" customWidth="1"/>
    <col min="7170" max="7170" width="12.42578125" style="913" customWidth="1"/>
    <col min="7171" max="7172" width="6.42578125" style="913" customWidth="1"/>
    <col min="7173" max="7173" width="56" style="913" customWidth="1"/>
    <col min="7174" max="7174" width="9.85546875" style="913" customWidth="1"/>
    <col min="7175" max="7175" width="7" style="913" customWidth="1"/>
    <col min="7176" max="7178" width="12.5703125" style="913" customWidth="1"/>
    <col min="7179" max="7179" width="8.42578125" style="913" bestFit="1" customWidth="1"/>
    <col min="7180" max="7182" width="12.5703125" style="913" customWidth="1"/>
    <col min="7183" max="7183" width="12.7109375" style="913" bestFit="1" customWidth="1"/>
    <col min="7184" max="7184" width="14.42578125" style="913" bestFit="1" customWidth="1"/>
    <col min="7185" max="7424" width="9.140625" style="913"/>
    <col min="7425" max="7425" width="6.5703125" style="913" customWidth="1"/>
    <col min="7426" max="7426" width="12.42578125" style="913" customWidth="1"/>
    <col min="7427" max="7428" width="6.42578125" style="913" customWidth="1"/>
    <col min="7429" max="7429" width="56" style="913" customWidth="1"/>
    <col min="7430" max="7430" width="9.85546875" style="913" customWidth="1"/>
    <col min="7431" max="7431" width="7" style="913" customWidth="1"/>
    <col min="7432" max="7434" width="12.5703125" style="913" customWidth="1"/>
    <col min="7435" max="7435" width="8.42578125" style="913" bestFit="1" customWidth="1"/>
    <col min="7436" max="7438" width="12.5703125" style="913" customWidth="1"/>
    <col min="7439" max="7439" width="12.7109375" style="913" bestFit="1" customWidth="1"/>
    <col min="7440" max="7440" width="14.42578125" style="913" bestFit="1" customWidth="1"/>
    <col min="7441" max="7680" width="9.140625" style="913"/>
    <col min="7681" max="7681" width="6.5703125" style="913" customWidth="1"/>
    <col min="7682" max="7682" width="12.42578125" style="913" customWidth="1"/>
    <col min="7683" max="7684" width="6.42578125" style="913" customWidth="1"/>
    <col min="7685" max="7685" width="56" style="913" customWidth="1"/>
    <col min="7686" max="7686" width="9.85546875" style="913" customWidth="1"/>
    <col min="7687" max="7687" width="7" style="913" customWidth="1"/>
    <col min="7688" max="7690" width="12.5703125" style="913" customWidth="1"/>
    <col min="7691" max="7691" width="8.42578125" style="913" bestFit="1" customWidth="1"/>
    <col min="7692" max="7694" width="12.5703125" style="913" customWidth="1"/>
    <col min="7695" max="7695" width="12.7109375" style="913" bestFit="1" customWidth="1"/>
    <col min="7696" max="7696" width="14.42578125" style="913" bestFit="1" customWidth="1"/>
    <col min="7697" max="7936" width="9.140625" style="913"/>
    <col min="7937" max="7937" width="6.5703125" style="913" customWidth="1"/>
    <col min="7938" max="7938" width="12.42578125" style="913" customWidth="1"/>
    <col min="7939" max="7940" width="6.42578125" style="913" customWidth="1"/>
    <col min="7941" max="7941" width="56" style="913" customWidth="1"/>
    <col min="7942" max="7942" width="9.85546875" style="913" customWidth="1"/>
    <col min="7943" max="7943" width="7" style="913" customWidth="1"/>
    <col min="7944" max="7946" width="12.5703125" style="913" customWidth="1"/>
    <col min="7947" max="7947" width="8.42578125" style="913" bestFit="1" customWidth="1"/>
    <col min="7948" max="7950" width="12.5703125" style="913" customWidth="1"/>
    <col min="7951" max="7951" width="12.7109375" style="913" bestFit="1" customWidth="1"/>
    <col min="7952" max="7952" width="14.42578125" style="913" bestFit="1" customWidth="1"/>
    <col min="7953" max="8192" width="9.140625" style="913"/>
    <col min="8193" max="8193" width="6.5703125" style="913" customWidth="1"/>
    <col min="8194" max="8194" width="12.42578125" style="913" customWidth="1"/>
    <col min="8195" max="8196" width="6.42578125" style="913" customWidth="1"/>
    <col min="8197" max="8197" width="56" style="913" customWidth="1"/>
    <col min="8198" max="8198" width="9.85546875" style="913" customWidth="1"/>
    <col min="8199" max="8199" width="7" style="913" customWidth="1"/>
    <col min="8200" max="8202" width="12.5703125" style="913" customWidth="1"/>
    <col min="8203" max="8203" width="8.42578125" style="913" bestFit="1" customWidth="1"/>
    <col min="8204" max="8206" width="12.5703125" style="913" customWidth="1"/>
    <col min="8207" max="8207" width="12.7109375" style="913" bestFit="1" customWidth="1"/>
    <col min="8208" max="8208" width="14.42578125" style="913" bestFit="1" customWidth="1"/>
    <col min="8209" max="8448" width="9.140625" style="913"/>
    <col min="8449" max="8449" width="6.5703125" style="913" customWidth="1"/>
    <col min="8450" max="8450" width="12.42578125" style="913" customWidth="1"/>
    <col min="8451" max="8452" width="6.42578125" style="913" customWidth="1"/>
    <col min="8453" max="8453" width="56" style="913" customWidth="1"/>
    <col min="8454" max="8454" width="9.85546875" style="913" customWidth="1"/>
    <col min="8455" max="8455" width="7" style="913" customWidth="1"/>
    <col min="8456" max="8458" width="12.5703125" style="913" customWidth="1"/>
    <col min="8459" max="8459" width="8.42578125" style="913" bestFit="1" customWidth="1"/>
    <col min="8460" max="8462" width="12.5703125" style="913" customWidth="1"/>
    <col min="8463" max="8463" width="12.7109375" style="913" bestFit="1" customWidth="1"/>
    <col min="8464" max="8464" width="14.42578125" style="913" bestFit="1" customWidth="1"/>
    <col min="8465" max="8704" width="9.140625" style="913"/>
    <col min="8705" max="8705" width="6.5703125" style="913" customWidth="1"/>
    <col min="8706" max="8706" width="12.42578125" style="913" customWidth="1"/>
    <col min="8707" max="8708" width="6.42578125" style="913" customWidth="1"/>
    <col min="8709" max="8709" width="56" style="913" customWidth="1"/>
    <col min="8710" max="8710" width="9.85546875" style="913" customWidth="1"/>
    <col min="8711" max="8711" width="7" style="913" customWidth="1"/>
    <col min="8712" max="8714" width="12.5703125" style="913" customWidth="1"/>
    <col min="8715" max="8715" width="8.42578125" style="913" bestFit="1" customWidth="1"/>
    <col min="8716" max="8718" width="12.5703125" style="913" customWidth="1"/>
    <col min="8719" max="8719" width="12.7109375" style="913" bestFit="1" customWidth="1"/>
    <col min="8720" max="8720" width="14.42578125" style="913" bestFit="1" customWidth="1"/>
    <col min="8721" max="8960" width="9.140625" style="913"/>
    <col min="8961" max="8961" width="6.5703125" style="913" customWidth="1"/>
    <col min="8962" max="8962" width="12.42578125" style="913" customWidth="1"/>
    <col min="8963" max="8964" width="6.42578125" style="913" customWidth="1"/>
    <col min="8965" max="8965" width="56" style="913" customWidth="1"/>
    <col min="8966" max="8966" width="9.85546875" style="913" customWidth="1"/>
    <col min="8967" max="8967" width="7" style="913" customWidth="1"/>
    <col min="8968" max="8970" width="12.5703125" style="913" customWidth="1"/>
    <col min="8971" max="8971" width="8.42578125" style="913" bestFit="1" customWidth="1"/>
    <col min="8972" max="8974" width="12.5703125" style="913" customWidth="1"/>
    <col min="8975" max="8975" width="12.7109375" style="913" bestFit="1" customWidth="1"/>
    <col min="8976" max="8976" width="14.42578125" style="913" bestFit="1" customWidth="1"/>
    <col min="8977" max="9216" width="9.140625" style="913"/>
    <col min="9217" max="9217" width="6.5703125" style="913" customWidth="1"/>
    <col min="9218" max="9218" width="12.42578125" style="913" customWidth="1"/>
    <col min="9219" max="9220" width="6.42578125" style="913" customWidth="1"/>
    <col min="9221" max="9221" width="56" style="913" customWidth="1"/>
    <col min="9222" max="9222" width="9.85546875" style="913" customWidth="1"/>
    <col min="9223" max="9223" width="7" style="913" customWidth="1"/>
    <col min="9224" max="9226" width="12.5703125" style="913" customWidth="1"/>
    <col min="9227" max="9227" width="8.42578125" style="913" bestFit="1" customWidth="1"/>
    <col min="9228" max="9230" width="12.5703125" style="913" customWidth="1"/>
    <col min="9231" max="9231" width="12.7109375" style="913" bestFit="1" customWidth="1"/>
    <col min="9232" max="9232" width="14.42578125" style="913" bestFit="1" customWidth="1"/>
    <col min="9233" max="9472" width="9.140625" style="913"/>
    <col min="9473" max="9473" width="6.5703125" style="913" customWidth="1"/>
    <col min="9474" max="9474" width="12.42578125" style="913" customWidth="1"/>
    <col min="9475" max="9476" width="6.42578125" style="913" customWidth="1"/>
    <col min="9477" max="9477" width="56" style="913" customWidth="1"/>
    <col min="9478" max="9478" width="9.85546875" style="913" customWidth="1"/>
    <col min="9479" max="9479" width="7" style="913" customWidth="1"/>
    <col min="9480" max="9482" width="12.5703125" style="913" customWidth="1"/>
    <col min="9483" max="9483" width="8.42578125" style="913" bestFit="1" customWidth="1"/>
    <col min="9484" max="9486" width="12.5703125" style="913" customWidth="1"/>
    <col min="9487" max="9487" width="12.7109375" style="913" bestFit="1" customWidth="1"/>
    <col min="9488" max="9488" width="14.42578125" style="913" bestFit="1" customWidth="1"/>
    <col min="9489" max="9728" width="9.140625" style="913"/>
    <col min="9729" max="9729" width="6.5703125" style="913" customWidth="1"/>
    <col min="9730" max="9730" width="12.42578125" style="913" customWidth="1"/>
    <col min="9731" max="9732" width="6.42578125" style="913" customWidth="1"/>
    <col min="9733" max="9733" width="56" style="913" customWidth="1"/>
    <col min="9734" max="9734" width="9.85546875" style="913" customWidth="1"/>
    <col min="9735" max="9735" width="7" style="913" customWidth="1"/>
    <col min="9736" max="9738" width="12.5703125" style="913" customWidth="1"/>
    <col min="9739" max="9739" width="8.42578125" style="913" bestFit="1" customWidth="1"/>
    <col min="9740" max="9742" width="12.5703125" style="913" customWidth="1"/>
    <col min="9743" max="9743" width="12.7109375" style="913" bestFit="1" customWidth="1"/>
    <col min="9744" max="9744" width="14.42578125" style="913" bestFit="1" customWidth="1"/>
    <col min="9745" max="9984" width="9.140625" style="913"/>
    <col min="9985" max="9985" width="6.5703125" style="913" customWidth="1"/>
    <col min="9986" max="9986" width="12.42578125" style="913" customWidth="1"/>
    <col min="9987" max="9988" width="6.42578125" style="913" customWidth="1"/>
    <col min="9989" max="9989" width="56" style="913" customWidth="1"/>
    <col min="9990" max="9990" width="9.85546875" style="913" customWidth="1"/>
    <col min="9991" max="9991" width="7" style="913" customWidth="1"/>
    <col min="9992" max="9994" width="12.5703125" style="913" customWidth="1"/>
    <col min="9995" max="9995" width="8.42578125" style="913" bestFit="1" customWidth="1"/>
    <col min="9996" max="9998" width="12.5703125" style="913" customWidth="1"/>
    <col min="9999" max="9999" width="12.7109375" style="913" bestFit="1" customWidth="1"/>
    <col min="10000" max="10000" width="14.42578125" style="913" bestFit="1" customWidth="1"/>
    <col min="10001" max="10240" width="9.140625" style="913"/>
    <col min="10241" max="10241" width="6.5703125" style="913" customWidth="1"/>
    <col min="10242" max="10242" width="12.42578125" style="913" customWidth="1"/>
    <col min="10243" max="10244" width="6.42578125" style="913" customWidth="1"/>
    <col min="10245" max="10245" width="56" style="913" customWidth="1"/>
    <col min="10246" max="10246" width="9.85546875" style="913" customWidth="1"/>
    <col min="10247" max="10247" width="7" style="913" customWidth="1"/>
    <col min="10248" max="10250" width="12.5703125" style="913" customWidth="1"/>
    <col min="10251" max="10251" width="8.42578125" style="913" bestFit="1" customWidth="1"/>
    <col min="10252" max="10254" width="12.5703125" style="913" customWidth="1"/>
    <col min="10255" max="10255" width="12.7109375" style="913" bestFit="1" customWidth="1"/>
    <col min="10256" max="10256" width="14.42578125" style="913" bestFit="1" customWidth="1"/>
    <col min="10257" max="10496" width="9.140625" style="913"/>
    <col min="10497" max="10497" width="6.5703125" style="913" customWidth="1"/>
    <col min="10498" max="10498" width="12.42578125" style="913" customWidth="1"/>
    <col min="10499" max="10500" width="6.42578125" style="913" customWidth="1"/>
    <col min="10501" max="10501" width="56" style="913" customWidth="1"/>
    <col min="10502" max="10502" width="9.85546875" style="913" customWidth="1"/>
    <col min="10503" max="10503" width="7" style="913" customWidth="1"/>
    <col min="10504" max="10506" width="12.5703125" style="913" customWidth="1"/>
    <col min="10507" max="10507" width="8.42578125" style="913" bestFit="1" customWidth="1"/>
    <col min="10508" max="10510" width="12.5703125" style="913" customWidth="1"/>
    <col min="10511" max="10511" width="12.7109375" style="913" bestFit="1" customWidth="1"/>
    <col min="10512" max="10512" width="14.42578125" style="913" bestFit="1" customWidth="1"/>
    <col min="10513" max="10752" width="9.140625" style="913"/>
    <col min="10753" max="10753" width="6.5703125" style="913" customWidth="1"/>
    <col min="10754" max="10754" width="12.42578125" style="913" customWidth="1"/>
    <col min="10755" max="10756" width="6.42578125" style="913" customWidth="1"/>
    <col min="10757" max="10757" width="56" style="913" customWidth="1"/>
    <col min="10758" max="10758" width="9.85546875" style="913" customWidth="1"/>
    <col min="10759" max="10759" width="7" style="913" customWidth="1"/>
    <col min="10760" max="10762" width="12.5703125" style="913" customWidth="1"/>
    <col min="10763" max="10763" width="8.42578125" style="913" bestFit="1" customWidth="1"/>
    <col min="10764" max="10766" width="12.5703125" style="913" customWidth="1"/>
    <col min="10767" max="10767" width="12.7109375" style="913" bestFit="1" customWidth="1"/>
    <col min="10768" max="10768" width="14.42578125" style="913" bestFit="1" customWidth="1"/>
    <col min="10769" max="11008" width="9.140625" style="913"/>
    <col min="11009" max="11009" width="6.5703125" style="913" customWidth="1"/>
    <col min="11010" max="11010" width="12.42578125" style="913" customWidth="1"/>
    <col min="11011" max="11012" width="6.42578125" style="913" customWidth="1"/>
    <col min="11013" max="11013" width="56" style="913" customWidth="1"/>
    <col min="11014" max="11014" width="9.85546875" style="913" customWidth="1"/>
    <col min="11015" max="11015" width="7" style="913" customWidth="1"/>
    <col min="11016" max="11018" width="12.5703125" style="913" customWidth="1"/>
    <col min="11019" max="11019" width="8.42578125" style="913" bestFit="1" customWidth="1"/>
    <col min="11020" max="11022" width="12.5703125" style="913" customWidth="1"/>
    <col min="11023" max="11023" width="12.7109375" style="913" bestFit="1" customWidth="1"/>
    <col min="11024" max="11024" width="14.42578125" style="913" bestFit="1" customWidth="1"/>
    <col min="11025" max="11264" width="9.140625" style="913"/>
    <col min="11265" max="11265" width="6.5703125" style="913" customWidth="1"/>
    <col min="11266" max="11266" width="12.42578125" style="913" customWidth="1"/>
    <col min="11267" max="11268" width="6.42578125" style="913" customWidth="1"/>
    <col min="11269" max="11269" width="56" style="913" customWidth="1"/>
    <col min="11270" max="11270" width="9.85546875" style="913" customWidth="1"/>
    <col min="11271" max="11271" width="7" style="913" customWidth="1"/>
    <col min="11272" max="11274" width="12.5703125" style="913" customWidth="1"/>
    <col min="11275" max="11275" width="8.42578125" style="913" bestFit="1" customWidth="1"/>
    <col min="11276" max="11278" width="12.5703125" style="913" customWidth="1"/>
    <col min="11279" max="11279" width="12.7109375" style="913" bestFit="1" customWidth="1"/>
    <col min="11280" max="11280" width="14.42578125" style="913" bestFit="1" customWidth="1"/>
    <col min="11281" max="11520" width="9.140625" style="913"/>
    <col min="11521" max="11521" width="6.5703125" style="913" customWidth="1"/>
    <col min="11522" max="11522" width="12.42578125" style="913" customWidth="1"/>
    <col min="11523" max="11524" width="6.42578125" style="913" customWidth="1"/>
    <col min="11525" max="11525" width="56" style="913" customWidth="1"/>
    <col min="11526" max="11526" width="9.85546875" style="913" customWidth="1"/>
    <col min="11527" max="11527" width="7" style="913" customWidth="1"/>
    <col min="11528" max="11530" width="12.5703125" style="913" customWidth="1"/>
    <col min="11531" max="11531" width="8.42578125" style="913" bestFit="1" customWidth="1"/>
    <col min="11532" max="11534" width="12.5703125" style="913" customWidth="1"/>
    <col min="11535" max="11535" width="12.7109375" style="913" bestFit="1" customWidth="1"/>
    <col min="11536" max="11536" width="14.42578125" style="913" bestFit="1" customWidth="1"/>
    <col min="11537" max="11776" width="9.140625" style="913"/>
    <col min="11777" max="11777" width="6.5703125" style="913" customWidth="1"/>
    <col min="11778" max="11778" width="12.42578125" style="913" customWidth="1"/>
    <col min="11779" max="11780" width="6.42578125" style="913" customWidth="1"/>
    <col min="11781" max="11781" width="56" style="913" customWidth="1"/>
    <col min="11782" max="11782" width="9.85546875" style="913" customWidth="1"/>
    <col min="11783" max="11783" width="7" style="913" customWidth="1"/>
    <col min="11784" max="11786" width="12.5703125" style="913" customWidth="1"/>
    <col min="11787" max="11787" width="8.42578125" style="913" bestFit="1" customWidth="1"/>
    <col min="11788" max="11790" width="12.5703125" style="913" customWidth="1"/>
    <col min="11791" max="11791" width="12.7109375" style="913" bestFit="1" customWidth="1"/>
    <col min="11792" max="11792" width="14.42578125" style="913" bestFit="1" customWidth="1"/>
    <col min="11793" max="12032" width="9.140625" style="913"/>
    <col min="12033" max="12033" width="6.5703125" style="913" customWidth="1"/>
    <col min="12034" max="12034" width="12.42578125" style="913" customWidth="1"/>
    <col min="12035" max="12036" width="6.42578125" style="913" customWidth="1"/>
    <col min="12037" max="12037" width="56" style="913" customWidth="1"/>
    <col min="12038" max="12038" width="9.85546875" style="913" customWidth="1"/>
    <col min="12039" max="12039" width="7" style="913" customWidth="1"/>
    <col min="12040" max="12042" width="12.5703125" style="913" customWidth="1"/>
    <col min="12043" max="12043" width="8.42578125" style="913" bestFit="1" customWidth="1"/>
    <col min="12044" max="12046" width="12.5703125" style="913" customWidth="1"/>
    <col min="12047" max="12047" width="12.7109375" style="913" bestFit="1" customWidth="1"/>
    <col min="12048" max="12048" width="14.42578125" style="913" bestFit="1" customWidth="1"/>
    <col min="12049" max="12288" width="9.140625" style="913"/>
    <col min="12289" max="12289" width="6.5703125" style="913" customWidth="1"/>
    <col min="12290" max="12290" width="12.42578125" style="913" customWidth="1"/>
    <col min="12291" max="12292" width="6.42578125" style="913" customWidth="1"/>
    <col min="12293" max="12293" width="56" style="913" customWidth="1"/>
    <col min="12294" max="12294" width="9.85546875" style="913" customWidth="1"/>
    <col min="12295" max="12295" width="7" style="913" customWidth="1"/>
    <col min="12296" max="12298" width="12.5703125" style="913" customWidth="1"/>
    <col min="12299" max="12299" width="8.42578125" style="913" bestFit="1" customWidth="1"/>
    <col min="12300" max="12302" width="12.5703125" style="913" customWidth="1"/>
    <col min="12303" max="12303" width="12.7109375" style="913" bestFit="1" customWidth="1"/>
    <col min="12304" max="12304" width="14.42578125" style="913" bestFit="1" customWidth="1"/>
    <col min="12305" max="12544" width="9.140625" style="913"/>
    <col min="12545" max="12545" width="6.5703125" style="913" customWidth="1"/>
    <col min="12546" max="12546" width="12.42578125" style="913" customWidth="1"/>
    <col min="12547" max="12548" width="6.42578125" style="913" customWidth="1"/>
    <col min="12549" max="12549" width="56" style="913" customWidth="1"/>
    <col min="12550" max="12550" width="9.85546875" style="913" customWidth="1"/>
    <col min="12551" max="12551" width="7" style="913" customWidth="1"/>
    <col min="12552" max="12554" width="12.5703125" style="913" customWidth="1"/>
    <col min="12555" max="12555" width="8.42578125" style="913" bestFit="1" customWidth="1"/>
    <col min="12556" max="12558" width="12.5703125" style="913" customWidth="1"/>
    <col min="12559" max="12559" width="12.7109375" style="913" bestFit="1" customWidth="1"/>
    <col min="12560" max="12560" width="14.42578125" style="913" bestFit="1" customWidth="1"/>
    <col min="12561" max="12800" width="9.140625" style="913"/>
    <col min="12801" max="12801" width="6.5703125" style="913" customWidth="1"/>
    <col min="12802" max="12802" width="12.42578125" style="913" customWidth="1"/>
    <col min="12803" max="12804" width="6.42578125" style="913" customWidth="1"/>
    <col min="12805" max="12805" width="56" style="913" customWidth="1"/>
    <col min="12806" max="12806" width="9.85546875" style="913" customWidth="1"/>
    <col min="12807" max="12807" width="7" style="913" customWidth="1"/>
    <col min="12808" max="12810" width="12.5703125" style="913" customWidth="1"/>
    <col min="12811" max="12811" width="8.42578125" style="913" bestFit="1" customWidth="1"/>
    <col min="12812" max="12814" width="12.5703125" style="913" customWidth="1"/>
    <col min="12815" max="12815" width="12.7109375" style="913" bestFit="1" customWidth="1"/>
    <col min="12816" max="12816" width="14.42578125" style="913" bestFit="1" customWidth="1"/>
    <col min="12817" max="13056" width="9.140625" style="913"/>
    <col min="13057" max="13057" width="6.5703125" style="913" customWidth="1"/>
    <col min="13058" max="13058" width="12.42578125" style="913" customWidth="1"/>
    <col min="13059" max="13060" width="6.42578125" style="913" customWidth="1"/>
    <col min="13061" max="13061" width="56" style="913" customWidth="1"/>
    <col min="13062" max="13062" width="9.85546875" style="913" customWidth="1"/>
    <col min="13063" max="13063" width="7" style="913" customWidth="1"/>
    <col min="13064" max="13066" width="12.5703125" style="913" customWidth="1"/>
    <col min="13067" max="13067" width="8.42578125" style="913" bestFit="1" customWidth="1"/>
    <col min="13068" max="13070" width="12.5703125" style="913" customWidth="1"/>
    <col min="13071" max="13071" width="12.7109375" style="913" bestFit="1" customWidth="1"/>
    <col min="13072" max="13072" width="14.42578125" style="913" bestFit="1" customWidth="1"/>
    <col min="13073" max="13312" width="9.140625" style="913"/>
    <col min="13313" max="13313" width="6.5703125" style="913" customWidth="1"/>
    <col min="13314" max="13314" width="12.42578125" style="913" customWidth="1"/>
    <col min="13315" max="13316" width="6.42578125" style="913" customWidth="1"/>
    <col min="13317" max="13317" width="56" style="913" customWidth="1"/>
    <col min="13318" max="13318" width="9.85546875" style="913" customWidth="1"/>
    <col min="13319" max="13319" width="7" style="913" customWidth="1"/>
    <col min="13320" max="13322" width="12.5703125" style="913" customWidth="1"/>
    <col min="13323" max="13323" width="8.42578125" style="913" bestFit="1" customWidth="1"/>
    <col min="13324" max="13326" width="12.5703125" style="913" customWidth="1"/>
    <col min="13327" max="13327" width="12.7109375" style="913" bestFit="1" customWidth="1"/>
    <col min="13328" max="13328" width="14.42578125" style="913" bestFit="1" customWidth="1"/>
    <col min="13329" max="13568" width="9.140625" style="913"/>
    <col min="13569" max="13569" width="6.5703125" style="913" customWidth="1"/>
    <col min="13570" max="13570" width="12.42578125" style="913" customWidth="1"/>
    <col min="13571" max="13572" width="6.42578125" style="913" customWidth="1"/>
    <col min="13573" max="13573" width="56" style="913" customWidth="1"/>
    <col min="13574" max="13574" width="9.85546875" style="913" customWidth="1"/>
    <col min="13575" max="13575" width="7" style="913" customWidth="1"/>
    <col min="13576" max="13578" width="12.5703125" style="913" customWidth="1"/>
    <col min="13579" max="13579" width="8.42578125" style="913" bestFit="1" customWidth="1"/>
    <col min="13580" max="13582" width="12.5703125" style="913" customWidth="1"/>
    <col min="13583" max="13583" width="12.7109375" style="913" bestFit="1" customWidth="1"/>
    <col min="13584" max="13584" width="14.42578125" style="913" bestFit="1" customWidth="1"/>
    <col min="13585" max="13824" width="9.140625" style="913"/>
    <col min="13825" max="13825" width="6.5703125" style="913" customWidth="1"/>
    <col min="13826" max="13826" width="12.42578125" style="913" customWidth="1"/>
    <col min="13827" max="13828" width="6.42578125" style="913" customWidth="1"/>
    <col min="13829" max="13829" width="56" style="913" customWidth="1"/>
    <col min="13830" max="13830" width="9.85546875" style="913" customWidth="1"/>
    <col min="13831" max="13831" width="7" style="913" customWidth="1"/>
    <col min="13832" max="13834" width="12.5703125" style="913" customWidth="1"/>
    <col min="13835" max="13835" width="8.42578125" style="913" bestFit="1" customWidth="1"/>
    <col min="13836" max="13838" width="12.5703125" style="913" customWidth="1"/>
    <col min="13839" max="13839" width="12.7109375" style="913" bestFit="1" customWidth="1"/>
    <col min="13840" max="13840" width="14.42578125" style="913" bestFit="1" customWidth="1"/>
    <col min="13841" max="14080" width="9.140625" style="913"/>
    <col min="14081" max="14081" width="6.5703125" style="913" customWidth="1"/>
    <col min="14082" max="14082" width="12.42578125" style="913" customWidth="1"/>
    <col min="14083" max="14084" width="6.42578125" style="913" customWidth="1"/>
    <col min="14085" max="14085" width="56" style="913" customWidth="1"/>
    <col min="14086" max="14086" width="9.85546875" style="913" customWidth="1"/>
    <col min="14087" max="14087" width="7" style="913" customWidth="1"/>
    <col min="14088" max="14090" width="12.5703125" style="913" customWidth="1"/>
    <col min="14091" max="14091" width="8.42578125" style="913" bestFit="1" customWidth="1"/>
    <col min="14092" max="14094" width="12.5703125" style="913" customWidth="1"/>
    <col min="14095" max="14095" width="12.7109375" style="913" bestFit="1" customWidth="1"/>
    <col min="14096" max="14096" width="14.42578125" style="913" bestFit="1" customWidth="1"/>
    <col min="14097" max="14336" width="9.140625" style="913"/>
    <col min="14337" max="14337" width="6.5703125" style="913" customWidth="1"/>
    <col min="14338" max="14338" width="12.42578125" style="913" customWidth="1"/>
    <col min="14339" max="14340" width="6.42578125" style="913" customWidth="1"/>
    <col min="14341" max="14341" width="56" style="913" customWidth="1"/>
    <col min="14342" max="14342" width="9.85546875" style="913" customWidth="1"/>
    <col min="14343" max="14343" width="7" style="913" customWidth="1"/>
    <col min="14344" max="14346" width="12.5703125" style="913" customWidth="1"/>
    <col min="14347" max="14347" width="8.42578125" style="913" bestFit="1" customWidth="1"/>
    <col min="14348" max="14350" width="12.5703125" style="913" customWidth="1"/>
    <col min="14351" max="14351" width="12.7109375" style="913" bestFit="1" customWidth="1"/>
    <col min="14352" max="14352" width="14.42578125" style="913" bestFit="1" customWidth="1"/>
    <col min="14353" max="14592" width="9.140625" style="913"/>
    <col min="14593" max="14593" width="6.5703125" style="913" customWidth="1"/>
    <col min="14594" max="14594" width="12.42578125" style="913" customWidth="1"/>
    <col min="14595" max="14596" width="6.42578125" style="913" customWidth="1"/>
    <col min="14597" max="14597" width="56" style="913" customWidth="1"/>
    <col min="14598" max="14598" width="9.85546875" style="913" customWidth="1"/>
    <col min="14599" max="14599" width="7" style="913" customWidth="1"/>
    <col min="14600" max="14602" width="12.5703125" style="913" customWidth="1"/>
    <col min="14603" max="14603" width="8.42578125" style="913" bestFit="1" customWidth="1"/>
    <col min="14604" max="14606" width="12.5703125" style="913" customWidth="1"/>
    <col min="14607" max="14607" width="12.7109375" style="913" bestFit="1" customWidth="1"/>
    <col min="14608" max="14608" width="14.42578125" style="913" bestFit="1" customWidth="1"/>
    <col min="14609" max="14848" width="9.140625" style="913"/>
    <col min="14849" max="14849" width="6.5703125" style="913" customWidth="1"/>
    <col min="14850" max="14850" width="12.42578125" style="913" customWidth="1"/>
    <col min="14851" max="14852" width="6.42578125" style="913" customWidth="1"/>
    <col min="14853" max="14853" width="56" style="913" customWidth="1"/>
    <col min="14854" max="14854" width="9.85546875" style="913" customWidth="1"/>
    <col min="14855" max="14855" width="7" style="913" customWidth="1"/>
    <col min="14856" max="14858" width="12.5703125" style="913" customWidth="1"/>
    <col min="14859" max="14859" width="8.42578125" style="913" bestFit="1" customWidth="1"/>
    <col min="14860" max="14862" width="12.5703125" style="913" customWidth="1"/>
    <col min="14863" max="14863" width="12.7109375" style="913" bestFit="1" customWidth="1"/>
    <col min="14864" max="14864" width="14.42578125" style="913" bestFit="1" customWidth="1"/>
    <col min="14865" max="15104" width="9.140625" style="913"/>
    <col min="15105" max="15105" width="6.5703125" style="913" customWidth="1"/>
    <col min="15106" max="15106" width="12.42578125" style="913" customWidth="1"/>
    <col min="15107" max="15108" width="6.42578125" style="913" customWidth="1"/>
    <col min="15109" max="15109" width="56" style="913" customWidth="1"/>
    <col min="15110" max="15110" width="9.85546875" style="913" customWidth="1"/>
    <col min="15111" max="15111" width="7" style="913" customWidth="1"/>
    <col min="15112" max="15114" width="12.5703125" style="913" customWidth="1"/>
    <col min="15115" max="15115" width="8.42578125" style="913" bestFit="1" customWidth="1"/>
    <col min="15116" max="15118" width="12.5703125" style="913" customWidth="1"/>
    <col min="15119" max="15119" width="12.7109375" style="913" bestFit="1" customWidth="1"/>
    <col min="15120" max="15120" width="14.42578125" style="913" bestFit="1" customWidth="1"/>
    <col min="15121" max="15360" width="9.140625" style="913"/>
    <col min="15361" max="15361" width="6.5703125" style="913" customWidth="1"/>
    <col min="15362" max="15362" width="12.42578125" style="913" customWidth="1"/>
    <col min="15363" max="15364" width="6.42578125" style="913" customWidth="1"/>
    <col min="15365" max="15365" width="56" style="913" customWidth="1"/>
    <col min="15366" max="15366" width="9.85546875" style="913" customWidth="1"/>
    <col min="15367" max="15367" width="7" style="913" customWidth="1"/>
    <col min="15368" max="15370" width="12.5703125" style="913" customWidth="1"/>
    <col min="15371" max="15371" width="8.42578125" style="913" bestFit="1" customWidth="1"/>
    <col min="15372" max="15374" width="12.5703125" style="913" customWidth="1"/>
    <col min="15375" max="15375" width="12.7109375" style="913" bestFit="1" customWidth="1"/>
    <col min="15376" max="15376" width="14.42578125" style="913" bestFit="1" customWidth="1"/>
    <col min="15377" max="15616" width="9.140625" style="913"/>
    <col min="15617" max="15617" width="6.5703125" style="913" customWidth="1"/>
    <col min="15618" max="15618" width="12.42578125" style="913" customWidth="1"/>
    <col min="15619" max="15620" width="6.42578125" style="913" customWidth="1"/>
    <col min="15621" max="15621" width="56" style="913" customWidth="1"/>
    <col min="15622" max="15622" width="9.85546875" style="913" customWidth="1"/>
    <col min="15623" max="15623" width="7" style="913" customWidth="1"/>
    <col min="15624" max="15626" width="12.5703125" style="913" customWidth="1"/>
    <col min="15627" max="15627" width="8.42578125" style="913" bestFit="1" customWidth="1"/>
    <col min="15628" max="15630" width="12.5703125" style="913" customWidth="1"/>
    <col min="15631" max="15631" width="12.7109375" style="913" bestFit="1" customWidth="1"/>
    <col min="15632" max="15632" width="14.42578125" style="913" bestFit="1" customWidth="1"/>
    <col min="15633" max="15872" width="9.140625" style="913"/>
    <col min="15873" max="15873" width="6.5703125" style="913" customWidth="1"/>
    <col min="15874" max="15874" width="12.42578125" style="913" customWidth="1"/>
    <col min="15875" max="15876" width="6.42578125" style="913" customWidth="1"/>
    <col min="15877" max="15877" width="56" style="913" customWidth="1"/>
    <col min="15878" max="15878" width="9.85546875" style="913" customWidth="1"/>
    <col min="15879" max="15879" width="7" style="913" customWidth="1"/>
    <col min="15880" max="15882" width="12.5703125" style="913" customWidth="1"/>
    <col min="15883" max="15883" width="8.42578125" style="913" bestFit="1" customWidth="1"/>
    <col min="15884" max="15886" width="12.5703125" style="913" customWidth="1"/>
    <col min="15887" max="15887" width="12.7109375" style="913" bestFit="1" customWidth="1"/>
    <col min="15888" max="15888" width="14.42578125" style="913" bestFit="1" customWidth="1"/>
    <col min="15889" max="16128" width="9.140625" style="913"/>
    <col min="16129" max="16129" width="6.5703125" style="913" customWidth="1"/>
    <col min="16130" max="16130" width="12.42578125" style="913" customWidth="1"/>
    <col min="16131" max="16132" width="6.42578125" style="913" customWidth="1"/>
    <col min="16133" max="16133" width="56" style="913" customWidth="1"/>
    <col min="16134" max="16134" width="9.85546875" style="913" customWidth="1"/>
    <col min="16135" max="16135" width="7" style="913" customWidth="1"/>
    <col min="16136" max="16138" width="12.5703125" style="913" customWidth="1"/>
    <col min="16139" max="16139" width="8.42578125" style="913" bestFit="1" customWidth="1"/>
    <col min="16140" max="16142" width="12.5703125" style="913" customWidth="1"/>
    <col min="16143" max="16143" width="12.7109375" style="913" bestFit="1" customWidth="1"/>
    <col min="16144" max="16144" width="14.42578125" style="913" bestFit="1" customWidth="1"/>
    <col min="16145" max="16384" width="9.140625" style="913"/>
  </cols>
  <sheetData>
    <row r="1" spans="1:18" s="863" customFormat="1" ht="20.25">
      <c r="A1" s="858" t="s">
        <v>3904</v>
      </c>
      <c r="B1" s="859"/>
      <c r="C1" s="859"/>
      <c r="D1" s="859"/>
      <c r="E1" s="859"/>
      <c r="F1" s="859"/>
      <c r="G1" s="859"/>
      <c r="H1" s="860"/>
      <c r="I1" s="861"/>
      <c r="J1" s="861"/>
      <c r="K1" s="861"/>
      <c r="L1" s="861"/>
      <c r="M1" s="861"/>
      <c r="N1" s="861"/>
      <c r="O1" s="862"/>
      <c r="P1" s="862"/>
    </row>
    <row r="2" spans="1:18" s="869" customFormat="1">
      <c r="A2" s="864" t="s">
        <v>3905</v>
      </c>
      <c r="B2" s="865"/>
      <c r="C2" s="865"/>
      <c r="D2" s="865"/>
      <c r="E2" s="865"/>
      <c r="F2" s="865"/>
      <c r="G2" s="865"/>
      <c r="H2" s="866"/>
      <c r="I2" s="867"/>
      <c r="J2" s="867"/>
      <c r="K2" s="867"/>
      <c r="L2" s="867"/>
      <c r="M2" s="867"/>
      <c r="N2" s="867"/>
      <c r="O2" s="868"/>
      <c r="P2" s="868"/>
    </row>
    <row r="3" spans="1:18" s="869" customFormat="1">
      <c r="A3" s="870" t="s">
        <v>3906</v>
      </c>
      <c r="B3" s="865"/>
      <c r="C3" s="865"/>
      <c r="D3" s="865"/>
      <c r="E3" s="865"/>
      <c r="F3" s="865"/>
      <c r="G3" s="865"/>
      <c r="H3" s="866"/>
      <c r="I3" s="867"/>
      <c r="J3" s="867"/>
      <c r="K3" s="867"/>
      <c r="L3" s="867"/>
      <c r="M3" s="867"/>
      <c r="N3" s="867"/>
      <c r="O3" s="868"/>
      <c r="P3" s="868"/>
    </row>
    <row r="4" spans="1:18" s="869" customFormat="1">
      <c r="A4" s="864"/>
      <c r="B4" s="865"/>
      <c r="C4" s="865"/>
      <c r="D4" s="865"/>
      <c r="E4" s="865"/>
      <c r="F4" s="865"/>
      <c r="G4" s="865"/>
      <c r="H4" s="866"/>
      <c r="I4" s="867"/>
      <c r="J4" s="867"/>
      <c r="K4" s="867"/>
      <c r="L4" s="867"/>
      <c r="M4" s="867"/>
      <c r="N4" s="867"/>
      <c r="O4" s="868"/>
      <c r="P4" s="868"/>
    </row>
    <row r="5" spans="1:18" s="875" customFormat="1" ht="18" customHeight="1">
      <c r="A5" s="871" t="s">
        <v>3907</v>
      </c>
      <c r="B5" s="871" t="s">
        <v>3908</v>
      </c>
      <c r="C5" s="871" t="s">
        <v>3909</v>
      </c>
      <c r="D5" s="871"/>
      <c r="E5" s="871" t="s">
        <v>3910</v>
      </c>
      <c r="F5" s="871" t="s">
        <v>3911</v>
      </c>
      <c r="G5" s="872"/>
      <c r="H5" s="873" t="s">
        <v>3912</v>
      </c>
      <c r="I5" s="1553" t="s">
        <v>3913</v>
      </c>
      <c r="J5" s="1553"/>
      <c r="K5" s="1553" t="s">
        <v>276</v>
      </c>
      <c r="L5" s="1553"/>
      <c r="M5" s="1553" t="s">
        <v>3914</v>
      </c>
      <c r="N5" s="1553"/>
      <c r="O5" s="874"/>
      <c r="P5" s="874"/>
    </row>
    <row r="6" spans="1:18" s="847" customFormat="1">
      <c r="A6" s="876" t="s">
        <v>84</v>
      </c>
      <c r="B6" s="876" t="s">
        <v>97</v>
      </c>
      <c r="C6" s="876" t="s">
        <v>3915</v>
      </c>
      <c r="D6" s="876"/>
      <c r="E6" s="876"/>
      <c r="F6" s="876" t="s">
        <v>3916</v>
      </c>
      <c r="G6" s="877"/>
      <c r="H6" s="873" t="s">
        <v>3917</v>
      </c>
      <c r="I6" s="878" t="s">
        <v>97</v>
      </c>
      <c r="J6" s="878" t="s">
        <v>98</v>
      </c>
      <c r="K6" s="878" t="s">
        <v>3918</v>
      </c>
      <c r="L6" s="879" t="s">
        <v>98</v>
      </c>
      <c r="M6" s="878" t="s">
        <v>97</v>
      </c>
      <c r="N6" s="878" t="s">
        <v>98</v>
      </c>
      <c r="O6" s="880"/>
      <c r="P6" s="880"/>
    </row>
    <row r="7" spans="1:18" s="847" customFormat="1">
      <c r="A7" s="881"/>
      <c r="B7" s="881">
        <v>1</v>
      </c>
      <c r="C7" s="881">
        <v>2</v>
      </c>
      <c r="D7" s="881">
        <v>3</v>
      </c>
      <c r="E7" s="881">
        <v>4</v>
      </c>
      <c r="F7" s="881">
        <v>5</v>
      </c>
      <c r="G7" s="882">
        <v>6</v>
      </c>
      <c r="H7" s="883">
        <v>7</v>
      </c>
      <c r="I7" s="883">
        <v>8</v>
      </c>
      <c r="J7" s="883">
        <v>9</v>
      </c>
      <c r="K7" s="883">
        <v>10</v>
      </c>
      <c r="L7" s="883">
        <v>11</v>
      </c>
      <c r="M7" s="883">
        <v>12</v>
      </c>
      <c r="N7" s="883">
        <v>13</v>
      </c>
      <c r="O7" s="880"/>
      <c r="P7" s="880"/>
    </row>
    <row r="8" spans="1:18" s="894" customFormat="1">
      <c r="A8" s="884" t="s">
        <v>3919</v>
      </c>
      <c r="B8" s="885" t="s">
        <v>400</v>
      </c>
      <c r="C8" s="886"/>
      <c r="D8" s="886"/>
      <c r="E8" s="887" t="s">
        <v>3920</v>
      </c>
      <c r="F8" s="888" t="s">
        <v>47</v>
      </c>
      <c r="G8" s="889"/>
      <c r="H8" s="890"/>
      <c r="I8" s="891"/>
      <c r="J8" s="891">
        <f>SUM(J9:J10)</f>
        <v>0</v>
      </c>
      <c r="K8" s="891"/>
      <c r="L8" s="891">
        <f>SUM(L9:L10)</f>
        <v>60775.299999999996</v>
      </c>
      <c r="M8" s="891"/>
      <c r="N8" s="891">
        <f>SUM(N9:N10)</f>
        <v>0</v>
      </c>
      <c r="O8" s="892">
        <f>IF(AND(B8&lt;&gt;"",D8=""),1,0)</f>
        <v>1</v>
      </c>
      <c r="P8" s="892"/>
      <c r="Q8" s="893">
        <f>IF(P8=0,0,P8+Q6)</f>
        <v>0</v>
      </c>
      <c r="R8" s="894">
        <f>IF(Q8=0,Q9,0)</f>
        <v>2</v>
      </c>
    </row>
    <row r="9" spans="1:18" s="904" customFormat="1">
      <c r="A9" s="895"/>
      <c r="B9" s="896"/>
      <c r="C9" s="897"/>
      <c r="D9" s="897"/>
      <c r="E9" s="898" t="s">
        <v>276</v>
      </c>
      <c r="F9" s="899"/>
      <c r="G9" s="900"/>
      <c r="H9" s="901"/>
      <c r="I9" s="902"/>
      <c r="J9" s="902"/>
      <c r="K9" s="902"/>
      <c r="L9" s="902"/>
      <c r="M9" s="902"/>
      <c r="N9" s="902"/>
      <c r="O9" s="892">
        <f t="shared" ref="O9:O72" si="0">IF(AND(B9&lt;&gt;"",D9=""),1,0)</f>
        <v>0</v>
      </c>
      <c r="P9" s="903">
        <f>IF(O9=0,1,0)</f>
        <v>1</v>
      </c>
      <c r="Q9" s="893">
        <f t="shared" ref="Q9:Q72" si="1">IF(P9=0,0,P9+Q10)</f>
        <v>2</v>
      </c>
      <c r="R9" s="894">
        <f t="shared" ref="R9:R72" si="2">IF(Q9=0,Q10,0)</f>
        <v>0</v>
      </c>
    </row>
    <row r="10" spans="1:18">
      <c r="A10" s="905"/>
      <c r="B10" s="906"/>
      <c r="C10" s="907">
        <v>730</v>
      </c>
      <c r="D10" s="907" t="s">
        <v>12</v>
      </c>
      <c r="E10" s="908" t="s">
        <v>3921</v>
      </c>
      <c r="F10" s="909" t="s">
        <v>2674</v>
      </c>
      <c r="G10" s="910"/>
      <c r="H10" s="911">
        <v>0.28999999999999998</v>
      </c>
      <c r="I10" s="912"/>
      <c r="J10" s="912"/>
      <c r="K10" s="912">
        <f>VLOOKUP(E10,ĐMNC!$A$7:$F$67,3,0)</f>
        <v>209570</v>
      </c>
      <c r="L10" s="912">
        <f>H10*K10</f>
        <v>60775.299999999996</v>
      </c>
      <c r="M10" s="912"/>
      <c r="N10" s="912"/>
      <c r="O10" s="892">
        <f t="shared" si="0"/>
        <v>0</v>
      </c>
      <c r="P10" s="903">
        <f t="shared" ref="P10:P73" si="3">IF(O10=0,1,0)</f>
        <v>1</v>
      </c>
      <c r="Q10" s="893">
        <f t="shared" si="1"/>
        <v>1</v>
      </c>
      <c r="R10" s="894">
        <f t="shared" si="2"/>
        <v>0</v>
      </c>
    </row>
    <row r="11" spans="1:18" s="847" customFormat="1">
      <c r="A11" s="905" t="s">
        <v>3919</v>
      </c>
      <c r="B11" s="914" t="s">
        <v>402</v>
      </c>
      <c r="C11" s="915"/>
      <c r="D11" s="915"/>
      <c r="E11" s="916" t="s">
        <v>3922</v>
      </c>
      <c r="F11" s="917" t="s">
        <v>47</v>
      </c>
      <c r="G11" s="918"/>
      <c r="H11" s="919"/>
      <c r="I11" s="920"/>
      <c r="J11" s="891">
        <f>SUM(J12:J13)</f>
        <v>0</v>
      </c>
      <c r="K11" s="891"/>
      <c r="L11" s="891">
        <f>SUM(L12:L13)</f>
        <v>823610.1</v>
      </c>
      <c r="M11" s="891"/>
      <c r="N11" s="891">
        <f>SUM(N12:N13)</f>
        <v>0</v>
      </c>
      <c r="O11" s="892">
        <f t="shared" si="0"/>
        <v>1</v>
      </c>
      <c r="P11" s="903">
        <f t="shared" si="3"/>
        <v>0</v>
      </c>
      <c r="Q11" s="893">
        <f t="shared" si="1"/>
        <v>0</v>
      </c>
      <c r="R11" s="894">
        <f t="shared" si="2"/>
        <v>2</v>
      </c>
    </row>
    <row r="12" spans="1:18" s="904" customFormat="1">
      <c r="A12" s="895"/>
      <c r="B12" s="896"/>
      <c r="C12" s="897"/>
      <c r="D12" s="897"/>
      <c r="E12" s="898" t="s">
        <v>276</v>
      </c>
      <c r="F12" s="899"/>
      <c r="G12" s="900"/>
      <c r="H12" s="901"/>
      <c r="I12" s="902"/>
      <c r="J12" s="902"/>
      <c r="K12" s="912" t="s">
        <v>274</v>
      </c>
      <c r="L12" s="902"/>
      <c r="M12" s="902"/>
      <c r="N12" s="902"/>
      <c r="O12" s="892">
        <f t="shared" si="0"/>
        <v>0</v>
      </c>
      <c r="P12" s="903">
        <f t="shared" si="3"/>
        <v>1</v>
      </c>
      <c r="Q12" s="893">
        <f t="shared" si="1"/>
        <v>2</v>
      </c>
      <c r="R12" s="894">
        <f t="shared" si="2"/>
        <v>0</v>
      </c>
    </row>
    <row r="13" spans="1:18">
      <c r="A13" s="905"/>
      <c r="B13" s="906"/>
      <c r="C13" s="907">
        <v>730</v>
      </c>
      <c r="D13" s="907" t="s">
        <v>12</v>
      </c>
      <c r="E13" s="908" t="s">
        <v>3921</v>
      </c>
      <c r="F13" s="909" t="s">
        <v>2674</v>
      </c>
      <c r="G13" s="910"/>
      <c r="H13" s="911">
        <v>3.93</v>
      </c>
      <c r="I13" s="912"/>
      <c r="J13" s="912"/>
      <c r="K13" s="912">
        <f>VLOOKUP(E13,ĐMNC!$A$7:$F$67,3,0)</f>
        <v>209570</v>
      </c>
      <c r="L13" s="912">
        <f>H13*K13</f>
        <v>823610.1</v>
      </c>
      <c r="M13" s="912"/>
      <c r="N13" s="912"/>
      <c r="O13" s="892">
        <f t="shared" si="0"/>
        <v>0</v>
      </c>
      <c r="P13" s="903">
        <f t="shared" si="3"/>
        <v>1</v>
      </c>
      <c r="Q13" s="893">
        <f t="shared" si="1"/>
        <v>1</v>
      </c>
      <c r="R13" s="894">
        <f t="shared" si="2"/>
        <v>0</v>
      </c>
    </row>
    <row r="14" spans="1:18" s="847" customFormat="1">
      <c r="A14" s="905" t="s">
        <v>3919</v>
      </c>
      <c r="B14" s="914" t="s">
        <v>404</v>
      </c>
      <c r="C14" s="915"/>
      <c r="D14" s="915"/>
      <c r="E14" s="916" t="s">
        <v>3923</v>
      </c>
      <c r="F14" s="917" t="s">
        <v>47</v>
      </c>
      <c r="G14" s="918"/>
      <c r="H14" s="919"/>
      <c r="I14" s="920"/>
      <c r="J14" s="891">
        <f>SUM(J15:J16)</f>
        <v>0</v>
      </c>
      <c r="K14" s="891"/>
      <c r="L14" s="891">
        <f>SUM(L15:L16)</f>
        <v>811035.9</v>
      </c>
      <c r="M14" s="891"/>
      <c r="N14" s="891">
        <f>SUM(N15:N16)</f>
        <v>0</v>
      </c>
      <c r="O14" s="892">
        <f t="shared" si="0"/>
        <v>1</v>
      </c>
      <c r="P14" s="903">
        <f t="shared" si="3"/>
        <v>0</v>
      </c>
      <c r="Q14" s="893">
        <f t="shared" si="1"/>
        <v>0</v>
      </c>
      <c r="R14" s="894">
        <f t="shared" si="2"/>
        <v>2</v>
      </c>
    </row>
    <row r="15" spans="1:18" s="904" customFormat="1">
      <c r="A15" s="895"/>
      <c r="B15" s="896"/>
      <c r="C15" s="897"/>
      <c r="D15" s="897"/>
      <c r="E15" s="898" t="s">
        <v>276</v>
      </c>
      <c r="F15" s="899"/>
      <c r="G15" s="900"/>
      <c r="H15" s="901"/>
      <c r="I15" s="902"/>
      <c r="J15" s="902"/>
      <c r="K15" s="912" t="s">
        <v>274</v>
      </c>
      <c r="L15" s="902"/>
      <c r="M15" s="902"/>
      <c r="N15" s="902"/>
      <c r="O15" s="892">
        <f t="shared" si="0"/>
        <v>0</v>
      </c>
      <c r="P15" s="903">
        <f t="shared" si="3"/>
        <v>1</v>
      </c>
      <c r="Q15" s="893">
        <f t="shared" si="1"/>
        <v>2</v>
      </c>
      <c r="R15" s="894">
        <f t="shared" si="2"/>
        <v>0</v>
      </c>
    </row>
    <row r="16" spans="1:18">
      <c r="A16" s="905"/>
      <c r="B16" s="906"/>
      <c r="C16" s="907">
        <v>730</v>
      </c>
      <c r="D16" s="907" t="s">
        <v>12</v>
      </c>
      <c r="E16" s="908" t="s">
        <v>3921</v>
      </c>
      <c r="F16" s="909" t="s">
        <v>2674</v>
      </c>
      <c r="G16" s="910"/>
      <c r="H16" s="911">
        <v>3.87</v>
      </c>
      <c r="I16" s="912"/>
      <c r="J16" s="912"/>
      <c r="K16" s="912">
        <f>VLOOKUP(E16,ĐMNC!$A$7:$F$67,3,0)</f>
        <v>209570</v>
      </c>
      <c r="L16" s="912">
        <f>H16*K16</f>
        <v>811035.9</v>
      </c>
      <c r="M16" s="912"/>
      <c r="N16" s="912"/>
      <c r="O16" s="892">
        <f t="shared" si="0"/>
        <v>0</v>
      </c>
      <c r="P16" s="903">
        <f t="shared" si="3"/>
        <v>1</v>
      </c>
      <c r="Q16" s="893">
        <f t="shared" si="1"/>
        <v>1</v>
      </c>
      <c r="R16" s="894">
        <f t="shared" si="2"/>
        <v>0</v>
      </c>
    </row>
    <row r="17" spans="1:18" s="847" customFormat="1">
      <c r="A17" s="905" t="s">
        <v>3919</v>
      </c>
      <c r="B17" s="914" t="s">
        <v>406</v>
      </c>
      <c r="C17" s="915"/>
      <c r="D17" s="915"/>
      <c r="E17" s="916" t="s">
        <v>3924</v>
      </c>
      <c r="F17" s="917" t="s">
        <v>47</v>
      </c>
      <c r="G17" s="918"/>
      <c r="H17" s="919"/>
      <c r="I17" s="920"/>
      <c r="J17" s="891">
        <f>SUM(J18:J19)</f>
        <v>0</v>
      </c>
      <c r="K17" s="891"/>
      <c r="L17" s="891">
        <f>SUM(L18:L19)</f>
        <v>706250.9</v>
      </c>
      <c r="M17" s="891"/>
      <c r="N17" s="891">
        <f>SUM(N18:N19)</f>
        <v>0</v>
      </c>
      <c r="O17" s="892">
        <f t="shared" si="0"/>
        <v>1</v>
      </c>
      <c r="P17" s="903">
        <f t="shared" si="3"/>
        <v>0</v>
      </c>
      <c r="Q17" s="893">
        <f t="shared" si="1"/>
        <v>0</v>
      </c>
      <c r="R17" s="894">
        <f t="shared" si="2"/>
        <v>2</v>
      </c>
    </row>
    <row r="18" spans="1:18" s="904" customFormat="1">
      <c r="A18" s="895"/>
      <c r="B18" s="896"/>
      <c r="C18" s="897"/>
      <c r="D18" s="897"/>
      <c r="E18" s="898" t="s">
        <v>276</v>
      </c>
      <c r="F18" s="899"/>
      <c r="G18" s="900"/>
      <c r="H18" s="901"/>
      <c r="I18" s="902"/>
      <c r="J18" s="902"/>
      <c r="K18" s="912" t="s">
        <v>274</v>
      </c>
      <c r="L18" s="902"/>
      <c r="M18" s="902"/>
      <c r="N18" s="902"/>
      <c r="O18" s="892">
        <f t="shared" si="0"/>
        <v>0</v>
      </c>
      <c r="P18" s="903">
        <f t="shared" si="3"/>
        <v>1</v>
      </c>
      <c r="Q18" s="893">
        <f t="shared" si="1"/>
        <v>2</v>
      </c>
      <c r="R18" s="894">
        <f t="shared" si="2"/>
        <v>0</v>
      </c>
    </row>
    <row r="19" spans="1:18">
      <c r="A19" s="905"/>
      <c r="B19" s="906"/>
      <c r="C19" s="907">
        <v>730</v>
      </c>
      <c r="D19" s="907" t="s">
        <v>12</v>
      </c>
      <c r="E19" s="908" t="s">
        <v>3921</v>
      </c>
      <c r="F19" s="909" t="s">
        <v>2674</v>
      </c>
      <c r="G19" s="910"/>
      <c r="H19" s="911">
        <v>3.37</v>
      </c>
      <c r="I19" s="912"/>
      <c r="J19" s="912"/>
      <c r="K19" s="912">
        <f>VLOOKUP(E19,ĐMNC!$A$7:$F$67,3,0)</f>
        <v>209570</v>
      </c>
      <c r="L19" s="912">
        <f>H19*K19</f>
        <v>706250.9</v>
      </c>
      <c r="M19" s="912"/>
      <c r="N19" s="912"/>
      <c r="O19" s="892">
        <f t="shared" si="0"/>
        <v>0</v>
      </c>
      <c r="P19" s="903">
        <f t="shared" si="3"/>
        <v>1</v>
      </c>
      <c r="Q19" s="893">
        <f t="shared" si="1"/>
        <v>1</v>
      </c>
      <c r="R19" s="894">
        <f t="shared" si="2"/>
        <v>0</v>
      </c>
    </row>
    <row r="20" spans="1:18" s="847" customFormat="1">
      <c r="A20" s="905" t="s">
        <v>3919</v>
      </c>
      <c r="B20" s="914" t="s">
        <v>408</v>
      </c>
      <c r="C20" s="915"/>
      <c r="D20" s="915"/>
      <c r="E20" s="916" t="s">
        <v>3925</v>
      </c>
      <c r="F20" s="917" t="s">
        <v>47</v>
      </c>
      <c r="G20" s="918"/>
      <c r="H20" s="919"/>
      <c r="I20" s="920"/>
      <c r="J20" s="891">
        <f>SUM(J21:J22)</f>
        <v>0</v>
      </c>
      <c r="K20" s="891"/>
      <c r="L20" s="891">
        <f>SUM(L21:L22)</f>
        <v>689485.3</v>
      </c>
      <c r="M20" s="891"/>
      <c r="N20" s="891">
        <f>SUM(N21:N22)</f>
        <v>0</v>
      </c>
      <c r="O20" s="892">
        <f t="shared" si="0"/>
        <v>1</v>
      </c>
      <c r="P20" s="903">
        <f t="shared" si="3"/>
        <v>0</v>
      </c>
      <c r="Q20" s="893">
        <f t="shared" si="1"/>
        <v>0</v>
      </c>
      <c r="R20" s="894">
        <f t="shared" si="2"/>
        <v>2</v>
      </c>
    </row>
    <row r="21" spans="1:18" s="904" customFormat="1">
      <c r="A21" s="895"/>
      <c r="B21" s="896"/>
      <c r="C21" s="897"/>
      <c r="D21" s="897"/>
      <c r="E21" s="898" t="s">
        <v>276</v>
      </c>
      <c r="F21" s="899"/>
      <c r="G21" s="900"/>
      <c r="H21" s="901"/>
      <c r="I21" s="902"/>
      <c r="J21" s="902"/>
      <c r="K21" s="912" t="s">
        <v>274</v>
      </c>
      <c r="L21" s="902"/>
      <c r="M21" s="902"/>
      <c r="N21" s="902"/>
      <c r="O21" s="892">
        <f t="shared" si="0"/>
        <v>0</v>
      </c>
      <c r="P21" s="903">
        <f t="shared" si="3"/>
        <v>1</v>
      </c>
      <c r="Q21" s="893">
        <f t="shared" si="1"/>
        <v>2</v>
      </c>
      <c r="R21" s="894">
        <f t="shared" si="2"/>
        <v>0</v>
      </c>
    </row>
    <row r="22" spans="1:18">
      <c r="A22" s="905"/>
      <c r="B22" s="906"/>
      <c r="C22" s="907">
        <v>730</v>
      </c>
      <c r="D22" s="907" t="s">
        <v>12</v>
      </c>
      <c r="E22" s="908" t="s">
        <v>3921</v>
      </c>
      <c r="F22" s="909" t="s">
        <v>2674</v>
      </c>
      <c r="G22" s="910"/>
      <c r="H22" s="911">
        <v>3.29</v>
      </c>
      <c r="I22" s="912"/>
      <c r="J22" s="912"/>
      <c r="K22" s="912">
        <f>VLOOKUP(E22,ĐMNC!$A$7:$F$67,3,0)</f>
        <v>209570</v>
      </c>
      <c r="L22" s="912">
        <f>H22*K22</f>
        <v>689485.3</v>
      </c>
      <c r="M22" s="912"/>
      <c r="N22" s="912"/>
      <c r="O22" s="892">
        <f t="shared" si="0"/>
        <v>0</v>
      </c>
      <c r="P22" s="903">
        <f t="shared" si="3"/>
        <v>1</v>
      </c>
      <c r="Q22" s="893">
        <f t="shared" si="1"/>
        <v>1</v>
      </c>
      <c r="R22" s="894">
        <f t="shared" si="2"/>
        <v>0</v>
      </c>
    </row>
    <row r="23" spans="1:18" s="847" customFormat="1">
      <c r="A23" s="905" t="s">
        <v>3919</v>
      </c>
      <c r="B23" s="914" t="s">
        <v>416</v>
      </c>
      <c r="C23" s="915"/>
      <c r="D23" s="915"/>
      <c r="E23" s="916" t="s">
        <v>3926</v>
      </c>
      <c r="F23" s="917" t="s">
        <v>136</v>
      </c>
      <c r="G23" s="918"/>
      <c r="H23" s="919"/>
      <c r="I23" s="920"/>
      <c r="J23" s="891">
        <f>SUM(J24:J25)</f>
        <v>0</v>
      </c>
      <c r="K23" s="891"/>
      <c r="L23" s="891">
        <f>SUM(L24:L25)</f>
        <v>67062.399999999994</v>
      </c>
      <c r="M23" s="891"/>
      <c r="N23" s="891">
        <f>SUM(N24:N25)</f>
        <v>0</v>
      </c>
      <c r="O23" s="892">
        <f t="shared" si="0"/>
        <v>1</v>
      </c>
      <c r="P23" s="903">
        <f t="shared" si="3"/>
        <v>0</v>
      </c>
      <c r="Q23" s="893">
        <f t="shared" si="1"/>
        <v>0</v>
      </c>
      <c r="R23" s="894">
        <f t="shared" si="2"/>
        <v>2</v>
      </c>
    </row>
    <row r="24" spans="1:18" s="904" customFormat="1">
      <c r="A24" s="895"/>
      <c r="B24" s="896"/>
      <c r="C24" s="897"/>
      <c r="D24" s="897"/>
      <c r="E24" s="898" t="s">
        <v>276</v>
      </c>
      <c r="F24" s="899"/>
      <c r="G24" s="900"/>
      <c r="H24" s="901"/>
      <c r="I24" s="902"/>
      <c r="J24" s="902"/>
      <c r="K24" s="912" t="s">
        <v>274</v>
      </c>
      <c r="L24" s="902"/>
      <c r="M24" s="902"/>
      <c r="N24" s="902"/>
      <c r="O24" s="892">
        <f t="shared" si="0"/>
        <v>0</v>
      </c>
      <c r="P24" s="903">
        <f t="shared" si="3"/>
        <v>1</v>
      </c>
      <c r="Q24" s="893">
        <f t="shared" si="1"/>
        <v>2</v>
      </c>
      <c r="R24" s="894">
        <f t="shared" si="2"/>
        <v>0</v>
      </c>
    </row>
    <row r="25" spans="1:18">
      <c r="A25" s="905"/>
      <c r="B25" s="906"/>
      <c r="C25" s="907">
        <v>730</v>
      </c>
      <c r="D25" s="907" t="s">
        <v>12</v>
      </c>
      <c r="E25" s="908" t="s">
        <v>3921</v>
      </c>
      <c r="F25" s="909" t="s">
        <v>2674</v>
      </c>
      <c r="G25" s="910"/>
      <c r="H25" s="911">
        <v>0.32</v>
      </c>
      <c r="I25" s="912"/>
      <c r="J25" s="912"/>
      <c r="K25" s="912">
        <f>VLOOKUP(E25,ĐMNC!$A$7:$F$67,3,0)</f>
        <v>209570</v>
      </c>
      <c r="L25" s="912">
        <f>H25*K25</f>
        <v>67062.399999999994</v>
      </c>
      <c r="M25" s="912"/>
      <c r="N25" s="912"/>
      <c r="O25" s="892">
        <f t="shared" si="0"/>
        <v>0</v>
      </c>
      <c r="P25" s="903">
        <f t="shared" si="3"/>
        <v>1</v>
      </c>
      <c r="Q25" s="893">
        <f t="shared" si="1"/>
        <v>1</v>
      </c>
      <c r="R25" s="894">
        <f t="shared" si="2"/>
        <v>0</v>
      </c>
    </row>
    <row r="26" spans="1:18" s="847" customFormat="1">
      <c r="A26" s="905" t="s">
        <v>3919</v>
      </c>
      <c r="B26" s="914" t="s">
        <v>418</v>
      </c>
      <c r="C26" s="915"/>
      <c r="D26" s="915"/>
      <c r="E26" s="916" t="s">
        <v>3927</v>
      </c>
      <c r="F26" s="917" t="s">
        <v>136</v>
      </c>
      <c r="G26" s="918"/>
      <c r="H26" s="919"/>
      <c r="I26" s="920"/>
      <c r="J26" s="891">
        <f>SUM(J27:J28)</f>
        <v>0</v>
      </c>
      <c r="K26" s="891"/>
      <c r="L26" s="891">
        <f>SUM(L27:L28)</f>
        <v>1213410.3</v>
      </c>
      <c r="M26" s="891"/>
      <c r="N26" s="891">
        <f>SUM(N27:N28)</f>
        <v>0</v>
      </c>
      <c r="O26" s="892">
        <f t="shared" si="0"/>
        <v>1</v>
      </c>
      <c r="P26" s="903">
        <f t="shared" si="3"/>
        <v>0</v>
      </c>
      <c r="Q26" s="893">
        <f t="shared" si="1"/>
        <v>0</v>
      </c>
      <c r="R26" s="894">
        <f t="shared" si="2"/>
        <v>2</v>
      </c>
    </row>
    <row r="27" spans="1:18" s="904" customFormat="1">
      <c r="A27" s="895"/>
      <c r="B27" s="896"/>
      <c r="C27" s="897"/>
      <c r="D27" s="897"/>
      <c r="E27" s="898" t="s">
        <v>276</v>
      </c>
      <c r="F27" s="899"/>
      <c r="G27" s="900"/>
      <c r="H27" s="901"/>
      <c r="I27" s="902"/>
      <c r="J27" s="902"/>
      <c r="K27" s="912" t="s">
        <v>274</v>
      </c>
      <c r="L27" s="902"/>
      <c r="M27" s="902"/>
      <c r="N27" s="902"/>
      <c r="O27" s="892">
        <f t="shared" si="0"/>
        <v>0</v>
      </c>
      <c r="P27" s="903">
        <f t="shared" si="3"/>
        <v>1</v>
      </c>
      <c r="Q27" s="893">
        <f t="shared" si="1"/>
        <v>2</v>
      </c>
      <c r="R27" s="894">
        <f t="shared" si="2"/>
        <v>0</v>
      </c>
    </row>
    <row r="28" spans="1:18">
      <c r="A28" s="905"/>
      <c r="B28" s="906"/>
      <c r="C28" s="907">
        <v>730</v>
      </c>
      <c r="D28" s="907" t="s">
        <v>12</v>
      </c>
      <c r="E28" s="908" t="s">
        <v>3921</v>
      </c>
      <c r="F28" s="909" t="s">
        <v>2674</v>
      </c>
      <c r="G28" s="910"/>
      <c r="H28" s="911">
        <v>5.79</v>
      </c>
      <c r="I28" s="912"/>
      <c r="J28" s="912"/>
      <c r="K28" s="912">
        <f>VLOOKUP(E28,ĐMNC!$A$7:$F$67,3,0)</f>
        <v>209570</v>
      </c>
      <c r="L28" s="912">
        <f>H28*K28</f>
        <v>1213410.3</v>
      </c>
      <c r="M28" s="912"/>
      <c r="N28" s="912"/>
      <c r="O28" s="892">
        <f t="shared" si="0"/>
        <v>0</v>
      </c>
      <c r="P28" s="903">
        <f t="shared" si="3"/>
        <v>1</v>
      </c>
      <c r="Q28" s="893">
        <f t="shared" si="1"/>
        <v>1</v>
      </c>
      <c r="R28" s="894">
        <f t="shared" si="2"/>
        <v>0</v>
      </c>
    </row>
    <row r="29" spans="1:18" s="847" customFormat="1">
      <c r="A29" s="905" t="s">
        <v>3919</v>
      </c>
      <c r="B29" s="914" t="s">
        <v>420</v>
      </c>
      <c r="C29" s="915"/>
      <c r="D29" s="915"/>
      <c r="E29" s="916" t="s">
        <v>3928</v>
      </c>
      <c r="F29" s="917" t="s">
        <v>136</v>
      </c>
      <c r="G29" s="918"/>
      <c r="H29" s="919"/>
      <c r="I29" s="920"/>
      <c r="J29" s="891">
        <f>SUM(J30:J31)</f>
        <v>0</v>
      </c>
      <c r="K29" s="891"/>
      <c r="L29" s="891">
        <f>SUM(L30:L31)</f>
        <v>1137965.0999999999</v>
      </c>
      <c r="M29" s="891"/>
      <c r="N29" s="891">
        <f>SUM(N30:N31)</f>
        <v>0</v>
      </c>
      <c r="O29" s="892">
        <f t="shared" si="0"/>
        <v>1</v>
      </c>
      <c r="P29" s="903">
        <f t="shared" si="3"/>
        <v>0</v>
      </c>
      <c r="Q29" s="893">
        <f t="shared" si="1"/>
        <v>0</v>
      </c>
      <c r="R29" s="894">
        <f t="shared" si="2"/>
        <v>2</v>
      </c>
    </row>
    <row r="30" spans="1:18" s="904" customFormat="1">
      <c r="A30" s="895"/>
      <c r="B30" s="896"/>
      <c r="C30" s="897"/>
      <c r="D30" s="897"/>
      <c r="E30" s="898" t="s">
        <v>276</v>
      </c>
      <c r="F30" s="899"/>
      <c r="G30" s="900"/>
      <c r="H30" s="901"/>
      <c r="I30" s="902"/>
      <c r="J30" s="902"/>
      <c r="K30" s="912" t="s">
        <v>274</v>
      </c>
      <c r="L30" s="902"/>
      <c r="M30" s="902"/>
      <c r="N30" s="902"/>
      <c r="O30" s="892">
        <f t="shared" si="0"/>
        <v>0</v>
      </c>
      <c r="P30" s="903">
        <f t="shared" si="3"/>
        <v>1</v>
      </c>
      <c r="Q30" s="893">
        <f t="shared" si="1"/>
        <v>2</v>
      </c>
      <c r="R30" s="894">
        <f t="shared" si="2"/>
        <v>0</v>
      </c>
    </row>
    <row r="31" spans="1:18">
      <c r="A31" s="905"/>
      <c r="B31" s="906"/>
      <c r="C31" s="907">
        <v>730</v>
      </c>
      <c r="D31" s="907" t="s">
        <v>12</v>
      </c>
      <c r="E31" s="908" t="s">
        <v>3921</v>
      </c>
      <c r="F31" s="909" t="s">
        <v>2674</v>
      </c>
      <c r="G31" s="910"/>
      <c r="H31" s="911">
        <v>5.43</v>
      </c>
      <c r="I31" s="912"/>
      <c r="J31" s="912"/>
      <c r="K31" s="912">
        <f>VLOOKUP(E31,ĐMNC!$A$7:$F$67,3,0)</f>
        <v>209570</v>
      </c>
      <c r="L31" s="912">
        <f>H31*K31</f>
        <v>1137965.0999999999</v>
      </c>
      <c r="M31" s="912"/>
      <c r="N31" s="912"/>
      <c r="O31" s="892">
        <f t="shared" si="0"/>
        <v>0</v>
      </c>
      <c r="P31" s="903">
        <f t="shared" si="3"/>
        <v>1</v>
      </c>
      <c r="Q31" s="893">
        <f t="shared" si="1"/>
        <v>1</v>
      </c>
      <c r="R31" s="894">
        <f t="shared" si="2"/>
        <v>0</v>
      </c>
    </row>
    <row r="32" spans="1:18" s="847" customFormat="1">
      <c r="A32" s="905" t="s">
        <v>3919</v>
      </c>
      <c r="B32" s="914" t="s">
        <v>422</v>
      </c>
      <c r="C32" s="915"/>
      <c r="D32" s="915"/>
      <c r="E32" s="916" t="s">
        <v>3929</v>
      </c>
      <c r="F32" s="917" t="s">
        <v>136</v>
      </c>
      <c r="G32" s="918"/>
      <c r="H32" s="919"/>
      <c r="I32" s="920"/>
      <c r="J32" s="891">
        <f>SUM(J33:J34)</f>
        <v>0</v>
      </c>
      <c r="K32" s="891"/>
      <c r="L32" s="891">
        <f>SUM(L33:L34)</f>
        <v>1123295.2</v>
      </c>
      <c r="M32" s="891"/>
      <c r="N32" s="891">
        <f>SUM(N33:N34)</f>
        <v>0</v>
      </c>
      <c r="O32" s="892">
        <f t="shared" si="0"/>
        <v>1</v>
      </c>
      <c r="P32" s="903">
        <f t="shared" si="3"/>
        <v>0</v>
      </c>
      <c r="Q32" s="893">
        <f t="shared" si="1"/>
        <v>0</v>
      </c>
      <c r="R32" s="894">
        <f t="shared" si="2"/>
        <v>2</v>
      </c>
    </row>
    <row r="33" spans="1:18" s="904" customFormat="1">
      <c r="A33" s="895"/>
      <c r="B33" s="896"/>
      <c r="C33" s="897"/>
      <c r="D33" s="897"/>
      <c r="E33" s="898" t="s">
        <v>276</v>
      </c>
      <c r="F33" s="899"/>
      <c r="G33" s="900"/>
      <c r="H33" s="901"/>
      <c r="I33" s="902"/>
      <c r="J33" s="902"/>
      <c r="K33" s="912" t="s">
        <v>274</v>
      </c>
      <c r="L33" s="902"/>
      <c r="M33" s="902"/>
      <c r="N33" s="902"/>
      <c r="O33" s="892">
        <f t="shared" si="0"/>
        <v>0</v>
      </c>
      <c r="P33" s="903">
        <f t="shared" si="3"/>
        <v>1</v>
      </c>
      <c r="Q33" s="893">
        <f t="shared" si="1"/>
        <v>2</v>
      </c>
      <c r="R33" s="894">
        <f t="shared" si="2"/>
        <v>0</v>
      </c>
    </row>
    <row r="34" spans="1:18">
      <c r="A34" s="905"/>
      <c r="B34" s="906"/>
      <c r="C34" s="907">
        <v>730</v>
      </c>
      <c r="D34" s="907" t="s">
        <v>12</v>
      </c>
      <c r="E34" s="908" t="s">
        <v>3921</v>
      </c>
      <c r="F34" s="909" t="s">
        <v>2674</v>
      </c>
      <c r="G34" s="910"/>
      <c r="H34" s="911">
        <v>5.36</v>
      </c>
      <c r="I34" s="912"/>
      <c r="J34" s="912"/>
      <c r="K34" s="912">
        <f>VLOOKUP(E34,ĐMNC!$A$7:$F$67,3,0)</f>
        <v>209570</v>
      </c>
      <c r="L34" s="912">
        <f>H34*K34</f>
        <v>1123295.2</v>
      </c>
      <c r="M34" s="912"/>
      <c r="N34" s="912"/>
      <c r="O34" s="892">
        <f t="shared" si="0"/>
        <v>0</v>
      </c>
      <c r="P34" s="903">
        <f t="shared" si="3"/>
        <v>1</v>
      </c>
      <c r="Q34" s="893">
        <f t="shared" si="1"/>
        <v>1</v>
      </c>
      <c r="R34" s="894">
        <f t="shared" si="2"/>
        <v>0</v>
      </c>
    </row>
    <row r="35" spans="1:18" s="847" customFormat="1">
      <c r="A35" s="905" t="s">
        <v>3919</v>
      </c>
      <c r="B35" s="914" t="s">
        <v>424</v>
      </c>
      <c r="C35" s="915"/>
      <c r="D35" s="915"/>
      <c r="E35" s="916" t="s">
        <v>3930</v>
      </c>
      <c r="F35" s="917" t="s">
        <v>136</v>
      </c>
      <c r="G35" s="918"/>
      <c r="H35" s="919"/>
      <c r="I35" s="920"/>
      <c r="J35" s="891">
        <f>SUM(J36:J37)</f>
        <v>0</v>
      </c>
      <c r="K35" s="891"/>
      <c r="L35" s="891">
        <f>SUM(L36:L37)</f>
        <v>1112816.7</v>
      </c>
      <c r="M35" s="891"/>
      <c r="N35" s="891">
        <f>SUM(N36:N37)</f>
        <v>0</v>
      </c>
      <c r="O35" s="892">
        <f t="shared" si="0"/>
        <v>1</v>
      </c>
      <c r="P35" s="903">
        <f t="shared" si="3"/>
        <v>0</v>
      </c>
      <c r="Q35" s="893">
        <f t="shared" si="1"/>
        <v>0</v>
      </c>
      <c r="R35" s="894">
        <f t="shared" si="2"/>
        <v>2</v>
      </c>
    </row>
    <row r="36" spans="1:18" s="904" customFormat="1">
      <c r="A36" s="895"/>
      <c r="B36" s="896"/>
      <c r="C36" s="897"/>
      <c r="D36" s="897"/>
      <c r="E36" s="898" t="s">
        <v>276</v>
      </c>
      <c r="F36" s="899"/>
      <c r="G36" s="900"/>
      <c r="H36" s="901"/>
      <c r="I36" s="902"/>
      <c r="J36" s="902"/>
      <c r="K36" s="912" t="s">
        <v>274</v>
      </c>
      <c r="L36" s="902"/>
      <c r="M36" s="902"/>
      <c r="N36" s="902"/>
      <c r="O36" s="892">
        <f t="shared" si="0"/>
        <v>0</v>
      </c>
      <c r="P36" s="903">
        <f t="shared" si="3"/>
        <v>1</v>
      </c>
      <c r="Q36" s="893">
        <f t="shared" si="1"/>
        <v>2</v>
      </c>
      <c r="R36" s="894">
        <f t="shared" si="2"/>
        <v>0</v>
      </c>
    </row>
    <row r="37" spans="1:18">
      <c r="A37" s="905"/>
      <c r="B37" s="906"/>
      <c r="C37" s="907">
        <v>730</v>
      </c>
      <c r="D37" s="907" t="s">
        <v>12</v>
      </c>
      <c r="E37" s="908" t="s">
        <v>3921</v>
      </c>
      <c r="F37" s="909" t="s">
        <v>2674</v>
      </c>
      <c r="G37" s="910"/>
      <c r="H37" s="911">
        <v>5.31</v>
      </c>
      <c r="I37" s="912"/>
      <c r="J37" s="912"/>
      <c r="K37" s="912">
        <f>VLOOKUP(E37,ĐMNC!$A$7:$F$67,3,0)</f>
        <v>209570</v>
      </c>
      <c r="L37" s="912">
        <f>H37*K37</f>
        <v>1112816.7</v>
      </c>
      <c r="M37" s="912"/>
      <c r="N37" s="912"/>
      <c r="O37" s="892">
        <f t="shared" si="0"/>
        <v>0</v>
      </c>
      <c r="P37" s="903">
        <f t="shared" si="3"/>
        <v>1</v>
      </c>
      <c r="Q37" s="893">
        <f t="shared" si="1"/>
        <v>1</v>
      </c>
      <c r="R37" s="894">
        <f t="shared" si="2"/>
        <v>0</v>
      </c>
    </row>
    <row r="38" spans="1:18" s="847" customFormat="1">
      <c r="A38" s="905" t="s">
        <v>3919</v>
      </c>
      <c r="B38" s="914" t="s">
        <v>137</v>
      </c>
      <c r="C38" s="915"/>
      <c r="D38" s="915"/>
      <c r="E38" s="916" t="s">
        <v>3931</v>
      </c>
      <c r="F38" s="917" t="s">
        <v>136</v>
      </c>
      <c r="G38" s="918"/>
      <c r="H38" s="919"/>
      <c r="I38" s="920"/>
      <c r="J38" s="891">
        <f>SUM(J39:J40)</f>
        <v>0</v>
      </c>
      <c r="K38" s="891"/>
      <c r="L38" s="891">
        <f>SUM(L39:L40)</f>
        <v>85923.7</v>
      </c>
      <c r="M38" s="891"/>
      <c r="N38" s="891">
        <f>SUM(N39:N40)</f>
        <v>0</v>
      </c>
      <c r="O38" s="892">
        <f t="shared" si="0"/>
        <v>1</v>
      </c>
      <c r="P38" s="903">
        <f t="shared" si="3"/>
        <v>0</v>
      </c>
      <c r="Q38" s="893">
        <f t="shared" si="1"/>
        <v>0</v>
      </c>
      <c r="R38" s="894">
        <f t="shared" si="2"/>
        <v>2</v>
      </c>
    </row>
    <row r="39" spans="1:18" s="904" customFormat="1">
      <c r="A39" s="895"/>
      <c r="B39" s="896"/>
      <c r="C39" s="897"/>
      <c r="D39" s="897"/>
      <c r="E39" s="898" t="s">
        <v>276</v>
      </c>
      <c r="F39" s="899"/>
      <c r="G39" s="900"/>
      <c r="H39" s="901"/>
      <c r="I39" s="902"/>
      <c r="J39" s="902"/>
      <c r="K39" s="912" t="s">
        <v>274</v>
      </c>
      <c r="L39" s="902"/>
      <c r="M39" s="902"/>
      <c r="N39" s="902"/>
      <c r="O39" s="892">
        <f t="shared" si="0"/>
        <v>0</v>
      </c>
      <c r="P39" s="903">
        <f t="shared" si="3"/>
        <v>1</v>
      </c>
      <c r="Q39" s="893">
        <f t="shared" si="1"/>
        <v>2</v>
      </c>
      <c r="R39" s="894">
        <f t="shared" si="2"/>
        <v>0</v>
      </c>
    </row>
    <row r="40" spans="1:18">
      <c r="A40" s="905"/>
      <c r="B40" s="906"/>
      <c r="C40" s="907">
        <v>730</v>
      </c>
      <c r="D40" s="907" t="s">
        <v>12</v>
      </c>
      <c r="E40" s="908" t="s">
        <v>3921</v>
      </c>
      <c r="F40" s="909" t="s">
        <v>2674</v>
      </c>
      <c r="G40" s="910"/>
      <c r="H40" s="911">
        <v>0.41</v>
      </c>
      <c r="I40" s="912"/>
      <c r="J40" s="912"/>
      <c r="K40" s="912">
        <f>VLOOKUP(E40,ĐMNC!$A$7:$F$67,3,0)</f>
        <v>209570</v>
      </c>
      <c r="L40" s="912">
        <f>H40*K40</f>
        <v>85923.7</v>
      </c>
      <c r="M40" s="912"/>
      <c r="N40" s="912"/>
      <c r="O40" s="892">
        <f t="shared" si="0"/>
        <v>0</v>
      </c>
      <c r="P40" s="903">
        <f t="shared" si="3"/>
        <v>1</v>
      </c>
      <c r="Q40" s="893">
        <f t="shared" si="1"/>
        <v>1</v>
      </c>
      <c r="R40" s="894">
        <f t="shared" si="2"/>
        <v>0</v>
      </c>
    </row>
    <row r="41" spans="1:18" s="847" customFormat="1" ht="31.5">
      <c r="A41" s="905" t="s">
        <v>3919</v>
      </c>
      <c r="B41" s="914" t="s">
        <v>134</v>
      </c>
      <c r="C41" s="915"/>
      <c r="D41" s="915"/>
      <c r="E41" s="916" t="s">
        <v>3932</v>
      </c>
      <c r="F41" s="917" t="s">
        <v>136</v>
      </c>
      <c r="G41" s="918"/>
      <c r="H41" s="919"/>
      <c r="I41" s="920"/>
      <c r="J41" s="891">
        <f>SUM(J42:J43)</f>
        <v>0</v>
      </c>
      <c r="K41" s="891"/>
      <c r="L41" s="891">
        <f>SUM(L42:L43)</f>
        <v>1569679.3</v>
      </c>
      <c r="M41" s="891"/>
      <c r="N41" s="891">
        <f>SUM(N42:N43)</f>
        <v>0</v>
      </c>
      <c r="O41" s="892">
        <f t="shared" si="0"/>
        <v>1</v>
      </c>
      <c r="P41" s="903">
        <f t="shared" si="3"/>
        <v>0</v>
      </c>
      <c r="Q41" s="893">
        <f t="shared" si="1"/>
        <v>0</v>
      </c>
      <c r="R41" s="894">
        <f t="shared" si="2"/>
        <v>2</v>
      </c>
    </row>
    <row r="42" spans="1:18" s="904" customFormat="1">
      <c r="A42" s="895"/>
      <c r="B42" s="896"/>
      <c r="C42" s="897"/>
      <c r="D42" s="897"/>
      <c r="E42" s="898" t="s">
        <v>276</v>
      </c>
      <c r="F42" s="899"/>
      <c r="G42" s="900"/>
      <c r="H42" s="901"/>
      <c r="I42" s="902"/>
      <c r="J42" s="902"/>
      <c r="K42" s="912" t="s">
        <v>274</v>
      </c>
      <c r="L42" s="902"/>
      <c r="M42" s="902"/>
      <c r="N42" s="902"/>
      <c r="O42" s="892">
        <f t="shared" si="0"/>
        <v>0</v>
      </c>
      <c r="P42" s="903">
        <f t="shared" si="3"/>
        <v>1</v>
      </c>
      <c r="Q42" s="893">
        <f t="shared" si="1"/>
        <v>2</v>
      </c>
      <c r="R42" s="894">
        <f t="shared" si="2"/>
        <v>0</v>
      </c>
    </row>
    <row r="43" spans="1:18">
      <c r="A43" s="905"/>
      <c r="B43" s="906"/>
      <c r="C43" s="907">
        <v>730</v>
      </c>
      <c r="D43" s="907" t="s">
        <v>12</v>
      </c>
      <c r="E43" s="908" t="s">
        <v>3921</v>
      </c>
      <c r="F43" s="909" t="s">
        <v>2674</v>
      </c>
      <c r="G43" s="910"/>
      <c r="H43" s="911">
        <v>7.49</v>
      </c>
      <c r="I43" s="912"/>
      <c r="J43" s="912"/>
      <c r="K43" s="912">
        <f>VLOOKUP(E43,ĐMNC!$A$7:$F$67,3,0)</f>
        <v>209570</v>
      </c>
      <c r="L43" s="912">
        <f>H43*K43</f>
        <v>1569679.3</v>
      </c>
      <c r="M43" s="912"/>
      <c r="N43" s="912"/>
      <c r="O43" s="892">
        <f t="shared" si="0"/>
        <v>0</v>
      </c>
      <c r="P43" s="903">
        <f t="shared" si="3"/>
        <v>1</v>
      </c>
      <c r="Q43" s="893">
        <f t="shared" si="1"/>
        <v>1</v>
      </c>
      <c r="R43" s="894">
        <f t="shared" si="2"/>
        <v>0</v>
      </c>
    </row>
    <row r="44" spans="1:18" s="847" customFormat="1" ht="31.5">
      <c r="A44" s="905" t="s">
        <v>3919</v>
      </c>
      <c r="B44" s="914" t="s">
        <v>426</v>
      </c>
      <c r="C44" s="915"/>
      <c r="D44" s="915"/>
      <c r="E44" s="916" t="s">
        <v>3933</v>
      </c>
      <c r="F44" s="917" t="s">
        <v>136</v>
      </c>
      <c r="G44" s="918"/>
      <c r="H44" s="919"/>
      <c r="I44" s="920"/>
      <c r="J44" s="891">
        <f>SUM(J45:J46)</f>
        <v>0</v>
      </c>
      <c r="K44" s="891"/>
      <c r="L44" s="891">
        <f>SUM(L45:L46)</f>
        <v>1473277.1</v>
      </c>
      <c r="M44" s="891"/>
      <c r="N44" s="891">
        <f>SUM(N45:N46)</f>
        <v>0</v>
      </c>
      <c r="O44" s="892">
        <f t="shared" si="0"/>
        <v>1</v>
      </c>
      <c r="P44" s="903">
        <f t="shared" si="3"/>
        <v>0</v>
      </c>
      <c r="Q44" s="893">
        <f t="shared" si="1"/>
        <v>0</v>
      </c>
      <c r="R44" s="894">
        <f t="shared" si="2"/>
        <v>2</v>
      </c>
    </row>
    <row r="45" spans="1:18" s="904" customFormat="1">
      <c r="A45" s="895"/>
      <c r="B45" s="896"/>
      <c r="C45" s="897"/>
      <c r="D45" s="897"/>
      <c r="E45" s="898" t="s">
        <v>276</v>
      </c>
      <c r="F45" s="899"/>
      <c r="G45" s="900"/>
      <c r="H45" s="901"/>
      <c r="I45" s="902"/>
      <c r="J45" s="902"/>
      <c r="K45" s="912" t="s">
        <v>274</v>
      </c>
      <c r="L45" s="902"/>
      <c r="M45" s="902"/>
      <c r="N45" s="902"/>
      <c r="O45" s="892">
        <f t="shared" si="0"/>
        <v>0</v>
      </c>
      <c r="P45" s="903">
        <f t="shared" si="3"/>
        <v>1</v>
      </c>
      <c r="Q45" s="893">
        <f t="shared" si="1"/>
        <v>2</v>
      </c>
      <c r="R45" s="894">
        <f t="shared" si="2"/>
        <v>0</v>
      </c>
    </row>
    <row r="46" spans="1:18">
      <c r="A46" s="905"/>
      <c r="B46" s="906"/>
      <c r="C46" s="907">
        <v>730</v>
      </c>
      <c r="D46" s="907" t="s">
        <v>12</v>
      </c>
      <c r="E46" s="908" t="s">
        <v>3921</v>
      </c>
      <c r="F46" s="909" t="s">
        <v>2674</v>
      </c>
      <c r="G46" s="910"/>
      <c r="H46" s="911">
        <v>7.03</v>
      </c>
      <c r="I46" s="912"/>
      <c r="J46" s="912"/>
      <c r="K46" s="912">
        <f>VLOOKUP(E46,ĐMNC!$A$7:$F$67,3,0)</f>
        <v>209570</v>
      </c>
      <c r="L46" s="912">
        <f>H46*K46</f>
        <v>1473277.1</v>
      </c>
      <c r="M46" s="912"/>
      <c r="N46" s="912"/>
      <c r="O46" s="892">
        <f t="shared" si="0"/>
        <v>0</v>
      </c>
      <c r="P46" s="903">
        <f t="shared" si="3"/>
        <v>1</v>
      </c>
      <c r="Q46" s="893">
        <f t="shared" si="1"/>
        <v>1</v>
      </c>
      <c r="R46" s="894">
        <f t="shared" si="2"/>
        <v>0</v>
      </c>
    </row>
    <row r="47" spans="1:18" s="847" customFormat="1" ht="31.5">
      <c r="A47" s="905" t="s">
        <v>3919</v>
      </c>
      <c r="B47" s="914" t="s">
        <v>428</v>
      </c>
      <c r="C47" s="915"/>
      <c r="D47" s="915"/>
      <c r="E47" s="916" t="s">
        <v>3934</v>
      </c>
      <c r="F47" s="917" t="s">
        <v>136</v>
      </c>
      <c r="G47" s="918"/>
      <c r="H47" s="919"/>
      <c r="I47" s="920"/>
      <c r="J47" s="891">
        <f>SUM(J48:J49)</f>
        <v>0</v>
      </c>
      <c r="K47" s="891"/>
      <c r="L47" s="891">
        <f>SUM(L48:L49)</f>
        <v>1454415.8</v>
      </c>
      <c r="M47" s="891"/>
      <c r="N47" s="891">
        <f>SUM(N48:N49)</f>
        <v>0</v>
      </c>
      <c r="O47" s="892">
        <f t="shared" si="0"/>
        <v>1</v>
      </c>
      <c r="P47" s="903">
        <f t="shared" si="3"/>
        <v>0</v>
      </c>
      <c r="Q47" s="893">
        <f t="shared" si="1"/>
        <v>0</v>
      </c>
      <c r="R47" s="894">
        <f t="shared" si="2"/>
        <v>2</v>
      </c>
    </row>
    <row r="48" spans="1:18" s="904" customFormat="1">
      <c r="A48" s="895"/>
      <c r="B48" s="896"/>
      <c r="C48" s="897"/>
      <c r="D48" s="897"/>
      <c r="E48" s="898" t="s">
        <v>276</v>
      </c>
      <c r="F48" s="899"/>
      <c r="G48" s="900"/>
      <c r="H48" s="901"/>
      <c r="I48" s="902"/>
      <c r="J48" s="902"/>
      <c r="K48" s="912" t="s">
        <v>274</v>
      </c>
      <c r="L48" s="902"/>
      <c r="M48" s="902"/>
      <c r="N48" s="902"/>
      <c r="O48" s="892">
        <f t="shared" si="0"/>
        <v>0</v>
      </c>
      <c r="P48" s="903">
        <f t="shared" si="3"/>
        <v>1</v>
      </c>
      <c r="Q48" s="893">
        <f t="shared" si="1"/>
        <v>2</v>
      </c>
      <c r="R48" s="894">
        <f t="shared" si="2"/>
        <v>0</v>
      </c>
    </row>
    <row r="49" spans="1:18">
      <c r="A49" s="905"/>
      <c r="B49" s="906"/>
      <c r="C49" s="907">
        <v>730</v>
      </c>
      <c r="D49" s="907" t="s">
        <v>12</v>
      </c>
      <c r="E49" s="908" t="s">
        <v>3921</v>
      </c>
      <c r="F49" s="909" t="s">
        <v>2674</v>
      </c>
      <c r="G49" s="910"/>
      <c r="H49" s="911">
        <v>6.94</v>
      </c>
      <c r="I49" s="912"/>
      <c r="J49" s="912"/>
      <c r="K49" s="912">
        <f>VLOOKUP(E49,ĐMNC!$A$7:$F$67,3,0)</f>
        <v>209570</v>
      </c>
      <c r="L49" s="912">
        <f>H49*K49</f>
        <v>1454415.8</v>
      </c>
      <c r="M49" s="912"/>
      <c r="N49" s="912"/>
      <c r="O49" s="892">
        <f t="shared" si="0"/>
        <v>0</v>
      </c>
      <c r="P49" s="903">
        <f t="shared" si="3"/>
        <v>1</v>
      </c>
      <c r="Q49" s="893">
        <f t="shared" si="1"/>
        <v>1</v>
      </c>
      <c r="R49" s="894">
        <f t="shared" si="2"/>
        <v>0</v>
      </c>
    </row>
    <row r="50" spans="1:18" s="847" customFormat="1" ht="31.5">
      <c r="A50" s="905" t="s">
        <v>3919</v>
      </c>
      <c r="B50" s="914" t="s">
        <v>430</v>
      </c>
      <c r="C50" s="915"/>
      <c r="D50" s="915"/>
      <c r="E50" s="916" t="s">
        <v>3935</v>
      </c>
      <c r="F50" s="917" t="s">
        <v>136</v>
      </c>
      <c r="G50" s="918"/>
      <c r="H50" s="919"/>
      <c r="I50" s="920"/>
      <c r="J50" s="891">
        <f>SUM(J51:J52)</f>
        <v>0</v>
      </c>
      <c r="K50" s="891"/>
      <c r="L50" s="891">
        <f>SUM(L51:L52)</f>
        <v>1334960.8999999999</v>
      </c>
      <c r="M50" s="891"/>
      <c r="N50" s="891">
        <f>SUM(N51:N52)</f>
        <v>0</v>
      </c>
      <c r="O50" s="892">
        <f t="shared" si="0"/>
        <v>1</v>
      </c>
      <c r="P50" s="903">
        <f t="shared" si="3"/>
        <v>0</v>
      </c>
      <c r="Q50" s="893">
        <f t="shared" si="1"/>
        <v>0</v>
      </c>
      <c r="R50" s="894">
        <f t="shared" si="2"/>
        <v>2</v>
      </c>
    </row>
    <row r="51" spans="1:18" s="904" customFormat="1">
      <c r="A51" s="895"/>
      <c r="B51" s="896"/>
      <c r="C51" s="897"/>
      <c r="D51" s="897"/>
      <c r="E51" s="898" t="s">
        <v>276</v>
      </c>
      <c r="F51" s="899"/>
      <c r="G51" s="900"/>
      <c r="H51" s="901"/>
      <c r="I51" s="902"/>
      <c r="J51" s="902"/>
      <c r="K51" s="912" t="s">
        <v>274</v>
      </c>
      <c r="L51" s="902"/>
      <c r="M51" s="902"/>
      <c r="N51" s="902"/>
      <c r="O51" s="892">
        <f t="shared" si="0"/>
        <v>0</v>
      </c>
      <c r="P51" s="903">
        <f t="shared" si="3"/>
        <v>1</v>
      </c>
      <c r="Q51" s="893">
        <f t="shared" si="1"/>
        <v>2</v>
      </c>
      <c r="R51" s="894">
        <f t="shared" si="2"/>
        <v>0</v>
      </c>
    </row>
    <row r="52" spans="1:18">
      <c r="A52" s="905"/>
      <c r="B52" s="906"/>
      <c r="C52" s="907">
        <v>730</v>
      </c>
      <c r="D52" s="907" t="s">
        <v>12</v>
      </c>
      <c r="E52" s="908" t="s">
        <v>3921</v>
      </c>
      <c r="F52" s="909" t="s">
        <v>2674</v>
      </c>
      <c r="G52" s="910"/>
      <c r="H52" s="911">
        <v>6.37</v>
      </c>
      <c r="I52" s="912"/>
      <c r="J52" s="912"/>
      <c r="K52" s="912">
        <f>VLOOKUP(E52,ĐMNC!$A$7:$F$67,3,0)</f>
        <v>209570</v>
      </c>
      <c r="L52" s="912">
        <f>H52*K52</f>
        <v>1334960.8999999999</v>
      </c>
      <c r="M52" s="912"/>
      <c r="N52" s="912"/>
      <c r="O52" s="892">
        <f t="shared" si="0"/>
        <v>0</v>
      </c>
      <c r="P52" s="903">
        <f t="shared" si="3"/>
        <v>1</v>
      </c>
      <c r="Q52" s="893">
        <f t="shared" si="1"/>
        <v>1</v>
      </c>
      <c r="R52" s="894">
        <f t="shared" si="2"/>
        <v>0</v>
      </c>
    </row>
    <row r="53" spans="1:18" s="847" customFormat="1">
      <c r="A53" s="905" t="s">
        <v>3919</v>
      </c>
      <c r="B53" s="914" t="s">
        <v>432</v>
      </c>
      <c r="C53" s="915"/>
      <c r="D53" s="915"/>
      <c r="E53" s="916" t="s">
        <v>3936</v>
      </c>
      <c r="F53" s="917" t="s">
        <v>136</v>
      </c>
      <c r="G53" s="918"/>
      <c r="H53" s="919"/>
      <c r="I53" s="920"/>
      <c r="J53" s="891">
        <f>SUM(J54:J55)</f>
        <v>0</v>
      </c>
      <c r="K53" s="891"/>
      <c r="L53" s="891">
        <f>SUM(L54:L55)</f>
        <v>79636.600000000006</v>
      </c>
      <c r="M53" s="891"/>
      <c r="N53" s="891">
        <f>SUM(N54:N55)</f>
        <v>0</v>
      </c>
      <c r="O53" s="892">
        <f t="shared" si="0"/>
        <v>1</v>
      </c>
      <c r="P53" s="903">
        <f t="shared" si="3"/>
        <v>0</v>
      </c>
      <c r="Q53" s="893">
        <f t="shared" si="1"/>
        <v>0</v>
      </c>
      <c r="R53" s="894">
        <f t="shared" si="2"/>
        <v>2</v>
      </c>
    </row>
    <row r="54" spans="1:18" s="904" customFormat="1">
      <c r="A54" s="895"/>
      <c r="B54" s="896"/>
      <c r="C54" s="897"/>
      <c r="D54" s="897"/>
      <c r="E54" s="898" t="s">
        <v>276</v>
      </c>
      <c r="F54" s="899"/>
      <c r="G54" s="900"/>
      <c r="H54" s="901"/>
      <c r="I54" s="902"/>
      <c r="J54" s="902"/>
      <c r="K54" s="912" t="s">
        <v>274</v>
      </c>
      <c r="L54" s="902"/>
      <c r="M54" s="902"/>
      <c r="N54" s="902"/>
      <c r="O54" s="892">
        <f t="shared" si="0"/>
        <v>0</v>
      </c>
      <c r="P54" s="903">
        <f t="shared" si="3"/>
        <v>1</v>
      </c>
      <c r="Q54" s="893">
        <f t="shared" si="1"/>
        <v>2</v>
      </c>
      <c r="R54" s="894">
        <f t="shared" si="2"/>
        <v>0</v>
      </c>
    </row>
    <row r="55" spans="1:18">
      <c r="A55" s="905"/>
      <c r="B55" s="906"/>
      <c r="C55" s="907">
        <v>730</v>
      </c>
      <c r="D55" s="907" t="s">
        <v>12</v>
      </c>
      <c r="E55" s="908" t="s">
        <v>3921</v>
      </c>
      <c r="F55" s="909" t="s">
        <v>2674</v>
      </c>
      <c r="G55" s="910"/>
      <c r="H55" s="911">
        <v>0.38</v>
      </c>
      <c r="I55" s="912"/>
      <c r="J55" s="912"/>
      <c r="K55" s="912">
        <f>VLOOKUP(E55,ĐMNC!$A$7:$F$67,3,0)</f>
        <v>209570</v>
      </c>
      <c r="L55" s="912">
        <f>H55*K55</f>
        <v>79636.600000000006</v>
      </c>
      <c r="M55" s="912"/>
      <c r="N55" s="912"/>
      <c r="O55" s="892">
        <f t="shared" si="0"/>
        <v>0</v>
      </c>
      <c r="P55" s="903">
        <f t="shared" si="3"/>
        <v>1</v>
      </c>
      <c r="Q55" s="893">
        <f t="shared" si="1"/>
        <v>1</v>
      </c>
      <c r="R55" s="894">
        <f t="shared" si="2"/>
        <v>0</v>
      </c>
    </row>
    <row r="56" spans="1:18" s="847" customFormat="1" ht="31.5">
      <c r="A56" s="905" t="s">
        <v>3919</v>
      </c>
      <c r="B56" s="914" t="s">
        <v>434</v>
      </c>
      <c r="C56" s="915"/>
      <c r="D56" s="915"/>
      <c r="E56" s="916" t="s">
        <v>3937</v>
      </c>
      <c r="F56" s="917" t="s">
        <v>136</v>
      </c>
      <c r="G56" s="918"/>
      <c r="H56" s="919"/>
      <c r="I56" s="920"/>
      <c r="J56" s="891">
        <f>SUM(J57:J58)</f>
        <v>0</v>
      </c>
      <c r="K56" s="891"/>
      <c r="L56" s="891">
        <f>SUM(L57:L58)</f>
        <v>1427171.7</v>
      </c>
      <c r="M56" s="891"/>
      <c r="N56" s="891">
        <f>SUM(N57:N58)</f>
        <v>0</v>
      </c>
      <c r="O56" s="892">
        <f t="shared" si="0"/>
        <v>1</v>
      </c>
      <c r="P56" s="903">
        <f t="shared" si="3"/>
        <v>0</v>
      </c>
      <c r="Q56" s="893">
        <f t="shared" si="1"/>
        <v>0</v>
      </c>
      <c r="R56" s="894">
        <f t="shared" si="2"/>
        <v>2</v>
      </c>
    </row>
    <row r="57" spans="1:18" s="904" customFormat="1">
      <c r="A57" s="895"/>
      <c r="B57" s="896"/>
      <c r="C57" s="897"/>
      <c r="D57" s="897"/>
      <c r="E57" s="898" t="s">
        <v>276</v>
      </c>
      <c r="F57" s="899"/>
      <c r="G57" s="900"/>
      <c r="H57" s="901"/>
      <c r="I57" s="902"/>
      <c r="J57" s="902"/>
      <c r="K57" s="912" t="s">
        <v>274</v>
      </c>
      <c r="L57" s="902"/>
      <c r="M57" s="902"/>
      <c r="N57" s="902"/>
      <c r="O57" s="892">
        <f t="shared" si="0"/>
        <v>0</v>
      </c>
      <c r="P57" s="903">
        <f t="shared" si="3"/>
        <v>1</v>
      </c>
      <c r="Q57" s="893">
        <f t="shared" si="1"/>
        <v>2</v>
      </c>
      <c r="R57" s="894">
        <f t="shared" si="2"/>
        <v>0</v>
      </c>
    </row>
    <row r="58" spans="1:18">
      <c r="A58" s="905"/>
      <c r="B58" s="906"/>
      <c r="C58" s="907">
        <v>730</v>
      </c>
      <c r="D58" s="907" t="s">
        <v>12</v>
      </c>
      <c r="E58" s="908" t="s">
        <v>3921</v>
      </c>
      <c r="F58" s="909" t="s">
        <v>2674</v>
      </c>
      <c r="G58" s="910"/>
      <c r="H58" s="911">
        <v>6.81</v>
      </c>
      <c r="I58" s="912"/>
      <c r="J58" s="912"/>
      <c r="K58" s="912">
        <f>VLOOKUP(E58,ĐMNC!$A$7:$F$67,3,0)</f>
        <v>209570</v>
      </c>
      <c r="L58" s="912">
        <f>H58*K58</f>
        <v>1427171.7</v>
      </c>
      <c r="M58" s="912"/>
      <c r="N58" s="912"/>
      <c r="O58" s="892">
        <f t="shared" si="0"/>
        <v>0</v>
      </c>
      <c r="P58" s="903">
        <f t="shared" si="3"/>
        <v>1</v>
      </c>
      <c r="Q58" s="893">
        <f t="shared" si="1"/>
        <v>1</v>
      </c>
      <c r="R58" s="894">
        <f t="shared" si="2"/>
        <v>0</v>
      </c>
    </row>
    <row r="59" spans="1:18" s="847" customFormat="1" ht="31.5">
      <c r="A59" s="905" t="s">
        <v>3919</v>
      </c>
      <c r="B59" s="914" t="s">
        <v>436</v>
      </c>
      <c r="C59" s="915"/>
      <c r="D59" s="915"/>
      <c r="E59" s="916" t="s">
        <v>3938</v>
      </c>
      <c r="F59" s="917" t="s">
        <v>136</v>
      </c>
      <c r="G59" s="918"/>
      <c r="H59" s="919"/>
      <c r="I59" s="920"/>
      <c r="J59" s="891">
        <f>SUM(J60:J61)</f>
        <v>0</v>
      </c>
      <c r="K59" s="891"/>
      <c r="L59" s="891">
        <f>SUM(L60:L61)</f>
        <v>1339152.3</v>
      </c>
      <c r="M59" s="891"/>
      <c r="N59" s="891">
        <f>SUM(N60:N61)</f>
        <v>0</v>
      </c>
      <c r="O59" s="892">
        <f t="shared" si="0"/>
        <v>1</v>
      </c>
      <c r="P59" s="903">
        <f t="shared" si="3"/>
        <v>0</v>
      </c>
      <c r="Q59" s="893">
        <f t="shared" si="1"/>
        <v>0</v>
      </c>
      <c r="R59" s="894">
        <f t="shared" si="2"/>
        <v>2</v>
      </c>
    </row>
    <row r="60" spans="1:18" s="904" customFormat="1">
      <c r="A60" s="895"/>
      <c r="B60" s="896"/>
      <c r="C60" s="897"/>
      <c r="D60" s="897"/>
      <c r="E60" s="898" t="s">
        <v>276</v>
      </c>
      <c r="F60" s="899"/>
      <c r="G60" s="900"/>
      <c r="H60" s="901"/>
      <c r="I60" s="902"/>
      <c r="J60" s="902"/>
      <c r="K60" s="912" t="s">
        <v>274</v>
      </c>
      <c r="L60" s="902"/>
      <c r="M60" s="902"/>
      <c r="N60" s="902"/>
      <c r="O60" s="892">
        <f t="shared" si="0"/>
        <v>0</v>
      </c>
      <c r="P60" s="903">
        <f t="shared" si="3"/>
        <v>1</v>
      </c>
      <c r="Q60" s="893">
        <f t="shared" si="1"/>
        <v>2</v>
      </c>
      <c r="R60" s="894">
        <f t="shared" si="2"/>
        <v>0</v>
      </c>
    </row>
    <row r="61" spans="1:18">
      <c r="A61" s="905"/>
      <c r="B61" s="906"/>
      <c r="C61" s="907">
        <v>730</v>
      </c>
      <c r="D61" s="907" t="s">
        <v>12</v>
      </c>
      <c r="E61" s="908" t="s">
        <v>3921</v>
      </c>
      <c r="F61" s="909" t="s">
        <v>2674</v>
      </c>
      <c r="G61" s="910"/>
      <c r="H61" s="911">
        <v>6.39</v>
      </c>
      <c r="I61" s="912"/>
      <c r="J61" s="912"/>
      <c r="K61" s="912">
        <f>VLOOKUP(E61,ĐMNC!$A$7:$F$67,3,0)</f>
        <v>209570</v>
      </c>
      <c r="L61" s="912">
        <f>H61*K61</f>
        <v>1339152.3</v>
      </c>
      <c r="M61" s="912"/>
      <c r="N61" s="912"/>
      <c r="O61" s="892">
        <f t="shared" si="0"/>
        <v>0</v>
      </c>
      <c r="P61" s="903">
        <f t="shared" si="3"/>
        <v>1</v>
      </c>
      <c r="Q61" s="893">
        <f t="shared" si="1"/>
        <v>1</v>
      </c>
      <c r="R61" s="894">
        <f t="shared" si="2"/>
        <v>0</v>
      </c>
    </row>
    <row r="62" spans="1:18" s="847" customFormat="1" ht="32.25" customHeight="1">
      <c r="A62" s="905" t="s">
        <v>3919</v>
      </c>
      <c r="B62" s="914" t="s">
        <v>438</v>
      </c>
      <c r="C62" s="915"/>
      <c r="D62" s="915"/>
      <c r="E62" s="916" t="s">
        <v>3939</v>
      </c>
      <c r="F62" s="917" t="s">
        <v>136</v>
      </c>
      <c r="G62" s="918"/>
      <c r="H62" s="919"/>
      <c r="I62" s="920"/>
      <c r="J62" s="891">
        <f>SUM(J63:J64)</f>
        <v>0</v>
      </c>
      <c r="K62" s="891"/>
      <c r="L62" s="891">
        <f>SUM(L63:L64)</f>
        <v>1322386.7</v>
      </c>
      <c r="M62" s="891"/>
      <c r="N62" s="891">
        <f>SUM(N63:N64)</f>
        <v>0</v>
      </c>
      <c r="O62" s="892">
        <f t="shared" si="0"/>
        <v>1</v>
      </c>
      <c r="P62" s="903">
        <f t="shared" si="3"/>
        <v>0</v>
      </c>
      <c r="Q62" s="893">
        <f t="shared" si="1"/>
        <v>0</v>
      </c>
      <c r="R62" s="894">
        <f t="shared" si="2"/>
        <v>2</v>
      </c>
    </row>
    <row r="63" spans="1:18" s="904" customFormat="1">
      <c r="A63" s="895"/>
      <c r="B63" s="896"/>
      <c r="C63" s="897"/>
      <c r="D63" s="897"/>
      <c r="E63" s="898" t="s">
        <v>276</v>
      </c>
      <c r="F63" s="899"/>
      <c r="G63" s="900"/>
      <c r="H63" s="901"/>
      <c r="I63" s="902"/>
      <c r="J63" s="902"/>
      <c r="K63" s="912" t="s">
        <v>274</v>
      </c>
      <c r="L63" s="902"/>
      <c r="M63" s="902"/>
      <c r="N63" s="902"/>
      <c r="O63" s="892">
        <f t="shared" si="0"/>
        <v>0</v>
      </c>
      <c r="P63" s="903">
        <f t="shared" si="3"/>
        <v>1</v>
      </c>
      <c r="Q63" s="893">
        <f t="shared" si="1"/>
        <v>2</v>
      </c>
      <c r="R63" s="894">
        <f t="shared" si="2"/>
        <v>0</v>
      </c>
    </row>
    <row r="64" spans="1:18">
      <c r="A64" s="905"/>
      <c r="B64" s="906"/>
      <c r="C64" s="907">
        <v>730</v>
      </c>
      <c r="D64" s="907" t="s">
        <v>12</v>
      </c>
      <c r="E64" s="908" t="s">
        <v>3921</v>
      </c>
      <c r="F64" s="909" t="s">
        <v>2674</v>
      </c>
      <c r="G64" s="910"/>
      <c r="H64" s="911">
        <v>6.31</v>
      </c>
      <c r="I64" s="912"/>
      <c r="J64" s="912"/>
      <c r="K64" s="912">
        <f>VLOOKUP(E64,ĐMNC!$A$7:$F$67,3,0)</f>
        <v>209570</v>
      </c>
      <c r="L64" s="912">
        <f>H64*K64</f>
        <v>1322386.7</v>
      </c>
      <c r="M64" s="912"/>
      <c r="N64" s="912"/>
      <c r="O64" s="892">
        <f t="shared" si="0"/>
        <v>0</v>
      </c>
      <c r="P64" s="903">
        <f t="shared" si="3"/>
        <v>1</v>
      </c>
      <c r="Q64" s="893">
        <f t="shared" si="1"/>
        <v>1</v>
      </c>
      <c r="R64" s="894">
        <f t="shared" si="2"/>
        <v>0</v>
      </c>
    </row>
    <row r="65" spans="1:18" s="847" customFormat="1" ht="32.25" customHeight="1">
      <c r="A65" s="905" t="s">
        <v>3919</v>
      </c>
      <c r="B65" s="914" t="s">
        <v>440</v>
      </c>
      <c r="C65" s="915"/>
      <c r="D65" s="915"/>
      <c r="E65" s="916" t="s">
        <v>3940</v>
      </c>
      <c r="F65" s="917" t="s">
        <v>136</v>
      </c>
      <c r="G65" s="918"/>
      <c r="H65" s="919"/>
      <c r="I65" s="920"/>
      <c r="J65" s="891">
        <f>SUM(J66:J67)</f>
        <v>0</v>
      </c>
      <c r="K65" s="891"/>
      <c r="L65" s="891">
        <f>SUM(L66:L67)</f>
        <v>1309812.5</v>
      </c>
      <c r="M65" s="891"/>
      <c r="N65" s="891">
        <f>SUM(N66:N67)</f>
        <v>0</v>
      </c>
      <c r="O65" s="892">
        <f t="shared" si="0"/>
        <v>1</v>
      </c>
      <c r="P65" s="903">
        <f t="shared" si="3"/>
        <v>0</v>
      </c>
      <c r="Q65" s="893">
        <f t="shared" si="1"/>
        <v>0</v>
      </c>
      <c r="R65" s="894">
        <f t="shared" si="2"/>
        <v>2</v>
      </c>
    </row>
    <row r="66" spans="1:18" s="904" customFormat="1">
      <c r="A66" s="895"/>
      <c r="B66" s="896"/>
      <c r="C66" s="897"/>
      <c r="D66" s="897"/>
      <c r="E66" s="898" t="s">
        <v>276</v>
      </c>
      <c r="F66" s="899"/>
      <c r="G66" s="900"/>
      <c r="H66" s="901"/>
      <c r="I66" s="902"/>
      <c r="J66" s="902"/>
      <c r="K66" s="912" t="s">
        <v>274</v>
      </c>
      <c r="L66" s="902"/>
      <c r="M66" s="902"/>
      <c r="N66" s="902"/>
      <c r="O66" s="892">
        <f t="shared" si="0"/>
        <v>0</v>
      </c>
      <c r="P66" s="903">
        <f t="shared" si="3"/>
        <v>1</v>
      </c>
      <c r="Q66" s="893">
        <f t="shared" si="1"/>
        <v>2</v>
      </c>
      <c r="R66" s="894">
        <f t="shared" si="2"/>
        <v>0</v>
      </c>
    </row>
    <row r="67" spans="1:18">
      <c r="A67" s="905"/>
      <c r="B67" s="906"/>
      <c r="C67" s="907">
        <v>730</v>
      </c>
      <c r="D67" s="907" t="s">
        <v>12</v>
      </c>
      <c r="E67" s="908" t="s">
        <v>3921</v>
      </c>
      <c r="F67" s="909" t="s">
        <v>2674</v>
      </c>
      <c r="G67" s="910"/>
      <c r="H67" s="911">
        <v>6.25</v>
      </c>
      <c r="I67" s="912"/>
      <c r="J67" s="912"/>
      <c r="K67" s="912">
        <f>VLOOKUP(E67,ĐMNC!$A$7:$F$67,3,0)</f>
        <v>209570</v>
      </c>
      <c r="L67" s="912">
        <f>H67*K67</f>
        <v>1309812.5</v>
      </c>
      <c r="M67" s="912"/>
      <c r="N67" s="912"/>
      <c r="O67" s="892">
        <f t="shared" si="0"/>
        <v>0</v>
      </c>
      <c r="P67" s="903">
        <f t="shared" si="3"/>
        <v>1</v>
      </c>
      <c r="Q67" s="893">
        <f t="shared" si="1"/>
        <v>1</v>
      </c>
      <c r="R67" s="894">
        <f t="shared" si="2"/>
        <v>0</v>
      </c>
    </row>
    <row r="68" spans="1:18" s="847" customFormat="1">
      <c r="A68" s="905" t="s">
        <v>3919</v>
      </c>
      <c r="B68" s="914" t="s">
        <v>442</v>
      </c>
      <c r="C68" s="915"/>
      <c r="D68" s="915"/>
      <c r="E68" s="916" t="s">
        <v>3936</v>
      </c>
      <c r="F68" s="917" t="s">
        <v>136</v>
      </c>
      <c r="G68" s="918"/>
      <c r="H68" s="919"/>
      <c r="I68" s="920"/>
      <c r="J68" s="891">
        <f>SUM(J69:J70)</f>
        <v>0</v>
      </c>
      <c r="K68" s="891"/>
      <c r="L68" s="891">
        <f>SUM(L69:L70)</f>
        <v>94306.5</v>
      </c>
      <c r="M68" s="891"/>
      <c r="N68" s="891">
        <f>SUM(N69:N70)</f>
        <v>0</v>
      </c>
      <c r="O68" s="892">
        <f t="shared" si="0"/>
        <v>1</v>
      </c>
      <c r="P68" s="903">
        <f t="shared" si="3"/>
        <v>0</v>
      </c>
      <c r="Q68" s="893">
        <f t="shared" si="1"/>
        <v>0</v>
      </c>
      <c r="R68" s="894">
        <f t="shared" si="2"/>
        <v>2</v>
      </c>
    </row>
    <row r="69" spans="1:18" s="904" customFormat="1">
      <c r="A69" s="895"/>
      <c r="B69" s="896"/>
      <c r="C69" s="897"/>
      <c r="D69" s="897"/>
      <c r="E69" s="898" t="s">
        <v>276</v>
      </c>
      <c r="F69" s="899"/>
      <c r="G69" s="900"/>
      <c r="H69" s="901"/>
      <c r="I69" s="902"/>
      <c r="J69" s="902"/>
      <c r="K69" s="912" t="s">
        <v>274</v>
      </c>
      <c r="L69" s="902"/>
      <c r="M69" s="902"/>
      <c r="N69" s="902"/>
      <c r="O69" s="892">
        <f t="shared" si="0"/>
        <v>0</v>
      </c>
      <c r="P69" s="903">
        <f t="shared" si="3"/>
        <v>1</v>
      </c>
      <c r="Q69" s="893">
        <f t="shared" si="1"/>
        <v>2</v>
      </c>
      <c r="R69" s="894">
        <f t="shared" si="2"/>
        <v>0</v>
      </c>
    </row>
    <row r="70" spans="1:18">
      <c r="A70" s="905"/>
      <c r="B70" s="906"/>
      <c r="C70" s="907">
        <v>730</v>
      </c>
      <c r="D70" s="907" t="s">
        <v>12</v>
      </c>
      <c r="E70" s="908" t="s">
        <v>3921</v>
      </c>
      <c r="F70" s="909" t="s">
        <v>2674</v>
      </c>
      <c r="G70" s="910"/>
      <c r="H70" s="911">
        <v>0.45</v>
      </c>
      <c r="I70" s="912"/>
      <c r="J70" s="912"/>
      <c r="K70" s="912">
        <f>VLOOKUP(E70,ĐMNC!$A$7:$F$67,3,0)</f>
        <v>209570</v>
      </c>
      <c r="L70" s="912">
        <f>H70*K70</f>
        <v>94306.5</v>
      </c>
      <c r="M70" s="912"/>
      <c r="N70" s="912"/>
      <c r="O70" s="892">
        <f t="shared" si="0"/>
        <v>0</v>
      </c>
      <c r="P70" s="903">
        <f t="shared" si="3"/>
        <v>1</v>
      </c>
      <c r="Q70" s="893">
        <f t="shared" si="1"/>
        <v>1</v>
      </c>
      <c r="R70" s="894">
        <f t="shared" si="2"/>
        <v>0</v>
      </c>
    </row>
    <row r="71" spans="1:18" s="847" customFormat="1" ht="31.5">
      <c r="A71" s="905" t="s">
        <v>3919</v>
      </c>
      <c r="B71" s="914" t="s">
        <v>444</v>
      </c>
      <c r="C71" s="915"/>
      <c r="D71" s="915"/>
      <c r="E71" s="916" t="s">
        <v>3941</v>
      </c>
      <c r="F71" s="917" t="s">
        <v>136</v>
      </c>
      <c r="G71" s="918"/>
      <c r="H71" s="919"/>
      <c r="I71" s="920"/>
      <c r="J71" s="891">
        <f>SUM(J72:J73)</f>
        <v>0</v>
      </c>
      <c r="K71" s="891"/>
      <c r="L71" s="891">
        <f>SUM(L72:L73)</f>
        <v>1712186.9</v>
      </c>
      <c r="M71" s="891"/>
      <c r="N71" s="891">
        <f>SUM(N72:N73)</f>
        <v>0</v>
      </c>
      <c r="O71" s="892">
        <f t="shared" si="0"/>
        <v>1</v>
      </c>
      <c r="P71" s="903">
        <f t="shared" si="3"/>
        <v>0</v>
      </c>
      <c r="Q71" s="893">
        <f t="shared" si="1"/>
        <v>0</v>
      </c>
      <c r="R71" s="894">
        <f t="shared" si="2"/>
        <v>2</v>
      </c>
    </row>
    <row r="72" spans="1:18" s="904" customFormat="1">
      <c r="A72" s="895"/>
      <c r="B72" s="896"/>
      <c r="C72" s="897"/>
      <c r="D72" s="897"/>
      <c r="E72" s="898" t="s">
        <v>276</v>
      </c>
      <c r="F72" s="899"/>
      <c r="G72" s="900"/>
      <c r="H72" s="901"/>
      <c r="I72" s="902"/>
      <c r="J72" s="902"/>
      <c r="K72" s="912" t="s">
        <v>274</v>
      </c>
      <c r="L72" s="902"/>
      <c r="M72" s="902"/>
      <c r="N72" s="902"/>
      <c r="O72" s="892">
        <f t="shared" si="0"/>
        <v>0</v>
      </c>
      <c r="P72" s="903">
        <f t="shared" si="3"/>
        <v>1</v>
      </c>
      <c r="Q72" s="893">
        <f t="shared" si="1"/>
        <v>2</v>
      </c>
      <c r="R72" s="894">
        <f t="shared" si="2"/>
        <v>0</v>
      </c>
    </row>
    <row r="73" spans="1:18">
      <c r="A73" s="905"/>
      <c r="B73" s="906"/>
      <c r="C73" s="907">
        <v>730</v>
      </c>
      <c r="D73" s="907" t="s">
        <v>12</v>
      </c>
      <c r="E73" s="908" t="s">
        <v>3921</v>
      </c>
      <c r="F73" s="909" t="s">
        <v>2674</v>
      </c>
      <c r="G73" s="910"/>
      <c r="H73" s="911">
        <v>8.17</v>
      </c>
      <c r="I73" s="912"/>
      <c r="J73" s="912"/>
      <c r="K73" s="912">
        <f>VLOOKUP(E73,ĐMNC!$A$7:$F$67,3,0)</f>
        <v>209570</v>
      </c>
      <c r="L73" s="912">
        <f>H73*K73</f>
        <v>1712186.9</v>
      </c>
      <c r="M73" s="912"/>
      <c r="N73" s="912"/>
      <c r="O73" s="892">
        <f t="shared" ref="O73:O136" si="4">IF(AND(B73&lt;&gt;"",D73=""),1,0)</f>
        <v>0</v>
      </c>
      <c r="P73" s="903">
        <f t="shared" si="3"/>
        <v>1</v>
      </c>
      <c r="Q73" s="893">
        <f t="shared" ref="Q73:Q136" si="5">IF(P73=0,0,P73+Q74)</f>
        <v>1</v>
      </c>
      <c r="R73" s="894">
        <f t="shared" ref="R73:R136" si="6">IF(Q73=0,Q74,0)</f>
        <v>0</v>
      </c>
    </row>
    <row r="74" spans="1:18" s="847" customFormat="1" ht="31.5">
      <c r="A74" s="905" t="s">
        <v>3919</v>
      </c>
      <c r="B74" s="914" t="s">
        <v>446</v>
      </c>
      <c r="C74" s="915"/>
      <c r="D74" s="915"/>
      <c r="E74" s="916" t="s">
        <v>3942</v>
      </c>
      <c r="F74" s="917" t="s">
        <v>136</v>
      </c>
      <c r="G74" s="918"/>
      <c r="H74" s="919"/>
      <c r="I74" s="920"/>
      <c r="J74" s="891">
        <f>SUM(J75:J76)</f>
        <v>0</v>
      </c>
      <c r="K74" s="891"/>
      <c r="L74" s="891">
        <f>SUM(L75:L76)</f>
        <v>1607401.9</v>
      </c>
      <c r="M74" s="891"/>
      <c r="N74" s="891">
        <f>SUM(N75:N76)</f>
        <v>0</v>
      </c>
      <c r="O74" s="892">
        <f t="shared" si="4"/>
        <v>1</v>
      </c>
      <c r="P74" s="903">
        <f t="shared" ref="P74:P137" si="7">IF(O74=0,1,0)</f>
        <v>0</v>
      </c>
      <c r="Q74" s="893">
        <f t="shared" si="5"/>
        <v>0</v>
      </c>
      <c r="R74" s="894">
        <f t="shared" si="6"/>
        <v>2</v>
      </c>
    </row>
    <row r="75" spans="1:18" s="904" customFormat="1">
      <c r="A75" s="895"/>
      <c r="B75" s="896"/>
      <c r="C75" s="897"/>
      <c r="D75" s="897"/>
      <c r="E75" s="898" t="s">
        <v>276</v>
      </c>
      <c r="F75" s="899"/>
      <c r="G75" s="900"/>
      <c r="H75" s="901"/>
      <c r="I75" s="902"/>
      <c r="J75" s="902"/>
      <c r="K75" s="912" t="s">
        <v>274</v>
      </c>
      <c r="L75" s="902"/>
      <c r="M75" s="902"/>
      <c r="N75" s="902"/>
      <c r="O75" s="892">
        <f t="shared" si="4"/>
        <v>0</v>
      </c>
      <c r="P75" s="903">
        <f t="shared" si="7"/>
        <v>1</v>
      </c>
      <c r="Q75" s="893">
        <f t="shared" si="5"/>
        <v>2</v>
      </c>
      <c r="R75" s="894">
        <f t="shared" si="6"/>
        <v>0</v>
      </c>
    </row>
    <row r="76" spans="1:18">
      <c r="A76" s="905"/>
      <c r="B76" s="906"/>
      <c r="C76" s="907">
        <v>730</v>
      </c>
      <c r="D76" s="907" t="s">
        <v>12</v>
      </c>
      <c r="E76" s="908" t="s">
        <v>3921</v>
      </c>
      <c r="F76" s="909" t="s">
        <v>2674</v>
      </c>
      <c r="G76" s="910"/>
      <c r="H76" s="911">
        <v>7.67</v>
      </c>
      <c r="I76" s="912"/>
      <c r="J76" s="912"/>
      <c r="K76" s="912">
        <f>VLOOKUP(E76,ĐMNC!$A$7:$F$67,3,0)</f>
        <v>209570</v>
      </c>
      <c r="L76" s="912">
        <f>H76*K76</f>
        <v>1607401.9</v>
      </c>
      <c r="M76" s="912"/>
      <c r="N76" s="912"/>
      <c r="O76" s="892">
        <f t="shared" si="4"/>
        <v>0</v>
      </c>
      <c r="P76" s="903">
        <f t="shared" si="7"/>
        <v>1</v>
      </c>
      <c r="Q76" s="893">
        <f t="shared" si="5"/>
        <v>1</v>
      </c>
      <c r="R76" s="894">
        <f t="shared" si="6"/>
        <v>0</v>
      </c>
    </row>
    <row r="77" spans="1:18" s="847" customFormat="1" ht="32.25" customHeight="1">
      <c r="A77" s="905" t="s">
        <v>3919</v>
      </c>
      <c r="B77" s="914" t="s">
        <v>448</v>
      </c>
      <c r="C77" s="915"/>
      <c r="D77" s="915"/>
      <c r="E77" s="916" t="s">
        <v>3943</v>
      </c>
      <c r="F77" s="917" t="s">
        <v>136</v>
      </c>
      <c r="G77" s="918"/>
      <c r="H77" s="919"/>
      <c r="I77" s="920"/>
      <c r="J77" s="891">
        <f>SUM(J78:J79)</f>
        <v>0</v>
      </c>
      <c r="K77" s="891"/>
      <c r="L77" s="891">
        <f>SUM(L78:L79)</f>
        <v>1586444.9000000001</v>
      </c>
      <c r="M77" s="891"/>
      <c r="N77" s="891">
        <f>SUM(N78:N79)</f>
        <v>0</v>
      </c>
      <c r="O77" s="892">
        <f t="shared" si="4"/>
        <v>1</v>
      </c>
      <c r="P77" s="903">
        <f t="shared" si="7"/>
        <v>0</v>
      </c>
      <c r="Q77" s="893">
        <f t="shared" si="5"/>
        <v>0</v>
      </c>
      <c r="R77" s="894">
        <f t="shared" si="6"/>
        <v>2</v>
      </c>
    </row>
    <row r="78" spans="1:18" s="904" customFormat="1">
      <c r="A78" s="895"/>
      <c r="B78" s="896"/>
      <c r="C78" s="897"/>
      <c r="D78" s="897"/>
      <c r="E78" s="898" t="s">
        <v>276</v>
      </c>
      <c r="F78" s="899"/>
      <c r="G78" s="900"/>
      <c r="H78" s="901"/>
      <c r="I78" s="902"/>
      <c r="J78" s="902"/>
      <c r="K78" s="912" t="s">
        <v>274</v>
      </c>
      <c r="L78" s="902"/>
      <c r="M78" s="902"/>
      <c r="N78" s="902"/>
      <c r="O78" s="892">
        <f t="shared" si="4"/>
        <v>0</v>
      </c>
      <c r="P78" s="903">
        <f t="shared" si="7"/>
        <v>1</v>
      </c>
      <c r="Q78" s="893">
        <f t="shared" si="5"/>
        <v>2</v>
      </c>
      <c r="R78" s="894">
        <f t="shared" si="6"/>
        <v>0</v>
      </c>
    </row>
    <row r="79" spans="1:18">
      <c r="A79" s="905"/>
      <c r="B79" s="906"/>
      <c r="C79" s="907">
        <v>730</v>
      </c>
      <c r="D79" s="907" t="s">
        <v>12</v>
      </c>
      <c r="E79" s="908" t="s">
        <v>3921</v>
      </c>
      <c r="F79" s="909" t="s">
        <v>2674</v>
      </c>
      <c r="G79" s="910"/>
      <c r="H79" s="911">
        <v>7.57</v>
      </c>
      <c r="I79" s="912"/>
      <c r="J79" s="912"/>
      <c r="K79" s="912">
        <f>VLOOKUP(E79,ĐMNC!$A$7:$F$67,3,0)</f>
        <v>209570</v>
      </c>
      <c r="L79" s="912">
        <f>H79*K79</f>
        <v>1586444.9000000001</v>
      </c>
      <c r="M79" s="912"/>
      <c r="N79" s="912"/>
      <c r="O79" s="892">
        <f t="shared" si="4"/>
        <v>0</v>
      </c>
      <c r="P79" s="903">
        <f t="shared" si="7"/>
        <v>1</v>
      </c>
      <c r="Q79" s="893">
        <f t="shared" si="5"/>
        <v>1</v>
      </c>
      <c r="R79" s="894">
        <f t="shared" si="6"/>
        <v>0</v>
      </c>
    </row>
    <row r="80" spans="1:18" s="847" customFormat="1" ht="32.25" customHeight="1">
      <c r="A80" s="905" t="s">
        <v>3919</v>
      </c>
      <c r="B80" s="914" t="s">
        <v>450</v>
      </c>
      <c r="C80" s="915"/>
      <c r="D80" s="915"/>
      <c r="E80" s="916" t="s">
        <v>3944</v>
      </c>
      <c r="F80" s="917" t="s">
        <v>136</v>
      </c>
      <c r="G80" s="918"/>
      <c r="H80" s="919"/>
      <c r="I80" s="920"/>
      <c r="J80" s="891">
        <f>SUM(J81:J82)</f>
        <v>0</v>
      </c>
      <c r="K80" s="891"/>
      <c r="L80" s="891">
        <f>SUM(L81:L82)</f>
        <v>1571775</v>
      </c>
      <c r="M80" s="891"/>
      <c r="N80" s="891">
        <f>SUM(N81:N82)</f>
        <v>0</v>
      </c>
      <c r="O80" s="892">
        <f t="shared" si="4"/>
        <v>1</v>
      </c>
      <c r="P80" s="903">
        <f t="shared" si="7"/>
        <v>0</v>
      </c>
      <c r="Q80" s="893">
        <f t="shared" si="5"/>
        <v>0</v>
      </c>
      <c r="R80" s="894">
        <f t="shared" si="6"/>
        <v>2</v>
      </c>
    </row>
    <row r="81" spans="1:18" s="904" customFormat="1">
      <c r="A81" s="895"/>
      <c r="B81" s="896"/>
      <c r="C81" s="897"/>
      <c r="D81" s="897"/>
      <c r="E81" s="898" t="s">
        <v>276</v>
      </c>
      <c r="F81" s="899"/>
      <c r="G81" s="900"/>
      <c r="H81" s="901"/>
      <c r="I81" s="902"/>
      <c r="J81" s="902"/>
      <c r="K81" s="912" t="s">
        <v>274</v>
      </c>
      <c r="L81" s="902"/>
      <c r="M81" s="902"/>
      <c r="N81" s="902"/>
      <c r="O81" s="892">
        <f t="shared" si="4"/>
        <v>0</v>
      </c>
      <c r="P81" s="903">
        <f t="shared" si="7"/>
        <v>1</v>
      </c>
      <c r="Q81" s="893">
        <f t="shared" si="5"/>
        <v>2</v>
      </c>
      <c r="R81" s="894">
        <f t="shared" si="6"/>
        <v>0</v>
      </c>
    </row>
    <row r="82" spans="1:18">
      <c r="A82" s="905"/>
      <c r="B82" s="906"/>
      <c r="C82" s="907">
        <v>730</v>
      </c>
      <c r="D82" s="907" t="s">
        <v>12</v>
      </c>
      <c r="E82" s="908" t="s">
        <v>3921</v>
      </c>
      <c r="F82" s="909" t="s">
        <v>2674</v>
      </c>
      <c r="G82" s="910"/>
      <c r="H82" s="911">
        <v>7.5</v>
      </c>
      <c r="I82" s="912"/>
      <c r="J82" s="912"/>
      <c r="K82" s="912">
        <f>VLOOKUP(E82,ĐMNC!$A$7:$F$67,3,0)</f>
        <v>209570</v>
      </c>
      <c r="L82" s="912">
        <f>H82*K82</f>
        <v>1571775</v>
      </c>
      <c r="M82" s="912"/>
      <c r="N82" s="912"/>
      <c r="O82" s="892">
        <f t="shared" si="4"/>
        <v>0</v>
      </c>
      <c r="P82" s="903">
        <f t="shared" si="7"/>
        <v>1</v>
      </c>
      <c r="Q82" s="893">
        <f t="shared" si="5"/>
        <v>1</v>
      </c>
      <c r="R82" s="894">
        <f t="shared" si="6"/>
        <v>0</v>
      </c>
    </row>
    <row r="83" spans="1:18" s="847" customFormat="1">
      <c r="A83" s="905" t="s">
        <v>3919</v>
      </c>
      <c r="B83" s="914" t="s">
        <v>240</v>
      </c>
      <c r="C83" s="915"/>
      <c r="D83" s="915"/>
      <c r="E83" s="916" t="s">
        <v>3378</v>
      </c>
      <c r="F83" s="917" t="s">
        <v>136</v>
      </c>
      <c r="G83" s="918"/>
      <c r="H83" s="919"/>
      <c r="I83" s="920"/>
      <c r="J83" s="891">
        <f>SUM(J84:J85)</f>
        <v>0</v>
      </c>
      <c r="K83" s="891"/>
      <c r="L83" s="891">
        <f>SUM(L84:L85)</f>
        <v>88019.4</v>
      </c>
      <c r="M83" s="891"/>
      <c r="N83" s="891">
        <f>SUM(N84:N85)</f>
        <v>0</v>
      </c>
      <c r="O83" s="892">
        <f t="shared" si="4"/>
        <v>1</v>
      </c>
      <c r="P83" s="903">
        <f t="shared" si="7"/>
        <v>0</v>
      </c>
      <c r="Q83" s="893">
        <f t="shared" si="5"/>
        <v>0</v>
      </c>
      <c r="R83" s="894">
        <f t="shared" si="6"/>
        <v>2</v>
      </c>
    </row>
    <row r="84" spans="1:18" s="904" customFormat="1">
      <c r="A84" s="895"/>
      <c r="B84" s="896"/>
      <c r="C84" s="897"/>
      <c r="D84" s="897"/>
      <c r="E84" s="898" t="s">
        <v>276</v>
      </c>
      <c r="F84" s="899"/>
      <c r="G84" s="900"/>
      <c r="H84" s="901"/>
      <c r="I84" s="902"/>
      <c r="J84" s="902"/>
      <c r="K84" s="912" t="s">
        <v>274</v>
      </c>
      <c r="L84" s="902"/>
      <c r="M84" s="902"/>
      <c r="N84" s="902"/>
      <c r="O84" s="892">
        <f t="shared" si="4"/>
        <v>0</v>
      </c>
      <c r="P84" s="903">
        <f t="shared" si="7"/>
        <v>1</v>
      </c>
      <c r="Q84" s="893">
        <f t="shared" si="5"/>
        <v>2</v>
      </c>
      <c r="R84" s="894">
        <f t="shared" si="6"/>
        <v>0</v>
      </c>
    </row>
    <row r="85" spans="1:18">
      <c r="A85" s="905"/>
      <c r="B85" s="906"/>
      <c r="C85" s="907">
        <v>730</v>
      </c>
      <c r="D85" s="907" t="s">
        <v>12</v>
      </c>
      <c r="E85" s="908" t="s">
        <v>3921</v>
      </c>
      <c r="F85" s="909" t="s">
        <v>2674</v>
      </c>
      <c r="G85" s="910"/>
      <c r="H85" s="911">
        <v>0.42</v>
      </c>
      <c r="I85" s="912"/>
      <c r="J85" s="912"/>
      <c r="K85" s="912">
        <f>VLOOKUP(E85,ĐMNC!$A$7:$F$67,3,0)</f>
        <v>209570</v>
      </c>
      <c r="L85" s="912">
        <f>H85*K85</f>
        <v>88019.4</v>
      </c>
      <c r="M85" s="912"/>
      <c r="N85" s="912"/>
      <c r="O85" s="892">
        <f t="shared" si="4"/>
        <v>0</v>
      </c>
      <c r="P85" s="903">
        <f t="shared" si="7"/>
        <v>1</v>
      </c>
      <c r="Q85" s="893">
        <f t="shared" si="5"/>
        <v>1</v>
      </c>
      <c r="R85" s="894">
        <f t="shared" si="6"/>
        <v>0</v>
      </c>
    </row>
    <row r="86" spans="1:18" s="847" customFormat="1">
      <c r="A86" s="905" t="s">
        <v>3919</v>
      </c>
      <c r="B86" s="914" t="s">
        <v>238</v>
      </c>
      <c r="C86" s="915"/>
      <c r="D86" s="915"/>
      <c r="E86" s="916" t="s">
        <v>3945</v>
      </c>
      <c r="F86" s="917" t="s">
        <v>136</v>
      </c>
      <c r="G86" s="918"/>
      <c r="H86" s="919"/>
      <c r="I86" s="920"/>
      <c r="J86" s="891">
        <f>SUM(J87:J88)</f>
        <v>0</v>
      </c>
      <c r="K86" s="891"/>
      <c r="L86" s="891">
        <f>SUM(L87:L88)</f>
        <v>1412501.8</v>
      </c>
      <c r="M86" s="891"/>
      <c r="N86" s="891">
        <f>SUM(N87:N88)</f>
        <v>0</v>
      </c>
      <c r="O86" s="892">
        <f t="shared" si="4"/>
        <v>1</v>
      </c>
      <c r="P86" s="903">
        <f t="shared" si="7"/>
        <v>0</v>
      </c>
      <c r="Q86" s="893">
        <f t="shared" si="5"/>
        <v>0</v>
      </c>
      <c r="R86" s="894">
        <f t="shared" si="6"/>
        <v>2</v>
      </c>
    </row>
    <row r="87" spans="1:18" s="904" customFormat="1">
      <c r="A87" s="895"/>
      <c r="B87" s="896"/>
      <c r="C87" s="897"/>
      <c r="D87" s="897"/>
      <c r="E87" s="898" t="s">
        <v>276</v>
      </c>
      <c r="F87" s="899"/>
      <c r="G87" s="900"/>
      <c r="H87" s="901"/>
      <c r="I87" s="902"/>
      <c r="J87" s="902"/>
      <c r="K87" s="912" t="s">
        <v>274</v>
      </c>
      <c r="L87" s="902"/>
      <c r="M87" s="902"/>
      <c r="N87" s="902"/>
      <c r="O87" s="892">
        <f t="shared" si="4"/>
        <v>0</v>
      </c>
      <c r="P87" s="903">
        <f t="shared" si="7"/>
        <v>1</v>
      </c>
      <c r="Q87" s="893">
        <f t="shared" si="5"/>
        <v>2</v>
      </c>
      <c r="R87" s="894">
        <f t="shared" si="6"/>
        <v>0</v>
      </c>
    </row>
    <row r="88" spans="1:18">
      <c r="A88" s="905"/>
      <c r="B88" s="906"/>
      <c r="C88" s="907">
        <v>730</v>
      </c>
      <c r="D88" s="907" t="s">
        <v>12</v>
      </c>
      <c r="E88" s="908" t="s">
        <v>3921</v>
      </c>
      <c r="F88" s="909" t="s">
        <v>2674</v>
      </c>
      <c r="G88" s="910"/>
      <c r="H88" s="911">
        <v>6.74</v>
      </c>
      <c r="I88" s="912"/>
      <c r="J88" s="912"/>
      <c r="K88" s="912">
        <f>VLOOKUP(E88,ĐMNC!$A$7:$F$67,3,0)</f>
        <v>209570</v>
      </c>
      <c r="L88" s="912">
        <f>H88*K88</f>
        <v>1412501.8</v>
      </c>
      <c r="M88" s="912"/>
      <c r="N88" s="912"/>
      <c r="O88" s="892">
        <f t="shared" si="4"/>
        <v>0</v>
      </c>
      <c r="P88" s="903">
        <f t="shared" si="7"/>
        <v>1</v>
      </c>
      <c r="Q88" s="893">
        <f t="shared" si="5"/>
        <v>1</v>
      </c>
      <c r="R88" s="894">
        <f t="shared" si="6"/>
        <v>0</v>
      </c>
    </row>
    <row r="89" spans="1:18" s="847" customFormat="1">
      <c r="A89" s="905" t="s">
        <v>3919</v>
      </c>
      <c r="B89" s="914" t="s">
        <v>470</v>
      </c>
      <c r="C89" s="915"/>
      <c r="D89" s="915"/>
      <c r="E89" s="916" t="s">
        <v>3946</v>
      </c>
      <c r="F89" s="917" t="s">
        <v>136</v>
      </c>
      <c r="G89" s="918"/>
      <c r="H89" s="919"/>
      <c r="I89" s="920"/>
      <c r="J89" s="891">
        <f>SUM(J90:J91)</f>
        <v>0</v>
      </c>
      <c r="K89" s="891"/>
      <c r="L89" s="891">
        <f>SUM(L90:L91)</f>
        <v>1326578.1000000001</v>
      </c>
      <c r="M89" s="891"/>
      <c r="N89" s="891">
        <f>SUM(N90:N91)</f>
        <v>0</v>
      </c>
      <c r="O89" s="892">
        <f t="shared" si="4"/>
        <v>1</v>
      </c>
      <c r="P89" s="903">
        <f t="shared" si="7"/>
        <v>0</v>
      </c>
      <c r="Q89" s="893">
        <f t="shared" si="5"/>
        <v>0</v>
      </c>
      <c r="R89" s="894">
        <f t="shared" si="6"/>
        <v>2</v>
      </c>
    </row>
    <row r="90" spans="1:18" s="904" customFormat="1">
      <c r="A90" s="895"/>
      <c r="B90" s="896"/>
      <c r="C90" s="897"/>
      <c r="D90" s="897"/>
      <c r="E90" s="898" t="s">
        <v>276</v>
      </c>
      <c r="F90" s="899"/>
      <c r="G90" s="900"/>
      <c r="H90" s="901"/>
      <c r="I90" s="902"/>
      <c r="J90" s="902"/>
      <c r="K90" s="912" t="s">
        <v>274</v>
      </c>
      <c r="L90" s="902"/>
      <c r="M90" s="902"/>
      <c r="N90" s="902"/>
      <c r="O90" s="892">
        <f t="shared" si="4"/>
        <v>0</v>
      </c>
      <c r="P90" s="903">
        <f t="shared" si="7"/>
        <v>1</v>
      </c>
      <c r="Q90" s="893">
        <f t="shared" si="5"/>
        <v>2</v>
      </c>
      <c r="R90" s="894">
        <f t="shared" si="6"/>
        <v>0</v>
      </c>
    </row>
    <row r="91" spans="1:18">
      <c r="A91" s="905"/>
      <c r="B91" s="906"/>
      <c r="C91" s="907">
        <v>730</v>
      </c>
      <c r="D91" s="907" t="s">
        <v>12</v>
      </c>
      <c r="E91" s="908" t="s">
        <v>3921</v>
      </c>
      <c r="F91" s="909" t="s">
        <v>2674</v>
      </c>
      <c r="G91" s="910"/>
      <c r="H91" s="911">
        <v>6.33</v>
      </c>
      <c r="I91" s="912"/>
      <c r="J91" s="912"/>
      <c r="K91" s="912">
        <f>VLOOKUP(E91,ĐMNC!$A$7:$F$67,3,0)</f>
        <v>209570</v>
      </c>
      <c r="L91" s="912">
        <f>H91*K91</f>
        <v>1326578.1000000001</v>
      </c>
      <c r="M91" s="912"/>
      <c r="N91" s="912"/>
      <c r="O91" s="892">
        <f t="shared" si="4"/>
        <v>0</v>
      </c>
      <c r="P91" s="903">
        <f t="shared" si="7"/>
        <v>1</v>
      </c>
      <c r="Q91" s="893">
        <f t="shared" si="5"/>
        <v>1</v>
      </c>
      <c r="R91" s="894">
        <f t="shared" si="6"/>
        <v>0</v>
      </c>
    </row>
    <row r="92" spans="1:18" s="847" customFormat="1">
      <c r="A92" s="905" t="s">
        <v>3919</v>
      </c>
      <c r="B92" s="914" t="s">
        <v>472</v>
      </c>
      <c r="C92" s="915"/>
      <c r="D92" s="915"/>
      <c r="E92" s="916" t="s">
        <v>3947</v>
      </c>
      <c r="F92" s="917" t="s">
        <v>136</v>
      </c>
      <c r="G92" s="918"/>
      <c r="H92" s="919"/>
      <c r="I92" s="920"/>
      <c r="J92" s="891">
        <f>SUM(J93:J94)</f>
        <v>0</v>
      </c>
      <c r="K92" s="891"/>
      <c r="L92" s="891">
        <f>SUM(L93:L94)</f>
        <v>1309812.5</v>
      </c>
      <c r="M92" s="891"/>
      <c r="N92" s="891">
        <f>SUM(N93:N94)</f>
        <v>0</v>
      </c>
      <c r="O92" s="892">
        <f t="shared" si="4"/>
        <v>1</v>
      </c>
      <c r="P92" s="903">
        <f t="shared" si="7"/>
        <v>0</v>
      </c>
      <c r="Q92" s="893">
        <f t="shared" si="5"/>
        <v>0</v>
      </c>
      <c r="R92" s="894">
        <f t="shared" si="6"/>
        <v>2</v>
      </c>
    </row>
    <row r="93" spans="1:18" s="904" customFormat="1">
      <c r="A93" s="895"/>
      <c r="B93" s="896"/>
      <c r="C93" s="897"/>
      <c r="D93" s="897"/>
      <c r="E93" s="898" t="s">
        <v>276</v>
      </c>
      <c r="F93" s="899"/>
      <c r="G93" s="900"/>
      <c r="H93" s="901"/>
      <c r="I93" s="902"/>
      <c r="J93" s="902"/>
      <c r="K93" s="912" t="s">
        <v>274</v>
      </c>
      <c r="L93" s="902"/>
      <c r="M93" s="902"/>
      <c r="N93" s="902"/>
      <c r="O93" s="892">
        <f t="shared" si="4"/>
        <v>0</v>
      </c>
      <c r="P93" s="903">
        <f t="shared" si="7"/>
        <v>1</v>
      </c>
      <c r="Q93" s="893">
        <f t="shared" si="5"/>
        <v>2</v>
      </c>
      <c r="R93" s="894">
        <f t="shared" si="6"/>
        <v>0</v>
      </c>
    </row>
    <row r="94" spans="1:18">
      <c r="A94" s="905"/>
      <c r="B94" s="906"/>
      <c r="C94" s="907">
        <v>730</v>
      </c>
      <c r="D94" s="907" t="s">
        <v>12</v>
      </c>
      <c r="E94" s="908" t="s">
        <v>3921</v>
      </c>
      <c r="F94" s="909" t="s">
        <v>2674</v>
      </c>
      <c r="G94" s="910"/>
      <c r="H94" s="911">
        <v>6.25</v>
      </c>
      <c r="I94" s="912"/>
      <c r="J94" s="912"/>
      <c r="K94" s="912">
        <f>VLOOKUP(E94,ĐMNC!$A$7:$F$67,3,0)</f>
        <v>209570</v>
      </c>
      <c r="L94" s="912">
        <f>H94*K94</f>
        <v>1309812.5</v>
      </c>
      <c r="M94" s="912"/>
      <c r="N94" s="912"/>
      <c r="O94" s="892">
        <f t="shared" si="4"/>
        <v>0</v>
      </c>
      <c r="P94" s="903">
        <f t="shared" si="7"/>
        <v>1</v>
      </c>
      <c r="Q94" s="893">
        <f t="shared" si="5"/>
        <v>1</v>
      </c>
      <c r="R94" s="894">
        <f t="shared" si="6"/>
        <v>0</v>
      </c>
    </row>
    <row r="95" spans="1:18" s="847" customFormat="1">
      <c r="A95" s="905" t="s">
        <v>3919</v>
      </c>
      <c r="B95" s="914" t="s">
        <v>474</v>
      </c>
      <c r="C95" s="915"/>
      <c r="D95" s="915"/>
      <c r="E95" s="916" t="s">
        <v>3948</v>
      </c>
      <c r="F95" s="917" t="s">
        <v>136</v>
      </c>
      <c r="G95" s="918"/>
      <c r="H95" s="919"/>
      <c r="I95" s="920"/>
      <c r="J95" s="891">
        <f>SUM(J96:J97)</f>
        <v>0</v>
      </c>
      <c r="K95" s="891"/>
      <c r="L95" s="891">
        <f>SUM(L96:L97)</f>
        <v>1295142.5999999999</v>
      </c>
      <c r="M95" s="891"/>
      <c r="N95" s="891">
        <f>SUM(N96:N97)</f>
        <v>0</v>
      </c>
      <c r="O95" s="892">
        <f t="shared" si="4"/>
        <v>1</v>
      </c>
      <c r="P95" s="903">
        <f t="shared" si="7"/>
        <v>0</v>
      </c>
      <c r="Q95" s="893">
        <f t="shared" si="5"/>
        <v>0</v>
      </c>
      <c r="R95" s="894">
        <f t="shared" si="6"/>
        <v>2</v>
      </c>
    </row>
    <row r="96" spans="1:18" s="904" customFormat="1">
      <c r="A96" s="895"/>
      <c r="B96" s="896"/>
      <c r="C96" s="897"/>
      <c r="D96" s="897"/>
      <c r="E96" s="898" t="s">
        <v>276</v>
      </c>
      <c r="F96" s="899"/>
      <c r="G96" s="900"/>
      <c r="H96" s="901"/>
      <c r="I96" s="902"/>
      <c r="J96" s="902"/>
      <c r="K96" s="912" t="s">
        <v>274</v>
      </c>
      <c r="L96" s="902"/>
      <c r="M96" s="902"/>
      <c r="N96" s="902"/>
      <c r="O96" s="892">
        <f t="shared" si="4"/>
        <v>0</v>
      </c>
      <c r="P96" s="903">
        <f t="shared" si="7"/>
        <v>1</v>
      </c>
      <c r="Q96" s="893">
        <f t="shared" si="5"/>
        <v>2</v>
      </c>
      <c r="R96" s="894">
        <f t="shared" si="6"/>
        <v>0</v>
      </c>
    </row>
    <row r="97" spans="1:18">
      <c r="A97" s="905"/>
      <c r="B97" s="906"/>
      <c r="C97" s="907">
        <v>730</v>
      </c>
      <c r="D97" s="907" t="s">
        <v>12</v>
      </c>
      <c r="E97" s="908" t="s">
        <v>3921</v>
      </c>
      <c r="F97" s="909" t="s">
        <v>2674</v>
      </c>
      <c r="G97" s="910"/>
      <c r="H97" s="911">
        <v>6.18</v>
      </c>
      <c r="I97" s="912"/>
      <c r="J97" s="912"/>
      <c r="K97" s="912">
        <f>VLOOKUP(E97,ĐMNC!$A$7:$F$67,3,0)</f>
        <v>209570</v>
      </c>
      <c r="L97" s="912">
        <f>H97*K97</f>
        <v>1295142.5999999999</v>
      </c>
      <c r="M97" s="912"/>
      <c r="N97" s="912"/>
      <c r="O97" s="892">
        <f t="shared" si="4"/>
        <v>0</v>
      </c>
      <c r="P97" s="903">
        <f t="shared" si="7"/>
        <v>1</v>
      </c>
      <c r="Q97" s="893">
        <f t="shared" si="5"/>
        <v>1</v>
      </c>
      <c r="R97" s="894">
        <f t="shared" si="6"/>
        <v>0</v>
      </c>
    </row>
    <row r="98" spans="1:18" s="847" customFormat="1">
      <c r="A98" s="905" t="s">
        <v>3919</v>
      </c>
      <c r="B98" s="914" t="s">
        <v>245</v>
      </c>
      <c r="C98" s="915"/>
      <c r="D98" s="915"/>
      <c r="E98" s="916" t="s">
        <v>3380</v>
      </c>
      <c r="F98" s="917" t="s">
        <v>136</v>
      </c>
      <c r="G98" s="918"/>
      <c r="H98" s="919"/>
      <c r="I98" s="920"/>
      <c r="J98" s="891">
        <f>SUM(J99:J100)</f>
        <v>0</v>
      </c>
      <c r="K98" s="891"/>
      <c r="L98" s="891">
        <f>SUM(L99:L100)</f>
        <v>173943.1</v>
      </c>
      <c r="M98" s="891"/>
      <c r="N98" s="891">
        <f>SUM(N99:N100)</f>
        <v>0</v>
      </c>
      <c r="O98" s="892">
        <f t="shared" si="4"/>
        <v>1</v>
      </c>
      <c r="P98" s="903">
        <f t="shared" si="7"/>
        <v>0</v>
      </c>
      <c r="Q98" s="893">
        <f t="shared" si="5"/>
        <v>0</v>
      </c>
      <c r="R98" s="894">
        <f t="shared" si="6"/>
        <v>2</v>
      </c>
    </row>
    <row r="99" spans="1:18" s="904" customFormat="1">
      <c r="A99" s="895"/>
      <c r="B99" s="896"/>
      <c r="C99" s="897"/>
      <c r="D99" s="897"/>
      <c r="E99" s="898" t="s">
        <v>276</v>
      </c>
      <c r="F99" s="899"/>
      <c r="G99" s="900"/>
      <c r="H99" s="901"/>
      <c r="I99" s="902"/>
      <c r="J99" s="902"/>
      <c r="K99" s="912" t="s">
        <v>274</v>
      </c>
      <c r="L99" s="902"/>
      <c r="M99" s="902"/>
      <c r="N99" s="902"/>
      <c r="O99" s="892">
        <f t="shared" si="4"/>
        <v>0</v>
      </c>
      <c r="P99" s="903">
        <f t="shared" si="7"/>
        <v>1</v>
      </c>
      <c r="Q99" s="893">
        <f t="shared" si="5"/>
        <v>2</v>
      </c>
      <c r="R99" s="894">
        <f t="shared" si="6"/>
        <v>0</v>
      </c>
    </row>
    <row r="100" spans="1:18">
      <c r="A100" s="905"/>
      <c r="B100" s="906"/>
      <c r="C100" s="907">
        <v>730</v>
      </c>
      <c r="D100" s="907" t="s">
        <v>12</v>
      </c>
      <c r="E100" s="908" t="s">
        <v>3921</v>
      </c>
      <c r="F100" s="909" t="s">
        <v>2674</v>
      </c>
      <c r="G100" s="910"/>
      <c r="H100" s="911">
        <v>0.83</v>
      </c>
      <c r="I100" s="912"/>
      <c r="J100" s="912"/>
      <c r="K100" s="912">
        <f>VLOOKUP(E100,ĐMNC!$A$7:$F$67,3,0)</f>
        <v>209570</v>
      </c>
      <c r="L100" s="912">
        <f>H100*K100</f>
        <v>173943.1</v>
      </c>
      <c r="M100" s="912"/>
      <c r="N100" s="912"/>
      <c r="O100" s="892">
        <f t="shared" si="4"/>
        <v>0</v>
      </c>
      <c r="P100" s="903">
        <f t="shared" si="7"/>
        <v>1</v>
      </c>
      <c r="Q100" s="893">
        <f t="shared" si="5"/>
        <v>1</v>
      </c>
      <c r="R100" s="894">
        <f t="shared" si="6"/>
        <v>0</v>
      </c>
    </row>
    <row r="101" spans="1:18" s="847" customFormat="1">
      <c r="A101" s="905" t="s">
        <v>3919</v>
      </c>
      <c r="B101" s="914" t="s">
        <v>247</v>
      </c>
      <c r="C101" s="915"/>
      <c r="D101" s="915"/>
      <c r="E101" s="916" t="s">
        <v>3949</v>
      </c>
      <c r="F101" s="917" t="s">
        <v>136</v>
      </c>
      <c r="G101" s="918"/>
      <c r="H101" s="919"/>
      <c r="I101" s="920"/>
      <c r="J101" s="891">
        <f>SUM(J102:J103)</f>
        <v>0</v>
      </c>
      <c r="K101" s="891"/>
      <c r="L101" s="891">
        <f>SUM(L102:L103)</f>
        <v>1854694.5</v>
      </c>
      <c r="M101" s="891"/>
      <c r="N101" s="891">
        <f>SUM(N102:N103)</f>
        <v>0</v>
      </c>
      <c r="O101" s="892">
        <f t="shared" si="4"/>
        <v>1</v>
      </c>
      <c r="P101" s="903">
        <f t="shared" si="7"/>
        <v>0</v>
      </c>
      <c r="Q101" s="893">
        <f t="shared" si="5"/>
        <v>0</v>
      </c>
      <c r="R101" s="894">
        <f t="shared" si="6"/>
        <v>2</v>
      </c>
    </row>
    <row r="102" spans="1:18" s="904" customFormat="1">
      <c r="A102" s="895"/>
      <c r="B102" s="896"/>
      <c r="C102" s="897"/>
      <c r="D102" s="897"/>
      <c r="E102" s="898" t="s">
        <v>276</v>
      </c>
      <c r="F102" s="899"/>
      <c r="G102" s="900"/>
      <c r="H102" s="901"/>
      <c r="I102" s="902"/>
      <c r="J102" s="902"/>
      <c r="K102" s="912" t="s">
        <v>274</v>
      </c>
      <c r="L102" s="902"/>
      <c r="M102" s="902"/>
      <c r="N102" s="902"/>
      <c r="O102" s="892">
        <f t="shared" si="4"/>
        <v>0</v>
      </c>
      <c r="P102" s="903">
        <f t="shared" si="7"/>
        <v>1</v>
      </c>
      <c r="Q102" s="893">
        <f t="shared" si="5"/>
        <v>2</v>
      </c>
      <c r="R102" s="894">
        <f t="shared" si="6"/>
        <v>0</v>
      </c>
    </row>
    <row r="103" spans="1:18">
      <c r="A103" s="905"/>
      <c r="B103" s="906"/>
      <c r="C103" s="907">
        <v>730</v>
      </c>
      <c r="D103" s="907" t="s">
        <v>12</v>
      </c>
      <c r="E103" s="908" t="s">
        <v>3921</v>
      </c>
      <c r="F103" s="909" t="s">
        <v>2674</v>
      </c>
      <c r="G103" s="910"/>
      <c r="H103" s="911">
        <v>8.85</v>
      </c>
      <c r="I103" s="912"/>
      <c r="J103" s="912"/>
      <c r="K103" s="912">
        <f>VLOOKUP(E103,ĐMNC!$A$7:$F$67,3,0)</f>
        <v>209570</v>
      </c>
      <c r="L103" s="912">
        <f>H103*K103</f>
        <v>1854694.5</v>
      </c>
      <c r="M103" s="912"/>
      <c r="N103" s="912"/>
      <c r="O103" s="892">
        <f t="shared" si="4"/>
        <v>0</v>
      </c>
      <c r="P103" s="903">
        <f t="shared" si="7"/>
        <v>1</v>
      </c>
      <c r="Q103" s="893">
        <f t="shared" si="5"/>
        <v>1</v>
      </c>
      <c r="R103" s="894">
        <f t="shared" si="6"/>
        <v>0</v>
      </c>
    </row>
    <row r="104" spans="1:18" s="847" customFormat="1">
      <c r="A104" s="905" t="s">
        <v>3919</v>
      </c>
      <c r="B104" s="914" t="s">
        <v>476</v>
      </c>
      <c r="C104" s="915"/>
      <c r="D104" s="915"/>
      <c r="E104" s="916" t="s">
        <v>3950</v>
      </c>
      <c r="F104" s="917" t="s">
        <v>136</v>
      </c>
      <c r="G104" s="918"/>
      <c r="H104" s="919"/>
      <c r="I104" s="920"/>
      <c r="J104" s="891">
        <f>SUM(J105:J106)</f>
        <v>0</v>
      </c>
      <c r="K104" s="891"/>
      <c r="L104" s="891">
        <f>SUM(L105:L106)</f>
        <v>1741526.7000000002</v>
      </c>
      <c r="M104" s="891"/>
      <c r="N104" s="891">
        <f>SUM(N105:N106)</f>
        <v>0</v>
      </c>
      <c r="O104" s="892">
        <f t="shared" si="4"/>
        <v>1</v>
      </c>
      <c r="P104" s="903">
        <f t="shared" si="7"/>
        <v>0</v>
      </c>
      <c r="Q104" s="893">
        <f t="shared" si="5"/>
        <v>0</v>
      </c>
      <c r="R104" s="894">
        <f t="shared" si="6"/>
        <v>2</v>
      </c>
    </row>
    <row r="105" spans="1:18" s="904" customFormat="1">
      <c r="A105" s="895"/>
      <c r="B105" s="896"/>
      <c r="C105" s="897"/>
      <c r="D105" s="897"/>
      <c r="E105" s="898" t="s">
        <v>276</v>
      </c>
      <c r="F105" s="899"/>
      <c r="G105" s="900"/>
      <c r="H105" s="901"/>
      <c r="I105" s="902"/>
      <c r="J105" s="902"/>
      <c r="K105" s="912" t="s">
        <v>274</v>
      </c>
      <c r="L105" s="902"/>
      <c r="M105" s="902"/>
      <c r="N105" s="902"/>
      <c r="O105" s="892">
        <f t="shared" si="4"/>
        <v>0</v>
      </c>
      <c r="P105" s="903">
        <f t="shared" si="7"/>
        <v>1</v>
      </c>
      <c r="Q105" s="893">
        <f t="shared" si="5"/>
        <v>2</v>
      </c>
      <c r="R105" s="894">
        <f t="shared" si="6"/>
        <v>0</v>
      </c>
    </row>
    <row r="106" spans="1:18">
      <c r="A106" s="905"/>
      <c r="B106" s="906"/>
      <c r="C106" s="907">
        <v>730</v>
      </c>
      <c r="D106" s="907" t="s">
        <v>12</v>
      </c>
      <c r="E106" s="908" t="s">
        <v>3921</v>
      </c>
      <c r="F106" s="909" t="s">
        <v>2674</v>
      </c>
      <c r="G106" s="910"/>
      <c r="H106" s="911">
        <v>8.31</v>
      </c>
      <c r="I106" s="912"/>
      <c r="J106" s="912"/>
      <c r="K106" s="912">
        <f>VLOOKUP(E106,ĐMNC!$A$7:$F$67,3,0)</f>
        <v>209570</v>
      </c>
      <c r="L106" s="912">
        <f>H106*K106</f>
        <v>1741526.7000000002</v>
      </c>
      <c r="M106" s="912"/>
      <c r="N106" s="912"/>
      <c r="O106" s="892">
        <f t="shared" si="4"/>
        <v>0</v>
      </c>
      <c r="P106" s="903">
        <f t="shared" si="7"/>
        <v>1</v>
      </c>
      <c r="Q106" s="893">
        <f t="shared" si="5"/>
        <v>1</v>
      </c>
      <c r="R106" s="894">
        <f t="shared" si="6"/>
        <v>0</v>
      </c>
    </row>
    <row r="107" spans="1:18" s="847" customFormat="1">
      <c r="A107" s="905" t="s">
        <v>3919</v>
      </c>
      <c r="B107" s="914" t="s">
        <v>478</v>
      </c>
      <c r="C107" s="915"/>
      <c r="D107" s="915"/>
      <c r="E107" s="916" t="s">
        <v>3951</v>
      </c>
      <c r="F107" s="917" t="s">
        <v>136</v>
      </c>
      <c r="G107" s="918"/>
      <c r="H107" s="919"/>
      <c r="I107" s="920"/>
      <c r="J107" s="891">
        <f>SUM(J108:J109)</f>
        <v>0</v>
      </c>
      <c r="K107" s="891"/>
      <c r="L107" s="891">
        <f>SUM(L108:L109)</f>
        <v>1718473.9999999998</v>
      </c>
      <c r="M107" s="891"/>
      <c r="N107" s="891">
        <f>SUM(N108:N109)</f>
        <v>0</v>
      </c>
      <c r="O107" s="892">
        <f t="shared" si="4"/>
        <v>1</v>
      </c>
      <c r="P107" s="903">
        <f t="shared" si="7"/>
        <v>0</v>
      </c>
      <c r="Q107" s="893">
        <f t="shared" si="5"/>
        <v>0</v>
      </c>
      <c r="R107" s="894">
        <f t="shared" si="6"/>
        <v>2</v>
      </c>
    </row>
    <row r="108" spans="1:18" s="904" customFormat="1">
      <c r="A108" s="895"/>
      <c r="B108" s="896"/>
      <c r="C108" s="897"/>
      <c r="D108" s="897"/>
      <c r="E108" s="898" t="s">
        <v>276</v>
      </c>
      <c r="F108" s="899"/>
      <c r="G108" s="900"/>
      <c r="H108" s="901"/>
      <c r="I108" s="902"/>
      <c r="J108" s="902"/>
      <c r="K108" s="912" t="s">
        <v>274</v>
      </c>
      <c r="L108" s="902"/>
      <c r="M108" s="902"/>
      <c r="N108" s="902"/>
      <c r="O108" s="892">
        <f t="shared" si="4"/>
        <v>0</v>
      </c>
      <c r="P108" s="903">
        <f t="shared" si="7"/>
        <v>1</v>
      </c>
      <c r="Q108" s="893">
        <f t="shared" si="5"/>
        <v>2</v>
      </c>
      <c r="R108" s="894">
        <f t="shared" si="6"/>
        <v>0</v>
      </c>
    </row>
    <row r="109" spans="1:18">
      <c r="A109" s="905"/>
      <c r="B109" s="906"/>
      <c r="C109" s="907">
        <v>730</v>
      </c>
      <c r="D109" s="907" t="s">
        <v>12</v>
      </c>
      <c r="E109" s="908" t="s">
        <v>3921</v>
      </c>
      <c r="F109" s="909" t="s">
        <v>2674</v>
      </c>
      <c r="G109" s="910"/>
      <c r="H109" s="911">
        <v>8.1999999999999993</v>
      </c>
      <c r="I109" s="912"/>
      <c r="J109" s="912"/>
      <c r="K109" s="912">
        <f>VLOOKUP(E109,ĐMNC!$A$7:$F$67,3,0)</f>
        <v>209570</v>
      </c>
      <c r="L109" s="912">
        <f>H109*K109</f>
        <v>1718473.9999999998</v>
      </c>
      <c r="M109" s="912"/>
      <c r="N109" s="912"/>
      <c r="O109" s="892">
        <f t="shared" si="4"/>
        <v>0</v>
      </c>
      <c r="P109" s="903">
        <f t="shared" si="7"/>
        <v>1</v>
      </c>
      <c r="Q109" s="893">
        <f t="shared" si="5"/>
        <v>1</v>
      </c>
      <c r="R109" s="894">
        <f t="shared" si="6"/>
        <v>0</v>
      </c>
    </row>
    <row r="110" spans="1:18" s="847" customFormat="1">
      <c r="A110" s="905" t="s">
        <v>3919</v>
      </c>
      <c r="B110" s="914" t="s">
        <v>480</v>
      </c>
      <c r="C110" s="915"/>
      <c r="D110" s="915"/>
      <c r="E110" s="916" t="s">
        <v>3952</v>
      </c>
      <c r="F110" s="917" t="s">
        <v>136</v>
      </c>
      <c r="G110" s="918"/>
      <c r="H110" s="919"/>
      <c r="I110" s="920"/>
      <c r="J110" s="891">
        <f>SUM(J111:J112)</f>
        <v>0</v>
      </c>
      <c r="K110" s="891"/>
      <c r="L110" s="891">
        <f>SUM(L111:L112)</f>
        <v>1701708.4</v>
      </c>
      <c r="M110" s="891"/>
      <c r="N110" s="891">
        <f>SUM(N111:N112)</f>
        <v>0</v>
      </c>
      <c r="O110" s="892">
        <f t="shared" si="4"/>
        <v>1</v>
      </c>
      <c r="P110" s="903">
        <f t="shared" si="7"/>
        <v>0</v>
      </c>
      <c r="Q110" s="893">
        <f t="shared" si="5"/>
        <v>0</v>
      </c>
      <c r="R110" s="894">
        <f t="shared" si="6"/>
        <v>2</v>
      </c>
    </row>
    <row r="111" spans="1:18" s="904" customFormat="1">
      <c r="A111" s="895"/>
      <c r="B111" s="896"/>
      <c r="C111" s="897"/>
      <c r="D111" s="897"/>
      <c r="E111" s="898" t="s">
        <v>276</v>
      </c>
      <c r="F111" s="899"/>
      <c r="G111" s="900"/>
      <c r="H111" s="901"/>
      <c r="I111" s="902"/>
      <c r="J111" s="902"/>
      <c r="K111" s="912" t="s">
        <v>274</v>
      </c>
      <c r="L111" s="902"/>
      <c r="M111" s="902"/>
      <c r="N111" s="902"/>
      <c r="O111" s="892">
        <f t="shared" si="4"/>
        <v>0</v>
      </c>
      <c r="P111" s="903">
        <f t="shared" si="7"/>
        <v>1</v>
      </c>
      <c r="Q111" s="893">
        <f t="shared" si="5"/>
        <v>2</v>
      </c>
      <c r="R111" s="894">
        <f t="shared" si="6"/>
        <v>0</v>
      </c>
    </row>
    <row r="112" spans="1:18">
      <c r="A112" s="905"/>
      <c r="B112" s="906"/>
      <c r="C112" s="907">
        <v>730</v>
      </c>
      <c r="D112" s="907" t="s">
        <v>12</v>
      </c>
      <c r="E112" s="908" t="s">
        <v>3921</v>
      </c>
      <c r="F112" s="909" t="s">
        <v>2674</v>
      </c>
      <c r="G112" s="910"/>
      <c r="H112" s="911">
        <v>8.1199999999999992</v>
      </c>
      <c r="I112" s="912"/>
      <c r="J112" s="912"/>
      <c r="K112" s="912">
        <f>VLOOKUP(E112,ĐMNC!$A$7:$F$67,3,0)</f>
        <v>209570</v>
      </c>
      <c r="L112" s="912">
        <f>H112*K112</f>
        <v>1701708.4</v>
      </c>
      <c r="M112" s="912"/>
      <c r="N112" s="912"/>
      <c r="O112" s="892">
        <f t="shared" si="4"/>
        <v>0</v>
      </c>
      <c r="P112" s="903">
        <f t="shared" si="7"/>
        <v>1</v>
      </c>
      <c r="Q112" s="893">
        <f t="shared" si="5"/>
        <v>1</v>
      </c>
      <c r="R112" s="894">
        <f t="shared" si="6"/>
        <v>0</v>
      </c>
    </row>
    <row r="113" spans="1:18" s="847" customFormat="1">
      <c r="A113" s="905" t="s">
        <v>3919</v>
      </c>
      <c r="B113" s="914" t="s">
        <v>153</v>
      </c>
      <c r="C113" s="915"/>
      <c r="D113" s="915"/>
      <c r="E113" s="916" t="s">
        <v>3953</v>
      </c>
      <c r="F113" s="917" t="s">
        <v>136</v>
      </c>
      <c r="G113" s="918"/>
      <c r="H113" s="919"/>
      <c r="I113" s="920"/>
      <c r="J113" s="891">
        <f>SUM(J114:J115)</f>
        <v>0</v>
      </c>
      <c r="K113" s="891"/>
      <c r="L113" s="891">
        <f>SUM(L114:L115)</f>
        <v>100593.59999999999</v>
      </c>
      <c r="M113" s="891"/>
      <c r="N113" s="891">
        <f>SUM(N114:N115)</f>
        <v>0</v>
      </c>
      <c r="O113" s="892">
        <f t="shared" si="4"/>
        <v>1</v>
      </c>
      <c r="P113" s="903">
        <f t="shared" si="7"/>
        <v>0</v>
      </c>
      <c r="Q113" s="893">
        <f t="shared" si="5"/>
        <v>0</v>
      </c>
      <c r="R113" s="894">
        <f t="shared" si="6"/>
        <v>2</v>
      </c>
    </row>
    <row r="114" spans="1:18" s="904" customFormat="1">
      <c r="A114" s="895"/>
      <c r="B114" s="896"/>
      <c r="C114" s="897"/>
      <c r="D114" s="897"/>
      <c r="E114" s="898" t="s">
        <v>276</v>
      </c>
      <c r="F114" s="899"/>
      <c r="G114" s="900"/>
      <c r="H114" s="901"/>
      <c r="I114" s="902"/>
      <c r="J114" s="902"/>
      <c r="K114" s="912" t="s">
        <v>274</v>
      </c>
      <c r="L114" s="902"/>
      <c r="M114" s="902"/>
      <c r="N114" s="902"/>
      <c r="O114" s="892">
        <f t="shared" si="4"/>
        <v>0</v>
      </c>
      <c r="P114" s="903">
        <f t="shared" si="7"/>
        <v>1</v>
      </c>
      <c r="Q114" s="893">
        <f t="shared" si="5"/>
        <v>2</v>
      </c>
      <c r="R114" s="894">
        <f t="shared" si="6"/>
        <v>0</v>
      </c>
    </row>
    <row r="115" spans="1:18">
      <c r="A115" s="905"/>
      <c r="B115" s="906"/>
      <c r="C115" s="907">
        <v>730</v>
      </c>
      <c r="D115" s="907" t="s">
        <v>12</v>
      </c>
      <c r="E115" s="908" t="s">
        <v>3921</v>
      </c>
      <c r="F115" s="909" t="s">
        <v>2674</v>
      </c>
      <c r="G115" s="910"/>
      <c r="H115" s="911">
        <v>0.48</v>
      </c>
      <c r="I115" s="912"/>
      <c r="J115" s="912"/>
      <c r="K115" s="912">
        <f>VLOOKUP(E115,ĐMNC!$A$7:$F$67,3,0)</f>
        <v>209570</v>
      </c>
      <c r="L115" s="912">
        <f>H115*K115</f>
        <v>100593.59999999999</v>
      </c>
      <c r="M115" s="912"/>
      <c r="N115" s="912"/>
      <c r="O115" s="892">
        <f t="shared" si="4"/>
        <v>0</v>
      </c>
      <c r="P115" s="903">
        <f t="shared" si="7"/>
        <v>1</v>
      </c>
      <c r="Q115" s="893">
        <f t="shared" si="5"/>
        <v>1</v>
      </c>
      <c r="R115" s="894">
        <f t="shared" si="6"/>
        <v>0</v>
      </c>
    </row>
    <row r="116" spans="1:18" s="847" customFormat="1" ht="31.5">
      <c r="A116" s="905" t="s">
        <v>3919</v>
      </c>
      <c r="B116" s="914" t="s">
        <v>155</v>
      </c>
      <c r="C116" s="915"/>
      <c r="D116" s="915"/>
      <c r="E116" s="916" t="s">
        <v>3954</v>
      </c>
      <c r="F116" s="917" t="s">
        <v>136</v>
      </c>
      <c r="G116" s="918"/>
      <c r="H116" s="919"/>
      <c r="I116" s="920"/>
      <c r="J116" s="891">
        <f>SUM(J117:J118)</f>
        <v>0</v>
      </c>
      <c r="K116" s="891"/>
      <c r="L116" s="891">
        <f>SUM(L117:L118)</f>
        <v>1427171.7</v>
      </c>
      <c r="M116" s="891"/>
      <c r="N116" s="891">
        <f>SUM(N117:N118)</f>
        <v>0</v>
      </c>
      <c r="O116" s="892">
        <f t="shared" si="4"/>
        <v>1</v>
      </c>
      <c r="P116" s="903">
        <f t="shared" si="7"/>
        <v>0</v>
      </c>
      <c r="Q116" s="893">
        <f t="shared" si="5"/>
        <v>0</v>
      </c>
      <c r="R116" s="894">
        <f t="shared" si="6"/>
        <v>2</v>
      </c>
    </row>
    <row r="117" spans="1:18" s="904" customFormat="1">
      <c r="A117" s="895"/>
      <c r="B117" s="896"/>
      <c r="C117" s="897"/>
      <c r="D117" s="897"/>
      <c r="E117" s="898" t="s">
        <v>276</v>
      </c>
      <c r="F117" s="899"/>
      <c r="G117" s="900"/>
      <c r="H117" s="901"/>
      <c r="I117" s="902"/>
      <c r="J117" s="902"/>
      <c r="K117" s="912" t="s">
        <v>274</v>
      </c>
      <c r="L117" s="902"/>
      <c r="M117" s="902"/>
      <c r="N117" s="902"/>
      <c r="O117" s="892">
        <f t="shared" si="4"/>
        <v>0</v>
      </c>
      <c r="P117" s="903">
        <f t="shared" si="7"/>
        <v>1</v>
      </c>
      <c r="Q117" s="893">
        <f t="shared" si="5"/>
        <v>2</v>
      </c>
      <c r="R117" s="894">
        <f t="shared" si="6"/>
        <v>0</v>
      </c>
    </row>
    <row r="118" spans="1:18">
      <c r="A118" s="905"/>
      <c r="B118" s="906"/>
      <c r="C118" s="907">
        <v>730</v>
      </c>
      <c r="D118" s="907" t="s">
        <v>12</v>
      </c>
      <c r="E118" s="908" t="s">
        <v>3921</v>
      </c>
      <c r="F118" s="909" t="s">
        <v>2674</v>
      </c>
      <c r="G118" s="910"/>
      <c r="H118" s="911">
        <v>6.81</v>
      </c>
      <c r="I118" s="912"/>
      <c r="J118" s="912"/>
      <c r="K118" s="912">
        <f>VLOOKUP(E118,ĐMNC!$A$7:$F$67,3,0)</f>
        <v>209570</v>
      </c>
      <c r="L118" s="912">
        <f>H118*K118</f>
        <v>1427171.7</v>
      </c>
      <c r="M118" s="912"/>
      <c r="N118" s="912"/>
      <c r="O118" s="892">
        <f t="shared" si="4"/>
        <v>0</v>
      </c>
      <c r="P118" s="903">
        <f t="shared" si="7"/>
        <v>1</v>
      </c>
      <c r="Q118" s="893">
        <f t="shared" si="5"/>
        <v>1</v>
      </c>
      <c r="R118" s="894">
        <f t="shared" si="6"/>
        <v>0</v>
      </c>
    </row>
    <row r="119" spans="1:18" s="847" customFormat="1" ht="31.5">
      <c r="A119" s="905" t="s">
        <v>3919</v>
      </c>
      <c r="B119" s="914" t="s">
        <v>482</v>
      </c>
      <c r="C119" s="915"/>
      <c r="D119" s="915"/>
      <c r="E119" s="916" t="s">
        <v>3955</v>
      </c>
      <c r="F119" s="917" t="s">
        <v>136</v>
      </c>
      <c r="G119" s="918"/>
      <c r="H119" s="919"/>
      <c r="I119" s="920"/>
      <c r="J119" s="891">
        <f>SUM(J120:J121)</f>
        <v>0</v>
      </c>
      <c r="K119" s="891"/>
      <c r="L119" s="891">
        <f>SUM(L120:L121)</f>
        <v>1337056.6000000001</v>
      </c>
      <c r="M119" s="891"/>
      <c r="N119" s="891">
        <f>SUM(N120:N121)</f>
        <v>0</v>
      </c>
      <c r="O119" s="892">
        <f t="shared" si="4"/>
        <v>1</v>
      </c>
      <c r="P119" s="903">
        <f t="shared" si="7"/>
        <v>0</v>
      </c>
      <c r="Q119" s="893">
        <f t="shared" si="5"/>
        <v>0</v>
      </c>
      <c r="R119" s="894">
        <f t="shared" si="6"/>
        <v>2</v>
      </c>
    </row>
    <row r="120" spans="1:18" s="904" customFormat="1">
      <c r="A120" s="895"/>
      <c r="B120" s="896"/>
      <c r="C120" s="897"/>
      <c r="D120" s="897"/>
      <c r="E120" s="898" t="s">
        <v>276</v>
      </c>
      <c r="F120" s="899"/>
      <c r="G120" s="900"/>
      <c r="H120" s="901"/>
      <c r="I120" s="902"/>
      <c r="J120" s="902"/>
      <c r="K120" s="912" t="s">
        <v>274</v>
      </c>
      <c r="L120" s="902"/>
      <c r="M120" s="902"/>
      <c r="N120" s="902"/>
      <c r="O120" s="892">
        <f t="shared" si="4"/>
        <v>0</v>
      </c>
      <c r="P120" s="903">
        <f t="shared" si="7"/>
        <v>1</v>
      </c>
      <c r="Q120" s="893">
        <f t="shared" si="5"/>
        <v>2</v>
      </c>
      <c r="R120" s="894">
        <f t="shared" si="6"/>
        <v>0</v>
      </c>
    </row>
    <row r="121" spans="1:18">
      <c r="A121" s="905"/>
      <c r="B121" s="906"/>
      <c r="C121" s="907">
        <v>730</v>
      </c>
      <c r="D121" s="907" t="s">
        <v>12</v>
      </c>
      <c r="E121" s="908" t="s">
        <v>3921</v>
      </c>
      <c r="F121" s="909" t="s">
        <v>2674</v>
      </c>
      <c r="G121" s="910"/>
      <c r="H121" s="911">
        <v>6.38</v>
      </c>
      <c r="I121" s="912"/>
      <c r="J121" s="912"/>
      <c r="K121" s="912">
        <f>VLOOKUP(E121,ĐMNC!$A$7:$F$67,3,0)</f>
        <v>209570</v>
      </c>
      <c r="L121" s="912">
        <f>H121*K121</f>
        <v>1337056.6000000001</v>
      </c>
      <c r="M121" s="912"/>
      <c r="N121" s="912"/>
      <c r="O121" s="892">
        <f t="shared" si="4"/>
        <v>0</v>
      </c>
      <c r="P121" s="903">
        <f t="shared" si="7"/>
        <v>1</v>
      </c>
      <c r="Q121" s="893">
        <f t="shared" si="5"/>
        <v>1</v>
      </c>
      <c r="R121" s="894">
        <f t="shared" si="6"/>
        <v>0</v>
      </c>
    </row>
    <row r="122" spans="1:18" s="847" customFormat="1" ht="32.25" customHeight="1">
      <c r="A122" s="905" t="s">
        <v>3919</v>
      </c>
      <c r="B122" s="914" t="s">
        <v>484</v>
      </c>
      <c r="C122" s="915"/>
      <c r="D122" s="915"/>
      <c r="E122" s="916" t="s">
        <v>3956</v>
      </c>
      <c r="F122" s="917" t="s">
        <v>136</v>
      </c>
      <c r="G122" s="918"/>
      <c r="H122" s="919"/>
      <c r="I122" s="920"/>
      <c r="J122" s="891">
        <f>SUM(J123:J124)</f>
        <v>0</v>
      </c>
      <c r="K122" s="891"/>
      <c r="L122" s="891">
        <f>SUM(L123:L124)</f>
        <v>1322386.7</v>
      </c>
      <c r="M122" s="891"/>
      <c r="N122" s="891">
        <f>SUM(N123:N124)</f>
        <v>0</v>
      </c>
      <c r="O122" s="892">
        <f t="shared" si="4"/>
        <v>1</v>
      </c>
      <c r="P122" s="903">
        <f t="shared" si="7"/>
        <v>0</v>
      </c>
      <c r="Q122" s="893">
        <f t="shared" si="5"/>
        <v>0</v>
      </c>
      <c r="R122" s="894">
        <f t="shared" si="6"/>
        <v>2</v>
      </c>
    </row>
    <row r="123" spans="1:18" s="904" customFormat="1">
      <c r="A123" s="895"/>
      <c r="B123" s="896"/>
      <c r="C123" s="897"/>
      <c r="D123" s="897"/>
      <c r="E123" s="898" t="s">
        <v>276</v>
      </c>
      <c r="F123" s="899"/>
      <c r="G123" s="900"/>
      <c r="H123" s="901"/>
      <c r="I123" s="902"/>
      <c r="J123" s="902"/>
      <c r="K123" s="912" t="s">
        <v>274</v>
      </c>
      <c r="L123" s="902"/>
      <c r="M123" s="902"/>
      <c r="N123" s="902"/>
      <c r="O123" s="892">
        <f t="shared" si="4"/>
        <v>0</v>
      </c>
      <c r="P123" s="903">
        <f t="shared" si="7"/>
        <v>1</v>
      </c>
      <c r="Q123" s="893">
        <f t="shared" si="5"/>
        <v>2</v>
      </c>
      <c r="R123" s="894">
        <f t="shared" si="6"/>
        <v>0</v>
      </c>
    </row>
    <row r="124" spans="1:18">
      <c r="A124" s="905"/>
      <c r="B124" s="906"/>
      <c r="C124" s="907">
        <v>730</v>
      </c>
      <c r="D124" s="907" t="s">
        <v>12</v>
      </c>
      <c r="E124" s="908" t="s">
        <v>3921</v>
      </c>
      <c r="F124" s="909" t="s">
        <v>2674</v>
      </c>
      <c r="G124" s="910"/>
      <c r="H124" s="911">
        <v>6.31</v>
      </c>
      <c r="I124" s="912"/>
      <c r="J124" s="912"/>
      <c r="K124" s="912">
        <f>VLOOKUP(E124,ĐMNC!$A$7:$F$67,3,0)</f>
        <v>209570</v>
      </c>
      <c r="L124" s="912">
        <f>H124*K124</f>
        <v>1322386.7</v>
      </c>
      <c r="M124" s="912"/>
      <c r="N124" s="912"/>
      <c r="O124" s="892">
        <f t="shared" si="4"/>
        <v>0</v>
      </c>
      <c r="P124" s="903">
        <f t="shared" si="7"/>
        <v>1</v>
      </c>
      <c r="Q124" s="893">
        <f t="shared" si="5"/>
        <v>1</v>
      </c>
      <c r="R124" s="894">
        <f t="shared" si="6"/>
        <v>0</v>
      </c>
    </row>
    <row r="125" spans="1:18" s="847" customFormat="1" ht="32.25" customHeight="1">
      <c r="A125" s="905" t="s">
        <v>3919</v>
      </c>
      <c r="B125" s="914" t="s">
        <v>486</v>
      </c>
      <c r="C125" s="915"/>
      <c r="D125" s="915"/>
      <c r="E125" s="916" t="s">
        <v>3957</v>
      </c>
      <c r="F125" s="917" t="s">
        <v>136</v>
      </c>
      <c r="G125" s="918"/>
      <c r="H125" s="919"/>
      <c r="I125" s="920"/>
      <c r="J125" s="891">
        <f>SUM(J126:J127)</f>
        <v>0</v>
      </c>
      <c r="K125" s="891"/>
      <c r="L125" s="891">
        <f>SUM(L126:L127)</f>
        <v>1309812.5</v>
      </c>
      <c r="M125" s="891"/>
      <c r="N125" s="891">
        <f>SUM(N126:N127)</f>
        <v>0</v>
      </c>
      <c r="O125" s="892">
        <f t="shared" si="4"/>
        <v>1</v>
      </c>
      <c r="P125" s="903">
        <f t="shared" si="7"/>
        <v>0</v>
      </c>
      <c r="Q125" s="893">
        <f t="shared" si="5"/>
        <v>0</v>
      </c>
      <c r="R125" s="894">
        <f t="shared" si="6"/>
        <v>2</v>
      </c>
    </row>
    <row r="126" spans="1:18" s="904" customFormat="1">
      <c r="A126" s="895"/>
      <c r="B126" s="896"/>
      <c r="C126" s="897"/>
      <c r="D126" s="897"/>
      <c r="E126" s="898" t="s">
        <v>276</v>
      </c>
      <c r="F126" s="899"/>
      <c r="G126" s="900"/>
      <c r="H126" s="901"/>
      <c r="I126" s="902"/>
      <c r="J126" s="902"/>
      <c r="K126" s="912" t="s">
        <v>274</v>
      </c>
      <c r="L126" s="902"/>
      <c r="M126" s="902"/>
      <c r="N126" s="902"/>
      <c r="O126" s="892">
        <f t="shared" si="4"/>
        <v>0</v>
      </c>
      <c r="P126" s="903">
        <f t="shared" si="7"/>
        <v>1</v>
      </c>
      <c r="Q126" s="893">
        <f t="shared" si="5"/>
        <v>2</v>
      </c>
      <c r="R126" s="894">
        <f t="shared" si="6"/>
        <v>0</v>
      </c>
    </row>
    <row r="127" spans="1:18">
      <c r="A127" s="905"/>
      <c r="B127" s="906"/>
      <c r="C127" s="907">
        <v>730</v>
      </c>
      <c r="D127" s="907" t="s">
        <v>12</v>
      </c>
      <c r="E127" s="908" t="s">
        <v>3921</v>
      </c>
      <c r="F127" s="909" t="s">
        <v>2674</v>
      </c>
      <c r="G127" s="910"/>
      <c r="H127" s="911">
        <v>6.25</v>
      </c>
      <c r="I127" s="912"/>
      <c r="J127" s="912"/>
      <c r="K127" s="912">
        <f>VLOOKUP(E127,ĐMNC!$A$7:$F$67,3,0)</f>
        <v>209570</v>
      </c>
      <c r="L127" s="912">
        <f>H127*K127</f>
        <v>1309812.5</v>
      </c>
      <c r="M127" s="912"/>
      <c r="N127" s="912"/>
      <c r="O127" s="892">
        <f t="shared" si="4"/>
        <v>0</v>
      </c>
      <c r="P127" s="903">
        <f t="shared" si="7"/>
        <v>1</v>
      </c>
      <c r="Q127" s="893">
        <f t="shared" si="5"/>
        <v>1</v>
      </c>
      <c r="R127" s="894">
        <f t="shared" si="6"/>
        <v>0</v>
      </c>
    </row>
    <row r="128" spans="1:18" s="847" customFormat="1">
      <c r="A128" s="905" t="s">
        <v>3919</v>
      </c>
      <c r="B128" s="914" t="s">
        <v>488</v>
      </c>
      <c r="C128" s="915"/>
      <c r="D128" s="915"/>
      <c r="E128" s="916" t="s">
        <v>489</v>
      </c>
      <c r="F128" s="917" t="s">
        <v>136</v>
      </c>
      <c r="G128" s="918"/>
      <c r="H128" s="919"/>
      <c r="I128" s="920"/>
      <c r="J128" s="891">
        <f>SUM(J129:J130)</f>
        <v>0</v>
      </c>
      <c r="K128" s="891"/>
      <c r="L128" s="891">
        <f>SUM(L129:L130)</f>
        <v>100593.59999999999</v>
      </c>
      <c r="M128" s="891"/>
      <c r="N128" s="891">
        <f>SUM(N129:N130)</f>
        <v>0</v>
      </c>
      <c r="O128" s="892">
        <f t="shared" si="4"/>
        <v>1</v>
      </c>
      <c r="P128" s="903">
        <f t="shared" si="7"/>
        <v>0</v>
      </c>
      <c r="Q128" s="893">
        <f t="shared" si="5"/>
        <v>0</v>
      </c>
      <c r="R128" s="894">
        <f t="shared" si="6"/>
        <v>2</v>
      </c>
    </row>
    <row r="129" spans="1:18" s="904" customFormat="1">
      <c r="A129" s="895"/>
      <c r="B129" s="896"/>
      <c r="C129" s="897"/>
      <c r="D129" s="897"/>
      <c r="E129" s="898" t="s">
        <v>276</v>
      </c>
      <c r="F129" s="899"/>
      <c r="G129" s="900"/>
      <c r="H129" s="901"/>
      <c r="I129" s="902"/>
      <c r="J129" s="902"/>
      <c r="K129" s="912" t="s">
        <v>274</v>
      </c>
      <c r="L129" s="902"/>
      <c r="M129" s="902"/>
      <c r="N129" s="902"/>
      <c r="O129" s="892">
        <f t="shared" si="4"/>
        <v>0</v>
      </c>
      <c r="P129" s="903">
        <f t="shared" si="7"/>
        <v>1</v>
      </c>
      <c r="Q129" s="893">
        <f t="shared" si="5"/>
        <v>2</v>
      </c>
      <c r="R129" s="894">
        <f t="shared" si="6"/>
        <v>0</v>
      </c>
    </row>
    <row r="130" spans="1:18">
      <c r="A130" s="905"/>
      <c r="B130" s="906"/>
      <c r="C130" s="907">
        <v>730</v>
      </c>
      <c r="D130" s="907" t="s">
        <v>12</v>
      </c>
      <c r="E130" s="908" t="s">
        <v>3921</v>
      </c>
      <c r="F130" s="909" t="s">
        <v>2674</v>
      </c>
      <c r="G130" s="910"/>
      <c r="H130" s="911">
        <v>0.48</v>
      </c>
      <c r="I130" s="912"/>
      <c r="J130" s="912"/>
      <c r="K130" s="912">
        <f>VLOOKUP(E130,ĐMNC!$A$7:$F$67,3,0)</f>
        <v>209570</v>
      </c>
      <c r="L130" s="912">
        <f>H130*K130</f>
        <v>100593.59999999999</v>
      </c>
      <c r="M130" s="912"/>
      <c r="N130" s="912"/>
      <c r="O130" s="892">
        <f t="shared" si="4"/>
        <v>0</v>
      </c>
      <c r="P130" s="903">
        <f t="shared" si="7"/>
        <v>1</v>
      </c>
      <c r="Q130" s="893">
        <f t="shared" si="5"/>
        <v>1</v>
      </c>
      <c r="R130" s="894">
        <f t="shared" si="6"/>
        <v>0</v>
      </c>
    </row>
    <row r="131" spans="1:18" s="847" customFormat="1">
      <c r="A131" s="905" t="s">
        <v>3919</v>
      </c>
      <c r="B131" s="914" t="s">
        <v>490</v>
      </c>
      <c r="C131" s="915"/>
      <c r="D131" s="915"/>
      <c r="E131" s="916" t="s">
        <v>3958</v>
      </c>
      <c r="F131" s="917" t="s">
        <v>136</v>
      </c>
      <c r="G131" s="918"/>
      <c r="H131" s="919"/>
      <c r="I131" s="920"/>
      <c r="J131" s="891">
        <f>SUM(J132:J133)</f>
        <v>0</v>
      </c>
      <c r="K131" s="891"/>
      <c r="L131" s="891">
        <f>SUM(L132:L133)</f>
        <v>1427171.7</v>
      </c>
      <c r="M131" s="891"/>
      <c r="N131" s="891">
        <f>SUM(N132:N133)</f>
        <v>0</v>
      </c>
      <c r="O131" s="892">
        <f t="shared" si="4"/>
        <v>1</v>
      </c>
      <c r="P131" s="903">
        <f t="shared" si="7"/>
        <v>0</v>
      </c>
      <c r="Q131" s="893">
        <f t="shared" si="5"/>
        <v>0</v>
      </c>
      <c r="R131" s="894">
        <f t="shared" si="6"/>
        <v>2</v>
      </c>
    </row>
    <row r="132" spans="1:18" s="904" customFormat="1">
      <c r="A132" s="895"/>
      <c r="B132" s="896"/>
      <c r="C132" s="897"/>
      <c r="D132" s="897"/>
      <c r="E132" s="898" t="s">
        <v>276</v>
      </c>
      <c r="F132" s="899"/>
      <c r="G132" s="900"/>
      <c r="H132" s="901"/>
      <c r="I132" s="902"/>
      <c r="J132" s="902"/>
      <c r="K132" s="912" t="s">
        <v>274</v>
      </c>
      <c r="L132" s="902"/>
      <c r="M132" s="902"/>
      <c r="N132" s="902"/>
      <c r="O132" s="892">
        <f t="shared" si="4"/>
        <v>0</v>
      </c>
      <c r="P132" s="903">
        <f t="shared" si="7"/>
        <v>1</v>
      </c>
      <c r="Q132" s="893">
        <f t="shared" si="5"/>
        <v>2</v>
      </c>
      <c r="R132" s="894">
        <f t="shared" si="6"/>
        <v>0</v>
      </c>
    </row>
    <row r="133" spans="1:18">
      <c r="A133" s="905"/>
      <c r="B133" s="906"/>
      <c r="C133" s="907">
        <v>730</v>
      </c>
      <c r="D133" s="907" t="s">
        <v>12</v>
      </c>
      <c r="E133" s="908" t="s">
        <v>3921</v>
      </c>
      <c r="F133" s="909" t="s">
        <v>2674</v>
      </c>
      <c r="G133" s="910"/>
      <c r="H133" s="911">
        <v>6.81</v>
      </c>
      <c r="I133" s="912"/>
      <c r="J133" s="912"/>
      <c r="K133" s="912">
        <f>VLOOKUP(E133,ĐMNC!$A$7:$F$67,3,0)</f>
        <v>209570</v>
      </c>
      <c r="L133" s="912">
        <f>H133*K133</f>
        <v>1427171.7</v>
      </c>
      <c r="M133" s="912"/>
      <c r="N133" s="912"/>
      <c r="O133" s="892">
        <f t="shared" si="4"/>
        <v>0</v>
      </c>
      <c r="P133" s="903">
        <f t="shared" si="7"/>
        <v>1</v>
      </c>
      <c r="Q133" s="893">
        <f t="shared" si="5"/>
        <v>1</v>
      </c>
      <c r="R133" s="894">
        <f t="shared" si="6"/>
        <v>0</v>
      </c>
    </row>
    <row r="134" spans="1:18" s="847" customFormat="1">
      <c r="A134" s="905" t="s">
        <v>3919</v>
      </c>
      <c r="B134" s="914" t="s">
        <v>492</v>
      </c>
      <c r="C134" s="915"/>
      <c r="D134" s="915"/>
      <c r="E134" s="916" t="s">
        <v>3959</v>
      </c>
      <c r="F134" s="917" t="s">
        <v>136</v>
      </c>
      <c r="G134" s="918"/>
      <c r="H134" s="919"/>
      <c r="I134" s="920"/>
      <c r="J134" s="891">
        <f>SUM(J135:J136)</f>
        <v>0</v>
      </c>
      <c r="K134" s="891"/>
      <c r="L134" s="891">
        <f>SUM(L135:L136)</f>
        <v>1337056.6000000001</v>
      </c>
      <c r="M134" s="891"/>
      <c r="N134" s="891">
        <f>SUM(N135:N136)</f>
        <v>0</v>
      </c>
      <c r="O134" s="892">
        <f t="shared" si="4"/>
        <v>1</v>
      </c>
      <c r="P134" s="903">
        <f t="shared" si="7"/>
        <v>0</v>
      </c>
      <c r="Q134" s="893">
        <f t="shared" si="5"/>
        <v>0</v>
      </c>
      <c r="R134" s="894">
        <f t="shared" si="6"/>
        <v>2</v>
      </c>
    </row>
    <row r="135" spans="1:18" s="904" customFormat="1">
      <c r="A135" s="895"/>
      <c r="B135" s="896"/>
      <c r="C135" s="897"/>
      <c r="D135" s="897"/>
      <c r="E135" s="898" t="s">
        <v>276</v>
      </c>
      <c r="F135" s="899"/>
      <c r="G135" s="900"/>
      <c r="H135" s="901"/>
      <c r="I135" s="902"/>
      <c r="J135" s="902"/>
      <c r="K135" s="912" t="s">
        <v>274</v>
      </c>
      <c r="L135" s="902"/>
      <c r="M135" s="902"/>
      <c r="N135" s="902"/>
      <c r="O135" s="892">
        <f t="shared" si="4"/>
        <v>0</v>
      </c>
      <c r="P135" s="903">
        <f t="shared" si="7"/>
        <v>1</v>
      </c>
      <c r="Q135" s="893">
        <f t="shared" si="5"/>
        <v>2</v>
      </c>
      <c r="R135" s="894">
        <f t="shared" si="6"/>
        <v>0</v>
      </c>
    </row>
    <row r="136" spans="1:18">
      <c r="A136" s="905"/>
      <c r="B136" s="906"/>
      <c r="C136" s="907">
        <v>730</v>
      </c>
      <c r="D136" s="907" t="s">
        <v>12</v>
      </c>
      <c r="E136" s="908" t="s">
        <v>3921</v>
      </c>
      <c r="F136" s="909" t="s">
        <v>2674</v>
      </c>
      <c r="G136" s="910"/>
      <c r="H136" s="911">
        <v>6.38</v>
      </c>
      <c r="I136" s="912"/>
      <c r="J136" s="912"/>
      <c r="K136" s="912">
        <f>VLOOKUP(E136,ĐMNC!$A$7:$F$67,3,0)</f>
        <v>209570</v>
      </c>
      <c r="L136" s="912">
        <f>H136*K136</f>
        <v>1337056.6000000001</v>
      </c>
      <c r="M136" s="912"/>
      <c r="N136" s="912"/>
      <c r="O136" s="892">
        <f t="shared" si="4"/>
        <v>0</v>
      </c>
      <c r="P136" s="903">
        <f t="shared" si="7"/>
        <v>1</v>
      </c>
      <c r="Q136" s="893">
        <f t="shared" si="5"/>
        <v>1</v>
      </c>
      <c r="R136" s="894">
        <f t="shared" si="6"/>
        <v>0</v>
      </c>
    </row>
    <row r="137" spans="1:18" s="847" customFormat="1">
      <c r="A137" s="905" t="s">
        <v>3919</v>
      </c>
      <c r="B137" s="914" t="s">
        <v>494</v>
      </c>
      <c r="C137" s="915"/>
      <c r="D137" s="915"/>
      <c r="E137" s="916" t="s">
        <v>3960</v>
      </c>
      <c r="F137" s="917" t="s">
        <v>136</v>
      </c>
      <c r="G137" s="918"/>
      <c r="H137" s="919"/>
      <c r="I137" s="920"/>
      <c r="J137" s="891">
        <f>SUM(J138:J139)</f>
        <v>0</v>
      </c>
      <c r="K137" s="891"/>
      <c r="L137" s="891">
        <f>SUM(L138:L139)</f>
        <v>1322386.7</v>
      </c>
      <c r="M137" s="891"/>
      <c r="N137" s="891">
        <f>SUM(N138:N139)</f>
        <v>0</v>
      </c>
      <c r="O137" s="892">
        <f t="shared" ref="O137:O200" si="8">IF(AND(B137&lt;&gt;"",D137=""),1,0)</f>
        <v>1</v>
      </c>
      <c r="P137" s="903">
        <f t="shared" si="7"/>
        <v>0</v>
      </c>
      <c r="Q137" s="893">
        <f t="shared" ref="Q137:Q202" si="9">IF(P137=0,0,P137+Q138)</f>
        <v>0</v>
      </c>
      <c r="R137" s="894">
        <f t="shared" ref="R137:R202" si="10">IF(Q137=0,Q138,0)</f>
        <v>2</v>
      </c>
    </row>
    <row r="138" spans="1:18" s="904" customFormat="1">
      <c r="A138" s="895"/>
      <c r="B138" s="896"/>
      <c r="C138" s="897"/>
      <c r="D138" s="897"/>
      <c r="E138" s="898" t="s">
        <v>276</v>
      </c>
      <c r="F138" s="899"/>
      <c r="G138" s="900"/>
      <c r="H138" s="901"/>
      <c r="I138" s="902"/>
      <c r="J138" s="902"/>
      <c r="K138" s="912" t="s">
        <v>274</v>
      </c>
      <c r="L138" s="902"/>
      <c r="M138" s="902"/>
      <c r="N138" s="902"/>
      <c r="O138" s="892">
        <f t="shared" si="8"/>
        <v>0</v>
      </c>
      <c r="P138" s="903">
        <f t="shared" ref="P138:P203" si="11">IF(O138=0,1,0)</f>
        <v>1</v>
      </c>
      <c r="Q138" s="893">
        <f t="shared" si="9"/>
        <v>2</v>
      </c>
      <c r="R138" s="894">
        <f t="shared" si="10"/>
        <v>0</v>
      </c>
    </row>
    <row r="139" spans="1:18">
      <c r="A139" s="905"/>
      <c r="B139" s="906"/>
      <c r="C139" s="907">
        <v>730</v>
      </c>
      <c r="D139" s="907" t="s">
        <v>12</v>
      </c>
      <c r="E139" s="908" t="s">
        <v>3921</v>
      </c>
      <c r="F139" s="909" t="s">
        <v>2674</v>
      </c>
      <c r="G139" s="910"/>
      <c r="H139" s="911">
        <v>6.31</v>
      </c>
      <c r="I139" s="912"/>
      <c r="J139" s="912"/>
      <c r="K139" s="912">
        <f>VLOOKUP(E139,ĐMNC!$A$7:$F$67,3,0)</f>
        <v>209570</v>
      </c>
      <c r="L139" s="912">
        <f>H139*K139</f>
        <v>1322386.7</v>
      </c>
      <c r="M139" s="912"/>
      <c r="N139" s="912"/>
      <c r="O139" s="892">
        <f t="shared" si="8"/>
        <v>0</v>
      </c>
      <c r="P139" s="903">
        <f t="shared" si="11"/>
        <v>1</v>
      </c>
      <c r="Q139" s="893">
        <f t="shared" si="9"/>
        <v>1</v>
      </c>
      <c r="R139" s="894">
        <f t="shared" si="10"/>
        <v>0</v>
      </c>
    </row>
    <row r="140" spans="1:18" s="847" customFormat="1">
      <c r="A140" s="905" t="s">
        <v>3919</v>
      </c>
      <c r="B140" s="914" t="s">
        <v>496</v>
      </c>
      <c r="C140" s="915"/>
      <c r="D140" s="915"/>
      <c r="E140" s="916" t="s">
        <v>3961</v>
      </c>
      <c r="F140" s="917" t="s">
        <v>136</v>
      </c>
      <c r="G140" s="918"/>
      <c r="H140" s="919"/>
      <c r="I140" s="920"/>
      <c r="J140" s="891">
        <f>SUM(J141:J142)</f>
        <v>0</v>
      </c>
      <c r="K140" s="891"/>
      <c r="L140" s="891">
        <f>SUM(L141:L142)</f>
        <v>1309812.5</v>
      </c>
      <c r="M140" s="891"/>
      <c r="N140" s="891">
        <f>SUM(N141:N142)</f>
        <v>0</v>
      </c>
      <c r="O140" s="892">
        <f t="shared" si="8"/>
        <v>1</v>
      </c>
      <c r="P140" s="903">
        <f t="shared" si="11"/>
        <v>0</v>
      </c>
      <c r="Q140" s="893">
        <f t="shared" si="9"/>
        <v>0</v>
      </c>
      <c r="R140" s="894">
        <f t="shared" si="10"/>
        <v>2</v>
      </c>
    </row>
    <row r="141" spans="1:18" s="904" customFormat="1">
      <c r="A141" s="895"/>
      <c r="B141" s="896"/>
      <c r="C141" s="897"/>
      <c r="D141" s="897"/>
      <c r="E141" s="898" t="s">
        <v>276</v>
      </c>
      <c r="F141" s="899"/>
      <c r="G141" s="900"/>
      <c r="H141" s="901"/>
      <c r="I141" s="902"/>
      <c r="J141" s="902"/>
      <c r="K141" s="912" t="s">
        <v>274</v>
      </c>
      <c r="L141" s="902"/>
      <c r="M141" s="902"/>
      <c r="N141" s="902"/>
      <c r="O141" s="892">
        <f t="shared" si="8"/>
        <v>0</v>
      </c>
      <c r="P141" s="903">
        <f t="shared" si="11"/>
        <v>1</v>
      </c>
      <c r="Q141" s="893">
        <f t="shared" si="9"/>
        <v>2</v>
      </c>
      <c r="R141" s="894">
        <f t="shared" si="10"/>
        <v>0</v>
      </c>
    </row>
    <row r="142" spans="1:18">
      <c r="A142" s="905"/>
      <c r="B142" s="906"/>
      <c r="C142" s="907">
        <v>730</v>
      </c>
      <c r="D142" s="907" t="s">
        <v>12</v>
      </c>
      <c r="E142" s="908" t="s">
        <v>3921</v>
      </c>
      <c r="F142" s="909" t="s">
        <v>2674</v>
      </c>
      <c r="G142" s="910"/>
      <c r="H142" s="911">
        <v>6.25</v>
      </c>
      <c r="I142" s="912"/>
      <c r="J142" s="912"/>
      <c r="K142" s="912">
        <f>VLOOKUP(E142,ĐMNC!$A$7:$F$67,3,0)</f>
        <v>209570</v>
      </c>
      <c r="L142" s="912">
        <f>H142*K142</f>
        <v>1309812.5</v>
      </c>
      <c r="M142" s="912"/>
      <c r="N142" s="912"/>
      <c r="O142" s="892">
        <f t="shared" si="8"/>
        <v>0</v>
      </c>
      <c r="P142" s="903">
        <f t="shared" si="11"/>
        <v>1</v>
      </c>
      <c r="Q142" s="893">
        <f t="shared" si="9"/>
        <v>1</v>
      </c>
      <c r="R142" s="894">
        <f t="shared" si="10"/>
        <v>0</v>
      </c>
    </row>
    <row r="143" spans="1:18" s="847" customFormat="1">
      <c r="A143" s="905" t="s">
        <v>3919</v>
      </c>
      <c r="B143" s="914" t="s">
        <v>145</v>
      </c>
      <c r="C143" s="915"/>
      <c r="D143" s="915"/>
      <c r="E143" s="916" t="s">
        <v>3385</v>
      </c>
      <c r="F143" s="917" t="s">
        <v>136</v>
      </c>
      <c r="G143" s="918"/>
      <c r="H143" s="919"/>
      <c r="I143" s="920"/>
      <c r="J143" s="891">
        <f>SUM(J144:J145)</f>
        <v>0</v>
      </c>
      <c r="K143" s="891"/>
      <c r="L143" s="891">
        <f>SUM(L144:L145)</f>
        <v>104785</v>
      </c>
      <c r="M143" s="891"/>
      <c r="N143" s="891">
        <f>SUM(N144:N145)</f>
        <v>0</v>
      </c>
      <c r="O143" s="892">
        <f t="shared" si="8"/>
        <v>1</v>
      </c>
      <c r="P143" s="903">
        <f t="shared" si="11"/>
        <v>0</v>
      </c>
      <c r="Q143" s="893">
        <f t="shared" si="9"/>
        <v>0</v>
      </c>
      <c r="R143" s="894">
        <f t="shared" si="10"/>
        <v>2</v>
      </c>
    </row>
    <row r="144" spans="1:18" s="904" customFormat="1">
      <c r="A144" s="895"/>
      <c r="B144" s="896"/>
      <c r="C144" s="897"/>
      <c r="D144" s="897"/>
      <c r="E144" s="898" t="s">
        <v>276</v>
      </c>
      <c r="F144" s="899"/>
      <c r="G144" s="900"/>
      <c r="H144" s="901"/>
      <c r="I144" s="902"/>
      <c r="J144" s="902"/>
      <c r="K144" s="912" t="s">
        <v>274</v>
      </c>
      <c r="L144" s="902"/>
      <c r="M144" s="902"/>
      <c r="N144" s="902"/>
      <c r="O144" s="892">
        <f t="shared" si="8"/>
        <v>0</v>
      </c>
      <c r="P144" s="903">
        <f t="shared" si="11"/>
        <v>1</v>
      </c>
      <c r="Q144" s="893">
        <f t="shared" si="9"/>
        <v>2</v>
      </c>
      <c r="R144" s="894">
        <f t="shared" si="10"/>
        <v>0</v>
      </c>
    </row>
    <row r="145" spans="1:18">
      <c r="A145" s="905"/>
      <c r="B145" s="906"/>
      <c r="C145" s="907">
        <v>730</v>
      </c>
      <c r="D145" s="907" t="s">
        <v>12</v>
      </c>
      <c r="E145" s="908" t="s">
        <v>3921</v>
      </c>
      <c r="F145" s="909" t="s">
        <v>2674</v>
      </c>
      <c r="G145" s="910"/>
      <c r="H145" s="911">
        <v>0.5</v>
      </c>
      <c r="I145" s="912"/>
      <c r="J145" s="912"/>
      <c r="K145" s="912">
        <f>VLOOKUP(E145,ĐMNC!$A$7:$F$67,3,0)</f>
        <v>209570</v>
      </c>
      <c r="L145" s="912">
        <f>H145*K145</f>
        <v>104785</v>
      </c>
      <c r="M145" s="912"/>
      <c r="N145" s="912"/>
      <c r="O145" s="892">
        <f t="shared" si="8"/>
        <v>0</v>
      </c>
      <c r="P145" s="903">
        <f t="shared" si="11"/>
        <v>1</v>
      </c>
      <c r="Q145" s="893">
        <f t="shared" si="9"/>
        <v>1</v>
      </c>
      <c r="R145" s="894">
        <f t="shared" si="10"/>
        <v>0</v>
      </c>
    </row>
    <row r="146" spans="1:18" s="847" customFormat="1">
      <c r="A146" s="905" t="s">
        <v>3919</v>
      </c>
      <c r="B146" s="914" t="s">
        <v>143</v>
      </c>
      <c r="C146" s="915"/>
      <c r="D146" s="915"/>
      <c r="E146" s="916" t="s">
        <v>3962</v>
      </c>
      <c r="F146" s="917" t="s">
        <v>136</v>
      </c>
      <c r="G146" s="918"/>
      <c r="H146" s="919"/>
      <c r="I146" s="920"/>
      <c r="J146" s="891">
        <f>SUM(J147:J148)</f>
        <v>0</v>
      </c>
      <c r="K146" s="891"/>
      <c r="L146" s="891">
        <f>SUM(L147:L148)</f>
        <v>1997202.0999999999</v>
      </c>
      <c r="M146" s="891"/>
      <c r="N146" s="891">
        <f>SUM(N147:N148)</f>
        <v>0</v>
      </c>
      <c r="O146" s="892">
        <f t="shared" si="8"/>
        <v>1</v>
      </c>
      <c r="P146" s="903">
        <f t="shared" si="11"/>
        <v>0</v>
      </c>
      <c r="Q146" s="893">
        <f t="shared" si="9"/>
        <v>0</v>
      </c>
      <c r="R146" s="894">
        <f t="shared" si="10"/>
        <v>2</v>
      </c>
    </row>
    <row r="147" spans="1:18" s="904" customFormat="1">
      <c r="A147" s="895"/>
      <c r="B147" s="896"/>
      <c r="C147" s="897"/>
      <c r="D147" s="897"/>
      <c r="E147" s="898" t="s">
        <v>276</v>
      </c>
      <c r="F147" s="899"/>
      <c r="G147" s="900"/>
      <c r="H147" s="901"/>
      <c r="I147" s="902"/>
      <c r="J147" s="902"/>
      <c r="K147" s="912" t="s">
        <v>274</v>
      </c>
      <c r="L147" s="902"/>
      <c r="M147" s="902"/>
      <c r="N147" s="902"/>
      <c r="O147" s="892">
        <f t="shared" si="8"/>
        <v>0</v>
      </c>
      <c r="P147" s="903">
        <f t="shared" si="11"/>
        <v>1</v>
      </c>
      <c r="Q147" s="893">
        <f t="shared" si="9"/>
        <v>2</v>
      </c>
      <c r="R147" s="894">
        <f t="shared" si="10"/>
        <v>0</v>
      </c>
    </row>
    <row r="148" spans="1:18">
      <c r="A148" s="905"/>
      <c r="B148" s="906"/>
      <c r="C148" s="907">
        <v>730</v>
      </c>
      <c r="D148" s="907" t="s">
        <v>12</v>
      </c>
      <c r="E148" s="908" t="s">
        <v>3921</v>
      </c>
      <c r="F148" s="909" t="s">
        <v>2674</v>
      </c>
      <c r="G148" s="910"/>
      <c r="H148" s="911">
        <v>9.5299999999999994</v>
      </c>
      <c r="I148" s="912"/>
      <c r="J148" s="912"/>
      <c r="K148" s="912">
        <f>VLOOKUP(E148,ĐMNC!$A$7:$F$67,3,0)</f>
        <v>209570</v>
      </c>
      <c r="L148" s="912">
        <f>H148*K148</f>
        <v>1997202.0999999999</v>
      </c>
      <c r="M148" s="912"/>
      <c r="N148" s="912"/>
      <c r="O148" s="892">
        <f t="shared" si="8"/>
        <v>0</v>
      </c>
      <c r="P148" s="903">
        <f t="shared" si="11"/>
        <v>1</v>
      </c>
      <c r="Q148" s="893">
        <f t="shared" si="9"/>
        <v>1</v>
      </c>
      <c r="R148" s="894">
        <f t="shared" si="10"/>
        <v>0</v>
      </c>
    </row>
    <row r="149" spans="1:18" s="847" customFormat="1">
      <c r="A149" s="905" t="s">
        <v>3919</v>
      </c>
      <c r="B149" s="914" t="s">
        <v>498</v>
      </c>
      <c r="C149" s="915"/>
      <c r="D149" s="915"/>
      <c r="E149" s="916" t="s">
        <v>3963</v>
      </c>
      <c r="F149" s="917" t="s">
        <v>136</v>
      </c>
      <c r="G149" s="918"/>
      <c r="H149" s="919"/>
      <c r="I149" s="920"/>
      <c r="J149" s="891">
        <f>SUM(J150:J151)</f>
        <v>0</v>
      </c>
      <c r="K149" s="891"/>
      <c r="L149" s="891">
        <f>SUM(L150:L151)</f>
        <v>1875651.4999999998</v>
      </c>
      <c r="M149" s="891"/>
      <c r="N149" s="891">
        <f>SUM(N150:N151)</f>
        <v>0</v>
      </c>
      <c r="O149" s="892">
        <f t="shared" si="8"/>
        <v>1</v>
      </c>
      <c r="P149" s="903">
        <f t="shared" si="11"/>
        <v>0</v>
      </c>
      <c r="Q149" s="893">
        <f t="shared" si="9"/>
        <v>0</v>
      </c>
      <c r="R149" s="894">
        <f t="shared" si="10"/>
        <v>2</v>
      </c>
    </row>
    <row r="150" spans="1:18" s="904" customFormat="1">
      <c r="A150" s="895"/>
      <c r="B150" s="896"/>
      <c r="C150" s="897"/>
      <c r="D150" s="897"/>
      <c r="E150" s="898" t="s">
        <v>276</v>
      </c>
      <c r="F150" s="899"/>
      <c r="G150" s="900"/>
      <c r="H150" s="901"/>
      <c r="I150" s="902"/>
      <c r="J150" s="902"/>
      <c r="K150" s="912" t="s">
        <v>274</v>
      </c>
      <c r="L150" s="902"/>
      <c r="M150" s="902"/>
      <c r="N150" s="902"/>
      <c r="O150" s="892">
        <f t="shared" si="8"/>
        <v>0</v>
      </c>
      <c r="P150" s="903">
        <f t="shared" si="11"/>
        <v>1</v>
      </c>
      <c r="Q150" s="893">
        <f t="shared" si="9"/>
        <v>2</v>
      </c>
      <c r="R150" s="894">
        <f t="shared" si="10"/>
        <v>0</v>
      </c>
    </row>
    <row r="151" spans="1:18">
      <c r="A151" s="905"/>
      <c r="B151" s="906"/>
      <c r="C151" s="907">
        <v>730</v>
      </c>
      <c r="D151" s="907" t="s">
        <v>12</v>
      </c>
      <c r="E151" s="908" t="s">
        <v>3921</v>
      </c>
      <c r="F151" s="909" t="s">
        <v>2674</v>
      </c>
      <c r="G151" s="910"/>
      <c r="H151" s="911">
        <v>8.9499999999999993</v>
      </c>
      <c r="I151" s="912"/>
      <c r="J151" s="912"/>
      <c r="K151" s="912">
        <f>VLOOKUP(E151,ĐMNC!$A$7:$F$67,3,0)</f>
        <v>209570</v>
      </c>
      <c r="L151" s="912">
        <f>H151*K151</f>
        <v>1875651.4999999998</v>
      </c>
      <c r="M151" s="912"/>
      <c r="N151" s="912"/>
      <c r="O151" s="892">
        <f t="shared" si="8"/>
        <v>0</v>
      </c>
      <c r="P151" s="903">
        <f t="shared" si="11"/>
        <v>1</v>
      </c>
      <c r="Q151" s="893">
        <f t="shared" si="9"/>
        <v>1</v>
      </c>
      <c r="R151" s="894">
        <f t="shared" si="10"/>
        <v>0</v>
      </c>
    </row>
    <row r="152" spans="1:18" s="847" customFormat="1">
      <c r="A152" s="905" t="s">
        <v>3919</v>
      </c>
      <c r="B152" s="914" t="s">
        <v>500</v>
      </c>
      <c r="C152" s="915"/>
      <c r="D152" s="915"/>
      <c r="E152" s="916" t="s">
        <v>3964</v>
      </c>
      <c r="F152" s="917" t="s">
        <v>136</v>
      </c>
      <c r="G152" s="918"/>
      <c r="H152" s="919"/>
      <c r="I152" s="920"/>
      <c r="J152" s="891">
        <f>SUM(J153:J154)</f>
        <v>0</v>
      </c>
      <c r="K152" s="891"/>
      <c r="L152" s="891">
        <f>SUM(L153:L154)</f>
        <v>1850503.1</v>
      </c>
      <c r="M152" s="891"/>
      <c r="N152" s="891">
        <f>SUM(N153:N154)</f>
        <v>0</v>
      </c>
      <c r="O152" s="892">
        <f t="shared" si="8"/>
        <v>1</v>
      </c>
      <c r="P152" s="903">
        <f t="shared" si="11"/>
        <v>0</v>
      </c>
      <c r="Q152" s="893">
        <f t="shared" si="9"/>
        <v>0</v>
      </c>
      <c r="R152" s="894">
        <f t="shared" si="10"/>
        <v>2</v>
      </c>
    </row>
    <row r="153" spans="1:18" s="904" customFormat="1">
      <c r="A153" s="895"/>
      <c r="B153" s="896"/>
      <c r="C153" s="897"/>
      <c r="D153" s="897"/>
      <c r="E153" s="898" t="s">
        <v>276</v>
      </c>
      <c r="F153" s="899"/>
      <c r="G153" s="900"/>
      <c r="H153" s="901"/>
      <c r="I153" s="902"/>
      <c r="J153" s="902"/>
      <c r="K153" s="912" t="s">
        <v>274</v>
      </c>
      <c r="L153" s="902"/>
      <c r="M153" s="902"/>
      <c r="N153" s="902"/>
      <c r="O153" s="892">
        <f t="shared" si="8"/>
        <v>0</v>
      </c>
      <c r="P153" s="903">
        <f t="shared" si="11"/>
        <v>1</v>
      </c>
      <c r="Q153" s="893">
        <f t="shared" si="9"/>
        <v>2</v>
      </c>
      <c r="R153" s="894">
        <f t="shared" si="10"/>
        <v>0</v>
      </c>
    </row>
    <row r="154" spans="1:18">
      <c r="A154" s="905"/>
      <c r="B154" s="906"/>
      <c r="C154" s="907">
        <v>730</v>
      </c>
      <c r="D154" s="907" t="s">
        <v>12</v>
      </c>
      <c r="E154" s="908" t="s">
        <v>3921</v>
      </c>
      <c r="F154" s="909" t="s">
        <v>2674</v>
      </c>
      <c r="G154" s="910"/>
      <c r="H154" s="911">
        <v>8.83</v>
      </c>
      <c r="I154" s="912"/>
      <c r="J154" s="912"/>
      <c r="K154" s="912">
        <f>VLOOKUP(E154,ĐMNC!$A$7:$F$67,3,0)</f>
        <v>209570</v>
      </c>
      <c r="L154" s="912">
        <f>H154*K154</f>
        <v>1850503.1</v>
      </c>
      <c r="M154" s="912"/>
      <c r="N154" s="912"/>
      <c r="O154" s="892">
        <f t="shared" si="8"/>
        <v>0</v>
      </c>
      <c r="P154" s="903">
        <f t="shared" si="11"/>
        <v>1</v>
      </c>
      <c r="Q154" s="893">
        <f t="shared" si="9"/>
        <v>1</v>
      </c>
      <c r="R154" s="894">
        <f t="shared" si="10"/>
        <v>0</v>
      </c>
    </row>
    <row r="155" spans="1:18" s="847" customFormat="1">
      <c r="A155" s="905" t="s">
        <v>3919</v>
      </c>
      <c r="B155" s="914" t="s">
        <v>502</v>
      </c>
      <c r="C155" s="915"/>
      <c r="D155" s="915"/>
      <c r="E155" s="916" t="s">
        <v>3965</v>
      </c>
      <c r="F155" s="917" t="s">
        <v>136</v>
      </c>
      <c r="G155" s="918"/>
      <c r="H155" s="919"/>
      <c r="I155" s="920"/>
      <c r="J155" s="891">
        <f>SUM(J156:J157)</f>
        <v>0</v>
      </c>
      <c r="K155" s="891"/>
      <c r="L155" s="891">
        <f>SUM(L156:L157)</f>
        <v>1833737.5</v>
      </c>
      <c r="M155" s="891"/>
      <c r="N155" s="891">
        <f>SUM(N156:N157)</f>
        <v>0</v>
      </c>
      <c r="O155" s="892">
        <f t="shared" si="8"/>
        <v>1</v>
      </c>
      <c r="P155" s="903">
        <f t="shared" si="11"/>
        <v>0</v>
      </c>
      <c r="Q155" s="893">
        <f t="shared" si="9"/>
        <v>0</v>
      </c>
      <c r="R155" s="894">
        <f t="shared" si="10"/>
        <v>2</v>
      </c>
    </row>
    <row r="156" spans="1:18" s="904" customFormat="1">
      <c r="A156" s="895"/>
      <c r="B156" s="896"/>
      <c r="C156" s="897"/>
      <c r="D156" s="897"/>
      <c r="E156" s="898" t="s">
        <v>276</v>
      </c>
      <c r="F156" s="899"/>
      <c r="G156" s="900"/>
      <c r="H156" s="901"/>
      <c r="I156" s="902"/>
      <c r="J156" s="902"/>
      <c r="K156" s="912" t="s">
        <v>274</v>
      </c>
      <c r="L156" s="902"/>
      <c r="M156" s="902"/>
      <c r="N156" s="902"/>
      <c r="O156" s="892">
        <f t="shared" si="8"/>
        <v>0</v>
      </c>
      <c r="P156" s="903">
        <f t="shared" si="11"/>
        <v>1</v>
      </c>
      <c r="Q156" s="893">
        <f t="shared" si="9"/>
        <v>2</v>
      </c>
      <c r="R156" s="894">
        <f t="shared" si="10"/>
        <v>0</v>
      </c>
    </row>
    <row r="157" spans="1:18">
      <c r="A157" s="905"/>
      <c r="B157" s="906"/>
      <c r="C157" s="907">
        <v>730</v>
      </c>
      <c r="D157" s="907" t="s">
        <v>12</v>
      </c>
      <c r="E157" s="908" t="s">
        <v>3921</v>
      </c>
      <c r="F157" s="909" t="s">
        <v>2674</v>
      </c>
      <c r="G157" s="910"/>
      <c r="H157" s="911">
        <v>8.75</v>
      </c>
      <c r="I157" s="912"/>
      <c r="J157" s="912"/>
      <c r="K157" s="912">
        <f>VLOOKUP(E157,ĐMNC!$A$7:$F$67,3,0)</f>
        <v>209570</v>
      </c>
      <c r="L157" s="912">
        <f>H157*K157</f>
        <v>1833737.5</v>
      </c>
      <c r="M157" s="912"/>
      <c r="N157" s="912"/>
      <c r="O157" s="892">
        <f t="shared" si="8"/>
        <v>0</v>
      </c>
      <c r="P157" s="903">
        <f t="shared" si="11"/>
        <v>1</v>
      </c>
      <c r="Q157" s="893">
        <f t="shared" si="9"/>
        <v>1</v>
      </c>
      <c r="R157" s="894">
        <f t="shared" si="10"/>
        <v>0</v>
      </c>
    </row>
    <row r="158" spans="1:18" s="847" customFormat="1">
      <c r="A158" s="905" t="s">
        <v>3919</v>
      </c>
      <c r="B158" s="914" t="s">
        <v>504</v>
      </c>
      <c r="C158" s="915"/>
      <c r="D158" s="915"/>
      <c r="E158" s="916" t="s">
        <v>3966</v>
      </c>
      <c r="F158" s="917" t="s">
        <v>136</v>
      </c>
      <c r="G158" s="918"/>
      <c r="H158" s="919"/>
      <c r="I158" s="920"/>
      <c r="J158" s="891">
        <f>SUM(J159:J160)</f>
        <v>0</v>
      </c>
      <c r="K158" s="891"/>
      <c r="L158" s="891">
        <f>SUM(L159:L160)</f>
        <v>113167.8</v>
      </c>
      <c r="M158" s="891"/>
      <c r="N158" s="891">
        <f>SUM(N159:N160)</f>
        <v>0</v>
      </c>
      <c r="O158" s="892">
        <f t="shared" si="8"/>
        <v>1</v>
      </c>
      <c r="P158" s="903">
        <f t="shared" si="11"/>
        <v>0</v>
      </c>
      <c r="Q158" s="893">
        <f t="shared" si="9"/>
        <v>0</v>
      </c>
      <c r="R158" s="894">
        <f t="shared" si="10"/>
        <v>2</v>
      </c>
    </row>
    <row r="159" spans="1:18" s="904" customFormat="1">
      <c r="A159" s="895"/>
      <c r="B159" s="896"/>
      <c r="C159" s="897"/>
      <c r="D159" s="897"/>
      <c r="E159" s="898" t="s">
        <v>276</v>
      </c>
      <c r="F159" s="899"/>
      <c r="G159" s="900"/>
      <c r="H159" s="901"/>
      <c r="I159" s="902"/>
      <c r="J159" s="902"/>
      <c r="K159" s="912" t="s">
        <v>274</v>
      </c>
      <c r="L159" s="902"/>
      <c r="M159" s="902"/>
      <c r="N159" s="902"/>
      <c r="O159" s="892">
        <f t="shared" si="8"/>
        <v>0</v>
      </c>
      <c r="P159" s="903">
        <f t="shared" si="11"/>
        <v>1</v>
      </c>
      <c r="Q159" s="893">
        <f t="shared" si="9"/>
        <v>2</v>
      </c>
      <c r="R159" s="894">
        <f t="shared" si="10"/>
        <v>0</v>
      </c>
    </row>
    <row r="160" spans="1:18">
      <c r="A160" s="905"/>
      <c r="B160" s="906"/>
      <c r="C160" s="907">
        <v>730</v>
      </c>
      <c r="D160" s="907" t="s">
        <v>12</v>
      </c>
      <c r="E160" s="908" t="s">
        <v>3921</v>
      </c>
      <c r="F160" s="909" t="s">
        <v>2674</v>
      </c>
      <c r="G160" s="910"/>
      <c r="H160" s="911">
        <v>0.54</v>
      </c>
      <c r="I160" s="912"/>
      <c r="J160" s="912"/>
      <c r="K160" s="912">
        <f>VLOOKUP(E160,ĐMNC!$A$7:$F$67,3,0)</f>
        <v>209570</v>
      </c>
      <c r="L160" s="912">
        <f>H160*K160</f>
        <v>113167.8</v>
      </c>
      <c r="M160" s="912"/>
      <c r="N160" s="912"/>
      <c r="O160" s="892">
        <f t="shared" si="8"/>
        <v>0</v>
      </c>
      <c r="P160" s="903">
        <f t="shared" si="11"/>
        <v>1</v>
      </c>
      <c r="Q160" s="893">
        <f t="shared" si="9"/>
        <v>1</v>
      </c>
      <c r="R160" s="894">
        <f t="shared" si="10"/>
        <v>0</v>
      </c>
    </row>
    <row r="161" spans="1:18" s="847" customFormat="1">
      <c r="A161" s="905" t="s">
        <v>3919</v>
      </c>
      <c r="B161" s="914" t="s">
        <v>506</v>
      </c>
      <c r="C161" s="915"/>
      <c r="D161" s="915"/>
      <c r="E161" s="916" t="s">
        <v>3967</v>
      </c>
      <c r="F161" s="917" t="s">
        <v>136</v>
      </c>
      <c r="G161" s="918"/>
      <c r="H161" s="919"/>
      <c r="I161" s="920"/>
      <c r="J161" s="891">
        <f>SUM(J162:J163)</f>
        <v>0</v>
      </c>
      <c r="K161" s="891"/>
      <c r="L161" s="891">
        <f>SUM(L162:L163)</f>
        <v>892768.2</v>
      </c>
      <c r="M161" s="891"/>
      <c r="N161" s="891">
        <f>SUM(N162:N163)</f>
        <v>0</v>
      </c>
      <c r="O161" s="892">
        <f t="shared" si="8"/>
        <v>1</v>
      </c>
      <c r="P161" s="903">
        <f t="shared" si="11"/>
        <v>0</v>
      </c>
      <c r="Q161" s="893">
        <f t="shared" si="9"/>
        <v>0</v>
      </c>
      <c r="R161" s="894">
        <f t="shared" si="10"/>
        <v>2</v>
      </c>
    </row>
    <row r="162" spans="1:18" s="904" customFormat="1">
      <c r="A162" s="895"/>
      <c r="B162" s="896"/>
      <c r="C162" s="897"/>
      <c r="D162" s="897"/>
      <c r="E162" s="898" t="s">
        <v>276</v>
      </c>
      <c r="F162" s="899"/>
      <c r="G162" s="900"/>
      <c r="H162" s="901"/>
      <c r="I162" s="902"/>
      <c r="J162" s="902"/>
      <c r="K162" s="912" t="s">
        <v>274</v>
      </c>
      <c r="L162" s="902"/>
      <c r="M162" s="902"/>
      <c r="N162" s="902"/>
      <c r="O162" s="892">
        <f t="shared" si="8"/>
        <v>0</v>
      </c>
      <c r="P162" s="903">
        <f t="shared" si="11"/>
        <v>1</v>
      </c>
      <c r="Q162" s="893">
        <f t="shared" si="9"/>
        <v>2</v>
      </c>
      <c r="R162" s="894">
        <f t="shared" si="10"/>
        <v>0</v>
      </c>
    </row>
    <row r="163" spans="1:18">
      <c r="A163" s="905"/>
      <c r="B163" s="906"/>
      <c r="C163" s="907">
        <v>730</v>
      </c>
      <c r="D163" s="907" t="s">
        <v>12</v>
      </c>
      <c r="E163" s="908" t="s">
        <v>3921</v>
      </c>
      <c r="F163" s="909" t="s">
        <v>2674</v>
      </c>
      <c r="G163" s="910"/>
      <c r="H163" s="911">
        <v>4.26</v>
      </c>
      <c r="I163" s="912"/>
      <c r="J163" s="912"/>
      <c r="K163" s="912">
        <f>VLOOKUP(E163,ĐMNC!$A$7:$F$67,3,0)</f>
        <v>209570</v>
      </c>
      <c r="L163" s="912">
        <f>H163*K163</f>
        <v>892768.2</v>
      </c>
      <c r="M163" s="912"/>
      <c r="N163" s="912"/>
      <c r="O163" s="892">
        <f t="shared" si="8"/>
        <v>0</v>
      </c>
      <c r="P163" s="903">
        <f t="shared" si="11"/>
        <v>1</v>
      </c>
      <c r="Q163" s="893">
        <f t="shared" si="9"/>
        <v>1</v>
      </c>
      <c r="R163" s="894">
        <f t="shared" si="10"/>
        <v>0</v>
      </c>
    </row>
    <row r="164" spans="1:18" s="847" customFormat="1">
      <c r="A164" s="905" t="s">
        <v>3919</v>
      </c>
      <c r="B164" s="914" t="s">
        <v>508</v>
      </c>
      <c r="C164" s="915"/>
      <c r="D164" s="915"/>
      <c r="E164" s="916" t="s">
        <v>3968</v>
      </c>
      <c r="F164" s="917" t="s">
        <v>136</v>
      </c>
      <c r="G164" s="918"/>
      <c r="H164" s="919"/>
      <c r="I164" s="920"/>
      <c r="J164" s="891">
        <f>SUM(J165:J166)</f>
        <v>0</v>
      </c>
      <c r="K164" s="891"/>
      <c r="L164" s="891">
        <f>SUM(L165:L166)</f>
        <v>808940.2</v>
      </c>
      <c r="M164" s="891"/>
      <c r="N164" s="891">
        <f>SUM(N165:N166)</f>
        <v>0</v>
      </c>
      <c r="O164" s="892">
        <f t="shared" si="8"/>
        <v>1</v>
      </c>
      <c r="P164" s="903">
        <f t="shared" si="11"/>
        <v>0</v>
      </c>
      <c r="Q164" s="893">
        <f t="shared" si="9"/>
        <v>0</v>
      </c>
      <c r="R164" s="894">
        <f t="shared" si="10"/>
        <v>2</v>
      </c>
    </row>
    <row r="165" spans="1:18" s="904" customFormat="1">
      <c r="A165" s="895"/>
      <c r="B165" s="896"/>
      <c r="C165" s="897"/>
      <c r="D165" s="897"/>
      <c r="E165" s="898" t="s">
        <v>276</v>
      </c>
      <c r="F165" s="899"/>
      <c r="G165" s="900"/>
      <c r="H165" s="901"/>
      <c r="I165" s="902"/>
      <c r="J165" s="902"/>
      <c r="K165" s="912" t="s">
        <v>274</v>
      </c>
      <c r="L165" s="902"/>
      <c r="M165" s="902"/>
      <c r="N165" s="902"/>
      <c r="O165" s="892">
        <f t="shared" si="8"/>
        <v>0</v>
      </c>
      <c r="P165" s="903">
        <f t="shared" si="11"/>
        <v>1</v>
      </c>
      <c r="Q165" s="893">
        <f t="shared" si="9"/>
        <v>2</v>
      </c>
      <c r="R165" s="894">
        <f t="shared" si="10"/>
        <v>0</v>
      </c>
    </row>
    <row r="166" spans="1:18">
      <c r="A166" s="905"/>
      <c r="B166" s="906"/>
      <c r="C166" s="907">
        <v>730</v>
      </c>
      <c r="D166" s="907" t="s">
        <v>12</v>
      </c>
      <c r="E166" s="908" t="s">
        <v>3921</v>
      </c>
      <c r="F166" s="909" t="s">
        <v>2674</v>
      </c>
      <c r="G166" s="910"/>
      <c r="H166" s="911">
        <v>3.86</v>
      </c>
      <c r="I166" s="912"/>
      <c r="J166" s="912"/>
      <c r="K166" s="912">
        <f>VLOOKUP(E166,ĐMNC!$A$7:$F$67,3,0)</f>
        <v>209570</v>
      </c>
      <c r="L166" s="912">
        <f>H166*K166</f>
        <v>808940.2</v>
      </c>
      <c r="M166" s="912"/>
      <c r="N166" s="912"/>
      <c r="O166" s="892">
        <f t="shared" si="8"/>
        <v>0</v>
      </c>
      <c r="P166" s="903">
        <f t="shared" si="11"/>
        <v>1</v>
      </c>
      <c r="Q166" s="893">
        <f t="shared" si="9"/>
        <v>1</v>
      </c>
      <c r="R166" s="894">
        <f t="shared" si="10"/>
        <v>0</v>
      </c>
    </row>
    <row r="167" spans="1:18" s="847" customFormat="1">
      <c r="A167" s="905" t="s">
        <v>3919</v>
      </c>
      <c r="B167" s="914" t="s">
        <v>510</v>
      </c>
      <c r="C167" s="915"/>
      <c r="D167" s="915"/>
      <c r="E167" s="916" t="s">
        <v>3969</v>
      </c>
      <c r="F167" s="917" t="s">
        <v>136</v>
      </c>
      <c r="G167" s="918"/>
      <c r="H167" s="919"/>
      <c r="I167" s="920"/>
      <c r="J167" s="891">
        <f>SUM(J168:J169)</f>
        <v>0</v>
      </c>
      <c r="K167" s="891"/>
      <c r="L167" s="891">
        <f>SUM(L168:L169)</f>
        <v>792174.6</v>
      </c>
      <c r="M167" s="891"/>
      <c r="N167" s="891">
        <f>SUM(N168:N169)</f>
        <v>0</v>
      </c>
      <c r="O167" s="892">
        <f t="shared" si="8"/>
        <v>1</v>
      </c>
      <c r="P167" s="903">
        <f t="shared" si="11"/>
        <v>0</v>
      </c>
      <c r="Q167" s="893">
        <f t="shared" si="9"/>
        <v>0</v>
      </c>
      <c r="R167" s="894">
        <f t="shared" si="10"/>
        <v>2</v>
      </c>
    </row>
    <row r="168" spans="1:18" s="904" customFormat="1">
      <c r="A168" s="895"/>
      <c r="B168" s="896"/>
      <c r="C168" s="897"/>
      <c r="D168" s="897"/>
      <c r="E168" s="898" t="s">
        <v>276</v>
      </c>
      <c r="F168" s="899"/>
      <c r="G168" s="900"/>
      <c r="H168" s="901"/>
      <c r="I168" s="902"/>
      <c r="J168" s="902"/>
      <c r="K168" s="912" t="s">
        <v>274</v>
      </c>
      <c r="L168" s="902"/>
      <c r="M168" s="902"/>
      <c r="N168" s="902"/>
      <c r="O168" s="892">
        <f t="shared" si="8"/>
        <v>0</v>
      </c>
      <c r="P168" s="903">
        <f t="shared" si="11"/>
        <v>1</v>
      </c>
      <c r="Q168" s="893">
        <f t="shared" si="9"/>
        <v>2</v>
      </c>
      <c r="R168" s="894">
        <f t="shared" si="10"/>
        <v>0</v>
      </c>
    </row>
    <row r="169" spans="1:18">
      <c r="A169" s="905"/>
      <c r="B169" s="906"/>
      <c r="C169" s="907">
        <v>730</v>
      </c>
      <c r="D169" s="907" t="s">
        <v>12</v>
      </c>
      <c r="E169" s="908" t="s">
        <v>3921</v>
      </c>
      <c r="F169" s="909" t="s">
        <v>2674</v>
      </c>
      <c r="G169" s="910"/>
      <c r="H169" s="911">
        <v>3.78</v>
      </c>
      <c r="I169" s="912"/>
      <c r="J169" s="912"/>
      <c r="K169" s="912">
        <f>VLOOKUP(E169,ĐMNC!$A$7:$F$67,3,0)</f>
        <v>209570</v>
      </c>
      <c r="L169" s="912">
        <f>H169*K169</f>
        <v>792174.6</v>
      </c>
      <c r="M169" s="912"/>
      <c r="N169" s="912"/>
      <c r="O169" s="892">
        <f t="shared" si="8"/>
        <v>0</v>
      </c>
      <c r="P169" s="903">
        <f t="shared" si="11"/>
        <v>1</v>
      </c>
      <c r="Q169" s="893">
        <f t="shared" si="9"/>
        <v>1</v>
      </c>
      <c r="R169" s="894">
        <f t="shared" si="10"/>
        <v>0</v>
      </c>
    </row>
    <row r="170" spans="1:18" s="847" customFormat="1">
      <c r="A170" s="905" t="s">
        <v>3919</v>
      </c>
      <c r="B170" s="914" t="s">
        <v>512</v>
      </c>
      <c r="C170" s="915"/>
      <c r="D170" s="915"/>
      <c r="E170" s="916" t="s">
        <v>3970</v>
      </c>
      <c r="F170" s="917" t="s">
        <v>136</v>
      </c>
      <c r="G170" s="918"/>
      <c r="H170" s="919"/>
      <c r="I170" s="920"/>
      <c r="J170" s="891">
        <f>SUM(J171:J172)</f>
        <v>0</v>
      </c>
      <c r="K170" s="891"/>
      <c r="L170" s="891">
        <f>SUM(L171:L172)</f>
        <v>781696.1</v>
      </c>
      <c r="M170" s="891"/>
      <c r="N170" s="891">
        <f>SUM(N171:N172)</f>
        <v>0</v>
      </c>
      <c r="O170" s="892">
        <f t="shared" si="8"/>
        <v>1</v>
      </c>
      <c r="P170" s="903">
        <f t="shared" si="11"/>
        <v>0</v>
      </c>
      <c r="Q170" s="893">
        <f t="shared" si="9"/>
        <v>0</v>
      </c>
      <c r="R170" s="894">
        <f t="shared" si="10"/>
        <v>2</v>
      </c>
    </row>
    <row r="171" spans="1:18" s="904" customFormat="1">
      <c r="A171" s="895"/>
      <c r="B171" s="896"/>
      <c r="C171" s="897"/>
      <c r="D171" s="897"/>
      <c r="E171" s="898" t="s">
        <v>276</v>
      </c>
      <c r="F171" s="899"/>
      <c r="G171" s="900"/>
      <c r="H171" s="901"/>
      <c r="I171" s="902"/>
      <c r="J171" s="902"/>
      <c r="K171" s="912" t="s">
        <v>274</v>
      </c>
      <c r="L171" s="902"/>
      <c r="M171" s="902"/>
      <c r="N171" s="902"/>
      <c r="O171" s="892">
        <f t="shared" si="8"/>
        <v>0</v>
      </c>
      <c r="P171" s="903">
        <f t="shared" si="11"/>
        <v>1</v>
      </c>
      <c r="Q171" s="893">
        <f t="shared" si="9"/>
        <v>2</v>
      </c>
      <c r="R171" s="894">
        <f t="shared" si="10"/>
        <v>0</v>
      </c>
    </row>
    <row r="172" spans="1:18">
      <c r="A172" s="905"/>
      <c r="B172" s="906"/>
      <c r="C172" s="907">
        <v>730</v>
      </c>
      <c r="D172" s="907" t="s">
        <v>12</v>
      </c>
      <c r="E172" s="908" t="s">
        <v>3921</v>
      </c>
      <c r="F172" s="909" t="s">
        <v>2674</v>
      </c>
      <c r="G172" s="910"/>
      <c r="H172" s="911">
        <v>3.73</v>
      </c>
      <c r="I172" s="912"/>
      <c r="J172" s="912"/>
      <c r="K172" s="912">
        <f>VLOOKUP(E172,ĐMNC!$A$7:$F$67,3,0)</f>
        <v>209570</v>
      </c>
      <c r="L172" s="912">
        <f>H172*K172</f>
        <v>781696.1</v>
      </c>
      <c r="M172" s="912"/>
      <c r="N172" s="912"/>
      <c r="O172" s="892">
        <f t="shared" si="8"/>
        <v>0</v>
      </c>
      <c r="P172" s="903">
        <f t="shared" si="11"/>
        <v>1</v>
      </c>
      <c r="Q172" s="893">
        <f>IF(P172=0,0,P172+Q174)</f>
        <v>1</v>
      </c>
      <c r="R172" s="894">
        <f>IF(Q172=0,Q174,0)</f>
        <v>0</v>
      </c>
    </row>
    <row r="173" spans="1:18">
      <c r="A173" s="905"/>
      <c r="B173" s="906"/>
      <c r="C173" s="907"/>
      <c r="D173" s="907"/>
      <c r="E173" s="921" t="s">
        <v>3971</v>
      </c>
      <c r="F173" s="909"/>
      <c r="G173" s="910"/>
      <c r="H173" s="911"/>
      <c r="I173" s="912"/>
      <c r="J173" s="912"/>
      <c r="K173" s="912"/>
      <c r="L173" s="912"/>
      <c r="M173" s="912"/>
      <c r="N173" s="912"/>
      <c r="O173" s="892"/>
      <c r="P173" s="903"/>
      <c r="Q173" s="893"/>
      <c r="R173" s="894"/>
    </row>
    <row r="174" spans="1:18" s="847" customFormat="1" ht="31.5">
      <c r="A174" s="905" t="s">
        <v>3972</v>
      </c>
      <c r="B174" s="914" t="s">
        <v>521</v>
      </c>
      <c r="C174" s="915"/>
      <c r="D174" s="915"/>
      <c r="E174" s="916" t="s">
        <v>3973</v>
      </c>
      <c r="F174" s="917" t="s">
        <v>527</v>
      </c>
      <c r="G174" s="918"/>
      <c r="H174" s="919"/>
      <c r="I174" s="920"/>
      <c r="J174" s="891">
        <f>SUM(J175:J178)</f>
        <v>0</v>
      </c>
      <c r="K174" s="891"/>
      <c r="L174" s="891">
        <f>SUM(L175:L178)</f>
        <v>387704.5</v>
      </c>
      <c r="M174" s="891"/>
      <c r="N174" s="891">
        <f>SUM(N175:N178)</f>
        <v>0</v>
      </c>
      <c r="O174" s="892">
        <f t="shared" si="8"/>
        <v>1</v>
      </c>
      <c r="P174" s="903">
        <f t="shared" si="11"/>
        <v>0</v>
      </c>
      <c r="Q174" s="893">
        <f t="shared" si="9"/>
        <v>0</v>
      </c>
      <c r="R174" s="894">
        <f t="shared" si="10"/>
        <v>4</v>
      </c>
    </row>
    <row r="175" spans="1:18" s="904" customFormat="1">
      <c r="A175" s="895"/>
      <c r="B175" s="896"/>
      <c r="C175" s="897"/>
      <c r="D175" s="897"/>
      <c r="E175" s="898" t="s">
        <v>276</v>
      </c>
      <c r="F175" s="899"/>
      <c r="G175" s="900"/>
      <c r="H175" s="901"/>
      <c r="I175" s="902"/>
      <c r="J175" s="902"/>
      <c r="K175" s="912" t="s">
        <v>274</v>
      </c>
      <c r="L175" s="902"/>
      <c r="M175" s="902"/>
      <c r="N175" s="902"/>
      <c r="O175" s="892">
        <f t="shared" si="8"/>
        <v>0</v>
      </c>
      <c r="P175" s="903">
        <f t="shared" si="11"/>
        <v>1</v>
      </c>
      <c r="Q175" s="893">
        <f t="shared" si="9"/>
        <v>4</v>
      </c>
      <c r="R175" s="894">
        <f t="shared" si="10"/>
        <v>0</v>
      </c>
    </row>
    <row r="176" spans="1:18">
      <c r="A176" s="905"/>
      <c r="B176" s="906"/>
      <c r="C176" s="907">
        <v>730</v>
      </c>
      <c r="D176" s="907" t="s">
        <v>12</v>
      </c>
      <c r="E176" s="908" t="s">
        <v>3921</v>
      </c>
      <c r="F176" s="909" t="s">
        <v>2674</v>
      </c>
      <c r="G176" s="910"/>
      <c r="H176" s="911">
        <v>1.85</v>
      </c>
      <c r="I176" s="912"/>
      <c r="J176" s="912"/>
      <c r="K176" s="912">
        <f>VLOOKUP(E176,ĐMNC!$A$7:$F$67,3,0)</f>
        <v>209570</v>
      </c>
      <c r="L176" s="912">
        <f>H176*K176</f>
        <v>387704.5</v>
      </c>
      <c r="M176" s="912"/>
      <c r="N176" s="912"/>
      <c r="O176" s="892">
        <f t="shared" si="8"/>
        <v>0</v>
      </c>
      <c r="P176" s="903">
        <f t="shared" si="11"/>
        <v>1</v>
      </c>
      <c r="Q176" s="893">
        <f t="shared" si="9"/>
        <v>3</v>
      </c>
      <c r="R176" s="894">
        <f t="shared" si="10"/>
        <v>0</v>
      </c>
    </row>
    <row r="177" spans="1:18" s="904" customFormat="1">
      <c r="A177" s="895"/>
      <c r="B177" s="896"/>
      <c r="C177" s="897"/>
      <c r="D177" s="897"/>
      <c r="E177" s="898" t="s">
        <v>3914</v>
      </c>
      <c r="F177" s="899"/>
      <c r="G177" s="900"/>
      <c r="H177" s="901"/>
      <c r="I177" s="902"/>
      <c r="J177" s="902"/>
      <c r="K177" s="912" t="s">
        <v>274</v>
      </c>
      <c r="L177" s="902"/>
      <c r="M177" s="902"/>
      <c r="N177" s="902"/>
      <c r="O177" s="892">
        <f t="shared" si="8"/>
        <v>0</v>
      </c>
      <c r="P177" s="903">
        <f t="shared" si="11"/>
        <v>1</v>
      </c>
      <c r="Q177" s="893">
        <f t="shared" si="9"/>
        <v>2</v>
      </c>
      <c r="R177" s="894">
        <f t="shared" si="10"/>
        <v>0</v>
      </c>
    </row>
    <row r="178" spans="1:18">
      <c r="A178" s="905"/>
      <c r="B178" s="914" t="s">
        <v>3974</v>
      </c>
      <c r="C178" s="907">
        <v>817</v>
      </c>
      <c r="D178" s="907" t="s">
        <v>93</v>
      </c>
      <c r="E178" s="908" t="s">
        <v>3975</v>
      </c>
      <c r="F178" s="909" t="s">
        <v>2673</v>
      </c>
      <c r="G178" s="910"/>
      <c r="H178" s="911">
        <v>0.18</v>
      </c>
      <c r="I178" s="912"/>
      <c r="J178" s="912"/>
      <c r="K178" s="912"/>
      <c r="L178" s="912"/>
      <c r="M178" s="912">
        <f>VLOOKUP(B178,MTC!$B$9:$S$933,12,0)</f>
        <v>0</v>
      </c>
      <c r="N178" s="912">
        <f>M178*H178</f>
        <v>0</v>
      </c>
      <c r="O178" s="892">
        <f t="shared" si="8"/>
        <v>0</v>
      </c>
      <c r="P178" s="903">
        <f t="shared" si="11"/>
        <v>1</v>
      </c>
      <c r="Q178" s="893">
        <f t="shared" si="9"/>
        <v>1</v>
      </c>
      <c r="R178" s="894">
        <f t="shared" si="10"/>
        <v>0</v>
      </c>
    </row>
    <row r="179" spans="1:18" s="847" customFormat="1" ht="31.5">
      <c r="A179" s="905"/>
      <c r="B179" s="914" t="s">
        <v>523</v>
      </c>
      <c r="C179" s="915"/>
      <c r="D179" s="915"/>
      <c r="E179" s="916" t="s">
        <v>3976</v>
      </c>
      <c r="F179" s="917" t="s">
        <v>518</v>
      </c>
      <c r="G179" s="918"/>
      <c r="H179" s="919"/>
      <c r="I179" s="920"/>
      <c r="J179" s="891">
        <f>SUM(J180:J183)</f>
        <v>0</v>
      </c>
      <c r="K179" s="891"/>
      <c r="L179" s="891">
        <f>SUM(L180:L183)</f>
        <v>379321.7</v>
      </c>
      <c r="M179" s="891"/>
      <c r="N179" s="891">
        <f>SUM(N180:N183)</f>
        <v>0</v>
      </c>
      <c r="O179" s="892">
        <f t="shared" si="8"/>
        <v>1</v>
      </c>
      <c r="P179" s="903">
        <f t="shared" si="11"/>
        <v>0</v>
      </c>
      <c r="Q179" s="893">
        <f t="shared" si="9"/>
        <v>0</v>
      </c>
      <c r="R179" s="894">
        <f t="shared" si="10"/>
        <v>4</v>
      </c>
    </row>
    <row r="180" spans="1:18" s="904" customFormat="1">
      <c r="A180" s="895"/>
      <c r="B180" s="896"/>
      <c r="C180" s="897"/>
      <c r="D180" s="897"/>
      <c r="E180" s="898" t="s">
        <v>276</v>
      </c>
      <c r="F180" s="899"/>
      <c r="G180" s="900"/>
      <c r="H180" s="901"/>
      <c r="I180" s="902"/>
      <c r="J180" s="902"/>
      <c r="K180" s="912" t="s">
        <v>274</v>
      </c>
      <c r="L180" s="902"/>
      <c r="M180" s="902"/>
      <c r="N180" s="902"/>
      <c r="O180" s="892">
        <f t="shared" si="8"/>
        <v>0</v>
      </c>
      <c r="P180" s="903">
        <f t="shared" si="11"/>
        <v>1</v>
      </c>
      <c r="Q180" s="893">
        <f t="shared" si="9"/>
        <v>4</v>
      </c>
      <c r="R180" s="894">
        <f t="shared" si="10"/>
        <v>0</v>
      </c>
    </row>
    <row r="181" spans="1:18">
      <c r="A181" s="905"/>
      <c r="B181" s="906"/>
      <c r="C181" s="907">
        <v>730</v>
      </c>
      <c r="D181" s="907" t="s">
        <v>12</v>
      </c>
      <c r="E181" s="908" t="s">
        <v>3921</v>
      </c>
      <c r="F181" s="909" t="s">
        <v>2674</v>
      </c>
      <c r="G181" s="910"/>
      <c r="H181" s="911">
        <v>1.81</v>
      </c>
      <c r="I181" s="912"/>
      <c r="J181" s="912"/>
      <c r="K181" s="912">
        <f>VLOOKUP(E181,ĐMNC!$A$7:$F$67,3,0)</f>
        <v>209570</v>
      </c>
      <c r="L181" s="912">
        <f>H181*K181</f>
        <v>379321.7</v>
      </c>
      <c r="M181" s="912"/>
      <c r="N181" s="912"/>
      <c r="O181" s="892">
        <f t="shared" si="8"/>
        <v>0</v>
      </c>
      <c r="P181" s="903">
        <f t="shared" si="11"/>
        <v>1</v>
      </c>
      <c r="Q181" s="893">
        <f t="shared" si="9"/>
        <v>3</v>
      </c>
      <c r="R181" s="894">
        <f t="shared" si="10"/>
        <v>0</v>
      </c>
    </row>
    <row r="182" spans="1:18" s="904" customFormat="1">
      <c r="A182" s="895"/>
      <c r="B182" s="896"/>
      <c r="C182" s="897"/>
      <c r="D182" s="897"/>
      <c r="E182" s="898" t="s">
        <v>3914</v>
      </c>
      <c r="F182" s="899"/>
      <c r="G182" s="900"/>
      <c r="H182" s="901"/>
      <c r="I182" s="902"/>
      <c r="J182" s="902"/>
      <c r="K182" s="912" t="s">
        <v>274</v>
      </c>
      <c r="L182" s="902"/>
      <c r="M182" s="902"/>
      <c r="N182" s="902"/>
      <c r="O182" s="892">
        <f t="shared" si="8"/>
        <v>0</v>
      </c>
      <c r="P182" s="903">
        <f t="shared" si="11"/>
        <v>1</v>
      </c>
      <c r="Q182" s="893">
        <f t="shared" si="9"/>
        <v>2</v>
      </c>
      <c r="R182" s="894">
        <f t="shared" si="10"/>
        <v>0</v>
      </c>
    </row>
    <row r="183" spans="1:18">
      <c r="A183" s="905"/>
      <c r="B183" s="914" t="s">
        <v>3974</v>
      </c>
      <c r="C183" s="907">
        <v>817</v>
      </c>
      <c r="D183" s="907" t="s">
        <v>93</v>
      </c>
      <c r="E183" s="908" t="s">
        <v>3975</v>
      </c>
      <c r="F183" s="909" t="s">
        <v>2673</v>
      </c>
      <c r="G183" s="910"/>
      <c r="H183" s="911">
        <v>0.11</v>
      </c>
      <c r="I183" s="912"/>
      <c r="J183" s="912"/>
      <c r="K183" s="912"/>
      <c r="L183" s="912"/>
      <c r="M183" s="912">
        <f>VLOOKUP(B183,MTC!$B$9:$S$933,12,0)</f>
        <v>0</v>
      </c>
      <c r="N183" s="912">
        <f>M183*H183</f>
        <v>0</v>
      </c>
      <c r="O183" s="892">
        <f t="shared" si="8"/>
        <v>0</v>
      </c>
      <c r="P183" s="903">
        <f t="shared" si="11"/>
        <v>1</v>
      </c>
      <c r="Q183" s="893">
        <f t="shared" si="9"/>
        <v>1</v>
      </c>
      <c r="R183" s="894">
        <f t="shared" si="10"/>
        <v>0</v>
      </c>
    </row>
    <row r="184" spans="1:18" s="847" customFormat="1">
      <c r="A184" s="905"/>
      <c r="B184" s="914" t="s">
        <v>525</v>
      </c>
      <c r="C184" s="915"/>
      <c r="D184" s="915"/>
      <c r="E184" s="916" t="s">
        <v>3977</v>
      </c>
      <c r="F184" s="917" t="s">
        <v>518</v>
      </c>
      <c r="G184" s="918"/>
      <c r="H184" s="919"/>
      <c r="I184" s="920"/>
      <c r="J184" s="891">
        <f>SUM(J185:J188)</f>
        <v>0</v>
      </c>
      <c r="K184" s="891"/>
      <c r="L184" s="891">
        <f>SUM(L185:L188)</f>
        <v>425427.1</v>
      </c>
      <c r="M184" s="891"/>
      <c r="N184" s="891">
        <f>SUM(N185:N188)</f>
        <v>0</v>
      </c>
      <c r="O184" s="892">
        <f t="shared" si="8"/>
        <v>1</v>
      </c>
      <c r="P184" s="903">
        <f t="shared" si="11"/>
        <v>0</v>
      </c>
      <c r="Q184" s="893">
        <f t="shared" si="9"/>
        <v>0</v>
      </c>
      <c r="R184" s="894">
        <f t="shared" si="10"/>
        <v>4</v>
      </c>
    </row>
    <row r="185" spans="1:18" s="904" customFormat="1">
      <c r="A185" s="895"/>
      <c r="B185" s="896"/>
      <c r="C185" s="897"/>
      <c r="D185" s="897"/>
      <c r="E185" s="898" t="s">
        <v>276</v>
      </c>
      <c r="F185" s="899"/>
      <c r="G185" s="900"/>
      <c r="H185" s="901"/>
      <c r="I185" s="902"/>
      <c r="J185" s="902"/>
      <c r="K185" s="912" t="s">
        <v>274</v>
      </c>
      <c r="L185" s="902"/>
      <c r="M185" s="902"/>
      <c r="N185" s="902"/>
      <c r="O185" s="892">
        <f t="shared" si="8"/>
        <v>0</v>
      </c>
      <c r="P185" s="903">
        <f t="shared" si="11"/>
        <v>1</v>
      </c>
      <c r="Q185" s="893">
        <f t="shared" si="9"/>
        <v>4</v>
      </c>
      <c r="R185" s="894">
        <f t="shared" si="10"/>
        <v>0</v>
      </c>
    </row>
    <row r="186" spans="1:18">
      <c r="A186" s="905"/>
      <c r="B186" s="906"/>
      <c r="C186" s="907">
        <v>730</v>
      </c>
      <c r="D186" s="907" t="s">
        <v>12</v>
      </c>
      <c r="E186" s="908" t="s">
        <v>3921</v>
      </c>
      <c r="F186" s="909" t="s">
        <v>2674</v>
      </c>
      <c r="G186" s="910"/>
      <c r="H186" s="911">
        <v>2.0299999999999998</v>
      </c>
      <c r="I186" s="912"/>
      <c r="J186" s="912"/>
      <c r="K186" s="912">
        <f>VLOOKUP(E186,ĐMNC!$A$7:$F$67,3,0)</f>
        <v>209570</v>
      </c>
      <c r="L186" s="912">
        <f>H186*K186</f>
        <v>425427.1</v>
      </c>
      <c r="M186" s="912"/>
      <c r="N186" s="912"/>
      <c r="O186" s="892">
        <f t="shared" si="8"/>
        <v>0</v>
      </c>
      <c r="P186" s="903">
        <f t="shared" si="11"/>
        <v>1</v>
      </c>
      <c r="Q186" s="893">
        <f t="shared" si="9"/>
        <v>3</v>
      </c>
      <c r="R186" s="894">
        <f t="shared" si="10"/>
        <v>0</v>
      </c>
    </row>
    <row r="187" spans="1:18" s="904" customFormat="1">
      <c r="A187" s="895"/>
      <c r="B187" s="896"/>
      <c r="C187" s="897"/>
      <c r="D187" s="897"/>
      <c r="E187" s="898" t="s">
        <v>3914</v>
      </c>
      <c r="F187" s="899"/>
      <c r="G187" s="900"/>
      <c r="H187" s="901"/>
      <c r="I187" s="902"/>
      <c r="J187" s="902"/>
      <c r="K187" s="912" t="s">
        <v>274</v>
      </c>
      <c r="L187" s="902"/>
      <c r="M187" s="902"/>
      <c r="N187" s="902"/>
      <c r="O187" s="892">
        <f t="shared" si="8"/>
        <v>0</v>
      </c>
      <c r="P187" s="903">
        <f t="shared" si="11"/>
        <v>1</v>
      </c>
      <c r="Q187" s="893">
        <f t="shared" si="9"/>
        <v>2</v>
      </c>
      <c r="R187" s="894">
        <f t="shared" si="10"/>
        <v>0</v>
      </c>
    </row>
    <row r="188" spans="1:18">
      <c r="A188" s="905"/>
      <c r="B188" s="914" t="s">
        <v>3974</v>
      </c>
      <c r="C188" s="907">
        <v>817</v>
      </c>
      <c r="D188" s="907" t="s">
        <v>93</v>
      </c>
      <c r="E188" s="908" t="s">
        <v>3975</v>
      </c>
      <c r="F188" s="909" t="s">
        <v>2673</v>
      </c>
      <c r="G188" s="910"/>
      <c r="H188" s="911">
        <v>0.18</v>
      </c>
      <c r="I188" s="912"/>
      <c r="J188" s="912"/>
      <c r="K188" s="912"/>
      <c r="L188" s="912"/>
      <c r="M188" s="912">
        <f>VLOOKUP(B188,MTC!$B$9:$S$933,12,0)</f>
        <v>0</v>
      </c>
      <c r="N188" s="912">
        <f>M188*H188</f>
        <v>0</v>
      </c>
      <c r="O188" s="892">
        <f t="shared" si="8"/>
        <v>0</v>
      </c>
      <c r="P188" s="903">
        <f t="shared" si="11"/>
        <v>1</v>
      </c>
      <c r="Q188" s="893">
        <f t="shared" si="9"/>
        <v>1</v>
      </c>
      <c r="R188" s="894">
        <f t="shared" si="10"/>
        <v>0</v>
      </c>
    </row>
    <row r="189" spans="1:18" s="847" customFormat="1">
      <c r="A189" s="905"/>
      <c r="B189" s="914" t="s">
        <v>528</v>
      </c>
      <c r="C189" s="915"/>
      <c r="D189" s="915"/>
      <c r="E189" s="916" t="s">
        <v>3978</v>
      </c>
      <c r="F189" s="917" t="s">
        <v>518</v>
      </c>
      <c r="G189" s="918"/>
      <c r="H189" s="919"/>
      <c r="I189" s="920"/>
      <c r="J189" s="891">
        <f>SUM(J190:J193)</f>
        <v>0</v>
      </c>
      <c r="K189" s="891"/>
      <c r="L189" s="891">
        <f>SUM(L190:L193)</f>
        <v>417044.3</v>
      </c>
      <c r="M189" s="891"/>
      <c r="N189" s="891">
        <f>SUM(N190:N193)</f>
        <v>0</v>
      </c>
      <c r="O189" s="892">
        <f t="shared" si="8"/>
        <v>1</v>
      </c>
      <c r="P189" s="903">
        <f t="shared" si="11"/>
        <v>0</v>
      </c>
      <c r="Q189" s="893">
        <f t="shared" si="9"/>
        <v>0</v>
      </c>
      <c r="R189" s="894">
        <f t="shared" si="10"/>
        <v>4</v>
      </c>
    </row>
    <row r="190" spans="1:18" s="904" customFormat="1">
      <c r="A190" s="895"/>
      <c r="B190" s="896"/>
      <c r="C190" s="897"/>
      <c r="D190" s="897"/>
      <c r="E190" s="898" t="s">
        <v>276</v>
      </c>
      <c r="F190" s="899"/>
      <c r="G190" s="900"/>
      <c r="H190" s="901"/>
      <c r="I190" s="902"/>
      <c r="J190" s="902"/>
      <c r="K190" s="912" t="s">
        <v>274</v>
      </c>
      <c r="L190" s="902"/>
      <c r="M190" s="902"/>
      <c r="N190" s="902"/>
      <c r="O190" s="892">
        <f t="shared" si="8"/>
        <v>0</v>
      </c>
      <c r="P190" s="903">
        <f t="shared" si="11"/>
        <v>1</v>
      </c>
      <c r="Q190" s="893">
        <f t="shared" si="9"/>
        <v>4</v>
      </c>
      <c r="R190" s="894">
        <f t="shared" si="10"/>
        <v>0</v>
      </c>
    </row>
    <row r="191" spans="1:18">
      <c r="A191" s="905"/>
      <c r="B191" s="906"/>
      <c r="C191" s="907">
        <v>730</v>
      </c>
      <c r="D191" s="907" t="s">
        <v>12</v>
      </c>
      <c r="E191" s="908" t="s">
        <v>3921</v>
      </c>
      <c r="F191" s="909" t="s">
        <v>2674</v>
      </c>
      <c r="G191" s="910"/>
      <c r="H191" s="911">
        <v>1.99</v>
      </c>
      <c r="I191" s="912"/>
      <c r="J191" s="912"/>
      <c r="K191" s="912">
        <f>VLOOKUP(E191,ĐMNC!$A$7:$F$67,3,0)</f>
        <v>209570</v>
      </c>
      <c r="L191" s="912">
        <f>H191*K191</f>
        <v>417044.3</v>
      </c>
      <c r="M191" s="912"/>
      <c r="N191" s="912"/>
      <c r="O191" s="892">
        <f t="shared" si="8"/>
        <v>0</v>
      </c>
      <c r="P191" s="903">
        <f t="shared" si="11"/>
        <v>1</v>
      </c>
      <c r="Q191" s="893">
        <f t="shared" si="9"/>
        <v>3</v>
      </c>
      <c r="R191" s="894">
        <f t="shared" si="10"/>
        <v>0</v>
      </c>
    </row>
    <row r="192" spans="1:18" s="904" customFormat="1">
      <c r="A192" s="895"/>
      <c r="B192" s="896"/>
      <c r="C192" s="897"/>
      <c r="D192" s="897"/>
      <c r="E192" s="898" t="s">
        <v>3914</v>
      </c>
      <c r="F192" s="899"/>
      <c r="G192" s="900"/>
      <c r="H192" s="901"/>
      <c r="I192" s="902"/>
      <c r="J192" s="902"/>
      <c r="K192" s="912" t="s">
        <v>274</v>
      </c>
      <c r="L192" s="902"/>
      <c r="M192" s="902"/>
      <c r="N192" s="902"/>
      <c r="O192" s="892">
        <f t="shared" si="8"/>
        <v>0</v>
      </c>
      <c r="P192" s="903">
        <f t="shared" si="11"/>
        <v>1</v>
      </c>
      <c r="Q192" s="893">
        <f t="shared" si="9"/>
        <v>2</v>
      </c>
      <c r="R192" s="894">
        <f t="shared" si="10"/>
        <v>0</v>
      </c>
    </row>
    <row r="193" spans="1:18">
      <c r="A193" s="905"/>
      <c r="B193" s="914" t="s">
        <v>3974</v>
      </c>
      <c r="C193" s="907">
        <v>817</v>
      </c>
      <c r="D193" s="907" t="s">
        <v>93</v>
      </c>
      <c r="E193" s="908" t="s">
        <v>3975</v>
      </c>
      <c r="F193" s="909" t="s">
        <v>2673</v>
      </c>
      <c r="G193" s="910"/>
      <c r="H193" s="911">
        <v>0.15</v>
      </c>
      <c r="I193" s="912"/>
      <c r="J193" s="912"/>
      <c r="K193" s="912"/>
      <c r="L193" s="912"/>
      <c r="M193" s="912">
        <f>VLOOKUP(B193,MTC!$B$9:$S$933,12,0)</f>
        <v>0</v>
      </c>
      <c r="N193" s="912">
        <f>M193*H193</f>
        <v>0</v>
      </c>
      <c r="O193" s="892">
        <f t="shared" si="8"/>
        <v>0</v>
      </c>
      <c r="P193" s="903">
        <f t="shared" si="11"/>
        <v>1</v>
      </c>
      <c r="Q193" s="893">
        <f>IF(P193=0,0,P193+Q195)</f>
        <v>1</v>
      </c>
      <c r="R193" s="894">
        <f>IF(Q193=0,Q195,0)</f>
        <v>0</v>
      </c>
    </row>
    <row r="194" spans="1:18">
      <c r="A194" s="905"/>
      <c r="B194" s="914"/>
      <c r="C194" s="907"/>
      <c r="D194" s="907"/>
      <c r="E194" s="921" t="s">
        <v>3979</v>
      </c>
      <c r="F194" s="909"/>
      <c r="G194" s="910"/>
      <c r="H194" s="911"/>
      <c r="I194" s="912"/>
      <c r="J194" s="912"/>
      <c r="K194" s="912"/>
      <c r="L194" s="912"/>
      <c r="M194" s="912"/>
      <c r="N194" s="912"/>
      <c r="O194" s="892"/>
      <c r="P194" s="903"/>
      <c r="Q194" s="893"/>
      <c r="R194" s="894"/>
    </row>
    <row r="195" spans="1:18" s="847" customFormat="1" ht="31.5">
      <c r="A195" s="905"/>
      <c r="B195" s="914" t="s">
        <v>3980</v>
      </c>
      <c r="C195" s="915"/>
      <c r="D195" s="915"/>
      <c r="E195" s="916" t="s">
        <v>3973</v>
      </c>
      <c r="F195" s="917" t="s">
        <v>527</v>
      </c>
      <c r="G195" s="918"/>
      <c r="H195" s="919"/>
      <c r="I195" s="920"/>
      <c r="J195" s="891">
        <f>SUM(J196:J199)</f>
        <v>0</v>
      </c>
      <c r="K195" s="891"/>
      <c r="L195" s="891">
        <f>SUM(L196:L199)</f>
        <v>387704.5</v>
      </c>
      <c r="M195" s="891"/>
      <c r="N195" s="891">
        <f>SUM(N196:N199)</f>
        <v>136464.26999999999</v>
      </c>
      <c r="O195" s="892">
        <f t="shared" si="8"/>
        <v>1</v>
      </c>
      <c r="P195" s="903">
        <f t="shared" si="11"/>
        <v>0</v>
      </c>
      <c r="Q195" s="893">
        <f t="shared" si="9"/>
        <v>0</v>
      </c>
      <c r="R195" s="894">
        <f t="shared" si="10"/>
        <v>4</v>
      </c>
    </row>
    <row r="196" spans="1:18" s="904" customFormat="1">
      <c r="A196" s="895"/>
      <c r="B196" s="922"/>
      <c r="C196" s="897"/>
      <c r="D196" s="897"/>
      <c r="E196" s="898" t="s">
        <v>276</v>
      </c>
      <c r="F196" s="899"/>
      <c r="G196" s="900"/>
      <c r="H196" s="901"/>
      <c r="I196" s="902"/>
      <c r="J196" s="902"/>
      <c r="K196" s="912" t="s">
        <v>274</v>
      </c>
      <c r="L196" s="902"/>
      <c r="M196" s="902"/>
      <c r="N196" s="902"/>
      <c r="O196" s="892">
        <f t="shared" si="8"/>
        <v>0</v>
      </c>
      <c r="P196" s="903">
        <f t="shared" si="11"/>
        <v>1</v>
      </c>
      <c r="Q196" s="893">
        <f t="shared" si="9"/>
        <v>4</v>
      </c>
      <c r="R196" s="894">
        <f t="shared" si="10"/>
        <v>0</v>
      </c>
    </row>
    <row r="197" spans="1:18">
      <c r="A197" s="905"/>
      <c r="B197" s="914"/>
      <c r="C197" s="907">
        <v>730</v>
      </c>
      <c r="D197" s="907" t="s">
        <v>12</v>
      </c>
      <c r="E197" s="908" t="s">
        <v>3921</v>
      </c>
      <c r="F197" s="909" t="s">
        <v>2674</v>
      </c>
      <c r="G197" s="910"/>
      <c r="H197" s="911">
        <v>1.85</v>
      </c>
      <c r="I197" s="912"/>
      <c r="J197" s="912"/>
      <c r="K197" s="912">
        <f>VLOOKUP(E197,ĐMNC!$A$7:$F$67,3,0)</f>
        <v>209570</v>
      </c>
      <c r="L197" s="912">
        <f>H197*K197</f>
        <v>387704.5</v>
      </c>
      <c r="M197" s="912"/>
      <c r="N197" s="912"/>
      <c r="O197" s="892">
        <f t="shared" si="8"/>
        <v>0</v>
      </c>
      <c r="P197" s="903">
        <f t="shared" si="11"/>
        <v>1</v>
      </c>
      <c r="Q197" s="893">
        <f t="shared" si="9"/>
        <v>3</v>
      </c>
      <c r="R197" s="894">
        <f t="shared" si="10"/>
        <v>0</v>
      </c>
    </row>
    <row r="198" spans="1:18" s="904" customFormat="1">
      <c r="A198" s="895"/>
      <c r="B198" s="922"/>
      <c r="C198" s="897"/>
      <c r="D198" s="897"/>
      <c r="E198" s="898" t="s">
        <v>3914</v>
      </c>
      <c r="F198" s="899"/>
      <c r="G198" s="900"/>
      <c r="H198" s="901"/>
      <c r="I198" s="902"/>
      <c r="J198" s="902"/>
      <c r="K198" s="912" t="s">
        <v>274</v>
      </c>
      <c r="L198" s="902"/>
      <c r="M198" s="902"/>
      <c r="N198" s="902"/>
      <c r="O198" s="892">
        <f t="shared" si="8"/>
        <v>0</v>
      </c>
      <c r="P198" s="903">
        <f t="shared" si="11"/>
        <v>1</v>
      </c>
      <c r="Q198" s="893">
        <f t="shared" si="9"/>
        <v>2</v>
      </c>
      <c r="R198" s="894">
        <f t="shared" si="10"/>
        <v>0</v>
      </c>
    </row>
    <row r="199" spans="1:18">
      <c r="A199" s="905"/>
      <c r="B199" s="923" t="s">
        <v>3981</v>
      </c>
      <c r="C199" s="907">
        <v>817</v>
      </c>
      <c r="D199" s="907" t="s">
        <v>93</v>
      </c>
      <c r="E199" s="908" t="s">
        <v>3982</v>
      </c>
      <c r="F199" s="909" t="s">
        <v>2673</v>
      </c>
      <c r="G199" s="910"/>
      <c r="H199" s="911">
        <v>0.19</v>
      </c>
      <c r="I199" s="912"/>
      <c r="J199" s="912"/>
      <c r="K199" s="912"/>
      <c r="L199" s="912"/>
      <c r="M199" s="912">
        <f>VLOOKUP(B199,MTC!$B$9:$S$933,12,0)</f>
        <v>718233</v>
      </c>
      <c r="N199" s="912">
        <f>M199*H199</f>
        <v>136464.26999999999</v>
      </c>
      <c r="O199" s="892">
        <f t="shared" si="8"/>
        <v>0</v>
      </c>
      <c r="P199" s="903">
        <f t="shared" si="11"/>
        <v>1</v>
      </c>
      <c r="Q199" s="893">
        <f t="shared" si="9"/>
        <v>1</v>
      </c>
      <c r="R199" s="894">
        <f t="shared" si="10"/>
        <v>0</v>
      </c>
    </row>
    <row r="200" spans="1:18" s="847" customFormat="1" ht="31.5">
      <c r="A200" s="905"/>
      <c r="B200" s="914" t="s">
        <v>3983</v>
      </c>
      <c r="C200" s="915"/>
      <c r="D200" s="915"/>
      <c r="E200" s="916" t="s">
        <v>3976</v>
      </c>
      <c r="F200" s="917" t="s">
        <v>527</v>
      </c>
      <c r="G200" s="918"/>
      <c r="H200" s="919"/>
      <c r="I200" s="920"/>
      <c r="J200" s="891">
        <f>SUM(J201:J204)</f>
        <v>0</v>
      </c>
      <c r="K200" s="891"/>
      <c r="L200" s="891">
        <f>SUM(L201:L204)</f>
        <v>379321.7</v>
      </c>
      <c r="M200" s="891"/>
      <c r="N200" s="891">
        <f>SUM(N201:N204)</f>
        <v>100552.62000000001</v>
      </c>
      <c r="O200" s="892">
        <f t="shared" si="8"/>
        <v>1</v>
      </c>
      <c r="P200" s="903">
        <f t="shared" si="11"/>
        <v>0</v>
      </c>
      <c r="Q200" s="893">
        <f t="shared" si="9"/>
        <v>0</v>
      </c>
      <c r="R200" s="894">
        <f t="shared" si="10"/>
        <v>4</v>
      </c>
    </row>
    <row r="201" spans="1:18" s="904" customFormat="1">
      <c r="A201" s="895"/>
      <c r="B201" s="922"/>
      <c r="C201" s="897"/>
      <c r="D201" s="897"/>
      <c r="E201" s="898" t="s">
        <v>276</v>
      </c>
      <c r="F201" s="899"/>
      <c r="G201" s="900"/>
      <c r="H201" s="901"/>
      <c r="I201" s="902"/>
      <c r="J201" s="902"/>
      <c r="K201" s="912" t="s">
        <v>274</v>
      </c>
      <c r="L201" s="902"/>
      <c r="M201" s="902"/>
      <c r="N201" s="902"/>
      <c r="O201" s="892">
        <f t="shared" ref="O201:O251" si="12">IF(AND(B201&lt;&gt;"",D201=""),1,0)</f>
        <v>0</v>
      </c>
      <c r="P201" s="903">
        <f t="shared" si="11"/>
        <v>1</v>
      </c>
      <c r="Q201" s="893">
        <f t="shared" si="9"/>
        <v>4</v>
      </c>
      <c r="R201" s="894">
        <f t="shared" si="10"/>
        <v>0</v>
      </c>
    </row>
    <row r="202" spans="1:18">
      <c r="A202" s="905"/>
      <c r="B202" s="914"/>
      <c r="C202" s="907">
        <v>730</v>
      </c>
      <c r="D202" s="907" t="s">
        <v>12</v>
      </c>
      <c r="E202" s="908" t="s">
        <v>3921</v>
      </c>
      <c r="F202" s="909" t="s">
        <v>2674</v>
      </c>
      <c r="G202" s="910"/>
      <c r="H202" s="911">
        <v>1.81</v>
      </c>
      <c r="I202" s="912"/>
      <c r="J202" s="912"/>
      <c r="K202" s="912">
        <f>VLOOKUP(E202,ĐMNC!$A$7:$F$67,3,0)</f>
        <v>209570</v>
      </c>
      <c r="L202" s="912">
        <f>H202*K202</f>
        <v>379321.7</v>
      </c>
      <c r="M202" s="912"/>
      <c r="N202" s="912"/>
      <c r="O202" s="892">
        <f t="shared" si="12"/>
        <v>0</v>
      </c>
      <c r="P202" s="903">
        <f t="shared" si="11"/>
        <v>1</v>
      </c>
      <c r="Q202" s="893">
        <f t="shared" si="9"/>
        <v>3</v>
      </c>
      <c r="R202" s="894">
        <f t="shared" si="10"/>
        <v>0</v>
      </c>
    </row>
    <row r="203" spans="1:18" s="904" customFormat="1">
      <c r="A203" s="895"/>
      <c r="B203" s="922"/>
      <c r="C203" s="897"/>
      <c r="D203" s="897"/>
      <c r="E203" s="898" t="s">
        <v>3914</v>
      </c>
      <c r="F203" s="899"/>
      <c r="G203" s="900"/>
      <c r="H203" s="901"/>
      <c r="I203" s="902"/>
      <c r="J203" s="902"/>
      <c r="K203" s="912" t="s">
        <v>274</v>
      </c>
      <c r="L203" s="902"/>
      <c r="M203" s="902"/>
      <c r="N203" s="902"/>
      <c r="O203" s="892">
        <f t="shared" si="12"/>
        <v>0</v>
      </c>
      <c r="P203" s="903">
        <f t="shared" si="11"/>
        <v>1</v>
      </c>
      <c r="Q203" s="893">
        <f t="shared" ref="Q203:Q247" si="13">IF(P203=0,0,P203+Q204)</f>
        <v>2</v>
      </c>
      <c r="R203" s="894">
        <f t="shared" ref="R203:R247" si="14">IF(Q203=0,Q204,0)</f>
        <v>0</v>
      </c>
    </row>
    <row r="204" spans="1:18">
      <c r="A204" s="905"/>
      <c r="B204" s="923" t="s">
        <v>3981</v>
      </c>
      <c r="C204" s="907">
        <v>817</v>
      </c>
      <c r="D204" s="907" t="s">
        <v>93</v>
      </c>
      <c r="E204" s="908" t="s">
        <v>3982</v>
      </c>
      <c r="F204" s="909" t="s">
        <v>2673</v>
      </c>
      <c r="G204" s="910"/>
      <c r="H204" s="911">
        <v>0.14000000000000001</v>
      </c>
      <c r="I204" s="912"/>
      <c r="J204" s="912"/>
      <c r="K204" s="912"/>
      <c r="L204" s="912"/>
      <c r="M204" s="912">
        <f>VLOOKUP(B204,MTC!$B$9:$S$933,12,0)</f>
        <v>718233</v>
      </c>
      <c r="N204" s="912">
        <f>M204*H204</f>
        <v>100552.62000000001</v>
      </c>
      <c r="O204" s="892">
        <f t="shared" si="12"/>
        <v>0</v>
      </c>
      <c r="P204" s="903">
        <f t="shared" ref="P204:P248" si="15">IF(O204=0,1,0)</f>
        <v>1</v>
      </c>
      <c r="Q204" s="893">
        <f t="shared" si="13"/>
        <v>1</v>
      </c>
      <c r="R204" s="894">
        <f t="shared" si="14"/>
        <v>0</v>
      </c>
    </row>
    <row r="205" spans="1:18" s="847" customFormat="1">
      <c r="A205" s="905"/>
      <c r="B205" s="914" t="s">
        <v>3984</v>
      </c>
      <c r="C205" s="915"/>
      <c r="D205" s="915"/>
      <c r="E205" s="916" t="s">
        <v>3977</v>
      </c>
      <c r="F205" s="917" t="s">
        <v>527</v>
      </c>
      <c r="G205" s="918"/>
      <c r="H205" s="919"/>
      <c r="I205" s="920"/>
      <c r="J205" s="891">
        <f>SUM(J206:J209)</f>
        <v>0</v>
      </c>
      <c r="K205" s="891"/>
      <c r="L205" s="891">
        <f>SUM(L206:L209)</f>
        <v>425427.1</v>
      </c>
      <c r="M205" s="891"/>
      <c r="N205" s="891">
        <f>SUM(N206:N209)</f>
        <v>143646.6</v>
      </c>
      <c r="O205" s="892">
        <f t="shared" si="12"/>
        <v>1</v>
      </c>
      <c r="P205" s="903">
        <f t="shared" si="15"/>
        <v>0</v>
      </c>
      <c r="Q205" s="893">
        <f t="shared" si="13"/>
        <v>0</v>
      </c>
      <c r="R205" s="894">
        <f t="shared" si="14"/>
        <v>4</v>
      </c>
    </row>
    <row r="206" spans="1:18" s="904" customFormat="1">
      <c r="A206" s="895"/>
      <c r="B206" s="922"/>
      <c r="C206" s="897"/>
      <c r="D206" s="897"/>
      <c r="E206" s="898" t="s">
        <v>276</v>
      </c>
      <c r="F206" s="899"/>
      <c r="G206" s="900"/>
      <c r="H206" s="901"/>
      <c r="I206" s="902"/>
      <c r="J206" s="902"/>
      <c r="K206" s="912" t="s">
        <v>274</v>
      </c>
      <c r="L206" s="902"/>
      <c r="M206" s="902"/>
      <c r="N206" s="902"/>
      <c r="O206" s="892">
        <f t="shared" si="12"/>
        <v>0</v>
      </c>
      <c r="P206" s="903">
        <f t="shared" si="15"/>
        <v>1</v>
      </c>
      <c r="Q206" s="893">
        <f t="shared" si="13"/>
        <v>4</v>
      </c>
      <c r="R206" s="894">
        <f t="shared" si="14"/>
        <v>0</v>
      </c>
    </row>
    <row r="207" spans="1:18">
      <c r="A207" s="905"/>
      <c r="B207" s="914"/>
      <c r="C207" s="907">
        <v>730</v>
      </c>
      <c r="D207" s="907" t="s">
        <v>12</v>
      </c>
      <c r="E207" s="908" t="s">
        <v>3921</v>
      </c>
      <c r="F207" s="909" t="s">
        <v>2674</v>
      </c>
      <c r="G207" s="910"/>
      <c r="H207" s="911">
        <v>2.0299999999999998</v>
      </c>
      <c r="I207" s="912"/>
      <c r="J207" s="912"/>
      <c r="K207" s="912">
        <f>VLOOKUP(E207,ĐMNC!$A$7:$F$67,3,0)</f>
        <v>209570</v>
      </c>
      <c r="L207" s="912">
        <f>H207*K207</f>
        <v>425427.1</v>
      </c>
      <c r="M207" s="912"/>
      <c r="N207" s="912"/>
      <c r="O207" s="892">
        <f t="shared" si="12"/>
        <v>0</v>
      </c>
      <c r="P207" s="903">
        <f t="shared" si="15"/>
        <v>1</v>
      </c>
      <c r="Q207" s="893">
        <f t="shared" si="13"/>
        <v>3</v>
      </c>
      <c r="R207" s="894">
        <f t="shared" si="14"/>
        <v>0</v>
      </c>
    </row>
    <row r="208" spans="1:18" s="904" customFormat="1">
      <c r="A208" s="895"/>
      <c r="B208" s="922"/>
      <c r="C208" s="897"/>
      <c r="D208" s="897"/>
      <c r="E208" s="898" t="s">
        <v>3914</v>
      </c>
      <c r="F208" s="899"/>
      <c r="G208" s="900"/>
      <c r="H208" s="901"/>
      <c r="I208" s="902"/>
      <c r="J208" s="902"/>
      <c r="K208" s="912" t="s">
        <v>274</v>
      </c>
      <c r="L208" s="902"/>
      <c r="M208" s="902"/>
      <c r="N208" s="902"/>
      <c r="O208" s="892">
        <f t="shared" si="12"/>
        <v>0</v>
      </c>
      <c r="P208" s="903">
        <f t="shared" si="15"/>
        <v>1</v>
      </c>
      <c r="Q208" s="893">
        <f t="shared" si="13"/>
        <v>2</v>
      </c>
      <c r="R208" s="894">
        <f t="shared" si="14"/>
        <v>0</v>
      </c>
    </row>
    <row r="209" spans="1:18">
      <c r="A209" s="905"/>
      <c r="B209" s="923" t="s">
        <v>3981</v>
      </c>
      <c r="C209" s="907">
        <v>817</v>
      </c>
      <c r="D209" s="907" t="s">
        <v>93</v>
      </c>
      <c r="E209" s="908" t="s">
        <v>3982</v>
      </c>
      <c r="F209" s="909" t="s">
        <v>2673</v>
      </c>
      <c r="G209" s="910"/>
      <c r="H209" s="911">
        <v>0.2</v>
      </c>
      <c r="I209" s="912"/>
      <c r="J209" s="912"/>
      <c r="K209" s="912"/>
      <c r="L209" s="912"/>
      <c r="M209" s="912">
        <f>VLOOKUP(B209,MTC!$B$9:$S$933,12,0)</f>
        <v>718233</v>
      </c>
      <c r="N209" s="912">
        <f>M209*H209</f>
        <v>143646.6</v>
      </c>
      <c r="O209" s="892">
        <f t="shared" si="12"/>
        <v>0</v>
      </c>
      <c r="P209" s="903">
        <f t="shared" si="15"/>
        <v>1</v>
      </c>
      <c r="Q209" s="893">
        <f t="shared" si="13"/>
        <v>1</v>
      </c>
      <c r="R209" s="894">
        <f t="shared" si="14"/>
        <v>0</v>
      </c>
    </row>
    <row r="210" spans="1:18" s="847" customFormat="1">
      <c r="A210" s="905"/>
      <c r="B210" s="914" t="s">
        <v>3985</v>
      </c>
      <c r="C210" s="915"/>
      <c r="D210" s="915"/>
      <c r="E210" s="916" t="s">
        <v>3978</v>
      </c>
      <c r="F210" s="917" t="s">
        <v>527</v>
      </c>
      <c r="G210" s="918"/>
      <c r="H210" s="919"/>
      <c r="I210" s="920"/>
      <c r="J210" s="891">
        <f>SUM(J211:J214)</f>
        <v>0</v>
      </c>
      <c r="K210" s="891"/>
      <c r="L210" s="891">
        <f>SUM(L211:L214)</f>
        <v>417044.3</v>
      </c>
      <c r="M210" s="891"/>
      <c r="N210" s="891">
        <f>SUM(N211:N214)</f>
        <v>122099.61000000002</v>
      </c>
      <c r="O210" s="892">
        <f t="shared" si="12"/>
        <v>1</v>
      </c>
      <c r="P210" s="903">
        <f t="shared" si="15"/>
        <v>0</v>
      </c>
      <c r="Q210" s="893">
        <f t="shared" si="13"/>
        <v>0</v>
      </c>
      <c r="R210" s="894">
        <f t="shared" si="14"/>
        <v>4</v>
      </c>
    </row>
    <row r="211" spans="1:18" s="904" customFormat="1">
      <c r="A211" s="895"/>
      <c r="B211" s="922"/>
      <c r="C211" s="897"/>
      <c r="D211" s="897"/>
      <c r="E211" s="898" t="s">
        <v>276</v>
      </c>
      <c r="F211" s="899"/>
      <c r="G211" s="900"/>
      <c r="H211" s="901"/>
      <c r="I211" s="902"/>
      <c r="J211" s="902"/>
      <c r="K211" s="912" t="s">
        <v>274</v>
      </c>
      <c r="L211" s="902"/>
      <c r="M211" s="902"/>
      <c r="N211" s="902"/>
      <c r="O211" s="892">
        <f t="shared" si="12"/>
        <v>0</v>
      </c>
      <c r="P211" s="903">
        <f t="shared" si="15"/>
        <v>1</v>
      </c>
      <c r="Q211" s="893">
        <f t="shared" si="13"/>
        <v>4</v>
      </c>
      <c r="R211" s="894">
        <f t="shared" si="14"/>
        <v>0</v>
      </c>
    </row>
    <row r="212" spans="1:18">
      <c r="A212" s="905"/>
      <c r="B212" s="914"/>
      <c r="C212" s="907">
        <v>730</v>
      </c>
      <c r="D212" s="907" t="s">
        <v>12</v>
      </c>
      <c r="E212" s="908" t="s">
        <v>3921</v>
      </c>
      <c r="F212" s="909" t="s">
        <v>2674</v>
      </c>
      <c r="G212" s="910"/>
      <c r="H212" s="911">
        <v>1.99</v>
      </c>
      <c r="I212" s="912"/>
      <c r="J212" s="912"/>
      <c r="K212" s="912">
        <f>VLOOKUP(E212,ĐMNC!$A$7:$F$67,3,0)</f>
        <v>209570</v>
      </c>
      <c r="L212" s="912">
        <f>H212*K212</f>
        <v>417044.3</v>
      </c>
      <c r="M212" s="912"/>
      <c r="N212" s="912"/>
      <c r="O212" s="892">
        <f t="shared" si="12"/>
        <v>0</v>
      </c>
      <c r="P212" s="903">
        <f t="shared" si="15"/>
        <v>1</v>
      </c>
      <c r="Q212" s="893">
        <f t="shared" si="13"/>
        <v>3</v>
      </c>
      <c r="R212" s="894">
        <f t="shared" si="14"/>
        <v>0</v>
      </c>
    </row>
    <row r="213" spans="1:18" s="904" customFormat="1">
      <c r="A213" s="895"/>
      <c r="B213" s="922"/>
      <c r="C213" s="897"/>
      <c r="D213" s="897"/>
      <c r="E213" s="898" t="s">
        <v>3914</v>
      </c>
      <c r="F213" s="899"/>
      <c r="G213" s="900"/>
      <c r="H213" s="901"/>
      <c r="I213" s="902"/>
      <c r="J213" s="902"/>
      <c r="K213" s="912" t="s">
        <v>274</v>
      </c>
      <c r="L213" s="902"/>
      <c r="M213" s="902"/>
      <c r="N213" s="902"/>
      <c r="O213" s="892">
        <f t="shared" si="12"/>
        <v>0</v>
      </c>
      <c r="P213" s="903">
        <f t="shared" si="15"/>
        <v>1</v>
      </c>
      <c r="Q213" s="893">
        <f t="shared" si="13"/>
        <v>2</v>
      </c>
      <c r="R213" s="894">
        <f t="shared" si="14"/>
        <v>0</v>
      </c>
    </row>
    <row r="214" spans="1:18">
      <c r="A214" s="905"/>
      <c r="B214" s="923" t="s">
        <v>3981</v>
      </c>
      <c r="C214" s="907">
        <v>817</v>
      </c>
      <c r="D214" s="907" t="s">
        <v>93</v>
      </c>
      <c r="E214" s="908" t="s">
        <v>3982</v>
      </c>
      <c r="F214" s="909" t="s">
        <v>2673</v>
      </c>
      <c r="G214" s="910"/>
      <c r="H214" s="911">
        <v>0.17</v>
      </c>
      <c r="I214" s="912"/>
      <c r="J214" s="912"/>
      <c r="K214" s="912"/>
      <c r="L214" s="912"/>
      <c r="M214" s="912">
        <f>VLOOKUP(B214,MTC!$B$9:$S$933,12,0)</f>
        <v>718233</v>
      </c>
      <c r="N214" s="912">
        <f>M214*H214</f>
        <v>122099.61000000002</v>
      </c>
      <c r="O214" s="892">
        <f t="shared" si="12"/>
        <v>0</v>
      </c>
      <c r="P214" s="903">
        <f t="shared" si="15"/>
        <v>1</v>
      </c>
      <c r="Q214" s="893">
        <f>IF(P214=0,0,P214+Q215)</f>
        <v>1</v>
      </c>
      <c r="R214" s="894">
        <f>IF(Q214=0,Q215,0)</f>
        <v>0</v>
      </c>
    </row>
    <row r="215" spans="1:18">
      <c r="A215" s="905"/>
      <c r="B215" s="914" t="s">
        <v>542</v>
      </c>
      <c r="C215" s="907"/>
      <c r="D215" s="907"/>
      <c r="E215" s="921" t="s">
        <v>3986</v>
      </c>
      <c r="F215" s="909"/>
      <c r="G215" s="910"/>
      <c r="H215" s="911"/>
      <c r="I215" s="912"/>
      <c r="J215" s="912"/>
      <c r="K215" s="912"/>
      <c r="L215" s="912"/>
      <c r="M215" s="912"/>
      <c r="N215" s="912"/>
      <c r="O215" s="892"/>
      <c r="P215" s="903"/>
      <c r="Q215" s="893"/>
      <c r="R215" s="894"/>
    </row>
    <row r="216" spans="1:18" s="847" customFormat="1">
      <c r="A216" s="905" t="s">
        <v>3987</v>
      </c>
      <c r="B216" s="914" t="s">
        <v>3435</v>
      </c>
      <c r="C216" s="915"/>
      <c r="D216" s="915"/>
      <c r="E216" s="916" t="s">
        <v>3988</v>
      </c>
      <c r="F216" s="917" t="s">
        <v>136</v>
      </c>
      <c r="G216" s="918"/>
      <c r="H216" s="919"/>
      <c r="I216" s="920"/>
      <c r="J216" s="891">
        <f>SUM(J217:J218)</f>
        <v>0</v>
      </c>
      <c r="K216" s="891"/>
      <c r="L216" s="891">
        <f>SUM(L217:L218)</f>
        <v>115263.50000000001</v>
      </c>
      <c r="M216" s="891"/>
      <c r="N216" s="891">
        <f>SUM(N217:N218)</f>
        <v>0</v>
      </c>
      <c r="O216" s="892">
        <f t="shared" si="12"/>
        <v>1</v>
      </c>
      <c r="P216" s="903">
        <f t="shared" si="15"/>
        <v>0</v>
      </c>
      <c r="Q216" s="893">
        <f t="shared" si="13"/>
        <v>0</v>
      </c>
      <c r="R216" s="894">
        <f t="shared" si="14"/>
        <v>2</v>
      </c>
    </row>
    <row r="217" spans="1:18" s="904" customFormat="1">
      <c r="A217" s="895"/>
      <c r="B217" s="896"/>
      <c r="C217" s="897"/>
      <c r="D217" s="897"/>
      <c r="E217" s="898" t="s">
        <v>276</v>
      </c>
      <c r="F217" s="899"/>
      <c r="G217" s="900"/>
      <c r="H217" s="901"/>
      <c r="I217" s="902"/>
      <c r="J217" s="902"/>
      <c r="K217" s="912" t="s">
        <v>274</v>
      </c>
      <c r="L217" s="902"/>
      <c r="M217" s="902"/>
      <c r="N217" s="902"/>
      <c r="O217" s="892">
        <f t="shared" si="12"/>
        <v>0</v>
      </c>
      <c r="P217" s="903">
        <f t="shared" si="15"/>
        <v>1</v>
      </c>
      <c r="Q217" s="893">
        <f t="shared" si="13"/>
        <v>2</v>
      </c>
      <c r="R217" s="894">
        <f t="shared" si="14"/>
        <v>0</v>
      </c>
    </row>
    <row r="218" spans="1:18">
      <c r="A218" s="905"/>
      <c r="B218" s="906"/>
      <c r="C218" s="907">
        <v>730</v>
      </c>
      <c r="D218" s="907" t="s">
        <v>12</v>
      </c>
      <c r="E218" s="908" t="s">
        <v>3921</v>
      </c>
      <c r="F218" s="909" t="s">
        <v>2674</v>
      </c>
      <c r="G218" s="910"/>
      <c r="H218" s="911">
        <v>0.55000000000000004</v>
      </c>
      <c r="I218" s="912"/>
      <c r="J218" s="912"/>
      <c r="K218" s="912">
        <f>VLOOKUP(E218,ĐMNC!$A$7:$F$67,3,0)</f>
        <v>209570</v>
      </c>
      <c r="L218" s="912">
        <f>H218*K218</f>
        <v>115263.50000000001</v>
      </c>
      <c r="M218" s="912"/>
      <c r="N218" s="912"/>
      <c r="O218" s="892">
        <f t="shared" si="12"/>
        <v>0</v>
      </c>
      <c r="P218" s="903">
        <f t="shared" si="15"/>
        <v>1</v>
      </c>
      <c r="Q218" s="893">
        <f t="shared" si="13"/>
        <v>1</v>
      </c>
      <c r="R218" s="894">
        <f t="shared" si="14"/>
        <v>0</v>
      </c>
    </row>
    <row r="219" spans="1:18" s="847" customFormat="1">
      <c r="A219" s="905"/>
      <c r="B219" s="914" t="s">
        <v>3437</v>
      </c>
      <c r="C219" s="915"/>
      <c r="D219" s="915"/>
      <c r="E219" s="916" t="s">
        <v>3989</v>
      </c>
      <c r="F219" s="917" t="s">
        <v>136</v>
      </c>
      <c r="G219" s="918"/>
      <c r="H219" s="919"/>
      <c r="I219" s="920"/>
      <c r="J219" s="891">
        <f>SUM(J220:J221)</f>
        <v>0</v>
      </c>
      <c r="K219" s="891"/>
      <c r="L219" s="891">
        <f>SUM(L220:L221)</f>
        <v>106042.42</v>
      </c>
      <c r="M219" s="891"/>
      <c r="N219" s="891">
        <f>SUM(N220:N221)</f>
        <v>0</v>
      </c>
      <c r="O219" s="892">
        <f t="shared" si="12"/>
        <v>1</v>
      </c>
      <c r="P219" s="903">
        <f t="shared" si="15"/>
        <v>0</v>
      </c>
      <c r="Q219" s="893">
        <f t="shared" si="13"/>
        <v>0</v>
      </c>
      <c r="R219" s="894">
        <f t="shared" si="14"/>
        <v>2</v>
      </c>
    </row>
    <row r="220" spans="1:18" s="904" customFormat="1">
      <c r="A220" s="895"/>
      <c r="B220" s="896"/>
      <c r="C220" s="897"/>
      <c r="D220" s="897"/>
      <c r="E220" s="898" t="s">
        <v>276</v>
      </c>
      <c r="F220" s="899"/>
      <c r="G220" s="900"/>
      <c r="H220" s="901"/>
      <c r="I220" s="902"/>
      <c r="J220" s="902"/>
      <c r="K220" s="912" t="s">
        <v>274</v>
      </c>
      <c r="L220" s="902"/>
      <c r="M220" s="902"/>
      <c r="N220" s="902"/>
      <c r="O220" s="892">
        <f t="shared" si="12"/>
        <v>0</v>
      </c>
      <c r="P220" s="903">
        <f t="shared" si="15"/>
        <v>1</v>
      </c>
      <c r="Q220" s="893">
        <f t="shared" si="13"/>
        <v>2</v>
      </c>
      <c r="R220" s="894">
        <f t="shared" si="14"/>
        <v>0</v>
      </c>
    </row>
    <row r="221" spans="1:18">
      <c r="A221" s="905"/>
      <c r="B221" s="906"/>
      <c r="C221" s="907">
        <v>730</v>
      </c>
      <c r="D221" s="907" t="s">
        <v>12</v>
      </c>
      <c r="E221" s="908" t="s">
        <v>3921</v>
      </c>
      <c r="F221" s="909" t="s">
        <v>2674</v>
      </c>
      <c r="G221" s="910"/>
      <c r="H221" s="911">
        <v>0.50600000000000001</v>
      </c>
      <c r="I221" s="912"/>
      <c r="J221" s="912"/>
      <c r="K221" s="912">
        <f>VLOOKUP(E221,ĐMNC!$A$7:$F$67,3,0)</f>
        <v>209570</v>
      </c>
      <c r="L221" s="912">
        <f>H221*K221</f>
        <v>106042.42</v>
      </c>
      <c r="M221" s="912"/>
      <c r="N221" s="912"/>
      <c r="O221" s="892">
        <f t="shared" si="12"/>
        <v>0</v>
      </c>
      <c r="P221" s="903">
        <f t="shared" si="15"/>
        <v>1</v>
      </c>
      <c r="Q221" s="893">
        <f t="shared" si="13"/>
        <v>1</v>
      </c>
      <c r="R221" s="894">
        <f t="shared" si="14"/>
        <v>0</v>
      </c>
    </row>
    <row r="222" spans="1:18" s="847" customFormat="1">
      <c r="A222" s="905"/>
      <c r="B222" s="914" t="s">
        <v>3439</v>
      </c>
      <c r="C222" s="915"/>
      <c r="D222" s="915"/>
      <c r="E222" s="916" t="s">
        <v>3990</v>
      </c>
      <c r="F222" s="917" t="s">
        <v>136</v>
      </c>
      <c r="G222" s="918"/>
      <c r="H222" s="919"/>
      <c r="I222" s="920"/>
      <c r="J222" s="891">
        <f>SUM(J223:J224)</f>
        <v>0</v>
      </c>
      <c r="K222" s="891"/>
      <c r="L222" s="891">
        <f>SUM(L223:L224)</f>
        <v>123646.29999999999</v>
      </c>
      <c r="M222" s="891"/>
      <c r="N222" s="891">
        <f>SUM(N223:N224)</f>
        <v>0</v>
      </c>
      <c r="O222" s="892">
        <f t="shared" si="12"/>
        <v>1</v>
      </c>
      <c r="P222" s="903">
        <f t="shared" si="15"/>
        <v>0</v>
      </c>
      <c r="Q222" s="893">
        <f t="shared" si="13"/>
        <v>0</v>
      </c>
      <c r="R222" s="894">
        <f t="shared" si="14"/>
        <v>2</v>
      </c>
    </row>
    <row r="223" spans="1:18" s="904" customFormat="1">
      <c r="A223" s="895"/>
      <c r="B223" s="896"/>
      <c r="C223" s="897"/>
      <c r="D223" s="897"/>
      <c r="E223" s="898" t="s">
        <v>276</v>
      </c>
      <c r="F223" s="899"/>
      <c r="G223" s="900"/>
      <c r="H223" s="901"/>
      <c r="I223" s="902"/>
      <c r="J223" s="902"/>
      <c r="K223" s="912" t="s">
        <v>274</v>
      </c>
      <c r="L223" s="902"/>
      <c r="M223" s="902"/>
      <c r="N223" s="902"/>
      <c r="O223" s="892">
        <f t="shared" si="12"/>
        <v>0</v>
      </c>
      <c r="P223" s="903">
        <f t="shared" si="15"/>
        <v>1</v>
      </c>
      <c r="Q223" s="893">
        <f t="shared" si="13"/>
        <v>2</v>
      </c>
      <c r="R223" s="894">
        <f t="shared" si="14"/>
        <v>0</v>
      </c>
    </row>
    <row r="224" spans="1:18">
      <c r="A224" s="905"/>
      <c r="B224" s="906"/>
      <c r="C224" s="907">
        <v>730</v>
      </c>
      <c r="D224" s="907" t="s">
        <v>12</v>
      </c>
      <c r="E224" s="908" t="s">
        <v>3921</v>
      </c>
      <c r="F224" s="909" t="s">
        <v>2674</v>
      </c>
      <c r="G224" s="910"/>
      <c r="H224" s="911">
        <v>0.59</v>
      </c>
      <c r="I224" s="912"/>
      <c r="J224" s="912"/>
      <c r="K224" s="912">
        <f>VLOOKUP(E224,ĐMNC!$A$7:$F$67,3,0)</f>
        <v>209570</v>
      </c>
      <c r="L224" s="912">
        <f>H224*K224</f>
        <v>123646.29999999999</v>
      </c>
      <c r="M224" s="912"/>
      <c r="N224" s="912"/>
      <c r="O224" s="892">
        <f t="shared" si="12"/>
        <v>0</v>
      </c>
      <c r="P224" s="903">
        <f t="shared" si="15"/>
        <v>1</v>
      </c>
      <c r="Q224" s="893">
        <f t="shared" si="13"/>
        <v>1</v>
      </c>
      <c r="R224" s="894">
        <f t="shared" si="14"/>
        <v>0</v>
      </c>
    </row>
    <row r="225" spans="1:18" s="847" customFormat="1">
      <c r="A225" s="905"/>
      <c r="B225" s="914" t="s">
        <v>3441</v>
      </c>
      <c r="C225" s="915"/>
      <c r="D225" s="915"/>
      <c r="E225" s="916" t="s">
        <v>3991</v>
      </c>
      <c r="F225" s="917" t="s">
        <v>136</v>
      </c>
      <c r="G225" s="918"/>
      <c r="H225" s="919"/>
      <c r="I225" s="920"/>
      <c r="J225" s="891">
        <f>SUM(J226:J227)</f>
        <v>0</v>
      </c>
      <c r="K225" s="891"/>
      <c r="L225" s="891">
        <f>SUM(L226:L227)</f>
        <v>96402.2</v>
      </c>
      <c r="M225" s="891"/>
      <c r="N225" s="891">
        <f>SUM(N226:N227)</f>
        <v>0</v>
      </c>
      <c r="O225" s="892">
        <f t="shared" si="12"/>
        <v>1</v>
      </c>
      <c r="P225" s="903">
        <f t="shared" si="15"/>
        <v>0</v>
      </c>
      <c r="Q225" s="893">
        <f t="shared" si="13"/>
        <v>0</v>
      </c>
      <c r="R225" s="894">
        <f t="shared" si="14"/>
        <v>2</v>
      </c>
    </row>
    <row r="226" spans="1:18" s="904" customFormat="1">
      <c r="A226" s="895"/>
      <c r="B226" s="896"/>
      <c r="C226" s="897"/>
      <c r="D226" s="897"/>
      <c r="E226" s="898" t="s">
        <v>276</v>
      </c>
      <c r="F226" s="899"/>
      <c r="G226" s="900"/>
      <c r="H226" s="901"/>
      <c r="I226" s="902"/>
      <c r="J226" s="902"/>
      <c r="K226" s="912" t="s">
        <v>274</v>
      </c>
      <c r="L226" s="902"/>
      <c r="M226" s="902"/>
      <c r="N226" s="902"/>
      <c r="O226" s="892">
        <f t="shared" si="12"/>
        <v>0</v>
      </c>
      <c r="P226" s="903">
        <f t="shared" si="15"/>
        <v>1</v>
      </c>
      <c r="Q226" s="893">
        <f t="shared" si="13"/>
        <v>2</v>
      </c>
      <c r="R226" s="894">
        <f t="shared" si="14"/>
        <v>0</v>
      </c>
    </row>
    <row r="227" spans="1:18">
      <c r="A227" s="905"/>
      <c r="B227" s="906"/>
      <c r="C227" s="907">
        <v>730</v>
      </c>
      <c r="D227" s="907" t="s">
        <v>12</v>
      </c>
      <c r="E227" s="908" t="s">
        <v>3921</v>
      </c>
      <c r="F227" s="909" t="s">
        <v>2674</v>
      </c>
      <c r="G227" s="910"/>
      <c r="H227" s="911">
        <v>0.46</v>
      </c>
      <c r="I227" s="912"/>
      <c r="J227" s="912"/>
      <c r="K227" s="912">
        <f>VLOOKUP(E227,ĐMNC!$A$7:$F$67,3,0)</f>
        <v>209570</v>
      </c>
      <c r="L227" s="912">
        <f>H227*K227</f>
        <v>96402.2</v>
      </c>
      <c r="M227" s="912"/>
      <c r="N227" s="912"/>
      <c r="O227" s="892">
        <f t="shared" si="12"/>
        <v>0</v>
      </c>
      <c r="P227" s="903">
        <f t="shared" si="15"/>
        <v>1</v>
      </c>
      <c r="Q227" s="893">
        <f t="shared" si="13"/>
        <v>1</v>
      </c>
      <c r="R227" s="894">
        <f t="shared" si="14"/>
        <v>0</v>
      </c>
    </row>
    <row r="228" spans="1:18" s="847" customFormat="1">
      <c r="A228" s="905"/>
      <c r="B228" s="914" t="s">
        <v>3443</v>
      </c>
      <c r="C228" s="915"/>
      <c r="D228" s="915"/>
      <c r="E228" s="916" t="s">
        <v>3992</v>
      </c>
      <c r="F228" s="917" t="s">
        <v>136</v>
      </c>
      <c r="G228" s="918"/>
      <c r="H228" s="919"/>
      <c r="I228" s="920"/>
      <c r="J228" s="891">
        <f>SUM(J229:J230)</f>
        <v>0</v>
      </c>
      <c r="K228" s="891"/>
      <c r="L228" s="891">
        <f>SUM(L229:L230)</f>
        <v>125742</v>
      </c>
      <c r="M228" s="891"/>
      <c r="N228" s="891">
        <f>SUM(N229:N230)</f>
        <v>0</v>
      </c>
      <c r="O228" s="892">
        <f t="shared" si="12"/>
        <v>1</v>
      </c>
      <c r="P228" s="903">
        <f t="shared" si="15"/>
        <v>0</v>
      </c>
      <c r="Q228" s="893">
        <f t="shared" si="13"/>
        <v>0</v>
      </c>
      <c r="R228" s="894">
        <f t="shared" si="14"/>
        <v>2</v>
      </c>
    </row>
    <row r="229" spans="1:18" s="904" customFormat="1">
      <c r="A229" s="895"/>
      <c r="B229" s="896"/>
      <c r="C229" s="897"/>
      <c r="D229" s="897"/>
      <c r="E229" s="898" t="s">
        <v>276</v>
      </c>
      <c r="F229" s="899"/>
      <c r="G229" s="900"/>
      <c r="H229" s="901"/>
      <c r="I229" s="902"/>
      <c r="J229" s="902"/>
      <c r="K229" s="912" t="s">
        <v>274</v>
      </c>
      <c r="L229" s="902"/>
      <c r="M229" s="902"/>
      <c r="N229" s="902"/>
      <c r="O229" s="892">
        <f t="shared" si="12"/>
        <v>0</v>
      </c>
      <c r="P229" s="903">
        <f t="shared" si="15"/>
        <v>1</v>
      </c>
      <c r="Q229" s="893">
        <f t="shared" si="13"/>
        <v>2</v>
      </c>
      <c r="R229" s="894">
        <f t="shared" si="14"/>
        <v>0</v>
      </c>
    </row>
    <row r="230" spans="1:18">
      <c r="A230" s="905"/>
      <c r="B230" s="906"/>
      <c r="C230" s="907">
        <v>730</v>
      </c>
      <c r="D230" s="907" t="s">
        <v>12</v>
      </c>
      <c r="E230" s="908" t="s">
        <v>3921</v>
      </c>
      <c r="F230" s="909" t="s">
        <v>2674</v>
      </c>
      <c r="G230" s="910"/>
      <c r="H230" s="911">
        <v>0.6</v>
      </c>
      <c r="I230" s="912"/>
      <c r="J230" s="912"/>
      <c r="K230" s="912">
        <f>VLOOKUP(E230,ĐMNC!$A$7:$F$67,3,0)</f>
        <v>209570</v>
      </c>
      <c r="L230" s="912">
        <f>H230*K230</f>
        <v>125742</v>
      </c>
      <c r="M230" s="912"/>
      <c r="N230" s="912"/>
      <c r="O230" s="892">
        <f t="shared" si="12"/>
        <v>0</v>
      </c>
      <c r="P230" s="903">
        <f t="shared" si="15"/>
        <v>1</v>
      </c>
      <c r="Q230" s="893">
        <f t="shared" si="13"/>
        <v>1</v>
      </c>
      <c r="R230" s="894">
        <f t="shared" si="14"/>
        <v>0</v>
      </c>
    </row>
    <row r="231" spans="1:18" s="847" customFormat="1">
      <c r="A231" s="905"/>
      <c r="B231" s="914" t="s">
        <v>3445</v>
      </c>
      <c r="C231" s="915"/>
      <c r="D231" s="915"/>
      <c r="E231" s="916" t="s">
        <v>3993</v>
      </c>
      <c r="F231" s="917" t="s">
        <v>136</v>
      </c>
      <c r="G231" s="918"/>
      <c r="H231" s="919"/>
      <c r="I231" s="920"/>
      <c r="J231" s="891">
        <f>SUM(J232:J233)</f>
        <v>0</v>
      </c>
      <c r="K231" s="891"/>
      <c r="L231" s="891">
        <f>SUM(L232:L233)</f>
        <v>98497.9</v>
      </c>
      <c r="M231" s="891"/>
      <c r="N231" s="891">
        <f>SUM(N232:N233)</f>
        <v>0</v>
      </c>
      <c r="O231" s="892">
        <f t="shared" si="12"/>
        <v>1</v>
      </c>
      <c r="P231" s="903">
        <f t="shared" si="15"/>
        <v>0</v>
      </c>
      <c r="Q231" s="893">
        <f t="shared" si="13"/>
        <v>0</v>
      </c>
      <c r="R231" s="894">
        <f t="shared" si="14"/>
        <v>2</v>
      </c>
    </row>
    <row r="232" spans="1:18" s="904" customFormat="1">
      <c r="A232" s="895"/>
      <c r="B232" s="896"/>
      <c r="C232" s="897"/>
      <c r="D232" s="897"/>
      <c r="E232" s="898" t="s">
        <v>276</v>
      </c>
      <c r="F232" s="899"/>
      <c r="G232" s="900"/>
      <c r="H232" s="901"/>
      <c r="I232" s="902"/>
      <c r="J232" s="902"/>
      <c r="K232" s="912" t="s">
        <v>274</v>
      </c>
      <c r="L232" s="902"/>
      <c r="M232" s="902"/>
      <c r="N232" s="902"/>
      <c r="O232" s="892">
        <f t="shared" si="12"/>
        <v>0</v>
      </c>
      <c r="P232" s="903">
        <f t="shared" si="15"/>
        <v>1</v>
      </c>
      <c r="Q232" s="893">
        <f t="shared" si="13"/>
        <v>2</v>
      </c>
      <c r="R232" s="894">
        <f t="shared" si="14"/>
        <v>0</v>
      </c>
    </row>
    <row r="233" spans="1:18">
      <c r="A233" s="905"/>
      <c r="B233" s="906"/>
      <c r="C233" s="907">
        <v>730</v>
      </c>
      <c r="D233" s="907" t="s">
        <v>12</v>
      </c>
      <c r="E233" s="908" t="s">
        <v>3921</v>
      </c>
      <c r="F233" s="909" t="s">
        <v>2674</v>
      </c>
      <c r="G233" s="910"/>
      <c r="H233" s="911">
        <v>0.47</v>
      </c>
      <c r="I233" s="912"/>
      <c r="J233" s="912"/>
      <c r="K233" s="912">
        <f>VLOOKUP(E233,ĐMNC!$A$7:$F$67,3,0)</f>
        <v>209570</v>
      </c>
      <c r="L233" s="912">
        <f>H233*K233</f>
        <v>98497.9</v>
      </c>
      <c r="M233" s="912"/>
      <c r="N233" s="912"/>
      <c r="O233" s="892">
        <f t="shared" si="12"/>
        <v>0</v>
      </c>
      <c r="P233" s="903">
        <f t="shared" si="15"/>
        <v>1</v>
      </c>
      <c r="Q233" s="893">
        <f t="shared" si="13"/>
        <v>1</v>
      </c>
      <c r="R233" s="894">
        <f t="shared" si="14"/>
        <v>0</v>
      </c>
    </row>
    <row r="234" spans="1:18" s="847" customFormat="1">
      <c r="A234" s="905"/>
      <c r="B234" s="914" t="s">
        <v>3447</v>
      </c>
      <c r="C234" s="915"/>
      <c r="D234" s="915"/>
      <c r="E234" s="916" t="s">
        <v>3994</v>
      </c>
      <c r="F234" s="917" t="s">
        <v>136</v>
      </c>
      <c r="G234" s="918"/>
      <c r="H234" s="919"/>
      <c r="I234" s="920"/>
      <c r="J234" s="891">
        <f>SUM(J235:J236)</f>
        <v>0</v>
      </c>
      <c r="K234" s="891"/>
      <c r="L234" s="891">
        <f>SUM(L235:L236)</f>
        <v>132029.1</v>
      </c>
      <c r="M234" s="891"/>
      <c r="N234" s="891">
        <f>SUM(N235:N236)</f>
        <v>0</v>
      </c>
      <c r="O234" s="892">
        <f t="shared" si="12"/>
        <v>1</v>
      </c>
      <c r="P234" s="903">
        <f t="shared" si="15"/>
        <v>0</v>
      </c>
      <c r="Q234" s="893">
        <f t="shared" si="13"/>
        <v>0</v>
      </c>
      <c r="R234" s="894">
        <f t="shared" si="14"/>
        <v>2</v>
      </c>
    </row>
    <row r="235" spans="1:18" s="904" customFormat="1">
      <c r="A235" s="895"/>
      <c r="B235" s="896"/>
      <c r="C235" s="897"/>
      <c r="D235" s="897"/>
      <c r="E235" s="898" t="s">
        <v>276</v>
      </c>
      <c r="F235" s="899"/>
      <c r="G235" s="900"/>
      <c r="H235" s="901"/>
      <c r="I235" s="902"/>
      <c r="J235" s="902"/>
      <c r="K235" s="912" t="s">
        <v>274</v>
      </c>
      <c r="L235" s="902"/>
      <c r="M235" s="902"/>
      <c r="N235" s="902"/>
      <c r="O235" s="892">
        <f t="shared" si="12"/>
        <v>0</v>
      </c>
      <c r="P235" s="903">
        <f t="shared" si="15"/>
        <v>1</v>
      </c>
      <c r="Q235" s="893">
        <f t="shared" si="13"/>
        <v>2</v>
      </c>
      <c r="R235" s="894">
        <f t="shared" si="14"/>
        <v>0</v>
      </c>
    </row>
    <row r="236" spans="1:18">
      <c r="A236" s="905"/>
      <c r="B236" s="906"/>
      <c r="C236" s="907">
        <v>730</v>
      </c>
      <c r="D236" s="907" t="s">
        <v>12</v>
      </c>
      <c r="E236" s="908" t="s">
        <v>3921</v>
      </c>
      <c r="F236" s="909" t="s">
        <v>2674</v>
      </c>
      <c r="G236" s="910"/>
      <c r="H236" s="911">
        <v>0.63</v>
      </c>
      <c r="I236" s="912"/>
      <c r="J236" s="912"/>
      <c r="K236" s="912">
        <f>VLOOKUP(E236,ĐMNC!$A$7:$F$67,3,0)</f>
        <v>209570</v>
      </c>
      <c r="L236" s="912">
        <f>H236*K236</f>
        <v>132029.1</v>
      </c>
      <c r="M236" s="912"/>
      <c r="N236" s="912"/>
      <c r="O236" s="892">
        <f t="shared" si="12"/>
        <v>0</v>
      </c>
      <c r="P236" s="903">
        <f t="shared" si="15"/>
        <v>1</v>
      </c>
      <c r="Q236" s="893">
        <f t="shared" si="13"/>
        <v>1</v>
      </c>
      <c r="R236" s="894">
        <f t="shared" si="14"/>
        <v>0</v>
      </c>
    </row>
    <row r="237" spans="1:18" s="847" customFormat="1">
      <c r="A237" s="905"/>
      <c r="B237" s="914" t="s">
        <v>3449</v>
      </c>
      <c r="C237" s="915"/>
      <c r="D237" s="915"/>
      <c r="E237" s="916" t="s">
        <v>3995</v>
      </c>
      <c r="F237" s="917" t="s">
        <v>136</v>
      </c>
      <c r="G237" s="918"/>
      <c r="H237" s="919"/>
      <c r="I237" s="920"/>
      <c r="J237" s="891">
        <f>SUM(J238:J239)</f>
        <v>0</v>
      </c>
      <c r="K237" s="891"/>
      <c r="L237" s="891">
        <f>SUM(L238:L239)</f>
        <v>123646.29999999999</v>
      </c>
      <c r="M237" s="891"/>
      <c r="N237" s="891">
        <f>SUM(N238:N239)</f>
        <v>0</v>
      </c>
      <c r="O237" s="892">
        <f t="shared" si="12"/>
        <v>1</v>
      </c>
      <c r="P237" s="903">
        <f t="shared" si="15"/>
        <v>0</v>
      </c>
      <c r="Q237" s="893">
        <f t="shared" si="13"/>
        <v>0</v>
      </c>
      <c r="R237" s="894">
        <f t="shared" si="14"/>
        <v>2</v>
      </c>
    </row>
    <row r="238" spans="1:18" s="904" customFormat="1">
      <c r="A238" s="895"/>
      <c r="B238" s="896"/>
      <c r="C238" s="897"/>
      <c r="D238" s="897"/>
      <c r="E238" s="898" t="s">
        <v>276</v>
      </c>
      <c r="F238" s="899"/>
      <c r="G238" s="900"/>
      <c r="H238" s="901"/>
      <c r="I238" s="902"/>
      <c r="J238" s="902"/>
      <c r="K238" s="912" t="s">
        <v>274</v>
      </c>
      <c r="L238" s="902"/>
      <c r="M238" s="902"/>
      <c r="N238" s="902"/>
      <c r="O238" s="892">
        <f t="shared" si="12"/>
        <v>0</v>
      </c>
      <c r="P238" s="903">
        <f t="shared" si="15"/>
        <v>1</v>
      </c>
      <c r="Q238" s="893">
        <f t="shared" si="13"/>
        <v>2</v>
      </c>
      <c r="R238" s="894">
        <f t="shared" si="14"/>
        <v>0</v>
      </c>
    </row>
    <row r="239" spans="1:18">
      <c r="A239" s="905"/>
      <c r="B239" s="906"/>
      <c r="C239" s="907">
        <v>730</v>
      </c>
      <c r="D239" s="907" t="s">
        <v>12</v>
      </c>
      <c r="E239" s="908" t="s">
        <v>3921</v>
      </c>
      <c r="F239" s="909" t="s">
        <v>2674</v>
      </c>
      <c r="G239" s="910"/>
      <c r="H239" s="911">
        <v>0.59</v>
      </c>
      <c r="I239" s="912"/>
      <c r="J239" s="912"/>
      <c r="K239" s="912">
        <f>VLOOKUP(E239,ĐMNC!$A$7:$F$67,3,0)</f>
        <v>209570</v>
      </c>
      <c r="L239" s="912">
        <f>H239*K239</f>
        <v>123646.29999999999</v>
      </c>
      <c r="M239" s="912"/>
      <c r="N239" s="912"/>
      <c r="O239" s="892">
        <f t="shared" si="12"/>
        <v>0</v>
      </c>
      <c r="P239" s="903">
        <f t="shared" si="15"/>
        <v>1</v>
      </c>
      <c r="Q239" s="893">
        <f t="shared" si="13"/>
        <v>1</v>
      </c>
      <c r="R239" s="894">
        <f t="shared" si="14"/>
        <v>0</v>
      </c>
    </row>
    <row r="240" spans="1:18" s="847" customFormat="1">
      <c r="A240" s="905"/>
      <c r="B240" s="914" t="s">
        <v>3451</v>
      </c>
      <c r="C240" s="915"/>
      <c r="D240" s="915"/>
      <c r="E240" s="916" t="s">
        <v>3996</v>
      </c>
      <c r="F240" s="917" t="s">
        <v>136</v>
      </c>
      <c r="G240" s="918"/>
      <c r="H240" s="919"/>
      <c r="I240" s="920"/>
      <c r="J240" s="891">
        <f>SUM(J241:J242)</f>
        <v>0</v>
      </c>
      <c r="K240" s="891"/>
      <c r="L240" s="891">
        <f>SUM(L241:L242)</f>
        <v>157177.5</v>
      </c>
      <c r="M240" s="891"/>
      <c r="N240" s="891">
        <f>SUM(N241:N242)</f>
        <v>0</v>
      </c>
      <c r="O240" s="892">
        <f t="shared" si="12"/>
        <v>1</v>
      </c>
      <c r="P240" s="903">
        <f t="shared" si="15"/>
        <v>0</v>
      </c>
      <c r="Q240" s="893">
        <f t="shared" si="13"/>
        <v>0</v>
      </c>
      <c r="R240" s="894">
        <f t="shared" si="14"/>
        <v>2</v>
      </c>
    </row>
    <row r="241" spans="1:18" s="904" customFormat="1">
      <c r="A241" s="895"/>
      <c r="B241" s="896"/>
      <c r="C241" s="897"/>
      <c r="D241" s="897"/>
      <c r="E241" s="898" t="s">
        <v>276</v>
      </c>
      <c r="F241" s="899"/>
      <c r="G241" s="900"/>
      <c r="H241" s="901"/>
      <c r="I241" s="902"/>
      <c r="J241" s="902"/>
      <c r="K241" s="912" t="s">
        <v>274</v>
      </c>
      <c r="L241" s="902"/>
      <c r="M241" s="902"/>
      <c r="N241" s="902"/>
      <c r="O241" s="892">
        <f t="shared" si="12"/>
        <v>0</v>
      </c>
      <c r="P241" s="903">
        <f t="shared" si="15"/>
        <v>1</v>
      </c>
      <c r="Q241" s="893">
        <f t="shared" si="13"/>
        <v>2</v>
      </c>
      <c r="R241" s="894">
        <f t="shared" si="14"/>
        <v>0</v>
      </c>
    </row>
    <row r="242" spans="1:18">
      <c r="A242" s="905"/>
      <c r="B242" s="906"/>
      <c r="C242" s="907">
        <v>730</v>
      </c>
      <c r="D242" s="907" t="s">
        <v>12</v>
      </c>
      <c r="E242" s="908" t="s">
        <v>3921</v>
      </c>
      <c r="F242" s="909" t="s">
        <v>2674</v>
      </c>
      <c r="G242" s="910"/>
      <c r="H242" s="911">
        <v>0.75</v>
      </c>
      <c r="I242" s="912"/>
      <c r="J242" s="912"/>
      <c r="K242" s="912">
        <f>VLOOKUP(E242,ĐMNC!$A$7:$F$67,3,0)</f>
        <v>209570</v>
      </c>
      <c r="L242" s="912">
        <f>H242*K242</f>
        <v>157177.5</v>
      </c>
      <c r="M242" s="912"/>
      <c r="N242" s="912"/>
      <c r="O242" s="892">
        <f t="shared" si="12"/>
        <v>0</v>
      </c>
      <c r="P242" s="903">
        <f t="shared" si="15"/>
        <v>1</v>
      </c>
      <c r="Q242" s="893">
        <f t="shared" si="13"/>
        <v>1</v>
      </c>
      <c r="R242" s="894">
        <f t="shared" si="14"/>
        <v>0</v>
      </c>
    </row>
    <row r="243" spans="1:18" s="847" customFormat="1">
      <c r="A243" s="905"/>
      <c r="B243" s="914" t="s">
        <v>3453</v>
      </c>
      <c r="C243" s="915"/>
      <c r="D243" s="915"/>
      <c r="E243" s="916" t="s">
        <v>3997</v>
      </c>
      <c r="F243" s="917" t="s">
        <v>136</v>
      </c>
      <c r="G243" s="918"/>
      <c r="H243" s="919"/>
      <c r="I243" s="920"/>
      <c r="J243" s="891">
        <f>SUM(J244:J245)</f>
        <v>0</v>
      </c>
      <c r="K243" s="891"/>
      <c r="L243" s="891">
        <f>SUM(L244:L245)</f>
        <v>163464.6</v>
      </c>
      <c r="M243" s="891"/>
      <c r="N243" s="891">
        <f>SUM(N244:N245)</f>
        <v>0</v>
      </c>
      <c r="O243" s="892">
        <f t="shared" si="12"/>
        <v>1</v>
      </c>
      <c r="P243" s="903">
        <f t="shared" si="15"/>
        <v>0</v>
      </c>
      <c r="Q243" s="893">
        <f t="shared" si="13"/>
        <v>0</v>
      </c>
      <c r="R243" s="894">
        <f t="shared" si="14"/>
        <v>2</v>
      </c>
    </row>
    <row r="244" spans="1:18" s="904" customFormat="1">
      <c r="A244" s="895"/>
      <c r="B244" s="896"/>
      <c r="C244" s="897"/>
      <c r="D244" s="897"/>
      <c r="E244" s="898" t="s">
        <v>276</v>
      </c>
      <c r="F244" s="899"/>
      <c r="G244" s="900"/>
      <c r="H244" s="901"/>
      <c r="I244" s="902"/>
      <c r="J244" s="902"/>
      <c r="K244" s="912" t="s">
        <v>274</v>
      </c>
      <c r="L244" s="902"/>
      <c r="M244" s="902"/>
      <c r="N244" s="902"/>
      <c r="O244" s="892">
        <f t="shared" si="12"/>
        <v>0</v>
      </c>
      <c r="P244" s="903">
        <f t="shared" si="15"/>
        <v>1</v>
      </c>
      <c r="Q244" s="893">
        <f t="shared" si="13"/>
        <v>2</v>
      </c>
      <c r="R244" s="894">
        <f t="shared" si="14"/>
        <v>0</v>
      </c>
    </row>
    <row r="245" spans="1:18">
      <c r="A245" s="905"/>
      <c r="B245" s="906"/>
      <c r="C245" s="907">
        <v>730</v>
      </c>
      <c r="D245" s="907" t="s">
        <v>12</v>
      </c>
      <c r="E245" s="908" t="s">
        <v>3921</v>
      </c>
      <c r="F245" s="909" t="s">
        <v>2674</v>
      </c>
      <c r="G245" s="910"/>
      <c r="H245" s="911">
        <v>0.78</v>
      </c>
      <c r="I245" s="912"/>
      <c r="J245" s="912"/>
      <c r="K245" s="912">
        <f>VLOOKUP(E245,ĐMNC!$A$7:$F$67,3,0)</f>
        <v>209570</v>
      </c>
      <c r="L245" s="912">
        <f>H245*K245</f>
        <v>163464.6</v>
      </c>
      <c r="M245" s="912"/>
      <c r="N245" s="912"/>
      <c r="O245" s="892">
        <f t="shared" si="12"/>
        <v>0</v>
      </c>
      <c r="P245" s="903">
        <f t="shared" si="15"/>
        <v>1</v>
      </c>
      <c r="Q245" s="893">
        <f t="shared" si="13"/>
        <v>1</v>
      </c>
      <c r="R245" s="894">
        <f t="shared" si="14"/>
        <v>0</v>
      </c>
    </row>
    <row r="246" spans="1:18" s="847" customFormat="1">
      <c r="A246" s="905"/>
      <c r="B246" s="914" t="s">
        <v>3455</v>
      </c>
      <c r="C246" s="915"/>
      <c r="D246" s="915"/>
      <c r="E246" s="916" t="s">
        <v>3998</v>
      </c>
      <c r="F246" s="917" t="s">
        <v>136</v>
      </c>
      <c r="G246" s="918"/>
      <c r="H246" s="919"/>
      <c r="I246" s="920"/>
      <c r="J246" s="891">
        <f>SUM(J247:J248)</f>
        <v>0</v>
      </c>
      <c r="K246" s="891"/>
      <c r="L246" s="891">
        <f>SUM(L247:L248)</f>
        <v>123646.29999999999</v>
      </c>
      <c r="M246" s="891"/>
      <c r="N246" s="891">
        <f>SUM(N247:N248)</f>
        <v>0</v>
      </c>
      <c r="O246" s="892">
        <f t="shared" si="12"/>
        <v>1</v>
      </c>
      <c r="P246" s="903">
        <f t="shared" si="15"/>
        <v>0</v>
      </c>
      <c r="Q246" s="893">
        <f t="shared" si="13"/>
        <v>0</v>
      </c>
      <c r="R246" s="894">
        <f t="shared" si="14"/>
        <v>2</v>
      </c>
    </row>
    <row r="247" spans="1:18" s="904" customFormat="1">
      <c r="A247" s="895"/>
      <c r="B247" s="896"/>
      <c r="C247" s="897"/>
      <c r="D247" s="897"/>
      <c r="E247" s="898" t="s">
        <v>276</v>
      </c>
      <c r="F247" s="899"/>
      <c r="G247" s="900"/>
      <c r="H247" s="901"/>
      <c r="I247" s="902"/>
      <c r="J247" s="902"/>
      <c r="K247" s="912" t="s">
        <v>274</v>
      </c>
      <c r="L247" s="902"/>
      <c r="M247" s="902"/>
      <c r="N247" s="902"/>
      <c r="O247" s="892">
        <f t="shared" si="12"/>
        <v>0</v>
      </c>
      <c r="P247" s="903">
        <f t="shared" si="15"/>
        <v>1</v>
      </c>
      <c r="Q247" s="893">
        <f t="shared" si="13"/>
        <v>2</v>
      </c>
      <c r="R247" s="894">
        <f t="shared" si="14"/>
        <v>0</v>
      </c>
    </row>
    <row r="248" spans="1:18">
      <c r="A248" s="905"/>
      <c r="B248" s="906"/>
      <c r="C248" s="907">
        <v>730</v>
      </c>
      <c r="D248" s="907" t="s">
        <v>12</v>
      </c>
      <c r="E248" s="908" t="s">
        <v>3921</v>
      </c>
      <c r="F248" s="909" t="s">
        <v>2674</v>
      </c>
      <c r="G248" s="910"/>
      <c r="H248" s="911">
        <v>0.59</v>
      </c>
      <c r="I248" s="912"/>
      <c r="J248" s="912"/>
      <c r="K248" s="912">
        <f>VLOOKUP(E248,ĐMNC!$A$7:$F$67,3,0)</f>
        <v>209570</v>
      </c>
      <c r="L248" s="912">
        <f>H248*K248</f>
        <v>123646.29999999999</v>
      </c>
      <c r="M248" s="912"/>
      <c r="N248" s="912"/>
      <c r="O248" s="892">
        <f t="shared" si="12"/>
        <v>0</v>
      </c>
      <c r="P248" s="903">
        <f t="shared" si="15"/>
        <v>1</v>
      </c>
      <c r="Q248" s="893">
        <f>IF(P248=0,0,P248+Q249)</f>
        <v>1</v>
      </c>
      <c r="R248" s="894">
        <f>IF(Q248=0,Q249,0)</f>
        <v>0</v>
      </c>
    </row>
    <row r="249" spans="1:18" s="847" customFormat="1">
      <c r="A249" s="905"/>
      <c r="B249" s="914" t="s">
        <v>3458</v>
      </c>
      <c r="C249" s="915"/>
      <c r="D249" s="915"/>
      <c r="E249" s="916" t="s">
        <v>3999</v>
      </c>
      <c r="F249" s="917" t="s">
        <v>136</v>
      </c>
      <c r="G249" s="918"/>
      <c r="H249" s="919"/>
      <c r="I249" s="920"/>
      <c r="J249" s="891">
        <f>SUM(J250:J251)</f>
        <v>0</v>
      </c>
      <c r="K249" s="891"/>
      <c r="L249" s="891">
        <f>SUM(L250:L251)</f>
        <v>96402.2</v>
      </c>
      <c r="M249" s="891"/>
      <c r="N249" s="891">
        <f>SUM(N250:N251)</f>
        <v>0</v>
      </c>
      <c r="O249" s="892">
        <f t="shared" si="12"/>
        <v>1</v>
      </c>
      <c r="P249" s="903">
        <f>IF(O249=0,1,0)</f>
        <v>0</v>
      </c>
      <c r="Q249" s="893">
        <f>IF(P249=0,0,P249+Q250)</f>
        <v>0</v>
      </c>
      <c r="R249" s="894">
        <f>IF(Q249=0,Q250,0)</f>
        <v>2</v>
      </c>
    </row>
    <row r="250" spans="1:18" s="904" customFormat="1">
      <c r="A250" s="895"/>
      <c r="B250" s="896"/>
      <c r="C250" s="897"/>
      <c r="D250" s="897"/>
      <c r="E250" s="898" t="s">
        <v>276</v>
      </c>
      <c r="F250" s="899"/>
      <c r="G250" s="900"/>
      <c r="H250" s="901"/>
      <c r="I250" s="902"/>
      <c r="J250" s="902"/>
      <c r="K250" s="912" t="s">
        <v>274</v>
      </c>
      <c r="L250" s="902"/>
      <c r="M250" s="902"/>
      <c r="N250" s="902"/>
      <c r="O250" s="892">
        <f t="shared" si="12"/>
        <v>0</v>
      </c>
      <c r="P250" s="903">
        <f>IF(O250=0,1,0)</f>
        <v>1</v>
      </c>
      <c r="Q250" s="893">
        <f>IF(P250=0,0,P250+Q251)</f>
        <v>2</v>
      </c>
      <c r="R250" s="894">
        <f>IF(Q250=0,Q251,0)</f>
        <v>0</v>
      </c>
    </row>
    <row r="251" spans="1:18">
      <c r="A251" s="905"/>
      <c r="B251" s="906"/>
      <c r="C251" s="907">
        <v>730</v>
      </c>
      <c r="D251" s="907" t="s">
        <v>12</v>
      </c>
      <c r="E251" s="908" t="s">
        <v>3921</v>
      </c>
      <c r="F251" s="909" t="s">
        <v>2674</v>
      </c>
      <c r="G251" s="910"/>
      <c r="H251" s="911">
        <v>0.46</v>
      </c>
      <c r="I251" s="912"/>
      <c r="J251" s="912"/>
      <c r="K251" s="912">
        <f>VLOOKUP(E251,ĐMNC!$A$7:$F$67,3,0)</f>
        <v>209570</v>
      </c>
      <c r="L251" s="912">
        <f>H251*K251</f>
        <v>96402.2</v>
      </c>
      <c r="M251" s="912"/>
      <c r="N251" s="912"/>
      <c r="O251" s="892">
        <f t="shared" si="12"/>
        <v>0</v>
      </c>
      <c r="P251" s="903">
        <f>IF(O251=0,1,0)</f>
        <v>1</v>
      </c>
      <c r="Q251" s="893">
        <f>IF(P251=0,0,P251+Q252)</f>
        <v>1</v>
      </c>
      <c r="R251" s="894">
        <f>IF(Q251=0,Q252,0)</f>
        <v>0</v>
      </c>
    </row>
    <row r="252" spans="1:18">
      <c r="A252" s="905"/>
      <c r="B252" s="906" t="s">
        <v>975</v>
      </c>
      <c r="C252" s="907"/>
      <c r="D252" s="907"/>
      <c r="E252" s="887" t="s">
        <v>4000</v>
      </c>
      <c r="F252" s="909"/>
      <c r="G252" s="910"/>
      <c r="H252" s="911"/>
      <c r="I252" s="912"/>
      <c r="J252" s="912"/>
      <c r="K252" s="912"/>
      <c r="L252" s="912"/>
      <c r="M252" s="912"/>
      <c r="N252" s="912"/>
      <c r="O252" s="892"/>
      <c r="P252" s="903"/>
      <c r="Q252" s="893"/>
      <c r="R252" s="894"/>
    </row>
    <row r="253" spans="1:18" s="847" customFormat="1" ht="31.5">
      <c r="A253" s="905" t="s">
        <v>4001</v>
      </c>
      <c r="B253" s="914" t="s">
        <v>4002</v>
      </c>
      <c r="C253" s="915"/>
      <c r="D253" s="915"/>
      <c r="E253" s="916" t="s">
        <v>4003</v>
      </c>
      <c r="F253" s="917" t="s">
        <v>1206</v>
      </c>
      <c r="G253" s="918"/>
      <c r="H253" s="919"/>
      <c r="I253" s="920"/>
      <c r="J253" s="891">
        <f>SUM(J254:J259)</f>
        <v>24931.915000000001</v>
      </c>
      <c r="K253" s="891"/>
      <c r="L253" s="891">
        <f>SUM(L254:L259)</f>
        <v>758142</v>
      </c>
      <c r="M253" s="891"/>
      <c r="N253" s="891">
        <f>SUM(N254:N259)</f>
        <v>0</v>
      </c>
      <c r="O253" s="892">
        <f t="shared" ref="O253:O316" si="16">IF(AND(B253&lt;&gt;"",D253=""),1,0)</f>
        <v>1</v>
      </c>
      <c r="P253" s="903">
        <f t="shared" ref="P253:P316" si="17">IF(O253=0,1,0)</f>
        <v>0</v>
      </c>
      <c r="Q253" s="893">
        <f t="shared" ref="Q253:Q316" si="18">IF(P253=0,0,P253+Q254)</f>
        <v>0</v>
      </c>
      <c r="R253" s="894">
        <f t="shared" ref="R253:R316" si="19">IF(Q253=0,Q254,0)</f>
        <v>6</v>
      </c>
    </row>
    <row r="254" spans="1:18" s="904" customFormat="1">
      <c r="A254" s="895"/>
      <c r="B254" s="922"/>
      <c r="C254" s="897"/>
      <c r="D254" s="897"/>
      <c r="E254" s="924" t="s">
        <v>108</v>
      </c>
      <c r="F254" s="899"/>
      <c r="G254" s="900"/>
      <c r="H254" s="901"/>
      <c r="I254" s="902"/>
      <c r="J254" s="902"/>
      <c r="K254" s="912" t="s">
        <v>274</v>
      </c>
      <c r="L254" s="902"/>
      <c r="M254" s="902"/>
      <c r="N254" s="902"/>
      <c r="O254" s="892">
        <f t="shared" si="16"/>
        <v>0</v>
      </c>
      <c r="P254" s="903">
        <f t="shared" si="17"/>
        <v>1</v>
      </c>
      <c r="Q254" s="893">
        <f t="shared" si="18"/>
        <v>6</v>
      </c>
      <c r="R254" s="894">
        <f t="shared" si="19"/>
        <v>0</v>
      </c>
    </row>
    <row r="255" spans="1:18">
      <c r="A255" s="905"/>
      <c r="B255" s="914"/>
      <c r="C255" s="907">
        <v>62</v>
      </c>
      <c r="D255" s="907" t="s">
        <v>279</v>
      </c>
      <c r="E255" s="925" t="s">
        <v>4004</v>
      </c>
      <c r="F255" s="926" t="s">
        <v>47</v>
      </c>
      <c r="G255" s="910"/>
      <c r="H255" s="911">
        <v>3.0000000000000001E-3</v>
      </c>
      <c r="I255" s="912">
        <f>VLOOKUP(E255,[3]VLP!$B$7:$K$300,10,0)</f>
        <v>3545455</v>
      </c>
      <c r="J255" s="912">
        <f>I255*H255</f>
        <v>10636.365</v>
      </c>
      <c r="K255" s="912" t="s">
        <v>274</v>
      </c>
      <c r="L255" s="912"/>
      <c r="M255" s="912"/>
      <c r="N255" s="912"/>
      <c r="O255" s="892">
        <f t="shared" si="16"/>
        <v>0</v>
      </c>
      <c r="P255" s="903">
        <f t="shared" si="17"/>
        <v>1</v>
      </c>
      <c r="Q255" s="893">
        <f t="shared" si="18"/>
        <v>5</v>
      </c>
      <c r="R255" s="894">
        <f t="shared" si="19"/>
        <v>0</v>
      </c>
    </row>
    <row r="256" spans="1:18">
      <c r="A256" s="905"/>
      <c r="B256" s="914"/>
      <c r="C256" s="907">
        <v>118</v>
      </c>
      <c r="D256" s="907" t="s">
        <v>279</v>
      </c>
      <c r="E256" s="925" t="s">
        <v>4005</v>
      </c>
      <c r="F256" s="926" t="s">
        <v>45</v>
      </c>
      <c r="G256" s="910"/>
      <c r="H256" s="911">
        <v>0.35</v>
      </c>
      <c r="I256" s="912">
        <f>VLOOKUP(E256,[3]VLP!$B$7:$K$300,10,0)</f>
        <v>12273</v>
      </c>
      <c r="J256" s="912">
        <f>I256*H256</f>
        <v>4295.55</v>
      </c>
      <c r="K256" s="912" t="s">
        <v>274</v>
      </c>
      <c r="L256" s="912"/>
      <c r="M256" s="912"/>
      <c r="N256" s="912"/>
      <c r="O256" s="892">
        <f t="shared" si="16"/>
        <v>0</v>
      </c>
      <c r="P256" s="903">
        <f t="shared" si="17"/>
        <v>1</v>
      </c>
      <c r="Q256" s="893">
        <f t="shared" si="18"/>
        <v>4</v>
      </c>
      <c r="R256" s="894">
        <f t="shared" si="19"/>
        <v>0</v>
      </c>
    </row>
    <row r="257" spans="1:18">
      <c r="A257" s="905"/>
      <c r="B257" s="914"/>
      <c r="C257" s="907">
        <v>699</v>
      </c>
      <c r="D257" s="907" t="s">
        <v>279</v>
      </c>
      <c r="E257" s="925" t="s">
        <v>4006</v>
      </c>
      <c r="F257" s="926" t="s">
        <v>4007</v>
      </c>
      <c r="G257" s="910"/>
      <c r="H257" s="911">
        <v>2</v>
      </c>
      <c r="I257" s="912">
        <f>VLOOKUP(E257,[3]VLP!$B$7:$K$300,10,0)</f>
        <v>5000</v>
      </c>
      <c r="J257" s="912">
        <f>I257*H257</f>
        <v>10000</v>
      </c>
      <c r="K257" s="912" t="s">
        <v>274</v>
      </c>
      <c r="L257" s="912"/>
      <c r="M257" s="912"/>
      <c r="N257" s="912"/>
      <c r="O257" s="892">
        <f t="shared" si="16"/>
        <v>0</v>
      </c>
      <c r="P257" s="903">
        <f t="shared" si="17"/>
        <v>1</v>
      </c>
      <c r="Q257" s="893">
        <f t="shared" si="18"/>
        <v>3</v>
      </c>
      <c r="R257" s="894">
        <f t="shared" si="19"/>
        <v>0</v>
      </c>
    </row>
    <row r="258" spans="1:18" s="904" customFormat="1">
      <c r="A258" s="895"/>
      <c r="B258" s="922"/>
      <c r="C258" s="897"/>
      <c r="D258" s="897"/>
      <c r="E258" s="898" t="s">
        <v>276</v>
      </c>
      <c r="F258" s="927"/>
      <c r="G258" s="928"/>
      <c r="H258" s="901"/>
      <c r="I258" s="902"/>
      <c r="J258" s="902"/>
      <c r="K258" s="912" t="s">
        <v>274</v>
      </c>
      <c r="L258" s="902"/>
      <c r="M258" s="902"/>
      <c r="N258" s="902"/>
      <c r="O258" s="892">
        <f t="shared" si="16"/>
        <v>0</v>
      </c>
      <c r="P258" s="903">
        <f t="shared" si="17"/>
        <v>1</v>
      </c>
      <c r="Q258" s="893">
        <f t="shared" si="18"/>
        <v>2</v>
      </c>
      <c r="R258" s="894">
        <f t="shared" si="19"/>
        <v>0</v>
      </c>
    </row>
    <row r="259" spans="1:18">
      <c r="A259" s="905"/>
      <c r="B259" s="914"/>
      <c r="C259" s="907">
        <v>740</v>
      </c>
      <c r="D259" s="907" t="s">
        <v>12</v>
      </c>
      <c r="E259" s="908" t="s">
        <v>4008</v>
      </c>
      <c r="F259" s="909" t="s">
        <v>2674</v>
      </c>
      <c r="G259" s="910"/>
      <c r="H259" s="911">
        <v>3</v>
      </c>
      <c r="I259" s="912"/>
      <c r="J259" s="912"/>
      <c r="K259" s="912">
        <f>VLOOKUP(E259,ĐMNC!$A$7:$F$67,4,0)</f>
        <v>252714</v>
      </c>
      <c r="L259" s="912">
        <f>H259*K259</f>
        <v>758142</v>
      </c>
      <c r="M259" s="912"/>
      <c r="N259" s="912"/>
      <c r="O259" s="892">
        <f t="shared" si="16"/>
        <v>0</v>
      </c>
      <c r="P259" s="903">
        <f t="shared" si="17"/>
        <v>1</v>
      </c>
      <c r="Q259" s="893">
        <f t="shared" si="18"/>
        <v>1</v>
      </c>
      <c r="R259" s="894">
        <f t="shared" si="19"/>
        <v>0</v>
      </c>
    </row>
    <row r="260" spans="1:18" s="847" customFormat="1">
      <c r="A260" s="905"/>
      <c r="B260" s="914" t="s">
        <v>4009</v>
      </c>
      <c r="C260" s="915"/>
      <c r="D260" s="915"/>
      <c r="E260" s="916" t="s">
        <v>4010</v>
      </c>
      <c r="F260" s="917" t="s">
        <v>1206</v>
      </c>
      <c r="G260" s="918"/>
      <c r="H260" s="919"/>
      <c r="I260" s="920"/>
      <c r="J260" s="891">
        <f>SUM(J261:J266)</f>
        <v>24931.915000000001</v>
      </c>
      <c r="K260" s="891"/>
      <c r="L260" s="891">
        <f>SUM(L261:L266)</f>
        <v>796049.1</v>
      </c>
      <c r="M260" s="891"/>
      <c r="N260" s="891">
        <f>SUM(N261:N266)</f>
        <v>0</v>
      </c>
      <c r="O260" s="892">
        <f t="shared" si="16"/>
        <v>1</v>
      </c>
      <c r="P260" s="903">
        <f t="shared" si="17"/>
        <v>0</v>
      </c>
      <c r="Q260" s="893">
        <f t="shared" si="18"/>
        <v>0</v>
      </c>
      <c r="R260" s="894">
        <f t="shared" si="19"/>
        <v>6</v>
      </c>
    </row>
    <row r="261" spans="1:18" s="904" customFormat="1">
      <c r="A261" s="895"/>
      <c r="B261" s="922"/>
      <c r="C261" s="897"/>
      <c r="D261" s="897"/>
      <c r="E261" s="924" t="s">
        <v>108</v>
      </c>
      <c r="F261" s="899"/>
      <c r="G261" s="900"/>
      <c r="H261" s="901"/>
      <c r="I261" s="902"/>
      <c r="J261" s="902"/>
      <c r="K261" s="912" t="s">
        <v>274</v>
      </c>
      <c r="L261" s="902"/>
      <c r="M261" s="902"/>
      <c r="N261" s="902"/>
      <c r="O261" s="892">
        <f t="shared" si="16"/>
        <v>0</v>
      </c>
      <c r="P261" s="903">
        <f t="shared" si="17"/>
        <v>1</v>
      </c>
      <c r="Q261" s="893">
        <f t="shared" si="18"/>
        <v>6</v>
      </c>
      <c r="R261" s="894">
        <f t="shared" si="19"/>
        <v>0</v>
      </c>
    </row>
    <row r="262" spans="1:18">
      <c r="A262" s="905"/>
      <c r="B262" s="914"/>
      <c r="C262" s="907">
        <v>62</v>
      </c>
      <c r="D262" s="907" t="s">
        <v>279</v>
      </c>
      <c r="E262" s="925" t="s">
        <v>4004</v>
      </c>
      <c r="F262" s="926" t="s">
        <v>47</v>
      </c>
      <c r="G262" s="910"/>
      <c r="H262" s="911">
        <v>3.0000000000000001E-3</v>
      </c>
      <c r="I262" s="912">
        <f>VLOOKUP(E262,[3]VLP!$B$7:$K$300,10,0)</f>
        <v>3545455</v>
      </c>
      <c r="J262" s="912">
        <f>I262*H262</f>
        <v>10636.365</v>
      </c>
      <c r="K262" s="912" t="s">
        <v>274</v>
      </c>
      <c r="L262" s="912"/>
      <c r="M262" s="912"/>
      <c r="N262" s="912"/>
      <c r="O262" s="892">
        <f t="shared" si="16"/>
        <v>0</v>
      </c>
      <c r="P262" s="903">
        <f t="shared" si="17"/>
        <v>1</v>
      </c>
      <c r="Q262" s="893">
        <f t="shared" si="18"/>
        <v>5</v>
      </c>
      <c r="R262" s="894">
        <f t="shared" si="19"/>
        <v>0</v>
      </c>
    </row>
    <row r="263" spans="1:18">
      <c r="A263" s="905"/>
      <c r="B263" s="914"/>
      <c r="C263" s="907">
        <v>118</v>
      </c>
      <c r="D263" s="907" t="s">
        <v>279</v>
      </c>
      <c r="E263" s="925" t="s">
        <v>4005</v>
      </c>
      <c r="F263" s="926" t="s">
        <v>45</v>
      </c>
      <c r="G263" s="910"/>
      <c r="H263" s="911">
        <v>0.35</v>
      </c>
      <c r="I263" s="912">
        <f>VLOOKUP(E263,[3]VLP!$B$7:$K$300,10,0)</f>
        <v>12273</v>
      </c>
      <c r="J263" s="912">
        <f>I263*H263</f>
        <v>4295.55</v>
      </c>
      <c r="K263" s="912" t="s">
        <v>274</v>
      </c>
      <c r="L263" s="912"/>
      <c r="M263" s="912"/>
      <c r="N263" s="912"/>
      <c r="O263" s="892">
        <f t="shared" si="16"/>
        <v>0</v>
      </c>
      <c r="P263" s="903">
        <f t="shared" si="17"/>
        <v>1</v>
      </c>
      <c r="Q263" s="893">
        <f t="shared" si="18"/>
        <v>4</v>
      </c>
      <c r="R263" s="894">
        <f t="shared" si="19"/>
        <v>0</v>
      </c>
    </row>
    <row r="264" spans="1:18">
      <c r="A264" s="905"/>
      <c r="B264" s="914"/>
      <c r="C264" s="907">
        <v>699</v>
      </c>
      <c r="D264" s="907" t="s">
        <v>279</v>
      </c>
      <c r="E264" s="925" t="s">
        <v>4006</v>
      </c>
      <c r="F264" s="926" t="s">
        <v>4007</v>
      </c>
      <c r="G264" s="910"/>
      <c r="H264" s="911">
        <v>2</v>
      </c>
      <c r="I264" s="912">
        <f>VLOOKUP(E264,[3]VLP!$B$7:$K$300,10,0)</f>
        <v>5000</v>
      </c>
      <c r="J264" s="912">
        <f>I264*H264</f>
        <v>10000</v>
      </c>
      <c r="K264" s="912" t="s">
        <v>274</v>
      </c>
      <c r="L264" s="912"/>
      <c r="M264" s="912"/>
      <c r="N264" s="912"/>
      <c r="O264" s="892">
        <f t="shared" si="16"/>
        <v>0</v>
      </c>
      <c r="P264" s="903">
        <f t="shared" si="17"/>
        <v>1</v>
      </c>
      <c r="Q264" s="893">
        <f t="shared" si="18"/>
        <v>3</v>
      </c>
      <c r="R264" s="894">
        <f t="shared" si="19"/>
        <v>0</v>
      </c>
    </row>
    <row r="265" spans="1:18" s="904" customFormat="1">
      <c r="A265" s="895"/>
      <c r="B265" s="922"/>
      <c r="C265" s="897"/>
      <c r="D265" s="897"/>
      <c r="E265" s="898" t="s">
        <v>276</v>
      </c>
      <c r="F265" s="927"/>
      <c r="G265" s="928"/>
      <c r="H265" s="901"/>
      <c r="I265" s="902"/>
      <c r="J265" s="902"/>
      <c r="K265" s="912" t="s">
        <v>274</v>
      </c>
      <c r="L265" s="902"/>
      <c r="M265" s="902"/>
      <c r="N265" s="902"/>
      <c r="O265" s="892">
        <f t="shared" si="16"/>
        <v>0</v>
      </c>
      <c r="P265" s="903">
        <f t="shared" si="17"/>
        <v>1</v>
      </c>
      <c r="Q265" s="893">
        <f t="shared" si="18"/>
        <v>2</v>
      </c>
      <c r="R265" s="894">
        <f t="shared" si="19"/>
        <v>0</v>
      </c>
    </row>
    <row r="266" spans="1:18">
      <c r="A266" s="905"/>
      <c r="B266" s="914"/>
      <c r="C266" s="907">
        <v>740</v>
      </c>
      <c r="D266" s="907" t="s">
        <v>12</v>
      </c>
      <c r="E266" s="908" t="s">
        <v>4008</v>
      </c>
      <c r="F266" s="909" t="s">
        <v>2674</v>
      </c>
      <c r="G266" s="910"/>
      <c r="H266" s="911">
        <v>3.15</v>
      </c>
      <c r="I266" s="912"/>
      <c r="J266" s="912"/>
      <c r="K266" s="912">
        <f>VLOOKUP(E266,ĐMNC!$A$7:$F$67,4,0)</f>
        <v>252714</v>
      </c>
      <c r="L266" s="912">
        <f>H266*K266</f>
        <v>796049.1</v>
      </c>
      <c r="M266" s="912"/>
      <c r="N266" s="912"/>
      <c r="O266" s="892">
        <f t="shared" si="16"/>
        <v>0</v>
      </c>
      <c r="P266" s="903">
        <f t="shared" si="17"/>
        <v>1</v>
      </c>
      <c r="Q266" s="893">
        <f t="shared" si="18"/>
        <v>1</v>
      </c>
      <c r="R266" s="894">
        <f t="shared" si="19"/>
        <v>0</v>
      </c>
    </row>
    <row r="267" spans="1:18" s="847" customFormat="1">
      <c r="A267" s="905"/>
      <c r="B267" s="914" t="s">
        <v>4011</v>
      </c>
      <c r="C267" s="915"/>
      <c r="D267" s="915"/>
      <c r="E267" s="916" t="s">
        <v>4012</v>
      </c>
      <c r="F267" s="917" t="s">
        <v>1206</v>
      </c>
      <c r="G267" s="918"/>
      <c r="H267" s="919"/>
      <c r="I267" s="920"/>
      <c r="J267" s="891">
        <f>SUM(J268:J273)</f>
        <v>46204.644999999997</v>
      </c>
      <c r="K267" s="891"/>
      <c r="L267" s="891">
        <f>SUM(L268:L273)</f>
        <v>909770.4</v>
      </c>
      <c r="M267" s="891"/>
      <c r="N267" s="891">
        <f>SUM(N268:N273)</f>
        <v>0</v>
      </c>
      <c r="O267" s="892">
        <f t="shared" si="16"/>
        <v>1</v>
      </c>
      <c r="P267" s="903">
        <f t="shared" si="17"/>
        <v>0</v>
      </c>
      <c r="Q267" s="893">
        <f t="shared" si="18"/>
        <v>0</v>
      </c>
      <c r="R267" s="894">
        <f t="shared" si="19"/>
        <v>6</v>
      </c>
    </row>
    <row r="268" spans="1:18" s="904" customFormat="1">
      <c r="A268" s="895"/>
      <c r="B268" s="922"/>
      <c r="C268" s="897"/>
      <c r="D268" s="897"/>
      <c r="E268" s="924" t="s">
        <v>108</v>
      </c>
      <c r="F268" s="899"/>
      <c r="G268" s="900"/>
      <c r="H268" s="901"/>
      <c r="I268" s="902"/>
      <c r="J268" s="902"/>
      <c r="K268" s="912" t="s">
        <v>274</v>
      </c>
      <c r="L268" s="902"/>
      <c r="M268" s="902"/>
      <c r="N268" s="902"/>
      <c r="O268" s="892">
        <f t="shared" si="16"/>
        <v>0</v>
      </c>
      <c r="P268" s="903">
        <f t="shared" si="17"/>
        <v>1</v>
      </c>
      <c r="Q268" s="893">
        <f t="shared" si="18"/>
        <v>6</v>
      </c>
      <c r="R268" s="894">
        <f t="shared" si="19"/>
        <v>0</v>
      </c>
    </row>
    <row r="269" spans="1:18">
      <c r="A269" s="905"/>
      <c r="B269" s="914"/>
      <c r="C269" s="907">
        <v>62</v>
      </c>
      <c r="D269" s="907" t="s">
        <v>279</v>
      </c>
      <c r="E269" s="925" t="s">
        <v>4004</v>
      </c>
      <c r="F269" s="926" t="s">
        <v>47</v>
      </c>
      <c r="G269" s="910"/>
      <c r="H269" s="911">
        <v>8.9999999999999993E-3</v>
      </c>
      <c r="I269" s="912">
        <f>VLOOKUP(E269,[3]VLP!$B$7:$K$300,10,0)</f>
        <v>3545455</v>
      </c>
      <c r="J269" s="912">
        <f>I269*H269</f>
        <v>31909.094999999998</v>
      </c>
      <c r="K269" s="912" t="s">
        <v>274</v>
      </c>
      <c r="L269" s="912"/>
      <c r="M269" s="912"/>
      <c r="N269" s="912"/>
      <c r="O269" s="892">
        <f t="shared" si="16"/>
        <v>0</v>
      </c>
      <c r="P269" s="903">
        <f t="shared" si="17"/>
        <v>1</v>
      </c>
      <c r="Q269" s="893">
        <f t="shared" si="18"/>
        <v>5</v>
      </c>
      <c r="R269" s="894">
        <f t="shared" si="19"/>
        <v>0</v>
      </c>
    </row>
    <row r="270" spans="1:18">
      <c r="A270" s="905"/>
      <c r="B270" s="914"/>
      <c r="C270" s="907">
        <v>118</v>
      </c>
      <c r="D270" s="907" t="s">
        <v>279</v>
      </c>
      <c r="E270" s="925" t="s">
        <v>4005</v>
      </c>
      <c r="F270" s="926" t="s">
        <v>45</v>
      </c>
      <c r="G270" s="910"/>
      <c r="H270" s="911">
        <v>0.35</v>
      </c>
      <c r="I270" s="912">
        <f>VLOOKUP(E270,[3]VLP!$B$7:$K$300,10,0)</f>
        <v>12273</v>
      </c>
      <c r="J270" s="912">
        <f>I270*H270</f>
        <v>4295.55</v>
      </c>
      <c r="K270" s="912" t="s">
        <v>274</v>
      </c>
      <c r="L270" s="912"/>
      <c r="M270" s="912"/>
      <c r="N270" s="912"/>
      <c r="O270" s="892">
        <f t="shared" si="16"/>
        <v>0</v>
      </c>
      <c r="P270" s="903">
        <f t="shared" si="17"/>
        <v>1</v>
      </c>
      <c r="Q270" s="893">
        <f t="shared" si="18"/>
        <v>4</v>
      </c>
      <c r="R270" s="894">
        <f t="shared" si="19"/>
        <v>0</v>
      </c>
    </row>
    <row r="271" spans="1:18">
      <c r="A271" s="905"/>
      <c r="B271" s="914"/>
      <c r="C271" s="907">
        <v>699</v>
      </c>
      <c r="D271" s="907" t="s">
        <v>279</v>
      </c>
      <c r="E271" s="925" t="s">
        <v>4006</v>
      </c>
      <c r="F271" s="926" t="s">
        <v>4007</v>
      </c>
      <c r="G271" s="910"/>
      <c r="H271" s="911">
        <v>2</v>
      </c>
      <c r="I271" s="912">
        <f>VLOOKUP(E271,[3]VLP!$B$7:$K$300,10,0)</f>
        <v>5000</v>
      </c>
      <c r="J271" s="912">
        <f>I271*H271</f>
        <v>10000</v>
      </c>
      <c r="K271" s="912" t="s">
        <v>274</v>
      </c>
      <c r="L271" s="912"/>
      <c r="M271" s="912"/>
      <c r="N271" s="912"/>
      <c r="O271" s="892">
        <f t="shared" si="16"/>
        <v>0</v>
      </c>
      <c r="P271" s="903">
        <f t="shared" si="17"/>
        <v>1</v>
      </c>
      <c r="Q271" s="893">
        <f t="shared" si="18"/>
        <v>3</v>
      </c>
      <c r="R271" s="894">
        <f t="shared" si="19"/>
        <v>0</v>
      </c>
    </row>
    <row r="272" spans="1:18" s="904" customFormat="1">
      <c r="A272" s="895"/>
      <c r="B272" s="922"/>
      <c r="C272" s="897"/>
      <c r="D272" s="897"/>
      <c r="E272" s="898" t="s">
        <v>276</v>
      </c>
      <c r="F272" s="927"/>
      <c r="G272" s="928"/>
      <c r="H272" s="901"/>
      <c r="I272" s="902"/>
      <c r="J272" s="902"/>
      <c r="K272" s="912" t="s">
        <v>274</v>
      </c>
      <c r="L272" s="902"/>
      <c r="M272" s="902"/>
      <c r="N272" s="902"/>
      <c r="O272" s="892">
        <f t="shared" si="16"/>
        <v>0</v>
      </c>
      <c r="P272" s="903">
        <f t="shared" si="17"/>
        <v>1</v>
      </c>
      <c r="Q272" s="893">
        <f t="shared" si="18"/>
        <v>2</v>
      </c>
      <c r="R272" s="894">
        <f t="shared" si="19"/>
        <v>0</v>
      </c>
    </row>
    <row r="273" spans="1:18">
      <c r="A273" s="905"/>
      <c r="B273" s="914"/>
      <c r="C273" s="907">
        <v>740</v>
      </c>
      <c r="D273" s="907" t="s">
        <v>12</v>
      </c>
      <c r="E273" s="908" t="s">
        <v>4008</v>
      </c>
      <c r="F273" s="909" t="s">
        <v>2674</v>
      </c>
      <c r="G273" s="910"/>
      <c r="H273" s="911">
        <v>3.6</v>
      </c>
      <c r="I273" s="912"/>
      <c r="J273" s="912"/>
      <c r="K273" s="912">
        <f>VLOOKUP(E273,ĐMNC!$A$7:$F$67,4,0)</f>
        <v>252714</v>
      </c>
      <c r="L273" s="912">
        <f>H273*K273</f>
        <v>909770.4</v>
      </c>
      <c r="M273" s="912"/>
      <c r="N273" s="912"/>
      <c r="O273" s="892">
        <f t="shared" si="16"/>
        <v>0</v>
      </c>
      <c r="P273" s="903">
        <f t="shared" si="17"/>
        <v>1</v>
      </c>
      <c r="Q273" s="893">
        <f t="shared" si="18"/>
        <v>1</v>
      </c>
      <c r="R273" s="894">
        <f t="shared" si="19"/>
        <v>0</v>
      </c>
    </row>
    <row r="274" spans="1:18" s="847" customFormat="1">
      <c r="A274" s="905" t="s">
        <v>4013</v>
      </c>
      <c r="B274" s="914" t="s">
        <v>4014</v>
      </c>
      <c r="C274" s="915"/>
      <c r="D274" s="915"/>
      <c r="E274" s="916" t="s">
        <v>4015</v>
      </c>
      <c r="F274" s="917" t="s">
        <v>4016</v>
      </c>
      <c r="G274" s="918"/>
      <c r="H274" s="919"/>
      <c r="I274" s="920"/>
      <c r="J274" s="891">
        <f>SUM(J275:J278)</f>
        <v>25090.875</v>
      </c>
      <c r="K274" s="891"/>
      <c r="L274" s="891">
        <f>SUM(L275:L278)</f>
        <v>1165011.54</v>
      </c>
      <c r="M274" s="891"/>
      <c r="N274" s="891">
        <f>SUM(N275:N278)</f>
        <v>0</v>
      </c>
      <c r="O274" s="892">
        <f t="shared" si="16"/>
        <v>1</v>
      </c>
      <c r="P274" s="903">
        <f t="shared" si="17"/>
        <v>0</v>
      </c>
      <c r="Q274" s="893">
        <f t="shared" si="18"/>
        <v>0</v>
      </c>
      <c r="R274" s="894">
        <f t="shared" si="19"/>
        <v>4</v>
      </c>
    </row>
    <row r="275" spans="1:18" s="904" customFormat="1">
      <c r="A275" s="895"/>
      <c r="B275" s="922"/>
      <c r="C275" s="897"/>
      <c r="D275" s="897"/>
      <c r="E275" s="924" t="s">
        <v>108</v>
      </c>
      <c r="F275" s="899"/>
      <c r="G275" s="900"/>
      <c r="H275" s="901"/>
      <c r="I275" s="902"/>
      <c r="J275" s="902"/>
      <c r="K275" s="912" t="s">
        <v>274</v>
      </c>
      <c r="L275" s="902"/>
      <c r="M275" s="902"/>
      <c r="N275" s="902"/>
      <c r="O275" s="892">
        <f t="shared" si="16"/>
        <v>0</v>
      </c>
      <c r="P275" s="903">
        <f t="shared" si="17"/>
        <v>1</v>
      </c>
      <c r="Q275" s="893">
        <f t="shared" si="18"/>
        <v>4</v>
      </c>
      <c r="R275" s="894">
        <f t="shared" si="19"/>
        <v>0</v>
      </c>
    </row>
    <row r="276" spans="1:18">
      <c r="A276" s="905"/>
      <c r="B276" s="914"/>
      <c r="C276" s="907">
        <v>62</v>
      </c>
      <c r="D276" s="907" t="s">
        <v>279</v>
      </c>
      <c r="E276" s="925" t="s">
        <v>4004</v>
      </c>
      <c r="F276" s="926" t="s">
        <v>47</v>
      </c>
      <c r="G276" s="910"/>
      <c r="H276" s="911">
        <v>5.0000000000000001E-3</v>
      </c>
      <c r="I276" s="912">
        <f>VLOOKUP(E276,[3]VLP!$B$7:$K$300,10,0)</f>
        <v>3545455</v>
      </c>
      <c r="J276" s="912">
        <f>I276*H276</f>
        <v>17727.275000000001</v>
      </c>
      <c r="K276" s="912" t="s">
        <v>274</v>
      </c>
      <c r="L276" s="912"/>
      <c r="M276" s="912"/>
      <c r="N276" s="912"/>
      <c r="O276" s="892">
        <f t="shared" si="16"/>
        <v>0</v>
      </c>
      <c r="P276" s="903">
        <f t="shared" si="17"/>
        <v>1</v>
      </c>
      <c r="Q276" s="893">
        <f t="shared" si="18"/>
        <v>3</v>
      </c>
      <c r="R276" s="894">
        <f t="shared" si="19"/>
        <v>0</v>
      </c>
    </row>
    <row r="277" spans="1:18">
      <c r="A277" s="905"/>
      <c r="B277" s="914"/>
      <c r="C277" s="907">
        <v>110</v>
      </c>
      <c r="D277" s="907" t="s">
        <v>279</v>
      </c>
      <c r="E277" s="925" t="s">
        <v>4017</v>
      </c>
      <c r="F277" s="926" t="s">
        <v>45</v>
      </c>
      <c r="G277" s="910"/>
      <c r="H277" s="911">
        <v>0.1</v>
      </c>
      <c r="I277" s="912">
        <f>VLOOKUP(E277,[3]VLP!$B$7:$K$300,10,0)</f>
        <v>73636</v>
      </c>
      <c r="J277" s="912">
        <f>I277*H277</f>
        <v>7363.6</v>
      </c>
      <c r="K277" s="912" t="s">
        <v>274</v>
      </c>
      <c r="L277" s="912"/>
      <c r="M277" s="912"/>
      <c r="N277" s="912"/>
      <c r="O277" s="892">
        <f t="shared" si="16"/>
        <v>0</v>
      </c>
      <c r="P277" s="903">
        <f t="shared" si="17"/>
        <v>1</v>
      </c>
      <c r="Q277" s="893">
        <f t="shared" si="18"/>
        <v>2</v>
      </c>
      <c r="R277" s="894">
        <f t="shared" si="19"/>
        <v>0</v>
      </c>
    </row>
    <row r="278" spans="1:18">
      <c r="A278" s="905"/>
      <c r="B278" s="914"/>
      <c r="C278" s="907">
        <v>740</v>
      </c>
      <c r="D278" s="907" t="s">
        <v>12</v>
      </c>
      <c r="E278" s="908" t="s">
        <v>4008</v>
      </c>
      <c r="F278" s="909" t="s">
        <v>2674</v>
      </c>
      <c r="G278" s="910"/>
      <c r="H278" s="911">
        <v>4.6100000000000003</v>
      </c>
      <c r="I278" s="912"/>
      <c r="J278" s="912"/>
      <c r="K278" s="912">
        <f>VLOOKUP(E278,ĐMNC!$A$7:$F$67,4,0)</f>
        <v>252714</v>
      </c>
      <c r="L278" s="912">
        <f>H278*K278</f>
        <v>1165011.54</v>
      </c>
      <c r="M278" s="912"/>
      <c r="N278" s="912"/>
      <c r="O278" s="892">
        <f t="shared" si="16"/>
        <v>0</v>
      </c>
      <c r="P278" s="903">
        <f t="shared" si="17"/>
        <v>1</v>
      </c>
      <c r="Q278" s="893">
        <f t="shared" si="18"/>
        <v>1</v>
      </c>
      <c r="R278" s="894">
        <f t="shared" si="19"/>
        <v>0</v>
      </c>
    </row>
    <row r="279" spans="1:18" s="847" customFormat="1">
      <c r="A279" s="905"/>
      <c r="B279" s="914" t="s">
        <v>4018</v>
      </c>
      <c r="C279" s="915"/>
      <c r="D279" s="915"/>
      <c r="E279" s="916" t="s">
        <v>4019</v>
      </c>
      <c r="F279" s="917" t="s">
        <v>4016</v>
      </c>
      <c r="G279" s="918"/>
      <c r="H279" s="919"/>
      <c r="I279" s="920"/>
      <c r="J279" s="891">
        <f>SUM(J280:J284)</f>
        <v>25090.875</v>
      </c>
      <c r="K279" s="891"/>
      <c r="L279" s="891">
        <f>SUM(L280:L284)</f>
        <v>1253461.44</v>
      </c>
      <c r="M279" s="891"/>
      <c r="N279" s="891">
        <f>SUM(N280:N284)</f>
        <v>0</v>
      </c>
      <c r="O279" s="892">
        <f t="shared" si="16"/>
        <v>1</v>
      </c>
      <c r="P279" s="903">
        <f t="shared" si="17"/>
        <v>0</v>
      </c>
      <c r="Q279" s="893">
        <f t="shared" si="18"/>
        <v>0</v>
      </c>
      <c r="R279" s="894">
        <f t="shared" si="19"/>
        <v>5</v>
      </c>
    </row>
    <row r="280" spans="1:18" s="904" customFormat="1">
      <c r="A280" s="895"/>
      <c r="B280" s="922"/>
      <c r="C280" s="897"/>
      <c r="D280" s="897"/>
      <c r="E280" s="924" t="s">
        <v>108</v>
      </c>
      <c r="F280" s="899"/>
      <c r="G280" s="900"/>
      <c r="H280" s="901"/>
      <c r="I280" s="902"/>
      <c r="J280" s="902"/>
      <c r="K280" s="912" t="s">
        <v>274</v>
      </c>
      <c r="L280" s="902"/>
      <c r="M280" s="902"/>
      <c r="N280" s="902"/>
      <c r="O280" s="892">
        <f t="shared" si="16"/>
        <v>0</v>
      </c>
      <c r="P280" s="903">
        <f t="shared" si="17"/>
        <v>1</v>
      </c>
      <c r="Q280" s="893">
        <f t="shared" si="18"/>
        <v>5</v>
      </c>
      <c r="R280" s="894">
        <f t="shared" si="19"/>
        <v>0</v>
      </c>
    </row>
    <row r="281" spans="1:18">
      <c r="A281" s="905"/>
      <c r="B281" s="914"/>
      <c r="C281" s="907">
        <v>62</v>
      </c>
      <c r="D281" s="907" t="s">
        <v>279</v>
      </c>
      <c r="E281" s="925" t="s">
        <v>4004</v>
      </c>
      <c r="F281" s="926" t="s">
        <v>47</v>
      </c>
      <c r="G281" s="910"/>
      <c r="H281" s="911">
        <v>5.0000000000000001E-3</v>
      </c>
      <c r="I281" s="912">
        <f>VLOOKUP(E281,[3]VLP!$B$7:$K$300,10,0)</f>
        <v>3545455</v>
      </c>
      <c r="J281" s="912">
        <f>I281*H281</f>
        <v>17727.275000000001</v>
      </c>
      <c r="K281" s="912" t="s">
        <v>274</v>
      </c>
      <c r="L281" s="912"/>
      <c r="M281" s="912"/>
      <c r="N281" s="912"/>
      <c r="O281" s="892">
        <f t="shared" si="16"/>
        <v>0</v>
      </c>
      <c r="P281" s="903">
        <f t="shared" si="17"/>
        <v>1</v>
      </c>
      <c r="Q281" s="893">
        <f t="shared" si="18"/>
        <v>4</v>
      </c>
      <c r="R281" s="894">
        <f t="shared" si="19"/>
        <v>0</v>
      </c>
    </row>
    <row r="282" spans="1:18">
      <c r="A282" s="905"/>
      <c r="B282" s="914"/>
      <c r="C282" s="907">
        <v>110</v>
      </c>
      <c r="D282" s="907" t="s">
        <v>279</v>
      </c>
      <c r="E282" s="925" t="s">
        <v>4017</v>
      </c>
      <c r="F282" s="926" t="s">
        <v>45</v>
      </c>
      <c r="G282" s="910"/>
      <c r="H282" s="911">
        <v>0.1</v>
      </c>
      <c r="I282" s="912">
        <f>VLOOKUP(E282,[3]VLP!$B$7:$K$300,10,0)</f>
        <v>73636</v>
      </c>
      <c r="J282" s="912">
        <f>I282*H282</f>
        <v>7363.6</v>
      </c>
      <c r="K282" s="912" t="s">
        <v>274</v>
      </c>
      <c r="L282" s="912"/>
      <c r="M282" s="912"/>
      <c r="N282" s="912"/>
      <c r="O282" s="892">
        <f t="shared" si="16"/>
        <v>0</v>
      </c>
      <c r="P282" s="903">
        <f t="shared" si="17"/>
        <v>1</v>
      </c>
      <c r="Q282" s="893">
        <f t="shared" si="18"/>
        <v>3</v>
      </c>
      <c r="R282" s="894">
        <f t="shared" si="19"/>
        <v>0</v>
      </c>
    </row>
    <row r="283" spans="1:18" s="904" customFormat="1">
      <c r="A283" s="895"/>
      <c r="B283" s="922"/>
      <c r="C283" s="897"/>
      <c r="D283" s="897"/>
      <c r="E283" s="898" t="s">
        <v>276</v>
      </c>
      <c r="F283" s="927"/>
      <c r="G283" s="928"/>
      <c r="H283" s="901"/>
      <c r="I283" s="902"/>
      <c r="J283" s="902"/>
      <c r="K283" s="912" t="s">
        <v>274</v>
      </c>
      <c r="L283" s="902"/>
      <c r="M283" s="902"/>
      <c r="N283" s="902"/>
      <c r="O283" s="892">
        <f t="shared" si="16"/>
        <v>0</v>
      </c>
      <c r="P283" s="903">
        <f t="shared" si="17"/>
        <v>1</v>
      </c>
      <c r="Q283" s="893">
        <f t="shared" si="18"/>
        <v>2</v>
      </c>
      <c r="R283" s="894">
        <f t="shared" si="19"/>
        <v>0</v>
      </c>
    </row>
    <row r="284" spans="1:18">
      <c r="A284" s="905"/>
      <c r="B284" s="914"/>
      <c r="C284" s="907">
        <v>740</v>
      </c>
      <c r="D284" s="907" t="s">
        <v>12</v>
      </c>
      <c r="E284" s="908" t="s">
        <v>4008</v>
      </c>
      <c r="F284" s="909" t="s">
        <v>2674</v>
      </c>
      <c r="G284" s="910"/>
      <c r="H284" s="911">
        <v>4.96</v>
      </c>
      <c r="I284" s="912"/>
      <c r="J284" s="912"/>
      <c r="K284" s="912">
        <f>VLOOKUP(E284,ĐMNC!$A$7:$F$67,4,0)</f>
        <v>252714</v>
      </c>
      <c r="L284" s="912">
        <f>H284*K284</f>
        <v>1253461.44</v>
      </c>
      <c r="M284" s="912"/>
      <c r="N284" s="912"/>
      <c r="O284" s="892">
        <f t="shared" si="16"/>
        <v>0</v>
      </c>
      <c r="P284" s="903">
        <f t="shared" si="17"/>
        <v>1</v>
      </c>
      <c r="Q284" s="893">
        <f t="shared" si="18"/>
        <v>1</v>
      </c>
      <c r="R284" s="894">
        <f t="shared" si="19"/>
        <v>0</v>
      </c>
    </row>
    <row r="285" spans="1:18" s="847" customFormat="1">
      <c r="A285" s="905"/>
      <c r="B285" s="914" t="s">
        <v>4020</v>
      </c>
      <c r="C285" s="915"/>
      <c r="D285" s="915"/>
      <c r="E285" s="916" t="s">
        <v>4021</v>
      </c>
      <c r="F285" s="917" t="s">
        <v>4016</v>
      </c>
      <c r="G285" s="918"/>
      <c r="H285" s="919"/>
      <c r="I285" s="920"/>
      <c r="J285" s="891">
        <f>SUM(J286:J290)</f>
        <v>25090.875</v>
      </c>
      <c r="K285" s="891"/>
      <c r="L285" s="891">
        <f>SUM(L286:L290)</f>
        <v>1341911.3399999999</v>
      </c>
      <c r="M285" s="891"/>
      <c r="N285" s="891">
        <f>SUM(N286:N290)</f>
        <v>0</v>
      </c>
      <c r="O285" s="892">
        <f t="shared" si="16"/>
        <v>1</v>
      </c>
      <c r="P285" s="903">
        <f t="shared" si="17"/>
        <v>0</v>
      </c>
      <c r="Q285" s="893">
        <f t="shared" si="18"/>
        <v>0</v>
      </c>
      <c r="R285" s="894">
        <f t="shared" si="19"/>
        <v>5</v>
      </c>
    </row>
    <row r="286" spans="1:18" s="904" customFormat="1">
      <c r="A286" s="895"/>
      <c r="B286" s="922"/>
      <c r="C286" s="897"/>
      <c r="D286" s="897"/>
      <c r="E286" s="924" t="s">
        <v>108</v>
      </c>
      <c r="F286" s="899"/>
      <c r="G286" s="900"/>
      <c r="H286" s="901"/>
      <c r="I286" s="902"/>
      <c r="J286" s="902"/>
      <c r="K286" s="912" t="s">
        <v>274</v>
      </c>
      <c r="L286" s="902"/>
      <c r="M286" s="902"/>
      <c r="N286" s="902"/>
      <c r="O286" s="892">
        <f t="shared" si="16"/>
        <v>0</v>
      </c>
      <c r="P286" s="903">
        <f t="shared" si="17"/>
        <v>1</v>
      </c>
      <c r="Q286" s="893">
        <f t="shared" si="18"/>
        <v>5</v>
      </c>
      <c r="R286" s="894">
        <f t="shared" si="19"/>
        <v>0</v>
      </c>
    </row>
    <row r="287" spans="1:18">
      <c r="A287" s="905"/>
      <c r="B287" s="914"/>
      <c r="C287" s="907">
        <v>62</v>
      </c>
      <c r="D287" s="907" t="s">
        <v>279</v>
      </c>
      <c r="E287" s="925" t="s">
        <v>4004</v>
      </c>
      <c r="F287" s="926" t="s">
        <v>47</v>
      </c>
      <c r="G287" s="910"/>
      <c r="H287" s="911">
        <v>5.0000000000000001E-3</v>
      </c>
      <c r="I287" s="912">
        <f>VLOOKUP(E287,[3]VLP!$B$7:$K$300,10,0)</f>
        <v>3545455</v>
      </c>
      <c r="J287" s="912">
        <f>I287*H287</f>
        <v>17727.275000000001</v>
      </c>
      <c r="K287" s="912" t="s">
        <v>274</v>
      </c>
      <c r="L287" s="912"/>
      <c r="M287" s="912"/>
      <c r="N287" s="912"/>
      <c r="O287" s="892">
        <f t="shared" si="16"/>
        <v>0</v>
      </c>
      <c r="P287" s="903">
        <f t="shared" si="17"/>
        <v>1</v>
      </c>
      <c r="Q287" s="893">
        <f t="shared" si="18"/>
        <v>4</v>
      </c>
      <c r="R287" s="894">
        <f t="shared" si="19"/>
        <v>0</v>
      </c>
    </row>
    <row r="288" spans="1:18">
      <c r="A288" s="905"/>
      <c r="B288" s="914"/>
      <c r="C288" s="907">
        <v>110</v>
      </c>
      <c r="D288" s="907" t="s">
        <v>279</v>
      </c>
      <c r="E288" s="925" t="s">
        <v>4017</v>
      </c>
      <c r="F288" s="926" t="s">
        <v>45</v>
      </c>
      <c r="G288" s="910"/>
      <c r="H288" s="911">
        <v>0.1</v>
      </c>
      <c r="I288" s="912">
        <f>VLOOKUP(E288,[3]VLP!$B$7:$K$300,10,0)</f>
        <v>73636</v>
      </c>
      <c r="J288" s="912">
        <f>I288*H288</f>
        <v>7363.6</v>
      </c>
      <c r="K288" s="912" t="s">
        <v>274</v>
      </c>
      <c r="L288" s="912"/>
      <c r="M288" s="912"/>
      <c r="N288" s="912"/>
      <c r="O288" s="892">
        <f t="shared" si="16"/>
        <v>0</v>
      </c>
      <c r="P288" s="903">
        <f t="shared" si="17"/>
        <v>1</v>
      </c>
      <c r="Q288" s="893">
        <f t="shared" si="18"/>
        <v>3</v>
      </c>
      <c r="R288" s="894">
        <f t="shared" si="19"/>
        <v>0</v>
      </c>
    </row>
    <row r="289" spans="1:18" s="904" customFormat="1">
      <c r="A289" s="895"/>
      <c r="B289" s="922"/>
      <c r="C289" s="897"/>
      <c r="D289" s="897"/>
      <c r="E289" s="898" t="s">
        <v>276</v>
      </c>
      <c r="F289" s="927"/>
      <c r="G289" s="928"/>
      <c r="H289" s="901"/>
      <c r="I289" s="902"/>
      <c r="J289" s="902"/>
      <c r="K289" s="912" t="s">
        <v>274</v>
      </c>
      <c r="L289" s="902"/>
      <c r="M289" s="902"/>
      <c r="N289" s="902"/>
      <c r="O289" s="892">
        <f t="shared" si="16"/>
        <v>0</v>
      </c>
      <c r="P289" s="903">
        <f t="shared" si="17"/>
        <v>1</v>
      </c>
      <c r="Q289" s="893">
        <f t="shared" si="18"/>
        <v>2</v>
      </c>
      <c r="R289" s="894">
        <f t="shared" si="19"/>
        <v>0</v>
      </c>
    </row>
    <row r="290" spans="1:18">
      <c r="A290" s="905"/>
      <c r="B290" s="914"/>
      <c r="C290" s="907">
        <v>740</v>
      </c>
      <c r="D290" s="907" t="s">
        <v>12</v>
      </c>
      <c r="E290" s="908" t="s">
        <v>4008</v>
      </c>
      <c r="F290" s="909" t="s">
        <v>2674</v>
      </c>
      <c r="G290" s="910"/>
      <c r="H290" s="911">
        <v>5.31</v>
      </c>
      <c r="I290" s="912"/>
      <c r="J290" s="912"/>
      <c r="K290" s="912">
        <f>VLOOKUP(E290,ĐMNC!$A$7:$F$67,4,0)</f>
        <v>252714</v>
      </c>
      <c r="L290" s="912">
        <f>H290*K290</f>
        <v>1341911.3399999999</v>
      </c>
      <c r="M290" s="912"/>
      <c r="N290" s="912"/>
      <c r="O290" s="892">
        <f t="shared" si="16"/>
        <v>0</v>
      </c>
      <c r="P290" s="903">
        <f t="shared" si="17"/>
        <v>1</v>
      </c>
      <c r="Q290" s="893">
        <f t="shared" si="18"/>
        <v>1</v>
      </c>
      <c r="R290" s="894">
        <f t="shared" si="19"/>
        <v>0</v>
      </c>
    </row>
    <row r="291" spans="1:18" s="847" customFormat="1">
      <c r="A291" s="905"/>
      <c r="B291" s="914" t="s">
        <v>4022</v>
      </c>
      <c r="C291" s="915"/>
      <c r="D291" s="915"/>
      <c r="E291" s="916" t="s">
        <v>4023</v>
      </c>
      <c r="F291" s="917" t="s">
        <v>4016</v>
      </c>
      <c r="G291" s="918"/>
      <c r="H291" s="919"/>
      <c r="I291" s="920"/>
      <c r="J291" s="891">
        <f>SUM(J292:J296)</f>
        <v>25090.875</v>
      </c>
      <c r="K291" s="891"/>
      <c r="L291" s="891">
        <f>SUM(L292:L296)</f>
        <v>1670439.54</v>
      </c>
      <c r="M291" s="891"/>
      <c r="N291" s="891">
        <f>SUM(N292:N296)</f>
        <v>0</v>
      </c>
      <c r="O291" s="892">
        <f t="shared" si="16"/>
        <v>1</v>
      </c>
      <c r="P291" s="903">
        <f t="shared" si="17"/>
        <v>0</v>
      </c>
      <c r="Q291" s="893">
        <f t="shared" si="18"/>
        <v>0</v>
      </c>
      <c r="R291" s="894">
        <f t="shared" si="19"/>
        <v>5</v>
      </c>
    </row>
    <row r="292" spans="1:18" s="904" customFormat="1">
      <c r="A292" s="895"/>
      <c r="B292" s="922"/>
      <c r="C292" s="897"/>
      <c r="D292" s="897"/>
      <c r="E292" s="924" t="s">
        <v>108</v>
      </c>
      <c r="F292" s="899"/>
      <c r="G292" s="900"/>
      <c r="H292" s="901"/>
      <c r="I292" s="902"/>
      <c r="J292" s="902"/>
      <c r="K292" s="912" t="s">
        <v>274</v>
      </c>
      <c r="L292" s="902"/>
      <c r="M292" s="902"/>
      <c r="N292" s="902"/>
      <c r="O292" s="892">
        <f t="shared" si="16"/>
        <v>0</v>
      </c>
      <c r="P292" s="903">
        <f t="shared" si="17"/>
        <v>1</v>
      </c>
      <c r="Q292" s="893">
        <f t="shared" si="18"/>
        <v>5</v>
      </c>
      <c r="R292" s="894">
        <f t="shared" si="19"/>
        <v>0</v>
      </c>
    </row>
    <row r="293" spans="1:18">
      <c r="A293" s="905"/>
      <c r="B293" s="914"/>
      <c r="C293" s="907">
        <v>62</v>
      </c>
      <c r="D293" s="907" t="s">
        <v>279</v>
      </c>
      <c r="E293" s="925" t="s">
        <v>4004</v>
      </c>
      <c r="F293" s="926" t="s">
        <v>47</v>
      </c>
      <c r="G293" s="910"/>
      <c r="H293" s="911">
        <v>5.0000000000000001E-3</v>
      </c>
      <c r="I293" s="912">
        <f>VLOOKUP(E293,[3]VLP!$B$7:$K$300,10,0)</f>
        <v>3545455</v>
      </c>
      <c r="J293" s="912">
        <f>I293*H293</f>
        <v>17727.275000000001</v>
      </c>
      <c r="K293" s="912" t="s">
        <v>274</v>
      </c>
      <c r="L293" s="912"/>
      <c r="M293" s="912"/>
      <c r="N293" s="912"/>
      <c r="O293" s="892">
        <f t="shared" si="16"/>
        <v>0</v>
      </c>
      <c r="P293" s="903">
        <f t="shared" si="17"/>
        <v>1</v>
      </c>
      <c r="Q293" s="893">
        <f t="shared" si="18"/>
        <v>4</v>
      </c>
      <c r="R293" s="894">
        <f t="shared" si="19"/>
        <v>0</v>
      </c>
    </row>
    <row r="294" spans="1:18">
      <c r="A294" s="905"/>
      <c r="B294" s="914"/>
      <c r="C294" s="907">
        <v>110</v>
      </c>
      <c r="D294" s="907" t="s">
        <v>279</v>
      </c>
      <c r="E294" s="925" t="s">
        <v>4017</v>
      </c>
      <c r="F294" s="926" t="s">
        <v>45</v>
      </c>
      <c r="G294" s="910"/>
      <c r="H294" s="911">
        <v>0.1</v>
      </c>
      <c r="I294" s="912">
        <f>VLOOKUP(E294,[3]VLP!$B$7:$K$300,10,0)</f>
        <v>73636</v>
      </c>
      <c r="J294" s="912">
        <f>I294*H294</f>
        <v>7363.6</v>
      </c>
      <c r="K294" s="912" t="s">
        <v>274</v>
      </c>
      <c r="L294" s="912"/>
      <c r="M294" s="912"/>
      <c r="N294" s="912"/>
      <c r="O294" s="892">
        <f t="shared" si="16"/>
        <v>0</v>
      </c>
      <c r="P294" s="903">
        <f t="shared" si="17"/>
        <v>1</v>
      </c>
      <c r="Q294" s="893">
        <f t="shared" si="18"/>
        <v>3</v>
      </c>
      <c r="R294" s="894">
        <f t="shared" si="19"/>
        <v>0</v>
      </c>
    </row>
    <row r="295" spans="1:18" s="904" customFormat="1">
      <c r="A295" s="895"/>
      <c r="B295" s="922"/>
      <c r="C295" s="897"/>
      <c r="D295" s="897"/>
      <c r="E295" s="898" t="s">
        <v>276</v>
      </c>
      <c r="F295" s="927"/>
      <c r="G295" s="928"/>
      <c r="H295" s="901"/>
      <c r="I295" s="902"/>
      <c r="J295" s="902"/>
      <c r="K295" s="912" t="s">
        <v>274</v>
      </c>
      <c r="L295" s="902"/>
      <c r="M295" s="902"/>
      <c r="N295" s="902"/>
      <c r="O295" s="892">
        <f t="shared" si="16"/>
        <v>0</v>
      </c>
      <c r="P295" s="903">
        <f t="shared" si="17"/>
        <v>1</v>
      </c>
      <c r="Q295" s="893">
        <f t="shared" si="18"/>
        <v>2</v>
      </c>
      <c r="R295" s="894">
        <f t="shared" si="19"/>
        <v>0</v>
      </c>
    </row>
    <row r="296" spans="1:18">
      <c r="A296" s="905"/>
      <c r="B296" s="914"/>
      <c r="C296" s="907">
        <v>740</v>
      </c>
      <c r="D296" s="907" t="s">
        <v>12</v>
      </c>
      <c r="E296" s="908" t="s">
        <v>4008</v>
      </c>
      <c r="F296" s="909" t="s">
        <v>2674</v>
      </c>
      <c r="G296" s="910"/>
      <c r="H296" s="911">
        <v>6.61</v>
      </c>
      <c r="I296" s="912"/>
      <c r="J296" s="912"/>
      <c r="K296" s="912">
        <f>VLOOKUP(E296,ĐMNC!$A$7:$F$67,4,0)</f>
        <v>252714</v>
      </c>
      <c r="L296" s="912">
        <f>H296*K296</f>
        <v>1670439.54</v>
      </c>
      <c r="M296" s="912"/>
      <c r="N296" s="912"/>
      <c r="O296" s="892">
        <f t="shared" si="16"/>
        <v>0</v>
      </c>
      <c r="P296" s="903">
        <f t="shared" si="17"/>
        <v>1</v>
      </c>
      <c r="Q296" s="893">
        <f t="shared" si="18"/>
        <v>1</v>
      </c>
      <c r="R296" s="894">
        <f t="shared" si="19"/>
        <v>0</v>
      </c>
    </row>
    <row r="297" spans="1:18" s="847" customFormat="1">
      <c r="A297" s="905" t="s">
        <v>4024</v>
      </c>
      <c r="B297" s="914" t="s">
        <v>4025</v>
      </c>
      <c r="C297" s="915"/>
      <c r="D297" s="915"/>
      <c r="E297" s="916" t="s">
        <v>4026</v>
      </c>
      <c r="F297" s="917" t="s">
        <v>4016</v>
      </c>
      <c r="G297" s="918"/>
      <c r="H297" s="919"/>
      <c r="I297" s="920"/>
      <c r="J297" s="891">
        <f>SUM(J298:J302)</f>
        <v>28636.33</v>
      </c>
      <c r="K297" s="891"/>
      <c r="L297" s="891">
        <f>SUM(L298:L302)</f>
        <v>1817013.6600000001</v>
      </c>
      <c r="M297" s="891"/>
      <c r="N297" s="891">
        <f>SUM(N298:N302)</f>
        <v>0</v>
      </c>
      <c r="O297" s="892">
        <f t="shared" si="16"/>
        <v>1</v>
      </c>
      <c r="P297" s="903">
        <f t="shared" si="17"/>
        <v>0</v>
      </c>
      <c r="Q297" s="893">
        <f t="shared" si="18"/>
        <v>0</v>
      </c>
      <c r="R297" s="894">
        <f t="shared" si="19"/>
        <v>5</v>
      </c>
    </row>
    <row r="298" spans="1:18" s="904" customFormat="1">
      <c r="A298" s="895"/>
      <c r="B298" s="922"/>
      <c r="C298" s="897"/>
      <c r="D298" s="897"/>
      <c r="E298" s="924" t="s">
        <v>108</v>
      </c>
      <c r="F298" s="899"/>
      <c r="G298" s="900"/>
      <c r="H298" s="901"/>
      <c r="I298" s="902"/>
      <c r="J298" s="902"/>
      <c r="K298" s="912" t="s">
        <v>274</v>
      </c>
      <c r="L298" s="902"/>
      <c r="M298" s="902"/>
      <c r="N298" s="902"/>
      <c r="O298" s="892">
        <f t="shared" si="16"/>
        <v>0</v>
      </c>
      <c r="P298" s="903">
        <f t="shared" si="17"/>
        <v>1</v>
      </c>
      <c r="Q298" s="893">
        <f t="shared" si="18"/>
        <v>5</v>
      </c>
      <c r="R298" s="894">
        <f t="shared" si="19"/>
        <v>0</v>
      </c>
    </row>
    <row r="299" spans="1:18">
      <c r="A299" s="905"/>
      <c r="B299" s="914"/>
      <c r="C299" s="907">
        <v>62</v>
      </c>
      <c r="D299" s="907" t="s">
        <v>279</v>
      </c>
      <c r="E299" s="925" t="s">
        <v>4004</v>
      </c>
      <c r="F299" s="926" t="s">
        <v>47</v>
      </c>
      <c r="G299" s="910"/>
      <c r="H299" s="911">
        <v>6.0000000000000001E-3</v>
      </c>
      <c r="I299" s="912">
        <f>VLOOKUP(E299,[3]VLP!$B$7:$K$300,10,0)</f>
        <v>3545455</v>
      </c>
      <c r="J299" s="912">
        <f>I299*H299</f>
        <v>21272.73</v>
      </c>
      <c r="K299" s="912" t="s">
        <v>274</v>
      </c>
      <c r="L299" s="912"/>
      <c r="M299" s="912"/>
      <c r="N299" s="912"/>
      <c r="O299" s="892">
        <f t="shared" si="16"/>
        <v>0</v>
      </c>
      <c r="P299" s="903">
        <f t="shared" si="17"/>
        <v>1</v>
      </c>
      <c r="Q299" s="893">
        <f t="shared" si="18"/>
        <v>4</v>
      </c>
      <c r="R299" s="894">
        <f t="shared" si="19"/>
        <v>0</v>
      </c>
    </row>
    <row r="300" spans="1:18">
      <c r="A300" s="905"/>
      <c r="B300" s="914"/>
      <c r="C300" s="907">
        <v>110</v>
      </c>
      <c r="D300" s="907" t="s">
        <v>279</v>
      </c>
      <c r="E300" s="925" t="s">
        <v>4017</v>
      </c>
      <c r="F300" s="926" t="s">
        <v>45</v>
      </c>
      <c r="G300" s="910"/>
      <c r="H300" s="911">
        <v>0.1</v>
      </c>
      <c r="I300" s="912">
        <f>VLOOKUP(E300,[3]VLP!$B$7:$K$300,10,0)</f>
        <v>73636</v>
      </c>
      <c r="J300" s="912">
        <f>I300*H300</f>
        <v>7363.6</v>
      </c>
      <c r="K300" s="912" t="s">
        <v>274</v>
      </c>
      <c r="L300" s="912"/>
      <c r="M300" s="912"/>
      <c r="N300" s="912"/>
      <c r="O300" s="892">
        <f t="shared" si="16"/>
        <v>0</v>
      </c>
      <c r="P300" s="903">
        <f t="shared" si="17"/>
        <v>1</v>
      </c>
      <c r="Q300" s="893">
        <f t="shared" si="18"/>
        <v>3</v>
      </c>
      <c r="R300" s="894">
        <f t="shared" si="19"/>
        <v>0</v>
      </c>
    </row>
    <row r="301" spans="1:18" s="904" customFormat="1">
      <c r="A301" s="895"/>
      <c r="B301" s="922"/>
      <c r="C301" s="897"/>
      <c r="D301" s="897"/>
      <c r="E301" s="898" t="s">
        <v>276</v>
      </c>
      <c r="F301" s="927"/>
      <c r="G301" s="928"/>
      <c r="H301" s="901"/>
      <c r="I301" s="902"/>
      <c r="J301" s="902"/>
      <c r="K301" s="912" t="s">
        <v>274</v>
      </c>
      <c r="L301" s="902"/>
      <c r="M301" s="902"/>
      <c r="N301" s="902"/>
      <c r="O301" s="892">
        <f t="shared" si="16"/>
        <v>0</v>
      </c>
      <c r="P301" s="903">
        <f t="shared" si="17"/>
        <v>1</v>
      </c>
      <c r="Q301" s="893">
        <f t="shared" si="18"/>
        <v>2</v>
      </c>
      <c r="R301" s="894">
        <f t="shared" si="19"/>
        <v>0</v>
      </c>
    </row>
    <row r="302" spans="1:18">
      <c r="A302" s="905"/>
      <c r="B302" s="914"/>
      <c r="C302" s="907">
        <v>740</v>
      </c>
      <c r="D302" s="907" t="s">
        <v>12</v>
      </c>
      <c r="E302" s="908" t="s">
        <v>4008</v>
      </c>
      <c r="F302" s="909" t="s">
        <v>2674</v>
      </c>
      <c r="G302" s="910"/>
      <c r="H302" s="911">
        <v>7.19</v>
      </c>
      <c r="I302" s="912"/>
      <c r="J302" s="912"/>
      <c r="K302" s="912">
        <f>VLOOKUP(E302,ĐMNC!$A$7:$F$67,4,0)</f>
        <v>252714</v>
      </c>
      <c r="L302" s="912">
        <f>H302*K302</f>
        <v>1817013.6600000001</v>
      </c>
      <c r="M302" s="912"/>
      <c r="N302" s="912"/>
      <c r="O302" s="892">
        <f t="shared" si="16"/>
        <v>0</v>
      </c>
      <c r="P302" s="903">
        <f t="shared" si="17"/>
        <v>1</v>
      </c>
      <c r="Q302" s="893">
        <f t="shared" si="18"/>
        <v>1</v>
      </c>
      <c r="R302" s="894">
        <f t="shared" si="19"/>
        <v>0</v>
      </c>
    </row>
    <row r="303" spans="1:18" s="847" customFormat="1">
      <c r="A303" s="905"/>
      <c r="B303" s="914" t="s">
        <v>4027</v>
      </c>
      <c r="C303" s="915"/>
      <c r="D303" s="915"/>
      <c r="E303" s="916" t="s">
        <v>4028</v>
      </c>
      <c r="F303" s="917" t="s">
        <v>4016</v>
      </c>
      <c r="G303" s="918"/>
      <c r="H303" s="919"/>
      <c r="I303" s="920"/>
      <c r="J303" s="891">
        <f>SUM(J304:J308)</f>
        <v>28636.33</v>
      </c>
      <c r="K303" s="891"/>
      <c r="L303" s="891">
        <f>SUM(L304:L308)</f>
        <v>2367930.1799999997</v>
      </c>
      <c r="M303" s="891"/>
      <c r="N303" s="891">
        <f>SUM(N304:N308)</f>
        <v>0</v>
      </c>
      <c r="O303" s="892">
        <f t="shared" si="16"/>
        <v>1</v>
      </c>
      <c r="P303" s="903">
        <f t="shared" si="17"/>
        <v>0</v>
      </c>
      <c r="Q303" s="893">
        <f t="shared" si="18"/>
        <v>0</v>
      </c>
      <c r="R303" s="894">
        <f t="shared" si="19"/>
        <v>5</v>
      </c>
    </row>
    <row r="304" spans="1:18" s="904" customFormat="1">
      <c r="A304" s="895"/>
      <c r="B304" s="922"/>
      <c r="C304" s="897"/>
      <c r="D304" s="897"/>
      <c r="E304" s="924" t="s">
        <v>108</v>
      </c>
      <c r="F304" s="899"/>
      <c r="G304" s="900"/>
      <c r="H304" s="901"/>
      <c r="I304" s="902"/>
      <c r="J304" s="902"/>
      <c r="K304" s="912" t="s">
        <v>274</v>
      </c>
      <c r="L304" s="902"/>
      <c r="M304" s="902"/>
      <c r="N304" s="902"/>
      <c r="O304" s="892">
        <f t="shared" si="16"/>
        <v>0</v>
      </c>
      <c r="P304" s="903">
        <f t="shared" si="17"/>
        <v>1</v>
      </c>
      <c r="Q304" s="893">
        <f t="shared" si="18"/>
        <v>5</v>
      </c>
      <c r="R304" s="894">
        <f t="shared" si="19"/>
        <v>0</v>
      </c>
    </row>
    <row r="305" spans="1:18">
      <c r="A305" s="905"/>
      <c r="B305" s="914"/>
      <c r="C305" s="907">
        <v>62</v>
      </c>
      <c r="D305" s="907" t="s">
        <v>279</v>
      </c>
      <c r="E305" s="925" t="s">
        <v>4004</v>
      </c>
      <c r="F305" s="926" t="s">
        <v>47</v>
      </c>
      <c r="G305" s="910"/>
      <c r="H305" s="911">
        <v>6.0000000000000001E-3</v>
      </c>
      <c r="I305" s="912">
        <f>VLOOKUP(E305,[3]VLP!$B$7:$K$300,10,0)</f>
        <v>3545455</v>
      </c>
      <c r="J305" s="912">
        <f>I305*H305</f>
        <v>21272.73</v>
      </c>
      <c r="K305" s="912" t="s">
        <v>274</v>
      </c>
      <c r="L305" s="912"/>
      <c r="M305" s="912"/>
      <c r="N305" s="912"/>
      <c r="O305" s="892">
        <f t="shared" si="16"/>
        <v>0</v>
      </c>
      <c r="P305" s="903">
        <f t="shared" si="17"/>
        <v>1</v>
      </c>
      <c r="Q305" s="893">
        <f t="shared" si="18"/>
        <v>4</v>
      </c>
      <c r="R305" s="894">
        <f t="shared" si="19"/>
        <v>0</v>
      </c>
    </row>
    <row r="306" spans="1:18">
      <c r="A306" s="905"/>
      <c r="B306" s="914"/>
      <c r="C306" s="907">
        <v>110</v>
      </c>
      <c r="D306" s="907" t="s">
        <v>279</v>
      </c>
      <c r="E306" s="925" t="s">
        <v>4017</v>
      </c>
      <c r="F306" s="926" t="s">
        <v>45</v>
      </c>
      <c r="G306" s="910"/>
      <c r="H306" s="911">
        <v>0.1</v>
      </c>
      <c r="I306" s="912">
        <f>VLOOKUP(E306,[3]VLP!$B$7:$K$300,10,0)</f>
        <v>73636</v>
      </c>
      <c r="J306" s="912">
        <f>I306*H306</f>
        <v>7363.6</v>
      </c>
      <c r="K306" s="912" t="s">
        <v>274</v>
      </c>
      <c r="L306" s="912"/>
      <c r="M306" s="912"/>
      <c r="N306" s="912"/>
      <c r="O306" s="892">
        <f t="shared" si="16"/>
        <v>0</v>
      </c>
      <c r="P306" s="903">
        <f t="shared" si="17"/>
        <v>1</v>
      </c>
      <c r="Q306" s="893">
        <f t="shared" si="18"/>
        <v>3</v>
      </c>
      <c r="R306" s="894">
        <f t="shared" si="19"/>
        <v>0</v>
      </c>
    </row>
    <row r="307" spans="1:18" s="904" customFormat="1">
      <c r="A307" s="895"/>
      <c r="B307" s="922"/>
      <c r="C307" s="897"/>
      <c r="D307" s="897"/>
      <c r="E307" s="898" t="s">
        <v>276</v>
      </c>
      <c r="F307" s="927"/>
      <c r="G307" s="928"/>
      <c r="H307" s="901"/>
      <c r="I307" s="902"/>
      <c r="J307" s="902"/>
      <c r="K307" s="912" t="s">
        <v>274</v>
      </c>
      <c r="L307" s="902"/>
      <c r="M307" s="902"/>
      <c r="N307" s="902"/>
      <c r="O307" s="892">
        <f t="shared" si="16"/>
        <v>0</v>
      </c>
      <c r="P307" s="903">
        <f t="shared" si="17"/>
        <v>1</v>
      </c>
      <c r="Q307" s="893">
        <f t="shared" si="18"/>
        <v>2</v>
      </c>
      <c r="R307" s="894">
        <f t="shared" si="19"/>
        <v>0</v>
      </c>
    </row>
    <row r="308" spans="1:18">
      <c r="A308" s="905"/>
      <c r="B308" s="914"/>
      <c r="C308" s="907">
        <v>740</v>
      </c>
      <c r="D308" s="907" t="s">
        <v>12</v>
      </c>
      <c r="E308" s="908" t="s">
        <v>4008</v>
      </c>
      <c r="F308" s="909" t="s">
        <v>2674</v>
      </c>
      <c r="G308" s="910"/>
      <c r="H308" s="911">
        <v>9.3699999999999992</v>
      </c>
      <c r="I308" s="912"/>
      <c r="J308" s="912"/>
      <c r="K308" s="912">
        <f>VLOOKUP(E308,ĐMNC!$A$7:$F$67,4,0)</f>
        <v>252714</v>
      </c>
      <c r="L308" s="912">
        <f>H308*K308</f>
        <v>2367930.1799999997</v>
      </c>
      <c r="M308" s="912"/>
      <c r="N308" s="912"/>
      <c r="O308" s="892">
        <f t="shared" si="16"/>
        <v>0</v>
      </c>
      <c r="P308" s="903">
        <f t="shared" si="17"/>
        <v>1</v>
      </c>
      <c r="Q308" s="893">
        <f t="shared" si="18"/>
        <v>1</v>
      </c>
      <c r="R308" s="894">
        <f t="shared" si="19"/>
        <v>0</v>
      </c>
    </row>
    <row r="309" spans="1:18" s="847" customFormat="1">
      <c r="A309" s="905"/>
      <c r="B309" s="914" t="s">
        <v>4029</v>
      </c>
      <c r="C309" s="915"/>
      <c r="D309" s="915"/>
      <c r="E309" s="916" t="s">
        <v>4030</v>
      </c>
      <c r="F309" s="917" t="s">
        <v>4016</v>
      </c>
      <c r="G309" s="918"/>
      <c r="H309" s="919"/>
      <c r="I309" s="920"/>
      <c r="J309" s="891">
        <f>SUM(J310:J314)</f>
        <v>28636.33</v>
      </c>
      <c r="K309" s="891"/>
      <c r="L309" s="891">
        <f>SUM(L310:L314)</f>
        <v>2759636.88</v>
      </c>
      <c r="M309" s="891"/>
      <c r="N309" s="891">
        <f>SUM(N310:N314)</f>
        <v>0</v>
      </c>
      <c r="O309" s="892">
        <f t="shared" si="16"/>
        <v>1</v>
      </c>
      <c r="P309" s="903">
        <f t="shared" si="17"/>
        <v>0</v>
      </c>
      <c r="Q309" s="893">
        <f t="shared" si="18"/>
        <v>0</v>
      </c>
      <c r="R309" s="894">
        <f t="shared" si="19"/>
        <v>5</v>
      </c>
    </row>
    <row r="310" spans="1:18" s="904" customFormat="1">
      <c r="A310" s="895"/>
      <c r="B310" s="922"/>
      <c r="C310" s="897"/>
      <c r="D310" s="897"/>
      <c r="E310" s="924" t="s">
        <v>108</v>
      </c>
      <c r="F310" s="899"/>
      <c r="G310" s="900"/>
      <c r="H310" s="901"/>
      <c r="I310" s="902"/>
      <c r="J310" s="902"/>
      <c r="K310" s="912" t="s">
        <v>274</v>
      </c>
      <c r="L310" s="902"/>
      <c r="M310" s="902"/>
      <c r="N310" s="902"/>
      <c r="O310" s="892">
        <f t="shared" si="16"/>
        <v>0</v>
      </c>
      <c r="P310" s="903">
        <f t="shared" si="17"/>
        <v>1</v>
      </c>
      <c r="Q310" s="893">
        <f t="shared" si="18"/>
        <v>5</v>
      </c>
      <c r="R310" s="894">
        <f t="shared" si="19"/>
        <v>0</v>
      </c>
    </row>
    <row r="311" spans="1:18">
      <c r="A311" s="905"/>
      <c r="B311" s="914"/>
      <c r="C311" s="907">
        <v>62</v>
      </c>
      <c r="D311" s="907" t="s">
        <v>279</v>
      </c>
      <c r="E311" s="925" t="s">
        <v>4004</v>
      </c>
      <c r="F311" s="926" t="s">
        <v>47</v>
      </c>
      <c r="G311" s="910"/>
      <c r="H311" s="911">
        <v>6.0000000000000001E-3</v>
      </c>
      <c r="I311" s="912">
        <f>VLOOKUP(E311,[3]VLP!$B$7:$K$300,10,0)</f>
        <v>3545455</v>
      </c>
      <c r="J311" s="912">
        <f>I311*H311</f>
        <v>21272.73</v>
      </c>
      <c r="K311" s="912" t="s">
        <v>274</v>
      </c>
      <c r="L311" s="912"/>
      <c r="M311" s="912"/>
      <c r="N311" s="912"/>
      <c r="O311" s="892">
        <f t="shared" si="16"/>
        <v>0</v>
      </c>
      <c r="P311" s="903">
        <f t="shared" si="17"/>
        <v>1</v>
      </c>
      <c r="Q311" s="893">
        <f t="shared" si="18"/>
        <v>4</v>
      </c>
      <c r="R311" s="894">
        <f t="shared" si="19"/>
        <v>0</v>
      </c>
    </row>
    <row r="312" spans="1:18">
      <c r="A312" s="905"/>
      <c r="B312" s="914"/>
      <c r="C312" s="907">
        <v>110</v>
      </c>
      <c r="D312" s="907" t="s">
        <v>279</v>
      </c>
      <c r="E312" s="925" t="s">
        <v>4017</v>
      </c>
      <c r="F312" s="926" t="s">
        <v>45</v>
      </c>
      <c r="G312" s="910"/>
      <c r="H312" s="911">
        <v>0.1</v>
      </c>
      <c r="I312" s="912">
        <f>VLOOKUP(E312,[3]VLP!$B$7:$K$300,10,0)</f>
        <v>73636</v>
      </c>
      <c r="J312" s="912">
        <f>I312*H312</f>
        <v>7363.6</v>
      </c>
      <c r="K312" s="912" t="s">
        <v>274</v>
      </c>
      <c r="L312" s="912"/>
      <c r="M312" s="912"/>
      <c r="N312" s="912"/>
      <c r="O312" s="892">
        <f t="shared" si="16"/>
        <v>0</v>
      </c>
      <c r="P312" s="903">
        <f t="shared" si="17"/>
        <v>1</v>
      </c>
      <c r="Q312" s="893">
        <f t="shared" si="18"/>
        <v>3</v>
      </c>
      <c r="R312" s="894">
        <f t="shared" si="19"/>
        <v>0</v>
      </c>
    </row>
    <row r="313" spans="1:18" s="904" customFormat="1">
      <c r="A313" s="895"/>
      <c r="B313" s="922"/>
      <c r="C313" s="897"/>
      <c r="D313" s="897"/>
      <c r="E313" s="898" t="s">
        <v>276</v>
      </c>
      <c r="F313" s="927"/>
      <c r="G313" s="928"/>
      <c r="H313" s="901"/>
      <c r="I313" s="902"/>
      <c r="J313" s="902"/>
      <c r="K313" s="912" t="s">
        <v>274</v>
      </c>
      <c r="L313" s="902"/>
      <c r="M313" s="902"/>
      <c r="N313" s="902"/>
      <c r="O313" s="892">
        <f t="shared" si="16"/>
        <v>0</v>
      </c>
      <c r="P313" s="903">
        <f t="shared" si="17"/>
        <v>1</v>
      </c>
      <c r="Q313" s="893">
        <f t="shared" si="18"/>
        <v>2</v>
      </c>
      <c r="R313" s="894">
        <f t="shared" si="19"/>
        <v>0</v>
      </c>
    </row>
    <row r="314" spans="1:18">
      <c r="A314" s="905"/>
      <c r="B314" s="914"/>
      <c r="C314" s="907">
        <v>740</v>
      </c>
      <c r="D314" s="907" t="s">
        <v>12</v>
      </c>
      <c r="E314" s="908" t="s">
        <v>4008</v>
      </c>
      <c r="F314" s="909" t="s">
        <v>2674</v>
      </c>
      <c r="G314" s="910"/>
      <c r="H314" s="911">
        <v>10.92</v>
      </c>
      <c r="I314" s="912"/>
      <c r="J314" s="912"/>
      <c r="K314" s="912">
        <f>VLOOKUP(E314,ĐMNC!$A$7:$F$67,4,0)</f>
        <v>252714</v>
      </c>
      <c r="L314" s="912">
        <f>H314*K314</f>
        <v>2759636.88</v>
      </c>
      <c r="M314" s="912"/>
      <c r="N314" s="912"/>
      <c r="O314" s="892">
        <f t="shared" si="16"/>
        <v>0</v>
      </c>
      <c r="P314" s="903">
        <f t="shared" si="17"/>
        <v>1</v>
      </c>
      <c r="Q314" s="893">
        <f t="shared" si="18"/>
        <v>1</v>
      </c>
      <c r="R314" s="894">
        <f t="shared" si="19"/>
        <v>0</v>
      </c>
    </row>
    <row r="315" spans="1:18" s="847" customFormat="1">
      <c r="A315" s="905"/>
      <c r="B315" s="914" t="s">
        <v>4031</v>
      </c>
      <c r="C315" s="915"/>
      <c r="D315" s="915"/>
      <c r="E315" s="916" t="s">
        <v>4032</v>
      </c>
      <c r="F315" s="917" t="s">
        <v>4016</v>
      </c>
      <c r="G315" s="918"/>
      <c r="H315" s="919"/>
      <c r="I315" s="920"/>
      <c r="J315" s="891">
        <f>SUM(J316:J320)</f>
        <v>28636.33</v>
      </c>
      <c r="K315" s="891"/>
      <c r="L315" s="891">
        <f>SUM(L316:L320)</f>
        <v>3012350.88</v>
      </c>
      <c r="M315" s="891"/>
      <c r="N315" s="891">
        <f>SUM(N316:N320)</f>
        <v>0</v>
      </c>
      <c r="O315" s="892">
        <f t="shared" si="16"/>
        <v>1</v>
      </c>
      <c r="P315" s="903">
        <f t="shared" si="17"/>
        <v>0</v>
      </c>
      <c r="Q315" s="893">
        <f t="shared" si="18"/>
        <v>0</v>
      </c>
      <c r="R315" s="894">
        <f t="shared" si="19"/>
        <v>5</v>
      </c>
    </row>
    <row r="316" spans="1:18" s="904" customFormat="1">
      <c r="A316" s="895"/>
      <c r="B316" s="922"/>
      <c r="C316" s="897"/>
      <c r="D316" s="897"/>
      <c r="E316" s="924" t="s">
        <v>108</v>
      </c>
      <c r="F316" s="899"/>
      <c r="G316" s="900"/>
      <c r="H316" s="901"/>
      <c r="I316" s="902"/>
      <c r="J316" s="902"/>
      <c r="K316" s="912" t="s">
        <v>274</v>
      </c>
      <c r="L316" s="902"/>
      <c r="M316" s="902"/>
      <c r="N316" s="902"/>
      <c r="O316" s="892">
        <f t="shared" si="16"/>
        <v>0</v>
      </c>
      <c r="P316" s="903">
        <f t="shared" si="17"/>
        <v>1</v>
      </c>
      <c r="Q316" s="893">
        <f t="shared" si="18"/>
        <v>5</v>
      </c>
      <c r="R316" s="894">
        <f t="shared" si="19"/>
        <v>0</v>
      </c>
    </row>
    <row r="317" spans="1:18">
      <c r="A317" s="905"/>
      <c r="B317" s="914"/>
      <c r="C317" s="907">
        <v>62</v>
      </c>
      <c r="D317" s="907" t="s">
        <v>279</v>
      </c>
      <c r="E317" s="925" t="s">
        <v>4004</v>
      </c>
      <c r="F317" s="926" t="s">
        <v>47</v>
      </c>
      <c r="G317" s="910"/>
      <c r="H317" s="911">
        <v>6.0000000000000001E-3</v>
      </c>
      <c r="I317" s="912">
        <f>VLOOKUP(E317,[3]VLP!$B$7:$K$300,10,0)</f>
        <v>3545455</v>
      </c>
      <c r="J317" s="912">
        <f>I317*H317</f>
        <v>21272.73</v>
      </c>
      <c r="K317" s="912" t="s">
        <v>274</v>
      </c>
      <c r="L317" s="912"/>
      <c r="M317" s="912"/>
      <c r="N317" s="912"/>
      <c r="O317" s="892">
        <f t="shared" ref="O317:O380" si="20">IF(AND(B317&lt;&gt;"",D317=""),1,0)</f>
        <v>0</v>
      </c>
      <c r="P317" s="903">
        <f t="shared" ref="P317:P380" si="21">IF(O317=0,1,0)</f>
        <v>1</v>
      </c>
      <c r="Q317" s="893">
        <f t="shared" ref="Q317:Q380" si="22">IF(P317=0,0,P317+Q318)</f>
        <v>4</v>
      </c>
      <c r="R317" s="894">
        <f t="shared" ref="R317:R380" si="23">IF(Q317=0,Q318,0)</f>
        <v>0</v>
      </c>
    </row>
    <row r="318" spans="1:18">
      <c r="A318" s="905"/>
      <c r="B318" s="914"/>
      <c r="C318" s="907">
        <v>110</v>
      </c>
      <c r="D318" s="907" t="s">
        <v>279</v>
      </c>
      <c r="E318" s="925" t="s">
        <v>4017</v>
      </c>
      <c r="F318" s="926" t="s">
        <v>45</v>
      </c>
      <c r="G318" s="910"/>
      <c r="H318" s="911">
        <v>0.1</v>
      </c>
      <c r="I318" s="912">
        <f>VLOOKUP(E318,[3]VLP!$B$7:$K$300,10,0)</f>
        <v>73636</v>
      </c>
      <c r="J318" s="912">
        <f>I318*H318</f>
        <v>7363.6</v>
      </c>
      <c r="K318" s="912" t="s">
        <v>274</v>
      </c>
      <c r="L318" s="912"/>
      <c r="M318" s="912"/>
      <c r="N318" s="912"/>
      <c r="O318" s="892">
        <f t="shared" si="20"/>
        <v>0</v>
      </c>
      <c r="P318" s="903">
        <f t="shared" si="21"/>
        <v>1</v>
      </c>
      <c r="Q318" s="893">
        <f t="shared" si="22"/>
        <v>3</v>
      </c>
      <c r="R318" s="894">
        <f t="shared" si="23"/>
        <v>0</v>
      </c>
    </row>
    <row r="319" spans="1:18" s="904" customFormat="1">
      <c r="A319" s="895"/>
      <c r="B319" s="922"/>
      <c r="C319" s="897"/>
      <c r="D319" s="897"/>
      <c r="E319" s="898" t="s">
        <v>276</v>
      </c>
      <c r="F319" s="927"/>
      <c r="G319" s="928"/>
      <c r="H319" s="901"/>
      <c r="I319" s="902"/>
      <c r="J319" s="902"/>
      <c r="K319" s="912" t="s">
        <v>274</v>
      </c>
      <c r="L319" s="902"/>
      <c r="M319" s="902"/>
      <c r="N319" s="902"/>
      <c r="O319" s="892">
        <f t="shared" si="20"/>
        <v>0</v>
      </c>
      <c r="P319" s="903">
        <f t="shared" si="21"/>
        <v>1</v>
      </c>
      <c r="Q319" s="893">
        <f t="shared" si="22"/>
        <v>2</v>
      </c>
      <c r="R319" s="894">
        <f t="shared" si="23"/>
        <v>0</v>
      </c>
    </row>
    <row r="320" spans="1:18">
      <c r="A320" s="905"/>
      <c r="B320" s="914"/>
      <c r="C320" s="907">
        <v>740</v>
      </c>
      <c r="D320" s="907" t="s">
        <v>12</v>
      </c>
      <c r="E320" s="908" t="s">
        <v>4008</v>
      </c>
      <c r="F320" s="909" t="s">
        <v>2674</v>
      </c>
      <c r="G320" s="910"/>
      <c r="H320" s="911">
        <v>11.92</v>
      </c>
      <c r="I320" s="912"/>
      <c r="J320" s="912"/>
      <c r="K320" s="912">
        <f>VLOOKUP(E320,ĐMNC!$A$7:$F$67,4,0)</f>
        <v>252714</v>
      </c>
      <c r="L320" s="912">
        <f>H320*K320</f>
        <v>3012350.88</v>
      </c>
      <c r="M320" s="912"/>
      <c r="N320" s="912"/>
      <c r="O320" s="892">
        <f t="shared" si="20"/>
        <v>0</v>
      </c>
      <c r="P320" s="903">
        <f t="shared" si="21"/>
        <v>1</v>
      </c>
      <c r="Q320" s="893">
        <f t="shared" si="22"/>
        <v>1</v>
      </c>
      <c r="R320" s="894">
        <f t="shared" si="23"/>
        <v>0</v>
      </c>
    </row>
    <row r="321" spans="1:18" s="847" customFormat="1" ht="31.5">
      <c r="A321" s="905" t="s">
        <v>4013</v>
      </c>
      <c r="B321" s="914" t="s">
        <v>995</v>
      </c>
      <c r="C321" s="915"/>
      <c r="D321" s="915"/>
      <c r="E321" s="929" t="s">
        <v>4033</v>
      </c>
      <c r="F321" s="917" t="s">
        <v>4016</v>
      </c>
      <c r="G321" s="918"/>
      <c r="H321" s="919"/>
      <c r="I321" s="920"/>
      <c r="J321" s="891">
        <f>SUM(J322:J328)</f>
        <v>25090.875</v>
      </c>
      <c r="K321" s="891"/>
      <c r="L321" s="891">
        <f>SUM(L322:L328)</f>
        <v>467520.9</v>
      </c>
      <c r="M321" s="891"/>
      <c r="N321" s="891">
        <f>SUM(N322:N328)</f>
        <v>130071.48000000001</v>
      </c>
      <c r="O321" s="892">
        <f t="shared" si="20"/>
        <v>1</v>
      </c>
      <c r="P321" s="903">
        <f t="shared" si="21"/>
        <v>0</v>
      </c>
      <c r="Q321" s="893">
        <f t="shared" si="22"/>
        <v>0</v>
      </c>
      <c r="R321" s="894">
        <f t="shared" si="23"/>
        <v>7</v>
      </c>
    </row>
    <row r="322" spans="1:18" s="904" customFormat="1">
      <c r="A322" s="895"/>
      <c r="B322" s="922"/>
      <c r="C322" s="897"/>
      <c r="D322" s="897"/>
      <c r="E322" s="924" t="s">
        <v>108</v>
      </c>
      <c r="F322" s="899"/>
      <c r="G322" s="900"/>
      <c r="H322" s="901"/>
      <c r="I322" s="902"/>
      <c r="J322" s="902"/>
      <c r="K322" s="912" t="s">
        <v>274</v>
      </c>
      <c r="L322" s="902"/>
      <c r="M322" s="902"/>
      <c r="N322" s="902"/>
      <c r="O322" s="892">
        <f t="shared" si="20"/>
        <v>0</v>
      </c>
      <c r="P322" s="903">
        <f t="shared" si="21"/>
        <v>1</v>
      </c>
      <c r="Q322" s="893">
        <f t="shared" si="22"/>
        <v>7</v>
      </c>
      <c r="R322" s="894">
        <f t="shared" si="23"/>
        <v>0</v>
      </c>
    </row>
    <row r="323" spans="1:18">
      <c r="A323" s="905"/>
      <c r="B323" s="914"/>
      <c r="C323" s="907">
        <v>62</v>
      </c>
      <c r="D323" s="907" t="s">
        <v>279</v>
      </c>
      <c r="E323" s="925" t="s">
        <v>4004</v>
      </c>
      <c r="F323" s="926" t="s">
        <v>47</v>
      </c>
      <c r="G323" s="910"/>
      <c r="H323" s="911">
        <v>5.0000000000000001E-3</v>
      </c>
      <c r="I323" s="912">
        <f>VLOOKUP(E323,[3]VLP!$B$7:$K$300,10,0)</f>
        <v>3545455</v>
      </c>
      <c r="J323" s="912">
        <f>I323*H323</f>
        <v>17727.275000000001</v>
      </c>
      <c r="K323" s="912" t="s">
        <v>274</v>
      </c>
      <c r="L323" s="912"/>
      <c r="M323" s="912"/>
      <c r="N323" s="912"/>
      <c r="O323" s="892">
        <f t="shared" si="20"/>
        <v>0</v>
      </c>
      <c r="P323" s="903">
        <f t="shared" si="21"/>
        <v>1</v>
      </c>
      <c r="Q323" s="893">
        <f t="shared" si="22"/>
        <v>6</v>
      </c>
      <c r="R323" s="894">
        <f t="shared" si="23"/>
        <v>0</v>
      </c>
    </row>
    <row r="324" spans="1:18">
      <c r="A324" s="905"/>
      <c r="B324" s="914"/>
      <c r="C324" s="907">
        <v>110</v>
      </c>
      <c r="D324" s="907" t="s">
        <v>279</v>
      </c>
      <c r="E324" s="925" t="s">
        <v>4017</v>
      </c>
      <c r="F324" s="926" t="s">
        <v>45</v>
      </c>
      <c r="G324" s="910"/>
      <c r="H324" s="911">
        <v>0.1</v>
      </c>
      <c r="I324" s="912">
        <f>VLOOKUP(E324,[3]VLP!$B$7:$K$300,10,0)</f>
        <v>73636</v>
      </c>
      <c r="J324" s="912">
        <f>I324*H324</f>
        <v>7363.6</v>
      </c>
      <c r="K324" s="912" t="s">
        <v>274</v>
      </c>
      <c r="L324" s="912"/>
      <c r="M324" s="912"/>
      <c r="N324" s="912"/>
      <c r="O324" s="892">
        <f t="shared" si="20"/>
        <v>0</v>
      </c>
      <c r="P324" s="903">
        <f t="shared" si="21"/>
        <v>1</v>
      </c>
      <c r="Q324" s="893">
        <f t="shared" si="22"/>
        <v>5</v>
      </c>
      <c r="R324" s="894">
        <f t="shared" si="23"/>
        <v>0</v>
      </c>
    </row>
    <row r="325" spans="1:18" s="904" customFormat="1">
      <c r="A325" s="895"/>
      <c r="B325" s="922"/>
      <c r="C325" s="897"/>
      <c r="D325" s="897"/>
      <c r="E325" s="898" t="s">
        <v>276</v>
      </c>
      <c r="F325" s="927"/>
      <c r="G325" s="928"/>
      <c r="H325" s="901"/>
      <c r="I325" s="902"/>
      <c r="J325" s="902"/>
      <c r="K325" s="912" t="s">
        <v>274</v>
      </c>
      <c r="L325" s="902"/>
      <c r="M325" s="902"/>
      <c r="N325" s="902"/>
      <c r="O325" s="892">
        <f t="shared" si="20"/>
        <v>0</v>
      </c>
      <c r="P325" s="903">
        <f t="shared" si="21"/>
        <v>1</v>
      </c>
      <c r="Q325" s="893">
        <f t="shared" si="22"/>
        <v>4</v>
      </c>
      <c r="R325" s="894">
        <f t="shared" si="23"/>
        <v>0</v>
      </c>
    </row>
    <row r="326" spans="1:18">
      <c r="A326" s="905"/>
      <c r="B326" s="914"/>
      <c r="C326" s="907">
        <v>740</v>
      </c>
      <c r="D326" s="907" t="s">
        <v>12</v>
      </c>
      <c r="E326" s="908" t="s">
        <v>4008</v>
      </c>
      <c r="F326" s="909" t="s">
        <v>2674</v>
      </c>
      <c r="G326" s="910"/>
      <c r="H326" s="911">
        <v>1.85</v>
      </c>
      <c r="I326" s="912"/>
      <c r="J326" s="912"/>
      <c r="K326" s="912">
        <f>VLOOKUP(E326,ĐMNC!$A$7:$F$67,4,0)</f>
        <v>252714</v>
      </c>
      <c r="L326" s="912">
        <f>H326*K326</f>
        <v>467520.9</v>
      </c>
      <c r="M326" s="912"/>
      <c r="N326" s="912"/>
      <c r="O326" s="892">
        <f t="shared" si="20"/>
        <v>0</v>
      </c>
      <c r="P326" s="903">
        <f t="shared" si="21"/>
        <v>1</v>
      </c>
      <c r="Q326" s="893">
        <f t="shared" si="22"/>
        <v>3</v>
      </c>
      <c r="R326" s="894">
        <f t="shared" si="23"/>
        <v>0</v>
      </c>
    </row>
    <row r="327" spans="1:18" s="904" customFormat="1">
      <c r="A327" s="895"/>
      <c r="B327" s="922"/>
      <c r="C327" s="897"/>
      <c r="D327" s="897"/>
      <c r="E327" s="898" t="s">
        <v>3914</v>
      </c>
      <c r="F327" s="899"/>
      <c r="G327" s="928"/>
      <c r="H327" s="901"/>
      <c r="I327" s="902"/>
      <c r="J327" s="902"/>
      <c r="K327" s="912" t="s">
        <v>274</v>
      </c>
      <c r="L327" s="902"/>
      <c r="M327" s="902"/>
      <c r="N327" s="902"/>
      <c r="O327" s="892">
        <f t="shared" si="20"/>
        <v>0</v>
      </c>
      <c r="P327" s="903">
        <f t="shared" si="21"/>
        <v>1</v>
      </c>
      <c r="Q327" s="893">
        <f t="shared" si="22"/>
        <v>2</v>
      </c>
      <c r="R327" s="894">
        <f t="shared" si="23"/>
        <v>0</v>
      </c>
    </row>
    <row r="328" spans="1:18">
      <c r="A328" s="905"/>
      <c r="B328" s="930" t="s">
        <v>4034</v>
      </c>
      <c r="C328" s="907">
        <v>819</v>
      </c>
      <c r="D328" s="907" t="s">
        <v>93</v>
      </c>
      <c r="E328" s="925" t="s">
        <v>4035</v>
      </c>
      <c r="F328" s="909" t="s">
        <v>2673</v>
      </c>
      <c r="G328" s="910"/>
      <c r="H328" s="911">
        <v>7.0000000000000007E-2</v>
      </c>
      <c r="I328" s="912"/>
      <c r="J328" s="912"/>
      <c r="K328" s="912"/>
      <c r="L328" s="912"/>
      <c r="M328" s="912">
        <f>VLOOKUP(B328,MTC!$B$9:$S$933,12,0)</f>
        <v>1858164</v>
      </c>
      <c r="N328" s="912">
        <f>M328*H328</f>
        <v>130071.48000000001</v>
      </c>
      <c r="O328" s="892">
        <f t="shared" si="20"/>
        <v>0</v>
      </c>
      <c r="P328" s="903">
        <f t="shared" si="21"/>
        <v>1</v>
      </c>
      <c r="Q328" s="893">
        <f t="shared" si="22"/>
        <v>1</v>
      </c>
      <c r="R328" s="894">
        <f t="shared" si="23"/>
        <v>0</v>
      </c>
    </row>
    <row r="329" spans="1:18" s="847" customFormat="1" ht="31.5">
      <c r="A329" s="905"/>
      <c r="B329" s="914" t="s">
        <v>997</v>
      </c>
      <c r="C329" s="915"/>
      <c r="D329" s="915"/>
      <c r="E329" s="916" t="s">
        <v>4036</v>
      </c>
      <c r="F329" s="917" t="s">
        <v>4016</v>
      </c>
      <c r="G329" s="918"/>
      <c r="H329" s="919"/>
      <c r="I329" s="920"/>
      <c r="J329" s="891">
        <f>SUM(J330:J336)</f>
        <v>25090.875</v>
      </c>
      <c r="K329" s="891"/>
      <c r="L329" s="891">
        <f>SUM(L330:L336)</f>
        <v>500373.72</v>
      </c>
      <c r="M329" s="891"/>
      <c r="N329" s="891">
        <f>SUM(N330:N336)</f>
        <v>130071.48000000001</v>
      </c>
      <c r="O329" s="892">
        <f t="shared" si="20"/>
        <v>1</v>
      </c>
      <c r="P329" s="903">
        <f t="shared" si="21"/>
        <v>0</v>
      </c>
      <c r="Q329" s="893">
        <f t="shared" si="22"/>
        <v>0</v>
      </c>
      <c r="R329" s="894">
        <f t="shared" si="23"/>
        <v>7</v>
      </c>
    </row>
    <row r="330" spans="1:18" s="904" customFormat="1">
      <c r="A330" s="895"/>
      <c r="B330" s="922"/>
      <c r="C330" s="897"/>
      <c r="D330" s="897"/>
      <c r="E330" s="924" t="s">
        <v>108</v>
      </c>
      <c r="F330" s="899"/>
      <c r="G330" s="900"/>
      <c r="H330" s="901"/>
      <c r="I330" s="902"/>
      <c r="J330" s="902"/>
      <c r="K330" s="912" t="s">
        <v>274</v>
      </c>
      <c r="L330" s="902"/>
      <c r="M330" s="902"/>
      <c r="N330" s="902"/>
      <c r="O330" s="892">
        <f t="shared" si="20"/>
        <v>0</v>
      </c>
      <c r="P330" s="903">
        <f t="shared" si="21"/>
        <v>1</v>
      </c>
      <c r="Q330" s="893">
        <f t="shared" si="22"/>
        <v>7</v>
      </c>
      <c r="R330" s="894">
        <f t="shared" si="23"/>
        <v>0</v>
      </c>
    </row>
    <row r="331" spans="1:18">
      <c r="A331" s="905"/>
      <c r="B331" s="914"/>
      <c r="C331" s="907">
        <v>62</v>
      </c>
      <c r="D331" s="907" t="s">
        <v>279</v>
      </c>
      <c r="E331" s="925" t="s">
        <v>4004</v>
      </c>
      <c r="F331" s="926" t="s">
        <v>47</v>
      </c>
      <c r="G331" s="910"/>
      <c r="H331" s="911">
        <v>5.0000000000000001E-3</v>
      </c>
      <c r="I331" s="912">
        <f>VLOOKUP(E331,[3]VLP!$B$7:$K$300,10,0)</f>
        <v>3545455</v>
      </c>
      <c r="J331" s="912">
        <f>I331*H331</f>
        <v>17727.275000000001</v>
      </c>
      <c r="K331" s="912" t="s">
        <v>274</v>
      </c>
      <c r="L331" s="912"/>
      <c r="M331" s="912"/>
      <c r="N331" s="912"/>
      <c r="O331" s="892">
        <f t="shared" si="20"/>
        <v>0</v>
      </c>
      <c r="P331" s="903">
        <f t="shared" si="21"/>
        <v>1</v>
      </c>
      <c r="Q331" s="893">
        <f t="shared" si="22"/>
        <v>6</v>
      </c>
      <c r="R331" s="894">
        <f t="shared" si="23"/>
        <v>0</v>
      </c>
    </row>
    <row r="332" spans="1:18">
      <c r="A332" s="905"/>
      <c r="B332" s="914"/>
      <c r="C332" s="907">
        <v>110</v>
      </c>
      <c r="D332" s="907" t="s">
        <v>279</v>
      </c>
      <c r="E332" s="925" t="s">
        <v>4017</v>
      </c>
      <c r="F332" s="926" t="s">
        <v>45</v>
      </c>
      <c r="G332" s="910"/>
      <c r="H332" s="911">
        <v>0.1</v>
      </c>
      <c r="I332" s="912">
        <f>VLOOKUP(E332,[3]VLP!$B$7:$K$300,10,0)</f>
        <v>73636</v>
      </c>
      <c r="J332" s="912">
        <f>I332*H332</f>
        <v>7363.6</v>
      </c>
      <c r="K332" s="912" t="s">
        <v>274</v>
      </c>
      <c r="L332" s="912"/>
      <c r="M332" s="912"/>
      <c r="N332" s="912"/>
      <c r="O332" s="892">
        <f t="shared" si="20"/>
        <v>0</v>
      </c>
      <c r="P332" s="903">
        <f t="shared" si="21"/>
        <v>1</v>
      </c>
      <c r="Q332" s="893">
        <f t="shared" si="22"/>
        <v>5</v>
      </c>
      <c r="R332" s="894">
        <f t="shared" si="23"/>
        <v>0</v>
      </c>
    </row>
    <row r="333" spans="1:18" s="904" customFormat="1">
      <c r="A333" s="895"/>
      <c r="B333" s="922"/>
      <c r="C333" s="897"/>
      <c r="D333" s="897"/>
      <c r="E333" s="898" t="s">
        <v>276</v>
      </c>
      <c r="F333" s="927"/>
      <c r="G333" s="928"/>
      <c r="H333" s="901"/>
      <c r="I333" s="902"/>
      <c r="J333" s="902"/>
      <c r="K333" s="912" t="s">
        <v>274</v>
      </c>
      <c r="L333" s="902"/>
      <c r="M333" s="902"/>
      <c r="N333" s="902"/>
      <c r="O333" s="892">
        <f t="shared" si="20"/>
        <v>0</v>
      </c>
      <c r="P333" s="903">
        <f t="shared" si="21"/>
        <v>1</v>
      </c>
      <c r="Q333" s="893">
        <f t="shared" si="22"/>
        <v>4</v>
      </c>
      <c r="R333" s="894">
        <f t="shared" si="23"/>
        <v>0</v>
      </c>
    </row>
    <row r="334" spans="1:18">
      <c r="A334" s="905"/>
      <c r="B334" s="914"/>
      <c r="C334" s="907">
        <v>740</v>
      </c>
      <c r="D334" s="907" t="s">
        <v>12</v>
      </c>
      <c r="E334" s="908" t="s">
        <v>4008</v>
      </c>
      <c r="F334" s="909" t="s">
        <v>2674</v>
      </c>
      <c r="G334" s="910"/>
      <c r="H334" s="911">
        <v>1.98</v>
      </c>
      <c r="I334" s="912"/>
      <c r="J334" s="912"/>
      <c r="K334" s="912">
        <f>VLOOKUP(E334,ĐMNC!$A$7:$F$67,4,0)</f>
        <v>252714</v>
      </c>
      <c r="L334" s="912">
        <f>H334*K334</f>
        <v>500373.72</v>
      </c>
      <c r="M334" s="912"/>
      <c r="N334" s="912"/>
      <c r="O334" s="892">
        <f t="shared" si="20"/>
        <v>0</v>
      </c>
      <c r="P334" s="903">
        <f t="shared" si="21"/>
        <v>1</v>
      </c>
      <c r="Q334" s="893">
        <f t="shared" si="22"/>
        <v>3</v>
      </c>
      <c r="R334" s="894">
        <f t="shared" si="23"/>
        <v>0</v>
      </c>
    </row>
    <row r="335" spans="1:18" s="904" customFormat="1">
      <c r="A335" s="895"/>
      <c r="B335" s="922"/>
      <c r="C335" s="897"/>
      <c r="D335" s="897"/>
      <c r="E335" s="898" t="s">
        <v>3914</v>
      </c>
      <c r="F335" s="899"/>
      <c r="G335" s="928"/>
      <c r="H335" s="901"/>
      <c r="I335" s="902"/>
      <c r="J335" s="902"/>
      <c r="K335" s="912" t="s">
        <v>274</v>
      </c>
      <c r="L335" s="902"/>
      <c r="M335" s="902"/>
      <c r="N335" s="902"/>
      <c r="O335" s="892">
        <f t="shared" si="20"/>
        <v>0</v>
      </c>
      <c r="P335" s="903">
        <f t="shared" si="21"/>
        <v>1</v>
      </c>
      <c r="Q335" s="893">
        <f t="shared" si="22"/>
        <v>2</v>
      </c>
      <c r="R335" s="894">
        <f t="shared" si="23"/>
        <v>0</v>
      </c>
    </row>
    <row r="336" spans="1:18">
      <c r="A336" s="905"/>
      <c r="B336" s="930" t="s">
        <v>4034</v>
      </c>
      <c r="C336" s="907">
        <v>819</v>
      </c>
      <c r="D336" s="907" t="s">
        <v>93</v>
      </c>
      <c r="E336" s="925" t="s">
        <v>4035</v>
      </c>
      <c r="F336" s="909" t="s">
        <v>2673</v>
      </c>
      <c r="G336" s="910"/>
      <c r="H336" s="911">
        <v>7.0000000000000007E-2</v>
      </c>
      <c r="I336" s="912"/>
      <c r="J336" s="912"/>
      <c r="K336" s="912"/>
      <c r="L336" s="912"/>
      <c r="M336" s="912">
        <f>VLOOKUP(B336,MTC!$B$9:$S$933,12,0)</f>
        <v>1858164</v>
      </c>
      <c r="N336" s="912">
        <f>M336*H336</f>
        <v>130071.48000000001</v>
      </c>
      <c r="O336" s="892">
        <f t="shared" si="20"/>
        <v>0</v>
      </c>
      <c r="P336" s="903">
        <f t="shared" si="21"/>
        <v>1</v>
      </c>
      <c r="Q336" s="893">
        <f t="shared" si="22"/>
        <v>1</v>
      </c>
      <c r="R336" s="894">
        <f t="shared" si="23"/>
        <v>0</v>
      </c>
    </row>
    <row r="337" spans="1:18" s="847" customFormat="1" ht="31.5">
      <c r="A337" s="905"/>
      <c r="B337" s="914" t="s">
        <v>140</v>
      </c>
      <c r="C337" s="915"/>
      <c r="D337" s="915"/>
      <c r="E337" s="916" t="s">
        <v>4037</v>
      </c>
      <c r="F337" s="917" t="s">
        <v>4016</v>
      </c>
      <c r="G337" s="918"/>
      <c r="H337" s="919"/>
      <c r="I337" s="920"/>
      <c r="J337" s="891">
        <f>SUM(J338:J344)</f>
        <v>25090.875</v>
      </c>
      <c r="K337" s="891"/>
      <c r="L337" s="891">
        <f>SUM(L338:L344)</f>
        <v>535753.68000000005</v>
      </c>
      <c r="M337" s="891"/>
      <c r="N337" s="891">
        <f>SUM(N338:N344)</f>
        <v>185816.40000000002</v>
      </c>
      <c r="O337" s="892">
        <f t="shared" si="20"/>
        <v>1</v>
      </c>
      <c r="P337" s="903">
        <f t="shared" si="21"/>
        <v>0</v>
      </c>
      <c r="Q337" s="893">
        <f t="shared" si="22"/>
        <v>0</v>
      </c>
      <c r="R337" s="894">
        <f t="shared" si="23"/>
        <v>7</v>
      </c>
    </row>
    <row r="338" spans="1:18" s="904" customFormat="1">
      <c r="A338" s="895"/>
      <c r="B338" s="922"/>
      <c r="C338" s="897"/>
      <c r="D338" s="897"/>
      <c r="E338" s="924" t="s">
        <v>108</v>
      </c>
      <c r="F338" s="899"/>
      <c r="G338" s="900"/>
      <c r="H338" s="901"/>
      <c r="I338" s="902"/>
      <c r="J338" s="902"/>
      <c r="K338" s="912" t="s">
        <v>274</v>
      </c>
      <c r="L338" s="902"/>
      <c r="M338" s="902"/>
      <c r="N338" s="902"/>
      <c r="O338" s="892">
        <f t="shared" si="20"/>
        <v>0</v>
      </c>
      <c r="P338" s="903">
        <f t="shared" si="21"/>
        <v>1</v>
      </c>
      <c r="Q338" s="893">
        <f t="shared" si="22"/>
        <v>7</v>
      </c>
      <c r="R338" s="894">
        <f t="shared" si="23"/>
        <v>0</v>
      </c>
    </row>
    <row r="339" spans="1:18">
      <c r="A339" s="905"/>
      <c r="B339" s="914"/>
      <c r="C339" s="907">
        <v>62</v>
      </c>
      <c r="D339" s="907" t="s">
        <v>279</v>
      </c>
      <c r="E339" s="925" t="s">
        <v>4004</v>
      </c>
      <c r="F339" s="926" t="s">
        <v>47</v>
      </c>
      <c r="G339" s="910"/>
      <c r="H339" s="911">
        <v>5.0000000000000001E-3</v>
      </c>
      <c r="I339" s="912">
        <f>VLOOKUP(E339,[3]VLP!$B$7:$K$300,10,0)</f>
        <v>3545455</v>
      </c>
      <c r="J339" s="912">
        <f>I339*H339</f>
        <v>17727.275000000001</v>
      </c>
      <c r="K339" s="912" t="s">
        <v>274</v>
      </c>
      <c r="L339" s="912"/>
      <c r="M339" s="912"/>
      <c r="N339" s="912"/>
      <c r="O339" s="892">
        <f t="shared" si="20"/>
        <v>0</v>
      </c>
      <c r="P339" s="903">
        <f t="shared" si="21"/>
        <v>1</v>
      </c>
      <c r="Q339" s="893">
        <f t="shared" si="22"/>
        <v>6</v>
      </c>
      <c r="R339" s="894">
        <f t="shared" si="23"/>
        <v>0</v>
      </c>
    </row>
    <row r="340" spans="1:18">
      <c r="A340" s="905"/>
      <c r="B340" s="914"/>
      <c r="C340" s="907">
        <v>110</v>
      </c>
      <c r="D340" s="907" t="s">
        <v>279</v>
      </c>
      <c r="E340" s="925" t="s">
        <v>4017</v>
      </c>
      <c r="F340" s="926" t="s">
        <v>45</v>
      </c>
      <c r="G340" s="910"/>
      <c r="H340" s="911">
        <v>0.1</v>
      </c>
      <c r="I340" s="912">
        <f>VLOOKUP(E340,[3]VLP!$B$7:$K$300,10,0)</f>
        <v>73636</v>
      </c>
      <c r="J340" s="912">
        <f>I340*H340</f>
        <v>7363.6</v>
      </c>
      <c r="K340" s="912" t="s">
        <v>274</v>
      </c>
      <c r="L340" s="912"/>
      <c r="M340" s="912"/>
      <c r="N340" s="912"/>
      <c r="O340" s="892">
        <f t="shared" si="20"/>
        <v>0</v>
      </c>
      <c r="P340" s="903">
        <f t="shared" si="21"/>
        <v>1</v>
      </c>
      <c r="Q340" s="893">
        <f t="shared" si="22"/>
        <v>5</v>
      </c>
      <c r="R340" s="894">
        <f t="shared" si="23"/>
        <v>0</v>
      </c>
    </row>
    <row r="341" spans="1:18" s="904" customFormat="1">
      <c r="A341" s="895"/>
      <c r="B341" s="922"/>
      <c r="C341" s="897"/>
      <c r="D341" s="897"/>
      <c r="E341" s="898" t="s">
        <v>276</v>
      </c>
      <c r="F341" s="927"/>
      <c r="G341" s="928"/>
      <c r="H341" s="901"/>
      <c r="I341" s="902"/>
      <c r="J341" s="902"/>
      <c r="K341" s="912" t="s">
        <v>274</v>
      </c>
      <c r="L341" s="902"/>
      <c r="M341" s="902"/>
      <c r="N341" s="902"/>
      <c r="O341" s="892">
        <f t="shared" si="20"/>
        <v>0</v>
      </c>
      <c r="P341" s="903">
        <f t="shared" si="21"/>
        <v>1</v>
      </c>
      <c r="Q341" s="893">
        <f t="shared" si="22"/>
        <v>4</v>
      </c>
      <c r="R341" s="894">
        <f t="shared" si="23"/>
        <v>0</v>
      </c>
    </row>
    <row r="342" spans="1:18">
      <c r="A342" s="905"/>
      <c r="B342" s="914"/>
      <c r="C342" s="907">
        <v>740</v>
      </c>
      <c r="D342" s="907" t="s">
        <v>12</v>
      </c>
      <c r="E342" s="908" t="s">
        <v>4008</v>
      </c>
      <c r="F342" s="909" t="s">
        <v>2674</v>
      </c>
      <c r="G342" s="910"/>
      <c r="H342" s="911">
        <v>2.12</v>
      </c>
      <c r="I342" s="912"/>
      <c r="J342" s="912"/>
      <c r="K342" s="912">
        <f>VLOOKUP(E342,ĐMNC!$A$7:$F$67,4,0)</f>
        <v>252714</v>
      </c>
      <c r="L342" s="912">
        <f>H342*K342</f>
        <v>535753.68000000005</v>
      </c>
      <c r="M342" s="912"/>
      <c r="N342" s="912"/>
      <c r="O342" s="892">
        <f t="shared" si="20"/>
        <v>0</v>
      </c>
      <c r="P342" s="903">
        <f t="shared" si="21"/>
        <v>1</v>
      </c>
      <c r="Q342" s="893">
        <f t="shared" si="22"/>
        <v>3</v>
      </c>
      <c r="R342" s="894">
        <f t="shared" si="23"/>
        <v>0</v>
      </c>
    </row>
    <row r="343" spans="1:18" s="904" customFormat="1">
      <c r="A343" s="895"/>
      <c r="B343" s="922"/>
      <c r="C343" s="897"/>
      <c r="D343" s="897"/>
      <c r="E343" s="898" t="s">
        <v>3914</v>
      </c>
      <c r="F343" s="899"/>
      <c r="G343" s="928"/>
      <c r="H343" s="901"/>
      <c r="I343" s="902"/>
      <c r="J343" s="902"/>
      <c r="K343" s="912" t="s">
        <v>274</v>
      </c>
      <c r="L343" s="902"/>
      <c r="M343" s="902"/>
      <c r="N343" s="902"/>
      <c r="O343" s="892">
        <f t="shared" si="20"/>
        <v>0</v>
      </c>
      <c r="P343" s="903">
        <f t="shared" si="21"/>
        <v>1</v>
      </c>
      <c r="Q343" s="893">
        <f t="shared" si="22"/>
        <v>2</v>
      </c>
      <c r="R343" s="894">
        <f t="shared" si="23"/>
        <v>0</v>
      </c>
    </row>
    <row r="344" spans="1:18">
      <c r="A344" s="905"/>
      <c r="B344" s="930" t="s">
        <v>4034</v>
      </c>
      <c r="C344" s="907">
        <v>819</v>
      </c>
      <c r="D344" s="907" t="s">
        <v>93</v>
      </c>
      <c r="E344" s="925" t="s">
        <v>4035</v>
      </c>
      <c r="F344" s="909" t="s">
        <v>2673</v>
      </c>
      <c r="G344" s="910"/>
      <c r="H344" s="911">
        <v>0.1</v>
      </c>
      <c r="I344" s="912"/>
      <c r="J344" s="912"/>
      <c r="K344" s="912"/>
      <c r="L344" s="912"/>
      <c r="M344" s="912">
        <f>VLOOKUP(B344,MTC!$B$9:$S$933,12,0)</f>
        <v>1858164</v>
      </c>
      <c r="N344" s="912">
        <f>M344*H344</f>
        <v>185816.40000000002</v>
      </c>
      <c r="O344" s="892">
        <f t="shared" si="20"/>
        <v>0</v>
      </c>
      <c r="P344" s="903">
        <f t="shared" si="21"/>
        <v>1</v>
      </c>
      <c r="Q344" s="893">
        <f t="shared" si="22"/>
        <v>1</v>
      </c>
      <c r="R344" s="894">
        <f t="shared" si="23"/>
        <v>0</v>
      </c>
    </row>
    <row r="345" spans="1:18" s="847" customFormat="1" ht="31.5">
      <c r="A345" s="905"/>
      <c r="B345" s="914" t="s">
        <v>233</v>
      </c>
      <c r="C345" s="915"/>
      <c r="D345" s="915"/>
      <c r="E345" s="916" t="s">
        <v>4038</v>
      </c>
      <c r="F345" s="917" t="s">
        <v>4016</v>
      </c>
      <c r="G345" s="918"/>
      <c r="H345" s="919"/>
      <c r="I345" s="920"/>
      <c r="J345" s="891">
        <f>SUM(J346:J352)</f>
        <v>25090.875</v>
      </c>
      <c r="K345" s="891"/>
      <c r="L345" s="891">
        <f>SUM(L346:L352)</f>
        <v>667164.96000000008</v>
      </c>
      <c r="M345" s="891"/>
      <c r="N345" s="891">
        <f>SUM(N346:N352)</f>
        <v>185816.40000000002</v>
      </c>
      <c r="O345" s="892">
        <f t="shared" si="20"/>
        <v>1</v>
      </c>
      <c r="P345" s="903">
        <f t="shared" si="21"/>
        <v>0</v>
      </c>
      <c r="Q345" s="893">
        <f t="shared" si="22"/>
        <v>0</v>
      </c>
      <c r="R345" s="894">
        <f t="shared" si="23"/>
        <v>7</v>
      </c>
    </row>
    <row r="346" spans="1:18" s="904" customFormat="1">
      <c r="A346" s="895"/>
      <c r="B346" s="922"/>
      <c r="C346" s="897"/>
      <c r="D346" s="897"/>
      <c r="E346" s="924" t="s">
        <v>108</v>
      </c>
      <c r="F346" s="899"/>
      <c r="G346" s="900"/>
      <c r="H346" s="901"/>
      <c r="I346" s="902"/>
      <c r="J346" s="902"/>
      <c r="K346" s="912" t="s">
        <v>274</v>
      </c>
      <c r="L346" s="902"/>
      <c r="M346" s="902"/>
      <c r="N346" s="902"/>
      <c r="O346" s="892">
        <f t="shared" si="20"/>
        <v>0</v>
      </c>
      <c r="P346" s="903">
        <f t="shared" si="21"/>
        <v>1</v>
      </c>
      <c r="Q346" s="893">
        <f t="shared" si="22"/>
        <v>7</v>
      </c>
      <c r="R346" s="894">
        <f t="shared" si="23"/>
        <v>0</v>
      </c>
    </row>
    <row r="347" spans="1:18">
      <c r="A347" s="905"/>
      <c r="B347" s="914"/>
      <c r="C347" s="907">
        <v>62</v>
      </c>
      <c r="D347" s="907" t="s">
        <v>279</v>
      </c>
      <c r="E347" s="925" t="s">
        <v>4004</v>
      </c>
      <c r="F347" s="926" t="s">
        <v>47</v>
      </c>
      <c r="G347" s="910"/>
      <c r="H347" s="911">
        <v>5.0000000000000001E-3</v>
      </c>
      <c r="I347" s="912">
        <f>VLOOKUP(E347,[3]VLP!$B$7:$K$300,10,0)</f>
        <v>3545455</v>
      </c>
      <c r="J347" s="912">
        <f>I347*H347</f>
        <v>17727.275000000001</v>
      </c>
      <c r="K347" s="912" t="s">
        <v>274</v>
      </c>
      <c r="L347" s="912"/>
      <c r="M347" s="912"/>
      <c r="N347" s="912"/>
      <c r="O347" s="892">
        <f t="shared" si="20"/>
        <v>0</v>
      </c>
      <c r="P347" s="903">
        <f t="shared" si="21"/>
        <v>1</v>
      </c>
      <c r="Q347" s="893">
        <f t="shared" si="22"/>
        <v>6</v>
      </c>
      <c r="R347" s="894">
        <f t="shared" si="23"/>
        <v>0</v>
      </c>
    </row>
    <row r="348" spans="1:18">
      <c r="A348" s="905"/>
      <c r="B348" s="914"/>
      <c r="C348" s="907">
        <v>110</v>
      </c>
      <c r="D348" s="907" t="s">
        <v>279</v>
      </c>
      <c r="E348" s="925" t="s">
        <v>4017</v>
      </c>
      <c r="F348" s="926" t="s">
        <v>45</v>
      </c>
      <c r="G348" s="910"/>
      <c r="H348" s="911">
        <v>0.1</v>
      </c>
      <c r="I348" s="912">
        <f>VLOOKUP(E348,[3]VLP!$B$7:$K$300,10,0)</f>
        <v>73636</v>
      </c>
      <c r="J348" s="912">
        <f>I348*H348</f>
        <v>7363.6</v>
      </c>
      <c r="K348" s="912" t="s">
        <v>274</v>
      </c>
      <c r="L348" s="912"/>
      <c r="M348" s="912"/>
      <c r="N348" s="912"/>
      <c r="O348" s="892">
        <f t="shared" si="20"/>
        <v>0</v>
      </c>
      <c r="P348" s="903">
        <f t="shared" si="21"/>
        <v>1</v>
      </c>
      <c r="Q348" s="893">
        <f t="shared" si="22"/>
        <v>5</v>
      </c>
      <c r="R348" s="894">
        <f t="shared" si="23"/>
        <v>0</v>
      </c>
    </row>
    <row r="349" spans="1:18" s="904" customFormat="1">
      <c r="A349" s="895"/>
      <c r="B349" s="922"/>
      <c r="C349" s="897"/>
      <c r="D349" s="897"/>
      <c r="E349" s="898" t="s">
        <v>276</v>
      </c>
      <c r="F349" s="927"/>
      <c r="G349" s="928"/>
      <c r="H349" s="901"/>
      <c r="I349" s="902"/>
      <c r="J349" s="902"/>
      <c r="K349" s="912" t="s">
        <v>274</v>
      </c>
      <c r="L349" s="902"/>
      <c r="M349" s="902"/>
      <c r="N349" s="902"/>
      <c r="O349" s="892">
        <f t="shared" si="20"/>
        <v>0</v>
      </c>
      <c r="P349" s="903">
        <f t="shared" si="21"/>
        <v>1</v>
      </c>
      <c r="Q349" s="893">
        <f t="shared" si="22"/>
        <v>4</v>
      </c>
      <c r="R349" s="894">
        <f t="shared" si="23"/>
        <v>0</v>
      </c>
    </row>
    <row r="350" spans="1:18">
      <c r="A350" s="905"/>
      <c r="B350" s="914"/>
      <c r="C350" s="907">
        <v>740</v>
      </c>
      <c r="D350" s="907" t="s">
        <v>12</v>
      </c>
      <c r="E350" s="908" t="s">
        <v>4008</v>
      </c>
      <c r="F350" s="909" t="s">
        <v>2674</v>
      </c>
      <c r="G350" s="910"/>
      <c r="H350" s="911">
        <v>2.64</v>
      </c>
      <c r="I350" s="912"/>
      <c r="J350" s="912"/>
      <c r="K350" s="912">
        <f>VLOOKUP(E350,ĐMNC!$A$7:$F$67,4,0)</f>
        <v>252714</v>
      </c>
      <c r="L350" s="912">
        <f>H350*K350</f>
        <v>667164.96000000008</v>
      </c>
      <c r="M350" s="912"/>
      <c r="N350" s="912"/>
      <c r="O350" s="892">
        <f t="shared" si="20"/>
        <v>0</v>
      </c>
      <c r="P350" s="903">
        <f t="shared" si="21"/>
        <v>1</v>
      </c>
      <c r="Q350" s="893">
        <f t="shared" si="22"/>
        <v>3</v>
      </c>
      <c r="R350" s="894">
        <f t="shared" si="23"/>
        <v>0</v>
      </c>
    </row>
    <row r="351" spans="1:18" s="904" customFormat="1">
      <c r="A351" s="895"/>
      <c r="B351" s="922"/>
      <c r="C351" s="897"/>
      <c r="D351" s="897"/>
      <c r="E351" s="898" t="s">
        <v>3914</v>
      </c>
      <c r="F351" s="899"/>
      <c r="G351" s="928"/>
      <c r="H351" s="901"/>
      <c r="I351" s="902"/>
      <c r="J351" s="902"/>
      <c r="K351" s="912" t="s">
        <v>274</v>
      </c>
      <c r="L351" s="902"/>
      <c r="M351" s="902"/>
      <c r="N351" s="902"/>
      <c r="O351" s="892">
        <f t="shared" si="20"/>
        <v>0</v>
      </c>
      <c r="P351" s="903">
        <f t="shared" si="21"/>
        <v>1</v>
      </c>
      <c r="Q351" s="893">
        <f t="shared" si="22"/>
        <v>2</v>
      </c>
      <c r="R351" s="894">
        <f t="shared" si="23"/>
        <v>0</v>
      </c>
    </row>
    <row r="352" spans="1:18" s="942" customFormat="1">
      <c r="A352" s="931"/>
      <c r="B352" s="930" t="s">
        <v>4034</v>
      </c>
      <c r="C352" s="932">
        <v>819</v>
      </c>
      <c r="D352" s="932" t="s">
        <v>93</v>
      </c>
      <c r="E352" s="933" t="s">
        <v>4035</v>
      </c>
      <c r="F352" s="934" t="s">
        <v>2673</v>
      </c>
      <c r="G352" s="935"/>
      <c r="H352" s="936">
        <v>0.1</v>
      </c>
      <c r="I352" s="937"/>
      <c r="J352" s="937"/>
      <c r="K352" s="937"/>
      <c r="L352" s="937"/>
      <c r="M352" s="912">
        <f>VLOOKUP(B352,MTC!$B$9:$S$933,12,0)</f>
        <v>1858164</v>
      </c>
      <c r="N352" s="937">
        <f>M352*H352</f>
        <v>185816.40000000002</v>
      </c>
      <c r="O352" s="938">
        <f t="shared" si="20"/>
        <v>0</v>
      </c>
      <c r="P352" s="939">
        <f t="shared" si="21"/>
        <v>1</v>
      </c>
      <c r="Q352" s="940">
        <f t="shared" si="22"/>
        <v>1</v>
      </c>
      <c r="R352" s="941">
        <f t="shared" si="23"/>
        <v>0</v>
      </c>
    </row>
    <row r="353" spans="1:18" s="847" customFormat="1" ht="31.5">
      <c r="A353" s="905"/>
      <c r="B353" s="914" t="s">
        <v>4039</v>
      </c>
      <c r="C353" s="915"/>
      <c r="D353" s="915"/>
      <c r="E353" s="916" t="s">
        <v>4040</v>
      </c>
      <c r="F353" s="917" t="s">
        <v>4016</v>
      </c>
      <c r="G353" s="918"/>
      <c r="H353" s="919"/>
      <c r="I353" s="920"/>
      <c r="J353" s="891">
        <f>SUM(J354:J360)</f>
        <v>28636.33</v>
      </c>
      <c r="K353" s="891"/>
      <c r="L353" s="891">
        <f>SUM(L354:L360)</f>
        <v>727816.32</v>
      </c>
      <c r="M353" s="891"/>
      <c r="N353" s="891">
        <f>SUM(N354:N360)</f>
        <v>260142.96000000002</v>
      </c>
      <c r="O353" s="892">
        <f t="shared" si="20"/>
        <v>1</v>
      </c>
      <c r="P353" s="903">
        <f t="shared" si="21"/>
        <v>0</v>
      </c>
      <c r="Q353" s="893">
        <f t="shared" si="22"/>
        <v>0</v>
      </c>
      <c r="R353" s="894">
        <f t="shared" si="23"/>
        <v>7</v>
      </c>
    </row>
    <row r="354" spans="1:18" s="904" customFormat="1">
      <c r="A354" s="895"/>
      <c r="B354" s="922"/>
      <c r="C354" s="897"/>
      <c r="D354" s="897"/>
      <c r="E354" s="924" t="s">
        <v>108</v>
      </c>
      <c r="F354" s="899"/>
      <c r="G354" s="900"/>
      <c r="H354" s="901"/>
      <c r="I354" s="902"/>
      <c r="J354" s="902"/>
      <c r="K354" s="912" t="s">
        <v>274</v>
      </c>
      <c r="L354" s="902"/>
      <c r="M354" s="902"/>
      <c r="N354" s="902"/>
      <c r="O354" s="892">
        <f t="shared" si="20"/>
        <v>0</v>
      </c>
      <c r="P354" s="903">
        <f t="shared" si="21"/>
        <v>1</v>
      </c>
      <c r="Q354" s="893">
        <f t="shared" si="22"/>
        <v>7</v>
      </c>
      <c r="R354" s="894">
        <f t="shared" si="23"/>
        <v>0</v>
      </c>
    </row>
    <row r="355" spans="1:18">
      <c r="A355" s="905"/>
      <c r="B355" s="914"/>
      <c r="C355" s="907">
        <v>62</v>
      </c>
      <c r="D355" s="907" t="s">
        <v>279</v>
      </c>
      <c r="E355" s="925" t="s">
        <v>4004</v>
      </c>
      <c r="F355" s="926" t="s">
        <v>47</v>
      </c>
      <c r="G355" s="910"/>
      <c r="H355" s="911">
        <v>6.0000000000000001E-3</v>
      </c>
      <c r="I355" s="912">
        <f>VLOOKUP(E355,[3]VLP!$B$7:$K$300,10,0)</f>
        <v>3545455</v>
      </c>
      <c r="J355" s="912">
        <f>I355*H355</f>
        <v>21272.73</v>
      </c>
      <c r="K355" s="912" t="s">
        <v>274</v>
      </c>
      <c r="L355" s="912"/>
      <c r="M355" s="912"/>
      <c r="N355" s="912"/>
      <c r="O355" s="892">
        <f t="shared" si="20"/>
        <v>0</v>
      </c>
      <c r="P355" s="903">
        <f t="shared" si="21"/>
        <v>1</v>
      </c>
      <c r="Q355" s="893">
        <f t="shared" si="22"/>
        <v>6</v>
      </c>
      <c r="R355" s="894">
        <f t="shared" si="23"/>
        <v>0</v>
      </c>
    </row>
    <row r="356" spans="1:18">
      <c r="A356" s="905"/>
      <c r="B356" s="914"/>
      <c r="C356" s="907">
        <v>110</v>
      </c>
      <c r="D356" s="907" t="s">
        <v>279</v>
      </c>
      <c r="E356" s="925" t="s">
        <v>4017</v>
      </c>
      <c r="F356" s="926" t="s">
        <v>45</v>
      </c>
      <c r="G356" s="910"/>
      <c r="H356" s="911">
        <v>0.1</v>
      </c>
      <c r="I356" s="912">
        <f>VLOOKUP(E356,[3]VLP!$B$7:$K$300,10,0)</f>
        <v>73636</v>
      </c>
      <c r="J356" s="912">
        <f>I356*H356</f>
        <v>7363.6</v>
      </c>
      <c r="K356" s="912" t="s">
        <v>274</v>
      </c>
      <c r="L356" s="912"/>
      <c r="M356" s="912"/>
      <c r="N356" s="912"/>
      <c r="O356" s="892">
        <f t="shared" si="20"/>
        <v>0</v>
      </c>
      <c r="P356" s="903">
        <f t="shared" si="21"/>
        <v>1</v>
      </c>
      <c r="Q356" s="893">
        <f t="shared" si="22"/>
        <v>5</v>
      </c>
      <c r="R356" s="894">
        <f t="shared" si="23"/>
        <v>0</v>
      </c>
    </row>
    <row r="357" spans="1:18" s="904" customFormat="1">
      <c r="A357" s="895"/>
      <c r="B357" s="922"/>
      <c r="C357" s="897"/>
      <c r="D357" s="897"/>
      <c r="E357" s="898" t="s">
        <v>276</v>
      </c>
      <c r="F357" s="927"/>
      <c r="G357" s="928"/>
      <c r="H357" s="901"/>
      <c r="I357" s="902"/>
      <c r="J357" s="902"/>
      <c r="K357" s="912" t="s">
        <v>274</v>
      </c>
      <c r="L357" s="902"/>
      <c r="M357" s="902"/>
      <c r="N357" s="902"/>
      <c r="O357" s="892">
        <f t="shared" si="20"/>
        <v>0</v>
      </c>
      <c r="P357" s="903">
        <f t="shared" si="21"/>
        <v>1</v>
      </c>
      <c r="Q357" s="893">
        <f t="shared" si="22"/>
        <v>4</v>
      </c>
      <c r="R357" s="894">
        <f t="shared" si="23"/>
        <v>0</v>
      </c>
    </row>
    <row r="358" spans="1:18">
      <c r="A358" s="905"/>
      <c r="B358" s="914"/>
      <c r="C358" s="907">
        <v>740</v>
      </c>
      <c r="D358" s="907" t="s">
        <v>12</v>
      </c>
      <c r="E358" s="908" t="s">
        <v>4008</v>
      </c>
      <c r="F358" s="909" t="s">
        <v>2674</v>
      </c>
      <c r="G358" s="910"/>
      <c r="H358" s="911">
        <v>2.88</v>
      </c>
      <c r="I358" s="912"/>
      <c r="J358" s="912"/>
      <c r="K358" s="912">
        <f>VLOOKUP(E358,ĐMNC!$A$7:$F$67,4,0)</f>
        <v>252714</v>
      </c>
      <c r="L358" s="912">
        <f>H358*K358</f>
        <v>727816.32</v>
      </c>
      <c r="M358" s="912"/>
      <c r="N358" s="912"/>
      <c r="O358" s="892">
        <f t="shared" si="20"/>
        <v>0</v>
      </c>
      <c r="P358" s="903">
        <f t="shared" si="21"/>
        <v>1</v>
      </c>
      <c r="Q358" s="893">
        <f t="shared" si="22"/>
        <v>3</v>
      </c>
      <c r="R358" s="894">
        <f t="shared" si="23"/>
        <v>0</v>
      </c>
    </row>
    <row r="359" spans="1:18" s="904" customFormat="1">
      <c r="A359" s="895"/>
      <c r="B359" s="922"/>
      <c r="C359" s="897"/>
      <c r="D359" s="897"/>
      <c r="E359" s="898" t="s">
        <v>3914</v>
      </c>
      <c r="F359" s="899"/>
      <c r="G359" s="928"/>
      <c r="H359" s="901"/>
      <c r="I359" s="902"/>
      <c r="J359" s="902"/>
      <c r="K359" s="912" t="s">
        <v>274</v>
      </c>
      <c r="L359" s="902"/>
      <c r="M359" s="902"/>
      <c r="N359" s="902"/>
      <c r="O359" s="892">
        <f t="shared" si="20"/>
        <v>0</v>
      </c>
      <c r="P359" s="903">
        <f t="shared" si="21"/>
        <v>1</v>
      </c>
      <c r="Q359" s="893">
        <f t="shared" si="22"/>
        <v>2</v>
      </c>
      <c r="R359" s="894">
        <f t="shared" si="23"/>
        <v>0</v>
      </c>
    </row>
    <row r="360" spans="1:18">
      <c r="A360" s="905"/>
      <c r="B360" s="930" t="s">
        <v>4034</v>
      </c>
      <c r="C360" s="907">
        <v>819</v>
      </c>
      <c r="D360" s="907" t="s">
        <v>93</v>
      </c>
      <c r="E360" s="925" t="s">
        <v>4035</v>
      </c>
      <c r="F360" s="909" t="s">
        <v>2673</v>
      </c>
      <c r="G360" s="910"/>
      <c r="H360" s="911">
        <v>0.14000000000000001</v>
      </c>
      <c r="I360" s="912"/>
      <c r="J360" s="912"/>
      <c r="K360" s="912"/>
      <c r="L360" s="912"/>
      <c r="M360" s="912">
        <f>VLOOKUP(B360,MTC!$B$9:$S$933,12,0)</f>
        <v>1858164</v>
      </c>
      <c r="N360" s="912">
        <f>M360*H360</f>
        <v>260142.96000000002</v>
      </c>
      <c r="O360" s="892">
        <f t="shared" si="20"/>
        <v>0</v>
      </c>
      <c r="P360" s="903">
        <f t="shared" si="21"/>
        <v>1</v>
      </c>
      <c r="Q360" s="893">
        <f t="shared" si="22"/>
        <v>1</v>
      </c>
      <c r="R360" s="894">
        <f t="shared" si="23"/>
        <v>0</v>
      </c>
    </row>
    <row r="361" spans="1:18" s="847" customFormat="1" ht="31.5">
      <c r="A361" s="905"/>
      <c r="B361" s="914" t="s">
        <v>4041</v>
      </c>
      <c r="C361" s="915"/>
      <c r="D361" s="915"/>
      <c r="E361" s="916" t="s">
        <v>4042</v>
      </c>
      <c r="F361" s="917" t="s">
        <v>4016</v>
      </c>
      <c r="G361" s="918"/>
      <c r="H361" s="919"/>
      <c r="I361" s="920"/>
      <c r="J361" s="891">
        <f>SUM(J362:J368)</f>
        <v>28636.33</v>
      </c>
      <c r="K361" s="891"/>
      <c r="L361" s="891">
        <f>SUM(L362:L368)</f>
        <v>947677.5</v>
      </c>
      <c r="M361" s="891"/>
      <c r="N361" s="891">
        <f>SUM(N362:N368)</f>
        <v>260142.96000000002</v>
      </c>
      <c r="O361" s="892">
        <f t="shared" si="20"/>
        <v>1</v>
      </c>
      <c r="P361" s="903">
        <f t="shared" si="21"/>
        <v>0</v>
      </c>
      <c r="Q361" s="893">
        <f t="shared" si="22"/>
        <v>0</v>
      </c>
      <c r="R361" s="894">
        <f t="shared" si="23"/>
        <v>7</v>
      </c>
    </row>
    <row r="362" spans="1:18" s="904" customFormat="1">
      <c r="A362" s="895"/>
      <c r="B362" s="922"/>
      <c r="C362" s="897"/>
      <c r="D362" s="897"/>
      <c r="E362" s="924" t="s">
        <v>108</v>
      </c>
      <c r="F362" s="899"/>
      <c r="G362" s="900"/>
      <c r="H362" s="901"/>
      <c r="I362" s="902"/>
      <c r="J362" s="902"/>
      <c r="K362" s="912" t="s">
        <v>274</v>
      </c>
      <c r="L362" s="902"/>
      <c r="M362" s="902"/>
      <c r="N362" s="902"/>
      <c r="O362" s="892">
        <f t="shared" si="20"/>
        <v>0</v>
      </c>
      <c r="P362" s="903">
        <f t="shared" si="21"/>
        <v>1</v>
      </c>
      <c r="Q362" s="893">
        <f t="shared" si="22"/>
        <v>7</v>
      </c>
      <c r="R362" s="894">
        <f t="shared" si="23"/>
        <v>0</v>
      </c>
    </row>
    <row r="363" spans="1:18">
      <c r="A363" s="905"/>
      <c r="B363" s="914"/>
      <c r="C363" s="907">
        <v>62</v>
      </c>
      <c r="D363" s="907" t="s">
        <v>279</v>
      </c>
      <c r="E363" s="925" t="s">
        <v>4004</v>
      </c>
      <c r="F363" s="926" t="s">
        <v>47</v>
      </c>
      <c r="G363" s="910"/>
      <c r="H363" s="911">
        <v>6.0000000000000001E-3</v>
      </c>
      <c r="I363" s="912">
        <f>VLOOKUP(E363,[3]VLP!$B$7:$K$300,10,0)</f>
        <v>3545455</v>
      </c>
      <c r="J363" s="912">
        <f>I363*H363</f>
        <v>21272.73</v>
      </c>
      <c r="K363" s="912" t="s">
        <v>274</v>
      </c>
      <c r="L363" s="912"/>
      <c r="M363" s="912"/>
      <c r="N363" s="912"/>
      <c r="O363" s="892">
        <f t="shared" si="20"/>
        <v>0</v>
      </c>
      <c r="P363" s="903">
        <f t="shared" si="21"/>
        <v>1</v>
      </c>
      <c r="Q363" s="893">
        <f t="shared" si="22"/>
        <v>6</v>
      </c>
      <c r="R363" s="894">
        <f t="shared" si="23"/>
        <v>0</v>
      </c>
    </row>
    <row r="364" spans="1:18">
      <c r="A364" s="905"/>
      <c r="B364" s="914"/>
      <c r="C364" s="907">
        <v>110</v>
      </c>
      <c r="D364" s="907" t="s">
        <v>279</v>
      </c>
      <c r="E364" s="925" t="s">
        <v>4017</v>
      </c>
      <c r="F364" s="926" t="s">
        <v>45</v>
      </c>
      <c r="G364" s="910"/>
      <c r="H364" s="911">
        <v>0.1</v>
      </c>
      <c r="I364" s="912">
        <f>VLOOKUP(E364,[3]VLP!$B$7:$K$300,10,0)</f>
        <v>73636</v>
      </c>
      <c r="J364" s="912">
        <f>I364*H364</f>
        <v>7363.6</v>
      </c>
      <c r="K364" s="912" t="s">
        <v>274</v>
      </c>
      <c r="L364" s="912"/>
      <c r="M364" s="912"/>
      <c r="N364" s="912"/>
      <c r="O364" s="892">
        <f t="shared" si="20"/>
        <v>0</v>
      </c>
      <c r="P364" s="903">
        <f t="shared" si="21"/>
        <v>1</v>
      </c>
      <c r="Q364" s="893">
        <f t="shared" si="22"/>
        <v>5</v>
      </c>
      <c r="R364" s="894">
        <f t="shared" si="23"/>
        <v>0</v>
      </c>
    </row>
    <row r="365" spans="1:18" s="904" customFormat="1">
      <c r="A365" s="895"/>
      <c r="B365" s="922"/>
      <c r="C365" s="897"/>
      <c r="D365" s="897"/>
      <c r="E365" s="898" t="s">
        <v>276</v>
      </c>
      <c r="F365" s="927"/>
      <c r="G365" s="928"/>
      <c r="H365" s="901"/>
      <c r="I365" s="902"/>
      <c r="J365" s="902"/>
      <c r="K365" s="912" t="s">
        <v>274</v>
      </c>
      <c r="L365" s="902"/>
      <c r="M365" s="902"/>
      <c r="N365" s="902"/>
      <c r="O365" s="892">
        <f t="shared" si="20"/>
        <v>0</v>
      </c>
      <c r="P365" s="903">
        <f t="shared" si="21"/>
        <v>1</v>
      </c>
      <c r="Q365" s="893">
        <f t="shared" si="22"/>
        <v>4</v>
      </c>
      <c r="R365" s="894">
        <f t="shared" si="23"/>
        <v>0</v>
      </c>
    </row>
    <row r="366" spans="1:18">
      <c r="A366" s="905"/>
      <c r="B366" s="914"/>
      <c r="C366" s="907">
        <v>740</v>
      </c>
      <c r="D366" s="907" t="s">
        <v>12</v>
      </c>
      <c r="E366" s="908" t="s">
        <v>4008</v>
      </c>
      <c r="F366" s="909" t="s">
        <v>2674</v>
      </c>
      <c r="G366" s="910"/>
      <c r="H366" s="911">
        <v>3.75</v>
      </c>
      <c r="I366" s="912"/>
      <c r="J366" s="912"/>
      <c r="K366" s="912">
        <f>VLOOKUP(E366,ĐMNC!$A$7:$F$67,4,0)</f>
        <v>252714</v>
      </c>
      <c r="L366" s="912">
        <f>H366*K366</f>
        <v>947677.5</v>
      </c>
      <c r="M366" s="912"/>
      <c r="N366" s="912"/>
      <c r="O366" s="892">
        <f t="shared" si="20"/>
        <v>0</v>
      </c>
      <c r="P366" s="903">
        <f t="shared" si="21"/>
        <v>1</v>
      </c>
      <c r="Q366" s="893">
        <f t="shared" si="22"/>
        <v>3</v>
      </c>
      <c r="R366" s="894">
        <f t="shared" si="23"/>
        <v>0</v>
      </c>
    </row>
    <row r="367" spans="1:18" s="904" customFormat="1">
      <c r="A367" s="895"/>
      <c r="B367" s="922"/>
      <c r="C367" s="897"/>
      <c r="D367" s="897"/>
      <c r="E367" s="898" t="s">
        <v>3914</v>
      </c>
      <c r="F367" s="899"/>
      <c r="G367" s="928"/>
      <c r="H367" s="901"/>
      <c r="I367" s="902"/>
      <c r="J367" s="902"/>
      <c r="K367" s="912" t="s">
        <v>274</v>
      </c>
      <c r="L367" s="902"/>
      <c r="M367" s="902"/>
      <c r="N367" s="902"/>
      <c r="O367" s="892">
        <f t="shared" si="20"/>
        <v>0</v>
      </c>
      <c r="P367" s="903">
        <f t="shared" si="21"/>
        <v>1</v>
      </c>
      <c r="Q367" s="893">
        <f t="shared" si="22"/>
        <v>2</v>
      </c>
      <c r="R367" s="894">
        <f t="shared" si="23"/>
        <v>0</v>
      </c>
    </row>
    <row r="368" spans="1:18">
      <c r="A368" s="905"/>
      <c r="B368" s="930" t="s">
        <v>4034</v>
      </c>
      <c r="C368" s="907">
        <v>819</v>
      </c>
      <c r="D368" s="907" t="s">
        <v>93</v>
      </c>
      <c r="E368" s="925" t="s">
        <v>4035</v>
      </c>
      <c r="F368" s="909" t="s">
        <v>2673</v>
      </c>
      <c r="G368" s="910"/>
      <c r="H368" s="911">
        <v>0.14000000000000001</v>
      </c>
      <c r="I368" s="912"/>
      <c r="J368" s="912"/>
      <c r="K368" s="912"/>
      <c r="L368" s="912"/>
      <c r="M368" s="912">
        <f>VLOOKUP(B368,MTC!$B$9:$S$933,12,0)</f>
        <v>1858164</v>
      </c>
      <c r="N368" s="912">
        <f>M368*H368</f>
        <v>260142.96000000002</v>
      </c>
      <c r="O368" s="892">
        <f t="shared" si="20"/>
        <v>0</v>
      </c>
      <c r="P368" s="903">
        <f t="shared" si="21"/>
        <v>1</v>
      </c>
      <c r="Q368" s="893">
        <f t="shared" si="22"/>
        <v>1</v>
      </c>
      <c r="R368" s="894">
        <f t="shared" si="23"/>
        <v>0</v>
      </c>
    </row>
    <row r="369" spans="1:18" s="847" customFormat="1" ht="31.5">
      <c r="A369" s="905"/>
      <c r="B369" s="914" t="s">
        <v>4043</v>
      </c>
      <c r="C369" s="915"/>
      <c r="D369" s="915"/>
      <c r="E369" s="916" t="s">
        <v>4044</v>
      </c>
      <c r="F369" s="917" t="s">
        <v>4016</v>
      </c>
      <c r="G369" s="918"/>
      <c r="H369" s="919"/>
      <c r="I369" s="920"/>
      <c r="J369" s="891">
        <f>SUM(J370:J376)</f>
        <v>28636.33</v>
      </c>
      <c r="K369" s="891"/>
      <c r="L369" s="891">
        <f>SUM(L370:L376)</f>
        <v>1104360.18</v>
      </c>
      <c r="M369" s="891"/>
      <c r="N369" s="891">
        <f>SUM(N370:N376)</f>
        <v>371632.80000000005</v>
      </c>
      <c r="O369" s="892">
        <f t="shared" si="20"/>
        <v>1</v>
      </c>
      <c r="P369" s="903">
        <f t="shared" si="21"/>
        <v>0</v>
      </c>
      <c r="Q369" s="893">
        <f t="shared" si="22"/>
        <v>0</v>
      </c>
      <c r="R369" s="894">
        <f t="shared" si="23"/>
        <v>7</v>
      </c>
    </row>
    <row r="370" spans="1:18" s="904" customFormat="1">
      <c r="A370" s="895"/>
      <c r="B370" s="922"/>
      <c r="C370" s="897"/>
      <c r="D370" s="897"/>
      <c r="E370" s="924" t="s">
        <v>108</v>
      </c>
      <c r="F370" s="899"/>
      <c r="G370" s="900"/>
      <c r="H370" s="901"/>
      <c r="I370" s="902"/>
      <c r="J370" s="902"/>
      <c r="K370" s="912" t="s">
        <v>274</v>
      </c>
      <c r="L370" s="902"/>
      <c r="M370" s="902"/>
      <c r="N370" s="902"/>
      <c r="O370" s="892">
        <f t="shared" si="20"/>
        <v>0</v>
      </c>
      <c r="P370" s="903">
        <f t="shared" si="21"/>
        <v>1</v>
      </c>
      <c r="Q370" s="893">
        <f t="shared" si="22"/>
        <v>7</v>
      </c>
      <c r="R370" s="894">
        <f t="shared" si="23"/>
        <v>0</v>
      </c>
    </row>
    <row r="371" spans="1:18">
      <c r="A371" s="905"/>
      <c r="B371" s="914"/>
      <c r="C371" s="907">
        <v>62</v>
      </c>
      <c r="D371" s="907" t="s">
        <v>279</v>
      </c>
      <c r="E371" s="925" t="s">
        <v>4004</v>
      </c>
      <c r="F371" s="926" t="s">
        <v>47</v>
      </c>
      <c r="G371" s="910"/>
      <c r="H371" s="911">
        <v>6.0000000000000001E-3</v>
      </c>
      <c r="I371" s="912">
        <f>VLOOKUP(E371,[3]VLP!$B$7:$K$300,10,0)</f>
        <v>3545455</v>
      </c>
      <c r="J371" s="912">
        <f>I371*H371</f>
        <v>21272.73</v>
      </c>
      <c r="K371" s="912" t="s">
        <v>274</v>
      </c>
      <c r="L371" s="912"/>
      <c r="M371" s="912"/>
      <c r="N371" s="912"/>
      <c r="O371" s="892">
        <f t="shared" si="20"/>
        <v>0</v>
      </c>
      <c r="P371" s="903">
        <f t="shared" si="21"/>
        <v>1</v>
      </c>
      <c r="Q371" s="893">
        <f t="shared" si="22"/>
        <v>6</v>
      </c>
      <c r="R371" s="894">
        <f t="shared" si="23"/>
        <v>0</v>
      </c>
    </row>
    <row r="372" spans="1:18">
      <c r="A372" s="905"/>
      <c r="B372" s="914"/>
      <c r="C372" s="907">
        <v>110</v>
      </c>
      <c r="D372" s="907" t="s">
        <v>279</v>
      </c>
      <c r="E372" s="925" t="s">
        <v>4017</v>
      </c>
      <c r="F372" s="926" t="s">
        <v>45</v>
      </c>
      <c r="G372" s="910"/>
      <c r="H372" s="911">
        <v>0.1</v>
      </c>
      <c r="I372" s="912">
        <f>VLOOKUP(E372,[3]VLP!$B$7:$K$300,10,0)</f>
        <v>73636</v>
      </c>
      <c r="J372" s="912">
        <f>I372*H372</f>
        <v>7363.6</v>
      </c>
      <c r="K372" s="912" t="s">
        <v>274</v>
      </c>
      <c r="L372" s="912"/>
      <c r="M372" s="912"/>
      <c r="N372" s="912"/>
      <c r="O372" s="892">
        <f t="shared" si="20"/>
        <v>0</v>
      </c>
      <c r="P372" s="903">
        <f t="shared" si="21"/>
        <v>1</v>
      </c>
      <c r="Q372" s="893">
        <f t="shared" si="22"/>
        <v>5</v>
      </c>
      <c r="R372" s="894">
        <f t="shared" si="23"/>
        <v>0</v>
      </c>
    </row>
    <row r="373" spans="1:18" s="904" customFormat="1">
      <c r="A373" s="895"/>
      <c r="B373" s="922"/>
      <c r="C373" s="897"/>
      <c r="D373" s="897"/>
      <c r="E373" s="898" t="s">
        <v>276</v>
      </c>
      <c r="F373" s="927"/>
      <c r="G373" s="928"/>
      <c r="H373" s="901"/>
      <c r="I373" s="902"/>
      <c r="J373" s="902"/>
      <c r="K373" s="912" t="s">
        <v>274</v>
      </c>
      <c r="L373" s="902"/>
      <c r="M373" s="902"/>
      <c r="N373" s="902"/>
      <c r="O373" s="892">
        <f t="shared" si="20"/>
        <v>0</v>
      </c>
      <c r="P373" s="903">
        <f t="shared" si="21"/>
        <v>1</v>
      </c>
      <c r="Q373" s="893">
        <f t="shared" si="22"/>
        <v>4</v>
      </c>
      <c r="R373" s="894">
        <f t="shared" si="23"/>
        <v>0</v>
      </c>
    </row>
    <row r="374" spans="1:18">
      <c r="A374" s="905"/>
      <c r="B374" s="914"/>
      <c r="C374" s="907">
        <v>740</v>
      </c>
      <c r="D374" s="907" t="s">
        <v>12</v>
      </c>
      <c r="E374" s="908" t="s">
        <v>4008</v>
      </c>
      <c r="F374" s="909" t="s">
        <v>2674</v>
      </c>
      <c r="G374" s="910"/>
      <c r="H374" s="911">
        <v>4.37</v>
      </c>
      <c r="I374" s="912"/>
      <c r="J374" s="912"/>
      <c r="K374" s="912">
        <f>VLOOKUP(E374,ĐMNC!$A$7:$F$67,4,0)</f>
        <v>252714</v>
      </c>
      <c r="L374" s="912">
        <f>H374*K374</f>
        <v>1104360.18</v>
      </c>
      <c r="M374" s="912"/>
      <c r="N374" s="912"/>
      <c r="O374" s="892">
        <f t="shared" si="20"/>
        <v>0</v>
      </c>
      <c r="P374" s="903">
        <f t="shared" si="21"/>
        <v>1</v>
      </c>
      <c r="Q374" s="893">
        <f t="shared" si="22"/>
        <v>3</v>
      </c>
      <c r="R374" s="894">
        <f t="shared" si="23"/>
        <v>0</v>
      </c>
    </row>
    <row r="375" spans="1:18" s="904" customFormat="1">
      <c r="A375" s="895"/>
      <c r="B375" s="922"/>
      <c r="C375" s="897"/>
      <c r="D375" s="897"/>
      <c r="E375" s="898" t="s">
        <v>3914</v>
      </c>
      <c r="F375" s="899"/>
      <c r="G375" s="928"/>
      <c r="H375" s="901"/>
      <c r="I375" s="902"/>
      <c r="J375" s="902"/>
      <c r="K375" s="912" t="s">
        <v>274</v>
      </c>
      <c r="L375" s="902"/>
      <c r="M375" s="902"/>
      <c r="N375" s="902"/>
      <c r="O375" s="892">
        <f t="shared" si="20"/>
        <v>0</v>
      </c>
      <c r="P375" s="903">
        <f t="shared" si="21"/>
        <v>1</v>
      </c>
      <c r="Q375" s="893">
        <f t="shared" si="22"/>
        <v>2</v>
      </c>
      <c r="R375" s="894">
        <f t="shared" si="23"/>
        <v>0</v>
      </c>
    </row>
    <row r="376" spans="1:18">
      <c r="A376" s="905"/>
      <c r="B376" s="930" t="s">
        <v>4034</v>
      </c>
      <c r="C376" s="907">
        <v>819</v>
      </c>
      <c r="D376" s="907" t="s">
        <v>93</v>
      </c>
      <c r="E376" s="925" t="s">
        <v>4035</v>
      </c>
      <c r="F376" s="909" t="s">
        <v>2673</v>
      </c>
      <c r="G376" s="910"/>
      <c r="H376" s="911">
        <v>0.2</v>
      </c>
      <c r="I376" s="912"/>
      <c r="J376" s="912"/>
      <c r="K376" s="912"/>
      <c r="L376" s="912"/>
      <c r="M376" s="912">
        <f>VLOOKUP(B376,MTC!$B$9:$S$933,12,0)</f>
        <v>1858164</v>
      </c>
      <c r="N376" s="912">
        <f>M376*H376</f>
        <v>371632.80000000005</v>
      </c>
      <c r="O376" s="892">
        <f t="shared" si="20"/>
        <v>0</v>
      </c>
      <c r="P376" s="903">
        <f t="shared" si="21"/>
        <v>1</v>
      </c>
      <c r="Q376" s="893">
        <f t="shared" si="22"/>
        <v>1</v>
      </c>
      <c r="R376" s="894">
        <f t="shared" si="23"/>
        <v>0</v>
      </c>
    </row>
    <row r="377" spans="1:18" s="847" customFormat="1" ht="31.5">
      <c r="A377" s="905"/>
      <c r="B377" s="914" t="s">
        <v>4045</v>
      </c>
      <c r="C377" s="915"/>
      <c r="D377" s="915"/>
      <c r="E377" s="916" t="s">
        <v>4046</v>
      </c>
      <c r="F377" s="917" t="s">
        <v>4016</v>
      </c>
      <c r="G377" s="918"/>
      <c r="H377" s="919"/>
      <c r="I377" s="920"/>
      <c r="J377" s="891">
        <f>SUM(J378:J384)</f>
        <v>28636.33</v>
      </c>
      <c r="K377" s="891"/>
      <c r="L377" s="891">
        <f>SUM(L378:L384)</f>
        <v>1205445.7799999998</v>
      </c>
      <c r="M377" s="891"/>
      <c r="N377" s="891">
        <f>SUM(N378:N384)</f>
        <v>371632.80000000005</v>
      </c>
      <c r="O377" s="892">
        <f t="shared" si="20"/>
        <v>1</v>
      </c>
      <c r="P377" s="903">
        <f t="shared" si="21"/>
        <v>0</v>
      </c>
      <c r="Q377" s="893">
        <f t="shared" si="22"/>
        <v>0</v>
      </c>
      <c r="R377" s="894">
        <f t="shared" si="23"/>
        <v>7</v>
      </c>
    </row>
    <row r="378" spans="1:18" s="904" customFormat="1">
      <c r="A378" s="895"/>
      <c r="B378" s="922"/>
      <c r="C378" s="897"/>
      <c r="D378" s="897"/>
      <c r="E378" s="924" t="s">
        <v>108</v>
      </c>
      <c r="F378" s="899"/>
      <c r="G378" s="900"/>
      <c r="H378" s="901"/>
      <c r="I378" s="902"/>
      <c r="J378" s="902"/>
      <c r="K378" s="912" t="s">
        <v>274</v>
      </c>
      <c r="L378" s="902"/>
      <c r="M378" s="902"/>
      <c r="N378" s="902"/>
      <c r="O378" s="892">
        <f t="shared" si="20"/>
        <v>0</v>
      </c>
      <c r="P378" s="903">
        <f t="shared" si="21"/>
        <v>1</v>
      </c>
      <c r="Q378" s="893">
        <f t="shared" si="22"/>
        <v>7</v>
      </c>
      <c r="R378" s="894">
        <f t="shared" si="23"/>
        <v>0</v>
      </c>
    </row>
    <row r="379" spans="1:18">
      <c r="A379" s="905"/>
      <c r="B379" s="914"/>
      <c r="C379" s="907">
        <v>62</v>
      </c>
      <c r="D379" s="907" t="s">
        <v>279</v>
      </c>
      <c r="E379" s="925" t="s">
        <v>4004</v>
      </c>
      <c r="F379" s="926" t="s">
        <v>47</v>
      </c>
      <c r="G379" s="910"/>
      <c r="H379" s="911">
        <v>6.0000000000000001E-3</v>
      </c>
      <c r="I379" s="912">
        <f>VLOOKUP(E379,[3]VLP!$B$7:$K$300,10,0)</f>
        <v>3545455</v>
      </c>
      <c r="J379" s="912">
        <f>I379*H379</f>
        <v>21272.73</v>
      </c>
      <c r="K379" s="912" t="s">
        <v>274</v>
      </c>
      <c r="L379" s="912"/>
      <c r="M379" s="912"/>
      <c r="N379" s="912"/>
      <c r="O379" s="892">
        <f t="shared" si="20"/>
        <v>0</v>
      </c>
      <c r="P379" s="903">
        <f t="shared" si="21"/>
        <v>1</v>
      </c>
      <c r="Q379" s="893">
        <f t="shared" si="22"/>
        <v>6</v>
      </c>
      <c r="R379" s="894">
        <f t="shared" si="23"/>
        <v>0</v>
      </c>
    </row>
    <row r="380" spans="1:18">
      <c r="A380" s="905"/>
      <c r="B380" s="914"/>
      <c r="C380" s="907">
        <v>110</v>
      </c>
      <c r="D380" s="907" t="s">
        <v>279</v>
      </c>
      <c r="E380" s="925" t="s">
        <v>4017</v>
      </c>
      <c r="F380" s="926" t="s">
        <v>45</v>
      </c>
      <c r="G380" s="910"/>
      <c r="H380" s="911">
        <v>0.1</v>
      </c>
      <c r="I380" s="912">
        <f>VLOOKUP(E380,[3]VLP!$B$7:$K$300,10,0)</f>
        <v>73636</v>
      </c>
      <c r="J380" s="912">
        <f>I380*H380</f>
        <v>7363.6</v>
      </c>
      <c r="K380" s="912" t="s">
        <v>274</v>
      </c>
      <c r="L380" s="912"/>
      <c r="M380" s="912"/>
      <c r="N380" s="912"/>
      <c r="O380" s="892">
        <f t="shared" si="20"/>
        <v>0</v>
      </c>
      <c r="P380" s="903">
        <f t="shared" si="21"/>
        <v>1</v>
      </c>
      <c r="Q380" s="893">
        <f t="shared" si="22"/>
        <v>5</v>
      </c>
      <c r="R380" s="894">
        <f t="shared" si="23"/>
        <v>0</v>
      </c>
    </row>
    <row r="381" spans="1:18" s="904" customFormat="1">
      <c r="A381" s="895"/>
      <c r="B381" s="922"/>
      <c r="C381" s="897"/>
      <c r="D381" s="897"/>
      <c r="E381" s="898" t="s">
        <v>276</v>
      </c>
      <c r="F381" s="927"/>
      <c r="G381" s="928"/>
      <c r="H381" s="901"/>
      <c r="I381" s="902"/>
      <c r="J381" s="902"/>
      <c r="K381" s="912" t="s">
        <v>274</v>
      </c>
      <c r="L381" s="902"/>
      <c r="M381" s="902"/>
      <c r="N381" s="902"/>
      <c r="O381" s="892">
        <f t="shared" ref="O381:O445" si="24">IF(AND(B381&lt;&gt;"",D381=""),1,0)</f>
        <v>0</v>
      </c>
      <c r="P381" s="903">
        <f t="shared" ref="P381:P445" si="25">IF(O381=0,1,0)</f>
        <v>1</v>
      </c>
      <c r="Q381" s="893">
        <f t="shared" ref="Q381:Q445" si="26">IF(P381=0,0,P381+Q382)</f>
        <v>4</v>
      </c>
      <c r="R381" s="894">
        <f t="shared" ref="R381:R445" si="27">IF(Q381=0,Q382,0)</f>
        <v>0</v>
      </c>
    </row>
    <row r="382" spans="1:18">
      <c r="A382" s="905"/>
      <c r="B382" s="914"/>
      <c r="C382" s="907">
        <v>740</v>
      </c>
      <c r="D382" s="907" t="s">
        <v>12</v>
      </c>
      <c r="E382" s="908" t="s">
        <v>4008</v>
      </c>
      <c r="F382" s="909" t="s">
        <v>2674</v>
      </c>
      <c r="G382" s="910"/>
      <c r="H382" s="911">
        <v>4.7699999999999996</v>
      </c>
      <c r="I382" s="912"/>
      <c r="J382" s="912"/>
      <c r="K382" s="912">
        <f>VLOOKUP(E382,ĐMNC!$A$7:$F$67,4,0)</f>
        <v>252714</v>
      </c>
      <c r="L382" s="912">
        <f>H382*K382</f>
        <v>1205445.7799999998</v>
      </c>
      <c r="M382" s="912"/>
      <c r="N382" s="912"/>
      <c r="O382" s="892">
        <f t="shared" si="24"/>
        <v>0</v>
      </c>
      <c r="P382" s="903">
        <f t="shared" si="25"/>
        <v>1</v>
      </c>
      <c r="Q382" s="893">
        <f t="shared" si="26"/>
        <v>3</v>
      </c>
      <c r="R382" s="894">
        <f t="shared" si="27"/>
        <v>0</v>
      </c>
    </row>
    <row r="383" spans="1:18" s="904" customFormat="1">
      <c r="A383" s="895"/>
      <c r="B383" s="922"/>
      <c r="C383" s="897"/>
      <c r="D383" s="897"/>
      <c r="E383" s="898" t="s">
        <v>3914</v>
      </c>
      <c r="F383" s="899"/>
      <c r="G383" s="928"/>
      <c r="H383" s="901"/>
      <c r="I383" s="902"/>
      <c r="J383" s="902"/>
      <c r="K383" s="912" t="s">
        <v>274</v>
      </c>
      <c r="L383" s="902"/>
      <c r="M383" s="902"/>
      <c r="N383" s="902"/>
      <c r="O383" s="892">
        <f t="shared" si="24"/>
        <v>0</v>
      </c>
      <c r="P383" s="903">
        <f t="shared" si="25"/>
        <v>1</v>
      </c>
      <c r="Q383" s="893">
        <f t="shared" si="26"/>
        <v>2</v>
      </c>
      <c r="R383" s="894">
        <f t="shared" si="27"/>
        <v>0</v>
      </c>
    </row>
    <row r="384" spans="1:18">
      <c r="A384" s="905"/>
      <c r="B384" s="930" t="s">
        <v>4034</v>
      </c>
      <c r="C384" s="907">
        <v>819</v>
      </c>
      <c r="D384" s="907" t="s">
        <v>93</v>
      </c>
      <c r="E384" s="925" t="s">
        <v>4035</v>
      </c>
      <c r="F384" s="909" t="s">
        <v>2673</v>
      </c>
      <c r="G384" s="910"/>
      <c r="H384" s="911">
        <v>0.2</v>
      </c>
      <c r="I384" s="912"/>
      <c r="J384" s="912"/>
      <c r="K384" s="912"/>
      <c r="L384" s="912"/>
      <c r="M384" s="912">
        <f>VLOOKUP(B384,MTC!$B$9:$S$933,12,0)</f>
        <v>1858164</v>
      </c>
      <c r="N384" s="912">
        <f>M384*H384</f>
        <v>371632.80000000005</v>
      </c>
      <c r="O384" s="892">
        <f t="shared" si="24"/>
        <v>0</v>
      </c>
      <c r="P384" s="903">
        <f t="shared" si="25"/>
        <v>1</v>
      </c>
      <c r="Q384" s="893">
        <f t="shared" si="26"/>
        <v>1</v>
      </c>
      <c r="R384" s="894">
        <f t="shared" si="27"/>
        <v>0</v>
      </c>
    </row>
    <row r="385" spans="1:18" s="847" customFormat="1" ht="31.5">
      <c r="A385" s="905"/>
      <c r="B385" s="914" t="s">
        <v>4047</v>
      </c>
      <c r="C385" s="915"/>
      <c r="D385" s="915"/>
      <c r="E385" s="916" t="s">
        <v>4048</v>
      </c>
      <c r="F385" s="917" t="s">
        <v>4016</v>
      </c>
      <c r="G385" s="918"/>
      <c r="H385" s="919"/>
      <c r="I385" s="920"/>
      <c r="J385" s="891">
        <f>SUM(J386:J392)</f>
        <v>28636.33</v>
      </c>
      <c r="K385" s="891"/>
      <c r="L385" s="891">
        <f>SUM(L386:L392)</f>
        <v>818793.3600000001</v>
      </c>
      <c r="M385" s="891"/>
      <c r="N385" s="891">
        <f>SUM(N386:N392)</f>
        <v>0</v>
      </c>
      <c r="O385" s="892">
        <f t="shared" si="24"/>
        <v>1</v>
      </c>
      <c r="P385" s="903">
        <f t="shared" si="25"/>
        <v>0</v>
      </c>
      <c r="Q385" s="893">
        <f t="shared" si="26"/>
        <v>0</v>
      </c>
      <c r="R385" s="894">
        <f t="shared" si="27"/>
        <v>7</v>
      </c>
    </row>
    <row r="386" spans="1:18" s="904" customFormat="1">
      <c r="A386" s="895"/>
      <c r="B386" s="922"/>
      <c r="C386" s="897"/>
      <c r="D386" s="897"/>
      <c r="E386" s="924" t="s">
        <v>108</v>
      </c>
      <c r="F386" s="899"/>
      <c r="G386" s="900"/>
      <c r="H386" s="901"/>
      <c r="I386" s="902"/>
      <c r="J386" s="902"/>
      <c r="K386" s="912" t="s">
        <v>274</v>
      </c>
      <c r="L386" s="902"/>
      <c r="M386" s="902"/>
      <c r="N386" s="902"/>
      <c r="O386" s="892">
        <f t="shared" si="24"/>
        <v>0</v>
      </c>
      <c r="P386" s="903">
        <f t="shared" si="25"/>
        <v>1</v>
      </c>
      <c r="Q386" s="893">
        <f t="shared" si="26"/>
        <v>7</v>
      </c>
      <c r="R386" s="894">
        <f t="shared" si="27"/>
        <v>0</v>
      </c>
    </row>
    <row r="387" spans="1:18">
      <c r="A387" s="905"/>
      <c r="B387" s="914"/>
      <c r="C387" s="907">
        <v>62</v>
      </c>
      <c r="D387" s="907" t="s">
        <v>279</v>
      </c>
      <c r="E387" s="925" t="s">
        <v>4004</v>
      </c>
      <c r="F387" s="926" t="s">
        <v>47</v>
      </c>
      <c r="G387" s="910"/>
      <c r="H387" s="911">
        <v>6.0000000000000001E-3</v>
      </c>
      <c r="I387" s="912">
        <f>VLOOKUP(E387,[3]VLP!$B$7:$K$300,10,0)</f>
        <v>3545455</v>
      </c>
      <c r="J387" s="912">
        <f>I387*H387</f>
        <v>21272.73</v>
      </c>
      <c r="K387" s="912" t="s">
        <v>274</v>
      </c>
      <c r="L387" s="912"/>
      <c r="M387" s="912"/>
      <c r="N387" s="912"/>
      <c r="O387" s="892">
        <f t="shared" si="24"/>
        <v>0</v>
      </c>
      <c r="P387" s="903">
        <f t="shared" si="25"/>
        <v>1</v>
      </c>
      <c r="Q387" s="893">
        <f t="shared" si="26"/>
        <v>6</v>
      </c>
      <c r="R387" s="894">
        <f t="shared" si="27"/>
        <v>0</v>
      </c>
    </row>
    <row r="388" spans="1:18">
      <c r="A388" s="905"/>
      <c r="B388" s="914"/>
      <c r="C388" s="907">
        <v>110</v>
      </c>
      <c r="D388" s="907" t="s">
        <v>279</v>
      </c>
      <c r="E388" s="925" t="s">
        <v>4017</v>
      </c>
      <c r="F388" s="926" t="s">
        <v>45</v>
      </c>
      <c r="G388" s="910"/>
      <c r="H388" s="911">
        <v>0.1</v>
      </c>
      <c r="I388" s="912">
        <f>VLOOKUP(E388,[3]VLP!$B$7:$K$300,10,0)</f>
        <v>73636</v>
      </c>
      <c r="J388" s="912">
        <f>I388*H388</f>
        <v>7363.6</v>
      </c>
      <c r="K388" s="912" t="s">
        <v>274</v>
      </c>
      <c r="L388" s="912"/>
      <c r="M388" s="912"/>
      <c r="N388" s="912"/>
      <c r="O388" s="892">
        <f t="shared" si="24"/>
        <v>0</v>
      </c>
      <c r="P388" s="903">
        <f t="shared" si="25"/>
        <v>1</v>
      </c>
      <c r="Q388" s="893">
        <f t="shared" si="26"/>
        <v>5</v>
      </c>
      <c r="R388" s="894">
        <f t="shared" si="27"/>
        <v>0</v>
      </c>
    </row>
    <row r="389" spans="1:18" s="904" customFormat="1">
      <c r="A389" s="895"/>
      <c r="B389" s="922"/>
      <c r="C389" s="897"/>
      <c r="D389" s="897"/>
      <c r="E389" s="898" t="s">
        <v>276</v>
      </c>
      <c r="F389" s="927"/>
      <c r="G389" s="928"/>
      <c r="H389" s="901"/>
      <c r="I389" s="902"/>
      <c r="J389" s="902"/>
      <c r="K389" s="912" t="s">
        <v>274</v>
      </c>
      <c r="L389" s="902"/>
      <c r="M389" s="902"/>
      <c r="N389" s="902"/>
      <c r="O389" s="892">
        <f t="shared" si="24"/>
        <v>0</v>
      </c>
      <c r="P389" s="903">
        <f t="shared" si="25"/>
        <v>1</v>
      </c>
      <c r="Q389" s="893">
        <f t="shared" si="26"/>
        <v>4</v>
      </c>
      <c r="R389" s="894">
        <f t="shared" si="27"/>
        <v>0</v>
      </c>
    </row>
    <row r="390" spans="1:18">
      <c r="A390" s="905"/>
      <c r="B390" s="914"/>
      <c r="C390" s="907">
        <v>740</v>
      </c>
      <c r="D390" s="907" t="s">
        <v>12</v>
      </c>
      <c r="E390" s="908" t="s">
        <v>4008</v>
      </c>
      <c r="F390" s="909" t="s">
        <v>2674</v>
      </c>
      <c r="G390" s="910"/>
      <c r="H390" s="911">
        <v>3.24</v>
      </c>
      <c r="I390" s="912"/>
      <c r="J390" s="912"/>
      <c r="K390" s="912">
        <f>VLOOKUP(E390,ĐMNC!$A$7:$F$67,4,0)</f>
        <v>252714</v>
      </c>
      <c r="L390" s="912">
        <f>H390*K390</f>
        <v>818793.3600000001</v>
      </c>
      <c r="M390" s="912"/>
      <c r="N390" s="912"/>
      <c r="O390" s="892">
        <f t="shared" si="24"/>
        <v>0</v>
      </c>
      <c r="P390" s="903">
        <f t="shared" si="25"/>
        <v>1</v>
      </c>
      <c r="Q390" s="893">
        <f t="shared" si="26"/>
        <v>3</v>
      </c>
      <c r="R390" s="894">
        <f t="shared" si="27"/>
        <v>0</v>
      </c>
    </row>
    <row r="391" spans="1:18" s="904" customFormat="1">
      <c r="A391" s="895"/>
      <c r="B391" s="922"/>
      <c r="C391" s="897"/>
      <c r="D391" s="897"/>
      <c r="E391" s="898" t="s">
        <v>3914</v>
      </c>
      <c r="F391" s="899"/>
      <c r="G391" s="928"/>
      <c r="H391" s="901"/>
      <c r="I391" s="902"/>
      <c r="J391" s="902"/>
      <c r="K391" s="912" t="s">
        <v>274</v>
      </c>
      <c r="L391" s="902"/>
      <c r="M391" s="902"/>
      <c r="N391" s="902"/>
      <c r="O391" s="892">
        <f t="shared" si="24"/>
        <v>0</v>
      </c>
      <c r="P391" s="903">
        <f t="shared" si="25"/>
        <v>1</v>
      </c>
      <c r="Q391" s="893">
        <f t="shared" si="26"/>
        <v>2</v>
      </c>
      <c r="R391" s="894">
        <f t="shared" si="27"/>
        <v>0</v>
      </c>
    </row>
    <row r="392" spans="1:18">
      <c r="A392" s="905"/>
      <c r="B392" s="914" t="s">
        <v>4049</v>
      </c>
      <c r="C392" s="907">
        <v>814</v>
      </c>
      <c r="D392" s="907" t="s">
        <v>93</v>
      </c>
      <c r="E392" s="925" t="s">
        <v>4050</v>
      </c>
      <c r="F392" s="909" t="s">
        <v>2673</v>
      </c>
      <c r="G392" s="910"/>
      <c r="H392" s="911">
        <v>0.15</v>
      </c>
      <c r="I392" s="912"/>
      <c r="J392" s="912"/>
      <c r="K392" s="912"/>
      <c r="L392" s="912"/>
      <c r="M392" s="912">
        <f>VLOOKUP(B392,MTC!$B$9:$S$933,12,0)</f>
        <v>0</v>
      </c>
      <c r="N392" s="912">
        <f>M392*H392</f>
        <v>0</v>
      </c>
      <c r="O392" s="892">
        <f t="shared" si="24"/>
        <v>0</v>
      </c>
      <c r="P392" s="903">
        <f t="shared" si="25"/>
        <v>1</v>
      </c>
      <c r="Q392" s="893">
        <f t="shared" si="26"/>
        <v>1</v>
      </c>
      <c r="R392" s="894">
        <f t="shared" si="27"/>
        <v>0</v>
      </c>
    </row>
    <row r="393" spans="1:18" s="847" customFormat="1" ht="31.5">
      <c r="A393" s="905"/>
      <c r="B393" s="914" t="s">
        <v>4051</v>
      </c>
      <c r="C393" s="915"/>
      <c r="D393" s="915"/>
      <c r="E393" s="916" t="s">
        <v>4052</v>
      </c>
      <c r="F393" s="917" t="s">
        <v>4016</v>
      </c>
      <c r="G393" s="918"/>
      <c r="H393" s="919"/>
      <c r="I393" s="920"/>
      <c r="J393" s="891">
        <f>SUM(J394:J400)</f>
        <v>28636.33</v>
      </c>
      <c r="K393" s="891"/>
      <c r="L393" s="891">
        <f>SUM(L394:L400)</f>
        <v>1066453.0799999998</v>
      </c>
      <c r="M393" s="891"/>
      <c r="N393" s="891">
        <f>SUM(N394:N400)</f>
        <v>0</v>
      </c>
      <c r="O393" s="892">
        <f t="shared" si="24"/>
        <v>1</v>
      </c>
      <c r="P393" s="903">
        <f t="shared" si="25"/>
        <v>0</v>
      </c>
      <c r="Q393" s="893">
        <f t="shared" si="26"/>
        <v>0</v>
      </c>
      <c r="R393" s="894">
        <f t="shared" si="27"/>
        <v>7</v>
      </c>
    </row>
    <row r="394" spans="1:18" s="904" customFormat="1">
      <c r="A394" s="895"/>
      <c r="B394" s="922"/>
      <c r="C394" s="897"/>
      <c r="D394" s="897"/>
      <c r="E394" s="924" t="s">
        <v>108</v>
      </c>
      <c r="F394" s="899"/>
      <c r="G394" s="900"/>
      <c r="H394" s="901"/>
      <c r="I394" s="902"/>
      <c r="J394" s="902"/>
      <c r="K394" s="912" t="s">
        <v>274</v>
      </c>
      <c r="L394" s="902"/>
      <c r="M394" s="902"/>
      <c r="N394" s="902"/>
      <c r="O394" s="892">
        <f t="shared" si="24"/>
        <v>0</v>
      </c>
      <c r="P394" s="903">
        <f t="shared" si="25"/>
        <v>1</v>
      </c>
      <c r="Q394" s="893">
        <f t="shared" si="26"/>
        <v>7</v>
      </c>
      <c r="R394" s="894">
        <f t="shared" si="27"/>
        <v>0</v>
      </c>
    </row>
    <row r="395" spans="1:18">
      <c r="A395" s="905"/>
      <c r="B395" s="914"/>
      <c r="C395" s="907">
        <v>62</v>
      </c>
      <c r="D395" s="907" t="s">
        <v>279</v>
      </c>
      <c r="E395" s="925" t="s">
        <v>4004</v>
      </c>
      <c r="F395" s="926" t="s">
        <v>47</v>
      </c>
      <c r="G395" s="910"/>
      <c r="H395" s="911">
        <v>6.0000000000000001E-3</v>
      </c>
      <c r="I395" s="912">
        <f>VLOOKUP(E395,[3]VLP!$B$7:$K$300,10,0)</f>
        <v>3545455</v>
      </c>
      <c r="J395" s="912">
        <f>I395*H395</f>
        <v>21272.73</v>
      </c>
      <c r="K395" s="912" t="s">
        <v>274</v>
      </c>
      <c r="L395" s="912"/>
      <c r="M395" s="912"/>
      <c r="N395" s="912"/>
      <c r="O395" s="892">
        <f t="shared" si="24"/>
        <v>0</v>
      </c>
      <c r="P395" s="903">
        <f t="shared" si="25"/>
        <v>1</v>
      </c>
      <c r="Q395" s="893">
        <f t="shared" si="26"/>
        <v>6</v>
      </c>
      <c r="R395" s="894">
        <f t="shared" si="27"/>
        <v>0</v>
      </c>
    </row>
    <row r="396" spans="1:18">
      <c r="A396" s="905"/>
      <c r="B396" s="914"/>
      <c r="C396" s="907">
        <v>110</v>
      </c>
      <c r="D396" s="907" t="s">
        <v>279</v>
      </c>
      <c r="E396" s="925" t="s">
        <v>4017</v>
      </c>
      <c r="F396" s="926" t="s">
        <v>45</v>
      </c>
      <c r="G396" s="910"/>
      <c r="H396" s="911">
        <v>0.1</v>
      </c>
      <c r="I396" s="912">
        <f>VLOOKUP(E396,[3]VLP!$B$7:$K$300,10,0)</f>
        <v>73636</v>
      </c>
      <c r="J396" s="912">
        <f>I396*H396</f>
        <v>7363.6</v>
      </c>
      <c r="K396" s="912" t="s">
        <v>274</v>
      </c>
      <c r="L396" s="912"/>
      <c r="M396" s="912"/>
      <c r="N396" s="912"/>
      <c r="O396" s="892">
        <f t="shared" si="24"/>
        <v>0</v>
      </c>
      <c r="P396" s="903">
        <f t="shared" si="25"/>
        <v>1</v>
      </c>
      <c r="Q396" s="893">
        <f t="shared" si="26"/>
        <v>5</v>
      </c>
      <c r="R396" s="894">
        <f t="shared" si="27"/>
        <v>0</v>
      </c>
    </row>
    <row r="397" spans="1:18" s="904" customFormat="1">
      <c r="A397" s="895"/>
      <c r="B397" s="922"/>
      <c r="C397" s="897"/>
      <c r="D397" s="897"/>
      <c r="E397" s="898" t="s">
        <v>276</v>
      </c>
      <c r="F397" s="927"/>
      <c r="G397" s="928"/>
      <c r="H397" s="901"/>
      <c r="I397" s="902"/>
      <c r="J397" s="902"/>
      <c r="K397" s="912" t="s">
        <v>274</v>
      </c>
      <c r="L397" s="902"/>
      <c r="M397" s="902"/>
      <c r="N397" s="902"/>
      <c r="O397" s="892">
        <f t="shared" si="24"/>
        <v>0</v>
      </c>
      <c r="P397" s="903">
        <f t="shared" si="25"/>
        <v>1</v>
      </c>
      <c r="Q397" s="893">
        <f t="shared" si="26"/>
        <v>4</v>
      </c>
      <c r="R397" s="894">
        <f t="shared" si="27"/>
        <v>0</v>
      </c>
    </row>
    <row r="398" spans="1:18">
      <c r="A398" s="905"/>
      <c r="B398" s="914"/>
      <c r="C398" s="907">
        <v>740</v>
      </c>
      <c r="D398" s="907" t="s">
        <v>12</v>
      </c>
      <c r="E398" s="908" t="s">
        <v>4008</v>
      </c>
      <c r="F398" s="909" t="s">
        <v>2674</v>
      </c>
      <c r="G398" s="910"/>
      <c r="H398" s="911">
        <v>4.22</v>
      </c>
      <c r="I398" s="912"/>
      <c r="J398" s="912"/>
      <c r="K398" s="912">
        <f>VLOOKUP(E398,ĐMNC!$A$7:$F$67,4,0)</f>
        <v>252714</v>
      </c>
      <c r="L398" s="912">
        <f>H398*K398</f>
        <v>1066453.0799999998</v>
      </c>
      <c r="M398" s="912"/>
      <c r="N398" s="912"/>
      <c r="O398" s="892">
        <f t="shared" si="24"/>
        <v>0</v>
      </c>
      <c r="P398" s="903">
        <f t="shared" si="25"/>
        <v>1</v>
      </c>
      <c r="Q398" s="893">
        <f t="shared" si="26"/>
        <v>3</v>
      </c>
      <c r="R398" s="894">
        <f t="shared" si="27"/>
        <v>0</v>
      </c>
    </row>
    <row r="399" spans="1:18" s="904" customFormat="1">
      <c r="A399" s="895"/>
      <c r="B399" s="922"/>
      <c r="C399" s="897"/>
      <c r="D399" s="897"/>
      <c r="E399" s="898" t="s">
        <v>3914</v>
      </c>
      <c r="F399" s="899"/>
      <c r="G399" s="928"/>
      <c r="H399" s="901"/>
      <c r="I399" s="902"/>
      <c r="J399" s="902"/>
      <c r="K399" s="912" t="s">
        <v>274</v>
      </c>
      <c r="L399" s="902"/>
      <c r="M399" s="902"/>
      <c r="N399" s="902"/>
      <c r="O399" s="892">
        <f t="shared" si="24"/>
        <v>0</v>
      </c>
      <c r="P399" s="903">
        <f t="shared" si="25"/>
        <v>1</v>
      </c>
      <c r="Q399" s="893">
        <f t="shared" si="26"/>
        <v>2</v>
      </c>
      <c r="R399" s="894">
        <f t="shared" si="27"/>
        <v>0</v>
      </c>
    </row>
    <row r="400" spans="1:18">
      <c r="A400" s="905"/>
      <c r="B400" s="914" t="s">
        <v>4049</v>
      </c>
      <c r="C400" s="907">
        <v>814</v>
      </c>
      <c r="D400" s="907" t="s">
        <v>93</v>
      </c>
      <c r="E400" s="925" t="s">
        <v>4050</v>
      </c>
      <c r="F400" s="909" t="s">
        <v>2673</v>
      </c>
      <c r="G400" s="910"/>
      <c r="H400" s="911">
        <v>0.15</v>
      </c>
      <c r="I400" s="912"/>
      <c r="J400" s="912"/>
      <c r="K400" s="912"/>
      <c r="L400" s="912"/>
      <c r="M400" s="912">
        <f>VLOOKUP(B400,MTC!$B$9:$S$933,12,0)</f>
        <v>0</v>
      </c>
      <c r="N400" s="912">
        <f>M400*H400</f>
        <v>0</v>
      </c>
      <c r="O400" s="892">
        <f t="shared" si="24"/>
        <v>0</v>
      </c>
      <c r="P400" s="903">
        <f t="shared" si="25"/>
        <v>1</v>
      </c>
      <c r="Q400" s="893">
        <f t="shared" si="26"/>
        <v>1</v>
      </c>
      <c r="R400" s="894">
        <f t="shared" si="27"/>
        <v>0</v>
      </c>
    </row>
    <row r="401" spans="1:18" s="847" customFormat="1" ht="31.5">
      <c r="A401" s="905"/>
      <c r="B401" s="914" t="s">
        <v>4053</v>
      </c>
      <c r="C401" s="915"/>
      <c r="D401" s="915"/>
      <c r="E401" s="916" t="s">
        <v>4054</v>
      </c>
      <c r="F401" s="917" t="s">
        <v>4016</v>
      </c>
      <c r="G401" s="918"/>
      <c r="H401" s="919"/>
      <c r="I401" s="920"/>
      <c r="J401" s="891">
        <f>SUM(J402:J408)</f>
        <v>28636.33</v>
      </c>
      <c r="K401" s="891"/>
      <c r="L401" s="891">
        <f>SUM(L402:L408)</f>
        <v>1240825.74</v>
      </c>
      <c r="M401" s="891"/>
      <c r="N401" s="891">
        <f>SUM(N402:N408)</f>
        <v>0</v>
      </c>
      <c r="O401" s="892">
        <f t="shared" si="24"/>
        <v>1</v>
      </c>
      <c r="P401" s="903">
        <f t="shared" si="25"/>
        <v>0</v>
      </c>
      <c r="Q401" s="893">
        <f t="shared" si="26"/>
        <v>0</v>
      </c>
      <c r="R401" s="894">
        <f t="shared" si="27"/>
        <v>7</v>
      </c>
    </row>
    <row r="402" spans="1:18" s="904" customFormat="1">
      <c r="A402" s="895"/>
      <c r="B402" s="922"/>
      <c r="C402" s="897"/>
      <c r="D402" s="897"/>
      <c r="E402" s="924" t="s">
        <v>108</v>
      </c>
      <c r="F402" s="899"/>
      <c r="G402" s="900"/>
      <c r="H402" s="901"/>
      <c r="I402" s="902"/>
      <c r="J402" s="902"/>
      <c r="K402" s="912" t="s">
        <v>274</v>
      </c>
      <c r="L402" s="902"/>
      <c r="M402" s="902"/>
      <c r="N402" s="902"/>
      <c r="O402" s="892">
        <f t="shared" si="24"/>
        <v>0</v>
      </c>
      <c r="P402" s="903">
        <f t="shared" si="25"/>
        <v>1</v>
      </c>
      <c r="Q402" s="893">
        <f t="shared" si="26"/>
        <v>7</v>
      </c>
      <c r="R402" s="894">
        <f t="shared" si="27"/>
        <v>0</v>
      </c>
    </row>
    <row r="403" spans="1:18">
      <c r="A403" s="905"/>
      <c r="B403" s="914"/>
      <c r="C403" s="907">
        <v>62</v>
      </c>
      <c r="D403" s="907" t="s">
        <v>279</v>
      </c>
      <c r="E403" s="925" t="s">
        <v>4004</v>
      </c>
      <c r="F403" s="926" t="s">
        <v>47</v>
      </c>
      <c r="G403" s="910"/>
      <c r="H403" s="911">
        <v>6.0000000000000001E-3</v>
      </c>
      <c r="I403" s="912">
        <f>VLOOKUP(E403,[3]VLP!$B$7:$K$300,10,0)</f>
        <v>3545455</v>
      </c>
      <c r="J403" s="912">
        <f>I403*H403</f>
        <v>21272.73</v>
      </c>
      <c r="K403" s="912" t="s">
        <v>274</v>
      </c>
      <c r="L403" s="912"/>
      <c r="M403" s="912"/>
      <c r="N403" s="912"/>
      <c r="O403" s="892">
        <f t="shared" si="24"/>
        <v>0</v>
      </c>
      <c r="P403" s="903">
        <f t="shared" si="25"/>
        <v>1</v>
      </c>
      <c r="Q403" s="893">
        <f t="shared" si="26"/>
        <v>6</v>
      </c>
      <c r="R403" s="894">
        <f t="shared" si="27"/>
        <v>0</v>
      </c>
    </row>
    <row r="404" spans="1:18">
      <c r="A404" s="905"/>
      <c r="B404" s="914"/>
      <c r="C404" s="907">
        <v>110</v>
      </c>
      <c r="D404" s="907" t="s">
        <v>279</v>
      </c>
      <c r="E404" s="925" t="s">
        <v>4017</v>
      </c>
      <c r="F404" s="926" t="s">
        <v>45</v>
      </c>
      <c r="G404" s="910"/>
      <c r="H404" s="911">
        <v>0.1</v>
      </c>
      <c r="I404" s="912">
        <f>VLOOKUP(E404,[3]VLP!$B$7:$K$300,10,0)</f>
        <v>73636</v>
      </c>
      <c r="J404" s="912">
        <f>I404*H404</f>
        <v>7363.6</v>
      </c>
      <c r="K404" s="912" t="s">
        <v>274</v>
      </c>
      <c r="L404" s="912"/>
      <c r="M404" s="912"/>
      <c r="N404" s="912"/>
      <c r="O404" s="892">
        <f t="shared" si="24"/>
        <v>0</v>
      </c>
      <c r="P404" s="903">
        <f t="shared" si="25"/>
        <v>1</v>
      </c>
      <c r="Q404" s="893">
        <f t="shared" si="26"/>
        <v>5</v>
      </c>
      <c r="R404" s="894">
        <f t="shared" si="27"/>
        <v>0</v>
      </c>
    </row>
    <row r="405" spans="1:18" s="904" customFormat="1">
      <c r="A405" s="895"/>
      <c r="B405" s="922"/>
      <c r="C405" s="897"/>
      <c r="D405" s="897"/>
      <c r="E405" s="898" t="s">
        <v>276</v>
      </c>
      <c r="F405" s="927"/>
      <c r="G405" s="928"/>
      <c r="H405" s="901"/>
      <c r="I405" s="902"/>
      <c r="J405" s="902"/>
      <c r="K405" s="912" t="s">
        <v>274</v>
      </c>
      <c r="L405" s="902"/>
      <c r="M405" s="902"/>
      <c r="N405" s="902"/>
      <c r="O405" s="892">
        <f t="shared" si="24"/>
        <v>0</v>
      </c>
      <c r="P405" s="903">
        <f t="shared" si="25"/>
        <v>1</v>
      </c>
      <c r="Q405" s="893">
        <f t="shared" si="26"/>
        <v>4</v>
      </c>
      <c r="R405" s="894">
        <f t="shared" si="27"/>
        <v>0</v>
      </c>
    </row>
    <row r="406" spans="1:18">
      <c r="A406" s="905"/>
      <c r="B406" s="914"/>
      <c r="C406" s="907">
        <v>740</v>
      </c>
      <c r="D406" s="907" t="s">
        <v>12</v>
      </c>
      <c r="E406" s="908" t="s">
        <v>4008</v>
      </c>
      <c r="F406" s="909" t="s">
        <v>2674</v>
      </c>
      <c r="G406" s="910"/>
      <c r="H406" s="911">
        <v>4.91</v>
      </c>
      <c r="I406" s="912"/>
      <c r="J406" s="912"/>
      <c r="K406" s="912">
        <f>VLOOKUP(E406,ĐMNC!$A$7:$F$67,4,0)</f>
        <v>252714</v>
      </c>
      <c r="L406" s="912">
        <f>H406*K406</f>
        <v>1240825.74</v>
      </c>
      <c r="M406" s="912"/>
      <c r="N406" s="912"/>
      <c r="O406" s="892">
        <f t="shared" si="24"/>
        <v>0</v>
      </c>
      <c r="P406" s="903">
        <f t="shared" si="25"/>
        <v>1</v>
      </c>
      <c r="Q406" s="893">
        <f t="shared" si="26"/>
        <v>3</v>
      </c>
      <c r="R406" s="894">
        <f t="shared" si="27"/>
        <v>0</v>
      </c>
    </row>
    <row r="407" spans="1:18" s="904" customFormat="1">
      <c r="A407" s="895"/>
      <c r="B407" s="922"/>
      <c r="C407" s="897"/>
      <c r="D407" s="897"/>
      <c r="E407" s="898" t="s">
        <v>3914</v>
      </c>
      <c r="F407" s="899"/>
      <c r="G407" s="928"/>
      <c r="H407" s="901"/>
      <c r="I407" s="902"/>
      <c r="J407" s="902"/>
      <c r="K407" s="912" t="s">
        <v>274</v>
      </c>
      <c r="L407" s="902"/>
      <c r="M407" s="902"/>
      <c r="N407" s="902"/>
      <c r="O407" s="892">
        <f t="shared" si="24"/>
        <v>0</v>
      </c>
      <c r="P407" s="903">
        <f t="shared" si="25"/>
        <v>1</v>
      </c>
      <c r="Q407" s="893">
        <f t="shared" si="26"/>
        <v>2</v>
      </c>
      <c r="R407" s="894">
        <f t="shared" si="27"/>
        <v>0</v>
      </c>
    </row>
    <row r="408" spans="1:18">
      <c r="A408" s="905"/>
      <c r="B408" s="914" t="s">
        <v>4049</v>
      </c>
      <c r="C408" s="907">
        <v>814</v>
      </c>
      <c r="D408" s="907" t="s">
        <v>93</v>
      </c>
      <c r="E408" s="925" t="s">
        <v>4050</v>
      </c>
      <c r="F408" s="909" t="s">
        <v>2673</v>
      </c>
      <c r="G408" s="910"/>
      <c r="H408" s="911">
        <v>0.23</v>
      </c>
      <c r="I408" s="912"/>
      <c r="J408" s="912"/>
      <c r="K408" s="912"/>
      <c r="L408" s="912"/>
      <c r="M408" s="912">
        <f>VLOOKUP(B408,MTC!$B$9:$S$933,12,0)</f>
        <v>0</v>
      </c>
      <c r="N408" s="912">
        <f>M408*H408</f>
        <v>0</v>
      </c>
      <c r="O408" s="892">
        <f t="shared" si="24"/>
        <v>0</v>
      </c>
      <c r="P408" s="903">
        <f t="shared" si="25"/>
        <v>1</v>
      </c>
      <c r="Q408" s="893">
        <f t="shared" si="26"/>
        <v>1</v>
      </c>
      <c r="R408" s="894">
        <f t="shared" si="27"/>
        <v>0</v>
      </c>
    </row>
    <row r="409" spans="1:18" s="847" customFormat="1" ht="31.5">
      <c r="A409" s="905"/>
      <c r="B409" s="914" t="s">
        <v>4055</v>
      </c>
      <c r="C409" s="915"/>
      <c r="D409" s="915"/>
      <c r="E409" s="916" t="s">
        <v>4056</v>
      </c>
      <c r="F409" s="917" t="s">
        <v>4016</v>
      </c>
      <c r="G409" s="918"/>
      <c r="H409" s="919"/>
      <c r="I409" s="920"/>
      <c r="J409" s="891">
        <f>SUM(J410:J416)</f>
        <v>28636.33</v>
      </c>
      <c r="K409" s="891"/>
      <c r="L409" s="891">
        <f>SUM(L410:L416)</f>
        <v>1354547.04</v>
      </c>
      <c r="M409" s="891"/>
      <c r="N409" s="891">
        <f>SUM(N410:N416)</f>
        <v>0</v>
      </c>
      <c r="O409" s="892">
        <f t="shared" si="24"/>
        <v>1</v>
      </c>
      <c r="P409" s="903">
        <f t="shared" si="25"/>
        <v>0</v>
      </c>
      <c r="Q409" s="893">
        <f t="shared" si="26"/>
        <v>0</v>
      </c>
      <c r="R409" s="894">
        <f t="shared" si="27"/>
        <v>7</v>
      </c>
    </row>
    <row r="410" spans="1:18" s="904" customFormat="1">
      <c r="A410" s="895"/>
      <c r="B410" s="896"/>
      <c r="C410" s="897"/>
      <c r="D410" s="897"/>
      <c r="E410" s="924" t="s">
        <v>108</v>
      </c>
      <c r="F410" s="899"/>
      <c r="G410" s="900"/>
      <c r="H410" s="901"/>
      <c r="I410" s="902"/>
      <c r="J410" s="902"/>
      <c r="K410" s="912" t="s">
        <v>274</v>
      </c>
      <c r="L410" s="902"/>
      <c r="M410" s="902"/>
      <c r="N410" s="902"/>
      <c r="O410" s="892">
        <f t="shared" si="24"/>
        <v>0</v>
      </c>
      <c r="P410" s="903">
        <f t="shared" si="25"/>
        <v>1</v>
      </c>
      <c r="Q410" s="893">
        <f t="shared" si="26"/>
        <v>7</v>
      </c>
      <c r="R410" s="894">
        <f t="shared" si="27"/>
        <v>0</v>
      </c>
    </row>
    <row r="411" spans="1:18">
      <c r="A411" s="905"/>
      <c r="B411" s="906"/>
      <c r="C411" s="907">
        <v>62</v>
      </c>
      <c r="D411" s="907" t="s">
        <v>279</v>
      </c>
      <c r="E411" s="925" t="s">
        <v>4004</v>
      </c>
      <c r="F411" s="926" t="s">
        <v>47</v>
      </c>
      <c r="G411" s="910"/>
      <c r="H411" s="911">
        <v>6.0000000000000001E-3</v>
      </c>
      <c r="I411" s="912">
        <f>VLOOKUP(E411,[3]VLP!$B$7:$K$300,10,0)</f>
        <v>3545455</v>
      </c>
      <c r="J411" s="912">
        <f>I411*H411</f>
        <v>21272.73</v>
      </c>
      <c r="K411" s="912" t="s">
        <v>274</v>
      </c>
      <c r="L411" s="912"/>
      <c r="M411" s="912"/>
      <c r="N411" s="912"/>
      <c r="O411" s="892">
        <f t="shared" si="24"/>
        <v>0</v>
      </c>
      <c r="P411" s="903">
        <f t="shared" si="25"/>
        <v>1</v>
      </c>
      <c r="Q411" s="893">
        <f t="shared" si="26"/>
        <v>6</v>
      </c>
      <c r="R411" s="894">
        <f t="shared" si="27"/>
        <v>0</v>
      </c>
    </row>
    <row r="412" spans="1:18">
      <c r="A412" s="905"/>
      <c r="B412" s="906"/>
      <c r="C412" s="907">
        <v>110</v>
      </c>
      <c r="D412" s="907" t="s">
        <v>279</v>
      </c>
      <c r="E412" s="925" t="s">
        <v>4017</v>
      </c>
      <c r="F412" s="926" t="s">
        <v>45</v>
      </c>
      <c r="G412" s="910"/>
      <c r="H412" s="911">
        <v>0.1</v>
      </c>
      <c r="I412" s="912">
        <f>VLOOKUP(E412,[3]VLP!$B$7:$K$300,10,0)</f>
        <v>73636</v>
      </c>
      <c r="J412" s="912">
        <f>I412*H412</f>
        <v>7363.6</v>
      </c>
      <c r="K412" s="912" t="s">
        <v>274</v>
      </c>
      <c r="L412" s="912"/>
      <c r="M412" s="912"/>
      <c r="N412" s="912"/>
      <c r="O412" s="892">
        <f t="shared" si="24"/>
        <v>0</v>
      </c>
      <c r="P412" s="903">
        <f t="shared" si="25"/>
        <v>1</v>
      </c>
      <c r="Q412" s="893">
        <f t="shared" si="26"/>
        <v>5</v>
      </c>
      <c r="R412" s="894">
        <f t="shared" si="27"/>
        <v>0</v>
      </c>
    </row>
    <row r="413" spans="1:18" s="904" customFormat="1">
      <c r="A413" s="895"/>
      <c r="B413" s="896"/>
      <c r="C413" s="897"/>
      <c r="D413" s="897"/>
      <c r="E413" s="898" t="s">
        <v>276</v>
      </c>
      <c r="F413" s="927"/>
      <c r="G413" s="928"/>
      <c r="H413" s="901"/>
      <c r="I413" s="902"/>
      <c r="J413" s="902"/>
      <c r="K413" s="912" t="s">
        <v>274</v>
      </c>
      <c r="L413" s="902"/>
      <c r="M413" s="902"/>
      <c r="N413" s="902"/>
      <c r="O413" s="892">
        <f t="shared" si="24"/>
        <v>0</v>
      </c>
      <c r="P413" s="903">
        <f t="shared" si="25"/>
        <v>1</v>
      </c>
      <c r="Q413" s="893">
        <f t="shared" si="26"/>
        <v>4</v>
      </c>
      <c r="R413" s="894">
        <f t="shared" si="27"/>
        <v>0</v>
      </c>
    </row>
    <row r="414" spans="1:18">
      <c r="A414" s="905"/>
      <c r="B414" s="906"/>
      <c r="C414" s="907">
        <v>740</v>
      </c>
      <c r="D414" s="907" t="s">
        <v>12</v>
      </c>
      <c r="E414" s="908" t="s">
        <v>4008</v>
      </c>
      <c r="F414" s="909" t="s">
        <v>2674</v>
      </c>
      <c r="G414" s="910"/>
      <c r="H414" s="911">
        <v>5.36</v>
      </c>
      <c r="I414" s="912"/>
      <c r="J414" s="912"/>
      <c r="K414" s="912">
        <f>VLOOKUP(E414,ĐMNC!$A$7:$F$67,4,0)</f>
        <v>252714</v>
      </c>
      <c r="L414" s="912">
        <f>H414*K414</f>
        <v>1354547.04</v>
      </c>
      <c r="M414" s="912"/>
      <c r="N414" s="912"/>
      <c r="O414" s="892">
        <f t="shared" si="24"/>
        <v>0</v>
      </c>
      <c r="P414" s="903">
        <f t="shared" si="25"/>
        <v>1</v>
      </c>
      <c r="Q414" s="893">
        <f t="shared" si="26"/>
        <v>3</v>
      </c>
      <c r="R414" s="894">
        <f t="shared" si="27"/>
        <v>0</v>
      </c>
    </row>
    <row r="415" spans="1:18" s="904" customFormat="1">
      <c r="A415" s="895"/>
      <c r="B415" s="896"/>
      <c r="C415" s="897"/>
      <c r="D415" s="897"/>
      <c r="E415" s="898" t="s">
        <v>3914</v>
      </c>
      <c r="F415" s="899"/>
      <c r="G415" s="928"/>
      <c r="H415" s="901"/>
      <c r="I415" s="902"/>
      <c r="J415" s="902"/>
      <c r="K415" s="912" t="s">
        <v>274</v>
      </c>
      <c r="L415" s="902"/>
      <c r="M415" s="902"/>
      <c r="N415" s="902"/>
      <c r="O415" s="892">
        <f t="shared" si="24"/>
        <v>0</v>
      </c>
      <c r="P415" s="903">
        <f t="shared" si="25"/>
        <v>1</v>
      </c>
      <c r="Q415" s="893">
        <f t="shared" si="26"/>
        <v>2</v>
      </c>
      <c r="R415" s="894">
        <f t="shared" si="27"/>
        <v>0</v>
      </c>
    </row>
    <row r="416" spans="1:18">
      <c r="A416" s="905"/>
      <c r="B416" s="914" t="s">
        <v>4049</v>
      </c>
      <c r="C416" s="907">
        <v>814</v>
      </c>
      <c r="D416" s="907" t="s">
        <v>93</v>
      </c>
      <c r="E416" s="925" t="s">
        <v>4050</v>
      </c>
      <c r="F416" s="909" t="s">
        <v>2673</v>
      </c>
      <c r="G416" s="910"/>
      <c r="H416" s="911">
        <v>0.23</v>
      </c>
      <c r="I416" s="912"/>
      <c r="J416" s="912"/>
      <c r="K416" s="912"/>
      <c r="L416" s="912"/>
      <c r="M416" s="912">
        <f>VLOOKUP(B416,MTC!$B$9:$S$933,12,0)</f>
        <v>0</v>
      </c>
      <c r="N416" s="912">
        <f>M416*H416</f>
        <v>0</v>
      </c>
      <c r="O416" s="892">
        <f t="shared" si="24"/>
        <v>0</v>
      </c>
      <c r="P416" s="903">
        <f t="shared" si="25"/>
        <v>1</v>
      </c>
      <c r="Q416" s="893">
        <f t="shared" si="26"/>
        <v>1</v>
      </c>
      <c r="R416" s="894">
        <f t="shared" si="27"/>
        <v>0</v>
      </c>
    </row>
    <row r="417" spans="1:18" s="847" customFormat="1" ht="31.5">
      <c r="A417" s="905" t="s">
        <v>4057</v>
      </c>
      <c r="B417" s="914" t="s">
        <v>4058</v>
      </c>
      <c r="C417" s="915"/>
      <c r="D417" s="915"/>
      <c r="E417" s="916" t="s">
        <v>4059</v>
      </c>
      <c r="F417" s="917" t="s">
        <v>4016</v>
      </c>
      <c r="G417" s="918"/>
      <c r="H417" s="919"/>
      <c r="I417" s="920"/>
      <c r="J417" s="891">
        <f>SUM(J418:J424)</f>
        <v>25090.875</v>
      </c>
      <c r="K417" s="891"/>
      <c r="L417" s="891">
        <f>SUM(L418:L424)</f>
        <v>535753.68000000005</v>
      </c>
      <c r="M417" s="891"/>
      <c r="N417" s="891">
        <f>SUM(N418:N424)</f>
        <v>490298.30000000005</v>
      </c>
      <c r="O417" s="892">
        <f t="shared" si="24"/>
        <v>1</v>
      </c>
      <c r="P417" s="903">
        <f t="shared" si="25"/>
        <v>0</v>
      </c>
      <c r="Q417" s="893">
        <f t="shared" si="26"/>
        <v>0</v>
      </c>
      <c r="R417" s="894">
        <f t="shared" si="27"/>
        <v>7</v>
      </c>
    </row>
    <row r="418" spans="1:18" s="904" customFormat="1">
      <c r="A418" s="895"/>
      <c r="B418" s="896"/>
      <c r="C418" s="897"/>
      <c r="D418" s="897"/>
      <c r="E418" s="924" t="s">
        <v>108</v>
      </c>
      <c r="F418" s="899"/>
      <c r="G418" s="900"/>
      <c r="H418" s="901"/>
      <c r="I418" s="902"/>
      <c r="J418" s="902"/>
      <c r="K418" s="912" t="s">
        <v>274</v>
      </c>
      <c r="L418" s="902"/>
      <c r="M418" s="902"/>
      <c r="N418" s="902"/>
      <c r="O418" s="892">
        <f t="shared" si="24"/>
        <v>0</v>
      </c>
      <c r="P418" s="903">
        <f t="shared" si="25"/>
        <v>1</v>
      </c>
      <c r="Q418" s="893">
        <f t="shared" si="26"/>
        <v>7</v>
      </c>
      <c r="R418" s="894">
        <f t="shared" si="27"/>
        <v>0</v>
      </c>
    </row>
    <row r="419" spans="1:18">
      <c r="A419" s="905"/>
      <c r="B419" s="906"/>
      <c r="C419" s="907">
        <v>62</v>
      </c>
      <c r="D419" s="907" t="s">
        <v>279</v>
      </c>
      <c r="E419" s="925" t="s">
        <v>4004</v>
      </c>
      <c r="F419" s="926" t="s">
        <v>47</v>
      </c>
      <c r="G419" s="910"/>
      <c r="H419" s="911">
        <v>5.0000000000000001E-3</v>
      </c>
      <c r="I419" s="912">
        <f>VLOOKUP(E419,[3]VLP!$B$7:$K$300,10,0)</f>
        <v>3545455</v>
      </c>
      <c r="J419" s="912">
        <f>I419*H419</f>
        <v>17727.275000000001</v>
      </c>
      <c r="K419" s="912" t="s">
        <v>274</v>
      </c>
      <c r="L419" s="912"/>
      <c r="M419" s="912"/>
      <c r="N419" s="912"/>
      <c r="O419" s="892">
        <f t="shared" si="24"/>
        <v>0</v>
      </c>
      <c r="P419" s="903">
        <f t="shared" si="25"/>
        <v>1</v>
      </c>
      <c r="Q419" s="893">
        <f t="shared" si="26"/>
        <v>6</v>
      </c>
      <c r="R419" s="894">
        <f t="shared" si="27"/>
        <v>0</v>
      </c>
    </row>
    <row r="420" spans="1:18">
      <c r="A420" s="905"/>
      <c r="B420" s="906"/>
      <c r="C420" s="907">
        <v>110</v>
      </c>
      <c r="D420" s="907" t="s">
        <v>279</v>
      </c>
      <c r="E420" s="925" t="s">
        <v>4017</v>
      </c>
      <c r="F420" s="926" t="s">
        <v>45</v>
      </c>
      <c r="G420" s="910"/>
      <c r="H420" s="911">
        <v>0.1</v>
      </c>
      <c r="I420" s="912">
        <f>VLOOKUP(E420,[3]VLP!$B$7:$K$300,10,0)</f>
        <v>73636</v>
      </c>
      <c r="J420" s="912">
        <f>I420*H420</f>
        <v>7363.6</v>
      </c>
      <c r="K420" s="912" t="s">
        <v>274</v>
      </c>
      <c r="L420" s="912"/>
      <c r="M420" s="912"/>
      <c r="N420" s="912"/>
      <c r="O420" s="892">
        <f t="shared" si="24"/>
        <v>0</v>
      </c>
      <c r="P420" s="903">
        <f t="shared" si="25"/>
        <v>1</v>
      </c>
      <c r="Q420" s="893">
        <f t="shared" si="26"/>
        <v>5</v>
      </c>
      <c r="R420" s="894">
        <f t="shared" si="27"/>
        <v>0</v>
      </c>
    </row>
    <row r="421" spans="1:18" s="904" customFormat="1">
      <c r="A421" s="895"/>
      <c r="B421" s="896"/>
      <c r="C421" s="897"/>
      <c r="D421" s="897"/>
      <c r="E421" s="898" t="s">
        <v>276</v>
      </c>
      <c r="F421" s="927"/>
      <c r="G421" s="928"/>
      <c r="H421" s="901"/>
      <c r="I421" s="902"/>
      <c r="J421" s="902"/>
      <c r="K421" s="912" t="s">
        <v>274</v>
      </c>
      <c r="L421" s="902"/>
      <c r="M421" s="902"/>
      <c r="N421" s="902"/>
      <c r="O421" s="892">
        <f t="shared" si="24"/>
        <v>0</v>
      </c>
      <c r="P421" s="903">
        <f t="shared" si="25"/>
        <v>1</v>
      </c>
      <c r="Q421" s="893">
        <f t="shared" si="26"/>
        <v>4</v>
      </c>
      <c r="R421" s="894">
        <f t="shared" si="27"/>
        <v>0</v>
      </c>
    </row>
    <row r="422" spans="1:18">
      <c r="A422" s="905"/>
      <c r="B422" s="906"/>
      <c r="C422" s="907">
        <v>740</v>
      </c>
      <c r="D422" s="907" t="s">
        <v>12</v>
      </c>
      <c r="E422" s="908" t="s">
        <v>4008</v>
      </c>
      <c r="F422" s="909" t="s">
        <v>2674</v>
      </c>
      <c r="G422" s="910"/>
      <c r="H422" s="911">
        <v>2.12</v>
      </c>
      <c r="I422" s="912"/>
      <c r="J422" s="912"/>
      <c r="K422" s="912">
        <f>VLOOKUP(E422,ĐMNC!$A$7:$F$67,4,0)</f>
        <v>252714</v>
      </c>
      <c r="L422" s="912">
        <f>H422*K422</f>
        <v>535753.68000000005</v>
      </c>
      <c r="M422" s="912"/>
      <c r="N422" s="912"/>
      <c r="O422" s="892">
        <f t="shared" si="24"/>
        <v>0</v>
      </c>
      <c r="P422" s="903">
        <f t="shared" si="25"/>
        <v>1</v>
      </c>
      <c r="Q422" s="893">
        <f t="shared" si="26"/>
        <v>3</v>
      </c>
      <c r="R422" s="894">
        <f t="shared" si="27"/>
        <v>0</v>
      </c>
    </row>
    <row r="423" spans="1:18" s="904" customFormat="1">
      <c r="A423" s="895"/>
      <c r="B423" s="896"/>
      <c r="C423" s="897"/>
      <c r="D423" s="897"/>
      <c r="E423" s="898" t="s">
        <v>3914</v>
      </c>
      <c r="F423" s="899"/>
      <c r="G423" s="928"/>
      <c r="H423" s="901"/>
      <c r="I423" s="902"/>
      <c r="J423" s="902"/>
      <c r="K423" s="912" t="s">
        <v>274</v>
      </c>
      <c r="L423" s="902"/>
      <c r="M423" s="902"/>
      <c r="N423" s="902"/>
      <c r="O423" s="892">
        <f t="shared" si="24"/>
        <v>0</v>
      </c>
      <c r="P423" s="903">
        <f t="shared" si="25"/>
        <v>1</v>
      </c>
      <c r="Q423" s="893">
        <f t="shared" si="26"/>
        <v>2</v>
      </c>
      <c r="R423" s="894">
        <f t="shared" si="27"/>
        <v>0</v>
      </c>
    </row>
    <row r="424" spans="1:18">
      <c r="A424" s="905"/>
      <c r="B424" s="906" t="s">
        <v>4060</v>
      </c>
      <c r="C424" s="907">
        <v>851</v>
      </c>
      <c r="D424" s="907" t="s">
        <v>93</v>
      </c>
      <c r="E424" s="925" t="s">
        <v>4061</v>
      </c>
      <c r="F424" s="909" t="s">
        <v>2673</v>
      </c>
      <c r="G424" s="910"/>
      <c r="H424" s="911">
        <v>0.1</v>
      </c>
      <c r="I424" s="912"/>
      <c r="J424" s="912"/>
      <c r="K424" s="912"/>
      <c r="L424" s="912"/>
      <c r="M424" s="912">
        <f>VLOOKUP(B424,MTC!$B$9:$S$933,12,0)</f>
        <v>4902983</v>
      </c>
      <c r="N424" s="912">
        <f>M424*H424</f>
        <v>490298.30000000005</v>
      </c>
      <c r="O424" s="892">
        <f t="shared" si="24"/>
        <v>0</v>
      </c>
      <c r="P424" s="903">
        <f t="shared" si="25"/>
        <v>1</v>
      </c>
      <c r="Q424" s="893">
        <f>IF(P424=0,0,P424+Q426)</f>
        <v>1</v>
      </c>
      <c r="R424" s="894">
        <f>IF(Q424=0,Q426,0)</f>
        <v>0</v>
      </c>
    </row>
    <row r="425" spans="1:18">
      <c r="A425" s="905"/>
      <c r="B425" s="906" t="s">
        <v>4062</v>
      </c>
      <c r="C425" s="907"/>
      <c r="D425" s="907"/>
      <c r="E425" s="943" t="s">
        <v>4063</v>
      </c>
      <c r="F425" s="909"/>
      <c r="G425" s="910"/>
      <c r="H425" s="911"/>
      <c r="I425" s="912"/>
      <c r="J425" s="912"/>
      <c r="K425" s="912"/>
      <c r="L425" s="912"/>
      <c r="M425" s="912"/>
      <c r="N425" s="912"/>
      <c r="O425" s="892"/>
      <c r="P425" s="903"/>
      <c r="Q425" s="893"/>
      <c r="R425" s="894"/>
    </row>
    <row r="426" spans="1:18" s="847" customFormat="1">
      <c r="A426" s="905" t="s">
        <v>4057</v>
      </c>
      <c r="B426" s="914" t="s">
        <v>1017</v>
      </c>
      <c r="C426" s="915"/>
      <c r="D426" s="915"/>
      <c r="E426" s="916" t="s">
        <v>4064</v>
      </c>
      <c r="F426" s="917" t="s">
        <v>139</v>
      </c>
      <c r="G426" s="944"/>
      <c r="H426" s="919"/>
      <c r="I426" s="920"/>
      <c r="J426" s="891">
        <f>SUM(J427:J428)</f>
        <v>0</v>
      </c>
      <c r="K426" s="891"/>
      <c r="L426" s="891">
        <f>SUM(L427:L428)</f>
        <v>118729.53</v>
      </c>
      <c r="M426" s="891"/>
      <c r="N426" s="891">
        <f>SUM(N427:N428)</f>
        <v>0</v>
      </c>
      <c r="O426" s="892">
        <f t="shared" si="24"/>
        <v>1</v>
      </c>
      <c r="P426" s="903">
        <f t="shared" si="25"/>
        <v>0</v>
      </c>
      <c r="Q426" s="893">
        <f t="shared" si="26"/>
        <v>0</v>
      </c>
      <c r="R426" s="894">
        <f t="shared" si="27"/>
        <v>2</v>
      </c>
    </row>
    <row r="427" spans="1:18" s="904" customFormat="1">
      <c r="A427" s="895"/>
      <c r="B427" s="922"/>
      <c r="C427" s="897"/>
      <c r="D427" s="897"/>
      <c r="E427" s="898" t="s">
        <v>276</v>
      </c>
      <c r="F427" s="927"/>
      <c r="G427" s="928"/>
      <c r="H427" s="901"/>
      <c r="I427" s="902"/>
      <c r="J427" s="902"/>
      <c r="K427" s="912" t="s">
        <v>274</v>
      </c>
      <c r="L427" s="902"/>
      <c r="M427" s="902"/>
      <c r="N427" s="902"/>
      <c r="O427" s="892">
        <f t="shared" si="24"/>
        <v>0</v>
      </c>
      <c r="P427" s="903">
        <f t="shared" si="25"/>
        <v>1</v>
      </c>
      <c r="Q427" s="893">
        <f t="shared" si="26"/>
        <v>2</v>
      </c>
      <c r="R427" s="894">
        <f t="shared" si="27"/>
        <v>0</v>
      </c>
    </row>
    <row r="428" spans="1:18">
      <c r="A428" s="905"/>
      <c r="B428" s="906"/>
      <c r="C428" s="907">
        <v>735</v>
      </c>
      <c r="D428" s="907" t="s">
        <v>12</v>
      </c>
      <c r="E428" s="908" t="s">
        <v>4065</v>
      </c>
      <c r="F428" s="909" t="s">
        <v>2674</v>
      </c>
      <c r="G428" s="910"/>
      <c r="H428" s="911">
        <v>0.51</v>
      </c>
      <c r="I428" s="912"/>
      <c r="J428" s="912"/>
      <c r="K428" s="912">
        <f>VLOOKUP(E428,ĐMNC!$A$7:$F$67,4,0)</f>
        <v>232803</v>
      </c>
      <c r="L428" s="912">
        <f>H428*K428</f>
        <v>118729.53</v>
      </c>
      <c r="M428" s="912"/>
      <c r="N428" s="912"/>
      <c r="O428" s="892">
        <f t="shared" si="24"/>
        <v>0</v>
      </c>
      <c r="P428" s="903">
        <f t="shared" si="25"/>
        <v>1</v>
      </c>
      <c r="Q428" s="893">
        <f t="shared" si="26"/>
        <v>1</v>
      </c>
      <c r="R428" s="894">
        <f t="shared" si="27"/>
        <v>0</v>
      </c>
    </row>
    <row r="429" spans="1:18" s="847" customFormat="1">
      <c r="A429" s="905"/>
      <c r="B429" s="914" t="s">
        <v>1019</v>
      </c>
      <c r="C429" s="915"/>
      <c r="D429" s="915"/>
      <c r="E429" s="916" t="s">
        <v>4066</v>
      </c>
      <c r="F429" s="917" t="s">
        <v>139</v>
      </c>
      <c r="G429" s="918"/>
      <c r="H429" s="919"/>
      <c r="I429" s="920"/>
      <c r="J429" s="891">
        <f>SUM(J430:J431)</f>
        <v>0</v>
      </c>
      <c r="K429" s="891"/>
      <c r="L429" s="891">
        <f>SUM(L430:L431)</f>
        <v>197882.55</v>
      </c>
      <c r="M429" s="891"/>
      <c r="N429" s="891">
        <f>SUM(N430:N431)</f>
        <v>0</v>
      </c>
      <c r="O429" s="892">
        <f t="shared" si="24"/>
        <v>1</v>
      </c>
      <c r="P429" s="903">
        <f t="shared" si="25"/>
        <v>0</v>
      </c>
      <c r="Q429" s="893">
        <f t="shared" si="26"/>
        <v>0</v>
      </c>
      <c r="R429" s="894">
        <f t="shared" si="27"/>
        <v>2</v>
      </c>
    </row>
    <row r="430" spans="1:18" s="904" customFormat="1">
      <c r="A430" s="895"/>
      <c r="B430" s="896"/>
      <c r="C430" s="897"/>
      <c r="D430" s="897"/>
      <c r="E430" s="898" t="s">
        <v>276</v>
      </c>
      <c r="F430" s="927"/>
      <c r="G430" s="928"/>
      <c r="H430" s="901"/>
      <c r="I430" s="902"/>
      <c r="J430" s="902"/>
      <c r="K430" s="912" t="s">
        <v>274</v>
      </c>
      <c r="L430" s="902"/>
      <c r="M430" s="902"/>
      <c r="N430" s="902"/>
      <c r="O430" s="892">
        <f t="shared" si="24"/>
        <v>0</v>
      </c>
      <c r="P430" s="903">
        <f t="shared" si="25"/>
        <v>1</v>
      </c>
      <c r="Q430" s="893">
        <f t="shared" si="26"/>
        <v>2</v>
      </c>
      <c r="R430" s="894">
        <f t="shared" si="27"/>
        <v>0</v>
      </c>
    </row>
    <row r="431" spans="1:18">
      <c r="A431" s="905"/>
      <c r="B431" s="906"/>
      <c r="C431" s="907">
        <v>735</v>
      </c>
      <c r="D431" s="907" t="s">
        <v>12</v>
      </c>
      <c r="E431" s="908" t="s">
        <v>4065</v>
      </c>
      <c r="F431" s="909" t="s">
        <v>2674</v>
      </c>
      <c r="G431" s="910"/>
      <c r="H431" s="911">
        <v>0.85</v>
      </c>
      <c r="I431" s="912"/>
      <c r="J431" s="912"/>
      <c r="K431" s="912">
        <f>VLOOKUP(E431,ĐMNC!$A$7:$F$67,4,0)</f>
        <v>232803</v>
      </c>
      <c r="L431" s="912">
        <f>H431*K431</f>
        <v>197882.55</v>
      </c>
      <c r="M431" s="912"/>
      <c r="N431" s="912"/>
      <c r="O431" s="892">
        <f t="shared" si="24"/>
        <v>0</v>
      </c>
      <c r="P431" s="903">
        <f t="shared" si="25"/>
        <v>1</v>
      </c>
      <c r="Q431" s="893">
        <f t="shared" si="26"/>
        <v>1</v>
      </c>
      <c r="R431" s="894">
        <f t="shared" si="27"/>
        <v>0</v>
      </c>
    </row>
    <row r="432" spans="1:18" s="847" customFormat="1">
      <c r="A432" s="905"/>
      <c r="B432" s="914" t="s">
        <v>235</v>
      </c>
      <c r="C432" s="915"/>
      <c r="D432" s="915"/>
      <c r="E432" s="916" t="s">
        <v>4067</v>
      </c>
      <c r="F432" s="917" t="s">
        <v>139</v>
      </c>
      <c r="G432" s="918"/>
      <c r="H432" s="919"/>
      <c r="I432" s="920"/>
      <c r="J432" s="891">
        <f>SUM(J433:J434)</f>
        <v>0</v>
      </c>
      <c r="K432" s="891"/>
      <c r="L432" s="891">
        <f>SUM(L433:L434)</f>
        <v>267723.44999999995</v>
      </c>
      <c r="M432" s="891"/>
      <c r="N432" s="891">
        <f>SUM(N433:N434)</f>
        <v>0</v>
      </c>
      <c r="O432" s="892">
        <f t="shared" si="24"/>
        <v>1</v>
      </c>
      <c r="P432" s="903">
        <f t="shared" si="25"/>
        <v>0</v>
      </c>
      <c r="Q432" s="893">
        <f t="shared" si="26"/>
        <v>0</v>
      </c>
      <c r="R432" s="894">
        <f t="shared" si="27"/>
        <v>2</v>
      </c>
    </row>
    <row r="433" spans="1:18" s="904" customFormat="1">
      <c r="A433" s="895"/>
      <c r="B433" s="896"/>
      <c r="C433" s="897"/>
      <c r="D433" s="897"/>
      <c r="E433" s="898" t="s">
        <v>276</v>
      </c>
      <c r="F433" s="927"/>
      <c r="G433" s="928"/>
      <c r="H433" s="901"/>
      <c r="I433" s="902"/>
      <c r="J433" s="902"/>
      <c r="K433" s="912" t="s">
        <v>274</v>
      </c>
      <c r="L433" s="902"/>
      <c r="M433" s="902"/>
      <c r="N433" s="902"/>
      <c r="O433" s="892">
        <f t="shared" si="24"/>
        <v>0</v>
      </c>
      <c r="P433" s="903">
        <f t="shared" si="25"/>
        <v>1</v>
      </c>
      <c r="Q433" s="893">
        <f t="shared" si="26"/>
        <v>2</v>
      </c>
      <c r="R433" s="894">
        <f t="shared" si="27"/>
        <v>0</v>
      </c>
    </row>
    <row r="434" spans="1:18">
      <c r="A434" s="905"/>
      <c r="B434" s="906"/>
      <c r="C434" s="907">
        <v>735</v>
      </c>
      <c r="D434" s="907" t="s">
        <v>12</v>
      </c>
      <c r="E434" s="908" t="s">
        <v>4065</v>
      </c>
      <c r="F434" s="909" t="s">
        <v>2674</v>
      </c>
      <c r="G434" s="910"/>
      <c r="H434" s="911">
        <v>1.1499999999999999</v>
      </c>
      <c r="I434" s="912"/>
      <c r="J434" s="912"/>
      <c r="K434" s="912">
        <f>VLOOKUP(E434,ĐMNC!$A$7:$F$67,4,0)</f>
        <v>232803</v>
      </c>
      <c r="L434" s="912">
        <f>H434*K434</f>
        <v>267723.44999999995</v>
      </c>
      <c r="M434" s="912"/>
      <c r="N434" s="912"/>
      <c r="O434" s="892">
        <f t="shared" si="24"/>
        <v>0</v>
      </c>
      <c r="P434" s="903">
        <f t="shared" si="25"/>
        <v>1</v>
      </c>
      <c r="Q434" s="893">
        <f t="shared" si="26"/>
        <v>1</v>
      </c>
      <c r="R434" s="894">
        <f t="shared" si="27"/>
        <v>0</v>
      </c>
    </row>
    <row r="435" spans="1:18" s="847" customFormat="1">
      <c r="A435" s="905"/>
      <c r="B435" s="914" t="s">
        <v>1021</v>
      </c>
      <c r="C435" s="915"/>
      <c r="D435" s="915"/>
      <c r="E435" s="916" t="s">
        <v>4068</v>
      </c>
      <c r="F435" s="917" t="s">
        <v>139</v>
      </c>
      <c r="G435" s="918"/>
      <c r="H435" s="919"/>
      <c r="I435" s="920"/>
      <c r="J435" s="891">
        <f>SUM(J436:J437)</f>
        <v>0</v>
      </c>
      <c r="K435" s="891"/>
      <c r="L435" s="891">
        <f>SUM(L436:L437)</f>
        <v>360844.65</v>
      </c>
      <c r="M435" s="891"/>
      <c r="N435" s="891">
        <f>SUM(N436:N437)</f>
        <v>0</v>
      </c>
      <c r="O435" s="892">
        <f t="shared" si="24"/>
        <v>1</v>
      </c>
      <c r="P435" s="903">
        <f t="shared" si="25"/>
        <v>0</v>
      </c>
      <c r="Q435" s="893">
        <f t="shared" si="26"/>
        <v>0</v>
      </c>
      <c r="R435" s="894">
        <f t="shared" si="27"/>
        <v>2</v>
      </c>
    </row>
    <row r="436" spans="1:18" s="904" customFormat="1">
      <c r="A436" s="895"/>
      <c r="B436" s="896"/>
      <c r="C436" s="897"/>
      <c r="D436" s="897"/>
      <c r="E436" s="898" t="s">
        <v>276</v>
      </c>
      <c r="F436" s="927"/>
      <c r="G436" s="928"/>
      <c r="H436" s="901"/>
      <c r="I436" s="902"/>
      <c r="J436" s="902"/>
      <c r="K436" s="912" t="s">
        <v>274</v>
      </c>
      <c r="L436" s="902"/>
      <c r="M436" s="902"/>
      <c r="N436" s="902"/>
      <c r="O436" s="892">
        <f t="shared" si="24"/>
        <v>0</v>
      </c>
      <c r="P436" s="903">
        <f t="shared" si="25"/>
        <v>1</v>
      </c>
      <c r="Q436" s="893">
        <f t="shared" si="26"/>
        <v>2</v>
      </c>
      <c r="R436" s="894">
        <f t="shared" si="27"/>
        <v>0</v>
      </c>
    </row>
    <row r="437" spans="1:18">
      <c r="A437" s="905"/>
      <c r="B437" s="906"/>
      <c r="C437" s="907">
        <v>735</v>
      </c>
      <c r="D437" s="907" t="s">
        <v>12</v>
      </c>
      <c r="E437" s="908" t="s">
        <v>4065</v>
      </c>
      <c r="F437" s="909" t="s">
        <v>2674</v>
      </c>
      <c r="G437" s="910"/>
      <c r="H437" s="911">
        <v>1.55</v>
      </c>
      <c r="I437" s="912"/>
      <c r="J437" s="912"/>
      <c r="K437" s="912">
        <f>VLOOKUP(E437,ĐMNC!$A$7:$F$67,4,0)</f>
        <v>232803</v>
      </c>
      <c r="L437" s="912">
        <f>H437*K437</f>
        <v>360844.65</v>
      </c>
      <c r="M437" s="912"/>
      <c r="N437" s="912"/>
      <c r="O437" s="892">
        <f t="shared" si="24"/>
        <v>0</v>
      </c>
      <c r="P437" s="903">
        <f t="shared" si="25"/>
        <v>1</v>
      </c>
      <c r="Q437" s="893">
        <f t="shared" si="26"/>
        <v>1</v>
      </c>
      <c r="R437" s="894">
        <f t="shared" si="27"/>
        <v>0</v>
      </c>
    </row>
    <row r="438" spans="1:18" s="847" customFormat="1">
      <c r="A438" s="905"/>
      <c r="B438" s="914" t="s">
        <v>1023</v>
      </c>
      <c r="C438" s="915"/>
      <c r="D438" s="915"/>
      <c r="E438" s="916" t="s">
        <v>4069</v>
      </c>
      <c r="F438" s="917" t="s">
        <v>139</v>
      </c>
      <c r="G438" s="918"/>
      <c r="H438" s="919"/>
      <c r="I438" s="920"/>
      <c r="J438" s="891">
        <f>SUM(J439:J440)</f>
        <v>0</v>
      </c>
      <c r="K438" s="891"/>
      <c r="L438" s="891">
        <f>SUM(L439:L440)</f>
        <v>433013.58</v>
      </c>
      <c r="M438" s="891"/>
      <c r="N438" s="891">
        <f>SUM(N439:N440)</f>
        <v>0</v>
      </c>
      <c r="O438" s="892">
        <f t="shared" si="24"/>
        <v>1</v>
      </c>
      <c r="P438" s="903">
        <f t="shared" si="25"/>
        <v>0</v>
      </c>
      <c r="Q438" s="893">
        <f t="shared" si="26"/>
        <v>0</v>
      </c>
      <c r="R438" s="894">
        <f t="shared" si="27"/>
        <v>2</v>
      </c>
    </row>
    <row r="439" spans="1:18" s="904" customFormat="1">
      <c r="A439" s="895"/>
      <c r="B439" s="922"/>
      <c r="C439" s="897"/>
      <c r="D439" s="897"/>
      <c r="E439" s="898" t="s">
        <v>276</v>
      </c>
      <c r="F439" s="927"/>
      <c r="G439" s="928"/>
      <c r="H439" s="901"/>
      <c r="I439" s="902"/>
      <c r="J439" s="902"/>
      <c r="K439" s="912" t="s">
        <v>274</v>
      </c>
      <c r="L439" s="902"/>
      <c r="M439" s="902"/>
      <c r="N439" s="902"/>
      <c r="O439" s="892">
        <f t="shared" si="24"/>
        <v>0</v>
      </c>
      <c r="P439" s="903">
        <f t="shared" si="25"/>
        <v>1</v>
      </c>
      <c r="Q439" s="893">
        <f t="shared" si="26"/>
        <v>2</v>
      </c>
      <c r="R439" s="894">
        <f t="shared" si="27"/>
        <v>0</v>
      </c>
    </row>
    <row r="440" spans="1:18">
      <c r="A440" s="905"/>
      <c r="B440" s="914"/>
      <c r="C440" s="907">
        <v>735</v>
      </c>
      <c r="D440" s="907" t="s">
        <v>12</v>
      </c>
      <c r="E440" s="908" t="s">
        <v>4065</v>
      </c>
      <c r="F440" s="909" t="s">
        <v>2674</v>
      </c>
      <c r="G440" s="910"/>
      <c r="H440" s="911">
        <v>1.86</v>
      </c>
      <c r="I440" s="912"/>
      <c r="J440" s="912"/>
      <c r="K440" s="912">
        <f>VLOOKUP(E440,ĐMNC!$A$7:$F$67,4,0)</f>
        <v>232803</v>
      </c>
      <c r="L440" s="912">
        <f>H440*K440</f>
        <v>433013.58</v>
      </c>
      <c r="M440" s="912"/>
      <c r="N440" s="912"/>
      <c r="O440" s="892">
        <f t="shared" si="24"/>
        <v>0</v>
      </c>
      <c r="P440" s="903">
        <f t="shared" si="25"/>
        <v>1</v>
      </c>
      <c r="Q440" s="893">
        <f t="shared" si="26"/>
        <v>1</v>
      </c>
      <c r="R440" s="894">
        <f t="shared" si="27"/>
        <v>0</v>
      </c>
    </row>
    <row r="441" spans="1:18" s="847" customFormat="1">
      <c r="A441" s="905"/>
      <c r="B441" s="914" t="s">
        <v>1025</v>
      </c>
      <c r="C441" s="915"/>
      <c r="D441" s="915"/>
      <c r="E441" s="916" t="s">
        <v>4070</v>
      </c>
      <c r="F441" s="917" t="s">
        <v>139</v>
      </c>
      <c r="G441" s="918"/>
      <c r="H441" s="919"/>
      <c r="I441" s="920"/>
      <c r="J441" s="891">
        <f>SUM(J442:J443)</f>
        <v>0</v>
      </c>
      <c r="K441" s="891"/>
      <c r="L441" s="891">
        <f>SUM(L442:L443)</f>
        <v>598303.71</v>
      </c>
      <c r="M441" s="891"/>
      <c r="N441" s="891">
        <f>SUM(N442:N443)</f>
        <v>0</v>
      </c>
      <c r="O441" s="892">
        <f t="shared" si="24"/>
        <v>1</v>
      </c>
      <c r="P441" s="903">
        <f t="shared" si="25"/>
        <v>0</v>
      </c>
      <c r="Q441" s="893">
        <f t="shared" si="26"/>
        <v>0</v>
      </c>
      <c r="R441" s="894">
        <f t="shared" si="27"/>
        <v>2</v>
      </c>
    </row>
    <row r="442" spans="1:18" s="904" customFormat="1">
      <c r="A442" s="895"/>
      <c r="B442" s="922"/>
      <c r="C442" s="897"/>
      <c r="D442" s="897"/>
      <c r="E442" s="898" t="s">
        <v>276</v>
      </c>
      <c r="F442" s="927"/>
      <c r="G442" s="928"/>
      <c r="H442" s="901"/>
      <c r="I442" s="902"/>
      <c r="J442" s="902"/>
      <c r="K442" s="912" t="s">
        <v>274</v>
      </c>
      <c r="L442" s="902"/>
      <c r="M442" s="902"/>
      <c r="N442" s="902"/>
      <c r="O442" s="892">
        <f t="shared" si="24"/>
        <v>0</v>
      </c>
      <c r="P442" s="903">
        <f t="shared" si="25"/>
        <v>1</v>
      </c>
      <c r="Q442" s="893">
        <f t="shared" si="26"/>
        <v>2</v>
      </c>
      <c r="R442" s="894">
        <f t="shared" si="27"/>
        <v>0</v>
      </c>
    </row>
    <row r="443" spans="1:18">
      <c r="A443" s="905"/>
      <c r="B443" s="914"/>
      <c r="C443" s="907">
        <v>735</v>
      </c>
      <c r="D443" s="907" t="s">
        <v>12</v>
      </c>
      <c r="E443" s="908" t="s">
        <v>4065</v>
      </c>
      <c r="F443" s="909" t="s">
        <v>2674</v>
      </c>
      <c r="G443" s="910"/>
      <c r="H443" s="911">
        <v>2.57</v>
      </c>
      <c r="I443" s="912"/>
      <c r="J443" s="912"/>
      <c r="K443" s="912">
        <f>VLOOKUP(E443,ĐMNC!$A$7:$F$67,4,0)</f>
        <v>232803</v>
      </c>
      <c r="L443" s="912">
        <f>H443*K443</f>
        <v>598303.71</v>
      </c>
      <c r="M443" s="912"/>
      <c r="N443" s="912"/>
      <c r="O443" s="892">
        <f t="shared" si="24"/>
        <v>0</v>
      </c>
      <c r="P443" s="903">
        <f t="shared" si="25"/>
        <v>1</v>
      </c>
      <c r="Q443" s="893">
        <f t="shared" si="26"/>
        <v>1</v>
      </c>
      <c r="R443" s="894">
        <f t="shared" si="27"/>
        <v>0</v>
      </c>
    </row>
    <row r="444" spans="1:18" s="847" customFormat="1">
      <c r="A444" s="905"/>
      <c r="B444" s="914" t="s">
        <v>1027</v>
      </c>
      <c r="C444" s="915"/>
      <c r="D444" s="915"/>
      <c r="E444" s="916" t="s">
        <v>4071</v>
      </c>
      <c r="F444" s="917" t="s">
        <v>139</v>
      </c>
      <c r="G444" s="918"/>
      <c r="H444" s="919"/>
      <c r="I444" s="920"/>
      <c r="J444" s="891">
        <f>SUM(J445:J446)</f>
        <v>0</v>
      </c>
      <c r="K444" s="891"/>
      <c r="L444" s="891">
        <f>SUM(L445:L446)</f>
        <v>763593.84</v>
      </c>
      <c r="M444" s="891"/>
      <c r="N444" s="891">
        <f>SUM(N445:N446)</f>
        <v>0</v>
      </c>
      <c r="O444" s="892">
        <f t="shared" si="24"/>
        <v>1</v>
      </c>
      <c r="P444" s="903">
        <f t="shared" si="25"/>
        <v>0</v>
      </c>
      <c r="Q444" s="893">
        <f t="shared" si="26"/>
        <v>0</v>
      </c>
      <c r="R444" s="894">
        <f t="shared" si="27"/>
        <v>2</v>
      </c>
    </row>
    <row r="445" spans="1:18" s="904" customFormat="1">
      <c r="A445" s="895"/>
      <c r="B445" s="922"/>
      <c r="C445" s="897"/>
      <c r="D445" s="897"/>
      <c r="E445" s="898" t="s">
        <v>276</v>
      </c>
      <c r="F445" s="927"/>
      <c r="G445" s="928"/>
      <c r="H445" s="901"/>
      <c r="I445" s="902"/>
      <c r="J445" s="902"/>
      <c r="K445" s="912" t="s">
        <v>274</v>
      </c>
      <c r="L445" s="902"/>
      <c r="M445" s="902"/>
      <c r="N445" s="902"/>
      <c r="O445" s="892">
        <f t="shared" si="24"/>
        <v>0</v>
      </c>
      <c r="P445" s="903">
        <f t="shared" si="25"/>
        <v>1</v>
      </c>
      <c r="Q445" s="893">
        <f t="shared" si="26"/>
        <v>2</v>
      </c>
      <c r="R445" s="894">
        <f t="shared" si="27"/>
        <v>0</v>
      </c>
    </row>
    <row r="446" spans="1:18">
      <c r="A446" s="905"/>
      <c r="B446" s="914"/>
      <c r="C446" s="907">
        <v>735</v>
      </c>
      <c r="D446" s="907" t="s">
        <v>12</v>
      </c>
      <c r="E446" s="908" t="s">
        <v>4065</v>
      </c>
      <c r="F446" s="909" t="s">
        <v>2674</v>
      </c>
      <c r="G446" s="910"/>
      <c r="H446" s="911">
        <v>3.28</v>
      </c>
      <c r="I446" s="912"/>
      <c r="J446" s="912"/>
      <c r="K446" s="912">
        <f>VLOOKUP(E446,ĐMNC!$A$7:$F$67,4,0)</f>
        <v>232803</v>
      </c>
      <c r="L446" s="912">
        <f>H446*K446</f>
        <v>763593.84</v>
      </c>
      <c r="M446" s="912"/>
      <c r="N446" s="912"/>
      <c r="O446" s="892">
        <f t="shared" ref="O446:O509" si="28">IF(AND(B446&lt;&gt;"",D446=""),1,0)</f>
        <v>0</v>
      </c>
      <c r="P446" s="903">
        <f t="shared" ref="P446:P509" si="29">IF(O446=0,1,0)</f>
        <v>1</v>
      </c>
      <c r="Q446" s="893">
        <f t="shared" ref="Q446:Q509" si="30">IF(P446=0,0,P446+Q447)</f>
        <v>1</v>
      </c>
      <c r="R446" s="894">
        <f t="shared" ref="R446:R509" si="31">IF(Q446=0,Q447,0)</f>
        <v>0</v>
      </c>
    </row>
    <row r="447" spans="1:18" s="847" customFormat="1">
      <c r="A447" s="905"/>
      <c r="B447" s="914" t="s">
        <v>1029</v>
      </c>
      <c r="C447" s="915"/>
      <c r="D447" s="915"/>
      <c r="E447" s="916" t="s">
        <v>4072</v>
      </c>
      <c r="F447" s="917" t="s">
        <v>139</v>
      </c>
      <c r="G447" s="918"/>
      <c r="H447" s="919"/>
      <c r="I447" s="920"/>
      <c r="J447" s="891">
        <f>SUM(J448:J449)</f>
        <v>0</v>
      </c>
      <c r="K447" s="891"/>
      <c r="L447" s="891">
        <f>SUM(L448:L449)</f>
        <v>900947.61</v>
      </c>
      <c r="M447" s="891"/>
      <c r="N447" s="891">
        <f>SUM(N448:N449)</f>
        <v>0</v>
      </c>
      <c r="O447" s="892">
        <f t="shared" si="28"/>
        <v>1</v>
      </c>
      <c r="P447" s="903">
        <f t="shared" si="29"/>
        <v>0</v>
      </c>
      <c r="Q447" s="893">
        <f t="shared" si="30"/>
        <v>0</v>
      </c>
      <c r="R447" s="894">
        <f t="shared" si="31"/>
        <v>2</v>
      </c>
    </row>
    <row r="448" spans="1:18" s="904" customFormat="1">
      <c r="A448" s="895"/>
      <c r="B448" s="922"/>
      <c r="C448" s="897"/>
      <c r="D448" s="897"/>
      <c r="E448" s="898" t="s">
        <v>276</v>
      </c>
      <c r="F448" s="927"/>
      <c r="G448" s="928"/>
      <c r="H448" s="901"/>
      <c r="I448" s="902"/>
      <c r="J448" s="902"/>
      <c r="K448" s="912" t="s">
        <v>274</v>
      </c>
      <c r="L448" s="902"/>
      <c r="M448" s="902"/>
      <c r="N448" s="902"/>
      <c r="O448" s="892">
        <f t="shared" si="28"/>
        <v>0</v>
      </c>
      <c r="P448" s="903">
        <f t="shared" si="29"/>
        <v>1</v>
      </c>
      <c r="Q448" s="893">
        <f t="shared" si="30"/>
        <v>2</v>
      </c>
      <c r="R448" s="894">
        <f t="shared" si="31"/>
        <v>0</v>
      </c>
    </row>
    <row r="449" spans="1:18">
      <c r="A449" s="905"/>
      <c r="B449" s="914"/>
      <c r="C449" s="907">
        <v>735</v>
      </c>
      <c r="D449" s="907" t="s">
        <v>12</v>
      </c>
      <c r="E449" s="908" t="s">
        <v>4065</v>
      </c>
      <c r="F449" s="909" t="s">
        <v>2674</v>
      </c>
      <c r="G449" s="910"/>
      <c r="H449" s="911">
        <v>3.87</v>
      </c>
      <c r="I449" s="912"/>
      <c r="J449" s="912"/>
      <c r="K449" s="912">
        <f>VLOOKUP(E449,ĐMNC!$A$7:$F$67,4,0)</f>
        <v>232803</v>
      </c>
      <c r="L449" s="912">
        <f>H449*K449</f>
        <v>900947.61</v>
      </c>
      <c r="M449" s="912"/>
      <c r="N449" s="912"/>
      <c r="O449" s="892">
        <f t="shared" si="28"/>
        <v>0</v>
      </c>
      <c r="P449" s="903">
        <f t="shared" si="29"/>
        <v>1</v>
      </c>
      <c r="Q449" s="893">
        <f t="shared" si="30"/>
        <v>1</v>
      </c>
      <c r="R449" s="894">
        <f t="shared" si="31"/>
        <v>0</v>
      </c>
    </row>
    <row r="450" spans="1:18" s="847" customFormat="1">
      <c r="A450" s="905"/>
      <c r="B450" s="914" t="s">
        <v>1031</v>
      </c>
      <c r="C450" s="915"/>
      <c r="D450" s="915"/>
      <c r="E450" s="916" t="s">
        <v>4073</v>
      </c>
      <c r="F450" s="917" t="s">
        <v>139</v>
      </c>
      <c r="G450" s="918"/>
      <c r="H450" s="919"/>
      <c r="I450" s="920"/>
      <c r="J450" s="891">
        <f>SUM(J451:J452)</f>
        <v>0</v>
      </c>
      <c r="K450" s="891"/>
      <c r="L450" s="891">
        <f>SUM(L451:L452)</f>
        <v>1063909.71</v>
      </c>
      <c r="M450" s="891"/>
      <c r="N450" s="891">
        <f>SUM(N451:N452)</f>
        <v>0</v>
      </c>
      <c r="O450" s="892">
        <f t="shared" si="28"/>
        <v>1</v>
      </c>
      <c r="P450" s="903">
        <f t="shared" si="29"/>
        <v>0</v>
      </c>
      <c r="Q450" s="893">
        <f t="shared" si="30"/>
        <v>0</v>
      </c>
      <c r="R450" s="894">
        <f t="shared" si="31"/>
        <v>2</v>
      </c>
    </row>
    <row r="451" spans="1:18" s="904" customFormat="1">
      <c r="A451" s="895"/>
      <c r="B451" s="896"/>
      <c r="C451" s="897"/>
      <c r="D451" s="897"/>
      <c r="E451" s="898" t="s">
        <v>276</v>
      </c>
      <c r="F451" s="927"/>
      <c r="G451" s="928"/>
      <c r="H451" s="901"/>
      <c r="I451" s="902"/>
      <c r="J451" s="902"/>
      <c r="K451" s="912" t="s">
        <v>274</v>
      </c>
      <c r="L451" s="902"/>
      <c r="M451" s="902"/>
      <c r="N451" s="902"/>
      <c r="O451" s="892">
        <f t="shared" si="28"/>
        <v>0</v>
      </c>
      <c r="P451" s="903">
        <f t="shared" si="29"/>
        <v>1</v>
      </c>
      <c r="Q451" s="893">
        <f t="shared" si="30"/>
        <v>2</v>
      </c>
      <c r="R451" s="894">
        <f t="shared" si="31"/>
        <v>0</v>
      </c>
    </row>
    <row r="452" spans="1:18">
      <c r="A452" s="905"/>
      <c r="B452" s="906"/>
      <c r="C452" s="907">
        <v>735</v>
      </c>
      <c r="D452" s="907" t="s">
        <v>12</v>
      </c>
      <c r="E452" s="908" t="s">
        <v>4065</v>
      </c>
      <c r="F452" s="909" t="s">
        <v>2674</v>
      </c>
      <c r="G452" s="910"/>
      <c r="H452" s="911">
        <v>4.57</v>
      </c>
      <c r="I452" s="912"/>
      <c r="J452" s="912"/>
      <c r="K452" s="912">
        <f>VLOOKUP(E452,ĐMNC!$A$7:$F$67,4,0)</f>
        <v>232803</v>
      </c>
      <c r="L452" s="912">
        <f>H452*K452</f>
        <v>1063909.71</v>
      </c>
      <c r="M452" s="912"/>
      <c r="N452" s="912"/>
      <c r="O452" s="892">
        <f t="shared" si="28"/>
        <v>0</v>
      </c>
      <c r="P452" s="903">
        <f t="shared" si="29"/>
        <v>1</v>
      </c>
      <c r="Q452" s="893">
        <f t="shared" si="30"/>
        <v>1</v>
      </c>
      <c r="R452" s="894">
        <f t="shared" si="31"/>
        <v>0</v>
      </c>
    </row>
    <row r="453" spans="1:18" s="847" customFormat="1">
      <c r="A453" s="905"/>
      <c r="B453" s="945" t="s">
        <v>1033</v>
      </c>
      <c r="C453" s="915"/>
      <c r="D453" s="915"/>
      <c r="E453" s="916" t="s">
        <v>4074</v>
      </c>
      <c r="F453" s="917" t="s">
        <v>139</v>
      </c>
      <c r="G453" s="944"/>
      <c r="H453" s="919"/>
      <c r="I453" s="920"/>
      <c r="J453" s="891">
        <f>SUM(J454:J455)</f>
        <v>0</v>
      </c>
      <c r="K453" s="891"/>
      <c r="L453" s="891">
        <f>SUM(L454:L455)</f>
        <v>157840.43400000001</v>
      </c>
      <c r="M453" s="891"/>
      <c r="N453" s="891">
        <f>SUM(N454:N455)</f>
        <v>0</v>
      </c>
      <c r="O453" s="892">
        <f t="shared" si="28"/>
        <v>1</v>
      </c>
      <c r="P453" s="903">
        <f t="shared" si="29"/>
        <v>0</v>
      </c>
      <c r="Q453" s="893">
        <f t="shared" si="30"/>
        <v>0</v>
      </c>
      <c r="R453" s="894">
        <f t="shared" si="31"/>
        <v>2</v>
      </c>
    </row>
    <row r="454" spans="1:18" s="904" customFormat="1">
      <c r="A454" s="895"/>
      <c r="B454" s="896"/>
      <c r="C454" s="897"/>
      <c r="D454" s="897"/>
      <c r="E454" s="898" t="s">
        <v>276</v>
      </c>
      <c r="F454" s="927"/>
      <c r="G454" s="928"/>
      <c r="H454" s="901"/>
      <c r="I454" s="902"/>
      <c r="J454" s="902"/>
      <c r="K454" s="912" t="s">
        <v>274</v>
      </c>
      <c r="L454" s="902"/>
      <c r="M454" s="902"/>
      <c r="N454" s="902"/>
      <c r="O454" s="892">
        <f t="shared" si="28"/>
        <v>0</v>
      </c>
      <c r="P454" s="903">
        <f t="shared" si="29"/>
        <v>1</v>
      </c>
      <c r="Q454" s="893">
        <f t="shared" si="30"/>
        <v>2</v>
      </c>
      <c r="R454" s="894">
        <f t="shared" si="31"/>
        <v>0</v>
      </c>
    </row>
    <row r="455" spans="1:18">
      <c r="A455" s="905"/>
      <c r="B455" s="906"/>
      <c r="C455" s="907">
        <v>735</v>
      </c>
      <c r="D455" s="907" t="s">
        <v>12</v>
      </c>
      <c r="E455" s="908" t="s">
        <v>4065</v>
      </c>
      <c r="F455" s="909" t="s">
        <v>2674</v>
      </c>
      <c r="G455" s="910"/>
      <c r="H455" s="911">
        <v>0.67800000000000005</v>
      </c>
      <c r="I455" s="912"/>
      <c r="J455" s="912"/>
      <c r="K455" s="912">
        <f>VLOOKUP(E455,ĐMNC!$A$7:$F$67,4,0)</f>
        <v>232803</v>
      </c>
      <c r="L455" s="912">
        <f>H455*K455</f>
        <v>157840.43400000001</v>
      </c>
      <c r="M455" s="912"/>
      <c r="N455" s="912"/>
      <c r="O455" s="892">
        <f t="shared" si="28"/>
        <v>0</v>
      </c>
      <c r="P455" s="903">
        <f t="shared" si="29"/>
        <v>1</v>
      </c>
      <c r="Q455" s="893">
        <f t="shared" si="30"/>
        <v>1</v>
      </c>
      <c r="R455" s="894">
        <f t="shared" si="31"/>
        <v>0</v>
      </c>
    </row>
    <row r="456" spans="1:18" s="847" customFormat="1">
      <c r="A456" s="905"/>
      <c r="B456" s="945" t="s">
        <v>1035</v>
      </c>
      <c r="C456" s="915"/>
      <c r="D456" s="915"/>
      <c r="E456" s="916" t="s">
        <v>4075</v>
      </c>
      <c r="F456" s="917" t="s">
        <v>139</v>
      </c>
      <c r="G456" s="918"/>
      <c r="H456" s="919"/>
      <c r="I456" s="920"/>
      <c r="J456" s="891">
        <f>SUM(J457:J458)</f>
        <v>0</v>
      </c>
      <c r="K456" s="891"/>
      <c r="L456" s="891">
        <f>SUM(L457:L458)</f>
        <v>263067.38999999996</v>
      </c>
      <c r="M456" s="891"/>
      <c r="N456" s="891">
        <f>SUM(N457:N458)</f>
        <v>0</v>
      </c>
      <c r="O456" s="892">
        <f t="shared" si="28"/>
        <v>1</v>
      </c>
      <c r="P456" s="903">
        <f t="shared" si="29"/>
        <v>0</v>
      </c>
      <c r="Q456" s="893">
        <f t="shared" si="30"/>
        <v>0</v>
      </c>
      <c r="R456" s="894">
        <f t="shared" si="31"/>
        <v>2</v>
      </c>
    </row>
    <row r="457" spans="1:18" s="904" customFormat="1">
      <c r="A457" s="895"/>
      <c r="B457" s="896"/>
      <c r="C457" s="897"/>
      <c r="D457" s="897"/>
      <c r="E457" s="898" t="s">
        <v>276</v>
      </c>
      <c r="F457" s="927"/>
      <c r="G457" s="928"/>
      <c r="H457" s="901"/>
      <c r="I457" s="902"/>
      <c r="J457" s="902"/>
      <c r="K457" s="912" t="s">
        <v>274</v>
      </c>
      <c r="L457" s="902"/>
      <c r="M457" s="902"/>
      <c r="N457" s="902"/>
      <c r="O457" s="892">
        <f t="shared" si="28"/>
        <v>0</v>
      </c>
      <c r="P457" s="903">
        <f t="shared" si="29"/>
        <v>1</v>
      </c>
      <c r="Q457" s="893">
        <f t="shared" si="30"/>
        <v>2</v>
      </c>
      <c r="R457" s="894">
        <f t="shared" si="31"/>
        <v>0</v>
      </c>
    </row>
    <row r="458" spans="1:18">
      <c r="A458" s="905"/>
      <c r="B458" s="906"/>
      <c r="C458" s="907">
        <v>735</v>
      </c>
      <c r="D458" s="907" t="s">
        <v>12</v>
      </c>
      <c r="E458" s="908" t="s">
        <v>4065</v>
      </c>
      <c r="F458" s="909" t="s">
        <v>2674</v>
      </c>
      <c r="G458" s="910"/>
      <c r="H458" s="911">
        <v>1.1299999999999999</v>
      </c>
      <c r="I458" s="912"/>
      <c r="J458" s="912"/>
      <c r="K458" s="912">
        <f>VLOOKUP(E458,ĐMNC!$A$7:$F$67,4,0)</f>
        <v>232803</v>
      </c>
      <c r="L458" s="912">
        <f>H458*K458</f>
        <v>263067.38999999996</v>
      </c>
      <c r="M458" s="912"/>
      <c r="N458" s="912"/>
      <c r="O458" s="892">
        <f t="shared" si="28"/>
        <v>0</v>
      </c>
      <c r="P458" s="903">
        <f t="shared" si="29"/>
        <v>1</v>
      </c>
      <c r="Q458" s="893">
        <f t="shared" si="30"/>
        <v>1</v>
      </c>
      <c r="R458" s="894">
        <f t="shared" si="31"/>
        <v>0</v>
      </c>
    </row>
    <row r="459" spans="1:18" s="847" customFormat="1">
      <c r="A459" s="905"/>
      <c r="B459" s="945" t="s">
        <v>1037</v>
      </c>
      <c r="C459" s="915"/>
      <c r="D459" s="915"/>
      <c r="E459" s="916" t="s">
        <v>4076</v>
      </c>
      <c r="F459" s="917" t="s">
        <v>139</v>
      </c>
      <c r="G459" s="918"/>
      <c r="H459" s="919"/>
      <c r="I459" s="920"/>
      <c r="J459" s="891">
        <f>SUM(J460:J461)</f>
        <v>0</v>
      </c>
      <c r="K459" s="891"/>
      <c r="L459" s="891">
        <f>SUM(L460:L461)</f>
        <v>356188.59</v>
      </c>
      <c r="M459" s="891"/>
      <c r="N459" s="891">
        <f>SUM(N460:N461)</f>
        <v>0</v>
      </c>
      <c r="O459" s="892">
        <f t="shared" si="28"/>
        <v>1</v>
      </c>
      <c r="P459" s="903">
        <f t="shared" si="29"/>
        <v>0</v>
      </c>
      <c r="Q459" s="893">
        <f t="shared" si="30"/>
        <v>0</v>
      </c>
      <c r="R459" s="894">
        <f t="shared" si="31"/>
        <v>2</v>
      </c>
    </row>
    <row r="460" spans="1:18" s="904" customFormat="1">
      <c r="A460" s="895"/>
      <c r="B460" s="896"/>
      <c r="C460" s="897"/>
      <c r="D460" s="897"/>
      <c r="E460" s="898" t="s">
        <v>276</v>
      </c>
      <c r="F460" s="927"/>
      <c r="G460" s="928"/>
      <c r="H460" s="901"/>
      <c r="I460" s="902"/>
      <c r="J460" s="902"/>
      <c r="K460" s="912" t="s">
        <v>274</v>
      </c>
      <c r="L460" s="902"/>
      <c r="M460" s="902"/>
      <c r="N460" s="902"/>
      <c r="O460" s="892">
        <f t="shared" si="28"/>
        <v>0</v>
      </c>
      <c r="P460" s="903">
        <f t="shared" si="29"/>
        <v>1</v>
      </c>
      <c r="Q460" s="893">
        <f t="shared" si="30"/>
        <v>2</v>
      </c>
      <c r="R460" s="894">
        <f t="shared" si="31"/>
        <v>0</v>
      </c>
    </row>
    <row r="461" spans="1:18">
      <c r="A461" s="905"/>
      <c r="B461" s="906"/>
      <c r="C461" s="907">
        <v>735</v>
      </c>
      <c r="D461" s="907" t="s">
        <v>12</v>
      </c>
      <c r="E461" s="908" t="s">
        <v>4065</v>
      </c>
      <c r="F461" s="909" t="s">
        <v>2674</v>
      </c>
      <c r="G461" s="910"/>
      <c r="H461" s="911">
        <v>1.53</v>
      </c>
      <c r="I461" s="912"/>
      <c r="J461" s="912"/>
      <c r="K461" s="912">
        <f>VLOOKUP(E461,ĐMNC!$A$7:$F$67,4,0)</f>
        <v>232803</v>
      </c>
      <c r="L461" s="912">
        <f>H461*K461</f>
        <v>356188.59</v>
      </c>
      <c r="M461" s="912"/>
      <c r="N461" s="912"/>
      <c r="O461" s="892">
        <f t="shared" si="28"/>
        <v>0</v>
      </c>
      <c r="P461" s="903">
        <f t="shared" si="29"/>
        <v>1</v>
      </c>
      <c r="Q461" s="893">
        <f t="shared" si="30"/>
        <v>1</v>
      </c>
      <c r="R461" s="894">
        <f t="shared" si="31"/>
        <v>0</v>
      </c>
    </row>
    <row r="462" spans="1:18" s="847" customFormat="1">
      <c r="A462" s="905"/>
      <c r="B462" s="945" t="s">
        <v>1039</v>
      </c>
      <c r="C462" s="915"/>
      <c r="D462" s="915"/>
      <c r="E462" s="916" t="s">
        <v>4077</v>
      </c>
      <c r="F462" s="917" t="s">
        <v>139</v>
      </c>
      <c r="G462" s="918"/>
      <c r="H462" s="919"/>
      <c r="I462" s="920"/>
      <c r="J462" s="891">
        <f>SUM(J463:J464)</f>
        <v>0</v>
      </c>
      <c r="K462" s="891"/>
      <c r="L462" s="891">
        <f>SUM(L463:L464)</f>
        <v>479574.18</v>
      </c>
      <c r="M462" s="891"/>
      <c r="N462" s="891">
        <f>SUM(N463:N464)</f>
        <v>0</v>
      </c>
      <c r="O462" s="892">
        <f t="shared" si="28"/>
        <v>1</v>
      </c>
      <c r="P462" s="903">
        <f t="shared" si="29"/>
        <v>0</v>
      </c>
      <c r="Q462" s="893">
        <f t="shared" si="30"/>
        <v>0</v>
      </c>
      <c r="R462" s="894">
        <f t="shared" si="31"/>
        <v>2</v>
      </c>
    </row>
    <row r="463" spans="1:18" s="904" customFormat="1">
      <c r="A463" s="895"/>
      <c r="B463" s="896"/>
      <c r="C463" s="897"/>
      <c r="D463" s="897"/>
      <c r="E463" s="898" t="s">
        <v>276</v>
      </c>
      <c r="F463" s="927"/>
      <c r="G463" s="928"/>
      <c r="H463" s="901"/>
      <c r="I463" s="902"/>
      <c r="J463" s="902"/>
      <c r="K463" s="912" t="s">
        <v>274</v>
      </c>
      <c r="L463" s="902"/>
      <c r="M463" s="902"/>
      <c r="N463" s="902"/>
      <c r="O463" s="892">
        <f t="shared" si="28"/>
        <v>0</v>
      </c>
      <c r="P463" s="903">
        <f t="shared" si="29"/>
        <v>1</v>
      </c>
      <c r="Q463" s="893">
        <f t="shared" si="30"/>
        <v>2</v>
      </c>
      <c r="R463" s="894">
        <f t="shared" si="31"/>
        <v>0</v>
      </c>
    </row>
    <row r="464" spans="1:18">
      <c r="A464" s="905"/>
      <c r="B464" s="906"/>
      <c r="C464" s="907">
        <v>735</v>
      </c>
      <c r="D464" s="907" t="s">
        <v>12</v>
      </c>
      <c r="E464" s="908" t="s">
        <v>4065</v>
      </c>
      <c r="F464" s="909" t="s">
        <v>2674</v>
      </c>
      <c r="G464" s="910"/>
      <c r="H464" s="911">
        <v>2.06</v>
      </c>
      <c r="I464" s="912"/>
      <c r="J464" s="912"/>
      <c r="K464" s="912">
        <f>VLOOKUP(E464,ĐMNC!$A$7:$F$67,4,0)</f>
        <v>232803</v>
      </c>
      <c r="L464" s="912">
        <f>H464*K464</f>
        <v>479574.18</v>
      </c>
      <c r="M464" s="912"/>
      <c r="N464" s="912"/>
      <c r="O464" s="892">
        <f t="shared" si="28"/>
        <v>0</v>
      </c>
      <c r="P464" s="903">
        <f t="shared" si="29"/>
        <v>1</v>
      </c>
      <c r="Q464" s="893">
        <f t="shared" si="30"/>
        <v>1</v>
      </c>
      <c r="R464" s="894">
        <f t="shared" si="31"/>
        <v>0</v>
      </c>
    </row>
    <row r="465" spans="1:18" s="847" customFormat="1">
      <c r="A465" s="905"/>
      <c r="B465" s="945" t="s">
        <v>1041</v>
      </c>
      <c r="C465" s="915"/>
      <c r="D465" s="915"/>
      <c r="E465" s="916" t="s">
        <v>4078</v>
      </c>
      <c r="F465" s="917" t="s">
        <v>139</v>
      </c>
      <c r="G465" s="918"/>
      <c r="H465" s="919"/>
      <c r="I465" s="920"/>
      <c r="J465" s="891">
        <f>SUM(J466:J467)</f>
        <v>0</v>
      </c>
      <c r="K465" s="891"/>
      <c r="L465" s="891">
        <f>SUM(L466:L467)</f>
        <v>575023.41</v>
      </c>
      <c r="M465" s="891"/>
      <c r="N465" s="891">
        <f>SUM(N466:N467)</f>
        <v>0</v>
      </c>
      <c r="O465" s="892">
        <f t="shared" si="28"/>
        <v>1</v>
      </c>
      <c r="P465" s="903">
        <f t="shared" si="29"/>
        <v>0</v>
      </c>
      <c r="Q465" s="893">
        <f t="shared" si="30"/>
        <v>0</v>
      </c>
      <c r="R465" s="894">
        <f t="shared" si="31"/>
        <v>2</v>
      </c>
    </row>
    <row r="466" spans="1:18" s="904" customFormat="1">
      <c r="A466" s="895"/>
      <c r="B466" s="896"/>
      <c r="C466" s="897"/>
      <c r="D466" s="897"/>
      <c r="E466" s="898" t="s">
        <v>276</v>
      </c>
      <c r="F466" s="927"/>
      <c r="G466" s="928"/>
      <c r="H466" s="901"/>
      <c r="I466" s="902"/>
      <c r="J466" s="902"/>
      <c r="K466" s="912" t="s">
        <v>274</v>
      </c>
      <c r="L466" s="902"/>
      <c r="M466" s="902"/>
      <c r="N466" s="902"/>
      <c r="O466" s="892">
        <f t="shared" si="28"/>
        <v>0</v>
      </c>
      <c r="P466" s="903">
        <f t="shared" si="29"/>
        <v>1</v>
      </c>
      <c r="Q466" s="893">
        <f t="shared" si="30"/>
        <v>2</v>
      </c>
      <c r="R466" s="894">
        <f t="shared" si="31"/>
        <v>0</v>
      </c>
    </row>
    <row r="467" spans="1:18">
      <c r="A467" s="905"/>
      <c r="B467" s="906"/>
      <c r="C467" s="907">
        <v>735</v>
      </c>
      <c r="D467" s="907" t="s">
        <v>12</v>
      </c>
      <c r="E467" s="908" t="s">
        <v>4065</v>
      </c>
      <c r="F467" s="909" t="s">
        <v>2674</v>
      </c>
      <c r="G467" s="910"/>
      <c r="H467" s="911">
        <v>2.4700000000000002</v>
      </c>
      <c r="I467" s="912"/>
      <c r="J467" s="912"/>
      <c r="K467" s="912">
        <f>VLOOKUP(E467,ĐMNC!$A$7:$F$67,4,0)</f>
        <v>232803</v>
      </c>
      <c r="L467" s="912">
        <f>H467*K467</f>
        <v>575023.41</v>
      </c>
      <c r="M467" s="912"/>
      <c r="N467" s="912"/>
      <c r="O467" s="892">
        <f t="shared" si="28"/>
        <v>0</v>
      </c>
      <c r="P467" s="903">
        <f t="shared" si="29"/>
        <v>1</v>
      </c>
      <c r="Q467" s="893">
        <f t="shared" si="30"/>
        <v>1</v>
      </c>
      <c r="R467" s="894">
        <f t="shared" si="31"/>
        <v>0</v>
      </c>
    </row>
    <row r="468" spans="1:18" s="847" customFormat="1">
      <c r="A468" s="905"/>
      <c r="B468" s="945" t="s">
        <v>1043</v>
      </c>
      <c r="C468" s="915"/>
      <c r="D468" s="915"/>
      <c r="E468" s="916" t="s">
        <v>4079</v>
      </c>
      <c r="F468" s="917" t="s">
        <v>139</v>
      </c>
      <c r="G468" s="918"/>
      <c r="H468" s="919"/>
      <c r="I468" s="920"/>
      <c r="J468" s="891">
        <f>SUM(J469:J470)</f>
        <v>0</v>
      </c>
      <c r="K468" s="891"/>
      <c r="L468" s="891">
        <f>SUM(L469:L470)</f>
        <v>793858.23</v>
      </c>
      <c r="M468" s="891"/>
      <c r="N468" s="891">
        <f>SUM(N469:N470)</f>
        <v>0</v>
      </c>
      <c r="O468" s="892">
        <f t="shared" si="28"/>
        <v>1</v>
      </c>
      <c r="P468" s="903">
        <f t="shared" si="29"/>
        <v>0</v>
      </c>
      <c r="Q468" s="893">
        <f t="shared" si="30"/>
        <v>0</v>
      </c>
      <c r="R468" s="894">
        <f t="shared" si="31"/>
        <v>2</v>
      </c>
    </row>
    <row r="469" spans="1:18" s="904" customFormat="1">
      <c r="A469" s="895"/>
      <c r="B469" s="896"/>
      <c r="C469" s="897"/>
      <c r="D469" s="897"/>
      <c r="E469" s="898" t="s">
        <v>276</v>
      </c>
      <c r="F469" s="927"/>
      <c r="G469" s="928"/>
      <c r="H469" s="901"/>
      <c r="I469" s="902"/>
      <c r="J469" s="902"/>
      <c r="K469" s="912" t="s">
        <v>274</v>
      </c>
      <c r="L469" s="902"/>
      <c r="M469" s="902"/>
      <c r="N469" s="902"/>
      <c r="O469" s="892">
        <f t="shared" si="28"/>
        <v>0</v>
      </c>
      <c r="P469" s="903">
        <f t="shared" si="29"/>
        <v>1</v>
      </c>
      <c r="Q469" s="893">
        <f t="shared" si="30"/>
        <v>2</v>
      </c>
      <c r="R469" s="894">
        <f t="shared" si="31"/>
        <v>0</v>
      </c>
    </row>
    <row r="470" spans="1:18">
      <c r="A470" s="905"/>
      <c r="B470" s="906"/>
      <c r="C470" s="907">
        <v>735</v>
      </c>
      <c r="D470" s="907" t="s">
        <v>12</v>
      </c>
      <c r="E470" s="908" t="s">
        <v>4065</v>
      </c>
      <c r="F470" s="909" t="s">
        <v>2674</v>
      </c>
      <c r="G470" s="910"/>
      <c r="H470" s="911">
        <v>3.41</v>
      </c>
      <c r="I470" s="912"/>
      <c r="J470" s="912"/>
      <c r="K470" s="912">
        <f>VLOOKUP(E470,ĐMNC!$A$7:$F$67,4,0)</f>
        <v>232803</v>
      </c>
      <c r="L470" s="912">
        <f>H470*K470</f>
        <v>793858.23</v>
      </c>
      <c r="M470" s="912"/>
      <c r="N470" s="912"/>
      <c r="O470" s="892">
        <f t="shared" si="28"/>
        <v>0</v>
      </c>
      <c r="P470" s="903">
        <f t="shared" si="29"/>
        <v>1</v>
      </c>
      <c r="Q470" s="893">
        <f t="shared" si="30"/>
        <v>1</v>
      </c>
      <c r="R470" s="894">
        <f t="shared" si="31"/>
        <v>0</v>
      </c>
    </row>
    <row r="471" spans="1:18" s="847" customFormat="1">
      <c r="A471" s="905"/>
      <c r="B471" s="945" t="s">
        <v>1045</v>
      </c>
      <c r="C471" s="915"/>
      <c r="D471" s="915"/>
      <c r="E471" s="916" t="s">
        <v>4080</v>
      </c>
      <c r="F471" s="917" t="s">
        <v>139</v>
      </c>
      <c r="G471" s="918"/>
      <c r="H471" s="919"/>
      <c r="I471" s="920"/>
      <c r="J471" s="891">
        <f>SUM(J472:J473)</f>
        <v>0</v>
      </c>
      <c r="K471" s="891"/>
      <c r="L471" s="891">
        <f>SUM(L472:L473)</f>
        <v>1015021.0800000001</v>
      </c>
      <c r="M471" s="891"/>
      <c r="N471" s="891">
        <f>SUM(N472:N473)</f>
        <v>0</v>
      </c>
      <c r="O471" s="892">
        <f t="shared" si="28"/>
        <v>1</v>
      </c>
      <c r="P471" s="903">
        <f t="shared" si="29"/>
        <v>0</v>
      </c>
      <c r="Q471" s="893">
        <f t="shared" si="30"/>
        <v>0</v>
      </c>
      <c r="R471" s="894">
        <f t="shared" si="31"/>
        <v>2</v>
      </c>
    </row>
    <row r="472" spans="1:18" s="904" customFormat="1">
      <c r="A472" s="895"/>
      <c r="B472" s="896"/>
      <c r="C472" s="897"/>
      <c r="D472" s="897"/>
      <c r="E472" s="898" t="s">
        <v>276</v>
      </c>
      <c r="F472" s="927"/>
      <c r="G472" s="928"/>
      <c r="H472" s="901"/>
      <c r="I472" s="902"/>
      <c r="J472" s="902"/>
      <c r="K472" s="912" t="s">
        <v>274</v>
      </c>
      <c r="L472" s="902"/>
      <c r="M472" s="902"/>
      <c r="N472" s="902"/>
      <c r="O472" s="892">
        <f t="shared" si="28"/>
        <v>0</v>
      </c>
      <c r="P472" s="903">
        <f t="shared" si="29"/>
        <v>1</v>
      </c>
      <c r="Q472" s="893">
        <f t="shared" si="30"/>
        <v>2</v>
      </c>
      <c r="R472" s="894">
        <f t="shared" si="31"/>
        <v>0</v>
      </c>
    </row>
    <row r="473" spans="1:18">
      <c r="A473" s="905"/>
      <c r="B473" s="906"/>
      <c r="C473" s="907">
        <v>735</v>
      </c>
      <c r="D473" s="907" t="s">
        <v>12</v>
      </c>
      <c r="E473" s="908" t="s">
        <v>4065</v>
      </c>
      <c r="F473" s="909" t="s">
        <v>2674</v>
      </c>
      <c r="G473" s="910"/>
      <c r="H473" s="911">
        <v>4.3600000000000003</v>
      </c>
      <c r="I473" s="912"/>
      <c r="J473" s="912"/>
      <c r="K473" s="912">
        <f>VLOOKUP(E473,ĐMNC!$A$7:$F$67,4,0)</f>
        <v>232803</v>
      </c>
      <c r="L473" s="912">
        <f>H473*K473</f>
        <v>1015021.0800000001</v>
      </c>
      <c r="M473" s="912"/>
      <c r="N473" s="912"/>
      <c r="O473" s="892">
        <f t="shared" si="28"/>
        <v>0</v>
      </c>
      <c r="P473" s="903">
        <f t="shared" si="29"/>
        <v>1</v>
      </c>
      <c r="Q473" s="893">
        <f t="shared" si="30"/>
        <v>1</v>
      </c>
      <c r="R473" s="894">
        <f t="shared" si="31"/>
        <v>0</v>
      </c>
    </row>
    <row r="474" spans="1:18" s="847" customFormat="1">
      <c r="A474" s="905"/>
      <c r="B474" s="945" t="s">
        <v>1047</v>
      </c>
      <c r="C474" s="915"/>
      <c r="D474" s="915"/>
      <c r="E474" s="916" t="s">
        <v>4081</v>
      </c>
      <c r="F474" s="917" t="s">
        <v>139</v>
      </c>
      <c r="G474" s="918"/>
      <c r="H474" s="919"/>
      <c r="I474" s="920"/>
      <c r="J474" s="891">
        <f>SUM(J475:J476)</f>
        <v>0</v>
      </c>
      <c r="K474" s="891"/>
      <c r="L474" s="891">
        <f>SUM(L475:L476)</f>
        <v>1196607.42</v>
      </c>
      <c r="M474" s="891"/>
      <c r="N474" s="891">
        <f>SUM(N475:N476)</f>
        <v>0</v>
      </c>
      <c r="O474" s="892">
        <f t="shared" si="28"/>
        <v>1</v>
      </c>
      <c r="P474" s="903">
        <f t="shared" si="29"/>
        <v>0</v>
      </c>
      <c r="Q474" s="893">
        <f t="shared" si="30"/>
        <v>0</v>
      </c>
      <c r="R474" s="894">
        <f t="shared" si="31"/>
        <v>2</v>
      </c>
    </row>
    <row r="475" spans="1:18" s="904" customFormat="1">
      <c r="A475" s="895"/>
      <c r="B475" s="896"/>
      <c r="C475" s="897"/>
      <c r="D475" s="897"/>
      <c r="E475" s="898" t="s">
        <v>276</v>
      </c>
      <c r="F475" s="927"/>
      <c r="G475" s="928"/>
      <c r="H475" s="901"/>
      <c r="I475" s="902"/>
      <c r="J475" s="902"/>
      <c r="K475" s="912" t="s">
        <v>274</v>
      </c>
      <c r="L475" s="902"/>
      <c r="M475" s="902"/>
      <c r="N475" s="902"/>
      <c r="O475" s="892">
        <f t="shared" si="28"/>
        <v>0</v>
      </c>
      <c r="P475" s="903">
        <f t="shared" si="29"/>
        <v>1</v>
      </c>
      <c r="Q475" s="893">
        <f t="shared" si="30"/>
        <v>2</v>
      </c>
      <c r="R475" s="894">
        <f t="shared" si="31"/>
        <v>0</v>
      </c>
    </row>
    <row r="476" spans="1:18">
      <c r="A476" s="905"/>
      <c r="B476" s="906"/>
      <c r="C476" s="907">
        <v>735</v>
      </c>
      <c r="D476" s="907" t="s">
        <v>12</v>
      </c>
      <c r="E476" s="908" t="s">
        <v>4065</v>
      </c>
      <c r="F476" s="909" t="s">
        <v>2674</v>
      </c>
      <c r="G476" s="910"/>
      <c r="H476" s="911">
        <v>5.14</v>
      </c>
      <c r="I476" s="912"/>
      <c r="J476" s="912"/>
      <c r="K476" s="912">
        <f>VLOOKUP(E476,ĐMNC!$A$7:$F$67,4,0)</f>
        <v>232803</v>
      </c>
      <c r="L476" s="912">
        <f>H476*K476</f>
        <v>1196607.42</v>
      </c>
      <c r="M476" s="912"/>
      <c r="N476" s="912"/>
      <c r="O476" s="892">
        <f t="shared" si="28"/>
        <v>0</v>
      </c>
      <c r="P476" s="903">
        <f t="shared" si="29"/>
        <v>1</v>
      </c>
      <c r="Q476" s="893">
        <f t="shared" si="30"/>
        <v>1</v>
      </c>
      <c r="R476" s="894">
        <f t="shared" si="31"/>
        <v>0</v>
      </c>
    </row>
    <row r="477" spans="1:18" s="847" customFormat="1">
      <c r="A477" s="905"/>
      <c r="B477" s="914" t="s">
        <v>1049</v>
      </c>
      <c r="C477" s="915"/>
      <c r="D477" s="915"/>
      <c r="E477" s="916" t="s">
        <v>4082</v>
      </c>
      <c r="F477" s="917" t="s">
        <v>139</v>
      </c>
      <c r="G477" s="918"/>
      <c r="H477" s="919"/>
      <c r="I477" s="920"/>
      <c r="J477" s="891">
        <f>SUM(J478:J479)</f>
        <v>0</v>
      </c>
      <c r="K477" s="891"/>
      <c r="L477" s="891">
        <f>SUM(L478:L479)</f>
        <v>1413114.21</v>
      </c>
      <c r="M477" s="891"/>
      <c r="N477" s="891">
        <f>SUM(N478:N479)</f>
        <v>0</v>
      </c>
      <c r="O477" s="892">
        <f t="shared" si="28"/>
        <v>1</v>
      </c>
      <c r="P477" s="903">
        <f t="shared" si="29"/>
        <v>0</v>
      </c>
      <c r="Q477" s="893">
        <f t="shared" si="30"/>
        <v>0</v>
      </c>
      <c r="R477" s="894">
        <f t="shared" si="31"/>
        <v>2</v>
      </c>
    </row>
    <row r="478" spans="1:18" s="904" customFormat="1">
      <c r="A478" s="895"/>
      <c r="B478" s="896"/>
      <c r="C478" s="897"/>
      <c r="D478" s="897"/>
      <c r="E478" s="898" t="s">
        <v>276</v>
      </c>
      <c r="F478" s="927"/>
      <c r="G478" s="928"/>
      <c r="H478" s="901"/>
      <c r="I478" s="902"/>
      <c r="J478" s="902"/>
      <c r="K478" s="912" t="s">
        <v>274</v>
      </c>
      <c r="L478" s="902"/>
      <c r="M478" s="902"/>
      <c r="N478" s="902"/>
      <c r="O478" s="892">
        <f t="shared" si="28"/>
        <v>0</v>
      </c>
      <c r="P478" s="903">
        <f t="shared" si="29"/>
        <v>1</v>
      </c>
      <c r="Q478" s="893">
        <f t="shared" si="30"/>
        <v>2</v>
      </c>
      <c r="R478" s="894">
        <f t="shared" si="31"/>
        <v>0</v>
      </c>
    </row>
    <row r="479" spans="1:18">
      <c r="A479" s="905"/>
      <c r="B479" s="906"/>
      <c r="C479" s="907">
        <v>735</v>
      </c>
      <c r="D479" s="907" t="s">
        <v>12</v>
      </c>
      <c r="E479" s="908" t="s">
        <v>4065</v>
      </c>
      <c r="F479" s="909" t="s">
        <v>2674</v>
      </c>
      <c r="G479" s="910"/>
      <c r="H479" s="911">
        <v>6.07</v>
      </c>
      <c r="I479" s="912"/>
      <c r="J479" s="912"/>
      <c r="K479" s="912">
        <f>VLOOKUP(E479,ĐMNC!$A$7:$F$67,4,0)</f>
        <v>232803</v>
      </c>
      <c r="L479" s="912">
        <f>H479*K479</f>
        <v>1413114.21</v>
      </c>
      <c r="M479" s="912"/>
      <c r="N479" s="912"/>
      <c r="O479" s="892">
        <f t="shared" si="28"/>
        <v>0</v>
      </c>
      <c r="P479" s="903">
        <f t="shared" si="29"/>
        <v>1</v>
      </c>
      <c r="Q479" s="893">
        <f t="shared" si="30"/>
        <v>1</v>
      </c>
      <c r="R479" s="894">
        <f t="shared" si="31"/>
        <v>0</v>
      </c>
    </row>
    <row r="480" spans="1:18" s="847" customFormat="1">
      <c r="A480" s="905"/>
      <c r="B480" s="914" t="s">
        <v>1051</v>
      </c>
      <c r="C480" s="915"/>
      <c r="D480" s="915"/>
      <c r="E480" s="916" t="s">
        <v>4083</v>
      </c>
      <c r="F480" s="917" t="s">
        <v>139</v>
      </c>
      <c r="G480" s="918"/>
      <c r="H480" s="919"/>
      <c r="I480" s="920"/>
      <c r="J480" s="891">
        <f>SUM(J481:J482)</f>
        <v>0</v>
      </c>
      <c r="K480" s="891"/>
      <c r="L480" s="891">
        <f>SUM(L481:L482)</f>
        <v>488886.30000000005</v>
      </c>
      <c r="M480" s="891"/>
      <c r="N480" s="891">
        <f>SUM(N481:N482)</f>
        <v>0</v>
      </c>
      <c r="O480" s="892">
        <f t="shared" si="28"/>
        <v>1</v>
      </c>
      <c r="P480" s="903">
        <f t="shared" si="29"/>
        <v>0</v>
      </c>
      <c r="Q480" s="893">
        <f t="shared" si="30"/>
        <v>0</v>
      </c>
      <c r="R480" s="894">
        <f t="shared" si="31"/>
        <v>2</v>
      </c>
    </row>
    <row r="481" spans="1:18" s="904" customFormat="1">
      <c r="A481" s="895"/>
      <c r="B481" s="922"/>
      <c r="C481" s="897"/>
      <c r="D481" s="897"/>
      <c r="E481" s="898" t="s">
        <v>276</v>
      </c>
      <c r="F481" s="927"/>
      <c r="G481" s="928"/>
      <c r="H481" s="901"/>
      <c r="I481" s="902"/>
      <c r="J481" s="902"/>
      <c r="K481" s="912" t="s">
        <v>274</v>
      </c>
      <c r="L481" s="902"/>
      <c r="M481" s="902"/>
      <c r="N481" s="902"/>
      <c r="O481" s="892">
        <f t="shared" si="28"/>
        <v>0</v>
      </c>
      <c r="P481" s="903">
        <f t="shared" si="29"/>
        <v>1</v>
      </c>
      <c r="Q481" s="893">
        <f t="shared" si="30"/>
        <v>2</v>
      </c>
      <c r="R481" s="894">
        <f t="shared" si="31"/>
        <v>0</v>
      </c>
    </row>
    <row r="482" spans="1:18">
      <c r="A482" s="905"/>
      <c r="B482" s="914"/>
      <c r="C482" s="907">
        <v>735</v>
      </c>
      <c r="D482" s="907" t="s">
        <v>12</v>
      </c>
      <c r="E482" s="908" t="s">
        <v>4065</v>
      </c>
      <c r="F482" s="909" t="s">
        <v>2674</v>
      </c>
      <c r="G482" s="910"/>
      <c r="H482" s="911">
        <v>2.1</v>
      </c>
      <c r="I482" s="912"/>
      <c r="J482" s="912"/>
      <c r="K482" s="912">
        <f>VLOOKUP(E482,ĐMNC!$A$7:$F$67,4,0)</f>
        <v>232803</v>
      </c>
      <c r="L482" s="912">
        <f>H482*K482</f>
        <v>488886.30000000005</v>
      </c>
      <c r="M482" s="912"/>
      <c r="N482" s="912"/>
      <c r="O482" s="892">
        <f t="shared" si="28"/>
        <v>0</v>
      </c>
      <c r="P482" s="903">
        <f t="shared" si="29"/>
        <v>1</v>
      </c>
      <c r="Q482" s="893">
        <f t="shared" si="30"/>
        <v>1</v>
      </c>
      <c r="R482" s="894">
        <f t="shared" si="31"/>
        <v>0</v>
      </c>
    </row>
    <row r="483" spans="1:18" s="847" customFormat="1">
      <c r="A483" s="905"/>
      <c r="B483" s="914" t="s">
        <v>1053</v>
      </c>
      <c r="C483" s="915"/>
      <c r="D483" s="915"/>
      <c r="E483" s="916" t="s">
        <v>4084</v>
      </c>
      <c r="F483" s="917" t="s">
        <v>139</v>
      </c>
      <c r="G483" s="918"/>
      <c r="H483" s="919"/>
      <c r="I483" s="920"/>
      <c r="J483" s="891">
        <f>SUM(J484:J485)</f>
        <v>0</v>
      </c>
      <c r="K483" s="891"/>
      <c r="L483" s="891">
        <f>SUM(L484:L485)</f>
        <v>696080.97000000009</v>
      </c>
      <c r="M483" s="891"/>
      <c r="N483" s="891">
        <f>SUM(N484:N485)</f>
        <v>0</v>
      </c>
      <c r="O483" s="892">
        <f t="shared" si="28"/>
        <v>1</v>
      </c>
      <c r="P483" s="903">
        <f t="shared" si="29"/>
        <v>0</v>
      </c>
      <c r="Q483" s="893">
        <f t="shared" si="30"/>
        <v>0</v>
      </c>
      <c r="R483" s="894">
        <f t="shared" si="31"/>
        <v>2</v>
      </c>
    </row>
    <row r="484" spans="1:18" s="904" customFormat="1">
      <c r="A484" s="895"/>
      <c r="B484" s="922"/>
      <c r="C484" s="897"/>
      <c r="D484" s="897"/>
      <c r="E484" s="898" t="s">
        <v>276</v>
      </c>
      <c r="F484" s="927"/>
      <c r="G484" s="928"/>
      <c r="H484" s="901"/>
      <c r="I484" s="902"/>
      <c r="J484" s="902"/>
      <c r="K484" s="912" t="s">
        <v>274</v>
      </c>
      <c r="L484" s="902"/>
      <c r="M484" s="902"/>
      <c r="N484" s="902"/>
      <c r="O484" s="892">
        <f t="shared" si="28"/>
        <v>0</v>
      </c>
      <c r="P484" s="903">
        <f t="shared" si="29"/>
        <v>1</v>
      </c>
      <c r="Q484" s="893">
        <f t="shared" si="30"/>
        <v>2</v>
      </c>
      <c r="R484" s="894">
        <f t="shared" si="31"/>
        <v>0</v>
      </c>
    </row>
    <row r="485" spans="1:18">
      <c r="A485" s="905"/>
      <c r="B485" s="914"/>
      <c r="C485" s="907">
        <v>735</v>
      </c>
      <c r="D485" s="907" t="s">
        <v>12</v>
      </c>
      <c r="E485" s="908" t="s">
        <v>4065</v>
      </c>
      <c r="F485" s="909" t="s">
        <v>2674</v>
      </c>
      <c r="G485" s="910"/>
      <c r="H485" s="911">
        <v>2.99</v>
      </c>
      <c r="I485" s="912"/>
      <c r="J485" s="912"/>
      <c r="K485" s="912">
        <f>VLOOKUP(E485,ĐMNC!$A$7:$F$67,4,0)</f>
        <v>232803</v>
      </c>
      <c r="L485" s="912">
        <f>H485*K485</f>
        <v>696080.97000000009</v>
      </c>
      <c r="M485" s="912"/>
      <c r="N485" s="912"/>
      <c r="O485" s="892">
        <f t="shared" si="28"/>
        <v>0</v>
      </c>
      <c r="P485" s="903">
        <f t="shared" si="29"/>
        <v>1</v>
      </c>
      <c r="Q485" s="893">
        <f t="shared" si="30"/>
        <v>1</v>
      </c>
      <c r="R485" s="894">
        <f t="shared" si="31"/>
        <v>0</v>
      </c>
    </row>
    <row r="486" spans="1:18" s="847" customFormat="1">
      <c r="A486" s="905"/>
      <c r="B486" s="914" t="s">
        <v>1055</v>
      </c>
      <c r="C486" s="915"/>
      <c r="D486" s="915"/>
      <c r="E486" s="916" t="s">
        <v>4085</v>
      </c>
      <c r="F486" s="917" t="s">
        <v>139</v>
      </c>
      <c r="G486" s="918"/>
      <c r="H486" s="919"/>
      <c r="I486" s="920"/>
      <c r="J486" s="891">
        <f>SUM(J487:J488)</f>
        <v>0</v>
      </c>
      <c r="K486" s="891"/>
      <c r="L486" s="891">
        <f>SUM(L487:L488)</f>
        <v>873011.25</v>
      </c>
      <c r="M486" s="891"/>
      <c r="N486" s="891">
        <f>SUM(N487:N488)</f>
        <v>0</v>
      </c>
      <c r="O486" s="892">
        <f t="shared" si="28"/>
        <v>1</v>
      </c>
      <c r="P486" s="903">
        <f t="shared" si="29"/>
        <v>0</v>
      </c>
      <c r="Q486" s="893">
        <f t="shared" si="30"/>
        <v>0</v>
      </c>
      <c r="R486" s="894">
        <f t="shared" si="31"/>
        <v>2</v>
      </c>
    </row>
    <row r="487" spans="1:18" s="904" customFormat="1">
      <c r="A487" s="895"/>
      <c r="B487" s="922"/>
      <c r="C487" s="897"/>
      <c r="D487" s="897"/>
      <c r="E487" s="898" t="s">
        <v>276</v>
      </c>
      <c r="F487" s="927"/>
      <c r="G487" s="928"/>
      <c r="H487" s="901"/>
      <c r="I487" s="902"/>
      <c r="J487" s="902"/>
      <c r="K487" s="912" t="s">
        <v>274</v>
      </c>
      <c r="L487" s="902"/>
      <c r="M487" s="902"/>
      <c r="N487" s="902"/>
      <c r="O487" s="892">
        <f t="shared" si="28"/>
        <v>0</v>
      </c>
      <c r="P487" s="903">
        <f t="shared" si="29"/>
        <v>1</v>
      </c>
      <c r="Q487" s="893">
        <f t="shared" si="30"/>
        <v>2</v>
      </c>
      <c r="R487" s="894">
        <f t="shared" si="31"/>
        <v>0</v>
      </c>
    </row>
    <row r="488" spans="1:18">
      <c r="A488" s="905"/>
      <c r="B488" s="914"/>
      <c r="C488" s="907">
        <v>735</v>
      </c>
      <c r="D488" s="907" t="s">
        <v>12</v>
      </c>
      <c r="E488" s="908" t="s">
        <v>4065</v>
      </c>
      <c r="F488" s="909" t="s">
        <v>2674</v>
      </c>
      <c r="G488" s="910"/>
      <c r="H488" s="911">
        <v>3.75</v>
      </c>
      <c r="I488" s="912"/>
      <c r="J488" s="912"/>
      <c r="K488" s="912">
        <f>VLOOKUP(E488,ĐMNC!$A$7:$F$67,4,0)</f>
        <v>232803</v>
      </c>
      <c r="L488" s="912">
        <f>H488*K488</f>
        <v>873011.25</v>
      </c>
      <c r="M488" s="912"/>
      <c r="N488" s="912"/>
      <c r="O488" s="892">
        <f t="shared" si="28"/>
        <v>0</v>
      </c>
      <c r="P488" s="903">
        <f t="shared" si="29"/>
        <v>1</v>
      </c>
      <c r="Q488" s="893">
        <f t="shared" si="30"/>
        <v>1</v>
      </c>
      <c r="R488" s="894">
        <f t="shared" si="31"/>
        <v>0</v>
      </c>
    </row>
    <row r="489" spans="1:18" s="847" customFormat="1">
      <c r="A489" s="905"/>
      <c r="B489" s="914" t="s">
        <v>1057</v>
      </c>
      <c r="C489" s="915"/>
      <c r="D489" s="915"/>
      <c r="E489" s="916" t="s">
        <v>4086</v>
      </c>
      <c r="F489" s="917" t="s">
        <v>139</v>
      </c>
      <c r="G489" s="918"/>
      <c r="H489" s="919"/>
      <c r="I489" s="920"/>
      <c r="J489" s="891">
        <f>SUM(J490:J491)</f>
        <v>0</v>
      </c>
      <c r="K489" s="891"/>
      <c r="L489" s="891">
        <f>SUM(L490:L491)</f>
        <v>963804.41999999993</v>
      </c>
      <c r="M489" s="891"/>
      <c r="N489" s="891">
        <f>SUM(N490:N491)</f>
        <v>0</v>
      </c>
      <c r="O489" s="892">
        <f t="shared" si="28"/>
        <v>1</v>
      </c>
      <c r="P489" s="903">
        <f t="shared" si="29"/>
        <v>0</v>
      </c>
      <c r="Q489" s="893">
        <f t="shared" si="30"/>
        <v>0</v>
      </c>
      <c r="R489" s="894">
        <f t="shared" si="31"/>
        <v>2</v>
      </c>
    </row>
    <row r="490" spans="1:18" s="904" customFormat="1">
      <c r="A490" s="895"/>
      <c r="B490" s="922"/>
      <c r="C490" s="897"/>
      <c r="D490" s="897"/>
      <c r="E490" s="898" t="s">
        <v>276</v>
      </c>
      <c r="F490" s="927"/>
      <c r="G490" s="928"/>
      <c r="H490" s="901"/>
      <c r="I490" s="902"/>
      <c r="J490" s="902"/>
      <c r="K490" s="912" t="s">
        <v>274</v>
      </c>
      <c r="L490" s="902"/>
      <c r="M490" s="902"/>
      <c r="N490" s="902"/>
      <c r="O490" s="892">
        <f t="shared" si="28"/>
        <v>0</v>
      </c>
      <c r="P490" s="903">
        <f t="shared" si="29"/>
        <v>1</v>
      </c>
      <c r="Q490" s="893">
        <f t="shared" si="30"/>
        <v>2</v>
      </c>
      <c r="R490" s="894">
        <f t="shared" si="31"/>
        <v>0</v>
      </c>
    </row>
    <row r="491" spans="1:18">
      <c r="A491" s="905"/>
      <c r="B491" s="914"/>
      <c r="C491" s="907">
        <v>735</v>
      </c>
      <c r="D491" s="907" t="s">
        <v>12</v>
      </c>
      <c r="E491" s="908" t="s">
        <v>4065</v>
      </c>
      <c r="F491" s="909" t="s">
        <v>2674</v>
      </c>
      <c r="G491" s="910"/>
      <c r="H491" s="911">
        <v>4.1399999999999997</v>
      </c>
      <c r="I491" s="912"/>
      <c r="J491" s="912"/>
      <c r="K491" s="912">
        <f>VLOOKUP(E491,ĐMNC!$A$7:$F$67,4,0)</f>
        <v>232803</v>
      </c>
      <c r="L491" s="912">
        <f>H491*K491</f>
        <v>963804.41999999993</v>
      </c>
      <c r="M491" s="912"/>
      <c r="N491" s="912"/>
      <c r="O491" s="892">
        <f t="shared" si="28"/>
        <v>0</v>
      </c>
      <c r="P491" s="903">
        <f t="shared" si="29"/>
        <v>1</v>
      </c>
      <c r="Q491" s="893">
        <f t="shared" si="30"/>
        <v>1</v>
      </c>
      <c r="R491" s="894">
        <f t="shared" si="31"/>
        <v>0</v>
      </c>
    </row>
    <row r="492" spans="1:18" s="847" customFormat="1">
      <c r="A492" s="905"/>
      <c r="B492" s="914" t="s">
        <v>1059</v>
      </c>
      <c r="C492" s="915"/>
      <c r="D492" s="915"/>
      <c r="E492" s="916" t="s">
        <v>4087</v>
      </c>
      <c r="F492" s="917" t="s">
        <v>139</v>
      </c>
      <c r="G492" s="918"/>
      <c r="H492" s="919"/>
      <c r="I492" s="920"/>
      <c r="J492" s="891">
        <f>SUM(J493:J494)</f>
        <v>0</v>
      </c>
      <c r="K492" s="891"/>
      <c r="L492" s="891">
        <f>SUM(L493:L494)</f>
        <v>1052269.5599999998</v>
      </c>
      <c r="M492" s="891"/>
      <c r="N492" s="891">
        <f>SUM(N493:N494)</f>
        <v>0</v>
      </c>
      <c r="O492" s="892">
        <f t="shared" si="28"/>
        <v>1</v>
      </c>
      <c r="P492" s="903">
        <f t="shared" si="29"/>
        <v>0</v>
      </c>
      <c r="Q492" s="893">
        <f t="shared" si="30"/>
        <v>0</v>
      </c>
      <c r="R492" s="894">
        <f t="shared" si="31"/>
        <v>2</v>
      </c>
    </row>
    <row r="493" spans="1:18" s="904" customFormat="1">
      <c r="A493" s="895"/>
      <c r="B493" s="922"/>
      <c r="C493" s="897"/>
      <c r="D493" s="897"/>
      <c r="E493" s="898" t="s">
        <v>276</v>
      </c>
      <c r="F493" s="927"/>
      <c r="G493" s="928"/>
      <c r="H493" s="901"/>
      <c r="I493" s="902"/>
      <c r="J493" s="902"/>
      <c r="K493" s="912" t="s">
        <v>274</v>
      </c>
      <c r="L493" s="902"/>
      <c r="M493" s="902"/>
      <c r="N493" s="902"/>
      <c r="O493" s="892">
        <f t="shared" si="28"/>
        <v>0</v>
      </c>
      <c r="P493" s="903">
        <f t="shared" si="29"/>
        <v>1</v>
      </c>
      <c r="Q493" s="893">
        <f t="shared" si="30"/>
        <v>2</v>
      </c>
      <c r="R493" s="894">
        <f t="shared" si="31"/>
        <v>0</v>
      </c>
    </row>
    <row r="494" spans="1:18">
      <c r="A494" s="905"/>
      <c r="B494" s="914"/>
      <c r="C494" s="907">
        <v>735</v>
      </c>
      <c r="D494" s="907" t="s">
        <v>12</v>
      </c>
      <c r="E494" s="908" t="s">
        <v>4065</v>
      </c>
      <c r="F494" s="909" t="s">
        <v>2674</v>
      </c>
      <c r="G494" s="910"/>
      <c r="H494" s="911">
        <v>4.5199999999999996</v>
      </c>
      <c r="I494" s="912"/>
      <c r="J494" s="912"/>
      <c r="K494" s="912">
        <f>VLOOKUP(E494,ĐMNC!$A$7:$F$67,4,0)</f>
        <v>232803</v>
      </c>
      <c r="L494" s="912">
        <f>H494*K494</f>
        <v>1052269.5599999998</v>
      </c>
      <c r="M494" s="912"/>
      <c r="N494" s="912"/>
      <c r="O494" s="892">
        <f t="shared" si="28"/>
        <v>0</v>
      </c>
      <c r="P494" s="903">
        <f t="shared" si="29"/>
        <v>1</v>
      </c>
      <c r="Q494" s="893">
        <f t="shared" si="30"/>
        <v>1</v>
      </c>
      <c r="R494" s="894">
        <f t="shared" si="31"/>
        <v>0</v>
      </c>
    </row>
    <row r="495" spans="1:18" s="847" customFormat="1">
      <c r="A495" s="905"/>
      <c r="B495" s="914" t="s">
        <v>1061</v>
      </c>
      <c r="C495" s="915"/>
      <c r="D495" s="915"/>
      <c r="E495" s="916" t="s">
        <v>4088</v>
      </c>
      <c r="F495" s="917" t="s">
        <v>139</v>
      </c>
      <c r="G495" s="918"/>
      <c r="H495" s="919"/>
      <c r="I495" s="920"/>
      <c r="J495" s="891">
        <f>SUM(J496:J497)</f>
        <v>0</v>
      </c>
      <c r="K495" s="891"/>
      <c r="L495" s="891">
        <f>SUM(L496:L497)</f>
        <v>1347929.37</v>
      </c>
      <c r="M495" s="891"/>
      <c r="N495" s="891">
        <f>SUM(N496:N497)</f>
        <v>0</v>
      </c>
      <c r="O495" s="892">
        <f t="shared" si="28"/>
        <v>1</v>
      </c>
      <c r="P495" s="903">
        <f t="shared" si="29"/>
        <v>0</v>
      </c>
      <c r="Q495" s="893">
        <f t="shared" si="30"/>
        <v>0</v>
      </c>
      <c r="R495" s="894">
        <f t="shared" si="31"/>
        <v>2</v>
      </c>
    </row>
    <row r="496" spans="1:18" s="904" customFormat="1">
      <c r="A496" s="895"/>
      <c r="B496" s="922"/>
      <c r="C496" s="897"/>
      <c r="D496" s="897"/>
      <c r="E496" s="898" t="s">
        <v>276</v>
      </c>
      <c r="F496" s="927"/>
      <c r="G496" s="928"/>
      <c r="H496" s="901"/>
      <c r="I496" s="902"/>
      <c r="J496" s="902"/>
      <c r="K496" s="912" t="s">
        <v>274</v>
      </c>
      <c r="L496" s="902"/>
      <c r="M496" s="902"/>
      <c r="N496" s="902"/>
      <c r="O496" s="892">
        <f t="shared" si="28"/>
        <v>0</v>
      </c>
      <c r="P496" s="903">
        <f t="shared" si="29"/>
        <v>1</v>
      </c>
      <c r="Q496" s="893">
        <f t="shared" si="30"/>
        <v>2</v>
      </c>
      <c r="R496" s="894">
        <f t="shared" si="31"/>
        <v>0</v>
      </c>
    </row>
    <row r="497" spans="1:18">
      <c r="A497" s="905"/>
      <c r="B497" s="914"/>
      <c r="C497" s="907">
        <v>735</v>
      </c>
      <c r="D497" s="907" t="s">
        <v>12</v>
      </c>
      <c r="E497" s="908" t="s">
        <v>4065</v>
      </c>
      <c r="F497" s="909" t="s">
        <v>2674</v>
      </c>
      <c r="G497" s="910"/>
      <c r="H497" s="911">
        <v>5.79</v>
      </c>
      <c r="I497" s="912"/>
      <c r="J497" s="912"/>
      <c r="K497" s="912">
        <f>VLOOKUP(E497,ĐMNC!$A$7:$F$67,4,0)</f>
        <v>232803</v>
      </c>
      <c r="L497" s="912">
        <f>H497*K497</f>
        <v>1347929.37</v>
      </c>
      <c r="M497" s="912"/>
      <c r="N497" s="912"/>
      <c r="O497" s="892">
        <f t="shared" si="28"/>
        <v>0</v>
      </c>
      <c r="P497" s="903">
        <f t="shared" si="29"/>
        <v>1</v>
      </c>
      <c r="Q497" s="893">
        <f t="shared" si="30"/>
        <v>1</v>
      </c>
      <c r="R497" s="894">
        <f t="shared" si="31"/>
        <v>0</v>
      </c>
    </row>
    <row r="498" spans="1:18" s="847" customFormat="1">
      <c r="A498" s="905"/>
      <c r="B498" s="914" t="s">
        <v>1063</v>
      </c>
      <c r="C498" s="915"/>
      <c r="D498" s="915"/>
      <c r="E498" s="916" t="s">
        <v>4089</v>
      </c>
      <c r="F498" s="917" t="s">
        <v>139</v>
      </c>
      <c r="G498" s="918"/>
      <c r="H498" s="919"/>
      <c r="I498" s="920"/>
      <c r="J498" s="891">
        <f>SUM(J499:J500)</f>
        <v>0</v>
      </c>
      <c r="K498" s="891"/>
      <c r="L498" s="891">
        <f>SUM(L499:L500)</f>
        <v>1590044.49</v>
      </c>
      <c r="M498" s="891"/>
      <c r="N498" s="891">
        <f>SUM(N499:N500)</f>
        <v>0</v>
      </c>
      <c r="O498" s="892">
        <f t="shared" si="28"/>
        <v>1</v>
      </c>
      <c r="P498" s="903">
        <f t="shared" si="29"/>
        <v>0</v>
      </c>
      <c r="Q498" s="893">
        <f t="shared" si="30"/>
        <v>0</v>
      </c>
      <c r="R498" s="894">
        <f t="shared" si="31"/>
        <v>2</v>
      </c>
    </row>
    <row r="499" spans="1:18" s="904" customFormat="1">
      <c r="A499" s="895"/>
      <c r="B499" s="896"/>
      <c r="C499" s="897"/>
      <c r="D499" s="897"/>
      <c r="E499" s="898" t="s">
        <v>276</v>
      </c>
      <c r="F499" s="927"/>
      <c r="G499" s="928"/>
      <c r="H499" s="901"/>
      <c r="I499" s="902"/>
      <c r="J499" s="902"/>
      <c r="K499" s="912" t="s">
        <v>274</v>
      </c>
      <c r="L499" s="902"/>
      <c r="M499" s="902"/>
      <c r="N499" s="902"/>
      <c r="O499" s="892">
        <f t="shared" si="28"/>
        <v>0</v>
      </c>
      <c r="P499" s="903">
        <f t="shared" si="29"/>
        <v>1</v>
      </c>
      <c r="Q499" s="893">
        <f t="shared" si="30"/>
        <v>2</v>
      </c>
      <c r="R499" s="894">
        <f t="shared" si="31"/>
        <v>0</v>
      </c>
    </row>
    <row r="500" spans="1:18">
      <c r="A500" s="905"/>
      <c r="B500" s="906"/>
      <c r="C500" s="907">
        <v>735</v>
      </c>
      <c r="D500" s="907" t="s">
        <v>12</v>
      </c>
      <c r="E500" s="908" t="s">
        <v>4065</v>
      </c>
      <c r="F500" s="909" t="s">
        <v>2674</v>
      </c>
      <c r="G500" s="910"/>
      <c r="H500" s="911">
        <v>6.83</v>
      </c>
      <c r="I500" s="912"/>
      <c r="J500" s="912"/>
      <c r="K500" s="912">
        <f>VLOOKUP(E500,ĐMNC!$A$7:$F$67,4,0)</f>
        <v>232803</v>
      </c>
      <c r="L500" s="912">
        <f>H500*K500</f>
        <v>1590044.49</v>
      </c>
      <c r="M500" s="912"/>
      <c r="N500" s="912"/>
      <c r="O500" s="892">
        <f t="shared" si="28"/>
        <v>0</v>
      </c>
      <c r="P500" s="903">
        <f t="shared" si="29"/>
        <v>1</v>
      </c>
      <c r="Q500" s="893">
        <f t="shared" si="30"/>
        <v>1</v>
      </c>
      <c r="R500" s="894">
        <f t="shared" si="31"/>
        <v>0</v>
      </c>
    </row>
    <row r="501" spans="1:18" s="847" customFormat="1">
      <c r="A501" s="905"/>
      <c r="B501" s="914" t="s">
        <v>1065</v>
      </c>
      <c r="C501" s="915"/>
      <c r="D501" s="915"/>
      <c r="E501" s="916" t="s">
        <v>4090</v>
      </c>
      <c r="F501" s="917" t="s">
        <v>139</v>
      </c>
      <c r="G501" s="918"/>
      <c r="H501" s="919"/>
      <c r="I501" s="920"/>
      <c r="J501" s="891">
        <f>SUM(J502:J503)</f>
        <v>0</v>
      </c>
      <c r="K501" s="891"/>
      <c r="L501" s="891">
        <f>SUM(L502:L503)</f>
        <v>542430.99</v>
      </c>
      <c r="M501" s="891"/>
      <c r="N501" s="891">
        <f>SUM(N502:N503)</f>
        <v>0</v>
      </c>
      <c r="O501" s="892">
        <f t="shared" si="28"/>
        <v>1</v>
      </c>
      <c r="P501" s="903">
        <f t="shared" si="29"/>
        <v>0</v>
      </c>
      <c r="Q501" s="893">
        <f t="shared" si="30"/>
        <v>0</v>
      </c>
      <c r="R501" s="894">
        <f t="shared" si="31"/>
        <v>2</v>
      </c>
    </row>
    <row r="502" spans="1:18" s="904" customFormat="1">
      <c r="A502" s="895"/>
      <c r="B502" s="922"/>
      <c r="C502" s="897"/>
      <c r="D502" s="897"/>
      <c r="E502" s="898" t="s">
        <v>276</v>
      </c>
      <c r="F502" s="927"/>
      <c r="G502" s="928"/>
      <c r="H502" s="901"/>
      <c r="I502" s="902"/>
      <c r="J502" s="902"/>
      <c r="K502" s="912" t="s">
        <v>274</v>
      </c>
      <c r="L502" s="902"/>
      <c r="M502" s="902"/>
      <c r="N502" s="902"/>
      <c r="O502" s="892">
        <f t="shared" si="28"/>
        <v>0</v>
      </c>
      <c r="P502" s="903">
        <f t="shared" si="29"/>
        <v>1</v>
      </c>
      <c r="Q502" s="893">
        <f t="shared" si="30"/>
        <v>2</v>
      </c>
      <c r="R502" s="894">
        <f t="shared" si="31"/>
        <v>0</v>
      </c>
    </row>
    <row r="503" spans="1:18">
      <c r="A503" s="905"/>
      <c r="B503" s="914"/>
      <c r="C503" s="907">
        <v>735</v>
      </c>
      <c r="D503" s="907" t="s">
        <v>12</v>
      </c>
      <c r="E503" s="908" t="s">
        <v>4065</v>
      </c>
      <c r="F503" s="909" t="s">
        <v>2674</v>
      </c>
      <c r="G503" s="910"/>
      <c r="H503" s="911">
        <v>2.33</v>
      </c>
      <c r="I503" s="912"/>
      <c r="J503" s="912"/>
      <c r="K503" s="912">
        <f>VLOOKUP(E503,ĐMNC!$A$7:$F$67,4,0)</f>
        <v>232803</v>
      </c>
      <c r="L503" s="912">
        <f>H503*K503</f>
        <v>542430.99</v>
      </c>
      <c r="M503" s="912"/>
      <c r="N503" s="912"/>
      <c r="O503" s="892">
        <f t="shared" si="28"/>
        <v>0</v>
      </c>
      <c r="P503" s="903">
        <f t="shared" si="29"/>
        <v>1</v>
      </c>
      <c r="Q503" s="893">
        <f t="shared" si="30"/>
        <v>1</v>
      </c>
      <c r="R503" s="894">
        <f t="shared" si="31"/>
        <v>0</v>
      </c>
    </row>
    <row r="504" spans="1:18" s="847" customFormat="1">
      <c r="A504" s="905"/>
      <c r="B504" s="914" t="s">
        <v>1067</v>
      </c>
      <c r="C504" s="915"/>
      <c r="D504" s="915"/>
      <c r="E504" s="916" t="s">
        <v>4091</v>
      </c>
      <c r="F504" s="917" t="s">
        <v>139</v>
      </c>
      <c r="G504" s="918"/>
      <c r="H504" s="919"/>
      <c r="I504" s="920"/>
      <c r="J504" s="891">
        <f>SUM(J505:J506)</f>
        <v>0</v>
      </c>
      <c r="K504" s="891"/>
      <c r="L504" s="891">
        <f>SUM(L505:L506)</f>
        <v>775233.99</v>
      </c>
      <c r="M504" s="891"/>
      <c r="N504" s="891">
        <f>SUM(N505:N506)</f>
        <v>0</v>
      </c>
      <c r="O504" s="892">
        <f t="shared" si="28"/>
        <v>1</v>
      </c>
      <c r="P504" s="903">
        <f t="shared" si="29"/>
        <v>0</v>
      </c>
      <c r="Q504" s="893">
        <f t="shared" si="30"/>
        <v>0</v>
      </c>
      <c r="R504" s="894">
        <f t="shared" si="31"/>
        <v>2</v>
      </c>
    </row>
    <row r="505" spans="1:18" s="904" customFormat="1">
      <c r="A505" s="895"/>
      <c r="B505" s="922"/>
      <c r="C505" s="897"/>
      <c r="D505" s="897"/>
      <c r="E505" s="898" t="s">
        <v>276</v>
      </c>
      <c r="F505" s="927"/>
      <c r="G505" s="928"/>
      <c r="H505" s="901"/>
      <c r="I505" s="902"/>
      <c r="J505" s="902"/>
      <c r="K505" s="912" t="s">
        <v>274</v>
      </c>
      <c r="L505" s="902"/>
      <c r="M505" s="902"/>
      <c r="N505" s="902"/>
      <c r="O505" s="892">
        <f t="shared" si="28"/>
        <v>0</v>
      </c>
      <c r="P505" s="903">
        <f t="shared" si="29"/>
        <v>1</v>
      </c>
      <c r="Q505" s="893">
        <f t="shared" si="30"/>
        <v>2</v>
      </c>
      <c r="R505" s="894">
        <f t="shared" si="31"/>
        <v>0</v>
      </c>
    </row>
    <row r="506" spans="1:18">
      <c r="A506" s="905"/>
      <c r="B506" s="914"/>
      <c r="C506" s="907">
        <v>735</v>
      </c>
      <c r="D506" s="907" t="s">
        <v>12</v>
      </c>
      <c r="E506" s="908" t="s">
        <v>4065</v>
      </c>
      <c r="F506" s="909" t="s">
        <v>2674</v>
      </c>
      <c r="G506" s="910"/>
      <c r="H506" s="911">
        <v>3.33</v>
      </c>
      <c r="I506" s="912"/>
      <c r="J506" s="912"/>
      <c r="K506" s="912">
        <f>VLOOKUP(E506,ĐMNC!$A$7:$F$67,4,0)</f>
        <v>232803</v>
      </c>
      <c r="L506" s="912">
        <f>H506*K506</f>
        <v>775233.99</v>
      </c>
      <c r="M506" s="912"/>
      <c r="N506" s="912"/>
      <c r="O506" s="892">
        <f t="shared" si="28"/>
        <v>0</v>
      </c>
      <c r="P506" s="903">
        <f t="shared" si="29"/>
        <v>1</v>
      </c>
      <c r="Q506" s="893">
        <f t="shared" si="30"/>
        <v>1</v>
      </c>
      <c r="R506" s="894">
        <f t="shared" si="31"/>
        <v>0</v>
      </c>
    </row>
    <row r="507" spans="1:18" s="847" customFormat="1">
      <c r="A507" s="905"/>
      <c r="B507" s="914" t="s">
        <v>1069</v>
      </c>
      <c r="C507" s="915"/>
      <c r="D507" s="915"/>
      <c r="E507" s="916" t="s">
        <v>4092</v>
      </c>
      <c r="F507" s="917" t="s">
        <v>139</v>
      </c>
      <c r="G507" s="918"/>
      <c r="H507" s="919"/>
      <c r="I507" s="920"/>
      <c r="J507" s="891">
        <f>SUM(J508:J509)</f>
        <v>0</v>
      </c>
      <c r="K507" s="891"/>
      <c r="L507" s="891">
        <f>SUM(L508:L509)</f>
        <v>970788.51</v>
      </c>
      <c r="M507" s="891"/>
      <c r="N507" s="891">
        <f>SUM(N508:N509)</f>
        <v>0</v>
      </c>
      <c r="O507" s="892">
        <f t="shared" si="28"/>
        <v>1</v>
      </c>
      <c r="P507" s="903">
        <f t="shared" si="29"/>
        <v>0</v>
      </c>
      <c r="Q507" s="893">
        <f t="shared" si="30"/>
        <v>0</v>
      </c>
      <c r="R507" s="894">
        <f t="shared" si="31"/>
        <v>2</v>
      </c>
    </row>
    <row r="508" spans="1:18" s="904" customFormat="1">
      <c r="A508" s="895"/>
      <c r="B508" s="922"/>
      <c r="C508" s="897"/>
      <c r="D508" s="897"/>
      <c r="E508" s="898" t="s">
        <v>276</v>
      </c>
      <c r="F508" s="927"/>
      <c r="G508" s="928"/>
      <c r="H508" s="901"/>
      <c r="I508" s="902"/>
      <c r="J508" s="902"/>
      <c r="K508" s="912" t="s">
        <v>274</v>
      </c>
      <c r="L508" s="902"/>
      <c r="M508" s="902"/>
      <c r="N508" s="902"/>
      <c r="O508" s="892">
        <f t="shared" si="28"/>
        <v>0</v>
      </c>
      <c r="P508" s="903">
        <f t="shared" si="29"/>
        <v>1</v>
      </c>
      <c r="Q508" s="893">
        <f t="shared" si="30"/>
        <v>2</v>
      </c>
      <c r="R508" s="894">
        <f t="shared" si="31"/>
        <v>0</v>
      </c>
    </row>
    <row r="509" spans="1:18">
      <c r="A509" s="905"/>
      <c r="B509" s="914"/>
      <c r="C509" s="907">
        <v>735</v>
      </c>
      <c r="D509" s="907" t="s">
        <v>12</v>
      </c>
      <c r="E509" s="908" t="s">
        <v>4065</v>
      </c>
      <c r="F509" s="909" t="s">
        <v>2674</v>
      </c>
      <c r="G509" s="910"/>
      <c r="H509" s="911">
        <v>4.17</v>
      </c>
      <c r="I509" s="912"/>
      <c r="J509" s="912"/>
      <c r="K509" s="912">
        <f>VLOOKUP(E509,ĐMNC!$A$7:$F$67,4,0)</f>
        <v>232803</v>
      </c>
      <c r="L509" s="912">
        <f>H509*K509</f>
        <v>970788.51</v>
      </c>
      <c r="M509" s="912"/>
      <c r="N509" s="912"/>
      <c r="O509" s="892">
        <f t="shared" si="28"/>
        <v>0</v>
      </c>
      <c r="P509" s="903">
        <f t="shared" si="29"/>
        <v>1</v>
      </c>
      <c r="Q509" s="893">
        <f t="shared" si="30"/>
        <v>1</v>
      </c>
      <c r="R509" s="894">
        <f t="shared" si="31"/>
        <v>0</v>
      </c>
    </row>
    <row r="510" spans="1:18" s="847" customFormat="1">
      <c r="A510" s="905"/>
      <c r="B510" s="914" t="s">
        <v>1071</v>
      </c>
      <c r="C510" s="915"/>
      <c r="D510" s="915"/>
      <c r="E510" s="916" t="s">
        <v>4093</v>
      </c>
      <c r="F510" s="917" t="s">
        <v>139</v>
      </c>
      <c r="G510" s="918"/>
      <c r="H510" s="919"/>
      <c r="I510" s="920"/>
      <c r="J510" s="891">
        <f>SUM(J511:J512)</f>
        <v>0</v>
      </c>
      <c r="K510" s="891"/>
      <c r="L510" s="891">
        <f>SUM(L511:L512)</f>
        <v>1070893.7999999998</v>
      </c>
      <c r="M510" s="891"/>
      <c r="N510" s="891">
        <f>SUM(N511:N512)</f>
        <v>0</v>
      </c>
      <c r="O510" s="892">
        <f t="shared" ref="O510:O574" si="32">IF(AND(B510&lt;&gt;"",D510=""),1,0)</f>
        <v>1</v>
      </c>
      <c r="P510" s="903">
        <f t="shared" ref="P510:P579" si="33">IF(O510=0,1,0)</f>
        <v>0</v>
      </c>
      <c r="Q510" s="893">
        <f t="shared" ref="Q510:Q579" si="34">IF(P510=0,0,P510+Q511)</f>
        <v>0</v>
      </c>
      <c r="R510" s="894">
        <f t="shared" ref="R510:R579" si="35">IF(Q510=0,Q511,0)</f>
        <v>2</v>
      </c>
    </row>
    <row r="511" spans="1:18" s="904" customFormat="1">
      <c r="A511" s="895"/>
      <c r="B511" s="922"/>
      <c r="C511" s="897"/>
      <c r="D511" s="897"/>
      <c r="E511" s="898" t="s">
        <v>276</v>
      </c>
      <c r="F511" s="927"/>
      <c r="G511" s="928"/>
      <c r="H511" s="901"/>
      <c r="I511" s="902"/>
      <c r="J511" s="902"/>
      <c r="K511" s="912" t="s">
        <v>274</v>
      </c>
      <c r="L511" s="902"/>
      <c r="M511" s="902"/>
      <c r="N511" s="902"/>
      <c r="O511" s="892">
        <f t="shared" si="32"/>
        <v>0</v>
      </c>
      <c r="P511" s="903">
        <f t="shared" si="33"/>
        <v>1</v>
      </c>
      <c r="Q511" s="893">
        <f t="shared" si="34"/>
        <v>2</v>
      </c>
      <c r="R511" s="894">
        <f t="shared" si="35"/>
        <v>0</v>
      </c>
    </row>
    <row r="512" spans="1:18">
      <c r="A512" s="905"/>
      <c r="B512" s="914"/>
      <c r="C512" s="907">
        <v>735</v>
      </c>
      <c r="D512" s="907" t="s">
        <v>12</v>
      </c>
      <c r="E512" s="908" t="s">
        <v>4065</v>
      </c>
      <c r="F512" s="909" t="s">
        <v>2674</v>
      </c>
      <c r="G512" s="910"/>
      <c r="H512" s="911">
        <v>4.5999999999999996</v>
      </c>
      <c r="I512" s="912"/>
      <c r="J512" s="912"/>
      <c r="K512" s="912">
        <f>VLOOKUP(E512,ĐMNC!$A$7:$F$67,4,0)</f>
        <v>232803</v>
      </c>
      <c r="L512" s="912">
        <f>H512*K512</f>
        <v>1070893.7999999998</v>
      </c>
      <c r="M512" s="912"/>
      <c r="N512" s="912"/>
      <c r="O512" s="892">
        <f t="shared" si="32"/>
        <v>0</v>
      </c>
      <c r="P512" s="903">
        <f t="shared" si="33"/>
        <v>1</v>
      </c>
      <c r="Q512" s="893">
        <f t="shared" si="34"/>
        <v>1</v>
      </c>
      <c r="R512" s="894">
        <f t="shared" si="35"/>
        <v>0</v>
      </c>
    </row>
    <row r="513" spans="1:18" s="847" customFormat="1">
      <c r="A513" s="905"/>
      <c r="B513" s="914" t="s">
        <v>1073</v>
      </c>
      <c r="C513" s="915"/>
      <c r="D513" s="915"/>
      <c r="E513" s="916" t="s">
        <v>4094</v>
      </c>
      <c r="F513" s="917" t="s">
        <v>139</v>
      </c>
      <c r="G513" s="918"/>
      <c r="H513" s="919"/>
      <c r="I513" s="920"/>
      <c r="J513" s="891">
        <f>SUM(J514:J515)</f>
        <v>0</v>
      </c>
      <c r="K513" s="891"/>
      <c r="L513" s="891">
        <f>SUM(L514:L515)</f>
        <v>1168671.0599999998</v>
      </c>
      <c r="M513" s="891"/>
      <c r="N513" s="891">
        <f>SUM(N514:N515)</f>
        <v>0</v>
      </c>
      <c r="O513" s="892">
        <f t="shared" si="32"/>
        <v>1</v>
      </c>
      <c r="P513" s="903">
        <f t="shared" si="33"/>
        <v>0</v>
      </c>
      <c r="Q513" s="893">
        <f t="shared" si="34"/>
        <v>0</v>
      </c>
      <c r="R513" s="894">
        <f t="shared" si="35"/>
        <v>2</v>
      </c>
    </row>
    <row r="514" spans="1:18" s="904" customFormat="1">
      <c r="A514" s="895"/>
      <c r="B514" s="922"/>
      <c r="C514" s="897"/>
      <c r="D514" s="897"/>
      <c r="E514" s="898" t="s">
        <v>276</v>
      </c>
      <c r="F514" s="927"/>
      <c r="G514" s="928"/>
      <c r="H514" s="901"/>
      <c r="I514" s="902"/>
      <c r="J514" s="902"/>
      <c r="K514" s="912" t="s">
        <v>274</v>
      </c>
      <c r="L514" s="902"/>
      <c r="M514" s="902"/>
      <c r="N514" s="902"/>
      <c r="O514" s="892">
        <f t="shared" si="32"/>
        <v>0</v>
      </c>
      <c r="P514" s="903">
        <f t="shared" si="33"/>
        <v>1</v>
      </c>
      <c r="Q514" s="893">
        <f t="shared" si="34"/>
        <v>2</v>
      </c>
      <c r="R514" s="894">
        <f t="shared" si="35"/>
        <v>0</v>
      </c>
    </row>
    <row r="515" spans="1:18">
      <c r="A515" s="905"/>
      <c r="B515" s="914"/>
      <c r="C515" s="907">
        <v>735</v>
      </c>
      <c r="D515" s="907" t="s">
        <v>12</v>
      </c>
      <c r="E515" s="908" t="s">
        <v>4065</v>
      </c>
      <c r="F515" s="909" t="s">
        <v>2674</v>
      </c>
      <c r="G515" s="910"/>
      <c r="H515" s="911">
        <v>5.0199999999999996</v>
      </c>
      <c r="I515" s="912"/>
      <c r="J515" s="912"/>
      <c r="K515" s="912">
        <f>VLOOKUP(E515,ĐMNC!$A$7:$F$67,4,0)</f>
        <v>232803</v>
      </c>
      <c r="L515" s="912">
        <f>H515*K515</f>
        <v>1168671.0599999998</v>
      </c>
      <c r="M515" s="912"/>
      <c r="N515" s="912"/>
      <c r="O515" s="892">
        <f t="shared" si="32"/>
        <v>0</v>
      </c>
      <c r="P515" s="903">
        <f t="shared" si="33"/>
        <v>1</v>
      </c>
      <c r="Q515" s="893">
        <f t="shared" si="34"/>
        <v>1</v>
      </c>
      <c r="R515" s="894">
        <f t="shared" si="35"/>
        <v>0</v>
      </c>
    </row>
    <row r="516" spans="1:18" s="847" customFormat="1">
      <c r="A516" s="905"/>
      <c r="B516" s="914" t="s">
        <v>1075</v>
      </c>
      <c r="C516" s="915"/>
      <c r="D516" s="915"/>
      <c r="E516" s="916" t="s">
        <v>4095</v>
      </c>
      <c r="F516" s="917" t="s">
        <v>139</v>
      </c>
      <c r="G516" s="918"/>
      <c r="H516" s="919"/>
      <c r="I516" s="920"/>
      <c r="J516" s="891">
        <f>SUM(J517:J518)</f>
        <v>0</v>
      </c>
      <c r="K516" s="891"/>
      <c r="L516" s="891">
        <f>SUM(L517:L518)</f>
        <v>1496923.29</v>
      </c>
      <c r="M516" s="891"/>
      <c r="N516" s="891">
        <f>SUM(N517:N518)</f>
        <v>0</v>
      </c>
      <c r="O516" s="892">
        <f t="shared" si="32"/>
        <v>1</v>
      </c>
      <c r="P516" s="903">
        <f t="shared" si="33"/>
        <v>0</v>
      </c>
      <c r="Q516" s="893">
        <f t="shared" si="34"/>
        <v>0</v>
      </c>
      <c r="R516" s="894">
        <f t="shared" si="35"/>
        <v>2</v>
      </c>
    </row>
    <row r="517" spans="1:18" s="904" customFormat="1">
      <c r="A517" s="895"/>
      <c r="B517" s="922"/>
      <c r="C517" s="897"/>
      <c r="D517" s="897"/>
      <c r="E517" s="898" t="s">
        <v>276</v>
      </c>
      <c r="F517" s="927"/>
      <c r="G517" s="928"/>
      <c r="H517" s="901"/>
      <c r="I517" s="902"/>
      <c r="J517" s="902"/>
      <c r="K517" s="912" t="s">
        <v>274</v>
      </c>
      <c r="L517" s="902"/>
      <c r="M517" s="902"/>
      <c r="N517" s="902"/>
      <c r="O517" s="892">
        <f t="shared" si="32"/>
        <v>0</v>
      </c>
      <c r="P517" s="903">
        <f t="shared" si="33"/>
        <v>1</v>
      </c>
      <c r="Q517" s="893">
        <f t="shared" si="34"/>
        <v>2</v>
      </c>
      <c r="R517" s="894">
        <f t="shared" si="35"/>
        <v>0</v>
      </c>
    </row>
    <row r="518" spans="1:18">
      <c r="A518" s="905"/>
      <c r="B518" s="914"/>
      <c r="C518" s="907">
        <v>735</v>
      </c>
      <c r="D518" s="907" t="s">
        <v>12</v>
      </c>
      <c r="E518" s="908" t="s">
        <v>4065</v>
      </c>
      <c r="F518" s="909" t="s">
        <v>2674</v>
      </c>
      <c r="G518" s="910"/>
      <c r="H518" s="911">
        <v>6.43</v>
      </c>
      <c r="I518" s="912"/>
      <c r="J518" s="912"/>
      <c r="K518" s="912">
        <f>VLOOKUP(E518,ĐMNC!$A$7:$F$67,4,0)</f>
        <v>232803</v>
      </c>
      <c r="L518" s="912">
        <f>H518*K518</f>
        <v>1496923.29</v>
      </c>
      <c r="M518" s="912"/>
      <c r="N518" s="912"/>
      <c r="O518" s="892">
        <f t="shared" si="32"/>
        <v>0</v>
      </c>
      <c r="P518" s="903">
        <f t="shared" si="33"/>
        <v>1</v>
      </c>
      <c r="Q518" s="893">
        <f t="shared" si="34"/>
        <v>1</v>
      </c>
      <c r="R518" s="894">
        <f t="shared" si="35"/>
        <v>0</v>
      </c>
    </row>
    <row r="519" spans="1:18" s="847" customFormat="1">
      <c r="A519" s="905"/>
      <c r="B519" s="914" t="s">
        <v>1077</v>
      </c>
      <c r="C519" s="915"/>
      <c r="D519" s="915"/>
      <c r="E519" s="916" t="s">
        <v>4096</v>
      </c>
      <c r="F519" s="917" t="s">
        <v>139</v>
      </c>
      <c r="G519" s="918"/>
      <c r="H519" s="919"/>
      <c r="I519" s="920"/>
      <c r="J519" s="891">
        <f>SUM(J520:J521)</f>
        <v>0</v>
      </c>
      <c r="K519" s="891"/>
      <c r="L519" s="891">
        <f>SUM(L520:L521)</f>
        <v>1766974.77</v>
      </c>
      <c r="M519" s="891"/>
      <c r="N519" s="891">
        <f>SUM(N520:N521)</f>
        <v>0</v>
      </c>
      <c r="O519" s="892">
        <f t="shared" si="32"/>
        <v>1</v>
      </c>
      <c r="P519" s="903">
        <f t="shared" si="33"/>
        <v>0</v>
      </c>
      <c r="Q519" s="893">
        <f t="shared" si="34"/>
        <v>0</v>
      </c>
      <c r="R519" s="894">
        <f t="shared" si="35"/>
        <v>2</v>
      </c>
    </row>
    <row r="520" spans="1:18" s="904" customFormat="1">
      <c r="A520" s="895"/>
      <c r="B520" s="922"/>
      <c r="C520" s="897"/>
      <c r="D520" s="897"/>
      <c r="E520" s="898" t="s">
        <v>276</v>
      </c>
      <c r="F520" s="927"/>
      <c r="G520" s="928"/>
      <c r="H520" s="901"/>
      <c r="I520" s="902"/>
      <c r="J520" s="902"/>
      <c r="K520" s="912" t="s">
        <v>274</v>
      </c>
      <c r="L520" s="902"/>
      <c r="M520" s="902"/>
      <c r="N520" s="902"/>
      <c r="O520" s="892">
        <f t="shared" si="32"/>
        <v>0</v>
      </c>
      <c r="P520" s="903">
        <f t="shared" si="33"/>
        <v>1</v>
      </c>
      <c r="Q520" s="893">
        <f t="shared" si="34"/>
        <v>2</v>
      </c>
      <c r="R520" s="894">
        <f t="shared" si="35"/>
        <v>0</v>
      </c>
    </row>
    <row r="521" spans="1:18">
      <c r="A521" s="905"/>
      <c r="B521" s="914"/>
      <c r="C521" s="907">
        <v>735</v>
      </c>
      <c r="D521" s="907" t="s">
        <v>12</v>
      </c>
      <c r="E521" s="908" t="s">
        <v>4065</v>
      </c>
      <c r="F521" s="909" t="s">
        <v>2674</v>
      </c>
      <c r="G521" s="910"/>
      <c r="H521" s="911">
        <v>7.59</v>
      </c>
      <c r="I521" s="912"/>
      <c r="J521" s="912"/>
      <c r="K521" s="912">
        <f>VLOOKUP(E521,ĐMNC!$A$7:$F$67,4,0)</f>
        <v>232803</v>
      </c>
      <c r="L521" s="912">
        <f>H521*K521</f>
        <v>1766974.77</v>
      </c>
      <c r="M521" s="912"/>
      <c r="N521" s="912"/>
      <c r="O521" s="892">
        <f t="shared" si="32"/>
        <v>0</v>
      </c>
      <c r="P521" s="903">
        <f t="shared" si="33"/>
        <v>1</v>
      </c>
      <c r="Q521" s="893">
        <f>IF(P521=0,0,P521+Q523)</f>
        <v>1</v>
      </c>
      <c r="R521" s="894">
        <f>IF(Q521=0,Q523,0)</f>
        <v>0</v>
      </c>
    </row>
    <row r="522" spans="1:18">
      <c r="A522" s="905"/>
      <c r="B522" s="946" t="s">
        <v>4097</v>
      </c>
      <c r="C522" s="907"/>
      <c r="D522" s="907"/>
      <c r="E522" s="887" t="s">
        <v>4098</v>
      </c>
      <c r="F522" s="909"/>
      <c r="G522" s="910"/>
      <c r="H522" s="911"/>
      <c r="I522" s="912"/>
      <c r="J522" s="912"/>
      <c r="K522" s="912"/>
      <c r="L522" s="912"/>
      <c r="M522" s="912"/>
      <c r="N522" s="912"/>
      <c r="O522" s="892"/>
      <c r="P522" s="903"/>
      <c r="Q522" s="893"/>
      <c r="R522" s="894"/>
    </row>
    <row r="523" spans="1:18" s="847" customFormat="1">
      <c r="A523" s="905" t="s">
        <v>4099</v>
      </c>
      <c r="B523" s="914" t="s">
        <v>4100</v>
      </c>
      <c r="C523" s="915"/>
      <c r="D523" s="915"/>
      <c r="E523" s="916" t="s">
        <v>4101</v>
      </c>
      <c r="F523" s="917" t="s">
        <v>4102</v>
      </c>
      <c r="G523" s="918"/>
      <c r="H523" s="919"/>
      <c r="I523" s="920"/>
      <c r="J523" s="891">
        <f>SUM(J524:J527)</f>
        <v>2945.44</v>
      </c>
      <c r="K523" s="891"/>
      <c r="L523" s="891">
        <f>SUM(L524:L527)</f>
        <v>232803</v>
      </c>
      <c r="M523" s="891"/>
      <c r="N523" s="891">
        <f>SUM(N524:N527)</f>
        <v>0</v>
      </c>
      <c r="O523" s="892">
        <f t="shared" si="32"/>
        <v>1</v>
      </c>
      <c r="P523" s="903">
        <f t="shared" si="33"/>
        <v>0</v>
      </c>
      <c r="Q523" s="893">
        <f t="shared" si="34"/>
        <v>0</v>
      </c>
      <c r="R523" s="894">
        <f t="shared" si="35"/>
        <v>4</v>
      </c>
    </row>
    <row r="524" spans="1:18" s="904" customFormat="1">
      <c r="A524" s="895"/>
      <c r="B524" s="922"/>
      <c r="C524" s="897"/>
      <c r="D524" s="897"/>
      <c r="E524" s="924" t="s">
        <v>108</v>
      </c>
      <c r="F524" s="899"/>
      <c r="G524" s="900"/>
      <c r="H524" s="901"/>
      <c r="I524" s="902"/>
      <c r="J524" s="902"/>
      <c r="K524" s="912" t="s">
        <v>274</v>
      </c>
      <c r="L524" s="902"/>
      <c r="M524" s="902"/>
      <c r="N524" s="902"/>
      <c r="O524" s="892">
        <f t="shared" si="32"/>
        <v>0</v>
      </c>
      <c r="P524" s="903">
        <f t="shared" si="33"/>
        <v>1</v>
      </c>
      <c r="Q524" s="893">
        <f t="shared" si="34"/>
        <v>4</v>
      </c>
      <c r="R524" s="894">
        <f t="shared" si="35"/>
        <v>0</v>
      </c>
    </row>
    <row r="525" spans="1:18">
      <c r="A525" s="905"/>
      <c r="B525" s="906"/>
      <c r="C525" s="907">
        <v>110</v>
      </c>
      <c r="D525" s="907" t="s">
        <v>279</v>
      </c>
      <c r="E525" s="925" t="s">
        <v>4017</v>
      </c>
      <c r="F525" s="926" t="s">
        <v>45</v>
      </c>
      <c r="G525" s="910"/>
      <c r="H525" s="911">
        <v>0.04</v>
      </c>
      <c r="I525" s="912">
        <f>VLOOKUP(E525,[3]VLP!$B$7:$K$300,10,0)</f>
        <v>73636</v>
      </c>
      <c r="J525" s="912">
        <f>I525*H525</f>
        <v>2945.44</v>
      </c>
      <c r="K525" s="912" t="s">
        <v>274</v>
      </c>
      <c r="L525" s="912"/>
      <c r="M525" s="912"/>
      <c r="N525" s="912"/>
      <c r="O525" s="892">
        <f t="shared" si="32"/>
        <v>0</v>
      </c>
      <c r="P525" s="903">
        <f t="shared" si="33"/>
        <v>1</v>
      </c>
      <c r="Q525" s="893">
        <f t="shared" si="34"/>
        <v>3</v>
      </c>
      <c r="R525" s="894">
        <f t="shared" si="35"/>
        <v>0</v>
      </c>
    </row>
    <row r="526" spans="1:18" s="904" customFormat="1">
      <c r="A526" s="895"/>
      <c r="B526" s="896"/>
      <c r="C526" s="897"/>
      <c r="D526" s="897"/>
      <c r="E526" s="898" t="s">
        <v>276</v>
      </c>
      <c r="F526" s="927"/>
      <c r="G526" s="928"/>
      <c r="H526" s="901"/>
      <c r="I526" s="902"/>
      <c r="J526" s="902"/>
      <c r="K526" s="912" t="s">
        <v>274</v>
      </c>
      <c r="L526" s="902"/>
      <c r="M526" s="902"/>
      <c r="N526" s="902"/>
      <c r="O526" s="892">
        <f t="shared" si="32"/>
        <v>0</v>
      </c>
      <c r="P526" s="903">
        <f t="shared" si="33"/>
        <v>1</v>
      </c>
      <c r="Q526" s="893">
        <f t="shared" si="34"/>
        <v>2</v>
      </c>
      <c r="R526" s="894">
        <f t="shared" si="35"/>
        <v>0</v>
      </c>
    </row>
    <row r="527" spans="1:18">
      <c r="A527" s="905"/>
      <c r="B527" s="906"/>
      <c r="C527" s="907">
        <v>735</v>
      </c>
      <c r="D527" s="907" t="s">
        <v>12</v>
      </c>
      <c r="E527" s="908" t="s">
        <v>4065</v>
      </c>
      <c r="F527" s="909" t="s">
        <v>2674</v>
      </c>
      <c r="G527" s="910"/>
      <c r="H527" s="911">
        <v>1</v>
      </c>
      <c r="I527" s="912"/>
      <c r="J527" s="912"/>
      <c r="K527" s="912">
        <f>VLOOKUP(E527,ĐMNC!$A$7:$F$67,4,0)</f>
        <v>232803</v>
      </c>
      <c r="L527" s="912">
        <f>H527*K527</f>
        <v>232803</v>
      </c>
      <c r="M527" s="912"/>
      <c r="N527" s="912"/>
      <c r="O527" s="892">
        <f t="shared" si="32"/>
        <v>0</v>
      </c>
      <c r="P527" s="903">
        <f t="shared" si="33"/>
        <v>1</v>
      </c>
      <c r="Q527" s="893">
        <f t="shared" si="34"/>
        <v>1</v>
      </c>
      <c r="R527" s="894">
        <f t="shared" si="35"/>
        <v>0</v>
      </c>
    </row>
    <row r="528" spans="1:18" s="847" customFormat="1">
      <c r="A528" s="905"/>
      <c r="B528" s="914" t="s">
        <v>4103</v>
      </c>
      <c r="C528" s="915"/>
      <c r="D528" s="915"/>
      <c r="E528" s="916" t="s">
        <v>4104</v>
      </c>
      <c r="F528" s="917" t="s">
        <v>4102</v>
      </c>
      <c r="G528" s="918"/>
      <c r="H528" s="919"/>
      <c r="I528" s="920"/>
      <c r="J528" s="891">
        <f>SUM(J529:J532)</f>
        <v>2209.08</v>
      </c>
      <c r="K528" s="891"/>
      <c r="L528" s="891">
        <f>SUM(L529:L532)</f>
        <v>174602.25</v>
      </c>
      <c r="M528" s="891"/>
      <c r="N528" s="891">
        <f>SUM(N529:N532)</f>
        <v>0</v>
      </c>
      <c r="O528" s="892">
        <f t="shared" si="32"/>
        <v>1</v>
      </c>
      <c r="P528" s="903">
        <f t="shared" si="33"/>
        <v>0</v>
      </c>
      <c r="Q528" s="893">
        <f t="shared" si="34"/>
        <v>0</v>
      </c>
      <c r="R528" s="894">
        <f t="shared" si="35"/>
        <v>4</v>
      </c>
    </row>
    <row r="529" spans="1:18" s="904" customFormat="1">
      <c r="A529" s="895"/>
      <c r="B529" s="896"/>
      <c r="C529" s="897"/>
      <c r="D529" s="897"/>
      <c r="E529" s="924" t="s">
        <v>108</v>
      </c>
      <c r="F529" s="899"/>
      <c r="G529" s="900"/>
      <c r="H529" s="901"/>
      <c r="I529" s="902"/>
      <c r="J529" s="902"/>
      <c r="K529" s="912" t="s">
        <v>274</v>
      </c>
      <c r="L529" s="902"/>
      <c r="M529" s="902"/>
      <c r="N529" s="902"/>
      <c r="O529" s="892">
        <f t="shared" si="32"/>
        <v>0</v>
      </c>
      <c r="P529" s="903">
        <f t="shared" si="33"/>
        <v>1</v>
      </c>
      <c r="Q529" s="893">
        <f t="shared" si="34"/>
        <v>4</v>
      </c>
      <c r="R529" s="894">
        <f t="shared" si="35"/>
        <v>0</v>
      </c>
    </row>
    <row r="530" spans="1:18">
      <c r="A530" s="905"/>
      <c r="B530" s="906"/>
      <c r="C530" s="907">
        <v>110</v>
      </c>
      <c r="D530" s="907" t="s">
        <v>279</v>
      </c>
      <c r="E530" s="925" t="s">
        <v>4017</v>
      </c>
      <c r="F530" s="926" t="s">
        <v>45</v>
      </c>
      <c r="G530" s="910"/>
      <c r="H530" s="911">
        <v>0.03</v>
      </c>
      <c r="I530" s="912">
        <f>VLOOKUP(E530,[3]VLP!$B$7:$K$300,10,0)</f>
        <v>73636</v>
      </c>
      <c r="J530" s="912">
        <f>I530*H530</f>
        <v>2209.08</v>
      </c>
      <c r="K530" s="912" t="s">
        <v>274</v>
      </c>
      <c r="L530" s="912"/>
      <c r="M530" s="912"/>
      <c r="N530" s="912"/>
      <c r="O530" s="892">
        <f t="shared" si="32"/>
        <v>0</v>
      </c>
      <c r="P530" s="903">
        <f t="shared" si="33"/>
        <v>1</v>
      </c>
      <c r="Q530" s="893">
        <f t="shared" si="34"/>
        <v>3</v>
      </c>
      <c r="R530" s="894">
        <f t="shared" si="35"/>
        <v>0</v>
      </c>
    </row>
    <row r="531" spans="1:18" s="904" customFormat="1">
      <c r="A531" s="895"/>
      <c r="B531" s="896"/>
      <c r="C531" s="897"/>
      <c r="D531" s="897"/>
      <c r="E531" s="898" t="s">
        <v>276</v>
      </c>
      <c r="F531" s="927"/>
      <c r="G531" s="928"/>
      <c r="H531" s="901"/>
      <c r="I531" s="902"/>
      <c r="J531" s="902"/>
      <c r="K531" s="912" t="s">
        <v>274</v>
      </c>
      <c r="L531" s="902"/>
      <c r="M531" s="902"/>
      <c r="N531" s="902"/>
      <c r="O531" s="892">
        <f t="shared" si="32"/>
        <v>0</v>
      </c>
      <c r="P531" s="903">
        <f t="shared" si="33"/>
        <v>1</v>
      </c>
      <c r="Q531" s="893">
        <f t="shared" si="34"/>
        <v>2</v>
      </c>
      <c r="R531" s="894">
        <f t="shared" si="35"/>
        <v>0</v>
      </c>
    </row>
    <row r="532" spans="1:18">
      <c r="A532" s="905"/>
      <c r="B532" s="906"/>
      <c r="C532" s="907">
        <v>735</v>
      </c>
      <c r="D532" s="907" t="s">
        <v>12</v>
      </c>
      <c r="E532" s="908" t="s">
        <v>4065</v>
      </c>
      <c r="F532" s="909" t="s">
        <v>2674</v>
      </c>
      <c r="G532" s="910"/>
      <c r="H532" s="911">
        <v>0.75</v>
      </c>
      <c r="I532" s="912"/>
      <c r="J532" s="912"/>
      <c r="K532" s="912">
        <f>VLOOKUP(E532,ĐMNC!$A$7:$F$67,4,0)</f>
        <v>232803</v>
      </c>
      <c r="L532" s="912">
        <f>H532*K532</f>
        <v>174602.25</v>
      </c>
      <c r="M532" s="912"/>
      <c r="N532" s="912"/>
      <c r="O532" s="892">
        <f t="shared" si="32"/>
        <v>0</v>
      </c>
      <c r="P532" s="903">
        <f t="shared" si="33"/>
        <v>1</v>
      </c>
      <c r="Q532" s="893">
        <f t="shared" si="34"/>
        <v>1</v>
      </c>
      <c r="R532" s="894">
        <f t="shared" si="35"/>
        <v>0</v>
      </c>
    </row>
    <row r="533" spans="1:18" s="847" customFormat="1">
      <c r="A533" s="905"/>
      <c r="B533" s="914" t="s">
        <v>4105</v>
      </c>
      <c r="C533" s="915"/>
      <c r="D533" s="915"/>
      <c r="E533" s="916" t="s">
        <v>4106</v>
      </c>
      <c r="F533" s="917" t="s">
        <v>4102</v>
      </c>
      <c r="G533" s="918"/>
      <c r="H533" s="919"/>
      <c r="I533" s="920"/>
      <c r="J533" s="891">
        <f>SUM(J534:J537)</f>
        <v>1840.9</v>
      </c>
      <c r="K533" s="891"/>
      <c r="L533" s="891">
        <f>SUM(L534:L537)</f>
        <v>153649.98000000001</v>
      </c>
      <c r="M533" s="891"/>
      <c r="N533" s="891">
        <f>SUM(N534:N537)</f>
        <v>0</v>
      </c>
      <c r="O533" s="892">
        <f t="shared" si="32"/>
        <v>1</v>
      </c>
      <c r="P533" s="903">
        <f t="shared" si="33"/>
        <v>0</v>
      </c>
      <c r="Q533" s="893">
        <f t="shared" si="34"/>
        <v>0</v>
      </c>
      <c r="R533" s="894">
        <f t="shared" si="35"/>
        <v>4</v>
      </c>
    </row>
    <row r="534" spans="1:18" s="904" customFormat="1">
      <c r="A534" s="895"/>
      <c r="B534" s="896"/>
      <c r="C534" s="897"/>
      <c r="D534" s="897"/>
      <c r="E534" s="924" t="s">
        <v>108</v>
      </c>
      <c r="F534" s="899"/>
      <c r="G534" s="900"/>
      <c r="H534" s="901"/>
      <c r="I534" s="902"/>
      <c r="J534" s="902"/>
      <c r="K534" s="912" t="s">
        <v>274</v>
      </c>
      <c r="L534" s="902"/>
      <c r="M534" s="902"/>
      <c r="N534" s="902"/>
      <c r="O534" s="892">
        <f t="shared" si="32"/>
        <v>0</v>
      </c>
      <c r="P534" s="903">
        <f t="shared" si="33"/>
        <v>1</v>
      </c>
      <c r="Q534" s="893">
        <f t="shared" si="34"/>
        <v>4</v>
      </c>
      <c r="R534" s="894">
        <f t="shared" si="35"/>
        <v>0</v>
      </c>
    </row>
    <row r="535" spans="1:18">
      <c r="A535" s="905"/>
      <c r="B535" s="906"/>
      <c r="C535" s="907">
        <v>110</v>
      </c>
      <c r="D535" s="907" t="s">
        <v>279</v>
      </c>
      <c r="E535" s="925" t="s">
        <v>4017</v>
      </c>
      <c r="F535" s="926" t="s">
        <v>45</v>
      </c>
      <c r="G535" s="910"/>
      <c r="H535" s="911">
        <v>2.5000000000000001E-2</v>
      </c>
      <c r="I535" s="912">
        <f>VLOOKUP(E535,[3]VLP!$B$7:$K$300,10,0)</f>
        <v>73636</v>
      </c>
      <c r="J535" s="912">
        <f>I535*H535</f>
        <v>1840.9</v>
      </c>
      <c r="K535" s="912" t="s">
        <v>274</v>
      </c>
      <c r="L535" s="912"/>
      <c r="M535" s="912"/>
      <c r="N535" s="912"/>
      <c r="O535" s="892">
        <f t="shared" si="32"/>
        <v>0</v>
      </c>
      <c r="P535" s="903">
        <f t="shared" si="33"/>
        <v>1</v>
      </c>
      <c r="Q535" s="893">
        <f t="shared" si="34"/>
        <v>3</v>
      </c>
      <c r="R535" s="894">
        <f t="shared" si="35"/>
        <v>0</v>
      </c>
    </row>
    <row r="536" spans="1:18" s="904" customFormat="1">
      <c r="A536" s="895"/>
      <c r="B536" s="896"/>
      <c r="C536" s="897"/>
      <c r="D536" s="897"/>
      <c r="E536" s="898" t="s">
        <v>276</v>
      </c>
      <c r="F536" s="927"/>
      <c r="G536" s="928"/>
      <c r="H536" s="901"/>
      <c r="I536" s="902"/>
      <c r="J536" s="902"/>
      <c r="K536" s="912" t="s">
        <v>274</v>
      </c>
      <c r="L536" s="902"/>
      <c r="M536" s="902"/>
      <c r="N536" s="902"/>
      <c r="O536" s="892">
        <f t="shared" si="32"/>
        <v>0</v>
      </c>
      <c r="P536" s="903">
        <f t="shared" si="33"/>
        <v>1</v>
      </c>
      <c r="Q536" s="893">
        <f t="shared" si="34"/>
        <v>2</v>
      </c>
      <c r="R536" s="894">
        <f t="shared" si="35"/>
        <v>0</v>
      </c>
    </row>
    <row r="537" spans="1:18">
      <c r="A537" s="905"/>
      <c r="B537" s="906"/>
      <c r="C537" s="907">
        <v>735</v>
      </c>
      <c r="D537" s="907" t="s">
        <v>12</v>
      </c>
      <c r="E537" s="908" t="s">
        <v>4065</v>
      </c>
      <c r="F537" s="909" t="s">
        <v>2674</v>
      </c>
      <c r="G537" s="910"/>
      <c r="H537" s="911">
        <v>0.66</v>
      </c>
      <c r="I537" s="912"/>
      <c r="J537" s="912"/>
      <c r="K537" s="912">
        <f>VLOOKUP(E537,ĐMNC!$A$7:$F$67,4,0)</f>
        <v>232803</v>
      </c>
      <c r="L537" s="912">
        <f>H537*K537</f>
        <v>153649.98000000001</v>
      </c>
      <c r="M537" s="912"/>
      <c r="N537" s="912"/>
      <c r="O537" s="892">
        <f t="shared" si="32"/>
        <v>0</v>
      </c>
      <c r="P537" s="903">
        <f t="shared" si="33"/>
        <v>1</v>
      </c>
      <c r="Q537" s="893">
        <f>IF(P537=0,0,P537+Q543)</f>
        <v>1</v>
      </c>
      <c r="R537" s="894">
        <f>IF(Q537=0,Q543,0)</f>
        <v>0</v>
      </c>
    </row>
    <row r="538" spans="1:18" s="847" customFormat="1">
      <c r="A538" s="905" t="s">
        <v>4099</v>
      </c>
      <c r="B538" s="914" t="s">
        <v>4107</v>
      </c>
      <c r="C538" s="915"/>
      <c r="D538" s="915"/>
      <c r="E538" s="916" t="s">
        <v>4108</v>
      </c>
      <c r="F538" s="917" t="s">
        <v>4109</v>
      </c>
      <c r="G538" s="918"/>
      <c r="H538" s="919"/>
      <c r="I538" s="920"/>
      <c r="J538" s="891">
        <f>SUM(J539:J540)</f>
        <v>0</v>
      </c>
      <c r="K538" s="891"/>
      <c r="L538" s="891">
        <f>SUM(L539:L540)</f>
        <v>93121.200000000012</v>
      </c>
      <c r="M538" s="891"/>
      <c r="N538" s="891">
        <f>SUM(N539:N540)</f>
        <v>0</v>
      </c>
      <c r="O538" s="892">
        <f>IF(AND(B538&lt;&gt;"",D538=""),1,0)</f>
        <v>1</v>
      </c>
      <c r="P538" s="903">
        <f>IF(O538=0,1,0)</f>
        <v>0</v>
      </c>
      <c r="Q538" s="893">
        <f>IF(P538=0,0,P538+#REF!)</f>
        <v>0</v>
      </c>
      <c r="R538" s="894">
        <f t="shared" si="35"/>
        <v>4</v>
      </c>
    </row>
    <row r="539" spans="1:18" s="904" customFormat="1">
      <c r="A539" s="895"/>
      <c r="B539" s="896"/>
      <c r="C539" s="897"/>
      <c r="D539" s="897"/>
      <c r="E539" s="898" t="s">
        <v>276</v>
      </c>
      <c r="F539" s="927"/>
      <c r="G539" s="928"/>
      <c r="H539" s="901"/>
      <c r="I539" s="902"/>
      <c r="J539" s="902"/>
      <c r="K539" s="912" t="s">
        <v>274</v>
      </c>
      <c r="L539" s="902"/>
      <c r="M539" s="902"/>
      <c r="N539" s="902"/>
      <c r="O539" s="892">
        <f>IF(AND(B539&lt;&gt;"",D539=""),1,0)</f>
        <v>0</v>
      </c>
      <c r="P539" s="903">
        <f>IF(O539=0,1,0)</f>
        <v>1</v>
      </c>
      <c r="Q539" s="893">
        <f>IF(P539=0,0,P539+Q540)</f>
        <v>4</v>
      </c>
      <c r="R539" s="894">
        <f>IF(Q539=0,Q540,0)</f>
        <v>0</v>
      </c>
    </row>
    <row r="540" spans="1:18">
      <c r="A540" s="905"/>
      <c r="B540" s="906"/>
      <c r="C540" s="907">
        <v>735</v>
      </c>
      <c r="D540" s="907" t="s">
        <v>12</v>
      </c>
      <c r="E540" s="908" t="s">
        <v>4065</v>
      </c>
      <c r="F540" s="909" t="s">
        <v>2674</v>
      </c>
      <c r="G540" s="910"/>
      <c r="H540" s="911">
        <v>0.4</v>
      </c>
      <c r="I540" s="912"/>
      <c r="J540" s="912"/>
      <c r="K540" s="912">
        <f>VLOOKUP(E540,ĐMNC!$A$7:$F$67,4,0)</f>
        <v>232803</v>
      </c>
      <c r="L540" s="912">
        <f>H540*K540</f>
        <v>93121.200000000012</v>
      </c>
      <c r="M540" s="912"/>
      <c r="N540" s="912"/>
      <c r="O540" s="892">
        <f>IF(AND(B540&lt;&gt;"",D540=""),1,0)</f>
        <v>0</v>
      </c>
      <c r="P540" s="903">
        <f>IF(O540=0,1,0)</f>
        <v>1</v>
      </c>
      <c r="Q540" s="893">
        <f>IF(P540=0,0,P540+Q541)</f>
        <v>3</v>
      </c>
      <c r="R540" s="894">
        <f>IF(Q540=0,Q541,0)</f>
        <v>0</v>
      </c>
    </row>
    <row r="541" spans="1:18" s="904" customFormat="1">
      <c r="A541" s="895"/>
      <c r="B541" s="896"/>
      <c r="C541" s="897"/>
      <c r="D541" s="897"/>
      <c r="E541" s="898" t="s">
        <v>3914</v>
      </c>
      <c r="F541" s="899"/>
      <c r="G541" s="928"/>
      <c r="H541" s="901"/>
      <c r="I541" s="902"/>
      <c r="J541" s="902"/>
      <c r="K541" s="912" t="s">
        <v>274</v>
      </c>
      <c r="L541" s="902"/>
      <c r="M541" s="902"/>
      <c r="N541" s="902"/>
      <c r="O541" s="892">
        <f>IF(AND(B541&lt;&gt;"",D541=""),1,0)</f>
        <v>0</v>
      </c>
      <c r="P541" s="903">
        <f>IF(O541=0,1,0)</f>
        <v>1</v>
      </c>
      <c r="Q541" s="893">
        <f>IF(P541=0,0,P541+Q542)</f>
        <v>2</v>
      </c>
      <c r="R541" s="894">
        <f>IF(Q541=0,Q542,0)</f>
        <v>0</v>
      </c>
    </row>
    <row r="542" spans="1:18">
      <c r="A542" s="905"/>
      <c r="B542" s="906" t="s">
        <v>4110</v>
      </c>
      <c r="C542" s="907"/>
      <c r="D542" s="907" t="s">
        <v>93</v>
      </c>
      <c r="E542" s="925" t="s">
        <v>4111</v>
      </c>
      <c r="F542" s="909" t="s">
        <v>2673</v>
      </c>
      <c r="G542" s="910"/>
      <c r="H542" s="911">
        <v>0.05</v>
      </c>
      <c r="I542" s="912"/>
      <c r="J542" s="912"/>
      <c r="K542" s="912"/>
      <c r="L542" s="912"/>
      <c r="M542" s="912">
        <f>VLOOKUP(B542,MTC!$B$9:$S$933,12,0)</f>
        <v>80222</v>
      </c>
      <c r="N542" s="912">
        <f>M542*H542</f>
        <v>4011.1000000000004</v>
      </c>
      <c r="O542" s="892">
        <f>IF(AND(B542&lt;&gt;"",D542=""),1,0)</f>
        <v>0</v>
      </c>
      <c r="P542" s="903">
        <f>IF(O542=0,1,0)</f>
        <v>1</v>
      </c>
      <c r="Q542" s="893">
        <f>IF(P542=0,0,P542+Q543)</f>
        <v>1</v>
      </c>
      <c r="R542" s="894">
        <f>IF(Q542=0,Q543,0)</f>
        <v>0</v>
      </c>
    </row>
    <row r="543" spans="1:18" s="847" customFormat="1">
      <c r="A543" s="905" t="s">
        <v>4112</v>
      </c>
      <c r="B543" s="914" t="s">
        <v>4113</v>
      </c>
      <c r="C543" s="915"/>
      <c r="D543" s="915"/>
      <c r="E543" s="916" t="s">
        <v>4114</v>
      </c>
      <c r="F543" s="917" t="s">
        <v>4115</v>
      </c>
      <c r="G543" s="918"/>
      <c r="H543" s="919"/>
      <c r="I543" s="920"/>
      <c r="J543" s="891">
        <f>SUM(J544:J550)</f>
        <v>53182</v>
      </c>
      <c r="K543" s="891"/>
      <c r="L543" s="891">
        <f>SUM(L544:L550)</f>
        <v>582007.5</v>
      </c>
      <c r="M543" s="891"/>
      <c r="N543" s="891">
        <f>SUM(N544:N550)</f>
        <v>16232.550000000001</v>
      </c>
      <c r="O543" s="892">
        <f t="shared" si="32"/>
        <v>1</v>
      </c>
      <c r="P543" s="903">
        <f t="shared" si="33"/>
        <v>0</v>
      </c>
      <c r="Q543" s="893">
        <f t="shared" si="34"/>
        <v>0</v>
      </c>
      <c r="R543" s="894">
        <f t="shared" si="35"/>
        <v>7</v>
      </c>
    </row>
    <row r="544" spans="1:18" s="904" customFormat="1">
      <c r="A544" s="895"/>
      <c r="B544" s="922"/>
      <c r="C544" s="897"/>
      <c r="D544" s="897"/>
      <c r="E544" s="924" t="s">
        <v>108</v>
      </c>
      <c r="F544" s="899"/>
      <c r="G544" s="900"/>
      <c r="H544" s="901"/>
      <c r="I544" s="902"/>
      <c r="J544" s="902"/>
      <c r="K544" s="912" t="s">
        <v>274</v>
      </c>
      <c r="L544" s="902"/>
      <c r="M544" s="902"/>
      <c r="N544" s="902"/>
      <c r="O544" s="892">
        <f t="shared" si="32"/>
        <v>0</v>
      </c>
      <c r="P544" s="903">
        <f t="shared" si="33"/>
        <v>1</v>
      </c>
      <c r="Q544" s="893">
        <f t="shared" si="34"/>
        <v>7</v>
      </c>
      <c r="R544" s="894">
        <f t="shared" si="35"/>
        <v>0</v>
      </c>
    </row>
    <row r="545" spans="1:18">
      <c r="A545" s="905"/>
      <c r="B545" s="906"/>
      <c r="C545" s="907">
        <v>109</v>
      </c>
      <c r="D545" s="907" t="s">
        <v>279</v>
      </c>
      <c r="E545" s="925" t="s">
        <v>4116</v>
      </c>
      <c r="F545" s="926" t="s">
        <v>45</v>
      </c>
      <c r="G545" s="910"/>
      <c r="H545" s="911">
        <v>1</v>
      </c>
      <c r="I545" s="912">
        <f>VLOOKUP(E545,[3]VLP!$B$7:$K$300,10,0)</f>
        <v>28182</v>
      </c>
      <c r="J545" s="912">
        <f>I545*H545</f>
        <v>28182</v>
      </c>
      <c r="K545" s="912" t="s">
        <v>274</v>
      </c>
      <c r="L545" s="912"/>
      <c r="M545" s="912"/>
      <c r="N545" s="912"/>
      <c r="O545" s="892">
        <f t="shared" si="32"/>
        <v>0</v>
      </c>
      <c r="P545" s="903">
        <f t="shared" si="33"/>
        <v>1</v>
      </c>
      <c r="Q545" s="893">
        <f t="shared" si="34"/>
        <v>6</v>
      </c>
      <c r="R545" s="894">
        <f t="shared" si="35"/>
        <v>0</v>
      </c>
    </row>
    <row r="546" spans="1:18">
      <c r="A546" s="905"/>
      <c r="B546" s="906"/>
      <c r="C546" s="907">
        <v>699</v>
      </c>
      <c r="D546" s="907" t="s">
        <v>279</v>
      </c>
      <c r="E546" s="925" t="s">
        <v>4006</v>
      </c>
      <c r="F546" s="926" t="s">
        <v>4007</v>
      </c>
      <c r="G546" s="910"/>
      <c r="H546" s="911">
        <v>5</v>
      </c>
      <c r="I546" s="912">
        <f>VLOOKUP(E546,[3]VLP!$B$7:$K$300,10,0)</f>
        <v>5000</v>
      </c>
      <c r="J546" s="912">
        <f>I546*H546</f>
        <v>25000</v>
      </c>
      <c r="K546" s="912" t="s">
        <v>274</v>
      </c>
      <c r="L546" s="912"/>
      <c r="M546" s="912"/>
      <c r="N546" s="912"/>
      <c r="O546" s="892">
        <f t="shared" si="32"/>
        <v>0</v>
      </c>
      <c r="P546" s="903">
        <f t="shared" si="33"/>
        <v>1</v>
      </c>
      <c r="Q546" s="893">
        <f t="shared" si="34"/>
        <v>5</v>
      </c>
      <c r="R546" s="894">
        <f t="shared" si="35"/>
        <v>0</v>
      </c>
    </row>
    <row r="547" spans="1:18" s="904" customFormat="1">
      <c r="A547" s="895"/>
      <c r="B547" s="896"/>
      <c r="C547" s="897"/>
      <c r="D547" s="897"/>
      <c r="E547" s="924" t="s">
        <v>276</v>
      </c>
      <c r="F547" s="927"/>
      <c r="G547" s="928"/>
      <c r="H547" s="901"/>
      <c r="I547" s="902"/>
      <c r="J547" s="902"/>
      <c r="K547" s="912" t="s">
        <v>274</v>
      </c>
      <c r="L547" s="902"/>
      <c r="M547" s="902"/>
      <c r="N547" s="902"/>
      <c r="O547" s="892">
        <f t="shared" si="32"/>
        <v>0</v>
      </c>
      <c r="P547" s="903">
        <f t="shared" si="33"/>
        <v>1</v>
      </c>
      <c r="Q547" s="893">
        <f t="shared" si="34"/>
        <v>4</v>
      </c>
      <c r="R547" s="894">
        <f t="shared" si="35"/>
        <v>0</v>
      </c>
    </row>
    <row r="548" spans="1:18">
      <c r="A548" s="905"/>
      <c r="B548" s="906"/>
      <c r="C548" s="907">
        <v>735</v>
      </c>
      <c r="D548" s="907" t="s">
        <v>12</v>
      </c>
      <c r="E548" s="908" t="s">
        <v>4065</v>
      </c>
      <c r="F548" s="909" t="s">
        <v>2674</v>
      </c>
      <c r="G548" s="910"/>
      <c r="H548" s="911">
        <v>2.5</v>
      </c>
      <c r="I548" s="912"/>
      <c r="J548" s="912"/>
      <c r="K548" s="912">
        <f>VLOOKUP(E548,ĐMNC!$A$7:$F$67,4,0)</f>
        <v>232803</v>
      </c>
      <c r="L548" s="912">
        <f>H548*K548</f>
        <v>582007.5</v>
      </c>
      <c r="M548" s="912"/>
      <c r="N548" s="912"/>
      <c r="O548" s="892">
        <f t="shared" si="32"/>
        <v>0</v>
      </c>
      <c r="P548" s="903">
        <f t="shared" si="33"/>
        <v>1</v>
      </c>
      <c r="Q548" s="893">
        <f t="shared" si="34"/>
        <v>3</v>
      </c>
      <c r="R548" s="894">
        <f t="shared" si="35"/>
        <v>0</v>
      </c>
    </row>
    <row r="549" spans="1:18" s="904" customFormat="1">
      <c r="A549" s="895"/>
      <c r="B549" s="896"/>
      <c r="C549" s="897"/>
      <c r="D549" s="897"/>
      <c r="E549" s="898" t="s">
        <v>3914</v>
      </c>
      <c r="F549" s="899"/>
      <c r="G549" s="928"/>
      <c r="H549" s="901"/>
      <c r="I549" s="902"/>
      <c r="J549" s="902"/>
      <c r="K549" s="912" t="s">
        <v>274</v>
      </c>
      <c r="L549" s="902"/>
      <c r="M549" s="902"/>
      <c r="N549" s="902"/>
      <c r="O549" s="892">
        <f t="shared" si="32"/>
        <v>0</v>
      </c>
      <c r="P549" s="903">
        <f t="shared" si="33"/>
        <v>1</v>
      </c>
      <c r="Q549" s="893">
        <f t="shared" si="34"/>
        <v>2</v>
      </c>
      <c r="R549" s="894">
        <f t="shared" si="35"/>
        <v>0</v>
      </c>
    </row>
    <row r="550" spans="1:18">
      <c r="A550" s="905"/>
      <c r="B550" s="906" t="s">
        <v>4117</v>
      </c>
      <c r="C550" s="907">
        <v>838</v>
      </c>
      <c r="D550" s="907" t="s">
        <v>93</v>
      </c>
      <c r="E550" s="925" t="s">
        <v>4118</v>
      </c>
      <c r="F550" s="909" t="s">
        <v>2673</v>
      </c>
      <c r="G550" s="910"/>
      <c r="H550" s="911">
        <v>0.05</v>
      </c>
      <c r="I550" s="912"/>
      <c r="J550" s="912"/>
      <c r="K550" s="912"/>
      <c r="L550" s="912"/>
      <c r="M550" s="912">
        <f>VLOOKUP(B550,MTC!$B$9:$S$933,12,0)</f>
        <v>324651</v>
      </c>
      <c r="N550" s="912">
        <f>M550*H550</f>
        <v>16232.550000000001</v>
      </c>
      <c r="O550" s="892">
        <f t="shared" si="32"/>
        <v>0</v>
      </c>
      <c r="P550" s="903">
        <f t="shared" si="33"/>
        <v>1</v>
      </c>
      <c r="Q550" s="893">
        <f t="shared" si="34"/>
        <v>1</v>
      </c>
      <c r="R550" s="894">
        <f t="shared" si="35"/>
        <v>0</v>
      </c>
    </row>
    <row r="551" spans="1:18" s="847" customFormat="1">
      <c r="A551" s="905"/>
      <c r="B551" s="914" t="s">
        <v>4119</v>
      </c>
      <c r="C551" s="915"/>
      <c r="D551" s="915"/>
      <c r="E551" s="916" t="s">
        <v>4120</v>
      </c>
      <c r="F551" s="917" t="s">
        <v>4115</v>
      </c>
      <c r="G551" s="918"/>
      <c r="H551" s="919"/>
      <c r="I551" s="920"/>
      <c r="J551" s="891">
        <f>SUM(J552:J558)</f>
        <v>53182</v>
      </c>
      <c r="K551" s="891"/>
      <c r="L551" s="891">
        <f>SUM(L552:L558)</f>
        <v>651848.39999999991</v>
      </c>
      <c r="M551" s="891"/>
      <c r="N551" s="891">
        <f>SUM(N552:N558)</f>
        <v>16232.550000000001</v>
      </c>
      <c r="O551" s="892">
        <f t="shared" si="32"/>
        <v>1</v>
      </c>
      <c r="P551" s="903">
        <f t="shared" si="33"/>
        <v>0</v>
      </c>
      <c r="Q551" s="893">
        <f t="shared" si="34"/>
        <v>0</v>
      </c>
      <c r="R551" s="894">
        <f t="shared" si="35"/>
        <v>7</v>
      </c>
    </row>
    <row r="552" spans="1:18" s="904" customFormat="1">
      <c r="A552" s="895"/>
      <c r="B552" s="896"/>
      <c r="C552" s="897"/>
      <c r="D552" s="897"/>
      <c r="E552" s="924" t="s">
        <v>108</v>
      </c>
      <c r="F552" s="899"/>
      <c r="G552" s="900"/>
      <c r="H552" s="901"/>
      <c r="I552" s="902"/>
      <c r="J552" s="902"/>
      <c r="K552" s="912" t="s">
        <v>274</v>
      </c>
      <c r="L552" s="902"/>
      <c r="M552" s="902"/>
      <c r="N552" s="902"/>
      <c r="O552" s="892">
        <f t="shared" si="32"/>
        <v>0</v>
      </c>
      <c r="P552" s="903">
        <f t="shared" si="33"/>
        <v>1</v>
      </c>
      <c r="Q552" s="893">
        <f t="shared" si="34"/>
        <v>7</v>
      </c>
      <c r="R552" s="894">
        <f t="shared" si="35"/>
        <v>0</v>
      </c>
    </row>
    <row r="553" spans="1:18">
      <c r="A553" s="905"/>
      <c r="B553" s="906"/>
      <c r="C553" s="907">
        <v>109</v>
      </c>
      <c r="D553" s="907" t="s">
        <v>279</v>
      </c>
      <c r="E553" s="925" t="s">
        <v>4116</v>
      </c>
      <c r="F553" s="926" t="s">
        <v>45</v>
      </c>
      <c r="G553" s="910"/>
      <c r="H553" s="911">
        <v>1</v>
      </c>
      <c r="I553" s="912">
        <f>VLOOKUP(E553,[3]VLP!$B$7:$K$300,10,0)</f>
        <v>28182</v>
      </c>
      <c r="J553" s="912">
        <f>I553*H553</f>
        <v>28182</v>
      </c>
      <c r="K553" s="912" t="s">
        <v>274</v>
      </c>
      <c r="L553" s="912"/>
      <c r="M553" s="912"/>
      <c r="N553" s="912"/>
      <c r="O553" s="892">
        <f t="shared" si="32"/>
        <v>0</v>
      </c>
      <c r="P553" s="903">
        <f t="shared" si="33"/>
        <v>1</v>
      </c>
      <c r="Q553" s="893">
        <f t="shared" si="34"/>
        <v>6</v>
      </c>
      <c r="R553" s="894">
        <f t="shared" si="35"/>
        <v>0</v>
      </c>
    </row>
    <row r="554" spans="1:18">
      <c r="A554" s="905"/>
      <c r="B554" s="906"/>
      <c r="C554" s="907">
        <v>699</v>
      </c>
      <c r="D554" s="907" t="s">
        <v>279</v>
      </c>
      <c r="E554" s="925" t="s">
        <v>4006</v>
      </c>
      <c r="F554" s="926" t="s">
        <v>4007</v>
      </c>
      <c r="G554" s="910"/>
      <c r="H554" s="911">
        <v>5</v>
      </c>
      <c r="I554" s="912">
        <f>VLOOKUP(E554,[3]VLP!$B$7:$K$300,10,0)</f>
        <v>5000</v>
      </c>
      <c r="J554" s="912">
        <f>I554*H554</f>
        <v>25000</v>
      </c>
      <c r="K554" s="912" t="s">
        <v>274</v>
      </c>
      <c r="L554" s="912"/>
      <c r="M554" s="912"/>
      <c r="N554" s="912"/>
      <c r="O554" s="892">
        <f t="shared" si="32"/>
        <v>0</v>
      </c>
      <c r="P554" s="903">
        <f t="shared" si="33"/>
        <v>1</v>
      </c>
      <c r="Q554" s="893">
        <f t="shared" si="34"/>
        <v>5</v>
      </c>
      <c r="R554" s="894">
        <f t="shared" si="35"/>
        <v>0</v>
      </c>
    </row>
    <row r="555" spans="1:18" s="904" customFormat="1">
      <c r="A555" s="895"/>
      <c r="B555" s="896"/>
      <c r="C555" s="897"/>
      <c r="D555" s="897"/>
      <c r="E555" s="924" t="s">
        <v>276</v>
      </c>
      <c r="F555" s="927"/>
      <c r="G555" s="928"/>
      <c r="H555" s="901"/>
      <c r="I555" s="902"/>
      <c r="J555" s="902"/>
      <c r="K555" s="912" t="s">
        <v>274</v>
      </c>
      <c r="L555" s="902"/>
      <c r="M555" s="902"/>
      <c r="N555" s="902"/>
      <c r="O555" s="892">
        <f t="shared" si="32"/>
        <v>0</v>
      </c>
      <c r="P555" s="903">
        <f t="shared" si="33"/>
        <v>1</v>
      </c>
      <c r="Q555" s="893">
        <f t="shared" si="34"/>
        <v>4</v>
      </c>
      <c r="R555" s="894">
        <f t="shared" si="35"/>
        <v>0</v>
      </c>
    </row>
    <row r="556" spans="1:18">
      <c r="A556" s="905"/>
      <c r="B556" s="906"/>
      <c r="C556" s="907">
        <v>735</v>
      </c>
      <c r="D556" s="907" t="s">
        <v>12</v>
      </c>
      <c r="E556" s="908" t="s">
        <v>4065</v>
      </c>
      <c r="F556" s="909" t="s">
        <v>2674</v>
      </c>
      <c r="G556" s="910"/>
      <c r="H556" s="911">
        <v>2.8</v>
      </c>
      <c r="I556" s="912"/>
      <c r="J556" s="912"/>
      <c r="K556" s="912">
        <f>VLOOKUP(E556,ĐMNC!$A$7:$F$67,4,0)</f>
        <v>232803</v>
      </c>
      <c r="L556" s="912">
        <f>H556*K556</f>
        <v>651848.39999999991</v>
      </c>
      <c r="M556" s="912"/>
      <c r="N556" s="912"/>
      <c r="O556" s="892">
        <f t="shared" si="32"/>
        <v>0</v>
      </c>
      <c r="P556" s="903">
        <f t="shared" si="33"/>
        <v>1</v>
      </c>
      <c r="Q556" s="893">
        <f t="shared" si="34"/>
        <v>3</v>
      </c>
      <c r="R556" s="894">
        <f t="shared" si="35"/>
        <v>0</v>
      </c>
    </row>
    <row r="557" spans="1:18" s="904" customFormat="1">
      <c r="A557" s="895"/>
      <c r="B557" s="896"/>
      <c r="C557" s="897"/>
      <c r="D557" s="897"/>
      <c r="E557" s="898" t="s">
        <v>3914</v>
      </c>
      <c r="F557" s="899"/>
      <c r="G557" s="928"/>
      <c r="H557" s="901"/>
      <c r="I557" s="902"/>
      <c r="J557" s="902"/>
      <c r="K557" s="912" t="s">
        <v>274</v>
      </c>
      <c r="L557" s="902"/>
      <c r="M557" s="902"/>
      <c r="N557" s="902"/>
      <c r="O557" s="892">
        <f t="shared" si="32"/>
        <v>0</v>
      </c>
      <c r="P557" s="903">
        <f t="shared" si="33"/>
        <v>1</v>
      </c>
      <c r="Q557" s="893">
        <f t="shared" si="34"/>
        <v>2</v>
      </c>
      <c r="R557" s="894">
        <f t="shared" si="35"/>
        <v>0</v>
      </c>
    </row>
    <row r="558" spans="1:18">
      <c r="A558" s="905"/>
      <c r="B558" s="906" t="s">
        <v>4117</v>
      </c>
      <c r="C558" s="907">
        <v>838</v>
      </c>
      <c r="D558" s="907" t="s">
        <v>93</v>
      </c>
      <c r="E558" s="925" t="s">
        <v>4118</v>
      </c>
      <c r="F558" s="909" t="s">
        <v>2673</v>
      </c>
      <c r="G558" s="910"/>
      <c r="H558" s="911">
        <v>0.05</v>
      </c>
      <c r="I558" s="912"/>
      <c r="J558" s="912"/>
      <c r="K558" s="912"/>
      <c r="L558" s="912"/>
      <c r="M558" s="912">
        <f>VLOOKUP(B558,MTC!$B$9:$S$933,12,0)</f>
        <v>324651</v>
      </c>
      <c r="N558" s="912">
        <f>M558*H558</f>
        <v>16232.550000000001</v>
      </c>
      <c r="O558" s="892">
        <f t="shared" si="32"/>
        <v>0</v>
      </c>
      <c r="P558" s="903">
        <f t="shared" si="33"/>
        <v>1</v>
      </c>
      <c r="Q558" s="893">
        <f t="shared" si="34"/>
        <v>1</v>
      </c>
      <c r="R558" s="894">
        <f t="shared" si="35"/>
        <v>0</v>
      </c>
    </row>
    <row r="559" spans="1:18" s="847" customFormat="1">
      <c r="A559" s="905"/>
      <c r="B559" s="914" t="s">
        <v>4121</v>
      </c>
      <c r="C559" s="915"/>
      <c r="D559" s="915"/>
      <c r="E559" s="916" t="s">
        <v>4122</v>
      </c>
      <c r="F559" s="917" t="s">
        <v>4115</v>
      </c>
      <c r="G559" s="918"/>
      <c r="H559" s="919"/>
      <c r="I559" s="920"/>
      <c r="J559" s="891">
        <f>SUM(J560:J566)</f>
        <v>53182</v>
      </c>
      <c r="K559" s="891"/>
      <c r="L559" s="891">
        <f>SUM(L560:L566)</f>
        <v>1019677.14</v>
      </c>
      <c r="M559" s="891"/>
      <c r="N559" s="891">
        <f>SUM(N560:N566)</f>
        <v>16232.550000000001</v>
      </c>
      <c r="O559" s="892">
        <f t="shared" si="32"/>
        <v>1</v>
      </c>
      <c r="P559" s="903">
        <f t="shared" si="33"/>
        <v>0</v>
      </c>
      <c r="Q559" s="893">
        <f t="shared" si="34"/>
        <v>0</v>
      </c>
      <c r="R559" s="894">
        <f t="shared" si="35"/>
        <v>7</v>
      </c>
    </row>
    <row r="560" spans="1:18" s="904" customFormat="1">
      <c r="A560" s="895"/>
      <c r="B560" s="896"/>
      <c r="C560" s="897"/>
      <c r="D560" s="897"/>
      <c r="E560" s="924" t="s">
        <v>108</v>
      </c>
      <c r="F560" s="899"/>
      <c r="G560" s="900"/>
      <c r="H560" s="901"/>
      <c r="I560" s="902"/>
      <c r="J560" s="902"/>
      <c r="K560" s="912" t="s">
        <v>274</v>
      </c>
      <c r="L560" s="902"/>
      <c r="M560" s="902"/>
      <c r="N560" s="902"/>
      <c r="O560" s="892">
        <f t="shared" si="32"/>
        <v>0</v>
      </c>
      <c r="P560" s="903">
        <f t="shared" si="33"/>
        <v>1</v>
      </c>
      <c r="Q560" s="893">
        <f t="shared" si="34"/>
        <v>7</v>
      </c>
      <c r="R560" s="894">
        <f t="shared" si="35"/>
        <v>0</v>
      </c>
    </row>
    <row r="561" spans="1:18">
      <c r="A561" s="905"/>
      <c r="B561" s="906"/>
      <c r="C561" s="907">
        <v>109</v>
      </c>
      <c r="D561" s="907" t="s">
        <v>279</v>
      </c>
      <c r="E561" s="925" t="s">
        <v>4116</v>
      </c>
      <c r="F561" s="926" t="s">
        <v>45</v>
      </c>
      <c r="G561" s="910"/>
      <c r="H561" s="911">
        <v>1</v>
      </c>
      <c r="I561" s="912">
        <f>VLOOKUP(E561,[3]VLP!$B$7:$K$300,10,0)</f>
        <v>28182</v>
      </c>
      <c r="J561" s="912">
        <f>I561*H561</f>
        <v>28182</v>
      </c>
      <c r="K561" s="912" t="s">
        <v>274</v>
      </c>
      <c r="L561" s="912"/>
      <c r="M561" s="912"/>
      <c r="N561" s="912"/>
      <c r="O561" s="892">
        <f t="shared" si="32"/>
        <v>0</v>
      </c>
      <c r="P561" s="903">
        <f t="shared" si="33"/>
        <v>1</v>
      </c>
      <c r="Q561" s="893">
        <f t="shared" si="34"/>
        <v>6</v>
      </c>
      <c r="R561" s="894">
        <f t="shared" si="35"/>
        <v>0</v>
      </c>
    </row>
    <row r="562" spans="1:18">
      <c r="A562" s="905"/>
      <c r="B562" s="906"/>
      <c r="C562" s="907">
        <v>699</v>
      </c>
      <c r="D562" s="907" t="s">
        <v>279</v>
      </c>
      <c r="E562" s="925" t="s">
        <v>4006</v>
      </c>
      <c r="F562" s="926" t="s">
        <v>4007</v>
      </c>
      <c r="G562" s="910"/>
      <c r="H562" s="911">
        <v>5</v>
      </c>
      <c r="I562" s="912">
        <f>VLOOKUP(E562,[3]VLP!$B$7:$K$300,10,0)</f>
        <v>5000</v>
      </c>
      <c r="J562" s="912">
        <f>I562*H562</f>
        <v>25000</v>
      </c>
      <c r="K562" s="912" t="s">
        <v>274</v>
      </c>
      <c r="L562" s="912"/>
      <c r="M562" s="912"/>
      <c r="N562" s="912"/>
      <c r="O562" s="892">
        <f t="shared" si="32"/>
        <v>0</v>
      </c>
      <c r="P562" s="903">
        <f t="shared" si="33"/>
        <v>1</v>
      </c>
      <c r="Q562" s="893">
        <f t="shared" si="34"/>
        <v>5</v>
      </c>
      <c r="R562" s="894">
        <f t="shared" si="35"/>
        <v>0</v>
      </c>
    </row>
    <row r="563" spans="1:18" s="904" customFormat="1">
      <c r="A563" s="895"/>
      <c r="B563" s="896"/>
      <c r="C563" s="897"/>
      <c r="D563" s="897"/>
      <c r="E563" s="924" t="s">
        <v>276</v>
      </c>
      <c r="F563" s="927"/>
      <c r="G563" s="928"/>
      <c r="H563" s="901"/>
      <c r="I563" s="902"/>
      <c r="J563" s="902"/>
      <c r="K563" s="912" t="s">
        <v>274</v>
      </c>
      <c r="L563" s="902"/>
      <c r="M563" s="902"/>
      <c r="N563" s="902"/>
      <c r="O563" s="892">
        <f t="shared" si="32"/>
        <v>0</v>
      </c>
      <c r="P563" s="903">
        <f t="shared" si="33"/>
        <v>1</v>
      </c>
      <c r="Q563" s="893">
        <f t="shared" si="34"/>
        <v>4</v>
      </c>
      <c r="R563" s="894">
        <f t="shared" si="35"/>
        <v>0</v>
      </c>
    </row>
    <row r="564" spans="1:18">
      <c r="A564" s="905"/>
      <c r="B564" s="906"/>
      <c r="C564" s="907">
        <v>735</v>
      </c>
      <c r="D564" s="907" t="s">
        <v>12</v>
      </c>
      <c r="E564" s="908" t="s">
        <v>4065</v>
      </c>
      <c r="F564" s="909" t="s">
        <v>2674</v>
      </c>
      <c r="G564" s="910"/>
      <c r="H564" s="911">
        <v>4.38</v>
      </c>
      <c r="I564" s="912"/>
      <c r="J564" s="912"/>
      <c r="K564" s="912">
        <f>VLOOKUP(E564,ĐMNC!$A$7:$F$67,4,0)</f>
        <v>232803</v>
      </c>
      <c r="L564" s="912">
        <f>H564*K564</f>
        <v>1019677.14</v>
      </c>
      <c r="M564" s="912"/>
      <c r="N564" s="912"/>
      <c r="O564" s="892">
        <f t="shared" si="32"/>
        <v>0</v>
      </c>
      <c r="P564" s="903">
        <f t="shared" si="33"/>
        <v>1</v>
      </c>
      <c r="Q564" s="893">
        <f t="shared" si="34"/>
        <v>3</v>
      </c>
      <c r="R564" s="894">
        <f t="shared" si="35"/>
        <v>0</v>
      </c>
    </row>
    <row r="565" spans="1:18" s="904" customFormat="1">
      <c r="A565" s="895"/>
      <c r="B565" s="896"/>
      <c r="C565" s="897"/>
      <c r="D565" s="897"/>
      <c r="E565" s="898" t="s">
        <v>3914</v>
      </c>
      <c r="F565" s="899"/>
      <c r="G565" s="928"/>
      <c r="H565" s="901"/>
      <c r="I565" s="902"/>
      <c r="J565" s="902"/>
      <c r="K565" s="912" t="s">
        <v>274</v>
      </c>
      <c r="L565" s="902"/>
      <c r="M565" s="902"/>
      <c r="N565" s="902"/>
      <c r="O565" s="892">
        <f t="shared" si="32"/>
        <v>0</v>
      </c>
      <c r="P565" s="903">
        <f t="shared" si="33"/>
        <v>1</v>
      </c>
      <c r="Q565" s="893">
        <f t="shared" si="34"/>
        <v>2</v>
      </c>
      <c r="R565" s="894">
        <f t="shared" si="35"/>
        <v>0</v>
      </c>
    </row>
    <row r="566" spans="1:18">
      <c r="A566" s="905"/>
      <c r="B566" s="906" t="s">
        <v>4117</v>
      </c>
      <c r="C566" s="907">
        <v>838</v>
      </c>
      <c r="D566" s="907" t="s">
        <v>93</v>
      </c>
      <c r="E566" s="925" t="s">
        <v>4118</v>
      </c>
      <c r="F566" s="909" t="s">
        <v>2673</v>
      </c>
      <c r="G566" s="910"/>
      <c r="H566" s="911">
        <v>0.05</v>
      </c>
      <c r="I566" s="912"/>
      <c r="J566" s="912"/>
      <c r="K566" s="912"/>
      <c r="L566" s="912"/>
      <c r="M566" s="912">
        <f>VLOOKUP(B566,MTC!$B$9:$S$933,12,0)</f>
        <v>324651</v>
      </c>
      <c r="N566" s="912">
        <f>M566*H566</f>
        <v>16232.550000000001</v>
      </c>
      <c r="O566" s="892">
        <f t="shared" si="32"/>
        <v>0</v>
      </c>
      <c r="P566" s="903">
        <f t="shared" si="33"/>
        <v>1</v>
      </c>
      <c r="Q566" s="893">
        <f t="shared" si="34"/>
        <v>1</v>
      </c>
      <c r="R566" s="894">
        <f t="shared" si="35"/>
        <v>0</v>
      </c>
    </row>
    <row r="567" spans="1:18" s="847" customFormat="1">
      <c r="A567" s="905"/>
      <c r="B567" s="914" t="s">
        <v>4123</v>
      </c>
      <c r="C567" s="915"/>
      <c r="D567" s="915"/>
      <c r="E567" s="916" t="s">
        <v>4124</v>
      </c>
      <c r="F567" s="917" t="s">
        <v>4115</v>
      </c>
      <c r="G567" s="918"/>
      <c r="H567" s="919"/>
      <c r="I567" s="920"/>
      <c r="J567" s="891">
        <f>SUM(J568:J574)</f>
        <v>53182</v>
      </c>
      <c r="K567" s="891"/>
      <c r="L567" s="891">
        <f>SUM(L568:L574)</f>
        <v>1746022.5</v>
      </c>
      <c r="M567" s="891"/>
      <c r="N567" s="891">
        <f>SUM(N568:N574)</f>
        <v>16232.550000000001</v>
      </c>
      <c r="O567" s="892">
        <f t="shared" si="32"/>
        <v>1</v>
      </c>
      <c r="P567" s="903">
        <f t="shared" si="33"/>
        <v>0</v>
      </c>
      <c r="Q567" s="893">
        <f t="shared" si="34"/>
        <v>0</v>
      </c>
      <c r="R567" s="894">
        <f t="shared" si="35"/>
        <v>7</v>
      </c>
    </row>
    <row r="568" spans="1:18" s="904" customFormat="1">
      <c r="A568" s="895"/>
      <c r="B568" s="896"/>
      <c r="C568" s="897"/>
      <c r="D568" s="897"/>
      <c r="E568" s="924" t="s">
        <v>108</v>
      </c>
      <c r="F568" s="899"/>
      <c r="G568" s="900"/>
      <c r="H568" s="901"/>
      <c r="I568" s="902"/>
      <c r="J568" s="902"/>
      <c r="K568" s="912" t="s">
        <v>274</v>
      </c>
      <c r="L568" s="902"/>
      <c r="M568" s="902"/>
      <c r="N568" s="902"/>
      <c r="O568" s="892">
        <f t="shared" si="32"/>
        <v>0</v>
      </c>
      <c r="P568" s="903">
        <f t="shared" si="33"/>
        <v>1</v>
      </c>
      <c r="Q568" s="893">
        <f t="shared" si="34"/>
        <v>7</v>
      </c>
      <c r="R568" s="894">
        <f t="shared" si="35"/>
        <v>0</v>
      </c>
    </row>
    <row r="569" spans="1:18">
      <c r="A569" s="905"/>
      <c r="B569" s="906"/>
      <c r="C569" s="907">
        <v>109</v>
      </c>
      <c r="D569" s="907" t="s">
        <v>279</v>
      </c>
      <c r="E569" s="925" t="s">
        <v>4116</v>
      </c>
      <c r="F569" s="926" t="s">
        <v>45</v>
      </c>
      <c r="G569" s="910"/>
      <c r="H569" s="911">
        <v>1</v>
      </c>
      <c r="I569" s="912">
        <f>VLOOKUP(E569,[3]VLP!$B$7:$K$300,10,0)</f>
        <v>28182</v>
      </c>
      <c r="J569" s="912">
        <f>I569*H569</f>
        <v>28182</v>
      </c>
      <c r="K569" s="912" t="s">
        <v>274</v>
      </c>
      <c r="L569" s="912"/>
      <c r="M569" s="912"/>
      <c r="N569" s="912"/>
      <c r="O569" s="892">
        <f t="shared" si="32"/>
        <v>0</v>
      </c>
      <c r="P569" s="903">
        <f t="shared" si="33"/>
        <v>1</v>
      </c>
      <c r="Q569" s="893">
        <f t="shared" si="34"/>
        <v>6</v>
      </c>
      <c r="R569" s="894">
        <f t="shared" si="35"/>
        <v>0</v>
      </c>
    </row>
    <row r="570" spans="1:18">
      <c r="A570" s="905"/>
      <c r="B570" s="906"/>
      <c r="C570" s="907">
        <v>699</v>
      </c>
      <c r="D570" s="907" t="s">
        <v>279</v>
      </c>
      <c r="E570" s="925" t="s">
        <v>4006</v>
      </c>
      <c r="F570" s="926" t="s">
        <v>4007</v>
      </c>
      <c r="G570" s="910"/>
      <c r="H570" s="911">
        <v>5</v>
      </c>
      <c r="I570" s="912">
        <f>VLOOKUP(E570,[3]VLP!$B$7:$K$300,10,0)</f>
        <v>5000</v>
      </c>
      <c r="J570" s="912">
        <f>I570*H570</f>
        <v>25000</v>
      </c>
      <c r="K570" s="912" t="s">
        <v>274</v>
      </c>
      <c r="L570" s="912"/>
      <c r="M570" s="912"/>
      <c r="N570" s="912"/>
      <c r="O570" s="892">
        <f t="shared" si="32"/>
        <v>0</v>
      </c>
      <c r="P570" s="903">
        <f t="shared" si="33"/>
        <v>1</v>
      </c>
      <c r="Q570" s="893">
        <f t="shared" si="34"/>
        <v>5</v>
      </c>
      <c r="R570" s="894">
        <f t="shared" si="35"/>
        <v>0</v>
      </c>
    </row>
    <row r="571" spans="1:18" s="904" customFormat="1">
      <c r="A571" s="895"/>
      <c r="B571" s="896"/>
      <c r="C571" s="897"/>
      <c r="D571" s="897"/>
      <c r="E571" s="924" t="s">
        <v>276</v>
      </c>
      <c r="F571" s="927"/>
      <c r="G571" s="928"/>
      <c r="H571" s="901"/>
      <c r="I571" s="902"/>
      <c r="J571" s="902"/>
      <c r="K571" s="912" t="s">
        <v>274</v>
      </c>
      <c r="L571" s="902"/>
      <c r="M571" s="902"/>
      <c r="N571" s="902"/>
      <c r="O571" s="892">
        <f t="shared" si="32"/>
        <v>0</v>
      </c>
      <c r="P571" s="903">
        <f t="shared" si="33"/>
        <v>1</v>
      </c>
      <c r="Q571" s="893">
        <f t="shared" si="34"/>
        <v>4</v>
      </c>
      <c r="R571" s="894">
        <f t="shared" si="35"/>
        <v>0</v>
      </c>
    </row>
    <row r="572" spans="1:18">
      <c r="A572" s="905"/>
      <c r="B572" s="906"/>
      <c r="C572" s="907">
        <v>735</v>
      </c>
      <c r="D572" s="907" t="s">
        <v>12</v>
      </c>
      <c r="E572" s="908" t="s">
        <v>4065</v>
      </c>
      <c r="F572" s="909" t="s">
        <v>2674</v>
      </c>
      <c r="G572" s="910"/>
      <c r="H572" s="911">
        <v>7.5</v>
      </c>
      <c r="I572" s="912"/>
      <c r="J572" s="912"/>
      <c r="K572" s="912">
        <f>VLOOKUP(E572,ĐMNC!$A$7:$F$67,4,0)</f>
        <v>232803</v>
      </c>
      <c r="L572" s="912">
        <f>H572*K572</f>
        <v>1746022.5</v>
      </c>
      <c r="M572" s="912"/>
      <c r="N572" s="912"/>
      <c r="O572" s="892">
        <f t="shared" si="32"/>
        <v>0</v>
      </c>
      <c r="P572" s="903">
        <f t="shared" si="33"/>
        <v>1</v>
      </c>
      <c r="Q572" s="893">
        <f t="shared" si="34"/>
        <v>3</v>
      </c>
      <c r="R572" s="894">
        <f t="shared" si="35"/>
        <v>0</v>
      </c>
    </row>
    <row r="573" spans="1:18" s="904" customFormat="1">
      <c r="A573" s="895"/>
      <c r="B573" s="896"/>
      <c r="C573" s="897"/>
      <c r="D573" s="897"/>
      <c r="E573" s="898" t="s">
        <v>3914</v>
      </c>
      <c r="F573" s="899"/>
      <c r="G573" s="928"/>
      <c r="H573" s="901"/>
      <c r="I573" s="902"/>
      <c r="J573" s="902"/>
      <c r="K573" s="912" t="s">
        <v>274</v>
      </c>
      <c r="L573" s="902"/>
      <c r="M573" s="902"/>
      <c r="N573" s="902"/>
      <c r="O573" s="892">
        <f t="shared" si="32"/>
        <v>0</v>
      </c>
      <c r="P573" s="903">
        <f t="shared" si="33"/>
        <v>1</v>
      </c>
      <c r="Q573" s="893">
        <f t="shared" si="34"/>
        <v>2</v>
      </c>
      <c r="R573" s="894">
        <f t="shared" si="35"/>
        <v>0</v>
      </c>
    </row>
    <row r="574" spans="1:18">
      <c r="A574" s="905"/>
      <c r="B574" s="906" t="s">
        <v>4117</v>
      </c>
      <c r="C574" s="907">
        <v>838</v>
      </c>
      <c r="D574" s="907" t="s">
        <v>93</v>
      </c>
      <c r="E574" s="925" t="s">
        <v>4118</v>
      </c>
      <c r="F574" s="909" t="s">
        <v>2673</v>
      </c>
      <c r="G574" s="910"/>
      <c r="H574" s="911">
        <v>0.05</v>
      </c>
      <c r="I574" s="912"/>
      <c r="J574" s="912"/>
      <c r="K574" s="912"/>
      <c r="L574" s="912"/>
      <c r="M574" s="912">
        <f>VLOOKUP(B574,MTC!$B$9:$S$933,12,0)</f>
        <v>324651</v>
      </c>
      <c r="N574" s="912">
        <f>M574*H574</f>
        <v>16232.550000000001</v>
      </c>
      <c r="O574" s="892">
        <f t="shared" si="32"/>
        <v>0</v>
      </c>
      <c r="P574" s="903">
        <f t="shared" si="33"/>
        <v>1</v>
      </c>
      <c r="Q574" s="893">
        <f>IF(P574=0,0,P574+Q575)</f>
        <v>1</v>
      </c>
      <c r="R574" s="894">
        <f>IF(Q574=0,Q575,0)</f>
        <v>0</v>
      </c>
    </row>
    <row r="575" spans="1:18">
      <c r="A575" s="905"/>
      <c r="B575" s="946" t="s">
        <v>1100</v>
      </c>
      <c r="C575" s="907"/>
      <c r="D575" s="907"/>
      <c r="E575" s="887" t="s">
        <v>4125</v>
      </c>
      <c r="F575" s="909"/>
      <c r="G575" s="910"/>
      <c r="H575" s="911"/>
      <c r="I575" s="912"/>
      <c r="J575" s="912"/>
      <c r="K575" s="912"/>
      <c r="L575" s="912"/>
      <c r="M575" s="912"/>
      <c r="N575" s="912"/>
      <c r="O575" s="892"/>
      <c r="P575" s="903"/>
      <c r="Q575" s="893"/>
      <c r="R575" s="894"/>
    </row>
    <row r="576" spans="1:18" s="847" customFormat="1">
      <c r="A576" s="905" t="s">
        <v>4126</v>
      </c>
      <c r="B576" s="914" t="s">
        <v>4127</v>
      </c>
      <c r="C576" s="915"/>
      <c r="D576" s="915"/>
      <c r="E576" s="929" t="s">
        <v>4128</v>
      </c>
      <c r="F576" s="917" t="s">
        <v>4129</v>
      </c>
      <c r="G576" s="918"/>
      <c r="H576" s="919"/>
      <c r="I576" s="920"/>
      <c r="J576" s="891">
        <f>SUM(J577:J581)</f>
        <v>12000</v>
      </c>
      <c r="K576" s="891"/>
      <c r="L576" s="891">
        <f>SUM(L577:L581)</f>
        <v>204866.64</v>
      </c>
      <c r="M576" s="891"/>
      <c r="N576" s="891">
        <f>SUM(N577:N581)</f>
        <v>0</v>
      </c>
      <c r="O576" s="892">
        <f t="shared" ref="O576:O639" si="36">IF(AND(B576&lt;&gt;"",D576=""),1,0)</f>
        <v>1</v>
      </c>
      <c r="P576" s="903">
        <f t="shared" si="33"/>
        <v>0</v>
      </c>
      <c r="Q576" s="893">
        <f t="shared" si="34"/>
        <v>0</v>
      </c>
      <c r="R576" s="894">
        <f t="shared" si="35"/>
        <v>5</v>
      </c>
    </row>
    <row r="577" spans="1:18" s="904" customFormat="1">
      <c r="A577" s="895"/>
      <c r="B577" s="896"/>
      <c r="C577" s="897"/>
      <c r="D577" s="897"/>
      <c r="E577" s="924" t="s">
        <v>108</v>
      </c>
      <c r="F577" s="899"/>
      <c r="G577" s="900"/>
      <c r="H577" s="901"/>
      <c r="I577" s="902"/>
      <c r="J577" s="902"/>
      <c r="K577" s="912" t="s">
        <v>274</v>
      </c>
      <c r="L577" s="902"/>
      <c r="M577" s="902"/>
      <c r="N577" s="902"/>
      <c r="O577" s="892">
        <f t="shared" si="36"/>
        <v>0</v>
      </c>
      <c r="P577" s="903">
        <f t="shared" si="33"/>
        <v>1</v>
      </c>
      <c r="Q577" s="893">
        <f t="shared" si="34"/>
        <v>5</v>
      </c>
      <c r="R577" s="894">
        <f t="shared" si="35"/>
        <v>0</v>
      </c>
    </row>
    <row r="578" spans="1:18">
      <c r="A578" s="905"/>
      <c r="B578" s="906"/>
      <c r="C578" s="907">
        <v>44</v>
      </c>
      <c r="D578" s="907" t="s">
        <v>279</v>
      </c>
      <c r="E578" s="925" t="s">
        <v>2681</v>
      </c>
      <c r="F578" s="926" t="s">
        <v>45</v>
      </c>
      <c r="G578" s="910"/>
      <c r="H578" s="911">
        <v>0.5</v>
      </c>
      <c r="I578" s="912">
        <f>VLOOKUP(E578,[3]VLP!$B$7:$K$300,10,0)</f>
        <v>23000</v>
      </c>
      <c r="J578" s="912">
        <f>I578*H578</f>
        <v>11500</v>
      </c>
      <c r="K578" s="912" t="s">
        <v>274</v>
      </c>
      <c r="L578" s="912"/>
      <c r="M578" s="912"/>
      <c r="N578" s="912"/>
      <c r="O578" s="892">
        <f t="shared" si="36"/>
        <v>0</v>
      </c>
      <c r="P578" s="903">
        <f t="shared" si="33"/>
        <v>1</v>
      </c>
      <c r="Q578" s="893">
        <f t="shared" si="34"/>
        <v>4</v>
      </c>
      <c r="R578" s="894">
        <f t="shared" si="35"/>
        <v>0</v>
      </c>
    </row>
    <row r="579" spans="1:18">
      <c r="A579" s="905"/>
      <c r="B579" s="906"/>
      <c r="C579" s="907">
        <v>66</v>
      </c>
      <c r="D579" s="907" t="s">
        <v>279</v>
      </c>
      <c r="E579" s="925" t="s">
        <v>2682</v>
      </c>
      <c r="F579" s="926" t="s">
        <v>45</v>
      </c>
      <c r="G579" s="910"/>
      <c r="H579" s="911">
        <v>0.1</v>
      </c>
      <c r="I579" s="912">
        <f>VLOOKUP(E579,[3]VLP!$B$7:$K$300,10,0)</f>
        <v>5000</v>
      </c>
      <c r="J579" s="912">
        <f>I579*H579</f>
        <v>500</v>
      </c>
      <c r="K579" s="912" t="s">
        <v>274</v>
      </c>
      <c r="L579" s="912"/>
      <c r="M579" s="912"/>
      <c r="N579" s="912"/>
      <c r="O579" s="892">
        <f t="shared" si="36"/>
        <v>0</v>
      </c>
      <c r="P579" s="903">
        <f t="shared" si="33"/>
        <v>1</v>
      </c>
      <c r="Q579" s="893">
        <f t="shared" si="34"/>
        <v>3</v>
      </c>
      <c r="R579" s="894">
        <f t="shared" si="35"/>
        <v>0</v>
      </c>
    </row>
    <row r="580" spans="1:18" s="904" customFormat="1">
      <c r="A580" s="895"/>
      <c r="B580" s="896"/>
      <c r="C580" s="897"/>
      <c r="D580" s="897"/>
      <c r="E580" s="924" t="s">
        <v>276</v>
      </c>
      <c r="F580" s="927"/>
      <c r="G580" s="928"/>
      <c r="H580" s="901"/>
      <c r="I580" s="902"/>
      <c r="J580" s="902"/>
      <c r="K580" s="912" t="s">
        <v>274</v>
      </c>
      <c r="L580" s="902"/>
      <c r="M580" s="902"/>
      <c r="N580" s="902"/>
      <c r="O580" s="892">
        <f t="shared" si="36"/>
        <v>0</v>
      </c>
      <c r="P580" s="903">
        <f t="shared" ref="P580:P643" si="37">IF(O580=0,1,0)</f>
        <v>1</v>
      </c>
      <c r="Q580" s="893">
        <f t="shared" ref="Q580:Q642" si="38">IF(P580=0,0,P580+Q581)</f>
        <v>2</v>
      </c>
      <c r="R580" s="894">
        <f t="shared" ref="R580:R642" si="39">IF(Q580=0,Q581,0)</f>
        <v>0</v>
      </c>
    </row>
    <row r="581" spans="1:18">
      <c r="A581" s="905"/>
      <c r="B581" s="906"/>
      <c r="C581" s="907">
        <v>735</v>
      </c>
      <c r="D581" s="907" t="s">
        <v>12</v>
      </c>
      <c r="E581" s="908" t="s">
        <v>4065</v>
      </c>
      <c r="F581" s="909" t="s">
        <v>2674</v>
      </c>
      <c r="G581" s="910"/>
      <c r="H581" s="911">
        <v>0.88</v>
      </c>
      <c r="I581" s="912"/>
      <c r="J581" s="912"/>
      <c r="K581" s="912">
        <f>VLOOKUP(E581,ĐMNC!$A$7:$F$67,4,0)</f>
        <v>232803</v>
      </c>
      <c r="L581" s="912">
        <f>H581*K581</f>
        <v>204866.64</v>
      </c>
      <c r="M581" s="912"/>
      <c r="N581" s="912"/>
      <c r="O581" s="892">
        <f t="shared" si="36"/>
        <v>0</v>
      </c>
      <c r="P581" s="903">
        <f t="shared" si="37"/>
        <v>1</v>
      </c>
      <c r="Q581" s="893">
        <f t="shared" si="38"/>
        <v>1</v>
      </c>
      <c r="R581" s="894">
        <f t="shared" si="39"/>
        <v>0</v>
      </c>
    </row>
    <row r="582" spans="1:18" s="847" customFormat="1">
      <c r="A582" s="905"/>
      <c r="B582" s="914" t="s">
        <v>4130</v>
      </c>
      <c r="C582" s="915"/>
      <c r="D582" s="915"/>
      <c r="E582" s="929" t="s">
        <v>4131</v>
      </c>
      <c r="F582" s="917" t="s">
        <v>4129</v>
      </c>
      <c r="G582" s="918"/>
      <c r="H582" s="919"/>
      <c r="I582" s="920"/>
      <c r="J582" s="891">
        <f>SUM(J583:J587)</f>
        <v>14450</v>
      </c>
      <c r="K582" s="891"/>
      <c r="L582" s="891">
        <f>SUM(L583:L587)</f>
        <v>279363.59999999998</v>
      </c>
      <c r="M582" s="891"/>
      <c r="N582" s="891">
        <f>SUM(N583:N587)</f>
        <v>0</v>
      </c>
      <c r="O582" s="892">
        <f t="shared" si="36"/>
        <v>1</v>
      </c>
      <c r="P582" s="903">
        <f t="shared" si="37"/>
        <v>0</v>
      </c>
      <c r="Q582" s="893">
        <f t="shared" si="38"/>
        <v>0</v>
      </c>
      <c r="R582" s="894">
        <f t="shared" si="39"/>
        <v>5</v>
      </c>
    </row>
    <row r="583" spans="1:18" s="904" customFormat="1">
      <c r="A583" s="895"/>
      <c r="B583" s="896"/>
      <c r="C583" s="897"/>
      <c r="D583" s="897"/>
      <c r="E583" s="924" t="s">
        <v>108</v>
      </c>
      <c r="F583" s="899"/>
      <c r="G583" s="900"/>
      <c r="H583" s="901"/>
      <c r="I583" s="902"/>
      <c r="J583" s="902"/>
      <c r="K583" s="912" t="s">
        <v>274</v>
      </c>
      <c r="L583" s="902"/>
      <c r="M583" s="902"/>
      <c r="N583" s="902"/>
      <c r="O583" s="892">
        <f t="shared" si="36"/>
        <v>0</v>
      </c>
      <c r="P583" s="903">
        <f t="shared" si="37"/>
        <v>1</v>
      </c>
      <c r="Q583" s="893">
        <f t="shared" si="38"/>
        <v>5</v>
      </c>
      <c r="R583" s="894">
        <f t="shared" si="39"/>
        <v>0</v>
      </c>
    </row>
    <row r="584" spans="1:18">
      <c r="A584" s="905"/>
      <c r="B584" s="906"/>
      <c r="C584" s="907">
        <v>44</v>
      </c>
      <c r="D584" s="907" t="s">
        <v>279</v>
      </c>
      <c r="E584" s="925" t="s">
        <v>2681</v>
      </c>
      <c r="F584" s="926" t="s">
        <v>45</v>
      </c>
      <c r="G584" s="910"/>
      <c r="H584" s="911">
        <v>0.6</v>
      </c>
      <c r="I584" s="912">
        <f>VLOOKUP(E584,[3]VLP!$B$7:$K$300,10,0)</f>
        <v>23000</v>
      </c>
      <c r="J584" s="912">
        <f>I584*H584</f>
        <v>13800</v>
      </c>
      <c r="K584" s="912" t="s">
        <v>274</v>
      </c>
      <c r="L584" s="912"/>
      <c r="M584" s="912"/>
      <c r="N584" s="912"/>
      <c r="O584" s="892">
        <f t="shared" si="36"/>
        <v>0</v>
      </c>
      <c r="P584" s="903">
        <f t="shared" si="37"/>
        <v>1</v>
      </c>
      <c r="Q584" s="893">
        <f t="shared" si="38"/>
        <v>4</v>
      </c>
      <c r="R584" s="894">
        <f t="shared" si="39"/>
        <v>0</v>
      </c>
    </row>
    <row r="585" spans="1:18">
      <c r="A585" s="905"/>
      <c r="B585" s="906"/>
      <c r="C585" s="907">
        <v>66</v>
      </c>
      <c r="D585" s="907" t="s">
        <v>279</v>
      </c>
      <c r="E585" s="925" t="s">
        <v>2682</v>
      </c>
      <c r="F585" s="926" t="s">
        <v>45</v>
      </c>
      <c r="G585" s="910"/>
      <c r="H585" s="911">
        <v>0.13</v>
      </c>
      <c r="I585" s="912">
        <f>VLOOKUP(E585,[3]VLP!$B$7:$K$300,10,0)</f>
        <v>5000</v>
      </c>
      <c r="J585" s="912">
        <f>I585*H585</f>
        <v>650</v>
      </c>
      <c r="K585" s="912" t="s">
        <v>274</v>
      </c>
      <c r="L585" s="912"/>
      <c r="M585" s="912"/>
      <c r="N585" s="912"/>
      <c r="O585" s="892">
        <f t="shared" si="36"/>
        <v>0</v>
      </c>
      <c r="P585" s="903">
        <f t="shared" si="37"/>
        <v>1</v>
      </c>
      <c r="Q585" s="893">
        <f t="shared" si="38"/>
        <v>3</v>
      </c>
      <c r="R585" s="894">
        <f t="shared" si="39"/>
        <v>0</v>
      </c>
    </row>
    <row r="586" spans="1:18" s="904" customFormat="1">
      <c r="A586" s="895"/>
      <c r="B586" s="896"/>
      <c r="C586" s="897"/>
      <c r="D586" s="897"/>
      <c r="E586" s="924" t="s">
        <v>276</v>
      </c>
      <c r="F586" s="927"/>
      <c r="G586" s="928"/>
      <c r="H586" s="901"/>
      <c r="I586" s="902"/>
      <c r="J586" s="902"/>
      <c r="K586" s="912" t="s">
        <v>274</v>
      </c>
      <c r="L586" s="902"/>
      <c r="M586" s="902"/>
      <c r="N586" s="902"/>
      <c r="O586" s="892">
        <f t="shared" si="36"/>
        <v>0</v>
      </c>
      <c r="P586" s="903">
        <f t="shared" si="37"/>
        <v>1</v>
      </c>
      <c r="Q586" s="893">
        <f t="shared" si="38"/>
        <v>2</v>
      </c>
      <c r="R586" s="894">
        <f t="shared" si="39"/>
        <v>0</v>
      </c>
    </row>
    <row r="587" spans="1:18">
      <c r="A587" s="905"/>
      <c r="B587" s="906"/>
      <c r="C587" s="907">
        <v>735</v>
      </c>
      <c r="D587" s="907" t="s">
        <v>12</v>
      </c>
      <c r="E587" s="908" t="s">
        <v>4065</v>
      </c>
      <c r="F587" s="909" t="s">
        <v>2674</v>
      </c>
      <c r="G587" s="910"/>
      <c r="H587" s="911">
        <v>1.2</v>
      </c>
      <c r="I587" s="912"/>
      <c r="J587" s="912"/>
      <c r="K587" s="912">
        <f>VLOOKUP(E587,ĐMNC!$A$7:$F$67,4,0)</f>
        <v>232803</v>
      </c>
      <c r="L587" s="912">
        <f>H587*K587</f>
        <v>279363.59999999998</v>
      </c>
      <c r="M587" s="912"/>
      <c r="N587" s="912"/>
      <c r="O587" s="892">
        <f t="shared" si="36"/>
        <v>0</v>
      </c>
      <c r="P587" s="903">
        <f t="shared" si="37"/>
        <v>1</v>
      </c>
      <c r="Q587" s="893">
        <f t="shared" si="38"/>
        <v>1</v>
      </c>
      <c r="R587" s="894">
        <f t="shared" si="39"/>
        <v>0</v>
      </c>
    </row>
    <row r="588" spans="1:18" s="847" customFormat="1">
      <c r="A588" s="905"/>
      <c r="B588" s="914" t="s">
        <v>4132</v>
      </c>
      <c r="C588" s="915"/>
      <c r="D588" s="915"/>
      <c r="E588" s="929" t="s">
        <v>4133</v>
      </c>
      <c r="F588" s="917" t="s">
        <v>4129</v>
      </c>
      <c r="G588" s="918"/>
      <c r="H588" s="919"/>
      <c r="I588" s="920"/>
      <c r="J588" s="891">
        <f>SUM(J589:J593)</f>
        <v>16850</v>
      </c>
      <c r="K588" s="891"/>
      <c r="L588" s="891">
        <f>SUM(L589:L593)</f>
        <v>353860.56</v>
      </c>
      <c r="M588" s="891"/>
      <c r="N588" s="891">
        <f>SUM(N589:N593)</f>
        <v>0</v>
      </c>
      <c r="O588" s="892">
        <f t="shared" si="36"/>
        <v>1</v>
      </c>
      <c r="P588" s="903">
        <f t="shared" si="37"/>
        <v>0</v>
      </c>
      <c r="Q588" s="893">
        <f t="shared" si="38"/>
        <v>0</v>
      </c>
      <c r="R588" s="894">
        <f t="shared" si="39"/>
        <v>5</v>
      </c>
    </row>
    <row r="589" spans="1:18" s="904" customFormat="1">
      <c r="A589" s="895"/>
      <c r="B589" s="896"/>
      <c r="C589" s="897"/>
      <c r="D589" s="897"/>
      <c r="E589" s="924" t="s">
        <v>108</v>
      </c>
      <c r="F589" s="899"/>
      <c r="G589" s="900"/>
      <c r="H589" s="901"/>
      <c r="I589" s="902"/>
      <c r="J589" s="902"/>
      <c r="K589" s="912" t="s">
        <v>274</v>
      </c>
      <c r="L589" s="902"/>
      <c r="M589" s="902"/>
      <c r="N589" s="902"/>
      <c r="O589" s="892">
        <f t="shared" si="36"/>
        <v>0</v>
      </c>
      <c r="P589" s="903">
        <f t="shared" si="37"/>
        <v>1</v>
      </c>
      <c r="Q589" s="893">
        <f t="shared" si="38"/>
        <v>5</v>
      </c>
      <c r="R589" s="894">
        <f t="shared" si="39"/>
        <v>0</v>
      </c>
    </row>
    <row r="590" spans="1:18">
      <c r="A590" s="905"/>
      <c r="B590" s="906"/>
      <c r="C590" s="907">
        <v>44</v>
      </c>
      <c r="D590" s="907" t="s">
        <v>279</v>
      </c>
      <c r="E590" s="925" t="s">
        <v>2681</v>
      </c>
      <c r="F590" s="926" t="s">
        <v>45</v>
      </c>
      <c r="G590" s="910"/>
      <c r="H590" s="911">
        <v>0.7</v>
      </c>
      <c r="I590" s="912">
        <f>VLOOKUP(E590,[3]VLP!$B$7:$K$300,10,0)</f>
        <v>23000</v>
      </c>
      <c r="J590" s="912">
        <f>I590*H590</f>
        <v>16099.999999999998</v>
      </c>
      <c r="K590" s="912" t="s">
        <v>274</v>
      </c>
      <c r="L590" s="912"/>
      <c r="M590" s="912"/>
      <c r="N590" s="912"/>
      <c r="O590" s="892">
        <f t="shared" si="36"/>
        <v>0</v>
      </c>
      <c r="P590" s="903">
        <f t="shared" si="37"/>
        <v>1</v>
      </c>
      <c r="Q590" s="893">
        <f t="shared" si="38"/>
        <v>4</v>
      </c>
      <c r="R590" s="894">
        <f t="shared" si="39"/>
        <v>0</v>
      </c>
    </row>
    <row r="591" spans="1:18">
      <c r="A591" s="905"/>
      <c r="B591" s="906"/>
      <c r="C591" s="907">
        <v>66</v>
      </c>
      <c r="D591" s="907" t="s">
        <v>279</v>
      </c>
      <c r="E591" s="925" t="s">
        <v>2682</v>
      </c>
      <c r="F591" s="926" t="s">
        <v>45</v>
      </c>
      <c r="G591" s="910"/>
      <c r="H591" s="911">
        <v>0.15</v>
      </c>
      <c r="I591" s="912">
        <f>VLOOKUP(E591,[3]VLP!$B$7:$K$300,10,0)</f>
        <v>5000</v>
      </c>
      <c r="J591" s="912">
        <f>I591*H591</f>
        <v>750</v>
      </c>
      <c r="K591" s="912" t="s">
        <v>274</v>
      </c>
      <c r="L591" s="912"/>
      <c r="M591" s="912"/>
      <c r="N591" s="912"/>
      <c r="O591" s="892">
        <f t="shared" si="36"/>
        <v>0</v>
      </c>
      <c r="P591" s="903">
        <f t="shared" si="37"/>
        <v>1</v>
      </c>
      <c r="Q591" s="893">
        <f t="shared" si="38"/>
        <v>3</v>
      </c>
      <c r="R591" s="894">
        <f t="shared" si="39"/>
        <v>0</v>
      </c>
    </row>
    <row r="592" spans="1:18" s="904" customFormat="1">
      <c r="A592" s="895"/>
      <c r="B592" s="896"/>
      <c r="C592" s="897"/>
      <c r="D592" s="897"/>
      <c r="E592" s="924" t="s">
        <v>276</v>
      </c>
      <c r="F592" s="927"/>
      <c r="G592" s="928"/>
      <c r="H592" s="901"/>
      <c r="I592" s="902"/>
      <c r="J592" s="902"/>
      <c r="K592" s="912" t="s">
        <v>274</v>
      </c>
      <c r="L592" s="902"/>
      <c r="M592" s="902"/>
      <c r="N592" s="902"/>
      <c r="O592" s="892">
        <f t="shared" si="36"/>
        <v>0</v>
      </c>
      <c r="P592" s="903">
        <f t="shared" si="37"/>
        <v>1</v>
      </c>
      <c r="Q592" s="893">
        <f t="shared" si="38"/>
        <v>2</v>
      </c>
      <c r="R592" s="894">
        <f t="shared" si="39"/>
        <v>0</v>
      </c>
    </row>
    <row r="593" spans="1:18">
      <c r="A593" s="905"/>
      <c r="B593" s="906"/>
      <c r="C593" s="907">
        <v>735</v>
      </c>
      <c r="D593" s="907" t="s">
        <v>12</v>
      </c>
      <c r="E593" s="908" t="s">
        <v>4065</v>
      </c>
      <c r="F593" s="909" t="s">
        <v>2674</v>
      </c>
      <c r="G593" s="910"/>
      <c r="H593" s="911">
        <v>1.52</v>
      </c>
      <c r="I593" s="912"/>
      <c r="J593" s="912"/>
      <c r="K593" s="912">
        <f>VLOOKUP(E593,ĐMNC!$A$7:$F$67,4,0)</f>
        <v>232803</v>
      </c>
      <c r="L593" s="912">
        <f>H593*K593</f>
        <v>353860.56</v>
      </c>
      <c r="M593" s="912"/>
      <c r="N593" s="912"/>
      <c r="O593" s="892">
        <f t="shared" si="36"/>
        <v>0</v>
      </c>
      <c r="P593" s="903">
        <f t="shared" si="37"/>
        <v>1</v>
      </c>
      <c r="Q593" s="893">
        <f t="shared" si="38"/>
        <v>1</v>
      </c>
      <c r="R593" s="894">
        <f t="shared" si="39"/>
        <v>0</v>
      </c>
    </row>
    <row r="594" spans="1:18" s="847" customFormat="1">
      <c r="A594" s="905" t="s">
        <v>4134</v>
      </c>
      <c r="B594" s="914" t="s">
        <v>1103</v>
      </c>
      <c r="C594" s="915"/>
      <c r="D594" s="915"/>
      <c r="E594" s="929" t="s">
        <v>4135</v>
      </c>
      <c r="F594" s="917" t="s">
        <v>4129</v>
      </c>
      <c r="G594" s="918"/>
      <c r="H594" s="919"/>
      <c r="I594" s="920"/>
      <c r="J594" s="891">
        <f>SUM(J595:J599)</f>
        <v>12000</v>
      </c>
      <c r="K594" s="891"/>
      <c r="L594" s="891">
        <f>SUM(L595:L599)</f>
        <v>384124.94999999995</v>
      </c>
      <c r="M594" s="891"/>
      <c r="N594" s="891">
        <f>SUM(N595:N599)</f>
        <v>0</v>
      </c>
      <c r="O594" s="892">
        <f t="shared" si="36"/>
        <v>1</v>
      </c>
      <c r="P594" s="903">
        <f t="shared" si="37"/>
        <v>0</v>
      </c>
      <c r="Q594" s="893">
        <f t="shared" si="38"/>
        <v>0</v>
      </c>
      <c r="R594" s="894">
        <f t="shared" si="39"/>
        <v>5</v>
      </c>
    </row>
    <row r="595" spans="1:18" s="904" customFormat="1">
      <c r="A595" s="895"/>
      <c r="B595" s="922"/>
      <c r="C595" s="897"/>
      <c r="D595" s="897"/>
      <c r="E595" s="924" t="s">
        <v>108</v>
      </c>
      <c r="F595" s="899"/>
      <c r="G595" s="900"/>
      <c r="H595" s="901"/>
      <c r="I595" s="902"/>
      <c r="J595" s="902"/>
      <c r="K595" s="912" t="s">
        <v>274</v>
      </c>
      <c r="L595" s="902"/>
      <c r="M595" s="902"/>
      <c r="N595" s="902"/>
      <c r="O595" s="892">
        <f t="shared" si="36"/>
        <v>0</v>
      </c>
      <c r="P595" s="903">
        <f t="shared" si="37"/>
        <v>1</v>
      </c>
      <c r="Q595" s="893">
        <f t="shared" si="38"/>
        <v>5</v>
      </c>
      <c r="R595" s="894">
        <f t="shared" si="39"/>
        <v>0</v>
      </c>
    </row>
    <row r="596" spans="1:18">
      <c r="A596" s="905"/>
      <c r="B596" s="906"/>
      <c r="C596" s="907">
        <v>44</v>
      </c>
      <c r="D596" s="907" t="s">
        <v>279</v>
      </c>
      <c r="E596" s="925" t="s">
        <v>2681</v>
      </c>
      <c r="F596" s="926" t="s">
        <v>45</v>
      </c>
      <c r="G596" s="910"/>
      <c r="H596" s="911">
        <v>0.5</v>
      </c>
      <c r="I596" s="912">
        <f>VLOOKUP(E596,[3]VLP!$B$7:$K$300,10,0)</f>
        <v>23000</v>
      </c>
      <c r="J596" s="912">
        <f>I596*H596</f>
        <v>11500</v>
      </c>
      <c r="K596" s="912" t="s">
        <v>274</v>
      </c>
      <c r="L596" s="912"/>
      <c r="M596" s="912"/>
      <c r="N596" s="912"/>
      <c r="O596" s="892">
        <f t="shared" si="36"/>
        <v>0</v>
      </c>
      <c r="P596" s="903">
        <f t="shared" si="37"/>
        <v>1</v>
      </c>
      <c r="Q596" s="893">
        <f t="shared" si="38"/>
        <v>4</v>
      </c>
      <c r="R596" s="894">
        <f t="shared" si="39"/>
        <v>0</v>
      </c>
    </row>
    <row r="597" spans="1:18">
      <c r="A597" s="905"/>
      <c r="B597" s="906"/>
      <c r="C597" s="907">
        <v>66</v>
      </c>
      <c r="D597" s="907" t="s">
        <v>279</v>
      </c>
      <c r="E597" s="925" t="s">
        <v>2682</v>
      </c>
      <c r="F597" s="926" t="s">
        <v>45</v>
      </c>
      <c r="G597" s="910"/>
      <c r="H597" s="911">
        <v>0.1</v>
      </c>
      <c r="I597" s="912">
        <f>VLOOKUP(E597,[3]VLP!$B$7:$K$300,10,0)</f>
        <v>5000</v>
      </c>
      <c r="J597" s="912">
        <f>I597*H597</f>
        <v>500</v>
      </c>
      <c r="K597" s="912" t="s">
        <v>274</v>
      </c>
      <c r="L597" s="912"/>
      <c r="M597" s="912"/>
      <c r="N597" s="912"/>
      <c r="O597" s="892">
        <f t="shared" si="36"/>
        <v>0</v>
      </c>
      <c r="P597" s="903">
        <f t="shared" si="37"/>
        <v>1</v>
      </c>
      <c r="Q597" s="893">
        <f t="shared" si="38"/>
        <v>3</v>
      </c>
      <c r="R597" s="894">
        <f t="shared" si="39"/>
        <v>0</v>
      </c>
    </row>
    <row r="598" spans="1:18" s="904" customFormat="1">
      <c r="A598" s="895"/>
      <c r="B598" s="896"/>
      <c r="C598" s="897"/>
      <c r="D598" s="897"/>
      <c r="E598" s="924" t="s">
        <v>276</v>
      </c>
      <c r="F598" s="927"/>
      <c r="G598" s="928"/>
      <c r="H598" s="901"/>
      <c r="I598" s="902"/>
      <c r="J598" s="902"/>
      <c r="K598" s="912" t="s">
        <v>274</v>
      </c>
      <c r="L598" s="902"/>
      <c r="M598" s="902"/>
      <c r="N598" s="902"/>
      <c r="O598" s="892">
        <f t="shared" si="36"/>
        <v>0</v>
      </c>
      <c r="P598" s="903">
        <f t="shared" si="37"/>
        <v>1</v>
      </c>
      <c r="Q598" s="893">
        <f t="shared" si="38"/>
        <v>2</v>
      </c>
      <c r="R598" s="894">
        <f t="shared" si="39"/>
        <v>0</v>
      </c>
    </row>
    <row r="599" spans="1:18">
      <c r="A599" s="905"/>
      <c r="B599" s="906"/>
      <c r="C599" s="907">
        <v>735</v>
      </c>
      <c r="D599" s="907" t="s">
        <v>12</v>
      </c>
      <c r="E599" s="908" t="s">
        <v>4065</v>
      </c>
      <c r="F599" s="909" t="s">
        <v>2674</v>
      </c>
      <c r="G599" s="910"/>
      <c r="H599" s="911">
        <v>1.65</v>
      </c>
      <c r="I599" s="912"/>
      <c r="J599" s="912"/>
      <c r="K599" s="912">
        <f>VLOOKUP(E599,ĐMNC!$A$7:$F$67,4,0)</f>
        <v>232803</v>
      </c>
      <c r="L599" s="912">
        <f>H599*K599</f>
        <v>384124.94999999995</v>
      </c>
      <c r="M599" s="912"/>
      <c r="N599" s="912"/>
      <c r="O599" s="892">
        <f t="shared" si="36"/>
        <v>0</v>
      </c>
      <c r="P599" s="903">
        <f t="shared" si="37"/>
        <v>1</v>
      </c>
      <c r="Q599" s="893">
        <f t="shared" si="38"/>
        <v>1</v>
      </c>
      <c r="R599" s="894">
        <f t="shared" si="39"/>
        <v>0</v>
      </c>
    </row>
    <row r="600" spans="1:18" s="847" customFormat="1">
      <c r="A600" s="905"/>
      <c r="B600" s="914" t="s">
        <v>1105</v>
      </c>
      <c r="C600" s="915"/>
      <c r="D600" s="915"/>
      <c r="E600" s="929" t="s">
        <v>4136</v>
      </c>
      <c r="F600" s="917" t="s">
        <v>4129</v>
      </c>
      <c r="G600" s="918"/>
      <c r="H600" s="919"/>
      <c r="I600" s="920"/>
      <c r="J600" s="891">
        <f>SUM(J601:J605)</f>
        <v>14450</v>
      </c>
      <c r="K600" s="891"/>
      <c r="L600" s="891">
        <f>SUM(L601:L605)</f>
        <v>526134.77999999991</v>
      </c>
      <c r="M600" s="891"/>
      <c r="N600" s="891">
        <f>SUM(N601:N605)</f>
        <v>0</v>
      </c>
      <c r="O600" s="892">
        <f t="shared" si="36"/>
        <v>1</v>
      </c>
      <c r="P600" s="903">
        <f t="shared" si="37"/>
        <v>0</v>
      </c>
      <c r="Q600" s="893">
        <f t="shared" si="38"/>
        <v>0</v>
      </c>
      <c r="R600" s="894">
        <f t="shared" si="39"/>
        <v>5</v>
      </c>
    </row>
    <row r="601" spans="1:18" s="904" customFormat="1">
      <c r="A601" s="895"/>
      <c r="B601" s="896"/>
      <c r="C601" s="897"/>
      <c r="D601" s="897"/>
      <c r="E601" s="924" t="s">
        <v>108</v>
      </c>
      <c r="F601" s="899"/>
      <c r="G601" s="900"/>
      <c r="H601" s="901"/>
      <c r="I601" s="902"/>
      <c r="J601" s="902"/>
      <c r="K601" s="912" t="s">
        <v>274</v>
      </c>
      <c r="L601" s="902"/>
      <c r="M601" s="902"/>
      <c r="N601" s="902"/>
      <c r="O601" s="892">
        <f t="shared" si="36"/>
        <v>0</v>
      </c>
      <c r="P601" s="903">
        <f t="shared" si="37"/>
        <v>1</v>
      </c>
      <c r="Q601" s="893">
        <f t="shared" si="38"/>
        <v>5</v>
      </c>
      <c r="R601" s="894">
        <f t="shared" si="39"/>
        <v>0</v>
      </c>
    </row>
    <row r="602" spans="1:18">
      <c r="A602" s="905"/>
      <c r="B602" s="906"/>
      <c r="C602" s="907">
        <v>44</v>
      </c>
      <c r="D602" s="907" t="s">
        <v>279</v>
      </c>
      <c r="E602" s="925" t="s">
        <v>2681</v>
      </c>
      <c r="F602" s="926" t="s">
        <v>45</v>
      </c>
      <c r="G602" s="910"/>
      <c r="H602" s="911">
        <v>0.6</v>
      </c>
      <c r="I602" s="912">
        <f>VLOOKUP(E602,[3]VLP!$B$7:$K$300,10,0)</f>
        <v>23000</v>
      </c>
      <c r="J602" s="912">
        <f>I602*H602</f>
        <v>13800</v>
      </c>
      <c r="K602" s="912" t="s">
        <v>274</v>
      </c>
      <c r="L602" s="912"/>
      <c r="M602" s="912"/>
      <c r="N602" s="912"/>
      <c r="O602" s="892">
        <f t="shared" si="36"/>
        <v>0</v>
      </c>
      <c r="P602" s="903">
        <f t="shared" si="37"/>
        <v>1</v>
      </c>
      <c r="Q602" s="893">
        <f t="shared" si="38"/>
        <v>4</v>
      </c>
      <c r="R602" s="894">
        <f t="shared" si="39"/>
        <v>0</v>
      </c>
    </row>
    <row r="603" spans="1:18">
      <c r="A603" s="905"/>
      <c r="B603" s="906"/>
      <c r="C603" s="907">
        <v>66</v>
      </c>
      <c r="D603" s="907" t="s">
        <v>279</v>
      </c>
      <c r="E603" s="925" t="s">
        <v>2682</v>
      </c>
      <c r="F603" s="926" t="s">
        <v>45</v>
      </c>
      <c r="G603" s="910"/>
      <c r="H603" s="911">
        <v>0.13</v>
      </c>
      <c r="I603" s="912">
        <f>VLOOKUP(E603,[3]VLP!$B$7:$K$300,10,0)</f>
        <v>5000</v>
      </c>
      <c r="J603" s="912">
        <f>I603*H603</f>
        <v>650</v>
      </c>
      <c r="K603" s="912" t="s">
        <v>274</v>
      </c>
      <c r="L603" s="912"/>
      <c r="M603" s="912"/>
      <c r="N603" s="912"/>
      <c r="O603" s="892">
        <f t="shared" si="36"/>
        <v>0</v>
      </c>
      <c r="P603" s="903">
        <f t="shared" si="37"/>
        <v>1</v>
      </c>
      <c r="Q603" s="893">
        <f t="shared" si="38"/>
        <v>3</v>
      </c>
      <c r="R603" s="894">
        <f t="shared" si="39"/>
        <v>0</v>
      </c>
    </row>
    <row r="604" spans="1:18" s="904" customFormat="1">
      <c r="A604" s="895"/>
      <c r="B604" s="896"/>
      <c r="C604" s="897"/>
      <c r="D604" s="897"/>
      <c r="E604" s="924" t="s">
        <v>276</v>
      </c>
      <c r="F604" s="927"/>
      <c r="G604" s="928"/>
      <c r="H604" s="901"/>
      <c r="I604" s="902"/>
      <c r="J604" s="902"/>
      <c r="K604" s="912" t="s">
        <v>274</v>
      </c>
      <c r="L604" s="902"/>
      <c r="M604" s="902"/>
      <c r="N604" s="902"/>
      <c r="O604" s="892">
        <f t="shared" si="36"/>
        <v>0</v>
      </c>
      <c r="P604" s="903">
        <f t="shared" si="37"/>
        <v>1</v>
      </c>
      <c r="Q604" s="893">
        <f t="shared" si="38"/>
        <v>2</v>
      </c>
      <c r="R604" s="894">
        <f t="shared" si="39"/>
        <v>0</v>
      </c>
    </row>
    <row r="605" spans="1:18">
      <c r="A605" s="905"/>
      <c r="B605" s="906"/>
      <c r="C605" s="907">
        <v>735</v>
      </c>
      <c r="D605" s="907" t="s">
        <v>12</v>
      </c>
      <c r="E605" s="908" t="s">
        <v>4065</v>
      </c>
      <c r="F605" s="909" t="s">
        <v>2674</v>
      </c>
      <c r="G605" s="910"/>
      <c r="H605" s="911">
        <v>2.2599999999999998</v>
      </c>
      <c r="I605" s="912"/>
      <c r="J605" s="912"/>
      <c r="K605" s="912">
        <f>VLOOKUP(E605,ĐMNC!$A$7:$F$67,4,0)</f>
        <v>232803</v>
      </c>
      <c r="L605" s="912">
        <f>H605*K605</f>
        <v>526134.77999999991</v>
      </c>
      <c r="M605" s="912"/>
      <c r="N605" s="912"/>
      <c r="O605" s="892">
        <f t="shared" si="36"/>
        <v>0</v>
      </c>
      <c r="P605" s="903">
        <f t="shared" si="37"/>
        <v>1</v>
      </c>
      <c r="Q605" s="893">
        <f t="shared" si="38"/>
        <v>1</v>
      </c>
      <c r="R605" s="894">
        <f t="shared" si="39"/>
        <v>0</v>
      </c>
    </row>
    <row r="606" spans="1:18" s="847" customFormat="1">
      <c r="A606" s="905"/>
      <c r="B606" s="914" t="s">
        <v>1107</v>
      </c>
      <c r="C606" s="915"/>
      <c r="D606" s="915"/>
      <c r="E606" s="929" t="s">
        <v>4137</v>
      </c>
      <c r="F606" s="917" t="s">
        <v>4129</v>
      </c>
      <c r="G606" s="918"/>
      <c r="H606" s="919"/>
      <c r="I606" s="920"/>
      <c r="J606" s="891">
        <f>SUM(J607:J611)</f>
        <v>16850</v>
      </c>
      <c r="K606" s="891"/>
      <c r="L606" s="891">
        <f>SUM(L607:L611)</f>
        <v>670472.64</v>
      </c>
      <c r="M606" s="891"/>
      <c r="N606" s="891">
        <f>SUM(N607:N611)</f>
        <v>0</v>
      </c>
      <c r="O606" s="892">
        <f t="shared" si="36"/>
        <v>1</v>
      </c>
      <c r="P606" s="903">
        <f t="shared" si="37"/>
        <v>0</v>
      </c>
      <c r="Q606" s="893">
        <f t="shared" si="38"/>
        <v>0</v>
      </c>
      <c r="R606" s="894">
        <f t="shared" si="39"/>
        <v>5</v>
      </c>
    </row>
    <row r="607" spans="1:18" s="904" customFormat="1">
      <c r="A607" s="895"/>
      <c r="B607" s="896"/>
      <c r="C607" s="897"/>
      <c r="D607" s="897"/>
      <c r="E607" s="924" t="s">
        <v>108</v>
      </c>
      <c r="F607" s="899"/>
      <c r="G607" s="900"/>
      <c r="H607" s="901"/>
      <c r="I607" s="902"/>
      <c r="J607" s="902"/>
      <c r="K607" s="912" t="s">
        <v>274</v>
      </c>
      <c r="L607" s="902"/>
      <c r="M607" s="902"/>
      <c r="N607" s="902"/>
      <c r="O607" s="892">
        <f t="shared" si="36"/>
        <v>0</v>
      </c>
      <c r="P607" s="903">
        <f t="shared" si="37"/>
        <v>1</v>
      </c>
      <c r="Q607" s="893">
        <f t="shared" si="38"/>
        <v>5</v>
      </c>
      <c r="R607" s="894">
        <f t="shared" si="39"/>
        <v>0</v>
      </c>
    </row>
    <row r="608" spans="1:18">
      <c r="A608" s="905"/>
      <c r="B608" s="906"/>
      <c r="C608" s="907">
        <v>44</v>
      </c>
      <c r="D608" s="907" t="s">
        <v>279</v>
      </c>
      <c r="E608" s="925" t="s">
        <v>2681</v>
      </c>
      <c r="F608" s="926" t="s">
        <v>45</v>
      </c>
      <c r="G608" s="910"/>
      <c r="H608" s="911">
        <v>0.7</v>
      </c>
      <c r="I608" s="912">
        <f>VLOOKUP(E608,[3]VLP!$B$7:$K$300,10,0)</f>
        <v>23000</v>
      </c>
      <c r="J608" s="912">
        <f>I608*H608</f>
        <v>16099.999999999998</v>
      </c>
      <c r="K608" s="912" t="s">
        <v>274</v>
      </c>
      <c r="L608" s="912"/>
      <c r="M608" s="912"/>
      <c r="N608" s="912"/>
      <c r="O608" s="892">
        <f t="shared" si="36"/>
        <v>0</v>
      </c>
      <c r="P608" s="903">
        <f t="shared" si="37"/>
        <v>1</v>
      </c>
      <c r="Q608" s="893">
        <f t="shared" si="38"/>
        <v>4</v>
      </c>
      <c r="R608" s="894">
        <f t="shared" si="39"/>
        <v>0</v>
      </c>
    </row>
    <row r="609" spans="1:18">
      <c r="A609" s="905"/>
      <c r="B609" s="906"/>
      <c r="C609" s="907">
        <v>66</v>
      </c>
      <c r="D609" s="907" t="s">
        <v>279</v>
      </c>
      <c r="E609" s="925" t="s">
        <v>2682</v>
      </c>
      <c r="F609" s="926" t="s">
        <v>45</v>
      </c>
      <c r="G609" s="910"/>
      <c r="H609" s="911">
        <v>0.15</v>
      </c>
      <c r="I609" s="912">
        <f>VLOOKUP(E609,[3]VLP!$B$7:$K$300,10,0)</f>
        <v>5000</v>
      </c>
      <c r="J609" s="912">
        <f>I609*H609</f>
        <v>750</v>
      </c>
      <c r="K609" s="912" t="s">
        <v>274</v>
      </c>
      <c r="L609" s="912"/>
      <c r="M609" s="912"/>
      <c r="N609" s="912"/>
      <c r="O609" s="892">
        <f t="shared" si="36"/>
        <v>0</v>
      </c>
      <c r="P609" s="903">
        <f t="shared" si="37"/>
        <v>1</v>
      </c>
      <c r="Q609" s="893">
        <f t="shared" si="38"/>
        <v>3</v>
      </c>
      <c r="R609" s="894">
        <f t="shared" si="39"/>
        <v>0</v>
      </c>
    </row>
    <row r="610" spans="1:18" s="904" customFormat="1">
      <c r="A610" s="895"/>
      <c r="B610" s="896"/>
      <c r="C610" s="897"/>
      <c r="D610" s="897"/>
      <c r="E610" s="924" t="s">
        <v>276</v>
      </c>
      <c r="F610" s="927"/>
      <c r="G610" s="928"/>
      <c r="H610" s="901"/>
      <c r="I610" s="902"/>
      <c r="J610" s="902"/>
      <c r="K610" s="912" t="s">
        <v>274</v>
      </c>
      <c r="L610" s="902"/>
      <c r="M610" s="902"/>
      <c r="N610" s="902"/>
      <c r="O610" s="892">
        <f t="shared" si="36"/>
        <v>0</v>
      </c>
      <c r="P610" s="903">
        <f t="shared" si="37"/>
        <v>1</v>
      </c>
      <c r="Q610" s="893">
        <f t="shared" si="38"/>
        <v>2</v>
      </c>
      <c r="R610" s="894">
        <f t="shared" si="39"/>
        <v>0</v>
      </c>
    </row>
    <row r="611" spans="1:18">
      <c r="A611" s="905"/>
      <c r="B611" s="906"/>
      <c r="C611" s="907">
        <v>735</v>
      </c>
      <c r="D611" s="907" t="s">
        <v>12</v>
      </c>
      <c r="E611" s="908" t="s">
        <v>4065</v>
      </c>
      <c r="F611" s="909" t="s">
        <v>2674</v>
      </c>
      <c r="G611" s="910"/>
      <c r="H611" s="911">
        <v>2.88</v>
      </c>
      <c r="I611" s="912"/>
      <c r="J611" s="912"/>
      <c r="K611" s="912">
        <f>VLOOKUP(E611,ĐMNC!$A$7:$F$67,4,0)</f>
        <v>232803</v>
      </c>
      <c r="L611" s="912">
        <f>H611*K611</f>
        <v>670472.64</v>
      </c>
      <c r="M611" s="912"/>
      <c r="N611" s="912"/>
      <c r="O611" s="892">
        <f t="shared" si="36"/>
        <v>0</v>
      </c>
      <c r="P611" s="903">
        <f t="shared" si="37"/>
        <v>1</v>
      </c>
      <c r="Q611" s="893">
        <f t="shared" si="38"/>
        <v>1</v>
      </c>
      <c r="R611" s="894">
        <f t="shared" si="39"/>
        <v>0</v>
      </c>
    </row>
    <row r="612" spans="1:18" s="847" customFormat="1">
      <c r="A612" s="905"/>
      <c r="B612" s="914" t="s">
        <v>1113</v>
      </c>
      <c r="C612" s="915"/>
      <c r="D612" s="915"/>
      <c r="E612" s="929" t="s">
        <v>4138</v>
      </c>
      <c r="F612" s="917" t="s">
        <v>4129</v>
      </c>
      <c r="G612" s="918"/>
      <c r="H612" s="919"/>
      <c r="I612" s="920"/>
      <c r="J612" s="891">
        <f>SUM(J613:J617)</f>
        <v>12000</v>
      </c>
      <c r="K612" s="891"/>
      <c r="L612" s="891">
        <f>SUM(L613:L617)</f>
        <v>265395.42</v>
      </c>
      <c r="M612" s="891"/>
      <c r="N612" s="891">
        <f>SUM(N613:N617)</f>
        <v>0</v>
      </c>
      <c r="O612" s="892">
        <f t="shared" si="36"/>
        <v>1</v>
      </c>
      <c r="P612" s="903">
        <f t="shared" si="37"/>
        <v>0</v>
      </c>
      <c r="Q612" s="893">
        <f t="shared" si="38"/>
        <v>0</v>
      </c>
      <c r="R612" s="894">
        <f t="shared" si="39"/>
        <v>5</v>
      </c>
    </row>
    <row r="613" spans="1:18" s="904" customFormat="1">
      <c r="A613" s="895"/>
      <c r="B613" s="896"/>
      <c r="C613" s="897"/>
      <c r="D613" s="897"/>
      <c r="E613" s="924" t="s">
        <v>108</v>
      </c>
      <c r="F613" s="899"/>
      <c r="G613" s="900"/>
      <c r="H613" s="901"/>
      <c r="I613" s="902"/>
      <c r="J613" s="902"/>
      <c r="K613" s="912" t="s">
        <v>274</v>
      </c>
      <c r="L613" s="902"/>
      <c r="M613" s="902"/>
      <c r="N613" s="902"/>
      <c r="O613" s="892">
        <f t="shared" si="36"/>
        <v>0</v>
      </c>
      <c r="P613" s="903">
        <f t="shared" si="37"/>
        <v>1</v>
      </c>
      <c r="Q613" s="893">
        <f t="shared" si="38"/>
        <v>5</v>
      </c>
      <c r="R613" s="894">
        <f t="shared" si="39"/>
        <v>0</v>
      </c>
    </row>
    <row r="614" spans="1:18">
      <c r="A614" s="905"/>
      <c r="B614" s="906"/>
      <c r="C614" s="907">
        <v>44</v>
      </c>
      <c r="D614" s="907" t="s">
        <v>279</v>
      </c>
      <c r="E614" s="925" t="s">
        <v>2681</v>
      </c>
      <c r="F614" s="926" t="s">
        <v>45</v>
      </c>
      <c r="G614" s="910"/>
      <c r="H614" s="911">
        <v>0.5</v>
      </c>
      <c r="I614" s="912">
        <f>VLOOKUP(E614,[3]VLP!$B$7:$K$300,10,0)</f>
        <v>23000</v>
      </c>
      <c r="J614" s="912">
        <f>I614*H614</f>
        <v>11500</v>
      </c>
      <c r="K614" s="912" t="s">
        <v>274</v>
      </c>
      <c r="L614" s="912"/>
      <c r="M614" s="912"/>
      <c r="N614" s="912"/>
      <c r="O614" s="892">
        <f t="shared" si="36"/>
        <v>0</v>
      </c>
      <c r="P614" s="903">
        <f t="shared" si="37"/>
        <v>1</v>
      </c>
      <c r="Q614" s="893">
        <f t="shared" si="38"/>
        <v>4</v>
      </c>
      <c r="R614" s="894">
        <f t="shared" si="39"/>
        <v>0</v>
      </c>
    </row>
    <row r="615" spans="1:18">
      <c r="A615" s="905"/>
      <c r="B615" s="906"/>
      <c r="C615" s="907">
        <v>66</v>
      </c>
      <c r="D615" s="907" t="s">
        <v>279</v>
      </c>
      <c r="E615" s="925" t="s">
        <v>2682</v>
      </c>
      <c r="F615" s="926" t="s">
        <v>45</v>
      </c>
      <c r="G615" s="910"/>
      <c r="H615" s="911">
        <v>0.1</v>
      </c>
      <c r="I615" s="912">
        <f>VLOOKUP(E615,[3]VLP!$B$7:$K$300,10,0)</f>
        <v>5000</v>
      </c>
      <c r="J615" s="912">
        <f>I615*H615</f>
        <v>500</v>
      </c>
      <c r="K615" s="912" t="s">
        <v>274</v>
      </c>
      <c r="L615" s="912"/>
      <c r="M615" s="912"/>
      <c r="N615" s="912"/>
      <c r="O615" s="892">
        <f t="shared" si="36"/>
        <v>0</v>
      </c>
      <c r="P615" s="903">
        <f t="shared" si="37"/>
        <v>1</v>
      </c>
      <c r="Q615" s="893">
        <f t="shared" si="38"/>
        <v>3</v>
      </c>
      <c r="R615" s="894">
        <f t="shared" si="39"/>
        <v>0</v>
      </c>
    </row>
    <row r="616" spans="1:18" s="904" customFormat="1">
      <c r="A616" s="895"/>
      <c r="B616" s="896"/>
      <c r="C616" s="897"/>
      <c r="D616" s="897"/>
      <c r="E616" s="924" t="s">
        <v>276</v>
      </c>
      <c r="F616" s="927"/>
      <c r="G616" s="928"/>
      <c r="H616" s="901"/>
      <c r="I616" s="902"/>
      <c r="J616" s="902"/>
      <c r="K616" s="912" t="s">
        <v>274</v>
      </c>
      <c r="L616" s="902"/>
      <c r="M616" s="902"/>
      <c r="N616" s="902"/>
      <c r="O616" s="892">
        <f t="shared" si="36"/>
        <v>0</v>
      </c>
      <c r="P616" s="903">
        <f t="shared" si="37"/>
        <v>1</v>
      </c>
      <c r="Q616" s="893">
        <f t="shared" si="38"/>
        <v>2</v>
      </c>
      <c r="R616" s="894">
        <f t="shared" si="39"/>
        <v>0</v>
      </c>
    </row>
    <row r="617" spans="1:18">
      <c r="A617" s="905"/>
      <c r="B617" s="906"/>
      <c r="C617" s="907">
        <v>735</v>
      </c>
      <c r="D617" s="907" t="s">
        <v>12</v>
      </c>
      <c r="E617" s="908" t="s">
        <v>4065</v>
      </c>
      <c r="F617" s="909" t="s">
        <v>2674</v>
      </c>
      <c r="G617" s="910"/>
      <c r="H617" s="911">
        <v>1.1399999999999999</v>
      </c>
      <c r="I617" s="912"/>
      <c r="J617" s="912"/>
      <c r="K617" s="912">
        <f>VLOOKUP(E617,ĐMNC!$A$7:$F$67,4,0)</f>
        <v>232803</v>
      </c>
      <c r="L617" s="912">
        <f>H617*K617</f>
        <v>265395.42</v>
      </c>
      <c r="M617" s="912"/>
      <c r="N617" s="912"/>
      <c r="O617" s="892">
        <f t="shared" si="36"/>
        <v>0</v>
      </c>
      <c r="P617" s="903">
        <f t="shared" si="37"/>
        <v>1</v>
      </c>
      <c r="Q617" s="893">
        <f t="shared" si="38"/>
        <v>1</v>
      </c>
      <c r="R617" s="894">
        <f t="shared" si="39"/>
        <v>0</v>
      </c>
    </row>
    <row r="618" spans="1:18" s="847" customFormat="1">
      <c r="A618" s="905"/>
      <c r="B618" s="914" t="s">
        <v>1115</v>
      </c>
      <c r="C618" s="915"/>
      <c r="D618" s="915"/>
      <c r="E618" s="929" t="s">
        <v>4139</v>
      </c>
      <c r="F618" s="917" t="s">
        <v>4129</v>
      </c>
      <c r="G618" s="918"/>
      <c r="H618" s="919"/>
      <c r="I618" s="920"/>
      <c r="J618" s="891">
        <f>SUM(J619:J623)</f>
        <v>14450</v>
      </c>
      <c r="K618" s="891"/>
      <c r="L618" s="891">
        <f>SUM(L619:L623)</f>
        <v>363172.68</v>
      </c>
      <c r="M618" s="891"/>
      <c r="N618" s="891">
        <f>SUM(N619:N623)</f>
        <v>0</v>
      </c>
      <c r="O618" s="892">
        <f t="shared" si="36"/>
        <v>1</v>
      </c>
      <c r="P618" s="903">
        <f t="shared" si="37"/>
        <v>0</v>
      </c>
      <c r="Q618" s="893">
        <f t="shared" si="38"/>
        <v>0</v>
      </c>
      <c r="R618" s="894">
        <f t="shared" si="39"/>
        <v>5</v>
      </c>
    </row>
    <row r="619" spans="1:18" s="904" customFormat="1">
      <c r="A619" s="895"/>
      <c r="B619" s="896"/>
      <c r="C619" s="897"/>
      <c r="D619" s="897"/>
      <c r="E619" s="924" t="s">
        <v>108</v>
      </c>
      <c r="F619" s="899"/>
      <c r="G619" s="900"/>
      <c r="H619" s="901"/>
      <c r="I619" s="902"/>
      <c r="J619" s="902"/>
      <c r="K619" s="912" t="s">
        <v>274</v>
      </c>
      <c r="L619" s="902"/>
      <c r="M619" s="902"/>
      <c r="N619" s="902"/>
      <c r="O619" s="892">
        <f t="shared" si="36"/>
        <v>0</v>
      </c>
      <c r="P619" s="903">
        <f t="shared" si="37"/>
        <v>1</v>
      </c>
      <c r="Q619" s="893">
        <f t="shared" si="38"/>
        <v>5</v>
      </c>
      <c r="R619" s="894">
        <f t="shared" si="39"/>
        <v>0</v>
      </c>
    </row>
    <row r="620" spans="1:18">
      <c r="A620" s="905"/>
      <c r="B620" s="906"/>
      <c r="C620" s="907">
        <v>44</v>
      </c>
      <c r="D620" s="907" t="s">
        <v>279</v>
      </c>
      <c r="E620" s="925" t="s">
        <v>2681</v>
      </c>
      <c r="F620" s="926" t="s">
        <v>45</v>
      </c>
      <c r="G620" s="910"/>
      <c r="H620" s="911">
        <v>0.6</v>
      </c>
      <c r="I620" s="912">
        <f>VLOOKUP(E620,[3]VLP!$B$7:$K$300,10,0)</f>
        <v>23000</v>
      </c>
      <c r="J620" s="912">
        <f>I620*H620</f>
        <v>13800</v>
      </c>
      <c r="K620" s="912" t="s">
        <v>274</v>
      </c>
      <c r="L620" s="912"/>
      <c r="M620" s="912"/>
      <c r="N620" s="912"/>
      <c r="O620" s="892">
        <f t="shared" si="36"/>
        <v>0</v>
      </c>
      <c r="P620" s="903">
        <f t="shared" si="37"/>
        <v>1</v>
      </c>
      <c r="Q620" s="893">
        <f t="shared" si="38"/>
        <v>4</v>
      </c>
      <c r="R620" s="894">
        <f t="shared" si="39"/>
        <v>0</v>
      </c>
    </row>
    <row r="621" spans="1:18">
      <c r="A621" s="905"/>
      <c r="B621" s="906"/>
      <c r="C621" s="907">
        <v>66</v>
      </c>
      <c r="D621" s="907" t="s">
        <v>279</v>
      </c>
      <c r="E621" s="925" t="s">
        <v>2682</v>
      </c>
      <c r="F621" s="926" t="s">
        <v>45</v>
      </c>
      <c r="G621" s="910"/>
      <c r="H621" s="911">
        <v>0.13</v>
      </c>
      <c r="I621" s="912">
        <f>VLOOKUP(E621,[3]VLP!$B$7:$K$300,10,0)</f>
        <v>5000</v>
      </c>
      <c r="J621" s="912">
        <f>I621*H621</f>
        <v>650</v>
      </c>
      <c r="K621" s="912" t="s">
        <v>274</v>
      </c>
      <c r="L621" s="912"/>
      <c r="M621" s="912"/>
      <c r="N621" s="912"/>
      <c r="O621" s="892">
        <f t="shared" si="36"/>
        <v>0</v>
      </c>
      <c r="P621" s="903">
        <f t="shared" si="37"/>
        <v>1</v>
      </c>
      <c r="Q621" s="893">
        <f t="shared" si="38"/>
        <v>3</v>
      </c>
      <c r="R621" s="894">
        <f t="shared" si="39"/>
        <v>0</v>
      </c>
    </row>
    <row r="622" spans="1:18" s="904" customFormat="1">
      <c r="A622" s="895"/>
      <c r="B622" s="896"/>
      <c r="C622" s="897"/>
      <c r="D622" s="897"/>
      <c r="E622" s="924" t="s">
        <v>276</v>
      </c>
      <c r="F622" s="927"/>
      <c r="G622" s="928"/>
      <c r="H622" s="901"/>
      <c r="I622" s="902"/>
      <c r="J622" s="902"/>
      <c r="K622" s="912" t="s">
        <v>274</v>
      </c>
      <c r="L622" s="902"/>
      <c r="M622" s="902"/>
      <c r="N622" s="902"/>
      <c r="O622" s="892">
        <f t="shared" si="36"/>
        <v>0</v>
      </c>
      <c r="P622" s="903">
        <f t="shared" si="37"/>
        <v>1</v>
      </c>
      <c r="Q622" s="893">
        <f t="shared" si="38"/>
        <v>2</v>
      </c>
      <c r="R622" s="894">
        <f t="shared" si="39"/>
        <v>0</v>
      </c>
    </row>
    <row r="623" spans="1:18">
      <c r="A623" s="905"/>
      <c r="B623" s="906"/>
      <c r="C623" s="907">
        <v>735</v>
      </c>
      <c r="D623" s="907" t="s">
        <v>12</v>
      </c>
      <c r="E623" s="908" t="s">
        <v>4065</v>
      </c>
      <c r="F623" s="909" t="s">
        <v>2674</v>
      </c>
      <c r="G623" s="910"/>
      <c r="H623" s="911">
        <v>1.56</v>
      </c>
      <c r="I623" s="912"/>
      <c r="J623" s="912"/>
      <c r="K623" s="912">
        <f>VLOOKUP(E623,ĐMNC!$A$7:$F$67,4,0)</f>
        <v>232803</v>
      </c>
      <c r="L623" s="912">
        <f>H623*K623</f>
        <v>363172.68</v>
      </c>
      <c r="M623" s="912"/>
      <c r="N623" s="912"/>
      <c r="O623" s="892">
        <f t="shared" si="36"/>
        <v>0</v>
      </c>
      <c r="P623" s="903">
        <f t="shared" si="37"/>
        <v>1</v>
      </c>
      <c r="Q623" s="893">
        <f t="shared" si="38"/>
        <v>1</v>
      </c>
      <c r="R623" s="894">
        <f t="shared" si="39"/>
        <v>0</v>
      </c>
    </row>
    <row r="624" spans="1:18" s="847" customFormat="1">
      <c r="A624" s="905"/>
      <c r="B624" s="914" t="s">
        <v>1117</v>
      </c>
      <c r="C624" s="915"/>
      <c r="D624" s="915"/>
      <c r="E624" s="929" t="s">
        <v>4140</v>
      </c>
      <c r="F624" s="917" t="s">
        <v>4129</v>
      </c>
      <c r="G624" s="918"/>
      <c r="H624" s="919"/>
      <c r="I624" s="920"/>
      <c r="J624" s="891">
        <f>SUM(J625:J629)</f>
        <v>16850</v>
      </c>
      <c r="K624" s="891"/>
      <c r="L624" s="891">
        <f>SUM(L625:L629)</f>
        <v>463277.97</v>
      </c>
      <c r="M624" s="891"/>
      <c r="N624" s="891">
        <f>SUM(N625:N629)</f>
        <v>0</v>
      </c>
      <c r="O624" s="892">
        <f t="shared" si="36"/>
        <v>1</v>
      </c>
      <c r="P624" s="903">
        <f t="shared" si="37"/>
        <v>0</v>
      </c>
      <c r="Q624" s="893">
        <f t="shared" si="38"/>
        <v>0</v>
      </c>
      <c r="R624" s="894">
        <f t="shared" si="39"/>
        <v>5</v>
      </c>
    </row>
    <row r="625" spans="1:18" s="904" customFormat="1">
      <c r="A625" s="895"/>
      <c r="B625" s="896"/>
      <c r="C625" s="897"/>
      <c r="D625" s="897"/>
      <c r="E625" s="924" t="s">
        <v>108</v>
      </c>
      <c r="F625" s="899"/>
      <c r="G625" s="900"/>
      <c r="H625" s="901"/>
      <c r="I625" s="902"/>
      <c r="J625" s="902"/>
      <c r="K625" s="912" t="s">
        <v>274</v>
      </c>
      <c r="L625" s="902"/>
      <c r="M625" s="902"/>
      <c r="N625" s="902"/>
      <c r="O625" s="892">
        <f t="shared" si="36"/>
        <v>0</v>
      </c>
      <c r="P625" s="903">
        <f t="shared" si="37"/>
        <v>1</v>
      </c>
      <c r="Q625" s="893">
        <f t="shared" si="38"/>
        <v>5</v>
      </c>
      <c r="R625" s="894">
        <f t="shared" si="39"/>
        <v>0</v>
      </c>
    </row>
    <row r="626" spans="1:18">
      <c r="A626" s="905"/>
      <c r="B626" s="906"/>
      <c r="C626" s="907">
        <v>44</v>
      </c>
      <c r="D626" s="907" t="s">
        <v>279</v>
      </c>
      <c r="E626" s="925" t="s">
        <v>2681</v>
      </c>
      <c r="F626" s="926" t="s">
        <v>45</v>
      </c>
      <c r="G626" s="910"/>
      <c r="H626" s="911">
        <v>0.7</v>
      </c>
      <c r="I626" s="912">
        <f>VLOOKUP(E626,[3]VLP!$B$7:$K$300,10,0)</f>
        <v>23000</v>
      </c>
      <c r="J626" s="912">
        <f>I626*H626</f>
        <v>16099.999999999998</v>
      </c>
      <c r="K626" s="912" t="s">
        <v>274</v>
      </c>
      <c r="L626" s="912"/>
      <c r="M626" s="912"/>
      <c r="N626" s="912"/>
      <c r="O626" s="892">
        <f t="shared" si="36"/>
        <v>0</v>
      </c>
      <c r="P626" s="903">
        <f t="shared" si="37"/>
        <v>1</v>
      </c>
      <c r="Q626" s="893">
        <f t="shared" si="38"/>
        <v>4</v>
      </c>
      <c r="R626" s="894">
        <f t="shared" si="39"/>
        <v>0</v>
      </c>
    </row>
    <row r="627" spans="1:18">
      <c r="A627" s="905"/>
      <c r="B627" s="906"/>
      <c r="C627" s="907">
        <v>66</v>
      </c>
      <c r="D627" s="907" t="s">
        <v>279</v>
      </c>
      <c r="E627" s="925" t="s">
        <v>2682</v>
      </c>
      <c r="F627" s="926" t="s">
        <v>45</v>
      </c>
      <c r="G627" s="910"/>
      <c r="H627" s="911">
        <v>0.15</v>
      </c>
      <c r="I627" s="912">
        <f>VLOOKUP(E627,[3]VLP!$B$7:$K$300,10,0)</f>
        <v>5000</v>
      </c>
      <c r="J627" s="912">
        <f>I627*H627</f>
        <v>750</v>
      </c>
      <c r="K627" s="912" t="s">
        <v>274</v>
      </c>
      <c r="L627" s="912"/>
      <c r="M627" s="912"/>
      <c r="N627" s="912"/>
      <c r="O627" s="892">
        <f t="shared" si="36"/>
        <v>0</v>
      </c>
      <c r="P627" s="903">
        <f t="shared" si="37"/>
        <v>1</v>
      </c>
      <c r="Q627" s="893">
        <f t="shared" si="38"/>
        <v>3</v>
      </c>
      <c r="R627" s="894">
        <f t="shared" si="39"/>
        <v>0</v>
      </c>
    </row>
    <row r="628" spans="1:18" s="904" customFormat="1">
      <c r="A628" s="895"/>
      <c r="B628" s="896"/>
      <c r="C628" s="897"/>
      <c r="D628" s="897"/>
      <c r="E628" s="924" t="s">
        <v>276</v>
      </c>
      <c r="F628" s="927"/>
      <c r="G628" s="928"/>
      <c r="H628" s="901"/>
      <c r="I628" s="902"/>
      <c r="J628" s="902"/>
      <c r="K628" s="912" t="s">
        <v>274</v>
      </c>
      <c r="L628" s="902"/>
      <c r="M628" s="902"/>
      <c r="N628" s="902"/>
      <c r="O628" s="892">
        <f t="shared" si="36"/>
        <v>0</v>
      </c>
      <c r="P628" s="903">
        <f t="shared" si="37"/>
        <v>1</v>
      </c>
      <c r="Q628" s="893">
        <f t="shared" si="38"/>
        <v>2</v>
      </c>
      <c r="R628" s="894">
        <f t="shared" si="39"/>
        <v>0</v>
      </c>
    </row>
    <row r="629" spans="1:18">
      <c r="A629" s="905"/>
      <c r="B629" s="906"/>
      <c r="C629" s="907">
        <v>735</v>
      </c>
      <c r="D629" s="907" t="s">
        <v>12</v>
      </c>
      <c r="E629" s="908" t="s">
        <v>4065</v>
      </c>
      <c r="F629" s="909" t="s">
        <v>2674</v>
      </c>
      <c r="G629" s="910"/>
      <c r="H629" s="911">
        <v>1.99</v>
      </c>
      <c r="I629" s="912"/>
      <c r="J629" s="912"/>
      <c r="K629" s="912">
        <f>VLOOKUP(E629,ĐMNC!$A$7:$F$67,4,0)</f>
        <v>232803</v>
      </c>
      <c r="L629" s="912">
        <f>H629*K629</f>
        <v>463277.97</v>
      </c>
      <c r="M629" s="912"/>
      <c r="N629" s="912"/>
      <c r="O629" s="892">
        <f t="shared" si="36"/>
        <v>0</v>
      </c>
      <c r="P629" s="903">
        <f t="shared" si="37"/>
        <v>1</v>
      </c>
      <c r="Q629" s="893">
        <f>IF(P629=0,0,P629+Q630)</f>
        <v>1</v>
      </c>
      <c r="R629" s="894">
        <f>IF(Q629=0,Q630,0)</f>
        <v>0</v>
      </c>
    </row>
    <row r="630" spans="1:18" s="847" customFormat="1">
      <c r="A630" s="905" t="s">
        <v>4141</v>
      </c>
      <c r="B630" s="914" t="s">
        <v>252</v>
      </c>
      <c r="C630" s="915"/>
      <c r="D630" s="915"/>
      <c r="E630" s="916" t="s">
        <v>4142</v>
      </c>
      <c r="F630" s="917" t="s">
        <v>139</v>
      </c>
      <c r="G630" s="918"/>
      <c r="H630" s="919"/>
      <c r="I630" s="920"/>
      <c r="J630" s="891">
        <f>SUM(J631:J635)</f>
        <v>1200</v>
      </c>
      <c r="K630" s="891"/>
      <c r="L630" s="891">
        <f>SUM(L631:L635)</f>
        <v>13968.18</v>
      </c>
      <c r="M630" s="891"/>
      <c r="N630" s="891">
        <f>SUM(N631:N635)</f>
        <v>0</v>
      </c>
      <c r="O630" s="892">
        <f t="shared" si="36"/>
        <v>1</v>
      </c>
      <c r="P630" s="903">
        <f t="shared" si="37"/>
        <v>0</v>
      </c>
      <c r="Q630" s="893">
        <f t="shared" si="38"/>
        <v>0</v>
      </c>
      <c r="R630" s="894">
        <f t="shared" si="39"/>
        <v>4</v>
      </c>
    </row>
    <row r="631" spans="1:18" s="904" customFormat="1">
      <c r="A631" s="895"/>
      <c r="B631" s="922"/>
      <c r="C631" s="897"/>
      <c r="D631" s="897"/>
      <c r="E631" s="924" t="s">
        <v>108</v>
      </c>
      <c r="F631" s="899"/>
      <c r="G631" s="900"/>
      <c r="H631" s="901"/>
      <c r="I631" s="902"/>
      <c r="J631" s="902"/>
      <c r="K631" s="912" t="s">
        <v>274</v>
      </c>
      <c r="L631" s="902"/>
      <c r="M631" s="902"/>
      <c r="N631" s="902"/>
      <c r="O631" s="892">
        <f t="shared" si="36"/>
        <v>0</v>
      </c>
      <c r="P631" s="903">
        <f t="shared" si="37"/>
        <v>1</v>
      </c>
      <c r="Q631" s="893">
        <f>IF(P631=0,0,P631+Q633)</f>
        <v>4</v>
      </c>
      <c r="R631" s="894">
        <f>IF(Q631=0,Q633,0)</f>
        <v>0</v>
      </c>
    </row>
    <row r="632" spans="1:18">
      <c r="A632" s="905"/>
      <c r="B632" s="906"/>
      <c r="C632" s="907">
        <v>44</v>
      </c>
      <c r="D632" s="907" t="s">
        <v>279</v>
      </c>
      <c r="E632" s="925" t="s">
        <v>2681</v>
      </c>
      <c r="F632" s="926" t="s">
        <v>45</v>
      </c>
      <c r="G632" s="910"/>
      <c r="H632" s="911">
        <v>0.05</v>
      </c>
      <c r="I632" s="912">
        <f>VLOOKUP(E632,[3]VLP!$B$7:$K$300,10,0)</f>
        <v>23000</v>
      </c>
      <c r="J632" s="912">
        <f>I632*H632</f>
        <v>1150</v>
      </c>
      <c r="K632" s="912" t="s">
        <v>274</v>
      </c>
      <c r="L632" s="912"/>
      <c r="M632" s="912"/>
      <c r="N632" s="912"/>
      <c r="O632" s="892">
        <f>IF(AND(B632&lt;&gt;"",D632=""),1,0)</f>
        <v>0</v>
      </c>
      <c r="P632" s="903">
        <f>IF(O632=0,1,0)</f>
        <v>1</v>
      </c>
      <c r="Q632" s="893">
        <f>IF(P632=0,0,P632+Q633)</f>
        <v>4</v>
      </c>
      <c r="R632" s="894">
        <f>IF(Q632=0,Q633,0)</f>
        <v>0</v>
      </c>
    </row>
    <row r="633" spans="1:18">
      <c r="A633" s="905"/>
      <c r="B633" s="906"/>
      <c r="C633" s="907">
        <v>66</v>
      </c>
      <c r="D633" s="907" t="s">
        <v>279</v>
      </c>
      <c r="E633" s="925" t="s">
        <v>2682</v>
      </c>
      <c r="F633" s="926" t="s">
        <v>45</v>
      </c>
      <c r="G633" s="910"/>
      <c r="H633" s="911">
        <v>0.01</v>
      </c>
      <c r="I633" s="912">
        <f>VLOOKUP(E633,[3]VLP!$B$7:$K$300,10,0)</f>
        <v>5000</v>
      </c>
      <c r="J633" s="912">
        <f>I633*H633</f>
        <v>50</v>
      </c>
      <c r="K633" s="912" t="s">
        <v>274</v>
      </c>
      <c r="L633" s="912"/>
      <c r="M633" s="912"/>
      <c r="N633" s="912"/>
      <c r="O633" s="892">
        <f>IF(AND(B633&lt;&gt;"",D633=""),1,0)</f>
        <v>0</v>
      </c>
      <c r="P633" s="903">
        <f>IF(O633=0,1,0)</f>
        <v>1</v>
      </c>
      <c r="Q633" s="893">
        <f>IF(P633=0,0,P633+Q634)</f>
        <v>3</v>
      </c>
      <c r="R633" s="894">
        <f>IF(Q633=0,Q634,0)</f>
        <v>0</v>
      </c>
    </row>
    <row r="634" spans="1:18" s="904" customFormat="1">
      <c r="A634" s="895"/>
      <c r="B634" s="896"/>
      <c r="C634" s="897"/>
      <c r="D634" s="897"/>
      <c r="E634" s="924" t="s">
        <v>276</v>
      </c>
      <c r="F634" s="927"/>
      <c r="G634" s="928"/>
      <c r="H634" s="901"/>
      <c r="I634" s="902"/>
      <c r="J634" s="902"/>
      <c r="K634" s="912" t="s">
        <v>274</v>
      </c>
      <c r="L634" s="902"/>
      <c r="M634" s="902"/>
      <c r="N634" s="902"/>
      <c r="O634" s="892">
        <f t="shared" si="36"/>
        <v>0</v>
      </c>
      <c r="P634" s="903">
        <f t="shared" si="37"/>
        <v>1</v>
      </c>
      <c r="Q634" s="893">
        <f t="shared" si="38"/>
        <v>2</v>
      </c>
      <c r="R634" s="894">
        <f t="shared" si="39"/>
        <v>0</v>
      </c>
    </row>
    <row r="635" spans="1:18">
      <c r="A635" s="905"/>
      <c r="B635" s="906"/>
      <c r="C635" s="907">
        <v>735</v>
      </c>
      <c r="D635" s="907" t="s">
        <v>12</v>
      </c>
      <c r="E635" s="908" t="s">
        <v>4065</v>
      </c>
      <c r="F635" s="909" t="s">
        <v>2674</v>
      </c>
      <c r="G635" s="910"/>
      <c r="H635" s="911">
        <v>0.06</v>
      </c>
      <c r="I635" s="912"/>
      <c r="J635" s="912"/>
      <c r="K635" s="912">
        <f>VLOOKUP(E635,ĐMNC!$A$7:$F$67,4,0)</f>
        <v>232803</v>
      </c>
      <c r="L635" s="912">
        <f>H635*K635</f>
        <v>13968.18</v>
      </c>
      <c r="M635" s="912"/>
      <c r="N635" s="912"/>
      <c r="O635" s="892">
        <f t="shared" si="36"/>
        <v>0</v>
      </c>
      <c r="P635" s="903">
        <f t="shared" si="37"/>
        <v>1</v>
      </c>
      <c r="Q635" s="893">
        <f t="shared" si="38"/>
        <v>1</v>
      </c>
      <c r="R635" s="894">
        <f t="shared" si="39"/>
        <v>0</v>
      </c>
    </row>
    <row r="636" spans="1:18" s="847" customFormat="1">
      <c r="A636" s="905"/>
      <c r="B636" s="914" t="s">
        <v>1126</v>
      </c>
      <c r="C636" s="915"/>
      <c r="D636" s="915"/>
      <c r="E636" s="916" t="s">
        <v>4143</v>
      </c>
      <c r="F636" s="917" t="s">
        <v>139</v>
      </c>
      <c r="G636" s="918"/>
      <c r="H636" s="919"/>
      <c r="I636" s="920"/>
      <c r="J636" s="891">
        <f>SUM(J637:J641)</f>
        <v>1200</v>
      </c>
      <c r="K636" s="891"/>
      <c r="L636" s="891">
        <f>SUM(L637:L641)</f>
        <v>16296.210000000001</v>
      </c>
      <c r="M636" s="891"/>
      <c r="N636" s="891">
        <f>SUM(N637:N641)</f>
        <v>0</v>
      </c>
      <c r="O636" s="892">
        <f t="shared" si="36"/>
        <v>1</v>
      </c>
      <c r="P636" s="903">
        <f t="shared" si="37"/>
        <v>0</v>
      </c>
      <c r="Q636" s="893">
        <f t="shared" si="38"/>
        <v>0</v>
      </c>
      <c r="R636" s="894">
        <f t="shared" si="39"/>
        <v>4</v>
      </c>
    </row>
    <row r="637" spans="1:18" s="904" customFormat="1">
      <c r="A637" s="895"/>
      <c r="B637" s="896"/>
      <c r="C637" s="897"/>
      <c r="D637" s="897"/>
      <c r="E637" s="924" t="s">
        <v>108</v>
      </c>
      <c r="F637" s="899"/>
      <c r="G637" s="900"/>
      <c r="H637" s="901"/>
      <c r="I637" s="902"/>
      <c r="J637" s="902"/>
      <c r="K637" s="912" t="s">
        <v>274</v>
      </c>
      <c r="L637" s="902"/>
      <c r="M637" s="902"/>
      <c r="N637" s="902"/>
      <c r="O637" s="892">
        <f t="shared" si="36"/>
        <v>0</v>
      </c>
      <c r="P637" s="903">
        <f t="shared" si="37"/>
        <v>1</v>
      </c>
      <c r="Q637" s="893">
        <f>IF(P637=0,0,P637+Q639)</f>
        <v>4</v>
      </c>
      <c r="R637" s="894">
        <f>IF(Q637=0,Q639,0)</f>
        <v>0</v>
      </c>
    </row>
    <row r="638" spans="1:18">
      <c r="A638" s="905"/>
      <c r="B638" s="906"/>
      <c r="C638" s="907">
        <v>44</v>
      </c>
      <c r="D638" s="907" t="s">
        <v>279</v>
      </c>
      <c r="E638" s="925" t="s">
        <v>2681</v>
      </c>
      <c r="F638" s="926" t="s">
        <v>45</v>
      </c>
      <c r="G638" s="910"/>
      <c r="H638" s="911">
        <v>0.05</v>
      </c>
      <c r="I638" s="912">
        <f>VLOOKUP(E638,[3]VLP!$B$7:$K$300,10,0)</f>
        <v>23000</v>
      </c>
      <c r="J638" s="912">
        <f>I638*H638</f>
        <v>1150</v>
      </c>
      <c r="K638" s="912" t="s">
        <v>274</v>
      </c>
      <c r="L638" s="912"/>
      <c r="M638" s="912"/>
      <c r="N638" s="912"/>
      <c r="O638" s="892">
        <f t="shared" si="36"/>
        <v>0</v>
      </c>
      <c r="P638" s="903">
        <f>IF(O638=0,1,0)</f>
        <v>1</v>
      </c>
      <c r="Q638" s="893">
        <f>IF(P638=0,0,P638+Q639)</f>
        <v>4</v>
      </c>
      <c r="R638" s="894">
        <f>IF(Q638=0,Q639,0)</f>
        <v>0</v>
      </c>
    </row>
    <row r="639" spans="1:18">
      <c r="A639" s="905"/>
      <c r="B639" s="906"/>
      <c r="C639" s="907">
        <v>66</v>
      </c>
      <c r="D639" s="907" t="s">
        <v>279</v>
      </c>
      <c r="E639" s="925" t="s">
        <v>2682</v>
      </c>
      <c r="F639" s="926" t="s">
        <v>45</v>
      </c>
      <c r="G639" s="910"/>
      <c r="H639" s="911">
        <v>0.01</v>
      </c>
      <c r="I639" s="912">
        <f>VLOOKUP(E639,[3]VLP!$B$7:$K$300,10,0)</f>
        <v>5000</v>
      </c>
      <c r="J639" s="912">
        <f>I639*H639</f>
        <v>50</v>
      </c>
      <c r="K639" s="912" t="s">
        <v>274</v>
      </c>
      <c r="L639" s="912"/>
      <c r="M639" s="912"/>
      <c r="N639" s="912"/>
      <c r="O639" s="892">
        <f t="shared" si="36"/>
        <v>0</v>
      </c>
      <c r="P639" s="903">
        <f>IF(O639=0,1,0)</f>
        <v>1</v>
      </c>
      <c r="Q639" s="893">
        <f>IF(P639=0,0,P639+Q640)</f>
        <v>3</v>
      </c>
      <c r="R639" s="894">
        <f>IF(Q639=0,Q640,0)</f>
        <v>0</v>
      </c>
    </row>
    <row r="640" spans="1:18" s="904" customFormat="1">
      <c r="A640" s="895"/>
      <c r="B640" s="896"/>
      <c r="C640" s="897"/>
      <c r="D640" s="897"/>
      <c r="E640" s="924" t="s">
        <v>276</v>
      </c>
      <c r="F640" s="927"/>
      <c r="G640" s="928"/>
      <c r="H640" s="901"/>
      <c r="I640" s="902"/>
      <c r="J640" s="902"/>
      <c r="K640" s="912" t="s">
        <v>274</v>
      </c>
      <c r="L640" s="902"/>
      <c r="M640" s="902"/>
      <c r="N640" s="902"/>
      <c r="O640" s="892">
        <f t="shared" ref="O640:O703" si="40">IF(AND(B640&lt;&gt;"",D640=""),1,0)</f>
        <v>0</v>
      </c>
      <c r="P640" s="903">
        <f t="shared" si="37"/>
        <v>1</v>
      </c>
      <c r="Q640" s="893">
        <f t="shared" si="38"/>
        <v>2</v>
      </c>
      <c r="R640" s="894">
        <f t="shared" si="39"/>
        <v>0</v>
      </c>
    </row>
    <row r="641" spans="1:18">
      <c r="A641" s="905"/>
      <c r="B641" s="906"/>
      <c r="C641" s="907">
        <v>735</v>
      </c>
      <c r="D641" s="907" t="s">
        <v>12</v>
      </c>
      <c r="E641" s="908" t="s">
        <v>4065</v>
      </c>
      <c r="F641" s="909" t="s">
        <v>2674</v>
      </c>
      <c r="G641" s="910"/>
      <c r="H641" s="911">
        <v>7.0000000000000007E-2</v>
      </c>
      <c r="I641" s="912"/>
      <c r="J641" s="912"/>
      <c r="K641" s="912">
        <f>VLOOKUP(E641,ĐMNC!$A$7:$F$67,4,0)</f>
        <v>232803</v>
      </c>
      <c r="L641" s="912">
        <f>H641*K641</f>
        <v>16296.210000000001</v>
      </c>
      <c r="M641" s="912"/>
      <c r="N641" s="912"/>
      <c r="O641" s="892">
        <f t="shared" si="40"/>
        <v>0</v>
      </c>
      <c r="P641" s="903">
        <f t="shared" si="37"/>
        <v>1</v>
      </c>
      <c r="Q641" s="893">
        <f t="shared" si="38"/>
        <v>1</v>
      </c>
      <c r="R641" s="894">
        <f t="shared" si="39"/>
        <v>0</v>
      </c>
    </row>
    <row r="642" spans="1:18" s="847" customFormat="1">
      <c r="A642" s="905"/>
      <c r="B642" s="914" t="s">
        <v>1128</v>
      </c>
      <c r="C642" s="915"/>
      <c r="D642" s="915"/>
      <c r="E642" s="916" t="s">
        <v>4144</v>
      </c>
      <c r="F642" s="917" t="s">
        <v>139</v>
      </c>
      <c r="G642" s="918"/>
      <c r="H642" s="919"/>
      <c r="I642" s="920"/>
      <c r="J642" s="891">
        <f>SUM(J643:J647)</f>
        <v>1200</v>
      </c>
      <c r="K642" s="891"/>
      <c r="L642" s="891">
        <f>SUM(L643:L647)</f>
        <v>65184.840000000004</v>
      </c>
      <c r="M642" s="891"/>
      <c r="N642" s="891">
        <f>SUM(N643:N647)</f>
        <v>0</v>
      </c>
      <c r="O642" s="892">
        <f t="shared" si="40"/>
        <v>1</v>
      </c>
      <c r="P642" s="903">
        <f t="shared" si="37"/>
        <v>0</v>
      </c>
      <c r="Q642" s="893">
        <f t="shared" si="38"/>
        <v>0</v>
      </c>
      <c r="R642" s="894">
        <f t="shared" si="39"/>
        <v>4</v>
      </c>
    </row>
    <row r="643" spans="1:18" s="904" customFormat="1">
      <c r="A643" s="895"/>
      <c r="B643" s="896"/>
      <c r="C643" s="897"/>
      <c r="D643" s="897"/>
      <c r="E643" s="924" t="s">
        <v>108</v>
      </c>
      <c r="F643" s="899"/>
      <c r="G643" s="900"/>
      <c r="H643" s="901"/>
      <c r="I643" s="902"/>
      <c r="J643" s="902"/>
      <c r="K643" s="912" t="s">
        <v>274</v>
      </c>
      <c r="L643" s="902"/>
      <c r="M643" s="902"/>
      <c r="N643" s="902"/>
      <c r="O643" s="892">
        <f t="shared" si="40"/>
        <v>0</v>
      </c>
      <c r="P643" s="903">
        <f t="shared" si="37"/>
        <v>1</v>
      </c>
      <c r="Q643" s="893">
        <f>IF(P643=0,0,P643+Q645)</f>
        <v>4</v>
      </c>
      <c r="R643" s="894">
        <f>IF(Q643=0,Q645,0)</f>
        <v>0</v>
      </c>
    </row>
    <row r="644" spans="1:18">
      <c r="A644" s="905"/>
      <c r="B644" s="906"/>
      <c r="C644" s="907">
        <v>44</v>
      </c>
      <c r="D644" s="907" t="s">
        <v>279</v>
      </c>
      <c r="E644" s="925" t="s">
        <v>2681</v>
      </c>
      <c r="F644" s="926" t="s">
        <v>45</v>
      </c>
      <c r="G644" s="910"/>
      <c r="H644" s="911">
        <v>0.05</v>
      </c>
      <c r="I644" s="912">
        <f>VLOOKUP(E644,[3]VLP!$B$7:$K$300,10,0)</f>
        <v>23000</v>
      </c>
      <c r="J644" s="912">
        <f>I644*H644</f>
        <v>1150</v>
      </c>
      <c r="K644" s="912" t="s">
        <v>274</v>
      </c>
      <c r="L644" s="912"/>
      <c r="M644" s="912"/>
      <c r="N644" s="912"/>
      <c r="O644" s="892">
        <f t="shared" si="40"/>
        <v>0</v>
      </c>
      <c r="P644" s="903">
        <f>IF(O644=0,1,0)</f>
        <v>1</v>
      </c>
      <c r="Q644" s="893">
        <f>IF(P644=0,0,P644+Q645)</f>
        <v>4</v>
      </c>
      <c r="R644" s="894">
        <f>IF(Q644=0,Q645,0)</f>
        <v>0</v>
      </c>
    </row>
    <row r="645" spans="1:18">
      <c r="A645" s="905"/>
      <c r="B645" s="906"/>
      <c r="C645" s="907">
        <v>66</v>
      </c>
      <c r="D645" s="907" t="s">
        <v>279</v>
      </c>
      <c r="E645" s="925" t="s">
        <v>2682</v>
      </c>
      <c r="F645" s="926" t="s">
        <v>45</v>
      </c>
      <c r="G645" s="910"/>
      <c r="H645" s="911">
        <v>0.01</v>
      </c>
      <c r="I645" s="912">
        <f>VLOOKUP(E645,[3]VLP!$B$7:$K$300,10,0)</f>
        <v>5000</v>
      </c>
      <c r="J645" s="912">
        <f>I645*H645</f>
        <v>50</v>
      </c>
      <c r="K645" s="912" t="s">
        <v>274</v>
      </c>
      <c r="L645" s="912"/>
      <c r="M645" s="912"/>
      <c r="N645" s="912"/>
      <c r="O645" s="892">
        <f t="shared" si="40"/>
        <v>0</v>
      </c>
      <c r="P645" s="903">
        <f>IF(O645=0,1,0)</f>
        <v>1</v>
      </c>
      <c r="Q645" s="893">
        <f>IF(P645=0,0,P645+Q646)</f>
        <v>3</v>
      </c>
      <c r="R645" s="894">
        <f>IF(Q645=0,Q646,0)</f>
        <v>0</v>
      </c>
    </row>
    <row r="646" spans="1:18" s="904" customFormat="1">
      <c r="A646" s="895"/>
      <c r="B646" s="896"/>
      <c r="C646" s="897"/>
      <c r="D646" s="897"/>
      <c r="E646" s="924" t="s">
        <v>276</v>
      </c>
      <c r="F646" s="927"/>
      <c r="G646" s="928"/>
      <c r="H646" s="901"/>
      <c r="I646" s="902"/>
      <c r="J646" s="902"/>
      <c r="K646" s="912" t="s">
        <v>274</v>
      </c>
      <c r="L646" s="902"/>
      <c r="M646" s="902"/>
      <c r="N646" s="902"/>
      <c r="O646" s="892">
        <f t="shared" si="40"/>
        <v>0</v>
      </c>
      <c r="P646" s="903">
        <f t="shared" ref="P646:P709" si="41">IF(O646=0,1,0)</f>
        <v>1</v>
      </c>
      <c r="Q646" s="893">
        <f t="shared" ref="Q646:Q709" si="42">IF(P646=0,0,P646+Q647)</f>
        <v>2</v>
      </c>
      <c r="R646" s="894">
        <f t="shared" ref="R646:R709" si="43">IF(Q646=0,Q647,0)</f>
        <v>0</v>
      </c>
    </row>
    <row r="647" spans="1:18">
      <c r="A647" s="905"/>
      <c r="B647" s="906"/>
      <c r="C647" s="907">
        <v>735</v>
      </c>
      <c r="D647" s="907" t="s">
        <v>12</v>
      </c>
      <c r="E647" s="908" t="s">
        <v>4065</v>
      </c>
      <c r="F647" s="909" t="s">
        <v>2674</v>
      </c>
      <c r="G647" s="910"/>
      <c r="H647" s="911">
        <v>0.28000000000000003</v>
      </c>
      <c r="I647" s="912"/>
      <c r="J647" s="912"/>
      <c r="K647" s="912">
        <f>VLOOKUP(E647,ĐMNC!$A$7:$F$67,4,0)</f>
        <v>232803</v>
      </c>
      <c r="L647" s="912">
        <f>H647*K647</f>
        <v>65184.840000000004</v>
      </c>
      <c r="M647" s="912"/>
      <c r="N647" s="912"/>
      <c r="O647" s="892">
        <f t="shared" si="40"/>
        <v>0</v>
      </c>
      <c r="P647" s="903">
        <f t="shared" si="41"/>
        <v>1</v>
      </c>
      <c r="Q647" s="893">
        <f t="shared" si="42"/>
        <v>1</v>
      </c>
      <c r="R647" s="894">
        <f t="shared" si="43"/>
        <v>0</v>
      </c>
    </row>
    <row r="648" spans="1:18" s="847" customFormat="1">
      <c r="A648" s="905"/>
      <c r="B648" s="914" t="s">
        <v>1130</v>
      </c>
      <c r="C648" s="915"/>
      <c r="D648" s="915"/>
      <c r="E648" s="916" t="s">
        <v>4145</v>
      </c>
      <c r="F648" s="917" t="s">
        <v>139</v>
      </c>
      <c r="G648" s="918"/>
      <c r="H648" s="919"/>
      <c r="I648" s="920"/>
      <c r="J648" s="891">
        <f>SUM(J649:J653)</f>
        <v>1825</v>
      </c>
      <c r="K648" s="891"/>
      <c r="L648" s="891">
        <f>SUM(L649:L653)</f>
        <v>90793.17</v>
      </c>
      <c r="M648" s="891"/>
      <c r="N648" s="891">
        <f>SUM(N649:N653)</f>
        <v>0</v>
      </c>
      <c r="O648" s="892">
        <f t="shared" si="40"/>
        <v>1</v>
      </c>
      <c r="P648" s="903">
        <f t="shared" si="41"/>
        <v>0</v>
      </c>
      <c r="Q648" s="893">
        <f t="shared" si="42"/>
        <v>0</v>
      </c>
      <c r="R648" s="894">
        <f t="shared" si="43"/>
        <v>4</v>
      </c>
    </row>
    <row r="649" spans="1:18" s="904" customFormat="1">
      <c r="A649" s="895"/>
      <c r="B649" s="896"/>
      <c r="C649" s="897"/>
      <c r="D649" s="897"/>
      <c r="E649" s="924" t="s">
        <v>108</v>
      </c>
      <c r="F649" s="899"/>
      <c r="G649" s="900"/>
      <c r="H649" s="901"/>
      <c r="I649" s="902"/>
      <c r="J649" s="902"/>
      <c r="K649" s="912" t="s">
        <v>274</v>
      </c>
      <c r="L649" s="902"/>
      <c r="M649" s="902"/>
      <c r="N649" s="902"/>
      <c r="O649" s="892">
        <f t="shared" si="40"/>
        <v>0</v>
      </c>
      <c r="P649" s="903">
        <f t="shared" si="41"/>
        <v>1</v>
      </c>
      <c r="Q649" s="893">
        <f>IF(P649=0,0,P649+Q651)</f>
        <v>4</v>
      </c>
      <c r="R649" s="894">
        <f>IF(Q649=0,Q651,0)</f>
        <v>0</v>
      </c>
    </row>
    <row r="650" spans="1:18">
      <c r="A650" s="905"/>
      <c r="B650" s="906"/>
      <c r="C650" s="907">
        <v>44</v>
      </c>
      <c r="D650" s="907" t="s">
        <v>279</v>
      </c>
      <c r="E650" s="925" t="s">
        <v>2681</v>
      </c>
      <c r="F650" s="926" t="s">
        <v>45</v>
      </c>
      <c r="G650" s="910"/>
      <c r="H650" s="911">
        <v>7.4999999999999997E-2</v>
      </c>
      <c r="I650" s="912">
        <f>VLOOKUP(E650,[3]VLP!$B$7:$K$300,10,0)</f>
        <v>23000</v>
      </c>
      <c r="J650" s="912">
        <f>I650*H650</f>
        <v>1725</v>
      </c>
      <c r="K650" s="912" t="s">
        <v>274</v>
      </c>
      <c r="L650" s="912"/>
      <c r="M650" s="912"/>
      <c r="N650" s="912"/>
      <c r="O650" s="892">
        <f t="shared" si="40"/>
        <v>0</v>
      </c>
      <c r="P650" s="903">
        <f>IF(O650=0,1,0)</f>
        <v>1</v>
      </c>
      <c r="Q650" s="893">
        <f>IF(P650=0,0,P650+Q651)</f>
        <v>4</v>
      </c>
      <c r="R650" s="894">
        <f>IF(Q650=0,Q651,0)</f>
        <v>0</v>
      </c>
    </row>
    <row r="651" spans="1:18">
      <c r="A651" s="905"/>
      <c r="B651" s="906"/>
      <c r="C651" s="907">
        <v>66</v>
      </c>
      <c r="D651" s="907" t="s">
        <v>279</v>
      </c>
      <c r="E651" s="925" t="s">
        <v>2682</v>
      </c>
      <c r="F651" s="926" t="s">
        <v>45</v>
      </c>
      <c r="G651" s="910"/>
      <c r="H651" s="911">
        <v>0.02</v>
      </c>
      <c r="I651" s="912">
        <f>VLOOKUP(E651,[3]VLP!$B$7:$K$300,10,0)</f>
        <v>5000</v>
      </c>
      <c r="J651" s="912">
        <f>I651*H651</f>
        <v>100</v>
      </c>
      <c r="K651" s="912" t="s">
        <v>274</v>
      </c>
      <c r="L651" s="912"/>
      <c r="M651" s="912"/>
      <c r="N651" s="912"/>
      <c r="O651" s="892">
        <f t="shared" si="40"/>
        <v>0</v>
      </c>
      <c r="P651" s="903">
        <f>IF(O651=0,1,0)</f>
        <v>1</v>
      </c>
      <c r="Q651" s="893">
        <f>IF(P651=0,0,P651+Q652)</f>
        <v>3</v>
      </c>
      <c r="R651" s="894">
        <f>IF(Q651=0,Q652,0)</f>
        <v>0</v>
      </c>
    </row>
    <row r="652" spans="1:18" s="904" customFormat="1">
      <c r="A652" s="895"/>
      <c r="B652" s="896"/>
      <c r="C652" s="897"/>
      <c r="D652" s="897"/>
      <c r="E652" s="924" t="s">
        <v>276</v>
      </c>
      <c r="F652" s="927"/>
      <c r="G652" s="928"/>
      <c r="H652" s="901"/>
      <c r="I652" s="902"/>
      <c r="J652" s="902"/>
      <c r="K652" s="912" t="s">
        <v>274</v>
      </c>
      <c r="L652" s="902"/>
      <c r="M652" s="902"/>
      <c r="N652" s="902"/>
      <c r="O652" s="892">
        <f t="shared" si="40"/>
        <v>0</v>
      </c>
      <c r="P652" s="903">
        <f t="shared" si="41"/>
        <v>1</v>
      </c>
      <c r="Q652" s="893">
        <f t="shared" si="42"/>
        <v>2</v>
      </c>
      <c r="R652" s="894">
        <f t="shared" si="43"/>
        <v>0</v>
      </c>
    </row>
    <row r="653" spans="1:18">
      <c r="A653" s="905"/>
      <c r="B653" s="906"/>
      <c r="C653" s="907">
        <v>735</v>
      </c>
      <c r="D653" s="907" t="s">
        <v>12</v>
      </c>
      <c r="E653" s="908" t="s">
        <v>4065</v>
      </c>
      <c r="F653" s="909" t="s">
        <v>2674</v>
      </c>
      <c r="G653" s="910"/>
      <c r="H653" s="911">
        <v>0.39</v>
      </c>
      <c r="I653" s="912"/>
      <c r="J653" s="912"/>
      <c r="K653" s="912">
        <f>VLOOKUP(E653,ĐMNC!$A$7:$F$67,4,0)</f>
        <v>232803</v>
      </c>
      <c r="L653" s="912">
        <f>H653*K653</f>
        <v>90793.17</v>
      </c>
      <c r="M653" s="912"/>
      <c r="N653" s="912"/>
      <c r="O653" s="892">
        <f t="shared" si="40"/>
        <v>0</v>
      </c>
      <c r="P653" s="903">
        <f t="shared" si="41"/>
        <v>1</v>
      </c>
      <c r="Q653" s="893">
        <f t="shared" si="42"/>
        <v>1</v>
      </c>
      <c r="R653" s="894">
        <f t="shared" si="43"/>
        <v>0</v>
      </c>
    </row>
    <row r="654" spans="1:18" s="847" customFormat="1">
      <c r="A654" s="905"/>
      <c r="B654" s="914" t="s">
        <v>1132</v>
      </c>
      <c r="C654" s="915"/>
      <c r="D654" s="915"/>
      <c r="E654" s="916" t="s">
        <v>4146</v>
      </c>
      <c r="F654" s="917" t="s">
        <v>139</v>
      </c>
      <c r="G654" s="918"/>
      <c r="H654" s="919"/>
      <c r="I654" s="920"/>
      <c r="J654" s="891">
        <f>SUM(J655:J659)</f>
        <v>1825</v>
      </c>
      <c r="K654" s="891"/>
      <c r="L654" s="891">
        <f>SUM(L655:L659)</f>
        <v>128041.65000000001</v>
      </c>
      <c r="M654" s="891"/>
      <c r="N654" s="891">
        <f>SUM(N655:N659)</f>
        <v>0</v>
      </c>
      <c r="O654" s="892">
        <f t="shared" si="40"/>
        <v>1</v>
      </c>
      <c r="P654" s="903">
        <f t="shared" si="41"/>
        <v>0</v>
      </c>
      <c r="Q654" s="893">
        <f t="shared" si="42"/>
        <v>0</v>
      </c>
      <c r="R654" s="894">
        <f t="shared" si="43"/>
        <v>4</v>
      </c>
    </row>
    <row r="655" spans="1:18" s="904" customFormat="1">
      <c r="A655" s="895"/>
      <c r="B655" s="896"/>
      <c r="C655" s="897"/>
      <c r="D655" s="897"/>
      <c r="E655" s="924" t="s">
        <v>108</v>
      </c>
      <c r="F655" s="899"/>
      <c r="G655" s="900"/>
      <c r="H655" s="901"/>
      <c r="I655" s="902"/>
      <c r="J655" s="902"/>
      <c r="K655" s="912" t="s">
        <v>274</v>
      </c>
      <c r="L655" s="902"/>
      <c r="M655" s="902"/>
      <c r="N655" s="902"/>
      <c r="O655" s="892">
        <f t="shared" si="40"/>
        <v>0</v>
      </c>
      <c r="P655" s="903">
        <f t="shared" si="41"/>
        <v>1</v>
      </c>
      <c r="Q655" s="893">
        <f>IF(P655=0,0,P655+Q657)</f>
        <v>4</v>
      </c>
      <c r="R655" s="894">
        <f>IF(Q655=0,Q657,0)</f>
        <v>0</v>
      </c>
    </row>
    <row r="656" spans="1:18">
      <c r="A656" s="905"/>
      <c r="B656" s="906"/>
      <c r="C656" s="907">
        <v>44</v>
      </c>
      <c r="D656" s="907" t="s">
        <v>279</v>
      </c>
      <c r="E656" s="925" t="s">
        <v>2681</v>
      </c>
      <c r="F656" s="926" t="s">
        <v>45</v>
      </c>
      <c r="G656" s="910"/>
      <c r="H656" s="911">
        <v>7.4999999999999997E-2</v>
      </c>
      <c r="I656" s="912">
        <f>VLOOKUP(E656,[3]VLP!$B$7:$K$300,10,0)</f>
        <v>23000</v>
      </c>
      <c r="J656" s="912">
        <f>I656*H656</f>
        <v>1725</v>
      </c>
      <c r="K656" s="912" t="s">
        <v>274</v>
      </c>
      <c r="L656" s="912"/>
      <c r="M656" s="912"/>
      <c r="N656" s="912"/>
      <c r="O656" s="892">
        <f t="shared" si="40"/>
        <v>0</v>
      </c>
      <c r="P656" s="903">
        <f t="shared" si="41"/>
        <v>1</v>
      </c>
      <c r="Q656" s="893">
        <f>IF(P656=0,0,P656+Q657)</f>
        <v>4</v>
      </c>
      <c r="R656" s="894">
        <f>IF(Q656=0,Q657,0)</f>
        <v>0</v>
      </c>
    </row>
    <row r="657" spans="1:18">
      <c r="A657" s="905"/>
      <c r="B657" s="906"/>
      <c r="C657" s="907">
        <v>66</v>
      </c>
      <c r="D657" s="907" t="s">
        <v>279</v>
      </c>
      <c r="E657" s="925" t="s">
        <v>2682</v>
      </c>
      <c r="F657" s="926" t="s">
        <v>45</v>
      </c>
      <c r="G657" s="910"/>
      <c r="H657" s="911">
        <v>0.02</v>
      </c>
      <c r="I657" s="912">
        <f>VLOOKUP(E657,[3]VLP!$B$7:$K$300,10,0)</f>
        <v>5000</v>
      </c>
      <c r="J657" s="912">
        <f>I657*H657</f>
        <v>100</v>
      </c>
      <c r="K657" s="912" t="s">
        <v>274</v>
      </c>
      <c r="L657" s="912"/>
      <c r="M657" s="912"/>
      <c r="N657" s="912"/>
      <c r="O657" s="892">
        <f t="shared" si="40"/>
        <v>0</v>
      </c>
      <c r="P657" s="903">
        <f t="shared" si="41"/>
        <v>1</v>
      </c>
      <c r="Q657" s="893">
        <f>IF(P657=0,0,P657+Q658)</f>
        <v>3</v>
      </c>
      <c r="R657" s="894">
        <f>IF(Q657=0,Q658,0)</f>
        <v>0</v>
      </c>
    </row>
    <row r="658" spans="1:18" s="904" customFormat="1">
      <c r="A658" s="895"/>
      <c r="B658" s="896"/>
      <c r="C658" s="897"/>
      <c r="D658" s="897"/>
      <c r="E658" s="924" t="s">
        <v>276</v>
      </c>
      <c r="F658" s="927"/>
      <c r="G658" s="928"/>
      <c r="H658" s="901"/>
      <c r="I658" s="902"/>
      <c r="J658" s="902"/>
      <c r="K658" s="912" t="s">
        <v>274</v>
      </c>
      <c r="L658" s="902"/>
      <c r="M658" s="902"/>
      <c r="N658" s="902"/>
      <c r="O658" s="892">
        <f t="shared" si="40"/>
        <v>0</v>
      </c>
      <c r="P658" s="903">
        <f t="shared" si="41"/>
        <v>1</v>
      </c>
      <c r="Q658" s="893">
        <f t="shared" si="42"/>
        <v>2</v>
      </c>
      <c r="R658" s="894">
        <f t="shared" si="43"/>
        <v>0</v>
      </c>
    </row>
    <row r="659" spans="1:18">
      <c r="A659" s="905"/>
      <c r="B659" s="906"/>
      <c r="C659" s="907">
        <v>735</v>
      </c>
      <c r="D659" s="907" t="s">
        <v>12</v>
      </c>
      <c r="E659" s="908" t="s">
        <v>4065</v>
      </c>
      <c r="F659" s="909" t="s">
        <v>2674</v>
      </c>
      <c r="G659" s="910"/>
      <c r="H659" s="911">
        <v>0.55000000000000004</v>
      </c>
      <c r="I659" s="912"/>
      <c r="J659" s="912"/>
      <c r="K659" s="912">
        <f>VLOOKUP(E659,ĐMNC!$A$7:$F$67,4,0)</f>
        <v>232803</v>
      </c>
      <c r="L659" s="912">
        <f>H659*K659</f>
        <v>128041.65000000001</v>
      </c>
      <c r="M659" s="912"/>
      <c r="N659" s="912"/>
      <c r="O659" s="892">
        <f t="shared" si="40"/>
        <v>0</v>
      </c>
      <c r="P659" s="903">
        <f t="shared" si="41"/>
        <v>1</v>
      </c>
      <c r="Q659" s="893">
        <f t="shared" si="42"/>
        <v>1</v>
      </c>
      <c r="R659" s="894">
        <f t="shared" si="43"/>
        <v>0</v>
      </c>
    </row>
    <row r="660" spans="1:18" s="847" customFormat="1" ht="31.5">
      <c r="A660" s="905"/>
      <c r="B660" s="914" t="s">
        <v>1134</v>
      </c>
      <c r="C660" s="915"/>
      <c r="D660" s="915"/>
      <c r="E660" s="916" t="s">
        <v>4147</v>
      </c>
      <c r="F660" s="917" t="s">
        <v>139</v>
      </c>
      <c r="G660" s="918"/>
      <c r="H660" s="919"/>
      <c r="I660" s="920"/>
      <c r="J660" s="891">
        <f>SUM(J661:J667)</f>
        <v>1200</v>
      </c>
      <c r="K660" s="891"/>
      <c r="L660" s="891">
        <f>SUM(L661:L667)</f>
        <v>5587.2719999999999</v>
      </c>
      <c r="M660" s="891"/>
      <c r="N660" s="891">
        <f>SUM(N661:N667)</f>
        <v>21692.625</v>
      </c>
      <c r="O660" s="892">
        <f t="shared" si="40"/>
        <v>1</v>
      </c>
      <c r="P660" s="903">
        <f t="shared" si="41"/>
        <v>0</v>
      </c>
      <c r="Q660" s="893">
        <f t="shared" si="42"/>
        <v>0</v>
      </c>
      <c r="R660" s="894">
        <f t="shared" si="43"/>
        <v>6</v>
      </c>
    </row>
    <row r="661" spans="1:18" s="904" customFormat="1">
      <c r="A661" s="895"/>
      <c r="B661" s="896"/>
      <c r="C661" s="897"/>
      <c r="D661" s="897"/>
      <c r="E661" s="924" t="s">
        <v>108</v>
      </c>
      <c r="F661" s="899"/>
      <c r="G661" s="900"/>
      <c r="H661" s="901"/>
      <c r="I661" s="902"/>
      <c r="J661" s="902"/>
      <c r="K661" s="912" t="s">
        <v>274</v>
      </c>
      <c r="L661" s="902"/>
      <c r="M661" s="902"/>
      <c r="N661" s="902"/>
      <c r="O661" s="892">
        <f t="shared" si="40"/>
        <v>0</v>
      </c>
      <c r="P661" s="903">
        <f t="shared" si="41"/>
        <v>1</v>
      </c>
      <c r="Q661" s="893">
        <f>IF(P661=0,0,P661+Q663)</f>
        <v>6</v>
      </c>
      <c r="R661" s="894">
        <f>IF(Q661=0,Q663,0)</f>
        <v>0</v>
      </c>
    </row>
    <row r="662" spans="1:18">
      <c r="A662" s="905"/>
      <c r="B662" s="906"/>
      <c r="C662" s="907">
        <v>44</v>
      </c>
      <c r="D662" s="907" t="s">
        <v>279</v>
      </c>
      <c r="E662" s="925" t="s">
        <v>2681</v>
      </c>
      <c r="F662" s="926" t="s">
        <v>45</v>
      </c>
      <c r="G662" s="910"/>
      <c r="H662" s="911">
        <v>0.05</v>
      </c>
      <c r="I662" s="912">
        <f>VLOOKUP(E662,[3]VLP!$B$7:$K$300,10,0)</f>
        <v>23000</v>
      </c>
      <c r="J662" s="912">
        <f>I662*H662</f>
        <v>1150</v>
      </c>
      <c r="K662" s="912" t="s">
        <v>274</v>
      </c>
      <c r="L662" s="912"/>
      <c r="M662" s="912"/>
      <c r="N662" s="912"/>
      <c r="O662" s="892">
        <f t="shared" si="40"/>
        <v>0</v>
      </c>
      <c r="P662" s="903">
        <f t="shared" si="41"/>
        <v>1</v>
      </c>
      <c r="Q662" s="893">
        <f>IF(P662=0,0,P662+Q663)</f>
        <v>6</v>
      </c>
      <c r="R662" s="894">
        <f>IF(Q662=0,Q663,0)</f>
        <v>0</v>
      </c>
    </row>
    <row r="663" spans="1:18">
      <c r="A663" s="905"/>
      <c r="B663" s="906"/>
      <c r="C663" s="907">
        <v>66</v>
      </c>
      <c r="D663" s="907" t="s">
        <v>279</v>
      </c>
      <c r="E663" s="925" t="s">
        <v>2682</v>
      </c>
      <c r="F663" s="926" t="s">
        <v>45</v>
      </c>
      <c r="G663" s="910"/>
      <c r="H663" s="911">
        <v>0.01</v>
      </c>
      <c r="I663" s="912">
        <f>VLOOKUP(E663,[3]VLP!$B$7:$K$300,10,0)</f>
        <v>5000</v>
      </c>
      <c r="J663" s="912">
        <f>I663*H663</f>
        <v>50</v>
      </c>
      <c r="K663" s="912" t="s">
        <v>274</v>
      </c>
      <c r="L663" s="912"/>
      <c r="M663" s="912"/>
      <c r="N663" s="912"/>
      <c r="O663" s="892">
        <f t="shared" si="40"/>
        <v>0</v>
      </c>
      <c r="P663" s="903">
        <f t="shared" si="41"/>
        <v>1</v>
      </c>
      <c r="Q663" s="893">
        <f>IF(P663=0,0,P663+Q664)</f>
        <v>5</v>
      </c>
      <c r="R663" s="894">
        <f>IF(Q663=0,Q664,0)</f>
        <v>0</v>
      </c>
    </row>
    <row r="664" spans="1:18" s="904" customFormat="1">
      <c r="A664" s="895"/>
      <c r="B664" s="896"/>
      <c r="C664" s="897"/>
      <c r="D664" s="897"/>
      <c r="E664" s="924" t="s">
        <v>276</v>
      </c>
      <c r="F664" s="927"/>
      <c r="G664" s="928"/>
      <c r="H664" s="901"/>
      <c r="I664" s="902"/>
      <c r="J664" s="902"/>
      <c r="K664" s="912" t="s">
        <v>274</v>
      </c>
      <c r="L664" s="902"/>
      <c r="M664" s="902"/>
      <c r="N664" s="902"/>
      <c r="O664" s="892">
        <f t="shared" si="40"/>
        <v>0</v>
      </c>
      <c r="P664" s="903">
        <f t="shared" si="41"/>
        <v>1</v>
      </c>
      <c r="Q664" s="893">
        <f t="shared" si="42"/>
        <v>4</v>
      </c>
      <c r="R664" s="894">
        <f t="shared" si="43"/>
        <v>0</v>
      </c>
    </row>
    <row r="665" spans="1:18">
      <c r="A665" s="905"/>
      <c r="B665" s="906"/>
      <c r="C665" s="907">
        <v>735</v>
      </c>
      <c r="D665" s="907" t="s">
        <v>12</v>
      </c>
      <c r="E665" s="908" t="s">
        <v>4065</v>
      </c>
      <c r="F665" s="909" t="s">
        <v>2674</v>
      </c>
      <c r="G665" s="910"/>
      <c r="H665" s="911">
        <v>2.4E-2</v>
      </c>
      <c r="I665" s="912"/>
      <c r="J665" s="912"/>
      <c r="K665" s="912">
        <f>VLOOKUP(E665,ĐMNC!$A$7:$F$67,4,0)</f>
        <v>232803</v>
      </c>
      <c r="L665" s="912">
        <f>H665*K665</f>
        <v>5587.2719999999999</v>
      </c>
      <c r="M665" s="912"/>
      <c r="N665" s="912"/>
      <c r="O665" s="892">
        <f t="shared" si="40"/>
        <v>0</v>
      </c>
      <c r="P665" s="903">
        <f t="shared" si="41"/>
        <v>1</v>
      </c>
      <c r="Q665" s="893">
        <f t="shared" si="42"/>
        <v>3</v>
      </c>
      <c r="R665" s="894">
        <f t="shared" si="43"/>
        <v>0</v>
      </c>
    </row>
    <row r="666" spans="1:18" s="904" customFormat="1">
      <c r="A666" s="895"/>
      <c r="B666" s="896"/>
      <c r="C666" s="897"/>
      <c r="D666" s="897"/>
      <c r="E666" s="898" t="s">
        <v>3914</v>
      </c>
      <c r="F666" s="899"/>
      <c r="G666" s="928"/>
      <c r="H666" s="901"/>
      <c r="I666" s="902"/>
      <c r="J666" s="902"/>
      <c r="K666" s="912" t="s">
        <v>274</v>
      </c>
      <c r="L666" s="902"/>
      <c r="M666" s="902"/>
      <c r="N666" s="902"/>
      <c r="O666" s="892">
        <f t="shared" si="40"/>
        <v>0</v>
      </c>
      <c r="P666" s="903">
        <f t="shared" si="41"/>
        <v>1</v>
      </c>
      <c r="Q666" s="893">
        <f t="shared" si="42"/>
        <v>2</v>
      </c>
      <c r="R666" s="894">
        <f t="shared" si="43"/>
        <v>0</v>
      </c>
    </row>
    <row r="667" spans="1:18">
      <c r="A667" s="905"/>
      <c r="B667" s="906" t="s">
        <v>4148</v>
      </c>
      <c r="C667" s="907">
        <v>824</v>
      </c>
      <c r="D667" s="907" t="s">
        <v>93</v>
      </c>
      <c r="E667" s="925" t="s">
        <v>4149</v>
      </c>
      <c r="F667" s="909" t="s">
        <v>2673</v>
      </c>
      <c r="G667" s="910"/>
      <c r="H667" s="911">
        <v>1.4999999999999999E-2</v>
      </c>
      <c r="I667" s="912"/>
      <c r="J667" s="912"/>
      <c r="K667" s="912"/>
      <c r="L667" s="912"/>
      <c r="M667" s="912">
        <f>VLOOKUP(B667,MTC!$B$9:$S$933,12,0)</f>
        <v>1446175</v>
      </c>
      <c r="N667" s="912">
        <f>M667*H667</f>
        <v>21692.625</v>
      </c>
      <c r="O667" s="892">
        <f t="shared" si="40"/>
        <v>0</v>
      </c>
      <c r="P667" s="903">
        <f t="shared" si="41"/>
        <v>1</v>
      </c>
      <c r="Q667" s="893">
        <f t="shared" si="42"/>
        <v>1</v>
      </c>
      <c r="R667" s="894">
        <f t="shared" si="43"/>
        <v>0</v>
      </c>
    </row>
    <row r="668" spans="1:18" s="847" customFormat="1">
      <c r="A668" s="905"/>
      <c r="B668" s="914" t="s">
        <v>1136</v>
      </c>
      <c r="C668" s="915"/>
      <c r="D668" s="915"/>
      <c r="E668" s="916" t="s">
        <v>4150</v>
      </c>
      <c r="F668" s="917" t="s">
        <v>139</v>
      </c>
      <c r="G668" s="918"/>
      <c r="H668" s="919"/>
      <c r="I668" s="920"/>
      <c r="J668" s="891">
        <f>SUM(J669:J675)</f>
        <v>1200</v>
      </c>
      <c r="K668" s="891"/>
      <c r="L668" s="891">
        <f>SUM(L669:L675)</f>
        <v>6518.4840000000004</v>
      </c>
      <c r="M668" s="891"/>
      <c r="N668" s="891">
        <f>SUM(N669:N675)</f>
        <v>21692.625</v>
      </c>
      <c r="O668" s="892">
        <f t="shared" si="40"/>
        <v>1</v>
      </c>
      <c r="P668" s="903">
        <f t="shared" si="41"/>
        <v>0</v>
      </c>
      <c r="Q668" s="893">
        <f t="shared" si="42"/>
        <v>0</v>
      </c>
      <c r="R668" s="894">
        <f t="shared" si="43"/>
        <v>6</v>
      </c>
    </row>
    <row r="669" spans="1:18" s="904" customFormat="1">
      <c r="A669" s="895"/>
      <c r="B669" s="896"/>
      <c r="C669" s="897"/>
      <c r="D669" s="897"/>
      <c r="E669" s="924" t="s">
        <v>108</v>
      </c>
      <c r="F669" s="899"/>
      <c r="G669" s="900"/>
      <c r="H669" s="901"/>
      <c r="I669" s="902"/>
      <c r="J669" s="902"/>
      <c r="K669" s="912" t="s">
        <v>274</v>
      </c>
      <c r="L669" s="902"/>
      <c r="M669" s="902"/>
      <c r="N669" s="902"/>
      <c r="O669" s="892">
        <f t="shared" si="40"/>
        <v>0</v>
      </c>
      <c r="P669" s="903">
        <f t="shared" si="41"/>
        <v>1</v>
      </c>
      <c r="Q669" s="893">
        <f>IF(P669=0,0,P669+Q671)</f>
        <v>6</v>
      </c>
      <c r="R669" s="894">
        <f>IF(Q669=0,Q671,0)</f>
        <v>0</v>
      </c>
    </row>
    <row r="670" spans="1:18">
      <c r="A670" s="905"/>
      <c r="B670" s="906"/>
      <c r="C670" s="907">
        <v>44</v>
      </c>
      <c r="D670" s="907" t="s">
        <v>279</v>
      </c>
      <c r="E670" s="925" t="s">
        <v>2681</v>
      </c>
      <c r="F670" s="926" t="s">
        <v>45</v>
      </c>
      <c r="G670" s="910"/>
      <c r="H670" s="911">
        <v>0.05</v>
      </c>
      <c r="I670" s="912">
        <f>VLOOKUP(E670,[3]VLP!$B$7:$K$300,10,0)</f>
        <v>23000</v>
      </c>
      <c r="J670" s="912">
        <f>I670*H670</f>
        <v>1150</v>
      </c>
      <c r="K670" s="912" t="s">
        <v>274</v>
      </c>
      <c r="L670" s="912"/>
      <c r="M670" s="912"/>
      <c r="N670" s="912"/>
      <c r="O670" s="892">
        <f t="shared" si="40"/>
        <v>0</v>
      </c>
      <c r="P670" s="903">
        <f t="shared" si="41"/>
        <v>1</v>
      </c>
      <c r="Q670" s="893">
        <f>IF(P670=0,0,P670+Q671)</f>
        <v>6</v>
      </c>
      <c r="R670" s="894">
        <f>IF(Q670=0,Q671,0)</f>
        <v>0</v>
      </c>
    </row>
    <row r="671" spans="1:18">
      <c r="A671" s="905"/>
      <c r="B671" s="906"/>
      <c r="C671" s="907">
        <v>66</v>
      </c>
      <c r="D671" s="907" t="s">
        <v>279</v>
      </c>
      <c r="E671" s="925" t="s">
        <v>2682</v>
      </c>
      <c r="F671" s="926" t="s">
        <v>45</v>
      </c>
      <c r="G671" s="910"/>
      <c r="H671" s="911">
        <v>0.01</v>
      </c>
      <c r="I671" s="912">
        <f>VLOOKUP(E671,[3]VLP!$B$7:$K$300,10,0)</f>
        <v>5000</v>
      </c>
      <c r="J671" s="912">
        <f>I671*H671</f>
        <v>50</v>
      </c>
      <c r="K671" s="912" t="s">
        <v>274</v>
      </c>
      <c r="L671" s="912"/>
      <c r="M671" s="912"/>
      <c r="N671" s="912"/>
      <c r="O671" s="892">
        <f t="shared" si="40"/>
        <v>0</v>
      </c>
      <c r="P671" s="903">
        <f t="shared" si="41"/>
        <v>1</v>
      </c>
      <c r="Q671" s="893">
        <f>IF(P671=0,0,P671+Q672)</f>
        <v>5</v>
      </c>
      <c r="R671" s="894">
        <f>IF(Q671=0,Q672,0)</f>
        <v>0</v>
      </c>
    </row>
    <row r="672" spans="1:18" s="904" customFormat="1">
      <c r="A672" s="895"/>
      <c r="B672" s="896"/>
      <c r="C672" s="897"/>
      <c r="D672" s="897"/>
      <c r="E672" s="924" t="s">
        <v>276</v>
      </c>
      <c r="F672" s="927"/>
      <c r="G672" s="928"/>
      <c r="H672" s="901"/>
      <c r="I672" s="902"/>
      <c r="J672" s="902"/>
      <c r="K672" s="912" t="s">
        <v>274</v>
      </c>
      <c r="L672" s="902"/>
      <c r="M672" s="902"/>
      <c r="N672" s="902"/>
      <c r="O672" s="892">
        <f t="shared" si="40"/>
        <v>0</v>
      </c>
      <c r="P672" s="903">
        <f t="shared" si="41"/>
        <v>1</v>
      </c>
      <c r="Q672" s="893">
        <f t="shared" si="42"/>
        <v>4</v>
      </c>
      <c r="R672" s="894">
        <f t="shared" si="43"/>
        <v>0</v>
      </c>
    </row>
    <row r="673" spans="1:18">
      <c r="A673" s="905"/>
      <c r="B673" s="906"/>
      <c r="C673" s="907">
        <v>735</v>
      </c>
      <c r="D673" s="907" t="s">
        <v>12</v>
      </c>
      <c r="E673" s="908" t="s">
        <v>4065</v>
      </c>
      <c r="F673" s="909" t="s">
        <v>2674</v>
      </c>
      <c r="G673" s="910"/>
      <c r="H673" s="911">
        <v>2.8000000000000001E-2</v>
      </c>
      <c r="I673" s="912"/>
      <c r="J673" s="912"/>
      <c r="K673" s="912">
        <f>VLOOKUP(E673,ĐMNC!$A$7:$F$67,4,0)</f>
        <v>232803</v>
      </c>
      <c r="L673" s="912">
        <f>H673*K673</f>
        <v>6518.4840000000004</v>
      </c>
      <c r="M673" s="912"/>
      <c r="N673" s="912"/>
      <c r="O673" s="892">
        <f t="shared" si="40"/>
        <v>0</v>
      </c>
      <c r="P673" s="903">
        <f t="shared" si="41"/>
        <v>1</v>
      </c>
      <c r="Q673" s="893">
        <f t="shared" si="42"/>
        <v>3</v>
      </c>
      <c r="R673" s="894">
        <f t="shared" si="43"/>
        <v>0</v>
      </c>
    </row>
    <row r="674" spans="1:18" s="904" customFormat="1">
      <c r="A674" s="895"/>
      <c r="B674" s="896"/>
      <c r="C674" s="897"/>
      <c r="D674" s="897"/>
      <c r="E674" s="898" t="s">
        <v>3914</v>
      </c>
      <c r="F674" s="899"/>
      <c r="G674" s="928"/>
      <c r="H674" s="901"/>
      <c r="I674" s="902"/>
      <c r="J674" s="902"/>
      <c r="K674" s="912" t="s">
        <v>274</v>
      </c>
      <c r="L674" s="902"/>
      <c r="M674" s="902"/>
      <c r="N674" s="902"/>
      <c r="O674" s="892">
        <f t="shared" si="40"/>
        <v>0</v>
      </c>
      <c r="P674" s="903">
        <f t="shared" si="41"/>
        <v>1</v>
      </c>
      <c r="Q674" s="893">
        <f t="shared" si="42"/>
        <v>2</v>
      </c>
      <c r="R674" s="894">
        <f t="shared" si="43"/>
        <v>0</v>
      </c>
    </row>
    <row r="675" spans="1:18">
      <c r="A675" s="905"/>
      <c r="B675" s="906" t="s">
        <v>4148</v>
      </c>
      <c r="C675" s="907">
        <v>824</v>
      </c>
      <c r="D675" s="907" t="s">
        <v>93</v>
      </c>
      <c r="E675" s="925" t="s">
        <v>4149</v>
      </c>
      <c r="F675" s="909" t="s">
        <v>2673</v>
      </c>
      <c r="G675" s="910"/>
      <c r="H675" s="911">
        <v>1.4999999999999999E-2</v>
      </c>
      <c r="I675" s="912"/>
      <c r="J675" s="912"/>
      <c r="K675" s="912"/>
      <c r="L675" s="912"/>
      <c r="M675" s="912">
        <f>VLOOKUP(B675,MTC!$B$9:$S$933,12,0)</f>
        <v>1446175</v>
      </c>
      <c r="N675" s="912">
        <f>M675*H675</f>
        <v>21692.625</v>
      </c>
      <c r="O675" s="892">
        <f t="shared" si="40"/>
        <v>0</v>
      </c>
      <c r="P675" s="903">
        <f t="shared" si="41"/>
        <v>1</v>
      </c>
      <c r="Q675" s="893">
        <f t="shared" si="42"/>
        <v>1</v>
      </c>
      <c r="R675" s="894">
        <f t="shared" si="43"/>
        <v>0</v>
      </c>
    </row>
    <row r="676" spans="1:18" s="847" customFormat="1">
      <c r="A676" s="905"/>
      <c r="B676" s="914" t="s">
        <v>1138</v>
      </c>
      <c r="C676" s="915"/>
      <c r="D676" s="915"/>
      <c r="E676" s="916" t="s">
        <v>4151</v>
      </c>
      <c r="F676" s="917" t="s">
        <v>139</v>
      </c>
      <c r="G676" s="918"/>
      <c r="H676" s="919"/>
      <c r="I676" s="920"/>
      <c r="J676" s="891">
        <f>SUM(J677:J683)</f>
        <v>1200</v>
      </c>
      <c r="K676" s="891"/>
      <c r="L676" s="891">
        <f>SUM(L677:L683)</f>
        <v>18158.633999999998</v>
      </c>
      <c r="M676" s="891"/>
      <c r="N676" s="891">
        <f>SUM(N677:N683)</f>
        <v>28923.5</v>
      </c>
      <c r="O676" s="892">
        <f t="shared" si="40"/>
        <v>1</v>
      </c>
      <c r="P676" s="903">
        <f t="shared" si="41"/>
        <v>0</v>
      </c>
      <c r="Q676" s="893">
        <f t="shared" si="42"/>
        <v>0</v>
      </c>
      <c r="R676" s="894">
        <f t="shared" si="43"/>
        <v>6</v>
      </c>
    </row>
    <row r="677" spans="1:18" s="904" customFormat="1">
      <c r="A677" s="895"/>
      <c r="B677" s="896"/>
      <c r="C677" s="897"/>
      <c r="D677" s="897"/>
      <c r="E677" s="924" t="s">
        <v>108</v>
      </c>
      <c r="F677" s="899"/>
      <c r="G677" s="900"/>
      <c r="H677" s="901"/>
      <c r="I677" s="902"/>
      <c r="J677" s="902"/>
      <c r="K677" s="912" t="s">
        <v>274</v>
      </c>
      <c r="L677" s="902"/>
      <c r="M677" s="902"/>
      <c r="N677" s="902"/>
      <c r="O677" s="892">
        <f t="shared" si="40"/>
        <v>0</v>
      </c>
      <c r="P677" s="903">
        <f t="shared" si="41"/>
        <v>1</v>
      </c>
      <c r="Q677" s="893">
        <f>IF(P677=0,0,P677+Q679)</f>
        <v>6</v>
      </c>
      <c r="R677" s="894">
        <f>IF(Q677=0,Q679,0)</f>
        <v>0</v>
      </c>
    </row>
    <row r="678" spans="1:18">
      <c r="A678" s="905"/>
      <c r="B678" s="906"/>
      <c r="C678" s="907">
        <v>44</v>
      </c>
      <c r="D678" s="907" t="s">
        <v>279</v>
      </c>
      <c r="E678" s="925" t="s">
        <v>2681</v>
      </c>
      <c r="F678" s="926" t="s">
        <v>45</v>
      </c>
      <c r="G678" s="910"/>
      <c r="H678" s="911">
        <v>0.05</v>
      </c>
      <c r="I678" s="912">
        <f>VLOOKUP(E678,[3]VLP!$B$7:$K$300,10,0)</f>
        <v>23000</v>
      </c>
      <c r="J678" s="912">
        <f>I678*H678</f>
        <v>1150</v>
      </c>
      <c r="K678" s="912" t="s">
        <v>274</v>
      </c>
      <c r="L678" s="912"/>
      <c r="M678" s="912"/>
      <c r="N678" s="912"/>
      <c r="O678" s="892">
        <f t="shared" si="40"/>
        <v>0</v>
      </c>
      <c r="P678" s="903">
        <f t="shared" si="41"/>
        <v>1</v>
      </c>
      <c r="Q678" s="893">
        <f>IF(P678=0,0,P678+Q679)</f>
        <v>6</v>
      </c>
      <c r="R678" s="894">
        <f>IF(Q678=0,Q679,0)</f>
        <v>0</v>
      </c>
    </row>
    <row r="679" spans="1:18">
      <c r="A679" s="905"/>
      <c r="B679" s="906"/>
      <c r="C679" s="907">
        <v>66</v>
      </c>
      <c r="D679" s="907" t="s">
        <v>279</v>
      </c>
      <c r="E679" s="925" t="s">
        <v>2682</v>
      </c>
      <c r="F679" s="926" t="s">
        <v>45</v>
      </c>
      <c r="G679" s="910"/>
      <c r="H679" s="911">
        <v>0.01</v>
      </c>
      <c r="I679" s="912">
        <f>VLOOKUP(E679,[3]VLP!$B$7:$K$300,10,0)</f>
        <v>5000</v>
      </c>
      <c r="J679" s="912">
        <f>I679*H679</f>
        <v>50</v>
      </c>
      <c r="K679" s="912" t="s">
        <v>274</v>
      </c>
      <c r="L679" s="912"/>
      <c r="M679" s="912"/>
      <c r="N679" s="912"/>
      <c r="O679" s="892">
        <f t="shared" si="40"/>
        <v>0</v>
      </c>
      <c r="P679" s="903">
        <f t="shared" si="41"/>
        <v>1</v>
      </c>
      <c r="Q679" s="893">
        <f>IF(P679=0,0,P679+Q680)</f>
        <v>5</v>
      </c>
      <c r="R679" s="894">
        <f>IF(Q679=0,Q680,0)</f>
        <v>0</v>
      </c>
    </row>
    <row r="680" spans="1:18" s="904" customFormat="1">
      <c r="A680" s="895"/>
      <c r="B680" s="896"/>
      <c r="C680" s="897"/>
      <c r="D680" s="897"/>
      <c r="E680" s="924" t="s">
        <v>276</v>
      </c>
      <c r="F680" s="927"/>
      <c r="G680" s="928"/>
      <c r="H680" s="901"/>
      <c r="I680" s="902"/>
      <c r="J680" s="902"/>
      <c r="K680" s="912" t="s">
        <v>274</v>
      </c>
      <c r="L680" s="902"/>
      <c r="M680" s="902"/>
      <c r="N680" s="902"/>
      <c r="O680" s="892">
        <f t="shared" si="40"/>
        <v>0</v>
      </c>
      <c r="P680" s="903">
        <f t="shared" si="41"/>
        <v>1</v>
      </c>
      <c r="Q680" s="893">
        <f t="shared" si="42"/>
        <v>4</v>
      </c>
      <c r="R680" s="894">
        <f t="shared" si="43"/>
        <v>0</v>
      </c>
    </row>
    <row r="681" spans="1:18">
      <c r="A681" s="905"/>
      <c r="B681" s="906"/>
      <c r="C681" s="907">
        <v>735</v>
      </c>
      <c r="D681" s="907" t="s">
        <v>12</v>
      </c>
      <c r="E681" s="908" t="s">
        <v>4065</v>
      </c>
      <c r="F681" s="909" t="s">
        <v>2674</v>
      </c>
      <c r="G681" s="910"/>
      <c r="H681" s="911">
        <v>7.8E-2</v>
      </c>
      <c r="I681" s="912"/>
      <c r="J681" s="912"/>
      <c r="K681" s="912">
        <f>VLOOKUP(E681,ĐMNC!$A$7:$F$67,4,0)</f>
        <v>232803</v>
      </c>
      <c r="L681" s="912">
        <f>H681*K681</f>
        <v>18158.633999999998</v>
      </c>
      <c r="M681" s="912"/>
      <c r="N681" s="912"/>
      <c r="O681" s="892">
        <f t="shared" si="40"/>
        <v>0</v>
      </c>
      <c r="P681" s="903">
        <f t="shared" si="41"/>
        <v>1</v>
      </c>
      <c r="Q681" s="893">
        <f t="shared" si="42"/>
        <v>3</v>
      </c>
      <c r="R681" s="894">
        <f t="shared" si="43"/>
        <v>0</v>
      </c>
    </row>
    <row r="682" spans="1:18" s="904" customFormat="1">
      <c r="A682" s="895"/>
      <c r="B682" s="896"/>
      <c r="C682" s="897"/>
      <c r="D682" s="897"/>
      <c r="E682" s="898" t="s">
        <v>3914</v>
      </c>
      <c r="F682" s="899"/>
      <c r="G682" s="928"/>
      <c r="H682" s="901"/>
      <c r="I682" s="902"/>
      <c r="J682" s="902"/>
      <c r="K682" s="912" t="s">
        <v>274</v>
      </c>
      <c r="L682" s="902"/>
      <c r="M682" s="902"/>
      <c r="N682" s="902"/>
      <c r="O682" s="892">
        <f t="shared" si="40"/>
        <v>0</v>
      </c>
      <c r="P682" s="903">
        <f t="shared" si="41"/>
        <v>1</v>
      </c>
      <c r="Q682" s="893">
        <f t="shared" si="42"/>
        <v>2</v>
      </c>
      <c r="R682" s="894">
        <f t="shared" si="43"/>
        <v>0</v>
      </c>
    </row>
    <row r="683" spans="1:18">
      <c r="A683" s="905"/>
      <c r="B683" s="906" t="s">
        <v>4148</v>
      </c>
      <c r="C683" s="907">
        <v>824</v>
      </c>
      <c r="D683" s="907" t="s">
        <v>93</v>
      </c>
      <c r="E683" s="925" t="s">
        <v>4149</v>
      </c>
      <c r="F683" s="909" t="s">
        <v>2673</v>
      </c>
      <c r="G683" s="910"/>
      <c r="H683" s="911">
        <v>0.02</v>
      </c>
      <c r="I683" s="912"/>
      <c r="J683" s="912"/>
      <c r="K683" s="912"/>
      <c r="L683" s="912"/>
      <c r="M683" s="912">
        <f>VLOOKUP(B683,MTC!$B$9:$S$933,12,0)</f>
        <v>1446175</v>
      </c>
      <c r="N683" s="912">
        <f>M683*H683</f>
        <v>28923.5</v>
      </c>
      <c r="O683" s="892">
        <f t="shared" si="40"/>
        <v>0</v>
      </c>
      <c r="P683" s="903">
        <f t="shared" si="41"/>
        <v>1</v>
      </c>
      <c r="Q683" s="893">
        <f t="shared" si="42"/>
        <v>1</v>
      </c>
      <c r="R683" s="894">
        <f t="shared" si="43"/>
        <v>0</v>
      </c>
    </row>
    <row r="684" spans="1:18" s="847" customFormat="1">
      <c r="A684" s="905"/>
      <c r="B684" s="914" t="s">
        <v>1140</v>
      </c>
      <c r="C684" s="915"/>
      <c r="D684" s="915"/>
      <c r="E684" s="916" t="s">
        <v>4152</v>
      </c>
      <c r="F684" s="917" t="s">
        <v>139</v>
      </c>
      <c r="G684" s="918"/>
      <c r="H684" s="919"/>
      <c r="I684" s="920"/>
      <c r="J684" s="891">
        <f>SUM(J685:J691)</f>
        <v>1825</v>
      </c>
      <c r="K684" s="891"/>
      <c r="L684" s="891">
        <f>SUM(L685:L691)</f>
        <v>25375.526999999998</v>
      </c>
      <c r="M684" s="891"/>
      <c r="N684" s="891">
        <f>SUM(N685:N691)</f>
        <v>28923.5</v>
      </c>
      <c r="O684" s="892">
        <f t="shared" si="40"/>
        <v>1</v>
      </c>
      <c r="P684" s="903">
        <f t="shared" si="41"/>
        <v>0</v>
      </c>
      <c r="Q684" s="893">
        <f t="shared" si="42"/>
        <v>0</v>
      </c>
      <c r="R684" s="894">
        <f t="shared" si="43"/>
        <v>6</v>
      </c>
    </row>
    <row r="685" spans="1:18" s="904" customFormat="1">
      <c r="A685" s="895"/>
      <c r="B685" s="896"/>
      <c r="C685" s="897"/>
      <c r="D685" s="897"/>
      <c r="E685" s="924" t="s">
        <v>108</v>
      </c>
      <c r="F685" s="899"/>
      <c r="G685" s="900"/>
      <c r="H685" s="901"/>
      <c r="I685" s="902"/>
      <c r="J685" s="902"/>
      <c r="K685" s="912" t="s">
        <v>274</v>
      </c>
      <c r="L685" s="902"/>
      <c r="M685" s="902"/>
      <c r="N685" s="902"/>
      <c r="O685" s="892">
        <f t="shared" si="40"/>
        <v>0</v>
      </c>
      <c r="P685" s="903">
        <f t="shared" si="41"/>
        <v>1</v>
      </c>
      <c r="Q685" s="893">
        <f>IF(P685=0,0,P685+Q687)</f>
        <v>6</v>
      </c>
      <c r="R685" s="894">
        <f>IF(Q685=0,Q687,0)</f>
        <v>0</v>
      </c>
    </row>
    <row r="686" spans="1:18">
      <c r="A686" s="905"/>
      <c r="B686" s="906"/>
      <c r="C686" s="907">
        <v>44</v>
      </c>
      <c r="D686" s="907" t="s">
        <v>279</v>
      </c>
      <c r="E686" s="925" t="s">
        <v>2681</v>
      </c>
      <c r="F686" s="926" t="s">
        <v>45</v>
      </c>
      <c r="G686" s="910"/>
      <c r="H686" s="911">
        <v>7.4999999999999997E-2</v>
      </c>
      <c r="I686" s="912">
        <f>VLOOKUP(E686,[3]VLP!$B$7:$K$300,10,0)</f>
        <v>23000</v>
      </c>
      <c r="J686" s="912">
        <f>I686*H686</f>
        <v>1725</v>
      </c>
      <c r="K686" s="912" t="s">
        <v>274</v>
      </c>
      <c r="L686" s="912"/>
      <c r="M686" s="912"/>
      <c r="N686" s="912"/>
      <c r="O686" s="892">
        <f t="shared" si="40"/>
        <v>0</v>
      </c>
      <c r="P686" s="903">
        <f t="shared" si="41"/>
        <v>1</v>
      </c>
      <c r="Q686" s="893">
        <f>IF(P686=0,0,P686+Q687)</f>
        <v>6</v>
      </c>
      <c r="R686" s="894">
        <f>IF(Q686=0,Q687,0)</f>
        <v>0</v>
      </c>
    </row>
    <row r="687" spans="1:18">
      <c r="A687" s="905"/>
      <c r="B687" s="906"/>
      <c r="C687" s="907">
        <v>66</v>
      </c>
      <c r="D687" s="907" t="s">
        <v>279</v>
      </c>
      <c r="E687" s="925" t="s">
        <v>2682</v>
      </c>
      <c r="F687" s="926" t="s">
        <v>45</v>
      </c>
      <c r="G687" s="910"/>
      <c r="H687" s="911">
        <v>0.02</v>
      </c>
      <c r="I687" s="912">
        <f>VLOOKUP(E687,[3]VLP!$B$7:$K$300,10,0)</f>
        <v>5000</v>
      </c>
      <c r="J687" s="912">
        <f>I687*H687</f>
        <v>100</v>
      </c>
      <c r="K687" s="912" t="s">
        <v>274</v>
      </c>
      <c r="L687" s="912"/>
      <c r="M687" s="912"/>
      <c r="N687" s="912"/>
      <c r="O687" s="892">
        <f t="shared" si="40"/>
        <v>0</v>
      </c>
      <c r="P687" s="903">
        <f t="shared" si="41"/>
        <v>1</v>
      </c>
      <c r="Q687" s="893">
        <f>IF(P687=0,0,P687+Q688)</f>
        <v>5</v>
      </c>
      <c r="R687" s="894">
        <f>IF(Q687=0,Q688,0)</f>
        <v>0</v>
      </c>
    </row>
    <row r="688" spans="1:18" s="904" customFormat="1">
      <c r="A688" s="895"/>
      <c r="B688" s="896"/>
      <c r="C688" s="897"/>
      <c r="D688" s="897"/>
      <c r="E688" s="924" t="s">
        <v>276</v>
      </c>
      <c r="F688" s="927"/>
      <c r="G688" s="928"/>
      <c r="H688" s="901"/>
      <c r="I688" s="902"/>
      <c r="J688" s="902"/>
      <c r="K688" s="912" t="s">
        <v>274</v>
      </c>
      <c r="L688" s="902"/>
      <c r="M688" s="902"/>
      <c r="N688" s="902"/>
      <c r="O688" s="892">
        <f t="shared" si="40"/>
        <v>0</v>
      </c>
      <c r="P688" s="903">
        <f t="shared" si="41"/>
        <v>1</v>
      </c>
      <c r="Q688" s="893">
        <f t="shared" si="42"/>
        <v>4</v>
      </c>
      <c r="R688" s="894">
        <f t="shared" si="43"/>
        <v>0</v>
      </c>
    </row>
    <row r="689" spans="1:18">
      <c r="A689" s="905"/>
      <c r="B689" s="906"/>
      <c r="C689" s="907">
        <v>735</v>
      </c>
      <c r="D689" s="907" t="s">
        <v>12</v>
      </c>
      <c r="E689" s="908" t="s">
        <v>4065</v>
      </c>
      <c r="F689" s="909" t="s">
        <v>2674</v>
      </c>
      <c r="G689" s="910"/>
      <c r="H689" s="911">
        <v>0.109</v>
      </c>
      <c r="I689" s="912"/>
      <c r="J689" s="912"/>
      <c r="K689" s="912">
        <f>VLOOKUP(E689,ĐMNC!$A$7:$F$67,4,0)</f>
        <v>232803</v>
      </c>
      <c r="L689" s="912">
        <f>H689*K689</f>
        <v>25375.526999999998</v>
      </c>
      <c r="M689" s="912"/>
      <c r="N689" s="912"/>
      <c r="O689" s="892">
        <f t="shared" si="40"/>
        <v>0</v>
      </c>
      <c r="P689" s="903">
        <f t="shared" si="41"/>
        <v>1</v>
      </c>
      <c r="Q689" s="893">
        <f t="shared" si="42"/>
        <v>3</v>
      </c>
      <c r="R689" s="894">
        <f t="shared" si="43"/>
        <v>0</v>
      </c>
    </row>
    <row r="690" spans="1:18" s="904" customFormat="1">
      <c r="A690" s="895"/>
      <c r="B690" s="896"/>
      <c r="C690" s="897"/>
      <c r="D690" s="897"/>
      <c r="E690" s="898" t="s">
        <v>3914</v>
      </c>
      <c r="F690" s="899"/>
      <c r="G690" s="928"/>
      <c r="H690" s="901"/>
      <c r="I690" s="902"/>
      <c r="J690" s="902"/>
      <c r="K690" s="912" t="s">
        <v>274</v>
      </c>
      <c r="L690" s="902"/>
      <c r="M690" s="902"/>
      <c r="N690" s="902"/>
      <c r="O690" s="892">
        <f t="shared" si="40"/>
        <v>0</v>
      </c>
      <c r="P690" s="903">
        <f t="shared" si="41"/>
        <v>1</v>
      </c>
      <c r="Q690" s="893">
        <f t="shared" si="42"/>
        <v>2</v>
      </c>
      <c r="R690" s="894">
        <f t="shared" si="43"/>
        <v>0</v>
      </c>
    </row>
    <row r="691" spans="1:18">
      <c r="A691" s="905"/>
      <c r="B691" s="906" t="s">
        <v>4148</v>
      </c>
      <c r="C691" s="907">
        <v>824</v>
      </c>
      <c r="D691" s="907" t="s">
        <v>93</v>
      </c>
      <c r="E691" s="925" t="s">
        <v>4149</v>
      </c>
      <c r="F691" s="909" t="s">
        <v>2673</v>
      </c>
      <c r="G691" s="910"/>
      <c r="H691" s="911">
        <v>0.02</v>
      </c>
      <c r="I691" s="912"/>
      <c r="J691" s="912"/>
      <c r="K691" s="912"/>
      <c r="L691" s="912"/>
      <c r="M691" s="912">
        <f>VLOOKUP(B691,MTC!$B$9:$S$933,12,0)</f>
        <v>1446175</v>
      </c>
      <c r="N691" s="912">
        <f>M691*H691</f>
        <v>28923.5</v>
      </c>
      <c r="O691" s="892">
        <f t="shared" si="40"/>
        <v>0</v>
      </c>
      <c r="P691" s="903">
        <f t="shared" si="41"/>
        <v>1</v>
      </c>
      <c r="Q691" s="893">
        <f t="shared" si="42"/>
        <v>1</v>
      </c>
      <c r="R691" s="894">
        <f t="shared" si="43"/>
        <v>0</v>
      </c>
    </row>
    <row r="692" spans="1:18" s="847" customFormat="1">
      <c r="A692" s="905"/>
      <c r="B692" s="914" t="s">
        <v>1142</v>
      </c>
      <c r="C692" s="915"/>
      <c r="D692" s="915"/>
      <c r="E692" s="916" t="s">
        <v>4153</v>
      </c>
      <c r="F692" s="917" t="s">
        <v>139</v>
      </c>
      <c r="G692" s="918"/>
      <c r="H692" s="919"/>
      <c r="I692" s="920"/>
      <c r="J692" s="891">
        <f>SUM(J693:J699)</f>
        <v>1825</v>
      </c>
      <c r="K692" s="891"/>
      <c r="L692" s="891">
        <f>SUM(L693:L699)</f>
        <v>35851.661999999997</v>
      </c>
      <c r="M692" s="891"/>
      <c r="N692" s="891">
        <f>SUM(N693:N699)</f>
        <v>28923.5</v>
      </c>
      <c r="O692" s="892">
        <f t="shared" si="40"/>
        <v>1</v>
      </c>
      <c r="P692" s="903">
        <f t="shared" si="41"/>
        <v>0</v>
      </c>
      <c r="Q692" s="893">
        <f t="shared" si="42"/>
        <v>0</v>
      </c>
      <c r="R692" s="894">
        <f t="shared" si="43"/>
        <v>6</v>
      </c>
    </row>
    <row r="693" spans="1:18" s="904" customFormat="1">
      <c r="A693" s="895"/>
      <c r="B693" s="896"/>
      <c r="C693" s="897"/>
      <c r="D693" s="897"/>
      <c r="E693" s="924" t="s">
        <v>108</v>
      </c>
      <c r="F693" s="899"/>
      <c r="G693" s="900"/>
      <c r="H693" s="901"/>
      <c r="I693" s="902"/>
      <c r="J693" s="902"/>
      <c r="K693" s="912" t="s">
        <v>274</v>
      </c>
      <c r="L693" s="902"/>
      <c r="M693" s="902"/>
      <c r="N693" s="902"/>
      <c r="O693" s="892">
        <f t="shared" si="40"/>
        <v>0</v>
      </c>
      <c r="P693" s="903">
        <f t="shared" si="41"/>
        <v>1</v>
      </c>
      <c r="Q693" s="893">
        <f>IF(P693=0,0,P693+Q695)</f>
        <v>6</v>
      </c>
      <c r="R693" s="894">
        <f>IF(Q693=0,Q695,0)</f>
        <v>0</v>
      </c>
    </row>
    <row r="694" spans="1:18">
      <c r="A694" s="905"/>
      <c r="B694" s="906"/>
      <c r="C694" s="907">
        <v>44</v>
      </c>
      <c r="D694" s="907" t="s">
        <v>279</v>
      </c>
      <c r="E694" s="925" t="s">
        <v>2681</v>
      </c>
      <c r="F694" s="926" t="s">
        <v>45</v>
      </c>
      <c r="G694" s="910"/>
      <c r="H694" s="911">
        <v>7.4999999999999997E-2</v>
      </c>
      <c r="I694" s="912">
        <f>VLOOKUP(E694,[3]VLP!$B$7:$K$300,10,0)</f>
        <v>23000</v>
      </c>
      <c r="J694" s="912">
        <f>I694*H694</f>
        <v>1725</v>
      </c>
      <c r="K694" s="912" t="s">
        <v>274</v>
      </c>
      <c r="L694" s="912"/>
      <c r="M694" s="912"/>
      <c r="N694" s="912"/>
      <c r="O694" s="892">
        <f t="shared" si="40"/>
        <v>0</v>
      </c>
      <c r="P694" s="903">
        <f t="shared" si="41"/>
        <v>1</v>
      </c>
      <c r="Q694" s="893">
        <f>IF(P694=0,0,P694+Q695)</f>
        <v>6</v>
      </c>
      <c r="R694" s="894">
        <f>IF(Q694=0,Q695,0)</f>
        <v>0</v>
      </c>
    </row>
    <row r="695" spans="1:18">
      <c r="A695" s="905"/>
      <c r="B695" s="906"/>
      <c r="C695" s="907">
        <v>66</v>
      </c>
      <c r="D695" s="907" t="s">
        <v>279</v>
      </c>
      <c r="E695" s="925" t="s">
        <v>2682</v>
      </c>
      <c r="F695" s="926" t="s">
        <v>45</v>
      </c>
      <c r="G695" s="910"/>
      <c r="H695" s="911">
        <v>0.02</v>
      </c>
      <c r="I695" s="912">
        <f>VLOOKUP(E695,[3]VLP!$B$7:$K$300,10,0)</f>
        <v>5000</v>
      </c>
      <c r="J695" s="912">
        <f>I695*H695</f>
        <v>100</v>
      </c>
      <c r="K695" s="912" t="s">
        <v>274</v>
      </c>
      <c r="L695" s="912"/>
      <c r="M695" s="912"/>
      <c r="N695" s="912"/>
      <c r="O695" s="892">
        <f t="shared" si="40"/>
        <v>0</v>
      </c>
      <c r="P695" s="903">
        <f t="shared" si="41"/>
        <v>1</v>
      </c>
      <c r="Q695" s="893">
        <f>IF(P695=0,0,P695+Q696)</f>
        <v>5</v>
      </c>
      <c r="R695" s="894">
        <f>IF(Q695=0,Q696,0)</f>
        <v>0</v>
      </c>
    </row>
    <row r="696" spans="1:18" s="904" customFormat="1">
      <c r="A696" s="895"/>
      <c r="B696" s="896"/>
      <c r="C696" s="897"/>
      <c r="D696" s="897"/>
      <c r="E696" s="924" t="s">
        <v>276</v>
      </c>
      <c r="F696" s="927"/>
      <c r="G696" s="928"/>
      <c r="H696" s="901"/>
      <c r="I696" s="902"/>
      <c r="J696" s="902"/>
      <c r="K696" s="912" t="s">
        <v>274</v>
      </c>
      <c r="L696" s="902"/>
      <c r="M696" s="902"/>
      <c r="N696" s="902"/>
      <c r="O696" s="892">
        <f t="shared" si="40"/>
        <v>0</v>
      </c>
      <c r="P696" s="903">
        <f t="shared" si="41"/>
        <v>1</v>
      </c>
      <c r="Q696" s="893">
        <f t="shared" si="42"/>
        <v>4</v>
      </c>
      <c r="R696" s="894">
        <f t="shared" si="43"/>
        <v>0</v>
      </c>
    </row>
    <row r="697" spans="1:18">
      <c r="A697" s="905"/>
      <c r="B697" s="906"/>
      <c r="C697" s="907">
        <v>735</v>
      </c>
      <c r="D697" s="907" t="s">
        <v>12</v>
      </c>
      <c r="E697" s="908" t="s">
        <v>4065</v>
      </c>
      <c r="F697" s="909" t="s">
        <v>2674</v>
      </c>
      <c r="G697" s="910"/>
      <c r="H697" s="911">
        <v>0.154</v>
      </c>
      <c r="I697" s="912"/>
      <c r="J697" s="912"/>
      <c r="K697" s="912">
        <f>VLOOKUP(E697,ĐMNC!$A$7:$F$67,4,0)</f>
        <v>232803</v>
      </c>
      <c r="L697" s="912">
        <f>H697*K697</f>
        <v>35851.661999999997</v>
      </c>
      <c r="M697" s="912"/>
      <c r="N697" s="912"/>
      <c r="O697" s="892">
        <f t="shared" si="40"/>
        <v>0</v>
      </c>
      <c r="P697" s="903">
        <f t="shared" si="41"/>
        <v>1</v>
      </c>
      <c r="Q697" s="893">
        <f t="shared" si="42"/>
        <v>3</v>
      </c>
      <c r="R697" s="894">
        <f t="shared" si="43"/>
        <v>0</v>
      </c>
    </row>
    <row r="698" spans="1:18" s="904" customFormat="1">
      <c r="A698" s="895"/>
      <c r="B698" s="896"/>
      <c r="C698" s="897"/>
      <c r="D698" s="897"/>
      <c r="E698" s="898" t="s">
        <v>3914</v>
      </c>
      <c r="F698" s="899"/>
      <c r="G698" s="928"/>
      <c r="H698" s="901"/>
      <c r="I698" s="902"/>
      <c r="J698" s="902"/>
      <c r="K698" s="912" t="s">
        <v>274</v>
      </c>
      <c r="L698" s="902"/>
      <c r="M698" s="902"/>
      <c r="N698" s="902"/>
      <c r="O698" s="892">
        <f t="shared" si="40"/>
        <v>0</v>
      </c>
      <c r="P698" s="903">
        <f t="shared" si="41"/>
        <v>1</v>
      </c>
      <c r="Q698" s="893">
        <f t="shared" si="42"/>
        <v>2</v>
      </c>
      <c r="R698" s="894">
        <f t="shared" si="43"/>
        <v>0</v>
      </c>
    </row>
    <row r="699" spans="1:18">
      <c r="A699" s="905"/>
      <c r="B699" s="906" t="s">
        <v>4148</v>
      </c>
      <c r="C699" s="907">
        <v>824</v>
      </c>
      <c r="D699" s="907" t="s">
        <v>93</v>
      </c>
      <c r="E699" s="925" t="s">
        <v>4149</v>
      </c>
      <c r="F699" s="909" t="s">
        <v>2673</v>
      </c>
      <c r="G699" s="910"/>
      <c r="H699" s="911">
        <v>0.02</v>
      </c>
      <c r="I699" s="912"/>
      <c r="J699" s="912"/>
      <c r="K699" s="912"/>
      <c r="L699" s="912"/>
      <c r="M699" s="912">
        <f>VLOOKUP(B699,MTC!$B$9:$S$933,12,0)</f>
        <v>1446175</v>
      </c>
      <c r="N699" s="912">
        <f>M699*H699</f>
        <v>28923.5</v>
      </c>
      <c r="O699" s="892">
        <f t="shared" si="40"/>
        <v>0</v>
      </c>
      <c r="P699" s="903">
        <f t="shared" si="41"/>
        <v>1</v>
      </c>
      <c r="Q699" s="893">
        <f>IF(P699=0,0,P699+Q701)</f>
        <v>1</v>
      </c>
      <c r="R699" s="894">
        <f>IF(Q699=0,Q701,0)</f>
        <v>0</v>
      </c>
    </row>
    <row r="700" spans="1:18">
      <c r="A700" s="905"/>
      <c r="B700" s="946" t="s">
        <v>4154</v>
      </c>
      <c r="C700" s="907"/>
      <c r="D700" s="907"/>
      <c r="E700" s="921" t="s">
        <v>4155</v>
      </c>
      <c r="F700" s="909"/>
      <c r="G700" s="910"/>
      <c r="H700" s="911"/>
      <c r="I700" s="912"/>
      <c r="J700" s="912"/>
      <c r="K700" s="912"/>
      <c r="L700" s="912"/>
      <c r="M700" s="912"/>
      <c r="N700" s="912"/>
      <c r="O700" s="892"/>
      <c r="P700" s="903"/>
      <c r="Q700" s="893"/>
      <c r="R700" s="894"/>
    </row>
    <row r="701" spans="1:18" s="847" customFormat="1">
      <c r="A701" s="905" t="s">
        <v>4156</v>
      </c>
      <c r="B701" s="914" t="s">
        <v>4157</v>
      </c>
      <c r="C701" s="915"/>
      <c r="D701" s="915"/>
      <c r="E701" s="916" t="s">
        <v>4158</v>
      </c>
      <c r="F701" s="917" t="s">
        <v>4159</v>
      </c>
      <c r="G701" s="918"/>
      <c r="H701" s="919"/>
      <c r="I701" s="920"/>
      <c r="J701" s="891">
        <f>SUM(J702:J706)</f>
        <v>1085</v>
      </c>
      <c r="K701" s="891"/>
      <c r="L701" s="891">
        <f>SUM(L702:L706)</f>
        <v>58124.22</v>
      </c>
      <c r="M701" s="891"/>
      <c r="N701" s="891">
        <f>SUM(N702:N706)</f>
        <v>0</v>
      </c>
      <c r="O701" s="892">
        <f t="shared" si="40"/>
        <v>1</v>
      </c>
      <c r="P701" s="903">
        <f t="shared" si="41"/>
        <v>0</v>
      </c>
      <c r="Q701" s="893">
        <f t="shared" si="42"/>
        <v>0</v>
      </c>
      <c r="R701" s="894">
        <f t="shared" si="43"/>
        <v>5</v>
      </c>
    </row>
    <row r="702" spans="1:18" s="904" customFormat="1">
      <c r="A702" s="895"/>
      <c r="B702" s="896"/>
      <c r="C702" s="897"/>
      <c r="D702" s="897"/>
      <c r="E702" s="924" t="s">
        <v>108</v>
      </c>
      <c r="F702" s="899"/>
      <c r="G702" s="900"/>
      <c r="H702" s="901"/>
      <c r="I702" s="902"/>
      <c r="J702" s="902"/>
      <c r="K702" s="912" t="s">
        <v>274</v>
      </c>
      <c r="L702" s="902"/>
      <c r="M702" s="902"/>
      <c r="N702" s="902"/>
      <c r="O702" s="892">
        <f t="shared" si="40"/>
        <v>0</v>
      </c>
      <c r="P702" s="903">
        <f t="shared" si="41"/>
        <v>1</v>
      </c>
      <c r="Q702" s="893">
        <f t="shared" si="42"/>
        <v>5</v>
      </c>
      <c r="R702" s="894">
        <f t="shared" si="43"/>
        <v>0</v>
      </c>
    </row>
    <row r="703" spans="1:18">
      <c r="A703" s="905"/>
      <c r="B703" s="906"/>
      <c r="C703" s="907">
        <v>66</v>
      </c>
      <c r="D703" s="907" t="s">
        <v>279</v>
      </c>
      <c r="E703" s="925" t="s">
        <v>2682</v>
      </c>
      <c r="F703" s="926" t="s">
        <v>45</v>
      </c>
      <c r="G703" s="910"/>
      <c r="H703" s="911">
        <v>0.01</v>
      </c>
      <c r="I703" s="912">
        <f>VLOOKUP(E703,[3]VLP!$B$7:$K$300,10,0)</f>
        <v>5000</v>
      </c>
      <c r="J703" s="912">
        <f>I703*H703</f>
        <v>50</v>
      </c>
      <c r="K703" s="912" t="s">
        <v>274</v>
      </c>
      <c r="L703" s="912"/>
      <c r="M703" s="912"/>
      <c r="N703" s="912"/>
      <c r="O703" s="892">
        <f t="shared" si="40"/>
        <v>0</v>
      </c>
      <c r="P703" s="903">
        <f t="shared" si="41"/>
        <v>1</v>
      </c>
      <c r="Q703" s="893">
        <f t="shared" si="42"/>
        <v>4</v>
      </c>
      <c r="R703" s="894">
        <f t="shared" si="43"/>
        <v>0</v>
      </c>
    </row>
    <row r="704" spans="1:18">
      <c r="A704" s="905"/>
      <c r="B704" s="906"/>
      <c r="C704" s="907">
        <v>44</v>
      </c>
      <c r="D704" s="907" t="s">
        <v>279</v>
      </c>
      <c r="E704" s="925" t="s">
        <v>2681</v>
      </c>
      <c r="F704" s="926" t="s">
        <v>45</v>
      </c>
      <c r="G704" s="910"/>
      <c r="H704" s="911">
        <v>4.4999999999999998E-2</v>
      </c>
      <c r="I704" s="912">
        <f>VLOOKUP(E704,[3]VLP!$B$7:$K$300,10,0)</f>
        <v>23000</v>
      </c>
      <c r="J704" s="912">
        <f>I704*H704</f>
        <v>1035</v>
      </c>
      <c r="K704" s="912" t="s">
        <v>274</v>
      </c>
      <c r="L704" s="912"/>
      <c r="M704" s="912"/>
      <c r="N704" s="912"/>
      <c r="O704" s="892">
        <f t="shared" ref="O704:O771" si="44">IF(AND(B704&lt;&gt;"",D704=""),1,0)</f>
        <v>0</v>
      </c>
      <c r="P704" s="903">
        <f t="shared" si="41"/>
        <v>1</v>
      </c>
      <c r="Q704" s="893">
        <f t="shared" si="42"/>
        <v>3</v>
      </c>
      <c r="R704" s="894">
        <f t="shared" si="43"/>
        <v>0</v>
      </c>
    </row>
    <row r="705" spans="1:18" s="904" customFormat="1">
      <c r="A705" s="895"/>
      <c r="B705" s="896"/>
      <c r="C705" s="897"/>
      <c r="D705" s="897"/>
      <c r="E705" s="924" t="s">
        <v>276</v>
      </c>
      <c r="F705" s="927"/>
      <c r="G705" s="928"/>
      <c r="H705" s="901"/>
      <c r="I705" s="902"/>
      <c r="J705" s="902"/>
      <c r="K705" s="912" t="s">
        <v>274</v>
      </c>
      <c r="L705" s="902"/>
      <c r="M705" s="902"/>
      <c r="N705" s="902"/>
      <c r="O705" s="892">
        <f t="shared" si="44"/>
        <v>0</v>
      </c>
      <c r="P705" s="903">
        <f t="shared" si="41"/>
        <v>1</v>
      </c>
      <c r="Q705" s="893">
        <f t="shared" si="42"/>
        <v>2</v>
      </c>
      <c r="R705" s="894">
        <f t="shared" si="43"/>
        <v>0</v>
      </c>
    </row>
    <row r="706" spans="1:18">
      <c r="A706" s="905"/>
      <c r="B706" s="906"/>
      <c r="C706" s="907">
        <v>740</v>
      </c>
      <c r="D706" s="907" t="s">
        <v>12</v>
      </c>
      <c r="E706" s="908" t="s">
        <v>4008</v>
      </c>
      <c r="F706" s="909" t="s">
        <v>2674</v>
      </c>
      <c r="G706" s="910"/>
      <c r="H706" s="911">
        <v>0.23</v>
      </c>
      <c r="I706" s="912"/>
      <c r="J706" s="912"/>
      <c r="K706" s="912">
        <f>VLOOKUP(E706,ĐMNC!$A$7:$F$67,4,0)</f>
        <v>252714</v>
      </c>
      <c r="L706" s="912">
        <f>H706*K706</f>
        <v>58124.22</v>
      </c>
      <c r="M706" s="912"/>
      <c r="N706" s="912"/>
      <c r="O706" s="892">
        <f t="shared" si="44"/>
        <v>0</v>
      </c>
      <c r="P706" s="903">
        <f t="shared" si="41"/>
        <v>1</v>
      </c>
      <c r="Q706" s="893">
        <f t="shared" si="42"/>
        <v>1</v>
      </c>
      <c r="R706" s="894">
        <f t="shared" si="43"/>
        <v>0</v>
      </c>
    </row>
    <row r="707" spans="1:18" s="847" customFormat="1">
      <c r="A707" s="905"/>
      <c r="B707" s="914" t="s">
        <v>4160</v>
      </c>
      <c r="C707" s="915"/>
      <c r="D707" s="915"/>
      <c r="E707" s="916" t="s">
        <v>4161</v>
      </c>
      <c r="F707" s="917" t="s">
        <v>4159</v>
      </c>
      <c r="G707" s="918"/>
      <c r="H707" s="919"/>
      <c r="I707" s="920"/>
      <c r="J707" s="891">
        <f>SUM(J708:J712)</f>
        <v>1085</v>
      </c>
      <c r="K707" s="891"/>
      <c r="L707" s="891">
        <f>SUM(L708:L712)</f>
        <v>60651.360000000001</v>
      </c>
      <c r="M707" s="891"/>
      <c r="N707" s="891">
        <f>SUM(N708:N712)</f>
        <v>0</v>
      </c>
      <c r="O707" s="892">
        <f t="shared" si="44"/>
        <v>1</v>
      </c>
      <c r="P707" s="903">
        <f t="shared" si="41"/>
        <v>0</v>
      </c>
      <c r="Q707" s="893">
        <f t="shared" si="42"/>
        <v>0</v>
      </c>
      <c r="R707" s="894">
        <f t="shared" si="43"/>
        <v>5</v>
      </c>
    </row>
    <row r="708" spans="1:18" s="904" customFormat="1">
      <c r="A708" s="895"/>
      <c r="B708" s="896"/>
      <c r="C708" s="897"/>
      <c r="D708" s="897"/>
      <c r="E708" s="924" t="s">
        <v>108</v>
      </c>
      <c r="F708" s="899"/>
      <c r="G708" s="900"/>
      <c r="H708" s="901"/>
      <c r="I708" s="902"/>
      <c r="J708" s="902"/>
      <c r="K708" s="912" t="s">
        <v>274</v>
      </c>
      <c r="L708" s="902"/>
      <c r="M708" s="902"/>
      <c r="N708" s="902"/>
      <c r="O708" s="892">
        <f t="shared" si="44"/>
        <v>0</v>
      </c>
      <c r="P708" s="903">
        <f t="shared" si="41"/>
        <v>1</v>
      </c>
      <c r="Q708" s="893">
        <f t="shared" si="42"/>
        <v>5</v>
      </c>
      <c r="R708" s="894">
        <f t="shared" si="43"/>
        <v>0</v>
      </c>
    </row>
    <row r="709" spans="1:18">
      <c r="A709" s="905"/>
      <c r="B709" s="906"/>
      <c r="C709" s="907">
        <v>66</v>
      </c>
      <c r="D709" s="907" t="s">
        <v>279</v>
      </c>
      <c r="E709" s="925" t="s">
        <v>2682</v>
      </c>
      <c r="F709" s="926" t="s">
        <v>45</v>
      </c>
      <c r="G709" s="910"/>
      <c r="H709" s="911">
        <v>0.01</v>
      </c>
      <c r="I709" s="912">
        <f>VLOOKUP(E709,[3]VLP!$B$7:$K$300,10,0)</f>
        <v>5000</v>
      </c>
      <c r="J709" s="912">
        <f>I709*H709</f>
        <v>50</v>
      </c>
      <c r="K709" s="912" t="s">
        <v>274</v>
      </c>
      <c r="L709" s="912"/>
      <c r="M709" s="912"/>
      <c r="N709" s="912"/>
      <c r="O709" s="892">
        <f t="shared" si="44"/>
        <v>0</v>
      </c>
      <c r="P709" s="903">
        <f t="shared" si="41"/>
        <v>1</v>
      </c>
      <c r="Q709" s="893">
        <f t="shared" si="42"/>
        <v>4</v>
      </c>
      <c r="R709" s="894">
        <f t="shared" si="43"/>
        <v>0</v>
      </c>
    </row>
    <row r="710" spans="1:18">
      <c r="A710" s="905"/>
      <c r="B710" s="906"/>
      <c r="C710" s="907">
        <v>44</v>
      </c>
      <c r="D710" s="907" t="s">
        <v>279</v>
      </c>
      <c r="E710" s="925" t="s">
        <v>2681</v>
      </c>
      <c r="F710" s="926" t="s">
        <v>45</v>
      </c>
      <c r="G710" s="910"/>
      <c r="H710" s="911">
        <v>4.4999999999999998E-2</v>
      </c>
      <c r="I710" s="912">
        <f>VLOOKUP(E710,[3]VLP!$B$7:$K$300,10,0)</f>
        <v>23000</v>
      </c>
      <c r="J710" s="912">
        <f>I710*H710</f>
        <v>1035</v>
      </c>
      <c r="K710" s="912" t="s">
        <v>274</v>
      </c>
      <c r="L710" s="912"/>
      <c r="M710" s="912"/>
      <c r="N710" s="912"/>
      <c r="O710" s="892">
        <f t="shared" si="44"/>
        <v>0</v>
      </c>
      <c r="P710" s="903">
        <f t="shared" ref="P710:P780" si="45">IF(O710=0,1,0)</f>
        <v>1</v>
      </c>
      <c r="Q710" s="893">
        <f t="shared" ref="Q710:Q780" si="46">IF(P710=0,0,P710+Q711)</f>
        <v>3</v>
      </c>
      <c r="R710" s="894">
        <f t="shared" ref="R710:R780" si="47">IF(Q710=0,Q711,0)</f>
        <v>0</v>
      </c>
    </row>
    <row r="711" spans="1:18" s="904" customFormat="1">
      <c r="A711" s="895"/>
      <c r="B711" s="896"/>
      <c r="C711" s="897"/>
      <c r="D711" s="897"/>
      <c r="E711" s="924" t="s">
        <v>276</v>
      </c>
      <c r="F711" s="927"/>
      <c r="G711" s="928"/>
      <c r="H711" s="901"/>
      <c r="I711" s="902"/>
      <c r="J711" s="902"/>
      <c r="K711" s="912" t="s">
        <v>274</v>
      </c>
      <c r="L711" s="902"/>
      <c r="M711" s="902"/>
      <c r="N711" s="902"/>
      <c r="O711" s="892">
        <f t="shared" si="44"/>
        <v>0</v>
      </c>
      <c r="P711" s="903">
        <f t="shared" si="45"/>
        <v>1</v>
      </c>
      <c r="Q711" s="893">
        <f t="shared" si="46"/>
        <v>2</v>
      </c>
      <c r="R711" s="894">
        <f t="shared" si="47"/>
        <v>0</v>
      </c>
    </row>
    <row r="712" spans="1:18">
      <c r="A712" s="905"/>
      <c r="B712" s="906"/>
      <c r="C712" s="907">
        <v>740</v>
      </c>
      <c r="D712" s="907" t="s">
        <v>12</v>
      </c>
      <c r="E712" s="908" t="s">
        <v>4008</v>
      </c>
      <c r="F712" s="909" t="s">
        <v>2674</v>
      </c>
      <c r="G712" s="910"/>
      <c r="H712" s="911">
        <v>0.24</v>
      </c>
      <c r="I712" s="912"/>
      <c r="J712" s="912"/>
      <c r="K712" s="912">
        <f>VLOOKUP(E712,ĐMNC!$A$7:$F$67,4,0)</f>
        <v>252714</v>
      </c>
      <c r="L712" s="912">
        <f>H712*K712</f>
        <v>60651.360000000001</v>
      </c>
      <c r="M712" s="912"/>
      <c r="N712" s="912"/>
      <c r="O712" s="892">
        <f t="shared" si="44"/>
        <v>0</v>
      </c>
      <c r="P712" s="903">
        <f t="shared" si="45"/>
        <v>1</v>
      </c>
      <c r="Q712" s="893">
        <f t="shared" si="46"/>
        <v>1</v>
      </c>
      <c r="R712" s="894">
        <f t="shared" si="47"/>
        <v>0</v>
      </c>
    </row>
    <row r="713" spans="1:18" s="847" customFormat="1">
      <c r="A713" s="905"/>
      <c r="B713" s="914" t="s">
        <v>4162</v>
      </c>
      <c r="C713" s="915"/>
      <c r="D713" s="915"/>
      <c r="E713" s="916" t="s">
        <v>4163</v>
      </c>
      <c r="F713" s="917" t="s">
        <v>4159</v>
      </c>
      <c r="G713" s="918"/>
      <c r="H713" s="919"/>
      <c r="I713" s="920"/>
      <c r="J713" s="891">
        <f>SUM(J714:J718)</f>
        <v>1085</v>
      </c>
      <c r="K713" s="891"/>
      <c r="L713" s="891">
        <f>SUM(L714:L718)</f>
        <v>68232.78</v>
      </c>
      <c r="M713" s="891"/>
      <c r="N713" s="891">
        <f>SUM(N714:N718)</f>
        <v>0</v>
      </c>
      <c r="O713" s="892">
        <f t="shared" si="44"/>
        <v>1</v>
      </c>
      <c r="P713" s="903">
        <f t="shared" si="45"/>
        <v>0</v>
      </c>
      <c r="Q713" s="893">
        <f t="shared" si="46"/>
        <v>0</v>
      </c>
      <c r="R713" s="894">
        <f t="shared" si="47"/>
        <v>5</v>
      </c>
    </row>
    <row r="714" spans="1:18" s="904" customFormat="1">
      <c r="A714" s="895"/>
      <c r="B714" s="896"/>
      <c r="C714" s="897"/>
      <c r="D714" s="897"/>
      <c r="E714" s="924" t="s">
        <v>108</v>
      </c>
      <c r="F714" s="899"/>
      <c r="G714" s="900"/>
      <c r="H714" s="901"/>
      <c r="I714" s="902"/>
      <c r="J714" s="902"/>
      <c r="K714" s="912" t="s">
        <v>274</v>
      </c>
      <c r="L714" s="902"/>
      <c r="M714" s="902"/>
      <c r="N714" s="902"/>
      <c r="O714" s="892">
        <f t="shared" si="44"/>
        <v>0</v>
      </c>
      <c r="P714" s="903">
        <f t="shared" si="45"/>
        <v>1</v>
      </c>
      <c r="Q714" s="893">
        <f t="shared" si="46"/>
        <v>5</v>
      </c>
      <c r="R714" s="894">
        <f t="shared" si="47"/>
        <v>0</v>
      </c>
    </row>
    <row r="715" spans="1:18">
      <c r="A715" s="905"/>
      <c r="B715" s="906"/>
      <c r="C715" s="907">
        <v>66</v>
      </c>
      <c r="D715" s="907" t="s">
        <v>279</v>
      </c>
      <c r="E715" s="925" t="s">
        <v>2682</v>
      </c>
      <c r="F715" s="926" t="s">
        <v>45</v>
      </c>
      <c r="G715" s="910"/>
      <c r="H715" s="911">
        <v>0.01</v>
      </c>
      <c r="I715" s="912">
        <f>VLOOKUP(E715,[3]VLP!$B$7:$K$300,10,0)</f>
        <v>5000</v>
      </c>
      <c r="J715" s="912">
        <f>I715*H715</f>
        <v>50</v>
      </c>
      <c r="K715" s="912" t="s">
        <v>274</v>
      </c>
      <c r="L715" s="912"/>
      <c r="M715" s="912"/>
      <c r="N715" s="912"/>
      <c r="O715" s="892">
        <f t="shared" si="44"/>
        <v>0</v>
      </c>
      <c r="P715" s="903">
        <f t="shared" si="45"/>
        <v>1</v>
      </c>
      <c r="Q715" s="893">
        <f t="shared" si="46"/>
        <v>4</v>
      </c>
      <c r="R715" s="894">
        <f t="shared" si="47"/>
        <v>0</v>
      </c>
    </row>
    <row r="716" spans="1:18">
      <c r="A716" s="905"/>
      <c r="B716" s="906"/>
      <c r="C716" s="907">
        <v>44</v>
      </c>
      <c r="D716" s="907" t="s">
        <v>279</v>
      </c>
      <c r="E716" s="925" t="s">
        <v>2681</v>
      </c>
      <c r="F716" s="926" t="s">
        <v>45</v>
      </c>
      <c r="G716" s="910"/>
      <c r="H716" s="911">
        <v>4.4999999999999998E-2</v>
      </c>
      <c r="I716" s="912">
        <f>VLOOKUP(E716,[3]VLP!$B$7:$K$300,10,0)</f>
        <v>23000</v>
      </c>
      <c r="J716" s="912">
        <f>I716*H716</f>
        <v>1035</v>
      </c>
      <c r="K716" s="912" t="s">
        <v>274</v>
      </c>
      <c r="L716" s="912"/>
      <c r="M716" s="912"/>
      <c r="N716" s="912"/>
      <c r="O716" s="892">
        <f t="shared" si="44"/>
        <v>0</v>
      </c>
      <c r="P716" s="903">
        <f t="shared" si="45"/>
        <v>1</v>
      </c>
      <c r="Q716" s="893">
        <f t="shared" si="46"/>
        <v>3</v>
      </c>
      <c r="R716" s="894">
        <f t="shared" si="47"/>
        <v>0</v>
      </c>
    </row>
    <row r="717" spans="1:18" s="904" customFormat="1">
      <c r="A717" s="895"/>
      <c r="B717" s="896"/>
      <c r="C717" s="897"/>
      <c r="D717" s="897"/>
      <c r="E717" s="924" t="s">
        <v>276</v>
      </c>
      <c r="F717" s="927"/>
      <c r="G717" s="928"/>
      <c r="H717" s="901"/>
      <c r="I717" s="902"/>
      <c r="J717" s="902"/>
      <c r="K717" s="912" t="s">
        <v>274</v>
      </c>
      <c r="L717" s="902"/>
      <c r="M717" s="902"/>
      <c r="N717" s="902"/>
      <c r="O717" s="892">
        <f t="shared" si="44"/>
        <v>0</v>
      </c>
      <c r="P717" s="903">
        <f t="shared" si="45"/>
        <v>1</v>
      </c>
      <c r="Q717" s="893">
        <f t="shared" si="46"/>
        <v>2</v>
      </c>
      <c r="R717" s="894">
        <f t="shared" si="47"/>
        <v>0</v>
      </c>
    </row>
    <row r="718" spans="1:18">
      <c r="A718" s="905"/>
      <c r="B718" s="906"/>
      <c r="C718" s="907">
        <v>740</v>
      </c>
      <c r="D718" s="907" t="s">
        <v>12</v>
      </c>
      <c r="E718" s="908" t="s">
        <v>4008</v>
      </c>
      <c r="F718" s="909" t="s">
        <v>2674</v>
      </c>
      <c r="G718" s="910"/>
      <c r="H718" s="911">
        <v>0.27</v>
      </c>
      <c r="I718" s="912"/>
      <c r="J718" s="912"/>
      <c r="K718" s="912">
        <f>VLOOKUP(E718,ĐMNC!$A$7:$F$67,4,0)</f>
        <v>252714</v>
      </c>
      <c r="L718" s="912">
        <f>H718*K718</f>
        <v>68232.78</v>
      </c>
      <c r="M718" s="912"/>
      <c r="N718" s="912"/>
      <c r="O718" s="892">
        <f t="shared" si="44"/>
        <v>0</v>
      </c>
      <c r="P718" s="903">
        <f t="shared" si="45"/>
        <v>1</v>
      </c>
      <c r="Q718" s="893">
        <f t="shared" si="46"/>
        <v>1</v>
      </c>
      <c r="R718" s="894">
        <f t="shared" si="47"/>
        <v>0</v>
      </c>
    </row>
    <row r="719" spans="1:18" s="847" customFormat="1">
      <c r="A719" s="905"/>
      <c r="B719" s="914" t="s">
        <v>4164</v>
      </c>
      <c r="C719" s="915"/>
      <c r="D719" s="915"/>
      <c r="E719" s="916" t="s">
        <v>4165</v>
      </c>
      <c r="F719" s="917" t="s">
        <v>4159</v>
      </c>
      <c r="G719" s="918"/>
      <c r="H719" s="919"/>
      <c r="I719" s="920"/>
      <c r="J719" s="891">
        <f>SUM(J720:J724)</f>
        <v>1085</v>
      </c>
      <c r="K719" s="891"/>
      <c r="L719" s="891">
        <f>SUM(L720:L724)</f>
        <v>78341.34</v>
      </c>
      <c r="M719" s="891"/>
      <c r="N719" s="891">
        <f>SUM(N720:N724)</f>
        <v>0</v>
      </c>
      <c r="O719" s="892">
        <f t="shared" si="44"/>
        <v>1</v>
      </c>
      <c r="P719" s="903">
        <f t="shared" si="45"/>
        <v>0</v>
      </c>
      <c r="Q719" s="893">
        <f t="shared" si="46"/>
        <v>0</v>
      </c>
      <c r="R719" s="894">
        <f t="shared" si="47"/>
        <v>5</v>
      </c>
    </row>
    <row r="720" spans="1:18" s="904" customFormat="1">
      <c r="A720" s="895"/>
      <c r="B720" s="896"/>
      <c r="C720" s="897"/>
      <c r="D720" s="897"/>
      <c r="E720" s="924" t="s">
        <v>108</v>
      </c>
      <c r="F720" s="899"/>
      <c r="G720" s="900"/>
      <c r="H720" s="901"/>
      <c r="I720" s="902"/>
      <c r="J720" s="902"/>
      <c r="K720" s="912" t="s">
        <v>274</v>
      </c>
      <c r="L720" s="902"/>
      <c r="M720" s="902"/>
      <c r="N720" s="902"/>
      <c r="O720" s="892">
        <f t="shared" si="44"/>
        <v>0</v>
      </c>
      <c r="P720" s="903">
        <f t="shared" si="45"/>
        <v>1</v>
      </c>
      <c r="Q720" s="893">
        <f t="shared" si="46"/>
        <v>5</v>
      </c>
      <c r="R720" s="894">
        <f t="shared" si="47"/>
        <v>0</v>
      </c>
    </row>
    <row r="721" spans="1:18">
      <c r="A721" s="905"/>
      <c r="B721" s="906"/>
      <c r="C721" s="907">
        <v>66</v>
      </c>
      <c r="D721" s="907" t="s">
        <v>279</v>
      </c>
      <c r="E721" s="925" t="s">
        <v>2682</v>
      </c>
      <c r="F721" s="926" t="s">
        <v>45</v>
      </c>
      <c r="G721" s="910"/>
      <c r="H721" s="911">
        <v>0.01</v>
      </c>
      <c r="I721" s="912">
        <f>VLOOKUP(E721,[3]VLP!$B$7:$K$300,10,0)</f>
        <v>5000</v>
      </c>
      <c r="J721" s="912">
        <f>I721*H721</f>
        <v>50</v>
      </c>
      <c r="K721" s="912" t="s">
        <v>274</v>
      </c>
      <c r="L721" s="912"/>
      <c r="M721" s="912"/>
      <c r="N721" s="912"/>
      <c r="O721" s="892">
        <f t="shared" si="44"/>
        <v>0</v>
      </c>
      <c r="P721" s="903">
        <f t="shared" si="45"/>
        <v>1</v>
      </c>
      <c r="Q721" s="893">
        <f t="shared" si="46"/>
        <v>4</v>
      </c>
      <c r="R721" s="894">
        <f t="shared" si="47"/>
        <v>0</v>
      </c>
    </row>
    <row r="722" spans="1:18">
      <c r="A722" s="905"/>
      <c r="B722" s="906"/>
      <c r="C722" s="907">
        <v>44</v>
      </c>
      <c r="D722" s="907" t="s">
        <v>279</v>
      </c>
      <c r="E722" s="925" t="s">
        <v>2681</v>
      </c>
      <c r="F722" s="926" t="s">
        <v>45</v>
      </c>
      <c r="G722" s="910"/>
      <c r="H722" s="911">
        <v>4.4999999999999998E-2</v>
      </c>
      <c r="I722" s="912">
        <f>VLOOKUP(E722,[3]VLP!$B$7:$K$300,10,0)</f>
        <v>23000</v>
      </c>
      <c r="J722" s="912">
        <f>I722*H722</f>
        <v>1035</v>
      </c>
      <c r="K722" s="912" t="s">
        <v>274</v>
      </c>
      <c r="L722" s="912"/>
      <c r="M722" s="912"/>
      <c r="N722" s="912"/>
      <c r="O722" s="892">
        <f t="shared" si="44"/>
        <v>0</v>
      </c>
      <c r="P722" s="903">
        <f t="shared" si="45"/>
        <v>1</v>
      </c>
      <c r="Q722" s="893">
        <f t="shared" si="46"/>
        <v>3</v>
      </c>
      <c r="R722" s="894">
        <f t="shared" si="47"/>
        <v>0</v>
      </c>
    </row>
    <row r="723" spans="1:18" s="904" customFormat="1">
      <c r="A723" s="895"/>
      <c r="B723" s="896"/>
      <c r="C723" s="897"/>
      <c r="D723" s="897"/>
      <c r="E723" s="924" t="s">
        <v>276</v>
      </c>
      <c r="F723" s="927"/>
      <c r="G723" s="928"/>
      <c r="H723" s="901"/>
      <c r="I723" s="902"/>
      <c r="J723" s="902"/>
      <c r="K723" s="912" t="s">
        <v>274</v>
      </c>
      <c r="L723" s="902"/>
      <c r="M723" s="902"/>
      <c r="N723" s="902"/>
      <c r="O723" s="892">
        <f t="shared" si="44"/>
        <v>0</v>
      </c>
      <c r="P723" s="903">
        <f t="shared" si="45"/>
        <v>1</v>
      </c>
      <c r="Q723" s="893">
        <f t="shared" si="46"/>
        <v>2</v>
      </c>
      <c r="R723" s="894">
        <f t="shared" si="47"/>
        <v>0</v>
      </c>
    </row>
    <row r="724" spans="1:18">
      <c r="A724" s="905"/>
      <c r="B724" s="906"/>
      <c r="C724" s="907">
        <v>740</v>
      </c>
      <c r="D724" s="907" t="s">
        <v>12</v>
      </c>
      <c r="E724" s="908" t="s">
        <v>4008</v>
      </c>
      <c r="F724" s="909" t="s">
        <v>2674</v>
      </c>
      <c r="G724" s="910"/>
      <c r="H724" s="911">
        <v>0.31</v>
      </c>
      <c r="I724" s="912"/>
      <c r="J724" s="912"/>
      <c r="K724" s="912">
        <f>VLOOKUP(E724,ĐMNC!$A$7:$F$67,4,0)</f>
        <v>252714</v>
      </c>
      <c r="L724" s="912">
        <f>H724*K724</f>
        <v>78341.34</v>
      </c>
      <c r="M724" s="912"/>
      <c r="N724" s="912"/>
      <c r="O724" s="892">
        <f t="shared" si="44"/>
        <v>0</v>
      </c>
      <c r="P724" s="903">
        <f t="shared" si="45"/>
        <v>1</v>
      </c>
      <c r="Q724" s="893">
        <f t="shared" si="46"/>
        <v>1</v>
      </c>
      <c r="R724" s="894">
        <f t="shared" si="47"/>
        <v>0</v>
      </c>
    </row>
    <row r="725" spans="1:18" s="847" customFormat="1">
      <c r="A725" s="905"/>
      <c r="B725" s="914" t="s">
        <v>4166</v>
      </c>
      <c r="C725" s="915"/>
      <c r="D725" s="915"/>
      <c r="E725" s="916" t="s">
        <v>4167</v>
      </c>
      <c r="F725" s="917" t="s">
        <v>4159</v>
      </c>
      <c r="G725" s="918"/>
      <c r="H725" s="919"/>
      <c r="I725" s="920"/>
      <c r="J725" s="891">
        <f>SUM(J726:J730)</f>
        <v>1085</v>
      </c>
      <c r="K725" s="891"/>
      <c r="L725" s="891">
        <f>SUM(L726:L730)</f>
        <v>85922.760000000009</v>
      </c>
      <c r="M725" s="891"/>
      <c r="N725" s="891">
        <f>SUM(N726:N730)</f>
        <v>0</v>
      </c>
      <c r="O725" s="892">
        <f t="shared" si="44"/>
        <v>1</v>
      </c>
      <c r="P725" s="903">
        <f t="shared" si="45"/>
        <v>0</v>
      </c>
      <c r="Q725" s="893">
        <f t="shared" si="46"/>
        <v>0</v>
      </c>
      <c r="R725" s="894">
        <f t="shared" si="47"/>
        <v>5</v>
      </c>
    </row>
    <row r="726" spans="1:18" s="904" customFormat="1">
      <c r="A726" s="895"/>
      <c r="B726" s="896"/>
      <c r="C726" s="897"/>
      <c r="D726" s="897"/>
      <c r="E726" s="924" t="s">
        <v>108</v>
      </c>
      <c r="F726" s="899"/>
      <c r="G726" s="900"/>
      <c r="H726" s="901"/>
      <c r="I726" s="902"/>
      <c r="J726" s="902"/>
      <c r="K726" s="912" t="s">
        <v>274</v>
      </c>
      <c r="L726" s="902"/>
      <c r="M726" s="902"/>
      <c r="N726" s="902"/>
      <c r="O726" s="892">
        <f t="shared" si="44"/>
        <v>0</v>
      </c>
      <c r="P726" s="903">
        <f t="shared" si="45"/>
        <v>1</v>
      </c>
      <c r="Q726" s="893">
        <f t="shared" si="46"/>
        <v>5</v>
      </c>
      <c r="R726" s="894">
        <f t="shared" si="47"/>
        <v>0</v>
      </c>
    </row>
    <row r="727" spans="1:18">
      <c r="A727" s="905"/>
      <c r="B727" s="906"/>
      <c r="C727" s="907">
        <v>66</v>
      </c>
      <c r="D727" s="907" t="s">
        <v>279</v>
      </c>
      <c r="E727" s="925" t="s">
        <v>2682</v>
      </c>
      <c r="F727" s="926" t="s">
        <v>45</v>
      </c>
      <c r="G727" s="910"/>
      <c r="H727" s="911">
        <v>0.01</v>
      </c>
      <c r="I727" s="912">
        <f>VLOOKUP(E727,[3]VLP!$B$7:$K$300,10,0)</f>
        <v>5000</v>
      </c>
      <c r="J727" s="912">
        <f>I727*H727</f>
        <v>50</v>
      </c>
      <c r="K727" s="912" t="s">
        <v>274</v>
      </c>
      <c r="L727" s="912"/>
      <c r="M727" s="912"/>
      <c r="N727" s="912"/>
      <c r="O727" s="892">
        <f t="shared" si="44"/>
        <v>0</v>
      </c>
      <c r="P727" s="903">
        <f t="shared" si="45"/>
        <v>1</v>
      </c>
      <c r="Q727" s="893">
        <f t="shared" si="46"/>
        <v>4</v>
      </c>
      <c r="R727" s="894">
        <f t="shared" si="47"/>
        <v>0</v>
      </c>
    </row>
    <row r="728" spans="1:18">
      <c r="A728" s="905"/>
      <c r="B728" s="906"/>
      <c r="C728" s="907">
        <v>44</v>
      </c>
      <c r="D728" s="907" t="s">
        <v>279</v>
      </c>
      <c r="E728" s="925" t="s">
        <v>2681</v>
      </c>
      <c r="F728" s="926" t="s">
        <v>45</v>
      </c>
      <c r="G728" s="910"/>
      <c r="H728" s="911">
        <v>4.4999999999999998E-2</v>
      </c>
      <c r="I728" s="912">
        <f>VLOOKUP(E728,[3]VLP!$B$7:$K$300,10,0)</f>
        <v>23000</v>
      </c>
      <c r="J728" s="912">
        <f>I728*H728</f>
        <v>1035</v>
      </c>
      <c r="K728" s="912" t="s">
        <v>274</v>
      </c>
      <c r="L728" s="912"/>
      <c r="M728" s="912"/>
      <c r="N728" s="912"/>
      <c r="O728" s="892">
        <f t="shared" si="44"/>
        <v>0</v>
      </c>
      <c r="P728" s="903">
        <f t="shared" si="45"/>
        <v>1</v>
      </c>
      <c r="Q728" s="893">
        <f t="shared" si="46"/>
        <v>3</v>
      </c>
      <c r="R728" s="894">
        <f t="shared" si="47"/>
        <v>0</v>
      </c>
    </row>
    <row r="729" spans="1:18" s="904" customFormat="1">
      <c r="A729" s="895"/>
      <c r="B729" s="896"/>
      <c r="C729" s="897"/>
      <c r="D729" s="897"/>
      <c r="E729" s="924" t="s">
        <v>276</v>
      </c>
      <c r="F729" s="927"/>
      <c r="G729" s="928"/>
      <c r="H729" s="901"/>
      <c r="I729" s="902"/>
      <c r="J729" s="902"/>
      <c r="K729" s="912" t="s">
        <v>274</v>
      </c>
      <c r="L729" s="902"/>
      <c r="M729" s="902"/>
      <c r="N729" s="902"/>
      <c r="O729" s="892">
        <f t="shared" si="44"/>
        <v>0</v>
      </c>
      <c r="P729" s="903">
        <f t="shared" si="45"/>
        <v>1</v>
      </c>
      <c r="Q729" s="893">
        <f t="shared" si="46"/>
        <v>2</v>
      </c>
      <c r="R729" s="894">
        <f t="shared" si="47"/>
        <v>0</v>
      </c>
    </row>
    <row r="730" spans="1:18">
      <c r="A730" s="905"/>
      <c r="B730" s="906"/>
      <c r="C730" s="907">
        <v>740</v>
      </c>
      <c r="D730" s="907" t="s">
        <v>12</v>
      </c>
      <c r="E730" s="908" t="s">
        <v>4008</v>
      </c>
      <c r="F730" s="909" t="s">
        <v>2674</v>
      </c>
      <c r="G730" s="910"/>
      <c r="H730" s="911">
        <v>0.34</v>
      </c>
      <c r="I730" s="912"/>
      <c r="J730" s="912"/>
      <c r="K730" s="912">
        <f>VLOOKUP(E730,ĐMNC!$A$7:$F$67,4,0)</f>
        <v>252714</v>
      </c>
      <c r="L730" s="912">
        <f>H730*K730</f>
        <v>85922.760000000009</v>
      </c>
      <c r="M730" s="912"/>
      <c r="N730" s="912"/>
      <c r="O730" s="892">
        <f t="shared" si="44"/>
        <v>0</v>
      </c>
      <c r="P730" s="903">
        <f t="shared" si="45"/>
        <v>1</v>
      </c>
      <c r="Q730" s="893">
        <f t="shared" si="46"/>
        <v>1</v>
      </c>
      <c r="R730" s="894">
        <f t="shared" si="47"/>
        <v>0</v>
      </c>
    </row>
    <row r="731" spans="1:18" s="847" customFormat="1">
      <c r="A731" s="905"/>
      <c r="B731" s="914" t="s">
        <v>4168</v>
      </c>
      <c r="C731" s="915"/>
      <c r="D731" s="915"/>
      <c r="E731" s="916" t="s">
        <v>4169</v>
      </c>
      <c r="F731" s="917" t="s">
        <v>4159</v>
      </c>
      <c r="G731" s="918"/>
      <c r="H731" s="919"/>
      <c r="I731" s="920"/>
      <c r="J731" s="891">
        <f>SUM(J732:J736)</f>
        <v>1085</v>
      </c>
      <c r="K731" s="891"/>
      <c r="L731" s="891">
        <f>SUM(L732:L736)</f>
        <v>94515.035999999993</v>
      </c>
      <c r="M731" s="891"/>
      <c r="N731" s="891">
        <f>SUM(N732:N736)</f>
        <v>0</v>
      </c>
      <c r="O731" s="892">
        <f t="shared" si="44"/>
        <v>1</v>
      </c>
      <c r="P731" s="903">
        <f t="shared" si="45"/>
        <v>0</v>
      </c>
      <c r="Q731" s="893">
        <f t="shared" si="46"/>
        <v>0</v>
      </c>
      <c r="R731" s="894">
        <f t="shared" si="47"/>
        <v>5</v>
      </c>
    </row>
    <row r="732" spans="1:18" s="904" customFormat="1">
      <c r="A732" s="895"/>
      <c r="B732" s="896"/>
      <c r="C732" s="897"/>
      <c r="D732" s="897"/>
      <c r="E732" s="924" t="s">
        <v>108</v>
      </c>
      <c r="F732" s="899"/>
      <c r="G732" s="900"/>
      <c r="H732" s="901"/>
      <c r="I732" s="902"/>
      <c r="J732" s="902"/>
      <c r="K732" s="912" t="s">
        <v>274</v>
      </c>
      <c r="L732" s="902"/>
      <c r="M732" s="902"/>
      <c r="N732" s="902"/>
      <c r="O732" s="892">
        <f t="shared" si="44"/>
        <v>0</v>
      </c>
      <c r="P732" s="903">
        <f t="shared" si="45"/>
        <v>1</v>
      </c>
      <c r="Q732" s="893">
        <f t="shared" si="46"/>
        <v>5</v>
      </c>
      <c r="R732" s="894">
        <f t="shared" si="47"/>
        <v>0</v>
      </c>
    </row>
    <row r="733" spans="1:18">
      <c r="A733" s="905"/>
      <c r="B733" s="906"/>
      <c r="C733" s="907">
        <v>66</v>
      </c>
      <c r="D733" s="907" t="s">
        <v>279</v>
      </c>
      <c r="E733" s="925" t="s">
        <v>2682</v>
      </c>
      <c r="F733" s="926" t="s">
        <v>45</v>
      </c>
      <c r="G733" s="910"/>
      <c r="H733" s="911">
        <v>0.01</v>
      </c>
      <c r="I733" s="912">
        <f>VLOOKUP(E733,[3]VLP!$B$7:$K$300,10,0)</f>
        <v>5000</v>
      </c>
      <c r="J733" s="912">
        <f>I733*H733</f>
        <v>50</v>
      </c>
      <c r="K733" s="912" t="s">
        <v>274</v>
      </c>
      <c r="L733" s="912"/>
      <c r="M733" s="912"/>
      <c r="N733" s="912"/>
      <c r="O733" s="892">
        <f t="shared" si="44"/>
        <v>0</v>
      </c>
      <c r="P733" s="903">
        <f t="shared" si="45"/>
        <v>1</v>
      </c>
      <c r="Q733" s="893">
        <f t="shared" si="46"/>
        <v>4</v>
      </c>
      <c r="R733" s="894">
        <f t="shared" si="47"/>
        <v>0</v>
      </c>
    </row>
    <row r="734" spans="1:18">
      <c r="A734" s="905"/>
      <c r="B734" s="906"/>
      <c r="C734" s="907">
        <v>44</v>
      </c>
      <c r="D734" s="907" t="s">
        <v>279</v>
      </c>
      <c r="E734" s="925" t="s">
        <v>2681</v>
      </c>
      <c r="F734" s="926" t="s">
        <v>45</v>
      </c>
      <c r="G734" s="910"/>
      <c r="H734" s="911">
        <v>4.4999999999999998E-2</v>
      </c>
      <c r="I734" s="912">
        <f>VLOOKUP(E734,[3]VLP!$B$7:$K$300,10,0)</f>
        <v>23000</v>
      </c>
      <c r="J734" s="912">
        <f>I734*H734</f>
        <v>1035</v>
      </c>
      <c r="K734" s="912" t="s">
        <v>274</v>
      </c>
      <c r="L734" s="912"/>
      <c r="M734" s="912"/>
      <c r="N734" s="912"/>
      <c r="O734" s="892">
        <f t="shared" si="44"/>
        <v>0</v>
      </c>
      <c r="P734" s="903">
        <f t="shared" si="45"/>
        <v>1</v>
      </c>
      <c r="Q734" s="893">
        <f t="shared" si="46"/>
        <v>3</v>
      </c>
      <c r="R734" s="894">
        <f t="shared" si="47"/>
        <v>0</v>
      </c>
    </row>
    <row r="735" spans="1:18" s="904" customFormat="1">
      <c r="A735" s="895"/>
      <c r="B735" s="896"/>
      <c r="C735" s="897"/>
      <c r="D735" s="897"/>
      <c r="E735" s="924" t="s">
        <v>276</v>
      </c>
      <c r="F735" s="927"/>
      <c r="G735" s="928"/>
      <c r="H735" s="901"/>
      <c r="I735" s="902"/>
      <c r="J735" s="902"/>
      <c r="K735" s="912" t="s">
        <v>274</v>
      </c>
      <c r="L735" s="902"/>
      <c r="M735" s="902"/>
      <c r="N735" s="902"/>
      <c r="O735" s="892">
        <f t="shared" si="44"/>
        <v>0</v>
      </c>
      <c r="P735" s="903">
        <f t="shared" si="45"/>
        <v>1</v>
      </c>
      <c r="Q735" s="893">
        <f t="shared" si="46"/>
        <v>2</v>
      </c>
      <c r="R735" s="894">
        <f t="shared" si="47"/>
        <v>0</v>
      </c>
    </row>
    <row r="736" spans="1:18">
      <c r="A736" s="905"/>
      <c r="B736" s="906"/>
      <c r="C736" s="907">
        <v>740</v>
      </c>
      <c r="D736" s="907" t="s">
        <v>12</v>
      </c>
      <c r="E736" s="908" t="s">
        <v>4008</v>
      </c>
      <c r="F736" s="909" t="s">
        <v>2674</v>
      </c>
      <c r="G736" s="910"/>
      <c r="H736" s="911">
        <v>0.374</v>
      </c>
      <c r="I736" s="912"/>
      <c r="J736" s="912"/>
      <c r="K736" s="912">
        <f>VLOOKUP(E736,ĐMNC!$A$7:$F$67,4,0)</f>
        <v>252714</v>
      </c>
      <c r="L736" s="912">
        <f>H736*K736</f>
        <v>94515.035999999993</v>
      </c>
      <c r="M736" s="912"/>
      <c r="N736" s="912"/>
      <c r="O736" s="892">
        <f t="shared" si="44"/>
        <v>0</v>
      </c>
      <c r="P736" s="903">
        <f t="shared" si="45"/>
        <v>1</v>
      </c>
      <c r="Q736" s="893">
        <f t="shared" si="46"/>
        <v>1</v>
      </c>
      <c r="R736" s="894">
        <f t="shared" si="47"/>
        <v>0</v>
      </c>
    </row>
    <row r="737" spans="1:18" s="847" customFormat="1">
      <c r="A737" s="905"/>
      <c r="B737" s="914" t="s">
        <v>4170</v>
      </c>
      <c r="C737" s="915"/>
      <c r="D737" s="915"/>
      <c r="E737" s="916" t="s">
        <v>4171</v>
      </c>
      <c r="F737" s="917" t="s">
        <v>4159</v>
      </c>
      <c r="G737" s="918"/>
      <c r="H737" s="919"/>
      <c r="I737" s="920"/>
      <c r="J737" s="891">
        <f>SUM(J738:J742)</f>
        <v>1085</v>
      </c>
      <c r="K737" s="891"/>
      <c r="L737" s="891">
        <f>SUM(L738:L742)</f>
        <v>108667.02</v>
      </c>
      <c r="M737" s="891"/>
      <c r="N737" s="891">
        <f>SUM(N738:N742)</f>
        <v>0</v>
      </c>
      <c r="O737" s="892">
        <f t="shared" si="44"/>
        <v>1</v>
      </c>
      <c r="P737" s="903">
        <f t="shared" si="45"/>
        <v>0</v>
      </c>
      <c r="Q737" s="893">
        <f t="shared" si="46"/>
        <v>0</v>
      </c>
      <c r="R737" s="894">
        <f t="shared" si="47"/>
        <v>5</v>
      </c>
    </row>
    <row r="738" spans="1:18" s="904" customFormat="1">
      <c r="A738" s="895"/>
      <c r="B738" s="896"/>
      <c r="C738" s="897"/>
      <c r="D738" s="897"/>
      <c r="E738" s="924" t="s">
        <v>108</v>
      </c>
      <c r="F738" s="899"/>
      <c r="G738" s="900"/>
      <c r="H738" s="901"/>
      <c r="I738" s="902"/>
      <c r="J738" s="902"/>
      <c r="K738" s="912" t="s">
        <v>274</v>
      </c>
      <c r="L738" s="902"/>
      <c r="M738" s="902"/>
      <c r="N738" s="902"/>
      <c r="O738" s="892">
        <f t="shared" si="44"/>
        <v>0</v>
      </c>
      <c r="P738" s="903">
        <f t="shared" si="45"/>
        <v>1</v>
      </c>
      <c r="Q738" s="893">
        <f t="shared" si="46"/>
        <v>5</v>
      </c>
      <c r="R738" s="894">
        <f t="shared" si="47"/>
        <v>0</v>
      </c>
    </row>
    <row r="739" spans="1:18">
      <c r="A739" s="905"/>
      <c r="B739" s="906"/>
      <c r="C739" s="907">
        <v>66</v>
      </c>
      <c r="D739" s="907" t="s">
        <v>279</v>
      </c>
      <c r="E739" s="925" t="s">
        <v>2682</v>
      </c>
      <c r="F739" s="926" t="s">
        <v>45</v>
      </c>
      <c r="G739" s="910"/>
      <c r="H739" s="911">
        <v>0.01</v>
      </c>
      <c r="I739" s="912">
        <f>VLOOKUP(E739,[3]VLP!$B$7:$K$300,10,0)</f>
        <v>5000</v>
      </c>
      <c r="J739" s="912">
        <f>I739*H739</f>
        <v>50</v>
      </c>
      <c r="K739" s="912" t="s">
        <v>274</v>
      </c>
      <c r="L739" s="912"/>
      <c r="M739" s="912"/>
      <c r="N739" s="912"/>
      <c r="O739" s="892">
        <f t="shared" si="44"/>
        <v>0</v>
      </c>
      <c r="P739" s="903">
        <f t="shared" si="45"/>
        <v>1</v>
      </c>
      <c r="Q739" s="893">
        <f t="shared" si="46"/>
        <v>4</v>
      </c>
      <c r="R739" s="894">
        <f t="shared" si="47"/>
        <v>0</v>
      </c>
    </row>
    <row r="740" spans="1:18">
      <c r="A740" s="905"/>
      <c r="B740" s="906"/>
      <c r="C740" s="907">
        <v>44</v>
      </c>
      <c r="D740" s="907" t="s">
        <v>279</v>
      </c>
      <c r="E740" s="925" t="s">
        <v>2681</v>
      </c>
      <c r="F740" s="926" t="s">
        <v>45</v>
      </c>
      <c r="G740" s="910"/>
      <c r="H740" s="911">
        <v>4.4999999999999998E-2</v>
      </c>
      <c r="I740" s="912">
        <f>VLOOKUP(E740,[3]VLP!$B$7:$K$300,10,0)</f>
        <v>23000</v>
      </c>
      <c r="J740" s="912">
        <f>I740*H740</f>
        <v>1035</v>
      </c>
      <c r="K740" s="912" t="s">
        <v>274</v>
      </c>
      <c r="L740" s="912"/>
      <c r="M740" s="912"/>
      <c r="N740" s="912"/>
      <c r="O740" s="892">
        <f t="shared" si="44"/>
        <v>0</v>
      </c>
      <c r="P740" s="903">
        <f t="shared" si="45"/>
        <v>1</v>
      </c>
      <c r="Q740" s="893">
        <f t="shared" si="46"/>
        <v>3</v>
      </c>
      <c r="R740" s="894">
        <f t="shared" si="47"/>
        <v>0</v>
      </c>
    </row>
    <row r="741" spans="1:18" s="904" customFormat="1">
      <c r="A741" s="895"/>
      <c r="B741" s="896"/>
      <c r="C741" s="897"/>
      <c r="D741" s="897"/>
      <c r="E741" s="924" t="s">
        <v>276</v>
      </c>
      <c r="F741" s="927"/>
      <c r="G741" s="928"/>
      <c r="H741" s="901"/>
      <c r="I741" s="902"/>
      <c r="J741" s="902"/>
      <c r="K741" s="912" t="s">
        <v>274</v>
      </c>
      <c r="L741" s="902"/>
      <c r="M741" s="902"/>
      <c r="N741" s="902"/>
      <c r="O741" s="892">
        <f t="shared" si="44"/>
        <v>0</v>
      </c>
      <c r="P741" s="903">
        <f t="shared" si="45"/>
        <v>1</v>
      </c>
      <c r="Q741" s="893">
        <f t="shared" si="46"/>
        <v>2</v>
      </c>
      <c r="R741" s="894">
        <f t="shared" si="47"/>
        <v>0</v>
      </c>
    </row>
    <row r="742" spans="1:18">
      <c r="A742" s="905"/>
      <c r="B742" s="906"/>
      <c r="C742" s="907">
        <v>740</v>
      </c>
      <c r="D742" s="907" t="s">
        <v>12</v>
      </c>
      <c r="E742" s="908" t="s">
        <v>4008</v>
      </c>
      <c r="F742" s="909" t="s">
        <v>2674</v>
      </c>
      <c r="G742" s="910"/>
      <c r="H742" s="911">
        <v>0.43</v>
      </c>
      <c r="I742" s="912"/>
      <c r="J742" s="912"/>
      <c r="K742" s="912">
        <f>VLOOKUP(E742,ĐMNC!$A$7:$F$67,4,0)</f>
        <v>252714</v>
      </c>
      <c r="L742" s="912">
        <f>H742*K742</f>
        <v>108667.02</v>
      </c>
      <c r="M742" s="912"/>
      <c r="N742" s="912"/>
      <c r="O742" s="892">
        <f t="shared" si="44"/>
        <v>0</v>
      </c>
      <c r="P742" s="903">
        <f t="shared" si="45"/>
        <v>1</v>
      </c>
      <c r="Q742" s="893">
        <f t="shared" si="46"/>
        <v>1</v>
      </c>
      <c r="R742" s="894">
        <f t="shared" si="47"/>
        <v>0</v>
      </c>
    </row>
    <row r="743" spans="1:18" s="847" customFormat="1" ht="31.5">
      <c r="A743" s="905"/>
      <c r="B743" s="914" t="s">
        <v>4172</v>
      </c>
      <c r="C743" s="915"/>
      <c r="D743" s="915"/>
      <c r="E743" s="916" t="s">
        <v>4173</v>
      </c>
      <c r="F743" s="917" t="s">
        <v>4159</v>
      </c>
      <c r="G743" s="918"/>
      <c r="H743" s="919"/>
      <c r="I743" s="920"/>
      <c r="J743" s="891">
        <f>SUM(J744:J748)</f>
        <v>1085</v>
      </c>
      <c r="K743" s="891"/>
      <c r="L743" s="891">
        <f>SUM(L744:L748)</f>
        <v>124840.716</v>
      </c>
      <c r="M743" s="891"/>
      <c r="N743" s="891">
        <f>SUM(N744:N748)</f>
        <v>0</v>
      </c>
      <c r="O743" s="892">
        <f t="shared" si="44"/>
        <v>1</v>
      </c>
      <c r="P743" s="903">
        <f t="shared" si="45"/>
        <v>0</v>
      </c>
      <c r="Q743" s="893">
        <f t="shared" si="46"/>
        <v>0</v>
      </c>
      <c r="R743" s="894">
        <f t="shared" si="47"/>
        <v>5</v>
      </c>
    </row>
    <row r="744" spans="1:18" s="904" customFormat="1">
      <c r="A744" s="895"/>
      <c r="B744" s="896"/>
      <c r="C744" s="897"/>
      <c r="D744" s="897"/>
      <c r="E744" s="924" t="s">
        <v>108</v>
      </c>
      <c r="F744" s="899"/>
      <c r="G744" s="900"/>
      <c r="H744" s="901"/>
      <c r="I744" s="902"/>
      <c r="J744" s="902"/>
      <c r="K744" s="912" t="s">
        <v>274</v>
      </c>
      <c r="L744" s="902"/>
      <c r="M744" s="902"/>
      <c r="N744" s="902"/>
      <c r="O744" s="892">
        <f t="shared" si="44"/>
        <v>0</v>
      </c>
      <c r="P744" s="903">
        <f t="shared" si="45"/>
        <v>1</v>
      </c>
      <c r="Q744" s="893">
        <f t="shared" si="46"/>
        <v>5</v>
      </c>
      <c r="R744" s="894">
        <f t="shared" si="47"/>
        <v>0</v>
      </c>
    </row>
    <row r="745" spans="1:18">
      <c r="A745" s="905"/>
      <c r="B745" s="906"/>
      <c r="C745" s="907">
        <v>66</v>
      </c>
      <c r="D745" s="907" t="s">
        <v>279</v>
      </c>
      <c r="E745" s="925" t="s">
        <v>2682</v>
      </c>
      <c r="F745" s="926" t="s">
        <v>45</v>
      </c>
      <c r="G745" s="910"/>
      <c r="H745" s="911">
        <v>0.01</v>
      </c>
      <c r="I745" s="912">
        <f>VLOOKUP(E745,[3]VLP!$B$7:$K$300,10,0)</f>
        <v>5000</v>
      </c>
      <c r="J745" s="912">
        <f>I745*H745</f>
        <v>50</v>
      </c>
      <c r="K745" s="912" t="s">
        <v>274</v>
      </c>
      <c r="L745" s="912"/>
      <c r="M745" s="912"/>
      <c r="N745" s="912"/>
      <c r="O745" s="892">
        <f t="shared" si="44"/>
        <v>0</v>
      </c>
      <c r="P745" s="903">
        <f t="shared" si="45"/>
        <v>1</v>
      </c>
      <c r="Q745" s="893">
        <f t="shared" si="46"/>
        <v>4</v>
      </c>
      <c r="R745" s="894">
        <f t="shared" si="47"/>
        <v>0</v>
      </c>
    </row>
    <row r="746" spans="1:18">
      <c r="A746" s="905"/>
      <c r="B746" s="906"/>
      <c r="C746" s="907">
        <v>44</v>
      </c>
      <c r="D746" s="907" t="s">
        <v>279</v>
      </c>
      <c r="E746" s="925" t="s">
        <v>2681</v>
      </c>
      <c r="F746" s="926" t="s">
        <v>45</v>
      </c>
      <c r="G746" s="910"/>
      <c r="H746" s="911">
        <v>4.4999999999999998E-2</v>
      </c>
      <c r="I746" s="912">
        <f>VLOOKUP(E746,[3]VLP!$B$7:$K$300,10,0)</f>
        <v>23000</v>
      </c>
      <c r="J746" s="912">
        <f>I746*H746</f>
        <v>1035</v>
      </c>
      <c r="K746" s="912" t="s">
        <v>274</v>
      </c>
      <c r="L746" s="912"/>
      <c r="M746" s="912"/>
      <c r="N746" s="912"/>
      <c r="O746" s="892">
        <f t="shared" si="44"/>
        <v>0</v>
      </c>
      <c r="P746" s="903">
        <f t="shared" si="45"/>
        <v>1</v>
      </c>
      <c r="Q746" s="893">
        <f t="shared" si="46"/>
        <v>3</v>
      </c>
      <c r="R746" s="894">
        <f t="shared" si="47"/>
        <v>0</v>
      </c>
    </row>
    <row r="747" spans="1:18" s="904" customFormat="1">
      <c r="A747" s="895"/>
      <c r="B747" s="896"/>
      <c r="C747" s="897"/>
      <c r="D747" s="897"/>
      <c r="E747" s="924" t="s">
        <v>276</v>
      </c>
      <c r="F747" s="927"/>
      <c r="G747" s="928"/>
      <c r="H747" s="901"/>
      <c r="I747" s="902"/>
      <c r="J747" s="902"/>
      <c r="K747" s="912" t="s">
        <v>274</v>
      </c>
      <c r="L747" s="902"/>
      <c r="M747" s="902"/>
      <c r="N747" s="902"/>
      <c r="O747" s="892">
        <f t="shared" si="44"/>
        <v>0</v>
      </c>
      <c r="P747" s="903">
        <f t="shared" si="45"/>
        <v>1</v>
      </c>
      <c r="Q747" s="893">
        <f t="shared" si="46"/>
        <v>2</v>
      </c>
      <c r="R747" s="894">
        <f t="shared" si="47"/>
        <v>0</v>
      </c>
    </row>
    <row r="748" spans="1:18">
      <c r="A748" s="905"/>
      <c r="B748" s="906"/>
      <c r="C748" s="907">
        <v>740</v>
      </c>
      <c r="D748" s="907" t="s">
        <v>12</v>
      </c>
      <c r="E748" s="908" t="s">
        <v>4008</v>
      </c>
      <c r="F748" s="909" t="s">
        <v>2674</v>
      </c>
      <c r="G748" s="910"/>
      <c r="H748" s="911">
        <v>0.49399999999999999</v>
      </c>
      <c r="I748" s="912"/>
      <c r="J748" s="912"/>
      <c r="K748" s="912">
        <f>VLOOKUP(E748,ĐMNC!$A$7:$F$67,4,0)</f>
        <v>252714</v>
      </c>
      <c r="L748" s="912">
        <f>H748*K748</f>
        <v>124840.716</v>
      </c>
      <c r="M748" s="912"/>
      <c r="N748" s="912"/>
      <c r="O748" s="892">
        <f t="shared" si="44"/>
        <v>0</v>
      </c>
      <c r="P748" s="903">
        <f t="shared" si="45"/>
        <v>1</v>
      </c>
      <c r="Q748" s="893">
        <f t="shared" si="46"/>
        <v>1</v>
      </c>
      <c r="R748" s="894">
        <f t="shared" si="47"/>
        <v>0</v>
      </c>
    </row>
    <row r="749" spans="1:18" s="847" customFormat="1">
      <c r="A749" s="905"/>
      <c r="B749" s="914" t="s">
        <v>4174</v>
      </c>
      <c r="C749" s="915"/>
      <c r="D749" s="915"/>
      <c r="E749" s="916" t="s">
        <v>4175</v>
      </c>
      <c r="F749" s="917" t="s">
        <v>4159</v>
      </c>
      <c r="G749" s="918"/>
      <c r="H749" s="919"/>
      <c r="I749" s="920"/>
      <c r="J749" s="891">
        <f>SUM(J750:J754)</f>
        <v>1200</v>
      </c>
      <c r="K749" s="891"/>
      <c r="L749" s="891">
        <f>SUM(L750:L754)</f>
        <v>63178.5</v>
      </c>
      <c r="M749" s="891"/>
      <c r="N749" s="891">
        <f>SUM(N750:N754)</f>
        <v>0</v>
      </c>
      <c r="O749" s="892">
        <f t="shared" si="44"/>
        <v>1</v>
      </c>
      <c r="P749" s="903">
        <f t="shared" si="45"/>
        <v>0</v>
      </c>
      <c r="Q749" s="893">
        <f t="shared" si="46"/>
        <v>0</v>
      </c>
      <c r="R749" s="894">
        <f t="shared" si="47"/>
        <v>5</v>
      </c>
    </row>
    <row r="750" spans="1:18" s="904" customFormat="1">
      <c r="A750" s="895"/>
      <c r="B750" s="896"/>
      <c r="C750" s="897"/>
      <c r="D750" s="897"/>
      <c r="E750" s="924" t="s">
        <v>108</v>
      </c>
      <c r="F750" s="899"/>
      <c r="G750" s="900"/>
      <c r="H750" s="901"/>
      <c r="I750" s="902"/>
      <c r="J750" s="902"/>
      <c r="K750" s="912" t="s">
        <v>274</v>
      </c>
      <c r="L750" s="902"/>
      <c r="M750" s="902"/>
      <c r="N750" s="902"/>
      <c r="O750" s="892">
        <f t="shared" si="44"/>
        <v>0</v>
      </c>
      <c r="P750" s="903">
        <f t="shared" si="45"/>
        <v>1</v>
      </c>
      <c r="Q750" s="893">
        <f t="shared" si="46"/>
        <v>5</v>
      </c>
      <c r="R750" s="894">
        <f t="shared" si="47"/>
        <v>0</v>
      </c>
    </row>
    <row r="751" spans="1:18">
      <c r="A751" s="905"/>
      <c r="B751" s="906"/>
      <c r="C751" s="907">
        <v>66</v>
      </c>
      <c r="D751" s="907" t="s">
        <v>279</v>
      </c>
      <c r="E751" s="925" t="s">
        <v>2682</v>
      </c>
      <c r="F751" s="926" t="s">
        <v>45</v>
      </c>
      <c r="G751" s="910"/>
      <c r="H751" s="911">
        <v>0.01</v>
      </c>
      <c r="I751" s="912">
        <f>VLOOKUP(E751,[3]VLP!$B$7:$K$300,10,0)</f>
        <v>5000</v>
      </c>
      <c r="J751" s="912">
        <f>I751*H751</f>
        <v>50</v>
      </c>
      <c r="K751" s="912" t="s">
        <v>274</v>
      </c>
      <c r="L751" s="912"/>
      <c r="M751" s="912"/>
      <c r="N751" s="912"/>
      <c r="O751" s="892">
        <f t="shared" si="44"/>
        <v>0</v>
      </c>
      <c r="P751" s="903">
        <f t="shared" si="45"/>
        <v>1</v>
      </c>
      <c r="Q751" s="893">
        <f t="shared" si="46"/>
        <v>4</v>
      </c>
      <c r="R751" s="894">
        <f t="shared" si="47"/>
        <v>0</v>
      </c>
    </row>
    <row r="752" spans="1:18">
      <c r="A752" s="905"/>
      <c r="B752" s="906"/>
      <c r="C752" s="907">
        <v>44</v>
      </c>
      <c r="D752" s="907" t="s">
        <v>279</v>
      </c>
      <c r="E752" s="925" t="s">
        <v>2681</v>
      </c>
      <c r="F752" s="926" t="s">
        <v>45</v>
      </c>
      <c r="G752" s="910"/>
      <c r="H752" s="911">
        <v>0.05</v>
      </c>
      <c r="I752" s="912">
        <f>VLOOKUP(E752,[3]VLP!$B$7:$K$300,10,0)</f>
        <v>23000</v>
      </c>
      <c r="J752" s="912">
        <f>I752*H752</f>
        <v>1150</v>
      </c>
      <c r="K752" s="912" t="s">
        <v>274</v>
      </c>
      <c r="L752" s="912"/>
      <c r="M752" s="912"/>
      <c r="N752" s="912"/>
      <c r="O752" s="892">
        <f t="shared" si="44"/>
        <v>0</v>
      </c>
      <c r="P752" s="903">
        <f t="shared" si="45"/>
        <v>1</v>
      </c>
      <c r="Q752" s="893">
        <f t="shared" si="46"/>
        <v>3</v>
      </c>
      <c r="R752" s="894">
        <f t="shared" si="47"/>
        <v>0</v>
      </c>
    </row>
    <row r="753" spans="1:18" s="904" customFormat="1">
      <c r="A753" s="895"/>
      <c r="B753" s="896"/>
      <c r="C753" s="897"/>
      <c r="D753" s="897"/>
      <c r="E753" s="924" t="s">
        <v>276</v>
      </c>
      <c r="F753" s="927"/>
      <c r="G753" s="928"/>
      <c r="H753" s="901"/>
      <c r="I753" s="902"/>
      <c r="J753" s="902"/>
      <c r="K753" s="912" t="s">
        <v>274</v>
      </c>
      <c r="L753" s="902"/>
      <c r="M753" s="902"/>
      <c r="N753" s="902"/>
      <c r="O753" s="892">
        <f t="shared" si="44"/>
        <v>0</v>
      </c>
      <c r="P753" s="903">
        <f t="shared" si="45"/>
        <v>1</v>
      </c>
      <c r="Q753" s="893">
        <f t="shared" si="46"/>
        <v>2</v>
      </c>
      <c r="R753" s="894">
        <f t="shared" si="47"/>
        <v>0</v>
      </c>
    </row>
    <row r="754" spans="1:18">
      <c r="A754" s="905"/>
      <c r="B754" s="906"/>
      <c r="C754" s="907">
        <v>740</v>
      </c>
      <c r="D754" s="907" t="s">
        <v>12</v>
      </c>
      <c r="E754" s="908" t="s">
        <v>4008</v>
      </c>
      <c r="F754" s="909" t="s">
        <v>2674</v>
      </c>
      <c r="G754" s="910"/>
      <c r="H754" s="911">
        <v>0.25</v>
      </c>
      <c r="I754" s="912"/>
      <c r="J754" s="912"/>
      <c r="K754" s="912">
        <f>VLOOKUP(E754,ĐMNC!$A$7:$F$67,4,0)</f>
        <v>252714</v>
      </c>
      <c r="L754" s="912">
        <f>H754*K754</f>
        <v>63178.5</v>
      </c>
      <c r="M754" s="912"/>
      <c r="N754" s="912"/>
      <c r="O754" s="892">
        <f t="shared" si="44"/>
        <v>0</v>
      </c>
      <c r="P754" s="903">
        <f t="shared" si="45"/>
        <v>1</v>
      </c>
      <c r="Q754" s="893">
        <f t="shared" si="46"/>
        <v>1</v>
      </c>
      <c r="R754" s="894">
        <f t="shared" si="47"/>
        <v>0</v>
      </c>
    </row>
    <row r="755" spans="1:18" s="847" customFormat="1">
      <c r="A755" s="905"/>
      <c r="B755" s="914" t="s">
        <v>4176</v>
      </c>
      <c r="C755" s="915"/>
      <c r="D755" s="915"/>
      <c r="E755" s="916" t="s">
        <v>4177</v>
      </c>
      <c r="F755" s="917" t="s">
        <v>4159</v>
      </c>
      <c r="G755" s="918"/>
      <c r="H755" s="919"/>
      <c r="I755" s="920"/>
      <c r="J755" s="891">
        <f>SUM(J756:J760)</f>
        <v>1200</v>
      </c>
      <c r="K755" s="891"/>
      <c r="L755" s="891">
        <f>SUM(L756:L760)</f>
        <v>65705.64</v>
      </c>
      <c r="M755" s="891"/>
      <c r="N755" s="891">
        <f>SUM(N756:N760)</f>
        <v>0</v>
      </c>
      <c r="O755" s="892">
        <f t="shared" si="44"/>
        <v>1</v>
      </c>
      <c r="P755" s="903">
        <f t="shared" si="45"/>
        <v>0</v>
      </c>
      <c r="Q755" s="893">
        <f t="shared" si="46"/>
        <v>0</v>
      </c>
      <c r="R755" s="894">
        <f t="shared" si="47"/>
        <v>5</v>
      </c>
    </row>
    <row r="756" spans="1:18" s="904" customFormat="1">
      <c r="A756" s="895"/>
      <c r="B756" s="896"/>
      <c r="C756" s="897"/>
      <c r="D756" s="897"/>
      <c r="E756" s="924" t="s">
        <v>108</v>
      </c>
      <c r="F756" s="899"/>
      <c r="G756" s="900"/>
      <c r="H756" s="901"/>
      <c r="I756" s="902"/>
      <c r="J756" s="902"/>
      <c r="K756" s="912" t="s">
        <v>274</v>
      </c>
      <c r="L756" s="902"/>
      <c r="M756" s="902"/>
      <c r="N756" s="902"/>
      <c r="O756" s="892">
        <f t="shared" si="44"/>
        <v>0</v>
      </c>
      <c r="P756" s="903">
        <f t="shared" si="45"/>
        <v>1</v>
      </c>
      <c r="Q756" s="893">
        <f t="shared" si="46"/>
        <v>5</v>
      </c>
      <c r="R756" s="894">
        <f t="shared" si="47"/>
        <v>0</v>
      </c>
    </row>
    <row r="757" spans="1:18">
      <c r="A757" s="905"/>
      <c r="B757" s="906"/>
      <c r="C757" s="907">
        <v>66</v>
      </c>
      <c r="D757" s="907" t="s">
        <v>279</v>
      </c>
      <c r="E757" s="925" t="s">
        <v>2682</v>
      </c>
      <c r="F757" s="926" t="s">
        <v>45</v>
      </c>
      <c r="G757" s="910"/>
      <c r="H757" s="911">
        <v>0.01</v>
      </c>
      <c r="I757" s="912">
        <f>VLOOKUP(E757,[3]VLP!$B$7:$K$300,10,0)</f>
        <v>5000</v>
      </c>
      <c r="J757" s="912">
        <f>I757*H757</f>
        <v>50</v>
      </c>
      <c r="K757" s="912" t="s">
        <v>274</v>
      </c>
      <c r="L757" s="912"/>
      <c r="M757" s="912"/>
      <c r="N757" s="912"/>
      <c r="O757" s="892">
        <f t="shared" si="44"/>
        <v>0</v>
      </c>
      <c r="P757" s="903">
        <f t="shared" si="45"/>
        <v>1</v>
      </c>
      <c r="Q757" s="893">
        <f t="shared" si="46"/>
        <v>4</v>
      </c>
      <c r="R757" s="894">
        <f t="shared" si="47"/>
        <v>0</v>
      </c>
    </row>
    <row r="758" spans="1:18">
      <c r="A758" s="905"/>
      <c r="B758" s="906"/>
      <c r="C758" s="907">
        <v>44</v>
      </c>
      <c r="D758" s="907" t="s">
        <v>279</v>
      </c>
      <c r="E758" s="925" t="s">
        <v>2681</v>
      </c>
      <c r="F758" s="926" t="s">
        <v>45</v>
      </c>
      <c r="G758" s="910"/>
      <c r="H758" s="911">
        <v>0.05</v>
      </c>
      <c r="I758" s="912">
        <f>VLOOKUP(E758,[3]VLP!$B$7:$K$300,10,0)</f>
        <v>23000</v>
      </c>
      <c r="J758" s="912">
        <f>I758*H758</f>
        <v>1150</v>
      </c>
      <c r="K758" s="912" t="s">
        <v>274</v>
      </c>
      <c r="L758" s="912"/>
      <c r="M758" s="912"/>
      <c r="N758" s="912"/>
      <c r="O758" s="892">
        <f t="shared" si="44"/>
        <v>0</v>
      </c>
      <c r="P758" s="903">
        <f t="shared" si="45"/>
        <v>1</v>
      </c>
      <c r="Q758" s="893">
        <f t="shared" si="46"/>
        <v>3</v>
      </c>
      <c r="R758" s="894">
        <f t="shared" si="47"/>
        <v>0</v>
      </c>
    </row>
    <row r="759" spans="1:18" s="904" customFormat="1">
      <c r="A759" s="895"/>
      <c r="B759" s="896"/>
      <c r="C759" s="897"/>
      <c r="D759" s="897"/>
      <c r="E759" s="924" t="s">
        <v>276</v>
      </c>
      <c r="F759" s="927"/>
      <c r="G759" s="928"/>
      <c r="H759" s="901"/>
      <c r="I759" s="902"/>
      <c r="J759" s="902"/>
      <c r="K759" s="912" t="s">
        <v>274</v>
      </c>
      <c r="L759" s="902"/>
      <c r="M759" s="902"/>
      <c r="N759" s="902"/>
      <c r="O759" s="892">
        <f t="shared" si="44"/>
        <v>0</v>
      </c>
      <c r="P759" s="903">
        <f t="shared" si="45"/>
        <v>1</v>
      </c>
      <c r="Q759" s="893">
        <f t="shared" si="46"/>
        <v>2</v>
      </c>
      <c r="R759" s="894">
        <f t="shared" si="47"/>
        <v>0</v>
      </c>
    </row>
    <row r="760" spans="1:18">
      <c r="A760" s="905"/>
      <c r="B760" s="906"/>
      <c r="C760" s="907">
        <v>740</v>
      </c>
      <c r="D760" s="907" t="s">
        <v>12</v>
      </c>
      <c r="E760" s="908" t="s">
        <v>4008</v>
      </c>
      <c r="F760" s="909" t="s">
        <v>2674</v>
      </c>
      <c r="G760" s="910"/>
      <c r="H760" s="911">
        <v>0.26</v>
      </c>
      <c r="I760" s="912"/>
      <c r="J760" s="912"/>
      <c r="K760" s="912">
        <f>VLOOKUP(E760,ĐMNC!$A$7:$F$67,4,0)</f>
        <v>252714</v>
      </c>
      <c r="L760" s="912">
        <f>H760*K760</f>
        <v>65705.64</v>
      </c>
      <c r="M760" s="912"/>
      <c r="N760" s="912"/>
      <c r="O760" s="892">
        <f t="shared" si="44"/>
        <v>0</v>
      </c>
      <c r="P760" s="903">
        <f t="shared" si="45"/>
        <v>1</v>
      </c>
      <c r="Q760" s="893">
        <f t="shared" si="46"/>
        <v>1</v>
      </c>
      <c r="R760" s="894">
        <f t="shared" si="47"/>
        <v>0</v>
      </c>
    </row>
    <row r="761" spans="1:18" s="847" customFormat="1">
      <c r="A761" s="905"/>
      <c r="B761" s="914" t="s">
        <v>4178</v>
      </c>
      <c r="C761" s="915"/>
      <c r="D761" s="915"/>
      <c r="E761" s="916" t="s">
        <v>4179</v>
      </c>
      <c r="F761" s="917" t="s">
        <v>4159</v>
      </c>
      <c r="G761" s="918"/>
      <c r="H761" s="919"/>
      <c r="I761" s="920"/>
      <c r="J761" s="891">
        <f>SUM(J762:J766)</f>
        <v>1200</v>
      </c>
      <c r="K761" s="891"/>
      <c r="L761" s="891">
        <f>SUM(L762:L766)</f>
        <v>73287.06</v>
      </c>
      <c r="M761" s="891"/>
      <c r="N761" s="891">
        <f>SUM(N762:N766)</f>
        <v>0</v>
      </c>
      <c r="O761" s="892">
        <f t="shared" si="44"/>
        <v>1</v>
      </c>
      <c r="P761" s="903">
        <f t="shared" si="45"/>
        <v>0</v>
      </c>
      <c r="Q761" s="893">
        <f t="shared" si="46"/>
        <v>0</v>
      </c>
      <c r="R761" s="894">
        <f t="shared" si="47"/>
        <v>5</v>
      </c>
    </row>
    <row r="762" spans="1:18" s="904" customFormat="1">
      <c r="A762" s="895"/>
      <c r="B762" s="896"/>
      <c r="C762" s="897"/>
      <c r="D762" s="897"/>
      <c r="E762" s="924" t="s">
        <v>108</v>
      </c>
      <c r="F762" s="899"/>
      <c r="G762" s="900"/>
      <c r="H762" s="901"/>
      <c r="I762" s="902"/>
      <c r="J762" s="902"/>
      <c r="K762" s="912" t="s">
        <v>274</v>
      </c>
      <c r="L762" s="902"/>
      <c r="M762" s="902"/>
      <c r="N762" s="902"/>
      <c r="O762" s="892">
        <f t="shared" si="44"/>
        <v>0</v>
      </c>
      <c r="P762" s="903">
        <f t="shared" si="45"/>
        <v>1</v>
      </c>
      <c r="Q762" s="893">
        <f t="shared" si="46"/>
        <v>5</v>
      </c>
      <c r="R762" s="894">
        <f t="shared" si="47"/>
        <v>0</v>
      </c>
    </row>
    <row r="763" spans="1:18">
      <c r="A763" s="905"/>
      <c r="B763" s="906"/>
      <c r="C763" s="907">
        <v>66</v>
      </c>
      <c r="D763" s="907" t="s">
        <v>279</v>
      </c>
      <c r="E763" s="925" t="s">
        <v>2682</v>
      </c>
      <c r="F763" s="926" t="s">
        <v>45</v>
      </c>
      <c r="G763" s="910"/>
      <c r="H763" s="911">
        <v>0.01</v>
      </c>
      <c r="I763" s="912">
        <f>VLOOKUP(E763,[3]VLP!$B$7:$K$300,10,0)</f>
        <v>5000</v>
      </c>
      <c r="J763" s="912">
        <f>I763*H763</f>
        <v>50</v>
      </c>
      <c r="K763" s="912" t="s">
        <v>274</v>
      </c>
      <c r="L763" s="912"/>
      <c r="M763" s="912"/>
      <c r="N763" s="912"/>
      <c r="O763" s="892">
        <f t="shared" si="44"/>
        <v>0</v>
      </c>
      <c r="P763" s="903">
        <f t="shared" si="45"/>
        <v>1</v>
      </c>
      <c r="Q763" s="893">
        <f t="shared" si="46"/>
        <v>4</v>
      </c>
      <c r="R763" s="894">
        <f t="shared" si="47"/>
        <v>0</v>
      </c>
    </row>
    <row r="764" spans="1:18">
      <c r="A764" s="905"/>
      <c r="B764" s="906"/>
      <c r="C764" s="907">
        <v>44</v>
      </c>
      <c r="D764" s="907" t="s">
        <v>279</v>
      </c>
      <c r="E764" s="925" t="s">
        <v>2681</v>
      </c>
      <c r="F764" s="926" t="s">
        <v>45</v>
      </c>
      <c r="G764" s="910"/>
      <c r="H764" s="911">
        <v>0.05</v>
      </c>
      <c r="I764" s="912">
        <f>VLOOKUP(E764,[3]VLP!$B$7:$K$300,10,0)</f>
        <v>23000</v>
      </c>
      <c r="J764" s="912">
        <f>I764*H764</f>
        <v>1150</v>
      </c>
      <c r="K764" s="912" t="s">
        <v>274</v>
      </c>
      <c r="L764" s="912"/>
      <c r="M764" s="912"/>
      <c r="N764" s="912"/>
      <c r="O764" s="892">
        <f t="shared" si="44"/>
        <v>0</v>
      </c>
      <c r="P764" s="903">
        <f t="shared" si="45"/>
        <v>1</v>
      </c>
      <c r="Q764" s="893">
        <f t="shared" si="46"/>
        <v>3</v>
      </c>
      <c r="R764" s="894">
        <f t="shared" si="47"/>
        <v>0</v>
      </c>
    </row>
    <row r="765" spans="1:18" s="904" customFormat="1">
      <c r="A765" s="895"/>
      <c r="B765" s="896"/>
      <c r="C765" s="897"/>
      <c r="D765" s="897"/>
      <c r="E765" s="924" t="s">
        <v>276</v>
      </c>
      <c r="F765" s="927"/>
      <c r="G765" s="928"/>
      <c r="H765" s="901"/>
      <c r="I765" s="902"/>
      <c r="J765" s="902"/>
      <c r="K765" s="912" t="s">
        <v>274</v>
      </c>
      <c r="L765" s="902"/>
      <c r="M765" s="902"/>
      <c r="N765" s="902"/>
      <c r="O765" s="892">
        <f t="shared" si="44"/>
        <v>0</v>
      </c>
      <c r="P765" s="903">
        <f t="shared" si="45"/>
        <v>1</v>
      </c>
      <c r="Q765" s="893">
        <f t="shared" si="46"/>
        <v>2</v>
      </c>
      <c r="R765" s="894">
        <f t="shared" si="47"/>
        <v>0</v>
      </c>
    </row>
    <row r="766" spans="1:18">
      <c r="A766" s="905"/>
      <c r="B766" s="906"/>
      <c r="C766" s="907">
        <v>740</v>
      </c>
      <c r="D766" s="907" t="s">
        <v>12</v>
      </c>
      <c r="E766" s="908" t="s">
        <v>4008</v>
      </c>
      <c r="F766" s="909" t="s">
        <v>2674</v>
      </c>
      <c r="G766" s="910"/>
      <c r="H766" s="911">
        <v>0.28999999999999998</v>
      </c>
      <c r="I766" s="912"/>
      <c r="J766" s="912"/>
      <c r="K766" s="912">
        <f>VLOOKUP(E766,ĐMNC!$A$7:$F$67,4,0)</f>
        <v>252714</v>
      </c>
      <c r="L766" s="912">
        <f>H766*K766</f>
        <v>73287.06</v>
      </c>
      <c r="M766" s="912"/>
      <c r="N766" s="912"/>
      <c r="O766" s="892">
        <f t="shared" si="44"/>
        <v>0</v>
      </c>
      <c r="P766" s="903">
        <f t="shared" si="45"/>
        <v>1</v>
      </c>
      <c r="Q766" s="893">
        <f t="shared" si="46"/>
        <v>1</v>
      </c>
      <c r="R766" s="894">
        <f t="shared" si="47"/>
        <v>0</v>
      </c>
    </row>
    <row r="767" spans="1:18" s="847" customFormat="1">
      <c r="A767" s="905"/>
      <c r="B767" s="914" t="s">
        <v>4180</v>
      </c>
      <c r="C767" s="915"/>
      <c r="D767" s="915"/>
      <c r="E767" s="916" t="s">
        <v>4181</v>
      </c>
      <c r="F767" s="917" t="s">
        <v>4159</v>
      </c>
      <c r="G767" s="918"/>
      <c r="H767" s="919"/>
      <c r="I767" s="920"/>
      <c r="J767" s="891">
        <f>SUM(J768:J772)</f>
        <v>1200</v>
      </c>
      <c r="K767" s="891"/>
      <c r="L767" s="891">
        <f>SUM(L768:L772)</f>
        <v>83395.62000000001</v>
      </c>
      <c r="M767" s="891"/>
      <c r="N767" s="891">
        <f>SUM(N768:N772)</f>
        <v>0</v>
      </c>
      <c r="O767" s="892">
        <f t="shared" si="44"/>
        <v>1</v>
      </c>
      <c r="P767" s="903">
        <f t="shared" si="45"/>
        <v>0</v>
      </c>
      <c r="Q767" s="893">
        <f t="shared" si="46"/>
        <v>0</v>
      </c>
      <c r="R767" s="894">
        <f t="shared" si="47"/>
        <v>5</v>
      </c>
    </row>
    <row r="768" spans="1:18" s="904" customFormat="1">
      <c r="A768" s="895"/>
      <c r="B768" s="896"/>
      <c r="C768" s="897"/>
      <c r="D768" s="897"/>
      <c r="E768" s="924" t="s">
        <v>108</v>
      </c>
      <c r="F768" s="899"/>
      <c r="G768" s="900"/>
      <c r="H768" s="901"/>
      <c r="I768" s="902"/>
      <c r="J768" s="902"/>
      <c r="K768" s="912" t="s">
        <v>274</v>
      </c>
      <c r="L768" s="902"/>
      <c r="M768" s="902"/>
      <c r="N768" s="902"/>
      <c r="O768" s="892">
        <f t="shared" si="44"/>
        <v>0</v>
      </c>
      <c r="P768" s="903">
        <f t="shared" si="45"/>
        <v>1</v>
      </c>
      <c r="Q768" s="893">
        <f t="shared" si="46"/>
        <v>5</v>
      </c>
      <c r="R768" s="894">
        <f t="shared" si="47"/>
        <v>0</v>
      </c>
    </row>
    <row r="769" spans="1:18">
      <c r="A769" s="905"/>
      <c r="B769" s="906"/>
      <c r="C769" s="907">
        <v>66</v>
      </c>
      <c r="D769" s="907" t="s">
        <v>279</v>
      </c>
      <c r="E769" s="925" t="s">
        <v>2682</v>
      </c>
      <c r="F769" s="926" t="s">
        <v>45</v>
      </c>
      <c r="G769" s="910"/>
      <c r="H769" s="911">
        <v>0.01</v>
      </c>
      <c r="I769" s="912">
        <f>VLOOKUP(E769,[3]VLP!$B$7:$K$300,10,0)</f>
        <v>5000</v>
      </c>
      <c r="J769" s="912">
        <f>I769*H769</f>
        <v>50</v>
      </c>
      <c r="K769" s="912" t="s">
        <v>274</v>
      </c>
      <c r="L769" s="912"/>
      <c r="M769" s="912"/>
      <c r="N769" s="912"/>
      <c r="O769" s="892">
        <f t="shared" si="44"/>
        <v>0</v>
      </c>
      <c r="P769" s="903">
        <f t="shared" si="45"/>
        <v>1</v>
      </c>
      <c r="Q769" s="893">
        <f t="shared" si="46"/>
        <v>4</v>
      </c>
      <c r="R769" s="894">
        <f t="shared" si="47"/>
        <v>0</v>
      </c>
    </row>
    <row r="770" spans="1:18">
      <c r="A770" s="905"/>
      <c r="B770" s="906"/>
      <c r="C770" s="907">
        <v>44</v>
      </c>
      <c r="D770" s="907" t="s">
        <v>279</v>
      </c>
      <c r="E770" s="925" t="s">
        <v>2681</v>
      </c>
      <c r="F770" s="926" t="s">
        <v>45</v>
      </c>
      <c r="G770" s="910"/>
      <c r="H770" s="911">
        <v>0.05</v>
      </c>
      <c r="I770" s="912">
        <f>VLOOKUP(E770,[3]VLP!$B$7:$K$300,10,0)</f>
        <v>23000</v>
      </c>
      <c r="J770" s="912">
        <f>I770*H770</f>
        <v>1150</v>
      </c>
      <c r="K770" s="912" t="s">
        <v>274</v>
      </c>
      <c r="L770" s="912"/>
      <c r="M770" s="912"/>
      <c r="N770" s="912"/>
      <c r="O770" s="892">
        <f t="shared" si="44"/>
        <v>0</v>
      </c>
      <c r="P770" s="903">
        <f t="shared" si="45"/>
        <v>1</v>
      </c>
      <c r="Q770" s="893">
        <f t="shared" si="46"/>
        <v>3</v>
      </c>
      <c r="R770" s="894">
        <f t="shared" si="47"/>
        <v>0</v>
      </c>
    </row>
    <row r="771" spans="1:18" s="904" customFormat="1">
      <c r="A771" s="895"/>
      <c r="B771" s="896"/>
      <c r="C771" s="897"/>
      <c r="D771" s="897"/>
      <c r="E771" s="924" t="s">
        <v>276</v>
      </c>
      <c r="F771" s="927"/>
      <c r="G771" s="928"/>
      <c r="H771" s="901"/>
      <c r="I771" s="902"/>
      <c r="J771" s="902"/>
      <c r="K771" s="912" t="s">
        <v>274</v>
      </c>
      <c r="L771" s="902"/>
      <c r="M771" s="902"/>
      <c r="N771" s="902"/>
      <c r="O771" s="892">
        <f t="shared" si="44"/>
        <v>0</v>
      </c>
      <c r="P771" s="903">
        <f t="shared" si="45"/>
        <v>1</v>
      </c>
      <c r="Q771" s="893">
        <f t="shared" si="46"/>
        <v>2</v>
      </c>
      <c r="R771" s="894">
        <f t="shared" si="47"/>
        <v>0</v>
      </c>
    </row>
    <row r="772" spans="1:18">
      <c r="A772" s="905"/>
      <c r="B772" s="906"/>
      <c r="C772" s="907">
        <v>740</v>
      </c>
      <c r="D772" s="907" t="s">
        <v>12</v>
      </c>
      <c r="E772" s="908" t="s">
        <v>4008</v>
      </c>
      <c r="F772" s="909" t="s">
        <v>2674</v>
      </c>
      <c r="G772" s="910"/>
      <c r="H772" s="911">
        <v>0.33</v>
      </c>
      <c r="I772" s="912"/>
      <c r="J772" s="912"/>
      <c r="K772" s="912">
        <f>VLOOKUP(E772,ĐMNC!$A$7:$F$67,4,0)</f>
        <v>252714</v>
      </c>
      <c r="L772" s="912">
        <f>H772*K772</f>
        <v>83395.62000000001</v>
      </c>
      <c r="M772" s="912"/>
      <c r="N772" s="912"/>
      <c r="O772" s="892">
        <f t="shared" ref="O772:O835" si="48">IF(AND(B772&lt;&gt;"",D772=""),1,0)</f>
        <v>0</v>
      </c>
      <c r="P772" s="903">
        <f t="shared" si="45"/>
        <v>1</v>
      </c>
      <c r="Q772" s="893">
        <f t="shared" si="46"/>
        <v>1</v>
      </c>
      <c r="R772" s="894">
        <f t="shared" si="47"/>
        <v>0</v>
      </c>
    </row>
    <row r="773" spans="1:18" s="847" customFormat="1">
      <c r="A773" s="905"/>
      <c r="B773" s="914" t="s">
        <v>4182</v>
      </c>
      <c r="C773" s="915"/>
      <c r="D773" s="915"/>
      <c r="E773" s="916" t="s">
        <v>4183</v>
      </c>
      <c r="F773" s="917" t="s">
        <v>4159</v>
      </c>
      <c r="G773" s="918"/>
      <c r="H773" s="919"/>
      <c r="I773" s="920"/>
      <c r="J773" s="891">
        <f>SUM(J774:J778)</f>
        <v>1200</v>
      </c>
      <c r="K773" s="891"/>
      <c r="L773" s="891">
        <f>SUM(L774:L778)</f>
        <v>90977.04</v>
      </c>
      <c r="M773" s="891"/>
      <c r="N773" s="891">
        <f>SUM(N774:N778)</f>
        <v>0</v>
      </c>
      <c r="O773" s="892">
        <f t="shared" si="48"/>
        <v>1</v>
      </c>
      <c r="P773" s="903">
        <f t="shared" si="45"/>
        <v>0</v>
      </c>
      <c r="Q773" s="893">
        <f t="shared" si="46"/>
        <v>0</v>
      </c>
      <c r="R773" s="894">
        <f t="shared" si="47"/>
        <v>5</v>
      </c>
    </row>
    <row r="774" spans="1:18" s="904" customFormat="1">
      <c r="A774" s="895"/>
      <c r="B774" s="896"/>
      <c r="C774" s="897"/>
      <c r="D774" s="897"/>
      <c r="E774" s="924" t="s">
        <v>108</v>
      </c>
      <c r="F774" s="899"/>
      <c r="G774" s="900"/>
      <c r="H774" s="901"/>
      <c r="I774" s="902"/>
      <c r="J774" s="902"/>
      <c r="K774" s="912" t="s">
        <v>274</v>
      </c>
      <c r="L774" s="902"/>
      <c r="M774" s="902"/>
      <c r="N774" s="902"/>
      <c r="O774" s="892">
        <f t="shared" si="48"/>
        <v>0</v>
      </c>
      <c r="P774" s="903">
        <f t="shared" si="45"/>
        <v>1</v>
      </c>
      <c r="Q774" s="893">
        <f t="shared" si="46"/>
        <v>5</v>
      </c>
      <c r="R774" s="894">
        <f t="shared" si="47"/>
        <v>0</v>
      </c>
    </row>
    <row r="775" spans="1:18">
      <c r="A775" s="905"/>
      <c r="B775" s="906"/>
      <c r="C775" s="907">
        <v>66</v>
      </c>
      <c r="D775" s="907" t="s">
        <v>279</v>
      </c>
      <c r="E775" s="925" t="s">
        <v>2682</v>
      </c>
      <c r="F775" s="926" t="s">
        <v>45</v>
      </c>
      <c r="G775" s="910"/>
      <c r="H775" s="911">
        <v>0.01</v>
      </c>
      <c r="I775" s="912">
        <f>VLOOKUP(E775,[3]VLP!$B$7:$K$300,10,0)</f>
        <v>5000</v>
      </c>
      <c r="J775" s="912">
        <f>I775*H775</f>
        <v>50</v>
      </c>
      <c r="K775" s="912" t="s">
        <v>274</v>
      </c>
      <c r="L775" s="912"/>
      <c r="M775" s="912"/>
      <c r="N775" s="912"/>
      <c r="O775" s="892">
        <f t="shared" si="48"/>
        <v>0</v>
      </c>
      <c r="P775" s="903">
        <f t="shared" si="45"/>
        <v>1</v>
      </c>
      <c r="Q775" s="893">
        <f t="shared" si="46"/>
        <v>4</v>
      </c>
      <c r="R775" s="894">
        <f t="shared" si="47"/>
        <v>0</v>
      </c>
    </row>
    <row r="776" spans="1:18">
      <c r="A776" s="905"/>
      <c r="B776" s="906"/>
      <c r="C776" s="907">
        <v>44</v>
      </c>
      <c r="D776" s="907" t="s">
        <v>279</v>
      </c>
      <c r="E776" s="925" t="s">
        <v>2681</v>
      </c>
      <c r="F776" s="926" t="s">
        <v>45</v>
      </c>
      <c r="G776" s="910"/>
      <c r="H776" s="911">
        <v>0.05</v>
      </c>
      <c r="I776" s="912">
        <f>VLOOKUP(E776,[3]VLP!$B$7:$K$300,10,0)</f>
        <v>23000</v>
      </c>
      <c r="J776" s="912">
        <f>I776*H776</f>
        <v>1150</v>
      </c>
      <c r="K776" s="912" t="s">
        <v>274</v>
      </c>
      <c r="L776" s="912"/>
      <c r="M776" s="912"/>
      <c r="N776" s="912"/>
      <c r="O776" s="892">
        <f t="shared" si="48"/>
        <v>0</v>
      </c>
      <c r="P776" s="903">
        <f t="shared" si="45"/>
        <v>1</v>
      </c>
      <c r="Q776" s="893">
        <f t="shared" si="46"/>
        <v>3</v>
      </c>
      <c r="R776" s="894">
        <f t="shared" si="47"/>
        <v>0</v>
      </c>
    </row>
    <row r="777" spans="1:18" s="904" customFormat="1">
      <c r="A777" s="895"/>
      <c r="B777" s="896"/>
      <c r="C777" s="897"/>
      <c r="D777" s="897"/>
      <c r="E777" s="924" t="s">
        <v>276</v>
      </c>
      <c r="F777" s="927"/>
      <c r="G777" s="928"/>
      <c r="H777" s="901"/>
      <c r="I777" s="902"/>
      <c r="J777" s="902"/>
      <c r="K777" s="912" t="s">
        <v>274</v>
      </c>
      <c r="L777" s="902"/>
      <c r="M777" s="902"/>
      <c r="N777" s="902"/>
      <c r="O777" s="892">
        <f t="shared" si="48"/>
        <v>0</v>
      </c>
      <c r="P777" s="903">
        <f t="shared" si="45"/>
        <v>1</v>
      </c>
      <c r="Q777" s="893">
        <f t="shared" si="46"/>
        <v>2</v>
      </c>
      <c r="R777" s="894">
        <f t="shared" si="47"/>
        <v>0</v>
      </c>
    </row>
    <row r="778" spans="1:18">
      <c r="A778" s="905"/>
      <c r="B778" s="906"/>
      <c r="C778" s="907">
        <v>740</v>
      </c>
      <c r="D778" s="907" t="s">
        <v>12</v>
      </c>
      <c r="E778" s="908" t="s">
        <v>4008</v>
      </c>
      <c r="F778" s="909" t="s">
        <v>2674</v>
      </c>
      <c r="G778" s="910"/>
      <c r="H778" s="911">
        <v>0.36</v>
      </c>
      <c r="I778" s="912"/>
      <c r="J778" s="912"/>
      <c r="K778" s="912">
        <f>VLOOKUP(E778,ĐMNC!$A$7:$F$67,4,0)</f>
        <v>252714</v>
      </c>
      <c r="L778" s="912">
        <f>H778*K778</f>
        <v>90977.04</v>
      </c>
      <c r="M778" s="912"/>
      <c r="N778" s="912"/>
      <c r="O778" s="892">
        <f t="shared" si="48"/>
        <v>0</v>
      </c>
      <c r="P778" s="903">
        <f t="shared" si="45"/>
        <v>1</v>
      </c>
      <c r="Q778" s="893">
        <f t="shared" si="46"/>
        <v>1</v>
      </c>
      <c r="R778" s="894">
        <f t="shared" si="47"/>
        <v>0</v>
      </c>
    </row>
    <row r="779" spans="1:18" s="847" customFormat="1">
      <c r="A779" s="905"/>
      <c r="B779" s="914" t="s">
        <v>4184</v>
      </c>
      <c r="C779" s="915"/>
      <c r="D779" s="915"/>
      <c r="E779" s="916" t="s">
        <v>4185</v>
      </c>
      <c r="F779" s="917" t="s">
        <v>4159</v>
      </c>
      <c r="G779" s="918"/>
      <c r="H779" s="919"/>
      <c r="I779" s="920"/>
      <c r="J779" s="891">
        <f>SUM(J780:J784)</f>
        <v>1200</v>
      </c>
      <c r="K779" s="891"/>
      <c r="L779" s="891">
        <f>SUM(L780:L784)</f>
        <v>99569.316000000006</v>
      </c>
      <c r="M779" s="891"/>
      <c r="N779" s="891">
        <f>SUM(N780:N784)</f>
        <v>0</v>
      </c>
      <c r="O779" s="892">
        <f t="shared" si="48"/>
        <v>1</v>
      </c>
      <c r="P779" s="903">
        <f t="shared" si="45"/>
        <v>0</v>
      </c>
      <c r="Q779" s="893">
        <f t="shared" si="46"/>
        <v>0</v>
      </c>
      <c r="R779" s="894">
        <f t="shared" si="47"/>
        <v>5</v>
      </c>
    </row>
    <row r="780" spans="1:18" s="904" customFormat="1">
      <c r="A780" s="895"/>
      <c r="B780" s="896"/>
      <c r="C780" s="897"/>
      <c r="D780" s="897"/>
      <c r="E780" s="924" t="s">
        <v>108</v>
      </c>
      <c r="F780" s="899"/>
      <c r="G780" s="900"/>
      <c r="H780" s="901"/>
      <c r="I780" s="902"/>
      <c r="J780" s="902"/>
      <c r="K780" s="912" t="s">
        <v>274</v>
      </c>
      <c r="L780" s="902"/>
      <c r="M780" s="902"/>
      <c r="N780" s="902"/>
      <c r="O780" s="892">
        <f t="shared" si="48"/>
        <v>0</v>
      </c>
      <c r="P780" s="903">
        <f t="shared" si="45"/>
        <v>1</v>
      </c>
      <c r="Q780" s="893">
        <f t="shared" si="46"/>
        <v>5</v>
      </c>
      <c r="R780" s="894">
        <f t="shared" si="47"/>
        <v>0</v>
      </c>
    </row>
    <row r="781" spans="1:18">
      <c r="A781" s="905"/>
      <c r="B781" s="906"/>
      <c r="C781" s="907">
        <v>66</v>
      </c>
      <c r="D781" s="907" t="s">
        <v>279</v>
      </c>
      <c r="E781" s="925" t="s">
        <v>2682</v>
      </c>
      <c r="F781" s="926" t="s">
        <v>45</v>
      </c>
      <c r="G781" s="910"/>
      <c r="H781" s="911">
        <v>0.01</v>
      </c>
      <c r="I781" s="912">
        <f>VLOOKUP(E781,[3]VLP!$B$7:$K$300,10,0)</f>
        <v>5000</v>
      </c>
      <c r="J781" s="912">
        <f>I781*H781</f>
        <v>50</v>
      </c>
      <c r="K781" s="912" t="s">
        <v>274</v>
      </c>
      <c r="L781" s="912"/>
      <c r="M781" s="912"/>
      <c r="N781" s="912"/>
      <c r="O781" s="892">
        <f t="shared" si="48"/>
        <v>0</v>
      </c>
      <c r="P781" s="903">
        <f t="shared" ref="P781:P844" si="49">IF(O781=0,1,0)</f>
        <v>1</v>
      </c>
      <c r="Q781" s="893">
        <f t="shared" ref="Q781:Q844" si="50">IF(P781=0,0,P781+Q782)</f>
        <v>4</v>
      </c>
      <c r="R781" s="894">
        <f t="shared" ref="R781:R844" si="51">IF(Q781=0,Q782,0)</f>
        <v>0</v>
      </c>
    </row>
    <row r="782" spans="1:18">
      <c r="A782" s="905"/>
      <c r="B782" s="906"/>
      <c r="C782" s="907">
        <v>44</v>
      </c>
      <c r="D782" s="907" t="s">
        <v>279</v>
      </c>
      <c r="E782" s="925" t="s">
        <v>2681</v>
      </c>
      <c r="F782" s="926" t="s">
        <v>45</v>
      </c>
      <c r="G782" s="910"/>
      <c r="H782" s="911">
        <v>0.05</v>
      </c>
      <c r="I782" s="912">
        <f>VLOOKUP(E782,[3]VLP!$B$7:$K$300,10,0)</f>
        <v>23000</v>
      </c>
      <c r="J782" s="912">
        <f>I782*H782</f>
        <v>1150</v>
      </c>
      <c r="K782" s="912" t="s">
        <v>274</v>
      </c>
      <c r="L782" s="912"/>
      <c r="M782" s="912"/>
      <c r="N782" s="912"/>
      <c r="O782" s="892">
        <f t="shared" si="48"/>
        <v>0</v>
      </c>
      <c r="P782" s="903">
        <f t="shared" si="49"/>
        <v>1</v>
      </c>
      <c r="Q782" s="893">
        <f t="shared" si="50"/>
        <v>3</v>
      </c>
      <c r="R782" s="894">
        <f t="shared" si="51"/>
        <v>0</v>
      </c>
    </row>
    <row r="783" spans="1:18" s="904" customFormat="1">
      <c r="A783" s="895"/>
      <c r="B783" s="896"/>
      <c r="C783" s="897"/>
      <c r="D783" s="897"/>
      <c r="E783" s="924" t="s">
        <v>276</v>
      </c>
      <c r="F783" s="927"/>
      <c r="G783" s="928"/>
      <c r="H783" s="901"/>
      <c r="I783" s="902"/>
      <c r="J783" s="902"/>
      <c r="K783" s="912" t="s">
        <v>274</v>
      </c>
      <c r="L783" s="902"/>
      <c r="M783" s="902"/>
      <c r="N783" s="902"/>
      <c r="O783" s="892">
        <f t="shared" si="48"/>
        <v>0</v>
      </c>
      <c r="P783" s="903">
        <f t="shared" si="49"/>
        <v>1</v>
      </c>
      <c r="Q783" s="893">
        <f t="shared" si="50"/>
        <v>2</v>
      </c>
      <c r="R783" s="894">
        <f t="shared" si="51"/>
        <v>0</v>
      </c>
    </row>
    <row r="784" spans="1:18">
      <c r="A784" s="905"/>
      <c r="B784" s="906"/>
      <c r="C784" s="907">
        <v>740</v>
      </c>
      <c r="D784" s="907" t="s">
        <v>12</v>
      </c>
      <c r="E784" s="908" t="s">
        <v>4008</v>
      </c>
      <c r="F784" s="909" t="s">
        <v>2674</v>
      </c>
      <c r="G784" s="910"/>
      <c r="H784" s="911">
        <v>0.39400000000000002</v>
      </c>
      <c r="I784" s="912"/>
      <c r="J784" s="912"/>
      <c r="K784" s="912">
        <f>VLOOKUP(E784,ĐMNC!$A$7:$F$67,4,0)</f>
        <v>252714</v>
      </c>
      <c r="L784" s="912">
        <f>H784*K784</f>
        <v>99569.316000000006</v>
      </c>
      <c r="M784" s="912"/>
      <c r="N784" s="912"/>
      <c r="O784" s="892">
        <f t="shared" si="48"/>
        <v>0</v>
      </c>
      <c r="P784" s="903">
        <f t="shared" si="49"/>
        <v>1</v>
      </c>
      <c r="Q784" s="893">
        <f t="shared" si="50"/>
        <v>1</v>
      </c>
      <c r="R784" s="894">
        <f t="shared" si="51"/>
        <v>0</v>
      </c>
    </row>
    <row r="785" spans="1:18" s="847" customFormat="1">
      <c r="A785" s="905"/>
      <c r="B785" s="914" t="s">
        <v>4186</v>
      </c>
      <c r="C785" s="915"/>
      <c r="D785" s="915"/>
      <c r="E785" s="916" t="s">
        <v>4187</v>
      </c>
      <c r="F785" s="917" t="s">
        <v>4159</v>
      </c>
      <c r="G785" s="918"/>
      <c r="H785" s="919"/>
      <c r="I785" s="920"/>
      <c r="J785" s="891">
        <f>SUM(J786:J790)</f>
        <v>1200</v>
      </c>
      <c r="K785" s="891"/>
      <c r="L785" s="891">
        <f>SUM(L786:L790)</f>
        <v>116248.44</v>
      </c>
      <c r="M785" s="891"/>
      <c r="N785" s="891">
        <f>SUM(N786:N790)</f>
        <v>0</v>
      </c>
      <c r="O785" s="892">
        <f t="shared" si="48"/>
        <v>1</v>
      </c>
      <c r="P785" s="903">
        <f t="shared" si="49"/>
        <v>0</v>
      </c>
      <c r="Q785" s="893">
        <f t="shared" si="50"/>
        <v>0</v>
      </c>
      <c r="R785" s="894">
        <f t="shared" si="51"/>
        <v>5</v>
      </c>
    </row>
    <row r="786" spans="1:18" s="904" customFormat="1">
      <c r="A786" s="895"/>
      <c r="B786" s="896"/>
      <c r="C786" s="897"/>
      <c r="D786" s="897"/>
      <c r="E786" s="924" t="s">
        <v>108</v>
      </c>
      <c r="F786" s="899"/>
      <c r="G786" s="900"/>
      <c r="H786" s="901"/>
      <c r="I786" s="902"/>
      <c r="J786" s="902"/>
      <c r="K786" s="912" t="s">
        <v>274</v>
      </c>
      <c r="L786" s="902"/>
      <c r="M786" s="902"/>
      <c r="N786" s="902"/>
      <c r="O786" s="892">
        <f t="shared" si="48"/>
        <v>0</v>
      </c>
      <c r="P786" s="903">
        <f t="shared" si="49"/>
        <v>1</v>
      </c>
      <c r="Q786" s="893">
        <f t="shared" si="50"/>
        <v>5</v>
      </c>
      <c r="R786" s="894">
        <f t="shared" si="51"/>
        <v>0</v>
      </c>
    </row>
    <row r="787" spans="1:18">
      <c r="A787" s="905"/>
      <c r="B787" s="906"/>
      <c r="C787" s="907">
        <v>66</v>
      </c>
      <c r="D787" s="907" t="s">
        <v>279</v>
      </c>
      <c r="E787" s="925" t="s">
        <v>2682</v>
      </c>
      <c r="F787" s="926" t="s">
        <v>45</v>
      </c>
      <c r="G787" s="910"/>
      <c r="H787" s="911">
        <v>0.01</v>
      </c>
      <c r="I787" s="912">
        <f>VLOOKUP(E787,[3]VLP!$B$7:$K$300,10,0)</f>
        <v>5000</v>
      </c>
      <c r="J787" s="912">
        <f>I787*H787</f>
        <v>50</v>
      </c>
      <c r="K787" s="912" t="s">
        <v>274</v>
      </c>
      <c r="L787" s="912"/>
      <c r="M787" s="912"/>
      <c r="N787" s="912"/>
      <c r="O787" s="892">
        <f t="shared" si="48"/>
        <v>0</v>
      </c>
      <c r="P787" s="903">
        <f t="shared" si="49"/>
        <v>1</v>
      </c>
      <c r="Q787" s="893">
        <f t="shared" si="50"/>
        <v>4</v>
      </c>
      <c r="R787" s="894">
        <f t="shared" si="51"/>
        <v>0</v>
      </c>
    </row>
    <row r="788" spans="1:18">
      <c r="A788" s="905"/>
      <c r="B788" s="906"/>
      <c r="C788" s="907">
        <v>44</v>
      </c>
      <c r="D788" s="907" t="s">
        <v>279</v>
      </c>
      <c r="E788" s="925" t="s">
        <v>2681</v>
      </c>
      <c r="F788" s="926" t="s">
        <v>45</v>
      </c>
      <c r="G788" s="910"/>
      <c r="H788" s="911">
        <v>0.05</v>
      </c>
      <c r="I788" s="912">
        <f>VLOOKUP(E788,[3]VLP!$B$7:$K$300,10,0)</f>
        <v>23000</v>
      </c>
      <c r="J788" s="912">
        <f>I788*H788</f>
        <v>1150</v>
      </c>
      <c r="K788" s="912" t="s">
        <v>274</v>
      </c>
      <c r="L788" s="912"/>
      <c r="M788" s="912"/>
      <c r="N788" s="912"/>
      <c r="O788" s="892">
        <f t="shared" si="48"/>
        <v>0</v>
      </c>
      <c r="P788" s="903">
        <f t="shared" si="49"/>
        <v>1</v>
      </c>
      <c r="Q788" s="893">
        <f t="shared" si="50"/>
        <v>3</v>
      </c>
      <c r="R788" s="894">
        <f t="shared" si="51"/>
        <v>0</v>
      </c>
    </row>
    <row r="789" spans="1:18" s="904" customFormat="1">
      <c r="A789" s="895"/>
      <c r="B789" s="896"/>
      <c r="C789" s="897"/>
      <c r="D789" s="897"/>
      <c r="E789" s="924" t="s">
        <v>276</v>
      </c>
      <c r="F789" s="927"/>
      <c r="G789" s="928"/>
      <c r="H789" s="901"/>
      <c r="I789" s="902"/>
      <c r="J789" s="902"/>
      <c r="K789" s="912" t="s">
        <v>274</v>
      </c>
      <c r="L789" s="902"/>
      <c r="M789" s="902"/>
      <c r="N789" s="902"/>
      <c r="O789" s="892">
        <f t="shared" si="48"/>
        <v>0</v>
      </c>
      <c r="P789" s="903">
        <f t="shared" si="49"/>
        <v>1</v>
      </c>
      <c r="Q789" s="893">
        <f t="shared" si="50"/>
        <v>2</v>
      </c>
      <c r="R789" s="894">
        <f t="shared" si="51"/>
        <v>0</v>
      </c>
    </row>
    <row r="790" spans="1:18">
      <c r="A790" s="905"/>
      <c r="B790" s="906"/>
      <c r="C790" s="907">
        <v>740</v>
      </c>
      <c r="D790" s="907" t="s">
        <v>12</v>
      </c>
      <c r="E790" s="908" t="s">
        <v>4008</v>
      </c>
      <c r="F790" s="909" t="s">
        <v>2674</v>
      </c>
      <c r="G790" s="910"/>
      <c r="H790" s="911">
        <v>0.46</v>
      </c>
      <c r="I790" s="912"/>
      <c r="J790" s="912"/>
      <c r="K790" s="912">
        <f>VLOOKUP(E790,ĐMNC!$A$7:$F$67,4,0)</f>
        <v>252714</v>
      </c>
      <c r="L790" s="912">
        <f>H790*K790</f>
        <v>116248.44</v>
      </c>
      <c r="M790" s="912"/>
      <c r="N790" s="912"/>
      <c r="O790" s="892">
        <f t="shared" si="48"/>
        <v>0</v>
      </c>
      <c r="P790" s="903">
        <f t="shared" si="49"/>
        <v>1</v>
      </c>
      <c r="Q790" s="893">
        <f t="shared" si="50"/>
        <v>1</v>
      </c>
      <c r="R790" s="894">
        <f t="shared" si="51"/>
        <v>0</v>
      </c>
    </row>
    <row r="791" spans="1:18" s="847" customFormat="1" ht="31.5">
      <c r="A791" s="905"/>
      <c r="B791" s="914" t="s">
        <v>4188</v>
      </c>
      <c r="C791" s="915"/>
      <c r="D791" s="915"/>
      <c r="E791" s="916" t="s">
        <v>4189</v>
      </c>
      <c r="F791" s="917" t="s">
        <v>4159</v>
      </c>
      <c r="G791" s="918"/>
      <c r="H791" s="919"/>
      <c r="I791" s="920"/>
      <c r="J791" s="891">
        <f>SUM(J792:J796)</f>
        <v>1200</v>
      </c>
      <c r="K791" s="891"/>
      <c r="L791" s="891">
        <f>SUM(L792:L796)</f>
        <v>132422.136</v>
      </c>
      <c r="M791" s="891"/>
      <c r="N791" s="891">
        <f>SUM(N792:N796)</f>
        <v>0</v>
      </c>
      <c r="O791" s="892">
        <f t="shared" si="48"/>
        <v>1</v>
      </c>
      <c r="P791" s="903">
        <f t="shared" si="49"/>
        <v>0</v>
      </c>
      <c r="Q791" s="893">
        <f t="shared" si="50"/>
        <v>0</v>
      </c>
      <c r="R791" s="894">
        <f t="shared" si="51"/>
        <v>5</v>
      </c>
    </row>
    <row r="792" spans="1:18" s="904" customFormat="1">
      <c r="A792" s="895"/>
      <c r="B792" s="896"/>
      <c r="C792" s="897"/>
      <c r="D792" s="897"/>
      <c r="E792" s="924" t="s">
        <v>108</v>
      </c>
      <c r="F792" s="899"/>
      <c r="G792" s="900"/>
      <c r="H792" s="901"/>
      <c r="I792" s="902"/>
      <c r="J792" s="902"/>
      <c r="K792" s="912" t="s">
        <v>274</v>
      </c>
      <c r="L792" s="902"/>
      <c r="M792" s="902"/>
      <c r="N792" s="902"/>
      <c r="O792" s="892">
        <f t="shared" si="48"/>
        <v>0</v>
      </c>
      <c r="P792" s="903">
        <f t="shared" si="49"/>
        <v>1</v>
      </c>
      <c r="Q792" s="893">
        <f t="shared" si="50"/>
        <v>5</v>
      </c>
      <c r="R792" s="894">
        <f t="shared" si="51"/>
        <v>0</v>
      </c>
    </row>
    <row r="793" spans="1:18">
      <c r="A793" s="905"/>
      <c r="B793" s="906"/>
      <c r="C793" s="907">
        <v>66</v>
      </c>
      <c r="D793" s="907" t="s">
        <v>279</v>
      </c>
      <c r="E793" s="925" t="s">
        <v>2682</v>
      </c>
      <c r="F793" s="926" t="s">
        <v>45</v>
      </c>
      <c r="G793" s="910"/>
      <c r="H793" s="911">
        <v>0.01</v>
      </c>
      <c r="I793" s="912">
        <f>VLOOKUP(E793,[3]VLP!$B$7:$K$300,10,0)</f>
        <v>5000</v>
      </c>
      <c r="J793" s="912">
        <f>I793*H793</f>
        <v>50</v>
      </c>
      <c r="K793" s="912" t="s">
        <v>274</v>
      </c>
      <c r="L793" s="912"/>
      <c r="M793" s="912"/>
      <c r="N793" s="912"/>
      <c r="O793" s="892">
        <f t="shared" si="48"/>
        <v>0</v>
      </c>
      <c r="P793" s="903">
        <f t="shared" si="49"/>
        <v>1</v>
      </c>
      <c r="Q793" s="893">
        <f t="shared" si="50"/>
        <v>4</v>
      </c>
      <c r="R793" s="894">
        <f t="shared" si="51"/>
        <v>0</v>
      </c>
    </row>
    <row r="794" spans="1:18">
      <c r="A794" s="905"/>
      <c r="B794" s="906"/>
      <c r="C794" s="907">
        <v>44</v>
      </c>
      <c r="D794" s="907" t="s">
        <v>279</v>
      </c>
      <c r="E794" s="925" t="s">
        <v>2681</v>
      </c>
      <c r="F794" s="926" t="s">
        <v>45</v>
      </c>
      <c r="G794" s="910"/>
      <c r="H794" s="911">
        <v>0.05</v>
      </c>
      <c r="I794" s="912">
        <f>VLOOKUP(E794,[3]VLP!$B$7:$K$300,10,0)</f>
        <v>23000</v>
      </c>
      <c r="J794" s="912">
        <f>I794*H794</f>
        <v>1150</v>
      </c>
      <c r="K794" s="912" t="s">
        <v>274</v>
      </c>
      <c r="L794" s="912"/>
      <c r="M794" s="912"/>
      <c r="N794" s="912"/>
      <c r="O794" s="892">
        <f t="shared" si="48"/>
        <v>0</v>
      </c>
      <c r="P794" s="903">
        <f t="shared" si="49"/>
        <v>1</v>
      </c>
      <c r="Q794" s="893">
        <f t="shared" si="50"/>
        <v>3</v>
      </c>
      <c r="R794" s="894">
        <f t="shared" si="51"/>
        <v>0</v>
      </c>
    </row>
    <row r="795" spans="1:18" s="904" customFormat="1">
      <c r="A795" s="895"/>
      <c r="B795" s="896"/>
      <c r="C795" s="897"/>
      <c r="D795" s="897"/>
      <c r="E795" s="924" t="s">
        <v>276</v>
      </c>
      <c r="F795" s="927"/>
      <c r="G795" s="928"/>
      <c r="H795" s="901"/>
      <c r="I795" s="902"/>
      <c r="J795" s="902"/>
      <c r="K795" s="912" t="s">
        <v>274</v>
      </c>
      <c r="L795" s="902"/>
      <c r="M795" s="902"/>
      <c r="N795" s="902"/>
      <c r="O795" s="892">
        <f t="shared" si="48"/>
        <v>0</v>
      </c>
      <c r="P795" s="903">
        <f t="shared" si="49"/>
        <v>1</v>
      </c>
      <c r="Q795" s="893">
        <f t="shared" si="50"/>
        <v>2</v>
      </c>
      <c r="R795" s="894">
        <f t="shared" si="51"/>
        <v>0</v>
      </c>
    </row>
    <row r="796" spans="1:18">
      <c r="A796" s="905"/>
      <c r="B796" s="906"/>
      <c r="C796" s="907">
        <v>740</v>
      </c>
      <c r="D796" s="907" t="s">
        <v>12</v>
      </c>
      <c r="E796" s="908" t="s">
        <v>4008</v>
      </c>
      <c r="F796" s="909" t="s">
        <v>2674</v>
      </c>
      <c r="G796" s="910"/>
      <c r="H796" s="911">
        <v>0.52400000000000002</v>
      </c>
      <c r="I796" s="912"/>
      <c r="J796" s="912"/>
      <c r="K796" s="912">
        <f>VLOOKUP(E796,ĐMNC!$A$7:$F$67,4,0)</f>
        <v>252714</v>
      </c>
      <c r="L796" s="912">
        <f>H796*K796</f>
        <v>132422.136</v>
      </c>
      <c r="M796" s="912"/>
      <c r="N796" s="912"/>
      <c r="O796" s="892">
        <f t="shared" si="48"/>
        <v>0</v>
      </c>
      <c r="P796" s="903">
        <f t="shared" si="49"/>
        <v>1</v>
      </c>
      <c r="Q796" s="893">
        <f>IF(P796=0,0,P796+Q798)</f>
        <v>1</v>
      </c>
      <c r="R796" s="894">
        <f>IF(Q796=0,Q798,0)</f>
        <v>0</v>
      </c>
    </row>
    <row r="797" spans="1:18">
      <c r="A797" s="905"/>
      <c r="B797" s="946" t="s">
        <v>4190</v>
      </c>
      <c r="C797" s="907"/>
      <c r="D797" s="907"/>
      <c r="E797" s="921" t="s">
        <v>4191</v>
      </c>
      <c r="F797" s="909"/>
      <c r="G797" s="910"/>
      <c r="H797" s="911"/>
      <c r="I797" s="912"/>
      <c r="J797" s="912"/>
      <c r="K797" s="912"/>
      <c r="L797" s="912"/>
      <c r="M797" s="912"/>
      <c r="N797" s="912"/>
      <c r="O797" s="892"/>
      <c r="P797" s="903"/>
      <c r="Q797" s="893"/>
      <c r="R797" s="894"/>
    </row>
    <row r="798" spans="1:18" s="847" customFormat="1" ht="31.5">
      <c r="A798" s="905" t="s">
        <v>4192</v>
      </c>
      <c r="B798" s="914" t="s">
        <v>1148</v>
      </c>
      <c r="C798" s="915"/>
      <c r="D798" s="915"/>
      <c r="E798" s="916" t="s">
        <v>4193</v>
      </c>
      <c r="F798" s="917" t="s">
        <v>249</v>
      </c>
      <c r="G798" s="918"/>
      <c r="H798" s="919"/>
      <c r="I798" s="920"/>
      <c r="J798" s="891">
        <f>SUM(J799:J803)</f>
        <v>1200</v>
      </c>
      <c r="K798" s="891"/>
      <c r="L798" s="891">
        <f>SUM(L799:L803)</f>
        <v>45488.52</v>
      </c>
      <c r="M798" s="891"/>
      <c r="N798" s="891">
        <f>SUM(N799:N803)</f>
        <v>0</v>
      </c>
      <c r="O798" s="892">
        <f t="shared" si="48"/>
        <v>1</v>
      </c>
      <c r="P798" s="903">
        <f t="shared" si="49"/>
        <v>0</v>
      </c>
      <c r="Q798" s="893">
        <f t="shared" si="50"/>
        <v>0</v>
      </c>
      <c r="R798" s="894">
        <f t="shared" si="51"/>
        <v>5</v>
      </c>
    </row>
    <row r="799" spans="1:18" s="904" customFormat="1">
      <c r="A799" s="895"/>
      <c r="B799" s="896"/>
      <c r="C799" s="897"/>
      <c r="D799" s="897"/>
      <c r="E799" s="924" t="s">
        <v>108</v>
      </c>
      <c r="F799" s="899"/>
      <c r="G799" s="900"/>
      <c r="H799" s="901"/>
      <c r="I799" s="902"/>
      <c r="J799" s="902"/>
      <c r="K799" s="912" t="s">
        <v>274</v>
      </c>
      <c r="L799" s="902"/>
      <c r="M799" s="902"/>
      <c r="N799" s="902"/>
      <c r="O799" s="892">
        <f t="shared" si="48"/>
        <v>0</v>
      </c>
      <c r="P799" s="903">
        <f t="shared" si="49"/>
        <v>1</v>
      </c>
      <c r="Q799" s="893">
        <f t="shared" si="50"/>
        <v>5</v>
      </c>
      <c r="R799" s="894">
        <f t="shared" si="51"/>
        <v>0</v>
      </c>
    </row>
    <row r="800" spans="1:18">
      <c r="A800" s="905"/>
      <c r="B800" s="906"/>
      <c r="C800" s="907">
        <v>66</v>
      </c>
      <c r="D800" s="907" t="s">
        <v>279</v>
      </c>
      <c r="E800" s="925" t="s">
        <v>2682</v>
      </c>
      <c r="F800" s="926" t="s">
        <v>45</v>
      </c>
      <c r="G800" s="910"/>
      <c r="H800" s="911">
        <v>0.01</v>
      </c>
      <c r="I800" s="912">
        <f>VLOOKUP(E800,[3]VLP!$B$7:$K$300,10,0)</f>
        <v>5000</v>
      </c>
      <c r="J800" s="912">
        <f>I800*H800</f>
        <v>50</v>
      </c>
      <c r="K800" s="912" t="s">
        <v>274</v>
      </c>
      <c r="L800" s="912"/>
      <c r="M800" s="912"/>
      <c r="N800" s="912"/>
      <c r="O800" s="892">
        <f t="shared" si="48"/>
        <v>0</v>
      </c>
      <c r="P800" s="903">
        <f t="shared" si="49"/>
        <v>1</v>
      </c>
      <c r="Q800" s="893">
        <f t="shared" si="50"/>
        <v>4</v>
      </c>
      <c r="R800" s="894">
        <f t="shared" si="51"/>
        <v>0</v>
      </c>
    </row>
    <row r="801" spans="1:18">
      <c r="A801" s="905"/>
      <c r="B801" s="906"/>
      <c r="C801" s="907">
        <v>44</v>
      </c>
      <c r="D801" s="907" t="s">
        <v>279</v>
      </c>
      <c r="E801" s="925" t="s">
        <v>2681</v>
      </c>
      <c r="F801" s="926" t="s">
        <v>45</v>
      </c>
      <c r="G801" s="910"/>
      <c r="H801" s="911">
        <v>0.05</v>
      </c>
      <c r="I801" s="912">
        <f>VLOOKUP(E801,[3]VLP!$B$7:$K$300,10,0)</f>
        <v>23000</v>
      </c>
      <c r="J801" s="912">
        <f>I801*H801</f>
        <v>1150</v>
      </c>
      <c r="K801" s="912" t="s">
        <v>274</v>
      </c>
      <c r="L801" s="912"/>
      <c r="M801" s="912"/>
      <c r="N801" s="912"/>
      <c r="O801" s="892">
        <f t="shared" si="48"/>
        <v>0</v>
      </c>
      <c r="P801" s="903">
        <f t="shared" si="49"/>
        <v>1</v>
      </c>
      <c r="Q801" s="893">
        <f t="shared" si="50"/>
        <v>3</v>
      </c>
      <c r="R801" s="894">
        <f t="shared" si="51"/>
        <v>0</v>
      </c>
    </row>
    <row r="802" spans="1:18" s="904" customFormat="1">
      <c r="A802" s="895"/>
      <c r="B802" s="896"/>
      <c r="C802" s="897"/>
      <c r="D802" s="897"/>
      <c r="E802" s="924" t="s">
        <v>276</v>
      </c>
      <c r="F802" s="927"/>
      <c r="G802" s="928"/>
      <c r="H802" s="901"/>
      <c r="I802" s="902"/>
      <c r="J802" s="902"/>
      <c r="K802" s="912" t="s">
        <v>274</v>
      </c>
      <c r="L802" s="902"/>
      <c r="M802" s="902"/>
      <c r="N802" s="902"/>
      <c r="O802" s="892">
        <f t="shared" si="48"/>
        <v>0</v>
      </c>
      <c r="P802" s="903">
        <f t="shared" si="49"/>
        <v>1</v>
      </c>
      <c r="Q802" s="893">
        <f t="shared" si="50"/>
        <v>2</v>
      </c>
      <c r="R802" s="894">
        <f t="shared" si="51"/>
        <v>0</v>
      </c>
    </row>
    <row r="803" spans="1:18">
      <c r="A803" s="905"/>
      <c r="B803" s="906"/>
      <c r="C803" s="907">
        <v>740</v>
      </c>
      <c r="D803" s="907" t="s">
        <v>12</v>
      </c>
      <c r="E803" s="908" t="s">
        <v>4008</v>
      </c>
      <c r="F803" s="909" t="s">
        <v>2674</v>
      </c>
      <c r="G803" s="910"/>
      <c r="H803" s="911">
        <v>0.18</v>
      </c>
      <c r="I803" s="912"/>
      <c r="J803" s="912"/>
      <c r="K803" s="912">
        <f>VLOOKUP(E803,ĐMNC!$A$7:$F$67,4,0)</f>
        <v>252714</v>
      </c>
      <c r="L803" s="912">
        <f>H803*K803</f>
        <v>45488.52</v>
      </c>
      <c r="M803" s="912"/>
      <c r="N803" s="912"/>
      <c r="O803" s="892">
        <f t="shared" si="48"/>
        <v>0</v>
      </c>
      <c r="P803" s="903">
        <f t="shared" si="49"/>
        <v>1</v>
      </c>
      <c r="Q803" s="893">
        <f t="shared" si="50"/>
        <v>1</v>
      </c>
      <c r="R803" s="894">
        <f t="shared" si="51"/>
        <v>0</v>
      </c>
    </row>
    <row r="804" spans="1:18" s="847" customFormat="1" ht="31.5">
      <c r="A804" s="905"/>
      <c r="B804" s="914" t="s">
        <v>4194</v>
      </c>
      <c r="C804" s="915"/>
      <c r="D804" s="915"/>
      <c r="E804" s="916" t="s">
        <v>4195</v>
      </c>
      <c r="F804" s="917" t="s">
        <v>249</v>
      </c>
      <c r="G804" s="918"/>
      <c r="H804" s="919"/>
      <c r="I804" s="920"/>
      <c r="J804" s="891">
        <f>SUM(J805:J809)</f>
        <v>1200</v>
      </c>
      <c r="K804" s="891"/>
      <c r="L804" s="891">
        <f>SUM(L805:L809)</f>
        <v>58124.22</v>
      </c>
      <c r="M804" s="891"/>
      <c r="N804" s="891">
        <f>SUM(N805:N809)</f>
        <v>0</v>
      </c>
      <c r="O804" s="892">
        <f t="shared" si="48"/>
        <v>1</v>
      </c>
      <c r="P804" s="903">
        <f t="shared" si="49"/>
        <v>0</v>
      </c>
      <c r="Q804" s="893">
        <f t="shared" si="50"/>
        <v>0</v>
      </c>
      <c r="R804" s="894">
        <f t="shared" si="51"/>
        <v>5</v>
      </c>
    </row>
    <row r="805" spans="1:18" s="904" customFormat="1">
      <c r="A805" s="895"/>
      <c r="B805" s="896"/>
      <c r="C805" s="897"/>
      <c r="D805" s="897"/>
      <c r="E805" s="924" t="s">
        <v>108</v>
      </c>
      <c r="F805" s="899"/>
      <c r="G805" s="900"/>
      <c r="H805" s="901"/>
      <c r="I805" s="902"/>
      <c r="J805" s="902"/>
      <c r="K805" s="912" t="s">
        <v>274</v>
      </c>
      <c r="L805" s="902"/>
      <c r="M805" s="902"/>
      <c r="N805" s="902"/>
      <c r="O805" s="892">
        <f t="shared" si="48"/>
        <v>0</v>
      </c>
      <c r="P805" s="903">
        <f t="shared" si="49"/>
        <v>1</v>
      </c>
      <c r="Q805" s="893">
        <f t="shared" si="50"/>
        <v>5</v>
      </c>
      <c r="R805" s="894">
        <f t="shared" si="51"/>
        <v>0</v>
      </c>
    </row>
    <row r="806" spans="1:18">
      <c r="A806" s="905"/>
      <c r="B806" s="906"/>
      <c r="C806" s="907">
        <v>66</v>
      </c>
      <c r="D806" s="907" t="s">
        <v>279</v>
      </c>
      <c r="E806" s="925" t="s">
        <v>2682</v>
      </c>
      <c r="F806" s="926" t="s">
        <v>45</v>
      </c>
      <c r="G806" s="910"/>
      <c r="H806" s="911">
        <v>0.01</v>
      </c>
      <c r="I806" s="912">
        <f>VLOOKUP(E806,[3]VLP!$B$7:$K$300,10,0)</f>
        <v>5000</v>
      </c>
      <c r="J806" s="912">
        <f>I806*H806</f>
        <v>50</v>
      </c>
      <c r="K806" s="912" t="s">
        <v>274</v>
      </c>
      <c r="L806" s="912"/>
      <c r="M806" s="912"/>
      <c r="N806" s="912"/>
      <c r="O806" s="892">
        <f t="shared" si="48"/>
        <v>0</v>
      </c>
      <c r="P806" s="903">
        <f t="shared" si="49"/>
        <v>1</v>
      </c>
      <c r="Q806" s="893">
        <f t="shared" si="50"/>
        <v>4</v>
      </c>
      <c r="R806" s="894">
        <f t="shared" si="51"/>
        <v>0</v>
      </c>
    </row>
    <row r="807" spans="1:18">
      <c r="A807" s="905"/>
      <c r="B807" s="906"/>
      <c r="C807" s="907">
        <v>44</v>
      </c>
      <c r="D807" s="907" t="s">
        <v>279</v>
      </c>
      <c r="E807" s="925" t="s">
        <v>2681</v>
      </c>
      <c r="F807" s="926" t="s">
        <v>45</v>
      </c>
      <c r="G807" s="910"/>
      <c r="H807" s="911">
        <v>0.05</v>
      </c>
      <c r="I807" s="912">
        <f>VLOOKUP(E807,[3]VLP!$B$7:$K$300,10,0)</f>
        <v>23000</v>
      </c>
      <c r="J807" s="912">
        <f>I807*H807</f>
        <v>1150</v>
      </c>
      <c r="K807" s="912" t="s">
        <v>274</v>
      </c>
      <c r="L807" s="912"/>
      <c r="M807" s="912"/>
      <c r="N807" s="912"/>
      <c r="O807" s="892">
        <f t="shared" si="48"/>
        <v>0</v>
      </c>
      <c r="P807" s="903">
        <f t="shared" si="49"/>
        <v>1</v>
      </c>
      <c r="Q807" s="893">
        <f t="shared" si="50"/>
        <v>3</v>
      </c>
      <c r="R807" s="894">
        <f t="shared" si="51"/>
        <v>0</v>
      </c>
    </row>
    <row r="808" spans="1:18" s="904" customFormat="1">
      <c r="A808" s="895"/>
      <c r="B808" s="896"/>
      <c r="C808" s="897"/>
      <c r="D808" s="897"/>
      <c r="E808" s="924" t="s">
        <v>276</v>
      </c>
      <c r="F808" s="927"/>
      <c r="G808" s="928"/>
      <c r="H808" s="901"/>
      <c r="I808" s="902"/>
      <c r="J808" s="902"/>
      <c r="K808" s="912" t="s">
        <v>274</v>
      </c>
      <c r="L808" s="902"/>
      <c r="M808" s="902"/>
      <c r="N808" s="902"/>
      <c r="O808" s="892">
        <f t="shared" si="48"/>
        <v>0</v>
      </c>
      <c r="P808" s="903">
        <f t="shared" si="49"/>
        <v>1</v>
      </c>
      <c r="Q808" s="893">
        <f t="shared" si="50"/>
        <v>2</v>
      </c>
      <c r="R808" s="894">
        <f t="shared" si="51"/>
        <v>0</v>
      </c>
    </row>
    <row r="809" spans="1:18">
      <c r="A809" s="905"/>
      <c r="B809" s="906"/>
      <c r="C809" s="907">
        <v>740</v>
      </c>
      <c r="D809" s="907" t="s">
        <v>12</v>
      </c>
      <c r="E809" s="908" t="s">
        <v>4008</v>
      </c>
      <c r="F809" s="909" t="s">
        <v>2674</v>
      </c>
      <c r="G809" s="910"/>
      <c r="H809" s="911">
        <v>0.23</v>
      </c>
      <c r="I809" s="912"/>
      <c r="J809" s="912"/>
      <c r="K809" s="912">
        <f>VLOOKUP(E809,ĐMNC!$A$7:$F$67,4,0)</f>
        <v>252714</v>
      </c>
      <c r="L809" s="912">
        <f>H809*K809</f>
        <v>58124.22</v>
      </c>
      <c r="M809" s="912"/>
      <c r="N809" s="912"/>
      <c r="O809" s="892">
        <f t="shared" si="48"/>
        <v>0</v>
      </c>
      <c r="P809" s="903">
        <f t="shared" si="49"/>
        <v>1</v>
      </c>
      <c r="Q809" s="893">
        <f t="shared" si="50"/>
        <v>1</v>
      </c>
      <c r="R809" s="894">
        <f t="shared" si="51"/>
        <v>0</v>
      </c>
    </row>
    <row r="810" spans="1:18" s="847" customFormat="1" ht="31.5">
      <c r="A810" s="905"/>
      <c r="B810" s="914" t="s">
        <v>4196</v>
      </c>
      <c r="C810" s="915"/>
      <c r="D810" s="915"/>
      <c r="E810" s="916" t="s">
        <v>4197</v>
      </c>
      <c r="F810" s="917" t="s">
        <v>249</v>
      </c>
      <c r="G810" s="918"/>
      <c r="H810" s="919"/>
      <c r="I810" s="920"/>
      <c r="J810" s="891">
        <f>SUM(J811:J815)</f>
        <v>1200</v>
      </c>
      <c r="K810" s="891"/>
      <c r="L810" s="891">
        <f>SUM(L811:L815)</f>
        <v>70759.920000000013</v>
      </c>
      <c r="M810" s="891"/>
      <c r="N810" s="891">
        <f>SUM(N811:N815)</f>
        <v>0</v>
      </c>
      <c r="O810" s="892">
        <f t="shared" si="48"/>
        <v>1</v>
      </c>
      <c r="P810" s="903">
        <f t="shared" si="49"/>
        <v>0</v>
      </c>
      <c r="Q810" s="893">
        <f t="shared" si="50"/>
        <v>0</v>
      </c>
      <c r="R810" s="894">
        <f t="shared" si="51"/>
        <v>5</v>
      </c>
    </row>
    <row r="811" spans="1:18" s="904" customFormat="1">
      <c r="A811" s="895"/>
      <c r="B811" s="896"/>
      <c r="C811" s="897"/>
      <c r="D811" s="897"/>
      <c r="E811" s="924" t="s">
        <v>108</v>
      </c>
      <c r="F811" s="899"/>
      <c r="G811" s="900"/>
      <c r="H811" s="901"/>
      <c r="I811" s="902"/>
      <c r="J811" s="902"/>
      <c r="K811" s="912" t="s">
        <v>274</v>
      </c>
      <c r="L811" s="902"/>
      <c r="M811" s="902"/>
      <c r="N811" s="902"/>
      <c r="O811" s="892">
        <f t="shared" si="48"/>
        <v>0</v>
      </c>
      <c r="P811" s="903">
        <f t="shared" si="49"/>
        <v>1</v>
      </c>
      <c r="Q811" s="893">
        <f t="shared" si="50"/>
        <v>5</v>
      </c>
      <c r="R811" s="894">
        <f t="shared" si="51"/>
        <v>0</v>
      </c>
    </row>
    <row r="812" spans="1:18">
      <c r="A812" s="905"/>
      <c r="B812" s="906"/>
      <c r="C812" s="907">
        <v>66</v>
      </c>
      <c r="D812" s="907" t="s">
        <v>279</v>
      </c>
      <c r="E812" s="925" t="s">
        <v>2682</v>
      </c>
      <c r="F812" s="926" t="s">
        <v>45</v>
      </c>
      <c r="G812" s="910"/>
      <c r="H812" s="911">
        <v>0.01</v>
      </c>
      <c r="I812" s="912">
        <f>VLOOKUP(E812,[3]VLP!$B$7:$K$300,10,0)</f>
        <v>5000</v>
      </c>
      <c r="J812" s="912">
        <f>I812*H812</f>
        <v>50</v>
      </c>
      <c r="K812" s="912" t="s">
        <v>274</v>
      </c>
      <c r="L812" s="912"/>
      <c r="M812" s="912"/>
      <c r="N812" s="912"/>
      <c r="O812" s="892">
        <f t="shared" si="48"/>
        <v>0</v>
      </c>
      <c r="P812" s="903">
        <f t="shared" si="49"/>
        <v>1</v>
      </c>
      <c r="Q812" s="893">
        <f t="shared" si="50"/>
        <v>4</v>
      </c>
      <c r="R812" s="894">
        <f t="shared" si="51"/>
        <v>0</v>
      </c>
    </row>
    <row r="813" spans="1:18">
      <c r="A813" s="905"/>
      <c r="B813" s="906"/>
      <c r="C813" s="907">
        <v>44</v>
      </c>
      <c r="D813" s="907" t="s">
        <v>279</v>
      </c>
      <c r="E813" s="925" t="s">
        <v>2681</v>
      </c>
      <c r="F813" s="926" t="s">
        <v>45</v>
      </c>
      <c r="G813" s="910"/>
      <c r="H813" s="911">
        <v>0.05</v>
      </c>
      <c r="I813" s="912">
        <f>VLOOKUP(E813,[3]VLP!$B$7:$K$300,10,0)</f>
        <v>23000</v>
      </c>
      <c r="J813" s="912">
        <f>I813*H813</f>
        <v>1150</v>
      </c>
      <c r="K813" s="912" t="s">
        <v>274</v>
      </c>
      <c r="L813" s="912"/>
      <c r="M813" s="912"/>
      <c r="N813" s="912"/>
      <c r="O813" s="892">
        <f t="shared" si="48"/>
        <v>0</v>
      </c>
      <c r="P813" s="903">
        <f t="shared" si="49"/>
        <v>1</v>
      </c>
      <c r="Q813" s="893">
        <f t="shared" si="50"/>
        <v>3</v>
      </c>
      <c r="R813" s="894">
        <f t="shared" si="51"/>
        <v>0</v>
      </c>
    </row>
    <row r="814" spans="1:18" s="904" customFormat="1">
      <c r="A814" s="895"/>
      <c r="B814" s="896"/>
      <c r="C814" s="897"/>
      <c r="D814" s="897"/>
      <c r="E814" s="924" t="s">
        <v>276</v>
      </c>
      <c r="F814" s="927"/>
      <c r="G814" s="928"/>
      <c r="H814" s="901"/>
      <c r="I814" s="902"/>
      <c r="J814" s="902"/>
      <c r="K814" s="912" t="s">
        <v>274</v>
      </c>
      <c r="L814" s="902"/>
      <c r="M814" s="902"/>
      <c r="N814" s="902"/>
      <c r="O814" s="892">
        <f t="shared" si="48"/>
        <v>0</v>
      </c>
      <c r="P814" s="903">
        <f t="shared" si="49"/>
        <v>1</v>
      </c>
      <c r="Q814" s="893">
        <f t="shared" si="50"/>
        <v>2</v>
      </c>
      <c r="R814" s="894">
        <f t="shared" si="51"/>
        <v>0</v>
      </c>
    </row>
    <row r="815" spans="1:18">
      <c r="A815" s="905"/>
      <c r="B815" s="906"/>
      <c r="C815" s="907">
        <v>740</v>
      </c>
      <c r="D815" s="907" t="s">
        <v>12</v>
      </c>
      <c r="E815" s="908" t="s">
        <v>4008</v>
      </c>
      <c r="F815" s="909" t="s">
        <v>2674</v>
      </c>
      <c r="G815" s="910"/>
      <c r="H815" s="911">
        <v>0.28000000000000003</v>
      </c>
      <c r="I815" s="912"/>
      <c r="J815" s="912"/>
      <c r="K815" s="912">
        <f>VLOOKUP(E815,ĐMNC!$A$7:$F$67,4,0)</f>
        <v>252714</v>
      </c>
      <c r="L815" s="912">
        <f>H815*K815</f>
        <v>70759.920000000013</v>
      </c>
      <c r="M815" s="912"/>
      <c r="N815" s="912"/>
      <c r="O815" s="892">
        <f t="shared" si="48"/>
        <v>0</v>
      </c>
      <c r="P815" s="903">
        <f t="shared" si="49"/>
        <v>1</v>
      </c>
      <c r="Q815" s="893">
        <f t="shared" si="50"/>
        <v>1</v>
      </c>
      <c r="R815" s="894">
        <f t="shared" si="51"/>
        <v>0</v>
      </c>
    </row>
    <row r="816" spans="1:18" s="847" customFormat="1" ht="31.5">
      <c r="A816" s="905"/>
      <c r="B816" s="914" t="s">
        <v>4198</v>
      </c>
      <c r="C816" s="915"/>
      <c r="D816" s="915"/>
      <c r="E816" s="916" t="s">
        <v>4199</v>
      </c>
      <c r="F816" s="917" t="s">
        <v>249</v>
      </c>
      <c r="G816" s="918"/>
      <c r="H816" s="919"/>
      <c r="I816" s="920"/>
      <c r="J816" s="891">
        <f>SUM(J817:J821)</f>
        <v>1200</v>
      </c>
      <c r="K816" s="891"/>
      <c r="L816" s="891">
        <f>SUM(L817:L821)</f>
        <v>83395.62000000001</v>
      </c>
      <c r="M816" s="891"/>
      <c r="N816" s="891">
        <f>SUM(N817:N821)</f>
        <v>0</v>
      </c>
      <c r="O816" s="892">
        <f t="shared" si="48"/>
        <v>1</v>
      </c>
      <c r="P816" s="903">
        <f t="shared" si="49"/>
        <v>0</v>
      </c>
      <c r="Q816" s="893">
        <f t="shared" si="50"/>
        <v>0</v>
      </c>
      <c r="R816" s="894">
        <f t="shared" si="51"/>
        <v>5</v>
      </c>
    </row>
    <row r="817" spans="1:18" s="904" customFormat="1">
      <c r="A817" s="895"/>
      <c r="B817" s="896"/>
      <c r="C817" s="897"/>
      <c r="D817" s="897"/>
      <c r="E817" s="924" t="s">
        <v>108</v>
      </c>
      <c r="F817" s="899"/>
      <c r="G817" s="900"/>
      <c r="H817" s="901"/>
      <c r="I817" s="902"/>
      <c r="J817" s="902"/>
      <c r="K817" s="912" t="s">
        <v>274</v>
      </c>
      <c r="L817" s="902"/>
      <c r="M817" s="902"/>
      <c r="N817" s="902"/>
      <c r="O817" s="892">
        <f t="shared" si="48"/>
        <v>0</v>
      </c>
      <c r="P817" s="903">
        <f t="shared" si="49"/>
        <v>1</v>
      </c>
      <c r="Q817" s="893">
        <f t="shared" si="50"/>
        <v>5</v>
      </c>
      <c r="R817" s="894">
        <f t="shared" si="51"/>
        <v>0</v>
      </c>
    </row>
    <row r="818" spans="1:18">
      <c r="A818" s="905"/>
      <c r="B818" s="906"/>
      <c r="C818" s="907">
        <v>66</v>
      </c>
      <c r="D818" s="907" t="s">
        <v>279</v>
      </c>
      <c r="E818" s="925" t="s">
        <v>2682</v>
      </c>
      <c r="F818" s="926" t="s">
        <v>45</v>
      </c>
      <c r="G818" s="910"/>
      <c r="H818" s="911">
        <v>0.01</v>
      </c>
      <c r="I818" s="912">
        <f>VLOOKUP(E818,[3]VLP!$B$7:$K$300,10,0)</f>
        <v>5000</v>
      </c>
      <c r="J818" s="912">
        <f>I818*H818</f>
        <v>50</v>
      </c>
      <c r="K818" s="912" t="s">
        <v>274</v>
      </c>
      <c r="L818" s="912"/>
      <c r="M818" s="912"/>
      <c r="N818" s="912"/>
      <c r="O818" s="892">
        <f t="shared" si="48"/>
        <v>0</v>
      </c>
      <c r="P818" s="903">
        <f t="shared" si="49"/>
        <v>1</v>
      </c>
      <c r="Q818" s="893">
        <f t="shared" si="50"/>
        <v>4</v>
      </c>
      <c r="R818" s="894">
        <f t="shared" si="51"/>
        <v>0</v>
      </c>
    </row>
    <row r="819" spans="1:18">
      <c r="A819" s="905"/>
      <c r="B819" s="906"/>
      <c r="C819" s="907">
        <v>44</v>
      </c>
      <c r="D819" s="907" t="s">
        <v>279</v>
      </c>
      <c r="E819" s="925" t="s">
        <v>2681</v>
      </c>
      <c r="F819" s="926" t="s">
        <v>45</v>
      </c>
      <c r="G819" s="910"/>
      <c r="H819" s="911">
        <v>0.05</v>
      </c>
      <c r="I819" s="912">
        <f>VLOOKUP(E819,[3]VLP!$B$7:$K$300,10,0)</f>
        <v>23000</v>
      </c>
      <c r="J819" s="912">
        <f>I819*H819</f>
        <v>1150</v>
      </c>
      <c r="K819" s="912" t="s">
        <v>274</v>
      </c>
      <c r="L819" s="912"/>
      <c r="M819" s="912"/>
      <c r="N819" s="912"/>
      <c r="O819" s="892">
        <f t="shared" si="48"/>
        <v>0</v>
      </c>
      <c r="P819" s="903">
        <f t="shared" si="49"/>
        <v>1</v>
      </c>
      <c r="Q819" s="893">
        <f t="shared" si="50"/>
        <v>3</v>
      </c>
      <c r="R819" s="894">
        <f t="shared" si="51"/>
        <v>0</v>
      </c>
    </row>
    <row r="820" spans="1:18" s="904" customFormat="1">
      <c r="A820" s="895"/>
      <c r="B820" s="896"/>
      <c r="C820" s="897"/>
      <c r="D820" s="897"/>
      <c r="E820" s="924" t="s">
        <v>276</v>
      </c>
      <c r="F820" s="927"/>
      <c r="G820" s="928"/>
      <c r="H820" s="901"/>
      <c r="I820" s="902"/>
      <c r="J820" s="902"/>
      <c r="K820" s="912" t="s">
        <v>274</v>
      </c>
      <c r="L820" s="902"/>
      <c r="M820" s="902"/>
      <c r="N820" s="902"/>
      <c r="O820" s="892">
        <f t="shared" si="48"/>
        <v>0</v>
      </c>
      <c r="P820" s="903">
        <f t="shared" si="49"/>
        <v>1</v>
      </c>
      <c r="Q820" s="893">
        <f t="shared" si="50"/>
        <v>2</v>
      </c>
      <c r="R820" s="894">
        <f t="shared" si="51"/>
        <v>0</v>
      </c>
    </row>
    <row r="821" spans="1:18">
      <c r="A821" s="905"/>
      <c r="B821" s="906"/>
      <c r="C821" s="907">
        <v>740</v>
      </c>
      <c r="D821" s="907" t="s">
        <v>12</v>
      </c>
      <c r="E821" s="908" t="s">
        <v>4008</v>
      </c>
      <c r="F821" s="909" t="s">
        <v>2674</v>
      </c>
      <c r="G821" s="910"/>
      <c r="H821" s="911">
        <v>0.33</v>
      </c>
      <c r="I821" s="912"/>
      <c r="J821" s="912"/>
      <c r="K821" s="912">
        <f>VLOOKUP(E821,ĐMNC!$A$7:$F$67,4,0)</f>
        <v>252714</v>
      </c>
      <c r="L821" s="912">
        <f>H821*K821</f>
        <v>83395.62000000001</v>
      </c>
      <c r="M821" s="912"/>
      <c r="N821" s="912"/>
      <c r="O821" s="892">
        <f t="shared" si="48"/>
        <v>0</v>
      </c>
      <c r="P821" s="903">
        <f t="shared" si="49"/>
        <v>1</v>
      </c>
      <c r="Q821" s="893">
        <f t="shared" si="50"/>
        <v>1</v>
      </c>
      <c r="R821" s="894">
        <f t="shared" si="51"/>
        <v>0</v>
      </c>
    </row>
    <row r="822" spans="1:18" s="847" customFormat="1" ht="31.5">
      <c r="A822" s="905"/>
      <c r="B822" s="914" t="s">
        <v>4200</v>
      </c>
      <c r="C822" s="915"/>
      <c r="D822" s="915"/>
      <c r="E822" s="916" t="s">
        <v>4201</v>
      </c>
      <c r="F822" s="917" t="s">
        <v>249</v>
      </c>
      <c r="G822" s="918"/>
      <c r="H822" s="919"/>
      <c r="I822" s="920"/>
      <c r="J822" s="891">
        <f>SUM(J823:J827)</f>
        <v>1200</v>
      </c>
      <c r="K822" s="891"/>
      <c r="L822" s="891">
        <f>SUM(L823:L827)</f>
        <v>96031.32</v>
      </c>
      <c r="M822" s="891"/>
      <c r="N822" s="891">
        <f>SUM(N823:N827)</f>
        <v>0</v>
      </c>
      <c r="O822" s="892">
        <f t="shared" si="48"/>
        <v>1</v>
      </c>
      <c r="P822" s="903">
        <f t="shared" si="49"/>
        <v>0</v>
      </c>
      <c r="Q822" s="893">
        <f t="shared" si="50"/>
        <v>0</v>
      </c>
      <c r="R822" s="894">
        <f t="shared" si="51"/>
        <v>5</v>
      </c>
    </row>
    <row r="823" spans="1:18" s="904" customFormat="1">
      <c r="A823" s="895"/>
      <c r="B823" s="896"/>
      <c r="C823" s="897"/>
      <c r="D823" s="897"/>
      <c r="E823" s="924" t="s">
        <v>108</v>
      </c>
      <c r="F823" s="899"/>
      <c r="G823" s="900"/>
      <c r="H823" s="901"/>
      <c r="I823" s="902"/>
      <c r="J823" s="902"/>
      <c r="K823" s="912" t="s">
        <v>274</v>
      </c>
      <c r="L823" s="902"/>
      <c r="M823" s="902"/>
      <c r="N823" s="902"/>
      <c r="O823" s="892">
        <f t="shared" si="48"/>
        <v>0</v>
      </c>
      <c r="P823" s="903">
        <f t="shared" si="49"/>
        <v>1</v>
      </c>
      <c r="Q823" s="893">
        <f t="shared" si="50"/>
        <v>5</v>
      </c>
      <c r="R823" s="894">
        <f t="shared" si="51"/>
        <v>0</v>
      </c>
    </row>
    <row r="824" spans="1:18">
      <c r="A824" s="905"/>
      <c r="B824" s="906"/>
      <c r="C824" s="907">
        <v>66</v>
      </c>
      <c r="D824" s="907" t="s">
        <v>279</v>
      </c>
      <c r="E824" s="925" t="s">
        <v>2682</v>
      </c>
      <c r="F824" s="926" t="s">
        <v>45</v>
      </c>
      <c r="G824" s="910"/>
      <c r="H824" s="911">
        <v>0.01</v>
      </c>
      <c r="I824" s="912">
        <f>VLOOKUP(E824,[3]VLP!$B$7:$K$300,10,0)</f>
        <v>5000</v>
      </c>
      <c r="J824" s="912">
        <f>I824*H824</f>
        <v>50</v>
      </c>
      <c r="K824" s="912" t="s">
        <v>274</v>
      </c>
      <c r="L824" s="912"/>
      <c r="M824" s="912"/>
      <c r="N824" s="912"/>
      <c r="O824" s="892">
        <f t="shared" si="48"/>
        <v>0</v>
      </c>
      <c r="P824" s="903">
        <f t="shared" si="49"/>
        <v>1</v>
      </c>
      <c r="Q824" s="893">
        <f t="shared" si="50"/>
        <v>4</v>
      </c>
      <c r="R824" s="894">
        <f t="shared" si="51"/>
        <v>0</v>
      </c>
    </row>
    <row r="825" spans="1:18">
      <c r="A825" s="905"/>
      <c r="B825" s="906"/>
      <c r="C825" s="907">
        <v>44</v>
      </c>
      <c r="D825" s="907" t="s">
        <v>279</v>
      </c>
      <c r="E825" s="925" t="s">
        <v>2681</v>
      </c>
      <c r="F825" s="926" t="s">
        <v>45</v>
      </c>
      <c r="G825" s="910"/>
      <c r="H825" s="911">
        <v>0.05</v>
      </c>
      <c r="I825" s="912">
        <f>VLOOKUP(E825,[3]VLP!$B$7:$K$300,10,0)</f>
        <v>23000</v>
      </c>
      <c r="J825" s="912">
        <f>I825*H825</f>
        <v>1150</v>
      </c>
      <c r="K825" s="912" t="s">
        <v>274</v>
      </c>
      <c r="L825" s="912"/>
      <c r="M825" s="912"/>
      <c r="N825" s="912"/>
      <c r="O825" s="892">
        <f t="shared" si="48"/>
        <v>0</v>
      </c>
      <c r="P825" s="903">
        <f t="shared" si="49"/>
        <v>1</v>
      </c>
      <c r="Q825" s="893">
        <f t="shared" si="50"/>
        <v>3</v>
      </c>
      <c r="R825" s="894">
        <f t="shared" si="51"/>
        <v>0</v>
      </c>
    </row>
    <row r="826" spans="1:18" s="904" customFormat="1">
      <c r="A826" s="895"/>
      <c r="B826" s="896"/>
      <c r="C826" s="897"/>
      <c r="D826" s="897"/>
      <c r="E826" s="924" t="s">
        <v>276</v>
      </c>
      <c r="F826" s="927"/>
      <c r="G826" s="928"/>
      <c r="H826" s="901"/>
      <c r="I826" s="902"/>
      <c r="J826" s="902"/>
      <c r="K826" s="912" t="s">
        <v>274</v>
      </c>
      <c r="L826" s="902"/>
      <c r="M826" s="902"/>
      <c r="N826" s="902"/>
      <c r="O826" s="892">
        <f t="shared" si="48"/>
        <v>0</v>
      </c>
      <c r="P826" s="903">
        <f t="shared" si="49"/>
        <v>1</v>
      </c>
      <c r="Q826" s="893">
        <f t="shared" si="50"/>
        <v>2</v>
      </c>
      <c r="R826" s="894">
        <f t="shared" si="51"/>
        <v>0</v>
      </c>
    </row>
    <row r="827" spans="1:18">
      <c r="A827" s="905"/>
      <c r="B827" s="906"/>
      <c r="C827" s="907">
        <v>740</v>
      </c>
      <c r="D827" s="907" t="s">
        <v>12</v>
      </c>
      <c r="E827" s="908" t="s">
        <v>4008</v>
      </c>
      <c r="F827" s="909" t="s">
        <v>2674</v>
      </c>
      <c r="G827" s="910"/>
      <c r="H827" s="911">
        <v>0.38</v>
      </c>
      <c r="I827" s="912"/>
      <c r="J827" s="912"/>
      <c r="K827" s="912">
        <f>VLOOKUP(E827,ĐMNC!$A$7:$F$67,4,0)</f>
        <v>252714</v>
      </c>
      <c r="L827" s="912">
        <f>H827*K827</f>
        <v>96031.32</v>
      </c>
      <c r="M827" s="912"/>
      <c r="N827" s="912"/>
      <c r="O827" s="892">
        <f t="shared" si="48"/>
        <v>0</v>
      </c>
      <c r="P827" s="903">
        <f t="shared" si="49"/>
        <v>1</v>
      </c>
      <c r="Q827" s="893">
        <f t="shared" si="50"/>
        <v>1</v>
      </c>
      <c r="R827" s="894">
        <f t="shared" si="51"/>
        <v>0</v>
      </c>
    </row>
    <row r="828" spans="1:18" s="847" customFormat="1" ht="31.5">
      <c r="A828" s="905"/>
      <c r="B828" s="914" t="s">
        <v>4202</v>
      </c>
      <c r="C828" s="915"/>
      <c r="D828" s="915"/>
      <c r="E828" s="916" t="s">
        <v>4203</v>
      </c>
      <c r="F828" s="917" t="s">
        <v>249</v>
      </c>
      <c r="G828" s="918"/>
      <c r="H828" s="919"/>
      <c r="I828" s="920"/>
      <c r="J828" s="891">
        <f>SUM(J829:J833)</f>
        <v>1200</v>
      </c>
      <c r="K828" s="891"/>
      <c r="L828" s="891">
        <f>SUM(L829:L833)</f>
        <v>106139.87999999999</v>
      </c>
      <c r="M828" s="891"/>
      <c r="N828" s="891">
        <f>SUM(N829:N833)</f>
        <v>0</v>
      </c>
      <c r="O828" s="892">
        <f t="shared" si="48"/>
        <v>1</v>
      </c>
      <c r="P828" s="903">
        <f t="shared" si="49"/>
        <v>0</v>
      </c>
      <c r="Q828" s="893">
        <f t="shared" si="50"/>
        <v>0</v>
      </c>
      <c r="R828" s="894">
        <f t="shared" si="51"/>
        <v>5</v>
      </c>
    </row>
    <row r="829" spans="1:18" s="904" customFormat="1">
      <c r="A829" s="895"/>
      <c r="B829" s="896"/>
      <c r="C829" s="897"/>
      <c r="D829" s="897"/>
      <c r="E829" s="924" t="s">
        <v>108</v>
      </c>
      <c r="F829" s="899"/>
      <c r="G829" s="900"/>
      <c r="H829" s="901"/>
      <c r="I829" s="902"/>
      <c r="J829" s="902"/>
      <c r="K829" s="912" t="s">
        <v>274</v>
      </c>
      <c r="L829" s="902"/>
      <c r="M829" s="902"/>
      <c r="N829" s="902"/>
      <c r="O829" s="892">
        <f t="shared" si="48"/>
        <v>0</v>
      </c>
      <c r="P829" s="903">
        <f t="shared" si="49"/>
        <v>1</v>
      </c>
      <c r="Q829" s="893">
        <f t="shared" si="50"/>
        <v>5</v>
      </c>
      <c r="R829" s="894">
        <f t="shared" si="51"/>
        <v>0</v>
      </c>
    </row>
    <row r="830" spans="1:18">
      <c r="A830" s="905"/>
      <c r="B830" s="906"/>
      <c r="C830" s="907">
        <v>66</v>
      </c>
      <c r="D830" s="907" t="s">
        <v>279</v>
      </c>
      <c r="E830" s="925" t="s">
        <v>2682</v>
      </c>
      <c r="F830" s="926" t="s">
        <v>45</v>
      </c>
      <c r="G830" s="910"/>
      <c r="H830" s="911">
        <v>0.01</v>
      </c>
      <c r="I830" s="912">
        <f>VLOOKUP(E830,[3]VLP!$B$7:$K$300,10,0)</f>
        <v>5000</v>
      </c>
      <c r="J830" s="912">
        <f>I830*H830</f>
        <v>50</v>
      </c>
      <c r="K830" s="912" t="s">
        <v>274</v>
      </c>
      <c r="L830" s="912"/>
      <c r="M830" s="912"/>
      <c r="N830" s="912"/>
      <c r="O830" s="892">
        <f t="shared" si="48"/>
        <v>0</v>
      </c>
      <c r="P830" s="903">
        <f t="shared" si="49"/>
        <v>1</v>
      </c>
      <c r="Q830" s="893">
        <f t="shared" si="50"/>
        <v>4</v>
      </c>
      <c r="R830" s="894">
        <f t="shared" si="51"/>
        <v>0</v>
      </c>
    </row>
    <row r="831" spans="1:18">
      <c r="A831" s="905"/>
      <c r="B831" s="906"/>
      <c r="C831" s="907">
        <v>44</v>
      </c>
      <c r="D831" s="907" t="s">
        <v>279</v>
      </c>
      <c r="E831" s="925" t="s">
        <v>2681</v>
      </c>
      <c r="F831" s="926" t="s">
        <v>45</v>
      </c>
      <c r="G831" s="910"/>
      <c r="H831" s="911">
        <v>0.05</v>
      </c>
      <c r="I831" s="912">
        <f>VLOOKUP(E831,[3]VLP!$B$7:$K$300,10,0)</f>
        <v>23000</v>
      </c>
      <c r="J831" s="912">
        <f>I831*H831</f>
        <v>1150</v>
      </c>
      <c r="K831" s="912" t="s">
        <v>274</v>
      </c>
      <c r="L831" s="912"/>
      <c r="M831" s="912"/>
      <c r="N831" s="912"/>
      <c r="O831" s="892">
        <f t="shared" si="48"/>
        <v>0</v>
      </c>
      <c r="P831" s="903">
        <f t="shared" si="49"/>
        <v>1</v>
      </c>
      <c r="Q831" s="893">
        <f t="shared" si="50"/>
        <v>3</v>
      </c>
      <c r="R831" s="894">
        <f t="shared" si="51"/>
        <v>0</v>
      </c>
    </row>
    <row r="832" spans="1:18" s="904" customFormat="1">
      <c r="A832" s="895"/>
      <c r="B832" s="896"/>
      <c r="C832" s="897"/>
      <c r="D832" s="897"/>
      <c r="E832" s="924" t="s">
        <v>276</v>
      </c>
      <c r="F832" s="927"/>
      <c r="G832" s="928"/>
      <c r="H832" s="901"/>
      <c r="I832" s="902"/>
      <c r="J832" s="902"/>
      <c r="K832" s="912" t="s">
        <v>274</v>
      </c>
      <c r="L832" s="902"/>
      <c r="M832" s="902"/>
      <c r="N832" s="902"/>
      <c r="O832" s="892">
        <f t="shared" si="48"/>
        <v>0</v>
      </c>
      <c r="P832" s="903">
        <f t="shared" si="49"/>
        <v>1</v>
      </c>
      <c r="Q832" s="893">
        <f t="shared" si="50"/>
        <v>2</v>
      </c>
      <c r="R832" s="894">
        <f t="shared" si="51"/>
        <v>0</v>
      </c>
    </row>
    <row r="833" spans="1:18">
      <c r="A833" s="905"/>
      <c r="B833" s="906"/>
      <c r="C833" s="907">
        <v>740</v>
      </c>
      <c r="D833" s="907" t="s">
        <v>12</v>
      </c>
      <c r="E833" s="908" t="s">
        <v>4008</v>
      </c>
      <c r="F833" s="909" t="s">
        <v>2674</v>
      </c>
      <c r="G833" s="910"/>
      <c r="H833" s="911">
        <v>0.42</v>
      </c>
      <c r="I833" s="912"/>
      <c r="J833" s="912"/>
      <c r="K833" s="912">
        <f>VLOOKUP(E833,ĐMNC!$A$7:$F$67,4,0)</f>
        <v>252714</v>
      </c>
      <c r="L833" s="912">
        <f>H833*K833</f>
        <v>106139.87999999999</v>
      </c>
      <c r="M833" s="912"/>
      <c r="N833" s="912"/>
      <c r="O833" s="892">
        <f t="shared" si="48"/>
        <v>0</v>
      </c>
      <c r="P833" s="903">
        <f t="shared" si="49"/>
        <v>1</v>
      </c>
      <c r="Q833" s="893">
        <f t="shared" si="50"/>
        <v>1</v>
      </c>
      <c r="R833" s="894">
        <f t="shared" si="51"/>
        <v>0</v>
      </c>
    </row>
    <row r="834" spans="1:18" s="847" customFormat="1" ht="31.5">
      <c r="A834" s="905"/>
      <c r="B834" s="914" t="s">
        <v>4204</v>
      </c>
      <c r="C834" s="915"/>
      <c r="D834" s="915"/>
      <c r="E834" s="916" t="s">
        <v>4205</v>
      </c>
      <c r="F834" s="917" t="s">
        <v>249</v>
      </c>
      <c r="G834" s="918"/>
      <c r="H834" s="919"/>
      <c r="I834" s="920"/>
      <c r="J834" s="891">
        <f>SUM(J835:J839)</f>
        <v>1200</v>
      </c>
      <c r="K834" s="891"/>
      <c r="L834" s="891">
        <f>SUM(L835:L839)</f>
        <v>121302.72</v>
      </c>
      <c r="M834" s="891"/>
      <c r="N834" s="891">
        <f>SUM(N835:N839)</f>
        <v>0</v>
      </c>
      <c r="O834" s="892">
        <f t="shared" si="48"/>
        <v>1</v>
      </c>
      <c r="P834" s="903">
        <f t="shared" si="49"/>
        <v>0</v>
      </c>
      <c r="Q834" s="893">
        <f t="shared" si="50"/>
        <v>0</v>
      </c>
      <c r="R834" s="894">
        <f t="shared" si="51"/>
        <v>5</v>
      </c>
    </row>
    <row r="835" spans="1:18" s="904" customFormat="1">
      <c r="A835" s="895"/>
      <c r="B835" s="896"/>
      <c r="C835" s="897"/>
      <c r="D835" s="897"/>
      <c r="E835" s="924" t="s">
        <v>108</v>
      </c>
      <c r="F835" s="899"/>
      <c r="G835" s="900"/>
      <c r="H835" s="901"/>
      <c r="I835" s="902"/>
      <c r="J835" s="902"/>
      <c r="K835" s="912" t="s">
        <v>274</v>
      </c>
      <c r="L835" s="902"/>
      <c r="M835" s="902"/>
      <c r="N835" s="902"/>
      <c r="O835" s="892">
        <f t="shared" si="48"/>
        <v>0</v>
      </c>
      <c r="P835" s="903">
        <f t="shared" si="49"/>
        <v>1</v>
      </c>
      <c r="Q835" s="893">
        <f t="shared" si="50"/>
        <v>5</v>
      </c>
      <c r="R835" s="894">
        <f t="shared" si="51"/>
        <v>0</v>
      </c>
    </row>
    <row r="836" spans="1:18">
      <c r="A836" s="905"/>
      <c r="B836" s="906"/>
      <c r="C836" s="907">
        <v>66</v>
      </c>
      <c r="D836" s="907" t="s">
        <v>279</v>
      </c>
      <c r="E836" s="925" t="s">
        <v>2682</v>
      </c>
      <c r="F836" s="926" t="s">
        <v>45</v>
      </c>
      <c r="G836" s="910"/>
      <c r="H836" s="911">
        <v>0.01</v>
      </c>
      <c r="I836" s="912">
        <f>VLOOKUP(E836,[3]VLP!$B$7:$K$300,10,0)</f>
        <v>5000</v>
      </c>
      <c r="J836" s="912">
        <f>I836*H836</f>
        <v>50</v>
      </c>
      <c r="K836" s="912" t="s">
        <v>274</v>
      </c>
      <c r="L836" s="912"/>
      <c r="M836" s="912"/>
      <c r="N836" s="912"/>
      <c r="O836" s="892">
        <f t="shared" ref="O836:O900" si="52">IF(AND(B836&lt;&gt;"",D836=""),1,0)</f>
        <v>0</v>
      </c>
      <c r="P836" s="903">
        <f t="shared" si="49"/>
        <v>1</v>
      </c>
      <c r="Q836" s="893">
        <f t="shared" si="50"/>
        <v>4</v>
      </c>
      <c r="R836" s="894">
        <f t="shared" si="51"/>
        <v>0</v>
      </c>
    </row>
    <row r="837" spans="1:18">
      <c r="A837" s="905"/>
      <c r="B837" s="906"/>
      <c r="C837" s="907">
        <v>44</v>
      </c>
      <c r="D837" s="907" t="s">
        <v>279</v>
      </c>
      <c r="E837" s="925" t="s">
        <v>2681</v>
      </c>
      <c r="F837" s="926" t="s">
        <v>45</v>
      </c>
      <c r="G837" s="910"/>
      <c r="H837" s="911">
        <v>0.05</v>
      </c>
      <c r="I837" s="912">
        <f>VLOOKUP(E837,[3]VLP!$B$7:$K$300,10,0)</f>
        <v>23000</v>
      </c>
      <c r="J837" s="912">
        <f>I837*H837</f>
        <v>1150</v>
      </c>
      <c r="K837" s="912" t="s">
        <v>274</v>
      </c>
      <c r="L837" s="912"/>
      <c r="M837" s="912"/>
      <c r="N837" s="912"/>
      <c r="O837" s="892">
        <f t="shared" si="52"/>
        <v>0</v>
      </c>
      <c r="P837" s="903">
        <f t="shared" si="49"/>
        <v>1</v>
      </c>
      <c r="Q837" s="893">
        <f t="shared" si="50"/>
        <v>3</v>
      </c>
      <c r="R837" s="894">
        <f t="shared" si="51"/>
        <v>0</v>
      </c>
    </row>
    <row r="838" spans="1:18" s="904" customFormat="1">
      <c r="A838" s="895"/>
      <c r="B838" s="896"/>
      <c r="C838" s="897"/>
      <c r="D838" s="897"/>
      <c r="E838" s="924" t="s">
        <v>276</v>
      </c>
      <c r="F838" s="927"/>
      <c r="G838" s="928"/>
      <c r="H838" s="901"/>
      <c r="I838" s="902"/>
      <c r="J838" s="902"/>
      <c r="K838" s="912" t="s">
        <v>274</v>
      </c>
      <c r="L838" s="902"/>
      <c r="M838" s="902"/>
      <c r="N838" s="902"/>
      <c r="O838" s="892">
        <f t="shared" si="52"/>
        <v>0</v>
      </c>
      <c r="P838" s="903">
        <f t="shared" si="49"/>
        <v>1</v>
      </c>
      <c r="Q838" s="893">
        <f t="shared" si="50"/>
        <v>2</v>
      </c>
      <c r="R838" s="894">
        <f t="shared" si="51"/>
        <v>0</v>
      </c>
    </row>
    <row r="839" spans="1:18">
      <c r="A839" s="905"/>
      <c r="B839" s="906"/>
      <c r="C839" s="907">
        <v>740</v>
      </c>
      <c r="D839" s="907" t="s">
        <v>12</v>
      </c>
      <c r="E839" s="908" t="s">
        <v>4008</v>
      </c>
      <c r="F839" s="909" t="s">
        <v>2674</v>
      </c>
      <c r="G839" s="910"/>
      <c r="H839" s="911">
        <v>0.48</v>
      </c>
      <c r="I839" s="912"/>
      <c r="J839" s="912"/>
      <c r="K839" s="912">
        <f>VLOOKUP(E839,ĐMNC!$A$7:$F$67,4,0)</f>
        <v>252714</v>
      </c>
      <c r="L839" s="912">
        <f>H839*K839</f>
        <v>121302.72</v>
      </c>
      <c r="M839" s="912"/>
      <c r="N839" s="912"/>
      <c r="O839" s="892">
        <f t="shared" si="52"/>
        <v>0</v>
      </c>
      <c r="P839" s="903">
        <f t="shared" si="49"/>
        <v>1</v>
      </c>
      <c r="Q839" s="893">
        <f t="shared" si="50"/>
        <v>1</v>
      </c>
      <c r="R839" s="894">
        <f t="shared" si="51"/>
        <v>0</v>
      </c>
    </row>
    <row r="840" spans="1:18" s="847" customFormat="1" ht="31.5">
      <c r="A840" s="905"/>
      <c r="B840" s="914" t="s">
        <v>4206</v>
      </c>
      <c r="C840" s="915"/>
      <c r="D840" s="915"/>
      <c r="E840" s="916" t="s">
        <v>4207</v>
      </c>
      <c r="F840" s="917" t="s">
        <v>249</v>
      </c>
      <c r="G840" s="918"/>
      <c r="H840" s="919"/>
      <c r="I840" s="920"/>
      <c r="J840" s="891">
        <f>SUM(J841:J845)</f>
        <v>1200</v>
      </c>
      <c r="K840" s="891"/>
      <c r="L840" s="891">
        <f>SUM(L841:L845)</f>
        <v>138992.70000000001</v>
      </c>
      <c r="M840" s="891"/>
      <c r="N840" s="891">
        <f>SUM(N841:N845)</f>
        <v>0</v>
      </c>
      <c r="O840" s="892">
        <f t="shared" si="52"/>
        <v>1</v>
      </c>
      <c r="P840" s="903">
        <f t="shared" si="49"/>
        <v>0</v>
      </c>
      <c r="Q840" s="893">
        <f t="shared" si="50"/>
        <v>0</v>
      </c>
      <c r="R840" s="894">
        <f t="shared" si="51"/>
        <v>5</v>
      </c>
    </row>
    <row r="841" spans="1:18" s="904" customFormat="1">
      <c r="A841" s="895"/>
      <c r="B841" s="896"/>
      <c r="C841" s="897"/>
      <c r="D841" s="897"/>
      <c r="E841" s="924" t="s">
        <v>108</v>
      </c>
      <c r="F841" s="899"/>
      <c r="G841" s="900"/>
      <c r="H841" s="901"/>
      <c r="I841" s="902"/>
      <c r="J841" s="902"/>
      <c r="K841" s="912" t="s">
        <v>274</v>
      </c>
      <c r="L841" s="902"/>
      <c r="M841" s="902"/>
      <c r="N841" s="902"/>
      <c r="O841" s="892">
        <f t="shared" si="52"/>
        <v>0</v>
      </c>
      <c r="P841" s="903">
        <f t="shared" si="49"/>
        <v>1</v>
      </c>
      <c r="Q841" s="893">
        <f t="shared" si="50"/>
        <v>5</v>
      </c>
      <c r="R841" s="894">
        <f t="shared" si="51"/>
        <v>0</v>
      </c>
    </row>
    <row r="842" spans="1:18">
      <c r="A842" s="905"/>
      <c r="B842" s="906"/>
      <c r="C842" s="907">
        <v>66</v>
      </c>
      <c r="D842" s="907" t="s">
        <v>279</v>
      </c>
      <c r="E842" s="925" t="s">
        <v>2682</v>
      </c>
      <c r="F842" s="926" t="s">
        <v>45</v>
      </c>
      <c r="G842" s="910"/>
      <c r="H842" s="911">
        <v>0.01</v>
      </c>
      <c r="I842" s="912">
        <f>VLOOKUP(E842,[3]VLP!$B$7:$K$300,10,0)</f>
        <v>5000</v>
      </c>
      <c r="J842" s="912">
        <f>I842*H842</f>
        <v>50</v>
      </c>
      <c r="K842" s="912" t="s">
        <v>274</v>
      </c>
      <c r="L842" s="912"/>
      <c r="M842" s="912"/>
      <c r="N842" s="912"/>
      <c r="O842" s="892">
        <f t="shared" si="52"/>
        <v>0</v>
      </c>
      <c r="P842" s="903">
        <f t="shared" si="49"/>
        <v>1</v>
      </c>
      <c r="Q842" s="893">
        <f t="shared" si="50"/>
        <v>4</v>
      </c>
      <c r="R842" s="894">
        <f t="shared" si="51"/>
        <v>0</v>
      </c>
    </row>
    <row r="843" spans="1:18">
      <c r="A843" s="905"/>
      <c r="B843" s="906"/>
      <c r="C843" s="907">
        <v>44</v>
      </c>
      <c r="D843" s="907" t="s">
        <v>279</v>
      </c>
      <c r="E843" s="925" t="s">
        <v>2681</v>
      </c>
      <c r="F843" s="926" t="s">
        <v>45</v>
      </c>
      <c r="G843" s="910"/>
      <c r="H843" s="911">
        <v>0.05</v>
      </c>
      <c r="I843" s="912">
        <f>VLOOKUP(E843,[3]VLP!$B$7:$K$300,10,0)</f>
        <v>23000</v>
      </c>
      <c r="J843" s="912">
        <f>I843*H843</f>
        <v>1150</v>
      </c>
      <c r="K843" s="912" t="s">
        <v>274</v>
      </c>
      <c r="L843" s="912"/>
      <c r="M843" s="912"/>
      <c r="N843" s="912"/>
      <c r="O843" s="892">
        <f t="shared" si="52"/>
        <v>0</v>
      </c>
      <c r="P843" s="903">
        <f t="shared" si="49"/>
        <v>1</v>
      </c>
      <c r="Q843" s="893">
        <f t="shared" si="50"/>
        <v>3</v>
      </c>
      <c r="R843" s="894">
        <f t="shared" si="51"/>
        <v>0</v>
      </c>
    </row>
    <row r="844" spans="1:18" s="904" customFormat="1">
      <c r="A844" s="895"/>
      <c r="B844" s="896"/>
      <c r="C844" s="897"/>
      <c r="D844" s="897"/>
      <c r="E844" s="924" t="s">
        <v>276</v>
      </c>
      <c r="F844" s="927"/>
      <c r="G844" s="928"/>
      <c r="H844" s="901"/>
      <c r="I844" s="902"/>
      <c r="J844" s="902"/>
      <c r="K844" s="912" t="s">
        <v>274</v>
      </c>
      <c r="L844" s="902"/>
      <c r="M844" s="902"/>
      <c r="N844" s="902"/>
      <c r="O844" s="892">
        <f t="shared" si="52"/>
        <v>0</v>
      </c>
      <c r="P844" s="903">
        <f t="shared" si="49"/>
        <v>1</v>
      </c>
      <c r="Q844" s="893">
        <f t="shared" si="50"/>
        <v>2</v>
      </c>
      <c r="R844" s="894">
        <f t="shared" si="51"/>
        <v>0</v>
      </c>
    </row>
    <row r="845" spans="1:18">
      <c r="A845" s="905"/>
      <c r="B845" s="906"/>
      <c r="C845" s="907">
        <v>740</v>
      </c>
      <c r="D845" s="907" t="s">
        <v>12</v>
      </c>
      <c r="E845" s="908" t="s">
        <v>4008</v>
      </c>
      <c r="F845" s="909" t="s">
        <v>2674</v>
      </c>
      <c r="G845" s="910"/>
      <c r="H845" s="911">
        <v>0.55000000000000004</v>
      </c>
      <c r="I845" s="912"/>
      <c r="J845" s="912"/>
      <c r="K845" s="912">
        <f>VLOOKUP(E845,ĐMNC!$A$7:$F$67,4,0)</f>
        <v>252714</v>
      </c>
      <c r="L845" s="912">
        <f>H845*K845</f>
        <v>138992.70000000001</v>
      </c>
      <c r="M845" s="912"/>
      <c r="N845" s="912"/>
      <c r="O845" s="892">
        <f t="shared" si="52"/>
        <v>0</v>
      </c>
      <c r="P845" s="903">
        <f t="shared" ref="P845:P909" si="53">IF(O845=0,1,0)</f>
        <v>1</v>
      </c>
      <c r="Q845" s="893">
        <f t="shared" ref="Q845:Q909" si="54">IF(P845=0,0,P845+Q846)</f>
        <v>1</v>
      </c>
      <c r="R845" s="894">
        <f t="shared" ref="R845:R909" si="55">IF(Q845=0,Q846,0)</f>
        <v>0</v>
      </c>
    </row>
    <row r="846" spans="1:18" s="847" customFormat="1" ht="31.5">
      <c r="A846" s="905"/>
      <c r="B846" s="914" t="s">
        <v>1152</v>
      </c>
      <c r="C846" s="915"/>
      <c r="D846" s="915"/>
      <c r="E846" s="916" t="s">
        <v>4208</v>
      </c>
      <c r="F846" s="917" t="s">
        <v>249</v>
      </c>
      <c r="G846" s="918"/>
      <c r="H846" s="919"/>
      <c r="I846" s="920"/>
      <c r="J846" s="891">
        <f>SUM(J847:J851)</f>
        <v>1825</v>
      </c>
      <c r="K846" s="891"/>
      <c r="L846" s="891">
        <f>SUM(L847:L851)</f>
        <v>101085.6</v>
      </c>
      <c r="M846" s="891"/>
      <c r="N846" s="891">
        <f>SUM(N847:N851)</f>
        <v>0</v>
      </c>
      <c r="O846" s="892">
        <f t="shared" si="52"/>
        <v>1</v>
      </c>
      <c r="P846" s="903">
        <f t="shared" si="53"/>
        <v>0</v>
      </c>
      <c r="Q846" s="893">
        <f t="shared" si="54"/>
        <v>0</v>
      </c>
      <c r="R846" s="894">
        <f t="shared" si="55"/>
        <v>5</v>
      </c>
    </row>
    <row r="847" spans="1:18" s="904" customFormat="1">
      <c r="A847" s="895"/>
      <c r="B847" s="896"/>
      <c r="C847" s="897"/>
      <c r="D847" s="897"/>
      <c r="E847" s="924" t="s">
        <v>108</v>
      </c>
      <c r="F847" s="899"/>
      <c r="G847" s="900"/>
      <c r="H847" s="901"/>
      <c r="I847" s="902"/>
      <c r="J847" s="902"/>
      <c r="K847" s="912" t="s">
        <v>274</v>
      </c>
      <c r="L847" s="902"/>
      <c r="M847" s="902"/>
      <c r="N847" s="902"/>
      <c r="O847" s="892">
        <f t="shared" si="52"/>
        <v>0</v>
      </c>
      <c r="P847" s="903">
        <f t="shared" si="53"/>
        <v>1</v>
      </c>
      <c r="Q847" s="893">
        <f t="shared" si="54"/>
        <v>5</v>
      </c>
      <c r="R847" s="894">
        <f t="shared" si="55"/>
        <v>0</v>
      </c>
    </row>
    <row r="848" spans="1:18">
      <c r="A848" s="905"/>
      <c r="B848" s="906"/>
      <c r="C848" s="907">
        <v>66</v>
      </c>
      <c r="D848" s="907" t="s">
        <v>279</v>
      </c>
      <c r="E848" s="925" t="s">
        <v>2682</v>
      </c>
      <c r="F848" s="926" t="s">
        <v>45</v>
      </c>
      <c r="G848" s="910"/>
      <c r="H848" s="911">
        <v>0.02</v>
      </c>
      <c r="I848" s="912">
        <f>VLOOKUP(E848,[3]VLP!$B$7:$K$300,10,0)</f>
        <v>5000</v>
      </c>
      <c r="J848" s="912">
        <f>I848*H848</f>
        <v>100</v>
      </c>
      <c r="K848" s="912" t="s">
        <v>274</v>
      </c>
      <c r="L848" s="912"/>
      <c r="M848" s="912"/>
      <c r="N848" s="912"/>
      <c r="O848" s="892">
        <f t="shared" si="52"/>
        <v>0</v>
      </c>
      <c r="P848" s="903">
        <f t="shared" si="53"/>
        <v>1</v>
      </c>
      <c r="Q848" s="893">
        <f t="shared" si="54"/>
        <v>4</v>
      </c>
      <c r="R848" s="894">
        <f t="shared" si="55"/>
        <v>0</v>
      </c>
    </row>
    <row r="849" spans="1:18">
      <c r="A849" s="905"/>
      <c r="B849" s="906"/>
      <c r="C849" s="907">
        <v>44</v>
      </c>
      <c r="D849" s="907" t="s">
        <v>279</v>
      </c>
      <c r="E849" s="925" t="s">
        <v>2681</v>
      </c>
      <c r="F849" s="926" t="s">
        <v>45</v>
      </c>
      <c r="G849" s="910"/>
      <c r="H849" s="911">
        <v>7.4999999999999997E-2</v>
      </c>
      <c r="I849" s="912">
        <f>VLOOKUP(E849,[3]VLP!$B$7:$K$300,10,0)</f>
        <v>23000</v>
      </c>
      <c r="J849" s="912">
        <f>I849*H849</f>
        <v>1725</v>
      </c>
      <c r="K849" s="912" t="s">
        <v>274</v>
      </c>
      <c r="L849" s="912"/>
      <c r="M849" s="912"/>
      <c r="N849" s="912"/>
      <c r="O849" s="892">
        <f t="shared" si="52"/>
        <v>0</v>
      </c>
      <c r="P849" s="903">
        <f t="shared" si="53"/>
        <v>1</v>
      </c>
      <c r="Q849" s="893">
        <f t="shared" si="54"/>
        <v>3</v>
      </c>
      <c r="R849" s="894">
        <f t="shared" si="55"/>
        <v>0</v>
      </c>
    </row>
    <row r="850" spans="1:18" s="904" customFormat="1">
      <c r="A850" s="895"/>
      <c r="B850" s="896"/>
      <c r="C850" s="897"/>
      <c r="D850" s="897"/>
      <c r="E850" s="924" t="s">
        <v>276</v>
      </c>
      <c r="F850" s="927"/>
      <c r="G850" s="928"/>
      <c r="H850" s="901"/>
      <c r="I850" s="902"/>
      <c r="J850" s="902"/>
      <c r="K850" s="912" t="s">
        <v>274</v>
      </c>
      <c r="L850" s="902"/>
      <c r="M850" s="902"/>
      <c r="N850" s="902"/>
      <c r="O850" s="892">
        <f t="shared" si="52"/>
        <v>0</v>
      </c>
      <c r="P850" s="903">
        <f t="shared" si="53"/>
        <v>1</v>
      </c>
      <c r="Q850" s="893">
        <f t="shared" si="54"/>
        <v>2</v>
      </c>
      <c r="R850" s="894">
        <f t="shared" si="55"/>
        <v>0</v>
      </c>
    </row>
    <row r="851" spans="1:18">
      <c r="A851" s="905"/>
      <c r="B851" s="906"/>
      <c r="C851" s="907">
        <v>740</v>
      </c>
      <c r="D851" s="907" t="s">
        <v>12</v>
      </c>
      <c r="E851" s="908" t="s">
        <v>4008</v>
      </c>
      <c r="F851" s="909" t="s">
        <v>2674</v>
      </c>
      <c r="G851" s="910"/>
      <c r="H851" s="911">
        <v>0.4</v>
      </c>
      <c r="I851" s="912"/>
      <c r="J851" s="912"/>
      <c r="K851" s="912">
        <f>VLOOKUP(E851,ĐMNC!$A$7:$F$67,4,0)</f>
        <v>252714</v>
      </c>
      <c r="L851" s="912">
        <f>H851*K851</f>
        <v>101085.6</v>
      </c>
      <c r="M851" s="912"/>
      <c r="N851" s="912"/>
      <c r="O851" s="892">
        <f t="shared" si="52"/>
        <v>0</v>
      </c>
      <c r="P851" s="903">
        <f t="shared" si="53"/>
        <v>1</v>
      </c>
      <c r="Q851" s="893">
        <f t="shared" si="54"/>
        <v>1</v>
      </c>
      <c r="R851" s="894">
        <f t="shared" si="55"/>
        <v>0</v>
      </c>
    </row>
    <row r="852" spans="1:18" s="847" customFormat="1" ht="31.5">
      <c r="A852" s="905" t="s">
        <v>4192</v>
      </c>
      <c r="B852" s="914" t="s">
        <v>4209</v>
      </c>
      <c r="C852" s="915"/>
      <c r="D852" s="915"/>
      <c r="E852" s="916" t="s">
        <v>4210</v>
      </c>
      <c r="F852" s="917" t="s">
        <v>249</v>
      </c>
      <c r="G852" s="918"/>
      <c r="H852" s="919"/>
      <c r="I852" s="920"/>
      <c r="J852" s="891">
        <f>SUM(J853:J857)</f>
        <v>1825</v>
      </c>
      <c r="K852" s="891"/>
      <c r="L852" s="891">
        <f>SUM(L853:L857)</f>
        <v>106139.87999999999</v>
      </c>
      <c r="M852" s="891"/>
      <c r="N852" s="891">
        <f>SUM(N853:N857)</f>
        <v>0</v>
      </c>
      <c r="O852" s="892">
        <f t="shared" si="52"/>
        <v>1</v>
      </c>
      <c r="P852" s="903">
        <f t="shared" si="53"/>
        <v>0</v>
      </c>
      <c r="Q852" s="893">
        <f t="shared" si="54"/>
        <v>0</v>
      </c>
      <c r="R852" s="894">
        <f t="shared" si="55"/>
        <v>5</v>
      </c>
    </row>
    <row r="853" spans="1:18" s="904" customFormat="1">
      <c r="A853" s="895"/>
      <c r="B853" s="896"/>
      <c r="C853" s="897"/>
      <c r="D853" s="897"/>
      <c r="E853" s="924" t="s">
        <v>108</v>
      </c>
      <c r="F853" s="899"/>
      <c r="G853" s="900"/>
      <c r="H853" s="901"/>
      <c r="I853" s="902"/>
      <c r="J853" s="902"/>
      <c r="K853" s="912" t="s">
        <v>274</v>
      </c>
      <c r="L853" s="902"/>
      <c r="M853" s="902"/>
      <c r="N853" s="902"/>
      <c r="O853" s="892">
        <f t="shared" si="52"/>
        <v>0</v>
      </c>
      <c r="P853" s="903">
        <f t="shared" si="53"/>
        <v>1</v>
      </c>
      <c r="Q853" s="893">
        <f t="shared" si="54"/>
        <v>5</v>
      </c>
      <c r="R853" s="894">
        <f t="shared" si="55"/>
        <v>0</v>
      </c>
    </row>
    <row r="854" spans="1:18">
      <c r="A854" s="905"/>
      <c r="B854" s="906"/>
      <c r="C854" s="907">
        <v>66</v>
      </c>
      <c r="D854" s="907" t="s">
        <v>279</v>
      </c>
      <c r="E854" s="925" t="s">
        <v>2682</v>
      </c>
      <c r="F854" s="926" t="s">
        <v>45</v>
      </c>
      <c r="G854" s="910"/>
      <c r="H854" s="911">
        <v>0.02</v>
      </c>
      <c r="I854" s="912">
        <f>VLOOKUP(E854,[3]VLP!$B$7:$K$300,10,0)</f>
        <v>5000</v>
      </c>
      <c r="J854" s="912">
        <f>I854*H854</f>
        <v>100</v>
      </c>
      <c r="K854" s="912" t="s">
        <v>274</v>
      </c>
      <c r="L854" s="912"/>
      <c r="M854" s="912"/>
      <c r="N854" s="912"/>
      <c r="O854" s="892">
        <f t="shared" si="52"/>
        <v>0</v>
      </c>
      <c r="P854" s="903">
        <f t="shared" si="53"/>
        <v>1</v>
      </c>
      <c r="Q854" s="893">
        <f t="shared" si="54"/>
        <v>4</v>
      </c>
      <c r="R854" s="894">
        <f t="shared" si="55"/>
        <v>0</v>
      </c>
    </row>
    <row r="855" spans="1:18">
      <c r="A855" s="905"/>
      <c r="B855" s="906"/>
      <c r="C855" s="907">
        <v>44</v>
      </c>
      <c r="D855" s="907" t="s">
        <v>279</v>
      </c>
      <c r="E855" s="925" t="s">
        <v>2681</v>
      </c>
      <c r="F855" s="926" t="s">
        <v>45</v>
      </c>
      <c r="G855" s="910"/>
      <c r="H855" s="911">
        <v>7.4999999999999997E-2</v>
      </c>
      <c r="I855" s="912">
        <f>VLOOKUP(E855,[3]VLP!$B$7:$K$300,10,0)</f>
        <v>23000</v>
      </c>
      <c r="J855" s="912">
        <f>I855*H855</f>
        <v>1725</v>
      </c>
      <c r="K855" s="912" t="s">
        <v>274</v>
      </c>
      <c r="L855" s="912"/>
      <c r="M855" s="912"/>
      <c r="N855" s="912"/>
      <c r="O855" s="892">
        <f t="shared" si="52"/>
        <v>0</v>
      </c>
      <c r="P855" s="903">
        <f t="shared" si="53"/>
        <v>1</v>
      </c>
      <c r="Q855" s="893">
        <f t="shared" si="54"/>
        <v>3</v>
      </c>
      <c r="R855" s="894">
        <f t="shared" si="55"/>
        <v>0</v>
      </c>
    </row>
    <row r="856" spans="1:18" s="904" customFormat="1">
      <c r="A856" s="895"/>
      <c r="B856" s="896"/>
      <c r="C856" s="897"/>
      <c r="D856" s="897"/>
      <c r="E856" s="924" t="s">
        <v>276</v>
      </c>
      <c r="F856" s="927"/>
      <c r="G856" s="928"/>
      <c r="H856" s="901"/>
      <c r="I856" s="902"/>
      <c r="J856" s="902"/>
      <c r="K856" s="912" t="s">
        <v>274</v>
      </c>
      <c r="L856" s="902"/>
      <c r="M856" s="902"/>
      <c r="N856" s="902"/>
      <c r="O856" s="892">
        <f t="shared" si="52"/>
        <v>0</v>
      </c>
      <c r="P856" s="903">
        <f t="shared" si="53"/>
        <v>1</v>
      </c>
      <c r="Q856" s="893">
        <f t="shared" si="54"/>
        <v>2</v>
      </c>
      <c r="R856" s="894">
        <f t="shared" si="55"/>
        <v>0</v>
      </c>
    </row>
    <row r="857" spans="1:18">
      <c r="A857" s="905"/>
      <c r="B857" s="906"/>
      <c r="C857" s="907">
        <v>740</v>
      </c>
      <c r="D857" s="907" t="s">
        <v>12</v>
      </c>
      <c r="E857" s="908" t="s">
        <v>4008</v>
      </c>
      <c r="F857" s="909" t="s">
        <v>2674</v>
      </c>
      <c r="G857" s="910"/>
      <c r="H857" s="911">
        <v>0.42</v>
      </c>
      <c r="I857" s="912"/>
      <c r="J857" s="912"/>
      <c r="K857" s="912">
        <f>VLOOKUP(E857,ĐMNC!$A$7:$F$67,4,0)</f>
        <v>252714</v>
      </c>
      <c r="L857" s="912">
        <f>H857*K857</f>
        <v>106139.87999999999</v>
      </c>
      <c r="M857" s="912"/>
      <c r="N857" s="912"/>
      <c r="O857" s="892">
        <f t="shared" si="52"/>
        <v>0</v>
      </c>
      <c r="P857" s="903">
        <f t="shared" si="53"/>
        <v>1</v>
      </c>
      <c r="Q857" s="893">
        <f t="shared" si="54"/>
        <v>1</v>
      </c>
      <c r="R857" s="894">
        <f t="shared" si="55"/>
        <v>0</v>
      </c>
    </row>
    <row r="858" spans="1:18" s="847" customFormat="1" ht="31.5">
      <c r="A858" s="905"/>
      <c r="B858" s="914" t="s">
        <v>4211</v>
      </c>
      <c r="C858" s="915"/>
      <c r="D858" s="915"/>
      <c r="E858" s="916" t="s">
        <v>4212</v>
      </c>
      <c r="F858" s="917" t="s">
        <v>249</v>
      </c>
      <c r="G858" s="918"/>
      <c r="H858" s="919"/>
      <c r="I858" s="920"/>
      <c r="J858" s="891">
        <f>SUM(J859:J863)</f>
        <v>1825</v>
      </c>
      <c r="K858" s="891"/>
      <c r="L858" s="891">
        <f>SUM(L859:L863)</f>
        <v>116248.44</v>
      </c>
      <c r="M858" s="891"/>
      <c r="N858" s="891">
        <f>SUM(N859:N863)</f>
        <v>0</v>
      </c>
      <c r="O858" s="892">
        <f t="shared" si="52"/>
        <v>1</v>
      </c>
      <c r="P858" s="903">
        <f t="shared" si="53"/>
        <v>0</v>
      </c>
      <c r="Q858" s="893">
        <f t="shared" si="54"/>
        <v>0</v>
      </c>
      <c r="R858" s="894">
        <f t="shared" si="55"/>
        <v>5</v>
      </c>
    </row>
    <row r="859" spans="1:18" s="904" customFormat="1">
      <c r="A859" s="895"/>
      <c r="B859" s="896"/>
      <c r="C859" s="897"/>
      <c r="D859" s="897"/>
      <c r="E859" s="924" t="s">
        <v>108</v>
      </c>
      <c r="F859" s="899"/>
      <c r="G859" s="900"/>
      <c r="H859" s="901"/>
      <c r="I859" s="902"/>
      <c r="J859" s="902"/>
      <c r="K859" s="912" t="s">
        <v>274</v>
      </c>
      <c r="L859" s="902"/>
      <c r="M859" s="902"/>
      <c r="N859" s="902"/>
      <c r="O859" s="892">
        <f t="shared" si="52"/>
        <v>0</v>
      </c>
      <c r="P859" s="903">
        <f t="shared" si="53"/>
        <v>1</v>
      </c>
      <c r="Q859" s="893">
        <f t="shared" si="54"/>
        <v>5</v>
      </c>
      <c r="R859" s="894">
        <f t="shared" si="55"/>
        <v>0</v>
      </c>
    </row>
    <row r="860" spans="1:18">
      <c r="A860" s="905"/>
      <c r="B860" s="906"/>
      <c r="C860" s="907">
        <v>66</v>
      </c>
      <c r="D860" s="907" t="s">
        <v>279</v>
      </c>
      <c r="E860" s="925" t="s">
        <v>2682</v>
      </c>
      <c r="F860" s="926" t="s">
        <v>45</v>
      </c>
      <c r="G860" s="910"/>
      <c r="H860" s="911">
        <v>0.02</v>
      </c>
      <c r="I860" s="912">
        <f>VLOOKUP(E860,[3]VLP!$B$7:$K$300,10,0)</f>
        <v>5000</v>
      </c>
      <c r="J860" s="912">
        <f>I860*H860</f>
        <v>100</v>
      </c>
      <c r="K860" s="912" t="s">
        <v>274</v>
      </c>
      <c r="L860" s="912"/>
      <c r="M860" s="912"/>
      <c r="N860" s="912"/>
      <c r="O860" s="892">
        <f t="shared" si="52"/>
        <v>0</v>
      </c>
      <c r="P860" s="903">
        <f t="shared" si="53"/>
        <v>1</v>
      </c>
      <c r="Q860" s="893">
        <f t="shared" si="54"/>
        <v>4</v>
      </c>
      <c r="R860" s="894">
        <f t="shared" si="55"/>
        <v>0</v>
      </c>
    </row>
    <row r="861" spans="1:18">
      <c r="A861" s="905"/>
      <c r="B861" s="906"/>
      <c r="C861" s="907">
        <v>44</v>
      </c>
      <c r="D861" s="907" t="s">
        <v>279</v>
      </c>
      <c r="E861" s="925" t="s">
        <v>2681</v>
      </c>
      <c r="F861" s="926" t="s">
        <v>45</v>
      </c>
      <c r="G861" s="910"/>
      <c r="H861" s="911">
        <v>7.4999999999999997E-2</v>
      </c>
      <c r="I861" s="912">
        <f>VLOOKUP(E861,[3]VLP!$B$7:$K$300,10,0)</f>
        <v>23000</v>
      </c>
      <c r="J861" s="912">
        <f>I861*H861</f>
        <v>1725</v>
      </c>
      <c r="K861" s="912" t="s">
        <v>274</v>
      </c>
      <c r="L861" s="912"/>
      <c r="M861" s="912"/>
      <c r="N861" s="912"/>
      <c r="O861" s="892">
        <f t="shared" si="52"/>
        <v>0</v>
      </c>
      <c r="P861" s="903">
        <f t="shared" si="53"/>
        <v>1</v>
      </c>
      <c r="Q861" s="893">
        <f t="shared" si="54"/>
        <v>3</v>
      </c>
      <c r="R861" s="894">
        <f t="shared" si="55"/>
        <v>0</v>
      </c>
    </row>
    <row r="862" spans="1:18" s="904" customFormat="1">
      <c r="A862" s="895"/>
      <c r="B862" s="896"/>
      <c r="C862" s="897"/>
      <c r="D862" s="897"/>
      <c r="E862" s="924" t="s">
        <v>276</v>
      </c>
      <c r="F862" s="927"/>
      <c r="G862" s="928"/>
      <c r="H862" s="901"/>
      <c r="I862" s="902"/>
      <c r="J862" s="902"/>
      <c r="K862" s="912" t="s">
        <v>274</v>
      </c>
      <c r="L862" s="902"/>
      <c r="M862" s="902"/>
      <c r="N862" s="902"/>
      <c r="O862" s="892">
        <f t="shared" si="52"/>
        <v>0</v>
      </c>
      <c r="P862" s="903">
        <f t="shared" si="53"/>
        <v>1</v>
      </c>
      <c r="Q862" s="893">
        <f t="shared" si="54"/>
        <v>2</v>
      </c>
      <c r="R862" s="894">
        <f t="shared" si="55"/>
        <v>0</v>
      </c>
    </row>
    <row r="863" spans="1:18">
      <c r="A863" s="905"/>
      <c r="B863" s="906"/>
      <c r="C863" s="907">
        <v>740</v>
      </c>
      <c r="D863" s="907" t="s">
        <v>12</v>
      </c>
      <c r="E863" s="908" t="s">
        <v>4008</v>
      </c>
      <c r="F863" s="909" t="s">
        <v>2674</v>
      </c>
      <c r="G863" s="910"/>
      <c r="H863" s="911">
        <v>0.46</v>
      </c>
      <c r="I863" s="912"/>
      <c r="J863" s="912"/>
      <c r="K863" s="912">
        <f>VLOOKUP(E863,ĐMNC!$A$7:$F$67,4,0)</f>
        <v>252714</v>
      </c>
      <c r="L863" s="912">
        <f>H863*K863</f>
        <v>116248.44</v>
      </c>
      <c r="M863" s="912"/>
      <c r="N863" s="912"/>
      <c r="O863" s="892">
        <f t="shared" si="52"/>
        <v>0</v>
      </c>
      <c r="P863" s="903">
        <f t="shared" si="53"/>
        <v>1</v>
      </c>
      <c r="Q863" s="893">
        <f t="shared" si="54"/>
        <v>1</v>
      </c>
      <c r="R863" s="894">
        <f t="shared" si="55"/>
        <v>0</v>
      </c>
    </row>
    <row r="864" spans="1:18" s="847" customFormat="1" ht="31.5">
      <c r="A864" s="905"/>
      <c r="B864" s="914" t="s">
        <v>4213</v>
      </c>
      <c r="C864" s="915"/>
      <c r="D864" s="915"/>
      <c r="E864" s="916" t="s">
        <v>4214</v>
      </c>
      <c r="F864" s="917" t="s">
        <v>249</v>
      </c>
      <c r="G864" s="918"/>
      <c r="H864" s="919"/>
      <c r="I864" s="920"/>
      <c r="J864" s="891">
        <f>SUM(J865:J869)</f>
        <v>1825</v>
      </c>
      <c r="K864" s="891"/>
      <c r="L864" s="891">
        <f>SUM(L865:L869)</f>
        <v>133938.42000000001</v>
      </c>
      <c r="M864" s="891"/>
      <c r="N864" s="891">
        <f>SUM(N865:N869)</f>
        <v>0</v>
      </c>
      <c r="O864" s="892">
        <f t="shared" si="52"/>
        <v>1</v>
      </c>
      <c r="P864" s="903">
        <f t="shared" si="53"/>
        <v>0</v>
      </c>
      <c r="Q864" s="893">
        <f t="shared" si="54"/>
        <v>0</v>
      </c>
      <c r="R864" s="894">
        <f t="shared" si="55"/>
        <v>5</v>
      </c>
    </row>
    <row r="865" spans="1:18" s="904" customFormat="1">
      <c r="A865" s="895"/>
      <c r="B865" s="896"/>
      <c r="C865" s="897"/>
      <c r="D865" s="897"/>
      <c r="E865" s="924" t="s">
        <v>108</v>
      </c>
      <c r="F865" s="899"/>
      <c r="G865" s="900"/>
      <c r="H865" s="901"/>
      <c r="I865" s="902"/>
      <c r="J865" s="902"/>
      <c r="K865" s="912" t="s">
        <v>274</v>
      </c>
      <c r="L865" s="902"/>
      <c r="M865" s="902"/>
      <c r="N865" s="902"/>
      <c r="O865" s="892">
        <f t="shared" si="52"/>
        <v>0</v>
      </c>
      <c r="P865" s="903">
        <f t="shared" si="53"/>
        <v>1</v>
      </c>
      <c r="Q865" s="893">
        <f t="shared" si="54"/>
        <v>5</v>
      </c>
      <c r="R865" s="894">
        <f t="shared" si="55"/>
        <v>0</v>
      </c>
    </row>
    <row r="866" spans="1:18">
      <c r="A866" s="905"/>
      <c r="B866" s="906"/>
      <c r="C866" s="907">
        <v>66</v>
      </c>
      <c r="D866" s="907" t="s">
        <v>279</v>
      </c>
      <c r="E866" s="925" t="s">
        <v>2682</v>
      </c>
      <c r="F866" s="926" t="s">
        <v>45</v>
      </c>
      <c r="G866" s="910"/>
      <c r="H866" s="911">
        <v>0.02</v>
      </c>
      <c r="I866" s="912">
        <f>VLOOKUP(E866,[3]VLP!$B$7:$K$300,10,0)</f>
        <v>5000</v>
      </c>
      <c r="J866" s="912">
        <f>I866*H866</f>
        <v>100</v>
      </c>
      <c r="K866" s="912" t="s">
        <v>274</v>
      </c>
      <c r="L866" s="912"/>
      <c r="M866" s="912"/>
      <c r="N866" s="912"/>
      <c r="O866" s="892">
        <f t="shared" si="52"/>
        <v>0</v>
      </c>
      <c r="P866" s="903">
        <f t="shared" si="53"/>
        <v>1</v>
      </c>
      <c r="Q866" s="893">
        <f t="shared" si="54"/>
        <v>4</v>
      </c>
      <c r="R866" s="894">
        <f t="shared" si="55"/>
        <v>0</v>
      </c>
    </row>
    <row r="867" spans="1:18">
      <c r="A867" s="905"/>
      <c r="B867" s="906"/>
      <c r="C867" s="907">
        <v>44</v>
      </c>
      <c r="D867" s="907" t="s">
        <v>279</v>
      </c>
      <c r="E867" s="925" t="s">
        <v>2681</v>
      </c>
      <c r="F867" s="926" t="s">
        <v>45</v>
      </c>
      <c r="G867" s="910"/>
      <c r="H867" s="911">
        <v>7.4999999999999997E-2</v>
      </c>
      <c r="I867" s="912">
        <f>VLOOKUP(E867,[3]VLP!$B$7:$K$300,10,0)</f>
        <v>23000</v>
      </c>
      <c r="J867" s="912">
        <f>I867*H867</f>
        <v>1725</v>
      </c>
      <c r="K867" s="912" t="s">
        <v>274</v>
      </c>
      <c r="L867" s="912"/>
      <c r="M867" s="912"/>
      <c r="N867" s="912"/>
      <c r="O867" s="892">
        <f t="shared" si="52"/>
        <v>0</v>
      </c>
      <c r="P867" s="903">
        <f t="shared" si="53"/>
        <v>1</v>
      </c>
      <c r="Q867" s="893">
        <f t="shared" si="54"/>
        <v>3</v>
      </c>
      <c r="R867" s="894">
        <f t="shared" si="55"/>
        <v>0</v>
      </c>
    </row>
    <row r="868" spans="1:18" s="904" customFormat="1">
      <c r="A868" s="895"/>
      <c r="B868" s="896"/>
      <c r="C868" s="897"/>
      <c r="D868" s="897"/>
      <c r="E868" s="924" t="s">
        <v>276</v>
      </c>
      <c r="F868" s="927"/>
      <c r="G868" s="928"/>
      <c r="H868" s="901"/>
      <c r="I868" s="902"/>
      <c r="J868" s="902"/>
      <c r="K868" s="912" t="s">
        <v>274</v>
      </c>
      <c r="L868" s="902"/>
      <c r="M868" s="902"/>
      <c r="N868" s="902"/>
      <c r="O868" s="892">
        <f t="shared" si="52"/>
        <v>0</v>
      </c>
      <c r="P868" s="903">
        <f t="shared" si="53"/>
        <v>1</v>
      </c>
      <c r="Q868" s="893">
        <f t="shared" si="54"/>
        <v>2</v>
      </c>
      <c r="R868" s="894">
        <f t="shared" si="55"/>
        <v>0</v>
      </c>
    </row>
    <row r="869" spans="1:18">
      <c r="A869" s="905"/>
      <c r="B869" s="906"/>
      <c r="C869" s="907">
        <v>740</v>
      </c>
      <c r="D869" s="907" t="s">
        <v>12</v>
      </c>
      <c r="E869" s="908" t="s">
        <v>4008</v>
      </c>
      <c r="F869" s="909" t="s">
        <v>2674</v>
      </c>
      <c r="G869" s="910"/>
      <c r="H869" s="911">
        <v>0.53</v>
      </c>
      <c r="I869" s="912"/>
      <c r="J869" s="912"/>
      <c r="K869" s="912">
        <f>VLOOKUP(E869,ĐMNC!$A$7:$F$67,4,0)</f>
        <v>252714</v>
      </c>
      <c r="L869" s="912">
        <f>H869*K869</f>
        <v>133938.42000000001</v>
      </c>
      <c r="M869" s="912"/>
      <c r="N869" s="912"/>
      <c r="O869" s="892">
        <f t="shared" si="52"/>
        <v>0</v>
      </c>
      <c r="P869" s="903">
        <f t="shared" si="53"/>
        <v>1</v>
      </c>
      <c r="Q869" s="893">
        <f t="shared" si="54"/>
        <v>1</v>
      </c>
      <c r="R869" s="894">
        <f t="shared" si="55"/>
        <v>0</v>
      </c>
    </row>
    <row r="870" spans="1:18" s="847" customFormat="1" ht="31.5">
      <c r="A870" s="905"/>
      <c r="B870" s="914" t="s">
        <v>4215</v>
      </c>
      <c r="C870" s="915"/>
      <c r="D870" s="915"/>
      <c r="E870" s="916" t="s">
        <v>4216</v>
      </c>
      <c r="F870" s="917" t="s">
        <v>249</v>
      </c>
      <c r="G870" s="918"/>
      <c r="H870" s="919"/>
      <c r="I870" s="920"/>
      <c r="J870" s="891">
        <f>SUM(J871:J875)</f>
        <v>1825</v>
      </c>
      <c r="K870" s="891"/>
      <c r="L870" s="891">
        <f>SUM(L871:L875)</f>
        <v>146574.12</v>
      </c>
      <c r="M870" s="891"/>
      <c r="N870" s="891">
        <f>SUM(N871:N875)</f>
        <v>0</v>
      </c>
      <c r="O870" s="892">
        <f t="shared" si="52"/>
        <v>1</v>
      </c>
      <c r="P870" s="903">
        <f t="shared" si="53"/>
        <v>0</v>
      </c>
      <c r="Q870" s="893">
        <f t="shared" si="54"/>
        <v>0</v>
      </c>
      <c r="R870" s="894">
        <f t="shared" si="55"/>
        <v>5</v>
      </c>
    </row>
    <row r="871" spans="1:18" s="904" customFormat="1">
      <c r="A871" s="895"/>
      <c r="B871" s="896"/>
      <c r="C871" s="897"/>
      <c r="D871" s="897"/>
      <c r="E871" s="924" t="s">
        <v>108</v>
      </c>
      <c r="F871" s="899"/>
      <c r="G871" s="900"/>
      <c r="H871" s="901"/>
      <c r="I871" s="902"/>
      <c r="J871" s="902"/>
      <c r="K871" s="912" t="s">
        <v>274</v>
      </c>
      <c r="L871" s="902"/>
      <c r="M871" s="902"/>
      <c r="N871" s="902"/>
      <c r="O871" s="892">
        <f t="shared" si="52"/>
        <v>0</v>
      </c>
      <c r="P871" s="903">
        <f t="shared" si="53"/>
        <v>1</v>
      </c>
      <c r="Q871" s="893">
        <f t="shared" si="54"/>
        <v>5</v>
      </c>
      <c r="R871" s="894">
        <f t="shared" si="55"/>
        <v>0</v>
      </c>
    </row>
    <row r="872" spans="1:18">
      <c r="A872" s="905"/>
      <c r="B872" s="906"/>
      <c r="C872" s="907">
        <v>66</v>
      </c>
      <c r="D872" s="907" t="s">
        <v>279</v>
      </c>
      <c r="E872" s="925" t="s">
        <v>2682</v>
      </c>
      <c r="F872" s="926" t="s">
        <v>45</v>
      </c>
      <c r="G872" s="910"/>
      <c r="H872" s="911">
        <v>0.02</v>
      </c>
      <c r="I872" s="912">
        <f>VLOOKUP(E872,[3]VLP!$B$7:$K$300,10,0)</f>
        <v>5000</v>
      </c>
      <c r="J872" s="912">
        <f>I872*H872</f>
        <v>100</v>
      </c>
      <c r="K872" s="912" t="s">
        <v>274</v>
      </c>
      <c r="L872" s="912"/>
      <c r="M872" s="912"/>
      <c r="N872" s="912"/>
      <c r="O872" s="892">
        <f t="shared" si="52"/>
        <v>0</v>
      </c>
      <c r="P872" s="903">
        <f t="shared" si="53"/>
        <v>1</v>
      </c>
      <c r="Q872" s="893">
        <f t="shared" si="54"/>
        <v>4</v>
      </c>
      <c r="R872" s="894">
        <f t="shared" si="55"/>
        <v>0</v>
      </c>
    </row>
    <row r="873" spans="1:18">
      <c r="A873" s="905"/>
      <c r="B873" s="906"/>
      <c r="C873" s="907">
        <v>44</v>
      </c>
      <c r="D873" s="907" t="s">
        <v>279</v>
      </c>
      <c r="E873" s="925" t="s">
        <v>2681</v>
      </c>
      <c r="F873" s="926" t="s">
        <v>45</v>
      </c>
      <c r="G873" s="910"/>
      <c r="H873" s="911">
        <v>7.4999999999999997E-2</v>
      </c>
      <c r="I873" s="912">
        <f>VLOOKUP(E873,[3]VLP!$B$7:$K$300,10,0)</f>
        <v>23000</v>
      </c>
      <c r="J873" s="912">
        <f>I873*H873</f>
        <v>1725</v>
      </c>
      <c r="K873" s="912" t="s">
        <v>274</v>
      </c>
      <c r="L873" s="912"/>
      <c r="M873" s="912"/>
      <c r="N873" s="912"/>
      <c r="O873" s="892">
        <f t="shared" si="52"/>
        <v>0</v>
      </c>
      <c r="P873" s="903">
        <f t="shared" si="53"/>
        <v>1</v>
      </c>
      <c r="Q873" s="893">
        <f t="shared" si="54"/>
        <v>3</v>
      </c>
      <c r="R873" s="894">
        <f t="shared" si="55"/>
        <v>0</v>
      </c>
    </row>
    <row r="874" spans="1:18" s="904" customFormat="1">
      <c r="A874" s="895"/>
      <c r="B874" s="896"/>
      <c r="C874" s="897"/>
      <c r="D874" s="897"/>
      <c r="E874" s="924" t="s">
        <v>276</v>
      </c>
      <c r="F874" s="927"/>
      <c r="G874" s="928"/>
      <c r="H874" s="901"/>
      <c r="I874" s="902"/>
      <c r="J874" s="902"/>
      <c r="K874" s="912" t="s">
        <v>274</v>
      </c>
      <c r="L874" s="902"/>
      <c r="M874" s="902"/>
      <c r="N874" s="902"/>
      <c r="O874" s="892">
        <f t="shared" si="52"/>
        <v>0</v>
      </c>
      <c r="P874" s="903">
        <f t="shared" si="53"/>
        <v>1</v>
      </c>
      <c r="Q874" s="893">
        <f t="shared" si="54"/>
        <v>2</v>
      </c>
      <c r="R874" s="894">
        <f t="shared" si="55"/>
        <v>0</v>
      </c>
    </row>
    <row r="875" spans="1:18">
      <c r="A875" s="905"/>
      <c r="B875" s="906"/>
      <c r="C875" s="907">
        <v>740</v>
      </c>
      <c r="D875" s="907" t="s">
        <v>12</v>
      </c>
      <c r="E875" s="908" t="s">
        <v>4008</v>
      </c>
      <c r="F875" s="909" t="s">
        <v>2674</v>
      </c>
      <c r="G875" s="910"/>
      <c r="H875" s="911">
        <v>0.57999999999999996</v>
      </c>
      <c r="I875" s="912"/>
      <c r="J875" s="912"/>
      <c r="K875" s="912">
        <f>VLOOKUP(E875,ĐMNC!$A$7:$F$67,4,0)</f>
        <v>252714</v>
      </c>
      <c r="L875" s="912">
        <f>H875*K875</f>
        <v>146574.12</v>
      </c>
      <c r="M875" s="912"/>
      <c r="N875" s="912"/>
      <c r="O875" s="892">
        <f t="shared" si="52"/>
        <v>0</v>
      </c>
      <c r="P875" s="903">
        <f t="shared" si="53"/>
        <v>1</v>
      </c>
      <c r="Q875" s="893">
        <f t="shared" si="54"/>
        <v>1</v>
      </c>
      <c r="R875" s="894">
        <f t="shared" si="55"/>
        <v>0</v>
      </c>
    </row>
    <row r="876" spans="1:18" s="847" customFormat="1" ht="31.5">
      <c r="A876" s="905"/>
      <c r="B876" s="914" t="s">
        <v>4217</v>
      </c>
      <c r="C876" s="915"/>
      <c r="D876" s="915"/>
      <c r="E876" s="916" t="s">
        <v>4218</v>
      </c>
      <c r="F876" s="917" t="s">
        <v>249</v>
      </c>
      <c r="G876" s="918"/>
      <c r="H876" s="919"/>
      <c r="I876" s="920"/>
      <c r="J876" s="891">
        <f>SUM(J877:J881)</f>
        <v>1825</v>
      </c>
      <c r="K876" s="891"/>
      <c r="L876" s="891">
        <f>SUM(L877:L881)</f>
        <v>161736.95999999999</v>
      </c>
      <c r="M876" s="891"/>
      <c r="N876" s="891">
        <f>SUM(N877:N881)</f>
        <v>0</v>
      </c>
      <c r="O876" s="892">
        <f t="shared" si="52"/>
        <v>1</v>
      </c>
      <c r="P876" s="903">
        <f t="shared" si="53"/>
        <v>0</v>
      </c>
      <c r="Q876" s="893">
        <f t="shared" si="54"/>
        <v>0</v>
      </c>
      <c r="R876" s="894">
        <f t="shared" si="55"/>
        <v>5</v>
      </c>
    </row>
    <row r="877" spans="1:18" s="904" customFormat="1">
      <c r="A877" s="895"/>
      <c r="B877" s="896"/>
      <c r="C877" s="897"/>
      <c r="D877" s="897"/>
      <c r="E877" s="924" t="s">
        <v>108</v>
      </c>
      <c r="F877" s="899"/>
      <c r="G877" s="900"/>
      <c r="H877" s="901"/>
      <c r="I877" s="902"/>
      <c r="J877" s="902"/>
      <c r="K877" s="912" t="s">
        <v>274</v>
      </c>
      <c r="L877" s="902"/>
      <c r="M877" s="902"/>
      <c r="N877" s="902"/>
      <c r="O877" s="892">
        <f t="shared" si="52"/>
        <v>0</v>
      </c>
      <c r="P877" s="903">
        <f t="shared" si="53"/>
        <v>1</v>
      </c>
      <c r="Q877" s="893">
        <f t="shared" si="54"/>
        <v>5</v>
      </c>
      <c r="R877" s="894">
        <f t="shared" si="55"/>
        <v>0</v>
      </c>
    </row>
    <row r="878" spans="1:18">
      <c r="A878" s="905"/>
      <c r="B878" s="906"/>
      <c r="C878" s="907">
        <v>66</v>
      </c>
      <c r="D878" s="907" t="s">
        <v>279</v>
      </c>
      <c r="E878" s="925" t="s">
        <v>2682</v>
      </c>
      <c r="F878" s="926" t="s">
        <v>45</v>
      </c>
      <c r="G878" s="910"/>
      <c r="H878" s="911">
        <v>0.02</v>
      </c>
      <c r="I878" s="912">
        <f>VLOOKUP(E878,[3]VLP!$B$7:$K$300,10,0)</f>
        <v>5000</v>
      </c>
      <c r="J878" s="912">
        <f>I878*H878</f>
        <v>100</v>
      </c>
      <c r="K878" s="912" t="s">
        <v>274</v>
      </c>
      <c r="L878" s="912"/>
      <c r="M878" s="912"/>
      <c r="N878" s="912"/>
      <c r="O878" s="892">
        <f t="shared" si="52"/>
        <v>0</v>
      </c>
      <c r="P878" s="903">
        <f t="shared" si="53"/>
        <v>1</v>
      </c>
      <c r="Q878" s="893">
        <f t="shared" si="54"/>
        <v>4</v>
      </c>
      <c r="R878" s="894">
        <f t="shared" si="55"/>
        <v>0</v>
      </c>
    </row>
    <row r="879" spans="1:18">
      <c r="A879" s="905"/>
      <c r="B879" s="906"/>
      <c r="C879" s="907">
        <v>44</v>
      </c>
      <c r="D879" s="907" t="s">
        <v>279</v>
      </c>
      <c r="E879" s="925" t="s">
        <v>2681</v>
      </c>
      <c r="F879" s="926" t="s">
        <v>45</v>
      </c>
      <c r="G879" s="910"/>
      <c r="H879" s="911">
        <v>7.4999999999999997E-2</v>
      </c>
      <c r="I879" s="912">
        <f>VLOOKUP(E879,[3]VLP!$B$7:$K$300,10,0)</f>
        <v>23000</v>
      </c>
      <c r="J879" s="912">
        <f>I879*H879</f>
        <v>1725</v>
      </c>
      <c r="K879" s="912" t="s">
        <v>274</v>
      </c>
      <c r="L879" s="912"/>
      <c r="M879" s="912"/>
      <c r="N879" s="912"/>
      <c r="O879" s="892">
        <f t="shared" si="52"/>
        <v>0</v>
      </c>
      <c r="P879" s="903">
        <f t="shared" si="53"/>
        <v>1</v>
      </c>
      <c r="Q879" s="893">
        <f t="shared" si="54"/>
        <v>3</v>
      </c>
      <c r="R879" s="894">
        <f t="shared" si="55"/>
        <v>0</v>
      </c>
    </row>
    <row r="880" spans="1:18" s="904" customFormat="1">
      <c r="A880" s="895"/>
      <c r="B880" s="896"/>
      <c r="C880" s="897"/>
      <c r="D880" s="897"/>
      <c r="E880" s="924" t="s">
        <v>276</v>
      </c>
      <c r="F880" s="927"/>
      <c r="G880" s="928"/>
      <c r="H880" s="901"/>
      <c r="I880" s="902"/>
      <c r="J880" s="902"/>
      <c r="K880" s="912" t="s">
        <v>274</v>
      </c>
      <c r="L880" s="902"/>
      <c r="M880" s="902"/>
      <c r="N880" s="902"/>
      <c r="O880" s="892">
        <f t="shared" si="52"/>
        <v>0</v>
      </c>
      <c r="P880" s="903">
        <f t="shared" si="53"/>
        <v>1</v>
      </c>
      <c r="Q880" s="893">
        <f t="shared" si="54"/>
        <v>2</v>
      </c>
      <c r="R880" s="894">
        <f t="shared" si="55"/>
        <v>0</v>
      </c>
    </row>
    <row r="881" spans="1:18">
      <c r="A881" s="905"/>
      <c r="B881" s="906"/>
      <c r="C881" s="907">
        <v>740</v>
      </c>
      <c r="D881" s="907" t="s">
        <v>12</v>
      </c>
      <c r="E881" s="908" t="s">
        <v>4008</v>
      </c>
      <c r="F881" s="909" t="s">
        <v>2674</v>
      </c>
      <c r="G881" s="910"/>
      <c r="H881" s="911">
        <v>0.64</v>
      </c>
      <c r="I881" s="912"/>
      <c r="J881" s="912"/>
      <c r="K881" s="912">
        <f>VLOOKUP(E881,ĐMNC!$A$7:$F$67,4,0)</f>
        <v>252714</v>
      </c>
      <c r="L881" s="912">
        <f>H881*K881</f>
        <v>161736.95999999999</v>
      </c>
      <c r="M881" s="912"/>
      <c r="N881" s="912"/>
      <c r="O881" s="892">
        <f t="shared" si="52"/>
        <v>0</v>
      </c>
      <c r="P881" s="903">
        <f t="shared" si="53"/>
        <v>1</v>
      </c>
      <c r="Q881" s="893">
        <f t="shared" si="54"/>
        <v>1</v>
      </c>
      <c r="R881" s="894">
        <f t="shared" si="55"/>
        <v>0</v>
      </c>
    </row>
    <row r="882" spans="1:18" s="847" customFormat="1" ht="31.5">
      <c r="A882" s="905"/>
      <c r="B882" s="914" t="s">
        <v>4219</v>
      </c>
      <c r="C882" s="915"/>
      <c r="D882" s="915"/>
      <c r="E882" s="916" t="s">
        <v>4220</v>
      </c>
      <c r="F882" s="917" t="s">
        <v>249</v>
      </c>
      <c r="G882" s="918"/>
      <c r="H882" s="919"/>
      <c r="I882" s="920"/>
      <c r="J882" s="891">
        <f>SUM(J883:J887)</f>
        <v>1825</v>
      </c>
      <c r="K882" s="891"/>
      <c r="L882" s="891">
        <f>SUM(L883:L887)</f>
        <v>187008.36</v>
      </c>
      <c r="M882" s="891"/>
      <c r="N882" s="891">
        <f>SUM(N883:N887)</f>
        <v>0</v>
      </c>
      <c r="O882" s="892">
        <f t="shared" si="52"/>
        <v>1</v>
      </c>
      <c r="P882" s="903">
        <f t="shared" si="53"/>
        <v>0</v>
      </c>
      <c r="Q882" s="893">
        <f t="shared" si="54"/>
        <v>0</v>
      </c>
      <c r="R882" s="894">
        <f t="shared" si="55"/>
        <v>5</v>
      </c>
    </row>
    <row r="883" spans="1:18" s="904" customFormat="1">
      <c r="A883" s="895"/>
      <c r="B883" s="896"/>
      <c r="C883" s="897"/>
      <c r="D883" s="897"/>
      <c r="E883" s="924" t="s">
        <v>108</v>
      </c>
      <c r="F883" s="899"/>
      <c r="G883" s="900"/>
      <c r="H883" s="901"/>
      <c r="I883" s="902"/>
      <c r="J883" s="902"/>
      <c r="K883" s="912" t="s">
        <v>274</v>
      </c>
      <c r="L883" s="902"/>
      <c r="M883" s="902"/>
      <c r="N883" s="902"/>
      <c r="O883" s="892">
        <f t="shared" si="52"/>
        <v>0</v>
      </c>
      <c r="P883" s="903">
        <f t="shared" si="53"/>
        <v>1</v>
      </c>
      <c r="Q883" s="893">
        <f t="shared" si="54"/>
        <v>5</v>
      </c>
      <c r="R883" s="894">
        <f t="shared" si="55"/>
        <v>0</v>
      </c>
    </row>
    <row r="884" spans="1:18">
      <c r="A884" s="905"/>
      <c r="B884" s="906"/>
      <c r="C884" s="907">
        <v>66</v>
      </c>
      <c r="D884" s="907" t="s">
        <v>279</v>
      </c>
      <c r="E884" s="925" t="s">
        <v>2682</v>
      </c>
      <c r="F884" s="926" t="s">
        <v>45</v>
      </c>
      <c r="G884" s="910"/>
      <c r="H884" s="911">
        <v>0.02</v>
      </c>
      <c r="I884" s="912">
        <f>VLOOKUP(E884,[3]VLP!$B$7:$K$300,10,0)</f>
        <v>5000</v>
      </c>
      <c r="J884" s="912">
        <f>I884*H884</f>
        <v>100</v>
      </c>
      <c r="K884" s="912" t="s">
        <v>274</v>
      </c>
      <c r="L884" s="912"/>
      <c r="M884" s="912"/>
      <c r="N884" s="912"/>
      <c r="O884" s="892">
        <f t="shared" si="52"/>
        <v>0</v>
      </c>
      <c r="P884" s="903">
        <f t="shared" si="53"/>
        <v>1</v>
      </c>
      <c r="Q884" s="893">
        <f t="shared" si="54"/>
        <v>4</v>
      </c>
      <c r="R884" s="894">
        <f t="shared" si="55"/>
        <v>0</v>
      </c>
    </row>
    <row r="885" spans="1:18">
      <c r="A885" s="905"/>
      <c r="B885" s="906"/>
      <c r="C885" s="907">
        <v>44</v>
      </c>
      <c r="D885" s="907" t="s">
        <v>279</v>
      </c>
      <c r="E885" s="925" t="s">
        <v>2681</v>
      </c>
      <c r="F885" s="926" t="s">
        <v>45</v>
      </c>
      <c r="G885" s="910"/>
      <c r="H885" s="911">
        <v>7.4999999999999997E-2</v>
      </c>
      <c r="I885" s="912">
        <f>VLOOKUP(E885,[3]VLP!$B$7:$K$300,10,0)</f>
        <v>23000</v>
      </c>
      <c r="J885" s="912">
        <f>I885*H885</f>
        <v>1725</v>
      </c>
      <c r="K885" s="912" t="s">
        <v>274</v>
      </c>
      <c r="L885" s="912"/>
      <c r="M885" s="912"/>
      <c r="N885" s="912"/>
      <c r="O885" s="892">
        <f t="shared" si="52"/>
        <v>0</v>
      </c>
      <c r="P885" s="903">
        <f t="shared" si="53"/>
        <v>1</v>
      </c>
      <c r="Q885" s="893">
        <f t="shared" si="54"/>
        <v>3</v>
      </c>
      <c r="R885" s="894">
        <f t="shared" si="55"/>
        <v>0</v>
      </c>
    </row>
    <row r="886" spans="1:18" s="904" customFormat="1">
      <c r="A886" s="895"/>
      <c r="B886" s="896"/>
      <c r="C886" s="897"/>
      <c r="D886" s="897"/>
      <c r="E886" s="924" t="s">
        <v>276</v>
      </c>
      <c r="F886" s="927"/>
      <c r="G886" s="928"/>
      <c r="H886" s="901"/>
      <c r="I886" s="902"/>
      <c r="J886" s="902"/>
      <c r="K886" s="912" t="s">
        <v>274</v>
      </c>
      <c r="L886" s="902"/>
      <c r="M886" s="902"/>
      <c r="N886" s="902"/>
      <c r="O886" s="892">
        <f t="shared" si="52"/>
        <v>0</v>
      </c>
      <c r="P886" s="903">
        <f t="shared" si="53"/>
        <v>1</v>
      </c>
      <c r="Q886" s="893">
        <f t="shared" si="54"/>
        <v>2</v>
      </c>
      <c r="R886" s="894">
        <f t="shared" si="55"/>
        <v>0</v>
      </c>
    </row>
    <row r="887" spans="1:18">
      <c r="A887" s="905"/>
      <c r="B887" s="906"/>
      <c r="C887" s="907">
        <v>740</v>
      </c>
      <c r="D887" s="907" t="s">
        <v>12</v>
      </c>
      <c r="E887" s="908" t="s">
        <v>4008</v>
      </c>
      <c r="F887" s="909" t="s">
        <v>2674</v>
      </c>
      <c r="G887" s="910"/>
      <c r="H887" s="911">
        <v>0.74</v>
      </c>
      <c r="I887" s="912"/>
      <c r="J887" s="912"/>
      <c r="K887" s="912">
        <f>VLOOKUP(E887,ĐMNC!$A$7:$F$67,4,0)</f>
        <v>252714</v>
      </c>
      <c r="L887" s="912">
        <f>H887*K887</f>
        <v>187008.36</v>
      </c>
      <c r="M887" s="912"/>
      <c r="N887" s="912"/>
      <c r="O887" s="892">
        <f t="shared" si="52"/>
        <v>0</v>
      </c>
      <c r="P887" s="903">
        <f t="shared" si="53"/>
        <v>1</v>
      </c>
      <c r="Q887" s="893">
        <f t="shared" si="54"/>
        <v>1</v>
      </c>
      <c r="R887" s="894">
        <f t="shared" si="55"/>
        <v>0</v>
      </c>
    </row>
    <row r="888" spans="1:18" s="847" customFormat="1" ht="31.5">
      <c r="A888" s="905"/>
      <c r="B888" s="914" t="s">
        <v>4221</v>
      </c>
      <c r="C888" s="915"/>
      <c r="D888" s="915"/>
      <c r="E888" s="916" t="s">
        <v>4222</v>
      </c>
      <c r="F888" s="917" t="s">
        <v>249</v>
      </c>
      <c r="G888" s="918"/>
      <c r="H888" s="919"/>
      <c r="I888" s="920"/>
      <c r="J888" s="891">
        <f>SUM(J889:J893)</f>
        <v>1825</v>
      </c>
      <c r="K888" s="891"/>
      <c r="L888" s="891">
        <f>SUM(L889:L893)</f>
        <v>214806.9</v>
      </c>
      <c r="M888" s="891"/>
      <c r="N888" s="891">
        <f>SUM(N889:N893)</f>
        <v>0</v>
      </c>
      <c r="O888" s="892">
        <f t="shared" si="52"/>
        <v>1</v>
      </c>
      <c r="P888" s="903">
        <f t="shared" si="53"/>
        <v>0</v>
      </c>
      <c r="Q888" s="893">
        <f t="shared" si="54"/>
        <v>0</v>
      </c>
      <c r="R888" s="894">
        <f t="shared" si="55"/>
        <v>5</v>
      </c>
    </row>
    <row r="889" spans="1:18" s="904" customFormat="1">
      <c r="A889" s="895"/>
      <c r="B889" s="896"/>
      <c r="C889" s="897"/>
      <c r="D889" s="897"/>
      <c r="E889" s="924" t="s">
        <v>108</v>
      </c>
      <c r="F889" s="899"/>
      <c r="G889" s="900"/>
      <c r="H889" s="901"/>
      <c r="I889" s="902"/>
      <c r="J889" s="902"/>
      <c r="K889" s="912" t="s">
        <v>274</v>
      </c>
      <c r="L889" s="902"/>
      <c r="M889" s="902"/>
      <c r="N889" s="902"/>
      <c r="O889" s="892">
        <f t="shared" si="52"/>
        <v>0</v>
      </c>
      <c r="P889" s="903">
        <f t="shared" si="53"/>
        <v>1</v>
      </c>
      <c r="Q889" s="893">
        <f t="shared" si="54"/>
        <v>5</v>
      </c>
      <c r="R889" s="894">
        <f t="shared" si="55"/>
        <v>0</v>
      </c>
    </row>
    <row r="890" spans="1:18">
      <c r="A890" s="905"/>
      <c r="B890" s="906"/>
      <c r="C890" s="907">
        <v>66</v>
      </c>
      <c r="D890" s="907" t="s">
        <v>279</v>
      </c>
      <c r="E890" s="925" t="s">
        <v>2682</v>
      </c>
      <c r="F890" s="926" t="s">
        <v>45</v>
      </c>
      <c r="G890" s="910"/>
      <c r="H890" s="911">
        <v>0.02</v>
      </c>
      <c r="I890" s="912">
        <f>VLOOKUP(E890,[3]VLP!$B$7:$K$300,10,0)</f>
        <v>5000</v>
      </c>
      <c r="J890" s="912">
        <f>I890*H890</f>
        <v>100</v>
      </c>
      <c r="K890" s="912" t="s">
        <v>274</v>
      </c>
      <c r="L890" s="912"/>
      <c r="M890" s="912"/>
      <c r="N890" s="912"/>
      <c r="O890" s="892">
        <f t="shared" si="52"/>
        <v>0</v>
      </c>
      <c r="P890" s="903">
        <f t="shared" si="53"/>
        <v>1</v>
      </c>
      <c r="Q890" s="893">
        <f t="shared" si="54"/>
        <v>4</v>
      </c>
      <c r="R890" s="894">
        <f t="shared" si="55"/>
        <v>0</v>
      </c>
    </row>
    <row r="891" spans="1:18">
      <c r="A891" s="905"/>
      <c r="B891" s="906"/>
      <c r="C891" s="907">
        <v>44</v>
      </c>
      <c r="D891" s="907" t="s">
        <v>279</v>
      </c>
      <c r="E891" s="925" t="s">
        <v>2681</v>
      </c>
      <c r="F891" s="926" t="s">
        <v>45</v>
      </c>
      <c r="G891" s="910"/>
      <c r="H891" s="911">
        <v>7.4999999999999997E-2</v>
      </c>
      <c r="I891" s="912">
        <f>VLOOKUP(E891,[3]VLP!$B$7:$K$300,10,0)</f>
        <v>23000</v>
      </c>
      <c r="J891" s="912">
        <f>I891*H891</f>
        <v>1725</v>
      </c>
      <c r="K891" s="912" t="s">
        <v>274</v>
      </c>
      <c r="L891" s="912"/>
      <c r="M891" s="912"/>
      <c r="N891" s="912"/>
      <c r="O891" s="892">
        <f t="shared" si="52"/>
        <v>0</v>
      </c>
      <c r="P891" s="903">
        <f t="shared" si="53"/>
        <v>1</v>
      </c>
      <c r="Q891" s="893">
        <f t="shared" si="54"/>
        <v>3</v>
      </c>
      <c r="R891" s="894">
        <f t="shared" si="55"/>
        <v>0</v>
      </c>
    </row>
    <row r="892" spans="1:18" s="904" customFormat="1">
      <c r="A892" s="895"/>
      <c r="B892" s="896"/>
      <c r="C892" s="897"/>
      <c r="D892" s="897"/>
      <c r="E892" s="924" t="s">
        <v>276</v>
      </c>
      <c r="F892" s="927"/>
      <c r="G892" s="928"/>
      <c r="H892" s="901"/>
      <c r="I892" s="902"/>
      <c r="J892" s="902"/>
      <c r="K892" s="912" t="s">
        <v>274</v>
      </c>
      <c r="L892" s="902"/>
      <c r="M892" s="902"/>
      <c r="N892" s="902"/>
      <c r="O892" s="892">
        <f t="shared" si="52"/>
        <v>0</v>
      </c>
      <c r="P892" s="903">
        <f t="shared" si="53"/>
        <v>1</v>
      </c>
      <c r="Q892" s="893">
        <f t="shared" si="54"/>
        <v>2</v>
      </c>
      <c r="R892" s="894">
        <f t="shared" si="55"/>
        <v>0</v>
      </c>
    </row>
    <row r="893" spans="1:18">
      <c r="A893" s="905"/>
      <c r="B893" s="906"/>
      <c r="C893" s="907">
        <v>740</v>
      </c>
      <c r="D893" s="907" t="s">
        <v>12</v>
      </c>
      <c r="E893" s="908" t="s">
        <v>4008</v>
      </c>
      <c r="F893" s="909" t="s">
        <v>2674</v>
      </c>
      <c r="G893" s="910"/>
      <c r="H893" s="911">
        <v>0.85</v>
      </c>
      <c r="I893" s="912"/>
      <c r="J893" s="912"/>
      <c r="K893" s="912">
        <f>VLOOKUP(E893,ĐMNC!$A$7:$F$67,4,0)</f>
        <v>252714</v>
      </c>
      <c r="L893" s="912">
        <f>H893*K893</f>
        <v>214806.9</v>
      </c>
      <c r="M893" s="912"/>
      <c r="N893" s="912"/>
      <c r="O893" s="892">
        <f t="shared" si="52"/>
        <v>0</v>
      </c>
      <c r="P893" s="903">
        <f t="shared" si="53"/>
        <v>1</v>
      </c>
      <c r="Q893" s="893">
        <f t="shared" si="54"/>
        <v>1</v>
      </c>
      <c r="R893" s="894">
        <f t="shared" si="55"/>
        <v>0</v>
      </c>
    </row>
    <row r="894" spans="1:18" s="847" customFormat="1" ht="31.5">
      <c r="A894" s="905"/>
      <c r="B894" s="914" t="s">
        <v>1156</v>
      </c>
      <c r="C894" s="915"/>
      <c r="D894" s="915"/>
      <c r="E894" s="916" t="s">
        <v>4223</v>
      </c>
      <c r="F894" s="917" t="s">
        <v>249</v>
      </c>
      <c r="G894" s="918"/>
      <c r="H894" s="919"/>
      <c r="I894" s="920"/>
      <c r="J894" s="891">
        <f>SUM(J895:J899)</f>
        <v>2910</v>
      </c>
      <c r="K894" s="891"/>
      <c r="L894" s="891">
        <f>SUM(L895:L899)</f>
        <v>161736.95999999999</v>
      </c>
      <c r="M894" s="891"/>
      <c r="N894" s="891">
        <f>SUM(N895:N899)</f>
        <v>0</v>
      </c>
      <c r="O894" s="892">
        <f t="shared" si="52"/>
        <v>1</v>
      </c>
      <c r="P894" s="903">
        <f t="shared" si="53"/>
        <v>0</v>
      </c>
      <c r="Q894" s="893">
        <f t="shared" si="54"/>
        <v>0</v>
      </c>
      <c r="R894" s="894">
        <f t="shared" si="55"/>
        <v>5</v>
      </c>
    </row>
    <row r="895" spans="1:18" s="904" customFormat="1">
      <c r="A895" s="895"/>
      <c r="B895" s="896"/>
      <c r="C895" s="897"/>
      <c r="D895" s="897"/>
      <c r="E895" s="924" t="s">
        <v>108</v>
      </c>
      <c r="F895" s="899"/>
      <c r="G895" s="900"/>
      <c r="H895" s="901"/>
      <c r="I895" s="902"/>
      <c r="J895" s="902"/>
      <c r="K895" s="912" t="s">
        <v>274</v>
      </c>
      <c r="L895" s="902"/>
      <c r="M895" s="902"/>
      <c r="N895" s="902"/>
      <c r="O895" s="892">
        <f t="shared" si="52"/>
        <v>0</v>
      </c>
      <c r="P895" s="903">
        <f t="shared" si="53"/>
        <v>1</v>
      </c>
      <c r="Q895" s="893">
        <f t="shared" si="54"/>
        <v>5</v>
      </c>
      <c r="R895" s="894">
        <f t="shared" si="55"/>
        <v>0</v>
      </c>
    </row>
    <row r="896" spans="1:18">
      <c r="A896" s="905"/>
      <c r="B896" s="906"/>
      <c r="C896" s="907">
        <v>66</v>
      </c>
      <c r="D896" s="907" t="s">
        <v>279</v>
      </c>
      <c r="E896" s="925" t="s">
        <v>2682</v>
      </c>
      <c r="F896" s="926" t="s">
        <v>45</v>
      </c>
      <c r="G896" s="910"/>
      <c r="H896" s="911">
        <v>0.03</v>
      </c>
      <c r="I896" s="912">
        <f>VLOOKUP(E896,[3]VLP!$B$7:$K$300,10,0)</f>
        <v>5000</v>
      </c>
      <c r="J896" s="912">
        <f>I896*H896</f>
        <v>150</v>
      </c>
      <c r="K896" s="912" t="s">
        <v>274</v>
      </c>
      <c r="L896" s="912"/>
      <c r="M896" s="912"/>
      <c r="N896" s="912"/>
      <c r="O896" s="892">
        <f t="shared" si="52"/>
        <v>0</v>
      </c>
      <c r="P896" s="903">
        <f t="shared" si="53"/>
        <v>1</v>
      </c>
      <c r="Q896" s="893">
        <f t="shared" si="54"/>
        <v>4</v>
      </c>
      <c r="R896" s="894">
        <f t="shared" si="55"/>
        <v>0</v>
      </c>
    </row>
    <row r="897" spans="1:18">
      <c r="A897" s="905"/>
      <c r="B897" s="906"/>
      <c r="C897" s="907">
        <v>44</v>
      </c>
      <c r="D897" s="907" t="s">
        <v>279</v>
      </c>
      <c r="E897" s="925" t="s">
        <v>2681</v>
      </c>
      <c r="F897" s="926" t="s">
        <v>45</v>
      </c>
      <c r="G897" s="910"/>
      <c r="H897" s="911">
        <v>0.12</v>
      </c>
      <c r="I897" s="912">
        <f>VLOOKUP(E897,[3]VLP!$B$7:$K$300,10,0)</f>
        <v>23000</v>
      </c>
      <c r="J897" s="912">
        <f>I897*H897</f>
        <v>2760</v>
      </c>
      <c r="K897" s="912" t="s">
        <v>274</v>
      </c>
      <c r="L897" s="912"/>
      <c r="M897" s="912"/>
      <c r="N897" s="912"/>
      <c r="O897" s="892">
        <f t="shared" si="52"/>
        <v>0</v>
      </c>
      <c r="P897" s="903">
        <f t="shared" si="53"/>
        <v>1</v>
      </c>
      <c r="Q897" s="893">
        <f t="shared" si="54"/>
        <v>3</v>
      </c>
      <c r="R897" s="894">
        <f t="shared" si="55"/>
        <v>0</v>
      </c>
    </row>
    <row r="898" spans="1:18" s="904" customFormat="1">
      <c r="A898" s="895"/>
      <c r="B898" s="896"/>
      <c r="C898" s="897"/>
      <c r="D898" s="897"/>
      <c r="E898" s="924" t="s">
        <v>276</v>
      </c>
      <c r="F898" s="927"/>
      <c r="G898" s="928"/>
      <c r="H898" s="901"/>
      <c r="I898" s="902"/>
      <c r="J898" s="902"/>
      <c r="K898" s="912" t="s">
        <v>274</v>
      </c>
      <c r="L898" s="902"/>
      <c r="M898" s="902"/>
      <c r="N898" s="902"/>
      <c r="O898" s="892">
        <f t="shared" si="52"/>
        <v>0</v>
      </c>
      <c r="P898" s="903">
        <f t="shared" si="53"/>
        <v>1</v>
      </c>
      <c r="Q898" s="893">
        <f t="shared" si="54"/>
        <v>2</v>
      </c>
      <c r="R898" s="894">
        <f t="shared" si="55"/>
        <v>0</v>
      </c>
    </row>
    <row r="899" spans="1:18">
      <c r="A899" s="905"/>
      <c r="B899" s="906"/>
      <c r="C899" s="907">
        <v>740</v>
      </c>
      <c r="D899" s="907" t="s">
        <v>12</v>
      </c>
      <c r="E899" s="908" t="s">
        <v>4008</v>
      </c>
      <c r="F899" s="909" t="s">
        <v>2674</v>
      </c>
      <c r="G899" s="910"/>
      <c r="H899" s="911">
        <v>0.64</v>
      </c>
      <c r="I899" s="912"/>
      <c r="J899" s="912"/>
      <c r="K899" s="912">
        <f>VLOOKUP(E899,ĐMNC!$A$7:$F$67,4,0)</f>
        <v>252714</v>
      </c>
      <c r="L899" s="912">
        <f>H899*K899</f>
        <v>161736.95999999999</v>
      </c>
      <c r="M899" s="912"/>
      <c r="N899" s="912"/>
      <c r="O899" s="892">
        <f t="shared" si="52"/>
        <v>0</v>
      </c>
      <c r="P899" s="903">
        <f t="shared" si="53"/>
        <v>1</v>
      </c>
      <c r="Q899" s="893">
        <f t="shared" si="54"/>
        <v>1</v>
      </c>
      <c r="R899" s="894">
        <f t="shared" si="55"/>
        <v>0</v>
      </c>
    </row>
    <row r="900" spans="1:18" s="847" customFormat="1" ht="31.5">
      <c r="A900" s="905"/>
      <c r="B900" s="914" t="s">
        <v>4224</v>
      </c>
      <c r="C900" s="915"/>
      <c r="D900" s="915"/>
      <c r="E900" s="916" t="s">
        <v>4225</v>
      </c>
      <c r="F900" s="917" t="s">
        <v>249</v>
      </c>
      <c r="G900" s="918"/>
      <c r="H900" s="919"/>
      <c r="I900" s="920"/>
      <c r="J900" s="891">
        <f>SUM(J901:J905)</f>
        <v>2910</v>
      </c>
      <c r="K900" s="891"/>
      <c r="L900" s="891">
        <f>SUM(L901:L905)</f>
        <v>169318.38</v>
      </c>
      <c r="M900" s="891"/>
      <c r="N900" s="891">
        <f>SUM(N901:N905)</f>
        <v>0</v>
      </c>
      <c r="O900" s="892">
        <f t="shared" si="52"/>
        <v>1</v>
      </c>
      <c r="P900" s="903">
        <f t="shared" si="53"/>
        <v>0</v>
      </c>
      <c r="Q900" s="893">
        <f t="shared" si="54"/>
        <v>0</v>
      </c>
      <c r="R900" s="894">
        <f t="shared" si="55"/>
        <v>5</v>
      </c>
    </row>
    <row r="901" spans="1:18" s="904" customFormat="1">
      <c r="A901" s="895"/>
      <c r="B901" s="896"/>
      <c r="C901" s="897"/>
      <c r="D901" s="897"/>
      <c r="E901" s="924" t="s">
        <v>108</v>
      </c>
      <c r="F901" s="899"/>
      <c r="G901" s="900"/>
      <c r="H901" s="901"/>
      <c r="I901" s="902"/>
      <c r="J901" s="902"/>
      <c r="K901" s="912" t="s">
        <v>274</v>
      </c>
      <c r="L901" s="902"/>
      <c r="M901" s="902"/>
      <c r="N901" s="902"/>
      <c r="O901" s="892">
        <f t="shared" ref="O901:O964" si="56">IF(AND(B901&lt;&gt;"",D901=""),1,0)</f>
        <v>0</v>
      </c>
      <c r="P901" s="903">
        <f t="shared" si="53"/>
        <v>1</v>
      </c>
      <c r="Q901" s="893">
        <f t="shared" si="54"/>
        <v>5</v>
      </c>
      <c r="R901" s="894">
        <f t="shared" si="55"/>
        <v>0</v>
      </c>
    </row>
    <row r="902" spans="1:18">
      <c r="A902" s="905"/>
      <c r="B902" s="906"/>
      <c r="C902" s="907">
        <v>66</v>
      </c>
      <c r="D902" s="907" t="s">
        <v>279</v>
      </c>
      <c r="E902" s="925" t="s">
        <v>2682</v>
      </c>
      <c r="F902" s="926" t="s">
        <v>45</v>
      </c>
      <c r="G902" s="910"/>
      <c r="H902" s="911">
        <v>0.03</v>
      </c>
      <c r="I902" s="912">
        <f>VLOOKUP(E902,[3]VLP!$B$7:$K$300,10,0)</f>
        <v>5000</v>
      </c>
      <c r="J902" s="912">
        <f>I902*H902</f>
        <v>150</v>
      </c>
      <c r="K902" s="912" t="s">
        <v>274</v>
      </c>
      <c r="L902" s="912"/>
      <c r="M902" s="912"/>
      <c r="N902" s="912"/>
      <c r="O902" s="892">
        <f t="shared" si="56"/>
        <v>0</v>
      </c>
      <c r="P902" s="903">
        <f t="shared" si="53"/>
        <v>1</v>
      </c>
      <c r="Q902" s="893">
        <f t="shared" si="54"/>
        <v>4</v>
      </c>
      <c r="R902" s="894">
        <f t="shared" si="55"/>
        <v>0</v>
      </c>
    </row>
    <row r="903" spans="1:18">
      <c r="A903" s="905"/>
      <c r="B903" s="906"/>
      <c r="C903" s="907">
        <v>44</v>
      </c>
      <c r="D903" s="907" t="s">
        <v>279</v>
      </c>
      <c r="E903" s="925" t="s">
        <v>2681</v>
      </c>
      <c r="F903" s="926" t="s">
        <v>45</v>
      </c>
      <c r="G903" s="910"/>
      <c r="H903" s="911">
        <v>0.12</v>
      </c>
      <c r="I903" s="912">
        <f>VLOOKUP(E903,[3]VLP!$B$7:$K$300,10,0)</f>
        <v>23000</v>
      </c>
      <c r="J903" s="912">
        <f>I903*H903</f>
        <v>2760</v>
      </c>
      <c r="K903" s="912" t="s">
        <v>274</v>
      </c>
      <c r="L903" s="912"/>
      <c r="M903" s="912"/>
      <c r="N903" s="912"/>
      <c r="O903" s="892">
        <f t="shared" si="56"/>
        <v>0</v>
      </c>
      <c r="P903" s="903">
        <f t="shared" si="53"/>
        <v>1</v>
      </c>
      <c r="Q903" s="893">
        <f t="shared" si="54"/>
        <v>3</v>
      </c>
      <c r="R903" s="894">
        <f t="shared" si="55"/>
        <v>0</v>
      </c>
    </row>
    <row r="904" spans="1:18" s="904" customFormat="1">
      <c r="A904" s="895"/>
      <c r="B904" s="896"/>
      <c r="C904" s="897"/>
      <c r="D904" s="897"/>
      <c r="E904" s="924" t="s">
        <v>276</v>
      </c>
      <c r="F904" s="927"/>
      <c r="G904" s="928"/>
      <c r="H904" s="901"/>
      <c r="I904" s="902"/>
      <c r="J904" s="902"/>
      <c r="K904" s="912" t="s">
        <v>274</v>
      </c>
      <c r="L904" s="902"/>
      <c r="M904" s="902"/>
      <c r="N904" s="902"/>
      <c r="O904" s="892">
        <f t="shared" si="56"/>
        <v>0</v>
      </c>
      <c r="P904" s="903">
        <f t="shared" si="53"/>
        <v>1</v>
      </c>
      <c r="Q904" s="893">
        <f t="shared" si="54"/>
        <v>2</v>
      </c>
      <c r="R904" s="894">
        <f t="shared" si="55"/>
        <v>0</v>
      </c>
    </row>
    <row r="905" spans="1:18">
      <c r="A905" s="905"/>
      <c r="B905" s="906"/>
      <c r="C905" s="907">
        <v>740</v>
      </c>
      <c r="D905" s="907" t="s">
        <v>12</v>
      </c>
      <c r="E905" s="908" t="s">
        <v>4008</v>
      </c>
      <c r="F905" s="909" t="s">
        <v>2674</v>
      </c>
      <c r="G905" s="910"/>
      <c r="H905" s="911">
        <v>0.67</v>
      </c>
      <c r="I905" s="912"/>
      <c r="J905" s="912"/>
      <c r="K905" s="912">
        <f>VLOOKUP(E905,ĐMNC!$A$7:$F$67,4,0)</f>
        <v>252714</v>
      </c>
      <c r="L905" s="912">
        <f>H905*K905</f>
        <v>169318.38</v>
      </c>
      <c r="M905" s="912"/>
      <c r="N905" s="912"/>
      <c r="O905" s="892">
        <f t="shared" si="56"/>
        <v>0</v>
      </c>
      <c r="P905" s="903">
        <f t="shared" si="53"/>
        <v>1</v>
      </c>
      <c r="Q905" s="893">
        <f t="shared" si="54"/>
        <v>1</v>
      </c>
      <c r="R905" s="894">
        <f t="shared" si="55"/>
        <v>0</v>
      </c>
    </row>
    <row r="906" spans="1:18" s="847" customFormat="1" ht="31.5">
      <c r="A906" s="905"/>
      <c r="B906" s="914" t="s">
        <v>4226</v>
      </c>
      <c r="C906" s="915"/>
      <c r="D906" s="915"/>
      <c r="E906" s="916" t="s">
        <v>4227</v>
      </c>
      <c r="F906" s="917" t="s">
        <v>249</v>
      </c>
      <c r="G906" s="918"/>
      <c r="H906" s="919"/>
      <c r="I906" s="920"/>
      <c r="J906" s="891">
        <f>SUM(J907:J911)</f>
        <v>2910</v>
      </c>
      <c r="K906" s="891"/>
      <c r="L906" s="891">
        <f>SUM(L907:L911)</f>
        <v>184481.22</v>
      </c>
      <c r="M906" s="891"/>
      <c r="N906" s="891">
        <f>SUM(N907:N911)</f>
        <v>0</v>
      </c>
      <c r="O906" s="892">
        <f t="shared" si="56"/>
        <v>1</v>
      </c>
      <c r="P906" s="903">
        <f t="shared" si="53"/>
        <v>0</v>
      </c>
      <c r="Q906" s="893">
        <f t="shared" si="54"/>
        <v>0</v>
      </c>
      <c r="R906" s="894">
        <f t="shared" si="55"/>
        <v>5</v>
      </c>
    </row>
    <row r="907" spans="1:18" s="904" customFormat="1">
      <c r="A907" s="895"/>
      <c r="B907" s="896"/>
      <c r="C907" s="897"/>
      <c r="D907" s="897"/>
      <c r="E907" s="924" t="s">
        <v>108</v>
      </c>
      <c r="F907" s="899"/>
      <c r="G907" s="900"/>
      <c r="H907" s="901"/>
      <c r="I907" s="902"/>
      <c r="J907" s="902"/>
      <c r="K907" s="912" t="s">
        <v>274</v>
      </c>
      <c r="L907" s="902"/>
      <c r="M907" s="902"/>
      <c r="N907" s="902"/>
      <c r="O907" s="892">
        <f t="shared" si="56"/>
        <v>0</v>
      </c>
      <c r="P907" s="903">
        <f t="shared" si="53"/>
        <v>1</v>
      </c>
      <c r="Q907" s="893">
        <f t="shared" si="54"/>
        <v>5</v>
      </c>
      <c r="R907" s="894">
        <f t="shared" si="55"/>
        <v>0</v>
      </c>
    </row>
    <row r="908" spans="1:18">
      <c r="A908" s="905"/>
      <c r="B908" s="906"/>
      <c r="C908" s="907">
        <v>66</v>
      </c>
      <c r="D908" s="907" t="s">
        <v>279</v>
      </c>
      <c r="E908" s="925" t="s">
        <v>2682</v>
      </c>
      <c r="F908" s="926" t="s">
        <v>45</v>
      </c>
      <c r="G908" s="910"/>
      <c r="H908" s="911">
        <v>0.03</v>
      </c>
      <c r="I908" s="912">
        <f>VLOOKUP(E908,[3]VLP!$B$7:$K$300,10,0)</f>
        <v>5000</v>
      </c>
      <c r="J908" s="912">
        <f>I908*H908</f>
        <v>150</v>
      </c>
      <c r="K908" s="912" t="s">
        <v>274</v>
      </c>
      <c r="L908" s="912"/>
      <c r="M908" s="912"/>
      <c r="N908" s="912"/>
      <c r="O908" s="892">
        <f t="shared" si="56"/>
        <v>0</v>
      </c>
      <c r="P908" s="903">
        <f t="shared" si="53"/>
        <v>1</v>
      </c>
      <c r="Q908" s="893">
        <f t="shared" si="54"/>
        <v>4</v>
      </c>
      <c r="R908" s="894">
        <f t="shared" si="55"/>
        <v>0</v>
      </c>
    </row>
    <row r="909" spans="1:18">
      <c r="A909" s="905"/>
      <c r="B909" s="906"/>
      <c r="C909" s="907">
        <v>44</v>
      </c>
      <c r="D909" s="907" t="s">
        <v>279</v>
      </c>
      <c r="E909" s="925" t="s">
        <v>2681</v>
      </c>
      <c r="F909" s="926" t="s">
        <v>45</v>
      </c>
      <c r="G909" s="910"/>
      <c r="H909" s="911">
        <v>0.12</v>
      </c>
      <c r="I909" s="912">
        <f>VLOOKUP(E909,[3]VLP!$B$7:$K$300,10,0)</f>
        <v>23000</v>
      </c>
      <c r="J909" s="912">
        <f>I909*H909</f>
        <v>2760</v>
      </c>
      <c r="K909" s="912" t="s">
        <v>274</v>
      </c>
      <c r="L909" s="912"/>
      <c r="M909" s="912"/>
      <c r="N909" s="912"/>
      <c r="O909" s="892">
        <f t="shared" si="56"/>
        <v>0</v>
      </c>
      <c r="P909" s="903">
        <f t="shared" si="53"/>
        <v>1</v>
      </c>
      <c r="Q909" s="893">
        <f t="shared" si="54"/>
        <v>3</v>
      </c>
      <c r="R909" s="894">
        <f t="shared" si="55"/>
        <v>0</v>
      </c>
    </row>
    <row r="910" spans="1:18" s="904" customFormat="1">
      <c r="A910" s="895"/>
      <c r="B910" s="896"/>
      <c r="C910" s="897"/>
      <c r="D910" s="897"/>
      <c r="E910" s="924" t="s">
        <v>276</v>
      </c>
      <c r="F910" s="927"/>
      <c r="G910" s="928"/>
      <c r="H910" s="901"/>
      <c r="I910" s="902"/>
      <c r="J910" s="902"/>
      <c r="K910" s="912" t="s">
        <v>274</v>
      </c>
      <c r="L910" s="902"/>
      <c r="M910" s="902"/>
      <c r="N910" s="902"/>
      <c r="O910" s="892">
        <f t="shared" si="56"/>
        <v>0</v>
      </c>
      <c r="P910" s="903">
        <f t="shared" ref="P910:P973" si="57">IF(O910=0,1,0)</f>
        <v>1</v>
      </c>
      <c r="Q910" s="893">
        <f t="shared" ref="Q910:Q973" si="58">IF(P910=0,0,P910+Q911)</f>
        <v>2</v>
      </c>
      <c r="R910" s="894">
        <f t="shared" ref="R910:R973" si="59">IF(Q910=0,Q911,0)</f>
        <v>0</v>
      </c>
    </row>
    <row r="911" spans="1:18">
      <c r="A911" s="905"/>
      <c r="B911" s="906"/>
      <c r="C911" s="907">
        <v>740</v>
      </c>
      <c r="D911" s="907" t="s">
        <v>12</v>
      </c>
      <c r="E911" s="908" t="s">
        <v>4008</v>
      </c>
      <c r="F911" s="909" t="s">
        <v>2674</v>
      </c>
      <c r="G911" s="910"/>
      <c r="H911" s="911">
        <v>0.73</v>
      </c>
      <c r="I911" s="912"/>
      <c r="J911" s="912"/>
      <c r="K911" s="912">
        <f>VLOOKUP(E911,ĐMNC!$A$7:$F$67,4,0)</f>
        <v>252714</v>
      </c>
      <c r="L911" s="912">
        <f>H911*K911</f>
        <v>184481.22</v>
      </c>
      <c r="M911" s="912"/>
      <c r="N911" s="912"/>
      <c r="O911" s="892">
        <f t="shared" si="56"/>
        <v>0</v>
      </c>
      <c r="P911" s="903">
        <f t="shared" si="57"/>
        <v>1</v>
      </c>
      <c r="Q911" s="893">
        <f t="shared" si="58"/>
        <v>1</v>
      </c>
      <c r="R911" s="894">
        <f t="shared" si="59"/>
        <v>0</v>
      </c>
    </row>
    <row r="912" spans="1:18" s="847" customFormat="1" ht="31.5">
      <c r="A912" s="905"/>
      <c r="B912" s="914" t="s">
        <v>4228</v>
      </c>
      <c r="C912" s="915"/>
      <c r="D912" s="915"/>
      <c r="E912" s="916" t="s">
        <v>4229</v>
      </c>
      <c r="F912" s="917" t="s">
        <v>249</v>
      </c>
      <c r="G912" s="918"/>
      <c r="H912" s="919"/>
      <c r="I912" s="920"/>
      <c r="J912" s="891">
        <f>SUM(J913:J917)</f>
        <v>2910</v>
      </c>
      <c r="K912" s="891"/>
      <c r="L912" s="891">
        <f>SUM(L913:L917)</f>
        <v>214806.9</v>
      </c>
      <c r="M912" s="891"/>
      <c r="N912" s="891">
        <f>SUM(N913:N917)</f>
        <v>0</v>
      </c>
      <c r="O912" s="892">
        <f t="shared" si="56"/>
        <v>1</v>
      </c>
      <c r="P912" s="903">
        <f t="shared" si="57"/>
        <v>0</v>
      </c>
      <c r="Q912" s="893">
        <f t="shared" si="58"/>
        <v>0</v>
      </c>
      <c r="R912" s="894">
        <f t="shared" si="59"/>
        <v>5</v>
      </c>
    </row>
    <row r="913" spans="1:18" s="904" customFormat="1">
      <c r="A913" s="895"/>
      <c r="B913" s="896"/>
      <c r="C913" s="897"/>
      <c r="D913" s="897"/>
      <c r="E913" s="924" t="s">
        <v>108</v>
      </c>
      <c r="F913" s="899"/>
      <c r="G913" s="900"/>
      <c r="H913" s="901"/>
      <c r="I913" s="902"/>
      <c r="J913" s="902"/>
      <c r="K913" s="912" t="s">
        <v>274</v>
      </c>
      <c r="L913" s="902"/>
      <c r="M913" s="902"/>
      <c r="N913" s="902"/>
      <c r="O913" s="892">
        <f t="shared" si="56"/>
        <v>0</v>
      </c>
      <c r="P913" s="903">
        <f t="shared" si="57"/>
        <v>1</v>
      </c>
      <c r="Q913" s="893">
        <f t="shared" si="58"/>
        <v>5</v>
      </c>
      <c r="R913" s="894">
        <f t="shared" si="59"/>
        <v>0</v>
      </c>
    </row>
    <row r="914" spans="1:18">
      <c r="A914" s="905"/>
      <c r="B914" s="906"/>
      <c r="C914" s="907">
        <v>66</v>
      </c>
      <c r="D914" s="907" t="s">
        <v>279</v>
      </c>
      <c r="E914" s="925" t="s">
        <v>2682</v>
      </c>
      <c r="F914" s="926" t="s">
        <v>45</v>
      </c>
      <c r="G914" s="910"/>
      <c r="H914" s="911">
        <v>0.03</v>
      </c>
      <c r="I914" s="912">
        <f>VLOOKUP(E914,[3]VLP!$B$7:$K$300,10,0)</f>
        <v>5000</v>
      </c>
      <c r="J914" s="912">
        <f>I914*H914</f>
        <v>150</v>
      </c>
      <c r="K914" s="912" t="s">
        <v>274</v>
      </c>
      <c r="L914" s="912"/>
      <c r="M914" s="912"/>
      <c r="N914" s="912"/>
      <c r="O914" s="892">
        <f t="shared" si="56"/>
        <v>0</v>
      </c>
      <c r="P914" s="903">
        <f t="shared" si="57"/>
        <v>1</v>
      </c>
      <c r="Q914" s="893">
        <f t="shared" si="58"/>
        <v>4</v>
      </c>
      <c r="R914" s="894">
        <f t="shared" si="59"/>
        <v>0</v>
      </c>
    </row>
    <row r="915" spans="1:18">
      <c r="A915" s="905"/>
      <c r="B915" s="906"/>
      <c r="C915" s="907">
        <v>44</v>
      </c>
      <c r="D915" s="907" t="s">
        <v>279</v>
      </c>
      <c r="E915" s="925" t="s">
        <v>2681</v>
      </c>
      <c r="F915" s="926" t="s">
        <v>45</v>
      </c>
      <c r="G915" s="910"/>
      <c r="H915" s="911">
        <v>0.12</v>
      </c>
      <c r="I915" s="912">
        <f>VLOOKUP(E915,[3]VLP!$B$7:$K$300,10,0)</f>
        <v>23000</v>
      </c>
      <c r="J915" s="912">
        <f>I915*H915</f>
        <v>2760</v>
      </c>
      <c r="K915" s="912" t="s">
        <v>274</v>
      </c>
      <c r="L915" s="912"/>
      <c r="M915" s="912"/>
      <c r="N915" s="912"/>
      <c r="O915" s="892">
        <f t="shared" si="56"/>
        <v>0</v>
      </c>
      <c r="P915" s="903">
        <f t="shared" si="57"/>
        <v>1</v>
      </c>
      <c r="Q915" s="893">
        <f t="shared" si="58"/>
        <v>3</v>
      </c>
      <c r="R915" s="894">
        <f t="shared" si="59"/>
        <v>0</v>
      </c>
    </row>
    <row r="916" spans="1:18" s="904" customFormat="1">
      <c r="A916" s="895"/>
      <c r="B916" s="896"/>
      <c r="C916" s="897"/>
      <c r="D916" s="897"/>
      <c r="E916" s="924" t="s">
        <v>276</v>
      </c>
      <c r="F916" s="927"/>
      <c r="G916" s="928"/>
      <c r="H916" s="901"/>
      <c r="I916" s="902"/>
      <c r="J916" s="902"/>
      <c r="K916" s="912" t="s">
        <v>274</v>
      </c>
      <c r="L916" s="902"/>
      <c r="M916" s="902"/>
      <c r="N916" s="902"/>
      <c r="O916" s="892">
        <f t="shared" si="56"/>
        <v>0</v>
      </c>
      <c r="P916" s="903">
        <f t="shared" si="57"/>
        <v>1</v>
      </c>
      <c r="Q916" s="893">
        <f t="shared" si="58"/>
        <v>2</v>
      </c>
      <c r="R916" s="894">
        <f t="shared" si="59"/>
        <v>0</v>
      </c>
    </row>
    <row r="917" spans="1:18">
      <c r="A917" s="905"/>
      <c r="B917" s="906"/>
      <c r="C917" s="907">
        <v>740</v>
      </c>
      <c r="D917" s="907" t="s">
        <v>12</v>
      </c>
      <c r="E917" s="908" t="s">
        <v>4008</v>
      </c>
      <c r="F917" s="909" t="s">
        <v>2674</v>
      </c>
      <c r="G917" s="910"/>
      <c r="H917" s="911">
        <v>0.85</v>
      </c>
      <c r="I917" s="912"/>
      <c r="J917" s="912"/>
      <c r="K917" s="912">
        <f>VLOOKUP(E917,ĐMNC!$A$7:$F$67,4,0)</f>
        <v>252714</v>
      </c>
      <c r="L917" s="912">
        <f>H917*K917</f>
        <v>214806.9</v>
      </c>
      <c r="M917" s="912"/>
      <c r="N917" s="912"/>
      <c r="O917" s="892">
        <f t="shared" si="56"/>
        <v>0</v>
      </c>
      <c r="P917" s="903">
        <f t="shared" si="57"/>
        <v>1</v>
      </c>
      <c r="Q917" s="893">
        <f t="shared" si="58"/>
        <v>1</v>
      </c>
      <c r="R917" s="894">
        <f t="shared" si="59"/>
        <v>0</v>
      </c>
    </row>
    <row r="918" spans="1:18" s="847" customFormat="1" ht="31.5">
      <c r="A918" s="905"/>
      <c r="B918" s="914" t="s">
        <v>4230</v>
      </c>
      <c r="C918" s="915"/>
      <c r="D918" s="915"/>
      <c r="E918" s="916" t="s">
        <v>4231</v>
      </c>
      <c r="F918" s="917" t="s">
        <v>249</v>
      </c>
      <c r="G918" s="918"/>
      <c r="H918" s="919"/>
      <c r="I918" s="920"/>
      <c r="J918" s="891">
        <f>SUM(J919:J923)</f>
        <v>2910</v>
      </c>
      <c r="K918" s="891"/>
      <c r="L918" s="891">
        <f>SUM(L919:L923)</f>
        <v>235024.02000000002</v>
      </c>
      <c r="M918" s="891"/>
      <c r="N918" s="891">
        <f>SUM(N919:N923)</f>
        <v>0</v>
      </c>
      <c r="O918" s="892">
        <f t="shared" si="56"/>
        <v>1</v>
      </c>
      <c r="P918" s="903">
        <f t="shared" si="57"/>
        <v>0</v>
      </c>
      <c r="Q918" s="893">
        <f t="shared" si="58"/>
        <v>0</v>
      </c>
      <c r="R918" s="894">
        <f t="shared" si="59"/>
        <v>5</v>
      </c>
    </row>
    <row r="919" spans="1:18" s="904" customFormat="1">
      <c r="A919" s="895"/>
      <c r="B919" s="896"/>
      <c r="C919" s="897"/>
      <c r="D919" s="897"/>
      <c r="E919" s="924" t="s">
        <v>108</v>
      </c>
      <c r="F919" s="899"/>
      <c r="G919" s="900"/>
      <c r="H919" s="901"/>
      <c r="I919" s="902"/>
      <c r="J919" s="902"/>
      <c r="K919" s="912" t="s">
        <v>274</v>
      </c>
      <c r="L919" s="902"/>
      <c r="M919" s="902"/>
      <c r="N919" s="902"/>
      <c r="O919" s="892">
        <f t="shared" si="56"/>
        <v>0</v>
      </c>
      <c r="P919" s="903">
        <f t="shared" si="57"/>
        <v>1</v>
      </c>
      <c r="Q919" s="893">
        <f t="shared" si="58"/>
        <v>5</v>
      </c>
      <c r="R919" s="894">
        <f t="shared" si="59"/>
        <v>0</v>
      </c>
    </row>
    <row r="920" spans="1:18">
      <c r="A920" s="905"/>
      <c r="B920" s="906"/>
      <c r="C920" s="907">
        <v>66</v>
      </c>
      <c r="D920" s="907" t="s">
        <v>279</v>
      </c>
      <c r="E920" s="925" t="s">
        <v>2682</v>
      </c>
      <c r="F920" s="926" t="s">
        <v>45</v>
      </c>
      <c r="G920" s="910"/>
      <c r="H920" s="911">
        <v>0.03</v>
      </c>
      <c r="I920" s="912">
        <f>VLOOKUP(E920,[3]VLP!$B$7:$K$300,10,0)</f>
        <v>5000</v>
      </c>
      <c r="J920" s="912">
        <f>I920*H920</f>
        <v>150</v>
      </c>
      <c r="K920" s="912" t="s">
        <v>274</v>
      </c>
      <c r="L920" s="912"/>
      <c r="M920" s="912"/>
      <c r="N920" s="912"/>
      <c r="O920" s="892">
        <f t="shared" si="56"/>
        <v>0</v>
      </c>
      <c r="P920" s="903">
        <f t="shared" si="57"/>
        <v>1</v>
      </c>
      <c r="Q920" s="893">
        <f t="shared" si="58"/>
        <v>4</v>
      </c>
      <c r="R920" s="894">
        <f t="shared" si="59"/>
        <v>0</v>
      </c>
    </row>
    <row r="921" spans="1:18">
      <c r="A921" s="905"/>
      <c r="B921" s="906"/>
      <c r="C921" s="907">
        <v>44</v>
      </c>
      <c r="D921" s="907" t="s">
        <v>279</v>
      </c>
      <c r="E921" s="925" t="s">
        <v>2681</v>
      </c>
      <c r="F921" s="926" t="s">
        <v>45</v>
      </c>
      <c r="G921" s="910"/>
      <c r="H921" s="911">
        <v>0.12</v>
      </c>
      <c r="I921" s="912">
        <f>VLOOKUP(E921,[3]VLP!$B$7:$K$300,10,0)</f>
        <v>23000</v>
      </c>
      <c r="J921" s="912">
        <f>I921*H921</f>
        <v>2760</v>
      </c>
      <c r="K921" s="912" t="s">
        <v>274</v>
      </c>
      <c r="L921" s="912"/>
      <c r="M921" s="912"/>
      <c r="N921" s="912"/>
      <c r="O921" s="892">
        <f t="shared" si="56"/>
        <v>0</v>
      </c>
      <c r="P921" s="903">
        <f t="shared" si="57"/>
        <v>1</v>
      </c>
      <c r="Q921" s="893">
        <f t="shared" si="58"/>
        <v>3</v>
      </c>
      <c r="R921" s="894">
        <f t="shared" si="59"/>
        <v>0</v>
      </c>
    </row>
    <row r="922" spans="1:18" s="904" customFormat="1">
      <c r="A922" s="895"/>
      <c r="B922" s="896"/>
      <c r="C922" s="897"/>
      <c r="D922" s="897"/>
      <c r="E922" s="924" t="s">
        <v>276</v>
      </c>
      <c r="F922" s="927"/>
      <c r="G922" s="928"/>
      <c r="H922" s="901"/>
      <c r="I922" s="902"/>
      <c r="J922" s="902"/>
      <c r="K922" s="912" t="s">
        <v>274</v>
      </c>
      <c r="L922" s="902"/>
      <c r="M922" s="902"/>
      <c r="N922" s="902"/>
      <c r="O922" s="892">
        <f t="shared" si="56"/>
        <v>0</v>
      </c>
      <c r="P922" s="903">
        <f t="shared" si="57"/>
        <v>1</v>
      </c>
      <c r="Q922" s="893">
        <f t="shared" si="58"/>
        <v>2</v>
      </c>
      <c r="R922" s="894">
        <f t="shared" si="59"/>
        <v>0</v>
      </c>
    </row>
    <row r="923" spans="1:18">
      <c r="A923" s="905"/>
      <c r="B923" s="906"/>
      <c r="C923" s="907">
        <v>740</v>
      </c>
      <c r="D923" s="907" t="s">
        <v>12</v>
      </c>
      <c r="E923" s="908" t="s">
        <v>4008</v>
      </c>
      <c r="F923" s="909" t="s">
        <v>2674</v>
      </c>
      <c r="G923" s="910"/>
      <c r="H923" s="911">
        <v>0.93</v>
      </c>
      <c r="I923" s="912"/>
      <c r="J923" s="912"/>
      <c r="K923" s="912">
        <f>VLOOKUP(E923,ĐMNC!$A$7:$F$67,4,0)</f>
        <v>252714</v>
      </c>
      <c r="L923" s="912">
        <f>H923*K923</f>
        <v>235024.02000000002</v>
      </c>
      <c r="M923" s="912"/>
      <c r="N923" s="912"/>
      <c r="O923" s="892">
        <f t="shared" si="56"/>
        <v>0</v>
      </c>
      <c r="P923" s="903">
        <f t="shared" si="57"/>
        <v>1</v>
      </c>
      <c r="Q923" s="893">
        <f t="shared" si="58"/>
        <v>1</v>
      </c>
      <c r="R923" s="894">
        <f t="shared" si="59"/>
        <v>0</v>
      </c>
    </row>
    <row r="924" spans="1:18" s="847" customFormat="1" ht="31.5">
      <c r="A924" s="905"/>
      <c r="B924" s="914" t="s">
        <v>4232</v>
      </c>
      <c r="C924" s="915"/>
      <c r="D924" s="915"/>
      <c r="E924" s="916" t="s">
        <v>4233</v>
      </c>
      <c r="F924" s="917" t="s">
        <v>249</v>
      </c>
      <c r="G924" s="918"/>
      <c r="H924" s="919"/>
      <c r="I924" s="920"/>
      <c r="J924" s="891">
        <f>SUM(J925:J929)</f>
        <v>2910</v>
      </c>
      <c r="K924" s="891"/>
      <c r="L924" s="891">
        <f>SUM(L925:L929)</f>
        <v>257768.28</v>
      </c>
      <c r="M924" s="891"/>
      <c r="N924" s="891">
        <f>SUM(N925:N929)</f>
        <v>0</v>
      </c>
      <c r="O924" s="892">
        <f t="shared" si="56"/>
        <v>1</v>
      </c>
      <c r="P924" s="903">
        <f t="shared" si="57"/>
        <v>0</v>
      </c>
      <c r="Q924" s="893">
        <f t="shared" si="58"/>
        <v>0</v>
      </c>
      <c r="R924" s="894">
        <f t="shared" si="59"/>
        <v>5</v>
      </c>
    </row>
    <row r="925" spans="1:18" s="904" customFormat="1">
      <c r="A925" s="895"/>
      <c r="B925" s="896"/>
      <c r="C925" s="897"/>
      <c r="D925" s="897"/>
      <c r="E925" s="924" t="s">
        <v>108</v>
      </c>
      <c r="F925" s="899"/>
      <c r="G925" s="900"/>
      <c r="H925" s="901"/>
      <c r="I925" s="902"/>
      <c r="J925" s="902"/>
      <c r="K925" s="912" t="s">
        <v>274</v>
      </c>
      <c r="L925" s="902"/>
      <c r="M925" s="902"/>
      <c r="N925" s="902"/>
      <c r="O925" s="892">
        <f t="shared" si="56"/>
        <v>0</v>
      </c>
      <c r="P925" s="903">
        <f t="shared" si="57"/>
        <v>1</v>
      </c>
      <c r="Q925" s="893">
        <f t="shared" si="58"/>
        <v>5</v>
      </c>
      <c r="R925" s="894">
        <f t="shared" si="59"/>
        <v>0</v>
      </c>
    </row>
    <row r="926" spans="1:18">
      <c r="A926" s="905"/>
      <c r="B926" s="906"/>
      <c r="C926" s="907">
        <v>66</v>
      </c>
      <c r="D926" s="907" t="s">
        <v>279</v>
      </c>
      <c r="E926" s="925" t="s">
        <v>2682</v>
      </c>
      <c r="F926" s="926" t="s">
        <v>45</v>
      </c>
      <c r="G926" s="910"/>
      <c r="H926" s="911">
        <v>0.03</v>
      </c>
      <c r="I926" s="912">
        <f>VLOOKUP(E926,[3]VLP!$B$7:$K$300,10,0)</f>
        <v>5000</v>
      </c>
      <c r="J926" s="912">
        <f>I926*H926</f>
        <v>150</v>
      </c>
      <c r="K926" s="912" t="s">
        <v>274</v>
      </c>
      <c r="L926" s="912"/>
      <c r="M926" s="912"/>
      <c r="N926" s="912"/>
      <c r="O926" s="892">
        <f t="shared" si="56"/>
        <v>0</v>
      </c>
      <c r="P926" s="903">
        <f t="shared" si="57"/>
        <v>1</v>
      </c>
      <c r="Q926" s="893">
        <f t="shared" si="58"/>
        <v>4</v>
      </c>
      <c r="R926" s="894">
        <f t="shared" si="59"/>
        <v>0</v>
      </c>
    </row>
    <row r="927" spans="1:18">
      <c r="A927" s="905"/>
      <c r="B927" s="906"/>
      <c r="C927" s="907">
        <v>44</v>
      </c>
      <c r="D927" s="907" t="s">
        <v>279</v>
      </c>
      <c r="E927" s="925" t="s">
        <v>2681</v>
      </c>
      <c r="F927" s="926" t="s">
        <v>45</v>
      </c>
      <c r="G927" s="910"/>
      <c r="H927" s="911">
        <v>0.12</v>
      </c>
      <c r="I927" s="912">
        <f>VLOOKUP(E927,[3]VLP!$B$7:$K$300,10,0)</f>
        <v>23000</v>
      </c>
      <c r="J927" s="912">
        <f>I927*H927</f>
        <v>2760</v>
      </c>
      <c r="K927" s="912" t="s">
        <v>274</v>
      </c>
      <c r="L927" s="912"/>
      <c r="M927" s="912"/>
      <c r="N927" s="912"/>
      <c r="O927" s="892">
        <f t="shared" si="56"/>
        <v>0</v>
      </c>
      <c r="P927" s="903">
        <f t="shared" si="57"/>
        <v>1</v>
      </c>
      <c r="Q927" s="893">
        <f t="shared" si="58"/>
        <v>3</v>
      </c>
      <c r="R927" s="894">
        <f t="shared" si="59"/>
        <v>0</v>
      </c>
    </row>
    <row r="928" spans="1:18" s="904" customFormat="1">
      <c r="A928" s="895"/>
      <c r="B928" s="896"/>
      <c r="C928" s="897"/>
      <c r="D928" s="897"/>
      <c r="E928" s="924" t="s">
        <v>276</v>
      </c>
      <c r="F928" s="927"/>
      <c r="G928" s="928"/>
      <c r="H928" s="901"/>
      <c r="I928" s="902"/>
      <c r="J928" s="902"/>
      <c r="K928" s="912" t="s">
        <v>274</v>
      </c>
      <c r="L928" s="902"/>
      <c r="M928" s="902"/>
      <c r="N928" s="902"/>
      <c r="O928" s="892">
        <f t="shared" si="56"/>
        <v>0</v>
      </c>
      <c r="P928" s="903">
        <f t="shared" si="57"/>
        <v>1</v>
      </c>
      <c r="Q928" s="893">
        <f t="shared" si="58"/>
        <v>2</v>
      </c>
      <c r="R928" s="894">
        <f t="shared" si="59"/>
        <v>0</v>
      </c>
    </row>
    <row r="929" spans="1:18">
      <c r="A929" s="905"/>
      <c r="B929" s="906"/>
      <c r="C929" s="907">
        <v>740</v>
      </c>
      <c r="D929" s="907" t="s">
        <v>12</v>
      </c>
      <c r="E929" s="908" t="s">
        <v>4008</v>
      </c>
      <c r="F929" s="909" t="s">
        <v>2674</v>
      </c>
      <c r="G929" s="910"/>
      <c r="H929" s="911">
        <v>1.02</v>
      </c>
      <c r="I929" s="912"/>
      <c r="J929" s="912"/>
      <c r="K929" s="912">
        <f>VLOOKUP(E929,ĐMNC!$A$7:$F$67,4,0)</f>
        <v>252714</v>
      </c>
      <c r="L929" s="912">
        <f>H929*K929</f>
        <v>257768.28</v>
      </c>
      <c r="M929" s="912"/>
      <c r="N929" s="912"/>
      <c r="O929" s="892">
        <f t="shared" si="56"/>
        <v>0</v>
      </c>
      <c r="P929" s="903">
        <f t="shared" si="57"/>
        <v>1</v>
      </c>
      <c r="Q929" s="893">
        <f t="shared" si="58"/>
        <v>1</v>
      </c>
      <c r="R929" s="894">
        <f t="shared" si="59"/>
        <v>0</v>
      </c>
    </row>
    <row r="930" spans="1:18" s="847" customFormat="1" ht="31.5">
      <c r="A930" s="905"/>
      <c r="B930" s="914" t="s">
        <v>4234</v>
      </c>
      <c r="C930" s="915"/>
      <c r="D930" s="915"/>
      <c r="E930" s="916" t="s">
        <v>4235</v>
      </c>
      <c r="F930" s="917" t="s">
        <v>249</v>
      </c>
      <c r="G930" s="918"/>
      <c r="H930" s="919"/>
      <c r="I930" s="920"/>
      <c r="J930" s="891">
        <f>SUM(J931:J935)</f>
        <v>2910</v>
      </c>
      <c r="K930" s="891"/>
      <c r="L930" s="891">
        <f>SUM(L931:L935)</f>
        <v>295675.38</v>
      </c>
      <c r="M930" s="891"/>
      <c r="N930" s="891">
        <f>SUM(N931:N935)</f>
        <v>0</v>
      </c>
      <c r="O930" s="892">
        <f t="shared" si="56"/>
        <v>1</v>
      </c>
      <c r="P930" s="903">
        <f t="shared" si="57"/>
        <v>0</v>
      </c>
      <c r="Q930" s="893">
        <f t="shared" si="58"/>
        <v>0</v>
      </c>
      <c r="R930" s="894">
        <f t="shared" si="59"/>
        <v>5</v>
      </c>
    </row>
    <row r="931" spans="1:18" s="904" customFormat="1">
      <c r="A931" s="895"/>
      <c r="B931" s="896"/>
      <c r="C931" s="897"/>
      <c r="D931" s="897"/>
      <c r="E931" s="924" t="s">
        <v>108</v>
      </c>
      <c r="F931" s="899"/>
      <c r="G931" s="900"/>
      <c r="H931" s="901"/>
      <c r="I931" s="902"/>
      <c r="J931" s="902"/>
      <c r="K931" s="912" t="s">
        <v>274</v>
      </c>
      <c r="L931" s="902"/>
      <c r="M931" s="902"/>
      <c r="N931" s="902"/>
      <c r="O931" s="892">
        <f t="shared" si="56"/>
        <v>0</v>
      </c>
      <c r="P931" s="903">
        <f t="shared" si="57"/>
        <v>1</v>
      </c>
      <c r="Q931" s="893">
        <f t="shared" si="58"/>
        <v>5</v>
      </c>
      <c r="R931" s="894">
        <f t="shared" si="59"/>
        <v>0</v>
      </c>
    </row>
    <row r="932" spans="1:18">
      <c r="A932" s="905"/>
      <c r="B932" s="906"/>
      <c r="C932" s="907">
        <v>66</v>
      </c>
      <c r="D932" s="907" t="s">
        <v>279</v>
      </c>
      <c r="E932" s="925" t="s">
        <v>2682</v>
      </c>
      <c r="F932" s="926" t="s">
        <v>45</v>
      </c>
      <c r="G932" s="910"/>
      <c r="H932" s="911">
        <v>0.03</v>
      </c>
      <c r="I932" s="912">
        <f>VLOOKUP(E932,[3]VLP!$B$7:$K$300,10,0)</f>
        <v>5000</v>
      </c>
      <c r="J932" s="912">
        <f>I932*H932</f>
        <v>150</v>
      </c>
      <c r="K932" s="912" t="s">
        <v>274</v>
      </c>
      <c r="L932" s="912"/>
      <c r="M932" s="912"/>
      <c r="N932" s="912"/>
      <c r="O932" s="892">
        <f t="shared" si="56"/>
        <v>0</v>
      </c>
      <c r="P932" s="903">
        <f t="shared" si="57"/>
        <v>1</v>
      </c>
      <c r="Q932" s="893">
        <f t="shared" si="58"/>
        <v>4</v>
      </c>
      <c r="R932" s="894">
        <f t="shared" si="59"/>
        <v>0</v>
      </c>
    </row>
    <row r="933" spans="1:18">
      <c r="A933" s="905"/>
      <c r="B933" s="906"/>
      <c r="C933" s="907">
        <v>44</v>
      </c>
      <c r="D933" s="907" t="s">
        <v>279</v>
      </c>
      <c r="E933" s="925" t="s">
        <v>2681</v>
      </c>
      <c r="F933" s="926" t="s">
        <v>45</v>
      </c>
      <c r="G933" s="910"/>
      <c r="H933" s="911">
        <v>0.12</v>
      </c>
      <c r="I933" s="912">
        <f>VLOOKUP(E933,[3]VLP!$B$7:$K$300,10,0)</f>
        <v>23000</v>
      </c>
      <c r="J933" s="912">
        <f>I933*H933</f>
        <v>2760</v>
      </c>
      <c r="K933" s="912" t="s">
        <v>274</v>
      </c>
      <c r="L933" s="912"/>
      <c r="M933" s="912"/>
      <c r="N933" s="912"/>
      <c r="O933" s="892">
        <f t="shared" si="56"/>
        <v>0</v>
      </c>
      <c r="P933" s="903">
        <f t="shared" si="57"/>
        <v>1</v>
      </c>
      <c r="Q933" s="893">
        <f t="shared" si="58"/>
        <v>3</v>
      </c>
      <c r="R933" s="894">
        <f t="shared" si="59"/>
        <v>0</v>
      </c>
    </row>
    <row r="934" spans="1:18" s="904" customFormat="1">
      <c r="A934" s="895"/>
      <c r="B934" s="896"/>
      <c r="C934" s="897"/>
      <c r="D934" s="897"/>
      <c r="E934" s="924" t="s">
        <v>276</v>
      </c>
      <c r="F934" s="927"/>
      <c r="G934" s="928"/>
      <c r="H934" s="901"/>
      <c r="I934" s="902"/>
      <c r="J934" s="902"/>
      <c r="K934" s="912" t="s">
        <v>274</v>
      </c>
      <c r="L934" s="902"/>
      <c r="M934" s="902"/>
      <c r="N934" s="902"/>
      <c r="O934" s="892">
        <f t="shared" si="56"/>
        <v>0</v>
      </c>
      <c r="P934" s="903">
        <f t="shared" si="57"/>
        <v>1</v>
      </c>
      <c r="Q934" s="893">
        <f t="shared" si="58"/>
        <v>2</v>
      </c>
      <c r="R934" s="894">
        <f t="shared" si="59"/>
        <v>0</v>
      </c>
    </row>
    <row r="935" spans="1:18">
      <c r="A935" s="905"/>
      <c r="B935" s="906"/>
      <c r="C935" s="907">
        <v>740</v>
      </c>
      <c r="D935" s="907" t="s">
        <v>12</v>
      </c>
      <c r="E935" s="908" t="s">
        <v>4008</v>
      </c>
      <c r="F935" s="909" t="s">
        <v>2674</v>
      </c>
      <c r="G935" s="910"/>
      <c r="H935" s="911">
        <v>1.17</v>
      </c>
      <c r="I935" s="912"/>
      <c r="J935" s="912"/>
      <c r="K935" s="912">
        <f>VLOOKUP(E935,ĐMNC!$A$7:$F$67,4,0)</f>
        <v>252714</v>
      </c>
      <c r="L935" s="912">
        <f>H935*K935</f>
        <v>295675.38</v>
      </c>
      <c r="M935" s="912"/>
      <c r="N935" s="912"/>
      <c r="O935" s="892">
        <f t="shared" si="56"/>
        <v>0</v>
      </c>
      <c r="P935" s="903">
        <f t="shared" si="57"/>
        <v>1</v>
      </c>
      <c r="Q935" s="893">
        <f t="shared" si="58"/>
        <v>1</v>
      </c>
      <c r="R935" s="894">
        <f t="shared" si="59"/>
        <v>0</v>
      </c>
    </row>
    <row r="936" spans="1:18" s="847" customFormat="1" ht="31.5">
      <c r="A936" s="905"/>
      <c r="B936" s="914" t="s">
        <v>4236</v>
      </c>
      <c r="C936" s="915"/>
      <c r="D936" s="915"/>
      <c r="E936" s="916" t="s">
        <v>4237</v>
      </c>
      <c r="F936" s="917" t="s">
        <v>249</v>
      </c>
      <c r="G936" s="918"/>
      <c r="H936" s="919"/>
      <c r="I936" s="920"/>
      <c r="J936" s="891">
        <f>SUM(J937:J941)</f>
        <v>2910</v>
      </c>
      <c r="K936" s="891"/>
      <c r="L936" s="891">
        <f>SUM(L937:L941)</f>
        <v>341163.9</v>
      </c>
      <c r="M936" s="891"/>
      <c r="N936" s="891">
        <f>SUM(N937:N941)</f>
        <v>0</v>
      </c>
      <c r="O936" s="892">
        <f t="shared" si="56"/>
        <v>1</v>
      </c>
      <c r="P936" s="903">
        <f t="shared" si="57"/>
        <v>0</v>
      </c>
      <c r="Q936" s="893">
        <f t="shared" si="58"/>
        <v>0</v>
      </c>
      <c r="R936" s="894">
        <f t="shared" si="59"/>
        <v>5</v>
      </c>
    </row>
    <row r="937" spans="1:18" s="904" customFormat="1">
      <c r="A937" s="895"/>
      <c r="B937" s="896"/>
      <c r="C937" s="897"/>
      <c r="D937" s="897"/>
      <c r="E937" s="924" t="s">
        <v>108</v>
      </c>
      <c r="F937" s="899"/>
      <c r="G937" s="900"/>
      <c r="H937" s="901"/>
      <c r="I937" s="902"/>
      <c r="J937" s="902"/>
      <c r="K937" s="912" t="s">
        <v>274</v>
      </c>
      <c r="L937" s="902"/>
      <c r="M937" s="902"/>
      <c r="N937" s="902"/>
      <c r="O937" s="892">
        <f t="shared" si="56"/>
        <v>0</v>
      </c>
      <c r="P937" s="903">
        <f t="shared" si="57"/>
        <v>1</v>
      </c>
      <c r="Q937" s="893">
        <f t="shared" si="58"/>
        <v>5</v>
      </c>
      <c r="R937" s="894">
        <f t="shared" si="59"/>
        <v>0</v>
      </c>
    </row>
    <row r="938" spans="1:18">
      <c r="A938" s="905"/>
      <c r="B938" s="906"/>
      <c r="C938" s="907">
        <v>66</v>
      </c>
      <c r="D938" s="907" t="s">
        <v>279</v>
      </c>
      <c r="E938" s="925" t="s">
        <v>2682</v>
      </c>
      <c r="F938" s="926" t="s">
        <v>45</v>
      </c>
      <c r="G938" s="910"/>
      <c r="H938" s="911">
        <v>0.03</v>
      </c>
      <c r="I938" s="912">
        <f>VLOOKUP(E938,[3]VLP!$B$7:$K$300,10,0)</f>
        <v>5000</v>
      </c>
      <c r="J938" s="912">
        <f>I938*H938</f>
        <v>150</v>
      </c>
      <c r="K938" s="912" t="s">
        <v>274</v>
      </c>
      <c r="L938" s="912"/>
      <c r="M938" s="912"/>
      <c r="N938" s="912"/>
      <c r="O938" s="892">
        <f t="shared" si="56"/>
        <v>0</v>
      </c>
      <c r="P938" s="903">
        <f t="shared" si="57"/>
        <v>1</v>
      </c>
      <c r="Q938" s="893">
        <f t="shared" si="58"/>
        <v>4</v>
      </c>
      <c r="R938" s="894">
        <f t="shared" si="59"/>
        <v>0</v>
      </c>
    </row>
    <row r="939" spans="1:18">
      <c r="A939" s="905"/>
      <c r="B939" s="906"/>
      <c r="C939" s="907">
        <v>44</v>
      </c>
      <c r="D939" s="907" t="s">
        <v>279</v>
      </c>
      <c r="E939" s="925" t="s">
        <v>2681</v>
      </c>
      <c r="F939" s="926" t="s">
        <v>45</v>
      </c>
      <c r="G939" s="910"/>
      <c r="H939" s="911">
        <v>0.12</v>
      </c>
      <c r="I939" s="912">
        <f>VLOOKUP(E939,[3]VLP!$B$7:$K$300,10,0)</f>
        <v>23000</v>
      </c>
      <c r="J939" s="912">
        <f>I939*H939</f>
        <v>2760</v>
      </c>
      <c r="K939" s="912" t="s">
        <v>274</v>
      </c>
      <c r="L939" s="912"/>
      <c r="M939" s="912"/>
      <c r="N939" s="912"/>
      <c r="O939" s="892">
        <f t="shared" si="56"/>
        <v>0</v>
      </c>
      <c r="P939" s="903">
        <f t="shared" si="57"/>
        <v>1</v>
      </c>
      <c r="Q939" s="893">
        <f t="shared" si="58"/>
        <v>3</v>
      </c>
      <c r="R939" s="894">
        <f t="shared" si="59"/>
        <v>0</v>
      </c>
    </row>
    <row r="940" spans="1:18" s="904" customFormat="1">
      <c r="A940" s="895"/>
      <c r="B940" s="896"/>
      <c r="C940" s="897"/>
      <c r="D940" s="897"/>
      <c r="E940" s="924" t="s">
        <v>276</v>
      </c>
      <c r="F940" s="927"/>
      <c r="G940" s="928"/>
      <c r="H940" s="901"/>
      <c r="I940" s="902"/>
      <c r="J940" s="902"/>
      <c r="K940" s="912" t="s">
        <v>274</v>
      </c>
      <c r="L940" s="902"/>
      <c r="M940" s="902"/>
      <c r="N940" s="902"/>
      <c r="O940" s="892">
        <f t="shared" si="56"/>
        <v>0</v>
      </c>
      <c r="P940" s="903">
        <f t="shared" si="57"/>
        <v>1</v>
      </c>
      <c r="Q940" s="893">
        <f t="shared" si="58"/>
        <v>2</v>
      </c>
      <c r="R940" s="894">
        <f t="shared" si="59"/>
        <v>0</v>
      </c>
    </row>
    <row r="941" spans="1:18">
      <c r="A941" s="905"/>
      <c r="B941" s="906"/>
      <c r="C941" s="907">
        <v>740</v>
      </c>
      <c r="D941" s="907" t="s">
        <v>12</v>
      </c>
      <c r="E941" s="908" t="s">
        <v>4008</v>
      </c>
      <c r="F941" s="909" t="s">
        <v>2674</v>
      </c>
      <c r="G941" s="910"/>
      <c r="H941" s="911">
        <v>1.35</v>
      </c>
      <c r="I941" s="912"/>
      <c r="J941" s="912"/>
      <c r="K941" s="912">
        <f>VLOOKUP(E941,ĐMNC!$A$7:$F$67,4,0)</f>
        <v>252714</v>
      </c>
      <c r="L941" s="912">
        <f>H941*K941</f>
        <v>341163.9</v>
      </c>
      <c r="M941" s="912"/>
      <c r="N941" s="912"/>
      <c r="O941" s="892">
        <f t="shared" si="56"/>
        <v>0</v>
      </c>
      <c r="P941" s="903">
        <f t="shared" si="57"/>
        <v>1</v>
      </c>
      <c r="Q941" s="893">
        <f t="shared" si="58"/>
        <v>1</v>
      </c>
      <c r="R941" s="894">
        <f t="shared" si="59"/>
        <v>0</v>
      </c>
    </row>
    <row r="942" spans="1:18" s="847" customFormat="1" ht="31.5">
      <c r="A942" s="905"/>
      <c r="B942" s="914" t="s">
        <v>4238</v>
      </c>
      <c r="C942" s="915"/>
      <c r="D942" s="915"/>
      <c r="E942" s="916" t="s">
        <v>4239</v>
      </c>
      <c r="F942" s="917" t="s">
        <v>249</v>
      </c>
      <c r="G942" s="918"/>
      <c r="H942" s="919"/>
      <c r="I942" s="920"/>
      <c r="J942" s="891">
        <f>SUM(J943:J947)</f>
        <v>4060.0000000000005</v>
      </c>
      <c r="K942" s="891"/>
      <c r="L942" s="891">
        <f>SUM(L943:L947)</f>
        <v>227442.6</v>
      </c>
      <c r="M942" s="891"/>
      <c r="N942" s="891">
        <f>SUM(N943:N947)</f>
        <v>0</v>
      </c>
      <c r="O942" s="892">
        <f t="shared" si="56"/>
        <v>1</v>
      </c>
      <c r="P942" s="903">
        <f t="shared" si="57"/>
        <v>0</v>
      </c>
      <c r="Q942" s="893">
        <f t="shared" si="58"/>
        <v>0</v>
      </c>
      <c r="R942" s="894">
        <f t="shared" si="59"/>
        <v>5</v>
      </c>
    </row>
    <row r="943" spans="1:18" s="904" customFormat="1">
      <c r="A943" s="895"/>
      <c r="B943" s="896"/>
      <c r="C943" s="897"/>
      <c r="D943" s="897"/>
      <c r="E943" s="924" t="s">
        <v>108</v>
      </c>
      <c r="F943" s="899"/>
      <c r="G943" s="900"/>
      <c r="H943" s="901"/>
      <c r="I943" s="902"/>
      <c r="J943" s="902"/>
      <c r="K943" s="912" t="s">
        <v>274</v>
      </c>
      <c r="L943" s="902"/>
      <c r="M943" s="902"/>
      <c r="N943" s="902"/>
      <c r="O943" s="892">
        <f t="shared" si="56"/>
        <v>0</v>
      </c>
      <c r="P943" s="903">
        <f t="shared" si="57"/>
        <v>1</v>
      </c>
      <c r="Q943" s="893">
        <f t="shared" si="58"/>
        <v>5</v>
      </c>
      <c r="R943" s="894">
        <f t="shared" si="59"/>
        <v>0</v>
      </c>
    </row>
    <row r="944" spans="1:18">
      <c r="A944" s="905"/>
      <c r="B944" s="906"/>
      <c r="C944" s="907">
        <v>66</v>
      </c>
      <c r="D944" s="907" t="s">
        <v>279</v>
      </c>
      <c r="E944" s="925" t="s">
        <v>2682</v>
      </c>
      <c r="F944" s="926" t="s">
        <v>45</v>
      </c>
      <c r="G944" s="910"/>
      <c r="H944" s="911">
        <v>0.03</v>
      </c>
      <c r="I944" s="912">
        <f>VLOOKUP(E944,[3]VLP!$B$7:$K$300,10,0)</f>
        <v>5000</v>
      </c>
      <c r="J944" s="912">
        <f>I944*H944</f>
        <v>150</v>
      </c>
      <c r="K944" s="912" t="s">
        <v>274</v>
      </c>
      <c r="L944" s="912"/>
      <c r="M944" s="912"/>
      <c r="N944" s="912"/>
      <c r="O944" s="892">
        <f t="shared" si="56"/>
        <v>0</v>
      </c>
      <c r="P944" s="903">
        <f t="shared" si="57"/>
        <v>1</v>
      </c>
      <c r="Q944" s="893">
        <f t="shared" si="58"/>
        <v>4</v>
      </c>
      <c r="R944" s="894">
        <f t="shared" si="59"/>
        <v>0</v>
      </c>
    </row>
    <row r="945" spans="1:18">
      <c r="A945" s="905"/>
      <c r="B945" s="906"/>
      <c r="C945" s="907">
        <v>44</v>
      </c>
      <c r="D945" s="907" t="s">
        <v>279</v>
      </c>
      <c r="E945" s="925" t="s">
        <v>2681</v>
      </c>
      <c r="F945" s="926" t="s">
        <v>45</v>
      </c>
      <c r="G945" s="910"/>
      <c r="H945" s="911">
        <v>0.17</v>
      </c>
      <c r="I945" s="912">
        <f>VLOOKUP(E945,[3]VLP!$B$7:$K$300,10,0)</f>
        <v>23000</v>
      </c>
      <c r="J945" s="912">
        <f>I945*H945</f>
        <v>3910.0000000000005</v>
      </c>
      <c r="K945" s="912" t="s">
        <v>274</v>
      </c>
      <c r="L945" s="912"/>
      <c r="M945" s="912"/>
      <c r="N945" s="912"/>
      <c r="O945" s="892">
        <f t="shared" si="56"/>
        <v>0</v>
      </c>
      <c r="P945" s="903">
        <f t="shared" si="57"/>
        <v>1</v>
      </c>
      <c r="Q945" s="893">
        <f t="shared" si="58"/>
        <v>3</v>
      </c>
      <c r="R945" s="894">
        <f t="shared" si="59"/>
        <v>0</v>
      </c>
    </row>
    <row r="946" spans="1:18" s="904" customFormat="1">
      <c r="A946" s="895"/>
      <c r="B946" s="896"/>
      <c r="C946" s="897"/>
      <c r="D946" s="897"/>
      <c r="E946" s="924" t="s">
        <v>276</v>
      </c>
      <c r="F946" s="927"/>
      <c r="G946" s="928"/>
      <c r="H946" s="901"/>
      <c r="I946" s="902"/>
      <c r="J946" s="902"/>
      <c r="K946" s="912" t="s">
        <v>274</v>
      </c>
      <c r="L946" s="902"/>
      <c r="M946" s="902"/>
      <c r="N946" s="902"/>
      <c r="O946" s="892">
        <f t="shared" si="56"/>
        <v>0</v>
      </c>
      <c r="P946" s="903">
        <f t="shared" si="57"/>
        <v>1</v>
      </c>
      <c r="Q946" s="893">
        <f t="shared" si="58"/>
        <v>2</v>
      </c>
      <c r="R946" s="894">
        <f t="shared" si="59"/>
        <v>0</v>
      </c>
    </row>
    <row r="947" spans="1:18">
      <c r="A947" s="905"/>
      <c r="B947" s="906"/>
      <c r="C947" s="907">
        <v>740</v>
      </c>
      <c r="D947" s="907" t="s">
        <v>12</v>
      </c>
      <c r="E947" s="908" t="s">
        <v>4008</v>
      </c>
      <c r="F947" s="909" t="s">
        <v>2674</v>
      </c>
      <c r="G947" s="910"/>
      <c r="H947" s="911">
        <v>0.9</v>
      </c>
      <c r="I947" s="912"/>
      <c r="J947" s="912"/>
      <c r="K947" s="912">
        <f>VLOOKUP(E947,ĐMNC!$A$7:$F$67,4,0)</f>
        <v>252714</v>
      </c>
      <c r="L947" s="912">
        <f>H947*K947</f>
        <v>227442.6</v>
      </c>
      <c r="M947" s="912"/>
      <c r="N947" s="912"/>
      <c r="O947" s="892">
        <f t="shared" si="56"/>
        <v>0</v>
      </c>
      <c r="P947" s="903">
        <f t="shared" si="57"/>
        <v>1</v>
      </c>
      <c r="Q947" s="893">
        <f t="shared" si="58"/>
        <v>1</v>
      </c>
      <c r="R947" s="894">
        <f t="shared" si="59"/>
        <v>0</v>
      </c>
    </row>
    <row r="948" spans="1:18" s="847" customFormat="1" ht="31.5">
      <c r="A948" s="905"/>
      <c r="B948" s="914" t="s">
        <v>4240</v>
      </c>
      <c r="C948" s="915"/>
      <c r="D948" s="915"/>
      <c r="E948" s="916" t="s">
        <v>4241</v>
      </c>
      <c r="F948" s="917" t="s">
        <v>249</v>
      </c>
      <c r="G948" s="918"/>
      <c r="H948" s="919"/>
      <c r="I948" s="920"/>
      <c r="J948" s="891">
        <f>SUM(J949:J953)</f>
        <v>3945</v>
      </c>
      <c r="K948" s="891"/>
      <c r="L948" s="891">
        <f>SUM(L949:L953)</f>
        <v>240078.3</v>
      </c>
      <c r="M948" s="891"/>
      <c r="N948" s="891">
        <f>SUM(N949:N953)</f>
        <v>0</v>
      </c>
      <c r="O948" s="892">
        <f t="shared" si="56"/>
        <v>1</v>
      </c>
      <c r="P948" s="903">
        <f t="shared" si="57"/>
        <v>0</v>
      </c>
      <c r="Q948" s="893">
        <f t="shared" si="58"/>
        <v>0</v>
      </c>
      <c r="R948" s="894">
        <f t="shared" si="59"/>
        <v>5</v>
      </c>
    </row>
    <row r="949" spans="1:18" s="904" customFormat="1">
      <c r="A949" s="895"/>
      <c r="B949" s="896"/>
      <c r="C949" s="897"/>
      <c r="D949" s="897"/>
      <c r="E949" s="924" t="s">
        <v>108</v>
      </c>
      <c r="F949" s="899"/>
      <c r="G949" s="900"/>
      <c r="H949" s="901"/>
      <c r="I949" s="902"/>
      <c r="J949" s="902"/>
      <c r="K949" s="912" t="s">
        <v>274</v>
      </c>
      <c r="L949" s="902"/>
      <c r="M949" s="902"/>
      <c r="N949" s="902"/>
      <c r="O949" s="892">
        <f t="shared" si="56"/>
        <v>0</v>
      </c>
      <c r="P949" s="903">
        <f t="shared" si="57"/>
        <v>1</v>
      </c>
      <c r="Q949" s="893">
        <f t="shared" si="58"/>
        <v>5</v>
      </c>
      <c r="R949" s="894">
        <f t="shared" si="59"/>
        <v>0</v>
      </c>
    </row>
    <row r="950" spans="1:18">
      <c r="A950" s="905"/>
      <c r="B950" s="906"/>
      <c r="C950" s="907">
        <v>66</v>
      </c>
      <c r="D950" s="907" t="s">
        <v>279</v>
      </c>
      <c r="E950" s="925" t="s">
        <v>2682</v>
      </c>
      <c r="F950" s="926" t="s">
        <v>45</v>
      </c>
      <c r="G950" s="910"/>
      <c r="H950" s="911">
        <v>0.03</v>
      </c>
      <c r="I950" s="912">
        <f>VLOOKUP(E950,[3]VLP!$B$7:$K$300,10,0)</f>
        <v>5000</v>
      </c>
      <c r="J950" s="912">
        <f>I950*H950</f>
        <v>150</v>
      </c>
      <c r="K950" s="912" t="s">
        <v>274</v>
      </c>
      <c r="L950" s="912"/>
      <c r="M950" s="912"/>
      <c r="N950" s="912"/>
      <c r="O950" s="892">
        <f t="shared" si="56"/>
        <v>0</v>
      </c>
      <c r="P950" s="903">
        <f t="shared" si="57"/>
        <v>1</v>
      </c>
      <c r="Q950" s="893">
        <f t="shared" si="58"/>
        <v>4</v>
      </c>
      <c r="R950" s="894">
        <f t="shared" si="59"/>
        <v>0</v>
      </c>
    </row>
    <row r="951" spans="1:18">
      <c r="A951" s="905"/>
      <c r="B951" s="906"/>
      <c r="C951" s="907">
        <v>44</v>
      </c>
      <c r="D951" s="907" t="s">
        <v>279</v>
      </c>
      <c r="E951" s="925" t="s">
        <v>2681</v>
      </c>
      <c r="F951" s="926" t="s">
        <v>45</v>
      </c>
      <c r="G951" s="910"/>
      <c r="H951" s="911">
        <v>0.16500000000000001</v>
      </c>
      <c r="I951" s="912">
        <f>VLOOKUP(E951,[3]VLP!$B$7:$K$300,10,0)</f>
        <v>23000</v>
      </c>
      <c r="J951" s="912">
        <f>I951*H951</f>
        <v>3795</v>
      </c>
      <c r="K951" s="912" t="s">
        <v>274</v>
      </c>
      <c r="L951" s="912"/>
      <c r="M951" s="912"/>
      <c r="N951" s="912"/>
      <c r="O951" s="892">
        <f t="shared" si="56"/>
        <v>0</v>
      </c>
      <c r="P951" s="903">
        <f t="shared" si="57"/>
        <v>1</v>
      </c>
      <c r="Q951" s="893">
        <f t="shared" si="58"/>
        <v>3</v>
      </c>
      <c r="R951" s="894">
        <f t="shared" si="59"/>
        <v>0</v>
      </c>
    </row>
    <row r="952" spans="1:18" s="904" customFormat="1">
      <c r="A952" s="895"/>
      <c r="B952" s="896"/>
      <c r="C952" s="897"/>
      <c r="D952" s="897"/>
      <c r="E952" s="924" t="s">
        <v>276</v>
      </c>
      <c r="F952" s="927"/>
      <c r="G952" s="928"/>
      <c r="H952" s="901"/>
      <c r="I952" s="902"/>
      <c r="J952" s="902"/>
      <c r="K952" s="912" t="s">
        <v>274</v>
      </c>
      <c r="L952" s="902"/>
      <c r="M952" s="902"/>
      <c r="N952" s="902"/>
      <c r="O952" s="892">
        <f t="shared" si="56"/>
        <v>0</v>
      </c>
      <c r="P952" s="903">
        <f t="shared" si="57"/>
        <v>1</v>
      </c>
      <c r="Q952" s="893">
        <f t="shared" si="58"/>
        <v>2</v>
      </c>
      <c r="R952" s="894">
        <f t="shared" si="59"/>
        <v>0</v>
      </c>
    </row>
    <row r="953" spans="1:18">
      <c r="A953" s="905"/>
      <c r="B953" s="906"/>
      <c r="C953" s="907">
        <v>740</v>
      </c>
      <c r="D953" s="907" t="s">
        <v>12</v>
      </c>
      <c r="E953" s="908" t="s">
        <v>4008</v>
      </c>
      <c r="F953" s="909" t="s">
        <v>2674</v>
      </c>
      <c r="G953" s="910"/>
      <c r="H953" s="911">
        <v>0.95</v>
      </c>
      <c r="I953" s="912"/>
      <c r="J953" s="912"/>
      <c r="K953" s="912">
        <f>VLOOKUP(E953,ĐMNC!$A$7:$F$67,4,0)</f>
        <v>252714</v>
      </c>
      <c r="L953" s="912">
        <f>H953*K953</f>
        <v>240078.3</v>
      </c>
      <c r="M953" s="912"/>
      <c r="N953" s="912"/>
      <c r="O953" s="892">
        <f t="shared" si="56"/>
        <v>0</v>
      </c>
      <c r="P953" s="903">
        <f t="shared" si="57"/>
        <v>1</v>
      </c>
      <c r="Q953" s="893">
        <f t="shared" si="58"/>
        <v>1</v>
      </c>
      <c r="R953" s="894">
        <f t="shared" si="59"/>
        <v>0</v>
      </c>
    </row>
    <row r="954" spans="1:18" s="847" customFormat="1" ht="31.5">
      <c r="A954" s="905"/>
      <c r="B954" s="914" t="s">
        <v>4242</v>
      </c>
      <c r="C954" s="915"/>
      <c r="D954" s="915"/>
      <c r="E954" s="916" t="s">
        <v>4243</v>
      </c>
      <c r="F954" s="917" t="s">
        <v>249</v>
      </c>
      <c r="G954" s="918"/>
      <c r="H954" s="919"/>
      <c r="I954" s="920"/>
      <c r="J954" s="891">
        <f>SUM(J955:J959)</f>
        <v>4060.0000000000005</v>
      </c>
      <c r="K954" s="891"/>
      <c r="L954" s="891">
        <f>SUM(L955:L959)</f>
        <v>262822.56</v>
      </c>
      <c r="M954" s="891"/>
      <c r="N954" s="891">
        <f>SUM(N955:N959)</f>
        <v>0</v>
      </c>
      <c r="O954" s="892">
        <f t="shared" si="56"/>
        <v>1</v>
      </c>
      <c r="P954" s="903">
        <f t="shared" si="57"/>
        <v>0</v>
      </c>
      <c r="Q954" s="893">
        <f t="shared" si="58"/>
        <v>0</v>
      </c>
      <c r="R954" s="894">
        <f t="shared" si="59"/>
        <v>5</v>
      </c>
    </row>
    <row r="955" spans="1:18" s="904" customFormat="1">
      <c r="A955" s="895"/>
      <c r="B955" s="896"/>
      <c r="C955" s="897"/>
      <c r="D955" s="897"/>
      <c r="E955" s="924" t="s">
        <v>108</v>
      </c>
      <c r="F955" s="899"/>
      <c r="G955" s="900"/>
      <c r="H955" s="901"/>
      <c r="I955" s="902"/>
      <c r="J955" s="902"/>
      <c r="K955" s="912" t="s">
        <v>274</v>
      </c>
      <c r="L955" s="902"/>
      <c r="M955" s="902"/>
      <c r="N955" s="902"/>
      <c r="O955" s="892">
        <f t="shared" si="56"/>
        <v>0</v>
      </c>
      <c r="P955" s="903">
        <f t="shared" si="57"/>
        <v>1</v>
      </c>
      <c r="Q955" s="893">
        <f t="shared" si="58"/>
        <v>5</v>
      </c>
      <c r="R955" s="894">
        <f t="shared" si="59"/>
        <v>0</v>
      </c>
    </row>
    <row r="956" spans="1:18">
      <c r="A956" s="905"/>
      <c r="B956" s="906"/>
      <c r="C956" s="907">
        <v>66</v>
      </c>
      <c r="D956" s="907" t="s">
        <v>279</v>
      </c>
      <c r="E956" s="925" t="s">
        <v>2682</v>
      </c>
      <c r="F956" s="926" t="s">
        <v>45</v>
      </c>
      <c r="G956" s="910"/>
      <c r="H956" s="911">
        <v>0.03</v>
      </c>
      <c r="I956" s="912">
        <f>VLOOKUP(E956,[3]VLP!$B$7:$K$300,10,0)</f>
        <v>5000</v>
      </c>
      <c r="J956" s="912">
        <f>I956*H956</f>
        <v>150</v>
      </c>
      <c r="K956" s="912" t="s">
        <v>274</v>
      </c>
      <c r="L956" s="912"/>
      <c r="M956" s="912"/>
      <c r="N956" s="912"/>
      <c r="O956" s="892">
        <f t="shared" si="56"/>
        <v>0</v>
      </c>
      <c r="P956" s="903">
        <f t="shared" si="57"/>
        <v>1</v>
      </c>
      <c r="Q956" s="893">
        <f t="shared" si="58"/>
        <v>4</v>
      </c>
      <c r="R956" s="894">
        <f t="shared" si="59"/>
        <v>0</v>
      </c>
    </row>
    <row r="957" spans="1:18">
      <c r="A957" s="905"/>
      <c r="B957" s="906"/>
      <c r="C957" s="907">
        <v>44</v>
      </c>
      <c r="D957" s="907" t="s">
        <v>279</v>
      </c>
      <c r="E957" s="925" t="s">
        <v>2681</v>
      </c>
      <c r="F957" s="926" t="s">
        <v>45</v>
      </c>
      <c r="G957" s="910"/>
      <c r="H957" s="911">
        <v>0.17</v>
      </c>
      <c r="I957" s="912">
        <f>VLOOKUP(E957,[3]VLP!$B$7:$K$300,10,0)</f>
        <v>23000</v>
      </c>
      <c r="J957" s="912">
        <f>I957*H957</f>
        <v>3910.0000000000005</v>
      </c>
      <c r="K957" s="912" t="s">
        <v>274</v>
      </c>
      <c r="L957" s="912"/>
      <c r="M957" s="912"/>
      <c r="N957" s="912"/>
      <c r="O957" s="892">
        <f t="shared" si="56"/>
        <v>0</v>
      </c>
      <c r="P957" s="903">
        <f t="shared" si="57"/>
        <v>1</v>
      </c>
      <c r="Q957" s="893">
        <f t="shared" si="58"/>
        <v>3</v>
      </c>
      <c r="R957" s="894">
        <f t="shared" si="59"/>
        <v>0</v>
      </c>
    </row>
    <row r="958" spans="1:18" s="904" customFormat="1">
      <c r="A958" s="895"/>
      <c r="B958" s="896"/>
      <c r="C958" s="897"/>
      <c r="D958" s="897"/>
      <c r="E958" s="924" t="s">
        <v>276</v>
      </c>
      <c r="F958" s="927"/>
      <c r="G958" s="928"/>
      <c r="H958" s="901"/>
      <c r="I958" s="902"/>
      <c r="J958" s="902"/>
      <c r="K958" s="912" t="s">
        <v>274</v>
      </c>
      <c r="L958" s="902"/>
      <c r="M958" s="902"/>
      <c r="N958" s="902"/>
      <c r="O958" s="892">
        <f t="shared" si="56"/>
        <v>0</v>
      </c>
      <c r="P958" s="903">
        <f t="shared" si="57"/>
        <v>1</v>
      </c>
      <c r="Q958" s="893">
        <f t="shared" si="58"/>
        <v>2</v>
      </c>
      <c r="R958" s="894">
        <f t="shared" si="59"/>
        <v>0</v>
      </c>
    </row>
    <row r="959" spans="1:18">
      <c r="A959" s="905"/>
      <c r="B959" s="906"/>
      <c r="C959" s="907">
        <v>740</v>
      </c>
      <c r="D959" s="907" t="s">
        <v>12</v>
      </c>
      <c r="E959" s="908" t="s">
        <v>4008</v>
      </c>
      <c r="F959" s="909" t="s">
        <v>2674</v>
      </c>
      <c r="G959" s="910"/>
      <c r="H959" s="911">
        <v>1.04</v>
      </c>
      <c r="I959" s="912"/>
      <c r="J959" s="912"/>
      <c r="K959" s="912">
        <f>VLOOKUP(E959,ĐMNC!$A$7:$F$67,4,0)</f>
        <v>252714</v>
      </c>
      <c r="L959" s="912">
        <f>H959*K959</f>
        <v>262822.56</v>
      </c>
      <c r="M959" s="912"/>
      <c r="N959" s="912"/>
      <c r="O959" s="892">
        <f t="shared" si="56"/>
        <v>0</v>
      </c>
      <c r="P959" s="903">
        <f t="shared" si="57"/>
        <v>1</v>
      </c>
      <c r="Q959" s="893">
        <f t="shared" si="58"/>
        <v>1</v>
      </c>
      <c r="R959" s="894">
        <f t="shared" si="59"/>
        <v>0</v>
      </c>
    </row>
    <row r="960" spans="1:18" s="847" customFormat="1" ht="31.5">
      <c r="A960" s="905"/>
      <c r="B960" s="914" t="s">
        <v>4244</v>
      </c>
      <c r="C960" s="915"/>
      <c r="D960" s="915"/>
      <c r="E960" s="916" t="s">
        <v>4245</v>
      </c>
      <c r="F960" s="917" t="s">
        <v>249</v>
      </c>
      <c r="G960" s="918"/>
      <c r="H960" s="919"/>
      <c r="I960" s="920"/>
      <c r="J960" s="891">
        <f>SUM(J961:J965)</f>
        <v>4060.0000000000005</v>
      </c>
      <c r="K960" s="891"/>
      <c r="L960" s="891">
        <f>SUM(L961:L965)</f>
        <v>303256.8</v>
      </c>
      <c r="M960" s="891"/>
      <c r="N960" s="891">
        <f>SUM(N961:N965)</f>
        <v>0</v>
      </c>
      <c r="O960" s="892">
        <f t="shared" si="56"/>
        <v>1</v>
      </c>
      <c r="P960" s="903">
        <f t="shared" si="57"/>
        <v>0</v>
      </c>
      <c r="Q960" s="893">
        <f t="shared" si="58"/>
        <v>0</v>
      </c>
      <c r="R960" s="894">
        <f t="shared" si="59"/>
        <v>5</v>
      </c>
    </row>
    <row r="961" spans="1:18" s="904" customFormat="1">
      <c r="A961" s="895"/>
      <c r="B961" s="896"/>
      <c r="C961" s="897"/>
      <c r="D961" s="897"/>
      <c r="E961" s="924" t="s">
        <v>108</v>
      </c>
      <c r="F961" s="899"/>
      <c r="G961" s="900"/>
      <c r="H961" s="901"/>
      <c r="I961" s="902"/>
      <c r="J961" s="902"/>
      <c r="K961" s="912" t="s">
        <v>274</v>
      </c>
      <c r="L961" s="902"/>
      <c r="M961" s="902"/>
      <c r="N961" s="902"/>
      <c r="O961" s="892">
        <f t="shared" si="56"/>
        <v>0</v>
      </c>
      <c r="P961" s="903">
        <f t="shared" si="57"/>
        <v>1</v>
      </c>
      <c r="Q961" s="893">
        <f t="shared" si="58"/>
        <v>5</v>
      </c>
      <c r="R961" s="894">
        <f t="shared" si="59"/>
        <v>0</v>
      </c>
    </row>
    <row r="962" spans="1:18">
      <c r="A962" s="905"/>
      <c r="B962" s="906"/>
      <c r="C962" s="907">
        <v>66</v>
      </c>
      <c r="D962" s="907" t="s">
        <v>279</v>
      </c>
      <c r="E962" s="925" t="s">
        <v>2682</v>
      </c>
      <c r="F962" s="926" t="s">
        <v>45</v>
      </c>
      <c r="G962" s="910"/>
      <c r="H962" s="911">
        <v>0.03</v>
      </c>
      <c r="I962" s="912">
        <f>VLOOKUP(E962,[3]VLP!$B$7:$K$300,10,0)</f>
        <v>5000</v>
      </c>
      <c r="J962" s="912">
        <f>I962*H962</f>
        <v>150</v>
      </c>
      <c r="K962" s="912" t="s">
        <v>274</v>
      </c>
      <c r="L962" s="912"/>
      <c r="M962" s="912"/>
      <c r="N962" s="912"/>
      <c r="O962" s="892">
        <f t="shared" si="56"/>
        <v>0</v>
      </c>
      <c r="P962" s="903">
        <f t="shared" si="57"/>
        <v>1</v>
      </c>
      <c r="Q962" s="893">
        <f t="shared" si="58"/>
        <v>4</v>
      </c>
      <c r="R962" s="894">
        <f t="shared" si="59"/>
        <v>0</v>
      </c>
    </row>
    <row r="963" spans="1:18">
      <c r="A963" s="905"/>
      <c r="B963" s="906"/>
      <c r="C963" s="907">
        <v>44</v>
      </c>
      <c r="D963" s="907" t="s">
        <v>279</v>
      </c>
      <c r="E963" s="925" t="s">
        <v>2681</v>
      </c>
      <c r="F963" s="926" t="s">
        <v>45</v>
      </c>
      <c r="G963" s="910"/>
      <c r="H963" s="911">
        <v>0.17</v>
      </c>
      <c r="I963" s="912">
        <f>VLOOKUP(E963,[3]VLP!$B$7:$K$300,10,0)</f>
        <v>23000</v>
      </c>
      <c r="J963" s="912">
        <f>I963*H963</f>
        <v>3910.0000000000005</v>
      </c>
      <c r="K963" s="912" t="s">
        <v>274</v>
      </c>
      <c r="L963" s="912"/>
      <c r="M963" s="912"/>
      <c r="N963" s="912"/>
      <c r="O963" s="892">
        <f t="shared" si="56"/>
        <v>0</v>
      </c>
      <c r="P963" s="903">
        <f t="shared" si="57"/>
        <v>1</v>
      </c>
      <c r="Q963" s="893">
        <f t="shared" si="58"/>
        <v>3</v>
      </c>
      <c r="R963" s="894">
        <f t="shared" si="59"/>
        <v>0</v>
      </c>
    </row>
    <row r="964" spans="1:18" s="904" customFormat="1">
      <c r="A964" s="895"/>
      <c r="B964" s="896"/>
      <c r="C964" s="897"/>
      <c r="D964" s="897"/>
      <c r="E964" s="924" t="s">
        <v>276</v>
      </c>
      <c r="F964" s="927"/>
      <c r="G964" s="928"/>
      <c r="H964" s="901"/>
      <c r="I964" s="902"/>
      <c r="J964" s="902"/>
      <c r="K964" s="912" t="s">
        <v>274</v>
      </c>
      <c r="L964" s="902"/>
      <c r="M964" s="902"/>
      <c r="N964" s="902"/>
      <c r="O964" s="892">
        <f t="shared" si="56"/>
        <v>0</v>
      </c>
      <c r="P964" s="903">
        <f t="shared" si="57"/>
        <v>1</v>
      </c>
      <c r="Q964" s="893">
        <f t="shared" si="58"/>
        <v>2</v>
      </c>
      <c r="R964" s="894">
        <f t="shared" si="59"/>
        <v>0</v>
      </c>
    </row>
    <row r="965" spans="1:18">
      <c r="A965" s="905"/>
      <c r="B965" s="906"/>
      <c r="C965" s="907">
        <v>740</v>
      </c>
      <c r="D965" s="907" t="s">
        <v>12</v>
      </c>
      <c r="E965" s="908" t="s">
        <v>4008</v>
      </c>
      <c r="F965" s="909" t="s">
        <v>2674</v>
      </c>
      <c r="G965" s="910"/>
      <c r="H965" s="911">
        <v>1.2</v>
      </c>
      <c r="I965" s="912"/>
      <c r="J965" s="912"/>
      <c r="K965" s="912">
        <f>VLOOKUP(E965,ĐMNC!$A$7:$F$67,4,0)</f>
        <v>252714</v>
      </c>
      <c r="L965" s="912">
        <f>H965*K965</f>
        <v>303256.8</v>
      </c>
      <c r="M965" s="912"/>
      <c r="N965" s="912"/>
      <c r="O965" s="892">
        <f t="shared" ref="O965:O1028" si="60">IF(AND(B965&lt;&gt;"",D965=""),1,0)</f>
        <v>0</v>
      </c>
      <c r="P965" s="903">
        <f t="shared" si="57"/>
        <v>1</v>
      </c>
      <c r="Q965" s="893">
        <f t="shared" si="58"/>
        <v>1</v>
      </c>
      <c r="R965" s="894">
        <f t="shared" si="59"/>
        <v>0</v>
      </c>
    </row>
    <row r="966" spans="1:18" s="847" customFormat="1" ht="31.5">
      <c r="A966" s="905"/>
      <c r="B966" s="914" t="s">
        <v>4246</v>
      </c>
      <c r="C966" s="915"/>
      <c r="D966" s="915"/>
      <c r="E966" s="916" t="s">
        <v>4247</v>
      </c>
      <c r="F966" s="917" t="s">
        <v>249</v>
      </c>
      <c r="G966" s="918"/>
      <c r="H966" s="919"/>
      <c r="I966" s="920"/>
      <c r="J966" s="891">
        <f>SUM(J967:J971)</f>
        <v>4060.0000000000005</v>
      </c>
      <c r="K966" s="891"/>
      <c r="L966" s="891">
        <f>SUM(L967:L971)</f>
        <v>333582.48000000004</v>
      </c>
      <c r="M966" s="891"/>
      <c r="N966" s="891">
        <f>SUM(N967:N971)</f>
        <v>0</v>
      </c>
      <c r="O966" s="892">
        <f t="shared" si="60"/>
        <v>1</v>
      </c>
      <c r="P966" s="903">
        <f t="shared" si="57"/>
        <v>0</v>
      </c>
      <c r="Q966" s="893">
        <f t="shared" si="58"/>
        <v>0</v>
      </c>
      <c r="R966" s="894">
        <f t="shared" si="59"/>
        <v>5</v>
      </c>
    </row>
    <row r="967" spans="1:18" s="904" customFormat="1">
      <c r="A967" s="895"/>
      <c r="B967" s="896"/>
      <c r="C967" s="897"/>
      <c r="D967" s="897"/>
      <c r="E967" s="924" t="s">
        <v>108</v>
      </c>
      <c r="F967" s="899"/>
      <c r="G967" s="900"/>
      <c r="H967" s="901"/>
      <c r="I967" s="902"/>
      <c r="J967" s="902"/>
      <c r="K967" s="912" t="s">
        <v>274</v>
      </c>
      <c r="L967" s="902"/>
      <c r="M967" s="902"/>
      <c r="N967" s="902"/>
      <c r="O967" s="892">
        <f t="shared" si="60"/>
        <v>0</v>
      </c>
      <c r="P967" s="903">
        <f t="shared" si="57"/>
        <v>1</v>
      </c>
      <c r="Q967" s="893">
        <f t="shared" si="58"/>
        <v>5</v>
      </c>
      <c r="R967" s="894">
        <f t="shared" si="59"/>
        <v>0</v>
      </c>
    </row>
    <row r="968" spans="1:18">
      <c r="A968" s="905"/>
      <c r="B968" s="906"/>
      <c r="C968" s="907">
        <v>66</v>
      </c>
      <c r="D968" s="907" t="s">
        <v>279</v>
      </c>
      <c r="E968" s="925" t="s">
        <v>2682</v>
      </c>
      <c r="F968" s="926" t="s">
        <v>45</v>
      </c>
      <c r="G968" s="910"/>
      <c r="H968" s="911">
        <v>0.03</v>
      </c>
      <c r="I968" s="912">
        <f>VLOOKUP(E968,[3]VLP!$B$7:$K$300,10,0)</f>
        <v>5000</v>
      </c>
      <c r="J968" s="912">
        <f>I968*H968</f>
        <v>150</v>
      </c>
      <c r="K968" s="912" t="s">
        <v>274</v>
      </c>
      <c r="L968" s="912"/>
      <c r="M968" s="912"/>
      <c r="N968" s="912"/>
      <c r="O968" s="892">
        <f t="shared" si="60"/>
        <v>0</v>
      </c>
      <c r="P968" s="903">
        <f t="shared" si="57"/>
        <v>1</v>
      </c>
      <c r="Q968" s="893">
        <f t="shared" si="58"/>
        <v>4</v>
      </c>
      <c r="R968" s="894">
        <f t="shared" si="59"/>
        <v>0</v>
      </c>
    </row>
    <row r="969" spans="1:18">
      <c r="A969" s="905"/>
      <c r="B969" s="906"/>
      <c r="C969" s="907">
        <v>44</v>
      </c>
      <c r="D969" s="907" t="s">
        <v>279</v>
      </c>
      <c r="E969" s="925" t="s">
        <v>2681</v>
      </c>
      <c r="F969" s="926" t="s">
        <v>45</v>
      </c>
      <c r="G969" s="910"/>
      <c r="H969" s="911">
        <v>0.17</v>
      </c>
      <c r="I969" s="912">
        <f>VLOOKUP(E969,[3]VLP!$B$7:$K$300,10,0)</f>
        <v>23000</v>
      </c>
      <c r="J969" s="912">
        <f>I969*H969</f>
        <v>3910.0000000000005</v>
      </c>
      <c r="K969" s="912" t="s">
        <v>274</v>
      </c>
      <c r="L969" s="912"/>
      <c r="M969" s="912"/>
      <c r="N969" s="912"/>
      <c r="O969" s="892">
        <f t="shared" si="60"/>
        <v>0</v>
      </c>
      <c r="P969" s="903">
        <f t="shared" si="57"/>
        <v>1</v>
      </c>
      <c r="Q969" s="893">
        <f t="shared" si="58"/>
        <v>3</v>
      </c>
      <c r="R969" s="894">
        <f t="shared" si="59"/>
        <v>0</v>
      </c>
    </row>
    <row r="970" spans="1:18" s="904" customFormat="1">
      <c r="A970" s="895"/>
      <c r="B970" s="896"/>
      <c r="C970" s="897"/>
      <c r="D970" s="897"/>
      <c r="E970" s="924" t="s">
        <v>276</v>
      </c>
      <c r="F970" s="927"/>
      <c r="G970" s="928"/>
      <c r="H970" s="901"/>
      <c r="I970" s="902"/>
      <c r="J970" s="902"/>
      <c r="K970" s="912" t="s">
        <v>274</v>
      </c>
      <c r="L970" s="902"/>
      <c r="M970" s="902"/>
      <c r="N970" s="902"/>
      <c r="O970" s="892">
        <f t="shared" si="60"/>
        <v>0</v>
      </c>
      <c r="P970" s="903">
        <f t="shared" si="57"/>
        <v>1</v>
      </c>
      <c r="Q970" s="893">
        <f t="shared" si="58"/>
        <v>2</v>
      </c>
      <c r="R970" s="894">
        <f t="shared" si="59"/>
        <v>0</v>
      </c>
    </row>
    <row r="971" spans="1:18">
      <c r="A971" s="905"/>
      <c r="B971" s="906"/>
      <c r="C971" s="907">
        <v>740</v>
      </c>
      <c r="D971" s="907" t="s">
        <v>12</v>
      </c>
      <c r="E971" s="908" t="s">
        <v>4008</v>
      </c>
      <c r="F971" s="909" t="s">
        <v>2674</v>
      </c>
      <c r="G971" s="910"/>
      <c r="H971" s="911">
        <v>1.32</v>
      </c>
      <c r="I971" s="912"/>
      <c r="J971" s="912"/>
      <c r="K971" s="912">
        <f>VLOOKUP(E971,ĐMNC!$A$7:$F$67,4,0)</f>
        <v>252714</v>
      </c>
      <c r="L971" s="912">
        <f>H971*K971</f>
        <v>333582.48000000004</v>
      </c>
      <c r="M971" s="912"/>
      <c r="N971" s="912"/>
      <c r="O971" s="892">
        <f t="shared" si="60"/>
        <v>0</v>
      </c>
      <c r="P971" s="903">
        <f t="shared" si="57"/>
        <v>1</v>
      </c>
      <c r="Q971" s="893">
        <f t="shared" si="58"/>
        <v>1</v>
      </c>
      <c r="R971" s="894">
        <f t="shared" si="59"/>
        <v>0</v>
      </c>
    </row>
    <row r="972" spans="1:18" s="847" customFormat="1" ht="31.5">
      <c r="A972" s="905"/>
      <c r="B972" s="914" t="s">
        <v>4248</v>
      </c>
      <c r="C972" s="915"/>
      <c r="D972" s="915"/>
      <c r="E972" s="916" t="s">
        <v>4249</v>
      </c>
      <c r="F972" s="917" t="s">
        <v>249</v>
      </c>
      <c r="G972" s="918"/>
      <c r="H972" s="919"/>
      <c r="I972" s="920"/>
      <c r="J972" s="891">
        <f>SUM(J973:J977)</f>
        <v>4060.0000000000005</v>
      </c>
      <c r="K972" s="891"/>
      <c r="L972" s="891">
        <f>SUM(L973:L977)</f>
        <v>366435.3</v>
      </c>
      <c r="M972" s="891"/>
      <c r="N972" s="891">
        <f>SUM(N973:N977)</f>
        <v>0</v>
      </c>
      <c r="O972" s="892">
        <f t="shared" si="60"/>
        <v>1</v>
      </c>
      <c r="P972" s="903">
        <f t="shared" si="57"/>
        <v>0</v>
      </c>
      <c r="Q972" s="893">
        <f t="shared" si="58"/>
        <v>0</v>
      </c>
      <c r="R972" s="894">
        <f t="shared" si="59"/>
        <v>5</v>
      </c>
    </row>
    <row r="973" spans="1:18" s="904" customFormat="1">
      <c r="A973" s="895"/>
      <c r="B973" s="896"/>
      <c r="C973" s="897"/>
      <c r="D973" s="897"/>
      <c r="E973" s="924" t="s">
        <v>108</v>
      </c>
      <c r="F973" s="899"/>
      <c r="G973" s="900"/>
      <c r="H973" s="901"/>
      <c r="I973" s="902"/>
      <c r="J973" s="902"/>
      <c r="K973" s="912" t="s">
        <v>274</v>
      </c>
      <c r="L973" s="902"/>
      <c r="M973" s="902"/>
      <c r="N973" s="902"/>
      <c r="O973" s="892">
        <f t="shared" si="60"/>
        <v>0</v>
      </c>
      <c r="P973" s="903">
        <f t="shared" si="57"/>
        <v>1</v>
      </c>
      <c r="Q973" s="893">
        <f t="shared" si="58"/>
        <v>5</v>
      </c>
      <c r="R973" s="894">
        <f t="shared" si="59"/>
        <v>0</v>
      </c>
    </row>
    <row r="974" spans="1:18">
      <c r="A974" s="905"/>
      <c r="B974" s="906"/>
      <c r="C974" s="907">
        <v>66</v>
      </c>
      <c r="D974" s="907" t="s">
        <v>279</v>
      </c>
      <c r="E974" s="925" t="s">
        <v>2682</v>
      </c>
      <c r="F974" s="926" t="s">
        <v>45</v>
      </c>
      <c r="G974" s="910"/>
      <c r="H974" s="911">
        <v>0.03</v>
      </c>
      <c r="I974" s="912">
        <f>VLOOKUP(E974,[3]VLP!$B$7:$K$300,10,0)</f>
        <v>5000</v>
      </c>
      <c r="J974" s="912">
        <f>I974*H974</f>
        <v>150</v>
      </c>
      <c r="K974" s="912" t="s">
        <v>274</v>
      </c>
      <c r="L974" s="912"/>
      <c r="M974" s="912"/>
      <c r="N974" s="912"/>
      <c r="O974" s="892">
        <f t="shared" si="60"/>
        <v>0</v>
      </c>
      <c r="P974" s="903">
        <f t="shared" ref="P974:P1037" si="61">IF(O974=0,1,0)</f>
        <v>1</v>
      </c>
      <c r="Q974" s="893">
        <f t="shared" ref="Q974:Q1037" si="62">IF(P974=0,0,P974+Q975)</f>
        <v>4</v>
      </c>
      <c r="R974" s="894">
        <f t="shared" ref="R974:R1037" si="63">IF(Q974=0,Q975,0)</f>
        <v>0</v>
      </c>
    </row>
    <row r="975" spans="1:18">
      <c r="A975" s="905"/>
      <c r="B975" s="906"/>
      <c r="C975" s="907">
        <v>44</v>
      </c>
      <c r="D975" s="907" t="s">
        <v>279</v>
      </c>
      <c r="E975" s="925" t="s">
        <v>2681</v>
      </c>
      <c r="F975" s="926" t="s">
        <v>45</v>
      </c>
      <c r="G975" s="910"/>
      <c r="H975" s="911">
        <v>0.17</v>
      </c>
      <c r="I975" s="912">
        <f>VLOOKUP(E975,[3]VLP!$B$7:$K$300,10,0)</f>
        <v>23000</v>
      </c>
      <c r="J975" s="912">
        <f>I975*H975</f>
        <v>3910.0000000000005</v>
      </c>
      <c r="K975" s="912" t="s">
        <v>274</v>
      </c>
      <c r="L975" s="912"/>
      <c r="M975" s="912"/>
      <c r="N975" s="912"/>
      <c r="O975" s="892">
        <f t="shared" si="60"/>
        <v>0</v>
      </c>
      <c r="P975" s="903">
        <f t="shared" si="61"/>
        <v>1</v>
      </c>
      <c r="Q975" s="893">
        <f t="shared" si="62"/>
        <v>3</v>
      </c>
      <c r="R975" s="894">
        <f t="shared" si="63"/>
        <v>0</v>
      </c>
    </row>
    <row r="976" spans="1:18" s="904" customFormat="1">
      <c r="A976" s="895"/>
      <c r="B976" s="896"/>
      <c r="C976" s="897"/>
      <c r="D976" s="897"/>
      <c r="E976" s="924" t="s">
        <v>276</v>
      </c>
      <c r="F976" s="927"/>
      <c r="G976" s="928"/>
      <c r="H976" s="901"/>
      <c r="I976" s="902"/>
      <c r="J976" s="902"/>
      <c r="K976" s="912" t="s">
        <v>274</v>
      </c>
      <c r="L976" s="902"/>
      <c r="M976" s="902"/>
      <c r="N976" s="902"/>
      <c r="O976" s="892">
        <f t="shared" si="60"/>
        <v>0</v>
      </c>
      <c r="P976" s="903">
        <f t="shared" si="61"/>
        <v>1</v>
      </c>
      <c r="Q976" s="893">
        <f t="shared" si="62"/>
        <v>2</v>
      </c>
      <c r="R976" s="894">
        <f t="shared" si="63"/>
        <v>0</v>
      </c>
    </row>
    <row r="977" spans="1:18">
      <c r="A977" s="905"/>
      <c r="B977" s="906"/>
      <c r="C977" s="907">
        <v>740</v>
      </c>
      <c r="D977" s="907" t="s">
        <v>12</v>
      </c>
      <c r="E977" s="908" t="s">
        <v>4008</v>
      </c>
      <c r="F977" s="909" t="s">
        <v>2674</v>
      </c>
      <c r="G977" s="910"/>
      <c r="H977" s="911">
        <v>1.45</v>
      </c>
      <c r="I977" s="912"/>
      <c r="J977" s="912"/>
      <c r="K977" s="912">
        <f>VLOOKUP(E977,ĐMNC!$A$7:$F$67,4,0)</f>
        <v>252714</v>
      </c>
      <c r="L977" s="912">
        <f>H977*K977</f>
        <v>366435.3</v>
      </c>
      <c r="M977" s="912"/>
      <c r="N977" s="912"/>
      <c r="O977" s="892">
        <f t="shared" si="60"/>
        <v>0</v>
      </c>
      <c r="P977" s="903">
        <f t="shared" si="61"/>
        <v>1</v>
      </c>
      <c r="Q977" s="893">
        <f t="shared" si="62"/>
        <v>1</v>
      </c>
      <c r="R977" s="894">
        <f t="shared" si="63"/>
        <v>0</v>
      </c>
    </row>
    <row r="978" spans="1:18" s="847" customFormat="1" ht="31.5">
      <c r="A978" s="905"/>
      <c r="B978" s="914" t="s">
        <v>4250</v>
      </c>
      <c r="C978" s="915"/>
      <c r="D978" s="915"/>
      <c r="E978" s="916" t="s">
        <v>4251</v>
      </c>
      <c r="F978" s="917" t="s">
        <v>249</v>
      </c>
      <c r="G978" s="918"/>
      <c r="H978" s="919"/>
      <c r="I978" s="920"/>
      <c r="J978" s="891">
        <f>SUM(J979:J983)</f>
        <v>4060.0000000000005</v>
      </c>
      <c r="K978" s="891"/>
      <c r="L978" s="891">
        <f>SUM(L979:L983)</f>
        <v>422032.38</v>
      </c>
      <c r="M978" s="891"/>
      <c r="N978" s="891">
        <f>SUM(N979:N983)</f>
        <v>0</v>
      </c>
      <c r="O978" s="892">
        <f t="shared" si="60"/>
        <v>1</v>
      </c>
      <c r="P978" s="903">
        <f t="shared" si="61"/>
        <v>0</v>
      </c>
      <c r="Q978" s="893">
        <f t="shared" si="62"/>
        <v>0</v>
      </c>
      <c r="R978" s="894">
        <f t="shared" si="63"/>
        <v>5</v>
      </c>
    </row>
    <row r="979" spans="1:18" s="904" customFormat="1">
      <c r="A979" s="895"/>
      <c r="B979" s="896"/>
      <c r="C979" s="897"/>
      <c r="D979" s="897"/>
      <c r="E979" s="924" t="s">
        <v>108</v>
      </c>
      <c r="F979" s="899"/>
      <c r="G979" s="900"/>
      <c r="H979" s="901"/>
      <c r="I979" s="902"/>
      <c r="J979" s="902"/>
      <c r="K979" s="912" t="s">
        <v>274</v>
      </c>
      <c r="L979" s="902"/>
      <c r="M979" s="902"/>
      <c r="N979" s="902"/>
      <c r="O979" s="892">
        <f t="shared" si="60"/>
        <v>0</v>
      </c>
      <c r="P979" s="903">
        <f t="shared" si="61"/>
        <v>1</v>
      </c>
      <c r="Q979" s="893">
        <f t="shared" si="62"/>
        <v>5</v>
      </c>
      <c r="R979" s="894">
        <f t="shared" si="63"/>
        <v>0</v>
      </c>
    </row>
    <row r="980" spans="1:18">
      <c r="A980" s="905"/>
      <c r="B980" s="906"/>
      <c r="C980" s="907">
        <v>66</v>
      </c>
      <c r="D980" s="907" t="s">
        <v>279</v>
      </c>
      <c r="E980" s="925" t="s">
        <v>2682</v>
      </c>
      <c r="F980" s="926" t="s">
        <v>45</v>
      </c>
      <c r="G980" s="910"/>
      <c r="H980" s="911">
        <v>0.03</v>
      </c>
      <c r="I980" s="912">
        <f>VLOOKUP(E980,[3]VLP!$B$7:$K$300,10,0)</f>
        <v>5000</v>
      </c>
      <c r="J980" s="912">
        <f>I980*H980</f>
        <v>150</v>
      </c>
      <c r="K980" s="912" t="s">
        <v>274</v>
      </c>
      <c r="L980" s="912"/>
      <c r="M980" s="912"/>
      <c r="N980" s="912"/>
      <c r="O980" s="892">
        <f t="shared" si="60"/>
        <v>0</v>
      </c>
      <c r="P980" s="903">
        <f t="shared" si="61"/>
        <v>1</v>
      </c>
      <c r="Q980" s="893">
        <f t="shared" si="62"/>
        <v>4</v>
      </c>
      <c r="R980" s="894">
        <f t="shared" si="63"/>
        <v>0</v>
      </c>
    </row>
    <row r="981" spans="1:18">
      <c r="A981" s="905"/>
      <c r="B981" s="906"/>
      <c r="C981" s="907">
        <v>44</v>
      </c>
      <c r="D981" s="907" t="s">
        <v>279</v>
      </c>
      <c r="E981" s="925" t="s">
        <v>2681</v>
      </c>
      <c r="F981" s="926" t="s">
        <v>45</v>
      </c>
      <c r="G981" s="910"/>
      <c r="H981" s="911">
        <v>0.17</v>
      </c>
      <c r="I981" s="912">
        <f>VLOOKUP(E981,[3]VLP!$B$7:$K$300,10,0)</f>
        <v>23000</v>
      </c>
      <c r="J981" s="912">
        <f>I981*H981</f>
        <v>3910.0000000000005</v>
      </c>
      <c r="K981" s="912" t="s">
        <v>274</v>
      </c>
      <c r="L981" s="912"/>
      <c r="M981" s="912"/>
      <c r="N981" s="912"/>
      <c r="O981" s="892">
        <f t="shared" si="60"/>
        <v>0</v>
      </c>
      <c r="P981" s="903">
        <f t="shared" si="61"/>
        <v>1</v>
      </c>
      <c r="Q981" s="893">
        <f t="shared" si="62"/>
        <v>3</v>
      </c>
      <c r="R981" s="894">
        <f t="shared" si="63"/>
        <v>0</v>
      </c>
    </row>
    <row r="982" spans="1:18" s="904" customFormat="1">
      <c r="A982" s="895"/>
      <c r="B982" s="896"/>
      <c r="C982" s="897"/>
      <c r="D982" s="897"/>
      <c r="E982" s="924" t="s">
        <v>276</v>
      </c>
      <c r="F982" s="927"/>
      <c r="G982" s="928"/>
      <c r="H982" s="901"/>
      <c r="I982" s="902"/>
      <c r="J982" s="902"/>
      <c r="K982" s="912" t="s">
        <v>274</v>
      </c>
      <c r="L982" s="902"/>
      <c r="M982" s="902"/>
      <c r="N982" s="902"/>
      <c r="O982" s="892">
        <f t="shared" si="60"/>
        <v>0</v>
      </c>
      <c r="P982" s="903">
        <f t="shared" si="61"/>
        <v>1</v>
      </c>
      <c r="Q982" s="893">
        <f t="shared" si="62"/>
        <v>2</v>
      </c>
      <c r="R982" s="894">
        <f t="shared" si="63"/>
        <v>0</v>
      </c>
    </row>
    <row r="983" spans="1:18">
      <c r="A983" s="905"/>
      <c r="B983" s="906"/>
      <c r="C983" s="907">
        <v>740</v>
      </c>
      <c r="D983" s="907" t="s">
        <v>12</v>
      </c>
      <c r="E983" s="908" t="s">
        <v>4008</v>
      </c>
      <c r="F983" s="909" t="s">
        <v>2674</v>
      </c>
      <c r="G983" s="910"/>
      <c r="H983" s="911">
        <v>1.67</v>
      </c>
      <c r="I983" s="912"/>
      <c r="J983" s="912"/>
      <c r="K983" s="912">
        <f>VLOOKUP(E983,ĐMNC!$A$7:$F$67,4,0)</f>
        <v>252714</v>
      </c>
      <c r="L983" s="912">
        <f>H983*K983</f>
        <v>422032.38</v>
      </c>
      <c r="M983" s="912"/>
      <c r="N983" s="912"/>
      <c r="O983" s="892">
        <f t="shared" si="60"/>
        <v>0</v>
      </c>
      <c r="P983" s="903">
        <f t="shared" si="61"/>
        <v>1</v>
      </c>
      <c r="Q983" s="893">
        <f t="shared" si="62"/>
        <v>1</v>
      </c>
      <c r="R983" s="894">
        <f t="shared" si="63"/>
        <v>0</v>
      </c>
    </row>
    <row r="984" spans="1:18" s="847" customFormat="1" ht="31.5">
      <c r="A984" s="905"/>
      <c r="B984" s="914" t="s">
        <v>4252</v>
      </c>
      <c r="C984" s="915"/>
      <c r="D984" s="915"/>
      <c r="E984" s="916" t="s">
        <v>4253</v>
      </c>
      <c r="F984" s="917" t="s">
        <v>249</v>
      </c>
      <c r="G984" s="918"/>
      <c r="H984" s="919"/>
      <c r="I984" s="920"/>
      <c r="J984" s="891">
        <f>SUM(J985:J989)</f>
        <v>4060.0000000000005</v>
      </c>
      <c r="K984" s="891"/>
      <c r="L984" s="891">
        <f>SUM(L985:L989)</f>
        <v>485210.88</v>
      </c>
      <c r="M984" s="891"/>
      <c r="N984" s="891">
        <f>SUM(N985:N989)</f>
        <v>0</v>
      </c>
      <c r="O984" s="892">
        <f t="shared" si="60"/>
        <v>1</v>
      </c>
      <c r="P984" s="903">
        <f t="shared" si="61"/>
        <v>0</v>
      </c>
      <c r="Q984" s="893">
        <f t="shared" si="62"/>
        <v>0</v>
      </c>
      <c r="R984" s="894">
        <f t="shared" si="63"/>
        <v>5</v>
      </c>
    </row>
    <row r="985" spans="1:18" s="904" customFormat="1">
      <c r="A985" s="895"/>
      <c r="B985" s="896"/>
      <c r="C985" s="897"/>
      <c r="D985" s="897"/>
      <c r="E985" s="924" t="s">
        <v>108</v>
      </c>
      <c r="F985" s="899"/>
      <c r="G985" s="900"/>
      <c r="H985" s="901"/>
      <c r="I985" s="902"/>
      <c r="J985" s="902"/>
      <c r="K985" s="912" t="s">
        <v>274</v>
      </c>
      <c r="L985" s="902"/>
      <c r="M985" s="902"/>
      <c r="N985" s="902"/>
      <c r="O985" s="892">
        <f t="shared" si="60"/>
        <v>0</v>
      </c>
      <c r="P985" s="903">
        <f t="shared" si="61"/>
        <v>1</v>
      </c>
      <c r="Q985" s="893">
        <f t="shared" si="62"/>
        <v>5</v>
      </c>
      <c r="R985" s="894">
        <f t="shared" si="63"/>
        <v>0</v>
      </c>
    </row>
    <row r="986" spans="1:18">
      <c r="A986" s="905"/>
      <c r="B986" s="906"/>
      <c r="C986" s="907">
        <v>66</v>
      </c>
      <c r="D986" s="907" t="s">
        <v>279</v>
      </c>
      <c r="E986" s="925" t="s">
        <v>2682</v>
      </c>
      <c r="F986" s="926" t="s">
        <v>45</v>
      </c>
      <c r="G986" s="910"/>
      <c r="H986" s="911">
        <v>0.03</v>
      </c>
      <c r="I986" s="912">
        <f>VLOOKUP(E986,[3]VLP!$B$7:$K$300,10,0)</f>
        <v>5000</v>
      </c>
      <c r="J986" s="912">
        <f>I986*H986</f>
        <v>150</v>
      </c>
      <c r="K986" s="912" t="s">
        <v>274</v>
      </c>
      <c r="L986" s="912"/>
      <c r="M986" s="912"/>
      <c r="N986" s="912"/>
      <c r="O986" s="892">
        <f t="shared" si="60"/>
        <v>0</v>
      </c>
      <c r="P986" s="903">
        <f t="shared" si="61"/>
        <v>1</v>
      </c>
      <c r="Q986" s="893">
        <f t="shared" si="62"/>
        <v>4</v>
      </c>
      <c r="R986" s="894">
        <f t="shared" si="63"/>
        <v>0</v>
      </c>
    </row>
    <row r="987" spans="1:18">
      <c r="A987" s="905"/>
      <c r="B987" s="906"/>
      <c r="C987" s="907">
        <v>44</v>
      </c>
      <c r="D987" s="907" t="s">
        <v>279</v>
      </c>
      <c r="E987" s="925" t="s">
        <v>2681</v>
      </c>
      <c r="F987" s="926" t="s">
        <v>45</v>
      </c>
      <c r="G987" s="910"/>
      <c r="H987" s="911">
        <v>0.17</v>
      </c>
      <c r="I987" s="912">
        <f>VLOOKUP(E987,[3]VLP!$B$7:$K$300,10,0)</f>
        <v>23000</v>
      </c>
      <c r="J987" s="912">
        <f>I987*H987</f>
        <v>3910.0000000000005</v>
      </c>
      <c r="K987" s="912" t="s">
        <v>274</v>
      </c>
      <c r="L987" s="912"/>
      <c r="M987" s="912"/>
      <c r="N987" s="912"/>
      <c r="O987" s="892">
        <f t="shared" si="60"/>
        <v>0</v>
      </c>
      <c r="P987" s="903">
        <f t="shared" si="61"/>
        <v>1</v>
      </c>
      <c r="Q987" s="893">
        <f t="shared" si="62"/>
        <v>3</v>
      </c>
      <c r="R987" s="894">
        <f t="shared" si="63"/>
        <v>0</v>
      </c>
    </row>
    <row r="988" spans="1:18" s="904" customFormat="1">
      <c r="A988" s="895"/>
      <c r="B988" s="896"/>
      <c r="C988" s="897"/>
      <c r="D988" s="897"/>
      <c r="E988" s="924" t="s">
        <v>276</v>
      </c>
      <c r="F988" s="927"/>
      <c r="G988" s="928"/>
      <c r="H988" s="901"/>
      <c r="I988" s="902"/>
      <c r="J988" s="902"/>
      <c r="K988" s="912" t="s">
        <v>274</v>
      </c>
      <c r="L988" s="902"/>
      <c r="M988" s="902"/>
      <c r="N988" s="902"/>
      <c r="O988" s="892">
        <f t="shared" si="60"/>
        <v>0</v>
      </c>
      <c r="P988" s="903">
        <f t="shared" si="61"/>
        <v>1</v>
      </c>
      <c r="Q988" s="893">
        <f t="shared" si="62"/>
        <v>2</v>
      </c>
      <c r="R988" s="894">
        <f t="shared" si="63"/>
        <v>0</v>
      </c>
    </row>
    <row r="989" spans="1:18">
      <c r="A989" s="905"/>
      <c r="B989" s="906"/>
      <c r="C989" s="907">
        <v>740</v>
      </c>
      <c r="D989" s="907" t="s">
        <v>12</v>
      </c>
      <c r="E989" s="908" t="s">
        <v>4008</v>
      </c>
      <c r="F989" s="909" t="s">
        <v>2674</v>
      </c>
      <c r="G989" s="910"/>
      <c r="H989" s="911">
        <v>1.92</v>
      </c>
      <c r="I989" s="912"/>
      <c r="J989" s="912"/>
      <c r="K989" s="912">
        <f>VLOOKUP(E989,ĐMNC!$A$7:$F$67,4,0)</f>
        <v>252714</v>
      </c>
      <c r="L989" s="912">
        <f>H989*K989</f>
        <v>485210.88</v>
      </c>
      <c r="M989" s="912"/>
      <c r="N989" s="912"/>
      <c r="O989" s="892">
        <f t="shared" si="60"/>
        <v>0</v>
      </c>
      <c r="P989" s="903">
        <f t="shared" si="61"/>
        <v>1</v>
      </c>
      <c r="Q989" s="893">
        <f t="shared" si="62"/>
        <v>1</v>
      </c>
      <c r="R989" s="894">
        <f t="shared" si="63"/>
        <v>0</v>
      </c>
    </row>
    <row r="990" spans="1:18" s="847" customFormat="1" ht="31.5">
      <c r="A990" s="905"/>
      <c r="B990" s="914" t="s">
        <v>4254</v>
      </c>
      <c r="C990" s="915"/>
      <c r="D990" s="915"/>
      <c r="E990" s="916" t="s">
        <v>4255</v>
      </c>
      <c r="F990" s="917" t="s">
        <v>249</v>
      </c>
      <c r="G990" s="918"/>
      <c r="H990" s="919"/>
      <c r="I990" s="920"/>
      <c r="J990" s="891">
        <f>SUM(J991:J995)</f>
        <v>4750</v>
      </c>
      <c r="K990" s="891"/>
      <c r="L990" s="891">
        <f>SUM(L991:L995)</f>
        <v>288093.95999999996</v>
      </c>
      <c r="M990" s="891"/>
      <c r="N990" s="891">
        <f>SUM(N991:N995)</f>
        <v>0</v>
      </c>
      <c r="O990" s="892">
        <f t="shared" si="60"/>
        <v>1</v>
      </c>
      <c r="P990" s="903">
        <f t="shared" si="61"/>
        <v>0</v>
      </c>
      <c r="Q990" s="893">
        <f t="shared" si="62"/>
        <v>0</v>
      </c>
      <c r="R990" s="894">
        <f t="shared" si="63"/>
        <v>5</v>
      </c>
    </row>
    <row r="991" spans="1:18" s="904" customFormat="1">
      <c r="A991" s="895"/>
      <c r="B991" s="896"/>
      <c r="C991" s="897"/>
      <c r="D991" s="897"/>
      <c r="E991" s="924" t="s">
        <v>108</v>
      </c>
      <c r="F991" s="899"/>
      <c r="G991" s="900"/>
      <c r="H991" s="901"/>
      <c r="I991" s="902"/>
      <c r="J991" s="902"/>
      <c r="K991" s="912" t="s">
        <v>274</v>
      </c>
      <c r="L991" s="902"/>
      <c r="M991" s="902"/>
      <c r="N991" s="902"/>
      <c r="O991" s="892">
        <f t="shared" si="60"/>
        <v>0</v>
      </c>
      <c r="P991" s="903">
        <f t="shared" si="61"/>
        <v>1</v>
      </c>
      <c r="Q991" s="893">
        <f t="shared" si="62"/>
        <v>5</v>
      </c>
      <c r="R991" s="894">
        <f t="shared" si="63"/>
        <v>0</v>
      </c>
    </row>
    <row r="992" spans="1:18">
      <c r="A992" s="905"/>
      <c r="B992" s="906"/>
      <c r="C992" s="907">
        <v>66</v>
      </c>
      <c r="D992" s="907" t="s">
        <v>279</v>
      </c>
      <c r="E992" s="925" t="s">
        <v>2682</v>
      </c>
      <c r="F992" s="926" t="s">
        <v>45</v>
      </c>
      <c r="G992" s="910"/>
      <c r="H992" s="911">
        <v>0.03</v>
      </c>
      <c r="I992" s="912">
        <f>VLOOKUP(E992,[3]VLP!$B$7:$K$300,10,0)</f>
        <v>5000</v>
      </c>
      <c r="J992" s="912">
        <f>I992*H992</f>
        <v>150</v>
      </c>
      <c r="K992" s="912" t="s">
        <v>274</v>
      </c>
      <c r="L992" s="912"/>
      <c r="M992" s="912"/>
      <c r="N992" s="912"/>
      <c r="O992" s="892">
        <f t="shared" si="60"/>
        <v>0</v>
      </c>
      <c r="P992" s="903">
        <f t="shared" si="61"/>
        <v>1</v>
      </c>
      <c r="Q992" s="893">
        <f t="shared" si="62"/>
        <v>4</v>
      </c>
      <c r="R992" s="894">
        <f t="shared" si="63"/>
        <v>0</v>
      </c>
    </row>
    <row r="993" spans="1:18">
      <c r="A993" s="905"/>
      <c r="B993" s="906"/>
      <c r="C993" s="907">
        <v>44</v>
      </c>
      <c r="D993" s="907" t="s">
        <v>279</v>
      </c>
      <c r="E993" s="925" t="s">
        <v>2681</v>
      </c>
      <c r="F993" s="926" t="s">
        <v>45</v>
      </c>
      <c r="G993" s="910"/>
      <c r="H993" s="911">
        <v>0.2</v>
      </c>
      <c r="I993" s="912">
        <f>VLOOKUP(E993,[3]VLP!$B$7:$K$300,10,0)</f>
        <v>23000</v>
      </c>
      <c r="J993" s="912">
        <f>I993*H993</f>
        <v>4600</v>
      </c>
      <c r="K993" s="912" t="s">
        <v>274</v>
      </c>
      <c r="L993" s="912"/>
      <c r="M993" s="912"/>
      <c r="N993" s="912"/>
      <c r="O993" s="892">
        <f t="shared" si="60"/>
        <v>0</v>
      </c>
      <c r="P993" s="903">
        <f t="shared" si="61"/>
        <v>1</v>
      </c>
      <c r="Q993" s="893">
        <f t="shared" si="62"/>
        <v>3</v>
      </c>
      <c r="R993" s="894">
        <f t="shared" si="63"/>
        <v>0</v>
      </c>
    </row>
    <row r="994" spans="1:18" s="904" customFormat="1">
      <c r="A994" s="895"/>
      <c r="B994" s="896"/>
      <c r="C994" s="897"/>
      <c r="D994" s="897"/>
      <c r="E994" s="924" t="s">
        <v>276</v>
      </c>
      <c r="F994" s="927"/>
      <c r="G994" s="928"/>
      <c r="H994" s="901"/>
      <c r="I994" s="902"/>
      <c r="J994" s="902"/>
      <c r="K994" s="912" t="s">
        <v>274</v>
      </c>
      <c r="L994" s="902"/>
      <c r="M994" s="902"/>
      <c r="N994" s="902"/>
      <c r="O994" s="892">
        <f t="shared" si="60"/>
        <v>0</v>
      </c>
      <c r="P994" s="903">
        <f t="shared" si="61"/>
        <v>1</v>
      </c>
      <c r="Q994" s="893">
        <f t="shared" si="62"/>
        <v>2</v>
      </c>
      <c r="R994" s="894">
        <f t="shared" si="63"/>
        <v>0</v>
      </c>
    </row>
    <row r="995" spans="1:18">
      <c r="A995" s="905"/>
      <c r="B995" s="906"/>
      <c r="C995" s="907">
        <v>740</v>
      </c>
      <c r="D995" s="907" t="s">
        <v>12</v>
      </c>
      <c r="E995" s="908" t="s">
        <v>4008</v>
      </c>
      <c r="F995" s="909" t="s">
        <v>2674</v>
      </c>
      <c r="G995" s="910"/>
      <c r="H995" s="911">
        <v>1.1399999999999999</v>
      </c>
      <c r="I995" s="912"/>
      <c r="J995" s="912"/>
      <c r="K995" s="912">
        <f>VLOOKUP(E995,ĐMNC!$A$7:$F$67,4,0)</f>
        <v>252714</v>
      </c>
      <c r="L995" s="912">
        <f>H995*K995</f>
        <v>288093.95999999996</v>
      </c>
      <c r="M995" s="912"/>
      <c r="N995" s="912"/>
      <c r="O995" s="892">
        <f t="shared" si="60"/>
        <v>0</v>
      </c>
      <c r="P995" s="903">
        <f t="shared" si="61"/>
        <v>1</v>
      </c>
      <c r="Q995" s="893">
        <f t="shared" si="62"/>
        <v>1</v>
      </c>
      <c r="R995" s="894">
        <f t="shared" si="63"/>
        <v>0</v>
      </c>
    </row>
    <row r="996" spans="1:18" s="847" customFormat="1" ht="31.5">
      <c r="A996" s="905"/>
      <c r="B996" s="914" t="s">
        <v>4256</v>
      </c>
      <c r="C996" s="915"/>
      <c r="D996" s="915"/>
      <c r="E996" s="916" t="s">
        <v>4257</v>
      </c>
      <c r="F996" s="917" t="s">
        <v>249</v>
      </c>
      <c r="G996" s="918"/>
      <c r="H996" s="919"/>
      <c r="I996" s="920"/>
      <c r="J996" s="891">
        <f>SUM(J997:J1001)</f>
        <v>4750</v>
      </c>
      <c r="K996" s="891"/>
      <c r="L996" s="891">
        <f>SUM(L997:L1001)</f>
        <v>303256.8</v>
      </c>
      <c r="M996" s="891"/>
      <c r="N996" s="891">
        <f>SUM(N997:N1001)</f>
        <v>0</v>
      </c>
      <c r="O996" s="892">
        <f t="shared" si="60"/>
        <v>1</v>
      </c>
      <c r="P996" s="903">
        <f t="shared" si="61"/>
        <v>0</v>
      </c>
      <c r="Q996" s="893">
        <f t="shared" si="62"/>
        <v>0</v>
      </c>
      <c r="R996" s="894">
        <f t="shared" si="63"/>
        <v>5</v>
      </c>
    </row>
    <row r="997" spans="1:18" s="904" customFormat="1">
      <c r="A997" s="895"/>
      <c r="B997" s="896"/>
      <c r="C997" s="897"/>
      <c r="D997" s="897"/>
      <c r="E997" s="924" t="s">
        <v>108</v>
      </c>
      <c r="F997" s="899"/>
      <c r="G997" s="900"/>
      <c r="H997" s="901"/>
      <c r="I997" s="902"/>
      <c r="J997" s="902"/>
      <c r="K997" s="912" t="s">
        <v>274</v>
      </c>
      <c r="L997" s="902"/>
      <c r="M997" s="902"/>
      <c r="N997" s="902"/>
      <c r="O997" s="892">
        <f t="shared" si="60"/>
        <v>0</v>
      </c>
      <c r="P997" s="903">
        <f t="shared" si="61"/>
        <v>1</v>
      </c>
      <c r="Q997" s="893">
        <f t="shared" si="62"/>
        <v>5</v>
      </c>
      <c r="R997" s="894">
        <f t="shared" si="63"/>
        <v>0</v>
      </c>
    </row>
    <row r="998" spans="1:18">
      <c r="A998" s="905"/>
      <c r="B998" s="906"/>
      <c r="C998" s="907">
        <v>66</v>
      </c>
      <c r="D998" s="907" t="s">
        <v>279</v>
      </c>
      <c r="E998" s="925" t="s">
        <v>2682</v>
      </c>
      <c r="F998" s="926" t="s">
        <v>45</v>
      </c>
      <c r="G998" s="910"/>
      <c r="H998" s="911">
        <v>0.03</v>
      </c>
      <c r="I998" s="912">
        <f>VLOOKUP(E998,[3]VLP!$B$7:$K$300,10,0)</f>
        <v>5000</v>
      </c>
      <c r="J998" s="912">
        <f>I998*H998</f>
        <v>150</v>
      </c>
      <c r="K998" s="912" t="s">
        <v>274</v>
      </c>
      <c r="L998" s="912"/>
      <c r="M998" s="912"/>
      <c r="N998" s="912"/>
      <c r="O998" s="892">
        <f t="shared" si="60"/>
        <v>0</v>
      </c>
      <c r="P998" s="903">
        <f t="shared" si="61"/>
        <v>1</v>
      </c>
      <c r="Q998" s="893">
        <f t="shared" si="62"/>
        <v>4</v>
      </c>
      <c r="R998" s="894">
        <f t="shared" si="63"/>
        <v>0</v>
      </c>
    </row>
    <row r="999" spans="1:18">
      <c r="A999" s="905"/>
      <c r="B999" s="906"/>
      <c r="C999" s="907">
        <v>44</v>
      </c>
      <c r="D999" s="907" t="s">
        <v>279</v>
      </c>
      <c r="E999" s="925" t="s">
        <v>2681</v>
      </c>
      <c r="F999" s="926" t="s">
        <v>45</v>
      </c>
      <c r="G999" s="910"/>
      <c r="H999" s="911">
        <v>0.2</v>
      </c>
      <c r="I999" s="912">
        <f>VLOOKUP(E999,[3]VLP!$B$7:$K$300,10,0)</f>
        <v>23000</v>
      </c>
      <c r="J999" s="912">
        <f>I999*H999</f>
        <v>4600</v>
      </c>
      <c r="K999" s="912" t="s">
        <v>274</v>
      </c>
      <c r="L999" s="912"/>
      <c r="M999" s="912"/>
      <c r="N999" s="912"/>
      <c r="O999" s="892">
        <f t="shared" si="60"/>
        <v>0</v>
      </c>
      <c r="P999" s="903">
        <f t="shared" si="61"/>
        <v>1</v>
      </c>
      <c r="Q999" s="893">
        <f t="shared" si="62"/>
        <v>3</v>
      </c>
      <c r="R999" s="894">
        <f t="shared" si="63"/>
        <v>0</v>
      </c>
    </row>
    <row r="1000" spans="1:18" s="904" customFormat="1">
      <c r="A1000" s="895"/>
      <c r="B1000" s="896"/>
      <c r="C1000" s="897"/>
      <c r="D1000" s="897"/>
      <c r="E1000" s="924" t="s">
        <v>276</v>
      </c>
      <c r="F1000" s="927"/>
      <c r="G1000" s="928"/>
      <c r="H1000" s="901"/>
      <c r="I1000" s="902"/>
      <c r="J1000" s="902"/>
      <c r="K1000" s="912" t="s">
        <v>274</v>
      </c>
      <c r="L1000" s="902"/>
      <c r="M1000" s="902"/>
      <c r="N1000" s="902"/>
      <c r="O1000" s="892">
        <f t="shared" si="60"/>
        <v>0</v>
      </c>
      <c r="P1000" s="903">
        <f t="shared" si="61"/>
        <v>1</v>
      </c>
      <c r="Q1000" s="893">
        <f t="shared" si="62"/>
        <v>2</v>
      </c>
      <c r="R1000" s="894">
        <f t="shared" si="63"/>
        <v>0</v>
      </c>
    </row>
    <row r="1001" spans="1:18">
      <c r="A1001" s="905"/>
      <c r="B1001" s="906"/>
      <c r="C1001" s="907">
        <v>740</v>
      </c>
      <c r="D1001" s="907" t="s">
        <v>12</v>
      </c>
      <c r="E1001" s="908" t="s">
        <v>4008</v>
      </c>
      <c r="F1001" s="909" t="s">
        <v>2674</v>
      </c>
      <c r="G1001" s="910"/>
      <c r="H1001" s="911">
        <v>1.2</v>
      </c>
      <c r="I1001" s="912"/>
      <c r="J1001" s="912"/>
      <c r="K1001" s="912">
        <f>VLOOKUP(E1001,ĐMNC!$A$7:$F$67,4,0)</f>
        <v>252714</v>
      </c>
      <c r="L1001" s="912">
        <f>H1001*K1001</f>
        <v>303256.8</v>
      </c>
      <c r="M1001" s="912"/>
      <c r="N1001" s="912"/>
      <c r="O1001" s="892">
        <f t="shared" si="60"/>
        <v>0</v>
      </c>
      <c r="P1001" s="903">
        <f t="shared" si="61"/>
        <v>1</v>
      </c>
      <c r="Q1001" s="893">
        <f t="shared" si="62"/>
        <v>1</v>
      </c>
      <c r="R1001" s="894">
        <f t="shared" si="63"/>
        <v>0</v>
      </c>
    </row>
    <row r="1002" spans="1:18" s="847" customFormat="1" ht="31.5">
      <c r="A1002" s="905"/>
      <c r="B1002" s="914" t="s">
        <v>4258</v>
      </c>
      <c r="C1002" s="915"/>
      <c r="D1002" s="915"/>
      <c r="E1002" s="916" t="s">
        <v>4259</v>
      </c>
      <c r="F1002" s="917" t="s">
        <v>249</v>
      </c>
      <c r="G1002" s="918"/>
      <c r="H1002" s="919"/>
      <c r="I1002" s="920"/>
      <c r="J1002" s="891">
        <f>SUM(J1003:J1007)</f>
        <v>4750</v>
      </c>
      <c r="K1002" s="891"/>
      <c r="L1002" s="891">
        <f>SUM(L1003:L1007)</f>
        <v>331055.34000000003</v>
      </c>
      <c r="M1002" s="891"/>
      <c r="N1002" s="891">
        <f>SUM(N1003:N1007)</f>
        <v>0</v>
      </c>
      <c r="O1002" s="892">
        <f t="shared" si="60"/>
        <v>1</v>
      </c>
      <c r="P1002" s="903">
        <f t="shared" si="61"/>
        <v>0</v>
      </c>
      <c r="Q1002" s="893">
        <f t="shared" si="62"/>
        <v>0</v>
      </c>
      <c r="R1002" s="894">
        <f t="shared" si="63"/>
        <v>5</v>
      </c>
    </row>
    <row r="1003" spans="1:18" s="904" customFormat="1">
      <c r="A1003" s="895"/>
      <c r="B1003" s="896"/>
      <c r="C1003" s="897"/>
      <c r="D1003" s="897"/>
      <c r="E1003" s="924" t="s">
        <v>108</v>
      </c>
      <c r="F1003" s="899"/>
      <c r="G1003" s="900"/>
      <c r="H1003" s="901"/>
      <c r="I1003" s="902"/>
      <c r="J1003" s="902"/>
      <c r="K1003" s="912" t="s">
        <v>274</v>
      </c>
      <c r="L1003" s="902"/>
      <c r="M1003" s="902"/>
      <c r="N1003" s="902"/>
      <c r="O1003" s="892">
        <f t="shared" si="60"/>
        <v>0</v>
      </c>
      <c r="P1003" s="903">
        <f t="shared" si="61"/>
        <v>1</v>
      </c>
      <c r="Q1003" s="893">
        <f t="shared" si="62"/>
        <v>5</v>
      </c>
      <c r="R1003" s="894">
        <f t="shared" si="63"/>
        <v>0</v>
      </c>
    </row>
    <row r="1004" spans="1:18">
      <c r="A1004" s="905"/>
      <c r="B1004" s="906"/>
      <c r="C1004" s="907">
        <v>66</v>
      </c>
      <c r="D1004" s="907" t="s">
        <v>279</v>
      </c>
      <c r="E1004" s="925" t="s">
        <v>2682</v>
      </c>
      <c r="F1004" s="926" t="s">
        <v>45</v>
      </c>
      <c r="G1004" s="910"/>
      <c r="H1004" s="911">
        <v>0.03</v>
      </c>
      <c r="I1004" s="912">
        <f>VLOOKUP(E1004,[3]VLP!$B$7:$K$300,10,0)</f>
        <v>5000</v>
      </c>
      <c r="J1004" s="912">
        <f>I1004*H1004</f>
        <v>150</v>
      </c>
      <c r="K1004" s="912" t="s">
        <v>274</v>
      </c>
      <c r="L1004" s="912"/>
      <c r="M1004" s="912"/>
      <c r="N1004" s="912"/>
      <c r="O1004" s="892">
        <f t="shared" si="60"/>
        <v>0</v>
      </c>
      <c r="P1004" s="903">
        <f t="shared" si="61"/>
        <v>1</v>
      </c>
      <c r="Q1004" s="893">
        <f t="shared" si="62"/>
        <v>4</v>
      </c>
      <c r="R1004" s="894">
        <f t="shared" si="63"/>
        <v>0</v>
      </c>
    </row>
    <row r="1005" spans="1:18">
      <c r="A1005" s="905"/>
      <c r="B1005" s="906"/>
      <c r="C1005" s="907">
        <v>44</v>
      </c>
      <c r="D1005" s="907" t="s">
        <v>279</v>
      </c>
      <c r="E1005" s="925" t="s">
        <v>2681</v>
      </c>
      <c r="F1005" s="926" t="s">
        <v>45</v>
      </c>
      <c r="G1005" s="910"/>
      <c r="H1005" s="911">
        <v>0.2</v>
      </c>
      <c r="I1005" s="912">
        <f>VLOOKUP(E1005,[3]VLP!$B$7:$K$300,10,0)</f>
        <v>23000</v>
      </c>
      <c r="J1005" s="912">
        <f>I1005*H1005</f>
        <v>4600</v>
      </c>
      <c r="K1005" s="912" t="s">
        <v>274</v>
      </c>
      <c r="L1005" s="912"/>
      <c r="M1005" s="912"/>
      <c r="N1005" s="912"/>
      <c r="O1005" s="892">
        <f t="shared" si="60"/>
        <v>0</v>
      </c>
      <c r="P1005" s="903">
        <f t="shared" si="61"/>
        <v>1</v>
      </c>
      <c r="Q1005" s="893">
        <f t="shared" si="62"/>
        <v>3</v>
      </c>
      <c r="R1005" s="894">
        <f t="shared" si="63"/>
        <v>0</v>
      </c>
    </row>
    <row r="1006" spans="1:18" s="904" customFormat="1">
      <c r="A1006" s="895"/>
      <c r="B1006" s="896"/>
      <c r="C1006" s="897"/>
      <c r="D1006" s="897"/>
      <c r="E1006" s="924" t="s">
        <v>276</v>
      </c>
      <c r="F1006" s="927"/>
      <c r="G1006" s="928"/>
      <c r="H1006" s="901"/>
      <c r="I1006" s="902"/>
      <c r="J1006" s="902"/>
      <c r="K1006" s="912" t="s">
        <v>274</v>
      </c>
      <c r="L1006" s="902"/>
      <c r="M1006" s="902"/>
      <c r="N1006" s="902"/>
      <c r="O1006" s="892">
        <f t="shared" si="60"/>
        <v>0</v>
      </c>
      <c r="P1006" s="903">
        <f t="shared" si="61"/>
        <v>1</v>
      </c>
      <c r="Q1006" s="893">
        <f t="shared" si="62"/>
        <v>2</v>
      </c>
      <c r="R1006" s="894">
        <f t="shared" si="63"/>
        <v>0</v>
      </c>
    </row>
    <row r="1007" spans="1:18">
      <c r="A1007" s="905"/>
      <c r="B1007" s="906"/>
      <c r="C1007" s="907">
        <v>740</v>
      </c>
      <c r="D1007" s="907" t="s">
        <v>12</v>
      </c>
      <c r="E1007" s="908" t="s">
        <v>4008</v>
      </c>
      <c r="F1007" s="909" t="s">
        <v>2674</v>
      </c>
      <c r="G1007" s="910"/>
      <c r="H1007" s="911">
        <v>1.31</v>
      </c>
      <c r="I1007" s="912"/>
      <c r="J1007" s="912"/>
      <c r="K1007" s="912">
        <f>VLOOKUP(E1007,ĐMNC!$A$7:$F$67,4,0)</f>
        <v>252714</v>
      </c>
      <c r="L1007" s="912">
        <f>H1007*K1007</f>
        <v>331055.34000000003</v>
      </c>
      <c r="M1007" s="912"/>
      <c r="N1007" s="912"/>
      <c r="O1007" s="892">
        <f t="shared" si="60"/>
        <v>0</v>
      </c>
      <c r="P1007" s="903">
        <f t="shared" si="61"/>
        <v>1</v>
      </c>
      <c r="Q1007" s="893">
        <f t="shared" si="62"/>
        <v>1</v>
      </c>
      <c r="R1007" s="894">
        <f t="shared" si="63"/>
        <v>0</v>
      </c>
    </row>
    <row r="1008" spans="1:18" s="847" customFormat="1" ht="31.5">
      <c r="A1008" s="905"/>
      <c r="B1008" s="914" t="s">
        <v>4260</v>
      </c>
      <c r="C1008" s="915"/>
      <c r="D1008" s="915"/>
      <c r="E1008" s="916" t="s">
        <v>4261</v>
      </c>
      <c r="F1008" s="917" t="s">
        <v>249</v>
      </c>
      <c r="G1008" s="918"/>
      <c r="H1008" s="919"/>
      <c r="I1008" s="920"/>
      <c r="J1008" s="891">
        <f>SUM(J1009:J1013)</f>
        <v>4750</v>
      </c>
      <c r="K1008" s="891"/>
      <c r="L1008" s="891">
        <f>SUM(L1009:L1013)</f>
        <v>384125.28</v>
      </c>
      <c r="M1008" s="891"/>
      <c r="N1008" s="891">
        <f>SUM(N1009:N1013)</f>
        <v>0</v>
      </c>
      <c r="O1008" s="892">
        <f t="shared" si="60"/>
        <v>1</v>
      </c>
      <c r="P1008" s="903">
        <f t="shared" si="61"/>
        <v>0</v>
      </c>
      <c r="Q1008" s="893">
        <f t="shared" si="62"/>
        <v>0</v>
      </c>
      <c r="R1008" s="894">
        <f t="shared" si="63"/>
        <v>5</v>
      </c>
    </row>
    <row r="1009" spans="1:18" s="904" customFormat="1">
      <c r="A1009" s="895"/>
      <c r="B1009" s="896"/>
      <c r="C1009" s="897"/>
      <c r="D1009" s="897"/>
      <c r="E1009" s="924" t="s">
        <v>108</v>
      </c>
      <c r="F1009" s="899"/>
      <c r="G1009" s="900"/>
      <c r="H1009" s="901"/>
      <c r="I1009" s="902"/>
      <c r="J1009" s="902"/>
      <c r="K1009" s="912" t="s">
        <v>274</v>
      </c>
      <c r="L1009" s="902"/>
      <c r="M1009" s="902"/>
      <c r="N1009" s="902"/>
      <c r="O1009" s="892">
        <f t="shared" si="60"/>
        <v>0</v>
      </c>
      <c r="P1009" s="903">
        <f t="shared" si="61"/>
        <v>1</v>
      </c>
      <c r="Q1009" s="893">
        <f t="shared" si="62"/>
        <v>5</v>
      </c>
      <c r="R1009" s="894">
        <f t="shared" si="63"/>
        <v>0</v>
      </c>
    </row>
    <row r="1010" spans="1:18">
      <c r="A1010" s="905"/>
      <c r="B1010" s="906"/>
      <c r="C1010" s="907">
        <v>66</v>
      </c>
      <c r="D1010" s="907" t="s">
        <v>279</v>
      </c>
      <c r="E1010" s="925" t="s">
        <v>2682</v>
      </c>
      <c r="F1010" s="926" t="s">
        <v>45</v>
      </c>
      <c r="G1010" s="910"/>
      <c r="H1010" s="911">
        <v>0.03</v>
      </c>
      <c r="I1010" s="912">
        <f>VLOOKUP(E1010,[3]VLP!$B$7:$K$300,10,0)</f>
        <v>5000</v>
      </c>
      <c r="J1010" s="912">
        <f>I1010*H1010</f>
        <v>150</v>
      </c>
      <c r="K1010" s="912" t="s">
        <v>274</v>
      </c>
      <c r="L1010" s="912"/>
      <c r="M1010" s="912"/>
      <c r="N1010" s="912"/>
      <c r="O1010" s="892">
        <f t="shared" si="60"/>
        <v>0</v>
      </c>
      <c r="P1010" s="903">
        <f t="shared" si="61"/>
        <v>1</v>
      </c>
      <c r="Q1010" s="893">
        <f t="shared" si="62"/>
        <v>4</v>
      </c>
      <c r="R1010" s="894">
        <f t="shared" si="63"/>
        <v>0</v>
      </c>
    </row>
    <row r="1011" spans="1:18">
      <c r="A1011" s="905"/>
      <c r="B1011" s="906"/>
      <c r="C1011" s="907">
        <v>44</v>
      </c>
      <c r="D1011" s="907" t="s">
        <v>279</v>
      </c>
      <c r="E1011" s="925" t="s">
        <v>2681</v>
      </c>
      <c r="F1011" s="926" t="s">
        <v>45</v>
      </c>
      <c r="G1011" s="910"/>
      <c r="H1011" s="911">
        <v>0.2</v>
      </c>
      <c r="I1011" s="912">
        <f>VLOOKUP(E1011,[3]VLP!$B$7:$K$300,10,0)</f>
        <v>23000</v>
      </c>
      <c r="J1011" s="912">
        <f>I1011*H1011</f>
        <v>4600</v>
      </c>
      <c r="K1011" s="912" t="s">
        <v>274</v>
      </c>
      <c r="L1011" s="912"/>
      <c r="M1011" s="912"/>
      <c r="N1011" s="912"/>
      <c r="O1011" s="892">
        <f t="shared" si="60"/>
        <v>0</v>
      </c>
      <c r="P1011" s="903">
        <f t="shared" si="61"/>
        <v>1</v>
      </c>
      <c r="Q1011" s="893">
        <f t="shared" si="62"/>
        <v>3</v>
      </c>
      <c r="R1011" s="894">
        <f t="shared" si="63"/>
        <v>0</v>
      </c>
    </row>
    <row r="1012" spans="1:18" s="904" customFormat="1">
      <c r="A1012" s="895"/>
      <c r="B1012" s="896"/>
      <c r="C1012" s="897"/>
      <c r="D1012" s="897"/>
      <c r="E1012" s="924" t="s">
        <v>276</v>
      </c>
      <c r="F1012" s="927"/>
      <c r="G1012" s="928"/>
      <c r="H1012" s="901"/>
      <c r="I1012" s="902"/>
      <c r="J1012" s="902"/>
      <c r="K1012" s="912" t="s">
        <v>274</v>
      </c>
      <c r="L1012" s="902"/>
      <c r="M1012" s="902"/>
      <c r="N1012" s="902"/>
      <c r="O1012" s="892">
        <f t="shared" si="60"/>
        <v>0</v>
      </c>
      <c r="P1012" s="903">
        <f t="shared" si="61"/>
        <v>1</v>
      </c>
      <c r="Q1012" s="893">
        <f t="shared" si="62"/>
        <v>2</v>
      </c>
      <c r="R1012" s="894">
        <f t="shared" si="63"/>
        <v>0</v>
      </c>
    </row>
    <row r="1013" spans="1:18">
      <c r="A1013" s="905"/>
      <c r="B1013" s="906"/>
      <c r="C1013" s="907">
        <v>740</v>
      </c>
      <c r="D1013" s="907" t="s">
        <v>12</v>
      </c>
      <c r="E1013" s="908" t="s">
        <v>4008</v>
      </c>
      <c r="F1013" s="909" t="s">
        <v>2674</v>
      </c>
      <c r="G1013" s="910"/>
      <c r="H1013" s="911">
        <v>1.52</v>
      </c>
      <c r="I1013" s="912"/>
      <c r="J1013" s="912"/>
      <c r="K1013" s="912">
        <f>VLOOKUP(E1013,ĐMNC!$A$7:$F$67,4,0)</f>
        <v>252714</v>
      </c>
      <c r="L1013" s="912">
        <f>H1013*K1013</f>
        <v>384125.28</v>
      </c>
      <c r="M1013" s="912"/>
      <c r="N1013" s="912"/>
      <c r="O1013" s="892">
        <f t="shared" si="60"/>
        <v>0</v>
      </c>
      <c r="P1013" s="903">
        <f t="shared" si="61"/>
        <v>1</v>
      </c>
      <c r="Q1013" s="893">
        <f t="shared" si="62"/>
        <v>1</v>
      </c>
      <c r="R1013" s="894">
        <f t="shared" si="63"/>
        <v>0</v>
      </c>
    </row>
    <row r="1014" spans="1:18" s="847" customFormat="1" ht="31.5">
      <c r="A1014" s="905"/>
      <c r="B1014" s="914" t="s">
        <v>4262</v>
      </c>
      <c r="C1014" s="915"/>
      <c r="D1014" s="915"/>
      <c r="E1014" s="916" t="s">
        <v>4263</v>
      </c>
      <c r="F1014" s="917" t="s">
        <v>249</v>
      </c>
      <c r="G1014" s="918"/>
      <c r="H1014" s="919"/>
      <c r="I1014" s="920"/>
      <c r="J1014" s="891">
        <f>SUM(J1015:J1019)</f>
        <v>4750</v>
      </c>
      <c r="K1014" s="891"/>
      <c r="L1014" s="891">
        <f>SUM(L1015:L1019)</f>
        <v>422032.38</v>
      </c>
      <c r="M1014" s="891"/>
      <c r="N1014" s="891">
        <f>SUM(N1015:N1019)</f>
        <v>0</v>
      </c>
      <c r="O1014" s="892">
        <f t="shared" si="60"/>
        <v>1</v>
      </c>
      <c r="P1014" s="903">
        <f t="shared" si="61"/>
        <v>0</v>
      </c>
      <c r="Q1014" s="893">
        <f t="shared" si="62"/>
        <v>0</v>
      </c>
      <c r="R1014" s="894">
        <f t="shared" si="63"/>
        <v>5</v>
      </c>
    </row>
    <row r="1015" spans="1:18" s="904" customFormat="1">
      <c r="A1015" s="895"/>
      <c r="B1015" s="896"/>
      <c r="C1015" s="897"/>
      <c r="D1015" s="897"/>
      <c r="E1015" s="924" t="s">
        <v>108</v>
      </c>
      <c r="F1015" s="899"/>
      <c r="G1015" s="900"/>
      <c r="H1015" s="901"/>
      <c r="I1015" s="902"/>
      <c r="J1015" s="902"/>
      <c r="K1015" s="912" t="s">
        <v>274</v>
      </c>
      <c r="L1015" s="902"/>
      <c r="M1015" s="902"/>
      <c r="N1015" s="902"/>
      <c r="O1015" s="892">
        <f t="shared" si="60"/>
        <v>0</v>
      </c>
      <c r="P1015" s="903">
        <f t="shared" si="61"/>
        <v>1</v>
      </c>
      <c r="Q1015" s="893">
        <f t="shared" si="62"/>
        <v>5</v>
      </c>
      <c r="R1015" s="894">
        <f t="shared" si="63"/>
        <v>0</v>
      </c>
    </row>
    <row r="1016" spans="1:18">
      <c r="A1016" s="905"/>
      <c r="B1016" s="906"/>
      <c r="C1016" s="907">
        <v>66</v>
      </c>
      <c r="D1016" s="907" t="s">
        <v>279</v>
      </c>
      <c r="E1016" s="925" t="s">
        <v>2682</v>
      </c>
      <c r="F1016" s="926" t="s">
        <v>45</v>
      </c>
      <c r="G1016" s="910"/>
      <c r="H1016" s="911">
        <v>0.03</v>
      </c>
      <c r="I1016" s="912">
        <f>VLOOKUP(E1016,[3]VLP!$B$7:$K$300,10,0)</f>
        <v>5000</v>
      </c>
      <c r="J1016" s="912">
        <f>I1016*H1016</f>
        <v>150</v>
      </c>
      <c r="K1016" s="912" t="s">
        <v>274</v>
      </c>
      <c r="L1016" s="912"/>
      <c r="M1016" s="912"/>
      <c r="N1016" s="912"/>
      <c r="O1016" s="892">
        <f t="shared" si="60"/>
        <v>0</v>
      </c>
      <c r="P1016" s="903">
        <f t="shared" si="61"/>
        <v>1</v>
      </c>
      <c r="Q1016" s="893">
        <f t="shared" si="62"/>
        <v>4</v>
      </c>
      <c r="R1016" s="894">
        <f t="shared" si="63"/>
        <v>0</v>
      </c>
    </row>
    <row r="1017" spans="1:18">
      <c r="A1017" s="905"/>
      <c r="B1017" s="906"/>
      <c r="C1017" s="907">
        <v>44</v>
      </c>
      <c r="D1017" s="907" t="s">
        <v>279</v>
      </c>
      <c r="E1017" s="925" t="s">
        <v>2681</v>
      </c>
      <c r="F1017" s="926" t="s">
        <v>45</v>
      </c>
      <c r="G1017" s="910"/>
      <c r="H1017" s="911">
        <v>0.2</v>
      </c>
      <c r="I1017" s="912">
        <f>VLOOKUP(E1017,[3]VLP!$B$7:$K$300,10,0)</f>
        <v>23000</v>
      </c>
      <c r="J1017" s="912">
        <f>I1017*H1017</f>
        <v>4600</v>
      </c>
      <c r="K1017" s="912" t="s">
        <v>274</v>
      </c>
      <c r="L1017" s="912"/>
      <c r="M1017" s="912"/>
      <c r="N1017" s="912"/>
      <c r="O1017" s="892">
        <f t="shared" si="60"/>
        <v>0</v>
      </c>
      <c r="P1017" s="903">
        <f t="shared" si="61"/>
        <v>1</v>
      </c>
      <c r="Q1017" s="893">
        <f t="shared" si="62"/>
        <v>3</v>
      </c>
      <c r="R1017" s="894">
        <f t="shared" si="63"/>
        <v>0</v>
      </c>
    </row>
    <row r="1018" spans="1:18" s="904" customFormat="1">
      <c r="A1018" s="895"/>
      <c r="B1018" s="896"/>
      <c r="C1018" s="897"/>
      <c r="D1018" s="897"/>
      <c r="E1018" s="924" t="s">
        <v>276</v>
      </c>
      <c r="F1018" s="927"/>
      <c r="G1018" s="928"/>
      <c r="H1018" s="901"/>
      <c r="I1018" s="902"/>
      <c r="J1018" s="902"/>
      <c r="K1018" s="912" t="s">
        <v>274</v>
      </c>
      <c r="L1018" s="902"/>
      <c r="M1018" s="902"/>
      <c r="N1018" s="902"/>
      <c r="O1018" s="892">
        <f t="shared" si="60"/>
        <v>0</v>
      </c>
      <c r="P1018" s="903">
        <f t="shared" si="61"/>
        <v>1</v>
      </c>
      <c r="Q1018" s="893">
        <f t="shared" si="62"/>
        <v>2</v>
      </c>
      <c r="R1018" s="894">
        <f t="shared" si="63"/>
        <v>0</v>
      </c>
    </row>
    <row r="1019" spans="1:18">
      <c r="A1019" s="905"/>
      <c r="B1019" s="906"/>
      <c r="C1019" s="907">
        <v>740</v>
      </c>
      <c r="D1019" s="907" t="s">
        <v>12</v>
      </c>
      <c r="E1019" s="908" t="s">
        <v>4008</v>
      </c>
      <c r="F1019" s="909" t="s">
        <v>2674</v>
      </c>
      <c r="G1019" s="910"/>
      <c r="H1019" s="911">
        <v>1.67</v>
      </c>
      <c r="I1019" s="912"/>
      <c r="J1019" s="912"/>
      <c r="K1019" s="912">
        <f>VLOOKUP(E1019,ĐMNC!$A$7:$F$67,4,0)</f>
        <v>252714</v>
      </c>
      <c r="L1019" s="912">
        <f>H1019*K1019</f>
        <v>422032.38</v>
      </c>
      <c r="M1019" s="912"/>
      <c r="N1019" s="912"/>
      <c r="O1019" s="892">
        <f t="shared" si="60"/>
        <v>0</v>
      </c>
      <c r="P1019" s="903">
        <f t="shared" si="61"/>
        <v>1</v>
      </c>
      <c r="Q1019" s="893">
        <f t="shared" si="62"/>
        <v>1</v>
      </c>
      <c r="R1019" s="894">
        <f t="shared" si="63"/>
        <v>0</v>
      </c>
    </row>
    <row r="1020" spans="1:18" s="847" customFormat="1" ht="31.5">
      <c r="A1020" s="905"/>
      <c r="B1020" s="914" t="s">
        <v>4264</v>
      </c>
      <c r="C1020" s="915"/>
      <c r="D1020" s="915"/>
      <c r="E1020" s="916" t="s">
        <v>4265</v>
      </c>
      <c r="F1020" s="917" t="s">
        <v>249</v>
      </c>
      <c r="G1020" s="918"/>
      <c r="H1020" s="919"/>
      <c r="I1020" s="920"/>
      <c r="J1020" s="891">
        <f>SUM(J1021:J1025)</f>
        <v>4750</v>
      </c>
      <c r="K1020" s="891"/>
      <c r="L1020" s="891">
        <f>SUM(L1021:L1025)</f>
        <v>464993.76</v>
      </c>
      <c r="M1020" s="891"/>
      <c r="N1020" s="891">
        <f>SUM(N1021:N1025)</f>
        <v>0</v>
      </c>
      <c r="O1020" s="892">
        <f t="shared" si="60"/>
        <v>1</v>
      </c>
      <c r="P1020" s="903">
        <f t="shared" si="61"/>
        <v>0</v>
      </c>
      <c r="Q1020" s="893">
        <f t="shared" si="62"/>
        <v>0</v>
      </c>
      <c r="R1020" s="894">
        <f t="shared" si="63"/>
        <v>5</v>
      </c>
    </row>
    <row r="1021" spans="1:18" s="904" customFormat="1">
      <c r="A1021" s="895"/>
      <c r="B1021" s="896"/>
      <c r="C1021" s="897"/>
      <c r="D1021" s="897"/>
      <c r="E1021" s="924" t="s">
        <v>108</v>
      </c>
      <c r="F1021" s="899"/>
      <c r="G1021" s="900"/>
      <c r="H1021" s="901"/>
      <c r="I1021" s="902"/>
      <c r="J1021" s="902"/>
      <c r="K1021" s="912" t="s">
        <v>274</v>
      </c>
      <c r="L1021" s="902"/>
      <c r="M1021" s="902"/>
      <c r="N1021" s="902"/>
      <c r="O1021" s="892">
        <f t="shared" si="60"/>
        <v>0</v>
      </c>
      <c r="P1021" s="903">
        <f t="shared" si="61"/>
        <v>1</v>
      </c>
      <c r="Q1021" s="893">
        <f t="shared" si="62"/>
        <v>5</v>
      </c>
      <c r="R1021" s="894">
        <f t="shared" si="63"/>
        <v>0</v>
      </c>
    </row>
    <row r="1022" spans="1:18">
      <c r="A1022" s="905"/>
      <c r="B1022" s="906"/>
      <c r="C1022" s="907">
        <v>66</v>
      </c>
      <c r="D1022" s="907" t="s">
        <v>279</v>
      </c>
      <c r="E1022" s="925" t="s">
        <v>2682</v>
      </c>
      <c r="F1022" s="926" t="s">
        <v>45</v>
      </c>
      <c r="G1022" s="910"/>
      <c r="H1022" s="911">
        <v>0.03</v>
      </c>
      <c r="I1022" s="912">
        <f>VLOOKUP(E1022,[3]VLP!$B$7:$K$300,10,0)</f>
        <v>5000</v>
      </c>
      <c r="J1022" s="912">
        <f>I1022*H1022</f>
        <v>150</v>
      </c>
      <c r="K1022" s="912" t="s">
        <v>274</v>
      </c>
      <c r="L1022" s="912"/>
      <c r="M1022" s="912"/>
      <c r="N1022" s="912"/>
      <c r="O1022" s="892">
        <f t="shared" si="60"/>
        <v>0</v>
      </c>
      <c r="P1022" s="903">
        <f t="shared" si="61"/>
        <v>1</v>
      </c>
      <c r="Q1022" s="893">
        <f t="shared" si="62"/>
        <v>4</v>
      </c>
      <c r="R1022" s="894">
        <f t="shared" si="63"/>
        <v>0</v>
      </c>
    </row>
    <row r="1023" spans="1:18">
      <c r="A1023" s="905"/>
      <c r="B1023" s="906"/>
      <c r="C1023" s="907">
        <v>44</v>
      </c>
      <c r="D1023" s="907" t="s">
        <v>279</v>
      </c>
      <c r="E1023" s="925" t="s">
        <v>2681</v>
      </c>
      <c r="F1023" s="926" t="s">
        <v>45</v>
      </c>
      <c r="G1023" s="910"/>
      <c r="H1023" s="911">
        <v>0.2</v>
      </c>
      <c r="I1023" s="912">
        <f>VLOOKUP(E1023,[3]VLP!$B$7:$K$300,10,0)</f>
        <v>23000</v>
      </c>
      <c r="J1023" s="912">
        <f>I1023*H1023</f>
        <v>4600</v>
      </c>
      <c r="K1023" s="912" t="s">
        <v>274</v>
      </c>
      <c r="L1023" s="912"/>
      <c r="M1023" s="912"/>
      <c r="N1023" s="912"/>
      <c r="O1023" s="892">
        <f t="shared" si="60"/>
        <v>0</v>
      </c>
      <c r="P1023" s="903">
        <f t="shared" si="61"/>
        <v>1</v>
      </c>
      <c r="Q1023" s="893">
        <f t="shared" si="62"/>
        <v>3</v>
      </c>
      <c r="R1023" s="894">
        <f t="shared" si="63"/>
        <v>0</v>
      </c>
    </row>
    <row r="1024" spans="1:18" s="904" customFormat="1">
      <c r="A1024" s="895"/>
      <c r="B1024" s="896"/>
      <c r="C1024" s="897"/>
      <c r="D1024" s="897"/>
      <c r="E1024" s="924" t="s">
        <v>276</v>
      </c>
      <c r="F1024" s="927"/>
      <c r="G1024" s="928"/>
      <c r="H1024" s="901"/>
      <c r="I1024" s="902"/>
      <c r="J1024" s="902"/>
      <c r="K1024" s="912" t="s">
        <v>274</v>
      </c>
      <c r="L1024" s="902"/>
      <c r="M1024" s="902"/>
      <c r="N1024" s="902"/>
      <c r="O1024" s="892">
        <f t="shared" si="60"/>
        <v>0</v>
      </c>
      <c r="P1024" s="903">
        <f t="shared" si="61"/>
        <v>1</v>
      </c>
      <c r="Q1024" s="893">
        <f t="shared" si="62"/>
        <v>2</v>
      </c>
      <c r="R1024" s="894">
        <f t="shared" si="63"/>
        <v>0</v>
      </c>
    </row>
    <row r="1025" spans="1:18">
      <c r="A1025" s="905"/>
      <c r="B1025" s="906"/>
      <c r="C1025" s="907">
        <v>740</v>
      </c>
      <c r="D1025" s="907" t="s">
        <v>12</v>
      </c>
      <c r="E1025" s="908" t="s">
        <v>4008</v>
      </c>
      <c r="F1025" s="909" t="s">
        <v>2674</v>
      </c>
      <c r="G1025" s="910"/>
      <c r="H1025" s="911">
        <v>1.84</v>
      </c>
      <c r="I1025" s="912"/>
      <c r="J1025" s="912"/>
      <c r="K1025" s="912">
        <f>VLOOKUP(E1025,ĐMNC!$A$7:$F$67,4,0)</f>
        <v>252714</v>
      </c>
      <c r="L1025" s="912">
        <f>H1025*K1025</f>
        <v>464993.76</v>
      </c>
      <c r="M1025" s="912"/>
      <c r="N1025" s="912"/>
      <c r="O1025" s="892">
        <f t="shared" si="60"/>
        <v>0</v>
      </c>
      <c r="P1025" s="903">
        <f t="shared" si="61"/>
        <v>1</v>
      </c>
      <c r="Q1025" s="893">
        <f t="shared" si="62"/>
        <v>1</v>
      </c>
      <c r="R1025" s="894">
        <f t="shared" si="63"/>
        <v>0</v>
      </c>
    </row>
    <row r="1026" spans="1:18" s="847" customFormat="1" ht="31.5">
      <c r="A1026" s="905"/>
      <c r="B1026" s="914" t="s">
        <v>4266</v>
      </c>
      <c r="C1026" s="915"/>
      <c r="D1026" s="915"/>
      <c r="E1026" s="916" t="s">
        <v>4267</v>
      </c>
      <c r="F1026" s="917" t="s">
        <v>249</v>
      </c>
      <c r="G1026" s="918"/>
      <c r="H1026" s="919"/>
      <c r="I1026" s="920"/>
      <c r="J1026" s="891">
        <f>SUM(J1027:J1031)</f>
        <v>4750</v>
      </c>
      <c r="K1026" s="891"/>
      <c r="L1026" s="891">
        <f>SUM(L1027:L1031)</f>
        <v>535753.68000000005</v>
      </c>
      <c r="M1026" s="891"/>
      <c r="N1026" s="891">
        <f>SUM(N1027:N1031)</f>
        <v>0</v>
      </c>
      <c r="O1026" s="892">
        <f t="shared" si="60"/>
        <v>1</v>
      </c>
      <c r="P1026" s="903">
        <f t="shared" si="61"/>
        <v>0</v>
      </c>
      <c r="Q1026" s="893">
        <f t="shared" si="62"/>
        <v>0</v>
      </c>
      <c r="R1026" s="894">
        <f t="shared" si="63"/>
        <v>5</v>
      </c>
    </row>
    <row r="1027" spans="1:18" s="904" customFormat="1">
      <c r="A1027" s="895"/>
      <c r="B1027" s="896"/>
      <c r="C1027" s="897"/>
      <c r="D1027" s="897"/>
      <c r="E1027" s="924" t="s">
        <v>108</v>
      </c>
      <c r="F1027" s="899"/>
      <c r="G1027" s="900"/>
      <c r="H1027" s="901"/>
      <c r="I1027" s="902"/>
      <c r="J1027" s="902"/>
      <c r="K1027" s="912" t="s">
        <v>274</v>
      </c>
      <c r="L1027" s="902"/>
      <c r="M1027" s="902"/>
      <c r="N1027" s="902"/>
      <c r="O1027" s="892">
        <f t="shared" si="60"/>
        <v>0</v>
      </c>
      <c r="P1027" s="903">
        <f t="shared" si="61"/>
        <v>1</v>
      </c>
      <c r="Q1027" s="893">
        <f t="shared" si="62"/>
        <v>5</v>
      </c>
      <c r="R1027" s="894">
        <f t="shared" si="63"/>
        <v>0</v>
      </c>
    </row>
    <row r="1028" spans="1:18">
      <c r="A1028" s="905"/>
      <c r="B1028" s="906"/>
      <c r="C1028" s="907">
        <v>66</v>
      </c>
      <c r="D1028" s="907" t="s">
        <v>279</v>
      </c>
      <c r="E1028" s="925" t="s">
        <v>2682</v>
      </c>
      <c r="F1028" s="926" t="s">
        <v>45</v>
      </c>
      <c r="G1028" s="910"/>
      <c r="H1028" s="911">
        <v>0.03</v>
      </c>
      <c r="I1028" s="912">
        <f>VLOOKUP(E1028,[3]VLP!$B$7:$K$300,10,0)</f>
        <v>5000</v>
      </c>
      <c r="J1028" s="912">
        <f>I1028*H1028</f>
        <v>150</v>
      </c>
      <c r="K1028" s="912" t="s">
        <v>274</v>
      </c>
      <c r="L1028" s="912"/>
      <c r="M1028" s="912"/>
      <c r="N1028" s="912"/>
      <c r="O1028" s="892">
        <f t="shared" si="60"/>
        <v>0</v>
      </c>
      <c r="P1028" s="903">
        <f t="shared" si="61"/>
        <v>1</v>
      </c>
      <c r="Q1028" s="893">
        <f t="shared" si="62"/>
        <v>4</v>
      </c>
      <c r="R1028" s="894">
        <f t="shared" si="63"/>
        <v>0</v>
      </c>
    </row>
    <row r="1029" spans="1:18">
      <c r="A1029" s="905"/>
      <c r="B1029" s="906"/>
      <c r="C1029" s="907">
        <v>44</v>
      </c>
      <c r="D1029" s="907" t="s">
        <v>279</v>
      </c>
      <c r="E1029" s="925" t="s">
        <v>2681</v>
      </c>
      <c r="F1029" s="926" t="s">
        <v>45</v>
      </c>
      <c r="G1029" s="910"/>
      <c r="H1029" s="911">
        <v>0.2</v>
      </c>
      <c r="I1029" s="912">
        <f>VLOOKUP(E1029,[3]VLP!$B$7:$K$300,10,0)</f>
        <v>23000</v>
      </c>
      <c r="J1029" s="912">
        <f>I1029*H1029</f>
        <v>4600</v>
      </c>
      <c r="K1029" s="912" t="s">
        <v>274</v>
      </c>
      <c r="L1029" s="912"/>
      <c r="M1029" s="912"/>
      <c r="N1029" s="912"/>
      <c r="O1029" s="892">
        <f t="shared" ref="O1029:O1092" si="64">IF(AND(B1029&lt;&gt;"",D1029=""),1,0)</f>
        <v>0</v>
      </c>
      <c r="P1029" s="903">
        <f t="shared" si="61"/>
        <v>1</v>
      </c>
      <c r="Q1029" s="893">
        <f t="shared" si="62"/>
        <v>3</v>
      </c>
      <c r="R1029" s="894">
        <f t="shared" si="63"/>
        <v>0</v>
      </c>
    </row>
    <row r="1030" spans="1:18" s="904" customFormat="1">
      <c r="A1030" s="895"/>
      <c r="B1030" s="896"/>
      <c r="C1030" s="897"/>
      <c r="D1030" s="897"/>
      <c r="E1030" s="924" t="s">
        <v>276</v>
      </c>
      <c r="F1030" s="927"/>
      <c r="G1030" s="928"/>
      <c r="H1030" s="901"/>
      <c r="I1030" s="902"/>
      <c r="J1030" s="902"/>
      <c r="K1030" s="912" t="s">
        <v>274</v>
      </c>
      <c r="L1030" s="902"/>
      <c r="M1030" s="902"/>
      <c r="N1030" s="902"/>
      <c r="O1030" s="892">
        <f t="shared" si="64"/>
        <v>0</v>
      </c>
      <c r="P1030" s="903">
        <f t="shared" si="61"/>
        <v>1</v>
      </c>
      <c r="Q1030" s="893">
        <f t="shared" si="62"/>
        <v>2</v>
      </c>
      <c r="R1030" s="894">
        <f t="shared" si="63"/>
        <v>0</v>
      </c>
    </row>
    <row r="1031" spans="1:18">
      <c r="A1031" s="905"/>
      <c r="B1031" s="906"/>
      <c r="C1031" s="907">
        <v>740</v>
      </c>
      <c r="D1031" s="907" t="s">
        <v>12</v>
      </c>
      <c r="E1031" s="908" t="s">
        <v>4008</v>
      </c>
      <c r="F1031" s="909" t="s">
        <v>2674</v>
      </c>
      <c r="G1031" s="910"/>
      <c r="H1031" s="911">
        <v>2.12</v>
      </c>
      <c r="I1031" s="912"/>
      <c r="J1031" s="912"/>
      <c r="K1031" s="912">
        <f>VLOOKUP(E1031,ĐMNC!$A$7:$F$67,4,0)</f>
        <v>252714</v>
      </c>
      <c r="L1031" s="912">
        <f>H1031*K1031</f>
        <v>535753.68000000005</v>
      </c>
      <c r="M1031" s="912"/>
      <c r="N1031" s="912"/>
      <c r="O1031" s="892">
        <f t="shared" si="64"/>
        <v>0</v>
      </c>
      <c r="P1031" s="903">
        <f t="shared" si="61"/>
        <v>1</v>
      </c>
      <c r="Q1031" s="893">
        <f t="shared" si="62"/>
        <v>1</v>
      </c>
      <c r="R1031" s="894">
        <f t="shared" si="63"/>
        <v>0</v>
      </c>
    </row>
    <row r="1032" spans="1:18" s="847" customFormat="1" ht="31.5">
      <c r="A1032" s="905"/>
      <c r="B1032" s="914" t="s">
        <v>4268</v>
      </c>
      <c r="C1032" s="915"/>
      <c r="D1032" s="915"/>
      <c r="E1032" s="916" t="s">
        <v>4269</v>
      </c>
      <c r="F1032" s="917" t="s">
        <v>249</v>
      </c>
      <c r="G1032" s="918"/>
      <c r="H1032" s="919"/>
      <c r="I1032" s="920"/>
      <c r="J1032" s="891">
        <f>SUM(J1033:J1037)</f>
        <v>4750</v>
      </c>
      <c r="K1032" s="891"/>
      <c r="L1032" s="891">
        <f>SUM(L1033:L1037)</f>
        <v>616622.16</v>
      </c>
      <c r="M1032" s="891"/>
      <c r="N1032" s="891">
        <f>SUM(N1033:N1037)</f>
        <v>0</v>
      </c>
      <c r="O1032" s="892">
        <f t="shared" si="64"/>
        <v>1</v>
      </c>
      <c r="P1032" s="903">
        <f t="shared" si="61"/>
        <v>0</v>
      </c>
      <c r="Q1032" s="893">
        <f t="shared" si="62"/>
        <v>0</v>
      </c>
      <c r="R1032" s="894">
        <f t="shared" si="63"/>
        <v>5</v>
      </c>
    </row>
    <row r="1033" spans="1:18" s="904" customFormat="1">
      <c r="A1033" s="895"/>
      <c r="B1033" s="896"/>
      <c r="C1033" s="897"/>
      <c r="D1033" s="897"/>
      <c r="E1033" s="924" t="s">
        <v>108</v>
      </c>
      <c r="F1033" s="899"/>
      <c r="G1033" s="900"/>
      <c r="H1033" s="901"/>
      <c r="I1033" s="902"/>
      <c r="J1033" s="902"/>
      <c r="K1033" s="912" t="s">
        <v>274</v>
      </c>
      <c r="L1033" s="902"/>
      <c r="M1033" s="902"/>
      <c r="N1033" s="902"/>
      <c r="O1033" s="892">
        <f t="shared" si="64"/>
        <v>0</v>
      </c>
      <c r="P1033" s="903">
        <f t="shared" si="61"/>
        <v>1</v>
      </c>
      <c r="Q1033" s="893">
        <f t="shared" si="62"/>
        <v>5</v>
      </c>
      <c r="R1033" s="894">
        <f t="shared" si="63"/>
        <v>0</v>
      </c>
    </row>
    <row r="1034" spans="1:18">
      <c r="A1034" s="905"/>
      <c r="B1034" s="906"/>
      <c r="C1034" s="907">
        <v>66</v>
      </c>
      <c r="D1034" s="907" t="s">
        <v>279</v>
      </c>
      <c r="E1034" s="925" t="s">
        <v>2682</v>
      </c>
      <c r="F1034" s="926" t="s">
        <v>45</v>
      </c>
      <c r="G1034" s="910"/>
      <c r="H1034" s="911">
        <v>0.03</v>
      </c>
      <c r="I1034" s="912">
        <f>VLOOKUP(E1034,[3]VLP!$B$7:$K$300,10,0)</f>
        <v>5000</v>
      </c>
      <c r="J1034" s="912">
        <f>I1034*H1034</f>
        <v>150</v>
      </c>
      <c r="K1034" s="912" t="s">
        <v>274</v>
      </c>
      <c r="L1034" s="912"/>
      <c r="M1034" s="912"/>
      <c r="N1034" s="912"/>
      <c r="O1034" s="892">
        <f t="shared" si="64"/>
        <v>0</v>
      </c>
      <c r="P1034" s="903">
        <f t="shared" si="61"/>
        <v>1</v>
      </c>
      <c r="Q1034" s="893">
        <f t="shared" si="62"/>
        <v>4</v>
      </c>
      <c r="R1034" s="894">
        <f t="shared" si="63"/>
        <v>0</v>
      </c>
    </row>
    <row r="1035" spans="1:18">
      <c r="A1035" s="905"/>
      <c r="B1035" s="906"/>
      <c r="C1035" s="907">
        <v>44</v>
      </c>
      <c r="D1035" s="907" t="s">
        <v>279</v>
      </c>
      <c r="E1035" s="925" t="s">
        <v>2681</v>
      </c>
      <c r="F1035" s="926" t="s">
        <v>45</v>
      </c>
      <c r="G1035" s="910"/>
      <c r="H1035" s="911">
        <v>0.2</v>
      </c>
      <c r="I1035" s="912">
        <f>VLOOKUP(E1035,[3]VLP!$B$7:$K$300,10,0)</f>
        <v>23000</v>
      </c>
      <c r="J1035" s="912">
        <f>I1035*H1035</f>
        <v>4600</v>
      </c>
      <c r="K1035" s="912" t="s">
        <v>274</v>
      </c>
      <c r="L1035" s="912"/>
      <c r="M1035" s="912"/>
      <c r="N1035" s="912"/>
      <c r="O1035" s="892">
        <f t="shared" si="64"/>
        <v>0</v>
      </c>
      <c r="P1035" s="903">
        <f t="shared" si="61"/>
        <v>1</v>
      </c>
      <c r="Q1035" s="893">
        <f t="shared" si="62"/>
        <v>3</v>
      </c>
      <c r="R1035" s="894">
        <f t="shared" si="63"/>
        <v>0</v>
      </c>
    </row>
    <row r="1036" spans="1:18" s="904" customFormat="1">
      <c r="A1036" s="895"/>
      <c r="B1036" s="896"/>
      <c r="C1036" s="897"/>
      <c r="D1036" s="897"/>
      <c r="E1036" s="924" t="s">
        <v>276</v>
      </c>
      <c r="F1036" s="927"/>
      <c r="G1036" s="928"/>
      <c r="H1036" s="901"/>
      <c r="I1036" s="902"/>
      <c r="J1036" s="902"/>
      <c r="K1036" s="912" t="s">
        <v>274</v>
      </c>
      <c r="L1036" s="902"/>
      <c r="M1036" s="902"/>
      <c r="N1036" s="902"/>
      <c r="O1036" s="892">
        <f t="shared" si="64"/>
        <v>0</v>
      </c>
      <c r="P1036" s="903">
        <f t="shared" si="61"/>
        <v>1</v>
      </c>
      <c r="Q1036" s="893">
        <f t="shared" si="62"/>
        <v>2</v>
      </c>
      <c r="R1036" s="894">
        <f t="shared" si="63"/>
        <v>0</v>
      </c>
    </row>
    <row r="1037" spans="1:18">
      <c r="A1037" s="905"/>
      <c r="B1037" s="906"/>
      <c r="C1037" s="907">
        <v>740</v>
      </c>
      <c r="D1037" s="907" t="s">
        <v>12</v>
      </c>
      <c r="E1037" s="908" t="s">
        <v>4008</v>
      </c>
      <c r="F1037" s="909" t="s">
        <v>2674</v>
      </c>
      <c r="G1037" s="910"/>
      <c r="H1037" s="911">
        <v>2.44</v>
      </c>
      <c r="I1037" s="912"/>
      <c r="J1037" s="912"/>
      <c r="K1037" s="912">
        <f>VLOOKUP(E1037,ĐMNC!$A$7:$F$67,4,0)</f>
        <v>252714</v>
      </c>
      <c r="L1037" s="912">
        <f>H1037*K1037</f>
        <v>616622.16</v>
      </c>
      <c r="M1037" s="912"/>
      <c r="N1037" s="912"/>
      <c r="O1037" s="892">
        <f t="shared" si="64"/>
        <v>0</v>
      </c>
      <c r="P1037" s="903">
        <f t="shared" si="61"/>
        <v>1</v>
      </c>
      <c r="Q1037" s="893">
        <f t="shared" si="62"/>
        <v>1</v>
      </c>
      <c r="R1037" s="894">
        <f t="shared" si="63"/>
        <v>0</v>
      </c>
    </row>
    <row r="1038" spans="1:18" s="847" customFormat="1" ht="31.5">
      <c r="A1038" s="905"/>
      <c r="B1038" s="914" t="s">
        <v>4270</v>
      </c>
      <c r="C1038" s="915"/>
      <c r="D1038" s="915"/>
      <c r="E1038" s="916" t="s">
        <v>4271</v>
      </c>
      <c r="F1038" s="917" t="s">
        <v>249</v>
      </c>
      <c r="G1038" s="918"/>
      <c r="H1038" s="919"/>
      <c r="I1038" s="920"/>
      <c r="J1038" s="891">
        <f>SUM(J1039:J1043)</f>
        <v>5720</v>
      </c>
      <c r="K1038" s="891"/>
      <c r="L1038" s="891">
        <f>SUM(L1039:L1043)</f>
        <v>346218.18000000005</v>
      </c>
      <c r="M1038" s="891"/>
      <c r="N1038" s="891">
        <f>SUM(N1039:N1043)</f>
        <v>0</v>
      </c>
      <c r="O1038" s="892">
        <f t="shared" si="64"/>
        <v>1</v>
      </c>
      <c r="P1038" s="903">
        <f t="shared" ref="P1038:P1101" si="65">IF(O1038=0,1,0)</f>
        <v>0</v>
      </c>
      <c r="Q1038" s="893">
        <f t="shared" ref="Q1038:Q1101" si="66">IF(P1038=0,0,P1038+Q1039)</f>
        <v>0</v>
      </c>
      <c r="R1038" s="894">
        <f t="shared" ref="R1038:R1101" si="67">IF(Q1038=0,Q1039,0)</f>
        <v>5</v>
      </c>
    </row>
    <row r="1039" spans="1:18" s="904" customFormat="1">
      <c r="A1039" s="895"/>
      <c r="B1039" s="896"/>
      <c r="C1039" s="897"/>
      <c r="D1039" s="897"/>
      <c r="E1039" s="924" t="s">
        <v>108</v>
      </c>
      <c r="F1039" s="899"/>
      <c r="G1039" s="900"/>
      <c r="H1039" s="901"/>
      <c r="I1039" s="902"/>
      <c r="J1039" s="902"/>
      <c r="K1039" s="912" t="s">
        <v>274</v>
      </c>
      <c r="L1039" s="902"/>
      <c r="M1039" s="902"/>
      <c r="N1039" s="902"/>
      <c r="O1039" s="892">
        <f t="shared" si="64"/>
        <v>0</v>
      </c>
      <c r="P1039" s="903">
        <f t="shared" si="65"/>
        <v>1</v>
      </c>
      <c r="Q1039" s="893">
        <f t="shared" si="66"/>
        <v>5</v>
      </c>
      <c r="R1039" s="894">
        <f t="shared" si="67"/>
        <v>0</v>
      </c>
    </row>
    <row r="1040" spans="1:18">
      <c r="A1040" s="905"/>
      <c r="B1040" s="906"/>
      <c r="C1040" s="907">
        <v>66</v>
      </c>
      <c r="D1040" s="907" t="s">
        <v>279</v>
      </c>
      <c r="E1040" s="925" t="s">
        <v>2682</v>
      </c>
      <c r="F1040" s="926" t="s">
        <v>45</v>
      </c>
      <c r="G1040" s="910"/>
      <c r="H1040" s="911">
        <v>0.04</v>
      </c>
      <c r="I1040" s="912">
        <f>VLOOKUP(E1040,[3]VLP!$B$7:$K$300,10,0)</f>
        <v>5000</v>
      </c>
      <c r="J1040" s="912">
        <f>I1040*H1040</f>
        <v>200</v>
      </c>
      <c r="K1040" s="912" t="s">
        <v>274</v>
      </c>
      <c r="L1040" s="912"/>
      <c r="M1040" s="912"/>
      <c r="N1040" s="912"/>
      <c r="O1040" s="892">
        <f t="shared" si="64"/>
        <v>0</v>
      </c>
      <c r="P1040" s="903">
        <f t="shared" si="65"/>
        <v>1</v>
      </c>
      <c r="Q1040" s="893">
        <f t="shared" si="66"/>
        <v>4</v>
      </c>
      <c r="R1040" s="894">
        <f t="shared" si="67"/>
        <v>0</v>
      </c>
    </row>
    <row r="1041" spans="1:18">
      <c r="A1041" s="905"/>
      <c r="B1041" s="906"/>
      <c r="C1041" s="907">
        <v>44</v>
      </c>
      <c r="D1041" s="907" t="s">
        <v>279</v>
      </c>
      <c r="E1041" s="925" t="s">
        <v>2681</v>
      </c>
      <c r="F1041" s="926" t="s">
        <v>45</v>
      </c>
      <c r="G1041" s="910"/>
      <c r="H1041" s="911">
        <v>0.24</v>
      </c>
      <c r="I1041" s="912">
        <f>VLOOKUP(E1041,[3]VLP!$B$7:$K$300,10,0)</f>
        <v>23000</v>
      </c>
      <c r="J1041" s="912">
        <f>I1041*H1041</f>
        <v>5520</v>
      </c>
      <c r="K1041" s="912" t="s">
        <v>274</v>
      </c>
      <c r="L1041" s="912"/>
      <c r="M1041" s="912"/>
      <c r="N1041" s="912"/>
      <c r="O1041" s="892">
        <f t="shared" si="64"/>
        <v>0</v>
      </c>
      <c r="P1041" s="903">
        <f t="shared" si="65"/>
        <v>1</v>
      </c>
      <c r="Q1041" s="893">
        <f t="shared" si="66"/>
        <v>3</v>
      </c>
      <c r="R1041" s="894">
        <f t="shared" si="67"/>
        <v>0</v>
      </c>
    </row>
    <row r="1042" spans="1:18" s="904" customFormat="1">
      <c r="A1042" s="895"/>
      <c r="B1042" s="896"/>
      <c r="C1042" s="897"/>
      <c r="D1042" s="897"/>
      <c r="E1042" s="924" t="s">
        <v>276</v>
      </c>
      <c r="F1042" s="927"/>
      <c r="G1042" s="928"/>
      <c r="H1042" s="901"/>
      <c r="I1042" s="902"/>
      <c r="J1042" s="902"/>
      <c r="K1042" s="912" t="s">
        <v>274</v>
      </c>
      <c r="L1042" s="902"/>
      <c r="M1042" s="902"/>
      <c r="N1042" s="902"/>
      <c r="O1042" s="892">
        <f t="shared" si="64"/>
        <v>0</v>
      </c>
      <c r="P1042" s="903">
        <f t="shared" si="65"/>
        <v>1</v>
      </c>
      <c r="Q1042" s="893">
        <f t="shared" si="66"/>
        <v>2</v>
      </c>
      <c r="R1042" s="894">
        <f t="shared" si="67"/>
        <v>0</v>
      </c>
    </row>
    <row r="1043" spans="1:18">
      <c r="A1043" s="905"/>
      <c r="B1043" s="906"/>
      <c r="C1043" s="907">
        <v>740</v>
      </c>
      <c r="D1043" s="907" t="s">
        <v>12</v>
      </c>
      <c r="E1043" s="908" t="s">
        <v>4008</v>
      </c>
      <c r="F1043" s="909" t="s">
        <v>2674</v>
      </c>
      <c r="G1043" s="910"/>
      <c r="H1043" s="911">
        <v>1.37</v>
      </c>
      <c r="I1043" s="912"/>
      <c r="J1043" s="912"/>
      <c r="K1043" s="912">
        <f>VLOOKUP(E1043,ĐMNC!$A$7:$F$67,4,0)</f>
        <v>252714</v>
      </c>
      <c r="L1043" s="912">
        <f>H1043*K1043</f>
        <v>346218.18000000005</v>
      </c>
      <c r="M1043" s="912"/>
      <c r="N1043" s="912"/>
      <c r="O1043" s="892">
        <f t="shared" si="64"/>
        <v>0</v>
      </c>
      <c r="P1043" s="903">
        <f t="shared" si="65"/>
        <v>1</v>
      </c>
      <c r="Q1043" s="893">
        <f t="shared" si="66"/>
        <v>1</v>
      </c>
      <c r="R1043" s="894">
        <f t="shared" si="67"/>
        <v>0</v>
      </c>
    </row>
    <row r="1044" spans="1:18" s="847" customFormat="1" ht="31.5">
      <c r="A1044" s="905"/>
      <c r="B1044" s="914" t="s">
        <v>4272</v>
      </c>
      <c r="C1044" s="915"/>
      <c r="D1044" s="915"/>
      <c r="E1044" s="916" t="s">
        <v>4273</v>
      </c>
      <c r="F1044" s="917" t="s">
        <v>249</v>
      </c>
      <c r="G1044" s="918"/>
      <c r="H1044" s="919"/>
      <c r="I1044" s="920"/>
      <c r="J1044" s="891">
        <f>SUM(J1045:J1049)</f>
        <v>5720</v>
      </c>
      <c r="K1044" s="891"/>
      <c r="L1044" s="891">
        <f>SUM(L1045:L1049)</f>
        <v>363908.16</v>
      </c>
      <c r="M1044" s="891"/>
      <c r="N1044" s="891">
        <f>SUM(N1045:N1049)</f>
        <v>0</v>
      </c>
      <c r="O1044" s="892">
        <f t="shared" si="64"/>
        <v>1</v>
      </c>
      <c r="P1044" s="903">
        <f t="shared" si="65"/>
        <v>0</v>
      </c>
      <c r="Q1044" s="893">
        <f t="shared" si="66"/>
        <v>0</v>
      </c>
      <c r="R1044" s="894">
        <f t="shared" si="67"/>
        <v>5</v>
      </c>
    </row>
    <row r="1045" spans="1:18" s="904" customFormat="1">
      <c r="A1045" s="895"/>
      <c r="B1045" s="896"/>
      <c r="C1045" s="897"/>
      <c r="D1045" s="897"/>
      <c r="E1045" s="924" t="s">
        <v>108</v>
      </c>
      <c r="F1045" s="899"/>
      <c r="G1045" s="900"/>
      <c r="H1045" s="901"/>
      <c r="I1045" s="902"/>
      <c r="J1045" s="902"/>
      <c r="K1045" s="912" t="s">
        <v>274</v>
      </c>
      <c r="L1045" s="902"/>
      <c r="M1045" s="902"/>
      <c r="N1045" s="902"/>
      <c r="O1045" s="892">
        <f t="shared" si="64"/>
        <v>0</v>
      </c>
      <c r="P1045" s="903">
        <f t="shared" si="65"/>
        <v>1</v>
      </c>
      <c r="Q1045" s="893">
        <f t="shared" si="66"/>
        <v>5</v>
      </c>
      <c r="R1045" s="894">
        <f t="shared" si="67"/>
        <v>0</v>
      </c>
    </row>
    <row r="1046" spans="1:18">
      <c r="A1046" s="905"/>
      <c r="B1046" s="906"/>
      <c r="C1046" s="907">
        <v>66</v>
      </c>
      <c r="D1046" s="907" t="s">
        <v>279</v>
      </c>
      <c r="E1046" s="925" t="s">
        <v>2682</v>
      </c>
      <c r="F1046" s="926" t="s">
        <v>45</v>
      </c>
      <c r="G1046" s="910"/>
      <c r="H1046" s="911">
        <v>0.04</v>
      </c>
      <c r="I1046" s="912">
        <f>VLOOKUP(E1046,[3]VLP!$B$7:$K$300,10,0)</f>
        <v>5000</v>
      </c>
      <c r="J1046" s="912">
        <f>I1046*H1046</f>
        <v>200</v>
      </c>
      <c r="K1046" s="912" t="s">
        <v>274</v>
      </c>
      <c r="L1046" s="912"/>
      <c r="M1046" s="912"/>
      <c r="N1046" s="912"/>
      <c r="O1046" s="892">
        <f t="shared" si="64"/>
        <v>0</v>
      </c>
      <c r="P1046" s="903">
        <f t="shared" si="65"/>
        <v>1</v>
      </c>
      <c r="Q1046" s="893">
        <f t="shared" si="66"/>
        <v>4</v>
      </c>
      <c r="R1046" s="894">
        <f t="shared" si="67"/>
        <v>0</v>
      </c>
    </row>
    <row r="1047" spans="1:18">
      <c r="A1047" s="905"/>
      <c r="B1047" s="906"/>
      <c r="C1047" s="907">
        <v>44</v>
      </c>
      <c r="D1047" s="907" t="s">
        <v>279</v>
      </c>
      <c r="E1047" s="925" t="s">
        <v>2681</v>
      </c>
      <c r="F1047" s="926" t="s">
        <v>45</v>
      </c>
      <c r="G1047" s="910"/>
      <c r="H1047" s="911">
        <v>0.24</v>
      </c>
      <c r="I1047" s="912">
        <f>VLOOKUP(E1047,[3]VLP!$B$7:$K$300,10,0)</f>
        <v>23000</v>
      </c>
      <c r="J1047" s="912">
        <f>I1047*H1047</f>
        <v>5520</v>
      </c>
      <c r="K1047" s="912" t="s">
        <v>274</v>
      </c>
      <c r="L1047" s="912"/>
      <c r="M1047" s="912"/>
      <c r="N1047" s="912"/>
      <c r="O1047" s="892">
        <f t="shared" si="64"/>
        <v>0</v>
      </c>
      <c r="P1047" s="903">
        <f t="shared" si="65"/>
        <v>1</v>
      </c>
      <c r="Q1047" s="893">
        <f t="shared" si="66"/>
        <v>3</v>
      </c>
      <c r="R1047" s="894">
        <f t="shared" si="67"/>
        <v>0</v>
      </c>
    </row>
    <row r="1048" spans="1:18" s="904" customFormat="1">
      <c r="A1048" s="895"/>
      <c r="B1048" s="896"/>
      <c r="C1048" s="897"/>
      <c r="D1048" s="897"/>
      <c r="E1048" s="924" t="s">
        <v>276</v>
      </c>
      <c r="F1048" s="927"/>
      <c r="G1048" s="928"/>
      <c r="H1048" s="901"/>
      <c r="I1048" s="902"/>
      <c r="J1048" s="902"/>
      <c r="K1048" s="912" t="s">
        <v>274</v>
      </c>
      <c r="L1048" s="902"/>
      <c r="M1048" s="902"/>
      <c r="N1048" s="902"/>
      <c r="O1048" s="892">
        <f t="shared" si="64"/>
        <v>0</v>
      </c>
      <c r="P1048" s="903">
        <f t="shared" si="65"/>
        <v>1</v>
      </c>
      <c r="Q1048" s="893">
        <f t="shared" si="66"/>
        <v>2</v>
      </c>
      <c r="R1048" s="894">
        <f t="shared" si="67"/>
        <v>0</v>
      </c>
    </row>
    <row r="1049" spans="1:18">
      <c r="A1049" s="905"/>
      <c r="B1049" s="906"/>
      <c r="C1049" s="907">
        <v>740</v>
      </c>
      <c r="D1049" s="907" t="s">
        <v>12</v>
      </c>
      <c r="E1049" s="908" t="s">
        <v>4008</v>
      </c>
      <c r="F1049" s="909" t="s">
        <v>2674</v>
      </c>
      <c r="G1049" s="910"/>
      <c r="H1049" s="911">
        <v>1.44</v>
      </c>
      <c r="I1049" s="912"/>
      <c r="J1049" s="912"/>
      <c r="K1049" s="912">
        <f>VLOOKUP(E1049,ĐMNC!$A$7:$F$67,4,0)</f>
        <v>252714</v>
      </c>
      <c r="L1049" s="912">
        <f>H1049*K1049</f>
        <v>363908.16</v>
      </c>
      <c r="M1049" s="912"/>
      <c r="N1049" s="912"/>
      <c r="O1049" s="892">
        <f t="shared" si="64"/>
        <v>0</v>
      </c>
      <c r="P1049" s="903">
        <f t="shared" si="65"/>
        <v>1</v>
      </c>
      <c r="Q1049" s="893">
        <f t="shared" si="66"/>
        <v>1</v>
      </c>
      <c r="R1049" s="894">
        <f t="shared" si="67"/>
        <v>0</v>
      </c>
    </row>
    <row r="1050" spans="1:18" s="847" customFormat="1" ht="31.5">
      <c r="A1050" s="905"/>
      <c r="B1050" s="914" t="s">
        <v>4274</v>
      </c>
      <c r="C1050" s="915"/>
      <c r="D1050" s="915"/>
      <c r="E1050" s="916" t="s">
        <v>4275</v>
      </c>
      <c r="F1050" s="917" t="s">
        <v>249</v>
      </c>
      <c r="G1050" s="918"/>
      <c r="H1050" s="919"/>
      <c r="I1050" s="920"/>
      <c r="J1050" s="891">
        <f>SUM(J1051:J1055)</f>
        <v>5720</v>
      </c>
      <c r="K1050" s="891"/>
      <c r="L1050" s="891">
        <f>SUM(L1051:L1055)</f>
        <v>396760.98000000004</v>
      </c>
      <c r="M1050" s="891"/>
      <c r="N1050" s="891">
        <f>SUM(N1051:N1055)</f>
        <v>0</v>
      </c>
      <c r="O1050" s="892">
        <f t="shared" si="64"/>
        <v>1</v>
      </c>
      <c r="P1050" s="903">
        <f t="shared" si="65"/>
        <v>0</v>
      </c>
      <c r="Q1050" s="893">
        <f t="shared" si="66"/>
        <v>0</v>
      </c>
      <c r="R1050" s="894">
        <f t="shared" si="67"/>
        <v>5</v>
      </c>
    </row>
    <row r="1051" spans="1:18" s="904" customFormat="1">
      <c r="A1051" s="895"/>
      <c r="B1051" s="896"/>
      <c r="C1051" s="897"/>
      <c r="D1051" s="897"/>
      <c r="E1051" s="924" t="s">
        <v>108</v>
      </c>
      <c r="F1051" s="899"/>
      <c r="G1051" s="900"/>
      <c r="H1051" s="901"/>
      <c r="I1051" s="902"/>
      <c r="J1051" s="902"/>
      <c r="K1051" s="912" t="s">
        <v>274</v>
      </c>
      <c r="L1051" s="902"/>
      <c r="M1051" s="902"/>
      <c r="N1051" s="902"/>
      <c r="O1051" s="892">
        <f t="shared" si="64"/>
        <v>0</v>
      </c>
      <c r="P1051" s="903">
        <f t="shared" si="65"/>
        <v>1</v>
      </c>
      <c r="Q1051" s="893">
        <f t="shared" si="66"/>
        <v>5</v>
      </c>
      <c r="R1051" s="894">
        <f t="shared" si="67"/>
        <v>0</v>
      </c>
    </row>
    <row r="1052" spans="1:18">
      <c r="A1052" s="905"/>
      <c r="B1052" s="906"/>
      <c r="C1052" s="907">
        <v>66</v>
      </c>
      <c r="D1052" s="907" t="s">
        <v>279</v>
      </c>
      <c r="E1052" s="925" t="s">
        <v>2682</v>
      </c>
      <c r="F1052" s="926" t="s">
        <v>45</v>
      </c>
      <c r="G1052" s="910"/>
      <c r="H1052" s="911">
        <v>0.04</v>
      </c>
      <c r="I1052" s="912">
        <f>VLOOKUP(E1052,[3]VLP!$B$7:$K$300,10,0)</f>
        <v>5000</v>
      </c>
      <c r="J1052" s="912">
        <f>I1052*H1052</f>
        <v>200</v>
      </c>
      <c r="K1052" s="912" t="s">
        <v>274</v>
      </c>
      <c r="L1052" s="912"/>
      <c r="M1052" s="912"/>
      <c r="N1052" s="912"/>
      <c r="O1052" s="892">
        <f t="shared" si="64"/>
        <v>0</v>
      </c>
      <c r="P1052" s="903">
        <f t="shared" si="65"/>
        <v>1</v>
      </c>
      <c r="Q1052" s="893">
        <f t="shared" si="66"/>
        <v>4</v>
      </c>
      <c r="R1052" s="894">
        <f t="shared" si="67"/>
        <v>0</v>
      </c>
    </row>
    <row r="1053" spans="1:18">
      <c r="A1053" s="905"/>
      <c r="B1053" s="906"/>
      <c r="C1053" s="907">
        <v>44</v>
      </c>
      <c r="D1053" s="907" t="s">
        <v>279</v>
      </c>
      <c r="E1053" s="925" t="s">
        <v>2681</v>
      </c>
      <c r="F1053" s="926" t="s">
        <v>45</v>
      </c>
      <c r="G1053" s="910"/>
      <c r="H1053" s="911">
        <v>0.24</v>
      </c>
      <c r="I1053" s="912">
        <f>VLOOKUP(E1053,[3]VLP!$B$7:$K$300,10,0)</f>
        <v>23000</v>
      </c>
      <c r="J1053" s="912">
        <f>I1053*H1053</f>
        <v>5520</v>
      </c>
      <c r="K1053" s="912" t="s">
        <v>274</v>
      </c>
      <c r="L1053" s="912"/>
      <c r="M1053" s="912"/>
      <c r="N1053" s="912"/>
      <c r="O1053" s="892">
        <f t="shared" si="64"/>
        <v>0</v>
      </c>
      <c r="P1053" s="903">
        <f t="shared" si="65"/>
        <v>1</v>
      </c>
      <c r="Q1053" s="893">
        <f t="shared" si="66"/>
        <v>3</v>
      </c>
      <c r="R1053" s="894">
        <f t="shared" si="67"/>
        <v>0</v>
      </c>
    </row>
    <row r="1054" spans="1:18" s="904" customFormat="1">
      <c r="A1054" s="895"/>
      <c r="B1054" s="896"/>
      <c r="C1054" s="897"/>
      <c r="D1054" s="897"/>
      <c r="E1054" s="924" t="s">
        <v>276</v>
      </c>
      <c r="F1054" s="927"/>
      <c r="G1054" s="928"/>
      <c r="H1054" s="901"/>
      <c r="I1054" s="902"/>
      <c r="J1054" s="902"/>
      <c r="K1054" s="912" t="s">
        <v>274</v>
      </c>
      <c r="L1054" s="902"/>
      <c r="M1054" s="902"/>
      <c r="N1054" s="902"/>
      <c r="O1054" s="892">
        <f t="shared" si="64"/>
        <v>0</v>
      </c>
      <c r="P1054" s="903">
        <f t="shared" si="65"/>
        <v>1</v>
      </c>
      <c r="Q1054" s="893">
        <f t="shared" si="66"/>
        <v>2</v>
      </c>
      <c r="R1054" s="894">
        <f t="shared" si="67"/>
        <v>0</v>
      </c>
    </row>
    <row r="1055" spans="1:18">
      <c r="A1055" s="905"/>
      <c r="B1055" s="906"/>
      <c r="C1055" s="907">
        <v>740</v>
      </c>
      <c r="D1055" s="907" t="s">
        <v>12</v>
      </c>
      <c r="E1055" s="908" t="s">
        <v>4008</v>
      </c>
      <c r="F1055" s="909" t="s">
        <v>2674</v>
      </c>
      <c r="G1055" s="910"/>
      <c r="H1055" s="911">
        <v>1.57</v>
      </c>
      <c r="I1055" s="912"/>
      <c r="J1055" s="912"/>
      <c r="K1055" s="912">
        <f>VLOOKUP(E1055,ĐMNC!$A$7:$F$67,4,0)</f>
        <v>252714</v>
      </c>
      <c r="L1055" s="912">
        <f>H1055*K1055</f>
        <v>396760.98000000004</v>
      </c>
      <c r="M1055" s="912"/>
      <c r="N1055" s="912"/>
      <c r="O1055" s="892">
        <f t="shared" si="64"/>
        <v>0</v>
      </c>
      <c r="P1055" s="903">
        <f t="shared" si="65"/>
        <v>1</v>
      </c>
      <c r="Q1055" s="893">
        <f t="shared" si="66"/>
        <v>1</v>
      </c>
      <c r="R1055" s="894">
        <f t="shared" si="67"/>
        <v>0</v>
      </c>
    </row>
    <row r="1056" spans="1:18" s="847" customFormat="1" ht="31.5">
      <c r="A1056" s="905"/>
      <c r="B1056" s="914" t="s">
        <v>4276</v>
      </c>
      <c r="C1056" s="915"/>
      <c r="D1056" s="915"/>
      <c r="E1056" s="916" t="s">
        <v>4277</v>
      </c>
      <c r="F1056" s="917" t="s">
        <v>249</v>
      </c>
      <c r="G1056" s="918"/>
      <c r="H1056" s="919"/>
      <c r="I1056" s="920"/>
      <c r="J1056" s="891">
        <f>SUM(J1057:J1061)</f>
        <v>5720</v>
      </c>
      <c r="K1056" s="891"/>
      <c r="L1056" s="891">
        <f>SUM(L1057:L1061)</f>
        <v>454885.2</v>
      </c>
      <c r="M1056" s="891"/>
      <c r="N1056" s="891">
        <f>SUM(N1057:N1061)</f>
        <v>0</v>
      </c>
      <c r="O1056" s="892">
        <f t="shared" si="64"/>
        <v>1</v>
      </c>
      <c r="P1056" s="903">
        <f t="shared" si="65"/>
        <v>0</v>
      </c>
      <c r="Q1056" s="893">
        <f t="shared" si="66"/>
        <v>0</v>
      </c>
      <c r="R1056" s="894">
        <f t="shared" si="67"/>
        <v>5</v>
      </c>
    </row>
    <row r="1057" spans="1:18" s="904" customFormat="1">
      <c r="A1057" s="895"/>
      <c r="B1057" s="896"/>
      <c r="C1057" s="897"/>
      <c r="D1057" s="897"/>
      <c r="E1057" s="924" t="s">
        <v>108</v>
      </c>
      <c r="F1057" s="899"/>
      <c r="G1057" s="900"/>
      <c r="H1057" s="901"/>
      <c r="I1057" s="902"/>
      <c r="J1057" s="902"/>
      <c r="K1057" s="912" t="s">
        <v>274</v>
      </c>
      <c r="L1057" s="902"/>
      <c r="M1057" s="902"/>
      <c r="N1057" s="902"/>
      <c r="O1057" s="892">
        <f t="shared" si="64"/>
        <v>0</v>
      </c>
      <c r="P1057" s="903">
        <f t="shared" si="65"/>
        <v>1</v>
      </c>
      <c r="Q1057" s="893">
        <f t="shared" si="66"/>
        <v>5</v>
      </c>
      <c r="R1057" s="894">
        <f t="shared" si="67"/>
        <v>0</v>
      </c>
    </row>
    <row r="1058" spans="1:18">
      <c r="A1058" s="905"/>
      <c r="B1058" s="906"/>
      <c r="C1058" s="907">
        <v>66</v>
      </c>
      <c r="D1058" s="907" t="s">
        <v>279</v>
      </c>
      <c r="E1058" s="925" t="s">
        <v>2682</v>
      </c>
      <c r="F1058" s="926" t="s">
        <v>45</v>
      </c>
      <c r="G1058" s="910"/>
      <c r="H1058" s="911">
        <v>0.04</v>
      </c>
      <c r="I1058" s="912">
        <f>VLOOKUP(E1058,[3]VLP!$B$7:$K$300,10,0)</f>
        <v>5000</v>
      </c>
      <c r="J1058" s="912">
        <f>I1058*H1058</f>
        <v>200</v>
      </c>
      <c r="K1058" s="912" t="s">
        <v>274</v>
      </c>
      <c r="L1058" s="912"/>
      <c r="M1058" s="912"/>
      <c r="N1058" s="912"/>
      <c r="O1058" s="892">
        <f t="shared" si="64"/>
        <v>0</v>
      </c>
      <c r="P1058" s="903">
        <f t="shared" si="65"/>
        <v>1</v>
      </c>
      <c r="Q1058" s="893">
        <f t="shared" si="66"/>
        <v>4</v>
      </c>
      <c r="R1058" s="894">
        <f t="shared" si="67"/>
        <v>0</v>
      </c>
    </row>
    <row r="1059" spans="1:18">
      <c r="A1059" s="905"/>
      <c r="B1059" s="906"/>
      <c r="C1059" s="907">
        <v>44</v>
      </c>
      <c r="D1059" s="907" t="s">
        <v>279</v>
      </c>
      <c r="E1059" s="925" t="s">
        <v>2681</v>
      </c>
      <c r="F1059" s="926" t="s">
        <v>45</v>
      </c>
      <c r="G1059" s="910"/>
      <c r="H1059" s="911">
        <v>0.24</v>
      </c>
      <c r="I1059" s="912">
        <f>VLOOKUP(E1059,[3]VLP!$B$7:$K$300,10,0)</f>
        <v>23000</v>
      </c>
      <c r="J1059" s="912">
        <f>I1059*H1059</f>
        <v>5520</v>
      </c>
      <c r="K1059" s="912" t="s">
        <v>274</v>
      </c>
      <c r="L1059" s="912"/>
      <c r="M1059" s="912"/>
      <c r="N1059" s="912"/>
      <c r="O1059" s="892">
        <f t="shared" si="64"/>
        <v>0</v>
      </c>
      <c r="P1059" s="903">
        <f t="shared" si="65"/>
        <v>1</v>
      </c>
      <c r="Q1059" s="893">
        <f t="shared" si="66"/>
        <v>3</v>
      </c>
      <c r="R1059" s="894">
        <f t="shared" si="67"/>
        <v>0</v>
      </c>
    </row>
    <row r="1060" spans="1:18" s="904" customFormat="1">
      <c r="A1060" s="895"/>
      <c r="B1060" s="896"/>
      <c r="C1060" s="897"/>
      <c r="D1060" s="897"/>
      <c r="E1060" s="924" t="s">
        <v>276</v>
      </c>
      <c r="F1060" s="927"/>
      <c r="G1060" s="928"/>
      <c r="H1060" s="901"/>
      <c r="I1060" s="902"/>
      <c r="J1060" s="902"/>
      <c r="K1060" s="912" t="s">
        <v>274</v>
      </c>
      <c r="L1060" s="902"/>
      <c r="M1060" s="902"/>
      <c r="N1060" s="902"/>
      <c r="O1060" s="892">
        <f t="shared" si="64"/>
        <v>0</v>
      </c>
      <c r="P1060" s="903">
        <f t="shared" si="65"/>
        <v>1</v>
      </c>
      <c r="Q1060" s="893">
        <f t="shared" si="66"/>
        <v>2</v>
      </c>
      <c r="R1060" s="894">
        <f t="shared" si="67"/>
        <v>0</v>
      </c>
    </row>
    <row r="1061" spans="1:18">
      <c r="A1061" s="905"/>
      <c r="B1061" s="906"/>
      <c r="C1061" s="907">
        <v>740</v>
      </c>
      <c r="D1061" s="907" t="s">
        <v>12</v>
      </c>
      <c r="E1061" s="908" t="s">
        <v>4008</v>
      </c>
      <c r="F1061" s="909" t="s">
        <v>2674</v>
      </c>
      <c r="G1061" s="910"/>
      <c r="H1061" s="911">
        <v>1.8</v>
      </c>
      <c r="I1061" s="912"/>
      <c r="J1061" s="912"/>
      <c r="K1061" s="912">
        <f>VLOOKUP(E1061,ĐMNC!$A$7:$F$67,4,0)</f>
        <v>252714</v>
      </c>
      <c r="L1061" s="912">
        <f>H1061*K1061</f>
        <v>454885.2</v>
      </c>
      <c r="M1061" s="912"/>
      <c r="N1061" s="912"/>
      <c r="O1061" s="892">
        <f t="shared" si="64"/>
        <v>0</v>
      </c>
      <c r="P1061" s="903">
        <f t="shared" si="65"/>
        <v>1</v>
      </c>
      <c r="Q1061" s="893">
        <f t="shared" si="66"/>
        <v>1</v>
      </c>
      <c r="R1061" s="894">
        <f t="shared" si="67"/>
        <v>0</v>
      </c>
    </row>
    <row r="1062" spans="1:18" s="847" customFormat="1" ht="31.5">
      <c r="A1062" s="905"/>
      <c r="B1062" s="914" t="s">
        <v>4278</v>
      </c>
      <c r="C1062" s="915"/>
      <c r="D1062" s="915"/>
      <c r="E1062" s="916" t="s">
        <v>4279</v>
      </c>
      <c r="F1062" s="917" t="s">
        <v>249</v>
      </c>
      <c r="G1062" s="918"/>
      <c r="H1062" s="919"/>
      <c r="I1062" s="920"/>
      <c r="J1062" s="891">
        <f>SUM(J1063:J1067)</f>
        <v>5720</v>
      </c>
      <c r="K1062" s="891"/>
      <c r="L1062" s="891">
        <f>SUM(L1063:L1067)</f>
        <v>505428</v>
      </c>
      <c r="M1062" s="891"/>
      <c r="N1062" s="891">
        <f>SUM(N1063:N1067)</f>
        <v>0</v>
      </c>
      <c r="O1062" s="892">
        <f t="shared" si="64"/>
        <v>1</v>
      </c>
      <c r="P1062" s="903">
        <f t="shared" si="65"/>
        <v>0</v>
      </c>
      <c r="Q1062" s="893">
        <f t="shared" si="66"/>
        <v>0</v>
      </c>
      <c r="R1062" s="894">
        <f t="shared" si="67"/>
        <v>5</v>
      </c>
    </row>
    <row r="1063" spans="1:18" s="904" customFormat="1">
      <c r="A1063" s="895"/>
      <c r="B1063" s="896"/>
      <c r="C1063" s="897"/>
      <c r="D1063" s="897"/>
      <c r="E1063" s="924" t="s">
        <v>108</v>
      </c>
      <c r="F1063" s="899"/>
      <c r="G1063" s="900"/>
      <c r="H1063" s="901"/>
      <c r="I1063" s="902"/>
      <c r="J1063" s="902"/>
      <c r="K1063" s="912" t="s">
        <v>274</v>
      </c>
      <c r="L1063" s="902"/>
      <c r="M1063" s="902"/>
      <c r="N1063" s="902"/>
      <c r="O1063" s="892">
        <f t="shared" si="64"/>
        <v>0</v>
      </c>
      <c r="P1063" s="903">
        <f t="shared" si="65"/>
        <v>1</v>
      </c>
      <c r="Q1063" s="893">
        <f t="shared" si="66"/>
        <v>5</v>
      </c>
      <c r="R1063" s="894">
        <f t="shared" si="67"/>
        <v>0</v>
      </c>
    </row>
    <row r="1064" spans="1:18">
      <c r="A1064" s="905"/>
      <c r="B1064" s="906"/>
      <c r="C1064" s="907">
        <v>66</v>
      </c>
      <c r="D1064" s="907" t="s">
        <v>279</v>
      </c>
      <c r="E1064" s="925" t="s">
        <v>2682</v>
      </c>
      <c r="F1064" s="926" t="s">
        <v>45</v>
      </c>
      <c r="G1064" s="910"/>
      <c r="H1064" s="911">
        <v>0.04</v>
      </c>
      <c r="I1064" s="912">
        <f>VLOOKUP(E1064,[3]VLP!$B$7:$K$300,10,0)</f>
        <v>5000</v>
      </c>
      <c r="J1064" s="912">
        <f>I1064*H1064</f>
        <v>200</v>
      </c>
      <c r="K1064" s="912" t="s">
        <v>274</v>
      </c>
      <c r="L1064" s="912"/>
      <c r="M1064" s="912"/>
      <c r="N1064" s="912"/>
      <c r="O1064" s="892">
        <f t="shared" si="64"/>
        <v>0</v>
      </c>
      <c r="P1064" s="903">
        <f t="shared" si="65"/>
        <v>1</v>
      </c>
      <c r="Q1064" s="893">
        <f t="shared" si="66"/>
        <v>4</v>
      </c>
      <c r="R1064" s="894">
        <f t="shared" si="67"/>
        <v>0</v>
      </c>
    </row>
    <row r="1065" spans="1:18">
      <c r="A1065" s="905"/>
      <c r="B1065" s="906"/>
      <c r="C1065" s="907">
        <v>44</v>
      </c>
      <c r="D1065" s="907" t="s">
        <v>279</v>
      </c>
      <c r="E1065" s="925" t="s">
        <v>2681</v>
      </c>
      <c r="F1065" s="926" t="s">
        <v>45</v>
      </c>
      <c r="G1065" s="910"/>
      <c r="H1065" s="911">
        <v>0.24</v>
      </c>
      <c r="I1065" s="912">
        <f>VLOOKUP(E1065,[3]VLP!$B$7:$K$300,10,0)</f>
        <v>23000</v>
      </c>
      <c r="J1065" s="912">
        <f>I1065*H1065</f>
        <v>5520</v>
      </c>
      <c r="K1065" s="912" t="s">
        <v>274</v>
      </c>
      <c r="L1065" s="912"/>
      <c r="M1065" s="912"/>
      <c r="N1065" s="912"/>
      <c r="O1065" s="892">
        <f t="shared" si="64"/>
        <v>0</v>
      </c>
      <c r="P1065" s="903">
        <f t="shared" si="65"/>
        <v>1</v>
      </c>
      <c r="Q1065" s="893">
        <f t="shared" si="66"/>
        <v>3</v>
      </c>
      <c r="R1065" s="894">
        <f t="shared" si="67"/>
        <v>0</v>
      </c>
    </row>
    <row r="1066" spans="1:18" s="904" customFormat="1">
      <c r="A1066" s="895"/>
      <c r="B1066" s="896"/>
      <c r="C1066" s="897"/>
      <c r="D1066" s="897"/>
      <c r="E1066" s="924" t="s">
        <v>276</v>
      </c>
      <c r="F1066" s="927"/>
      <c r="G1066" s="928"/>
      <c r="H1066" s="901"/>
      <c r="I1066" s="902"/>
      <c r="J1066" s="902"/>
      <c r="K1066" s="912" t="s">
        <v>274</v>
      </c>
      <c r="L1066" s="902"/>
      <c r="M1066" s="902"/>
      <c r="N1066" s="902"/>
      <c r="O1066" s="892">
        <f t="shared" si="64"/>
        <v>0</v>
      </c>
      <c r="P1066" s="903">
        <f t="shared" si="65"/>
        <v>1</v>
      </c>
      <c r="Q1066" s="893">
        <f t="shared" si="66"/>
        <v>2</v>
      </c>
      <c r="R1066" s="894">
        <f t="shared" si="67"/>
        <v>0</v>
      </c>
    </row>
    <row r="1067" spans="1:18">
      <c r="A1067" s="905"/>
      <c r="B1067" s="906"/>
      <c r="C1067" s="907">
        <v>740</v>
      </c>
      <c r="D1067" s="907" t="s">
        <v>12</v>
      </c>
      <c r="E1067" s="908" t="s">
        <v>4008</v>
      </c>
      <c r="F1067" s="909" t="s">
        <v>2674</v>
      </c>
      <c r="G1067" s="910"/>
      <c r="H1067" s="911">
        <v>2</v>
      </c>
      <c r="I1067" s="912"/>
      <c r="J1067" s="912"/>
      <c r="K1067" s="912">
        <f>VLOOKUP(E1067,ĐMNC!$A$7:$F$67,4,0)</f>
        <v>252714</v>
      </c>
      <c r="L1067" s="912">
        <f>H1067*K1067</f>
        <v>505428</v>
      </c>
      <c r="M1067" s="912"/>
      <c r="N1067" s="912"/>
      <c r="O1067" s="892">
        <f t="shared" si="64"/>
        <v>0</v>
      </c>
      <c r="P1067" s="903">
        <f t="shared" si="65"/>
        <v>1</v>
      </c>
      <c r="Q1067" s="893">
        <f t="shared" si="66"/>
        <v>1</v>
      </c>
      <c r="R1067" s="894">
        <f t="shared" si="67"/>
        <v>0</v>
      </c>
    </row>
    <row r="1068" spans="1:18" s="847" customFormat="1" ht="31.5">
      <c r="A1068" s="905"/>
      <c r="B1068" s="914" t="s">
        <v>4280</v>
      </c>
      <c r="C1068" s="915"/>
      <c r="D1068" s="915"/>
      <c r="E1068" s="916" t="s">
        <v>4281</v>
      </c>
      <c r="F1068" s="917" t="s">
        <v>249</v>
      </c>
      <c r="G1068" s="918"/>
      <c r="H1068" s="919"/>
      <c r="I1068" s="920"/>
      <c r="J1068" s="891">
        <f>SUM(J1069:J1073)</f>
        <v>5720</v>
      </c>
      <c r="K1068" s="891"/>
      <c r="L1068" s="891">
        <f>SUM(L1069:L1073)</f>
        <v>555970.80000000005</v>
      </c>
      <c r="M1068" s="891"/>
      <c r="N1068" s="891">
        <f>SUM(N1069:N1073)</f>
        <v>0</v>
      </c>
      <c r="O1068" s="892">
        <f t="shared" si="64"/>
        <v>1</v>
      </c>
      <c r="P1068" s="903">
        <f t="shared" si="65"/>
        <v>0</v>
      </c>
      <c r="Q1068" s="893">
        <f t="shared" si="66"/>
        <v>0</v>
      </c>
      <c r="R1068" s="894">
        <f t="shared" si="67"/>
        <v>5</v>
      </c>
    </row>
    <row r="1069" spans="1:18" s="904" customFormat="1">
      <c r="A1069" s="895"/>
      <c r="B1069" s="896"/>
      <c r="C1069" s="897"/>
      <c r="D1069" s="897"/>
      <c r="E1069" s="924" t="s">
        <v>108</v>
      </c>
      <c r="F1069" s="899"/>
      <c r="G1069" s="900"/>
      <c r="H1069" s="901"/>
      <c r="I1069" s="902"/>
      <c r="J1069" s="902"/>
      <c r="K1069" s="912" t="s">
        <v>274</v>
      </c>
      <c r="L1069" s="902"/>
      <c r="M1069" s="902"/>
      <c r="N1069" s="902"/>
      <c r="O1069" s="892">
        <f t="shared" si="64"/>
        <v>0</v>
      </c>
      <c r="P1069" s="903">
        <f t="shared" si="65"/>
        <v>1</v>
      </c>
      <c r="Q1069" s="893">
        <f t="shared" si="66"/>
        <v>5</v>
      </c>
      <c r="R1069" s="894">
        <f t="shared" si="67"/>
        <v>0</v>
      </c>
    </row>
    <row r="1070" spans="1:18">
      <c r="A1070" s="905"/>
      <c r="B1070" s="906"/>
      <c r="C1070" s="907">
        <v>66</v>
      </c>
      <c r="D1070" s="907" t="s">
        <v>279</v>
      </c>
      <c r="E1070" s="925" t="s">
        <v>2682</v>
      </c>
      <c r="F1070" s="926" t="s">
        <v>45</v>
      </c>
      <c r="G1070" s="910"/>
      <c r="H1070" s="911">
        <v>0.04</v>
      </c>
      <c r="I1070" s="912">
        <f>VLOOKUP(E1070,[3]VLP!$B$7:$K$300,10,0)</f>
        <v>5000</v>
      </c>
      <c r="J1070" s="912">
        <f>I1070*H1070</f>
        <v>200</v>
      </c>
      <c r="K1070" s="912" t="s">
        <v>274</v>
      </c>
      <c r="L1070" s="912"/>
      <c r="M1070" s="912"/>
      <c r="N1070" s="912"/>
      <c r="O1070" s="892">
        <f t="shared" si="64"/>
        <v>0</v>
      </c>
      <c r="P1070" s="903">
        <f t="shared" si="65"/>
        <v>1</v>
      </c>
      <c r="Q1070" s="893">
        <f t="shared" si="66"/>
        <v>4</v>
      </c>
      <c r="R1070" s="894">
        <f t="shared" si="67"/>
        <v>0</v>
      </c>
    </row>
    <row r="1071" spans="1:18">
      <c r="A1071" s="905"/>
      <c r="B1071" s="906"/>
      <c r="C1071" s="907">
        <v>44</v>
      </c>
      <c r="D1071" s="907" t="s">
        <v>279</v>
      </c>
      <c r="E1071" s="925" t="s">
        <v>2681</v>
      </c>
      <c r="F1071" s="926" t="s">
        <v>45</v>
      </c>
      <c r="G1071" s="910"/>
      <c r="H1071" s="911">
        <v>0.24</v>
      </c>
      <c r="I1071" s="912">
        <f>VLOOKUP(E1071,[3]VLP!$B$7:$K$300,10,0)</f>
        <v>23000</v>
      </c>
      <c r="J1071" s="912">
        <f>I1071*H1071</f>
        <v>5520</v>
      </c>
      <c r="K1071" s="912" t="s">
        <v>274</v>
      </c>
      <c r="L1071" s="912"/>
      <c r="M1071" s="912"/>
      <c r="N1071" s="912"/>
      <c r="O1071" s="892">
        <f t="shared" si="64"/>
        <v>0</v>
      </c>
      <c r="P1071" s="903">
        <f t="shared" si="65"/>
        <v>1</v>
      </c>
      <c r="Q1071" s="893">
        <f t="shared" si="66"/>
        <v>3</v>
      </c>
      <c r="R1071" s="894">
        <f t="shared" si="67"/>
        <v>0</v>
      </c>
    </row>
    <row r="1072" spans="1:18" s="904" customFormat="1">
      <c r="A1072" s="895"/>
      <c r="B1072" s="896"/>
      <c r="C1072" s="897"/>
      <c r="D1072" s="897"/>
      <c r="E1072" s="924" t="s">
        <v>276</v>
      </c>
      <c r="F1072" s="927"/>
      <c r="G1072" s="928"/>
      <c r="H1072" s="901"/>
      <c r="I1072" s="902"/>
      <c r="J1072" s="902"/>
      <c r="K1072" s="912" t="s">
        <v>274</v>
      </c>
      <c r="L1072" s="902"/>
      <c r="M1072" s="902"/>
      <c r="N1072" s="902"/>
      <c r="O1072" s="892">
        <f t="shared" si="64"/>
        <v>0</v>
      </c>
      <c r="P1072" s="903">
        <f t="shared" si="65"/>
        <v>1</v>
      </c>
      <c r="Q1072" s="893">
        <f t="shared" si="66"/>
        <v>2</v>
      </c>
      <c r="R1072" s="894">
        <f t="shared" si="67"/>
        <v>0</v>
      </c>
    </row>
    <row r="1073" spans="1:18">
      <c r="A1073" s="905"/>
      <c r="B1073" s="906"/>
      <c r="C1073" s="907">
        <v>740</v>
      </c>
      <c r="D1073" s="907" t="s">
        <v>12</v>
      </c>
      <c r="E1073" s="908" t="s">
        <v>4008</v>
      </c>
      <c r="F1073" s="909" t="s">
        <v>2674</v>
      </c>
      <c r="G1073" s="910"/>
      <c r="H1073" s="911">
        <v>2.2000000000000002</v>
      </c>
      <c r="I1073" s="912"/>
      <c r="J1073" s="912"/>
      <c r="K1073" s="912">
        <f>VLOOKUP(E1073,ĐMNC!$A$7:$F$67,4,0)</f>
        <v>252714</v>
      </c>
      <c r="L1073" s="912">
        <f>H1073*K1073</f>
        <v>555970.80000000005</v>
      </c>
      <c r="M1073" s="912"/>
      <c r="N1073" s="912"/>
      <c r="O1073" s="892">
        <f t="shared" si="64"/>
        <v>0</v>
      </c>
      <c r="P1073" s="903">
        <f t="shared" si="65"/>
        <v>1</v>
      </c>
      <c r="Q1073" s="893">
        <f t="shared" si="66"/>
        <v>1</v>
      </c>
      <c r="R1073" s="894">
        <f t="shared" si="67"/>
        <v>0</v>
      </c>
    </row>
    <row r="1074" spans="1:18" s="847" customFormat="1" ht="31.5">
      <c r="A1074" s="905"/>
      <c r="B1074" s="914" t="s">
        <v>4282</v>
      </c>
      <c r="C1074" s="915"/>
      <c r="D1074" s="915"/>
      <c r="E1074" s="916" t="s">
        <v>4283</v>
      </c>
      <c r="F1074" s="917" t="s">
        <v>249</v>
      </c>
      <c r="G1074" s="918"/>
      <c r="H1074" s="919"/>
      <c r="I1074" s="920"/>
      <c r="J1074" s="891">
        <f>SUM(J1075:J1079)</f>
        <v>5720</v>
      </c>
      <c r="K1074" s="891"/>
      <c r="L1074" s="891">
        <f>SUM(L1075:L1079)</f>
        <v>639366.41999999993</v>
      </c>
      <c r="M1074" s="891"/>
      <c r="N1074" s="891">
        <f>SUM(N1075:N1079)</f>
        <v>0</v>
      </c>
      <c r="O1074" s="892">
        <f t="shared" si="64"/>
        <v>1</v>
      </c>
      <c r="P1074" s="903">
        <f t="shared" si="65"/>
        <v>0</v>
      </c>
      <c r="Q1074" s="893">
        <f t="shared" si="66"/>
        <v>0</v>
      </c>
      <c r="R1074" s="894">
        <f t="shared" si="67"/>
        <v>5</v>
      </c>
    </row>
    <row r="1075" spans="1:18" s="904" customFormat="1">
      <c r="A1075" s="895"/>
      <c r="B1075" s="896"/>
      <c r="C1075" s="897"/>
      <c r="D1075" s="897"/>
      <c r="E1075" s="924" t="s">
        <v>108</v>
      </c>
      <c r="F1075" s="899"/>
      <c r="G1075" s="900"/>
      <c r="H1075" s="901"/>
      <c r="I1075" s="902"/>
      <c r="J1075" s="902"/>
      <c r="K1075" s="912" t="s">
        <v>274</v>
      </c>
      <c r="L1075" s="902"/>
      <c r="M1075" s="902"/>
      <c r="N1075" s="902"/>
      <c r="O1075" s="892">
        <f t="shared" si="64"/>
        <v>0</v>
      </c>
      <c r="P1075" s="903">
        <f t="shared" si="65"/>
        <v>1</v>
      </c>
      <c r="Q1075" s="893">
        <f t="shared" si="66"/>
        <v>5</v>
      </c>
      <c r="R1075" s="894">
        <f t="shared" si="67"/>
        <v>0</v>
      </c>
    </row>
    <row r="1076" spans="1:18">
      <c r="A1076" s="905"/>
      <c r="B1076" s="906"/>
      <c r="C1076" s="907">
        <v>66</v>
      </c>
      <c r="D1076" s="907" t="s">
        <v>279</v>
      </c>
      <c r="E1076" s="925" t="s">
        <v>2682</v>
      </c>
      <c r="F1076" s="926" t="s">
        <v>45</v>
      </c>
      <c r="G1076" s="910"/>
      <c r="H1076" s="911">
        <v>0.04</v>
      </c>
      <c r="I1076" s="912">
        <f>VLOOKUP(E1076,[3]VLP!$B$7:$K$300,10,0)</f>
        <v>5000</v>
      </c>
      <c r="J1076" s="912">
        <f>I1076*H1076</f>
        <v>200</v>
      </c>
      <c r="K1076" s="912" t="s">
        <v>274</v>
      </c>
      <c r="L1076" s="912"/>
      <c r="M1076" s="912"/>
      <c r="N1076" s="912"/>
      <c r="O1076" s="892">
        <f t="shared" si="64"/>
        <v>0</v>
      </c>
      <c r="P1076" s="903">
        <f t="shared" si="65"/>
        <v>1</v>
      </c>
      <c r="Q1076" s="893">
        <f t="shared" si="66"/>
        <v>4</v>
      </c>
      <c r="R1076" s="894">
        <f t="shared" si="67"/>
        <v>0</v>
      </c>
    </row>
    <row r="1077" spans="1:18">
      <c r="A1077" s="905"/>
      <c r="B1077" s="906"/>
      <c r="C1077" s="907">
        <v>44</v>
      </c>
      <c r="D1077" s="907" t="s">
        <v>279</v>
      </c>
      <c r="E1077" s="925" t="s">
        <v>2681</v>
      </c>
      <c r="F1077" s="926" t="s">
        <v>45</v>
      </c>
      <c r="G1077" s="910"/>
      <c r="H1077" s="911">
        <v>0.24</v>
      </c>
      <c r="I1077" s="912">
        <f>VLOOKUP(E1077,[3]VLP!$B$7:$K$300,10,0)</f>
        <v>23000</v>
      </c>
      <c r="J1077" s="912">
        <f>I1077*H1077</f>
        <v>5520</v>
      </c>
      <c r="K1077" s="912" t="s">
        <v>274</v>
      </c>
      <c r="L1077" s="912"/>
      <c r="M1077" s="912"/>
      <c r="N1077" s="912"/>
      <c r="O1077" s="892">
        <f t="shared" si="64"/>
        <v>0</v>
      </c>
      <c r="P1077" s="903">
        <f t="shared" si="65"/>
        <v>1</v>
      </c>
      <c r="Q1077" s="893">
        <f t="shared" si="66"/>
        <v>3</v>
      </c>
      <c r="R1077" s="894">
        <f t="shared" si="67"/>
        <v>0</v>
      </c>
    </row>
    <row r="1078" spans="1:18" s="904" customFormat="1">
      <c r="A1078" s="895"/>
      <c r="B1078" s="896"/>
      <c r="C1078" s="897"/>
      <c r="D1078" s="897"/>
      <c r="E1078" s="924" t="s">
        <v>276</v>
      </c>
      <c r="F1078" s="927"/>
      <c r="G1078" s="928"/>
      <c r="H1078" s="901"/>
      <c r="I1078" s="902"/>
      <c r="J1078" s="902"/>
      <c r="K1078" s="912" t="s">
        <v>274</v>
      </c>
      <c r="L1078" s="902"/>
      <c r="M1078" s="902"/>
      <c r="N1078" s="902"/>
      <c r="O1078" s="892">
        <f t="shared" si="64"/>
        <v>0</v>
      </c>
      <c r="P1078" s="903">
        <f t="shared" si="65"/>
        <v>1</v>
      </c>
      <c r="Q1078" s="893">
        <f t="shared" si="66"/>
        <v>2</v>
      </c>
      <c r="R1078" s="894">
        <f t="shared" si="67"/>
        <v>0</v>
      </c>
    </row>
    <row r="1079" spans="1:18">
      <c r="A1079" s="905"/>
      <c r="B1079" s="906"/>
      <c r="C1079" s="907">
        <v>740</v>
      </c>
      <c r="D1079" s="907" t="s">
        <v>12</v>
      </c>
      <c r="E1079" s="908" t="s">
        <v>4008</v>
      </c>
      <c r="F1079" s="909" t="s">
        <v>2674</v>
      </c>
      <c r="G1079" s="910"/>
      <c r="H1079" s="911">
        <v>2.5299999999999998</v>
      </c>
      <c r="I1079" s="912"/>
      <c r="J1079" s="912"/>
      <c r="K1079" s="912">
        <f>VLOOKUP(E1079,ĐMNC!$A$7:$F$67,4,0)</f>
        <v>252714</v>
      </c>
      <c r="L1079" s="912">
        <f>H1079*K1079</f>
        <v>639366.41999999993</v>
      </c>
      <c r="M1079" s="912"/>
      <c r="N1079" s="912"/>
      <c r="O1079" s="892">
        <f t="shared" si="64"/>
        <v>0</v>
      </c>
      <c r="P1079" s="903">
        <f t="shared" si="65"/>
        <v>1</v>
      </c>
      <c r="Q1079" s="893">
        <f t="shared" si="66"/>
        <v>1</v>
      </c>
      <c r="R1079" s="894">
        <f t="shared" si="67"/>
        <v>0</v>
      </c>
    </row>
    <row r="1080" spans="1:18" s="847" customFormat="1" ht="31.5">
      <c r="A1080" s="905"/>
      <c r="B1080" s="914" t="s">
        <v>4284</v>
      </c>
      <c r="C1080" s="915"/>
      <c r="D1080" s="915"/>
      <c r="E1080" s="916" t="s">
        <v>4285</v>
      </c>
      <c r="F1080" s="917" t="s">
        <v>249</v>
      </c>
      <c r="G1080" s="918"/>
      <c r="H1080" s="919"/>
      <c r="I1080" s="920"/>
      <c r="J1080" s="891">
        <f>SUM(J1081:J1085)</f>
        <v>5720</v>
      </c>
      <c r="K1080" s="891"/>
      <c r="L1080" s="891">
        <f>SUM(L1081:L1085)</f>
        <v>735397.74</v>
      </c>
      <c r="M1080" s="891"/>
      <c r="N1080" s="891">
        <f>SUM(N1081:N1085)</f>
        <v>0</v>
      </c>
      <c r="O1080" s="892">
        <f t="shared" si="64"/>
        <v>1</v>
      </c>
      <c r="P1080" s="903">
        <f t="shared" si="65"/>
        <v>0</v>
      </c>
      <c r="Q1080" s="893">
        <f t="shared" si="66"/>
        <v>0</v>
      </c>
      <c r="R1080" s="894">
        <f t="shared" si="67"/>
        <v>5</v>
      </c>
    </row>
    <row r="1081" spans="1:18" s="904" customFormat="1">
      <c r="A1081" s="895"/>
      <c r="B1081" s="896"/>
      <c r="C1081" s="897"/>
      <c r="D1081" s="897"/>
      <c r="E1081" s="924" t="s">
        <v>108</v>
      </c>
      <c r="F1081" s="899"/>
      <c r="G1081" s="900"/>
      <c r="H1081" s="901"/>
      <c r="I1081" s="902"/>
      <c r="J1081" s="902"/>
      <c r="K1081" s="912" t="s">
        <v>274</v>
      </c>
      <c r="L1081" s="902"/>
      <c r="M1081" s="902"/>
      <c r="N1081" s="902"/>
      <c r="O1081" s="892">
        <f t="shared" si="64"/>
        <v>0</v>
      </c>
      <c r="P1081" s="903">
        <f t="shared" si="65"/>
        <v>1</v>
      </c>
      <c r="Q1081" s="893">
        <f t="shared" si="66"/>
        <v>5</v>
      </c>
      <c r="R1081" s="894">
        <f t="shared" si="67"/>
        <v>0</v>
      </c>
    </row>
    <row r="1082" spans="1:18">
      <c r="A1082" s="905"/>
      <c r="B1082" s="906"/>
      <c r="C1082" s="907">
        <v>66</v>
      </c>
      <c r="D1082" s="907" t="s">
        <v>279</v>
      </c>
      <c r="E1082" s="925" t="s">
        <v>2682</v>
      </c>
      <c r="F1082" s="926" t="s">
        <v>45</v>
      </c>
      <c r="G1082" s="910"/>
      <c r="H1082" s="911">
        <v>0.04</v>
      </c>
      <c r="I1082" s="912">
        <f>VLOOKUP(E1082,[3]VLP!$B$7:$K$300,10,0)</f>
        <v>5000</v>
      </c>
      <c r="J1082" s="912">
        <f>I1082*H1082</f>
        <v>200</v>
      </c>
      <c r="K1082" s="912" t="s">
        <v>274</v>
      </c>
      <c r="L1082" s="912"/>
      <c r="M1082" s="912"/>
      <c r="N1082" s="912"/>
      <c r="O1082" s="892">
        <f t="shared" si="64"/>
        <v>0</v>
      </c>
      <c r="P1082" s="903">
        <f t="shared" si="65"/>
        <v>1</v>
      </c>
      <c r="Q1082" s="893">
        <f t="shared" si="66"/>
        <v>4</v>
      </c>
      <c r="R1082" s="894">
        <f t="shared" si="67"/>
        <v>0</v>
      </c>
    </row>
    <row r="1083" spans="1:18">
      <c r="A1083" s="905"/>
      <c r="B1083" s="906"/>
      <c r="C1083" s="907">
        <v>44</v>
      </c>
      <c r="D1083" s="907" t="s">
        <v>279</v>
      </c>
      <c r="E1083" s="925" t="s">
        <v>2681</v>
      </c>
      <c r="F1083" s="926" t="s">
        <v>45</v>
      </c>
      <c r="G1083" s="910"/>
      <c r="H1083" s="911">
        <v>0.24</v>
      </c>
      <c r="I1083" s="912">
        <f>VLOOKUP(E1083,[3]VLP!$B$7:$K$300,10,0)</f>
        <v>23000</v>
      </c>
      <c r="J1083" s="912">
        <f>I1083*H1083</f>
        <v>5520</v>
      </c>
      <c r="K1083" s="912" t="s">
        <v>274</v>
      </c>
      <c r="L1083" s="912"/>
      <c r="M1083" s="912"/>
      <c r="N1083" s="912"/>
      <c r="O1083" s="892">
        <f t="shared" si="64"/>
        <v>0</v>
      </c>
      <c r="P1083" s="903">
        <f t="shared" si="65"/>
        <v>1</v>
      </c>
      <c r="Q1083" s="893">
        <f t="shared" si="66"/>
        <v>3</v>
      </c>
      <c r="R1083" s="894">
        <f t="shared" si="67"/>
        <v>0</v>
      </c>
    </row>
    <row r="1084" spans="1:18" s="904" customFormat="1">
      <c r="A1084" s="895"/>
      <c r="B1084" s="896"/>
      <c r="C1084" s="897"/>
      <c r="D1084" s="897"/>
      <c r="E1084" s="924" t="s">
        <v>276</v>
      </c>
      <c r="F1084" s="927"/>
      <c r="G1084" s="928"/>
      <c r="H1084" s="901"/>
      <c r="I1084" s="902"/>
      <c r="J1084" s="902"/>
      <c r="K1084" s="912" t="s">
        <v>274</v>
      </c>
      <c r="L1084" s="902"/>
      <c r="M1084" s="902"/>
      <c r="N1084" s="902"/>
      <c r="O1084" s="892">
        <f t="shared" si="64"/>
        <v>0</v>
      </c>
      <c r="P1084" s="903">
        <f t="shared" si="65"/>
        <v>1</v>
      </c>
      <c r="Q1084" s="893">
        <f t="shared" si="66"/>
        <v>2</v>
      </c>
      <c r="R1084" s="894">
        <f t="shared" si="67"/>
        <v>0</v>
      </c>
    </row>
    <row r="1085" spans="1:18">
      <c r="A1085" s="905"/>
      <c r="B1085" s="906"/>
      <c r="C1085" s="907">
        <v>740</v>
      </c>
      <c r="D1085" s="907" t="s">
        <v>12</v>
      </c>
      <c r="E1085" s="908" t="s">
        <v>4008</v>
      </c>
      <c r="F1085" s="909" t="s">
        <v>2674</v>
      </c>
      <c r="G1085" s="910"/>
      <c r="H1085" s="911">
        <v>2.91</v>
      </c>
      <c r="I1085" s="912"/>
      <c r="J1085" s="912"/>
      <c r="K1085" s="912">
        <f>VLOOKUP(E1085,ĐMNC!$A$7:$F$67,4,0)</f>
        <v>252714</v>
      </c>
      <c r="L1085" s="912">
        <f>H1085*K1085</f>
        <v>735397.74</v>
      </c>
      <c r="M1085" s="912"/>
      <c r="N1085" s="912"/>
      <c r="O1085" s="892">
        <f t="shared" si="64"/>
        <v>0</v>
      </c>
      <c r="P1085" s="903">
        <f t="shared" si="65"/>
        <v>1</v>
      </c>
      <c r="Q1085" s="893">
        <f t="shared" si="66"/>
        <v>1</v>
      </c>
      <c r="R1085" s="894">
        <f t="shared" si="67"/>
        <v>0</v>
      </c>
    </row>
    <row r="1086" spans="1:18" s="847" customFormat="1" ht="31.5">
      <c r="A1086" s="905"/>
      <c r="B1086" s="914" t="s">
        <v>4286</v>
      </c>
      <c r="C1086" s="915"/>
      <c r="D1086" s="915"/>
      <c r="E1086" s="916" t="s">
        <v>4287</v>
      </c>
      <c r="F1086" s="917" t="s">
        <v>249</v>
      </c>
      <c r="G1086" s="918"/>
      <c r="H1086" s="919"/>
      <c r="I1086" s="920"/>
      <c r="J1086" s="891">
        <f>SUM(J1087:J1091)</f>
        <v>6869.9999999999991</v>
      </c>
      <c r="K1086" s="891"/>
      <c r="L1086" s="891">
        <f>SUM(L1087:L1091)</f>
        <v>414450.95999999996</v>
      </c>
      <c r="M1086" s="891"/>
      <c r="N1086" s="891">
        <f>SUM(N1087:N1091)</f>
        <v>0</v>
      </c>
      <c r="O1086" s="892">
        <f t="shared" si="64"/>
        <v>1</v>
      </c>
      <c r="P1086" s="903">
        <f t="shared" si="65"/>
        <v>0</v>
      </c>
      <c r="Q1086" s="893">
        <f t="shared" si="66"/>
        <v>0</v>
      </c>
      <c r="R1086" s="894">
        <f t="shared" si="67"/>
        <v>5</v>
      </c>
    </row>
    <row r="1087" spans="1:18" s="904" customFormat="1">
      <c r="A1087" s="895"/>
      <c r="B1087" s="896"/>
      <c r="C1087" s="897"/>
      <c r="D1087" s="897"/>
      <c r="E1087" s="924" t="s">
        <v>108</v>
      </c>
      <c r="F1087" s="899"/>
      <c r="G1087" s="900"/>
      <c r="H1087" s="901"/>
      <c r="I1087" s="902"/>
      <c r="J1087" s="902"/>
      <c r="K1087" s="912" t="s">
        <v>274</v>
      </c>
      <c r="L1087" s="902"/>
      <c r="M1087" s="902"/>
      <c r="N1087" s="902"/>
      <c r="O1087" s="892">
        <f t="shared" si="64"/>
        <v>0</v>
      </c>
      <c r="P1087" s="903">
        <f t="shared" si="65"/>
        <v>1</v>
      </c>
      <c r="Q1087" s="893">
        <f t="shared" si="66"/>
        <v>5</v>
      </c>
      <c r="R1087" s="894">
        <f t="shared" si="67"/>
        <v>0</v>
      </c>
    </row>
    <row r="1088" spans="1:18">
      <c r="A1088" s="905"/>
      <c r="B1088" s="906"/>
      <c r="C1088" s="907">
        <v>66</v>
      </c>
      <c r="D1088" s="907" t="s">
        <v>279</v>
      </c>
      <c r="E1088" s="925" t="s">
        <v>2682</v>
      </c>
      <c r="F1088" s="926" t="s">
        <v>45</v>
      </c>
      <c r="G1088" s="910"/>
      <c r="H1088" s="911">
        <v>0.04</v>
      </c>
      <c r="I1088" s="912">
        <f>VLOOKUP(E1088,[3]VLP!$B$7:$K$300,10,0)</f>
        <v>5000</v>
      </c>
      <c r="J1088" s="912">
        <f>I1088*H1088</f>
        <v>200</v>
      </c>
      <c r="K1088" s="912" t="s">
        <v>274</v>
      </c>
      <c r="L1088" s="912"/>
      <c r="M1088" s="912"/>
      <c r="N1088" s="912"/>
      <c r="O1088" s="892">
        <f t="shared" si="64"/>
        <v>0</v>
      </c>
      <c r="P1088" s="903">
        <f t="shared" si="65"/>
        <v>1</v>
      </c>
      <c r="Q1088" s="893">
        <f t="shared" si="66"/>
        <v>4</v>
      </c>
      <c r="R1088" s="894">
        <f t="shared" si="67"/>
        <v>0</v>
      </c>
    </row>
    <row r="1089" spans="1:18">
      <c r="A1089" s="905"/>
      <c r="B1089" s="906"/>
      <c r="C1089" s="907">
        <v>44</v>
      </c>
      <c r="D1089" s="907" t="s">
        <v>279</v>
      </c>
      <c r="E1089" s="925" t="s">
        <v>2681</v>
      </c>
      <c r="F1089" s="926" t="s">
        <v>45</v>
      </c>
      <c r="G1089" s="910"/>
      <c r="H1089" s="911">
        <v>0.28999999999999998</v>
      </c>
      <c r="I1089" s="912">
        <f>VLOOKUP(E1089,[3]VLP!$B$7:$K$300,10,0)</f>
        <v>23000</v>
      </c>
      <c r="J1089" s="912">
        <f>I1089*H1089</f>
        <v>6669.9999999999991</v>
      </c>
      <c r="K1089" s="912" t="s">
        <v>274</v>
      </c>
      <c r="L1089" s="912"/>
      <c r="M1089" s="912"/>
      <c r="N1089" s="912"/>
      <c r="O1089" s="892">
        <f t="shared" si="64"/>
        <v>0</v>
      </c>
      <c r="P1089" s="903">
        <f t="shared" si="65"/>
        <v>1</v>
      </c>
      <c r="Q1089" s="893">
        <f t="shared" si="66"/>
        <v>3</v>
      </c>
      <c r="R1089" s="894">
        <f t="shared" si="67"/>
        <v>0</v>
      </c>
    </row>
    <row r="1090" spans="1:18" s="904" customFormat="1">
      <c r="A1090" s="895"/>
      <c r="B1090" s="896"/>
      <c r="C1090" s="897"/>
      <c r="D1090" s="897"/>
      <c r="E1090" s="924" t="s">
        <v>276</v>
      </c>
      <c r="F1090" s="927"/>
      <c r="G1090" s="928"/>
      <c r="H1090" s="901"/>
      <c r="I1090" s="902"/>
      <c r="J1090" s="902"/>
      <c r="K1090" s="912" t="s">
        <v>274</v>
      </c>
      <c r="L1090" s="902"/>
      <c r="M1090" s="902"/>
      <c r="N1090" s="902"/>
      <c r="O1090" s="892">
        <f t="shared" si="64"/>
        <v>0</v>
      </c>
      <c r="P1090" s="903">
        <f t="shared" si="65"/>
        <v>1</v>
      </c>
      <c r="Q1090" s="893">
        <f t="shared" si="66"/>
        <v>2</v>
      </c>
      <c r="R1090" s="894">
        <f t="shared" si="67"/>
        <v>0</v>
      </c>
    </row>
    <row r="1091" spans="1:18">
      <c r="A1091" s="905"/>
      <c r="B1091" s="906"/>
      <c r="C1091" s="907">
        <v>740</v>
      </c>
      <c r="D1091" s="907" t="s">
        <v>12</v>
      </c>
      <c r="E1091" s="908" t="s">
        <v>4008</v>
      </c>
      <c r="F1091" s="909" t="s">
        <v>2674</v>
      </c>
      <c r="G1091" s="910"/>
      <c r="H1091" s="911">
        <v>1.64</v>
      </c>
      <c r="I1091" s="912"/>
      <c r="J1091" s="912"/>
      <c r="K1091" s="912">
        <f>VLOOKUP(E1091,ĐMNC!$A$7:$F$67,4,0)</f>
        <v>252714</v>
      </c>
      <c r="L1091" s="912">
        <f>H1091*K1091</f>
        <v>414450.95999999996</v>
      </c>
      <c r="M1091" s="912"/>
      <c r="N1091" s="912"/>
      <c r="O1091" s="892">
        <f t="shared" si="64"/>
        <v>0</v>
      </c>
      <c r="P1091" s="903">
        <f t="shared" si="65"/>
        <v>1</v>
      </c>
      <c r="Q1091" s="893">
        <f t="shared" si="66"/>
        <v>1</v>
      </c>
      <c r="R1091" s="894">
        <f t="shared" si="67"/>
        <v>0</v>
      </c>
    </row>
    <row r="1092" spans="1:18" s="847" customFormat="1" ht="31.5">
      <c r="A1092" s="905"/>
      <c r="B1092" s="914" t="s">
        <v>4288</v>
      </c>
      <c r="C1092" s="915"/>
      <c r="D1092" s="915"/>
      <c r="E1092" s="916" t="s">
        <v>4289</v>
      </c>
      <c r="F1092" s="917" t="s">
        <v>249</v>
      </c>
      <c r="G1092" s="918"/>
      <c r="H1092" s="919"/>
      <c r="I1092" s="920"/>
      <c r="J1092" s="891">
        <f>SUM(J1093:J1097)</f>
        <v>6869.9999999999991</v>
      </c>
      <c r="K1092" s="891"/>
      <c r="L1092" s="891">
        <f>SUM(L1093:L1097)</f>
        <v>437195.22</v>
      </c>
      <c r="M1092" s="891"/>
      <c r="N1092" s="891">
        <f>SUM(N1093:N1097)</f>
        <v>0</v>
      </c>
      <c r="O1092" s="892">
        <f t="shared" si="64"/>
        <v>1</v>
      </c>
      <c r="P1092" s="903">
        <f t="shared" si="65"/>
        <v>0</v>
      </c>
      <c r="Q1092" s="893">
        <f t="shared" si="66"/>
        <v>0</v>
      </c>
      <c r="R1092" s="894">
        <f t="shared" si="67"/>
        <v>5</v>
      </c>
    </row>
    <row r="1093" spans="1:18" s="904" customFormat="1">
      <c r="A1093" s="895"/>
      <c r="B1093" s="896"/>
      <c r="C1093" s="897"/>
      <c r="D1093" s="897"/>
      <c r="E1093" s="924" t="s">
        <v>108</v>
      </c>
      <c r="F1093" s="899"/>
      <c r="G1093" s="900"/>
      <c r="H1093" s="901"/>
      <c r="I1093" s="902"/>
      <c r="J1093" s="902"/>
      <c r="K1093" s="912" t="s">
        <v>274</v>
      </c>
      <c r="L1093" s="902"/>
      <c r="M1093" s="902"/>
      <c r="N1093" s="902"/>
      <c r="O1093" s="892">
        <f t="shared" ref="O1093:O1156" si="68">IF(AND(B1093&lt;&gt;"",D1093=""),1,0)</f>
        <v>0</v>
      </c>
      <c r="P1093" s="903">
        <f t="shared" si="65"/>
        <v>1</v>
      </c>
      <c r="Q1093" s="893">
        <f t="shared" si="66"/>
        <v>5</v>
      </c>
      <c r="R1093" s="894">
        <f t="shared" si="67"/>
        <v>0</v>
      </c>
    </row>
    <row r="1094" spans="1:18">
      <c r="A1094" s="905"/>
      <c r="B1094" s="906"/>
      <c r="C1094" s="907">
        <v>66</v>
      </c>
      <c r="D1094" s="907" t="s">
        <v>279</v>
      </c>
      <c r="E1094" s="925" t="s">
        <v>2682</v>
      </c>
      <c r="F1094" s="926" t="s">
        <v>45</v>
      </c>
      <c r="G1094" s="910"/>
      <c r="H1094" s="911">
        <v>0.04</v>
      </c>
      <c r="I1094" s="912">
        <f>VLOOKUP(E1094,[3]VLP!$B$7:$K$300,10,0)</f>
        <v>5000</v>
      </c>
      <c r="J1094" s="912">
        <f>I1094*H1094</f>
        <v>200</v>
      </c>
      <c r="K1094" s="912" t="s">
        <v>274</v>
      </c>
      <c r="L1094" s="912"/>
      <c r="M1094" s="912"/>
      <c r="N1094" s="912"/>
      <c r="O1094" s="892">
        <f t="shared" si="68"/>
        <v>0</v>
      </c>
      <c r="P1094" s="903">
        <f t="shared" si="65"/>
        <v>1</v>
      </c>
      <c r="Q1094" s="893">
        <f t="shared" si="66"/>
        <v>4</v>
      </c>
      <c r="R1094" s="894">
        <f t="shared" si="67"/>
        <v>0</v>
      </c>
    </row>
    <row r="1095" spans="1:18">
      <c r="A1095" s="905"/>
      <c r="B1095" s="906"/>
      <c r="C1095" s="907">
        <v>44</v>
      </c>
      <c r="D1095" s="907" t="s">
        <v>279</v>
      </c>
      <c r="E1095" s="925" t="s">
        <v>2681</v>
      </c>
      <c r="F1095" s="926" t="s">
        <v>45</v>
      </c>
      <c r="G1095" s="910"/>
      <c r="H1095" s="911">
        <v>0.28999999999999998</v>
      </c>
      <c r="I1095" s="912">
        <f>VLOOKUP(E1095,[3]VLP!$B$7:$K$300,10,0)</f>
        <v>23000</v>
      </c>
      <c r="J1095" s="912">
        <f>I1095*H1095</f>
        <v>6669.9999999999991</v>
      </c>
      <c r="K1095" s="912" t="s">
        <v>274</v>
      </c>
      <c r="L1095" s="912"/>
      <c r="M1095" s="912"/>
      <c r="N1095" s="912"/>
      <c r="O1095" s="892">
        <f t="shared" si="68"/>
        <v>0</v>
      </c>
      <c r="P1095" s="903">
        <f t="shared" si="65"/>
        <v>1</v>
      </c>
      <c r="Q1095" s="893">
        <f t="shared" si="66"/>
        <v>3</v>
      </c>
      <c r="R1095" s="894">
        <f t="shared" si="67"/>
        <v>0</v>
      </c>
    </row>
    <row r="1096" spans="1:18" s="904" customFormat="1">
      <c r="A1096" s="895"/>
      <c r="B1096" s="896"/>
      <c r="C1096" s="897"/>
      <c r="D1096" s="897"/>
      <c r="E1096" s="924" t="s">
        <v>276</v>
      </c>
      <c r="F1096" s="927"/>
      <c r="G1096" s="928"/>
      <c r="H1096" s="901"/>
      <c r="I1096" s="902"/>
      <c r="J1096" s="902"/>
      <c r="K1096" s="912" t="s">
        <v>274</v>
      </c>
      <c r="L1096" s="902"/>
      <c r="M1096" s="902"/>
      <c r="N1096" s="902"/>
      <c r="O1096" s="892">
        <f t="shared" si="68"/>
        <v>0</v>
      </c>
      <c r="P1096" s="903">
        <f t="shared" si="65"/>
        <v>1</v>
      </c>
      <c r="Q1096" s="893">
        <f t="shared" si="66"/>
        <v>2</v>
      </c>
      <c r="R1096" s="894">
        <f t="shared" si="67"/>
        <v>0</v>
      </c>
    </row>
    <row r="1097" spans="1:18">
      <c r="A1097" s="905"/>
      <c r="B1097" s="906"/>
      <c r="C1097" s="907">
        <v>740</v>
      </c>
      <c r="D1097" s="907" t="s">
        <v>12</v>
      </c>
      <c r="E1097" s="908" t="s">
        <v>4008</v>
      </c>
      <c r="F1097" s="909" t="s">
        <v>2674</v>
      </c>
      <c r="G1097" s="910"/>
      <c r="H1097" s="911">
        <v>1.73</v>
      </c>
      <c r="I1097" s="912"/>
      <c r="J1097" s="912"/>
      <c r="K1097" s="912">
        <f>VLOOKUP(E1097,ĐMNC!$A$7:$F$67,4,0)</f>
        <v>252714</v>
      </c>
      <c r="L1097" s="912">
        <f>H1097*K1097</f>
        <v>437195.22</v>
      </c>
      <c r="M1097" s="912"/>
      <c r="N1097" s="912"/>
      <c r="O1097" s="892">
        <f t="shared" si="68"/>
        <v>0</v>
      </c>
      <c r="P1097" s="903">
        <f t="shared" si="65"/>
        <v>1</v>
      </c>
      <c r="Q1097" s="893">
        <f t="shared" si="66"/>
        <v>1</v>
      </c>
      <c r="R1097" s="894">
        <f t="shared" si="67"/>
        <v>0</v>
      </c>
    </row>
    <row r="1098" spans="1:18" s="847" customFormat="1" ht="31.5">
      <c r="A1098" s="905"/>
      <c r="B1098" s="914" t="s">
        <v>4290</v>
      </c>
      <c r="C1098" s="915"/>
      <c r="D1098" s="915"/>
      <c r="E1098" s="916" t="s">
        <v>4291</v>
      </c>
      <c r="F1098" s="917" t="s">
        <v>249</v>
      </c>
      <c r="G1098" s="918"/>
      <c r="H1098" s="919"/>
      <c r="I1098" s="920"/>
      <c r="J1098" s="891">
        <f>SUM(J1099:J1103)</f>
        <v>6869.9999999999991</v>
      </c>
      <c r="K1098" s="891"/>
      <c r="L1098" s="891">
        <f>SUM(L1099:L1103)</f>
        <v>475102.31999999995</v>
      </c>
      <c r="M1098" s="891"/>
      <c r="N1098" s="891">
        <f>SUM(N1099:N1103)</f>
        <v>0</v>
      </c>
      <c r="O1098" s="892">
        <f t="shared" si="68"/>
        <v>1</v>
      </c>
      <c r="P1098" s="903">
        <f t="shared" si="65"/>
        <v>0</v>
      </c>
      <c r="Q1098" s="893">
        <f t="shared" si="66"/>
        <v>0</v>
      </c>
      <c r="R1098" s="894">
        <f t="shared" si="67"/>
        <v>5</v>
      </c>
    </row>
    <row r="1099" spans="1:18" s="904" customFormat="1">
      <c r="A1099" s="895"/>
      <c r="B1099" s="896"/>
      <c r="C1099" s="897"/>
      <c r="D1099" s="897"/>
      <c r="E1099" s="924" t="s">
        <v>108</v>
      </c>
      <c r="F1099" s="899"/>
      <c r="G1099" s="900"/>
      <c r="H1099" s="901"/>
      <c r="I1099" s="902"/>
      <c r="J1099" s="902"/>
      <c r="K1099" s="912" t="s">
        <v>274</v>
      </c>
      <c r="L1099" s="902"/>
      <c r="M1099" s="902"/>
      <c r="N1099" s="902"/>
      <c r="O1099" s="892">
        <f t="shared" si="68"/>
        <v>0</v>
      </c>
      <c r="P1099" s="903">
        <f t="shared" si="65"/>
        <v>1</v>
      </c>
      <c r="Q1099" s="893">
        <f t="shared" si="66"/>
        <v>5</v>
      </c>
      <c r="R1099" s="894">
        <f t="shared" si="67"/>
        <v>0</v>
      </c>
    </row>
    <row r="1100" spans="1:18">
      <c r="A1100" s="905"/>
      <c r="B1100" s="906"/>
      <c r="C1100" s="907">
        <v>66</v>
      </c>
      <c r="D1100" s="907" t="s">
        <v>279</v>
      </c>
      <c r="E1100" s="925" t="s">
        <v>2682</v>
      </c>
      <c r="F1100" s="926" t="s">
        <v>45</v>
      </c>
      <c r="G1100" s="910"/>
      <c r="H1100" s="911">
        <v>0.04</v>
      </c>
      <c r="I1100" s="912">
        <f>VLOOKUP(E1100,[3]VLP!$B$7:$K$300,10,0)</f>
        <v>5000</v>
      </c>
      <c r="J1100" s="912">
        <f>I1100*H1100</f>
        <v>200</v>
      </c>
      <c r="K1100" s="912" t="s">
        <v>274</v>
      </c>
      <c r="L1100" s="912"/>
      <c r="M1100" s="912"/>
      <c r="N1100" s="912"/>
      <c r="O1100" s="892">
        <f t="shared" si="68"/>
        <v>0</v>
      </c>
      <c r="P1100" s="903">
        <f t="shared" si="65"/>
        <v>1</v>
      </c>
      <c r="Q1100" s="893">
        <f t="shared" si="66"/>
        <v>4</v>
      </c>
      <c r="R1100" s="894">
        <f t="shared" si="67"/>
        <v>0</v>
      </c>
    </row>
    <row r="1101" spans="1:18">
      <c r="A1101" s="905"/>
      <c r="B1101" s="906"/>
      <c r="C1101" s="907">
        <v>44</v>
      </c>
      <c r="D1101" s="907" t="s">
        <v>279</v>
      </c>
      <c r="E1101" s="925" t="s">
        <v>2681</v>
      </c>
      <c r="F1101" s="926" t="s">
        <v>45</v>
      </c>
      <c r="G1101" s="910"/>
      <c r="H1101" s="911">
        <v>0.28999999999999998</v>
      </c>
      <c r="I1101" s="912">
        <f>VLOOKUP(E1101,[3]VLP!$B$7:$K$300,10,0)</f>
        <v>23000</v>
      </c>
      <c r="J1101" s="912">
        <f>I1101*H1101</f>
        <v>6669.9999999999991</v>
      </c>
      <c r="K1101" s="912" t="s">
        <v>274</v>
      </c>
      <c r="L1101" s="912"/>
      <c r="M1101" s="912"/>
      <c r="N1101" s="912"/>
      <c r="O1101" s="892">
        <f t="shared" si="68"/>
        <v>0</v>
      </c>
      <c r="P1101" s="903">
        <f t="shared" si="65"/>
        <v>1</v>
      </c>
      <c r="Q1101" s="893">
        <f t="shared" si="66"/>
        <v>3</v>
      </c>
      <c r="R1101" s="894">
        <f t="shared" si="67"/>
        <v>0</v>
      </c>
    </row>
    <row r="1102" spans="1:18" s="904" customFormat="1">
      <c r="A1102" s="895"/>
      <c r="B1102" s="896"/>
      <c r="C1102" s="897"/>
      <c r="D1102" s="897"/>
      <c r="E1102" s="924" t="s">
        <v>276</v>
      </c>
      <c r="F1102" s="927"/>
      <c r="G1102" s="928"/>
      <c r="H1102" s="901"/>
      <c r="I1102" s="902"/>
      <c r="J1102" s="902"/>
      <c r="K1102" s="912" t="s">
        <v>274</v>
      </c>
      <c r="L1102" s="902"/>
      <c r="M1102" s="902"/>
      <c r="N1102" s="902"/>
      <c r="O1102" s="892">
        <f t="shared" si="68"/>
        <v>0</v>
      </c>
      <c r="P1102" s="903">
        <f t="shared" ref="P1102:P1165" si="69">IF(O1102=0,1,0)</f>
        <v>1</v>
      </c>
      <c r="Q1102" s="893">
        <f t="shared" ref="Q1102:Q1165" si="70">IF(P1102=0,0,P1102+Q1103)</f>
        <v>2</v>
      </c>
      <c r="R1102" s="894">
        <f t="shared" ref="R1102:R1165" si="71">IF(Q1102=0,Q1103,0)</f>
        <v>0</v>
      </c>
    </row>
    <row r="1103" spans="1:18">
      <c r="A1103" s="905"/>
      <c r="B1103" s="906"/>
      <c r="C1103" s="907">
        <v>740</v>
      </c>
      <c r="D1103" s="907" t="s">
        <v>12</v>
      </c>
      <c r="E1103" s="908" t="s">
        <v>4008</v>
      </c>
      <c r="F1103" s="909" t="s">
        <v>2674</v>
      </c>
      <c r="G1103" s="910"/>
      <c r="H1103" s="911">
        <v>1.88</v>
      </c>
      <c r="I1103" s="912"/>
      <c r="J1103" s="912"/>
      <c r="K1103" s="912">
        <f>VLOOKUP(E1103,ĐMNC!$A$7:$F$67,4,0)</f>
        <v>252714</v>
      </c>
      <c r="L1103" s="912">
        <f>H1103*K1103</f>
        <v>475102.31999999995</v>
      </c>
      <c r="M1103" s="912"/>
      <c r="N1103" s="912"/>
      <c r="O1103" s="892">
        <f t="shared" si="68"/>
        <v>0</v>
      </c>
      <c r="P1103" s="903">
        <f t="shared" si="69"/>
        <v>1</v>
      </c>
      <c r="Q1103" s="893">
        <f t="shared" si="70"/>
        <v>1</v>
      </c>
      <c r="R1103" s="894">
        <f t="shared" si="71"/>
        <v>0</v>
      </c>
    </row>
    <row r="1104" spans="1:18" s="847" customFormat="1" ht="31.5">
      <c r="A1104" s="905"/>
      <c r="B1104" s="914" t="s">
        <v>4292</v>
      </c>
      <c r="C1104" s="915"/>
      <c r="D1104" s="915"/>
      <c r="E1104" s="916" t="s">
        <v>4293</v>
      </c>
      <c r="F1104" s="917" t="s">
        <v>249</v>
      </c>
      <c r="G1104" s="918"/>
      <c r="H1104" s="919"/>
      <c r="I1104" s="920"/>
      <c r="J1104" s="891">
        <f>SUM(J1105:J1109)</f>
        <v>6869.9999999999991</v>
      </c>
      <c r="K1104" s="891"/>
      <c r="L1104" s="891">
        <f>SUM(L1105:L1109)</f>
        <v>545862.24</v>
      </c>
      <c r="M1104" s="891"/>
      <c r="N1104" s="891">
        <f>SUM(N1105:N1109)</f>
        <v>0</v>
      </c>
      <c r="O1104" s="892">
        <f t="shared" si="68"/>
        <v>1</v>
      </c>
      <c r="P1104" s="903">
        <f t="shared" si="69"/>
        <v>0</v>
      </c>
      <c r="Q1104" s="893">
        <f t="shared" si="70"/>
        <v>0</v>
      </c>
      <c r="R1104" s="894">
        <f t="shared" si="71"/>
        <v>5</v>
      </c>
    </row>
    <row r="1105" spans="1:18" s="904" customFormat="1">
      <c r="A1105" s="895"/>
      <c r="B1105" s="896"/>
      <c r="C1105" s="897"/>
      <c r="D1105" s="897"/>
      <c r="E1105" s="924" t="s">
        <v>108</v>
      </c>
      <c r="F1105" s="899"/>
      <c r="G1105" s="900"/>
      <c r="H1105" s="901"/>
      <c r="I1105" s="902"/>
      <c r="J1105" s="902"/>
      <c r="K1105" s="912" t="s">
        <v>274</v>
      </c>
      <c r="L1105" s="902"/>
      <c r="M1105" s="902"/>
      <c r="N1105" s="902"/>
      <c r="O1105" s="892">
        <f t="shared" si="68"/>
        <v>0</v>
      </c>
      <c r="P1105" s="903">
        <f t="shared" si="69"/>
        <v>1</v>
      </c>
      <c r="Q1105" s="893">
        <f t="shared" si="70"/>
        <v>5</v>
      </c>
      <c r="R1105" s="894">
        <f t="shared" si="71"/>
        <v>0</v>
      </c>
    </row>
    <row r="1106" spans="1:18">
      <c r="A1106" s="905"/>
      <c r="B1106" s="906"/>
      <c r="C1106" s="907">
        <v>66</v>
      </c>
      <c r="D1106" s="907" t="s">
        <v>279</v>
      </c>
      <c r="E1106" s="925" t="s">
        <v>2682</v>
      </c>
      <c r="F1106" s="926" t="s">
        <v>45</v>
      </c>
      <c r="G1106" s="910"/>
      <c r="H1106" s="911">
        <v>0.04</v>
      </c>
      <c r="I1106" s="912">
        <f>VLOOKUP(E1106,[3]VLP!$B$7:$K$300,10,0)</f>
        <v>5000</v>
      </c>
      <c r="J1106" s="912">
        <f>I1106*H1106</f>
        <v>200</v>
      </c>
      <c r="K1106" s="912" t="s">
        <v>274</v>
      </c>
      <c r="L1106" s="912"/>
      <c r="M1106" s="912"/>
      <c r="N1106" s="912"/>
      <c r="O1106" s="892">
        <f t="shared" si="68"/>
        <v>0</v>
      </c>
      <c r="P1106" s="903">
        <f t="shared" si="69"/>
        <v>1</v>
      </c>
      <c r="Q1106" s="893">
        <f t="shared" si="70"/>
        <v>4</v>
      </c>
      <c r="R1106" s="894">
        <f t="shared" si="71"/>
        <v>0</v>
      </c>
    </row>
    <row r="1107" spans="1:18">
      <c r="A1107" s="905"/>
      <c r="B1107" s="906"/>
      <c r="C1107" s="907">
        <v>44</v>
      </c>
      <c r="D1107" s="907" t="s">
        <v>279</v>
      </c>
      <c r="E1107" s="925" t="s">
        <v>2681</v>
      </c>
      <c r="F1107" s="926" t="s">
        <v>45</v>
      </c>
      <c r="G1107" s="910"/>
      <c r="H1107" s="911">
        <v>0.28999999999999998</v>
      </c>
      <c r="I1107" s="912">
        <f>VLOOKUP(E1107,[3]VLP!$B$7:$K$300,10,0)</f>
        <v>23000</v>
      </c>
      <c r="J1107" s="912">
        <f>I1107*H1107</f>
        <v>6669.9999999999991</v>
      </c>
      <c r="K1107" s="912" t="s">
        <v>274</v>
      </c>
      <c r="L1107" s="912"/>
      <c r="M1107" s="912"/>
      <c r="N1107" s="912"/>
      <c r="O1107" s="892">
        <f t="shared" si="68"/>
        <v>0</v>
      </c>
      <c r="P1107" s="903">
        <f t="shared" si="69"/>
        <v>1</v>
      </c>
      <c r="Q1107" s="893">
        <f t="shared" si="70"/>
        <v>3</v>
      </c>
      <c r="R1107" s="894">
        <f t="shared" si="71"/>
        <v>0</v>
      </c>
    </row>
    <row r="1108" spans="1:18" s="904" customFormat="1">
      <c r="A1108" s="895"/>
      <c r="B1108" s="896"/>
      <c r="C1108" s="897"/>
      <c r="D1108" s="897"/>
      <c r="E1108" s="924" t="s">
        <v>276</v>
      </c>
      <c r="F1108" s="927"/>
      <c r="G1108" s="928"/>
      <c r="H1108" s="901"/>
      <c r="I1108" s="902"/>
      <c r="J1108" s="902"/>
      <c r="K1108" s="912" t="s">
        <v>274</v>
      </c>
      <c r="L1108" s="902"/>
      <c r="M1108" s="902"/>
      <c r="N1108" s="902"/>
      <c r="O1108" s="892">
        <f t="shared" si="68"/>
        <v>0</v>
      </c>
      <c r="P1108" s="903">
        <f t="shared" si="69"/>
        <v>1</v>
      </c>
      <c r="Q1108" s="893">
        <f t="shared" si="70"/>
        <v>2</v>
      </c>
      <c r="R1108" s="894">
        <f t="shared" si="71"/>
        <v>0</v>
      </c>
    </row>
    <row r="1109" spans="1:18">
      <c r="A1109" s="905"/>
      <c r="B1109" s="906"/>
      <c r="C1109" s="907">
        <v>740</v>
      </c>
      <c r="D1109" s="907" t="s">
        <v>12</v>
      </c>
      <c r="E1109" s="908" t="s">
        <v>4008</v>
      </c>
      <c r="F1109" s="909" t="s">
        <v>2674</v>
      </c>
      <c r="G1109" s="910"/>
      <c r="H1109" s="911">
        <v>2.16</v>
      </c>
      <c r="I1109" s="912"/>
      <c r="J1109" s="912"/>
      <c r="K1109" s="912">
        <f>VLOOKUP(E1109,ĐMNC!$A$7:$F$67,4,0)</f>
        <v>252714</v>
      </c>
      <c r="L1109" s="912">
        <f>H1109*K1109</f>
        <v>545862.24</v>
      </c>
      <c r="M1109" s="912"/>
      <c r="N1109" s="912"/>
      <c r="O1109" s="892">
        <f t="shared" si="68"/>
        <v>0</v>
      </c>
      <c r="P1109" s="903">
        <f t="shared" si="69"/>
        <v>1</v>
      </c>
      <c r="Q1109" s="893">
        <f t="shared" si="70"/>
        <v>1</v>
      </c>
      <c r="R1109" s="894">
        <f t="shared" si="71"/>
        <v>0</v>
      </c>
    </row>
    <row r="1110" spans="1:18" s="847" customFormat="1" ht="31.5">
      <c r="A1110" s="905"/>
      <c r="B1110" s="914" t="s">
        <v>4294</v>
      </c>
      <c r="C1110" s="915"/>
      <c r="D1110" s="915"/>
      <c r="E1110" s="916" t="s">
        <v>4295</v>
      </c>
      <c r="F1110" s="917" t="s">
        <v>249</v>
      </c>
      <c r="G1110" s="918"/>
      <c r="H1110" s="919"/>
      <c r="I1110" s="920"/>
      <c r="J1110" s="891">
        <f>SUM(J1111:J1115)</f>
        <v>6869.9999999999991</v>
      </c>
      <c r="K1110" s="891"/>
      <c r="L1110" s="891">
        <f>SUM(L1111:L1115)</f>
        <v>606513.6</v>
      </c>
      <c r="M1110" s="891"/>
      <c r="N1110" s="891">
        <f>SUM(N1111:N1115)</f>
        <v>0</v>
      </c>
      <c r="O1110" s="892">
        <f t="shared" si="68"/>
        <v>1</v>
      </c>
      <c r="P1110" s="903">
        <f t="shared" si="69"/>
        <v>0</v>
      </c>
      <c r="Q1110" s="893">
        <f t="shared" si="70"/>
        <v>0</v>
      </c>
      <c r="R1110" s="894">
        <f t="shared" si="71"/>
        <v>5</v>
      </c>
    </row>
    <row r="1111" spans="1:18" s="904" customFormat="1">
      <c r="A1111" s="895"/>
      <c r="B1111" s="896"/>
      <c r="C1111" s="897"/>
      <c r="D1111" s="897"/>
      <c r="E1111" s="924" t="s">
        <v>108</v>
      </c>
      <c r="F1111" s="899"/>
      <c r="G1111" s="900"/>
      <c r="H1111" s="901"/>
      <c r="I1111" s="902"/>
      <c r="J1111" s="902"/>
      <c r="K1111" s="912" t="s">
        <v>274</v>
      </c>
      <c r="L1111" s="902"/>
      <c r="M1111" s="902"/>
      <c r="N1111" s="902"/>
      <c r="O1111" s="892">
        <f t="shared" si="68"/>
        <v>0</v>
      </c>
      <c r="P1111" s="903">
        <f t="shared" si="69"/>
        <v>1</v>
      </c>
      <c r="Q1111" s="893">
        <f t="shared" si="70"/>
        <v>5</v>
      </c>
      <c r="R1111" s="894">
        <f t="shared" si="71"/>
        <v>0</v>
      </c>
    </row>
    <row r="1112" spans="1:18">
      <c r="A1112" s="905"/>
      <c r="B1112" s="906"/>
      <c r="C1112" s="907">
        <v>66</v>
      </c>
      <c r="D1112" s="907" t="s">
        <v>279</v>
      </c>
      <c r="E1112" s="925" t="s">
        <v>2682</v>
      </c>
      <c r="F1112" s="926" t="s">
        <v>45</v>
      </c>
      <c r="G1112" s="910"/>
      <c r="H1112" s="911">
        <v>0.04</v>
      </c>
      <c r="I1112" s="912">
        <f>VLOOKUP(E1112,[3]VLP!$B$7:$K$300,10,0)</f>
        <v>5000</v>
      </c>
      <c r="J1112" s="912">
        <f>I1112*H1112</f>
        <v>200</v>
      </c>
      <c r="K1112" s="912" t="s">
        <v>274</v>
      </c>
      <c r="L1112" s="912"/>
      <c r="M1112" s="912"/>
      <c r="N1112" s="912"/>
      <c r="O1112" s="892">
        <f t="shared" si="68"/>
        <v>0</v>
      </c>
      <c r="P1112" s="903">
        <f t="shared" si="69"/>
        <v>1</v>
      </c>
      <c r="Q1112" s="893">
        <f t="shared" si="70"/>
        <v>4</v>
      </c>
      <c r="R1112" s="894">
        <f t="shared" si="71"/>
        <v>0</v>
      </c>
    </row>
    <row r="1113" spans="1:18">
      <c r="A1113" s="905"/>
      <c r="B1113" s="906"/>
      <c r="C1113" s="907">
        <v>44</v>
      </c>
      <c r="D1113" s="907" t="s">
        <v>279</v>
      </c>
      <c r="E1113" s="925" t="s">
        <v>2681</v>
      </c>
      <c r="F1113" s="926" t="s">
        <v>45</v>
      </c>
      <c r="G1113" s="910"/>
      <c r="H1113" s="911">
        <v>0.28999999999999998</v>
      </c>
      <c r="I1113" s="912">
        <f>VLOOKUP(E1113,[3]VLP!$B$7:$K$300,10,0)</f>
        <v>23000</v>
      </c>
      <c r="J1113" s="912">
        <f>I1113*H1113</f>
        <v>6669.9999999999991</v>
      </c>
      <c r="K1113" s="912" t="s">
        <v>274</v>
      </c>
      <c r="L1113" s="912"/>
      <c r="M1113" s="912"/>
      <c r="N1113" s="912"/>
      <c r="O1113" s="892">
        <f t="shared" si="68"/>
        <v>0</v>
      </c>
      <c r="P1113" s="903">
        <f t="shared" si="69"/>
        <v>1</v>
      </c>
      <c r="Q1113" s="893">
        <f t="shared" si="70"/>
        <v>3</v>
      </c>
      <c r="R1113" s="894">
        <f t="shared" si="71"/>
        <v>0</v>
      </c>
    </row>
    <row r="1114" spans="1:18" s="904" customFormat="1">
      <c r="A1114" s="895"/>
      <c r="B1114" s="896"/>
      <c r="C1114" s="897"/>
      <c r="D1114" s="897"/>
      <c r="E1114" s="924" t="s">
        <v>276</v>
      </c>
      <c r="F1114" s="927"/>
      <c r="G1114" s="928"/>
      <c r="H1114" s="901"/>
      <c r="I1114" s="902"/>
      <c r="J1114" s="902"/>
      <c r="K1114" s="912" t="s">
        <v>274</v>
      </c>
      <c r="L1114" s="902"/>
      <c r="M1114" s="902"/>
      <c r="N1114" s="902"/>
      <c r="O1114" s="892">
        <f t="shared" si="68"/>
        <v>0</v>
      </c>
      <c r="P1114" s="903">
        <f t="shared" si="69"/>
        <v>1</v>
      </c>
      <c r="Q1114" s="893">
        <f t="shared" si="70"/>
        <v>2</v>
      </c>
      <c r="R1114" s="894">
        <f t="shared" si="71"/>
        <v>0</v>
      </c>
    </row>
    <row r="1115" spans="1:18">
      <c r="A1115" s="905"/>
      <c r="B1115" s="906"/>
      <c r="C1115" s="907">
        <v>740</v>
      </c>
      <c r="D1115" s="907" t="s">
        <v>12</v>
      </c>
      <c r="E1115" s="908" t="s">
        <v>4008</v>
      </c>
      <c r="F1115" s="909" t="s">
        <v>2674</v>
      </c>
      <c r="G1115" s="910"/>
      <c r="H1115" s="911">
        <v>2.4</v>
      </c>
      <c r="I1115" s="912"/>
      <c r="J1115" s="912"/>
      <c r="K1115" s="912">
        <f>VLOOKUP(E1115,ĐMNC!$A$7:$F$67,4,0)</f>
        <v>252714</v>
      </c>
      <c r="L1115" s="912">
        <f>H1115*K1115</f>
        <v>606513.6</v>
      </c>
      <c r="M1115" s="912"/>
      <c r="N1115" s="912"/>
      <c r="O1115" s="892">
        <f t="shared" si="68"/>
        <v>0</v>
      </c>
      <c r="P1115" s="903">
        <f t="shared" si="69"/>
        <v>1</v>
      </c>
      <c r="Q1115" s="893">
        <f t="shared" si="70"/>
        <v>1</v>
      </c>
      <c r="R1115" s="894">
        <f t="shared" si="71"/>
        <v>0</v>
      </c>
    </row>
    <row r="1116" spans="1:18" s="847" customFormat="1" ht="31.5">
      <c r="A1116" s="905"/>
      <c r="B1116" s="914" t="s">
        <v>4296</v>
      </c>
      <c r="C1116" s="915"/>
      <c r="D1116" s="915"/>
      <c r="E1116" s="916" t="s">
        <v>4297</v>
      </c>
      <c r="F1116" s="917" t="s">
        <v>249</v>
      </c>
      <c r="G1116" s="918"/>
      <c r="H1116" s="919"/>
      <c r="I1116" s="920"/>
      <c r="J1116" s="891">
        <f>SUM(J1117:J1121)</f>
        <v>6869.9999999999991</v>
      </c>
      <c r="K1116" s="891"/>
      <c r="L1116" s="891">
        <f>SUM(L1117:L1121)</f>
        <v>667164.96000000008</v>
      </c>
      <c r="M1116" s="891"/>
      <c r="N1116" s="891">
        <f>SUM(N1117:N1121)</f>
        <v>0</v>
      </c>
      <c r="O1116" s="892">
        <f t="shared" si="68"/>
        <v>1</v>
      </c>
      <c r="P1116" s="903">
        <f t="shared" si="69"/>
        <v>0</v>
      </c>
      <c r="Q1116" s="893">
        <f t="shared" si="70"/>
        <v>0</v>
      </c>
      <c r="R1116" s="894">
        <f t="shared" si="71"/>
        <v>5</v>
      </c>
    </row>
    <row r="1117" spans="1:18" s="904" customFormat="1">
      <c r="A1117" s="895"/>
      <c r="B1117" s="896"/>
      <c r="C1117" s="897"/>
      <c r="D1117" s="897"/>
      <c r="E1117" s="924" t="s">
        <v>108</v>
      </c>
      <c r="F1117" s="899"/>
      <c r="G1117" s="900"/>
      <c r="H1117" s="901"/>
      <c r="I1117" s="902"/>
      <c r="J1117" s="902"/>
      <c r="K1117" s="912" t="s">
        <v>274</v>
      </c>
      <c r="L1117" s="902"/>
      <c r="M1117" s="902"/>
      <c r="N1117" s="902"/>
      <c r="O1117" s="892">
        <f t="shared" si="68"/>
        <v>0</v>
      </c>
      <c r="P1117" s="903">
        <f t="shared" si="69"/>
        <v>1</v>
      </c>
      <c r="Q1117" s="893">
        <f t="shared" si="70"/>
        <v>5</v>
      </c>
      <c r="R1117" s="894">
        <f t="shared" si="71"/>
        <v>0</v>
      </c>
    </row>
    <row r="1118" spans="1:18">
      <c r="A1118" s="905"/>
      <c r="B1118" s="906"/>
      <c r="C1118" s="907">
        <v>66</v>
      </c>
      <c r="D1118" s="907" t="s">
        <v>279</v>
      </c>
      <c r="E1118" s="925" t="s">
        <v>2682</v>
      </c>
      <c r="F1118" s="926" t="s">
        <v>45</v>
      </c>
      <c r="G1118" s="910"/>
      <c r="H1118" s="911">
        <v>0.04</v>
      </c>
      <c r="I1118" s="912">
        <f>VLOOKUP(E1118,[3]VLP!$B$7:$K$300,10,0)</f>
        <v>5000</v>
      </c>
      <c r="J1118" s="912">
        <f>I1118*H1118</f>
        <v>200</v>
      </c>
      <c r="K1118" s="912" t="s">
        <v>274</v>
      </c>
      <c r="L1118" s="912"/>
      <c r="M1118" s="912"/>
      <c r="N1118" s="912"/>
      <c r="O1118" s="892">
        <f t="shared" si="68"/>
        <v>0</v>
      </c>
      <c r="P1118" s="903">
        <f t="shared" si="69"/>
        <v>1</v>
      </c>
      <c r="Q1118" s="893">
        <f t="shared" si="70"/>
        <v>4</v>
      </c>
      <c r="R1118" s="894">
        <f t="shared" si="71"/>
        <v>0</v>
      </c>
    </row>
    <row r="1119" spans="1:18">
      <c r="A1119" s="905"/>
      <c r="B1119" s="906"/>
      <c r="C1119" s="907">
        <v>44</v>
      </c>
      <c r="D1119" s="907" t="s">
        <v>279</v>
      </c>
      <c r="E1119" s="925" t="s">
        <v>2681</v>
      </c>
      <c r="F1119" s="926" t="s">
        <v>45</v>
      </c>
      <c r="G1119" s="910"/>
      <c r="H1119" s="911">
        <v>0.28999999999999998</v>
      </c>
      <c r="I1119" s="912">
        <f>VLOOKUP(E1119,[3]VLP!$B$7:$K$300,10,0)</f>
        <v>23000</v>
      </c>
      <c r="J1119" s="912">
        <f>I1119*H1119</f>
        <v>6669.9999999999991</v>
      </c>
      <c r="K1119" s="912" t="s">
        <v>274</v>
      </c>
      <c r="L1119" s="912"/>
      <c r="M1119" s="912"/>
      <c r="N1119" s="912"/>
      <c r="O1119" s="892">
        <f t="shared" si="68"/>
        <v>0</v>
      </c>
      <c r="P1119" s="903">
        <f t="shared" si="69"/>
        <v>1</v>
      </c>
      <c r="Q1119" s="893">
        <f t="shared" si="70"/>
        <v>3</v>
      </c>
      <c r="R1119" s="894">
        <f t="shared" si="71"/>
        <v>0</v>
      </c>
    </row>
    <row r="1120" spans="1:18" s="904" customFormat="1">
      <c r="A1120" s="895"/>
      <c r="B1120" s="896"/>
      <c r="C1120" s="897"/>
      <c r="D1120" s="897"/>
      <c r="E1120" s="924" t="s">
        <v>276</v>
      </c>
      <c r="F1120" s="927"/>
      <c r="G1120" s="928"/>
      <c r="H1120" s="901"/>
      <c r="I1120" s="902"/>
      <c r="J1120" s="902"/>
      <c r="K1120" s="912" t="s">
        <v>274</v>
      </c>
      <c r="L1120" s="902"/>
      <c r="M1120" s="902"/>
      <c r="N1120" s="902"/>
      <c r="O1120" s="892">
        <f t="shared" si="68"/>
        <v>0</v>
      </c>
      <c r="P1120" s="903">
        <f t="shared" si="69"/>
        <v>1</v>
      </c>
      <c r="Q1120" s="893">
        <f t="shared" si="70"/>
        <v>2</v>
      </c>
      <c r="R1120" s="894">
        <f t="shared" si="71"/>
        <v>0</v>
      </c>
    </row>
    <row r="1121" spans="1:18">
      <c r="A1121" s="905"/>
      <c r="B1121" s="906"/>
      <c r="C1121" s="907">
        <v>740</v>
      </c>
      <c r="D1121" s="907" t="s">
        <v>12</v>
      </c>
      <c r="E1121" s="908" t="s">
        <v>4008</v>
      </c>
      <c r="F1121" s="909" t="s">
        <v>2674</v>
      </c>
      <c r="G1121" s="910"/>
      <c r="H1121" s="911">
        <v>2.64</v>
      </c>
      <c r="I1121" s="912"/>
      <c r="J1121" s="912"/>
      <c r="K1121" s="912">
        <f>VLOOKUP(E1121,ĐMNC!$A$7:$F$67,4,0)</f>
        <v>252714</v>
      </c>
      <c r="L1121" s="912">
        <f>H1121*K1121</f>
        <v>667164.96000000008</v>
      </c>
      <c r="M1121" s="912"/>
      <c r="N1121" s="912"/>
      <c r="O1121" s="892">
        <f t="shared" si="68"/>
        <v>0</v>
      </c>
      <c r="P1121" s="903">
        <f t="shared" si="69"/>
        <v>1</v>
      </c>
      <c r="Q1121" s="893">
        <f t="shared" si="70"/>
        <v>1</v>
      </c>
      <c r="R1121" s="894">
        <f t="shared" si="71"/>
        <v>0</v>
      </c>
    </row>
    <row r="1122" spans="1:18" s="847" customFormat="1" ht="31.5">
      <c r="A1122" s="905"/>
      <c r="B1122" s="914" t="s">
        <v>4298</v>
      </c>
      <c r="C1122" s="915"/>
      <c r="D1122" s="915"/>
      <c r="E1122" s="916" t="s">
        <v>4299</v>
      </c>
      <c r="F1122" s="917" t="s">
        <v>249</v>
      </c>
      <c r="G1122" s="918"/>
      <c r="H1122" s="919"/>
      <c r="I1122" s="920"/>
      <c r="J1122" s="891">
        <f>SUM(J1123:J1127)</f>
        <v>6869.9999999999991</v>
      </c>
      <c r="K1122" s="891"/>
      <c r="L1122" s="891">
        <f>SUM(L1123:L1127)</f>
        <v>768250.56</v>
      </c>
      <c r="M1122" s="891"/>
      <c r="N1122" s="891">
        <f>SUM(N1123:N1127)</f>
        <v>0</v>
      </c>
      <c r="O1122" s="892">
        <f t="shared" si="68"/>
        <v>1</v>
      </c>
      <c r="P1122" s="903">
        <f t="shared" si="69"/>
        <v>0</v>
      </c>
      <c r="Q1122" s="893">
        <f t="shared" si="70"/>
        <v>0</v>
      </c>
      <c r="R1122" s="894">
        <f t="shared" si="71"/>
        <v>5</v>
      </c>
    </row>
    <row r="1123" spans="1:18" s="904" customFormat="1">
      <c r="A1123" s="895"/>
      <c r="B1123" s="896"/>
      <c r="C1123" s="897"/>
      <c r="D1123" s="897"/>
      <c r="E1123" s="924" t="s">
        <v>108</v>
      </c>
      <c r="F1123" s="899"/>
      <c r="G1123" s="900"/>
      <c r="H1123" s="901"/>
      <c r="I1123" s="902"/>
      <c r="J1123" s="902"/>
      <c r="K1123" s="912" t="s">
        <v>274</v>
      </c>
      <c r="L1123" s="902"/>
      <c r="M1123" s="902"/>
      <c r="N1123" s="902"/>
      <c r="O1123" s="892">
        <f t="shared" si="68"/>
        <v>0</v>
      </c>
      <c r="P1123" s="903">
        <f t="shared" si="69"/>
        <v>1</v>
      </c>
      <c r="Q1123" s="893">
        <f t="shared" si="70"/>
        <v>5</v>
      </c>
      <c r="R1123" s="894">
        <f t="shared" si="71"/>
        <v>0</v>
      </c>
    </row>
    <row r="1124" spans="1:18">
      <c r="A1124" s="905"/>
      <c r="B1124" s="906"/>
      <c r="C1124" s="907">
        <v>66</v>
      </c>
      <c r="D1124" s="907" t="s">
        <v>279</v>
      </c>
      <c r="E1124" s="925" t="s">
        <v>2682</v>
      </c>
      <c r="F1124" s="926" t="s">
        <v>45</v>
      </c>
      <c r="G1124" s="910"/>
      <c r="H1124" s="911">
        <v>0.04</v>
      </c>
      <c r="I1124" s="912">
        <f>VLOOKUP(E1124,[3]VLP!$B$7:$K$300,10,0)</f>
        <v>5000</v>
      </c>
      <c r="J1124" s="912">
        <f>I1124*H1124</f>
        <v>200</v>
      </c>
      <c r="K1124" s="912" t="s">
        <v>274</v>
      </c>
      <c r="L1124" s="912"/>
      <c r="M1124" s="912"/>
      <c r="N1124" s="912"/>
      <c r="O1124" s="892">
        <f t="shared" si="68"/>
        <v>0</v>
      </c>
      <c r="P1124" s="903">
        <f t="shared" si="69"/>
        <v>1</v>
      </c>
      <c r="Q1124" s="893">
        <f t="shared" si="70"/>
        <v>4</v>
      </c>
      <c r="R1124" s="894">
        <f t="shared" si="71"/>
        <v>0</v>
      </c>
    </row>
    <row r="1125" spans="1:18">
      <c r="A1125" s="905"/>
      <c r="B1125" s="906"/>
      <c r="C1125" s="907">
        <v>44</v>
      </c>
      <c r="D1125" s="907" t="s">
        <v>279</v>
      </c>
      <c r="E1125" s="925" t="s">
        <v>2681</v>
      </c>
      <c r="F1125" s="926" t="s">
        <v>45</v>
      </c>
      <c r="G1125" s="910"/>
      <c r="H1125" s="911">
        <v>0.28999999999999998</v>
      </c>
      <c r="I1125" s="912">
        <f>VLOOKUP(E1125,[3]VLP!$B$7:$K$300,10,0)</f>
        <v>23000</v>
      </c>
      <c r="J1125" s="912">
        <f>I1125*H1125</f>
        <v>6669.9999999999991</v>
      </c>
      <c r="K1125" s="912" t="s">
        <v>274</v>
      </c>
      <c r="L1125" s="912"/>
      <c r="M1125" s="912"/>
      <c r="N1125" s="912"/>
      <c r="O1125" s="892">
        <f t="shared" si="68"/>
        <v>0</v>
      </c>
      <c r="P1125" s="903">
        <f t="shared" si="69"/>
        <v>1</v>
      </c>
      <c r="Q1125" s="893">
        <f t="shared" si="70"/>
        <v>3</v>
      </c>
      <c r="R1125" s="894">
        <f t="shared" si="71"/>
        <v>0</v>
      </c>
    </row>
    <row r="1126" spans="1:18" s="904" customFormat="1">
      <c r="A1126" s="895"/>
      <c r="B1126" s="896"/>
      <c r="C1126" s="897"/>
      <c r="D1126" s="897"/>
      <c r="E1126" s="924" t="s">
        <v>276</v>
      </c>
      <c r="F1126" s="927"/>
      <c r="G1126" s="928"/>
      <c r="H1126" s="901"/>
      <c r="I1126" s="902"/>
      <c r="J1126" s="902"/>
      <c r="K1126" s="912" t="s">
        <v>274</v>
      </c>
      <c r="L1126" s="902"/>
      <c r="M1126" s="902"/>
      <c r="N1126" s="902"/>
      <c r="O1126" s="892">
        <f t="shared" si="68"/>
        <v>0</v>
      </c>
      <c r="P1126" s="903">
        <f t="shared" si="69"/>
        <v>1</v>
      </c>
      <c r="Q1126" s="893">
        <f t="shared" si="70"/>
        <v>2</v>
      </c>
      <c r="R1126" s="894">
        <f t="shared" si="71"/>
        <v>0</v>
      </c>
    </row>
    <row r="1127" spans="1:18">
      <c r="A1127" s="905"/>
      <c r="B1127" s="906"/>
      <c r="C1127" s="907">
        <v>740</v>
      </c>
      <c r="D1127" s="907" t="s">
        <v>12</v>
      </c>
      <c r="E1127" s="908" t="s">
        <v>4008</v>
      </c>
      <c r="F1127" s="909" t="s">
        <v>2674</v>
      </c>
      <c r="G1127" s="910"/>
      <c r="H1127" s="911">
        <v>3.04</v>
      </c>
      <c r="I1127" s="912"/>
      <c r="J1127" s="912"/>
      <c r="K1127" s="912">
        <f>VLOOKUP(E1127,ĐMNC!$A$7:$F$67,4,0)</f>
        <v>252714</v>
      </c>
      <c r="L1127" s="912">
        <f>H1127*K1127</f>
        <v>768250.56</v>
      </c>
      <c r="M1127" s="912"/>
      <c r="N1127" s="912"/>
      <c r="O1127" s="892">
        <f t="shared" si="68"/>
        <v>0</v>
      </c>
      <c r="P1127" s="903">
        <f t="shared" si="69"/>
        <v>1</v>
      </c>
      <c r="Q1127" s="893">
        <f t="shared" si="70"/>
        <v>1</v>
      </c>
      <c r="R1127" s="894">
        <f t="shared" si="71"/>
        <v>0</v>
      </c>
    </row>
    <row r="1128" spans="1:18" s="847" customFormat="1" ht="31.5">
      <c r="A1128" s="905"/>
      <c r="B1128" s="914" t="s">
        <v>4300</v>
      </c>
      <c r="C1128" s="915"/>
      <c r="D1128" s="915"/>
      <c r="E1128" s="916" t="s">
        <v>4301</v>
      </c>
      <c r="F1128" s="917" t="s">
        <v>249</v>
      </c>
      <c r="G1128" s="918"/>
      <c r="H1128" s="919"/>
      <c r="I1128" s="920"/>
      <c r="J1128" s="891">
        <f>SUM(J1129:J1133)</f>
        <v>6869.9999999999991</v>
      </c>
      <c r="K1128" s="891"/>
      <c r="L1128" s="891">
        <f>SUM(L1129:L1133)</f>
        <v>884499</v>
      </c>
      <c r="M1128" s="891"/>
      <c r="N1128" s="891">
        <f>SUM(N1129:N1133)</f>
        <v>0</v>
      </c>
      <c r="O1128" s="892">
        <f t="shared" si="68"/>
        <v>1</v>
      </c>
      <c r="P1128" s="903">
        <f t="shared" si="69"/>
        <v>0</v>
      </c>
      <c r="Q1128" s="893">
        <f t="shared" si="70"/>
        <v>0</v>
      </c>
      <c r="R1128" s="894">
        <f t="shared" si="71"/>
        <v>5</v>
      </c>
    </row>
    <row r="1129" spans="1:18" s="904" customFormat="1">
      <c r="A1129" s="895"/>
      <c r="B1129" s="896"/>
      <c r="C1129" s="897"/>
      <c r="D1129" s="897"/>
      <c r="E1129" s="924" t="s">
        <v>108</v>
      </c>
      <c r="F1129" s="899"/>
      <c r="G1129" s="900"/>
      <c r="H1129" s="901"/>
      <c r="I1129" s="902"/>
      <c r="J1129" s="902"/>
      <c r="K1129" s="912" t="s">
        <v>274</v>
      </c>
      <c r="L1129" s="902"/>
      <c r="M1129" s="902"/>
      <c r="N1129" s="902"/>
      <c r="O1129" s="892">
        <f t="shared" si="68"/>
        <v>0</v>
      </c>
      <c r="P1129" s="903">
        <f t="shared" si="69"/>
        <v>1</v>
      </c>
      <c r="Q1129" s="893">
        <f t="shared" si="70"/>
        <v>5</v>
      </c>
      <c r="R1129" s="894">
        <f t="shared" si="71"/>
        <v>0</v>
      </c>
    </row>
    <row r="1130" spans="1:18">
      <c r="A1130" s="905"/>
      <c r="B1130" s="906"/>
      <c r="C1130" s="907">
        <v>66</v>
      </c>
      <c r="D1130" s="907" t="s">
        <v>279</v>
      </c>
      <c r="E1130" s="925" t="s">
        <v>2682</v>
      </c>
      <c r="F1130" s="926" t="s">
        <v>45</v>
      </c>
      <c r="G1130" s="910"/>
      <c r="H1130" s="911">
        <v>0.04</v>
      </c>
      <c r="I1130" s="912">
        <f>VLOOKUP(E1130,[3]VLP!$B$7:$K$300,10,0)</f>
        <v>5000</v>
      </c>
      <c r="J1130" s="912">
        <f>I1130*H1130</f>
        <v>200</v>
      </c>
      <c r="K1130" s="912" t="s">
        <v>274</v>
      </c>
      <c r="L1130" s="912"/>
      <c r="M1130" s="912"/>
      <c r="N1130" s="912"/>
      <c r="O1130" s="892">
        <f t="shared" si="68"/>
        <v>0</v>
      </c>
      <c r="P1130" s="903">
        <f t="shared" si="69"/>
        <v>1</v>
      </c>
      <c r="Q1130" s="893">
        <f t="shared" si="70"/>
        <v>4</v>
      </c>
      <c r="R1130" s="894">
        <f t="shared" si="71"/>
        <v>0</v>
      </c>
    </row>
    <row r="1131" spans="1:18">
      <c r="A1131" s="905"/>
      <c r="B1131" s="906"/>
      <c r="C1131" s="907">
        <v>44</v>
      </c>
      <c r="D1131" s="907" t="s">
        <v>279</v>
      </c>
      <c r="E1131" s="925" t="s">
        <v>2681</v>
      </c>
      <c r="F1131" s="926" t="s">
        <v>45</v>
      </c>
      <c r="G1131" s="910"/>
      <c r="H1131" s="911">
        <v>0.28999999999999998</v>
      </c>
      <c r="I1131" s="912">
        <f>VLOOKUP(E1131,[3]VLP!$B$7:$K$300,10,0)</f>
        <v>23000</v>
      </c>
      <c r="J1131" s="912">
        <f>I1131*H1131</f>
        <v>6669.9999999999991</v>
      </c>
      <c r="K1131" s="912" t="s">
        <v>274</v>
      </c>
      <c r="L1131" s="912"/>
      <c r="M1131" s="912"/>
      <c r="N1131" s="912"/>
      <c r="O1131" s="892">
        <f t="shared" si="68"/>
        <v>0</v>
      </c>
      <c r="P1131" s="903">
        <f t="shared" si="69"/>
        <v>1</v>
      </c>
      <c r="Q1131" s="893">
        <f t="shared" si="70"/>
        <v>3</v>
      </c>
      <c r="R1131" s="894">
        <f t="shared" si="71"/>
        <v>0</v>
      </c>
    </row>
    <row r="1132" spans="1:18" s="904" customFormat="1">
      <c r="A1132" s="895"/>
      <c r="B1132" s="896"/>
      <c r="C1132" s="897"/>
      <c r="D1132" s="897"/>
      <c r="E1132" s="924" t="s">
        <v>276</v>
      </c>
      <c r="F1132" s="927"/>
      <c r="G1132" s="928"/>
      <c r="H1132" s="901"/>
      <c r="I1132" s="902"/>
      <c r="J1132" s="902"/>
      <c r="K1132" s="912" t="s">
        <v>274</v>
      </c>
      <c r="L1132" s="902"/>
      <c r="M1132" s="902"/>
      <c r="N1132" s="902"/>
      <c r="O1132" s="892">
        <f t="shared" si="68"/>
        <v>0</v>
      </c>
      <c r="P1132" s="903">
        <f t="shared" si="69"/>
        <v>1</v>
      </c>
      <c r="Q1132" s="893">
        <f t="shared" si="70"/>
        <v>2</v>
      </c>
      <c r="R1132" s="894">
        <f t="shared" si="71"/>
        <v>0</v>
      </c>
    </row>
    <row r="1133" spans="1:18">
      <c r="A1133" s="905"/>
      <c r="B1133" s="906"/>
      <c r="C1133" s="907">
        <v>740</v>
      </c>
      <c r="D1133" s="907" t="s">
        <v>12</v>
      </c>
      <c r="E1133" s="908" t="s">
        <v>4008</v>
      </c>
      <c r="F1133" s="909" t="s">
        <v>2674</v>
      </c>
      <c r="G1133" s="910"/>
      <c r="H1133" s="911">
        <v>3.5</v>
      </c>
      <c r="I1133" s="912"/>
      <c r="J1133" s="912"/>
      <c r="K1133" s="912">
        <f>VLOOKUP(E1133,ĐMNC!$A$7:$F$67,4,0)</f>
        <v>252714</v>
      </c>
      <c r="L1133" s="912">
        <f>H1133*K1133</f>
        <v>884499</v>
      </c>
      <c r="M1133" s="912"/>
      <c r="N1133" s="912"/>
      <c r="O1133" s="892">
        <f t="shared" si="68"/>
        <v>0</v>
      </c>
      <c r="P1133" s="903">
        <f t="shared" si="69"/>
        <v>1</v>
      </c>
      <c r="Q1133" s="893">
        <f t="shared" si="70"/>
        <v>1</v>
      </c>
      <c r="R1133" s="894">
        <f t="shared" si="71"/>
        <v>0</v>
      </c>
    </row>
    <row r="1134" spans="1:18" s="847" customFormat="1" ht="31.5">
      <c r="A1134" s="905"/>
      <c r="B1134" s="914" t="s">
        <v>4302</v>
      </c>
      <c r="C1134" s="915"/>
      <c r="D1134" s="915"/>
      <c r="E1134" s="916" t="s">
        <v>4303</v>
      </c>
      <c r="F1134" s="917" t="s">
        <v>249</v>
      </c>
      <c r="G1134" s="918"/>
      <c r="H1134" s="919"/>
      <c r="I1134" s="920"/>
      <c r="J1134" s="891">
        <f>SUM(J1135:J1139)</f>
        <v>8250</v>
      </c>
      <c r="K1134" s="891"/>
      <c r="L1134" s="891">
        <f>SUM(L1135:L1139)</f>
        <v>497846.58</v>
      </c>
      <c r="M1134" s="891"/>
      <c r="N1134" s="891">
        <f>SUM(N1135:N1139)</f>
        <v>0</v>
      </c>
      <c r="O1134" s="892">
        <f t="shared" si="68"/>
        <v>1</v>
      </c>
      <c r="P1134" s="903">
        <f t="shared" si="69"/>
        <v>0</v>
      </c>
      <c r="Q1134" s="893">
        <f t="shared" si="70"/>
        <v>0</v>
      </c>
      <c r="R1134" s="894">
        <f t="shared" si="71"/>
        <v>5</v>
      </c>
    </row>
    <row r="1135" spans="1:18" s="904" customFormat="1">
      <c r="A1135" s="895"/>
      <c r="B1135" s="896"/>
      <c r="C1135" s="897"/>
      <c r="D1135" s="897"/>
      <c r="E1135" s="924" t="s">
        <v>108</v>
      </c>
      <c r="F1135" s="899"/>
      <c r="G1135" s="900"/>
      <c r="H1135" s="901"/>
      <c r="I1135" s="902"/>
      <c r="J1135" s="902"/>
      <c r="K1135" s="912" t="s">
        <v>274</v>
      </c>
      <c r="L1135" s="902"/>
      <c r="M1135" s="902"/>
      <c r="N1135" s="902"/>
      <c r="O1135" s="892">
        <f t="shared" si="68"/>
        <v>0</v>
      </c>
      <c r="P1135" s="903">
        <f t="shared" si="69"/>
        <v>1</v>
      </c>
      <c r="Q1135" s="893">
        <f t="shared" si="70"/>
        <v>5</v>
      </c>
      <c r="R1135" s="894">
        <f t="shared" si="71"/>
        <v>0</v>
      </c>
    </row>
    <row r="1136" spans="1:18">
      <c r="A1136" s="905"/>
      <c r="B1136" s="906"/>
      <c r="C1136" s="907">
        <v>66</v>
      </c>
      <c r="D1136" s="907" t="s">
        <v>279</v>
      </c>
      <c r="E1136" s="925" t="s">
        <v>2682</v>
      </c>
      <c r="F1136" s="926" t="s">
        <v>45</v>
      </c>
      <c r="G1136" s="910"/>
      <c r="H1136" s="911">
        <v>0.04</v>
      </c>
      <c r="I1136" s="912">
        <f>VLOOKUP(E1136,[3]VLP!$B$7:$K$300,10,0)</f>
        <v>5000</v>
      </c>
      <c r="J1136" s="912">
        <f>I1136*H1136</f>
        <v>200</v>
      </c>
      <c r="K1136" s="912" t="s">
        <v>274</v>
      </c>
      <c r="L1136" s="912"/>
      <c r="M1136" s="912"/>
      <c r="N1136" s="912"/>
      <c r="O1136" s="892">
        <f t="shared" si="68"/>
        <v>0</v>
      </c>
      <c r="P1136" s="903">
        <f t="shared" si="69"/>
        <v>1</v>
      </c>
      <c r="Q1136" s="893">
        <f t="shared" si="70"/>
        <v>4</v>
      </c>
      <c r="R1136" s="894">
        <f t="shared" si="71"/>
        <v>0</v>
      </c>
    </row>
    <row r="1137" spans="1:18">
      <c r="A1137" s="905"/>
      <c r="B1137" s="906"/>
      <c r="C1137" s="907">
        <v>44</v>
      </c>
      <c r="D1137" s="907" t="s">
        <v>279</v>
      </c>
      <c r="E1137" s="925" t="s">
        <v>2681</v>
      </c>
      <c r="F1137" s="926" t="s">
        <v>45</v>
      </c>
      <c r="G1137" s="910"/>
      <c r="H1137" s="911">
        <v>0.35</v>
      </c>
      <c r="I1137" s="912">
        <f>VLOOKUP(E1137,[3]VLP!$B$7:$K$300,10,0)</f>
        <v>23000</v>
      </c>
      <c r="J1137" s="912">
        <f>I1137*H1137</f>
        <v>8049.9999999999991</v>
      </c>
      <c r="K1137" s="912" t="s">
        <v>274</v>
      </c>
      <c r="L1137" s="912"/>
      <c r="M1137" s="912"/>
      <c r="N1137" s="912"/>
      <c r="O1137" s="892">
        <f t="shared" si="68"/>
        <v>0</v>
      </c>
      <c r="P1137" s="903">
        <f t="shared" si="69"/>
        <v>1</v>
      </c>
      <c r="Q1137" s="893">
        <f t="shared" si="70"/>
        <v>3</v>
      </c>
      <c r="R1137" s="894">
        <f t="shared" si="71"/>
        <v>0</v>
      </c>
    </row>
    <row r="1138" spans="1:18" s="904" customFormat="1">
      <c r="A1138" s="895"/>
      <c r="B1138" s="896"/>
      <c r="C1138" s="897"/>
      <c r="D1138" s="897"/>
      <c r="E1138" s="924" t="s">
        <v>276</v>
      </c>
      <c r="F1138" s="927"/>
      <c r="G1138" s="928"/>
      <c r="H1138" s="901"/>
      <c r="I1138" s="902"/>
      <c r="J1138" s="902"/>
      <c r="K1138" s="912" t="s">
        <v>274</v>
      </c>
      <c r="L1138" s="902"/>
      <c r="M1138" s="902"/>
      <c r="N1138" s="902"/>
      <c r="O1138" s="892">
        <f t="shared" si="68"/>
        <v>0</v>
      </c>
      <c r="P1138" s="903">
        <f t="shared" si="69"/>
        <v>1</v>
      </c>
      <c r="Q1138" s="893">
        <f t="shared" si="70"/>
        <v>2</v>
      </c>
      <c r="R1138" s="894">
        <f t="shared" si="71"/>
        <v>0</v>
      </c>
    </row>
    <row r="1139" spans="1:18">
      <c r="A1139" s="905"/>
      <c r="B1139" s="906"/>
      <c r="C1139" s="907">
        <v>740</v>
      </c>
      <c r="D1139" s="907" t="s">
        <v>12</v>
      </c>
      <c r="E1139" s="908" t="s">
        <v>4008</v>
      </c>
      <c r="F1139" s="909" t="s">
        <v>2674</v>
      </c>
      <c r="G1139" s="910"/>
      <c r="H1139" s="911">
        <v>1.97</v>
      </c>
      <c r="I1139" s="912"/>
      <c r="J1139" s="912"/>
      <c r="K1139" s="912">
        <f>VLOOKUP(E1139,ĐMNC!$A$7:$F$67,4,0)</f>
        <v>252714</v>
      </c>
      <c r="L1139" s="912">
        <f>H1139*K1139</f>
        <v>497846.58</v>
      </c>
      <c r="M1139" s="912"/>
      <c r="N1139" s="912"/>
      <c r="O1139" s="892">
        <f t="shared" si="68"/>
        <v>0</v>
      </c>
      <c r="P1139" s="903">
        <f t="shared" si="69"/>
        <v>1</v>
      </c>
      <c r="Q1139" s="893">
        <f t="shared" si="70"/>
        <v>1</v>
      </c>
      <c r="R1139" s="894">
        <f t="shared" si="71"/>
        <v>0</v>
      </c>
    </row>
    <row r="1140" spans="1:18" s="847" customFormat="1" ht="31.5">
      <c r="A1140" s="905"/>
      <c r="B1140" s="914" t="s">
        <v>4304</v>
      </c>
      <c r="C1140" s="915"/>
      <c r="D1140" s="915"/>
      <c r="E1140" s="916" t="s">
        <v>4305</v>
      </c>
      <c r="F1140" s="917" t="s">
        <v>249</v>
      </c>
      <c r="G1140" s="918"/>
      <c r="H1140" s="919"/>
      <c r="I1140" s="920"/>
      <c r="J1140" s="891">
        <f>SUM(J1141:J1145)</f>
        <v>8250</v>
      </c>
      <c r="K1140" s="891"/>
      <c r="L1140" s="891">
        <f>SUM(L1141:L1145)</f>
        <v>525645.12</v>
      </c>
      <c r="M1140" s="891"/>
      <c r="N1140" s="891">
        <f>SUM(N1141:N1145)</f>
        <v>0</v>
      </c>
      <c r="O1140" s="892">
        <f t="shared" si="68"/>
        <v>1</v>
      </c>
      <c r="P1140" s="903">
        <f t="shared" si="69"/>
        <v>0</v>
      </c>
      <c r="Q1140" s="893">
        <f t="shared" si="70"/>
        <v>0</v>
      </c>
      <c r="R1140" s="894">
        <f t="shared" si="71"/>
        <v>5</v>
      </c>
    </row>
    <row r="1141" spans="1:18" s="904" customFormat="1">
      <c r="A1141" s="895"/>
      <c r="B1141" s="896"/>
      <c r="C1141" s="897"/>
      <c r="D1141" s="897"/>
      <c r="E1141" s="924" t="s">
        <v>108</v>
      </c>
      <c r="F1141" s="899"/>
      <c r="G1141" s="900"/>
      <c r="H1141" s="901"/>
      <c r="I1141" s="902"/>
      <c r="J1141" s="902"/>
      <c r="K1141" s="912" t="s">
        <v>274</v>
      </c>
      <c r="L1141" s="902"/>
      <c r="M1141" s="902"/>
      <c r="N1141" s="902"/>
      <c r="O1141" s="892">
        <f t="shared" si="68"/>
        <v>0</v>
      </c>
      <c r="P1141" s="903">
        <f t="shared" si="69"/>
        <v>1</v>
      </c>
      <c r="Q1141" s="893">
        <f t="shared" si="70"/>
        <v>5</v>
      </c>
      <c r="R1141" s="894">
        <f t="shared" si="71"/>
        <v>0</v>
      </c>
    </row>
    <row r="1142" spans="1:18">
      <c r="A1142" s="905"/>
      <c r="B1142" s="906"/>
      <c r="C1142" s="907">
        <v>66</v>
      </c>
      <c r="D1142" s="907" t="s">
        <v>279</v>
      </c>
      <c r="E1142" s="925" t="s">
        <v>2682</v>
      </c>
      <c r="F1142" s="926" t="s">
        <v>45</v>
      </c>
      <c r="G1142" s="910"/>
      <c r="H1142" s="911">
        <v>0.04</v>
      </c>
      <c r="I1142" s="912">
        <f>VLOOKUP(E1142,[3]VLP!$B$7:$K$300,10,0)</f>
        <v>5000</v>
      </c>
      <c r="J1142" s="912">
        <f>I1142*H1142</f>
        <v>200</v>
      </c>
      <c r="K1142" s="912" t="s">
        <v>274</v>
      </c>
      <c r="L1142" s="912"/>
      <c r="M1142" s="912"/>
      <c r="N1142" s="912"/>
      <c r="O1142" s="892">
        <f t="shared" si="68"/>
        <v>0</v>
      </c>
      <c r="P1142" s="903">
        <f t="shared" si="69"/>
        <v>1</v>
      </c>
      <c r="Q1142" s="893">
        <f t="shared" si="70"/>
        <v>4</v>
      </c>
      <c r="R1142" s="894">
        <f t="shared" si="71"/>
        <v>0</v>
      </c>
    </row>
    <row r="1143" spans="1:18">
      <c r="A1143" s="905"/>
      <c r="B1143" s="906"/>
      <c r="C1143" s="907">
        <v>44</v>
      </c>
      <c r="D1143" s="907" t="s">
        <v>279</v>
      </c>
      <c r="E1143" s="925" t="s">
        <v>2681</v>
      </c>
      <c r="F1143" s="926" t="s">
        <v>45</v>
      </c>
      <c r="G1143" s="910"/>
      <c r="H1143" s="911">
        <v>0.35</v>
      </c>
      <c r="I1143" s="912">
        <f>VLOOKUP(E1143,[3]VLP!$B$7:$K$300,10,0)</f>
        <v>23000</v>
      </c>
      <c r="J1143" s="912">
        <f>I1143*H1143</f>
        <v>8049.9999999999991</v>
      </c>
      <c r="K1143" s="912" t="s">
        <v>274</v>
      </c>
      <c r="L1143" s="912"/>
      <c r="M1143" s="912"/>
      <c r="N1143" s="912"/>
      <c r="O1143" s="892">
        <f t="shared" si="68"/>
        <v>0</v>
      </c>
      <c r="P1143" s="903">
        <f t="shared" si="69"/>
        <v>1</v>
      </c>
      <c r="Q1143" s="893">
        <f t="shared" si="70"/>
        <v>3</v>
      </c>
      <c r="R1143" s="894">
        <f t="shared" si="71"/>
        <v>0</v>
      </c>
    </row>
    <row r="1144" spans="1:18" s="904" customFormat="1">
      <c r="A1144" s="895"/>
      <c r="B1144" s="896"/>
      <c r="C1144" s="897"/>
      <c r="D1144" s="897"/>
      <c r="E1144" s="924" t="s">
        <v>276</v>
      </c>
      <c r="F1144" s="927"/>
      <c r="G1144" s="928"/>
      <c r="H1144" s="901"/>
      <c r="I1144" s="902"/>
      <c r="J1144" s="902"/>
      <c r="K1144" s="912" t="s">
        <v>274</v>
      </c>
      <c r="L1144" s="902"/>
      <c r="M1144" s="902"/>
      <c r="N1144" s="902"/>
      <c r="O1144" s="892">
        <f t="shared" si="68"/>
        <v>0</v>
      </c>
      <c r="P1144" s="903">
        <f t="shared" si="69"/>
        <v>1</v>
      </c>
      <c r="Q1144" s="893">
        <f t="shared" si="70"/>
        <v>2</v>
      </c>
      <c r="R1144" s="894">
        <f t="shared" si="71"/>
        <v>0</v>
      </c>
    </row>
    <row r="1145" spans="1:18">
      <c r="A1145" s="905"/>
      <c r="B1145" s="906"/>
      <c r="C1145" s="907">
        <v>740</v>
      </c>
      <c r="D1145" s="907" t="s">
        <v>12</v>
      </c>
      <c r="E1145" s="908" t="s">
        <v>4008</v>
      </c>
      <c r="F1145" s="909" t="s">
        <v>2674</v>
      </c>
      <c r="G1145" s="910"/>
      <c r="H1145" s="911">
        <v>2.08</v>
      </c>
      <c r="I1145" s="912"/>
      <c r="J1145" s="912"/>
      <c r="K1145" s="912">
        <f>VLOOKUP(E1145,ĐMNC!$A$7:$F$67,4,0)</f>
        <v>252714</v>
      </c>
      <c r="L1145" s="912">
        <f>H1145*K1145</f>
        <v>525645.12</v>
      </c>
      <c r="M1145" s="912"/>
      <c r="N1145" s="912"/>
      <c r="O1145" s="892">
        <f t="shared" si="68"/>
        <v>0</v>
      </c>
      <c r="P1145" s="903">
        <f t="shared" si="69"/>
        <v>1</v>
      </c>
      <c r="Q1145" s="893">
        <f t="shared" si="70"/>
        <v>1</v>
      </c>
      <c r="R1145" s="894">
        <f t="shared" si="71"/>
        <v>0</v>
      </c>
    </row>
    <row r="1146" spans="1:18" s="847" customFormat="1" ht="31.5">
      <c r="A1146" s="905"/>
      <c r="B1146" s="914" t="s">
        <v>4306</v>
      </c>
      <c r="C1146" s="915"/>
      <c r="D1146" s="915"/>
      <c r="E1146" s="916" t="s">
        <v>4307</v>
      </c>
      <c r="F1146" s="917" t="s">
        <v>249</v>
      </c>
      <c r="G1146" s="918"/>
      <c r="H1146" s="919"/>
      <c r="I1146" s="920"/>
      <c r="J1146" s="891">
        <f>SUM(J1147:J1151)</f>
        <v>8250</v>
      </c>
      <c r="K1146" s="891"/>
      <c r="L1146" s="891">
        <f>SUM(L1147:L1151)</f>
        <v>571133.6399999999</v>
      </c>
      <c r="M1146" s="891"/>
      <c r="N1146" s="891">
        <f>SUM(N1147:N1151)</f>
        <v>0</v>
      </c>
      <c r="O1146" s="892">
        <f t="shared" si="68"/>
        <v>1</v>
      </c>
      <c r="P1146" s="903">
        <f t="shared" si="69"/>
        <v>0</v>
      </c>
      <c r="Q1146" s="893">
        <f t="shared" si="70"/>
        <v>0</v>
      </c>
      <c r="R1146" s="894">
        <f t="shared" si="71"/>
        <v>5</v>
      </c>
    </row>
    <row r="1147" spans="1:18" s="904" customFormat="1">
      <c r="A1147" s="895"/>
      <c r="B1147" s="896"/>
      <c r="C1147" s="897"/>
      <c r="D1147" s="897"/>
      <c r="E1147" s="924" t="s">
        <v>108</v>
      </c>
      <c r="F1147" s="899"/>
      <c r="G1147" s="900"/>
      <c r="H1147" s="901"/>
      <c r="I1147" s="902"/>
      <c r="J1147" s="902"/>
      <c r="K1147" s="912" t="s">
        <v>274</v>
      </c>
      <c r="L1147" s="902"/>
      <c r="M1147" s="902"/>
      <c r="N1147" s="902"/>
      <c r="O1147" s="892">
        <f t="shared" si="68"/>
        <v>0</v>
      </c>
      <c r="P1147" s="903">
        <f t="shared" si="69"/>
        <v>1</v>
      </c>
      <c r="Q1147" s="893">
        <f t="shared" si="70"/>
        <v>5</v>
      </c>
      <c r="R1147" s="894">
        <f t="shared" si="71"/>
        <v>0</v>
      </c>
    </row>
    <row r="1148" spans="1:18">
      <c r="A1148" s="905"/>
      <c r="B1148" s="906"/>
      <c r="C1148" s="907">
        <v>66</v>
      </c>
      <c r="D1148" s="907" t="s">
        <v>279</v>
      </c>
      <c r="E1148" s="925" t="s">
        <v>2682</v>
      </c>
      <c r="F1148" s="926" t="s">
        <v>45</v>
      </c>
      <c r="G1148" s="910"/>
      <c r="H1148" s="911">
        <v>0.04</v>
      </c>
      <c r="I1148" s="912">
        <f>VLOOKUP(E1148,[3]VLP!$B$7:$K$300,10,0)</f>
        <v>5000</v>
      </c>
      <c r="J1148" s="912">
        <f>I1148*H1148</f>
        <v>200</v>
      </c>
      <c r="K1148" s="912" t="s">
        <v>274</v>
      </c>
      <c r="L1148" s="912"/>
      <c r="M1148" s="912"/>
      <c r="N1148" s="912"/>
      <c r="O1148" s="892">
        <f t="shared" si="68"/>
        <v>0</v>
      </c>
      <c r="P1148" s="903">
        <f t="shared" si="69"/>
        <v>1</v>
      </c>
      <c r="Q1148" s="893">
        <f t="shared" si="70"/>
        <v>4</v>
      </c>
      <c r="R1148" s="894">
        <f t="shared" si="71"/>
        <v>0</v>
      </c>
    </row>
    <row r="1149" spans="1:18">
      <c r="A1149" s="905"/>
      <c r="B1149" s="906"/>
      <c r="C1149" s="907">
        <v>44</v>
      </c>
      <c r="D1149" s="907" t="s">
        <v>279</v>
      </c>
      <c r="E1149" s="925" t="s">
        <v>2681</v>
      </c>
      <c r="F1149" s="926" t="s">
        <v>45</v>
      </c>
      <c r="G1149" s="910"/>
      <c r="H1149" s="911">
        <v>0.35</v>
      </c>
      <c r="I1149" s="912">
        <f>VLOOKUP(E1149,[3]VLP!$B$7:$K$300,10,0)</f>
        <v>23000</v>
      </c>
      <c r="J1149" s="912">
        <f>I1149*H1149</f>
        <v>8049.9999999999991</v>
      </c>
      <c r="K1149" s="912" t="s">
        <v>274</v>
      </c>
      <c r="L1149" s="912"/>
      <c r="M1149" s="912"/>
      <c r="N1149" s="912"/>
      <c r="O1149" s="892">
        <f t="shared" si="68"/>
        <v>0</v>
      </c>
      <c r="P1149" s="903">
        <f t="shared" si="69"/>
        <v>1</v>
      </c>
      <c r="Q1149" s="893">
        <f t="shared" si="70"/>
        <v>3</v>
      </c>
      <c r="R1149" s="894">
        <f t="shared" si="71"/>
        <v>0</v>
      </c>
    </row>
    <row r="1150" spans="1:18" s="904" customFormat="1">
      <c r="A1150" s="895"/>
      <c r="B1150" s="896"/>
      <c r="C1150" s="897"/>
      <c r="D1150" s="897"/>
      <c r="E1150" s="924" t="s">
        <v>276</v>
      </c>
      <c r="F1150" s="927"/>
      <c r="G1150" s="928"/>
      <c r="H1150" s="901"/>
      <c r="I1150" s="902"/>
      <c r="J1150" s="902"/>
      <c r="K1150" s="912" t="s">
        <v>274</v>
      </c>
      <c r="L1150" s="902"/>
      <c r="M1150" s="902"/>
      <c r="N1150" s="902"/>
      <c r="O1150" s="892">
        <f t="shared" si="68"/>
        <v>0</v>
      </c>
      <c r="P1150" s="903">
        <f t="shared" si="69"/>
        <v>1</v>
      </c>
      <c r="Q1150" s="893">
        <f t="shared" si="70"/>
        <v>2</v>
      </c>
      <c r="R1150" s="894">
        <f t="shared" si="71"/>
        <v>0</v>
      </c>
    </row>
    <row r="1151" spans="1:18">
      <c r="A1151" s="905"/>
      <c r="B1151" s="906"/>
      <c r="C1151" s="907">
        <v>740</v>
      </c>
      <c r="D1151" s="907" t="s">
        <v>12</v>
      </c>
      <c r="E1151" s="908" t="s">
        <v>4008</v>
      </c>
      <c r="F1151" s="909" t="s">
        <v>2674</v>
      </c>
      <c r="G1151" s="910"/>
      <c r="H1151" s="911">
        <v>2.2599999999999998</v>
      </c>
      <c r="I1151" s="912"/>
      <c r="J1151" s="912"/>
      <c r="K1151" s="912">
        <f>VLOOKUP(E1151,ĐMNC!$A$7:$F$67,4,0)</f>
        <v>252714</v>
      </c>
      <c r="L1151" s="912">
        <f>H1151*K1151</f>
        <v>571133.6399999999</v>
      </c>
      <c r="M1151" s="912"/>
      <c r="N1151" s="912"/>
      <c r="O1151" s="892">
        <f t="shared" si="68"/>
        <v>0</v>
      </c>
      <c r="P1151" s="903">
        <f t="shared" si="69"/>
        <v>1</v>
      </c>
      <c r="Q1151" s="893">
        <f t="shared" si="70"/>
        <v>1</v>
      </c>
      <c r="R1151" s="894">
        <f t="shared" si="71"/>
        <v>0</v>
      </c>
    </row>
    <row r="1152" spans="1:18" s="847" customFormat="1" ht="31.5">
      <c r="A1152" s="905"/>
      <c r="B1152" s="914" t="s">
        <v>4308</v>
      </c>
      <c r="C1152" s="915"/>
      <c r="D1152" s="915"/>
      <c r="E1152" s="916" t="s">
        <v>4309</v>
      </c>
      <c r="F1152" s="917" t="s">
        <v>249</v>
      </c>
      <c r="G1152" s="918"/>
      <c r="H1152" s="919"/>
      <c r="I1152" s="920"/>
      <c r="J1152" s="891">
        <f>SUM(J1153:J1157)</f>
        <v>8250</v>
      </c>
      <c r="K1152" s="891"/>
      <c r="L1152" s="891">
        <f>SUM(L1153:L1157)</f>
        <v>654529.26</v>
      </c>
      <c r="M1152" s="891"/>
      <c r="N1152" s="891">
        <f>SUM(N1153:N1157)</f>
        <v>0</v>
      </c>
      <c r="O1152" s="892">
        <f t="shared" si="68"/>
        <v>1</v>
      </c>
      <c r="P1152" s="903">
        <f t="shared" si="69"/>
        <v>0</v>
      </c>
      <c r="Q1152" s="893">
        <f t="shared" si="70"/>
        <v>0</v>
      </c>
      <c r="R1152" s="894">
        <f t="shared" si="71"/>
        <v>5</v>
      </c>
    </row>
    <row r="1153" spans="1:18" s="904" customFormat="1">
      <c r="A1153" s="895"/>
      <c r="B1153" s="896"/>
      <c r="C1153" s="897"/>
      <c r="D1153" s="897"/>
      <c r="E1153" s="924" t="s">
        <v>108</v>
      </c>
      <c r="F1153" s="899"/>
      <c r="G1153" s="900"/>
      <c r="H1153" s="901"/>
      <c r="I1153" s="902"/>
      <c r="J1153" s="902"/>
      <c r="K1153" s="912" t="s">
        <v>274</v>
      </c>
      <c r="L1153" s="902"/>
      <c r="M1153" s="902"/>
      <c r="N1153" s="902"/>
      <c r="O1153" s="892">
        <f t="shared" si="68"/>
        <v>0</v>
      </c>
      <c r="P1153" s="903">
        <f t="shared" si="69"/>
        <v>1</v>
      </c>
      <c r="Q1153" s="893">
        <f t="shared" si="70"/>
        <v>5</v>
      </c>
      <c r="R1153" s="894">
        <f t="shared" si="71"/>
        <v>0</v>
      </c>
    </row>
    <row r="1154" spans="1:18">
      <c r="A1154" s="905"/>
      <c r="B1154" s="906"/>
      <c r="C1154" s="907">
        <v>66</v>
      </c>
      <c r="D1154" s="907" t="s">
        <v>279</v>
      </c>
      <c r="E1154" s="925" t="s">
        <v>2682</v>
      </c>
      <c r="F1154" s="926" t="s">
        <v>45</v>
      </c>
      <c r="G1154" s="910"/>
      <c r="H1154" s="911">
        <v>0.04</v>
      </c>
      <c r="I1154" s="912">
        <f>VLOOKUP(E1154,[3]VLP!$B$7:$K$300,10,0)</f>
        <v>5000</v>
      </c>
      <c r="J1154" s="912">
        <f>I1154*H1154</f>
        <v>200</v>
      </c>
      <c r="K1154" s="912" t="s">
        <v>274</v>
      </c>
      <c r="L1154" s="912"/>
      <c r="M1154" s="912"/>
      <c r="N1154" s="912"/>
      <c r="O1154" s="892">
        <f t="shared" si="68"/>
        <v>0</v>
      </c>
      <c r="P1154" s="903">
        <f t="shared" si="69"/>
        <v>1</v>
      </c>
      <c r="Q1154" s="893">
        <f t="shared" si="70"/>
        <v>4</v>
      </c>
      <c r="R1154" s="894">
        <f t="shared" si="71"/>
        <v>0</v>
      </c>
    </row>
    <row r="1155" spans="1:18">
      <c r="A1155" s="905"/>
      <c r="B1155" s="906"/>
      <c r="C1155" s="907">
        <v>44</v>
      </c>
      <c r="D1155" s="907" t="s">
        <v>279</v>
      </c>
      <c r="E1155" s="925" t="s">
        <v>2681</v>
      </c>
      <c r="F1155" s="926" t="s">
        <v>45</v>
      </c>
      <c r="G1155" s="910"/>
      <c r="H1155" s="911">
        <v>0.35</v>
      </c>
      <c r="I1155" s="912">
        <f>VLOOKUP(E1155,[3]VLP!$B$7:$K$300,10,0)</f>
        <v>23000</v>
      </c>
      <c r="J1155" s="912">
        <f>I1155*H1155</f>
        <v>8049.9999999999991</v>
      </c>
      <c r="K1155" s="912" t="s">
        <v>274</v>
      </c>
      <c r="L1155" s="912"/>
      <c r="M1155" s="912"/>
      <c r="N1155" s="912"/>
      <c r="O1155" s="892">
        <f t="shared" si="68"/>
        <v>0</v>
      </c>
      <c r="P1155" s="903">
        <f t="shared" si="69"/>
        <v>1</v>
      </c>
      <c r="Q1155" s="893">
        <f t="shared" si="70"/>
        <v>3</v>
      </c>
      <c r="R1155" s="894">
        <f t="shared" si="71"/>
        <v>0</v>
      </c>
    </row>
    <row r="1156" spans="1:18" s="904" customFormat="1">
      <c r="A1156" s="895"/>
      <c r="B1156" s="896"/>
      <c r="C1156" s="897"/>
      <c r="D1156" s="897"/>
      <c r="E1156" s="924" t="s">
        <v>276</v>
      </c>
      <c r="F1156" s="927"/>
      <c r="G1156" s="928"/>
      <c r="H1156" s="901"/>
      <c r="I1156" s="902"/>
      <c r="J1156" s="902"/>
      <c r="K1156" s="912" t="s">
        <v>274</v>
      </c>
      <c r="L1156" s="902"/>
      <c r="M1156" s="902"/>
      <c r="N1156" s="902"/>
      <c r="O1156" s="892">
        <f t="shared" si="68"/>
        <v>0</v>
      </c>
      <c r="P1156" s="903">
        <f t="shared" si="69"/>
        <v>1</v>
      </c>
      <c r="Q1156" s="893">
        <f t="shared" si="70"/>
        <v>2</v>
      </c>
      <c r="R1156" s="894">
        <f t="shared" si="71"/>
        <v>0</v>
      </c>
    </row>
    <row r="1157" spans="1:18">
      <c r="A1157" s="905"/>
      <c r="B1157" s="906"/>
      <c r="C1157" s="907">
        <v>740</v>
      </c>
      <c r="D1157" s="907" t="s">
        <v>12</v>
      </c>
      <c r="E1157" s="908" t="s">
        <v>4008</v>
      </c>
      <c r="F1157" s="909" t="s">
        <v>2674</v>
      </c>
      <c r="G1157" s="910"/>
      <c r="H1157" s="911">
        <v>2.59</v>
      </c>
      <c r="I1157" s="912"/>
      <c r="J1157" s="912"/>
      <c r="K1157" s="912">
        <f>VLOOKUP(E1157,ĐMNC!$A$7:$F$67,4,0)</f>
        <v>252714</v>
      </c>
      <c r="L1157" s="912">
        <f>H1157*K1157</f>
        <v>654529.26</v>
      </c>
      <c r="M1157" s="912"/>
      <c r="N1157" s="912"/>
      <c r="O1157" s="892">
        <f t="shared" ref="O1157:O1220" si="72">IF(AND(B1157&lt;&gt;"",D1157=""),1,0)</f>
        <v>0</v>
      </c>
      <c r="P1157" s="903">
        <f t="shared" si="69"/>
        <v>1</v>
      </c>
      <c r="Q1157" s="893">
        <f t="shared" si="70"/>
        <v>1</v>
      </c>
      <c r="R1157" s="894">
        <f t="shared" si="71"/>
        <v>0</v>
      </c>
    </row>
    <row r="1158" spans="1:18" s="847" customFormat="1" ht="31.5">
      <c r="A1158" s="905"/>
      <c r="B1158" s="914" t="s">
        <v>4310</v>
      </c>
      <c r="C1158" s="915"/>
      <c r="D1158" s="915"/>
      <c r="E1158" s="916" t="s">
        <v>4311</v>
      </c>
      <c r="F1158" s="917" t="s">
        <v>249</v>
      </c>
      <c r="G1158" s="918"/>
      <c r="H1158" s="919"/>
      <c r="I1158" s="920"/>
      <c r="J1158" s="891">
        <f>SUM(J1159:J1163)</f>
        <v>8250</v>
      </c>
      <c r="K1158" s="891"/>
      <c r="L1158" s="891">
        <f>SUM(L1159:L1163)</f>
        <v>727816.32</v>
      </c>
      <c r="M1158" s="891"/>
      <c r="N1158" s="891">
        <f>SUM(N1159:N1163)</f>
        <v>0</v>
      </c>
      <c r="O1158" s="892">
        <f t="shared" si="72"/>
        <v>1</v>
      </c>
      <c r="P1158" s="903">
        <f t="shared" si="69"/>
        <v>0</v>
      </c>
      <c r="Q1158" s="893">
        <f t="shared" si="70"/>
        <v>0</v>
      </c>
      <c r="R1158" s="894">
        <f t="shared" si="71"/>
        <v>5</v>
      </c>
    </row>
    <row r="1159" spans="1:18" s="904" customFormat="1">
      <c r="A1159" s="895"/>
      <c r="B1159" s="896"/>
      <c r="C1159" s="897"/>
      <c r="D1159" s="897"/>
      <c r="E1159" s="924" t="s">
        <v>108</v>
      </c>
      <c r="F1159" s="899"/>
      <c r="G1159" s="900"/>
      <c r="H1159" s="901"/>
      <c r="I1159" s="902"/>
      <c r="J1159" s="902"/>
      <c r="K1159" s="912" t="s">
        <v>274</v>
      </c>
      <c r="L1159" s="902"/>
      <c r="M1159" s="902"/>
      <c r="N1159" s="902"/>
      <c r="O1159" s="892">
        <f t="shared" si="72"/>
        <v>0</v>
      </c>
      <c r="P1159" s="903">
        <f t="shared" si="69"/>
        <v>1</v>
      </c>
      <c r="Q1159" s="893">
        <f t="shared" si="70"/>
        <v>5</v>
      </c>
      <c r="R1159" s="894">
        <f t="shared" si="71"/>
        <v>0</v>
      </c>
    </row>
    <row r="1160" spans="1:18">
      <c r="A1160" s="905"/>
      <c r="B1160" s="906"/>
      <c r="C1160" s="907">
        <v>66</v>
      </c>
      <c r="D1160" s="907" t="s">
        <v>279</v>
      </c>
      <c r="E1160" s="925" t="s">
        <v>2682</v>
      </c>
      <c r="F1160" s="926" t="s">
        <v>45</v>
      </c>
      <c r="G1160" s="910"/>
      <c r="H1160" s="911">
        <v>0.04</v>
      </c>
      <c r="I1160" s="912">
        <f>VLOOKUP(E1160,[3]VLP!$B$7:$K$300,10,0)</f>
        <v>5000</v>
      </c>
      <c r="J1160" s="912">
        <f>I1160*H1160</f>
        <v>200</v>
      </c>
      <c r="K1160" s="912" t="s">
        <v>274</v>
      </c>
      <c r="L1160" s="912"/>
      <c r="M1160" s="912"/>
      <c r="N1160" s="912"/>
      <c r="O1160" s="892">
        <f t="shared" si="72"/>
        <v>0</v>
      </c>
      <c r="P1160" s="903">
        <f t="shared" si="69"/>
        <v>1</v>
      </c>
      <c r="Q1160" s="893">
        <f t="shared" si="70"/>
        <v>4</v>
      </c>
      <c r="R1160" s="894">
        <f t="shared" si="71"/>
        <v>0</v>
      </c>
    </row>
    <row r="1161" spans="1:18">
      <c r="A1161" s="905"/>
      <c r="B1161" s="906"/>
      <c r="C1161" s="907">
        <v>44</v>
      </c>
      <c r="D1161" s="907" t="s">
        <v>279</v>
      </c>
      <c r="E1161" s="925" t="s">
        <v>2681</v>
      </c>
      <c r="F1161" s="926" t="s">
        <v>45</v>
      </c>
      <c r="G1161" s="910"/>
      <c r="H1161" s="911">
        <v>0.35</v>
      </c>
      <c r="I1161" s="912">
        <f>VLOOKUP(E1161,[3]VLP!$B$7:$K$300,10,0)</f>
        <v>23000</v>
      </c>
      <c r="J1161" s="912">
        <f>I1161*H1161</f>
        <v>8049.9999999999991</v>
      </c>
      <c r="K1161" s="912" t="s">
        <v>274</v>
      </c>
      <c r="L1161" s="912"/>
      <c r="M1161" s="912"/>
      <c r="N1161" s="912"/>
      <c r="O1161" s="892">
        <f t="shared" si="72"/>
        <v>0</v>
      </c>
      <c r="P1161" s="903">
        <f t="shared" si="69"/>
        <v>1</v>
      </c>
      <c r="Q1161" s="893">
        <f t="shared" si="70"/>
        <v>3</v>
      </c>
      <c r="R1161" s="894">
        <f t="shared" si="71"/>
        <v>0</v>
      </c>
    </row>
    <row r="1162" spans="1:18" s="904" customFormat="1">
      <c r="A1162" s="895"/>
      <c r="B1162" s="896"/>
      <c r="C1162" s="897"/>
      <c r="D1162" s="897"/>
      <c r="E1162" s="924" t="s">
        <v>276</v>
      </c>
      <c r="F1162" s="927"/>
      <c r="G1162" s="928"/>
      <c r="H1162" s="901"/>
      <c r="I1162" s="902"/>
      <c r="J1162" s="902"/>
      <c r="K1162" s="912" t="s">
        <v>274</v>
      </c>
      <c r="L1162" s="902"/>
      <c r="M1162" s="902"/>
      <c r="N1162" s="902"/>
      <c r="O1162" s="892">
        <f t="shared" si="72"/>
        <v>0</v>
      </c>
      <c r="P1162" s="903">
        <f t="shared" si="69"/>
        <v>1</v>
      </c>
      <c r="Q1162" s="893">
        <f t="shared" si="70"/>
        <v>2</v>
      </c>
      <c r="R1162" s="894">
        <f t="shared" si="71"/>
        <v>0</v>
      </c>
    </row>
    <row r="1163" spans="1:18">
      <c r="A1163" s="905"/>
      <c r="B1163" s="906"/>
      <c r="C1163" s="907">
        <v>740</v>
      </c>
      <c r="D1163" s="907" t="s">
        <v>12</v>
      </c>
      <c r="E1163" s="908" t="s">
        <v>4008</v>
      </c>
      <c r="F1163" s="909" t="s">
        <v>2674</v>
      </c>
      <c r="G1163" s="910"/>
      <c r="H1163" s="911">
        <v>2.88</v>
      </c>
      <c r="I1163" s="912"/>
      <c r="J1163" s="912"/>
      <c r="K1163" s="912">
        <f>VLOOKUP(E1163,ĐMNC!$A$7:$F$67,4,0)</f>
        <v>252714</v>
      </c>
      <c r="L1163" s="912">
        <f>H1163*K1163</f>
        <v>727816.32</v>
      </c>
      <c r="M1163" s="912"/>
      <c r="N1163" s="912"/>
      <c r="O1163" s="892">
        <f t="shared" si="72"/>
        <v>0</v>
      </c>
      <c r="P1163" s="903">
        <f t="shared" si="69"/>
        <v>1</v>
      </c>
      <c r="Q1163" s="893">
        <f t="shared" si="70"/>
        <v>1</v>
      </c>
      <c r="R1163" s="894">
        <f t="shared" si="71"/>
        <v>0</v>
      </c>
    </row>
    <row r="1164" spans="1:18" s="847" customFormat="1" ht="31.5">
      <c r="A1164" s="905"/>
      <c r="B1164" s="914" t="s">
        <v>4312</v>
      </c>
      <c r="C1164" s="915"/>
      <c r="D1164" s="915"/>
      <c r="E1164" s="916" t="s">
        <v>4313</v>
      </c>
      <c r="F1164" s="917" t="s">
        <v>249</v>
      </c>
      <c r="G1164" s="918"/>
      <c r="H1164" s="919"/>
      <c r="I1164" s="920"/>
      <c r="J1164" s="891">
        <f>SUM(J1165:J1169)</f>
        <v>8250</v>
      </c>
      <c r="K1164" s="891"/>
      <c r="L1164" s="891">
        <f>SUM(L1165:L1169)</f>
        <v>801103.38</v>
      </c>
      <c r="M1164" s="891"/>
      <c r="N1164" s="891">
        <f>SUM(N1165:N1169)</f>
        <v>0</v>
      </c>
      <c r="O1164" s="892">
        <f t="shared" si="72"/>
        <v>1</v>
      </c>
      <c r="P1164" s="903">
        <f t="shared" si="69"/>
        <v>0</v>
      </c>
      <c r="Q1164" s="893">
        <f t="shared" si="70"/>
        <v>0</v>
      </c>
      <c r="R1164" s="894">
        <f t="shared" si="71"/>
        <v>5</v>
      </c>
    </row>
    <row r="1165" spans="1:18" s="904" customFormat="1">
      <c r="A1165" s="895"/>
      <c r="B1165" s="896"/>
      <c r="C1165" s="897"/>
      <c r="D1165" s="897"/>
      <c r="E1165" s="924" t="s">
        <v>108</v>
      </c>
      <c r="F1165" s="899"/>
      <c r="G1165" s="900"/>
      <c r="H1165" s="901"/>
      <c r="I1165" s="902"/>
      <c r="J1165" s="902"/>
      <c r="K1165" s="912" t="s">
        <v>274</v>
      </c>
      <c r="L1165" s="902"/>
      <c r="M1165" s="902"/>
      <c r="N1165" s="902"/>
      <c r="O1165" s="892">
        <f t="shared" si="72"/>
        <v>0</v>
      </c>
      <c r="P1165" s="903">
        <f t="shared" si="69"/>
        <v>1</v>
      </c>
      <c r="Q1165" s="893">
        <f t="shared" si="70"/>
        <v>5</v>
      </c>
      <c r="R1165" s="894">
        <f t="shared" si="71"/>
        <v>0</v>
      </c>
    </row>
    <row r="1166" spans="1:18">
      <c r="A1166" s="905"/>
      <c r="B1166" s="906"/>
      <c r="C1166" s="907">
        <v>66</v>
      </c>
      <c r="D1166" s="907" t="s">
        <v>279</v>
      </c>
      <c r="E1166" s="925" t="s">
        <v>2682</v>
      </c>
      <c r="F1166" s="926" t="s">
        <v>45</v>
      </c>
      <c r="G1166" s="910"/>
      <c r="H1166" s="911">
        <v>0.04</v>
      </c>
      <c r="I1166" s="912">
        <f>VLOOKUP(E1166,[3]VLP!$B$7:$K$300,10,0)</f>
        <v>5000</v>
      </c>
      <c r="J1166" s="912">
        <f>I1166*H1166</f>
        <v>200</v>
      </c>
      <c r="K1166" s="912" t="s">
        <v>274</v>
      </c>
      <c r="L1166" s="912"/>
      <c r="M1166" s="912"/>
      <c r="N1166" s="912"/>
      <c r="O1166" s="892">
        <f t="shared" si="72"/>
        <v>0</v>
      </c>
      <c r="P1166" s="903">
        <f t="shared" ref="P1166:P1229" si="73">IF(O1166=0,1,0)</f>
        <v>1</v>
      </c>
      <c r="Q1166" s="893">
        <f t="shared" ref="Q1166:Q1229" si="74">IF(P1166=0,0,P1166+Q1167)</f>
        <v>4</v>
      </c>
      <c r="R1166" s="894">
        <f t="shared" ref="R1166:R1229" si="75">IF(Q1166=0,Q1167,0)</f>
        <v>0</v>
      </c>
    </row>
    <row r="1167" spans="1:18">
      <c r="A1167" s="905"/>
      <c r="B1167" s="906"/>
      <c r="C1167" s="907">
        <v>44</v>
      </c>
      <c r="D1167" s="907" t="s">
        <v>279</v>
      </c>
      <c r="E1167" s="925" t="s">
        <v>2681</v>
      </c>
      <c r="F1167" s="926" t="s">
        <v>45</v>
      </c>
      <c r="G1167" s="910"/>
      <c r="H1167" s="911">
        <v>0.35</v>
      </c>
      <c r="I1167" s="912">
        <f>VLOOKUP(E1167,[3]VLP!$B$7:$K$300,10,0)</f>
        <v>23000</v>
      </c>
      <c r="J1167" s="912">
        <f>I1167*H1167</f>
        <v>8049.9999999999991</v>
      </c>
      <c r="K1167" s="912" t="s">
        <v>274</v>
      </c>
      <c r="L1167" s="912"/>
      <c r="M1167" s="912"/>
      <c r="N1167" s="912"/>
      <c r="O1167" s="892">
        <f t="shared" si="72"/>
        <v>0</v>
      </c>
      <c r="P1167" s="903">
        <f t="shared" si="73"/>
        <v>1</v>
      </c>
      <c r="Q1167" s="893">
        <f t="shared" si="74"/>
        <v>3</v>
      </c>
      <c r="R1167" s="894">
        <f t="shared" si="75"/>
        <v>0</v>
      </c>
    </row>
    <row r="1168" spans="1:18" s="904" customFormat="1">
      <c r="A1168" s="895"/>
      <c r="B1168" s="896"/>
      <c r="C1168" s="897"/>
      <c r="D1168" s="897"/>
      <c r="E1168" s="924" t="s">
        <v>276</v>
      </c>
      <c r="F1168" s="927"/>
      <c r="G1168" s="928"/>
      <c r="H1168" s="901"/>
      <c r="I1168" s="902"/>
      <c r="J1168" s="902"/>
      <c r="K1168" s="912" t="s">
        <v>274</v>
      </c>
      <c r="L1168" s="902"/>
      <c r="M1168" s="902"/>
      <c r="N1168" s="902"/>
      <c r="O1168" s="892">
        <f t="shared" si="72"/>
        <v>0</v>
      </c>
      <c r="P1168" s="903">
        <f t="shared" si="73"/>
        <v>1</v>
      </c>
      <c r="Q1168" s="893">
        <f t="shared" si="74"/>
        <v>2</v>
      </c>
      <c r="R1168" s="894">
        <f t="shared" si="75"/>
        <v>0</v>
      </c>
    </row>
    <row r="1169" spans="1:18">
      <c r="A1169" s="905"/>
      <c r="B1169" s="906"/>
      <c r="C1169" s="907">
        <v>740</v>
      </c>
      <c r="D1169" s="907" t="s">
        <v>12</v>
      </c>
      <c r="E1169" s="908" t="s">
        <v>4008</v>
      </c>
      <c r="F1169" s="909" t="s">
        <v>2674</v>
      </c>
      <c r="G1169" s="910"/>
      <c r="H1169" s="911">
        <v>3.17</v>
      </c>
      <c r="I1169" s="912"/>
      <c r="J1169" s="912"/>
      <c r="K1169" s="912">
        <f>VLOOKUP(E1169,ĐMNC!$A$7:$F$67,4,0)</f>
        <v>252714</v>
      </c>
      <c r="L1169" s="912">
        <f>H1169*K1169</f>
        <v>801103.38</v>
      </c>
      <c r="M1169" s="912"/>
      <c r="N1169" s="912"/>
      <c r="O1169" s="892">
        <f t="shared" si="72"/>
        <v>0</v>
      </c>
      <c r="P1169" s="903">
        <f t="shared" si="73"/>
        <v>1</v>
      </c>
      <c r="Q1169" s="893">
        <f t="shared" si="74"/>
        <v>1</v>
      </c>
      <c r="R1169" s="894">
        <f t="shared" si="75"/>
        <v>0</v>
      </c>
    </row>
    <row r="1170" spans="1:18" s="847" customFormat="1" ht="31.5">
      <c r="A1170" s="905"/>
      <c r="B1170" s="914" t="s">
        <v>4314</v>
      </c>
      <c r="C1170" s="915"/>
      <c r="D1170" s="915"/>
      <c r="E1170" s="916" t="s">
        <v>4315</v>
      </c>
      <c r="F1170" s="917" t="s">
        <v>249</v>
      </c>
      <c r="G1170" s="918"/>
      <c r="H1170" s="919"/>
      <c r="I1170" s="920"/>
      <c r="J1170" s="891">
        <f>SUM(J1171:J1175)</f>
        <v>8250</v>
      </c>
      <c r="K1170" s="891"/>
      <c r="L1170" s="891">
        <f>SUM(L1171:L1175)</f>
        <v>922406.1</v>
      </c>
      <c r="M1170" s="891"/>
      <c r="N1170" s="891">
        <f>SUM(N1171:N1175)</f>
        <v>0</v>
      </c>
      <c r="O1170" s="892">
        <f t="shared" si="72"/>
        <v>1</v>
      </c>
      <c r="P1170" s="903">
        <f t="shared" si="73"/>
        <v>0</v>
      </c>
      <c r="Q1170" s="893">
        <f t="shared" si="74"/>
        <v>0</v>
      </c>
      <c r="R1170" s="894">
        <f t="shared" si="75"/>
        <v>5</v>
      </c>
    </row>
    <row r="1171" spans="1:18" s="904" customFormat="1">
      <c r="A1171" s="895"/>
      <c r="B1171" s="896"/>
      <c r="C1171" s="897"/>
      <c r="D1171" s="897"/>
      <c r="E1171" s="924" t="s">
        <v>108</v>
      </c>
      <c r="F1171" s="899"/>
      <c r="G1171" s="900"/>
      <c r="H1171" s="901"/>
      <c r="I1171" s="902"/>
      <c r="J1171" s="902"/>
      <c r="K1171" s="912" t="s">
        <v>274</v>
      </c>
      <c r="L1171" s="902"/>
      <c r="M1171" s="902"/>
      <c r="N1171" s="902"/>
      <c r="O1171" s="892">
        <f t="shared" si="72"/>
        <v>0</v>
      </c>
      <c r="P1171" s="903">
        <f t="shared" si="73"/>
        <v>1</v>
      </c>
      <c r="Q1171" s="893">
        <f t="shared" si="74"/>
        <v>5</v>
      </c>
      <c r="R1171" s="894">
        <f t="shared" si="75"/>
        <v>0</v>
      </c>
    </row>
    <row r="1172" spans="1:18">
      <c r="A1172" s="905"/>
      <c r="B1172" s="906"/>
      <c r="C1172" s="907">
        <v>66</v>
      </c>
      <c r="D1172" s="907" t="s">
        <v>279</v>
      </c>
      <c r="E1172" s="925" t="s">
        <v>2682</v>
      </c>
      <c r="F1172" s="926" t="s">
        <v>45</v>
      </c>
      <c r="G1172" s="910"/>
      <c r="H1172" s="911">
        <v>0.04</v>
      </c>
      <c r="I1172" s="912">
        <f>VLOOKUP(E1172,[3]VLP!$B$7:$K$300,10,0)</f>
        <v>5000</v>
      </c>
      <c r="J1172" s="912">
        <f>I1172*H1172</f>
        <v>200</v>
      </c>
      <c r="K1172" s="912" t="s">
        <v>274</v>
      </c>
      <c r="L1172" s="912"/>
      <c r="M1172" s="912"/>
      <c r="N1172" s="912"/>
      <c r="O1172" s="892">
        <f t="shared" si="72"/>
        <v>0</v>
      </c>
      <c r="P1172" s="903">
        <f t="shared" si="73"/>
        <v>1</v>
      </c>
      <c r="Q1172" s="893">
        <f t="shared" si="74"/>
        <v>4</v>
      </c>
      <c r="R1172" s="894">
        <f t="shared" si="75"/>
        <v>0</v>
      </c>
    </row>
    <row r="1173" spans="1:18">
      <c r="A1173" s="905"/>
      <c r="B1173" s="906"/>
      <c r="C1173" s="907">
        <v>44</v>
      </c>
      <c r="D1173" s="907" t="s">
        <v>279</v>
      </c>
      <c r="E1173" s="925" t="s">
        <v>2681</v>
      </c>
      <c r="F1173" s="926" t="s">
        <v>45</v>
      </c>
      <c r="G1173" s="910"/>
      <c r="H1173" s="911">
        <v>0.35</v>
      </c>
      <c r="I1173" s="912">
        <f>VLOOKUP(E1173,[3]VLP!$B$7:$K$300,10,0)</f>
        <v>23000</v>
      </c>
      <c r="J1173" s="912">
        <f>I1173*H1173</f>
        <v>8049.9999999999991</v>
      </c>
      <c r="K1173" s="912" t="s">
        <v>274</v>
      </c>
      <c r="L1173" s="912"/>
      <c r="M1173" s="912"/>
      <c r="N1173" s="912"/>
      <c r="O1173" s="892">
        <f t="shared" si="72"/>
        <v>0</v>
      </c>
      <c r="P1173" s="903">
        <f t="shared" si="73"/>
        <v>1</v>
      </c>
      <c r="Q1173" s="893">
        <f t="shared" si="74"/>
        <v>3</v>
      </c>
      <c r="R1173" s="894">
        <f t="shared" si="75"/>
        <v>0</v>
      </c>
    </row>
    <row r="1174" spans="1:18" s="904" customFormat="1">
      <c r="A1174" s="895"/>
      <c r="B1174" s="896"/>
      <c r="C1174" s="897"/>
      <c r="D1174" s="897"/>
      <c r="E1174" s="924" t="s">
        <v>276</v>
      </c>
      <c r="F1174" s="927"/>
      <c r="G1174" s="928"/>
      <c r="H1174" s="901"/>
      <c r="I1174" s="902"/>
      <c r="J1174" s="902"/>
      <c r="K1174" s="912" t="s">
        <v>274</v>
      </c>
      <c r="L1174" s="902"/>
      <c r="M1174" s="902"/>
      <c r="N1174" s="902"/>
      <c r="O1174" s="892">
        <f t="shared" si="72"/>
        <v>0</v>
      </c>
      <c r="P1174" s="903">
        <f t="shared" si="73"/>
        <v>1</v>
      </c>
      <c r="Q1174" s="893">
        <f t="shared" si="74"/>
        <v>2</v>
      </c>
      <c r="R1174" s="894">
        <f t="shared" si="75"/>
        <v>0</v>
      </c>
    </row>
    <row r="1175" spans="1:18">
      <c r="A1175" s="905"/>
      <c r="B1175" s="906"/>
      <c r="C1175" s="907">
        <v>740</v>
      </c>
      <c r="D1175" s="907" t="s">
        <v>12</v>
      </c>
      <c r="E1175" s="908" t="s">
        <v>4008</v>
      </c>
      <c r="F1175" s="909" t="s">
        <v>2674</v>
      </c>
      <c r="G1175" s="910"/>
      <c r="H1175" s="911">
        <v>3.65</v>
      </c>
      <c r="I1175" s="912"/>
      <c r="J1175" s="912"/>
      <c r="K1175" s="912">
        <f>VLOOKUP(E1175,ĐMNC!$A$7:$F$67,4,0)</f>
        <v>252714</v>
      </c>
      <c r="L1175" s="912">
        <f>H1175*K1175</f>
        <v>922406.1</v>
      </c>
      <c r="M1175" s="912"/>
      <c r="N1175" s="912"/>
      <c r="O1175" s="892">
        <f t="shared" si="72"/>
        <v>0</v>
      </c>
      <c r="P1175" s="903">
        <f t="shared" si="73"/>
        <v>1</v>
      </c>
      <c r="Q1175" s="893">
        <f t="shared" si="74"/>
        <v>1</v>
      </c>
      <c r="R1175" s="894">
        <f t="shared" si="75"/>
        <v>0</v>
      </c>
    </row>
    <row r="1176" spans="1:18" s="847" customFormat="1" ht="31.5">
      <c r="A1176" s="905"/>
      <c r="B1176" s="914" t="s">
        <v>4316</v>
      </c>
      <c r="C1176" s="915"/>
      <c r="D1176" s="915"/>
      <c r="E1176" s="916" t="s">
        <v>4317</v>
      </c>
      <c r="F1176" s="917" t="s">
        <v>249</v>
      </c>
      <c r="G1176" s="918"/>
      <c r="H1176" s="919"/>
      <c r="I1176" s="920"/>
      <c r="J1176" s="891">
        <f>SUM(J1177:J1181)</f>
        <v>8250</v>
      </c>
      <c r="K1176" s="891"/>
      <c r="L1176" s="891">
        <f>SUM(L1177:L1181)</f>
        <v>1061398.8</v>
      </c>
      <c r="M1176" s="891"/>
      <c r="N1176" s="891">
        <f>SUM(N1177:N1181)</f>
        <v>0</v>
      </c>
      <c r="O1176" s="892">
        <f t="shared" si="72"/>
        <v>1</v>
      </c>
      <c r="P1176" s="903">
        <f t="shared" si="73"/>
        <v>0</v>
      </c>
      <c r="Q1176" s="893">
        <f t="shared" si="74"/>
        <v>0</v>
      </c>
      <c r="R1176" s="894">
        <f t="shared" si="75"/>
        <v>5</v>
      </c>
    </row>
    <row r="1177" spans="1:18" s="904" customFormat="1">
      <c r="A1177" s="895"/>
      <c r="B1177" s="896"/>
      <c r="C1177" s="897"/>
      <c r="D1177" s="897"/>
      <c r="E1177" s="924" t="s">
        <v>108</v>
      </c>
      <c r="F1177" s="899"/>
      <c r="G1177" s="900"/>
      <c r="H1177" s="901"/>
      <c r="I1177" s="902"/>
      <c r="J1177" s="902"/>
      <c r="K1177" s="912" t="s">
        <v>274</v>
      </c>
      <c r="L1177" s="902"/>
      <c r="M1177" s="902"/>
      <c r="N1177" s="902"/>
      <c r="O1177" s="892">
        <f t="shared" si="72"/>
        <v>0</v>
      </c>
      <c r="P1177" s="903">
        <f t="shared" si="73"/>
        <v>1</v>
      </c>
      <c r="Q1177" s="893">
        <f t="shared" si="74"/>
        <v>5</v>
      </c>
      <c r="R1177" s="894">
        <f t="shared" si="75"/>
        <v>0</v>
      </c>
    </row>
    <row r="1178" spans="1:18">
      <c r="A1178" s="905"/>
      <c r="B1178" s="906"/>
      <c r="C1178" s="907">
        <v>66</v>
      </c>
      <c r="D1178" s="907" t="s">
        <v>279</v>
      </c>
      <c r="E1178" s="925" t="s">
        <v>2682</v>
      </c>
      <c r="F1178" s="926" t="s">
        <v>45</v>
      </c>
      <c r="G1178" s="910"/>
      <c r="H1178" s="911">
        <v>0.04</v>
      </c>
      <c r="I1178" s="912">
        <f>VLOOKUP(E1178,[3]VLP!$B$7:$K$300,10,0)</f>
        <v>5000</v>
      </c>
      <c r="J1178" s="912">
        <f>I1178*H1178</f>
        <v>200</v>
      </c>
      <c r="K1178" s="912" t="s">
        <v>274</v>
      </c>
      <c r="L1178" s="912"/>
      <c r="M1178" s="912"/>
      <c r="N1178" s="912"/>
      <c r="O1178" s="892">
        <f t="shared" si="72"/>
        <v>0</v>
      </c>
      <c r="P1178" s="903">
        <f t="shared" si="73"/>
        <v>1</v>
      </c>
      <c r="Q1178" s="893">
        <f t="shared" si="74"/>
        <v>4</v>
      </c>
      <c r="R1178" s="894">
        <f t="shared" si="75"/>
        <v>0</v>
      </c>
    </row>
    <row r="1179" spans="1:18">
      <c r="A1179" s="905"/>
      <c r="B1179" s="906"/>
      <c r="C1179" s="907">
        <v>44</v>
      </c>
      <c r="D1179" s="907" t="s">
        <v>279</v>
      </c>
      <c r="E1179" s="925" t="s">
        <v>2681</v>
      </c>
      <c r="F1179" s="926" t="s">
        <v>45</v>
      </c>
      <c r="G1179" s="910"/>
      <c r="H1179" s="911">
        <v>0.35</v>
      </c>
      <c r="I1179" s="912">
        <f>VLOOKUP(E1179,[3]VLP!$B$7:$K$300,10,0)</f>
        <v>23000</v>
      </c>
      <c r="J1179" s="912">
        <f>I1179*H1179</f>
        <v>8049.9999999999991</v>
      </c>
      <c r="K1179" s="912" t="s">
        <v>274</v>
      </c>
      <c r="L1179" s="912"/>
      <c r="M1179" s="912"/>
      <c r="N1179" s="912"/>
      <c r="O1179" s="892">
        <f t="shared" si="72"/>
        <v>0</v>
      </c>
      <c r="P1179" s="903">
        <f t="shared" si="73"/>
        <v>1</v>
      </c>
      <c r="Q1179" s="893">
        <f t="shared" si="74"/>
        <v>3</v>
      </c>
      <c r="R1179" s="894">
        <f t="shared" si="75"/>
        <v>0</v>
      </c>
    </row>
    <row r="1180" spans="1:18" s="904" customFormat="1">
      <c r="A1180" s="895"/>
      <c r="B1180" s="896"/>
      <c r="C1180" s="897"/>
      <c r="D1180" s="897"/>
      <c r="E1180" s="924" t="s">
        <v>276</v>
      </c>
      <c r="F1180" s="927"/>
      <c r="G1180" s="928"/>
      <c r="H1180" s="901"/>
      <c r="I1180" s="902"/>
      <c r="J1180" s="902"/>
      <c r="K1180" s="912" t="s">
        <v>274</v>
      </c>
      <c r="L1180" s="902"/>
      <c r="M1180" s="902"/>
      <c r="N1180" s="902"/>
      <c r="O1180" s="892">
        <f t="shared" si="72"/>
        <v>0</v>
      </c>
      <c r="P1180" s="903">
        <f t="shared" si="73"/>
        <v>1</v>
      </c>
      <c r="Q1180" s="893">
        <f t="shared" si="74"/>
        <v>2</v>
      </c>
      <c r="R1180" s="894">
        <f t="shared" si="75"/>
        <v>0</v>
      </c>
    </row>
    <row r="1181" spans="1:18">
      <c r="A1181" s="905"/>
      <c r="B1181" s="906"/>
      <c r="C1181" s="907">
        <v>740</v>
      </c>
      <c r="D1181" s="907" t="s">
        <v>12</v>
      </c>
      <c r="E1181" s="908" t="s">
        <v>4008</v>
      </c>
      <c r="F1181" s="909" t="s">
        <v>2674</v>
      </c>
      <c r="G1181" s="910"/>
      <c r="H1181" s="911">
        <v>4.2</v>
      </c>
      <c r="I1181" s="912"/>
      <c r="J1181" s="912"/>
      <c r="K1181" s="912">
        <f>VLOOKUP(E1181,ĐMNC!$A$7:$F$67,4,0)</f>
        <v>252714</v>
      </c>
      <c r="L1181" s="912">
        <f>H1181*K1181</f>
        <v>1061398.8</v>
      </c>
      <c r="M1181" s="912"/>
      <c r="N1181" s="912"/>
      <c r="O1181" s="892">
        <f t="shared" si="72"/>
        <v>0</v>
      </c>
      <c r="P1181" s="903">
        <f t="shared" si="73"/>
        <v>1</v>
      </c>
      <c r="Q1181" s="893">
        <f>IF(P1181=0,0,P1181+Q1183)</f>
        <v>1</v>
      </c>
      <c r="R1181" s="894">
        <f>IF(Q1181=0,Q1183,0)</f>
        <v>0</v>
      </c>
    </row>
    <row r="1182" spans="1:18">
      <c r="A1182" s="905"/>
      <c r="B1182" s="947" t="s">
        <v>4318</v>
      </c>
      <c r="C1182" s="948"/>
      <c r="D1182" s="948"/>
      <c r="E1182" s="921" t="s">
        <v>4319</v>
      </c>
      <c r="F1182" s="909"/>
      <c r="G1182" s="910"/>
      <c r="H1182" s="911"/>
      <c r="I1182" s="912"/>
      <c r="J1182" s="912"/>
      <c r="K1182" s="912"/>
      <c r="L1182" s="912"/>
      <c r="M1182" s="912"/>
      <c r="N1182" s="912"/>
      <c r="O1182" s="892"/>
      <c r="P1182" s="903"/>
      <c r="Q1182" s="893"/>
      <c r="R1182" s="894"/>
    </row>
    <row r="1183" spans="1:18" s="847" customFormat="1" ht="31.5">
      <c r="A1183" s="905" t="s">
        <v>4320</v>
      </c>
      <c r="B1183" s="914" t="s">
        <v>4321</v>
      </c>
      <c r="C1183" s="915"/>
      <c r="D1183" s="915"/>
      <c r="E1183" s="916" t="s">
        <v>4322</v>
      </c>
      <c r="F1183" s="917" t="s">
        <v>249</v>
      </c>
      <c r="G1183" s="918"/>
      <c r="H1183" s="919"/>
      <c r="I1183" s="920"/>
      <c r="J1183" s="891">
        <f>SUM(J1184:J1188)</f>
        <v>5238</v>
      </c>
      <c r="K1183" s="891"/>
      <c r="L1183" s="891">
        <f>SUM(L1184:L1188)</f>
        <v>320946.78000000003</v>
      </c>
      <c r="M1183" s="891"/>
      <c r="N1183" s="891">
        <f>SUM(N1184:N1188)</f>
        <v>0</v>
      </c>
      <c r="O1183" s="892">
        <f t="shared" si="72"/>
        <v>1</v>
      </c>
      <c r="P1183" s="903">
        <f t="shared" si="73"/>
        <v>0</v>
      </c>
      <c r="Q1183" s="893">
        <f t="shared" si="74"/>
        <v>0</v>
      </c>
      <c r="R1183" s="894">
        <f t="shared" si="75"/>
        <v>5</v>
      </c>
    </row>
    <row r="1184" spans="1:18" s="904" customFormat="1">
      <c r="A1184" s="895"/>
      <c r="B1184" s="896"/>
      <c r="C1184" s="897"/>
      <c r="D1184" s="897"/>
      <c r="E1184" s="924" t="s">
        <v>108</v>
      </c>
      <c r="F1184" s="899"/>
      <c r="G1184" s="900"/>
      <c r="H1184" s="901"/>
      <c r="I1184" s="902"/>
      <c r="J1184" s="902"/>
      <c r="K1184" s="912" t="s">
        <v>274</v>
      </c>
      <c r="L1184" s="902"/>
      <c r="M1184" s="902"/>
      <c r="N1184" s="902"/>
      <c r="O1184" s="892">
        <f t="shared" si="72"/>
        <v>0</v>
      </c>
      <c r="P1184" s="903">
        <f t="shared" si="73"/>
        <v>1</v>
      </c>
      <c r="Q1184" s="893">
        <f t="shared" si="74"/>
        <v>5</v>
      </c>
      <c r="R1184" s="894">
        <f t="shared" si="75"/>
        <v>0</v>
      </c>
    </row>
    <row r="1185" spans="1:18">
      <c r="A1185" s="905"/>
      <c r="B1185" s="906"/>
      <c r="C1185" s="907">
        <v>66</v>
      </c>
      <c r="D1185" s="907" t="s">
        <v>279</v>
      </c>
      <c r="E1185" s="925" t="s">
        <v>2682</v>
      </c>
      <c r="F1185" s="926" t="s">
        <v>45</v>
      </c>
      <c r="G1185" s="910"/>
      <c r="H1185" s="911">
        <v>5.3999999999999999E-2</v>
      </c>
      <c r="I1185" s="912">
        <f>VLOOKUP(E1185,[3]VLP!$B$7:$K$300,10,0)</f>
        <v>5000</v>
      </c>
      <c r="J1185" s="912">
        <f>I1185*H1185</f>
        <v>270</v>
      </c>
      <c r="K1185" s="912" t="s">
        <v>274</v>
      </c>
      <c r="L1185" s="912"/>
      <c r="M1185" s="912"/>
      <c r="N1185" s="912"/>
      <c r="O1185" s="892">
        <f t="shared" si="72"/>
        <v>0</v>
      </c>
      <c r="P1185" s="903">
        <f t="shared" si="73"/>
        <v>1</v>
      </c>
      <c r="Q1185" s="893">
        <f t="shared" si="74"/>
        <v>4</v>
      </c>
      <c r="R1185" s="894">
        <f t="shared" si="75"/>
        <v>0</v>
      </c>
    </row>
    <row r="1186" spans="1:18">
      <c r="A1186" s="905"/>
      <c r="B1186" s="906"/>
      <c r="C1186" s="907">
        <v>44</v>
      </c>
      <c r="D1186" s="907" t="s">
        <v>279</v>
      </c>
      <c r="E1186" s="925" t="s">
        <v>2681</v>
      </c>
      <c r="F1186" s="926" t="s">
        <v>45</v>
      </c>
      <c r="G1186" s="910"/>
      <c r="H1186" s="911">
        <v>0.216</v>
      </c>
      <c r="I1186" s="912">
        <f>VLOOKUP(E1186,[3]VLP!$B$7:$K$300,10,0)</f>
        <v>23000</v>
      </c>
      <c r="J1186" s="912">
        <f>I1186*H1186</f>
        <v>4968</v>
      </c>
      <c r="K1186" s="912" t="s">
        <v>274</v>
      </c>
      <c r="L1186" s="912"/>
      <c r="M1186" s="912"/>
      <c r="N1186" s="912"/>
      <c r="O1186" s="892">
        <f t="shared" si="72"/>
        <v>0</v>
      </c>
      <c r="P1186" s="903">
        <f t="shared" si="73"/>
        <v>1</v>
      </c>
      <c r="Q1186" s="893">
        <f t="shared" si="74"/>
        <v>3</v>
      </c>
      <c r="R1186" s="894">
        <f t="shared" si="75"/>
        <v>0</v>
      </c>
    </row>
    <row r="1187" spans="1:18" s="904" customFormat="1">
      <c r="A1187" s="895"/>
      <c r="B1187" s="896"/>
      <c r="C1187" s="897"/>
      <c r="D1187" s="897"/>
      <c r="E1187" s="924" t="s">
        <v>276</v>
      </c>
      <c r="F1187" s="927"/>
      <c r="G1187" s="928"/>
      <c r="H1187" s="901"/>
      <c r="I1187" s="902"/>
      <c r="J1187" s="902"/>
      <c r="K1187" s="912" t="s">
        <v>274</v>
      </c>
      <c r="L1187" s="902"/>
      <c r="M1187" s="902"/>
      <c r="N1187" s="902"/>
      <c r="O1187" s="892">
        <f t="shared" si="72"/>
        <v>0</v>
      </c>
      <c r="P1187" s="903">
        <f t="shared" si="73"/>
        <v>1</v>
      </c>
      <c r="Q1187" s="893">
        <f t="shared" si="74"/>
        <v>2</v>
      </c>
      <c r="R1187" s="894">
        <f t="shared" si="75"/>
        <v>0</v>
      </c>
    </row>
    <row r="1188" spans="1:18">
      <c r="A1188" s="905"/>
      <c r="B1188" s="906"/>
      <c r="C1188" s="907">
        <v>740</v>
      </c>
      <c r="D1188" s="907" t="s">
        <v>12</v>
      </c>
      <c r="E1188" s="908" t="s">
        <v>4008</v>
      </c>
      <c r="F1188" s="909" t="s">
        <v>2674</v>
      </c>
      <c r="G1188" s="910"/>
      <c r="H1188" s="911">
        <v>1.27</v>
      </c>
      <c r="I1188" s="912"/>
      <c r="J1188" s="912"/>
      <c r="K1188" s="912">
        <f>VLOOKUP(E1188,ĐMNC!$A$7:$F$67,4,0)</f>
        <v>252714</v>
      </c>
      <c r="L1188" s="912">
        <f>H1188*K1188</f>
        <v>320946.78000000003</v>
      </c>
      <c r="M1188" s="912"/>
      <c r="N1188" s="912"/>
      <c r="O1188" s="892">
        <f t="shared" si="72"/>
        <v>0</v>
      </c>
      <c r="P1188" s="903">
        <f t="shared" si="73"/>
        <v>1</v>
      </c>
      <c r="Q1188" s="893">
        <f t="shared" si="74"/>
        <v>1</v>
      </c>
      <c r="R1188" s="894">
        <f t="shared" si="75"/>
        <v>0</v>
      </c>
    </row>
    <row r="1189" spans="1:18" s="847" customFormat="1" ht="31.5">
      <c r="A1189" s="905"/>
      <c r="B1189" s="914" t="s">
        <v>4323</v>
      </c>
      <c r="C1189" s="915"/>
      <c r="D1189" s="915"/>
      <c r="E1189" s="916" t="s">
        <v>4324</v>
      </c>
      <c r="F1189" s="917" t="s">
        <v>249</v>
      </c>
      <c r="G1189" s="918"/>
      <c r="H1189" s="919"/>
      <c r="I1189" s="920"/>
      <c r="J1189" s="891">
        <f>SUM(J1190:J1194)</f>
        <v>5238</v>
      </c>
      <c r="K1189" s="891"/>
      <c r="L1189" s="891">
        <f>SUM(L1190:L1194)</f>
        <v>336109.62</v>
      </c>
      <c r="M1189" s="891"/>
      <c r="N1189" s="891">
        <f>SUM(N1190:N1194)</f>
        <v>0</v>
      </c>
      <c r="O1189" s="892">
        <f t="shared" si="72"/>
        <v>1</v>
      </c>
      <c r="P1189" s="903">
        <f t="shared" si="73"/>
        <v>0</v>
      </c>
      <c r="Q1189" s="893">
        <f t="shared" si="74"/>
        <v>0</v>
      </c>
      <c r="R1189" s="894">
        <f t="shared" si="75"/>
        <v>5</v>
      </c>
    </row>
    <row r="1190" spans="1:18" s="904" customFormat="1">
      <c r="A1190" s="895"/>
      <c r="B1190" s="896"/>
      <c r="C1190" s="897"/>
      <c r="D1190" s="897"/>
      <c r="E1190" s="924" t="s">
        <v>108</v>
      </c>
      <c r="F1190" s="899"/>
      <c r="G1190" s="900"/>
      <c r="H1190" s="901"/>
      <c r="I1190" s="902"/>
      <c r="J1190" s="902"/>
      <c r="K1190" s="912" t="s">
        <v>274</v>
      </c>
      <c r="L1190" s="902"/>
      <c r="M1190" s="902"/>
      <c r="N1190" s="902"/>
      <c r="O1190" s="892">
        <f t="shared" si="72"/>
        <v>0</v>
      </c>
      <c r="P1190" s="903">
        <f t="shared" si="73"/>
        <v>1</v>
      </c>
      <c r="Q1190" s="893">
        <f t="shared" si="74"/>
        <v>5</v>
      </c>
      <c r="R1190" s="894">
        <f t="shared" si="75"/>
        <v>0</v>
      </c>
    </row>
    <row r="1191" spans="1:18">
      <c r="A1191" s="905"/>
      <c r="B1191" s="906"/>
      <c r="C1191" s="907">
        <v>66</v>
      </c>
      <c r="D1191" s="907" t="s">
        <v>279</v>
      </c>
      <c r="E1191" s="925" t="s">
        <v>2682</v>
      </c>
      <c r="F1191" s="926" t="s">
        <v>45</v>
      </c>
      <c r="G1191" s="910"/>
      <c r="H1191" s="911">
        <v>5.3999999999999999E-2</v>
      </c>
      <c r="I1191" s="912">
        <f>VLOOKUP(E1191,[3]VLP!$B$7:$K$300,10,0)</f>
        <v>5000</v>
      </c>
      <c r="J1191" s="912">
        <f>I1191*H1191</f>
        <v>270</v>
      </c>
      <c r="K1191" s="912" t="s">
        <v>274</v>
      </c>
      <c r="L1191" s="912"/>
      <c r="M1191" s="912"/>
      <c r="N1191" s="912"/>
      <c r="O1191" s="892">
        <f t="shared" si="72"/>
        <v>0</v>
      </c>
      <c r="P1191" s="903">
        <f t="shared" si="73"/>
        <v>1</v>
      </c>
      <c r="Q1191" s="893">
        <f t="shared" si="74"/>
        <v>4</v>
      </c>
      <c r="R1191" s="894">
        <f t="shared" si="75"/>
        <v>0</v>
      </c>
    </row>
    <row r="1192" spans="1:18">
      <c r="A1192" s="905"/>
      <c r="B1192" s="906"/>
      <c r="C1192" s="907">
        <v>44</v>
      </c>
      <c r="D1192" s="907" t="s">
        <v>279</v>
      </c>
      <c r="E1192" s="925" t="s">
        <v>2681</v>
      </c>
      <c r="F1192" s="926" t="s">
        <v>45</v>
      </c>
      <c r="G1192" s="910"/>
      <c r="H1192" s="911">
        <v>0.216</v>
      </c>
      <c r="I1192" s="912">
        <f>VLOOKUP(E1192,[3]VLP!$B$7:$K$300,10,0)</f>
        <v>23000</v>
      </c>
      <c r="J1192" s="912">
        <f>I1192*H1192</f>
        <v>4968</v>
      </c>
      <c r="K1192" s="912" t="s">
        <v>274</v>
      </c>
      <c r="L1192" s="912"/>
      <c r="M1192" s="912"/>
      <c r="N1192" s="912"/>
      <c r="O1192" s="892">
        <f t="shared" si="72"/>
        <v>0</v>
      </c>
      <c r="P1192" s="903">
        <f t="shared" si="73"/>
        <v>1</v>
      </c>
      <c r="Q1192" s="893">
        <f t="shared" si="74"/>
        <v>3</v>
      </c>
      <c r="R1192" s="894">
        <f t="shared" si="75"/>
        <v>0</v>
      </c>
    </row>
    <row r="1193" spans="1:18" s="904" customFormat="1">
      <c r="A1193" s="895"/>
      <c r="B1193" s="896"/>
      <c r="C1193" s="897"/>
      <c r="D1193" s="897"/>
      <c r="E1193" s="924" t="s">
        <v>276</v>
      </c>
      <c r="F1193" s="927"/>
      <c r="G1193" s="928"/>
      <c r="H1193" s="901"/>
      <c r="I1193" s="902"/>
      <c r="J1193" s="902"/>
      <c r="K1193" s="912" t="s">
        <v>274</v>
      </c>
      <c r="L1193" s="902"/>
      <c r="M1193" s="902"/>
      <c r="N1193" s="902"/>
      <c r="O1193" s="892">
        <f t="shared" si="72"/>
        <v>0</v>
      </c>
      <c r="P1193" s="903">
        <f t="shared" si="73"/>
        <v>1</v>
      </c>
      <c r="Q1193" s="893">
        <f t="shared" si="74"/>
        <v>2</v>
      </c>
      <c r="R1193" s="894">
        <f t="shared" si="75"/>
        <v>0</v>
      </c>
    </row>
    <row r="1194" spans="1:18">
      <c r="A1194" s="905"/>
      <c r="B1194" s="906"/>
      <c r="C1194" s="907">
        <v>740</v>
      </c>
      <c r="D1194" s="907" t="s">
        <v>12</v>
      </c>
      <c r="E1194" s="908" t="s">
        <v>4008</v>
      </c>
      <c r="F1194" s="909" t="s">
        <v>2674</v>
      </c>
      <c r="G1194" s="910"/>
      <c r="H1194" s="911">
        <v>1.33</v>
      </c>
      <c r="I1194" s="912"/>
      <c r="J1194" s="912"/>
      <c r="K1194" s="912">
        <f>VLOOKUP(E1194,ĐMNC!$A$7:$F$67,4,0)</f>
        <v>252714</v>
      </c>
      <c r="L1194" s="912">
        <f>H1194*K1194</f>
        <v>336109.62</v>
      </c>
      <c r="M1194" s="912"/>
      <c r="N1194" s="912"/>
      <c r="O1194" s="892">
        <f t="shared" si="72"/>
        <v>0</v>
      </c>
      <c r="P1194" s="903">
        <f t="shared" si="73"/>
        <v>1</v>
      </c>
      <c r="Q1194" s="893">
        <f t="shared" si="74"/>
        <v>1</v>
      </c>
      <c r="R1194" s="894">
        <f t="shared" si="75"/>
        <v>0</v>
      </c>
    </row>
    <row r="1195" spans="1:18" s="847" customFormat="1" ht="31.5">
      <c r="A1195" s="905"/>
      <c r="B1195" s="914" t="s">
        <v>4325</v>
      </c>
      <c r="C1195" s="915"/>
      <c r="D1195" s="915"/>
      <c r="E1195" s="916" t="s">
        <v>4326</v>
      </c>
      <c r="F1195" s="917" t="s">
        <v>249</v>
      </c>
      <c r="G1195" s="918"/>
      <c r="H1195" s="919"/>
      <c r="I1195" s="920"/>
      <c r="J1195" s="891">
        <f>SUM(J1196:J1200)</f>
        <v>5238</v>
      </c>
      <c r="K1195" s="891"/>
      <c r="L1195" s="891">
        <f>SUM(L1196:L1200)</f>
        <v>366435.3</v>
      </c>
      <c r="M1195" s="891"/>
      <c r="N1195" s="891">
        <f>SUM(N1196:N1200)</f>
        <v>0</v>
      </c>
      <c r="O1195" s="892">
        <f t="shared" si="72"/>
        <v>1</v>
      </c>
      <c r="P1195" s="903">
        <f t="shared" si="73"/>
        <v>0</v>
      </c>
      <c r="Q1195" s="893">
        <f t="shared" si="74"/>
        <v>0</v>
      </c>
      <c r="R1195" s="894">
        <f t="shared" si="75"/>
        <v>5</v>
      </c>
    </row>
    <row r="1196" spans="1:18" s="904" customFormat="1">
      <c r="A1196" s="895"/>
      <c r="B1196" s="896"/>
      <c r="C1196" s="897"/>
      <c r="D1196" s="897"/>
      <c r="E1196" s="924" t="s">
        <v>108</v>
      </c>
      <c r="F1196" s="899"/>
      <c r="G1196" s="900"/>
      <c r="H1196" s="901"/>
      <c r="I1196" s="902"/>
      <c r="J1196" s="902"/>
      <c r="K1196" s="912" t="s">
        <v>274</v>
      </c>
      <c r="L1196" s="902"/>
      <c r="M1196" s="902"/>
      <c r="N1196" s="902"/>
      <c r="O1196" s="892">
        <f t="shared" si="72"/>
        <v>0</v>
      </c>
      <c r="P1196" s="903">
        <f t="shared" si="73"/>
        <v>1</v>
      </c>
      <c r="Q1196" s="893">
        <f t="shared" si="74"/>
        <v>5</v>
      </c>
      <c r="R1196" s="894">
        <f t="shared" si="75"/>
        <v>0</v>
      </c>
    </row>
    <row r="1197" spans="1:18">
      <c r="A1197" s="905"/>
      <c r="B1197" s="906"/>
      <c r="C1197" s="907">
        <v>66</v>
      </c>
      <c r="D1197" s="907" t="s">
        <v>279</v>
      </c>
      <c r="E1197" s="925" t="s">
        <v>2682</v>
      </c>
      <c r="F1197" s="926" t="s">
        <v>45</v>
      </c>
      <c r="G1197" s="910"/>
      <c r="H1197" s="911">
        <v>5.3999999999999999E-2</v>
      </c>
      <c r="I1197" s="912">
        <f>VLOOKUP(E1197,[3]VLP!$B$7:$K$300,10,0)</f>
        <v>5000</v>
      </c>
      <c r="J1197" s="912">
        <f>I1197*H1197</f>
        <v>270</v>
      </c>
      <c r="K1197" s="912" t="s">
        <v>274</v>
      </c>
      <c r="L1197" s="912"/>
      <c r="M1197" s="912"/>
      <c r="N1197" s="912"/>
      <c r="O1197" s="892">
        <f t="shared" si="72"/>
        <v>0</v>
      </c>
      <c r="P1197" s="903">
        <f t="shared" si="73"/>
        <v>1</v>
      </c>
      <c r="Q1197" s="893">
        <f t="shared" si="74"/>
        <v>4</v>
      </c>
      <c r="R1197" s="894">
        <f t="shared" si="75"/>
        <v>0</v>
      </c>
    </row>
    <row r="1198" spans="1:18">
      <c r="A1198" s="905"/>
      <c r="B1198" s="906"/>
      <c r="C1198" s="907">
        <v>44</v>
      </c>
      <c r="D1198" s="907" t="s">
        <v>279</v>
      </c>
      <c r="E1198" s="925" t="s">
        <v>2681</v>
      </c>
      <c r="F1198" s="926" t="s">
        <v>45</v>
      </c>
      <c r="G1198" s="910"/>
      <c r="H1198" s="911">
        <v>0.216</v>
      </c>
      <c r="I1198" s="912">
        <f>VLOOKUP(E1198,[3]VLP!$B$7:$K$300,10,0)</f>
        <v>23000</v>
      </c>
      <c r="J1198" s="912">
        <f>I1198*H1198</f>
        <v>4968</v>
      </c>
      <c r="K1198" s="912" t="s">
        <v>274</v>
      </c>
      <c r="L1198" s="912"/>
      <c r="M1198" s="912"/>
      <c r="N1198" s="912"/>
      <c r="O1198" s="892">
        <f t="shared" si="72"/>
        <v>0</v>
      </c>
      <c r="P1198" s="903">
        <f t="shared" si="73"/>
        <v>1</v>
      </c>
      <c r="Q1198" s="893">
        <f t="shared" si="74"/>
        <v>3</v>
      </c>
      <c r="R1198" s="894">
        <f t="shared" si="75"/>
        <v>0</v>
      </c>
    </row>
    <row r="1199" spans="1:18" s="904" customFormat="1">
      <c r="A1199" s="895"/>
      <c r="B1199" s="896"/>
      <c r="C1199" s="897"/>
      <c r="D1199" s="897"/>
      <c r="E1199" s="924" t="s">
        <v>276</v>
      </c>
      <c r="F1199" s="927"/>
      <c r="G1199" s="928"/>
      <c r="H1199" s="901"/>
      <c r="I1199" s="902"/>
      <c r="J1199" s="902"/>
      <c r="K1199" s="912" t="s">
        <v>274</v>
      </c>
      <c r="L1199" s="902"/>
      <c r="M1199" s="902"/>
      <c r="N1199" s="902"/>
      <c r="O1199" s="892">
        <f t="shared" si="72"/>
        <v>0</v>
      </c>
      <c r="P1199" s="903">
        <f t="shared" si="73"/>
        <v>1</v>
      </c>
      <c r="Q1199" s="893">
        <f t="shared" si="74"/>
        <v>2</v>
      </c>
      <c r="R1199" s="894">
        <f t="shared" si="75"/>
        <v>0</v>
      </c>
    </row>
    <row r="1200" spans="1:18">
      <c r="A1200" s="905"/>
      <c r="B1200" s="906"/>
      <c r="C1200" s="907">
        <v>740</v>
      </c>
      <c r="D1200" s="907" t="s">
        <v>12</v>
      </c>
      <c r="E1200" s="908" t="s">
        <v>4008</v>
      </c>
      <c r="F1200" s="909" t="s">
        <v>2674</v>
      </c>
      <c r="G1200" s="910"/>
      <c r="H1200" s="911">
        <v>1.45</v>
      </c>
      <c r="I1200" s="912"/>
      <c r="J1200" s="912"/>
      <c r="K1200" s="912">
        <f>VLOOKUP(E1200,ĐMNC!$A$7:$F$67,4,0)</f>
        <v>252714</v>
      </c>
      <c r="L1200" s="912">
        <f>H1200*K1200</f>
        <v>366435.3</v>
      </c>
      <c r="M1200" s="912"/>
      <c r="N1200" s="912"/>
      <c r="O1200" s="892">
        <f t="shared" si="72"/>
        <v>0</v>
      </c>
      <c r="P1200" s="903">
        <f t="shared" si="73"/>
        <v>1</v>
      </c>
      <c r="Q1200" s="893">
        <f t="shared" si="74"/>
        <v>1</v>
      </c>
      <c r="R1200" s="894">
        <f t="shared" si="75"/>
        <v>0</v>
      </c>
    </row>
    <row r="1201" spans="1:18" s="847" customFormat="1" ht="31.5">
      <c r="A1201" s="905"/>
      <c r="B1201" s="914" t="s">
        <v>4327</v>
      </c>
      <c r="C1201" s="915"/>
      <c r="D1201" s="915"/>
      <c r="E1201" s="916" t="s">
        <v>4328</v>
      </c>
      <c r="F1201" s="917" t="s">
        <v>249</v>
      </c>
      <c r="G1201" s="918"/>
      <c r="H1201" s="919"/>
      <c r="I1201" s="920"/>
      <c r="J1201" s="891">
        <f>SUM(J1202:J1206)</f>
        <v>5238</v>
      </c>
      <c r="K1201" s="891"/>
      <c r="L1201" s="891">
        <f>SUM(L1202:L1206)</f>
        <v>424559.51999999996</v>
      </c>
      <c r="M1201" s="891"/>
      <c r="N1201" s="891">
        <f>SUM(N1202:N1206)</f>
        <v>0</v>
      </c>
      <c r="O1201" s="892">
        <f t="shared" si="72"/>
        <v>1</v>
      </c>
      <c r="P1201" s="903">
        <f t="shared" si="73"/>
        <v>0</v>
      </c>
      <c r="Q1201" s="893">
        <f t="shared" si="74"/>
        <v>0</v>
      </c>
      <c r="R1201" s="894">
        <f t="shared" si="75"/>
        <v>5</v>
      </c>
    </row>
    <row r="1202" spans="1:18" s="904" customFormat="1">
      <c r="A1202" s="895"/>
      <c r="B1202" s="896"/>
      <c r="C1202" s="897"/>
      <c r="D1202" s="897"/>
      <c r="E1202" s="924" t="s">
        <v>108</v>
      </c>
      <c r="F1202" s="899"/>
      <c r="G1202" s="900"/>
      <c r="H1202" s="901"/>
      <c r="I1202" s="902"/>
      <c r="J1202" s="902"/>
      <c r="K1202" s="912" t="s">
        <v>274</v>
      </c>
      <c r="L1202" s="902"/>
      <c r="M1202" s="902"/>
      <c r="N1202" s="902"/>
      <c r="O1202" s="892">
        <f t="shared" si="72"/>
        <v>0</v>
      </c>
      <c r="P1202" s="903">
        <f t="shared" si="73"/>
        <v>1</v>
      </c>
      <c r="Q1202" s="893">
        <f t="shared" si="74"/>
        <v>5</v>
      </c>
      <c r="R1202" s="894">
        <f t="shared" si="75"/>
        <v>0</v>
      </c>
    </row>
    <row r="1203" spans="1:18">
      <c r="A1203" s="905"/>
      <c r="B1203" s="906"/>
      <c r="C1203" s="907">
        <v>66</v>
      </c>
      <c r="D1203" s="907" t="s">
        <v>279</v>
      </c>
      <c r="E1203" s="925" t="s">
        <v>2682</v>
      </c>
      <c r="F1203" s="926" t="s">
        <v>45</v>
      </c>
      <c r="G1203" s="910"/>
      <c r="H1203" s="911">
        <v>5.3999999999999999E-2</v>
      </c>
      <c r="I1203" s="912">
        <f>VLOOKUP(E1203,[3]VLP!$B$7:$K$300,10,0)</f>
        <v>5000</v>
      </c>
      <c r="J1203" s="912">
        <f>I1203*H1203</f>
        <v>270</v>
      </c>
      <c r="K1203" s="912" t="s">
        <v>274</v>
      </c>
      <c r="L1203" s="912"/>
      <c r="M1203" s="912"/>
      <c r="N1203" s="912"/>
      <c r="O1203" s="892">
        <f t="shared" si="72"/>
        <v>0</v>
      </c>
      <c r="P1203" s="903">
        <f t="shared" si="73"/>
        <v>1</v>
      </c>
      <c r="Q1203" s="893">
        <f t="shared" si="74"/>
        <v>4</v>
      </c>
      <c r="R1203" s="894">
        <f t="shared" si="75"/>
        <v>0</v>
      </c>
    </row>
    <row r="1204" spans="1:18">
      <c r="A1204" s="905"/>
      <c r="B1204" s="906"/>
      <c r="C1204" s="907">
        <v>44</v>
      </c>
      <c r="D1204" s="907" t="s">
        <v>279</v>
      </c>
      <c r="E1204" s="925" t="s">
        <v>2681</v>
      </c>
      <c r="F1204" s="926" t="s">
        <v>45</v>
      </c>
      <c r="G1204" s="910"/>
      <c r="H1204" s="911">
        <v>0.216</v>
      </c>
      <c r="I1204" s="912">
        <f>VLOOKUP(E1204,[3]VLP!$B$7:$K$300,10,0)</f>
        <v>23000</v>
      </c>
      <c r="J1204" s="912">
        <f>I1204*H1204</f>
        <v>4968</v>
      </c>
      <c r="K1204" s="912" t="s">
        <v>274</v>
      </c>
      <c r="L1204" s="912"/>
      <c r="M1204" s="912"/>
      <c r="N1204" s="912"/>
      <c r="O1204" s="892">
        <f t="shared" si="72"/>
        <v>0</v>
      </c>
      <c r="P1204" s="903">
        <f t="shared" si="73"/>
        <v>1</v>
      </c>
      <c r="Q1204" s="893">
        <f t="shared" si="74"/>
        <v>3</v>
      </c>
      <c r="R1204" s="894">
        <f t="shared" si="75"/>
        <v>0</v>
      </c>
    </row>
    <row r="1205" spans="1:18" s="904" customFormat="1">
      <c r="A1205" s="895"/>
      <c r="B1205" s="896"/>
      <c r="C1205" s="897"/>
      <c r="D1205" s="897"/>
      <c r="E1205" s="924" t="s">
        <v>276</v>
      </c>
      <c r="F1205" s="927"/>
      <c r="G1205" s="928"/>
      <c r="H1205" s="901"/>
      <c r="I1205" s="902"/>
      <c r="J1205" s="902"/>
      <c r="K1205" s="912" t="s">
        <v>274</v>
      </c>
      <c r="L1205" s="902"/>
      <c r="M1205" s="902"/>
      <c r="N1205" s="902"/>
      <c r="O1205" s="892">
        <f t="shared" si="72"/>
        <v>0</v>
      </c>
      <c r="P1205" s="903">
        <f t="shared" si="73"/>
        <v>1</v>
      </c>
      <c r="Q1205" s="893">
        <f t="shared" si="74"/>
        <v>2</v>
      </c>
      <c r="R1205" s="894">
        <f t="shared" si="75"/>
        <v>0</v>
      </c>
    </row>
    <row r="1206" spans="1:18">
      <c r="A1206" s="905"/>
      <c r="B1206" s="906"/>
      <c r="C1206" s="907">
        <v>740</v>
      </c>
      <c r="D1206" s="907" t="s">
        <v>12</v>
      </c>
      <c r="E1206" s="908" t="s">
        <v>4008</v>
      </c>
      <c r="F1206" s="909" t="s">
        <v>2674</v>
      </c>
      <c r="G1206" s="910"/>
      <c r="H1206" s="911">
        <v>1.68</v>
      </c>
      <c r="I1206" s="912"/>
      <c r="J1206" s="912"/>
      <c r="K1206" s="912">
        <f>VLOOKUP(E1206,ĐMNC!$A$7:$F$67,4,0)</f>
        <v>252714</v>
      </c>
      <c r="L1206" s="912">
        <f>H1206*K1206</f>
        <v>424559.51999999996</v>
      </c>
      <c r="M1206" s="912"/>
      <c r="N1206" s="912"/>
      <c r="O1206" s="892">
        <f t="shared" si="72"/>
        <v>0</v>
      </c>
      <c r="P1206" s="903">
        <f t="shared" si="73"/>
        <v>1</v>
      </c>
      <c r="Q1206" s="893">
        <f t="shared" si="74"/>
        <v>1</v>
      </c>
      <c r="R1206" s="894">
        <f t="shared" si="75"/>
        <v>0</v>
      </c>
    </row>
    <row r="1207" spans="1:18" s="847" customFormat="1" ht="31.5">
      <c r="A1207" s="905"/>
      <c r="B1207" s="914" t="s">
        <v>4329</v>
      </c>
      <c r="C1207" s="915"/>
      <c r="D1207" s="915"/>
      <c r="E1207" s="916" t="s">
        <v>4330</v>
      </c>
      <c r="F1207" s="917" t="s">
        <v>249</v>
      </c>
      <c r="G1207" s="918"/>
      <c r="H1207" s="919"/>
      <c r="I1207" s="920"/>
      <c r="J1207" s="891">
        <f>SUM(J1208:J1212)</f>
        <v>5238</v>
      </c>
      <c r="K1207" s="891"/>
      <c r="L1207" s="891">
        <f>SUM(L1208:L1212)</f>
        <v>464993.76</v>
      </c>
      <c r="M1207" s="891"/>
      <c r="N1207" s="891">
        <f>SUM(N1208:N1212)</f>
        <v>0</v>
      </c>
      <c r="O1207" s="892">
        <f t="shared" si="72"/>
        <v>1</v>
      </c>
      <c r="P1207" s="903">
        <f t="shared" si="73"/>
        <v>0</v>
      </c>
      <c r="Q1207" s="893">
        <f t="shared" si="74"/>
        <v>0</v>
      </c>
      <c r="R1207" s="894">
        <f t="shared" si="75"/>
        <v>5</v>
      </c>
    </row>
    <row r="1208" spans="1:18" s="904" customFormat="1">
      <c r="A1208" s="895"/>
      <c r="B1208" s="896"/>
      <c r="C1208" s="897"/>
      <c r="D1208" s="897"/>
      <c r="E1208" s="924" t="s">
        <v>108</v>
      </c>
      <c r="F1208" s="899"/>
      <c r="G1208" s="900"/>
      <c r="H1208" s="901"/>
      <c r="I1208" s="902"/>
      <c r="J1208" s="902"/>
      <c r="K1208" s="912" t="s">
        <v>274</v>
      </c>
      <c r="L1208" s="902"/>
      <c r="M1208" s="902"/>
      <c r="N1208" s="902"/>
      <c r="O1208" s="892">
        <f t="shared" si="72"/>
        <v>0</v>
      </c>
      <c r="P1208" s="903">
        <f t="shared" si="73"/>
        <v>1</v>
      </c>
      <c r="Q1208" s="893">
        <f t="shared" si="74"/>
        <v>5</v>
      </c>
      <c r="R1208" s="894">
        <f t="shared" si="75"/>
        <v>0</v>
      </c>
    </row>
    <row r="1209" spans="1:18">
      <c r="A1209" s="905"/>
      <c r="B1209" s="906"/>
      <c r="C1209" s="907">
        <v>66</v>
      </c>
      <c r="D1209" s="907" t="s">
        <v>279</v>
      </c>
      <c r="E1209" s="925" t="s">
        <v>2682</v>
      </c>
      <c r="F1209" s="926" t="s">
        <v>45</v>
      </c>
      <c r="G1209" s="910"/>
      <c r="H1209" s="911">
        <v>5.3999999999999999E-2</v>
      </c>
      <c r="I1209" s="912">
        <f>VLOOKUP(E1209,[3]VLP!$B$7:$K$300,10,0)</f>
        <v>5000</v>
      </c>
      <c r="J1209" s="912">
        <f>I1209*H1209</f>
        <v>270</v>
      </c>
      <c r="K1209" s="912" t="s">
        <v>274</v>
      </c>
      <c r="L1209" s="912"/>
      <c r="M1209" s="912"/>
      <c r="N1209" s="912"/>
      <c r="O1209" s="892">
        <f t="shared" si="72"/>
        <v>0</v>
      </c>
      <c r="P1209" s="903">
        <f t="shared" si="73"/>
        <v>1</v>
      </c>
      <c r="Q1209" s="893">
        <f t="shared" si="74"/>
        <v>4</v>
      </c>
      <c r="R1209" s="894">
        <f t="shared" si="75"/>
        <v>0</v>
      </c>
    </row>
    <row r="1210" spans="1:18">
      <c r="A1210" s="905"/>
      <c r="B1210" s="906"/>
      <c r="C1210" s="907">
        <v>44</v>
      </c>
      <c r="D1210" s="907" t="s">
        <v>279</v>
      </c>
      <c r="E1210" s="925" t="s">
        <v>2681</v>
      </c>
      <c r="F1210" s="926" t="s">
        <v>45</v>
      </c>
      <c r="G1210" s="910"/>
      <c r="H1210" s="911">
        <v>0.216</v>
      </c>
      <c r="I1210" s="912">
        <f>VLOOKUP(E1210,[3]VLP!$B$7:$K$300,10,0)</f>
        <v>23000</v>
      </c>
      <c r="J1210" s="912">
        <f>I1210*H1210</f>
        <v>4968</v>
      </c>
      <c r="K1210" s="912" t="s">
        <v>274</v>
      </c>
      <c r="L1210" s="912"/>
      <c r="M1210" s="912"/>
      <c r="N1210" s="912"/>
      <c r="O1210" s="892">
        <f t="shared" si="72"/>
        <v>0</v>
      </c>
      <c r="P1210" s="903">
        <f t="shared" si="73"/>
        <v>1</v>
      </c>
      <c r="Q1210" s="893">
        <f t="shared" si="74"/>
        <v>3</v>
      </c>
      <c r="R1210" s="894">
        <f t="shared" si="75"/>
        <v>0</v>
      </c>
    </row>
    <row r="1211" spans="1:18" s="904" customFormat="1">
      <c r="A1211" s="895"/>
      <c r="B1211" s="896"/>
      <c r="C1211" s="897"/>
      <c r="D1211" s="897"/>
      <c r="E1211" s="924" t="s">
        <v>276</v>
      </c>
      <c r="F1211" s="927"/>
      <c r="G1211" s="928"/>
      <c r="H1211" s="901"/>
      <c r="I1211" s="902"/>
      <c r="J1211" s="902"/>
      <c r="K1211" s="912" t="s">
        <v>274</v>
      </c>
      <c r="L1211" s="902"/>
      <c r="M1211" s="902"/>
      <c r="N1211" s="902"/>
      <c r="O1211" s="892">
        <f t="shared" si="72"/>
        <v>0</v>
      </c>
      <c r="P1211" s="903">
        <f t="shared" si="73"/>
        <v>1</v>
      </c>
      <c r="Q1211" s="893">
        <f t="shared" si="74"/>
        <v>2</v>
      </c>
      <c r="R1211" s="894">
        <f t="shared" si="75"/>
        <v>0</v>
      </c>
    </row>
    <row r="1212" spans="1:18">
      <c r="A1212" s="905"/>
      <c r="B1212" s="906"/>
      <c r="C1212" s="907">
        <v>740</v>
      </c>
      <c r="D1212" s="907" t="s">
        <v>12</v>
      </c>
      <c r="E1212" s="908" t="s">
        <v>4008</v>
      </c>
      <c r="F1212" s="909" t="s">
        <v>2674</v>
      </c>
      <c r="G1212" s="910"/>
      <c r="H1212" s="911">
        <v>1.84</v>
      </c>
      <c r="I1212" s="912"/>
      <c r="J1212" s="912"/>
      <c r="K1212" s="912">
        <f>VLOOKUP(E1212,ĐMNC!$A$7:$F$67,4,0)</f>
        <v>252714</v>
      </c>
      <c r="L1212" s="912">
        <f>H1212*K1212</f>
        <v>464993.76</v>
      </c>
      <c r="M1212" s="912"/>
      <c r="N1212" s="912"/>
      <c r="O1212" s="892">
        <f t="shared" si="72"/>
        <v>0</v>
      </c>
      <c r="P1212" s="903">
        <f t="shared" si="73"/>
        <v>1</v>
      </c>
      <c r="Q1212" s="893">
        <f t="shared" si="74"/>
        <v>1</v>
      </c>
      <c r="R1212" s="894">
        <f t="shared" si="75"/>
        <v>0</v>
      </c>
    </row>
    <row r="1213" spans="1:18" s="847" customFormat="1" ht="31.5">
      <c r="A1213" s="905"/>
      <c r="B1213" s="914" t="s">
        <v>4331</v>
      </c>
      <c r="C1213" s="915"/>
      <c r="D1213" s="915"/>
      <c r="E1213" s="916" t="s">
        <v>4332</v>
      </c>
      <c r="F1213" s="917" t="s">
        <v>249</v>
      </c>
      <c r="G1213" s="918"/>
      <c r="H1213" s="919"/>
      <c r="I1213" s="920"/>
      <c r="J1213" s="891">
        <f>SUM(J1214:J1218)</f>
        <v>5238</v>
      </c>
      <c r="K1213" s="891"/>
      <c r="L1213" s="891">
        <f>SUM(L1214:L1218)</f>
        <v>510482.28</v>
      </c>
      <c r="M1213" s="891"/>
      <c r="N1213" s="891">
        <f>SUM(N1214:N1218)</f>
        <v>0</v>
      </c>
      <c r="O1213" s="892">
        <f t="shared" si="72"/>
        <v>1</v>
      </c>
      <c r="P1213" s="903">
        <f t="shared" si="73"/>
        <v>0</v>
      </c>
      <c r="Q1213" s="893">
        <f t="shared" si="74"/>
        <v>0</v>
      </c>
      <c r="R1213" s="894">
        <f t="shared" si="75"/>
        <v>5</v>
      </c>
    </row>
    <row r="1214" spans="1:18" s="904" customFormat="1">
      <c r="A1214" s="895"/>
      <c r="B1214" s="896"/>
      <c r="C1214" s="897"/>
      <c r="D1214" s="897"/>
      <c r="E1214" s="924" t="s">
        <v>108</v>
      </c>
      <c r="F1214" s="899"/>
      <c r="G1214" s="900"/>
      <c r="H1214" s="901"/>
      <c r="I1214" s="902"/>
      <c r="J1214" s="902"/>
      <c r="K1214" s="912" t="s">
        <v>274</v>
      </c>
      <c r="L1214" s="902"/>
      <c r="M1214" s="902"/>
      <c r="N1214" s="902"/>
      <c r="O1214" s="892">
        <f t="shared" si="72"/>
        <v>0</v>
      </c>
      <c r="P1214" s="903">
        <f t="shared" si="73"/>
        <v>1</v>
      </c>
      <c r="Q1214" s="893">
        <f t="shared" si="74"/>
        <v>5</v>
      </c>
      <c r="R1214" s="894">
        <f t="shared" si="75"/>
        <v>0</v>
      </c>
    </row>
    <row r="1215" spans="1:18">
      <c r="A1215" s="905"/>
      <c r="B1215" s="906"/>
      <c r="C1215" s="907">
        <v>66</v>
      </c>
      <c r="D1215" s="907" t="s">
        <v>279</v>
      </c>
      <c r="E1215" s="925" t="s">
        <v>2682</v>
      </c>
      <c r="F1215" s="926" t="s">
        <v>45</v>
      </c>
      <c r="G1215" s="910"/>
      <c r="H1215" s="911">
        <v>5.3999999999999999E-2</v>
      </c>
      <c r="I1215" s="912">
        <f>VLOOKUP(E1215,[3]VLP!$B$7:$K$300,10,0)</f>
        <v>5000</v>
      </c>
      <c r="J1215" s="912">
        <f>I1215*H1215</f>
        <v>270</v>
      </c>
      <c r="K1215" s="912" t="s">
        <v>274</v>
      </c>
      <c r="L1215" s="912"/>
      <c r="M1215" s="912"/>
      <c r="N1215" s="912"/>
      <c r="O1215" s="892">
        <f t="shared" si="72"/>
        <v>0</v>
      </c>
      <c r="P1215" s="903">
        <f t="shared" si="73"/>
        <v>1</v>
      </c>
      <c r="Q1215" s="893">
        <f t="shared" si="74"/>
        <v>4</v>
      </c>
      <c r="R1215" s="894">
        <f t="shared" si="75"/>
        <v>0</v>
      </c>
    </row>
    <row r="1216" spans="1:18">
      <c r="A1216" s="905"/>
      <c r="B1216" s="906"/>
      <c r="C1216" s="907">
        <v>44</v>
      </c>
      <c r="D1216" s="907" t="s">
        <v>279</v>
      </c>
      <c r="E1216" s="925" t="s">
        <v>2681</v>
      </c>
      <c r="F1216" s="926" t="s">
        <v>45</v>
      </c>
      <c r="G1216" s="910"/>
      <c r="H1216" s="911">
        <v>0.216</v>
      </c>
      <c r="I1216" s="912">
        <f>VLOOKUP(E1216,[3]VLP!$B$7:$K$300,10,0)</f>
        <v>23000</v>
      </c>
      <c r="J1216" s="912">
        <f>I1216*H1216</f>
        <v>4968</v>
      </c>
      <c r="K1216" s="912" t="s">
        <v>274</v>
      </c>
      <c r="L1216" s="912"/>
      <c r="M1216" s="912"/>
      <c r="N1216" s="912"/>
      <c r="O1216" s="892">
        <f t="shared" si="72"/>
        <v>0</v>
      </c>
      <c r="P1216" s="903">
        <f t="shared" si="73"/>
        <v>1</v>
      </c>
      <c r="Q1216" s="893">
        <f t="shared" si="74"/>
        <v>3</v>
      </c>
      <c r="R1216" s="894">
        <f t="shared" si="75"/>
        <v>0</v>
      </c>
    </row>
    <row r="1217" spans="1:18" s="904" customFormat="1">
      <c r="A1217" s="895"/>
      <c r="B1217" s="896"/>
      <c r="C1217" s="897"/>
      <c r="D1217" s="897"/>
      <c r="E1217" s="924" t="s">
        <v>276</v>
      </c>
      <c r="F1217" s="927"/>
      <c r="G1217" s="928"/>
      <c r="H1217" s="901"/>
      <c r="I1217" s="902"/>
      <c r="J1217" s="902"/>
      <c r="K1217" s="912" t="s">
        <v>274</v>
      </c>
      <c r="L1217" s="902"/>
      <c r="M1217" s="902"/>
      <c r="N1217" s="902"/>
      <c r="O1217" s="892">
        <f t="shared" si="72"/>
        <v>0</v>
      </c>
      <c r="P1217" s="903">
        <f t="shared" si="73"/>
        <v>1</v>
      </c>
      <c r="Q1217" s="893">
        <f t="shared" si="74"/>
        <v>2</v>
      </c>
      <c r="R1217" s="894">
        <f t="shared" si="75"/>
        <v>0</v>
      </c>
    </row>
    <row r="1218" spans="1:18">
      <c r="A1218" s="905"/>
      <c r="B1218" s="906"/>
      <c r="C1218" s="907">
        <v>740</v>
      </c>
      <c r="D1218" s="907" t="s">
        <v>12</v>
      </c>
      <c r="E1218" s="908" t="s">
        <v>4008</v>
      </c>
      <c r="F1218" s="909" t="s">
        <v>2674</v>
      </c>
      <c r="G1218" s="910"/>
      <c r="H1218" s="911">
        <v>2.02</v>
      </c>
      <c r="I1218" s="912"/>
      <c r="J1218" s="912"/>
      <c r="K1218" s="912">
        <f>VLOOKUP(E1218,ĐMNC!$A$7:$F$67,4,0)</f>
        <v>252714</v>
      </c>
      <c r="L1218" s="912">
        <f>H1218*K1218</f>
        <v>510482.28</v>
      </c>
      <c r="M1218" s="912"/>
      <c r="N1218" s="912"/>
      <c r="O1218" s="892">
        <f t="shared" si="72"/>
        <v>0</v>
      </c>
      <c r="P1218" s="903">
        <f t="shared" si="73"/>
        <v>1</v>
      </c>
      <c r="Q1218" s="893">
        <f t="shared" si="74"/>
        <v>1</v>
      </c>
      <c r="R1218" s="894">
        <f t="shared" si="75"/>
        <v>0</v>
      </c>
    </row>
    <row r="1219" spans="1:18" s="847" customFormat="1" ht="31.5">
      <c r="A1219" s="905" t="s">
        <v>4333</v>
      </c>
      <c r="B1219" s="914" t="s">
        <v>4334</v>
      </c>
      <c r="C1219" s="915"/>
      <c r="D1219" s="915"/>
      <c r="E1219" s="916" t="s">
        <v>4335</v>
      </c>
      <c r="F1219" s="917" t="s">
        <v>249</v>
      </c>
      <c r="G1219" s="918"/>
      <c r="H1219" s="919"/>
      <c r="I1219" s="920"/>
      <c r="J1219" s="891">
        <f>SUM(J1220:J1224)</f>
        <v>5238</v>
      </c>
      <c r="K1219" s="891"/>
      <c r="L1219" s="891">
        <f>SUM(L1220:L1224)</f>
        <v>586296.48</v>
      </c>
      <c r="M1219" s="891"/>
      <c r="N1219" s="891">
        <f>SUM(N1220:N1224)</f>
        <v>0</v>
      </c>
      <c r="O1219" s="892">
        <f t="shared" si="72"/>
        <v>1</v>
      </c>
      <c r="P1219" s="903">
        <f t="shared" si="73"/>
        <v>0</v>
      </c>
      <c r="Q1219" s="893">
        <f t="shared" si="74"/>
        <v>0</v>
      </c>
      <c r="R1219" s="894">
        <f t="shared" si="75"/>
        <v>5</v>
      </c>
    </row>
    <row r="1220" spans="1:18" s="904" customFormat="1">
      <c r="A1220" s="895"/>
      <c r="B1220" s="896"/>
      <c r="C1220" s="897"/>
      <c r="D1220" s="897"/>
      <c r="E1220" s="924" t="s">
        <v>108</v>
      </c>
      <c r="F1220" s="899"/>
      <c r="G1220" s="900"/>
      <c r="H1220" s="901"/>
      <c r="I1220" s="902"/>
      <c r="J1220" s="902"/>
      <c r="K1220" s="912" t="s">
        <v>274</v>
      </c>
      <c r="L1220" s="902"/>
      <c r="M1220" s="902"/>
      <c r="N1220" s="902"/>
      <c r="O1220" s="892">
        <f t="shared" si="72"/>
        <v>0</v>
      </c>
      <c r="P1220" s="903">
        <f t="shared" si="73"/>
        <v>1</v>
      </c>
      <c r="Q1220" s="893">
        <f t="shared" si="74"/>
        <v>5</v>
      </c>
      <c r="R1220" s="894">
        <f t="shared" si="75"/>
        <v>0</v>
      </c>
    </row>
    <row r="1221" spans="1:18">
      <c r="A1221" s="905"/>
      <c r="B1221" s="906"/>
      <c r="C1221" s="907">
        <v>66</v>
      </c>
      <c r="D1221" s="907" t="s">
        <v>279</v>
      </c>
      <c r="E1221" s="925" t="s">
        <v>2682</v>
      </c>
      <c r="F1221" s="926" t="s">
        <v>45</v>
      </c>
      <c r="G1221" s="910"/>
      <c r="H1221" s="911">
        <v>5.3999999999999999E-2</v>
      </c>
      <c r="I1221" s="912">
        <f>VLOOKUP(E1221,[3]VLP!$B$7:$K$300,10,0)</f>
        <v>5000</v>
      </c>
      <c r="J1221" s="912">
        <f>I1221*H1221</f>
        <v>270</v>
      </c>
      <c r="K1221" s="912" t="s">
        <v>274</v>
      </c>
      <c r="L1221" s="912"/>
      <c r="M1221" s="912"/>
      <c r="N1221" s="912"/>
      <c r="O1221" s="892">
        <f t="shared" ref="O1221:O1285" si="76">IF(AND(B1221&lt;&gt;"",D1221=""),1,0)</f>
        <v>0</v>
      </c>
      <c r="P1221" s="903">
        <f t="shared" si="73"/>
        <v>1</v>
      </c>
      <c r="Q1221" s="893">
        <f t="shared" si="74"/>
        <v>4</v>
      </c>
      <c r="R1221" s="894">
        <f t="shared" si="75"/>
        <v>0</v>
      </c>
    </row>
    <row r="1222" spans="1:18">
      <c r="A1222" s="905"/>
      <c r="B1222" s="906"/>
      <c r="C1222" s="907">
        <v>44</v>
      </c>
      <c r="D1222" s="907" t="s">
        <v>279</v>
      </c>
      <c r="E1222" s="925" t="s">
        <v>2681</v>
      </c>
      <c r="F1222" s="926" t="s">
        <v>45</v>
      </c>
      <c r="G1222" s="910"/>
      <c r="H1222" s="911">
        <v>0.216</v>
      </c>
      <c r="I1222" s="912">
        <f>VLOOKUP(E1222,[3]VLP!$B$7:$K$300,10,0)</f>
        <v>23000</v>
      </c>
      <c r="J1222" s="912">
        <f>I1222*H1222</f>
        <v>4968</v>
      </c>
      <c r="K1222" s="912" t="s">
        <v>274</v>
      </c>
      <c r="L1222" s="912"/>
      <c r="M1222" s="912"/>
      <c r="N1222" s="912"/>
      <c r="O1222" s="892">
        <f t="shared" si="76"/>
        <v>0</v>
      </c>
      <c r="P1222" s="903">
        <f t="shared" si="73"/>
        <v>1</v>
      </c>
      <c r="Q1222" s="893">
        <f t="shared" si="74"/>
        <v>3</v>
      </c>
      <c r="R1222" s="894">
        <f t="shared" si="75"/>
        <v>0</v>
      </c>
    </row>
    <row r="1223" spans="1:18" s="904" customFormat="1">
      <c r="A1223" s="895"/>
      <c r="B1223" s="896"/>
      <c r="C1223" s="897"/>
      <c r="D1223" s="897"/>
      <c r="E1223" s="924" t="s">
        <v>276</v>
      </c>
      <c r="F1223" s="927"/>
      <c r="G1223" s="928"/>
      <c r="H1223" s="901"/>
      <c r="I1223" s="902"/>
      <c r="J1223" s="902"/>
      <c r="K1223" s="912" t="s">
        <v>274</v>
      </c>
      <c r="L1223" s="902"/>
      <c r="M1223" s="902"/>
      <c r="N1223" s="902"/>
      <c r="O1223" s="892">
        <f t="shared" si="76"/>
        <v>0</v>
      </c>
      <c r="P1223" s="903">
        <f t="shared" si="73"/>
        <v>1</v>
      </c>
      <c r="Q1223" s="893">
        <f t="shared" si="74"/>
        <v>2</v>
      </c>
      <c r="R1223" s="894">
        <f t="shared" si="75"/>
        <v>0</v>
      </c>
    </row>
    <row r="1224" spans="1:18">
      <c r="A1224" s="905"/>
      <c r="B1224" s="906"/>
      <c r="C1224" s="907">
        <v>740</v>
      </c>
      <c r="D1224" s="907" t="s">
        <v>12</v>
      </c>
      <c r="E1224" s="908" t="s">
        <v>4008</v>
      </c>
      <c r="F1224" s="909" t="s">
        <v>2674</v>
      </c>
      <c r="G1224" s="910"/>
      <c r="H1224" s="911">
        <v>2.3199999999999998</v>
      </c>
      <c r="I1224" s="912"/>
      <c r="J1224" s="912"/>
      <c r="K1224" s="912">
        <f>VLOOKUP(E1224,ĐMNC!$A$7:$F$67,4,0)</f>
        <v>252714</v>
      </c>
      <c r="L1224" s="912">
        <f>H1224*K1224</f>
        <v>586296.48</v>
      </c>
      <c r="M1224" s="912"/>
      <c r="N1224" s="912"/>
      <c r="O1224" s="892">
        <f t="shared" si="76"/>
        <v>0</v>
      </c>
      <c r="P1224" s="903">
        <f t="shared" si="73"/>
        <v>1</v>
      </c>
      <c r="Q1224" s="893">
        <f t="shared" si="74"/>
        <v>1</v>
      </c>
      <c r="R1224" s="894">
        <f t="shared" si="75"/>
        <v>0</v>
      </c>
    </row>
    <row r="1225" spans="1:18" s="847" customFormat="1" ht="31.5">
      <c r="A1225" s="905"/>
      <c r="B1225" s="914" t="s">
        <v>4336</v>
      </c>
      <c r="C1225" s="915"/>
      <c r="D1225" s="915"/>
      <c r="E1225" s="916" t="s">
        <v>4337</v>
      </c>
      <c r="F1225" s="917" t="s">
        <v>249</v>
      </c>
      <c r="G1225" s="918"/>
      <c r="H1225" s="919"/>
      <c r="I1225" s="920"/>
      <c r="J1225" s="891">
        <f>SUM(J1226:J1230)</f>
        <v>5238</v>
      </c>
      <c r="K1225" s="891"/>
      <c r="L1225" s="891">
        <f>SUM(L1226:L1230)</f>
        <v>674746.38</v>
      </c>
      <c r="M1225" s="891"/>
      <c r="N1225" s="891">
        <f>SUM(N1226:N1230)</f>
        <v>0</v>
      </c>
      <c r="O1225" s="892">
        <f t="shared" si="76"/>
        <v>1</v>
      </c>
      <c r="P1225" s="903">
        <f t="shared" si="73"/>
        <v>0</v>
      </c>
      <c r="Q1225" s="893">
        <f t="shared" si="74"/>
        <v>0</v>
      </c>
      <c r="R1225" s="894">
        <f t="shared" si="75"/>
        <v>5</v>
      </c>
    </row>
    <row r="1226" spans="1:18" s="904" customFormat="1">
      <c r="A1226" s="895"/>
      <c r="B1226" s="896"/>
      <c r="C1226" s="897"/>
      <c r="D1226" s="897"/>
      <c r="E1226" s="924" t="s">
        <v>108</v>
      </c>
      <c r="F1226" s="899"/>
      <c r="G1226" s="900"/>
      <c r="H1226" s="901"/>
      <c r="I1226" s="902"/>
      <c r="J1226" s="902"/>
      <c r="K1226" s="912" t="s">
        <v>274</v>
      </c>
      <c r="L1226" s="902"/>
      <c r="M1226" s="902"/>
      <c r="N1226" s="902"/>
      <c r="O1226" s="892">
        <f t="shared" si="76"/>
        <v>0</v>
      </c>
      <c r="P1226" s="903">
        <f t="shared" si="73"/>
        <v>1</v>
      </c>
      <c r="Q1226" s="893">
        <f t="shared" si="74"/>
        <v>5</v>
      </c>
      <c r="R1226" s="894">
        <f t="shared" si="75"/>
        <v>0</v>
      </c>
    </row>
    <row r="1227" spans="1:18">
      <c r="A1227" s="905"/>
      <c r="B1227" s="906"/>
      <c r="C1227" s="907">
        <v>66</v>
      </c>
      <c r="D1227" s="907" t="s">
        <v>279</v>
      </c>
      <c r="E1227" s="925" t="s">
        <v>2682</v>
      </c>
      <c r="F1227" s="926" t="s">
        <v>45</v>
      </c>
      <c r="G1227" s="910"/>
      <c r="H1227" s="911">
        <v>5.3999999999999999E-2</v>
      </c>
      <c r="I1227" s="912">
        <f>VLOOKUP(E1227,[3]VLP!$B$7:$K$300,10,0)</f>
        <v>5000</v>
      </c>
      <c r="J1227" s="912">
        <f>I1227*H1227</f>
        <v>270</v>
      </c>
      <c r="K1227" s="912" t="s">
        <v>274</v>
      </c>
      <c r="L1227" s="912"/>
      <c r="M1227" s="912"/>
      <c r="N1227" s="912"/>
      <c r="O1227" s="892">
        <f t="shared" si="76"/>
        <v>0</v>
      </c>
      <c r="P1227" s="903">
        <f t="shared" si="73"/>
        <v>1</v>
      </c>
      <c r="Q1227" s="893">
        <f t="shared" si="74"/>
        <v>4</v>
      </c>
      <c r="R1227" s="894">
        <f t="shared" si="75"/>
        <v>0</v>
      </c>
    </row>
    <row r="1228" spans="1:18">
      <c r="A1228" s="905"/>
      <c r="B1228" s="906"/>
      <c r="C1228" s="907">
        <v>44</v>
      </c>
      <c r="D1228" s="907" t="s">
        <v>279</v>
      </c>
      <c r="E1228" s="925" t="s">
        <v>2681</v>
      </c>
      <c r="F1228" s="926" t="s">
        <v>45</v>
      </c>
      <c r="G1228" s="910"/>
      <c r="H1228" s="911">
        <v>0.216</v>
      </c>
      <c r="I1228" s="912">
        <f>VLOOKUP(E1228,[3]VLP!$B$7:$K$300,10,0)</f>
        <v>23000</v>
      </c>
      <c r="J1228" s="912">
        <f>I1228*H1228</f>
        <v>4968</v>
      </c>
      <c r="K1228" s="912" t="s">
        <v>274</v>
      </c>
      <c r="L1228" s="912"/>
      <c r="M1228" s="912"/>
      <c r="N1228" s="912"/>
      <c r="O1228" s="892">
        <f t="shared" si="76"/>
        <v>0</v>
      </c>
      <c r="P1228" s="903">
        <f t="shared" si="73"/>
        <v>1</v>
      </c>
      <c r="Q1228" s="893">
        <f t="shared" si="74"/>
        <v>3</v>
      </c>
      <c r="R1228" s="894">
        <f t="shared" si="75"/>
        <v>0</v>
      </c>
    </row>
    <row r="1229" spans="1:18" s="904" customFormat="1">
      <c r="A1229" s="895"/>
      <c r="B1229" s="896"/>
      <c r="C1229" s="897"/>
      <c r="D1229" s="897"/>
      <c r="E1229" s="924" t="s">
        <v>276</v>
      </c>
      <c r="F1229" s="927"/>
      <c r="G1229" s="928"/>
      <c r="H1229" s="901"/>
      <c r="I1229" s="902"/>
      <c r="J1229" s="902"/>
      <c r="K1229" s="912" t="s">
        <v>274</v>
      </c>
      <c r="L1229" s="902"/>
      <c r="M1229" s="902"/>
      <c r="N1229" s="902"/>
      <c r="O1229" s="892">
        <f t="shared" si="76"/>
        <v>0</v>
      </c>
      <c r="P1229" s="903">
        <f t="shared" si="73"/>
        <v>1</v>
      </c>
      <c r="Q1229" s="893">
        <f t="shared" si="74"/>
        <v>2</v>
      </c>
      <c r="R1229" s="894">
        <f t="shared" si="75"/>
        <v>0</v>
      </c>
    </row>
    <row r="1230" spans="1:18">
      <c r="A1230" s="905"/>
      <c r="B1230" s="906"/>
      <c r="C1230" s="907">
        <v>740</v>
      </c>
      <c r="D1230" s="907" t="s">
        <v>12</v>
      </c>
      <c r="E1230" s="908" t="s">
        <v>4008</v>
      </c>
      <c r="F1230" s="909" t="s">
        <v>2674</v>
      </c>
      <c r="G1230" s="910"/>
      <c r="H1230" s="911">
        <v>2.67</v>
      </c>
      <c r="I1230" s="912"/>
      <c r="J1230" s="912"/>
      <c r="K1230" s="912">
        <f>VLOOKUP(E1230,ĐMNC!$A$7:$F$67,4,0)</f>
        <v>252714</v>
      </c>
      <c r="L1230" s="912">
        <f>H1230*K1230</f>
        <v>674746.38</v>
      </c>
      <c r="M1230" s="912"/>
      <c r="N1230" s="912"/>
      <c r="O1230" s="892">
        <f t="shared" si="76"/>
        <v>0</v>
      </c>
      <c r="P1230" s="903">
        <f t="shared" ref="P1230:P1294" si="77">IF(O1230=0,1,0)</f>
        <v>1</v>
      </c>
      <c r="Q1230" s="893">
        <f t="shared" ref="Q1230:Q1294" si="78">IF(P1230=0,0,P1230+Q1231)</f>
        <v>1</v>
      </c>
      <c r="R1230" s="894">
        <f t="shared" ref="R1230:R1294" si="79">IF(Q1230=0,Q1231,0)</f>
        <v>0</v>
      </c>
    </row>
    <row r="1231" spans="1:18" s="847" customFormat="1" ht="31.5">
      <c r="A1231" s="905"/>
      <c r="B1231" s="914" t="s">
        <v>4338</v>
      </c>
      <c r="C1231" s="915"/>
      <c r="D1231" s="915"/>
      <c r="E1231" s="916" t="s">
        <v>4339</v>
      </c>
      <c r="F1231" s="917" t="s">
        <v>249</v>
      </c>
      <c r="G1231" s="918"/>
      <c r="H1231" s="919"/>
      <c r="I1231" s="920"/>
      <c r="J1231" s="891">
        <f>SUM(J1232:J1236)</f>
        <v>7101</v>
      </c>
      <c r="K1231" s="891"/>
      <c r="L1231" s="891">
        <f>SUM(L1232:L1236)</f>
        <v>449830.92</v>
      </c>
      <c r="M1231" s="891"/>
      <c r="N1231" s="891">
        <f>SUM(N1232:N1236)</f>
        <v>0</v>
      </c>
      <c r="O1231" s="892">
        <f t="shared" si="76"/>
        <v>1</v>
      </c>
      <c r="P1231" s="903">
        <f t="shared" si="77"/>
        <v>0</v>
      </c>
      <c r="Q1231" s="893">
        <f t="shared" si="78"/>
        <v>0</v>
      </c>
      <c r="R1231" s="894">
        <f t="shared" si="79"/>
        <v>5</v>
      </c>
    </row>
    <row r="1232" spans="1:18" s="904" customFormat="1">
      <c r="A1232" s="895"/>
      <c r="B1232" s="896"/>
      <c r="C1232" s="897"/>
      <c r="D1232" s="897"/>
      <c r="E1232" s="924" t="s">
        <v>108</v>
      </c>
      <c r="F1232" s="899"/>
      <c r="G1232" s="900"/>
      <c r="H1232" s="901"/>
      <c r="I1232" s="902"/>
      <c r="J1232" s="902"/>
      <c r="K1232" s="912" t="s">
        <v>274</v>
      </c>
      <c r="L1232" s="902"/>
      <c r="M1232" s="902"/>
      <c r="N1232" s="902"/>
      <c r="O1232" s="892">
        <f t="shared" si="76"/>
        <v>0</v>
      </c>
      <c r="P1232" s="903">
        <f t="shared" si="77"/>
        <v>1</v>
      </c>
      <c r="Q1232" s="893">
        <f t="shared" si="78"/>
        <v>5</v>
      </c>
      <c r="R1232" s="894">
        <f t="shared" si="79"/>
        <v>0</v>
      </c>
    </row>
    <row r="1233" spans="1:18">
      <c r="A1233" s="905"/>
      <c r="B1233" s="906"/>
      <c r="C1233" s="907">
        <v>66</v>
      </c>
      <c r="D1233" s="907" t="s">
        <v>279</v>
      </c>
      <c r="E1233" s="925" t="s">
        <v>2682</v>
      </c>
      <c r="F1233" s="926" t="s">
        <v>45</v>
      </c>
      <c r="G1233" s="910"/>
      <c r="H1233" s="911">
        <v>5.3999999999999999E-2</v>
      </c>
      <c r="I1233" s="912">
        <f>VLOOKUP(E1233,[3]VLP!$B$7:$K$300,10,0)</f>
        <v>5000</v>
      </c>
      <c r="J1233" s="912">
        <f>I1233*H1233</f>
        <v>270</v>
      </c>
      <c r="K1233" s="912" t="s">
        <v>274</v>
      </c>
      <c r="L1233" s="912"/>
      <c r="M1233" s="912"/>
      <c r="N1233" s="912"/>
      <c r="O1233" s="892">
        <f t="shared" si="76"/>
        <v>0</v>
      </c>
      <c r="P1233" s="903">
        <f t="shared" si="77"/>
        <v>1</v>
      </c>
      <c r="Q1233" s="893">
        <f t="shared" si="78"/>
        <v>4</v>
      </c>
      <c r="R1233" s="894">
        <f t="shared" si="79"/>
        <v>0</v>
      </c>
    </row>
    <row r="1234" spans="1:18">
      <c r="A1234" s="905"/>
      <c r="B1234" s="906"/>
      <c r="C1234" s="907">
        <v>44</v>
      </c>
      <c r="D1234" s="907" t="s">
        <v>279</v>
      </c>
      <c r="E1234" s="925" t="s">
        <v>2681</v>
      </c>
      <c r="F1234" s="926" t="s">
        <v>45</v>
      </c>
      <c r="G1234" s="910"/>
      <c r="H1234" s="911">
        <v>0.29699999999999999</v>
      </c>
      <c r="I1234" s="912">
        <f>VLOOKUP(E1234,[3]VLP!$B$7:$K$300,10,0)</f>
        <v>23000</v>
      </c>
      <c r="J1234" s="912">
        <f>I1234*H1234</f>
        <v>6831</v>
      </c>
      <c r="K1234" s="912" t="s">
        <v>274</v>
      </c>
      <c r="L1234" s="912"/>
      <c r="M1234" s="912"/>
      <c r="N1234" s="912"/>
      <c r="O1234" s="892">
        <f t="shared" si="76"/>
        <v>0</v>
      </c>
      <c r="P1234" s="903">
        <f t="shared" si="77"/>
        <v>1</v>
      </c>
      <c r="Q1234" s="893">
        <f t="shared" si="78"/>
        <v>3</v>
      </c>
      <c r="R1234" s="894">
        <f t="shared" si="79"/>
        <v>0</v>
      </c>
    </row>
    <row r="1235" spans="1:18" s="904" customFormat="1">
      <c r="A1235" s="895"/>
      <c r="B1235" s="896"/>
      <c r="C1235" s="897"/>
      <c r="D1235" s="897"/>
      <c r="E1235" s="924" t="s">
        <v>276</v>
      </c>
      <c r="F1235" s="927"/>
      <c r="G1235" s="928"/>
      <c r="H1235" s="901"/>
      <c r="I1235" s="902"/>
      <c r="J1235" s="902"/>
      <c r="K1235" s="912" t="s">
        <v>274</v>
      </c>
      <c r="L1235" s="902"/>
      <c r="M1235" s="902"/>
      <c r="N1235" s="902"/>
      <c r="O1235" s="892">
        <f t="shared" si="76"/>
        <v>0</v>
      </c>
      <c r="P1235" s="903">
        <f t="shared" si="77"/>
        <v>1</v>
      </c>
      <c r="Q1235" s="893">
        <f t="shared" si="78"/>
        <v>2</v>
      </c>
      <c r="R1235" s="894">
        <f t="shared" si="79"/>
        <v>0</v>
      </c>
    </row>
    <row r="1236" spans="1:18">
      <c r="A1236" s="905"/>
      <c r="B1236" s="906"/>
      <c r="C1236" s="907">
        <v>740</v>
      </c>
      <c r="D1236" s="907" t="s">
        <v>12</v>
      </c>
      <c r="E1236" s="908" t="s">
        <v>4008</v>
      </c>
      <c r="F1236" s="909" t="s">
        <v>2674</v>
      </c>
      <c r="G1236" s="910"/>
      <c r="H1236" s="911">
        <v>1.78</v>
      </c>
      <c r="I1236" s="912"/>
      <c r="J1236" s="912"/>
      <c r="K1236" s="912">
        <f>VLOOKUP(E1236,ĐMNC!$A$7:$F$67,4,0)</f>
        <v>252714</v>
      </c>
      <c r="L1236" s="912">
        <f>H1236*K1236</f>
        <v>449830.92</v>
      </c>
      <c r="M1236" s="912"/>
      <c r="N1236" s="912"/>
      <c r="O1236" s="892">
        <f t="shared" si="76"/>
        <v>0</v>
      </c>
      <c r="P1236" s="903">
        <f t="shared" si="77"/>
        <v>1</v>
      </c>
      <c r="Q1236" s="893">
        <f t="shared" si="78"/>
        <v>1</v>
      </c>
      <c r="R1236" s="894">
        <f t="shared" si="79"/>
        <v>0</v>
      </c>
    </row>
    <row r="1237" spans="1:18" s="847" customFormat="1" ht="31.5">
      <c r="A1237" s="905"/>
      <c r="B1237" s="914" t="s">
        <v>4340</v>
      </c>
      <c r="C1237" s="915"/>
      <c r="D1237" s="915"/>
      <c r="E1237" s="916" t="s">
        <v>4341</v>
      </c>
      <c r="F1237" s="917" t="s">
        <v>249</v>
      </c>
      <c r="G1237" s="918"/>
      <c r="H1237" s="919"/>
      <c r="I1237" s="920"/>
      <c r="J1237" s="891">
        <f>SUM(J1238:J1242)</f>
        <v>7101</v>
      </c>
      <c r="K1237" s="891"/>
      <c r="L1237" s="891">
        <f>SUM(L1238:L1242)</f>
        <v>475102.31999999995</v>
      </c>
      <c r="M1237" s="891"/>
      <c r="N1237" s="891">
        <f>SUM(N1238:N1242)</f>
        <v>0</v>
      </c>
      <c r="O1237" s="892">
        <f t="shared" si="76"/>
        <v>1</v>
      </c>
      <c r="P1237" s="903">
        <f t="shared" si="77"/>
        <v>0</v>
      </c>
      <c r="Q1237" s="893">
        <f t="shared" si="78"/>
        <v>0</v>
      </c>
      <c r="R1237" s="894">
        <f t="shared" si="79"/>
        <v>5</v>
      </c>
    </row>
    <row r="1238" spans="1:18" s="904" customFormat="1">
      <c r="A1238" s="895"/>
      <c r="B1238" s="896"/>
      <c r="C1238" s="897"/>
      <c r="D1238" s="897"/>
      <c r="E1238" s="924" t="s">
        <v>108</v>
      </c>
      <c r="F1238" s="899"/>
      <c r="G1238" s="900"/>
      <c r="H1238" s="901"/>
      <c r="I1238" s="902"/>
      <c r="J1238" s="902"/>
      <c r="K1238" s="912" t="s">
        <v>274</v>
      </c>
      <c r="L1238" s="902"/>
      <c r="M1238" s="902"/>
      <c r="N1238" s="902"/>
      <c r="O1238" s="892">
        <f t="shared" si="76"/>
        <v>0</v>
      </c>
      <c r="P1238" s="903">
        <f t="shared" si="77"/>
        <v>1</v>
      </c>
      <c r="Q1238" s="893">
        <f t="shared" si="78"/>
        <v>5</v>
      </c>
      <c r="R1238" s="894">
        <f t="shared" si="79"/>
        <v>0</v>
      </c>
    </row>
    <row r="1239" spans="1:18">
      <c r="A1239" s="905"/>
      <c r="B1239" s="906"/>
      <c r="C1239" s="907">
        <v>66</v>
      </c>
      <c r="D1239" s="907" t="s">
        <v>279</v>
      </c>
      <c r="E1239" s="925" t="s">
        <v>2682</v>
      </c>
      <c r="F1239" s="926" t="s">
        <v>45</v>
      </c>
      <c r="G1239" s="910"/>
      <c r="H1239" s="911">
        <v>5.3999999999999999E-2</v>
      </c>
      <c r="I1239" s="912">
        <f>VLOOKUP(E1239,[3]VLP!$B$7:$K$300,10,0)</f>
        <v>5000</v>
      </c>
      <c r="J1239" s="912">
        <f>I1239*H1239</f>
        <v>270</v>
      </c>
      <c r="K1239" s="912" t="s">
        <v>274</v>
      </c>
      <c r="L1239" s="912"/>
      <c r="M1239" s="912"/>
      <c r="N1239" s="912"/>
      <c r="O1239" s="892">
        <f t="shared" si="76"/>
        <v>0</v>
      </c>
      <c r="P1239" s="903">
        <f t="shared" si="77"/>
        <v>1</v>
      </c>
      <c r="Q1239" s="893">
        <f t="shared" si="78"/>
        <v>4</v>
      </c>
      <c r="R1239" s="894">
        <f t="shared" si="79"/>
        <v>0</v>
      </c>
    </row>
    <row r="1240" spans="1:18">
      <c r="A1240" s="905"/>
      <c r="B1240" s="906"/>
      <c r="C1240" s="907">
        <v>44</v>
      </c>
      <c r="D1240" s="907" t="s">
        <v>279</v>
      </c>
      <c r="E1240" s="925" t="s">
        <v>2681</v>
      </c>
      <c r="F1240" s="926" t="s">
        <v>45</v>
      </c>
      <c r="G1240" s="910"/>
      <c r="H1240" s="911">
        <v>0.29699999999999999</v>
      </c>
      <c r="I1240" s="912">
        <f>VLOOKUP(E1240,[3]VLP!$B$7:$K$300,10,0)</f>
        <v>23000</v>
      </c>
      <c r="J1240" s="912">
        <f>I1240*H1240</f>
        <v>6831</v>
      </c>
      <c r="K1240" s="912" t="s">
        <v>274</v>
      </c>
      <c r="L1240" s="912"/>
      <c r="M1240" s="912"/>
      <c r="N1240" s="912"/>
      <c r="O1240" s="892">
        <f t="shared" si="76"/>
        <v>0</v>
      </c>
      <c r="P1240" s="903">
        <f t="shared" si="77"/>
        <v>1</v>
      </c>
      <c r="Q1240" s="893">
        <f t="shared" si="78"/>
        <v>3</v>
      </c>
      <c r="R1240" s="894">
        <f t="shared" si="79"/>
        <v>0</v>
      </c>
    </row>
    <row r="1241" spans="1:18" s="904" customFormat="1">
      <c r="A1241" s="895"/>
      <c r="B1241" s="896"/>
      <c r="C1241" s="897"/>
      <c r="D1241" s="897"/>
      <c r="E1241" s="924" t="s">
        <v>276</v>
      </c>
      <c r="F1241" s="927"/>
      <c r="G1241" s="928"/>
      <c r="H1241" s="901"/>
      <c r="I1241" s="902"/>
      <c r="J1241" s="902"/>
      <c r="K1241" s="912" t="s">
        <v>274</v>
      </c>
      <c r="L1241" s="902"/>
      <c r="M1241" s="902"/>
      <c r="N1241" s="902"/>
      <c r="O1241" s="892">
        <f t="shared" si="76"/>
        <v>0</v>
      </c>
      <c r="P1241" s="903">
        <f t="shared" si="77"/>
        <v>1</v>
      </c>
      <c r="Q1241" s="893">
        <f t="shared" si="78"/>
        <v>2</v>
      </c>
      <c r="R1241" s="894">
        <f t="shared" si="79"/>
        <v>0</v>
      </c>
    </row>
    <row r="1242" spans="1:18">
      <c r="A1242" s="905"/>
      <c r="B1242" s="906"/>
      <c r="C1242" s="907">
        <v>740</v>
      </c>
      <c r="D1242" s="907" t="s">
        <v>12</v>
      </c>
      <c r="E1242" s="908" t="s">
        <v>4008</v>
      </c>
      <c r="F1242" s="909" t="s">
        <v>2674</v>
      </c>
      <c r="G1242" s="910"/>
      <c r="H1242" s="911">
        <v>1.88</v>
      </c>
      <c r="I1242" s="912"/>
      <c r="J1242" s="912"/>
      <c r="K1242" s="912">
        <f>VLOOKUP(E1242,ĐMNC!$A$7:$F$67,4,0)</f>
        <v>252714</v>
      </c>
      <c r="L1242" s="912">
        <f>H1242*K1242</f>
        <v>475102.31999999995</v>
      </c>
      <c r="M1242" s="912"/>
      <c r="N1242" s="912"/>
      <c r="O1242" s="892">
        <f t="shared" si="76"/>
        <v>0</v>
      </c>
      <c r="P1242" s="903">
        <f t="shared" si="77"/>
        <v>1</v>
      </c>
      <c r="Q1242" s="893">
        <f t="shared" si="78"/>
        <v>1</v>
      </c>
      <c r="R1242" s="894">
        <f t="shared" si="79"/>
        <v>0</v>
      </c>
    </row>
    <row r="1243" spans="1:18" s="847" customFormat="1" ht="31.5">
      <c r="A1243" s="905"/>
      <c r="B1243" s="914" t="s">
        <v>4342</v>
      </c>
      <c r="C1243" s="915"/>
      <c r="D1243" s="915"/>
      <c r="E1243" s="916" t="s">
        <v>4343</v>
      </c>
      <c r="F1243" s="917" t="s">
        <v>249</v>
      </c>
      <c r="G1243" s="918"/>
      <c r="H1243" s="919"/>
      <c r="I1243" s="920"/>
      <c r="J1243" s="891">
        <f>SUM(J1244:J1248)</f>
        <v>7101</v>
      </c>
      <c r="K1243" s="891"/>
      <c r="L1243" s="891">
        <f>SUM(L1244:L1248)</f>
        <v>520590.84</v>
      </c>
      <c r="M1243" s="891"/>
      <c r="N1243" s="891">
        <f>SUM(N1244:N1248)</f>
        <v>0</v>
      </c>
      <c r="O1243" s="892">
        <f t="shared" si="76"/>
        <v>1</v>
      </c>
      <c r="P1243" s="903">
        <f t="shared" si="77"/>
        <v>0</v>
      </c>
      <c r="Q1243" s="893">
        <f t="shared" si="78"/>
        <v>0</v>
      </c>
      <c r="R1243" s="894">
        <f t="shared" si="79"/>
        <v>5</v>
      </c>
    </row>
    <row r="1244" spans="1:18" s="904" customFormat="1">
      <c r="A1244" s="895"/>
      <c r="B1244" s="896"/>
      <c r="C1244" s="897"/>
      <c r="D1244" s="897"/>
      <c r="E1244" s="924" t="s">
        <v>108</v>
      </c>
      <c r="F1244" s="899"/>
      <c r="G1244" s="900"/>
      <c r="H1244" s="901"/>
      <c r="I1244" s="902"/>
      <c r="J1244" s="902"/>
      <c r="K1244" s="912" t="s">
        <v>274</v>
      </c>
      <c r="L1244" s="902"/>
      <c r="M1244" s="902"/>
      <c r="N1244" s="902"/>
      <c r="O1244" s="892">
        <f t="shared" si="76"/>
        <v>0</v>
      </c>
      <c r="P1244" s="903">
        <f t="shared" si="77"/>
        <v>1</v>
      </c>
      <c r="Q1244" s="893">
        <f t="shared" si="78"/>
        <v>5</v>
      </c>
      <c r="R1244" s="894">
        <f t="shared" si="79"/>
        <v>0</v>
      </c>
    </row>
    <row r="1245" spans="1:18">
      <c r="A1245" s="905"/>
      <c r="B1245" s="906"/>
      <c r="C1245" s="907">
        <v>66</v>
      </c>
      <c r="D1245" s="907" t="s">
        <v>279</v>
      </c>
      <c r="E1245" s="925" t="s">
        <v>2682</v>
      </c>
      <c r="F1245" s="926" t="s">
        <v>45</v>
      </c>
      <c r="G1245" s="910"/>
      <c r="H1245" s="911">
        <v>5.3999999999999999E-2</v>
      </c>
      <c r="I1245" s="912">
        <f>VLOOKUP(E1245,[3]VLP!$B$7:$K$300,10,0)</f>
        <v>5000</v>
      </c>
      <c r="J1245" s="912">
        <f>I1245*H1245</f>
        <v>270</v>
      </c>
      <c r="K1245" s="912" t="s">
        <v>274</v>
      </c>
      <c r="L1245" s="912"/>
      <c r="M1245" s="912"/>
      <c r="N1245" s="912"/>
      <c r="O1245" s="892">
        <f t="shared" si="76"/>
        <v>0</v>
      </c>
      <c r="P1245" s="903">
        <f t="shared" si="77"/>
        <v>1</v>
      </c>
      <c r="Q1245" s="893">
        <f t="shared" si="78"/>
        <v>4</v>
      </c>
      <c r="R1245" s="894">
        <f t="shared" si="79"/>
        <v>0</v>
      </c>
    </row>
    <row r="1246" spans="1:18">
      <c r="A1246" s="905"/>
      <c r="B1246" s="906"/>
      <c r="C1246" s="907">
        <v>44</v>
      </c>
      <c r="D1246" s="907" t="s">
        <v>279</v>
      </c>
      <c r="E1246" s="925" t="s">
        <v>2681</v>
      </c>
      <c r="F1246" s="926" t="s">
        <v>45</v>
      </c>
      <c r="G1246" s="910"/>
      <c r="H1246" s="911">
        <v>0.29699999999999999</v>
      </c>
      <c r="I1246" s="912">
        <f>VLOOKUP(E1246,[3]VLP!$B$7:$K$300,10,0)</f>
        <v>23000</v>
      </c>
      <c r="J1246" s="912">
        <f>I1246*H1246</f>
        <v>6831</v>
      </c>
      <c r="K1246" s="912" t="s">
        <v>274</v>
      </c>
      <c r="L1246" s="912"/>
      <c r="M1246" s="912"/>
      <c r="N1246" s="912"/>
      <c r="O1246" s="892">
        <f t="shared" si="76"/>
        <v>0</v>
      </c>
      <c r="P1246" s="903">
        <f t="shared" si="77"/>
        <v>1</v>
      </c>
      <c r="Q1246" s="893">
        <f t="shared" si="78"/>
        <v>3</v>
      </c>
      <c r="R1246" s="894">
        <f t="shared" si="79"/>
        <v>0</v>
      </c>
    </row>
    <row r="1247" spans="1:18" s="904" customFormat="1">
      <c r="A1247" s="895"/>
      <c r="B1247" s="896"/>
      <c r="C1247" s="897"/>
      <c r="D1247" s="897"/>
      <c r="E1247" s="924" t="s">
        <v>276</v>
      </c>
      <c r="F1247" s="927"/>
      <c r="G1247" s="928"/>
      <c r="H1247" s="901"/>
      <c r="I1247" s="902"/>
      <c r="J1247" s="902"/>
      <c r="K1247" s="912" t="s">
        <v>274</v>
      </c>
      <c r="L1247" s="902"/>
      <c r="M1247" s="902"/>
      <c r="N1247" s="902"/>
      <c r="O1247" s="892">
        <f t="shared" si="76"/>
        <v>0</v>
      </c>
      <c r="P1247" s="903">
        <f t="shared" si="77"/>
        <v>1</v>
      </c>
      <c r="Q1247" s="893">
        <f t="shared" si="78"/>
        <v>2</v>
      </c>
      <c r="R1247" s="894">
        <f t="shared" si="79"/>
        <v>0</v>
      </c>
    </row>
    <row r="1248" spans="1:18">
      <c r="A1248" s="905"/>
      <c r="B1248" s="906"/>
      <c r="C1248" s="907">
        <v>740</v>
      </c>
      <c r="D1248" s="907" t="s">
        <v>12</v>
      </c>
      <c r="E1248" s="908" t="s">
        <v>4008</v>
      </c>
      <c r="F1248" s="909" t="s">
        <v>2674</v>
      </c>
      <c r="G1248" s="910"/>
      <c r="H1248" s="911">
        <v>2.06</v>
      </c>
      <c r="I1248" s="912"/>
      <c r="J1248" s="912"/>
      <c r="K1248" s="912">
        <f>VLOOKUP(E1248,ĐMNC!$A$7:$F$67,4,0)</f>
        <v>252714</v>
      </c>
      <c r="L1248" s="912">
        <f>H1248*K1248</f>
        <v>520590.84</v>
      </c>
      <c r="M1248" s="912"/>
      <c r="N1248" s="912"/>
      <c r="O1248" s="892">
        <f t="shared" si="76"/>
        <v>0</v>
      </c>
      <c r="P1248" s="903">
        <f t="shared" si="77"/>
        <v>1</v>
      </c>
      <c r="Q1248" s="893">
        <f t="shared" si="78"/>
        <v>1</v>
      </c>
      <c r="R1248" s="894">
        <f t="shared" si="79"/>
        <v>0</v>
      </c>
    </row>
    <row r="1249" spans="1:18" s="847" customFormat="1" ht="31.5">
      <c r="A1249" s="905"/>
      <c r="B1249" s="914" t="s">
        <v>4344</v>
      </c>
      <c r="C1249" s="915"/>
      <c r="D1249" s="915"/>
      <c r="E1249" s="916" t="s">
        <v>4345</v>
      </c>
      <c r="F1249" s="917" t="s">
        <v>249</v>
      </c>
      <c r="G1249" s="918"/>
      <c r="H1249" s="919"/>
      <c r="I1249" s="920"/>
      <c r="J1249" s="891">
        <f>SUM(J1250:J1254)</f>
        <v>7101</v>
      </c>
      <c r="K1249" s="891"/>
      <c r="L1249" s="891">
        <f>SUM(L1250:L1254)</f>
        <v>601459.31999999995</v>
      </c>
      <c r="M1249" s="891"/>
      <c r="N1249" s="891">
        <f>SUM(N1250:N1254)</f>
        <v>0</v>
      </c>
      <c r="O1249" s="892">
        <f t="shared" si="76"/>
        <v>1</v>
      </c>
      <c r="P1249" s="903">
        <f t="shared" si="77"/>
        <v>0</v>
      </c>
      <c r="Q1249" s="893">
        <f t="shared" si="78"/>
        <v>0</v>
      </c>
      <c r="R1249" s="894">
        <f t="shared" si="79"/>
        <v>5</v>
      </c>
    </row>
    <row r="1250" spans="1:18" s="904" customFormat="1">
      <c r="A1250" s="895"/>
      <c r="B1250" s="896"/>
      <c r="C1250" s="897"/>
      <c r="D1250" s="897"/>
      <c r="E1250" s="924" t="s">
        <v>108</v>
      </c>
      <c r="F1250" s="899"/>
      <c r="G1250" s="900"/>
      <c r="H1250" s="901"/>
      <c r="I1250" s="902"/>
      <c r="J1250" s="902"/>
      <c r="K1250" s="912" t="s">
        <v>274</v>
      </c>
      <c r="L1250" s="902"/>
      <c r="M1250" s="902"/>
      <c r="N1250" s="902"/>
      <c r="O1250" s="892">
        <f t="shared" si="76"/>
        <v>0</v>
      </c>
      <c r="P1250" s="903">
        <f t="shared" si="77"/>
        <v>1</v>
      </c>
      <c r="Q1250" s="893">
        <f t="shared" si="78"/>
        <v>5</v>
      </c>
      <c r="R1250" s="894">
        <f t="shared" si="79"/>
        <v>0</v>
      </c>
    </row>
    <row r="1251" spans="1:18">
      <c r="A1251" s="905"/>
      <c r="B1251" s="906"/>
      <c r="C1251" s="907">
        <v>66</v>
      </c>
      <c r="D1251" s="907" t="s">
        <v>279</v>
      </c>
      <c r="E1251" s="925" t="s">
        <v>2682</v>
      </c>
      <c r="F1251" s="926" t="s">
        <v>45</v>
      </c>
      <c r="G1251" s="910"/>
      <c r="H1251" s="911">
        <v>5.3999999999999999E-2</v>
      </c>
      <c r="I1251" s="912">
        <f>VLOOKUP(E1251,[3]VLP!$B$7:$K$300,10,0)</f>
        <v>5000</v>
      </c>
      <c r="J1251" s="912">
        <f>I1251*H1251</f>
        <v>270</v>
      </c>
      <c r="K1251" s="912" t="s">
        <v>274</v>
      </c>
      <c r="L1251" s="912"/>
      <c r="M1251" s="912"/>
      <c r="N1251" s="912"/>
      <c r="O1251" s="892">
        <f t="shared" si="76"/>
        <v>0</v>
      </c>
      <c r="P1251" s="903">
        <f t="shared" si="77"/>
        <v>1</v>
      </c>
      <c r="Q1251" s="893">
        <f t="shared" si="78"/>
        <v>4</v>
      </c>
      <c r="R1251" s="894">
        <f t="shared" si="79"/>
        <v>0</v>
      </c>
    </row>
    <row r="1252" spans="1:18">
      <c r="A1252" s="905"/>
      <c r="B1252" s="906"/>
      <c r="C1252" s="907">
        <v>44</v>
      </c>
      <c r="D1252" s="907" t="s">
        <v>279</v>
      </c>
      <c r="E1252" s="925" t="s">
        <v>2681</v>
      </c>
      <c r="F1252" s="926" t="s">
        <v>45</v>
      </c>
      <c r="G1252" s="910"/>
      <c r="H1252" s="911">
        <v>0.29699999999999999</v>
      </c>
      <c r="I1252" s="912">
        <f>VLOOKUP(E1252,[3]VLP!$B$7:$K$300,10,0)</f>
        <v>23000</v>
      </c>
      <c r="J1252" s="912">
        <f>I1252*H1252</f>
        <v>6831</v>
      </c>
      <c r="K1252" s="912" t="s">
        <v>274</v>
      </c>
      <c r="L1252" s="912"/>
      <c r="M1252" s="912"/>
      <c r="N1252" s="912"/>
      <c r="O1252" s="892">
        <f t="shared" si="76"/>
        <v>0</v>
      </c>
      <c r="P1252" s="903">
        <f t="shared" si="77"/>
        <v>1</v>
      </c>
      <c r="Q1252" s="893">
        <f t="shared" si="78"/>
        <v>3</v>
      </c>
      <c r="R1252" s="894">
        <f t="shared" si="79"/>
        <v>0</v>
      </c>
    </row>
    <row r="1253" spans="1:18" s="904" customFormat="1">
      <c r="A1253" s="895"/>
      <c r="B1253" s="896"/>
      <c r="C1253" s="897"/>
      <c r="D1253" s="897"/>
      <c r="E1253" s="924" t="s">
        <v>276</v>
      </c>
      <c r="F1253" s="927"/>
      <c r="G1253" s="928"/>
      <c r="H1253" s="901"/>
      <c r="I1253" s="902"/>
      <c r="J1253" s="902"/>
      <c r="K1253" s="912" t="s">
        <v>274</v>
      </c>
      <c r="L1253" s="902"/>
      <c r="M1253" s="902"/>
      <c r="N1253" s="902"/>
      <c r="O1253" s="892">
        <f t="shared" si="76"/>
        <v>0</v>
      </c>
      <c r="P1253" s="903">
        <f t="shared" si="77"/>
        <v>1</v>
      </c>
      <c r="Q1253" s="893">
        <f t="shared" si="78"/>
        <v>2</v>
      </c>
      <c r="R1253" s="894">
        <f t="shared" si="79"/>
        <v>0</v>
      </c>
    </row>
    <row r="1254" spans="1:18">
      <c r="A1254" s="905"/>
      <c r="B1254" s="906"/>
      <c r="C1254" s="907">
        <v>740</v>
      </c>
      <c r="D1254" s="907" t="s">
        <v>12</v>
      </c>
      <c r="E1254" s="908" t="s">
        <v>4008</v>
      </c>
      <c r="F1254" s="909" t="s">
        <v>2674</v>
      </c>
      <c r="G1254" s="910"/>
      <c r="H1254" s="911">
        <v>2.38</v>
      </c>
      <c r="I1254" s="912"/>
      <c r="J1254" s="912"/>
      <c r="K1254" s="912">
        <f>VLOOKUP(E1254,ĐMNC!$A$7:$F$67,4,0)</f>
        <v>252714</v>
      </c>
      <c r="L1254" s="912">
        <f>H1254*K1254</f>
        <v>601459.31999999995</v>
      </c>
      <c r="M1254" s="912"/>
      <c r="N1254" s="912"/>
      <c r="O1254" s="892">
        <f t="shared" si="76"/>
        <v>0</v>
      </c>
      <c r="P1254" s="903">
        <f t="shared" si="77"/>
        <v>1</v>
      </c>
      <c r="Q1254" s="893">
        <f t="shared" si="78"/>
        <v>1</v>
      </c>
      <c r="R1254" s="894">
        <f t="shared" si="79"/>
        <v>0</v>
      </c>
    </row>
    <row r="1255" spans="1:18" s="847" customFormat="1" ht="31.5">
      <c r="A1255" s="905"/>
      <c r="B1255" s="914" t="s">
        <v>4346</v>
      </c>
      <c r="C1255" s="915"/>
      <c r="D1255" s="915"/>
      <c r="E1255" s="916" t="s">
        <v>4347</v>
      </c>
      <c r="F1255" s="917" t="s">
        <v>249</v>
      </c>
      <c r="G1255" s="918"/>
      <c r="H1255" s="919"/>
      <c r="I1255" s="920"/>
      <c r="J1255" s="891">
        <f>SUM(J1256:J1260)</f>
        <v>7101</v>
      </c>
      <c r="K1255" s="891"/>
      <c r="L1255" s="891">
        <f>SUM(L1256:L1260)</f>
        <v>659583.53999999992</v>
      </c>
      <c r="M1255" s="891"/>
      <c r="N1255" s="891">
        <f>SUM(N1256:N1260)</f>
        <v>0</v>
      </c>
      <c r="O1255" s="892">
        <f t="shared" si="76"/>
        <v>1</v>
      </c>
      <c r="P1255" s="903">
        <f t="shared" si="77"/>
        <v>0</v>
      </c>
      <c r="Q1255" s="893">
        <f t="shared" si="78"/>
        <v>0</v>
      </c>
      <c r="R1255" s="894">
        <f t="shared" si="79"/>
        <v>5</v>
      </c>
    </row>
    <row r="1256" spans="1:18" s="904" customFormat="1">
      <c r="A1256" s="895"/>
      <c r="B1256" s="896"/>
      <c r="C1256" s="897"/>
      <c r="D1256" s="897"/>
      <c r="E1256" s="924" t="s">
        <v>108</v>
      </c>
      <c r="F1256" s="899"/>
      <c r="G1256" s="900"/>
      <c r="H1256" s="901"/>
      <c r="I1256" s="902"/>
      <c r="J1256" s="902"/>
      <c r="K1256" s="912" t="s">
        <v>274</v>
      </c>
      <c r="L1256" s="902"/>
      <c r="M1256" s="902"/>
      <c r="N1256" s="902"/>
      <c r="O1256" s="892">
        <f t="shared" si="76"/>
        <v>0</v>
      </c>
      <c r="P1256" s="903">
        <f t="shared" si="77"/>
        <v>1</v>
      </c>
      <c r="Q1256" s="893">
        <f t="shared" si="78"/>
        <v>5</v>
      </c>
      <c r="R1256" s="894">
        <f t="shared" si="79"/>
        <v>0</v>
      </c>
    </row>
    <row r="1257" spans="1:18">
      <c r="A1257" s="905"/>
      <c r="B1257" s="906"/>
      <c r="C1257" s="907">
        <v>66</v>
      </c>
      <c r="D1257" s="907" t="s">
        <v>279</v>
      </c>
      <c r="E1257" s="925" t="s">
        <v>2682</v>
      </c>
      <c r="F1257" s="926" t="s">
        <v>45</v>
      </c>
      <c r="G1257" s="910"/>
      <c r="H1257" s="911">
        <v>5.3999999999999999E-2</v>
      </c>
      <c r="I1257" s="912">
        <f>VLOOKUP(E1257,[3]VLP!$B$7:$K$300,10,0)</f>
        <v>5000</v>
      </c>
      <c r="J1257" s="912">
        <f>I1257*H1257</f>
        <v>270</v>
      </c>
      <c r="K1257" s="912" t="s">
        <v>274</v>
      </c>
      <c r="L1257" s="912"/>
      <c r="M1257" s="912"/>
      <c r="N1257" s="912"/>
      <c r="O1257" s="892">
        <f t="shared" si="76"/>
        <v>0</v>
      </c>
      <c r="P1257" s="903">
        <f t="shared" si="77"/>
        <v>1</v>
      </c>
      <c r="Q1257" s="893">
        <f t="shared" si="78"/>
        <v>4</v>
      </c>
      <c r="R1257" s="894">
        <f t="shared" si="79"/>
        <v>0</v>
      </c>
    </row>
    <row r="1258" spans="1:18">
      <c r="A1258" s="905"/>
      <c r="B1258" s="906"/>
      <c r="C1258" s="907">
        <v>44</v>
      </c>
      <c r="D1258" s="907" t="s">
        <v>279</v>
      </c>
      <c r="E1258" s="925" t="s">
        <v>2681</v>
      </c>
      <c r="F1258" s="926" t="s">
        <v>45</v>
      </c>
      <c r="G1258" s="910"/>
      <c r="H1258" s="911">
        <v>0.29699999999999999</v>
      </c>
      <c r="I1258" s="912">
        <f>VLOOKUP(E1258,[3]VLP!$B$7:$K$300,10,0)</f>
        <v>23000</v>
      </c>
      <c r="J1258" s="912">
        <f>I1258*H1258</f>
        <v>6831</v>
      </c>
      <c r="K1258" s="912" t="s">
        <v>274</v>
      </c>
      <c r="L1258" s="912"/>
      <c r="M1258" s="912"/>
      <c r="N1258" s="912"/>
      <c r="O1258" s="892">
        <f t="shared" si="76"/>
        <v>0</v>
      </c>
      <c r="P1258" s="903">
        <f t="shared" si="77"/>
        <v>1</v>
      </c>
      <c r="Q1258" s="893">
        <f t="shared" si="78"/>
        <v>3</v>
      </c>
      <c r="R1258" s="894">
        <f t="shared" si="79"/>
        <v>0</v>
      </c>
    </row>
    <row r="1259" spans="1:18" s="904" customFormat="1">
      <c r="A1259" s="895"/>
      <c r="B1259" s="896"/>
      <c r="C1259" s="897"/>
      <c r="D1259" s="897"/>
      <c r="E1259" s="924" t="s">
        <v>276</v>
      </c>
      <c r="F1259" s="927"/>
      <c r="G1259" s="928"/>
      <c r="H1259" s="901"/>
      <c r="I1259" s="902"/>
      <c r="J1259" s="902"/>
      <c r="K1259" s="912" t="s">
        <v>274</v>
      </c>
      <c r="L1259" s="902"/>
      <c r="M1259" s="902"/>
      <c r="N1259" s="902"/>
      <c r="O1259" s="892">
        <f t="shared" si="76"/>
        <v>0</v>
      </c>
      <c r="P1259" s="903">
        <f t="shared" si="77"/>
        <v>1</v>
      </c>
      <c r="Q1259" s="893">
        <f t="shared" si="78"/>
        <v>2</v>
      </c>
      <c r="R1259" s="894">
        <f t="shared" si="79"/>
        <v>0</v>
      </c>
    </row>
    <row r="1260" spans="1:18">
      <c r="A1260" s="905"/>
      <c r="B1260" s="906"/>
      <c r="C1260" s="907">
        <v>740</v>
      </c>
      <c r="D1260" s="907" t="s">
        <v>12</v>
      </c>
      <c r="E1260" s="908" t="s">
        <v>4008</v>
      </c>
      <c r="F1260" s="909" t="s">
        <v>2674</v>
      </c>
      <c r="G1260" s="910"/>
      <c r="H1260" s="911">
        <v>2.61</v>
      </c>
      <c r="I1260" s="912"/>
      <c r="J1260" s="912"/>
      <c r="K1260" s="912">
        <f>VLOOKUP(E1260,ĐMNC!$A$7:$F$67,4,0)</f>
        <v>252714</v>
      </c>
      <c r="L1260" s="912">
        <f>H1260*K1260</f>
        <v>659583.53999999992</v>
      </c>
      <c r="M1260" s="912"/>
      <c r="N1260" s="912"/>
      <c r="O1260" s="892">
        <f t="shared" si="76"/>
        <v>0</v>
      </c>
      <c r="P1260" s="903">
        <f t="shared" si="77"/>
        <v>1</v>
      </c>
      <c r="Q1260" s="893">
        <f t="shared" si="78"/>
        <v>1</v>
      </c>
      <c r="R1260" s="894">
        <f t="shared" si="79"/>
        <v>0</v>
      </c>
    </row>
    <row r="1261" spans="1:18" s="847" customFormat="1" ht="31.5">
      <c r="A1261" s="905"/>
      <c r="B1261" s="914" t="s">
        <v>4348</v>
      </c>
      <c r="C1261" s="915"/>
      <c r="D1261" s="915"/>
      <c r="E1261" s="916" t="s">
        <v>4349</v>
      </c>
      <c r="F1261" s="917" t="s">
        <v>249</v>
      </c>
      <c r="G1261" s="918"/>
      <c r="H1261" s="919"/>
      <c r="I1261" s="920"/>
      <c r="J1261" s="891">
        <f>SUM(J1262:J1266)</f>
        <v>7101</v>
      </c>
      <c r="K1261" s="891"/>
      <c r="L1261" s="891">
        <f>SUM(L1262:L1266)</f>
        <v>725289.18</v>
      </c>
      <c r="M1261" s="891"/>
      <c r="N1261" s="891">
        <f>SUM(N1262:N1266)</f>
        <v>0</v>
      </c>
      <c r="O1261" s="892">
        <f t="shared" si="76"/>
        <v>1</v>
      </c>
      <c r="P1261" s="903">
        <f t="shared" si="77"/>
        <v>0</v>
      </c>
      <c r="Q1261" s="893">
        <f t="shared" si="78"/>
        <v>0</v>
      </c>
      <c r="R1261" s="894">
        <f t="shared" si="79"/>
        <v>5</v>
      </c>
    </row>
    <row r="1262" spans="1:18" s="904" customFormat="1">
      <c r="A1262" s="895"/>
      <c r="B1262" s="896"/>
      <c r="C1262" s="897"/>
      <c r="D1262" s="897"/>
      <c r="E1262" s="924" t="s">
        <v>108</v>
      </c>
      <c r="F1262" s="899"/>
      <c r="G1262" s="900"/>
      <c r="H1262" s="901"/>
      <c r="I1262" s="902"/>
      <c r="J1262" s="902"/>
      <c r="K1262" s="912" t="s">
        <v>274</v>
      </c>
      <c r="L1262" s="902"/>
      <c r="M1262" s="902"/>
      <c r="N1262" s="902"/>
      <c r="O1262" s="892">
        <f t="shared" si="76"/>
        <v>0</v>
      </c>
      <c r="P1262" s="903">
        <f t="shared" si="77"/>
        <v>1</v>
      </c>
      <c r="Q1262" s="893">
        <f t="shared" si="78"/>
        <v>5</v>
      </c>
      <c r="R1262" s="894">
        <f t="shared" si="79"/>
        <v>0</v>
      </c>
    </row>
    <row r="1263" spans="1:18">
      <c r="A1263" s="905"/>
      <c r="B1263" s="906"/>
      <c r="C1263" s="907">
        <v>66</v>
      </c>
      <c r="D1263" s="907" t="s">
        <v>279</v>
      </c>
      <c r="E1263" s="925" t="s">
        <v>2682</v>
      </c>
      <c r="F1263" s="926" t="s">
        <v>45</v>
      </c>
      <c r="G1263" s="910"/>
      <c r="H1263" s="911">
        <v>5.3999999999999999E-2</v>
      </c>
      <c r="I1263" s="912">
        <f>VLOOKUP(E1263,[3]VLP!$B$7:$K$300,10,0)</f>
        <v>5000</v>
      </c>
      <c r="J1263" s="912">
        <f>I1263*H1263</f>
        <v>270</v>
      </c>
      <c r="K1263" s="912" t="s">
        <v>274</v>
      </c>
      <c r="L1263" s="912"/>
      <c r="M1263" s="912"/>
      <c r="N1263" s="912"/>
      <c r="O1263" s="892">
        <f t="shared" si="76"/>
        <v>0</v>
      </c>
      <c r="P1263" s="903">
        <f t="shared" si="77"/>
        <v>1</v>
      </c>
      <c r="Q1263" s="893">
        <f t="shared" si="78"/>
        <v>4</v>
      </c>
      <c r="R1263" s="894">
        <f t="shared" si="79"/>
        <v>0</v>
      </c>
    </row>
    <row r="1264" spans="1:18">
      <c r="A1264" s="905"/>
      <c r="B1264" s="906"/>
      <c r="C1264" s="907">
        <v>44</v>
      </c>
      <c r="D1264" s="907" t="s">
        <v>279</v>
      </c>
      <c r="E1264" s="925" t="s">
        <v>2681</v>
      </c>
      <c r="F1264" s="926" t="s">
        <v>45</v>
      </c>
      <c r="G1264" s="910"/>
      <c r="H1264" s="911">
        <v>0.29699999999999999</v>
      </c>
      <c r="I1264" s="912">
        <f>VLOOKUP(E1264,[3]VLP!$B$7:$K$300,10,0)</f>
        <v>23000</v>
      </c>
      <c r="J1264" s="912">
        <f>I1264*H1264</f>
        <v>6831</v>
      </c>
      <c r="K1264" s="912" t="s">
        <v>274</v>
      </c>
      <c r="L1264" s="912"/>
      <c r="M1264" s="912"/>
      <c r="N1264" s="912"/>
      <c r="O1264" s="892">
        <f t="shared" si="76"/>
        <v>0</v>
      </c>
      <c r="P1264" s="903">
        <f t="shared" si="77"/>
        <v>1</v>
      </c>
      <c r="Q1264" s="893">
        <f t="shared" si="78"/>
        <v>3</v>
      </c>
      <c r="R1264" s="894">
        <f t="shared" si="79"/>
        <v>0</v>
      </c>
    </row>
    <row r="1265" spans="1:18" s="904" customFormat="1">
      <c r="A1265" s="895"/>
      <c r="B1265" s="896"/>
      <c r="C1265" s="897"/>
      <c r="D1265" s="897"/>
      <c r="E1265" s="924" t="s">
        <v>276</v>
      </c>
      <c r="F1265" s="927"/>
      <c r="G1265" s="928"/>
      <c r="H1265" s="901"/>
      <c r="I1265" s="902"/>
      <c r="J1265" s="902"/>
      <c r="K1265" s="912" t="s">
        <v>274</v>
      </c>
      <c r="L1265" s="902"/>
      <c r="M1265" s="902"/>
      <c r="N1265" s="902"/>
      <c r="O1265" s="892">
        <f t="shared" si="76"/>
        <v>0</v>
      </c>
      <c r="P1265" s="903">
        <f t="shared" si="77"/>
        <v>1</v>
      </c>
      <c r="Q1265" s="893">
        <f t="shared" si="78"/>
        <v>2</v>
      </c>
      <c r="R1265" s="894">
        <f t="shared" si="79"/>
        <v>0</v>
      </c>
    </row>
    <row r="1266" spans="1:18">
      <c r="A1266" s="905"/>
      <c r="B1266" s="906"/>
      <c r="C1266" s="907">
        <v>740</v>
      </c>
      <c r="D1266" s="907" t="s">
        <v>12</v>
      </c>
      <c r="E1266" s="908" t="s">
        <v>4008</v>
      </c>
      <c r="F1266" s="909" t="s">
        <v>2674</v>
      </c>
      <c r="G1266" s="910"/>
      <c r="H1266" s="911">
        <v>2.87</v>
      </c>
      <c r="I1266" s="912"/>
      <c r="J1266" s="912"/>
      <c r="K1266" s="912">
        <f>VLOOKUP(E1266,ĐMNC!$A$7:$F$67,4,0)</f>
        <v>252714</v>
      </c>
      <c r="L1266" s="912">
        <f>H1266*K1266</f>
        <v>725289.18</v>
      </c>
      <c r="M1266" s="912"/>
      <c r="N1266" s="912"/>
      <c r="O1266" s="892">
        <f t="shared" si="76"/>
        <v>0</v>
      </c>
      <c r="P1266" s="903">
        <f t="shared" si="77"/>
        <v>1</v>
      </c>
      <c r="Q1266" s="893">
        <f t="shared" si="78"/>
        <v>1</v>
      </c>
      <c r="R1266" s="894">
        <f t="shared" si="79"/>
        <v>0</v>
      </c>
    </row>
    <row r="1267" spans="1:18" s="847" customFormat="1" ht="31.5">
      <c r="A1267" s="905"/>
      <c r="B1267" s="914" t="s">
        <v>4350</v>
      </c>
      <c r="C1267" s="915"/>
      <c r="D1267" s="915"/>
      <c r="E1267" s="916" t="s">
        <v>4351</v>
      </c>
      <c r="F1267" s="917" t="s">
        <v>249</v>
      </c>
      <c r="G1267" s="918"/>
      <c r="H1267" s="919"/>
      <c r="I1267" s="920"/>
      <c r="J1267" s="891">
        <f>SUM(J1268:J1272)</f>
        <v>7101</v>
      </c>
      <c r="K1267" s="891"/>
      <c r="L1267" s="891">
        <f>SUM(L1268:L1272)</f>
        <v>836483.34</v>
      </c>
      <c r="M1267" s="891"/>
      <c r="N1267" s="891">
        <f>SUM(N1268:N1272)</f>
        <v>0</v>
      </c>
      <c r="O1267" s="892">
        <f t="shared" si="76"/>
        <v>1</v>
      </c>
      <c r="P1267" s="903">
        <f t="shared" si="77"/>
        <v>0</v>
      </c>
      <c r="Q1267" s="893">
        <f t="shared" si="78"/>
        <v>0</v>
      </c>
      <c r="R1267" s="894">
        <f t="shared" si="79"/>
        <v>5</v>
      </c>
    </row>
    <row r="1268" spans="1:18" s="904" customFormat="1">
      <c r="A1268" s="895"/>
      <c r="B1268" s="896"/>
      <c r="C1268" s="897"/>
      <c r="D1268" s="897"/>
      <c r="E1268" s="924" t="s">
        <v>108</v>
      </c>
      <c r="F1268" s="899"/>
      <c r="G1268" s="900"/>
      <c r="H1268" s="901"/>
      <c r="I1268" s="902"/>
      <c r="J1268" s="902"/>
      <c r="K1268" s="912" t="s">
        <v>274</v>
      </c>
      <c r="L1268" s="902"/>
      <c r="M1268" s="902"/>
      <c r="N1268" s="902"/>
      <c r="O1268" s="892">
        <f t="shared" si="76"/>
        <v>0</v>
      </c>
      <c r="P1268" s="903">
        <f t="shared" si="77"/>
        <v>1</v>
      </c>
      <c r="Q1268" s="893">
        <f t="shared" si="78"/>
        <v>5</v>
      </c>
      <c r="R1268" s="894">
        <f t="shared" si="79"/>
        <v>0</v>
      </c>
    </row>
    <row r="1269" spans="1:18">
      <c r="A1269" s="905"/>
      <c r="B1269" s="906"/>
      <c r="C1269" s="907">
        <v>66</v>
      </c>
      <c r="D1269" s="907" t="s">
        <v>279</v>
      </c>
      <c r="E1269" s="925" t="s">
        <v>2682</v>
      </c>
      <c r="F1269" s="926" t="s">
        <v>45</v>
      </c>
      <c r="G1269" s="910"/>
      <c r="H1269" s="911">
        <v>5.3999999999999999E-2</v>
      </c>
      <c r="I1269" s="912">
        <f>VLOOKUP(E1269,[3]VLP!$B$7:$K$300,10,0)</f>
        <v>5000</v>
      </c>
      <c r="J1269" s="912">
        <f>I1269*H1269</f>
        <v>270</v>
      </c>
      <c r="K1269" s="912" t="s">
        <v>274</v>
      </c>
      <c r="L1269" s="912"/>
      <c r="M1269" s="912"/>
      <c r="N1269" s="912"/>
      <c r="O1269" s="892">
        <f t="shared" si="76"/>
        <v>0</v>
      </c>
      <c r="P1269" s="903">
        <f t="shared" si="77"/>
        <v>1</v>
      </c>
      <c r="Q1269" s="893">
        <f t="shared" si="78"/>
        <v>4</v>
      </c>
      <c r="R1269" s="894">
        <f t="shared" si="79"/>
        <v>0</v>
      </c>
    </row>
    <row r="1270" spans="1:18">
      <c r="A1270" s="905"/>
      <c r="B1270" s="906"/>
      <c r="C1270" s="907">
        <v>44</v>
      </c>
      <c r="D1270" s="907" t="s">
        <v>279</v>
      </c>
      <c r="E1270" s="925" t="s">
        <v>2681</v>
      </c>
      <c r="F1270" s="926" t="s">
        <v>45</v>
      </c>
      <c r="G1270" s="910"/>
      <c r="H1270" s="911">
        <v>0.29699999999999999</v>
      </c>
      <c r="I1270" s="912">
        <f>VLOOKUP(E1270,[3]VLP!$B$7:$K$300,10,0)</f>
        <v>23000</v>
      </c>
      <c r="J1270" s="912">
        <f>I1270*H1270</f>
        <v>6831</v>
      </c>
      <c r="K1270" s="912" t="s">
        <v>274</v>
      </c>
      <c r="L1270" s="912"/>
      <c r="M1270" s="912"/>
      <c r="N1270" s="912"/>
      <c r="O1270" s="892">
        <f t="shared" si="76"/>
        <v>0</v>
      </c>
      <c r="P1270" s="903">
        <f t="shared" si="77"/>
        <v>1</v>
      </c>
      <c r="Q1270" s="893">
        <f t="shared" si="78"/>
        <v>3</v>
      </c>
      <c r="R1270" s="894">
        <f t="shared" si="79"/>
        <v>0</v>
      </c>
    </row>
    <row r="1271" spans="1:18" s="904" customFormat="1">
      <c r="A1271" s="895"/>
      <c r="B1271" s="896"/>
      <c r="C1271" s="897"/>
      <c r="D1271" s="897"/>
      <c r="E1271" s="924" t="s">
        <v>276</v>
      </c>
      <c r="F1271" s="927"/>
      <c r="G1271" s="928"/>
      <c r="H1271" s="901"/>
      <c r="I1271" s="902"/>
      <c r="J1271" s="902"/>
      <c r="K1271" s="912" t="s">
        <v>274</v>
      </c>
      <c r="L1271" s="902"/>
      <c r="M1271" s="902"/>
      <c r="N1271" s="902"/>
      <c r="O1271" s="892">
        <f t="shared" si="76"/>
        <v>0</v>
      </c>
      <c r="P1271" s="903">
        <f t="shared" si="77"/>
        <v>1</v>
      </c>
      <c r="Q1271" s="893">
        <f t="shared" si="78"/>
        <v>2</v>
      </c>
      <c r="R1271" s="894">
        <f t="shared" si="79"/>
        <v>0</v>
      </c>
    </row>
    <row r="1272" spans="1:18">
      <c r="A1272" s="905"/>
      <c r="B1272" s="906"/>
      <c r="C1272" s="907">
        <v>740</v>
      </c>
      <c r="D1272" s="907" t="s">
        <v>12</v>
      </c>
      <c r="E1272" s="908" t="s">
        <v>4008</v>
      </c>
      <c r="F1272" s="909" t="s">
        <v>2674</v>
      </c>
      <c r="G1272" s="910"/>
      <c r="H1272" s="911">
        <v>3.31</v>
      </c>
      <c r="I1272" s="912"/>
      <c r="J1272" s="912"/>
      <c r="K1272" s="912">
        <f>VLOOKUP(E1272,ĐMNC!$A$7:$F$67,4,0)</f>
        <v>252714</v>
      </c>
      <c r="L1272" s="912">
        <f>H1272*K1272</f>
        <v>836483.34</v>
      </c>
      <c r="M1272" s="912"/>
      <c r="N1272" s="912"/>
      <c r="O1272" s="892">
        <f t="shared" si="76"/>
        <v>0</v>
      </c>
      <c r="P1272" s="903">
        <f t="shared" si="77"/>
        <v>1</v>
      </c>
      <c r="Q1272" s="893">
        <f t="shared" si="78"/>
        <v>1</v>
      </c>
      <c r="R1272" s="894">
        <f t="shared" si="79"/>
        <v>0</v>
      </c>
    </row>
    <row r="1273" spans="1:18" s="847" customFormat="1" ht="31.5">
      <c r="A1273" s="905"/>
      <c r="B1273" s="914" t="s">
        <v>4352</v>
      </c>
      <c r="C1273" s="915"/>
      <c r="D1273" s="915"/>
      <c r="E1273" s="916" t="s">
        <v>4353</v>
      </c>
      <c r="F1273" s="917" t="s">
        <v>249</v>
      </c>
      <c r="G1273" s="918"/>
      <c r="H1273" s="919"/>
      <c r="I1273" s="920"/>
      <c r="J1273" s="891">
        <f>SUM(J1274:J1278)</f>
        <v>7101</v>
      </c>
      <c r="K1273" s="891"/>
      <c r="L1273" s="891">
        <f>SUM(L1274:L1278)</f>
        <v>960313.2</v>
      </c>
      <c r="M1273" s="891"/>
      <c r="N1273" s="891">
        <f>SUM(N1274:N1278)</f>
        <v>0</v>
      </c>
      <c r="O1273" s="892">
        <f t="shared" si="76"/>
        <v>1</v>
      </c>
      <c r="P1273" s="903">
        <f t="shared" si="77"/>
        <v>0</v>
      </c>
      <c r="Q1273" s="893">
        <f t="shared" si="78"/>
        <v>0</v>
      </c>
      <c r="R1273" s="894">
        <f t="shared" si="79"/>
        <v>5</v>
      </c>
    </row>
    <row r="1274" spans="1:18" s="904" customFormat="1">
      <c r="A1274" s="895"/>
      <c r="B1274" s="896"/>
      <c r="C1274" s="897"/>
      <c r="D1274" s="897"/>
      <c r="E1274" s="924" t="s">
        <v>108</v>
      </c>
      <c r="F1274" s="899"/>
      <c r="G1274" s="900"/>
      <c r="H1274" s="901"/>
      <c r="I1274" s="902"/>
      <c r="J1274" s="902"/>
      <c r="K1274" s="912" t="s">
        <v>274</v>
      </c>
      <c r="L1274" s="902"/>
      <c r="M1274" s="902"/>
      <c r="N1274" s="902"/>
      <c r="O1274" s="892">
        <f t="shared" si="76"/>
        <v>0</v>
      </c>
      <c r="P1274" s="903">
        <f t="shared" si="77"/>
        <v>1</v>
      </c>
      <c r="Q1274" s="893">
        <f t="shared" si="78"/>
        <v>5</v>
      </c>
      <c r="R1274" s="894">
        <f t="shared" si="79"/>
        <v>0</v>
      </c>
    </row>
    <row r="1275" spans="1:18">
      <c r="A1275" s="905"/>
      <c r="B1275" s="906"/>
      <c r="C1275" s="907">
        <v>66</v>
      </c>
      <c r="D1275" s="907" t="s">
        <v>279</v>
      </c>
      <c r="E1275" s="925" t="s">
        <v>2682</v>
      </c>
      <c r="F1275" s="926" t="s">
        <v>45</v>
      </c>
      <c r="G1275" s="910"/>
      <c r="H1275" s="911">
        <v>5.3999999999999999E-2</v>
      </c>
      <c r="I1275" s="912">
        <f>VLOOKUP(E1275,[3]VLP!$B$7:$K$300,10,0)</f>
        <v>5000</v>
      </c>
      <c r="J1275" s="912">
        <f>I1275*H1275</f>
        <v>270</v>
      </c>
      <c r="K1275" s="912" t="s">
        <v>274</v>
      </c>
      <c r="L1275" s="912"/>
      <c r="M1275" s="912"/>
      <c r="N1275" s="912"/>
      <c r="O1275" s="892">
        <f t="shared" si="76"/>
        <v>0</v>
      </c>
      <c r="P1275" s="903">
        <f t="shared" si="77"/>
        <v>1</v>
      </c>
      <c r="Q1275" s="893">
        <f t="shared" si="78"/>
        <v>4</v>
      </c>
      <c r="R1275" s="894">
        <f t="shared" si="79"/>
        <v>0</v>
      </c>
    </row>
    <row r="1276" spans="1:18">
      <c r="A1276" s="905"/>
      <c r="B1276" s="906"/>
      <c r="C1276" s="907">
        <v>44</v>
      </c>
      <c r="D1276" s="907" t="s">
        <v>279</v>
      </c>
      <c r="E1276" s="925" t="s">
        <v>2681</v>
      </c>
      <c r="F1276" s="926" t="s">
        <v>45</v>
      </c>
      <c r="G1276" s="910"/>
      <c r="H1276" s="911">
        <v>0.29699999999999999</v>
      </c>
      <c r="I1276" s="912">
        <f>VLOOKUP(E1276,[3]VLP!$B$7:$K$300,10,0)</f>
        <v>23000</v>
      </c>
      <c r="J1276" s="912">
        <f>I1276*H1276</f>
        <v>6831</v>
      </c>
      <c r="K1276" s="912" t="s">
        <v>274</v>
      </c>
      <c r="L1276" s="912"/>
      <c r="M1276" s="912"/>
      <c r="N1276" s="912"/>
      <c r="O1276" s="892">
        <f t="shared" si="76"/>
        <v>0</v>
      </c>
      <c r="P1276" s="903">
        <f t="shared" si="77"/>
        <v>1</v>
      </c>
      <c r="Q1276" s="893">
        <f t="shared" si="78"/>
        <v>3</v>
      </c>
      <c r="R1276" s="894">
        <f t="shared" si="79"/>
        <v>0</v>
      </c>
    </row>
    <row r="1277" spans="1:18" s="904" customFormat="1">
      <c r="A1277" s="895"/>
      <c r="B1277" s="896"/>
      <c r="C1277" s="897"/>
      <c r="D1277" s="897"/>
      <c r="E1277" s="924" t="s">
        <v>276</v>
      </c>
      <c r="F1277" s="927"/>
      <c r="G1277" s="928"/>
      <c r="H1277" s="901"/>
      <c r="I1277" s="902"/>
      <c r="J1277" s="902"/>
      <c r="K1277" s="912" t="s">
        <v>274</v>
      </c>
      <c r="L1277" s="902"/>
      <c r="M1277" s="902"/>
      <c r="N1277" s="902"/>
      <c r="O1277" s="892">
        <f t="shared" si="76"/>
        <v>0</v>
      </c>
      <c r="P1277" s="903">
        <f t="shared" si="77"/>
        <v>1</v>
      </c>
      <c r="Q1277" s="893">
        <f t="shared" si="78"/>
        <v>2</v>
      </c>
      <c r="R1277" s="894">
        <f t="shared" si="79"/>
        <v>0</v>
      </c>
    </row>
    <row r="1278" spans="1:18">
      <c r="A1278" s="905"/>
      <c r="B1278" s="906"/>
      <c r="C1278" s="907">
        <v>740</v>
      </c>
      <c r="D1278" s="907" t="s">
        <v>12</v>
      </c>
      <c r="E1278" s="908" t="s">
        <v>4008</v>
      </c>
      <c r="F1278" s="909" t="s">
        <v>2674</v>
      </c>
      <c r="G1278" s="910"/>
      <c r="H1278" s="911">
        <v>3.8</v>
      </c>
      <c r="I1278" s="912"/>
      <c r="J1278" s="912"/>
      <c r="K1278" s="912">
        <f>VLOOKUP(E1278,ĐMNC!$A$7:$F$67,4,0)</f>
        <v>252714</v>
      </c>
      <c r="L1278" s="912">
        <f>H1278*K1278</f>
        <v>960313.2</v>
      </c>
      <c r="M1278" s="912"/>
      <c r="N1278" s="912"/>
      <c r="O1278" s="892">
        <f t="shared" si="76"/>
        <v>0</v>
      </c>
      <c r="P1278" s="903">
        <f t="shared" si="77"/>
        <v>1</v>
      </c>
      <c r="Q1278" s="893">
        <f t="shared" si="78"/>
        <v>1</v>
      </c>
      <c r="R1278" s="894">
        <f t="shared" si="79"/>
        <v>0</v>
      </c>
    </row>
    <row r="1279" spans="1:18" s="847" customFormat="1" ht="31.5">
      <c r="A1279" s="905"/>
      <c r="B1279" s="914" t="s">
        <v>4354</v>
      </c>
      <c r="C1279" s="915"/>
      <c r="D1279" s="915"/>
      <c r="E1279" s="916" t="s">
        <v>4355</v>
      </c>
      <c r="F1279" s="917" t="s">
        <v>249</v>
      </c>
      <c r="G1279" s="918"/>
      <c r="H1279" s="919"/>
      <c r="I1279" s="920"/>
      <c r="J1279" s="891">
        <f>SUM(J1280:J1284)</f>
        <v>8550</v>
      </c>
      <c r="K1279" s="891"/>
      <c r="L1279" s="891">
        <f>SUM(L1280:L1284)</f>
        <v>571133.6399999999</v>
      </c>
      <c r="M1279" s="891"/>
      <c r="N1279" s="891">
        <f>SUM(N1280:N1284)</f>
        <v>0</v>
      </c>
      <c r="O1279" s="892">
        <f t="shared" si="76"/>
        <v>1</v>
      </c>
      <c r="P1279" s="903">
        <f t="shared" si="77"/>
        <v>0</v>
      </c>
      <c r="Q1279" s="893">
        <f t="shared" si="78"/>
        <v>0</v>
      </c>
      <c r="R1279" s="894">
        <f t="shared" si="79"/>
        <v>5</v>
      </c>
    </row>
    <row r="1280" spans="1:18" s="904" customFormat="1">
      <c r="A1280" s="895"/>
      <c r="B1280" s="896"/>
      <c r="C1280" s="897"/>
      <c r="D1280" s="897"/>
      <c r="E1280" s="924" t="s">
        <v>108</v>
      </c>
      <c r="F1280" s="899"/>
      <c r="G1280" s="900"/>
      <c r="H1280" s="901"/>
      <c r="I1280" s="902"/>
      <c r="J1280" s="902"/>
      <c r="K1280" s="912" t="s">
        <v>274</v>
      </c>
      <c r="L1280" s="902"/>
      <c r="M1280" s="902"/>
      <c r="N1280" s="902"/>
      <c r="O1280" s="892">
        <f t="shared" si="76"/>
        <v>0</v>
      </c>
      <c r="P1280" s="903">
        <f t="shared" si="77"/>
        <v>1</v>
      </c>
      <c r="Q1280" s="893">
        <f t="shared" si="78"/>
        <v>5</v>
      </c>
      <c r="R1280" s="894">
        <f t="shared" si="79"/>
        <v>0</v>
      </c>
    </row>
    <row r="1281" spans="1:18">
      <c r="A1281" s="905"/>
      <c r="B1281" s="906"/>
      <c r="C1281" s="907">
        <v>66</v>
      </c>
      <c r="D1281" s="907" t="s">
        <v>279</v>
      </c>
      <c r="E1281" s="925" t="s">
        <v>2682</v>
      </c>
      <c r="F1281" s="926" t="s">
        <v>45</v>
      </c>
      <c r="G1281" s="910"/>
      <c r="H1281" s="911">
        <v>5.3999999999999999E-2</v>
      </c>
      <c r="I1281" s="912">
        <f>VLOOKUP(E1281,[3]VLP!$B$7:$K$300,10,0)</f>
        <v>5000</v>
      </c>
      <c r="J1281" s="912">
        <f>I1281*H1281</f>
        <v>270</v>
      </c>
      <c r="K1281" s="912" t="s">
        <v>274</v>
      </c>
      <c r="L1281" s="912"/>
      <c r="M1281" s="912"/>
      <c r="N1281" s="912"/>
      <c r="O1281" s="892">
        <f t="shared" si="76"/>
        <v>0</v>
      </c>
      <c r="P1281" s="903">
        <f t="shared" si="77"/>
        <v>1</v>
      </c>
      <c r="Q1281" s="893">
        <f t="shared" si="78"/>
        <v>4</v>
      </c>
      <c r="R1281" s="894">
        <f t="shared" si="79"/>
        <v>0</v>
      </c>
    </row>
    <row r="1282" spans="1:18">
      <c r="A1282" s="905"/>
      <c r="B1282" s="906"/>
      <c r="C1282" s="907">
        <v>44</v>
      </c>
      <c r="D1282" s="907" t="s">
        <v>279</v>
      </c>
      <c r="E1282" s="925" t="s">
        <v>2681</v>
      </c>
      <c r="F1282" s="926" t="s">
        <v>45</v>
      </c>
      <c r="G1282" s="910"/>
      <c r="H1282" s="911">
        <v>0.36</v>
      </c>
      <c r="I1282" s="912">
        <f>VLOOKUP(E1282,[3]VLP!$B$7:$K$300,10,0)</f>
        <v>23000</v>
      </c>
      <c r="J1282" s="912">
        <f>I1282*H1282</f>
        <v>8280</v>
      </c>
      <c r="K1282" s="912" t="s">
        <v>274</v>
      </c>
      <c r="L1282" s="912"/>
      <c r="M1282" s="912"/>
      <c r="N1282" s="912"/>
      <c r="O1282" s="892">
        <f t="shared" si="76"/>
        <v>0</v>
      </c>
      <c r="P1282" s="903">
        <f t="shared" si="77"/>
        <v>1</v>
      </c>
      <c r="Q1282" s="893">
        <f t="shared" si="78"/>
        <v>3</v>
      </c>
      <c r="R1282" s="894">
        <f t="shared" si="79"/>
        <v>0</v>
      </c>
    </row>
    <row r="1283" spans="1:18" s="904" customFormat="1">
      <c r="A1283" s="895"/>
      <c r="B1283" s="896"/>
      <c r="C1283" s="897"/>
      <c r="D1283" s="897"/>
      <c r="E1283" s="924" t="s">
        <v>276</v>
      </c>
      <c r="F1283" s="927"/>
      <c r="G1283" s="928"/>
      <c r="H1283" s="901"/>
      <c r="I1283" s="902"/>
      <c r="J1283" s="902"/>
      <c r="K1283" s="912" t="s">
        <v>274</v>
      </c>
      <c r="L1283" s="902"/>
      <c r="M1283" s="902"/>
      <c r="N1283" s="902"/>
      <c r="O1283" s="892">
        <f t="shared" si="76"/>
        <v>0</v>
      </c>
      <c r="P1283" s="903">
        <f t="shared" si="77"/>
        <v>1</v>
      </c>
      <c r="Q1283" s="893">
        <f t="shared" si="78"/>
        <v>2</v>
      </c>
      <c r="R1283" s="894">
        <f t="shared" si="79"/>
        <v>0</v>
      </c>
    </row>
    <row r="1284" spans="1:18">
      <c r="A1284" s="905"/>
      <c r="B1284" s="906"/>
      <c r="C1284" s="907">
        <v>740</v>
      </c>
      <c r="D1284" s="907" t="s">
        <v>12</v>
      </c>
      <c r="E1284" s="908" t="s">
        <v>4008</v>
      </c>
      <c r="F1284" s="909" t="s">
        <v>2674</v>
      </c>
      <c r="G1284" s="910"/>
      <c r="H1284" s="911">
        <v>2.2599999999999998</v>
      </c>
      <c r="I1284" s="912"/>
      <c r="J1284" s="912"/>
      <c r="K1284" s="912">
        <f>VLOOKUP(E1284,ĐMNC!$A$7:$F$67,4,0)</f>
        <v>252714</v>
      </c>
      <c r="L1284" s="912">
        <f>H1284*K1284</f>
        <v>571133.6399999999</v>
      </c>
      <c r="M1284" s="912"/>
      <c r="N1284" s="912"/>
      <c r="O1284" s="892">
        <f t="shared" si="76"/>
        <v>0</v>
      </c>
      <c r="P1284" s="903">
        <f t="shared" si="77"/>
        <v>1</v>
      </c>
      <c r="Q1284" s="893">
        <f t="shared" si="78"/>
        <v>1</v>
      </c>
      <c r="R1284" s="894">
        <f t="shared" si="79"/>
        <v>0</v>
      </c>
    </row>
    <row r="1285" spans="1:18" s="847" customFormat="1" ht="31.5">
      <c r="A1285" s="905"/>
      <c r="B1285" s="914" t="s">
        <v>4356</v>
      </c>
      <c r="C1285" s="915"/>
      <c r="D1285" s="915"/>
      <c r="E1285" s="916" t="s">
        <v>4357</v>
      </c>
      <c r="F1285" s="917" t="s">
        <v>249</v>
      </c>
      <c r="G1285" s="918"/>
      <c r="H1285" s="919"/>
      <c r="I1285" s="920"/>
      <c r="J1285" s="891">
        <f>SUM(J1286:J1290)</f>
        <v>8550</v>
      </c>
      <c r="K1285" s="891"/>
      <c r="L1285" s="891">
        <f>SUM(L1286:L1290)</f>
        <v>601459.31999999995</v>
      </c>
      <c r="M1285" s="891"/>
      <c r="N1285" s="891">
        <f>SUM(N1286:N1290)</f>
        <v>0</v>
      </c>
      <c r="O1285" s="892">
        <f t="shared" si="76"/>
        <v>1</v>
      </c>
      <c r="P1285" s="903">
        <f t="shared" si="77"/>
        <v>0</v>
      </c>
      <c r="Q1285" s="893">
        <f t="shared" si="78"/>
        <v>0</v>
      </c>
      <c r="R1285" s="894">
        <f t="shared" si="79"/>
        <v>5</v>
      </c>
    </row>
    <row r="1286" spans="1:18" s="904" customFormat="1">
      <c r="A1286" s="895"/>
      <c r="B1286" s="896"/>
      <c r="C1286" s="897"/>
      <c r="D1286" s="897"/>
      <c r="E1286" s="924" t="s">
        <v>108</v>
      </c>
      <c r="F1286" s="899"/>
      <c r="G1286" s="900"/>
      <c r="H1286" s="901"/>
      <c r="I1286" s="902"/>
      <c r="J1286" s="902"/>
      <c r="K1286" s="912" t="s">
        <v>274</v>
      </c>
      <c r="L1286" s="902"/>
      <c r="M1286" s="902"/>
      <c r="N1286" s="902"/>
      <c r="O1286" s="892">
        <f t="shared" ref="O1286:O1349" si="80">IF(AND(B1286&lt;&gt;"",D1286=""),1,0)</f>
        <v>0</v>
      </c>
      <c r="P1286" s="903">
        <f t="shared" si="77"/>
        <v>1</v>
      </c>
      <c r="Q1286" s="893">
        <f t="shared" si="78"/>
        <v>5</v>
      </c>
      <c r="R1286" s="894">
        <f t="shared" si="79"/>
        <v>0</v>
      </c>
    </row>
    <row r="1287" spans="1:18">
      <c r="A1287" s="905"/>
      <c r="B1287" s="906"/>
      <c r="C1287" s="907">
        <v>66</v>
      </c>
      <c r="D1287" s="907" t="s">
        <v>279</v>
      </c>
      <c r="E1287" s="925" t="s">
        <v>2682</v>
      </c>
      <c r="F1287" s="926" t="s">
        <v>45</v>
      </c>
      <c r="G1287" s="910"/>
      <c r="H1287" s="911">
        <v>5.3999999999999999E-2</v>
      </c>
      <c r="I1287" s="912">
        <f>VLOOKUP(E1287,[3]VLP!$B$7:$K$300,10,0)</f>
        <v>5000</v>
      </c>
      <c r="J1287" s="912">
        <f>I1287*H1287</f>
        <v>270</v>
      </c>
      <c r="K1287" s="912" t="s">
        <v>274</v>
      </c>
      <c r="L1287" s="912"/>
      <c r="M1287" s="912"/>
      <c r="N1287" s="912"/>
      <c r="O1287" s="892">
        <f t="shared" si="80"/>
        <v>0</v>
      </c>
      <c r="P1287" s="903">
        <f t="shared" si="77"/>
        <v>1</v>
      </c>
      <c r="Q1287" s="893">
        <f t="shared" si="78"/>
        <v>4</v>
      </c>
      <c r="R1287" s="894">
        <f t="shared" si="79"/>
        <v>0</v>
      </c>
    </row>
    <row r="1288" spans="1:18">
      <c r="A1288" s="905"/>
      <c r="B1288" s="906"/>
      <c r="C1288" s="907">
        <v>44</v>
      </c>
      <c r="D1288" s="907" t="s">
        <v>279</v>
      </c>
      <c r="E1288" s="925" t="s">
        <v>2681</v>
      </c>
      <c r="F1288" s="926" t="s">
        <v>45</v>
      </c>
      <c r="G1288" s="910"/>
      <c r="H1288" s="911">
        <v>0.36</v>
      </c>
      <c r="I1288" s="912">
        <f>VLOOKUP(E1288,[3]VLP!$B$7:$K$300,10,0)</f>
        <v>23000</v>
      </c>
      <c r="J1288" s="912">
        <f>I1288*H1288</f>
        <v>8280</v>
      </c>
      <c r="K1288" s="912" t="s">
        <v>274</v>
      </c>
      <c r="L1288" s="912"/>
      <c r="M1288" s="912"/>
      <c r="N1288" s="912"/>
      <c r="O1288" s="892">
        <f t="shared" si="80"/>
        <v>0</v>
      </c>
      <c r="P1288" s="903">
        <f t="shared" si="77"/>
        <v>1</v>
      </c>
      <c r="Q1288" s="893">
        <f t="shared" si="78"/>
        <v>3</v>
      </c>
      <c r="R1288" s="894">
        <f t="shared" si="79"/>
        <v>0</v>
      </c>
    </row>
    <row r="1289" spans="1:18" s="904" customFormat="1">
      <c r="A1289" s="895"/>
      <c r="B1289" s="896"/>
      <c r="C1289" s="897"/>
      <c r="D1289" s="897"/>
      <c r="E1289" s="924" t="s">
        <v>276</v>
      </c>
      <c r="F1289" s="927"/>
      <c r="G1289" s="928"/>
      <c r="H1289" s="901"/>
      <c r="I1289" s="902"/>
      <c r="J1289" s="902"/>
      <c r="K1289" s="912" t="s">
        <v>274</v>
      </c>
      <c r="L1289" s="902"/>
      <c r="M1289" s="902"/>
      <c r="N1289" s="902"/>
      <c r="O1289" s="892">
        <f t="shared" si="80"/>
        <v>0</v>
      </c>
      <c r="P1289" s="903">
        <f t="shared" si="77"/>
        <v>1</v>
      </c>
      <c r="Q1289" s="893">
        <f t="shared" si="78"/>
        <v>2</v>
      </c>
      <c r="R1289" s="894">
        <f t="shared" si="79"/>
        <v>0</v>
      </c>
    </row>
    <row r="1290" spans="1:18">
      <c r="A1290" s="905"/>
      <c r="B1290" s="906"/>
      <c r="C1290" s="907">
        <v>740</v>
      </c>
      <c r="D1290" s="907" t="s">
        <v>12</v>
      </c>
      <c r="E1290" s="908" t="s">
        <v>4008</v>
      </c>
      <c r="F1290" s="909" t="s">
        <v>2674</v>
      </c>
      <c r="G1290" s="910"/>
      <c r="H1290" s="911">
        <v>2.38</v>
      </c>
      <c r="I1290" s="912"/>
      <c r="J1290" s="912"/>
      <c r="K1290" s="912">
        <f>VLOOKUP(E1290,ĐMNC!$A$7:$F$67,4,0)</f>
        <v>252714</v>
      </c>
      <c r="L1290" s="912">
        <f>H1290*K1290</f>
        <v>601459.31999999995</v>
      </c>
      <c r="M1290" s="912"/>
      <c r="N1290" s="912"/>
      <c r="O1290" s="892">
        <f t="shared" si="80"/>
        <v>0</v>
      </c>
      <c r="P1290" s="903">
        <f t="shared" si="77"/>
        <v>1</v>
      </c>
      <c r="Q1290" s="893">
        <f t="shared" si="78"/>
        <v>1</v>
      </c>
      <c r="R1290" s="894">
        <f t="shared" si="79"/>
        <v>0</v>
      </c>
    </row>
    <row r="1291" spans="1:18" s="847" customFormat="1" ht="31.5">
      <c r="A1291" s="905"/>
      <c r="B1291" s="914" t="s">
        <v>4358</v>
      </c>
      <c r="C1291" s="915"/>
      <c r="D1291" s="915"/>
      <c r="E1291" s="916" t="s">
        <v>4359</v>
      </c>
      <c r="F1291" s="917" t="s">
        <v>249</v>
      </c>
      <c r="G1291" s="918"/>
      <c r="H1291" s="919"/>
      <c r="I1291" s="920"/>
      <c r="J1291" s="891">
        <f>SUM(J1292:J1296)</f>
        <v>8550</v>
      </c>
      <c r="K1291" s="891"/>
      <c r="L1291" s="891">
        <f>SUM(L1292:L1296)</f>
        <v>654529.26</v>
      </c>
      <c r="M1291" s="891"/>
      <c r="N1291" s="891">
        <f>SUM(N1292:N1296)</f>
        <v>0</v>
      </c>
      <c r="O1291" s="892">
        <f t="shared" si="80"/>
        <v>1</v>
      </c>
      <c r="P1291" s="903">
        <f t="shared" si="77"/>
        <v>0</v>
      </c>
      <c r="Q1291" s="893">
        <f t="shared" si="78"/>
        <v>0</v>
      </c>
      <c r="R1291" s="894">
        <f t="shared" si="79"/>
        <v>5</v>
      </c>
    </row>
    <row r="1292" spans="1:18" s="904" customFormat="1">
      <c r="A1292" s="895"/>
      <c r="B1292" s="896"/>
      <c r="C1292" s="897"/>
      <c r="D1292" s="897"/>
      <c r="E1292" s="924" t="s">
        <v>108</v>
      </c>
      <c r="F1292" s="899"/>
      <c r="G1292" s="900"/>
      <c r="H1292" s="901"/>
      <c r="I1292" s="902"/>
      <c r="J1292" s="902"/>
      <c r="K1292" s="912" t="s">
        <v>274</v>
      </c>
      <c r="L1292" s="902"/>
      <c r="M1292" s="902"/>
      <c r="N1292" s="902"/>
      <c r="O1292" s="892">
        <f t="shared" si="80"/>
        <v>0</v>
      </c>
      <c r="P1292" s="903">
        <f t="shared" si="77"/>
        <v>1</v>
      </c>
      <c r="Q1292" s="893">
        <f t="shared" si="78"/>
        <v>5</v>
      </c>
      <c r="R1292" s="894">
        <f t="shared" si="79"/>
        <v>0</v>
      </c>
    </row>
    <row r="1293" spans="1:18">
      <c r="A1293" s="905"/>
      <c r="B1293" s="906"/>
      <c r="C1293" s="907">
        <v>66</v>
      </c>
      <c r="D1293" s="907" t="s">
        <v>279</v>
      </c>
      <c r="E1293" s="925" t="s">
        <v>2682</v>
      </c>
      <c r="F1293" s="926" t="s">
        <v>45</v>
      </c>
      <c r="G1293" s="910"/>
      <c r="H1293" s="911">
        <v>5.3999999999999999E-2</v>
      </c>
      <c r="I1293" s="912">
        <f>VLOOKUP(E1293,[3]VLP!$B$7:$K$300,10,0)</f>
        <v>5000</v>
      </c>
      <c r="J1293" s="912">
        <f>I1293*H1293</f>
        <v>270</v>
      </c>
      <c r="K1293" s="912" t="s">
        <v>274</v>
      </c>
      <c r="L1293" s="912"/>
      <c r="M1293" s="912"/>
      <c r="N1293" s="912"/>
      <c r="O1293" s="892">
        <f t="shared" si="80"/>
        <v>0</v>
      </c>
      <c r="P1293" s="903">
        <f t="shared" si="77"/>
        <v>1</v>
      </c>
      <c r="Q1293" s="893">
        <f t="shared" si="78"/>
        <v>4</v>
      </c>
      <c r="R1293" s="894">
        <f t="shared" si="79"/>
        <v>0</v>
      </c>
    </row>
    <row r="1294" spans="1:18">
      <c r="A1294" s="905"/>
      <c r="B1294" s="906"/>
      <c r="C1294" s="907">
        <v>44</v>
      </c>
      <c r="D1294" s="907" t="s">
        <v>279</v>
      </c>
      <c r="E1294" s="925" t="s">
        <v>2681</v>
      </c>
      <c r="F1294" s="926" t="s">
        <v>45</v>
      </c>
      <c r="G1294" s="910"/>
      <c r="H1294" s="911">
        <v>0.36</v>
      </c>
      <c r="I1294" s="912">
        <f>VLOOKUP(E1294,[3]VLP!$B$7:$K$300,10,0)</f>
        <v>23000</v>
      </c>
      <c r="J1294" s="912">
        <f>I1294*H1294</f>
        <v>8280</v>
      </c>
      <c r="K1294" s="912" t="s">
        <v>274</v>
      </c>
      <c r="L1294" s="912"/>
      <c r="M1294" s="912"/>
      <c r="N1294" s="912"/>
      <c r="O1294" s="892">
        <f t="shared" si="80"/>
        <v>0</v>
      </c>
      <c r="P1294" s="903">
        <f t="shared" si="77"/>
        <v>1</v>
      </c>
      <c r="Q1294" s="893">
        <f t="shared" si="78"/>
        <v>3</v>
      </c>
      <c r="R1294" s="894">
        <f t="shared" si="79"/>
        <v>0</v>
      </c>
    </row>
    <row r="1295" spans="1:18" s="904" customFormat="1">
      <c r="A1295" s="895"/>
      <c r="B1295" s="896"/>
      <c r="C1295" s="897"/>
      <c r="D1295" s="897"/>
      <c r="E1295" s="924" t="s">
        <v>276</v>
      </c>
      <c r="F1295" s="927"/>
      <c r="G1295" s="928"/>
      <c r="H1295" s="901"/>
      <c r="I1295" s="902"/>
      <c r="J1295" s="902"/>
      <c r="K1295" s="912" t="s">
        <v>274</v>
      </c>
      <c r="L1295" s="902"/>
      <c r="M1295" s="902"/>
      <c r="N1295" s="902"/>
      <c r="O1295" s="892">
        <f t="shared" si="80"/>
        <v>0</v>
      </c>
      <c r="P1295" s="903">
        <f t="shared" ref="P1295:P1358" si="81">IF(O1295=0,1,0)</f>
        <v>1</v>
      </c>
      <c r="Q1295" s="893">
        <f t="shared" ref="Q1295:Q1358" si="82">IF(P1295=0,0,P1295+Q1296)</f>
        <v>2</v>
      </c>
      <c r="R1295" s="894">
        <f t="shared" ref="R1295:R1358" si="83">IF(Q1295=0,Q1296,0)</f>
        <v>0</v>
      </c>
    </row>
    <row r="1296" spans="1:18">
      <c r="A1296" s="905"/>
      <c r="B1296" s="906"/>
      <c r="C1296" s="907">
        <v>740</v>
      </c>
      <c r="D1296" s="907" t="s">
        <v>12</v>
      </c>
      <c r="E1296" s="908" t="s">
        <v>4008</v>
      </c>
      <c r="F1296" s="909" t="s">
        <v>2674</v>
      </c>
      <c r="G1296" s="910"/>
      <c r="H1296" s="911">
        <v>2.59</v>
      </c>
      <c r="I1296" s="912"/>
      <c r="J1296" s="912"/>
      <c r="K1296" s="912">
        <f>VLOOKUP(E1296,ĐMNC!$A$7:$F$67,4,0)</f>
        <v>252714</v>
      </c>
      <c r="L1296" s="912">
        <f>H1296*K1296</f>
        <v>654529.26</v>
      </c>
      <c r="M1296" s="912"/>
      <c r="N1296" s="912"/>
      <c r="O1296" s="892">
        <f t="shared" si="80"/>
        <v>0</v>
      </c>
      <c r="P1296" s="903">
        <f t="shared" si="81"/>
        <v>1</v>
      </c>
      <c r="Q1296" s="893">
        <f t="shared" si="82"/>
        <v>1</v>
      </c>
      <c r="R1296" s="894">
        <f t="shared" si="83"/>
        <v>0</v>
      </c>
    </row>
    <row r="1297" spans="1:18" s="847" customFormat="1" ht="31.5">
      <c r="A1297" s="905"/>
      <c r="B1297" s="914" t="s">
        <v>4360</v>
      </c>
      <c r="C1297" s="915"/>
      <c r="D1297" s="915"/>
      <c r="E1297" s="916" t="s">
        <v>4361</v>
      </c>
      <c r="F1297" s="917" t="s">
        <v>249</v>
      </c>
      <c r="G1297" s="918"/>
      <c r="H1297" s="919"/>
      <c r="I1297" s="920"/>
      <c r="J1297" s="891">
        <f>SUM(J1298:J1302)</f>
        <v>8550</v>
      </c>
      <c r="K1297" s="891"/>
      <c r="L1297" s="891">
        <f>SUM(L1298:L1302)</f>
        <v>760669.1399999999</v>
      </c>
      <c r="M1297" s="891"/>
      <c r="N1297" s="891">
        <f>SUM(N1298:N1302)</f>
        <v>0</v>
      </c>
      <c r="O1297" s="892">
        <f t="shared" si="80"/>
        <v>1</v>
      </c>
      <c r="P1297" s="903">
        <f t="shared" si="81"/>
        <v>0</v>
      </c>
      <c r="Q1297" s="893">
        <f t="shared" si="82"/>
        <v>0</v>
      </c>
      <c r="R1297" s="894">
        <f t="shared" si="83"/>
        <v>5</v>
      </c>
    </row>
    <row r="1298" spans="1:18" s="904" customFormat="1">
      <c r="A1298" s="895"/>
      <c r="B1298" s="896"/>
      <c r="C1298" s="897"/>
      <c r="D1298" s="897"/>
      <c r="E1298" s="924" t="s">
        <v>108</v>
      </c>
      <c r="F1298" s="899"/>
      <c r="G1298" s="900"/>
      <c r="H1298" s="901"/>
      <c r="I1298" s="902"/>
      <c r="J1298" s="902"/>
      <c r="K1298" s="912" t="s">
        <v>274</v>
      </c>
      <c r="L1298" s="902"/>
      <c r="M1298" s="902"/>
      <c r="N1298" s="902"/>
      <c r="O1298" s="892">
        <f t="shared" si="80"/>
        <v>0</v>
      </c>
      <c r="P1298" s="903">
        <f t="shared" si="81"/>
        <v>1</v>
      </c>
      <c r="Q1298" s="893">
        <f t="shared" si="82"/>
        <v>5</v>
      </c>
      <c r="R1298" s="894">
        <f t="shared" si="83"/>
        <v>0</v>
      </c>
    </row>
    <row r="1299" spans="1:18">
      <c r="A1299" s="905"/>
      <c r="B1299" s="906"/>
      <c r="C1299" s="907">
        <v>66</v>
      </c>
      <c r="D1299" s="907" t="s">
        <v>279</v>
      </c>
      <c r="E1299" s="925" t="s">
        <v>2682</v>
      </c>
      <c r="F1299" s="926" t="s">
        <v>45</v>
      </c>
      <c r="G1299" s="910"/>
      <c r="H1299" s="911">
        <v>5.3999999999999999E-2</v>
      </c>
      <c r="I1299" s="912">
        <f>VLOOKUP(E1299,[3]VLP!$B$7:$K$300,10,0)</f>
        <v>5000</v>
      </c>
      <c r="J1299" s="912">
        <f>I1299*H1299</f>
        <v>270</v>
      </c>
      <c r="K1299" s="912" t="s">
        <v>274</v>
      </c>
      <c r="L1299" s="912"/>
      <c r="M1299" s="912"/>
      <c r="N1299" s="912"/>
      <c r="O1299" s="892">
        <f t="shared" si="80"/>
        <v>0</v>
      </c>
      <c r="P1299" s="903">
        <f t="shared" si="81"/>
        <v>1</v>
      </c>
      <c r="Q1299" s="893">
        <f t="shared" si="82"/>
        <v>4</v>
      </c>
      <c r="R1299" s="894">
        <f t="shared" si="83"/>
        <v>0</v>
      </c>
    </row>
    <row r="1300" spans="1:18">
      <c r="A1300" s="905"/>
      <c r="B1300" s="906"/>
      <c r="C1300" s="907">
        <v>44</v>
      </c>
      <c r="D1300" s="907" t="s">
        <v>279</v>
      </c>
      <c r="E1300" s="925" t="s">
        <v>2681</v>
      </c>
      <c r="F1300" s="926" t="s">
        <v>45</v>
      </c>
      <c r="G1300" s="910"/>
      <c r="H1300" s="911">
        <v>0.36</v>
      </c>
      <c r="I1300" s="912">
        <f>VLOOKUP(E1300,[3]VLP!$B$7:$K$300,10,0)</f>
        <v>23000</v>
      </c>
      <c r="J1300" s="912">
        <f>I1300*H1300</f>
        <v>8280</v>
      </c>
      <c r="K1300" s="912" t="s">
        <v>274</v>
      </c>
      <c r="L1300" s="912"/>
      <c r="M1300" s="912"/>
      <c r="N1300" s="912"/>
      <c r="O1300" s="892">
        <f t="shared" si="80"/>
        <v>0</v>
      </c>
      <c r="P1300" s="903">
        <f t="shared" si="81"/>
        <v>1</v>
      </c>
      <c r="Q1300" s="893">
        <f t="shared" si="82"/>
        <v>3</v>
      </c>
      <c r="R1300" s="894">
        <f t="shared" si="83"/>
        <v>0</v>
      </c>
    </row>
    <row r="1301" spans="1:18" s="904" customFormat="1">
      <c r="A1301" s="895"/>
      <c r="B1301" s="896"/>
      <c r="C1301" s="897"/>
      <c r="D1301" s="897"/>
      <c r="E1301" s="924" t="s">
        <v>276</v>
      </c>
      <c r="F1301" s="927"/>
      <c r="G1301" s="928"/>
      <c r="H1301" s="901"/>
      <c r="I1301" s="902"/>
      <c r="J1301" s="902"/>
      <c r="K1301" s="912" t="s">
        <v>274</v>
      </c>
      <c r="L1301" s="902"/>
      <c r="M1301" s="902"/>
      <c r="N1301" s="902"/>
      <c r="O1301" s="892">
        <f t="shared" si="80"/>
        <v>0</v>
      </c>
      <c r="P1301" s="903">
        <f t="shared" si="81"/>
        <v>1</v>
      </c>
      <c r="Q1301" s="893">
        <f t="shared" si="82"/>
        <v>2</v>
      </c>
      <c r="R1301" s="894">
        <f t="shared" si="83"/>
        <v>0</v>
      </c>
    </row>
    <row r="1302" spans="1:18">
      <c r="A1302" s="905"/>
      <c r="B1302" s="906"/>
      <c r="C1302" s="907">
        <v>740</v>
      </c>
      <c r="D1302" s="907" t="s">
        <v>12</v>
      </c>
      <c r="E1302" s="908" t="s">
        <v>4008</v>
      </c>
      <c r="F1302" s="909" t="s">
        <v>2674</v>
      </c>
      <c r="G1302" s="910"/>
      <c r="H1302" s="911">
        <v>3.01</v>
      </c>
      <c r="I1302" s="912"/>
      <c r="J1302" s="912"/>
      <c r="K1302" s="912">
        <f>VLOOKUP(E1302,ĐMNC!$A$7:$F$67,4,0)</f>
        <v>252714</v>
      </c>
      <c r="L1302" s="912">
        <f>H1302*K1302</f>
        <v>760669.1399999999</v>
      </c>
      <c r="M1302" s="912"/>
      <c r="N1302" s="912"/>
      <c r="O1302" s="892">
        <f t="shared" si="80"/>
        <v>0</v>
      </c>
      <c r="P1302" s="903">
        <f t="shared" si="81"/>
        <v>1</v>
      </c>
      <c r="Q1302" s="893">
        <f t="shared" si="82"/>
        <v>1</v>
      </c>
      <c r="R1302" s="894">
        <f t="shared" si="83"/>
        <v>0</v>
      </c>
    </row>
    <row r="1303" spans="1:18" s="847" customFormat="1" ht="31.5">
      <c r="A1303" s="905"/>
      <c r="B1303" s="914" t="s">
        <v>4362</v>
      </c>
      <c r="C1303" s="915"/>
      <c r="D1303" s="915"/>
      <c r="E1303" s="916" t="s">
        <v>4363</v>
      </c>
      <c r="F1303" s="917" t="s">
        <v>249</v>
      </c>
      <c r="G1303" s="918"/>
      <c r="H1303" s="919"/>
      <c r="I1303" s="920"/>
      <c r="J1303" s="891">
        <f>SUM(J1304:J1308)</f>
        <v>8550</v>
      </c>
      <c r="K1303" s="891"/>
      <c r="L1303" s="891">
        <f>SUM(L1304:L1308)</f>
        <v>836483.34</v>
      </c>
      <c r="M1303" s="891"/>
      <c r="N1303" s="891">
        <f>SUM(N1304:N1308)</f>
        <v>0</v>
      </c>
      <c r="O1303" s="892">
        <f t="shared" si="80"/>
        <v>1</v>
      </c>
      <c r="P1303" s="903">
        <f t="shared" si="81"/>
        <v>0</v>
      </c>
      <c r="Q1303" s="893">
        <f t="shared" si="82"/>
        <v>0</v>
      </c>
      <c r="R1303" s="894">
        <f t="shared" si="83"/>
        <v>5</v>
      </c>
    </row>
    <row r="1304" spans="1:18" s="904" customFormat="1">
      <c r="A1304" s="895"/>
      <c r="B1304" s="896"/>
      <c r="C1304" s="897"/>
      <c r="D1304" s="897"/>
      <c r="E1304" s="924" t="s">
        <v>108</v>
      </c>
      <c r="F1304" s="899"/>
      <c r="G1304" s="900"/>
      <c r="H1304" s="901"/>
      <c r="I1304" s="902"/>
      <c r="J1304" s="902"/>
      <c r="K1304" s="912" t="s">
        <v>274</v>
      </c>
      <c r="L1304" s="902"/>
      <c r="M1304" s="902"/>
      <c r="N1304" s="902"/>
      <c r="O1304" s="892">
        <f t="shared" si="80"/>
        <v>0</v>
      </c>
      <c r="P1304" s="903">
        <f t="shared" si="81"/>
        <v>1</v>
      </c>
      <c r="Q1304" s="893">
        <f t="shared" si="82"/>
        <v>5</v>
      </c>
      <c r="R1304" s="894">
        <f t="shared" si="83"/>
        <v>0</v>
      </c>
    </row>
    <row r="1305" spans="1:18">
      <c r="A1305" s="905"/>
      <c r="B1305" s="906"/>
      <c r="C1305" s="907">
        <v>66</v>
      </c>
      <c r="D1305" s="907" t="s">
        <v>279</v>
      </c>
      <c r="E1305" s="925" t="s">
        <v>2682</v>
      </c>
      <c r="F1305" s="926" t="s">
        <v>45</v>
      </c>
      <c r="G1305" s="910"/>
      <c r="H1305" s="911">
        <v>5.3999999999999999E-2</v>
      </c>
      <c r="I1305" s="912">
        <f>VLOOKUP(E1305,[3]VLP!$B$7:$K$300,10,0)</f>
        <v>5000</v>
      </c>
      <c r="J1305" s="912">
        <f>I1305*H1305</f>
        <v>270</v>
      </c>
      <c r="K1305" s="912" t="s">
        <v>274</v>
      </c>
      <c r="L1305" s="912"/>
      <c r="M1305" s="912"/>
      <c r="N1305" s="912"/>
      <c r="O1305" s="892">
        <f t="shared" si="80"/>
        <v>0</v>
      </c>
      <c r="P1305" s="903">
        <f t="shared" si="81"/>
        <v>1</v>
      </c>
      <c r="Q1305" s="893">
        <f t="shared" si="82"/>
        <v>4</v>
      </c>
      <c r="R1305" s="894">
        <f t="shared" si="83"/>
        <v>0</v>
      </c>
    </row>
    <row r="1306" spans="1:18">
      <c r="A1306" s="905"/>
      <c r="B1306" s="906"/>
      <c r="C1306" s="907">
        <v>44</v>
      </c>
      <c r="D1306" s="907" t="s">
        <v>279</v>
      </c>
      <c r="E1306" s="925" t="s">
        <v>2681</v>
      </c>
      <c r="F1306" s="926" t="s">
        <v>45</v>
      </c>
      <c r="G1306" s="910"/>
      <c r="H1306" s="911">
        <v>0.36</v>
      </c>
      <c r="I1306" s="912">
        <f>VLOOKUP(E1306,[3]VLP!$B$7:$K$300,10,0)</f>
        <v>23000</v>
      </c>
      <c r="J1306" s="912">
        <f>I1306*H1306</f>
        <v>8280</v>
      </c>
      <c r="K1306" s="912" t="s">
        <v>274</v>
      </c>
      <c r="L1306" s="912"/>
      <c r="M1306" s="912"/>
      <c r="N1306" s="912"/>
      <c r="O1306" s="892">
        <f t="shared" si="80"/>
        <v>0</v>
      </c>
      <c r="P1306" s="903">
        <f t="shared" si="81"/>
        <v>1</v>
      </c>
      <c r="Q1306" s="893">
        <f t="shared" si="82"/>
        <v>3</v>
      </c>
      <c r="R1306" s="894">
        <f t="shared" si="83"/>
        <v>0</v>
      </c>
    </row>
    <row r="1307" spans="1:18" s="904" customFormat="1">
      <c r="A1307" s="895"/>
      <c r="B1307" s="896"/>
      <c r="C1307" s="897"/>
      <c r="D1307" s="897"/>
      <c r="E1307" s="924" t="s">
        <v>276</v>
      </c>
      <c r="F1307" s="927"/>
      <c r="G1307" s="928"/>
      <c r="H1307" s="901"/>
      <c r="I1307" s="902"/>
      <c r="J1307" s="902"/>
      <c r="K1307" s="912" t="s">
        <v>274</v>
      </c>
      <c r="L1307" s="902"/>
      <c r="M1307" s="902"/>
      <c r="N1307" s="902"/>
      <c r="O1307" s="892">
        <f t="shared" si="80"/>
        <v>0</v>
      </c>
      <c r="P1307" s="903">
        <f t="shared" si="81"/>
        <v>1</v>
      </c>
      <c r="Q1307" s="893">
        <f t="shared" si="82"/>
        <v>2</v>
      </c>
      <c r="R1307" s="894">
        <f t="shared" si="83"/>
        <v>0</v>
      </c>
    </row>
    <row r="1308" spans="1:18">
      <c r="A1308" s="905"/>
      <c r="B1308" s="906"/>
      <c r="C1308" s="907">
        <v>740</v>
      </c>
      <c r="D1308" s="907" t="s">
        <v>12</v>
      </c>
      <c r="E1308" s="908" t="s">
        <v>4008</v>
      </c>
      <c r="F1308" s="909" t="s">
        <v>2674</v>
      </c>
      <c r="G1308" s="910"/>
      <c r="H1308" s="911">
        <v>3.31</v>
      </c>
      <c r="I1308" s="912"/>
      <c r="J1308" s="912"/>
      <c r="K1308" s="912">
        <f>VLOOKUP(E1308,ĐMNC!$A$7:$F$67,4,0)</f>
        <v>252714</v>
      </c>
      <c r="L1308" s="912">
        <f>H1308*K1308</f>
        <v>836483.34</v>
      </c>
      <c r="M1308" s="912"/>
      <c r="N1308" s="912"/>
      <c r="O1308" s="892">
        <f t="shared" si="80"/>
        <v>0</v>
      </c>
      <c r="P1308" s="903">
        <f t="shared" si="81"/>
        <v>1</v>
      </c>
      <c r="Q1308" s="893">
        <f t="shared" si="82"/>
        <v>1</v>
      </c>
      <c r="R1308" s="894">
        <f t="shared" si="83"/>
        <v>0</v>
      </c>
    </row>
    <row r="1309" spans="1:18" s="847" customFormat="1" ht="31.5">
      <c r="A1309" s="905"/>
      <c r="B1309" s="914" t="s">
        <v>4364</v>
      </c>
      <c r="C1309" s="915"/>
      <c r="D1309" s="915"/>
      <c r="E1309" s="916" t="s">
        <v>4365</v>
      </c>
      <c r="F1309" s="917" t="s">
        <v>249</v>
      </c>
      <c r="G1309" s="918"/>
      <c r="H1309" s="919"/>
      <c r="I1309" s="920"/>
      <c r="J1309" s="891">
        <f>SUM(J1310:J1314)</f>
        <v>8550</v>
      </c>
      <c r="K1309" s="891"/>
      <c r="L1309" s="891">
        <f>SUM(L1310:L1314)</f>
        <v>919878.96000000008</v>
      </c>
      <c r="M1309" s="891"/>
      <c r="N1309" s="891">
        <f>SUM(N1310:N1314)</f>
        <v>0</v>
      </c>
      <c r="O1309" s="892">
        <f t="shared" si="80"/>
        <v>1</v>
      </c>
      <c r="P1309" s="903">
        <f t="shared" si="81"/>
        <v>0</v>
      </c>
      <c r="Q1309" s="893">
        <f t="shared" si="82"/>
        <v>0</v>
      </c>
      <c r="R1309" s="894">
        <f t="shared" si="83"/>
        <v>5</v>
      </c>
    </row>
    <row r="1310" spans="1:18" s="904" customFormat="1">
      <c r="A1310" s="895"/>
      <c r="B1310" s="896"/>
      <c r="C1310" s="897"/>
      <c r="D1310" s="897"/>
      <c r="E1310" s="924" t="s">
        <v>108</v>
      </c>
      <c r="F1310" s="899"/>
      <c r="G1310" s="900"/>
      <c r="H1310" s="901"/>
      <c r="I1310" s="902"/>
      <c r="J1310" s="902"/>
      <c r="K1310" s="912" t="s">
        <v>274</v>
      </c>
      <c r="L1310" s="902"/>
      <c r="M1310" s="902"/>
      <c r="N1310" s="902"/>
      <c r="O1310" s="892">
        <f t="shared" si="80"/>
        <v>0</v>
      </c>
      <c r="P1310" s="903">
        <f t="shared" si="81"/>
        <v>1</v>
      </c>
      <c r="Q1310" s="893">
        <f t="shared" si="82"/>
        <v>5</v>
      </c>
      <c r="R1310" s="894">
        <f t="shared" si="83"/>
        <v>0</v>
      </c>
    </row>
    <row r="1311" spans="1:18">
      <c r="A1311" s="905"/>
      <c r="B1311" s="906"/>
      <c r="C1311" s="907">
        <v>66</v>
      </c>
      <c r="D1311" s="907" t="s">
        <v>279</v>
      </c>
      <c r="E1311" s="925" t="s">
        <v>2682</v>
      </c>
      <c r="F1311" s="926" t="s">
        <v>45</v>
      </c>
      <c r="G1311" s="910"/>
      <c r="H1311" s="911">
        <v>5.3999999999999999E-2</v>
      </c>
      <c r="I1311" s="912">
        <f>VLOOKUP(E1311,[3]VLP!$B$7:$K$300,10,0)</f>
        <v>5000</v>
      </c>
      <c r="J1311" s="912">
        <f>I1311*H1311</f>
        <v>270</v>
      </c>
      <c r="K1311" s="912" t="s">
        <v>274</v>
      </c>
      <c r="L1311" s="912"/>
      <c r="M1311" s="912"/>
      <c r="N1311" s="912"/>
      <c r="O1311" s="892">
        <f t="shared" si="80"/>
        <v>0</v>
      </c>
      <c r="P1311" s="903">
        <f t="shared" si="81"/>
        <v>1</v>
      </c>
      <c r="Q1311" s="893">
        <f t="shared" si="82"/>
        <v>4</v>
      </c>
      <c r="R1311" s="894">
        <f t="shared" si="83"/>
        <v>0</v>
      </c>
    </row>
    <row r="1312" spans="1:18">
      <c r="A1312" s="905"/>
      <c r="B1312" s="906"/>
      <c r="C1312" s="907">
        <v>44</v>
      </c>
      <c r="D1312" s="907" t="s">
        <v>279</v>
      </c>
      <c r="E1312" s="925" t="s">
        <v>2681</v>
      </c>
      <c r="F1312" s="926" t="s">
        <v>45</v>
      </c>
      <c r="G1312" s="910"/>
      <c r="H1312" s="911">
        <v>0.36</v>
      </c>
      <c r="I1312" s="912">
        <f>VLOOKUP(E1312,[3]VLP!$B$7:$K$300,10,0)</f>
        <v>23000</v>
      </c>
      <c r="J1312" s="912">
        <f>I1312*H1312</f>
        <v>8280</v>
      </c>
      <c r="K1312" s="912" t="s">
        <v>274</v>
      </c>
      <c r="L1312" s="912"/>
      <c r="M1312" s="912"/>
      <c r="N1312" s="912"/>
      <c r="O1312" s="892">
        <f t="shared" si="80"/>
        <v>0</v>
      </c>
      <c r="P1312" s="903">
        <f t="shared" si="81"/>
        <v>1</v>
      </c>
      <c r="Q1312" s="893">
        <f t="shared" si="82"/>
        <v>3</v>
      </c>
      <c r="R1312" s="894">
        <f t="shared" si="83"/>
        <v>0</v>
      </c>
    </row>
    <row r="1313" spans="1:18" s="904" customFormat="1">
      <c r="A1313" s="895"/>
      <c r="B1313" s="896"/>
      <c r="C1313" s="897"/>
      <c r="D1313" s="897"/>
      <c r="E1313" s="924" t="s">
        <v>276</v>
      </c>
      <c r="F1313" s="927"/>
      <c r="G1313" s="928"/>
      <c r="H1313" s="901"/>
      <c r="I1313" s="902"/>
      <c r="J1313" s="902"/>
      <c r="K1313" s="912" t="s">
        <v>274</v>
      </c>
      <c r="L1313" s="902"/>
      <c r="M1313" s="902"/>
      <c r="N1313" s="902"/>
      <c r="O1313" s="892">
        <f t="shared" si="80"/>
        <v>0</v>
      </c>
      <c r="P1313" s="903">
        <f t="shared" si="81"/>
        <v>1</v>
      </c>
      <c r="Q1313" s="893">
        <f t="shared" si="82"/>
        <v>2</v>
      </c>
      <c r="R1313" s="894">
        <f t="shared" si="83"/>
        <v>0</v>
      </c>
    </row>
    <row r="1314" spans="1:18">
      <c r="A1314" s="905"/>
      <c r="B1314" s="906"/>
      <c r="C1314" s="907">
        <v>740</v>
      </c>
      <c r="D1314" s="907" t="s">
        <v>12</v>
      </c>
      <c r="E1314" s="908" t="s">
        <v>4008</v>
      </c>
      <c r="F1314" s="909" t="s">
        <v>2674</v>
      </c>
      <c r="G1314" s="910"/>
      <c r="H1314" s="911">
        <v>3.64</v>
      </c>
      <c r="I1314" s="912"/>
      <c r="J1314" s="912"/>
      <c r="K1314" s="912">
        <f>VLOOKUP(E1314,ĐMNC!$A$7:$F$67,4,0)</f>
        <v>252714</v>
      </c>
      <c r="L1314" s="912">
        <f>H1314*K1314</f>
        <v>919878.96000000008</v>
      </c>
      <c r="M1314" s="912"/>
      <c r="N1314" s="912"/>
      <c r="O1314" s="892">
        <f t="shared" si="80"/>
        <v>0</v>
      </c>
      <c r="P1314" s="903">
        <f t="shared" si="81"/>
        <v>1</v>
      </c>
      <c r="Q1314" s="893">
        <f t="shared" si="82"/>
        <v>1</v>
      </c>
      <c r="R1314" s="894">
        <f t="shared" si="83"/>
        <v>0</v>
      </c>
    </row>
    <row r="1315" spans="1:18" s="847" customFormat="1" ht="31.5">
      <c r="A1315" s="905"/>
      <c r="B1315" s="914" t="s">
        <v>4366</v>
      </c>
      <c r="C1315" s="915"/>
      <c r="D1315" s="915"/>
      <c r="E1315" s="916" t="s">
        <v>4367</v>
      </c>
      <c r="F1315" s="917" t="s">
        <v>249</v>
      </c>
      <c r="G1315" s="918"/>
      <c r="H1315" s="919"/>
      <c r="I1315" s="920"/>
      <c r="J1315" s="891">
        <f>SUM(J1316:J1320)</f>
        <v>8550</v>
      </c>
      <c r="K1315" s="891"/>
      <c r="L1315" s="891">
        <f>SUM(L1316:L1320)</f>
        <v>1061398.8</v>
      </c>
      <c r="M1315" s="891"/>
      <c r="N1315" s="891">
        <f>SUM(N1316:N1320)</f>
        <v>0</v>
      </c>
      <c r="O1315" s="892">
        <f t="shared" si="80"/>
        <v>1</v>
      </c>
      <c r="P1315" s="903">
        <f t="shared" si="81"/>
        <v>0</v>
      </c>
      <c r="Q1315" s="893">
        <f t="shared" si="82"/>
        <v>0</v>
      </c>
      <c r="R1315" s="894">
        <f t="shared" si="83"/>
        <v>5</v>
      </c>
    </row>
    <row r="1316" spans="1:18" s="904" customFormat="1">
      <c r="A1316" s="895"/>
      <c r="B1316" s="896"/>
      <c r="C1316" s="897"/>
      <c r="D1316" s="897"/>
      <c r="E1316" s="924" t="s">
        <v>108</v>
      </c>
      <c r="F1316" s="899"/>
      <c r="G1316" s="900"/>
      <c r="H1316" s="901"/>
      <c r="I1316" s="902"/>
      <c r="J1316" s="902"/>
      <c r="K1316" s="912" t="s">
        <v>274</v>
      </c>
      <c r="L1316" s="902"/>
      <c r="M1316" s="902"/>
      <c r="N1316" s="902"/>
      <c r="O1316" s="892">
        <f t="shared" si="80"/>
        <v>0</v>
      </c>
      <c r="P1316" s="903">
        <f t="shared" si="81"/>
        <v>1</v>
      </c>
      <c r="Q1316" s="893">
        <f t="shared" si="82"/>
        <v>5</v>
      </c>
      <c r="R1316" s="894">
        <f t="shared" si="83"/>
        <v>0</v>
      </c>
    </row>
    <row r="1317" spans="1:18">
      <c r="A1317" s="905"/>
      <c r="B1317" s="906"/>
      <c r="C1317" s="907">
        <v>66</v>
      </c>
      <c r="D1317" s="907" t="s">
        <v>279</v>
      </c>
      <c r="E1317" s="925" t="s">
        <v>2682</v>
      </c>
      <c r="F1317" s="926" t="s">
        <v>45</v>
      </c>
      <c r="G1317" s="910"/>
      <c r="H1317" s="911">
        <v>5.3999999999999999E-2</v>
      </c>
      <c r="I1317" s="912">
        <f>VLOOKUP(E1317,[3]VLP!$B$7:$K$300,10,0)</f>
        <v>5000</v>
      </c>
      <c r="J1317" s="912">
        <f>I1317*H1317</f>
        <v>270</v>
      </c>
      <c r="K1317" s="912" t="s">
        <v>274</v>
      </c>
      <c r="L1317" s="912"/>
      <c r="M1317" s="912"/>
      <c r="N1317" s="912"/>
      <c r="O1317" s="892">
        <f t="shared" si="80"/>
        <v>0</v>
      </c>
      <c r="P1317" s="903">
        <f t="shared" si="81"/>
        <v>1</v>
      </c>
      <c r="Q1317" s="893">
        <f t="shared" si="82"/>
        <v>4</v>
      </c>
      <c r="R1317" s="894">
        <f t="shared" si="83"/>
        <v>0</v>
      </c>
    </row>
    <row r="1318" spans="1:18">
      <c r="A1318" s="905"/>
      <c r="B1318" s="906"/>
      <c r="C1318" s="907">
        <v>44</v>
      </c>
      <c r="D1318" s="907" t="s">
        <v>279</v>
      </c>
      <c r="E1318" s="925" t="s">
        <v>2681</v>
      </c>
      <c r="F1318" s="926" t="s">
        <v>45</v>
      </c>
      <c r="G1318" s="910"/>
      <c r="H1318" s="911">
        <v>0.36</v>
      </c>
      <c r="I1318" s="912">
        <f>VLOOKUP(E1318,[3]VLP!$B$7:$K$300,10,0)</f>
        <v>23000</v>
      </c>
      <c r="J1318" s="912">
        <f>I1318*H1318</f>
        <v>8280</v>
      </c>
      <c r="K1318" s="912" t="s">
        <v>274</v>
      </c>
      <c r="L1318" s="912"/>
      <c r="M1318" s="912"/>
      <c r="N1318" s="912"/>
      <c r="O1318" s="892">
        <f t="shared" si="80"/>
        <v>0</v>
      </c>
      <c r="P1318" s="903">
        <f t="shared" si="81"/>
        <v>1</v>
      </c>
      <c r="Q1318" s="893">
        <f t="shared" si="82"/>
        <v>3</v>
      </c>
      <c r="R1318" s="894">
        <f t="shared" si="83"/>
        <v>0</v>
      </c>
    </row>
    <row r="1319" spans="1:18" s="904" customFormat="1">
      <c r="A1319" s="895"/>
      <c r="B1319" s="896"/>
      <c r="C1319" s="897"/>
      <c r="D1319" s="897"/>
      <c r="E1319" s="924" t="s">
        <v>276</v>
      </c>
      <c r="F1319" s="927"/>
      <c r="G1319" s="928"/>
      <c r="H1319" s="901"/>
      <c r="I1319" s="902"/>
      <c r="J1319" s="902"/>
      <c r="K1319" s="912" t="s">
        <v>274</v>
      </c>
      <c r="L1319" s="902"/>
      <c r="M1319" s="902"/>
      <c r="N1319" s="902"/>
      <c r="O1319" s="892">
        <f t="shared" si="80"/>
        <v>0</v>
      </c>
      <c r="P1319" s="903">
        <f t="shared" si="81"/>
        <v>1</v>
      </c>
      <c r="Q1319" s="893">
        <f t="shared" si="82"/>
        <v>2</v>
      </c>
      <c r="R1319" s="894">
        <f t="shared" si="83"/>
        <v>0</v>
      </c>
    </row>
    <row r="1320" spans="1:18">
      <c r="A1320" s="905"/>
      <c r="B1320" s="906"/>
      <c r="C1320" s="907">
        <v>740</v>
      </c>
      <c r="D1320" s="907" t="s">
        <v>12</v>
      </c>
      <c r="E1320" s="908" t="s">
        <v>4008</v>
      </c>
      <c r="F1320" s="909" t="s">
        <v>2674</v>
      </c>
      <c r="G1320" s="910"/>
      <c r="H1320" s="911">
        <v>4.2</v>
      </c>
      <c r="I1320" s="912"/>
      <c r="J1320" s="912"/>
      <c r="K1320" s="912">
        <f>VLOOKUP(E1320,ĐMNC!$A$7:$F$67,4,0)</f>
        <v>252714</v>
      </c>
      <c r="L1320" s="912">
        <f>H1320*K1320</f>
        <v>1061398.8</v>
      </c>
      <c r="M1320" s="912"/>
      <c r="N1320" s="912"/>
      <c r="O1320" s="892">
        <f t="shared" si="80"/>
        <v>0</v>
      </c>
      <c r="P1320" s="903">
        <f t="shared" si="81"/>
        <v>1</v>
      </c>
      <c r="Q1320" s="893">
        <f t="shared" si="82"/>
        <v>1</v>
      </c>
      <c r="R1320" s="894">
        <f t="shared" si="83"/>
        <v>0</v>
      </c>
    </row>
    <row r="1321" spans="1:18" s="847" customFormat="1" ht="31.5">
      <c r="A1321" s="905"/>
      <c r="B1321" s="914" t="s">
        <v>4368</v>
      </c>
      <c r="C1321" s="915"/>
      <c r="D1321" s="915"/>
      <c r="E1321" s="916" t="s">
        <v>4369</v>
      </c>
      <c r="F1321" s="917" t="s">
        <v>249</v>
      </c>
      <c r="G1321" s="918"/>
      <c r="H1321" s="919"/>
      <c r="I1321" s="920"/>
      <c r="J1321" s="891">
        <f>SUM(J1322:J1326)</f>
        <v>8550</v>
      </c>
      <c r="K1321" s="891"/>
      <c r="L1321" s="891">
        <f>SUM(L1322:L1326)</f>
        <v>1220608.6200000001</v>
      </c>
      <c r="M1321" s="891"/>
      <c r="N1321" s="891">
        <f>SUM(N1322:N1326)</f>
        <v>0</v>
      </c>
      <c r="O1321" s="892">
        <f t="shared" si="80"/>
        <v>1</v>
      </c>
      <c r="P1321" s="903">
        <f t="shared" si="81"/>
        <v>0</v>
      </c>
      <c r="Q1321" s="893">
        <f t="shared" si="82"/>
        <v>0</v>
      </c>
      <c r="R1321" s="894">
        <f t="shared" si="83"/>
        <v>5</v>
      </c>
    </row>
    <row r="1322" spans="1:18" s="904" customFormat="1">
      <c r="A1322" s="895"/>
      <c r="B1322" s="896"/>
      <c r="C1322" s="897"/>
      <c r="D1322" s="897"/>
      <c r="E1322" s="924" t="s">
        <v>108</v>
      </c>
      <c r="F1322" s="899"/>
      <c r="G1322" s="900"/>
      <c r="H1322" s="901"/>
      <c r="I1322" s="902"/>
      <c r="J1322" s="902"/>
      <c r="K1322" s="912" t="s">
        <v>274</v>
      </c>
      <c r="L1322" s="902"/>
      <c r="M1322" s="902"/>
      <c r="N1322" s="902"/>
      <c r="O1322" s="892">
        <f t="shared" si="80"/>
        <v>0</v>
      </c>
      <c r="P1322" s="903">
        <f t="shared" si="81"/>
        <v>1</v>
      </c>
      <c r="Q1322" s="893">
        <f t="shared" si="82"/>
        <v>5</v>
      </c>
      <c r="R1322" s="894">
        <f t="shared" si="83"/>
        <v>0</v>
      </c>
    </row>
    <row r="1323" spans="1:18">
      <c r="A1323" s="905"/>
      <c r="B1323" s="906"/>
      <c r="C1323" s="907">
        <v>66</v>
      </c>
      <c r="D1323" s="907" t="s">
        <v>279</v>
      </c>
      <c r="E1323" s="925" t="s">
        <v>2682</v>
      </c>
      <c r="F1323" s="926" t="s">
        <v>45</v>
      </c>
      <c r="G1323" s="910"/>
      <c r="H1323" s="911">
        <v>5.3999999999999999E-2</v>
      </c>
      <c r="I1323" s="912">
        <f>VLOOKUP(E1323,[3]VLP!$B$7:$K$300,10,0)</f>
        <v>5000</v>
      </c>
      <c r="J1323" s="912">
        <f>I1323*H1323</f>
        <v>270</v>
      </c>
      <c r="K1323" s="912" t="s">
        <v>274</v>
      </c>
      <c r="L1323" s="912"/>
      <c r="M1323" s="912"/>
      <c r="N1323" s="912"/>
      <c r="O1323" s="892">
        <f t="shared" si="80"/>
        <v>0</v>
      </c>
      <c r="P1323" s="903">
        <f t="shared" si="81"/>
        <v>1</v>
      </c>
      <c r="Q1323" s="893">
        <f t="shared" si="82"/>
        <v>4</v>
      </c>
      <c r="R1323" s="894">
        <f t="shared" si="83"/>
        <v>0</v>
      </c>
    </row>
    <row r="1324" spans="1:18">
      <c r="A1324" s="905"/>
      <c r="B1324" s="906"/>
      <c r="C1324" s="907">
        <v>44</v>
      </c>
      <c r="D1324" s="907" t="s">
        <v>279</v>
      </c>
      <c r="E1324" s="925" t="s">
        <v>2681</v>
      </c>
      <c r="F1324" s="926" t="s">
        <v>45</v>
      </c>
      <c r="G1324" s="910"/>
      <c r="H1324" s="911">
        <v>0.36</v>
      </c>
      <c r="I1324" s="912">
        <f>VLOOKUP(E1324,[3]VLP!$B$7:$K$300,10,0)</f>
        <v>23000</v>
      </c>
      <c r="J1324" s="912">
        <f>I1324*H1324</f>
        <v>8280</v>
      </c>
      <c r="K1324" s="912" t="s">
        <v>274</v>
      </c>
      <c r="L1324" s="912"/>
      <c r="M1324" s="912"/>
      <c r="N1324" s="912"/>
      <c r="O1324" s="892">
        <f t="shared" si="80"/>
        <v>0</v>
      </c>
      <c r="P1324" s="903">
        <f t="shared" si="81"/>
        <v>1</v>
      </c>
      <c r="Q1324" s="893">
        <f t="shared" si="82"/>
        <v>3</v>
      </c>
      <c r="R1324" s="894">
        <f t="shared" si="83"/>
        <v>0</v>
      </c>
    </row>
    <row r="1325" spans="1:18" s="904" customFormat="1">
      <c r="A1325" s="895"/>
      <c r="B1325" s="896"/>
      <c r="C1325" s="897"/>
      <c r="D1325" s="897"/>
      <c r="E1325" s="924" t="s">
        <v>276</v>
      </c>
      <c r="F1325" s="927"/>
      <c r="G1325" s="928"/>
      <c r="H1325" s="901"/>
      <c r="I1325" s="902"/>
      <c r="J1325" s="902"/>
      <c r="K1325" s="912" t="s">
        <v>274</v>
      </c>
      <c r="L1325" s="902"/>
      <c r="M1325" s="902"/>
      <c r="N1325" s="902"/>
      <c r="O1325" s="892">
        <f t="shared" si="80"/>
        <v>0</v>
      </c>
      <c r="P1325" s="903">
        <f t="shared" si="81"/>
        <v>1</v>
      </c>
      <c r="Q1325" s="893">
        <f t="shared" si="82"/>
        <v>2</v>
      </c>
      <c r="R1325" s="894">
        <f t="shared" si="83"/>
        <v>0</v>
      </c>
    </row>
    <row r="1326" spans="1:18">
      <c r="A1326" s="905"/>
      <c r="B1326" s="906"/>
      <c r="C1326" s="907">
        <v>740</v>
      </c>
      <c r="D1326" s="907" t="s">
        <v>12</v>
      </c>
      <c r="E1326" s="908" t="s">
        <v>4008</v>
      </c>
      <c r="F1326" s="909" t="s">
        <v>2674</v>
      </c>
      <c r="G1326" s="910"/>
      <c r="H1326" s="911">
        <v>4.83</v>
      </c>
      <c r="I1326" s="912"/>
      <c r="J1326" s="912"/>
      <c r="K1326" s="912">
        <f>VLOOKUP(E1326,ĐMNC!$A$7:$F$67,4,0)</f>
        <v>252714</v>
      </c>
      <c r="L1326" s="912">
        <f>H1326*K1326</f>
        <v>1220608.6200000001</v>
      </c>
      <c r="M1326" s="912"/>
      <c r="N1326" s="912"/>
      <c r="O1326" s="892">
        <f t="shared" si="80"/>
        <v>0</v>
      </c>
      <c r="P1326" s="903">
        <f t="shared" si="81"/>
        <v>1</v>
      </c>
      <c r="Q1326" s="893">
        <f t="shared" si="82"/>
        <v>1</v>
      </c>
      <c r="R1326" s="894">
        <f t="shared" si="83"/>
        <v>0</v>
      </c>
    </row>
    <row r="1327" spans="1:18" s="847" customFormat="1" ht="31.5">
      <c r="A1327" s="905"/>
      <c r="B1327" s="914" t="s">
        <v>4370</v>
      </c>
      <c r="C1327" s="915"/>
      <c r="D1327" s="915"/>
      <c r="E1327" s="916" t="s">
        <v>4371</v>
      </c>
      <c r="F1327" s="917" t="s">
        <v>249</v>
      </c>
      <c r="G1327" s="918"/>
      <c r="H1327" s="919"/>
      <c r="I1327" s="920"/>
      <c r="J1327" s="891">
        <f>SUM(J1328:J1332)</f>
        <v>10296</v>
      </c>
      <c r="K1327" s="891"/>
      <c r="L1327" s="891">
        <f>SUM(L1328:L1332)</f>
        <v>684854.94</v>
      </c>
      <c r="M1327" s="891"/>
      <c r="N1327" s="891">
        <f>SUM(N1328:N1332)</f>
        <v>0</v>
      </c>
      <c r="O1327" s="892">
        <f t="shared" si="80"/>
        <v>1</v>
      </c>
      <c r="P1327" s="903">
        <f t="shared" si="81"/>
        <v>0</v>
      </c>
      <c r="Q1327" s="893">
        <f t="shared" si="82"/>
        <v>0</v>
      </c>
      <c r="R1327" s="894">
        <f t="shared" si="83"/>
        <v>5</v>
      </c>
    </row>
    <row r="1328" spans="1:18" s="904" customFormat="1">
      <c r="A1328" s="895"/>
      <c r="B1328" s="922"/>
      <c r="C1328" s="897"/>
      <c r="D1328" s="897"/>
      <c r="E1328" s="924" t="s">
        <v>108</v>
      </c>
      <c r="F1328" s="899"/>
      <c r="G1328" s="900"/>
      <c r="H1328" s="901"/>
      <c r="I1328" s="902"/>
      <c r="J1328" s="902"/>
      <c r="K1328" s="912" t="s">
        <v>274</v>
      </c>
      <c r="L1328" s="902"/>
      <c r="M1328" s="902"/>
      <c r="N1328" s="902"/>
      <c r="O1328" s="892">
        <f t="shared" si="80"/>
        <v>0</v>
      </c>
      <c r="P1328" s="903">
        <f t="shared" si="81"/>
        <v>1</v>
      </c>
      <c r="Q1328" s="893">
        <f t="shared" si="82"/>
        <v>5</v>
      </c>
      <c r="R1328" s="894">
        <f t="shared" si="83"/>
        <v>0</v>
      </c>
    </row>
    <row r="1329" spans="1:18">
      <c r="A1329" s="905"/>
      <c r="B1329" s="906"/>
      <c r="C1329" s="907">
        <v>66</v>
      </c>
      <c r="D1329" s="907" t="s">
        <v>279</v>
      </c>
      <c r="E1329" s="925" t="s">
        <v>2682</v>
      </c>
      <c r="F1329" s="926" t="s">
        <v>45</v>
      </c>
      <c r="G1329" s="910"/>
      <c r="H1329" s="911">
        <v>7.1999999999999995E-2</v>
      </c>
      <c r="I1329" s="912">
        <f>VLOOKUP(E1329,[3]VLP!$B$7:$K$300,10,0)</f>
        <v>5000</v>
      </c>
      <c r="J1329" s="912">
        <f>I1329*H1329</f>
        <v>360</v>
      </c>
      <c r="K1329" s="912" t="s">
        <v>274</v>
      </c>
      <c r="L1329" s="912"/>
      <c r="M1329" s="912"/>
      <c r="N1329" s="912"/>
      <c r="O1329" s="892">
        <f t="shared" si="80"/>
        <v>0</v>
      </c>
      <c r="P1329" s="903">
        <f t="shared" si="81"/>
        <v>1</v>
      </c>
      <c r="Q1329" s="893">
        <f t="shared" si="82"/>
        <v>4</v>
      </c>
      <c r="R1329" s="894">
        <f t="shared" si="83"/>
        <v>0</v>
      </c>
    </row>
    <row r="1330" spans="1:18">
      <c r="A1330" s="905"/>
      <c r="B1330" s="906"/>
      <c r="C1330" s="907">
        <v>44</v>
      </c>
      <c r="D1330" s="907" t="s">
        <v>279</v>
      </c>
      <c r="E1330" s="925" t="s">
        <v>2681</v>
      </c>
      <c r="F1330" s="926" t="s">
        <v>45</v>
      </c>
      <c r="G1330" s="910"/>
      <c r="H1330" s="911">
        <v>0.432</v>
      </c>
      <c r="I1330" s="912">
        <f>VLOOKUP(E1330,[3]VLP!$B$7:$K$300,10,0)</f>
        <v>23000</v>
      </c>
      <c r="J1330" s="912">
        <f>I1330*H1330</f>
        <v>9936</v>
      </c>
      <c r="K1330" s="912" t="s">
        <v>274</v>
      </c>
      <c r="L1330" s="912"/>
      <c r="M1330" s="912"/>
      <c r="N1330" s="912"/>
      <c r="O1330" s="892">
        <f t="shared" si="80"/>
        <v>0</v>
      </c>
      <c r="P1330" s="903">
        <f t="shared" si="81"/>
        <v>1</v>
      </c>
      <c r="Q1330" s="893">
        <f t="shared" si="82"/>
        <v>3</v>
      </c>
      <c r="R1330" s="894">
        <f t="shared" si="83"/>
        <v>0</v>
      </c>
    </row>
    <row r="1331" spans="1:18" s="904" customFormat="1">
      <c r="A1331" s="895"/>
      <c r="B1331" s="896"/>
      <c r="C1331" s="897"/>
      <c r="D1331" s="897"/>
      <c r="E1331" s="924" t="s">
        <v>276</v>
      </c>
      <c r="F1331" s="927"/>
      <c r="G1331" s="928"/>
      <c r="H1331" s="901"/>
      <c r="I1331" s="902"/>
      <c r="J1331" s="902"/>
      <c r="K1331" s="912" t="s">
        <v>274</v>
      </c>
      <c r="L1331" s="902"/>
      <c r="M1331" s="902"/>
      <c r="N1331" s="902"/>
      <c r="O1331" s="892">
        <f t="shared" si="80"/>
        <v>0</v>
      </c>
      <c r="P1331" s="903">
        <f t="shared" si="81"/>
        <v>1</v>
      </c>
      <c r="Q1331" s="893">
        <f t="shared" si="82"/>
        <v>2</v>
      </c>
      <c r="R1331" s="894">
        <f t="shared" si="83"/>
        <v>0</v>
      </c>
    </row>
    <row r="1332" spans="1:18">
      <c r="A1332" s="905"/>
      <c r="B1332" s="906"/>
      <c r="C1332" s="907">
        <v>740</v>
      </c>
      <c r="D1332" s="907" t="s">
        <v>12</v>
      </c>
      <c r="E1332" s="908" t="s">
        <v>4008</v>
      </c>
      <c r="F1332" s="909" t="s">
        <v>2674</v>
      </c>
      <c r="G1332" s="910"/>
      <c r="H1332" s="911">
        <v>2.71</v>
      </c>
      <c r="I1332" s="912"/>
      <c r="J1332" s="912"/>
      <c r="K1332" s="912">
        <f>VLOOKUP(E1332,ĐMNC!$A$7:$F$67,4,0)</f>
        <v>252714</v>
      </c>
      <c r="L1332" s="912">
        <f>H1332*K1332</f>
        <v>684854.94</v>
      </c>
      <c r="M1332" s="912"/>
      <c r="N1332" s="912"/>
      <c r="O1332" s="892">
        <f t="shared" si="80"/>
        <v>0</v>
      </c>
      <c r="P1332" s="903">
        <f t="shared" si="81"/>
        <v>1</v>
      </c>
      <c r="Q1332" s="893">
        <f t="shared" si="82"/>
        <v>1</v>
      </c>
      <c r="R1332" s="894">
        <f t="shared" si="83"/>
        <v>0</v>
      </c>
    </row>
    <row r="1333" spans="1:18" s="847" customFormat="1" ht="31.5">
      <c r="A1333" s="905"/>
      <c r="B1333" s="914" t="s">
        <v>4372</v>
      </c>
      <c r="C1333" s="915"/>
      <c r="D1333" s="915"/>
      <c r="E1333" s="916" t="s">
        <v>4373</v>
      </c>
      <c r="F1333" s="917" t="s">
        <v>249</v>
      </c>
      <c r="G1333" s="918"/>
      <c r="H1333" s="919"/>
      <c r="I1333" s="920"/>
      <c r="J1333" s="891">
        <f>SUM(J1334:J1338)</f>
        <v>10296</v>
      </c>
      <c r="K1333" s="891"/>
      <c r="L1333" s="891">
        <f>SUM(L1334:L1338)</f>
        <v>720234.9</v>
      </c>
      <c r="M1333" s="891"/>
      <c r="N1333" s="891">
        <f>SUM(N1334:N1338)</f>
        <v>0</v>
      </c>
      <c r="O1333" s="892">
        <f t="shared" si="80"/>
        <v>1</v>
      </c>
      <c r="P1333" s="903">
        <f t="shared" si="81"/>
        <v>0</v>
      </c>
      <c r="Q1333" s="893">
        <f t="shared" si="82"/>
        <v>0</v>
      </c>
      <c r="R1333" s="894">
        <f t="shared" si="83"/>
        <v>5</v>
      </c>
    </row>
    <row r="1334" spans="1:18" s="904" customFormat="1">
      <c r="A1334" s="895"/>
      <c r="B1334" s="896"/>
      <c r="C1334" s="897"/>
      <c r="D1334" s="897"/>
      <c r="E1334" s="924" t="s">
        <v>108</v>
      </c>
      <c r="F1334" s="899"/>
      <c r="G1334" s="900"/>
      <c r="H1334" s="901"/>
      <c r="I1334" s="902"/>
      <c r="J1334" s="902"/>
      <c r="K1334" s="912" t="s">
        <v>274</v>
      </c>
      <c r="L1334" s="902"/>
      <c r="M1334" s="902"/>
      <c r="N1334" s="902"/>
      <c r="O1334" s="892">
        <f t="shared" si="80"/>
        <v>0</v>
      </c>
      <c r="P1334" s="903">
        <f t="shared" si="81"/>
        <v>1</v>
      </c>
      <c r="Q1334" s="893">
        <f t="shared" si="82"/>
        <v>5</v>
      </c>
      <c r="R1334" s="894">
        <f t="shared" si="83"/>
        <v>0</v>
      </c>
    </row>
    <row r="1335" spans="1:18">
      <c r="A1335" s="905"/>
      <c r="B1335" s="906"/>
      <c r="C1335" s="907">
        <v>66</v>
      </c>
      <c r="D1335" s="907" t="s">
        <v>279</v>
      </c>
      <c r="E1335" s="925" t="s">
        <v>2682</v>
      </c>
      <c r="F1335" s="926" t="s">
        <v>45</v>
      </c>
      <c r="G1335" s="910"/>
      <c r="H1335" s="911">
        <v>7.1999999999999995E-2</v>
      </c>
      <c r="I1335" s="912">
        <f>VLOOKUP(E1335,[3]VLP!$B$7:$K$300,10,0)</f>
        <v>5000</v>
      </c>
      <c r="J1335" s="912">
        <f>I1335*H1335</f>
        <v>360</v>
      </c>
      <c r="K1335" s="912" t="s">
        <v>274</v>
      </c>
      <c r="L1335" s="912"/>
      <c r="M1335" s="912"/>
      <c r="N1335" s="912"/>
      <c r="O1335" s="892">
        <f t="shared" si="80"/>
        <v>0</v>
      </c>
      <c r="P1335" s="903">
        <f t="shared" si="81"/>
        <v>1</v>
      </c>
      <c r="Q1335" s="893">
        <f t="shared" si="82"/>
        <v>4</v>
      </c>
      <c r="R1335" s="894">
        <f t="shared" si="83"/>
        <v>0</v>
      </c>
    </row>
    <row r="1336" spans="1:18">
      <c r="A1336" s="905"/>
      <c r="B1336" s="906"/>
      <c r="C1336" s="907">
        <v>44</v>
      </c>
      <c r="D1336" s="907" t="s">
        <v>279</v>
      </c>
      <c r="E1336" s="925" t="s">
        <v>2681</v>
      </c>
      <c r="F1336" s="926" t="s">
        <v>45</v>
      </c>
      <c r="G1336" s="910"/>
      <c r="H1336" s="911">
        <v>0.432</v>
      </c>
      <c r="I1336" s="912">
        <f>VLOOKUP(E1336,[3]VLP!$B$7:$K$300,10,0)</f>
        <v>23000</v>
      </c>
      <c r="J1336" s="912">
        <f>I1336*H1336</f>
        <v>9936</v>
      </c>
      <c r="K1336" s="912" t="s">
        <v>274</v>
      </c>
      <c r="L1336" s="912"/>
      <c r="M1336" s="912"/>
      <c r="N1336" s="912"/>
      <c r="O1336" s="892">
        <f t="shared" si="80"/>
        <v>0</v>
      </c>
      <c r="P1336" s="903">
        <f t="shared" si="81"/>
        <v>1</v>
      </c>
      <c r="Q1336" s="893">
        <f t="shared" si="82"/>
        <v>3</v>
      </c>
      <c r="R1336" s="894">
        <f t="shared" si="83"/>
        <v>0</v>
      </c>
    </row>
    <row r="1337" spans="1:18" s="904" customFormat="1">
      <c r="A1337" s="895"/>
      <c r="B1337" s="896"/>
      <c r="C1337" s="897"/>
      <c r="D1337" s="897"/>
      <c r="E1337" s="924" t="s">
        <v>276</v>
      </c>
      <c r="F1337" s="927"/>
      <c r="G1337" s="928"/>
      <c r="H1337" s="901"/>
      <c r="I1337" s="902"/>
      <c r="J1337" s="902"/>
      <c r="K1337" s="912" t="s">
        <v>274</v>
      </c>
      <c r="L1337" s="902"/>
      <c r="M1337" s="902"/>
      <c r="N1337" s="902"/>
      <c r="O1337" s="892">
        <f t="shared" si="80"/>
        <v>0</v>
      </c>
      <c r="P1337" s="903">
        <f t="shared" si="81"/>
        <v>1</v>
      </c>
      <c r="Q1337" s="893">
        <f t="shared" si="82"/>
        <v>2</v>
      </c>
      <c r="R1337" s="894">
        <f t="shared" si="83"/>
        <v>0</v>
      </c>
    </row>
    <row r="1338" spans="1:18">
      <c r="A1338" s="905"/>
      <c r="B1338" s="906"/>
      <c r="C1338" s="907">
        <v>740</v>
      </c>
      <c r="D1338" s="907" t="s">
        <v>12</v>
      </c>
      <c r="E1338" s="908" t="s">
        <v>4008</v>
      </c>
      <c r="F1338" s="909" t="s">
        <v>2674</v>
      </c>
      <c r="G1338" s="910"/>
      <c r="H1338" s="911">
        <v>2.85</v>
      </c>
      <c r="I1338" s="912"/>
      <c r="J1338" s="912"/>
      <c r="K1338" s="912">
        <f>VLOOKUP(E1338,ĐMNC!$A$7:$F$67,4,0)</f>
        <v>252714</v>
      </c>
      <c r="L1338" s="912">
        <f>H1338*K1338</f>
        <v>720234.9</v>
      </c>
      <c r="M1338" s="912"/>
      <c r="N1338" s="912"/>
      <c r="O1338" s="892">
        <f t="shared" si="80"/>
        <v>0</v>
      </c>
      <c r="P1338" s="903">
        <f t="shared" si="81"/>
        <v>1</v>
      </c>
      <c r="Q1338" s="893">
        <f t="shared" si="82"/>
        <v>1</v>
      </c>
      <c r="R1338" s="894">
        <f t="shared" si="83"/>
        <v>0</v>
      </c>
    </row>
    <row r="1339" spans="1:18" s="847" customFormat="1" ht="31.5">
      <c r="A1339" s="905"/>
      <c r="B1339" s="914" t="s">
        <v>4374</v>
      </c>
      <c r="C1339" s="915"/>
      <c r="D1339" s="915"/>
      <c r="E1339" s="916" t="s">
        <v>4375</v>
      </c>
      <c r="F1339" s="917" t="s">
        <v>249</v>
      </c>
      <c r="G1339" s="918"/>
      <c r="H1339" s="919"/>
      <c r="I1339" s="920"/>
      <c r="J1339" s="891">
        <f>SUM(J1340:J1344)</f>
        <v>10296</v>
      </c>
      <c r="K1339" s="891"/>
      <c r="L1339" s="891">
        <f>SUM(L1340:L1344)</f>
        <v>785940.53999999992</v>
      </c>
      <c r="M1339" s="891"/>
      <c r="N1339" s="891">
        <f>SUM(N1340:N1344)</f>
        <v>0</v>
      </c>
      <c r="O1339" s="892">
        <f t="shared" si="80"/>
        <v>1</v>
      </c>
      <c r="P1339" s="903">
        <f t="shared" si="81"/>
        <v>0</v>
      </c>
      <c r="Q1339" s="893">
        <f t="shared" si="82"/>
        <v>0</v>
      </c>
      <c r="R1339" s="894">
        <f t="shared" si="83"/>
        <v>5</v>
      </c>
    </row>
    <row r="1340" spans="1:18" s="904" customFormat="1">
      <c r="A1340" s="895"/>
      <c r="B1340" s="896"/>
      <c r="C1340" s="897"/>
      <c r="D1340" s="897"/>
      <c r="E1340" s="924" t="s">
        <v>108</v>
      </c>
      <c r="F1340" s="899"/>
      <c r="G1340" s="900"/>
      <c r="H1340" s="901"/>
      <c r="I1340" s="902"/>
      <c r="J1340" s="902"/>
      <c r="K1340" s="912" t="s">
        <v>274</v>
      </c>
      <c r="L1340" s="902"/>
      <c r="M1340" s="902"/>
      <c r="N1340" s="902"/>
      <c r="O1340" s="892">
        <f t="shared" si="80"/>
        <v>0</v>
      </c>
      <c r="P1340" s="903">
        <f t="shared" si="81"/>
        <v>1</v>
      </c>
      <c r="Q1340" s="893">
        <f t="shared" si="82"/>
        <v>5</v>
      </c>
      <c r="R1340" s="894">
        <f t="shared" si="83"/>
        <v>0</v>
      </c>
    </row>
    <row r="1341" spans="1:18">
      <c r="A1341" s="905"/>
      <c r="B1341" s="906"/>
      <c r="C1341" s="907">
        <v>66</v>
      </c>
      <c r="D1341" s="907" t="s">
        <v>279</v>
      </c>
      <c r="E1341" s="925" t="s">
        <v>2682</v>
      </c>
      <c r="F1341" s="926" t="s">
        <v>45</v>
      </c>
      <c r="G1341" s="910"/>
      <c r="H1341" s="911">
        <v>7.1999999999999995E-2</v>
      </c>
      <c r="I1341" s="912">
        <f>VLOOKUP(E1341,[3]VLP!$B$7:$K$300,10,0)</f>
        <v>5000</v>
      </c>
      <c r="J1341" s="912">
        <f>I1341*H1341</f>
        <v>360</v>
      </c>
      <c r="K1341" s="912" t="s">
        <v>274</v>
      </c>
      <c r="L1341" s="912"/>
      <c r="M1341" s="912"/>
      <c r="N1341" s="912"/>
      <c r="O1341" s="892">
        <f t="shared" si="80"/>
        <v>0</v>
      </c>
      <c r="P1341" s="903">
        <f t="shared" si="81"/>
        <v>1</v>
      </c>
      <c r="Q1341" s="893">
        <f t="shared" si="82"/>
        <v>4</v>
      </c>
      <c r="R1341" s="894">
        <f t="shared" si="83"/>
        <v>0</v>
      </c>
    </row>
    <row r="1342" spans="1:18">
      <c r="A1342" s="905"/>
      <c r="B1342" s="906"/>
      <c r="C1342" s="907">
        <v>44</v>
      </c>
      <c r="D1342" s="907" t="s">
        <v>279</v>
      </c>
      <c r="E1342" s="925" t="s">
        <v>2681</v>
      </c>
      <c r="F1342" s="926" t="s">
        <v>45</v>
      </c>
      <c r="G1342" s="910"/>
      <c r="H1342" s="911">
        <v>0.432</v>
      </c>
      <c r="I1342" s="912">
        <f>VLOOKUP(E1342,[3]VLP!$B$7:$K$300,10,0)</f>
        <v>23000</v>
      </c>
      <c r="J1342" s="912">
        <f>I1342*H1342</f>
        <v>9936</v>
      </c>
      <c r="K1342" s="912" t="s">
        <v>274</v>
      </c>
      <c r="L1342" s="912"/>
      <c r="M1342" s="912"/>
      <c r="N1342" s="912"/>
      <c r="O1342" s="892">
        <f t="shared" si="80"/>
        <v>0</v>
      </c>
      <c r="P1342" s="903">
        <f t="shared" si="81"/>
        <v>1</v>
      </c>
      <c r="Q1342" s="893">
        <f t="shared" si="82"/>
        <v>3</v>
      </c>
      <c r="R1342" s="894">
        <f t="shared" si="83"/>
        <v>0</v>
      </c>
    </row>
    <row r="1343" spans="1:18" s="904" customFormat="1">
      <c r="A1343" s="895"/>
      <c r="B1343" s="896"/>
      <c r="C1343" s="897"/>
      <c r="D1343" s="897"/>
      <c r="E1343" s="924" t="s">
        <v>276</v>
      </c>
      <c r="F1343" s="927"/>
      <c r="G1343" s="928"/>
      <c r="H1343" s="901"/>
      <c r="I1343" s="902"/>
      <c r="J1343" s="902"/>
      <c r="K1343" s="912" t="s">
        <v>274</v>
      </c>
      <c r="L1343" s="902"/>
      <c r="M1343" s="902"/>
      <c r="N1343" s="902"/>
      <c r="O1343" s="892">
        <f t="shared" si="80"/>
        <v>0</v>
      </c>
      <c r="P1343" s="903">
        <f t="shared" si="81"/>
        <v>1</v>
      </c>
      <c r="Q1343" s="893">
        <f t="shared" si="82"/>
        <v>2</v>
      </c>
      <c r="R1343" s="894">
        <f t="shared" si="83"/>
        <v>0</v>
      </c>
    </row>
    <row r="1344" spans="1:18">
      <c r="A1344" s="905"/>
      <c r="B1344" s="906"/>
      <c r="C1344" s="907">
        <v>740</v>
      </c>
      <c r="D1344" s="907" t="s">
        <v>12</v>
      </c>
      <c r="E1344" s="908" t="s">
        <v>4008</v>
      </c>
      <c r="F1344" s="909" t="s">
        <v>2674</v>
      </c>
      <c r="G1344" s="910"/>
      <c r="H1344" s="911">
        <v>3.11</v>
      </c>
      <c r="I1344" s="912"/>
      <c r="J1344" s="912"/>
      <c r="K1344" s="912">
        <f>VLOOKUP(E1344,ĐMNC!$A$7:$F$67,4,0)</f>
        <v>252714</v>
      </c>
      <c r="L1344" s="912">
        <f>H1344*K1344</f>
        <v>785940.53999999992</v>
      </c>
      <c r="M1344" s="912"/>
      <c r="N1344" s="912"/>
      <c r="O1344" s="892">
        <f t="shared" si="80"/>
        <v>0</v>
      </c>
      <c r="P1344" s="903">
        <f t="shared" si="81"/>
        <v>1</v>
      </c>
      <c r="Q1344" s="893">
        <f t="shared" si="82"/>
        <v>1</v>
      </c>
      <c r="R1344" s="894">
        <f t="shared" si="83"/>
        <v>0</v>
      </c>
    </row>
    <row r="1345" spans="1:18" s="847" customFormat="1" ht="31.5">
      <c r="A1345" s="905"/>
      <c r="B1345" s="914" t="s">
        <v>4376</v>
      </c>
      <c r="C1345" s="915"/>
      <c r="D1345" s="915"/>
      <c r="E1345" s="916" t="s">
        <v>4377</v>
      </c>
      <c r="F1345" s="917" t="s">
        <v>249</v>
      </c>
      <c r="G1345" s="918"/>
      <c r="H1345" s="919"/>
      <c r="I1345" s="920"/>
      <c r="J1345" s="891">
        <f>SUM(J1346:J1350)</f>
        <v>10296</v>
      </c>
      <c r="K1345" s="891"/>
      <c r="L1345" s="891">
        <f>SUM(L1346:L1350)</f>
        <v>899661.84</v>
      </c>
      <c r="M1345" s="891"/>
      <c r="N1345" s="891">
        <f>SUM(N1346:N1350)</f>
        <v>0</v>
      </c>
      <c r="O1345" s="892">
        <f t="shared" si="80"/>
        <v>1</v>
      </c>
      <c r="P1345" s="903">
        <f t="shared" si="81"/>
        <v>0</v>
      </c>
      <c r="Q1345" s="893">
        <f t="shared" si="82"/>
        <v>0</v>
      </c>
      <c r="R1345" s="894">
        <f t="shared" si="83"/>
        <v>5</v>
      </c>
    </row>
    <row r="1346" spans="1:18" s="904" customFormat="1">
      <c r="A1346" s="895"/>
      <c r="B1346" s="896"/>
      <c r="C1346" s="897"/>
      <c r="D1346" s="897"/>
      <c r="E1346" s="924" t="s">
        <v>108</v>
      </c>
      <c r="F1346" s="899"/>
      <c r="G1346" s="900"/>
      <c r="H1346" s="901"/>
      <c r="I1346" s="902"/>
      <c r="J1346" s="902"/>
      <c r="K1346" s="912" t="s">
        <v>274</v>
      </c>
      <c r="L1346" s="902"/>
      <c r="M1346" s="902"/>
      <c r="N1346" s="902"/>
      <c r="O1346" s="892">
        <f t="shared" si="80"/>
        <v>0</v>
      </c>
      <c r="P1346" s="903">
        <f t="shared" si="81"/>
        <v>1</v>
      </c>
      <c r="Q1346" s="893">
        <f t="shared" si="82"/>
        <v>5</v>
      </c>
      <c r="R1346" s="894">
        <f t="shared" si="83"/>
        <v>0</v>
      </c>
    </row>
    <row r="1347" spans="1:18">
      <c r="A1347" s="905"/>
      <c r="B1347" s="906"/>
      <c r="C1347" s="907">
        <v>66</v>
      </c>
      <c r="D1347" s="907" t="s">
        <v>279</v>
      </c>
      <c r="E1347" s="925" t="s">
        <v>2682</v>
      </c>
      <c r="F1347" s="926" t="s">
        <v>45</v>
      </c>
      <c r="G1347" s="910"/>
      <c r="H1347" s="911">
        <v>7.1999999999999995E-2</v>
      </c>
      <c r="I1347" s="912">
        <f>VLOOKUP(E1347,[3]VLP!$B$7:$K$300,10,0)</f>
        <v>5000</v>
      </c>
      <c r="J1347" s="912">
        <f>I1347*H1347</f>
        <v>360</v>
      </c>
      <c r="K1347" s="912" t="s">
        <v>274</v>
      </c>
      <c r="L1347" s="912"/>
      <c r="M1347" s="912"/>
      <c r="N1347" s="912"/>
      <c r="O1347" s="892">
        <f t="shared" si="80"/>
        <v>0</v>
      </c>
      <c r="P1347" s="903">
        <f t="shared" si="81"/>
        <v>1</v>
      </c>
      <c r="Q1347" s="893">
        <f t="shared" si="82"/>
        <v>4</v>
      </c>
      <c r="R1347" s="894">
        <f t="shared" si="83"/>
        <v>0</v>
      </c>
    </row>
    <row r="1348" spans="1:18">
      <c r="A1348" s="905"/>
      <c r="B1348" s="906"/>
      <c r="C1348" s="907">
        <v>44</v>
      </c>
      <c r="D1348" s="907" t="s">
        <v>279</v>
      </c>
      <c r="E1348" s="925" t="s">
        <v>2681</v>
      </c>
      <c r="F1348" s="926" t="s">
        <v>45</v>
      </c>
      <c r="G1348" s="910"/>
      <c r="H1348" s="911">
        <v>0.432</v>
      </c>
      <c r="I1348" s="912">
        <f>VLOOKUP(E1348,[3]VLP!$B$7:$K$300,10,0)</f>
        <v>23000</v>
      </c>
      <c r="J1348" s="912">
        <f>I1348*H1348</f>
        <v>9936</v>
      </c>
      <c r="K1348" s="912" t="s">
        <v>274</v>
      </c>
      <c r="L1348" s="912"/>
      <c r="M1348" s="912"/>
      <c r="N1348" s="912"/>
      <c r="O1348" s="892">
        <f t="shared" si="80"/>
        <v>0</v>
      </c>
      <c r="P1348" s="903">
        <f t="shared" si="81"/>
        <v>1</v>
      </c>
      <c r="Q1348" s="893">
        <f t="shared" si="82"/>
        <v>3</v>
      </c>
      <c r="R1348" s="894">
        <f t="shared" si="83"/>
        <v>0</v>
      </c>
    </row>
    <row r="1349" spans="1:18" s="904" customFormat="1">
      <c r="A1349" s="895"/>
      <c r="B1349" s="896"/>
      <c r="C1349" s="897"/>
      <c r="D1349" s="897"/>
      <c r="E1349" s="924" t="s">
        <v>276</v>
      </c>
      <c r="F1349" s="927"/>
      <c r="G1349" s="928"/>
      <c r="H1349" s="901"/>
      <c r="I1349" s="902"/>
      <c r="J1349" s="902"/>
      <c r="K1349" s="912" t="s">
        <v>274</v>
      </c>
      <c r="L1349" s="902"/>
      <c r="M1349" s="902"/>
      <c r="N1349" s="902"/>
      <c r="O1349" s="892">
        <f t="shared" si="80"/>
        <v>0</v>
      </c>
      <c r="P1349" s="903">
        <f t="shared" si="81"/>
        <v>1</v>
      </c>
      <c r="Q1349" s="893">
        <f t="shared" si="82"/>
        <v>2</v>
      </c>
      <c r="R1349" s="894">
        <f t="shared" si="83"/>
        <v>0</v>
      </c>
    </row>
    <row r="1350" spans="1:18">
      <c r="A1350" s="905"/>
      <c r="B1350" s="906"/>
      <c r="C1350" s="907">
        <v>740</v>
      </c>
      <c r="D1350" s="907" t="s">
        <v>12</v>
      </c>
      <c r="E1350" s="908" t="s">
        <v>4008</v>
      </c>
      <c r="F1350" s="909" t="s">
        <v>2674</v>
      </c>
      <c r="G1350" s="910"/>
      <c r="H1350" s="911">
        <v>3.56</v>
      </c>
      <c r="I1350" s="912"/>
      <c r="J1350" s="912"/>
      <c r="K1350" s="912">
        <f>VLOOKUP(E1350,ĐMNC!$A$7:$F$67,4,0)</f>
        <v>252714</v>
      </c>
      <c r="L1350" s="912">
        <f>H1350*K1350</f>
        <v>899661.84</v>
      </c>
      <c r="M1350" s="912"/>
      <c r="N1350" s="912"/>
      <c r="O1350" s="892">
        <f t="shared" ref="O1350:O1413" si="84">IF(AND(B1350&lt;&gt;"",D1350=""),1,0)</f>
        <v>0</v>
      </c>
      <c r="P1350" s="903">
        <f t="shared" si="81"/>
        <v>1</v>
      </c>
      <c r="Q1350" s="893">
        <f t="shared" si="82"/>
        <v>1</v>
      </c>
      <c r="R1350" s="894">
        <f t="shared" si="83"/>
        <v>0</v>
      </c>
    </row>
    <row r="1351" spans="1:18" s="847" customFormat="1" ht="31.5">
      <c r="A1351" s="905"/>
      <c r="B1351" s="914" t="s">
        <v>4378</v>
      </c>
      <c r="C1351" s="915"/>
      <c r="D1351" s="915"/>
      <c r="E1351" s="916" t="s">
        <v>4379</v>
      </c>
      <c r="F1351" s="917" t="s">
        <v>249</v>
      </c>
      <c r="G1351" s="918"/>
      <c r="H1351" s="919"/>
      <c r="I1351" s="920"/>
      <c r="J1351" s="891">
        <f>SUM(J1352:J1356)</f>
        <v>10296</v>
      </c>
      <c r="K1351" s="891"/>
      <c r="L1351" s="891">
        <f>SUM(L1352:L1356)</f>
        <v>1000747.44</v>
      </c>
      <c r="M1351" s="891"/>
      <c r="N1351" s="891">
        <f>SUM(N1352:N1356)</f>
        <v>0</v>
      </c>
      <c r="O1351" s="892">
        <f t="shared" si="84"/>
        <v>1</v>
      </c>
      <c r="P1351" s="903">
        <f t="shared" si="81"/>
        <v>0</v>
      </c>
      <c r="Q1351" s="893">
        <f t="shared" si="82"/>
        <v>0</v>
      </c>
      <c r="R1351" s="894">
        <f t="shared" si="83"/>
        <v>5</v>
      </c>
    </row>
    <row r="1352" spans="1:18" s="904" customFormat="1">
      <c r="A1352" s="895"/>
      <c r="B1352" s="896"/>
      <c r="C1352" s="897"/>
      <c r="D1352" s="897"/>
      <c r="E1352" s="924" t="s">
        <v>108</v>
      </c>
      <c r="F1352" s="899"/>
      <c r="G1352" s="900"/>
      <c r="H1352" s="901"/>
      <c r="I1352" s="902"/>
      <c r="J1352" s="902"/>
      <c r="K1352" s="912" t="s">
        <v>274</v>
      </c>
      <c r="L1352" s="902"/>
      <c r="M1352" s="902"/>
      <c r="N1352" s="902"/>
      <c r="O1352" s="892">
        <f t="shared" si="84"/>
        <v>0</v>
      </c>
      <c r="P1352" s="903">
        <f t="shared" si="81"/>
        <v>1</v>
      </c>
      <c r="Q1352" s="893">
        <f t="shared" si="82"/>
        <v>5</v>
      </c>
      <c r="R1352" s="894">
        <f t="shared" si="83"/>
        <v>0</v>
      </c>
    </row>
    <row r="1353" spans="1:18">
      <c r="A1353" s="905"/>
      <c r="B1353" s="906"/>
      <c r="C1353" s="907">
        <v>66</v>
      </c>
      <c r="D1353" s="907" t="s">
        <v>279</v>
      </c>
      <c r="E1353" s="925" t="s">
        <v>2682</v>
      </c>
      <c r="F1353" s="926" t="s">
        <v>45</v>
      </c>
      <c r="G1353" s="910"/>
      <c r="H1353" s="911">
        <v>7.1999999999999995E-2</v>
      </c>
      <c r="I1353" s="912">
        <f>VLOOKUP(E1353,[3]VLP!$B$7:$K$300,10,0)</f>
        <v>5000</v>
      </c>
      <c r="J1353" s="912">
        <f>I1353*H1353</f>
        <v>360</v>
      </c>
      <c r="K1353" s="912" t="s">
        <v>274</v>
      </c>
      <c r="L1353" s="912"/>
      <c r="M1353" s="912"/>
      <c r="N1353" s="912"/>
      <c r="O1353" s="892">
        <f t="shared" si="84"/>
        <v>0</v>
      </c>
      <c r="P1353" s="903">
        <f t="shared" si="81"/>
        <v>1</v>
      </c>
      <c r="Q1353" s="893">
        <f t="shared" si="82"/>
        <v>4</v>
      </c>
      <c r="R1353" s="894">
        <f t="shared" si="83"/>
        <v>0</v>
      </c>
    </row>
    <row r="1354" spans="1:18">
      <c r="A1354" s="905"/>
      <c r="B1354" s="906"/>
      <c r="C1354" s="907">
        <v>44</v>
      </c>
      <c r="D1354" s="907" t="s">
        <v>279</v>
      </c>
      <c r="E1354" s="925" t="s">
        <v>2681</v>
      </c>
      <c r="F1354" s="926" t="s">
        <v>45</v>
      </c>
      <c r="G1354" s="910"/>
      <c r="H1354" s="911">
        <v>0.432</v>
      </c>
      <c r="I1354" s="912">
        <f>VLOOKUP(E1354,[3]VLP!$B$7:$K$300,10,0)</f>
        <v>23000</v>
      </c>
      <c r="J1354" s="912">
        <f>I1354*H1354</f>
        <v>9936</v>
      </c>
      <c r="K1354" s="912" t="s">
        <v>274</v>
      </c>
      <c r="L1354" s="912"/>
      <c r="M1354" s="912"/>
      <c r="N1354" s="912"/>
      <c r="O1354" s="892">
        <f t="shared" si="84"/>
        <v>0</v>
      </c>
      <c r="P1354" s="903">
        <f t="shared" si="81"/>
        <v>1</v>
      </c>
      <c r="Q1354" s="893">
        <f t="shared" si="82"/>
        <v>3</v>
      </c>
      <c r="R1354" s="894">
        <f t="shared" si="83"/>
        <v>0</v>
      </c>
    </row>
    <row r="1355" spans="1:18" s="904" customFormat="1">
      <c r="A1355" s="895"/>
      <c r="B1355" s="896"/>
      <c r="C1355" s="897"/>
      <c r="D1355" s="897"/>
      <c r="E1355" s="924" t="s">
        <v>276</v>
      </c>
      <c r="F1355" s="927"/>
      <c r="G1355" s="928"/>
      <c r="H1355" s="901"/>
      <c r="I1355" s="902"/>
      <c r="J1355" s="902"/>
      <c r="K1355" s="912" t="s">
        <v>274</v>
      </c>
      <c r="L1355" s="902"/>
      <c r="M1355" s="902"/>
      <c r="N1355" s="902"/>
      <c r="O1355" s="892">
        <f t="shared" si="84"/>
        <v>0</v>
      </c>
      <c r="P1355" s="903">
        <f t="shared" si="81"/>
        <v>1</v>
      </c>
      <c r="Q1355" s="893">
        <f t="shared" si="82"/>
        <v>2</v>
      </c>
      <c r="R1355" s="894">
        <f t="shared" si="83"/>
        <v>0</v>
      </c>
    </row>
    <row r="1356" spans="1:18">
      <c r="A1356" s="905"/>
      <c r="B1356" s="906"/>
      <c r="C1356" s="907">
        <v>740</v>
      </c>
      <c r="D1356" s="907" t="s">
        <v>12</v>
      </c>
      <c r="E1356" s="908" t="s">
        <v>4008</v>
      </c>
      <c r="F1356" s="909" t="s">
        <v>2674</v>
      </c>
      <c r="G1356" s="910"/>
      <c r="H1356" s="911">
        <v>3.96</v>
      </c>
      <c r="I1356" s="912"/>
      <c r="J1356" s="912"/>
      <c r="K1356" s="912">
        <f>VLOOKUP(E1356,ĐMNC!$A$7:$F$67,4,0)</f>
        <v>252714</v>
      </c>
      <c r="L1356" s="912">
        <f>H1356*K1356</f>
        <v>1000747.44</v>
      </c>
      <c r="M1356" s="912"/>
      <c r="N1356" s="912"/>
      <c r="O1356" s="892">
        <f t="shared" si="84"/>
        <v>0</v>
      </c>
      <c r="P1356" s="903">
        <f t="shared" si="81"/>
        <v>1</v>
      </c>
      <c r="Q1356" s="893">
        <f t="shared" si="82"/>
        <v>1</v>
      </c>
      <c r="R1356" s="894">
        <f t="shared" si="83"/>
        <v>0</v>
      </c>
    </row>
    <row r="1357" spans="1:18" s="847" customFormat="1" ht="31.5">
      <c r="A1357" s="905"/>
      <c r="B1357" s="914" t="s">
        <v>4380</v>
      </c>
      <c r="C1357" s="915"/>
      <c r="D1357" s="915"/>
      <c r="E1357" s="916" t="s">
        <v>4381</v>
      </c>
      <c r="F1357" s="917" t="s">
        <v>249</v>
      </c>
      <c r="G1357" s="918"/>
      <c r="H1357" s="919"/>
      <c r="I1357" s="920"/>
      <c r="J1357" s="891">
        <f>SUM(J1358:J1362)</f>
        <v>10296</v>
      </c>
      <c r="K1357" s="891"/>
      <c r="L1357" s="891">
        <f>SUM(L1358:L1362)</f>
        <v>1101833.04</v>
      </c>
      <c r="M1357" s="891"/>
      <c r="N1357" s="891">
        <f>SUM(N1358:N1362)</f>
        <v>0</v>
      </c>
      <c r="O1357" s="892">
        <f t="shared" si="84"/>
        <v>1</v>
      </c>
      <c r="P1357" s="903">
        <f t="shared" si="81"/>
        <v>0</v>
      </c>
      <c r="Q1357" s="893">
        <f t="shared" si="82"/>
        <v>0</v>
      </c>
      <c r="R1357" s="894">
        <f t="shared" si="83"/>
        <v>5</v>
      </c>
    </row>
    <row r="1358" spans="1:18" s="904" customFormat="1">
      <c r="A1358" s="895"/>
      <c r="B1358" s="896"/>
      <c r="C1358" s="897"/>
      <c r="D1358" s="897"/>
      <c r="E1358" s="924" t="s">
        <v>108</v>
      </c>
      <c r="F1358" s="899"/>
      <c r="G1358" s="900"/>
      <c r="H1358" s="901"/>
      <c r="I1358" s="902"/>
      <c r="J1358" s="902"/>
      <c r="K1358" s="912" t="s">
        <v>274</v>
      </c>
      <c r="L1358" s="902"/>
      <c r="M1358" s="902"/>
      <c r="N1358" s="902"/>
      <c r="O1358" s="892">
        <f t="shared" si="84"/>
        <v>0</v>
      </c>
      <c r="P1358" s="903">
        <f t="shared" si="81"/>
        <v>1</v>
      </c>
      <c r="Q1358" s="893">
        <f t="shared" si="82"/>
        <v>5</v>
      </c>
      <c r="R1358" s="894">
        <f t="shared" si="83"/>
        <v>0</v>
      </c>
    </row>
    <row r="1359" spans="1:18">
      <c r="A1359" s="905"/>
      <c r="B1359" s="906"/>
      <c r="C1359" s="907">
        <v>66</v>
      </c>
      <c r="D1359" s="907" t="s">
        <v>279</v>
      </c>
      <c r="E1359" s="925" t="s">
        <v>2682</v>
      </c>
      <c r="F1359" s="926" t="s">
        <v>45</v>
      </c>
      <c r="G1359" s="910"/>
      <c r="H1359" s="911">
        <v>7.1999999999999995E-2</v>
      </c>
      <c r="I1359" s="912">
        <f>VLOOKUP(E1359,[3]VLP!$B$7:$K$300,10,0)</f>
        <v>5000</v>
      </c>
      <c r="J1359" s="912">
        <f>I1359*H1359</f>
        <v>360</v>
      </c>
      <c r="K1359" s="912" t="s">
        <v>274</v>
      </c>
      <c r="L1359" s="912"/>
      <c r="M1359" s="912"/>
      <c r="N1359" s="912"/>
      <c r="O1359" s="892">
        <f t="shared" si="84"/>
        <v>0</v>
      </c>
      <c r="P1359" s="903">
        <f t="shared" ref="P1359:P1422" si="85">IF(O1359=0,1,0)</f>
        <v>1</v>
      </c>
      <c r="Q1359" s="893">
        <f t="shared" ref="Q1359:Q1422" si="86">IF(P1359=0,0,P1359+Q1360)</f>
        <v>4</v>
      </c>
      <c r="R1359" s="894">
        <f t="shared" ref="R1359:R1422" si="87">IF(Q1359=0,Q1360,0)</f>
        <v>0</v>
      </c>
    </row>
    <row r="1360" spans="1:18">
      <c r="A1360" s="905"/>
      <c r="B1360" s="906"/>
      <c r="C1360" s="907">
        <v>44</v>
      </c>
      <c r="D1360" s="907" t="s">
        <v>279</v>
      </c>
      <c r="E1360" s="925" t="s">
        <v>2681</v>
      </c>
      <c r="F1360" s="926" t="s">
        <v>45</v>
      </c>
      <c r="G1360" s="910"/>
      <c r="H1360" s="911">
        <v>0.432</v>
      </c>
      <c r="I1360" s="912">
        <f>VLOOKUP(E1360,[3]VLP!$B$7:$K$300,10,0)</f>
        <v>23000</v>
      </c>
      <c r="J1360" s="912">
        <f>I1360*H1360</f>
        <v>9936</v>
      </c>
      <c r="K1360" s="912" t="s">
        <v>274</v>
      </c>
      <c r="L1360" s="912"/>
      <c r="M1360" s="912"/>
      <c r="N1360" s="912"/>
      <c r="O1360" s="892">
        <f t="shared" si="84"/>
        <v>0</v>
      </c>
      <c r="P1360" s="903">
        <f t="shared" si="85"/>
        <v>1</v>
      </c>
      <c r="Q1360" s="893">
        <f t="shared" si="86"/>
        <v>3</v>
      </c>
      <c r="R1360" s="894">
        <f t="shared" si="87"/>
        <v>0</v>
      </c>
    </row>
    <row r="1361" spans="1:18" s="904" customFormat="1">
      <c r="A1361" s="895"/>
      <c r="B1361" s="896"/>
      <c r="C1361" s="897"/>
      <c r="D1361" s="897"/>
      <c r="E1361" s="924" t="s">
        <v>276</v>
      </c>
      <c r="F1361" s="927"/>
      <c r="G1361" s="928"/>
      <c r="H1361" s="901"/>
      <c r="I1361" s="902"/>
      <c r="J1361" s="902"/>
      <c r="K1361" s="912" t="s">
        <v>274</v>
      </c>
      <c r="L1361" s="902"/>
      <c r="M1361" s="902"/>
      <c r="N1361" s="902"/>
      <c r="O1361" s="892">
        <f t="shared" si="84"/>
        <v>0</v>
      </c>
      <c r="P1361" s="903">
        <f t="shared" si="85"/>
        <v>1</v>
      </c>
      <c r="Q1361" s="893">
        <f t="shared" si="86"/>
        <v>2</v>
      </c>
      <c r="R1361" s="894">
        <f t="shared" si="87"/>
        <v>0</v>
      </c>
    </row>
    <row r="1362" spans="1:18">
      <c r="A1362" s="905"/>
      <c r="B1362" s="906"/>
      <c r="C1362" s="907">
        <v>740</v>
      </c>
      <c r="D1362" s="907" t="s">
        <v>12</v>
      </c>
      <c r="E1362" s="908" t="s">
        <v>4008</v>
      </c>
      <c r="F1362" s="909" t="s">
        <v>2674</v>
      </c>
      <c r="G1362" s="910"/>
      <c r="H1362" s="911">
        <v>4.3600000000000003</v>
      </c>
      <c r="I1362" s="912"/>
      <c r="J1362" s="912"/>
      <c r="K1362" s="912">
        <f>VLOOKUP(E1362,ĐMNC!$A$7:$F$67,4,0)</f>
        <v>252714</v>
      </c>
      <c r="L1362" s="912">
        <f>H1362*K1362</f>
        <v>1101833.04</v>
      </c>
      <c r="M1362" s="912"/>
      <c r="N1362" s="912"/>
      <c r="O1362" s="892">
        <f t="shared" si="84"/>
        <v>0</v>
      </c>
      <c r="P1362" s="903">
        <f t="shared" si="85"/>
        <v>1</v>
      </c>
      <c r="Q1362" s="893">
        <f t="shared" si="86"/>
        <v>1</v>
      </c>
      <c r="R1362" s="894">
        <f t="shared" si="87"/>
        <v>0</v>
      </c>
    </row>
    <row r="1363" spans="1:18" s="847" customFormat="1" ht="31.5">
      <c r="A1363" s="905"/>
      <c r="B1363" s="914" t="s">
        <v>4382</v>
      </c>
      <c r="C1363" s="915"/>
      <c r="D1363" s="915"/>
      <c r="E1363" s="916" t="s">
        <v>4383</v>
      </c>
      <c r="F1363" s="917" t="s">
        <v>249</v>
      </c>
      <c r="G1363" s="918"/>
      <c r="H1363" s="919"/>
      <c r="I1363" s="920"/>
      <c r="J1363" s="891">
        <f>SUM(J1364:J1368)</f>
        <v>10296</v>
      </c>
      <c r="K1363" s="891"/>
      <c r="L1363" s="891">
        <f>SUM(L1364:L1368)</f>
        <v>1266097.1399999999</v>
      </c>
      <c r="M1363" s="891"/>
      <c r="N1363" s="891">
        <f>SUM(N1364:N1368)</f>
        <v>0</v>
      </c>
      <c r="O1363" s="892">
        <f t="shared" si="84"/>
        <v>1</v>
      </c>
      <c r="P1363" s="903">
        <f t="shared" si="85"/>
        <v>0</v>
      </c>
      <c r="Q1363" s="893">
        <f t="shared" si="86"/>
        <v>0</v>
      </c>
      <c r="R1363" s="894">
        <f t="shared" si="87"/>
        <v>5</v>
      </c>
    </row>
    <row r="1364" spans="1:18" s="904" customFormat="1">
      <c r="A1364" s="895"/>
      <c r="B1364" s="896"/>
      <c r="C1364" s="897"/>
      <c r="D1364" s="897"/>
      <c r="E1364" s="924" t="s">
        <v>108</v>
      </c>
      <c r="F1364" s="899"/>
      <c r="G1364" s="900"/>
      <c r="H1364" s="901"/>
      <c r="I1364" s="902"/>
      <c r="J1364" s="902"/>
      <c r="K1364" s="912" t="s">
        <v>274</v>
      </c>
      <c r="L1364" s="902"/>
      <c r="M1364" s="902"/>
      <c r="N1364" s="902"/>
      <c r="O1364" s="892">
        <f t="shared" si="84"/>
        <v>0</v>
      </c>
      <c r="P1364" s="903">
        <f t="shared" si="85"/>
        <v>1</v>
      </c>
      <c r="Q1364" s="893">
        <f t="shared" si="86"/>
        <v>5</v>
      </c>
      <c r="R1364" s="894">
        <f t="shared" si="87"/>
        <v>0</v>
      </c>
    </row>
    <row r="1365" spans="1:18">
      <c r="A1365" s="905"/>
      <c r="B1365" s="906"/>
      <c r="C1365" s="907">
        <v>66</v>
      </c>
      <c r="D1365" s="907" t="s">
        <v>279</v>
      </c>
      <c r="E1365" s="925" t="s">
        <v>2682</v>
      </c>
      <c r="F1365" s="926" t="s">
        <v>45</v>
      </c>
      <c r="G1365" s="910"/>
      <c r="H1365" s="911">
        <v>7.1999999999999995E-2</v>
      </c>
      <c r="I1365" s="912">
        <f>VLOOKUP(E1365,[3]VLP!$B$7:$K$300,10,0)</f>
        <v>5000</v>
      </c>
      <c r="J1365" s="912">
        <f>I1365*H1365</f>
        <v>360</v>
      </c>
      <c r="K1365" s="912" t="s">
        <v>274</v>
      </c>
      <c r="L1365" s="912"/>
      <c r="M1365" s="912"/>
      <c r="N1365" s="912"/>
      <c r="O1365" s="892">
        <f t="shared" si="84"/>
        <v>0</v>
      </c>
      <c r="P1365" s="903">
        <f t="shared" si="85"/>
        <v>1</v>
      </c>
      <c r="Q1365" s="893">
        <f t="shared" si="86"/>
        <v>4</v>
      </c>
      <c r="R1365" s="894">
        <f t="shared" si="87"/>
        <v>0</v>
      </c>
    </row>
    <row r="1366" spans="1:18">
      <c r="A1366" s="905"/>
      <c r="B1366" s="906"/>
      <c r="C1366" s="907">
        <v>44</v>
      </c>
      <c r="D1366" s="907" t="s">
        <v>279</v>
      </c>
      <c r="E1366" s="925" t="s">
        <v>2681</v>
      </c>
      <c r="F1366" s="926" t="s">
        <v>45</v>
      </c>
      <c r="G1366" s="910"/>
      <c r="H1366" s="911">
        <v>0.432</v>
      </c>
      <c r="I1366" s="912">
        <f>VLOOKUP(E1366,[3]VLP!$B$7:$K$300,10,0)</f>
        <v>23000</v>
      </c>
      <c r="J1366" s="912">
        <f>I1366*H1366</f>
        <v>9936</v>
      </c>
      <c r="K1366" s="912" t="s">
        <v>274</v>
      </c>
      <c r="L1366" s="912"/>
      <c r="M1366" s="912"/>
      <c r="N1366" s="912"/>
      <c r="O1366" s="892">
        <f t="shared" si="84"/>
        <v>0</v>
      </c>
      <c r="P1366" s="903">
        <f t="shared" si="85"/>
        <v>1</v>
      </c>
      <c r="Q1366" s="893">
        <f t="shared" si="86"/>
        <v>3</v>
      </c>
      <c r="R1366" s="894">
        <f t="shared" si="87"/>
        <v>0</v>
      </c>
    </row>
    <row r="1367" spans="1:18" s="904" customFormat="1">
      <c r="A1367" s="895"/>
      <c r="B1367" s="896"/>
      <c r="C1367" s="897"/>
      <c r="D1367" s="897"/>
      <c r="E1367" s="924" t="s">
        <v>276</v>
      </c>
      <c r="F1367" s="927"/>
      <c r="G1367" s="928"/>
      <c r="H1367" s="901"/>
      <c r="I1367" s="902"/>
      <c r="J1367" s="902"/>
      <c r="K1367" s="912" t="s">
        <v>274</v>
      </c>
      <c r="L1367" s="902"/>
      <c r="M1367" s="902"/>
      <c r="N1367" s="902"/>
      <c r="O1367" s="892">
        <f t="shared" si="84"/>
        <v>0</v>
      </c>
      <c r="P1367" s="903">
        <f t="shared" si="85"/>
        <v>1</v>
      </c>
      <c r="Q1367" s="893">
        <f t="shared" si="86"/>
        <v>2</v>
      </c>
      <c r="R1367" s="894">
        <f t="shared" si="87"/>
        <v>0</v>
      </c>
    </row>
    <row r="1368" spans="1:18">
      <c r="A1368" s="905"/>
      <c r="B1368" s="906"/>
      <c r="C1368" s="907">
        <v>740</v>
      </c>
      <c r="D1368" s="907" t="s">
        <v>12</v>
      </c>
      <c r="E1368" s="908" t="s">
        <v>4008</v>
      </c>
      <c r="F1368" s="909" t="s">
        <v>2674</v>
      </c>
      <c r="G1368" s="910"/>
      <c r="H1368" s="911">
        <v>5.01</v>
      </c>
      <c r="I1368" s="912"/>
      <c r="J1368" s="912"/>
      <c r="K1368" s="912">
        <f>VLOOKUP(E1368,ĐMNC!$A$7:$F$67,4,0)</f>
        <v>252714</v>
      </c>
      <c r="L1368" s="912">
        <f>H1368*K1368</f>
        <v>1266097.1399999999</v>
      </c>
      <c r="M1368" s="912"/>
      <c r="N1368" s="912"/>
      <c r="O1368" s="892">
        <f t="shared" si="84"/>
        <v>0</v>
      </c>
      <c r="P1368" s="903">
        <f t="shared" si="85"/>
        <v>1</v>
      </c>
      <c r="Q1368" s="893">
        <f t="shared" si="86"/>
        <v>1</v>
      </c>
      <c r="R1368" s="894">
        <f t="shared" si="87"/>
        <v>0</v>
      </c>
    </row>
    <row r="1369" spans="1:18" s="847" customFormat="1" ht="31.5">
      <c r="A1369" s="905"/>
      <c r="B1369" s="914" t="s">
        <v>4384</v>
      </c>
      <c r="C1369" s="915"/>
      <c r="D1369" s="915"/>
      <c r="E1369" s="916" t="s">
        <v>4385</v>
      </c>
      <c r="F1369" s="917" t="s">
        <v>249</v>
      </c>
      <c r="G1369" s="918"/>
      <c r="H1369" s="919"/>
      <c r="I1369" s="920"/>
      <c r="J1369" s="891">
        <f>SUM(J1370:J1374)</f>
        <v>10296</v>
      </c>
      <c r="K1369" s="891"/>
      <c r="L1369" s="891">
        <f>SUM(L1370:L1374)</f>
        <v>1455632.64</v>
      </c>
      <c r="M1369" s="891"/>
      <c r="N1369" s="891">
        <f>SUM(N1370:N1374)</f>
        <v>0</v>
      </c>
      <c r="O1369" s="892">
        <f t="shared" si="84"/>
        <v>1</v>
      </c>
      <c r="P1369" s="903">
        <f t="shared" si="85"/>
        <v>0</v>
      </c>
      <c r="Q1369" s="893">
        <f t="shared" si="86"/>
        <v>0</v>
      </c>
      <c r="R1369" s="894">
        <f t="shared" si="87"/>
        <v>5</v>
      </c>
    </row>
    <row r="1370" spans="1:18" s="904" customFormat="1">
      <c r="A1370" s="895"/>
      <c r="B1370" s="896"/>
      <c r="C1370" s="897"/>
      <c r="D1370" s="897"/>
      <c r="E1370" s="924" t="s">
        <v>108</v>
      </c>
      <c r="F1370" s="899"/>
      <c r="G1370" s="900"/>
      <c r="H1370" s="901"/>
      <c r="I1370" s="902"/>
      <c r="J1370" s="902"/>
      <c r="K1370" s="912" t="s">
        <v>274</v>
      </c>
      <c r="L1370" s="902"/>
      <c r="M1370" s="902"/>
      <c r="N1370" s="902"/>
      <c r="O1370" s="892">
        <f t="shared" si="84"/>
        <v>0</v>
      </c>
      <c r="P1370" s="903">
        <f t="shared" si="85"/>
        <v>1</v>
      </c>
      <c r="Q1370" s="893">
        <f t="shared" si="86"/>
        <v>5</v>
      </c>
      <c r="R1370" s="894">
        <f t="shared" si="87"/>
        <v>0</v>
      </c>
    </row>
    <row r="1371" spans="1:18">
      <c r="A1371" s="905"/>
      <c r="B1371" s="906"/>
      <c r="C1371" s="907">
        <v>66</v>
      </c>
      <c r="D1371" s="907" t="s">
        <v>279</v>
      </c>
      <c r="E1371" s="925" t="s">
        <v>2682</v>
      </c>
      <c r="F1371" s="926" t="s">
        <v>45</v>
      </c>
      <c r="G1371" s="910"/>
      <c r="H1371" s="911">
        <v>7.1999999999999995E-2</v>
      </c>
      <c r="I1371" s="912">
        <f>VLOOKUP(E1371,[3]VLP!$B$7:$K$300,10,0)</f>
        <v>5000</v>
      </c>
      <c r="J1371" s="912">
        <f>I1371*H1371</f>
        <v>360</v>
      </c>
      <c r="K1371" s="912" t="s">
        <v>274</v>
      </c>
      <c r="L1371" s="912"/>
      <c r="M1371" s="912"/>
      <c r="N1371" s="912"/>
      <c r="O1371" s="892">
        <f t="shared" si="84"/>
        <v>0</v>
      </c>
      <c r="P1371" s="903">
        <f t="shared" si="85"/>
        <v>1</v>
      </c>
      <c r="Q1371" s="893">
        <f t="shared" si="86"/>
        <v>4</v>
      </c>
      <c r="R1371" s="894">
        <f t="shared" si="87"/>
        <v>0</v>
      </c>
    </row>
    <row r="1372" spans="1:18">
      <c r="A1372" s="905"/>
      <c r="B1372" s="906"/>
      <c r="C1372" s="907">
        <v>44</v>
      </c>
      <c r="D1372" s="907" t="s">
        <v>279</v>
      </c>
      <c r="E1372" s="925" t="s">
        <v>2681</v>
      </c>
      <c r="F1372" s="926" t="s">
        <v>45</v>
      </c>
      <c r="G1372" s="910"/>
      <c r="H1372" s="911">
        <v>0.432</v>
      </c>
      <c r="I1372" s="912">
        <f>VLOOKUP(E1372,[3]VLP!$B$7:$K$300,10,0)</f>
        <v>23000</v>
      </c>
      <c r="J1372" s="912">
        <f>I1372*H1372</f>
        <v>9936</v>
      </c>
      <c r="K1372" s="912" t="s">
        <v>274</v>
      </c>
      <c r="L1372" s="912"/>
      <c r="M1372" s="912"/>
      <c r="N1372" s="912"/>
      <c r="O1372" s="892">
        <f t="shared" si="84"/>
        <v>0</v>
      </c>
      <c r="P1372" s="903">
        <f t="shared" si="85"/>
        <v>1</v>
      </c>
      <c r="Q1372" s="893">
        <f t="shared" si="86"/>
        <v>3</v>
      </c>
      <c r="R1372" s="894">
        <f t="shared" si="87"/>
        <v>0</v>
      </c>
    </row>
    <row r="1373" spans="1:18" s="904" customFormat="1">
      <c r="A1373" s="895"/>
      <c r="B1373" s="896"/>
      <c r="C1373" s="897"/>
      <c r="D1373" s="897"/>
      <c r="E1373" s="924" t="s">
        <v>276</v>
      </c>
      <c r="F1373" s="927"/>
      <c r="G1373" s="928"/>
      <c r="H1373" s="901"/>
      <c r="I1373" s="902"/>
      <c r="J1373" s="902"/>
      <c r="K1373" s="912" t="s">
        <v>274</v>
      </c>
      <c r="L1373" s="902"/>
      <c r="M1373" s="902"/>
      <c r="N1373" s="902"/>
      <c r="O1373" s="892">
        <f t="shared" si="84"/>
        <v>0</v>
      </c>
      <c r="P1373" s="903">
        <f t="shared" si="85"/>
        <v>1</v>
      </c>
      <c r="Q1373" s="893">
        <f t="shared" si="86"/>
        <v>2</v>
      </c>
      <c r="R1373" s="894">
        <f t="shared" si="87"/>
        <v>0</v>
      </c>
    </row>
    <row r="1374" spans="1:18">
      <c r="A1374" s="905"/>
      <c r="B1374" s="906"/>
      <c r="C1374" s="907">
        <v>740</v>
      </c>
      <c r="D1374" s="907" t="s">
        <v>12</v>
      </c>
      <c r="E1374" s="908" t="s">
        <v>4008</v>
      </c>
      <c r="F1374" s="909" t="s">
        <v>2674</v>
      </c>
      <c r="G1374" s="910"/>
      <c r="H1374" s="911">
        <v>5.76</v>
      </c>
      <c r="I1374" s="912"/>
      <c r="J1374" s="912"/>
      <c r="K1374" s="912">
        <f>VLOOKUP(E1374,ĐMNC!$A$7:$F$67,4,0)</f>
        <v>252714</v>
      </c>
      <c r="L1374" s="912">
        <f>H1374*K1374</f>
        <v>1455632.64</v>
      </c>
      <c r="M1374" s="912"/>
      <c r="N1374" s="912"/>
      <c r="O1374" s="892">
        <f t="shared" si="84"/>
        <v>0</v>
      </c>
      <c r="P1374" s="903">
        <f t="shared" si="85"/>
        <v>1</v>
      </c>
      <c r="Q1374" s="893">
        <f t="shared" si="86"/>
        <v>1</v>
      </c>
      <c r="R1374" s="894">
        <f t="shared" si="87"/>
        <v>0</v>
      </c>
    </row>
    <row r="1375" spans="1:18" s="847" customFormat="1" ht="31.5">
      <c r="A1375" s="905"/>
      <c r="B1375" s="914" t="s">
        <v>4386</v>
      </c>
      <c r="C1375" s="915"/>
      <c r="D1375" s="915"/>
      <c r="E1375" s="916" t="s">
        <v>4387</v>
      </c>
      <c r="F1375" s="917" t="s">
        <v>249</v>
      </c>
      <c r="G1375" s="918"/>
      <c r="H1375" s="919"/>
      <c r="I1375" s="920"/>
      <c r="J1375" s="891">
        <f>SUM(J1376:J1380)</f>
        <v>12366</v>
      </c>
      <c r="K1375" s="891"/>
      <c r="L1375" s="891">
        <f>SUM(L1376:L1380)</f>
        <v>821320.5</v>
      </c>
      <c r="M1375" s="891"/>
      <c r="N1375" s="891">
        <f>SUM(N1376:N1380)</f>
        <v>0</v>
      </c>
      <c r="O1375" s="892">
        <f t="shared" si="84"/>
        <v>1</v>
      </c>
      <c r="P1375" s="903">
        <f t="shared" si="85"/>
        <v>0</v>
      </c>
      <c r="Q1375" s="893">
        <f t="shared" si="86"/>
        <v>0</v>
      </c>
      <c r="R1375" s="894">
        <f t="shared" si="87"/>
        <v>5</v>
      </c>
    </row>
    <row r="1376" spans="1:18" s="904" customFormat="1">
      <c r="A1376" s="895"/>
      <c r="B1376" s="896"/>
      <c r="C1376" s="897"/>
      <c r="D1376" s="897"/>
      <c r="E1376" s="924" t="s">
        <v>108</v>
      </c>
      <c r="F1376" s="899"/>
      <c r="G1376" s="900"/>
      <c r="H1376" s="901"/>
      <c r="I1376" s="902"/>
      <c r="J1376" s="902"/>
      <c r="K1376" s="912" t="s">
        <v>274</v>
      </c>
      <c r="L1376" s="902"/>
      <c r="M1376" s="902"/>
      <c r="N1376" s="902"/>
      <c r="O1376" s="892">
        <f t="shared" si="84"/>
        <v>0</v>
      </c>
      <c r="P1376" s="903">
        <f t="shared" si="85"/>
        <v>1</v>
      </c>
      <c r="Q1376" s="893">
        <f t="shared" si="86"/>
        <v>5</v>
      </c>
      <c r="R1376" s="894">
        <f t="shared" si="87"/>
        <v>0</v>
      </c>
    </row>
    <row r="1377" spans="1:18">
      <c r="A1377" s="905"/>
      <c r="B1377" s="906"/>
      <c r="C1377" s="907">
        <v>66</v>
      </c>
      <c r="D1377" s="907" t="s">
        <v>279</v>
      </c>
      <c r="E1377" s="925" t="s">
        <v>2682</v>
      </c>
      <c r="F1377" s="926" t="s">
        <v>45</v>
      </c>
      <c r="G1377" s="910"/>
      <c r="H1377" s="911">
        <v>7.1999999999999995E-2</v>
      </c>
      <c r="I1377" s="912">
        <f>VLOOKUP(E1377,[3]VLP!$B$7:$K$300,10,0)</f>
        <v>5000</v>
      </c>
      <c r="J1377" s="912">
        <f>I1377*H1377</f>
        <v>360</v>
      </c>
      <c r="K1377" s="912" t="s">
        <v>274</v>
      </c>
      <c r="L1377" s="912"/>
      <c r="M1377" s="912"/>
      <c r="N1377" s="912"/>
      <c r="O1377" s="892">
        <f t="shared" si="84"/>
        <v>0</v>
      </c>
      <c r="P1377" s="903">
        <f t="shared" si="85"/>
        <v>1</v>
      </c>
      <c r="Q1377" s="893">
        <f t="shared" si="86"/>
        <v>4</v>
      </c>
      <c r="R1377" s="894">
        <f t="shared" si="87"/>
        <v>0</v>
      </c>
    </row>
    <row r="1378" spans="1:18">
      <c r="A1378" s="905"/>
      <c r="B1378" s="906"/>
      <c r="C1378" s="907">
        <v>44</v>
      </c>
      <c r="D1378" s="907" t="s">
        <v>279</v>
      </c>
      <c r="E1378" s="925" t="s">
        <v>2681</v>
      </c>
      <c r="F1378" s="926" t="s">
        <v>45</v>
      </c>
      <c r="G1378" s="910"/>
      <c r="H1378" s="911">
        <v>0.52200000000000002</v>
      </c>
      <c r="I1378" s="912">
        <f>VLOOKUP(E1378,[3]VLP!$B$7:$K$300,10,0)</f>
        <v>23000</v>
      </c>
      <c r="J1378" s="912">
        <f>I1378*H1378</f>
        <v>12006</v>
      </c>
      <c r="K1378" s="912" t="s">
        <v>274</v>
      </c>
      <c r="L1378" s="912"/>
      <c r="M1378" s="912"/>
      <c r="N1378" s="912"/>
      <c r="O1378" s="892">
        <f t="shared" si="84"/>
        <v>0</v>
      </c>
      <c r="P1378" s="903">
        <f t="shared" si="85"/>
        <v>1</v>
      </c>
      <c r="Q1378" s="893">
        <f t="shared" si="86"/>
        <v>3</v>
      </c>
      <c r="R1378" s="894">
        <f t="shared" si="87"/>
        <v>0</v>
      </c>
    </row>
    <row r="1379" spans="1:18" s="904" customFormat="1">
      <c r="A1379" s="895"/>
      <c r="B1379" s="896"/>
      <c r="C1379" s="897"/>
      <c r="D1379" s="897"/>
      <c r="E1379" s="924" t="s">
        <v>276</v>
      </c>
      <c r="F1379" s="927"/>
      <c r="G1379" s="928"/>
      <c r="H1379" s="901"/>
      <c r="I1379" s="902"/>
      <c r="J1379" s="902"/>
      <c r="K1379" s="912" t="s">
        <v>274</v>
      </c>
      <c r="L1379" s="902"/>
      <c r="M1379" s="902"/>
      <c r="N1379" s="902"/>
      <c r="O1379" s="892">
        <f t="shared" si="84"/>
        <v>0</v>
      </c>
      <c r="P1379" s="903">
        <f t="shared" si="85"/>
        <v>1</v>
      </c>
      <c r="Q1379" s="893">
        <f t="shared" si="86"/>
        <v>2</v>
      </c>
      <c r="R1379" s="894">
        <f t="shared" si="87"/>
        <v>0</v>
      </c>
    </row>
    <row r="1380" spans="1:18">
      <c r="A1380" s="905"/>
      <c r="B1380" s="906"/>
      <c r="C1380" s="907">
        <v>740</v>
      </c>
      <c r="D1380" s="907" t="s">
        <v>12</v>
      </c>
      <c r="E1380" s="908" t="s">
        <v>4008</v>
      </c>
      <c r="F1380" s="909" t="s">
        <v>2674</v>
      </c>
      <c r="G1380" s="910"/>
      <c r="H1380" s="911">
        <v>3.25</v>
      </c>
      <c r="I1380" s="912"/>
      <c r="J1380" s="912"/>
      <c r="K1380" s="912">
        <f>VLOOKUP(E1380,ĐMNC!$A$7:$F$67,4,0)</f>
        <v>252714</v>
      </c>
      <c r="L1380" s="912">
        <f>H1380*K1380</f>
        <v>821320.5</v>
      </c>
      <c r="M1380" s="912"/>
      <c r="N1380" s="912"/>
      <c r="O1380" s="892">
        <f t="shared" si="84"/>
        <v>0</v>
      </c>
      <c r="P1380" s="903">
        <f t="shared" si="85"/>
        <v>1</v>
      </c>
      <c r="Q1380" s="893">
        <f t="shared" si="86"/>
        <v>1</v>
      </c>
      <c r="R1380" s="894">
        <f t="shared" si="87"/>
        <v>0</v>
      </c>
    </row>
    <row r="1381" spans="1:18" s="847" customFormat="1" ht="31.5">
      <c r="A1381" s="905"/>
      <c r="B1381" s="914" t="s">
        <v>4388</v>
      </c>
      <c r="C1381" s="915"/>
      <c r="D1381" s="915"/>
      <c r="E1381" s="916" t="s">
        <v>4389</v>
      </c>
      <c r="F1381" s="917" t="s">
        <v>249</v>
      </c>
      <c r="G1381" s="918"/>
      <c r="H1381" s="919"/>
      <c r="I1381" s="920"/>
      <c r="J1381" s="891">
        <f>SUM(J1382:J1386)</f>
        <v>12366</v>
      </c>
      <c r="K1381" s="891"/>
      <c r="L1381" s="891">
        <f>SUM(L1382:L1386)</f>
        <v>866809.02</v>
      </c>
      <c r="M1381" s="891"/>
      <c r="N1381" s="891">
        <f>SUM(N1382:N1386)</f>
        <v>0</v>
      </c>
      <c r="O1381" s="892">
        <f t="shared" si="84"/>
        <v>1</v>
      </c>
      <c r="P1381" s="903">
        <f t="shared" si="85"/>
        <v>0</v>
      </c>
      <c r="Q1381" s="893">
        <f t="shared" si="86"/>
        <v>0</v>
      </c>
      <c r="R1381" s="894">
        <f t="shared" si="87"/>
        <v>5</v>
      </c>
    </row>
    <row r="1382" spans="1:18" s="904" customFormat="1">
      <c r="A1382" s="895"/>
      <c r="B1382" s="896"/>
      <c r="C1382" s="897"/>
      <c r="D1382" s="897"/>
      <c r="E1382" s="924" t="s">
        <v>108</v>
      </c>
      <c r="F1382" s="899"/>
      <c r="G1382" s="900"/>
      <c r="H1382" s="901"/>
      <c r="I1382" s="902"/>
      <c r="J1382" s="902"/>
      <c r="K1382" s="912" t="s">
        <v>274</v>
      </c>
      <c r="L1382" s="902"/>
      <c r="M1382" s="902"/>
      <c r="N1382" s="902"/>
      <c r="O1382" s="892">
        <f t="shared" si="84"/>
        <v>0</v>
      </c>
      <c r="P1382" s="903">
        <f t="shared" si="85"/>
        <v>1</v>
      </c>
      <c r="Q1382" s="893">
        <f t="shared" si="86"/>
        <v>5</v>
      </c>
      <c r="R1382" s="894">
        <f t="shared" si="87"/>
        <v>0</v>
      </c>
    </row>
    <row r="1383" spans="1:18">
      <c r="A1383" s="905"/>
      <c r="B1383" s="906"/>
      <c r="C1383" s="907">
        <v>66</v>
      </c>
      <c r="D1383" s="907" t="s">
        <v>279</v>
      </c>
      <c r="E1383" s="925" t="s">
        <v>2682</v>
      </c>
      <c r="F1383" s="926" t="s">
        <v>45</v>
      </c>
      <c r="G1383" s="910"/>
      <c r="H1383" s="911">
        <v>7.1999999999999995E-2</v>
      </c>
      <c r="I1383" s="912">
        <f>VLOOKUP(E1383,[3]VLP!$B$7:$K$300,10,0)</f>
        <v>5000</v>
      </c>
      <c r="J1383" s="912">
        <f>I1383*H1383</f>
        <v>360</v>
      </c>
      <c r="K1383" s="912" t="s">
        <v>274</v>
      </c>
      <c r="L1383" s="912"/>
      <c r="M1383" s="912"/>
      <c r="N1383" s="912"/>
      <c r="O1383" s="892">
        <f t="shared" si="84"/>
        <v>0</v>
      </c>
      <c r="P1383" s="903">
        <f t="shared" si="85"/>
        <v>1</v>
      </c>
      <c r="Q1383" s="893">
        <f t="shared" si="86"/>
        <v>4</v>
      </c>
      <c r="R1383" s="894">
        <f t="shared" si="87"/>
        <v>0</v>
      </c>
    </row>
    <row r="1384" spans="1:18">
      <c r="A1384" s="905"/>
      <c r="B1384" s="906"/>
      <c r="C1384" s="907">
        <v>44</v>
      </c>
      <c r="D1384" s="907" t="s">
        <v>279</v>
      </c>
      <c r="E1384" s="925" t="s">
        <v>2681</v>
      </c>
      <c r="F1384" s="926" t="s">
        <v>45</v>
      </c>
      <c r="G1384" s="910"/>
      <c r="H1384" s="911">
        <v>0.52200000000000002</v>
      </c>
      <c r="I1384" s="912">
        <f>VLOOKUP(E1384,[3]VLP!$B$7:$K$300,10,0)</f>
        <v>23000</v>
      </c>
      <c r="J1384" s="912">
        <f>I1384*H1384</f>
        <v>12006</v>
      </c>
      <c r="K1384" s="912" t="s">
        <v>274</v>
      </c>
      <c r="L1384" s="912"/>
      <c r="M1384" s="912"/>
      <c r="N1384" s="912"/>
      <c r="O1384" s="892">
        <f t="shared" si="84"/>
        <v>0</v>
      </c>
      <c r="P1384" s="903">
        <f t="shared" si="85"/>
        <v>1</v>
      </c>
      <c r="Q1384" s="893">
        <f t="shared" si="86"/>
        <v>3</v>
      </c>
      <c r="R1384" s="894">
        <f t="shared" si="87"/>
        <v>0</v>
      </c>
    </row>
    <row r="1385" spans="1:18" s="904" customFormat="1">
      <c r="A1385" s="895"/>
      <c r="B1385" s="896"/>
      <c r="C1385" s="897"/>
      <c r="D1385" s="897"/>
      <c r="E1385" s="924" t="s">
        <v>276</v>
      </c>
      <c r="F1385" s="927"/>
      <c r="G1385" s="928"/>
      <c r="H1385" s="901"/>
      <c r="I1385" s="902"/>
      <c r="J1385" s="902"/>
      <c r="K1385" s="912" t="s">
        <v>274</v>
      </c>
      <c r="L1385" s="902"/>
      <c r="M1385" s="902"/>
      <c r="N1385" s="902"/>
      <c r="O1385" s="892">
        <f t="shared" si="84"/>
        <v>0</v>
      </c>
      <c r="P1385" s="903">
        <f t="shared" si="85"/>
        <v>1</v>
      </c>
      <c r="Q1385" s="893">
        <f t="shared" si="86"/>
        <v>2</v>
      </c>
      <c r="R1385" s="894">
        <f t="shared" si="87"/>
        <v>0</v>
      </c>
    </row>
    <row r="1386" spans="1:18">
      <c r="A1386" s="905"/>
      <c r="B1386" s="906"/>
      <c r="C1386" s="907">
        <v>740</v>
      </c>
      <c r="D1386" s="907" t="s">
        <v>12</v>
      </c>
      <c r="E1386" s="908" t="s">
        <v>4008</v>
      </c>
      <c r="F1386" s="909" t="s">
        <v>2674</v>
      </c>
      <c r="G1386" s="910"/>
      <c r="H1386" s="911">
        <v>3.43</v>
      </c>
      <c r="I1386" s="912"/>
      <c r="J1386" s="912"/>
      <c r="K1386" s="912">
        <f>VLOOKUP(E1386,ĐMNC!$A$7:$F$67,4,0)</f>
        <v>252714</v>
      </c>
      <c r="L1386" s="912">
        <f>H1386*K1386</f>
        <v>866809.02</v>
      </c>
      <c r="M1386" s="912"/>
      <c r="N1386" s="912"/>
      <c r="O1386" s="892">
        <f t="shared" si="84"/>
        <v>0</v>
      </c>
      <c r="P1386" s="903">
        <f t="shared" si="85"/>
        <v>1</v>
      </c>
      <c r="Q1386" s="893">
        <f t="shared" si="86"/>
        <v>1</v>
      </c>
      <c r="R1386" s="894">
        <f t="shared" si="87"/>
        <v>0</v>
      </c>
    </row>
    <row r="1387" spans="1:18" s="847" customFormat="1" ht="31.5">
      <c r="A1387" s="905"/>
      <c r="B1387" s="914" t="s">
        <v>4390</v>
      </c>
      <c r="C1387" s="915"/>
      <c r="D1387" s="915"/>
      <c r="E1387" s="916" t="s">
        <v>4391</v>
      </c>
      <c r="F1387" s="917" t="s">
        <v>249</v>
      </c>
      <c r="G1387" s="918"/>
      <c r="H1387" s="919"/>
      <c r="I1387" s="920"/>
      <c r="J1387" s="891">
        <f>SUM(J1388:J1392)</f>
        <v>12366</v>
      </c>
      <c r="K1387" s="891"/>
      <c r="L1387" s="891">
        <f>SUM(L1388:L1392)</f>
        <v>940096.08000000007</v>
      </c>
      <c r="M1387" s="891"/>
      <c r="N1387" s="891">
        <f>SUM(N1388:N1392)</f>
        <v>0</v>
      </c>
      <c r="O1387" s="892">
        <f t="shared" si="84"/>
        <v>1</v>
      </c>
      <c r="P1387" s="903">
        <f t="shared" si="85"/>
        <v>0</v>
      </c>
      <c r="Q1387" s="893">
        <f t="shared" si="86"/>
        <v>0</v>
      </c>
      <c r="R1387" s="894">
        <f t="shared" si="87"/>
        <v>5</v>
      </c>
    </row>
    <row r="1388" spans="1:18" s="904" customFormat="1">
      <c r="A1388" s="895"/>
      <c r="B1388" s="896"/>
      <c r="C1388" s="897"/>
      <c r="D1388" s="897"/>
      <c r="E1388" s="924" t="s">
        <v>108</v>
      </c>
      <c r="F1388" s="899"/>
      <c r="G1388" s="900"/>
      <c r="H1388" s="901"/>
      <c r="I1388" s="902"/>
      <c r="J1388" s="902"/>
      <c r="K1388" s="912" t="s">
        <v>274</v>
      </c>
      <c r="L1388" s="902"/>
      <c r="M1388" s="902"/>
      <c r="N1388" s="902"/>
      <c r="O1388" s="892">
        <f t="shared" si="84"/>
        <v>0</v>
      </c>
      <c r="P1388" s="903">
        <f t="shared" si="85"/>
        <v>1</v>
      </c>
      <c r="Q1388" s="893">
        <f t="shared" si="86"/>
        <v>5</v>
      </c>
      <c r="R1388" s="894">
        <f t="shared" si="87"/>
        <v>0</v>
      </c>
    </row>
    <row r="1389" spans="1:18">
      <c r="A1389" s="905"/>
      <c r="B1389" s="906"/>
      <c r="C1389" s="907">
        <v>66</v>
      </c>
      <c r="D1389" s="907" t="s">
        <v>279</v>
      </c>
      <c r="E1389" s="925" t="s">
        <v>2682</v>
      </c>
      <c r="F1389" s="926" t="s">
        <v>45</v>
      </c>
      <c r="G1389" s="910"/>
      <c r="H1389" s="911">
        <v>7.1999999999999995E-2</v>
      </c>
      <c r="I1389" s="912">
        <f>VLOOKUP(E1389,[3]VLP!$B$7:$K$300,10,0)</f>
        <v>5000</v>
      </c>
      <c r="J1389" s="912">
        <f>I1389*H1389</f>
        <v>360</v>
      </c>
      <c r="K1389" s="912" t="s">
        <v>274</v>
      </c>
      <c r="L1389" s="912"/>
      <c r="M1389" s="912"/>
      <c r="N1389" s="912"/>
      <c r="O1389" s="892">
        <f t="shared" si="84"/>
        <v>0</v>
      </c>
      <c r="P1389" s="903">
        <f t="shared" si="85"/>
        <v>1</v>
      </c>
      <c r="Q1389" s="893">
        <f t="shared" si="86"/>
        <v>4</v>
      </c>
      <c r="R1389" s="894">
        <f t="shared" si="87"/>
        <v>0</v>
      </c>
    </row>
    <row r="1390" spans="1:18">
      <c r="A1390" s="905"/>
      <c r="B1390" s="906"/>
      <c r="C1390" s="907">
        <v>44</v>
      </c>
      <c r="D1390" s="907" t="s">
        <v>279</v>
      </c>
      <c r="E1390" s="925" t="s">
        <v>2681</v>
      </c>
      <c r="F1390" s="926" t="s">
        <v>45</v>
      </c>
      <c r="G1390" s="910"/>
      <c r="H1390" s="911">
        <v>0.52200000000000002</v>
      </c>
      <c r="I1390" s="912">
        <f>VLOOKUP(E1390,[3]VLP!$B$7:$K$300,10,0)</f>
        <v>23000</v>
      </c>
      <c r="J1390" s="912">
        <f>I1390*H1390</f>
        <v>12006</v>
      </c>
      <c r="K1390" s="912" t="s">
        <v>274</v>
      </c>
      <c r="L1390" s="912"/>
      <c r="M1390" s="912"/>
      <c r="N1390" s="912"/>
      <c r="O1390" s="892">
        <f t="shared" si="84"/>
        <v>0</v>
      </c>
      <c r="P1390" s="903">
        <f t="shared" si="85"/>
        <v>1</v>
      </c>
      <c r="Q1390" s="893">
        <f t="shared" si="86"/>
        <v>3</v>
      </c>
      <c r="R1390" s="894">
        <f t="shared" si="87"/>
        <v>0</v>
      </c>
    </row>
    <row r="1391" spans="1:18" s="904" customFormat="1">
      <c r="A1391" s="895"/>
      <c r="B1391" s="896"/>
      <c r="C1391" s="897"/>
      <c r="D1391" s="897"/>
      <c r="E1391" s="924" t="s">
        <v>276</v>
      </c>
      <c r="F1391" s="927"/>
      <c r="G1391" s="928"/>
      <c r="H1391" s="901"/>
      <c r="I1391" s="902"/>
      <c r="J1391" s="902"/>
      <c r="K1391" s="912" t="s">
        <v>274</v>
      </c>
      <c r="L1391" s="902"/>
      <c r="M1391" s="902"/>
      <c r="N1391" s="902"/>
      <c r="O1391" s="892">
        <f t="shared" si="84"/>
        <v>0</v>
      </c>
      <c r="P1391" s="903">
        <f t="shared" si="85"/>
        <v>1</v>
      </c>
      <c r="Q1391" s="893">
        <f t="shared" si="86"/>
        <v>2</v>
      </c>
      <c r="R1391" s="894">
        <f t="shared" si="87"/>
        <v>0</v>
      </c>
    </row>
    <row r="1392" spans="1:18">
      <c r="A1392" s="905"/>
      <c r="B1392" s="906"/>
      <c r="C1392" s="907">
        <v>740</v>
      </c>
      <c r="D1392" s="907" t="s">
        <v>12</v>
      </c>
      <c r="E1392" s="908" t="s">
        <v>4008</v>
      </c>
      <c r="F1392" s="909" t="s">
        <v>2674</v>
      </c>
      <c r="G1392" s="910"/>
      <c r="H1392" s="911">
        <v>3.72</v>
      </c>
      <c r="I1392" s="912"/>
      <c r="J1392" s="912"/>
      <c r="K1392" s="912">
        <f>VLOOKUP(E1392,ĐMNC!$A$7:$F$67,4,0)</f>
        <v>252714</v>
      </c>
      <c r="L1392" s="912">
        <f>H1392*K1392</f>
        <v>940096.08000000007</v>
      </c>
      <c r="M1392" s="912"/>
      <c r="N1392" s="912"/>
      <c r="O1392" s="892">
        <f t="shared" si="84"/>
        <v>0</v>
      </c>
      <c r="P1392" s="903">
        <f t="shared" si="85"/>
        <v>1</v>
      </c>
      <c r="Q1392" s="893">
        <f t="shared" si="86"/>
        <v>1</v>
      </c>
      <c r="R1392" s="894">
        <f t="shared" si="87"/>
        <v>0</v>
      </c>
    </row>
    <row r="1393" spans="1:18" s="847" customFormat="1" ht="31.5">
      <c r="A1393" s="905"/>
      <c r="B1393" s="914" t="s">
        <v>4392</v>
      </c>
      <c r="C1393" s="915"/>
      <c r="D1393" s="915"/>
      <c r="E1393" s="916" t="s">
        <v>4393</v>
      </c>
      <c r="F1393" s="917" t="s">
        <v>249</v>
      </c>
      <c r="G1393" s="918"/>
      <c r="H1393" s="919"/>
      <c r="I1393" s="920"/>
      <c r="J1393" s="891">
        <f>SUM(J1394:J1398)</f>
        <v>12366</v>
      </c>
      <c r="K1393" s="891"/>
      <c r="L1393" s="891">
        <f>SUM(L1394:L1398)</f>
        <v>1081615.9200000002</v>
      </c>
      <c r="M1393" s="891"/>
      <c r="N1393" s="891">
        <f>SUM(N1394:N1398)</f>
        <v>0</v>
      </c>
      <c r="O1393" s="892">
        <f t="shared" si="84"/>
        <v>1</v>
      </c>
      <c r="P1393" s="903">
        <f t="shared" si="85"/>
        <v>0</v>
      </c>
      <c r="Q1393" s="893">
        <f t="shared" si="86"/>
        <v>0</v>
      </c>
      <c r="R1393" s="894">
        <f t="shared" si="87"/>
        <v>5</v>
      </c>
    </row>
    <row r="1394" spans="1:18" s="904" customFormat="1">
      <c r="A1394" s="895"/>
      <c r="B1394" s="896"/>
      <c r="C1394" s="897"/>
      <c r="D1394" s="897"/>
      <c r="E1394" s="924" t="s">
        <v>108</v>
      </c>
      <c r="F1394" s="899"/>
      <c r="G1394" s="900"/>
      <c r="H1394" s="901"/>
      <c r="I1394" s="902"/>
      <c r="J1394" s="902"/>
      <c r="K1394" s="912" t="s">
        <v>274</v>
      </c>
      <c r="L1394" s="902"/>
      <c r="M1394" s="902"/>
      <c r="N1394" s="902"/>
      <c r="O1394" s="892">
        <f t="shared" si="84"/>
        <v>0</v>
      </c>
      <c r="P1394" s="903">
        <f t="shared" si="85"/>
        <v>1</v>
      </c>
      <c r="Q1394" s="893">
        <f t="shared" si="86"/>
        <v>5</v>
      </c>
      <c r="R1394" s="894">
        <f t="shared" si="87"/>
        <v>0</v>
      </c>
    </row>
    <row r="1395" spans="1:18">
      <c r="A1395" s="905"/>
      <c r="B1395" s="906"/>
      <c r="C1395" s="907">
        <v>66</v>
      </c>
      <c r="D1395" s="907" t="s">
        <v>279</v>
      </c>
      <c r="E1395" s="925" t="s">
        <v>2682</v>
      </c>
      <c r="F1395" s="926" t="s">
        <v>45</v>
      </c>
      <c r="G1395" s="910"/>
      <c r="H1395" s="911">
        <v>7.1999999999999995E-2</v>
      </c>
      <c r="I1395" s="912">
        <f>VLOOKUP(E1395,[3]VLP!$B$7:$K$300,10,0)</f>
        <v>5000</v>
      </c>
      <c r="J1395" s="912">
        <f>I1395*H1395</f>
        <v>360</v>
      </c>
      <c r="K1395" s="912" t="s">
        <v>274</v>
      </c>
      <c r="L1395" s="912"/>
      <c r="M1395" s="912"/>
      <c r="N1395" s="912"/>
      <c r="O1395" s="892">
        <f t="shared" si="84"/>
        <v>0</v>
      </c>
      <c r="P1395" s="903">
        <f t="shared" si="85"/>
        <v>1</v>
      </c>
      <c r="Q1395" s="893">
        <f t="shared" si="86"/>
        <v>4</v>
      </c>
      <c r="R1395" s="894">
        <f t="shared" si="87"/>
        <v>0</v>
      </c>
    </row>
    <row r="1396" spans="1:18">
      <c r="A1396" s="905"/>
      <c r="B1396" s="906"/>
      <c r="C1396" s="907">
        <v>44</v>
      </c>
      <c r="D1396" s="907" t="s">
        <v>279</v>
      </c>
      <c r="E1396" s="925" t="s">
        <v>2681</v>
      </c>
      <c r="F1396" s="926" t="s">
        <v>45</v>
      </c>
      <c r="G1396" s="910"/>
      <c r="H1396" s="911">
        <v>0.52200000000000002</v>
      </c>
      <c r="I1396" s="912">
        <f>VLOOKUP(E1396,[3]VLP!$B$7:$K$300,10,0)</f>
        <v>23000</v>
      </c>
      <c r="J1396" s="912">
        <f>I1396*H1396</f>
        <v>12006</v>
      </c>
      <c r="K1396" s="912" t="s">
        <v>274</v>
      </c>
      <c r="L1396" s="912"/>
      <c r="M1396" s="912"/>
      <c r="N1396" s="912"/>
      <c r="O1396" s="892">
        <f t="shared" si="84"/>
        <v>0</v>
      </c>
      <c r="P1396" s="903">
        <f t="shared" si="85"/>
        <v>1</v>
      </c>
      <c r="Q1396" s="893">
        <f t="shared" si="86"/>
        <v>3</v>
      </c>
      <c r="R1396" s="894">
        <f t="shared" si="87"/>
        <v>0</v>
      </c>
    </row>
    <row r="1397" spans="1:18" s="904" customFormat="1">
      <c r="A1397" s="895"/>
      <c r="B1397" s="896"/>
      <c r="C1397" s="897"/>
      <c r="D1397" s="897"/>
      <c r="E1397" s="924" t="s">
        <v>276</v>
      </c>
      <c r="F1397" s="927"/>
      <c r="G1397" s="928"/>
      <c r="H1397" s="901"/>
      <c r="I1397" s="902"/>
      <c r="J1397" s="902"/>
      <c r="K1397" s="912" t="s">
        <v>274</v>
      </c>
      <c r="L1397" s="902"/>
      <c r="M1397" s="902"/>
      <c r="N1397" s="902"/>
      <c r="O1397" s="892">
        <f t="shared" si="84"/>
        <v>0</v>
      </c>
      <c r="P1397" s="903">
        <f t="shared" si="85"/>
        <v>1</v>
      </c>
      <c r="Q1397" s="893">
        <f t="shared" si="86"/>
        <v>2</v>
      </c>
      <c r="R1397" s="894">
        <f t="shared" si="87"/>
        <v>0</v>
      </c>
    </row>
    <row r="1398" spans="1:18">
      <c r="A1398" s="905"/>
      <c r="B1398" s="906"/>
      <c r="C1398" s="907">
        <v>740</v>
      </c>
      <c r="D1398" s="907" t="s">
        <v>12</v>
      </c>
      <c r="E1398" s="908" t="s">
        <v>4008</v>
      </c>
      <c r="F1398" s="909" t="s">
        <v>2674</v>
      </c>
      <c r="G1398" s="910"/>
      <c r="H1398" s="911">
        <v>4.28</v>
      </c>
      <c r="I1398" s="912"/>
      <c r="J1398" s="912"/>
      <c r="K1398" s="912">
        <f>VLOOKUP(E1398,ĐMNC!$A$7:$F$67,4,0)</f>
        <v>252714</v>
      </c>
      <c r="L1398" s="912">
        <f>H1398*K1398</f>
        <v>1081615.9200000002</v>
      </c>
      <c r="M1398" s="912"/>
      <c r="N1398" s="912"/>
      <c r="O1398" s="892">
        <f t="shared" si="84"/>
        <v>0</v>
      </c>
      <c r="P1398" s="903">
        <f t="shared" si="85"/>
        <v>1</v>
      </c>
      <c r="Q1398" s="893">
        <f t="shared" si="86"/>
        <v>1</v>
      </c>
      <c r="R1398" s="894">
        <f t="shared" si="87"/>
        <v>0</v>
      </c>
    </row>
    <row r="1399" spans="1:18" s="847" customFormat="1" ht="31.5">
      <c r="A1399" s="905"/>
      <c r="B1399" s="914" t="s">
        <v>4394</v>
      </c>
      <c r="C1399" s="915"/>
      <c r="D1399" s="915"/>
      <c r="E1399" s="916" t="s">
        <v>4395</v>
      </c>
      <c r="F1399" s="917" t="s">
        <v>249</v>
      </c>
      <c r="G1399" s="918"/>
      <c r="H1399" s="919"/>
      <c r="I1399" s="920"/>
      <c r="J1399" s="891">
        <f>SUM(J1400:J1404)</f>
        <v>12366</v>
      </c>
      <c r="K1399" s="891"/>
      <c r="L1399" s="891">
        <f>SUM(L1400:L1404)</f>
        <v>1200391.5</v>
      </c>
      <c r="M1399" s="891"/>
      <c r="N1399" s="891">
        <f>SUM(N1400:N1404)</f>
        <v>0</v>
      </c>
      <c r="O1399" s="892">
        <f t="shared" si="84"/>
        <v>1</v>
      </c>
      <c r="P1399" s="903">
        <f t="shared" si="85"/>
        <v>0</v>
      </c>
      <c r="Q1399" s="893">
        <f t="shared" si="86"/>
        <v>0</v>
      </c>
      <c r="R1399" s="894">
        <f t="shared" si="87"/>
        <v>5</v>
      </c>
    </row>
    <row r="1400" spans="1:18" s="904" customFormat="1">
      <c r="A1400" s="895"/>
      <c r="B1400" s="896"/>
      <c r="C1400" s="897"/>
      <c r="D1400" s="897"/>
      <c r="E1400" s="924" t="s">
        <v>108</v>
      </c>
      <c r="F1400" s="899"/>
      <c r="G1400" s="900"/>
      <c r="H1400" s="901"/>
      <c r="I1400" s="902"/>
      <c r="J1400" s="902"/>
      <c r="K1400" s="912" t="s">
        <v>274</v>
      </c>
      <c r="L1400" s="902"/>
      <c r="M1400" s="902"/>
      <c r="N1400" s="902"/>
      <c r="O1400" s="892">
        <f t="shared" si="84"/>
        <v>0</v>
      </c>
      <c r="P1400" s="903">
        <f t="shared" si="85"/>
        <v>1</v>
      </c>
      <c r="Q1400" s="893">
        <f t="shared" si="86"/>
        <v>5</v>
      </c>
      <c r="R1400" s="894">
        <f t="shared" si="87"/>
        <v>0</v>
      </c>
    </row>
    <row r="1401" spans="1:18">
      <c r="A1401" s="905"/>
      <c r="B1401" s="906"/>
      <c r="C1401" s="907">
        <v>66</v>
      </c>
      <c r="D1401" s="907" t="s">
        <v>279</v>
      </c>
      <c r="E1401" s="925" t="s">
        <v>2682</v>
      </c>
      <c r="F1401" s="926" t="s">
        <v>45</v>
      </c>
      <c r="G1401" s="910"/>
      <c r="H1401" s="911">
        <v>7.1999999999999995E-2</v>
      </c>
      <c r="I1401" s="912">
        <f>VLOOKUP(E1401,[3]VLP!$B$7:$K$300,10,0)</f>
        <v>5000</v>
      </c>
      <c r="J1401" s="912">
        <f>I1401*H1401</f>
        <v>360</v>
      </c>
      <c r="K1401" s="912" t="s">
        <v>274</v>
      </c>
      <c r="L1401" s="912"/>
      <c r="M1401" s="912"/>
      <c r="N1401" s="912"/>
      <c r="O1401" s="892">
        <f t="shared" si="84"/>
        <v>0</v>
      </c>
      <c r="P1401" s="903">
        <f t="shared" si="85"/>
        <v>1</v>
      </c>
      <c r="Q1401" s="893">
        <f t="shared" si="86"/>
        <v>4</v>
      </c>
      <c r="R1401" s="894">
        <f t="shared" si="87"/>
        <v>0</v>
      </c>
    </row>
    <row r="1402" spans="1:18">
      <c r="A1402" s="905"/>
      <c r="B1402" s="906"/>
      <c r="C1402" s="907">
        <v>44</v>
      </c>
      <c r="D1402" s="907" t="s">
        <v>279</v>
      </c>
      <c r="E1402" s="925" t="s">
        <v>2681</v>
      </c>
      <c r="F1402" s="926" t="s">
        <v>45</v>
      </c>
      <c r="G1402" s="910"/>
      <c r="H1402" s="911">
        <v>0.52200000000000002</v>
      </c>
      <c r="I1402" s="912">
        <f>VLOOKUP(E1402,[3]VLP!$B$7:$K$300,10,0)</f>
        <v>23000</v>
      </c>
      <c r="J1402" s="912">
        <f>I1402*H1402</f>
        <v>12006</v>
      </c>
      <c r="K1402" s="912" t="s">
        <v>274</v>
      </c>
      <c r="L1402" s="912"/>
      <c r="M1402" s="912"/>
      <c r="N1402" s="912"/>
      <c r="O1402" s="892">
        <f t="shared" si="84"/>
        <v>0</v>
      </c>
      <c r="P1402" s="903">
        <f t="shared" si="85"/>
        <v>1</v>
      </c>
      <c r="Q1402" s="893">
        <f t="shared" si="86"/>
        <v>3</v>
      </c>
      <c r="R1402" s="894">
        <f t="shared" si="87"/>
        <v>0</v>
      </c>
    </row>
    <row r="1403" spans="1:18" s="904" customFormat="1">
      <c r="A1403" s="895"/>
      <c r="B1403" s="896"/>
      <c r="C1403" s="897"/>
      <c r="D1403" s="897"/>
      <c r="E1403" s="924" t="s">
        <v>276</v>
      </c>
      <c r="F1403" s="927"/>
      <c r="G1403" s="928"/>
      <c r="H1403" s="901"/>
      <c r="I1403" s="902"/>
      <c r="J1403" s="902"/>
      <c r="K1403" s="912" t="s">
        <v>274</v>
      </c>
      <c r="L1403" s="902"/>
      <c r="M1403" s="902"/>
      <c r="N1403" s="902"/>
      <c r="O1403" s="892">
        <f t="shared" si="84"/>
        <v>0</v>
      </c>
      <c r="P1403" s="903">
        <f t="shared" si="85"/>
        <v>1</v>
      </c>
      <c r="Q1403" s="893">
        <f t="shared" si="86"/>
        <v>2</v>
      </c>
      <c r="R1403" s="894">
        <f t="shared" si="87"/>
        <v>0</v>
      </c>
    </row>
    <row r="1404" spans="1:18">
      <c r="A1404" s="905"/>
      <c r="B1404" s="906"/>
      <c r="C1404" s="907">
        <v>740</v>
      </c>
      <c r="D1404" s="907" t="s">
        <v>12</v>
      </c>
      <c r="E1404" s="908" t="s">
        <v>4008</v>
      </c>
      <c r="F1404" s="909" t="s">
        <v>2674</v>
      </c>
      <c r="G1404" s="910"/>
      <c r="H1404" s="911">
        <v>4.75</v>
      </c>
      <c r="I1404" s="912"/>
      <c r="J1404" s="912"/>
      <c r="K1404" s="912">
        <f>VLOOKUP(E1404,ĐMNC!$A$7:$F$67,4,0)</f>
        <v>252714</v>
      </c>
      <c r="L1404" s="912">
        <f>H1404*K1404</f>
        <v>1200391.5</v>
      </c>
      <c r="M1404" s="912"/>
      <c r="N1404" s="912"/>
      <c r="O1404" s="892">
        <f t="shared" si="84"/>
        <v>0</v>
      </c>
      <c r="P1404" s="903">
        <f t="shared" si="85"/>
        <v>1</v>
      </c>
      <c r="Q1404" s="893">
        <f t="shared" si="86"/>
        <v>1</v>
      </c>
      <c r="R1404" s="894">
        <f t="shared" si="87"/>
        <v>0</v>
      </c>
    </row>
    <row r="1405" spans="1:18" s="847" customFormat="1" ht="31.5">
      <c r="A1405" s="905"/>
      <c r="B1405" s="914" t="s">
        <v>4396</v>
      </c>
      <c r="C1405" s="915"/>
      <c r="D1405" s="915"/>
      <c r="E1405" s="916" t="s">
        <v>4397</v>
      </c>
      <c r="F1405" s="917" t="s">
        <v>249</v>
      </c>
      <c r="G1405" s="918"/>
      <c r="H1405" s="919"/>
      <c r="I1405" s="920"/>
      <c r="J1405" s="891">
        <f>SUM(J1406:J1410)</f>
        <v>12366</v>
      </c>
      <c r="K1405" s="891"/>
      <c r="L1405" s="891">
        <f>SUM(L1406:L1410)</f>
        <v>1230717.18</v>
      </c>
      <c r="M1405" s="891"/>
      <c r="N1405" s="891">
        <f>SUM(N1406:N1410)</f>
        <v>0</v>
      </c>
      <c r="O1405" s="892">
        <f t="shared" si="84"/>
        <v>1</v>
      </c>
      <c r="P1405" s="903">
        <f t="shared" si="85"/>
        <v>0</v>
      </c>
      <c r="Q1405" s="893">
        <f t="shared" si="86"/>
        <v>0</v>
      </c>
      <c r="R1405" s="894">
        <f t="shared" si="87"/>
        <v>5</v>
      </c>
    </row>
    <row r="1406" spans="1:18" s="904" customFormat="1">
      <c r="A1406" s="895"/>
      <c r="B1406" s="896"/>
      <c r="C1406" s="897"/>
      <c r="D1406" s="897"/>
      <c r="E1406" s="924" t="s">
        <v>108</v>
      </c>
      <c r="F1406" s="899"/>
      <c r="G1406" s="900"/>
      <c r="H1406" s="901"/>
      <c r="I1406" s="902"/>
      <c r="J1406" s="902"/>
      <c r="K1406" s="912" t="s">
        <v>274</v>
      </c>
      <c r="L1406" s="902"/>
      <c r="M1406" s="902"/>
      <c r="N1406" s="902"/>
      <c r="O1406" s="892">
        <f t="shared" si="84"/>
        <v>0</v>
      </c>
      <c r="P1406" s="903">
        <f t="shared" si="85"/>
        <v>1</v>
      </c>
      <c r="Q1406" s="893">
        <f t="shared" si="86"/>
        <v>5</v>
      </c>
      <c r="R1406" s="894">
        <f t="shared" si="87"/>
        <v>0</v>
      </c>
    </row>
    <row r="1407" spans="1:18">
      <c r="A1407" s="905"/>
      <c r="B1407" s="906"/>
      <c r="C1407" s="907">
        <v>66</v>
      </c>
      <c r="D1407" s="907" t="s">
        <v>279</v>
      </c>
      <c r="E1407" s="925" t="s">
        <v>2682</v>
      </c>
      <c r="F1407" s="926" t="s">
        <v>45</v>
      </c>
      <c r="G1407" s="910"/>
      <c r="H1407" s="911">
        <v>7.1999999999999995E-2</v>
      </c>
      <c r="I1407" s="912">
        <f>VLOOKUP(E1407,[3]VLP!$B$7:$K$300,10,0)</f>
        <v>5000</v>
      </c>
      <c r="J1407" s="912">
        <f>I1407*H1407</f>
        <v>360</v>
      </c>
      <c r="K1407" s="912" t="s">
        <v>274</v>
      </c>
      <c r="L1407" s="912"/>
      <c r="M1407" s="912"/>
      <c r="N1407" s="912"/>
      <c r="O1407" s="892">
        <f t="shared" si="84"/>
        <v>0</v>
      </c>
      <c r="P1407" s="903">
        <f t="shared" si="85"/>
        <v>1</v>
      </c>
      <c r="Q1407" s="893">
        <f t="shared" si="86"/>
        <v>4</v>
      </c>
      <c r="R1407" s="894">
        <f t="shared" si="87"/>
        <v>0</v>
      </c>
    </row>
    <row r="1408" spans="1:18">
      <c r="A1408" s="905"/>
      <c r="B1408" s="906"/>
      <c r="C1408" s="907">
        <v>44</v>
      </c>
      <c r="D1408" s="907" t="s">
        <v>279</v>
      </c>
      <c r="E1408" s="925" t="s">
        <v>2681</v>
      </c>
      <c r="F1408" s="926" t="s">
        <v>45</v>
      </c>
      <c r="G1408" s="910"/>
      <c r="H1408" s="911">
        <v>0.52200000000000002</v>
      </c>
      <c r="I1408" s="912">
        <f>VLOOKUP(E1408,[3]VLP!$B$7:$K$300,10,0)</f>
        <v>23000</v>
      </c>
      <c r="J1408" s="912">
        <f>I1408*H1408</f>
        <v>12006</v>
      </c>
      <c r="K1408" s="912" t="s">
        <v>274</v>
      </c>
      <c r="L1408" s="912"/>
      <c r="M1408" s="912"/>
      <c r="N1408" s="912"/>
      <c r="O1408" s="892">
        <f t="shared" si="84"/>
        <v>0</v>
      </c>
      <c r="P1408" s="903">
        <f t="shared" si="85"/>
        <v>1</v>
      </c>
      <c r="Q1408" s="893">
        <f t="shared" si="86"/>
        <v>3</v>
      </c>
      <c r="R1408" s="894">
        <f t="shared" si="87"/>
        <v>0</v>
      </c>
    </row>
    <row r="1409" spans="1:18" s="904" customFormat="1">
      <c r="A1409" s="895"/>
      <c r="B1409" s="896"/>
      <c r="C1409" s="897"/>
      <c r="D1409" s="897"/>
      <c r="E1409" s="924" t="s">
        <v>276</v>
      </c>
      <c r="F1409" s="927"/>
      <c r="G1409" s="928"/>
      <c r="H1409" s="901"/>
      <c r="I1409" s="902"/>
      <c r="J1409" s="902"/>
      <c r="K1409" s="912" t="s">
        <v>274</v>
      </c>
      <c r="L1409" s="902"/>
      <c r="M1409" s="902"/>
      <c r="N1409" s="902"/>
      <c r="O1409" s="892">
        <f t="shared" si="84"/>
        <v>0</v>
      </c>
      <c r="P1409" s="903">
        <f t="shared" si="85"/>
        <v>1</v>
      </c>
      <c r="Q1409" s="893">
        <f t="shared" si="86"/>
        <v>2</v>
      </c>
      <c r="R1409" s="894">
        <f t="shared" si="87"/>
        <v>0</v>
      </c>
    </row>
    <row r="1410" spans="1:18">
      <c r="A1410" s="905"/>
      <c r="B1410" s="906"/>
      <c r="C1410" s="907">
        <v>740</v>
      </c>
      <c r="D1410" s="907" t="s">
        <v>12</v>
      </c>
      <c r="E1410" s="908" t="s">
        <v>4008</v>
      </c>
      <c r="F1410" s="909" t="s">
        <v>2674</v>
      </c>
      <c r="G1410" s="910"/>
      <c r="H1410" s="911">
        <v>4.87</v>
      </c>
      <c r="I1410" s="912"/>
      <c r="J1410" s="912"/>
      <c r="K1410" s="912">
        <f>VLOOKUP(E1410,ĐMNC!$A$7:$F$67,4,0)</f>
        <v>252714</v>
      </c>
      <c r="L1410" s="912">
        <f>H1410*K1410</f>
        <v>1230717.18</v>
      </c>
      <c r="M1410" s="912"/>
      <c r="N1410" s="912"/>
      <c r="O1410" s="892">
        <f t="shared" si="84"/>
        <v>0</v>
      </c>
      <c r="P1410" s="903">
        <f t="shared" si="85"/>
        <v>1</v>
      </c>
      <c r="Q1410" s="893">
        <f t="shared" si="86"/>
        <v>1</v>
      </c>
      <c r="R1410" s="894">
        <f t="shared" si="87"/>
        <v>0</v>
      </c>
    </row>
    <row r="1411" spans="1:18" s="847" customFormat="1" ht="31.5">
      <c r="A1411" s="905"/>
      <c r="B1411" s="914" t="s">
        <v>4398</v>
      </c>
      <c r="C1411" s="915"/>
      <c r="D1411" s="915"/>
      <c r="E1411" s="916" t="s">
        <v>4399</v>
      </c>
      <c r="F1411" s="917" t="s">
        <v>249</v>
      </c>
      <c r="G1411" s="918"/>
      <c r="H1411" s="919"/>
      <c r="I1411" s="920"/>
      <c r="J1411" s="891">
        <f>SUM(J1412:J1416)</f>
        <v>12366</v>
      </c>
      <c r="K1411" s="891"/>
      <c r="L1411" s="891">
        <f>SUM(L1412:L1416)</f>
        <v>1521338.2799999998</v>
      </c>
      <c r="M1411" s="891"/>
      <c r="N1411" s="891">
        <f>SUM(N1412:N1416)</f>
        <v>0</v>
      </c>
      <c r="O1411" s="892">
        <f t="shared" si="84"/>
        <v>1</v>
      </c>
      <c r="P1411" s="903">
        <f t="shared" si="85"/>
        <v>0</v>
      </c>
      <c r="Q1411" s="893">
        <f t="shared" si="86"/>
        <v>0</v>
      </c>
      <c r="R1411" s="894">
        <f t="shared" si="87"/>
        <v>5</v>
      </c>
    </row>
    <row r="1412" spans="1:18" s="904" customFormat="1">
      <c r="A1412" s="895"/>
      <c r="B1412" s="896"/>
      <c r="C1412" s="897"/>
      <c r="D1412" s="897"/>
      <c r="E1412" s="924" t="s">
        <v>108</v>
      </c>
      <c r="F1412" s="899"/>
      <c r="G1412" s="900"/>
      <c r="H1412" s="901"/>
      <c r="I1412" s="902"/>
      <c r="J1412" s="902"/>
      <c r="K1412" s="912" t="s">
        <v>274</v>
      </c>
      <c r="L1412" s="902"/>
      <c r="M1412" s="902"/>
      <c r="N1412" s="902"/>
      <c r="O1412" s="892">
        <f t="shared" si="84"/>
        <v>0</v>
      </c>
      <c r="P1412" s="903">
        <f t="shared" si="85"/>
        <v>1</v>
      </c>
      <c r="Q1412" s="893">
        <f t="shared" si="86"/>
        <v>5</v>
      </c>
      <c r="R1412" s="894">
        <f t="shared" si="87"/>
        <v>0</v>
      </c>
    </row>
    <row r="1413" spans="1:18">
      <c r="A1413" s="905"/>
      <c r="B1413" s="906"/>
      <c r="C1413" s="907">
        <v>66</v>
      </c>
      <c r="D1413" s="907" t="s">
        <v>279</v>
      </c>
      <c r="E1413" s="925" t="s">
        <v>2682</v>
      </c>
      <c r="F1413" s="926" t="s">
        <v>45</v>
      </c>
      <c r="G1413" s="910"/>
      <c r="H1413" s="911">
        <v>7.1999999999999995E-2</v>
      </c>
      <c r="I1413" s="912">
        <f>VLOOKUP(E1413,[3]VLP!$B$7:$K$300,10,0)</f>
        <v>5000</v>
      </c>
      <c r="J1413" s="912">
        <f>I1413*H1413</f>
        <v>360</v>
      </c>
      <c r="K1413" s="912" t="s">
        <v>274</v>
      </c>
      <c r="L1413" s="912"/>
      <c r="M1413" s="912"/>
      <c r="N1413" s="912"/>
      <c r="O1413" s="892">
        <f t="shared" si="84"/>
        <v>0</v>
      </c>
      <c r="P1413" s="903">
        <f t="shared" si="85"/>
        <v>1</v>
      </c>
      <c r="Q1413" s="893">
        <f t="shared" si="86"/>
        <v>4</v>
      </c>
      <c r="R1413" s="894">
        <f t="shared" si="87"/>
        <v>0</v>
      </c>
    </row>
    <row r="1414" spans="1:18">
      <c r="A1414" s="905"/>
      <c r="B1414" s="906"/>
      <c r="C1414" s="907">
        <v>44</v>
      </c>
      <c r="D1414" s="907" t="s">
        <v>279</v>
      </c>
      <c r="E1414" s="925" t="s">
        <v>2681</v>
      </c>
      <c r="F1414" s="926" t="s">
        <v>45</v>
      </c>
      <c r="G1414" s="910"/>
      <c r="H1414" s="911">
        <v>0.52200000000000002</v>
      </c>
      <c r="I1414" s="912">
        <f>VLOOKUP(E1414,[3]VLP!$B$7:$K$300,10,0)</f>
        <v>23000</v>
      </c>
      <c r="J1414" s="912">
        <f>I1414*H1414</f>
        <v>12006</v>
      </c>
      <c r="K1414" s="912" t="s">
        <v>274</v>
      </c>
      <c r="L1414" s="912"/>
      <c r="M1414" s="912"/>
      <c r="N1414" s="912"/>
      <c r="O1414" s="892">
        <f t="shared" ref="O1414:O1477" si="88">IF(AND(B1414&lt;&gt;"",D1414=""),1,0)</f>
        <v>0</v>
      </c>
      <c r="P1414" s="903">
        <f t="shared" si="85"/>
        <v>1</v>
      </c>
      <c r="Q1414" s="893">
        <f t="shared" si="86"/>
        <v>3</v>
      </c>
      <c r="R1414" s="894">
        <f t="shared" si="87"/>
        <v>0</v>
      </c>
    </row>
    <row r="1415" spans="1:18" s="904" customFormat="1">
      <c r="A1415" s="895"/>
      <c r="B1415" s="896"/>
      <c r="C1415" s="897"/>
      <c r="D1415" s="897"/>
      <c r="E1415" s="924" t="s">
        <v>276</v>
      </c>
      <c r="F1415" s="927"/>
      <c r="G1415" s="928"/>
      <c r="H1415" s="901"/>
      <c r="I1415" s="902"/>
      <c r="J1415" s="902"/>
      <c r="K1415" s="912" t="s">
        <v>274</v>
      </c>
      <c r="L1415" s="902"/>
      <c r="M1415" s="902"/>
      <c r="N1415" s="902"/>
      <c r="O1415" s="892">
        <f t="shared" si="88"/>
        <v>0</v>
      </c>
      <c r="P1415" s="903">
        <f t="shared" si="85"/>
        <v>1</v>
      </c>
      <c r="Q1415" s="893">
        <f t="shared" si="86"/>
        <v>2</v>
      </c>
      <c r="R1415" s="894">
        <f t="shared" si="87"/>
        <v>0</v>
      </c>
    </row>
    <row r="1416" spans="1:18">
      <c r="A1416" s="905"/>
      <c r="B1416" s="906"/>
      <c r="C1416" s="907">
        <v>740</v>
      </c>
      <c r="D1416" s="907" t="s">
        <v>12</v>
      </c>
      <c r="E1416" s="908" t="s">
        <v>4008</v>
      </c>
      <c r="F1416" s="909" t="s">
        <v>2674</v>
      </c>
      <c r="G1416" s="910"/>
      <c r="H1416" s="911">
        <v>6.02</v>
      </c>
      <c r="I1416" s="912"/>
      <c r="J1416" s="912"/>
      <c r="K1416" s="912">
        <f>VLOOKUP(E1416,ĐMNC!$A$7:$F$67,4,0)</f>
        <v>252714</v>
      </c>
      <c r="L1416" s="912">
        <f>H1416*K1416</f>
        <v>1521338.2799999998</v>
      </c>
      <c r="M1416" s="912"/>
      <c r="N1416" s="912"/>
      <c r="O1416" s="892">
        <f t="shared" si="88"/>
        <v>0</v>
      </c>
      <c r="P1416" s="903">
        <f t="shared" si="85"/>
        <v>1</v>
      </c>
      <c r="Q1416" s="893">
        <f t="shared" si="86"/>
        <v>1</v>
      </c>
      <c r="R1416" s="894">
        <f t="shared" si="87"/>
        <v>0</v>
      </c>
    </row>
    <row r="1417" spans="1:18" s="847" customFormat="1" ht="31.5">
      <c r="A1417" s="905"/>
      <c r="B1417" s="914" t="s">
        <v>4400</v>
      </c>
      <c r="C1417" s="915"/>
      <c r="D1417" s="915"/>
      <c r="E1417" s="916" t="s">
        <v>4401</v>
      </c>
      <c r="F1417" s="917" t="s">
        <v>249</v>
      </c>
      <c r="G1417" s="918"/>
      <c r="H1417" s="919"/>
      <c r="I1417" s="920"/>
      <c r="J1417" s="891">
        <f>SUM(J1418:J1422)</f>
        <v>12366</v>
      </c>
      <c r="K1417" s="891"/>
      <c r="L1417" s="891">
        <f>SUM(L1418:L1422)</f>
        <v>1751308.02</v>
      </c>
      <c r="M1417" s="891"/>
      <c r="N1417" s="891">
        <f>SUM(N1418:N1422)</f>
        <v>0</v>
      </c>
      <c r="O1417" s="892">
        <f t="shared" si="88"/>
        <v>1</v>
      </c>
      <c r="P1417" s="903">
        <f t="shared" si="85"/>
        <v>0</v>
      </c>
      <c r="Q1417" s="893">
        <f t="shared" si="86"/>
        <v>0</v>
      </c>
      <c r="R1417" s="894">
        <f t="shared" si="87"/>
        <v>5</v>
      </c>
    </row>
    <row r="1418" spans="1:18" s="904" customFormat="1">
      <c r="A1418" s="895"/>
      <c r="B1418" s="896"/>
      <c r="C1418" s="897"/>
      <c r="D1418" s="897"/>
      <c r="E1418" s="924" t="s">
        <v>108</v>
      </c>
      <c r="F1418" s="899"/>
      <c r="G1418" s="900"/>
      <c r="H1418" s="901"/>
      <c r="I1418" s="902"/>
      <c r="J1418" s="902"/>
      <c r="K1418" s="912" t="s">
        <v>274</v>
      </c>
      <c r="L1418" s="902"/>
      <c r="M1418" s="902"/>
      <c r="N1418" s="902"/>
      <c r="O1418" s="892">
        <f t="shared" si="88"/>
        <v>0</v>
      </c>
      <c r="P1418" s="903">
        <f t="shared" si="85"/>
        <v>1</v>
      </c>
      <c r="Q1418" s="893">
        <f t="shared" si="86"/>
        <v>5</v>
      </c>
      <c r="R1418" s="894">
        <f t="shared" si="87"/>
        <v>0</v>
      </c>
    </row>
    <row r="1419" spans="1:18">
      <c r="A1419" s="905"/>
      <c r="B1419" s="906"/>
      <c r="C1419" s="907">
        <v>66</v>
      </c>
      <c r="D1419" s="907" t="s">
        <v>279</v>
      </c>
      <c r="E1419" s="925" t="s">
        <v>2682</v>
      </c>
      <c r="F1419" s="926" t="s">
        <v>45</v>
      </c>
      <c r="G1419" s="910"/>
      <c r="H1419" s="911">
        <v>7.1999999999999995E-2</v>
      </c>
      <c r="I1419" s="912">
        <f>VLOOKUP(E1419,[3]VLP!$B$7:$K$300,10,0)</f>
        <v>5000</v>
      </c>
      <c r="J1419" s="912">
        <f>I1419*H1419</f>
        <v>360</v>
      </c>
      <c r="K1419" s="912" t="s">
        <v>274</v>
      </c>
      <c r="L1419" s="912"/>
      <c r="M1419" s="912"/>
      <c r="N1419" s="912"/>
      <c r="O1419" s="892">
        <f t="shared" si="88"/>
        <v>0</v>
      </c>
      <c r="P1419" s="903">
        <f t="shared" si="85"/>
        <v>1</v>
      </c>
      <c r="Q1419" s="893">
        <f t="shared" si="86"/>
        <v>4</v>
      </c>
      <c r="R1419" s="894">
        <f t="shared" si="87"/>
        <v>0</v>
      </c>
    </row>
    <row r="1420" spans="1:18">
      <c r="A1420" s="905"/>
      <c r="B1420" s="906"/>
      <c r="C1420" s="907">
        <v>44</v>
      </c>
      <c r="D1420" s="907" t="s">
        <v>279</v>
      </c>
      <c r="E1420" s="925" t="s">
        <v>2681</v>
      </c>
      <c r="F1420" s="926" t="s">
        <v>45</v>
      </c>
      <c r="G1420" s="910"/>
      <c r="H1420" s="911">
        <v>0.52200000000000002</v>
      </c>
      <c r="I1420" s="912">
        <f>VLOOKUP(E1420,[3]VLP!$B$7:$K$300,10,0)</f>
        <v>23000</v>
      </c>
      <c r="J1420" s="912">
        <f>I1420*H1420</f>
        <v>12006</v>
      </c>
      <c r="K1420" s="912" t="s">
        <v>274</v>
      </c>
      <c r="L1420" s="912"/>
      <c r="M1420" s="912"/>
      <c r="N1420" s="912"/>
      <c r="O1420" s="892">
        <f t="shared" si="88"/>
        <v>0</v>
      </c>
      <c r="P1420" s="903">
        <f t="shared" si="85"/>
        <v>1</v>
      </c>
      <c r="Q1420" s="893">
        <f t="shared" si="86"/>
        <v>3</v>
      </c>
      <c r="R1420" s="894">
        <f t="shared" si="87"/>
        <v>0</v>
      </c>
    </row>
    <row r="1421" spans="1:18" s="904" customFormat="1">
      <c r="A1421" s="895"/>
      <c r="B1421" s="896"/>
      <c r="C1421" s="897"/>
      <c r="D1421" s="897"/>
      <c r="E1421" s="924" t="s">
        <v>276</v>
      </c>
      <c r="F1421" s="927"/>
      <c r="G1421" s="928"/>
      <c r="H1421" s="901"/>
      <c r="I1421" s="902"/>
      <c r="J1421" s="902"/>
      <c r="K1421" s="912" t="s">
        <v>274</v>
      </c>
      <c r="L1421" s="902"/>
      <c r="M1421" s="902"/>
      <c r="N1421" s="902"/>
      <c r="O1421" s="892">
        <f t="shared" si="88"/>
        <v>0</v>
      </c>
      <c r="P1421" s="903">
        <f t="shared" si="85"/>
        <v>1</v>
      </c>
      <c r="Q1421" s="893">
        <f t="shared" si="86"/>
        <v>2</v>
      </c>
      <c r="R1421" s="894">
        <f t="shared" si="87"/>
        <v>0</v>
      </c>
    </row>
    <row r="1422" spans="1:18">
      <c r="A1422" s="905"/>
      <c r="B1422" s="906"/>
      <c r="C1422" s="907">
        <v>740</v>
      </c>
      <c r="D1422" s="907" t="s">
        <v>12</v>
      </c>
      <c r="E1422" s="908" t="s">
        <v>4008</v>
      </c>
      <c r="F1422" s="909" t="s">
        <v>2674</v>
      </c>
      <c r="G1422" s="910"/>
      <c r="H1422" s="911">
        <v>6.93</v>
      </c>
      <c r="I1422" s="912"/>
      <c r="J1422" s="912"/>
      <c r="K1422" s="912">
        <f>VLOOKUP(E1422,ĐMNC!$A$7:$F$67,4,0)</f>
        <v>252714</v>
      </c>
      <c r="L1422" s="912">
        <f>H1422*K1422</f>
        <v>1751308.02</v>
      </c>
      <c r="M1422" s="912"/>
      <c r="N1422" s="912"/>
      <c r="O1422" s="892">
        <f t="shared" si="88"/>
        <v>0</v>
      </c>
      <c r="P1422" s="903">
        <f t="shared" si="85"/>
        <v>1</v>
      </c>
      <c r="Q1422" s="893">
        <f t="shared" si="86"/>
        <v>1</v>
      </c>
      <c r="R1422" s="894">
        <f t="shared" si="87"/>
        <v>0</v>
      </c>
    </row>
    <row r="1423" spans="1:18" s="847" customFormat="1" ht="31.5">
      <c r="A1423" s="905"/>
      <c r="B1423" s="914" t="s">
        <v>4402</v>
      </c>
      <c r="C1423" s="915"/>
      <c r="D1423" s="915"/>
      <c r="E1423" s="916" t="s">
        <v>4403</v>
      </c>
      <c r="F1423" s="917" t="s">
        <v>249</v>
      </c>
      <c r="G1423" s="918"/>
      <c r="H1423" s="919"/>
      <c r="I1423" s="920"/>
      <c r="J1423" s="891">
        <f>SUM(J1424:J1428)</f>
        <v>14850</v>
      </c>
      <c r="K1423" s="891"/>
      <c r="L1423" s="891">
        <f>SUM(L1424:L1428)</f>
        <v>985584.6</v>
      </c>
      <c r="M1423" s="891"/>
      <c r="N1423" s="891">
        <f>SUM(N1424:N1428)</f>
        <v>0</v>
      </c>
      <c r="O1423" s="892">
        <f t="shared" si="88"/>
        <v>1</v>
      </c>
      <c r="P1423" s="903">
        <f t="shared" ref="P1423:P1486" si="89">IF(O1423=0,1,0)</f>
        <v>0</v>
      </c>
      <c r="Q1423" s="893">
        <f t="shared" ref="Q1423:Q1486" si="90">IF(P1423=0,0,P1423+Q1424)</f>
        <v>0</v>
      </c>
      <c r="R1423" s="894">
        <f t="shared" ref="R1423:R1486" si="91">IF(Q1423=0,Q1424,0)</f>
        <v>5</v>
      </c>
    </row>
    <row r="1424" spans="1:18" s="904" customFormat="1">
      <c r="A1424" s="895"/>
      <c r="B1424" s="922"/>
      <c r="C1424" s="897"/>
      <c r="D1424" s="897"/>
      <c r="E1424" s="924" t="s">
        <v>108</v>
      </c>
      <c r="F1424" s="899"/>
      <c r="G1424" s="900"/>
      <c r="H1424" s="901"/>
      <c r="I1424" s="902"/>
      <c r="J1424" s="902"/>
      <c r="K1424" s="912" t="s">
        <v>274</v>
      </c>
      <c r="L1424" s="902"/>
      <c r="M1424" s="902"/>
      <c r="N1424" s="902"/>
      <c r="O1424" s="892">
        <f t="shared" si="88"/>
        <v>0</v>
      </c>
      <c r="P1424" s="903">
        <f t="shared" si="89"/>
        <v>1</v>
      </c>
      <c r="Q1424" s="893">
        <f t="shared" si="90"/>
        <v>5</v>
      </c>
      <c r="R1424" s="894">
        <f t="shared" si="91"/>
        <v>0</v>
      </c>
    </row>
    <row r="1425" spans="1:18">
      <c r="A1425" s="905"/>
      <c r="B1425" s="906"/>
      <c r="C1425" s="907">
        <v>66</v>
      </c>
      <c r="D1425" s="907" t="s">
        <v>279</v>
      </c>
      <c r="E1425" s="925" t="s">
        <v>2682</v>
      </c>
      <c r="F1425" s="926" t="s">
        <v>45</v>
      </c>
      <c r="G1425" s="910"/>
      <c r="H1425" s="911">
        <v>7.1999999999999995E-2</v>
      </c>
      <c r="I1425" s="912">
        <f>VLOOKUP(E1425,[3]VLP!$B$7:$K$300,10,0)</f>
        <v>5000</v>
      </c>
      <c r="J1425" s="912">
        <f>I1425*H1425</f>
        <v>360</v>
      </c>
      <c r="K1425" s="912" t="s">
        <v>274</v>
      </c>
      <c r="L1425" s="912"/>
      <c r="M1425" s="912"/>
      <c r="N1425" s="912"/>
      <c r="O1425" s="892">
        <f t="shared" si="88"/>
        <v>0</v>
      </c>
      <c r="P1425" s="903">
        <f t="shared" si="89"/>
        <v>1</v>
      </c>
      <c r="Q1425" s="893">
        <f t="shared" si="90"/>
        <v>4</v>
      </c>
      <c r="R1425" s="894">
        <f t="shared" si="91"/>
        <v>0</v>
      </c>
    </row>
    <row r="1426" spans="1:18">
      <c r="A1426" s="905"/>
      <c r="B1426" s="906"/>
      <c r="C1426" s="907">
        <v>44</v>
      </c>
      <c r="D1426" s="907" t="s">
        <v>279</v>
      </c>
      <c r="E1426" s="925" t="s">
        <v>2681</v>
      </c>
      <c r="F1426" s="926" t="s">
        <v>45</v>
      </c>
      <c r="G1426" s="910"/>
      <c r="H1426" s="911">
        <v>0.63</v>
      </c>
      <c r="I1426" s="912">
        <f>VLOOKUP(E1426,[3]VLP!$B$7:$K$300,10,0)</f>
        <v>23000</v>
      </c>
      <c r="J1426" s="912">
        <f>I1426*H1426</f>
        <v>14490</v>
      </c>
      <c r="K1426" s="912" t="s">
        <v>274</v>
      </c>
      <c r="L1426" s="912"/>
      <c r="M1426" s="912"/>
      <c r="N1426" s="912"/>
      <c r="O1426" s="892">
        <f t="shared" si="88"/>
        <v>0</v>
      </c>
      <c r="P1426" s="903">
        <f t="shared" si="89"/>
        <v>1</v>
      </c>
      <c r="Q1426" s="893">
        <f t="shared" si="90"/>
        <v>3</v>
      </c>
      <c r="R1426" s="894">
        <f t="shared" si="91"/>
        <v>0</v>
      </c>
    </row>
    <row r="1427" spans="1:18" s="904" customFormat="1">
      <c r="A1427" s="895"/>
      <c r="B1427" s="896"/>
      <c r="C1427" s="897"/>
      <c r="D1427" s="897"/>
      <c r="E1427" s="924" t="s">
        <v>276</v>
      </c>
      <c r="F1427" s="927"/>
      <c r="G1427" s="928"/>
      <c r="H1427" s="901"/>
      <c r="I1427" s="902"/>
      <c r="J1427" s="902"/>
      <c r="K1427" s="912" t="s">
        <v>274</v>
      </c>
      <c r="L1427" s="902"/>
      <c r="M1427" s="902"/>
      <c r="N1427" s="902"/>
      <c r="O1427" s="892">
        <f t="shared" si="88"/>
        <v>0</v>
      </c>
      <c r="P1427" s="903">
        <f t="shared" si="89"/>
        <v>1</v>
      </c>
      <c r="Q1427" s="893">
        <f t="shared" si="90"/>
        <v>2</v>
      </c>
      <c r="R1427" s="894">
        <f t="shared" si="91"/>
        <v>0</v>
      </c>
    </row>
    <row r="1428" spans="1:18">
      <c r="A1428" s="905"/>
      <c r="B1428" s="906"/>
      <c r="C1428" s="907">
        <v>740</v>
      </c>
      <c r="D1428" s="907" t="s">
        <v>12</v>
      </c>
      <c r="E1428" s="908" t="s">
        <v>4008</v>
      </c>
      <c r="F1428" s="909" t="s">
        <v>2674</v>
      </c>
      <c r="G1428" s="910"/>
      <c r="H1428" s="911">
        <v>3.9</v>
      </c>
      <c r="I1428" s="912"/>
      <c r="J1428" s="912"/>
      <c r="K1428" s="912">
        <f>VLOOKUP(E1428,ĐMNC!$A$7:$F$67,4,0)</f>
        <v>252714</v>
      </c>
      <c r="L1428" s="912">
        <f>H1428*K1428</f>
        <v>985584.6</v>
      </c>
      <c r="M1428" s="912"/>
      <c r="N1428" s="912"/>
      <c r="O1428" s="892">
        <f t="shared" si="88"/>
        <v>0</v>
      </c>
      <c r="P1428" s="903">
        <f t="shared" si="89"/>
        <v>1</v>
      </c>
      <c r="Q1428" s="893">
        <f t="shared" si="90"/>
        <v>1</v>
      </c>
      <c r="R1428" s="894">
        <f t="shared" si="91"/>
        <v>0</v>
      </c>
    </row>
    <row r="1429" spans="1:18" s="847" customFormat="1" ht="31.5">
      <c r="A1429" s="905"/>
      <c r="B1429" s="914" t="s">
        <v>4404</v>
      </c>
      <c r="C1429" s="915"/>
      <c r="D1429" s="915"/>
      <c r="E1429" s="916" t="s">
        <v>4405</v>
      </c>
      <c r="F1429" s="917" t="s">
        <v>249</v>
      </c>
      <c r="G1429" s="918"/>
      <c r="H1429" s="919"/>
      <c r="I1429" s="920"/>
      <c r="J1429" s="891">
        <f>SUM(J1430:J1434)</f>
        <v>14850</v>
      </c>
      <c r="K1429" s="891"/>
      <c r="L1429" s="891">
        <f>SUM(L1430:L1434)</f>
        <v>1041181.68</v>
      </c>
      <c r="M1429" s="891"/>
      <c r="N1429" s="891">
        <f>SUM(N1430:N1434)</f>
        <v>0</v>
      </c>
      <c r="O1429" s="892">
        <f t="shared" si="88"/>
        <v>1</v>
      </c>
      <c r="P1429" s="903">
        <f t="shared" si="89"/>
        <v>0</v>
      </c>
      <c r="Q1429" s="893">
        <f t="shared" si="90"/>
        <v>0</v>
      </c>
      <c r="R1429" s="894">
        <f t="shared" si="91"/>
        <v>5</v>
      </c>
    </row>
    <row r="1430" spans="1:18" s="904" customFormat="1">
      <c r="A1430" s="895"/>
      <c r="B1430" s="896"/>
      <c r="C1430" s="897"/>
      <c r="D1430" s="897"/>
      <c r="E1430" s="924" t="s">
        <v>108</v>
      </c>
      <c r="F1430" s="899"/>
      <c r="G1430" s="900"/>
      <c r="H1430" s="901"/>
      <c r="I1430" s="902"/>
      <c r="J1430" s="902"/>
      <c r="K1430" s="912" t="s">
        <v>274</v>
      </c>
      <c r="L1430" s="902"/>
      <c r="M1430" s="902"/>
      <c r="N1430" s="902"/>
      <c r="O1430" s="892">
        <f t="shared" si="88"/>
        <v>0</v>
      </c>
      <c r="P1430" s="903">
        <f t="shared" si="89"/>
        <v>1</v>
      </c>
      <c r="Q1430" s="893">
        <f t="shared" si="90"/>
        <v>5</v>
      </c>
      <c r="R1430" s="894">
        <f t="shared" si="91"/>
        <v>0</v>
      </c>
    </row>
    <row r="1431" spans="1:18">
      <c r="A1431" s="905"/>
      <c r="B1431" s="906"/>
      <c r="C1431" s="907">
        <v>66</v>
      </c>
      <c r="D1431" s="907" t="s">
        <v>279</v>
      </c>
      <c r="E1431" s="925" t="s">
        <v>2682</v>
      </c>
      <c r="F1431" s="926" t="s">
        <v>45</v>
      </c>
      <c r="G1431" s="910"/>
      <c r="H1431" s="911">
        <v>7.1999999999999995E-2</v>
      </c>
      <c r="I1431" s="912">
        <f>VLOOKUP(E1431,[3]VLP!$B$7:$K$300,10,0)</f>
        <v>5000</v>
      </c>
      <c r="J1431" s="912">
        <f>I1431*H1431</f>
        <v>360</v>
      </c>
      <c r="K1431" s="912" t="s">
        <v>274</v>
      </c>
      <c r="L1431" s="912"/>
      <c r="M1431" s="912"/>
      <c r="N1431" s="912"/>
      <c r="O1431" s="892">
        <f t="shared" si="88"/>
        <v>0</v>
      </c>
      <c r="P1431" s="903">
        <f t="shared" si="89"/>
        <v>1</v>
      </c>
      <c r="Q1431" s="893">
        <f t="shared" si="90"/>
        <v>4</v>
      </c>
      <c r="R1431" s="894">
        <f t="shared" si="91"/>
        <v>0</v>
      </c>
    </row>
    <row r="1432" spans="1:18">
      <c r="A1432" s="905"/>
      <c r="B1432" s="906"/>
      <c r="C1432" s="907">
        <v>44</v>
      </c>
      <c r="D1432" s="907" t="s">
        <v>279</v>
      </c>
      <c r="E1432" s="925" t="s">
        <v>2681</v>
      </c>
      <c r="F1432" s="926" t="s">
        <v>45</v>
      </c>
      <c r="G1432" s="910"/>
      <c r="H1432" s="911">
        <v>0.63</v>
      </c>
      <c r="I1432" s="912">
        <f>VLOOKUP(E1432,[3]VLP!$B$7:$K$300,10,0)</f>
        <v>23000</v>
      </c>
      <c r="J1432" s="912">
        <f>I1432*H1432</f>
        <v>14490</v>
      </c>
      <c r="K1432" s="912" t="s">
        <v>274</v>
      </c>
      <c r="L1432" s="912"/>
      <c r="M1432" s="912"/>
      <c r="N1432" s="912"/>
      <c r="O1432" s="892">
        <f t="shared" si="88"/>
        <v>0</v>
      </c>
      <c r="P1432" s="903">
        <f t="shared" si="89"/>
        <v>1</v>
      </c>
      <c r="Q1432" s="893">
        <f t="shared" si="90"/>
        <v>3</v>
      </c>
      <c r="R1432" s="894">
        <f t="shared" si="91"/>
        <v>0</v>
      </c>
    </row>
    <row r="1433" spans="1:18" s="904" customFormat="1">
      <c r="A1433" s="895"/>
      <c r="B1433" s="896"/>
      <c r="C1433" s="897"/>
      <c r="D1433" s="897"/>
      <c r="E1433" s="924" t="s">
        <v>276</v>
      </c>
      <c r="F1433" s="927"/>
      <c r="G1433" s="928"/>
      <c r="H1433" s="901"/>
      <c r="I1433" s="902"/>
      <c r="J1433" s="902"/>
      <c r="K1433" s="912" t="s">
        <v>274</v>
      </c>
      <c r="L1433" s="902"/>
      <c r="M1433" s="902"/>
      <c r="N1433" s="902"/>
      <c r="O1433" s="892">
        <f t="shared" si="88"/>
        <v>0</v>
      </c>
      <c r="P1433" s="903">
        <f t="shared" si="89"/>
        <v>1</v>
      </c>
      <c r="Q1433" s="893">
        <f t="shared" si="90"/>
        <v>2</v>
      </c>
      <c r="R1433" s="894">
        <f t="shared" si="91"/>
        <v>0</v>
      </c>
    </row>
    <row r="1434" spans="1:18">
      <c r="A1434" s="905"/>
      <c r="B1434" s="906"/>
      <c r="C1434" s="907">
        <v>740</v>
      </c>
      <c r="D1434" s="907" t="s">
        <v>12</v>
      </c>
      <c r="E1434" s="908" t="s">
        <v>4008</v>
      </c>
      <c r="F1434" s="909" t="s">
        <v>2674</v>
      </c>
      <c r="G1434" s="910"/>
      <c r="H1434" s="911">
        <v>4.12</v>
      </c>
      <c r="I1434" s="912"/>
      <c r="J1434" s="912"/>
      <c r="K1434" s="912">
        <f>VLOOKUP(E1434,ĐMNC!$A$7:$F$67,4,0)</f>
        <v>252714</v>
      </c>
      <c r="L1434" s="912">
        <f>H1434*K1434</f>
        <v>1041181.68</v>
      </c>
      <c r="M1434" s="912"/>
      <c r="N1434" s="912"/>
      <c r="O1434" s="892">
        <f t="shared" si="88"/>
        <v>0</v>
      </c>
      <c r="P1434" s="903">
        <f t="shared" si="89"/>
        <v>1</v>
      </c>
      <c r="Q1434" s="893">
        <f t="shared" si="90"/>
        <v>1</v>
      </c>
      <c r="R1434" s="894">
        <f t="shared" si="91"/>
        <v>0</v>
      </c>
    </row>
    <row r="1435" spans="1:18" s="847" customFormat="1" ht="31.5">
      <c r="A1435" s="905"/>
      <c r="B1435" s="914" t="s">
        <v>4406</v>
      </c>
      <c r="C1435" s="915"/>
      <c r="D1435" s="915"/>
      <c r="E1435" s="916" t="s">
        <v>4407</v>
      </c>
      <c r="F1435" s="917" t="s">
        <v>249</v>
      </c>
      <c r="G1435" s="918"/>
      <c r="H1435" s="919"/>
      <c r="I1435" s="920"/>
      <c r="J1435" s="891">
        <f>SUM(J1436:J1440)</f>
        <v>14850</v>
      </c>
      <c r="K1435" s="891"/>
      <c r="L1435" s="891">
        <f>SUM(L1436:L1440)</f>
        <v>1129631.5799999998</v>
      </c>
      <c r="M1435" s="891"/>
      <c r="N1435" s="891">
        <f>SUM(N1436:N1440)</f>
        <v>0</v>
      </c>
      <c r="O1435" s="892">
        <f t="shared" si="88"/>
        <v>1</v>
      </c>
      <c r="P1435" s="903">
        <f t="shared" si="89"/>
        <v>0</v>
      </c>
      <c r="Q1435" s="893">
        <f t="shared" si="90"/>
        <v>0</v>
      </c>
      <c r="R1435" s="894">
        <f t="shared" si="91"/>
        <v>5</v>
      </c>
    </row>
    <row r="1436" spans="1:18" s="904" customFormat="1">
      <c r="A1436" s="895"/>
      <c r="B1436" s="896"/>
      <c r="C1436" s="897"/>
      <c r="D1436" s="897"/>
      <c r="E1436" s="924" t="s">
        <v>108</v>
      </c>
      <c r="F1436" s="899"/>
      <c r="G1436" s="900"/>
      <c r="H1436" s="901"/>
      <c r="I1436" s="902"/>
      <c r="J1436" s="902"/>
      <c r="K1436" s="912" t="s">
        <v>274</v>
      </c>
      <c r="L1436" s="902"/>
      <c r="M1436" s="902"/>
      <c r="N1436" s="902"/>
      <c r="O1436" s="892">
        <f t="shared" si="88"/>
        <v>0</v>
      </c>
      <c r="P1436" s="903">
        <f t="shared" si="89"/>
        <v>1</v>
      </c>
      <c r="Q1436" s="893">
        <f t="shared" si="90"/>
        <v>5</v>
      </c>
      <c r="R1436" s="894">
        <f t="shared" si="91"/>
        <v>0</v>
      </c>
    </row>
    <row r="1437" spans="1:18">
      <c r="A1437" s="905"/>
      <c r="B1437" s="906"/>
      <c r="C1437" s="907">
        <v>66</v>
      </c>
      <c r="D1437" s="907" t="s">
        <v>279</v>
      </c>
      <c r="E1437" s="925" t="s">
        <v>2682</v>
      </c>
      <c r="F1437" s="926" t="s">
        <v>45</v>
      </c>
      <c r="G1437" s="910"/>
      <c r="H1437" s="911">
        <v>7.1999999999999995E-2</v>
      </c>
      <c r="I1437" s="912">
        <f>VLOOKUP(E1437,[3]VLP!$B$7:$K$300,10,0)</f>
        <v>5000</v>
      </c>
      <c r="J1437" s="912">
        <f>I1437*H1437</f>
        <v>360</v>
      </c>
      <c r="K1437" s="912" t="s">
        <v>274</v>
      </c>
      <c r="L1437" s="912"/>
      <c r="M1437" s="912"/>
      <c r="N1437" s="912"/>
      <c r="O1437" s="892">
        <f t="shared" si="88"/>
        <v>0</v>
      </c>
      <c r="P1437" s="903">
        <f t="shared" si="89"/>
        <v>1</v>
      </c>
      <c r="Q1437" s="893">
        <f t="shared" si="90"/>
        <v>4</v>
      </c>
      <c r="R1437" s="894">
        <f t="shared" si="91"/>
        <v>0</v>
      </c>
    </row>
    <row r="1438" spans="1:18">
      <c r="A1438" s="905"/>
      <c r="B1438" s="906"/>
      <c r="C1438" s="907">
        <v>44</v>
      </c>
      <c r="D1438" s="907" t="s">
        <v>279</v>
      </c>
      <c r="E1438" s="925" t="s">
        <v>2681</v>
      </c>
      <c r="F1438" s="926" t="s">
        <v>45</v>
      </c>
      <c r="G1438" s="910"/>
      <c r="H1438" s="911">
        <v>0.63</v>
      </c>
      <c r="I1438" s="912">
        <f>VLOOKUP(E1438,[3]VLP!$B$7:$K$300,10,0)</f>
        <v>23000</v>
      </c>
      <c r="J1438" s="912">
        <f>I1438*H1438</f>
        <v>14490</v>
      </c>
      <c r="K1438" s="912" t="s">
        <v>274</v>
      </c>
      <c r="L1438" s="912"/>
      <c r="M1438" s="912"/>
      <c r="N1438" s="912"/>
      <c r="O1438" s="892">
        <f t="shared" si="88"/>
        <v>0</v>
      </c>
      <c r="P1438" s="903">
        <f t="shared" si="89"/>
        <v>1</v>
      </c>
      <c r="Q1438" s="893">
        <f t="shared" si="90"/>
        <v>3</v>
      </c>
      <c r="R1438" s="894">
        <f t="shared" si="91"/>
        <v>0</v>
      </c>
    </row>
    <row r="1439" spans="1:18" s="904" customFormat="1">
      <c r="A1439" s="895"/>
      <c r="B1439" s="896"/>
      <c r="C1439" s="897"/>
      <c r="D1439" s="897"/>
      <c r="E1439" s="924" t="s">
        <v>276</v>
      </c>
      <c r="F1439" s="927"/>
      <c r="G1439" s="928"/>
      <c r="H1439" s="901"/>
      <c r="I1439" s="902"/>
      <c r="J1439" s="902"/>
      <c r="K1439" s="912" t="s">
        <v>274</v>
      </c>
      <c r="L1439" s="902"/>
      <c r="M1439" s="902"/>
      <c r="N1439" s="902"/>
      <c r="O1439" s="892">
        <f t="shared" si="88"/>
        <v>0</v>
      </c>
      <c r="P1439" s="903">
        <f t="shared" si="89"/>
        <v>1</v>
      </c>
      <c r="Q1439" s="893">
        <f t="shared" si="90"/>
        <v>2</v>
      </c>
      <c r="R1439" s="894">
        <f t="shared" si="91"/>
        <v>0</v>
      </c>
    </row>
    <row r="1440" spans="1:18">
      <c r="A1440" s="905"/>
      <c r="B1440" s="906"/>
      <c r="C1440" s="907">
        <v>740</v>
      </c>
      <c r="D1440" s="907" t="s">
        <v>12</v>
      </c>
      <c r="E1440" s="908" t="s">
        <v>4008</v>
      </c>
      <c r="F1440" s="909" t="s">
        <v>2674</v>
      </c>
      <c r="G1440" s="910"/>
      <c r="H1440" s="911">
        <v>4.47</v>
      </c>
      <c r="I1440" s="912"/>
      <c r="J1440" s="912"/>
      <c r="K1440" s="912">
        <f>VLOOKUP(E1440,ĐMNC!$A$7:$F$67,4,0)</f>
        <v>252714</v>
      </c>
      <c r="L1440" s="912">
        <f>H1440*K1440</f>
        <v>1129631.5799999998</v>
      </c>
      <c r="M1440" s="912"/>
      <c r="N1440" s="912"/>
      <c r="O1440" s="892">
        <f t="shared" si="88"/>
        <v>0</v>
      </c>
      <c r="P1440" s="903">
        <f t="shared" si="89"/>
        <v>1</v>
      </c>
      <c r="Q1440" s="893">
        <f t="shared" si="90"/>
        <v>1</v>
      </c>
      <c r="R1440" s="894">
        <f t="shared" si="91"/>
        <v>0</v>
      </c>
    </row>
    <row r="1441" spans="1:18" s="847" customFormat="1" ht="31.5">
      <c r="A1441" s="905"/>
      <c r="B1441" s="914" t="s">
        <v>4408</v>
      </c>
      <c r="C1441" s="915"/>
      <c r="D1441" s="915"/>
      <c r="E1441" s="916" t="s">
        <v>4409</v>
      </c>
      <c r="F1441" s="917" t="s">
        <v>249</v>
      </c>
      <c r="G1441" s="918"/>
      <c r="H1441" s="919"/>
      <c r="I1441" s="920"/>
      <c r="J1441" s="891">
        <f>SUM(J1442:J1446)</f>
        <v>14850</v>
      </c>
      <c r="K1441" s="891"/>
      <c r="L1441" s="891">
        <f>SUM(L1442:L1446)</f>
        <v>1296422.82</v>
      </c>
      <c r="M1441" s="891"/>
      <c r="N1441" s="891">
        <f>SUM(N1442:N1446)</f>
        <v>0</v>
      </c>
      <c r="O1441" s="892">
        <f t="shared" si="88"/>
        <v>1</v>
      </c>
      <c r="P1441" s="903">
        <f t="shared" si="89"/>
        <v>0</v>
      </c>
      <c r="Q1441" s="893">
        <f t="shared" si="90"/>
        <v>0</v>
      </c>
      <c r="R1441" s="894">
        <f t="shared" si="91"/>
        <v>5</v>
      </c>
    </row>
    <row r="1442" spans="1:18" s="904" customFormat="1">
      <c r="A1442" s="895"/>
      <c r="B1442" s="896"/>
      <c r="C1442" s="897"/>
      <c r="D1442" s="897"/>
      <c r="E1442" s="924" t="s">
        <v>108</v>
      </c>
      <c r="F1442" s="899"/>
      <c r="G1442" s="900"/>
      <c r="H1442" s="901"/>
      <c r="I1442" s="902"/>
      <c r="J1442" s="902"/>
      <c r="K1442" s="912" t="s">
        <v>274</v>
      </c>
      <c r="L1442" s="902"/>
      <c r="M1442" s="902"/>
      <c r="N1442" s="902"/>
      <c r="O1442" s="892">
        <f t="shared" si="88"/>
        <v>0</v>
      </c>
      <c r="P1442" s="903">
        <f t="shared" si="89"/>
        <v>1</v>
      </c>
      <c r="Q1442" s="893">
        <f t="shared" si="90"/>
        <v>5</v>
      </c>
      <c r="R1442" s="894">
        <f t="shared" si="91"/>
        <v>0</v>
      </c>
    </row>
    <row r="1443" spans="1:18">
      <c r="A1443" s="905"/>
      <c r="B1443" s="906"/>
      <c r="C1443" s="907">
        <v>66</v>
      </c>
      <c r="D1443" s="907" t="s">
        <v>279</v>
      </c>
      <c r="E1443" s="925" t="s">
        <v>2682</v>
      </c>
      <c r="F1443" s="926" t="s">
        <v>45</v>
      </c>
      <c r="G1443" s="910"/>
      <c r="H1443" s="911">
        <v>7.1999999999999995E-2</v>
      </c>
      <c r="I1443" s="912">
        <f>VLOOKUP(E1443,[3]VLP!$B$7:$K$300,10,0)</f>
        <v>5000</v>
      </c>
      <c r="J1443" s="912">
        <f>I1443*H1443</f>
        <v>360</v>
      </c>
      <c r="K1443" s="912" t="s">
        <v>274</v>
      </c>
      <c r="L1443" s="912"/>
      <c r="M1443" s="912"/>
      <c r="N1443" s="912"/>
      <c r="O1443" s="892">
        <f t="shared" si="88"/>
        <v>0</v>
      </c>
      <c r="P1443" s="903">
        <f t="shared" si="89"/>
        <v>1</v>
      </c>
      <c r="Q1443" s="893">
        <f t="shared" si="90"/>
        <v>4</v>
      </c>
      <c r="R1443" s="894">
        <f t="shared" si="91"/>
        <v>0</v>
      </c>
    </row>
    <row r="1444" spans="1:18">
      <c r="A1444" s="905"/>
      <c r="B1444" s="906"/>
      <c r="C1444" s="907">
        <v>44</v>
      </c>
      <c r="D1444" s="907" t="s">
        <v>279</v>
      </c>
      <c r="E1444" s="925" t="s">
        <v>2681</v>
      </c>
      <c r="F1444" s="926" t="s">
        <v>45</v>
      </c>
      <c r="G1444" s="910"/>
      <c r="H1444" s="911">
        <v>0.63</v>
      </c>
      <c r="I1444" s="912">
        <f>VLOOKUP(E1444,[3]VLP!$B$7:$K$300,10,0)</f>
        <v>23000</v>
      </c>
      <c r="J1444" s="912">
        <f>I1444*H1444</f>
        <v>14490</v>
      </c>
      <c r="K1444" s="912" t="s">
        <v>274</v>
      </c>
      <c r="L1444" s="912"/>
      <c r="M1444" s="912"/>
      <c r="N1444" s="912"/>
      <c r="O1444" s="892">
        <f t="shared" si="88"/>
        <v>0</v>
      </c>
      <c r="P1444" s="903">
        <f t="shared" si="89"/>
        <v>1</v>
      </c>
      <c r="Q1444" s="893">
        <f t="shared" si="90"/>
        <v>3</v>
      </c>
      <c r="R1444" s="894">
        <f t="shared" si="91"/>
        <v>0</v>
      </c>
    </row>
    <row r="1445" spans="1:18" s="904" customFormat="1">
      <c r="A1445" s="895"/>
      <c r="B1445" s="896"/>
      <c r="C1445" s="897"/>
      <c r="D1445" s="897"/>
      <c r="E1445" s="924" t="s">
        <v>276</v>
      </c>
      <c r="F1445" s="927"/>
      <c r="G1445" s="928"/>
      <c r="H1445" s="901"/>
      <c r="I1445" s="902"/>
      <c r="J1445" s="902"/>
      <c r="K1445" s="912" t="s">
        <v>274</v>
      </c>
      <c r="L1445" s="902"/>
      <c r="M1445" s="902"/>
      <c r="N1445" s="902"/>
      <c r="O1445" s="892">
        <f t="shared" si="88"/>
        <v>0</v>
      </c>
      <c r="P1445" s="903">
        <f t="shared" si="89"/>
        <v>1</v>
      </c>
      <c r="Q1445" s="893">
        <f t="shared" si="90"/>
        <v>2</v>
      </c>
      <c r="R1445" s="894">
        <f t="shared" si="91"/>
        <v>0</v>
      </c>
    </row>
    <row r="1446" spans="1:18">
      <c r="A1446" s="905"/>
      <c r="B1446" s="906"/>
      <c r="C1446" s="907">
        <v>740</v>
      </c>
      <c r="D1446" s="907" t="s">
        <v>12</v>
      </c>
      <c r="E1446" s="908" t="s">
        <v>4008</v>
      </c>
      <c r="F1446" s="909" t="s">
        <v>2674</v>
      </c>
      <c r="G1446" s="910"/>
      <c r="H1446" s="911">
        <v>5.13</v>
      </c>
      <c r="I1446" s="912"/>
      <c r="J1446" s="912"/>
      <c r="K1446" s="912">
        <f>VLOOKUP(E1446,ĐMNC!$A$7:$F$67,4,0)</f>
        <v>252714</v>
      </c>
      <c r="L1446" s="912">
        <f>H1446*K1446</f>
        <v>1296422.82</v>
      </c>
      <c r="M1446" s="912"/>
      <c r="N1446" s="912"/>
      <c r="O1446" s="892">
        <f t="shared" si="88"/>
        <v>0</v>
      </c>
      <c r="P1446" s="903">
        <f t="shared" si="89"/>
        <v>1</v>
      </c>
      <c r="Q1446" s="893">
        <f t="shared" si="90"/>
        <v>1</v>
      </c>
      <c r="R1446" s="894">
        <f t="shared" si="91"/>
        <v>0</v>
      </c>
    </row>
    <row r="1447" spans="1:18" s="847" customFormat="1" ht="31.5">
      <c r="A1447" s="905"/>
      <c r="B1447" s="914" t="s">
        <v>4410</v>
      </c>
      <c r="C1447" s="915"/>
      <c r="D1447" s="915"/>
      <c r="E1447" s="916" t="s">
        <v>4411</v>
      </c>
      <c r="F1447" s="917" t="s">
        <v>249</v>
      </c>
      <c r="G1447" s="918"/>
      <c r="H1447" s="919"/>
      <c r="I1447" s="920"/>
      <c r="J1447" s="891">
        <f>SUM(J1448:J1452)</f>
        <v>14850</v>
      </c>
      <c r="K1447" s="891"/>
      <c r="L1447" s="891">
        <f>SUM(L1448:L1452)</f>
        <v>1440469.8</v>
      </c>
      <c r="M1447" s="891"/>
      <c r="N1447" s="891">
        <f>SUM(N1448:N1452)</f>
        <v>0</v>
      </c>
      <c r="O1447" s="892">
        <f t="shared" si="88"/>
        <v>1</v>
      </c>
      <c r="P1447" s="903">
        <f t="shared" si="89"/>
        <v>0</v>
      </c>
      <c r="Q1447" s="893">
        <f t="shared" si="90"/>
        <v>0</v>
      </c>
      <c r="R1447" s="894">
        <f t="shared" si="91"/>
        <v>5</v>
      </c>
    </row>
    <row r="1448" spans="1:18" s="904" customFormat="1">
      <c r="A1448" s="895"/>
      <c r="B1448" s="896"/>
      <c r="C1448" s="897"/>
      <c r="D1448" s="897"/>
      <c r="E1448" s="924" t="s">
        <v>108</v>
      </c>
      <c r="F1448" s="899"/>
      <c r="G1448" s="900"/>
      <c r="H1448" s="901"/>
      <c r="I1448" s="902"/>
      <c r="J1448" s="902"/>
      <c r="K1448" s="912" t="s">
        <v>274</v>
      </c>
      <c r="L1448" s="902"/>
      <c r="M1448" s="902"/>
      <c r="N1448" s="902"/>
      <c r="O1448" s="892">
        <f t="shared" si="88"/>
        <v>0</v>
      </c>
      <c r="P1448" s="903">
        <f t="shared" si="89"/>
        <v>1</v>
      </c>
      <c r="Q1448" s="893">
        <f t="shared" si="90"/>
        <v>5</v>
      </c>
      <c r="R1448" s="894">
        <f t="shared" si="91"/>
        <v>0</v>
      </c>
    </row>
    <row r="1449" spans="1:18">
      <c r="A1449" s="905"/>
      <c r="B1449" s="906"/>
      <c r="C1449" s="907">
        <v>66</v>
      </c>
      <c r="D1449" s="907" t="s">
        <v>279</v>
      </c>
      <c r="E1449" s="925" t="s">
        <v>2682</v>
      </c>
      <c r="F1449" s="926" t="s">
        <v>45</v>
      </c>
      <c r="G1449" s="910"/>
      <c r="H1449" s="911">
        <v>7.1999999999999995E-2</v>
      </c>
      <c r="I1449" s="912">
        <f>VLOOKUP(E1449,[3]VLP!$B$7:$K$300,10,0)</f>
        <v>5000</v>
      </c>
      <c r="J1449" s="912">
        <f>I1449*H1449</f>
        <v>360</v>
      </c>
      <c r="K1449" s="912" t="s">
        <v>274</v>
      </c>
      <c r="L1449" s="912"/>
      <c r="M1449" s="912"/>
      <c r="N1449" s="912"/>
      <c r="O1449" s="892">
        <f t="shared" si="88"/>
        <v>0</v>
      </c>
      <c r="P1449" s="903">
        <f t="shared" si="89"/>
        <v>1</v>
      </c>
      <c r="Q1449" s="893">
        <f t="shared" si="90"/>
        <v>4</v>
      </c>
      <c r="R1449" s="894">
        <f t="shared" si="91"/>
        <v>0</v>
      </c>
    </row>
    <row r="1450" spans="1:18">
      <c r="A1450" s="905"/>
      <c r="B1450" s="906"/>
      <c r="C1450" s="907">
        <v>44</v>
      </c>
      <c r="D1450" s="907" t="s">
        <v>279</v>
      </c>
      <c r="E1450" s="925" t="s">
        <v>2681</v>
      </c>
      <c r="F1450" s="926" t="s">
        <v>45</v>
      </c>
      <c r="G1450" s="910"/>
      <c r="H1450" s="911">
        <v>0.63</v>
      </c>
      <c r="I1450" s="912">
        <f>VLOOKUP(E1450,[3]VLP!$B$7:$K$300,10,0)</f>
        <v>23000</v>
      </c>
      <c r="J1450" s="912">
        <f>I1450*H1450</f>
        <v>14490</v>
      </c>
      <c r="K1450" s="912" t="s">
        <v>274</v>
      </c>
      <c r="L1450" s="912"/>
      <c r="M1450" s="912"/>
      <c r="N1450" s="912"/>
      <c r="O1450" s="892">
        <f t="shared" si="88"/>
        <v>0</v>
      </c>
      <c r="P1450" s="903">
        <f t="shared" si="89"/>
        <v>1</v>
      </c>
      <c r="Q1450" s="893">
        <f t="shared" si="90"/>
        <v>3</v>
      </c>
      <c r="R1450" s="894">
        <f t="shared" si="91"/>
        <v>0</v>
      </c>
    </row>
    <row r="1451" spans="1:18" s="904" customFormat="1">
      <c r="A1451" s="895"/>
      <c r="B1451" s="896"/>
      <c r="C1451" s="897"/>
      <c r="D1451" s="897"/>
      <c r="E1451" s="924" t="s">
        <v>276</v>
      </c>
      <c r="F1451" s="927"/>
      <c r="G1451" s="928"/>
      <c r="H1451" s="901"/>
      <c r="I1451" s="902"/>
      <c r="J1451" s="902"/>
      <c r="K1451" s="912" t="s">
        <v>274</v>
      </c>
      <c r="L1451" s="902"/>
      <c r="M1451" s="902"/>
      <c r="N1451" s="902"/>
      <c r="O1451" s="892">
        <f t="shared" si="88"/>
        <v>0</v>
      </c>
      <c r="P1451" s="903">
        <f t="shared" si="89"/>
        <v>1</v>
      </c>
      <c r="Q1451" s="893">
        <f t="shared" si="90"/>
        <v>2</v>
      </c>
      <c r="R1451" s="894">
        <f t="shared" si="91"/>
        <v>0</v>
      </c>
    </row>
    <row r="1452" spans="1:18">
      <c r="A1452" s="905"/>
      <c r="B1452" s="906"/>
      <c r="C1452" s="907">
        <v>740</v>
      </c>
      <c r="D1452" s="907" t="s">
        <v>12</v>
      </c>
      <c r="E1452" s="908" t="s">
        <v>4008</v>
      </c>
      <c r="F1452" s="909" t="s">
        <v>2674</v>
      </c>
      <c r="G1452" s="910"/>
      <c r="H1452" s="911">
        <v>5.7</v>
      </c>
      <c r="I1452" s="912"/>
      <c r="J1452" s="912"/>
      <c r="K1452" s="912">
        <f>VLOOKUP(E1452,ĐMNC!$A$7:$F$67,4,0)</f>
        <v>252714</v>
      </c>
      <c r="L1452" s="912">
        <f>H1452*K1452</f>
        <v>1440469.8</v>
      </c>
      <c r="M1452" s="912"/>
      <c r="N1452" s="912"/>
      <c r="O1452" s="892">
        <f t="shared" si="88"/>
        <v>0</v>
      </c>
      <c r="P1452" s="903">
        <f t="shared" si="89"/>
        <v>1</v>
      </c>
      <c r="Q1452" s="893">
        <f t="shared" si="90"/>
        <v>1</v>
      </c>
      <c r="R1452" s="894">
        <f t="shared" si="91"/>
        <v>0</v>
      </c>
    </row>
    <row r="1453" spans="1:18" s="847" customFormat="1" ht="31.5">
      <c r="A1453" s="905"/>
      <c r="B1453" s="914" t="s">
        <v>4412</v>
      </c>
      <c r="C1453" s="915"/>
      <c r="D1453" s="915"/>
      <c r="E1453" s="916" t="s">
        <v>4413</v>
      </c>
      <c r="F1453" s="917" t="s">
        <v>249</v>
      </c>
      <c r="G1453" s="918"/>
      <c r="H1453" s="919"/>
      <c r="I1453" s="920"/>
      <c r="J1453" s="891">
        <f>SUM(J1454:J1458)</f>
        <v>14850</v>
      </c>
      <c r="K1453" s="891"/>
      <c r="L1453" s="891">
        <f>SUM(L1454:L1458)</f>
        <v>1587043.9200000002</v>
      </c>
      <c r="M1453" s="891"/>
      <c r="N1453" s="891">
        <f>SUM(N1454:N1458)</f>
        <v>0</v>
      </c>
      <c r="O1453" s="892">
        <f t="shared" si="88"/>
        <v>1</v>
      </c>
      <c r="P1453" s="903">
        <f t="shared" si="89"/>
        <v>0</v>
      </c>
      <c r="Q1453" s="893">
        <f t="shared" si="90"/>
        <v>0</v>
      </c>
      <c r="R1453" s="894">
        <f t="shared" si="91"/>
        <v>5</v>
      </c>
    </row>
    <row r="1454" spans="1:18" s="904" customFormat="1">
      <c r="A1454" s="895"/>
      <c r="B1454" s="896"/>
      <c r="C1454" s="897"/>
      <c r="D1454" s="897"/>
      <c r="E1454" s="924" t="s">
        <v>108</v>
      </c>
      <c r="F1454" s="899"/>
      <c r="G1454" s="900"/>
      <c r="H1454" s="901"/>
      <c r="I1454" s="902"/>
      <c r="J1454" s="902"/>
      <c r="K1454" s="912" t="s">
        <v>274</v>
      </c>
      <c r="L1454" s="902"/>
      <c r="M1454" s="902"/>
      <c r="N1454" s="902"/>
      <c r="O1454" s="892">
        <f t="shared" si="88"/>
        <v>0</v>
      </c>
      <c r="P1454" s="903">
        <f t="shared" si="89"/>
        <v>1</v>
      </c>
      <c r="Q1454" s="893">
        <f t="shared" si="90"/>
        <v>5</v>
      </c>
      <c r="R1454" s="894">
        <f t="shared" si="91"/>
        <v>0</v>
      </c>
    </row>
    <row r="1455" spans="1:18">
      <c r="A1455" s="905"/>
      <c r="B1455" s="906"/>
      <c r="C1455" s="907">
        <v>66</v>
      </c>
      <c r="D1455" s="907" t="s">
        <v>279</v>
      </c>
      <c r="E1455" s="925" t="s">
        <v>2682</v>
      </c>
      <c r="F1455" s="926" t="s">
        <v>45</v>
      </c>
      <c r="G1455" s="910"/>
      <c r="H1455" s="911">
        <v>7.1999999999999995E-2</v>
      </c>
      <c r="I1455" s="912">
        <f>VLOOKUP(E1455,[3]VLP!$B$7:$K$300,10,0)</f>
        <v>5000</v>
      </c>
      <c r="J1455" s="912">
        <f>I1455*H1455</f>
        <v>360</v>
      </c>
      <c r="K1455" s="912" t="s">
        <v>274</v>
      </c>
      <c r="L1455" s="912"/>
      <c r="M1455" s="912"/>
      <c r="N1455" s="912"/>
      <c r="O1455" s="892">
        <f t="shared" si="88"/>
        <v>0</v>
      </c>
      <c r="P1455" s="903">
        <f t="shared" si="89"/>
        <v>1</v>
      </c>
      <c r="Q1455" s="893">
        <f t="shared" si="90"/>
        <v>4</v>
      </c>
      <c r="R1455" s="894">
        <f t="shared" si="91"/>
        <v>0</v>
      </c>
    </row>
    <row r="1456" spans="1:18">
      <c r="A1456" s="905"/>
      <c r="B1456" s="906"/>
      <c r="C1456" s="907">
        <v>44</v>
      </c>
      <c r="D1456" s="907" t="s">
        <v>279</v>
      </c>
      <c r="E1456" s="925" t="s">
        <v>2681</v>
      </c>
      <c r="F1456" s="926" t="s">
        <v>45</v>
      </c>
      <c r="G1456" s="910"/>
      <c r="H1456" s="911">
        <v>0.63</v>
      </c>
      <c r="I1456" s="912">
        <f>VLOOKUP(E1456,[3]VLP!$B$7:$K$300,10,0)</f>
        <v>23000</v>
      </c>
      <c r="J1456" s="912">
        <f>I1456*H1456</f>
        <v>14490</v>
      </c>
      <c r="K1456" s="912" t="s">
        <v>274</v>
      </c>
      <c r="L1456" s="912"/>
      <c r="M1456" s="912"/>
      <c r="N1456" s="912"/>
      <c r="O1456" s="892">
        <f t="shared" si="88"/>
        <v>0</v>
      </c>
      <c r="P1456" s="903">
        <f t="shared" si="89"/>
        <v>1</v>
      </c>
      <c r="Q1456" s="893">
        <f t="shared" si="90"/>
        <v>3</v>
      </c>
      <c r="R1456" s="894">
        <f t="shared" si="91"/>
        <v>0</v>
      </c>
    </row>
    <row r="1457" spans="1:18" s="904" customFormat="1">
      <c r="A1457" s="895"/>
      <c r="B1457" s="896"/>
      <c r="C1457" s="897"/>
      <c r="D1457" s="897"/>
      <c r="E1457" s="924" t="s">
        <v>276</v>
      </c>
      <c r="F1457" s="927"/>
      <c r="G1457" s="928"/>
      <c r="H1457" s="901"/>
      <c r="I1457" s="902"/>
      <c r="J1457" s="902"/>
      <c r="K1457" s="912" t="s">
        <v>274</v>
      </c>
      <c r="L1457" s="902"/>
      <c r="M1457" s="902"/>
      <c r="N1457" s="902"/>
      <c r="O1457" s="892">
        <f t="shared" si="88"/>
        <v>0</v>
      </c>
      <c r="P1457" s="903">
        <f t="shared" si="89"/>
        <v>1</v>
      </c>
      <c r="Q1457" s="893">
        <f t="shared" si="90"/>
        <v>2</v>
      </c>
      <c r="R1457" s="894">
        <f t="shared" si="91"/>
        <v>0</v>
      </c>
    </row>
    <row r="1458" spans="1:18">
      <c r="A1458" s="905"/>
      <c r="B1458" s="906"/>
      <c r="C1458" s="907">
        <v>740</v>
      </c>
      <c r="D1458" s="907" t="s">
        <v>12</v>
      </c>
      <c r="E1458" s="908" t="s">
        <v>4008</v>
      </c>
      <c r="F1458" s="909" t="s">
        <v>2674</v>
      </c>
      <c r="G1458" s="910"/>
      <c r="H1458" s="911">
        <v>6.28</v>
      </c>
      <c r="I1458" s="912"/>
      <c r="J1458" s="912"/>
      <c r="K1458" s="912">
        <f>VLOOKUP(E1458,ĐMNC!$A$7:$F$67,4,0)</f>
        <v>252714</v>
      </c>
      <c r="L1458" s="912">
        <f>H1458*K1458</f>
        <v>1587043.9200000002</v>
      </c>
      <c r="M1458" s="912"/>
      <c r="N1458" s="912"/>
      <c r="O1458" s="892">
        <f t="shared" si="88"/>
        <v>0</v>
      </c>
      <c r="P1458" s="903">
        <f t="shared" si="89"/>
        <v>1</v>
      </c>
      <c r="Q1458" s="893">
        <f t="shared" si="90"/>
        <v>1</v>
      </c>
      <c r="R1458" s="894">
        <f t="shared" si="91"/>
        <v>0</v>
      </c>
    </row>
    <row r="1459" spans="1:18" s="847" customFormat="1" ht="31.5">
      <c r="A1459" s="905"/>
      <c r="B1459" s="914" t="s">
        <v>4414</v>
      </c>
      <c r="C1459" s="915"/>
      <c r="D1459" s="915"/>
      <c r="E1459" s="916" t="s">
        <v>4415</v>
      </c>
      <c r="F1459" s="917" t="s">
        <v>249</v>
      </c>
      <c r="G1459" s="918"/>
      <c r="H1459" s="919"/>
      <c r="I1459" s="920"/>
      <c r="J1459" s="891">
        <f>SUM(J1460:J1464)</f>
        <v>14850</v>
      </c>
      <c r="K1459" s="891"/>
      <c r="L1459" s="891">
        <f>SUM(L1460:L1464)</f>
        <v>1827122.2200000002</v>
      </c>
      <c r="M1459" s="891"/>
      <c r="N1459" s="891">
        <f>SUM(N1460:N1464)</f>
        <v>0</v>
      </c>
      <c r="O1459" s="892">
        <f t="shared" si="88"/>
        <v>1</v>
      </c>
      <c r="P1459" s="903">
        <f t="shared" si="89"/>
        <v>0</v>
      </c>
      <c r="Q1459" s="893">
        <f t="shared" si="90"/>
        <v>0</v>
      </c>
      <c r="R1459" s="894">
        <f t="shared" si="91"/>
        <v>5</v>
      </c>
    </row>
    <row r="1460" spans="1:18" s="904" customFormat="1">
      <c r="A1460" s="895"/>
      <c r="B1460" s="896"/>
      <c r="C1460" s="897"/>
      <c r="D1460" s="897"/>
      <c r="E1460" s="924" t="s">
        <v>108</v>
      </c>
      <c r="F1460" s="899"/>
      <c r="G1460" s="900"/>
      <c r="H1460" s="901"/>
      <c r="I1460" s="902"/>
      <c r="J1460" s="902"/>
      <c r="K1460" s="912" t="s">
        <v>274</v>
      </c>
      <c r="L1460" s="902"/>
      <c r="M1460" s="902"/>
      <c r="N1460" s="902"/>
      <c r="O1460" s="892">
        <f t="shared" si="88"/>
        <v>0</v>
      </c>
      <c r="P1460" s="903">
        <f t="shared" si="89"/>
        <v>1</v>
      </c>
      <c r="Q1460" s="893">
        <f t="shared" si="90"/>
        <v>5</v>
      </c>
      <c r="R1460" s="894">
        <f t="shared" si="91"/>
        <v>0</v>
      </c>
    </row>
    <row r="1461" spans="1:18">
      <c r="A1461" s="905"/>
      <c r="B1461" s="906"/>
      <c r="C1461" s="907">
        <v>66</v>
      </c>
      <c r="D1461" s="907" t="s">
        <v>279</v>
      </c>
      <c r="E1461" s="925" t="s">
        <v>2682</v>
      </c>
      <c r="F1461" s="926" t="s">
        <v>45</v>
      </c>
      <c r="G1461" s="910"/>
      <c r="H1461" s="911">
        <v>7.1999999999999995E-2</v>
      </c>
      <c r="I1461" s="912">
        <f>VLOOKUP(E1461,[3]VLP!$B$7:$K$300,10,0)</f>
        <v>5000</v>
      </c>
      <c r="J1461" s="912">
        <f>I1461*H1461</f>
        <v>360</v>
      </c>
      <c r="K1461" s="912" t="s">
        <v>274</v>
      </c>
      <c r="L1461" s="912"/>
      <c r="M1461" s="912"/>
      <c r="N1461" s="912"/>
      <c r="O1461" s="892">
        <f t="shared" si="88"/>
        <v>0</v>
      </c>
      <c r="P1461" s="903">
        <f t="shared" si="89"/>
        <v>1</v>
      </c>
      <c r="Q1461" s="893">
        <f t="shared" si="90"/>
        <v>4</v>
      </c>
      <c r="R1461" s="894">
        <f t="shared" si="91"/>
        <v>0</v>
      </c>
    </row>
    <row r="1462" spans="1:18">
      <c r="A1462" s="905"/>
      <c r="B1462" s="906"/>
      <c r="C1462" s="907">
        <v>44</v>
      </c>
      <c r="D1462" s="907" t="s">
        <v>279</v>
      </c>
      <c r="E1462" s="925" t="s">
        <v>2681</v>
      </c>
      <c r="F1462" s="926" t="s">
        <v>45</v>
      </c>
      <c r="G1462" s="910"/>
      <c r="H1462" s="911">
        <v>0.63</v>
      </c>
      <c r="I1462" s="912">
        <f>VLOOKUP(E1462,[3]VLP!$B$7:$K$300,10,0)</f>
        <v>23000</v>
      </c>
      <c r="J1462" s="912">
        <f>I1462*H1462</f>
        <v>14490</v>
      </c>
      <c r="K1462" s="912" t="s">
        <v>274</v>
      </c>
      <c r="L1462" s="912"/>
      <c r="M1462" s="912"/>
      <c r="N1462" s="912"/>
      <c r="O1462" s="892">
        <f t="shared" si="88"/>
        <v>0</v>
      </c>
      <c r="P1462" s="903">
        <f t="shared" si="89"/>
        <v>1</v>
      </c>
      <c r="Q1462" s="893">
        <f t="shared" si="90"/>
        <v>3</v>
      </c>
      <c r="R1462" s="894">
        <f t="shared" si="91"/>
        <v>0</v>
      </c>
    </row>
    <row r="1463" spans="1:18" s="904" customFormat="1">
      <c r="A1463" s="895"/>
      <c r="B1463" s="896"/>
      <c r="C1463" s="897"/>
      <c r="D1463" s="897"/>
      <c r="E1463" s="924" t="s">
        <v>276</v>
      </c>
      <c r="F1463" s="927"/>
      <c r="G1463" s="928"/>
      <c r="H1463" s="901"/>
      <c r="I1463" s="902"/>
      <c r="J1463" s="902"/>
      <c r="K1463" s="912" t="s">
        <v>274</v>
      </c>
      <c r="L1463" s="902"/>
      <c r="M1463" s="902"/>
      <c r="N1463" s="902"/>
      <c r="O1463" s="892">
        <f t="shared" si="88"/>
        <v>0</v>
      </c>
      <c r="P1463" s="903">
        <f t="shared" si="89"/>
        <v>1</v>
      </c>
      <c r="Q1463" s="893">
        <f t="shared" si="90"/>
        <v>2</v>
      </c>
      <c r="R1463" s="894">
        <f t="shared" si="91"/>
        <v>0</v>
      </c>
    </row>
    <row r="1464" spans="1:18">
      <c r="A1464" s="905"/>
      <c r="B1464" s="906"/>
      <c r="C1464" s="907">
        <v>740</v>
      </c>
      <c r="D1464" s="907" t="s">
        <v>12</v>
      </c>
      <c r="E1464" s="908" t="s">
        <v>4008</v>
      </c>
      <c r="F1464" s="909" t="s">
        <v>2674</v>
      </c>
      <c r="G1464" s="910"/>
      <c r="H1464" s="911">
        <v>7.23</v>
      </c>
      <c r="I1464" s="912"/>
      <c r="J1464" s="912"/>
      <c r="K1464" s="912">
        <f>VLOOKUP(E1464,ĐMNC!$A$7:$F$67,4,0)</f>
        <v>252714</v>
      </c>
      <c r="L1464" s="912">
        <f>H1464*K1464</f>
        <v>1827122.2200000002</v>
      </c>
      <c r="M1464" s="912"/>
      <c r="N1464" s="912"/>
      <c r="O1464" s="892">
        <f t="shared" si="88"/>
        <v>0</v>
      </c>
      <c r="P1464" s="903">
        <f t="shared" si="89"/>
        <v>1</v>
      </c>
      <c r="Q1464" s="893">
        <f t="shared" si="90"/>
        <v>1</v>
      </c>
      <c r="R1464" s="894">
        <f t="shared" si="91"/>
        <v>0</v>
      </c>
    </row>
    <row r="1465" spans="1:18" s="847" customFormat="1" ht="31.5">
      <c r="A1465" s="905"/>
      <c r="B1465" s="914" t="s">
        <v>4416</v>
      </c>
      <c r="C1465" s="915"/>
      <c r="D1465" s="915"/>
      <c r="E1465" s="916" t="s">
        <v>4417</v>
      </c>
      <c r="F1465" s="917" t="s">
        <v>249</v>
      </c>
      <c r="G1465" s="918"/>
      <c r="H1465" s="919"/>
      <c r="I1465" s="920"/>
      <c r="J1465" s="891">
        <f>SUM(J1466:J1470)</f>
        <v>14850</v>
      </c>
      <c r="K1465" s="891"/>
      <c r="L1465" s="891">
        <f>SUM(L1466:L1470)</f>
        <v>2102580.48</v>
      </c>
      <c r="M1465" s="891"/>
      <c r="N1465" s="891">
        <f>SUM(N1466:N1470)</f>
        <v>0</v>
      </c>
      <c r="O1465" s="892">
        <f t="shared" si="88"/>
        <v>1</v>
      </c>
      <c r="P1465" s="903">
        <f t="shared" si="89"/>
        <v>0</v>
      </c>
      <c r="Q1465" s="893">
        <f t="shared" si="90"/>
        <v>0</v>
      </c>
      <c r="R1465" s="894">
        <f t="shared" si="91"/>
        <v>5</v>
      </c>
    </row>
    <row r="1466" spans="1:18" s="904" customFormat="1">
      <c r="A1466" s="895"/>
      <c r="B1466" s="896"/>
      <c r="C1466" s="897"/>
      <c r="D1466" s="897"/>
      <c r="E1466" s="924" t="s">
        <v>108</v>
      </c>
      <c r="F1466" s="899"/>
      <c r="G1466" s="900"/>
      <c r="H1466" s="901"/>
      <c r="I1466" s="902"/>
      <c r="J1466" s="902"/>
      <c r="K1466" s="912" t="s">
        <v>274</v>
      </c>
      <c r="L1466" s="902"/>
      <c r="M1466" s="902"/>
      <c r="N1466" s="902"/>
      <c r="O1466" s="892">
        <f t="shared" si="88"/>
        <v>0</v>
      </c>
      <c r="P1466" s="903">
        <f t="shared" si="89"/>
        <v>1</v>
      </c>
      <c r="Q1466" s="893">
        <f t="shared" si="90"/>
        <v>5</v>
      </c>
      <c r="R1466" s="894">
        <f t="shared" si="91"/>
        <v>0</v>
      </c>
    </row>
    <row r="1467" spans="1:18">
      <c r="A1467" s="905"/>
      <c r="B1467" s="906"/>
      <c r="C1467" s="907">
        <v>66</v>
      </c>
      <c r="D1467" s="907" t="s">
        <v>279</v>
      </c>
      <c r="E1467" s="925" t="s">
        <v>2682</v>
      </c>
      <c r="F1467" s="926" t="s">
        <v>45</v>
      </c>
      <c r="G1467" s="910"/>
      <c r="H1467" s="911">
        <v>7.1999999999999995E-2</v>
      </c>
      <c r="I1467" s="912">
        <f>VLOOKUP(E1467,[3]VLP!$B$7:$K$300,10,0)</f>
        <v>5000</v>
      </c>
      <c r="J1467" s="912">
        <f>I1467*H1467</f>
        <v>360</v>
      </c>
      <c r="K1467" s="912" t="s">
        <v>274</v>
      </c>
      <c r="L1467" s="912"/>
      <c r="M1467" s="912"/>
      <c r="N1467" s="912"/>
      <c r="O1467" s="892">
        <f t="shared" si="88"/>
        <v>0</v>
      </c>
      <c r="P1467" s="903">
        <f t="shared" si="89"/>
        <v>1</v>
      </c>
      <c r="Q1467" s="893">
        <f t="shared" si="90"/>
        <v>4</v>
      </c>
      <c r="R1467" s="894">
        <f t="shared" si="91"/>
        <v>0</v>
      </c>
    </row>
    <row r="1468" spans="1:18">
      <c r="A1468" s="905"/>
      <c r="B1468" s="906"/>
      <c r="C1468" s="907">
        <v>44</v>
      </c>
      <c r="D1468" s="907" t="s">
        <v>279</v>
      </c>
      <c r="E1468" s="925" t="s">
        <v>2681</v>
      </c>
      <c r="F1468" s="926" t="s">
        <v>45</v>
      </c>
      <c r="G1468" s="910"/>
      <c r="H1468" s="911">
        <v>0.63</v>
      </c>
      <c r="I1468" s="912">
        <f>VLOOKUP(E1468,[3]VLP!$B$7:$K$300,10,0)</f>
        <v>23000</v>
      </c>
      <c r="J1468" s="912">
        <f>I1468*H1468</f>
        <v>14490</v>
      </c>
      <c r="K1468" s="912" t="s">
        <v>274</v>
      </c>
      <c r="L1468" s="912"/>
      <c r="M1468" s="912"/>
      <c r="N1468" s="912"/>
      <c r="O1468" s="892">
        <f t="shared" si="88"/>
        <v>0</v>
      </c>
      <c r="P1468" s="903">
        <f t="shared" si="89"/>
        <v>1</v>
      </c>
      <c r="Q1468" s="893">
        <f t="shared" si="90"/>
        <v>3</v>
      </c>
      <c r="R1468" s="894">
        <f t="shared" si="91"/>
        <v>0</v>
      </c>
    </row>
    <row r="1469" spans="1:18" s="904" customFormat="1">
      <c r="A1469" s="895"/>
      <c r="B1469" s="896"/>
      <c r="C1469" s="897"/>
      <c r="D1469" s="897"/>
      <c r="E1469" s="924" t="s">
        <v>276</v>
      </c>
      <c r="F1469" s="927"/>
      <c r="G1469" s="928"/>
      <c r="H1469" s="901"/>
      <c r="I1469" s="902"/>
      <c r="J1469" s="902"/>
      <c r="K1469" s="912" t="s">
        <v>274</v>
      </c>
      <c r="L1469" s="902"/>
      <c r="M1469" s="902"/>
      <c r="N1469" s="902"/>
      <c r="O1469" s="892">
        <f t="shared" si="88"/>
        <v>0</v>
      </c>
      <c r="P1469" s="903">
        <f t="shared" si="89"/>
        <v>1</v>
      </c>
      <c r="Q1469" s="893">
        <f t="shared" si="90"/>
        <v>2</v>
      </c>
      <c r="R1469" s="894">
        <f t="shared" si="91"/>
        <v>0</v>
      </c>
    </row>
    <row r="1470" spans="1:18">
      <c r="A1470" s="905"/>
      <c r="B1470" s="906"/>
      <c r="C1470" s="907">
        <v>740</v>
      </c>
      <c r="D1470" s="907" t="s">
        <v>12</v>
      </c>
      <c r="E1470" s="908" t="s">
        <v>4008</v>
      </c>
      <c r="F1470" s="909" t="s">
        <v>2674</v>
      </c>
      <c r="G1470" s="910"/>
      <c r="H1470" s="911">
        <v>8.32</v>
      </c>
      <c r="I1470" s="912"/>
      <c r="J1470" s="912"/>
      <c r="K1470" s="912">
        <f>VLOOKUP(E1470,ĐMNC!$A$7:$F$67,4,0)</f>
        <v>252714</v>
      </c>
      <c r="L1470" s="912">
        <f>H1470*K1470</f>
        <v>2102580.48</v>
      </c>
      <c r="M1470" s="912"/>
      <c r="N1470" s="912"/>
      <c r="O1470" s="892">
        <f t="shared" si="88"/>
        <v>0</v>
      </c>
      <c r="P1470" s="903">
        <f t="shared" si="89"/>
        <v>1</v>
      </c>
      <c r="Q1470" s="893">
        <f>IF(P1470=0,0,P1470+Q1472)</f>
        <v>1</v>
      </c>
      <c r="R1470" s="894">
        <f>IF(Q1470=0,Q1472,0)</f>
        <v>0</v>
      </c>
    </row>
    <row r="1471" spans="1:18">
      <c r="A1471" s="905"/>
      <c r="B1471" s="885" t="s">
        <v>4418</v>
      </c>
      <c r="C1471" s="949"/>
      <c r="D1471" s="949"/>
      <c r="E1471" s="887" t="s">
        <v>4419</v>
      </c>
      <c r="F1471" s="909"/>
      <c r="G1471" s="910"/>
      <c r="H1471" s="911"/>
      <c r="I1471" s="912"/>
      <c r="J1471" s="912"/>
      <c r="K1471" s="912"/>
      <c r="L1471" s="912"/>
      <c r="M1471" s="912"/>
      <c r="N1471" s="912"/>
      <c r="O1471" s="892"/>
      <c r="P1471" s="903"/>
      <c r="Q1471" s="893"/>
      <c r="R1471" s="894"/>
    </row>
    <row r="1472" spans="1:18" s="847" customFormat="1" ht="31.5">
      <c r="A1472" s="905" t="s">
        <v>4333</v>
      </c>
      <c r="B1472" s="914" t="s">
        <v>4420</v>
      </c>
      <c r="C1472" s="915"/>
      <c r="D1472" s="915"/>
      <c r="E1472" s="916" t="s">
        <v>4421</v>
      </c>
      <c r="F1472" s="917" t="s">
        <v>249</v>
      </c>
      <c r="G1472" s="918"/>
      <c r="H1472" s="919"/>
      <c r="I1472" s="920"/>
      <c r="J1472" s="891">
        <f>SUM(J1473:J1477)</f>
        <v>5238</v>
      </c>
      <c r="K1472" s="891"/>
      <c r="L1472" s="891">
        <f>SUM(L1473:L1477)</f>
        <v>338636.76</v>
      </c>
      <c r="M1472" s="891"/>
      <c r="N1472" s="891">
        <f>SUM(N1473:N1477)</f>
        <v>0</v>
      </c>
      <c r="O1472" s="892">
        <f t="shared" si="88"/>
        <v>1</v>
      </c>
      <c r="P1472" s="903">
        <f t="shared" si="89"/>
        <v>0</v>
      </c>
      <c r="Q1472" s="893">
        <f t="shared" si="90"/>
        <v>0</v>
      </c>
      <c r="R1472" s="894">
        <f t="shared" si="91"/>
        <v>5</v>
      </c>
    </row>
    <row r="1473" spans="1:18" s="904" customFormat="1">
      <c r="A1473" s="895"/>
      <c r="B1473" s="922"/>
      <c r="C1473" s="897"/>
      <c r="D1473" s="897"/>
      <c r="E1473" s="924" t="s">
        <v>108</v>
      </c>
      <c r="F1473" s="899"/>
      <c r="G1473" s="900"/>
      <c r="H1473" s="901"/>
      <c r="I1473" s="902"/>
      <c r="J1473" s="902"/>
      <c r="K1473" s="912" t="s">
        <v>274</v>
      </c>
      <c r="L1473" s="902"/>
      <c r="M1473" s="902"/>
      <c r="N1473" s="902"/>
      <c r="O1473" s="892">
        <f t="shared" si="88"/>
        <v>0</v>
      </c>
      <c r="P1473" s="903">
        <f t="shared" si="89"/>
        <v>1</v>
      </c>
      <c r="Q1473" s="893">
        <f t="shared" si="90"/>
        <v>5</v>
      </c>
      <c r="R1473" s="894">
        <f t="shared" si="91"/>
        <v>0</v>
      </c>
    </row>
    <row r="1474" spans="1:18">
      <c r="A1474" s="905"/>
      <c r="B1474" s="906"/>
      <c r="C1474" s="907">
        <v>66</v>
      </c>
      <c r="D1474" s="907" t="s">
        <v>279</v>
      </c>
      <c r="E1474" s="925" t="s">
        <v>2682</v>
      </c>
      <c r="F1474" s="926" t="s">
        <v>45</v>
      </c>
      <c r="G1474" s="910"/>
      <c r="H1474" s="911">
        <v>5.3999999999999999E-2</v>
      </c>
      <c r="I1474" s="912">
        <f>VLOOKUP(E1474,[3]VLP!$B$7:$K$300,10,0)</f>
        <v>5000</v>
      </c>
      <c r="J1474" s="912">
        <f>I1474*H1474</f>
        <v>270</v>
      </c>
      <c r="K1474" s="912" t="s">
        <v>274</v>
      </c>
      <c r="L1474" s="912"/>
      <c r="M1474" s="912"/>
      <c r="N1474" s="912"/>
      <c r="O1474" s="892">
        <f t="shared" si="88"/>
        <v>0</v>
      </c>
      <c r="P1474" s="903">
        <f t="shared" si="89"/>
        <v>1</v>
      </c>
      <c r="Q1474" s="893">
        <f t="shared" si="90"/>
        <v>4</v>
      </c>
      <c r="R1474" s="894">
        <f t="shared" si="91"/>
        <v>0</v>
      </c>
    </row>
    <row r="1475" spans="1:18">
      <c r="A1475" s="905"/>
      <c r="B1475" s="906"/>
      <c r="C1475" s="907">
        <v>44</v>
      </c>
      <c r="D1475" s="907" t="s">
        <v>279</v>
      </c>
      <c r="E1475" s="925" t="s">
        <v>2681</v>
      </c>
      <c r="F1475" s="926" t="s">
        <v>45</v>
      </c>
      <c r="G1475" s="910"/>
      <c r="H1475" s="911">
        <v>0.216</v>
      </c>
      <c r="I1475" s="912">
        <f>VLOOKUP(E1475,[3]VLP!$B$7:$K$300,10,0)</f>
        <v>23000</v>
      </c>
      <c r="J1475" s="912">
        <f>I1475*H1475</f>
        <v>4968</v>
      </c>
      <c r="K1475" s="912" t="s">
        <v>274</v>
      </c>
      <c r="L1475" s="912"/>
      <c r="M1475" s="912"/>
      <c r="N1475" s="912"/>
      <c r="O1475" s="892">
        <f t="shared" si="88"/>
        <v>0</v>
      </c>
      <c r="P1475" s="903">
        <f t="shared" si="89"/>
        <v>1</v>
      </c>
      <c r="Q1475" s="893">
        <f t="shared" si="90"/>
        <v>3</v>
      </c>
      <c r="R1475" s="894">
        <f t="shared" si="91"/>
        <v>0</v>
      </c>
    </row>
    <row r="1476" spans="1:18" s="904" customFormat="1">
      <c r="A1476" s="895"/>
      <c r="B1476" s="896"/>
      <c r="C1476" s="897"/>
      <c r="D1476" s="897"/>
      <c r="E1476" s="924" t="s">
        <v>276</v>
      </c>
      <c r="F1476" s="927"/>
      <c r="G1476" s="928"/>
      <c r="H1476" s="901"/>
      <c r="I1476" s="902"/>
      <c r="J1476" s="902"/>
      <c r="K1476" s="912" t="s">
        <v>274</v>
      </c>
      <c r="L1476" s="902"/>
      <c r="M1476" s="902"/>
      <c r="N1476" s="902"/>
      <c r="O1476" s="892">
        <f t="shared" si="88"/>
        <v>0</v>
      </c>
      <c r="P1476" s="903">
        <f t="shared" si="89"/>
        <v>1</v>
      </c>
      <c r="Q1476" s="893">
        <f t="shared" si="90"/>
        <v>2</v>
      </c>
      <c r="R1476" s="894">
        <f t="shared" si="91"/>
        <v>0</v>
      </c>
    </row>
    <row r="1477" spans="1:18">
      <c r="A1477" s="905"/>
      <c r="B1477" s="906"/>
      <c r="C1477" s="907">
        <v>740</v>
      </c>
      <c r="D1477" s="907" t="s">
        <v>12</v>
      </c>
      <c r="E1477" s="908" t="s">
        <v>4008</v>
      </c>
      <c r="F1477" s="909" t="s">
        <v>2674</v>
      </c>
      <c r="G1477" s="910"/>
      <c r="H1477" s="911">
        <v>1.34</v>
      </c>
      <c r="I1477" s="912"/>
      <c r="J1477" s="912"/>
      <c r="K1477" s="912">
        <f>VLOOKUP(E1477,ĐMNC!$A$7:$F$67,4,0)</f>
        <v>252714</v>
      </c>
      <c r="L1477" s="912">
        <f>H1477*K1477</f>
        <v>338636.76</v>
      </c>
      <c r="M1477" s="912"/>
      <c r="N1477" s="912"/>
      <c r="O1477" s="892">
        <f t="shared" si="88"/>
        <v>0</v>
      </c>
      <c r="P1477" s="903">
        <f t="shared" si="89"/>
        <v>1</v>
      </c>
      <c r="Q1477" s="893">
        <f t="shared" si="90"/>
        <v>1</v>
      </c>
      <c r="R1477" s="894">
        <f t="shared" si="91"/>
        <v>0</v>
      </c>
    </row>
    <row r="1478" spans="1:18" s="847" customFormat="1" ht="31.5">
      <c r="A1478" s="905"/>
      <c r="B1478" s="914" t="s">
        <v>4422</v>
      </c>
      <c r="C1478" s="915"/>
      <c r="D1478" s="915"/>
      <c r="E1478" s="916" t="s">
        <v>4423</v>
      </c>
      <c r="F1478" s="917" t="s">
        <v>249</v>
      </c>
      <c r="G1478" s="918"/>
      <c r="H1478" s="919"/>
      <c r="I1478" s="920"/>
      <c r="J1478" s="891">
        <f>SUM(J1479:J1483)</f>
        <v>5238</v>
      </c>
      <c r="K1478" s="891"/>
      <c r="L1478" s="891">
        <f>SUM(L1479:L1483)</f>
        <v>356326.74</v>
      </c>
      <c r="M1478" s="891"/>
      <c r="N1478" s="891">
        <f>SUM(N1479:N1483)</f>
        <v>0</v>
      </c>
      <c r="O1478" s="892">
        <f t="shared" ref="O1478:O1542" si="92">IF(AND(B1478&lt;&gt;"",D1478=""),1,0)</f>
        <v>1</v>
      </c>
      <c r="P1478" s="903">
        <f t="shared" si="89"/>
        <v>0</v>
      </c>
      <c r="Q1478" s="893">
        <f t="shared" si="90"/>
        <v>0</v>
      </c>
      <c r="R1478" s="894">
        <f t="shared" si="91"/>
        <v>5</v>
      </c>
    </row>
    <row r="1479" spans="1:18" s="904" customFormat="1">
      <c r="A1479" s="895"/>
      <c r="B1479" s="896"/>
      <c r="C1479" s="897"/>
      <c r="D1479" s="897"/>
      <c r="E1479" s="924" t="s">
        <v>108</v>
      </c>
      <c r="F1479" s="899"/>
      <c r="G1479" s="900"/>
      <c r="H1479" s="901"/>
      <c r="I1479" s="902"/>
      <c r="J1479" s="902"/>
      <c r="K1479" s="912" t="s">
        <v>274</v>
      </c>
      <c r="L1479" s="902"/>
      <c r="M1479" s="902"/>
      <c r="N1479" s="902"/>
      <c r="O1479" s="892">
        <f t="shared" si="92"/>
        <v>0</v>
      </c>
      <c r="P1479" s="903">
        <f t="shared" si="89"/>
        <v>1</v>
      </c>
      <c r="Q1479" s="893">
        <f t="shared" si="90"/>
        <v>5</v>
      </c>
      <c r="R1479" s="894">
        <f t="shared" si="91"/>
        <v>0</v>
      </c>
    </row>
    <row r="1480" spans="1:18">
      <c r="A1480" s="905"/>
      <c r="B1480" s="906"/>
      <c r="C1480" s="907">
        <v>66</v>
      </c>
      <c r="D1480" s="907" t="s">
        <v>279</v>
      </c>
      <c r="E1480" s="925" t="s">
        <v>2682</v>
      </c>
      <c r="F1480" s="926" t="s">
        <v>45</v>
      </c>
      <c r="G1480" s="910"/>
      <c r="H1480" s="911">
        <v>5.3999999999999999E-2</v>
      </c>
      <c r="I1480" s="912">
        <f>VLOOKUP(E1480,[3]VLP!$B$7:$K$300,10,0)</f>
        <v>5000</v>
      </c>
      <c r="J1480" s="912">
        <f>I1480*H1480</f>
        <v>270</v>
      </c>
      <c r="K1480" s="912" t="s">
        <v>274</v>
      </c>
      <c r="L1480" s="912"/>
      <c r="M1480" s="912"/>
      <c r="N1480" s="912"/>
      <c r="O1480" s="892">
        <f t="shared" si="92"/>
        <v>0</v>
      </c>
      <c r="P1480" s="903">
        <f t="shared" si="89"/>
        <v>1</v>
      </c>
      <c r="Q1480" s="893">
        <f t="shared" si="90"/>
        <v>4</v>
      </c>
      <c r="R1480" s="894">
        <f t="shared" si="91"/>
        <v>0</v>
      </c>
    </row>
    <row r="1481" spans="1:18">
      <c r="A1481" s="905"/>
      <c r="B1481" s="906"/>
      <c r="C1481" s="907">
        <v>44</v>
      </c>
      <c r="D1481" s="907" t="s">
        <v>279</v>
      </c>
      <c r="E1481" s="925" t="s">
        <v>2681</v>
      </c>
      <c r="F1481" s="926" t="s">
        <v>45</v>
      </c>
      <c r="G1481" s="910"/>
      <c r="H1481" s="911">
        <v>0.216</v>
      </c>
      <c r="I1481" s="912">
        <f>VLOOKUP(E1481,[3]VLP!$B$7:$K$300,10,0)</f>
        <v>23000</v>
      </c>
      <c r="J1481" s="912">
        <f>I1481*H1481</f>
        <v>4968</v>
      </c>
      <c r="K1481" s="912" t="s">
        <v>274</v>
      </c>
      <c r="L1481" s="912"/>
      <c r="M1481" s="912"/>
      <c r="N1481" s="912"/>
      <c r="O1481" s="892">
        <f t="shared" si="92"/>
        <v>0</v>
      </c>
      <c r="P1481" s="903">
        <f t="shared" si="89"/>
        <v>1</v>
      </c>
      <c r="Q1481" s="893">
        <f t="shared" si="90"/>
        <v>3</v>
      </c>
      <c r="R1481" s="894">
        <f t="shared" si="91"/>
        <v>0</v>
      </c>
    </row>
    <row r="1482" spans="1:18" s="904" customFormat="1">
      <c r="A1482" s="895"/>
      <c r="B1482" s="896"/>
      <c r="C1482" s="897"/>
      <c r="D1482" s="897"/>
      <c r="E1482" s="924" t="s">
        <v>276</v>
      </c>
      <c r="F1482" s="927"/>
      <c r="G1482" s="928"/>
      <c r="H1482" s="901"/>
      <c r="I1482" s="902"/>
      <c r="J1482" s="902"/>
      <c r="K1482" s="912" t="s">
        <v>274</v>
      </c>
      <c r="L1482" s="902"/>
      <c r="M1482" s="902"/>
      <c r="N1482" s="902"/>
      <c r="O1482" s="892">
        <f t="shared" si="92"/>
        <v>0</v>
      </c>
      <c r="P1482" s="903">
        <f t="shared" si="89"/>
        <v>1</v>
      </c>
      <c r="Q1482" s="893">
        <f t="shared" si="90"/>
        <v>2</v>
      </c>
      <c r="R1482" s="894">
        <f t="shared" si="91"/>
        <v>0</v>
      </c>
    </row>
    <row r="1483" spans="1:18">
      <c r="A1483" s="905"/>
      <c r="B1483" s="906"/>
      <c r="C1483" s="907">
        <v>740</v>
      </c>
      <c r="D1483" s="907" t="s">
        <v>12</v>
      </c>
      <c r="E1483" s="908" t="s">
        <v>4008</v>
      </c>
      <c r="F1483" s="909" t="s">
        <v>2674</v>
      </c>
      <c r="G1483" s="910"/>
      <c r="H1483" s="911">
        <v>1.41</v>
      </c>
      <c r="I1483" s="912"/>
      <c r="J1483" s="912"/>
      <c r="K1483" s="912">
        <f>VLOOKUP(E1483,ĐMNC!$A$7:$F$67,4,0)</f>
        <v>252714</v>
      </c>
      <c r="L1483" s="912">
        <f>H1483*K1483</f>
        <v>356326.74</v>
      </c>
      <c r="M1483" s="912"/>
      <c r="N1483" s="912"/>
      <c r="O1483" s="892">
        <f t="shared" si="92"/>
        <v>0</v>
      </c>
      <c r="P1483" s="903">
        <f t="shared" si="89"/>
        <v>1</v>
      </c>
      <c r="Q1483" s="893">
        <f t="shared" si="90"/>
        <v>1</v>
      </c>
      <c r="R1483" s="894">
        <f t="shared" si="91"/>
        <v>0</v>
      </c>
    </row>
    <row r="1484" spans="1:18" s="847" customFormat="1" ht="31.5">
      <c r="A1484" s="905"/>
      <c r="B1484" s="914" t="s">
        <v>4424</v>
      </c>
      <c r="C1484" s="915"/>
      <c r="D1484" s="915"/>
      <c r="E1484" s="916" t="s">
        <v>4425</v>
      </c>
      <c r="F1484" s="917" t="s">
        <v>249</v>
      </c>
      <c r="G1484" s="918"/>
      <c r="H1484" s="919"/>
      <c r="I1484" s="920"/>
      <c r="J1484" s="891">
        <f>SUM(J1485:J1489)</f>
        <v>5238</v>
      </c>
      <c r="K1484" s="891"/>
      <c r="L1484" s="891">
        <f>SUM(L1485:L1489)</f>
        <v>386652.42</v>
      </c>
      <c r="M1484" s="891"/>
      <c r="N1484" s="891">
        <f>SUM(N1485:N1489)</f>
        <v>0</v>
      </c>
      <c r="O1484" s="892">
        <f t="shared" si="92"/>
        <v>1</v>
      </c>
      <c r="P1484" s="903">
        <f t="shared" si="89"/>
        <v>0</v>
      </c>
      <c r="Q1484" s="893">
        <f t="shared" si="90"/>
        <v>0</v>
      </c>
      <c r="R1484" s="894">
        <f t="shared" si="91"/>
        <v>5</v>
      </c>
    </row>
    <row r="1485" spans="1:18" s="904" customFormat="1">
      <c r="A1485" s="895"/>
      <c r="B1485" s="896"/>
      <c r="C1485" s="897"/>
      <c r="D1485" s="897"/>
      <c r="E1485" s="924" t="s">
        <v>108</v>
      </c>
      <c r="F1485" s="899"/>
      <c r="G1485" s="900"/>
      <c r="H1485" s="901"/>
      <c r="I1485" s="902"/>
      <c r="J1485" s="902"/>
      <c r="K1485" s="912" t="s">
        <v>274</v>
      </c>
      <c r="L1485" s="902"/>
      <c r="M1485" s="902"/>
      <c r="N1485" s="902"/>
      <c r="O1485" s="892">
        <f t="shared" si="92"/>
        <v>0</v>
      </c>
      <c r="P1485" s="903">
        <f t="shared" si="89"/>
        <v>1</v>
      </c>
      <c r="Q1485" s="893">
        <f t="shared" si="90"/>
        <v>5</v>
      </c>
      <c r="R1485" s="894">
        <f t="shared" si="91"/>
        <v>0</v>
      </c>
    </row>
    <row r="1486" spans="1:18">
      <c r="A1486" s="905"/>
      <c r="B1486" s="906"/>
      <c r="C1486" s="907">
        <v>66</v>
      </c>
      <c r="D1486" s="907" t="s">
        <v>279</v>
      </c>
      <c r="E1486" s="925" t="s">
        <v>2682</v>
      </c>
      <c r="F1486" s="926" t="s">
        <v>45</v>
      </c>
      <c r="G1486" s="910"/>
      <c r="H1486" s="911">
        <v>5.3999999999999999E-2</v>
      </c>
      <c r="I1486" s="912">
        <f>VLOOKUP(E1486,[3]VLP!$B$7:$K$300,10,0)</f>
        <v>5000</v>
      </c>
      <c r="J1486" s="912">
        <f>I1486*H1486</f>
        <v>270</v>
      </c>
      <c r="K1486" s="912" t="s">
        <v>274</v>
      </c>
      <c r="L1486" s="912"/>
      <c r="M1486" s="912"/>
      <c r="N1486" s="912"/>
      <c r="O1486" s="892">
        <f t="shared" si="92"/>
        <v>0</v>
      </c>
      <c r="P1486" s="903">
        <f t="shared" si="89"/>
        <v>1</v>
      </c>
      <c r="Q1486" s="893">
        <f t="shared" si="90"/>
        <v>4</v>
      </c>
      <c r="R1486" s="894">
        <f t="shared" si="91"/>
        <v>0</v>
      </c>
    </row>
    <row r="1487" spans="1:18">
      <c r="A1487" s="905"/>
      <c r="B1487" s="906"/>
      <c r="C1487" s="907">
        <v>44</v>
      </c>
      <c r="D1487" s="907" t="s">
        <v>279</v>
      </c>
      <c r="E1487" s="925" t="s">
        <v>2681</v>
      </c>
      <c r="F1487" s="926" t="s">
        <v>45</v>
      </c>
      <c r="G1487" s="910"/>
      <c r="H1487" s="911">
        <v>0.216</v>
      </c>
      <c r="I1487" s="912">
        <f>VLOOKUP(E1487,[3]VLP!$B$7:$K$300,10,0)</f>
        <v>23000</v>
      </c>
      <c r="J1487" s="912">
        <f>I1487*H1487</f>
        <v>4968</v>
      </c>
      <c r="K1487" s="912" t="s">
        <v>274</v>
      </c>
      <c r="L1487" s="912"/>
      <c r="M1487" s="912"/>
      <c r="N1487" s="912"/>
      <c r="O1487" s="892">
        <f t="shared" si="92"/>
        <v>0</v>
      </c>
      <c r="P1487" s="903">
        <f t="shared" ref="P1487:P1551" si="93">IF(O1487=0,1,0)</f>
        <v>1</v>
      </c>
      <c r="Q1487" s="893">
        <f t="shared" ref="Q1487:Q1551" si="94">IF(P1487=0,0,P1487+Q1488)</f>
        <v>3</v>
      </c>
      <c r="R1487" s="894">
        <f t="shared" ref="R1487:R1551" si="95">IF(Q1487=0,Q1488,0)</f>
        <v>0</v>
      </c>
    </row>
    <row r="1488" spans="1:18" s="904" customFormat="1">
      <c r="A1488" s="895"/>
      <c r="B1488" s="896"/>
      <c r="C1488" s="897"/>
      <c r="D1488" s="897"/>
      <c r="E1488" s="924" t="s">
        <v>276</v>
      </c>
      <c r="F1488" s="927"/>
      <c r="G1488" s="928"/>
      <c r="H1488" s="901"/>
      <c r="I1488" s="902"/>
      <c r="J1488" s="902"/>
      <c r="K1488" s="912" t="s">
        <v>274</v>
      </c>
      <c r="L1488" s="902"/>
      <c r="M1488" s="902"/>
      <c r="N1488" s="902"/>
      <c r="O1488" s="892">
        <f t="shared" si="92"/>
        <v>0</v>
      </c>
      <c r="P1488" s="903">
        <f t="shared" si="93"/>
        <v>1</v>
      </c>
      <c r="Q1488" s="893">
        <f t="shared" si="94"/>
        <v>2</v>
      </c>
      <c r="R1488" s="894">
        <f t="shared" si="95"/>
        <v>0</v>
      </c>
    </row>
    <row r="1489" spans="1:18">
      <c r="A1489" s="905"/>
      <c r="B1489" s="906"/>
      <c r="C1489" s="907">
        <v>740</v>
      </c>
      <c r="D1489" s="907" t="s">
        <v>12</v>
      </c>
      <c r="E1489" s="908" t="s">
        <v>4008</v>
      </c>
      <c r="F1489" s="909" t="s">
        <v>2674</v>
      </c>
      <c r="G1489" s="910"/>
      <c r="H1489" s="911">
        <v>1.53</v>
      </c>
      <c r="I1489" s="912"/>
      <c r="J1489" s="912"/>
      <c r="K1489" s="912">
        <f>VLOOKUP(E1489,ĐMNC!$A$7:$F$67,4,0)</f>
        <v>252714</v>
      </c>
      <c r="L1489" s="912">
        <f>H1489*K1489</f>
        <v>386652.42</v>
      </c>
      <c r="M1489" s="912"/>
      <c r="N1489" s="912"/>
      <c r="O1489" s="892">
        <f t="shared" si="92"/>
        <v>0</v>
      </c>
      <c r="P1489" s="903">
        <f t="shared" si="93"/>
        <v>1</v>
      </c>
      <c r="Q1489" s="893">
        <f>IF(P1489=0,0,P1489+Q1490)</f>
        <v>1</v>
      </c>
      <c r="R1489" s="894">
        <f>IF(Q1489=0,Q1490,0)</f>
        <v>0</v>
      </c>
    </row>
    <row r="1490" spans="1:18" s="847" customFormat="1" ht="31.5">
      <c r="A1490" s="905" t="s">
        <v>4426</v>
      </c>
      <c r="B1490" s="914" t="s">
        <v>4427</v>
      </c>
      <c r="C1490" s="915"/>
      <c r="D1490" s="915"/>
      <c r="E1490" s="916" t="s">
        <v>4428</v>
      </c>
      <c r="F1490" s="917" t="s">
        <v>249</v>
      </c>
      <c r="G1490" s="918"/>
      <c r="H1490" s="919"/>
      <c r="I1490" s="920"/>
      <c r="J1490" s="891">
        <f>SUM(J1491:J1495)</f>
        <v>5238</v>
      </c>
      <c r="K1490" s="891"/>
      <c r="L1490" s="891">
        <f>SUM(L1491:L1495)</f>
        <v>452358.06</v>
      </c>
      <c r="M1490" s="891"/>
      <c r="N1490" s="891">
        <f>SUM(N1491:N1495)</f>
        <v>0</v>
      </c>
      <c r="O1490" s="892">
        <f t="shared" si="92"/>
        <v>1</v>
      </c>
      <c r="P1490" s="903">
        <f t="shared" si="93"/>
        <v>0</v>
      </c>
      <c r="Q1490" s="893">
        <f t="shared" si="94"/>
        <v>0</v>
      </c>
      <c r="R1490" s="894">
        <f t="shared" si="95"/>
        <v>5</v>
      </c>
    </row>
    <row r="1491" spans="1:18" s="904" customFormat="1">
      <c r="A1491" s="895"/>
      <c r="B1491" s="896"/>
      <c r="C1491" s="897"/>
      <c r="D1491" s="897"/>
      <c r="E1491" s="924" t="s">
        <v>108</v>
      </c>
      <c r="F1491" s="899"/>
      <c r="G1491" s="900"/>
      <c r="H1491" s="901"/>
      <c r="I1491" s="902"/>
      <c r="J1491" s="902"/>
      <c r="K1491" s="912" t="s">
        <v>274</v>
      </c>
      <c r="L1491" s="902"/>
      <c r="M1491" s="902"/>
      <c r="N1491" s="902"/>
      <c r="O1491" s="892">
        <f t="shared" si="92"/>
        <v>0</v>
      </c>
      <c r="P1491" s="903">
        <f t="shared" si="93"/>
        <v>1</v>
      </c>
      <c r="Q1491" s="893">
        <f t="shared" si="94"/>
        <v>5</v>
      </c>
      <c r="R1491" s="894">
        <f t="shared" si="95"/>
        <v>0</v>
      </c>
    </row>
    <row r="1492" spans="1:18">
      <c r="A1492" s="905"/>
      <c r="B1492" s="906"/>
      <c r="C1492" s="907">
        <v>66</v>
      </c>
      <c r="D1492" s="907" t="s">
        <v>279</v>
      </c>
      <c r="E1492" s="925" t="s">
        <v>2682</v>
      </c>
      <c r="F1492" s="926" t="s">
        <v>45</v>
      </c>
      <c r="G1492" s="910"/>
      <c r="H1492" s="911">
        <v>5.3999999999999999E-2</v>
      </c>
      <c r="I1492" s="912">
        <f>VLOOKUP(E1492,[3]VLP!$B$7:$K$300,10,0)</f>
        <v>5000</v>
      </c>
      <c r="J1492" s="912">
        <f>I1492*H1492</f>
        <v>270</v>
      </c>
      <c r="K1492" s="912" t="s">
        <v>274</v>
      </c>
      <c r="L1492" s="912"/>
      <c r="M1492" s="912"/>
      <c r="N1492" s="912"/>
      <c r="O1492" s="892">
        <f t="shared" si="92"/>
        <v>0</v>
      </c>
      <c r="P1492" s="903">
        <f t="shared" si="93"/>
        <v>1</v>
      </c>
      <c r="Q1492" s="893">
        <f t="shared" si="94"/>
        <v>4</v>
      </c>
      <c r="R1492" s="894">
        <f t="shared" si="95"/>
        <v>0</v>
      </c>
    </row>
    <row r="1493" spans="1:18">
      <c r="A1493" s="905"/>
      <c r="B1493" s="906"/>
      <c r="C1493" s="907">
        <v>44</v>
      </c>
      <c r="D1493" s="907" t="s">
        <v>279</v>
      </c>
      <c r="E1493" s="925" t="s">
        <v>2681</v>
      </c>
      <c r="F1493" s="926" t="s">
        <v>45</v>
      </c>
      <c r="G1493" s="910"/>
      <c r="H1493" s="911">
        <v>0.216</v>
      </c>
      <c r="I1493" s="912">
        <f>VLOOKUP(E1493,[3]VLP!$B$7:$K$300,10,0)</f>
        <v>23000</v>
      </c>
      <c r="J1493" s="912">
        <f>I1493*H1493</f>
        <v>4968</v>
      </c>
      <c r="K1493" s="912" t="s">
        <v>274</v>
      </c>
      <c r="L1493" s="912"/>
      <c r="M1493" s="912"/>
      <c r="N1493" s="912"/>
      <c r="O1493" s="892">
        <f t="shared" si="92"/>
        <v>0</v>
      </c>
      <c r="P1493" s="903">
        <f t="shared" si="93"/>
        <v>1</v>
      </c>
      <c r="Q1493" s="893">
        <f t="shared" si="94"/>
        <v>3</v>
      </c>
      <c r="R1493" s="894">
        <f t="shared" si="95"/>
        <v>0</v>
      </c>
    </row>
    <row r="1494" spans="1:18" s="904" customFormat="1">
      <c r="A1494" s="895"/>
      <c r="B1494" s="896"/>
      <c r="C1494" s="897"/>
      <c r="D1494" s="897"/>
      <c r="E1494" s="924" t="s">
        <v>276</v>
      </c>
      <c r="F1494" s="927"/>
      <c r="G1494" s="928"/>
      <c r="H1494" s="901"/>
      <c r="I1494" s="902"/>
      <c r="J1494" s="902"/>
      <c r="K1494" s="912" t="s">
        <v>274</v>
      </c>
      <c r="L1494" s="902"/>
      <c r="M1494" s="902"/>
      <c r="N1494" s="902"/>
      <c r="O1494" s="892">
        <f t="shared" si="92"/>
        <v>0</v>
      </c>
      <c r="P1494" s="903">
        <f t="shared" si="93"/>
        <v>1</v>
      </c>
      <c r="Q1494" s="893">
        <f t="shared" si="94"/>
        <v>2</v>
      </c>
      <c r="R1494" s="894">
        <f t="shared" si="95"/>
        <v>0</v>
      </c>
    </row>
    <row r="1495" spans="1:18">
      <c r="A1495" s="905"/>
      <c r="B1495" s="906"/>
      <c r="C1495" s="907">
        <v>740</v>
      </c>
      <c r="D1495" s="907" t="s">
        <v>12</v>
      </c>
      <c r="E1495" s="908" t="s">
        <v>4008</v>
      </c>
      <c r="F1495" s="909" t="s">
        <v>2674</v>
      </c>
      <c r="G1495" s="910"/>
      <c r="H1495" s="911">
        <v>1.79</v>
      </c>
      <c r="I1495" s="912"/>
      <c r="J1495" s="912"/>
      <c r="K1495" s="912">
        <f>VLOOKUP(E1495,ĐMNC!$A$7:$F$67,4,0)</f>
        <v>252714</v>
      </c>
      <c r="L1495" s="912">
        <f>H1495*K1495</f>
        <v>452358.06</v>
      </c>
      <c r="M1495" s="912"/>
      <c r="N1495" s="912"/>
      <c r="O1495" s="892">
        <f t="shared" si="92"/>
        <v>0</v>
      </c>
      <c r="P1495" s="903">
        <f t="shared" si="93"/>
        <v>1</v>
      </c>
      <c r="Q1495" s="893">
        <f t="shared" si="94"/>
        <v>1</v>
      </c>
      <c r="R1495" s="894">
        <f t="shared" si="95"/>
        <v>0</v>
      </c>
    </row>
    <row r="1496" spans="1:18" s="847" customFormat="1" ht="31.5">
      <c r="A1496" s="905"/>
      <c r="B1496" s="914" t="s">
        <v>4429</v>
      </c>
      <c r="C1496" s="915"/>
      <c r="D1496" s="915"/>
      <c r="E1496" s="916" t="s">
        <v>4430</v>
      </c>
      <c r="F1496" s="917" t="s">
        <v>249</v>
      </c>
      <c r="G1496" s="918"/>
      <c r="H1496" s="919"/>
      <c r="I1496" s="920"/>
      <c r="J1496" s="891">
        <f>SUM(J1497:J1501)</f>
        <v>5238</v>
      </c>
      <c r="K1496" s="891"/>
      <c r="L1496" s="891">
        <f>SUM(L1497:L1501)</f>
        <v>492792.3</v>
      </c>
      <c r="M1496" s="891"/>
      <c r="N1496" s="891">
        <f>SUM(N1497:N1501)</f>
        <v>0</v>
      </c>
      <c r="O1496" s="892">
        <f t="shared" si="92"/>
        <v>1</v>
      </c>
      <c r="P1496" s="903">
        <f t="shared" si="93"/>
        <v>0</v>
      </c>
      <c r="Q1496" s="893">
        <f t="shared" si="94"/>
        <v>0</v>
      </c>
      <c r="R1496" s="894">
        <f t="shared" si="95"/>
        <v>5</v>
      </c>
    </row>
    <row r="1497" spans="1:18" s="904" customFormat="1">
      <c r="A1497" s="895"/>
      <c r="B1497" s="896"/>
      <c r="C1497" s="897"/>
      <c r="D1497" s="897"/>
      <c r="E1497" s="924" t="s">
        <v>108</v>
      </c>
      <c r="F1497" s="899"/>
      <c r="G1497" s="900"/>
      <c r="H1497" s="901"/>
      <c r="I1497" s="902"/>
      <c r="J1497" s="902"/>
      <c r="K1497" s="912" t="s">
        <v>274</v>
      </c>
      <c r="L1497" s="902"/>
      <c r="M1497" s="902"/>
      <c r="N1497" s="902"/>
      <c r="O1497" s="892">
        <f t="shared" si="92"/>
        <v>0</v>
      </c>
      <c r="P1497" s="903">
        <f t="shared" si="93"/>
        <v>1</v>
      </c>
      <c r="Q1497" s="893">
        <f t="shared" si="94"/>
        <v>5</v>
      </c>
      <c r="R1497" s="894">
        <f t="shared" si="95"/>
        <v>0</v>
      </c>
    </row>
    <row r="1498" spans="1:18">
      <c r="A1498" s="905"/>
      <c r="B1498" s="906"/>
      <c r="C1498" s="907">
        <v>66</v>
      </c>
      <c r="D1498" s="907" t="s">
        <v>279</v>
      </c>
      <c r="E1498" s="925" t="s">
        <v>2682</v>
      </c>
      <c r="F1498" s="926" t="s">
        <v>45</v>
      </c>
      <c r="G1498" s="910"/>
      <c r="H1498" s="911">
        <v>5.3999999999999999E-2</v>
      </c>
      <c r="I1498" s="912">
        <f>VLOOKUP(E1498,[3]VLP!$B$7:$K$300,10,0)</f>
        <v>5000</v>
      </c>
      <c r="J1498" s="912">
        <f>I1498*H1498</f>
        <v>270</v>
      </c>
      <c r="K1498" s="912" t="s">
        <v>274</v>
      </c>
      <c r="L1498" s="912"/>
      <c r="M1498" s="912"/>
      <c r="N1498" s="912"/>
      <c r="O1498" s="892">
        <f t="shared" si="92"/>
        <v>0</v>
      </c>
      <c r="P1498" s="903">
        <f t="shared" si="93"/>
        <v>1</v>
      </c>
      <c r="Q1498" s="893">
        <f t="shared" si="94"/>
        <v>4</v>
      </c>
      <c r="R1498" s="894">
        <f t="shared" si="95"/>
        <v>0</v>
      </c>
    </row>
    <row r="1499" spans="1:18">
      <c r="A1499" s="905"/>
      <c r="B1499" s="906"/>
      <c r="C1499" s="907">
        <v>44</v>
      </c>
      <c r="D1499" s="907" t="s">
        <v>279</v>
      </c>
      <c r="E1499" s="925" t="s">
        <v>2681</v>
      </c>
      <c r="F1499" s="926" t="s">
        <v>45</v>
      </c>
      <c r="G1499" s="910"/>
      <c r="H1499" s="911">
        <v>0.216</v>
      </c>
      <c r="I1499" s="912">
        <f>VLOOKUP(E1499,[3]VLP!$B$7:$K$300,10,0)</f>
        <v>23000</v>
      </c>
      <c r="J1499" s="912">
        <f>I1499*H1499</f>
        <v>4968</v>
      </c>
      <c r="K1499" s="912" t="s">
        <v>274</v>
      </c>
      <c r="L1499" s="912"/>
      <c r="M1499" s="912"/>
      <c r="N1499" s="912"/>
      <c r="O1499" s="892">
        <f t="shared" si="92"/>
        <v>0</v>
      </c>
      <c r="P1499" s="903">
        <f t="shared" si="93"/>
        <v>1</v>
      </c>
      <c r="Q1499" s="893">
        <f t="shared" si="94"/>
        <v>3</v>
      </c>
      <c r="R1499" s="894">
        <f t="shared" si="95"/>
        <v>0</v>
      </c>
    </row>
    <row r="1500" spans="1:18" s="904" customFormat="1">
      <c r="A1500" s="895"/>
      <c r="B1500" s="896"/>
      <c r="C1500" s="897"/>
      <c r="D1500" s="897"/>
      <c r="E1500" s="924" t="s">
        <v>276</v>
      </c>
      <c r="F1500" s="927"/>
      <c r="G1500" s="928"/>
      <c r="H1500" s="901"/>
      <c r="I1500" s="902"/>
      <c r="J1500" s="902"/>
      <c r="K1500" s="912" t="s">
        <v>274</v>
      </c>
      <c r="L1500" s="902"/>
      <c r="M1500" s="902"/>
      <c r="N1500" s="902"/>
      <c r="O1500" s="892">
        <f t="shared" si="92"/>
        <v>0</v>
      </c>
      <c r="P1500" s="903">
        <f t="shared" si="93"/>
        <v>1</v>
      </c>
      <c r="Q1500" s="893">
        <f t="shared" si="94"/>
        <v>2</v>
      </c>
      <c r="R1500" s="894">
        <f t="shared" si="95"/>
        <v>0</v>
      </c>
    </row>
    <row r="1501" spans="1:18">
      <c r="A1501" s="905"/>
      <c r="B1501" s="906"/>
      <c r="C1501" s="907">
        <v>740</v>
      </c>
      <c r="D1501" s="907" t="s">
        <v>12</v>
      </c>
      <c r="E1501" s="908" t="s">
        <v>4008</v>
      </c>
      <c r="F1501" s="909" t="s">
        <v>2674</v>
      </c>
      <c r="G1501" s="910"/>
      <c r="H1501" s="911">
        <v>1.95</v>
      </c>
      <c r="I1501" s="912"/>
      <c r="J1501" s="912"/>
      <c r="K1501" s="912">
        <f>VLOOKUP(E1501,ĐMNC!$A$7:$F$67,4,0)</f>
        <v>252714</v>
      </c>
      <c r="L1501" s="912">
        <f>H1501*K1501</f>
        <v>492792.3</v>
      </c>
      <c r="M1501" s="912"/>
      <c r="N1501" s="912"/>
      <c r="O1501" s="892">
        <f t="shared" si="92"/>
        <v>0</v>
      </c>
      <c r="P1501" s="903">
        <f t="shared" si="93"/>
        <v>1</v>
      </c>
      <c r="Q1501" s="893">
        <f t="shared" si="94"/>
        <v>1</v>
      </c>
      <c r="R1501" s="894">
        <f t="shared" si="95"/>
        <v>0</v>
      </c>
    </row>
    <row r="1502" spans="1:18" s="847" customFormat="1" ht="31.5">
      <c r="A1502" s="905"/>
      <c r="B1502" s="914" t="s">
        <v>4431</v>
      </c>
      <c r="C1502" s="915"/>
      <c r="D1502" s="915"/>
      <c r="E1502" s="916" t="s">
        <v>4432</v>
      </c>
      <c r="F1502" s="917" t="s">
        <v>249</v>
      </c>
      <c r="G1502" s="918"/>
      <c r="H1502" s="919"/>
      <c r="I1502" s="920"/>
      <c r="J1502" s="891">
        <f>SUM(J1503:J1507)</f>
        <v>5238</v>
      </c>
      <c r="K1502" s="891"/>
      <c r="L1502" s="891">
        <f>SUM(L1503:L1507)</f>
        <v>540807.96000000008</v>
      </c>
      <c r="M1502" s="891"/>
      <c r="N1502" s="891">
        <f>SUM(N1503:N1507)</f>
        <v>0</v>
      </c>
      <c r="O1502" s="892">
        <f t="shared" si="92"/>
        <v>1</v>
      </c>
      <c r="P1502" s="903">
        <f t="shared" si="93"/>
        <v>0</v>
      </c>
      <c r="Q1502" s="893">
        <f t="shared" si="94"/>
        <v>0</v>
      </c>
      <c r="R1502" s="894">
        <f t="shared" si="95"/>
        <v>5</v>
      </c>
    </row>
    <row r="1503" spans="1:18" s="904" customFormat="1">
      <c r="A1503" s="895"/>
      <c r="B1503" s="896"/>
      <c r="C1503" s="897"/>
      <c r="D1503" s="897"/>
      <c r="E1503" s="924" t="s">
        <v>108</v>
      </c>
      <c r="F1503" s="899"/>
      <c r="G1503" s="900"/>
      <c r="H1503" s="901"/>
      <c r="I1503" s="902"/>
      <c r="J1503" s="902"/>
      <c r="K1503" s="912" t="s">
        <v>274</v>
      </c>
      <c r="L1503" s="902"/>
      <c r="M1503" s="902"/>
      <c r="N1503" s="902"/>
      <c r="O1503" s="892">
        <f t="shared" si="92"/>
        <v>0</v>
      </c>
      <c r="P1503" s="903">
        <f t="shared" si="93"/>
        <v>1</v>
      </c>
      <c r="Q1503" s="893">
        <f t="shared" si="94"/>
        <v>5</v>
      </c>
      <c r="R1503" s="894">
        <f t="shared" si="95"/>
        <v>0</v>
      </c>
    </row>
    <row r="1504" spans="1:18">
      <c r="A1504" s="905"/>
      <c r="B1504" s="906"/>
      <c r="C1504" s="907">
        <v>66</v>
      </c>
      <c r="D1504" s="907" t="s">
        <v>279</v>
      </c>
      <c r="E1504" s="925" t="s">
        <v>2682</v>
      </c>
      <c r="F1504" s="926" t="s">
        <v>45</v>
      </c>
      <c r="G1504" s="910"/>
      <c r="H1504" s="911">
        <v>5.3999999999999999E-2</v>
      </c>
      <c r="I1504" s="912">
        <f>VLOOKUP(E1504,[3]VLP!$B$7:$K$300,10,0)</f>
        <v>5000</v>
      </c>
      <c r="J1504" s="912">
        <f>I1504*H1504</f>
        <v>270</v>
      </c>
      <c r="K1504" s="912" t="s">
        <v>274</v>
      </c>
      <c r="L1504" s="912"/>
      <c r="M1504" s="912"/>
      <c r="N1504" s="912"/>
      <c r="O1504" s="892">
        <f t="shared" si="92"/>
        <v>0</v>
      </c>
      <c r="P1504" s="903">
        <f t="shared" si="93"/>
        <v>1</v>
      </c>
      <c r="Q1504" s="893">
        <f t="shared" si="94"/>
        <v>4</v>
      </c>
      <c r="R1504" s="894">
        <f t="shared" si="95"/>
        <v>0</v>
      </c>
    </row>
    <row r="1505" spans="1:18">
      <c r="A1505" s="905"/>
      <c r="B1505" s="906"/>
      <c r="C1505" s="907">
        <v>44</v>
      </c>
      <c r="D1505" s="907" t="s">
        <v>279</v>
      </c>
      <c r="E1505" s="925" t="s">
        <v>2681</v>
      </c>
      <c r="F1505" s="926" t="s">
        <v>45</v>
      </c>
      <c r="G1505" s="910"/>
      <c r="H1505" s="911">
        <v>0.216</v>
      </c>
      <c r="I1505" s="912">
        <f>VLOOKUP(E1505,[3]VLP!$B$7:$K$300,10,0)</f>
        <v>23000</v>
      </c>
      <c r="J1505" s="912">
        <f>I1505*H1505</f>
        <v>4968</v>
      </c>
      <c r="K1505" s="912" t="s">
        <v>274</v>
      </c>
      <c r="L1505" s="912"/>
      <c r="M1505" s="912"/>
      <c r="N1505" s="912"/>
      <c r="O1505" s="892">
        <f t="shared" si="92"/>
        <v>0</v>
      </c>
      <c r="P1505" s="903">
        <f t="shared" si="93"/>
        <v>1</v>
      </c>
      <c r="Q1505" s="893">
        <f t="shared" si="94"/>
        <v>3</v>
      </c>
      <c r="R1505" s="894">
        <f t="shared" si="95"/>
        <v>0</v>
      </c>
    </row>
    <row r="1506" spans="1:18" s="904" customFormat="1">
      <c r="A1506" s="895"/>
      <c r="B1506" s="896"/>
      <c r="C1506" s="897"/>
      <c r="D1506" s="897"/>
      <c r="E1506" s="924" t="s">
        <v>276</v>
      </c>
      <c r="F1506" s="927"/>
      <c r="G1506" s="928"/>
      <c r="H1506" s="901"/>
      <c r="I1506" s="902"/>
      <c r="J1506" s="902"/>
      <c r="K1506" s="912" t="s">
        <v>274</v>
      </c>
      <c r="L1506" s="902"/>
      <c r="M1506" s="902"/>
      <c r="N1506" s="902"/>
      <c r="O1506" s="892">
        <f t="shared" si="92"/>
        <v>0</v>
      </c>
      <c r="P1506" s="903">
        <f t="shared" si="93"/>
        <v>1</v>
      </c>
      <c r="Q1506" s="893">
        <f t="shared" si="94"/>
        <v>2</v>
      </c>
      <c r="R1506" s="894">
        <f t="shared" si="95"/>
        <v>0</v>
      </c>
    </row>
    <row r="1507" spans="1:18">
      <c r="A1507" s="905"/>
      <c r="B1507" s="906"/>
      <c r="C1507" s="907">
        <v>740</v>
      </c>
      <c r="D1507" s="907" t="s">
        <v>12</v>
      </c>
      <c r="E1507" s="908" t="s">
        <v>4008</v>
      </c>
      <c r="F1507" s="909" t="s">
        <v>2674</v>
      </c>
      <c r="G1507" s="910"/>
      <c r="H1507" s="911">
        <v>2.14</v>
      </c>
      <c r="I1507" s="912"/>
      <c r="J1507" s="912"/>
      <c r="K1507" s="912">
        <f>VLOOKUP(E1507,ĐMNC!$A$7:$F$67,4,0)</f>
        <v>252714</v>
      </c>
      <c r="L1507" s="912">
        <f>H1507*K1507</f>
        <v>540807.96000000008</v>
      </c>
      <c r="M1507" s="912"/>
      <c r="N1507" s="912"/>
      <c r="O1507" s="892">
        <f t="shared" si="92"/>
        <v>0</v>
      </c>
      <c r="P1507" s="903">
        <f t="shared" si="93"/>
        <v>1</v>
      </c>
      <c r="Q1507" s="893">
        <f t="shared" si="94"/>
        <v>1</v>
      </c>
      <c r="R1507" s="894">
        <f t="shared" si="95"/>
        <v>0</v>
      </c>
    </row>
    <row r="1508" spans="1:18" s="847" customFormat="1" ht="31.5">
      <c r="A1508" s="905"/>
      <c r="B1508" s="914" t="s">
        <v>4433</v>
      </c>
      <c r="C1508" s="915"/>
      <c r="D1508" s="915"/>
      <c r="E1508" s="916" t="s">
        <v>4434</v>
      </c>
      <c r="F1508" s="917" t="s">
        <v>249</v>
      </c>
      <c r="G1508" s="918"/>
      <c r="H1508" s="919"/>
      <c r="I1508" s="920"/>
      <c r="J1508" s="891">
        <f>SUM(J1509:J1513)</f>
        <v>5238</v>
      </c>
      <c r="K1508" s="891"/>
      <c r="L1508" s="891">
        <f>SUM(L1509:L1513)</f>
        <v>621676.43999999994</v>
      </c>
      <c r="M1508" s="891"/>
      <c r="N1508" s="891">
        <f>SUM(N1509:N1513)</f>
        <v>0</v>
      </c>
      <c r="O1508" s="892">
        <f t="shared" si="92"/>
        <v>1</v>
      </c>
      <c r="P1508" s="903">
        <f t="shared" si="93"/>
        <v>0</v>
      </c>
      <c r="Q1508" s="893">
        <f t="shared" si="94"/>
        <v>0</v>
      </c>
      <c r="R1508" s="894">
        <f t="shared" si="95"/>
        <v>5</v>
      </c>
    </row>
    <row r="1509" spans="1:18" s="904" customFormat="1">
      <c r="A1509" s="895"/>
      <c r="B1509" s="896"/>
      <c r="C1509" s="897"/>
      <c r="D1509" s="897"/>
      <c r="E1509" s="924" t="s">
        <v>108</v>
      </c>
      <c r="F1509" s="899"/>
      <c r="G1509" s="900"/>
      <c r="H1509" s="901"/>
      <c r="I1509" s="902"/>
      <c r="J1509" s="902"/>
      <c r="K1509" s="912" t="s">
        <v>274</v>
      </c>
      <c r="L1509" s="902"/>
      <c r="M1509" s="902"/>
      <c r="N1509" s="902"/>
      <c r="O1509" s="892">
        <f t="shared" si="92"/>
        <v>0</v>
      </c>
      <c r="P1509" s="903">
        <f t="shared" si="93"/>
        <v>1</v>
      </c>
      <c r="Q1509" s="893">
        <f t="shared" si="94"/>
        <v>5</v>
      </c>
      <c r="R1509" s="894">
        <f t="shared" si="95"/>
        <v>0</v>
      </c>
    </row>
    <row r="1510" spans="1:18">
      <c r="A1510" s="905"/>
      <c r="B1510" s="906"/>
      <c r="C1510" s="907">
        <v>66</v>
      </c>
      <c r="D1510" s="907" t="s">
        <v>279</v>
      </c>
      <c r="E1510" s="925" t="s">
        <v>2682</v>
      </c>
      <c r="F1510" s="926" t="s">
        <v>45</v>
      </c>
      <c r="G1510" s="910"/>
      <c r="H1510" s="911">
        <v>5.3999999999999999E-2</v>
      </c>
      <c r="I1510" s="912">
        <f>VLOOKUP(E1510,[3]VLP!$B$7:$K$300,10,0)</f>
        <v>5000</v>
      </c>
      <c r="J1510" s="912">
        <f>I1510*H1510</f>
        <v>270</v>
      </c>
      <c r="K1510" s="912" t="s">
        <v>274</v>
      </c>
      <c r="L1510" s="912"/>
      <c r="M1510" s="912"/>
      <c r="N1510" s="912"/>
      <c r="O1510" s="892">
        <f t="shared" si="92"/>
        <v>0</v>
      </c>
      <c r="P1510" s="903">
        <f t="shared" si="93"/>
        <v>1</v>
      </c>
      <c r="Q1510" s="893">
        <f t="shared" si="94"/>
        <v>4</v>
      </c>
      <c r="R1510" s="894">
        <f t="shared" si="95"/>
        <v>0</v>
      </c>
    </row>
    <row r="1511" spans="1:18">
      <c r="A1511" s="905"/>
      <c r="B1511" s="906"/>
      <c r="C1511" s="907">
        <v>44</v>
      </c>
      <c r="D1511" s="907" t="s">
        <v>279</v>
      </c>
      <c r="E1511" s="925" t="s">
        <v>2681</v>
      </c>
      <c r="F1511" s="926" t="s">
        <v>45</v>
      </c>
      <c r="G1511" s="910"/>
      <c r="H1511" s="911">
        <v>0.216</v>
      </c>
      <c r="I1511" s="912">
        <f>VLOOKUP(E1511,[3]VLP!$B$7:$K$300,10,0)</f>
        <v>23000</v>
      </c>
      <c r="J1511" s="912">
        <f>I1511*H1511</f>
        <v>4968</v>
      </c>
      <c r="K1511" s="912" t="s">
        <v>274</v>
      </c>
      <c r="L1511" s="912"/>
      <c r="M1511" s="912"/>
      <c r="N1511" s="912"/>
      <c r="O1511" s="892">
        <f t="shared" si="92"/>
        <v>0</v>
      </c>
      <c r="P1511" s="903">
        <f t="shared" si="93"/>
        <v>1</v>
      </c>
      <c r="Q1511" s="893">
        <f t="shared" si="94"/>
        <v>3</v>
      </c>
      <c r="R1511" s="894">
        <f t="shared" si="95"/>
        <v>0</v>
      </c>
    </row>
    <row r="1512" spans="1:18" s="904" customFormat="1">
      <c r="A1512" s="895"/>
      <c r="B1512" s="896"/>
      <c r="C1512" s="897"/>
      <c r="D1512" s="897"/>
      <c r="E1512" s="924" t="s">
        <v>276</v>
      </c>
      <c r="F1512" s="927"/>
      <c r="G1512" s="928"/>
      <c r="H1512" s="901"/>
      <c r="I1512" s="902"/>
      <c r="J1512" s="902"/>
      <c r="K1512" s="912" t="s">
        <v>274</v>
      </c>
      <c r="L1512" s="902"/>
      <c r="M1512" s="902"/>
      <c r="N1512" s="902"/>
      <c r="O1512" s="892">
        <f t="shared" si="92"/>
        <v>0</v>
      </c>
      <c r="P1512" s="903">
        <f t="shared" si="93"/>
        <v>1</v>
      </c>
      <c r="Q1512" s="893">
        <f t="shared" si="94"/>
        <v>2</v>
      </c>
      <c r="R1512" s="894">
        <f t="shared" si="95"/>
        <v>0</v>
      </c>
    </row>
    <row r="1513" spans="1:18">
      <c r="A1513" s="905"/>
      <c r="B1513" s="906"/>
      <c r="C1513" s="907">
        <v>740</v>
      </c>
      <c r="D1513" s="907" t="s">
        <v>12</v>
      </c>
      <c r="E1513" s="908" t="s">
        <v>4008</v>
      </c>
      <c r="F1513" s="909" t="s">
        <v>2674</v>
      </c>
      <c r="G1513" s="910"/>
      <c r="H1513" s="911">
        <v>2.46</v>
      </c>
      <c r="I1513" s="912"/>
      <c r="J1513" s="912"/>
      <c r="K1513" s="912">
        <f>VLOOKUP(E1513,ĐMNC!$A$7:$F$67,4,0)</f>
        <v>252714</v>
      </c>
      <c r="L1513" s="912">
        <f>H1513*K1513</f>
        <v>621676.43999999994</v>
      </c>
      <c r="M1513" s="912"/>
      <c r="N1513" s="912"/>
      <c r="O1513" s="892">
        <f t="shared" si="92"/>
        <v>0</v>
      </c>
      <c r="P1513" s="903">
        <f t="shared" si="93"/>
        <v>1</v>
      </c>
      <c r="Q1513" s="893">
        <f t="shared" si="94"/>
        <v>1</v>
      </c>
      <c r="R1513" s="894">
        <f t="shared" si="95"/>
        <v>0</v>
      </c>
    </row>
    <row r="1514" spans="1:18" s="847" customFormat="1" ht="31.5">
      <c r="A1514" s="905"/>
      <c r="B1514" s="914" t="s">
        <v>4435</v>
      </c>
      <c r="C1514" s="915"/>
      <c r="D1514" s="915"/>
      <c r="E1514" s="916" t="s">
        <v>4436</v>
      </c>
      <c r="F1514" s="917" t="s">
        <v>249</v>
      </c>
      <c r="G1514" s="918"/>
      <c r="H1514" s="919"/>
      <c r="I1514" s="920"/>
      <c r="J1514" s="891">
        <f>SUM(J1515:J1519)</f>
        <v>5238</v>
      </c>
      <c r="K1514" s="891"/>
      <c r="L1514" s="891">
        <f>SUM(L1515:L1519)</f>
        <v>717707.76</v>
      </c>
      <c r="M1514" s="891"/>
      <c r="N1514" s="891">
        <f>SUM(N1515:N1519)</f>
        <v>0</v>
      </c>
      <c r="O1514" s="892">
        <f t="shared" si="92"/>
        <v>1</v>
      </c>
      <c r="P1514" s="903">
        <f t="shared" si="93"/>
        <v>0</v>
      </c>
      <c r="Q1514" s="893">
        <f t="shared" si="94"/>
        <v>0</v>
      </c>
      <c r="R1514" s="894">
        <f t="shared" si="95"/>
        <v>5</v>
      </c>
    </row>
    <row r="1515" spans="1:18" s="904" customFormat="1">
      <c r="A1515" s="895"/>
      <c r="B1515" s="896"/>
      <c r="C1515" s="897"/>
      <c r="D1515" s="897"/>
      <c r="E1515" s="924" t="s">
        <v>108</v>
      </c>
      <c r="F1515" s="899"/>
      <c r="G1515" s="900"/>
      <c r="H1515" s="901"/>
      <c r="I1515" s="902"/>
      <c r="J1515" s="902"/>
      <c r="K1515" s="912" t="s">
        <v>274</v>
      </c>
      <c r="L1515" s="902"/>
      <c r="M1515" s="902"/>
      <c r="N1515" s="902"/>
      <c r="O1515" s="892">
        <f t="shared" si="92"/>
        <v>0</v>
      </c>
      <c r="P1515" s="903">
        <f t="shared" si="93"/>
        <v>1</v>
      </c>
      <c r="Q1515" s="893">
        <f t="shared" si="94"/>
        <v>5</v>
      </c>
      <c r="R1515" s="894">
        <f t="shared" si="95"/>
        <v>0</v>
      </c>
    </row>
    <row r="1516" spans="1:18">
      <c r="A1516" s="905"/>
      <c r="B1516" s="906"/>
      <c r="C1516" s="907">
        <v>66</v>
      </c>
      <c r="D1516" s="907" t="s">
        <v>279</v>
      </c>
      <c r="E1516" s="925" t="s">
        <v>2682</v>
      </c>
      <c r="F1516" s="926" t="s">
        <v>45</v>
      </c>
      <c r="G1516" s="910"/>
      <c r="H1516" s="911">
        <v>5.3999999999999999E-2</v>
      </c>
      <c r="I1516" s="912">
        <f>VLOOKUP(E1516,[3]VLP!$B$7:$K$300,10,0)</f>
        <v>5000</v>
      </c>
      <c r="J1516" s="912">
        <f>I1516*H1516</f>
        <v>270</v>
      </c>
      <c r="K1516" s="912" t="s">
        <v>274</v>
      </c>
      <c r="L1516" s="912"/>
      <c r="M1516" s="912"/>
      <c r="N1516" s="912"/>
      <c r="O1516" s="892">
        <f t="shared" si="92"/>
        <v>0</v>
      </c>
      <c r="P1516" s="903">
        <f t="shared" si="93"/>
        <v>1</v>
      </c>
      <c r="Q1516" s="893">
        <f t="shared" si="94"/>
        <v>4</v>
      </c>
      <c r="R1516" s="894">
        <f t="shared" si="95"/>
        <v>0</v>
      </c>
    </row>
    <row r="1517" spans="1:18">
      <c r="A1517" s="905"/>
      <c r="B1517" s="906"/>
      <c r="C1517" s="907">
        <v>44</v>
      </c>
      <c r="D1517" s="907" t="s">
        <v>279</v>
      </c>
      <c r="E1517" s="925" t="s">
        <v>2681</v>
      </c>
      <c r="F1517" s="926" t="s">
        <v>45</v>
      </c>
      <c r="G1517" s="910"/>
      <c r="H1517" s="911">
        <v>0.216</v>
      </c>
      <c r="I1517" s="912">
        <f>VLOOKUP(E1517,[3]VLP!$B$7:$K$300,10,0)</f>
        <v>23000</v>
      </c>
      <c r="J1517" s="912">
        <f>I1517*H1517</f>
        <v>4968</v>
      </c>
      <c r="K1517" s="912" t="s">
        <v>274</v>
      </c>
      <c r="L1517" s="912"/>
      <c r="M1517" s="912"/>
      <c r="N1517" s="912"/>
      <c r="O1517" s="892">
        <f t="shared" si="92"/>
        <v>0</v>
      </c>
      <c r="P1517" s="903">
        <f t="shared" si="93"/>
        <v>1</v>
      </c>
      <c r="Q1517" s="893">
        <f t="shared" si="94"/>
        <v>3</v>
      </c>
      <c r="R1517" s="894">
        <f t="shared" si="95"/>
        <v>0</v>
      </c>
    </row>
    <row r="1518" spans="1:18" s="904" customFormat="1">
      <c r="A1518" s="895"/>
      <c r="B1518" s="896"/>
      <c r="C1518" s="897"/>
      <c r="D1518" s="897"/>
      <c r="E1518" s="924" t="s">
        <v>276</v>
      </c>
      <c r="F1518" s="927"/>
      <c r="G1518" s="928"/>
      <c r="H1518" s="901"/>
      <c r="I1518" s="902"/>
      <c r="J1518" s="902"/>
      <c r="K1518" s="912" t="s">
        <v>274</v>
      </c>
      <c r="L1518" s="902"/>
      <c r="M1518" s="902"/>
      <c r="N1518" s="902"/>
      <c r="O1518" s="892">
        <f t="shared" si="92"/>
        <v>0</v>
      </c>
      <c r="P1518" s="903">
        <f t="shared" si="93"/>
        <v>1</v>
      </c>
      <c r="Q1518" s="893">
        <f t="shared" si="94"/>
        <v>2</v>
      </c>
      <c r="R1518" s="894">
        <f t="shared" si="95"/>
        <v>0</v>
      </c>
    </row>
    <row r="1519" spans="1:18">
      <c r="A1519" s="905"/>
      <c r="B1519" s="906"/>
      <c r="C1519" s="907">
        <v>740</v>
      </c>
      <c r="D1519" s="907" t="s">
        <v>12</v>
      </c>
      <c r="E1519" s="908" t="s">
        <v>4008</v>
      </c>
      <c r="F1519" s="909" t="s">
        <v>2674</v>
      </c>
      <c r="G1519" s="910"/>
      <c r="H1519" s="911">
        <v>2.84</v>
      </c>
      <c r="I1519" s="912"/>
      <c r="J1519" s="912"/>
      <c r="K1519" s="912">
        <f>VLOOKUP(E1519,ĐMNC!$A$7:$F$67,4,0)</f>
        <v>252714</v>
      </c>
      <c r="L1519" s="912">
        <f>H1519*K1519</f>
        <v>717707.76</v>
      </c>
      <c r="M1519" s="912"/>
      <c r="N1519" s="912"/>
      <c r="O1519" s="892">
        <f t="shared" si="92"/>
        <v>0</v>
      </c>
      <c r="P1519" s="903">
        <f t="shared" si="93"/>
        <v>1</v>
      </c>
      <c r="Q1519" s="893">
        <f t="shared" si="94"/>
        <v>1</v>
      </c>
      <c r="R1519" s="894">
        <f t="shared" si="95"/>
        <v>0</v>
      </c>
    </row>
    <row r="1520" spans="1:18" s="847" customFormat="1" ht="31.5">
      <c r="A1520" s="905"/>
      <c r="B1520" s="914" t="s">
        <v>4437</v>
      </c>
      <c r="C1520" s="915"/>
      <c r="D1520" s="915"/>
      <c r="E1520" s="916" t="s">
        <v>4438</v>
      </c>
      <c r="F1520" s="917" t="s">
        <v>249</v>
      </c>
      <c r="G1520" s="918"/>
      <c r="H1520" s="919"/>
      <c r="I1520" s="920"/>
      <c r="J1520" s="891">
        <f>SUM(J1521:J1525)</f>
        <v>7101</v>
      </c>
      <c r="K1520" s="891"/>
      <c r="L1520" s="891">
        <f>SUM(L1521:L1525)</f>
        <v>477629.45999999996</v>
      </c>
      <c r="M1520" s="891"/>
      <c r="N1520" s="891">
        <f>SUM(N1521:N1525)</f>
        <v>0</v>
      </c>
      <c r="O1520" s="892">
        <f t="shared" si="92"/>
        <v>1</v>
      </c>
      <c r="P1520" s="903">
        <f t="shared" si="93"/>
        <v>0</v>
      </c>
      <c r="Q1520" s="893">
        <f t="shared" si="94"/>
        <v>0</v>
      </c>
      <c r="R1520" s="894">
        <f t="shared" si="95"/>
        <v>5</v>
      </c>
    </row>
    <row r="1521" spans="1:18" s="904" customFormat="1">
      <c r="A1521" s="895"/>
      <c r="B1521" s="896"/>
      <c r="C1521" s="897"/>
      <c r="D1521" s="897"/>
      <c r="E1521" s="924" t="s">
        <v>108</v>
      </c>
      <c r="F1521" s="899"/>
      <c r="G1521" s="900"/>
      <c r="H1521" s="901"/>
      <c r="I1521" s="902"/>
      <c r="J1521" s="902"/>
      <c r="K1521" s="912" t="s">
        <v>274</v>
      </c>
      <c r="L1521" s="902"/>
      <c r="M1521" s="902"/>
      <c r="N1521" s="902"/>
      <c r="O1521" s="892">
        <f t="shared" si="92"/>
        <v>0</v>
      </c>
      <c r="P1521" s="903">
        <f t="shared" si="93"/>
        <v>1</v>
      </c>
      <c r="Q1521" s="893">
        <f t="shared" si="94"/>
        <v>5</v>
      </c>
      <c r="R1521" s="894">
        <f t="shared" si="95"/>
        <v>0</v>
      </c>
    </row>
    <row r="1522" spans="1:18">
      <c r="A1522" s="905"/>
      <c r="B1522" s="906"/>
      <c r="C1522" s="907">
        <v>66</v>
      </c>
      <c r="D1522" s="907" t="s">
        <v>279</v>
      </c>
      <c r="E1522" s="925" t="s">
        <v>2682</v>
      </c>
      <c r="F1522" s="926" t="s">
        <v>45</v>
      </c>
      <c r="G1522" s="910"/>
      <c r="H1522" s="911">
        <v>5.3999999999999999E-2</v>
      </c>
      <c r="I1522" s="912">
        <f>VLOOKUP(E1522,[3]VLP!$B$7:$K$300,10,0)</f>
        <v>5000</v>
      </c>
      <c r="J1522" s="912">
        <f>I1522*H1522</f>
        <v>270</v>
      </c>
      <c r="K1522" s="912" t="s">
        <v>274</v>
      </c>
      <c r="L1522" s="912"/>
      <c r="M1522" s="912"/>
      <c r="N1522" s="912"/>
      <c r="O1522" s="892">
        <f t="shared" si="92"/>
        <v>0</v>
      </c>
      <c r="P1522" s="903">
        <f t="shared" si="93"/>
        <v>1</v>
      </c>
      <c r="Q1522" s="893">
        <f t="shared" si="94"/>
        <v>4</v>
      </c>
      <c r="R1522" s="894">
        <f t="shared" si="95"/>
        <v>0</v>
      </c>
    </row>
    <row r="1523" spans="1:18">
      <c r="A1523" s="905"/>
      <c r="B1523" s="906"/>
      <c r="C1523" s="907">
        <v>44</v>
      </c>
      <c r="D1523" s="907" t="s">
        <v>279</v>
      </c>
      <c r="E1523" s="925" t="s">
        <v>2681</v>
      </c>
      <c r="F1523" s="926" t="s">
        <v>45</v>
      </c>
      <c r="G1523" s="910"/>
      <c r="H1523" s="911">
        <v>0.29699999999999999</v>
      </c>
      <c r="I1523" s="912">
        <f>VLOOKUP(E1523,[3]VLP!$B$7:$K$300,10,0)</f>
        <v>23000</v>
      </c>
      <c r="J1523" s="912">
        <f>I1523*H1523</f>
        <v>6831</v>
      </c>
      <c r="K1523" s="912" t="s">
        <v>274</v>
      </c>
      <c r="L1523" s="912"/>
      <c r="M1523" s="912"/>
      <c r="N1523" s="912"/>
      <c r="O1523" s="892">
        <f t="shared" si="92"/>
        <v>0</v>
      </c>
      <c r="P1523" s="903">
        <f t="shared" si="93"/>
        <v>1</v>
      </c>
      <c r="Q1523" s="893">
        <f t="shared" si="94"/>
        <v>3</v>
      </c>
      <c r="R1523" s="894">
        <f t="shared" si="95"/>
        <v>0</v>
      </c>
    </row>
    <row r="1524" spans="1:18" s="904" customFormat="1">
      <c r="A1524" s="895"/>
      <c r="B1524" s="896"/>
      <c r="C1524" s="897"/>
      <c r="D1524" s="897"/>
      <c r="E1524" s="924" t="s">
        <v>276</v>
      </c>
      <c r="F1524" s="927"/>
      <c r="G1524" s="928"/>
      <c r="H1524" s="901"/>
      <c r="I1524" s="902"/>
      <c r="J1524" s="902"/>
      <c r="K1524" s="912" t="s">
        <v>274</v>
      </c>
      <c r="L1524" s="902"/>
      <c r="M1524" s="902"/>
      <c r="N1524" s="902"/>
      <c r="O1524" s="892">
        <f t="shared" si="92"/>
        <v>0</v>
      </c>
      <c r="P1524" s="903">
        <f t="shared" si="93"/>
        <v>1</v>
      </c>
      <c r="Q1524" s="893">
        <f t="shared" si="94"/>
        <v>2</v>
      </c>
      <c r="R1524" s="894">
        <f t="shared" si="95"/>
        <v>0</v>
      </c>
    </row>
    <row r="1525" spans="1:18">
      <c r="A1525" s="905"/>
      <c r="B1525" s="906"/>
      <c r="C1525" s="907">
        <v>740</v>
      </c>
      <c r="D1525" s="907" t="s">
        <v>12</v>
      </c>
      <c r="E1525" s="908" t="s">
        <v>4008</v>
      </c>
      <c r="F1525" s="909" t="s">
        <v>2674</v>
      </c>
      <c r="G1525" s="910"/>
      <c r="H1525" s="911">
        <v>1.89</v>
      </c>
      <c r="I1525" s="912"/>
      <c r="J1525" s="912"/>
      <c r="K1525" s="912">
        <f>VLOOKUP(E1525,ĐMNC!$A$7:$F$67,4,0)</f>
        <v>252714</v>
      </c>
      <c r="L1525" s="912">
        <f>H1525*K1525</f>
        <v>477629.45999999996</v>
      </c>
      <c r="M1525" s="912"/>
      <c r="N1525" s="912"/>
      <c r="O1525" s="892">
        <f t="shared" si="92"/>
        <v>0</v>
      </c>
      <c r="P1525" s="903">
        <f t="shared" si="93"/>
        <v>1</v>
      </c>
      <c r="Q1525" s="893">
        <f t="shared" si="94"/>
        <v>1</v>
      </c>
      <c r="R1525" s="894">
        <f t="shared" si="95"/>
        <v>0</v>
      </c>
    </row>
    <row r="1526" spans="1:18" s="847" customFormat="1" ht="31.5">
      <c r="A1526" s="905"/>
      <c r="B1526" s="914" t="s">
        <v>4439</v>
      </c>
      <c r="C1526" s="915"/>
      <c r="D1526" s="915"/>
      <c r="E1526" s="916" t="s">
        <v>4440</v>
      </c>
      <c r="F1526" s="917" t="s">
        <v>249</v>
      </c>
      <c r="G1526" s="918"/>
      <c r="H1526" s="919"/>
      <c r="I1526" s="920"/>
      <c r="J1526" s="891">
        <f>SUM(J1527:J1531)</f>
        <v>7101</v>
      </c>
      <c r="K1526" s="891"/>
      <c r="L1526" s="891">
        <f>SUM(L1527:L1531)</f>
        <v>505428</v>
      </c>
      <c r="M1526" s="891"/>
      <c r="N1526" s="891">
        <f>SUM(N1527:N1531)</f>
        <v>0</v>
      </c>
      <c r="O1526" s="892">
        <f t="shared" si="92"/>
        <v>1</v>
      </c>
      <c r="P1526" s="903">
        <f t="shared" si="93"/>
        <v>0</v>
      </c>
      <c r="Q1526" s="893">
        <f t="shared" si="94"/>
        <v>0</v>
      </c>
      <c r="R1526" s="894">
        <f t="shared" si="95"/>
        <v>5</v>
      </c>
    </row>
    <row r="1527" spans="1:18" s="904" customFormat="1">
      <c r="A1527" s="895"/>
      <c r="B1527" s="896"/>
      <c r="C1527" s="897"/>
      <c r="D1527" s="897"/>
      <c r="E1527" s="924" t="s">
        <v>108</v>
      </c>
      <c r="F1527" s="899"/>
      <c r="G1527" s="900"/>
      <c r="H1527" s="901"/>
      <c r="I1527" s="902"/>
      <c r="J1527" s="902"/>
      <c r="K1527" s="912" t="s">
        <v>274</v>
      </c>
      <c r="L1527" s="902"/>
      <c r="M1527" s="902"/>
      <c r="N1527" s="902"/>
      <c r="O1527" s="892">
        <f t="shared" si="92"/>
        <v>0</v>
      </c>
      <c r="P1527" s="903">
        <f t="shared" si="93"/>
        <v>1</v>
      </c>
      <c r="Q1527" s="893">
        <f t="shared" si="94"/>
        <v>5</v>
      </c>
      <c r="R1527" s="894">
        <f t="shared" si="95"/>
        <v>0</v>
      </c>
    </row>
    <row r="1528" spans="1:18">
      <c r="A1528" s="905"/>
      <c r="B1528" s="906"/>
      <c r="C1528" s="907">
        <v>66</v>
      </c>
      <c r="D1528" s="907" t="s">
        <v>279</v>
      </c>
      <c r="E1528" s="925" t="s">
        <v>2682</v>
      </c>
      <c r="F1528" s="926" t="s">
        <v>45</v>
      </c>
      <c r="G1528" s="910"/>
      <c r="H1528" s="911">
        <v>5.3999999999999999E-2</v>
      </c>
      <c r="I1528" s="912">
        <f>VLOOKUP(E1528,[3]VLP!$B$7:$K$300,10,0)</f>
        <v>5000</v>
      </c>
      <c r="J1528" s="912">
        <f>I1528*H1528</f>
        <v>270</v>
      </c>
      <c r="K1528" s="912" t="s">
        <v>274</v>
      </c>
      <c r="L1528" s="912"/>
      <c r="M1528" s="912"/>
      <c r="N1528" s="912"/>
      <c r="O1528" s="892">
        <f t="shared" si="92"/>
        <v>0</v>
      </c>
      <c r="P1528" s="903">
        <f t="shared" si="93"/>
        <v>1</v>
      </c>
      <c r="Q1528" s="893">
        <f t="shared" si="94"/>
        <v>4</v>
      </c>
      <c r="R1528" s="894">
        <f t="shared" si="95"/>
        <v>0</v>
      </c>
    </row>
    <row r="1529" spans="1:18">
      <c r="A1529" s="905"/>
      <c r="B1529" s="906"/>
      <c r="C1529" s="907">
        <v>44</v>
      </c>
      <c r="D1529" s="907" t="s">
        <v>279</v>
      </c>
      <c r="E1529" s="925" t="s">
        <v>2681</v>
      </c>
      <c r="F1529" s="926" t="s">
        <v>45</v>
      </c>
      <c r="G1529" s="910"/>
      <c r="H1529" s="911">
        <v>0.29699999999999999</v>
      </c>
      <c r="I1529" s="912">
        <f>VLOOKUP(E1529,[3]VLP!$B$7:$K$300,10,0)</f>
        <v>23000</v>
      </c>
      <c r="J1529" s="912">
        <f>I1529*H1529</f>
        <v>6831</v>
      </c>
      <c r="K1529" s="912" t="s">
        <v>274</v>
      </c>
      <c r="L1529" s="912"/>
      <c r="M1529" s="912"/>
      <c r="N1529" s="912"/>
      <c r="O1529" s="892">
        <f t="shared" si="92"/>
        <v>0</v>
      </c>
      <c r="P1529" s="903">
        <f t="shared" si="93"/>
        <v>1</v>
      </c>
      <c r="Q1529" s="893">
        <f t="shared" si="94"/>
        <v>3</v>
      </c>
      <c r="R1529" s="894">
        <f t="shared" si="95"/>
        <v>0</v>
      </c>
    </row>
    <row r="1530" spans="1:18" s="904" customFormat="1">
      <c r="A1530" s="895"/>
      <c r="B1530" s="896"/>
      <c r="C1530" s="897"/>
      <c r="D1530" s="897"/>
      <c r="E1530" s="924" t="s">
        <v>276</v>
      </c>
      <c r="F1530" s="927"/>
      <c r="G1530" s="928"/>
      <c r="H1530" s="901"/>
      <c r="I1530" s="902"/>
      <c r="J1530" s="902"/>
      <c r="K1530" s="912" t="s">
        <v>274</v>
      </c>
      <c r="L1530" s="902"/>
      <c r="M1530" s="902"/>
      <c r="N1530" s="902"/>
      <c r="O1530" s="892">
        <f t="shared" si="92"/>
        <v>0</v>
      </c>
      <c r="P1530" s="903">
        <f t="shared" si="93"/>
        <v>1</v>
      </c>
      <c r="Q1530" s="893">
        <f t="shared" si="94"/>
        <v>2</v>
      </c>
      <c r="R1530" s="894">
        <f t="shared" si="95"/>
        <v>0</v>
      </c>
    </row>
    <row r="1531" spans="1:18">
      <c r="A1531" s="905"/>
      <c r="B1531" s="906"/>
      <c r="C1531" s="907">
        <v>740</v>
      </c>
      <c r="D1531" s="907" t="s">
        <v>12</v>
      </c>
      <c r="E1531" s="908" t="s">
        <v>4008</v>
      </c>
      <c r="F1531" s="909" t="s">
        <v>2674</v>
      </c>
      <c r="G1531" s="910"/>
      <c r="H1531" s="911">
        <v>2</v>
      </c>
      <c r="I1531" s="912"/>
      <c r="J1531" s="912"/>
      <c r="K1531" s="912">
        <f>VLOOKUP(E1531,ĐMNC!$A$7:$F$67,4,0)</f>
        <v>252714</v>
      </c>
      <c r="L1531" s="912">
        <f>H1531*K1531</f>
        <v>505428</v>
      </c>
      <c r="M1531" s="912"/>
      <c r="N1531" s="912"/>
      <c r="O1531" s="892">
        <f t="shared" si="92"/>
        <v>0</v>
      </c>
      <c r="P1531" s="903">
        <f t="shared" si="93"/>
        <v>1</v>
      </c>
      <c r="Q1531" s="893">
        <f t="shared" si="94"/>
        <v>1</v>
      </c>
      <c r="R1531" s="894">
        <f t="shared" si="95"/>
        <v>0</v>
      </c>
    </row>
    <row r="1532" spans="1:18" s="847" customFormat="1" ht="31.5">
      <c r="A1532" s="905"/>
      <c r="B1532" s="914" t="s">
        <v>4441</v>
      </c>
      <c r="C1532" s="915"/>
      <c r="D1532" s="915"/>
      <c r="E1532" s="916" t="s">
        <v>4442</v>
      </c>
      <c r="F1532" s="917" t="s">
        <v>249</v>
      </c>
      <c r="G1532" s="918"/>
      <c r="H1532" s="919"/>
      <c r="I1532" s="920"/>
      <c r="J1532" s="891">
        <f>SUM(J1533:J1537)</f>
        <v>7101</v>
      </c>
      <c r="K1532" s="891"/>
      <c r="L1532" s="891">
        <f>SUM(L1533:L1537)</f>
        <v>550916.52</v>
      </c>
      <c r="M1532" s="891"/>
      <c r="N1532" s="891">
        <f>SUM(N1533:N1537)</f>
        <v>0</v>
      </c>
      <c r="O1532" s="892">
        <f t="shared" si="92"/>
        <v>1</v>
      </c>
      <c r="P1532" s="903">
        <f t="shared" si="93"/>
        <v>0</v>
      </c>
      <c r="Q1532" s="893">
        <f t="shared" si="94"/>
        <v>0</v>
      </c>
      <c r="R1532" s="894">
        <f t="shared" si="95"/>
        <v>5</v>
      </c>
    </row>
    <row r="1533" spans="1:18" s="904" customFormat="1">
      <c r="A1533" s="895"/>
      <c r="B1533" s="896"/>
      <c r="C1533" s="897"/>
      <c r="D1533" s="897"/>
      <c r="E1533" s="924" t="s">
        <v>108</v>
      </c>
      <c r="F1533" s="899"/>
      <c r="G1533" s="900"/>
      <c r="H1533" s="901"/>
      <c r="I1533" s="902"/>
      <c r="J1533" s="902"/>
      <c r="K1533" s="912" t="s">
        <v>274</v>
      </c>
      <c r="L1533" s="902"/>
      <c r="M1533" s="902"/>
      <c r="N1533" s="902"/>
      <c r="O1533" s="892">
        <f t="shared" si="92"/>
        <v>0</v>
      </c>
      <c r="P1533" s="903">
        <f t="shared" si="93"/>
        <v>1</v>
      </c>
      <c r="Q1533" s="893">
        <f t="shared" si="94"/>
        <v>5</v>
      </c>
      <c r="R1533" s="894">
        <f t="shared" si="95"/>
        <v>0</v>
      </c>
    </row>
    <row r="1534" spans="1:18">
      <c r="A1534" s="905"/>
      <c r="B1534" s="906"/>
      <c r="C1534" s="907">
        <v>66</v>
      </c>
      <c r="D1534" s="907" t="s">
        <v>279</v>
      </c>
      <c r="E1534" s="925" t="s">
        <v>2682</v>
      </c>
      <c r="F1534" s="926" t="s">
        <v>45</v>
      </c>
      <c r="G1534" s="910"/>
      <c r="H1534" s="911">
        <v>5.3999999999999999E-2</v>
      </c>
      <c r="I1534" s="912">
        <f>VLOOKUP(E1534,[3]VLP!$B$7:$K$300,10,0)</f>
        <v>5000</v>
      </c>
      <c r="J1534" s="912">
        <f>I1534*H1534</f>
        <v>270</v>
      </c>
      <c r="K1534" s="912" t="s">
        <v>274</v>
      </c>
      <c r="L1534" s="912"/>
      <c r="M1534" s="912"/>
      <c r="N1534" s="912"/>
      <c r="O1534" s="892">
        <f t="shared" si="92"/>
        <v>0</v>
      </c>
      <c r="P1534" s="903">
        <f t="shared" si="93"/>
        <v>1</v>
      </c>
      <c r="Q1534" s="893">
        <f t="shared" si="94"/>
        <v>4</v>
      </c>
      <c r="R1534" s="894">
        <f t="shared" si="95"/>
        <v>0</v>
      </c>
    </row>
    <row r="1535" spans="1:18">
      <c r="A1535" s="905"/>
      <c r="B1535" s="906"/>
      <c r="C1535" s="907">
        <v>44</v>
      </c>
      <c r="D1535" s="907" t="s">
        <v>279</v>
      </c>
      <c r="E1535" s="925" t="s">
        <v>2681</v>
      </c>
      <c r="F1535" s="926" t="s">
        <v>45</v>
      </c>
      <c r="G1535" s="910"/>
      <c r="H1535" s="911">
        <v>0.29699999999999999</v>
      </c>
      <c r="I1535" s="912">
        <f>VLOOKUP(E1535,[3]VLP!$B$7:$K$300,10,0)</f>
        <v>23000</v>
      </c>
      <c r="J1535" s="912">
        <f>I1535*H1535</f>
        <v>6831</v>
      </c>
      <c r="K1535" s="912" t="s">
        <v>274</v>
      </c>
      <c r="L1535" s="912"/>
      <c r="M1535" s="912"/>
      <c r="N1535" s="912"/>
      <c r="O1535" s="892">
        <f t="shared" si="92"/>
        <v>0</v>
      </c>
      <c r="P1535" s="903">
        <f t="shared" si="93"/>
        <v>1</v>
      </c>
      <c r="Q1535" s="893">
        <f t="shared" si="94"/>
        <v>3</v>
      </c>
      <c r="R1535" s="894">
        <f t="shared" si="95"/>
        <v>0</v>
      </c>
    </row>
    <row r="1536" spans="1:18" s="904" customFormat="1">
      <c r="A1536" s="895"/>
      <c r="B1536" s="896"/>
      <c r="C1536" s="897"/>
      <c r="D1536" s="897"/>
      <c r="E1536" s="924" t="s">
        <v>276</v>
      </c>
      <c r="F1536" s="927"/>
      <c r="G1536" s="928"/>
      <c r="H1536" s="901"/>
      <c r="I1536" s="902"/>
      <c r="J1536" s="902"/>
      <c r="K1536" s="912" t="s">
        <v>274</v>
      </c>
      <c r="L1536" s="902"/>
      <c r="M1536" s="902"/>
      <c r="N1536" s="902"/>
      <c r="O1536" s="892">
        <f t="shared" si="92"/>
        <v>0</v>
      </c>
      <c r="P1536" s="903">
        <f t="shared" si="93"/>
        <v>1</v>
      </c>
      <c r="Q1536" s="893">
        <f t="shared" si="94"/>
        <v>2</v>
      </c>
      <c r="R1536" s="894">
        <f t="shared" si="95"/>
        <v>0</v>
      </c>
    </row>
    <row r="1537" spans="1:18">
      <c r="A1537" s="905"/>
      <c r="B1537" s="906"/>
      <c r="C1537" s="907">
        <v>740</v>
      </c>
      <c r="D1537" s="907" t="s">
        <v>12</v>
      </c>
      <c r="E1537" s="908" t="s">
        <v>4008</v>
      </c>
      <c r="F1537" s="909" t="s">
        <v>2674</v>
      </c>
      <c r="G1537" s="910"/>
      <c r="H1537" s="911">
        <v>2.1800000000000002</v>
      </c>
      <c r="I1537" s="912"/>
      <c r="J1537" s="912"/>
      <c r="K1537" s="912">
        <f>VLOOKUP(E1537,ĐMNC!$A$7:$F$67,4,0)</f>
        <v>252714</v>
      </c>
      <c r="L1537" s="912">
        <f>H1537*K1537</f>
        <v>550916.52</v>
      </c>
      <c r="M1537" s="912"/>
      <c r="N1537" s="912"/>
      <c r="O1537" s="892">
        <f t="shared" si="92"/>
        <v>0</v>
      </c>
      <c r="P1537" s="903">
        <f t="shared" si="93"/>
        <v>1</v>
      </c>
      <c r="Q1537" s="893">
        <f t="shared" si="94"/>
        <v>1</v>
      </c>
      <c r="R1537" s="894">
        <f t="shared" si="95"/>
        <v>0</v>
      </c>
    </row>
    <row r="1538" spans="1:18" s="847" customFormat="1" ht="31.5">
      <c r="A1538" s="905"/>
      <c r="B1538" s="914" t="s">
        <v>4443</v>
      </c>
      <c r="C1538" s="915"/>
      <c r="D1538" s="915"/>
      <c r="E1538" s="916" t="s">
        <v>4444</v>
      </c>
      <c r="F1538" s="917" t="s">
        <v>249</v>
      </c>
      <c r="G1538" s="918"/>
      <c r="H1538" s="919"/>
      <c r="I1538" s="920"/>
      <c r="J1538" s="891">
        <f>SUM(J1539:J1543)</f>
        <v>7101</v>
      </c>
      <c r="K1538" s="891"/>
      <c r="L1538" s="891">
        <f>SUM(L1539:L1543)</f>
        <v>636839.28</v>
      </c>
      <c r="M1538" s="891"/>
      <c r="N1538" s="891">
        <f>SUM(N1539:N1543)</f>
        <v>0</v>
      </c>
      <c r="O1538" s="892">
        <f t="shared" si="92"/>
        <v>1</v>
      </c>
      <c r="P1538" s="903">
        <f t="shared" si="93"/>
        <v>0</v>
      </c>
      <c r="Q1538" s="893">
        <f t="shared" si="94"/>
        <v>0</v>
      </c>
      <c r="R1538" s="894">
        <f t="shared" si="95"/>
        <v>5</v>
      </c>
    </row>
    <row r="1539" spans="1:18" s="904" customFormat="1">
      <c r="A1539" s="895"/>
      <c r="B1539" s="896"/>
      <c r="C1539" s="897"/>
      <c r="D1539" s="897"/>
      <c r="E1539" s="924" t="s">
        <v>108</v>
      </c>
      <c r="F1539" s="899"/>
      <c r="G1539" s="900"/>
      <c r="H1539" s="901"/>
      <c r="I1539" s="902"/>
      <c r="J1539" s="902"/>
      <c r="K1539" s="912" t="s">
        <v>274</v>
      </c>
      <c r="L1539" s="902"/>
      <c r="M1539" s="902"/>
      <c r="N1539" s="902"/>
      <c r="O1539" s="892">
        <f t="shared" si="92"/>
        <v>0</v>
      </c>
      <c r="P1539" s="903">
        <f t="shared" si="93"/>
        <v>1</v>
      </c>
      <c r="Q1539" s="893">
        <f t="shared" si="94"/>
        <v>5</v>
      </c>
      <c r="R1539" s="894">
        <f t="shared" si="95"/>
        <v>0</v>
      </c>
    </row>
    <row r="1540" spans="1:18">
      <c r="A1540" s="905"/>
      <c r="B1540" s="906"/>
      <c r="C1540" s="907">
        <v>66</v>
      </c>
      <c r="D1540" s="907" t="s">
        <v>279</v>
      </c>
      <c r="E1540" s="925" t="s">
        <v>2682</v>
      </c>
      <c r="F1540" s="926" t="s">
        <v>45</v>
      </c>
      <c r="G1540" s="910"/>
      <c r="H1540" s="911">
        <v>5.3999999999999999E-2</v>
      </c>
      <c r="I1540" s="912">
        <f>VLOOKUP(E1540,[3]VLP!$B$7:$K$300,10,0)</f>
        <v>5000</v>
      </c>
      <c r="J1540" s="912">
        <f>I1540*H1540</f>
        <v>270</v>
      </c>
      <c r="K1540" s="912" t="s">
        <v>274</v>
      </c>
      <c r="L1540" s="912"/>
      <c r="M1540" s="912"/>
      <c r="N1540" s="912"/>
      <c r="O1540" s="892">
        <f t="shared" si="92"/>
        <v>0</v>
      </c>
      <c r="P1540" s="903">
        <f t="shared" si="93"/>
        <v>1</v>
      </c>
      <c r="Q1540" s="893">
        <f t="shared" si="94"/>
        <v>4</v>
      </c>
      <c r="R1540" s="894">
        <f t="shared" si="95"/>
        <v>0</v>
      </c>
    </row>
    <row r="1541" spans="1:18">
      <c r="A1541" s="905"/>
      <c r="B1541" s="906"/>
      <c r="C1541" s="907">
        <v>44</v>
      </c>
      <c r="D1541" s="907" t="s">
        <v>279</v>
      </c>
      <c r="E1541" s="925" t="s">
        <v>2681</v>
      </c>
      <c r="F1541" s="926" t="s">
        <v>45</v>
      </c>
      <c r="G1541" s="910"/>
      <c r="H1541" s="911">
        <v>0.29699999999999999</v>
      </c>
      <c r="I1541" s="912">
        <f>VLOOKUP(E1541,[3]VLP!$B$7:$K$300,10,0)</f>
        <v>23000</v>
      </c>
      <c r="J1541" s="912">
        <f>I1541*H1541</f>
        <v>6831</v>
      </c>
      <c r="K1541" s="912" t="s">
        <v>274</v>
      </c>
      <c r="L1541" s="912"/>
      <c r="M1541" s="912"/>
      <c r="N1541" s="912"/>
      <c r="O1541" s="892">
        <f t="shared" si="92"/>
        <v>0</v>
      </c>
      <c r="P1541" s="903">
        <f t="shared" si="93"/>
        <v>1</v>
      </c>
      <c r="Q1541" s="893">
        <f t="shared" si="94"/>
        <v>3</v>
      </c>
      <c r="R1541" s="894">
        <f t="shared" si="95"/>
        <v>0</v>
      </c>
    </row>
    <row r="1542" spans="1:18" s="904" customFormat="1">
      <c r="A1542" s="895"/>
      <c r="B1542" s="896"/>
      <c r="C1542" s="897"/>
      <c r="D1542" s="897"/>
      <c r="E1542" s="924" t="s">
        <v>276</v>
      </c>
      <c r="F1542" s="927"/>
      <c r="G1542" s="928"/>
      <c r="H1542" s="901"/>
      <c r="I1542" s="902"/>
      <c r="J1542" s="902"/>
      <c r="K1542" s="912" t="s">
        <v>274</v>
      </c>
      <c r="L1542" s="902"/>
      <c r="M1542" s="902"/>
      <c r="N1542" s="902"/>
      <c r="O1542" s="892">
        <f t="shared" si="92"/>
        <v>0</v>
      </c>
      <c r="P1542" s="903">
        <f t="shared" si="93"/>
        <v>1</v>
      </c>
      <c r="Q1542" s="893">
        <f t="shared" si="94"/>
        <v>2</v>
      </c>
      <c r="R1542" s="894">
        <f t="shared" si="95"/>
        <v>0</v>
      </c>
    </row>
    <row r="1543" spans="1:18">
      <c r="A1543" s="905"/>
      <c r="B1543" s="906"/>
      <c r="C1543" s="907">
        <v>740</v>
      </c>
      <c r="D1543" s="907" t="s">
        <v>12</v>
      </c>
      <c r="E1543" s="908" t="s">
        <v>4008</v>
      </c>
      <c r="F1543" s="909" t="s">
        <v>2674</v>
      </c>
      <c r="G1543" s="910"/>
      <c r="H1543" s="911">
        <v>2.52</v>
      </c>
      <c r="I1543" s="912"/>
      <c r="J1543" s="912"/>
      <c r="K1543" s="912">
        <f>VLOOKUP(E1543,ĐMNC!$A$7:$F$67,4,0)</f>
        <v>252714</v>
      </c>
      <c r="L1543" s="912">
        <f>H1543*K1543</f>
        <v>636839.28</v>
      </c>
      <c r="M1543" s="912"/>
      <c r="N1543" s="912"/>
      <c r="O1543" s="892">
        <f t="shared" ref="O1543:O1606" si="96">IF(AND(B1543&lt;&gt;"",D1543=""),1,0)</f>
        <v>0</v>
      </c>
      <c r="P1543" s="903">
        <f t="shared" si="93"/>
        <v>1</v>
      </c>
      <c r="Q1543" s="893">
        <f t="shared" si="94"/>
        <v>1</v>
      </c>
      <c r="R1543" s="894">
        <f t="shared" si="95"/>
        <v>0</v>
      </c>
    </row>
    <row r="1544" spans="1:18" s="847" customFormat="1" ht="31.5">
      <c r="A1544" s="905"/>
      <c r="B1544" s="914" t="s">
        <v>4445</v>
      </c>
      <c r="C1544" s="915"/>
      <c r="D1544" s="915"/>
      <c r="E1544" s="916" t="s">
        <v>4446</v>
      </c>
      <c r="F1544" s="917" t="s">
        <v>249</v>
      </c>
      <c r="G1544" s="918"/>
      <c r="H1544" s="919"/>
      <c r="I1544" s="920"/>
      <c r="J1544" s="891">
        <f>SUM(J1545:J1549)</f>
        <v>7101</v>
      </c>
      <c r="K1544" s="891"/>
      <c r="L1544" s="891">
        <f>SUM(L1545:L1549)</f>
        <v>700017.78</v>
      </c>
      <c r="M1544" s="891"/>
      <c r="N1544" s="891">
        <f>SUM(N1545:N1549)</f>
        <v>0</v>
      </c>
      <c r="O1544" s="892">
        <f t="shared" si="96"/>
        <v>1</v>
      </c>
      <c r="P1544" s="903">
        <f t="shared" si="93"/>
        <v>0</v>
      </c>
      <c r="Q1544" s="893">
        <f t="shared" si="94"/>
        <v>0</v>
      </c>
      <c r="R1544" s="894">
        <f t="shared" si="95"/>
        <v>5</v>
      </c>
    </row>
    <row r="1545" spans="1:18" s="904" customFormat="1">
      <c r="A1545" s="895"/>
      <c r="B1545" s="896"/>
      <c r="C1545" s="897"/>
      <c r="D1545" s="897"/>
      <c r="E1545" s="924" t="s">
        <v>108</v>
      </c>
      <c r="F1545" s="899"/>
      <c r="G1545" s="900"/>
      <c r="H1545" s="901"/>
      <c r="I1545" s="902"/>
      <c r="J1545" s="902"/>
      <c r="K1545" s="912" t="s">
        <v>274</v>
      </c>
      <c r="L1545" s="902"/>
      <c r="M1545" s="902"/>
      <c r="N1545" s="902"/>
      <c r="O1545" s="892">
        <f t="shared" si="96"/>
        <v>0</v>
      </c>
      <c r="P1545" s="903">
        <f t="shared" si="93"/>
        <v>1</v>
      </c>
      <c r="Q1545" s="893">
        <f t="shared" si="94"/>
        <v>5</v>
      </c>
      <c r="R1545" s="894">
        <f t="shared" si="95"/>
        <v>0</v>
      </c>
    </row>
    <row r="1546" spans="1:18">
      <c r="A1546" s="905"/>
      <c r="B1546" s="906"/>
      <c r="C1546" s="907">
        <v>66</v>
      </c>
      <c r="D1546" s="907" t="s">
        <v>279</v>
      </c>
      <c r="E1546" s="925" t="s">
        <v>2682</v>
      </c>
      <c r="F1546" s="926" t="s">
        <v>45</v>
      </c>
      <c r="G1546" s="910"/>
      <c r="H1546" s="911">
        <v>5.3999999999999999E-2</v>
      </c>
      <c r="I1546" s="912">
        <f>VLOOKUP(E1546,[3]VLP!$B$7:$K$300,10,0)</f>
        <v>5000</v>
      </c>
      <c r="J1546" s="912">
        <f>I1546*H1546</f>
        <v>270</v>
      </c>
      <c r="K1546" s="912" t="s">
        <v>274</v>
      </c>
      <c r="L1546" s="912"/>
      <c r="M1546" s="912"/>
      <c r="N1546" s="912"/>
      <c r="O1546" s="892">
        <f t="shared" si="96"/>
        <v>0</v>
      </c>
      <c r="P1546" s="903">
        <f t="shared" si="93"/>
        <v>1</v>
      </c>
      <c r="Q1546" s="893">
        <f t="shared" si="94"/>
        <v>4</v>
      </c>
      <c r="R1546" s="894">
        <f t="shared" si="95"/>
        <v>0</v>
      </c>
    </row>
    <row r="1547" spans="1:18">
      <c r="A1547" s="905"/>
      <c r="B1547" s="906"/>
      <c r="C1547" s="907">
        <v>44</v>
      </c>
      <c r="D1547" s="907" t="s">
        <v>279</v>
      </c>
      <c r="E1547" s="925" t="s">
        <v>2681</v>
      </c>
      <c r="F1547" s="926" t="s">
        <v>45</v>
      </c>
      <c r="G1547" s="910"/>
      <c r="H1547" s="911">
        <v>0.29699999999999999</v>
      </c>
      <c r="I1547" s="912">
        <f>VLOOKUP(E1547,[3]VLP!$B$7:$K$300,10,0)</f>
        <v>23000</v>
      </c>
      <c r="J1547" s="912">
        <f>I1547*H1547</f>
        <v>6831</v>
      </c>
      <c r="K1547" s="912" t="s">
        <v>274</v>
      </c>
      <c r="L1547" s="912"/>
      <c r="M1547" s="912"/>
      <c r="N1547" s="912"/>
      <c r="O1547" s="892">
        <f t="shared" si="96"/>
        <v>0</v>
      </c>
      <c r="P1547" s="903">
        <f t="shared" si="93"/>
        <v>1</v>
      </c>
      <c r="Q1547" s="893">
        <f t="shared" si="94"/>
        <v>3</v>
      </c>
      <c r="R1547" s="894">
        <f t="shared" si="95"/>
        <v>0</v>
      </c>
    </row>
    <row r="1548" spans="1:18" s="904" customFormat="1">
      <c r="A1548" s="895"/>
      <c r="B1548" s="896"/>
      <c r="C1548" s="897"/>
      <c r="D1548" s="897"/>
      <c r="E1548" s="924" t="s">
        <v>276</v>
      </c>
      <c r="F1548" s="927"/>
      <c r="G1548" s="928"/>
      <c r="H1548" s="901"/>
      <c r="I1548" s="902"/>
      <c r="J1548" s="902"/>
      <c r="K1548" s="912" t="s">
        <v>274</v>
      </c>
      <c r="L1548" s="902"/>
      <c r="M1548" s="902"/>
      <c r="N1548" s="902"/>
      <c r="O1548" s="892">
        <f t="shared" si="96"/>
        <v>0</v>
      </c>
      <c r="P1548" s="903">
        <f t="shared" si="93"/>
        <v>1</v>
      </c>
      <c r="Q1548" s="893">
        <f t="shared" si="94"/>
        <v>2</v>
      </c>
      <c r="R1548" s="894">
        <f t="shared" si="95"/>
        <v>0</v>
      </c>
    </row>
    <row r="1549" spans="1:18">
      <c r="A1549" s="905"/>
      <c r="B1549" s="906"/>
      <c r="C1549" s="907">
        <v>740</v>
      </c>
      <c r="D1549" s="907" t="s">
        <v>12</v>
      </c>
      <c r="E1549" s="908" t="s">
        <v>4008</v>
      </c>
      <c r="F1549" s="909" t="s">
        <v>2674</v>
      </c>
      <c r="G1549" s="910"/>
      <c r="H1549" s="911">
        <v>2.77</v>
      </c>
      <c r="I1549" s="912"/>
      <c r="J1549" s="912"/>
      <c r="K1549" s="912">
        <f>VLOOKUP(E1549,ĐMNC!$A$7:$F$67,4,0)</f>
        <v>252714</v>
      </c>
      <c r="L1549" s="912">
        <f>H1549*K1549</f>
        <v>700017.78</v>
      </c>
      <c r="M1549" s="912"/>
      <c r="N1549" s="912"/>
      <c r="O1549" s="892">
        <f t="shared" si="96"/>
        <v>0</v>
      </c>
      <c r="P1549" s="903">
        <f t="shared" si="93"/>
        <v>1</v>
      </c>
      <c r="Q1549" s="893">
        <f t="shared" si="94"/>
        <v>1</v>
      </c>
      <c r="R1549" s="894">
        <f t="shared" si="95"/>
        <v>0</v>
      </c>
    </row>
    <row r="1550" spans="1:18" s="847" customFormat="1" ht="31.5">
      <c r="A1550" s="905"/>
      <c r="B1550" s="914" t="s">
        <v>4447</v>
      </c>
      <c r="C1550" s="915"/>
      <c r="D1550" s="915"/>
      <c r="E1550" s="916" t="s">
        <v>4448</v>
      </c>
      <c r="F1550" s="917" t="s">
        <v>249</v>
      </c>
      <c r="G1550" s="918"/>
      <c r="H1550" s="919"/>
      <c r="I1550" s="920"/>
      <c r="J1550" s="891">
        <f>SUM(J1551:J1555)</f>
        <v>7101</v>
      </c>
      <c r="K1550" s="891"/>
      <c r="L1550" s="891">
        <f>SUM(L1551:L1555)</f>
        <v>770777.7</v>
      </c>
      <c r="M1550" s="891"/>
      <c r="N1550" s="891">
        <f>SUM(N1551:N1555)</f>
        <v>0</v>
      </c>
      <c r="O1550" s="892">
        <f t="shared" si="96"/>
        <v>1</v>
      </c>
      <c r="P1550" s="903">
        <f t="shared" si="93"/>
        <v>0</v>
      </c>
      <c r="Q1550" s="893">
        <f t="shared" si="94"/>
        <v>0</v>
      </c>
      <c r="R1550" s="894">
        <f t="shared" si="95"/>
        <v>5</v>
      </c>
    </row>
    <row r="1551" spans="1:18" s="904" customFormat="1">
      <c r="A1551" s="895"/>
      <c r="B1551" s="896"/>
      <c r="C1551" s="897"/>
      <c r="D1551" s="897"/>
      <c r="E1551" s="924" t="s">
        <v>108</v>
      </c>
      <c r="F1551" s="899"/>
      <c r="G1551" s="900"/>
      <c r="H1551" s="901"/>
      <c r="I1551" s="902"/>
      <c r="J1551" s="902"/>
      <c r="K1551" s="912" t="s">
        <v>274</v>
      </c>
      <c r="L1551" s="902"/>
      <c r="M1551" s="902"/>
      <c r="N1551" s="902"/>
      <c r="O1551" s="892">
        <f t="shared" si="96"/>
        <v>0</v>
      </c>
      <c r="P1551" s="903">
        <f t="shared" si="93"/>
        <v>1</v>
      </c>
      <c r="Q1551" s="893">
        <f t="shared" si="94"/>
        <v>5</v>
      </c>
      <c r="R1551" s="894">
        <f t="shared" si="95"/>
        <v>0</v>
      </c>
    </row>
    <row r="1552" spans="1:18">
      <c r="A1552" s="905"/>
      <c r="B1552" s="906"/>
      <c r="C1552" s="907">
        <v>66</v>
      </c>
      <c r="D1552" s="907" t="s">
        <v>279</v>
      </c>
      <c r="E1552" s="925" t="s">
        <v>2682</v>
      </c>
      <c r="F1552" s="926" t="s">
        <v>45</v>
      </c>
      <c r="G1552" s="910"/>
      <c r="H1552" s="911">
        <v>5.3999999999999999E-2</v>
      </c>
      <c r="I1552" s="912">
        <f>VLOOKUP(E1552,[3]VLP!$B$7:$K$300,10,0)</f>
        <v>5000</v>
      </c>
      <c r="J1552" s="912">
        <f>I1552*H1552</f>
        <v>270</v>
      </c>
      <c r="K1552" s="912" t="s">
        <v>274</v>
      </c>
      <c r="L1552" s="912"/>
      <c r="M1552" s="912"/>
      <c r="N1552" s="912"/>
      <c r="O1552" s="892">
        <f t="shared" si="96"/>
        <v>0</v>
      </c>
      <c r="P1552" s="903">
        <f t="shared" ref="P1552:P1615" si="97">IF(O1552=0,1,0)</f>
        <v>1</v>
      </c>
      <c r="Q1552" s="893">
        <f t="shared" ref="Q1552:Q1615" si="98">IF(P1552=0,0,P1552+Q1553)</f>
        <v>4</v>
      </c>
      <c r="R1552" s="894">
        <f t="shared" ref="R1552:R1615" si="99">IF(Q1552=0,Q1553,0)</f>
        <v>0</v>
      </c>
    </row>
    <row r="1553" spans="1:18">
      <c r="A1553" s="905"/>
      <c r="B1553" s="906"/>
      <c r="C1553" s="907">
        <v>44</v>
      </c>
      <c r="D1553" s="907" t="s">
        <v>279</v>
      </c>
      <c r="E1553" s="925" t="s">
        <v>2681</v>
      </c>
      <c r="F1553" s="926" t="s">
        <v>45</v>
      </c>
      <c r="G1553" s="910"/>
      <c r="H1553" s="911">
        <v>0.29699999999999999</v>
      </c>
      <c r="I1553" s="912">
        <f>VLOOKUP(E1553,[3]VLP!$B$7:$K$300,10,0)</f>
        <v>23000</v>
      </c>
      <c r="J1553" s="912">
        <f>I1553*H1553</f>
        <v>6831</v>
      </c>
      <c r="K1553" s="912" t="s">
        <v>274</v>
      </c>
      <c r="L1553" s="912"/>
      <c r="M1553" s="912"/>
      <c r="N1553" s="912"/>
      <c r="O1553" s="892">
        <f t="shared" si="96"/>
        <v>0</v>
      </c>
      <c r="P1553" s="903">
        <f t="shared" si="97"/>
        <v>1</v>
      </c>
      <c r="Q1553" s="893">
        <f t="shared" si="98"/>
        <v>3</v>
      </c>
      <c r="R1553" s="894">
        <f t="shared" si="99"/>
        <v>0</v>
      </c>
    </row>
    <row r="1554" spans="1:18" s="904" customFormat="1">
      <c r="A1554" s="895"/>
      <c r="B1554" s="896"/>
      <c r="C1554" s="897"/>
      <c r="D1554" s="897"/>
      <c r="E1554" s="924" t="s">
        <v>276</v>
      </c>
      <c r="F1554" s="927"/>
      <c r="G1554" s="928"/>
      <c r="H1554" s="901"/>
      <c r="I1554" s="902"/>
      <c r="J1554" s="902"/>
      <c r="K1554" s="912" t="s">
        <v>274</v>
      </c>
      <c r="L1554" s="902"/>
      <c r="M1554" s="902"/>
      <c r="N1554" s="902"/>
      <c r="O1554" s="892">
        <f t="shared" si="96"/>
        <v>0</v>
      </c>
      <c r="P1554" s="903">
        <f t="shared" si="97"/>
        <v>1</v>
      </c>
      <c r="Q1554" s="893">
        <f t="shared" si="98"/>
        <v>2</v>
      </c>
      <c r="R1554" s="894">
        <f t="shared" si="99"/>
        <v>0</v>
      </c>
    </row>
    <row r="1555" spans="1:18">
      <c r="A1555" s="905"/>
      <c r="B1555" s="906"/>
      <c r="C1555" s="907">
        <v>740</v>
      </c>
      <c r="D1555" s="907" t="s">
        <v>12</v>
      </c>
      <c r="E1555" s="908" t="s">
        <v>4008</v>
      </c>
      <c r="F1555" s="909" t="s">
        <v>2674</v>
      </c>
      <c r="G1555" s="910"/>
      <c r="H1555" s="911">
        <v>3.05</v>
      </c>
      <c r="I1555" s="912"/>
      <c r="J1555" s="912"/>
      <c r="K1555" s="912">
        <f>VLOOKUP(E1555,ĐMNC!$A$7:$F$67,4,0)</f>
        <v>252714</v>
      </c>
      <c r="L1555" s="912">
        <f>H1555*K1555</f>
        <v>770777.7</v>
      </c>
      <c r="M1555" s="912"/>
      <c r="N1555" s="912"/>
      <c r="O1555" s="892">
        <f t="shared" si="96"/>
        <v>0</v>
      </c>
      <c r="P1555" s="903">
        <f t="shared" si="97"/>
        <v>1</v>
      </c>
      <c r="Q1555" s="893">
        <f t="shared" si="98"/>
        <v>1</v>
      </c>
      <c r="R1555" s="894">
        <f t="shared" si="99"/>
        <v>0</v>
      </c>
    </row>
    <row r="1556" spans="1:18" s="847" customFormat="1" ht="31.5">
      <c r="A1556" s="905"/>
      <c r="B1556" s="914" t="s">
        <v>4449</v>
      </c>
      <c r="C1556" s="915"/>
      <c r="D1556" s="915"/>
      <c r="E1556" s="916" t="s">
        <v>4450</v>
      </c>
      <c r="F1556" s="917" t="s">
        <v>249</v>
      </c>
      <c r="G1556" s="918"/>
      <c r="H1556" s="919"/>
      <c r="I1556" s="920"/>
      <c r="J1556" s="891">
        <f>SUM(J1557:J1561)</f>
        <v>7101</v>
      </c>
      <c r="K1556" s="891"/>
      <c r="L1556" s="891">
        <f>SUM(L1557:L1561)</f>
        <v>894607.56</v>
      </c>
      <c r="M1556" s="891"/>
      <c r="N1556" s="891">
        <f>SUM(N1557:N1561)</f>
        <v>0</v>
      </c>
      <c r="O1556" s="892">
        <f t="shared" si="96"/>
        <v>1</v>
      </c>
      <c r="P1556" s="903">
        <f t="shared" si="97"/>
        <v>0</v>
      </c>
      <c r="Q1556" s="893">
        <f t="shared" si="98"/>
        <v>0</v>
      </c>
      <c r="R1556" s="894">
        <f t="shared" si="99"/>
        <v>5</v>
      </c>
    </row>
    <row r="1557" spans="1:18" s="904" customFormat="1">
      <c r="A1557" s="895"/>
      <c r="B1557" s="896"/>
      <c r="C1557" s="897"/>
      <c r="D1557" s="897"/>
      <c r="E1557" s="924" t="s">
        <v>108</v>
      </c>
      <c r="F1557" s="899"/>
      <c r="G1557" s="900"/>
      <c r="H1557" s="901"/>
      <c r="I1557" s="902"/>
      <c r="J1557" s="902"/>
      <c r="K1557" s="912" t="s">
        <v>274</v>
      </c>
      <c r="L1557" s="902"/>
      <c r="M1557" s="902"/>
      <c r="N1557" s="902"/>
      <c r="O1557" s="892">
        <f t="shared" si="96"/>
        <v>0</v>
      </c>
      <c r="P1557" s="903">
        <f t="shared" si="97"/>
        <v>1</v>
      </c>
      <c r="Q1557" s="893">
        <f t="shared" si="98"/>
        <v>5</v>
      </c>
      <c r="R1557" s="894">
        <f t="shared" si="99"/>
        <v>0</v>
      </c>
    </row>
    <row r="1558" spans="1:18">
      <c r="A1558" s="905"/>
      <c r="B1558" s="906"/>
      <c r="C1558" s="907">
        <v>66</v>
      </c>
      <c r="D1558" s="907" t="s">
        <v>279</v>
      </c>
      <c r="E1558" s="925" t="s">
        <v>2682</v>
      </c>
      <c r="F1558" s="926" t="s">
        <v>45</v>
      </c>
      <c r="G1558" s="910"/>
      <c r="H1558" s="911">
        <v>5.3999999999999999E-2</v>
      </c>
      <c r="I1558" s="912">
        <f>VLOOKUP(E1558,[3]VLP!$B$7:$K$300,10,0)</f>
        <v>5000</v>
      </c>
      <c r="J1558" s="912">
        <f>I1558*H1558</f>
        <v>270</v>
      </c>
      <c r="K1558" s="912" t="s">
        <v>274</v>
      </c>
      <c r="L1558" s="912"/>
      <c r="M1558" s="912"/>
      <c r="N1558" s="912"/>
      <c r="O1558" s="892">
        <f t="shared" si="96"/>
        <v>0</v>
      </c>
      <c r="P1558" s="903">
        <f t="shared" si="97"/>
        <v>1</v>
      </c>
      <c r="Q1558" s="893">
        <f t="shared" si="98"/>
        <v>4</v>
      </c>
      <c r="R1558" s="894">
        <f t="shared" si="99"/>
        <v>0</v>
      </c>
    </row>
    <row r="1559" spans="1:18">
      <c r="A1559" s="905"/>
      <c r="B1559" s="906"/>
      <c r="C1559" s="907">
        <v>44</v>
      </c>
      <c r="D1559" s="907" t="s">
        <v>279</v>
      </c>
      <c r="E1559" s="925" t="s">
        <v>2681</v>
      </c>
      <c r="F1559" s="926" t="s">
        <v>45</v>
      </c>
      <c r="G1559" s="910"/>
      <c r="H1559" s="911">
        <v>0.29699999999999999</v>
      </c>
      <c r="I1559" s="912">
        <f>VLOOKUP(E1559,[3]VLP!$B$7:$K$300,10,0)</f>
        <v>23000</v>
      </c>
      <c r="J1559" s="912">
        <f>I1559*H1559</f>
        <v>6831</v>
      </c>
      <c r="K1559" s="912" t="s">
        <v>274</v>
      </c>
      <c r="L1559" s="912"/>
      <c r="M1559" s="912"/>
      <c r="N1559" s="912"/>
      <c r="O1559" s="892">
        <f t="shared" si="96"/>
        <v>0</v>
      </c>
      <c r="P1559" s="903">
        <f t="shared" si="97"/>
        <v>1</v>
      </c>
      <c r="Q1559" s="893">
        <f t="shared" si="98"/>
        <v>3</v>
      </c>
      <c r="R1559" s="894">
        <f t="shared" si="99"/>
        <v>0</v>
      </c>
    </row>
    <row r="1560" spans="1:18" s="904" customFormat="1">
      <c r="A1560" s="895"/>
      <c r="B1560" s="896"/>
      <c r="C1560" s="897"/>
      <c r="D1560" s="897"/>
      <c r="E1560" s="924" t="s">
        <v>276</v>
      </c>
      <c r="F1560" s="927"/>
      <c r="G1560" s="928"/>
      <c r="H1560" s="901"/>
      <c r="I1560" s="902"/>
      <c r="J1560" s="902"/>
      <c r="K1560" s="912" t="s">
        <v>274</v>
      </c>
      <c r="L1560" s="902"/>
      <c r="M1560" s="902"/>
      <c r="N1560" s="902"/>
      <c r="O1560" s="892">
        <f t="shared" si="96"/>
        <v>0</v>
      </c>
      <c r="P1560" s="903">
        <f t="shared" si="97"/>
        <v>1</v>
      </c>
      <c r="Q1560" s="893">
        <f t="shared" si="98"/>
        <v>2</v>
      </c>
      <c r="R1560" s="894">
        <f t="shared" si="99"/>
        <v>0</v>
      </c>
    </row>
    <row r="1561" spans="1:18">
      <c r="A1561" s="905"/>
      <c r="B1561" s="906"/>
      <c r="C1561" s="907">
        <v>740</v>
      </c>
      <c r="D1561" s="907" t="s">
        <v>12</v>
      </c>
      <c r="E1561" s="908" t="s">
        <v>4008</v>
      </c>
      <c r="F1561" s="909" t="s">
        <v>2674</v>
      </c>
      <c r="G1561" s="910"/>
      <c r="H1561" s="911">
        <v>3.54</v>
      </c>
      <c r="I1561" s="912"/>
      <c r="J1561" s="912"/>
      <c r="K1561" s="912">
        <f>VLOOKUP(E1561,ĐMNC!$A$7:$F$67,4,0)</f>
        <v>252714</v>
      </c>
      <c r="L1561" s="912">
        <f>H1561*K1561</f>
        <v>894607.56</v>
      </c>
      <c r="M1561" s="912"/>
      <c r="N1561" s="912"/>
      <c r="O1561" s="892">
        <f t="shared" si="96"/>
        <v>0</v>
      </c>
      <c r="P1561" s="903">
        <f t="shared" si="97"/>
        <v>1</v>
      </c>
      <c r="Q1561" s="893">
        <f t="shared" si="98"/>
        <v>1</v>
      </c>
      <c r="R1561" s="894">
        <f t="shared" si="99"/>
        <v>0</v>
      </c>
    </row>
    <row r="1562" spans="1:18" s="847" customFormat="1" ht="31.5">
      <c r="A1562" s="905"/>
      <c r="B1562" s="914" t="s">
        <v>4451</v>
      </c>
      <c r="C1562" s="915"/>
      <c r="D1562" s="915"/>
      <c r="E1562" s="916" t="s">
        <v>4452</v>
      </c>
      <c r="F1562" s="917" t="s">
        <v>249</v>
      </c>
      <c r="G1562" s="918"/>
      <c r="H1562" s="919"/>
      <c r="I1562" s="920"/>
      <c r="J1562" s="891">
        <f>SUM(J1563:J1567)</f>
        <v>7101</v>
      </c>
      <c r="K1562" s="891"/>
      <c r="L1562" s="891">
        <f>SUM(L1563:L1567)</f>
        <v>1018437.42</v>
      </c>
      <c r="M1562" s="891"/>
      <c r="N1562" s="891">
        <f>SUM(N1563:N1567)</f>
        <v>0</v>
      </c>
      <c r="O1562" s="892">
        <f t="shared" si="96"/>
        <v>1</v>
      </c>
      <c r="P1562" s="903">
        <f t="shared" si="97"/>
        <v>0</v>
      </c>
      <c r="Q1562" s="893">
        <f t="shared" si="98"/>
        <v>0</v>
      </c>
      <c r="R1562" s="894">
        <f t="shared" si="99"/>
        <v>5</v>
      </c>
    </row>
    <row r="1563" spans="1:18" s="904" customFormat="1">
      <c r="A1563" s="895"/>
      <c r="B1563" s="896"/>
      <c r="C1563" s="897"/>
      <c r="D1563" s="897"/>
      <c r="E1563" s="924" t="s">
        <v>108</v>
      </c>
      <c r="F1563" s="899"/>
      <c r="G1563" s="900"/>
      <c r="H1563" s="901"/>
      <c r="I1563" s="902"/>
      <c r="J1563" s="902"/>
      <c r="K1563" s="912" t="s">
        <v>274</v>
      </c>
      <c r="L1563" s="902"/>
      <c r="M1563" s="902"/>
      <c r="N1563" s="902"/>
      <c r="O1563" s="892">
        <f t="shared" si="96"/>
        <v>0</v>
      </c>
      <c r="P1563" s="903">
        <f t="shared" si="97"/>
        <v>1</v>
      </c>
      <c r="Q1563" s="893">
        <f t="shared" si="98"/>
        <v>5</v>
      </c>
      <c r="R1563" s="894">
        <f t="shared" si="99"/>
        <v>0</v>
      </c>
    </row>
    <row r="1564" spans="1:18">
      <c r="A1564" s="905"/>
      <c r="B1564" s="906"/>
      <c r="C1564" s="907">
        <v>66</v>
      </c>
      <c r="D1564" s="907" t="s">
        <v>279</v>
      </c>
      <c r="E1564" s="925" t="s">
        <v>2682</v>
      </c>
      <c r="F1564" s="926" t="s">
        <v>45</v>
      </c>
      <c r="G1564" s="910"/>
      <c r="H1564" s="911">
        <v>5.3999999999999999E-2</v>
      </c>
      <c r="I1564" s="912">
        <f>VLOOKUP(E1564,[3]VLP!$B$7:$K$300,10,0)</f>
        <v>5000</v>
      </c>
      <c r="J1564" s="912">
        <f>I1564*H1564</f>
        <v>270</v>
      </c>
      <c r="K1564" s="912" t="s">
        <v>274</v>
      </c>
      <c r="L1564" s="912"/>
      <c r="M1564" s="912"/>
      <c r="N1564" s="912"/>
      <c r="O1564" s="892">
        <f t="shared" si="96"/>
        <v>0</v>
      </c>
      <c r="P1564" s="903">
        <f t="shared" si="97"/>
        <v>1</v>
      </c>
      <c r="Q1564" s="893">
        <f t="shared" si="98"/>
        <v>4</v>
      </c>
      <c r="R1564" s="894">
        <f t="shared" si="99"/>
        <v>0</v>
      </c>
    </row>
    <row r="1565" spans="1:18">
      <c r="A1565" s="905"/>
      <c r="B1565" s="906"/>
      <c r="C1565" s="907">
        <v>44</v>
      </c>
      <c r="D1565" s="907" t="s">
        <v>279</v>
      </c>
      <c r="E1565" s="925" t="s">
        <v>2681</v>
      </c>
      <c r="F1565" s="926" t="s">
        <v>45</v>
      </c>
      <c r="G1565" s="910"/>
      <c r="H1565" s="911">
        <v>0.29699999999999999</v>
      </c>
      <c r="I1565" s="912">
        <f>VLOOKUP(E1565,[3]VLP!$B$7:$K$300,10,0)</f>
        <v>23000</v>
      </c>
      <c r="J1565" s="912">
        <f>I1565*H1565</f>
        <v>6831</v>
      </c>
      <c r="K1565" s="912" t="s">
        <v>274</v>
      </c>
      <c r="L1565" s="912"/>
      <c r="M1565" s="912"/>
      <c r="N1565" s="912"/>
      <c r="O1565" s="892">
        <f t="shared" si="96"/>
        <v>0</v>
      </c>
      <c r="P1565" s="903">
        <f t="shared" si="97"/>
        <v>1</v>
      </c>
      <c r="Q1565" s="893">
        <f t="shared" si="98"/>
        <v>3</v>
      </c>
      <c r="R1565" s="894">
        <f t="shared" si="99"/>
        <v>0</v>
      </c>
    </row>
    <row r="1566" spans="1:18" s="904" customFormat="1">
      <c r="A1566" s="895"/>
      <c r="B1566" s="896"/>
      <c r="C1566" s="897"/>
      <c r="D1566" s="897"/>
      <c r="E1566" s="924" t="s">
        <v>276</v>
      </c>
      <c r="F1566" s="927"/>
      <c r="G1566" s="928"/>
      <c r="H1566" s="901"/>
      <c r="I1566" s="902"/>
      <c r="J1566" s="902"/>
      <c r="K1566" s="912" t="s">
        <v>274</v>
      </c>
      <c r="L1566" s="902"/>
      <c r="M1566" s="902"/>
      <c r="N1566" s="902"/>
      <c r="O1566" s="892">
        <f t="shared" si="96"/>
        <v>0</v>
      </c>
      <c r="P1566" s="903">
        <f t="shared" si="97"/>
        <v>1</v>
      </c>
      <c r="Q1566" s="893">
        <f t="shared" si="98"/>
        <v>2</v>
      </c>
      <c r="R1566" s="894">
        <f t="shared" si="99"/>
        <v>0</v>
      </c>
    </row>
    <row r="1567" spans="1:18">
      <c r="A1567" s="905"/>
      <c r="B1567" s="906"/>
      <c r="C1567" s="907">
        <v>740</v>
      </c>
      <c r="D1567" s="907" t="s">
        <v>12</v>
      </c>
      <c r="E1567" s="908" t="s">
        <v>4008</v>
      </c>
      <c r="F1567" s="909" t="s">
        <v>2674</v>
      </c>
      <c r="G1567" s="910"/>
      <c r="H1567" s="911">
        <v>4.03</v>
      </c>
      <c r="I1567" s="912"/>
      <c r="J1567" s="912"/>
      <c r="K1567" s="912">
        <f>VLOOKUP(E1567,ĐMNC!$A$7:$F$67,4,0)</f>
        <v>252714</v>
      </c>
      <c r="L1567" s="912">
        <f>H1567*K1567</f>
        <v>1018437.42</v>
      </c>
      <c r="M1567" s="912"/>
      <c r="N1567" s="912"/>
      <c r="O1567" s="892">
        <f t="shared" si="96"/>
        <v>0</v>
      </c>
      <c r="P1567" s="903">
        <f t="shared" si="97"/>
        <v>1</v>
      </c>
      <c r="Q1567" s="893">
        <f t="shared" si="98"/>
        <v>1</v>
      </c>
      <c r="R1567" s="894">
        <f t="shared" si="99"/>
        <v>0</v>
      </c>
    </row>
    <row r="1568" spans="1:18" s="847" customFormat="1" ht="31.5">
      <c r="A1568" s="905"/>
      <c r="B1568" s="914" t="s">
        <v>4453</v>
      </c>
      <c r="C1568" s="915"/>
      <c r="D1568" s="915"/>
      <c r="E1568" s="916" t="s">
        <v>4454</v>
      </c>
      <c r="F1568" s="917" t="s">
        <v>249</v>
      </c>
      <c r="G1568" s="918"/>
      <c r="H1568" s="919"/>
      <c r="I1568" s="920"/>
      <c r="J1568" s="891">
        <f>SUM(J1569:J1573)</f>
        <v>8550</v>
      </c>
      <c r="K1568" s="891"/>
      <c r="L1568" s="891">
        <f>SUM(L1569:L1573)</f>
        <v>603986.46000000008</v>
      </c>
      <c r="M1568" s="891"/>
      <c r="N1568" s="891">
        <f>SUM(N1569:N1573)</f>
        <v>0</v>
      </c>
      <c r="O1568" s="892">
        <f t="shared" si="96"/>
        <v>1</v>
      </c>
      <c r="P1568" s="903">
        <f t="shared" si="97"/>
        <v>0</v>
      </c>
      <c r="Q1568" s="893">
        <f t="shared" si="98"/>
        <v>0</v>
      </c>
      <c r="R1568" s="894">
        <f t="shared" si="99"/>
        <v>5</v>
      </c>
    </row>
    <row r="1569" spans="1:18" s="904" customFormat="1">
      <c r="A1569" s="895"/>
      <c r="B1569" s="922"/>
      <c r="C1569" s="897"/>
      <c r="D1569" s="897"/>
      <c r="E1569" s="924" t="s">
        <v>108</v>
      </c>
      <c r="F1569" s="899"/>
      <c r="G1569" s="900"/>
      <c r="H1569" s="901"/>
      <c r="I1569" s="902"/>
      <c r="J1569" s="902"/>
      <c r="K1569" s="912" t="s">
        <v>274</v>
      </c>
      <c r="L1569" s="902"/>
      <c r="M1569" s="902"/>
      <c r="N1569" s="902"/>
      <c r="O1569" s="892">
        <f t="shared" si="96"/>
        <v>0</v>
      </c>
      <c r="P1569" s="903">
        <f t="shared" si="97"/>
        <v>1</v>
      </c>
      <c r="Q1569" s="893">
        <f t="shared" si="98"/>
        <v>5</v>
      </c>
      <c r="R1569" s="894">
        <f t="shared" si="99"/>
        <v>0</v>
      </c>
    </row>
    <row r="1570" spans="1:18">
      <c r="A1570" s="905"/>
      <c r="B1570" s="906"/>
      <c r="C1570" s="907">
        <v>66</v>
      </c>
      <c r="D1570" s="907" t="s">
        <v>279</v>
      </c>
      <c r="E1570" s="925" t="s">
        <v>2682</v>
      </c>
      <c r="F1570" s="926" t="s">
        <v>45</v>
      </c>
      <c r="G1570" s="910"/>
      <c r="H1570" s="911">
        <v>5.3999999999999999E-2</v>
      </c>
      <c r="I1570" s="912">
        <f>VLOOKUP(E1570,[3]VLP!$B$7:$K$300,10,0)</f>
        <v>5000</v>
      </c>
      <c r="J1570" s="912">
        <f>I1570*H1570</f>
        <v>270</v>
      </c>
      <c r="K1570" s="912" t="s">
        <v>274</v>
      </c>
      <c r="L1570" s="912"/>
      <c r="M1570" s="912"/>
      <c r="N1570" s="912"/>
      <c r="O1570" s="892">
        <f t="shared" si="96"/>
        <v>0</v>
      </c>
      <c r="P1570" s="903">
        <f t="shared" si="97"/>
        <v>1</v>
      </c>
      <c r="Q1570" s="893">
        <f t="shared" si="98"/>
        <v>4</v>
      </c>
      <c r="R1570" s="894">
        <f t="shared" si="99"/>
        <v>0</v>
      </c>
    </row>
    <row r="1571" spans="1:18">
      <c r="A1571" s="905"/>
      <c r="B1571" s="906"/>
      <c r="C1571" s="907">
        <v>44</v>
      </c>
      <c r="D1571" s="907" t="s">
        <v>279</v>
      </c>
      <c r="E1571" s="925" t="s">
        <v>2681</v>
      </c>
      <c r="F1571" s="926" t="s">
        <v>45</v>
      </c>
      <c r="G1571" s="910"/>
      <c r="H1571" s="911">
        <v>0.36</v>
      </c>
      <c r="I1571" s="912">
        <f>VLOOKUP(E1571,[3]VLP!$B$7:$K$300,10,0)</f>
        <v>23000</v>
      </c>
      <c r="J1571" s="912">
        <f>I1571*H1571</f>
        <v>8280</v>
      </c>
      <c r="K1571" s="912" t="s">
        <v>274</v>
      </c>
      <c r="L1571" s="912"/>
      <c r="M1571" s="912"/>
      <c r="N1571" s="912"/>
      <c r="O1571" s="892">
        <f t="shared" si="96"/>
        <v>0</v>
      </c>
      <c r="P1571" s="903">
        <f t="shared" si="97"/>
        <v>1</v>
      </c>
      <c r="Q1571" s="893">
        <f t="shared" si="98"/>
        <v>3</v>
      </c>
      <c r="R1571" s="894">
        <f t="shared" si="99"/>
        <v>0</v>
      </c>
    </row>
    <row r="1572" spans="1:18" s="904" customFormat="1">
      <c r="A1572" s="895"/>
      <c r="B1572" s="896"/>
      <c r="C1572" s="897"/>
      <c r="D1572" s="897"/>
      <c r="E1572" s="924" t="s">
        <v>276</v>
      </c>
      <c r="F1572" s="927"/>
      <c r="G1572" s="928"/>
      <c r="H1572" s="901"/>
      <c r="I1572" s="902"/>
      <c r="J1572" s="902"/>
      <c r="K1572" s="912" t="s">
        <v>274</v>
      </c>
      <c r="L1572" s="902"/>
      <c r="M1572" s="902"/>
      <c r="N1572" s="902"/>
      <c r="O1572" s="892">
        <f t="shared" si="96"/>
        <v>0</v>
      </c>
      <c r="P1572" s="903">
        <f t="shared" si="97"/>
        <v>1</v>
      </c>
      <c r="Q1572" s="893">
        <f t="shared" si="98"/>
        <v>2</v>
      </c>
      <c r="R1572" s="894">
        <f t="shared" si="99"/>
        <v>0</v>
      </c>
    </row>
    <row r="1573" spans="1:18">
      <c r="A1573" s="905"/>
      <c r="B1573" s="906"/>
      <c r="C1573" s="907">
        <v>740</v>
      </c>
      <c r="D1573" s="907" t="s">
        <v>12</v>
      </c>
      <c r="E1573" s="908" t="s">
        <v>4008</v>
      </c>
      <c r="F1573" s="909" t="s">
        <v>2674</v>
      </c>
      <c r="G1573" s="910"/>
      <c r="H1573" s="911">
        <v>2.39</v>
      </c>
      <c r="I1573" s="912"/>
      <c r="J1573" s="912"/>
      <c r="K1573" s="912">
        <f>VLOOKUP(E1573,ĐMNC!$A$7:$F$67,4,0)</f>
        <v>252714</v>
      </c>
      <c r="L1573" s="912">
        <f>H1573*K1573</f>
        <v>603986.46000000008</v>
      </c>
      <c r="M1573" s="912"/>
      <c r="N1573" s="912"/>
      <c r="O1573" s="892">
        <f t="shared" si="96"/>
        <v>0</v>
      </c>
      <c r="P1573" s="903">
        <f t="shared" si="97"/>
        <v>1</v>
      </c>
      <c r="Q1573" s="893">
        <f t="shared" si="98"/>
        <v>1</v>
      </c>
      <c r="R1573" s="894">
        <f t="shared" si="99"/>
        <v>0</v>
      </c>
    </row>
    <row r="1574" spans="1:18" s="847" customFormat="1" ht="31.5">
      <c r="A1574" s="905"/>
      <c r="B1574" s="914" t="s">
        <v>4455</v>
      </c>
      <c r="C1574" s="915"/>
      <c r="D1574" s="915"/>
      <c r="E1574" s="916" t="s">
        <v>4456</v>
      </c>
      <c r="F1574" s="917" t="s">
        <v>249</v>
      </c>
      <c r="G1574" s="918"/>
      <c r="H1574" s="919"/>
      <c r="I1574" s="920"/>
      <c r="J1574" s="891">
        <f>SUM(J1575:J1579)</f>
        <v>8550</v>
      </c>
      <c r="K1574" s="891"/>
      <c r="L1574" s="891">
        <f>SUM(L1575:L1579)</f>
        <v>636839.28</v>
      </c>
      <c r="M1574" s="891"/>
      <c r="N1574" s="891">
        <f>SUM(N1575:N1579)</f>
        <v>0</v>
      </c>
      <c r="O1574" s="892">
        <f t="shared" si="96"/>
        <v>1</v>
      </c>
      <c r="P1574" s="903">
        <f t="shared" si="97"/>
        <v>0</v>
      </c>
      <c r="Q1574" s="893">
        <f t="shared" si="98"/>
        <v>0</v>
      </c>
      <c r="R1574" s="894">
        <f t="shared" si="99"/>
        <v>5</v>
      </c>
    </row>
    <row r="1575" spans="1:18" s="904" customFormat="1">
      <c r="A1575" s="895"/>
      <c r="B1575" s="896"/>
      <c r="C1575" s="897"/>
      <c r="D1575" s="897"/>
      <c r="E1575" s="924" t="s">
        <v>108</v>
      </c>
      <c r="F1575" s="899"/>
      <c r="G1575" s="900"/>
      <c r="H1575" s="901"/>
      <c r="I1575" s="902"/>
      <c r="J1575" s="902"/>
      <c r="K1575" s="912" t="s">
        <v>274</v>
      </c>
      <c r="L1575" s="902"/>
      <c r="M1575" s="902"/>
      <c r="N1575" s="902"/>
      <c r="O1575" s="892">
        <f t="shared" si="96"/>
        <v>0</v>
      </c>
      <c r="P1575" s="903">
        <f t="shared" si="97"/>
        <v>1</v>
      </c>
      <c r="Q1575" s="893">
        <f t="shared" si="98"/>
        <v>5</v>
      </c>
      <c r="R1575" s="894">
        <f t="shared" si="99"/>
        <v>0</v>
      </c>
    </row>
    <row r="1576" spans="1:18">
      <c r="A1576" s="905"/>
      <c r="B1576" s="906"/>
      <c r="C1576" s="907">
        <v>66</v>
      </c>
      <c r="D1576" s="907" t="s">
        <v>279</v>
      </c>
      <c r="E1576" s="925" t="s">
        <v>2682</v>
      </c>
      <c r="F1576" s="926" t="s">
        <v>45</v>
      </c>
      <c r="G1576" s="910"/>
      <c r="H1576" s="911">
        <v>5.3999999999999999E-2</v>
      </c>
      <c r="I1576" s="912">
        <f>VLOOKUP(E1576,[3]VLP!$B$7:$K$300,10,0)</f>
        <v>5000</v>
      </c>
      <c r="J1576" s="912">
        <f>I1576*H1576</f>
        <v>270</v>
      </c>
      <c r="K1576" s="912" t="s">
        <v>274</v>
      </c>
      <c r="L1576" s="912"/>
      <c r="M1576" s="912"/>
      <c r="N1576" s="912"/>
      <c r="O1576" s="892">
        <f t="shared" si="96"/>
        <v>0</v>
      </c>
      <c r="P1576" s="903">
        <f t="shared" si="97"/>
        <v>1</v>
      </c>
      <c r="Q1576" s="893">
        <f t="shared" si="98"/>
        <v>4</v>
      </c>
      <c r="R1576" s="894">
        <f t="shared" si="99"/>
        <v>0</v>
      </c>
    </row>
    <row r="1577" spans="1:18">
      <c r="A1577" s="905"/>
      <c r="B1577" s="906"/>
      <c r="C1577" s="907">
        <v>44</v>
      </c>
      <c r="D1577" s="907" t="s">
        <v>279</v>
      </c>
      <c r="E1577" s="925" t="s">
        <v>2681</v>
      </c>
      <c r="F1577" s="926" t="s">
        <v>45</v>
      </c>
      <c r="G1577" s="910"/>
      <c r="H1577" s="911">
        <v>0.36</v>
      </c>
      <c r="I1577" s="912">
        <f>VLOOKUP(E1577,[3]VLP!$B$7:$K$300,10,0)</f>
        <v>23000</v>
      </c>
      <c r="J1577" s="912">
        <f>I1577*H1577</f>
        <v>8280</v>
      </c>
      <c r="K1577" s="912" t="s">
        <v>274</v>
      </c>
      <c r="L1577" s="912"/>
      <c r="M1577" s="912"/>
      <c r="N1577" s="912"/>
      <c r="O1577" s="892">
        <f t="shared" si="96"/>
        <v>0</v>
      </c>
      <c r="P1577" s="903">
        <f t="shared" si="97"/>
        <v>1</v>
      </c>
      <c r="Q1577" s="893">
        <f t="shared" si="98"/>
        <v>3</v>
      </c>
      <c r="R1577" s="894">
        <f t="shared" si="99"/>
        <v>0</v>
      </c>
    </row>
    <row r="1578" spans="1:18" s="904" customFormat="1">
      <c r="A1578" s="895"/>
      <c r="B1578" s="896"/>
      <c r="C1578" s="897"/>
      <c r="D1578" s="897"/>
      <c r="E1578" s="924" t="s">
        <v>276</v>
      </c>
      <c r="F1578" s="927"/>
      <c r="G1578" s="928"/>
      <c r="H1578" s="901"/>
      <c r="I1578" s="902"/>
      <c r="J1578" s="902"/>
      <c r="K1578" s="912" t="s">
        <v>274</v>
      </c>
      <c r="L1578" s="902"/>
      <c r="M1578" s="902"/>
      <c r="N1578" s="902"/>
      <c r="O1578" s="892">
        <f t="shared" si="96"/>
        <v>0</v>
      </c>
      <c r="P1578" s="903">
        <f t="shared" si="97"/>
        <v>1</v>
      </c>
      <c r="Q1578" s="893">
        <f t="shared" si="98"/>
        <v>2</v>
      </c>
      <c r="R1578" s="894">
        <f t="shared" si="99"/>
        <v>0</v>
      </c>
    </row>
    <row r="1579" spans="1:18">
      <c r="A1579" s="905"/>
      <c r="B1579" s="906"/>
      <c r="C1579" s="907">
        <v>740</v>
      </c>
      <c r="D1579" s="907" t="s">
        <v>12</v>
      </c>
      <c r="E1579" s="908" t="s">
        <v>4008</v>
      </c>
      <c r="F1579" s="909" t="s">
        <v>2674</v>
      </c>
      <c r="G1579" s="910"/>
      <c r="H1579" s="911">
        <v>2.52</v>
      </c>
      <c r="I1579" s="912"/>
      <c r="J1579" s="912"/>
      <c r="K1579" s="912">
        <f>VLOOKUP(E1579,ĐMNC!$A$7:$F$67,4,0)</f>
        <v>252714</v>
      </c>
      <c r="L1579" s="912">
        <f>H1579*K1579</f>
        <v>636839.28</v>
      </c>
      <c r="M1579" s="912"/>
      <c r="N1579" s="912"/>
      <c r="O1579" s="892">
        <f t="shared" si="96"/>
        <v>0</v>
      </c>
      <c r="P1579" s="903">
        <f t="shared" si="97"/>
        <v>1</v>
      </c>
      <c r="Q1579" s="893">
        <f t="shared" si="98"/>
        <v>1</v>
      </c>
      <c r="R1579" s="894">
        <f t="shared" si="99"/>
        <v>0</v>
      </c>
    </row>
    <row r="1580" spans="1:18" s="847" customFormat="1" ht="31.5">
      <c r="A1580" s="905"/>
      <c r="B1580" s="914" t="s">
        <v>4457</v>
      </c>
      <c r="C1580" s="915"/>
      <c r="D1580" s="915"/>
      <c r="E1580" s="916" t="s">
        <v>4458</v>
      </c>
      <c r="F1580" s="917" t="s">
        <v>249</v>
      </c>
      <c r="G1580" s="918"/>
      <c r="H1580" s="919"/>
      <c r="I1580" s="920"/>
      <c r="J1580" s="891">
        <f>SUM(J1581:J1585)</f>
        <v>8550</v>
      </c>
      <c r="K1580" s="891"/>
      <c r="L1580" s="891">
        <f>SUM(L1581:L1585)</f>
        <v>694963.5</v>
      </c>
      <c r="M1580" s="891"/>
      <c r="N1580" s="891">
        <f>SUM(N1581:N1585)</f>
        <v>0</v>
      </c>
      <c r="O1580" s="892">
        <f t="shared" si="96"/>
        <v>1</v>
      </c>
      <c r="P1580" s="903">
        <f t="shared" si="97"/>
        <v>0</v>
      </c>
      <c r="Q1580" s="893">
        <f t="shared" si="98"/>
        <v>0</v>
      </c>
      <c r="R1580" s="894">
        <f t="shared" si="99"/>
        <v>5</v>
      </c>
    </row>
    <row r="1581" spans="1:18" s="904" customFormat="1">
      <c r="A1581" s="895"/>
      <c r="B1581" s="896"/>
      <c r="C1581" s="897"/>
      <c r="D1581" s="897"/>
      <c r="E1581" s="924" t="s">
        <v>108</v>
      </c>
      <c r="F1581" s="899"/>
      <c r="G1581" s="900"/>
      <c r="H1581" s="901"/>
      <c r="I1581" s="902"/>
      <c r="J1581" s="902"/>
      <c r="K1581" s="912" t="s">
        <v>274</v>
      </c>
      <c r="L1581" s="902"/>
      <c r="M1581" s="902"/>
      <c r="N1581" s="902"/>
      <c r="O1581" s="892">
        <f t="shared" si="96"/>
        <v>0</v>
      </c>
      <c r="P1581" s="903">
        <f t="shared" si="97"/>
        <v>1</v>
      </c>
      <c r="Q1581" s="893">
        <f t="shared" si="98"/>
        <v>5</v>
      </c>
      <c r="R1581" s="894">
        <f t="shared" si="99"/>
        <v>0</v>
      </c>
    </row>
    <row r="1582" spans="1:18">
      <c r="A1582" s="905"/>
      <c r="B1582" s="906"/>
      <c r="C1582" s="907">
        <v>66</v>
      </c>
      <c r="D1582" s="907" t="s">
        <v>279</v>
      </c>
      <c r="E1582" s="925" t="s">
        <v>2682</v>
      </c>
      <c r="F1582" s="926" t="s">
        <v>45</v>
      </c>
      <c r="G1582" s="910"/>
      <c r="H1582" s="911">
        <v>5.3999999999999999E-2</v>
      </c>
      <c r="I1582" s="912">
        <f>VLOOKUP(E1582,[3]VLP!$B$7:$K$300,10,0)</f>
        <v>5000</v>
      </c>
      <c r="J1582" s="912">
        <f>I1582*H1582</f>
        <v>270</v>
      </c>
      <c r="K1582" s="912" t="s">
        <v>274</v>
      </c>
      <c r="L1582" s="912"/>
      <c r="M1582" s="912"/>
      <c r="N1582" s="912"/>
      <c r="O1582" s="892">
        <f t="shared" si="96"/>
        <v>0</v>
      </c>
      <c r="P1582" s="903">
        <f t="shared" si="97"/>
        <v>1</v>
      </c>
      <c r="Q1582" s="893">
        <f t="shared" si="98"/>
        <v>4</v>
      </c>
      <c r="R1582" s="894">
        <f t="shared" si="99"/>
        <v>0</v>
      </c>
    </row>
    <row r="1583" spans="1:18">
      <c r="A1583" s="905"/>
      <c r="B1583" s="906"/>
      <c r="C1583" s="907">
        <v>44</v>
      </c>
      <c r="D1583" s="907" t="s">
        <v>279</v>
      </c>
      <c r="E1583" s="925" t="s">
        <v>2681</v>
      </c>
      <c r="F1583" s="926" t="s">
        <v>45</v>
      </c>
      <c r="G1583" s="910"/>
      <c r="H1583" s="911">
        <v>0.36</v>
      </c>
      <c r="I1583" s="912">
        <f>VLOOKUP(E1583,[3]VLP!$B$7:$K$300,10,0)</f>
        <v>23000</v>
      </c>
      <c r="J1583" s="912">
        <f>I1583*H1583</f>
        <v>8280</v>
      </c>
      <c r="K1583" s="912" t="s">
        <v>274</v>
      </c>
      <c r="L1583" s="912"/>
      <c r="M1583" s="912"/>
      <c r="N1583" s="912"/>
      <c r="O1583" s="892">
        <f t="shared" si="96"/>
        <v>0</v>
      </c>
      <c r="P1583" s="903">
        <f t="shared" si="97"/>
        <v>1</v>
      </c>
      <c r="Q1583" s="893">
        <f t="shared" si="98"/>
        <v>3</v>
      </c>
      <c r="R1583" s="894">
        <f t="shared" si="99"/>
        <v>0</v>
      </c>
    </row>
    <row r="1584" spans="1:18" s="904" customFormat="1">
      <c r="A1584" s="895"/>
      <c r="B1584" s="896"/>
      <c r="C1584" s="897"/>
      <c r="D1584" s="897"/>
      <c r="E1584" s="924" t="s">
        <v>276</v>
      </c>
      <c r="F1584" s="927"/>
      <c r="G1584" s="928"/>
      <c r="H1584" s="901"/>
      <c r="I1584" s="902"/>
      <c r="J1584" s="902"/>
      <c r="K1584" s="912" t="s">
        <v>274</v>
      </c>
      <c r="L1584" s="902"/>
      <c r="M1584" s="902"/>
      <c r="N1584" s="902"/>
      <c r="O1584" s="892">
        <f t="shared" si="96"/>
        <v>0</v>
      </c>
      <c r="P1584" s="903">
        <f t="shared" si="97"/>
        <v>1</v>
      </c>
      <c r="Q1584" s="893">
        <f t="shared" si="98"/>
        <v>2</v>
      </c>
      <c r="R1584" s="894">
        <f t="shared" si="99"/>
        <v>0</v>
      </c>
    </row>
    <row r="1585" spans="1:18">
      <c r="A1585" s="905"/>
      <c r="B1585" s="906"/>
      <c r="C1585" s="907">
        <v>740</v>
      </c>
      <c r="D1585" s="907" t="s">
        <v>12</v>
      </c>
      <c r="E1585" s="908" t="s">
        <v>4008</v>
      </c>
      <c r="F1585" s="909" t="s">
        <v>2674</v>
      </c>
      <c r="G1585" s="910"/>
      <c r="H1585" s="911">
        <v>2.75</v>
      </c>
      <c r="I1585" s="912"/>
      <c r="J1585" s="912"/>
      <c r="K1585" s="912">
        <f>VLOOKUP(E1585,ĐMNC!$A$7:$F$67,4,0)</f>
        <v>252714</v>
      </c>
      <c r="L1585" s="912">
        <f>H1585*K1585</f>
        <v>694963.5</v>
      </c>
      <c r="M1585" s="912"/>
      <c r="N1585" s="912"/>
      <c r="O1585" s="892">
        <f t="shared" si="96"/>
        <v>0</v>
      </c>
      <c r="P1585" s="903">
        <f t="shared" si="97"/>
        <v>1</v>
      </c>
      <c r="Q1585" s="893">
        <f t="shared" si="98"/>
        <v>1</v>
      </c>
      <c r="R1585" s="894">
        <f t="shared" si="99"/>
        <v>0</v>
      </c>
    </row>
    <row r="1586" spans="1:18" s="847" customFormat="1" ht="31.5">
      <c r="A1586" s="905"/>
      <c r="B1586" s="914" t="s">
        <v>4459</v>
      </c>
      <c r="C1586" s="915"/>
      <c r="D1586" s="915"/>
      <c r="E1586" s="916" t="s">
        <v>4460</v>
      </c>
      <c r="F1586" s="917" t="s">
        <v>249</v>
      </c>
      <c r="G1586" s="918"/>
      <c r="H1586" s="919"/>
      <c r="I1586" s="920"/>
      <c r="J1586" s="891">
        <f>SUM(J1587:J1591)</f>
        <v>8550</v>
      </c>
      <c r="K1586" s="891"/>
      <c r="L1586" s="891">
        <f>SUM(L1587:L1591)</f>
        <v>806157.66</v>
      </c>
      <c r="M1586" s="891"/>
      <c r="N1586" s="891">
        <f>SUM(N1587:N1591)</f>
        <v>0</v>
      </c>
      <c r="O1586" s="892">
        <f t="shared" si="96"/>
        <v>1</v>
      </c>
      <c r="P1586" s="903">
        <f t="shared" si="97"/>
        <v>0</v>
      </c>
      <c r="Q1586" s="893">
        <f t="shared" si="98"/>
        <v>0</v>
      </c>
      <c r="R1586" s="894">
        <f t="shared" si="99"/>
        <v>5</v>
      </c>
    </row>
    <row r="1587" spans="1:18" s="904" customFormat="1">
      <c r="A1587" s="895"/>
      <c r="B1587" s="896"/>
      <c r="C1587" s="897"/>
      <c r="D1587" s="897"/>
      <c r="E1587" s="924" t="s">
        <v>108</v>
      </c>
      <c r="F1587" s="899"/>
      <c r="G1587" s="900"/>
      <c r="H1587" s="901"/>
      <c r="I1587" s="902"/>
      <c r="J1587" s="902"/>
      <c r="K1587" s="912" t="s">
        <v>274</v>
      </c>
      <c r="L1587" s="902"/>
      <c r="M1587" s="902"/>
      <c r="N1587" s="902"/>
      <c r="O1587" s="892">
        <f t="shared" si="96"/>
        <v>0</v>
      </c>
      <c r="P1587" s="903">
        <f t="shared" si="97"/>
        <v>1</v>
      </c>
      <c r="Q1587" s="893">
        <f t="shared" si="98"/>
        <v>5</v>
      </c>
      <c r="R1587" s="894">
        <f t="shared" si="99"/>
        <v>0</v>
      </c>
    </row>
    <row r="1588" spans="1:18">
      <c r="A1588" s="905"/>
      <c r="B1588" s="906"/>
      <c r="C1588" s="907">
        <v>66</v>
      </c>
      <c r="D1588" s="907" t="s">
        <v>279</v>
      </c>
      <c r="E1588" s="925" t="s">
        <v>2682</v>
      </c>
      <c r="F1588" s="926" t="s">
        <v>45</v>
      </c>
      <c r="G1588" s="910"/>
      <c r="H1588" s="911">
        <v>5.3999999999999999E-2</v>
      </c>
      <c r="I1588" s="912">
        <f>VLOOKUP(E1588,[3]VLP!$B$7:$K$300,10,0)</f>
        <v>5000</v>
      </c>
      <c r="J1588" s="912">
        <f>I1588*H1588</f>
        <v>270</v>
      </c>
      <c r="K1588" s="912" t="s">
        <v>274</v>
      </c>
      <c r="L1588" s="912"/>
      <c r="M1588" s="912"/>
      <c r="N1588" s="912"/>
      <c r="O1588" s="892">
        <f t="shared" si="96"/>
        <v>0</v>
      </c>
      <c r="P1588" s="903">
        <f t="shared" si="97"/>
        <v>1</v>
      </c>
      <c r="Q1588" s="893">
        <f t="shared" si="98"/>
        <v>4</v>
      </c>
      <c r="R1588" s="894">
        <f t="shared" si="99"/>
        <v>0</v>
      </c>
    </row>
    <row r="1589" spans="1:18">
      <c r="A1589" s="905"/>
      <c r="B1589" s="906"/>
      <c r="C1589" s="907">
        <v>44</v>
      </c>
      <c r="D1589" s="907" t="s">
        <v>279</v>
      </c>
      <c r="E1589" s="925" t="s">
        <v>2681</v>
      </c>
      <c r="F1589" s="926" t="s">
        <v>45</v>
      </c>
      <c r="G1589" s="910"/>
      <c r="H1589" s="911">
        <v>0.36</v>
      </c>
      <c r="I1589" s="912">
        <f>VLOOKUP(E1589,[3]VLP!$B$7:$K$300,10,0)</f>
        <v>23000</v>
      </c>
      <c r="J1589" s="912">
        <f>I1589*H1589</f>
        <v>8280</v>
      </c>
      <c r="K1589" s="912" t="s">
        <v>274</v>
      </c>
      <c r="L1589" s="912"/>
      <c r="M1589" s="912"/>
      <c r="N1589" s="912"/>
      <c r="O1589" s="892">
        <f t="shared" si="96"/>
        <v>0</v>
      </c>
      <c r="P1589" s="903">
        <f t="shared" si="97"/>
        <v>1</v>
      </c>
      <c r="Q1589" s="893">
        <f t="shared" si="98"/>
        <v>3</v>
      </c>
      <c r="R1589" s="894">
        <f t="shared" si="99"/>
        <v>0</v>
      </c>
    </row>
    <row r="1590" spans="1:18" s="904" customFormat="1">
      <c r="A1590" s="895"/>
      <c r="B1590" s="896"/>
      <c r="C1590" s="897"/>
      <c r="D1590" s="897"/>
      <c r="E1590" s="924" t="s">
        <v>276</v>
      </c>
      <c r="F1590" s="927"/>
      <c r="G1590" s="928"/>
      <c r="H1590" s="901"/>
      <c r="I1590" s="902"/>
      <c r="J1590" s="902"/>
      <c r="K1590" s="912" t="s">
        <v>274</v>
      </c>
      <c r="L1590" s="902"/>
      <c r="M1590" s="902"/>
      <c r="N1590" s="902"/>
      <c r="O1590" s="892">
        <f t="shared" si="96"/>
        <v>0</v>
      </c>
      <c r="P1590" s="903">
        <f t="shared" si="97"/>
        <v>1</v>
      </c>
      <c r="Q1590" s="893">
        <f t="shared" si="98"/>
        <v>2</v>
      </c>
      <c r="R1590" s="894">
        <f t="shared" si="99"/>
        <v>0</v>
      </c>
    </row>
    <row r="1591" spans="1:18">
      <c r="A1591" s="905"/>
      <c r="B1591" s="906"/>
      <c r="C1591" s="907">
        <v>740</v>
      </c>
      <c r="D1591" s="907" t="s">
        <v>12</v>
      </c>
      <c r="E1591" s="908" t="s">
        <v>4008</v>
      </c>
      <c r="F1591" s="909" t="s">
        <v>2674</v>
      </c>
      <c r="G1591" s="910"/>
      <c r="H1591" s="911">
        <v>3.19</v>
      </c>
      <c r="I1591" s="912"/>
      <c r="J1591" s="912"/>
      <c r="K1591" s="912">
        <f>VLOOKUP(E1591,ĐMNC!$A$7:$F$67,4,0)</f>
        <v>252714</v>
      </c>
      <c r="L1591" s="912">
        <f>H1591*K1591</f>
        <v>806157.66</v>
      </c>
      <c r="M1591" s="912"/>
      <c r="N1591" s="912"/>
      <c r="O1591" s="892">
        <f t="shared" si="96"/>
        <v>0</v>
      </c>
      <c r="P1591" s="903">
        <f t="shared" si="97"/>
        <v>1</v>
      </c>
      <c r="Q1591" s="893">
        <f t="shared" si="98"/>
        <v>1</v>
      </c>
      <c r="R1591" s="894">
        <f t="shared" si="99"/>
        <v>0</v>
      </c>
    </row>
    <row r="1592" spans="1:18" s="847" customFormat="1" ht="31.5">
      <c r="A1592" s="905"/>
      <c r="B1592" s="914" t="s">
        <v>4461</v>
      </c>
      <c r="C1592" s="915"/>
      <c r="D1592" s="915"/>
      <c r="E1592" s="916" t="s">
        <v>4462</v>
      </c>
      <c r="F1592" s="917" t="s">
        <v>249</v>
      </c>
      <c r="G1592" s="918"/>
      <c r="H1592" s="919"/>
      <c r="I1592" s="920"/>
      <c r="J1592" s="891">
        <f>SUM(J1593:J1597)</f>
        <v>8550</v>
      </c>
      <c r="K1592" s="891"/>
      <c r="L1592" s="891">
        <f>SUM(L1593:L1597)</f>
        <v>887026.1399999999</v>
      </c>
      <c r="M1592" s="891"/>
      <c r="N1592" s="891">
        <f>SUM(N1593:N1597)</f>
        <v>0</v>
      </c>
      <c r="O1592" s="892">
        <f t="shared" si="96"/>
        <v>1</v>
      </c>
      <c r="P1592" s="903">
        <f t="shared" si="97"/>
        <v>0</v>
      </c>
      <c r="Q1592" s="893">
        <f t="shared" si="98"/>
        <v>0</v>
      </c>
      <c r="R1592" s="894">
        <f t="shared" si="99"/>
        <v>5</v>
      </c>
    </row>
    <row r="1593" spans="1:18" s="904" customFormat="1">
      <c r="A1593" s="895"/>
      <c r="B1593" s="896"/>
      <c r="C1593" s="897"/>
      <c r="D1593" s="897"/>
      <c r="E1593" s="924" t="s">
        <v>108</v>
      </c>
      <c r="F1593" s="899"/>
      <c r="G1593" s="900"/>
      <c r="H1593" s="901"/>
      <c r="I1593" s="902"/>
      <c r="J1593" s="902"/>
      <c r="K1593" s="912" t="s">
        <v>274</v>
      </c>
      <c r="L1593" s="902"/>
      <c r="M1593" s="902"/>
      <c r="N1593" s="902"/>
      <c r="O1593" s="892">
        <f t="shared" si="96"/>
        <v>0</v>
      </c>
      <c r="P1593" s="903">
        <f t="shared" si="97"/>
        <v>1</v>
      </c>
      <c r="Q1593" s="893">
        <f t="shared" si="98"/>
        <v>5</v>
      </c>
      <c r="R1593" s="894">
        <f t="shared" si="99"/>
        <v>0</v>
      </c>
    </row>
    <row r="1594" spans="1:18">
      <c r="A1594" s="905"/>
      <c r="B1594" s="906"/>
      <c r="C1594" s="907">
        <v>66</v>
      </c>
      <c r="D1594" s="907" t="s">
        <v>279</v>
      </c>
      <c r="E1594" s="925" t="s">
        <v>2682</v>
      </c>
      <c r="F1594" s="926" t="s">
        <v>45</v>
      </c>
      <c r="G1594" s="910"/>
      <c r="H1594" s="911">
        <v>5.3999999999999999E-2</v>
      </c>
      <c r="I1594" s="912">
        <f>VLOOKUP(E1594,[3]VLP!$B$7:$K$300,10,0)</f>
        <v>5000</v>
      </c>
      <c r="J1594" s="912">
        <f>I1594*H1594</f>
        <v>270</v>
      </c>
      <c r="K1594" s="912" t="s">
        <v>274</v>
      </c>
      <c r="L1594" s="912"/>
      <c r="M1594" s="912"/>
      <c r="N1594" s="912"/>
      <c r="O1594" s="892">
        <f t="shared" si="96"/>
        <v>0</v>
      </c>
      <c r="P1594" s="903">
        <f t="shared" si="97"/>
        <v>1</v>
      </c>
      <c r="Q1594" s="893">
        <f t="shared" si="98"/>
        <v>4</v>
      </c>
      <c r="R1594" s="894">
        <f t="shared" si="99"/>
        <v>0</v>
      </c>
    </row>
    <row r="1595" spans="1:18">
      <c r="A1595" s="905"/>
      <c r="B1595" s="906"/>
      <c r="C1595" s="907">
        <v>44</v>
      </c>
      <c r="D1595" s="907" t="s">
        <v>279</v>
      </c>
      <c r="E1595" s="925" t="s">
        <v>2681</v>
      </c>
      <c r="F1595" s="926" t="s">
        <v>45</v>
      </c>
      <c r="G1595" s="910"/>
      <c r="H1595" s="911">
        <v>0.36</v>
      </c>
      <c r="I1595" s="912">
        <f>VLOOKUP(E1595,[3]VLP!$B$7:$K$300,10,0)</f>
        <v>23000</v>
      </c>
      <c r="J1595" s="912">
        <f>I1595*H1595</f>
        <v>8280</v>
      </c>
      <c r="K1595" s="912" t="s">
        <v>274</v>
      </c>
      <c r="L1595" s="912"/>
      <c r="M1595" s="912"/>
      <c r="N1595" s="912"/>
      <c r="O1595" s="892">
        <f t="shared" si="96"/>
        <v>0</v>
      </c>
      <c r="P1595" s="903">
        <f t="shared" si="97"/>
        <v>1</v>
      </c>
      <c r="Q1595" s="893">
        <f t="shared" si="98"/>
        <v>3</v>
      </c>
      <c r="R1595" s="894">
        <f t="shared" si="99"/>
        <v>0</v>
      </c>
    </row>
    <row r="1596" spans="1:18" s="904" customFormat="1">
      <c r="A1596" s="895"/>
      <c r="B1596" s="896"/>
      <c r="C1596" s="897"/>
      <c r="D1596" s="897"/>
      <c r="E1596" s="924" t="s">
        <v>276</v>
      </c>
      <c r="F1596" s="927"/>
      <c r="G1596" s="928"/>
      <c r="H1596" s="901"/>
      <c r="I1596" s="902"/>
      <c r="J1596" s="902"/>
      <c r="K1596" s="912" t="s">
        <v>274</v>
      </c>
      <c r="L1596" s="902"/>
      <c r="M1596" s="902"/>
      <c r="N1596" s="902"/>
      <c r="O1596" s="892">
        <f t="shared" si="96"/>
        <v>0</v>
      </c>
      <c r="P1596" s="903">
        <f t="shared" si="97"/>
        <v>1</v>
      </c>
      <c r="Q1596" s="893">
        <f t="shared" si="98"/>
        <v>2</v>
      </c>
      <c r="R1596" s="894">
        <f t="shared" si="99"/>
        <v>0</v>
      </c>
    </row>
    <row r="1597" spans="1:18">
      <c r="A1597" s="905"/>
      <c r="B1597" s="906"/>
      <c r="C1597" s="907">
        <v>740</v>
      </c>
      <c r="D1597" s="907" t="s">
        <v>12</v>
      </c>
      <c r="E1597" s="908" t="s">
        <v>4008</v>
      </c>
      <c r="F1597" s="909" t="s">
        <v>2674</v>
      </c>
      <c r="G1597" s="910"/>
      <c r="H1597" s="911">
        <v>3.51</v>
      </c>
      <c r="I1597" s="912"/>
      <c r="J1597" s="912"/>
      <c r="K1597" s="912">
        <f>VLOOKUP(E1597,ĐMNC!$A$7:$F$67,4,0)</f>
        <v>252714</v>
      </c>
      <c r="L1597" s="912">
        <f>H1597*K1597</f>
        <v>887026.1399999999</v>
      </c>
      <c r="M1597" s="912"/>
      <c r="N1597" s="912"/>
      <c r="O1597" s="892">
        <f t="shared" si="96"/>
        <v>0</v>
      </c>
      <c r="P1597" s="903">
        <f t="shared" si="97"/>
        <v>1</v>
      </c>
      <c r="Q1597" s="893">
        <f t="shared" si="98"/>
        <v>1</v>
      </c>
      <c r="R1597" s="894">
        <f t="shared" si="99"/>
        <v>0</v>
      </c>
    </row>
    <row r="1598" spans="1:18" s="847" customFormat="1" ht="31.5">
      <c r="A1598" s="905"/>
      <c r="B1598" s="914" t="s">
        <v>4463</v>
      </c>
      <c r="C1598" s="915"/>
      <c r="D1598" s="915"/>
      <c r="E1598" s="916" t="s">
        <v>4464</v>
      </c>
      <c r="F1598" s="917" t="s">
        <v>249</v>
      </c>
      <c r="G1598" s="918"/>
      <c r="H1598" s="919"/>
      <c r="I1598" s="920"/>
      <c r="J1598" s="891">
        <f>SUM(J1599:J1603)</f>
        <v>8550</v>
      </c>
      <c r="K1598" s="891"/>
      <c r="L1598" s="891">
        <f>SUM(L1599:L1603)</f>
        <v>975476.03999999992</v>
      </c>
      <c r="M1598" s="891"/>
      <c r="N1598" s="891">
        <f>SUM(N1599:N1603)</f>
        <v>0</v>
      </c>
      <c r="O1598" s="892">
        <f t="shared" si="96"/>
        <v>1</v>
      </c>
      <c r="P1598" s="903">
        <f t="shared" si="97"/>
        <v>0</v>
      </c>
      <c r="Q1598" s="893">
        <f t="shared" si="98"/>
        <v>0</v>
      </c>
      <c r="R1598" s="894">
        <f t="shared" si="99"/>
        <v>5</v>
      </c>
    </row>
    <row r="1599" spans="1:18" s="904" customFormat="1">
      <c r="A1599" s="895"/>
      <c r="B1599" s="896"/>
      <c r="C1599" s="897"/>
      <c r="D1599" s="897"/>
      <c r="E1599" s="924" t="s">
        <v>108</v>
      </c>
      <c r="F1599" s="899"/>
      <c r="G1599" s="900"/>
      <c r="H1599" s="901"/>
      <c r="I1599" s="902"/>
      <c r="J1599" s="902"/>
      <c r="K1599" s="912" t="s">
        <v>274</v>
      </c>
      <c r="L1599" s="902"/>
      <c r="M1599" s="902"/>
      <c r="N1599" s="902"/>
      <c r="O1599" s="892">
        <f t="shared" si="96"/>
        <v>0</v>
      </c>
      <c r="P1599" s="903">
        <f t="shared" si="97"/>
        <v>1</v>
      </c>
      <c r="Q1599" s="893">
        <f t="shared" si="98"/>
        <v>5</v>
      </c>
      <c r="R1599" s="894">
        <f t="shared" si="99"/>
        <v>0</v>
      </c>
    </row>
    <row r="1600" spans="1:18">
      <c r="A1600" s="905"/>
      <c r="B1600" s="906"/>
      <c r="C1600" s="907">
        <v>66</v>
      </c>
      <c r="D1600" s="907" t="s">
        <v>279</v>
      </c>
      <c r="E1600" s="925" t="s">
        <v>2682</v>
      </c>
      <c r="F1600" s="926" t="s">
        <v>45</v>
      </c>
      <c r="G1600" s="910"/>
      <c r="H1600" s="911">
        <v>5.3999999999999999E-2</v>
      </c>
      <c r="I1600" s="912">
        <f>VLOOKUP(E1600,[3]VLP!$B$7:$K$300,10,0)</f>
        <v>5000</v>
      </c>
      <c r="J1600" s="912">
        <f>I1600*H1600</f>
        <v>270</v>
      </c>
      <c r="K1600" s="912" t="s">
        <v>274</v>
      </c>
      <c r="L1600" s="912"/>
      <c r="M1600" s="912"/>
      <c r="N1600" s="912"/>
      <c r="O1600" s="892">
        <f t="shared" si="96"/>
        <v>0</v>
      </c>
      <c r="P1600" s="903">
        <f t="shared" si="97"/>
        <v>1</v>
      </c>
      <c r="Q1600" s="893">
        <f t="shared" si="98"/>
        <v>4</v>
      </c>
      <c r="R1600" s="894">
        <f t="shared" si="99"/>
        <v>0</v>
      </c>
    </row>
    <row r="1601" spans="1:18">
      <c r="A1601" s="905"/>
      <c r="B1601" s="906"/>
      <c r="C1601" s="907">
        <v>44</v>
      </c>
      <c r="D1601" s="907" t="s">
        <v>279</v>
      </c>
      <c r="E1601" s="925" t="s">
        <v>2681</v>
      </c>
      <c r="F1601" s="926" t="s">
        <v>45</v>
      </c>
      <c r="G1601" s="910"/>
      <c r="H1601" s="911">
        <v>0.36</v>
      </c>
      <c r="I1601" s="912">
        <f>VLOOKUP(E1601,[3]VLP!$B$7:$K$300,10,0)</f>
        <v>23000</v>
      </c>
      <c r="J1601" s="912">
        <f>I1601*H1601</f>
        <v>8280</v>
      </c>
      <c r="K1601" s="912" t="s">
        <v>274</v>
      </c>
      <c r="L1601" s="912"/>
      <c r="M1601" s="912"/>
      <c r="N1601" s="912"/>
      <c r="O1601" s="892">
        <f t="shared" si="96"/>
        <v>0</v>
      </c>
      <c r="P1601" s="903">
        <f t="shared" si="97"/>
        <v>1</v>
      </c>
      <c r="Q1601" s="893">
        <f t="shared" si="98"/>
        <v>3</v>
      </c>
      <c r="R1601" s="894">
        <f t="shared" si="99"/>
        <v>0</v>
      </c>
    </row>
    <row r="1602" spans="1:18" s="904" customFormat="1">
      <c r="A1602" s="895"/>
      <c r="B1602" s="896"/>
      <c r="C1602" s="897"/>
      <c r="D1602" s="897"/>
      <c r="E1602" s="924" t="s">
        <v>276</v>
      </c>
      <c r="F1602" s="927"/>
      <c r="G1602" s="928"/>
      <c r="H1602" s="901"/>
      <c r="I1602" s="902"/>
      <c r="J1602" s="902"/>
      <c r="K1602" s="912" t="s">
        <v>274</v>
      </c>
      <c r="L1602" s="902"/>
      <c r="M1602" s="902"/>
      <c r="N1602" s="902"/>
      <c r="O1602" s="892">
        <f t="shared" si="96"/>
        <v>0</v>
      </c>
      <c r="P1602" s="903">
        <f t="shared" si="97"/>
        <v>1</v>
      </c>
      <c r="Q1602" s="893">
        <f t="shared" si="98"/>
        <v>2</v>
      </c>
      <c r="R1602" s="894">
        <f t="shared" si="99"/>
        <v>0</v>
      </c>
    </row>
    <row r="1603" spans="1:18">
      <c r="A1603" s="905"/>
      <c r="B1603" s="906"/>
      <c r="C1603" s="907">
        <v>740</v>
      </c>
      <c r="D1603" s="907" t="s">
        <v>12</v>
      </c>
      <c r="E1603" s="908" t="s">
        <v>4008</v>
      </c>
      <c r="F1603" s="909" t="s">
        <v>2674</v>
      </c>
      <c r="G1603" s="910"/>
      <c r="H1603" s="911">
        <v>3.86</v>
      </c>
      <c r="I1603" s="912"/>
      <c r="J1603" s="912"/>
      <c r="K1603" s="912">
        <f>VLOOKUP(E1603,ĐMNC!$A$7:$F$67,4,0)</f>
        <v>252714</v>
      </c>
      <c r="L1603" s="912">
        <f>H1603*K1603</f>
        <v>975476.03999999992</v>
      </c>
      <c r="M1603" s="912"/>
      <c r="N1603" s="912"/>
      <c r="O1603" s="892">
        <f t="shared" si="96"/>
        <v>0</v>
      </c>
      <c r="P1603" s="903">
        <f t="shared" si="97"/>
        <v>1</v>
      </c>
      <c r="Q1603" s="893">
        <f t="shared" si="98"/>
        <v>1</v>
      </c>
      <c r="R1603" s="894">
        <f t="shared" si="99"/>
        <v>0</v>
      </c>
    </row>
    <row r="1604" spans="1:18" s="847" customFormat="1" ht="31.5">
      <c r="A1604" s="905"/>
      <c r="B1604" s="914" t="s">
        <v>4465</v>
      </c>
      <c r="C1604" s="915"/>
      <c r="D1604" s="915"/>
      <c r="E1604" s="916" t="s">
        <v>4466</v>
      </c>
      <c r="F1604" s="917" t="s">
        <v>249</v>
      </c>
      <c r="G1604" s="918"/>
      <c r="H1604" s="919"/>
      <c r="I1604" s="920"/>
      <c r="J1604" s="891">
        <f>SUM(J1605:J1609)</f>
        <v>8550</v>
      </c>
      <c r="K1604" s="891"/>
      <c r="L1604" s="891">
        <f>SUM(L1605:L1609)</f>
        <v>1124577.3</v>
      </c>
      <c r="M1604" s="891"/>
      <c r="N1604" s="891">
        <f>SUM(N1605:N1609)</f>
        <v>0</v>
      </c>
      <c r="O1604" s="892">
        <f t="shared" si="96"/>
        <v>1</v>
      </c>
      <c r="P1604" s="903">
        <f t="shared" si="97"/>
        <v>0</v>
      </c>
      <c r="Q1604" s="893">
        <f t="shared" si="98"/>
        <v>0</v>
      </c>
      <c r="R1604" s="894">
        <f t="shared" si="99"/>
        <v>5</v>
      </c>
    </row>
    <row r="1605" spans="1:18" s="904" customFormat="1">
      <c r="A1605" s="895"/>
      <c r="B1605" s="896"/>
      <c r="C1605" s="897"/>
      <c r="D1605" s="897"/>
      <c r="E1605" s="924" t="s">
        <v>108</v>
      </c>
      <c r="F1605" s="899"/>
      <c r="G1605" s="900"/>
      <c r="H1605" s="901"/>
      <c r="I1605" s="902"/>
      <c r="J1605" s="902"/>
      <c r="K1605" s="912" t="s">
        <v>274</v>
      </c>
      <c r="L1605" s="902"/>
      <c r="M1605" s="902"/>
      <c r="N1605" s="902"/>
      <c r="O1605" s="892">
        <f t="shared" si="96"/>
        <v>0</v>
      </c>
      <c r="P1605" s="903">
        <f t="shared" si="97"/>
        <v>1</v>
      </c>
      <c r="Q1605" s="893">
        <f t="shared" si="98"/>
        <v>5</v>
      </c>
      <c r="R1605" s="894">
        <f t="shared" si="99"/>
        <v>0</v>
      </c>
    </row>
    <row r="1606" spans="1:18">
      <c r="A1606" s="905"/>
      <c r="B1606" s="906"/>
      <c r="C1606" s="907">
        <v>66</v>
      </c>
      <c r="D1606" s="907" t="s">
        <v>279</v>
      </c>
      <c r="E1606" s="925" t="s">
        <v>2682</v>
      </c>
      <c r="F1606" s="926" t="s">
        <v>45</v>
      </c>
      <c r="G1606" s="910"/>
      <c r="H1606" s="911">
        <v>5.3999999999999999E-2</v>
      </c>
      <c r="I1606" s="912">
        <f>VLOOKUP(E1606,[3]VLP!$B$7:$K$300,10,0)</f>
        <v>5000</v>
      </c>
      <c r="J1606" s="912">
        <f>I1606*H1606</f>
        <v>270</v>
      </c>
      <c r="K1606" s="912" t="s">
        <v>274</v>
      </c>
      <c r="L1606" s="912"/>
      <c r="M1606" s="912"/>
      <c r="N1606" s="912"/>
      <c r="O1606" s="892">
        <f t="shared" si="96"/>
        <v>0</v>
      </c>
      <c r="P1606" s="903">
        <f t="shared" si="97"/>
        <v>1</v>
      </c>
      <c r="Q1606" s="893">
        <f t="shared" si="98"/>
        <v>4</v>
      </c>
      <c r="R1606" s="894">
        <f t="shared" si="99"/>
        <v>0</v>
      </c>
    </row>
    <row r="1607" spans="1:18">
      <c r="A1607" s="905"/>
      <c r="B1607" s="906"/>
      <c r="C1607" s="907">
        <v>44</v>
      </c>
      <c r="D1607" s="907" t="s">
        <v>279</v>
      </c>
      <c r="E1607" s="925" t="s">
        <v>2681</v>
      </c>
      <c r="F1607" s="926" t="s">
        <v>45</v>
      </c>
      <c r="G1607" s="910"/>
      <c r="H1607" s="911">
        <v>0.36</v>
      </c>
      <c r="I1607" s="912">
        <f>VLOOKUP(E1607,[3]VLP!$B$7:$K$300,10,0)</f>
        <v>23000</v>
      </c>
      <c r="J1607" s="912">
        <f>I1607*H1607</f>
        <v>8280</v>
      </c>
      <c r="K1607" s="912" t="s">
        <v>274</v>
      </c>
      <c r="L1607" s="912"/>
      <c r="M1607" s="912"/>
      <c r="N1607" s="912"/>
      <c r="O1607" s="892">
        <f t="shared" ref="O1607:O1670" si="100">IF(AND(B1607&lt;&gt;"",D1607=""),1,0)</f>
        <v>0</v>
      </c>
      <c r="P1607" s="903">
        <f t="shared" si="97"/>
        <v>1</v>
      </c>
      <c r="Q1607" s="893">
        <f t="shared" si="98"/>
        <v>3</v>
      </c>
      <c r="R1607" s="894">
        <f t="shared" si="99"/>
        <v>0</v>
      </c>
    </row>
    <row r="1608" spans="1:18" s="904" customFormat="1">
      <c r="A1608" s="895"/>
      <c r="B1608" s="896"/>
      <c r="C1608" s="897"/>
      <c r="D1608" s="897"/>
      <c r="E1608" s="924" t="s">
        <v>276</v>
      </c>
      <c r="F1608" s="927"/>
      <c r="G1608" s="928"/>
      <c r="H1608" s="901"/>
      <c r="I1608" s="902"/>
      <c r="J1608" s="902"/>
      <c r="K1608" s="912" t="s">
        <v>274</v>
      </c>
      <c r="L1608" s="902"/>
      <c r="M1608" s="902"/>
      <c r="N1608" s="902"/>
      <c r="O1608" s="892">
        <f t="shared" si="100"/>
        <v>0</v>
      </c>
      <c r="P1608" s="903">
        <f t="shared" si="97"/>
        <v>1</v>
      </c>
      <c r="Q1608" s="893">
        <f t="shared" si="98"/>
        <v>2</v>
      </c>
      <c r="R1608" s="894">
        <f t="shared" si="99"/>
        <v>0</v>
      </c>
    </row>
    <row r="1609" spans="1:18">
      <c r="A1609" s="905"/>
      <c r="B1609" s="906"/>
      <c r="C1609" s="907">
        <v>740</v>
      </c>
      <c r="D1609" s="907" t="s">
        <v>12</v>
      </c>
      <c r="E1609" s="908" t="s">
        <v>4008</v>
      </c>
      <c r="F1609" s="909" t="s">
        <v>2674</v>
      </c>
      <c r="G1609" s="910"/>
      <c r="H1609" s="911">
        <v>4.45</v>
      </c>
      <c r="I1609" s="912"/>
      <c r="J1609" s="912"/>
      <c r="K1609" s="912">
        <f>VLOOKUP(E1609,ĐMNC!$A$7:$F$67,4,0)</f>
        <v>252714</v>
      </c>
      <c r="L1609" s="912">
        <f>H1609*K1609</f>
        <v>1124577.3</v>
      </c>
      <c r="M1609" s="912"/>
      <c r="N1609" s="912"/>
      <c r="O1609" s="892">
        <f t="shared" si="100"/>
        <v>0</v>
      </c>
      <c r="P1609" s="903">
        <f t="shared" si="97"/>
        <v>1</v>
      </c>
      <c r="Q1609" s="893">
        <f t="shared" si="98"/>
        <v>1</v>
      </c>
      <c r="R1609" s="894">
        <f t="shared" si="99"/>
        <v>0</v>
      </c>
    </row>
    <row r="1610" spans="1:18" s="847" customFormat="1" ht="31.5">
      <c r="A1610" s="905"/>
      <c r="B1610" s="914" t="s">
        <v>4467</v>
      </c>
      <c r="C1610" s="915"/>
      <c r="D1610" s="915"/>
      <c r="E1610" s="916" t="s">
        <v>4468</v>
      </c>
      <c r="F1610" s="917" t="s">
        <v>249</v>
      </c>
      <c r="G1610" s="918"/>
      <c r="H1610" s="919"/>
      <c r="I1610" s="920"/>
      <c r="J1610" s="891">
        <f>SUM(J1611:J1615)</f>
        <v>8550</v>
      </c>
      <c r="K1610" s="891"/>
      <c r="L1610" s="891">
        <f>SUM(L1611:L1615)</f>
        <v>1293895.6799999999</v>
      </c>
      <c r="M1610" s="891"/>
      <c r="N1610" s="891">
        <f>SUM(N1611:N1615)</f>
        <v>0</v>
      </c>
      <c r="O1610" s="892">
        <f t="shared" si="100"/>
        <v>1</v>
      </c>
      <c r="P1610" s="903">
        <f t="shared" si="97"/>
        <v>0</v>
      </c>
      <c r="Q1610" s="893">
        <f t="shared" si="98"/>
        <v>0</v>
      </c>
      <c r="R1610" s="894">
        <f t="shared" si="99"/>
        <v>5</v>
      </c>
    </row>
    <row r="1611" spans="1:18" s="904" customFormat="1">
      <c r="A1611" s="895"/>
      <c r="B1611" s="896"/>
      <c r="C1611" s="897"/>
      <c r="D1611" s="897"/>
      <c r="E1611" s="924" t="s">
        <v>108</v>
      </c>
      <c r="F1611" s="899"/>
      <c r="G1611" s="900"/>
      <c r="H1611" s="901"/>
      <c r="I1611" s="902"/>
      <c r="J1611" s="902"/>
      <c r="K1611" s="912" t="s">
        <v>274</v>
      </c>
      <c r="L1611" s="902"/>
      <c r="M1611" s="902"/>
      <c r="N1611" s="902"/>
      <c r="O1611" s="892">
        <f t="shared" si="100"/>
        <v>0</v>
      </c>
      <c r="P1611" s="903">
        <f t="shared" si="97"/>
        <v>1</v>
      </c>
      <c r="Q1611" s="893">
        <f t="shared" si="98"/>
        <v>5</v>
      </c>
      <c r="R1611" s="894">
        <f t="shared" si="99"/>
        <v>0</v>
      </c>
    </row>
    <row r="1612" spans="1:18">
      <c r="A1612" s="905"/>
      <c r="B1612" s="906"/>
      <c r="C1612" s="907">
        <v>66</v>
      </c>
      <c r="D1612" s="907" t="s">
        <v>279</v>
      </c>
      <c r="E1612" s="925" t="s">
        <v>2682</v>
      </c>
      <c r="F1612" s="926" t="s">
        <v>45</v>
      </c>
      <c r="G1612" s="910"/>
      <c r="H1612" s="911">
        <v>5.3999999999999999E-2</v>
      </c>
      <c r="I1612" s="912">
        <f>VLOOKUP(E1612,[3]VLP!$B$7:$K$300,10,0)</f>
        <v>5000</v>
      </c>
      <c r="J1612" s="912">
        <f>I1612*H1612</f>
        <v>270</v>
      </c>
      <c r="K1612" s="912" t="s">
        <v>274</v>
      </c>
      <c r="L1612" s="912"/>
      <c r="M1612" s="912"/>
      <c r="N1612" s="912"/>
      <c r="O1612" s="892">
        <f t="shared" si="100"/>
        <v>0</v>
      </c>
      <c r="P1612" s="903">
        <f t="shared" si="97"/>
        <v>1</v>
      </c>
      <c r="Q1612" s="893">
        <f t="shared" si="98"/>
        <v>4</v>
      </c>
      <c r="R1612" s="894">
        <f t="shared" si="99"/>
        <v>0</v>
      </c>
    </row>
    <row r="1613" spans="1:18">
      <c r="A1613" s="905"/>
      <c r="B1613" s="906"/>
      <c r="C1613" s="907">
        <v>44</v>
      </c>
      <c r="D1613" s="907" t="s">
        <v>279</v>
      </c>
      <c r="E1613" s="925" t="s">
        <v>2681</v>
      </c>
      <c r="F1613" s="926" t="s">
        <v>45</v>
      </c>
      <c r="G1613" s="910"/>
      <c r="H1613" s="911">
        <v>0.36</v>
      </c>
      <c r="I1613" s="912">
        <f>VLOOKUP(E1613,[3]VLP!$B$7:$K$300,10,0)</f>
        <v>23000</v>
      </c>
      <c r="J1613" s="912">
        <f>I1613*H1613</f>
        <v>8280</v>
      </c>
      <c r="K1613" s="912" t="s">
        <v>274</v>
      </c>
      <c r="L1613" s="912"/>
      <c r="M1613" s="912"/>
      <c r="N1613" s="912"/>
      <c r="O1613" s="892">
        <f t="shared" si="100"/>
        <v>0</v>
      </c>
      <c r="P1613" s="903">
        <f t="shared" si="97"/>
        <v>1</v>
      </c>
      <c r="Q1613" s="893">
        <f t="shared" si="98"/>
        <v>3</v>
      </c>
      <c r="R1613" s="894">
        <f t="shared" si="99"/>
        <v>0</v>
      </c>
    </row>
    <row r="1614" spans="1:18" s="904" customFormat="1">
      <c r="A1614" s="895"/>
      <c r="B1614" s="896"/>
      <c r="C1614" s="897"/>
      <c r="D1614" s="897"/>
      <c r="E1614" s="924" t="s">
        <v>276</v>
      </c>
      <c r="F1614" s="927"/>
      <c r="G1614" s="928"/>
      <c r="H1614" s="901"/>
      <c r="I1614" s="902"/>
      <c r="J1614" s="902"/>
      <c r="K1614" s="912" t="s">
        <v>274</v>
      </c>
      <c r="L1614" s="902"/>
      <c r="M1614" s="902"/>
      <c r="N1614" s="902"/>
      <c r="O1614" s="892">
        <f t="shared" si="100"/>
        <v>0</v>
      </c>
      <c r="P1614" s="903">
        <f t="shared" si="97"/>
        <v>1</v>
      </c>
      <c r="Q1614" s="893">
        <f t="shared" si="98"/>
        <v>2</v>
      </c>
      <c r="R1614" s="894">
        <f t="shared" si="99"/>
        <v>0</v>
      </c>
    </row>
    <row r="1615" spans="1:18">
      <c r="A1615" s="905"/>
      <c r="B1615" s="906"/>
      <c r="C1615" s="907">
        <v>740</v>
      </c>
      <c r="D1615" s="907" t="s">
        <v>12</v>
      </c>
      <c r="E1615" s="908" t="s">
        <v>4008</v>
      </c>
      <c r="F1615" s="909" t="s">
        <v>2674</v>
      </c>
      <c r="G1615" s="910"/>
      <c r="H1615" s="911">
        <v>5.12</v>
      </c>
      <c r="I1615" s="912"/>
      <c r="J1615" s="912"/>
      <c r="K1615" s="912">
        <f>VLOOKUP(E1615,ĐMNC!$A$7:$F$67,4,0)</f>
        <v>252714</v>
      </c>
      <c r="L1615" s="912">
        <f>H1615*K1615</f>
        <v>1293895.6799999999</v>
      </c>
      <c r="M1615" s="912"/>
      <c r="N1615" s="912"/>
      <c r="O1615" s="892">
        <f t="shared" si="100"/>
        <v>0</v>
      </c>
      <c r="P1615" s="903">
        <f t="shared" si="97"/>
        <v>1</v>
      </c>
      <c r="Q1615" s="893">
        <f t="shared" si="98"/>
        <v>1</v>
      </c>
      <c r="R1615" s="894">
        <f t="shared" si="99"/>
        <v>0</v>
      </c>
    </row>
    <row r="1616" spans="1:18" s="847" customFormat="1" ht="31.5">
      <c r="A1616" s="905"/>
      <c r="B1616" s="914" t="s">
        <v>4469</v>
      </c>
      <c r="C1616" s="915"/>
      <c r="D1616" s="915"/>
      <c r="E1616" s="916" t="s">
        <v>4470</v>
      </c>
      <c r="F1616" s="917" t="s">
        <v>249</v>
      </c>
      <c r="G1616" s="918"/>
      <c r="H1616" s="919"/>
      <c r="I1616" s="920"/>
      <c r="J1616" s="891">
        <f>SUM(J1617:J1621)</f>
        <v>10296</v>
      </c>
      <c r="K1616" s="891"/>
      <c r="L1616" s="891">
        <f>SUM(L1617:L1621)</f>
        <v>727816.32</v>
      </c>
      <c r="M1616" s="891"/>
      <c r="N1616" s="891">
        <f>SUM(N1617:N1621)</f>
        <v>0</v>
      </c>
      <c r="O1616" s="892">
        <f t="shared" si="100"/>
        <v>1</v>
      </c>
      <c r="P1616" s="903">
        <f t="shared" ref="P1616:P1679" si="101">IF(O1616=0,1,0)</f>
        <v>0</v>
      </c>
      <c r="Q1616" s="893">
        <f t="shared" ref="Q1616:Q1679" si="102">IF(P1616=0,0,P1616+Q1617)</f>
        <v>0</v>
      </c>
      <c r="R1616" s="894">
        <f t="shared" ref="R1616:R1679" si="103">IF(Q1616=0,Q1617,0)</f>
        <v>5</v>
      </c>
    </row>
    <row r="1617" spans="1:18" s="904" customFormat="1">
      <c r="A1617" s="895"/>
      <c r="B1617" s="922"/>
      <c r="C1617" s="897"/>
      <c r="D1617" s="897"/>
      <c r="E1617" s="924" t="s">
        <v>108</v>
      </c>
      <c r="F1617" s="899"/>
      <c r="G1617" s="900"/>
      <c r="H1617" s="901"/>
      <c r="I1617" s="902"/>
      <c r="J1617" s="902"/>
      <c r="K1617" s="912" t="s">
        <v>274</v>
      </c>
      <c r="L1617" s="902"/>
      <c r="M1617" s="902"/>
      <c r="N1617" s="902"/>
      <c r="O1617" s="892">
        <f t="shared" si="100"/>
        <v>0</v>
      </c>
      <c r="P1617" s="903">
        <f t="shared" si="101"/>
        <v>1</v>
      </c>
      <c r="Q1617" s="893">
        <f t="shared" si="102"/>
        <v>5</v>
      </c>
      <c r="R1617" s="894">
        <f t="shared" si="103"/>
        <v>0</v>
      </c>
    </row>
    <row r="1618" spans="1:18">
      <c r="A1618" s="905"/>
      <c r="B1618" s="906"/>
      <c r="C1618" s="907">
        <v>66</v>
      </c>
      <c r="D1618" s="907" t="s">
        <v>279</v>
      </c>
      <c r="E1618" s="925" t="s">
        <v>2682</v>
      </c>
      <c r="F1618" s="926" t="s">
        <v>45</v>
      </c>
      <c r="G1618" s="910"/>
      <c r="H1618" s="911">
        <v>7.1999999999999995E-2</v>
      </c>
      <c r="I1618" s="912">
        <f>VLOOKUP(E1618,[3]VLP!$B$7:$K$300,10,0)</f>
        <v>5000</v>
      </c>
      <c r="J1618" s="912">
        <f>I1618*H1618</f>
        <v>360</v>
      </c>
      <c r="K1618" s="912" t="s">
        <v>274</v>
      </c>
      <c r="L1618" s="912"/>
      <c r="M1618" s="912"/>
      <c r="N1618" s="912"/>
      <c r="O1618" s="892">
        <f t="shared" si="100"/>
        <v>0</v>
      </c>
      <c r="P1618" s="903">
        <f t="shared" si="101"/>
        <v>1</v>
      </c>
      <c r="Q1618" s="893">
        <f t="shared" si="102"/>
        <v>4</v>
      </c>
      <c r="R1618" s="894">
        <f t="shared" si="103"/>
        <v>0</v>
      </c>
    </row>
    <row r="1619" spans="1:18">
      <c r="A1619" s="905"/>
      <c r="B1619" s="906"/>
      <c r="C1619" s="907">
        <v>44</v>
      </c>
      <c r="D1619" s="907" t="s">
        <v>279</v>
      </c>
      <c r="E1619" s="925" t="s">
        <v>2681</v>
      </c>
      <c r="F1619" s="926" t="s">
        <v>45</v>
      </c>
      <c r="G1619" s="910"/>
      <c r="H1619" s="911">
        <v>0.432</v>
      </c>
      <c r="I1619" s="912">
        <f>VLOOKUP(E1619,[3]VLP!$B$7:$K$300,10,0)</f>
        <v>23000</v>
      </c>
      <c r="J1619" s="912">
        <f>I1619*H1619</f>
        <v>9936</v>
      </c>
      <c r="K1619" s="912" t="s">
        <v>274</v>
      </c>
      <c r="L1619" s="912"/>
      <c r="M1619" s="912"/>
      <c r="N1619" s="912"/>
      <c r="O1619" s="892">
        <f t="shared" si="100"/>
        <v>0</v>
      </c>
      <c r="P1619" s="903">
        <f t="shared" si="101"/>
        <v>1</v>
      </c>
      <c r="Q1619" s="893">
        <f t="shared" si="102"/>
        <v>3</v>
      </c>
      <c r="R1619" s="894">
        <f t="shared" si="103"/>
        <v>0</v>
      </c>
    </row>
    <row r="1620" spans="1:18" s="904" customFormat="1">
      <c r="A1620" s="895"/>
      <c r="B1620" s="896"/>
      <c r="C1620" s="897"/>
      <c r="D1620" s="897"/>
      <c r="E1620" s="924" t="s">
        <v>276</v>
      </c>
      <c r="F1620" s="927"/>
      <c r="G1620" s="928"/>
      <c r="H1620" s="901"/>
      <c r="I1620" s="902"/>
      <c r="J1620" s="902"/>
      <c r="K1620" s="912" t="s">
        <v>274</v>
      </c>
      <c r="L1620" s="902"/>
      <c r="M1620" s="902"/>
      <c r="N1620" s="902"/>
      <c r="O1620" s="892">
        <f t="shared" si="100"/>
        <v>0</v>
      </c>
      <c r="P1620" s="903">
        <f t="shared" si="101"/>
        <v>1</v>
      </c>
      <c r="Q1620" s="893">
        <f t="shared" si="102"/>
        <v>2</v>
      </c>
      <c r="R1620" s="894">
        <f t="shared" si="103"/>
        <v>0</v>
      </c>
    </row>
    <row r="1621" spans="1:18">
      <c r="A1621" s="905"/>
      <c r="B1621" s="906"/>
      <c r="C1621" s="907">
        <v>740</v>
      </c>
      <c r="D1621" s="907" t="s">
        <v>12</v>
      </c>
      <c r="E1621" s="908" t="s">
        <v>4008</v>
      </c>
      <c r="F1621" s="909" t="s">
        <v>2674</v>
      </c>
      <c r="G1621" s="910"/>
      <c r="H1621" s="911">
        <v>2.88</v>
      </c>
      <c r="I1621" s="912"/>
      <c r="J1621" s="912"/>
      <c r="K1621" s="912">
        <f>VLOOKUP(E1621,ĐMNC!$A$7:$F$67,4,0)</f>
        <v>252714</v>
      </c>
      <c r="L1621" s="912">
        <f>H1621*K1621</f>
        <v>727816.32</v>
      </c>
      <c r="M1621" s="912"/>
      <c r="N1621" s="912"/>
      <c r="O1621" s="892">
        <f t="shared" si="100"/>
        <v>0</v>
      </c>
      <c r="P1621" s="903">
        <f t="shared" si="101"/>
        <v>1</v>
      </c>
      <c r="Q1621" s="893">
        <f t="shared" si="102"/>
        <v>1</v>
      </c>
      <c r="R1621" s="894">
        <f t="shared" si="103"/>
        <v>0</v>
      </c>
    </row>
    <row r="1622" spans="1:18" s="847" customFormat="1" ht="31.5">
      <c r="A1622" s="905"/>
      <c r="B1622" s="914" t="s">
        <v>4471</v>
      </c>
      <c r="C1622" s="915"/>
      <c r="D1622" s="915"/>
      <c r="E1622" s="916" t="s">
        <v>4472</v>
      </c>
      <c r="F1622" s="917" t="s">
        <v>249</v>
      </c>
      <c r="G1622" s="918"/>
      <c r="H1622" s="919"/>
      <c r="I1622" s="920"/>
      <c r="J1622" s="891">
        <f>SUM(J1623:J1627)</f>
        <v>10296</v>
      </c>
      <c r="K1622" s="891"/>
      <c r="L1622" s="891">
        <f>SUM(L1623:L1627)</f>
        <v>763196.28</v>
      </c>
      <c r="M1622" s="891"/>
      <c r="N1622" s="891">
        <f>SUM(N1623:N1627)</f>
        <v>0</v>
      </c>
      <c r="O1622" s="892">
        <f t="shared" si="100"/>
        <v>1</v>
      </c>
      <c r="P1622" s="903">
        <f t="shared" si="101"/>
        <v>0</v>
      </c>
      <c r="Q1622" s="893">
        <f t="shared" si="102"/>
        <v>0</v>
      </c>
      <c r="R1622" s="894">
        <f t="shared" si="103"/>
        <v>5</v>
      </c>
    </row>
    <row r="1623" spans="1:18" s="904" customFormat="1">
      <c r="A1623" s="895"/>
      <c r="B1623" s="896"/>
      <c r="C1623" s="897"/>
      <c r="D1623" s="897"/>
      <c r="E1623" s="924" t="s">
        <v>108</v>
      </c>
      <c r="F1623" s="899"/>
      <c r="G1623" s="900"/>
      <c r="H1623" s="901"/>
      <c r="I1623" s="902"/>
      <c r="J1623" s="902"/>
      <c r="K1623" s="912" t="s">
        <v>274</v>
      </c>
      <c r="L1623" s="902"/>
      <c r="M1623" s="902"/>
      <c r="N1623" s="902"/>
      <c r="O1623" s="892">
        <f t="shared" si="100"/>
        <v>0</v>
      </c>
      <c r="P1623" s="903">
        <f t="shared" si="101"/>
        <v>1</v>
      </c>
      <c r="Q1623" s="893">
        <f t="shared" si="102"/>
        <v>5</v>
      </c>
      <c r="R1623" s="894">
        <f t="shared" si="103"/>
        <v>0</v>
      </c>
    </row>
    <row r="1624" spans="1:18">
      <c r="A1624" s="905"/>
      <c r="B1624" s="906"/>
      <c r="C1624" s="907">
        <v>66</v>
      </c>
      <c r="D1624" s="907" t="s">
        <v>279</v>
      </c>
      <c r="E1624" s="925" t="s">
        <v>2682</v>
      </c>
      <c r="F1624" s="926" t="s">
        <v>45</v>
      </c>
      <c r="G1624" s="910"/>
      <c r="H1624" s="911">
        <v>7.1999999999999995E-2</v>
      </c>
      <c r="I1624" s="912">
        <f>VLOOKUP(E1624,[3]VLP!$B$7:$K$300,10,0)</f>
        <v>5000</v>
      </c>
      <c r="J1624" s="912">
        <f>I1624*H1624</f>
        <v>360</v>
      </c>
      <c r="K1624" s="912" t="s">
        <v>274</v>
      </c>
      <c r="L1624" s="912"/>
      <c r="M1624" s="912"/>
      <c r="N1624" s="912"/>
      <c r="O1624" s="892">
        <f t="shared" si="100"/>
        <v>0</v>
      </c>
      <c r="P1624" s="903">
        <f t="shared" si="101"/>
        <v>1</v>
      </c>
      <c r="Q1624" s="893">
        <f t="shared" si="102"/>
        <v>4</v>
      </c>
      <c r="R1624" s="894">
        <f t="shared" si="103"/>
        <v>0</v>
      </c>
    </row>
    <row r="1625" spans="1:18">
      <c r="A1625" s="905"/>
      <c r="B1625" s="906"/>
      <c r="C1625" s="907">
        <v>44</v>
      </c>
      <c r="D1625" s="907" t="s">
        <v>279</v>
      </c>
      <c r="E1625" s="925" t="s">
        <v>2681</v>
      </c>
      <c r="F1625" s="926" t="s">
        <v>45</v>
      </c>
      <c r="G1625" s="910"/>
      <c r="H1625" s="911">
        <v>0.432</v>
      </c>
      <c r="I1625" s="912">
        <f>VLOOKUP(E1625,[3]VLP!$B$7:$K$300,10,0)</f>
        <v>23000</v>
      </c>
      <c r="J1625" s="912">
        <f>I1625*H1625</f>
        <v>9936</v>
      </c>
      <c r="K1625" s="912" t="s">
        <v>274</v>
      </c>
      <c r="L1625" s="912"/>
      <c r="M1625" s="912"/>
      <c r="N1625" s="912"/>
      <c r="O1625" s="892">
        <f t="shared" si="100"/>
        <v>0</v>
      </c>
      <c r="P1625" s="903">
        <f t="shared" si="101"/>
        <v>1</v>
      </c>
      <c r="Q1625" s="893">
        <f t="shared" si="102"/>
        <v>3</v>
      </c>
      <c r="R1625" s="894">
        <f t="shared" si="103"/>
        <v>0</v>
      </c>
    </row>
    <row r="1626" spans="1:18" s="904" customFormat="1">
      <c r="A1626" s="895"/>
      <c r="B1626" s="896"/>
      <c r="C1626" s="897"/>
      <c r="D1626" s="897"/>
      <c r="E1626" s="924" t="s">
        <v>276</v>
      </c>
      <c r="F1626" s="927"/>
      <c r="G1626" s="928"/>
      <c r="H1626" s="901"/>
      <c r="I1626" s="902"/>
      <c r="J1626" s="902"/>
      <c r="K1626" s="912" t="s">
        <v>274</v>
      </c>
      <c r="L1626" s="902"/>
      <c r="M1626" s="902"/>
      <c r="N1626" s="902"/>
      <c r="O1626" s="892">
        <f t="shared" si="100"/>
        <v>0</v>
      </c>
      <c r="P1626" s="903">
        <f t="shared" si="101"/>
        <v>1</v>
      </c>
      <c r="Q1626" s="893">
        <f t="shared" si="102"/>
        <v>2</v>
      </c>
      <c r="R1626" s="894">
        <f t="shared" si="103"/>
        <v>0</v>
      </c>
    </row>
    <row r="1627" spans="1:18">
      <c r="A1627" s="905"/>
      <c r="B1627" s="906"/>
      <c r="C1627" s="907">
        <v>740</v>
      </c>
      <c r="D1627" s="907" t="s">
        <v>12</v>
      </c>
      <c r="E1627" s="908" t="s">
        <v>4008</v>
      </c>
      <c r="F1627" s="909" t="s">
        <v>2674</v>
      </c>
      <c r="G1627" s="910"/>
      <c r="H1627" s="911">
        <v>3.02</v>
      </c>
      <c r="I1627" s="912"/>
      <c r="J1627" s="912"/>
      <c r="K1627" s="912">
        <f>VLOOKUP(E1627,ĐMNC!$A$7:$F$67,4,0)</f>
        <v>252714</v>
      </c>
      <c r="L1627" s="912">
        <f>H1627*K1627</f>
        <v>763196.28</v>
      </c>
      <c r="M1627" s="912"/>
      <c r="N1627" s="912"/>
      <c r="O1627" s="892">
        <f t="shared" si="100"/>
        <v>0</v>
      </c>
      <c r="P1627" s="903">
        <f t="shared" si="101"/>
        <v>1</v>
      </c>
      <c r="Q1627" s="893">
        <f t="shared" si="102"/>
        <v>1</v>
      </c>
      <c r="R1627" s="894">
        <f t="shared" si="103"/>
        <v>0</v>
      </c>
    </row>
    <row r="1628" spans="1:18" s="847" customFormat="1" ht="31.5">
      <c r="A1628" s="905"/>
      <c r="B1628" s="914" t="s">
        <v>4473</v>
      </c>
      <c r="C1628" s="915"/>
      <c r="D1628" s="915"/>
      <c r="E1628" s="916" t="s">
        <v>4474</v>
      </c>
      <c r="F1628" s="917" t="s">
        <v>249</v>
      </c>
      <c r="G1628" s="918"/>
      <c r="H1628" s="919"/>
      <c r="I1628" s="920"/>
      <c r="J1628" s="891">
        <f>SUM(J1629:J1633)</f>
        <v>10296</v>
      </c>
      <c r="K1628" s="891"/>
      <c r="L1628" s="891">
        <f>SUM(L1629:L1633)</f>
        <v>833956.2</v>
      </c>
      <c r="M1628" s="891"/>
      <c r="N1628" s="891">
        <f>SUM(N1629:N1633)</f>
        <v>0</v>
      </c>
      <c r="O1628" s="892">
        <f t="shared" si="100"/>
        <v>1</v>
      </c>
      <c r="P1628" s="903">
        <f t="shared" si="101"/>
        <v>0</v>
      </c>
      <c r="Q1628" s="893">
        <f t="shared" si="102"/>
        <v>0</v>
      </c>
      <c r="R1628" s="894">
        <f t="shared" si="103"/>
        <v>5</v>
      </c>
    </row>
    <row r="1629" spans="1:18" s="904" customFormat="1">
      <c r="A1629" s="895"/>
      <c r="B1629" s="896"/>
      <c r="C1629" s="897"/>
      <c r="D1629" s="897"/>
      <c r="E1629" s="924" t="s">
        <v>108</v>
      </c>
      <c r="F1629" s="899"/>
      <c r="G1629" s="900"/>
      <c r="H1629" s="901"/>
      <c r="I1629" s="902"/>
      <c r="J1629" s="902"/>
      <c r="K1629" s="912" t="s">
        <v>274</v>
      </c>
      <c r="L1629" s="902"/>
      <c r="M1629" s="902"/>
      <c r="N1629" s="902"/>
      <c r="O1629" s="892">
        <f t="shared" si="100"/>
        <v>0</v>
      </c>
      <c r="P1629" s="903">
        <f t="shared" si="101"/>
        <v>1</v>
      </c>
      <c r="Q1629" s="893">
        <f t="shared" si="102"/>
        <v>5</v>
      </c>
      <c r="R1629" s="894">
        <f t="shared" si="103"/>
        <v>0</v>
      </c>
    </row>
    <row r="1630" spans="1:18">
      <c r="A1630" s="905"/>
      <c r="B1630" s="906"/>
      <c r="C1630" s="907">
        <v>66</v>
      </c>
      <c r="D1630" s="907" t="s">
        <v>279</v>
      </c>
      <c r="E1630" s="925" t="s">
        <v>2682</v>
      </c>
      <c r="F1630" s="926" t="s">
        <v>45</v>
      </c>
      <c r="G1630" s="910"/>
      <c r="H1630" s="911">
        <v>7.1999999999999995E-2</v>
      </c>
      <c r="I1630" s="912">
        <f>VLOOKUP(E1630,[3]VLP!$B$7:$K$300,10,0)</f>
        <v>5000</v>
      </c>
      <c r="J1630" s="912">
        <f>I1630*H1630</f>
        <v>360</v>
      </c>
      <c r="K1630" s="912" t="s">
        <v>274</v>
      </c>
      <c r="L1630" s="912"/>
      <c r="M1630" s="912"/>
      <c r="N1630" s="912"/>
      <c r="O1630" s="892">
        <f t="shared" si="100"/>
        <v>0</v>
      </c>
      <c r="P1630" s="903">
        <f t="shared" si="101"/>
        <v>1</v>
      </c>
      <c r="Q1630" s="893">
        <f t="shared" si="102"/>
        <v>4</v>
      </c>
      <c r="R1630" s="894">
        <f t="shared" si="103"/>
        <v>0</v>
      </c>
    </row>
    <row r="1631" spans="1:18">
      <c r="A1631" s="905"/>
      <c r="B1631" s="906"/>
      <c r="C1631" s="907">
        <v>44</v>
      </c>
      <c r="D1631" s="907" t="s">
        <v>279</v>
      </c>
      <c r="E1631" s="925" t="s">
        <v>2681</v>
      </c>
      <c r="F1631" s="926" t="s">
        <v>45</v>
      </c>
      <c r="G1631" s="910"/>
      <c r="H1631" s="911">
        <v>0.432</v>
      </c>
      <c r="I1631" s="912">
        <f>VLOOKUP(E1631,[3]VLP!$B$7:$K$300,10,0)</f>
        <v>23000</v>
      </c>
      <c r="J1631" s="912">
        <f>I1631*H1631</f>
        <v>9936</v>
      </c>
      <c r="K1631" s="912" t="s">
        <v>274</v>
      </c>
      <c r="L1631" s="912"/>
      <c r="M1631" s="912"/>
      <c r="N1631" s="912"/>
      <c r="O1631" s="892">
        <f t="shared" si="100"/>
        <v>0</v>
      </c>
      <c r="P1631" s="903">
        <f t="shared" si="101"/>
        <v>1</v>
      </c>
      <c r="Q1631" s="893">
        <f t="shared" si="102"/>
        <v>3</v>
      </c>
      <c r="R1631" s="894">
        <f t="shared" si="103"/>
        <v>0</v>
      </c>
    </row>
    <row r="1632" spans="1:18" s="904" customFormat="1">
      <c r="A1632" s="895"/>
      <c r="B1632" s="896"/>
      <c r="C1632" s="897"/>
      <c r="D1632" s="897"/>
      <c r="E1632" s="924" t="s">
        <v>276</v>
      </c>
      <c r="F1632" s="927"/>
      <c r="G1632" s="928"/>
      <c r="H1632" s="901"/>
      <c r="I1632" s="902"/>
      <c r="J1632" s="902"/>
      <c r="K1632" s="912" t="s">
        <v>274</v>
      </c>
      <c r="L1632" s="902"/>
      <c r="M1632" s="902"/>
      <c r="N1632" s="902"/>
      <c r="O1632" s="892">
        <f t="shared" si="100"/>
        <v>0</v>
      </c>
      <c r="P1632" s="903">
        <f t="shared" si="101"/>
        <v>1</v>
      </c>
      <c r="Q1632" s="893">
        <f t="shared" si="102"/>
        <v>2</v>
      </c>
      <c r="R1632" s="894">
        <f t="shared" si="103"/>
        <v>0</v>
      </c>
    </row>
    <row r="1633" spans="1:18">
      <c r="A1633" s="905"/>
      <c r="B1633" s="906"/>
      <c r="C1633" s="907">
        <v>740</v>
      </c>
      <c r="D1633" s="907" t="s">
        <v>12</v>
      </c>
      <c r="E1633" s="908" t="s">
        <v>4008</v>
      </c>
      <c r="F1633" s="909" t="s">
        <v>2674</v>
      </c>
      <c r="G1633" s="910"/>
      <c r="H1633" s="911">
        <v>3.3</v>
      </c>
      <c r="I1633" s="912"/>
      <c r="J1633" s="912"/>
      <c r="K1633" s="912">
        <f>VLOOKUP(E1633,ĐMNC!$A$7:$F$67,4,0)</f>
        <v>252714</v>
      </c>
      <c r="L1633" s="912">
        <f>H1633*K1633</f>
        <v>833956.2</v>
      </c>
      <c r="M1633" s="912"/>
      <c r="N1633" s="912"/>
      <c r="O1633" s="892">
        <f t="shared" si="100"/>
        <v>0</v>
      </c>
      <c r="P1633" s="903">
        <f t="shared" si="101"/>
        <v>1</v>
      </c>
      <c r="Q1633" s="893">
        <f t="shared" si="102"/>
        <v>1</v>
      </c>
      <c r="R1633" s="894">
        <f t="shared" si="103"/>
        <v>0</v>
      </c>
    </row>
    <row r="1634" spans="1:18" s="847" customFormat="1" ht="31.5">
      <c r="A1634" s="905"/>
      <c r="B1634" s="914" t="s">
        <v>4475</v>
      </c>
      <c r="C1634" s="915"/>
      <c r="D1634" s="915"/>
      <c r="E1634" s="916" t="s">
        <v>4476</v>
      </c>
      <c r="F1634" s="917" t="s">
        <v>249</v>
      </c>
      <c r="G1634" s="918"/>
      <c r="H1634" s="919"/>
      <c r="I1634" s="920"/>
      <c r="J1634" s="891">
        <f>SUM(J1635:J1639)</f>
        <v>10296</v>
      </c>
      <c r="K1634" s="891"/>
      <c r="L1634" s="891">
        <f>SUM(L1635:L1639)</f>
        <v>955258.91999999993</v>
      </c>
      <c r="M1634" s="891"/>
      <c r="N1634" s="891">
        <f>SUM(N1635:N1639)</f>
        <v>0</v>
      </c>
      <c r="O1634" s="892">
        <f t="shared" si="100"/>
        <v>1</v>
      </c>
      <c r="P1634" s="903">
        <f t="shared" si="101"/>
        <v>0</v>
      </c>
      <c r="Q1634" s="893">
        <f t="shared" si="102"/>
        <v>0</v>
      </c>
      <c r="R1634" s="894">
        <f t="shared" si="103"/>
        <v>5</v>
      </c>
    </row>
    <row r="1635" spans="1:18" s="904" customFormat="1">
      <c r="A1635" s="895"/>
      <c r="B1635" s="896"/>
      <c r="C1635" s="897"/>
      <c r="D1635" s="897"/>
      <c r="E1635" s="924" t="s">
        <v>108</v>
      </c>
      <c r="F1635" s="899"/>
      <c r="G1635" s="900"/>
      <c r="H1635" s="901"/>
      <c r="I1635" s="902"/>
      <c r="J1635" s="902"/>
      <c r="K1635" s="912" t="s">
        <v>274</v>
      </c>
      <c r="L1635" s="902"/>
      <c r="M1635" s="902"/>
      <c r="N1635" s="902"/>
      <c r="O1635" s="892">
        <f t="shared" si="100"/>
        <v>0</v>
      </c>
      <c r="P1635" s="903">
        <f t="shared" si="101"/>
        <v>1</v>
      </c>
      <c r="Q1635" s="893">
        <f t="shared" si="102"/>
        <v>5</v>
      </c>
      <c r="R1635" s="894">
        <f t="shared" si="103"/>
        <v>0</v>
      </c>
    </row>
    <row r="1636" spans="1:18">
      <c r="A1636" s="905"/>
      <c r="B1636" s="906"/>
      <c r="C1636" s="907">
        <v>66</v>
      </c>
      <c r="D1636" s="907" t="s">
        <v>279</v>
      </c>
      <c r="E1636" s="925" t="s">
        <v>2682</v>
      </c>
      <c r="F1636" s="926" t="s">
        <v>45</v>
      </c>
      <c r="G1636" s="910"/>
      <c r="H1636" s="911">
        <v>7.1999999999999995E-2</v>
      </c>
      <c r="I1636" s="912">
        <f>VLOOKUP(E1636,[3]VLP!$B$7:$K$300,10,0)</f>
        <v>5000</v>
      </c>
      <c r="J1636" s="912">
        <f>I1636*H1636</f>
        <v>360</v>
      </c>
      <c r="K1636" s="912" t="s">
        <v>274</v>
      </c>
      <c r="L1636" s="912"/>
      <c r="M1636" s="912"/>
      <c r="N1636" s="912"/>
      <c r="O1636" s="892">
        <f t="shared" si="100"/>
        <v>0</v>
      </c>
      <c r="P1636" s="903">
        <f t="shared" si="101"/>
        <v>1</v>
      </c>
      <c r="Q1636" s="893">
        <f t="shared" si="102"/>
        <v>4</v>
      </c>
      <c r="R1636" s="894">
        <f t="shared" si="103"/>
        <v>0</v>
      </c>
    </row>
    <row r="1637" spans="1:18">
      <c r="A1637" s="905"/>
      <c r="B1637" s="906"/>
      <c r="C1637" s="907">
        <v>44</v>
      </c>
      <c r="D1637" s="907" t="s">
        <v>279</v>
      </c>
      <c r="E1637" s="925" t="s">
        <v>2681</v>
      </c>
      <c r="F1637" s="926" t="s">
        <v>45</v>
      </c>
      <c r="G1637" s="910"/>
      <c r="H1637" s="911">
        <v>0.432</v>
      </c>
      <c r="I1637" s="912">
        <f>VLOOKUP(E1637,[3]VLP!$B$7:$K$300,10,0)</f>
        <v>23000</v>
      </c>
      <c r="J1637" s="912">
        <f>I1637*H1637</f>
        <v>9936</v>
      </c>
      <c r="K1637" s="912" t="s">
        <v>274</v>
      </c>
      <c r="L1637" s="912"/>
      <c r="M1637" s="912"/>
      <c r="N1637" s="912"/>
      <c r="O1637" s="892">
        <f t="shared" si="100"/>
        <v>0</v>
      </c>
      <c r="P1637" s="903">
        <f t="shared" si="101"/>
        <v>1</v>
      </c>
      <c r="Q1637" s="893">
        <f t="shared" si="102"/>
        <v>3</v>
      </c>
      <c r="R1637" s="894">
        <f t="shared" si="103"/>
        <v>0</v>
      </c>
    </row>
    <row r="1638" spans="1:18" s="904" customFormat="1">
      <c r="A1638" s="895"/>
      <c r="B1638" s="896"/>
      <c r="C1638" s="897"/>
      <c r="D1638" s="897"/>
      <c r="E1638" s="924" t="s">
        <v>276</v>
      </c>
      <c r="F1638" s="927"/>
      <c r="G1638" s="928"/>
      <c r="H1638" s="901"/>
      <c r="I1638" s="902"/>
      <c r="J1638" s="902"/>
      <c r="K1638" s="912" t="s">
        <v>274</v>
      </c>
      <c r="L1638" s="902"/>
      <c r="M1638" s="902"/>
      <c r="N1638" s="902"/>
      <c r="O1638" s="892">
        <f t="shared" si="100"/>
        <v>0</v>
      </c>
      <c r="P1638" s="903">
        <f t="shared" si="101"/>
        <v>1</v>
      </c>
      <c r="Q1638" s="893">
        <f t="shared" si="102"/>
        <v>2</v>
      </c>
      <c r="R1638" s="894">
        <f t="shared" si="103"/>
        <v>0</v>
      </c>
    </row>
    <row r="1639" spans="1:18">
      <c r="A1639" s="905"/>
      <c r="B1639" s="906"/>
      <c r="C1639" s="907">
        <v>740</v>
      </c>
      <c r="D1639" s="907" t="s">
        <v>12</v>
      </c>
      <c r="E1639" s="908" t="s">
        <v>4008</v>
      </c>
      <c r="F1639" s="909" t="s">
        <v>2674</v>
      </c>
      <c r="G1639" s="910"/>
      <c r="H1639" s="911">
        <v>3.78</v>
      </c>
      <c r="I1639" s="912"/>
      <c r="J1639" s="912"/>
      <c r="K1639" s="912">
        <f>VLOOKUP(E1639,ĐMNC!$A$7:$F$67,4,0)</f>
        <v>252714</v>
      </c>
      <c r="L1639" s="912">
        <f>H1639*K1639</f>
        <v>955258.91999999993</v>
      </c>
      <c r="M1639" s="912"/>
      <c r="N1639" s="912"/>
      <c r="O1639" s="892">
        <f t="shared" si="100"/>
        <v>0</v>
      </c>
      <c r="P1639" s="903">
        <f t="shared" si="101"/>
        <v>1</v>
      </c>
      <c r="Q1639" s="893">
        <f t="shared" si="102"/>
        <v>1</v>
      </c>
      <c r="R1639" s="894">
        <f t="shared" si="103"/>
        <v>0</v>
      </c>
    </row>
    <row r="1640" spans="1:18" s="847" customFormat="1" ht="31.5">
      <c r="A1640" s="905"/>
      <c r="B1640" s="914" t="s">
        <v>4477</v>
      </c>
      <c r="C1640" s="915"/>
      <c r="D1640" s="915"/>
      <c r="E1640" s="916" t="s">
        <v>4478</v>
      </c>
      <c r="F1640" s="917" t="s">
        <v>249</v>
      </c>
      <c r="G1640" s="918"/>
      <c r="H1640" s="919"/>
      <c r="I1640" s="920"/>
      <c r="J1640" s="891">
        <f>SUM(J1641:J1645)</f>
        <v>10296</v>
      </c>
      <c r="K1640" s="891"/>
      <c r="L1640" s="891">
        <f>SUM(L1641:L1645)</f>
        <v>1061398.8</v>
      </c>
      <c r="M1640" s="891"/>
      <c r="N1640" s="891">
        <f>SUM(N1641:N1645)</f>
        <v>0</v>
      </c>
      <c r="O1640" s="892">
        <f t="shared" si="100"/>
        <v>1</v>
      </c>
      <c r="P1640" s="903">
        <f t="shared" si="101"/>
        <v>0</v>
      </c>
      <c r="Q1640" s="893">
        <f t="shared" si="102"/>
        <v>0</v>
      </c>
      <c r="R1640" s="894">
        <f t="shared" si="103"/>
        <v>5</v>
      </c>
    </row>
    <row r="1641" spans="1:18" s="904" customFormat="1">
      <c r="A1641" s="895"/>
      <c r="B1641" s="896"/>
      <c r="C1641" s="897"/>
      <c r="D1641" s="897"/>
      <c r="E1641" s="924" t="s">
        <v>108</v>
      </c>
      <c r="F1641" s="899"/>
      <c r="G1641" s="900"/>
      <c r="H1641" s="901"/>
      <c r="I1641" s="902"/>
      <c r="J1641" s="902"/>
      <c r="K1641" s="912" t="s">
        <v>274</v>
      </c>
      <c r="L1641" s="902"/>
      <c r="M1641" s="902"/>
      <c r="N1641" s="902"/>
      <c r="O1641" s="892">
        <f t="shared" si="100"/>
        <v>0</v>
      </c>
      <c r="P1641" s="903">
        <f t="shared" si="101"/>
        <v>1</v>
      </c>
      <c r="Q1641" s="893">
        <f t="shared" si="102"/>
        <v>5</v>
      </c>
      <c r="R1641" s="894">
        <f t="shared" si="103"/>
        <v>0</v>
      </c>
    </row>
    <row r="1642" spans="1:18">
      <c r="A1642" s="905"/>
      <c r="B1642" s="906"/>
      <c r="C1642" s="907">
        <v>66</v>
      </c>
      <c r="D1642" s="907" t="s">
        <v>279</v>
      </c>
      <c r="E1642" s="925" t="s">
        <v>2682</v>
      </c>
      <c r="F1642" s="926" t="s">
        <v>45</v>
      </c>
      <c r="G1642" s="910"/>
      <c r="H1642" s="911">
        <v>7.1999999999999995E-2</v>
      </c>
      <c r="I1642" s="912">
        <f>VLOOKUP(E1642,[3]VLP!$B$7:$K$300,10,0)</f>
        <v>5000</v>
      </c>
      <c r="J1642" s="912">
        <f>I1642*H1642</f>
        <v>360</v>
      </c>
      <c r="K1642" s="912" t="s">
        <v>274</v>
      </c>
      <c r="L1642" s="912"/>
      <c r="M1642" s="912"/>
      <c r="N1642" s="912"/>
      <c r="O1642" s="892">
        <f t="shared" si="100"/>
        <v>0</v>
      </c>
      <c r="P1642" s="903">
        <f t="shared" si="101"/>
        <v>1</v>
      </c>
      <c r="Q1642" s="893">
        <f t="shared" si="102"/>
        <v>4</v>
      </c>
      <c r="R1642" s="894">
        <f t="shared" si="103"/>
        <v>0</v>
      </c>
    </row>
    <row r="1643" spans="1:18">
      <c r="A1643" s="905"/>
      <c r="B1643" s="906"/>
      <c r="C1643" s="907">
        <v>44</v>
      </c>
      <c r="D1643" s="907" t="s">
        <v>279</v>
      </c>
      <c r="E1643" s="925" t="s">
        <v>2681</v>
      </c>
      <c r="F1643" s="926" t="s">
        <v>45</v>
      </c>
      <c r="G1643" s="910"/>
      <c r="H1643" s="911">
        <v>0.432</v>
      </c>
      <c r="I1643" s="912">
        <f>VLOOKUP(E1643,[3]VLP!$B$7:$K$300,10,0)</f>
        <v>23000</v>
      </c>
      <c r="J1643" s="912">
        <f>I1643*H1643</f>
        <v>9936</v>
      </c>
      <c r="K1643" s="912" t="s">
        <v>274</v>
      </c>
      <c r="L1643" s="912"/>
      <c r="M1643" s="912"/>
      <c r="N1643" s="912"/>
      <c r="O1643" s="892">
        <f t="shared" si="100"/>
        <v>0</v>
      </c>
      <c r="P1643" s="903">
        <f t="shared" si="101"/>
        <v>1</v>
      </c>
      <c r="Q1643" s="893">
        <f t="shared" si="102"/>
        <v>3</v>
      </c>
      <c r="R1643" s="894">
        <f t="shared" si="103"/>
        <v>0</v>
      </c>
    </row>
    <row r="1644" spans="1:18" s="904" customFormat="1">
      <c r="A1644" s="895"/>
      <c r="B1644" s="896"/>
      <c r="C1644" s="897"/>
      <c r="D1644" s="897"/>
      <c r="E1644" s="924" t="s">
        <v>276</v>
      </c>
      <c r="F1644" s="927"/>
      <c r="G1644" s="928"/>
      <c r="H1644" s="901"/>
      <c r="I1644" s="902"/>
      <c r="J1644" s="902"/>
      <c r="K1644" s="912" t="s">
        <v>274</v>
      </c>
      <c r="L1644" s="902"/>
      <c r="M1644" s="902"/>
      <c r="N1644" s="902"/>
      <c r="O1644" s="892">
        <f t="shared" si="100"/>
        <v>0</v>
      </c>
      <c r="P1644" s="903">
        <f t="shared" si="101"/>
        <v>1</v>
      </c>
      <c r="Q1644" s="893">
        <f t="shared" si="102"/>
        <v>2</v>
      </c>
      <c r="R1644" s="894">
        <f t="shared" si="103"/>
        <v>0</v>
      </c>
    </row>
    <row r="1645" spans="1:18">
      <c r="A1645" s="905"/>
      <c r="B1645" s="906"/>
      <c r="C1645" s="907">
        <v>740</v>
      </c>
      <c r="D1645" s="907" t="s">
        <v>12</v>
      </c>
      <c r="E1645" s="908" t="s">
        <v>4008</v>
      </c>
      <c r="F1645" s="909" t="s">
        <v>2674</v>
      </c>
      <c r="G1645" s="910"/>
      <c r="H1645" s="911">
        <v>4.2</v>
      </c>
      <c r="I1645" s="912"/>
      <c r="J1645" s="912"/>
      <c r="K1645" s="912">
        <f>VLOOKUP(E1645,ĐMNC!$A$7:$F$67,4,0)</f>
        <v>252714</v>
      </c>
      <c r="L1645" s="912">
        <f>H1645*K1645</f>
        <v>1061398.8</v>
      </c>
      <c r="M1645" s="912"/>
      <c r="N1645" s="912"/>
      <c r="O1645" s="892">
        <f t="shared" si="100"/>
        <v>0</v>
      </c>
      <c r="P1645" s="903">
        <f t="shared" si="101"/>
        <v>1</v>
      </c>
      <c r="Q1645" s="893">
        <f t="shared" si="102"/>
        <v>1</v>
      </c>
      <c r="R1645" s="894">
        <f t="shared" si="103"/>
        <v>0</v>
      </c>
    </row>
    <row r="1646" spans="1:18" s="847" customFormat="1" ht="31.5">
      <c r="A1646" s="905"/>
      <c r="B1646" s="914" t="s">
        <v>4479</v>
      </c>
      <c r="C1646" s="915"/>
      <c r="D1646" s="915"/>
      <c r="E1646" s="916" t="s">
        <v>4480</v>
      </c>
      <c r="F1646" s="917" t="s">
        <v>249</v>
      </c>
      <c r="G1646" s="918"/>
      <c r="H1646" s="919"/>
      <c r="I1646" s="920"/>
      <c r="J1646" s="891">
        <f>SUM(J1647:J1651)</f>
        <v>10296</v>
      </c>
      <c r="K1646" s="891"/>
      <c r="L1646" s="891">
        <f>SUM(L1647:L1651)</f>
        <v>1167538.68</v>
      </c>
      <c r="M1646" s="891"/>
      <c r="N1646" s="891">
        <f>SUM(N1647:N1651)</f>
        <v>0</v>
      </c>
      <c r="O1646" s="892">
        <f t="shared" si="100"/>
        <v>1</v>
      </c>
      <c r="P1646" s="903">
        <f t="shared" si="101"/>
        <v>0</v>
      </c>
      <c r="Q1646" s="893">
        <f t="shared" si="102"/>
        <v>0</v>
      </c>
      <c r="R1646" s="894">
        <f t="shared" si="103"/>
        <v>5</v>
      </c>
    </row>
    <row r="1647" spans="1:18" s="904" customFormat="1">
      <c r="A1647" s="895"/>
      <c r="B1647" s="896"/>
      <c r="C1647" s="897"/>
      <c r="D1647" s="897"/>
      <c r="E1647" s="924" t="s">
        <v>108</v>
      </c>
      <c r="F1647" s="899"/>
      <c r="G1647" s="900"/>
      <c r="H1647" s="901"/>
      <c r="I1647" s="902"/>
      <c r="J1647" s="902"/>
      <c r="K1647" s="912" t="s">
        <v>274</v>
      </c>
      <c r="L1647" s="902"/>
      <c r="M1647" s="902"/>
      <c r="N1647" s="902"/>
      <c r="O1647" s="892">
        <f t="shared" si="100"/>
        <v>0</v>
      </c>
      <c r="P1647" s="903">
        <f t="shared" si="101"/>
        <v>1</v>
      </c>
      <c r="Q1647" s="893">
        <f t="shared" si="102"/>
        <v>5</v>
      </c>
      <c r="R1647" s="894">
        <f t="shared" si="103"/>
        <v>0</v>
      </c>
    </row>
    <row r="1648" spans="1:18">
      <c r="A1648" s="905"/>
      <c r="B1648" s="906"/>
      <c r="C1648" s="907">
        <v>66</v>
      </c>
      <c r="D1648" s="907" t="s">
        <v>279</v>
      </c>
      <c r="E1648" s="925" t="s">
        <v>2682</v>
      </c>
      <c r="F1648" s="926" t="s">
        <v>45</v>
      </c>
      <c r="G1648" s="910"/>
      <c r="H1648" s="911">
        <v>7.1999999999999995E-2</v>
      </c>
      <c r="I1648" s="912">
        <f>VLOOKUP(E1648,[3]VLP!$B$7:$K$300,10,0)</f>
        <v>5000</v>
      </c>
      <c r="J1648" s="912">
        <f>I1648*H1648</f>
        <v>360</v>
      </c>
      <c r="K1648" s="912" t="s">
        <v>274</v>
      </c>
      <c r="L1648" s="912"/>
      <c r="M1648" s="912"/>
      <c r="N1648" s="912"/>
      <c r="O1648" s="892">
        <f t="shared" si="100"/>
        <v>0</v>
      </c>
      <c r="P1648" s="903">
        <f t="shared" si="101"/>
        <v>1</v>
      </c>
      <c r="Q1648" s="893">
        <f t="shared" si="102"/>
        <v>4</v>
      </c>
      <c r="R1648" s="894">
        <f t="shared" si="103"/>
        <v>0</v>
      </c>
    </row>
    <row r="1649" spans="1:18">
      <c r="A1649" s="905"/>
      <c r="B1649" s="906"/>
      <c r="C1649" s="907">
        <v>44</v>
      </c>
      <c r="D1649" s="907" t="s">
        <v>279</v>
      </c>
      <c r="E1649" s="925" t="s">
        <v>2681</v>
      </c>
      <c r="F1649" s="926" t="s">
        <v>45</v>
      </c>
      <c r="G1649" s="910"/>
      <c r="H1649" s="911">
        <v>0.432</v>
      </c>
      <c r="I1649" s="912">
        <f>VLOOKUP(E1649,[3]VLP!$B$7:$K$300,10,0)</f>
        <v>23000</v>
      </c>
      <c r="J1649" s="912">
        <f>I1649*H1649</f>
        <v>9936</v>
      </c>
      <c r="K1649" s="912" t="s">
        <v>274</v>
      </c>
      <c r="L1649" s="912"/>
      <c r="M1649" s="912"/>
      <c r="N1649" s="912"/>
      <c r="O1649" s="892">
        <f t="shared" si="100"/>
        <v>0</v>
      </c>
      <c r="P1649" s="903">
        <f t="shared" si="101"/>
        <v>1</v>
      </c>
      <c r="Q1649" s="893">
        <f t="shared" si="102"/>
        <v>3</v>
      </c>
      <c r="R1649" s="894">
        <f t="shared" si="103"/>
        <v>0</v>
      </c>
    </row>
    <row r="1650" spans="1:18" s="904" customFormat="1">
      <c r="A1650" s="895"/>
      <c r="B1650" s="896"/>
      <c r="C1650" s="897"/>
      <c r="D1650" s="897"/>
      <c r="E1650" s="924" t="s">
        <v>276</v>
      </c>
      <c r="F1650" s="927"/>
      <c r="G1650" s="928"/>
      <c r="H1650" s="901"/>
      <c r="I1650" s="902"/>
      <c r="J1650" s="902"/>
      <c r="K1650" s="912" t="s">
        <v>274</v>
      </c>
      <c r="L1650" s="902"/>
      <c r="M1650" s="902"/>
      <c r="N1650" s="902"/>
      <c r="O1650" s="892">
        <f t="shared" si="100"/>
        <v>0</v>
      </c>
      <c r="P1650" s="903">
        <f t="shared" si="101"/>
        <v>1</v>
      </c>
      <c r="Q1650" s="893">
        <f t="shared" si="102"/>
        <v>2</v>
      </c>
      <c r="R1650" s="894">
        <f t="shared" si="103"/>
        <v>0</v>
      </c>
    </row>
    <row r="1651" spans="1:18">
      <c r="A1651" s="905"/>
      <c r="B1651" s="906"/>
      <c r="C1651" s="907">
        <v>740</v>
      </c>
      <c r="D1651" s="907" t="s">
        <v>12</v>
      </c>
      <c r="E1651" s="908" t="s">
        <v>4008</v>
      </c>
      <c r="F1651" s="909" t="s">
        <v>2674</v>
      </c>
      <c r="G1651" s="910"/>
      <c r="H1651" s="911">
        <v>4.62</v>
      </c>
      <c r="I1651" s="912"/>
      <c r="J1651" s="912"/>
      <c r="K1651" s="912">
        <f>VLOOKUP(E1651,ĐMNC!$A$7:$F$67,4,0)</f>
        <v>252714</v>
      </c>
      <c r="L1651" s="912">
        <f>H1651*K1651</f>
        <v>1167538.68</v>
      </c>
      <c r="M1651" s="912"/>
      <c r="N1651" s="912"/>
      <c r="O1651" s="892">
        <f t="shared" si="100"/>
        <v>0</v>
      </c>
      <c r="P1651" s="903">
        <f t="shared" si="101"/>
        <v>1</v>
      </c>
      <c r="Q1651" s="893">
        <f t="shared" si="102"/>
        <v>1</v>
      </c>
      <c r="R1651" s="894">
        <f t="shared" si="103"/>
        <v>0</v>
      </c>
    </row>
    <row r="1652" spans="1:18" s="847" customFormat="1" ht="31.5">
      <c r="A1652" s="905"/>
      <c r="B1652" s="914" t="s">
        <v>4481</v>
      </c>
      <c r="C1652" s="915"/>
      <c r="D1652" s="915"/>
      <c r="E1652" s="916" t="s">
        <v>4482</v>
      </c>
      <c r="F1652" s="917" t="s">
        <v>249</v>
      </c>
      <c r="G1652" s="918"/>
      <c r="H1652" s="919"/>
      <c r="I1652" s="920"/>
      <c r="J1652" s="891">
        <f>SUM(J1653:J1657)</f>
        <v>10296</v>
      </c>
      <c r="K1652" s="891"/>
      <c r="L1652" s="891">
        <f>SUM(L1653:L1657)</f>
        <v>1341911.3399999999</v>
      </c>
      <c r="M1652" s="891"/>
      <c r="N1652" s="891">
        <f>SUM(N1653:N1657)</f>
        <v>0</v>
      </c>
      <c r="O1652" s="892">
        <f t="shared" si="100"/>
        <v>1</v>
      </c>
      <c r="P1652" s="903">
        <f t="shared" si="101"/>
        <v>0</v>
      </c>
      <c r="Q1652" s="893">
        <f t="shared" si="102"/>
        <v>0</v>
      </c>
      <c r="R1652" s="894">
        <f t="shared" si="103"/>
        <v>5</v>
      </c>
    </row>
    <row r="1653" spans="1:18" s="904" customFormat="1">
      <c r="A1653" s="895"/>
      <c r="B1653" s="896"/>
      <c r="C1653" s="897"/>
      <c r="D1653" s="897"/>
      <c r="E1653" s="924" t="s">
        <v>108</v>
      </c>
      <c r="F1653" s="899"/>
      <c r="G1653" s="900"/>
      <c r="H1653" s="901"/>
      <c r="I1653" s="902"/>
      <c r="J1653" s="902"/>
      <c r="K1653" s="912" t="s">
        <v>274</v>
      </c>
      <c r="L1653" s="902"/>
      <c r="M1653" s="902"/>
      <c r="N1653" s="902"/>
      <c r="O1653" s="892">
        <f t="shared" si="100"/>
        <v>0</v>
      </c>
      <c r="P1653" s="903">
        <f t="shared" si="101"/>
        <v>1</v>
      </c>
      <c r="Q1653" s="893">
        <f t="shared" si="102"/>
        <v>5</v>
      </c>
      <c r="R1653" s="894">
        <f t="shared" si="103"/>
        <v>0</v>
      </c>
    </row>
    <row r="1654" spans="1:18">
      <c r="A1654" s="905"/>
      <c r="B1654" s="906"/>
      <c r="C1654" s="907">
        <v>66</v>
      </c>
      <c r="D1654" s="907" t="s">
        <v>279</v>
      </c>
      <c r="E1654" s="925" t="s">
        <v>2682</v>
      </c>
      <c r="F1654" s="926" t="s">
        <v>45</v>
      </c>
      <c r="G1654" s="910"/>
      <c r="H1654" s="911">
        <v>7.1999999999999995E-2</v>
      </c>
      <c r="I1654" s="912">
        <f>VLOOKUP(E1654,[3]VLP!$B$7:$K$300,10,0)</f>
        <v>5000</v>
      </c>
      <c r="J1654" s="912">
        <f>I1654*H1654</f>
        <v>360</v>
      </c>
      <c r="K1654" s="912" t="s">
        <v>274</v>
      </c>
      <c r="L1654" s="912"/>
      <c r="M1654" s="912"/>
      <c r="N1654" s="912"/>
      <c r="O1654" s="892">
        <f t="shared" si="100"/>
        <v>0</v>
      </c>
      <c r="P1654" s="903">
        <f t="shared" si="101"/>
        <v>1</v>
      </c>
      <c r="Q1654" s="893">
        <f t="shared" si="102"/>
        <v>4</v>
      </c>
      <c r="R1654" s="894">
        <f t="shared" si="103"/>
        <v>0</v>
      </c>
    </row>
    <row r="1655" spans="1:18">
      <c r="A1655" s="905"/>
      <c r="B1655" s="906"/>
      <c r="C1655" s="907">
        <v>44</v>
      </c>
      <c r="D1655" s="907" t="s">
        <v>279</v>
      </c>
      <c r="E1655" s="925" t="s">
        <v>2681</v>
      </c>
      <c r="F1655" s="926" t="s">
        <v>45</v>
      </c>
      <c r="G1655" s="910"/>
      <c r="H1655" s="911">
        <v>0.432</v>
      </c>
      <c r="I1655" s="912">
        <f>VLOOKUP(E1655,[3]VLP!$B$7:$K$300,10,0)</f>
        <v>23000</v>
      </c>
      <c r="J1655" s="912">
        <f>I1655*H1655</f>
        <v>9936</v>
      </c>
      <c r="K1655" s="912" t="s">
        <v>274</v>
      </c>
      <c r="L1655" s="912"/>
      <c r="M1655" s="912"/>
      <c r="N1655" s="912"/>
      <c r="O1655" s="892">
        <f t="shared" si="100"/>
        <v>0</v>
      </c>
      <c r="P1655" s="903">
        <f t="shared" si="101"/>
        <v>1</v>
      </c>
      <c r="Q1655" s="893">
        <f t="shared" si="102"/>
        <v>3</v>
      </c>
      <c r="R1655" s="894">
        <f t="shared" si="103"/>
        <v>0</v>
      </c>
    </row>
    <row r="1656" spans="1:18" s="904" customFormat="1">
      <c r="A1656" s="895"/>
      <c r="B1656" s="896"/>
      <c r="C1656" s="897"/>
      <c r="D1656" s="897"/>
      <c r="E1656" s="924" t="s">
        <v>276</v>
      </c>
      <c r="F1656" s="927"/>
      <c r="G1656" s="928"/>
      <c r="H1656" s="901"/>
      <c r="I1656" s="902"/>
      <c r="J1656" s="902"/>
      <c r="K1656" s="912" t="s">
        <v>274</v>
      </c>
      <c r="L1656" s="902"/>
      <c r="M1656" s="902"/>
      <c r="N1656" s="902"/>
      <c r="O1656" s="892">
        <f t="shared" si="100"/>
        <v>0</v>
      </c>
      <c r="P1656" s="903">
        <f t="shared" si="101"/>
        <v>1</v>
      </c>
      <c r="Q1656" s="893">
        <f t="shared" si="102"/>
        <v>2</v>
      </c>
      <c r="R1656" s="894">
        <f t="shared" si="103"/>
        <v>0</v>
      </c>
    </row>
    <row r="1657" spans="1:18">
      <c r="A1657" s="905"/>
      <c r="B1657" s="906"/>
      <c r="C1657" s="907">
        <v>740</v>
      </c>
      <c r="D1657" s="907" t="s">
        <v>12</v>
      </c>
      <c r="E1657" s="908" t="s">
        <v>4008</v>
      </c>
      <c r="F1657" s="909" t="s">
        <v>2674</v>
      </c>
      <c r="G1657" s="910"/>
      <c r="H1657" s="911">
        <v>5.31</v>
      </c>
      <c r="I1657" s="912"/>
      <c r="J1657" s="912"/>
      <c r="K1657" s="912">
        <f>VLOOKUP(E1657,ĐMNC!$A$7:$F$67,4,0)</f>
        <v>252714</v>
      </c>
      <c r="L1657" s="912">
        <f>H1657*K1657</f>
        <v>1341911.3399999999</v>
      </c>
      <c r="M1657" s="912"/>
      <c r="N1657" s="912"/>
      <c r="O1657" s="892">
        <f t="shared" si="100"/>
        <v>0</v>
      </c>
      <c r="P1657" s="903">
        <f t="shared" si="101"/>
        <v>1</v>
      </c>
      <c r="Q1657" s="893">
        <f t="shared" si="102"/>
        <v>1</v>
      </c>
      <c r="R1657" s="894">
        <f t="shared" si="103"/>
        <v>0</v>
      </c>
    </row>
    <row r="1658" spans="1:18" s="847" customFormat="1" ht="31.5">
      <c r="A1658" s="905"/>
      <c r="B1658" s="914" t="s">
        <v>4483</v>
      </c>
      <c r="C1658" s="915"/>
      <c r="D1658" s="915"/>
      <c r="E1658" s="916" t="s">
        <v>4484</v>
      </c>
      <c r="F1658" s="917" t="s">
        <v>249</v>
      </c>
      <c r="G1658" s="918"/>
      <c r="H1658" s="919"/>
      <c r="I1658" s="920"/>
      <c r="J1658" s="891">
        <f>SUM(J1659:J1663)</f>
        <v>10296</v>
      </c>
      <c r="K1658" s="891"/>
      <c r="L1658" s="891">
        <f>SUM(L1659:L1663)</f>
        <v>1544082.54</v>
      </c>
      <c r="M1658" s="891"/>
      <c r="N1658" s="891">
        <f>SUM(N1659:N1663)</f>
        <v>0</v>
      </c>
      <c r="O1658" s="892">
        <f t="shared" si="100"/>
        <v>1</v>
      </c>
      <c r="P1658" s="903">
        <f t="shared" si="101"/>
        <v>0</v>
      </c>
      <c r="Q1658" s="893">
        <f t="shared" si="102"/>
        <v>0</v>
      </c>
      <c r="R1658" s="894">
        <f t="shared" si="103"/>
        <v>5</v>
      </c>
    </row>
    <row r="1659" spans="1:18" s="904" customFormat="1">
      <c r="A1659" s="895"/>
      <c r="B1659" s="896"/>
      <c r="C1659" s="897"/>
      <c r="D1659" s="897"/>
      <c r="E1659" s="924" t="s">
        <v>108</v>
      </c>
      <c r="F1659" s="899"/>
      <c r="G1659" s="900"/>
      <c r="H1659" s="901"/>
      <c r="I1659" s="902"/>
      <c r="J1659" s="902"/>
      <c r="K1659" s="912" t="s">
        <v>274</v>
      </c>
      <c r="L1659" s="902"/>
      <c r="M1659" s="902"/>
      <c r="N1659" s="902"/>
      <c r="O1659" s="892">
        <f t="shared" si="100"/>
        <v>0</v>
      </c>
      <c r="P1659" s="903">
        <f t="shared" si="101"/>
        <v>1</v>
      </c>
      <c r="Q1659" s="893">
        <f t="shared" si="102"/>
        <v>5</v>
      </c>
      <c r="R1659" s="894">
        <f t="shared" si="103"/>
        <v>0</v>
      </c>
    </row>
    <row r="1660" spans="1:18">
      <c r="A1660" s="905"/>
      <c r="B1660" s="906"/>
      <c r="C1660" s="907">
        <v>66</v>
      </c>
      <c r="D1660" s="907" t="s">
        <v>279</v>
      </c>
      <c r="E1660" s="925" t="s">
        <v>2682</v>
      </c>
      <c r="F1660" s="926" t="s">
        <v>45</v>
      </c>
      <c r="G1660" s="910"/>
      <c r="H1660" s="911">
        <v>7.1999999999999995E-2</v>
      </c>
      <c r="I1660" s="912">
        <f>VLOOKUP(E1660,[3]VLP!$B$7:$K$300,10,0)</f>
        <v>5000</v>
      </c>
      <c r="J1660" s="912">
        <f>I1660*H1660</f>
        <v>360</v>
      </c>
      <c r="K1660" s="912" t="s">
        <v>274</v>
      </c>
      <c r="L1660" s="912"/>
      <c r="M1660" s="912"/>
      <c r="N1660" s="912"/>
      <c r="O1660" s="892">
        <f t="shared" si="100"/>
        <v>0</v>
      </c>
      <c r="P1660" s="903">
        <f t="shared" si="101"/>
        <v>1</v>
      </c>
      <c r="Q1660" s="893">
        <f t="shared" si="102"/>
        <v>4</v>
      </c>
      <c r="R1660" s="894">
        <f t="shared" si="103"/>
        <v>0</v>
      </c>
    </row>
    <row r="1661" spans="1:18">
      <c r="A1661" s="905"/>
      <c r="B1661" s="906"/>
      <c r="C1661" s="907">
        <v>44</v>
      </c>
      <c r="D1661" s="907" t="s">
        <v>279</v>
      </c>
      <c r="E1661" s="925" t="s">
        <v>2681</v>
      </c>
      <c r="F1661" s="926" t="s">
        <v>45</v>
      </c>
      <c r="G1661" s="910"/>
      <c r="H1661" s="911">
        <v>0.432</v>
      </c>
      <c r="I1661" s="912">
        <f>VLOOKUP(E1661,[3]VLP!$B$7:$K$300,10,0)</f>
        <v>23000</v>
      </c>
      <c r="J1661" s="912">
        <f>I1661*H1661</f>
        <v>9936</v>
      </c>
      <c r="K1661" s="912" t="s">
        <v>274</v>
      </c>
      <c r="L1661" s="912"/>
      <c r="M1661" s="912"/>
      <c r="N1661" s="912"/>
      <c r="O1661" s="892">
        <f t="shared" si="100"/>
        <v>0</v>
      </c>
      <c r="P1661" s="903">
        <f t="shared" si="101"/>
        <v>1</v>
      </c>
      <c r="Q1661" s="893">
        <f t="shared" si="102"/>
        <v>3</v>
      </c>
      <c r="R1661" s="894">
        <f t="shared" si="103"/>
        <v>0</v>
      </c>
    </row>
    <row r="1662" spans="1:18" s="904" customFormat="1">
      <c r="A1662" s="895"/>
      <c r="B1662" s="896"/>
      <c r="C1662" s="897"/>
      <c r="D1662" s="897"/>
      <c r="E1662" s="924" t="s">
        <v>276</v>
      </c>
      <c r="F1662" s="927"/>
      <c r="G1662" s="928"/>
      <c r="H1662" s="901"/>
      <c r="I1662" s="902"/>
      <c r="J1662" s="902"/>
      <c r="K1662" s="912" t="s">
        <v>274</v>
      </c>
      <c r="L1662" s="902"/>
      <c r="M1662" s="902"/>
      <c r="N1662" s="902"/>
      <c r="O1662" s="892">
        <f t="shared" si="100"/>
        <v>0</v>
      </c>
      <c r="P1662" s="903">
        <f t="shared" si="101"/>
        <v>1</v>
      </c>
      <c r="Q1662" s="893">
        <f t="shared" si="102"/>
        <v>2</v>
      </c>
      <c r="R1662" s="894">
        <f t="shared" si="103"/>
        <v>0</v>
      </c>
    </row>
    <row r="1663" spans="1:18">
      <c r="A1663" s="905"/>
      <c r="B1663" s="906"/>
      <c r="C1663" s="907">
        <v>740</v>
      </c>
      <c r="D1663" s="907" t="s">
        <v>12</v>
      </c>
      <c r="E1663" s="908" t="s">
        <v>4008</v>
      </c>
      <c r="F1663" s="909" t="s">
        <v>2674</v>
      </c>
      <c r="G1663" s="910"/>
      <c r="H1663" s="911">
        <v>6.11</v>
      </c>
      <c r="I1663" s="912"/>
      <c r="J1663" s="912"/>
      <c r="K1663" s="912">
        <f>VLOOKUP(E1663,ĐMNC!$A$7:$F$67,4,0)</f>
        <v>252714</v>
      </c>
      <c r="L1663" s="912">
        <f>H1663*K1663</f>
        <v>1544082.54</v>
      </c>
      <c r="M1663" s="912"/>
      <c r="N1663" s="912"/>
      <c r="O1663" s="892">
        <f t="shared" si="100"/>
        <v>0</v>
      </c>
      <c r="P1663" s="903">
        <f t="shared" si="101"/>
        <v>1</v>
      </c>
      <c r="Q1663" s="893">
        <f t="shared" si="102"/>
        <v>1</v>
      </c>
      <c r="R1663" s="894">
        <f t="shared" si="103"/>
        <v>0</v>
      </c>
    </row>
    <row r="1664" spans="1:18" s="847" customFormat="1" ht="31.5">
      <c r="A1664" s="905"/>
      <c r="B1664" s="914" t="s">
        <v>4485</v>
      </c>
      <c r="C1664" s="915"/>
      <c r="D1664" s="915"/>
      <c r="E1664" s="916" t="s">
        <v>4486</v>
      </c>
      <c r="F1664" s="917" t="s">
        <v>249</v>
      </c>
      <c r="G1664" s="918"/>
      <c r="H1664" s="919"/>
      <c r="I1664" s="920"/>
      <c r="J1664" s="891">
        <f>SUM(J1665:J1669)</f>
        <v>12366</v>
      </c>
      <c r="K1664" s="891"/>
      <c r="L1664" s="891">
        <f>SUM(L1665:L1669)</f>
        <v>869336.16</v>
      </c>
      <c r="M1664" s="891"/>
      <c r="N1664" s="891">
        <f>SUM(N1665:N1669)</f>
        <v>0</v>
      </c>
      <c r="O1664" s="892">
        <f t="shared" si="100"/>
        <v>1</v>
      </c>
      <c r="P1664" s="903">
        <f t="shared" si="101"/>
        <v>0</v>
      </c>
      <c r="Q1664" s="893">
        <f t="shared" si="102"/>
        <v>0</v>
      </c>
      <c r="R1664" s="894">
        <f t="shared" si="103"/>
        <v>5</v>
      </c>
    </row>
    <row r="1665" spans="1:18" s="904" customFormat="1">
      <c r="A1665" s="895"/>
      <c r="B1665" s="922"/>
      <c r="C1665" s="897"/>
      <c r="D1665" s="897"/>
      <c r="E1665" s="924" t="s">
        <v>108</v>
      </c>
      <c r="F1665" s="899"/>
      <c r="G1665" s="900"/>
      <c r="H1665" s="901"/>
      <c r="I1665" s="902"/>
      <c r="J1665" s="902"/>
      <c r="K1665" s="912" t="s">
        <v>274</v>
      </c>
      <c r="L1665" s="902"/>
      <c r="M1665" s="902"/>
      <c r="N1665" s="902"/>
      <c r="O1665" s="892">
        <f t="shared" si="100"/>
        <v>0</v>
      </c>
      <c r="P1665" s="903">
        <f t="shared" si="101"/>
        <v>1</v>
      </c>
      <c r="Q1665" s="893">
        <f t="shared" si="102"/>
        <v>5</v>
      </c>
      <c r="R1665" s="894">
        <f t="shared" si="103"/>
        <v>0</v>
      </c>
    </row>
    <row r="1666" spans="1:18">
      <c r="A1666" s="905"/>
      <c r="B1666" s="906"/>
      <c r="C1666" s="907">
        <v>66</v>
      </c>
      <c r="D1666" s="907" t="s">
        <v>279</v>
      </c>
      <c r="E1666" s="925" t="s">
        <v>2682</v>
      </c>
      <c r="F1666" s="926" t="s">
        <v>45</v>
      </c>
      <c r="G1666" s="910"/>
      <c r="H1666" s="911">
        <v>7.1999999999999995E-2</v>
      </c>
      <c r="I1666" s="912">
        <f>VLOOKUP(E1666,[3]VLP!$B$7:$K$300,10,0)</f>
        <v>5000</v>
      </c>
      <c r="J1666" s="912">
        <f>I1666*H1666</f>
        <v>360</v>
      </c>
      <c r="K1666" s="912" t="s">
        <v>274</v>
      </c>
      <c r="L1666" s="912"/>
      <c r="M1666" s="912"/>
      <c r="N1666" s="912"/>
      <c r="O1666" s="892">
        <f t="shared" si="100"/>
        <v>0</v>
      </c>
      <c r="P1666" s="903">
        <f t="shared" si="101"/>
        <v>1</v>
      </c>
      <c r="Q1666" s="893">
        <f t="shared" si="102"/>
        <v>4</v>
      </c>
      <c r="R1666" s="894">
        <f t="shared" si="103"/>
        <v>0</v>
      </c>
    </row>
    <row r="1667" spans="1:18">
      <c r="A1667" s="905"/>
      <c r="B1667" s="906"/>
      <c r="C1667" s="907">
        <v>44</v>
      </c>
      <c r="D1667" s="907" t="s">
        <v>279</v>
      </c>
      <c r="E1667" s="925" t="s">
        <v>2681</v>
      </c>
      <c r="F1667" s="926" t="s">
        <v>45</v>
      </c>
      <c r="G1667" s="910"/>
      <c r="H1667" s="911">
        <v>0.52200000000000002</v>
      </c>
      <c r="I1667" s="912">
        <f>VLOOKUP(E1667,[3]VLP!$B$7:$K$300,10,0)</f>
        <v>23000</v>
      </c>
      <c r="J1667" s="912">
        <f>I1667*H1667</f>
        <v>12006</v>
      </c>
      <c r="K1667" s="912" t="s">
        <v>274</v>
      </c>
      <c r="L1667" s="912"/>
      <c r="M1667" s="912"/>
      <c r="N1667" s="912"/>
      <c r="O1667" s="892">
        <f t="shared" si="100"/>
        <v>0</v>
      </c>
      <c r="P1667" s="903">
        <f t="shared" si="101"/>
        <v>1</v>
      </c>
      <c r="Q1667" s="893">
        <f t="shared" si="102"/>
        <v>3</v>
      </c>
      <c r="R1667" s="894">
        <f t="shared" si="103"/>
        <v>0</v>
      </c>
    </row>
    <row r="1668" spans="1:18" s="904" customFormat="1">
      <c r="A1668" s="895"/>
      <c r="B1668" s="896"/>
      <c r="C1668" s="897"/>
      <c r="D1668" s="897"/>
      <c r="E1668" s="924" t="s">
        <v>276</v>
      </c>
      <c r="F1668" s="927"/>
      <c r="G1668" s="928"/>
      <c r="H1668" s="901"/>
      <c r="I1668" s="902"/>
      <c r="J1668" s="902"/>
      <c r="K1668" s="912" t="s">
        <v>274</v>
      </c>
      <c r="L1668" s="902"/>
      <c r="M1668" s="902"/>
      <c r="N1668" s="902"/>
      <c r="O1668" s="892">
        <f t="shared" si="100"/>
        <v>0</v>
      </c>
      <c r="P1668" s="903">
        <f t="shared" si="101"/>
        <v>1</v>
      </c>
      <c r="Q1668" s="893">
        <f t="shared" si="102"/>
        <v>2</v>
      </c>
      <c r="R1668" s="894">
        <f t="shared" si="103"/>
        <v>0</v>
      </c>
    </row>
    <row r="1669" spans="1:18">
      <c r="A1669" s="905"/>
      <c r="B1669" s="906"/>
      <c r="C1669" s="907">
        <v>740</v>
      </c>
      <c r="D1669" s="907" t="s">
        <v>12</v>
      </c>
      <c r="E1669" s="908" t="s">
        <v>4008</v>
      </c>
      <c r="F1669" s="909" t="s">
        <v>2674</v>
      </c>
      <c r="G1669" s="910"/>
      <c r="H1669" s="911">
        <v>3.44</v>
      </c>
      <c r="I1669" s="912"/>
      <c r="J1669" s="912"/>
      <c r="K1669" s="912">
        <f>VLOOKUP(E1669,ĐMNC!$A$7:$F$67,4,0)</f>
        <v>252714</v>
      </c>
      <c r="L1669" s="912">
        <f>H1669*K1669</f>
        <v>869336.16</v>
      </c>
      <c r="M1669" s="912"/>
      <c r="N1669" s="912"/>
      <c r="O1669" s="892">
        <f t="shared" si="100"/>
        <v>0</v>
      </c>
      <c r="P1669" s="903">
        <f t="shared" si="101"/>
        <v>1</v>
      </c>
      <c r="Q1669" s="893">
        <f t="shared" si="102"/>
        <v>1</v>
      </c>
      <c r="R1669" s="894">
        <f t="shared" si="103"/>
        <v>0</v>
      </c>
    </row>
    <row r="1670" spans="1:18" s="847" customFormat="1" ht="31.5">
      <c r="A1670" s="905"/>
      <c r="B1670" s="914" t="s">
        <v>4487</v>
      </c>
      <c r="C1670" s="915"/>
      <c r="D1670" s="915"/>
      <c r="E1670" s="916" t="s">
        <v>4488</v>
      </c>
      <c r="F1670" s="917" t="s">
        <v>249</v>
      </c>
      <c r="G1670" s="918"/>
      <c r="H1670" s="919"/>
      <c r="I1670" s="920"/>
      <c r="J1670" s="891">
        <f>SUM(J1671:J1675)</f>
        <v>12366</v>
      </c>
      <c r="K1670" s="891"/>
      <c r="L1670" s="891">
        <f>SUM(L1671:L1675)</f>
        <v>917351.82</v>
      </c>
      <c r="M1670" s="891"/>
      <c r="N1670" s="891">
        <f>SUM(N1671:N1675)</f>
        <v>0</v>
      </c>
      <c r="O1670" s="892">
        <f t="shared" si="100"/>
        <v>1</v>
      </c>
      <c r="P1670" s="903">
        <f t="shared" si="101"/>
        <v>0</v>
      </c>
      <c r="Q1670" s="893">
        <f t="shared" si="102"/>
        <v>0</v>
      </c>
      <c r="R1670" s="894">
        <f t="shared" si="103"/>
        <v>5</v>
      </c>
    </row>
    <row r="1671" spans="1:18" s="904" customFormat="1">
      <c r="A1671" s="895"/>
      <c r="B1671" s="896"/>
      <c r="C1671" s="897"/>
      <c r="D1671" s="897"/>
      <c r="E1671" s="924" t="s">
        <v>108</v>
      </c>
      <c r="F1671" s="899"/>
      <c r="G1671" s="900"/>
      <c r="H1671" s="901"/>
      <c r="I1671" s="902"/>
      <c r="J1671" s="902"/>
      <c r="K1671" s="912" t="s">
        <v>274</v>
      </c>
      <c r="L1671" s="902"/>
      <c r="M1671" s="902"/>
      <c r="N1671" s="902"/>
      <c r="O1671" s="892">
        <f t="shared" ref="O1671:O1734" si="104">IF(AND(B1671&lt;&gt;"",D1671=""),1,0)</f>
        <v>0</v>
      </c>
      <c r="P1671" s="903">
        <f t="shared" si="101"/>
        <v>1</v>
      </c>
      <c r="Q1671" s="893">
        <f t="shared" si="102"/>
        <v>5</v>
      </c>
      <c r="R1671" s="894">
        <f t="shared" si="103"/>
        <v>0</v>
      </c>
    </row>
    <row r="1672" spans="1:18">
      <c r="A1672" s="905"/>
      <c r="B1672" s="906"/>
      <c r="C1672" s="907">
        <v>66</v>
      </c>
      <c r="D1672" s="907" t="s">
        <v>279</v>
      </c>
      <c r="E1672" s="925" t="s">
        <v>2682</v>
      </c>
      <c r="F1672" s="926" t="s">
        <v>45</v>
      </c>
      <c r="G1672" s="910"/>
      <c r="H1672" s="911">
        <v>7.1999999999999995E-2</v>
      </c>
      <c r="I1672" s="912">
        <f>VLOOKUP(E1672,[3]VLP!$B$7:$K$300,10,0)</f>
        <v>5000</v>
      </c>
      <c r="J1672" s="912">
        <f>I1672*H1672</f>
        <v>360</v>
      </c>
      <c r="K1672" s="912" t="s">
        <v>274</v>
      </c>
      <c r="L1672" s="912"/>
      <c r="M1672" s="912"/>
      <c r="N1672" s="912"/>
      <c r="O1672" s="892">
        <f t="shared" si="104"/>
        <v>0</v>
      </c>
      <c r="P1672" s="903">
        <f t="shared" si="101"/>
        <v>1</v>
      </c>
      <c r="Q1672" s="893">
        <f t="shared" si="102"/>
        <v>4</v>
      </c>
      <c r="R1672" s="894">
        <f t="shared" si="103"/>
        <v>0</v>
      </c>
    </row>
    <row r="1673" spans="1:18">
      <c r="A1673" s="905"/>
      <c r="B1673" s="906"/>
      <c r="C1673" s="907">
        <v>44</v>
      </c>
      <c r="D1673" s="907" t="s">
        <v>279</v>
      </c>
      <c r="E1673" s="925" t="s">
        <v>2681</v>
      </c>
      <c r="F1673" s="926" t="s">
        <v>45</v>
      </c>
      <c r="G1673" s="910"/>
      <c r="H1673" s="911">
        <v>0.52200000000000002</v>
      </c>
      <c r="I1673" s="912">
        <f>VLOOKUP(E1673,[3]VLP!$B$7:$K$300,10,0)</f>
        <v>23000</v>
      </c>
      <c r="J1673" s="912">
        <f>I1673*H1673</f>
        <v>12006</v>
      </c>
      <c r="K1673" s="912" t="s">
        <v>274</v>
      </c>
      <c r="L1673" s="912"/>
      <c r="M1673" s="912"/>
      <c r="N1673" s="912"/>
      <c r="O1673" s="892">
        <f t="shared" si="104"/>
        <v>0</v>
      </c>
      <c r="P1673" s="903">
        <f t="shared" si="101"/>
        <v>1</v>
      </c>
      <c r="Q1673" s="893">
        <f t="shared" si="102"/>
        <v>3</v>
      </c>
      <c r="R1673" s="894">
        <f t="shared" si="103"/>
        <v>0</v>
      </c>
    </row>
    <row r="1674" spans="1:18" s="904" customFormat="1">
      <c r="A1674" s="895"/>
      <c r="B1674" s="896"/>
      <c r="C1674" s="897"/>
      <c r="D1674" s="897"/>
      <c r="E1674" s="924" t="s">
        <v>276</v>
      </c>
      <c r="F1674" s="927"/>
      <c r="G1674" s="928"/>
      <c r="H1674" s="901"/>
      <c r="I1674" s="902"/>
      <c r="J1674" s="902"/>
      <c r="K1674" s="912" t="s">
        <v>274</v>
      </c>
      <c r="L1674" s="902"/>
      <c r="M1674" s="902"/>
      <c r="N1674" s="902"/>
      <c r="O1674" s="892">
        <f t="shared" si="104"/>
        <v>0</v>
      </c>
      <c r="P1674" s="903">
        <f t="shared" si="101"/>
        <v>1</v>
      </c>
      <c r="Q1674" s="893">
        <f t="shared" si="102"/>
        <v>2</v>
      </c>
      <c r="R1674" s="894">
        <f t="shared" si="103"/>
        <v>0</v>
      </c>
    </row>
    <row r="1675" spans="1:18">
      <c r="A1675" s="905"/>
      <c r="B1675" s="906"/>
      <c r="C1675" s="907">
        <v>740</v>
      </c>
      <c r="D1675" s="907" t="s">
        <v>12</v>
      </c>
      <c r="E1675" s="908" t="s">
        <v>4008</v>
      </c>
      <c r="F1675" s="909" t="s">
        <v>2674</v>
      </c>
      <c r="G1675" s="910"/>
      <c r="H1675" s="911">
        <v>3.63</v>
      </c>
      <c r="I1675" s="912"/>
      <c r="J1675" s="912"/>
      <c r="K1675" s="912">
        <f>VLOOKUP(E1675,ĐMNC!$A$7:$F$67,4,0)</f>
        <v>252714</v>
      </c>
      <c r="L1675" s="912">
        <f>H1675*K1675</f>
        <v>917351.82</v>
      </c>
      <c r="M1675" s="912"/>
      <c r="N1675" s="912"/>
      <c r="O1675" s="892">
        <f t="shared" si="104"/>
        <v>0</v>
      </c>
      <c r="P1675" s="903">
        <f t="shared" si="101"/>
        <v>1</v>
      </c>
      <c r="Q1675" s="893">
        <f t="shared" si="102"/>
        <v>1</v>
      </c>
      <c r="R1675" s="894">
        <f t="shared" si="103"/>
        <v>0</v>
      </c>
    </row>
    <row r="1676" spans="1:18" s="847" customFormat="1" ht="31.5">
      <c r="A1676" s="905"/>
      <c r="B1676" s="914" t="s">
        <v>4489</v>
      </c>
      <c r="C1676" s="915"/>
      <c r="D1676" s="915"/>
      <c r="E1676" s="916" t="s">
        <v>4490</v>
      </c>
      <c r="F1676" s="917" t="s">
        <v>249</v>
      </c>
      <c r="G1676" s="918"/>
      <c r="H1676" s="919"/>
      <c r="I1676" s="920"/>
      <c r="J1676" s="891">
        <f>SUM(J1677:J1681)</f>
        <v>12366</v>
      </c>
      <c r="K1676" s="891"/>
      <c r="L1676" s="891">
        <f>SUM(L1677:L1681)</f>
        <v>998220.3</v>
      </c>
      <c r="M1676" s="891"/>
      <c r="N1676" s="891">
        <f>SUM(N1677:N1681)</f>
        <v>0</v>
      </c>
      <c r="O1676" s="892">
        <f t="shared" si="104"/>
        <v>1</v>
      </c>
      <c r="P1676" s="903">
        <f t="shared" si="101"/>
        <v>0</v>
      </c>
      <c r="Q1676" s="893">
        <f t="shared" si="102"/>
        <v>0</v>
      </c>
      <c r="R1676" s="894">
        <f t="shared" si="103"/>
        <v>5</v>
      </c>
    </row>
    <row r="1677" spans="1:18" s="904" customFormat="1">
      <c r="A1677" s="895"/>
      <c r="B1677" s="896"/>
      <c r="C1677" s="897"/>
      <c r="D1677" s="897"/>
      <c r="E1677" s="924" t="s">
        <v>108</v>
      </c>
      <c r="F1677" s="899"/>
      <c r="G1677" s="900"/>
      <c r="H1677" s="901"/>
      <c r="I1677" s="902"/>
      <c r="J1677" s="902"/>
      <c r="K1677" s="912" t="s">
        <v>274</v>
      </c>
      <c r="L1677" s="902"/>
      <c r="M1677" s="902"/>
      <c r="N1677" s="902"/>
      <c r="O1677" s="892">
        <f t="shared" si="104"/>
        <v>0</v>
      </c>
      <c r="P1677" s="903">
        <f t="shared" si="101"/>
        <v>1</v>
      </c>
      <c r="Q1677" s="893">
        <f t="shared" si="102"/>
        <v>5</v>
      </c>
      <c r="R1677" s="894">
        <f t="shared" si="103"/>
        <v>0</v>
      </c>
    </row>
    <row r="1678" spans="1:18">
      <c r="A1678" s="905"/>
      <c r="B1678" s="906"/>
      <c r="C1678" s="907">
        <v>66</v>
      </c>
      <c r="D1678" s="907" t="s">
        <v>279</v>
      </c>
      <c r="E1678" s="925" t="s">
        <v>2682</v>
      </c>
      <c r="F1678" s="926" t="s">
        <v>45</v>
      </c>
      <c r="G1678" s="910"/>
      <c r="H1678" s="911">
        <v>7.1999999999999995E-2</v>
      </c>
      <c r="I1678" s="912">
        <f>VLOOKUP(E1678,[3]VLP!$B$7:$K$300,10,0)</f>
        <v>5000</v>
      </c>
      <c r="J1678" s="912">
        <f>I1678*H1678</f>
        <v>360</v>
      </c>
      <c r="K1678" s="912" t="s">
        <v>274</v>
      </c>
      <c r="L1678" s="912"/>
      <c r="M1678" s="912"/>
      <c r="N1678" s="912"/>
      <c r="O1678" s="892">
        <f t="shared" si="104"/>
        <v>0</v>
      </c>
      <c r="P1678" s="903">
        <f t="shared" si="101"/>
        <v>1</v>
      </c>
      <c r="Q1678" s="893">
        <f t="shared" si="102"/>
        <v>4</v>
      </c>
      <c r="R1678" s="894">
        <f t="shared" si="103"/>
        <v>0</v>
      </c>
    </row>
    <row r="1679" spans="1:18">
      <c r="A1679" s="905"/>
      <c r="B1679" s="906"/>
      <c r="C1679" s="907">
        <v>44</v>
      </c>
      <c r="D1679" s="907" t="s">
        <v>279</v>
      </c>
      <c r="E1679" s="925" t="s">
        <v>2681</v>
      </c>
      <c r="F1679" s="926" t="s">
        <v>45</v>
      </c>
      <c r="G1679" s="910"/>
      <c r="H1679" s="911">
        <v>0.52200000000000002</v>
      </c>
      <c r="I1679" s="912">
        <f>VLOOKUP(E1679,[3]VLP!$B$7:$K$300,10,0)</f>
        <v>23000</v>
      </c>
      <c r="J1679" s="912">
        <f>I1679*H1679</f>
        <v>12006</v>
      </c>
      <c r="K1679" s="912" t="s">
        <v>274</v>
      </c>
      <c r="L1679" s="912"/>
      <c r="M1679" s="912"/>
      <c r="N1679" s="912"/>
      <c r="O1679" s="892">
        <f t="shared" si="104"/>
        <v>0</v>
      </c>
      <c r="P1679" s="903">
        <f t="shared" si="101"/>
        <v>1</v>
      </c>
      <c r="Q1679" s="893">
        <f t="shared" si="102"/>
        <v>3</v>
      </c>
      <c r="R1679" s="894">
        <f t="shared" si="103"/>
        <v>0</v>
      </c>
    </row>
    <row r="1680" spans="1:18" s="904" customFormat="1">
      <c r="A1680" s="895"/>
      <c r="B1680" s="896"/>
      <c r="C1680" s="897"/>
      <c r="D1680" s="897"/>
      <c r="E1680" s="924" t="s">
        <v>276</v>
      </c>
      <c r="F1680" s="927"/>
      <c r="G1680" s="928"/>
      <c r="H1680" s="901"/>
      <c r="I1680" s="902"/>
      <c r="J1680" s="902"/>
      <c r="K1680" s="912" t="s">
        <v>274</v>
      </c>
      <c r="L1680" s="902"/>
      <c r="M1680" s="902"/>
      <c r="N1680" s="902"/>
      <c r="O1680" s="892">
        <f t="shared" si="104"/>
        <v>0</v>
      </c>
      <c r="P1680" s="903">
        <f t="shared" ref="P1680:P1743" si="105">IF(O1680=0,1,0)</f>
        <v>1</v>
      </c>
      <c r="Q1680" s="893">
        <f t="shared" ref="Q1680:Q1743" si="106">IF(P1680=0,0,P1680+Q1681)</f>
        <v>2</v>
      </c>
      <c r="R1680" s="894">
        <f t="shared" ref="R1680:R1743" si="107">IF(Q1680=0,Q1681,0)</f>
        <v>0</v>
      </c>
    </row>
    <row r="1681" spans="1:18">
      <c r="A1681" s="905"/>
      <c r="B1681" s="906"/>
      <c r="C1681" s="907">
        <v>740</v>
      </c>
      <c r="D1681" s="907" t="s">
        <v>12</v>
      </c>
      <c r="E1681" s="908" t="s">
        <v>4008</v>
      </c>
      <c r="F1681" s="909" t="s">
        <v>2674</v>
      </c>
      <c r="G1681" s="910"/>
      <c r="H1681" s="911">
        <v>3.95</v>
      </c>
      <c r="I1681" s="912"/>
      <c r="J1681" s="912"/>
      <c r="K1681" s="912">
        <f>VLOOKUP(E1681,ĐMNC!$A$7:$F$67,4,0)</f>
        <v>252714</v>
      </c>
      <c r="L1681" s="912">
        <f>H1681*K1681</f>
        <v>998220.3</v>
      </c>
      <c r="M1681" s="912"/>
      <c r="N1681" s="912"/>
      <c r="O1681" s="892">
        <f t="shared" si="104"/>
        <v>0</v>
      </c>
      <c r="P1681" s="903">
        <f t="shared" si="105"/>
        <v>1</v>
      </c>
      <c r="Q1681" s="893">
        <f t="shared" si="106"/>
        <v>1</v>
      </c>
      <c r="R1681" s="894">
        <f t="shared" si="107"/>
        <v>0</v>
      </c>
    </row>
    <row r="1682" spans="1:18" s="847" customFormat="1" ht="31.5">
      <c r="A1682" s="905"/>
      <c r="B1682" s="914" t="s">
        <v>4491</v>
      </c>
      <c r="C1682" s="915"/>
      <c r="D1682" s="915"/>
      <c r="E1682" s="916" t="s">
        <v>4492</v>
      </c>
      <c r="F1682" s="917" t="s">
        <v>249</v>
      </c>
      <c r="G1682" s="918"/>
      <c r="H1682" s="919"/>
      <c r="I1682" s="920"/>
      <c r="J1682" s="891">
        <f>SUM(J1683:J1687)</f>
        <v>12366</v>
      </c>
      <c r="K1682" s="891"/>
      <c r="L1682" s="891">
        <f>SUM(L1683:L1687)</f>
        <v>1147321.56</v>
      </c>
      <c r="M1682" s="891"/>
      <c r="N1682" s="891">
        <f>SUM(N1683:N1687)</f>
        <v>0</v>
      </c>
      <c r="O1682" s="892">
        <f t="shared" si="104"/>
        <v>1</v>
      </c>
      <c r="P1682" s="903">
        <f t="shared" si="105"/>
        <v>0</v>
      </c>
      <c r="Q1682" s="893">
        <f t="shared" si="106"/>
        <v>0</v>
      </c>
      <c r="R1682" s="894">
        <f t="shared" si="107"/>
        <v>5</v>
      </c>
    </row>
    <row r="1683" spans="1:18" s="904" customFormat="1">
      <c r="A1683" s="895"/>
      <c r="B1683" s="896"/>
      <c r="C1683" s="897"/>
      <c r="D1683" s="897"/>
      <c r="E1683" s="924" t="s">
        <v>108</v>
      </c>
      <c r="F1683" s="899"/>
      <c r="G1683" s="900"/>
      <c r="H1683" s="901"/>
      <c r="I1683" s="902"/>
      <c r="J1683" s="902"/>
      <c r="K1683" s="912" t="s">
        <v>274</v>
      </c>
      <c r="L1683" s="902"/>
      <c r="M1683" s="902"/>
      <c r="N1683" s="902"/>
      <c r="O1683" s="892">
        <f t="shared" si="104"/>
        <v>0</v>
      </c>
      <c r="P1683" s="903">
        <f t="shared" si="105"/>
        <v>1</v>
      </c>
      <c r="Q1683" s="893">
        <f t="shared" si="106"/>
        <v>5</v>
      </c>
      <c r="R1683" s="894">
        <f t="shared" si="107"/>
        <v>0</v>
      </c>
    </row>
    <row r="1684" spans="1:18">
      <c r="A1684" s="905"/>
      <c r="B1684" s="906"/>
      <c r="C1684" s="907">
        <v>66</v>
      </c>
      <c r="D1684" s="907" t="s">
        <v>279</v>
      </c>
      <c r="E1684" s="925" t="s">
        <v>2682</v>
      </c>
      <c r="F1684" s="926" t="s">
        <v>45</v>
      </c>
      <c r="G1684" s="910"/>
      <c r="H1684" s="911">
        <v>7.1999999999999995E-2</v>
      </c>
      <c r="I1684" s="912">
        <f>VLOOKUP(E1684,[3]VLP!$B$7:$K$300,10,0)</f>
        <v>5000</v>
      </c>
      <c r="J1684" s="912">
        <f>I1684*H1684</f>
        <v>360</v>
      </c>
      <c r="K1684" s="912" t="s">
        <v>274</v>
      </c>
      <c r="L1684" s="912"/>
      <c r="M1684" s="912"/>
      <c r="N1684" s="912"/>
      <c r="O1684" s="892">
        <f t="shared" si="104"/>
        <v>0</v>
      </c>
      <c r="P1684" s="903">
        <f t="shared" si="105"/>
        <v>1</v>
      </c>
      <c r="Q1684" s="893">
        <f t="shared" si="106"/>
        <v>4</v>
      </c>
      <c r="R1684" s="894">
        <f t="shared" si="107"/>
        <v>0</v>
      </c>
    </row>
    <row r="1685" spans="1:18">
      <c r="A1685" s="905"/>
      <c r="B1685" s="906"/>
      <c r="C1685" s="907">
        <v>44</v>
      </c>
      <c r="D1685" s="907" t="s">
        <v>279</v>
      </c>
      <c r="E1685" s="925" t="s">
        <v>2681</v>
      </c>
      <c r="F1685" s="926" t="s">
        <v>45</v>
      </c>
      <c r="G1685" s="910"/>
      <c r="H1685" s="911">
        <v>0.52200000000000002</v>
      </c>
      <c r="I1685" s="912">
        <f>VLOOKUP(E1685,[3]VLP!$B$7:$K$300,10,0)</f>
        <v>23000</v>
      </c>
      <c r="J1685" s="912">
        <f>I1685*H1685</f>
        <v>12006</v>
      </c>
      <c r="K1685" s="912" t="s">
        <v>274</v>
      </c>
      <c r="L1685" s="912"/>
      <c r="M1685" s="912"/>
      <c r="N1685" s="912"/>
      <c r="O1685" s="892">
        <f t="shared" si="104"/>
        <v>0</v>
      </c>
      <c r="P1685" s="903">
        <f t="shared" si="105"/>
        <v>1</v>
      </c>
      <c r="Q1685" s="893">
        <f t="shared" si="106"/>
        <v>3</v>
      </c>
      <c r="R1685" s="894">
        <f t="shared" si="107"/>
        <v>0</v>
      </c>
    </row>
    <row r="1686" spans="1:18" s="904" customFormat="1">
      <c r="A1686" s="895"/>
      <c r="B1686" s="896"/>
      <c r="C1686" s="897"/>
      <c r="D1686" s="897"/>
      <c r="E1686" s="924" t="s">
        <v>276</v>
      </c>
      <c r="F1686" s="927"/>
      <c r="G1686" s="928"/>
      <c r="H1686" s="901"/>
      <c r="I1686" s="902"/>
      <c r="J1686" s="902"/>
      <c r="K1686" s="912" t="s">
        <v>274</v>
      </c>
      <c r="L1686" s="902"/>
      <c r="M1686" s="902"/>
      <c r="N1686" s="902"/>
      <c r="O1686" s="892">
        <f t="shared" si="104"/>
        <v>0</v>
      </c>
      <c r="P1686" s="903">
        <f t="shared" si="105"/>
        <v>1</v>
      </c>
      <c r="Q1686" s="893">
        <f t="shared" si="106"/>
        <v>2</v>
      </c>
      <c r="R1686" s="894">
        <f t="shared" si="107"/>
        <v>0</v>
      </c>
    </row>
    <row r="1687" spans="1:18">
      <c r="A1687" s="905"/>
      <c r="B1687" s="906"/>
      <c r="C1687" s="907">
        <v>740</v>
      </c>
      <c r="D1687" s="907" t="s">
        <v>12</v>
      </c>
      <c r="E1687" s="908" t="s">
        <v>4008</v>
      </c>
      <c r="F1687" s="909" t="s">
        <v>2674</v>
      </c>
      <c r="G1687" s="910"/>
      <c r="H1687" s="911">
        <v>4.54</v>
      </c>
      <c r="I1687" s="912"/>
      <c r="J1687" s="912"/>
      <c r="K1687" s="912">
        <f>VLOOKUP(E1687,ĐMNC!$A$7:$F$67,4,0)</f>
        <v>252714</v>
      </c>
      <c r="L1687" s="912">
        <f>H1687*K1687</f>
        <v>1147321.56</v>
      </c>
      <c r="M1687" s="912"/>
      <c r="N1687" s="912"/>
      <c r="O1687" s="892">
        <f t="shared" si="104"/>
        <v>0</v>
      </c>
      <c r="P1687" s="903">
        <f t="shared" si="105"/>
        <v>1</v>
      </c>
      <c r="Q1687" s="893">
        <f t="shared" si="106"/>
        <v>1</v>
      </c>
      <c r="R1687" s="894">
        <f t="shared" si="107"/>
        <v>0</v>
      </c>
    </row>
    <row r="1688" spans="1:18" s="847" customFormat="1" ht="31.5">
      <c r="A1688" s="905"/>
      <c r="B1688" s="914" t="s">
        <v>4493</v>
      </c>
      <c r="C1688" s="915"/>
      <c r="D1688" s="915"/>
      <c r="E1688" s="916" t="s">
        <v>4494</v>
      </c>
      <c r="F1688" s="917" t="s">
        <v>249</v>
      </c>
      <c r="G1688" s="918"/>
      <c r="H1688" s="919"/>
      <c r="I1688" s="920"/>
      <c r="J1688" s="891">
        <f>SUM(J1689:J1693)</f>
        <v>12366</v>
      </c>
      <c r="K1688" s="891"/>
      <c r="L1688" s="891">
        <f>SUM(L1689:L1693)</f>
        <v>1273678.56</v>
      </c>
      <c r="M1688" s="891"/>
      <c r="N1688" s="891">
        <f>SUM(N1689:N1693)</f>
        <v>0</v>
      </c>
      <c r="O1688" s="892">
        <f t="shared" si="104"/>
        <v>1</v>
      </c>
      <c r="P1688" s="903">
        <f t="shared" si="105"/>
        <v>0</v>
      </c>
      <c r="Q1688" s="893">
        <f t="shared" si="106"/>
        <v>0</v>
      </c>
      <c r="R1688" s="894">
        <f t="shared" si="107"/>
        <v>5</v>
      </c>
    </row>
    <row r="1689" spans="1:18" s="904" customFormat="1">
      <c r="A1689" s="895"/>
      <c r="B1689" s="896"/>
      <c r="C1689" s="897"/>
      <c r="D1689" s="897"/>
      <c r="E1689" s="924" t="s">
        <v>108</v>
      </c>
      <c r="F1689" s="899"/>
      <c r="G1689" s="900"/>
      <c r="H1689" s="901"/>
      <c r="I1689" s="902"/>
      <c r="J1689" s="902"/>
      <c r="K1689" s="912" t="s">
        <v>274</v>
      </c>
      <c r="L1689" s="902"/>
      <c r="M1689" s="902"/>
      <c r="N1689" s="902"/>
      <c r="O1689" s="892">
        <f t="shared" si="104"/>
        <v>0</v>
      </c>
      <c r="P1689" s="903">
        <f t="shared" si="105"/>
        <v>1</v>
      </c>
      <c r="Q1689" s="893">
        <f t="shared" si="106"/>
        <v>5</v>
      </c>
      <c r="R1689" s="894">
        <f t="shared" si="107"/>
        <v>0</v>
      </c>
    </row>
    <row r="1690" spans="1:18">
      <c r="A1690" s="905"/>
      <c r="B1690" s="906"/>
      <c r="C1690" s="907">
        <v>66</v>
      </c>
      <c r="D1690" s="907" t="s">
        <v>279</v>
      </c>
      <c r="E1690" s="925" t="s">
        <v>2682</v>
      </c>
      <c r="F1690" s="926" t="s">
        <v>45</v>
      </c>
      <c r="G1690" s="910"/>
      <c r="H1690" s="911">
        <v>7.1999999999999995E-2</v>
      </c>
      <c r="I1690" s="912">
        <f>VLOOKUP(E1690,[3]VLP!$B$7:$K$300,10,0)</f>
        <v>5000</v>
      </c>
      <c r="J1690" s="912">
        <f>I1690*H1690</f>
        <v>360</v>
      </c>
      <c r="K1690" s="912" t="s">
        <v>274</v>
      </c>
      <c r="L1690" s="912"/>
      <c r="M1690" s="912"/>
      <c r="N1690" s="912"/>
      <c r="O1690" s="892">
        <f t="shared" si="104"/>
        <v>0</v>
      </c>
      <c r="P1690" s="903">
        <f t="shared" si="105"/>
        <v>1</v>
      </c>
      <c r="Q1690" s="893">
        <f t="shared" si="106"/>
        <v>4</v>
      </c>
      <c r="R1690" s="894">
        <f t="shared" si="107"/>
        <v>0</v>
      </c>
    </row>
    <row r="1691" spans="1:18">
      <c r="A1691" s="905"/>
      <c r="B1691" s="906"/>
      <c r="C1691" s="907">
        <v>44</v>
      </c>
      <c r="D1691" s="907" t="s">
        <v>279</v>
      </c>
      <c r="E1691" s="925" t="s">
        <v>2681</v>
      </c>
      <c r="F1691" s="926" t="s">
        <v>45</v>
      </c>
      <c r="G1691" s="910"/>
      <c r="H1691" s="911">
        <v>0.52200000000000002</v>
      </c>
      <c r="I1691" s="912">
        <f>VLOOKUP(E1691,[3]VLP!$B$7:$K$300,10,0)</f>
        <v>23000</v>
      </c>
      <c r="J1691" s="912">
        <f>I1691*H1691</f>
        <v>12006</v>
      </c>
      <c r="K1691" s="912" t="s">
        <v>274</v>
      </c>
      <c r="L1691" s="912"/>
      <c r="M1691" s="912"/>
      <c r="N1691" s="912"/>
      <c r="O1691" s="892">
        <f t="shared" si="104"/>
        <v>0</v>
      </c>
      <c r="P1691" s="903">
        <f t="shared" si="105"/>
        <v>1</v>
      </c>
      <c r="Q1691" s="893">
        <f t="shared" si="106"/>
        <v>3</v>
      </c>
      <c r="R1691" s="894">
        <f t="shared" si="107"/>
        <v>0</v>
      </c>
    </row>
    <row r="1692" spans="1:18" s="904" customFormat="1">
      <c r="A1692" s="895"/>
      <c r="B1692" s="896"/>
      <c r="C1692" s="897"/>
      <c r="D1692" s="897"/>
      <c r="E1692" s="924" t="s">
        <v>276</v>
      </c>
      <c r="F1692" s="927"/>
      <c r="G1692" s="928"/>
      <c r="H1692" s="901"/>
      <c r="I1692" s="902"/>
      <c r="J1692" s="902"/>
      <c r="K1692" s="912" t="s">
        <v>274</v>
      </c>
      <c r="L1692" s="902"/>
      <c r="M1692" s="902"/>
      <c r="N1692" s="902"/>
      <c r="O1692" s="892">
        <f t="shared" si="104"/>
        <v>0</v>
      </c>
      <c r="P1692" s="903">
        <f t="shared" si="105"/>
        <v>1</v>
      </c>
      <c r="Q1692" s="893">
        <f t="shared" si="106"/>
        <v>2</v>
      </c>
      <c r="R1692" s="894">
        <f t="shared" si="107"/>
        <v>0</v>
      </c>
    </row>
    <row r="1693" spans="1:18">
      <c r="A1693" s="905"/>
      <c r="B1693" s="906"/>
      <c r="C1693" s="907">
        <v>740</v>
      </c>
      <c r="D1693" s="907" t="s">
        <v>12</v>
      </c>
      <c r="E1693" s="908" t="s">
        <v>4008</v>
      </c>
      <c r="F1693" s="909" t="s">
        <v>2674</v>
      </c>
      <c r="G1693" s="910"/>
      <c r="H1693" s="911">
        <v>5.04</v>
      </c>
      <c r="I1693" s="912"/>
      <c r="J1693" s="912"/>
      <c r="K1693" s="912">
        <f>VLOOKUP(E1693,ĐMNC!$A$7:$F$67,4,0)</f>
        <v>252714</v>
      </c>
      <c r="L1693" s="912">
        <f>H1693*K1693</f>
        <v>1273678.56</v>
      </c>
      <c r="M1693" s="912"/>
      <c r="N1693" s="912"/>
      <c r="O1693" s="892">
        <f t="shared" si="104"/>
        <v>0</v>
      </c>
      <c r="P1693" s="903">
        <f t="shared" si="105"/>
        <v>1</v>
      </c>
      <c r="Q1693" s="893">
        <f t="shared" si="106"/>
        <v>1</v>
      </c>
      <c r="R1693" s="894">
        <f t="shared" si="107"/>
        <v>0</v>
      </c>
    </row>
    <row r="1694" spans="1:18" s="847" customFormat="1" ht="31.5">
      <c r="A1694" s="905"/>
      <c r="B1694" s="914" t="s">
        <v>4495</v>
      </c>
      <c r="C1694" s="915"/>
      <c r="D1694" s="915"/>
      <c r="E1694" s="916" t="s">
        <v>4496</v>
      </c>
      <c r="F1694" s="917" t="s">
        <v>249</v>
      </c>
      <c r="G1694" s="918"/>
      <c r="H1694" s="919"/>
      <c r="I1694" s="920"/>
      <c r="J1694" s="891">
        <f>SUM(J1695:J1699)</f>
        <v>12366</v>
      </c>
      <c r="K1694" s="891"/>
      <c r="L1694" s="891">
        <f>SUM(L1695:L1699)</f>
        <v>1400035.56</v>
      </c>
      <c r="M1694" s="891"/>
      <c r="N1694" s="891">
        <f>SUM(N1695:N1699)</f>
        <v>0</v>
      </c>
      <c r="O1694" s="892">
        <f t="shared" si="104"/>
        <v>1</v>
      </c>
      <c r="P1694" s="903">
        <f t="shared" si="105"/>
        <v>0</v>
      </c>
      <c r="Q1694" s="893">
        <f t="shared" si="106"/>
        <v>0</v>
      </c>
      <c r="R1694" s="894">
        <f t="shared" si="107"/>
        <v>5</v>
      </c>
    </row>
    <row r="1695" spans="1:18" s="904" customFormat="1">
      <c r="A1695" s="895"/>
      <c r="B1695" s="896"/>
      <c r="C1695" s="897"/>
      <c r="D1695" s="897"/>
      <c r="E1695" s="924" t="s">
        <v>108</v>
      </c>
      <c r="F1695" s="899"/>
      <c r="G1695" s="900"/>
      <c r="H1695" s="901"/>
      <c r="I1695" s="902"/>
      <c r="J1695" s="902"/>
      <c r="K1695" s="912" t="s">
        <v>274</v>
      </c>
      <c r="L1695" s="902"/>
      <c r="M1695" s="902"/>
      <c r="N1695" s="902"/>
      <c r="O1695" s="892">
        <f t="shared" si="104"/>
        <v>0</v>
      </c>
      <c r="P1695" s="903">
        <f t="shared" si="105"/>
        <v>1</v>
      </c>
      <c r="Q1695" s="893">
        <f t="shared" si="106"/>
        <v>5</v>
      </c>
      <c r="R1695" s="894">
        <f t="shared" si="107"/>
        <v>0</v>
      </c>
    </row>
    <row r="1696" spans="1:18">
      <c r="A1696" s="905"/>
      <c r="B1696" s="906"/>
      <c r="C1696" s="907">
        <v>66</v>
      </c>
      <c r="D1696" s="907" t="s">
        <v>279</v>
      </c>
      <c r="E1696" s="925" t="s">
        <v>2682</v>
      </c>
      <c r="F1696" s="926" t="s">
        <v>45</v>
      </c>
      <c r="G1696" s="910"/>
      <c r="H1696" s="911">
        <v>7.1999999999999995E-2</v>
      </c>
      <c r="I1696" s="912">
        <f>VLOOKUP(E1696,[3]VLP!$B$7:$K$300,10,0)</f>
        <v>5000</v>
      </c>
      <c r="J1696" s="912">
        <f>I1696*H1696</f>
        <v>360</v>
      </c>
      <c r="K1696" s="912" t="s">
        <v>274</v>
      </c>
      <c r="L1696" s="912"/>
      <c r="M1696" s="912"/>
      <c r="N1696" s="912"/>
      <c r="O1696" s="892">
        <f t="shared" si="104"/>
        <v>0</v>
      </c>
      <c r="P1696" s="903">
        <f t="shared" si="105"/>
        <v>1</v>
      </c>
      <c r="Q1696" s="893">
        <f t="shared" si="106"/>
        <v>4</v>
      </c>
      <c r="R1696" s="894">
        <f t="shared" si="107"/>
        <v>0</v>
      </c>
    </row>
    <row r="1697" spans="1:18">
      <c r="A1697" s="905"/>
      <c r="B1697" s="906"/>
      <c r="C1697" s="907">
        <v>44</v>
      </c>
      <c r="D1697" s="907" t="s">
        <v>279</v>
      </c>
      <c r="E1697" s="925" t="s">
        <v>2681</v>
      </c>
      <c r="F1697" s="926" t="s">
        <v>45</v>
      </c>
      <c r="G1697" s="910"/>
      <c r="H1697" s="911">
        <v>0.52200000000000002</v>
      </c>
      <c r="I1697" s="912">
        <f>VLOOKUP(E1697,[3]VLP!$B$7:$K$300,10,0)</f>
        <v>23000</v>
      </c>
      <c r="J1697" s="912">
        <f>I1697*H1697</f>
        <v>12006</v>
      </c>
      <c r="K1697" s="912" t="s">
        <v>274</v>
      </c>
      <c r="L1697" s="912"/>
      <c r="M1697" s="912"/>
      <c r="N1697" s="912"/>
      <c r="O1697" s="892">
        <f t="shared" si="104"/>
        <v>0</v>
      </c>
      <c r="P1697" s="903">
        <f t="shared" si="105"/>
        <v>1</v>
      </c>
      <c r="Q1697" s="893">
        <f t="shared" si="106"/>
        <v>3</v>
      </c>
      <c r="R1697" s="894">
        <f t="shared" si="107"/>
        <v>0</v>
      </c>
    </row>
    <row r="1698" spans="1:18" s="904" customFormat="1">
      <c r="A1698" s="895"/>
      <c r="B1698" s="896"/>
      <c r="C1698" s="897"/>
      <c r="D1698" s="897"/>
      <c r="E1698" s="924" t="s">
        <v>276</v>
      </c>
      <c r="F1698" s="927"/>
      <c r="G1698" s="928"/>
      <c r="H1698" s="901"/>
      <c r="I1698" s="902"/>
      <c r="J1698" s="902"/>
      <c r="K1698" s="912" t="s">
        <v>274</v>
      </c>
      <c r="L1698" s="902"/>
      <c r="M1698" s="902"/>
      <c r="N1698" s="902"/>
      <c r="O1698" s="892">
        <f t="shared" si="104"/>
        <v>0</v>
      </c>
      <c r="P1698" s="903">
        <f t="shared" si="105"/>
        <v>1</v>
      </c>
      <c r="Q1698" s="893">
        <f t="shared" si="106"/>
        <v>2</v>
      </c>
      <c r="R1698" s="894">
        <f t="shared" si="107"/>
        <v>0</v>
      </c>
    </row>
    <row r="1699" spans="1:18">
      <c r="A1699" s="905"/>
      <c r="B1699" s="906"/>
      <c r="C1699" s="907">
        <v>740</v>
      </c>
      <c r="D1699" s="907" t="s">
        <v>12</v>
      </c>
      <c r="E1699" s="908" t="s">
        <v>4008</v>
      </c>
      <c r="F1699" s="909" t="s">
        <v>2674</v>
      </c>
      <c r="G1699" s="910"/>
      <c r="H1699" s="911">
        <v>5.54</v>
      </c>
      <c r="I1699" s="912"/>
      <c r="J1699" s="912"/>
      <c r="K1699" s="912">
        <f>VLOOKUP(E1699,ĐMNC!$A$7:$F$67,4,0)</f>
        <v>252714</v>
      </c>
      <c r="L1699" s="912">
        <f>H1699*K1699</f>
        <v>1400035.56</v>
      </c>
      <c r="M1699" s="912"/>
      <c r="N1699" s="912"/>
      <c r="O1699" s="892">
        <f t="shared" si="104"/>
        <v>0</v>
      </c>
      <c r="P1699" s="903">
        <f t="shared" si="105"/>
        <v>1</v>
      </c>
      <c r="Q1699" s="893">
        <f t="shared" si="106"/>
        <v>1</v>
      </c>
      <c r="R1699" s="894">
        <f t="shared" si="107"/>
        <v>0</v>
      </c>
    </row>
    <row r="1700" spans="1:18" s="847" customFormat="1" ht="31.5">
      <c r="A1700" s="905"/>
      <c r="B1700" s="914" t="s">
        <v>4497</v>
      </c>
      <c r="C1700" s="915"/>
      <c r="D1700" s="915"/>
      <c r="E1700" s="916" t="s">
        <v>4498</v>
      </c>
      <c r="F1700" s="917" t="s">
        <v>249</v>
      </c>
      <c r="G1700" s="918"/>
      <c r="H1700" s="919"/>
      <c r="I1700" s="920"/>
      <c r="J1700" s="891">
        <f>SUM(J1701:J1705)</f>
        <v>12366</v>
      </c>
      <c r="K1700" s="891"/>
      <c r="L1700" s="891">
        <f>SUM(L1701:L1705)</f>
        <v>1612315.32</v>
      </c>
      <c r="M1700" s="891"/>
      <c r="N1700" s="891">
        <f>SUM(N1701:N1705)</f>
        <v>0</v>
      </c>
      <c r="O1700" s="892">
        <f t="shared" si="104"/>
        <v>1</v>
      </c>
      <c r="P1700" s="903">
        <f t="shared" si="105"/>
        <v>0</v>
      </c>
      <c r="Q1700" s="893">
        <f t="shared" si="106"/>
        <v>0</v>
      </c>
      <c r="R1700" s="894">
        <f t="shared" si="107"/>
        <v>5</v>
      </c>
    </row>
    <row r="1701" spans="1:18" s="904" customFormat="1">
      <c r="A1701" s="895"/>
      <c r="B1701" s="896"/>
      <c r="C1701" s="897"/>
      <c r="D1701" s="897"/>
      <c r="E1701" s="924" t="s">
        <v>108</v>
      </c>
      <c r="F1701" s="899"/>
      <c r="G1701" s="900"/>
      <c r="H1701" s="901"/>
      <c r="I1701" s="902"/>
      <c r="J1701" s="902"/>
      <c r="K1701" s="912" t="s">
        <v>274</v>
      </c>
      <c r="L1701" s="902"/>
      <c r="M1701" s="902"/>
      <c r="N1701" s="902"/>
      <c r="O1701" s="892">
        <f t="shared" si="104"/>
        <v>0</v>
      </c>
      <c r="P1701" s="903">
        <f t="shared" si="105"/>
        <v>1</v>
      </c>
      <c r="Q1701" s="893">
        <f t="shared" si="106"/>
        <v>5</v>
      </c>
      <c r="R1701" s="894">
        <f t="shared" si="107"/>
        <v>0</v>
      </c>
    </row>
    <row r="1702" spans="1:18">
      <c r="A1702" s="905"/>
      <c r="B1702" s="906"/>
      <c r="C1702" s="907">
        <v>66</v>
      </c>
      <c r="D1702" s="907" t="s">
        <v>279</v>
      </c>
      <c r="E1702" s="925" t="s">
        <v>2682</v>
      </c>
      <c r="F1702" s="926" t="s">
        <v>45</v>
      </c>
      <c r="G1702" s="910"/>
      <c r="H1702" s="911">
        <v>7.1999999999999995E-2</v>
      </c>
      <c r="I1702" s="912">
        <f>VLOOKUP(E1702,[3]VLP!$B$7:$K$300,10,0)</f>
        <v>5000</v>
      </c>
      <c r="J1702" s="912">
        <f>I1702*H1702</f>
        <v>360</v>
      </c>
      <c r="K1702" s="912" t="s">
        <v>274</v>
      </c>
      <c r="L1702" s="912"/>
      <c r="M1702" s="912"/>
      <c r="N1702" s="912"/>
      <c r="O1702" s="892">
        <f t="shared" si="104"/>
        <v>0</v>
      </c>
      <c r="P1702" s="903">
        <f t="shared" si="105"/>
        <v>1</v>
      </c>
      <c r="Q1702" s="893">
        <f t="shared" si="106"/>
        <v>4</v>
      </c>
      <c r="R1702" s="894">
        <f t="shared" si="107"/>
        <v>0</v>
      </c>
    </row>
    <row r="1703" spans="1:18">
      <c r="A1703" s="905"/>
      <c r="B1703" s="906"/>
      <c r="C1703" s="907">
        <v>44</v>
      </c>
      <c r="D1703" s="907" t="s">
        <v>279</v>
      </c>
      <c r="E1703" s="925" t="s">
        <v>2681</v>
      </c>
      <c r="F1703" s="926" t="s">
        <v>45</v>
      </c>
      <c r="G1703" s="910"/>
      <c r="H1703" s="911">
        <v>0.52200000000000002</v>
      </c>
      <c r="I1703" s="912">
        <f>VLOOKUP(E1703,[3]VLP!$B$7:$K$300,10,0)</f>
        <v>23000</v>
      </c>
      <c r="J1703" s="912">
        <f>I1703*H1703</f>
        <v>12006</v>
      </c>
      <c r="K1703" s="912" t="s">
        <v>274</v>
      </c>
      <c r="L1703" s="912"/>
      <c r="M1703" s="912"/>
      <c r="N1703" s="912"/>
      <c r="O1703" s="892">
        <f t="shared" si="104"/>
        <v>0</v>
      </c>
      <c r="P1703" s="903">
        <f t="shared" si="105"/>
        <v>1</v>
      </c>
      <c r="Q1703" s="893">
        <f t="shared" si="106"/>
        <v>3</v>
      </c>
      <c r="R1703" s="894">
        <f t="shared" si="107"/>
        <v>0</v>
      </c>
    </row>
    <row r="1704" spans="1:18" s="904" customFormat="1">
      <c r="A1704" s="895"/>
      <c r="B1704" s="896"/>
      <c r="C1704" s="897"/>
      <c r="D1704" s="897"/>
      <c r="E1704" s="924" t="s">
        <v>276</v>
      </c>
      <c r="F1704" s="927"/>
      <c r="G1704" s="928"/>
      <c r="H1704" s="901"/>
      <c r="I1704" s="902"/>
      <c r="J1704" s="902"/>
      <c r="K1704" s="912" t="s">
        <v>274</v>
      </c>
      <c r="L1704" s="902"/>
      <c r="M1704" s="902"/>
      <c r="N1704" s="902"/>
      <c r="O1704" s="892">
        <f t="shared" si="104"/>
        <v>0</v>
      </c>
      <c r="P1704" s="903">
        <f t="shared" si="105"/>
        <v>1</v>
      </c>
      <c r="Q1704" s="893">
        <f t="shared" si="106"/>
        <v>2</v>
      </c>
      <c r="R1704" s="894">
        <f t="shared" si="107"/>
        <v>0</v>
      </c>
    </row>
    <row r="1705" spans="1:18">
      <c r="A1705" s="905"/>
      <c r="B1705" s="906"/>
      <c r="C1705" s="907">
        <v>740</v>
      </c>
      <c r="D1705" s="907" t="s">
        <v>12</v>
      </c>
      <c r="E1705" s="908" t="s">
        <v>4008</v>
      </c>
      <c r="F1705" s="909" t="s">
        <v>2674</v>
      </c>
      <c r="G1705" s="910"/>
      <c r="H1705" s="911">
        <v>6.38</v>
      </c>
      <c r="I1705" s="912"/>
      <c r="J1705" s="912"/>
      <c r="K1705" s="912">
        <f>VLOOKUP(E1705,ĐMNC!$A$7:$F$67,4,0)</f>
        <v>252714</v>
      </c>
      <c r="L1705" s="912">
        <f>H1705*K1705</f>
        <v>1612315.32</v>
      </c>
      <c r="M1705" s="912"/>
      <c r="N1705" s="912"/>
      <c r="O1705" s="892">
        <f t="shared" si="104"/>
        <v>0</v>
      </c>
      <c r="P1705" s="903">
        <f t="shared" si="105"/>
        <v>1</v>
      </c>
      <c r="Q1705" s="893">
        <f t="shared" si="106"/>
        <v>1</v>
      </c>
      <c r="R1705" s="894">
        <f t="shared" si="107"/>
        <v>0</v>
      </c>
    </row>
    <row r="1706" spans="1:18" s="847" customFormat="1" ht="31.5">
      <c r="A1706" s="905"/>
      <c r="B1706" s="914" t="s">
        <v>4499</v>
      </c>
      <c r="C1706" s="915"/>
      <c r="D1706" s="915"/>
      <c r="E1706" s="916" t="s">
        <v>4500</v>
      </c>
      <c r="F1706" s="917" t="s">
        <v>249</v>
      </c>
      <c r="G1706" s="918"/>
      <c r="H1706" s="919"/>
      <c r="I1706" s="920"/>
      <c r="J1706" s="891">
        <f>SUM(J1707:J1711)</f>
        <v>12366</v>
      </c>
      <c r="K1706" s="891"/>
      <c r="L1706" s="891">
        <f>SUM(L1707:L1711)</f>
        <v>1857447.9</v>
      </c>
      <c r="M1706" s="891"/>
      <c r="N1706" s="891">
        <f>SUM(N1707:N1711)</f>
        <v>0</v>
      </c>
      <c r="O1706" s="892">
        <f t="shared" si="104"/>
        <v>1</v>
      </c>
      <c r="P1706" s="903">
        <f t="shared" si="105"/>
        <v>0</v>
      </c>
      <c r="Q1706" s="893">
        <f t="shared" si="106"/>
        <v>0</v>
      </c>
      <c r="R1706" s="894">
        <f t="shared" si="107"/>
        <v>5</v>
      </c>
    </row>
    <row r="1707" spans="1:18" s="904" customFormat="1">
      <c r="A1707" s="895"/>
      <c r="B1707" s="896"/>
      <c r="C1707" s="897"/>
      <c r="D1707" s="897"/>
      <c r="E1707" s="924" t="s">
        <v>108</v>
      </c>
      <c r="F1707" s="899"/>
      <c r="G1707" s="900"/>
      <c r="H1707" s="901"/>
      <c r="I1707" s="902"/>
      <c r="J1707" s="902"/>
      <c r="K1707" s="912" t="s">
        <v>274</v>
      </c>
      <c r="L1707" s="902"/>
      <c r="M1707" s="902"/>
      <c r="N1707" s="902"/>
      <c r="O1707" s="892">
        <f t="shared" si="104"/>
        <v>0</v>
      </c>
      <c r="P1707" s="903">
        <f t="shared" si="105"/>
        <v>1</v>
      </c>
      <c r="Q1707" s="893">
        <f t="shared" si="106"/>
        <v>5</v>
      </c>
      <c r="R1707" s="894">
        <f t="shared" si="107"/>
        <v>0</v>
      </c>
    </row>
    <row r="1708" spans="1:18">
      <c r="A1708" s="905"/>
      <c r="B1708" s="906"/>
      <c r="C1708" s="907">
        <v>66</v>
      </c>
      <c r="D1708" s="907" t="s">
        <v>279</v>
      </c>
      <c r="E1708" s="925" t="s">
        <v>2682</v>
      </c>
      <c r="F1708" s="926" t="s">
        <v>45</v>
      </c>
      <c r="G1708" s="910"/>
      <c r="H1708" s="911">
        <v>7.1999999999999995E-2</v>
      </c>
      <c r="I1708" s="912">
        <f>VLOOKUP(E1708,[3]VLP!$B$7:$K$300,10,0)</f>
        <v>5000</v>
      </c>
      <c r="J1708" s="912">
        <f>I1708*H1708</f>
        <v>360</v>
      </c>
      <c r="K1708" s="912" t="s">
        <v>274</v>
      </c>
      <c r="L1708" s="912"/>
      <c r="M1708" s="912"/>
      <c r="N1708" s="912"/>
      <c r="O1708" s="892">
        <f t="shared" si="104"/>
        <v>0</v>
      </c>
      <c r="P1708" s="903">
        <f t="shared" si="105"/>
        <v>1</v>
      </c>
      <c r="Q1708" s="893">
        <f t="shared" si="106"/>
        <v>4</v>
      </c>
      <c r="R1708" s="894">
        <f t="shared" si="107"/>
        <v>0</v>
      </c>
    </row>
    <row r="1709" spans="1:18">
      <c r="A1709" s="905"/>
      <c r="B1709" s="906"/>
      <c r="C1709" s="907">
        <v>44</v>
      </c>
      <c r="D1709" s="907" t="s">
        <v>279</v>
      </c>
      <c r="E1709" s="925" t="s">
        <v>2681</v>
      </c>
      <c r="F1709" s="926" t="s">
        <v>45</v>
      </c>
      <c r="G1709" s="910"/>
      <c r="H1709" s="911">
        <v>0.52200000000000002</v>
      </c>
      <c r="I1709" s="912">
        <f>VLOOKUP(E1709,[3]VLP!$B$7:$K$300,10,0)</f>
        <v>23000</v>
      </c>
      <c r="J1709" s="912">
        <f>I1709*H1709</f>
        <v>12006</v>
      </c>
      <c r="K1709" s="912" t="s">
        <v>274</v>
      </c>
      <c r="L1709" s="912"/>
      <c r="M1709" s="912"/>
      <c r="N1709" s="912"/>
      <c r="O1709" s="892">
        <f t="shared" si="104"/>
        <v>0</v>
      </c>
      <c r="P1709" s="903">
        <f t="shared" si="105"/>
        <v>1</v>
      </c>
      <c r="Q1709" s="893">
        <f t="shared" si="106"/>
        <v>3</v>
      </c>
      <c r="R1709" s="894">
        <f t="shared" si="107"/>
        <v>0</v>
      </c>
    </row>
    <row r="1710" spans="1:18" s="904" customFormat="1">
      <c r="A1710" s="895"/>
      <c r="B1710" s="896"/>
      <c r="C1710" s="897"/>
      <c r="D1710" s="897"/>
      <c r="E1710" s="924" t="s">
        <v>276</v>
      </c>
      <c r="F1710" s="927"/>
      <c r="G1710" s="928"/>
      <c r="H1710" s="901"/>
      <c r="I1710" s="902"/>
      <c r="J1710" s="902"/>
      <c r="K1710" s="912" t="s">
        <v>274</v>
      </c>
      <c r="L1710" s="902"/>
      <c r="M1710" s="902"/>
      <c r="N1710" s="902"/>
      <c r="O1710" s="892">
        <f t="shared" si="104"/>
        <v>0</v>
      </c>
      <c r="P1710" s="903">
        <f t="shared" si="105"/>
        <v>1</v>
      </c>
      <c r="Q1710" s="893">
        <f t="shared" si="106"/>
        <v>2</v>
      </c>
      <c r="R1710" s="894">
        <f t="shared" si="107"/>
        <v>0</v>
      </c>
    </row>
    <row r="1711" spans="1:18">
      <c r="A1711" s="905"/>
      <c r="B1711" s="906"/>
      <c r="C1711" s="907">
        <v>740</v>
      </c>
      <c r="D1711" s="907" t="s">
        <v>12</v>
      </c>
      <c r="E1711" s="908" t="s">
        <v>4008</v>
      </c>
      <c r="F1711" s="909" t="s">
        <v>2674</v>
      </c>
      <c r="G1711" s="910"/>
      <c r="H1711" s="911">
        <v>7.35</v>
      </c>
      <c r="I1711" s="912"/>
      <c r="J1711" s="912"/>
      <c r="K1711" s="912">
        <f>VLOOKUP(E1711,ĐMNC!$A$7:$F$67,4,0)</f>
        <v>252714</v>
      </c>
      <c r="L1711" s="912">
        <f>H1711*K1711</f>
        <v>1857447.9</v>
      </c>
      <c r="M1711" s="912"/>
      <c r="N1711" s="912"/>
      <c r="O1711" s="892">
        <f t="shared" si="104"/>
        <v>0</v>
      </c>
      <c r="P1711" s="903">
        <f t="shared" si="105"/>
        <v>1</v>
      </c>
      <c r="Q1711" s="893">
        <f t="shared" si="106"/>
        <v>1</v>
      </c>
      <c r="R1711" s="894">
        <f t="shared" si="107"/>
        <v>0</v>
      </c>
    </row>
    <row r="1712" spans="1:18" s="847" customFormat="1" ht="31.5">
      <c r="A1712" s="905"/>
      <c r="B1712" s="914" t="s">
        <v>4501</v>
      </c>
      <c r="C1712" s="915"/>
      <c r="D1712" s="915"/>
      <c r="E1712" s="916" t="s">
        <v>4502</v>
      </c>
      <c r="F1712" s="917" t="s">
        <v>249</v>
      </c>
      <c r="G1712" s="918"/>
      <c r="H1712" s="919"/>
      <c r="I1712" s="920"/>
      <c r="J1712" s="891">
        <f>SUM(J1713:J1717)</f>
        <v>14850</v>
      </c>
      <c r="K1712" s="891"/>
      <c r="L1712" s="891">
        <f>SUM(L1713:L1717)</f>
        <v>1046235.96</v>
      </c>
      <c r="M1712" s="891"/>
      <c r="N1712" s="891">
        <f>SUM(N1713:N1717)</f>
        <v>0</v>
      </c>
      <c r="O1712" s="892">
        <f t="shared" si="104"/>
        <v>1</v>
      </c>
      <c r="P1712" s="903">
        <f t="shared" si="105"/>
        <v>0</v>
      </c>
      <c r="Q1712" s="893">
        <f t="shared" si="106"/>
        <v>0</v>
      </c>
      <c r="R1712" s="894">
        <f t="shared" si="107"/>
        <v>5</v>
      </c>
    </row>
    <row r="1713" spans="1:18" s="904" customFormat="1">
      <c r="A1713" s="895"/>
      <c r="B1713" s="922"/>
      <c r="C1713" s="897"/>
      <c r="D1713" s="897"/>
      <c r="E1713" s="924" t="s">
        <v>108</v>
      </c>
      <c r="F1713" s="899"/>
      <c r="G1713" s="900"/>
      <c r="H1713" s="901"/>
      <c r="I1713" s="902"/>
      <c r="J1713" s="902"/>
      <c r="K1713" s="912" t="s">
        <v>274</v>
      </c>
      <c r="L1713" s="902"/>
      <c r="M1713" s="902"/>
      <c r="N1713" s="902"/>
      <c r="O1713" s="892">
        <f t="shared" si="104"/>
        <v>0</v>
      </c>
      <c r="P1713" s="903">
        <f t="shared" si="105"/>
        <v>1</v>
      </c>
      <c r="Q1713" s="893">
        <f t="shared" si="106"/>
        <v>5</v>
      </c>
      <c r="R1713" s="894">
        <f t="shared" si="107"/>
        <v>0</v>
      </c>
    </row>
    <row r="1714" spans="1:18">
      <c r="A1714" s="905"/>
      <c r="B1714" s="906"/>
      <c r="C1714" s="907">
        <v>66</v>
      </c>
      <c r="D1714" s="907" t="s">
        <v>279</v>
      </c>
      <c r="E1714" s="925" t="s">
        <v>2682</v>
      </c>
      <c r="F1714" s="926" t="s">
        <v>45</v>
      </c>
      <c r="G1714" s="910"/>
      <c r="H1714" s="911">
        <v>7.1999999999999995E-2</v>
      </c>
      <c r="I1714" s="912">
        <f>VLOOKUP(E1714,[3]VLP!$B$7:$K$300,10,0)</f>
        <v>5000</v>
      </c>
      <c r="J1714" s="912">
        <f>I1714*H1714</f>
        <v>360</v>
      </c>
      <c r="K1714" s="912" t="s">
        <v>274</v>
      </c>
      <c r="L1714" s="912"/>
      <c r="M1714" s="912"/>
      <c r="N1714" s="912"/>
      <c r="O1714" s="892">
        <f t="shared" si="104"/>
        <v>0</v>
      </c>
      <c r="P1714" s="903">
        <f t="shared" si="105"/>
        <v>1</v>
      </c>
      <c r="Q1714" s="893">
        <f t="shared" si="106"/>
        <v>4</v>
      </c>
      <c r="R1714" s="894">
        <f t="shared" si="107"/>
        <v>0</v>
      </c>
    </row>
    <row r="1715" spans="1:18">
      <c r="A1715" s="905"/>
      <c r="B1715" s="906"/>
      <c r="C1715" s="907">
        <v>44</v>
      </c>
      <c r="D1715" s="907" t="s">
        <v>279</v>
      </c>
      <c r="E1715" s="925" t="s">
        <v>2681</v>
      </c>
      <c r="F1715" s="926" t="s">
        <v>45</v>
      </c>
      <c r="G1715" s="910"/>
      <c r="H1715" s="911">
        <v>0.63</v>
      </c>
      <c r="I1715" s="912">
        <f>VLOOKUP(E1715,[3]VLP!$B$7:$K$300,10,0)</f>
        <v>23000</v>
      </c>
      <c r="J1715" s="912">
        <f>I1715*H1715</f>
        <v>14490</v>
      </c>
      <c r="K1715" s="912" t="s">
        <v>274</v>
      </c>
      <c r="L1715" s="912"/>
      <c r="M1715" s="912"/>
      <c r="N1715" s="912"/>
      <c r="O1715" s="892">
        <f t="shared" si="104"/>
        <v>0</v>
      </c>
      <c r="P1715" s="903">
        <f t="shared" si="105"/>
        <v>1</v>
      </c>
      <c r="Q1715" s="893">
        <f t="shared" si="106"/>
        <v>3</v>
      </c>
      <c r="R1715" s="894">
        <f t="shared" si="107"/>
        <v>0</v>
      </c>
    </row>
    <row r="1716" spans="1:18" s="904" customFormat="1">
      <c r="A1716" s="895"/>
      <c r="B1716" s="896"/>
      <c r="C1716" s="897"/>
      <c r="D1716" s="897"/>
      <c r="E1716" s="924" t="s">
        <v>276</v>
      </c>
      <c r="F1716" s="927"/>
      <c r="G1716" s="928"/>
      <c r="H1716" s="901"/>
      <c r="I1716" s="902"/>
      <c r="J1716" s="902"/>
      <c r="K1716" s="912" t="s">
        <v>274</v>
      </c>
      <c r="L1716" s="902"/>
      <c r="M1716" s="902"/>
      <c r="N1716" s="902"/>
      <c r="O1716" s="892">
        <f t="shared" si="104"/>
        <v>0</v>
      </c>
      <c r="P1716" s="903">
        <f t="shared" si="105"/>
        <v>1</v>
      </c>
      <c r="Q1716" s="893">
        <f t="shared" si="106"/>
        <v>2</v>
      </c>
      <c r="R1716" s="894">
        <f t="shared" si="107"/>
        <v>0</v>
      </c>
    </row>
    <row r="1717" spans="1:18">
      <c r="A1717" s="905"/>
      <c r="B1717" s="906"/>
      <c r="C1717" s="907">
        <v>740</v>
      </c>
      <c r="D1717" s="907" t="s">
        <v>12</v>
      </c>
      <c r="E1717" s="908" t="s">
        <v>4008</v>
      </c>
      <c r="F1717" s="909" t="s">
        <v>2674</v>
      </c>
      <c r="G1717" s="910"/>
      <c r="H1717" s="911">
        <v>4.1399999999999997</v>
      </c>
      <c r="I1717" s="912"/>
      <c r="J1717" s="912"/>
      <c r="K1717" s="912">
        <f>VLOOKUP(E1717,ĐMNC!$A$7:$F$67,4,0)</f>
        <v>252714</v>
      </c>
      <c r="L1717" s="912">
        <f>H1717*K1717</f>
        <v>1046235.96</v>
      </c>
      <c r="M1717" s="912"/>
      <c r="N1717" s="912"/>
      <c r="O1717" s="892">
        <f t="shared" si="104"/>
        <v>0</v>
      </c>
      <c r="P1717" s="903">
        <f t="shared" si="105"/>
        <v>1</v>
      </c>
      <c r="Q1717" s="893">
        <f t="shared" si="106"/>
        <v>1</v>
      </c>
      <c r="R1717" s="894">
        <f t="shared" si="107"/>
        <v>0</v>
      </c>
    </row>
    <row r="1718" spans="1:18" s="847" customFormat="1" ht="31.5">
      <c r="A1718" s="905"/>
      <c r="B1718" s="914" t="s">
        <v>4503</v>
      </c>
      <c r="C1718" s="915"/>
      <c r="D1718" s="915"/>
      <c r="E1718" s="916" t="s">
        <v>4504</v>
      </c>
      <c r="F1718" s="917" t="s">
        <v>249</v>
      </c>
      <c r="G1718" s="918"/>
      <c r="H1718" s="919"/>
      <c r="I1718" s="920"/>
      <c r="J1718" s="891">
        <f>SUM(J1719:J1723)</f>
        <v>14850</v>
      </c>
      <c r="K1718" s="891"/>
      <c r="L1718" s="891">
        <f>SUM(L1719:L1723)</f>
        <v>1104360.18</v>
      </c>
      <c r="M1718" s="891"/>
      <c r="N1718" s="891">
        <f>SUM(N1719:N1723)</f>
        <v>0</v>
      </c>
      <c r="O1718" s="892">
        <f t="shared" si="104"/>
        <v>1</v>
      </c>
      <c r="P1718" s="903">
        <f t="shared" si="105"/>
        <v>0</v>
      </c>
      <c r="Q1718" s="893">
        <f t="shared" si="106"/>
        <v>0</v>
      </c>
      <c r="R1718" s="894">
        <f t="shared" si="107"/>
        <v>5</v>
      </c>
    </row>
    <row r="1719" spans="1:18" s="904" customFormat="1">
      <c r="A1719" s="895"/>
      <c r="B1719" s="896"/>
      <c r="C1719" s="897"/>
      <c r="D1719" s="897"/>
      <c r="E1719" s="924" t="s">
        <v>108</v>
      </c>
      <c r="F1719" s="899"/>
      <c r="G1719" s="900"/>
      <c r="H1719" s="901"/>
      <c r="I1719" s="902"/>
      <c r="J1719" s="902"/>
      <c r="K1719" s="912" t="s">
        <v>274</v>
      </c>
      <c r="L1719" s="902"/>
      <c r="M1719" s="902"/>
      <c r="N1719" s="902"/>
      <c r="O1719" s="892">
        <f t="shared" si="104"/>
        <v>0</v>
      </c>
      <c r="P1719" s="903">
        <f t="shared" si="105"/>
        <v>1</v>
      </c>
      <c r="Q1719" s="893">
        <f t="shared" si="106"/>
        <v>5</v>
      </c>
      <c r="R1719" s="894">
        <f t="shared" si="107"/>
        <v>0</v>
      </c>
    </row>
    <row r="1720" spans="1:18">
      <c r="A1720" s="905"/>
      <c r="B1720" s="906"/>
      <c r="C1720" s="907">
        <v>66</v>
      </c>
      <c r="D1720" s="907" t="s">
        <v>279</v>
      </c>
      <c r="E1720" s="925" t="s">
        <v>2682</v>
      </c>
      <c r="F1720" s="926" t="s">
        <v>45</v>
      </c>
      <c r="G1720" s="910"/>
      <c r="H1720" s="911">
        <v>7.1999999999999995E-2</v>
      </c>
      <c r="I1720" s="912">
        <f>VLOOKUP(E1720,[3]VLP!$B$7:$K$300,10,0)</f>
        <v>5000</v>
      </c>
      <c r="J1720" s="912">
        <f>I1720*H1720</f>
        <v>360</v>
      </c>
      <c r="K1720" s="912" t="s">
        <v>274</v>
      </c>
      <c r="L1720" s="912"/>
      <c r="M1720" s="912"/>
      <c r="N1720" s="912"/>
      <c r="O1720" s="892">
        <f t="shared" si="104"/>
        <v>0</v>
      </c>
      <c r="P1720" s="903">
        <f t="shared" si="105"/>
        <v>1</v>
      </c>
      <c r="Q1720" s="893">
        <f t="shared" si="106"/>
        <v>4</v>
      </c>
      <c r="R1720" s="894">
        <f t="shared" si="107"/>
        <v>0</v>
      </c>
    </row>
    <row r="1721" spans="1:18">
      <c r="A1721" s="905"/>
      <c r="B1721" s="906"/>
      <c r="C1721" s="907">
        <v>44</v>
      </c>
      <c r="D1721" s="907" t="s">
        <v>279</v>
      </c>
      <c r="E1721" s="925" t="s">
        <v>2681</v>
      </c>
      <c r="F1721" s="926" t="s">
        <v>45</v>
      </c>
      <c r="G1721" s="910"/>
      <c r="H1721" s="911">
        <v>0.63</v>
      </c>
      <c r="I1721" s="912">
        <f>VLOOKUP(E1721,[3]VLP!$B$7:$K$300,10,0)</f>
        <v>23000</v>
      </c>
      <c r="J1721" s="912">
        <f>I1721*H1721</f>
        <v>14490</v>
      </c>
      <c r="K1721" s="912" t="s">
        <v>274</v>
      </c>
      <c r="L1721" s="912"/>
      <c r="M1721" s="912"/>
      <c r="N1721" s="912"/>
      <c r="O1721" s="892">
        <f t="shared" si="104"/>
        <v>0</v>
      </c>
      <c r="P1721" s="903">
        <f t="shared" si="105"/>
        <v>1</v>
      </c>
      <c r="Q1721" s="893">
        <f t="shared" si="106"/>
        <v>3</v>
      </c>
      <c r="R1721" s="894">
        <f t="shared" si="107"/>
        <v>0</v>
      </c>
    </row>
    <row r="1722" spans="1:18" s="904" customFormat="1">
      <c r="A1722" s="895"/>
      <c r="B1722" s="896"/>
      <c r="C1722" s="897"/>
      <c r="D1722" s="897"/>
      <c r="E1722" s="924" t="s">
        <v>276</v>
      </c>
      <c r="F1722" s="927"/>
      <c r="G1722" s="928"/>
      <c r="H1722" s="901"/>
      <c r="I1722" s="902"/>
      <c r="J1722" s="902"/>
      <c r="K1722" s="912" t="s">
        <v>274</v>
      </c>
      <c r="L1722" s="902"/>
      <c r="M1722" s="902"/>
      <c r="N1722" s="902"/>
      <c r="O1722" s="892">
        <f t="shared" si="104"/>
        <v>0</v>
      </c>
      <c r="P1722" s="903">
        <f t="shared" si="105"/>
        <v>1</v>
      </c>
      <c r="Q1722" s="893">
        <f t="shared" si="106"/>
        <v>2</v>
      </c>
      <c r="R1722" s="894">
        <f t="shared" si="107"/>
        <v>0</v>
      </c>
    </row>
    <row r="1723" spans="1:18">
      <c r="A1723" s="905"/>
      <c r="B1723" s="906"/>
      <c r="C1723" s="907">
        <v>740</v>
      </c>
      <c r="D1723" s="907" t="s">
        <v>12</v>
      </c>
      <c r="E1723" s="908" t="s">
        <v>4008</v>
      </c>
      <c r="F1723" s="909" t="s">
        <v>2674</v>
      </c>
      <c r="G1723" s="910"/>
      <c r="H1723" s="911">
        <v>4.37</v>
      </c>
      <c r="I1723" s="912"/>
      <c r="J1723" s="912"/>
      <c r="K1723" s="912">
        <f>VLOOKUP(E1723,ĐMNC!$A$7:$F$67,4,0)</f>
        <v>252714</v>
      </c>
      <c r="L1723" s="912">
        <f>H1723*K1723</f>
        <v>1104360.18</v>
      </c>
      <c r="M1723" s="912"/>
      <c r="N1723" s="912"/>
      <c r="O1723" s="892">
        <f t="shared" si="104"/>
        <v>0</v>
      </c>
      <c r="P1723" s="903">
        <f t="shared" si="105"/>
        <v>1</v>
      </c>
      <c r="Q1723" s="893">
        <f t="shared" si="106"/>
        <v>1</v>
      </c>
      <c r="R1723" s="894">
        <f t="shared" si="107"/>
        <v>0</v>
      </c>
    </row>
    <row r="1724" spans="1:18" s="847" customFormat="1" ht="31.5">
      <c r="A1724" s="905"/>
      <c r="B1724" s="914" t="s">
        <v>4505</v>
      </c>
      <c r="C1724" s="915"/>
      <c r="D1724" s="915"/>
      <c r="E1724" s="916" t="s">
        <v>4506</v>
      </c>
      <c r="F1724" s="917" t="s">
        <v>249</v>
      </c>
      <c r="G1724" s="918"/>
      <c r="H1724" s="919"/>
      <c r="I1724" s="920"/>
      <c r="J1724" s="891">
        <f>SUM(J1725:J1729)</f>
        <v>14850</v>
      </c>
      <c r="K1724" s="891"/>
      <c r="L1724" s="891">
        <f>SUM(L1725:L1729)</f>
        <v>1200391.5</v>
      </c>
      <c r="M1724" s="891"/>
      <c r="N1724" s="891">
        <f>SUM(N1725:N1729)</f>
        <v>0</v>
      </c>
      <c r="O1724" s="892">
        <f t="shared" si="104"/>
        <v>1</v>
      </c>
      <c r="P1724" s="903">
        <f t="shared" si="105"/>
        <v>0</v>
      </c>
      <c r="Q1724" s="893">
        <f t="shared" si="106"/>
        <v>0</v>
      </c>
      <c r="R1724" s="894">
        <f t="shared" si="107"/>
        <v>5</v>
      </c>
    </row>
    <row r="1725" spans="1:18" s="904" customFormat="1">
      <c r="A1725" s="895"/>
      <c r="B1725" s="896"/>
      <c r="C1725" s="897"/>
      <c r="D1725" s="897"/>
      <c r="E1725" s="924" t="s">
        <v>108</v>
      </c>
      <c r="F1725" s="899"/>
      <c r="G1725" s="900"/>
      <c r="H1725" s="901"/>
      <c r="I1725" s="902"/>
      <c r="J1725" s="902"/>
      <c r="K1725" s="912" t="s">
        <v>274</v>
      </c>
      <c r="L1725" s="902"/>
      <c r="M1725" s="902"/>
      <c r="N1725" s="902"/>
      <c r="O1725" s="892">
        <f t="shared" si="104"/>
        <v>0</v>
      </c>
      <c r="P1725" s="903">
        <f t="shared" si="105"/>
        <v>1</v>
      </c>
      <c r="Q1725" s="893">
        <f t="shared" si="106"/>
        <v>5</v>
      </c>
      <c r="R1725" s="894">
        <f t="shared" si="107"/>
        <v>0</v>
      </c>
    </row>
    <row r="1726" spans="1:18">
      <c r="A1726" s="905"/>
      <c r="B1726" s="906"/>
      <c r="C1726" s="907">
        <v>66</v>
      </c>
      <c r="D1726" s="907" t="s">
        <v>279</v>
      </c>
      <c r="E1726" s="925" t="s">
        <v>2682</v>
      </c>
      <c r="F1726" s="926" t="s">
        <v>45</v>
      </c>
      <c r="G1726" s="910"/>
      <c r="H1726" s="911">
        <v>7.1999999999999995E-2</v>
      </c>
      <c r="I1726" s="912">
        <f>VLOOKUP(E1726,[3]VLP!$B$7:$K$300,10,0)</f>
        <v>5000</v>
      </c>
      <c r="J1726" s="912">
        <f>I1726*H1726</f>
        <v>360</v>
      </c>
      <c r="K1726" s="912" t="s">
        <v>274</v>
      </c>
      <c r="L1726" s="912"/>
      <c r="M1726" s="912"/>
      <c r="N1726" s="912"/>
      <c r="O1726" s="892">
        <f t="shared" si="104"/>
        <v>0</v>
      </c>
      <c r="P1726" s="903">
        <f t="shared" si="105"/>
        <v>1</v>
      </c>
      <c r="Q1726" s="893">
        <f t="shared" si="106"/>
        <v>4</v>
      </c>
      <c r="R1726" s="894">
        <f t="shared" si="107"/>
        <v>0</v>
      </c>
    </row>
    <row r="1727" spans="1:18">
      <c r="A1727" s="905"/>
      <c r="B1727" s="906"/>
      <c r="C1727" s="907">
        <v>44</v>
      </c>
      <c r="D1727" s="907" t="s">
        <v>279</v>
      </c>
      <c r="E1727" s="925" t="s">
        <v>2681</v>
      </c>
      <c r="F1727" s="926" t="s">
        <v>45</v>
      </c>
      <c r="G1727" s="910"/>
      <c r="H1727" s="911">
        <v>0.63</v>
      </c>
      <c r="I1727" s="912">
        <f>VLOOKUP(E1727,[3]VLP!$B$7:$K$300,10,0)</f>
        <v>23000</v>
      </c>
      <c r="J1727" s="912">
        <f>I1727*H1727</f>
        <v>14490</v>
      </c>
      <c r="K1727" s="912" t="s">
        <v>274</v>
      </c>
      <c r="L1727" s="912"/>
      <c r="M1727" s="912"/>
      <c r="N1727" s="912"/>
      <c r="O1727" s="892">
        <f t="shared" si="104"/>
        <v>0</v>
      </c>
      <c r="P1727" s="903">
        <f t="shared" si="105"/>
        <v>1</v>
      </c>
      <c r="Q1727" s="893">
        <f t="shared" si="106"/>
        <v>3</v>
      </c>
      <c r="R1727" s="894">
        <f t="shared" si="107"/>
        <v>0</v>
      </c>
    </row>
    <row r="1728" spans="1:18" s="904" customFormat="1">
      <c r="A1728" s="895"/>
      <c r="B1728" s="896"/>
      <c r="C1728" s="897"/>
      <c r="D1728" s="897"/>
      <c r="E1728" s="924" t="s">
        <v>276</v>
      </c>
      <c r="F1728" s="927"/>
      <c r="G1728" s="928"/>
      <c r="H1728" s="901"/>
      <c r="I1728" s="902"/>
      <c r="J1728" s="902"/>
      <c r="K1728" s="912" t="s">
        <v>274</v>
      </c>
      <c r="L1728" s="902"/>
      <c r="M1728" s="902"/>
      <c r="N1728" s="902"/>
      <c r="O1728" s="892">
        <f t="shared" si="104"/>
        <v>0</v>
      </c>
      <c r="P1728" s="903">
        <f t="shared" si="105"/>
        <v>1</v>
      </c>
      <c r="Q1728" s="893">
        <f t="shared" si="106"/>
        <v>2</v>
      </c>
      <c r="R1728" s="894">
        <f t="shared" si="107"/>
        <v>0</v>
      </c>
    </row>
    <row r="1729" spans="1:18">
      <c r="A1729" s="905"/>
      <c r="B1729" s="906"/>
      <c r="C1729" s="907">
        <v>740</v>
      </c>
      <c r="D1729" s="907" t="s">
        <v>12</v>
      </c>
      <c r="E1729" s="908" t="s">
        <v>4008</v>
      </c>
      <c r="F1729" s="909" t="s">
        <v>2674</v>
      </c>
      <c r="G1729" s="910"/>
      <c r="H1729" s="911">
        <v>4.75</v>
      </c>
      <c r="I1729" s="912"/>
      <c r="J1729" s="912"/>
      <c r="K1729" s="912">
        <f>VLOOKUP(E1729,ĐMNC!$A$7:$F$67,4,0)</f>
        <v>252714</v>
      </c>
      <c r="L1729" s="912">
        <f>H1729*K1729</f>
        <v>1200391.5</v>
      </c>
      <c r="M1729" s="912"/>
      <c r="N1729" s="912"/>
      <c r="O1729" s="892">
        <f t="shared" si="104"/>
        <v>0</v>
      </c>
      <c r="P1729" s="903">
        <f t="shared" si="105"/>
        <v>1</v>
      </c>
      <c r="Q1729" s="893">
        <f t="shared" si="106"/>
        <v>1</v>
      </c>
      <c r="R1729" s="894">
        <f t="shared" si="107"/>
        <v>0</v>
      </c>
    </row>
    <row r="1730" spans="1:18" s="847" customFormat="1" ht="31.5">
      <c r="A1730" s="905"/>
      <c r="B1730" s="914" t="s">
        <v>4507</v>
      </c>
      <c r="C1730" s="915"/>
      <c r="D1730" s="915"/>
      <c r="E1730" s="916" t="s">
        <v>4508</v>
      </c>
      <c r="F1730" s="917" t="s">
        <v>249</v>
      </c>
      <c r="G1730" s="918"/>
      <c r="H1730" s="919"/>
      <c r="I1730" s="920"/>
      <c r="J1730" s="891">
        <f>SUM(J1731:J1735)</f>
        <v>14850</v>
      </c>
      <c r="K1730" s="891"/>
      <c r="L1730" s="891">
        <f>SUM(L1731:L1735)</f>
        <v>1374764.1600000001</v>
      </c>
      <c r="M1730" s="891"/>
      <c r="N1730" s="891">
        <f>SUM(N1731:N1735)</f>
        <v>0</v>
      </c>
      <c r="O1730" s="892">
        <f t="shared" si="104"/>
        <v>1</v>
      </c>
      <c r="P1730" s="903">
        <f t="shared" si="105"/>
        <v>0</v>
      </c>
      <c r="Q1730" s="893">
        <f t="shared" si="106"/>
        <v>0</v>
      </c>
      <c r="R1730" s="894">
        <f t="shared" si="107"/>
        <v>5</v>
      </c>
    </row>
    <row r="1731" spans="1:18" s="904" customFormat="1">
      <c r="A1731" s="895"/>
      <c r="B1731" s="896"/>
      <c r="C1731" s="897"/>
      <c r="D1731" s="897"/>
      <c r="E1731" s="924" t="s">
        <v>108</v>
      </c>
      <c r="F1731" s="899"/>
      <c r="G1731" s="900"/>
      <c r="H1731" s="901"/>
      <c r="I1731" s="902"/>
      <c r="J1731" s="902"/>
      <c r="K1731" s="912" t="s">
        <v>274</v>
      </c>
      <c r="L1731" s="902"/>
      <c r="M1731" s="902"/>
      <c r="N1731" s="902"/>
      <c r="O1731" s="892">
        <f t="shared" si="104"/>
        <v>0</v>
      </c>
      <c r="P1731" s="903">
        <f t="shared" si="105"/>
        <v>1</v>
      </c>
      <c r="Q1731" s="893">
        <f t="shared" si="106"/>
        <v>5</v>
      </c>
      <c r="R1731" s="894">
        <f t="shared" si="107"/>
        <v>0</v>
      </c>
    </row>
    <row r="1732" spans="1:18">
      <c r="A1732" s="905"/>
      <c r="B1732" s="906"/>
      <c r="C1732" s="907">
        <v>66</v>
      </c>
      <c r="D1732" s="907" t="s">
        <v>279</v>
      </c>
      <c r="E1732" s="925" t="s">
        <v>2682</v>
      </c>
      <c r="F1732" s="926" t="s">
        <v>45</v>
      </c>
      <c r="G1732" s="910"/>
      <c r="H1732" s="911">
        <v>7.1999999999999995E-2</v>
      </c>
      <c r="I1732" s="912">
        <f>VLOOKUP(E1732,[3]VLP!$B$7:$K$300,10,0)</f>
        <v>5000</v>
      </c>
      <c r="J1732" s="912">
        <f>I1732*H1732</f>
        <v>360</v>
      </c>
      <c r="K1732" s="912" t="s">
        <v>274</v>
      </c>
      <c r="L1732" s="912"/>
      <c r="M1732" s="912"/>
      <c r="N1732" s="912"/>
      <c r="O1732" s="892">
        <f t="shared" si="104"/>
        <v>0</v>
      </c>
      <c r="P1732" s="903">
        <f t="shared" si="105"/>
        <v>1</v>
      </c>
      <c r="Q1732" s="893">
        <f t="shared" si="106"/>
        <v>4</v>
      </c>
      <c r="R1732" s="894">
        <f t="shared" si="107"/>
        <v>0</v>
      </c>
    </row>
    <row r="1733" spans="1:18">
      <c r="A1733" s="905"/>
      <c r="B1733" s="906"/>
      <c r="C1733" s="907">
        <v>44</v>
      </c>
      <c r="D1733" s="907" t="s">
        <v>279</v>
      </c>
      <c r="E1733" s="925" t="s">
        <v>2681</v>
      </c>
      <c r="F1733" s="926" t="s">
        <v>45</v>
      </c>
      <c r="G1733" s="910"/>
      <c r="H1733" s="911">
        <v>0.63</v>
      </c>
      <c r="I1733" s="912">
        <f>VLOOKUP(E1733,[3]VLP!$B$7:$K$300,10,0)</f>
        <v>23000</v>
      </c>
      <c r="J1733" s="912">
        <f>I1733*H1733</f>
        <v>14490</v>
      </c>
      <c r="K1733" s="912" t="s">
        <v>274</v>
      </c>
      <c r="L1733" s="912"/>
      <c r="M1733" s="912"/>
      <c r="N1733" s="912"/>
      <c r="O1733" s="892">
        <f t="shared" si="104"/>
        <v>0</v>
      </c>
      <c r="P1733" s="903">
        <f t="shared" si="105"/>
        <v>1</v>
      </c>
      <c r="Q1733" s="893">
        <f t="shared" si="106"/>
        <v>3</v>
      </c>
      <c r="R1733" s="894">
        <f t="shared" si="107"/>
        <v>0</v>
      </c>
    </row>
    <row r="1734" spans="1:18" s="904" customFormat="1">
      <c r="A1734" s="895"/>
      <c r="B1734" s="896"/>
      <c r="C1734" s="897"/>
      <c r="D1734" s="897"/>
      <c r="E1734" s="924" t="s">
        <v>276</v>
      </c>
      <c r="F1734" s="927"/>
      <c r="G1734" s="928"/>
      <c r="H1734" s="901"/>
      <c r="I1734" s="902"/>
      <c r="J1734" s="902"/>
      <c r="K1734" s="912" t="s">
        <v>274</v>
      </c>
      <c r="L1734" s="902"/>
      <c r="M1734" s="902"/>
      <c r="N1734" s="902"/>
      <c r="O1734" s="892">
        <f t="shared" si="104"/>
        <v>0</v>
      </c>
      <c r="P1734" s="903">
        <f t="shared" si="105"/>
        <v>1</v>
      </c>
      <c r="Q1734" s="893">
        <f t="shared" si="106"/>
        <v>2</v>
      </c>
      <c r="R1734" s="894">
        <f t="shared" si="107"/>
        <v>0</v>
      </c>
    </row>
    <row r="1735" spans="1:18">
      <c r="A1735" s="905"/>
      <c r="B1735" s="906"/>
      <c r="C1735" s="907">
        <v>740</v>
      </c>
      <c r="D1735" s="907" t="s">
        <v>12</v>
      </c>
      <c r="E1735" s="908" t="s">
        <v>4008</v>
      </c>
      <c r="F1735" s="909" t="s">
        <v>2674</v>
      </c>
      <c r="G1735" s="910"/>
      <c r="H1735" s="911">
        <v>5.44</v>
      </c>
      <c r="I1735" s="912"/>
      <c r="J1735" s="912"/>
      <c r="K1735" s="912">
        <f>VLOOKUP(E1735,ĐMNC!$A$7:$F$67,4,0)</f>
        <v>252714</v>
      </c>
      <c r="L1735" s="912">
        <f>H1735*K1735</f>
        <v>1374764.1600000001</v>
      </c>
      <c r="M1735" s="912"/>
      <c r="N1735" s="912"/>
      <c r="O1735" s="892">
        <f t="shared" ref="O1735:O1798" si="108">IF(AND(B1735&lt;&gt;"",D1735=""),1,0)</f>
        <v>0</v>
      </c>
      <c r="P1735" s="903">
        <f t="shared" si="105"/>
        <v>1</v>
      </c>
      <c r="Q1735" s="893">
        <f t="shared" si="106"/>
        <v>1</v>
      </c>
      <c r="R1735" s="894">
        <f t="shared" si="107"/>
        <v>0</v>
      </c>
    </row>
    <row r="1736" spans="1:18" s="847" customFormat="1" ht="31.5">
      <c r="A1736" s="905"/>
      <c r="B1736" s="914" t="s">
        <v>4509</v>
      </c>
      <c r="C1736" s="915"/>
      <c r="D1736" s="915"/>
      <c r="E1736" s="916" t="s">
        <v>4510</v>
      </c>
      <c r="F1736" s="917" t="s">
        <v>249</v>
      </c>
      <c r="G1736" s="918"/>
      <c r="H1736" s="919"/>
      <c r="I1736" s="920"/>
      <c r="J1736" s="891">
        <f>SUM(J1737:J1741)</f>
        <v>14850</v>
      </c>
      <c r="K1736" s="891"/>
      <c r="L1736" s="891">
        <f>SUM(L1737:L1741)</f>
        <v>1528919.7</v>
      </c>
      <c r="M1736" s="891"/>
      <c r="N1736" s="891">
        <f>SUM(N1737:N1741)</f>
        <v>0</v>
      </c>
      <c r="O1736" s="892">
        <f t="shared" si="108"/>
        <v>1</v>
      </c>
      <c r="P1736" s="903">
        <f t="shared" si="105"/>
        <v>0</v>
      </c>
      <c r="Q1736" s="893">
        <f t="shared" si="106"/>
        <v>0</v>
      </c>
      <c r="R1736" s="894">
        <f t="shared" si="107"/>
        <v>5</v>
      </c>
    </row>
    <row r="1737" spans="1:18" s="904" customFormat="1">
      <c r="A1737" s="895"/>
      <c r="B1737" s="896"/>
      <c r="C1737" s="897"/>
      <c r="D1737" s="897"/>
      <c r="E1737" s="924" t="s">
        <v>108</v>
      </c>
      <c r="F1737" s="899"/>
      <c r="G1737" s="900"/>
      <c r="H1737" s="901"/>
      <c r="I1737" s="902"/>
      <c r="J1737" s="902"/>
      <c r="K1737" s="912" t="s">
        <v>274</v>
      </c>
      <c r="L1737" s="902"/>
      <c r="M1737" s="902"/>
      <c r="N1737" s="902"/>
      <c r="O1737" s="892">
        <f t="shared" si="108"/>
        <v>0</v>
      </c>
      <c r="P1737" s="903">
        <f t="shared" si="105"/>
        <v>1</v>
      </c>
      <c r="Q1737" s="893">
        <f t="shared" si="106"/>
        <v>5</v>
      </c>
      <c r="R1737" s="894">
        <f t="shared" si="107"/>
        <v>0</v>
      </c>
    </row>
    <row r="1738" spans="1:18">
      <c r="A1738" s="905"/>
      <c r="B1738" s="906"/>
      <c r="C1738" s="907">
        <v>66</v>
      </c>
      <c r="D1738" s="907" t="s">
        <v>279</v>
      </c>
      <c r="E1738" s="925" t="s">
        <v>2682</v>
      </c>
      <c r="F1738" s="926" t="s">
        <v>45</v>
      </c>
      <c r="G1738" s="910"/>
      <c r="H1738" s="911">
        <v>7.1999999999999995E-2</v>
      </c>
      <c r="I1738" s="912">
        <f>VLOOKUP(E1738,[3]VLP!$B$7:$K$300,10,0)</f>
        <v>5000</v>
      </c>
      <c r="J1738" s="912">
        <f>I1738*H1738</f>
        <v>360</v>
      </c>
      <c r="K1738" s="912" t="s">
        <v>274</v>
      </c>
      <c r="L1738" s="912"/>
      <c r="M1738" s="912"/>
      <c r="N1738" s="912"/>
      <c r="O1738" s="892">
        <f t="shared" si="108"/>
        <v>0</v>
      </c>
      <c r="P1738" s="903">
        <f t="shared" si="105"/>
        <v>1</v>
      </c>
      <c r="Q1738" s="893">
        <f t="shared" si="106"/>
        <v>4</v>
      </c>
      <c r="R1738" s="894">
        <f t="shared" si="107"/>
        <v>0</v>
      </c>
    </row>
    <row r="1739" spans="1:18">
      <c r="A1739" s="905"/>
      <c r="B1739" s="906"/>
      <c r="C1739" s="907">
        <v>44</v>
      </c>
      <c r="D1739" s="907" t="s">
        <v>279</v>
      </c>
      <c r="E1739" s="925" t="s">
        <v>2681</v>
      </c>
      <c r="F1739" s="926" t="s">
        <v>45</v>
      </c>
      <c r="G1739" s="910"/>
      <c r="H1739" s="911">
        <v>0.63</v>
      </c>
      <c r="I1739" s="912">
        <f>VLOOKUP(E1739,[3]VLP!$B$7:$K$300,10,0)</f>
        <v>23000</v>
      </c>
      <c r="J1739" s="912">
        <f>I1739*H1739</f>
        <v>14490</v>
      </c>
      <c r="K1739" s="912" t="s">
        <v>274</v>
      </c>
      <c r="L1739" s="912"/>
      <c r="M1739" s="912"/>
      <c r="N1739" s="912"/>
      <c r="O1739" s="892">
        <f t="shared" si="108"/>
        <v>0</v>
      </c>
      <c r="P1739" s="903">
        <f t="shared" si="105"/>
        <v>1</v>
      </c>
      <c r="Q1739" s="893">
        <f t="shared" si="106"/>
        <v>3</v>
      </c>
      <c r="R1739" s="894">
        <f t="shared" si="107"/>
        <v>0</v>
      </c>
    </row>
    <row r="1740" spans="1:18" s="904" customFormat="1">
      <c r="A1740" s="895"/>
      <c r="B1740" s="896"/>
      <c r="C1740" s="897"/>
      <c r="D1740" s="897"/>
      <c r="E1740" s="924" t="s">
        <v>276</v>
      </c>
      <c r="F1740" s="927"/>
      <c r="G1740" s="928"/>
      <c r="H1740" s="901"/>
      <c r="I1740" s="902"/>
      <c r="J1740" s="902"/>
      <c r="K1740" s="912" t="s">
        <v>274</v>
      </c>
      <c r="L1740" s="902"/>
      <c r="M1740" s="902"/>
      <c r="N1740" s="902"/>
      <c r="O1740" s="892">
        <f t="shared" si="108"/>
        <v>0</v>
      </c>
      <c r="P1740" s="903">
        <f t="shared" si="105"/>
        <v>1</v>
      </c>
      <c r="Q1740" s="893">
        <f t="shared" si="106"/>
        <v>2</v>
      </c>
      <c r="R1740" s="894">
        <f t="shared" si="107"/>
        <v>0</v>
      </c>
    </row>
    <row r="1741" spans="1:18">
      <c r="A1741" s="905"/>
      <c r="B1741" s="906"/>
      <c r="C1741" s="907">
        <v>740</v>
      </c>
      <c r="D1741" s="907" t="s">
        <v>12</v>
      </c>
      <c r="E1741" s="908" t="s">
        <v>4008</v>
      </c>
      <c r="F1741" s="909" t="s">
        <v>2674</v>
      </c>
      <c r="G1741" s="910"/>
      <c r="H1741" s="911">
        <v>6.05</v>
      </c>
      <c r="I1741" s="912"/>
      <c r="J1741" s="912"/>
      <c r="K1741" s="912">
        <f>VLOOKUP(E1741,ĐMNC!$A$7:$F$67,4,0)</f>
        <v>252714</v>
      </c>
      <c r="L1741" s="912">
        <f>H1741*K1741</f>
        <v>1528919.7</v>
      </c>
      <c r="M1741" s="912"/>
      <c r="N1741" s="912"/>
      <c r="O1741" s="892">
        <f t="shared" si="108"/>
        <v>0</v>
      </c>
      <c r="P1741" s="903">
        <f t="shared" si="105"/>
        <v>1</v>
      </c>
      <c r="Q1741" s="893">
        <f t="shared" si="106"/>
        <v>1</v>
      </c>
      <c r="R1741" s="894">
        <f t="shared" si="107"/>
        <v>0</v>
      </c>
    </row>
    <row r="1742" spans="1:18" s="847" customFormat="1" ht="31.5">
      <c r="A1742" s="905"/>
      <c r="B1742" s="914" t="s">
        <v>4511</v>
      </c>
      <c r="C1742" s="915"/>
      <c r="D1742" s="915"/>
      <c r="E1742" s="916" t="s">
        <v>4512</v>
      </c>
      <c r="F1742" s="917" t="s">
        <v>249</v>
      </c>
      <c r="G1742" s="918"/>
      <c r="H1742" s="919"/>
      <c r="I1742" s="920"/>
      <c r="J1742" s="891">
        <f>SUM(J1743:J1747)</f>
        <v>14850</v>
      </c>
      <c r="K1742" s="891"/>
      <c r="L1742" s="891">
        <f>SUM(L1743:L1747)</f>
        <v>1683075.24</v>
      </c>
      <c r="M1742" s="891"/>
      <c r="N1742" s="891">
        <f>SUM(N1743:N1747)</f>
        <v>0</v>
      </c>
      <c r="O1742" s="892">
        <f t="shared" si="108"/>
        <v>1</v>
      </c>
      <c r="P1742" s="903">
        <f t="shared" si="105"/>
        <v>0</v>
      </c>
      <c r="Q1742" s="893">
        <f t="shared" si="106"/>
        <v>0</v>
      </c>
      <c r="R1742" s="894">
        <f t="shared" si="107"/>
        <v>5</v>
      </c>
    </row>
    <row r="1743" spans="1:18" s="904" customFormat="1">
      <c r="A1743" s="895"/>
      <c r="B1743" s="896"/>
      <c r="C1743" s="897"/>
      <c r="D1743" s="897"/>
      <c r="E1743" s="924" t="s">
        <v>108</v>
      </c>
      <c r="F1743" s="899"/>
      <c r="G1743" s="900"/>
      <c r="H1743" s="901"/>
      <c r="I1743" s="902"/>
      <c r="J1743" s="902"/>
      <c r="K1743" s="912" t="s">
        <v>274</v>
      </c>
      <c r="L1743" s="902"/>
      <c r="M1743" s="902"/>
      <c r="N1743" s="902"/>
      <c r="O1743" s="892">
        <f t="shared" si="108"/>
        <v>0</v>
      </c>
      <c r="P1743" s="903">
        <f t="shared" si="105"/>
        <v>1</v>
      </c>
      <c r="Q1743" s="893">
        <f t="shared" si="106"/>
        <v>5</v>
      </c>
      <c r="R1743" s="894">
        <f t="shared" si="107"/>
        <v>0</v>
      </c>
    </row>
    <row r="1744" spans="1:18">
      <c r="A1744" s="905"/>
      <c r="B1744" s="906"/>
      <c r="C1744" s="907">
        <v>66</v>
      </c>
      <c r="D1744" s="907" t="s">
        <v>279</v>
      </c>
      <c r="E1744" s="925" t="s">
        <v>2682</v>
      </c>
      <c r="F1744" s="926" t="s">
        <v>45</v>
      </c>
      <c r="G1744" s="910"/>
      <c r="H1744" s="911">
        <v>7.1999999999999995E-2</v>
      </c>
      <c r="I1744" s="912">
        <f>VLOOKUP(E1744,[3]VLP!$B$7:$K$300,10,0)</f>
        <v>5000</v>
      </c>
      <c r="J1744" s="912">
        <f>I1744*H1744</f>
        <v>360</v>
      </c>
      <c r="K1744" s="912" t="s">
        <v>274</v>
      </c>
      <c r="L1744" s="912"/>
      <c r="M1744" s="912"/>
      <c r="N1744" s="912"/>
      <c r="O1744" s="892">
        <f t="shared" si="108"/>
        <v>0</v>
      </c>
      <c r="P1744" s="903">
        <f t="shared" ref="P1744:P1807" si="109">IF(O1744=0,1,0)</f>
        <v>1</v>
      </c>
      <c r="Q1744" s="893">
        <f t="shared" ref="Q1744:Q1807" si="110">IF(P1744=0,0,P1744+Q1745)</f>
        <v>4</v>
      </c>
      <c r="R1744" s="894">
        <f t="shared" ref="R1744:R1807" si="111">IF(Q1744=0,Q1745,0)</f>
        <v>0</v>
      </c>
    </row>
    <row r="1745" spans="1:18">
      <c r="A1745" s="905"/>
      <c r="B1745" s="906"/>
      <c r="C1745" s="907">
        <v>44</v>
      </c>
      <c r="D1745" s="907" t="s">
        <v>279</v>
      </c>
      <c r="E1745" s="925" t="s">
        <v>2681</v>
      </c>
      <c r="F1745" s="926" t="s">
        <v>45</v>
      </c>
      <c r="G1745" s="910"/>
      <c r="H1745" s="911">
        <v>0.63</v>
      </c>
      <c r="I1745" s="912">
        <f>VLOOKUP(E1745,[3]VLP!$B$7:$K$300,10,0)</f>
        <v>23000</v>
      </c>
      <c r="J1745" s="912">
        <f>I1745*H1745</f>
        <v>14490</v>
      </c>
      <c r="K1745" s="912" t="s">
        <v>274</v>
      </c>
      <c r="L1745" s="912"/>
      <c r="M1745" s="912"/>
      <c r="N1745" s="912"/>
      <c r="O1745" s="892">
        <f t="shared" si="108"/>
        <v>0</v>
      </c>
      <c r="P1745" s="903">
        <f t="shared" si="109"/>
        <v>1</v>
      </c>
      <c r="Q1745" s="893">
        <f t="shared" si="110"/>
        <v>3</v>
      </c>
      <c r="R1745" s="894">
        <f t="shared" si="111"/>
        <v>0</v>
      </c>
    </row>
    <row r="1746" spans="1:18" s="904" customFormat="1">
      <c r="A1746" s="895"/>
      <c r="B1746" s="896"/>
      <c r="C1746" s="897"/>
      <c r="D1746" s="897"/>
      <c r="E1746" s="924" t="s">
        <v>276</v>
      </c>
      <c r="F1746" s="927"/>
      <c r="G1746" s="928"/>
      <c r="H1746" s="901"/>
      <c r="I1746" s="902"/>
      <c r="J1746" s="902"/>
      <c r="K1746" s="912" t="s">
        <v>274</v>
      </c>
      <c r="L1746" s="902"/>
      <c r="M1746" s="902"/>
      <c r="N1746" s="902"/>
      <c r="O1746" s="892">
        <f t="shared" si="108"/>
        <v>0</v>
      </c>
      <c r="P1746" s="903">
        <f t="shared" si="109"/>
        <v>1</v>
      </c>
      <c r="Q1746" s="893">
        <f t="shared" si="110"/>
        <v>2</v>
      </c>
      <c r="R1746" s="894">
        <f t="shared" si="111"/>
        <v>0</v>
      </c>
    </row>
    <row r="1747" spans="1:18">
      <c r="A1747" s="905"/>
      <c r="B1747" s="906"/>
      <c r="C1747" s="907">
        <v>740</v>
      </c>
      <c r="D1747" s="907" t="s">
        <v>12</v>
      </c>
      <c r="E1747" s="908" t="s">
        <v>4008</v>
      </c>
      <c r="F1747" s="909" t="s">
        <v>2674</v>
      </c>
      <c r="G1747" s="910"/>
      <c r="H1747" s="911">
        <v>6.66</v>
      </c>
      <c r="I1747" s="912"/>
      <c r="J1747" s="912"/>
      <c r="K1747" s="912">
        <f>VLOOKUP(E1747,ĐMNC!$A$7:$F$67,4,0)</f>
        <v>252714</v>
      </c>
      <c r="L1747" s="912">
        <f>H1747*K1747</f>
        <v>1683075.24</v>
      </c>
      <c r="M1747" s="912"/>
      <c r="N1747" s="912"/>
      <c r="O1747" s="892">
        <f t="shared" si="108"/>
        <v>0</v>
      </c>
      <c r="P1747" s="903">
        <f t="shared" si="109"/>
        <v>1</v>
      </c>
      <c r="Q1747" s="893">
        <f t="shared" si="110"/>
        <v>1</v>
      </c>
      <c r="R1747" s="894">
        <f t="shared" si="111"/>
        <v>0</v>
      </c>
    </row>
    <row r="1748" spans="1:18" s="847" customFormat="1" ht="31.5">
      <c r="A1748" s="905"/>
      <c r="B1748" s="914" t="s">
        <v>4513</v>
      </c>
      <c r="C1748" s="915"/>
      <c r="D1748" s="915"/>
      <c r="E1748" s="916" t="s">
        <v>4514</v>
      </c>
      <c r="F1748" s="917" t="s">
        <v>249</v>
      </c>
      <c r="G1748" s="918"/>
      <c r="H1748" s="919"/>
      <c r="I1748" s="920"/>
      <c r="J1748" s="891">
        <f>SUM(J1749:J1753)</f>
        <v>14850</v>
      </c>
      <c r="K1748" s="891"/>
      <c r="L1748" s="891">
        <f>SUM(L1749:L1753)</f>
        <v>1935789.24</v>
      </c>
      <c r="M1748" s="891"/>
      <c r="N1748" s="891">
        <f>SUM(N1749:N1753)</f>
        <v>0</v>
      </c>
      <c r="O1748" s="892">
        <f t="shared" si="108"/>
        <v>1</v>
      </c>
      <c r="P1748" s="903">
        <f t="shared" si="109"/>
        <v>0</v>
      </c>
      <c r="Q1748" s="893">
        <f t="shared" si="110"/>
        <v>0</v>
      </c>
      <c r="R1748" s="894">
        <f t="shared" si="111"/>
        <v>5</v>
      </c>
    </row>
    <row r="1749" spans="1:18" s="904" customFormat="1">
      <c r="A1749" s="895"/>
      <c r="B1749" s="896"/>
      <c r="C1749" s="897"/>
      <c r="D1749" s="897"/>
      <c r="E1749" s="924" t="s">
        <v>108</v>
      </c>
      <c r="F1749" s="899"/>
      <c r="G1749" s="900"/>
      <c r="H1749" s="901"/>
      <c r="I1749" s="902"/>
      <c r="J1749" s="902"/>
      <c r="K1749" s="912" t="s">
        <v>274</v>
      </c>
      <c r="L1749" s="902"/>
      <c r="M1749" s="902"/>
      <c r="N1749" s="902"/>
      <c r="O1749" s="892">
        <f t="shared" si="108"/>
        <v>0</v>
      </c>
      <c r="P1749" s="903">
        <f t="shared" si="109"/>
        <v>1</v>
      </c>
      <c r="Q1749" s="893">
        <f t="shared" si="110"/>
        <v>5</v>
      </c>
      <c r="R1749" s="894">
        <f t="shared" si="111"/>
        <v>0</v>
      </c>
    </row>
    <row r="1750" spans="1:18">
      <c r="A1750" s="905"/>
      <c r="B1750" s="906"/>
      <c r="C1750" s="907">
        <v>66</v>
      </c>
      <c r="D1750" s="907" t="s">
        <v>279</v>
      </c>
      <c r="E1750" s="925" t="s">
        <v>2682</v>
      </c>
      <c r="F1750" s="926" t="s">
        <v>45</v>
      </c>
      <c r="G1750" s="910"/>
      <c r="H1750" s="911">
        <v>7.1999999999999995E-2</v>
      </c>
      <c r="I1750" s="912">
        <f>VLOOKUP(E1750,[3]VLP!$B$7:$K$300,10,0)</f>
        <v>5000</v>
      </c>
      <c r="J1750" s="912">
        <f>I1750*H1750</f>
        <v>360</v>
      </c>
      <c r="K1750" s="912" t="s">
        <v>274</v>
      </c>
      <c r="L1750" s="912"/>
      <c r="M1750" s="912"/>
      <c r="N1750" s="912"/>
      <c r="O1750" s="892">
        <f t="shared" si="108"/>
        <v>0</v>
      </c>
      <c r="P1750" s="903">
        <f t="shared" si="109"/>
        <v>1</v>
      </c>
      <c r="Q1750" s="893">
        <f t="shared" si="110"/>
        <v>4</v>
      </c>
      <c r="R1750" s="894">
        <f t="shared" si="111"/>
        <v>0</v>
      </c>
    </row>
    <row r="1751" spans="1:18">
      <c r="A1751" s="905"/>
      <c r="B1751" s="906"/>
      <c r="C1751" s="907">
        <v>44</v>
      </c>
      <c r="D1751" s="907" t="s">
        <v>279</v>
      </c>
      <c r="E1751" s="925" t="s">
        <v>2681</v>
      </c>
      <c r="F1751" s="926" t="s">
        <v>45</v>
      </c>
      <c r="G1751" s="910"/>
      <c r="H1751" s="911">
        <v>0.63</v>
      </c>
      <c r="I1751" s="912">
        <f>VLOOKUP(E1751,[3]VLP!$B$7:$K$300,10,0)</f>
        <v>23000</v>
      </c>
      <c r="J1751" s="912">
        <f>I1751*H1751</f>
        <v>14490</v>
      </c>
      <c r="K1751" s="912" t="s">
        <v>274</v>
      </c>
      <c r="L1751" s="912"/>
      <c r="M1751" s="912"/>
      <c r="N1751" s="912"/>
      <c r="O1751" s="892">
        <f t="shared" si="108"/>
        <v>0</v>
      </c>
      <c r="P1751" s="903">
        <f t="shared" si="109"/>
        <v>1</v>
      </c>
      <c r="Q1751" s="893">
        <f t="shared" si="110"/>
        <v>3</v>
      </c>
      <c r="R1751" s="894">
        <f t="shared" si="111"/>
        <v>0</v>
      </c>
    </row>
    <row r="1752" spans="1:18" s="904" customFormat="1">
      <c r="A1752" s="895"/>
      <c r="B1752" s="896"/>
      <c r="C1752" s="897"/>
      <c r="D1752" s="897"/>
      <c r="E1752" s="924" t="s">
        <v>276</v>
      </c>
      <c r="F1752" s="927"/>
      <c r="G1752" s="928"/>
      <c r="H1752" s="901"/>
      <c r="I1752" s="902"/>
      <c r="J1752" s="902"/>
      <c r="K1752" s="912" t="s">
        <v>274</v>
      </c>
      <c r="L1752" s="902"/>
      <c r="M1752" s="902"/>
      <c r="N1752" s="902"/>
      <c r="O1752" s="892">
        <f t="shared" si="108"/>
        <v>0</v>
      </c>
      <c r="P1752" s="903">
        <f t="shared" si="109"/>
        <v>1</v>
      </c>
      <c r="Q1752" s="893">
        <f t="shared" si="110"/>
        <v>2</v>
      </c>
      <c r="R1752" s="894">
        <f t="shared" si="111"/>
        <v>0</v>
      </c>
    </row>
    <row r="1753" spans="1:18">
      <c r="A1753" s="905"/>
      <c r="B1753" s="906"/>
      <c r="C1753" s="907">
        <v>740</v>
      </c>
      <c r="D1753" s="907" t="s">
        <v>12</v>
      </c>
      <c r="E1753" s="908" t="s">
        <v>4008</v>
      </c>
      <c r="F1753" s="909" t="s">
        <v>2674</v>
      </c>
      <c r="G1753" s="910"/>
      <c r="H1753" s="911">
        <v>7.66</v>
      </c>
      <c r="I1753" s="912"/>
      <c r="J1753" s="912"/>
      <c r="K1753" s="912">
        <f>VLOOKUP(E1753,ĐMNC!$A$7:$F$67,4,0)</f>
        <v>252714</v>
      </c>
      <c r="L1753" s="912">
        <f>H1753*K1753</f>
        <v>1935789.24</v>
      </c>
      <c r="M1753" s="912"/>
      <c r="N1753" s="912"/>
      <c r="O1753" s="892">
        <f t="shared" si="108"/>
        <v>0</v>
      </c>
      <c r="P1753" s="903">
        <f t="shared" si="109"/>
        <v>1</v>
      </c>
      <c r="Q1753" s="893">
        <f t="shared" si="110"/>
        <v>1</v>
      </c>
      <c r="R1753" s="894">
        <f t="shared" si="111"/>
        <v>0</v>
      </c>
    </row>
    <row r="1754" spans="1:18" s="847" customFormat="1" ht="31.5">
      <c r="A1754" s="905"/>
      <c r="B1754" s="914" t="s">
        <v>4515</v>
      </c>
      <c r="C1754" s="915"/>
      <c r="D1754" s="915"/>
      <c r="E1754" s="916" t="s">
        <v>4516</v>
      </c>
      <c r="F1754" s="917" t="s">
        <v>249</v>
      </c>
      <c r="G1754" s="918"/>
      <c r="H1754" s="919"/>
      <c r="I1754" s="920"/>
      <c r="J1754" s="891">
        <f>SUM(J1755:J1759)</f>
        <v>14850</v>
      </c>
      <c r="K1754" s="891"/>
      <c r="L1754" s="891">
        <f>SUM(L1755:L1759)</f>
        <v>2228937.48</v>
      </c>
      <c r="M1754" s="891"/>
      <c r="N1754" s="891">
        <f>SUM(N1755:N1759)</f>
        <v>0</v>
      </c>
      <c r="O1754" s="892">
        <f t="shared" si="108"/>
        <v>1</v>
      </c>
      <c r="P1754" s="903">
        <f t="shared" si="109"/>
        <v>0</v>
      </c>
      <c r="Q1754" s="893">
        <f t="shared" si="110"/>
        <v>0</v>
      </c>
      <c r="R1754" s="894">
        <f t="shared" si="111"/>
        <v>5</v>
      </c>
    </row>
    <row r="1755" spans="1:18" s="904" customFormat="1">
      <c r="A1755" s="895"/>
      <c r="B1755" s="896"/>
      <c r="C1755" s="897"/>
      <c r="D1755" s="897"/>
      <c r="E1755" s="924" t="s">
        <v>108</v>
      </c>
      <c r="F1755" s="899"/>
      <c r="G1755" s="900"/>
      <c r="H1755" s="901"/>
      <c r="I1755" s="902"/>
      <c r="J1755" s="902"/>
      <c r="K1755" s="912" t="s">
        <v>274</v>
      </c>
      <c r="L1755" s="902"/>
      <c r="M1755" s="902"/>
      <c r="N1755" s="902"/>
      <c r="O1755" s="892">
        <f t="shared" si="108"/>
        <v>0</v>
      </c>
      <c r="P1755" s="903">
        <f t="shared" si="109"/>
        <v>1</v>
      </c>
      <c r="Q1755" s="893">
        <f t="shared" si="110"/>
        <v>5</v>
      </c>
      <c r="R1755" s="894">
        <f t="shared" si="111"/>
        <v>0</v>
      </c>
    </row>
    <row r="1756" spans="1:18">
      <c r="A1756" s="905"/>
      <c r="B1756" s="906"/>
      <c r="C1756" s="907">
        <v>66</v>
      </c>
      <c r="D1756" s="907" t="s">
        <v>279</v>
      </c>
      <c r="E1756" s="925" t="s">
        <v>2682</v>
      </c>
      <c r="F1756" s="926" t="s">
        <v>45</v>
      </c>
      <c r="G1756" s="910"/>
      <c r="H1756" s="911">
        <v>7.1999999999999995E-2</v>
      </c>
      <c r="I1756" s="912">
        <f>VLOOKUP(E1756,[3]VLP!$B$7:$K$300,10,0)</f>
        <v>5000</v>
      </c>
      <c r="J1756" s="912">
        <f>I1756*H1756</f>
        <v>360</v>
      </c>
      <c r="K1756" s="912" t="s">
        <v>274</v>
      </c>
      <c r="L1756" s="912"/>
      <c r="M1756" s="912"/>
      <c r="N1756" s="912"/>
      <c r="O1756" s="892">
        <f t="shared" si="108"/>
        <v>0</v>
      </c>
      <c r="P1756" s="903">
        <f t="shared" si="109"/>
        <v>1</v>
      </c>
      <c r="Q1756" s="893">
        <f t="shared" si="110"/>
        <v>4</v>
      </c>
      <c r="R1756" s="894">
        <f t="shared" si="111"/>
        <v>0</v>
      </c>
    </row>
    <row r="1757" spans="1:18">
      <c r="A1757" s="905"/>
      <c r="B1757" s="906"/>
      <c r="C1757" s="907">
        <v>44</v>
      </c>
      <c r="D1757" s="907" t="s">
        <v>279</v>
      </c>
      <c r="E1757" s="925" t="s">
        <v>2681</v>
      </c>
      <c r="F1757" s="926" t="s">
        <v>45</v>
      </c>
      <c r="G1757" s="910"/>
      <c r="H1757" s="911">
        <v>0.63</v>
      </c>
      <c r="I1757" s="912">
        <f>VLOOKUP(E1757,[3]VLP!$B$7:$K$300,10,0)</f>
        <v>23000</v>
      </c>
      <c r="J1757" s="912">
        <f>I1757*H1757</f>
        <v>14490</v>
      </c>
      <c r="K1757" s="912" t="s">
        <v>274</v>
      </c>
      <c r="L1757" s="912"/>
      <c r="M1757" s="912"/>
      <c r="N1757" s="912"/>
      <c r="O1757" s="892">
        <f t="shared" si="108"/>
        <v>0</v>
      </c>
      <c r="P1757" s="903">
        <f t="shared" si="109"/>
        <v>1</v>
      </c>
      <c r="Q1757" s="893">
        <f t="shared" si="110"/>
        <v>3</v>
      </c>
      <c r="R1757" s="894">
        <f t="shared" si="111"/>
        <v>0</v>
      </c>
    </row>
    <row r="1758" spans="1:18" s="904" customFormat="1">
      <c r="A1758" s="895"/>
      <c r="B1758" s="896"/>
      <c r="C1758" s="897"/>
      <c r="D1758" s="897"/>
      <c r="E1758" s="924" t="s">
        <v>276</v>
      </c>
      <c r="F1758" s="927"/>
      <c r="G1758" s="928"/>
      <c r="H1758" s="901"/>
      <c r="I1758" s="902"/>
      <c r="J1758" s="902"/>
      <c r="K1758" s="912" t="s">
        <v>274</v>
      </c>
      <c r="L1758" s="902"/>
      <c r="M1758" s="902"/>
      <c r="N1758" s="902"/>
      <c r="O1758" s="892">
        <f t="shared" si="108"/>
        <v>0</v>
      </c>
      <c r="P1758" s="903">
        <f t="shared" si="109"/>
        <v>1</v>
      </c>
      <c r="Q1758" s="893">
        <f t="shared" si="110"/>
        <v>2</v>
      </c>
      <c r="R1758" s="894">
        <f t="shared" si="111"/>
        <v>0</v>
      </c>
    </row>
    <row r="1759" spans="1:18">
      <c r="A1759" s="905"/>
      <c r="B1759" s="906"/>
      <c r="C1759" s="907">
        <v>740</v>
      </c>
      <c r="D1759" s="907" t="s">
        <v>12</v>
      </c>
      <c r="E1759" s="908" t="s">
        <v>4008</v>
      </c>
      <c r="F1759" s="909" t="s">
        <v>2674</v>
      </c>
      <c r="G1759" s="910"/>
      <c r="H1759" s="911">
        <v>8.82</v>
      </c>
      <c r="I1759" s="912"/>
      <c r="J1759" s="912"/>
      <c r="K1759" s="912">
        <f>VLOOKUP(E1759,ĐMNC!$A$7:$F$67,4,0)</f>
        <v>252714</v>
      </c>
      <c r="L1759" s="912">
        <f>H1759*K1759</f>
        <v>2228937.48</v>
      </c>
      <c r="M1759" s="912"/>
      <c r="N1759" s="912"/>
      <c r="O1759" s="892">
        <f t="shared" si="108"/>
        <v>0</v>
      </c>
      <c r="P1759" s="903">
        <f t="shared" si="109"/>
        <v>1</v>
      </c>
      <c r="Q1759" s="893">
        <f>IF(P1759=0,0,P1759+Q1761)</f>
        <v>1</v>
      </c>
      <c r="R1759" s="894">
        <f>IF(Q1759=0,Q1761,0)</f>
        <v>0</v>
      </c>
    </row>
    <row r="1760" spans="1:18">
      <c r="A1760" s="905"/>
      <c r="B1760" s="885" t="s">
        <v>4517</v>
      </c>
      <c r="C1760" s="949"/>
      <c r="D1760" s="949"/>
      <c r="E1760" s="921" t="s">
        <v>4518</v>
      </c>
      <c r="F1760" s="909"/>
      <c r="G1760" s="910"/>
      <c r="H1760" s="911"/>
      <c r="I1760" s="912"/>
      <c r="J1760" s="912"/>
      <c r="K1760" s="912"/>
      <c r="L1760" s="912"/>
      <c r="M1760" s="912"/>
      <c r="N1760" s="912"/>
      <c r="O1760" s="892"/>
      <c r="P1760" s="903"/>
      <c r="Q1760" s="893"/>
      <c r="R1760" s="894"/>
    </row>
    <row r="1761" spans="1:18" s="847" customFormat="1" ht="31.5">
      <c r="A1761" s="905" t="s">
        <v>4519</v>
      </c>
      <c r="B1761" s="914" t="s">
        <v>1161</v>
      </c>
      <c r="C1761" s="915"/>
      <c r="D1761" s="915"/>
      <c r="E1761" s="929" t="s">
        <v>4520</v>
      </c>
      <c r="F1761" s="917" t="s">
        <v>249</v>
      </c>
      <c r="G1761" s="918"/>
      <c r="H1761" s="919"/>
      <c r="I1761" s="920"/>
      <c r="J1761" s="891">
        <f>SUM(J1762:J1766)</f>
        <v>1200</v>
      </c>
      <c r="K1761" s="891"/>
      <c r="L1761" s="891">
        <f>SUM(L1762:L1766)</f>
        <v>48015.66</v>
      </c>
      <c r="M1761" s="891"/>
      <c r="N1761" s="891">
        <f>SUM(N1762:N1766)</f>
        <v>0</v>
      </c>
      <c r="O1761" s="892">
        <f t="shared" si="108"/>
        <v>1</v>
      </c>
      <c r="P1761" s="903">
        <f t="shared" si="109"/>
        <v>0</v>
      </c>
      <c r="Q1761" s="893">
        <f t="shared" si="110"/>
        <v>0</v>
      </c>
      <c r="R1761" s="894">
        <f t="shared" si="111"/>
        <v>5</v>
      </c>
    </row>
    <row r="1762" spans="1:18" s="904" customFormat="1">
      <c r="A1762" s="895"/>
      <c r="B1762" s="922"/>
      <c r="C1762" s="897"/>
      <c r="D1762" s="897"/>
      <c r="E1762" s="924" t="s">
        <v>108</v>
      </c>
      <c r="F1762" s="899"/>
      <c r="G1762" s="900"/>
      <c r="H1762" s="901"/>
      <c r="I1762" s="902"/>
      <c r="J1762" s="902"/>
      <c r="K1762" s="912" t="s">
        <v>274</v>
      </c>
      <c r="L1762" s="902"/>
      <c r="M1762" s="902"/>
      <c r="N1762" s="902"/>
      <c r="O1762" s="892">
        <f t="shared" si="108"/>
        <v>0</v>
      </c>
      <c r="P1762" s="903">
        <f t="shared" si="109"/>
        <v>1</v>
      </c>
      <c r="Q1762" s="893">
        <f t="shared" si="110"/>
        <v>5</v>
      </c>
      <c r="R1762" s="894">
        <f t="shared" si="111"/>
        <v>0</v>
      </c>
    </row>
    <row r="1763" spans="1:18">
      <c r="A1763" s="905"/>
      <c r="B1763" s="906"/>
      <c r="C1763" s="907">
        <v>66</v>
      </c>
      <c r="D1763" s="907" t="s">
        <v>279</v>
      </c>
      <c r="E1763" s="925" t="s">
        <v>2682</v>
      </c>
      <c r="F1763" s="926" t="s">
        <v>45</v>
      </c>
      <c r="G1763" s="910"/>
      <c r="H1763" s="911">
        <v>0.01</v>
      </c>
      <c r="I1763" s="912">
        <f>VLOOKUP(E1763,[3]VLP!$B$7:$K$300,10,0)</f>
        <v>5000</v>
      </c>
      <c r="J1763" s="912">
        <f>I1763*H1763</f>
        <v>50</v>
      </c>
      <c r="K1763" s="912" t="s">
        <v>274</v>
      </c>
      <c r="L1763" s="912"/>
      <c r="M1763" s="912"/>
      <c r="N1763" s="912"/>
      <c r="O1763" s="892">
        <f t="shared" si="108"/>
        <v>0</v>
      </c>
      <c r="P1763" s="903">
        <f t="shared" si="109"/>
        <v>1</v>
      </c>
      <c r="Q1763" s="893">
        <f t="shared" si="110"/>
        <v>4</v>
      </c>
      <c r="R1763" s="894">
        <f t="shared" si="111"/>
        <v>0</v>
      </c>
    </row>
    <row r="1764" spans="1:18">
      <c r="A1764" s="905"/>
      <c r="B1764" s="906"/>
      <c r="C1764" s="907">
        <v>44</v>
      </c>
      <c r="D1764" s="907" t="s">
        <v>279</v>
      </c>
      <c r="E1764" s="925" t="s">
        <v>2681</v>
      </c>
      <c r="F1764" s="926" t="s">
        <v>45</v>
      </c>
      <c r="G1764" s="910"/>
      <c r="H1764" s="911">
        <v>0.05</v>
      </c>
      <c r="I1764" s="912">
        <f>VLOOKUP(E1764,[3]VLP!$B$7:$K$300,10,0)</f>
        <v>23000</v>
      </c>
      <c r="J1764" s="912">
        <f>I1764*H1764</f>
        <v>1150</v>
      </c>
      <c r="K1764" s="912" t="s">
        <v>274</v>
      </c>
      <c r="L1764" s="912"/>
      <c r="M1764" s="912"/>
      <c r="N1764" s="912"/>
      <c r="O1764" s="892">
        <f t="shared" si="108"/>
        <v>0</v>
      </c>
      <c r="P1764" s="903">
        <f t="shared" si="109"/>
        <v>1</v>
      </c>
      <c r="Q1764" s="893">
        <f t="shared" si="110"/>
        <v>3</v>
      </c>
      <c r="R1764" s="894">
        <f t="shared" si="111"/>
        <v>0</v>
      </c>
    </row>
    <row r="1765" spans="1:18" s="904" customFormat="1">
      <c r="A1765" s="895"/>
      <c r="B1765" s="896"/>
      <c r="C1765" s="897"/>
      <c r="D1765" s="897"/>
      <c r="E1765" s="924" t="s">
        <v>276</v>
      </c>
      <c r="F1765" s="927"/>
      <c r="G1765" s="928"/>
      <c r="H1765" s="901"/>
      <c r="I1765" s="902"/>
      <c r="J1765" s="902"/>
      <c r="K1765" s="912" t="s">
        <v>274</v>
      </c>
      <c r="L1765" s="902"/>
      <c r="M1765" s="902"/>
      <c r="N1765" s="902"/>
      <c r="O1765" s="892">
        <f t="shared" si="108"/>
        <v>0</v>
      </c>
      <c r="P1765" s="903">
        <f t="shared" si="109"/>
        <v>1</v>
      </c>
      <c r="Q1765" s="893">
        <f t="shared" si="110"/>
        <v>2</v>
      </c>
      <c r="R1765" s="894">
        <f t="shared" si="111"/>
        <v>0</v>
      </c>
    </row>
    <row r="1766" spans="1:18">
      <c r="A1766" s="905"/>
      <c r="B1766" s="906"/>
      <c r="C1766" s="907">
        <v>740</v>
      </c>
      <c r="D1766" s="907" t="s">
        <v>12</v>
      </c>
      <c r="E1766" s="908" t="s">
        <v>4008</v>
      </c>
      <c r="F1766" s="909" t="s">
        <v>2674</v>
      </c>
      <c r="G1766" s="910"/>
      <c r="H1766" s="911">
        <v>0.19</v>
      </c>
      <c r="I1766" s="912"/>
      <c r="J1766" s="912"/>
      <c r="K1766" s="912">
        <f>VLOOKUP(E1766,ĐMNC!$A$7:$F$67,4,0)</f>
        <v>252714</v>
      </c>
      <c r="L1766" s="912">
        <f>H1766*K1766</f>
        <v>48015.66</v>
      </c>
      <c r="M1766" s="912"/>
      <c r="N1766" s="912"/>
      <c r="O1766" s="892">
        <f t="shared" si="108"/>
        <v>0</v>
      </c>
      <c r="P1766" s="903">
        <f t="shared" si="109"/>
        <v>1</v>
      </c>
      <c r="Q1766" s="893">
        <f t="shared" si="110"/>
        <v>1</v>
      </c>
      <c r="R1766" s="894">
        <f t="shared" si="111"/>
        <v>0</v>
      </c>
    </row>
    <row r="1767" spans="1:18" s="847" customFormat="1" ht="31.5">
      <c r="A1767" s="905"/>
      <c r="B1767" s="914" t="s">
        <v>4521</v>
      </c>
      <c r="C1767" s="915"/>
      <c r="D1767" s="915"/>
      <c r="E1767" s="916" t="s">
        <v>4522</v>
      </c>
      <c r="F1767" s="917" t="s">
        <v>249</v>
      </c>
      <c r="G1767" s="918"/>
      <c r="H1767" s="919"/>
      <c r="I1767" s="920"/>
      <c r="J1767" s="891">
        <f>SUM(J1768:J1772)</f>
        <v>1200</v>
      </c>
      <c r="K1767" s="891"/>
      <c r="L1767" s="891">
        <f>SUM(L1768:L1772)</f>
        <v>60651.360000000001</v>
      </c>
      <c r="M1767" s="891"/>
      <c r="N1767" s="891">
        <f>SUM(N1768:N1772)</f>
        <v>0</v>
      </c>
      <c r="O1767" s="892">
        <f t="shared" si="108"/>
        <v>1</v>
      </c>
      <c r="P1767" s="903">
        <f t="shared" si="109"/>
        <v>0</v>
      </c>
      <c r="Q1767" s="893">
        <f t="shared" si="110"/>
        <v>0</v>
      </c>
      <c r="R1767" s="894">
        <f t="shared" si="111"/>
        <v>5</v>
      </c>
    </row>
    <row r="1768" spans="1:18" s="904" customFormat="1">
      <c r="A1768" s="895"/>
      <c r="B1768" s="896"/>
      <c r="C1768" s="897"/>
      <c r="D1768" s="897"/>
      <c r="E1768" s="924" t="s">
        <v>108</v>
      </c>
      <c r="F1768" s="899"/>
      <c r="G1768" s="900"/>
      <c r="H1768" s="901"/>
      <c r="I1768" s="902"/>
      <c r="J1768" s="902"/>
      <c r="K1768" s="912" t="s">
        <v>274</v>
      </c>
      <c r="L1768" s="902"/>
      <c r="M1768" s="902"/>
      <c r="N1768" s="902"/>
      <c r="O1768" s="892">
        <f t="shared" si="108"/>
        <v>0</v>
      </c>
      <c r="P1768" s="903">
        <f t="shared" si="109"/>
        <v>1</v>
      </c>
      <c r="Q1768" s="893">
        <f t="shared" si="110"/>
        <v>5</v>
      </c>
      <c r="R1768" s="894">
        <f t="shared" si="111"/>
        <v>0</v>
      </c>
    </row>
    <row r="1769" spans="1:18">
      <c r="A1769" s="905"/>
      <c r="B1769" s="906"/>
      <c r="C1769" s="907">
        <v>66</v>
      </c>
      <c r="D1769" s="907" t="s">
        <v>279</v>
      </c>
      <c r="E1769" s="925" t="s">
        <v>2682</v>
      </c>
      <c r="F1769" s="926" t="s">
        <v>45</v>
      </c>
      <c r="G1769" s="910"/>
      <c r="H1769" s="911">
        <v>0.01</v>
      </c>
      <c r="I1769" s="912">
        <f>VLOOKUP(E1769,[3]VLP!$B$7:$K$300,10,0)</f>
        <v>5000</v>
      </c>
      <c r="J1769" s="912">
        <f>I1769*H1769</f>
        <v>50</v>
      </c>
      <c r="K1769" s="912" t="s">
        <v>274</v>
      </c>
      <c r="L1769" s="912"/>
      <c r="M1769" s="912"/>
      <c r="N1769" s="912"/>
      <c r="O1769" s="892">
        <f t="shared" si="108"/>
        <v>0</v>
      </c>
      <c r="P1769" s="903">
        <f t="shared" si="109"/>
        <v>1</v>
      </c>
      <c r="Q1769" s="893">
        <f t="shared" si="110"/>
        <v>4</v>
      </c>
      <c r="R1769" s="894">
        <f t="shared" si="111"/>
        <v>0</v>
      </c>
    </row>
    <row r="1770" spans="1:18">
      <c r="A1770" s="905"/>
      <c r="B1770" s="906"/>
      <c r="C1770" s="907">
        <v>44</v>
      </c>
      <c r="D1770" s="907" t="s">
        <v>279</v>
      </c>
      <c r="E1770" s="925" t="s">
        <v>2681</v>
      </c>
      <c r="F1770" s="926" t="s">
        <v>45</v>
      </c>
      <c r="G1770" s="910"/>
      <c r="H1770" s="911">
        <v>0.05</v>
      </c>
      <c r="I1770" s="912">
        <f>VLOOKUP(E1770,[3]VLP!$B$7:$K$300,10,0)</f>
        <v>23000</v>
      </c>
      <c r="J1770" s="912">
        <f>I1770*H1770</f>
        <v>1150</v>
      </c>
      <c r="K1770" s="912" t="s">
        <v>274</v>
      </c>
      <c r="L1770" s="912"/>
      <c r="M1770" s="912"/>
      <c r="N1770" s="912"/>
      <c r="O1770" s="892">
        <f t="shared" si="108"/>
        <v>0</v>
      </c>
      <c r="P1770" s="903">
        <f t="shared" si="109"/>
        <v>1</v>
      </c>
      <c r="Q1770" s="893">
        <f t="shared" si="110"/>
        <v>3</v>
      </c>
      <c r="R1770" s="894">
        <f t="shared" si="111"/>
        <v>0</v>
      </c>
    </row>
    <row r="1771" spans="1:18" s="904" customFormat="1">
      <c r="A1771" s="895"/>
      <c r="B1771" s="896"/>
      <c r="C1771" s="897"/>
      <c r="D1771" s="897"/>
      <c r="E1771" s="924" t="s">
        <v>276</v>
      </c>
      <c r="F1771" s="927"/>
      <c r="G1771" s="928"/>
      <c r="H1771" s="901"/>
      <c r="I1771" s="902"/>
      <c r="J1771" s="902"/>
      <c r="K1771" s="912" t="s">
        <v>274</v>
      </c>
      <c r="L1771" s="902"/>
      <c r="M1771" s="902"/>
      <c r="N1771" s="902"/>
      <c r="O1771" s="892">
        <f t="shared" si="108"/>
        <v>0</v>
      </c>
      <c r="P1771" s="903">
        <f t="shared" si="109"/>
        <v>1</v>
      </c>
      <c r="Q1771" s="893">
        <f t="shared" si="110"/>
        <v>2</v>
      </c>
      <c r="R1771" s="894">
        <f t="shared" si="111"/>
        <v>0</v>
      </c>
    </row>
    <row r="1772" spans="1:18">
      <c r="A1772" s="905"/>
      <c r="B1772" s="906"/>
      <c r="C1772" s="907">
        <v>740</v>
      </c>
      <c r="D1772" s="907" t="s">
        <v>12</v>
      </c>
      <c r="E1772" s="908" t="s">
        <v>4008</v>
      </c>
      <c r="F1772" s="909" t="s">
        <v>2674</v>
      </c>
      <c r="G1772" s="910"/>
      <c r="H1772" s="911">
        <v>0.24</v>
      </c>
      <c r="I1772" s="912"/>
      <c r="J1772" s="912"/>
      <c r="K1772" s="912">
        <f>VLOOKUP(E1772,ĐMNC!$A$7:$F$67,4,0)</f>
        <v>252714</v>
      </c>
      <c r="L1772" s="912">
        <f>H1772*K1772</f>
        <v>60651.360000000001</v>
      </c>
      <c r="M1772" s="912"/>
      <c r="N1772" s="912"/>
      <c r="O1772" s="892">
        <f t="shared" si="108"/>
        <v>0</v>
      </c>
      <c r="P1772" s="903">
        <f t="shared" si="109"/>
        <v>1</v>
      </c>
      <c r="Q1772" s="893">
        <f t="shared" si="110"/>
        <v>1</v>
      </c>
      <c r="R1772" s="894">
        <f t="shared" si="111"/>
        <v>0</v>
      </c>
    </row>
    <row r="1773" spans="1:18" s="847" customFormat="1" ht="31.5">
      <c r="A1773" s="905"/>
      <c r="B1773" s="914" t="s">
        <v>4523</v>
      </c>
      <c r="C1773" s="915"/>
      <c r="D1773" s="915"/>
      <c r="E1773" s="916" t="s">
        <v>4524</v>
      </c>
      <c r="F1773" s="917" t="s">
        <v>249</v>
      </c>
      <c r="G1773" s="918"/>
      <c r="H1773" s="919"/>
      <c r="I1773" s="920"/>
      <c r="J1773" s="891">
        <f>SUM(J1774:J1778)</f>
        <v>1200</v>
      </c>
      <c r="K1773" s="891"/>
      <c r="L1773" s="891">
        <f>SUM(L1774:L1778)</f>
        <v>75814.2</v>
      </c>
      <c r="M1773" s="891"/>
      <c r="N1773" s="891">
        <f>SUM(N1774:N1778)</f>
        <v>0</v>
      </c>
      <c r="O1773" s="892">
        <f t="shared" si="108"/>
        <v>1</v>
      </c>
      <c r="P1773" s="903">
        <f t="shared" si="109"/>
        <v>0</v>
      </c>
      <c r="Q1773" s="893">
        <f t="shared" si="110"/>
        <v>0</v>
      </c>
      <c r="R1773" s="894">
        <f t="shared" si="111"/>
        <v>5</v>
      </c>
    </row>
    <row r="1774" spans="1:18" s="904" customFormat="1">
      <c r="A1774" s="895"/>
      <c r="B1774" s="896"/>
      <c r="C1774" s="897"/>
      <c r="D1774" s="897"/>
      <c r="E1774" s="924" t="s">
        <v>108</v>
      </c>
      <c r="F1774" s="899"/>
      <c r="G1774" s="900"/>
      <c r="H1774" s="901"/>
      <c r="I1774" s="902"/>
      <c r="J1774" s="902"/>
      <c r="K1774" s="912" t="s">
        <v>274</v>
      </c>
      <c r="L1774" s="902"/>
      <c r="M1774" s="902"/>
      <c r="N1774" s="902"/>
      <c r="O1774" s="892">
        <f t="shared" si="108"/>
        <v>0</v>
      </c>
      <c r="P1774" s="903">
        <f t="shared" si="109"/>
        <v>1</v>
      </c>
      <c r="Q1774" s="893">
        <f t="shared" si="110"/>
        <v>5</v>
      </c>
      <c r="R1774" s="894">
        <f t="shared" si="111"/>
        <v>0</v>
      </c>
    </row>
    <row r="1775" spans="1:18">
      <c r="A1775" s="905"/>
      <c r="B1775" s="906"/>
      <c r="C1775" s="907">
        <v>66</v>
      </c>
      <c r="D1775" s="907" t="s">
        <v>279</v>
      </c>
      <c r="E1775" s="925" t="s">
        <v>2682</v>
      </c>
      <c r="F1775" s="926" t="s">
        <v>45</v>
      </c>
      <c r="G1775" s="910"/>
      <c r="H1775" s="911">
        <v>0.01</v>
      </c>
      <c r="I1775" s="912">
        <f>VLOOKUP(E1775,[3]VLP!$B$7:$K$300,10,0)</f>
        <v>5000</v>
      </c>
      <c r="J1775" s="912">
        <f>I1775*H1775</f>
        <v>50</v>
      </c>
      <c r="K1775" s="912" t="s">
        <v>274</v>
      </c>
      <c r="L1775" s="912"/>
      <c r="M1775" s="912"/>
      <c r="N1775" s="912"/>
      <c r="O1775" s="892">
        <f t="shared" si="108"/>
        <v>0</v>
      </c>
      <c r="P1775" s="903">
        <f t="shared" si="109"/>
        <v>1</v>
      </c>
      <c r="Q1775" s="893">
        <f t="shared" si="110"/>
        <v>4</v>
      </c>
      <c r="R1775" s="894">
        <f t="shared" si="111"/>
        <v>0</v>
      </c>
    </row>
    <row r="1776" spans="1:18">
      <c r="A1776" s="905"/>
      <c r="B1776" s="906"/>
      <c r="C1776" s="907">
        <v>44</v>
      </c>
      <c r="D1776" s="907" t="s">
        <v>279</v>
      </c>
      <c r="E1776" s="925" t="s">
        <v>2681</v>
      </c>
      <c r="F1776" s="926" t="s">
        <v>45</v>
      </c>
      <c r="G1776" s="910"/>
      <c r="H1776" s="911">
        <v>0.05</v>
      </c>
      <c r="I1776" s="912">
        <f>VLOOKUP(E1776,[3]VLP!$B$7:$K$300,10,0)</f>
        <v>23000</v>
      </c>
      <c r="J1776" s="912">
        <f>I1776*H1776</f>
        <v>1150</v>
      </c>
      <c r="K1776" s="912" t="s">
        <v>274</v>
      </c>
      <c r="L1776" s="912"/>
      <c r="M1776" s="912"/>
      <c r="N1776" s="912"/>
      <c r="O1776" s="892">
        <f t="shared" si="108"/>
        <v>0</v>
      </c>
      <c r="P1776" s="903">
        <f t="shared" si="109"/>
        <v>1</v>
      </c>
      <c r="Q1776" s="893">
        <f t="shared" si="110"/>
        <v>3</v>
      </c>
      <c r="R1776" s="894">
        <f t="shared" si="111"/>
        <v>0</v>
      </c>
    </row>
    <row r="1777" spans="1:18" s="904" customFormat="1">
      <c r="A1777" s="895"/>
      <c r="B1777" s="896"/>
      <c r="C1777" s="897"/>
      <c r="D1777" s="897"/>
      <c r="E1777" s="924" t="s">
        <v>276</v>
      </c>
      <c r="F1777" s="927"/>
      <c r="G1777" s="928"/>
      <c r="H1777" s="901"/>
      <c r="I1777" s="902"/>
      <c r="J1777" s="902"/>
      <c r="K1777" s="912" t="s">
        <v>274</v>
      </c>
      <c r="L1777" s="902"/>
      <c r="M1777" s="902"/>
      <c r="N1777" s="902"/>
      <c r="O1777" s="892">
        <f t="shared" si="108"/>
        <v>0</v>
      </c>
      <c r="P1777" s="903">
        <f t="shared" si="109"/>
        <v>1</v>
      </c>
      <c r="Q1777" s="893">
        <f t="shared" si="110"/>
        <v>2</v>
      </c>
      <c r="R1777" s="894">
        <f t="shared" si="111"/>
        <v>0</v>
      </c>
    </row>
    <row r="1778" spans="1:18">
      <c r="A1778" s="905"/>
      <c r="B1778" s="906"/>
      <c r="C1778" s="907">
        <v>740</v>
      </c>
      <c r="D1778" s="907" t="s">
        <v>12</v>
      </c>
      <c r="E1778" s="908" t="s">
        <v>4008</v>
      </c>
      <c r="F1778" s="909" t="s">
        <v>2674</v>
      </c>
      <c r="G1778" s="910"/>
      <c r="H1778" s="911">
        <v>0.3</v>
      </c>
      <c r="I1778" s="912"/>
      <c r="J1778" s="912"/>
      <c r="K1778" s="912">
        <f>VLOOKUP(E1778,ĐMNC!$A$7:$F$67,4,0)</f>
        <v>252714</v>
      </c>
      <c r="L1778" s="912">
        <f>H1778*K1778</f>
        <v>75814.2</v>
      </c>
      <c r="M1778" s="912"/>
      <c r="N1778" s="912"/>
      <c r="O1778" s="892">
        <f t="shared" si="108"/>
        <v>0</v>
      </c>
      <c r="P1778" s="903">
        <f t="shared" si="109"/>
        <v>1</v>
      </c>
      <c r="Q1778" s="893">
        <f t="shared" si="110"/>
        <v>1</v>
      </c>
      <c r="R1778" s="894">
        <f t="shared" si="111"/>
        <v>0</v>
      </c>
    </row>
    <row r="1779" spans="1:18" s="847" customFormat="1" ht="31.5">
      <c r="A1779" s="905"/>
      <c r="B1779" s="914" t="s">
        <v>4525</v>
      </c>
      <c r="C1779" s="915"/>
      <c r="D1779" s="915"/>
      <c r="E1779" s="916" t="s">
        <v>4526</v>
      </c>
      <c r="F1779" s="917" t="s">
        <v>249</v>
      </c>
      <c r="G1779" s="918"/>
      <c r="H1779" s="919"/>
      <c r="I1779" s="920"/>
      <c r="J1779" s="891">
        <f>SUM(J1780:J1784)</f>
        <v>1200</v>
      </c>
      <c r="K1779" s="891"/>
      <c r="L1779" s="891">
        <f>SUM(L1780:L1784)</f>
        <v>88449.9</v>
      </c>
      <c r="M1779" s="891"/>
      <c r="N1779" s="891">
        <f>SUM(N1780:N1784)</f>
        <v>0</v>
      </c>
      <c r="O1779" s="892">
        <f t="shared" si="108"/>
        <v>1</v>
      </c>
      <c r="P1779" s="903">
        <f t="shared" si="109"/>
        <v>0</v>
      </c>
      <c r="Q1779" s="893">
        <f t="shared" si="110"/>
        <v>0</v>
      </c>
      <c r="R1779" s="894">
        <f t="shared" si="111"/>
        <v>5</v>
      </c>
    </row>
    <row r="1780" spans="1:18" s="904" customFormat="1">
      <c r="A1780" s="895"/>
      <c r="B1780" s="896"/>
      <c r="C1780" s="897"/>
      <c r="D1780" s="897"/>
      <c r="E1780" s="924" t="s">
        <v>108</v>
      </c>
      <c r="F1780" s="899"/>
      <c r="G1780" s="900"/>
      <c r="H1780" s="901"/>
      <c r="I1780" s="902"/>
      <c r="J1780" s="902"/>
      <c r="K1780" s="912" t="s">
        <v>274</v>
      </c>
      <c r="L1780" s="902"/>
      <c r="M1780" s="902"/>
      <c r="N1780" s="902"/>
      <c r="O1780" s="892">
        <f t="shared" si="108"/>
        <v>0</v>
      </c>
      <c r="P1780" s="903">
        <f t="shared" si="109"/>
        <v>1</v>
      </c>
      <c r="Q1780" s="893">
        <f t="shared" si="110"/>
        <v>5</v>
      </c>
      <c r="R1780" s="894">
        <f t="shared" si="111"/>
        <v>0</v>
      </c>
    </row>
    <row r="1781" spans="1:18">
      <c r="A1781" s="905"/>
      <c r="B1781" s="906"/>
      <c r="C1781" s="907">
        <v>66</v>
      </c>
      <c r="D1781" s="907" t="s">
        <v>279</v>
      </c>
      <c r="E1781" s="925" t="s">
        <v>2682</v>
      </c>
      <c r="F1781" s="926" t="s">
        <v>45</v>
      </c>
      <c r="G1781" s="910"/>
      <c r="H1781" s="911">
        <v>0.01</v>
      </c>
      <c r="I1781" s="912">
        <f>VLOOKUP(E1781,[3]VLP!$B$7:$K$300,10,0)</f>
        <v>5000</v>
      </c>
      <c r="J1781" s="912">
        <f>I1781*H1781</f>
        <v>50</v>
      </c>
      <c r="K1781" s="912" t="s">
        <v>274</v>
      </c>
      <c r="L1781" s="912"/>
      <c r="M1781" s="912"/>
      <c r="N1781" s="912"/>
      <c r="O1781" s="892">
        <f t="shared" si="108"/>
        <v>0</v>
      </c>
      <c r="P1781" s="903">
        <f t="shared" si="109"/>
        <v>1</v>
      </c>
      <c r="Q1781" s="893">
        <f t="shared" si="110"/>
        <v>4</v>
      </c>
      <c r="R1781" s="894">
        <f t="shared" si="111"/>
        <v>0</v>
      </c>
    </row>
    <row r="1782" spans="1:18">
      <c r="A1782" s="905"/>
      <c r="B1782" s="906"/>
      <c r="C1782" s="907">
        <v>44</v>
      </c>
      <c r="D1782" s="907" t="s">
        <v>279</v>
      </c>
      <c r="E1782" s="925" t="s">
        <v>2681</v>
      </c>
      <c r="F1782" s="926" t="s">
        <v>45</v>
      </c>
      <c r="G1782" s="910"/>
      <c r="H1782" s="911">
        <v>0.05</v>
      </c>
      <c r="I1782" s="912">
        <f>VLOOKUP(E1782,[3]VLP!$B$7:$K$300,10,0)</f>
        <v>23000</v>
      </c>
      <c r="J1782" s="912">
        <f>I1782*H1782</f>
        <v>1150</v>
      </c>
      <c r="K1782" s="912" t="s">
        <v>274</v>
      </c>
      <c r="L1782" s="912"/>
      <c r="M1782" s="912"/>
      <c r="N1782" s="912"/>
      <c r="O1782" s="892">
        <f t="shared" si="108"/>
        <v>0</v>
      </c>
      <c r="P1782" s="903">
        <f t="shared" si="109"/>
        <v>1</v>
      </c>
      <c r="Q1782" s="893">
        <f t="shared" si="110"/>
        <v>3</v>
      </c>
      <c r="R1782" s="894">
        <f t="shared" si="111"/>
        <v>0</v>
      </c>
    </row>
    <row r="1783" spans="1:18" s="904" customFormat="1">
      <c r="A1783" s="895"/>
      <c r="B1783" s="896"/>
      <c r="C1783" s="897"/>
      <c r="D1783" s="897"/>
      <c r="E1783" s="924" t="s">
        <v>276</v>
      </c>
      <c r="F1783" s="927"/>
      <c r="G1783" s="928"/>
      <c r="H1783" s="901"/>
      <c r="I1783" s="902"/>
      <c r="J1783" s="902"/>
      <c r="K1783" s="912" t="s">
        <v>274</v>
      </c>
      <c r="L1783" s="902"/>
      <c r="M1783" s="902"/>
      <c r="N1783" s="902"/>
      <c r="O1783" s="892">
        <f t="shared" si="108"/>
        <v>0</v>
      </c>
      <c r="P1783" s="903">
        <f t="shared" si="109"/>
        <v>1</v>
      </c>
      <c r="Q1783" s="893">
        <f t="shared" si="110"/>
        <v>2</v>
      </c>
      <c r="R1783" s="894">
        <f t="shared" si="111"/>
        <v>0</v>
      </c>
    </row>
    <row r="1784" spans="1:18">
      <c r="A1784" s="905"/>
      <c r="B1784" s="906"/>
      <c r="C1784" s="907">
        <v>740</v>
      </c>
      <c r="D1784" s="907" t="s">
        <v>12</v>
      </c>
      <c r="E1784" s="908" t="s">
        <v>4008</v>
      </c>
      <c r="F1784" s="909" t="s">
        <v>2674</v>
      </c>
      <c r="G1784" s="910"/>
      <c r="H1784" s="911">
        <v>0.35</v>
      </c>
      <c r="I1784" s="912"/>
      <c r="J1784" s="912"/>
      <c r="K1784" s="912">
        <f>VLOOKUP(E1784,ĐMNC!$A$7:$F$67,4,0)</f>
        <v>252714</v>
      </c>
      <c r="L1784" s="912">
        <f>H1784*K1784</f>
        <v>88449.9</v>
      </c>
      <c r="M1784" s="912"/>
      <c r="N1784" s="912"/>
      <c r="O1784" s="892">
        <f t="shared" si="108"/>
        <v>0</v>
      </c>
      <c r="P1784" s="903">
        <f t="shared" si="109"/>
        <v>1</v>
      </c>
      <c r="Q1784" s="893">
        <f t="shared" si="110"/>
        <v>1</v>
      </c>
      <c r="R1784" s="894">
        <f t="shared" si="111"/>
        <v>0</v>
      </c>
    </row>
    <row r="1785" spans="1:18" s="847" customFormat="1" ht="31.5">
      <c r="A1785" s="905"/>
      <c r="B1785" s="914" t="s">
        <v>4527</v>
      </c>
      <c r="C1785" s="915"/>
      <c r="D1785" s="915"/>
      <c r="E1785" s="916" t="s">
        <v>4528</v>
      </c>
      <c r="F1785" s="917" t="s">
        <v>249</v>
      </c>
      <c r="G1785" s="918"/>
      <c r="H1785" s="919"/>
      <c r="I1785" s="920"/>
      <c r="J1785" s="891">
        <f>SUM(J1786:J1790)</f>
        <v>1200</v>
      </c>
      <c r="K1785" s="891"/>
      <c r="L1785" s="891">
        <f>SUM(L1786:L1790)</f>
        <v>103612.73999999999</v>
      </c>
      <c r="M1785" s="891"/>
      <c r="N1785" s="891">
        <f>SUM(N1786:N1790)</f>
        <v>0</v>
      </c>
      <c r="O1785" s="892">
        <f t="shared" si="108"/>
        <v>1</v>
      </c>
      <c r="P1785" s="903">
        <f t="shared" si="109"/>
        <v>0</v>
      </c>
      <c r="Q1785" s="893">
        <f t="shared" si="110"/>
        <v>0</v>
      </c>
      <c r="R1785" s="894">
        <f t="shared" si="111"/>
        <v>5</v>
      </c>
    </row>
    <row r="1786" spans="1:18" s="904" customFormat="1">
      <c r="A1786" s="895"/>
      <c r="B1786" s="896"/>
      <c r="C1786" s="897"/>
      <c r="D1786" s="897"/>
      <c r="E1786" s="924" t="s">
        <v>108</v>
      </c>
      <c r="F1786" s="899"/>
      <c r="G1786" s="900"/>
      <c r="H1786" s="901"/>
      <c r="I1786" s="902"/>
      <c r="J1786" s="902"/>
      <c r="K1786" s="912" t="s">
        <v>274</v>
      </c>
      <c r="L1786" s="902"/>
      <c r="M1786" s="902"/>
      <c r="N1786" s="902"/>
      <c r="O1786" s="892">
        <f t="shared" si="108"/>
        <v>0</v>
      </c>
      <c r="P1786" s="903">
        <f t="shared" si="109"/>
        <v>1</v>
      </c>
      <c r="Q1786" s="893">
        <f t="shared" si="110"/>
        <v>5</v>
      </c>
      <c r="R1786" s="894">
        <f t="shared" si="111"/>
        <v>0</v>
      </c>
    </row>
    <row r="1787" spans="1:18">
      <c r="A1787" s="905"/>
      <c r="B1787" s="906"/>
      <c r="C1787" s="907">
        <v>66</v>
      </c>
      <c r="D1787" s="907" t="s">
        <v>279</v>
      </c>
      <c r="E1787" s="925" t="s">
        <v>2682</v>
      </c>
      <c r="F1787" s="926" t="s">
        <v>45</v>
      </c>
      <c r="G1787" s="910"/>
      <c r="H1787" s="911">
        <v>0.01</v>
      </c>
      <c r="I1787" s="912">
        <f>VLOOKUP(E1787,[3]VLP!$B$7:$K$300,10,0)</f>
        <v>5000</v>
      </c>
      <c r="J1787" s="912">
        <f>I1787*H1787</f>
        <v>50</v>
      </c>
      <c r="K1787" s="912" t="s">
        <v>274</v>
      </c>
      <c r="L1787" s="912"/>
      <c r="M1787" s="912"/>
      <c r="N1787" s="912"/>
      <c r="O1787" s="892">
        <f t="shared" si="108"/>
        <v>0</v>
      </c>
      <c r="P1787" s="903">
        <f t="shared" si="109"/>
        <v>1</v>
      </c>
      <c r="Q1787" s="893">
        <f t="shared" si="110"/>
        <v>4</v>
      </c>
      <c r="R1787" s="894">
        <f t="shared" si="111"/>
        <v>0</v>
      </c>
    </row>
    <row r="1788" spans="1:18">
      <c r="A1788" s="905"/>
      <c r="B1788" s="906"/>
      <c r="C1788" s="907">
        <v>44</v>
      </c>
      <c r="D1788" s="907" t="s">
        <v>279</v>
      </c>
      <c r="E1788" s="925" t="s">
        <v>2681</v>
      </c>
      <c r="F1788" s="926" t="s">
        <v>45</v>
      </c>
      <c r="G1788" s="910"/>
      <c r="H1788" s="911">
        <v>0.05</v>
      </c>
      <c r="I1788" s="912">
        <f>VLOOKUP(E1788,[3]VLP!$B$7:$K$300,10,0)</f>
        <v>23000</v>
      </c>
      <c r="J1788" s="912">
        <f>I1788*H1788</f>
        <v>1150</v>
      </c>
      <c r="K1788" s="912" t="s">
        <v>274</v>
      </c>
      <c r="L1788" s="912"/>
      <c r="M1788" s="912"/>
      <c r="N1788" s="912"/>
      <c r="O1788" s="892">
        <f t="shared" si="108"/>
        <v>0</v>
      </c>
      <c r="P1788" s="903">
        <f t="shared" si="109"/>
        <v>1</v>
      </c>
      <c r="Q1788" s="893">
        <f t="shared" si="110"/>
        <v>3</v>
      </c>
      <c r="R1788" s="894">
        <f t="shared" si="111"/>
        <v>0</v>
      </c>
    </row>
    <row r="1789" spans="1:18" s="904" customFormat="1">
      <c r="A1789" s="895"/>
      <c r="B1789" s="896"/>
      <c r="C1789" s="897"/>
      <c r="D1789" s="897"/>
      <c r="E1789" s="924" t="s">
        <v>276</v>
      </c>
      <c r="F1789" s="927"/>
      <c r="G1789" s="928"/>
      <c r="H1789" s="901"/>
      <c r="I1789" s="902"/>
      <c r="J1789" s="902"/>
      <c r="K1789" s="912" t="s">
        <v>274</v>
      </c>
      <c r="L1789" s="902"/>
      <c r="M1789" s="902"/>
      <c r="N1789" s="902"/>
      <c r="O1789" s="892">
        <f t="shared" si="108"/>
        <v>0</v>
      </c>
      <c r="P1789" s="903">
        <f t="shared" si="109"/>
        <v>1</v>
      </c>
      <c r="Q1789" s="893">
        <f t="shared" si="110"/>
        <v>2</v>
      </c>
      <c r="R1789" s="894">
        <f t="shared" si="111"/>
        <v>0</v>
      </c>
    </row>
    <row r="1790" spans="1:18">
      <c r="A1790" s="905"/>
      <c r="B1790" s="906"/>
      <c r="C1790" s="907">
        <v>740</v>
      </c>
      <c r="D1790" s="907" t="s">
        <v>12</v>
      </c>
      <c r="E1790" s="908" t="s">
        <v>4008</v>
      </c>
      <c r="F1790" s="909" t="s">
        <v>2674</v>
      </c>
      <c r="G1790" s="910"/>
      <c r="H1790" s="911">
        <v>0.41</v>
      </c>
      <c r="I1790" s="912"/>
      <c r="J1790" s="912"/>
      <c r="K1790" s="912">
        <f>VLOOKUP(E1790,ĐMNC!$A$7:$F$67,4,0)</f>
        <v>252714</v>
      </c>
      <c r="L1790" s="912">
        <f>H1790*K1790</f>
        <v>103612.73999999999</v>
      </c>
      <c r="M1790" s="912"/>
      <c r="N1790" s="912"/>
      <c r="O1790" s="892">
        <f t="shared" si="108"/>
        <v>0</v>
      </c>
      <c r="P1790" s="903">
        <f t="shared" si="109"/>
        <v>1</v>
      </c>
      <c r="Q1790" s="893">
        <f t="shared" si="110"/>
        <v>1</v>
      </c>
      <c r="R1790" s="894">
        <f t="shared" si="111"/>
        <v>0</v>
      </c>
    </row>
    <row r="1791" spans="1:18" s="847" customFormat="1" ht="31.5">
      <c r="A1791" s="905"/>
      <c r="B1791" s="914" t="s">
        <v>4529</v>
      </c>
      <c r="C1791" s="915"/>
      <c r="D1791" s="915"/>
      <c r="E1791" s="916" t="s">
        <v>4530</v>
      </c>
      <c r="F1791" s="917" t="s">
        <v>249</v>
      </c>
      <c r="G1791" s="918"/>
      <c r="H1791" s="919"/>
      <c r="I1791" s="920"/>
      <c r="J1791" s="891">
        <f>SUM(J1792:J1796)</f>
        <v>1200</v>
      </c>
      <c r="K1791" s="891"/>
      <c r="L1791" s="891">
        <f>SUM(L1792:L1796)</f>
        <v>113721.3</v>
      </c>
      <c r="M1791" s="891"/>
      <c r="N1791" s="891">
        <f>SUM(N1792:N1796)</f>
        <v>0</v>
      </c>
      <c r="O1791" s="892">
        <f t="shared" si="108"/>
        <v>1</v>
      </c>
      <c r="P1791" s="903">
        <f t="shared" si="109"/>
        <v>0</v>
      </c>
      <c r="Q1791" s="893">
        <f t="shared" si="110"/>
        <v>0</v>
      </c>
      <c r="R1791" s="894">
        <f t="shared" si="111"/>
        <v>5</v>
      </c>
    </row>
    <row r="1792" spans="1:18" s="904" customFormat="1">
      <c r="A1792" s="895"/>
      <c r="B1792" s="896"/>
      <c r="C1792" s="897"/>
      <c r="D1792" s="897"/>
      <c r="E1792" s="924" t="s">
        <v>108</v>
      </c>
      <c r="F1792" s="899"/>
      <c r="G1792" s="900"/>
      <c r="H1792" s="901"/>
      <c r="I1792" s="902"/>
      <c r="J1792" s="902"/>
      <c r="K1792" s="912" t="s">
        <v>274</v>
      </c>
      <c r="L1792" s="902"/>
      <c r="M1792" s="902"/>
      <c r="N1792" s="902"/>
      <c r="O1792" s="892">
        <f t="shared" si="108"/>
        <v>0</v>
      </c>
      <c r="P1792" s="903">
        <f t="shared" si="109"/>
        <v>1</v>
      </c>
      <c r="Q1792" s="893">
        <f t="shared" si="110"/>
        <v>5</v>
      </c>
      <c r="R1792" s="894">
        <f t="shared" si="111"/>
        <v>0</v>
      </c>
    </row>
    <row r="1793" spans="1:18">
      <c r="A1793" s="905"/>
      <c r="B1793" s="906"/>
      <c r="C1793" s="907">
        <v>66</v>
      </c>
      <c r="D1793" s="907" t="s">
        <v>279</v>
      </c>
      <c r="E1793" s="925" t="s">
        <v>2682</v>
      </c>
      <c r="F1793" s="926" t="s">
        <v>45</v>
      </c>
      <c r="G1793" s="910"/>
      <c r="H1793" s="911">
        <v>0.01</v>
      </c>
      <c r="I1793" s="912">
        <f>VLOOKUP(E1793,[3]VLP!$B$7:$K$300,10,0)</f>
        <v>5000</v>
      </c>
      <c r="J1793" s="912">
        <f>I1793*H1793</f>
        <v>50</v>
      </c>
      <c r="K1793" s="912" t="s">
        <v>274</v>
      </c>
      <c r="L1793" s="912"/>
      <c r="M1793" s="912"/>
      <c r="N1793" s="912"/>
      <c r="O1793" s="892">
        <f t="shared" si="108"/>
        <v>0</v>
      </c>
      <c r="P1793" s="903">
        <f t="shared" si="109"/>
        <v>1</v>
      </c>
      <c r="Q1793" s="893">
        <f t="shared" si="110"/>
        <v>4</v>
      </c>
      <c r="R1793" s="894">
        <f t="shared" si="111"/>
        <v>0</v>
      </c>
    </row>
    <row r="1794" spans="1:18">
      <c r="A1794" s="905"/>
      <c r="B1794" s="906"/>
      <c r="C1794" s="907">
        <v>44</v>
      </c>
      <c r="D1794" s="907" t="s">
        <v>279</v>
      </c>
      <c r="E1794" s="925" t="s">
        <v>2681</v>
      </c>
      <c r="F1794" s="926" t="s">
        <v>45</v>
      </c>
      <c r="G1794" s="910"/>
      <c r="H1794" s="911">
        <v>0.05</v>
      </c>
      <c r="I1794" s="912">
        <f>VLOOKUP(E1794,[3]VLP!$B$7:$K$300,10,0)</f>
        <v>23000</v>
      </c>
      <c r="J1794" s="912">
        <f>I1794*H1794</f>
        <v>1150</v>
      </c>
      <c r="K1794" s="912" t="s">
        <v>274</v>
      </c>
      <c r="L1794" s="912"/>
      <c r="M1794" s="912"/>
      <c r="N1794" s="912"/>
      <c r="O1794" s="892">
        <f t="shared" si="108"/>
        <v>0</v>
      </c>
      <c r="P1794" s="903">
        <f t="shared" si="109"/>
        <v>1</v>
      </c>
      <c r="Q1794" s="893">
        <f t="shared" si="110"/>
        <v>3</v>
      </c>
      <c r="R1794" s="894">
        <f t="shared" si="111"/>
        <v>0</v>
      </c>
    </row>
    <row r="1795" spans="1:18" s="904" customFormat="1">
      <c r="A1795" s="895"/>
      <c r="B1795" s="896"/>
      <c r="C1795" s="897"/>
      <c r="D1795" s="897"/>
      <c r="E1795" s="924" t="s">
        <v>276</v>
      </c>
      <c r="F1795" s="927"/>
      <c r="G1795" s="928"/>
      <c r="H1795" s="901"/>
      <c r="I1795" s="902"/>
      <c r="J1795" s="902"/>
      <c r="K1795" s="912" t="s">
        <v>274</v>
      </c>
      <c r="L1795" s="902"/>
      <c r="M1795" s="902"/>
      <c r="N1795" s="902"/>
      <c r="O1795" s="892">
        <f t="shared" si="108"/>
        <v>0</v>
      </c>
      <c r="P1795" s="903">
        <f t="shared" si="109"/>
        <v>1</v>
      </c>
      <c r="Q1795" s="893">
        <f t="shared" si="110"/>
        <v>2</v>
      </c>
      <c r="R1795" s="894">
        <f t="shared" si="111"/>
        <v>0</v>
      </c>
    </row>
    <row r="1796" spans="1:18">
      <c r="A1796" s="905"/>
      <c r="B1796" s="906"/>
      <c r="C1796" s="907">
        <v>740</v>
      </c>
      <c r="D1796" s="907" t="s">
        <v>12</v>
      </c>
      <c r="E1796" s="908" t="s">
        <v>4008</v>
      </c>
      <c r="F1796" s="909" t="s">
        <v>2674</v>
      </c>
      <c r="G1796" s="910"/>
      <c r="H1796" s="911">
        <v>0.45</v>
      </c>
      <c r="I1796" s="912"/>
      <c r="J1796" s="912"/>
      <c r="K1796" s="912">
        <f>VLOOKUP(E1796,ĐMNC!$A$7:$F$67,4,0)</f>
        <v>252714</v>
      </c>
      <c r="L1796" s="912">
        <f>H1796*K1796</f>
        <v>113721.3</v>
      </c>
      <c r="M1796" s="912"/>
      <c r="N1796" s="912"/>
      <c r="O1796" s="892">
        <f t="shared" si="108"/>
        <v>0</v>
      </c>
      <c r="P1796" s="903">
        <f t="shared" si="109"/>
        <v>1</v>
      </c>
      <c r="Q1796" s="893">
        <f t="shared" si="110"/>
        <v>1</v>
      </c>
      <c r="R1796" s="894">
        <f t="shared" si="111"/>
        <v>0</v>
      </c>
    </row>
    <row r="1797" spans="1:18" s="847" customFormat="1" ht="31.5">
      <c r="A1797" s="905"/>
      <c r="B1797" s="914" t="s">
        <v>4531</v>
      </c>
      <c r="C1797" s="915"/>
      <c r="D1797" s="915"/>
      <c r="E1797" s="916" t="s">
        <v>4532</v>
      </c>
      <c r="F1797" s="917" t="s">
        <v>249</v>
      </c>
      <c r="G1797" s="918"/>
      <c r="H1797" s="919"/>
      <c r="I1797" s="920"/>
      <c r="J1797" s="891">
        <f>SUM(J1798:J1802)</f>
        <v>1200</v>
      </c>
      <c r="K1797" s="891"/>
      <c r="L1797" s="891">
        <f>SUM(L1798:L1802)</f>
        <v>131411.28</v>
      </c>
      <c r="M1797" s="891"/>
      <c r="N1797" s="891">
        <f>SUM(N1798:N1802)</f>
        <v>0</v>
      </c>
      <c r="O1797" s="892">
        <f t="shared" si="108"/>
        <v>1</v>
      </c>
      <c r="P1797" s="903">
        <f t="shared" si="109"/>
        <v>0</v>
      </c>
      <c r="Q1797" s="893">
        <f t="shared" si="110"/>
        <v>0</v>
      </c>
      <c r="R1797" s="894">
        <f t="shared" si="111"/>
        <v>5</v>
      </c>
    </row>
    <row r="1798" spans="1:18" s="904" customFormat="1">
      <c r="A1798" s="895"/>
      <c r="B1798" s="896"/>
      <c r="C1798" s="897"/>
      <c r="D1798" s="897"/>
      <c r="E1798" s="924" t="s">
        <v>108</v>
      </c>
      <c r="F1798" s="899"/>
      <c r="G1798" s="900"/>
      <c r="H1798" s="901"/>
      <c r="I1798" s="902"/>
      <c r="J1798" s="902"/>
      <c r="K1798" s="912" t="s">
        <v>274</v>
      </c>
      <c r="L1798" s="902"/>
      <c r="M1798" s="902"/>
      <c r="N1798" s="902"/>
      <c r="O1798" s="892">
        <f t="shared" si="108"/>
        <v>0</v>
      </c>
      <c r="P1798" s="903">
        <f t="shared" si="109"/>
        <v>1</v>
      </c>
      <c r="Q1798" s="893">
        <f t="shared" si="110"/>
        <v>5</v>
      </c>
      <c r="R1798" s="894">
        <f t="shared" si="111"/>
        <v>0</v>
      </c>
    </row>
    <row r="1799" spans="1:18">
      <c r="A1799" s="905"/>
      <c r="B1799" s="906"/>
      <c r="C1799" s="907">
        <v>66</v>
      </c>
      <c r="D1799" s="907" t="s">
        <v>279</v>
      </c>
      <c r="E1799" s="925" t="s">
        <v>2682</v>
      </c>
      <c r="F1799" s="926" t="s">
        <v>45</v>
      </c>
      <c r="G1799" s="910"/>
      <c r="H1799" s="911">
        <v>0.01</v>
      </c>
      <c r="I1799" s="912">
        <f>VLOOKUP(E1799,[3]VLP!$B$7:$K$300,10,0)</f>
        <v>5000</v>
      </c>
      <c r="J1799" s="912">
        <f>I1799*H1799</f>
        <v>50</v>
      </c>
      <c r="K1799" s="912" t="s">
        <v>274</v>
      </c>
      <c r="L1799" s="912"/>
      <c r="M1799" s="912"/>
      <c r="N1799" s="912"/>
      <c r="O1799" s="892">
        <f t="shared" ref="O1799:O1863" si="112">IF(AND(B1799&lt;&gt;"",D1799=""),1,0)</f>
        <v>0</v>
      </c>
      <c r="P1799" s="903">
        <f t="shared" si="109"/>
        <v>1</v>
      </c>
      <c r="Q1799" s="893">
        <f t="shared" si="110"/>
        <v>4</v>
      </c>
      <c r="R1799" s="894">
        <f t="shared" si="111"/>
        <v>0</v>
      </c>
    </row>
    <row r="1800" spans="1:18">
      <c r="A1800" s="905"/>
      <c r="B1800" s="906"/>
      <c r="C1800" s="907">
        <v>44</v>
      </c>
      <c r="D1800" s="907" t="s">
        <v>279</v>
      </c>
      <c r="E1800" s="925" t="s">
        <v>2681</v>
      </c>
      <c r="F1800" s="926" t="s">
        <v>45</v>
      </c>
      <c r="G1800" s="910"/>
      <c r="H1800" s="911">
        <v>0.05</v>
      </c>
      <c r="I1800" s="912">
        <f>VLOOKUP(E1800,[3]VLP!$B$7:$K$300,10,0)</f>
        <v>23000</v>
      </c>
      <c r="J1800" s="912">
        <f>I1800*H1800</f>
        <v>1150</v>
      </c>
      <c r="K1800" s="912" t="s">
        <v>274</v>
      </c>
      <c r="L1800" s="912"/>
      <c r="M1800" s="912"/>
      <c r="N1800" s="912"/>
      <c r="O1800" s="892">
        <f t="shared" si="112"/>
        <v>0</v>
      </c>
      <c r="P1800" s="903">
        <f t="shared" si="109"/>
        <v>1</v>
      </c>
      <c r="Q1800" s="893">
        <f t="shared" si="110"/>
        <v>3</v>
      </c>
      <c r="R1800" s="894">
        <f t="shared" si="111"/>
        <v>0</v>
      </c>
    </row>
    <row r="1801" spans="1:18" s="904" customFormat="1">
      <c r="A1801" s="895"/>
      <c r="B1801" s="896"/>
      <c r="C1801" s="897"/>
      <c r="D1801" s="897"/>
      <c r="E1801" s="924" t="s">
        <v>276</v>
      </c>
      <c r="F1801" s="927"/>
      <c r="G1801" s="928"/>
      <c r="H1801" s="901"/>
      <c r="I1801" s="902"/>
      <c r="J1801" s="902"/>
      <c r="K1801" s="912" t="s">
        <v>274</v>
      </c>
      <c r="L1801" s="902"/>
      <c r="M1801" s="902"/>
      <c r="N1801" s="902"/>
      <c r="O1801" s="892">
        <f t="shared" si="112"/>
        <v>0</v>
      </c>
      <c r="P1801" s="903">
        <f t="shared" si="109"/>
        <v>1</v>
      </c>
      <c r="Q1801" s="893">
        <f t="shared" si="110"/>
        <v>2</v>
      </c>
      <c r="R1801" s="894">
        <f t="shared" si="111"/>
        <v>0</v>
      </c>
    </row>
    <row r="1802" spans="1:18">
      <c r="A1802" s="905"/>
      <c r="B1802" s="906"/>
      <c r="C1802" s="907">
        <v>740</v>
      </c>
      <c r="D1802" s="907" t="s">
        <v>12</v>
      </c>
      <c r="E1802" s="908" t="s">
        <v>4008</v>
      </c>
      <c r="F1802" s="909" t="s">
        <v>2674</v>
      </c>
      <c r="G1802" s="910"/>
      <c r="H1802" s="911">
        <v>0.52</v>
      </c>
      <c r="I1802" s="912"/>
      <c r="J1802" s="912"/>
      <c r="K1802" s="912">
        <f>VLOOKUP(E1802,ĐMNC!$A$7:$F$67,4,0)</f>
        <v>252714</v>
      </c>
      <c r="L1802" s="912">
        <f>H1802*K1802</f>
        <v>131411.28</v>
      </c>
      <c r="M1802" s="912"/>
      <c r="N1802" s="912"/>
      <c r="O1802" s="892">
        <f t="shared" si="112"/>
        <v>0</v>
      </c>
      <c r="P1802" s="903">
        <f t="shared" si="109"/>
        <v>1</v>
      </c>
      <c r="Q1802" s="893">
        <f t="shared" si="110"/>
        <v>1</v>
      </c>
      <c r="R1802" s="894">
        <f t="shared" si="111"/>
        <v>0</v>
      </c>
    </row>
    <row r="1803" spans="1:18" s="847" customFormat="1" ht="31.5">
      <c r="A1803" s="905"/>
      <c r="B1803" s="914" t="s">
        <v>4533</v>
      </c>
      <c r="C1803" s="915"/>
      <c r="D1803" s="915"/>
      <c r="E1803" s="916" t="s">
        <v>4534</v>
      </c>
      <c r="F1803" s="917" t="s">
        <v>249</v>
      </c>
      <c r="G1803" s="918"/>
      <c r="H1803" s="919"/>
      <c r="I1803" s="920"/>
      <c r="J1803" s="891">
        <f>SUM(J1804:J1808)</f>
        <v>1200</v>
      </c>
      <c r="K1803" s="891"/>
      <c r="L1803" s="891">
        <f>SUM(L1804:L1808)</f>
        <v>151628.4</v>
      </c>
      <c r="M1803" s="891"/>
      <c r="N1803" s="891">
        <f>SUM(N1804:N1808)</f>
        <v>0</v>
      </c>
      <c r="O1803" s="892">
        <f t="shared" si="112"/>
        <v>1</v>
      </c>
      <c r="P1803" s="903">
        <f t="shared" si="109"/>
        <v>0</v>
      </c>
      <c r="Q1803" s="893">
        <f t="shared" si="110"/>
        <v>0</v>
      </c>
      <c r="R1803" s="894">
        <f t="shared" si="111"/>
        <v>5</v>
      </c>
    </row>
    <row r="1804" spans="1:18" s="904" customFormat="1">
      <c r="A1804" s="895"/>
      <c r="B1804" s="896"/>
      <c r="C1804" s="897"/>
      <c r="D1804" s="897"/>
      <c r="E1804" s="924" t="s">
        <v>108</v>
      </c>
      <c r="F1804" s="899"/>
      <c r="G1804" s="900"/>
      <c r="H1804" s="901"/>
      <c r="I1804" s="902"/>
      <c r="J1804" s="902"/>
      <c r="K1804" s="912" t="s">
        <v>274</v>
      </c>
      <c r="L1804" s="902"/>
      <c r="M1804" s="902"/>
      <c r="N1804" s="902"/>
      <c r="O1804" s="892">
        <f t="shared" si="112"/>
        <v>0</v>
      </c>
      <c r="P1804" s="903">
        <f t="shared" si="109"/>
        <v>1</v>
      </c>
      <c r="Q1804" s="893">
        <f t="shared" si="110"/>
        <v>5</v>
      </c>
      <c r="R1804" s="894">
        <f t="shared" si="111"/>
        <v>0</v>
      </c>
    </row>
    <row r="1805" spans="1:18">
      <c r="A1805" s="905"/>
      <c r="B1805" s="906"/>
      <c r="C1805" s="907">
        <v>66</v>
      </c>
      <c r="D1805" s="907" t="s">
        <v>279</v>
      </c>
      <c r="E1805" s="925" t="s">
        <v>2682</v>
      </c>
      <c r="F1805" s="926" t="s">
        <v>45</v>
      </c>
      <c r="G1805" s="910"/>
      <c r="H1805" s="911">
        <v>0.01</v>
      </c>
      <c r="I1805" s="912">
        <f>VLOOKUP(E1805,[3]VLP!$B$7:$K$300,10,0)</f>
        <v>5000</v>
      </c>
      <c r="J1805" s="912">
        <f>I1805*H1805</f>
        <v>50</v>
      </c>
      <c r="K1805" s="912" t="s">
        <v>274</v>
      </c>
      <c r="L1805" s="912"/>
      <c r="M1805" s="912"/>
      <c r="N1805" s="912"/>
      <c r="O1805" s="892">
        <f t="shared" si="112"/>
        <v>0</v>
      </c>
      <c r="P1805" s="903">
        <f t="shared" si="109"/>
        <v>1</v>
      </c>
      <c r="Q1805" s="893">
        <f t="shared" si="110"/>
        <v>4</v>
      </c>
      <c r="R1805" s="894">
        <f t="shared" si="111"/>
        <v>0</v>
      </c>
    </row>
    <row r="1806" spans="1:18">
      <c r="A1806" s="905"/>
      <c r="B1806" s="906"/>
      <c r="C1806" s="907">
        <v>44</v>
      </c>
      <c r="D1806" s="907" t="s">
        <v>279</v>
      </c>
      <c r="E1806" s="925" t="s">
        <v>2681</v>
      </c>
      <c r="F1806" s="926" t="s">
        <v>45</v>
      </c>
      <c r="G1806" s="910"/>
      <c r="H1806" s="911">
        <v>0.05</v>
      </c>
      <c r="I1806" s="912">
        <f>VLOOKUP(E1806,[3]VLP!$B$7:$K$300,10,0)</f>
        <v>23000</v>
      </c>
      <c r="J1806" s="912">
        <f>I1806*H1806</f>
        <v>1150</v>
      </c>
      <c r="K1806" s="912" t="s">
        <v>274</v>
      </c>
      <c r="L1806" s="912"/>
      <c r="M1806" s="912"/>
      <c r="N1806" s="912"/>
      <c r="O1806" s="892">
        <f t="shared" si="112"/>
        <v>0</v>
      </c>
      <c r="P1806" s="903">
        <f t="shared" si="109"/>
        <v>1</v>
      </c>
      <c r="Q1806" s="893">
        <f t="shared" si="110"/>
        <v>3</v>
      </c>
      <c r="R1806" s="894">
        <f t="shared" si="111"/>
        <v>0</v>
      </c>
    </row>
    <row r="1807" spans="1:18" s="904" customFormat="1">
      <c r="A1807" s="895"/>
      <c r="B1807" s="896"/>
      <c r="C1807" s="897"/>
      <c r="D1807" s="897"/>
      <c r="E1807" s="924" t="s">
        <v>276</v>
      </c>
      <c r="F1807" s="927"/>
      <c r="G1807" s="928"/>
      <c r="H1807" s="901"/>
      <c r="I1807" s="902"/>
      <c r="J1807" s="902"/>
      <c r="K1807" s="912" t="s">
        <v>274</v>
      </c>
      <c r="L1807" s="902"/>
      <c r="M1807" s="902"/>
      <c r="N1807" s="902"/>
      <c r="O1807" s="892">
        <f t="shared" si="112"/>
        <v>0</v>
      </c>
      <c r="P1807" s="903">
        <f t="shared" si="109"/>
        <v>1</v>
      </c>
      <c r="Q1807" s="893">
        <f t="shared" si="110"/>
        <v>2</v>
      </c>
      <c r="R1807" s="894">
        <f t="shared" si="111"/>
        <v>0</v>
      </c>
    </row>
    <row r="1808" spans="1:18">
      <c r="A1808" s="905"/>
      <c r="B1808" s="906"/>
      <c r="C1808" s="907">
        <v>740</v>
      </c>
      <c r="D1808" s="907" t="s">
        <v>12</v>
      </c>
      <c r="E1808" s="908" t="s">
        <v>4008</v>
      </c>
      <c r="F1808" s="909" t="s">
        <v>2674</v>
      </c>
      <c r="G1808" s="910"/>
      <c r="H1808" s="911">
        <v>0.6</v>
      </c>
      <c r="I1808" s="912"/>
      <c r="J1808" s="912"/>
      <c r="K1808" s="912">
        <f>VLOOKUP(E1808,ĐMNC!$A$7:$F$67,4,0)</f>
        <v>252714</v>
      </c>
      <c r="L1808" s="912">
        <f>H1808*K1808</f>
        <v>151628.4</v>
      </c>
      <c r="M1808" s="912"/>
      <c r="N1808" s="912"/>
      <c r="O1808" s="892">
        <f t="shared" si="112"/>
        <v>0</v>
      </c>
      <c r="P1808" s="903">
        <f t="shared" ref="P1808:P1872" si="113">IF(O1808=0,1,0)</f>
        <v>1</v>
      </c>
      <c r="Q1808" s="893">
        <f t="shared" ref="Q1808:Q1872" si="114">IF(P1808=0,0,P1808+Q1809)</f>
        <v>1</v>
      </c>
      <c r="R1808" s="894">
        <f t="shared" ref="R1808:R1872" si="115">IF(Q1808=0,Q1809,0)</f>
        <v>0</v>
      </c>
    </row>
    <row r="1809" spans="1:18" s="847" customFormat="1" ht="31.5">
      <c r="A1809" s="905"/>
      <c r="B1809" s="914" t="s">
        <v>1165</v>
      </c>
      <c r="C1809" s="915"/>
      <c r="D1809" s="915"/>
      <c r="E1809" s="916" t="s">
        <v>4535</v>
      </c>
      <c r="F1809" s="917" t="s">
        <v>249</v>
      </c>
      <c r="G1809" s="918"/>
      <c r="H1809" s="919"/>
      <c r="I1809" s="920"/>
      <c r="J1809" s="891">
        <f>SUM(J1810:J1814)</f>
        <v>1825</v>
      </c>
      <c r="K1809" s="891"/>
      <c r="L1809" s="891">
        <f>SUM(L1810:L1814)</f>
        <v>113721.3</v>
      </c>
      <c r="M1809" s="891"/>
      <c r="N1809" s="891">
        <f>SUM(N1810:N1814)</f>
        <v>0</v>
      </c>
      <c r="O1809" s="892">
        <f t="shared" si="112"/>
        <v>1</v>
      </c>
      <c r="P1809" s="903">
        <f t="shared" si="113"/>
        <v>0</v>
      </c>
      <c r="Q1809" s="893">
        <f t="shared" si="114"/>
        <v>0</v>
      </c>
      <c r="R1809" s="894">
        <f t="shared" si="115"/>
        <v>5</v>
      </c>
    </row>
    <row r="1810" spans="1:18" s="904" customFormat="1">
      <c r="A1810" s="895"/>
      <c r="B1810" s="922"/>
      <c r="C1810" s="897"/>
      <c r="D1810" s="897"/>
      <c r="E1810" s="924" t="s">
        <v>108</v>
      </c>
      <c r="F1810" s="899"/>
      <c r="G1810" s="900"/>
      <c r="H1810" s="901"/>
      <c r="I1810" s="902"/>
      <c r="J1810" s="902"/>
      <c r="K1810" s="912" t="s">
        <v>274</v>
      </c>
      <c r="L1810" s="902"/>
      <c r="M1810" s="902"/>
      <c r="N1810" s="902"/>
      <c r="O1810" s="892">
        <f t="shared" si="112"/>
        <v>0</v>
      </c>
      <c r="P1810" s="903">
        <f t="shared" si="113"/>
        <v>1</v>
      </c>
      <c r="Q1810" s="893">
        <f t="shared" si="114"/>
        <v>5</v>
      </c>
      <c r="R1810" s="894">
        <f t="shared" si="115"/>
        <v>0</v>
      </c>
    </row>
    <row r="1811" spans="1:18">
      <c r="A1811" s="905"/>
      <c r="B1811" s="906"/>
      <c r="C1811" s="907">
        <v>66</v>
      </c>
      <c r="D1811" s="907" t="s">
        <v>279</v>
      </c>
      <c r="E1811" s="925" t="s">
        <v>2682</v>
      </c>
      <c r="F1811" s="926" t="s">
        <v>45</v>
      </c>
      <c r="G1811" s="910"/>
      <c r="H1811" s="911">
        <v>0.02</v>
      </c>
      <c r="I1811" s="912">
        <f>VLOOKUP(E1811,[3]VLP!$B$7:$K$300,10,0)</f>
        <v>5000</v>
      </c>
      <c r="J1811" s="912">
        <f>I1811*H1811</f>
        <v>100</v>
      </c>
      <c r="K1811" s="912" t="s">
        <v>274</v>
      </c>
      <c r="L1811" s="912"/>
      <c r="M1811" s="912"/>
      <c r="N1811" s="912"/>
      <c r="O1811" s="892">
        <f t="shared" si="112"/>
        <v>0</v>
      </c>
      <c r="P1811" s="903">
        <f t="shared" si="113"/>
        <v>1</v>
      </c>
      <c r="Q1811" s="893">
        <f t="shared" si="114"/>
        <v>4</v>
      </c>
      <c r="R1811" s="894">
        <f t="shared" si="115"/>
        <v>0</v>
      </c>
    </row>
    <row r="1812" spans="1:18">
      <c r="A1812" s="905"/>
      <c r="B1812" s="906"/>
      <c r="C1812" s="907">
        <v>44</v>
      </c>
      <c r="D1812" s="907" t="s">
        <v>279</v>
      </c>
      <c r="E1812" s="925" t="s">
        <v>2681</v>
      </c>
      <c r="F1812" s="926" t="s">
        <v>45</v>
      </c>
      <c r="G1812" s="910"/>
      <c r="H1812" s="911">
        <v>7.4999999999999997E-2</v>
      </c>
      <c r="I1812" s="912">
        <f>VLOOKUP(E1812,[3]VLP!$B$7:$K$300,10,0)</f>
        <v>23000</v>
      </c>
      <c r="J1812" s="912">
        <f>I1812*H1812</f>
        <v>1725</v>
      </c>
      <c r="K1812" s="912" t="s">
        <v>274</v>
      </c>
      <c r="L1812" s="912"/>
      <c r="M1812" s="912"/>
      <c r="N1812" s="912"/>
      <c r="O1812" s="892">
        <f t="shared" si="112"/>
        <v>0</v>
      </c>
      <c r="P1812" s="903">
        <f t="shared" si="113"/>
        <v>1</v>
      </c>
      <c r="Q1812" s="893">
        <f t="shared" si="114"/>
        <v>3</v>
      </c>
      <c r="R1812" s="894">
        <f t="shared" si="115"/>
        <v>0</v>
      </c>
    </row>
    <row r="1813" spans="1:18" s="904" customFormat="1">
      <c r="A1813" s="895"/>
      <c r="B1813" s="896"/>
      <c r="C1813" s="897"/>
      <c r="D1813" s="897"/>
      <c r="E1813" s="924" t="s">
        <v>276</v>
      </c>
      <c r="F1813" s="927"/>
      <c r="G1813" s="928"/>
      <c r="H1813" s="901"/>
      <c r="I1813" s="902"/>
      <c r="J1813" s="902"/>
      <c r="K1813" s="912" t="s">
        <v>274</v>
      </c>
      <c r="L1813" s="902"/>
      <c r="M1813" s="902"/>
      <c r="N1813" s="902"/>
      <c r="O1813" s="892">
        <f t="shared" si="112"/>
        <v>0</v>
      </c>
      <c r="P1813" s="903">
        <f t="shared" si="113"/>
        <v>1</v>
      </c>
      <c r="Q1813" s="893">
        <f t="shared" si="114"/>
        <v>2</v>
      </c>
      <c r="R1813" s="894">
        <f t="shared" si="115"/>
        <v>0</v>
      </c>
    </row>
    <row r="1814" spans="1:18">
      <c r="A1814" s="905"/>
      <c r="B1814" s="906"/>
      <c r="C1814" s="907">
        <v>740</v>
      </c>
      <c r="D1814" s="907" t="s">
        <v>12</v>
      </c>
      <c r="E1814" s="908" t="s">
        <v>4008</v>
      </c>
      <c r="F1814" s="909" t="s">
        <v>2674</v>
      </c>
      <c r="G1814" s="910"/>
      <c r="H1814" s="911">
        <v>0.45</v>
      </c>
      <c r="I1814" s="912"/>
      <c r="J1814" s="912"/>
      <c r="K1814" s="912">
        <f>VLOOKUP(E1814,ĐMNC!$A$7:$F$67,4,0)</f>
        <v>252714</v>
      </c>
      <c r="L1814" s="912">
        <f>H1814*K1814</f>
        <v>113721.3</v>
      </c>
      <c r="M1814" s="912"/>
      <c r="N1814" s="912"/>
      <c r="O1814" s="892">
        <f t="shared" si="112"/>
        <v>0</v>
      </c>
      <c r="P1814" s="903">
        <f t="shared" si="113"/>
        <v>1</v>
      </c>
      <c r="Q1814" s="893">
        <f t="shared" si="114"/>
        <v>1</v>
      </c>
      <c r="R1814" s="894">
        <f t="shared" si="115"/>
        <v>0</v>
      </c>
    </row>
    <row r="1815" spans="1:18" s="847" customFormat="1" ht="31.5">
      <c r="A1815" s="905"/>
      <c r="B1815" s="914" t="s">
        <v>4536</v>
      </c>
      <c r="C1815" s="915"/>
      <c r="D1815" s="915"/>
      <c r="E1815" s="916" t="s">
        <v>4537</v>
      </c>
      <c r="F1815" s="917" t="s">
        <v>249</v>
      </c>
      <c r="G1815" s="918"/>
      <c r="H1815" s="919"/>
      <c r="I1815" s="920"/>
      <c r="J1815" s="891">
        <f>SUM(J1816:J1820)</f>
        <v>1825</v>
      </c>
      <c r="K1815" s="891"/>
      <c r="L1815" s="891">
        <f>SUM(L1816:L1820)</f>
        <v>118775.57999999999</v>
      </c>
      <c r="M1815" s="891"/>
      <c r="N1815" s="891">
        <f>SUM(N1816:N1820)</f>
        <v>0</v>
      </c>
      <c r="O1815" s="892">
        <f t="shared" si="112"/>
        <v>1</v>
      </c>
      <c r="P1815" s="903">
        <f t="shared" si="113"/>
        <v>0</v>
      </c>
      <c r="Q1815" s="893">
        <f t="shared" si="114"/>
        <v>0</v>
      </c>
      <c r="R1815" s="894">
        <f t="shared" si="115"/>
        <v>5</v>
      </c>
    </row>
    <row r="1816" spans="1:18" s="904" customFormat="1">
      <c r="A1816" s="895"/>
      <c r="B1816" s="896"/>
      <c r="C1816" s="897"/>
      <c r="D1816" s="897"/>
      <c r="E1816" s="924" t="s">
        <v>108</v>
      </c>
      <c r="F1816" s="899"/>
      <c r="G1816" s="900"/>
      <c r="H1816" s="901"/>
      <c r="I1816" s="902"/>
      <c r="J1816" s="902"/>
      <c r="K1816" s="912" t="s">
        <v>274</v>
      </c>
      <c r="L1816" s="902"/>
      <c r="M1816" s="902"/>
      <c r="N1816" s="902"/>
      <c r="O1816" s="892">
        <f t="shared" si="112"/>
        <v>0</v>
      </c>
      <c r="P1816" s="903">
        <f t="shared" si="113"/>
        <v>1</v>
      </c>
      <c r="Q1816" s="893">
        <f t="shared" si="114"/>
        <v>5</v>
      </c>
      <c r="R1816" s="894">
        <f t="shared" si="115"/>
        <v>0</v>
      </c>
    </row>
    <row r="1817" spans="1:18">
      <c r="A1817" s="905"/>
      <c r="B1817" s="906"/>
      <c r="C1817" s="907">
        <v>66</v>
      </c>
      <c r="D1817" s="907" t="s">
        <v>279</v>
      </c>
      <c r="E1817" s="925" t="s">
        <v>2682</v>
      </c>
      <c r="F1817" s="926" t="s">
        <v>45</v>
      </c>
      <c r="G1817" s="910"/>
      <c r="H1817" s="911">
        <v>0.02</v>
      </c>
      <c r="I1817" s="912">
        <f>VLOOKUP(E1817,[3]VLP!$B$7:$K$300,10,0)</f>
        <v>5000</v>
      </c>
      <c r="J1817" s="912">
        <f>I1817*H1817</f>
        <v>100</v>
      </c>
      <c r="K1817" s="912" t="s">
        <v>274</v>
      </c>
      <c r="L1817" s="912"/>
      <c r="M1817" s="912"/>
      <c r="N1817" s="912"/>
      <c r="O1817" s="892">
        <f t="shared" si="112"/>
        <v>0</v>
      </c>
      <c r="P1817" s="903">
        <f t="shared" si="113"/>
        <v>1</v>
      </c>
      <c r="Q1817" s="893">
        <f t="shared" si="114"/>
        <v>4</v>
      </c>
      <c r="R1817" s="894">
        <f t="shared" si="115"/>
        <v>0</v>
      </c>
    </row>
    <row r="1818" spans="1:18">
      <c r="A1818" s="905"/>
      <c r="B1818" s="906"/>
      <c r="C1818" s="907">
        <v>44</v>
      </c>
      <c r="D1818" s="907" t="s">
        <v>279</v>
      </c>
      <c r="E1818" s="925" t="s">
        <v>2681</v>
      </c>
      <c r="F1818" s="926" t="s">
        <v>45</v>
      </c>
      <c r="G1818" s="910"/>
      <c r="H1818" s="911">
        <v>7.4999999999999997E-2</v>
      </c>
      <c r="I1818" s="912">
        <f>VLOOKUP(E1818,[3]VLP!$B$7:$K$300,10,0)</f>
        <v>23000</v>
      </c>
      <c r="J1818" s="912">
        <f>I1818*H1818</f>
        <v>1725</v>
      </c>
      <c r="K1818" s="912" t="s">
        <v>274</v>
      </c>
      <c r="L1818" s="912"/>
      <c r="M1818" s="912"/>
      <c r="N1818" s="912"/>
      <c r="O1818" s="892">
        <f t="shared" si="112"/>
        <v>0</v>
      </c>
      <c r="P1818" s="903">
        <f t="shared" si="113"/>
        <v>1</v>
      </c>
      <c r="Q1818" s="893">
        <f t="shared" si="114"/>
        <v>3</v>
      </c>
      <c r="R1818" s="894">
        <f t="shared" si="115"/>
        <v>0</v>
      </c>
    </row>
    <row r="1819" spans="1:18" s="904" customFormat="1">
      <c r="A1819" s="895"/>
      <c r="B1819" s="896"/>
      <c r="C1819" s="897"/>
      <c r="D1819" s="897"/>
      <c r="E1819" s="924" t="s">
        <v>276</v>
      </c>
      <c r="F1819" s="927"/>
      <c r="G1819" s="928"/>
      <c r="H1819" s="901"/>
      <c r="I1819" s="902"/>
      <c r="J1819" s="902"/>
      <c r="K1819" s="912" t="s">
        <v>274</v>
      </c>
      <c r="L1819" s="902"/>
      <c r="M1819" s="902"/>
      <c r="N1819" s="902"/>
      <c r="O1819" s="892">
        <f t="shared" si="112"/>
        <v>0</v>
      </c>
      <c r="P1819" s="903">
        <f t="shared" si="113"/>
        <v>1</v>
      </c>
      <c r="Q1819" s="893">
        <f t="shared" si="114"/>
        <v>2</v>
      </c>
      <c r="R1819" s="894">
        <f t="shared" si="115"/>
        <v>0</v>
      </c>
    </row>
    <row r="1820" spans="1:18">
      <c r="A1820" s="905"/>
      <c r="B1820" s="906"/>
      <c r="C1820" s="907">
        <v>740</v>
      </c>
      <c r="D1820" s="907" t="s">
        <v>12</v>
      </c>
      <c r="E1820" s="908" t="s">
        <v>4008</v>
      </c>
      <c r="F1820" s="909" t="s">
        <v>2674</v>
      </c>
      <c r="G1820" s="910"/>
      <c r="H1820" s="911">
        <v>0.47</v>
      </c>
      <c r="I1820" s="912"/>
      <c r="J1820" s="912"/>
      <c r="K1820" s="912">
        <f>VLOOKUP(E1820,ĐMNC!$A$7:$F$67,4,0)</f>
        <v>252714</v>
      </c>
      <c r="L1820" s="912">
        <f>H1820*K1820</f>
        <v>118775.57999999999</v>
      </c>
      <c r="M1820" s="912"/>
      <c r="N1820" s="912"/>
      <c r="O1820" s="892">
        <f t="shared" si="112"/>
        <v>0</v>
      </c>
      <c r="P1820" s="903">
        <f t="shared" si="113"/>
        <v>1</v>
      </c>
      <c r="Q1820" s="893">
        <f t="shared" si="114"/>
        <v>1</v>
      </c>
      <c r="R1820" s="894">
        <f t="shared" si="115"/>
        <v>0</v>
      </c>
    </row>
    <row r="1821" spans="1:18" s="847" customFormat="1" ht="31.5">
      <c r="A1821" s="905"/>
      <c r="B1821" s="914" t="s">
        <v>4538</v>
      </c>
      <c r="C1821" s="915"/>
      <c r="D1821" s="915"/>
      <c r="E1821" s="916" t="s">
        <v>4539</v>
      </c>
      <c r="F1821" s="917" t="s">
        <v>249</v>
      </c>
      <c r="G1821" s="918"/>
      <c r="H1821" s="919"/>
      <c r="I1821" s="920"/>
      <c r="J1821" s="891">
        <f>SUM(J1822:J1826)</f>
        <v>1825</v>
      </c>
      <c r="K1821" s="891"/>
      <c r="L1821" s="891">
        <f>SUM(L1822:L1826)</f>
        <v>133938.42000000001</v>
      </c>
      <c r="M1821" s="891"/>
      <c r="N1821" s="891">
        <f>SUM(N1822:N1826)</f>
        <v>0</v>
      </c>
      <c r="O1821" s="892">
        <f t="shared" si="112"/>
        <v>1</v>
      </c>
      <c r="P1821" s="903">
        <f t="shared" si="113"/>
        <v>0</v>
      </c>
      <c r="Q1821" s="893">
        <f t="shared" si="114"/>
        <v>0</v>
      </c>
      <c r="R1821" s="894">
        <f t="shared" si="115"/>
        <v>5</v>
      </c>
    </row>
    <row r="1822" spans="1:18" s="904" customFormat="1">
      <c r="A1822" s="895"/>
      <c r="B1822" s="896"/>
      <c r="C1822" s="897"/>
      <c r="D1822" s="897"/>
      <c r="E1822" s="924" t="s">
        <v>108</v>
      </c>
      <c r="F1822" s="899"/>
      <c r="G1822" s="900"/>
      <c r="H1822" s="901"/>
      <c r="I1822" s="902"/>
      <c r="J1822" s="902"/>
      <c r="K1822" s="912" t="s">
        <v>274</v>
      </c>
      <c r="L1822" s="902"/>
      <c r="M1822" s="902"/>
      <c r="N1822" s="902"/>
      <c r="O1822" s="892">
        <f t="shared" si="112"/>
        <v>0</v>
      </c>
      <c r="P1822" s="903">
        <f t="shared" si="113"/>
        <v>1</v>
      </c>
      <c r="Q1822" s="893">
        <f t="shared" si="114"/>
        <v>5</v>
      </c>
      <c r="R1822" s="894">
        <f t="shared" si="115"/>
        <v>0</v>
      </c>
    </row>
    <row r="1823" spans="1:18">
      <c r="A1823" s="905"/>
      <c r="B1823" s="906"/>
      <c r="C1823" s="907">
        <v>66</v>
      </c>
      <c r="D1823" s="907" t="s">
        <v>279</v>
      </c>
      <c r="E1823" s="925" t="s">
        <v>2682</v>
      </c>
      <c r="F1823" s="926" t="s">
        <v>45</v>
      </c>
      <c r="G1823" s="910"/>
      <c r="H1823" s="911">
        <v>0.02</v>
      </c>
      <c r="I1823" s="912">
        <f>VLOOKUP(E1823,[3]VLP!$B$7:$K$300,10,0)</f>
        <v>5000</v>
      </c>
      <c r="J1823" s="912">
        <f>I1823*H1823</f>
        <v>100</v>
      </c>
      <c r="K1823" s="912" t="s">
        <v>274</v>
      </c>
      <c r="L1823" s="912"/>
      <c r="M1823" s="912"/>
      <c r="N1823" s="912"/>
      <c r="O1823" s="892">
        <f t="shared" si="112"/>
        <v>0</v>
      </c>
      <c r="P1823" s="903">
        <f t="shared" si="113"/>
        <v>1</v>
      </c>
      <c r="Q1823" s="893">
        <f t="shared" si="114"/>
        <v>4</v>
      </c>
      <c r="R1823" s="894">
        <f t="shared" si="115"/>
        <v>0</v>
      </c>
    </row>
    <row r="1824" spans="1:18">
      <c r="A1824" s="905"/>
      <c r="B1824" s="906"/>
      <c r="C1824" s="907">
        <v>44</v>
      </c>
      <c r="D1824" s="907" t="s">
        <v>279</v>
      </c>
      <c r="E1824" s="925" t="s">
        <v>2681</v>
      </c>
      <c r="F1824" s="926" t="s">
        <v>45</v>
      </c>
      <c r="G1824" s="910"/>
      <c r="H1824" s="911">
        <v>7.4999999999999997E-2</v>
      </c>
      <c r="I1824" s="912">
        <f>VLOOKUP(E1824,[3]VLP!$B$7:$K$300,10,0)</f>
        <v>23000</v>
      </c>
      <c r="J1824" s="912">
        <f>I1824*H1824</f>
        <v>1725</v>
      </c>
      <c r="K1824" s="912" t="s">
        <v>274</v>
      </c>
      <c r="L1824" s="912"/>
      <c r="M1824" s="912"/>
      <c r="N1824" s="912"/>
      <c r="O1824" s="892">
        <f t="shared" si="112"/>
        <v>0</v>
      </c>
      <c r="P1824" s="903">
        <f t="shared" si="113"/>
        <v>1</v>
      </c>
      <c r="Q1824" s="893">
        <f t="shared" si="114"/>
        <v>3</v>
      </c>
      <c r="R1824" s="894">
        <f t="shared" si="115"/>
        <v>0</v>
      </c>
    </row>
    <row r="1825" spans="1:18" s="904" customFormat="1">
      <c r="A1825" s="895"/>
      <c r="B1825" s="896"/>
      <c r="C1825" s="897"/>
      <c r="D1825" s="897"/>
      <c r="E1825" s="924" t="s">
        <v>276</v>
      </c>
      <c r="F1825" s="927"/>
      <c r="G1825" s="928"/>
      <c r="H1825" s="901"/>
      <c r="I1825" s="902"/>
      <c r="J1825" s="902"/>
      <c r="K1825" s="912" t="s">
        <v>274</v>
      </c>
      <c r="L1825" s="902"/>
      <c r="M1825" s="902"/>
      <c r="N1825" s="902"/>
      <c r="O1825" s="892">
        <f t="shared" si="112"/>
        <v>0</v>
      </c>
      <c r="P1825" s="903">
        <f t="shared" si="113"/>
        <v>1</v>
      </c>
      <c r="Q1825" s="893">
        <f t="shared" si="114"/>
        <v>2</v>
      </c>
      <c r="R1825" s="894">
        <f t="shared" si="115"/>
        <v>0</v>
      </c>
    </row>
    <row r="1826" spans="1:18">
      <c r="A1826" s="905"/>
      <c r="B1826" s="906"/>
      <c r="C1826" s="907">
        <v>740</v>
      </c>
      <c r="D1826" s="907" t="s">
        <v>12</v>
      </c>
      <c r="E1826" s="908" t="s">
        <v>4008</v>
      </c>
      <c r="F1826" s="909" t="s">
        <v>2674</v>
      </c>
      <c r="G1826" s="910"/>
      <c r="H1826" s="911">
        <v>0.53</v>
      </c>
      <c r="I1826" s="912"/>
      <c r="J1826" s="912"/>
      <c r="K1826" s="912">
        <f>VLOOKUP(E1826,ĐMNC!$A$7:$F$67,4,0)</f>
        <v>252714</v>
      </c>
      <c r="L1826" s="912">
        <f>H1826*K1826</f>
        <v>133938.42000000001</v>
      </c>
      <c r="M1826" s="912"/>
      <c r="N1826" s="912"/>
      <c r="O1826" s="892">
        <f t="shared" si="112"/>
        <v>0</v>
      </c>
      <c r="P1826" s="903">
        <f t="shared" si="113"/>
        <v>1</v>
      </c>
      <c r="Q1826" s="893">
        <f t="shared" si="114"/>
        <v>1</v>
      </c>
      <c r="R1826" s="894">
        <f t="shared" si="115"/>
        <v>0</v>
      </c>
    </row>
    <row r="1827" spans="1:18" s="847" customFormat="1" ht="31.5">
      <c r="A1827" s="905"/>
      <c r="B1827" s="914" t="s">
        <v>4540</v>
      </c>
      <c r="C1827" s="915"/>
      <c r="D1827" s="915"/>
      <c r="E1827" s="916" t="s">
        <v>4541</v>
      </c>
      <c r="F1827" s="917" t="s">
        <v>249</v>
      </c>
      <c r="G1827" s="918"/>
      <c r="H1827" s="919"/>
      <c r="I1827" s="920"/>
      <c r="J1827" s="891">
        <f>SUM(J1828:J1832)</f>
        <v>1825</v>
      </c>
      <c r="K1827" s="891"/>
      <c r="L1827" s="891">
        <f>SUM(L1828:L1832)</f>
        <v>151628.4</v>
      </c>
      <c r="M1827" s="891"/>
      <c r="N1827" s="891">
        <f>SUM(N1828:N1832)</f>
        <v>0</v>
      </c>
      <c r="O1827" s="892">
        <f t="shared" si="112"/>
        <v>1</v>
      </c>
      <c r="P1827" s="903">
        <f t="shared" si="113"/>
        <v>0</v>
      </c>
      <c r="Q1827" s="893">
        <f t="shared" si="114"/>
        <v>0</v>
      </c>
      <c r="R1827" s="894">
        <f t="shared" si="115"/>
        <v>5</v>
      </c>
    </row>
    <row r="1828" spans="1:18" s="904" customFormat="1">
      <c r="A1828" s="895"/>
      <c r="B1828" s="896"/>
      <c r="C1828" s="897"/>
      <c r="D1828" s="897"/>
      <c r="E1828" s="924" t="s">
        <v>108</v>
      </c>
      <c r="F1828" s="899"/>
      <c r="G1828" s="900"/>
      <c r="H1828" s="901"/>
      <c r="I1828" s="902"/>
      <c r="J1828" s="902"/>
      <c r="K1828" s="912" t="s">
        <v>274</v>
      </c>
      <c r="L1828" s="902"/>
      <c r="M1828" s="902"/>
      <c r="N1828" s="902"/>
      <c r="O1828" s="892">
        <f t="shared" si="112"/>
        <v>0</v>
      </c>
      <c r="P1828" s="903">
        <f t="shared" si="113"/>
        <v>1</v>
      </c>
      <c r="Q1828" s="893">
        <f t="shared" si="114"/>
        <v>5</v>
      </c>
      <c r="R1828" s="894">
        <f t="shared" si="115"/>
        <v>0</v>
      </c>
    </row>
    <row r="1829" spans="1:18">
      <c r="A1829" s="905"/>
      <c r="B1829" s="906"/>
      <c r="C1829" s="907">
        <v>66</v>
      </c>
      <c r="D1829" s="907" t="s">
        <v>279</v>
      </c>
      <c r="E1829" s="925" t="s">
        <v>2682</v>
      </c>
      <c r="F1829" s="926" t="s">
        <v>45</v>
      </c>
      <c r="G1829" s="910"/>
      <c r="H1829" s="911">
        <v>0.02</v>
      </c>
      <c r="I1829" s="912">
        <f>VLOOKUP(E1829,[3]VLP!$B$7:$K$300,10,0)</f>
        <v>5000</v>
      </c>
      <c r="J1829" s="912">
        <f>I1829*H1829</f>
        <v>100</v>
      </c>
      <c r="K1829" s="912" t="s">
        <v>274</v>
      </c>
      <c r="L1829" s="912"/>
      <c r="M1829" s="912"/>
      <c r="N1829" s="912"/>
      <c r="O1829" s="892">
        <f t="shared" si="112"/>
        <v>0</v>
      </c>
      <c r="P1829" s="903">
        <f t="shared" si="113"/>
        <v>1</v>
      </c>
      <c r="Q1829" s="893">
        <f t="shared" si="114"/>
        <v>4</v>
      </c>
      <c r="R1829" s="894">
        <f t="shared" si="115"/>
        <v>0</v>
      </c>
    </row>
    <row r="1830" spans="1:18">
      <c r="A1830" s="905"/>
      <c r="B1830" s="906"/>
      <c r="C1830" s="907">
        <v>44</v>
      </c>
      <c r="D1830" s="907" t="s">
        <v>279</v>
      </c>
      <c r="E1830" s="925" t="s">
        <v>2681</v>
      </c>
      <c r="F1830" s="926" t="s">
        <v>45</v>
      </c>
      <c r="G1830" s="910"/>
      <c r="H1830" s="911">
        <v>7.4999999999999997E-2</v>
      </c>
      <c r="I1830" s="912">
        <f>VLOOKUP(E1830,[3]VLP!$B$7:$K$300,10,0)</f>
        <v>23000</v>
      </c>
      <c r="J1830" s="912">
        <f>I1830*H1830</f>
        <v>1725</v>
      </c>
      <c r="K1830" s="912" t="s">
        <v>274</v>
      </c>
      <c r="L1830" s="912"/>
      <c r="M1830" s="912"/>
      <c r="N1830" s="912"/>
      <c r="O1830" s="892">
        <f t="shared" si="112"/>
        <v>0</v>
      </c>
      <c r="P1830" s="903">
        <f t="shared" si="113"/>
        <v>1</v>
      </c>
      <c r="Q1830" s="893">
        <f t="shared" si="114"/>
        <v>3</v>
      </c>
      <c r="R1830" s="894">
        <f t="shared" si="115"/>
        <v>0</v>
      </c>
    </row>
    <row r="1831" spans="1:18" s="904" customFormat="1">
      <c r="A1831" s="895"/>
      <c r="B1831" s="896"/>
      <c r="C1831" s="897"/>
      <c r="D1831" s="897"/>
      <c r="E1831" s="924" t="s">
        <v>276</v>
      </c>
      <c r="F1831" s="927"/>
      <c r="G1831" s="928"/>
      <c r="H1831" s="901"/>
      <c r="I1831" s="902"/>
      <c r="J1831" s="902"/>
      <c r="K1831" s="912" t="s">
        <v>274</v>
      </c>
      <c r="L1831" s="902"/>
      <c r="M1831" s="902"/>
      <c r="N1831" s="902"/>
      <c r="O1831" s="892">
        <f t="shared" si="112"/>
        <v>0</v>
      </c>
      <c r="P1831" s="903">
        <f t="shared" si="113"/>
        <v>1</v>
      </c>
      <c r="Q1831" s="893">
        <f t="shared" si="114"/>
        <v>2</v>
      </c>
      <c r="R1831" s="894">
        <f t="shared" si="115"/>
        <v>0</v>
      </c>
    </row>
    <row r="1832" spans="1:18">
      <c r="A1832" s="905"/>
      <c r="B1832" s="906"/>
      <c r="C1832" s="907">
        <v>740</v>
      </c>
      <c r="D1832" s="907" t="s">
        <v>12</v>
      </c>
      <c r="E1832" s="908" t="s">
        <v>4008</v>
      </c>
      <c r="F1832" s="909" t="s">
        <v>2674</v>
      </c>
      <c r="G1832" s="910"/>
      <c r="H1832" s="911">
        <v>0.6</v>
      </c>
      <c r="I1832" s="912"/>
      <c r="J1832" s="912"/>
      <c r="K1832" s="912">
        <f>VLOOKUP(E1832,ĐMNC!$A$7:$F$67,4,0)</f>
        <v>252714</v>
      </c>
      <c r="L1832" s="912">
        <f>H1832*K1832</f>
        <v>151628.4</v>
      </c>
      <c r="M1832" s="912"/>
      <c r="N1832" s="912"/>
      <c r="O1832" s="892">
        <f t="shared" si="112"/>
        <v>0</v>
      </c>
      <c r="P1832" s="903">
        <f t="shared" si="113"/>
        <v>1</v>
      </c>
      <c r="Q1832" s="893">
        <f t="shared" si="114"/>
        <v>1</v>
      </c>
      <c r="R1832" s="894">
        <f t="shared" si="115"/>
        <v>0</v>
      </c>
    </row>
    <row r="1833" spans="1:18" s="847" customFormat="1" ht="31.5">
      <c r="A1833" s="905"/>
      <c r="B1833" s="914" t="s">
        <v>4542</v>
      </c>
      <c r="C1833" s="915"/>
      <c r="D1833" s="915"/>
      <c r="E1833" s="916" t="s">
        <v>4543</v>
      </c>
      <c r="F1833" s="917" t="s">
        <v>249</v>
      </c>
      <c r="G1833" s="918"/>
      <c r="H1833" s="919"/>
      <c r="I1833" s="920"/>
      <c r="J1833" s="891">
        <f>SUM(J1834:J1838)</f>
        <v>1825</v>
      </c>
      <c r="K1833" s="891"/>
      <c r="L1833" s="891">
        <f>SUM(L1834:L1838)</f>
        <v>166791.24000000002</v>
      </c>
      <c r="M1833" s="891"/>
      <c r="N1833" s="891">
        <f>SUM(N1834:N1838)</f>
        <v>0</v>
      </c>
      <c r="O1833" s="892">
        <f t="shared" si="112"/>
        <v>1</v>
      </c>
      <c r="P1833" s="903">
        <f t="shared" si="113"/>
        <v>0</v>
      </c>
      <c r="Q1833" s="893">
        <f t="shared" si="114"/>
        <v>0</v>
      </c>
      <c r="R1833" s="894">
        <f t="shared" si="115"/>
        <v>5</v>
      </c>
    </row>
    <row r="1834" spans="1:18" s="904" customFormat="1">
      <c r="A1834" s="895"/>
      <c r="B1834" s="896"/>
      <c r="C1834" s="897"/>
      <c r="D1834" s="897"/>
      <c r="E1834" s="924" t="s">
        <v>108</v>
      </c>
      <c r="F1834" s="899"/>
      <c r="G1834" s="900"/>
      <c r="H1834" s="901"/>
      <c r="I1834" s="902"/>
      <c r="J1834" s="902"/>
      <c r="K1834" s="912" t="s">
        <v>274</v>
      </c>
      <c r="L1834" s="902"/>
      <c r="M1834" s="902"/>
      <c r="N1834" s="902"/>
      <c r="O1834" s="892">
        <f t="shared" si="112"/>
        <v>0</v>
      </c>
      <c r="P1834" s="903">
        <f t="shared" si="113"/>
        <v>1</v>
      </c>
      <c r="Q1834" s="893">
        <f t="shared" si="114"/>
        <v>5</v>
      </c>
      <c r="R1834" s="894">
        <f t="shared" si="115"/>
        <v>0</v>
      </c>
    </row>
    <row r="1835" spans="1:18">
      <c r="A1835" s="905"/>
      <c r="B1835" s="906"/>
      <c r="C1835" s="907">
        <v>66</v>
      </c>
      <c r="D1835" s="907" t="s">
        <v>279</v>
      </c>
      <c r="E1835" s="925" t="s">
        <v>2682</v>
      </c>
      <c r="F1835" s="926" t="s">
        <v>45</v>
      </c>
      <c r="G1835" s="910"/>
      <c r="H1835" s="911">
        <v>0.02</v>
      </c>
      <c r="I1835" s="912">
        <f>VLOOKUP(E1835,[3]VLP!$B$7:$K$300,10,0)</f>
        <v>5000</v>
      </c>
      <c r="J1835" s="912">
        <f>I1835*H1835</f>
        <v>100</v>
      </c>
      <c r="K1835" s="912" t="s">
        <v>274</v>
      </c>
      <c r="L1835" s="912"/>
      <c r="M1835" s="912"/>
      <c r="N1835" s="912"/>
      <c r="O1835" s="892">
        <f t="shared" si="112"/>
        <v>0</v>
      </c>
      <c r="P1835" s="903">
        <f t="shared" si="113"/>
        <v>1</v>
      </c>
      <c r="Q1835" s="893">
        <f t="shared" si="114"/>
        <v>4</v>
      </c>
      <c r="R1835" s="894">
        <f t="shared" si="115"/>
        <v>0</v>
      </c>
    </row>
    <row r="1836" spans="1:18">
      <c r="A1836" s="905"/>
      <c r="B1836" s="906"/>
      <c r="C1836" s="907">
        <v>44</v>
      </c>
      <c r="D1836" s="907" t="s">
        <v>279</v>
      </c>
      <c r="E1836" s="925" t="s">
        <v>2681</v>
      </c>
      <c r="F1836" s="926" t="s">
        <v>45</v>
      </c>
      <c r="G1836" s="910"/>
      <c r="H1836" s="911">
        <v>7.4999999999999997E-2</v>
      </c>
      <c r="I1836" s="912">
        <f>VLOOKUP(E1836,[3]VLP!$B$7:$K$300,10,0)</f>
        <v>23000</v>
      </c>
      <c r="J1836" s="912">
        <f>I1836*H1836</f>
        <v>1725</v>
      </c>
      <c r="K1836" s="912" t="s">
        <v>274</v>
      </c>
      <c r="L1836" s="912"/>
      <c r="M1836" s="912"/>
      <c r="N1836" s="912"/>
      <c r="O1836" s="892">
        <f t="shared" si="112"/>
        <v>0</v>
      </c>
      <c r="P1836" s="903">
        <f t="shared" si="113"/>
        <v>1</v>
      </c>
      <c r="Q1836" s="893">
        <f t="shared" si="114"/>
        <v>3</v>
      </c>
      <c r="R1836" s="894">
        <f t="shared" si="115"/>
        <v>0</v>
      </c>
    </row>
    <row r="1837" spans="1:18" s="904" customFormat="1">
      <c r="A1837" s="895"/>
      <c r="B1837" s="896"/>
      <c r="C1837" s="897"/>
      <c r="D1837" s="897"/>
      <c r="E1837" s="924" t="s">
        <v>276</v>
      </c>
      <c r="F1837" s="927"/>
      <c r="G1837" s="928"/>
      <c r="H1837" s="901"/>
      <c r="I1837" s="902"/>
      <c r="J1837" s="902"/>
      <c r="K1837" s="912" t="s">
        <v>274</v>
      </c>
      <c r="L1837" s="902"/>
      <c r="M1837" s="902"/>
      <c r="N1837" s="902"/>
      <c r="O1837" s="892">
        <f t="shared" si="112"/>
        <v>0</v>
      </c>
      <c r="P1837" s="903">
        <f t="shared" si="113"/>
        <v>1</v>
      </c>
      <c r="Q1837" s="893">
        <f t="shared" si="114"/>
        <v>2</v>
      </c>
      <c r="R1837" s="894">
        <f t="shared" si="115"/>
        <v>0</v>
      </c>
    </row>
    <row r="1838" spans="1:18">
      <c r="A1838" s="905"/>
      <c r="B1838" s="906"/>
      <c r="C1838" s="907">
        <v>740</v>
      </c>
      <c r="D1838" s="907" t="s">
        <v>12</v>
      </c>
      <c r="E1838" s="908" t="s">
        <v>4008</v>
      </c>
      <c r="F1838" s="909" t="s">
        <v>2674</v>
      </c>
      <c r="G1838" s="910"/>
      <c r="H1838" s="911">
        <v>0.66</v>
      </c>
      <c r="I1838" s="912"/>
      <c r="J1838" s="912"/>
      <c r="K1838" s="912">
        <f>VLOOKUP(E1838,ĐMNC!$A$7:$F$67,4,0)</f>
        <v>252714</v>
      </c>
      <c r="L1838" s="912">
        <f>H1838*K1838</f>
        <v>166791.24000000002</v>
      </c>
      <c r="M1838" s="912"/>
      <c r="N1838" s="912"/>
      <c r="O1838" s="892">
        <f t="shared" si="112"/>
        <v>0</v>
      </c>
      <c r="P1838" s="903">
        <f t="shared" si="113"/>
        <v>1</v>
      </c>
      <c r="Q1838" s="893">
        <f t="shared" si="114"/>
        <v>1</v>
      </c>
      <c r="R1838" s="894">
        <f t="shared" si="115"/>
        <v>0</v>
      </c>
    </row>
    <row r="1839" spans="1:18" s="847" customFormat="1" ht="31.5">
      <c r="A1839" s="905"/>
      <c r="B1839" s="914" t="s">
        <v>4544</v>
      </c>
      <c r="C1839" s="915"/>
      <c r="D1839" s="915"/>
      <c r="E1839" s="916" t="s">
        <v>4545</v>
      </c>
      <c r="F1839" s="917" t="s">
        <v>249</v>
      </c>
      <c r="G1839" s="918"/>
      <c r="H1839" s="919"/>
      <c r="I1839" s="920"/>
      <c r="J1839" s="891">
        <f>SUM(J1840:J1844)</f>
        <v>1825</v>
      </c>
      <c r="K1839" s="891"/>
      <c r="L1839" s="891">
        <f>SUM(L1840:L1844)</f>
        <v>184481.22</v>
      </c>
      <c r="M1839" s="891"/>
      <c r="N1839" s="891">
        <f>SUM(N1840:N1844)</f>
        <v>0</v>
      </c>
      <c r="O1839" s="892">
        <f t="shared" si="112"/>
        <v>1</v>
      </c>
      <c r="P1839" s="903">
        <f t="shared" si="113"/>
        <v>0</v>
      </c>
      <c r="Q1839" s="893">
        <f t="shared" si="114"/>
        <v>0</v>
      </c>
      <c r="R1839" s="894">
        <f t="shared" si="115"/>
        <v>5</v>
      </c>
    </row>
    <row r="1840" spans="1:18" s="904" customFormat="1">
      <c r="A1840" s="895"/>
      <c r="B1840" s="896"/>
      <c r="C1840" s="897"/>
      <c r="D1840" s="897"/>
      <c r="E1840" s="924" t="s">
        <v>108</v>
      </c>
      <c r="F1840" s="899"/>
      <c r="G1840" s="900"/>
      <c r="H1840" s="901"/>
      <c r="I1840" s="902"/>
      <c r="J1840" s="902"/>
      <c r="K1840" s="912" t="s">
        <v>274</v>
      </c>
      <c r="L1840" s="902"/>
      <c r="M1840" s="902"/>
      <c r="N1840" s="902"/>
      <c r="O1840" s="892">
        <f t="shared" si="112"/>
        <v>0</v>
      </c>
      <c r="P1840" s="903">
        <f t="shared" si="113"/>
        <v>1</v>
      </c>
      <c r="Q1840" s="893">
        <f t="shared" si="114"/>
        <v>5</v>
      </c>
      <c r="R1840" s="894">
        <f t="shared" si="115"/>
        <v>0</v>
      </c>
    </row>
    <row r="1841" spans="1:18">
      <c r="A1841" s="905"/>
      <c r="B1841" s="906"/>
      <c r="C1841" s="907">
        <v>66</v>
      </c>
      <c r="D1841" s="907" t="s">
        <v>279</v>
      </c>
      <c r="E1841" s="925" t="s">
        <v>2682</v>
      </c>
      <c r="F1841" s="926" t="s">
        <v>45</v>
      </c>
      <c r="G1841" s="910"/>
      <c r="H1841" s="911">
        <v>0.02</v>
      </c>
      <c r="I1841" s="912">
        <f>VLOOKUP(E1841,[3]VLP!$B$7:$K$300,10,0)</f>
        <v>5000</v>
      </c>
      <c r="J1841" s="912">
        <f>I1841*H1841</f>
        <v>100</v>
      </c>
      <c r="K1841" s="912" t="s">
        <v>274</v>
      </c>
      <c r="L1841" s="912"/>
      <c r="M1841" s="912"/>
      <c r="N1841" s="912"/>
      <c r="O1841" s="892">
        <f t="shared" si="112"/>
        <v>0</v>
      </c>
      <c r="P1841" s="903">
        <f t="shared" si="113"/>
        <v>1</v>
      </c>
      <c r="Q1841" s="893">
        <f t="shared" si="114"/>
        <v>4</v>
      </c>
      <c r="R1841" s="894">
        <f t="shared" si="115"/>
        <v>0</v>
      </c>
    </row>
    <row r="1842" spans="1:18">
      <c r="A1842" s="905"/>
      <c r="B1842" s="906"/>
      <c r="C1842" s="907">
        <v>44</v>
      </c>
      <c r="D1842" s="907" t="s">
        <v>279</v>
      </c>
      <c r="E1842" s="925" t="s">
        <v>2681</v>
      </c>
      <c r="F1842" s="926" t="s">
        <v>45</v>
      </c>
      <c r="G1842" s="910"/>
      <c r="H1842" s="911">
        <v>7.4999999999999997E-2</v>
      </c>
      <c r="I1842" s="912">
        <f>VLOOKUP(E1842,[3]VLP!$B$7:$K$300,10,0)</f>
        <v>23000</v>
      </c>
      <c r="J1842" s="912">
        <f>I1842*H1842</f>
        <v>1725</v>
      </c>
      <c r="K1842" s="912" t="s">
        <v>274</v>
      </c>
      <c r="L1842" s="912"/>
      <c r="M1842" s="912"/>
      <c r="N1842" s="912"/>
      <c r="O1842" s="892">
        <f t="shared" si="112"/>
        <v>0</v>
      </c>
      <c r="P1842" s="903">
        <f t="shared" si="113"/>
        <v>1</v>
      </c>
      <c r="Q1842" s="893">
        <f t="shared" si="114"/>
        <v>3</v>
      </c>
      <c r="R1842" s="894">
        <f t="shared" si="115"/>
        <v>0</v>
      </c>
    </row>
    <row r="1843" spans="1:18" s="904" customFormat="1">
      <c r="A1843" s="895"/>
      <c r="B1843" s="896"/>
      <c r="C1843" s="897"/>
      <c r="D1843" s="897"/>
      <c r="E1843" s="924" t="s">
        <v>276</v>
      </c>
      <c r="F1843" s="927"/>
      <c r="G1843" s="928"/>
      <c r="H1843" s="901"/>
      <c r="I1843" s="902"/>
      <c r="J1843" s="902"/>
      <c r="K1843" s="912" t="s">
        <v>274</v>
      </c>
      <c r="L1843" s="902"/>
      <c r="M1843" s="902"/>
      <c r="N1843" s="902"/>
      <c r="O1843" s="892">
        <f t="shared" si="112"/>
        <v>0</v>
      </c>
      <c r="P1843" s="903">
        <f t="shared" si="113"/>
        <v>1</v>
      </c>
      <c r="Q1843" s="893">
        <f t="shared" si="114"/>
        <v>2</v>
      </c>
      <c r="R1843" s="894">
        <f t="shared" si="115"/>
        <v>0</v>
      </c>
    </row>
    <row r="1844" spans="1:18">
      <c r="A1844" s="905"/>
      <c r="B1844" s="906"/>
      <c r="C1844" s="907">
        <v>740</v>
      </c>
      <c r="D1844" s="907" t="s">
        <v>12</v>
      </c>
      <c r="E1844" s="908" t="s">
        <v>4008</v>
      </c>
      <c r="F1844" s="909" t="s">
        <v>2674</v>
      </c>
      <c r="G1844" s="910"/>
      <c r="H1844" s="911">
        <v>0.73</v>
      </c>
      <c r="I1844" s="912"/>
      <c r="J1844" s="912"/>
      <c r="K1844" s="912">
        <f>VLOOKUP(E1844,ĐMNC!$A$7:$F$67,4,0)</f>
        <v>252714</v>
      </c>
      <c r="L1844" s="912">
        <f>H1844*K1844</f>
        <v>184481.22</v>
      </c>
      <c r="M1844" s="912"/>
      <c r="N1844" s="912"/>
      <c r="O1844" s="892">
        <f t="shared" si="112"/>
        <v>0</v>
      </c>
      <c r="P1844" s="903">
        <f t="shared" si="113"/>
        <v>1</v>
      </c>
      <c r="Q1844" s="893">
        <f t="shared" si="114"/>
        <v>1</v>
      </c>
      <c r="R1844" s="894">
        <f t="shared" si="115"/>
        <v>0</v>
      </c>
    </row>
    <row r="1845" spans="1:18" s="847" customFormat="1" ht="31.5">
      <c r="A1845" s="905"/>
      <c r="B1845" s="914" t="s">
        <v>4546</v>
      </c>
      <c r="C1845" s="915"/>
      <c r="D1845" s="915"/>
      <c r="E1845" s="916" t="s">
        <v>4547</v>
      </c>
      <c r="F1845" s="917" t="s">
        <v>249</v>
      </c>
      <c r="G1845" s="918"/>
      <c r="H1845" s="919"/>
      <c r="I1845" s="920"/>
      <c r="J1845" s="891">
        <f>SUM(J1846:J1850)</f>
        <v>1825</v>
      </c>
      <c r="K1845" s="891"/>
      <c r="L1845" s="891">
        <f>SUM(L1846:L1850)</f>
        <v>212279.75999999998</v>
      </c>
      <c r="M1845" s="891"/>
      <c r="N1845" s="891">
        <f>SUM(N1846:N1850)</f>
        <v>0</v>
      </c>
      <c r="O1845" s="892">
        <f t="shared" si="112"/>
        <v>1</v>
      </c>
      <c r="P1845" s="903">
        <f t="shared" si="113"/>
        <v>0</v>
      </c>
      <c r="Q1845" s="893">
        <f t="shared" si="114"/>
        <v>0</v>
      </c>
      <c r="R1845" s="894">
        <f t="shared" si="115"/>
        <v>5</v>
      </c>
    </row>
    <row r="1846" spans="1:18" s="904" customFormat="1">
      <c r="A1846" s="895"/>
      <c r="B1846" s="896"/>
      <c r="C1846" s="897"/>
      <c r="D1846" s="897"/>
      <c r="E1846" s="924" t="s">
        <v>108</v>
      </c>
      <c r="F1846" s="899"/>
      <c r="G1846" s="900"/>
      <c r="H1846" s="901"/>
      <c r="I1846" s="902"/>
      <c r="J1846" s="902"/>
      <c r="K1846" s="912" t="s">
        <v>274</v>
      </c>
      <c r="L1846" s="902"/>
      <c r="M1846" s="902"/>
      <c r="N1846" s="902"/>
      <c r="O1846" s="892">
        <f t="shared" si="112"/>
        <v>0</v>
      </c>
      <c r="P1846" s="903">
        <f t="shared" si="113"/>
        <v>1</v>
      </c>
      <c r="Q1846" s="893">
        <f t="shared" si="114"/>
        <v>5</v>
      </c>
      <c r="R1846" s="894">
        <f t="shared" si="115"/>
        <v>0</v>
      </c>
    </row>
    <row r="1847" spans="1:18">
      <c r="A1847" s="905"/>
      <c r="B1847" s="906"/>
      <c r="C1847" s="907">
        <v>66</v>
      </c>
      <c r="D1847" s="907" t="s">
        <v>279</v>
      </c>
      <c r="E1847" s="925" t="s">
        <v>2682</v>
      </c>
      <c r="F1847" s="926" t="s">
        <v>45</v>
      </c>
      <c r="G1847" s="910"/>
      <c r="H1847" s="911">
        <v>0.02</v>
      </c>
      <c r="I1847" s="912">
        <f>VLOOKUP(E1847,[3]VLP!$B$7:$K$300,10,0)</f>
        <v>5000</v>
      </c>
      <c r="J1847" s="912">
        <f>I1847*H1847</f>
        <v>100</v>
      </c>
      <c r="K1847" s="912" t="s">
        <v>274</v>
      </c>
      <c r="L1847" s="912"/>
      <c r="M1847" s="912"/>
      <c r="N1847" s="912"/>
      <c r="O1847" s="892">
        <f t="shared" si="112"/>
        <v>0</v>
      </c>
      <c r="P1847" s="903">
        <f t="shared" si="113"/>
        <v>1</v>
      </c>
      <c r="Q1847" s="893">
        <f t="shared" si="114"/>
        <v>4</v>
      </c>
      <c r="R1847" s="894">
        <f t="shared" si="115"/>
        <v>0</v>
      </c>
    </row>
    <row r="1848" spans="1:18">
      <c r="A1848" s="905"/>
      <c r="B1848" s="906"/>
      <c r="C1848" s="907">
        <v>44</v>
      </c>
      <c r="D1848" s="907" t="s">
        <v>279</v>
      </c>
      <c r="E1848" s="925" t="s">
        <v>2681</v>
      </c>
      <c r="F1848" s="926" t="s">
        <v>45</v>
      </c>
      <c r="G1848" s="910"/>
      <c r="H1848" s="911">
        <v>7.4999999999999997E-2</v>
      </c>
      <c r="I1848" s="912">
        <f>VLOOKUP(E1848,[3]VLP!$B$7:$K$300,10,0)</f>
        <v>23000</v>
      </c>
      <c r="J1848" s="912">
        <f>I1848*H1848</f>
        <v>1725</v>
      </c>
      <c r="K1848" s="912" t="s">
        <v>274</v>
      </c>
      <c r="L1848" s="912"/>
      <c r="M1848" s="912"/>
      <c r="N1848" s="912"/>
      <c r="O1848" s="892">
        <f t="shared" si="112"/>
        <v>0</v>
      </c>
      <c r="P1848" s="903">
        <f t="shared" si="113"/>
        <v>1</v>
      </c>
      <c r="Q1848" s="893">
        <f t="shared" si="114"/>
        <v>3</v>
      </c>
      <c r="R1848" s="894">
        <f t="shared" si="115"/>
        <v>0</v>
      </c>
    </row>
    <row r="1849" spans="1:18" s="904" customFormat="1">
      <c r="A1849" s="895"/>
      <c r="B1849" s="896"/>
      <c r="C1849" s="897"/>
      <c r="D1849" s="897"/>
      <c r="E1849" s="924" t="s">
        <v>276</v>
      </c>
      <c r="F1849" s="927"/>
      <c r="G1849" s="928"/>
      <c r="H1849" s="901"/>
      <c r="I1849" s="902"/>
      <c r="J1849" s="902"/>
      <c r="K1849" s="912" t="s">
        <v>274</v>
      </c>
      <c r="L1849" s="902"/>
      <c r="M1849" s="902"/>
      <c r="N1849" s="902"/>
      <c r="O1849" s="892">
        <f t="shared" si="112"/>
        <v>0</v>
      </c>
      <c r="P1849" s="903">
        <f t="shared" si="113"/>
        <v>1</v>
      </c>
      <c r="Q1849" s="893">
        <f t="shared" si="114"/>
        <v>2</v>
      </c>
      <c r="R1849" s="894">
        <f t="shared" si="115"/>
        <v>0</v>
      </c>
    </row>
    <row r="1850" spans="1:18">
      <c r="A1850" s="905"/>
      <c r="B1850" s="906"/>
      <c r="C1850" s="907">
        <v>740</v>
      </c>
      <c r="D1850" s="907" t="s">
        <v>12</v>
      </c>
      <c r="E1850" s="908" t="s">
        <v>4008</v>
      </c>
      <c r="F1850" s="909" t="s">
        <v>2674</v>
      </c>
      <c r="G1850" s="910"/>
      <c r="H1850" s="911">
        <v>0.84</v>
      </c>
      <c r="I1850" s="912"/>
      <c r="J1850" s="912"/>
      <c r="K1850" s="912">
        <f>VLOOKUP(E1850,ĐMNC!$A$7:$F$67,4,0)</f>
        <v>252714</v>
      </c>
      <c r="L1850" s="912">
        <f>H1850*K1850</f>
        <v>212279.75999999998</v>
      </c>
      <c r="M1850" s="912"/>
      <c r="N1850" s="912"/>
      <c r="O1850" s="892">
        <f t="shared" si="112"/>
        <v>0</v>
      </c>
      <c r="P1850" s="903">
        <f t="shared" si="113"/>
        <v>1</v>
      </c>
      <c r="Q1850" s="893">
        <f t="shared" si="114"/>
        <v>1</v>
      </c>
      <c r="R1850" s="894">
        <f t="shared" si="115"/>
        <v>0</v>
      </c>
    </row>
    <row r="1851" spans="1:18" s="847" customFormat="1" ht="31.5">
      <c r="A1851" s="905"/>
      <c r="B1851" s="914" t="s">
        <v>4548</v>
      </c>
      <c r="C1851" s="915"/>
      <c r="D1851" s="915"/>
      <c r="E1851" s="916" t="s">
        <v>4549</v>
      </c>
      <c r="F1851" s="917" t="s">
        <v>249</v>
      </c>
      <c r="G1851" s="918"/>
      <c r="H1851" s="919"/>
      <c r="I1851" s="920"/>
      <c r="J1851" s="891">
        <f>SUM(J1852:J1856)</f>
        <v>1825</v>
      </c>
      <c r="K1851" s="891"/>
      <c r="L1851" s="891">
        <f>SUM(L1852:L1856)</f>
        <v>245132.58</v>
      </c>
      <c r="M1851" s="891"/>
      <c r="N1851" s="891">
        <f>SUM(N1852:N1856)</f>
        <v>0</v>
      </c>
      <c r="O1851" s="892">
        <f t="shared" si="112"/>
        <v>1</v>
      </c>
      <c r="P1851" s="903">
        <f t="shared" si="113"/>
        <v>0</v>
      </c>
      <c r="Q1851" s="893">
        <f t="shared" si="114"/>
        <v>0</v>
      </c>
      <c r="R1851" s="894">
        <f t="shared" si="115"/>
        <v>5</v>
      </c>
    </row>
    <row r="1852" spans="1:18" s="904" customFormat="1">
      <c r="A1852" s="895"/>
      <c r="B1852" s="896"/>
      <c r="C1852" s="897"/>
      <c r="D1852" s="897"/>
      <c r="E1852" s="924" t="s">
        <v>108</v>
      </c>
      <c r="F1852" s="899"/>
      <c r="G1852" s="900"/>
      <c r="H1852" s="901"/>
      <c r="I1852" s="902"/>
      <c r="J1852" s="902"/>
      <c r="K1852" s="912" t="s">
        <v>274</v>
      </c>
      <c r="L1852" s="902"/>
      <c r="M1852" s="902"/>
      <c r="N1852" s="902"/>
      <c r="O1852" s="892">
        <f t="shared" si="112"/>
        <v>0</v>
      </c>
      <c r="P1852" s="903">
        <f t="shared" si="113"/>
        <v>1</v>
      </c>
      <c r="Q1852" s="893">
        <f t="shared" si="114"/>
        <v>5</v>
      </c>
      <c r="R1852" s="894">
        <f t="shared" si="115"/>
        <v>0</v>
      </c>
    </row>
    <row r="1853" spans="1:18">
      <c r="A1853" s="905"/>
      <c r="B1853" s="906"/>
      <c r="C1853" s="907">
        <v>66</v>
      </c>
      <c r="D1853" s="907" t="s">
        <v>279</v>
      </c>
      <c r="E1853" s="925" t="s">
        <v>2682</v>
      </c>
      <c r="F1853" s="926" t="s">
        <v>45</v>
      </c>
      <c r="G1853" s="910"/>
      <c r="H1853" s="911">
        <v>0.02</v>
      </c>
      <c r="I1853" s="912">
        <f>VLOOKUP(E1853,[3]VLP!$B$7:$K$300,10,0)</f>
        <v>5000</v>
      </c>
      <c r="J1853" s="912">
        <f>I1853*H1853</f>
        <v>100</v>
      </c>
      <c r="K1853" s="912" t="s">
        <v>274</v>
      </c>
      <c r="L1853" s="912"/>
      <c r="M1853" s="912"/>
      <c r="N1853" s="912"/>
      <c r="O1853" s="892">
        <f t="shared" si="112"/>
        <v>0</v>
      </c>
      <c r="P1853" s="903">
        <f t="shared" si="113"/>
        <v>1</v>
      </c>
      <c r="Q1853" s="893">
        <f t="shared" si="114"/>
        <v>4</v>
      </c>
      <c r="R1853" s="894">
        <f t="shared" si="115"/>
        <v>0</v>
      </c>
    </row>
    <row r="1854" spans="1:18">
      <c r="A1854" s="905"/>
      <c r="B1854" s="906"/>
      <c r="C1854" s="907">
        <v>44</v>
      </c>
      <c r="D1854" s="907" t="s">
        <v>279</v>
      </c>
      <c r="E1854" s="925" t="s">
        <v>2681</v>
      </c>
      <c r="F1854" s="926" t="s">
        <v>45</v>
      </c>
      <c r="G1854" s="910"/>
      <c r="H1854" s="911">
        <v>7.4999999999999997E-2</v>
      </c>
      <c r="I1854" s="912">
        <f>VLOOKUP(E1854,[3]VLP!$B$7:$K$300,10,0)</f>
        <v>23000</v>
      </c>
      <c r="J1854" s="912">
        <f>I1854*H1854</f>
        <v>1725</v>
      </c>
      <c r="K1854" s="912" t="s">
        <v>274</v>
      </c>
      <c r="L1854" s="912"/>
      <c r="M1854" s="912"/>
      <c r="N1854" s="912"/>
      <c r="O1854" s="892">
        <f t="shared" si="112"/>
        <v>0</v>
      </c>
      <c r="P1854" s="903">
        <f t="shared" si="113"/>
        <v>1</v>
      </c>
      <c r="Q1854" s="893">
        <f t="shared" si="114"/>
        <v>3</v>
      </c>
      <c r="R1854" s="894">
        <f t="shared" si="115"/>
        <v>0</v>
      </c>
    </row>
    <row r="1855" spans="1:18" s="904" customFormat="1">
      <c r="A1855" s="895"/>
      <c r="B1855" s="896"/>
      <c r="C1855" s="897"/>
      <c r="D1855" s="897"/>
      <c r="E1855" s="924" t="s">
        <v>276</v>
      </c>
      <c r="F1855" s="927"/>
      <c r="G1855" s="928"/>
      <c r="H1855" s="901"/>
      <c r="I1855" s="902"/>
      <c r="J1855" s="902"/>
      <c r="K1855" s="912" t="s">
        <v>274</v>
      </c>
      <c r="L1855" s="902"/>
      <c r="M1855" s="902"/>
      <c r="N1855" s="902"/>
      <c r="O1855" s="892">
        <f t="shared" si="112"/>
        <v>0</v>
      </c>
      <c r="P1855" s="903">
        <f t="shared" si="113"/>
        <v>1</v>
      </c>
      <c r="Q1855" s="893">
        <f t="shared" si="114"/>
        <v>2</v>
      </c>
      <c r="R1855" s="894">
        <f t="shared" si="115"/>
        <v>0</v>
      </c>
    </row>
    <row r="1856" spans="1:18">
      <c r="A1856" s="905"/>
      <c r="B1856" s="906"/>
      <c r="C1856" s="907">
        <v>740</v>
      </c>
      <c r="D1856" s="907" t="s">
        <v>12</v>
      </c>
      <c r="E1856" s="908" t="s">
        <v>4008</v>
      </c>
      <c r="F1856" s="909" t="s">
        <v>2674</v>
      </c>
      <c r="G1856" s="910"/>
      <c r="H1856" s="911">
        <v>0.97</v>
      </c>
      <c r="I1856" s="912"/>
      <c r="J1856" s="912"/>
      <c r="K1856" s="912">
        <f>VLOOKUP(E1856,ĐMNC!$A$7:$F$67,4,0)</f>
        <v>252714</v>
      </c>
      <c r="L1856" s="912">
        <f>H1856*K1856</f>
        <v>245132.58</v>
      </c>
      <c r="M1856" s="912"/>
      <c r="N1856" s="912"/>
      <c r="O1856" s="892">
        <f t="shared" si="112"/>
        <v>0</v>
      </c>
      <c r="P1856" s="903">
        <f t="shared" si="113"/>
        <v>1</v>
      </c>
      <c r="Q1856" s="893">
        <f t="shared" si="114"/>
        <v>1</v>
      </c>
      <c r="R1856" s="894">
        <f t="shared" si="115"/>
        <v>0</v>
      </c>
    </row>
    <row r="1857" spans="1:18" s="847" customFormat="1" ht="31.5">
      <c r="A1857" s="905"/>
      <c r="B1857" s="914" t="s">
        <v>1169</v>
      </c>
      <c r="C1857" s="915"/>
      <c r="D1857" s="915"/>
      <c r="E1857" s="916" t="s">
        <v>4550</v>
      </c>
      <c r="F1857" s="917" t="s">
        <v>249</v>
      </c>
      <c r="G1857" s="918"/>
      <c r="H1857" s="919"/>
      <c r="I1857" s="920"/>
      <c r="J1857" s="891">
        <f>SUM(J1858:J1862)</f>
        <v>2910</v>
      </c>
      <c r="K1857" s="891"/>
      <c r="L1857" s="891">
        <f>SUM(L1858:L1862)</f>
        <v>179426.94</v>
      </c>
      <c r="M1857" s="891"/>
      <c r="N1857" s="891">
        <f>SUM(N1858:N1862)</f>
        <v>0</v>
      </c>
      <c r="O1857" s="892">
        <f t="shared" si="112"/>
        <v>1</v>
      </c>
      <c r="P1857" s="903">
        <f t="shared" si="113"/>
        <v>0</v>
      </c>
      <c r="Q1857" s="893">
        <f t="shared" si="114"/>
        <v>0</v>
      </c>
      <c r="R1857" s="894">
        <f t="shared" si="115"/>
        <v>5</v>
      </c>
    </row>
    <row r="1858" spans="1:18" s="904" customFormat="1">
      <c r="A1858" s="895"/>
      <c r="B1858" s="922"/>
      <c r="C1858" s="897"/>
      <c r="D1858" s="897"/>
      <c r="E1858" s="924" t="s">
        <v>108</v>
      </c>
      <c r="F1858" s="899"/>
      <c r="G1858" s="900"/>
      <c r="H1858" s="901"/>
      <c r="I1858" s="902"/>
      <c r="J1858" s="902"/>
      <c r="K1858" s="912" t="s">
        <v>274</v>
      </c>
      <c r="L1858" s="902"/>
      <c r="M1858" s="902"/>
      <c r="N1858" s="902"/>
      <c r="O1858" s="892">
        <f t="shared" si="112"/>
        <v>0</v>
      </c>
      <c r="P1858" s="903">
        <f t="shared" si="113"/>
        <v>1</v>
      </c>
      <c r="Q1858" s="893">
        <f t="shared" si="114"/>
        <v>5</v>
      </c>
      <c r="R1858" s="894">
        <f t="shared" si="115"/>
        <v>0</v>
      </c>
    </row>
    <row r="1859" spans="1:18">
      <c r="A1859" s="905"/>
      <c r="B1859" s="906"/>
      <c r="C1859" s="907">
        <v>66</v>
      </c>
      <c r="D1859" s="907" t="s">
        <v>279</v>
      </c>
      <c r="E1859" s="925" t="s">
        <v>2682</v>
      </c>
      <c r="F1859" s="926" t="s">
        <v>45</v>
      </c>
      <c r="G1859" s="910"/>
      <c r="H1859" s="911">
        <v>0.03</v>
      </c>
      <c r="I1859" s="912">
        <f>VLOOKUP(E1859,[3]VLP!$B$7:$K$300,10,0)</f>
        <v>5000</v>
      </c>
      <c r="J1859" s="912">
        <f>I1859*H1859</f>
        <v>150</v>
      </c>
      <c r="K1859" s="912" t="s">
        <v>274</v>
      </c>
      <c r="L1859" s="912"/>
      <c r="M1859" s="912"/>
      <c r="N1859" s="912"/>
      <c r="O1859" s="892">
        <f t="shared" si="112"/>
        <v>0</v>
      </c>
      <c r="P1859" s="903">
        <f t="shared" si="113"/>
        <v>1</v>
      </c>
      <c r="Q1859" s="893">
        <f t="shared" si="114"/>
        <v>4</v>
      </c>
      <c r="R1859" s="894">
        <f t="shared" si="115"/>
        <v>0</v>
      </c>
    </row>
    <row r="1860" spans="1:18">
      <c r="A1860" s="905"/>
      <c r="B1860" s="906"/>
      <c r="C1860" s="907">
        <v>44</v>
      </c>
      <c r="D1860" s="907" t="s">
        <v>279</v>
      </c>
      <c r="E1860" s="925" t="s">
        <v>2681</v>
      </c>
      <c r="F1860" s="926" t="s">
        <v>45</v>
      </c>
      <c r="G1860" s="910"/>
      <c r="H1860" s="911">
        <v>0.12</v>
      </c>
      <c r="I1860" s="912">
        <f>VLOOKUP(E1860,[3]VLP!$B$7:$K$300,10,0)</f>
        <v>23000</v>
      </c>
      <c r="J1860" s="912">
        <f>I1860*H1860</f>
        <v>2760</v>
      </c>
      <c r="K1860" s="912" t="s">
        <v>274</v>
      </c>
      <c r="L1860" s="912"/>
      <c r="M1860" s="912"/>
      <c r="N1860" s="912"/>
      <c r="O1860" s="892">
        <f t="shared" si="112"/>
        <v>0</v>
      </c>
      <c r="P1860" s="903">
        <f t="shared" si="113"/>
        <v>1</v>
      </c>
      <c r="Q1860" s="893">
        <f t="shared" si="114"/>
        <v>3</v>
      </c>
      <c r="R1860" s="894">
        <f t="shared" si="115"/>
        <v>0</v>
      </c>
    </row>
    <row r="1861" spans="1:18" s="904" customFormat="1">
      <c r="A1861" s="895"/>
      <c r="B1861" s="896"/>
      <c r="C1861" s="897"/>
      <c r="D1861" s="897"/>
      <c r="E1861" s="924" t="s">
        <v>276</v>
      </c>
      <c r="F1861" s="927"/>
      <c r="G1861" s="928"/>
      <c r="H1861" s="901"/>
      <c r="I1861" s="902"/>
      <c r="J1861" s="902"/>
      <c r="K1861" s="912" t="s">
        <v>274</v>
      </c>
      <c r="L1861" s="902"/>
      <c r="M1861" s="902"/>
      <c r="N1861" s="902"/>
      <c r="O1861" s="892">
        <f t="shared" si="112"/>
        <v>0</v>
      </c>
      <c r="P1861" s="903">
        <f t="shared" si="113"/>
        <v>1</v>
      </c>
      <c r="Q1861" s="893">
        <f t="shared" si="114"/>
        <v>2</v>
      </c>
      <c r="R1861" s="894">
        <f t="shared" si="115"/>
        <v>0</v>
      </c>
    </row>
    <row r="1862" spans="1:18">
      <c r="A1862" s="905"/>
      <c r="B1862" s="906"/>
      <c r="C1862" s="907">
        <v>740</v>
      </c>
      <c r="D1862" s="907" t="s">
        <v>12</v>
      </c>
      <c r="E1862" s="908" t="s">
        <v>4008</v>
      </c>
      <c r="F1862" s="909" t="s">
        <v>2674</v>
      </c>
      <c r="G1862" s="910"/>
      <c r="H1862" s="911">
        <v>0.71</v>
      </c>
      <c r="I1862" s="912"/>
      <c r="J1862" s="912"/>
      <c r="K1862" s="912">
        <f>VLOOKUP(E1862,ĐMNC!$A$7:$F$67,4,0)</f>
        <v>252714</v>
      </c>
      <c r="L1862" s="912">
        <f>H1862*K1862</f>
        <v>179426.94</v>
      </c>
      <c r="M1862" s="912"/>
      <c r="N1862" s="912"/>
      <c r="O1862" s="892">
        <f t="shared" si="112"/>
        <v>0</v>
      </c>
      <c r="P1862" s="903">
        <f t="shared" si="113"/>
        <v>1</v>
      </c>
      <c r="Q1862" s="893">
        <f t="shared" si="114"/>
        <v>1</v>
      </c>
      <c r="R1862" s="894">
        <f t="shared" si="115"/>
        <v>0</v>
      </c>
    </row>
    <row r="1863" spans="1:18" s="847" customFormat="1" ht="31.5">
      <c r="A1863" s="905"/>
      <c r="B1863" s="914" t="s">
        <v>4551</v>
      </c>
      <c r="C1863" s="915"/>
      <c r="D1863" s="915"/>
      <c r="E1863" s="916" t="s">
        <v>4552</v>
      </c>
      <c r="F1863" s="917" t="s">
        <v>249</v>
      </c>
      <c r="G1863" s="918"/>
      <c r="H1863" s="919"/>
      <c r="I1863" s="920"/>
      <c r="J1863" s="891">
        <f>SUM(J1864:J1868)</f>
        <v>2910</v>
      </c>
      <c r="K1863" s="891"/>
      <c r="L1863" s="891">
        <f>SUM(L1864:L1868)</f>
        <v>189535.5</v>
      </c>
      <c r="M1863" s="891"/>
      <c r="N1863" s="891">
        <f>SUM(N1864:N1868)</f>
        <v>0</v>
      </c>
      <c r="O1863" s="892">
        <f t="shared" si="112"/>
        <v>1</v>
      </c>
      <c r="P1863" s="903">
        <f t="shared" si="113"/>
        <v>0</v>
      </c>
      <c r="Q1863" s="893">
        <f t="shared" si="114"/>
        <v>0</v>
      </c>
      <c r="R1863" s="894">
        <f t="shared" si="115"/>
        <v>5</v>
      </c>
    </row>
    <row r="1864" spans="1:18" s="904" customFormat="1">
      <c r="A1864" s="895"/>
      <c r="B1864" s="896"/>
      <c r="C1864" s="897"/>
      <c r="D1864" s="897"/>
      <c r="E1864" s="924" t="s">
        <v>108</v>
      </c>
      <c r="F1864" s="899"/>
      <c r="G1864" s="900"/>
      <c r="H1864" s="901"/>
      <c r="I1864" s="902"/>
      <c r="J1864" s="902"/>
      <c r="K1864" s="912" t="s">
        <v>274</v>
      </c>
      <c r="L1864" s="902"/>
      <c r="M1864" s="902"/>
      <c r="N1864" s="902"/>
      <c r="O1864" s="892">
        <f t="shared" ref="O1864:O1927" si="116">IF(AND(B1864&lt;&gt;"",D1864=""),1,0)</f>
        <v>0</v>
      </c>
      <c r="P1864" s="903">
        <f t="shared" si="113"/>
        <v>1</v>
      </c>
      <c r="Q1864" s="893">
        <f t="shared" si="114"/>
        <v>5</v>
      </c>
      <c r="R1864" s="894">
        <f t="shared" si="115"/>
        <v>0</v>
      </c>
    </row>
    <row r="1865" spans="1:18">
      <c r="A1865" s="905"/>
      <c r="B1865" s="906"/>
      <c r="C1865" s="907">
        <v>66</v>
      </c>
      <c r="D1865" s="907" t="s">
        <v>279</v>
      </c>
      <c r="E1865" s="925" t="s">
        <v>2682</v>
      </c>
      <c r="F1865" s="926" t="s">
        <v>45</v>
      </c>
      <c r="G1865" s="910"/>
      <c r="H1865" s="911">
        <v>0.03</v>
      </c>
      <c r="I1865" s="912">
        <f>VLOOKUP(E1865,[3]VLP!$B$7:$K$300,10,0)</f>
        <v>5000</v>
      </c>
      <c r="J1865" s="912">
        <f>I1865*H1865</f>
        <v>150</v>
      </c>
      <c r="K1865" s="912" t="s">
        <v>274</v>
      </c>
      <c r="L1865" s="912"/>
      <c r="M1865" s="912"/>
      <c r="N1865" s="912"/>
      <c r="O1865" s="892">
        <f t="shared" si="116"/>
        <v>0</v>
      </c>
      <c r="P1865" s="903">
        <f t="shared" si="113"/>
        <v>1</v>
      </c>
      <c r="Q1865" s="893">
        <f t="shared" si="114"/>
        <v>4</v>
      </c>
      <c r="R1865" s="894">
        <f t="shared" si="115"/>
        <v>0</v>
      </c>
    </row>
    <row r="1866" spans="1:18">
      <c r="A1866" s="905"/>
      <c r="B1866" s="906"/>
      <c r="C1866" s="907">
        <v>44</v>
      </c>
      <c r="D1866" s="907" t="s">
        <v>279</v>
      </c>
      <c r="E1866" s="925" t="s">
        <v>2681</v>
      </c>
      <c r="F1866" s="926" t="s">
        <v>45</v>
      </c>
      <c r="G1866" s="910"/>
      <c r="H1866" s="911">
        <v>0.12</v>
      </c>
      <c r="I1866" s="912">
        <f>VLOOKUP(E1866,[3]VLP!$B$7:$K$300,10,0)</f>
        <v>23000</v>
      </c>
      <c r="J1866" s="912">
        <f>I1866*H1866</f>
        <v>2760</v>
      </c>
      <c r="K1866" s="912" t="s">
        <v>274</v>
      </c>
      <c r="L1866" s="912"/>
      <c r="M1866" s="912"/>
      <c r="N1866" s="912"/>
      <c r="O1866" s="892">
        <f t="shared" si="116"/>
        <v>0</v>
      </c>
      <c r="P1866" s="903">
        <f t="shared" si="113"/>
        <v>1</v>
      </c>
      <c r="Q1866" s="893">
        <f t="shared" si="114"/>
        <v>3</v>
      </c>
      <c r="R1866" s="894">
        <f t="shared" si="115"/>
        <v>0</v>
      </c>
    </row>
    <row r="1867" spans="1:18" s="904" customFormat="1">
      <c r="A1867" s="895"/>
      <c r="B1867" s="896"/>
      <c r="C1867" s="897"/>
      <c r="D1867" s="897"/>
      <c r="E1867" s="924" t="s">
        <v>276</v>
      </c>
      <c r="F1867" s="927"/>
      <c r="G1867" s="928"/>
      <c r="H1867" s="901"/>
      <c r="I1867" s="902"/>
      <c r="J1867" s="902"/>
      <c r="K1867" s="912" t="s">
        <v>274</v>
      </c>
      <c r="L1867" s="902"/>
      <c r="M1867" s="902"/>
      <c r="N1867" s="902"/>
      <c r="O1867" s="892">
        <f t="shared" si="116"/>
        <v>0</v>
      </c>
      <c r="P1867" s="903">
        <f t="shared" si="113"/>
        <v>1</v>
      </c>
      <c r="Q1867" s="893">
        <f t="shared" si="114"/>
        <v>2</v>
      </c>
      <c r="R1867" s="894">
        <f t="shared" si="115"/>
        <v>0</v>
      </c>
    </row>
    <row r="1868" spans="1:18">
      <c r="A1868" s="905"/>
      <c r="B1868" s="906"/>
      <c r="C1868" s="907">
        <v>740</v>
      </c>
      <c r="D1868" s="907" t="s">
        <v>12</v>
      </c>
      <c r="E1868" s="908" t="s">
        <v>4008</v>
      </c>
      <c r="F1868" s="909" t="s">
        <v>2674</v>
      </c>
      <c r="G1868" s="910"/>
      <c r="H1868" s="911">
        <v>0.75</v>
      </c>
      <c r="I1868" s="912"/>
      <c r="J1868" s="912"/>
      <c r="K1868" s="912">
        <f>VLOOKUP(E1868,ĐMNC!$A$7:$F$67,4,0)</f>
        <v>252714</v>
      </c>
      <c r="L1868" s="912">
        <f>H1868*K1868</f>
        <v>189535.5</v>
      </c>
      <c r="M1868" s="912"/>
      <c r="N1868" s="912"/>
      <c r="O1868" s="892">
        <f t="shared" si="116"/>
        <v>0</v>
      </c>
      <c r="P1868" s="903">
        <f t="shared" si="113"/>
        <v>1</v>
      </c>
      <c r="Q1868" s="893">
        <f t="shared" si="114"/>
        <v>1</v>
      </c>
      <c r="R1868" s="894">
        <f t="shared" si="115"/>
        <v>0</v>
      </c>
    </row>
    <row r="1869" spans="1:18" s="847" customFormat="1" ht="31.5">
      <c r="A1869" s="905"/>
      <c r="B1869" s="914" t="s">
        <v>4553</v>
      </c>
      <c r="C1869" s="915"/>
      <c r="D1869" s="915"/>
      <c r="E1869" s="916" t="s">
        <v>4554</v>
      </c>
      <c r="F1869" s="917" t="s">
        <v>249</v>
      </c>
      <c r="G1869" s="918"/>
      <c r="H1869" s="919"/>
      <c r="I1869" s="920"/>
      <c r="J1869" s="891">
        <f>SUM(J1870:J1874)</f>
        <v>2910</v>
      </c>
      <c r="K1869" s="891"/>
      <c r="L1869" s="891">
        <f>SUM(L1870:L1874)</f>
        <v>214806.9</v>
      </c>
      <c r="M1869" s="891"/>
      <c r="N1869" s="891">
        <f>SUM(N1870:N1874)</f>
        <v>0</v>
      </c>
      <c r="O1869" s="892">
        <f t="shared" si="116"/>
        <v>1</v>
      </c>
      <c r="P1869" s="903">
        <f t="shared" si="113"/>
        <v>0</v>
      </c>
      <c r="Q1869" s="893">
        <f t="shared" si="114"/>
        <v>0</v>
      </c>
      <c r="R1869" s="894">
        <f t="shared" si="115"/>
        <v>5</v>
      </c>
    </row>
    <row r="1870" spans="1:18" s="904" customFormat="1">
      <c r="A1870" s="895"/>
      <c r="B1870" s="896"/>
      <c r="C1870" s="897"/>
      <c r="D1870" s="897"/>
      <c r="E1870" s="924" t="s">
        <v>108</v>
      </c>
      <c r="F1870" s="899"/>
      <c r="G1870" s="900"/>
      <c r="H1870" s="901"/>
      <c r="I1870" s="902"/>
      <c r="J1870" s="902"/>
      <c r="K1870" s="912" t="s">
        <v>274</v>
      </c>
      <c r="L1870" s="902"/>
      <c r="M1870" s="902"/>
      <c r="N1870" s="902"/>
      <c r="O1870" s="892">
        <f t="shared" si="116"/>
        <v>0</v>
      </c>
      <c r="P1870" s="903">
        <f t="shared" si="113"/>
        <v>1</v>
      </c>
      <c r="Q1870" s="893">
        <f t="shared" si="114"/>
        <v>5</v>
      </c>
      <c r="R1870" s="894">
        <f t="shared" si="115"/>
        <v>0</v>
      </c>
    </row>
    <row r="1871" spans="1:18">
      <c r="A1871" s="905"/>
      <c r="B1871" s="906"/>
      <c r="C1871" s="907">
        <v>66</v>
      </c>
      <c r="D1871" s="907" t="s">
        <v>279</v>
      </c>
      <c r="E1871" s="925" t="s">
        <v>2682</v>
      </c>
      <c r="F1871" s="926" t="s">
        <v>45</v>
      </c>
      <c r="G1871" s="910"/>
      <c r="H1871" s="911">
        <v>0.03</v>
      </c>
      <c r="I1871" s="912">
        <f>VLOOKUP(E1871,[3]VLP!$B$7:$K$300,10,0)</f>
        <v>5000</v>
      </c>
      <c r="J1871" s="912">
        <f>I1871*H1871</f>
        <v>150</v>
      </c>
      <c r="K1871" s="912" t="s">
        <v>274</v>
      </c>
      <c r="L1871" s="912"/>
      <c r="M1871" s="912"/>
      <c r="N1871" s="912"/>
      <c r="O1871" s="892">
        <f t="shared" si="116"/>
        <v>0</v>
      </c>
      <c r="P1871" s="903">
        <f t="shared" si="113"/>
        <v>1</v>
      </c>
      <c r="Q1871" s="893">
        <f t="shared" si="114"/>
        <v>4</v>
      </c>
      <c r="R1871" s="894">
        <f t="shared" si="115"/>
        <v>0</v>
      </c>
    </row>
    <row r="1872" spans="1:18">
      <c r="A1872" s="905"/>
      <c r="B1872" s="906"/>
      <c r="C1872" s="907">
        <v>44</v>
      </c>
      <c r="D1872" s="907" t="s">
        <v>279</v>
      </c>
      <c r="E1872" s="925" t="s">
        <v>2681</v>
      </c>
      <c r="F1872" s="926" t="s">
        <v>45</v>
      </c>
      <c r="G1872" s="910"/>
      <c r="H1872" s="911">
        <v>0.12</v>
      </c>
      <c r="I1872" s="912">
        <f>VLOOKUP(E1872,[3]VLP!$B$7:$K$300,10,0)</f>
        <v>23000</v>
      </c>
      <c r="J1872" s="912">
        <f>I1872*H1872</f>
        <v>2760</v>
      </c>
      <c r="K1872" s="912" t="s">
        <v>274</v>
      </c>
      <c r="L1872" s="912"/>
      <c r="M1872" s="912"/>
      <c r="N1872" s="912"/>
      <c r="O1872" s="892">
        <f t="shared" si="116"/>
        <v>0</v>
      </c>
      <c r="P1872" s="903">
        <f t="shared" si="113"/>
        <v>1</v>
      </c>
      <c r="Q1872" s="893">
        <f t="shared" si="114"/>
        <v>3</v>
      </c>
      <c r="R1872" s="894">
        <f t="shared" si="115"/>
        <v>0</v>
      </c>
    </row>
    <row r="1873" spans="1:18" s="904" customFormat="1">
      <c r="A1873" s="895"/>
      <c r="B1873" s="896"/>
      <c r="C1873" s="897"/>
      <c r="D1873" s="897"/>
      <c r="E1873" s="924" t="s">
        <v>276</v>
      </c>
      <c r="F1873" s="927"/>
      <c r="G1873" s="928"/>
      <c r="H1873" s="901"/>
      <c r="I1873" s="902"/>
      <c r="J1873" s="902"/>
      <c r="K1873" s="912" t="s">
        <v>274</v>
      </c>
      <c r="L1873" s="902"/>
      <c r="M1873" s="902"/>
      <c r="N1873" s="902"/>
      <c r="O1873" s="892">
        <f t="shared" si="116"/>
        <v>0</v>
      </c>
      <c r="P1873" s="903">
        <f t="shared" ref="P1873:P1936" si="117">IF(O1873=0,1,0)</f>
        <v>1</v>
      </c>
      <c r="Q1873" s="893">
        <f t="shared" ref="Q1873:Q1936" si="118">IF(P1873=0,0,P1873+Q1874)</f>
        <v>2</v>
      </c>
      <c r="R1873" s="894">
        <f t="shared" ref="R1873:R1936" si="119">IF(Q1873=0,Q1874,0)</f>
        <v>0</v>
      </c>
    </row>
    <row r="1874" spans="1:18">
      <c r="A1874" s="905"/>
      <c r="B1874" s="906"/>
      <c r="C1874" s="907">
        <v>740</v>
      </c>
      <c r="D1874" s="907" t="s">
        <v>12</v>
      </c>
      <c r="E1874" s="908" t="s">
        <v>4008</v>
      </c>
      <c r="F1874" s="909" t="s">
        <v>2674</v>
      </c>
      <c r="G1874" s="910"/>
      <c r="H1874" s="911">
        <v>0.85</v>
      </c>
      <c r="I1874" s="912"/>
      <c r="J1874" s="912"/>
      <c r="K1874" s="912">
        <f>VLOOKUP(E1874,ĐMNC!$A$7:$F$67,4,0)</f>
        <v>252714</v>
      </c>
      <c r="L1874" s="912">
        <f>H1874*K1874</f>
        <v>214806.9</v>
      </c>
      <c r="M1874" s="912"/>
      <c r="N1874" s="912"/>
      <c r="O1874" s="892">
        <f t="shared" si="116"/>
        <v>0</v>
      </c>
      <c r="P1874" s="903">
        <f t="shared" si="117"/>
        <v>1</v>
      </c>
      <c r="Q1874" s="893">
        <f t="shared" si="118"/>
        <v>1</v>
      </c>
      <c r="R1874" s="894">
        <f t="shared" si="119"/>
        <v>0</v>
      </c>
    </row>
    <row r="1875" spans="1:18" s="847" customFormat="1" ht="31.5">
      <c r="A1875" s="905"/>
      <c r="B1875" s="914" t="s">
        <v>4555</v>
      </c>
      <c r="C1875" s="915"/>
      <c r="D1875" s="915"/>
      <c r="E1875" s="916" t="s">
        <v>4556</v>
      </c>
      <c r="F1875" s="917" t="s">
        <v>249</v>
      </c>
      <c r="G1875" s="918"/>
      <c r="H1875" s="919"/>
      <c r="I1875" s="920"/>
      <c r="J1875" s="891">
        <f>SUM(J1876:J1880)</f>
        <v>2910</v>
      </c>
      <c r="K1875" s="891"/>
      <c r="L1875" s="891">
        <f>SUM(L1876:L1880)</f>
        <v>240078.3</v>
      </c>
      <c r="M1875" s="891"/>
      <c r="N1875" s="891">
        <f>SUM(N1876:N1880)</f>
        <v>0</v>
      </c>
      <c r="O1875" s="892">
        <f t="shared" si="116"/>
        <v>1</v>
      </c>
      <c r="P1875" s="903">
        <f t="shared" si="117"/>
        <v>0</v>
      </c>
      <c r="Q1875" s="893">
        <f t="shared" si="118"/>
        <v>0</v>
      </c>
      <c r="R1875" s="894">
        <f t="shared" si="119"/>
        <v>5</v>
      </c>
    </row>
    <row r="1876" spans="1:18" s="904" customFormat="1">
      <c r="A1876" s="895"/>
      <c r="B1876" s="896"/>
      <c r="C1876" s="897"/>
      <c r="D1876" s="897"/>
      <c r="E1876" s="924" t="s">
        <v>108</v>
      </c>
      <c r="F1876" s="899"/>
      <c r="G1876" s="900"/>
      <c r="H1876" s="901"/>
      <c r="I1876" s="902"/>
      <c r="J1876" s="902"/>
      <c r="K1876" s="912" t="s">
        <v>274</v>
      </c>
      <c r="L1876" s="902"/>
      <c r="M1876" s="902"/>
      <c r="N1876" s="902"/>
      <c r="O1876" s="892">
        <f t="shared" si="116"/>
        <v>0</v>
      </c>
      <c r="P1876" s="903">
        <f t="shared" si="117"/>
        <v>1</v>
      </c>
      <c r="Q1876" s="893">
        <f t="shared" si="118"/>
        <v>5</v>
      </c>
      <c r="R1876" s="894">
        <f t="shared" si="119"/>
        <v>0</v>
      </c>
    </row>
    <row r="1877" spans="1:18">
      <c r="A1877" s="905"/>
      <c r="B1877" s="906"/>
      <c r="C1877" s="907">
        <v>66</v>
      </c>
      <c r="D1877" s="907" t="s">
        <v>279</v>
      </c>
      <c r="E1877" s="925" t="s">
        <v>2682</v>
      </c>
      <c r="F1877" s="926" t="s">
        <v>45</v>
      </c>
      <c r="G1877" s="910"/>
      <c r="H1877" s="911">
        <v>0.03</v>
      </c>
      <c r="I1877" s="912">
        <f>VLOOKUP(E1877,[3]VLP!$B$7:$K$300,10,0)</f>
        <v>5000</v>
      </c>
      <c r="J1877" s="912">
        <f>I1877*H1877</f>
        <v>150</v>
      </c>
      <c r="K1877" s="912" t="s">
        <v>274</v>
      </c>
      <c r="L1877" s="912"/>
      <c r="M1877" s="912"/>
      <c r="N1877" s="912"/>
      <c r="O1877" s="892">
        <f t="shared" si="116"/>
        <v>0</v>
      </c>
      <c r="P1877" s="903">
        <f t="shared" si="117"/>
        <v>1</v>
      </c>
      <c r="Q1877" s="893">
        <f t="shared" si="118"/>
        <v>4</v>
      </c>
      <c r="R1877" s="894">
        <f t="shared" si="119"/>
        <v>0</v>
      </c>
    </row>
    <row r="1878" spans="1:18">
      <c r="A1878" s="905"/>
      <c r="B1878" s="906"/>
      <c r="C1878" s="907">
        <v>44</v>
      </c>
      <c r="D1878" s="907" t="s">
        <v>279</v>
      </c>
      <c r="E1878" s="925" t="s">
        <v>2681</v>
      </c>
      <c r="F1878" s="926" t="s">
        <v>45</v>
      </c>
      <c r="G1878" s="910"/>
      <c r="H1878" s="911">
        <v>0.12</v>
      </c>
      <c r="I1878" s="912">
        <f>VLOOKUP(E1878,[3]VLP!$B$7:$K$300,10,0)</f>
        <v>23000</v>
      </c>
      <c r="J1878" s="912">
        <f>I1878*H1878</f>
        <v>2760</v>
      </c>
      <c r="K1878" s="912" t="s">
        <v>274</v>
      </c>
      <c r="L1878" s="912"/>
      <c r="M1878" s="912"/>
      <c r="N1878" s="912"/>
      <c r="O1878" s="892">
        <f t="shared" si="116"/>
        <v>0</v>
      </c>
      <c r="P1878" s="903">
        <f t="shared" si="117"/>
        <v>1</v>
      </c>
      <c r="Q1878" s="893">
        <f t="shared" si="118"/>
        <v>3</v>
      </c>
      <c r="R1878" s="894">
        <f t="shared" si="119"/>
        <v>0</v>
      </c>
    </row>
    <row r="1879" spans="1:18" s="904" customFormat="1">
      <c r="A1879" s="895"/>
      <c r="B1879" s="896"/>
      <c r="C1879" s="897"/>
      <c r="D1879" s="897"/>
      <c r="E1879" s="924" t="s">
        <v>276</v>
      </c>
      <c r="F1879" s="927"/>
      <c r="G1879" s="928"/>
      <c r="H1879" s="901"/>
      <c r="I1879" s="902"/>
      <c r="J1879" s="902"/>
      <c r="K1879" s="912" t="s">
        <v>274</v>
      </c>
      <c r="L1879" s="902"/>
      <c r="M1879" s="902"/>
      <c r="N1879" s="902"/>
      <c r="O1879" s="892">
        <f t="shared" si="116"/>
        <v>0</v>
      </c>
      <c r="P1879" s="903">
        <f t="shared" si="117"/>
        <v>1</v>
      </c>
      <c r="Q1879" s="893">
        <f t="shared" si="118"/>
        <v>2</v>
      </c>
      <c r="R1879" s="894">
        <f t="shared" si="119"/>
        <v>0</v>
      </c>
    </row>
    <row r="1880" spans="1:18">
      <c r="A1880" s="905"/>
      <c r="B1880" s="906"/>
      <c r="C1880" s="907">
        <v>740</v>
      </c>
      <c r="D1880" s="907" t="s">
        <v>12</v>
      </c>
      <c r="E1880" s="908" t="s">
        <v>4008</v>
      </c>
      <c r="F1880" s="909" t="s">
        <v>2674</v>
      </c>
      <c r="G1880" s="910"/>
      <c r="H1880" s="911">
        <v>0.95</v>
      </c>
      <c r="I1880" s="912"/>
      <c r="J1880" s="912"/>
      <c r="K1880" s="912">
        <f>VLOOKUP(E1880,ĐMNC!$A$7:$F$67,4,0)</f>
        <v>252714</v>
      </c>
      <c r="L1880" s="912">
        <f>H1880*K1880</f>
        <v>240078.3</v>
      </c>
      <c r="M1880" s="912"/>
      <c r="N1880" s="912"/>
      <c r="O1880" s="892">
        <f t="shared" si="116"/>
        <v>0</v>
      </c>
      <c r="P1880" s="903">
        <f t="shared" si="117"/>
        <v>1</v>
      </c>
      <c r="Q1880" s="893">
        <f t="shared" si="118"/>
        <v>1</v>
      </c>
      <c r="R1880" s="894">
        <f t="shared" si="119"/>
        <v>0</v>
      </c>
    </row>
    <row r="1881" spans="1:18" s="847" customFormat="1" ht="31.5">
      <c r="A1881" s="905"/>
      <c r="B1881" s="914" t="s">
        <v>4557</v>
      </c>
      <c r="C1881" s="915"/>
      <c r="D1881" s="915"/>
      <c r="E1881" s="916" t="s">
        <v>4558</v>
      </c>
      <c r="F1881" s="917" t="s">
        <v>249</v>
      </c>
      <c r="G1881" s="918"/>
      <c r="H1881" s="919"/>
      <c r="I1881" s="920"/>
      <c r="J1881" s="891">
        <f>SUM(J1882:J1886)</f>
        <v>2910</v>
      </c>
      <c r="K1881" s="891"/>
      <c r="L1881" s="891">
        <f>SUM(L1882:L1886)</f>
        <v>265349.7</v>
      </c>
      <c r="M1881" s="891"/>
      <c r="N1881" s="891">
        <f>SUM(N1882:N1886)</f>
        <v>0</v>
      </c>
      <c r="O1881" s="892">
        <f t="shared" si="116"/>
        <v>1</v>
      </c>
      <c r="P1881" s="903">
        <f t="shared" si="117"/>
        <v>0</v>
      </c>
      <c r="Q1881" s="893">
        <f t="shared" si="118"/>
        <v>0</v>
      </c>
      <c r="R1881" s="894">
        <f t="shared" si="119"/>
        <v>5</v>
      </c>
    </row>
    <row r="1882" spans="1:18" s="904" customFormat="1">
      <c r="A1882" s="895"/>
      <c r="B1882" s="896"/>
      <c r="C1882" s="897"/>
      <c r="D1882" s="897"/>
      <c r="E1882" s="924" t="s">
        <v>108</v>
      </c>
      <c r="F1882" s="899"/>
      <c r="G1882" s="900"/>
      <c r="H1882" s="901"/>
      <c r="I1882" s="902"/>
      <c r="J1882" s="902"/>
      <c r="K1882" s="912" t="s">
        <v>274</v>
      </c>
      <c r="L1882" s="902"/>
      <c r="M1882" s="902"/>
      <c r="N1882" s="902"/>
      <c r="O1882" s="892">
        <f t="shared" si="116"/>
        <v>0</v>
      </c>
      <c r="P1882" s="903">
        <f t="shared" si="117"/>
        <v>1</v>
      </c>
      <c r="Q1882" s="893">
        <f t="shared" si="118"/>
        <v>5</v>
      </c>
      <c r="R1882" s="894">
        <f t="shared" si="119"/>
        <v>0</v>
      </c>
    </row>
    <row r="1883" spans="1:18">
      <c r="A1883" s="905"/>
      <c r="B1883" s="906"/>
      <c r="C1883" s="907">
        <v>66</v>
      </c>
      <c r="D1883" s="907" t="s">
        <v>279</v>
      </c>
      <c r="E1883" s="925" t="s">
        <v>2682</v>
      </c>
      <c r="F1883" s="926" t="s">
        <v>45</v>
      </c>
      <c r="G1883" s="910"/>
      <c r="H1883" s="911">
        <v>0.03</v>
      </c>
      <c r="I1883" s="912">
        <f>VLOOKUP(E1883,[3]VLP!$B$7:$K$300,10,0)</f>
        <v>5000</v>
      </c>
      <c r="J1883" s="912">
        <f>I1883*H1883</f>
        <v>150</v>
      </c>
      <c r="K1883" s="912" t="s">
        <v>274</v>
      </c>
      <c r="L1883" s="912"/>
      <c r="M1883" s="912"/>
      <c r="N1883" s="912"/>
      <c r="O1883" s="892">
        <f t="shared" si="116"/>
        <v>0</v>
      </c>
      <c r="P1883" s="903">
        <f t="shared" si="117"/>
        <v>1</v>
      </c>
      <c r="Q1883" s="893">
        <f t="shared" si="118"/>
        <v>4</v>
      </c>
      <c r="R1883" s="894">
        <f t="shared" si="119"/>
        <v>0</v>
      </c>
    </row>
    <row r="1884" spans="1:18">
      <c r="A1884" s="905"/>
      <c r="B1884" s="906"/>
      <c r="C1884" s="907">
        <v>44</v>
      </c>
      <c r="D1884" s="907" t="s">
        <v>279</v>
      </c>
      <c r="E1884" s="925" t="s">
        <v>2681</v>
      </c>
      <c r="F1884" s="926" t="s">
        <v>45</v>
      </c>
      <c r="G1884" s="910"/>
      <c r="H1884" s="911">
        <v>0.12</v>
      </c>
      <c r="I1884" s="912">
        <f>VLOOKUP(E1884,[3]VLP!$B$7:$K$300,10,0)</f>
        <v>23000</v>
      </c>
      <c r="J1884" s="912">
        <f>I1884*H1884</f>
        <v>2760</v>
      </c>
      <c r="K1884" s="912" t="s">
        <v>274</v>
      </c>
      <c r="L1884" s="912"/>
      <c r="M1884" s="912"/>
      <c r="N1884" s="912"/>
      <c r="O1884" s="892">
        <f t="shared" si="116"/>
        <v>0</v>
      </c>
      <c r="P1884" s="903">
        <f t="shared" si="117"/>
        <v>1</v>
      </c>
      <c r="Q1884" s="893">
        <f t="shared" si="118"/>
        <v>3</v>
      </c>
      <c r="R1884" s="894">
        <f t="shared" si="119"/>
        <v>0</v>
      </c>
    </row>
    <row r="1885" spans="1:18" s="904" customFormat="1">
      <c r="A1885" s="895"/>
      <c r="B1885" s="896"/>
      <c r="C1885" s="897"/>
      <c r="D1885" s="897"/>
      <c r="E1885" s="924" t="s">
        <v>276</v>
      </c>
      <c r="F1885" s="927"/>
      <c r="G1885" s="928"/>
      <c r="H1885" s="901"/>
      <c r="I1885" s="902"/>
      <c r="J1885" s="902"/>
      <c r="K1885" s="912" t="s">
        <v>274</v>
      </c>
      <c r="L1885" s="902"/>
      <c r="M1885" s="902"/>
      <c r="N1885" s="902"/>
      <c r="O1885" s="892">
        <f t="shared" si="116"/>
        <v>0</v>
      </c>
      <c r="P1885" s="903">
        <f t="shared" si="117"/>
        <v>1</v>
      </c>
      <c r="Q1885" s="893">
        <f t="shared" si="118"/>
        <v>2</v>
      </c>
      <c r="R1885" s="894">
        <f t="shared" si="119"/>
        <v>0</v>
      </c>
    </row>
    <row r="1886" spans="1:18">
      <c r="A1886" s="905"/>
      <c r="B1886" s="906"/>
      <c r="C1886" s="907">
        <v>740</v>
      </c>
      <c r="D1886" s="907" t="s">
        <v>12</v>
      </c>
      <c r="E1886" s="908" t="s">
        <v>4008</v>
      </c>
      <c r="F1886" s="909" t="s">
        <v>2674</v>
      </c>
      <c r="G1886" s="910"/>
      <c r="H1886" s="911">
        <v>1.05</v>
      </c>
      <c r="I1886" s="912"/>
      <c r="J1886" s="912"/>
      <c r="K1886" s="912">
        <f>VLOOKUP(E1886,ĐMNC!$A$7:$F$67,4,0)</f>
        <v>252714</v>
      </c>
      <c r="L1886" s="912">
        <f>H1886*K1886</f>
        <v>265349.7</v>
      </c>
      <c r="M1886" s="912"/>
      <c r="N1886" s="912"/>
      <c r="O1886" s="892">
        <f t="shared" si="116"/>
        <v>0</v>
      </c>
      <c r="P1886" s="903">
        <f t="shared" si="117"/>
        <v>1</v>
      </c>
      <c r="Q1886" s="893">
        <f t="shared" si="118"/>
        <v>1</v>
      </c>
      <c r="R1886" s="894">
        <f t="shared" si="119"/>
        <v>0</v>
      </c>
    </row>
    <row r="1887" spans="1:18" s="847" customFormat="1" ht="31.5">
      <c r="A1887" s="905"/>
      <c r="B1887" s="914" t="s">
        <v>4559</v>
      </c>
      <c r="C1887" s="915"/>
      <c r="D1887" s="915"/>
      <c r="E1887" s="916" t="s">
        <v>4560</v>
      </c>
      <c r="F1887" s="917" t="s">
        <v>249</v>
      </c>
      <c r="G1887" s="918"/>
      <c r="H1887" s="919"/>
      <c r="I1887" s="920"/>
      <c r="J1887" s="891">
        <f>SUM(J1888:J1892)</f>
        <v>2910</v>
      </c>
      <c r="K1887" s="891"/>
      <c r="L1887" s="891">
        <f>SUM(L1888:L1892)</f>
        <v>293148.24</v>
      </c>
      <c r="M1887" s="891"/>
      <c r="N1887" s="891">
        <f>SUM(N1888:N1892)</f>
        <v>0</v>
      </c>
      <c r="O1887" s="892">
        <f t="shared" si="116"/>
        <v>1</v>
      </c>
      <c r="P1887" s="903">
        <f t="shared" si="117"/>
        <v>0</v>
      </c>
      <c r="Q1887" s="893">
        <f t="shared" si="118"/>
        <v>0</v>
      </c>
      <c r="R1887" s="894">
        <f t="shared" si="119"/>
        <v>5</v>
      </c>
    </row>
    <row r="1888" spans="1:18" s="904" customFormat="1">
      <c r="A1888" s="895"/>
      <c r="B1888" s="896"/>
      <c r="C1888" s="897"/>
      <c r="D1888" s="897"/>
      <c r="E1888" s="924" t="s">
        <v>108</v>
      </c>
      <c r="F1888" s="899"/>
      <c r="G1888" s="900"/>
      <c r="H1888" s="901"/>
      <c r="I1888" s="902"/>
      <c r="J1888" s="902"/>
      <c r="K1888" s="912" t="s">
        <v>274</v>
      </c>
      <c r="L1888" s="902"/>
      <c r="M1888" s="902"/>
      <c r="N1888" s="902"/>
      <c r="O1888" s="892">
        <f t="shared" si="116"/>
        <v>0</v>
      </c>
      <c r="P1888" s="903">
        <f t="shared" si="117"/>
        <v>1</v>
      </c>
      <c r="Q1888" s="893">
        <f t="shared" si="118"/>
        <v>5</v>
      </c>
      <c r="R1888" s="894">
        <f t="shared" si="119"/>
        <v>0</v>
      </c>
    </row>
    <row r="1889" spans="1:18">
      <c r="A1889" s="905"/>
      <c r="B1889" s="906"/>
      <c r="C1889" s="907">
        <v>66</v>
      </c>
      <c r="D1889" s="907" t="s">
        <v>279</v>
      </c>
      <c r="E1889" s="925" t="s">
        <v>2682</v>
      </c>
      <c r="F1889" s="926" t="s">
        <v>45</v>
      </c>
      <c r="G1889" s="910"/>
      <c r="H1889" s="911">
        <v>0.03</v>
      </c>
      <c r="I1889" s="912">
        <f>VLOOKUP(E1889,[3]VLP!$B$7:$K$300,10,0)</f>
        <v>5000</v>
      </c>
      <c r="J1889" s="912">
        <f>I1889*H1889</f>
        <v>150</v>
      </c>
      <c r="K1889" s="912" t="s">
        <v>274</v>
      </c>
      <c r="L1889" s="912"/>
      <c r="M1889" s="912"/>
      <c r="N1889" s="912"/>
      <c r="O1889" s="892">
        <f t="shared" si="116"/>
        <v>0</v>
      </c>
      <c r="P1889" s="903">
        <f t="shared" si="117"/>
        <v>1</v>
      </c>
      <c r="Q1889" s="893">
        <f t="shared" si="118"/>
        <v>4</v>
      </c>
      <c r="R1889" s="894">
        <f t="shared" si="119"/>
        <v>0</v>
      </c>
    </row>
    <row r="1890" spans="1:18">
      <c r="A1890" s="905"/>
      <c r="B1890" s="906"/>
      <c r="C1890" s="907">
        <v>44</v>
      </c>
      <c r="D1890" s="907" t="s">
        <v>279</v>
      </c>
      <c r="E1890" s="925" t="s">
        <v>2681</v>
      </c>
      <c r="F1890" s="926" t="s">
        <v>45</v>
      </c>
      <c r="G1890" s="910"/>
      <c r="H1890" s="911">
        <v>0.12</v>
      </c>
      <c r="I1890" s="912">
        <f>VLOOKUP(E1890,[3]VLP!$B$7:$K$300,10,0)</f>
        <v>23000</v>
      </c>
      <c r="J1890" s="912">
        <f>I1890*H1890</f>
        <v>2760</v>
      </c>
      <c r="K1890" s="912" t="s">
        <v>274</v>
      </c>
      <c r="L1890" s="912"/>
      <c r="M1890" s="912"/>
      <c r="N1890" s="912"/>
      <c r="O1890" s="892">
        <f t="shared" si="116"/>
        <v>0</v>
      </c>
      <c r="P1890" s="903">
        <f t="shared" si="117"/>
        <v>1</v>
      </c>
      <c r="Q1890" s="893">
        <f t="shared" si="118"/>
        <v>3</v>
      </c>
      <c r="R1890" s="894">
        <f t="shared" si="119"/>
        <v>0</v>
      </c>
    </row>
    <row r="1891" spans="1:18" s="904" customFormat="1">
      <c r="A1891" s="895"/>
      <c r="B1891" s="896"/>
      <c r="C1891" s="897"/>
      <c r="D1891" s="897"/>
      <c r="E1891" s="924" t="s">
        <v>276</v>
      </c>
      <c r="F1891" s="927"/>
      <c r="G1891" s="928"/>
      <c r="H1891" s="901"/>
      <c r="I1891" s="902"/>
      <c r="J1891" s="902"/>
      <c r="K1891" s="912" t="s">
        <v>274</v>
      </c>
      <c r="L1891" s="902"/>
      <c r="M1891" s="902"/>
      <c r="N1891" s="902"/>
      <c r="O1891" s="892">
        <f t="shared" si="116"/>
        <v>0</v>
      </c>
      <c r="P1891" s="903">
        <f t="shared" si="117"/>
        <v>1</v>
      </c>
      <c r="Q1891" s="893">
        <f t="shared" si="118"/>
        <v>2</v>
      </c>
      <c r="R1891" s="894">
        <f t="shared" si="119"/>
        <v>0</v>
      </c>
    </row>
    <row r="1892" spans="1:18">
      <c r="A1892" s="905"/>
      <c r="B1892" s="906"/>
      <c r="C1892" s="907">
        <v>740</v>
      </c>
      <c r="D1892" s="907" t="s">
        <v>12</v>
      </c>
      <c r="E1892" s="908" t="s">
        <v>4008</v>
      </c>
      <c r="F1892" s="909" t="s">
        <v>2674</v>
      </c>
      <c r="G1892" s="910"/>
      <c r="H1892" s="911">
        <v>1.1599999999999999</v>
      </c>
      <c r="I1892" s="912"/>
      <c r="J1892" s="912"/>
      <c r="K1892" s="912">
        <f>VLOOKUP(E1892,ĐMNC!$A$7:$F$67,4,0)</f>
        <v>252714</v>
      </c>
      <c r="L1892" s="912">
        <f>H1892*K1892</f>
        <v>293148.24</v>
      </c>
      <c r="M1892" s="912"/>
      <c r="N1892" s="912"/>
      <c r="O1892" s="892">
        <f t="shared" si="116"/>
        <v>0</v>
      </c>
      <c r="P1892" s="903">
        <f t="shared" si="117"/>
        <v>1</v>
      </c>
      <c r="Q1892" s="893">
        <f t="shared" si="118"/>
        <v>1</v>
      </c>
      <c r="R1892" s="894">
        <f t="shared" si="119"/>
        <v>0</v>
      </c>
    </row>
    <row r="1893" spans="1:18" s="847" customFormat="1" ht="31.5">
      <c r="A1893" s="905" t="s">
        <v>4561</v>
      </c>
      <c r="B1893" s="914" t="s">
        <v>4562</v>
      </c>
      <c r="C1893" s="915"/>
      <c r="D1893" s="915"/>
      <c r="E1893" s="916" t="s">
        <v>4563</v>
      </c>
      <c r="F1893" s="917" t="s">
        <v>249</v>
      </c>
      <c r="G1893" s="918"/>
      <c r="H1893" s="919"/>
      <c r="I1893" s="920"/>
      <c r="J1893" s="891">
        <f>SUM(J1894:J1898)</f>
        <v>2910</v>
      </c>
      <c r="K1893" s="891"/>
      <c r="L1893" s="891">
        <f>SUM(L1894:L1898)</f>
        <v>336109.62</v>
      </c>
      <c r="M1893" s="891"/>
      <c r="N1893" s="891">
        <f>SUM(N1894:N1898)</f>
        <v>0</v>
      </c>
      <c r="O1893" s="892">
        <f t="shared" si="116"/>
        <v>1</v>
      </c>
      <c r="P1893" s="903">
        <f t="shared" si="117"/>
        <v>0</v>
      </c>
      <c r="Q1893" s="893">
        <f t="shared" si="118"/>
        <v>0</v>
      </c>
      <c r="R1893" s="894">
        <f t="shared" si="119"/>
        <v>5</v>
      </c>
    </row>
    <row r="1894" spans="1:18" s="904" customFormat="1">
      <c r="A1894" s="895"/>
      <c r="B1894" s="896"/>
      <c r="C1894" s="897"/>
      <c r="D1894" s="897"/>
      <c r="E1894" s="924" t="s">
        <v>108</v>
      </c>
      <c r="F1894" s="899"/>
      <c r="G1894" s="900"/>
      <c r="H1894" s="901"/>
      <c r="I1894" s="902"/>
      <c r="J1894" s="902"/>
      <c r="K1894" s="912" t="s">
        <v>274</v>
      </c>
      <c r="L1894" s="902"/>
      <c r="M1894" s="902"/>
      <c r="N1894" s="902"/>
      <c r="O1894" s="892">
        <f t="shared" si="116"/>
        <v>0</v>
      </c>
      <c r="P1894" s="903">
        <f t="shared" si="117"/>
        <v>1</v>
      </c>
      <c r="Q1894" s="893">
        <f t="shared" si="118"/>
        <v>5</v>
      </c>
      <c r="R1894" s="894">
        <f t="shared" si="119"/>
        <v>0</v>
      </c>
    </row>
    <row r="1895" spans="1:18">
      <c r="A1895" s="905"/>
      <c r="B1895" s="906"/>
      <c r="C1895" s="907">
        <v>66</v>
      </c>
      <c r="D1895" s="907" t="s">
        <v>279</v>
      </c>
      <c r="E1895" s="925" t="s">
        <v>2682</v>
      </c>
      <c r="F1895" s="926" t="s">
        <v>45</v>
      </c>
      <c r="G1895" s="910"/>
      <c r="H1895" s="911">
        <v>0.03</v>
      </c>
      <c r="I1895" s="912">
        <f>VLOOKUP(E1895,[3]VLP!$B$7:$K$300,10,0)</f>
        <v>5000</v>
      </c>
      <c r="J1895" s="912">
        <f>I1895*H1895</f>
        <v>150</v>
      </c>
      <c r="K1895" s="912" t="s">
        <v>274</v>
      </c>
      <c r="L1895" s="912"/>
      <c r="M1895" s="912"/>
      <c r="N1895" s="912"/>
      <c r="O1895" s="892">
        <f t="shared" si="116"/>
        <v>0</v>
      </c>
      <c r="P1895" s="903">
        <f t="shared" si="117"/>
        <v>1</v>
      </c>
      <c r="Q1895" s="893">
        <f t="shared" si="118"/>
        <v>4</v>
      </c>
      <c r="R1895" s="894">
        <f t="shared" si="119"/>
        <v>0</v>
      </c>
    </row>
    <row r="1896" spans="1:18">
      <c r="A1896" s="905"/>
      <c r="B1896" s="906"/>
      <c r="C1896" s="907">
        <v>44</v>
      </c>
      <c r="D1896" s="907" t="s">
        <v>279</v>
      </c>
      <c r="E1896" s="925" t="s">
        <v>2681</v>
      </c>
      <c r="F1896" s="926" t="s">
        <v>45</v>
      </c>
      <c r="G1896" s="910"/>
      <c r="H1896" s="911">
        <v>0.12</v>
      </c>
      <c r="I1896" s="912">
        <f>VLOOKUP(E1896,[3]VLP!$B$7:$K$300,10,0)</f>
        <v>23000</v>
      </c>
      <c r="J1896" s="912">
        <f>I1896*H1896</f>
        <v>2760</v>
      </c>
      <c r="K1896" s="912" t="s">
        <v>274</v>
      </c>
      <c r="L1896" s="912"/>
      <c r="M1896" s="912"/>
      <c r="N1896" s="912"/>
      <c r="O1896" s="892">
        <f t="shared" si="116"/>
        <v>0</v>
      </c>
      <c r="P1896" s="903">
        <f t="shared" si="117"/>
        <v>1</v>
      </c>
      <c r="Q1896" s="893">
        <f t="shared" si="118"/>
        <v>3</v>
      </c>
      <c r="R1896" s="894">
        <f t="shared" si="119"/>
        <v>0</v>
      </c>
    </row>
    <row r="1897" spans="1:18" s="904" customFormat="1">
      <c r="A1897" s="895"/>
      <c r="B1897" s="896"/>
      <c r="C1897" s="897"/>
      <c r="D1897" s="897"/>
      <c r="E1897" s="924" t="s">
        <v>276</v>
      </c>
      <c r="F1897" s="927"/>
      <c r="G1897" s="928"/>
      <c r="H1897" s="901"/>
      <c r="I1897" s="902"/>
      <c r="J1897" s="902"/>
      <c r="K1897" s="912" t="s">
        <v>274</v>
      </c>
      <c r="L1897" s="902"/>
      <c r="M1897" s="902"/>
      <c r="N1897" s="902"/>
      <c r="O1897" s="892">
        <f t="shared" si="116"/>
        <v>0</v>
      </c>
      <c r="P1897" s="903">
        <f t="shared" si="117"/>
        <v>1</v>
      </c>
      <c r="Q1897" s="893">
        <f t="shared" si="118"/>
        <v>2</v>
      </c>
      <c r="R1897" s="894">
        <f t="shared" si="119"/>
        <v>0</v>
      </c>
    </row>
    <row r="1898" spans="1:18">
      <c r="A1898" s="905"/>
      <c r="B1898" s="906"/>
      <c r="C1898" s="907">
        <v>740</v>
      </c>
      <c r="D1898" s="907" t="s">
        <v>12</v>
      </c>
      <c r="E1898" s="908" t="s">
        <v>4008</v>
      </c>
      <c r="F1898" s="909" t="s">
        <v>2674</v>
      </c>
      <c r="G1898" s="910"/>
      <c r="H1898" s="911">
        <v>1.33</v>
      </c>
      <c r="I1898" s="912"/>
      <c r="J1898" s="912"/>
      <c r="K1898" s="912">
        <f>VLOOKUP(E1898,ĐMNC!$A$7:$F$67,4,0)</f>
        <v>252714</v>
      </c>
      <c r="L1898" s="912">
        <f>H1898*K1898</f>
        <v>336109.62</v>
      </c>
      <c r="M1898" s="912"/>
      <c r="N1898" s="912"/>
      <c r="O1898" s="892">
        <f t="shared" si="116"/>
        <v>0</v>
      </c>
      <c r="P1898" s="903">
        <f t="shared" si="117"/>
        <v>1</v>
      </c>
      <c r="Q1898" s="893">
        <f t="shared" si="118"/>
        <v>1</v>
      </c>
      <c r="R1898" s="894">
        <f t="shared" si="119"/>
        <v>0</v>
      </c>
    </row>
    <row r="1899" spans="1:18" s="847" customFormat="1" ht="31.5">
      <c r="A1899" s="905"/>
      <c r="B1899" s="914" t="s">
        <v>4564</v>
      </c>
      <c r="C1899" s="915"/>
      <c r="D1899" s="915"/>
      <c r="E1899" s="916" t="s">
        <v>4565</v>
      </c>
      <c r="F1899" s="917" t="s">
        <v>249</v>
      </c>
      <c r="G1899" s="918"/>
      <c r="H1899" s="919"/>
      <c r="I1899" s="920"/>
      <c r="J1899" s="891">
        <f>SUM(J1900:J1904)</f>
        <v>2910</v>
      </c>
      <c r="K1899" s="891"/>
      <c r="L1899" s="891">
        <f>SUM(L1900:L1904)</f>
        <v>386652.42</v>
      </c>
      <c r="M1899" s="891"/>
      <c r="N1899" s="891">
        <f>SUM(N1900:N1904)</f>
        <v>0</v>
      </c>
      <c r="O1899" s="892">
        <f t="shared" si="116"/>
        <v>1</v>
      </c>
      <c r="P1899" s="903">
        <f t="shared" si="117"/>
        <v>0</v>
      </c>
      <c r="Q1899" s="893">
        <f t="shared" si="118"/>
        <v>0</v>
      </c>
      <c r="R1899" s="894">
        <f t="shared" si="119"/>
        <v>5</v>
      </c>
    </row>
    <row r="1900" spans="1:18" s="904" customFormat="1">
      <c r="A1900" s="895"/>
      <c r="B1900" s="896"/>
      <c r="C1900" s="897"/>
      <c r="D1900" s="897"/>
      <c r="E1900" s="924" t="s">
        <v>108</v>
      </c>
      <c r="F1900" s="899"/>
      <c r="G1900" s="900"/>
      <c r="H1900" s="901"/>
      <c r="I1900" s="902"/>
      <c r="J1900" s="902"/>
      <c r="K1900" s="912" t="s">
        <v>274</v>
      </c>
      <c r="L1900" s="902"/>
      <c r="M1900" s="902"/>
      <c r="N1900" s="902"/>
      <c r="O1900" s="892">
        <f t="shared" si="116"/>
        <v>0</v>
      </c>
      <c r="P1900" s="903">
        <f t="shared" si="117"/>
        <v>1</v>
      </c>
      <c r="Q1900" s="893">
        <f t="shared" si="118"/>
        <v>5</v>
      </c>
      <c r="R1900" s="894">
        <f t="shared" si="119"/>
        <v>0</v>
      </c>
    </row>
    <row r="1901" spans="1:18">
      <c r="A1901" s="905"/>
      <c r="B1901" s="906"/>
      <c r="C1901" s="907">
        <v>66</v>
      </c>
      <c r="D1901" s="907" t="s">
        <v>279</v>
      </c>
      <c r="E1901" s="925" t="s">
        <v>2682</v>
      </c>
      <c r="F1901" s="926" t="s">
        <v>45</v>
      </c>
      <c r="G1901" s="910"/>
      <c r="H1901" s="911">
        <v>0.03</v>
      </c>
      <c r="I1901" s="912">
        <f>VLOOKUP(E1901,[3]VLP!$B$7:$K$300,10,0)</f>
        <v>5000</v>
      </c>
      <c r="J1901" s="912">
        <f>I1901*H1901</f>
        <v>150</v>
      </c>
      <c r="K1901" s="912" t="s">
        <v>274</v>
      </c>
      <c r="L1901" s="912"/>
      <c r="M1901" s="912"/>
      <c r="N1901" s="912"/>
      <c r="O1901" s="892">
        <f t="shared" si="116"/>
        <v>0</v>
      </c>
      <c r="P1901" s="903">
        <f t="shared" si="117"/>
        <v>1</v>
      </c>
      <c r="Q1901" s="893">
        <f t="shared" si="118"/>
        <v>4</v>
      </c>
      <c r="R1901" s="894">
        <f t="shared" si="119"/>
        <v>0</v>
      </c>
    </row>
    <row r="1902" spans="1:18">
      <c r="A1902" s="905"/>
      <c r="B1902" s="906"/>
      <c r="C1902" s="907">
        <v>44</v>
      </c>
      <c r="D1902" s="907" t="s">
        <v>279</v>
      </c>
      <c r="E1902" s="925" t="s">
        <v>2681</v>
      </c>
      <c r="F1902" s="926" t="s">
        <v>45</v>
      </c>
      <c r="G1902" s="910"/>
      <c r="H1902" s="911">
        <v>0.12</v>
      </c>
      <c r="I1902" s="912">
        <f>VLOOKUP(E1902,[3]VLP!$B$7:$K$300,10,0)</f>
        <v>23000</v>
      </c>
      <c r="J1902" s="912">
        <f>I1902*H1902</f>
        <v>2760</v>
      </c>
      <c r="K1902" s="912" t="s">
        <v>274</v>
      </c>
      <c r="L1902" s="912"/>
      <c r="M1902" s="912"/>
      <c r="N1902" s="912"/>
      <c r="O1902" s="892">
        <f t="shared" si="116"/>
        <v>0</v>
      </c>
      <c r="P1902" s="903">
        <f t="shared" si="117"/>
        <v>1</v>
      </c>
      <c r="Q1902" s="893">
        <f t="shared" si="118"/>
        <v>3</v>
      </c>
      <c r="R1902" s="894">
        <f t="shared" si="119"/>
        <v>0</v>
      </c>
    </row>
    <row r="1903" spans="1:18" s="904" customFormat="1">
      <c r="A1903" s="895"/>
      <c r="B1903" s="896"/>
      <c r="C1903" s="897"/>
      <c r="D1903" s="897"/>
      <c r="E1903" s="924" t="s">
        <v>276</v>
      </c>
      <c r="F1903" s="927"/>
      <c r="G1903" s="928"/>
      <c r="H1903" s="901"/>
      <c r="I1903" s="902"/>
      <c r="J1903" s="902"/>
      <c r="K1903" s="912" t="s">
        <v>274</v>
      </c>
      <c r="L1903" s="902"/>
      <c r="M1903" s="902"/>
      <c r="N1903" s="902"/>
      <c r="O1903" s="892">
        <f t="shared" si="116"/>
        <v>0</v>
      </c>
      <c r="P1903" s="903">
        <f t="shared" si="117"/>
        <v>1</v>
      </c>
      <c r="Q1903" s="893">
        <f t="shared" si="118"/>
        <v>2</v>
      </c>
      <c r="R1903" s="894">
        <f t="shared" si="119"/>
        <v>0</v>
      </c>
    </row>
    <row r="1904" spans="1:18">
      <c r="A1904" s="905"/>
      <c r="B1904" s="906"/>
      <c r="C1904" s="907">
        <v>740</v>
      </c>
      <c r="D1904" s="907" t="s">
        <v>12</v>
      </c>
      <c r="E1904" s="908" t="s">
        <v>4008</v>
      </c>
      <c r="F1904" s="909" t="s">
        <v>2674</v>
      </c>
      <c r="G1904" s="910"/>
      <c r="H1904" s="911">
        <v>1.53</v>
      </c>
      <c r="I1904" s="912"/>
      <c r="J1904" s="912"/>
      <c r="K1904" s="912">
        <f>VLOOKUP(E1904,ĐMNC!$A$7:$F$67,4,0)</f>
        <v>252714</v>
      </c>
      <c r="L1904" s="912">
        <f>H1904*K1904</f>
        <v>386652.42</v>
      </c>
      <c r="M1904" s="912"/>
      <c r="N1904" s="912"/>
      <c r="O1904" s="892">
        <f t="shared" si="116"/>
        <v>0</v>
      </c>
      <c r="P1904" s="903">
        <f t="shared" si="117"/>
        <v>1</v>
      </c>
      <c r="Q1904" s="893">
        <f t="shared" si="118"/>
        <v>1</v>
      </c>
      <c r="R1904" s="894">
        <f t="shared" si="119"/>
        <v>0</v>
      </c>
    </row>
    <row r="1905" spans="1:18" s="847" customFormat="1" ht="31.5">
      <c r="A1905" s="905"/>
      <c r="B1905" s="914" t="s">
        <v>4566</v>
      </c>
      <c r="C1905" s="915"/>
      <c r="D1905" s="915"/>
      <c r="E1905" s="916" t="s">
        <v>4567</v>
      </c>
      <c r="F1905" s="917" t="s">
        <v>249</v>
      </c>
      <c r="G1905" s="918"/>
      <c r="H1905" s="919"/>
      <c r="I1905" s="920"/>
      <c r="J1905" s="891">
        <f>SUM(J1906:J1910)</f>
        <v>3945</v>
      </c>
      <c r="K1905" s="891"/>
      <c r="L1905" s="891">
        <f>SUM(L1906:L1910)</f>
        <v>255241.14</v>
      </c>
      <c r="M1905" s="891"/>
      <c r="N1905" s="891">
        <f>SUM(N1906:N1910)</f>
        <v>0</v>
      </c>
      <c r="O1905" s="892">
        <f t="shared" si="116"/>
        <v>1</v>
      </c>
      <c r="P1905" s="903">
        <f t="shared" si="117"/>
        <v>0</v>
      </c>
      <c r="Q1905" s="893">
        <f t="shared" si="118"/>
        <v>0</v>
      </c>
      <c r="R1905" s="894">
        <f t="shared" si="119"/>
        <v>5</v>
      </c>
    </row>
    <row r="1906" spans="1:18" s="904" customFormat="1">
      <c r="A1906" s="895"/>
      <c r="B1906" s="922"/>
      <c r="C1906" s="897"/>
      <c r="D1906" s="897"/>
      <c r="E1906" s="924" t="s">
        <v>108</v>
      </c>
      <c r="F1906" s="899"/>
      <c r="G1906" s="900"/>
      <c r="H1906" s="901"/>
      <c r="I1906" s="902"/>
      <c r="J1906" s="902"/>
      <c r="K1906" s="912" t="s">
        <v>274</v>
      </c>
      <c r="L1906" s="902"/>
      <c r="M1906" s="902"/>
      <c r="N1906" s="902"/>
      <c r="O1906" s="892">
        <f t="shared" si="116"/>
        <v>0</v>
      </c>
      <c r="P1906" s="903">
        <f t="shared" si="117"/>
        <v>1</v>
      </c>
      <c r="Q1906" s="893">
        <f t="shared" si="118"/>
        <v>5</v>
      </c>
      <c r="R1906" s="894">
        <f t="shared" si="119"/>
        <v>0</v>
      </c>
    </row>
    <row r="1907" spans="1:18">
      <c r="A1907" s="905"/>
      <c r="B1907" s="906"/>
      <c r="C1907" s="907">
        <v>66</v>
      </c>
      <c r="D1907" s="907" t="s">
        <v>279</v>
      </c>
      <c r="E1907" s="925" t="s">
        <v>2682</v>
      </c>
      <c r="F1907" s="926" t="s">
        <v>45</v>
      </c>
      <c r="G1907" s="910"/>
      <c r="H1907" s="911">
        <v>0.03</v>
      </c>
      <c r="I1907" s="912">
        <f>VLOOKUP(E1907,[3]VLP!$B$7:$K$300,10,0)</f>
        <v>5000</v>
      </c>
      <c r="J1907" s="912">
        <f>I1907*H1907</f>
        <v>150</v>
      </c>
      <c r="K1907" s="912" t="s">
        <v>274</v>
      </c>
      <c r="L1907" s="912"/>
      <c r="M1907" s="912"/>
      <c r="N1907" s="912"/>
      <c r="O1907" s="892">
        <f t="shared" si="116"/>
        <v>0</v>
      </c>
      <c r="P1907" s="903">
        <f t="shared" si="117"/>
        <v>1</v>
      </c>
      <c r="Q1907" s="893">
        <f t="shared" si="118"/>
        <v>4</v>
      </c>
      <c r="R1907" s="894">
        <f t="shared" si="119"/>
        <v>0</v>
      </c>
    </row>
    <row r="1908" spans="1:18">
      <c r="A1908" s="905"/>
      <c r="B1908" s="906"/>
      <c r="C1908" s="907">
        <v>44</v>
      </c>
      <c r="D1908" s="907" t="s">
        <v>279</v>
      </c>
      <c r="E1908" s="925" t="s">
        <v>2681</v>
      </c>
      <c r="F1908" s="926" t="s">
        <v>45</v>
      </c>
      <c r="G1908" s="910"/>
      <c r="H1908" s="911">
        <v>0.16500000000000001</v>
      </c>
      <c r="I1908" s="912">
        <f>VLOOKUP(E1908,[3]VLP!$B$7:$K$300,10,0)</f>
        <v>23000</v>
      </c>
      <c r="J1908" s="912">
        <f>I1908*H1908</f>
        <v>3795</v>
      </c>
      <c r="K1908" s="912" t="s">
        <v>274</v>
      </c>
      <c r="L1908" s="912"/>
      <c r="M1908" s="912"/>
      <c r="N1908" s="912"/>
      <c r="O1908" s="892">
        <f t="shared" si="116"/>
        <v>0</v>
      </c>
      <c r="P1908" s="903">
        <f t="shared" si="117"/>
        <v>1</v>
      </c>
      <c r="Q1908" s="893">
        <f t="shared" si="118"/>
        <v>3</v>
      </c>
      <c r="R1908" s="894">
        <f t="shared" si="119"/>
        <v>0</v>
      </c>
    </row>
    <row r="1909" spans="1:18" s="904" customFormat="1">
      <c r="A1909" s="895"/>
      <c r="B1909" s="896"/>
      <c r="C1909" s="897"/>
      <c r="D1909" s="897"/>
      <c r="E1909" s="924" t="s">
        <v>276</v>
      </c>
      <c r="F1909" s="927"/>
      <c r="G1909" s="928"/>
      <c r="H1909" s="901"/>
      <c r="I1909" s="902"/>
      <c r="J1909" s="902"/>
      <c r="K1909" s="912" t="s">
        <v>274</v>
      </c>
      <c r="L1909" s="902"/>
      <c r="M1909" s="902"/>
      <c r="N1909" s="902"/>
      <c r="O1909" s="892">
        <f t="shared" si="116"/>
        <v>0</v>
      </c>
      <c r="P1909" s="903">
        <f t="shared" si="117"/>
        <v>1</v>
      </c>
      <c r="Q1909" s="893">
        <f t="shared" si="118"/>
        <v>2</v>
      </c>
      <c r="R1909" s="894">
        <f t="shared" si="119"/>
        <v>0</v>
      </c>
    </row>
    <row r="1910" spans="1:18">
      <c r="A1910" s="905"/>
      <c r="B1910" s="906"/>
      <c r="C1910" s="907">
        <v>740</v>
      </c>
      <c r="D1910" s="907" t="s">
        <v>12</v>
      </c>
      <c r="E1910" s="908" t="s">
        <v>4008</v>
      </c>
      <c r="F1910" s="909" t="s">
        <v>2674</v>
      </c>
      <c r="G1910" s="910"/>
      <c r="H1910" s="911">
        <v>1.01</v>
      </c>
      <c r="I1910" s="912"/>
      <c r="J1910" s="912"/>
      <c r="K1910" s="912">
        <f>VLOOKUP(E1910,ĐMNC!$A$7:$F$67,4,0)</f>
        <v>252714</v>
      </c>
      <c r="L1910" s="912">
        <f>H1910*K1910</f>
        <v>255241.14</v>
      </c>
      <c r="M1910" s="912"/>
      <c r="N1910" s="912"/>
      <c r="O1910" s="892">
        <f t="shared" si="116"/>
        <v>0</v>
      </c>
      <c r="P1910" s="903">
        <f t="shared" si="117"/>
        <v>1</v>
      </c>
      <c r="Q1910" s="893">
        <f t="shared" si="118"/>
        <v>1</v>
      </c>
      <c r="R1910" s="894">
        <f t="shared" si="119"/>
        <v>0</v>
      </c>
    </row>
    <row r="1911" spans="1:18" s="847" customFormat="1" ht="31.5">
      <c r="A1911" s="905"/>
      <c r="B1911" s="914" t="s">
        <v>4568</v>
      </c>
      <c r="C1911" s="915"/>
      <c r="D1911" s="915"/>
      <c r="E1911" s="916" t="s">
        <v>4569</v>
      </c>
      <c r="F1911" s="917" t="s">
        <v>249</v>
      </c>
      <c r="G1911" s="918"/>
      <c r="H1911" s="919"/>
      <c r="I1911" s="920"/>
      <c r="J1911" s="891">
        <f>SUM(J1912:J1916)</f>
        <v>3945</v>
      </c>
      <c r="K1911" s="891"/>
      <c r="L1911" s="891">
        <f>SUM(L1912:L1916)</f>
        <v>270403.98000000004</v>
      </c>
      <c r="M1911" s="891"/>
      <c r="N1911" s="891">
        <f>SUM(N1912:N1916)</f>
        <v>0</v>
      </c>
      <c r="O1911" s="892">
        <f t="shared" si="116"/>
        <v>1</v>
      </c>
      <c r="P1911" s="903">
        <f t="shared" si="117"/>
        <v>0</v>
      </c>
      <c r="Q1911" s="893">
        <f t="shared" si="118"/>
        <v>0</v>
      </c>
      <c r="R1911" s="894">
        <f t="shared" si="119"/>
        <v>5</v>
      </c>
    </row>
    <row r="1912" spans="1:18" s="904" customFormat="1">
      <c r="A1912" s="895"/>
      <c r="B1912" s="896"/>
      <c r="C1912" s="897"/>
      <c r="D1912" s="897"/>
      <c r="E1912" s="924" t="s">
        <v>108</v>
      </c>
      <c r="F1912" s="899"/>
      <c r="G1912" s="900"/>
      <c r="H1912" s="901"/>
      <c r="I1912" s="902"/>
      <c r="J1912" s="902"/>
      <c r="K1912" s="912" t="s">
        <v>274</v>
      </c>
      <c r="L1912" s="902"/>
      <c r="M1912" s="902"/>
      <c r="N1912" s="902"/>
      <c r="O1912" s="892">
        <f t="shared" si="116"/>
        <v>0</v>
      </c>
      <c r="P1912" s="903">
        <f t="shared" si="117"/>
        <v>1</v>
      </c>
      <c r="Q1912" s="893">
        <f t="shared" si="118"/>
        <v>5</v>
      </c>
      <c r="R1912" s="894">
        <f t="shared" si="119"/>
        <v>0</v>
      </c>
    </row>
    <row r="1913" spans="1:18">
      <c r="A1913" s="905"/>
      <c r="B1913" s="906"/>
      <c r="C1913" s="907">
        <v>66</v>
      </c>
      <c r="D1913" s="907" t="s">
        <v>279</v>
      </c>
      <c r="E1913" s="925" t="s">
        <v>2682</v>
      </c>
      <c r="F1913" s="926" t="s">
        <v>45</v>
      </c>
      <c r="G1913" s="910"/>
      <c r="H1913" s="911">
        <v>0.03</v>
      </c>
      <c r="I1913" s="912">
        <f>VLOOKUP(E1913,[3]VLP!$B$7:$K$300,10,0)</f>
        <v>5000</v>
      </c>
      <c r="J1913" s="912">
        <f>I1913*H1913</f>
        <v>150</v>
      </c>
      <c r="K1913" s="912" t="s">
        <v>274</v>
      </c>
      <c r="L1913" s="912"/>
      <c r="M1913" s="912"/>
      <c r="N1913" s="912"/>
      <c r="O1913" s="892">
        <f t="shared" si="116"/>
        <v>0</v>
      </c>
      <c r="P1913" s="903">
        <f t="shared" si="117"/>
        <v>1</v>
      </c>
      <c r="Q1913" s="893">
        <f t="shared" si="118"/>
        <v>4</v>
      </c>
      <c r="R1913" s="894">
        <f t="shared" si="119"/>
        <v>0</v>
      </c>
    </row>
    <row r="1914" spans="1:18">
      <c r="A1914" s="905"/>
      <c r="B1914" s="906"/>
      <c r="C1914" s="907">
        <v>44</v>
      </c>
      <c r="D1914" s="907" t="s">
        <v>279</v>
      </c>
      <c r="E1914" s="925" t="s">
        <v>2681</v>
      </c>
      <c r="F1914" s="926" t="s">
        <v>45</v>
      </c>
      <c r="G1914" s="910"/>
      <c r="H1914" s="911">
        <v>0.16500000000000001</v>
      </c>
      <c r="I1914" s="912">
        <f>VLOOKUP(E1914,[3]VLP!$B$7:$K$300,10,0)</f>
        <v>23000</v>
      </c>
      <c r="J1914" s="912">
        <f>I1914*H1914</f>
        <v>3795</v>
      </c>
      <c r="K1914" s="912" t="s">
        <v>274</v>
      </c>
      <c r="L1914" s="912"/>
      <c r="M1914" s="912"/>
      <c r="N1914" s="912"/>
      <c r="O1914" s="892">
        <f t="shared" si="116"/>
        <v>0</v>
      </c>
      <c r="P1914" s="903">
        <f t="shared" si="117"/>
        <v>1</v>
      </c>
      <c r="Q1914" s="893">
        <f t="shared" si="118"/>
        <v>3</v>
      </c>
      <c r="R1914" s="894">
        <f t="shared" si="119"/>
        <v>0</v>
      </c>
    </row>
    <row r="1915" spans="1:18" s="904" customFormat="1">
      <c r="A1915" s="895"/>
      <c r="B1915" s="896"/>
      <c r="C1915" s="897"/>
      <c r="D1915" s="897"/>
      <c r="E1915" s="924" t="s">
        <v>276</v>
      </c>
      <c r="F1915" s="927"/>
      <c r="G1915" s="928"/>
      <c r="H1915" s="901"/>
      <c r="I1915" s="902"/>
      <c r="J1915" s="902"/>
      <c r="K1915" s="912" t="s">
        <v>274</v>
      </c>
      <c r="L1915" s="902"/>
      <c r="M1915" s="902"/>
      <c r="N1915" s="902"/>
      <c r="O1915" s="892">
        <f t="shared" si="116"/>
        <v>0</v>
      </c>
      <c r="P1915" s="903">
        <f t="shared" si="117"/>
        <v>1</v>
      </c>
      <c r="Q1915" s="893">
        <f t="shared" si="118"/>
        <v>2</v>
      </c>
      <c r="R1915" s="894">
        <f t="shared" si="119"/>
        <v>0</v>
      </c>
    </row>
    <row r="1916" spans="1:18">
      <c r="A1916" s="905"/>
      <c r="B1916" s="906"/>
      <c r="C1916" s="907">
        <v>740</v>
      </c>
      <c r="D1916" s="907" t="s">
        <v>12</v>
      </c>
      <c r="E1916" s="908" t="s">
        <v>4008</v>
      </c>
      <c r="F1916" s="909" t="s">
        <v>2674</v>
      </c>
      <c r="G1916" s="910"/>
      <c r="H1916" s="911">
        <v>1.07</v>
      </c>
      <c r="I1916" s="912"/>
      <c r="J1916" s="912"/>
      <c r="K1916" s="912">
        <f>VLOOKUP(E1916,ĐMNC!$A$7:$F$67,4,0)</f>
        <v>252714</v>
      </c>
      <c r="L1916" s="912">
        <f>H1916*K1916</f>
        <v>270403.98000000004</v>
      </c>
      <c r="M1916" s="912"/>
      <c r="N1916" s="912"/>
      <c r="O1916" s="892">
        <f t="shared" si="116"/>
        <v>0</v>
      </c>
      <c r="P1916" s="903">
        <f t="shared" si="117"/>
        <v>1</v>
      </c>
      <c r="Q1916" s="893">
        <f t="shared" si="118"/>
        <v>1</v>
      </c>
      <c r="R1916" s="894">
        <f t="shared" si="119"/>
        <v>0</v>
      </c>
    </row>
    <row r="1917" spans="1:18" s="847" customFormat="1" ht="31.5">
      <c r="A1917" s="905"/>
      <c r="B1917" s="914" t="s">
        <v>4570</v>
      </c>
      <c r="C1917" s="915"/>
      <c r="D1917" s="915"/>
      <c r="E1917" s="916" t="s">
        <v>4571</v>
      </c>
      <c r="F1917" s="917" t="s">
        <v>249</v>
      </c>
      <c r="G1917" s="918"/>
      <c r="H1917" s="919"/>
      <c r="I1917" s="920"/>
      <c r="J1917" s="891">
        <f>SUM(J1918:J1922)</f>
        <v>3945</v>
      </c>
      <c r="K1917" s="891"/>
      <c r="L1917" s="891">
        <f>SUM(L1918:L1922)</f>
        <v>305783.94</v>
      </c>
      <c r="M1917" s="891"/>
      <c r="N1917" s="891">
        <f>SUM(N1918:N1922)</f>
        <v>0</v>
      </c>
      <c r="O1917" s="892">
        <f t="shared" si="116"/>
        <v>1</v>
      </c>
      <c r="P1917" s="903">
        <f t="shared" si="117"/>
        <v>0</v>
      </c>
      <c r="Q1917" s="893">
        <f t="shared" si="118"/>
        <v>0</v>
      </c>
      <c r="R1917" s="894">
        <f t="shared" si="119"/>
        <v>5</v>
      </c>
    </row>
    <row r="1918" spans="1:18" s="904" customFormat="1">
      <c r="A1918" s="895"/>
      <c r="B1918" s="896"/>
      <c r="C1918" s="897"/>
      <c r="D1918" s="897"/>
      <c r="E1918" s="924" t="s">
        <v>108</v>
      </c>
      <c r="F1918" s="899"/>
      <c r="G1918" s="900"/>
      <c r="H1918" s="901"/>
      <c r="I1918" s="902"/>
      <c r="J1918" s="902"/>
      <c r="K1918" s="912" t="s">
        <v>274</v>
      </c>
      <c r="L1918" s="902"/>
      <c r="M1918" s="902"/>
      <c r="N1918" s="902"/>
      <c r="O1918" s="892">
        <f t="shared" si="116"/>
        <v>0</v>
      </c>
      <c r="P1918" s="903">
        <f t="shared" si="117"/>
        <v>1</v>
      </c>
      <c r="Q1918" s="893">
        <f t="shared" si="118"/>
        <v>5</v>
      </c>
      <c r="R1918" s="894">
        <f t="shared" si="119"/>
        <v>0</v>
      </c>
    </row>
    <row r="1919" spans="1:18">
      <c r="A1919" s="905"/>
      <c r="B1919" s="906"/>
      <c r="C1919" s="907">
        <v>66</v>
      </c>
      <c r="D1919" s="907" t="s">
        <v>279</v>
      </c>
      <c r="E1919" s="925" t="s">
        <v>2682</v>
      </c>
      <c r="F1919" s="926" t="s">
        <v>45</v>
      </c>
      <c r="G1919" s="910"/>
      <c r="H1919" s="911">
        <v>0.03</v>
      </c>
      <c r="I1919" s="912">
        <f>VLOOKUP(E1919,[3]VLP!$B$7:$K$300,10,0)</f>
        <v>5000</v>
      </c>
      <c r="J1919" s="912">
        <f>I1919*H1919</f>
        <v>150</v>
      </c>
      <c r="K1919" s="912" t="s">
        <v>274</v>
      </c>
      <c r="L1919" s="912"/>
      <c r="M1919" s="912"/>
      <c r="N1919" s="912"/>
      <c r="O1919" s="892">
        <f t="shared" si="116"/>
        <v>0</v>
      </c>
      <c r="P1919" s="903">
        <f t="shared" si="117"/>
        <v>1</v>
      </c>
      <c r="Q1919" s="893">
        <f t="shared" si="118"/>
        <v>4</v>
      </c>
      <c r="R1919" s="894">
        <f t="shared" si="119"/>
        <v>0</v>
      </c>
    </row>
    <row r="1920" spans="1:18">
      <c r="A1920" s="905"/>
      <c r="B1920" s="906"/>
      <c r="C1920" s="907">
        <v>44</v>
      </c>
      <c r="D1920" s="907" t="s">
        <v>279</v>
      </c>
      <c r="E1920" s="925" t="s">
        <v>2681</v>
      </c>
      <c r="F1920" s="926" t="s">
        <v>45</v>
      </c>
      <c r="G1920" s="910"/>
      <c r="H1920" s="911">
        <v>0.16500000000000001</v>
      </c>
      <c r="I1920" s="912">
        <f>VLOOKUP(E1920,[3]VLP!$B$7:$K$300,10,0)</f>
        <v>23000</v>
      </c>
      <c r="J1920" s="912">
        <f>I1920*H1920</f>
        <v>3795</v>
      </c>
      <c r="K1920" s="912" t="s">
        <v>274</v>
      </c>
      <c r="L1920" s="912"/>
      <c r="M1920" s="912"/>
      <c r="N1920" s="912"/>
      <c r="O1920" s="892">
        <f t="shared" si="116"/>
        <v>0</v>
      </c>
      <c r="P1920" s="903">
        <f t="shared" si="117"/>
        <v>1</v>
      </c>
      <c r="Q1920" s="893">
        <f t="shared" si="118"/>
        <v>3</v>
      </c>
      <c r="R1920" s="894">
        <f t="shared" si="119"/>
        <v>0</v>
      </c>
    </row>
    <row r="1921" spans="1:18" s="904" customFormat="1">
      <c r="A1921" s="895"/>
      <c r="B1921" s="896"/>
      <c r="C1921" s="897"/>
      <c r="D1921" s="897"/>
      <c r="E1921" s="924" t="s">
        <v>276</v>
      </c>
      <c r="F1921" s="927"/>
      <c r="G1921" s="928"/>
      <c r="H1921" s="901"/>
      <c r="I1921" s="902"/>
      <c r="J1921" s="902"/>
      <c r="K1921" s="912" t="s">
        <v>274</v>
      </c>
      <c r="L1921" s="902"/>
      <c r="M1921" s="902"/>
      <c r="N1921" s="902"/>
      <c r="O1921" s="892">
        <f t="shared" si="116"/>
        <v>0</v>
      </c>
      <c r="P1921" s="903">
        <f t="shared" si="117"/>
        <v>1</v>
      </c>
      <c r="Q1921" s="893">
        <f t="shared" si="118"/>
        <v>2</v>
      </c>
      <c r="R1921" s="894">
        <f t="shared" si="119"/>
        <v>0</v>
      </c>
    </row>
    <row r="1922" spans="1:18">
      <c r="A1922" s="905"/>
      <c r="B1922" s="906"/>
      <c r="C1922" s="907">
        <v>740</v>
      </c>
      <c r="D1922" s="907" t="s">
        <v>12</v>
      </c>
      <c r="E1922" s="908" t="s">
        <v>4008</v>
      </c>
      <c r="F1922" s="909" t="s">
        <v>2674</v>
      </c>
      <c r="G1922" s="910"/>
      <c r="H1922" s="911">
        <v>1.21</v>
      </c>
      <c r="I1922" s="912"/>
      <c r="J1922" s="912"/>
      <c r="K1922" s="912">
        <f>VLOOKUP(E1922,ĐMNC!$A$7:$F$67,4,0)</f>
        <v>252714</v>
      </c>
      <c r="L1922" s="912">
        <f>H1922*K1922</f>
        <v>305783.94</v>
      </c>
      <c r="M1922" s="912"/>
      <c r="N1922" s="912"/>
      <c r="O1922" s="892">
        <f t="shared" si="116"/>
        <v>0</v>
      </c>
      <c r="P1922" s="903">
        <f t="shared" si="117"/>
        <v>1</v>
      </c>
      <c r="Q1922" s="893">
        <f t="shared" si="118"/>
        <v>1</v>
      </c>
      <c r="R1922" s="894">
        <f t="shared" si="119"/>
        <v>0</v>
      </c>
    </row>
    <row r="1923" spans="1:18" s="847" customFormat="1" ht="31.5">
      <c r="A1923" s="905"/>
      <c r="B1923" s="914" t="s">
        <v>4572</v>
      </c>
      <c r="C1923" s="915"/>
      <c r="D1923" s="915"/>
      <c r="E1923" s="916" t="s">
        <v>4573</v>
      </c>
      <c r="F1923" s="917" t="s">
        <v>249</v>
      </c>
      <c r="G1923" s="918"/>
      <c r="H1923" s="919"/>
      <c r="I1923" s="920"/>
      <c r="J1923" s="891">
        <f>SUM(J1924:J1928)</f>
        <v>3945</v>
      </c>
      <c r="K1923" s="891"/>
      <c r="L1923" s="891">
        <f>SUM(L1924:L1928)</f>
        <v>341163.9</v>
      </c>
      <c r="M1923" s="891"/>
      <c r="N1923" s="891">
        <f>SUM(N1924:N1928)</f>
        <v>0</v>
      </c>
      <c r="O1923" s="892">
        <f t="shared" si="116"/>
        <v>1</v>
      </c>
      <c r="P1923" s="903">
        <f t="shared" si="117"/>
        <v>0</v>
      </c>
      <c r="Q1923" s="893">
        <f t="shared" si="118"/>
        <v>0</v>
      </c>
      <c r="R1923" s="894">
        <f t="shared" si="119"/>
        <v>5</v>
      </c>
    </row>
    <row r="1924" spans="1:18" s="904" customFormat="1">
      <c r="A1924" s="895"/>
      <c r="B1924" s="896"/>
      <c r="C1924" s="897"/>
      <c r="D1924" s="897"/>
      <c r="E1924" s="924" t="s">
        <v>108</v>
      </c>
      <c r="F1924" s="899"/>
      <c r="G1924" s="900"/>
      <c r="H1924" s="901"/>
      <c r="I1924" s="902"/>
      <c r="J1924" s="902"/>
      <c r="K1924" s="912" t="s">
        <v>274</v>
      </c>
      <c r="L1924" s="902"/>
      <c r="M1924" s="902"/>
      <c r="N1924" s="902"/>
      <c r="O1924" s="892">
        <f t="shared" si="116"/>
        <v>0</v>
      </c>
      <c r="P1924" s="903">
        <f t="shared" si="117"/>
        <v>1</v>
      </c>
      <c r="Q1924" s="893">
        <f t="shared" si="118"/>
        <v>5</v>
      </c>
      <c r="R1924" s="894">
        <f t="shared" si="119"/>
        <v>0</v>
      </c>
    </row>
    <row r="1925" spans="1:18">
      <c r="A1925" s="905"/>
      <c r="B1925" s="906"/>
      <c r="C1925" s="907">
        <v>66</v>
      </c>
      <c r="D1925" s="907" t="s">
        <v>279</v>
      </c>
      <c r="E1925" s="925" t="s">
        <v>2682</v>
      </c>
      <c r="F1925" s="926" t="s">
        <v>45</v>
      </c>
      <c r="G1925" s="910"/>
      <c r="H1925" s="911">
        <v>0.03</v>
      </c>
      <c r="I1925" s="912">
        <f>VLOOKUP(E1925,[3]VLP!$B$7:$K$300,10,0)</f>
        <v>5000</v>
      </c>
      <c r="J1925" s="912">
        <f>I1925*H1925</f>
        <v>150</v>
      </c>
      <c r="K1925" s="912" t="s">
        <v>274</v>
      </c>
      <c r="L1925" s="912"/>
      <c r="M1925" s="912"/>
      <c r="N1925" s="912"/>
      <c r="O1925" s="892">
        <f t="shared" si="116"/>
        <v>0</v>
      </c>
      <c r="P1925" s="903">
        <f t="shared" si="117"/>
        <v>1</v>
      </c>
      <c r="Q1925" s="893">
        <f t="shared" si="118"/>
        <v>4</v>
      </c>
      <c r="R1925" s="894">
        <f t="shared" si="119"/>
        <v>0</v>
      </c>
    </row>
    <row r="1926" spans="1:18">
      <c r="A1926" s="905"/>
      <c r="B1926" s="906"/>
      <c r="C1926" s="907">
        <v>44</v>
      </c>
      <c r="D1926" s="907" t="s">
        <v>279</v>
      </c>
      <c r="E1926" s="925" t="s">
        <v>2681</v>
      </c>
      <c r="F1926" s="926" t="s">
        <v>45</v>
      </c>
      <c r="G1926" s="910"/>
      <c r="H1926" s="911">
        <v>0.16500000000000001</v>
      </c>
      <c r="I1926" s="912">
        <f>VLOOKUP(E1926,[3]VLP!$B$7:$K$300,10,0)</f>
        <v>23000</v>
      </c>
      <c r="J1926" s="912">
        <f>I1926*H1926</f>
        <v>3795</v>
      </c>
      <c r="K1926" s="912" t="s">
        <v>274</v>
      </c>
      <c r="L1926" s="912"/>
      <c r="M1926" s="912"/>
      <c r="N1926" s="912"/>
      <c r="O1926" s="892">
        <f t="shared" si="116"/>
        <v>0</v>
      </c>
      <c r="P1926" s="903">
        <f t="shared" si="117"/>
        <v>1</v>
      </c>
      <c r="Q1926" s="893">
        <f t="shared" si="118"/>
        <v>3</v>
      </c>
      <c r="R1926" s="894">
        <f t="shared" si="119"/>
        <v>0</v>
      </c>
    </row>
    <row r="1927" spans="1:18" s="904" customFormat="1">
      <c r="A1927" s="895"/>
      <c r="B1927" s="896"/>
      <c r="C1927" s="897"/>
      <c r="D1927" s="897"/>
      <c r="E1927" s="924" t="s">
        <v>276</v>
      </c>
      <c r="F1927" s="927"/>
      <c r="G1927" s="928"/>
      <c r="H1927" s="901"/>
      <c r="I1927" s="902"/>
      <c r="J1927" s="902"/>
      <c r="K1927" s="912" t="s">
        <v>274</v>
      </c>
      <c r="L1927" s="902"/>
      <c r="M1927" s="902"/>
      <c r="N1927" s="902"/>
      <c r="O1927" s="892">
        <f t="shared" si="116"/>
        <v>0</v>
      </c>
      <c r="P1927" s="903">
        <f t="shared" si="117"/>
        <v>1</v>
      </c>
      <c r="Q1927" s="893">
        <f t="shared" si="118"/>
        <v>2</v>
      </c>
      <c r="R1927" s="894">
        <f t="shared" si="119"/>
        <v>0</v>
      </c>
    </row>
    <row r="1928" spans="1:18">
      <c r="A1928" s="905"/>
      <c r="B1928" s="906"/>
      <c r="C1928" s="907">
        <v>740</v>
      </c>
      <c r="D1928" s="907" t="s">
        <v>12</v>
      </c>
      <c r="E1928" s="908" t="s">
        <v>4008</v>
      </c>
      <c r="F1928" s="909" t="s">
        <v>2674</v>
      </c>
      <c r="G1928" s="910"/>
      <c r="H1928" s="911">
        <v>1.35</v>
      </c>
      <c r="I1928" s="912"/>
      <c r="J1928" s="912"/>
      <c r="K1928" s="912">
        <f>VLOOKUP(E1928,ĐMNC!$A$7:$F$67,4,0)</f>
        <v>252714</v>
      </c>
      <c r="L1928" s="912">
        <f>H1928*K1928</f>
        <v>341163.9</v>
      </c>
      <c r="M1928" s="912"/>
      <c r="N1928" s="912"/>
      <c r="O1928" s="892">
        <f t="shared" ref="O1928:O1991" si="120">IF(AND(B1928&lt;&gt;"",D1928=""),1,0)</f>
        <v>0</v>
      </c>
      <c r="P1928" s="903">
        <f t="shared" si="117"/>
        <v>1</v>
      </c>
      <c r="Q1928" s="893">
        <f t="shared" si="118"/>
        <v>1</v>
      </c>
      <c r="R1928" s="894">
        <f t="shared" si="119"/>
        <v>0</v>
      </c>
    </row>
    <row r="1929" spans="1:18" s="847" customFormat="1" ht="31.5">
      <c r="A1929" s="905"/>
      <c r="B1929" s="914" t="s">
        <v>4574</v>
      </c>
      <c r="C1929" s="915"/>
      <c r="D1929" s="915"/>
      <c r="E1929" s="916" t="s">
        <v>4575</v>
      </c>
      <c r="F1929" s="917" t="s">
        <v>249</v>
      </c>
      <c r="G1929" s="918"/>
      <c r="H1929" s="919"/>
      <c r="I1929" s="920"/>
      <c r="J1929" s="891">
        <f>SUM(J1930:J1934)</f>
        <v>3945</v>
      </c>
      <c r="K1929" s="891"/>
      <c r="L1929" s="891">
        <f>SUM(L1930:L1934)</f>
        <v>374016.72</v>
      </c>
      <c r="M1929" s="891"/>
      <c r="N1929" s="891">
        <f>SUM(N1930:N1934)</f>
        <v>0</v>
      </c>
      <c r="O1929" s="892">
        <f t="shared" si="120"/>
        <v>1</v>
      </c>
      <c r="P1929" s="903">
        <f t="shared" si="117"/>
        <v>0</v>
      </c>
      <c r="Q1929" s="893">
        <f t="shared" si="118"/>
        <v>0</v>
      </c>
      <c r="R1929" s="894">
        <f t="shared" si="119"/>
        <v>5</v>
      </c>
    </row>
    <row r="1930" spans="1:18" s="904" customFormat="1">
      <c r="A1930" s="895"/>
      <c r="B1930" s="896"/>
      <c r="C1930" s="897"/>
      <c r="D1930" s="897"/>
      <c r="E1930" s="924" t="s">
        <v>108</v>
      </c>
      <c r="F1930" s="899"/>
      <c r="G1930" s="900"/>
      <c r="H1930" s="901"/>
      <c r="I1930" s="902"/>
      <c r="J1930" s="902"/>
      <c r="K1930" s="912" t="s">
        <v>274</v>
      </c>
      <c r="L1930" s="902"/>
      <c r="M1930" s="902"/>
      <c r="N1930" s="902"/>
      <c r="O1930" s="892">
        <f t="shared" si="120"/>
        <v>0</v>
      </c>
      <c r="P1930" s="903">
        <f t="shared" si="117"/>
        <v>1</v>
      </c>
      <c r="Q1930" s="893">
        <f t="shared" si="118"/>
        <v>5</v>
      </c>
      <c r="R1930" s="894">
        <f t="shared" si="119"/>
        <v>0</v>
      </c>
    </row>
    <row r="1931" spans="1:18">
      <c r="A1931" s="905"/>
      <c r="B1931" s="906"/>
      <c r="C1931" s="907">
        <v>66</v>
      </c>
      <c r="D1931" s="907" t="s">
        <v>279</v>
      </c>
      <c r="E1931" s="925" t="s">
        <v>2682</v>
      </c>
      <c r="F1931" s="926" t="s">
        <v>45</v>
      </c>
      <c r="G1931" s="910"/>
      <c r="H1931" s="911">
        <v>0.03</v>
      </c>
      <c r="I1931" s="912">
        <f>VLOOKUP(E1931,[3]VLP!$B$7:$K$300,10,0)</f>
        <v>5000</v>
      </c>
      <c r="J1931" s="912">
        <f>I1931*H1931</f>
        <v>150</v>
      </c>
      <c r="K1931" s="912" t="s">
        <v>274</v>
      </c>
      <c r="L1931" s="912"/>
      <c r="M1931" s="912"/>
      <c r="N1931" s="912"/>
      <c r="O1931" s="892">
        <f t="shared" si="120"/>
        <v>0</v>
      </c>
      <c r="P1931" s="903">
        <f t="shared" si="117"/>
        <v>1</v>
      </c>
      <c r="Q1931" s="893">
        <f t="shared" si="118"/>
        <v>4</v>
      </c>
      <c r="R1931" s="894">
        <f t="shared" si="119"/>
        <v>0</v>
      </c>
    </row>
    <row r="1932" spans="1:18">
      <c r="A1932" s="905"/>
      <c r="B1932" s="906"/>
      <c r="C1932" s="907">
        <v>44</v>
      </c>
      <c r="D1932" s="907" t="s">
        <v>279</v>
      </c>
      <c r="E1932" s="925" t="s">
        <v>2681</v>
      </c>
      <c r="F1932" s="926" t="s">
        <v>45</v>
      </c>
      <c r="G1932" s="910"/>
      <c r="H1932" s="911">
        <v>0.16500000000000001</v>
      </c>
      <c r="I1932" s="912">
        <f>VLOOKUP(E1932,[3]VLP!$B$7:$K$300,10,0)</f>
        <v>23000</v>
      </c>
      <c r="J1932" s="912">
        <f>I1932*H1932</f>
        <v>3795</v>
      </c>
      <c r="K1932" s="912" t="s">
        <v>274</v>
      </c>
      <c r="L1932" s="912"/>
      <c r="M1932" s="912"/>
      <c r="N1932" s="912"/>
      <c r="O1932" s="892">
        <f t="shared" si="120"/>
        <v>0</v>
      </c>
      <c r="P1932" s="903">
        <f t="shared" si="117"/>
        <v>1</v>
      </c>
      <c r="Q1932" s="893">
        <f t="shared" si="118"/>
        <v>3</v>
      </c>
      <c r="R1932" s="894">
        <f t="shared" si="119"/>
        <v>0</v>
      </c>
    </row>
    <row r="1933" spans="1:18" s="904" customFormat="1">
      <c r="A1933" s="895"/>
      <c r="B1933" s="896"/>
      <c r="C1933" s="897"/>
      <c r="D1933" s="897"/>
      <c r="E1933" s="924" t="s">
        <v>276</v>
      </c>
      <c r="F1933" s="927"/>
      <c r="G1933" s="928"/>
      <c r="H1933" s="901"/>
      <c r="I1933" s="902"/>
      <c r="J1933" s="902"/>
      <c r="K1933" s="912" t="s">
        <v>274</v>
      </c>
      <c r="L1933" s="902"/>
      <c r="M1933" s="902"/>
      <c r="N1933" s="902"/>
      <c r="O1933" s="892">
        <f t="shared" si="120"/>
        <v>0</v>
      </c>
      <c r="P1933" s="903">
        <f t="shared" si="117"/>
        <v>1</v>
      </c>
      <c r="Q1933" s="893">
        <f t="shared" si="118"/>
        <v>2</v>
      </c>
      <c r="R1933" s="894">
        <f t="shared" si="119"/>
        <v>0</v>
      </c>
    </row>
    <row r="1934" spans="1:18">
      <c r="A1934" s="905"/>
      <c r="B1934" s="906"/>
      <c r="C1934" s="907">
        <v>740</v>
      </c>
      <c r="D1934" s="907" t="s">
        <v>12</v>
      </c>
      <c r="E1934" s="908" t="s">
        <v>4008</v>
      </c>
      <c r="F1934" s="909" t="s">
        <v>2674</v>
      </c>
      <c r="G1934" s="910"/>
      <c r="H1934" s="911">
        <v>1.48</v>
      </c>
      <c r="I1934" s="912"/>
      <c r="J1934" s="912"/>
      <c r="K1934" s="912">
        <f>VLOOKUP(E1934,ĐMNC!$A$7:$F$67,4,0)</f>
        <v>252714</v>
      </c>
      <c r="L1934" s="912">
        <f>H1934*K1934</f>
        <v>374016.72</v>
      </c>
      <c r="M1934" s="912"/>
      <c r="N1934" s="912"/>
      <c r="O1934" s="892">
        <f t="shared" si="120"/>
        <v>0</v>
      </c>
      <c r="P1934" s="903">
        <f t="shared" si="117"/>
        <v>1</v>
      </c>
      <c r="Q1934" s="893">
        <f t="shared" si="118"/>
        <v>1</v>
      </c>
      <c r="R1934" s="894">
        <f t="shared" si="119"/>
        <v>0</v>
      </c>
    </row>
    <row r="1935" spans="1:18" s="847" customFormat="1" ht="31.5">
      <c r="A1935" s="905"/>
      <c r="B1935" s="914" t="s">
        <v>4576</v>
      </c>
      <c r="C1935" s="915"/>
      <c r="D1935" s="915"/>
      <c r="E1935" s="916" t="s">
        <v>4577</v>
      </c>
      <c r="F1935" s="917" t="s">
        <v>249</v>
      </c>
      <c r="G1935" s="918"/>
      <c r="H1935" s="919"/>
      <c r="I1935" s="920"/>
      <c r="J1935" s="891">
        <f>SUM(J1936:J1940)</f>
        <v>3945</v>
      </c>
      <c r="K1935" s="891"/>
      <c r="L1935" s="891">
        <f>SUM(L1936:L1940)</f>
        <v>411923.81999999995</v>
      </c>
      <c r="M1935" s="891"/>
      <c r="N1935" s="891">
        <f>SUM(N1936:N1940)</f>
        <v>0</v>
      </c>
      <c r="O1935" s="892">
        <f t="shared" si="120"/>
        <v>1</v>
      </c>
      <c r="P1935" s="903">
        <f t="shared" si="117"/>
        <v>0</v>
      </c>
      <c r="Q1935" s="893">
        <f t="shared" si="118"/>
        <v>0</v>
      </c>
      <c r="R1935" s="894">
        <f t="shared" si="119"/>
        <v>5</v>
      </c>
    </row>
    <row r="1936" spans="1:18" s="904" customFormat="1">
      <c r="A1936" s="895"/>
      <c r="B1936" s="896"/>
      <c r="C1936" s="897"/>
      <c r="D1936" s="897"/>
      <c r="E1936" s="924" t="s">
        <v>108</v>
      </c>
      <c r="F1936" s="899"/>
      <c r="G1936" s="900"/>
      <c r="H1936" s="901"/>
      <c r="I1936" s="902"/>
      <c r="J1936" s="902"/>
      <c r="K1936" s="912" t="s">
        <v>274</v>
      </c>
      <c r="L1936" s="902"/>
      <c r="M1936" s="902"/>
      <c r="N1936" s="902"/>
      <c r="O1936" s="892">
        <f t="shared" si="120"/>
        <v>0</v>
      </c>
      <c r="P1936" s="903">
        <f t="shared" si="117"/>
        <v>1</v>
      </c>
      <c r="Q1936" s="893">
        <f t="shared" si="118"/>
        <v>5</v>
      </c>
      <c r="R1936" s="894">
        <f t="shared" si="119"/>
        <v>0</v>
      </c>
    </row>
    <row r="1937" spans="1:18">
      <c r="A1937" s="905"/>
      <c r="B1937" s="906"/>
      <c r="C1937" s="907">
        <v>66</v>
      </c>
      <c r="D1937" s="907" t="s">
        <v>279</v>
      </c>
      <c r="E1937" s="925" t="s">
        <v>2682</v>
      </c>
      <c r="F1937" s="926" t="s">
        <v>45</v>
      </c>
      <c r="G1937" s="910"/>
      <c r="H1937" s="911">
        <v>0.03</v>
      </c>
      <c r="I1937" s="912">
        <f>VLOOKUP(E1937,[3]VLP!$B$7:$K$300,10,0)</f>
        <v>5000</v>
      </c>
      <c r="J1937" s="912">
        <f>I1937*H1937</f>
        <v>150</v>
      </c>
      <c r="K1937" s="912" t="s">
        <v>274</v>
      </c>
      <c r="L1937" s="912"/>
      <c r="M1937" s="912"/>
      <c r="N1937" s="912"/>
      <c r="O1937" s="892">
        <f t="shared" si="120"/>
        <v>0</v>
      </c>
      <c r="P1937" s="903">
        <f t="shared" ref="P1937:P2000" si="121">IF(O1937=0,1,0)</f>
        <v>1</v>
      </c>
      <c r="Q1937" s="893">
        <f t="shared" ref="Q1937:Q2000" si="122">IF(P1937=0,0,P1937+Q1938)</f>
        <v>4</v>
      </c>
      <c r="R1937" s="894">
        <f t="shared" ref="R1937:R2000" si="123">IF(Q1937=0,Q1938,0)</f>
        <v>0</v>
      </c>
    </row>
    <row r="1938" spans="1:18">
      <c r="A1938" s="905"/>
      <c r="B1938" s="906"/>
      <c r="C1938" s="907">
        <v>44</v>
      </c>
      <c r="D1938" s="907" t="s">
        <v>279</v>
      </c>
      <c r="E1938" s="925" t="s">
        <v>2681</v>
      </c>
      <c r="F1938" s="926" t="s">
        <v>45</v>
      </c>
      <c r="G1938" s="910"/>
      <c r="H1938" s="911">
        <v>0.16500000000000001</v>
      </c>
      <c r="I1938" s="912">
        <f>VLOOKUP(E1938,[3]VLP!$B$7:$K$300,10,0)</f>
        <v>23000</v>
      </c>
      <c r="J1938" s="912">
        <f>I1938*H1938</f>
        <v>3795</v>
      </c>
      <c r="K1938" s="912" t="s">
        <v>274</v>
      </c>
      <c r="L1938" s="912"/>
      <c r="M1938" s="912"/>
      <c r="N1938" s="912"/>
      <c r="O1938" s="892">
        <f t="shared" si="120"/>
        <v>0</v>
      </c>
      <c r="P1938" s="903">
        <f t="shared" si="121"/>
        <v>1</v>
      </c>
      <c r="Q1938" s="893">
        <f t="shared" si="122"/>
        <v>3</v>
      </c>
      <c r="R1938" s="894">
        <f t="shared" si="123"/>
        <v>0</v>
      </c>
    </row>
    <row r="1939" spans="1:18" s="904" customFormat="1">
      <c r="A1939" s="895"/>
      <c r="B1939" s="896"/>
      <c r="C1939" s="897"/>
      <c r="D1939" s="897"/>
      <c r="E1939" s="924" t="s">
        <v>276</v>
      </c>
      <c r="F1939" s="927"/>
      <c r="G1939" s="928"/>
      <c r="H1939" s="901"/>
      <c r="I1939" s="902"/>
      <c r="J1939" s="902"/>
      <c r="K1939" s="912" t="s">
        <v>274</v>
      </c>
      <c r="L1939" s="902"/>
      <c r="M1939" s="902"/>
      <c r="N1939" s="902"/>
      <c r="O1939" s="892">
        <f t="shared" si="120"/>
        <v>0</v>
      </c>
      <c r="P1939" s="903">
        <f t="shared" si="121"/>
        <v>1</v>
      </c>
      <c r="Q1939" s="893">
        <f t="shared" si="122"/>
        <v>2</v>
      </c>
      <c r="R1939" s="894">
        <f t="shared" si="123"/>
        <v>0</v>
      </c>
    </row>
    <row r="1940" spans="1:18">
      <c r="A1940" s="905"/>
      <c r="B1940" s="906"/>
      <c r="C1940" s="907">
        <v>740</v>
      </c>
      <c r="D1940" s="907" t="s">
        <v>12</v>
      </c>
      <c r="E1940" s="908" t="s">
        <v>4008</v>
      </c>
      <c r="F1940" s="909" t="s">
        <v>2674</v>
      </c>
      <c r="G1940" s="910"/>
      <c r="H1940" s="911">
        <v>1.63</v>
      </c>
      <c r="I1940" s="912"/>
      <c r="J1940" s="912"/>
      <c r="K1940" s="912">
        <f>VLOOKUP(E1940,ĐMNC!$A$7:$F$67,4,0)</f>
        <v>252714</v>
      </c>
      <c r="L1940" s="912">
        <f>H1940*K1940</f>
        <v>411923.81999999995</v>
      </c>
      <c r="M1940" s="912"/>
      <c r="N1940" s="912"/>
      <c r="O1940" s="892">
        <f t="shared" si="120"/>
        <v>0</v>
      </c>
      <c r="P1940" s="903">
        <f t="shared" si="121"/>
        <v>1</v>
      </c>
      <c r="Q1940" s="893">
        <f t="shared" si="122"/>
        <v>1</v>
      </c>
      <c r="R1940" s="894">
        <f t="shared" si="123"/>
        <v>0</v>
      </c>
    </row>
    <row r="1941" spans="1:18" s="847" customFormat="1" ht="31.5">
      <c r="A1941" s="905"/>
      <c r="B1941" s="914" t="s">
        <v>4578</v>
      </c>
      <c r="C1941" s="915"/>
      <c r="D1941" s="915"/>
      <c r="E1941" s="916" t="s">
        <v>4579</v>
      </c>
      <c r="F1941" s="917" t="s">
        <v>249</v>
      </c>
      <c r="G1941" s="918"/>
      <c r="H1941" s="919"/>
      <c r="I1941" s="920"/>
      <c r="J1941" s="891">
        <f>SUM(J1942:J1946)</f>
        <v>3945</v>
      </c>
      <c r="K1941" s="891"/>
      <c r="L1941" s="891">
        <f>SUM(L1942:L1946)</f>
        <v>472575.18000000005</v>
      </c>
      <c r="M1941" s="891"/>
      <c r="N1941" s="891">
        <f>SUM(N1942:N1946)</f>
        <v>0</v>
      </c>
      <c r="O1941" s="892">
        <f t="shared" si="120"/>
        <v>1</v>
      </c>
      <c r="P1941" s="903">
        <f t="shared" si="121"/>
        <v>0</v>
      </c>
      <c r="Q1941" s="893">
        <f t="shared" si="122"/>
        <v>0</v>
      </c>
      <c r="R1941" s="894">
        <f t="shared" si="123"/>
        <v>5</v>
      </c>
    </row>
    <row r="1942" spans="1:18" s="904" customFormat="1">
      <c r="A1942" s="895"/>
      <c r="B1942" s="896"/>
      <c r="C1942" s="897"/>
      <c r="D1942" s="897"/>
      <c r="E1942" s="924" t="s">
        <v>108</v>
      </c>
      <c r="F1942" s="899"/>
      <c r="G1942" s="900"/>
      <c r="H1942" s="901"/>
      <c r="I1942" s="902"/>
      <c r="J1942" s="902"/>
      <c r="K1942" s="912" t="s">
        <v>274</v>
      </c>
      <c r="L1942" s="902"/>
      <c r="M1942" s="902"/>
      <c r="N1942" s="902"/>
      <c r="O1942" s="892">
        <f t="shared" si="120"/>
        <v>0</v>
      </c>
      <c r="P1942" s="903">
        <f t="shared" si="121"/>
        <v>1</v>
      </c>
      <c r="Q1942" s="893">
        <f t="shared" si="122"/>
        <v>5</v>
      </c>
      <c r="R1942" s="894">
        <f t="shared" si="123"/>
        <v>0</v>
      </c>
    </row>
    <row r="1943" spans="1:18">
      <c r="A1943" s="905"/>
      <c r="B1943" s="906"/>
      <c r="C1943" s="907">
        <v>66</v>
      </c>
      <c r="D1943" s="907" t="s">
        <v>279</v>
      </c>
      <c r="E1943" s="925" t="s">
        <v>2682</v>
      </c>
      <c r="F1943" s="926" t="s">
        <v>45</v>
      </c>
      <c r="G1943" s="910"/>
      <c r="H1943" s="911">
        <v>0.03</v>
      </c>
      <c r="I1943" s="912">
        <f>VLOOKUP(E1943,[3]VLP!$B$7:$K$300,10,0)</f>
        <v>5000</v>
      </c>
      <c r="J1943" s="912">
        <f>I1943*H1943</f>
        <v>150</v>
      </c>
      <c r="K1943" s="912" t="s">
        <v>274</v>
      </c>
      <c r="L1943" s="912"/>
      <c r="M1943" s="912"/>
      <c r="N1943" s="912"/>
      <c r="O1943" s="892">
        <f t="shared" si="120"/>
        <v>0</v>
      </c>
      <c r="P1943" s="903">
        <f t="shared" si="121"/>
        <v>1</v>
      </c>
      <c r="Q1943" s="893">
        <f t="shared" si="122"/>
        <v>4</v>
      </c>
      <c r="R1943" s="894">
        <f t="shared" si="123"/>
        <v>0</v>
      </c>
    </row>
    <row r="1944" spans="1:18">
      <c r="A1944" s="905"/>
      <c r="B1944" s="906"/>
      <c r="C1944" s="907">
        <v>44</v>
      </c>
      <c r="D1944" s="907" t="s">
        <v>279</v>
      </c>
      <c r="E1944" s="925" t="s">
        <v>2681</v>
      </c>
      <c r="F1944" s="926" t="s">
        <v>45</v>
      </c>
      <c r="G1944" s="910"/>
      <c r="H1944" s="911">
        <v>0.16500000000000001</v>
      </c>
      <c r="I1944" s="912">
        <f>VLOOKUP(E1944,[3]VLP!$B$7:$K$300,10,0)</f>
        <v>23000</v>
      </c>
      <c r="J1944" s="912">
        <f>I1944*H1944</f>
        <v>3795</v>
      </c>
      <c r="K1944" s="912" t="s">
        <v>274</v>
      </c>
      <c r="L1944" s="912"/>
      <c r="M1944" s="912"/>
      <c r="N1944" s="912"/>
      <c r="O1944" s="892">
        <f t="shared" si="120"/>
        <v>0</v>
      </c>
      <c r="P1944" s="903">
        <f t="shared" si="121"/>
        <v>1</v>
      </c>
      <c r="Q1944" s="893">
        <f t="shared" si="122"/>
        <v>3</v>
      </c>
      <c r="R1944" s="894">
        <f t="shared" si="123"/>
        <v>0</v>
      </c>
    </row>
    <row r="1945" spans="1:18" s="904" customFormat="1">
      <c r="A1945" s="895"/>
      <c r="B1945" s="896"/>
      <c r="C1945" s="897"/>
      <c r="D1945" s="897"/>
      <c r="E1945" s="924" t="s">
        <v>276</v>
      </c>
      <c r="F1945" s="927"/>
      <c r="G1945" s="928"/>
      <c r="H1945" s="901"/>
      <c r="I1945" s="902"/>
      <c r="J1945" s="902"/>
      <c r="K1945" s="912" t="s">
        <v>274</v>
      </c>
      <c r="L1945" s="902"/>
      <c r="M1945" s="902"/>
      <c r="N1945" s="902"/>
      <c r="O1945" s="892">
        <f t="shared" si="120"/>
        <v>0</v>
      </c>
      <c r="P1945" s="903">
        <f t="shared" si="121"/>
        <v>1</v>
      </c>
      <c r="Q1945" s="893">
        <f t="shared" si="122"/>
        <v>2</v>
      </c>
      <c r="R1945" s="894">
        <f t="shared" si="123"/>
        <v>0</v>
      </c>
    </row>
    <row r="1946" spans="1:18">
      <c r="A1946" s="905"/>
      <c r="B1946" s="906"/>
      <c r="C1946" s="907">
        <v>740</v>
      </c>
      <c r="D1946" s="907" t="s">
        <v>12</v>
      </c>
      <c r="E1946" s="908" t="s">
        <v>4008</v>
      </c>
      <c r="F1946" s="909" t="s">
        <v>2674</v>
      </c>
      <c r="G1946" s="910"/>
      <c r="H1946" s="911">
        <v>1.87</v>
      </c>
      <c r="I1946" s="912"/>
      <c r="J1946" s="912"/>
      <c r="K1946" s="912">
        <f>VLOOKUP(E1946,ĐMNC!$A$7:$F$67,4,0)</f>
        <v>252714</v>
      </c>
      <c r="L1946" s="912">
        <f>H1946*K1946</f>
        <v>472575.18000000005</v>
      </c>
      <c r="M1946" s="912"/>
      <c r="N1946" s="912"/>
      <c r="O1946" s="892">
        <f t="shared" si="120"/>
        <v>0</v>
      </c>
      <c r="P1946" s="903">
        <f t="shared" si="121"/>
        <v>1</v>
      </c>
      <c r="Q1946" s="893">
        <f t="shared" si="122"/>
        <v>1</v>
      </c>
      <c r="R1946" s="894">
        <f t="shared" si="123"/>
        <v>0</v>
      </c>
    </row>
    <row r="1947" spans="1:18" s="847" customFormat="1" ht="31.5">
      <c r="A1947" s="905"/>
      <c r="B1947" s="914" t="s">
        <v>4580</v>
      </c>
      <c r="C1947" s="915"/>
      <c r="D1947" s="915"/>
      <c r="E1947" s="916" t="s">
        <v>4581</v>
      </c>
      <c r="F1947" s="917" t="s">
        <v>249</v>
      </c>
      <c r="G1947" s="918"/>
      <c r="H1947" s="919"/>
      <c r="I1947" s="920"/>
      <c r="J1947" s="891">
        <f>SUM(J1948:J1952)</f>
        <v>3945</v>
      </c>
      <c r="K1947" s="891"/>
      <c r="L1947" s="891">
        <f>SUM(L1948:L1952)</f>
        <v>543335.1</v>
      </c>
      <c r="M1947" s="891"/>
      <c r="N1947" s="891">
        <f>SUM(N1948:N1952)</f>
        <v>0</v>
      </c>
      <c r="O1947" s="892">
        <f t="shared" si="120"/>
        <v>1</v>
      </c>
      <c r="P1947" s="903">
        <f t="shared" si="121"/>
        <v>0</v>
      </c>
      <c r="Q1947" s="893">
        <f t="shared" si="122"/>
        <v>0</v>
      </c>
      <c r="R1947" s="894">
        <f t="shared" si="123"/>
        <v>5</v>
      </c>
    </row>
    <row r="1948" spans="1:18" s="904" customFormat="1">
      <c r="A1948" s="895"/>
      <c r="B1948" s="896"/>
      <c r="C1948" s="897"/>
      <c r="D1948" s="897"/>
      <c r="E1948" s="924" t="s">
        <v>108</v>
      </c>
      <c r="F1948" s="899"/>
      <c r="G1948" s="900"/>
      <c r="H1948" s="901"/>
      <c r="I1948" s="902"/>
      <c r="J1948" s="902"/>
      <c r="K1948" s="912" t="s">
        <v>274</v>
      </c>
      <c r="L1948" s="902"/>
      <c r="M1948" s="902"/>
      <c r="N1948" s="902"/>
      <c r="O1948" s="892">
        <f t="shared" si="120"/>
        <v>0</v>
      </c>
      <c r="P1948" s="903">
        <f t="shared" si="121"/>
        <v>1</v>
      </c>
      <c r="Q1948" s="893">
        <f t="shared" si="122"/>
        <v>5</v>
      </c>
      <c r="R1948" s="894">
        <f t="shared" si="123"/>
        <v>0</v>
      </c>
    </row>
    <row r="1949" spans="1:18">
      <c r="A1949" s="905"/>
      <c r="B1949" s="906"/>
      <c r="C1949" s="907">
        <v>66</v>
      </c>
      <c r="D1949" s="907" t="s">
        <v>279</v>
      </c>
      <c r="E1949" s="925" t="s">
        <v>2682</v>
      </c>
      <c r="F1949" s="926" t="s">
        <v>45</v>
      </c>
      <c r="G1949" s="910"/>
      <c r="H1949" s="911">
        <v>0.03</v>
      </c>
      <c r="I1949" s="912">
        <f>VLOOKUP(E1949,[3]VLP!$B$7:$K$300,10,0)</f>
        <v>5000</v>
      </c>
      <c r="J1949" s="912">
        <f>I1949*H1949</f>
        <v>150</v>
      </c>
      <c r="K1949" s="912" t="s">
        <v>274</v>
      </c>
      <c r="L1949" s="912"/>
      <c r="M1949" s="912"/>
      <c r="N1949" s="912"/>
      <c r="O1949" s="892">
        <f t="shared" si="120"/>
        <v>0</v>
      </c>
      <c r="P1949" s="903">
        <f t="shared" si="121"/>
        <v>1</v>
      </c>
      <c r="Q1949" s="893">
        <f t="shared" si="122"/>
        <v>4</v>
      </c>
      <c r="R1949" s="894">
        <f t="shared" si="123"/>
        <v>0</v>
      </c>
    </row>
    <row r="1950" spans="1:18">
      <c r="A1950" s="905"/>
      <c r="B1950" s="906"/>
      <c r="C1950" s="907">
        <v>44</v>
      </c>
      <c r="D1950" s="907" t="s">
        <v>279</v>
      </c>
      <c r="E1950" s="925" t="s">
        <v>2681</v>
      </c>
      <c r="F1950" s="926" t="s">
        <v>45</v>
      </c>
      <c r="G1950" s="910"/>
      <c r="H1950" s="911">
        <v>0.16500000000000001</v>
      </c>
      <c r="I1950" s="912">
        <f>VLOOKUP(E1950,[3]VLP!$B$7:$K$300,10,0)</f>
        <v>23000</v>
      </c>
      <c r="J1950" s="912">
        <f>I1950*H1950</f>
        <v>3795</v>
      </c>
      <c r="K1950" s="912" t="s">
        <v>274</v>
      </c>
      <c r="L1950" s="912"/>
      <c r="M1950" s="912"/>
      <c r="N1950" s="912"/>
      <c r="O1950" s="892">
        <f t="shared" si="120"/>
        <v>0</v>
      </c>
      <c r="P1950" s="903">
        <f t="shared" si="121"/>
        <v>1</v>
      </c>
      <c r="Q1950" s="893">
        <f t="shared" si="122"/>
        <v>3</v>
      </c>
      <c r="R1950" s="894">
        <f t="shared" si="123"/>
        <v>0</v>
      </c>
    </row>
    <row r="1951" spans="1:18" s="904" customFormat="1">
      <c r="A1951" s="895"/>
      <c r="B1951" s="896"/>
      <c r="C1951" s="897"/>
      <c r="D1951" s="897"/>
      <c r="E1951" s="924" t="s">
        <v>276</v>
      </c>
      <c r="F1951" s="927"/>
      <c r="G1951" s="928"/>
      <c r="H1951" s="901"/>
      <c r="I1951" s="902"/>
      <c r="J1951" s="902"/>
      <c r="K1951" s="912" t="s">
        <v>274</v>
      </c>
      <c r="L1951" s="902"/>
      <c r="M1951" s="902"/>
      <c r="N1951" s="902"/>
      <c r="O1951" s="892">
        <f t="shared" si="120"/>
        <v>0</v>
      </c>
      <c r="P1951" s="903">
        <f t="shared" si="121"/>
        <v>1</v>
      </c>
      <c r="Q1951" s="893">
        <f t="shared" si="122"/>
        <v>2</v>
      </c>
      <c r="R1951" s="894">
        <f t="shared" si="123"/>
        <v>0</v>
      </c>
    </row>
    <row r="1952" spans="1:18">
      <c r="A1952" s="905"/>
      <c r="B1952" s="906"/>
      <c r="C1952" s="907">
        <v>740</v>
      </c>
      <c r="D1952" s="907" t="s">
        <v>12</v>
      </c>
      <c r="E1952" s="908" t="s">
        <v>4008</v>
      </c>
      <c r="F1952" s="909" t="s">
        <v>2674</v>
      </c>
      <c r="G1952" s="910"/>
      <c r="H1952" s="911">
        <v>2.15</v>
      </c>
      <c r="I1952" s="912"/>
      <c r="J1952" s="912"/>
      <c r="K1952" s="912">
        <f>VLOOKUP(E1952,ĐMNC!$A$7:$F$67,4,0)</f>
        <v>252714</v>
      </c>
      <c r="L1952" s="912">
        <f>H1952*K1952</f>
        <v>543335.1</v>
      </c>
      <c r="M1952" s="912"/>
      <c r="N1952" s="912"/>
      <c r="O1952" s="892">
        <f t="shared" si="120"/>
        <v>0</v>
      </c>
      <c r="P1952" s="903">
        <f t="shared" si="121"/>
        <v>1</v>
      </c>
      <c r="Q1952" s="893">
        <f t="shared" si="122"/>
        <v>1</v>
      </c>
      <c r="R1952" s="894">
        <f t="shared" si="123"/>
        <v>0</v>
      </c>
    </row>
    <row r="1953" spans="1:18" s="847" customFormat="1" ht="31.5">
      <c r="A1953" s="905"/>
      <c r="B1953" s="914" t="s">
        <v>4582</v>
      </c>
      <c r="C1953" s="915"/>
      <c r="D1953" s="915"/>
      <c r="E1953" s="916" t="s">
        <v>4583</v>
      </c>
      <c r="F1953" s="917" t="s">
        <v>249</v>
      </c>
      <c r="G1953" s="918"/>
      <c r="H1953" s="919"/>
      <c r="I1953" s="920"/>
      <c r="J1953" s="891">
        <f>SUM(J1954:J1958)</f>
        <v>4750</v>
      </c>
      <c r="K1953" s="891"/>
      <c r="L1953" s="891">
        <f>SUM(L1954:L1958)</f>
        <v>323473.91999999998</v>
      </c>
      <c r="M1953" s="891"/>
      <c r="N1953" s="891">
        <f>SUM(N1954:N1958)</f>
        <v>0</v>
      </c>
      <c r="O1953" s="892">
        <f t="shared" si="120"/>
        <v>1</v>
      </c>
      <c r="P1953" s="903">
        <f t="shared" si="121"/>
        <v>0</v>
      </c>
      <c r="Q1953" s="893">
        <f t="shared" si="122"/>
        <v>0</v>
      </c>
      <c r="R1953" s="894">
        <f t="shared" si="123"/>
        <v>5</v>
      </c>
    </row>
    <row r="1954" spans="1:18" s="904" customFormat="1">
      <c r="A1954" s="895"/>
      <c r="B1954" s="922"/>
      <c r="C1954" s="897"/>
      <c r="D1954" s="897"/>
      <c r="E1954" s="924" t="s">
        <v>108</v>
      </c>
      <c r="F1954" s="899"/>
      <c r="G1954" s="900"/>
      <c r="H1954" s="901"/>
      <c r="I1954" s="902"/>
      <c r="J1954" s="902"/>
      <c r="K1954" s="912" t="s">
        <v>274</v>
      </c>
      <c r="L1954" s="902"/>
      <c r="M1954" s="902"/>
      <c r="N1954" s="902"/>
      <c r="O1954" s="892">
        <f t="shared" si="120"/>
        <v>0</v>
      </c>
      <c r="P1954" s="903">
        <f t="shared" si="121"/>
        <v>1</v>
      </c>
      <c r="Q1954" s="893">
        <f t="shared" si="122"/>
        <v>5</v>
      </c>
      <c r="R1954" s="894">
        <f t="shared" si="123"/>
        <v>0</v>
      </c>
    </row>
    <row r="1955" spans="1:18">
      <c r="A1955" s="905"/>
      <c r="B1955" s="906"/>
      <c r="C1955" s="907">
        <v>66</v>
      </c>
      <c r="D1955" s="907" t="s">
        <v>279</v>
      </c>
      <c r="E1955" s="925" t="s">
        <v>2682</v>
      </c>
      <c r="F1955" s="926" t="s">
        <v>45</v>
      </c>
      <c r="G1955" s="910"/>
      <c r="H1955" s="911">
        <v>0.03</v>
      </c>
      <c r="I1955" s="912">
        <f>VLOOKUP(E1955,[3]VLP!$B$7:$K$300,10,0)</f>
        <v>5000</v>
      </c>
      <c r="J1955" s="912">
        <f>I1955*H1955</f>
        <v>150</v>
      </c>
      <c r="K1955" s="912" t="s">
        <v>274</v>
      </c>
      <c r="L1955" s="912"/>
      <c r="M1955" s="912"/>
      <c r="N1955" s="912"/>
      <c r="O1955" s="892">
        <f t="shared" si="120"/>
        <v>0</v>
      </c>
      <c r="P1955" s="903">
        <f t="shared" si="121"/>
        <v>1</v>
      </c>
      <c r="Q1955" s="893">
        <f t="shared" si="122"/>
        <v>4</v>
      </c>
      <c r="R1955" s="894">
        <f t="shared" si="123"/>
        <v>0</v>
      </c>
    </row>
    <row r="1956" spans="1:18">
      <c r="A1956" s="905"/>
      <c r="B1956" s="906"/>
      <c r="C1956" s="907">
        <v>44</v>
      </c>
      <c r="D1956" s="907" t="s">
        <v>279</v>
      </c>
      <c r="E1956" s="925" t="s">
        <v>2681</v>
      </c>
      <c r="F1956" s="926" t="s">
        <v>45</v>
      </c>
      <c r="G1956" s="910"/>
      <c r="H1956" s="911">
        <v>0.2</v>
      </c>
      <c r="I1956" s="912">
        <f>VLOOKUP(E1956,[3]VLP!$B$7:$K$300,10,0)</f>
        <v>23000</v>
      </c>
      <c r="J1956" s="912">
        <f>I1956*H1956</f>
        <v>4600</v>
      </c>
      <c r="K1956" s="912" t="s">
        <v>274</v>
      </c>
      <c r="L1956" s="912"/>
      <c r="M1956" s="912"/>
      <c r="N1956" s="912"/>
      <c r="O1956" s="892">
        <f t="shared" si="120"/>
        <v>0</v>
      </c>
      <c r="P1956" s="903">
        <f t="shared" si="121"/>
        <v>1</v>
      </c>
      <c r="Q1956" s="893">
        <f t="shared" si="122"/>
        <v>3</v>
      </c>
      <c r="R1956" s="894">
        <f t="shared" si="123"/>
        <v>0</v>
      </c>
    </row>
    <row r="1957" spans="1:18" s="904" customFormat="1">
      <c r="A1957" s="895"/>
      <c r="B1957" s="896"/>
      <c r="C1957" s="897"/>
      <c r="D1957" s="897"/>
      <c r="E1957" s="924" t="s">
        <v>276</v>
      </c>
      <c r="F1957" s="927"/>
      <c r="G1957" s="928"/>
      <c r="H1957" s="901"/>
      <c r="I1957" s="902"/>
      <c r="J1957" s="902"/>
      <c r="K1957" s="912" t="s">
        <v>274</v>
      </c>
      <c r="L1957" s="902"/>
      <c r="M1957" s="902"/>
      <c r="N1957" s="902"/>
      <c r="O1957" s="892">
        <f t="shared" si="120"/>
        <v>0</v>
      </c>
      <c r="P1957" s="903">
        <f t="shared" si="121"/>
        <v>1</v>
      </c>
      <c r="Q1957" s="893">
        <f t="shared" si="122"/>
        <v>2</v>
      </c>
      <c r="R1957" s="894">
        <f t="shared" si="123"/>
        <v>0</v>
      </c>
    </row>
    <row r="1958" spans="1:18">
      <c r="A1958" s="905"/>
      <c r="B1958" s="906"/>
      <c r="C1958" s="907">
        <v>740</v>
      </c>
      <c r="D1958" s="907" t="s">
        <v>12</v>
      </c>
      <c r="E1958" s="908" t="s">
        <v>4008</v>
      </c>
      <c r="F1958" s="909" t="s">
        <v>2674</v>
      </c>
      <c r="G1958" s="910"/>
      <c r="H1958" s="911">
        <v>1.28</v>
      </c>
      <c r="I1958" s="912"/>
      <c r="J1958" s="912"/>
      <c r="K1958" s="912">
        <f>VLOOKUP(E1958,ĐMNC!$A$7:$F$67,4,0)</f>
        <v>252714</v>
      </c>
      <c r="L1958" s="912">
        <f>H1958*K1958</f>
        <v>323473.91999999998</v>
      </c>
      <c r="M1958" s="912"/>
      <c r="N1958" s="912"/>
      <c r="O1958" s="892">
        <f t="shared" si="120"/>
        <v>0</v>
      </c>
      <c r="P1958" s="903">
        <f t="shared" si="121"/>
        <v>1</v>
      </c>
      <c r="Q1958" s="893">
        <f t="shared" si="122"/>
        <v>1</v>
      </c>
      <c r="R1958" s="894">
        <f t="shared" si="123"/>
        <v>0</v>
      </c>
    </row>
    <row r="1959" spans="1:18" s="847" customFormat="1" ht="31.5">
      <c r="A1959" s="905"/>
      <c r="B1959" s="914" t="s">
        <v>4584</v>
      </c>
      <c r="C1959" s="915"/>
      <c r="D1959" s="915"/>
      <c r="E1959" s="916" t="s">
        <v>4585</v>
      </c>
      <c r="F1959" s="917" t="s">
        <v>249</v>
      </c>
      <c r="G1959" s="918"/>
      <c r="H1959" s="919"/>
      <c r="I1959" s="920"/>
      <c r="J1959" s="891">
        <f>SUM(J1960:J1964)</f>
        <v>4750</v>
      </c>
      <c r="K1959" s="891"/>
      <c r="L1959" s="891">
        <f>SUM(L1960:L1964)</f>
        <v>341163.9</v>
      </c>
      <c r="M1959" s="891"/>
      <c r="N1959" s="891">
        <f>SUM(N1960:N1964)</f>
        <v>0</v>
      </c>
      <c r="O1959" s="892">
        <f t="shared" si="120"/>
        <v>1</v>
      </c>
      <c r="P1959" s="903">
        <f t="shared" si="121"/>
        <v>0</v>
      </c>
      <c r="Q1959" s="893">
        <f t="shared" si="122"/>
        <v>0</v>
      </c>
      <c r="R1959" s="894">
        <f t="shared" si="123"/>
        <v>5</v>
      </c>
    </row>
    <row r="1960" spans="1:18" s="904" customFormat="1">
      <c r="A1960" s="895"/>
      <c r="B1960" s="896"/>
      <c r="C1960" s="897"/>
      <c r="D1960" s="897"/>
      <c r="E1960" s="924" t="s">
        <v>108</v>
      </c>
      <c r="F1960" s="899"/>
      <c r="G1960" s="900"/>
      <c r="H1960" s="901"/>
      <c r="I1960" s="902"/>
      <c r="J1960" s="902"/>
      <c r="K1960" s="912" t="s">
        <v>274</v>
      </c>
      <c r="L1960" s="902"/>
      <c r="M1960" s="902"/>
      <c r="N1960" s="902"/>
      <c r="O1960" s="892">
        <f t="shared" si="120"/>
        <v>0</v>
      </c>
      <c r="P1960" s="903">
        <f t="shared" si="121"/>
        <v>1</v>
      </c>
      <c r="Q1960" s="893">
        <f t="shared" si="122"/>
        <v>5</v>
      </c>
      <c r="R1960" s="894">
        <f t="shared" si="123"/>
        <v>0</v>
      </c>
    </row>
    <row r="1961" spans="1:18">
      <c r="A1961" s="905"/>
      <c r="B1961" s="906"/>
      <c r="C1961" s="907">
        <v>66</v>
      </c>
      <c r="D1961" s="907" t="s">
        <v>279</v>
      </c>
      <c r="E1961" s="925" t="s">
        <v>2682</v>
      </c>
      <c r="F1961" s="926" t="s">
        <v>45</v>
      </c>
      <c r="G1961" s="910"/>
      <c r="H1961" s="911">
        <v>0.03</v>
      </c>
      <c r="I1961" s="912">
        <f>VLOOKUP(E1961,[3]VLP!$B$7:$K$300,10,0)</f>
        <v>5000</v>
      </c>
      <c r="J1961" s="912">
        <f>I1961*H1961</f>
        <v>150</v>
      </c>
      <c r="K1961" s="912" t="s">
        <v>274</v>
      </c>
      <c r="L1961" s="912"/>
      <c r="M1961" s="912"/>
      <c r="N1961" s="912"/>
      <c r="O1961" s="892">
        <f t="shared" si="120"/>
        <v>0</v>
      </c>
      <c r="P1961" s="903">
        <f t="shared" si="121"/>
        <v>1</v>
      </c>
      <c r="Q1961" s="893">
        <f t="shared" si="122"/>
        <v>4</v>
      </c>
      <c r="R1961" s="894">
        <f t="shared" si="123"/>
        <v>0</v>
      </c>
    </row>
    <row r="1962" spans="1:18">
      <c r="A1962" s="905"/>
      <c r="B1962" s="906"/>
      <c r="C1962" s="907">
        <v>44</v>
      </c>
      <c r="D1962" s="907" t="s">
        <v>279</v>
      </c>
      <c r="E1962" s="925" t="s">
        <v>2681</v>
      </c>
      <c r="F1962" s="926" t="s">
        <v>45</v>
      </c>
      <c r="G1962" s="910"/>
      <c r="H1962" s="911">
        <v>0.2</v>
      </c>
      <c r="I1962" s="912">
        <f>VLOOKUP(E1962,[3]VLP!$B$7:$K$300,10,0)</f>
        <v>23000</v>
      </c>
      <c r="J1962" s="912">
        <f>I1962*H1962</f>
        <v>4600</v>
      </c>
      <c r="K1962" s="912" t="s">
        <v>274</v>
      </c>
      <c r="L1962" s="912"/>
      <c r="M1962" s="912"/>
      <c r="N1962" s="912"/>
      <c r="O1962" s="892">
        <f t="shared" si="120"/>
        <v>0</v>
      </c>
      <c r="P1962" s="903">
        <f t="shared" si="121"/>
        <v>1</v>
      </c>
      <c r="Q1962" s="893">
        <f t="shared" si="122"/>
        <v>3</v>
      </c>
      <c r="R1962" s="894">
        <f t="shared" si="123"/>
        <v>0</v>
      </c>
    </row>
    <row r="1963" spans="1:18" s="904" customFormat="1">
      <c r="A1963" s="895"/>
      <c r="B1963" s="896"/>
      <c r="C1963" s="897"/>
      <c r="D1963" s="897"/>
      <c r="E1963" s="924" t="s">
        <v>276</v>
      </c>
      <c r="F1963" s="927"/>
      <c r="G1963" s="928"/>
      <c r="H1963" s="901"/>
      <c r="I1963" s="902"/>
      <c r="J1963" s="902"/>
      <c r="K1963" s="912" t="s">
        <v>274</v>
      </c>
      <c r="L1963" s="902"/>
      <c r="M1963" s="902"/>
      <c r="N1963" s="902"/>
      <c r="O1963" s="892">
        <f t="shared" si="120"/>
        <v>0</v>
      </c>
      <c r="P1963" s="903">
        <f t="shared" si="121"/>
        <v>1</v>
      </c>
      <c r="Q1963" s="893">
        <f t="shared" si="122"/>
        <v>2</v>
      </c>
      <c r="R1963" s="894">
        <f t="shared" si="123"/>
        <v>0</v>
      </c>
    </row>
    <row r="1964" spans="1:18">
      <c r="A1964" s="905"/>
      <c r="B1964" s="906"/>
      <c r="C1964" s="907">
        <v>740</v>
      </c>
      <c r="D1964" s="907" t="s">
        <v>12</v>
      </c>
      <c r="E1964" s="908" t="s">
        <v>4008</v>
      </c>
      <c r="F1964" s="909" t="s">
        <v>2674</v>
      </c>
      <c r="G1964" s="910"/>
      <c r="H1964" s="911">
        <v>1.35</v>
      </c>
      <c r="I1964" s="912"/>
      <c r="J1964" s="912"/>
      <c r="K1964" s="912">
        <f>VLOOKUP(E1964,ĐMNC!$A$7:$F$67,4,0)</f>
        <v>252714</v>
      </c>
      <c r="L1964" s="912">
        <f>H1964*K1964</f>
        <v>341163.9</v>
      </c>
      <c r="M1964" s="912"/>
      <c r="N1964" s="912"/>
      <c r="O1964" s="892">
        <f t="shared" si="120"/>
        <v>0</v>
      </c>
      <c r="P1964" s="903">
        <f t="shared" si="121"/>
        <v>1</v>
      </c>
      <c r="Q1964" s="893">
        <f t="shared" si="122"/>
        <v>1</v>
      </c>
      <c r="R1964" s="894">
        <f t="shared" si="123"/>
        <v>0</v>
      </c>
    </row>
    <row r="1965" spans="1:18" s="847" customFormat="1" ht="31.5">
      <c r="A1965" s="905"/>
      <c r="B1965" s="914" t="s">
        <v>4586</v>
      </c>
      <c r="C1965" s="915"/>
      <c r="D1965" s="915"/>
      <c r="E1965" s="916" t="s">
        <v>4587</v>
      </c>
      <c r="F1965" s="917" t="s">
        <v>249</v>
      </c>
      <c r="G1965" s="918"/>
      <c r="H1965" s="919"/>
      <c r="I1965" s="920"/>
      <c r="J1965" s="891">
        <f>SUM(J1966:J1970)</f>
        <v>4750</v>
      </c>
      <c r="K1965" s="891"/>
      <c r="L1965" s="891">
        <f>SUM(L1966:L1970)</f>
        <v>386652.42</v>
      </c>
      <c r="M1965" s="891"/>
      <c r="N1965" s="891">
        <f>SUM(N1966:N1970)</f>
        <v>0</v>
      </c>
      <c r="O1965" s="892">
        <f t="shared" si="120"/>
        <v>1</v>
      </c>
      <c r="P1965" s="903">
        <f t="shared" si="121"/>
        <v>0</v>
      </c>
      <c r="Q1965" s="893">
        <f t="shared" si="122"/>
        <v>0</v>
      </c>
      <c r="R1965" s="894">
        <f t="shared" si="123"/>
        <v>5</v>
      </c>
    </row>
    <row r="1966" spans="1:18" s="904" customFormat="1">
      <c r="A1966" s="895"/>
      <c r="B1966" s="896"/>
      <c r="C1966" s="897"/>
      <c r="D1966" s="897"/>
      <c r="E1966" s="924" t="s">
        <v>108</v>
      </c>
      <c r="F1966" s="899"/>
      <c r="G1966" s="900"/>
      <c r="H1966" s="901"/>
      <c r="I1966" s="902"/>
      <c r="J1966" s="902"/>
      <c r="K1966" s="912" t="s">
        <v>274</v>
      </c>
      <c r="L1966" s="902"/>
      <c r="M1966" s="902"/>
      <c r="N1966" s="902"/>
      <c r="O1966" s="892">
        <f t="shared" si="120"/>
        <v>0</v>
      </c>
      <c r="P1966" s="903">
        <f t="shared" si="121"/>
        <v>1</v>
      </c>
      <c r="Q1966" s="893">
        <f t="shared" si="122"/>
        <v>5</v>
      </c>
      <c r="R1966" s="894">
        <f t="shared" si="123"/>
        <v>0</v>
      </c>
    </row>
    <row r="1967" spans="1:18">
      <c r="A1967" s="905"/>
      <c r="B1967" s="906"/>
      <c r="C1967" s="907">
        <v>66</v>
      </c>
      <c r="D1967" s="907" t="s">
        <v>279</v>
      </c>
      <c r="E1967" s="925" t="s">
        <v>2682</v>
      </c>
      <c r="F1967" s="926" t="s">
        <v>45</v>
      </c>
      <c r="G1967" s="910"/>
      <c r="H1967" s="911">
        <v>0.03</v>
      </c>
      <c r="I1967" s="912">
        <f>VLOOKUP(E1967,[3]VLP!$B$7:$K$300,10,0)</f>
        <v>5000</v>
      </c>
      <c r="J1967" s="912">
        <f>I1967*H1967</f>
        <v>150</v>
      </c>
      <c r="K1967" s="912" t="s">
        <v>274</v>
      </c>
      <c r="L1967" s="912"/>
      <c r="M1967" s="912"/>
      <c r="N1967" s="912"/>
      <c r="O1967" s="892">
        <f t="shared" si="120"/>
        <v>0</v>
      </c>
      <c r="P1967" s="903">
        <f t="shared" si="121"/>
        <v>1</v>
      </c>
      <c r="Q1967" s="893">
        <f t="shared" si="122"/>
        <v>4</v>
      </c>
      <c r="R1967" s="894">
        <f t="shared" si="123"/>
        <v>0</v>
      </c>
    </row>
    <row r="1968" spans="1:18">
      <c r="A1968" s="905"/>
      <c r="B1968" s="906"/>
      <c r="C1968" s="907">
        <v>44</v>
      </c>
      <c r="D1968" s="907" t="s">
        <v>279</v>
      </c>
      <c r="E1968" s="925" t="s">
        <v>2681</v>
      </c>
      <c r="F1968" s="926" t="s">
        <v>45</v>
      </c>
      <c r="G1968" s="910"/>
      <c r="H1968" s="911">
        <v>0.2</v>
      </c>
      <c r="I1968" s="912">
        <f>VLOOKUP(E1968,[3]VLP!$B$7:$K$300,10,0)</f>
        <v>23000</v>
      </c>
      <c r="J1968" s="912">
        <f>I1968*H1968</f>
        <v>4600</v>
      </c>
      <c r="K1968" s="912" t="s">
        <v>274</v>
      </c>
      <c r="L1968" s="912"/>
      <c r="M1968" s="912"/>
      <c r="N1968" s="912"/>
      <c r="O1968" s="892">
        <f t="shared" si="120"/>
        <v>0</v>
      </c>
      <c r="P1968" s="903">
        <f t="shared" si="121"/>
        <v>1</v>
      </c>
      <c r="Q1968" s="893">
        <f t="shared" si="122"/>
        <v>3</v>
      </c>
      <c r="R1968" s="894">
        <f t="shared" si="123"/>
        <v>0</v>
      </c>
    </row>
    <row r="1969" spans="1:18" s="904" customFormat="1">
      <c r="A1969" s="895"/>
      <c r="B1969" s="896"/>
      <c r="C1969" s="897"/>
      <c r="D1969" s="897"/>
      <c r="E1969" s="924" t="s">
        <v>276</v>
      </c>
      <c r="F1969" s="927"/>
      <c r="G1969" s="928"/>
      <c r="H1969" s="901"/>
      <c r="I1969" s="902"/>
      <c r="J1969" s="902"/>
      <c r="K1969" s="912" t="s">
        <v>274</v>
      </c>
      <c r="L1969" s="902"/>
      <c r="M1969" s="902"/>
      <c r="N1969" s="902"/>
      <c r="O1969" s="892">
        <f t="shared" si="120"/>
        <v>0</v>
      </c>
      <c r="P1969" s="903">
        <f t="shared" si="121"/>
        <v>1</v>
      </c>
      <c r="Q1969" s="893">
        <f t="shared" si="122"/>
        <v>2</v>
      </c>
      <c r="R1969" s="894">
        <f t="shared" si="123"/>
        <v>0</v>
      </c>
    </row>
    <row r="1970" spans="1:18">
      <c r="A1970" s="905"/>
      <c r="B1970" s="906"/>
      <c r="C1970" s="907">
        <v>740</v>
      </c>
      <c r="D1970" s="907" t="s">
        <v>12</v>
      </c>
      <c r="E1970" s="908" t="s">
        <v>4008</v>
      </c>
      <c r="F1970" s="909" t="s">
        <v>2674</v>
      </c>
      <c r="G1970" s="910"/>
      <c r="H1970" s="911">
        <v>1.53</v>
      </c>
      <c r="I1970" s="912"/>
      <c r="J1970" s="912"/>
      <c r="K1970" s="912">
        <f>VLOOKUP(E1970,ĐMNC!$A$7:$F$67,4,0)</f>
        <v>252714</v>
      </c>
      <c r="L1970" s="912">
        <f>H1970*K1970</f>
        <v>386652.42</v>
      </c>
      <c r="M1970" s="912"/>
      <c r="N1970" s="912"/>
      <c r="O1970" s="892">
        <f t="shared" si="120"/>
        <v>0</v>
      </c>
      <c r="P1970" s="903">
        <f t="shared" si="121"/>
        <v>1</v>
      </c>
      <c r="Q1970" s="893">
        <f t="shared" si="122"/>
        <v>1</v>
      </c>
      <c r="R1970" s="894">
        <f t="shared" si="123"/>
        <v>0</v>
      </c>
    </row>
    <row r="1971" spans="1:18" s="847" customFormat="1" ht="31.5">
      <c r="A1971" s="905"/>
      <c r="B1971" s="914" t="s">
        <v>4588</v>
      </c>
      <c r="C1971" s="915"/>
      <c r="D1971" s="915"/>
      <c r="E1971" s="916" t="s">
        <v>4589</v>
      </c>
      <c r="F1971" s="917" t="s">
        <v>249</v>
      </c>
      <c r="G1971" s="918"/>
      <c r="H1971" s="919"/>
      <c r="I1971" s="920"/>
      <c r="J1971" s="891">
        <f>SUM(J1972:J1976)</f>
        <v>4750</v>
      </c>
      <c r="K1971" s="891"/>
      <c r="L1971" s="891">
        <f>SUM(L1972:L1976)</f>
        <v>432140.94</v>
      </c>
      <c r="M1971" s="891"/>
      <c r="N1971" s="891">
        <f>SUM(N1972:N1976)</f>
        <v>0</v>
      </c>
      <c r="O1971" s="892">
        <f t="shared" si="120"/>
        <v>1</v>
      </c>
      <c r="P1971" s="903">
        <f t="shared" si="121"/>
        <v>0</v>
      </c>
      <c r="Q1971" s="893">
        <f t="shared" si="122"/>
        <v>0</v>
      </c>
      <c r="R1971" s="894">
        <f t="shared" si="123"/>
        <v>5</v>
      </c>
    </row>
    <row r="1972" spans="1:18" s="904" customFormat="1">
      <c r="A1972" s="895"/>
      <c r="B1972" s="896"/>
      <c r="C1972" s="897"/>
      <c r="D1972" s="897"/>
      <c r="E1972" s="924" t="s">
        <v>108</v>
      </c>
      <c r="F1972" s="899"/>
      <c r="G1972" s="900"/>
      <c r="H1972" s="901"/>
      <c r="I1972" s="902"/>
      <c r="J1972" s="902"/>
      <c r="K1972" s="912" t="s">
        <v>274</v>
      </c>
      <c r="L1972" s="902"/>
      <c r="M1972" s="902"/>
      <c r="N1972" s="902"/>
      <c r="O1972" s="892">
        <f t="shared" si="120"/>
        <v>0</v>
      </c>
      <c r="P1972" s="903">
        <f t="shared" si="121"/>
        <v>1</v>
      </c>
      <c r="Q1972" s="893">
        <f t="shared" si="122"/>
        <v>5</v>
      </c>
      <c r="R1972" s="894">
        <f t="shared" si="123"/>
        <v>0</v>
      </c>
    </row>
    <row r="1973" spans="1:18">
      <c r="A1973" s="905"/>
      <c r="B1973" s="906"/>
      <c r="C1973" s="907">
        <v>66</v>
      </c>
      <c r="D1973" s="907" t="s">
        <v>279</v>
      </c>
      <c r="E1973" s="925" t="s">
        <v>2682</v>
      </c>
      <c r="F1973" s="926" t="s">
        <v>45</v>
      </c>
      <c r="G1973" s="910"/>
      <c r="H1973" s="911">
        <v>0.03</v>
      </c>
      <c r="I1973" s="912">
        <f>VLOOKUP(E1973,[3]VLP!$B$7:$K$300,10,0)</f>
        <v>5000</v>
      </c>
      <c r="J1973" s="912">
        <f>I1973*H1973</f>
        <v>150</v>
      </c>
      <c r="K1973" s="912" t="s">
        <v>274</v>
      </c>
      <c r="L1973" s="912"/>
      <c r="M1973" s="912"/>
      <c r="N1973" s="912"/>
      <c r="O1973" s="892">
        <f t="shared" si="120"/>
        <v>0</v>
      </c>
      <c r="P1973" s="903">
        <f t="shared" si="121"/>
        <v>1</v>
      </c>
      <c r="Q1973" s="893">
        <f t="shared" si="122"/>
        <v>4</v>
      </c>
      <c r="R1973" s="894">
        <f t="shared" si="123"/>
        <v>0</v>
      </c>
    </row>
    <row r="1974" spans="1:18">
      <c r="A1974" s="905"/>
      <c r="B1974" s="906"/>
      <c r="C1974" s="907">
        <v>44</v>
      </c>
      <c r="D1974" s="907" t="s">
        <v>279</v>
      </c>
      <c r="E1974" s="925" t="s">
        <v>2681</v>
      </c>
      <c r="F1974" s="926" t="s">
        <v>45</v>
      </c>
      <c r="G1974" s="910"/>
      <c r="H1974" s="911">
        <v>0.2</v>
      </c>
      <c r="I1974" s="912">
        <f>VLOOKUP(E1974,[3]VLP!$B$7:$K$300,10,0)</f>
        <v>23000</v>
      </c>
      <c r="J1974" s="912">
        <f>I1974*H1974</f>
        <v>4600</v>
      </c>
      <c r="K1974" s="912" t="s">
        <v>274</v>
      </c>
      <c r="L1974" s="912"/>
      <c r="M1974" s="912"/>
      <c r="N1974" s="912"/>
      <c r="O1974" s="892">
        <f t="shared" si="120"/>
        <v>0</v>
      </c>
      <c r="P1974" s="903">
        <f t="shared" si="121"/>
        <v>1</v>
      </c>
      <c r="Q1974" s="893">
        <f t="shared" si="122"/>
        <v>3</v>
      </c>
      <c r="R1974" s="894">
        <f t="shared" si="123"/>
        <v>0</v>
      </c>
    </row>
    <row r="1975" spans="1:18" s="904" customFormat="1">
      <c r="A1975" s="895"/>
      <c r="B1975" s="896"/>
      <c r="C1975" s="897"/>
      <c r="D1975" s="897"/>
      <c r="E1975" s="924" t="s">
        <v>276</v>
      </c>
      <c r="F1975" s="927"/>
      <c r="G1975" s="928"/>
      <c r="H1975" s="901"/>
      <c r="I1975" s="902"/>
      <c r="J1975" s="902"/>
      <c r="K1975" s="912" t="s">
        <v>274</v>
      </c>
      <c r="L1975" s="902"/>
      <c r="M1975" s="902"/>
      <c r="N1975" s="902"/>
      <c r="O1975" s="892">
        <f t="shared" si="120"/>
        <v>0</v>
      </c>
      <c r="P1975" s="903">
        <f t="shared" si="121"/>
        <v>1</v>
      </c>
      <c r="Q1975" s="893">
        <f t="shared" si="122"/>
        <v>2</v>
      </c>
      <c r="R1975" s="894">
        <f t="shared" si="123"/>
        <v>0</v>
      </c>
    </row>
    <row r="1976" spans="1:18">
      <c r="A1976" s="905"/>
      <c r="B1976" s="906"/>
      <c r="C1976" s="907">
        <v>740</v>
      </c>
      <c r="D1976" s="907" t="s">
        <v>12</v>
      </c>
      <c r="E1976" s="908" t="s">
        <v>4008</v>
      </c>
      <c r="F1976" s="909" t="s">
        <v>2674</v>
      </c>
      <c r="G1976" s="910"/>
      <c r="H1976" s="911">
        <v>1.71</v>
      </c>
      <c r="I1976" s="912"/>
      <c r="J1976" s="912"/>
      <c r="K1976" s="912">
        <f>VLOOKUP(E1976,ĐMNC!$A$7:$F$67,4,0)</f>
        <v>252714</v>
      </c>
      <c r="L1976" s="912">
        <f>H1976*K1976</f>
        <v>432140.94</v>
      </c>
      <c r="M1976" s="912"/>
      <c r="N1976" s="912"/>
      <c r="O1976" s="892">
        <f t="shared" si="120"/>
        <v>0</v>
      </c>
      <c r="P1976" s="903">
        <f t="shared" si="121"/>
        <v>1</v>
      </c>
      <c r="Q1976" s="893">
        <f t="shared" si="122"/>
        <v>1</v>
      </c>
      <c r="R1976" s="894">
        <f t="shared" si="123"/>
        <v>0</v>
      </c>
    </row>
    <row r="1977" spans="1:18" s="847" customFormat="1" ht="31.5">
      <c r="A1977" s="905"/>
      <c r="B1977" s="914" t="s">
        <v>4590</v>
      </c>
      <c r="C1977" s="915"/>
      <c r="D1977" s="915"/>
      <c r="E1977" s="916" t="s">
        <v>4591</v>
      </c>
      <c r="F1977" s="917" t="s">
        <v>249</v>
      </c>
      <c r="G1977" s="918"/>
      <c r="H1977" s="919"/>
      <c r="I1977" s="920"/>
      <c r="J1977" s="891">
        <f>SUM(J1978:J1982)</f>
        <v>4750</v>
      </c>
      <c r="K1977" s="891"/>
      <c r="L1977" s="891">
        <f>SUM(L1978:L1982)</f>
        <v>475102.31999999995</v>
      </c>
      <c r="M1977" s="891"/>
      <c r="N1977" s="891">
        <f>SUM(N1978:N1982)</f>
        <v>0</v>
      </c>
      <c r="O1977" s="892">
        <f t="shared" si="120"/>
        <v>1</v>
      </c>
      <c r="P1977" s="903">
        <f t="shared" si="121"/>
        <v>0</v>
      </c>
      <c r="Q1977" s="893">
        <f t="shared" si="122"/>
        <v>0</v>
      </c>
      <c r="R1977" s="894">
        <f t="shared" si="123"/>
        <v>5</v>
      </c>
    </row>
    <row r="1978" spans="1:18" s="904" customFormat="1">
      <c r="A1978" s="895"/>
      <c r="B1978" s="896"/>
      <c r="C1978" s="897"/>
      <c r="D1978" s="897"/>
      <c r="E1978" s="924" t="s">
        <v>108</v>
      </c>
      <c r="F1978" s="899"/>
      <c r="G1978" s="900"/>
      <c r="H1978" s="901"/>
      <c r="I1978" s="902"/>
      <c r="J1978" s="902"/>
      <c r="K1978" s="912" t="s">
        <v>274</v>
      </c>
      <c r="L1978" s="902"/>
      <c r="M1978" s="902"/>
      <c r="N1978" s="902"/>
      <c r="O1978" s="892">
        <f t="shared" si="120"/>
        <v>0</v>
      </c>
      <c r="P1978" s="903">
        <f t="shared" si="121"/>
        <v>1</v>
      </c>
      <c r="Q1978" s="893">
        <f t="shared" si="122"/>
        <v>5</v>
      </c>
      <c r="R1978" s="894">
        <f t="shared" si="123"/>
        <v>0</v>
      </c>
    </row>
    <row r="1979" spans="1:18">
      <c r="A1979" s="905"/>
      <c r="B1979" s="906"/>
      <c r="C1979" s="907">
        <v>66</v>
      </c>
      <c r="D1979" s="907" t="s">
        <v>279</v>
      </c>
      <c r="E1979" s="925" t="s">
        <v>2682</v>
      </c>
      <c r="F1979" s="926" t="s">
        <v>45</v>
      </c>
      <c r="G1979" s="910"/>
      <c r="H1979" s="911">
        <v>0.03</v>
      </c>
      <c r="I1979" s="912">
        <f>VLOOKUP(E1979,[3]VLP!$B$7:$K$300,10,0)</f>
        <v>5000</v>
      </c>
      <c r="J1979" s="912">
        <f>I1979*H1979</f>
        <v>150</v>
      </c>
      <c r="K1979" s="912" t="s">
        <v>274</v>
      </c>
      <c r="L1979" s="912"/>
      <c r="M1979" s="912"/>
      <c r="N1979" s="912"/>
      <c r="O1979" s="892">
        <f t="shared" si="120"/>
        <v>0</v>
      </c>
      <c r="P1979" s="903">
        <f t="shared" si="121"/>
        <v>1</v>
      </c>
      <c r="Q1979" s="893">
        <f t="shared" si="122"/>
        <v>4</v>
      </c>
      <c r="R1979" s="894">
        <f t="shared" si="123"/>
        <v>0</v>
      </c>
    </row>
    <row r="1980" spans="1:18">
      <c r="A1980" s="905"/>
      <c r="B1980" s="906"/>
      <c r="C1980" s="907">
        <v>44</v>
      </c>
      <c r="D1980" s="907" t="s">
        <v>279</v>
      </c>
      <c r="E1980" s="925" t="s">
        <v>2681</v>
      </c>
      <c r="F1980" s="926" t="s">
        <v>45</v>
      </c>
      <c r="G1980" s="910"/>
      <c r="H1980" s="911">
        <v>0.2</v>
      </c>
      <c r="I1980" s="912">
        <f>VLOOKUP(E1980,[3]VLP!$B$7:$K$300,10,0)</f>
        <v>23000</v>
      </c>
      <c r="J1980" s="912">
        <f>I1980*H1980</f>
        <v>4600</v>
      </c>
      <c r="K1980" s="912" t="s">
        <v>274</v>
      </c>
      <c r="L1980" s="912"/>
      <c r="M1980" s="912"/>
      <c r="N1980" s="912"/>
      <c r="O1980" s="892">
        <f t="shared" si="120"/>
        <v>0</v>
      </c>
      <c r="P1980" s="903">
        <f t="shared" si="121"/>
        <v>1</v>
      </c>
      <c r="Q1980" s="893">
        <f t="shared" si="122"/>
        <v>3</v>
      </c>
      <c r="R1980" s="894">
        <f t="shared" si="123"/>
        <v>0</v>
      </c>
    </row>
    <row r="1981" spans="1:18" s="904" customFormat="1">
      <c r="A1981" s="895"/>
      <c r="B1981" s="896"/>
      <c r="C1981" s="897"/>
      <c r="D1981" s="897"/>
      <c r="E1981" s="924" t="s">
        <v>276</v>
      </c>
      <c r="F1981" s="927"/>
      <c r="G1981" s="928"/>
      <c r="H1981" s="901"/>
      <c r="I1981" s="902"/>
      <c r="J1981" s="902"/>
      <c r="K1981" s="912" t="s">
        <v>274</v>
      </c>
      <c r="L1981" s="902"/>
      <c r="M1981" s="902"/>
      <c r="N1981" s="902"/>
      <c r="O1981" s="892">
        <f t="shared" si="120"/>
        <v>0</v>
      </c>
      <c r="P1981" s="903">
        <f t="shared" si="121"/>
        <v>1</v>
      </c>
      <c r="Q1981" s="893">
        <f t="shared" si="122"/>
        <v>2</v>
      </c>
      <c r="R1981" s="894">
        <f t="shared" si="123"/>
        <v>0</v>
      </c>
    </row>
    <row r="1982" spans="1:18">
      <c r="A1982" s="905"/>
      <c r="B1982" s="906"/>
      <c r="C1982" s="907">
        <v>740</v>
      </c>
      <c r="D1982" s="907" t="s">
        <v>12</v>
      </c>
      <c r="E1982" s="908" t="s">
        <v>4008</v>
      </c>
      <c r="F1982" s="909" t="s">
        <v>2674</v>
      </c>
      <c r="G1982" s="910"/>
      <c r="H1982" s="911">
        <v>1.88</v>
      </c>
      <c r="I1982" s="912"/>
      <c r="J1982" s="912"/>
      <c r="K1982" s="912">
        <f>VLOOKUP(E1982,ĐMNC!$A$7:$F$67,4,0)</f>
        <v>252714</v>
      </c>
      <c r="L1982" s="912">
        <f>H1982*K1982</f>
        <v>475102.31999999995</v>
      </c>
      <c r="M1982" s="912"/>
      <c r="N1982" s="912"/>
      <c r="O1982" s="892">
        <f t="shared" si="120"/>
        <v>0</v>
      </c>
      <c r="P1982" s="903">
        <f t="shared" si="121"/>
        <v>1</v>
      </c>
      <c r="Q1982" s="893">
        <f t="shared" si="122"/>
        <v>1</v>
      </c>
      <c r="R1982" s="894">
        <f t="shared" si="123"/>
        <v>0</v>
      </c>
    </row>
    <row r="1983" spans="1:18" s="847" customFormat="1" ht="31.5">
      <c r="A1983" s="905"/>
      <c r="B1983" s="914" t="s">
        <v>4592</v>
      </c>
      <c r="C1983" s="915"/>
      <c r="D1983" s="915"/>
      <c r="E1983" s="916" t="s">
        <v>4593</v>
      </c>
      <c r="F1983" s="917" t="s">
        <v>249</v>
      </c>
      <c r="G1983" s="918"/>
      <c r="H1983" s="919"/>
      <c r="I1983" s="920"/>
      <c r="J1983" s="891">
        <f>SUM(J1984:J1988)</f>
        <v>4750</v>
      </c>
      <c r="K1983" s="891"/>
      <c r="L1983" s="891">
        <f>SUM(L1984:L1988)</f>
        <v>523117.98</v>
      </c>
      <c r="M1983" s="891"/>
      <c r="N1983" s="891">
        <f>SUM(N1984:N1988)</f>
        <v>0</v>
      </c>
      <c r="O1983" s="892">
        <f t="shared" si="120"/>
        <v>1</v>
      </c>
      <c r="P1983" s="903">
        <f t="shared" si="121"/>
        <v>0</v>
      </c>
      <c r="Q1983" s="893">
        <f t="shared" si="122"/>
        <v>0</v>
      </c>
      <c r="R1983" s="894">
        <f t="shared" si="123"/>
        <v>5</v>
      </c>
    </row>
    <row r="1984" spans="1:18" s="904" customFormat="1">
      <c r="A1984" s="895"/>
      <c r="B1984" s="896"/>
      <c r="C1984" s="897"/>
      <c r="D1984" s="897"/>
      <c r="E1984" s="924" t="s">
        <v>108</v>
      </c>
      <c r="F1984" s="899"/>
      <c r="G1984" s="900"/>
      <c r="H1984" s="901"/>
      <c r="I1984" s="902"/>
      <c r="J1984" s="902"/>
      <c r="K1984" s="912" t="s">
        <v>274</v>
      </c>
      <c r="L1984" s="902"/>
      <c r="M1984" s="902"/>
      <c r="N1984" s="902"/>
      <c r="O1984" s="892">
        <f t="shared" si="120"/>
        <v>0</v>
      </c>
      <c r="P1984" s="903">
        <f t="shared" si="121"/>
        <v>1</v>
      </c>
      <c r="Q1984" s="893">
        <f t="shared" si="122"/>
        <v>5</v>
      </c>
      <c r="R1984" s="894">
        <f t="shared" si="123"/>
        <v>0</v>
      </c>
    </row>
    <row r="1985" spans="1:18">
      <c r="A1985" s="905"/>
      <c r="B1985" s="906"/>
      <c r="C1985" s="907">
        <v>66</v>
      </c>
      <c r="D1985" s="907" t="s">
        <v>279</v>
      </c>
      <c r="E1985" s="925" t="s">
        <v>2682</v>
      </c>
      <c r="F1985" s="926" t="s">
        <v>45</v>
      </c>
      <c r="G1985" s="910"/>
      <c r="H1985" s="911">
        <v>0.03</v>
      </c>
      <c r="I1985" s="912">
        <f>VLOOKUP(E1985,[3]VLP!$B$7:$K$300,10,0)</f>
        <v>5000</v>
      </c>
      <c r="J1985" s="912">
        <f>I1985*H1985</f>
        <v>150</v>
      </c>
      <c r="K1985" s="912" t="s">
        <v>274</v>
      </c>
      <c r="L1985" s="912"/>
      <c r="M1985" s="912"/>
      <c r="N1985" s="912"/>
      <c r="O1985" s="892">
        <f t="shared" si="120"/>
        <v>0</v>
      </c>
      <c r="P1985" s="903">
        <f t="shared" si="121"/>
        <v>1</v>
      </c>
      <c r="Q1985" s="893">
        <f t="shared" si="122"/>
        <v>4</v>
      </c>
      <c r="R1985" s="894">
        <f t="shared" si="123"/>
        <v>0</v>
      </c>
    </row>
    <row r="1986" spans="1:18">
      <c r="A1986" s="905"/>
      <c r="B1986" s="906"/>
      <c r="C1986" s="907">
        <v>44</v>
      </c>
      <c r="D1986" s="907" t="s">
        <v>279</v>
      </c>
      <c r="E1986" s="925" t="s">
        <v>2681</v>
      </c>
      <c r="F1986" s="926" t="s">
        <v>45</v>
      </c>
      <c r="G1986" s="910"/>
      <c r="H1986" s="911">
        <v>0.2</v>
      </c>
      <c r="I1986" s="912">
        <f>VLOOKUP(E1986,[3]VLP!$B$7:$K$300,10,0)</f>
        <v>23000</v>
      </c>
      <c r="J1986" s="912">
        <f>I1986*H1986</f>
        <v>4600</v>
      </c>
      <c r="K1986" s="912" t="s">
        <v>274</v>
      </c>
      <c r="L1986" s="912"/>
      <c r="M1986" s="912"/>
      <c r="N1986" s="912"/>
      <c r="O1986" s="892">
        <f t="shared" si="120"/>
        <v>0</v>
      </c>
      <c r="P1986" s="903">
        <f t="shared" si="121"/>
        <v>1</v>
      </c>
      <c r="Q1986" s="893">
        <f t="shared" si="122"/>
        <v>3</v>
      </c>
      <c r="R1986" s="894">
        <f t="shared" si="123"/>
        <v>0</v>
      </c>
    </row>
    <row r="1987" spans="1:18" s="904" customFormat="1">
      <c r="A1987" s="895"/>
      <c r="B1987" s="896"/>
      <c r="C1987" s="897"/>
      <c r="D1987" s="897"/>
      <c r="E1987" s="924" t="s">
        <v>276</v>
      </c>
      <c r="F1987" s="927"/>
      <c r="G1987" s="928"/>
      <c r="H1987" s="901"/>
      <c r="I1987" s="902"/>
      <c r="J1987" s="902"/>
      <c r="K1987" s="912" t="s">
        <v>274</v>
      </c>
      <c r="L1987" s="902"/>
      <c r="M1987" s="902"/>
      <c r="N1987" s="902"/>
      <c r="O1987" s="892">
        <f t="shared" si="120"/>
        <v>0</v>
      </c>
      <c r="P1987" s="903">
        <f t="shared" si="121"/>
        <v>1</v>
      </c>
      <c r="Q1987" s="893">
        <f t="shared" si="122"/>
        <v>2</v>
      </c>
      <c r="R1987" s="894">
        <f t="shared" si="123"/>
        <v>0</v>
      </c>
    </row>
    <row r="1988" spans="1:18">
      <c r="A1988" s="905"/>
      <c r="B1988" s="906"/>
      <c r="C1988" s="907">
        <v>740</v>
      </c>
      <c r="D1988" s="907" t="s">
        <v>12</v>
      </c>
      <c r="E1988" s="908" t="s">
        <v>4008</v>
      </c>
      <c r="F1988" s="909" t="s">
        <v>2674</v>
      </c>
      <c r="G1988" s="910"/>
      <c r="H1988" s="911">
        <v>2.0699999999999998</v>
      </c>
      <c r="I1988" s="912"/>
      <c r="J1988" s="912"/>
      <c r="K1988" s="912">
        <f>VLOOKUP(E1988,ĐMNC!$A$7:$F$67,4,0)</f>
        <v>252714</v>
      </c>
      <c r="L1988" s="912">
        <f>H1988*K1988</f>
        <v>523117.98</v>
      </c>
      <c r="M1988" s="912"/>
      <c r="N1988" s="912"/>
      <c r="O1988" s="892">
        <f t="shared" si="120"/>
        <v>0</v>
      </c>
      <c r="P1988" s="903">
        <f t="shared" si="121"/>
        <v>1</v>
      </c>
      <c r="Q1988" s="893">
        <f t="shared" si="122"/>
        <v>1</v>
      </c>
      <c r="R1988" s="894">
        <f t="shared" si="123"/>
        <v>0</v>
      </c>
    </row>
    <row r="1989" spans="1:18" s="847" customFormat="1" ht="31.5">
      <c r="A1989" s="905"/>
      <c r="B1989" s="914" t="s">
        <v>4594</v>
      </c>
      <c r="C1989" s="915"/>
      <c r="D1989" s="915"/>
      <c r="E1989" s="916" t="s">
        <v>4595</v>
      </c>
      <c r="F1989" s="917" t="s">
        <v>249</v>
      </c>
      <c r="G1989" s="918"/>
      <c r="H1989" s="919"/>
      <c r="I1989" s="920"/>
      <c r="J1989" s="891">
        <f>SUM(J1990:J1994)</f>
        <v>4750</v>
      </c>
      <c r="K1989" s="891"/>
      <c r="L1989" s="891">
        <f>SUM(L1990:L1994)</f>
        <v>601459.31999999995</v>
      </c>
      <c r="M1989" s="891"/>
      <c r="N1989" s="891">
        <f>SUM(N1990:N1994)</f>
        <v>0</v>
      </c>
      <c r="O1989" s="892">
        <f t="shared" si="120"/>
        <v>1</v>
      </c>
      <c r="P1989" s="903">
        <f t="shared" si="121"/>
        <v>0</v>
      </c>
      <c r="Q1989" s="893">
        <f t="shared" si="122"/>
        <v>0</v>
      </c>
      <c r="R1989" s="894">
        <f t="shared" si="123"/>
        <v>5</v>
      </c>
    </row>
    <row r="1990" spans="1:18" s="904" customFormat="1">
      <c r="A1990" s="895"/>
      <c r="B1990" s="896"/>
      <c r="C1990" s="897"/>
      <c r="D1990" s="897"/>
      <c r="E1990" s="924" t="s">
        <v>108</v>
      </c>
      <c r="F1990" s="899"/>
      <c r="G1990" s="900"/>
      <c r="H1990" s="901"/>
      <c r="I1990" s="902"/>
      <c r="J1990" s="902"/>
      <c r="K1990" s="912" t="s">
        <v>274</v>
      </c>
      <c r="L1990" s="902"/>
      <c r="M1990" s="902"/>
      <c r="N1990" s="902"/>
      <c r="O1990" s="892">
        <f t="shared" si="120"/>
        <v>0</v>
      </c>
      <c r="P1990" s="903">
        <f t="shared" si="121"/>
        <v>1</v>
      </c>
      <c r="Q1990" s="893">
        <f t="shared" si="122"/>
        <v>5</v>
      </c>
      <c r="R1990" s="894">
        <f t="shared" si="123"/>
        <v>0</v>
      </c>
    </row>
    <row r="1991" spans="1:18">
      <c r="A1991" s="905"/>
      <c r="B1991" s="906"/>
      <c r="C1991" s="907">
        <v>66</v>
      </c>
      <c r="D1991" s="907" t="s">
        <v>279</v>
      </c>
      <c r="E1991" s="925" t="s">
        <v>2682</v>
      </c>
      <c r="F1991" s="926" t="s">
        <v>45</v>
      </c>
      <c r="G1991" s="910"/>
      <c r="H1991" s="911">
        <v>0.03</v>
      </c>
      <c r="I1991" s="912">
        <f>VLOOKUP(E1991,[3]VLP!$B$7:$K$300,10,0)</f>
        <v>5000</v>
      </c>
      <c r="J1991" s="912">
        <f>I1991*H1991</f>
        <v>150</v>
      </c>
      <c r="K1991" s="912" t="s">
        <v>274</v>
      </c>
      <c r="L1991" s="912"/>
      <c r="M1991" s="912"/>
      <c r="N1991" s="912"/>
      <c r="O1991" s="892">
        <f t="shared" si="120"/>
        <v>0</v>
      </c>
      <c r="P1991" s="903">
        <f t="shared" si="121"/>
        <v>1</v>
      </c>
      <c r="Q1991" s="893">
        <f t="shared" si="122"/>
        <v>4</v>
      </c>
      <c r="R1991" s="894">
        <f t="shared" si="123"/>
        <v>0</v>
      </c>
    </row>
    <row r="1992" spans="1:18">
      <c r="A1992" s="905"/>
      <c r="B1992" s="906"/>
      <c r="C1992" s="907">
        <v>44</v>
      </c>
      <c r="D1992" s="907" t="s">
        <v>279</v>
      </c>
      <c r="E1992" s="925" t="s">
        <v>2681</v>
      </c>
      <c r="F1992" s="926" t="s">
        <v>45</v>
      </c>
      <c r="G1992" s="910"/>
      <c r="H1992" s="911">
        <v>0.2</v>
      </c>
      <c r="I1992" s="912">
        <f>VLOOKUP(E1992,[3]VLP!$B$7:$K$300,10,0)</f>
        <v>23000</v>
      </c>
      <c r="J1992" s="912">
        <f>I1992*H1992</f>
        <v>4600</v>
      </c>
      <c r="K1992" s="912" t="s">
        <v>274</v>
      </c>
      <c r="L1992" s="912"/>
      <c r="M1992" s="912"/>
      <c r="N1992" s="912"/>
      <c r="O1992" s="892">
        <f t="shared" ref="O1992:O2055" si="124">IF(AND(B1992&lt;&gt;"",D1992=""),1,0)</f>
        <v>0</v>
      </c>
      <c r="P1992" s="903">
        <f t="shared" si="121"/>
        <v>1</v>
      </c>
      <c r="Q1992" s="893">
        <f t="shared" si="122"/>
        <v>3</v>
      </c>
      <c r="R1992" s="894">
        <f t="shared" si="123"/>
        <v>0</v>
      </c>
    </row>
    <row r="1993" spans="1:18" s="904" customFormat="1">
      <c r="A1993" s="895"/>
      <c r="B1993" s="896"/>
      <c r="C1993" s="897"/>
      <c r="D1993" s="897"/>
      <c r="E1993" s="924" t="s">
        <v>276</v>
      </c>
      <c r="F1993" s="927"/>
      <c r="G1993" s="928"/>
      <c r="H1993" s="901"/>
      <c r="I1993" s="902"/>
      <c r="J1993" s="902"/>
      <c r="K1993" s="912" t="s">
        <v>274</v>
      </c>
      <c r="L1993" s="902"/>
      <c r="M1993" s="902"/>
      <c r="N1993" s="902"/>
      <c r="O1993" s="892">
        <f t="shared" si="124"/>
        <v>0</v>
      </c>
      <c r="P1993" s="903">
        <f t="shared" si="121"/>
        <v>1</v>
      </c>
      <c r="Q1993" s="893">
        <f t="shared" si="122"/>
        <v>2</v>
      </c>
      <c r="R1993" s="894">
        <f t="shared" si="123"/>
        <v>0</v>
      </c>
    </row>
    <row r="1994" spans="1:18">
      <c r="A1994" s="905"/>
      <c r="B1994" s="906"/>
      <c r="C1994" s="907">
        <v>740</v>
      </c>
      <c r="D1994" s="907" t="s">
        <v>12</v>
      </c>
      <c r="E1994" s="908" t="s">
        <v>4008</v>
      </c>
      <c r="F1994" s="909" t="s">
        <v>2674</v>
      </c>
      <c r="G1994" s="910"/>
      <c r="H1994" s="911">
        <v>2.38</v>
      </c>
      <c r="I1994" s="912"/>
      <c r="J1994" s="912"/>
      <c r="K1994" s="912">
        <f>VLOOKUP(E1994,ĐMNC!$A$7:$F$67,4,0)</f>
        <v>252714</v>
      </c>
      <c r="L1994" s="912">
        <f>H1994*K1994</f>
        <v>601459.31999999995</v>
      </c>
      <c r="M1994" s="912"/>
      <c r="N1994" s="912"/>
      <c r="O1994" s="892">
        <f t="shared" si="124"/>
        <v>0</v>
      </c>
      <c r="P1994" s="903">
        <f t="shared" si="121"/>
        <v>1</v>
      </c>
      <c r="Q1994" s="893">
        <f t="shared" si="122"/>
        <v>1</v>
      </c>
      <c r="R1994" s="894">
        <f t="shared" si="123"/>
        <v>0</v>
      </c>
    </row>
    <row r="1995" spans="1:18" s="847" customFormat="1" ht="31.5">
      <c r="A1995" s="905"/>
      <c r="B1995" s="914" t="s">
        <v>4596</v>
      </c>
      <c r="C1995" s="915"/>
      <c r="D1995" s="915"/>
      <c r="E1995" s="916" t="s">
        <v>4597</v>
      </c>
      <c r="F1995" s="917" t="s">
        <v>249</v>
      </c>
      <c r="G1995" s="918"/>
      <c r="H1995" s="919"/>
      <c r="I1995" s="920"/>
      <c r="J1995" s="891">
        <f>SUM(J1996:J2000)</f>
        <v>4750</v>
      </c>
      <c r="K1995" s="891"/>
      <c r="L1995" s="891">
        <f>SUM(L1996:L2000)</f>
        <v>692436.3600000001</v>
      </c>
      <c r="M1995" s="891"/>
      <c r="N1995" s="891">
        <f>SUM(N1996:N2000)</f>
        <v>0</v>
      </c>
      <c r="O1995" s="892">
        <f t="shared" si="124"/>
        <v>1</v>
      </c>
      <c r="P1995" s="903">
        <f t="shared" si="121"/>
        <v>0</v>
      </c>
      <c r="Q1995" s="893">
        <f t="shared" si="122"/>
        <v>0</v>
      </c>
      <c r="R1995" s="894">
        <f t="shared" si="123"/>
        <v>5</v>
      </c>
    </row>
    <row r="1996" spans="1:18" s="904" customFormat="1">
      <c r="A1996" s="895"/>
      <c r="B1996" s="896"/>
      <c r="C1996" s="897"/>
      <c r="D1996" s="897"/>
      <c r="E1996" s="924" t="s">
        <v>108</v>
      </c>
      <c r="F1996" s="899"/>
      <c r="G1996" s="900"/>
      <c r="H1996" s="901"/>
      <c r="I1996" s="902"/>
      <c r="J1996" s="902"/>
      <c r="K1996" s="912" t="s">
        <v>274</v>
      </c>
      <c r="L1996" s="902"/>
      <c r="M1996" s="902"/>
      <c r="N1996" s="902"/>
      <c r="O1996" s="892">
        <f t="shared" si="124"/>
        <v>0</v>
      </c>
      <c r="P1996" s="903">
        <f t="shared" si="121"/>
        <v>1</v>
      </c>
      <c r="Q1996" s="893">
        <f t="shared" si="122"/>
        <v>5</v>
      </c>
      <c r="R1996" s="894">
        <f t="shared" si="123"/>
        <v>0</v>
      </c>
    </row>
    <row r="1997" spans="1:18">
      <c r="A1997" s="905"/>
      <c r="B1997" s="906"/>
      <c r="C1997" s="907">
        <v>66</v>
      </c>
      <c r="D1997" s="907" t="s">
        <v>279</v>
      </c>
      <c r="E1997" s="925" t="s">
        <v>2682</v>
      </c>
      <c r="F1997" s="926" t="s">
        <v>45</v>
      </c>
      <c r="G1997" s="910"/>
      <c r="H1997" s="911">
        <v>0.03</v>
      </c>
      <c r="I1997" s="912">
        <f>VLOOKUP(E1997,[3]VLP!$B$7:$K$300,10,0)</f>
        <v>5000</v>
      </c>
      <c r="J1997" s="912">
        <f>I1997*H1997</f>
        <v>150</v>
      </c>
      <c r="K1997" s="912" t="s">
        <v>274</v>
      </c>
      <c r="L1997" s="912"/>
      <c r="M1997" s="912"/>
      <c r="N1997" s="912"/>
      <c r="O1997" s="892">
        <f t="shared" si="124"/>
        <v>0</v>
      </c>
      <c r="P1997" s="903">
        <f t="shared" si="121"/>
        <v>1</v>
      </c>
      <c r="Q1997" s="893">
        <f t="shared" si="122"/>
        <v>4</v>
      </c>
      <c r="R1997" s="894">
        <f t="shared" si="123"/>
        <v>0</v>
      </c>
    </row>
    <row r="1998" spans="1:18">
      <c r="A1998" s="905"/>
      <c r="B1998" s="906"/>
      <c r="C1998" s="907">
        <v>44</v>
      </c>
      <c r="D1998" s="907" t="s">
        <v>279</v>
      </c>
      <c r="E1998" s="925" t="s">
        <v>2681</v>
      </c>
      <c r="F1998" s="926" t="s">
        <v>45</v>
      </c>
      <c r="G1998" s="910"/>
      <c r="H1998" s="911">
        <v>0.2</v>
      </c>
      <c r="I1998" s="912">
        <f>VLOOKUP(E1998,[3]VLP!$B$7:$K$300,10,0)</f>
        <v>23000</v>
      </c>
      <c r="J1998" s="912">
        <f>I1998*H1998</f>
        <v>4600</v>
      </c>
      <c r="K1998" s="912" t="s">
        <v>274</v>
      </c>
      <c r="L1998" s="912"/>
      <c r="M1998" s="912"/>
      <c r="N1998" s="912"/>
      <c r="O1998" s="892">
        <f t="shared" si="124"/>
        <v>0</v>
      </c>
      <c r="P1998" s="903">
        <f t="shared" si="121"/>
        <v>1</v>
      </c>
      <c r="Q1998" s="893">
        <f t="shared" si="122"/>
        <v>3</v>
      </c>
      <c r="R1998" s="894">
        <f t="shared" si="123"/>
        <v>0</v>
      </c>
    </row>
    <row r="1999" spans="1:18" s="904" customFormat="1">
      <c r="A1999" s="895"/>
      <c r="B1999" s="896"/>
      <c r="C1999" s="897"/>
      <c r="D1999" s="897"/>
      <c r="E1999" s="924" t="s">
        <v>276</v>
      </c>
      <c r="F1999" s="927"/>
      <c r="G1999" s="928"/>
      <c r="H1999" s="901"/>
      <c r="I1999" s="902"/>
      <c r="J1999" s="902"/>
      <c r="K1999" s="912" t="s">
        <v>274</v>
      </c>
      <c r="L1999" s="902"/>
      <c r="M1999" s="902"/>
      <c r="N1999" s="902"/>
      <c r="O1999" s="892">
        <f t="shared" si="124"/>
        <v>0</v>
      </c>
      <c r="P1999" s="903">
        <f t="shared" si="121"/>
        <v>1</v>
      </c>
      <c r="Q1999" s="893">
        <f t="shared" si="122"/>
        <v>2</v>
      </c>
      <c r="R1999" s="894">
        <f t="shared" si="123"/>
        <v>0</v>
      </c>
    </row>
    <row r="2000" spans="1:18">
      <c r="A2000" s="905"/>
      <c r="B2000" s="906"/>
      <c r="C2000" s="907">
        <v>740</v>
      </c>
      <c r="D2000" s="907" t="s">
        <v>12</v>
      </c>
      <c r="E2000" s="908" t="s">
        <v>4008</v>
      </c>
      <c r="F2000" s="909" t="s">
        <v>2674</v>
      </c>
      <c r="G2000" s="910"/>
      <c r="H2000" s="911">
        <v>2.74</v>
      </c>
      <c r="I2000" s="912"/>
      <c r="J2000" s="912"/>
      <c r="K2000" s="912">
        <f>VLOOKUP(E2000,ĐMNC!$A$7:$F$67,4,0)</f>
        <v>252714</v>
      </c>
      <c r="L2000" s="912">
        <f>H2000*K2000</f>
        <v>692436.3600000001</v>
      </c>
      <c r="M2000" s="912"/>
      <c r="N2000" s="912"/>
      <c r="O2000" s="892">
        <f t="shared" si="124"/>
        <v>0</v>
      </c>
      <c r="P2000" s="903">
        <f t="shared" si="121"/>
        <v>1</v>
      </c>
      <c r="Q2000" s="893">
        <f t="shared" si="122"/>
        <v>1</v>
      </c>
      <c r="R2000" s="894">
        <f t="shared" si="123"/>
        <v>0</v>
      </c>
    </row>
    <row r="2001" spans="1:18" s="847" customFormat="1" ht="31.5">
      <c r="A2001" s="905"/>
      <c r="B2001" s="914" t="s">
        <v>4598</v>
      </c>
      <c r="C2001" s="915"/>
      <c r="D2001" s="915"/>
      <c r="E2001" s="916" t="s">
        <v>4599</v>
      </c>
      <c r="F2001" s="917" t="s">
        <v>249</v>
      </c>
      <c r="G2001" s="918"/>
      <c r="H2001" s="919"/>
      <c r="I2001" s="920"/>
      <c r="J2001" s="891">
        <f>SUM(J2002:J2006)</f>
        <v>5720</v>
      </c>
      <c r="K2001" s="891"/>
      <c r="L2001" s="891">
        <f>SUM(L2002:L2006)</f>
        <v>389179.56</v>
      </c>
      <c r="M2001" s="891"/>
      <c r="N2001" s="891">
        <f>SUM(N2002:N2006)</f>
        <v>0</v>
      </c>
      <c r="O2001" s="892">
        <f t="shared" si="124"/>
        <v>1</v>
      </c>
      <c r="P2001" s="903">
        <f t="shared" ref="P2001:P2064" si="125">IF(O2001=0,1,0)</f>
        <v>0</v>
      </c>
      <c r="Q2001" s="893">
        <f t="shared" ref="Q2001:Q2064" si="126">IF(P2001=0,0,P2001+Q2002)</f>
        <v>0</v>
      </c>
      <c r="R2001" s="894">
        <f t="shared" ref="R2001:R2064" si="127">IF(Q2001=0,Q2002,0)</f>
        <v>5</v>
      </c>
    </row>
    <row r="2002" spans="1:18" s="904" customFormat="1">
      <c r="A2002" s="895"/>
      <c r="B2002" s="922"/>
      <c r="C2002" s="897"/>
      <c r="D2002" s="897"/>
      <c r="E2002" s="924" t="s">
        <v>108</v>
      </c>
      <c r="F2002" s="899"/>
      <c r="G2002" s="900"/>
      <c r="H2002" s="901"/>
      <c r="I2002" s="902"/>
      <c r="J2002" s="902"/>
      <c r="K2002" s="912" t="s">
        <v>274</v>
      </c>
      <c r="L2002" s="902"/>
      <c r="M2002" s="902"/>
      <c r="N2002" s="902"/>
      <c r="O2002" s="892">
        <f t="shared" si="124"/>
        <v>0</v>
      </c>
      <c r="P2002" s="903">
        <f t="shared" si="125"/>
        <v>1</v>
      </c>
      <c r="Q2002" s="893">
        <f t="shared" si="126"/>
        <v>5</v>
      </c>
      <c r="R2002" s="894">
        <f t="shared" si="127"/>
        <v>0</v>
      </c>
    </row>
    <row r="2003" spans="1:18">
      <c r="A2003" s="905"/>
      <c r="B2003" s="906"/>
      <c r="C2003" s="907">
        <v>66</v>
      </c>
      <c r="D2003" s="907" t="s">
        <v>279</v>
      </c>
      <c r="E2003" s="925" t="s">
        <v>2682</v>
      </c>
      <c r="F2003" s="926" t="s">
        <v>45</v>
      </c>
      <c r="G2003" s="910"/>
      <c r="H2003" s="911">
        <v>0.04</v>
      </c>
      <c r="I2003" s="912">
        <f>VLOOKUP(E2003,[3]VLP!$B$7:$K$300,10,0)</f>
        <v>5000</v>
      </c>
      <c r="J2003" s="912">
        <f>I2003*H2003</f>
        <v>200</v>
      </c>
      <c r="K2003" s="912" t="s">
        <v>274</v>
      </c>
      <c r="L2003" s="912"/>
      <c r="M2003" s="912"/>
      <c r="N2003" s="912"/>
      <c r="O2003" s="892">
        <f t="shared" si="124"/>
        <v>0</v>
      </c>
      <c r="P2003" s="903">
        <f t="shared" si="125"/>
        <v>1</v>
      </c>
      <c r="Q2003" s="893">
        <f t="shared" si="126"/>
        <v>4</v>
      </c>
      <c r="R2003" s="894">
        <f t="shared" si="127"/>
        <v>0</v>
      </c>
    </row>
    <row r="2004" spans="1:18">
      <c r="A2004" s="905"/>
      <c r="B2004" s="906"/>
      <c r="C2004" s="907">
        <v>44</v>
      </c>
      <c r="D2004" s="907" t="s">
        <v>279</v>
      </c>
      <c r="E2004" s="925" t="s">
        <v>2681</v>
      </c>
      <c r="F2004" s="926" t="s">
        <v>45</v>
      </c>
      <c r="G2004" s="910"/>
      <c r="H2004" s="911">
        <v>0.24</v>
      </c>
      <c r="I2004" s="912">
        <f>VLOOKUP(E2004,[3]VLP!$B$7:$K$300,10,0)</f>
        <v>23000</v>
      </c>
      <c r="J2004" s="912">
        <f>I2004*H2004</f>
        <v>5520</v>
      </c>
      <c r="K2004" s="912" t="s">
        <v>274</v>
      </c>
      <c r="L2004" s="912"/>
      <c r="M2004" s="912"/>
      <c r="N2004" s="912"/>
      <c r="O2004" s="892">
        <f t="shared" si="124"/>
        <v>0</v>
      </c>
      <c r="P2004" s="903">
        <f t="shared" si="125"/>
        <v>1</v>
      </c>
      <c r="Q2004" s="893">
        <f t="shared" si="126"/>
        <v>3</v>
      </c>
      <c r="R2004" s="894">
        <f t="shared" si="127"/>
        <v>0</v>
      </c>
    </row>
    <row r="2005" spans="1:18" s="904" customFormat="1">
      <c r="A2005" s="895"/>
      <c r="B2005" s="896"/>
      <c r="C2005" s="897"/>
      <c r="D2005" s="897"/>
      <c r="E2005" s="924" t="s">
        <v>276</v>
      </c>
      <c r="F2005" s="927"/>
      <c r="G2005" s="928"/>
      <c r="H2005" s="901"/>
      <c r="I2005" s="902"/>
      <c r="J2005" s="902"/>
      <c r="K2005" s="912" t="s">
        <v>274</v>
      </c>
      <c r="L2005" s="902"/>
      <c r="M2005" s="902"/>
      <c r="N2005" s="902"/>
      <c r="O2005" s="892">
        <f t="shared" si="124"/>
        <v>0</v>
      </c>
      <c r="P2005" s="903">
        <f t="shared" si="125"/>
        <v>1</v>
      </c>
      <c r="Q2005" s="893">
        <f t="shared" si="126"/>
        <v>2</v>
      </c>
      <c r="R2005" s="894">
        <f t="shared" si="127"/>
        <v>0</v>
      </c>
    </row>
    <row r="2006" spans="1:18">
      <c r="A2006" s="905"/>
      <c r="B2006" s="906"/>
      <c r="C2006" s="907">
        <v>740</v>
      </c>
      <c r="D2006" s="907" t="s">
        <v>12</v>
      </c>
      <c r="E2006" s="908" t="s">
        <v>4008</v>
      </c>
      <c r="F2006" s="909" t="s">
        <v>2674</v>
      </c>
      <c r="G2006" s="910"/>
      <c r="H2006" s="911">
        <v>1.54</v>
      </c>
      <c r="I2006" s="912"/>
      <c r="J2006" s="912"/>
      <c r="K2006" s="912">
        <f>VLOOKUP(E2006,ĐMNC!$A$7:$F$67,4,0)</f>
        <v>252714</v>
      </c>
      <c r="L2006" s="912">
        <f>H2006*K2006</f>
        <v>389179.56</v>
      </c>
      <c r="M2006" s="912"/>
      <c r="N2006" s="912"/>
      <c r="O2006" s="892">
        <f t="shared" si="124"/>
        <v>0</v>
      </c>
      <c r="P2006" s="903">
        <f t="shared" si="125"/>
        <v>1</v>
      </c>
      <c r="Q2006" s="893">
        <f t="shared" si="126"/>
        <v>1</v>
      </c>
      <c r="R2006" s="894">
        <f t="shared" si="127"/>
        <v>0</v>
      </c>
    </row>
    <row r="2007" spans="1:18" s="847" customFormat="1" ht="31.5">
      <c r="A2007" s="905"/>
      <c r="B2007" s="914" t="s">
        <v>4600</v>
      </c>
      <c r="C2007" s="915"/>
      <c r="D2007" s="915"/>
      <c r="E2007" s="916" t="s">
        <v>4601</v>
      </c>
      <c r="F2007" s="917" t="s">
        <v>249</v>
      </c>
      <c r="G2007" s="918"/>
      <c r="H2007" s="919"/>
      <c r="I2007" s="920"/>
      <c r="J2007" s="891">
        <f>SUM(J2008:J2012)</f>
        <v>5720</v>
      </c>
      <c r="K2007" s="891"/>
      <c r="L2007" s="891">
        <f>SUM(L2008:L2012)</f>
        <v>409396.68000000005</v>
      </c>
      <c r="M2007" s="891"/>
      <c r="N2007" s="891">
        <f>SUM(N2008:N2012)</f>
        <v>0</v>
      </c>
      <c r="O2007" s="892">
        <f t="shared" si="124"/>
        <v>1</v>
      </c>
      <c r="P2007" s="903">
        <f t="shared" si="125"/>
        <v>0</v>
      </c>
      <c r="Q2007" s="893">
        <f t="shared" si="126"/>
        <v>0</v>
      </c>
      <c r="R2007" s="894">
        <f t="shared" si="127"/>
        <v>5</v>
      </c>
    </row>
    <row r="2008" spans="1:18" s="904" customFormat="1">
      <c r="A2008" s="895"/>
      <c r="B2008" s="896"/>
      <c r="C2008" s="897"/>
      <c r="D2008" s="897"/>
      <c r="E2008" s="924" t="s">
        <v>108</v>
      </c>
      <c r="F2008" s="899"/>
      <c r="G2008" s="900"/>
      <c r="H2008" s="901"/>
      <c r="I2008" s="902"/>
      <c r="J2008" s="902"/>
      <c r="K2008" s="912" t="s">
        <v>274</v>
      </c>
      <c r="L2008" s="902"/>
      <c r="M2008" s="902"/>
      <c r="N2008" s="902"/>
      <c r="O2008" s="892">
        <f t="shared" si="124"/>
        <v>0</v>
      </c>
      <c r="P2008" s="903">
        <f t="shared" si="125"/>
        <v>1</v>
      </c>
      <c r="Q2008" s="893">
        <f t="shared" si="126"/>
        <v>5</v>
      </c>
      <c r="R2008" s="894">
        <f t="shared" si="127"/>
        <v>0</v>
      </c>
    </row>
    <row r="2009" spans="1:18">
      <c r="A2009" s="905"/>
      <c r="B2009" s="906"/>
      <c r="C2009" s="907">
        <v>66</v>
      </c>
      <c r="D2009" s="907" t="s">
        <v>279</v>
      </c>
      <c r="E2009" s="925" t="s">
        <v>2682</v>
      </c>
      <c r="F2009" s="926" t="s">
        <v>45</v>
      </c>
      <c r="G2009" s="910"/>
      <c r="H2009" s="911">
        <v>0.04</v>
      </c>
      <c r="I2009" s="912">
        <f>VLOOKUP(E2009,[3]VLP!$B$7:$K$300,10,0)</f>
        <v>5000</v>
      </c>
      <c r="J2009" s="912">
        <f>I2009*H2009</f>
        <v>200</v>
      </c>
      <c r="K2009" s="912" t="s">
        <v>274</v>
      </c>
      <c r="L2009" s="912"/>
      <c r="M2009" s="912"/>
      <c r="N2009" s="912"/>
      <c r="O2009" s="892">
        <f t="shared" si="124"/>
        <v>0</v>
      </c>
      <c r="P2009" s="903">
        <f t="shared" si="125"/>
        <v>1</v>
      </c>
      <c r="Q2009" s="893">
        <f t="shared" si="126"/>
        <v>4</v>
      </c>
      <c r="R2009" s="894">
        <f t="shared" si="127"/>
        <v>0</v>
      </c>
    </row>
    <row r="2010" spans="1:18">
      <c r="A2010" s="905"/>
      <c r="B2010" s="906"/>
      <c r="C2010" s="907">
        <v>44</v>
      </c>
      <c r="D2010" s="907" t="s">
        <v>279</v>
      </c>
      <c r="E2010" s="925" t="s">
        <v>2681</v>
      </c>
      <c r="F2010" s="926" t="s">
        <v>45</v>
      </c>
      <c r="G2010" s="910"/>
      <c r="H2010" s="911">
        <v>0.24</v>
      </c>
      <c r="I2010" s="912">
        <f>VLOOKUP(E2010,[3]VLP!$B$7:$K$300,10,0)</f>
        <v>23000</v>
      </c>
      <c r="J2010" s="912">
        <f>I2010*H2010</f>
        <v>5520</v>
      </c>
      <c r="K2010" s="912" t="s">
        <v>274</v>
      </c>
      <c r="L2010" s="912"/>
      <c r="M2010" s="912"/>
      <c r="N2010" s="912"/>
      <c r="O2010" s="892">
        <f t="shared" si="124"/>
        <v>0</v>
      </c>
      <c r="P2010" s="903">
        <f t="shared" si="125"/>
        <v>1</v>
      </c>
      <c r="Q2010" s="893">
        <f t="shared" si="126"/>
        <v>3</v>
      </c>
      <c r="R2010" s="894">
        <f t="shared" si="127"/>
        <v>0</v>
      </c>
    </row>
    <row r="2011" spans="1:18" s="904" customFormat="1">
      <c r="A2011" s="895"/>
      <c r="B2011" s="896"/>
      <c r="C2011" s="897"/>
      <c r="D2011" s="897"/>
      <c r="E2011" s="924" t="s">
        <v>276</v>
      </c>
      <c r="F2011" s="927"/>
      <c r="G2011" s="928"/>
      <c r="H2011" s="901"/>
      <c r="I2011" s="902"/>
      <c r="J2011" s="902"/>
      <c r="K2011" s="912" t="s">
        <v>274</v>
      </c>
      <c r="L2011" s="902"/>
      <c r="M2011" s="902"/>
      <c r="N2011" s="902"/>
      <c r="O2011" s="892">
        <f t="shared" si="124"/>
        <v>0</v>
      </c>
      <c r="P2011" s="903">
        <f t="shared" si="125"/>
        <v>1</v>
      </c>
      <c r="Q2011" s="893">
        <f t="shared" si="126"/>
        <v>2</v>
      </c>
      <c r="R2011" s="894">
        <f t="shared" si="127"/>
        <v>0</v>
      </c>
    </row>
    <row r="2012" spans="1:18">
      <c r="A2012" s="905"/>
      <c r="B2012" s="906"/>
      <c r="C2012" s="907">
        <v>740</v>
      </c>
      <c r="D2012" s="907" t="s">
        <v>12</v>
      </c>
      <c r="E2012" s="908" t="s">
        <v>4008</v>
      </c>
      <c r="F2012" s="909" t="s">
        <v>2674</v>
      </c>
      <c r="G2012" s="910"/>
      <c r="H2012" s="911">
        <v>1.62</v>
      </c>
      <c r="I2012" s="912"/>
      <c r="J2012" s="912"/>
      <c r="K2012" s="912">
        <f>VLOOKUP(E2012,ĐMNC!$A$7:$F$67,4,0)</f>
        <v>252714</v>
      </c>
      <c r="L2012" s="912">
        <f>H2012*K2012</f>
        <v>409396.68000000005</v>
      </c>
      <c r="M2012" s="912"/>
      <c r="N2012" s="912"/>
      <c r="O2012" s="892">
        <f t="shared" si="124"/>
        <v>0</v>
      </c>
      <c r="P2012" s="903">
        <f t="shared" si="125"/>
        <v>1</v>
      </c>
      <c r="Q2012" s="893">
        <f t="shared" si="126"/>
        <v>1</v>
      </c>
      <c r="R2012" s="894">
        <f t="shared" si="127"/>
        <v>0</v>
      </c>
    </row>
    <row r="2013" spans="1:18" s="847" customFormat="1" ht="31.5">
      <c r="A2013" s="905"/>
      <c r="B2013" s="914" t="s">
        <v>4602</v>
      </c>
      <c r="C2013" s="915"/>
      <c r="D2013" s="915"/>
      <c r="E2013" s="916" t="s">
        <v>4603</v>
      </c>
      <c r="F2013" s="917" t="s">
        <v>249</v>
      </c>
      <c r="G2013" s="918"/>
      <c r="H2013" s="919"/>
      <c r="I2013" s="920"/>
      <c r="J2013" s="891">
        <f>SUM(J2014:J2018)</f>
        <v>5720</v>
      </c>
      <c r="K2013" s="891"/>
      <c r="L2013" s="891">
        <f>SUM(L2014:L2018)</f>
        <v>464993.76</v>
      </c>
      <c r="M2013" s="891"/>
      <c r="N2013" s="891">
        <f>SUM(N2014:N2018)</f>
        <v>0</v>
      </c>
      <c r="O2013" s="892">
        <f t="shared" si="124"/>
        <v>1</v>
      </c>
      <c r="P2013" s="903">
        <f t="shared" si="125"/>
        <v>0</v>
      </c>
      <c r="Q2013" s="893">
        <f t="shared" si="126"/>
        <v>0</v>
      </c>
      <c r="R2013" s="894">
        <f t="shared" si="127"/>
        <v>5</v>
      </c>
    </row>
    <row r="2014" spans="1:18" s="904" customFormat="1">
      <c r="A2014" s="895"/>
      <c r="B2014" s="896"/>
      <c r="C2014" s="897"/>
      <c r="D2014" s="897"/>
      <c r="E2014" s="924" t="s">
        <v>108</v>
      </c>
      <c r="F2014" s="899"/>
      <c r="G2014" s="900"/>
      <c r="H2014" s="901"/>
      <c r="I2014" s="902"/>
      <c r="J2014" s="902"/>
      <c r="K2014" s="912" t="s">
        <v>274</v>
      </c>
      <c r="L2014" s="902"/>
      <c r="M2014" s="902"/>
      <c r="N2014" s="902"/>
      <c r="O2014" s="892">
        <f t="shared" si="124"/>
        <v>0</v>
      </c>
      <c r="P2014" s="903">
        <f t="shared" si="125"/>
        <v>1</v>
      </c>
      <c r="Q2014" s="893">
        <f t="shared" si="126"/>
        <v>5</v>
      </c>
      <c r="R2014" s="894">
        <f t="shared" si="127"/>
        <v>0</v>
      </c>
    </row>
    <row r="2015" spans="1:18">
      <c r="A2015" s="905"/>
      <c r="B2015" s="906"/>
      <c r="C2015" s="907">
        <v>66</v>
      </c>
      <c r="D2015" s="907" t="s">
        <v>279</v>
      </c>
      <c r="E2015" s="925" t="s">
        <v>2682</v>
      </c>
      <c r="F2015" s="926" t="s">
        <v>45</v>
      </c>
      <c r="G2015" s="910"/>
      <c r="H2015" s="911">
        <v>0.04</v>
      </c>
      <c r="I2015" s="912">
        <f>VLOOKUP(E2015,[3]VLP!$B$7:$K$300,10,0)</f>
        <v>5000</v>
      </c>
      <c r="J2015" s="912">
        <f>I2015*H2015</f>
        <v>200</v>
      </c>
      <c r="K2015" s="912" t="s">
        <v>274</v>
      </c>
      <c r="L2015" s="912"/>
      <c r="M2015" s="912"/>
      <c r="N2015" s="912"/>
      <c r="O2015" s="892">
        <f t="shared" si="124"/>
        <v>0</v>
      </c>
      <c r="P2015" s="903">
        <f t="shared" si="125"/>
        <v>1</v>
      </c>
      <c r="Q2015" s="893">
        <f t="shared" si="126"/>
        <v>4</v>
      </c>
      <c r="R2015" s="894">
        <f t="shared" si="127"/>
        <v>0</v>
      </c>
    </row>
    <row r="2016" spans="1:18">
      <c r="A2016" s="905"/>
      <c r="B2016" s="906"/>
      <c r="C2016" s="907">
        <v>44</v>
      </c>
      <c r="D2016" s="907" t="s">
        <v>279</v>
      </c>
      <c r="E2016" s="925" t="s">
        <v>2681</v>
      </c>
      <c r="F2016" s="926" t="s">
        <v>45</v>
      </c>
      <c r="G2016" s="910"/>
      <c r="H2016" s="911">
        <v>0.24</v>
      </c>
      <c r="I2016" s="912">
        <f>VLOOKUP(E2016,[3]VLP!$B$7:$K$300,10,0)</f>
        <v>23000</v>
      </c>
      <c r="J2016" s="912">
        <f>I2016*H2016</f>
        <v>5520</v>
      </c>
      <c r="K2016" s="912" t="s">
        <v>274</v>
      </c>
      <c r="L2016" s="912"/>
      <c r="M2016" s="912"/>
      <c r="N2016" s="912"/>
      <c r="O2016" s="892">
        <f t="shared" si="124"/>
        <v>0</v>
      </c>
      <c r="P2016" s="903">
        <f t="shared" si="125"/>
        <v>1</v>
      </c>
      <c r="Q2016" s="893">
        <f t="shared" si="126"/>
        <v>3</v>
      </c>
      <c r="R2016" s="894">
        <f t="shared" si="127"/>
        <v>0</v>
      </c>
    </row>
    <row r="2017" spans="1:18" s="904" customFormat="1">
      <c r="A2017" s="895"/>
      <c r="B2017" s="896"/>
      <c r="C2017" s="897"/>
      <c r="D2017" s="897"/>
      <c r="E2017" s="924" t="s">
        <v>276</v>
      </c>
      <c r="F2017" s="927"/>
      <c r="G2017" s="928"/>
      <c r="H2017" s="901"/>
      <c r="I2017" s="902"/>
      <c r="J2017" s="902"/>
      <c r="K2017" s="912" t="s">
        <v>274</v>
      </c>
      <c r="L2017" s="902"/>
      <c r="M2017" s="902"/>
      <c r="N2017" s="902"/>
      <c r="O2017" s="892">
        <f t="shared" si="124"/>
        <v>0</v>
      </c>
      <c r="P2017" s="903">
        <f t="shared" si="125"/>
        <v>1</v>
      </c>
      <c r="Q2017" s="893">
        <f t="shared" si="126"/>
        <v>2</v>
      </c>
      <c r="R2017" s="894">
        <f t="shared" si="127"/>
        <v>0</v>
      </c>
    </row>
    <row r="2018" spans="1:18">
      <c r="A2018" s="905"/>
      <c r="B2018" s="906"/>
      <c r="C2018" s="907">
        <v>740</v>
      </c>
      <c r="D2018" s="907" t="s">
        <v>12</v>
      </c>
      <c r="E2018" s="908" t="s">
        <v>4008</v>
      </c>
      <c r="F2018" s="909" t="s">
        <v>2674</v>
      </c>
      <c r="G2018" s="910"/>
      <c r="H2018" s="911">
        <v>1.84</v>
      </c>
      <c r="I2018" s="912"/>
      <c r="J2018" s="912"/>
      <c r="K2018" s="912">
        <f>VLOOKUP(E2018,ĐMNC!$A$7:$F$67,4,0)</f>
        <v>252714</v>
      </c>
      <c r="L2018" s="912">
        <f>H2018*K2018</f>
        <v>464993.76</v>
      </c>
      <c r="M2018" s="912"/>
      <c r="N2018" s="912"/>
      <c r="O2018" s="892">
        <f t="shared" si="124"/>
        <v>0</v>
      </c>
      <c r="P2018" s="903">
        <f t="shared" si="125"/>
        <v>1</v>
      </c>
      <c r="Q2018" s="893">
        <f t="shared" si="126"/>
        <v>1</v>
      </c>
      <c r="R2018" s="894">
        <f t="shared" si="127"/>
        <v>0</v>
      </c>
    </row>
    <row r="2019" spans="1:18" s="847" customFormat="1" ht="31.5">
      <c r="A2019" s="905"/>
      <c r="B2019" s="914" t="s">
        <v>4604</v>
      </c>
      <c r="C2019" s="915"/>
      <c r="D2019" s="915"/>
      <c r="E2019" s="916" t="s">
        <v>4605</v>
      </c>
      <c r="F2019" s="917" t="s">
        <v>249</v>
      </c>
      <c r="G2019" s="918"/>
      <c r="H2019" s="919"/>
      <c r="I2019" s="920"/>
      <c r="J2019" s="891">
        <f>SUM(J2020:J2024)</f>
        <v>5720</v>
      </c>
      <c r="K2019" s="891"/>
      <c r="L2019" s="891">
        <f>SUM(L2020:L2024)</f>
        <v>518063.69999999995</v>
      </c>
      <c r="M2019" s="891"/>
      <c r="N2019" s="891">
        <f>SUM(N2020:N2024)</f>
        <v>0</v>
      </c>
      <c r="O2019" s="892">
        <f t="shared" si="124"/>
        <v>1</v>
      </c>
      <c r="P2019" s="903">
        <f t="shared" si="125"/>
        <v>0</v>
      </c>
      <c r="Q2019" s="893">
        <f t="shared" si="126"/>
        <v>0</v>
      </c>
      <c r="R2019" s="894">
        <f t="shared" si="127"/>
        <v>5</v>
      </c>
    </row>
    <row r="2020" spans="1:18" s="904" customFormat="1">
      <c r="A2020" s="895"/>
      <c r="B2020" s="896"/>
      <c r="C2020" s="897"/>
      <c r="D2020" s="897"/>
      <c r="E2020" s="924" t="s">
        <v>108</v>
      </c>
      <c r="F2020" s="899"/>
      <c r="G2020" s="900"/>
      <c r="H2020" s="901"/>
      <c r="I2020" s="902"/>
      <c r="J2020" s="902"/>
      <c r="K2020" s="912" t="s">
        <v>274</v>
      </c>
      <c r="L2020" s="902"/>
      <c r="M2020" s="902"/>
      <c r="N2020" s="902"/>
      <c r="O2020" s="892">
        <f t="shared" si="124"/>
        <v>0</v>
      </c>
      <c r="P2020" s="903">
        <f t="shared" si="125"/>
        <v>1</v>
      </c>
      <c r="Q2020" s="893">
        <f t="shared" si="126"/>
        <v>5</v>
      </c>
      <c r="R2020" s="894">
        <f t="shared" si="127"/>
        <v>0</v>
      </c>
    </row>
    <row r="2021" spans="1:18">
      <c r="A2021" s="905"/>
      <c r="B2021" s="906"/>
      <c r="C2021" s="907">
        <v>66</v>
      </c>
      <c r="D2021" s="907" t="s">
        <v>279</v>
      </c>
      <c r="E2021" s="925" t="s">
        <v>2682</v>
      </c>
      <c r="F2021" s="926" t="s">
        <v>45</v>
      </c>
      <c r="G2021" s="910"/>
      <c r="H2021" s="911">
        <v>0.04</v>
      </c>
      <c r="I2021" s="912">
        <f>VLOOKUP(E2021,[3]VLP!$B$7:$K$300,10,0)</f>
        <v>5000</v>
      </c>
      <c r="J2021" s="912">
        <f>I2021*H2021</f>
        <v>200</v>
      </c>
      <c r="K2021" s="912" t="s">
        <v>274</v>
      </c>
      <c r="L2021" s="912"/>
      <c r="M2021" s="912"/>
      <c r="N2021" s="912"/>
      <c r="O2021" s="892">
        <f t="shared" si="124"/>
        <v>0</v>
      </c>
      <c r="P2021" s="903">
        <f t="shared" si="125"/>
        <v>1</v>
      </c>
      <c r="Q2021" s="893">
        <f t="shared" si="126"/>
        <v>4</v>
      </c>
      <c r="R2021" s="894">
        <f t="shared" si="127"/>
        <v>0</v>
      </c>
    </row>
    <row r="2022" spans="1:18">
      <c r="A2022" s="905"/>
      <c r="B2022" s="906"/>
      <c r="C2022" s="907">
        <v>44</v>
      </c>
      <c r="D2022" s="907" t="s">
        <v>279</v>
      </c>
      <c r="E2022" s="925" t="s">
        <v>2681</v>
      </c>
      <c r="F2022" s="926" t="s">
        <v>45</v>
      </c>
      <c r="G2022" s="910"/>
      <c r="H2022" s="911">
        <v>0.24</v>
      </c>
      <c r="I2022" s="912">
        <f>VLOOKUP(E2022,[3]VLP!$B$7:$K$300,10,0)</f>
        <v>23000</v>
      </c>
      <c r="J2022" s="912">
        <f>I2022*H2022</f>
        <v>5520</v>
      </c>
      <c r="K2022" s="912" t="s">
        <v>274</v>
      </c>
      <c r="L2022" s="912"/>
      <c r="M2022" s="912"/>
      <c r="N2022" s="912"/>
      <c r="O2022" s="892">
        <f t="shared" si="124"/>
        <v>0</v>
      </c>
      <c r="P2022" s="903">
        <f t="shared" si="125"/>
        <v>1</v>
      </c>
      <c r="Q2022" s="893">
        <f t="shared" si="126"/>
        <v>3</v>
      </c>
      <c r="R2022" s="894">
        <f t="shared" si="127"/>
        <v>0</v>
      </c>
    </row>
    <row r="2023" spans="1:18" s="904" customFormat="1">
      <c r="A2023" s="895"/>
      <c r="B2023" s="896"/>
      <c r="C2023" s="897"/>
      <c r="D2023" s="897"/>
      <c r="E2023" s="924" t="s">
        <v>276</v>
      </c>
      <c r="F2023" s="927"/>
      <c r="G2023" s="928"/>
      <c r="H2023" s="901"/>
      <c r="I2023" s="902"/>
      <c r="J2023" s="902"/>
      <c r="K2023" s="912" t="s">
        <v>274</v>
      </c>
      <c r="L2023" s="902"/>
      <c r="M2023" s="902"/>
      <c r="N2023" s="902"/>
      <c r="O2023" s="892">
        <f t="shared" si="124"/>
        <v>0</v>
      </c>
      <c r="P2023" s="903">
        <f t="shared" si="125"/>
        <v>1</v>
      </c>
      <c r="Q2023" s="893">
        <f t="shared" si="126"/>
        <v>2</v>
      </c>
      <c r="R2023" s="894">
        <f t="shared" si="127"/>
        <v>0</v>
      </c>
    </row>
    <row r="2024" spans="1:18">
      <c r="A2024" s="905"/>
      <c r="B2024" s="906"/>
      <c r="C2024" s="907">
        <v>740</v>
      </c>
      <c r="D2024" s="907" t="s">
        <v>12</v>
      </c>
      <c r="E2024" s="908" t="s">
        <v>4008</v>
      </c>
      <c r="F2024" s="909" t="s">
        <v>2674</v>
      </c>
      <c r="G2024" s="910"/>
      <c r="H2024" s="911">
        <v>2.0499999999999998</v>
      </c>
      <c r="I2024" s="912"/>
      <c r="J2024" s="912"/>
      <c r="K2024" s="912">
        <f>VLOOKUP(E2024,ĐMNC!$A$7:$F$67,4,0)</f>
        <v>252714</v>
      </c>
      <c r="L2024" s="912">
        <f>H2024*K2024</f>
        <v>518063.69999999995</v>
      </c>
      <c r="M2024" s="912"/>
      <c r="N2024" s="912"/>
      <c r="O2024" s="892">
        <f t="shared" si="124"/>
        <v>0</v>
      </c>
      <c r="P2024" s="903">
        <f t="shared" si="125"/>
        <v>1</v>
      </c>
      <c r="Q2024" s="893">
        <f t="shared" si="126"/>
        <v>1</v>
      </c>
      <c r="R2024" s="894">
        <f t="shared" si="127"/>
        <v>0</v>
      </c>
    </row>
    <row r="2025" spans="1:18" s="847" customFormat="1" ht="31.5">
      <c r="A2025" s="905"/>
      <c r="B2025" s="914" t="s">
        <v>4606</v>
      </c>
      <c r="C2025" s="915"/>
      <c r="D2025" s="915"/>
      <c r="E2025" s="916" t="s">
        <v>4607</v>
      </c>
      <c r="F2025" s="917" t="s">
        <v>249</v>
      </c>
      <c r="G2025" s="918"/>
      <c r="H2025" s="919"/>
      <c r="I2025" s="920"/>
      <c r="J2025" s="891">
        <f>SUM(J2026:J2030)</f>
        <v>5720</v>
      </c>
      <c r="K2025" s="891"/>
      <c r="L2025" s="891">
        <f>SUM(L2026:L2030)</f>
        <v>657056.4</v>
      </c>
      <c r="M2025" s="891"/>
      <c r="N2025" s="891">
        <f>SUM(N2026:N2030)</f>
        <v>0</v>
      </c>
      <c r="O2025" s="892">
        <f t="shared" si="124"/>
        <v>1</v>
      </c>
      <c r="P2025" s="903">
        <f t="shared" si="125"/>
        <v>0</v>
      </c>
      <c r="Q2025" s="893">
        <f t="shared" si="126"/>
        <v>0</v>
      </c>
      <c r="R2025" s="894">
        <f t="shared" si="127"/>
        <v>5</v>
      </c>
    </row>
    <row r="2026" spans="1:18" s="904" customFormat="1">
      <c r="A2026" s="895"/>
      <c r="B2026" s="896"/>
      <c r="C2026" s="897"/>
      <c r="D2026" s="897"/>
      <c r="E2026" s="924" t="s">
        <v>108</v>
      </c>
      <c r="F2026" s="899"/>
      <c r="G2026" s="900"/>
      <c r="H2026" s="901"/>
      <c r="I2026" s="902"/>
      <c r="J2026" s="902"/>
      <c r="K2026" s="912" t="s">
        <v>274</v>
      </c>
      <c r="L2026" s="902"/>
      <c r="M2026" s="902"/>
      <c r="N2026" s="902"/>
      <c r="O2026" s="892">
        <f t="shared" si="124"/>
        <v>0</v>
      </c>
      <c r="P2026" s="903">
        <f t="shared" si="125"/>
        <v>1</v>
      </c>
      <c r="Q2026" s="893">
        <f t="shared" si="126"/>
        <v>5</v>
      </c>
      <c r="R2026" s="894">
        <f t="shared" si="127"/>
        <v>0</v>
      </c>
    </row>
    <row r="2027" spans="1:18">
      <c r="A2027" s="905"/>
      <c r="B2027" s="906"/>
      <c r="C2027" s="907">
        <v>66</v>
      </c>
      <c r="D2027" s="907" t="s">
        <v>279</v>
      </c>
      <c r="E2027" s="925" t="s">
        <v>2682</v>
      </c>
      <c r="F2027" s="926" t="s">
        <v>45</v>
      </c>
      <c r="G2027" s="910"/>
      <c r="H2027" s="911">
        <v>0.04</v>
      </c>
      <c r="I2027" s="912">
        <f>VLOOKUP(E2027,[3]VLP!$B$7:$K$300,10,0)</f>
        <v>5000</v>
      </c>
      <c r="J2027" s="912">
        <f>I2027*H2027</f>
        <v>200</v>
      </c>
      <c r="K2027" s="912" t="s">
        <v>274</v>
      </c>
      <c r="L2027" s="912"/>
      <c r="M2027" s="912"/>
      <c r="N2027" s="912"/>
      <c r="O2027" s="892">
        <f t="shared" si="124"/>
        <v>0</v>
      </c>
      <c r="P2027" s="903">
        <f t="shared" si="125"/>
        <v>1</v>
      </c>
      <c r="Q2027" s="893">
        <f t="shared" si="126"/>
        <v>4</v>
      </c>
      <c r="R2027" s="894">
        <f t="shared" si="127"/>
        <v>0</v>
      </c>
    </row>
    <row r="2028" spans="1:18">
      <c r="A2028" s="905"/>
      <c r="B2028" s="906"/>
      <c r="C2028" s="907">
        <v>44</v>
      </c>
      <c r="D2028" s="907" t="s">
        <v>279</v>
      </c>
      <c r="E2028" s="925" t="s">
        <v>2681</v>
      </c>
      <c r="F2028" s="926" t="s">
        <v>45</v>
      </c>
      <c r="G2028" s="910"/>
      <c r="H2028" s="911">
        <v>0.24</v>
      </c>
      <c r="I2028" s="912">
        <f>VLOOKUP(E2028,[3]VLP!$B$7:$K$300,10,0)</f>
        <v>23000</v>
      </c>
      <c r="J2028" s="912">
        <f>I2028*H2028</f>
        <v>5520</v>
      </c>
      <c r="K2028" s="912" t="s">
        <v>274</v>
      </c>
      <c r="L2028" s="912"/>
      <c r="M2028" s="912"/>
      <c r="N2028" s="912"/>
      <c r="O2028" s="892">
        <f t="shared" si="124"/>
        <v>0</v>
      </c>
      <c r="P2028" s="903">
        <f t="shared" si="125"/>
        <v>1</v>
      </c>
      <c r="Q2028" s="893">
        <f t="shared" si="126"/>
        <v>3</v>
      </c>
      <c r="R2028" s="894">
        <f t="shared" si="127"/>
        <v>0</v>
      </c>
    </row>
    <row r="2029" spans="1:18" s="904" customFormat="1">
      <c r="A2029" s="895"/>
      <c r="B2029" s="896"/>
      <c r="C2029" s="897"/>
      <c r="D2029" s="897"/>
      <c r="E2029" s="924" t="s">
        <v>276</v>
      </c>
      <c r="F2029" s="927"/>
      <c r="G2029" s="928"/>
      <c r="H2029" s="901"/>
      <c r="I2029" s="902"/>
      <c r="J2029" s="902"/>
      <c r="K2029" s="912" t="s">
        <v>274</v>
      </c>
      <c r="L2029" s="902"/>
      <c r="M2029" s="902"/>
      <c r="N2029" s="902"/>
      <c r="O2029" s="892">
        <f t="shared" si="124"/>
        <v>0</v>
      </c>
      <c r="P2029" s="903">
        <f t="shared" si="125"/>
        <v>1</v>
      </c>
      <c r="Q2029" s="893">
        <f t="shared" si="126"/>
        <v>2</v>
      </c>
      <c r="R2029" s="894">
        <f t="shared" si="127"/>
        <v>0</v>
      </c>
    </row>
    <row r="2030" spans="1:18">
      <c r="A2030" s="905"/>
      <c r="B2030" s="906"/>
      <c r="C2030" s="907">
        <v>740</v>
      </c>
      <c r="D2030" s="907" t="s">
        <v>12</v>
      </c>
      <c r="E2030" s="908" t="s">
        <v>4008</v>
      </c>
      <c r="F2030" s="909" t="s">
        <v>2674</v>
      </c>
      <c r="G2030" s="910"/>
      <c r="H2030" s="911">
        <v>2.6</v>
      </c>
      <c r="I2030" s="912"/>
      <c r="J2030" s="912"/>
      <c r="K2030" s="912">
        <f>VLOOKUP(E2030,ĐMNC!$A$7:$F$67,4,0)</f>
        <v>252714</v>
      </c>
      <c r="L2030" s="912">
        <f>H2030*K2030</f>
        <v>657056.4</v>
      </c>
      <c r="M2030" s="912"/>
      <c r="N2030" s="912"/>
      <c r="O2030" s="892">
        <f t="shared" si="124"/>
        <v>0</v>
      </c>
      <c r="P2030" s="903">
        <f t="shared" si="125"/>
        <v>1</v>
      </c>
      <c r="Q2030" s="893">
        <f t="shared" si="126"/>
        <v>1</v>
      </c>
      <c r="R2030" s="894">
        <f t="shared" si="127"/>
        <v>0</v>
      </c>
    </row>
    <row r="2031" spans="1:18" s="847" customFormat="1" ht="31.5">
      <c r="A2031" s="905"/>
      <c r="B2031" s="914" t="s">
        <v>4608</v>
      </c>
      <c r="C2031" s="915"/>
      <c r="D2031" s="915"/>
      <c r="E2031" s="916" t="s">
        <v>4609</v>
      </c>
      <c r="F2031" s="917" t="s">
        <v>249</v>
      </c>
      <c r="G2031" s="918"/>
      <c r="H2031" s="919"/>
      <c r="I2031" s="920"/>
      <c r="J2031" s="891">
        <f>SUM(J2032:J2036)</f>
        <v>5720</v>
      </c>
      <c r="K2031" s="891"/>
      <c r="L2031" s="891">
        <f>SUM(L2032:L2036)</f>
        <v>722762.03999999992</v>
      </c>
      <c r="M2031" s="891"/>
      <c r="N2031" s="891">
        <f>SUM(N2032:N2036)</f>
        <v>0</v>
      </c>
      <c r="O2031" s="892">
        <f t="shared" si="124"/>
        <v>1</v>
      </c>
      <c r="P2031" s="903">
        <f t="shared" si="125"/>
        <v>0</v>
      </c>
      <c r="Q2031" s="893">
        <f t="shared" si="126"/>
        <v>0</v>
      </c>
      <c r="R2031" s="894">
        <f t="shared" si="127"/>
        <v>5</v>
      </c>
    </row>
    <row r="2032" spans="1:18" s="904" customFormat="1">
      <c r="A2032" s="895"/>
      <c r="B2032" s="896"/>
      <c r="C2032" s="897"/>
      <c r="D2032" s="897"/>
      <c r="E2032" s="924" t="s">
        <v>108</v>
      </c>
      <c r="F2032" s="899"/>
      <c r="G2032" s="900"/>
      <c r="H2032" s="901"/>
      <c r="I2032" s="902"/>
      <c r="J2032" s="902"/>
      <c r="K2032" s="912" t="s">
        <v>274</v>
      </c>
      <c r="L2032" s="902"/>
      <c r="M2032" s="902"/>
      <c r="N2032" s="902"/>
      <c r="O2032" s="892">
        <f t="shared" si="124"/>
        <v>0</v>
      </c>
      <c r="P2032" s="903">
        <f t="shared" si="125"/>
        <v>1</v>
      </c>
      <c r="Q2032" s="893">
        <f t="shared" si="126"/>
        <v>5</v>
      </c>
      <c r="R2032" s="894">
        <f t="shared" si="127"/>
        <v>0</v>
      </c>
    </row>
    <row r="2033" spans="1:18">
      <c r="A2033" s="905"/>
      <c r="B2033" s="906"/>
      <c r="C2033" s="907">
        <v>66</v>
      </c>
      <c r="D2033" s="907" t="s">
        <v>279</v>
      </c>
      <c r="E2033" s="925" t="s">
        <v>2682</v>
      </c>
      <c r="F2033" s="926" t="s">
        <v>45</v>
      </c>
      <c r="G2033" s="910"/>
      <c r="H2033" s="911">
        <v>0.04</v>
      </c>
      <c r="I2033" s="912">
        <f>VLOOKUP(E2033,[3]VLP!$B$7:$K$300,10,0)</f>
        <v>5000</v>
      </c>
      <c r="J2033" s="912">
        <f>I2033*H2033</f>
        <v>200</v>
      </c>
      <c r="K2033" s="912" t="s">
        <v>274</v>
      </c>
      <c r="L2033" s="912"/>
      <c r="M2033" s="912"/>
      <c r="N2033" s="912"/>
      <c r="O2033" s="892">
        <f t="shared" si="124"/>
        <v>0</v>
      </c>
      <c r="P2033" s="903">
        <f t="shared" si="125"/>
        <v>1</v>
      </c>
      <c r="Q2033" s="893">
        <f t="shared" si="126"/>
        <v>4</v>
      </c>
      <c r="R2033" s="894">
        <f t="shared" si="127"/>
        <v>0</v>
      </c>
    </row>
    <row r="2034" spans="1:18">
      <c r="A2034" s="905"/>
      <c r="B2034" s="906"/>
      <c r="C2034" s="907">
        <v>44</v>
      </c>
      <c r="D2034" s="907" t="s">
        <v>279</v>
      </c>
      <c r="E2034" s="925" t="s">
        <v>2681</v>
      </c>
      <c r="F2034" s="926" t="s">
        <v>45</v>
      </c>
      <c r="G2034" s="910"/>
      <c r="H2034" s="911">
        <v>0.24</v>
      </c>
      <c r="I2034" s="912">
        <f>VLOOKUP(E2034,[3]VLP!$B$7:$K$300,10,0)</f>
        <v>23000</v>
      </c>
      <c r="J2034" s="912">
        <f>I2034*H2034</f>
        <v>5520</v>
      </c>
      <c r="K2034" s="912" t="s">
        <v>274</v>
      </c>
      <c r="L2034" s="912"/>
      <c r="M2034" s="912"/>
      <c r="N2034" s="912"/>
      <c r="O2034" s="892">
        <f t="shared" si="124"/>
        <v>0</v>
      </c>
      <c r="P2034" s="903">
        <f t="shared" si="125"/>
        <v>1</v>
      </c>
      <c r="Q2034" s="893">
        <f t="shared" si="126"/>
        <v>3</v>
      </c>
      <c r="R2034" s="894">
        <f t="shared" si="127"/>
        <v>0</v>
      </c>
    </row>
    <row r="2035" spans="1:18" s="904" customFormat="1">
      <c r="A2035" s="895"/>
      <c r="B2035" s="896"/>
      <c r="C2035" s="897"/>
      <c r="D2035" s="897"/>
      <c r="E2035" s="924" t="s">
        <v>276</v>
      </c>
      <c r="F2035" s="927"/>
      <c r="G2035" s="928"/>
      <c r="H2035" s="901"/>
      <c r="I2035" s="902"/>
      <c r="J2035" s="902"/>
      <c r="K2035" s="912" t="s">
        <v>274</v>
      </c>
      <c r="L2035" s="902"/>
      <c r="M2035" s="902"/>
      <c r="N2035" s="902"/>
      <c r="O2035" s="892">
        <f t="shared" si="124"/>
        <v>0</v>
      </c>
      <c r="P2035" s="903">
        <f t="shared" si="125"/>
        <v>1</v>
      </c>
      <c r="Q2035" s="893">
        <f t="shared" si="126"/>
        <v>2</v>
      </c>
      <c r="R2035" s="894">
        <f t="shared" si="127"/>
        <v>0</v>
      </c>
    </row>
    <row r="2036" spans="1:18">
      <c r="A2036" s="905"/>
      <c r="B2036" s="906"/>
      <c r="C2036" s="907">
        <v>740</v>
      </c>
      <c r="D2036" s="907" t="s">
        <v>12</v>
      </c>
      <c r="E2036" s="908" t="s">
        <v>4008</v>
      </c>
      <c r="F2036" s="909" t="s">
        <v>2674</v>
      </c>
      <c r="G2036" s="910"/>
      <c r="H2036" s="911">
        <v>2.86</v>
      </c>
      <c r="I2036" s="912"/>
      <c r="J2036" s="912"/>
      <c r="K2036" s="912">
        <f>VLOOKUP(E2036,ĐMNC!$A$7:$F$67,4,0)</f>
        <v>252714</v>
      </c>
      <c r="L2036" s="912">
        <f>H2036*K2036</f>
        <v>722762.03999999992</v>
      </c>
      <c r="M2036" s="912"/>
      <c r="N2036" s="912"/>
      <c r="O2036" s="892">
        <f t="shared" si="124"/>
        <v>0</v>
      </c>
      <c r="P2036" s="903">
        <f t="shared" si="125"/>
        <v>1</v>
      </c>
      <c r="Q2036" s="893">
        <f t="shared" si="126"/>
        <v>1</v>
      </c>
      <c r="R2036" s="894">
        <f t="shared" si="127"/>
        <v>0</v>
      </c>
    </row>
    <row r="2037" spans="1:18" s="847" customFormat="1" ht="31.5">
      <c r="A2037" s="905" t="s">
        <v>4610</v>
      </c>
      <c r="B2037" s="914" t="s">
        <v>4611</v>
      </c>
      <c r="C2037" s="915"/>
      <c r="D2037" s="915"/>
      <c r="E2037" s="916" t="s">
        <v>4612</v>
      </c>
      <c r="F2037" s="917" t="s">
        <v>249</v>
      </c>
      <c r="G2037" s="918"/>
      <c r="H2037" s="919"/>
      <c r="I2037" s="920"/>
      <c r="J2037" s="891">
        <f>SUM(J2038:J2042)</f>
        <v>5720</v>
      </c>
      <c r="K2037" s="891"/>
      <c r="L2037" s="891">
        <f>SUM(L2038:L2042)</f>
        <v>831429.06</v>
      </c>
      <c r="M2037" s="891"/>
      <c r="N2037" s="891">
        <f>SUM(N2038:N2042)</f>
        <v>0</v>
      </c>
      <c r="O2037" s="892">
        <f t="shared" si="124"/>
        <v>1</v>
      </c>
      <c r="P2037" s="903">
        <f t="shared" si="125"/>
        <v>0</v>
      </c>
      <c r="Q2037" s="893">
        <f t="shared" si="126"/>
        <v>0</v>
      </c>
      <c r="R2037" s="894">
        <f t="shared" si="127"/>
        <v>5</v>
      </c>
    </row>
    <row r="2038" spans="1:18" s="904" customFormat="1">
      <c r="A2038" s="895"/>
      <c r="B2038" s="896"/>
      <c r="C2038" s="897"/>
      <c r="D2038" s="897"/>
      <c r="E2038" s="924" t="s">
        <v>108</v>
      </c>
      <c r="F2038" s="899"/>
      <c r="G2038" s="900"/>
      <c r="H2038" s="901"/>
      <c r="I2038" s="902"/>
      <c r="J2038" s="902"/>
      <c r="K2038" s="912" t="s">
        <v>274</v>
      </c>
      <c r="L2038" s="902"/>
      <c r="M2038" s="902"/>
      <c r="N2038" s="902"/>
      <c r="O2038" s="892">
        <f t="shared" si="124"/>
        <v>0</v>
      </c>
      <c r="P2038" s="903">
        <f t="shared" si="125"/>
        <v>1</v>
      </c>
      <c r="Q2038" s="893">
        <f t="shared" si="126"/>
        <v>5</v>
      </c>
      <c r="R2038" s="894">
        <f t="shared" si="127"/>
        <v>0</v>
      </c>
    </row>
    <row r="2039" spans="1:18">
      <c r="A2039" s="905"/>
      <c r="B2039" s="906"/>
      <c r="C2039" s="907">
        <v>66</v>
      </c>
      <c r="D2039" s="907" t="s">
        <v>279</v>
      </c>
      <c r="E2039" s="925" t="s">
        <v>2682</v>
      </c>
      <c r="F2039" s="926" t="s">
        <v>45</v>
      </c>
      <c r="G2039" s="910"/>
      <c r="H2039" s="911">
        <v>0.04</v>
      </c>
      <c r="I2039" s="912">
        <f>VLOOKUP(E2039,[3]VLP!$B$7:$K$300,10,0)</f>
        <v>5000</v>
      </c>
      <c r="J2039" s="912">
        <f>I2039*H2039</f>
        <v>200</v>
      </c>
      <c r="K2039" s="912" t="s">
        <v>274</v>
      </c>
      <c r="L2039" s="912"/>
      <c r="M2039" s="912"/>
      <c r="N2039" s="912"/>
      <c r="O2039" s="892">
        <f t="shared" si="124"/>
        <v>0</v>
      </c>
      <c r="P2039" s="903">
        <f t="shared" si="125"/>
        <v>1</v>
      </c>
      <c r="Q2039" s="893">
        <f t="shared" si="126"/>
        <v>4</v>
      </c>
      <c r="R2039" s="894">
        <f t="shared" si="127"/>
        <v>0</v>
      </c>
    </row>
    <row r="2040" spans="1:18">
      <c r="A2040" s="905"/>
      <c r="B2040" s="906"/>
      <c r="C2040" s="907">
        <v>44</v>
      </c>
      <c r="D2040" s="907" t="s">
        <v>279</v>
      </c>
      <c r="E2040" s="925" t="s">
        <v>2681</v>
      </c>
      <c r="F2040" s="926" t="s">
        <v>45</v>
      </c>
      <c r="G2040" s="910"/>
      <c r="H2040" s="911">
        <v>0.24</v>
      </c>
      <c r="I2040" s="912">
        <f>VLOOKUP(E2040,[3]VLP!$B$7:$K$300,10,0)</f>
        <v>23000</v>
      </c>
      <c r="J2040" s="912">
        <f>I2040*H2040</f>
        <v>5520</v>
      </c>
      <c r="K2040" s="912" t="s">
        <v>274</v>
      </c>
      <c r="L2040" s="912"/>
      <c r="M2040" s="912"/>
      <c r="N2040" s="912"/>
      <c r="O2040" s="892">
        <f t="shared" si="124"/>
        <v>0</v>
      </c>
      <c r="P2040" s="903">
        <f t="shared" si="125"/>
        <v>1</v>
      </c>
      <c r="Q2040" s="893">
        <f t="shared" si="126"/>
        <v>3</v>
      </c>
      <c r="R2040" s="894">
        <f t="shared" si="127"/>
        <v>0</v>
      </c>
    </row>
    <row r="2041" spans="1:18" s="904" customFormat="1">
      <c r="A2041" s="895"/>
      <c r="B2041" s="896"/>
      <c r="C2041" s="897"/>
      <c r="D2041" s="897"/>
      <c r="E2041" s="924" t="s">
        <v>276</v>
      </c>
      <c r="F2041" s="927"/>
      <c r="G2041" s="928"/>
      <c r="H2041" s="901"/>
      <c r="I2041" s="902"/>
      <c r="J2041" s="902"/>
      <c r="K2041" s="912" t="s">
        <v>274</v>
      </c>
      <c r="L2041" s="902"/>
      <c r="M2041" s="902"/>
      <c r="N2041" s="902"/>
      <c r="O2041" s="892">
        <f t="shared" si="124"/>
        <v>0</v>
      </c>
      <c r="P2041" s="903">
        <f t="shared" si="125"/>
        <v>1</v>
      </c>
      <c r="Q2041" s="893">
        <f t="shared" si="126"/>
        <v>2</v>
      </c>
      <c r="R2041" s="894">
        <f t="shared" si="127"/>
        <v>0</v>
      </c>
    </row>
    <row r="2042" spans="1:18">
      <c r="A2042" s="905"/>
      <c r="B2042" s="906"/>
      <c r="C2042" s="907">
        <v>740</v>
      </c>
      <c r="D2042" s="907" t="s">
        <v>12</v>
      </c>
      <c r="E2042" s="908" t="s">
        <v>4008</v>
      </c>
      <c r="F2042" s="909" t="s">
        <v>2674</v>
      </c>
      <c r="G2042" s="910"/>
      <c r="H2042" s="911">
        <v>3.29</v>
      </c>
      <c r="I2042" s="912"/>
      <c r="J2042" s="912"/>
      <c r="K2042" s="912">
        <f>VLOOKUP(E2042,ĐMNC!$A$7:$F$67,4,0)</f>
        <v>252714</v>
      </c>
      <c r="L2042" s="912">
        <f>H2042*K2042</f>
        <v>831429.06</v>
      </c>
      <c r="M2042" s="912"/>
      <c r="N2042" s="912"/>
      <c r="O2042" s="892">
        <f t="shared" si="124"/>
        <v>0</v>
      </c>
      <c r="P2042" s="903">
        <f t="shared" si="125"/>
        <v>1</v>
      </c>
      <c r="Q2042" s="893">
        <f t="shared" si="126"/>
        <v>1</v>
      </c>
      <c r="R2042" s="894">
        <f t="shared" si="127"/>
        <v>0</v>
      </c>
    </row>
    <row r="2043" spans="1:18" s="847" customFormat="1" ht="31.5">
      <c r="A2043" s="905"/>
      <c r="B2043" s="914" t="s">
        <v>4613</v>
      </c>
      <c r="C2043" s="915"/>
      <c r="D2043" s="915"/>
      <c r="E2043" s="916" t="s">
        <v>4614</v>
      </c>
      <c r="F2043" s="917" t="s">
        <v>249</v>
      </c>
      <c r="G2043" s="918"/>
      <c r="H2043" s="919"/>
      <c r="I2043" s="920"/>
      <c r="J2043" s="891">
        <f>SUM(J2044:J2048)</f>
        <v>5720</v>
      </c>
      <c r="K2043" s="891"/>
      <c r="L2043" s="891">
        <f>SUM(L2044:L2048)</f>
        <v>955258.91999999993</v>
      </c>
      <c r="M2043" s="891"/>
      <c r="N2043" s="891">
        <f>SUM(N2044:N2048)</f>
        <v>0</v>
      </c>
      <c r="O2043" s="892">
        <f t="shared" si="124"/>
        <v>1</v>
      </c>
      <c r="P2043" s="903">
        <f t="shared" si="125"/>
        <v>0</v>
      </c>
      <c r="Q2043" s="893">
        <f t="shared" si="126"/>
        <v>0</v>
      </c>
      <c r="R2043" s="894">
        <f t="shared" si="127"/>
        <v>5</v>
      </c>
    </row>
    <row r="2044" spans="1:18" s="904" customFormat="1">
      <c r="A2044" s="895"/>
      <c r="B2044" s="896"/>
      <c r="C2044" s="897"/>
      <c r="D2044" s="897"/>
      <c r="E2044" s="924" t="s">
        <v>108</v>
      </c>
      <c r="F2044" s="899"/>
      <c r="G2044" s="900"/>
      <c r="H2044" s="901"/>
      <c r="I2044" s="902"/>
      <c r="J2044" s="902"/>
      <c r="K2044" s="912" t="s">
        <v>274</v>
      </c>
      <c r="L2044" s="902"/>
      <c r="M2044" s="902"/>
      <c r="N2044" s="902"/>
      <c r="O2044" s="892">
        <f t="shared" si="124"/>
        <v>0</v>
      </c>
      <c r="P2044" s="903">
        <f t="shared" si="125"/>
        <v>1</v>
      </c>
      <c r="Q2044" s="893">
        <f t="shared" si="126"/>
        <v>5</v>
      </c>
      <c r="R2044" s="894">
        <f t="shared" si="127"/>
        <v>0</v>
      </c>
    </row>
    <row r="2045" spans="1:18">
      <c r="A2045" s="905"/>
      <c r="B2045" s="906"/>
      <c r="C2045" s="907">
        <v>66</v>
      </c>
      <c r="D2045" s="907" t="s">
        <v>279</v>
      </c>
      <c r="E2045" s="925" t="s">
        <v>2682</v>
      </c>
      <c r="F2045" s="926" t="s">
        <v>45</v>
      </c>
      <c r="G2045" s="910"/>
      <c r="H2045" s="911">
        <v>0.04</v>
      </c>
      <c r="I2045" s="912">
        <f>VLOOKUP(E2045,[3]VLP!$B$7:$K$300,10,0)</f>
        <v>5000</v>
      </c>
      <c r="J2045" s="912">
        <f>I2045*H2045</f>
        <v>200</v>
      </c>
      <c r="K2045" s="912" t="s">
        <v>274</v>
      </c>
      <c r="L2045" s="912"/>
      <c r="M2045" s="912"/>
      <c r="N2045" s="912"/>
      <c r="O2045" s="892">
        <f t="shared" si="124"/>
        <v>0</v>
      </c>
      <c r="P2045" s="903">
        <f t="shared" si="125"/>
        <v>1</v>
      </c>
      <c r="Q2045" s="893">
        <f t="shared" si="126"/>
        <v>4</v>
      </c>
      <c r="R2045" s="894">
        <f t="shared" si="127"/>
        <v>0</v>
      </c>
    </row>
    <row r="2046" spans="1:18">
      <c r="A2046" s="905"/>
      <c r="B2046" s="906"/>
      <c r="C2046" s="907">
        <v>44</v>
      </c>
      <c r="D2046" s="907" t="s">
        <v>279</v>
      </c>
      <c r="E2046" s="925" t="s">
        <v>2681</v>
      </c>
      <c r="F2046" s="926" t="s">
        <v>45</v>
      </c>
      <c r="G2046" s="910"/>
      <c r="H2046" s="911">
        <v>0.24</v>
      </c>
      <c r="I2046" s="912">
        <f>VLOOKUP(E2046,[3]VLP!$B$7:$K$300,10,0)</f>
        <v>23000</v>
      </c>
      <c r="J2046" s="912">
        <f>I2046*H2046</f>
        <v>5520</v>
      </c>
      <c r="K2046" s="912" t="s">
        <v>274</v>
      </c>
      <c r="L2046" s="912"/>
      <c r="M2046" s="912"/>
      <c r="N2046" s="912"/>
      <c r="O2046" s="892">
        <f t="shared" si="124"/>
        <v>0</v>
      </c>
      <c r="P2046" s="903">
        <f t="shared" si="125"/>
        <v>1</v>
      </c>
      <c r="Q2046" s="893">
        <f t="shared" si="126"/>
        <v>3</v>
      </c>
      <c r="R2046" s="894">
        <f t="shared" si="127"/>
        <v>0</v>
      </c>
    </row>
    <row r="2047" spans="1:18" s="904" customFormat="1">
      <c r="A2047" s="895"/>
      <c r="B2047" s="896"/>
      <c r="C2047" s="897"/>
      <c r="D2047" s="897"/>
      <c r="E2047" s="924" t="s">
        <v>276</v>
      </c>
      <c r="F2047" s="927"/>
      <c r="G2047" s="928"/>
      <c r="H2047" s="901"/>
      <c r="I2047" s="902"/>
      <c r="J2047" s="902"/>
      <c r="K2047" s="912" t="s">
        <v>274</v>
      </c>
      <c r="L2047" s="902"/>
      <c r="M2047" s="902"/>
      <c r="N2047" s="902"/>
      <c r="O2047" s="892">
        <f t="shared" si="124"/>
        <v>0</v>
      </c>
      <c r="P2047" s="903">
        <f t="shared" si="125"/>
        <v>1</v>
      </c>
      <c r="Q2047" s="893">
        <f t="shared" si="126"/>
        <v>2</v>
      </c>
      <c r="R2047" s="894">
        <f t="shared" si="127"/>
        <v>0</v>
      </c>
    </row>
    <row r="2048" spans="1:18">
      <c r="A2048" s="905"/>
      <c r="B2048" s="906"/>
      <c r="C2048" s="907">
        <v>740</v>
      </c>
      <c r="D2048" s="907" t="s">
        <v>12</v>
      </c>
      <c r="E2048" s="908" t="s">
        <v>4008</v>
      </c>
      <c r="F2048" s="909" t="s">
        <v>2674</v>
      </c>
      <c r="G2048" s="910"/>
      <c r="H2048" s="911">
        <v>3.78</v>
      </c>
      <c r="I2048" s="912"/>
      <c r="J2048" s="912"/>
      <c r="K2048" s="912">
        <f>VLOOKUP(E2048,ĐMNC!$A$7:$F$67,4,0)</f>
        <v>252714</v>
      </c>
      <c r="L2048" s="912">
        <f>H2048*K2048</f>
        <v>955258.91999999993</v>
      </c>
      <c r="M2048" s="912"/>
      <c r="N2048" s="912"/>
      <c r="O2048" s="892">
        <f t="shared" si="124"/>
        <v>0</v>
      </c>
      <c r="P2048" s="903">
        <f t="shared" si="125"/>
        <v>1</v>
      </c>
      <c r="Q2048" s="893">
        <f t="shared" si="126"/>
        <v>1</v>
      </c>
      <c r="R2048" s="894">
        <f t="shared" si="127"/>
        <v>0</v>
      </c>
    </row>
    <row r="2049" spans="1:18" s="847" customFormat="1" ht="31.5">
      <c r="A2049" s="905"/>
      <c r="B2049" s="914" t="s">
        <v>4615</v>
      </c>
      <c r="C2049" s="915"/>
      <c r="D2049" s="915"/>
      <c r="E2049" s="916" t="s">
        <v>4616</v>
      </c>
      <c r="F2049" s="917" t="s">
        <v>249</v>
      </c>
      <c r="G2049" s="918"/>
      <c r="H2049" s="919"/>
      <c r="I2049" s="920"/>
      <c r="J2049" s="891">
        <f>SUM(J2050:J2054)</f>
        <v>6869.9999999999991</v>
      </c>
      <c r="K2049" s="891"/>
      <c r="L2049" s="891">
        <f>SUM(L2050:L2054)</f>
        <v>467520.9</v>
      </c>
      <c r="M2049" s="891"/>
      <c r="N2049" s="891">
        <f>SUM(N2050:N2054)</f>
        <v>0</v>
      </c>
      <c r="O2049" s="892">
        <f t="shared" si="124"/>
        <v>1</v>
      </c>
      <c r="P2049" s="903">
        <f t="shared" si="125"/>
        <v>0</v>
      </c>
      <c r="Q2049" s="893">
        <f t="shared" si="126"/>
        <v>0</v>
      </c>
      <c r="R2049" s="894">
        <f t="shared" si="127"/>
        <v>5</v>
      </c>
    </row>
    <row r="2050" spans="1:18" s="904" customFormat="1">
      <c r="A2050" s="895"/>
      <c r="B2050" s="922"/>
      <c r="C2050" s="897"/>
      <c r="D2050" s="897"/>
      <c r="E2050" s="924" t="s">
        <v>108</v>
      </c>
      <c r="F2050" s="899"/>
      <c r="G2050" s="900"/>
      <c r="H2050" s="901"/>
      <c r="I2050" s="902"/>
      <c r="J2050" s="902"/>
      <c r="K2050" s="912" t="s">
        <v>274</v>
      </c>
      <c r="L2050" s="902"/>
      <c r="M2050" s="902"/>
      <c r="N2050" s="902"/>
      <c r="O2050" s="892">
        <f t="shared" si="124"/>
        <v>0</v>
      </c>
      <c r="P2050" s="903">
        <f t="shared" si="125"/>
        <v>1</v>
      </c>
      <c r="Q2050" s="893">
        <f t="shared" si="126"/>
        <v>5</v>
      </c>
      <c r="R2050" s="894">
        <f t="shared" si="127"/>
        <v>0</v>
      </c>
    </row>
    <row r="2051" spans="1:18">
      <c r="A2051" s="905"/>
      <c r="B2051" s="906"/>
      <c r="C2051" s="907">
        <v>66</v>
      </c>
      <c r="D2051" s="907" t="s">
        <v>279</v>
      </c>
      <c r="E2051" s="925" t="s">
        <v>2682</v>
      </c>
      <c r="F2051" s="926" t="s">
        <v>45</v>
      </c>
      <c r="G2051" s="910"/>
      <c r="H2051" s="911">
        <v>0.04</v>
      </c>
      <c r="I2051" s="912">
        <f>VLOOKUP(E2051,[3]VLP!$B$7:$K$300,10,0)</f>
        <v>5000</v>
      </c>
      <c r="J2051" s="912">
        <f>I2051*H2051</f>
        <v>200</v>
      </c>
      <c r="K2051" s="912" t="s">
        <v>274</v>
      </c>
      <c r="L2051" s="912"/>
      <c r="M2051" s="912"/>
      <c r="N2051" s="912"/>
      <c r="O2051" s="892">
        <f t="shared" si="124"/>
        <v>0</v>
      </c>
      <c r="P2051" s="903">
        <f t="shared" si="125"/>
        <v>1</v>
      </c>
      <c r="Q2051" s="893">
        <f t="shared" si="126"/>
        <v>4</v>
      </c>
      <c r="R2051" s="894">
        <f t="shared" si="127"/>
        <v>0</v>
      </c>
    </row>
    <row r="2052" spans="1:18">
      <c r="A2052" s="905"/>
      <c r="B2052" s="906"/>
      <c r="C2052" s="907">
        <v>44</v>
      </c>
      <c r="D2052" s="907" t="s">
        <v>279</v>
      </c>
      <c r="E2052" s="925" t="s">
        <v>2681</v>
      </c>
      <c r="F2052" s="926" t="s">
        <v>45</v>
      </c>
      <c r="G2052" s="910"/>
      <c r="H2052" s="911">
        <v>0.28999999999999998</v>
      </c>
      <c r="I2052" s="912">
        <f>VLOOKUP(E2052,[3]VLP!$B$7:$K$300,10,0)</f>
        <v>23000</v>
      </c>
      <c r="J2052" s="912">
        <f>I2052*H2052</f>
        <v>6669.9999999999991</v>
      </c>
      <c r="K2052" s="912" t="s">
        <v>274</v>
      </c>
      <c r="L2052" s="912"/>
      <c r="M2052" s="912"/>
      <c r="N2052" s="912"/>
      <c r="O2052" s="892">
        <f t="shared" si="124"/>
        <v>0</v>
      </c>
      <c r="P2052" s="903">
        <f t="shared" si="125"/>
        <v>1</v>
      </c>
      <c r="Q2052" s="893">
        <f t="shared" si="126"/>
        <v>3</v>
      </c>
      <c r="R2052" s="894">
        <f t="shared" si="127"/>
        <v>0</v>
      </c>
    </row>
    <row r="2053" spans="1:18" s="904" customFormat="1">
      <c r="A2053" s="895"/>
      <c r="B2053" s="896"/>
      <c r="C2053" s="897"/>
      <c r="D2053" s="897"/>
      <c r="E2053" s="924" t="s">
        <v>276</v>
      </c>
      <c r="F2053" s="927"/>
      <c r="G2053" s="928"/>
      <c r="H2053" s="901"/>
      <c r="I2053" s="902"/>
      <c r="J2053" s="902"/>
      <c r="K2053" s="912" t="s">
        <v>274</v>
      </c>
      <c r="L2053" s="902"/>
      <c r="M2053" s="902"/>
      <c r="N2053" s="902"/>
      <c r="O2053" s="892">
        <f t="shared" si="124"/>
        <v>0</v>
      </c>
      <c r="P2053" s="903">
        <f t="shared" si="125"/>
        <v>1</v>
      </c>
      <c r="Q2053" s="893">
        <f t="shared" si="126"/>
        <v>2</v>
      </c>
      <c r="R2053" s="894">
        <f t="shared" si="127"/>
        <v>0</v>
      </c>
    </row>
    <row r="2054" spans="1:18">
      <c r="A2054" s="905"/>
      <c r="B2054" s="906"/>
      <c r="C2054" s="907">
        <v>740</v>
      </c>
      <c r="D2054" s="907" t="s">
        <v>12</v>
      </c>
      <c r="E2054" s="908" t="s">
        <v>4008</v>
      </c>
      <c r="F2054" s="909" t="s">
        <v>2674</v>
      </c>
      <c r="G2054" s="910"/>
      <c r="H2054" s="911">
        <v>1.85</v>
      </c>
      <c r="I2054" s="912"/>
      <c r="J2054" s="912"/>
      <c r="K2054" s="912">
        <f>VLOOKUP(E2054,ĐMNC!$A$7:$F$67,4,0)</f>
        <v>252714</v>
      </c>
      <c r="L2054" s="912">
        <f>H2054*K2054</f>
        <v>467520.9</v>
      </c>
      <c r="M2054" s="912"/>
      <c r="N2054" s="912"/>
      <c r="O2054" s="892">
        <f t="shared" si="124"/>
        <v>0</v>
      </c>
      <c r="P2054" s="903">
        <f t="shared" si="125"/>
        <v>1</v>
      </c>
      <c r="Q2054" s="893">
        <f t="shared" si="126"/>
        <v>1</v>
      </c>
      <c r="R2054" s="894">
        <f t="shared" si="127"/>
        <v>0</v>
      </c>
    </row>
    <row r="2055" spans="1:18" s="847" customFormat="1" ht="31.5">
      <c r="A2055" s="905"/>
      <c r="B2055" s="914" t="s">
        <v>4617</v>
      </c>
      <c r="C2055" s="915"/>
      <c r="D2055" s="915"/>
      <c r="E2055" s="916" t="s">
        <v>4618</v>
      </c>
      <c r="F2055" s="917" t="s">
        <v>249</v>
      </c>
      <c r="G2055" s="918"/>
      <c r="H2055" s="919"/>
      <c r="I2055" s="920"/>
      <c r="J2055" s="891">
        <f>SUM(J2056:J2060)</f>
        <v>6869.9999999999991</v>
      </c>
      <c r="K2055" s="891"/>
      <c r="L2055" s="891">
        <f>SUM(L2056:L2060)</f>
        <v>490265.16</v>
      </c>
      <c r="M2055" s="891"/>
      <c r="N2055" s="891">
        <f>SUM(N2056:N2060)</f>
        <v>0</v>
      </c>
      <c r="O2055" s="892">
        <f t="shared" si="124"/>
        <v>1</v>
      </c>
      <c r="P2055" s="903">
        <f t="shared" si="125"/>
        <v>0</v>
      </c>
      <c r="Q2055" s="893">
        <f t="shared" si="126"/>
        <v>0</v>
      </c>
      <c r="R2055" s="894">
        <f t="shared" si="127"/>
        <v>5</v>
      </c>
    </row>
    <row r="2056" spans="1:18" s="904" customFormat="1">
      <c r="A2056" s="895"/>
      <c r="B2056" s="896"/>
      <c r="C2056" s="897"/>
      <c r="D2056" s="897"/>
      <c r="E2056" s="924" t="s">
        <v>108</v>
      </c>
      <c r="F2056" s="899"/>
      <c r="G2056" s="900"/>
      <c r="H2056" s="901"/>
      <c r="I2056" s="902"/>
      <c r="J2056" s="902"/>
      <c r="K2056" s="912" t="s">
        <v>274</v>
      </c>
      <c r="L2056" s="902"/>
      <c r="M2056" s="902"/>
      <c r="N2056" s="902"/>
      <c r="O2056" s="892">
        <f t="shared" ref="O2056:O2119" si="128">IF(AND(B2056&lt;&gt;"",D2056=""),1,0)</f>
        <v>0</v>
      </c>
      <c r="P2056" s="903">
        <f t="shared" si="125"/>
        <v>1</v>
      </c>
      <c r="Q2056" s="893">
        <f t="shared" si="126"/>
        <v>5</v>
      </c>
      <c r="R2056" s="894">
        <f t="shared" si="127"/>
        <v>0</v>
      </c>
    </row>
    <row r="2057" spans="1:18">
      <c r="A2057" s="905"/>
      <c r="B2057" s="906"/>
      <c r="C2057" s="907">
        <v>66</v>
      </c>
      <c r="D2057" s="907" t="s">
        <v>279</v>
      </c>
      <c r="E2057" s="925" t="s">
        <v>2682</v>
      </c>
      <c r="F2057" s="926" t="s">
        <v>45</v>
      </c>
      <c r="G2057" s="910"/>
      <c r="H2057" s="911">
        <v>0.04</v>
      </c>
      <c r="I2057" s="912">
        <f>VLOOKUP(E2057,[3]VLP!$B$7:$K$300,10,0)</f>
        <v>5000</v>
      </c>
      <c r="J2057" s="912">
        <f>I2057*H2057</f>
        <v>200</v>
      </c>
      <c r="K2057" s="912" t="s">
        <v>274</v>
      </c>
      <c r="L2057" s="912"/>
      <c r="M2057" s="912"/>
      <c r="N2057" s="912"/>
      <c r="O2057" s="892">
        <f t="shared" si="128"/>
        <v>0</v>
      </c>
      <c r="P2057" s="903">
        <f t="shared" si="125"/>
        <v>1</v>
      </c>
      <c r="Q2057" s="893">
        <f t="shared" si="126"/>
        <v>4</v>
      </c>
      <c r="R2057" s="894">
        <f t="shared" si="127"/>
        <v>0</v>
      </c>
    </row>
    <row r="2058" spans="1:18">
      <c r="A2058" s="905"/>
      <c r="B2058" s="906"/>
      <c r="C2058" s="907">
        <v>44</v>
      </c>
      <c r="D2058" s="907" t="s">
        <v>279</v>
      </c>
      <c r="E2058" s="925" t="s">
        <v>2681</v>
      </c>
      <c r="F2058" s="926" t="s">
        <v>45</v>
      </c>
      <c r="G2058" s="910"/>
      <c r="H2058" s="911">
        <v>0.28999999999999998</v>
      </c>
      <c r="I2058" s="912">
        <f>VLOOKUP(E2058,[3]VLP!$B$7:$K$300,10,0)</f>
        <v>23000</v>
      </c>
      <c r="J2058" s="912">
        <f>I2058*H2058</f>
        <v>6669.9999999999991</v>
      </c>
      <c r="K2058" s="912" t="s">
        <v>274</v>
      </c>
      <c r="L2058" s="912"/>
      <c r="M2058" s="912"/>
      <c r="N2058" s="912"/>
      <c r="O2058" s="892">
        <f t="shared" si="128"/>
        <v>0</v>
      </c>
      <c r="P2058" s="903">
        <f t="shared" si="125"/>
        <v>1</v>
      </c>
      <c r="Q2058" s="893">
        <f t="shared" si="126"/>
        <v>3</v>
      </c>
      <c r="R2058" s="894">
        <f t="shared" si="127"/>
        <v>0</v>
      </c>
    </row>
    <row r="2059" spans="1:18" s="904" customFormat="1">
      <c r="A2059" s="895"/>
      <c r="B2059" s="896"/>
      <c r="C2059" s="897"/>
      <c r="D2059" s="897"/>
      <c r="E2059" s="924" t="s">
        <v>276</v>
      </c>
      <c r="F2059" s="927"/>
      <c r="G2059" s="928"/>
      <c r="H2059" s="901"/>
      <c r="I2059" s="902"/>
      <c r="J2059" s="902"/>
      <c r="K2059" s="912" t="s">
        <v>274</v>
      </c>
      <c r="L2059" s="902"/>
      <c r="M2059" s="902"/>
      <c r="N2059" s="902"/>
      <c r="O2059" s="892">
        <f t="shared" si="128"/>
        <v>0</v>
      </c>
      <c r="P2059" s="903">
        <f t="shared" si="125"/>
        <v>1</v>
      </c>
      <c r="Q2059" s="893">
        <f t="shared" si="126"/>
        <v>2</v>
      </c>
      <c r="R2059" s="894">
        <f t="shared" si="127"/>
        <v>0</v>
      </c>
    </row>
    <row r="2060" spans="1:18">
      <c r="A2060" s="905"/>
      <c r="B2060" s="906"/>
      <c r="C2060" s="907">
        <v>740</v>
      </c>
      <c r="D2060" s="907" t="s">
        <v>12</v>
      </c>
      <c r="E2060" s="908" t="s">
        <v>4008</v>
      </c>
      <c r="F2060" s="909" t="s">
        <v>2674</v>
      </c>
      <c r="G2060" s="910"/>
      <c r="H2060" s="911">
        <v>1.94</v>
      </c>
      <c r="I2060" s="912"/>
      <c r="J2060" s="912"/>
      <c r="K2060" s="912">
        <f>VLOOKUP(E2060,ĐMNC!$A$7:$F$67,4,0)</f>
        <v>252714</v>
      </c>
      <c r="L2060" s="912">
        <f>H2060*K2060</f>
        <v>490265.16</v>
      </c>
      <c r="M2060" s="912"/>
      <c r="N2060" s="912"/>
      <c r="O2060" s="892">
        <f t="shared" si="128"/>
        <v>0</v>
      </c>
      <c r="P2060" s="903">
        <f t="shared" si="125"/>
        <v>1</v>
      </c>
      <c r="Q2060" s="893">
        <f t="shared" si="126"/>
        <v>1</v>
      </c>
      <c r="R2060" s="894">
        <f t="shared" si="127"/>
        <v>0</v>
      </c>
    </row>
    <row r="2061" spans="1:18" s="847" customFormat="1" ht="31.5">
      <c r="A2061" s="905"/>
      <c r="B2061" s="914" t="s">
        <v>4619</v>
      </c>
      <c r="C2061" s="915"/>
      <c r="D2061" s="915"/>
      <c r="E2061" s="916" t="s">
        <v>4620</v>
      </c>
      <c r="F2061" s="917" t="s">
        <v>249</v>
      </c>
      <c r="G2061" s="918"/>
      <c r="H2061" s="919"/>
      <c r="I2061" s="920"/>
      <c r="J2061" s="891">
        <f>SUM(J2062:J2066)</f>
        <v>6869.9999999999991</v>
      </c>
      <c r="K2061" s="891"/>
      <c r="L2061" s="891">
        <f>SUM(L2062:L2066)</f>
        <v>558497.93999999994</v>
      </c>
      <c r="M2061" s="891"/>
      <c r="N2061" s="891">
        <f>SUM(N2062:N2066)</f>
        <v>0</v>
      </c>
      <c r="O2061" s="892">
        <f t="shared" si="128"/>
        <v>1</v>
      </c>
      <c r="P2061" s="903">
        <f t="shared" si="125"/>
        <v>0</v>
      </c>
      <c r="Q2061" s="893">
        <f t="shared" si="126"/>
        <v>0</v>
      </c>
      <c r="R2061" s="894">
        <f t="shared" si="127"/>
        <v>5</v>
      </c>
    </row>
    <row r="2062" spans="1:18" s="904" customFormat="1">
      <c r="A2062" s="895"/>
      <c r="B2062" s="896"/>
      <c r="C2062" s="897"/>
      <c r="D2062" s="897"/>
      <c r="E2062" s="924" t="s">
        <v>108</v>
      </c>
      <c r="F2062" s="899"/>
      <c r="G2062" s="900"/>
      <c r="H2062" s="901"/>
      <c r="I2062" s="902"/>
      <c r="J2062" s="902"/>
      <c r="K2062" s="912" t="s">
        <v>274</v>
      </c>
      <c r="L2062" s="902"/>
      <c r="M2062" s="902"/>
      <c r="N2062" s="902"/>
      <c r="O2062" s="892">
        <f t="shared" si="128"/>
        <v>0</v>
      </c>
      <c r="P2062" s="903">
        <f t="shared" si="125"/>
        <v>1</v>
      </c>
      <c r="Q2062" s="893">
        <f t="shared" si="126"/>
        <v>5</v>
      </c>
      <c r="R2062" s="894">
        <f t="shared" si="127"/>
        <v>0</v>
      </c>
    </row>
    <row r="2063" spans="1:18">
      <c r="A2063" s="905"/>
      <c r="B2063" s="906"/>
      <c r="C2063" s="907">
        <v>66</v>
      </c>
      <c r="D2063" s="907" t="s">
        <v>279</v>
      </c>
      <c r="E2063" s="925" t="s">
        <v>2682</v>
      </c>
      <c r="F2063" s="926" t="s">
        <v>45</v>
      </c>
      <c r="G2063" s="910"/>
      <c r="H2063" s="911">
        <v>0.04</v>
      </c>
      <c r="I2063" s="912">
        <f>VLOOKUP(E2063,[3]VLP!$B$7:$K$300,10,0)</f>
        <v>5000</v>
      </c>
      <c r="J2063" s="912">
        <f>I2063*H2063</f>
        <v>200</v>
      </c>
      <c r="K2063" s="912" t="s">
        <v>274</v>
      </c>
      <c r="L2063" s="912"/>
      <c r="M2063" s="912"/>
      <c r="N2063" s="912"/>
      <c r="O2063" s="892">
        <f t="shared" si="128"/>
        <v>0</v>
      </c>
      <c r="P2063" s="903">
        <f t="shared" si="125"/>
        <v>1</v>
      </c>
      <c r="Q2063" s="893">
        <f t="shared" si="126"/>
        <v>4</v>
      </c>
      <c r="R2063" s="894">
        <f t="shared" si="127"/>
        <v>0</v>
      </c>
    </row>
    <row r="2064" spans="1:18">
      <c r="A2064" s="905"/>
      <c r="B2064" s="906"/>
      <c r="C2064" s="907">
        <v>44</v>
      </c>
      <c r="D2064" s="907" t="s">
        <v>279</v>
      </c>
      <c r="E2064" s="925" t="s">
        <v>2681</v>
      </c>
      <c r="F2064" s="926" t="s">
        <v>45</v>
      </c>
      <c r="G2064" s="910"/>
      <c r="H2064" s="911">
        <v>0.28999999999999998</v>
      </c>
      <c r="I2064" s="912">
        <f>VLOOKUP(E2064,[3]VLP!$B$7:$K$300,10,0)</f>
        <v>23000</v>
      </c>
      <c r="J2064" s="912">
        <f>I2064*H2064</f>
        <v>6669.9999999999991</v>
      </c>
      <c r="K2064" s="912" t="s">
        <v>274</v>
      </c>
      <c r="L2064" s="912"/>
      <c r="M2064" s="912"/>
      <c r="N2064" s="912"/>
      <c r="O2064" s="892">
        <f t="shared" si="128"/>
        <v>0</v>
      </c>
      <c r="P2064" s="903">
        <f t="shared" si="125"/>
        <v>1</v>
      </c>
      <c r="Q2064" s="893">
        <f t="shared" si="126"/>
        <v>3</v>
      </c>
      <c r="R2064" s="894">
        <f t="shared" si="127"/>
        <v>0</v>
      </c>
    </row>
    <row r="2065" spans="1:18" s="904" customFormat="1">
      <c r="A2065" s="895"/>
      <c r="B2065" s="896"/>
      <c r="C2065" s="897"/>
      <c r="D2065" s="897"/>
      <c r="E2065" s="924" t="s">
        <v>276</v>
      </c>
      <c r="F2065" s="927"/>
      <c r="G2065" s="928"/>
      <c r="H2065" s="901"/>
      <c r="I2065" s="902"/>
      <c r="J2065" s="902"/>
      <c r="K2065" s="912" t="s">
        <v>274</v>
      </c>
      <c r="L2065" s="902"/>
      <c r="M2065" s="902"/>
      <c r="N2065" s="902"/>
      <c r="O2065" s="892">
        <f t="shared" si="128"/>
        <v>0</v>
      </c>
      <c r="P2065" s="903">
        <f t="shared" ref="P2065:P2128" si="129">IF(O2065=0,1,0)</f>
        <v>1</v>
      </c>
      <c r="Q2065" s="893">
        <f t="shared" ref="Q2065:Q2128" si="130">IF(P2065=0,0,P2065+Q2066)</f>
        <v>2</v>
      </c>
      <c r="R2065" s="894">
        <f t="shared" ref="R2065:R2128" si="131">IF(Q2065=0,Q2066,0)</f>
        <v>0</v>
      </c>
    </row>
    <row r="2066" spans="1:18">
      <c r="A2066" s="905"/>
      <c r="B2066" s="906"/>
      <c r="C2066" s="907">
        <v>740</v>
      </c>
      <c r="D2066" s="907" t="s">
        <v>12</v>
      </c>
      <c r="E2066" s="908" t="s">
        <v>4008</v>
      </c>
      <c r="F2066" s="909" t="s">
        <v>2674</v>
      </c>
      <c r="G2066" s="910"/>
      <c r="H2066" s="911">
        <v>2.21</v>
      </c>
      <c r="I2066" s="912"/>
      <c r="J2066" s="912"/>
      <c r="K2066" s="912">
        <f>VLOOKUP(E2066,ĐMNC!$A$7:$F$67,4,0)</f>
        <v>252714</v>
      </c>
      <c r="L2066" s="912">
        <f>H2066*K2066</f>
        <v>558497.93999999994</v>
      </c>
      <c r="M2066" s="912"/>
      <c r="N2066" s="912"/>
      <c r="O2066" s="892">
        <f t="shared" si="128"/>
        <v>0</v>
      </c>
      <c r="P2066" s="903">
        <f t="shared" si="129"/>
        <v>1</v>
      </c>
      <c r="Q2066" s="893">
        <f t="shared" si="130"/>
        <v>1</v>
      </c>
      <c r="R2066" s="894">
        <f t="shared" si="131"/>
        <v>0</v>
      </c>
    </row>
    <row r="2067" spans="1:18" s="847" customFormat="1" ht="31.5">
      <c r="A2067" s="905"/>
      <c r="B2067" s="914" t="s">
        <v>4621</v>
      </c>
      <c r="C2067" s="915"/>
      <c r="D2067" s="915"/>
      <c r="E2067" s="916" t="s">
        <v>4622</v>
      </c>
      <c r="F2067" s="917" t="s">
        <v>249</v>
      </c>
      <c r="G2067" s="918"/>
      <c r="H2067" s="919"/>
      <c r="I2067" s="920"/>
      <c r="J2067" s="891">
        <f>SUM(J2068:J2072)</f>
        <v>6869.9999999999991</v>
      </c>
      <c r="K2067" s="891"/>
      <c r="L2067" s="891">
        <f>SUM(L2068:L2072)</f>
        <v>621676.43999999994</v>
      </c>
      <c r="M2067" s="891"/>
      <c r="N2067" s="891">
        <f>SUM(N2068:N2072)</f>
        <v>0</v>
      </c>
      <c r="O2067" s="892">
        <f t="shared" si="128"/>
        <v>1</v>
      </c>
      <c r="P2067" s="903">
        <f t="shared" si="129"/>
        <v>0</v>
      </c>
      <c r="Q2067" s="893">
        <f t="shared" si="130"/>
        <v>0</v>
      </c>
      <c r="R2067" s="894">
        <f t="shared" si="131"/>
        <v>5</v>
      </c>
    </row>
    <row r="2068" spans="1:18" s="904" customFormat="1">
      <c r="A2068" s="895"/>
      <c r="B2068" s="896"/>
      <c r="C2068" s="897"/>
      <c r="D2068" s="897"/>
      <c r="E2068" s="924" t="s">
        <v>108</v>
      </c>
      <c r="F2068" s="899"/>
      <c r="G2068" s="900"/>
      <c r="H2068" s="901"/>
      <c r="I2068" s="902"/>
      <c r="J2068" s="902"/>
      <c r="K2068" s="912" t="s">
        <v>274</v>
      </c>
      <c r="L2068" s="902"/>
      <c r="M2068" s="902"/>
      <c r="N2068" s="902"/>
      <c r="O2068" s="892">
        <f t="shared" si="128"/>
        <v>0</v>
      </c>
      <c r="P2068" s="903">
        <f t="shared" si="129"/>
        <v>1</v>
      </c>
      <c r="Q2068" s="893">
        <f t="shared" si="130"/>
        <v>5</v>
      </c>
      <c r="R2068" s="894">
        <f t="shared" si="131"/>
        <v>0</v>
      </c>
    </row>
    <row r="2069" spans="1:18">
      <c r="A2069" s="905"/>
      <c r="B2069" s="906"/>
      <c r="C2069" s="907">
        <v>66</v>
      </c>
      <c r="D2069" s="907" t="s">
        <v>279</v>
      </c>
      <c r="E2069" s="925" t="s">
        <v>2682</v>
      </c>
      <c r="F2069" s="926" t="s">
        <v>45</v>
      </c>
      <c r="G2069" s="910"/>
      <c r="H2069" s="911">
        <v>0.04</v>
      </c>
      <c r="I2069" s="912">
        <f>VLOOKUP(E2069,[3]VLP!$B$7:$K$300,10,0)</f>
        <v>5000</v>
      </c>
      <c r="J2069" s="912">
        <f>I2069*H2069</f>
        <v>200</v>
      </c>
      <c r="K2069" s="912" t="s">
        <v>274</v>
      </c>
      <c r="L2069" s="912"/>
      <c r="M2069" s="912"/>
      <c r="N2069" s="912"/>
      <c r="O2069" s="892">
        <f t="shared" si="128"/>
        <v>0</v>
      </c>
      <c r="P2069" s="903">
        <f t="shared" si="129"/>
        <v>1</v>
      </c>
      <c r="Q2069" s="893">
        <f t="shared" si="130"/>
        <v>4</v>
      </c>
      <c r="R2069" s="894">
        <f t="shared" si="131"/>
        <v>0</v>
      </c>
    </row>
    <row r="2070" spans="1:18">
      <c r="A2070" s="905"/>
      <c r="B2070" s="906"/>
      <c r="C2070" s="907">
        <v>44</v>
      </c>
      <c r="D2070" s="907" t="s">
        <v>279</v>
      </c>
      <c r="E2070" s="925" t="s">
        <v>2681</v>
      </c>
      <c r="F2070" s="926" t="s">
        <v>45</v>
      </c>
      <c r="G2070" s="910"/>
      <c r="H2070" s="911">
        <v>0.28999999999999998</v>
      </c>
      <c r="I2070" s="912">
        <f>VLOOKUP(E2070,[3]VLP!$B$7:$K$300,10,0)</f>
        <v>23000</v>
      </c>
      <c r="J2070" s="912">
        <f>I2070*H2070</f>
        <v>6669.9999999999991</v>
      </c>
      <c r="K2070" s="912" t="s">
        <v>274</v>
      </c>
      <c r="L2070" s="912"/>
      <c r="M2070" s="912"/>
      <c r="N2070" s="912"/>
      <c r="O2070" s="892">
        <f t="shared" si="128"/>
        <v>0</v>
      </c>
      <c r="P2070" s="903">
        <f t="shared" si="129"/>
        <v>1</v>
      </c>
      <c r="Q2070" s="893">
        <f t="shared" si="130"/>
        <v>3</v>
      </c>
      <c r="R2070" s="894">
        <f t="shared" si="131"/>
        <v>0</v>
      </c>
    </row>
    <row r="2071" spans="1:18" s="904" customFormat="1">
      <c r="A2071" s="895"/>
      <c r="B2071" s="896"/>
      <c r="C2071" s="897"/>
      <c r="D2071" s="897"/>
      <c r="E2071" s="924" t="s">
        <v>276</v>
      </c>
      <c r="F2071" s="927"/>
      <c r="G2071" s="928"/>
      <c r="H2071" s="901"/>
      <c r="I2071" s="902"/>
      <c r="J2071" s="902"/>
      <c r="K2071" s="912" t="s">
        <v>274</v>
      </c>
      <c r="L2071" s="902"/>
      <c r="M2071" s="902"/>
      <c r="N2071" s="902"/>
      <c r="O2071" s="892">
        <f t="shared" si="128"/>
        <v>0</v>
      </c>
      <c r="P2071" s="903">
        <f t="shared" si="129"/>
        <v>1</v>
      </c>
      <c r="Q2071" s="893">
        <f t="shared" si="130"/>
        <v>2</v>
      </c>
      <c r="R2071" s="894">
        <f t="shared" si="131"/>
        <v>0</v>
      </c>
    </row>
    <row r="2072" spans="1:18">
      <c r="A2072" s="905"/>
      <c r="B2072" s="906"/>
      <c r="C2072" s="907">
        <v>740</v>
      </c>
      <c r="D2072" s="907" t="s">
        <v>12</v>
      </c>
      <c r="E2072" s="908" t="s">
        <v>4008</v>
      </c>
      <c r="F2072" s="909" t="s">
        <v>2674</v>
      </c>
      <c r="G2072" s="910"/>
      <c r="H2072" s="911">
        <v>2.46</v>
      </c>
      <c r="I2072" s="912"/>
      <c r="J2072" s="912"/>
      <c r="K2072" s="912">
        <f>VLOOKUP(E2072,ĐMNC!$A$7:$F$67,4,0)</f>
        <v>252714</v>
      </c>
      <c r="L2072" s="912">
        <f>H2072*K2072</f>
        <v>621676.43999999994</v>
      </c>
      <c r="M2072" s="912"/>
      <c r="N2072" s="912"/>
      <c r="O2072" s="892">
        <f t="shared" si="128"/>
        <v>0</v>
      </c>
      <c r="P2072" s="903">
        <f t="shared" si="129"/>
        <v>1</v>
      </c>
      <c r="Q2072" s="893">
        <f t="shared" si="130"/>
        <v>1</v>
      </c>
      <c r="R2072" s="894">
        <f t="shared" si="131"/>
        <v>0</v>
      </c>
    </row>
    <row r="2073" spans="1:18" s="847" customFormat="1" ht="31.5">
      <c r="A2073" s="905"/>
      <c r="B2073" s="914" t="s">
        <v>4623</v>
      </c>
      <c r="C2073" s="915"/>
      <c r="D2073" s="915"/>
      <c r="E2073" s="916" t="s">
        <v>4624</v>
      </c>
      <c r="F2073" s="917" t="s">
        <v>249</v>
      </c>
      <c r="G2073" s="918"/>
      <c r="H2073" s="919"/>
      <c r="I2073" s="920"/>
      <c r="J2073" s="891">
        <f>SUM(J2074:J2078)</f>
        <v>6869.9999999999991</v>
      </c>
      <c r="K2073" s="891"/>
      <c r="L2073" s="891">
        <f>SUM(L2074:L2078)</f>
        <v>684854.94</v>
      </c>
      <c r="M2073" s="891"/>
      <c r="N2073" s="891">
        <f>SUM(N2074:N2078)</f>
        <v>0</v>
      </c>
      <c r="O2073" s="892">
        <f t="shared" si="128"/>
        <v>1</v>
      </c>
      <c r="P2073" s="903">
        <f t="shared" si="129"/>
        <v>0</v>
      </c>
      <c r="Q2073" s="893">
        <f t="shared" si="130"/>
        <v>0</v>
      </c>
      <c r="R2073" s="894">
        <f t="shared" si="131"/>
        <v>5</v>
      </c>
    </row>
    <row r="2074" spans="1:18" s="904" customFormat="1">
      <c r="A2074" s="895"/>
      <c r="B2074" s="896"/>
      <c r="C2074" s="897"/>
      <c r="D2074" s="897"/>
      <c r="E2074" s="924" t="s">
        <v>108</v>
      </c>
      <c r="F2074" s="899"/>
      <c r="G2074" s="900"/>
      <c r="H2074" s="901"/>
      <c r="I2074" s="902"/>
      <c r="J2074" s="902"/>
      <c r="K2074" s="912" t="s">
        <v>274</v>
      </c>
      <c r="L2074" s="902"/>
      <c r="M2074" s="902"/>
      <c r="N2074" s="902"/>
      <c r="O2074" s="892">
        <f t="shared" si="128"/>
        <v>0</v>
      </c>
      <c r="P2074" s="903">
        <f t="shared" si="129"/>
        <v>1</v>
      </c>
      <c r="Q2074" s="893">
        <f t="shared" si="130"/>
        <v>5</v>
      </c>
      <c r="R2074" s="894">
        <f t="shared" si="131"/>
        <v>0</v>
      </c>
    </row>
    <row r="2075" spans="1:18">
      <c r="A2075" s="905"/>
      <c r="B2075" s="906"/>
      <c r="C2075" s="907">
        <v>66</v>
      </c>
      <c r="D2075" s="907" t="s">
        <v>279</v>
      </c>
      <c r="E2075" s="925" t="s">
        <v>2682</v>
      </c>
      <c r="F2075" s="926" t="s">
        <v>45</v>
      </c>
      <c r="G2075" s="910"/>
      <c r="H2075" s="911">
        <v>0.04</v>
      </c>
      <c r="I2075" s="912">
        <f>VLOOKUP(E2075,[3]VLP!$B$7:$K$300,10,0)</f>
        <v>5000</v>
      </c>
      <c r="J2075" s="912">
        <f>I2075*H2075</f>
        <v>200</v>
      </c>
      <c r="K2075" s="912" t="s">
        <v>274</v>
      </c>
      <c r="L2075" s="912"/>
      <c r="M2075" s="912"/>
      <c r="N2075" s="912"/>
      <c r="O2075" s="892">
        <f t="shared" si="128"/>
        <v>0</v>
      </c>
      <c r="P2075" s="903">
        <f t="shared" si="129"/>
        <v>1</v>
      </c>
      <c r="Q2075" s="893">
        <f t="shared" si="130"/>
        <v>4</v>
      </c>
      <c r="R2075" s="894">
        <f t="shared" si="131"/>
        <v>0</v>
      </c>
    </row>
    <row r="2076" spans="1:18">
      <c r="A2076" s="905"/>
      <c r="B2076" s="906"/>
      <c r="C2076" s="907">
        <v>44</v>
      </c>
      <c r="D2076" s="907" t="s">
        <v>279</v>
      </c>
      <c r="E2076" s="925" t="s">
        <v>2681</v>
      </c>
      <c r="F2076" s="926" t="s">
        <v>45</v>
      </c>
      <c r="G2076" s="910"/>
      <c r="H2076" s="911">
        <v>0.28999999999999998</v>
      </c>
      <c r="I2076" s="912">
        <f>VLOOKUP(E2076,[3]VLP!$B$7:$K$300,10,0)</f>
        <v>23000</v>
      </c>
      <c r="J2076" s="912">
        <f>I2076*H2076</f>
        <v>6669.9999999999991</v>
      </c>
      <c r="K2076" s="912" t="s">
        <v>274</v>
      </c>
      <c r="L2076" s="912"/>
      <c r="M2076" s="912"/>
      <c r="N2076" s="912"/>
      <c r="O2076" s="892">
        <f t="shared" si="128"/>
        <v>0</v>
      </c>
      <c r="P2076" s="903">
        <f t="shared" si="129"/>
        <v>1</v>
      </c>
      <c r="Q2076" s="893">
        <f t="shared" si="130"/>
        <v>3</v>
      </c>
      <c r="R2076" s="894">
        <f t="shared" si="131"/>
        <v>0</v>
      </c>
    </row>
    <row r="2077" spans="1:18" s="904" customFormat="1">
      <c r="A2077" s="895"/>
      <c r="B2077" s="896"/>
      <c r="C2077" s="897"/>
      <c r="D2077" s="897"/>
      <c r="E2077" s="924" t="s">
        <v>276</v>
      </c>
      <c r="F2077" s="927"/>
      <c r="G2077" s="928"/>
      <c r="H2077" s="901"/>
      <c r="I2077" s="902"/>
      <c r="J2077" s="902"/>
      <c r="K2077" s="912" t="s">
        <v>274</v>
      </c>
      <c r="L2077" s="902"/>
      <c r="M2077" s="902"/>
      <c r="N2077" s="902"/>
      <c r="O2077" s="892">
        <f t="shared" si="128"/>
        <v>0</v>
      </c>
      <c r="P2077" s="903">
        <f t="shared" si="129"/>
        <v>1</v>
      </c>
      <c r="Q2077" s="893">
        <f t="shared" si="130"/>
        <v>2</v>
      </c>
      <c r="R2077" s="894">
        <f t="shared" si="131"/>
        <v>0</v>
      </c>
    </row>
    <row r="2078" spans="1:18">
      <c r="A2078" s="905"/>
      <c r="B2078" s="906"/>
      <c r="C2078" s="907">
        <v>740</v>
      </c>
      <c r="D2078" s="907" t="s">
        <v>12</v>
      </c>
      <c r="E2078" s="908" t="s">
        <v>4008</v>
      </c>
      <c r="F2078" s="909" t="s">
        <v>2674</v>
      </c>
      <c r="G2078" s="910"/>
      <c r="H2078" s="911">
        <v>2.71</v>
      </c>
      <c r="I2078" s="912"/>
      <c r="J2078" s="912"/>
      <c r="K2078" s="912">
        <f>VLOOKUP(E2078,ĐMNC!$A$7:$F$67,4,0)</f>
        <v>252714</v>
      </c>
      <c r="L2078" s="912">
        <f>H2078*K2078</f>
        <v>684854.94</v>
      </c>
      <c r="M2078" s="912"/>
      <c r="N2078" s="912"/>
      <c r="O2078" s="892">
        <f t="shared" si="128"/>
        <v>0</v>
      </c>
      <c r="P2078" s="903">
        <f t="shared" si="129"/>
        <v>1</v>
      </c>
      <c r="Q2078" s="893">
        <f t="shared" si="130"/>
        <v>1</v>
      </c>
      <c r="R2078" s="894">
        <f t="shared" si="131"/>
        <v>0</v>
      </c>
    </row>
    <row r="2079" spans="1:18" s="847" customFormat="1" ht="31.5">
      <c r="A2079" s="905"/>
      <c r="B2079" s="914" t="s">
        <v>4625</v>
      </c>
      <c r="C2079" s="915"/>
      <c r="D2079" s="915"/>
      <c r="E2079" s="916" t="s">
        <v>4624</v>
      </c>
      <c r="F2079" s="917" t="s">
        <v>249</v>
      </c>
      <c r="G2079" s="918"/>
      <c r="H2079" s="919"/>
      <c r="I2079" s="920"/>
      <c r="J2079" s="891">
        <f>SUM(J2080:J2084)</f>
        <v>6869.9999999999991</v>
      </c>
      <c r="K2079" s="891"/>
      <c r="L2079" s="891">
        <f>SUM(L2080:L2084)</f>
        <v>753087.72</v>
      </c>
      <c r="M2079" s="891"/>
      <c r="N2079" s="891">
        <f>SUM(N2080:N2084)</f>
        <v>0</v>
      </c>
      <c r="O2079" s="892">
        <f t="shared" si="128"/>
        <v>1</v>
      </c>
      <c r="P2079" s="903">
        <f t="shared" si="129"/>
        <v>0</v>
      </c>
      <c r="Q2079" s="893">
        <f t="shared" si="130"/>
        <v>0</v>
      </c>
      <c r="R2079" s="894">
        <f t="shared" si="131"/>
        <v>5</v>
      </c>
    </row>
    <row r="2080" spans="1:18" s="904" customFormat="1">
      <c r="A2080" s="895"/>
      <c r="B2080" s="896"/>
      <c r="C2080" s="897"/>
      <c r="D2080" s="897"/>
      <c r="E2080" s="924" t="s">
        <v>108</v>
      </c>
      <c r="F2080" s="899"/>
      <c r="G2080" s="900"/>
      <c r="H2080" s="901"/>
      <c r="I2080" s="902"/>
      <c r="J2080" s="902"/>
      <c r="K2080" s="912" t="s">
        <v>274</v>
      </c>
      <c r="L2080" s="902"/>
      <c r="M2080" s="902"/>
      <c r="N2080" s="902"/>
      <c r="O2080" s="892">
        <f t="shared" si="128"/>
        <v>0</v>
      </c>
      <c r="P2080" s="903">
        <f t="shared" si="129"/>
        <v>1</v>
      </c>
      <c r="Q2080" s="893">
        <f t="shared" si="130"/>
        <v>5</v>
      </c>
      <c r="R2080" s="894">
        <f t="shared" si="131"/>
        <v>0</v>
      </c>
    </row>
    <row r="2081" spans="1:18">
      <c r="A2081" s="905"/>
      <c r="B2081" s="906"/>
      <c r="C2081" s="907">
        <v>66</v>
      </c>
      <c r="D2081" s="907" t="s">
        <v>279</v>
      </c>
      <c r="E2081" s="925" t="s">
        <v>2682</v>
      </c>
      <c r="F2081" s="926" t="s">
        <v>45</v>
      </c>
      <c r="G2081" s="910"/>
      <c r="H2081" s="911">
        <v>0.04</v>
      </c>
      <c r="I2081" s="912">
        <f>VLOOKUP(E2081,[3]VLP!$B$7:$K$300,10,0)</f>
        <v>5000</v>
      </c>
      <c r="J2081" s="912">
        <f>I2081*H2081</f>
        <v>200</v>
      </c>
      <c r="K2081" s="912" t="s">
        <v>274</v>
      </c>
      <c r="L2081" s="912"/>
      <c r="M2081" s="912"/>
      <c r="N2081" s="912"/>
      <c r="O2081" s="892">
        <f t="shared" si="128"/>
        <v>0</v>
      </c>
      <c r="P2081" s="903">
        <f t="shared" si="129"/>
        <v>1</v>
      </c>
      <c r="Q2081" s="893">
        <f t="shared" si="130"/>
        <v>4</v>
      </c>
      <c r="R2081" s="894">
        <f t="shared" si="131"/>
        <v>0</v>
      </c>
    </row>
    <row r="2082" spans="1:18">
      <c r="A2082" s="905"/>
      <c r="B2082" s="906"/>
      <c r="C2082" s="907">
        <v>44</v>
      </c>
      <c r="D2082" s="907" t="s">
        <v>279</v>
      </c>
      <c r="E2082" s="925" t="s">
        <v>2681</v>
      </c>
      <c r="F2082" s="926" t="s">
        <v>45</v>
      </c>
      <c r="G2082" s="910"/>
      <c r="H2082" s="911">
        <v>0.28999999999999998</v>
      </c>
      <c r="I2082" s="912">
        <f>VLOOKUP(E2082,[3]VLP!$B$7:$K$300,10,0)</f>
        <v>23000</v>
      </c>
      <c r="J2082" s="912">
        <f>I2082*H2082</f>
        <v>6669.9999999999991</v>
      </c>
      <c r="K2082" s="912" t="s">
        <v>274</v>
      </c>
      <c r="L2082" s="912"/>
      <c r="M2082" s="912"/>
      <c r="N2082" s="912"/>
      <c r="O2082" s="892">
        <f t="shared" si="128"/>
        <v>0</v>
      </c>
      <c r="P2082" s="903">
        <f t="shared" si="129"/>
        <v>1</v>
      </c>
      <c r="Q2082" s="893">
        <f t="shared" si="130"/>
        <v>3</v>
      </c>
      <c r="R2082" s="894">
        <f t="shared" si="131"/>
        <v>0</v>
      </c>
    </row>
    <row r="2083" spans="1:18" s="904" customFormat="1">
      <c r="A2083" s="895"/>
      <c r="B2083" s="896"/>
      <c r="C2083" s="897"/>
      <c r="D2083" s="897"/>
      <c r="E2083" s="924" t="s">
        <v>276</v>
      </c>
      <c r="F2083" s="927"/>
      <c r="G2083" s="928"/>
      <c r="H2083" s="901"/>
      <c r="I2083" s="902"/>
      <c r="J2083" s="902"/>
      <c r="K2083" s="912" t="s">
        <v>274</v>
      </c>
      <c r="L2083" s="902"/>
      <c r="M2083" s="902"/>
      <c r="N2083" s="902"/>
      <c r="O2083" s="892">
        <f t="shared" si="128"/>
        <v>0</v>
      </c>
      <c r="P2083" s="903">
        <f t="shared" si="129"/>
        <v>1</v>
      </c>
      <c r="Q2083" s="893">
        <f t="shared" si="130"/>
        <v>2</v>
      </c>
      <c r="R2083" s="894">
        <f t="shared" si="131"/>
        <v>0</v>
      </c>
    </row>
    <row r="2084" spans="1:18">
      <c r="A2084" s="905"/>
      <c r="B2084" s="906"/>
      <c r="C2084" s="907">
        <v>740</v>
      </c>
      <c r="D2084" s="907" t="s">
        <v>12</v>
      </c>
      <c r="E2084" s="908" t="s">
        <v>4008</v>
      </c>
      <c r="F2084" s="909" t="s">
        <v>2674</v>
      </c>
      <c r="G2084" s="910"/>
      <c r="H2084" s="911">
        <v>2.98</v>
      </c>
      <c r="I2084" s="912"/>
      <c r="J2084" s="912"/>
      <c r="K2084" s="912">
        <f>VLOOKUP(E2084,ĐMNC!$A$7:$F$67,4,0)</f>
        <v>252714</v>
      </c>
      <c r="L2084" s="912">
        <f>H2084*K2084</f>
        <v>753087.72</v>
      </c>
      <c r="M2084" s="912"/>
      <c r="N2084" s="912"/>
      <c r="O2084" s="892">
        <f t="shared" si="128"/>
        <v>0</v>
      </c>
      <c r="P2084" s="903">
        <f t="shared" si="129"/>
        <v>1</v>
      </c>
      <c r="Q2084" s="893">
        <f t="shared" si="130"/>
        <v>1</v>
      </c>
      <c r="R2084" s="894">
        <f t="shared" si="131"/>
        <v>0</v>
      </c>
    </row>
    <row r="2085" spans="1:18" s="847" customFormat="1" ht="31.5">
      <c r="A2085" s="905"/>
      <c r="B2085" s="914" t="s">
        <v>4626</v>
      </c>
      <c r="C2085" s="915"/>
      <c r="D2085" s="915"/>
      <c r="E2085" s="916" t="s">
        <v>4627</v>
      </c>
      <c r="F2085" s="917" t="s">
        <v>249</v>
      </c>
      <c r="G2085" s="918"/>
      <c r="H2085" s="919"/>
      <c r="I2085" s="920"/>
      <c r="J2085" s="891">
        <f>SUM(J2086:J2090)</f>
        <v>6869.9999999999991</v>
      </c>
      <c r="K2085" s="891"/>
      <c r="L2085" s="891">
        <f>SUM(L2086:L2090)</f>
        <v>866809.02</v>
      </c>
      <c r="M2085" s="891"/>
      <c r="N2085" s="891">
        <f>SUM(N2086:N2090)</f>
        <v>0</v>
      </c>
      <c r="O2085" s="892">
        <f t="shared" si="128"/>
        <v>1</v>
      </c>
      <c r="P2085" s="903">
        <f t="shared" si="129"/>
        <v>0</v>
      </c>
      <c r="Q2085" s="893">
        <f t="shared" si="130"/>
        <v>0</v>
      </c>
      <c r="R2085" s="894">
        <f t="shared" si="131"/>
        <v>5</v>
      </c>
    </row>
    <row r="2086" spans="1:18" s="904" customFormat="1">
      <c r="A2086" s="895"/>
      <c r="B2086" s="896"/>
      <c r="C2086" s="897"/>
      <c r="D2086" s="897"/>
      <c r="E2086" s="924" t="s">
        <v>108</v>
      </c>
      <c r="F2086" s="899"/>
      <c r="G2086" s="900"/>
      <c r="H2086" s="901"/>
      <c r="I2086" s="902"/>
      <c r="J2086" s="902"/>
      <c r="K2086" s="912" t="s">
        <v>274</v>
      </c>
      <c r="L2086" s="902"/>
      <c r="M2086" s="902"/>
      <c r="N2086" s="902"/>
      <c r="O2086" s="892">
        <f t="shared" si="128"/>
        <v>0</v>
      </c>
      <c r="P2086" s="903">
        <f t="shared" si="129"/>
        <v>1</v>
      </c>
      <c r="Q2086" s="893">
        <f t="shared" si="130"/>
        <v>5</v>
      </c>
      <c r="R2086" s="894">
        <f t="shared" si="131"/>
        <v>0</v>
      </c>
    </row>
    <row r="2087" spans="1:18">
      <c r="A2087" s="905"/>
      <c r="B2087" s="906"/>
      <c r="C2087" s="907">
        <v>66</v>
      </c>
      <c r="D2087" s="907" t="s">
        <v>279</v>
      </c>
      <c r="E2087" s="925" t="s">
        <v>2682</v>
      </c>
      <c r="F2087" s="926" t="s">
        <v>45</v>
      </c>
      <c r="G2087" s="910"/>
      <c r="H2087" s="911">
        <v>0.04</v>
      </c>
      <c r="I2087" s="912">
        <f>VLOOKUP(E2087,[3]VLP!$B$7:$K$300,10,0)</f>
        <v>5000</v>
      </c>
      <c r="J2087" s="912">
        <f>I2087*H2087</f>
        <v>200</v>
      </c>
      <c r="K2087" s="912" t="s">
        <v>274</v>
      </c>
      <c r="L2087" s="912"/>
      <c r="M2087" s="912"/>
      <c r="N2087" s="912"/>
      <c r="O2087" s="892">
        <f t="shared" si="128"/>
        <v>0</v>
      </c>
      <c r="P2087" s="903">
        <f t="shared" si="129"/>
        <v>1</v>
      </c>
      <c r="Q2087" s="893">
        <f t="shared" si="130"/>
        <v>4</v>
      </c>
      <c r="R2087" s="894">
        <f t="shared" si="131"/>
        <v>0</v>
      </c>
    </row>
    <row r="2088" spans="1:18">
      <c r="A2088" s="905"/>
      <c r="B2088" s="906"/>
      <c r="C2088" s="907">
        <v>44</v>
      </c>
      <c r="D2088" s="907" t="s">
        <v>279</v>
      </c>
      <c r="E2088" s="925" t="s">
        <v>2681</v>
      </c>
      <c r="F2088" s="926" t="s">
        <v>45</v>
      </c>
      <c r="G2088" s="910"/>
      <c r="H2088" s="911">
        <v>0.28999999999999998</v>
      </c>
      <c r="I2088" s="912">
        <f>VLOOKUP(E2088,[3]VLP!$B$7:$K$300,10,0)</f>
        <v>23000</v>
      </c>
      <c r="J2088" s="912">
        <f>I2088*H2088</f>
        <v>6669.9999999999991</v>
      </c>
      <c r="K2088" s="912" t="s">
        <v>274</v>
      </c>
      <c r="L2088" s="912"/>
      <c r="M2088" s="912"/>
      <c r="N2088" s="912"/>
      <c r="O2088" s="892">
        <f t="shared" si="128"/>
        <v>0</v>
      </c>
      <c r="P2088" s="903">
        <f t="shared" si="129"/>
        <v>1</v>
      </c>
      <c r="Q2088" s="893">
        <f t="shared" si="130"/>
        <v>3</v>
      </c>
      <c r="R2088" s="894">
        <f t="shared" si="131"/>
        <v>0</v>
      </c>
    </row>
    <row r="2089" spans="1:18" s="904" customFormat="1">
      <c r="A2089" s="895"/>
      <c r="B2089" s="896"/>
      <c r="C2089" s="897"/>
      <c r="D2089" s="897"/>
      <c r="E2089" s="924" t="s">
        <v>276</v>
      </c>
      <c r="F2089" s="927"/>
      <c r="G2089" s="928"/>
      <c r="H2089" s="901"/>
      <c r="I2089" s="902"/>
      <c r="J2089" s="902"/>
      <c r="K2089" s="912" t="s">
        <v>274</v>
      </c>
      <c r="L2089" s="902"/>
      <c r="M2089" s="902"/>
      <c r="N2089" s="902"/>
      <c r="O2089" s="892">
        <f t="shared" si="128"/>
        <v>0</v>
      </c>
      <c r="P2089" s="903">
        <f t="shared" si="129"/>
        <v>1</v>
      </c>
      <c r="Q2089" s="893">
        <f t="shared" si="130"/>
        <v>2</v>
      </c>
      <c r="R2089" s="894">
        <f t="shared" si="131"/>
        <v>0</v>
      </c>
    </row>
    <row r="2090" spans="1:18">
      <c r="A2090" s="905"/>
      <c r="B2090" s="906"/>
      <c r="C2090" s="907">
        <v>740</v>
      </c>
      <c r="D2090" s="907" t="s">
        <v>12</v>
      </c>
      <c r="E2090" s="908" t="s">
        <v>4008</v>
      </c>
      <c r="F2090" s="909" t="s">
        <v>2674</v>
      </c>
      <c r="G2090" s="910"/>
      <c r="H2090" s="911">
        <v>3.43</v>
      </c>
      <c r="I2090" s="912"/>
      <c r="J2090" s="912"/>
      <c r="K2090" s="912">
        <f>VLOOKUP(E2090,ĐMNC!$A$7:$F$67,4,0)</f>
        <v>252714</v>
      </c>
      <c r="L2090" s="912">
        <f>H2090*K2090</f>
        <v>866809.02</v>
      </c>
      <c r="M2090" s="912"/>
      <c r="N2090" s="912"/>
      <c r="O2090" s="892">
        <f t="shared" si="128"/>
        <v>0</v>
      </c>
      <c r="P2090" s="903">
        <f t="shared" si="129"/>
        <v>1</v>
      </c>
      <c r="Q2090" s="893">
        <f t="shared" si="130"/>
        <v>1</v>
      </c>
      <c r="R2090" s="894">
        <f t="shared" si="131"/>
        <v>0</v>
      </c>
    </row>
    <row r="2091" spans="1:18" s="847" customFormat="1" ht="31.5">
      <c r="A2091" s="905"/>
      <c r="B2091" s="914" t="s">
        <v>4628</v>
      </c>
      <c r="C2091" s="915"/>
      <c r="D2091" s="915"/>
      <c r="E2091" s="916" t="s">
        <v>4629</v>
      </c>
      <c r="F2091" s="917" t="s">
        <v>249</v>
      </c>
      <c r="G2091" s="918"/>
      <c r="H2091" s="919"/>
      <c r="I2091" s="920"/>
      <c r="J2091" s="891">
        <f>SUM(J2092:J2096)</f>
        <v>6869.9999999999991</v>
      </c>
      <c r="K2091" s="891"/>
      <c r="L2091" s="891">
        <f>SUM(L2092:L2096)</f>
        <v>995693.16</v>
      </c>
      <c r="M2091" s="891"/>
      <c r="N2091" s="891">
        <f>SUM(N2092:N2096)</f>
        <v>0</v>
      </c>
      <c r="O2091" s="892">
        <f t="shared" si="128"/>
        <v>1</v>
      </c>
      <c r="P2091" s="903">
        <f t="shared" si="129"/>
        <v>0</v>
      </c>
      <c r="Q2091" s="893">
        <f t="shared" si="130"/>
        <v>0</v>
      </c>
      <c r="R2091" s="894">
        <f t="shared" si="131"/>
        <v>5</v>
      </c>
    </row>
    <row r="2092" spans="1:18" s="904" customFormat="1">
      <c r="A2092" s="895"/>
      <c r="B2092" s="896"/>
      <c r="C2092" s="897"/>
      <c r="D2092" s="897"/>
      <c r="E2092" s="924" t="s">
        <v>108</v>
      </c>
      <c r="F2092" s="899"/>
      <c r="G2092" s="900"/>
      <c r="H2092" s="901"/>
      <c r="I2092" s="902"/>
      <c r="J2092" s="902"/>
      <c r="K2092" s="912" t="s">
        <v>274</v>
      </c>
      <c r="L2092" s="902"/>
      <c r="M2092" s="902"/>
      <c r="N2092" s="902"/>
      <c r="O2092" s="892">
        <f t="shared" si="128"/>
        <v>0</v>
      </c>
      <c r="P2092" s="903">
        <f t="shared" si="129"/>
        <v>1</v>
      </c>
      <c r="Q2092" s="893">
        <f t="shared" si="130"/>
        <v>5</v>
      </c>
      <c r="R2092" s="894">
        <f t="shared" si="131"/>
        <v>0</v>
      </c>
    </row>
    <row r="2093" spans="1:18">
      <c r="A2093" s="905"/>
      <c r="B2093" s="906"/>
      <c r="C2093" s="907">
        <v>66</v>
      </c>
      <c r="D2093" s="907" t="s">
        <v>279</v>
      </c>
      <c r="E2093" s="925" t="s">
        <v>2682</v>
      </c>
      <c r="F2093" s="926" t="s">
        <v>45</v>
      </c>
      <c r="G2093" s="910"/>
      <c r="H2093" s="911">
        <v>0.04</v>
      </c>
      <c r="I2093" s="912">
        <f>VLOOKUP(E2093,[3]VLP!$B$7:$K$300,10,0)</f>
        <v>5000</v>
      </c>
      <c r="J2093" s="912">
        <f>I2093*H2093</f>
        <v>200</v>
      </c>
      <c r="K2093" s="912" t="s">
        <v>274</v>
      </c>
      <c r="L2093" s="912"/>
      <c r="M2093" s="912"/>
      <c r="N2093" s="912"/>
      <c r="O2093" s="892">
        <f t="shared" si="128"/>
        <v>0</v>
      </c>
      <c r="P2093" s="903">
        <f t="shared" si="129"/>
        <v>1</v>
      </c>
      <c r="Q2093" s="893">
        <f t="shared" si="130"/>
        <v>4</v>
      </c>
      <c r="R2093" s="894">
        <f t="shared" si="131"/>
        <v>0</v>
      </c>
    </row>
    <row r="2094" spans="1:18">
      <c r="A2094" s="905"/>
      <c r="B2094" s="906"/>
      <c r="C2094" s="907">
        <v>44</v>
      </c>
      <c r="D2094" s="907" t="s">
        <v>279</v>
      </c>
      <c r="E2094" s="925" t="s">
        <v>2681</v>
      </c>
      <c r="F2094" s="926" t="s">
        <v>45</v>
      </c>
      <c r="G2094" s="910"/>
      <c r="H2094" s="911">
        <v>0.28999999999999998</v>
      </c>
      <c r="I2094" s="912">
        <f>VLOOKUP(E2094,[3]VLP!$B$7:$K$300,10,0)</f>
        <v>23000</v>
      </c>
      <c r="J2094" s="912">
        <f>I2094*H2094</f>
        <v>6669.9999999999991</v>
      </c>
      <c r="K2094" s="912" t="s">
        <v>274</v>
      </c>
      <c r="L2094" s="912"/>
      <c r="M2094" s="912"/>
      <c r="N2094" s="912"/>
      <c r="O2094" s="892">
        <f t="shared" si="128"/>
        <v>0</v>
      </c>
      <c r="P2094" s="903">
        <f t="shared" si="129"/>
        <v>1</v>
      </c>
      <c r="Q2094" s="893">
        <f t="shared" si="130"/>
        <v>3</v>
      </c>
      <c r="R2094" s="894">
        <f t="shared" si="131"/>
        <v>0</v>
      </c>
    </row>
    <row r="2095" spans="1:18" s="904" customFormat="1">
      <c r="A2095" s="895"/>
      <c r="B2095" s="896"/>
      <c r="C2095" s="897"/>
      <c r="D2095" s="897"/>
      <c r="E2095" s="924" t="s">
        <v>276</v>
      </c>
      <c r="F2095" s="927"/>
      <c r="G2095" s="928"/>
      <c r="H2095" s="901"/>
      <c r="I2095" s="902"/>
      <c r="J2095" s="902"/>
      <c r="K2095" s="912" t="s">
        <v>274</v>
      </c>
      <c r="L2095" s="902"/>
      <c r="M2095" s="902"/>
      <c r="N2095" s="902"/>
      <c r="O2095" s="892">
        <f t="shared" si="128"/>
        <v>0</v>
      </c>
      <c r="P2095" s="903">
        <f t="shared" si="129"/>
        <v>1</v>
      </c>
      <c r="Q2095" s="893">
        <f t="shared" si="130"/>
        <v>2</v>
      </c>
      <c r="R2095" s="894">
        <f t="shared" si="131"/>
        <v>0</v>
      </c>
    </row>
    <row r="2096" spans="1:18">
      <c r="A2096" s="905"/>
      <c r="B2096" s="906"/>
      <c r="C2096" s="907">
        <v>740</v>
      </c>
      <c r="D2096" s="907" t="s">
        <v>12</v>
      </c>
      <c r="E2096" s="908" t="s">
        <v>4008</v>
      </c>
      <c r="F2096" s="909" t="s">
        <v>2674</v>
      </c>
      <c r="G2096" s="910"/>
      <c r="H2096" s="911">
        <v>3.94</v>
      </c>
      <c r="I2096" s="912"/>
      <c r="J2096" s="912"/>
      <c r="K2096" s="912">
        <f>VLOOKUP(E2096,ĐMNC!$A$7:$F$67,4,0)</f>
        <v>252714</v>
      </c>
      <c r="L2096" s="912">
        <f>H2096*K2096</f>
        <v>995693.16</v>
      </c>
      <c r="M2096" s="912"/>
      <c r="N2096" s="912"/>
      <c r="O2096" s="892">
        <f t="shared" si="128"/>
        <v>0</v>
      </c>
      <c r="P2096" s="903">
        <f t="shared" si="129"/>
        <v>1</v>
      </c>
      <c r="Q2096" s="893">
        <f t="shared" si="130"/>
        <v>1</v>
      </c>
      <c r="R2096" s="894">
        <f t="shared" si="131"/>
        <v>0</v>
      </c>
    </row>
    <row r="2097" spans="1:18" s="847" customFormat="1" ht="31.5">
      <c r="A2097" s="905"/>
      <c r="B2097" s="914" t="s">
        <v>4630</v>
      </c>
      <c r="C2097" s="915"/>
      <c r="D2097" s="915"/>
      <c r="E2097" s="916" t="s">
        <v>4631</v>
      </c>
      <c r="F2097" s="917" t="s">
        <v>249</v>
      </c>
      <c r="G2097" s="918"/>
      <c r="H2097" s="919"/>
      <c r="I2097" s="920"/>
      <c r="J2097" s="891">
        <f>SUM(J2098:J2102)</f>
        <v>8250</v>
      </c>
      <c r="K2097" s="891"/>
      <c r="L2097" s="891">
        <f>SUM(L2098:L2102)</f>
        <v>561025.08000000007</v>
      </c>
      <c r="M2097" s="891"/>
      <c r="N2097" s="891">
        <f>SUM(N2098:N2102)</f>
        <v>0</v>
      </c>
      <c r="O2097" s="892">
        <f t="shared" si="128"/>
        <v>1</v>
      </c>
      <c r="P2097" s="903">
        <f t="shared" si="129"/>
        <v>0</v>
      </c>
      <c r="Q2097" s="893">
        <f t="shared" si="130"/>
        <v>0</v>
      </c>
      <c r="R2097" s="894">
        <f t="shared" si="131"/>
        <v>5</v>
      </c>
    </row>
    <row r="2098" spans="1:18" s="904" customFormat="1">
      <c r="A2098" s="895"/>
      <c r="B2098" s="922"/>
      <c r="C2098" s="897"/>
      <c r="D2098" s="897"/>
      <c r="E2098" s="924" t="s">
        <v>108</v>
      </c>
      <c r="F2098" s="899"/>
      <c r="G2098" s="900"/>
      <c r="H2098" s="901"/>
      <c r="I2098" s="902"/>
      <c r="J2098" s="902"/>
      <c r="K2098" s="912" t="s">
        <v>274</v>
      </c>
      <c r="L2098" s="902"/>
      <c r="M2098" s="902"/>
      <c r="N2098" s="902"/>
      <c r="O2098" s="892">
        <f t="shared" si="128"/>
        <v>0</v>
      </c>
      <c r="P2098" s="903">
        <f t="shared" si="129"/>
        <v>1</v>
      </c>
      <c r="Q2098" s="893">
        <f t="shared" si="130"/>
        <v>5</v>
      </c>
      <c r="R2098" s="894">
        <f t="shared" si="131"/>
        <v>0</v>
      </c>
    </row>
    <row r="2099" spans="1:18">
      <c r="A2099" s="905"/>
      <c r="B2099" s="906"/>
      <c r="C2099" s="907">
        <v>66</v>
      </c>
      <c r="D2099" s="907" t="s">
        <v>279</v>
      </c>
      <c r="E2099" s="925" t="s">
        <v>2682</v>
      </c>
      <c r="F2099" s="926" t="s">
        <v>45</v>
      </c>
      <c r="G2099" s="910"/>
      <c r="H2099" s="911">
        <v>0.04</v>
      </c>
      <c r="I2099" s="912">
        <f>VLOOKUP(E2099,[3]VLP!$B$7:$K$300,10,0)</f>
        <v>5000</v>
      </c>
      <c r="J2099" s="912">
        <f>I2099*H2099</f>
        <v>200</v>
      </c>
      <c r="K2099" s="912" t="s">
        <v>274</v>
      </c>
      <c r="L2099" s="912"/>
      <c r="M2099" s="912"/>
      <c r="N2099" s="912"/>
      <c r="O2099" s="892">
        <f t="shared" si="128"/>
        <v>0</v>
      </c>
      <c r="P2099" s="903">
        <f t="shared" si="129"/>
        <v>1</v>
      </c>
      <c r="Q2099" s="893">
        <f t="shared" si="130"/>
        <v>4</v>
      </c>
      <c r="R2099" s="894">
        <f t="shared" si="131"/>
        <v>0</v>
      </c>
    </row>
    <row r="2100" spans="1:18">
      <c r="A2100" s="905"/>
      <c r="B2100" s="906"/>
      <c r="C2100" s="907">
        <v>44</v>
      </c>
      <c r="D2100" s="907" t="s">
        <v>279</v>
      </c>
      <c r="E2100" s="925" t="s">
        <v>2681</v>
      </c>
      <c r="F2100" s="926" t="s">
        <v>45</v>
      </c>
      <c r="G2100" s="910"/>
      <c r="H2100" s="911">
        <v>0.35</v>
      </c>
      <c r="I2100" s="912">
        <f>VLOOKUP(E2100,[3]VLP!$B$7:$K$300,10,0)</f>
        <v>23000</v>
      </c>
      <c r="J2100" s="912">
        <f>I2100*H2100</f>
        <v>8049.9999999999991</v>
      </c>
      <c r="K2100" s="912" t="s">
        <v>274</v>
      </c>
      <c r="L2100" s="912"/>
      <c r="M2100" s="912"/>
      <c r="N2100" s="912"/>
      <c r="O2100" s="892">
        <f t="shared" si="128"/>
        <v>0</v>
      </c>
      <c r="P2100" s="903">
        <f t="shared" si="129"/>
        <v>1</v>
      </c>
      <c r="Q2100" s="893">
        <f t="shared" si="130"/>
        <v>3</v>
      </c>
      <c r="R2100" s="894">
        <f t="shared" si="131"/>
        <v>0</v>
      </c>
    </row>
    <row r="2101" spans="1:18" s="904" customFormat="1">
      <c r="A2101" s="895"/>
      <c r="B2101" s="896"/>
      <c r="C2101" s="897"/>
      <c r="D2101" s="897"/>
      <c r="E2101" s="924" t="s">
        <v>276</v>
      </c>
      <c r="F2101" s="927"/>
      <c r="G2101" s="928"/>
      <c r="H2101" s="901"/>
      <c r="I2101" s="902"/>
      <c r="J2101" s="902"/>
      <c r="K2101" s="912" t="s">
        <v>274</v>
      </c>
      <c r="L2101" s="902"/>
      <c r="M2101" s="902"/>
      <c r="N2101" s="902"/>
      <c r="O2101" s="892">
        <f t="shared" si="128"/>
        <v>0</v>
      </c>
      <c r="P2101" s="903">
        <f t="shared" si="129"/>
        <v>1</v>
      </c>
      <c r="Q2101" s="893">
        <f t="shared" si="130"/>
        <v>2</v>
      </c>
      <c r="R2101" s="894">
        <f t="shared" si="131"/>
        <v>0</v>
      </c>
    </row>
    <row r="2102" spans="1:18">
      <c r="A2102" s="905"/>
      <c r="B2102" s="906"/>
      <c r="C2102" s="907">
        <v>740</v>
      </c>
      <c r="D2102" s="907" t="s">
        <v>12</v>
      </c>
      <c r="E2102" s="908" t="s">
        <v>4008</v>
      </c>
      <c r="F2102" s="909" t="s">
        <v>2674</v>
      </c>
      <c r="G2102" s="910"/>
      <c r="H2102" s="911">
        <v>2.2200000000000002</v>
      </c>
      <c r="I2102" s="912"/>
      <c r="J2102" s="912"/>
      <c r="K2102" s="912">
        <f>VLOOKUP(E2102,ĐMNC!$A$7:$F$67,4,0)</f>
        <v>252714</v>
      </c>
      <c r="L2102" s="912">
        <f>H2102*K2102</f>
        <v>561025.08000000007</v>
      </c>
      <c r="M2102" s="912"/>
      <c r="N2102" s="912"/>
      <c r="O2102" s="892">
        <f t="shared" si="128"/>
        <v>0</v>
      </c>
      <c r="P2102" s="903">
        <f t="shared" si="129"/>
        <v>1</v>
      </c>
      <c r="Q2102" s="893">
        <f t="shared" si="130"/>
        <v>1</v>
      </c>
      <c r="R2102" s="894">
        <f t="shared" si="131"/>
        <v>0</v>
      </c>
    </row>
    <row r="2103" spans="1:18" s="847" customFormat="1" ht="31.5">
      <c r="A2103" s="905"/>
      <c r="B2103" s="914" t="s">
        <v>4632</v>
      </c>
      <c r="C2103" s="915"/>
      <c r="D2103" s="915"/>
      <c r="E2103" s="916" t="s">
        <v>4633</v>
      </c>
      <c r="F2103" s="917" t="s">
        <v>249</v>
      </c>
      <c r="G2103" s="918"/>
      <c r="H2103" s="919"/>
      <c r="I2103" s="920"/>
      <c r="J2103" s="891">
        <f>SUM(J2104:J2108)</f>
        <v>8250</v>
      </c>
      <c r="K2103" s="891"/>
      <c r="L2103" s="891">
        <f>SUM(L2104:L2108)</f>
        <v>588823.62</v>
      </c>
      <c r="M2103" s="891"/>
      <c r="N2103" s="891">
        <f>SUM(N2104:N2108)</f>
        <v>0</v>
      </c>
      <c r="O2103" s="892">
        <f t="shared" si="128"/>
        <v>1</v>
      </c>
      <c r="P2103" s="903">
        <f t="shared" si="129"/>
        <v>0</v>
      </c>
      <c r="Q2103" s="893">
        <f t="shared" si="130"/>
        <v>0</v>
      </c>
      <c r="R2103" s="894">
        <f t="shared" si="131"/>
        <v>5</v>
      </c>
    </row>
    <row r="2104" spans="1:18" s="904" customFormat="1">
      <c r="A2104" s="895"/>
      <c r="B2104" s="896"/>
      <c r="C2104" s="897"/>
      <c r="D2104" s="897"/>
      <c r="E2104" s="924" t="s">
        <v>108</v>
      </c>
      <c r="F2104" s="899"/>
      <c r="G2104" s="900"/>
      <c r="H2104" s="901"/>
      <c r="I2104" s="902"/>
      <c r="J2104" s="902"/>
      <c r="K2104" s="912" t="s">
        <v>274</v>
      </c>
      <c r="L2104" s="902"/>
      <c r="M2104" s="902"/>
      <c r="N2104" s="902"/>
      <c r="O2104" s="892">
        <f t="shared" si="128"/>
        <v>0</v>
      </c>
      <c r="P2104" s="903">
        <f t="shared" si="129"/>
        <v>1</v>
      </c>
      <c r="Q2104" s="893">
        <f t="shared" si="130"/>
        <v>5</v>
      </c>
      <c r="R2104" s="894">
        <f t="shared" si="131"/>
        <v>0</v>
      </c>
    </row>
    <row r="2105" spans="1:18">
      <c r="A2105" s="905"/>
      <c r="B2105" s="906"/>
      <c r="C2105" s="907">
        <v>66</v>
      </c>
      <c r="D2105" s="907" t="s">
        <v>279</v>
      </c>
      <c r="E2105" s="925" t="s">
        <v>2682</v>
      </c>
      <c r="F2105" s="926" t="s">
        <v>45</v>
      </c>
      <c r="G2105" s="910"/>
      <c r="H2105" s="911">
        <v>0.04</v>
      </c>
      <c r="I2105" s="912">
        <f>VLOOKUP(E2105,[3]VLP!$B$7:$K$300,10,0)</f>
        <v>5000</v>
      </c>
      <c r="J2105" s="912">
        <f>I2105*H2105</f>
        <v>200</v>
      </c>
      <c r="K2105" s="912" t="s">
        <v>274</v>
      </c>
      <c r="L2105" s="912"/>
      <c r="M2105" s="912"/>
      <c r="N2105" s="912"/>
      <c r="O2105" s="892">
        <f t="shared" si="128"/>
        <v>0</v>
      </c>
      <c r="P2105" s="903">
        <f t="shared" si="129"/>
        <v>1</v>
      </c>
      <c r="Q2105" s="893">
        <f t="shared" si="130"/>
        <v>4</v>
      </c>
      <c r="R2105" s="894">
        <f t="shared" si="131"/>
        <v>0</v>
      </c>
    </row>
    <row r="2106" spans="1:18">
      <c r="A2106" s="905"/>
      <c r="B2106" s="906"/>
      <c r="C2106" s="907">
        <v>44</v>
      </c>
      <c r="D2106" s="907" t="s">
        <v>279</v>
      </c>
      <c r="E2106" s="925" t="s">
        <v>2681</v>
      </c>
      <c r="F2106" s="926" t="s">
        <v>45</v>
      </c>
      <c r="G2106" s="910"/>
      <c r="H2106" s="911">
        <v>0.35</v>
      </c>
      <c r="I2106" s="912">
        <f>VLOOKUP(E2106,[3]VLP!$B$7:$K$300,10,0)</f>
        <v>23000</v>
      </c>
      <c r="J2106" s="912">
        <f>I2106*H2106</f>
        <v>8049.9999999999991</v>
      </c>
      <c r="K2106" s="912" t="s">
        <v>274</v>
      </c>
      <c r="L2106" s="912"/>
      <c r="M2106" s="912"/>
      <c r="N2106" s="912"/>
      <c r="O2106" s="892">
        <f t="shared" si="128"/>
        <v>0</v>
      </c>
      <c r="P2106" s="903">
        <f t="shared" si="129"/>
        <v>1</v>
      </c>
      <c r="Q2106" s="893">
        <f t="shared" si="130"/>
        <v>3</v>
      </c>
      <c r="R2106" s="894">
        <f t="shared" si="131"/>
        <v>0</v>
      </c>
    </row>
    <row r="2107" spans="1:18" s="904" customFormat="1">
      <c r="A2107" s="895"/>
      <c r="B2107" s="896"/>
      <c r="C2107" s="897"/>
      <c r="D2107" s="897"/>
      <c r="E2107" s="924" t="s">
        <v>276</v>
      </c>
      <c r="F2107" s="927"/>
      <c r="G2107" s="928"/>
      <c r="H2107" s="901"/>
      <c r="I2107" s="902"/>
      <c r="J2107" s="902"/>
      <c r="K2107" s="912" t="s">
        <v>274</v>
      </c>
      <c r="L2107" s="902"/>
      <c r="M2107" s="902"/>
      <c r="N2107" s="902"/>
      <c r="O2107" s="892">
        <f t="shared" si="128"/>
        <v>0</v>
      </c>
      <c r="P2107" s="903">
        <f t="shared" si="129"/>
        <v>1</v>
      </c>
      <c r="Q2107" s="893">
        <f t="shared" si="130"/>
        <v>2</v>
      </c>
      <c r="R2107" s="894">
        <f t="shared" si="131"/>
        <v>0</v>
      </c>
    </row>
    <row r="2108" spans="1:18">
      <c r="A2108" s="905"/>
      <c r="B2108" s="906"/>
      <c r="C2108" s="907">
        <v>740</v>
      </c>
      <c r="D2108" s="907" t="s">
        <v>12</v>
      </c>
      <c r="E2108" s="908" t="s">
        <v>4008</v>
      </c>
      <c r="F2108" s="909" t="s">
        <v>2674</v>
      </c>
      <c r="G2108" s="910"/>
      <c r="H2108" s="911">
        <v>2.33</v>
      </c>
      <c r="I2108" s="912"/>
      <c r="J2108" s="912"/>
      <c r="K2108" s="912">
        <f>VLOOKUP(E2108,ĐMNC!$A$7:$F$67,4,0)</f>
        <v>252714</v>
      </c>
      <c r="L2108" s="912">
        <f>H2108*K2108</f>
        <v>588823.62</v>
      </c>
      <c r="M2108" s="912"/>
      <c r="N2108" s="912"/>
      <c r="O2108" s="892">
        <f t="shared" si="128"/>
        <v>0</v>
      </c>
      <c r="P2108" s="903">
        <f t="shared" si="129"/>
        <v>1</v>
      </c>
      <c r="Q2108" s="893">
        <f t="shared" si="130"/>
        <v>1</v>
      </c>
      <c r="R2108" s="894">
        <f t="shared" si="131"/>
        <v>0</v>
      </c>
    </row>
    <row r="2109" spans="1:18" s="847" customFormat="1" ht="31.5">
      <c r="A2109" s="905"/>
      <c r="B2109" s="914" t="s">
        <v>4634</v>
      </c>
      <c r="C2109" s="915"/>
      <c r="D2109" s="915"/>
      <c r="E2109" s="916" t="s">
        <v>4635</v>
      </c>
      <c r="F2109" s="917" t="s">
        <v>249</v>
      </c>
      <c r="G2109" s="918"/>
      <c r="H2109" s="919"/>
      <c r="I2109" s="920"/>
      <c r="J2109" s="891">
        <f>SUM(J2110:J2114)</f>
        <v>8250</v>
      </c>
      <c r="K2109" s="891"/>
      <c r="L2109" s="891">
        <f>SUM(L2110:L2114)</f>
        <v>669692.1</v>
      </c>
      <c r="M2109" s="891"/>
      <c r="N2109" s="891">
        <f>SUM(N2110:N2114)</f>
        <v>0</v>
      </c>
      <c r="O2109" s="892">
        <f t="shared" si="128"/>
        <v>1</v>
      </c>
      <c r="P2109" s="903">
        <f t="shared" si="129"/>
        <v>0</v>
      </c>
      <c r="Q2109" s="893">
        <f t="shared" si="130"/>
        <v>0</v>
      </c>
      <c r="R2109" s="894">
        <f t="shared" si="131"/>
        <v>5</v>
      </c>
    </row>
    <row r="2110" spans="1:18" s="904" customFormat="1">
      <c r="A2110" s="895"/>
      <c r="B2110" s="896"/>
      <c r="C2110" s="897"/>
      <c r="D2110" s="897"/>
      <c r="E2110" s="924" t="s">
        <v>108</v>
      </c>
      <c r="F2110" s="899"/>
      <c r="G2110" s="900"/>
      <c r="H2110" s="901"/>
      <c r="I2110" s="902"/>
      <c r="J2110" s="902"/>
      <c r="K2110" s="912" t="s">
        <v>274</v>
      </c>
      <c r="L2110" s="902"/>
      <c r="M2110" s="902"/>
      <c r="N2110" s="902"/>
      <c r="O2110" s="892">
        <f t="shared" si="128"/>
        <v>0</v>
      </c>
      <c r="P2110" s="903">
        <f t="shared" si="129"/>
        <v>1</v>
      </c>
      <c r="Q2110" s="893">
        <f t="shared" si="130"/>
        <v>5</v>
      </c>
      <c r="R2110" s="894">
        <f t="shared" si="131"/>
        <v>0</v>
      </c>
    </row>
    <row r="2111" spans="1:18">
      <c r="A2111" s="905"/>
      <c r="B2111" s="906"/>
      <c r="C2111" s="907">
        <v>66</v>
      </c>
      <c r="D2111" s="907" t="s">
        <v>279</v>
      </c>
      <c r="E2111" s="925" t="s">
        <v>2682</v>
      </c>
      <c r="F2111" s="926" t="s">
        <v>45</v>
      </c>
      <c r="G2111" s="910"/>
      <c r="H2111" s="911">
        <v>0.04</v>
      </c>
      <c r="I2111" s="912">
        <f>VLOOKUP(E2111,[3]VLP!$B$7:$K$300,10,0)</f>
        <v>5000</v>
      </c>
      <c r="J2111" s="912">
        <f>I2111*H2111</f>
        <v>200</v>
      </c>
      <c r="K2111" s="912" t="s">
        <v>274</v>
      </c>
      <c r="L2111" s="912"/>
      <c r="M2111" s="912"/>
      <c r="N2111" s="912"/>
      <c r="O2111" s="892">
        <f t="shared" si="128"/>
        <v>0</v>
      </c>
      <c r="P2111" s="903">
        <f t="shared" si="129"/>
        <v>1</v>
      </c>
      <c r="Q2111" s="893">
        <f t="shared" si="130"/>
        <v>4</v>
      </c>
      <c r="R2111" s="894">
        <f t="shared" si="131"/>
        <v>0</v>
      </c>
    </row>
    <row r="2112" spans="1:18">
      <c r="A2112" s="905"/>
      <c r="B2112" s="906"/>
      <c r="C2112" s="907">
        <v>44</v>
      </c>
      <c r="D2112" s="907" t="s">
        <v>279</v>
      </c>
      <c r="E2112" s="925" t="s">
        <v>2681</v>
      </c>
      <c r="F2112" s="926" t="s">
        <v>45</v>
      </c>
      <c r="G2112" s="910"/>
      <c r="H2112" s="911">
        <v>0.35</v>
      </c>
      <c r="I2112" s="912">
        <f>VLOOKUP(E2112,[3]VLP!$B$7:$K$300,10,0)</f>
        <v>23000</v>
      </c>
      <c r="J2112" s="912">
        <f>I2112*H2112</f>
        <v>8049.9999999999991</v>
      </c>
      <c r="K2112" s="912" t="s">
        <v>274</v>
      </c>
      <c r="L2112" s="912"/>
      <c r="M2112" s="912"/>
      <c r="N2112" s="912"/>
      <c r="O2112" s="892">
        <f t="shared" si="128"/>
        <v>0</v>
      </c>
      <c r="P2112" s="903">
        <f t="shared" si="129"/>
        <v>1</v>
      </c>
      <c r="Q2112" s="893">
        <f t="shared" si="130"/>
        <v>3</v>
      </c>
      <c r="R2112" s="894">
        <f t="shared" si="131"/>
        <v>0</v>
      </c>
    </row>
    <row r="2113" spans="1:18" s="904" customFormat="1">
      <c r="A2113" s="895"/>
      <c r="B2113" s="896"/>
      <c r="C2113" s="897"/>
      <c r="D2113" s="897"/>
      <c r="E2113" s="924" t="s">
        <v>276</v>
      </c>
      <c r="F2113" s="927"/>
      <c r="G2113" s="928"/>
      <c r="H2113" s="901"/>
      <c r="I2113" s="902"/>
      <c r="J2113" s="902"/>
      <c r="K2113" s="912" t="s">
        <v>274</v>
      </c>
      <c r="L2113" s="902"/>
      <c r="M2113" s="902"/>
      <c r="N2113" s="902"/>
      <c r="O2113" s="892">
        <f t="shared" si="128"/>
        <v>0</v>
      </c>
      <c r="P2113" s="903">
        <f t="shared" si="129"/>
        <v>1</v>
      </c>
      <c r="Q2113" s="893">
        <f t="shared" si="130"/>
        <v>2</v>
      </c>
      <c r="R2113" s="894">
        <f t="shared" si="131"/>
        <v>0</v>
      </c>
    </row>
    <row r="2114" spans="1:18">
      <c r="A2114" s="905"/>
      <c r="B2114" s="906"/>
      <c r="C2114" s="907">
        <v>740</v>
      </c>
      <c r="D2114" s="907" t="s">
        <v>12</v>
      </c>
      <c r="E2114" s="908" t="s">
        <v>4008</v>
      </c>
      <c r="F2114" s="909" t="s">
        <v>2674</v>
      </c>
      <c r="G2114" s="910"/>
      <c r="H2114" s="911">
        <v>2.65</v>
      </c>
      <c r="I2114" s="912"/>
      <c r="J2114" s="912"/>
      <c r="K2114" s="912">
        <f>VLOOKUP(E2114,ĐMNC!$A$7:$F$67,4,0)</f>
        <v>252714</v>
      </c>
      <c r="L2114" s="912">
        <f>H2114*K2114</f>
        <v>669692.1</v>
      </c>
      <c r="M2114" s="912"/>
      <c r="N2114" s="912"/>
      <c r="O2114" s="892">
        <f t="shared" si="128"/>
        <v>0</v>
      </c>
      <c r="P2114" s="903">
        <f t="shared" si="129"/>
        <v>1</v>
      </c>
      <c r="Q2114" s="893">
        <f t="shared" si="130"/>
        <v>1</v>
      </c>
      <c r="R2114" s="894">
        <f t="shared" si="131"/>
        <v>0</v>
      </c>
    </row>
    <row r="2115" spans="1:18" s="847" customFormat="1" ht="31.5">
      <c r="A2115" s="905"/>
      <c r="B2115" s="914" t="s">
        <v>4636</v>
      </c>
      <c r="C2115" s="915"/>
      <c r="D2115" s="915"/>
      <c r="E2115" s="916" t="s">
        <v>4637</v>
      </c>
      <c r="F2115" s="917" t="s">
        <v>249</v>
      </c>
      <c r="G2115" s="918"/>
      <c r="H2115" s="919"/>
      <c r="I2115" s="920"/>
      <c r="J2115" s="891">
        <f>SUM(J2116:J2120)</f>
        <v>8250</v>
      </c>
      <c r="K2115" s="891"/>
      <c r="L2115" s="891">
        <f>SUM(L2116:L2120)</f>
        <v>745506.3</v>
      </c>
      <c r="M2115" s="891"/>
      <c r="N2115" s="891">
        <f>SUM(N2116:N2120)</f>
        <v>0</v>
      </c>
      <c r="O2115" s="892">
        <f t="shared" si="128"/>
        <v>1</v>
      </c>
      <c r="P2115" s="903">
        <f t="shared" si="129"/>
        <v>0</v>
      </c>
      <c r="Q2115" s="893">
        <f t="shared" si="130"/>
        <v>0</v>
      </c>
      <c r="R2115" s="894">
        <f t="shared" si="131"/>
        <v>5</v>
      </c>
    </row>
    <row r="2116" spans="1:18" s="904" customFormat="1">
      <c r="A2116" s="895"/>
      <c r="B2116" s="896"/>
      <c r="C2116" s="897"/>
      <c r="D2116" s="897"/>
      <c r="E2116" s="924" t="s">
        <v>108</v>
      </c>
      <c r="F2116" s="899"/>
      <c r="G2116" s="900"/>
      <c r="H2116" s="901"/>
      <c r="I2116" s="902"/>
      <c r="J2116" s="902"/>
      <c r="K2116" s="912" t="s">
        <v>274</v>
      </c>
      <c r="L2116" s="902"/>
      <c r="M2116" s="902"/>
      <c r="N2116" s="902"/>
      <c r="O2116" s="892">
        <f t="shared" si="128"/>
        <v>0</v>
      </c>
      <c r="P2116" s="903">
        <f t="shared" si="129"/>
        <v>1</v>
      </c>
      <c r="Q2116" s="893">
        <f t="shared" si="130"/>
        <v>5</v>
      </c>
      <c r="R2116" s="894">
        <f t="shared" si="131"/>
        <v>0</v>
      </c>
    </row>
    <row r="2117" spans="1:18">
      <c r="A2117" s="905"/>
      <c r="B2117" s="906"/>
      <c r="C2117" s="907">
        <v>66</v>
      </c>
      <c r="D2117" s="907" t="s">
        <v>279</v>
      </c>
      <c r="E2117" s="925" t="s">
        <v>2682</v>
      </c>
      <c r="F2117" s="926" t="s">
        <v>45</v>
      </c>
      <c r="G2117" s="910"/>
      <c r="H2117" s="911">
        <v>0.04</v>
      </c>
      <c r="I2117" s="912">
        <f>VLOOKUP(E2117,[3]VLP!$B$7:$K$300,10,0)</f>
        <v>5000</v>
      </c>
      <c r="J2117" s="912">
        <f>I2117*H2117</f>
        <v>200</v>
      </c>
      <c r="K2117" s="912" t="s">
        <v>274</v>
      </c>
      <c r="L2117" s="912"/>
      <c r="M2117" s="912"/>
      <c r="N2117" s="912"/>
      <c r="O2117" s="892">
        <f t="shared" si="128"/>
        <v>0</v>
      </c>
      <c r="P2117" s="903">
        <f t="shared" si="129"/>
        <v>1</v>
      </c>
      <c r="Q2117" s="893">
        <f t="shared" si="130"/>
        <v>4</v>
      </c>
      <c r="R2117" s="894">
        <f t="shared" si="131"/>
        <v>0</v>
      </c>
    </row>
    <row r="2118" spans="1:18">
      <c r="A2118" s="905"/>
      <c r="B2118" s="906"/>
      <c r="C2118" s="907">
        <v>44</v>
      </c>
      <c r="D2118" s="907" t="s">
        <v>279</v>
      </c>
      <c r="E2118" s="925" t="s">
        <v>2681</v>
      </c>
      <c r="F2118" s="926" t="s">
        <v>45</v>
      </c>
      <c r="G2118" s="910"/>
      <c r="H2118" s="911">
        <v>0.35</v>
      </c>
      <c r="I2118" s="912">
        <f>VLOOKUP(E2118,[3]VLP!$B$7:$K$300,10,0)</f>
        <v>23000</v>
      </c>
      <c r="J2118" s="912">
        <f>I2118*H2118</f>
        <v>8049.9999999999991</v>
      </c>
      <c r="K2118" s="912" t="s">
        <v>274</v>
      </c>
      <c r="L2118" s="912"/>
      <c r="M2118" s="912"/>
      <c r="N2118" s="912"/>
      <c r="O2118" s="892">
        <f t="shared" si="128"/>
        <v>0</v>
      </c>
      <c r="P2118" s="903">
        <f t="shared" si="129"/>
        <v>1</v>
      </c>
      <c r="Q2118" s="893">
        <f t="shared" si="130"/>
        <v>3</v>
      </c>
      <c r="R2118" s="894">
        <f t="shared" si="131"/>
        <v>0</v>
      </c>
    </row>
    <row r="2119" spans="1:18" s="904" customFormat="1">
      <c r="A2119" s="895"/>
      <c r="B2119" s="896"/>
      <c r="C2119" s="897"/>
      <c r="D2119" s="897"/>
      <c r="E2119" s="924" t="s">
        <v>276</v>
      </c>
      <c r="F2119" s="927"/>
      <c r="G2119" s="928"/>
      <c r="H2119" s="901"/>
      <c r="I2119" s="902"/>
      <c r="J2119" s="902"/>
      <c r="K2119" s="912" t="s">
        <v>274</v>
      </c>
      <c r="L2119" s="902"/>
      <c r="M2119" s="902"/>
      <c r="N2119" s="902"/>
      <c r="O2119" s="892">
        <f t="shared" si="128"/>
        <v>0</v>
      </c>
      <c r="P2119" s="903">
        <f t="shared" si="129"/>
        <v>1</v>
      </c>
      <c r="Q2119" s="893">
        <f t="shared" si="130"/>
        <v>2</v>
      </c>
      <c r="R2119" s="894">
        <f t="shared" si="131"/>
        <v>0</v>
      </c>
    </row>
    <row r="2120" spans="1:18">
      <c r="A2120" s="905"/>
      <c r="B2120" s="906"/>
      <c r="C2120" s="907">
        <v>740</v>
      </c>
      <c r="D2120" s="907" t="s">
        <v>12</v>
      </c>
      <c r="E2120" s="908" t="s">
        <v>4008</v>
      </c>
      <c r="F2120" s="909" t="s">
        <v>2674</v>
      </c>
      <c r="G2120" s="910"/>
      <c r="H2120" s="911">
        <v>2.95</v>
      </c>
      <c r="I2120" s="912"/>
      <c r="J2120" s="912"/>
      <c r="K2120" s="912">
        <f>VLOOKUP(E2120,ĐMNC!$A$7:$F$67,4,0)</f>
        <v>252714</v>
      </c>
      <c r="L2120" s="912">
        <f>H2120*K2120</f>
        <v>745506.3</v>
      </c>
      <c r="M2120" s="912"/>
      <c r="N2120" s="912"/>
      <c r="O2120" s="892">
        <f t="shared" ref="O2120:O2183" si="132">IF(AND(B2120&lt;&gt;"",D2120=""),1,0)</f>
        <v>0</v>
      </c>
      <c r="P2120" s="903">
        <f t="shared" si="129"/>
        <v>1</v>
      </c>
      <c r="Q2120" s="893">
        <f t="shared" si="130"/>
        <v>1</v>
      </c>
      <c r="R2120" s="894">
        <f t="shared" si="131"/>
        <v>0</v>
      </c>
    </row>
    <row r="2121" spans="1:18" s="847" customFormat="1" ht="31.5">
      <c r="A2121" s="905"/>
      <c r="B2121" s="914" t="s">
        <v>4638</v>
      </c>
      <c r="C2121" s="915"/>
      <c r="D2121" s="915"/>
      <c r="E2121" s="916" t="s">
        <v>4639</v>
      </c>
      <c r="F2121" s="917" t="s">
        <v>249</v>
      </c>
      <c r="G2121" s="918"/>
      <c r="H2121" s="919"/>
      <c r="I2121" s="920"/>
      <c r="J2121" s="891">
        <f>SUM(J2122:J2126)</f>
        <v>8250</v>
      </c>
      <c r="K2121" s="891"/>
      <c r="L2121" s="891">
        <f>SUM(L2122:L2126)</f>
        <v>821320.5</v>
      </c>
      <c r="M2121" s="891"/>
      <c r="N2121" s="891">
        <f>SUM(N2122:N2126)</f>
        <v>0</v>
      </c>
      <c r="O2121" s="892">
        <f t="shared" si="132"/>
        <v>1</v>
      </c>
      <c r="P2121" s="903">
        <f t="shared" si="129"/>
        <v>0</v>
      </c>
      <c r="Q2121" s="893">
        <f t="shared" si="130"/>
        <v>0</v>
      </c>
      <c r="R2121" s="894">
        <f t="shared" si="131"/>
        <v>5</v>
      </c>
    </row>
    <row r="2122" spans="1:18" s="904" customFormat="1">
      <c r="A2122" s="895"/>
      <c r="B2122" s="896"/>
      <c r="C2122" s="897"/>
      <c r="D2122" s="897"/>
      <c r="E2122" s="924" t="s">
        <v>108</v>
      </c>
      <c r="F2122" s="899"/>
      <c r="G2122" s="900"/>
      <c r="H2122" s="901"/>
      <c r="I2122" s="902"/>
      <c r="J2122" s="902"/>
      <c r="K2122" s="912" t="s">
        <v>274</v>
      </c>
      <c r="L2122" s="902"/>
      <c r="M2122" s="902"/>
      <c r="N2122" s="902"/>
      <c r="O2122" s="892">
        <f t="shared" si="132"/>
        <v>0</v>
      </c>
      <c r="P2122" s="903">
        <f t="shared" si="129"/>
        <v>1</v>
      </c>
      <c r="Q2122" s="893">
        <f t="shared" si="130"/>
        <v>5</v>
      </c>
      <c r="R2122" s="894">
        <f t="shared" si="131"/>
        <v>0</v>
      </c>
    </row>
    <row r="2123" spans="1:18">
      <c r="A2123" s="905"/>
      <c r="B2123" s="906"/>
      <c r="C2123" s="907">
        <v>66</v>
      </c>
      <c r="D2123" s="907" t="s">
        <v>279</v>
      </c>
      <c r="E2123" s="925" t="s">
        <v>2682</v>
      </c>
      <c r="F2123" s="926" t="s">
        <v>45</v>
      </c>
      <c r="G2123" s="910"/>
      <c r="H2123" s="911">
        <v>0.04</v>
      </c>
      <c r="I2123" s="912">
        <f>VLOOKUP(E2123,[3]VLP!$B$7:$K$300,10,0)</f>
        <v>5000</v>
      </c>
      <c r="J2123" s="912">
        <f>I2123*H2123</f>
        <v>200</v>
      </c>
      <c r="K2123" s="912" t="s">
        <v>274</v>
      </c>
      <c r="L2123" s="912"/>
      <c r="M2123" s="912"/>
      <c r="N2123" s="912"/>
      <c r="O2123" s="892">
        <f t="shared" si="132"/>
        <v>0</v>
      </c>
      <c r="P2123" s="903">
        <f t="shared" si="129"/>
        <v>1</v>
      </c>
      <c r="Q2123" s="893">
        <f t="shared" si="130"/>
        <v>4</v>
      </c>
      <c r="R2123" s="894">
        <f t="shared" si="131"/>
        <v>0</v>
      </c>
    </row>
    <row r="2124" spans="1:18">
      <c r="A2124" s="905"/>
      <c r="B2124" s="906"/>
      <c r="C2124" s="907">
        <v>44</v>
      </c>
      <c r="D2124" s="907" t="s">
        <v>279</v>
      </c>
      <c r="E2124" s="925" t="s">
        <v>2681</v>
      </c>
      <c r="F2124" s="926" t="s">
        <v>45</v>
      </c>
      <c r="G2124" s="910"/>
      <c r="H2124" s="911">
        <v>0.35</v>
      </c>
      <c r="I2124" s="912">
        <f>VLOOKUP(E2124,[3]VLP!$B$7:$K$300,10,0)</f>
        <v>23000</v>
      </c>
      <c r="J2124" s="912">
        <f>I2124*H2124</f>
        <v>8049.9999999999991</v>
      </c>
      <c r="K2124" s="912" t="s">
        <v>274</v>
      </c>
      <c r="L2124" s="912"/>
      <c r="M2124" s="912"/>
      <c r="N2124" s="912"/>
      <c r="O2124" s="892">
        <f t="shared" si="132"/>
        <v>0</v>
      </c>
      <c r="P2124" s="903">
        <f t="shared" si="129"/>
        <v>1</v>
      </c>
      <c r="Q2124" s="893">
        <f t="shared" si="130"/>
        <v>3</v>
      </c>
      <c r="R2124" s="894">
        <f t="shared" si="131"/>
        <v>0</v>
      </c>
    </row>
    <row r="2125" spans="1:18" s="904" customFormat="1">
      <c r="A2125" s="895"/>
      <c r="B2125" s="896"/>
      <c r="C2125" s="897"/>
      <c r="D2125" s="897"/>
      <c r="E2125" s="924" t="s">
        <v>276</v>
      </c>
      <c r="F2125" s="927"/>
      <c r="G2125" s="928"/>
      <c r="H2125" s="901"/>
      <c r="I2125" s="902"/>
      <c r="J2125" s="902"/>
      <c r="K2125" s="912" t="s">
        <v>274</v>
      </c>
      <c r="L2125" s="902"/>
      <c r="M2125" s="902"/>
      <c r="N2125" s="902"/>
      <c r="O2125" s="892">
        <f t="shared" si="132"/>
        <v>0</v>
      </c>
      <c r="P2125" s="903">
        <f t="shared" si="129"/>
        <v>1</v>
      </c>
      <c r="Q2125" s="893">
        <f t="shared" si="130"/>
        <v>2</v>
      </c>
      <c r="R2125" s="894">
        <f t="shared" si="131"/>
        <v>0</v>
      </c>
    </row>
    <row r="2126" spans="1:18">
      <c r="A2126" s="905"/>
      <c r="B2126" s="906"/>
      <c r="C2126" s="907">
        <v>740</v>
      </c>
      <c r="D2126" s="907" t="s">
        <v>12</v>
      </c>
      <c r="E2126" s="908" t="s">
        <v>4008</v>
      </c>
      <c r="F2126" s="909" t="s">
        <v>2674</v>
      </c>
      <c r="G2126" s="910"/>
      <c r="H2126" s="911">
        <v>3.25</v>
      </c>
      <c r="I2126" s="912"/>
      <c r="J2126" s="912"/>
      <c r="K2126" s="912">
        <f>VLOOKUP(E2126,ĐMNC!$A$7:$F$67,4,0)</f>
        <v>252714</v>
      </c>
      <c r="L2126" s="912">
        <f>H2126*K2126</f>
        <v>821320.5</v>
      </c>
      <c r="M2126" s="912"/>
      <c r="N2126" s="912"/>
      <c r="O2126" s="892">
        <f t="shared" si="132"/>
        <v>0</v>
      </c>
      <c r="P2126" s="903">
        <f t="shared" si="129"/>
        <v>1</v>
      </c>
      <c r="Q2126" s="893">
        <f t="shared" si="130"/>
        <v>1</v>
      </c>
      <c r="R2126" s="894">
        <f t="shared" si="131"/>
        <v>0</v>
      </c>
    </row>
    <row r="2127" spans="1:18" s="847" customFormat="1" ht="31.5">
      <c r="A2127" s="905"/>
      <c r="B2127" s="914" t="s">
        <v>4640</v>
      </c>
      <c r="C2127" s="915"/>
      <c r="D2127" s="915"/>
      <c r="E2127" s="916" t="s">
        <v>4639</v>
      </c>
      <c r="F2127" s="917" t="s">
        <v>249</v>
      </c>
      <c r="G2127" s="918"/>
      <c r="H2127" s="919"/>
      <c r="I2127" s="920"/>
      <c r="J2127" s="891">
        <f>SUM(J2128:J2132)</f>
        <v>8250</v>
      </c>
      <c r="K2127" s="891"/>
      <c r="L2127" s="891">
        <f>SUM(L2128:L2132)</f>
        <v>904716.12</v>
      </c>
      <c r="M2127" s="891"/>
      <c r="N2127" s="891">
        <f>SUM(N2128:N2132)</f>
        <v>0</v>
      </c>
      <c r="O2127" s="892">
        <f t="shared" si="132"/>
        <v>1</v>
      </c>
      <c r="P2127" s="903">
        <f t="shared" si="129"/>
        <v>0</v>
      </c>
      <c r="Q2127" s="893">
        <f t="shared" si="130"/>
        <v>0</v>
      </c>
      <c r="R2127" s="894">
        <f t="shared" si="131"/>
        <v>5</v>
      </c>
    </row>
    <row r="2128" spans="1:18" s="904" customFormat="1">
      <c r="A2128" s="895"/>
      <c r="B2128" s="896"/>
      <c r="C2128" s="897"/>
      <c r="D2128" s="897"/>
      <c r="E2128" s="924" t="s">
        <v>108</v>
      </c>
      <c r="F2128" s="899"/>
      <c r="G2128" s="900"/>
      <c r="H2128" s="901"/>
      <c r="I2128" s="902"/>
      <c r="J2128" s="902"/>
      <c r="K2128" s="912" t="s">
        <v>274</v>
      </c>
      <c r="L2128" s="902"/>
      <c r="M2128" s="902"/>
      <c r="N2128" s="902"/>
      <c r="O2128" s="892">
        <f t="shared" si="132"/>
        <v>0</v>
      </c>
      <c r="P2128" s="903">
        <f t="shared" si="129"/>
        <v>1</v>
      </c>
      <c r="Q2128" s="893">
        <f t="shared" si="130"/>
        <v>5</v>
      </c>
      <c r="R2128" s="894">
        <f t="shared" si="131"/>
        <v>0</v>
      </c>
    </row>
    <row r="2129" spans="1:18">
      <c r="A2129" s="905"/>
      <c r="B2129" s="906"/>
      <c r="C2129" s="907">
        <v>66</v>
      </c>
      <c r="D2129" s="907" t="s">
        <v>279</v>
      </c>
      <c r="E2129" s="925" t="s">
        <v>2682</v>
      </c>
      <c r="F2129" s="926" t="s">
        <v>45</v>
      </c>
      <c r="G2129" s="910"/>
      <c r="H2129" s="911">
        <v>0.04</v>
      </c>
      <c r="I2129" s="912">
        <f>VLOOKUP(E2129,[3]VLP!$B$7:$K$300,10,0)</f>
        <v>5000</v>
      </c>
      <c r="J2129" s="912">
        <f>I2129*H2129</f>
        <v>200</v>
      </c>
      <c r="K2129" s="912" t="s">
        <v>274</v>
      </c>
      <c r="L2129" s="912"/>
      <c r="M2129" s="912"/>
      <c r="N2129" s="912"/>
      <c r="O2129" s="892">
        <f t="shared" si="132"/>
        <v>0</v>
      </c>
      <c r="P2129" s="903">
        <f t="shared" ref="P2129:P2192" si="133">IF(O2129=0,1,0)</f>
        <v>1</v>
      </c>
      <c r="Q2129" s="893">
        <f t="shared" ref="Q2129:Q2192" si="134">IF(P2129=0,0,P2129+Q2130)</f>
        <v>4</v>
      </c>
      <c r="R2129" s="894">
        <f t="shared" ref="R2129:R2192" si="135">IF(Q2129=0,Q2130,0)</f>
        <v>0</v>
      </c>
    </row>
    <row r="2130" spans="1:18">
      <c r="A2130" s="905"/>
      <c r="B2130" s="906"/>
      <c r="C2130" s="907">
        <v>44</v>
      </c>
      <c r="D2130" s="907" t="s">
        <v>279</v>
      </c>
      <c r="E2130" s="925" t="s">
        <v>2681</v>
      </c>
      <c r="F2130" s="926" t="s">
        <v>45</v>
      </c>
      <c r="G2130" s="910"/>
      <c r="H2130" s="911">
        <v>0.35</v>
      </c>
      <c r="I2130" s="912">
        <f>VLOOKUP(E2130,[3]VLP!$B$7:$K$300,10,0)</f>
        <v>23000</v>
      </c>
      <c r="J2130" s="912">
        <f>I2130*H2130</f>
        <v>8049.9999999999991</v>
      </c>
      <c r="K2130" s="912" t="s">
        <v>274</v>
      </c>
      <c r="L2130" s="912"/>
      <c r="M2130" s="912"/>
      <c r="N2130" s="912"/>
      <c r="O2130" s="892">
        <f t="shared" si="132"/>
        <v>0</v>
      </c>
      <c r="P2130" s="903">
        <f t="shared" si="133"/>
        <v>1</v>
      </c>
      <c r="Q2130" s="893">
        <f t="shared" si="134"/>
        <v>3</v>
      </c>
      <c r="R2130" s="894">
        <f t="shared" si="135"/>
        <v>0</v>
      </c>
    </row>
    <row r="2131" spans="1:18" s="904" customFormat="1">
      <c r="A2131" s="895"/>
      <c r="B2131" s="896"/>
      <c r="C2131" s="897"/>
      <c r="D2131" s="897"/>
      <c r="E2131" s="924" t="s">
        <v>276</v>
      </c>
      <c r="F2131" s="927"/>
      <c r="G2131" s="928"/>
      <c r="H2131" s="901"/>
      <c r="I2131" s="902"/>
      <c r="J2131" s="902"/>
      <c r="K2131" s="912" t="s">
        <v>274</v>
      </c>
      <c r="L2131" s="902"/>
      <c r="M2131" s="902"/>
      <c r="N2131" s="902"/>
      <c r="O2131" s="892">
        <f t="shared" si="132"/>
        <v>0</v>
      </c>
      <c r="P2131" s="903">
        <f t="shared" si="133"/>
        <v>1</v>
      </c>
      <c r="Q2131" s="893">
        <f t="shared" si="134"/>
        <v>2</v>
      </c>
      <c r="R2131" s="894">
        <f t="shared" si="135"/>
        <v>0</v>
      </c>
    </row>
    <row r="2132" spans="1:18">
      <c r="A2132" s="905"/>
      <c r="B2132" s="906"/>
      <c r="C2132" s="907">
        <v>740</v>
      </c>
      <c r="D2132" s="907" t="s">
        <v>12</v>
      </c>
      <c r="E2132" s="908" t="s">
        <v>4008</v>
      </c>
      <c r="F2132" s="909" t="s">
        <v>2674</v>
      </c>
      <c r="G2132" s="910"/>
      <c r="H2132" s="911">
        <v>3.58</v>
      </c>
      <c r="I2132" s="912"/>
      <c r="J2132" s="912"/>
      <c r="K2132" s="912">
        <f>VLOOKUP(E2132,ĐMNC!$A$7:$F$67,4,0)</f>
        <v>252714</v>
      </c>
      <c r="L2132" s="912">
        <f>H2132*K2132</f>
        <v>904716.12</v>
      </c>
      <c r="M2132" s="912"/>
      <c r="N2132" s="912"/>
      <c r="O2132" s="892">
        <f t="shared" si="132"/>
        <v>0</v>
      </c>
      <c r="P2132" s="903">
        <f t="shared" si="133"/>
        <v>1</v>
      </c>
      <c r="Q2132" s="893">
        <f t="shared" si="134"/>
        <v>1</v>
      </c>
      <c r="R2132" s="894">
        <f t="shared" si="135"/>
        <v>0</v>
      </c>
    </row>
    <row r="2133" spans="1:18" s="847" customFormat="1" ht="31.5">
      <c r="A2133" s="905" t="s">
        <v>4610</v>
      </c>
      <c r="B2133" s="914" t="s">
        <v>4641</v>
      </c>
      <c r="C2133" s="915"/>
      <c r="D2133" s="915"/>
      <c r="E2133" s="916" t="s">
        <v>4642</v>
      </c>
      <c r="F2133" s="917" t="s">
        <v>249</v>
      </c>
      <c r="G2133" s="918"/>
      <c r="H2133" s="919"/>
      <c r="I2133" s="920"/>
      <c r="J2133" s="891">
        <f>SUM(J2134:J2138)</f>
        <v>8250</v>
      </c>
      <c r="K2133" s="891"/>
      <c r="L2133" s="891">
        <f>SUM(L2134:L2138)</f>
        <v>1041181.68</v>
      </c>
      <c r="M2133" s="891"/>
      <c r="N2133" s="891">
        <f>SUM(N2134:N2138)</f>
        <v>0</v>
      </c>
      <c r="O2133" s="892">
        <f t="shared" si="132"/>
        <v>1</v>
      </c>
      <c r="P2133" s="903">
        <f t="shared" si="133"/>
        <v>0</v>
      </c>
      <c r="Q2133" s="893">
        <f t="shared" si="134"/>
        <v>0</v>
      </c>
      <c r="R2133" s="894">
        <f t="shared" si="135"/>
        <v>5</v>
      </c>
    </row>
    <row r="2134" spans="1:18" s="904" customFormat="1">
      <c r="A2134" s="895"/>
      <c r="B2134" s="896"/>
      <c r="C2134" s="897"/>
      <c r="D2134" s="897"/>
      <c r="E2134" s="924" t="s">
        <v>108</v>
      </c>
      <c r="F2134" s="899"/>
      <c r="G2134" s="900"/>
      <c r="H2134" s="901"/>
      <c r="I2134" s="902"/>
      <c r="J2134" s="902"/>
      <c r="K2134" s="912" t="s">
        <v>274</v>
      </c>
      <c r="L2134" s="902"/>
      <c r="M2134" s="902"/>
      <c r="N2134" s="902"/>
      <c r="O2134" s="892">
        <f t="shared" si="132"/>
        <v>0</v>
      </c>
      <c r="P2134" s="903">
        <f t="shared" si="133"/>
        <v>1</v>
      </c>
      <c r="Q2134" s="893">
        <f t="shared" si="134"/>
        <v>5</v>
      </c>
      <c r="R2134" s="894">
        <f t="shared" si="135"/>
        <v>0</v>
      </c>
    </row>
    <row r="2135" spans="1:18">
      <c r="A2135" s="905"/>
      <c r="B2135" s="906"/>
      <c r="C2135" s="907">
        <v>66</v>
      </c>
      <c r="D2135" s="907" t="s">
        <v>279</v>
      </c>
      <c r="E2135" s="925" t="s">
        <v>2682</v>
      </c>
      <c r="F2135" s="926" t="s">
        <v>45</v>
      </c>
      <c r="G2135" s="910"/>
      <c r="H2135" s="911">
        <v>0.04</v>
      </c>
      <c r="I2135" s="912">
        <f>VLOOKUP(E2135,[3]VLP!$B$7:$K$300,10,0)</f>
        <v>5000</v>
      </c>
      <c r="J2135" s="912">
        <f>I2135*H2135</f>
        <v>200</v>
      </c>
      <c r="K2135" s="912" t="s">
        <v>274</v>
      </c>
      <c r="L2135" s="912"/>
      <c r="M2135" s="912"/>
      <c r="N2135" s="912"/>
      <c r="O2135" s="892">
        <f t="shared" si="132"/>
        <v>0</v>
      </c>
      <c r="P2135" s="903">
        <f t="shared" si="133"/>
        <v>1</v>
      </c>
      <c r="Q2135" s="893">
        <f t="shared" si="134"/>
        <v>4</v>
      </c>
      <c r="R2135" s="894">
        <f t="shared" si="135"/>
        <v>0</v>
      </c>
    </row>
    <row r="2136" spans="1:18">
      <c r="A2136" s="905"/>
      <c r="B2136" s="906"/>
      <c r="C2136" s="907">
        <v>44</v>
      </c>
      <c r="D2136" s="907" t="s">
        <v>279</v>
      </c>
      <c r="E2136" s="925" t="s">
        <v>2681</v>
      </c>
      <c r="F2136" s="926" t="s">
        <v>45</v>
      </c>
      <c r="G2136" s="910"/>
      <c r="H2136" s="911">
        <v>0.35</v>
      </c>
      <c r="I2136" s="912">
        <f>VLOOKUP(E2136,[3]VLP!$B$7:$K$300,10,0)</f>
        <v>23000</v>
      </c>
      <c r="J2136" s="912">
        <f>I2136*H2136</f>
        <v>8049.9999999999991</v>
      </c>
      <c r="K2136" s="912" t="s">
        <v>274</v>
      </c>
      <c r="L2136" s="912"/>
      <c r="M2136" s="912"/>
      <c r="N2136" s="912"/>
      <c r="O2136" s="892">
        <f t="shared" si="132"/>
        <v>0</v>
      </c>
      <c r="P2136" s="903">
        <f t="shared" si="133"/>
        <v>1</v>
      </c>
      <c r="Q2136" s="893">
        <f t="shared" si="134"/>
        <v>3</v>
      </c>
      <c r="R2136" s="894">
        <f t="shared" si="135"/>
        <v>0</v>
      </c>
    </row>
    <row r="2137" spans="1:18" s="904" customFormat="1">
      <c r="A2137" s="895"/>
      <c r="B2137" s="896"/>
      <c r="C2137" s="897"/>
      <c r="D2137" s="897"/>
      <c r="E2137" s="924" t="s">
        <v>276</v>
      </c>
      <c r="F2137" s="927"/>
      <c r="G2137" s="928"/>
      <c r="H2137" s="901"/>
      <c r="I2137" s="902"/>
      <c r="J2137" s="902"/>
      <c r="K2137" s="912" t="s">
        <v>274</v>
      </c>
      <c r="L2137" s="902"/>
      <c r="M2137" s="902"/>
      <c r="N2137" s="902"/>
      <c r="O2137" s="892">
        <f t="shared" si="132"/>
        <v>0</v>
      </c>
      <c r="P2137" s="903">
        <f t="shared" si="133"/>
        <v>1</v>
      </c>
      <c r="Q2137" s="893">
        <f t="shared" si="134"/>
        <v>2</v>
      </c>
      <c r="R2137" s="894">
        <f t="shared" si="135"/>
        <v>0</v>
      </c>
    </row>
    <row r="2138" spans="1:18">
      <c r="A2138" s="905"/>
      <c r="B2138" s="906"/>
      <c r="C2138" s="907">
        <v>740</v>
      </c>
      <c r="D2138" s="907" t="s">
        <v>12</v>
      </c>
      <c r="E2138" s="908" t="s">
        <v>4008</v>
      </c>
      <c r="F2138" s="909" t="s">
        <v>2674</v>
      </c>
      <c r="G2138" s="910"/>
      <c r="H2138" s="911">
        <v>4.12</v>
      </c>
      <c r="I2138" s="912"/>
      <c r="J2138" s="912"/>
      <c r="K2138" s="912">
        <f>VLOOKUP(E2138,ĐMNC!$A$7:$F$67,4,0)</f>
        <v>252714</v>
      </c>
      <c r="L2138" s="912">
        <f>H2138*K2138</f>
        <v>1041181.68</v>
      </c>
      <c r="M2138" s="912"/>
      <c r="N2138" s="912"/>
      <c r="O2138" s="892">
        <f t="shared" si="132"/>
        <v>0</v>
      </c>
      <c r="P2138" s="903">
        <f t="shared" si="133"/>
        <v>1</v>
      </c>
      <c r="Q2138" s="893">
        <f t="shared" si="134"/>
        <v>1</v>
      </c>
      <c r="R2138" s="894">
        <f t="shared" si="135"/>
        <v>0</v>
      </c>
    </row>
    <row r="2139" spans="1:18" s="847" customFormat="1" ht="31.5">
      <c r="A2139" s="905"/>
      <c r="B2139" s="914" t="s">
        <v>4643</v>
      </c>
      <c r="C2139" s="915"/>
      <c r="D2139" s="915"/>
      <c r="E2139" s="916" t="s">
        <v>4644</v>
      </c>
      <c r="F2139" s="917" t="s">
        <v>249</v>
      </c>
      <c r="G2139" s="918"/>
      <c r="H2139" s="919"/>
      <c r="I2139" s="920"/>
      <c r="J2139" s="891">
        <f>SUM(J2140:J2144)</f>
        <v>8250</v>
      </c>
      <c r="K2139" s="891"/>
      <c r="L2139" s="891">
        <f>SUM(L2140:L2144)</f>
        <v>1197864.3600000001</v>
      </c>
      <c r="M2139" s="891"/>
      <c r="N2139" s="891">
        <f>SUM(N2140:N2144)</f>
        <v>0</v>
      </c>
      <c r="O2139" s="892">
        <f t="shared" si="132"/>
        <v>1</v>
      </c>
      <c r="P2139" s="903">
        <f t="shared" si="133"/>
        <v>0</v>
      </c>
      <c r="Q2139" s="893">
        <f t="shared" si="134"/>
        <v>0</v>
      </c>
      <c r="R2139" s="894">
        <f t="shared" si="135"/>
        <v>5</v>
      </c>
    </row>
    <row r="2140" spans="1:18" s="904" customFormat="1">
      <c r="A2140" s="895"/>
      <c r="B2140" s="896"/>
      <c r="C2140" s="897"/>
      <c r="D2140" s="897"/>
      <c r="E2140" s="924" t="s">
        <v>108</v>
      </c>
      <c r="F2140" s="899"/>
      <c r="G2140" s="900"/>
      <c r="H2140" s="901"/>
      <c r="I2140" s="902"/>
      <c r="J2140" s="902"/>
      <c r="K2140" s="912" t="s">
        <v>274</v>
      </c>
      <c r="L2140" s="902"/>
      <c r="M2140" s="902"/>
      <c r="N2140" s="902"/>
      <c r="O2140" s="892">
        <f t="shared" si="132"/>
        <v>0</v>
      </c>
      <c r="P2140" s="903">
        <f t="shared" si="133"/>
        <v>1</v>
      </c>
      <c r="Q2140" s="893">
        <f t="shared" si="134"/>
        <v>5</v>
      </c>
      <c r="R2140" s="894">
        <f t="shared" si="135"/>
        <v>0</v>
      </c>
    </row>
    <row r="2141" spans="1:18">
      <c r="A2141" s="905"/>
      <c r="B2141" s="906"/>
      <c r="C2141" s="907">
        <v>66</v>
      </c>
      <c r="D2141" s="907" t="s">
        <v>279</v>
      </c>
      <c r="E2141" s="925" t="s">
        <v>2682</v>
      </c>
      <c r="F2141" s="926" t="s">
        <v>45</v>
      </c>
      <c r="G2141" s="910"/>
      <c r="H2141" s="911">
        <v>0.04</v>
      </c>
      <c r="I2141" s="912">
        <f>VLOOKUP(E2141,[3]VLP!$B$7:$K$300,10,0)</f>
        <v>5000</v>
      </c>
      <c r="J2141" s="912">
        <f>I2141*H2141</f>
        <v>200</v>
      </c>
      <c r="K2141" s="912" t="s">
        <v>274</v>
      </c>
      <c r="L2141" s="912"/>
      <c r="M2141" s="912"/>
      <c r="N2141" s="912"/>
      <c r="O2141" s="892">
        <f t="shared" si="132"/>
        <v>0</v>
      </c>
      <c r="P2141" s="903">
        <f t="shared" si="133"/>
        <v>1</v>
      </c>
      <c r="Q2141" s="893">
        <f t="shared" si="134"/>
        <v>4</v>
      </c>
      <c r="R2141" s="894">
        <f t="shared" si="135"/>
        <v>0</v>
      </c>
    </row>
    <row r="2142" spans="1:18">
      <c r="A2142" s="905"/>
      <c r="B2142" s="906"/>
      <c r="C2142" s="907">
        <v>44</v>
      </c>
      <c r="D2142" s="907" t="s">
        <v>279</v>
      </c>
      <c r="E2142" s="925" t="s">
        <v>2681</v>
      </c>
      <c r="F2142" s="926" t="s">
        <v>45</v>
      </c>
      <c r="G2142" s="910"/>
      <c r="H2142" s="911">
        <v>0.35</v>
      </c>
      <c r="I2142" s="912">
        <f>VLOOKUP(E2142,[3]VLP!$B$7:$K$300,10,0)</f>
        <v>23000</v>
      </c>
      <c r="J2142" s="912">
        <f>I2142*H2142</f>
        <v>8049.9999999999991</v>
      </c>
      <c r="K2142" s="912" t="s">
        <v>274</v>
      </c>
      <c r="L2142" s="912"/>
      <c r="M2142" s="912"/>
      <c r="N2142" s="912"/>
      <c r="O2142" s="892">
        <f t="shared" si="132"/>
        <v>0</v>
      </c>
      <c r="P2142" s="903">
        <f t="shared" si="133"/>
        <v>1</v>
      </c>
      <c r="Q2142" s="893">
        <f t="shared" si="134"/>
        <v>3</v>
      </c>
      <c r="R2142" s="894">
        <f t="shared" si="135"/>
        <v>0</v>
      </c>
    </row>
    <row r="2143" spans="1:18" s="904" customFormat="1">
      <c r="A2143" s="895"/>
      <c r="B2143" s="896"/>
      <c r="C2143" s="897"/>
      <c r="D2143" s="897"/>
      <c r="E2143" s="924" t="s">
        <v>276</v>
      </c>
      <c r="F2143" s="927"/>
      <c r="G2143" s="928"/>
      <c r="H2143" s="901"/>
      <c r="I2143" s="902"/>
      <c r="J2143" s="902"/>
      <c r="K2143" s="912" t="s">
        <v>274</v>
      </c>
      <c r="L2143" s="902"/>
      <c r="M2143" s="902"/>
      <c r="N2143" s="902"/>
      <c r="O2143" s="892">
        <f t="shared" si="132"/>
        <v>0</v>
      </c>
      <c r="P2143" s="903">
        <f t="shared" si="133"/>
        <v>1</v>
      </c>
      <c r="Q2143" s="893">
        <f t="shared" si="134"/>
        <v>2</v>
      </c>
      <c r="R2143" s="894">
        <f t="shared" si="135"/>
        <v>0</v>
      </c>
    </row>
    <row r="2144" spans="1:18">
      <c r="A2144" s="905"/>
      <c r="B2144" s="906"/>
      <c r="C2144" s="907">
        <v>740</v>
      </c>
      <c r="D2144" s="907" t="s">
        <v>12</v>
      </c>
      <c r="E2144" s="908" t="s">
        <v>4008</v>
      </c>
      <c r="F2144" s="909" t="s">
        <v>2674</v>
      </c>
      <c r="G2144" s="910"/>
      <c r="H2144" s="950">
        <v>4.74</v>
      </c>
      <c r="I2144" s="951"/>
      <c r="J2144" s="951"/>
      <c r="K2144" s="912">
        <f>VLOOKUP(E2144,ĐMNC!$A$7:$F$67,4,0)</f>
        <v>252714</v>
      </c>
      <c r="L2144" s="912">
        <f>H2144*K2144</f>
        <v>1197864.3600000001</v>
      </c>
      <c r="M2144" s="912"/>
      <c r="N2144" s="912"/>
      <c r="O2144" s="892">
        <f t="shared" si="132"/>
        <v>0</v>
      </c>
      <c r="P2144" s="903">
        <f t="shared" si="133"/>
        <v>1</v>
      </c>
      <c r="Q2144" s="893">
        <f>IF(P2144=0,0,P2144+Q2146)</f>
        <v>1</v>
      </c>
      <c r="R2144" s="894">
        <f>IF(Q2144=0,Q2146,0)</f>
        <v>0</v>
      </c>
    </row>
    <row r="2145" spans="1:18">
      <c r="A2145" s="905"/>
      <c r="B2145" s="885" t="s">
        <v>4645</v>
      </c>
      <c r="C2145" s="949"/>
      <c r="D2145" s="949"/>
      <c r="E2145" s="921" t="s">
        <v>4646</v>
      </c>
      <c r="F2145" s="909"/>
      <c r="G2145" s="910"/>
      <c r="H2145" s="950"/>
      <c r="I2145" s="951"/>
      <c r="J2145" s="951"/>
      <c r="K2145" s="912"/>
      <c r="L2145" s="912"/>
      <c r="M2145" s="912"/>
      <c r="N2145" s="912"/>
      <c r="O2145" s="892"/>
      <c r="P2145" s="903"/>
      <c r="Q2145" s="893"/>
      <c r="R2145" s="894"/>
    </row>
    <row r="2146" spans="1:18" s="847" customFormat="1" ht="31.5">
      <c r="A2146" s="905" t="s">
        <v>4647</v>
      </c>
      <c r="B2146" s="914" t="s">
        <v>4648</v>
      </c>
      <c r="C2146" s="915"/>
      <c r="D2146" s="915"/>
      <c r="E2146" s="916" t="s">
        <v>4649</v>
      </c>
      <c r="F2146" s="917" t="s">
        <v>249</v>
      </c>
      <c r="G2146" s="918"/>
      <c r="H2146" s="919"/>
      <c r="I2146" s="920"/>
      <c r="J2146" s="891">
        <f>SUM(J2147:J2151)</f>
        <v>1200</v>
      </c>
      <c r="K2146" s="891"/>
      <c r="L2146" s="891">
        <f>SUM(L2147:L2151)</f>
        <v>96031.32</v>
      </c>
      <c r="M2146" s="891"/>
      <c r="N2146" s="891">
        <f>SUM(N2147:N2151)</f>
        <v>0</v>
      </c>
      <c r="O2146" s="892">
        <f t="shared" si="132"/>
        <v>1</v>
      </c>
      <c r="P2146" s="903">
        <f t="shared" si="133"/>
        <v>0</v>
      </c>
      <c r="Q2146" s="893">
        <f t="shared" si="134"/>
        <v>0</v>
      </c>
      <c r="R2146" s="894">
        <f t="shared" si="135"/>
        <v>5</v>
      </c>
    </row>
    <row r="2147" spans="1:18" s="904" customFormat="1">
      <c r="A2147" s="895"/>
      <c r="B2147" s="922"/>
      <c r="C2147" s="897"/>
      <c r="D2147" s="897"/>
      <c r="E2147" s="924" t="s">
        <v>108</v>
      </c>
      <c r="F2147" s="899"/>
      <c r="G2147" s="900"/>
      <c r="H2147" s="901"/>
      <c r="I2147" s="902"/>
      <c r="J2147" s="902"/>
      <c r="K2147" s="912" t="s">
        <v>274</v>
      </c>
      <c r="L2147" s="902"/>
      <c r="M2147" s="902"/>
      <c r="N2147" s="902"/>
      <c r="O2147" s="892">
        <f t="shared" si="132"/>
        <v>0</v>
      </c>
      <c r="P2147" s="903">
        <f t="shared" si="133"/>
        <v>1</v>
      </c>
      <c r="Q2147" s="893">
        <f t="shared" si="134"/>
        <v>5</v>
      </c>
      <c r="R2147" s="894">
        <f t="shared" si="135"/>
        <v>0</v>
      </c>
    </row>
    <row r="2148" spans="1:18">
      <c r="A2148" s="905"/>
      <c r="B2148" s="906"/>
      <c r="C2148" s="907">
        <v>66</v>
      </c>
      <c r="D2148" s="907" t="s">
        <v>279</v>
      </c>
      <c r="E2148" s="925" t="s">
        <v>2682</v>
      </c>
      <c r="F2148" s="926" t="s">
        <v>45</v>
      </c>
      <c r="G2148" s="910"/>
      <c r="H2148" s="911">
        <v>0.01</v>
      </c>
      <c r="I2148" s="912">
        <f>VLOOKUP(E2148,[3]VLP!$B$7:$K$300,10,0)</f>
        <v>5000</v>
      </c>
      <c r="J2148" s="912">
        <f>I2148*H2148</f>
        <v>50</v>
      </c>
      <c r="K2148" s="912" t="s">
        <v>274</v>
      </c>
      <c r="L2148" s="912"/>
      <c r="M2148" s="912"/>
      <c r="N2148" s="912"/>
      <c r="O2148" s="892">
        <f t="shared" si="132"/>
        <v>0</v>
      </c>
      <c r="P2148" s="903">
        <f t="shared" si="133"/>
        <v>1</v>
      </c>
      <c r="Q2148" s="893">
        <f t="shared" si="134"/>
        <v>4</v>
      </c>
      <c r="R2148" s="894">
        <f t="shared" si="135"/>
        <v>0</v>
      </c>
    </row>
    <row r="2149" spans="1:18">
      <c r="A2149" s="905"/>
      <c r="B2149" s="906"/>
      <c r="C2149" s="907">
        <v>44</v>
      </c>
      <c r="D2149" s="907" t="s">
        <v>279</v>
      </c>
      <c r="E2149" s="925" t="s">
        <v>2681</v>
      </c>
      <c r="F2149" s="926" t="s">
        <v>45</v>
      </c>
      <c r="G2149" s="910"/>
      <c r="H2149" s="911">
        <v>0.05</v>
      </c>
      <c r="I2149" s="912">
        <f>VLOOKUP(E2149,[3]VLP!$B$7:$K$300,10,0)</f>
        <v>23000</v>
      </c>
      <c r="J2149" s="912">
        <f>I2149*H2149</f>
        <v>1150</v>
      </c>
      <c r="K2149" s="912" t="s">
        <v>274</v>
      </c>
      <c r="L2149" s="912"/>
      <c r="M2149" s="912"/>
      <c r="N2149" s="912"/>
      <c r="O2149" s="892">
        <f t="shared" si="132"/>
        <v>0</v>
      </c>
      <c r="P2149" s="903">
        <f t="shared" si="133"/>
        <v>1</v>
      </c>
      <c r="Q2149" s="893">
        <f t="shared" si="134"/>
        <v>3</v>
      </c>
      <c r="R2149" s="894">
        <f t="shared" si="135"/>
        <v>0</v>
      </c>
    </row>
    <row r="2150" spans="1:18" s="904" customFormat="1">
      <c r="A2150" s="895"/>
      <c r="B2150" s="896"/>
      <c r="C2150" s="897"/>
      <c r="D2150" s="897"/>
      <c r="E2150" s="924" t="s">
        <v>276</v>
      </c>
      <c r="F2150" s="927"/>
      <c r="G2150" s="928"/>
      <c r="H2150" s="901"/>
      <c r="I2150" s="902"/>
      <c r="J2150" s="902"/>
      <c r="K2150" s="912" t="s">
        <v>274</v>
      </c>
      <c r="L2150" s="902"/>
      <c r="M2150" s="902"/>
      <c r="N2150" s="902"/>
      <c r="O2150" s="892">
        <f t="shared" si="132"/>
        <v>0</v>
      </c>
      <c r="P2150" s="903">
        <f t="shared" si="133"/>
        <v>1</v>
      </c>
      <c r="Q2150" s="893">
        <f t="shared" si="134"/>
        <v>2</v>
      </c>
      <c r="R2150" s="894">
        <f t="shared" si="135"/>
        <v>0</v>
      </c>
    </row>
    <row r="2151" spans="1:18">
      <c r="A2151" s="905"/>
      <c r="B2151" s="906"/>
      <c r="C2151" s="907">
        <v>740</v>
      </c>
      <c r="D2151" s="907" t="s">
        <v>12</v>
      </c>
      <c r="E2151" s="908" t="s">
        <v>4008</v>
      </c>
      <c r="F2151" s="909" t="s">
        <v>2674</v>
      </c>
      <c r="G2151" s="910"/>
      <c r="H2151" s="911">
        <v>0.38</v>
      </c>
      <c r="I2151" s="912"/>
      <c r="J2151" s="912"/>
      <c r="K2151" s="912">
        <f>VLOOKUP(E2151,ĐMNC!$A$7:$F$67,4,0)</f>
        <v>252714</v>
      </c>
      <c r="L2151" s="912">
        <f>H2151*K2151</f>
        <v>96031.32</v>
      </c>
      <c r="M2151" s="912"/>
      <c r="N2151" s="912"/>
      <c r="O2151" s="892">
        <f t="shared" si="132"/>
        <v>0</v>
      </c>
      <c r="P2151" s="903">
        <f t="shared" si="133"/>
        <v>1</v>
      </c>
      <c r="Q2151" s="893">
        <f t="shared" si="134"/>
        <v>1</v>
      </c>
      <c r="R2151" s="894">
        <f t="shared" si="135"/>
        <v>0</v>
      </c>
    </row>
    <row r="2152" spans="1:18" s="847" customFormat="1" ht="31.5">
      <c r="A2152" s="905"/>
      <c r="B2152" s="914" t="s">
        <v>4650</v>
      </c>
      <c r="C2152" s="915"/>
      <c r="D2152" s="915"/>
      <c r="E2152" s="916" t="s">
        <v>4651</v>
      </c>
      <c r="F2152" s="917" t="s">
        <v>249</v>
      </c>
      <c r="G2152" s="918"/>
      <c r="H2152" s="919"/>
      <c r="I2152" s="920"/>
      <c r="J2152" s="891">
        <f>SUM(J2153:J2157)</f>
        <v>1200</v>
      </c>
      <c r="K2152" s="891"/>
      <c r="L2152" s="891">
        <f>SUM(L2153:L2157)</f>
        <v>121302.72</v>
      </c>
      <c r="M2152" s="891"/>
      <c r="N2152" s="891">
        <f>SUM(N2153:N2157)</f>
        <v>0</v>
      </c>
      <c r="O2152" s="892">
        <f t="shared" si="132"/>
        <v>1</v>
      </c>
      <c r="P2152" s="903">
        <f t="shared" si="133"/>
        <v>0</v>
      </c>
      <c r="Q2152" s="893">
        <f t="shared" si="134"/>
        <v>0</v>
      </c>
      <c r="R2152" s="894">
        <f t="shared" si="135"/>
        <v>5</v>
      </c>
    </row>
    <row r="2153" spans="1:18" s="904" customFormat="1">
      <c r="A2153" s="895"/>
      <c r="B2153" s="896"/>
      <c r="C2153" s="897"/>
      <c r="D2153" s="897"/>
      <c r="E2153" s="924" t="s">
        <v>108</v>
      </c>
      <c r="F2153" s="899"/>
      <c r="G2153" s="900"/>
      <c r="H2153" s="901"/>
      <c r="I2153" s="902"/>
      <c r="J2153" s="902"/>
      <c r="K2153" s="912" t="s">
        <v>274</v>
      </c>
      <c r="L2153" s="902"/>
      <c r="M2153" s="902"/>
      <c r="N2153" s="902"/>
      <c r="O2153" s="892">
        <f t="shared" si="132"/>
        <v>0</v>
      </c>
      <c r="P2153" s="903">
        <f t="shared" si="133"/>
        <v>1</v>
      </c>
      <c r="Q2153" s="893">
        <f t="shared" si="134"/>
        <v>5</v>
      </c>
      <c r="R2153" s="894">
        <f t="shared" si="135"/>
        <v>0</v>
      </c>
    </row>
    <row r="2154" spans="1:18">
      <c r="A2154" s="905"/>
      <c r="B2154" s="906"/>
      <c r="C2154" s="907">
        <v>66</v>
      </c>
      <c r="D2154" s="907" t="s">
        <v>279</v>
      </c>
      <c r="E2154" s="925" t="s">
        <v>2682</v>
      </c>
      <c r="F2154" s="926" t="s">
        <v>45</v>
      </c>
      <c r="G2154" s="910"/>
      <c r="H2154" s="911">
        <v>0.01</v>
      </c>
      <c r="I2154" s="912">
        <f>VLOOKUP(E2154,[3]VLP!$B$7:$K$300,10,0)</f>
        <v>5000</v>
      </c>
      <c r="J2154" s="912">
        <f>I2154*H2154</f>
        <v>50</v>
      </c>
      <c r="K2154" s="912" t="s">
        <v>274</v>
      </c>
      <c r="L2154" s="912"/>
      <c r="M2154" s="912"/>
      <c r="N2154" s="912"/>
      <c r="O2154" s="892">
        <f t="shared" si="132"/>
        <v>0</v>
      </c>
      <c r="P2154" s="903">
        <f t="shared" si="133"/>
        <v>1</v>
      </c>
      <c r="Q2154" s="893">
        <f t="shared" si="134"/>
        <v>4</v>
      </c>
      <c r="R2154" s="894">
        <f t="shared" si="135"/>
        <v>0</v>
      </c>
    </row>
    <row r="2155" spans="1:18">
      <c r="A2155" s="905"/>
      <c r="B2155" s="906"/>
      <c r="C2155" s="907">
        <v>44</v>
      </c>
      <c r="D2155" s="907" t="s">
        <v>279</v>
      </c>
      <c r="E2155" s="925" t="s">
        <v>2681</v>
      </c>
      <c r="F2155" s="926" t="s">
        <v>45</v>
      </c>
      <c r="G2155" s="910"/>
      <c r="H2155" s="911">
        <v>0.05</v>
      </c>
      <c r="I2155" s="912">
        <f>VLOOKUP(E2155,[3]VLP!$B$7:$K$300,10,0)</f>
        <v>23000</v>
      </c>
      <c r="J2155" s="912">
        <f>I2155*H2155</f>
        <v>1150</v>
      </c>
      <c r="K2155" s="912" t="s">
        <v>274</v>
      </c>
      <c r="L2155" s="912"/>
      <c r="M2155" s="912"/>
      <c r="N2155" s="912"/>
      <c r="O2155" s="892">
        <f t="shared" si="132"/>
        <v>0</v>
      </c>
      <c r="P2155" s="903">
        <f t="shared" si="133"/>
        <v>1</v>
      </c>
      <c r="Q2155" s="893">
        <f t="shared" si="134"/>
        <v>3</v>
      </c>
      <c r="R2155" s="894">
        <f t="shared" si="135"/>
        <v>0</v>
      </c>
    </row>
    <row r="2156" spans="1:18" s="904" customFormat="1">
      <c r="A2156" s="895"/>
      <c r="B2156" s="896"/>
      <c r="C2156" s="897"/>
      <c r="D2156" s="897"/>
      <c r="E2156" s="924" t="s">
        <v>276</v>
      </c>
      <c r="F2156" s="927"/>
      <c r="G2156" s="928"/>
      <c r="H2156" s="901"/>
      <c r="I2156" s="902"/>
      <c r="J2156" s="902"/>
      <c r="K2156" s="912" t="s">
        <v>274</v>
      </c>
      <c r="L2156" s="902"/>
      <c r="M2156" s="902"/>
      <c r="N2156" s="902"/>
      <c r="O2156" s="892">
        <f t="shared" si="132"/>
        <v>0</v>
      </c>
      <c r="P2156" s="903">
        <f t="shared" si="133"/>
        <v>1</v>
      </c>
      <c r="Q2156" s="893">
        <f t="shared" si="134"/>
        <v>2</v>
      </c>
      <c r="R2156" s="894">
        <f t="shared" si="135"/>
        <v>0</v>
      </c>
    </row>
    <row r="2157" spans="1:18">
      <c r="A2157" s="905"/>
      <c r="B2157" s="906"/>
      <c r="C2157" s="907">
        <v>740</v>
      </c>
      <c r="D2157" s="907" t="s">
        <v>12</v>
      </c>
      <c r="E2157" s="908" t="s">
        <v>4008</v>
      </c>
      <c r="F2157" s="909" t="s">
        <v>2674</v>
      </c>
      <c r="G2157" s="910"/>
      <c r="H2157" s="911">
        <v>0.48</v>
      </c>
      <c r="I2157" s="912"/>
      <c r="J2157" s="912"/>
      <c r="K2157" s="912">
        <f>VLOOKUP(E2157,ĐMNC!$A$7:$F$67,4,0)</f>
        <v>252714</v>
      </c>
      <c r="L2157" s="912">
        <f>H2157*K2157</f>
        <v>121302.72</v>
      </c>
      <c r="M2157" s="912"/>
      <c r="N2157" s="912"/>
      <c r="O2157" s="892">
        <f t="shared" si="132"/>
        <v>0</v>
      </c>
      <c r="P2157" s="903">
        <f t="shared" si="133"/>
        <v>1</v>
      </c>
      <c r="Q2157" s="893">
        <f t="shared" si="134"/>
        <v>1</v>
      </c>
      <c r="R2157" s="894">
        <f t="shared" si="135"/>
        <v>0</v>
      </c>
    </row>
    <row r="2158" spans="1:18" s="847" customFormat="1" ht="31.5">
      <c r="A2158" s="905"/>
      <c r="B2158" s="914" t="s">
        <v>4652</v>
      </c>
      <c r="C2158" s="915"/>
      <c r="D2158" s="915"/>
      <c r="E2158" s="916" t="s">
        <v>4653</v>
      </c>
      <c r="F2158" s="917" t="s">
        <v>249</v>
      </c>
      <c r="G2158" s="918"/>
      <c r="H2158" s="919"/>
      <c r="I2158" s="920"/>
      <c r="J2158" s="891">
        <f>SUM(J2159:J2163)</f>
        <v>1200</v>
      </c>
      <c r="K2158" s="891"/>
      <c r="L2158" s="891">
        <f>SUM(L2159:L2163)</f>
        <v>149101.25999999998</v>
      </c>
      <c r="M2158" s="891"/>
      <c r="N2158" s="891">
        <f>SUM(N2159:N2163)</f>
        <v>0</v>
      </c>
      <c r="O2158" s="892">
        <f t="shared" si="132"/>
        <v>1</v>
      </c>
      <c r="P2158" s="903">
        <f t="shared" si="133"/>
        <v>0</v>
      </c>
      <c r="Q2158" s="893">
        <f t="shared" si="134"/>
        <v>0</v>
      </c>
      <c r="R2158" s="894">
        <f t="shared" si="135"/>
        <v>5</v>
      </c>
    </row>
    <row r="2159" spans="1:18" s="904" customFormat="1">
      <c r="A2159" s="895"/>
      <c r="B2159" s="896"/>
      <c r="C2159" s="897"/>
      <c r="D2159" s="897"/>
      <c r="E2159" s="924" t="s">
        <v>108</v>
      </c>
      <c r="F2159" s="899"/>
      <c r="G2159" s="900"/>
      <c r="H2159" s="901"/>
      <c r="I2159" s="902"/>
      <c r="J2159" s="902"/>
      <c r="K2159" s="912" t="s">
        <v>274</v>
      </c>
      <c r="L2159" s="902"/>
      <c r="M2159" s="902"/>
      <c r="N2159" s="902"/>
      <c r="O2159" s="892">
        <f t="shared" si="132"/>
        <v>0</v>
      </c>
      <c r="P2159" s="903">
        <f t="shared" si="133"/>
        <v>1</v>
      </c>
      <c r="Q2159" s="893">
        <f t="shared" si="134"/>
        <v>5</v>
      </c>
      <c r="R2159" s="894">
        <f t="shared" si="135"/>
        <v>0</v>
      </c>
    </row>
    <row r="2160" spans="1:18">
      <c r="A2160" s="905"/>
      <c r="B2160" s="906"/>
      <c r="C2160" s="907">
        <v>66</v>
      </c>
      <c r="D2160" s="907" t="s">
        <v>279</v>
      </c>
      <c r="E2160" s="925" t="s">
        <v>2682</v>
      </c>
      <c r="F2160" s="926" t="s">
        <v>45</v>
      </c>
      <c r="G2160" s="910"/>
      <c r="H2160" s="911">
        <v>0.01</v>
      </c>
      <c r="I2160" s="912">
        <f>VLOOKUP(E2160,[3]VLP!$B$7:$K$300,10,0)</f>
        <v>5000</v>
      </c>
      <c r="J2160" s="912">
        <f>I2160*H2160</f>
        <v>50</v>
      </c>
      <c r="K2160" s="912" t="s">
        <v>274</v>
      </c>
      <c r="L2160" s="912"/>
      <c r="M2160" s="912"/>
      <c r="N2160" s="912"/>
      <c r="O2160" s="892">
        <f t="shared" si="132"/>
        <v>0</v>
      </c>
      <c r="P2160" s="903">
        <f t="shared" si="133"/>
        <v>1</v>
      </c>
      <c r="Q2160" s="893">
        <f t="shared" si="134"/>
        <v>4</v>
      </c>
      <c r="R2160" s="894">
        <f t="shared" si="135"/>
        <v>0</v>
      </c>
    </row>
    <row r="2161" spans="1:18">
      <c r="A2161" s="905"/>
      <c r="B2161" s="906"/>
      <c r="C2161" s="907">
        <v>44</v>
      </c>
      <c r="D2161" s="907" t="s">
        <v>279</v>
      </c>
      <c r="E2161" s="925" t="s">
        <v>2681</v>
      </c>
      <c r="F2161" s="926" t="s">
        <v>45</v>
      </c>
      <c r="G2161" s="910"/>
      <c r="H2161" s="911">
        <v>0.05</v>
      </c>
      <c r="I2161" s="912">
        <f>VLOOKUP(E2161,[3]VLP!$B$7:$K$300,10,0)</f>
        <v>23000</v>
      </c>
      <c r="J2161" s="912">
        <f>I2161*H2161</f>
        <v>1150</v>
      </c>
      <c r="K2161" s="912" t="s">
        <v>274</v>
      </c>
      <c r="L2161" s="912"/>
      <c r="M2161" s="912"/>
      <c r="N2161" s="912"/>
      <c r="O2161" s="892">
        <f t="shared" si="132"/>
        <v>0</v>
      </c>
      <c r="P2161" s="903">
        <f t="shared" si="133"/>
        <v>1</v>
      </c>
      <c r="Q2161" s="893">
        <f t="shared" si="134"/>
        <v>3</v>
      </c>
      <c r="R2161" s="894">
        <f t="shared" si="135"/>
        <v>0</v>
      </c>
    </row>
    <row r="2162" spans="1:18" s="904" customFormat="1">
      <c r="A2162" s="895"/>
      <c r="B2162" s="896"/>
      <c r="C2162" s="897"/>
      <c r="D2162" s="897"/>
      <c r="E2162" s="924" t="s">
        <v>276</v>
      </c>
      <c r="F2162" s="927"/>
      <c r="G2162" s="928"/>
      <c r="H2162" s="901"/>
      <c r="I2162" s="902"/>
      <c r="J2162" s="902"/>
      <c r="K2162" s="912" t="s">
        <v>274</v>
      </c>
      <c r="L2162" s="902"/>
      <c r="M2162" s="902"/>
      <c r="N2162" s="902"/>
      <c r="O2162" s="892">
        <f t="shared" si="132"/>
        <v>0</v>
      </c>
      <c r="P2162" s="903">
        <f t="shared" si="133"/>
        <v>1</v>
      </c>
      <c r="Q2162" s="893">
        <f t="shared" si="134"/>
        <v>2</v>
      </c>
      <c r="R2162" s="894">
        <f t="shared" si="135"/>
        <v>0</v>
      </c>
    </row>
    <row r="2163" spans="1:18">
      <c r="A2163" s="905"/>
      <c r="B2163" s="906"/>
      <c r="C2163" s="907">
        <v>740</v>
      </c>
      <c r="D2163" s="907" t="s">
        <v>12</v>
      </c>
      <c r="E2163" s="908" t="s">
        <v>4008</v>
      </c>
      <c r="F2163" s="909" t="s">
        <v>2674</v>
      </c>
      <c r="G2163" s="910"/>
      <c r="H2163" s="911">
        <v>0.59</v>
      </c>
      <c r="I2163" s="912"/>
      <c r="J2163" s="912"/>
      <c r="K2163" s="912">
        <f>VLOOKUP(E2163,ĐMNC!$A$7:$F$67,4,0)</f>
        <v>252714</v>
      </c>
      <c r="L2163" s="912">
        <f>H2163*K2163</f>
        <v>149101.25999999998</v>
      </c>
      <c r="M2163" s="912"/>
      <c r="N2163" s="912"/>
      <c r="O2163" s="892">
        <f t="shared" si="132"/>
        <v>0</v>
      </c>
      <c r="P2163" s="903">
        <f t="shared" si="133"/>
        <v>1</v>
      </c>
      <c r="Q2163" s="893">
        <f t="shared" si="134"/>
        <v>1</v>
      </c>
      <c r="R2163" s="894">
        <f t="shared" si="135"/>
        <v>0</v>
      </c>
    </row>
    <row r="2164" spans="1:18" s="847" customFormat="1" ht="31.5">
      <c r="A2164" s="905"/>
      <c r="B2164" s="914" t="s">
        <v>4654</v>
      </c>
      <c r="C2164" s="915"/>
      <c r="D2164" s="915"/>
      <c r="E2164" s="916" t="s">
        <v>4655</v>
      </c>
      <c r="F2164" s="917" t="s">
        <v>249</v>
      </c>
      <c r="G2164" s="918"/>
      <c r="H2164" s="919"/>
      <c r="I2164" s="920"/>
      <c r="J2164" s="891">
        <f>SUM(J2165:J2169)</f>
        <v>1200</v>
      </c>
      <c r="K2164" s="891"/>
      <c r="L2164" s="891">
        <f>SUM(L2165:L2169)</f>
        <v>174372.65999999997</v>
      </c>
      <c r="M2164" s="891"/>
      <c r="N2164" s="891">
        <f>SUM(N2165:N2169)</f>
        <v>0</v>
      </c>
      <c r="O2164" s="892">
        <f t="shared" si="132"/>
        <v>1</v>
      </c>
      <c r="P2164" s="903">
        <f t="shared" si="133"/>
        <v>0</v>
      </c>
      <c r="Q2164" s="893">
        <f t="shared" si="134"/>
        <v>0</v>
      </c>
      <c r="R2164" s="894">
        <f t="shared" si="135"/>
        <v>5</v>
      </c>
    </row>
    <row r="2165" spans="1:18" s="904" customFormat="1">
      <c r="A2165" s="895"/>
      <c r="B2165" s="896"/>
      <c r="C2165" s="897"/>
      <c r="D2165" s="897"/>
      <c r="E2165" s="924" t="s">
        <v>108</v>
      </c>
      <c r="F2165" s="899"/>
      <c r="G2165" s="900"/>
      <c r="H2165" s="901"/>
      <c r="I2165" s="902"/>
      <c r="J2165" s="902"/>
      <c r="K2165" s="912" t="s">
        <v>274</v>
      </c>
      <c r="L2165" s="902"/>
      <c r="M2165" s="902"/>
      <c r="N2165" s="902"/>
      <c r="O2165" s="892">
        <f t="shared" si="132"/>
        <v>0</v>
      </c>
      <c r="P2165" s="903">
        <f t="shared" si="133"/>
        <v>1</v>
      </c>
      <c r="Q2165" s="893">
        <f t="shared" si="134"/>
        <v>5</v>
      </c>
      <c r="R2165" s="894">
        <f t="shared" si="135"/>
        <v>0</v>
      </c>
    </row>
    <row r="2166" spans="1:18">
      <c r="A2166" s="905"/>
      <c r="B2166" s="906"/>
      <c r="C2166" s="907">
        <v>66</v>
      </c>
      <c r="D2166" s="907" t="s">
        <v>279</v>
      </c>
      <c r="E2166" s="925" t="s">
        <v>2682</v>
      </c>
      <c r="F2166" s="926" t="s">
        <v>45</v>
      </c>
      <c r="G2166" s="910"/>
      <c r="H2166" s="911">
        <v>0.01</v>
      </c>
      <c r="I2166" s="912">
        <f>VLOOKUP(E2166,[3]VLP!$B$7:$K$300,10,0)</f>
        <v>5000</v>
      </c>
      <c r="J2166" s="912">
        <f>I2166*H2166</f>
        <v>50</v>
      </c>
      <c r="K2166" s="912" t="s">
        <v>274</v>
      </c>
      <c r="L2166" s="912"/>
      <c r="M2166" s="912"/>
      <c r="N2166" s="912"/>
      <c r="O2166" s="892">
        <f t="shared" si="132"/>
        <v>0</v>
      </c>
      <c r="P2166" s="903">
        <f t="shared" si="133"/>
        <v>1</v>
      </c>
      <c r="Q2166" s="893">
        <f t="shared" si="134"/>
        <v>4</v>
      </c>
      <c r="R2166" s="894">
        <f t="shared" si="135"/>
        <v>0</v>
      </c>
    </row>
    <row r="2167" spans="1:18">
      <c r="A2167" s="905"/>
      <c r="B2167" s="906"/>
      <c r="C2167" s="907">
        <v>44</v>
      </c>
      <c r="D2167" s="907" t="s">
        <v>279</v>
      </c>
      <c r="E2167" s="925" t="s">
        <v>2681</v>
      </c>
      <c r="F2167" s="926" t="s">
        <v>45</v>
      </c>
      <c r="G2167" s="910"/>
      <c r="H2167" s="911">
        <v>0.05</v>
      </c>
      <c r="I2167" s="912">
        <f>VLOOKUP(E2167,[3]VLP!$B$7:$K$300,10,0)</f>
        <v>23000</v>
      </c>
      <c r="J2167" s="912">
        <f>I2167*H2167</f>
        <v>1150</v>
      </c>
      <c r="K2167" s="912" t="s">
        <v>274</v>
      </c>
      <c r="L2167" s="912"/>
      <c r="M2167" s="912"/>
      <c r="N2167" s="912"/>
      <c r="O2167" s="892">
        <f t="shared" si="132"/>
        <v>0</v>
      </c>
      <c r="P2167" s="903">
        <f t="shared" si="133"/>
        <v>1</v>
      </c>
      <c r="Q2167" s="893">
        <f t="shared" si="134"/>
        <v>3</v>
      </c>
      <c r="R2167" s="894">
        <f t="shared" si="135"/>
        <v>0</v>
      </c>
    </row>
    <row r="2168" spans="1:18" s="904" customFormat="1">
      <c r="A2168" s="895"/>
      <c r="B2168" s="896"/>
      <c r="C2168" s="897"/>
      <c r="D2168" s="897"/>
      <c r="E2168" s="924" t="s">
        <v>276</v>
      </c>
      <c r="F2168" s="927"/>
      <c r="G2168" s="928"/>
      <c r="H2168" s="901"/>
      <c r="I2168" s="902"/>
      <c r="J2168" s="902"/>
      <c r="K2168" s="912" t="s">
        <v>274</v>
      </c>
      <c r="L2168" s="902"/>
      <c r="M2168" s="902"/>
      <c r="N2168" s="902"/>
      <c r="O2168" s="892">
        <f t="shared" si="132"/>
        <v>0</v>
      </c>
      <c r="P2168" s="903">
        <f t="shared" si="133"/>
        <v>1</v>
      </c>
      <c r="Q2168" s="893">
        <f t="shared" si="134"/>
        <v>2</v>
      </c>
      <c r="R2168" s="894">
        <f t="shared" si="135"/>
        <v>0</v>
      </c>
    </row>
    <row r="2169" spans="1:18">
      <c r="A2169" s="905"/>
      <c r="B2169" s="906"/>
      <c r="C2169" s="907">
        <v>740</v>
      </c>
      <c r="D2169" s="907" t="s">
        <v>12</v>
      </c>
      <c r="E2169" s="908" t="s">
        <v>4008</v>
      </c>
      <c r="F2169" s="909" t="s">
        <v>2674</v>
      </c>
      <c r="G2169" s="910"/>
      <c r="H2169" s="911">
        <v>0.69</v>
      </c>
      <c r="I2169" s="912"/>
      <c r="J2169" s="912"/>
      <c r="K2169" s="912">
        <f>VLOOKUP(E2169,ĐMNC!$A$7:$F$67,4,0)</f>
        <v>252714</v>
      </c>
      <c r="L2169" s="912">
        <f>H2169*K2169</f>
        <v>174372.65999999997</v>
      </c>
      <c r="M2169" s="912"/>
      <c r="N2169" s="912"/>
      <c r="O2169" s="892">
        <f t="shared" si="132"/>
        <v>0</v>
      </c>
      <c r="P2169" s="903">
        <f t="shared" si="133"/>
        <v>1</v>
      </c>
      <c r="Q2169" s="893">
        <f t="shared" si="134"/>
        <v>1</v>
      </c>
      <c r="R2169" s="894">
        <f t="shared" si="135"/>
        <v>0</v>
      </c>
    </row>
    <row r="2170" spans="1:18" s="847" customFormat="1" ht="31.5">
      <c r="A2170" s="905"/>
      <c r="B2170" s="914" t="s">
        <v>4656</v>
      </c>
      <c r="C2170" s="915"/>
      <c r="D2170" s="915"/>
      <c r="E2170" s="916" t="s">
        <v>4657</v>
      </c>
      <c r="F2170" s="917" t="s">
        <v>249</v>
      </c>
      <c r="G2170" s="918"/>
      <c r="H2170" s="919"/>
      <c r="I2170" s="920"/>
      <c r="J2170" s="891">
        <f>SUM(J2171:J2175)</f>
        <v>1200</v>
      </c>
      <c r="K2170" s="891"/>
      <c r="L2170" s="891">
        <f>SUM(L2171:L2175)</f>
        <v>204698.34000000003</v>
      </c>
      <c r="M2170" s="891"/>
      <c r="N2170" s="891">
        <f>SUM(N2171:N2175)</f>
        <v>0</v>
      </c>
      <c r="O2170" s="892">
        <f t="shared" si="132"/>
        <v>1</v>
      </c>
      <c r="P2170" s="903">
        <f t="shared" si="133"/>
        <v>0</v>
      </c>
      <c r="Q2170" s="893">
        <f t="shared" si="134"/>
        <v>0</v>
      </c>
      <c r="R2170" s="894">
        <f t="shared" si="135"/>
        <v>5</v>
      </c>
    </row>
    <row r="2171" spans="1:18" s="904" customFormat="1">
      <c r="A2171" s="895"/>
      <c r="B2171" s="896"/>
      <c r="C2171" s="897"/>
      <c r="D2171" s="897"/>
      <c r="E2171" s="924" t="s">
        <v>108</v>
      </c>
      <c r="F2171" s="899"/>
      <c r="G2171" s="900"/>
      <c r="H2171" s="901"/>
      <c r="I2171" s="902"/>
      <c r="J2171" s="902"/>
      <c r="K2171" s="912" t="s">
        <v>274</v>
      </c>
      <c r="L2171" s="902"/>
      <c r="M2171" s="902"/>
      <c r="N2171" s="902"/>
      <c r="O2171" s="892">
        <f t="shared" si="132"/>
        <v>0</v>
      </c>
      <c r="P2171" s="903">
        <f t="shared" si="133"/>
        <v>1</v>
      </c>
      <c r="Q2171" s="893">
        <f t="shared" si="134"/>
        <v>5</v>
      </c>
      <c r="R2171" s="894">
        <f t="shared" si="135"/>
        <v>0</v>
      </c>
    </row>
    <row r="2172" spans="1:18">
      <c r="A2172" s="905"/>
      <c r="B2172" s="906"/>
      <c r="C2172" s="907">
        <v>66</v>
      </c>
      <c r="D2172" s="907" t="s">
        <v>279</v>
      </c>
      <c r="E2172" s="925" t="s">
        <v>2682</v>
      </c>
      <c r="F2172" s="926" t="s">
        <v>45</v>
      </c>
      <c r="G2172" s="910"/>
      <c r="H2172" s="911">
        <v>0.01</v>
      </c>
      <c r="I2172" s="912">
        <f>VLOOKUP(E2172,[3]VLP!$B$7:$K$300,10,0)</f>
        <v>5000</v>
      </c>
      <c r="J2172" s="912">
        <f>I2172*H2172</f>
        <v>50</v>
      </c>
      <c r="K2172" s="912" t="s">
        <v>274</v>
      </c>
      <c r="L2172" s="912"/>
      <c r="M2172" s="912"/>
      <c r="N2172" s="912"/>
      <c r="O2172" s="892">
        <f t="shared" si="132"/>
        <v>0</v>
      </c>
      <c r="P2172" s="903">
        <f t="shared" si="133"/>
        <v>1</v>
      </c>
      <c r="Q2172" s="893">
        <f t="shared" si="134"/>
        <v>4</v>
      </c>
      <c r="R2172" s="894">
        <f t="shared" si="135"/>
        <v>0</v>
      </c>
    </row>
    <row r="2173" spans="1:18">
      <c r="A2173" s="905"/>
      <c r="B2173" s="906"/>
      <c r="C2173" s="907">
        <v>44</v>
      </c>
      <c r="D2173" s="907" t="s">
        <v>279</v>
      </c>
      <c r="E2173" s="925" t="s">
        <v>2681</v>
      </c>
      <c r="F2173" s="926" t="s">
        <v>45</v>
      </c>
      <c r="G2173" s="910"/>
      <c r="H2173" s="911">
        <v>0.05</v>
      </c>
      <c r="I2173" s="912">
        <f>VLOOKUP(E2173,[3]VLP!$B$7:$K$300,10,0)</f>
        <v>23000</v>
      </c>
      <c r="J2173" s="912">
        <f>I2173*H2173</f>
        <v>1150</v>
      </c>
      <c r="K2173" s="912" t="s">
        <v>274</v>
      </c>
      <c r="L2173" s="912"/>
      <c r="M2173" s="912"/>
      <c r="N2173" s="912"/>
      <c r="O2173" s="892">
        <f t="shared" si="132"/>
        <v>0</v>
      </c>
      <c r="P2173" s="903">
        <f t="shared" si="133"/>
        <v>1</v>
      </c>
      <c r="Q2173" s="893">
        <f t="shared" si="134"/>
        <v>3</v>
      </c>
      <c r="R2173" s="894">
        <f t="shared" si="135"/>
        <v>0</v>
      </c>
    </row>
    <row r="2174" spans="1:18" s="904" customFormat="1">
      <c r="A2174" s="895"/>
      <c r="B2174" s="896"/>
      <c r="C2174" s="897"/>
      <c r="D2174" s="897"/>
      <c r="E2174" s="924" t="s">
        <v>276</v>
      </c>
      <c r="F2174" s="927"/>
      <c r="G2174" s="928"/>
      <c r="H2174" s="901"/>
      <c r="I2174" s="902"/>
      <c r="J2174" s="902"/>
      <c r="K2174" s="912" t="s">
        <v>274</v>
      </c>
      <c r="L2174" s="902"/>
      <c r="M2174" s="902"/>
      <c r="N2174" s="902"/>
      <c r="O2174" s="892">
        <f t="shared" si="132"/>
        <v>0</v>
      </c>
      <c r="P2174" s="903">
        <f t="shared" si="133"/>
        <v>1</v>
      </c>
      <c r="Q2174" s="893">
        <f t="shared" si="134"/>
        <v>2</v>
      </c>
      <c r="R2174" s="894">
        <f t="shared" si="135"/>
        <v>0</v>
      </c>
    </row>
    <row r="2175" spans="1:18">
      <c r="A2175" s="905"/>
      <c r="B2175" s="906"/>
      <c r="C2175" s="907">
        <v>740</v>
      </c>
      <c r="D2175" s="907" t="s">
        <v>12</v>
      </c>
      <c r="E2175" s="908" t="s">
        <v>4008</v>
      </c>
      <c r="F2175" s="909" t="s">
        <v>2674</v>
      </c>
      <c r="G2175" s="910"/>
      <c r="H2175" s="911">
        <v>0.81</v>
      </c>
      <c r="I2175" s="912"/>
      <c r="J2175" s="912"/>
      <c r="K2175" s="912">
        <f>VLOOKUP(E2175,ĐMNC!$A$7:$F$67,4,0)</f>
        <v>252714</v>
      </c>
      <c r="L2175" s="912">
        <f>H2175*K2175</f>
        <v>204698.34000000003</v>
      </c>
      <c r="M2175" s="912"/>
      <c r="N2175" s="912"/>
      <c r="O2175" s="892">
        <f t="shared" si="132"/>
        <v>0</v>
      </c>
      <c r="P2175" s="903">
        <f t="shared" si="133"/>
        <v>1</v>
      </c>
      <c r="Q2175" s="893">
        <f t="shared" si="134"/>
        <v>1</v>
      </c>
      <c r="R2175" s="894">
        <f t="shared" si="135"/>
        <v>0</v>
      </c>
    </row>
    <row r="2176" spans="1:18" s="847" customFormat="1" ht="31.5">
      <c r="A2176" s="905"/>
      <c r="B2176" s="914" t="s">
        <v>4658</v>
      </c>
      <c r="C2176" s="915"/>
      <c r="D2176" s="915"/>
      <c r="E2176" s="916" t="s">
        <v>4659</v>
      </c>
      <c r="F2176" s="917" t="s">
        <v>249</v>
      </c>
      <c r="G2176" s="918"/>
      <c r="H2176" s="919"/>
      <c r="I2176" s="920"/>
      <c r="J2176" s="891">
        <f>SUM(J2177:J2181)</f>
        <v>1200</v>
      </c>
      <c r="K2176" s="891"/>
      <c r="L2176" s="891">
        <f>SUM(L2177:L2181)</f>
        <v>224915.46</v>
      </c>
      <c r="M2176" s="891"/>
      <c r="N2176" s="891">
        <f>SUM(N2177:N2181)</f>
        <v>0</v>
      </c>
      <c r="O2176" s="892">
        <f t="shared" si="132"/>
        <v>1</v>
      </c>
      <c r="P2176" s="903">
        <f t="shared" si="133"/>
        <v>0</v>
      </c>
      <c r="Q2176" s="893">
        <f t="shared" si="134"/>
        <v>0</v>
      </c>
      <c r="R2176" s="894">
        <f t="shared" si="135"/>
        <v>5</v>
      </c>
    </row>
    <row r="2177" spans="1:18" s="904" customFormat="1">
      <c r="A2177" s="895"/>
      <c r="B2177" s="896"/>
      <c r="C2177" s="897"/>
      <c r="D2177" s="897"/>
      <c r="E2177" s="924" t="s">
        <v>108</v>
      </c>
      <c r="F2177" s="899"/>
      <c r="G2177" s="900"/>
      <c r="H2177" s="901"/>
      <c r="I2177" s="902"/>
      <c r="J2177" s="902"/>
      <c r="K2177" s="912" t="s">
        <v>274</v>
      </c>
      <c r="L2177" s="902"/>
      <c r="M2177" s="902"/>
      <c r="N2177" s="902"/>
      <c r="O2177" s="892">
        <f t="shared" si="132"/>
        <v>0</v>
      </c>
      <c r="P2177" s="903">
        <f t="shared" si="133"/>
        <v>1</v>
      </c>
      <c r="Q2177" s="893">
        <f t="shared" si="134"/>
        <v>5</v>
      </c>
      <c r="R2177" s="894">
        <f t="shared" si="135"/>
        <v>0</v>
      </c>
    </row>
    <row r="2178" spans="1:18">
      <c r="A2178" s="905"/>
      <c r="B2178" s="906"/>
      <c r="C2178" s="907">
        <v>66</v>
      </c>
      <c r="D2178" s="907" t="s">
        <v>279</v>
      </c>
      <c r="E2178" s="925" t="s">
        <v>2682</v>
      </c>
      <c r="F2178" s="926" t="s">
        <v>45</v>
      </c>
      <c r="G2178" s="910"/>
      <c r="H2178" s="911">
        <v>0.01</v>
      </c>
      <c r="I2178" s="912">
        <f>VLOOKUP(E2178,[3]VLP!$B$7:$K$300,10,0)</f>
        <v>5000</v>
      </c>
      <c r="J2178" s="912">
        <f>I2178*H2178</f>
        <v>50</v>
      </c>
      <c r="K2178" s="912" t="s">
        <v>274</v>
      </c>
      <c r="L2178" s="912"/>
      <c r="M2178" s="912"/>
      <c r="N2178" s="912"/>
      <c r="O2178" s="892">
        <f t="shared" si="132"/>
        <v>0</v>
      </c>
      <c r="P2178" s="903">
        <f t="shared" si="133"/>
        <v>1</v>
      </c>
      <c r="Q2178" s="893">
        <f t="shared" si="134"/>
        <v>4</v>
      </c>
      <c r="R2178" s="894">
        <f t="shared" si="135"/>
        <v>0</v>
      </c>
    </row>
    <row r="2179" spans="1:18">
      <c r="A2179" s="905"/>
      <c r="B2179" s="906"/>
      <c r="C2179" s="907">
        <v>44</v>
      </c>
      <c r="D2179" s="907" t="s">
        <v>279</v>
      </c>
      <c r="E2179" s="925" t="s">
        <v>2681</v>
      </c>
      <c r="F2179" s="926" t="s">
        <v>45</v>
      </c>
      <c r="G2179" s="910"/>
      <c r="H2179" s="911">
        <v>0.05</v>
      </c>
      <c r="I2179" s="912">
        <f>VLOOKUP(E2179,[3]VLP!$B$7:$K$300,10,0)</f>
        <v>23000</v>
      </c>
      <c r="J2179" s="912">
        <f>I2179*H2179</f>
        <v>1150</v>
      </c>
      <c r="K2179" s="912" t="s">
        <v>274</v>
      </c>
      <c r="L2179" s="912"/>
      <c r="M2179" s="912"/>
      <c r="N2179" s="912"/>
      <c r="O2179" s="892">
        <f t="shared" si="132"/>
        <v>0</v>
      </c>
      <c r="P2179" s="903">
        <f t="shared" si="133"/>
        <v>1</v>
      </c>
      <c r="Q2179" s="893">
        <f t="shared" si="134"/>
        <v>3</v>
      </c>
      <c r="R2179" s="894">
        <f t="shared" si="135"/>
        <v>0</v>
      </c>
    </row>
    <row r="2180" spans="1:18" s="904" customFormat="1">
      <c r="A2180" s="895"/>
      <c r="B2180" s="896"/>
      <c r="C2180" s="897"/>
      <c r="D2180" s="897"/>
      <c r="E2180" s="924" t="s">
        <v>276</v>
      </c>
      <c r="F2180" s="927"/>
      <c r="G2180" s="928"/>
      <c r="H2180" s="901"/>
      <c r="I2180" s="902"/>
      <c r="J2180" s="902"/>
      <c r="K2180" s="912" t="s">
        <v>274</v>
      </c>
      <c r="L2180" s="902"/>
      <c r="M2180" s="902"/>
      <c r="N2180" s="902"/>
      <c r="O2180" s="892">
        <f t="shared" si="132"/>
        <v>0</v>
      </c>
      <c r="P2180" s="903">
        <f t="shared" si="133"/>
        <v>1</v>
      </c>
      <c r="Q2180" s="893">
        <f t="shared" si="134"/>
        <v>2</v>
      </c>
      <c r="R2180" s="894">
        <f t="shared" si="135"/>
        <v>0</v>
      </c>
    </row>
    <row r="2181" spans="1:18">
      <c r="A2181" s="905"/>
      <c r="B2181" s="906"/>
      <c r="C2181" s="907">
        <v>740</v>
      </c>
      <c r="D2181" s="907" t="s">
        <v>12</v>
      </c>
      <c r="E2181" s="908" t="s">
        <v>4008</v>
      </c>
      <c r="F2181" s="909" t="s">
        <v>2674</v>
      </c>
      <c r="G2181" s="910"/>
      <c r="H2181" s="911">
        <v>0.89</v>
      </c>
      <c r="I2181" s="912"/>
      <c r="J2181" s="912"/>
      <c r="K2181" s="912">
        <f>VLOOKUP(E2181,ĐMNC!$A$7:$F$67,4,0)</f>
        <v>252714</v>
      </c>
      <c r="L2181" s="912">
        <f>H2181*K2181</f>
        <v>224915.46</v>
      </c>
      <c r="M2181" s="912"/>
      <c r="N2181" s="912"/>
      <c r="O2181" s="892">
        <f t="shared" si="132"/>
        <v>0</v>
      </c>
      <c r="P2181" s="903">
        <f t="shared" si="133"/>
        <v>1</v>
      </c>
      <c r="Q2181" s="893">
        <f t="shared" si="134"/>
        <v>1</v>
      </c>
      <c r="R2181" s="894">
        <f t="shared" si="135"/>
        <v>0</v>
      </c>
    </row>
    <row r="2182" spans="1:18" s="847" customFormat="1" ht="31.5">
      <c r="A2182" s="905"/>
      <c r="B2182" s="914" t="s">
        <v>4660</v>
      </c>
      <c r="C2182" s="915"/>
      <c r="D2182" s="915"/>
      <c r="E2182" s="916" t="s">
        <v>4661</v>
      </c>
      <c r="F2182" s="917" t="s">
        <v>249</v>
      </c>
      <c r="G2182" s="918"/>
      <c r="H2182" s="919"/>
      <c r="I2182" s="920"/>
      <c r="J2182" s="891">
        <f>SUM(J2183:J2187)</f>
        <v>1200</v>
      </c>
      <c r="K2182" s="891"/>
      <c r="L2182" s="891">
        <f>SUM(L2183:L2187)</f>
        <v>260295.42</v>
      </c>
      <c r="M2182" s="891"/>
      <c r="N2182" s="891">
        <f>SUM(N2183:N2187)</f>
        <v>0</v>
      </c>
      <c r="O2182" s="892">
        <f t="shared" si="132"/>
        <v>1</v>
      </c>
      <c r="P2182" s="903">
        <f t="shared" si="133"/>
        <v>0</v>
      </c>
      <c r="Q2182" s="893">
        <f t="shared" si="134"/>
        <v>0</v>
      </c>
      <c r="R2182" s="894">
        <f t="shared" si="135"/>
        <v>5</v>
      </c>
    </row>
    <row r="2183" spans="1:18" s="904" customFormat="1">
      <c r="A2183" s="895"/>
      <c r="B2183" s="896"/>
      <c r="C2183" s="897"/>
      <c r="D2183" s="897"/>
      <c r="E2183" s="924" t="s">
        <v>108</v>
      </c>
      <c r="F2183" s="899"/>
      <c r="G2183" s="900"/>
      <c r="H2183" s="901"/>
      <c r="I2183" s="902"/>
      <c r="J2183" s="902"/>
      <c r="K2183" s="912" t="s">
        <v>274</v>
      </c>
      <c r="L2183" s="902"/>
      <c r="M2183" s="902"/>
      <c r="N2183" s="902"/>
      <c r="O2183" s="892">
        <f t="shared" si="132"/>
        <v>0</v>
      </c>
      <c r="P2183" s="903">
        <f t="shared" si="133"/>
        <v>1</v>
      </c>
      <c r="Q2183" s="893">
        <f t="shared" si="134"/>
        <v>5</v>
      </c>
      <c r="R2183" s="894">
        <f t="shared" si="135"/>
        <v>0</v>
      </c>
    </row>
    <row r="2184" spans="1:18">
      <c r="A2184" s="905"/>
      <c r="B2184" s="906"/>
      <c r="C2184" s="907">
        <v>66</v>
      </c>
      <c r="D2184" s="907" t="s">
        <v>279</v>
      </c>
      <c r="E2184" s="925" t="s">
        <v>2682</v>
      </c>
      <c r="F2184" s="926" t="s">
        <v>45</v>
      </c>
      <c r="G2184" s="910"/>
      <c r="H2184" s="911">
        <v>0.01</v>
      </c>
      <c r="I2184" s="912">
        <f>VLOOKUP(E2184,[3]VLP!$B$7:$K$300,10,0)</f>
        <v>5000</v>
      </c>
      <c r="J2184" s="912">
        <f>I2184*H2184</f>
        <v>50</v>
      </c>
      <c r="K2184" s="912" t="s">
        <v>274</v>
      </c>
      <c r="L2184" s="912"/>
      <c r="M2184" s="912"/>
      <c r="N2184" s="912"/>
      <c r="O2184" s="892">
        <f t="shared" ref="O2184:O2248" si="136">IF(AND(B2184&lt;&gt;"",D2184=""),1,0)</f>
        <v>0</v>
      </c>
      <c r="P2184" s="903">
        <f t="shared" si="133"/>
        <v>1</v>
      </c>
      <c r="Q2184" s="893">
        <f t="shared" si="134"/>
        <v>4</v>
      </c>
      <c r="R2184" s="894">
        <f t="shared" si="135"/>
        <v>0</v>
      </c>
    </row>
    <row r="2185" spans="1:18">
      <c r="A2185" s="905"/>
      <c r="B2185" s="906"/>
      <c r="C2185" s="907">
        <v>44</v>
      </c>
      <c r="D2185" s="907" t="s">
        <v>279</v>
      </c>
      <c r="E2185" s="925" t="s">
        <v>2681</v>
      </c>
      <c r="F2185" s="926" t="s">
        <v>45</v>
      </c>
      <c r="G2185" s="910"/>
      <c r="H2185" s="911">
        <v>0.05</v>
      </c>
      <c r="I2185" s="912">
        <f>VLOOKUP(E2185,[3]VLP!$B$7:$K$300,10,0)</f>
        <v>23000</v>
      </c>
      <c r="J2185" s="912">
        <f>I2185*H2185</f>
        <v>1150</v>
      </c>
      <c r="K2185" s="912" t="s">
        <v>274</v>
      </c>
      <c r="L2185" s="912"/>
      <c r="M2185" s="912"/>
      <c r="N2185" s="912"/>
      <c r="O2185" s="892">
        <f t="shared" si="136"/>
        <v>0</v>
      </c>
      <c r="P2185" s="903">
        <f t="shared" si="133"/>
        <v>1</v>
      </c>
      <c r="Q2185" s="893">
        <f t="shared" si="134"/>
        <v>3</v>
      </c>
      <c r="R2185" s="894">
        <f t="shared" si="135"/>
        <v>0</v>
      </c>
    </row>
    <row r="2186" spans="1:18" s="904" customFormat="1">
      <c r="A2186" s="895"/>
      <c r="B2186" s="896"/>
      <c r="C2186" s="897"/>
      <c r="D2186" s="897"/>
      <c r="E2186" s="924" t="s">
        <v>276</v>
      </c>
      <c r="F2186" s="927"/>
      <c r="G2186" s="928"/>
      <c r="H2186" s="901"/>
      <c r="I2186" s="902"/>
      <c r="J2186" s="902"/>
      <c r="K2186" s="912" t="s">
        <v>274</v>
      </c>
      <c r="L2186" s="902"/>
      <c r="M2186" s="902"/>
      <c r="N2186" s="902"/>
      <c r="O2186" s="892">
        <f t="shared" si="136"/>
        <v>0</v>
      </c>
      <c r="P2186" s="903">
        <f t="shared" si="133"/>
        <v>1</v>
      </c>
      <c r="Q2186" s="893">
        <f t="shared" si="134"/>
        <v>2</v>
      </c>
      <c r="R2186" s="894">
        <f t="shared" si="135"/>
        <v>0</v>
      </c>
    </row>
    <row r="2187" spans="1:18">
      <c r="A2187" s="905"/>
      <c r="B2187" s="906"/>
      <c r="C2187" s="907">
        <v>740</v>
      </c>
      <c r="D2187" s="907" t="s">
        <v>12</v>
      </c>
      <c r="E2187" s="908" t="s">
        <v>4008</v>
      </c>
      <c r="F2187" s="909" t="s">
        <v>2674</v>
      </c>
      <c r="G2187" s="910"/>
      <c r="H2187" s="911">
        <v>1.03</v>
      </c>
      <c r="I2187" s="912"/>
      <c r="J2187" s="912"/>
      <c r="K2187" s="912">
        <f>VLOOKUP(E2187,ĐMNC!$A$7:$F$67,4,0)</f>
        <v>252714</v>
      </c>
      <c r="L2187" s="912">
        <f>H2187*K2187</f>
        <v>260295.42</v>
      </c>
      <c r="M2187" s="912"/>
      <c r="N2187" s="912"/>
      <c r="O2187" s="892">
        <f t="shared" si="136"/>
        <v>0</v>
      </c>
      <c r="P2187" s="903">
        <f t="shared" si="133"/>
        <v>1</v>
      </c>
      <c r="Q2187" s="893">
        <f t="shared" si="134"/>
        <v>1</v>
      </c>
      <c r="R2187" s="894">
        <f t="shared" si="135"/>
        <v>0</v>
      </c>
    </row>
    <row r="2188" spans="1:18" s="847" customFormat="1" ht="31.5">
      <c r="A2188" s="905"/>
      <c r="B2188" s="914" t="s">
        <v>4662</v>
      </c>
      <c r="C2188" s="915"/>
      <c r="D2188" s="915"/>
      <c r="E2188" s="916" t="s">
        <v>4663</v>
      </c>
      <c r="F2188" s="917" t="s">
        <v>249</v>
      </c>
      <c r="G2188" s="918"/>
      <c r="H2188" s="919"/>
      <c r="I2188" s="920"/>
      <c r="J2188" s="891">
        <f>SUM(J2189:J2193)</f>
        <v>1200</v>
      </c>
      <c r="K2188" s="891"/>
      <c r="L2188" s="891">
        <f>SUM(L2189:L2193)</f>
        <v>300729.65999999997</v>
      </c>
      <c r="M2188" s="891"/>
      <c r="N2188" s="891">
        <f>SUM(N2189:N2193)</f>
        <v>0</v>
      </c>
      <c r="O2188" s="892">
        <f t="shared" si="136"/>
        <v>1</v>
      </c>
      <c r="P2188" s="903">
        <f t="shared" si="133"/>
        <v>0</v>
      </c>
      <c r="Q2188" s="893">
        <f t="shared" si="134"/>
        <v>0</v>
      </c>
      <c r="R2188" s="894">
        <f t="shared" si="135"/>
        <v>5</v>
      </c>
    </row>
    <row r="2189" spans="1:18" s="904" customFormat="1">
      <c r="A2189" s="895"/>
      <c r="B2189" s="896"/>
      <c r="C2189" s="897"/>
      <c r="D2189" s="897"/>
      <c r="E2189" s="924" t="s">
        <v>108</v>
      </c>
      <c r="F2189" s="899"/>
      <c r="G2189" s="900"/>
      <c r="H2189" s="901"/>
      <c r="I2189" s="902"/>
      <c r="J2189" s="902"/>
      <c r="K2189" s="912" t="s">
        <v>274</v>
      </c>
      <c r="L2189" s="902"/>
      <c r="M2189" s="902"/>
      <c r="N2189" s="902"/>
      <c r="O2189" s="892">
        <f t="shared" si="136"/>
        <v>0</v>
      </c>
      <c r="P2189" s="903">
        <f t="shared" si="133"/>
        <v>1</v>
      </c>
      <c r="Q2189" s="893">
        <f t="shared" si="134"/>
        <v>5</v>
      </c>
      <c r="R2189" s="894">
        <f t="shared" si="135"/>
        <v>0</v>
      </c>
    </row>
    <row r="2190" spans="1:18">
      <c r="A2190" s="905"/>
      <c r="B2190" s="906"/>
      <c r="C2190" s="907">
        <v>66</v>
      </c>
      <c r="D2190" s="907" t="s">
        <v>279</v>
      </c>
      <c r="E2190" s="925" t="s">
        <v>2682</v>
      </c>
      <c r="F2190" s="926" t="s">
        <v>45</v>
      </c>
      <c r="G2190" s="910"/>
      <c r="H2190" s="911">
        <v>0.01</v>
      </c>
      <c r="I2190" s="912">
        <f>VLOOKUP(E2190,[3]VLP!$B$7:$K$300,10,0)</f>
        <v>5000</v>
      </c>
      <c r="J2190" s="912">
        <f>I2190*H2190</f>
        <v>50</v>
      </c>
      <c r="K2190" s="912" t="s">
        <v>274</v>
      </c>
      <c r="L2190" s="912"/>
      <c r="M2190" s="912"/>
      <c r="N2190" s="912"/>
      <c r="O2190" s="892">
        <f t="shared" si="136"/>
        <v>0</v>
      </c>
      <c r="P2190" s="903">
        <f t="shared" si="133"/>
        <v>1</v>
      </c>
      <c r="Q2190" s="893">
        <f t="shared" si="134"/>
        <v>4</v>
      </c>
      <c r="R2190" s="894">
        <f t="shared" si="135"/>
        <v>0</v>
      </c>
    </row>
    <row r="2191" spans="1:18">
      <c r="A2191" s="905"/>
      <c r="B2191" s="906"/>
      <c r="C2191" s="907">
        <v>44</v>
      </c>
      <c r="D2191" s="907" t="s">
        <v>279</v>
      </c>
      <c r="E2191" s="925" t="s">
        <v>2681</v>
      </c>
      <c r="F2191" s="926" t="s">
        <v>45</v>
      </c>
      <c r="G2191" s="910"/>
      <c r="H2191" s="911">
        <v>0.05</v>
      </c>
      <c r="I2191" s="912">
        <f>VLOOKUP(E2191,[3]VLP!$B$7:$K$300,10,0)</f>
        <v>23000</v>
      </c>
      <c r="J2191" s="912">
        <f>I2191*H2191</f>
        <v>1150</v>
      </c>
      <c r="K2191" s="912" t="s">
        <v>274</v>
      </c>
      <c r="L2191" s="912"/>
      <c r="M2191" s="912"/>
      <c r="N2191" s="912"/>
      <c r="O2191" s="892">
        <f t="shared" si="136"/>
        <v>0</v>
      </c>
      <c r="P2191" s="903">
        <f t="shared" si="133"/>
        <v>1</v>
      </c>
      <c r="Q2191" s="893">
        <f t="shared" si="134"/>
        <v>3</v>
      </c>
      <c r="R2191" s="894">
        <f t="shared" si="135"/>
        <v>0</v>
      </c>
    </row>
    <row r="2192" spans="1:18" s="904" customFormat="1">
      <c r="A2192" s="895"/>
      <c r="B2192" s="896"/>
      <c r="C2192" s="897"/>
      <c r="D2192" s="897"/>
      <c r="E2192" s="924" t="s">
        <v>276</v>
      </c>
      <c r="F2192" s="927"/>
      <c r="G2192" s="928"/>
      <c r="H2192" s="901"/>
      <c r="I2192" s="902"/>
      <c r="J2192" s="902"/>
      <c r="K2192" s="912" t="s">
        <v>274</v>
      </c>
      <c r="L2192" s="902"/>
      <c r="M2192" s="902"/>
      <c r="N2192" s="902"/>
      <c r="O2192" s="892">
        <f t="shared" si="136"/>
        <v>0</v>
      </c>
      <c r="P2192" s="903">
        <f t="shared" si="133"/>
        <v>1</v>
      </c>
      <c r="Q2192" s="893">
        <f t="shared" si="134"/>
        <v>2</v>
      </c>
      <c r="R2192" s="894">
        <f t="shared" si="135"/>
        <v>0</v>
      </c>
    </row>
    <row r="2193" spans="1:18">
      <c r="A2193" s="905"/>
      <c r="B2193" s="906"/>
      <c r="C2193" s="907">
        <v>740</v>
      </c>
      <c r="D2193" s="907" t="s">
        <v>12</v>
      </c>
      <c r="E2193" s="908" t="s">
        <v>4008</v>
      </c>
      <c r="F2193" s="909" t="s">
        <v>2674</v>
      </c>
      <c r="G2193" s="910"/>
      <c r="H2193" s="911">
        <v>1.19</v>
      </c>
      <c r="I2193" s="912"/>
      <c r="J2193" s="912"/>
      <c r="K2193" s="912">
        <f>VLOOKUP(E2193,ĐMNC!$A$7:$F$67,4,0)</f>
        <v>252714</v>
      </c>
      <c r="L2193" s="912">
        <f>H2193*K2193</f>
        <v>300729.65999999997</v>
      </c>
      <c r="M2193" s="912"/>
      <c r="N2193" s="912"/>
      <c r="O2193" s="892">
        <f t="shared" si="136"/>
        <v>0</v>
      </c>
      <c r="P2193" s="903">
        <f t="shared" ref="P2193:P2257" si="137">IF(O2193=0,1,0)</f>
        <v>1</v>
      </c>
      <c r="Q2193" s="893">
        <f t="shared" ref="Q2193:Q2257" si="138">IF(P2193=0,0,P2193+Q2194)</f>
        <v>1</v>
      </c>
      <c r="R2193" s="894">
        <f t="shared" ref="R2193:R2257" si="139">IF(Q2193=0,Q2194,0)</f>
        <v>0</v>
      </c>
    </row>
    <row r="2194" spans="1:18" s="847" customFormat="1" ht="31.5">
      <c r="A2194" s="905"/>
      <c r="B2194" s="914" t="s">
        <v>4664</v>
      </c>
      <c r="C2194" s="915"/>
      <c r="D2194" s="915"/>
      <c r="E2194" s="916" t="s">
        <v>4665</v>
      </c>
      <c r="F2194" s="917" t="s">
        <v>249</v>
      </c>
      <c r="G2194" s="918"/>
      <c r="H2194" s="919"/>
      <c r="I2194" s="920"/>
      <c r="J2194" s="891">
        <f>SUM(J2195:J2199)</f>
        <v>1825</v>
      </c>
      <c r="K2194" s="891"/>
      <c r="L2194" s="891">
        <f>SUM(L2195:L2199)</f>
        <v>224915.46</v>
      </c>
      <c r="M2194" s="891"/>
      <c r="N2194" s="891">
        <f>SUM(N2195:N2199)</f>
        <v>0</v>
      </c>
      <c r="O2194" s="892">
        <f t="shared" si="136"/>
        <v>1</v>
      </c>
      <c r="P2194" s="903">
        <f t="shared" si="137"/>
        <v>0</v>
      </c>
      <c r="Q2194" s="893">
        <f t="shared" si="138"/>
        <v>0</v>
      </c>
      <c r="R2194" s="894">
        <f t="shared" si="139"/>
        <v>5</v>
      </c>
    </row>
    <row r="2195" spans="1:18" s="904" customFormat="1">
      <c r="A2195" s="895"/>
      <c r="B2195" s="922"/>
      <c r="C2195" s="897"/>
      <c r="D2195" s="897"/>
      <c r="E2195" s="924" t="s">
        <v>108</v>
      </c>
      <c r="F2195" s="899"/>
      <c r="G2195" s="900"/>
      <c r="H2195" s="901"/>
      <c r="I2195" s="902"/>
      <c r="J2195" s="902"/>
      <c r="K2195" s="912" t="s">
        <v>274</v>
      </c>
      <c r="L2195" s="902"/>
      <c r="M2195" s="902"/>
      <c r="N2195" s="902"/>
      <c r="O2195" s="892">
        <f t="shared" si="136"/>
        <v>0</v>
      </c>
      <c r="P2195" s="903">
        <f t="shared" si="137"/>
        <v>1</v>
      </c>
      <c r="Q2195" s="893">
        <f t="shared" si="138"/>
        <v>5</v>
      </c>
      <c r="R2195" s="894">
        <f t="shared" si="139"/>
        <v>0</v>
      </c>
    </row>
    <row r="2196" spans="1:18">
      <c r="A2196" s="905"/>
      <c r="B2196" s="906"/>
      <c r="C2196" s="907">
        <v>66</v>
      </c>
      <c r="D2196" s="907" t="s">
        <v>279</v>
      </c>
      <c r="E2196" s="925" t="s">
        <v>2682</v>
      </c>
      <c r="F2196" s="926" t="s">
        <v>45</v>
      </c>
      <c r="G2196" s="910"/>
      <c r="H2196" s="911">
        <v>0.02</v>
      </c>
      <c r="I2196" s="912">
        <f>VLOOKUP(E2196,[3]VLP!$B$7:$K$300,10,0)</f>
        <v>5000</v>
      </c>
      <c r="J2196" s="912">
        <f>I2196*H2196</f>
        <v>100</v>
      </c>
      <c r="K2196" s="912" t="s">
        <v>274</v>
      </c>
      <c r="L2196" s="912"/>
      <c r="M2196" s="912"/>
      <c r="N2196" s="912"/>
      <c r="O2196" s="892">
        <f t="shared" si="136"/>
        <v>0</v>
      </c>
      <c r="P2196" s="903">
        <f t="shared" si="137"/>
        <v>1</v>
      </c>
      <c r="Q2196" s="893">
        <f t="shared" si="138"/>
        <v>4</v>
      </c>
      <c r="R2196" s="894">
        <f t="shared" si="139"/>
        <v>0</v>
      </c>
    </row>
    <row r="2197" spans="1:18">
      <c r="A2197" s="905"/>
      <c r="B2197" s="906"/>
      <c r="C2197" s="907">
        <v>44</v>
      </c>
      <c r="D2197" s="907" t="s">
        <v>279</v>
      </c>
      <c r="E2197" s="925" t="s">
        <v>2681</v>
      </c>
      <c r="F2197" s="926" t="s">
        <v>45</v>
      </c>
      <c r="G2197" s="910"/>
      <c r="H2197" s="911">
        <v>7.4999999999999997E-2</v>
      </c>
      <c r="I2197" s="912">
        <f>VLOOKUP(E2197,[3]VLP!$B$7:$K$300,10,0)</f>
        <v>23000</v>
      </c>
      <c r="J2197" s="912">
        <f>I2197*H2197</f>
        <v>1725</v>
      </c>
      <c r="K2197" s="912" t="s">
        <v>274</v>
      </c>
      <c r="L2197" s="912"/>
      <c r="M2197" s="912"/>
      <c r="N2197" s="912"/>
      <c r="O2197" s="892">
        <f t="shared" si="136"/>
        <v>0</v>
      </c>
      <c r="P2197" s="903">
        <f t="shared" si="137"/>
        <v>1</v>
      </c>
      <c r="Q2197" s="893">
        <f t="shared" si="138"/>
        <v>3</v>
      </c>
      <c r="R2197" s="894">
        <f t="shared" si="139"/>
        <v>0</v>
      </c>
    </row>
    <row r="2198" spans="1:18" s="904" customFormat="1">
      <c r="A2198" s="895"/>
      <c r="B2198" s="896"/>
      <c r="C2198" s="897"/>
      <c r="D2198" s="897"/>
      <c r="E2198" s="924" t="s">
        <v>276</v>
      </c>
      <c r="F2198" s="927"/>
      <c r="G2198" s="928"/>
      <c r="H2198" s="901"/>
      <c r="I2198" s="902"/>
      <c r="J2198" s="902"/>
      <c r="K2198" s="912" t="s">
        <v>274</v>
      </c>
      <c r="L2198" s="902"/>
      <c r="M2198" s="902"/>
      <c r="N2198" s="902"/>
      <c r="O2198" s="892">
        <f t="shared" si="136"/>
        <v>0</v>
      </c>
      <c r="P2198" s="903">
        <f t="shared" si="137"/>
        <v>1</v>
      </c>
      <c r="Q2198" s="893">
        <f t="shared" si="138"/>
        <v>2</v>
      </c>
      <c r="R2198" s="894">
        <f t="shared" si="139"/>
        <v>0</v>
      </c>
    </row>
    <row r="2199" spans="1:18">
      <c r="A2199" s="905"/>
      <c r="B2199" s="906"/>
      <c r="C2199" s="907">
        <v>740</v>
      </c>
      <c r="D2199" s="907" t="s">
        <v>12</v>
      </c>
      <c r="E2199" s="908" t="s">
        <v>4008</v>
      </c>
      <c r="F2199" s="909" t="s">
        <v>2674</v>
      </c>
      <c r="G2199" s="910"/>
      <c r="H2199" s="911">
        <v>0.89</v>
      </c>
      <c r="I2199" s="912"/>
      <c r="J2199" s="912"/>
      <c r="K2199" s="912">
        <f>VLOOKUP(E2199,ĐMNC!$A$7:$F$67,4,0)</f>
        <v>252714</v>
      </c>
      <c r="L2199" s="912">
        <f>H2199*K2199</f>
        <v>224915.46</v>
      </c>
      <c r="M2199" s="912"/>
      <c r="N2199" s="912"/>
      <c r="O2199" s="892">
        <f t="shared" si="136"/>
        <v>0</v>
      </c>
      <c r="P2199" s="903">
        <f t="shared" si="137"/>
        <v>1</v>
      </c>
      <c r="Q2199" s="893">
        <f t="shared" si="138"/>
        <v>1</v>
      </c>
      <c r="R2199" s="894">
        <f t="shared" si="139"/>
        <v>0</v>
      </c>
    </row>
    <row r="2200" spans="1:18" s="847" customFormat="1" ht="31.5">
      <c r="A2200" s="905"/>
      <c r="B2200" s="914" t="s">
        <v>4666</v>
      </c>
      <c r="C2200" s="915"/>
      <c r="D2200" s="915"/>
      <c r="E2200" s="916" t="s">
        <v>4667</v>
      </c>
      <c r="F2200" s="917" t="s">
        <v>249</v>
      </c>
      <c r="G2200" s="918"/>
      <c r="H2200" s="919"/>
      <c r="I2200" s="920"/>
      <c r="J2200" s="891">
        <f>SUM(J2201:J2205)</f>
        <v>1825</v>
      </c>
      <c r="K2200" s="891"/>
      <c r="L2200" s="891">
        <f>SUM(L2201:L2205)</f>
        <v>235024.02000000002</v>
      </c>
      <c r="M2200" s="891"/>
      <c r="N2200" s="891">
        <f>SUM(N2201:N2205)</f>
        <v>0</v>
      </c>
      <c r="O2200" s="892">
        <f t="shared" si="136"/>
        <v>1</v>
      </c>
      <c r="P2200" s="903">
        <f t="shared" si="137"/>
        <v>0</v>
      </c>
      <c r="Q2200" s="893">
        <f t="shared" si="138"/>
        <v>0</v>
      </c>
      <c r="R2200" s="894">
        <f t="shared" si="139"/>
        <v>5</v>
      </c>
    </row>
    <row r="2201" spans="1:18" s="904" customFormat="1">
      <c r="A2201" s="895"/>
      <c r="B2201" s="896"/>
      <c r="C2201" s="897"/>
      <c r="D2201" s="897"/>
      <c r="E2201" s="924" t="s">
        <v>108</v>
      </c>
      <c r="F2201" s="899"/>
      <c r="G2201" s="900"/>
      <c r="H2201" s="901"/>
      <c r="I2201" s="902"/>
      <c r="J2201" s="902"/>
      <c r="K2201" s="912" t="s">
        <v>274</v>
      </c>
      <c r="L2201" s="902"/>
      <c r="M2201" s="902"/>
      <c r="N2201" s="902"/>
      <c r="O2201" s="892">
        <f t="shared" si="136"/>
        <v>0</v>
      </c>
      <c r="P2201" s="903">
        <f t="shared" si="137"/>
        <v>1</v>
      </c>
      <c r="Q2201" s="893">
        <f t="shared" si="138"/>
        <v>5</v>
      </c>
      <c r="R2201" s="894">
        <f t="shared" si="139"/>
        <v>0</v>
      </c>
    </row>
    <row r="2202" spans="1:18">
      <c r="A2202" s="905"/>
      <c r="B2202" s="906"/>
      <c r="C2202" s="907">
        <v>66</v>
      </c>
      <c r="D2202" s="907" t="s">
        <v>279</v>
      </c>
      <c r="E2202" s="925" t="s">
        <v>2682</v>
      </c>
      <c r="F2202" s="926" t="s">
        <v>45</v>
      </c>
      <c r="G2202" s="910"/>
      <c r="H2202" s="911">
        <v>0.02</v>
      </c>
      <c r="I2202" s="912">
        <f>VLOOKUP(E2202,[3]VLP!$B$7:$K$300,10,0)</f>
        <v>5000</v>
      </c>
      <c r="J2202" s="912">
        <f>I2202*H2202</f>
        <v>100</v>
      </c>
      <c r="K2202" s="912" t="s">
        <v>274</v>
      </c>
      <c r="L2202" s="912"/>
      <c r="M2202" s="912"/>
      <c r="N2202" s="912"/>
      <c r="O2202" s="892">
        <f t="shared" si="136"/>
        <v>0</v>
      </c>
      <c r="P2202" s="903">
        <f t="shared" si="137"/>
        <v>1</v>
      </c>
      <c r="Q2202" s="893">
        <f t="shared" si="138"/>
        <v>4</v>
      </c>
      <c r="R2202" s="894">
        <f t="shared" si="139"/>
        <v>0</v>
      </c>
    </row>
    <row r="2203" spans="1:18">
      <c r="A2203" s="905"/>
      <c r="B2203" s="906"/>
      <c r="C2203" s="907">
        <v>44</v>
      </c>
      <c r="D2203" s="907" t="s">
        <v>279</v>
      </c>
      <c r="E2203" s="925" t="s">
        <v>2681</v>
      </c>
      <c r="F2203" s="926" t="s">
        <v>45</v>
      </c>
      <c r="G2203" s="910"/>
      <c r="H2203" s="911">
        <v>7.4999999999999997E-2</v>
      </c>
      <c r="I2203" s="912">
        <f>VLOOKUP(E2203,[3]VLP!$B$7:$K$300,10,0)</f>
        <v>23000</v>
      </c>
      <c r="J2203" s="912">
        <f>I2203*H2203</f>
        <v>1725</v>
      </c>
      <c r="K2203" s="912" t="s">
        <v>274</v>
      </c>
      <c r="L2203" s="912"/>
      <c r="M2203" s="912"/>
      <c r="N2203" s="912"/>
      <c r="O2203" s="892">
        <f t="shared" si="136"/>
        <v>0</v>
      </c>
      <c r="P2203" s="903">
        <f t="shared" si="137"/>
        <v>1</v>
      </c>
      <c r="Q2203" s="893">
        <f t="shared" si="138"/>
        <v>3</v>
      </c>
      <c r="R2203" s="894">
        <f t="shared" si="139"/>
        <v>0</v>
      </c>
    </row>
    <row r="2204" spans="1:18" s="904" customFormat="1">
      <c r="A2204" s="895"/>
      <c r="B2204" s="896"/>
      <c r="C2204" s="897"/>
      <c r="D2204" s="897"/>
      <c r="E2204" s="924" t="s">
        <v>276</v>
      </c>
      <c r="F2204" s="927"/>
      <c r="G2204" s="928"/>
      <c r="H2204" s="901"/>
      <c r="I2204" s="902"/>
      <c r="J2204" s="902"/>
      <c r="K2204" s="912" t="s">
        <v>274</v>
      </c>
      <c r="L2204" s="902"/>
      <c r="M2204" s="902"/>
      <c r="N2204" s="902"/>
      <c r="O2204" s="892">
        <f t="shared" si="136"/>
        <v>0</v>
      </c>
      <c r="P2204" s="903">
        <f t="shared" si="137"/>
        <v>1</v>
      </c>
      <c r="Q2204" s="893">
        <f t="shared" si="138"/>
        <v>2</v>
      </c>
      <c r="R2204" s="894">
        <f t="shared" si="139"/>
        <v>0</v>
      </c>
    </row>
    <row r="2205" spans="1:18">
      <c r="A2205" s="905"/>
      <c r="B2205" s="906"/>
      <c r="C2205" s="907">
        <v>740</v>
      </c>
      <c r="D2205" s="907" t="s">
        <v>12</v>
      </c>
      <c r="E2205" s="908" t="s">
        <v>4008</v>
      </c>
      <c r="F2205" s="909" t="s">
        <v>2674</v>
      </c>
      <c r="G2205" s="910"/>
      <c r="H2205" s="911">
        <v>0.93</v>
      </c>
      <c r="I2205" s="912"/>
      <c r="J2205" s="912"/>
      <c r="K2205" s="912">
        <f>VLOOKUP(E2205,ĐMNC!$A$7:$F$67,4,0)</f>
        <v>252714</v>
      </c>
      <c r="L2205" s="912">
        <f>H2205*K2205</f>
        <v>235024.02000000002</v>
      </c>
      <c r="M2205" s="912"/>
      <c r="N2205" s="912"/>
      <c r="O2205" s="892">
        <f t="shared" si="136"/>
        <v>0</v>
      </c>
      <c r="P2205" s="903">
        <f t="shared" si="137"/>
        <v>1</v>
      </c>
      <c r="Q2205" s="893">
        <f t="shared" si="138"/>
        <v>1</v>
      </c>
      <c r="R2205" s="894">
        <f t="shared" si="139"/>
        <v>0</v>
      </c>
    </row>
    <row r="2206" spans="1:18" s="847" customFormat="1" ht="31.5">
      <c r="A2206" s="905"/>
      <c r="B2206" s="914" t="s">
        <v>4668</v>
      </c>
      <c r="C2206" s="915"/>
      <c r="D2206" s="915"/>
      <c r="E2206" s="916" t="s">
        <v>4669</v>
      </c>
      <c r="F2206" s="917" t="s">
        <v>249</v>
      </c>
      <c r="G2206" s="918"/>
      <c r="H2206" s="919"/>
      <c r="I2206" s="920"/>
      <c r="J2206" s="891">
        <f>SUM(J2207:J2211)</f>
        <v>1825</v>
      </c>
      <c r="K2206" s="891"/>
      <c r="L2206" s="891">
        <f>SUM(L2207:L2211)</f>
        <v>265349.7</v>
      </c>
      <c r="M2206" s="891"/>
      <c r="N2206" s="891">
        <f>SUM(N2207:N2211)</f>
        <v>0</v>
      </c>
      <c r="O2206" s="892">
        <f t="shared" si="136"/>
        <v>1</v>
      </c>
      <c r="P2206" s="903">
        <f t="shared" si="137"/>
        <v>0</v>
      </c>
      <c r="Q2206" s="893">
        <f t="shared" si="138"/>
        <v>0</v>
      </c>
      <c r="R2206" s="894">
        <f t="shared" si="139"/>
        <v>5</v>
      </c>
    </row>
    <row r="2207" spans="1:18" s="904" customFormat="1">
      <c r="A2207" s="895"/>
      <c r="B2207" s="896"/>
      <c r="C2207" s="897"/>
      <c r="D2207" s="897"/>
      <c r="E2207" s="924" t="s">
        <v>108</v>
      </c>
      <c r="F2207" s="899"/>
      <c r="G2207" s="900"/>
      <c r="H2207" s="901"/>
      <c r="I2207" s="902"/>
      <c r="J2207" s="902"/>
      <c r="K2207" s="912" t="s">
        <v>274</v>
      </c>
      <c r="L2207" s="902"/>
      <c r="M2207" s="902"/>
      <c r="N2207" s="902"/>
      <c r="O2207" s="892">
        <f t="shared" si="136"/>
        <v>0</v>
      </c>
      <c r="P2207" s="903">
        <f t="shared" si="137"/>
        <v>1</v>
      </c>
      <c r="Q2207" s="893">
        <f t="shared" si="138"/>
        <v>5</v>
      </c>
      <c r="R2207" s="894">
        <f t="shared" si="139"/>
        <v>0</v>
      </c>
    </row>
    <row r="2208" spans="1:18">
      <c r="A2208" s="905"/>
      <c r="B2208" s="906"/>
      <c r="C2208" s="907">
        <v>66</v>
      </c>
      <c r="D2208" s="907" t="s">
        <v>279</v>
      </c>
      <c r="E2208" s="925" t="s">
        <v>2682</v>
      </c>
      <c r="F2208" s="926" t="s">
        <v>45</v>
      </c>
      <c r="G2208" s="910"/>
      <c r="H2208" s="911">
        <v>0.02</v>
      </c>
      <c r="I2208" s="912">
        <f>VLOOKUP(E2208,[3]VLP!$B$7:$K$300,10,0)</f>
        <v>5000</v>
      </c>
      <c r="J2208" s="912">
        <f>I2208*H2208</f>
        <v>100</v>
      </c>
      <c r="K2208" s="912" t="s">
        <v>274</v>
      </c>
      <c r="L2208" s="912"/>
      <c r="M2208" s="912"/>
      <c r="N2208" s="912"/>
      <c r="O2208" s="892">
        <f t="shared" si="136"/>
        <v>0</v>
      </c>
      <c r="P2208" s="903">
        <f t="shared" si="137"/>
        <v>1</v>
      </c>
      <c r="Q2208" s="893">
        <f t="shared" si="138"/>
        <v>4</v>
      </c>
      <c r="R2208" s="894">
        <f t="shared" si="139"/>
        <v>0</v>
      </c>
    </row>
    <row r="2209" spans="1:18">
      <c r="A2209" s="905"/>
      <c r="B2209" s="906"/>
      <c r="C2209" s="907">
        <v>44</v>
      </c>
      <c r="D2209" s="907" t="s">
        <v>279</v>
      </c>
      <c r="E2209" s="925" t="s">
        <v>2681</v>
      </c>
      <c r="F2209" s="926" t="s">
        <v>45</v>
      </c>
      <c r="G2209" s="910"/>
      <c r="H2209" s="911">
        <v>7.4999999999999997E-2</v>
      </c>
      <c r="I2209" s="912">
        <f>VLOOKUP(E2209,[3]VLP!$B$7:$K$300,10,0)</f>
        <v>23000</v>
      </c>
      <c r="J2209" s="912">
        <f>I2209*H2209</f>
        <v>1725</v>
      </c>
      <c r="K2209" s="912" t="s">
        <v>274</v>
      </c>
      <c r="L2209" s="912"/>
      <c r="M2209" s="912"/>
      <c r="N2209" s="912"/>
      <c r="O2209" s="892">
        <f t="shared" si="136"/>
        <v>0</v>
      </c>
      <c r="P2209" s="903">
        <f t="shared" si="137"/>
        <v>1</v>
      </c>
      <c r="Q2209" s="893">
        <f t="shared" si="138"/>
        <v>3</v>
      </c>
      <c r="R2209" s="894">
        <f t="shared" si="139"/>
        <v>0</v>
      </c>
    </row>
    <row r="2210" spans="1:18" s="904" customFormat="1">
      <c r="A2210" s="895"/>
      <c r="B2210" s="896"/>
      <c r="C2210" s="897"/>
      <c r="D2210" s="897"/>
      <c r="E2210" s="924" t="s">
        <v>276</v>
      </c>
      <c r="F2210" s="927"/>
      <c r="G2210" s="928"/>
      <c r="H2210" s="901"/>
      <c r="I2210" s="902"/>
      <c r="J2210" s="902"/>
      <c r="K2210" s="912" t="s">
        <v>274</v>
      </c>
      <c r="L2210" s="902"/>
      <c r="M2210" s="902"/>
      <c r="N2210" s="902"/>
      <c r="O2210" s="892">
        <f t="shared" si="136"/>
        <v>0</v>
      </c>
      <c r="P2210" s="903">
        <f t="shared" si="137"/>
        <v>1</v>
      </c>
      <c r="Q2210" s="893">
        <f t="shared" si="138"/>
        <v>2</v>
      </c>
      <c r="R2210" s="894">
        <f t="shared" si="139"/>
        <v>0</v>
      </c>
    </row>
    <row r="2211" spans="1:18">
      <c r="A2211" s="905"/>
      <c r="B2211" s="906"/>
      <c r="C2211" s="907">
        <v>740</v>
      </c>
      <c r="D2211" s="907" t="s">
        <v>12</v>
      </c>
      <c r="E2211" s="908" t="s">
        <v>4008</v>
      </c>
      <c r="F2211" s="909" t="s">
        <v>2674</v>
      </c>
      <c r="G2211" s="910"/>
      <c r="H2211" s="911">
        <v>1.05</v>
      </c>
      <c r="I2211" s="912"/>
      <c r="J2211" s="912"/>
      <c r="K2211" s="912">
        <f>VLOOKUP(E2211,ĐMNC!$A$7:$F$67,4,0)</f>
        <v>252714</v>
      </c>
      <c r="L2211" s="912">
        <f>H2211*K2211</f>
        <v>265349.7</v>
      </c>
      <c r="M2211" s="912"/>
      <c r="N2211" s="912"/>
      <c r="O2211" s="892">
        <f t="shared" si="136"/>
        <v>0</v>
      </c>
      <c r="P2211" s="903">
        <f t="shared" si="137"/>
        <v>1</v>
      </c>
      <c r="Q2211" s="893">
        <f t="shared" si="138"/>
        <v>1</v>
      </c>
      <c r="R2211" s="894">
        <f t="shared" si="139"/>
        <v>0</v>
      </c>
    </row>
    <row r="2212" spans="1:18" s="847" customFormat="1" ht="31.5">
      <c r="A2212" s="905"/>
      <c r="B2212" s="914" t="s">
        <v>4670</v>
      </c>
      <c r="C2212" s="915"/>
      <c r="D2212" s="915"/>
      <c r="E2212" s="916" t="s">
        <v>4671</v>
      </c>
      <c r="F2212" s="917" t="s">
        <v>249</v>
      </c>
      <c r="G2212" s="918"/>
      <c r="H2212" s="919"/>
      <c r="I2212" s="920"/>
      <c r="J2212" s="891">
        <f>SUM(J2213:J2217)</f>
        <v>1825</v>
      </c>
      <c r="K2212" s="891"/>
      <c r="L2212" s="891">
        <f>SUM(L2213:L2217)</f>
        <v>300729.65999999997</v>
      </c>
      <c r="M2212" s="891"/>
      <c r="N2212" s="891">
        <f>SUM(N2213:N2217)</f>
        <v>0</v>
      </c>
      <c r="O2212" s="892">
        <f t="shared" si="136"/>
        <v>1</v>
      </c>
      <c r="P2212" s="903">
        <f t="shared" si="137"/>
        <v>0</v>
      </c>
      <c r="Q2212" s="893">
        <f t="shared" si="138"/>
        <v>0</v>
      </c>
      <c r="R2212" s="894">
        <f t="shared" si="139"/>
        <v>5</v>
      </c>
    </row>
    <row r="2213" spans="1:18" s="904" customFormat="1">
      <c r="A2213" s="895"/>
      <c r="B2213" s="896"/>
      <c r="C2213" s="897"/>
      <c r="D2213" s="897"/>
      <c r="E2213" s="924" t="s">
        <v>108</v>
      </c>
      <c r="F2213" s="899"/>
      <c r="G2213" s="900"/>
      <c r="H2213" s="901"/>
      <c r="I2213" s="902"/>
      <c r="J2213" s="902"/>
      <c r="K2213" s="912" t="s">
        <v>274</v>
      </c>
      <c r="L2213" s="902"/>
      <c r="M2213" s="902"/>
      <c r="N2213" s="902"/>
      <c r="O2213" s="892">
        <f t="shared" si="136"/>
        <v>0</v>
      </c>
      <c r="P2213" s="903">
        <f t="shared" si="137"/>
        <v>1</v>
      </c>
      <c r="Q2213" s="893">
        <f t="shared" si="138"/>
        <v>5</v>
      </c>
      <c r="R2213" s="894">
        <f t="shared" si="139"/>
        <v>0</v>
      </c>
    </row>
    <row r="2214" spans="1:18">
      <c r="A2214" s="905"/>
      <c r="B2214" s="906"/>
      <c r="C2214" s="907">
        <v>66</v>
      </c>
      <c r="D2214" s="907" t="s">
        <v>279</v>
      </c>
      <c r="E2214" s="925" t="s">
        <v>2682</v>
      </c>
      <c r="F2214" s="926" t="s">
        <v>45</v>
      </c>
      <c r="G2214" s="910"/>
      <c r="H2214" s="911">
        <v>0.02</v>
      </c>
      <c r="I2214" s="912">
        <f>VLOOKUP(E2214,[3]VLP!$B$7:$K$300,10,0)</f>
        <v>5000</v>
      </c>
      <c r="J2214" s="912">
        <f>I2214*H2214</f>
        <v>100</v>
      </c>
      <c r="K2214" s="912" t="s">
        <v>274</v>
      </c>
      <c r="L2214" s="912"/>
      <c r="M2214" s="912"/>
      <c r="N2214" s="912"/>
      <c r="O2214" s="892">
        <f t="shared" si="136"/>
        <v>0</v>
      </c>
      <c r="P2214" s="903">
        <f t="shared" si="137"/>
        <v>1</v>
      </c>
      <c r="Q2214" s="893">
        <f t="shared" si="138"/>
        <v>4</v>
      </c>
      <c r="R2214" s="894">
        <f t="shared" si="139"/>
        <v>0</v>
      </c>
    </row>
    <row r="2215" spans="1:18">
      <c r="A2215" s="905"/>
      <c r="B2215" s="906"/>
      <c r="C2215" s="907">
        <v>44</v>
      </c>
      <c r="D2215" s="907" t="s">
        <v>279</v>
      </c>
      <c r="E2215" s="925" t="s">
        <v>2681</v>
      </c>
      <c r="F2215" s="926" t="s">
        <v>45</v>
      </c>
      <c r="G2215" s="910"/>
      <c r="H2215" s="911">
        <v>7.4999999999999997E-2</v>
      </c>
      <c r="I2215" s="912">
        <f>VLOOKUP(E2215,[3]VLP!$B$7:$K$300,10,0)</f>
        <v>23000</v>
      </c>
      <c r="J2215" s="912">
        <f>I2215*H2215</f>
        <v>1725</v>
      </c>
      <c r="K2215" s="912" t="s">
        <v>274</v>
      </c>
      <c r="L2215" s="912"/>
      <c r="M2215" s="912"/>
      <c r="N2215" s="912"/>
      <c r="O2215" s="892">
        <f t="shared" si="136"/>
        <v>0</v>
      </c>
      <c r="P2215" s="903">
        <f t="shared" si="137"/>
        <v>1</v>
      </c>
      <c r="Q2215" s="893">
        <f t="shared" si="138"/>
        <v>3</v>
      </c>
      <c r="R2215" s="894">
        <f t="shared" si="139"/>
        <v>0</v>
      </c>
    </row>
    <row r="2216" spans="1:18" s="904" customFormat="1">
      <c r="A2216" s="895"/>
      <c r="B2216" s="896"/>
      <c r="C2216" s="897"/>
      <c r="D2216" s="897"/>
      <c r="E2216" s="924" t="s">
        <v>276</v>
      </c>
      <c r="F2216" s="927"/>
      <c r="G2216" s="928"/>
      <c r="H2216" s="901"/>
      <c r="I2216" s="902"/>
      <c r="J2216" s="902"/>
      <c r="K2216" s="912" t="s">
        <v>274</v>
      </c>
      <c r="L2216" s="902"/>
      <c r="M2216" s="902"/>
      <c r="N2216" s="902"/>
      <c r="O2216" s="892">
        <f t="shared" si="136"/>
        <v>0</v>
      </c>
      <c r="P2216" s="903">
        <f t="shared" si="137"/>
        <v>1</v>
      </c>
      <c r="Q2216" s="893">
        <f t="shared" si="138"/>
        <v>2</v>
      </c>
      <c r="R2216" s="894">
        <f t="shared" si="139"/>
        <v>0</v>
      </c>
    </row>
    <row r="2217" spans="1:18">
      <c r="A2217" s="905"/>
      <c r="B2217" s="906"/>
      <c r="C2217" s="907">
        <v>740</v>
      </c>
      <c r="D2217" s="907" t="s">
        <v>12</v>
      </c>
      <c r="E2217" s="908" t="s">
        <v>4008</v>
      </c>
      <c r="F2217" s="909" t="s">
        <v>2674</v>
      </c>
      <c r="G2217" s="910"/>
      <c r="H2217" s="911">
        <v>1.19</v>
      </c>
      <c r="I2217" s="912"/>
      <c r="J2217" s="912"/>
      <c r="K2217" s="912">
        <f>VLOOKUP(E2217,ĐMNC!$A$7:$F$67,4,0)</f>
        <v>252714</v>
      </c>
      <c r="L2217" s="912">
        <f>H2217*K2217</f>
        <v>300729.65999999997</v>
      </c>
      <c r="M2217" s="912"/>
      <c r="N2217" s="912"/>
      <c r="O2217" s="892">
        <f t="shared" si="136"/>
        <v>0</v>
      </c>
      <c r="P2217" s="903">
        <f t="shared" si="137"/>
        <v>1</v>
      </c>
      <c r="Q2217" s="893">
        <f t="shared" si="138"/>
        <v>1</v>
      </c>
      <c r="R2217" s="894">
        <f t="shared" si="139"/>
        <v>0</v>
      </c>
    </row>
    <row r="2218" spans="1:18" s="847" customFormat="1" ht="31.5">
      <c r="A2218" s="905"/>
      <c r="B2218" s="914" t="s">
        <v>4672</v>
      </c>
      <c r="C2218" s="915"/>
      <c r="D2218" s="915"/>
      <c r="E2218" s="916" t="s">
        <v>4673</v>
      </c>
      <c r="F2218" s="917" t="s">
        <v>249</v>
      </c>
      <c r="G2218" s="918"/>
      <c r="H2218" s="919"/>
      <c r="I2218" s="920"/>
      <c r="J2218" s="891">
        <f>SUM(J2219:J2223)</f>
        <v>1825</v>
      </c>
      <c r="K2218" s="891"/>
      <c r="L2218" s="891">
        <f>SUM(L2219:L2223)</f>
        <v>331055.34000000003</v>
      </c>
      <c r="M2218" s="891"/>
      <c r="N2218" s="891">
        <f>SUM(N2219:N2223)</f>
        <v>0</v>
      </c>
      <c r="O2218" s="892">
        <f t="shared" si="136"/>
        <v>1</v>
      </c>
      <c r="P2218" s="903">
        <f t="shared" si="137"/>
        <v>0</v>
      </c>
      <c r="Q2218" s="893">
        <f t="shared" si="138"/>
        <v>0</v>
      </c>
      <c r="R2218" s="894">
        <f t="shared" si="139"/>
        <v>5</v>
      </c>
    </row>
    <row r="2219" spans="1:18" s="904" customFormat="1">
      <c r="A2219" s="895"/>
      <c r="B2219" s="896"/>
      <c r="C2219" s="897"/>
      <c r="D2219" s="897"/>
      <c r="E2219" s="924" t="s">
        <v>108</v>
      </c>
      <c r="F2219" s="899"/>
      <c r="G2219" s="900"/>
      <c r="H2219" s="901"/>
      <c r="I2219" s="902"/>
      <c r="J2219" s="902"/>
      <c r="K2219" s="912" t="s">
        <v>274</v>
      </c>
      <c r="L2219" s="902"/>
      <c r="M2219" s="902"/>
      <c r="N2219" s="902"/>
      <c r="O2219" s="892">
        <f t="shared" si="136"/>
        <v>0</v>
      </c>
      <c r="P2219" s="903">
        <f t="shared" si="137"/>
        <v>1</v>
      </c>
      <c r="Q2219" s="893">
        <f t="shared" si="138"/>
        <v>5</v>
      </c>
      <c r="R2219" s="894">
        <f t="shared" si="139"/>
        <v>0</v>
      </c>
    </row>
    <row r="2220" spans="1:18">
      <c r="A2220" s="905"/>
      <c r="B2220" s="906"/>
      <c r="C2220" s="907">
        <v>66</v>
      </c>
      <c r="D2220" s="907" t="s">
        <v>279</v>
      </c>
      <c r="E2220" s="925" t="s">
        <v>2682</v>
      </c>
      <c r="F2220" s="926" t="s">
        <v>45</v>
      </c>
      <c r="G2220" s="910"/>
      <c r="H2220" s="911">
        <v>0.02</v>
      </c>
      <c r="I2220" s="912">
        <f>VLOOKUP(E2220,[3]VLP!$B$7:$K$300,10,0)</f>
        <v>5000</v>
      </c>
      <c r="J2220" s="912">
        <f>I2220*H2220</f>
        <v>100</v>
      </c>
      <c r="K2220" s="912" t="s">
        <v>274</v>
      </c>
      <c r="L2220" s="912"/>
      <c r="M2220" s="912"/>
      <c r="N2220" s="912"/>
      <c r="O2220" s="892">
        <f t="shared" si="136"/>
        <v>0</v>
      </c>
      <c r="P2220" s="903">
        <f t="shared" si="137"/>
        <v>1</v>
      </c>
      <c r="Q2220" s="893">
        <f t="shared" si="138"/>
        <v>4</v>
      </c>
      <c r="R2220" s="894">
        <f t="shared" si="139"/>
        <v>0</v>
      </c>
    </row>
    <row r="2221" spans="1:18">
      <c r="A2221" s="905"/>
      <c r="B2221" s="906"/>
      <c r="C2221" s="907">
        <v>44</v>
      </c>
      <c r="D2221" s="907" t="s">
        <v>279</v>
      </c>
      <c r="E2221" s="925" t="s">
        <v>2681</v>
      </c>
      <c r="F2221" s="926" t="s">
        <v>45</v>
      </c>
      <c r="G2221" s="910"/>
      <c r="H2221" s="911">
        <v>7.4999999999999997E-2</v>
      </c>
      <c r="I2221" s="912">
        <f>VLOOKUP(E2221,[3]VLP!$B$7:$K$300,10,0)</f>
        <v>23000</v>
      </c>
      <c r="J2221" s="912">
        <f>I2221*H2221</f>
        <v>1725</v>
      </c>
      <c r="K2221" s="912" t="s">
        <v>274</v>
      </c>
      <c r="L2221" s="912"/>
      <c r="M2221" s="912"/>
      <c r="N2221" s="912"/>
      <c r="O2221" s="892">
        <f t="shared" si="136"/>
        <v>0</v>
      </c>
      <c r="P2221" s="903">
        <f t="shared" si="137"/>
        <v>1</v>
      </c>
      <c r="Q2221" s="893">
        <f t="shared" si="138"/>
        <v>3</v>
      </c>
      <c r="R2221" s="894">
        <f t="shared" si="139"/>
        <v>0</v>
      </c>
    </row>
    <row r="2222" spans="1:18" s="904" customFormat="1">
      <c r="A2222" s="895"/>
      <c r="B2222" s="896"/>
      <c r="C2222" s="897"/>
      <c r="D2222" s="897"/>
      <c r="E2222" s="924" t="s">
        <v>276</v>
      </c>
      <c r="F2222" s="927"/>
      <c r="G2222" s="928"/>
      <c r="H2222" s="901"/>
      <c r="I2222" s="902"/>
      <c r="J2222" s="902"/>
      <c r="K2222" s="912" t="s">
        <v>274</v>
      </c>
      <c r="L2222" s="902"/>
      <c r="M2222" s="902"/>
      <c r="N2222" s="902"/>
      <c r="O2222" s="892">
        <f t="shared" si="136"/>
        <v>0</v>
      </c>
      <c r="P2222" s="903">
        <f t="shared" si="137"/>
        <v>1</v>
      </c>
      <c r="Q2222" s="893">
        <f t="shared" si="138"/>
        <v>2</v>
      </c>
      <c r="R2222" s="894">
        <f t="shared" si="139"/>
        <v>0</v>
      </c>
    </row>
    <row r="2223" spans="1:18">
      <c r="A2223" s="905"/>
      <c r="B2223" s="906"/>
      <c r="C2223" s="907">
        <v>740</v>
      </c>
      <c r="D2223" s="907" t="s">
        <v>12</v>
      </c>
      <c r="E2223" s="908" t="s">
        <v>4008</v>
      </c>
      <c r="F2223" s="909" t="s">
        <v>2674</v>
      </c>
      <c r="G2223" s="910"/>
      <c r="H2223" s="911">
        <v>1.31</v>
      </c>
      <c r="I2223" s="912"/>
      <c r="J2223" s="912"/>
      <c r="K2223" s="912">
        <f>VLOOKUP(E2223,ĐMNC!$A$7:$F$67,4,0)</f>
        <v>252714</v>
      </c>
      <c r="L2223" s="912">
        <f>H2223*K2223</f>
        <v>331055.34000000003</v>
      </c>
      <c r="M2223" s="912"/>
      <c r="N2223" s="912"/>
      <c r="O2223" s="892">
        <f t="shared" si="136"/>
        <v>0</v>
      </c>
      <c r="P2223" s="903">
        <f t="shared" si="137"/>
        <v>1</v>
      </c>
      <c r="Q2223" s="893">
        <f t="shared" si="138"/>
        <v>1</v>
      </c>
      <c r="R2223" s="894">
        <f t="shared" si="139"/>
        <v>0</v>
      </c>
    </row>
    <row r="2224" spans="1:18" s="847" customFormat="1" ht="31.5">
      <c r="A2224" s="905"/>
      <c r="B2224" s="914" t="s">
        <v>4674</v>
      </c>
      <c r="C2224" s="915"/>
      <c r="D2224" s="915"/>
      <c r="E2224" s="916" t="s">
        <v>4675</v>
      </c>
      <c r="F2224" s="917" t="s">
        <v>249</v>
      </c>
      <c r="G2224" s="918"/>
      <c r="H2224" s="919"/>
      <c r="I2224" s="920"/>
      <c r="J2224" s="891">
        <f>SUM(J2225:J2229)</f>
        <v>1825</v>
      </c>
      <c r="K2224" s="891"/>
      <c r="L2224" s="891">
        <f>SUM(L2225:L2229)</f>
        <v>366435.3</v>
      </c>
      <c r="M2224" s="891"/>
      <c r="N2224" s="891">
        <f>SUM(N2225:N2229)</f>
        <v>0</v>
      </c>
      <c r="O2224" s="892">
        <f t="shared" si="136"/>
        <v>1</v>
      </c>
      <c r="P2224" s="903">
        <f t="shared" si="137"/>
        <v>0</v>
      </c>
      <c r="Q2224" s="893">
        <f t="shared" si="138"/>
        <v>0</v>
      </c>
      <c r="R2224" s="894">
        <f t="shared" si="139"/>
        <v>5</v>
      </c>
    </row>
    <row r="2225" spans="1:18" s="904" customFormat="1">
      <c r="A2225" s="895"/>
      <c r="B2225" s="896"/>
      <c r="C2225" s="897"/>
      <c r="D2225" s="897"/>
      <c r="E2225" s="924" t="s">
        <v>108</v>
      </c>
      <c r="F2225" s="899"/>
      <c r="G2225" s="900"/>
      <c r="H2225" s="901"/>
      <c r="I2225" s="902"/>
      <c r="J2225" s="902"/>
      <c r="K2225" s="912" t="s">
        <v>274</v>
      </c>
      <c r="L2225" s="902"/>
      <c r="M2225" s="902"/>
      <c r="N2225" s="902"/>
      <c r="O2225" s="892">
        <f t="shared" si="136"/>
        <v>0</v>
      </c>
      <c r="P2225" s="903">
        <f t="shared" si="137"/>
        <v>1</v>
      </c>
      <c r="Q2225" s="893">
        <f t="shared" si="138"/>
        <v>5</v>
      </c>
      <c r="R2225" s="894">
        <f t="shared" si="139"/>
        <v>0</v>
      </c>
    </row>
    <row r="2226" spans="1:18">
      <c r="A2226" s="905"/>
      <c r="B2226" s="906"/>
      <c r="C2226" s="907">
        <v>66</v>
      </c>
      <c r="D2226" s="907" t="s">
        <v>279</v>
      </c>
      <c r="E2226" s="925" t="s">
        <v>2682</v>
      </c>
      <c r="F2226" s="926" t="s">
        <v>45</v>
      </c>
      <c r="G2226" s="910"/>
      <c r="H2226" s="911">
        <v>0.02</v>
      </c>
      <c r="I2226" s="912">
        <f>VLOOKUP(E2226,[3]VLP!$B$7:$K$300,10,0)</f>
        <v>5000</v>
      </c>
      <c r="J2226" s="912">
        <f>I2226*H2226</f>
        <v>100</v>
      </c>
      <c r="K2226" s="912" t="s">
        <v>274</v>
      </c>
      <c r="L2226" s="912"/>
      <c r="M2226" s="912"/>
      <c r="N2226" s="912"/>
      <c r="O2226" s="892">
        <f t="shared" si="136"/>
        <v>0</v>
      </c>
      <c r="P2226" s="903">
        <f t="shared" si="137"/>
        <v>1</v>
      </c>
      <c r="Q2226" s="893">
        <f t="shared" si="138"/>
        <v>4</v>
      </c>
      <c r="R2226" s="894">
        <f t="shared" si="139"/>
        <v>0</v>
      </c>
    </row>
    <row r="2227" spans="1:18">
      <c r="A2227" s="905"/>
      <c r="B2227" s="906"/>
      <c r="C2227" s="907">
        <v>44</v>
      </c>
      <c r="D2227" s="907" t="s">
        <v>279</v>
      </c>
      <c r="E2227" s="925" t="s">
        <v>2681</v>
      </c>
      <c r="F2227" s="926" t="s">
        <v>45</v>
      </c>
      <c r="G2227" s="910"/>
      <c r="H2227" s="911">
        <v>7.4999999999999997E-2</v>
      </c>
      <c r="I2227" s="912">
        <f>VLOOKUP(E2227,[3]VLP!$B$7:$K$300,10,0)</f>
        <v>23000</v>
      </c>
      <c r="J2227" s="912">
        <f>I2227*H2227</f>
        <v>1725</v>
      </c>
      <c r="K2227" s="912" t="s">
        <v>274</v>
      </c>
      <c r="L2227" s="912"/>
      <c r="M2227" s="912"/>
      <c r="N2227" s="912"/>
      <c r="O2227" s="892">
        <f t="shared" si="136"/>
        <v>0</v>
      </c>
      <c r="P2227" s="903">
        <f t="shared" si="137"/>
        <v>1</v>
      </c>
      <c r="Q2227" s="893">
        <f t="shared" si="138"/>
        <v>3</v>
      </c>
      <c r="R2227" s="894">
        <f t="shared" si="139"/>
        <v>0</v>
      </c>
    </row>
    <row r="2228" spans="1:18" s="904" customFormat="1">
      <c r="A2228" s="895"/>
      <c r="B2228" s="896"/>
      <c r="C2228" s="897"/>
      <c r="D2228" s="897"/>
      <c r="E2228" s="924" t="s">
        <v>276</v>
      </c>
      <c r="F2228" s="927"/>
      <c r="G2228" s="928"/>
      <c r="H2228" s="901"/>
      <c r="I2228" s="902"/>
      <c r="J2228" s="902"/>
      <c r="K2228" s="912" t="s">
        <v>274</v>
      </c>
      <c r="L2228" s="902"/>
      <c r="M2228" s="902"/>
      <c r="N2228" s="902"/>
      <c r="O2228" s="892">
        <f t="shared" si="136"/>
        <v>0</v>
      </c>
      <c r="P2228" s="903">
        <f t="shared" si="137"/>
        <v>1</v>
      </c>
      <c r="Q2228" s="893">
        <f t="shared" si="138"/>
        <v>2</v>
      </c>
      <c r="R2228" s="894">
        <f t="shared" si="139"/>
        <v>0</v>
      </c>
    </row>
    <row r="2229" spans="1:18">
      <c r="A2229" s="905"/>
      <c r="B2229" s="906"/>
      <c r="C2229" s="907">
        <v>740</v>
      </c>
      <c r="D2229" s="907" t="s">
        <v>12</v>
      </c>
      <c r="E2229" s="908" t="s">
        <v>4008</v>
      </c>
      <c r="F2229" s="909" t="s">
        <v>2674</v>
      </c>
      <c r="G2229" s="910"/>
      <c r="H2229" s="911">
        <v>1.45</v>
      </c>
      <c r="I2229" s="912"/>
      <c r="J2229" s="912"/>
      <c r="K2229" s="912">
        <f>VLOOKUP(E2229,ĐMNC!$A$7:$F$67,4,0)</f>
        <v>252714</v>
      </c>
      <c r="L2229" s="912">
        <f>H2229*K2229</f>
        <v>366435.3</v>
      </c>
      <c r="M2229" s="912"/>
      <c r="N2229" s="912"/>
      <c r="O2229" s="892">
        <f t="shared" si="136"/>
        <v>0</v>
      </c>
      <c r="P2229" s="903">
        <f t="shared" si="137"/>
        <v>1</v>
      </c>
      <c r="Q2229" s="893">
        <f t="shared" si="138"/>
        <v>1</v>
      </c>
      <c r="R2229" s="894">
        <f t="shared" si="139"/>
        <v>0</v>
      </c>
    </row>
    <row r="2230" spans="1:18" s="847" customFormat="1" ht="31.5">
      <c r="A2230" s="905" t="s">
        <v>4676</v>
      </c>
      <c r="B2230" s="914" t="s">
        <v>4677</v>
      </c>
      <c r="C2230" s="915"/>
      <c r="D2230" s="915"/>
      <c r="E2230" s="916" t="s">
        <v>4678</v>
      </c>
      <c r="F2230" s="917" t="s">
        <v>249</v>
      </c>
      <c r="G2230" s="918"/>
      <c r="H2230" s="919"/>
      <c r="I2230" s="920"/>
      <c r="J2230" s="891">
        <f>SUM(J2231:J2235)</f>
        <v>1825</v>
      </c>
      <c r="K2230" s="891"/>
      <c r="L2230" s="891">
        <f>SUM(L2231:L2235)</f>
        <v>419505.24</v>
      </c>
      <c r="M2230" s="891"/>
      <c r="N2230" s="891">
        <f>SUM(N2231:N2235)</f>
        <v>0</v>
      </c>
      <c r="O2230" s="892">
        <f t="shared" si="136"/>
        <v>1</v>
      </c>
      <c r="P2230" s="903">
        <f t="shared" si="137"/>
        <v>0</v>
      </c>
      <c r="Q2230" s="893">
        <f t="shared" si="138"/>
        <v>0</v>
      </c>
      <c r="R2230" s="894">
        <f t="shared" si="139"/>
        <v>5</v>
      </c>
    </row>
    <row r="2231" spans="1:18" s="904" customFormat="1">
      <c r="A2231" s="895"/>
      <c r="B2231" s="896"/>
      <c r="C2231" s="897"/>
      <c r="D2231" s="897"/>
      <c r="E2231" s="924" t="s">
        <v>108</v>
      </c>
      <c r="F2231" s="899"/>
      <c r="G2231" s="900"/>
      <c r="H2231" s="901"/>
      <c r="I2231" s="902"/>
      <c r="J2231" s="902"/>
      <c r="K2231" s="912" t="s">
        <v>274</v>
      </c>
      <c r="L2231" s="902"/>
      <c r="M2231" s="902"/>
      <c r="N2231" s="902"/>
      <c r="O2231" s="892">
        <f t="shared" si="136"/>
        <v>0</v>
      </c>
      <c r="P2231" s="903">
        <f t="shared" si="137"/>
        <v>1</v>
      </c>
      <c r="Q2231" s="893">
        <f t="shared" si="138"/>
        <v>5</v>
      </c>
      <c r="R2231" s="894">
        <f t="shared" si="139"/>
        <v>0</v>
      </c>
    </row>
    <row r="2232" spans="1:18">
      <c r="A2232" s="905"/>
      <c r="B2232" s="906"/>
      <c r="C2232" s="907">
        <v>66</v>
      </c>
      <c r="D2232" s="907" t="s">
        <v>279</v>
      </c>
      <c r="E2232" s="925" t="s">
        <v>2682</v>
      </c>
      <c r="F2232" s="926" t="s">
        <v>45</v>
      </c>
      <c r="G2232" s="910"/>
      <c r="H2232" s="911">
        <v>0.02</v>
      </c>
      <c r="I2232" s="912">
        <f>VLOOKUP(E2232,[3]VLP!$B$7:$K$300,10,0)</f>
        <v>5000</v>
      </c>
      <c r="J2232" s="912">
        <f>I2232*H2232</f>
        <v>100</v>
      </c>
      <c r="K2232" s="912" t="s">
        <v>274</v>
      </c>
      <c r="L2232" s="912"/>
      <c r="M2232" s="912"/>
      <c r="N2232" s="912"/>
      <c r="O2232" s="892">
        <f t="shared" si="136"/>
        <v>0</v>
      </c>
      <c r="P2232" s="903">
        <f t="shared" si="137"/>
        <v>1</v>
      </c>
      <c r="Q2232" s="893">
        <f t="shared" si="138"/>
        <v>4</v>
      </c>
      <c r="R2232" s="894">
        <f t="shared" si="139"/>
        <v>0</v>
      </c>
    </row>
    <row r="2233" spans="1:18">
      <c r="A2233" s="905"/>
      <c r="B2233" s="906"/>
      <c r="C2233" s="907">
        <v>44</v>
      </c>
      <c r="D2233" s="907" t="s">
        <v>279</v>
      </c>
      <c r="E2233" s="925" t="s">
        <v>2681</v>
      </c>
      <c r="F2233" s="926" t="s">
        <v>45</v>
      </c>
      <c r="G2233" s="910"/>
      <c r="H2233" s="911">
        <v>7.4999999999999997E-2</v>
      </c>
      <c r="I2233" s="912">
        <f>VLOOKUP(E2233,[3]VLP!$B$7:$K$300,10,0)</f>
        <v>23000</v>
      </c>
      <c r="J2233" s="912">
        <f>I2233*H2233</f>
        <v>1725</v>
      </c>
      <c r="K2233" s="912" t="s">
        <v>274</v>
      </c>
      <c r="L2233" s="912"/>
      <c r="M2233" s="912"/>
      <c r="N2233" s="912"/>
      <c r="O2233" s="892">
        <f t="shared" si="136"/>
        <v>0</v>
      </c>
      <c r="P2233" s="903">
        <f t="shared" si="137"/>
        <v>1</v>
      </c>
      <c r="Q2233" s="893">
        <f t="shared" si="138"/>
        <v>3</v>
      </c>
      <c r="R2233" s="894">
        <f t="shared" si="139"/>
        <v>0</v>
      </c>
    </row>
    <row r="2234" spans="1:18" s="904" customFormat="1">
      <c r="A2234" s="895"/>
      <c r="B2234" s="896"/>
      <c r="C2234" s="897"/>
      <c r="D2234" s="897"/>
      <c r="E2234" s="924" t="s">
        <v>276</v>
      </c>
      <c r="F2234" s="927"/>
      <c r="G2234" s="928"/>
      <c r="H2234" s="901"/>
      <c r="I2234" s="902"/>
      <c r="J2234" s="902"/>
      <c r="K2234" s="912" t="s">
        <v>274</v>
      </c>
      <c r="L2234" s="902"/>
      <c r="M2234" s="902"/>
      <c r="N2234" s="902"/>
      <c r="O2234" s="892">
        <f t="shared" si="136"/>
        <v>0</v>
      </c>
      <c r="P2234" s="903">
        <f t="shared" si="137"/>
        <v>1</v>
      </c>
      <c r="Q2234" s="893">
        <f t="shared" si="138"/>
        <v>2</v>
      </c>
      <c r="R2234" s="894">
        <f t="shared" si="139"/>
        <v>0</v>
      </c>
    </row>
    <row r="2235" spans="1:18">
      <c r="A2235" s="905"/>
      <c r="B2235" s="906"/>
      <c r="C2235" s="907">
        <v>740</v>
      </c>
      <c r="D2235" s="907" t="s">
        <v>12</v>
      </c>
      <c r="E2235" s="908" t="s">
        <v>4008</v>
      </c>
      <c r="F2235" s="909" t="s">
        <v>2674</v>
      </c>
      <c r="G2235" s="910"/>
      <c r="H2235" s="911">
        <v>1.66</v>
      </c>
      <c r="I2235" s="912"/>
      <c r="J2235" s="912"/>
      <c r="K2235" s="912">
        <f>VLOOKUP(E2235,ĐMNC!$A$7:$F$67,4,0)</f>
        <v>252714</v>
      </c>
      <c r="L2235" s="912">
        <f>H2235*K2235</f>
        <v>419505.24</v>
      </c>
      <c r="M2235" s="912"/>
      <c r="N2235" s="912"/>
      <c r="O2235" s="892">
        <f t="shared" si="136"/>
        <v>0</v>
      </c>
      <c r="P2235" s="903">
        <f t="shared" si="137"/>
        <v>1</v>
      </c>
      <c r="Q2235" s="893">
        <f t="shared" si="138"/>
        <v>1</v>
      </c>
      <c r="R2235" s="894">
        <f t="shared" si="139"/>
        <v>0</v>
      </c>
    </row>
    <row r="2236" spans="1:18" s="847" customFormat="1" ht="31.5">
      <c r="A2236" s="905"/>
      <c r="B2236" s="914" t="s">
        <v>4679</v>
      </c>
      <c r="C2236" s="915"/>
      <c r="D2236" s="915"/>
      <c r="E2236" s="916" t="s">
        <v>4680</v>
      </c>
      <c r="F2236" s="917" t="s">
        <v>249</v>
      </c>
      <c r="G2236" s="918"/>
      <c r="H2236" s="919"/>
      <c r="I2236" s="920"/>
      <c r="J2236" s="891">
        <f>SUM(J2237:J2241)</f>
        <v>1825</v>
      </c>
      <c r="K2236" s="891"/>
      <c r="L2236" s="891">
        <f>SUM(L2237:L2241)</f>
        <v>485210.88</v>
      </c>
      <c r="M2236" s="891"/>
      <c r="N2236" s="891">
        <f>SUM(N2237:N2241)</f>
        <v>0</v>
      </c>
      <c r="O2236" s="892">
        <f t="shared" si="136"/>
        <v>1</v>
      </c>
      <c r="P2236" s="903">
        <f t="shared" si="137"/>
        <v>0</v>
      </c>
      <c r="Q2236" s="893">
        <f t="shared" si="138"/>
        <v>0</v>
      </c>
      <c r="R2236" s="894">
        <f t="shared" si="139"/>
        <v>5</v>
      </c>
    </row>
    <row r="2237" spans="1:18" s="904" customFormat="1">
      <c r="A2237" s="895"/>
      <c r="B2237" s="896"/>
      <c r="C2237" s="897"/>
      <c r="D2237" s="897"/>
      <c r="E2237" s="924" t="s">
        <v>108</v>
      </c>
      <c r="F2237" s="899"/>
      <c r="G2237" s="900"/>
      <c r="H2237" s="901"/>
      <c r="I2237" s="902"/>
      <c r="J2237" s="902"/>
      <c r="K2237" s="912" t="s">
        <v>274</v>
      </c>
      <c r="L2237" s="902"/>
      <c r="M2237" s="902"/>
      <c r="N2237" s="902"/>
      <c r="O2237" s="892">
        <f t="shared" si="136"/>
        <v>0</v>
      </c>
      <c r="P2237" s="903">
        <f t="shared" si="137"/>
        <v>1</v>
      </c>
      <c r="Q2237" s="893">
        <f t="shared" si="138"/>
        <v>5</v>
      </c>
      <c r="R2237" s="894">
        <f t="shared" si="139"/>
        <v>0</v>
      </c>
    </row>
    <row r="2238" spans="1:18">
      <c r="A2238" s="905"/>
      <c r="B2238" s="906"/>
      <c r="C2238" s="907">
        <v>66</v>
      </c>
      <c r="D2238" s="907" t="s">
        <v>279</v>
      </c>
      <c r="E2238" s="925" t="s">
        <v>2682</v>
      </c>
      <c r="F2238" s="926" t="s">
        <v>45</v>
      </c>
      <c r="G2238" s="910"/>
      <c r="H2238" s="911">
        <v>0.02</v>
      </c>
      <c r="I2238" s="912">
        <f>VLOOKUP(E2238,[3]VLP!$B$7:$K$300,10,0)</f>
        <v>5000</v>
      </c>
      <c r="J2238" s="912">
        <f>I2238*H2238</f>
        <v>100</v>
      </c>
      <c r="K2238" s="912" t="s">
        <v>274</v>
      </c>
      <c r="L2238" s="912"/>
      <c r="M2238" s="912"/>
      <c r="N2238" s="912"/>
      <c r="O2238" s="892">
        <f t="shared" si="136"/>
        <v>0</v>
      </c>
      <c r="P2238" s="903">
        <f t="shared" si="137"/>
        <v>1</v>
      </c>
      <c r="Q2238" s="893">
        <f t="shared" si="138"/>
        <v>4</v>
      </c>
      <c r="R2238" s="894">
        <f t="shared" si="139"/>
        <v>0</v>
      </c>
    </row>
    <row r="2239" spans="1:18">
      <c r="A2239" s="905"/>
      <c r="B2239" s="906"/>
      <c r="C2239" s="907">
        <v>44</v>
      </c>
      <c r="D2239" s="907" t="s">
        <v>279</v>
      </c>
      <c r="E2239" s="925" t="s">
        <v>2681</v>
      </c>
      <c r="F2239" s="926" t="s">
        <v>45</v>
      </c>
      <c r="G2239" s="910"/>
      <c r="H2239" s="911">
        <v>7.4999999999999997E-2</v>
      </c>
      <c r="I2239" s="912">
        <f>VLOOKUP(E2239,[3]VLP!$B$7:$K$300,10,0)</f>
        <v>23000</v>
      </c>
      <c r="J2239" s="912">
        <f>I2239*H2239</f>
        <v>1725</v>
      </c>
      <c r="K2239" s="912" t="s">
        <v>274</v>
      </c>
      <c r="L2239" s="912"/>
      <c r="M2239" s="912"/>
      <c r="N2239" s="912"/>
      <c r="O2239" s="892">
        <f t="shared" si="136"/>
        <v>0</v>
      </c>
      <c r="P2239" s="903">
        <f t="shared" si="137"/>
        <v>1</v>
      </c>
      <c r="Q2239" s="893">
        <f t="shared" si="138"/>
        <v>3</v>
      </c>
      <c r="R2239" s="894">
        <f t="shared" si="139"/>
        <v>0</v>
      </c>
    </row>
    <row r="2240" spans="1:18" s="904" customFormat="1">
      <c r="A2240" s="895"/>
      <c r="B2240" s="896"/>
      <c r="C2240" s="897"/>
      <c r="D2240" s="897"/>
      <c r="E2240" s="924" t="s">
        <v>276</v>
      </c>
      <c r="F2240" s="927"/>
      <c r="G2240" s="928"/>
      <c r="H2240" s="901"/>
      <c r="I2240" s="902"/>
      <c r="J2240" s="902"/>
      <c r="K2240" s="912" t="s">
        <v>274</v>
      </c>
      <c r="L2240" s="902"/>
      <c r="M2240" s="902"/>
      <c r="N2240" s="902"/>
      <c r="O2240" s="892">
        <f t="shared" si="136"/>
        <v>0</v>
      </c>
      <c r="P2240" s="903">
        <f t="shared" si="137"/>
        <v>1</v>
      </c>
      <c r="Q2240" s="893">
        <f t="shared" si="138"/>
        <v>2</v>
      </c>
      <c r="R2240" s="894">
        <f t="shared" si="139"/>
        <v>0</v>
      </c>
    </row>
    <row r="2241" spans="1:18">
      <c r="A2241" s="905"/>
      <c r="B2241" s="906"/>
      <c r="C2241" s="907">
        <v>740</v>
      </c>
      <c r="D2241" s="907" t="s">
        <v>12</v>
      </c>
      <c r="E2241" s="908" t="s">
        <v>4008</v>
      </c>
      <c r="F2241" s="909" t="s">
        <v>2674</v>
      </c>
      <c r="G2241" s="910"/>
      <c r="H2241" s="911">
        <v>1.92</v>
      </c>
      <c r="I2241" s="912"/>
      <c r="J2241" s="912"/>
      <c r="K2241" s="912">
        <f>VLOOKUP(E2241,ĐMNC!$A$7:$F$67,4,0)</f>
        <v>252714</v>
      </c>
      <c r="L2241" s="912">
        <f>H2241*K2241</f>
        <v>485210.88</v>
      </c>
      <c r="M2241" s="912"/>
      <c r="N2241" s="912"/>
      <c r="O2241" s="892">
        <f t="shared" si="136"/>
        <v>0</v>
      </c>
      <c r="P2241" s="903">
        <f t="shared" si="137"/>
        <v>1</v>
      </c>
      <c r="Q2241" s="893">
        <f t="shared" si="138"/>
        <v>1</v>
      </c>
      <c r="R2241" s="894">
        <f t="shared" si="139"/>
        <v>0</v>
      </c>
    </row>
    <row r="2242" spans="1:18" s="847" customFormat="1" ht="31.5">
      <c r="A2242" s="905"/>
      <c r="B2242" s="914" t="s">
        <v>4681</v>
      </c>
      <c r="C2242" s="915"/>
      <c r="D2242" s="915"/>
      <c r="E2242" s="916" t="s">
        <v>4682</v>
      </c>
      <c r="F2242" s="917" t="s">
        <v>249</v>
      </c>
      <c r="G2242" s="918"/>
      <c r="H2242" s="919"/>
      <c r="I2242" s="920"/>
      <c r="J2242" s="891">
        <f>SUM(J2243:J2247)</f>
        <v>2910</v>
      </c>
      <c r="K2242" s="891"/>
      <c r="L2242" s="891">
        <f>SUM(L2243:L2247)</f>
        <v>356326.74</v>
      </c>
      <c r="M2242" s="891"/>
      <c r="N2242" s="891">
        <f>SUM(N2243:N2247)</f>
        <v>0</v>
      </c>
      <c r="O2242" s="892">
        <f t="shared" si="136"/>
        <v>1</v>
      </c>
      <c r="P2242" s="903">
        <f t="shared" si="137"/>
        <v>0</v>
      </c>
      <c r="Q2242" s="893">
        <f t="shared" si="138"/>
        <v>0</v>
      </c>
      <c r="R2242" s="894">
        <f t="shared" si="139"/>
        <v>5</v>
      </c>
    </row>
    <row r="2243" spans="1:18" s="904" customFormat="1">
      <c r="A2243" s="895"/>
      <c r="B2243" s="896"/>
      <c r="C2243" s="897"/>
      <c r="D2243" s="897"/>
      <c r="E2243" s="924" t="s">
        <v>108</v>
      </c>
      <c r="F2243" s="899"/>
      <c r="G2243" s="900"/>
      <c r="H2243" s="901"/>
      <c r="I2243" s="902"/>
      <c r="J2243" s="902"/>
      <c r="K2243" s="912" t="s">
        <v>274</v>
      </c>
      <c r="L2243" s="902"/>
      <c r="M2243" s="902"/>
      <c r="N2243" s="902"/>
      <c r="O2243" s="892">
        <f t="shared" si="136"/>
        <v>0</v>
      </c>
      <c r="P2243" s="903">
        <f t="shared" si="137"/>
        <v>1</v>
      </c>
      <c r="Q2243" s="893">
        <f t="shared" si="138"/>
        <v>5</v>
      </c>
      <c r="R2243" s="894">
        <f t="shared" si="139"/>
        <v>0</v>
      </c>
    </row>
    <row r="2244" spans="1:18">
      <c r="A2244" s="905"/>
      <c r="B2244" s="906"/>
      <c r="C2244" s="907">
        <v>66</v>
      </c>
      <c r="D2244" s="907" t="s">
        <v>279</v>
      </c>
      <c r="E2244" s="925" t="s">
        <v>2682</v>
      </c>
      <c r="F2244" s="926" t="s">
        <v>45</v>
      </c>
      <c r="G2244" s="910"/>
      <c r="H2244" s="911">
        <v>0.03</v>
      </c>
      <c r="I2244" s="912">
        <f>VLOOKUP(E2244,[3]VLP!$B$7:$K$300,10,0)</f>
        <v>5000</v>
      </c>
      <c r="J2244" s="912">
        <f>I2244*H2244</f>
        <v>150</v>
      </c>
      <c r="K2244" s="912" t="s">
        <v>274</v>
      </c>
      <c r="L2244" s="912"/>
      <c r="M2244" s="912"/>
      <c r="N2244" s="912"/>
      <c r="O2244" s="892">
        <f t="shared" si="136"/>
        <v>0</v>
      </c>
      <c r="P2244" s="903">
        <f t="shared" si="137"/>
        <v>1</v>
      </c>
      <c r="Q2244" s="893">
        <f t="shared" si="138"/>
        <v>4</v>
      </c>
      <c r="R2244" s="894">
        <f t="shared" si="139"/>
        <v>0</v>
      </c>
    </row>
    <row r="2245" spans="1:18">
      <c r="A2245" s="905"/>
      <c r="B2245" s="906"/>
      <c r="C2245" s="907">
        <v>44</v>
      </c>
      <c r="D2245" s="907" t="s">
        <v>279</v>
      </c>
      <c r="E2245" s="925" t="s">
        <v>2681</v>
      </c>
      <c r="F2245" s="926" t="s">
        <v>45</v>
      </c>
      <c r="G2245" s="910"/>
      <c r="H2245" s="911">
        <v>0.12</v>
      </c>
      <c r="I2245" s="912">
        <f>VLOOKUP(E2245,[3]VLP!$B$7:$K$300,10,0)</f>
        <v>23000</v>
      </c>
      <c r="J2245" s="912">
        <f>I2245*H2245</f>
        <v>2760</v>
      </c>
      <c r="K2245" s="912" t="s">
        <v>274</v>
      </c>
      <c r="L2245" s="912"/>
      <c r="M2245" s="912"/>
      <c r="N2245" s="912"/>
      <c r="O2245" s="892">
        <f t="shared" si="136"/>
        <v>0</v>
      </c>
      <c r="P2245" s="903">
        <f t="shared" si="137"/>
        <v>1</v>
      </c>
      <c r="Q2245" s="893">
        <f t="shared" si="138"/>
        <v>3</v>
      </c>
      <c r="R2245" s="894">
        <f t="shared" si="139"/>
        <v>0</v>
      </c>
    </row>
    <row r="2246" spans="1:18" s="904" customFormat="1">
      <c r="A2246" s="895"/>
      <c r="B2246" s="896"/>
      <c r="C2246" s="897"/>
      <c r="D2246" s="897"/>
      <c r="E2246" s="924" t="s">
        <v>276</v>
      </c>
      <c r="F2246" s="927"/>
      <c r="G2246" s="928"/>
      <c r="H2246" s="901"/>
      <c r="I2246" s="902"/>
      <c r="J2246" s="902"/>
      <c r="K2246" s="912" t="s">
        <v>274</v>
      </c>
      <c r="L2246" s="902"/>
      <c r="M2246" s="902"/>
      <c r="N2246" s="902"/>
      <c r="O2246" s="892">
        <f t="shared" si="136"/>
        <v>0</v>
      </c>
      <c r="P2246" s="903">
        <f t="shared" si="137"/>
        <v>1</v>
      </c>
      <c r="Q2246" s="893">
        <f t="shared" si="138"/>
        <v>2</v>
      </c>
      <c r="R2246" s="894">
        <f t="shared" si="139"/>
        <v>0</v>
      </c>
    </row>
    <row r="2247" spans="1:18">
      <c r="A2247" s="905"/>
      <c r="B2247" s="906"/>
      <c r="C2247" s="907">
        <v>740</v>
      </c>
      <c r="D2247" s="907" t="s">
        <v>12</v>
      </c>
      <c r="E2247" s="908" t="s">
        <v>4008</v>
      </c>
      <c r="F2247" s="909" t="s">
        <v>2674</v>
      </c>
      <c r="G2247" s="910"/>
      <c r="H2247" s="911">
        <v>1.41</v>
      </c>
      <c r="I2247" s="912"/>
      <c r="J2247" s="912"/>
      <c r="K2247" s="912">
        <f>VLOOKUP(E2247,ĐMNC!$A$7:$F$67,4,0)</f>
        <v>252714</v>
      </c>
      <c r="L2247" s="912">
        <f>H2247*K2247</f>
        <v>356326.74</v>
      </c>
      <c r="M2247" s="912"/>
      <c r="N2247" s="912"/>
      <c r="O2247" s="892">
        <f t="shared" si="136"/>
        <v>0</v>
      </c>
      <c r="P2247" s="903">
        <f t="shared" si="137"/>
        <v>1</v>
      </c>
      <c r="Q2247" s="893">
        <f t="shared" si="138"/>
        <v>1</v>
      </c>
      <c r="R2247" s="894">
        <f t="shared" si="139"/>
        <v>0</v>
      </c>
    </row>
    <row r="2248" spans="1:18" s="847" customFormat="1" ht="31.5">
      <c r="A2248" s="905"/>
      <c r="B2248" s="914" t="s">
        <v>4683</v>
      </c>
      <c r="C2248" s="915"/>
      <c r="D2248" s="915"/>
      <c r="E2248" s="916" t="s">
        <v>4684</v>
      </c>
      <c r="F2248" s="917" t="s">
        <v>249</v>
      </c>
      <c r="G2248" s="918"/>
      <c r="H2248" s="919"/>
      <c r="I2248" s="920"/>
      <c r="J2248" s="891">
        <f>SUM(J2249:J2253)</f>
        <v>2910</v>
      </c>
      <c r="K2248" s="891"/>
      <c r="L2248" s="891">
        <f>SUM(L2249:L2253)</f>
        <v>376543.86</v>
      </c>
      <c r="M2248" s="891"/>
      <c r="N2248" s="891">
        <f>SUM(N2249:N2253)</f>
        <v>0</v>
      </c>
      <c r="O2248" s="892">
        <f t="shared" si="136"/>
        <v>1</v>
      </c>
      <c r="P2248" s="903">
        <f t="shared" si="137"/>
        <v>0</v>
      </c>
      <c r="Q2248" s="893">
        <f t="shared" si="138"/>
        <v>0</v>
      </c>
      <c r="R2248" s="894">
        <f t="shared" si="139"/>
        <v>5</v>
      </c>
    </row>
    <row r="2249" spans="1:18" s="904" customFormat="1">
      <c r="A2249" s="895"/>
      <c r="B2249" s="896"/>
      <c r="C2249" s="897"/>
      <c r="D2249" s="897"/>
      <c r="E2249" s="924" t="s">
        <v>108</v>
      </c>
      <c r="F2249" s="899"/>
      <c r="G2249" s="900"/>
      <c r="H2249" s="901"/>
      <c r="I2249" s="902"/>
      <c r="J2249" s="902"/>
      <c r="K2249" s="912" t="s">
        <v>274</v>
      </c>
      <c r="L2249" s="902"/>
      <c r="M2249" s="902"/>
      <c r="N2249" s="902"/>
      <c r="O2249" s="892">
        <f t="shared" ref="O2249:O2312" si="140">IF(AND(B2249&lt;&gt;"",D2249=""),1,0)</f>
        <v>0</v>
      </c>
      <c r="P2249" s="903">
        <f t="shared" si="137"/>
        <v>1</v>
      </c>
      <c r="Q2249" s="893">
        <f t="shared" si="138"/>
        <v>5</v>
      </c>
      <c r="R2249" s="894">
        <f t="shared" si="139"/>
        <v>0</v>
      </c>
    </row>
    <row r="2250" spans="1:18">
      <c r="A2250" s="905"/>
      <c r="B2250" s="906"/>
      <c r="C2250" s="907">
        <v>66</v>
      </c>
      <c r="D2250" s="907" t="s">
        <v>279</v>
      </c>
      <c r="E2250" s="925" t="s">
        <v>2682</v>
      </c>
      <c r="F2250" s="926" t="s">
        <v>45</v>
      </c>
      <c r="G2250" s="910"/>
      <c r="H2250" s="911">
        <v>0.03</v>
      </c>
      <c r="I2250" s="912">
        <f>VLOOKUP(E2250,[3]VLP!$B$7:$K$300,10,0)</f>
        <v>5000</v>
      </c>
      <c r="J2250" s="912">
        <f>I2250*H2250</f>
        <v>150</v>
      </c>
      <c r="K2250" s="912" t="s">
        <v>274</v>
      </c>
      <c r="L2250" s="912"/>
      <c r="M2250" s="912"/>
      <c r="N2250" s="912"/>
      <c r="O2250" s="892">
        <f t="shared" si="140"/>
        <v>0</v>
      </c>
      <c r="P2250" s="903">
        <f t="shared" si="137"/>
        <v>1</v>
      </c>
      <c r="Q2250" s="893">
        <f t="shared" si="138"/>
        <v>4</v>
      </c>
      <c r="R2250" s="894">
        <f t="shared" si="139"/>
        <v>0</v>
      </c>
    </row>
    <row r="2251" spans="1:18">
      <c r="A2251" s="905"/>
      <c r="B2251" s="906"/>
      <c r="C2251" s="907">
        <v>44</v>
      </c>
      <c r="D2251" s="907" t="s">
        <v>279</v>
      </c>
      <c r="E2251" s="925" t="s">
        <v>2681</v>
      </c>
      <c r="F2251" s="926" t="s">
        <v>45</v>
      </c>
      <c r="G2251" s="910"/>
      <c r="H2251" s="911">
        <v>0.12</v>
      </c>
      <c r="I2251" s="912">
        <f>VLOOKUP(E2251,[3]VLP!$B$7:$K$300,10,0)</f>
        <v>23000</v>
      </c>
      <c r="J2251" s="912">
        <f>I2251*H2251</f>
        <v>2760</v>
      </c>
      <c r="K2251" s="912" t="s">
        <v>274</v>
      </c>
      <c r="L2251" s="912"/>
      <c r="M2251" s="912"/>
      <c r="N2251" s="912"/>
      <c r="O2251" s="892">
        <f t="shared" si="140"/>
        <v>0</v>
      </c>
      <c r="P2251" s="903">
        <f t="shared" si="137"/>
        <v>1</v>
      </c>
      <c r="Q2251" s="893">
        <f t="shared" si="138"/>
        <v>3</v>
      </c>
      <c r="R2251" s="894">
        <f t="shared" si="139"/>
        <v>0</v>
      </c>
    </row>
    <row r="2252" spans="1:18" s="904" customFormat="1">
      <c r="A2252" s="895"/>
      <c r="B2252" s="896"/>
      <c r="C2252" s="897"/>
      <c r="D2252" s="897"/>
      <c r="E2252" s="924" t="s">
        <v>276</v>
      </c>
      <c r="F2252" s="927"/>
      <c r="G2252" s="928"/>
      <c r="H2252" s="901"/>
      <c r="I2252" s="902"/>
      <c r="J2252" s="902"/>
      <c r="K2252" s="912" t="s">
        <v>274</v>
      </c>
      <c r="L2252" s="902"/>
      <c r="M2252" s="902"/>
      <c r="N2252" s="902"/>
      <c r="O2252" s="892">
        <f t="shared" si="140"/>
        <v>0</v>
      </c>
      <c r="P2252" s="903">
        <f t="shared" si="137"/>
        <v>1</v>
      </c>
      <c r="Q2252" s="893">
        <f t="shared" si="138"/>
        <v>2</v>
      </c>
      <c r="R2252" s="894">
        <f t="shared" si="139"/>
        <v>0</v>
      </c>
    </row>
    <row r="2253" spans="1:18">
      <c r="A2253" s="905"/>
      <c r="B2253" s="906"/>
      <c r="C2253" s="907">
        <v>740</v>
      </c>
      <c r="D2253" s="907" t="s">
        <v>12</v>
      </c>
      <c r="E2253" s="908" t="s">
        <v>4008</v>
      </c>
      <c r="F2253" s="909" t="s">
        <v>2674</v>
      </c>
      <c r="G2253" s="910"/>
      <c r="H2253" s="911">
        <v>1.49</v>
      </c>
      <c r="I2253" s="912"/>
      <c r="J2253" s="912"/>
      <c r="K2253" s="912">
        <f>VLOOKUP(E2253,ĐMNC!$A$7:$F$67,4,0)</f>
        <v>252714</v>
      </c>
      <c r="L2253" s="912">
        <f>H2253*K2253</f>
        <v>376543.86</v>
      </c>
      <c r="M2253" s="912"/>
      <c r="N2253" s="912"/>
      <c r="O2253" s="892">
        <f t="shared" si="140"/>
        <v>0</v>
      </c>
      <c r="P2253" s="903">
        <f t="shared" si="137"/>
        <v>1</v>
      </c>
      <c r="Q2253" s="893">
        <f t="shared" si="138"/>
        <v>1</v>
      </c>
      <c r="R2253" s="894">
        <f t="shared" si="139"/>
        <v>0</v>
      </c>
    </row>
    <row r="2254" spans="1:18" s="847" customFormat="1" ht="31.5">
      <c r="A2254" s="905"/>
      <c r="B2254" s="914" t="s">
        <v>4685</v>
      </c>
      <c r="C2254" s="915"/>
      <c r="D2254" s="915"/>
      <c r="E2254" s="916" t="s">
        <v>4686</v>
      </c>
      <c r="F2254" s="917" t="s">
        <v>249</v>
      </c>
      <c r="G2254" s="918"/>
      <c r="H2254" s="919"/>
      <c r="I2254" s="920"/>
      <c r="J2254" s="891">
        <f>SUM(J2255:J2259)</f>
        <v>2910</v>
      </c>
      <c r="K2254" s="891"/>
      <c r="L2254" s="891">
        <f>SUM(L2255:L2259)</f>
        <v>424559.51999999996</v>
      </c>
      <c r="M2254" s="891"/>
      <c r="N2254" s="891">
        <f>SUM(N2255:N2259)</f>
        <v>0</v>
      </c>
      <c r="O2254" s="892">
        <f t="shared" si="140"/>
        <v>1</v>
      </c>
      <c r="P2254" s="903">
        <f t="shared" si="137"/>
        <v>0</v>
      </c>
      <c r="Q2254" s="893">
        <f t="shared" si="138"/>
        <v>0</v>
      </c>
      <c r="R2254" s="894">
        <f t="shared" si="139"/>
        <v>5</v>
      </c>
    </row>
    <row r="2255" spans="1:18" s="904" customFormat="1">
      <c r="A2255" s="895"/>
      <c r="B2255" s="896"/>
      <c r="C2255" s="897"/>
      <c r="D2255" s="897"/>
      <c r="E2255" s="924" t="s">
        <v>108</v>
      </c>
      <c r="F2255" s="899"/>
      <c r="G2255" s="900"/>
      <c r="H2255" s="901"/>
      <c r="I2255" s="902"/>
      <c r="J2255" s="902"/>
      <c r="K2255" s="912" t="s">
        <v>274</v>
      </c>
      <c r="L2255" s="902"/>
      <c r="M2255" s="902"/>
      <c r="N2255" s="902"/>
      <c r="O2255" s="892">
        <f t="shared" si="140"/>
        <v>0</v>
      </c>
      <c r="P2255" s="903">
        <f t="shared" si="137"/>
        <v>1</v>
      </c>
      <c r="Q2255" s="893">
        <f t="shared" si="138"/>
        <v>5</v>
      </c>
      <c r="R2255" s="894">
        <f t="shared" si="139"/>
        <v>0</v>
      </c>
    </row>
    <row r="2256" spans="1:18">
      <c r="A2256" s="905"/>
      <c r="B2256" s="906"/>
      <c r="C2256" s="907">
        <v>66</v>
      </c>
      <c r="D2256" s="907" t="s">
        <v>279</v>
      </c>
      <c r="E2256" s="925" t="s">
        <v>2682</v>
      </c>
      <c r="F2256" s="926" t="s">
        <v>45</v>
      </c>
      <c r="G2256" s="910"/>
      <c r="H2256" s="911">
        <v>0.03</v>
      </c>
      <c r="I2256" s="912">
        <f>VLOOKUP(E2256,[3]VLP!$B$7:$K$300,10,0)</f>
        <v>5000</v>
      </c>
      <c r="J2256" s="912">
        <f>I2256*H2256</f>
        <v>150</v>
      </c>
      <c r="K2256" s="912" t="s">
        <v>274</v>
      </c>
      <c r="L2256" s="912"/>
      <c r="M2256" s="912"/>
      <c r="N2256" s="912"/>
      <c r="O2256" s="892">
        <f t="shared" si="140"/>
        <v>0</v>
      </c>
      <c r="P2256" s="903">
        <f t="shared" si="137"/>
        <v>1</v>
      </c>
      <c r="Q2256" s="893">
        <f t="shared" si="138"/>
        <v>4</v>
      </c>
      <c r="R2256" s="894">
        <f t="shared" si="139"/>
        <v>0</v>
      </c>
    </row>
    <row r="2257" spans="1:18">
      <c r="A2257" s="905"/>
      <c r="B2257" s="906"/>
      <c r="C2257" s="907">
        <v>44</v>
      </c>
      <c r="D2257" s="907" t="s">
        <v>279</v>
      </c>
      <c r="E2257" s="925" t="s">
        <v>2681</v>
      </c>
      <c r="F2257" s="926" t="s">
        <v>45</v>
      </c>
      <c r="G2257" s="910"/>
      <c r="H2257" s="911">
        <v>0.12</v>
      </c>
      <c r="I2257" s="912">
        <f>VLOOKUP(E2257,[3]VLP!$B$7:$K$300,10,0)</f>
        <v>23000</v>
      </c>
      <c r="J2257" s="912">
        <f>I2257*H2257</f>
        <v>2760</v>
      </c>
      <c r="K2257" s="912" t="s">
        <v>274</v>
      </c>
      <c r="L2257" s="912"/>
      <c r="M2257" s="912"/>
      <c r="N2257" s="912"/>
      <c r="O2257" s="892">
        <f t="shared" si="140"/>
        <v>0</v>
      </c>
      <c r="P2257" s="903">
        <f t="shared" si="137"/>
        <v>1</v>
      </c>
      <c r="Q2257" s="893">
        <f t="shared" si="138"/>
        <v>3</v>
      </c>
      <c r="R2257" s="894">
        <f t="shared" si="139"/>
        <v>0</v>
      </c>
    </row>
    <row r="2258" spans="1:18" s="904" customFormat="1">
      <c r="A2258" s="895"/>
      <c r="B2258" s="896"/>
      <c r="C2258" s="897"/>
      <c r="D2258" s="897"/>
      <c r="E2258" s="924" t="s">
        <v>276</v>
      </c>
      <c r="F2258" s="927"/>
      <c r="G2258" s="928"/>
      <c r="H2258" s="901"/>
      <c r="I2258" s="902"/>
      <c r="J2258" s="902"/>
      <c r="K2258" s="912" t="s">
        <v>274</v>
      </c>
      <c r="L2258" s="902"/>
      <c r="M2258" s="902"/>
      <c r="N2258" s="902"/>
      <c r="O2258" s="892">
        <f t="shared" si="140"/>
        <v>0</v>
      </c>
      <c r="P2258" s="903">
        <f t="shared" ref="P2258:P2321" si="141">IF(O2258=0,1,0)</f>
        <v>1</v>
      </c>
      <c r="Q2258" s="893">
        <f t="shared" ref="Q2258:Q2321" si="142">IF(P2258=0,0,P2258+Q2259)</f>
        <v>2</v>
      </c>
      <c r="R2258" s="894">
        <f t="shared" ref="R2258:R2321" si="143">IF(Q2258=0,Q2259,0)</f>
        <v>0</v>
      </c>
    </row>
    <row r="2259" spans="1:18">
      <c r="A2259" s="905"/>
      <c r="B2259" s="906"/>
      <c r="C2259" s="907">
        <v>740</v>
      </c>
      <c r="D2259" s="907" t="s">
        <v>12</v>
      </c>
      <c r="E2259" s="908" t="s">
        <v>4008</v>
      </c>
      <c r="F2259" s="909" t="s">
        <v>2674</v>
      </c>
      <c r="G2259" s="910"/>
      <c r="H2259" s="911">
        <v>1.68</v>
      </c>
      <c r="I2259" s="912"/>
      <c r="J2259" s="912"/>
      <c r="K2259" s="912">
        <f>VLOOKUP(E2259,ĐMNC!$A$7:$F$67,4,0)</f>
        <v>252714</v>
      </c>
      <c r="L2259" s="912">
        <f>H2259*K2259</f>
        <v>424559.51999999996</v>
      </c>
      <c r="M2259" s="912"/>
      <c r="N2259" s="912"/>
      <c r="O2259" s="892">
        <f t="shared" si="140"/>
        <v>0</v>
      </c>
      <c r="P2259" s="903">
        <f t="shared" si="141"/>
        <v>1</v>
      </c>
      <c r="Q2259" s="893">
        <f t="shared" si="142"/>
        <v>1</v>
      </c>
      <c r="R2259" s="894">
        <f t="shared" si="143"/>
        <v>0</v>
      </c>
    </row>
    <row r="2260" spans="1:18" s="847" customFormat="1" ht="31.5">
      <c r="A2260" s="905"/>
      <c r="B2260" s="914" t="s">
        <v>4687</v>
      </c>
      <c r="C2260" s="915"/>
      <c r="D2260" s="915"/>
      <c r="E2260" s="916" t="s">
        <v>4688</v>
      </c>
      <c r="F2260" s="917" t="s">
        <v>249</v>
      </c>
      <c r="G2260" s="918"/>
      <c r="H2260" s="919"/>
      <c r="I2260" s="920"/>
      <c r="J2260" s="891">
        <f>SUM(J2261:J2265)</f>
        <v>2910</v>
      </c>
      <c r="K2260" s="891"/>
      <c r="L2260" s="891">
        <f>SUM(L2261:L2265)</f>
        <v>475102.31999999995</v>
      </c>
      <c r="M2260" s="891"/>
      <c r="N2260" s="891">
        <f>SUM(N2261:N2265)</f>
        <v>0</v>
      </c>
      <c r="O2260" s="892">
        <f t="shared" si="140"/>
        <v>1</v>
      </c>
      <c r="P2260" s="903">
        <f t="shared" si="141"/>
        <v>0</v>
      </c>
      <c r="Q2260" s="893">
        <f t="shared" si="142"/>
        <v>0</v>
      </c>
      <c r="R2260" s="894">
        <f t="shared" si="143"/>
        <v>5</v>
      </c>
    </row>
    <row r="2261" spans="1:18" s="904" customFormat="1">
      <c r="A2261" s="895"/>
      <c r="B2261" s="896"/>
      <c r="C2261" s="897"/>
      <c r="D2261" s="897"/>
      <c r="E2261" s="924" t="s">
        <v>108</v>
      </c>
      <c r="F2261" s="899"/>
      <c r="G2261" s="900"/>
      <c r="H2261" s="901"/>
      <c r="I2261" s="902"/>
      <c r="J2261" s="902"/>
      <c r="K2261" s="912" t="s">
        <v>274</v>
      </c>
      <c r="L2261" s="902"/>
      <c r="M2261" s="902"/>
      <c r="N2261" s="902"/>
      <c r="O2261" s="892">
        <f t="shared" si="140"/>
        <v>0</v>
      </c>
      <c r="P2261" s="903">
        <f t="shared" si="141"/>
        <v>1</v>
      </c>
      <c r="Q2261" s="893">
        <f t="shared" si="142"/>
        <v>5</v>
      </c>
      <c r="R2261" s="894">
        <f t="shared" si="143"/>
        <v>0</v>
      </c>
    </row>
    <row r="2262" spans="1:18">
      <c r="A2262" s="905"/>
      <c r="B2262" s="906"/>
      <c r="C2262" s="907">
        <v>66</v>
      </c>
      <c r="D2262" s="907" t="s">
        <v>279</v>
      </c>
      <c r="E2262" s="925" t="s">
        <v>2682</v>
      </c>
      <c r="F2262" s="926" t="s">
        <v>45</v>
      </c>
      <c r="G2262" s="910"/>
      <c r="H2262" s="911">
        <v>0.03</v>
      </c>
      <c r="I2262" s="912">
        <f>VLOOKUP(E2262,[3]VLP!$B$7:$K$300,10,0)</f>
        <v>5000</v>
      </c>
      <c r="J2262" s="912">
        <f>I2262*H2262</f>
        <v>150</v>
      </c>
      <c r="K2262" s="912" t="s">
        <v>274</v>
      </c>
      <c r="L2262" s="912"/>
      <c r="M2262" s="912"/>
      <c r="N2262" s="912"/>
      <c r="O2262" s="892">
        <f t="shared" si="140"/>
        <v>0</v>
      </c>
      <c r="P2262" s="903">
        <f t="shared" si="141"/>
        <v>1</v>
      </c>
      <c r="Q2262" s="893">
        <f t="shared" si="142"/>
        <v>4</v>
      </c>
      <c r="R2262" s="894">
        <f t="shared" si="143"/>
        <v>0</v>
      </c>
    </row>
    <row r="2263" spans="1:18">
      <c r="A2263" s="905"/>
      <c r="B2263" s="906"/>
      <c r="C2263" s="907">
        <v>44</v>
      </c>
      <c r="D2263" s="907" t="s">
        <v>279</v>
      </c>
      <c r="E2263" s="925" t="s">
        <v>2681</v>
      </c>
      <c r="F2263" s="926" t="s">
        <v>45</v>
      </c>
      <c r="G2263" s="910"/>
      <c r="H2263" s="911">
        <v>0.12</v>
      </c>
      <c r="I2263" s="912">
        <f>VLOOKUP(E2263,[3]VLP!$B$7:$K$300,10,0)</f>
        <v>23000</v>
      </c>
      <c r="J2263" s="912">
        <f>I2263*H2263</f>
        <v>2760</v>
      </c>
      <c r="K2263" s="912" t="s">
        <v>274</v>
      </c>
      <c r="L2263" s="912"/>
      <c r="M2263" s="912"/>
      <c r="N2263" s="912"/>
      <c r="O2263" s="892">
        <f t="shared" si="140"/>
        <v>0</v>
      </c>
      <c r="P2263" s="903">
        <f t="shared" si="141"/>
        <v>1</v>
      </c>
      <c r="Q2263" s="893">
        <f t="shared" si="142"/>
        <v>3</v>
      </c>
      <c r="R2263" s="894">
        <f t="shared" si="143"/>
        <v>0</v>
      </c>
    </row>
    <row r="2264" spans="1:18" s="904" customFormat="1">
      <c r="A2264" s="895"/>
      <c r="B2264" s="896"/>
      <c r="C2264" s="897"/>
      <c r="D2264" s="897"/>
      <c r="E2264" s="924" t="s">
        <v>276</v>
      </c>
      <c r="F2264" s="927"/>
      <c r="G2264" s="928"/>
      <c r="H2264" s="901"/>
      <c r="I2264" s="902"/>
      <c r="J2264" s="902"/>
      <c r="K2264" s="912" t="s">
        <v>274</v>
      </c>
      <c r="L2264" s="902"/>
      <c r="M2264" s="902"/>
      <c r="N2264" s="902"/>
      <c r="O2264" s="892">
        <f t="shared" si="140"/>
        <v>0</v>
      </c>
      <c r="P2264" s="903">
        <f t="shared" si="141"/>
        <v>1</v>
      </c>
      <c r="Q2264" s="893">
        <f t="shared" si="142"/>
        <v>2</v>
      </c>
      <c r="R2264" s="894">
        <f t="shared" si="143"/>
        <v>0</v>
      </c>
    </row>
    <row r="2265" spans="1:18">
      <c r="A2265" s="905"/>
      <c r="B2265" s="906"/>
      <c r="C2265" s="907">
        <v>740</v>
      </c>
      <c r="D2265" s="907" t="s">
        <v>12</v>
      </c>
      <c r="E2265" s="908" t="s">
        <v>4008</v>
      </c>
      <c r="F2265" s="909" t="s">
        <v>2674</v>
      </c>
      <c r="G2265" s="910"/>
      <c r="H2265" s="911">
        <v>1.88</v>
      </c>
      <c r="I2265" s="912"/>
      <c r="J2265" s="912"/>
      <c r="K2265" s="912">
        <f>VLOOKUP(E2265,ĐMNC!$A$7:$F$67,4,0)</f>
        <v>252714</v>
      </c>
      <c r="L2265" s="912">
        <f>H2265*K2265</f>
        <v>475102.31999999995</v>
      </c>
      <c r="M2265" s="912"/>
      <c r="N2265" s="912"/>
      <c r="O2265" s="892">
        <f t="shared" si="140"/>
        <v>0</v>
      </c>
      <c r="P2265" s="903">
        <f t="shared" si="141"/>
        <v>1</v>
      </c>
      <c r="Q2265" s="893">
        <f t="shared" si="142"/>
        <v>1</v>
      </c>
      <c r="R2265" s="894">
        <f t="shared" si="143"/>
        <v>0</v>
      </c>
    </row>
    <row r="2266" spans="1:18" s="847" customFormat="1" ht="31.5">
      <c r="A2266" s="905"/>
      <c r="B2266" s="914" t="s">
        <v>4689</v>
      </c>
      <c r="C2266" s="915"/>
      <c r="D2266" s="915"/>
      <c r="E2266" s="916" t="s">
        <v>4690</v>
      </c>
      <c r="F2266" s="917" t="s">
        <v>249</v>
      </c>
      <c r="G2266" s="918"/>
      <c r="H2266" s="919"/>
      <c r="I2266" s="920"/>
      <c r="J2266" s="891">
        <f>SUM(J2267:J2271)</f>
        <v>2910</v>
      </c>
      <c r="K2266" s="891"/>
      <c r="L2266" s="891">
        <f>SUM(L2267:L2271)</f>
        <v>525645.12</v>
      </c>
      <c r="M2266" s="891"/>
      <c r="N2266" s="891">
        <f>SUM(N2267:N2271)</f>
        <v>0</v>
      </c>
      <c r="O2266" s="892">
        <f t="shared" si="140"/>
        <v>1</v>
      </c>
      <c r="P2266" s="903">
        <f t="shared" si="141"/>
        <v>0</v>
      </c>
      <c r="Q2266" s="893">
        <f t="shared" si="142"/>
        <v>0</v>
      </c>
      <c r="R2266" s="894">
        <f t="shared" si="143"/>
        <v>5</v>
      </c>
    </row>
    <row r="2267" spans="1:18" s="904" customFormat="1">
      <c r="A2267" s="895"/>
      <c r="B2267" s="896"/>
      <c r="C2267" s="897"/>
      <c r="D2267" s="897"/>
      <c r="E2267" s="924" t="s">
        <v>108</v>
      </c>
      <c r="F2267" s="899"/>
      <c r="G2267" s="900"/>
      <c r="H2267" s="901"/>
      <c r="I2267" s="902"/>
      <c r="J2267" s="902"/>
      <c r="K2267" s="912" t="s">
        <v>274</v>
      </c>
      <c r="L2267" s="902"/>
      <c r="M2267" s="902"/>
      <c r="N2267" s="902"/>
      <c r="O2267" s="892">
        <f t="shared" si="140"/>
        <v>0</v>
      </c>
      <c r="P2267" s="903">
        <f t="shared" si="141"/>
        <v>1</v>
      </c>
      <c r="Q2267" s="893">
        <f t="shared" si="142"/>
        <v>5</v>
      </c>
      <c r="R2267" s="894">
        <f t="shared" si="143"/>
        <v>0</v>
      </c>
    </row>
    <row r="2268" spans="1:18">
      <c r="A2268" s="905"/>
      <c r="B2268" s="906"/>
      <c r="C2268" s="907">
        <v>66</v>
      </c>
      <c r="D2268" s="907" t="s">
        <v>279</v>
      </c>
      <c r="E2268" s="925" t="s">
        <v>2682</v>
      </c>
      <c r="F2268" s="926" t="s">
        <v>45</v>
      </c>
      <c r="G2268" s="910"/>
      <c r="H2268" s="911">
        <v>0.03</v>
      </c>
      <c r="I2268" s="912">
        <f>VLOOKUP(E2268,[3]VLP!$B$7:$K$300,10,0)</f>
        <v>5000</v>
      </c>
      <c r="J2268" s="912">
        <f>I2268*H2268</f>
        <v>150</v>
      </c>
      <c r="K2268" s="912" t="s">
        <v>274</v>
      </c>
      <c r="L2268" s="912"/>
      <c r="M2268" s="912"/>
      <c r="N2268" s="912"/>
      <c r="O2268" s="892">
        <f t="shared" si="140"/>
        <v>0</v>
      </c>
      <c r="P2268" s="903">
        <f t="shared" si="141"/>
        <v>1</v>
      </c>
      <c r="Q2268" s="893">
        <f t="shared" si="142"/>
        <v>4</v>
      </c>
      <c r="R2268" s="894">
        <f t="shared" si="143"/>
        <v>0</v>
      </c>
    </row>
    <row r="2269" spans="1:18">
      <c r="A2269" s="905"/>
      <c r="B2269" s="906"/>
      <c r="C2269" s="907">
        <v>44</v>
      </c>
      <c r="D2269" s="907" t="s">
        <v>279</v>
      </c>
      <c r="E2269" s="925" t="s">
        <v>2681</v>
      </c>
      <c r="F2269" s="926" t="s">
        <v>45</v>
      </c>
      <c r="G2269" s="910"/>
      <c r="H2269" s="911">
        <v>0.12</v>
      </c>
      <c r="I2269" s="912">
        <f>VLOOKUP(E2269,[3]VLP!$B$7:$K$300,10,0)</f>
        <v>23000</v>
      </c>
      <c r="J2269" s="912">
        <f>I2269*H2269</f>
        <v>2760</v>
      </c>
      <c r="K2269" s="912" t="s">
        <v>274</v>
      </c>
      <c r="L2269" s="912"/>
      <c r="M2269" s="912"/>
      <c r="N2269" s="912"/>
      <c r="O2269" s="892">
        <f t="shared" si="140"/>
        <v>0</v>
      </c>
      <c r="P2269" s="903">
        <f t="shared" si="141"/>
        <v>1</v>
      </c>
      <c r="Q2269" s="893">
        <f t="shared" si="142"/>
        <v>3</v>
      </c>
      <c r="R2269" s="894">
        <f t="shared" si="143"/>
        <v>0</v>
      </c>
    </row>
    <row r="2270" spans="1:18" s="904" customFormat="1">
      <c r="A2270" s="895"/>
      <c r="B2270" s="896"/>
      <c r="C2270" s="897"/>
      <c r="D2270" s="897"/>
      <c r="E2270" s="924" t="s">
        <v>276</v>
      </c>
      <c r="F2270" s="927"/>
      <c r="G2270" s="928"/>
      <c r="H2270" s="901"/>
      <c r="I2270" s="902"/>
      <c r="J2270" s="902"/>
      <c r="K2270" s="912" t="s">
        <v>274</v>
      </c>
      <c r="L2270" s="902"/>
      <c r="M2270" s="902"/>
      <c r="N2270" s="902"/>
      <c r="O2270" s="892">
        <f t="shared" si="140"/>
        <v>0</v>
      </c>
      <c r="P2270" s="903">
        <f t="shared" si="141"/>
        <v>1</v>
      </c>
      <c r="Q2270" s="893">
        <f t="shared" si="142"/>
        <v>2</v>
      </c>
      <c r="R2270" s="894">
        <f t="shared" si="143"/>
        <v>0</v>
      </c>
    </row>
    <row r="2271" spans="1:18">
      <c r="A2271" s="905"/>
      <c r="B2271" s="906"/>
      <c r="C2271" s="907">
        <v>740</v>
      </c>
      <c r="D2271" s="907" t="s">
        <v>12</v>
      </c>
      <c r="E2271" s="908" t="s">
        <v>4008</v>
      </c>
      <c r="F2271" s="909" t="s">
        <v>2674</v>
      </c>
      <c r="G2271" s="910"/>
      <c r="H2271" s="911">
        <v>2.08</v>
      </c>
      <c r="I2271" s="912"/>
      <c r="J2271" s="912"/>
      <c r="K2271" s="912">
        <f>VLOOKUP(E2271,ĐMNC!$A$7:$F$67,4,0)</f>
        <v>252714</v>
      </c>
      <c r="L2271" s="912">
        <f>H2271*K2271</f>
        <v>525645.12</v>
      </c>
      <c r="M2271" s="912"/>
      <c r="N2271" s="912"/>
      <c r="O2271" s="892">
        <f t="shared" si="140"/>
        <v>0</v>
      </c>
      <c r="P2271" s="903">
        <f t="shared" si="141"/>
        <v>1</v>
      </c>
      <c r="Q2271" s="893">
        <f t="shared" si="142"/>
        <v>1</v>
      </c>
      <c r="R2271" s="894">
        <f t="shared" si="143"/>
        <v>0</v>
      </c>
    </row>
    <row r="2272" spans="1:18" s="847" customFormat="1" ht="31.5">
      <c r="A2272" s="905"/>
      <c r="B2272" s="914" t="s">
        <v>4691</v>
      </c>
      <c r="C2272" s="915"/>
      <c r="D2272" s="915"/>
      <c r="E2272" s="916" t="s">
        <v>4692</v>
      </c>
      <c r="F2272" s="917" t="s">
        <v>249</v>
      </c>
      <c r="G2272" s="918"/>
      <c r="H2272" s="919"/>
      <c r="I2272" s="920"/>
      <c r="J2272" s="891">
        <f>SUM(J2273:J2277)</f>
        <v>2910</v>
      </c>
      <c r="K2272" s="891"/>
      <c r="L2272" s="891">
        <f>SUM(L2273:L2277)</f>
        <v>581242.19999999995</v>
      </c>
      <c r="M2272" s="891"/>
      <c r="N2272" s="891">
        <f>SUM(N2273:N2277)</f>
        <v>0</v>
      </c>
      <c r="O2272" s="892">
        <f t="shared" si="140"/>
        <v>1</v>
      </c>
      <c r="P2272" s="903">
        <f t="shared" si="141"/>
        <v>0</v>
      </c>
      <c r="Q2272" s="893">
        <f t="shared" si="142"/>
        <v>0</v>
      </c>
      <c r="R2272" s="894">
        <f t="shared" si="143"/>
        <v>5</v>
      </c>
    </row>
    <row r="2273" spans="1:18" s="904" customFormat="1">
      <c r="A2273" s="895"/>
      <c r="B2273" s="896"/>
      <c r="C2273" s="897"/>
      <c r="D2273" s="897"/>
      <c r="E2273" s="924" t="s">
        <v>108</v>
      </c>
      <c r="F2273" s="899"/>
      <c r="G2273" s="900"/>
      <c r="H2273" s="901"/>
      <c r="I2273" s="902"/>
      <c r="J2273" s="902"/>
      <c r="K2273" s="912" t="s">
        <v>274</v>
      </c>
      <c r="L2273" s="902"/>
      <c r="M2273" s="902"/>
      <c r="N2273" s="902"/>
      <c r="O2273" s="892">
        <f t="shared" si="140"/>
        <v>0</v>
      </c>
      <c r="P2273" s="903">
        <f t="shared" si="141"/>
        <v>1</v>
      </c>
      <c r="Q2273" s="893">
        <f t="shared" si="142"/>
        <v>5</v>
      </c>
      <c r="R2273" s="894">
        <f t="shared" si="143"/>
        <v>0</v>
      </c>
    </row>
    <row r="2274" spans="1:18">
      <c r="A2274" s="905"/>
      <c r="B2274" s="906"/>
      <c r="C2274" s="907">
        <v>66</v>
      </c>
      <c r="D2274" s="907" t="s">
        <v>279</v>
      </c>
      <c r="E2274" s="925" t="s">
        <v>2682</v>
      </c>
      <c r="F2274" s="926" t="s">
        <v>45</v>
      </c>
      <c r="G2274" s="910"/>
      <c r="H2274" s="911">
        <v>0.03</v>
      </c>
      <c r="I2274" s="912">
        <f>VLOOKUP(E2274,[3]VLP!$B$7:$K$300,10,0)</f>
        <v>5000</v>
      </c>
      <c r="J2274" s="912">
        <f>I2274*H2274</f>
        <v>150</v>
      </c>
      <c r="K2274" s="912" t="s">
        <v>274</v>
      </c>
      <c r="L2274" s="912"/>
      <c r="M2274" s="912"/>
      <c r="N2274" s="912"/>
      <c r="O2274" s="892">
        <f t="shared" si="140"/>
        <v>0</v>
      </c>
      <c r="P2274" s="903">
        <f t="shared" si="141"/>
        <v>1</v>
      </c>
      <c r="Q2274" s="893">
        <f t="shared" si="142"/>
        <v>4</v>
      </c>
      <c r="R2274" s="894">
        <f t="shared" si="143"/>
        <v>0</v>
      </c>
    </row>
    <row r="2275" spans="1:18">
      <c r="A2275" s="905"/>
      <c r="B2275" s="906"/>
      <c r="C2275" s="907">
        <v>44</v>
      </c>
      <c r="D2275" s="907" t="s">
        <v>279</v>
      </c>
      <c r="E2275" s="925" t="s">
        <v>2681</v>
      </c>
      <c r="F2275" s="926" t="s">
        <v>45</v>
      </c>
      <c r="G2275" s="910"/>
      <c r="H2275" s="911">
        <v>0.12</v>
      </c>
      <c r="I2275" s="912">
        <f>VLOOKUP(E2275,[3]VLP!$B$7:$K$300,10,0)</f>
        <v>23000</v>
      </c>
      <c r="J2275" s="912">
        <f>I2275*H2275</f>
        <v>2760</v>
      </c>
      <c r="K2275" s="912" t="s">
        <v>274</v>
      </c>
      <c r="L2275" s="912"/>
      <c r="M2275" s="912"/>
      <c r="N2275" s="912"/>
      <c r="O2275" s="892">
        <f t="shared" si="140"/>
        <v>0</v>
      </c>
      <c r="P2275" s="903">
        <f t="shared" si="141"/>
        <v>1</v>
      </c>
      <c r="Q2275" s="893">
        <f t="shared" si="142"/>
        <v>3</v>
      </c>
      <c r="R2275" s="894">
        <f t="shared" si="143"/>
        <v>0</v>
      </c>
    </row>
    <row r="2276" spans="1:18" s="904" customFormat="1">
      <c r="A2276" s="895"/>
      <c r="B2276" s="896"/>
      <c r="C2276" s="897"/>
      <c r="D2276" s="897"/>
      <c r="E2276" s="924" t="s">
        <v>276</v>
      </c>
      <c r="F2276" s="927"/>
      <c r="G2276" s="928"/>
      <c r="H2276" s="901"/>
      <c r="I2276" s="902"/>
      <c r="J2276" s="902"/>
      <c r="K2276" s="912" t="s">
        <v>274</v>
      </c>
      <c r="L2276" s="902"/>
      <c r="M2276" s="902"/>
      <c r="N2276" s="902"/>
      <c r="O2276" s="892">
        <f t="shared" si="140"/>
        <v>0</v>
      </c>
      <c r="P2276" s="903">
        <f t="shared" si="141"/>
        <v>1</v>
      </c>
      <c r="Q2276" s="893">
        <f t="shared" si="142"/>
        <v>2</v>
      </c>
      <c r="R2276" s="894">
        <f t="shared" si="143"/>
        <v>0</v>
      </c>
    </row>
    <row r="2277" spans="1:18">
      <c r="A2277" s="905"/>
      <c r="B2277" s="906"/>
      <c r="C2277" s="907">
        <v>740</v>
      </c>
      <c r="D2277" s="907" t="s">
        <v>12</v>
      </c>
      <c r="E2277" s="908" t="s">
        <v>4008</v>
      </c>
      <c r="F2277" s="909" t="s">
        <v>2674</v>
      </c>
      <c r="G2277" s="910"/>
      <c r="H2277" s="911">
        <v>2.2999999999999998</v>
      </c>
      <c r="I2277" s="912"/>
      <c r="J2277" s="912"/>
      <c r="K2277" s="912">
        <f>VLOOKUP(E2277,ĐMNC!$A$7:$F$67,4,0)</f>
        <v>252714</v>
      </c>
      <c r="L2277" s="912">
        <f>H2277*K2277</f>
        <v>581242.19999999995</v>
      </c>
      <c r="M2277" s="912"/>
      <c r="N2277" s="912"/>
      <c r="O2277" s="892">
        <f t="shared" si="140"/>
        <v>0</v>
      </c>
      <c r="P2277" s="903">
        <f t="shared" si="141"/>
        <v>1</v>
      </c>
      <c r="Q2277" s="893">
        <f t="shared" si="142"/>
        <v>1</v>
      </c>
      <c r="R2277" s="894">
        <f t="shared" si="143"/>
        <v>0</v>
      </c>
    </row>
    <row r="2278" spans="1:18" s="847" customFormat="1" ht="31.5">
      <c r="A2278" s="905"/>
      <c r="B2278" s="914" t="s">
        <v>4693</v>
      </c>
      <c r="C2278" s="915"/>
      <c r="D2278" s="915"/>
      <c r="E2278" s="916" t="s">
        <v>4694</v>
      </c>
      <c r="F2278" s="917" t="s">
        <v>249</v>
      </c>
      <c r="G2278" s="918"/>
      <c r="H2278" s="919"/>
      <c r="I2278" s="920"/>
      <c r="J2278" s="891">
        <f>SUM(J2279:J2283)</f>
        <v>2910</v>
      </c>
      <c r="K2278" s="891"/>
      <c r="L2278" s="891">
        <f>SUM(L2279:L2283)</f>
        <v>664637.81999999995</v>
      </c>
      <c r="M2278" s="891"/>
      <c r="N2278" s="891">
        <f>SUM(N2279:N2283)</f>
        <v>0</v>
      </c>
      <c r="O2278" s="892">
        <f t="shared" si="140"/>
        <v>1</v>
      </c>
      <c r="P2278" s="903">
        <f t="shared" si="141"/>
        <v>0</v>
      </c>
      <c r="Q2278" s="893">
        <f t="shared" si="142"/>
        <v>0</v>
      </c>
      <c r="R2278" s="894">
        <f t="shared" si="143"/>
        <v>5</v>
      </c>
    </row>
    <row r="2279" spans="1:18" s="904" customFormat="1">
      <c r="A2279" s="895"/>
      <c r="B2279" s="896"/>
      <c r="C2279" s="897"/>
      <c r="D2279" s="897"/>
      <c r="E2279" s="924" t="s">
        <v>108</v>
      </c>
      <c r="F2279" s="899"/>
      <c r="G2279" s="900"/>
      <c r="H2279" s="901"/>
      <c r="I2279" s="902"/>
      <c r="J2279" s="902"/>
      <c r="K2279" s="912" t="s">
        <v>274</v>
      </c>
      <c r="L2279" s="902"/>
      <c r="M2279" s="902"/>
      <c r="N2279" s="902"/>
      <c r="O2279" s="892">
        <f t="shared" si="140"/>
        <v>0</v>
      </c>
      <c r="P2279" s="903">
        <f t="shared" si="141"/>
        <v>1</v>
      </c>
      <c r="Q2279" s="893">
        <f t="shared" si="142"/>
        <v>5</v>
      </c>
      <c r="R2279" s="894">
        <f t="shared" si="143"/>
        <v>0</v>
      </c>
    </row>
    <row r="2280" spans="1:18">
      <c r="A2280" s="905"/>
      <c r="B2280" s="906"/>
      <c r="C2280" s="907">
        <v>66</v>
      </c>
      <c r="D2280" s="907" t="s">
        <v>279</v>
      </c>
      <c r="E2280" s="925" t="s">
        <v>2682</v>
      </c>
      <c r="F2280" s="926" t="s">
        <v>45</v>
      </c>
      <c r="G2280" s="910"/>
      <c r="H2280" s="911">
        <v>0.03</v>
      </c>
      <c r="I2280" s="912">
        <f>VLOOKUP(E2280,[3]VLP!$B$7:$K$300,10,0)</f>
        <v>5000</v>
      </c>
      <c r="J2280" s="912">
        <f>I2280*H2280</f>
        <v>150</v>
      </c>
      <c r="K2280" s="912" t="s">
        <v>274</v>
      </c>
      <c r="L2280" s="912"/>
      <c r="M2280" s="912"/>
      <c r="N2280" s="912"/>
      <c r="O2280" s="892">
        <f t="shared" si="140"/>
        <v>0</v>
      </c>
      <c r="P2280" s="903">
        <f t="shared" si="141"/>
        <v>1</v>
      </c>
      <c r="Q2280" s="893">
        <f t="shared" si="142"/>
        <v>4</v>
      </c>
      <c r="R2280" s="894">
        <f t="shared" si="143"/>
        <v>0</v>
      </c>
    </row>
    <row r="2281" spans="1:18">
      <c r="A2281" s="905"/>
      <c r="B2281" s="906"/>
      <c r="C2281" s="907">
        <v>44</v>
      </c>
      <c r="D2281" s="907" t="s">
        <v>279</v>
      </c>
      <c r="E2281" s="925" t="s">
        <v>2681</v>
      </c>
      <c r="F2281" s="926" t="s">
        <v>45</v>
      </c>
      <c r="G2281" s="910"/>
      <c r="H2281" s="911">
        <v>0.12</v>
      </c>
      <c r="I2281" s="912">
        <f>VLOOKUP(E2281,[3]VLP!$B$7:$K$300,10,0)</f>
        <v>23000</v>
      </c>
      <c r="J2281" s="912">
        <f>I2281*H2281</f>
        <v>2760</v>
      </c>
      <c r="K2281" s="912" t="s">
        <v>274</v>
      </c>
      <c r="L2281" s="912"/>
      <c r="M2281" s="912"/>
      <c r="N2281" s="912"/>
      <c r="O2281" s="892">
        <f t="shared" si="140"/>
        <v>0</v>
      </c>
      <c r="P2281" s="903">
        <f t="shared" si="141"/>
        <v>1</v>
      </c>
      <c r="Q2281" s="893">
        <f t="shared" si="142"/>
        <v>3</v>
      </c>
      <c r="R2281" s="894">
        <f t="shared" si="143"/>
        <v>0</v>
      </c>
    </row>
    <row r="2282" spans="1:18" s="904" customFormat="1">
      <c r="A2282" s="895"/>
      <c r="B2282" s="896"/>
      <c r="C2282" s="897"/>
      <c r="D2282" s="897"/>
      <c r="E2282" s="924" t="s">
        <v>276</v>
      </c>
      <c r="F2282" s="927"/>
      <c r="G2282" s="928"/>
      <c r="H2282" s="901"/>
      <c r="I2282" s="902"/>
      <c r="J2282" s="902"/>
      <c r="K2282" s="912" t="s">
        <v>274</v>
      </c>
      <c r="L2282" s="902"/>
      <c r="M2282" s="902"/>
      <c r="N2282" s="902"/>
      <c r="O2282" s="892">
        <f t="shared" si="140"/>
        <v>0</v>
      </c>
      <c r="P2282" s="903">
        <f t="shared" si="141"/>
        <v>1</v>
      </c>
      <c r="Q2282" s="893">
        <f t="shared" si="142"/>
        <v>2</v>
      </c>
      <c r="R2282" s="894">
        <f t="shared" si="143"/>
        <v>0</v>
      </c>
    </row>
    <row r="2283" spans="1:18">
      <c r="A2283" s="905"/>
      <c r="B2283" s="906"/>
      <c r="C2283" s="907">
        <v>740</v>
      </c>
      <c r="D2283" s="907" t="s">
        <v>12</v>
      </c>
      <c r="E2283" s="908" t="s">
        <v>4008</v>
      </c>
      <c r="F2283" s="909" t="s">
        <v>2674</v>
      </c>
      <c r="G2283" s="910"/>
      <c r="H2283" s="911">
        <v>2.63</v>
      </c>
      <c r="I2283" s="912"/>
      <c r="J2283" s="912"/>
      <c r="K2283" s="912">
        <f>VLOOKUP(E2283,ĐMNC!$A$7:$F$67,4,0)</f>
        <v>252714</v>
      </c>
      <c r="L2283" s="912">
        <f>H2283*K2283</f>
        <v>664637.81999999995</v>
      </c>
      <c r="M2283" s="912"/>
      <c r="N2283" s="912"/>
      <c r="O2283" s="892">
        <f t="shared" si="140"/>
        <v>0</v>
      </c>
      <c r="P2283" s="903">
        <f t="shared" si="141"/>
        <v>1</v>
      </c>
      <c r="Q2283" s="893">
        <f t="shared" si="142"/>
        <v>1</v>
      </c>
      <c r="R2283" s="894">
        <f t="shared" si="143"/>
        <v>0</v>
      </c>
    </row>
    <row r="2284" spans="1:18" s="847" customFormat="1" ht="31.5">
      <c r="A2284" s="905"/>
      <c r="B2284" s="914" t="s">
        <v>4695</v>
      </c>
      <c r="C2284" s="915"/>
      <c r="D2284" s="915"/>
      <c r="E2284" s="916" t="s">
        <v>4696</v>
      </c>
      <c r="F2284" s="917" t="s">
        <v>249</v>
      </c>
      <c r="G2284" s="918"/>
      <c r="H2284" s="919"/>
      <c r="I2284" s="920"/>
      <c r="J2284" s="891">
        <f>SUM(J2285:J2289)</f>
        <v>2910</v>
      </c>
      <c r="K2284" s="891"/>
      <c r="L2284" s="891">
        <f>SUM(L2285:L2289)</f>
        <v>765723.41999999993</v>
      </c>
      <c r="M2284" s="891"/>
      <c r="N2284" s="891">
        <f>SUM(N2285:N2289)</f>
        <v>0</v>
      </c>
      <c r="O2284" s="892">
        <f t="shared" si="140"/>
        <v>1</v>
      </c>
      <c r="P2284" s="903">
        <f t="shared" si="141"/>
        <v>0</v>
      </c>
      <c r="Q2284" s="893">
        <f t="shared" si="142"/>
        <v>0</v>
      </c>
      <c r="R2284" s="894">
        <f t="shared" si="143"/>
        <v>5</v>
      </c>
    </row>
    <row r="2285" spans="1:18" s="904" customFormat="1">
      <c r="A2285" s="895"/>
      <c r="B2285" s="896"/>
      <c r="C2285" s="897"/>
      <c r="D2285" s="897"/>
      <c r="E2285" s="924" t="s">
        <v>108</v>
      </c>
      <c r="F2285" s="899"/>
      <c r="G2285" s="900"/>
      <c r="H2285" s="901"/>
      <c r="I2285" s="902"/>
      <c r="J2285" s="902"/>
      <c r="K2285" s="912" t="s">
        <v>274</v>
      </c>
      <c r="L2285" s="902"/>
      <c r="M2285" s="902"/>
      <c r="N2285" s="902"/>
      <c r="O2285" s="892">
        <f t="shared" si="140"/>
        <v>0</v>
      </c>
      <c r="P2285" s="903">
        <f t="shared" si="141"/>
        <v>1</v>
      </c>
      <c r="Q2285" s="893">
        <f t="shared" si="142"/>
        <v>5</v>
      </c>
      <c r="R2285" s="894">
        <f t="shared" si="143"/>
        <v>0</v>
      </c>
    </row>
    <row r="2286" spans="1:18">
      <c r="A2286" s="905"/>
      <c r="B2286" s="906"/>
      <c r="C2286" s="907">
        <v>66</v>
      </c>
      <c r="D2286" s="907" t="s">
        <v>279</v>
      </c>
      <c r="E2286" s="925" t="s">
        <v>2682</v>
      </c>
      <c r="F2286" s="926" t="s">
        <v>45</v>
      </c>
      <c r="G2286" s="910"/>
      <c r="H2286" s="911">
        <v>0.03</v>
      </c>
      <c r="I2286" s="912">
        <f>VLOOKUP(E2286,[3]VLP!$B$7:$K$300,10,0)</f>
        <v>5000</v>
      </c>
      <c r="J2286" s="912">
        <f>I2286*H2286</f>
        <v>150</v>
      </c>
      <c r="K2286" s="912" t="s">
        <v>274</v>
      </c>
      <c r="L2286" s="912"/>
      <c r="M2286" s="912"/>
      <c r="N2286" s="912"/>
      <c r="O2286" s="892">
        <f t="shared" si="140"/>
        <v>0</v>
      </c>
      <c r="P2286" s="903">
        <f t="shared" si="141"/>
        <v>1</v>
      </c>
      <c r="Q2286" s="893">
        <f t="shared" si="142"/>
        <v>4</v>
      </c>
      <c r="R2286" s="894">
        <f t="shared" si="143"/>
        <v>0</v>
      </c>
    </row>
    <row r="2287" spans="1:18">
      <c r="A2287" s="905"/>
      <c r="B2287" s="906"/>
      <c r="C2287" s="907">
        <v>44</v>
      </c>
      <c r="D2287" s="907" t="s">
        <v>279</v>
      </c>
      <c r="E2287" s="925" t="s">
        <v>2681</v>
      </c>
      <c r="F2287" s="926" t="s">
        <v>45</v>
      </c>
      <c r="G2287" s="910"/>
      <c r="H2287" s="911">
        <v>0.12</v>
      </c>
      <c r="I2287" s="912">
        <f>VLOOKUP(E2287,[3]VLP!$B$7:$K$300,10,0)</f>
        <v>23000</v>
      </c>
      <c r="J2287" s="912">
        <f>I2287*H2287</f>
        <v>2760</v>
      </c>
      <c r="K2287" s="912" t="s">
        <v>274</v>
      </c>
      <c r="L2287" s="912"/>
      <c r="M2287" s="912"/>
      <c r="N2287" s="912"/>
      <c r="O2287" s="892">
        <f t="shared" si="140"/>
        <v>0</v>
      </c>
      <c r="P2287" s="903">
        <f t="shared" si="141"/>
        <v>1</v>
      </c>
      <c r="Q2287" s="893">
        <f t="shared" si="142"/>
        <v>3</v>
      </c>
      <c r="R2287" s="894">
        <f t="shared" si="143"/>
        <v>0</v>
      </c>
    </row>
    <row r="2288" spans="1:18" s="904" customFormat="1">
      <c r="A2288" s="895"/>
      <c r="B2288" s="896"/>
      <c r="C2288" s="897"/>
      <c r="D2288" s="897"/>
      <c r="E2288" s="924" t="s">
        <v>276</v>
      </c>
      <c r="F2288" s="927"/>
      <c r="G2288" s="928"/>
      <c r="H2288" s="901"/>
      <c r="I2288" s="902"/>
      <c r="J2288" s="902"/>
      <c r="K2288" s="912" t="s">
        <v>274</v>
      </c>
      <c r="L2288" s="902"/>
      <c r="M2288" s="902"/>
      <c r="N2288" s="902"/>
      <c r="O2288" s="892">
        <f t="shared" si="140"/>
        <v>0</v>
      </c>
      <c r="P2288" s="903">
        <f t="shared" si="141"/>
        <v>1</v>
      </c>
      <c r="Q2288" s="893">
        <f t="shared" si="142"/>
        <v>2</v>
      </c>
      <c r="R2288" s="894">
        <f t="shared" si="143"/>
        <v>0</v>
      </c>
    </row>
    <row r="2289" spans="1:18">
      <c r="A2289" s="905"/>
      <c r="B2289" s="906"/>
      <c r="C2289" s="907">
        <v>740</v>
      </c>
      <c r="D2289" s="907" t="s">
        <v>12</v>
      </c>
      <c r="E2289" s="908" t="s">
        <v>4008</v>
      </c>
      <c r="F2289" s="909" t="s">
        <v>2674</v>
      </c>
      <c r="G2289" s="910"/>
      <c r="H2289" s="911">
        <v>3.03</v>
      </c>
      <c r="I2289" s="912"/>
      <c r="J2289" s="912"/>
      <c r="K2289" s="912">
        <f>VLOOKUP(E2289,ĐMNC!$A$7:$F$67,4,0)</f>
        <v>252714</v>
      </c>
      <c r="L2289" s="912">
        <f>H2289*K2289</f>
        <v>765723.41999999993</v>
      </c>
      <c r="M2289" s="912"/>
      <c r="N2289" s="912"/>
      <c r="O2289" s="892">
        <f t="shared" si="140"/>
        <v>0</v>
      </c>
      <c r="P2289" s="903">
        <f t="shared" si="141"/>
        <v>1</v>
      </c>
      <c r="Q2289" s="893">
        <f t="shared" si="142"/>
        <v>1</v>
      </c>
      <c r="R2289" s="894">
        <f t="shared" si="143"/>
        <v>0</v>
      </c>
    </row>
    <row r="2290" spans="1:18" s="847" customFormat="1" ht="31.5">
      <c r="A2290" s="905"/>
      <c r="B2290" s="914" t="s">
        <v>4697</v>
      </c>
      <c r="C2290" s="915"/>
      <c r="D2290" s="915"/>
      <c r="E2290" s="916" t="s">
        <v>4698</v>
      </c>
      <c r="F2290" s="917" t="s">
        <v>249</v>
      </c>
      <c r="G2290" s="918"/>
      <c r="H2290" s="919"/>
      <c r="I2290" s="920"/>
      <c r="J2290" s="891">
        <f>SUM(J2291:J2295)</f>
        <v>3945</v>
      </c>
      <c r="K2290" s="891"/>
      <c r="L2290" s="891">
        <f>SUM(L2291:L2295)</f>
        <v>505428</v>
      </c>
      <c r="M2290" s="891"/>
      <c r="N2290" s="891">
        <f>SUM(N2291:N2295)</f>
        <v>0</v>
      </c>
      <c r="O2290" s="892">
        <f t="shared" si="140"/>
        <v>1</v>
      </c>
      <c r="P2290" s="903">
        <f t="shared" si="141"/>
        <v>0</v>
      </c>
      <c r="Q2290" s="893">
        <f t="shared" si="142"/>
        <v>0</v>
      </c>
      <c r="R2290" s="894">
        <f t="shared" si="143"/>
        <v>5</v>
      </c>
    </row>
    <row r="2291" spans="1:18" s="904" customFormat="1">
      <c r="A2291" s="895"/>
      <c r="B2291" s="896"/>
      <c r="C2291" s="897"/>
      <c r="D2291" s="897"/>
      <c r="E2291" s="924" t="s">
        <v>108</v>
      </c>
      <c r="F2291" s="899"/>
      <c r="G2291" s="900"/>
      <c r="H2291" s="901"/>
      <c r="I2291" s="902"/>
      <c r="J2291" s="902"/>
      <c r="K2291" s="912" t="s">
        <v>274</v>
      </c>
      <c r="L2291" s="902"/>
      <c r="M2291" s="902"/>
      <c r="N2291" s="902"/>
      <c r="O2291" s="892">
        <f t="shared" si="140"/>
        <v>0</v>
      </c>
      <c r="P2291" s="903">
        <f t="shared" si="141"/>
        <v>1</v>
      </c>
      <c r="Q2291" s="893">
        <f t="shared" si="142"/>
        <v>5</v>
      </c>
      <c r="R2291" s="894">
        <f t="shared" si="143"/>
        <v>0</v>
      </c>
    </row>
    <row r="2292" spans="1:18">
      <c r="A2292" s="905"/>
      <c r="B2292" s="906"/>
      <c r="C2292" s="907">
        <v>66</v>
      </c>
      <c r="D2292" s="907" t="s">
        <v>279</v>
      </c>
      <c r="E2292" s="925" t="s">
        <v>2682</v>
      </c>
      <c r="F2292" s="926" t="s">
        <v>45</v>
      </c>
      <c r="G2292" s="910"/>
      <c r="H2292" s="911">
        <v>0.03</v>
      </c>
      <c r="I2292" s="912">
        <f>VLOOKUP(E2292,[3]VLP!$B$7:$K$300,10,0)</f>
        <v>5000</v>
      </c>
      <c r="J2292" s="912">
        <f>I2292*H2292</f>
        <v>150</v>
      </c>
      <c r="K2292" s="912" t="s">
        <v>274</v>
      </c>
      <c r="L2292" s="912"/>
      <c r="M2292" s="912"/>
      <c r="N2292" s="912"/>
      <c r="O2292" s="892">
        <f t="shared" si="140"/>
        <v>0</v>
      </c>
      <c r="P2292" s="903">
        <f t="shared" si="141"/>
        <v>1</v>
      </c>
      <c r="Q2292" s="893">
        <f t="shared" si="142"/>
        <v>4</v>
      </c>
      <c r="R2292" s="894">
        <f t="shared" si="143"/>
        <v>0</v>
      </c>
    </row>
    <row r="2293" spans="1:18">
      <c r="A2293" s="905"/>
      <c r="B2293" s="906"/>
      <c r="C2293" s="907">
        <v>44</v>
      </c>
      <c r="D2293" s="907" t="s">
        <v>279</v>
      </c>
      <c r="E2293" s="925" t="s">
        <v>2681</v>
      </c>
      <c r="F2293" s="926" t="s">
        <v>45</v>
      </c>
      <c r="G2293" s="910"/>
      <c r="H2293" s="911">
        <v>0.16500000000000001</v>
      </c>
      <c r="I2293" s="912">
        <f>VLOOKUP(E2293,[3]VLP!$B$7:$K$300,10,0)</f>
        <v>23000</v>
      </c>
      <c r="J2293" s="912">
        <f>I2293*H2293</f>
        <v>3795</v>
      </c>
      <c r="K2293" s="912" t="s">
        <v>274</v>
      </c>
      <c r="L2293" s="912"/>
      <c r="M2293" s="912"/>
      <c r="N2293" s="912"/>
      <c r="O2293" s="892">
        <f t="shared" si="140"/>
        <v>0</v>
      </c>
      <c r="P2293" s="903">
        <f t="shared" si="141"/>
        <v>1</v>
      </c>
      <c r="Q2293" s="893">
        <f t="shared" si="142"/>
        <v>3</v>
      </c>
      <c r="R2293" s="894">
        <f t="shared" si="143"/>
        <v>0</v>
      </c>
    </row>
    <row r="2294" spans="1:18" s="904" customFormat="1">
      <c r="A2294" s="895"/>
      <c r="B2294" s="896"/>
      <c r="C2294" s="897"/>
      <c r="D2294" s="897"/>
      <c r="E2294" s="924" t="s">
        <v>276</v>
      </c>
      <c r="F2294" s="927"/>
      <c r="G2294" s="928"/>
      <c r="H2294" s="901"/>
      <c r="I2294" s="902"/>
      <c r="J2294" s="902"/>
      <c r="K2294" s="912" t="s">
        <v>274</v>
      </c>
      <c r="L2294" s="902"/>
      <c r="M2294" s="902"/>
      <c r="N2294" s="902"/>
      <c r="O2294" s="892">
        <f t="shared" si="140"/>
        <v>0</v>
      </c>
      <c r="P2294" s="903">
        <f t="shared" si="141"/>
        <v>1</v>
      </c>
      <c r="Q2294" s="893">
        <f t="shared" si="142"/>
        <v>2</v>
      </c>
      <c r="R2294" s="894">
        <f t="shared" si="143"/>
        <v>0</v>
      </c>
    </row>
    <row r="2295" spans="1:18">
      <c r="A2295" s="905"/>
      <c r="B2295" s="906"/>
      <c r="C2295" s="907">
        <v>740</v>
      </c>
      <c r="D2295" s="907" t="s">
        <v>12</v>
      </c>
      <c r="E2295" s="908" t="s">
        <v>4008</v>
      </c>
      <c r="F2295" s="909" t="s">
        <v>2674</v>
      </c>
      <c r="G2295" s="910"/>
      <c r="H2295" s="911">
        <v>2</v>
      </c>
      <c r="I2295" s="912"/>
      <c r="J2295" s="912"/>
      <c r="K2295" s="912">
        <f>VLOOKUP(E2295,ĐMNC!$A$7:$F$67,4,0)</f>
        <v>252714</v>
      </c>
      <c r="L2295" s="912">
        <f>H2295*K2295</f>
        <v>505428</v>
      </c>
      <c r="M2295" s="912"/>
      <c r="N2295" s="912"/>
      <c r="O2295" s="892">
        <f t="shared" si="140"/>
        <v>0</v>
      </c>
      <c r="P2295" s="903">
        <f t="shared" si="141"/>
        <v>1</v>
      </c>
      <c r="Q2295" s="893">
        <f t="shared" si="142"/>
        <v>1</v>
      </c>
      <c r="R2295" s="894">
        <f t="shared" si="143"/>
        <v>0</v>
      </c>
    </row>
    <row r="2296" spans="1:18" s="847" customFormat="1" ht="31.5">
      <c r="A2296" s="905"/>
      <c r="B2296" s="914" t="s">
        <v>4699</v>
      </c>
      <c r="C2296" s="915"/>
      <c r="D2296" s="915"/>
      <c r="E2296" s="916" t="s">
        <v>4700</v>
      </c>
      <c r="F2296" s="917" t="s">
        <v>249</v>
      </c>
      <c r="G2296" s="918"/>
      <c r="H2296" s="919"/>
      <c r="I2296" s="920"/>
      <c r="J2296" s="891">
        <f>SUM(J2297:J2301)</f>
        <v>3945</v>
      </c>
      <c r="K2296" s="891"/>
      <c r="L2296" s="891">
        <f>SUM(L2297:L2301)</f>
        <v>535753.68000000005</v>
      </c>
      <c r="M2296" s="891"/>
      <c r="N2296" s="891">
        <f>SUM(N2297:N2301)</f>
        <v>0</v>
      </c>
      <c r="O2296" s="892">
        <f t="shared" si="140"/>
        <v>1</v>
      </c>
      <c r="P2296" s="903">
        <f t="shared" si="141"/>
        <v>0</v>
      </c>
      <c r="Q2296" s="893">
        <f t="shared" si="142"/>
        <v>0</v>
      </c>
      <c r="R2296" s="894">
        <f t="shared" si="143"/>
        <v>5</v>
      </c>
    </row>
    <row r="2297" spans="1:18" s="904" customFormat="1">
      <c r="A2297" s="895"/>
      <c r="B2297" s="896"/>
      <c r="C2297" s="897"/>
      <c r="D2297" s="897"/>
      <c r="E2297" s="924" t="s">
        <v>108</v>
      </c>
      <c r="F2297" s="899"/>
      <c r="G2297" s="900"/>
      <c r="H2297" s="901"/>
      <c r="I2297" s="902"/>
      <c r="J2297" s="902"/>
      <c r="K2297" s="912" t="s">
        <v>274</v>
      </c>
      <c r="L2297" s="902"/>
      <c r="M2297" s="902"/>
      <c r="N2297" s="902"/>
      <c r="O2297" s="892">
        <f t="shared" si="140"/>
        <v>0</v>
      </c>
      <c r="P2297" s="903">
        <f t="shared" si="141"/>
        <v>1</v>
      </c>
      <c r="Q2297" s="893">
        <f t="shared" si="142"/>
        <v>5</v>
      </c>
      <c r="R2297" s="894">
        <f t="shared" si="143"/>
        <v>0</v>
      </c>
    </row>
    <row r="2298" spans="1:18">
      <c r="A2298" s="905"/>
      <c r="B2298" s="906"/>
      <c r="C2298" s="907">
        <v>66</v>
      </c>
      <c r="D2298" s="907" t="s">
        <v>279</v>
      </c>
      <c r="E2298" s="925" t="s">
        <v>2682</v>
      </c>
      <c r="F2298" s="926" t="s">
        <v>45</v>
      </c>
      <c r="G2298" s="910"/>
      <c r="H2298" s="911">
        <v>0.03</v>
      </c>
      <c r="I2298" s="912">
        <f>VLOOKUP(E2298,[3]VLP!$B$7:$K$300,10,0)</f>
        <v>5000</v>
      </c>
      <c r="J2298" s="912">
        <f>I2298*H2298</f>
        <v>150</v>
      </c>
      <c r="K2298" s="912" t="s">
        <v>274</v>
      </c>
      <c r="L2298" s="912"/>
      <c r="M2298" s="912"/>
      <c r="N2298" s="912"/>
      <c r="O2298" s="892">
        <f t="shared" si="140"/>
        <v>0</v>
      </c>
      <c r="P2298" s="903">
        <f t="shared" si="141"/>
        <v>1</v>
      </c>
      <c r="Q2298" s="893">
        <f t="shared" si="142"/>
        <v>4</v>
      </c>
      <c r="R2298" s="894">
        <f t="shared" si="143"/>
        <v>0</v>
      </c>
    </row>
    <row r="2299" spans="1:18">
      <c r="A2299" s="905"/>
      <c r="B2299" s="906"/>
      <c r="C2299" s="907">
        <v>44</v>
      </c>
      <c r="D2299" s="907" t="s">
        <v>279</v>
      </c>
      <c r="E2299" s="925" t="s">
        <v>2681</v>
      </c>
      <c r="F2299" s="926" t="s">
        <v>45</v>
      </c>
      <c r="G2299" s="910"/>
      <c r="H2299" s="911">
        <v>0.16500000000000001</v>
      </c>
      <c r="I2299" s="912">
        <f>VLOOKUP(E2299,[3]VLP!$B$7:$K$300,10,0)</f>
        <v>23000</v>
      </c>
      <c r="J2299" s="912">
        <f>I2299*H2299</f>
        <v>3795</v>
      </c>
      <c r="K2299" s="912" t="s">
        <v>274</v>
      </c>
      <c r="L2299" s="912"/>
      <c r="M2299" s="912"/>
      <c r="N2299" s="912"/>
      <c r="O2299" s="892">
        <f t="shared" si="140"/>
        <v>0</v>
      </c>
      <c r="P2299" s="903">
        <f t="shared" si="141"/>
        <v>1</v>
      </c>
      <c r="Q2299" s="893">
        <f t="shared" si="142"/>
        <v>3</v>
      </c>
      <c r="R2299" s="894">
        <f t="shared" si="143"/>
        <v>0</v>
      </c>
    </row>
    <row r="2300" spans="1:18" s="904" customFormat="1">
      <c r="A2300" s="895"/>
      <c r="B2300" s="896"/>
      <c r="C2300" s="897"/>
      <c r="D2300" s="897"/>
      <c r="E2300" s="924" t="s">
        <v>276</v>
      </c>
      <c r="F2300" s="927"/>
      <c r="G2300" s="928"/>
      <c r="H2300" s="901"/>
      <c r="I2300" s="902"/>
      <c r="J2300" s="902"/>
      <c r="K2300" s="912" t="s">
        <v>274</v>
      </c>
      <c r="L2300" s="902"/>
      <c r="M2300" s="902"/>
      <c r="N2300" s="902"/>
      <c r="O2300" s="892">
        <f t="shared" si="140"/>
        <v>0</v>
      </c>
      <c r="P2300" s="903">
        <f t="shared" si="141"/>
        <v>1</v>
      </c>
      <c r="Q2300" s="893">
        <f t="shared" si="142"/>
        <v>2</v>
      </c>
      <c r="R2300" s="894">
        <f t="shared" si="143"/>
        <v>0</v>
      </c>
    </row>
    <row r="2301" spans="1:18">
      <c r="A2301" s="905"/>
      <c r="B2301" s="906"/>
      <c r="C2301" s="907">
        <v>740</v>
      </c>
      <c r="D2301" s="907" t="s">
        <v>12</v>
      </c>
      <c r="E2301" s="908" t="s">
        <v>4008</v>
      </c>
      <c r="F2301" s="909" t="s">
        <v>2674</v>
      </c>
      <c r="G2301" s="910"/>
      <c r="H2301" s="911">
        <v>2.12</v>
      </c>
      <c r="I2301" s="912"/>
      <c r="J2301" s="912"/>
      <c r="K2301" s="912">
        <f>VLOOKUP(E2301,ĐMNC!$A$7:$F$67,4,0)</f>
        <v>252714</v>
      </c>
      <c r="L2301" s="912">
        <f>H2301*K2301</f>
        <v>535753.68000000005</v>
      </c>
      <c r="M2301" s="912"/>
      <c r="N2301" s="912"/>
      <c r="O2301" s="892">
        <f t="shared" si="140"/>
        <v>0</v>
      </c>
      <c r="P2301" s="903">
        <f t="shared" si="141"/>
        <v>1</v>
      </c>
      <c r="Q2301" s="893">
        <f t="shared" si="142"/>
        <v>1</v>
      </c>
      <c r="R2301" s="894">
        <f t="shared" si="143"/>
        <v>0</v>
      </c>
    </row>
    <row r="2302" spans="1:18" s="847" customFormat="1" ht="31.5">
      <c r="A2302" s="905"/>
      <c r="B2302" s="914" t="s">
        <v>4701</v>
      </c>
      <c r="C2302" s="915"/>
      <c r="D2302" s="915"/>
      <c r="E2302" s="916" t="s">
        <v>4702</v>
      </c>
      <c r="F2302" s="917" t="s">
        <v>249</v>
      </c>
      <c r="G2302" s="918"/>
      <c r="H2302" s="919"/>
      <c r="I2302" s="920"/>
      <c r="J2302" s="891">
        <f>SUM(J2303:J2307)</f>
        <v>3945</v>
      </c>
      <c r="K2302" s="891"/>
      <c r="L2302" s="891">
        <f>SUM(L2303:L2307)</f>
        <v>606513.6</v>
      </c>
      <c r="M2302" s="891"/>
      <c r="N2302" s="891">
        <f>SUM(N2303:N2307)</f>
        <v>0</v>
      </c>
      <c r="O2302" s="892">
        <f t="shared" si="140"/>
        <v>1</v>
      </c>
      <c r="P2302" s="903">
        <f t="shared" si="141"/>
        <v>0</v>
      </c>
      <c r="Q2302" s="893">
        <f t="shared" si="142"/>
        <v>0</v>
      </c>
      <c r="R2302" s="894">
        <f t="shared" si="143"/>
        <v>5</v>
      </c>
    </row>
    <row r="2303" spans="1:18" s="904" customFormat="1">
      <c r="A2303" s="895"/>
      <c r="B2303" s="896"/>
      <c r="C2303" s="897"/>
      <c r="D2303" s="897"/>
      <c r="E2303" s="924" t="s">
        <v>108</v>
      </c>
      <c r="F2303" s="899"/>
      <c r="G2303" s="900"/>
      <c r="H2303" s="901"/>
      <c r="I2303" s="902"/>
      <c r="J2303" s="902"/>
      <c r="K2303" s="912" t="s">
        <v>274</v>
      </c>
      <c r="L2303" s="902"/>
      <c r="M2303" s="902"/>
      <c r="N2303" s="902"/>
      <c r="O2303" s="892">
        <f t="shared" si="140"/>
        <v>0</v>
      </c>
      <c r="P2303" s="903">
        <f t="shared" si="141"/>
        <v>1</v>
      </c>
      <c r="Q2303" s="893">
        <f t="shared" si="142"/>
        <v>5</v>
      </c>
      <c r="R2303" s="894">
        <f t="shared" si="143"/>
        <v>0</v>
      </c>
    </row>
    <row r="2304" spans="1:18">
      <c r="A2304" s="905"/>
      <c r="B2304" s="906"/>
      <c r="C2304" s="907">
        <v>66</v>
      </c>
      <c r="D2304" s="907" t="s">
        <v>279</v>
      </c>
      <c r="E2304" s="925" t="s">
        <v>2682</v>
      </c>
      <c r="F2304" s="926" t="s">
        <v>45</v>
      </c>
      <c r="G2304" s="910"/>
      <c r="H2304" s="911">
        <v>0.03</v>
      </c>
      <c r="I2304" s="912">
        <f>VLOOKUP(E2304,[3]VLP!$B$7:$K$300,10,0)</f>
        <v>5000</v>
      </c>
      <c r="J2304" s="912">
        <f>I2304*H2304</f>
        <v>150</v>
      </c>
      <c r="K2304" s="912" t="s">
        <v>274</v>
      </c>
      <c r="L2304" s="912"/>
      <c r="M2304" s="912"/>
      <c r="N2304" s="912"/>
      <c r="O2304" s="892">
        <f t="shared" si="140"/>
        <v>0</v>
      </c>
      <c r="P2304" s="903">
        <f t="shared" si="141"/>
        <v>1</v>
      </c>
      <c r="Q2304" s="893">
        <f t="shared" si="142"/>
        <v>4</v>
      </c>
      <c r="R2304" s="894">
        <f t="shared" si="143"/>
        <v>0</v>
      </c>
    </row>
    <row r="2305" spans="1:18">
      <c r="A2305" s="905"/>
      <c r="B2305" s="906"/>
      <c r="C2305" s="907">
        <v>44</v>
      </c>
      <c r="D2305" s="907" t="s">
        <v>279</v>
      </c>
      <c r="E2305" s="925" t="s">
        <v>2681</v>
      </c>
      <c r="F2305" s="926" t="s">
        <v>45</v>
      </c>
      <c r="G2305" s="910"/>
      <c r="H2305" s="911">
        <v>0.16500000000000001</v>
      </c>
      <c r="I2305" s="912">
        <f>VLOOKUP(E2305,[3]VLP!$B$7:$K$300,10,0)</f>
        <v>23000</v>
      </c>
      <c r="J2305" s="912">
        <f>I2305*H2305</f>
        <v>3795</v>
      </c>
      <c r="K2305" s="912" t="s">
        <v>274</v>
      </c>
      <c r="L2305" s="912"/>
      <c r="M2305" s="912"/>
      <c r="N2305" s="912"/>
      <c r="O2305" s="892">
        <f t="shared" si="140"/>
        <v>0</v>
      </c>
      <c r="P2305" s="903">
        <f t="shared" si="141"/>
        <v>1</v>
      </c>
      <c r="Q2305" s="893">
        <f t="shared" si="142"/>
        <v>3</v>
      </c>
      <c r="R2305" s="894">
        <f t="shared" si="143"/>
        <v>0</v>
      </c>
    </row>
    <row r="2306" spans="1:18" s="904" customFormat="1">
      <c r="A2306" s="895"/>
      <c r="B2306" s="896"/>
      <c r="C2306" s="897"/>
      <c r="D2306" s="897"/>
      <c r="E2306" s="924" t="s">
        <v>276</v>
      </c>
      <c r="F2306" s="927"/>
      <c r="G2306" s="928"/>
      <c r="H2306" s="901"/>
      <c r="I2306" s="902"/>
      <c r="J2306" s="902"/>
      <c r="K2306" s="912" t="s">
        <v>274</v>
      </c>
      <c r="L2306" s="902"/>
      <c r="M2306" s="902"/>
      <c r="N2306" s="902"/>
      <c r="O2306" s="892">
        <f t="shared" si="140"/>
        <v>0</v>
      </c>
      <c r="P2306" s="903">
        <f t="shared" si="141"/>
        <v>1</v>
      </c>
      <c r="Q2306" s="893">
        <f t="shared" si="142"/>
        <v>2</v>
      </c>
      <c r="R2306" s="894">
        <f t="shared" si="143"/>
        <v>0</v>
      </c>
    </row>
    <row r="2307" spans="1:18">
      <c r="A2307" s="905"/>
      <c r="B2307" s="906"/>
      <c r="C2307" s="907">
        <v>740</v>
      </c>
      <c r="D2307" s="907" t="s">
        <v>12</v>
      </c>
      <c r="E2307" s="908" t="s">
        <v>4008</v>
      </c>
      <c r="F2307" s="909" t="s">
        <v>2674</v>
      </c>
      <c r="G2307" s="910"/>
      <c r="H2307" s="911">
        <v>2.4</v>
      </c>
      <c r="I2307" s="912"/>
      <c r="J2307" s="912"/>
      <c r="K2307" s="912">
        <f>VLOOKUP(E2307,ĐMNC!$A$7:$F$67,4,0)</f>
        <v>252714</v>
      </c>
      <c r="L2307" s="912">
        <f>H2307*K2307</f>
        <v>606513.6</v>
      </c>
      <c r="M2307" s="912"/>
      <c r="N2307" s="912"/>
      <c r="O2307" s="892">
        <f t="shared" si="140"/>
        <v>0</v>
      </c>
      <c r="P2307" s="903">
        <f t="shared" si="141"/>
        <v>1</v>
      </c>
      <c r="Q2307" s="893">
        <f t="shared" si="142"/>
        <v>1</v>
      </c>
      <c r="R2307" s="894">
        <f t="shared" si="143"/>
        <v>0</v>
      </c>
    </row>
    <row r="2308" spans="1:18" s="847" customFormat="1" ht="31.5">
      <c r="A2308" s="905" t="s">
        <v>4703</v>
      </c>
      <c r="B2308" s="914" t="s">
        <v>4704</v>
      </c>
      <c r="C2308" s="915"/>
      <c r="D2308" s="915"/>
      <c r="E2308" s="916" t="s">
        <v>4705</v>
      </c>
      <c r="F2308" s="917" t="s">
        <v>249</v>
      </c>
      <c r="G2308" s="918"/>
      <c r="H2308" s="919"/>
      <c r="I2308" s="920"/>
      <c r="J2308" s="891">
        <f>SUM(J2309:J2313)</f>
        <v>3945</v>
      </c>
      <c r="K2308" s="891"/>
      <c r="L2308" s="891">
        <f>SUM(L2309:L2313)</f>
        <v>674746.38</v>
      </c>
      <c r="M2308" s="891"/>
      <c r="N2308" s="891">
        <f>SUM(N2309:N2313)</f>
        <v>0</v>
      </c>
      <c r="O2308" s="892">
        <f t="shared" si="140"/>
        <v>1</v>
      </c>
      <c r="P2308" s="903">
        <f t="shared" si="141"/>
        <v>0</v>
      </c>
      <c r="Q2308" s="893">
        <f t="shared" si="142"/>
        <v>0</v>
      </c>
      <c r="R2308" s="894">
        <f t="shared" si="143"/>
        <v>5</v>
      </c>
    </row>
    <row r="2309" spans="1:18" s="904" customFormat="1">
      <c r="A2309" s="895"/>
      <c r="B2309" s="896"/>
      <c r="C2309" s="897"/>
      <c r="D2309" s="897"/>
      <c r="E2309" s="924" t="s">
        <v>108</v>
      </c>
      <c r="F2309" s="899"/>
      <c r="G2309" s="900"/>
      <c r="H2309" s="901"/>
      <c r="I2309" s="902"/>
      <c r="J2309" s="902"/>
      <c r="K2309" s="912" t="s">
        <v>274</v>
      </c>
      <c r="L2309" s="902"/>
      <c r="M2309" s="902"/>
      <c r="N2309" s="902"/>
      <c r="O2309" s="892">
        <f t="shared" si="140"/>
        <v>0</v>
      </c>
      <c r="P2309" s="903">
        <f t="shared" si="141"/>
        <v>1</v>
      </c>
      <c r="Q2309" s="893">
        <f t="shared" si="142"/>
        <v>5</v>
      </c>
      <c r="R2309" s="894">
        <f t="shared" si="143"/>
        <v>0</v>
      </c>
    </row>
    <row r="2310" spans="1:18">
      <c r="A2310" s="905"/>
      <c r="B2310" s="906"/>
      <c r="C2310" s="907">
        <v>66</v>
      </c>
      <c r="D2310" s="907" t="s">
        <v>279</v>
      </c>
      <c r="E2310" s="925" t="s">
        <v>2682</v>
      </c>
      <c r="F2310" s="926" t="s">
        <v>45</v>
      </c>
      <c r="G2310" s="910"/>
      <c r="H2310" s="911">
        <v>0.03</v>
      </c>
      <c r="I2310" s="912">
        <f>VLOOKUP(E2310,[3]VLP!$B$7:$K$300,10,0)</f>
        <v>5000</v>
      </c>
      <c r="J2310" s="912">
        <f>I2310*H2310</f>
        <v>150</v>
      </c>
      <c r="K2310" s="912" t="s">
        <v>274</v>
      </c>
      <c r="L2310" s="912"/>
      <c r="M2310" s="912"/>
      <c r="N2310" s="912"/>
      <c r="O2310" s="892">
        <f t="shared" si="140"/>
        <v>0</v>
      </c>
      <c r="P2310" s="903">
        <f t="shared" si="141"/>
        <v>1</v>
      </c>
      <c r="Q2310" s="893">
        <f t="shared" si="142"/>
        <v>4</v>
      </c>
      <c r="R2310" s="894">
        <f t="shared" si="143"/>
        <v>0</v>
      </c>
    </row>
    <row r="2311" spans="1:18">
      <c r="A2311" s="905"/>
      <c r="B2311" s="906"/>
      <c r="C2311" s="907">
        <v>44</v>
      </c>
      <c r="D2311" s="907" t="s">
        <v>279</v>
      </c>
      <c r="E2311" s="925" t="s">
        <v>2681</v>
      </c>
      <c r="F2311" s="926" t="s">
        <v>45</v>
      </c>
      <c r="G2311" s="910"/>
      <c r="H2311" s="911">
        <v>0.16500000000000001</v>
      </c>
      <c r="I2311" s="912">
        <f>VLOOKUP(E2311,[3]VLP!$B$7:$K$300,10,0)</f>
        <v>23000</v>
      </c>
      <c r="J2311" s="912">
        <f>I2311*H2311</f>
        <v>3795</v>
      </c>
      <c r="K2311" s="912" t="s">
        <v>274</v>
      </c>
      <c r="L2311" s="912"/>
      <c r="M2311" s="912"/>
      <c r="N2311" s="912"/>
      <c r="O2311" s="892">
        <f t="shared" si="140"/>
        <v>0</v>
      </c>
      <c r="P2311" s="903">
        <f t="shared" si="141"/>
        <v>1</v>
      </c>
      <c r="Q2311" s="893">
        <f t="shared" si="142"/>
        <v>3</v>
      </c>
      <c r="R2311" s="894">
        <f t="shared" si="143"/>
        <v>0</v>
      </c>
    </row>
    <row r="2312" spans="1:18" s="904" customFormat="1">
      <c r="A2312" s="895"/>
      <c r="B2312" s="896"/>
      <c r="C2312" s="897"/>
      <c r="D2312" s="897"/>
      <c r="E2312" s="924" t="s">
        <v>276</v>
      </c>
      <c r="F2312" s="927"/>
      <c r="G2312" s="928"/>
      <c r="H2312" s="901"/>
      <c r="I2312" s="902"/>
      <c r="J2312" s="902"/>
      <c r="K2312" s="912" t="s">
        <v>274</v>
      </c>
      <c r="L2312" s="902"/>
      <c r="M2312" s="902"/>
      <c r="N2312" s="902"/>
      <c r="O2312" s="892">
        <f t="shared" si="140"/>
        <v>0</v>
      </c>
      <c r="P2312" s="903">
        <f t="shared" si="141"/>
        <v>1</v>
      </c>
      <c r="Q2312" s="893">
        <f t="shared" si="142"/>
        <v>2</v>
      </c>
      <c r="R2312" s="894">
        <f t="shared" si="143"/>
        <v>0</v>
      </c>
    </row>
    <row r="2313" spans="1:18">
      <c r="A2313" s="905"/>
      <c r="B2313" s="906"/>
      <c r="C2313" s="907">
        <v>740</v>
      </c>
      <c r="D2313" s="907" t="s">
        <v>12</v>
      </c>
      <c r="E2313" s="908" t="s">
        <v>4008</v>
      </c>
      <c r="F2313" s="909" t="s">
        <v>2674</v>
      </c>
      <c r="G2313" s="910"/>
      <c r="H2313" s="911">
        <v>2.67</v>
      </c>
      <c r="I2313" s="912"/>
      <c r="J2313" s="912"/>
      <c r="K2313" s="912">
        <f>VLOOKUP(E2313,ĐMNC!$A$7:$F$67,4,0)</f>
        <v>252714</v>
      </c>
      <c r="L2313" s="912">
        <f>H2313*K2313</f>
        <v>674746.38</v>
      </c>
      <c r="M2313" s="912"/>
      <c r="N2313" s="912"/>
      <c r="O2313" s="892">
        <f t="shared" ref="O2313:O2376" si="144">IF(AND(B2313&lt;&gt;"",D2313=""),1,0)</f>
        <v>0</v>
      </c>
      <c r="P2313" s="903">
        <f t="shared" si="141"/>
        <v>1</v>
      </c>
      <c r="Q2313" s="893">
        <f t="shared" si="142"/>
        <v>1</v>
      </c>
      <c r="R2313" s="894">
        <f t="shared" si="143"/>
        <v>0</v>
      </c>
    </row>
    <row r="2314" spans="1:18" s="847" customFormat="1" ht="31.5">
      <c r="A2314" s="905"/>
      <c r="B2314" s="914" t="s">
        <v>4706</v>
      </c>
      <c r="C2314" s="915"/>
      <c r="D2314" s="915"/>
      <c r="E2314" s="916" t="s">
        <v>4707</v>
      </c>
      <c r="F2314" s="917" t="s">
        <v>249</v>
      </c>
      <c r="G2314" s="918"/>
      <c r="H2314" s="919"/>
      <c r="I2314" s="920"/>
      <c r="J2314" s="891">
        <f>SUM(J2315:J2319)</f>
        <v>3945</v>
      </c>
      <c r="K2314" s="891"/>
      <c r="L2314" s="891">
        <f>SUM(L2315:L2319)</f>
        <v>740452.02</v>
      </c>
      <c r="M2314" s="891"/>
      <c r="N2314" s="891">
        <f>SUM(N2315:N2319)</f>
        <v>0</v>
      </c>
      <c r="O2314" s="892">
        <f t="shared" si="144"/>
        <v>1</v>
      </c>
      <c r="P2314" s="903">
        <f t="shared" si="141"/>
        <v>0</v>
      </c>
      <c r="Q2314" s="893">
        <f t="shared" si="142"/>
        <v>0</v>
      </c>
      <c r="R2314" s="894">
        <f t="shared" si="143"/>
        <v>5</v>
      </c>
    </row>
    <row r="2315" spans="1:18" s="904" customFormat="1">
      <c r="A2315" s="895"/>
      <c r="B2315" s="896"/>
      <c r="C2315" s="897"/>
      <c r="D2315" s="897"/>
      <c r="E2315" s="924" t="s">
        <v>108</v>
      </c>
      <c r="F2315" s="899"/>
      <c r="G2315" s="900"/>
      <c r="H2315" s="901"/>
      <c r="I2315" s="902"/>
      <c r="J2315" s="902"/>
      <c r="K2315" s="912" t="s">
        <v>274</v>
      </c>
      <c r="L2315" s="902"/>
      <c r="M2315" s="902"/>
      <c r="N2315" s="902"/>
      <c r="O2315" s="892">
        <f t="shared" si="144"/>
        <v>0</v>
      </c>
      <c r="P2315" s="903">
        <f t="shared" si="141"/>
        <v>1</v>
      </c>
      <c r="Q2315" s="893">
        <f t="shared" si="142"/>
        <v>5</v>
      </c>
      <c r="R2315" s="894">
        <f t="shared" si="143"/>
        <v>0</v>
      </c>
    </row>
    <row r="2316" spans="1:18">
      <c r="A2316" s="905"/>
      <c r="B2316" s="906"/>
      <c r="C2316" s="907">
        <v>66</v>
      </c>
      <c r="D2316" s="907" t="s">
        <v>279</v>
      </c>
      <c r="E2316" s="925" t="s">
        <v>2682</v>
      </c>
      <c r="F2316" s="926" t="s">
        <v>45</v>
      </c>
      <c r="G2316" s="910"/>
      <c r="H2316" s="911">
        <v>0.03</v>
      </c>
      <c r="I2316" s="912">
        <f>VLOOKUP(E2316,[3]VLP!$B$7:$K$300,10,0)</f>
        <v>5000</v>
      </c>
      <c r="J2316" s="912">
        <f>I2316*H2316</f>
        <v>150</v>
      </c>
      <c r="K2316" s="912" t="s">
        <v>274</v>
      </c>
      <c r="L2316" s="912"/>
      <c r="M2316" s="912"/>
      <c r="N2316" s="912"/>
      <c r="O2316" s="892">
        <f t="shared" si="144"/>
        <v>0</v>
      </c>
      <c r="P2316" s="903">
        <f t="shared" si="141"/>
        <v>1</v>
      </c>
      <c r="Q2316" s="893">
        <f t="shared" si="142"/>
        <v>4</v>
      </c>
      <c r="R2316" s="894">
        <f t="shared" si="143"/>
        <v>0</v>
      </c>
    </row>
    <row r="2317" spans="1:18">
      <c r="A2317" s="905"/>
      <c r="B2317" s="906"/>
      <c r="C2317" s="907">
        <v>44</v>
      </c>
      <c r="D2317" s="907" t="s">
        <v>279</v>
      </c>
      <c r="E2317" s="925" t="s">
        <v>2681</v>
      </c>
      <c r="F2317" s="926" t="s">
        <v>45</v>
      </c>
      <c r="G2317" s="910"/>
      <c r="H2317" s="911">
        <v>0.16500000000000001</v>
      </c>
      <c r="I2317" s="912">
        <f>VLOOKUP(E2317,[3]VLP!$B$7:$K$300,10,0)</f>
        <v>23000</v>
      </c>
      <c r="J2317" s="912">
        <f>I2317*H2317</f>
        <v>3795</v>
      </c>
      <c r="K2317" s="912" t="s">
        <v>274</v>
      </c>
      <c r="L2317" s="912"/>
      <c r="M2317" s="912"/>
      <c r="N2317" s="912"/>
      <c r="O2317" s="892">
        <f t="shared" si="144"/>
        <v>0</v>
      </c>
      <c r="P2317" s="903">
        <f t="shared" si="141"/>
        <v>1</v>
      </c>
      <c r="Q2317" s="893">
        <f t="shared" si="142"/>
        <v>3</v>
      </c>
      <c r="R2317" s="894">
        <f t="shared" si="143"/>
        <v>0</v>
      </c>
    </row>
    <row r="2318" spans="1:18" s="904" customFormat="1">
      <c r="A2318" s="895"/>
      <c r="B2318" s="896"/>
      <c r="C2318" s="897"/>
      <c r="D2318" s="897"/>
      <c r="E2318" s="924" t="s">
        <v>276</v>
      </c>
      <c r="F2318" s="927"/>
      <c r="G2318" s="928"/>
      <c r="H2318" s="901"/>
      <c r="I2318" s="902"/>
      <c r="J2318" s="902"/>
      <c r="K2318" s="912" t="s">
        <v>274</v>
      </c>
      <c r="L2318" s="902"/>
      <c r="M2318" s="902"/>
      <c r="N2318" s="902"/>
      <c r="O2318" s="892">
        <f t="shared" si="144"/>
        <v>0</v>
      </c>
      <c r="P2318" s="903">
        <f t="shared" si="141"/>
        <v>1</v>
      </c>
      <c r="Q2318" s="893">
        <f t="shared" si="142"/>
        <v>2</v>
      </c>
      <c r="R2318" s="894">
        <f t="shared" si="143"/>
        <v>0</v>
      </c>
    </row>
    <row r="2319" spans="1:18">
      <c r="A2319" s="905"/>
      <c r="B2319" s="906"/>
      <c r="C2319" s="907">
        <v>740</v>
      </c>
      <c r="D2319" s="907" t="s">
        <v>12</v>
      </c>
      <c r="E2319" s="908" t="s">
        <v>4008</v>
      </c>
      <c r="F2319" s="909" t="s">
        <v>2674</v>
      </c>
      <c r="G2319" s="910"/>
      <c r="H2319" s="911">
        <v>2.93</v>
      </c>
      <c r="I2319" s="912"/>
      <c r="J2319" s="912"/>
      <c r="K2319" s="912">
        <f>VLOOKUP(E2319,ĐMNC!$A$7:$F$67,4,0)</f>
        <v>252714</v>
      </c>
      <c r="L2319" s="912">
        <f>H2319*K2319</f>
        <v>740452.02</v>
      </c>
      <c r="M2319" s="912"/>
      <c r="N2319" s="912"/>
      <c r="O2319" s="892">
        <f t="shared" si="144"/>
        <v>0</v>
      </c>
      <c r="P2319" s="903">
        <f t="shared" si="141"/>
        <v>1</v>
      </c>
      <c r="Q2319" s="893">
        <f t="shared" si="142"/>
        <v>1</v>
      </c>
      <c r="R2319" s="894">
        <f t="shared" si="143"/>
        <v>0</v>
      </c>
    </row>
    <row r="2320" spans="1:18" s="847" customFormat="1" ht="31.5">
      <c r="A2320" s="905"/>
      <c r="B2320" s="914" t="s">
        <v>4708</v>
      </c>
      <c r="C2320" s="915"/>
      <c r="D2320" s="915"/>
      <c r="E2320" s="916" t="s">
        <v>4709</v>
      </c>
      <c r="F2320" s="917" t="s">
        <v>249</v>
      </c>
      <c r="G2320" s="918"/>
      <c r="H2320" s="919"/>
      <c r="I2320" s="920"/>
      <c r="J2320" s="891">
        <f>SUM(J2321:J2325)</f>
        <v>3945</v>
      </c>
      <c r="K2320" s="891"/>
      <c r="L2320" s="891">
        <f>SUM(L2321:L2325)</f>
        <v>816266.22</v>
      </c>
      <c r="M2320" s="891"/>
      <c r="N2320" s="891">
        <f>SUM(N2321:N2325)</f>
        <v>0</v>
      </c>
      <c r="O2320" s="892">
        <f t="shared" si="144"/>
        <v>1</v>
      </c>
      <c r="P2320" s="903">
        <f t="shared" si="141"/>
        <v>0</v>
      </c>
      <c r="Q2320" s="893">
        <f t="shared" si="142"/>
        <v>0</v>
      </c>
      <c r="R2320" s="894">
        <f t="shared" si="143"/>
        <v>5</v>
      </c>
    </row>
    <row r="2321" spans="1:18" s="904" customFormat="1">
      <c r="A2321" s="895"/>
      <c r="B2321" s="896"/>
      <c r="C2321" s="897"/>
      <c r="D2321" s="897"/>
      <c r="E2321" s="924" t="s">
        <v>108</v>
      </c>
      <c r="F2321" s="899"/>
      <c r="G2321" s="900"/>
      <c r="H2321" s="901"/>
      <c r="I2321" s="902"/>
      <c r="J2321" s="902"/>
      <c r="K2321" s="912" t="s">
        <v>274</v>
      </c>
      <c r="L2321" s="902"/>
      <c r="M2321" s="902"/>
      <c r="N2321" s="902"/>
      <c r="O2321" s="892">
        <f t="shared" si="144"/>
        <v>0</v>
      </c>
      <c r="P2321" s="903">
        <f t="shared" si="141"/>
        <v>1</v>
      </c>
      <c r="Q2321" s="893">
        <f t="shared" si="142"/>
        <v>5</v>
      </c>
      <c r="R2321" s="894">
        <f t="shared" si="143"/>
        <v>0</v>
      </c>
    </row>
    <row r="2322" spans="1:18">
      <c r="A2322" s="905"/>
      <c r="B2322" s="906"/>
      <c r="C2322" s="907">
        <v>66</v>
      </c>
      <c r="D2322" s="907" t="s">
        <v>279</v>
      </c>
      <c r="E2322" s="925" t="s">
        <v>2682</v>
      </c>
      <c r="F2322" s="926" t="s">
        <v>45</v>
      </c>
      <c r="G2322" s="910"/>
      <c r="H2322" s="911">
        <v>0.03</v>
      </c>
      <c r="I2322" s="912">
        <f>VLOOKUP(E2322,[3]VLP!$B$7:$K$300,10,0)</f>
        <v>5000</v>
      </c>
      <c r="J2322" s="912">
        <f>I2322*H2322</f>
        <v>150</v>
      </c>
      <c r="K2322" s="912" t="s">
        <v>274</v>
      </c>
      <c r="L2322" s="912"/>
      <c r="M2322" s="912"/>
      <c r="N2322" s="912"/>
      <c r="O2322" s="892">
        <f t="shared" si="144"/>
        <v>0</v>
      </c>
      <c r="P2322" s="903">
        <f t="shared" ref="P2322:P2385" si="145">IF(O2322=0,1,0)</f>
        <v>1</v>
      </c>
      <c r="Q2322" s="893">
        <f t="shared" ref="Q2322:Q2385" si="146">IF(P2322=0,0,P2322+Q2323)</f>
        <v>4</v>
      </c>
      <c r="R2322" s="894">
        <f t="shared" ref="R2322:R2385" si="147">IF(Q2322=0,Q2323,0)</f>
        <v>0</v>
      </c>
    </row>
    <row r="2323" spans="1:18">
      <c r="A2323" s="905"/>
      <c r="B2323" s="906"/>
      <c r="C2323" s="907">
        <v>44</v>
      </c>
      <c r="D2323" s="907" t="s">
        <v>279</v>
      </c>
      <c r="E2323" s="925" t="s">
        <v>2681</v>
      </c>
      <c r="F2323" s="926" t="s">
        <v>45</v>
      </c>
      <c r="G2323" s="910"/>
      <c r="H2323" s="911">
        <v>0.16500000000000001</v>
      </c>
      <c r="I2323" s="912">
        <f>VLOOKUP(E2323,[3]VLP!$B$7:$K$300,10,0)</f>
        <v>23000</v>
      </c>
      <c r="J2323" s="912">
        <f>I2323*H2323</f>
        <v>3795</v>
      </c>
      <c r="K2323" s="912" t="s">
        <v>274</v>
      </c>
      <c r="L2323" s="912"/>
      <c r="M2323" s="912"/>
      <c r="N2323" s="912"/>
      <c r="O2323" s="892">
        <f t="shared" si="144"/>
        <v>0</v>
      </c>
      <c r="P2323" s="903">
        <f t="shared" si="145"/>
        <v>1</v>
      </c>
      <c r="Q2323" s="893">
        <f t="shared" si="146"/>
        <v>3</v>
      </c>
      <c r="R2323" s="894">
        <f t="shared" si="147"/>
        <v>0</v>
      </c>
    </row>
    <row r="2324" spans="1:18" s="904" customFormat="1">
      <c r="A2324" s="895"/>
      <c r="B2324" s="896"/>
      <c r="C2324" s="897"/>
      <c r="D2324" s="897"/>
      <c r="E2324" s="924" t="s">
        <v>276</v>
      </c>
      <c r="F2324" s="927"/>
      <c r="G2324" s="928"/>
      <c r="H2324" s="901"/>
      <c r="I2324" s="902"/>
      <c r="J2324" s="902"/>
      <c r="K2324" s="912" t="s">
        <v>274</v>
      </c>
      <c r="L2324" s="902"/>
      <c r="M2324" s="902"/>
      <c r="N2324" s="902"/>
      <c r="O2324" s="892">
        <f t="shared" si="144"/>
        <v>0</v>
      </c>
      <c r="P2324" s="903">
        <f t="shared" si="145"/>
        <v>1</v>
      </c>
      <c r="Q2324" s="893">
        <f t="shared" si="146"/>
        <v>2</v>
      </c>
      <c r="R2324" s="894">
        <f t="shared" si="147"/>
        <v>0</v>
      </c>
    </row>
    <row r="2325" spans="1:18">
      <c r="A2325" s="905"/>
      <c r="B2325" s="906"/>
      <c r="C2325" s="907">
        <v>740</v>
      </c>
      <c r="D2325" s="907" t="s">
        <v>12</v>
      </c>
      <c r="E2325" s="908" t="s">
        <v>4008</v>
      </c>
      <c r="F2325" s="909" t="s">
        <v>2674</v>
      </c>
      <c r="G2325" s="910"/>
      <c r="H2325" s="911">
        <v>3.23</v>
      </c>
      <c r="I2325" s="912"/>
      <c r="J2325" s="912"/>
      <c r="K2325" s="912">
        <f>VLOOKUP(E2325,ĐMNC!$A$7:$F$67,4,0)</f>
        <v>252714</v>
      </c>
      <c r="L2325" s="912">
        <f>H2325*K2325</f>
        <v>816266.22</v>
      </c>
      <c r="M2325" s="912"/>
      <c r="N2325" s="912"/>
      <c r="O2325" s="892">
        <f t="shared" si="144"/>
        <v>0</v>
      </c>
      <c r="P2325" s="903">
        <f t="shared" si="145"/>
        <v>1</v>
      </c>
      <c r="Q2325" s="893">
        <f t="shared" si="146"/>
        <v>1</v>
      </c>
      <c r="R2325" s="894">
        <f t="shared" si="147"/>
        <v>0</v>
      </c>
    </row>
    <row r="2326" spans="1:18" s="847" customFormat="1" ht="31.5">
      <c r="A2326" s="905"/>
      <c r="B2326" s="914" t="s">
        <v>4710</v>
      </c>
      <c r="C2326" s="915"/>
      <c r="D2326" s="915"/>
      <c r="E2326" s="916" t="s">
        <v>4711</v>
      </c>
      <c r="F2326" s="917" t="s">
        <v>249</v>
      </c>
      <c r="G2326" s="918"/>
      <c r="H2326" s="919"/>
      <c r="I2326" s="920"/>
      <c r="J2326" s="891">
        <f>SUM(J2327:J2331)</f>
        <v>3945</v>
      </c>
      <c r="K2326" s="891"/>
      <c r="L2326" s="891">
        <f>SUM(L2327:L2331)</f>
        <v>935041.8</v>
      </c>
      <c r="M2326" s="891"/>
      <c r="N2326" s="891">
        <f>SUM(N2327:N2331)</f>
        <v>0</v>
      </c>
      <c r="O2326" s="892">
        <f t="shared" si="144"/>
        <v>1</v>
      </c>
      <c r="P2326" s="903">
        <f t="shared" si="145"/>
        <v>0</v>
      </c>
      <c r="Q2326" s="893">
        <f t="shared" si="146"/>
        <v>0</v>
      </c>
      <c r="R2326" s="894">
        <f t="shared" si="147"/>
        <v>5</v>
      </c>
    </row>
    <row r="2327" spans="1:18" s="904" customFormat="1">
      <c r="A2327" s="895"/>
      <c r="B2327" s="896"/>
      <c r="C2327" s="897"/>
      <c r="D2327" s="897"/>
      <c r="E2327" s="924" t="s">
        <v>108</v>
      </c>
      <c r="F2327" s="899"/>
      <c r="G2327" s="900"/>
      <c r="H2327" s="901"/>
      <c r="I2327" s="902"/>
      <c r="J2327" s="902"/>
      <c r="K2327" s="912" t="s">
        <v>274</v>
      </c>
      <c r="L2327" s="902"/>
      <c r="M2327" s="902"/>
      <c r="N2327" s="902"/>
      <c r="O2327" s="892">
        <f t="shared" si="144"/>
        <v>0</v>
      </c>
      <c r="P2327" s="903">
        <f t="shared" si="145"/>
        <v>1</v>
      </c>
      <c r="Q2327" s="893">
        <f t="shared" si="146"/>
        <v>5</v>
      </c>
      <c r="R2327" s="894">
        <f t="shared" si="147"/>
        <v>0</v>
      </c>
    </row>
    <row r="2328" spans="1:18">
      <c r="A2328" s="905"/>
      <c r="B2328" s="906"/>
      <c r="C2328" s="907">
        <v>66</v>
      </c>
      <c r="D2328" s="907" t="s">
        <v>279</v>
      </c>
      <c r="E2328" s="925" t="s">
        <v>2682</v>
      </c>
      <c r="F2328" s="926" t="s">
        <v>45</v>
      </c>
      <c r="G2328" s="910"/>
      <c r="H2328" s="911">
        <v>0.03</v>
      </c>
      <c r="I2328" s="912">
        <f>VLOOKUP(E2328,[3]VLP!$B$7:$K$300,10,0)</f>
        <v>5000</v>
      </c>
      <c r="J2328" s="912">
        <f>I2328*H2328</f>
        <v>150</v>
      </c>
      <c r="K2328" s="912" t="s">
        <v>274</v>
      </c>
      <c r="L2328" s="912"/>
      <c r="M2328" s="912"/>
      <c r="N2328" s="912"/>
      <c r="O2328" s="892">
        <f t="shared" si="144"/>
        <v>0</v>
      </c>
      <c r="P2328" s="903">
        <f t="shared" si="145"/>
        <v>1</v>
      </c>
      <c r="Q2328" s="893">
        <f t="shared" si="146"/>
        <v>4</v>
      </c>
      <c r="R2328" s="894">
        <f t="shared" si="147"/>
        <v>0</v>
      </c>
    </row>
    <row r="2329" spans="1:18">
      <c r="A2329" s="905"/>
      <c r="B2329" s="906"/>
      <c r="C2329" s="907">
        <v>44</v>
      </c>
      <c r="D2329" s="907" t="s">
        <v>279</v>
      </c>
      <c r="E2329" s="925" t="s">
        <v>2681</v>
      </c>
      <c r="F2329" s="926" t="s">
        <v>45</v>
      </c>
      <c r="G2329" s="910"/>
      <c r="H2329" s="911">
        <v>0.16500000000000001</v>
      </c>
      <c r="I2329" s="912">
        <f>VLOOKUP(E2329,[3]VLP!$B$7:$K$300,10,0)</f>
        <v>23000</v>
      </c>
      <c r="J2329" s="912">
        <f>I2329*H2329</f>
        <v>3795</v>
      </c>
      <c r="K2329" s="912" t="s">
        <v>274</v>
      </c>
      <c r="L2329" s="912"/>
      <c r="M2329" s="912"/>
      <c r="N2329" s="912"/>
      <c r="O2329" s="892">
        <f t="shared" si="144"/>
        <v>0</v>
      </c>
      <c r="P2329" s="903">
        <f t="shared" si="145"/>
        <v>1</v>
      </c>
      <c r="Q2329" s="893">
        <f t="shared" si="146"/>
        <v>3</v>
      </c>
      <c r="R2329" s="894">
        <f t="shared" si="147"/>
        <v>0</v>
      </c>
    </row>
    <row r="2330" spans="1:18" s="904" customFormat="1">
      <c r="A2330" s="895"/>
      <c r="B2330" s="896"/>
      <c r="C2330" s="897"/>
      <c r="D2330" s="897"/>
      <c r="E2330" s="924" t="s">
        <v>276</v>
      </c>
      <c r="F2330" s="927"/>
      <c r="G2330" s="928"/>
      <c r="H2330" s="901"/>
      <c r="I2330" s="902"/>
      <c r="J2330" s="902"/>
      <c r="K2330" s="912" t="s">
        <v>274</v>
      </c>
      <c r="L2330" s="902"/>
      <c r="M2330" s="902"/>
      <c r="N2330" s="902"/>
      <c r="O2330" s="892">
        <f t="shared" si="144"/>
        <v>0</v>
      </c>
      <c r="P2330" s="903">
        <f t="shared" si="145"/>
        <v>1</v>
      </c>
      <c r="Q2330" s="893">
        <f t="shared" si="146"/>
        <v>2</v>
      </c>
      <c r="R2330" s="894">
        <f t="shared" si="147"/>
        <v>0</v>
      </c>
    </row>
    <row r="2331" spans="1:18">
      <c r="A2331" s="905"/>
      <c r="B2331" s="906"/>
      <c r="C2331" s="907">
        <v>740</v>
      </c>
      <c r="D2331" s="907" t="s">
        <v>12</v>
      </c>
      <c r="E2331" s="908" t="s">
        <v>4008</v>
      </c>
      <c r="F2331" s="909" t="s">
        <v>2674</v>
      </c>
      <c r="G2331" s="910"/>
      <c r="H2331" s="911">
        <v>3.7</v>
      </c>
      <c r="I2331" s="912"/>
      <c r="J2331" s="912"/>
      <c r="K2331" s="912">
        <f>VLOOKUP(E2331,ĐMNC!$A$7:$F$67,4,0)</f>
        <v>252714</v>
      </c>
      <c r="L2331" s="912">
        <f>H2331*K2331</f>
        <v>935041.8</v>
      </c>
      <c r="M2331" s="912"/>
      <c r="N2331" s="912"/>
      <c r="O2331" s="892">
        <f t="shared" si="144"/>
        <v>0</v>
      </c>
      <c r="P2331" s="903">
        <f t="shared" si="145"/>
        <v>1</v>
      </c>
      <c r="Q2331" s="893">
        <f t="shared" si="146"/>
        <v>1</v>
      </c>
      <c r="R2331" s="894">
        <f t="shared" si="147"/>
        <v>0</v>
      </c>
    </row>
    <row r="2332" spans="1:18" s="847" customFormat="1" ht="31.5">
      <c r="A2332" s="905"/>
      <c r="B2332" s="914" t="s">
        <v>4712</v>
      </c>
      <c r="C2332" s="915"/>
      <c r="D2332" s="915"/>
      <c r="E2332" s="916" t="s">
        <v>4713</v>
      </c>
      <c r="F2332" s="917" t="s">
        <v>249</v>
      </c>
      <c r="G2332" s="918"/>
      <c r="H2332" s="919"/>
      <c r="I2332" s="920"/>
      <c r="J2332" s="891">
        <f>SUM(J2333:J2337)</f>
        <v>3945</v>
      </c>
      <c r="K2332" s="891"/>
      <c r="L2332" s="891">
        <f>SUM(L2333:L2337)</f>
        <v>1076561.6399999999</v>
      </c>
      <c r="M2332" s="891"/>
      <c r="N2332" s="891">
        <f>SUM(N2333:N2337)</f>
        <v>0</v>
      </c>
      <c r="O2332" s="892">
        <f t="shared" si="144"/>
        <v>1</v>
      </c>
      <c r="P2332" s="903">
        <f t="shared" si="145"/>
        <v>0</v>
      </c>
      <c r="Q2332" s="893">
        <f t="shared" si="146"/>
        <v>0</v>
      </c>
      <c r="R2332" s="894">
        <f t="shared" si="147"/>
        <v>5</v>
      </c>
    </row>
    <row r="2333" spans="1:18" s="904" customFormat="1">
      <c r="A2333" s="895"/>
      <c r="B2333" s="896"/>
      <c r="C2333" s="897"/>
      <c r="D2333" s="897"/>
      <c r="E2333" s="924" t="s">
        <v>108</v>
      </c>
      <c r="F2333" s="899"/>
      <c r="G2333" s="900"/>
      <c r="H2333" s="901"/>
      <c r="I2333" s="902"/>
      <c r="J2333" s="902"/>
      <c r="K2333" s="912" t="s">
        <v>274</v>
      </c>
      <c r="L2333" s="902"/>
      <c r="M2333" s="902"/>
      <c r="N2333" s="902"/>
      <c r="O2333" s="892">
        <f t="shared" si="144"/>
        <v>0</v>
      </c>
      <c r="P2333" s="903">
        <f t="shared" si="145"/>
        <v>1</v>
      </c>
      <c r="Q2333" s="893">
        <f t="shared" si="146"/>
        <v>5</v>
      </c>
      <c r="R2333" s="894">
        <f t="shared" si="147"/>
        <v>0</v>
      </c>
    </row>
    <row r="2334" spans="1:18">
      <c r="A2334" s="905"/>
      <c r="B2334" s="906"/>
      <c r="C2334" s="907">
        <v>66</v>
      </c>
      <c r="D2334" s="907" t="s">
        <v>279</v>
      </c>
      <c r="E2334" s="925" t="s">
        <v>2682</v>
      </c>
      <c r="F2334" s="926" t="s">
        <v>45</v>
      </c>
      <c r="G2334" s="910"/>
      <c r="H2334" s="911">
        <v>0.03</v>
      </c>
      <c r="I2334" s="912">
        <f>VLOOKUP(E2334,[3]VLP!$B$7:$K$300,10,0)</f>
        <v>5000</v>
      </c>
      <c r="J2334" s="912">
        <f>I2334*H2334</f>
        <v>150</v>
      </c>
      <c r="K2334" s="912" t="s">
        <v>274</v>
      </c>
      <c r="L2334" s="912"/>
      <c r="M2334" s="912"/>
      <c r="N2334" s="912"/>
      <c r="O2334" s="892">
        <f t="shared" si="144"/>
        <v>0</v>
      </c>
      <c r="P2334" s="903">
        <f t="shared" si="145"/>
        <v>1</v>
      </c>
      <c r="Q2334" s="893">
        <f t="shared" si="146"/>
        <v>4</v>
      </c>
      <c r="R2334" s="894">
        <f t="shared" si="147"/>
        <v>0</v>
      </c>
    </row>
    <row r="2335" spans="1:18">
      <c r="A2335" s="905"/>
      <c r="B2335" s="906"/>
      <c r="C2335" s="907">
        <v>44</v>
      </c>
      <c r="D2335" s="907" t="s">
        <v>279</v>
      </c>
      <c r="E2335" s="925" t="s">
        <v>2681</v>
      </c>
      <c r="F2335" s="926" t="s">
        <v>45</v>
      </c>
      <c r="G2335" s="910"/>
      <c r="H2335" s="911">
        <v>0.16500000000000001</v>
      </c>
      <c r="I2335" s="912">
        <f>VLOOKUP(E2335,[3]VLP!$B$7:$K$300,10,0)</f>
        <v>23000</v>
      </c>
      <c r="J2335" s="912">
        <f>I2335*H2335</f>
        <v>3795</v>
      </c>
      <c r="K2335" s="912" t="s">
        <v>274</v>
      </c>
      <c r="L2335" s="912"/>
      <c r="M2335" s="912"/>
      <c r="N2335" s="912"/>
      <c r="O2335" s="892">
        <f t="shared" si="144"/>
        <v>0</v>
      </c>
      <c r="P2335" s="903">
        <f t="shared" si="145"/>
        <v>1</v>
      </c>
      <c r="Q2335" s="893">
        <f t="shared" si="146"/>
        <v>3</v>
      </c>
      <c r="R2335" s="894">
        <f t="shared" si="147"/>
        <v>0</v>
      </c>
    </row>
    <row r="2336" spans="1:18" s="904" customFormat="1">
      <c r="A2336" s="895"/>
      <c r="B2336" s="896"/>
      <c r="C2336" s="897"/>
      <c r="D2336" s="897"/>
      <c r="E2336" s="924" t="s">
        <v>276</v>
      </c>
      <c r="F2336" s="927"/>
      <c r="G2336" s="928"/>
      <c r="H2336" s="901"/>
      <c r="I2336" s="902"/>
      <c r="J2336" s="902"/>
      <c r="K2336" s="912" t="s">
        <v>274</v>
      </c>
      <c r="L2336" s="902"/>
      <c r="M2336" s="902"/>
      <c r="N2336" s="902"/>
      <c r="O2336" s="892">
        <f t="shared" si="144"/>
        <v>0</v>
      </c>
      <c r="P2336" s="903">
        <f t="shared" si="145"/>
        <v>1</v>
      </c>
      <c r="Q2336" s="893">
        <f t="shared" si="146"/>
        <v>2</v>
      </c>
      <c r="R2336" s="894">
        <f t="shared" si="147"/>
        <v>0</v>
      </c>
    </row>
    <row r="2337" spans="1:18">
      <c r="A2337" s="905"/>
      <c r="B2337" s="906"/>
      <c r="C2337" s="907">
        <v>740</v>
      </c>
      <c r="D2337" s="907" t="s">
        <v>12</v>
      </c>
      <c r="E2337" s="908" t="s">
        <v>4008</v>
      </c>
      <c r="F2337" s="909" t="s">
        <v>2674</v>
      </c>
      <c r="G2337" s="910"/>
      <c r="H2337" s="911">
        <v>4.26</v>
      </c>
      <c r="I2337" s="912"/>
      <c r="J2337" s="912"/>
      <c r="K2337" s="912">
        <f>VLOOKUP(E2337,ĐMNC!$A$7:$F$67,4,0)</f>
        <v>252714</v>
      </c>
      <c r="L2337" s="912">
        <f>H2337*K2337</f>
        <v>1076561.6399999999</v>
      </c>
      <c r="M2337" s="912"/>
      <c r="N2337" s="912"/>
      <c r="O2337" s="892">
        <f t="shared" si="144"/>
        <v>0</v>
      </c>
      <c r="P2337" s="903">
        <f t="shared" si="145"/>
        <v>1</v>
      </c>
      <c r="Q2337" s="893">
        <f t="shared" si="146"/>
        <v>1</v>
      </c>
      <c r="R2337" s="894">
        <f t="shared" si="147"/>
        <v>0</v>
      </c>
    </row>
    <row r="2338" spans="1:18" s="847" customFormat="1" ht="31.5">
      <c r="A2338" s="905"/>
      <c r="B2338" s="914" t="s">
        <v>4714</v>
      </c>
      <c r="C2338" s="915"/>
      <c r="D2338" s="915"/>
      <c r="E2338" s="916" t="s">
        <v>4715</v>
      </c>
      <c r="F2338" s="917" t="s">
        <v>249</v>
      </c>
      <c r="G2338" s="918"/>
      <c r="H2338" s="919"/>
      <c r="I2338" s="920"/>
      <c r="J2338" s="891">
        <f>SUM(J2339:J2343)</f>
        <v>4750</v>
      </c>
      <c r="K2338" s="891"/>
      <c r="L2338" s="891">
        <f>SUM(L2339:L2343)</f>
        <v>639366.41999999993</v>
      </c>
      <c r="M2338" s="891"/>
      <c r="N2338" s="891">
        <f>SUM(N2339:N2343)</f>
        <v>0</v>
      </c>
      <c r="O2338" s="892">
        <f t="shared" si="144"/>
        <v>1</v>
      </c>
      <c r="P2338" s="903">
        <f t="shared" si="145"/>
        <v>0</v>
      </c>
      <c r="Q2338" s="893">
        <f t="shared" si="146"/>
        <v>0</v>
      </c>
      <c r="R2338" s="894">
        <f t="shared" si="147"/>
        <v>5</v>
      </c>
    </row>
    <row r="2339" spans="1:18" s="904" customFormat="1">
      <c r="A2339" s="895"/>
      <c r="B2339" s="922"/>
      <c r="C2339" s="897"/>
      <c r="D2339" s="897"/>
      <c r="E2339" s="924" t="s">
        <v>108</v>
      </c>
      <c r="F2339" s="899"/>
      <c r="G2339" s="900"/>
      <c r="H2339" s="901"/>
      <c r="I2339" s="902"/>
      <c r="J2339" s="902"/>
      <c r="K2339" s="912" t="s">
        <v>274</v>
      </c>
      <c r="L2339" s="902"/>
      <c r="M2339" s="902"/>
      <c r="N2339" s="902"/>
      <c r="O2339" s="892">
        <f t="shared" si="144"/>
        <v>0</v>
      </c>
      <c r="P2339" s="903">
        <f t="shared" si="145"/>
        <v>1</v>
      </c>
      <c r="Q2339" s="893">
        <f t="shared" si="146"/>
        <v>5</v>
      </c>
      <c r="R2339" s="894">
        <f t="shared" si="147"/>
        <v>0</v>
      </c>
    </row>
    <row r="2340" spans="1:18">
      <c r="A2340" s="905"/>
      <c r="B2340" s="906"/>
      <c r="C2340" s="907">
        <v>66</v>
      </c>
      <c r="D2340" s="907" t="s">
        <v>279</v>
      </c>
      <c r="E2340" s="925" t="s">
        <v>2682</v>
      </c>
      <c r="F2340" s="926" t="s">
        <v>45</v>
      </c>
      <c r="G2340" s="910"/>
      <c r="H2340" s="911">
        <v>0.03</v>
      </c>
      <c r="I2340" s="912">
        <f>VLOOKUP(E2340,[3]VLP!$B$7:$K$300,10,0)</f>
        <v>5000</v>
      </c>
      <c r="J2340" s="912">
        <f>I2340*H2340</f>
        <v>150</v>
      </c>
      <c r="K2340" s="912" t="s">
        <v>274</v>
      </c>
      <c r="L2340" s="912"/>
      <c r="M2340" s="912"/>
      <c r="N2340" s="912"/>
      <c r="O2340" s="892">
        <f t="shared" si="144"/>
        <v>0</v>
      </c>
      <c r="P2340" s="903">
        <f t="shared" si="145"/>
        <v>1</v>
      </c>
      <c r="Q2340" s="893">
        <f t="shared" si="146"/>
        <v>4</v>
      </c>
      <c r="R2340" s="894">
        <f t="shared" si="147"/>
        <v>0</v>
      </c>
    </row>
    <row r="2341" spans="1:18">
      <c r="A2341" s="905"/>
      <c r="B2341" s="906"/>
      <c r="C2341" s="907">
        <v>44</v>
      </c>
      <c r="D2341" s="907" t="s">
        <v>279</v>
      </c>
      <c r="E2341" s="925" t="s">
        <v>2681</v>
      </c>
      <c r="F2341" s="926" t="s">
        <v>45</v>
      </c>
      <c r="G2341" s="910"/>
      <c r="H2341" s="911">
        <v>0.2</v>
      </c>
      <c r="I2341" s="912">
        <f>VLOOKUP(E2341,[3]VLP!$B$7:$K$300,10,0)</f>
        <v>23000</v>
      </c>
      <c r="J2341" s="912">
        <f>I2341*H2341</f>
        <v>4600</v>
      </c>
      <c r="K2341" s="912" t="s">
        <v>274</v>
      </c>
      <c r="L2341" s="912"/>
      <c r="M2341" s="912"/>
      <c r="N2341" s="912"/>
      <c r="O2341" s="892">
        <f t="shared" si="144"/>
        <v>0</v>
      </c>
      <c r="P2341" s="903">
        <f t="shared" si="145"/>
        <v>1</v>
      </c>
      <c r="Q2341" s="893">
        <f t="shared" si="146"/>
        <v>3</v>
      </c>
      <c r="R2341" s="894">
        <f t="shared" si="147"/>
        <v>0</v>
      </c>
    </row>
    <row r="2342" spans="1:18" s="904" customFormat="1">
      <c r="A2342" s="895"/>
      <c r="B2342" s="896"/>
      <c r="C2342" s="897"/>
      <c r="D2342" s="897"/>
      <c r="E2342" s="924" t="s">
        <v>276</v>
      </c>
      <c r="F2342" s="927"/>
      <c r="G2342" s="928"/>
      <c r="H2342" s="901"/>
      <c r="I2342" s="902"/>
      <c r="J2342" s="902"/>
      <c r="K2342" s="912" t="s">
        <v>274</v>
      </c>
      <c r="L2342" s="902"/>
      <c r="M2342" s="902"/>
      <c r="N2342" s="902"/>
      <c r="O2342" s="892">
        <f t="shared" si="144"/>
        <v>0</v>
      </c>
      <c r="P2342" s="903">
        <f t="shared" si="145"/>
        <v>1</v>
      </c>
      <c r="Q2342" s="893">
        <f t="shared" si="146"/>
        <v>2</v>
      </c>
      <c r="R2342" s="894">
        <f t="shared" si="147"/>
        <v>0</v>
      </c>
    </row>
    <row r="2343" spans="1:18">
      <c r="A2343" s="905"/>
      <c r="B2343" s="906"/>
      <c r="C2343" s="907">
        <v>740</v>
      </c>
      <c r="D2343" s="907" t="s">
        <v>12</v>
      </c>
      <c r="E2343" s="908" t="s">
        <v>4008</v>
      </c>
      <c r="F2343" s="909" t="s">
        <v>2674</v>
      </c>
      <c r="G2343" s="910"/>
      <c r="H2343" s="911">
        <v>2.5299999999999998</v>
      </c>
      <c r="I2343" s="912"/>
      <c r="J2343" s="912"/>
      <c r="K2343" s="912">
        <f>VLOOKUP(E2343,ĐMNC!$A$7:$F$67,4,0)</f>
        <v>252714</v>
      </c>
      <c r="L2343" s="912">
        <f>H2343*K2343</f>
        <v>639366.41999999993</v>
      </c>
      <c r="M2343" s="912"/>
      <c r="N2343" s="912"/>
      <c r="O2343" s="892">
        <f t="shared" si="144"/>
        <v>0</v>
      </c>
      <c r="P2343" s="903">
        <f t="shared" si="145"/>
        <v>1</v>
      </c>
      <c r="Q2343" s="893">
        <f t="shared" si="146"/>
        <v>1</v>
      </c>
      <c r="R2343" s="894">
        <f t="shared" si="147"/>
        <v>0</v>
      </c>
    </row>
    <row r="2344" spans="1:18" s="847" customFormat="1" ht="31.5">
      <c r="A2344" s="905"/>
      <c r="B2344" s="914" t="s">
        <v>4716</v>
      </c>
      <c r="C2344" s="915"/>
      <c r="D2344" s="915"/>
      <c r="E2344" s="916" t="s">
        <v>4717</v>
      </c>
      <c r="F2344" s="917" t="s">
        <v>249</v>
      </c>
      <c r="G2344" s="918"/>
      <c r="H2344" s="919"/>
      <c r="I2344" s="920"/>
      <c r="J2344" s="891">
        <f>SUM(J2345:J2349)</f>
        <v>4750</v>
      </c>
      <c r="K2344" s="891"/>
      <c r="L2344" s="891">
        <f>SUM(L2345:L2349)</f>
        <v>674746.38</v>
      </c>
      <c r="M2344" s="891"/>
      <c r="N2344" s="891">
        <f>SUM(N2345:N2349)</f>
        <v>0</v>
      </c>
      <c r="O2344" s="892">
        <f t="shared" si="144"/>
        <v>1</v>
      </c>
      <c r="P2344" s="903">
        <f t="shared" si="145"/>
        <v>0</v>
      </c>
      <c r="Q2344" s="893">
        <f t="shared" si="146"/>
        <v>0</v>
      </c>
      <c r="R2344" s="894">
        <f t="shared" si="147"/>
        <v>5</v>
      </c>
    </row>
    <row r="2345" spans="1:18" s="904" customFormat="1">
      <c r="A2345" s="895"/>
      <c r="B2345" s="896"/>
      <c r="C2345" s="897"/>
      <c r="D2345" s="897"/>
      <c r="E2345" s="924" t="s">
        <v>108</v>
      </c>
      <c r="F2345" s="899"/>
      <c r="G2345" s="900"/>
      <c r="H2345" s="901"/>
      <c r="I2345" s="902"/>
      <c r="J2345" s="902"/>
      <c r="K2345" s="912" t="s">
        <v>274</v>
      </c>
      <c r="L2345" s="902"/>
      <c r="M2345" s="902"/>
      <c r="N2345" s="902"/>
      <c r="O2345" s="892">
        <f t="shared" si="144"/>
        <v>0</v>
      </c>
      <c r="P2345" s="903">
        <f t="shared" si="145"/>
        <v>1</v>
      </c>
      <c r="Q2345" s="893">
        <f t="shared" si="146"/>
        <v>5</v>
      </c>
      <c r="R2345" s="894">
        <f t="shared" si="147"/>
        <v>0</v>
      </c>
    </row>
    <row r="2346" spans="1:18">
      <c r="A2346" s="905"/>
      <c r="B2346" s="906"/>
      <c r="C2346" s="907">
        <v>66</v>
      </c>
      <c r="D2346" s="907" t="s">
        <v>279</v>
      </c>
      <c r="E2346" s="925" t="s">
        <v>2682</v>
      </c>
      <c r="F2346" s="926" t="s">
        <v>45</v>
      </c>
      <c r="G2346" s="910"/>
      <c r="H2346" s="911">
        <v>0.03</v>
      </c>
      <c r="I2346" s="912">
        <f>VLOOKUP(E2346,[3]VLP!$B$7:$K$300,10,0)</f>
        <v>5000</v>
      </c>
      <c r="J2346" s="912">
        <f>I2346*H2346</f>
        <v>150</v>
      </c>
      <c r="K2346" s="912" t="s">
        <v>274</v>
      </c>
      <c r="L2346" s="912"/>
      <c r="M2346" s="912"/>
      <c r="N2346" s="912"/>
      <c r="O2346" s="892">
        <f t="shared" si="144"/>
        <v>0</v>
      </c>
      <c r="P2346" s="903">
        <f t="shared" si="145"/>
        <v>1</v>
      </c>
      <c r="Q2346" s="893">
        <f t="shared" si="146"/>
        <v>4</v>
      </c>
      <c r="R2346" s="894">
        <f t="shared" si="147"/>
        <v>0</v>
      </c>
    </row>
    <row r="2347" spans="1:18">
      <c r="A2347" s="905"/>
      <c r="B2347" s="906"/>
      <c r="C2347" s="907">
        <v>44</v>
      </c>
      <c r="D2347" s="907" t="s">
        <v>279</v>
      </c>
      <c r="E2347" s="925" t="s">
        <v>2681</v>
      </c>
      <c r="F2347" s="926" t="s">
        <v>45</v>
      </c>
      <c r="G2347" s="910"/>
      <c r="H2347" s="911">
        <v>0.2</v>
      </c>
      <c r="I2347" s="912">
        <f>VLOOKUP(E2347,[3]VLP!$B$7:$K$300,10,0)</f>
        <v>23000</v>
      </c>
      <c r="J2347" s="912">
        <f>I2347*H2347</f>
        <v>4600</v>
      </c>
      <c r="K2347" s="912" t="s">
        <v>274</v>
      </c>
      <c r="L2347" s="912"/>
      <c r="M2347" s="912"/>
      <c r="N2347" s="912"/>
      <c r="O2347" s="892">
        <f t="shared" si="144"/>
        <v>0</v>
      </c>
      <c r="P2347" s="903">
        <f t="shared" si="145"/>
        <v>1</v>
      </c>
      <c r="Q2347" s="893">
        <f t="shared" si="146"/>
        <v>3</v>
      </c>
      <c r="R2347" s="894">
        <f t="shared" si="147"/>
        <v>0</v>
      </c>
    </row>
    <row r="2348" spans="1:18" s="904" customFormat="1">
      <c r="A2348" s="895"/>
      <c r="B2348" s="896"/>
      <c r="C2348" s="897"/>
      <c r="D2348" s="897"/>
      <c r="E2348" s="924" t="s">
        <v>276</v>
      </c>
      <c r="F2348" s="927"/>
      <c r="G2348" s="928"/>
      <c r="H2348" s="901"/>
      <c r="I2348" s="902"/>
      <c r="J2348" s="902"/>
      <c r="K2348" s="912" t="s">
        <v>274</v>
      </c>
      <c r="L2348" s="902"/>
      <c r="M2348" s="902"/>
      <c r="N2348" s="902"/>
      <c r="O2348" s="892">
        <f t="shared" si="144"/>
        <v>0</v>
      </c>
      <c r="P2348" s="903">
        <f t="shared" si="145"/>
        <v>1</v>
      </c>
      <c r="Q2348" s="893">
        <f t="shared" si="146"/>
        <v>2</v>
      </c>
      <c r="R2348" s="894">
        <f t="shared" si="147"/>
        <v>0</v>
      </c>
    </row>
    <row r="2349" spans="1:18">
      <c r="A2349" s="905"/>
      <c r="B2349" s="906"/>
      <c r="C2349" s="907">
        <v>740</v>
      </c>
      <c r="D2349" s="907" t="s">
        <v>12</v>
      </c>
      <c r="E2349" s="908" t="s">
        <v>4008</v>
      </c>
      <c r="F2349" s="909" t="s">
        <v>2674</v>
      </c>
      <c r="G2349" s="910"/>
      <c r="H2349" s="911">
        <v>2.67</v>
      </c>
      <c r="I2349" s="912"/>
      <c r="J2349" s="912"/>
      <c r="K2349" s="912">
        <f>VLOOKUP(E2349,ĐMNC!$A$7:$F$67,4,0)</f>
        <v>252714</v>
      </c>
      <c r="L2349" s="912">
        <f>H2349*K2349</f>
        <v>674746.38</v>
      </c>
      <c r="M2349" s="912"/>
      <c r="N2349" s="912"/>
      <c r="O2349" s="892">
        <f t="shared" si="144"/>
        <v>0</v>
      </c>
      <c r="P2349" s="903">
        <f t="shared" si="145"/>
        <v>1</v>
      </c>
      <c r="Q2349" s="893">
        <f t="shared" si="146"/>
        <v>1</v>
      </c>
      <c r="R2349" s="894">
        <f t="shared" si="147"/>
        <v>0</v>
      </c>
    </row>
    <row r="2350" spans="1:18" s="847" customFormat="1" ht="31.5">
      <c r="A2350" s="905"/>
      <c r="B2350" s="914" t="s">
        <v>4718</v>
      </c>
      <c r="C2350" s="915"/>
      <c r="D2350" s="915"/>
      <c r="E2350" s="916" t="s">
        <v>4719</v>
      </c>
      <c r="F2350" s="917" t="s">
        <v>249</v>
      </c>
      <c r="G2350" s="918"/>
      <c r="H2350" s="919"/>
      <c r="I2350" s="920"/>
      <c r="J2350" s="891">
        <f>SUM(J2351:J2355)</f>
        <v>4750</v>
      </c>
      <c r="K2350" s="891"/>
      <c r="L2350" s="891">
        <f>SUM(L2351:L2355)</f>
        <v>765723.41999999993</v>
      </c>
      <c r="M2350" s="891"/>
      <c r="N2350" s="891">
        <f>SUM(N2351:N2355)</f>
        <v>0</v>
      </c>
      <c r="O2350" s="892">
        <f t="shared" si="144"/>
        <v>1</v>
      </c>
      <c r="P2350" s="903">
        <f t="shared" si="145"/>
        <v>0</v>
      </c>
      <c r="Q2350" s="893">
        <f t="shared" si="146"/>
        <v>0</v>
      </c>
      <c r="R2350" s="894">
        <f t="shared" si="147"/>
        <v>5</v>
      </c>
    </row>
    <row r="2351" spans="1:18" s="904" customFormat="1">
      <c r="A2351" s="895"/>
      <c r="B2351" s="896"/>
      <c r="C2351" s="897"/>
      <c r="D2351" s="897"/>
      <c r="E2351" s="924" t="s">
        <v>108</v>
      </c>
      <c r="F2351" s="899"/>
      <c r="G2351" s="900"/>
      <c r="H2351" s="901"/>
      <c r="I2351" s="902"/>
      <c r="J2351" s="902"/>
      <c r="K2351" s="912" t="s">
        <v>274</v>
      </c>
      <c r="L2351" s="902"/>
      <c r="M2351" s="902"/>
      <c r="N2351" s="902"/>
      <c r="O2351" s="892">
        <f t="shared" si="144"/>
        <v>0</v>
      </c>
      <c r="P2351" s="903">
        <f t="shared" si="145"/>
        <v>1</v>
      </c>
      <c r="Q2351" s="893">
        <f t="shared" si="146"/>
        <v>5</v>
      </c>
      <c r="R2351" s="894">
        <f t="shared" si="147"/>
        <v>0</v>
      </c>
    </row>
    <row r="2352" spans="1:18">
      <c r="A2352" s="905"/>
      <c r="B2352" s="906"/>
      <c r="C2352" s="907">
        <v>66</v>
      </c>
      <c r="D2352" s="907" t="s">
        <v>279</v>
      </c>
      <c r="E2352" s="925" t="s">
        <v>2682</v>
      </c>
      <c r="F2352" s="926" t="s">
        <v>45</v>
      </c>
      <c r="G2352" s="910"/>
      <c r="H2352" s="911">
        <v>0.03</v>
      </c>
      <c r="I2352" s="912">
        <f>VLOOKUP(E2352,[3]VLP!$B$7:$K$300,10,0)</f>
        <v>5000</v>
      </c>
      <c r="J2352" s="912">
        <f>I2352*H2352</f>
        <v>150</v>
      </c>
      <c r="K2352" s="912" t="s">
        <v>274</v>
      </c>
      <c r="L2352" s="912"/>
      <c r="M2352" s="912"/>
      <c r="N2352" s="912"/>
      <c r="O2352" s="892">
        <f t="shared" si="144"/>
        <v>0</v>
      </c>
      <c r="P2352" s="903">
        <f t="shared" si="145"/>
        <v>1</v>
      </c>
      <c r="Q2352" s="893">
        <f t="shared" si="146"/>
        <v>4</v>
      </c>
      <c r="R2352" s="894">
        <f t="shared" si="147"/>
        <v>0</v>
      </c>
    </row>
    <row r="2353" spans="1:18">
      <c r="A2353" s="905"/>
      <c r="B2353" s="906"/>
      <c r="C2353" s="907">
        <v>44</v>
      </c>
      <c r="D2353" s="907" t="s">
        <v>279</v>
      </c>
      <c r="E2353" s="925" t="s">
        <v>2681</v>
      </c>
      <c r="F2353" s="926" t="s">
        <v>45</v>
      </c>
      <c r="G2353" s="910"/>
      <c r="H2353" s="911">
        <v>0.2</v>
      </c>
      <c r="I2353" s="912">
        <f>VLOOKUP(E2353,[3]VLP!$B$7:$K$300,10,0)</f>
        <v>23000</v>
      </c>
      <c r="J2353" s="912">
        <f>I2353*H2353</f>
        <v>4600</v>
      </c>
      <c r="K2353" s="912" t="s">
        <v>274</v>
      </c>
      <c r="L2353" s="912"/>
      <c r="M2353" s="912"/>
      <c r="N2353" s="912"/>
      <c r="O2353" s="892">
        <f t="shared" si="144"/>
        <v>0</v>
      </c>
      <c r="P2353" s="903">
        <f t="shared" si="145"/>
        <v>1</v>
      </c>
      <c r="Q2353" s="893">
        <f t="shared" si="146"/>
        <v>3</v>
      </c>
      <c r="R2353" s="894">
        <f t="shared" si="147"/>
        <v>0</v>
      </c>
    </row>
    <row r="2354" spans="1:18" s="904" customFormat="1">
      <c r="A2354" s="895"/>
      <c r="B2354" s="896"/>
      <c r="C2354" s="897"/>
      <c r="D2354" s="897"/>
      <c r="E2354" s="924" t="s">
        <v>276</v>
      </c>
      <c r="F2354" s="927"/>
      <c r="G2354" s="928"/>
      <c r="H2354" s="901"/>
      <c r="I2354" s="902"/>
      <c r="J2354" s="902"/>
      <c r="K2354" s="912" t="s">
        <v>274</v>
      </c>
      <c r="L2354" s="902"/>
      <c r="M2354" s="902"/>
      <c r="N2354" s="902"/>
      <c r="O2354" s="892">
        <f t="shared" si="144"/>
        <v>0</v>
      </c>
      <c r="P2354" s="903">
        <f t="shared" si="145"/>
        <v>1</v>
      </c>
      <c r="Q2354" s="893">
        <f t="shared" si="146"/>
        <v>2</v>
      </c>
      <c r="R2354" s="894">
        <f t="shared" si="147"/>
        <v>0</v>
      </c>
    </row>
    <row r="2355" spans="1:18">
      <c r="A2355" s="905"/>
      <c r="B2355" s="906"/>
      <c r="C2355" s="907">
        <v>740</v>
      </c>
      <c r="D2355" s="907" t="s">
        <v>12</v>
      </c>
      <c r="E2355" s="908" t="s">
        <v>4008</v>
      </c>
      <c r="F2355" s="909" t="s">
        <v>2674</v>
      </c>
      <c r="G2355" s="910"/>
      <c r="H2355" s="911">
        <v>3.03</v>
      </c>
      <c r="I2355" s="912"/>
      <c r="J2355" s="912"/>
      <c r="K2355" s="912">
        <f>VLOOKUP(E2355,ĐMNC!$A$7:$F$67,4,0)</f>
        <v>252714</v>
      </c>
      <c r="L2355" s="912">
        <f>H2355*K2355</f>
        <v>765723.41999999993</v>
      </c>
      <c r="M2355" s="912"/>
      <c r="N2355" s="912"/>
      <c r="O2355" s="892">
        <f t="shared" si="144"/>
        <v>0</v>
      </c>
      <c r="P2355" s="903">
        <f t="shared" si="145"/>
        <v>1</v>
      </c>
      <c r="Q2355" s="893">
        <f t="shared" si="146"/>
        <v>1</v>
      </c>
      <c r="R2355" s="894">
        <f t="shared" si="147"/>
        <v>0</v>
      </c>
    </row>
    <row r="2356" spans="1:18" s="847" customFormat="1" ht="31.5">
      <c r="A2356" s="905"/>
      <c r="B2356" s="914" t="s">
        <v>4720</v>
      </c>
      <c r="C2356" s="915"/>
      <c r="D2356" s="915"/>
      <c r="E2356" s="916" t="s">
        <v>4721</v>
      </c>
      <c r="F2356" s="917" t="s">
        <v>249</v>
      </c>
      <c r="G2356" s="918"/>
      <c r="H2356" s="919"/>
      <c r="I2356" s="920"/>
      <c r="J2356" s="891">
        <f>SUM(J2357:J2361)</f>
        <v>4750</v>
      </c>
      <c r="K2356" s="891"/>
      <c r="L2356" s="891">
        <f>SUM(L2357:L2361)</f>
        <v>856700.46000000008</v>
      </c>
      <c r="M2356" s="891"/>
      <c r="N2356" s="891">
        <f>SUM(N2357:N2361)</f>
        <v>0</v>
      </c>
      <c r="O2356" s="892">
        <f t="shared" si="144"/>
        <v>1</v>
      </c>
      <c r="P2356" s="903">
        <f t="shared" si="145"/>
        <v>0</v>
      </c>
      <c r="Q2356" s="893">
        <f t="shared" si="146"/>
        <v>0</v>
      </c>
      <c r="R2356" s="894">
        <f t="shared" si="147"/>
        <v>5</v>
      </c>
    </row>
    <row r="2357" spans="1:18" s="904" customFormat="1">
      <c r="A2357" s="895"/>
      <c r="B2357" s="896"/>
      <c r="C2357" s="897"/>
      <c r="D2357" s="897"/>
      <c r="E2357" s="924" t="s">
        <v>108</v>
      </c>
      <c r="F2357" s="899"/>
      <c r="G2357" s="900"/>
      <c r="H2357" s="901"/>
      <c r="I2357" s="902"/>
      <c r="J2357" s="902"/>
      <c r="K2357" s="912" t="s">
        <v>274</v>
      </c>
      <c r="L2357" s="902"/>
      <c r="M2357" s="902"/>
      <c r="N2357" s="902"/>
      <c r="O2357" s="892">
        <f t="shared" si="144"/>
        <v>0</v>
      </c>
      <c r="P2357" s="903">
        <f t="shared" si="145"/>
        <v>1</v>
      </c>
      <c r="Q2357" s="893">
        <f t="shared" si="146"/>
        <v>5</v>
      </c>
      <c r="R2357" s="894">
        <f t="shared" si="147"/>
        <v>0</v>
      </c>
    </row>
    <row r="2358" spans="1:18">
      <c r="A2358" s="905"/>
      <c r="B2358" s="906"/>
      <c r="C2358" s="907">
        <v>66</v>
      </c>
      <c r="D2358" s="907" t="s">
        <v>279</v>
      </c>
      <c r="E2358" s="925" t="s">
        <v>2682</v>
      </c>
      <c r="F2358" s="926" t="s">
        <v>45</v>
      </c>
      <c r="G2358" s="910"/>
      <c r="H2358" s="911">
        <v>0.03</v>
      </c>
      <c r="I2358" s="912">
        <f>VLOOKUP(E2358,[3]VLP!$B$7:$K$300,10,0)</f>
        <v>5000</v>
      </c>
      <c r="J2358" s="912">
        <f>I2358*H2358</f>
        <v>150</v>
      </c>
      <c r="K2358" s="912" t="s">
        <v>274</v>
      </c>
      <c r="L2358" s="912"/>
      <c r="M2358" s="912"/>
      <c r="N2358" s="912"/>
      <c r="O2358" s="892">
        <f t="shared" si="144"/>
        <v>0</v>
      </c>
      <c r="P2358" s="903">
        <f t="shared" si="145"/>
        <v>1</v>
      </c>
      <c r="Q2358" s="893">
        <f t="shared" si="146"/>
        <v>4</v>
      </c>
      <c r="R2358" s="894">
        <f t="shared" si="147"/>
        <v>0</v>
      </c>
    </row>
    <row r="2359" spans="1:18">
      <c r="A2359" s="905"/>
      <c r="B2359" s="906"/>
      <c r="C2359" s="907">
        <v>44</v>
      </c>
      <c r="D2359" s="907" t="s">
        <v>279</v>
      </c>
      <c r="E2359" s="925" t="s">
        <v>2681</v>
      </c>
      <c r="F2359" s="926" t="s">
        <v>45</v>
      </c>
      <c r="G2359" s="910"/>
      <c r="H2359" s="911">
        <v>0.2</v>
      </c>
      <c r="I2359" s="912">
        <f>VLOOKUP(E2359,[3]VLP!$B$7:$K$300,10,0)</f>
        <v>23000</v>
      </c>
      <c r="J2359" s="912">
        <f>I2359*H2359</f>
        <v>4600</v>
      </c>
      <c r="K2359" s="912" t="s">
        <v>274</v>
      </c>
      <c r="L2359" s="912"/>
      <c r="M2359" s="912"/>
      <c r="N2359" s="912"/>
      <c r="O2359" s="892">
        <f t="shared" si="144"/>
        <v>0</v>
      </c>
      <c r="P2359" s="903">
        <f t="shared" si="145"/>
        <v>1</v>
      </c>
      <c r="Q2359" s="893">
        <f t="shared" si="146"/>
        <v>3</v>
      </c>
      <c r="R2359" s="894">
        <f t="shared" si="147"/>
        <v>0</v>
      </c>
    </row>
    <row r="2360" spans="1:18" s="904" customFormat="1">
      <c r="A2360" s="895"/>
      <c r="B2360" s="896"/>
      <c r="C2360" s="897"/>
      <c r="D2360" s="897"/>
      <c r="E2360" s="924" t="s">
        <v>276</v>
      </c>
      <c r="F2360" s="927"/>
      <c r="G2360" s="928"/>
      <c r="H2360" s="901"/>
      <c r="I2360" s="902"/>
      <c r="J2360" s="902"/>
      <c r="K2360" s="912" t="s">
        <v>274</v>
      </c>
      <c r="L2360" s="902"/>
      <c r="M2360" s="902"/>
      <c r="N2360" s="902"/>
      <c r="O2360" s="892">
        <f t="shared" si="144"/>
        <v>0</v>
      </c>
      <c r="P2360" s="903">
        <f t="shared" si="145"/>
        <v>1</v>
      </c>
      <c r="Q2360" s="893">
        <f t="shared" si="146"/>
        <v>2</v>
      </c>
      <c r="R2360" s="894">
        <f t="shared" si="147"/>
        <v>0</v>
      </c>
    </row>
    <row r="2361" spans="1:18">
      <c r="A2361" s="905"/>
      <c r="B2361" s="906"/>
      <c r="C2361" s="907">
        <v>740</v>
      </c>
      <c r="D2361" s="907" t="s">
        <v>12</v>
      </c>
      <c r="E2361" s="908" t="s">
        <v>4008</v>
      </c>
      <c r="F2361" s="909" t="s">
        <v>2674</v>
      </c>
      <c r="G2361" s="910"/>
      <c r="H2361" s="911">
        <v>3.39</v>
      </c>
      <c r="I2361" s="912"/>
      <c r="J2361" s="912"/>
      <c r="K2361" s="912">
        <f>VLOOKUP(E2361,ĐMNC!$A$7:$F$67,4,0)</f>
        <v>252714</v>
      </c>
      <c r="L2361" s="912">
        <f>H2361*K2361</f>
        <v>856700.46000000008</v>
      </c>
      <c r="M2361" s="912"/>
      <c r="N2361" s="912"/>
      <c r="O2361" s="892">
        <f t="shared" si="144"/>
        <v>0</v>
      </c>
      <c r="P2361" s="903">
        <f t="shared" si="145"/>
        <v>1</v>
      </c>
      <c r="Q2361" s="893">
        <f t="shared" si="146"/>
        <v>1</v>
      </c>
      <c r="R2361" s="894">
        <f t="shared" si="147"/>
        <v>0</v>
      </c>
    </row>
    <row r="2362" spans="1:18" s="847" customFormat="1" ht="31.5">
      <c r="A2362" s="905"/>
      <c r="B2362" s="914" t="s">
        <v>4722</v>
      </c>
      <c r="C2362" s="915"/>
      <c r="D2362" s="915"/>
      <c r="E2362" s="916" t="s">
        <v>4723</v>
      </c>
      <c r="F2362" s="917" t="s">
        <v>249</v>
      </c>
      <c r="G2362" s="918"/>
      <c r="H2362" s="919"/>
      <c r="I2362" s="920"/>
      <c r="J2362" s="891">
        <f>SUM(J2363:J2367)</f>
        <v>4750</v>
      </c>
      <c r="K2362" s="891"/>
      <c r="L2362" s="891">
        <f>SUM(L2363:L2367)</f>
        <v>940096.08000000007</v>
      </c>
      <c r="M2362" s="891"/>
      <c r="N2362" s="891">
        <f>SUM(N2363:N2367)</f>
        <v>0</v>
      </c>
      <c r="O2362" s="892">
        <f t="shared" si="144"/>
        <v>1</v>
      </c>
      <c r="P2362" s="903">
        <f t="shared" si="145"/>
        <v>0</v>
      </c>
      <c r="Q2362" s="893">
        <f t="shared" si="146"/>
        <v>0</v>
      </c>
      <c r="R2362" s="894">
        <f t="shared" si="147"/>
        <v>5</v>
      </c>
    </row>
    <row r="2363" spans="1:18" s="904" customFormat="1">
      <c r="A2363" s="895"/>
      <c r="B2363" s="896"/>
      <c r="C2363" s="897"/>
      <c r="D2363" s="897"/>
      <c r="E2363" s="924" t="s">
        <v>108</v>
      </c>
      <c r="F2363" s="899"/>
      <c r="G2363" s="900"/>
      <c r="H2363" s="901"/>
      <c r="I2363" s="902"/>
      <c r="J2363" s="902"/>
      <c r="K2363" s="912" t="s">
        <v>274</v>
      </c>
      <c r="L2363" s="902"/>
      <c r="M2363" s="902"/>
      <c r="N2363" s="902"/>
      <c r="O2363" s="892">
        <f t="shared" si="144"/>
        <v>0</v>
      </c>
      <c r="P2363" s="903">
        <f t="shared" si="145"/>
        <v>1</v>
      </c>
      <c r="Q2363" s="893">
        <f t="shared" si="146"/>
        <v>5</v>
      </c>
      <c r="R2363" s="894">
        <f t="shared" si="147"/>
        <v>0</v>
      </c>
    </row>
    <row r="2364" spans="1:18">
      <c r="A2364" s="905"/>
      <c r="B2364" s="906"/>
      <c r="C2364" s="907">
        <v>66</v>
      </c>
      <c r="D2364" s="907" t="s">
        <v>279</v>
      </c>
      <c r="E2364" s="925" t="s">
        <v>2682</v>
      </c>
      <c r="F2364" s="926" t="s">
        <v>45</v>
      </c>
      <c r="G2364" s="910"/>
      <c r="H2364" s="911">
        <v>0.03</v>
      </c>
      <c r="I2364" s="912">
        <f>VLOOKUP(E2364,[3]VLP!$B$7:$K$300,10,0)</f>
        <v>5000</v>
      </c>
      <c r="J2364" s="912">
        <f>I2364*H2364</f>
        <v>150</v>
      </c>
      <c r="K2364" s="912" t="s">
        <v>274</v>
      </c>
      <c r="L2364" s="912"/>
      <c r="M2364" s="912"/>
      <c r="N2364" s="912"/>
      <c r="O2364" s="892">
        <f t="shared" si="144"/>
        <v>0</v>
      </c>
      <c r="P2364" s="903">
        <f t="shared" si="145"/>
        <v>1</v>
      </c>
      <c r="Q2364" s="893">
        <f t="shared" si="146"/>
        <v>4</v>
      </c>
      <c r="R2364" s="894">
        <f t="shared" si="147"/>
        <v>0</v>
      </c>
    </row>
    <row r="2365" spans="1:18">
      <c r="A2365" s="905"/>
      <c r="B2365" s="906"/>
      <c r="C2365" s="907">
        <v>44</v>
      </c>
      <c r="D2365" s="907" t="s">
        <v>279</v>
      </c>
      <c r="E2365" s="925" t="s">
        <v>2681</v>
      </c>
      <c r="F2365" s="926" t="s">
        <v>45</v>
      </c>
      <c r="G2365" s="910"/>
      <c r="H2365" s="911">
        <v>0.2</v>
      </c>
      <c r="I2365" s="912">
        <f>VLOOKUP(E2365,[3]VLP!$B$7:$K$300,10,0)</f>
        <v>23000</v>
      </c>
      <c r="J2365" s="912">
        <f>I2365*H2365</f>
        <v>4600</v>
      </c>
      <c r="K2365" s="912" t="s">
        <v>274</v>
      </c>
      <c r="L2365" s="912"/>
      <c r="M2365" s="912"/>
      <c r="N2365" s="912"/>
      <c r="O2365" s="892">
        <f t="shared" si="144"/>
        <v>0</v>
      </c>
      <c r="P2365" s="903">
        <f t="shared" si="145"/>
        <v>1</v>
      </c>
      <c r="Q2365" s="893">
        <f t="shared" si="146"/>
        <v>3</v>
      </c>
      <c r="R2365" s="894">
        <f t="shared" si="147"/>
        <v>0</v>
      </c>
    </row>
    <row r="2366" spans="1:18" s="904" customFormat="1">
      <c r="A2366" s="895"/>
      <c r="B2366" s="896"/>
      <c r="C2366" s="897"/>
      <c r="D2366" s="897"/>
      <c r="E2366" s="924" t="s">
        <v>276</v>
      </c>
      <c r="F2366" s="927"/>
      <c r="G2366" s="928"/>
      <c r="H2366" s="901"/>
      <c r="I2366" s="902"/>
      <c r="J2366" s="902"/>
      <c r="K2366" s="912" t="s">
        <v>274</v>
      </c>
      <c r="L2366" s="902"/>
      <c r="M2366" s="902"/>
      <c r="N2366" s="902"/>
      <c r="O2366" s="892">
        <f t="shared" si="144"/>
        <v>0</v>
      </c>
      <c r="P2366" s="903">
        <f t="shared" si="145"/>
        <v>1</v>
      </c>
      <c r="Q2366" s="893">
        <f t="shared" si="146"/>
        <v>2</v>
      </c>
      <c r="R2366" s="894">
        <f t="shared" si="147"/>
        <v>0</v>
      </c>
    </row>
    <row r="2367" spans="1:18">
      <c r="A2367" s="905"/>
      <c r="B2367" s="906"/>
      <c r="C2367" s="907">
        <v>740</v>
      </c>
      <c r="D2367" s="907" t="s">
        <v>12</v>
      </c>
      <c r="E2367" s="908" t="s">
        <v>4008</v>
      </c>
      <c r="F2367" s="909" t="s">
        <v>2674</v>
      </c>
      <c r="G2367" s="910"/>
      <c r="H2367" s="911">
        <v>3.72</v>
      </c>
      <c r="I2367" s="912"/>
      <c r="J2367" s="912"/>
      <c r="K2367" s="912">
        <f>VLOOKUP(E2367,ĐMNC!$A$7:$F$67,4,0)</f>
        <v>252714</v>
      </c>
      <c r="L2367" s="912">
        <f>H2367*K2367</f>
        <v>940096.08000000007</v>
      </c>
      <c r="M2367" s="912"/>
      <c r="N2367" s="912"/>
      <c r="O2367" s="892">
        <f t="shared" si="144"/>
        <v>0</v>
      </c>
      <c r="P2367" s="903">
        <f t="shared" si="145"/>
        <v>1</v>
      </c>
      <c r="Q2367" s="893">
        <f t="shared" si="146"/>
        <v>1</v>
      </c>
      <c r="R2367" s="894">
        <f t="shared" si="147"/>
        <v>0</v>
      </c>
    </row>
    <row r="2368" spans="1:18" s="847" customFormat="1" ht="31.5">
      <c r="A2368" s="905"/>
      <c r="B2368" s="914" t="s">
        <v>4724</v>
      </c>
      <c r="C2368" s="915"/>
      <c r="D2368" s="915"/>
      <c r="E2368" s="916" t="s">
        <v>4725</v>
      </c>
      <c r="F2368" s="917" t="s">
        <v>249</v>
      </c>
      <c r="G2368" s="918"/>
      <c r="H2368" s="919"/>
      <c r="I2368" s="920"/>
      <c r="J2368" s="891">
        <f>SUM(J2369:J2373)</f>
        <v>4750</v>
      </c>
      <c r="K2368" s="891"/>
      <c r="L2368" s="891">
        <f>SUM(L2369:L2373)</f>
        <v>1036127.3999999999</v>
      </c>
      <c r="M2368" s="891"/>
      <c r="N2368" s="891">
        <f>SUM(N2369:N2373)</f>
        <v>0</v>
      </c>
      <c r="O2368" s="892">
        <f t="shared" si="144"/>
        <v>1</v>
      </c>
      <c r="P2368" s="903">
        <f t="shared" si="145"/>
        <v>0</v>
      </c>
      <c r="Q2368" s="893">
        <f t="shared" si="146"/>
        <v>0</v>
      </c>
      <c r="R2368" s="894">
        <f t="shared" si="147"/>
        <v>5</v>
      </c>
    </row>
    <row r="2369" spans="1:18" s="904" customFormat="1">
      <c r="A2369" s="895"/>
      <c r="B2369" s="896"/>
      <c r="C2369" s="897"/>
      <c r="D2369" s="897"/>
      <c r="E2369" s="924" t="s">
        <v>108</v>
      </c>
      <c r="F2369" s="899"/>
      <c r="G2369" s="900"/>
      <c r="H2369" s="901"/>
      <c r="I2369" s="902"/>
      <c r="J2369" s="902"/>
      <c r="K2369" s="912" t="s">
        <v>274</v>
      </c>
      <c r="L2369" s="902"/>
      <c r="M2369" s="902"/>
      <c r="N2369" s="902"/>
      <c r="O2369" s="892">
        <f t="shared" si="144"/>
        <v>0</v>
      </c>
      <c r="P2369" s="903">
        <f t="shared" si="145"/>
        <v>1</v>
      </c>
      <c r="Q2369" s="893">
        <f t="shared" si="146"/>
        <v>5</v>
      </c>
      <c r="R2369" s="894">
        <f t="shared" si="147"/>
        <v>0</v>
      </c>
    </row>
    <row r="2370" spans="1:18">
      <c r="A2370" s="905"/>
      <c r="B2370" s="906"/>
      <c r="C2370" s="907">
        <v>66</v>
      </c>
      <c r="D2370" s="907" t="s">
        <v>279</v>
      </c>
      <c r="E2370" s="925" t="s">
        <v>2682</v>
      </c>
      <c r="F2370" s="926" t="s">
        <v>45</v>
      </c>
      <c r="G2370" s="910"/>
      <c r="H2370" s="911">
        <v>0.03</v>
      </c>
      <c r="I2370" s="912">
        <f>VLOOKUP(E2370,[3]VLP!$B$7:$K$300,10,0)</f>
        <v>5000</v>
      </c>
      <c r="J2370" s="912">
        <f>I2370*H2370</f>
        <v>150</v>
      </c>
      <c r="K2370" s="912" t="s">
        <v>274</v>
      </c>
      <c r="L2370" s="912"/>
      <c r="M2370" s="912"/>
      <c r="N2370" s="912"/>
      <c r="O2370" s="892">
        <f t="shared" si="144"/>
        <v>0</v>
      </c>
      <c r="P2370" s="903">
        <f t="shared" si="145"/>
        <v>1</v>
      </c>
      <c r="Q2370" s="893">
        <f t="shared" si="146"/>
        <v>4</v>
      </c>
      <c r="R2370" s="894">
        <f t="shared" si="147"/>
        <v>0</v>
      </c>
    </row>
    <row r="2371" spans="1:18">
      <c r="A2371" s="905"/>
      <c r="B2371" s="906"/>
      <c r="C2371" s="907">
        <v>44</v>
      </c>
      <c r="D2371" s="907" t="s">
        <v>279</v>
      </c>
      <c r="E2371" s="925" t="s">
        <v>2681</v>
      </c>
      <c r="F2371" s="926" t="s">
        <v>45</v>
      </c>
      <c r="G2371" s="910"/>
      <c r="H2371" s="911">
        <v>0.2</v>
      </c>
      <c r="I2371" s="912">
        <f>VLOOKUP(E2371,[3]VLP!$B$7:$K$300,10,0)</f>
        <v>23000</v>
      </c>
      <c r="J2371" s="912">
        <f>I2371*H2371</f>
        <v>4600</v>
      </c>
      <c r="K2371" s="912" t="s">
        <v>274</v>
      </c>
      <c r="L2371" s="912"/>
      <c r="M2371" s="912"/>
      <c r="N2371" s="912"/>
      <c r="O2371" s="892">
        <f t="shared" si="144"/>
        <v>0</v>
      </c>
      <c r="P2371" s="903">
        <f t="shared" si="145"/>
        <v>1</v>
      </c>
      <c r="Q2371" s="893">
        <f t="shared" si="146"/>
        <v>3</v>
      </c>
      <c r="R2371" s="894">
        <f t="shared" si="147"/>
        <v>0</v>
      </c>
    </row>
    <row r="2372" spans="1:18" s="904" customFormat="1">
      <c r="A2372" s="895"/>
      <c r="B2372" s="896"/>
      <c r="C2372" s="897"/>
      <c r="D2372" s="897"/>
      <c r="E2372" s="924" t="s">
        <v>276</v>
      </c>
      <c r="F2372" s="927"/>
      <c r="G2372" s="928"/>
      <c r="H2372" s="901"/>
      <c r="I2372" s="902"/>
      <c r="J2372" s="902"/>
      <c r="K2372" s="912" t="s">
        <v>274</v>
      </c>
      <c r="L2372" s="902"/>
      <c r="M2372" s="902"/>
      <c r="N2372" s="902"/>
      <c r="O2372" s="892">
        <f t="shared" si="144"/>
        <v>0</v>
      </c>
      <c r="P2372" s="903">
        <f t="shared" si="145"/>
        <v>1</v>
      </c>
      <c r="Q2372" s="893">
        <f t="shared" si="146"/>
        <v>2</v>
      </c>
      <c r="R2372" s="894">
        <f t="shared" si="147"/>
        <v>0</v>
      </c>
    </row>
    <row r="2373" spans="1:18">
      <c r="A2373" s="905"/>
      <c r="B2373" s="906"/>
      <c r="C2373" s="907">
        <v>740</v>
      </c>
      <c r="D2373" s="907" t="s">
        <v>12</v>
      </c>
      <c r="E2373" s="908" t="s">
        <v>4008</v>
      </c>
      <c r="F2373" s="909" t="s">
        <v>2674</v>
      </c>
      <c r="G2373" s="910"/>
      <c r="H2373" s="911">
        <v>4.0999999999999996</v>
      </c>
      <c r="I2373" s="912"/>
      <c r="J2373" s="912"/>
      <c r="K2373" s="912">
        <f>VLOOKUP(E2373,ĐMNC!$A$7:$F$67,4,0)</f>
        <v>252714</v>
      </c>
      <c r="L2373" s="912">
        <f>H2373*K2373</f>
        <v>1036127.3999999999</v>
      </c>
      <c r="M2373" s="912"/>
      <c r="N2373" s="912"/>
      <c r="O2373" s="892">
        <f t="shared" si="144"/>
        <v>0</v>
      </c>
      <c r="P2373" s="903">
        <f t="shared" si="145"/>
        <v>1</v>
      </c>
      <c r="Q2373" s="893">
        <f t="shared" si="146"/>
        <v>1</v>
      </c>
      <c r="R2373" s="894">
        <f t="shared" si="147"/>
        <v>0</v>
      </c>
    </row>
    <row r="2374" spans="1:18" s="847" customFormat="1" ht="31.5">
      <c r="A2374" s="905"/>
      <c r="B2374" s="914" t="s">
        <v>4726</v>
      </c>
      <c r="C2374" s="915"/>
      <c r="D2374" s="915"/>
      <c r="E2374" s="916" t="s">
        <v>4727</v>
      </c>
      <c r="F2374" s="917" t="s">
        <v>249</v>
      </c>
      <c r="G2374" s="918"/>
      <c r="H2374" s="919"/>
      <c r="I2374" s="920"/>
      <c r="J2374" s="891">
        <f>SUM(J2375:J2379)</f>
        <v>4750</v>
      </c>
      <c r="K2374" s="891"/>
      <c r="L2374" s="891">
        <f>SUM(L2375:L2379)</f>
        <v>1190282.94</v>
      </c>
      <c r="M2374" s="891"/>
      <c r="N2374" s="891">
        <f>SUM(N2375:N2379)</f>
        <v>0</v>
      </c>
      <c r="O2374" s="892">
        <f t="shared" si="144"/>
        <v>1</v>
      </c>
      <c r="P2374" s="903">
        <f t="shared" si="145"/>
        <v>0</v>
      </c>
      <c r="Q2374" s="893">
        <f t="shared" si="146"/>
        <v>0</v>
      </c>
      <c r="R2374" s="894">
        <f t="shared" si="147"/>
        <v>5</v>
      </c>
    </row>
    <row r="2375" spans="1:18" s="904" customFormat="1">
      <c r="A2375" s="895"/>
      <c r="B2375" s="896"/>
      <c r="C2375" s="897"/>
      <c r="D2375" s="897"/>
      <c r="E2375" s="924" t="s">
        <v>108</v>
      </c>
      <c r="F2375" s="899"/>
      <c r="G2375" s="900"/>
      <c r="H2375" s="901"/>
      <c r="I2375" s="902"/>
      <c r="J2375" s="902"/>
      <c r="K2375" s="912" t="s">
        <v>274</v>
      </c>
      <c r="L2375" s="902"/>
      <c r="M2375" s="902"/>
      <c r="N2375" s="902"/>
      <c r="O2375" s="892">
        <f t="shared" si="144"/>
        <v>0</v>
      </c>
      <c r="P2375" s="903">
        <f t="shared" si="145"/>
        <v>1</v>
      </c>
      <c r="Q2375" s="893">
        <f t="shared" si="146"/>
        <v>5</v>
      </c>
      <c r="R2375" s="894">
        <f t="shared" si="147"/>
        <v>0</v>
      </c>
    </row>
    <row r="2376" spans="1:18">
      <c r="A2376" s="905"/>
      <c r="B2376" s="906"/>
      <c r="C2376" s="907">
        <v>66</v>
      </c>
      <c r="D2376" s="907" t="s">
        <v>279</v>
      </c>
      <c r="E2376" s="925" t="s">
        <v>2682</v>
      </c>
      <c r="F2376" s="926" t="s">
        <v>45</v>
      </c>
      <c r="G2376" s="910"/>
      <c r="H2376" s="911">
        <v>0.03</v>
      </c>
      <c r="I2376" s="912">
        <f>VLOOKUP(E2376,[3]VLP!$B$7:$K$300,10,0)</f>
        <v>5000</v>
      </c>
      <c r="J2376" s="912">
        <f>I2376*H2376</f>
        <v>150</v>
      </c>
      <c r="K2376" s="912" t="s">
        <v>274</v>
      </c>
      <c r="L2376" s="912"/>
      <c r="M2376" s="912"/>
      <c r="N2376" s="912"/>
      <c r="O2376" s="892">
        <f t="shared" si="144"/>
        <v>0</v>
      </c>
      <c r="P2376" s="903">
        <f t="shared" si="145"/>
        <v>1</v>
      </c>
      <c r="Q2376" s="893">
        <f t="shared" si="146"/>
        <v>4</v>
      </c>
      <c r="R2376" s="894">
        <f t="shared" si="147"/>
        <v>0</v>
      </c>
    </row>
    <row r="2377" spans="1:18">
      <c r="A2377" s="905"/>
      <c r="B2377" s="906"/>
      <c r="C2377" s="907">
        <v>44</v>
      </c>
      <c r="D2377" s="907" t="s">
        <v>279</v>
      </c>
      <c r="E2377" s="925" t="s">
        <v>2681</v>
      </c>
      <c r="F2377" s="926" t="s">
        <v>45</v>
      </c>
      <c r="G2377" s="910"/>
      <c r="H2377" s="911">
        <v>0.2</v>
      </c>
      <c r="I2377" s="912">
        <f>VLOOKUP(E2377,[3]VLP!$B$7:$K$300,10,0)</f>
        <v>23000</v>
      </c>
      <c r="J2377" s="912">
        <f>I2377*H2377</f>
        <v>4600</v>
      </c>
      <c r="K2377" s="912" t="s">
        <v>274</v>
      </c>
      <c r="L2377" s="912"/>
      <c r="M2377" s="912"/>
      <c r="N2377" s="912"/>
      <c r="O2377" s="892">
        <f t="shared" ref="O2377:O2440" si="148">IF(AND(B2377&lt;&gt;"",D2377=""),1,0)</f>
        <v>0</v>
      </c>
      <c r="P2377" s="903">
        <f t="shared" si="145"/>
        <v>1</v>
      </c>
      <c r="Q2377" s="893">
        <f t="shared" si="146"/>
        <v>3</v>
      </c>
      <c r="R2377" s="894">
        <f t="shared" si="147"/>
        <v>0</v>
      </c>
    </row>
    <row r="2378" spans="1:18" s="904" customFormat="1">
      <c r="A2378" s="895"/>
      <c r="B2378" s="896"/>
      <c r="C2378" s="897"/>
      <c r="D2378" s="897"/>
      <c r="E2378" s="924" t="s">
        <v>276</v>
      </c>
      <c r="F2378" s="927"/>
      <c r="G2378" s="928"/>
      <c r="H2378" s="901"/>
      <c r="I2378" s="902"/>
      <c r="J2378" s="902"/>
      <c r="K2378" s="912" t="s">
        <v>274</v>
      </c>
      <c r="L2378" s="902"/>
      <c r="M2378" s="902"/>
      <c r="N2378" s="902"/>
      <c r="O2378" s="892">
        <f t="shared" si="148"/>
        <v>0</v>
      </c>
      <c r="P2378" s="903">
        <f t="shared" si="145"/>
        <v>1</v>
      </c>
      <c r="Q2378" s="893">
        <f t="shared" si="146"/>
        <v>2</v>
      </c>
      <c r="R2378" s="894">
        <f t="shared" si="147"/>
        <v>0</v>
      </c>
    </row>
    <row r="2379" spans="1:18">
      <c r="A2379" s="905"/>
      <c r="B2379" s="906"/>
      <c r="C2379" s="907">
        <v>740</v>
      </c>
      <c r="D2379" s="907" t="s">
        <v>12</v>
      </c>
      <c r="E2379" s="908" t="s">
        <v>4008</v>
      </c>
      <c r="F2379" s="909" t="s">
        <v>2674</v>
      </c>
      <c r="G2379" s="910"/>
      <c r="H2379" s="911">
        <v>4.71</v>
      </c>
      <c r="I2379" s="912"/>
      <c r="J2379" s="912"/>
      <c r="K2379" s="912">
        <f>VLOOKUP(E2379,ĐMNC!$A$7:$F$67,4,0)</f>
        <v>252714</v>
      </c>
      <c r="L2379" s="912">
        <f>H2379*K2379</f>
        <v>1190282.94</v>
      </c>
      <c r="M2379" s="912"/>
      <c r="N2379" s="912"/>
      <c r="O2379" s="892">
        <f t="shared" si="148"/>
        <v>0</v>
      </c>
      <c r="P2379" s="903">
        <f t="shared" si="145"/>
        <v>1</v>
      </c>
      <c r="Q2379" s="893">
        <f t="shared" si="146"/>
        <v>1</v>
      </c>
      <c r="R2379" s="894">
        <f t="shared" si="147"/>
        <v>0</v>
      </c>
    </row>
    <row r="2380" spans="1:18" s="847" customFormat="1" ht="31.5">
      <c r="A2380" s="905"/>
      <c r="B2380" s="914" t="s">
        <v>4728</v>
      </c>
      <c r="C2380" s="915"/>
      <c r="D2380" s="915"/>
      <c r="E2380" s="916" t="s">
        <v>4729</v>
      </c>
      <c r="F2380" s="917" t="s">
        <v>249</v>
      </c>
      <c r="G2380" s="918"/>
      <c r="H2380" s="919"/>
      <c r="I2380" s="920"/>
      <c r="J2380" s="891">
        <f>SUM(J2381:J2385)</f>
        <v>4750</v>
      </c>
      <c r="K2380" s="891"/>
      <c r="L2380" s="891">
        <f>SUM(L2381:L2385)</f>
        <v>1372237.02</v>
      </c>
      <c r="M2380" s="891"/>
      <c r="N2380" s="891">
        <f>SUM(N2381:N2385)</f>
        <v>0</v>
      </c>
      <c r="O2380" s="892">
        <f t="shared" si="148"/>
        <v>1</v>
      </c>
      <c r="P2380" s="903">
        <f t="shared" si="145"/>
        <v>0</v>
      </c>
      <c r="Q2380" s="893">
        <f t="shared" si="146"/>
        <v>0</v>
      </c>
      <c r="R2380" s="894">
        <f t="shared" si="147"/>
        <v>5</v>
      </c>
    </row>
    <row r="2381" spans="1:18" s="904" customFormat="1">
      <c r="A2381" s="895"/>
      <c r="B2381" s="896"/>
      <c r="C2381" s="897"/>
      <c r="D2381" s="897"/>
      <c r="E2381" s="924" t="s">
        <v>108</v>
      </c>
      <c r="F2381" s="899"/>
      <c r="G2381" s="900"/>
      <c r="H2381" s="901"/>
      <c r="I2381" s="902"/>
      <c r="J2381" s="902"/>
      <c r="K2381" s="912" t="s">
        <v>274</v>
      </c>
      <c r="L2381" s="902"/>
      <c r="M2381" s="902"/>
      <c r="N2381" s="902"/>
      <c r="O2381" s="892">
        <f t="shared" si="148"/>
        <v>0</v>
      </c>
      <c r="P2381" s="903">
        <f t="shared" si="145"/>
        <v>1</v>
      </c>
      <c r="Q2381" s="893">
        <f t="shared" si="146"/>
        <v>5</v>
      </c>
      <c r="R2381" s="894">
        <f t="shared" si="147"/>
        <v>0</v>
      </c>
    </row>
    <row r="2382" spans="1:18">
      <c r="A2382" s="905"/>
      <c r="B2382" s="906"/>
      <c r="C2382" s="907">
        <v>66</v>
      </c>
      <c r="D2382" s="907" t="s">
        <v>279</v>
      </c>
      <c r="E2382" s="925" t="s">
        <v>2682</v>
      </c>
      <c r="F2382" s="926" t="s">
        <v>45</v>
      </c>
      <c r="G2382" s="910"/>
      <c r="H2382" s="911">
        <v>0.03</v>
      </c>
      <c r="I2382" s="912">
        <f>VLOOKUP(E2382,[3]VLP!$B$7:$K$300,10,0)</f>
        <v>5000</v>
      </c>
      <c r="J2382" s="912">
        <f>I2382*H2382</f>
        <v>150</v>
      </c>
      <c r="K2382" s="912" t="s">
        <v>274</v>
      </c>
      <c r="L2382" s="912"/>
      <c r="M2382" s="912"/>
      <c r="N2382" s="912"/>
      <c r="O2382" s="892">
        <f t="shared" si="148"/>
        <v>0</v>
      </c>
      <c r="P2382" s="903">
        <f t="shared" si="145"/>
        <v>1</v>
      </c>
      <c r="Q2382" s="893">
        <f t="shared" si="146"/>
        <v>4</v>
      </c>
      <c r="R2382" s="894">
        <f t="shared" si="147"/>
        <v>0</v>
      </c>
    </row>
    <row r="2383" spans="1:18">
      <c r="A2383" s="905"/>
      <c r="B2383" s="906"/>
      <c r="C2383" s="907">
        <v>44</v>
      </c>
      <c r="D2383" s="907" t="s">
        <v>279</v>
      </c>
      <c r="E2383" s="925" t="s">
        <v>2681</v>
      </c>
      <c r="F2383" s="926" t="s">
        <v>45</v>
      </c>
      <c r="G2383" s="910"/>
      <c r="H2383" s="911">
        <v>0.2</v>
      </c>
      <c r="I2383" s="912">
        <f>VLOOKUP(E2383,[3]VLP!$B$7:$K$300,10,0)</f>
        <v>23000</v>
      </c>
      <c r="J2383" s="912">
        <f>I2383*H2383</f>
        <v>4600</v>
      </c>
      <c r="K2383" s="912" t="s">
        <v>274</v>
      </c>
      <c r="L2383" s="912"/>
      <c r="M2383" s="912"/>
      <c r="N2383" s="912"/>
      <c r="O2383" s="892">
        <f t="shared" si="148"/>
        <v>0</v>
      </c>
      <c r="P2383" s="903">
        <f t="shared" si="145"/>
        <v>1</v>
      </c>
      <c r="Q2383" s="893">
        <f t="shared" si="146"/>
        <v>3</v>
      </c>
      <c r="R2383" s="894">
        <f t="shared" si="147"/>
        <v>0</v>
      </c>
    </row>
    <row r="2384" spans="1:18" s="904" customFormat="1">
      <c r="A2384" s="895"/>
      <c r="B2384" s="896"/>
      <c r="C2384" s="897"/>
      <c r="D2384" s="897"/>
      <c r="E2384" s="924" t="s">
        <v>276</v>
      </c>
      <c r="F2384" s="927"/>
      <c r="G2384" s="928"/>
      <c r="H2384" s="901"/>
      <c r="I2384" s="902"/>
      <c r="J2384" s="902"/>
      <c r="K2384" s="912" t="s">
        <v>274</v>
      </c>
      <c r="L2384" s="902"/>
      <c r="M2384" s="902"/>
      <c r="N2384" s="902"/>
      <c r="O2384" s="892">
        <f t="shared" si="148"/>
        <v>0</v>
      </c>
      <c r="P2384" s="903">
        <f t="shared" si="145"/>
        <v>1</v>
      </c>
      <c r="Q2384" s="893">
        <f t="shared" si="146"/>
        <v>2</v>
      </c>
      <c r="R2384" s="894">
        <f t="shared" si="147"/>
        <v>0</v>
      </c>
    </row>
    <row r="2385" spans="1:18">
      <c r="A2385" s="905"/>
      <c r="B2385" s="906"/>
      <c r="C2385" s="907">
        <v>740</v>
      </c>
      <c r="D2385" s="907" t="s">
        <v>12</v>
      </c>
      <c r="E2385" s="908" t="s">
        <v>4008</v>
      </c>
      <c r="F2385" s="909" t="s">
        <v>2674</v>
      </c>
      <c r="G2385" s="910"/>
      <c r="H2385" s="911">
        <v>5.43</v>
      </c>
      <c r="I2385" s="912"/>
      <c r="J2385" s="912"/>
      <c r="K2385" s="912">
        <f>VLOOKUP(E2385,ĐMNC!$A$7:$F$67,4,0)</f>
        <v>252714</v>
      </c>
      <c r="L2385" s="912">
        <f>H2385*K2385</f>
        <v>1372237.02</v>
      </c>
      <c r="M2385" s="912"/>
      <c r="N2385" s="912"/>
      <c r="O2385" s="892">
        <f t="shared" si="148"/>
        <v>0</v>
      </c>
      <c r="P2385" s="903">
        <f t="shared" si="145"/>
        <v>1</v>
      </c>
      <c r="Q2385" s="893">
        <f t="shared" si="146"/>
        <v>1</v>
      </c>
      <c r="R2385" s="894">
        <f t="shared" si="147"/>
        <v>0</v>
      </c>
    </row>
    <row r="2386" spans="1:18" s="847" customFormat="1" ht="31.5">
      <c r="A2386" s="905"/>
      <c r="B2386" s="914" t="s">
        <v>4730</v>
      </c>
      <c r="C2386" s="915"/>
      <c r="D2386" s="915"/>
      <c r="E2386" s="916" t="s">
        <v>4731</v>
      </c>
      <c r="F2386" s="917" t="s">
        <v>249</v>
      </c>
      <c r="G2386" s="918"/>
      <c r="H2386" s="919"/>
      <c r="I2386" s="920"/>
      <c r="J2386" s="891">
        <f>SUM(J2387:J2391)</f>
        <v>5720</v>
      </c>
      <c r="K2386" s="891"/>
      <c r="L2386" s="891">
        <f>SUM(L2387:L2391)</f>
        <v>770777.7</v>
      </c>
      <c r="M2386" s="891"/>
      <c r="N2386" s="891">
        <f>SUM(N2387:N2391)</f>
        <v>0</v>
      </c>
      <c r="O2386" s="892">
        <f t="shared" si="148"/>
        <v>1</v>
      </c>
      <c r="P2386" s="903">
        <f t="shared" ref="P2386:P2449" si="149">IF(O2386=0,1,0)</f>
        <v>0</v>
      </c>
      <c r="Q2386" s="893">
        <f t="shared" ref="Q2386:Q2449" si="150">IF(P2386=0,0,P2386+Q2387)</f>
        <v>0</v>
      </c>
      <c r="R2386" s="894">
        <f t="shared" ref="R2386:R2449" si="151">IF(Q2386=0,Q2387,0)</f>
        <v>5</v>
      </c>
    </row>
    <row r="2387" spans="1:18" s="904" customFormat="1">
      <c r="A2387" s="895"/>
      <c r="B2387" s="922"/>
      <c r="C2387" s="897"/>
      <c r="D2387" s="897"/>
      <c r="E2387" s="924" t="s">
        <v>108</v>
      </c>
      <c r="F2387" s="899"/>
      <c r="G2387" s="900"/>
      <c r="H2387" s="901"/>
      <c r="I2387" s="902"/>
      <c r="J2387" s="902"/>
      <c r="K2387" s="912" t="s">
        <v>274</v>
      </c>
      <c r="L2387" s="902"/>
      <c r="M2387" s="902"/>
      <c r="N2387" s="902"/>
      <c r="O2387" s="892">
        <f t="shared" si="148"/>
        <v>0</v>
      </c>
      <c r="P2387" s="903">
        <f t="shared" si="149"/>
        <v>1</v>
      </c>
      <c r="Q2387" s="893">
        <f t="shared" si="150"/>
        <v>5</v>
      </c>
      <c r="R2387" s="894">
        <f t="shared" si="151"/>
        <v>0</v>
      </c>
    </row>
    <row r="2388" spans="1:18">
      <c r="A2388" s="905"/>
      <c r="B2388" s="906"/>
      <c r="C2388" s="907">
        <v>66</v>
      </c>
      <c r="D2388" s="907" t="s">
        <v>279</v>
      </c>
      <c r="E2388" s="925" t="s">
        <v>2682</v>
      </c>
      <c r="F2388" s="926" t="s">
        <v>45</v>
      </c>
      <c r="G2388" s="910"/>
      <c r="H2388" s="911">
        <v>0.04</v>
      </c>
      <c r="I2388" s="912">
        <f>VLOOKUP(E2388,[3]VLP!$B$7:$K$300,10,0)</f>
        <v>5000</v>
      </c>
      <c r="J2388" s="912">
        <f>I2388*H2388</f>
        <v>200</v>
      </c>
      <c r="K2388" s="912" t="s">
        <v>274</v>
      </c>
      <c r="L2388" s="912"/>
      <c r="M2388" s="912"/>
      <c r="N2388" s="912"/>
      <c r="O2388" s="892">
        <f t="shared" si="148"/>
        <v>0</v>
      </c>
      <c r="P2388" s="903">
        <f t="shared" si="149"/>
        <v>1</v>
      </c>
      <c r="Q2388" s="893">
        <f t="shared" si="150"/>
        <v>4</v>
      </c>
      <c r="R2388" s="894">
        <f t="shared" si="151"/>
        <v>0</v>
      </c>
    </row>
    <row r="2389" spans="1:18">
      <c r="A2389" s="905"/>
      <c r="B2389" s="906"/>
      <c r="C2389" s="907">
        <v>44</v>
      </c>
      <c r="D2389" s="907" t="s">
        <v>279</v>
      </c>
      <c r="E2389" s="925" t="s">
        <v>2681</v>
      </c>
      <c r="F2389" s="926" t="s">
        <v>45</v>
      </c>
      <c r="G2389" s="910"/>
      <c r="H2389" s="911">
        <v>0.24</v>
      </c>
      <c r="I2389" s="912">
        <f>VLOOKUP(E2389,[3]VLP!$B$7:$K$300,10,0)</f>
        <v>23000</v>
      </c>
      <c r="J2389" s="912">
        <f>I2389*H2389</f>
        <v>5520</v>
      </c>
      <c r="K2389" s="912" t="s">
        <v>274</v>
      </c>
      <c r="L2389" s="912"/>
      <c r="M2389" s="912"/>
      <c r="N2389" s="912"/>
      <c r="O2389" s="892">
        <f t="shared" si="148"/>
        <v>0</v>
      </c>
      <c r="P2389" s="903">
        <f t="shared" si="149"/>
        <v>1</v>
      </c>
      <c r="Q2389" s="893">
        <f t="shared" si="150"/>
        <v>3</v>
      </c>
      <c r="R2389" s="894">
        <f t="shared" si="151"/>
        <v>0</v>
      </c>
    </row>
    <row r="2390" spans="1:18" s="904" customFormat="1">
      <c r="A2390" s="895"/>
      <c r="B2390" s="896"/>
      <c r="C2390" s="897"/>
      <c r="D2390" s="897"/>
      <c r="E2390" s="924" t="s">
        <v>276</v>
      </c>
      <c r="F2390" s="927"/>
      <c r="G2390" s="928"/>
      <c r="H2390" s="901"/>
      <c r="I2390" s="902"/>
      <c r="J2390" s="902"/>
      <c r="K2390" s="912" t="s">
        <v>274</v>
      </c>
      <c r="L2390" s="902"/>
      <c r="M2390" s="902"/>
      <c r="N2390" s="902"/>
      <c r="O2390" s="892">
        <f t="shared" si="148"/>
        <v>0</v>
      </c>
      <c r="P2390" s="903">
        <f t="shared" si="149"/>
        <v>1</v>
      </c>
      <c r="Q2390" s="893">
        <f t="shared" si="150"/>
        <v>2</v>
      </c>
      <c r="R2390" s="894">
        <f t="shared" si="151"/>
        <v>0</v>
      </c>
    </row>
    <row r="2391" spans="1:18">
      <c r="A2391" s="905"/>
      <c r="B2391" s="906"/>
      <c r="C2391" s="907">
        <v>740</v>
      </c>
      <c r="D2391" s="907" t="s">
        <v>12</v>
      </c>
      <c r="E2391" s="908" t="s">
        <v>4008</v>
      </c>
      <c r="F2391" s="909" t="s">
        <v>2674</v>
      </c>
      <c r="G2391" s="910"/>
      <c r="H2391" s="911">
        <v>3.05</v>
      </c>
      <c r="I2391" s="912"/>
      <c r="J2391" s="912"/>
      <c r="K2391" s="912">
        <f>VLOOKUP(E2391,ĐMNC!$A$7:$F$67,4,0)</f>
        <v>252714</v>
      </c>
      <c r="L2391" s="912">
        <f>H2391*K2391</f>
        <v>770777.7</v>
      </c>
      <c r="M2391" s="912"/>
      <c r="N2391" s="912"/>
      <c r="O2391" s="892">
        <f t="shared" si="148"/>
        <v>0</v>
      </c>
      <c r="P2391" s="903">
        <f t="shared" si="149"/>
        <v>1</v>
      </c>
      <c r="Q2391" s="893">
        <f t="shared" si="150"/>
        <v>1</v>
      </c>
      <c r="R2391" s="894">
        <f t="shared" si="151"/>
        <v>0</v>
      </c>
    </row>
    <row r="2392" spans="1:18" s="847" customFormat="1" ht="31.5">
      <c r="A2392" s="905"/>
      <c r="B2392" s="914" t="s">
        <v>4732</v>
      </c>
      <c r="C2392" s="915"/>
      <c r="D2392" s="915"/>
      <c r="E2392" s="916" t="s">
        <v>4733</v>
      </c>
      <c r="F2392" s="917" t="s">
        <v>249</v>
      </c>
      <c r="G2392" s="918"/>
      <c r="H2392" s="919"/>
      <c r="I2392" s="920"/>
      <c r="J2392" s="891">
        <f>SUM(J2393:J2397)</f>
        <v>5720</v>
      </c>
      <c r="K2392" s="891"/>
      <c r="L2392" s="891">
        <f>SUM(L2393:L2397)</f>
        <v>811211.94</v>
      </c>
      <c r="M2392" s="891"/>
      <c r="N2392" s="891">
        <f>SUM(N2393:N2397)</f>
        <v>0</v>
      </c>
      <c r="O2392" s="892">
        <f t="shared" si="148"/>
        <v>1</v>
      </c>
      <c r="P2392" s="903">
        <f t="shared" si="149"/>
        <v>0</v>
      </c>
      <c r="Q2392" s="893">
        <f t="shared" si="150"/>
        <v>0</v>
      </c>
      <c r="R2392" s="894">
        <f t="shared" si="151"/>
        <v>5</v>
      </c>
    </row>
    <row r="2393" spans="1:18" s="904" customFormat="1">
      <c r="A2393" s="895"/>
      <c r="B2393" s="896"/>
      <c r="C2393" s="897"/>
      <c r="D2393" s="897"/>
      <c r="E2393" s="924" t="s">
        <v>108</v>
      </c>
      <c r="F2393" s="899"/>
      <c r="G2393" s="900"/>
      <c r="H2393" s="901"/>
      <c r="I2393" s="902"/>
      <c r="J2393" s="902"/>
      <c r="K2393" s="912" t="s">
        <v>274</v>
      </c>
      <c r="L2393" s="902"/>
      <c r="M2393" s="902"/>
      <c r="N2393" s="902"/>
      <c r="O2393" s="892">
        <f t="shared" si="148"/>
        <v>0</v>
      </c>
      <c r="P2393" s="903">
        <f t="shared" si="149"/>
        <v>1</v>
      </c>
      <c r="Q2393" s="893">
        <f t="shared" si="150"/>
        <v>5</v>
      </c>
      <c r="R2393" s="894">
        <f t="shared" si="151"/>
        <v>0</v>
      </c>
    </row>
    <row r="2394" spans="1:18">
      <c r="A2394" s="905"/>
      <c r="B2394" s="906"/>
      <c r="C2394" s="907">
        <v>66</v>
      </c>
      <c r="D2394" s="907" t="s">
        <v>279</v>
      </c>
      <c r="E2394" s="925" t="s">
        <v>2682</v>
      </c>
      <c r="F2394" s="926" t="s">
        <v>45</v>
      </c>
      <c r="G2394" s="910"/>
      <c r="H2394" s="911">
        <v>0.04</v>
      </c>
      <c r="I2394" s="912">
        <f>VLOOKUP(E2394,[3]VLP!$B$7:$K$300,10,0)</f>
        <v>5000</v>
      </c>
      <c r="J2394" s="912">
        <f>I2394*H2394</f>
        <v>200</v>
      </c>
      <c r="K2394" s="912" t="s">
        <v>274</v>
      </c>
      <c r="L2394" s="912"/>
      <c r="M2394" s="912"/>
      <c r="N2394" s="912"/>
      <c r="O2394" s="892">
        <f t="shared" si="148"/>
        <v>0</v>
      </c>
      <c r="P2394" s="903">
        <f t="shared" si="149"/>
        <v>1</v>
      </c>
      <c r="Q2394" s="893">
        <f t="shared" si="150"/>
        <v>4</v>
      </c>
      <c r="R2394" s="894">
        <f t="shared" si="151"/>
        <v>0</v>
      </c>
    </row>
    <row r="2395" spans="1:18">
      <c r="A2395" s="905"/>
      <c r="B2395" s="906"/>
      <c r="C2395" s="907">
        <v>44</v>
      </c>
      <c r="D2395" s="907" t="s">
        <v>279</v>
      </c>
      <c r="E2395" s="925" t="s">
        <v>2681</v>
      </c>
      <c r="F2395" s="926" t="s">
        <v>45</v>
      </c>
      <c r="G2395" s="910"/>
      <c r="H2395" s="911">
        <v>0.24</v>
      </c>
      <c r="I2395" s="912">
        <f>VLOOKUP(E2395,[3]VLP!$B$7:$K$300,10,0)</f>
        <v>23000</v>
      </c>
      <c r="J2395" s="912">
        <f>I2395*H2395</f>
        <v>5520</v>
      </c>
      <c r="K2395" s="912" t="s">
        <v>274</v>
      </c>
      <c r="L2395" s="912"/>
      <c r="M2395" s="912"/>
      <c r="N2395" s="912"/>
      <c r="O2395" s="892">
        <f t="shared" si="148"/>
        <v>0</v>
      </c>
      <c r="P2395" s="903">
        <f t="shared" si="149"/>
        <v>1</v>
      </c>
      <c r="Q2395" s="893">
        <f t="shared" si="150"/>
        <v>3</v>
      </c>
      <c r="R2395" s="894">
        <f t="shared" si="151"/>
        <v>0</v>
      </c>
    </row>
    <row r="2396" spans="1:18" s="904" customFormat="1">
      <c r="A2396" s="895"/>
      <c r="B2396" s="896"/>
      <c r="C2396" s="897"/>
      <c r="D2396" s="897"/>
      <c r="E2396" s="924" t="s">
        <v>276</v>
      </c>
      <c r="F2396" s="927"/>
      <c r="G2396" s="928"/>
      <c r="H2396" s="901"/>
      <c r="I2396" s="902"/>
      <c r="J2396" s="902"/>
      <c r="K2396" s="912" t="s">
        <v>274</v>
      </c>
      <c r="L2396" s="902"/>
      <c r="M2396" s="902"/>
      <c r="N2396" s="902"/>
      <c r="O2396" s="892">
        <f t="shared" si="148"/>
        <v>0</v>
      </c>
      <c r="P2396" s="903">
        <f t="shared" si="149"/>
        <v>1</v>
      </c>
      <c r="Q2396" s="893">
        <f t="shared" si="150"/>
        <v>2</v>
      </c>
      <c r="R2396" s="894">
        <f t="shared" si="151"/>
        <v>0</v>
      </c>
    </row>
    <row r="2397" spans="1:18">
      <c r="A2397" s="905"/>
      <c r="B2397" s="906"/>
      <c r="C2397" s="907">
        <v>740</v>
      </c>
      <c r="D2397" s="907" t="s">
        <v>12</v>
      </c>
      <c r="E2397" s="908" t="s">
        <v>4008</v>
      </c>
      <c r="F2397" s="909" t="s">
        <v>2674</v>
      </c>
      <c r="G2397" s="910"/>
      <c r="H2397" s="911">
        <v>3.21</v>
      </c>
      <c r="I2397" s="912"/>
      <c r="J2397" s="912"/>
      <c r="K2397" s="912">
        <f>VLOOKUP(E2397,ĐMNC!$A$7:$F$67,4,0)</f>
        <v>252714</v>
      </c>
      <c r="L2397" s="912">
        <f>H2397*K2397</f>
        <v>811211.94</v>
      </c>
      <c r="M2397" s="912"/>
      <c r="N2397" s="912"/>
      <c r="O2397" s="892">
        <f t="shared" si="148"/>
        <v>0</v>
      </c>
      <c r="P2397" s="903">
        <f t="shared" si="149"/>
        <v>1</v>
      </c>
      <c r="Q2397" s="893">
        <f t="shared" si="150"/>
        <v>1</v>
      </c>
      <c r="R2397" s="894">
        <f t="shared" si="151"/>
        <v>0</v>
      </c>
    </row>
    <row r="2398" spans="1:18" s="847" customFormat="1" ht="31.5">
      <c r="A2398" s="905"/>
      <c r="B2398" s="914" t="s">
        <v>4734</v>
      </c>
      <c r="C2398" s="915"/>
      <c r="D2398" s="915"/>
      <c r="E2398" s="916" t="s">
        <v>4735</v>
      </c>
      <c r="F2398" s="917" t="s">
        <v>249</v>
      </c>
      <c r="G2398" s="918"/>
      <c r="H2398" s="919"/>
      <c r="I2398" s="920"/>
      <c r="J2398" s="891">
        <f>SUM(J2399:J2403)</f>
        <v>5720</v>
      </c>
      <c r="K2398" s="891"/>
      <c r="L2398" s="891">
        <f>SUM(L2399:L2403)</f>
        <v>919878.96000000008</v>
      </c>
      <c r="M2398" s="891"/>
      <c r="N2398" s="891">
        <f>SUM(N2399:N2403)</f>
        <v>0</v>
      </c>
      <c r="O2398" s="892">
        <f t="shared" si="148"/>
        <v>1</v>
      </c>
      <c r="P2398" s="903">
        <f t="shared" si="149"/>
        <v>0</v>
      </c>
      <c r="Q2398" s="893">
        <f t="shared" si="150"/>
        <v>0</v>
      </c>
      <c r="R2398" s="894">
        <f t="shared" si="151"/>
        <v>5</v>
      </c>
    </row>
    <row r="2399" spans="1:18" s="904" customFormat="1">
      <c r="A2399" s="895"/>
      <c r="B2399" s="896"/>
      <c r="C2399" s="897"/>
      <c r="D2399" s="897"/>
      <c r="E2399" s="924" t="s">
        <v>108</v>
      </c>
      <c r="F2399" s="899"/>
      <c r="G2399" s="900"/>
      <c r="H2399" s="901"/>
      <c r="I2399" s="902"/>
      <c r="J2399" s="902"/>
      <c r="K2399" s="912" t="s">
        <v>274</v>
      </c>
      <c r="L2399" s="902"/>
      <c r="M2399" s="902"/>
      <c r="N2399" s="902"/>
      <c r="O2399" s="892">
        <f t="shared" si="148"/>
        <v>0</v>
      </c>
      <c r="P2399" s="903">
        <f t="shared" si="149"/>
        <v>1</v>
      </c>
      <c r="Q2399" s="893">
        <f t="shared" si="150"/>
        <v>5</v>
      </c>
      <c r="R2399" s="894">
        <f t="shared" si="151"/>
        <v>0</v>
      </c>
    </row>
    <row r="2400" spans="1:18">
      <c r="A2400" s="905"/>
      <c r="B2400" s="906"/>
      <c r="C2400" s="907">
        <v>66</v>
      </c>
      <c r="D2400" s="907" t="s">
        <v>279</v>
      </c>
      <c r="E2400" s="925" t="s">
        <v>2682</v>
      </c>
      <c r="F2400" s="926" t="s">
        <v>45</v>
      </c>
      <c r="G2400" s="910"/>
      <c r="H2400" s="911">
        <v>0.04</v>
      </c>
      <c r="I2400" s="912">
        <f>VLOOKUP(E2400,[3]VLP!$B$7:$K$300,10,0)</f>
        <v>5000</v>
      </c>
      <c r="J2400" s="912">
        <f>I2400*H2400</f>
        <v>200</v>
      </c>
      <c r="K2400" s="912" t="s">
        <v>274</v>
      </c>
      <c r="L2400" s="912"/>
      <c r="M2400" s="912"/>
      <c r="N2400" s="912"/>
      <c r="O2400" s="892">
        <f t="shared" si="148"/>
        <v>0</v>
      </c>
      <c r="P2400" s="903">
        <f t="shared" si="149"/>
        <v>1</v>
      </c>
      <c r="Q2400" s="893">
        <f t="shared" si="150"/>
        <v>4</v>
      </c>
      <c r="R2400" s="894">
        <f t="shared" si="151"/>
        <v>0</v>
      </c>
    </row>
    <row r="2401" spans="1:18">
      <c r="A2401" s="905"/>
      <c r="B2401" s="906"/>
      <c r="C2401" s="907">
        <v>44</v>
      </c>
      <c r="D2401" s="907" t="s">
        <v>279</v>
      </c>
      <c r="E2401" s="925" t="s">
        <v>2681</v>
      </c>
      <c r="F2401" s="926" t="s">
        <v>45</v>
      </c>
      <c r="G2401" s="910"/>
      <c r="H2401" s="911">
        <v>0.24</v>
      </c>
      <c r="I2401" s="912">
        <f>VLOOKUP(E2401,[3]VLP!$B$7:$K$300,10,0)</f>
        <v>23000</v>
      </c>
      <c r="J2401" s="912">
        <f>I2401*H2401</f>
        <v>5520</v>
      </c>
      <c r="K2401" s="912" t="s">
        <v>274</v>
      </c>
      <c r="L2401" s="912"/>
      <c r="M2401" s="912"/>
      <c r="N2401" s="912"/>
      <c r="O2401" s="892">
        <f t="shared" si="148"/>
        <v>0</v>
      </c>
      <c r="P2401" s="903">
        <f t="shared" si="149"/>
        <v>1</v>
      </c>
      <c r="Q2401" s="893">
        <f t="shared" si="150"/>
        <v>3</v>
      </c>
      <c r="R2401" s="894">
        <f t="shared" si="151"/>
        <v>0</v>
      </c>
    </row>
    <row r="2402" spans="1:18" s="904" customFormat="1">
      <c r="A2402" s="895"/>
      <c r="B2402" s="896"/>
      <c r="C2402" s="897"/>
      <c r="D2402" s="897"/>
      <c r="E2402" s="924" t="s">
        <v>276</v>
      </c>
      <c r="F2402" s="927"/>
      <c r="G2402" s="928"/>
      <c r="H2402" s="901"/>
      <c r="I2402" s="902"/>
      <c r="J2402" s="902"/>
      <c r="K2402" s="912" t="s">
        <v>274</v>
      </c>
      <c r="L2402" s="902"/>
      <c r="M2402" s="902"/>
      <c r="N2402" s="902"/>
      <c r="O2402" s="892">
        <f t="shared" si="148"/>
        <v>0</v>
      </c>
      <c r="P2402" s="903">
        <f t="shared" si="149"/>
        <v>1</v>
      </c>
      <c r="Q2402" s="893">
        <f t="shared" si="150"/>
        <v>2</v>
      </c>
      <c r="R2402" s="894">
        <f t="shared" si="151"/>
        <v>0</v>
      </c>
    </row>
    <row r="2403" spans="1:18">
      <c r="A2403" s="905"/>
      <c r="B2403" s="906"/>
      <c r="C2403" s="907">
        <v>740</v>
      </c>
      <c r="D2403" s="907" t="s">
        <v>12</v>
      </c>
      <c r="E2403" s="908" t="s">
        <v>4008</v>
      </c>
      <c r="F2403" s="909" t="s">
        <v>2674</v>
      </c>
      <c r="G2403" s="910"/>
      <c r="H2403" s="911">
        <v>3.64</v>
      </c>
      <c r="I2403" s="912"/>
      <c r="J2403" s="912"/>
      <c r="K2403" s="912">
        <f>VLOOKUP(E2403,ĐMNC!$A$7:$F$67,4,0)</f>
        <v>252714</v>
      </c>
      <c r="L2403" s="912">
        <f>H2403*K2403</f>
        <v>919878.96000000008</v>
      </c>
      <c r="M2403" s="912"/>
      <c r="N2403" s="912"/>
      <c r="O2403" s="892">
        <f t="shared" si="148"/>
        <v>0</v>
      </c>
      <c r="P2403" s="903">
        <f t="shared" si="149"/>
        <v>1</v>
      </c>
      <c r="Q2403" s="893">
        <f t="shared" si="150"/>
        <v>1</v>
      </c>
      <c r="R2403" s="894">
        <f t="shared" si="151"/>
        <v>0</v>
      </c>
    </row>
    <row r="2404" spans="1:18" s="847" customFormat="1" ht="31.5">
      <c r="A2404" s="905"/>
      <c r="B2404" s="914" t="s">
        <v>4736</v>
      </c>
      <c r="C2404" s="915"/>
      <c r="D2404" s="915"/>
      <c r="E2404" s="916" t="s">
        <v>4737</v>
      </c>
      <c r="F2404" s="917" t="s">
        <v>249</v>
      </c>
      <c r="G2404" s="918"/>
      <c r="H2404" s="919"/>
      <c r="I2404" s="920"/>
      <c r="J2404" s="891">
        <f>SUM(J2405:J2409)</f>
        <v>5720</v>
      </c>
      <c r="K2404" s="891"/>
      <c r="L2404" s="891">
        <f>SUM(L2405:L2409)</f>
        <v>1026018.8399999999</v>
      </c>
      <c r="M2404" s="891"/>
      <c r="N2404" s="891">
        <f>SUM(N2405:N2409)</f>
        <v>0</v>
      </c>
      <c r="O2404" s="892">
        <f t="shared" si="148"/>
        <v>1</v>
      </c>
      <c r="P2404" s="903">
        <f t="shared" si="149"/>
        <v>0</v>
      </c>
      <c r="Q2404" s="893">
        <f t="shared" si="150"/>
        <v>0</v>
      </c>
      <c r="R2404" s="894">
        <f t="shared" si="151"/>
        <v>5</v>
      </c>
    </row>
    <row r="2405" spans="1:18" s="904" customFormat="1">
      <c r="A2405" s="895"/>
      <c r="B2405" s="896"/>
      <c r="C2405" s="897"/>
      <c r="D2405" s="897"/>
      <c r="E2405" s="924" t="s">
        <v>108</v>
      </c>
      <c r="F2405" s="899"/>
      <c r="G2405" s="900"/>
      <c r="H2405" s="901"/>
      <c r="I2405" s="902"/>
      <c r="J2405" s="902"/>
      <c r="K2405" s="912" t="s">
        <v>274</v>
      </c>
      <c r="L2405" s="902"/>
      <c r="M2405" s="902"/>
      <c r="N2405" s="902"/>
      <c r="O2405" s="892">
        <f t="shared" si="148"/>
        <v>0</v>
      </c>
      <c r="P2405" s="903">
        <f t="shared" si="149"/>
        <v>1</v>
      </c>
      <c r="Q2405" s="893">
        <f t="shared" si="150"/>
        <v>5</v>
      </c>
      <c r="R2405" s="894">
        <f t="shared" si="151"/>
        <v>0</v>
      </c>
    </row>
    <row r="2406" spans="1:18">
      <c r="A2406" s="905"/>
      <c r="B2406" s="906"/>
      <c r="C2406" s="907">
        <v>66</v>
      </c>
      <c r="D2406" s="907" t="s">
        <v>279</v>
      </c>
      <c r="E2406" s="925" t="s">
        <v>2682</v>
      </c>
      <c r="F2406" s="926" t="s">
        <v>45</v>
      </c>
      <c r="G2406" s="910"/>
      <c r="H2406" s="911">
        <v>0.04</v>
      </c>
      <c r="I2406" s="912">
        <f>VLOOKUP(E2406,[3]VLP!$B$7:$K$300,10,0)</f>
        <v>5000</v>
      </c>
      <c r="J2406" s="912">
        <f>I2406*H2406</f>
        <v>200</v>
      </c>
      <c r="K2406" s="912" t="s">
        <v>274</v>
      </c>
      <c r="L2406" s="912"/>
      <c r="M2406" s="912"/>
      <c r="N2406" s="912"/>
      <c r="O2406" s="892">
        <f t="shared" si="148"/>
        <v>0</v>
      </c>
      <c r="P2406" s="903">
        <f t="shared" si="149"/>
        <v>1</v>
      </c>
      <c r="Q2406" s="893">
        <f t="shared" si="150"/>
        <v>4</v>
      </c>
      <c r="R2406" s="894">
        <f t="shared" si="151"/>
        <v>0</v>
      </c>
    </row>
    <row r="2407" spans="1:18">
      <c r="A2407" s="905"/>
      <c r="B2407" s="906"/>
      <c r="C2407" s="907">
        <v>44</v>
      </c>
      <c r="D2407" s="907" t="s">
        <v>279</v>
      </c>
      <c r="E2407" s="925" t="s">
        <v>2681</v>
      </c>
      <c r="F2407" s="926" t="s">
        <v>45</v>
      </c>
      <c r="G2407" s="910"/>
      <c r="H2407" s="911">
        <v>0.24</v>
      </c>
      <c r="I2407" s="912">
        <f>VLOOKUP(E2407,[3]VLP!$B$7:$K$300,10,0)</f>
        <v>23000</v>
      </c>
      <c r="J2407" s="912">
        <f>I2407*H2407</f>
        <v>5520</v>
      </c>
      <c r="K2407" s="912" t="s">
        <v>274</v>
      </c>
      <c r="L2407" s="912"/>
      <c r="M2407" s="912"/>
      <c r="N2407" s="912"/>
      <c r="O2407" s="892">
        <f t="shared" si="148"/>
        <v>0</v>
      </c>
      <c r="P2407" s="903">
        <f t="shared" si="149"/>
        <v>1</v>
      </c>
      <c r="Q2407" s="893">
        <f t="shared" si="150"/>
        <v>3</v>
      </c>
      <c r="R2407" s="894">
        <f t="shared" si="151"/>
        <v>0</v>
      </c>
    </row>
    <row r="2408" spans="1:18" s="904" customFormat="1">
      <c r="A2408" s="895"/>
      <c r="B2408" s="896"/>
      <c r="C2408" s="897"/>
      <c r="D2408" s="897"/>
      <c r="E2408" s="924" t="s">
        <v>276</v>
      </c>
      <c r="F2408" s="927"/>
      <c r="G2408" s="928"/>
      <c r="H2408" s="901"/>
      <c r="I2408" s="902"/>
      <c r="J2408" s="902"/>
      <c r="K2408" s="912" t="s">
        <v>274</v>
      </c>
      <c r="L2408" s="902"/>
      <c r="M2408" s="902"/>
      <c r="N2408" s="902"/>
      <c r="O2408" s="892">
        <f t="shared" si="148"/>
        <v>0</v>
      </c>
      <c r="P2408" s="903">
        <f t="shared" si="149"/>
        <v>1</v>
      </c>
      <c r="Q2408" s="893">
        <f t="shared" si="150"/>
        <v>2</v>
      </c>
      <c r="R2408" s="894">
        <f t="shared" si="151"/>
        <v>0</v>
      </c>
    </row>
    <row r="2409" spans="1:18">
      <c r="A2409" s="905"/>
      <c r="B2409" s="906"/>
      <c r="C2409" s="907">
        <v>740</v>
      </c>
      <c r="D2409" s="907" t="s">
        <v>12</v>
      </c>
      <c r="E2409" s="908" t="s">
        <v>4008</v>
      </c>
      <c r="F2409" s="909" t="s">
        <v>2674</v>
      </c>
      <c r="G2409" s="910"/>
      <c r="H2409" s="911">
        <v>4.0599999999999996</v>
      </c>
      <c r="I2409" s="912"/>
      <c r="J2409" s="912"/>
      <c r="K2409" s="912">
        <f>VLOOKUP(E2409,ĐMNC!$A$7:$F$67,4,0)</f>
        <v>252714</v>
      </c>
      <c r="L2409" s="912">
        <f>H2409*K2409</f>
        <v>1026018.8399999999</v>
      </c>
      <c r="M2409" s="912"/>
      <c r="N2409" s="912"/>
      <c r="O2409" s="892">
        <f t="shared" si="148"/>
        <v>0</v>
      </c>
      <c r="P2409" s="903">
        <f t="shared" si="149"/>
        <v>1</v>
      </c>
      <c r="Q2409" s="893">
        <f t="shared" si="150"/>
        <v>1</v>
      </c>
      <c r="R2409" s="894">
        <f t="shared" si="151"/>
        <v>0</v>
      </c>
    </row>
    <row r="2410" spans="1:18" s="847" customFormat="1" ht="31.5">
      <c r="A2410" s="905"/>
      <c r="B2410" s="914" t="s">
        <v>4738</v>
      </c>
      <c r="C2410" s="915"/>
      <c r="D2410" s="915"/>
      <c r="E2410" s="916" t="s">
        <v>4739</v>
      </c>
      <c r="F2410" s="917" t="s">
        <v>249</v>
      </c>
      <c r="G2410" s="918"/>
      <c r="H2410" s="919"/>
      <c r="I2410" s="920"/>
      <c r="J2410" s="891">
        <f>SUM(J2411:J2415)</f>
        <v>5720</v>
      </c>
      <c r="K2410" s="891"/>
      <c r="L2410" s="891">
        <f>SUM(L2411:L2415)</f>
        <v>1301477.1000000001</v>
      </c>
      <c r="M2410" s="891"/>
      <c r="N2410" s="891">
        <f>SUM(N2411:N2415)</f>
        <v>0</v>
      </c>
      <c r="O2410" s="892">
        <f t="shared" si="148"/>
        <v>1</v>
      </c>
      <c r="P2410" s="903">
        <f t="shared" si="149"/>
        <v>0</v>
      </c>
      <c r="Q2410" s="893">
        <f t="shared" si="150"/>
        <v>0</v>
      </c>
      <c r="R2410" s="894">
        <f t="shared" si="151"/>
        <v>5</v>
      </c>
    </row>
    <row r="2411" spans="1:18" s="904" customFormat="1">
      <c r="A2411" s="895"/>
      <c r="B2411" s="896"/>
      <c r="C2411" s="897"/>
      <c r="D2411" s="897"/>
      <c r="E2411" s="924" t="s">
        <v>108</v>
      </c>
      <c r="F2411" s="899"/>
      <c r="G2411" s="900"/>
      <c r="H2411" s="901"/>
      <c r="I2411" s="902"/>
      <c r="J2411" s="902"/>
      <c r="K2411" s="912" t="s">
        <v>274</v>
      </c>
      <c r="L2411" s="902"/>
      <c r="M2411" s="902"/>
      <c r="N2411" s="902"/>
      <c r="O2411" s="892">
        <f t="shared" si="148"/>
        <v>0</v>
      </c>
      <c r="P2411" s="903">
        <f t="shared" si="149"/>
        <v>1</v>
      </c>
      <c r="Q2411" s="893">
        <f t="shared" si="150"/>
        <v>5</v>
      </c>
      <c r="R2411" s="894">
        <f t="shared" si="151"/>
        <v>0</v>
      </c>
    </row>
    <row r="2412" spans="1:18">
      <c r="A2412" s="905"/>
      <c r="B2412" s="906"/>
      <c r="C2412" s="907">
        <v>66</v>
      </c>
      <c r="D2412" s="907" t="s">
        <v>279</v>
      </c>
      <c r="E2412" s="925" t="s">
        <v>2682</v>
      </c>
      <c r="F2412" s="926" t="s">
        <v>45</v>
      </c>
      <c r="G2412" s="910"/>
      <c r="H2412" s="911">
        <v>0.04</v>
      </c>
      <c r="I2412" s="912">
        <f>VLOOKUP(E2412,[3]VLP!$B$7:$K$300,10,0)</f>
        <v>5000</v>
      </c>
      <c r="J2412" s="912">
        <f>I2412*H2412</f>
        <v>200</v>
      </c>
      <c r="K2412" s="912" t="s">
        <v>274</v>
      </c>
      <c r="L2412" s="912"/>
      <c r="M2412" s="912"/>
      <c r="N2412" s="912"/>
      <c r="O2412" s="892">
        <f t="shared" si="148"/>
        <v>0</v>
      </c>
      <c r="P2412" s="903">
        <f t="shared" si="149"/>
        <v>1</v>
      </c>
      <c r="Q2412" s="893">
        <f t="shared" si="150"/>
        <v>4</v>
      </c>
      <c r="R2412" s="894">
        <f t="shared" si="151"/>
        <v>0</v>
      </c>
    </row>
    <row r="2413" spans="1:18">
      <c r="A2413" s="905"/>
      <c r="B2413" s="906"/>
      <c r="C2413" s="907">
        <v>44</v>
      </c>
      <c r="D2413" s="907" t="s">
        <v>279</v>
      </c>
      <c r="E2413" s="925" t="s">
        <v>2681</v>
      </c>
      <c r="F2413" s="926" t="s">
        <v>45</v>
      </c>
      <c r="G2413" s="910"/>
      <c r="H2413" s="911">
        <v>0.24</v>
      </c>
      <c r="I2413" s="912">
        <f>VLOOKUP(E2413,[3]VLP!$B$7:$K$300,10,0)</f>
        <v>23000</v>
      </c>
      <c r="J2413" s="912">
        <f>I2413*H2413</f>
        <v>5520</v>
      </c>
      <c r="K2413" s="912" t="s">
        <v>274</v>
      </c>
      <c r="L2413" s="912"/>
      <c r="M2413" s="912"/>
      <c r="N2413" s="912"/>
      <c r="O2413" s="892">
        <f t="shared" si="148"/>
        <v>0</v>
      </c>
      <c r="P2413" s="903">
        <f t="shared" si="149"/>
        <v>1</v>
      </c>
      <c r="Q2413" s="893">
        <f t="shared" si="150"/>
        <v>3</v>
      </c>
      <c r="R2413" s="894">
        <f t="shared" si="151"/>
        <v>0</v>
      </c>
    </row>
    <row r="2414" spans="1:18" s="904" customFormat="1">
      <c r="A2414" s="895"/>
      <c r="B2414" s="896"/>
      <c r="C2414" s="897"/>
      <c r="D2414" s="897"/>
      <c r="E2414" s="924" t="s">
        <v>276</v>
      </c>
      <c r="F2414" s="927"/>
      <c r="G2414" s="928"/>
      <c r="H2414" s="901"/>
      <c r="I2414" s="902"/>
      <c r="J2414" s="902"/>
      <c r="K2414" s="912" t="s">
        <v>274</v>
      </c>
      <c r="L2414" s="902"/>
      <c r="M2414" s="902"/>
      <c r="N2414" s="902"/>
      <c r="O2414" s="892">
        <f t="shared" si="148"/>
        <v>0</v>
      </c>
      <c r="P2414" s="903">
        <f t="shared" si="149"/>
        <v>1</v>
      </c>
      <c r="Q2414" s="893">
        <f t="shared" si="150"/>
        <v>2</v>
      </c>
      <c r="R2414" s="894">
        <f t="shared" si="151"/>
        <v>0</v>
      </c>
    </row>
    <row r="2415" spans="1:18">
      <c r="A2415" s="905"/>
      <c r="B2415" s="906"/>
      <c r="C2415" s="907">
        <v>740</v>
      </c>
      <c r="D2415" s="907" t="s">
        <v>12</v>
      </c>
      <c r="E2415" s="908" t="s">
        <v>4008</v>
      </c>
      <c r="F2415" s="909" t="s">
        <v>2674</v>
      </c>
      <c r="G2415" s="910"/>
      <c r="H2415" s="911">
        <v>5.15</v>
      </c>
      <c r="I2415" s="912"/>
      <c r="J2415" s="912"/>
      <c r="K2415" s="912">
        <f>VLOOKUP(E2415,ĐMNC!$A$7:$F$67,4,0)</f>
        <v>252714</v>
      </c>
      <c r="L2415" s="912">
        <f>H2415*K2415</f>
        <v>1301477.1000000001</v>
      </c>
      <c r="M2415" s="912"/>
      <c r="N2415" s="912"/>
      <c r="O2415" s="892">
        <f t="shared" si="148"/>
        <v>0</v>
      </c>
      <c r="P2415" s="903">
        <f t="shared" si="149"/>
        <v>1</v>
      </c>
      <c r="Q2415" s="893">
        <f t="shared" si="150"/>
        <v>1</v>
      </c>
      <c r="R2415" s="894">
        <f t="shared" si="151"/>
        <v>0</v>
      </c>
    </row>
    <row r="2416" spans="1:18" s="847" customFormat="1" ht="31.5">
      <c r="A2416" s="905"/>
      <c r="B2416" s="914" t="s">
        <v>4740</v>
      </c>
      <c r="C2416" s="915"/>
      <c r="D2416" s="915"/>
      <c r="E2416" s="916" t="s">
        <v>4741</v>
      </c>
      <c r="F2416" s="917" t="s">
        <v>249</v>
      </c>
      <c r="G2416" s="918"/>
      <c r="H2416" s="919"/>
      <c r="I2416" s="920"/>
      <c r="J2416" s="891">
        <f>SUM(J2417:J2421)</f>
        <v>5720</v>
      </c>
      <c r="K2416" s="891"/>
      <c r="L2416" s="891">
        <f>SUM(L2417:L2421)</f>
        <v>1430361.24</v>
      </c>
      <c r="M2416" s="891"/>
      <c r="N2416" s="891">
        <f>SUM(N2417:N2421)</f>
        <v>0</v>
      </c>
      <c r="O2416" s="892">
        <f t="shared" si="148"/>
        <v>1</v>
      </c>
      <c r="P2416" s="903">
        <f t="shared" si="149"/>
        <v>0</v>
      </c>
      <c r="Q2416" s="893">
        <f t="shared" si="150"/>
        <v>0</v>
      </c>
      <c r="R2416" s="894">
        <f t="shared" si="151"/>
        <v>5</v>
      </c>
    </row>
    <row r="2417" spans="1:18" s="904" customFormat="1">
      <c r="A2417" s="895"/>
      <c r="B2417" s="896"/>
      <c r="C2417" s="897"/>
      <c r="D2417" s="897"/>
      <c r="E2417" s="924" t="s">
        <v>108</v>
      </c>
      <c r="F2417" s="899"/>
      <c r="G2417" s="900"/>
      <c r="H2417" s="901"/>
      <c r="I2417" s="902"/>
      <c r="J2417" s="902"/>
      <c r="K2417" s="912" t="s">
        <v>274</v>
      </c>
      <c r="L2417" s="902"/>
      <c r="M2417" s="902"/>
      <c r="N2417" s="902"/>
      <c r="O2417" s="892">
        <f t="shared" si="148"/>
        <v>0</v>
      </c>
      <c r="P2417" s="903">
        <f t="shared" si="149"/>
        <v>1</v>
      </c>
      <c r="Q2417" s="893">
        <f t="shared" si="150"/>
        <v>5</v>
      </c>
      <c r="R2417" s="894">
        <f t="shared" si="151"/>
        <v>0</v>
      </c>
    </row>
    <row r="2418" spans="1:18">
      <c r="A2418" s="905"/>
      <c r="B2418" s="906"/>
      <c r="C2418" s="907">
        <v>66</v>
      </c>
      <c r="D2418" s="907" t="s">
        <v>279</v>
      </c>
      <c r="E2418" s="925" t="s">
        <v>2682</v>
      </c>
      <c r="F2418" s="926" t="s">
        <v>45</v>
      </c>
      <c r="G2418" s="910"/>
      <c r="H2418" s="911">
        <v>0.04</v>
      </c>
      <c r="I2418" s="912">
        <f>VLOOKUP(E2418,[3]VLP!$B$7:$K$300,10,0)</f>
        <v>5000</v>
      </c>
      <c r="J2418" s="912">
        <f>I2418*H2418</f>
        <v>200</v>
      </c>
      <c r="K2418" s="912" t="s">
        <v>274</v>
      </c>
      <c r="L2418" s="912"/>
      <c r="M2418" s="912"/>
      <c r="N2418" s="912"/>
      <c r="O2418" s="892">
        <f t="shared" si="148"/>
        <v>0</v>
      </c>
      <c r="P2418" s="903">
        <f t="shared" si="149"/>
        <v>1</v>
      </c>
      <c r="Q2418" s="893">
        <f t="shared" si="150"/>
        <v>4</v>
      </c>
      <c r="R2418" s="894">
        <f t="shared" si="151"/>
        <v>0</v>
      </c>
    </row>
    <row r="2419" spans="1:18">
      <c r="A2419" s="905"/>
      <c r="B2419" s="906"/>
      <c r="C2419" s="907">
        <v>44</v>
      </c>
      <c r="D2419" s="907" t="s">
        <v>279</v>
      </c>
      <c r="E2419" s="925" t="s">
        <v>2681</v>
      </c>
      <c r="F2419" s="926" t="s">
        <v>45</v>
      </c>
      <c r="G2419" s="910"/>
      <c r="H2419" s="911">
        <v>0.24</v>
      </c>
      <c r="I2419" s="912">
        <f>VLOOKUP(E2419,[3]VLP!$B$7:$K$300,10,0)</f>
        <v>23000</v>
      </c>
      <c r="J2419" s="912">
        <f>I2419*H2419</f>
        <v>5520</v>
      </c>
      <c r="K2419" s="912" t="s">
        <v>274</v>
      </c>
      <c r="L2419" s="912"/>
      <c r="M2419" s="912"/>
      <c r="N2419" s="912"/>
      <c r="O2419" s="892">
        <f t="shared" si="148"/>
        <v>0</v>
      </c>
      <c r="P2419" s="903">
        <f t="shared" si="149"/>
        <v>1</v>
      </c>
      <c r="Q2419" s="893">
        <f t="shared" si="150"/>
        <v>3</v>
      </c>
      <c r="R2419" s="894">
        <f t="shared" si="151"/>
        <v>0</v>
      </c>
    </row>
    <row r="2420" spans="1:18" s="904" customFormat="1">
      <c r="A2420" s="895"/>
      <c r="B2420" s="896"/>
      <c r="C2420" s="897"/>
      <c r="D2420" s="897"/>
      <c r="E2420" s="924" t="s">
        <v>276</v>
      </c>
      <c r="F2420" s="927"/>
      <c r="G2420" s="928"/>
      <c r="H2420" s="901"/>
      <c r="I2420" s="902"/>
      <c r="J2420" s="902"/>
      <c r="K2420" s="912" t="s">
        <v>274</v>
      </c>
      <c r="L2420" s="902"/>
      <c r="M2420" s="902"/>
      <c r="N2420" s="902"/>
      <c r="O2420" s="892">
        <f t="shared" si="148"/>
        <v>0</v>
      </c>
      <c r="P2420" s="903">
        <f t="shared" si="149"/>
        <v>1</v>
      </c>
      <c r="Q2420" s="893">
        <f t="shared" si="150"/>
        <v>2</v>
      </c>
      <c r="R2420" s="894">
        <f t="shared" si="151"/>
        <v>0</v>
      </c>
    </row>
    <row r="2421" spans="1:18">
      <c r="A2421" s="905"/>
      <c r="B2421" s="906"/>
      <c r="C2421" s="907">
        <v>740</v>
      </c>
      <c r="D2421" s="907" t="s">
        <v>12</v>
      </c>
      <c r="E2421" s="908" t="s">
        <v>4008</v>
      </c>
      <c r="F2421" s="909" t="s">
        <v>2674</v>
      </c>
      <c r="G2421" s="910"/>
      <c r="H2421" s="911">
        <v>5.66</v>
      </c>
      <c r="I2421" s="912"/>
      <c r="J2421" s="912"/>
      <c r="K2421" s="912">
        <f>VLOOKUP(E2421,ĐMNC!$A$7:$F$67,4,0)</f>
        <v>252714</v>
      </c>
      <c r="L2421" s="912">
        <f>H2421*K2421</f>
        <v>1430361.24</v>
      </c>
      <c r="M2421" s="912"/>
      <c r="N2421" s="912"/>
      <c r="O2421" s="892">
        <f t="shared" si="148"/>
        <v>0</v>
      </c>
      <c r="P2421" s="903">
        <f t="shared" si="149"/>
        <v>1</v>
      </c>
      <c r="Q2421" s="893">
        <f t="shared" si="150"/>
        <v>1</v>
      </c>
      <c r="R2421" s="894">
        <f t="shared" si="151"/>
        <v>0</v>
      </c>
    </row>
    <row r="2422" spans="1:18" s="847" customFormat="1" ht="31.5">
      <c r="A2422" s="905"/>
      <c r="B2422" s="914" t="s">
        <v>4742</v>
      </c>
      <c r="C2422" s="915"/>
      <c r="D2422" s="915"/>
      <c r="E2422" s="916" t="s">
        <v>4743</v>
      </c>
      <c r="F2422" s="917" t="s">
        <v>249</v>
      </c>
      <c r="G2422" s="918"/>
      <c r="H2422" s="919"/>
      <c r="I2422" s="920"/>
      <c r="J2422" s="891">
        <f>SUM(J2423:J2427)</f>
        <v>5720</v>
      </c>
      <c r="K2422" s="891"/>
      <c r="L2422" s="891">
        <f>SUM(L2423:L2427)</f>
        <v>1645168.14</v>
      </c>
      <c r="M2422" s="891"/>
      <c r="N2422" s="891">
        <f>SUM(N2423:N2427)</f>
        <v>0</v>
      </c>
      <c r="O2422" s="892">
        <f t="shared" si="148"/>
        <v>1</v>
      </c>
      <c r="P2422" s="903">
        <f t="shared" si="149"/>
        <v>0</v>
      </c>
      <c r="Q2422" s="893">
        <f t="shared" si="150"/>
        <v>0</v>
      </c>
      <c r="R2422" s="894">
        <f t="shared" si="151"/>
        <v>5</v>
      </c>
    </row>
    <row r="2423" spans="1:18" s="904" customFormat="1">
      <c r="A2423" s="895"/>
      <c r="B2423" s="896"/>
      <c r="C2423" s="897"/>
      <c r="D2423" s="897"/>
      <c r="E2423" s="924" t="s">
        <v>108</v>
      </c>
      <c r="F2423" s="899"/>
      <c r="G2423" s="900"/>
      <c r="H2423" s="901"/>
      <c r="I2423" s="902"/>
      <c r="J2423" s="902"/>
      <c r="K2423" s="912" t="s">
        <v>274</v>
      </c>
      <c r="L2423" s="902"/>
      <c r="M2423" s="902"/>
      <c r="N2423" s="902"/>
      <c r="O2423" s="892">
        <f t="shared" si="148"/>
        <v>0</v>
      </c>
      <c r="P2423" s="903">
        <f t="shared" si="149"/>
        <v>1</v>
      </c>
      <c r="Q2423" s="893">
        <f t="shared" si="150"/>
        <v>5</v>
      </c>
      <c r="R2423" s="894">
        <f t="shared" si="151"/>
        <v>0</v>
      </c>
    </row>
    <row r="2424" spans="1:18">
      <c r="A2424" s="905"/>
      <c r="B2424" s="906"/>
      <c r="C2424" s="907">
        <v>66</v>
      </c>
      <c r="D2424" s="907" t="s">
        <v>279</v>
      </c>
      <c r="E2424" s="925" t="s">
        <v>2682</v>
      </c>
      <c r="F2424" s="926" t="s">
        <v>45</v>
      </c>
      <c r="G2424" s="910"/>
      <c r="H2424" s="911">
        <v>0.04</v>
      </c>
      <c r="I2424" s="912">
        <f>VLOOKUP(E2424,[3]VLP!$B$7:$K$300,10,0)</f>
        <v>5000</v>
      </c>
      <c r="J2424" s="912">
        <f>I2424*H2424</f>
        <v>200</v>
      </c>
      <c r="K2424" s="912" t="s">
        <v>274</v>
      </c>
      <c r="L2424" s="912"/>
      <c r="M2424" s="912"/>
      <c r="N2424" s="912"/>
      <c r="O2424" s="892">
        <f t="shared" si="148"/>
        <v>0</v>
      </c>
      <c r="P2424" s="903">
        <f t="shared" si="149"/>
        <v>1</v>
      </c>
      <c r="Q2424" s="893">
        <f t="shared" si="150"/>
        <v>4</v>
      </c>
      <c r="R2424" s="894">
        <f t="shared" si="151"/>
        <v>0</v>
      </c>
    </row>
    <row r="2425" spans="1:18">
      <c r="A2425" s="905"/>
      <c r="B2425" s="906"/>
      <c r="C2425" s="907">
        <v>44</v>
      </c>
      <c r="D2425" s="907" t="s">
        <v>279</v>
      </c>
      <c r="E2425" s="925" t="s">
        <v>2681</v>
      </c>
      <c r="F2425" s="926" t="s">
        <v>45</v>
      </c>
      <c r="G2425" s="910"/>
      <c r="H2425" s="911">
        <v>0.24</v>
      </c>
      <c r="I2425" s="912">
        <f>VLOOKUP(E2425,[3]VLP!$B$7:$K$300,10,0)</f>
        <v>23000</v>
      </c>
      <c r="J2425" s="912">
        <f>I2425*H2425</f>
        <v>5520</v>
      </c>
      <c r="K2425" s="912" t="s">
        <v>274</v>
      </c>
      <c r="L2425" s="912"/>
      <c r="M2425" s="912"/>
      <c r="N2425" s="912"/>
      <c r="O2425" s="892">
        <f t="shared" si="148"/>
        <v>0</v>
      </c>
      <c r="P2425" s="903">
        <f t="shared" si="149"/>
        <v>1</v>
      </c>
      <c r="Q2425" s="893">
        <f t="shared" si="150"/>
        <v>3</v>
      </c>
      <c r="R2425" s="894">
        <f t="shared" si="151"/>
        <v>0</v>
      </c>
    </row>
    <row r="2426" spans="1:18" s="904" customFormat="1">
      <c r="A2426" s="895"/>
      <c r="B2426" s="896"/>
      <c r="C2426" s="897"/>
      <c r="D2426" s="897"/>
      <c r="E2426" s="924" t="s">
        <v>276</v>
      </c>
      <c r="F2426" s="927"/>
      <c r="G2426" s="928"/>
      <c r="H2426" s="901"/>
      <c r="I2426" s="902"/>
      <c r="J2426" s="902"/>
      <c r="K2426" s="912" t="s">
        <v>274</v>
      </c>
      <c r="L2426" s="902"/>
      <c r="M2426" s="902"/>
      <c r="N2426" s="902"/>
      <c r="O2426" s="892">
        <f t="shared" si="148"/>
        <v>0</v>
      </c>
      <c r="P2426" s="903">
        <f t="shared" si="149"/>
        <v>1</v>
      </c>
      <c r="Q2426" s="893">
        <f t="shared" si="150"/>
        <v>2</v>
      </c>
      <c r="R2426" s="894">
        <f t="shared" si="151"/>
        <v>0</v>
      </c>
    </row>
    <row r="2427" spans="1:18">
      <c r="A2427" s="905"/>
      <c r="B2427" s="906"/>
      <c r="C2427" s="907">
        <v>740</v>
      </c>
      <c r="D2427" s="907" t="s">
        <v>12</v>
      </c>
      <c r="E2427" s="908" t="s">
        <v>4008</v>
      </c>
      <c r="F2427" s="909" t="s">
        <v>2674</v>
      </c>
      <c r="G2427" s="910"/>
      <c r="H2427" s="911">
        <v>6.51</v>
      </c>
      <c r="I2427" s="912"/>
      <c r="J2427" s="912"/>
      <c r="K2427" s="912">
        <f>VLOOKUP(E2427,ĐMNC!$A$7:$F$67,4,0)</f>
        <v>252714</v>
      </c>
      <c r="L2427" s="912">
        <f>H2427*K2427</f>
        <v>1645168.14</v>
      </c>
      <c r="M2427" s="912"/>
      <c r="N2427" s="912"/>
      <c r="O2427" s="892">
        <f t="shared" si="148"/>
        <v>0</v>
      </c>
      <c r="P2427" s="903">
        <f t="shared" si="149"/>
        <v>1</v>
      </c>
      <c r="Q2427" s="893">
        <f t="shared" si="150"/>
        <v>1</v>
      </c>
      <c r="R2427" s="894">
        <f t="shared" si="151"/>
        <v>0</v>
      </c>
    </row>
    <row r="2428" spans="1:18" s="847" customFormat="1" ht="31.5">
      <c r="A2428" s="905"/>
      <c r="B2428" s="914" t="s">
        <v>4744</v>
      </c>
      <c r="C2428" s="915"/>
      <c r="D2428" s="915"/>
      <c r="E2428" s="916" t="s">
        <v>4745</v>
      </c>
      <c r="F2428" s="917" t="s">
        <v>249</v>
      </c>
      <c r="G2428" s="918"/>
      <c r="H2428" s="919"/>
      <c r="I2428" s="920"/>
      <c r="J2428" s="891">
        <f>SUM(J2429:J2433)</f>
        <v>5720</v>
      </c>
      <c r="K2428" s="891"/>
      <c r="L2428" s="891">
        <f>SUM(L2429:L2433)</f>
        <v>1890300.7200000002</v>
      </c>
      <c r="M2428" s="891"/>
      <c r="N2428" s="891">
        <f>SUM(N2429:N2433)</f>
        <v>0</v>
      </c>
      <c r="O2428" s="892">
        <f t="shared" si="148"/>
        <v>1</v>
      </c>
      <c r="P2428" s="903">
        <f t="shared" si="149"/>
        <v>0</v>
      </c>
      <c r="Q2428" s="893">
        <f t="shared" si="150"/>
        <v>0</v>
      </c>
      <c r="R2428" s="894">
        <f t="shared" si="151"/>
        <v>5</v>
      </c>
    </row>
    <row r="2429" spans="1:18" s="904" customFormat="1">
      <c r="A2429" s="895"/>
      <c r="B2429" s="896"/>
      <c r="C2429" s="897"/>
      <c r="D2429" s="897"/>
      <c r="E2429" s="924" t="s">
        <v>108</v>
      </c>
      <c r="F2429" s="899"/>
      <c r="G2429" s="900"/>
      <c r="H2429" s="901"/>
      <c r="I2429" s="902"/>
      <c r="J2429" s="902"/>
      <c r="K2429" s="912" t="s">
        <v>274</v>
      </c>
      <c r="L2429" s="902"/>
      <c r="M2429" s="902"/>
      <c r="N2429" s="902"/>
      <c r="O2429" s="892">
        <f t="shared" si="148"/>
        <v>0</v>
      </c>
      <c r="P2429" s="903">
        <f t="shared" si="149"/>
        <v>1</v>
      </c>
      <c r="Q2429" s="893">
        <f t="shared" si="150"/>
        <v>5</v>
      </c>
      <c r="R2429" s="894">
        <f t="shared" si="151"/>
        <v>0</v>
      </c>
    </row>
    <row r="2430" spans="1:18">
      <c r="A2430" s="905"/>
      <c r="B2430" s="906"/>
      <c r="C2430" s="907">
        <v>66</v>
      </c>
      <c r="D2430" s="907" t="s">
        <v>279</v>
      </c>
      <c r="E2430" s="925" t="s">
        <v>2682</v>
      </c>
      <c r="F2430" s="926" t="s">
        <v>45</v>
      </c>
      <c r="G2430" s="910"/>
      <c r="H2430" s="911">
        <v>0.04</v>
      </c>
      <c r="I2430" s="912">
        <f>VLOOKUP(E2430,[3]VLP!$B$7:$K$300,10,0)</f>
        <v>5000</v>
      </c>
      <c r="J2430" s="912">
        <f>I2430*H2430</f>
        <v>200</v>
      </c>
      <c r="K2430" s="912" t="s">
        <v>274</v>
      </c>
      <c r="L2430" s="912"/>
      <c r="M2430" s="912"/>
      <c r="N2430" s="912"/>
      <c r="O2430" s="892">
        <f t="shared" si="148"/>
        <v>0</v>
      </c>
      <c r="P2430" s="903">
        <f t="shared" si="149"/>
        <v>1</v>
      </c>
      <c r="Q2430" s="893">
        <f t="shared" si="150"/>
        <v>4</v>
      </c>
      <c r="R2430" s="894">
        <f t="shared" si="151"/>
        <v>0</v>
      </c>
    </row>
    <row r="2431" spans="1:18">
      <c r="A2431" s="905"/>
      <c r="B2431" s="906"/>
      <c r="C2431" s="907">
        <v>44</v>
      </c>
      <c r="D2431" s="907" t="s">
        <v>279</v>
      </c>
      <c r="E2431" s="925" t="s">
        <v>2681</v>
      </c>
      <c r="F2431" s="926" t="s">
        <v>45</v>
      </c>
      <c r="G2431" s="910"/>
      <c r="H2431" s="911">
        <v>0.24</v>
      </c>
      <c r="I2431" s="912">
        <f>VLOOKUP(E2431,[3]VLP!$B$7:$K$300,10,0)</f>
        <v>23000</v>
      </c>
      <c r="J2431" s="912">
        <f>I2431*H2431</f>
        <v>5520</v>
      </c>
      <c r="K2431" s="912" t="s">
        <v>274</v>
      </c>
      <c r="L2431" s="912"/>
      <c r="M2431" s="912"/>
      <c r="N2431" s="912"/>
      <c r="O2431" s="892">
        <f t="shared" si="148"/>
        <v>0</v>
      </c>
      <c r="P2431" s="903">
        <f t="shared" si="149"/>
        <v>1</v>
      </c>
      <c r="Q2431" s="893">
        <f t="shared" si="150"/>
        <v>3</v>
      </c>
      <c r="R2431" s="894">
        <f t="shared" si="151"/>
        <v>0</v>
      </c>
    </row>
    <row r="2432" spans="1:18" s="904" customFormat="1">
      <c r="A2432" s="895"/>
      <c r="B2432" s="896"/>
      <c r="C2432" s="897"/>
      <c r="D2432" s="897"/>
      <c r="E2432" s="924" t="s">
        <v>276</v>
      </c>
      <c r="F2432" s="927"/>
      <c r="G2432" s="928"/>
      <c r="H2432" s="901"/>
      <c r="I2432" s="902"/>
      <c r="J2432" s="902"/>
      <c r="K2432" s="912" t="s">
        <v>274</v>
      </c>
      <c r="L2432" s="902"/>
      <c r="M2432" s="902"/>
      <c r="N2432" s="902"/>
      <c r="O2432" s="892">
        <f t="shared" si="148"/>
        <v>0</v>
      </c>
      <c r="P2432" s="903">
        <f t="shared" si="149"/>
        <v>1</v>
      </c>
      <c r="Q2432" s="893">
        <f t="shared" si="150"/>
        <v>2</v>
      </c>
      <c r="R2432" s="894">
        <f t="shared" si="151"/>
        <v>0</v>
      </c>
    </row>
    <row r="2433" spans="1:18">
      <c r="A2433" s="905"/>
      <c r="B2433" s="906"/>
      <c r="C2433" s="907">
        <v>740</v>
      </c>
      <c r="D2433" s="907" t="s">
        <v>12</v>
      </c>
      <c r="E2433" s="908" t="s">
        <v>4008</v>
      </c>
      <c r="F2433" s="909" t="s">
        <v>2674</v>
      </c>
      <c r="G2433" s="910"/>
      <c r="H2433" s="911">
        <v>7.48</v>
      </c>
      <c r="I2433" s="912"/>
      <c r="J2433" s="912"/>
      <c r="K2433" s="912">
        <f>VLOOKUP(E2433,ĐMNC!$A$7:$F$67,4,0)</f>
        <v>252714</v>
      </c>
      <c r="L2433" s="912">
        <f>H2433*K2433</f>
        <v>1890300.7200000002</v>
      </c>
      <c r="M2433" s="912"/>
      <c r="N2433" s="912"/>
      <c r="O2433" s="892">
        <f t="shared" si="148"/>
        <v>0</v>
      </c>
      <c r="P2433" s="903">
        <f t="shared" si="149"/>
        <v>1</v>
      </c>
      <c r="Q2433" s="893">
        <f t="shared" si="150"/>
        <v>1</v>
      </c>
      <c r="R2433" s="894">
        <f t="shared" si="151"/>
        <v>0</v>
      </c>
    </row>
    <row r="2434" spans="1:18" s="847" customFormat="1" ht="31.5">
      <c r="A2434" s="905"/>
      <c r="B2434" s="914" t="s">
        <v>4746</v>
      </c>
      <c r="C2434" s="915"/>
      <c r="D2434" s="915"/>
      <c r="E2434" s="916" t="s">
        <v>4747</v>
      </c>
      <c r="F2434" s="917" t="s">
        <v>249</v>
      </c>
      <c r="G2434" s="918"/>
      <c r="H2434" s="919"/>
      <c r="I2434" s="920"/>
      <c r="J2434" s="891">
        <f>SUM(J2435:J2439)</f>
        <v>6869.9999999999991</v>
      </c>
      <c r="K2434" s="891"/>
      <c r="L2434" s="891">
        <f>SUM(L2435:L2439)</f>
        <v>924933.24</v>
      </c>
      <c r="M2434" s="891"/>
      <c r="N2434" s="891">
        <f>SUM(N2435:N2439)</f>
        <v>0</v>
      </c>
      <c r="O2434" s="892">
        <f t="shared" si="148"/>
        <v>1</v>
      </c>
      <c r="P2434" s="903">
        <f t="shared" si="149"/>
        <v>0</v>
      </c>
      <c r="Q2434" s="893">
        <f t="shared" si="150"/>
        <v>0</v>
      </c>
      <c r="R2434" s="894">
        <f t="shared" si="151"/>
        <v>5</v>
      </c>
    </row>
    <row r="2435" spans="1:18" s="904" customFormat="1">
      <c r="A2435" s="895"/>
      <c r="B2435" s="922"/>
      <c r="C2435" s="897"/>
      <c r="D2435" s="897"/>
      <c r="E2435" s="924" t="s">
        <v>108</v>
      </c>
      <c r="F2435" s="899"/>
      <c r="G2435" s="900"/>
      <c r="H2435" s="901"/>
      <c r="I2435" s="902"/>
      <c r="J2435" s="902"/>
      <c r="K2435" s="912" t="s">
        <v>274</v>
      </c>
      <c r="L2435" s="902"/>
      <c r="M2435" s="902"/>
      <c r="N2435" s="902"/>
      <c r="O2435" s="892">
        <f t="shared" si="148"/>
        <v>0</v>
      </c>
      <c r="P2435" s="903">
        <f t="shared" si="149"/>
        <v>1</v>
      </c>
      <c r="Q2435" s="893">
        <f t="shared" si="150"/>
        <v>5</v>
      </c>
      <c r="R2435" s="894">
        <f t="shared" si="151"/>
        <v>0</v>
      </c>
    </row>
    <row r="2436" spans="1:18">
      <c r="A2436" s="905"/>
      <c r="B2436" s="906"/>
      <c r="C2436" s="907">
        <v>66</v>
      </c>
      <c r="D2436" s="907" t="s">
        <v>279</v>
      </c>
      <c r="E2436" s="925" t="s">
        <v>2682</v>
      </c>
      <c r="F2436" s="926" t="s">
        <v>45</v>
      </c>
      <c r="G2436" s="910"/>
      <c r="H2436" s="911">
        <v>0.04</v>
      </c>
      <c r="I2436" s="912">
        <f>VLOOKUP(E2436,[3]VLP!$B$7:$K$300,10,0)</f>
        <v>5000</v>
      </c>
      <c r="J2436" s="912">
        <f>I2436*H2436</f>
        <v>200</v>
      </c>
      <c r="K2436" s="912" t="s">
        <v>274</v>
      </c>
      <c r="L2436" s="912"/>
      <c r="M2436" s="912"/>
      <c r="N2436" s="912"/>
      <c r="O2436" s="892">
        <f t="shared" si="148"/>
        <v>0</v>
      </c>
      <c r="P2436" s="903">
        <f t="shared" si="149"/>
        <v>1</v>
      </c>
      <c r="Q2436" s="893">
        <f t="shared" si="150"/>
        <v>4</v>
      </c>
      <c r="R2436" s="894">
        <f t="shared" si="151"/>
        <v>0</v>
      </c>
    </row>
    <row r="2437" spans="1:18">
      <c r="A2437" s="905"/>
      <c r="B2437" s="906"/>
      <c r="C2437" s="907">
        <v>44</v>
      </c>
      <c r="D2437" s="907" t="s">
        <v>279</v>
      </c>
      <c r="E2437" s="925" t="s">
        <v>2681</v>
      </c>
      <c r="F2437" s="926" t="s">
        <v>45</v>
      </c>
      <c r="G2437" s="910"/>
      <c r="H2437" s="911">
        <v>0.28999999999999998</v>
      </c>
      <c r="I2437" s="912">
        <f>VLOOKUP(E2437,[3]VLP!$B$7:$K$300,10,0)</f>
        <v>23000</v>
      </c>
      <c r="J2437" s="912">
        <f>I2437*H2437</f>
        <v>6669.9999999999991</v>
      </c>
      <c r="K2437" s="912" t="s">
        <v>274</v>
      </c>
      <c r="L2437" s="912"/>
      <c r="M2437" s="912"/>
      <c r="N2437" s="912"/>
      <c r="O2437" s="892">
        <f t="shared" si="148"/>
        <v>0</v>
      </c>
      <c r="P2437" s="903">
        <f t="shared" si="149"/>
        <v>1</v>
      </c>
      <c r="Q2437" s="893">
        <f t="shared" si="150"/>
        <v>3</v>
      </c>
      <c r="R2437" s="894">
        <f t="shared" si="151"/>
        <v>0</v>
      </c>
    </row>
    <row r="2438" spans="1:18" s="904" customFormat="1">
      <c r="A2438" s="895"/>
      <c r="B2438" s="896"/>
      <c r="C2438" s="897"/>
      <c r="D2438" s="897"/>
      <c r="E2438" s="924" t="s">
        <v>276</v>
      </c>
      <c r="F2438" s="927"/>
      <c r="G2438" s="928"/>
      <c r="H2438" s="901"/>
      <c r="I2438" s="902"/>
      <c r="J2438" s="902"/>
      <c r="K2438" s="912" t="s">
        <v>274</v>
      </c>
      <c r="L2438" s="902"/>
      <c r="M2438" s="902"/>
      <c r="N2438" s="902"/>
      <c r="O2438" s="892">
        <f t="shared" si="148"/>
        <v>0</v>
      </c>
      <c r="P2438" s="903">
        <f t="shared" si="149"/>
        <v>1</v>
      </c>
      <c r="Q2438" s="893">
        <f t="shared" si="150"/>
        <v>2</v>
      </c>
      <c r="R2438" s="894">
        <f t="shared" si="151"/>
        <v>0</v>
      </c>
    </row>
    <row r="2439" spans="1:18">
      <c r="A2439" s="905"/>
      <c r="B2439" s="906"/>
      <c r="C2439" s="907">
        <v>740</v>
      </c>
      <c r="D2439" s="907" t="s">
        <v>12</v>
      </c>
      <c r="E2439" s="908" t="s">
        <v>4008</v>
      </c>
      <c r="F2439" s="909" t="s">
        <v>2674</v>
      </c>
      <c r="G2439" s="910"/>
      <c r="H2439" s="911">
        <v>3.66</v>
      </c>
      <c r="I2439" s="912"/>
      <c r="J2439" s="912"/>
      <c r="K2439" s="912">
        <f>VLOOKUP(E2439,ĐMNC!$A$7:$F$67,4,0)</f>
        <v>252714</v>
      </c>
      <c r="L2439" s="912">
        <f>H2439*K2439</f>
        <v>924933.24</v>
      </c>
      <c r="M2439" s="912"/>
      <c r="N2439" s="912"/>
      <c r="O2439" s="892">
        <f t="shared" si="148"/>
        <v>0</v>
      </c>
      <c r="P2439" s="903">
        <f t="shared" si="149"/>
        <v>1</v>
      </c>
      <c r="Q2439" s="893">
        <f t="shared" si="150"/>
        <v>1</v>
      </c>
      <c r="R2439" s="894">
        <f t="shared" si="151"/>
        <v>0</v>
      </c>
    </row>
    <row r="2440" spans="1:18" s="847" customFormat="1" ht="31.5">
      <c r="A2440" s="905"/>
      <c r="B2440" s="914" t="s">
        <v>4748</v>
      </c>
      <c r="C2440" s="915"/>
      <c r="D2440" s="915"/>
      <c r="E2440" s="916" t="s">
        <v>4749</v>
      </c>
      <c r="F2440" s="917" t="s">
        <v>249</v>
      </c>
      <c r="G2440" s="918"/>
      <c r="H2440" s="919"/>
      <c r="I2440" s="920"/>
      <c r="J2440" s="891">
        <f>SUM(J2441:J2445)</f>
        <v>6869.9999999999991</v>
      </c>
      <c r="K2440" s="891"/>
      <c r="L2440" s="891">
        <f>SUM(L2441:L2445)</f>
        <v>970421.76000000001</v>
      </c>
      <c r="M2440" s="891"/>
      <c r="N2440" s="891">
        <f>SUM(N2441:N2445)</f>
        <v>0</v>
      </c>
      <c r="O2440" s="892">
        <f t="shared" si="148"/>
        <v>1</v>
      </c>
      <c r="P2440" s="903">
        <f t="shared" si="149"/>
        <v>0</v>
      </c>
      <c r="Q2440" s="893">
        <f t="shared" si="150"/>
        <v>0</v>
      </c>
      <c r="R2440" s="894">
        <f t="shared" si="151"/>
        <v>5</v>
      </c>
    </row>
    <row r="2441" spans="1:18" s="904" customFormat="1">
      <c r="A2441" s="895"/>
      <c r="B2441" s="896"/>
      <c r="C2441" s="897"/>
      <c r="D2441" s="897"/>
      <c r="E2441" s="924" t="s">
        <v>108</v>
      </c>
      <c r="F2441" s="899"/>
      <c r="G2441" s="900"/>
      <c r="H2441" s="901"/>
      <c r="I2441" s="902"/>
      <c r="J2441" s="902"/>
      <c r="K2441" s="912" t="s">
        <v>274</v>
      </c>
      <c r="L2441" s="902"/>
      <c r="M2441" s="902"/>
      <c r="N2441" s="902"/>
      <c r="O2441" s="892">
        <f t="shared" ref="O2441:O2504" si="152">IF(AND(B2441&lt;&gt;"",D2441=""),1,0)</f>
        <v>0</v>
      </c>
      <c r="P2441" s="903">
        <f t="shared" si="149"/>
        <v>1</v>
      </c>
      <c r="Q2441" s="893">
        <f t="shared" si="150"/>
        <v>5</v>
      </c>
      <c r="R2441" s="894">
        <f t="shared" si="151"/>
        <v>0</v>
      </c>
    </row>
    <row r="2442" spans="1:18">
      <c r="A2442" s="905"/>
      <c r="B2442" s="906"/>
      <c r="C2442" s="907">
        <v>66</v>
      </c>
      <c r="D2442" s="907" t="s">
        <v>279</v>
      </c>
      <c r="E2442" s="925" t="s">
        <v>2682</v>
      </c>
      <c r="F2442" s="926" t="s">
        <v>45</v>
      </c>
      <c r="G2442" s="910"/>
      <c r="H2442" s="911">
        <v>0.04</v>
      </c>
      <c r="I2442" s="912">
        <f>VLOOKUP(E2442,[3]VLP!$B$7:$K$300,10,0)</f>
        <v>5000</v>
      </c>
      <c r="J2442" s="912">
        <f>I2442*H2442</f>
        <v>200</v>
      </c>
      <c r="K2442" s="912" t="s">
        <v>274</v>
      </c>
      <c r="L2442" s="912"/>
      <c r="M2442" s="912"/>
      <c r="N2442" s="912"/>
      <c r="O2442" s="892">
        <f t="shared" si="152"/>
        <v>0</v>
      </c>
      <c r="P2442" s="903">
        <f t="shared" si="149"/>
        <v>1</v>
      </c>
      <c r="Q2442" s="893">
        <f t="shared" si="150"/>
        <v>4</v>
      </c>
      <c r="R2442" s="894">
        <f t="shared" si="151"/>
        <v>0</v>
      </c>
    </row>
    <row r="2443" spans="1:18">
      <c r="A2443" s="905"/>
      <c r="B2443" s="906"/>
      <c r="C2443" s="907">
        <v>44</v>
      </c>
      <c r="D2443" s="907" t="s">
        <v>279</v>
      </c>
      <c r="E2443" s="925" t="s">
        <v>2681</v>
      </c>
      <c r="F2443" s="926" t="s">
        <v>45</v>
      </c>
      <c r="G2443" s="910"/>
      <c r="H2443" s="911">
        <v>0.28999999999999998</v>
      </c>
      <c r="I2443" s="912">
        <f>VLOOKUP(E2443,[3]VLP!$B$7:$K$300,10,0)</f>
        <v>23000</v>
      </c>
      <c r="J2443" s="912">
        <f>I2443*H2443</f>
        <v>6669.9999999999991</v>
      </c>
      <c r="K2443" s="912" t="s">
        <v>274</v>
      </c>
      <c r="L2443" s="912"/>
      <c r="M2443" s="912"/>
      <c r="N2443" s="912"/>
      <c r="O2443" s="892">
        <f t="shared" si="152"/>
        <v>0</v>
      </c>
      <c r="P2443" s="903">
        <f t="shared" si="149"/>
        <v>1</v>
      </c>
      <c r="Q2443" s="893">
        <f t="shared" si="150"/>
        <v>3</v>
      </c>
      <c r="R2443" s="894">
        <f t="shared" si="151"/>
        <v>0</v>
      </c>
    </row>
    <row r="2444" spans="1:18" s="904" customFormat="1">
      <c r="A2444" s="895"/>
      <c r="B2444" s="896"/>
      <c r="C2444" s="897"/>
      <c r="D2444" s="897"/>
      <c r="E2444" s="924" t="s">
        <v>276</v>
      </c>
      <c r="F2444" s="927"/>
      <c r="G2444" s="928"/>
      <c r="H2444" s="901"/>
      <c r="I2444" s="902"/>
      <c r="J2444" s="902"/>
      <c r="K2444" s="912" t="s">
        <v>274</v>
      </c>
      <c r="L2444" s="902"/>
      <c r="M2444" s="902"/>
      <c r="N2444" s="902"/>
      <c r="O2444" s="892">
        <f t="shared" si="152"/>
        <v>0</v>
      </c>
      <c r="P2444" s="903">
        <f t="shared" si="149"/>
        <v>1</v>
      </c>
      <c r="Q2444" s="893">
        <f t="shared" si="150"/>
        <v>2</v>
      </c>
      <c r="R2444" s="894">
        <f t="shared" si="151"/>
        <v>0</v>
      </c>
    </row>
    <row r="2445" spans="1:18">
      <c r="A2445" s="905"/>
      <c r="B2445" s="906"/>
      <c r="C2445" s="907">
        <v>740</v>
      </c>
      <c r="D2445" s="907" t="s">
        <v>12</v>
      </c>
      <c r="E2445" s="908" t="s">
        <v>4008</v>
      </c>
      <c r="F2445" s="909" t="s">
        <v>2674</v>
      </c>
      <c r="G2445" s="910"/>
      <c r="H2445" s="911">
        <v>3.84</v>
      </c>
      <c r="I2445" s="912"/>
      <c r="J2445" s="912"/>
      <c r="K2445" s="912">
        <f>VLOOKUP(E2445,ĐMNC!$A$7:$F$67,4,0)</f>
        <v>252714</v>
      </c>
      <c r="L2445" s="912">
        <f>H2445*K2445</f>
        <v>970421.76000000001</v>
      </c>
      <c r="M2445" s="912"/>
      <c r="N2445" s="912"/>
      <c r="O2445" s="892">
        <f t="shared" si="152"/>
        <v>0</v>
      </c>
      <c r="P2445" s="903">
        <f t="shared" si="149"/>
        <v>1</v>
      </c>
      <c r="Q2445" s="893">
        <f t="shared" si="150"/>
        <v>1</v>
      </c>
      <c r="R2445" s="894">
        <f t="shared" si="151"/>
        <v>0</v>
      </c>
    </row>
    <row r="2446" spans="1:18" s="847" customFormat="1" ht="31.5">
      <c r="A2446" s="905"/>
      <c r="B2446" s="914" t="s">
        <v>4750</v>
      </c>
      <c r="C2446" s="915"/>
      <c r="D2446" s="915"/>
      <c r="E2446" s="916" t="s">
        <v>4751</v>
      </c>
      <c r="F2446" s="917" t="s">
        <v>249</v>
      </c>
      <c r="G2446" s="918"/>
      <c r="H2446" s="919"/>
      <c r="I2446" s="920"/>
      <c r="J2446" s="891">
        <f>SUM(J2447:J2451)</f>
        <v>6869.9999999999991</v>
      </c>
      <c r="K2446" s="891"/>
      <c r="L2446" s="891">
        <f>SUM(L2447:L2451)</f>
        <v>1106887.32</v>
      </c>
      <c r="M2446" s="891"/>
      <c r="N2446" s="891">
        <f>SUM(N2447:N2451)</f>
        <v>0</v>
      </c>
      <c r="O2446" s="892">
        <f t="shared" si="152"/>
        <v>1</v>
      </c>
      <c r="P2446" s="903">
        <f t="shared" si="149"/>
        <v>0</v>
      </c>
      <c r="Q2446" s="893">
        <f t="shared" si="150"/>
        <v>0</v>
      </c>
      <c r="R2446" s="894">
        <f t="shared" si="151"/>
        <v>5</v>
      </c>
    </row>
    <row r="2447" spans="1:18" s="904" customFormat="1">
      <c r="A2447" s="895"/>
      <c r="B2447" s="896"/>
      <c r="C2447" s="897"/>
      <c r="D2447" s="897"/>
      <c r="E2447" s="924" t="s">
        <v>108</v>
      </c>
      <c r="F2447" s="899"/>
      <c r="G2447" s="900"/>
      <c r="H2447" s="901"/>
      <c r="I2447" s="902"/>
      <c r="J2447" s="902"/>
      <c r="K2447" s="912" t="s">
        <v>274</v>
      </c>
      <c r="L2447" s="902"/>
      <c r="M2447" s="902"/>
      <c r="N2447" s="902"/>
      <c r="O2447" s="892">
        <f t="shared" si="152"/>
        <v>0</v>
      </c>
      <c r="P2447" s="903">
        <f t="shared" si="149"/>
        <v>1</v>
      </c>
      <c r="Q2447" s="893">
        <f t="shared" si="150"/>
        <v>5</v>
      </c>
      <c r="R2447" s="894">
        <f t="shared" si="151"/>
        <v>0</v>
      </c>
    </row>
    <row r="2448" spans="1:18">
      <c r="A2448" s="905"/>
      <c r="B2448" s="906"/>
      <c r="C2448" s="907">
        <v>66</v>
      </c>
      <c r="D2448" s="907" t="s">
        <v>279</v>
      </c>
      <c r="E2448" s="925" t="s">
        <v>2682</v>
      </c>
      <c r="F2448" s="926" t="s">
        <v>45</v>
      </c>
      <c r="G2448" s="910"/>
      <c r="H2448" s="911">
        <v>0.04</v>
      </c>
      <c r="I2448" s="912">
        <f>VLOOKUP(E2448,[3]VLP!$B$7:$K$300,10,0)</f>
        <v>5000</v>
      </c>
      <c r="J2448" s="912">
        <f>I2448*H2448</f>
        <v>200</v>
      </c>
      <c r="K2448" s="912" t="s">
        <v>274</v>
      </c>
      <c r="L2448" s="912"/>
      <c r="M2448" s="912"/>
      <c r="N2448" s="912"/>
      <c r="O2448" s="892">
        <f t="shared" si="152"/>
        <v>0</v>
      </c>
      <c r="P2448" s="903">
        <f t="shared" si="149"/>
        <v>1</v>
      </c>
      <c r="Q2448" s="893">
        <f t="shared" si="150"/>
        <v>4</v>
      </c>
      <c r="R2448" s="894">
        <f t="shared" si="151"/>
        <v>0</v>
      </c>
    </row>
    <row r="2449" spans="1:18">
      <c r="A2449" s="905"/>
      <c r="B2449" s="906"/>
      <c r="C2449" s="907">
        <v>44</v>
      </c>
      <c r="D2449" s="907" t="s">
        <v>279</v>
      </c>
      <c r="E2449" s="925" t="s">
        <v>2681</v>
      </c>
      <c r="F2449" s="926" t="s">
        <v>45</v>
      </c>
      <c r="G2449" s="910"/>
      <c r="H2449" s="911">
        <v>0.28999999999999998</v>
      </c>
      <c r="I2449" s="912">
        <f>VLOOKUP(E2449,[3]VLP!$B$7:$K$300,10,0)</f>
        <v>23000</v>
      </c>
      <c r="J2449" s="912">
        <f>I2449*H2449</f>
        <v>6669.9999999999991</v>
      </c>
      <c r="K2449" s="912" t="s">
        <v>274</v>
      </c>
      <c r="L2449" s="912"/>
      <c r="M2449" s="912"/>
      <c r="N2449" s="912"/>
      <c r="O2449" s="892">
        <f t="shared" si="152"/>
        <v>0</v>
      </c>
      <c r="P2449" s="903">
        <f t="shared" si="149"/>
        <v>1</v>
      </c>
      <c r="Q2449" s="893">
        <f t="shared" si="150"/>
        <v>3</v>
      </c>
      <c r="R2449" s="894">
        <f t="shared" si="151"/>
        <v>0</v>
      </c>
    </row>
    <row r="2450" spans="1:18" s="904" customFormat="1">
      <c r="A2450" s="895"/>
      <c r="B2450" s="896"/>
      <c r="C2450" s="897"/>
      <c r="D2450" s="897"/>
      <c r="E2450" s="924" t="s">
        <v>276</v>
      </c>
      <c r="F2450" s="927"/>
      <c r="G2450" s="928"/>
      <c r="H2450" s="901"/>
      <c r="I2450" s="902"/>
      <c r="J2450" s="902"/>
      <c r="K2450" s="912" t="s">
        <v>274</v>
      </c>
      <c r="L2450" s="902"/>
      <c r="M2450" s="902"/>
      <c r="N2450" s="902"/>
      <c r="O2450" s="892">
        <f t="shared" si="152"/>
        <v>0</v>
      </c>
      <c r="P2450" s="903">
        <f t="shared" ref="P2450:P2513" si="153">IF(O2450=0,1,0)</f>
        <v>1</v>
      </c>
      <c r="Q2450" s="893">
        <f t="shared" ref="Q2450:Q2513" si="154">IF(P2450=0,0,P2450+Q2451)</f>
        <v>2</v>
      </c>
      <c r="R2450" s="894">
        <f t="shared" ref="R2450:R2513" si="155">IF(Q2450=0,Q2451,0)</f>
        <v>0</v>
      </c>
    </row>
    <row r="2451" spans="1:18">
      <c r="A2451" s="905"/>
      <c r="B2451" s="906"/>
      <c r="C2451" s="907">
        <v>740</v>
      </c>
      <c r="D2451" s="907" t="s">
        <v>12</v>
      </c>
      <c r="E2451" s="908" t="s">
        <v>4008</v>
      </c>
      <c r="F2451" s="909" t="s">
        <v>2674</v>
      </c>
      <c r="G2451" s="910"/>
      <c r="H2451" s="911">
        <v>4.38</v>
      </c>
      <c r="I2451" s="912"/>
      <c r="J2451" s="912"/>
      <c r="K2451" s="912">
        <f>VLOOKUP(E2451,ĐMNC!$A$7:$F$67,4,0)</f>
        <v>252714</v>
      </c>
      <c r="L2451" s="912">
        <f>H2451*K2451</f>
        <v>1106887.32</v>
      </c>
      <c r="M2451" s="912"/>
      <c r="N2451" s="912"/>
      <c r="O2451" s="892">
        <f t="shared" si="152"/>
        <v>0</v>
      </c>
      <c r="P2451" s="903">
        <f t="shared" si="153"/>
        <v>1</v>
      </c>
      <c r="Q2451" s="893">
        <f t="shared" si="154"/>
        <v>1</v>
      </c>
      <c r="R2451" s="894">
        <f t="shared" si="155"/>
        <v>0</v>
      </c>
    </row>
    <row r="2452" spans="1:18" s="847" customFormat="1" ht="31.5">
      <c r="A2452" s="905"/>
      <c r="B2452" s="914" t="s">
        <v>4752</v>
      </c>
      <c r="C2452" s="915"/>
      <c r="D2452" s="915"/>
      <c r="E2452" s="916" t="s">
        <v>4753</v>
      </c>
      <c r="F2452" s="917" t="s">
        <v>249</v>
      </c>
      <c r="G2452" s="918"/>
      <c r="H2452" s="919"/>
      <c r="I2452" s="920"/>
      <c r="J2452" s="891">
        <f>SUM(J2453:J2457)</f>
        <v>6869.9999999999991</v>
      </c>
      <c r="K2452" s="891"/>
      <c r="L2452" s="891">
        <f>SUM(L2453:L2457)</f>
        <v>1230717.18</v>
      </c>
      <c r="M2452" s="891"/>
      <c r="N2452" s="891">
        <f>SUM(N2453:N2457)</f>
        <v>0</v>
      </c>
      <c r="O2452" s="892">
        <f t="shared" si="152"/>
        <v>1</v>
      </c>
      <c r="P2452" s="903">
        <f t="shared" si="153"/>
        <v>0</v>
      </c>
      <c r="Q2452" s="893">
        <f t="shared" si="154"/>
        <v>0</v>
      </c>
      <c r="R2452" s="894">
        <f t="shared" si="155"/>
        <v>5</v>
      </c>
    </row>
    <row r="2453" spans="1:18" s="904" customFormat="1">
      <c r="A2453" s="895"/>
      <c r="B2453" s="896"/>
      <c r="C2453" s="897"/>
      <c r="D2453" s="897"/>
      <c r="E2453" s="924" t="s">
        <v>108</v>
      </c>
      <c r="F2453" s="899"/>
      <c r="G2453" s="900"/>
      <c r="H2453" s="901"/>
      <c r="I2453" s="902"/>
      <c r="J2453" s="902"/>
      <c r="K2453" s="912" t="s">
        <v>274</v>
      </c>
      <c r="L2453" s="902"/>
      <c r="M2453" s="902"/>
      <c r="N2453" s="902"/>
      <c r="O2453" s="892">
        <f t="shared" si="152"/>
        <v>0</v>
      </c>
      <c r="P2453" s="903">
        <f t="shared" si="153"/>
        <v>1</v>
      </c>
      <c r="Q2453" s="893">
        <f t="shared" si="154"/>
        <v>5</v>
      </c>
      <c r="R2453" s="894">
        <f t="shared" si="155"/>
        <v>0</v>
      </c>
    </row>
    <row r="2454" spans="1:18">
      <c r="A2454" s="905"/>
      <c r="B2454" s="906"/>
      <c r="C2454" s="907">
        <v>66</v>
      </c>
      <c r="D2454" s="907" t="s">
        <v>279</v>
      </c>
      <c r="E2454" s="925" t="s">
        <v>2682</v>
      </c>
      <c r="F2454" s="926" t="s">
        <v>45</v>
      </c>
      <c r="G2454" s="910"/>
      <c r="H2454" s="911">
        <v>0.04</v>
      </c>
      <c r="I2454" s="912">
        <f>VLOOKUP(E2454,[3]VLP!$B$7:$K$300,10,0)</f>
        <v>5000</v>
      </c>
      <c r="J2454" s="912">
        <f>I2454*H2454</f>
        <v>200</v>
      </c>
      <c r="K2454" s="912" t="s">
        <v>274</v>
      </c>
      <c r="L2454" s="912"/>
      <c r="M2454" s="912"/>
      <c r="N2454" s="912"/>
      <c r="O2454" s="892">
        <f t="shared" si="152"/>
        <v>0</v>
      </c>
      <c r="P2454" s="903">
        <f t="shared" si="153"/>
        <v>1</v>
      </c>
      <c r="Q2454" s="893">
        <f t="shared" si="154"/>
        <v>4</v>
      </c>
      <c r="R2454" s="894">
        <f t="shared" si="155"/>
        <v>0</v>
      </c>
    </row>
    <row r="2455" spans="1:18">
      <c r="A2455" s="905"/>
      <c r="B2455" s="906"/>
      <c r="C2455" s="907">
        <v>44</v>
      </c>
      <c r="D2455" s="907" t="s">
        <v>279</v>
      </c>
      <c r="E2455" s="925" t="s">
        <v>2681</v>
      </c>
      <c r="F2455" s="926" t="s">
        <v>45</v>
      </c>
      <c r="G2455" s="910"/>
      <c r="H2455" s="911">
        <v>0.28999999999999998</v>
      </c>
      <c r="I2455" s="912">
        <f>VLOOKUP(E2455,[3]VLP!$B$7:$K$300,10,0)</f>
        <v>23000</v>
      </c>
      <c r="J2455" s="912">
        <f>I2455*H2455</f>
        <v>6669.9999999999991</v>
      </c>
      <c r="K2455" s="912" t="s">
        <v>274</v>
      </c>
      <c r="L2455" s="912"/>
      <c r="M2455" s="912"/>
      <c r="N2455" s="912"/>
      <c r="O2455" s="892">
        <f t="shared" si="152"/>
        <v>0</v>
      </c>
      <c r="P2455" s="903">
        <f t="shared" si="153"/>
        <v>1</v>
      </c>
      <c r="Q2455" s="893">
        <f t="shared" si="154"/>
        <v>3</v>
      </c>
      <c r="R2455" s="894">
        <f t="shared" si="155"/>
        <v>0</v>
      </c>
    </row>
    <row r="2456" spans="1:18" s="904" customFormat="1">
      <c r="A2456" s="895"/>
      <c r="B2456" s="896"/>
      <c r="C2456" s="897"/>
      <c r="D2456" s="897"/>
      <c r="E2456" s="924" t="s">
        <v>276</v>
      </c>
      <c r="F2456" s="927"/>
      <c r="G2456" s="928"/>
      <c r="H2456" s="901"/>
      <c r="I2456" s="902"/>
      <c r="J2456" s="902"/>
      <c r="K2456" s="912" t="s">
        <v>274</v>
      </c>
      <c r="L2456" s="902"/>
      <c r="M2456" s="902"/>
      <c r="N2456" s="902"/>
      <c r="O2456" s="892">
        <f t="shared" si="152"/>
        <v>0</v>
      </c>
      <c r="P2456" s="903">
        <f t="shared" si="153"/>
        <v>1</v>
      </c>
      <c r="Q2456" s="893">
        <f t="shared" si="154"/>
        <v>2</v>
      </c>
      <c r="R2456" s="894">
        <f t="shared" si="155"/>
        <v>0</v>
      </c>
    </row>
    <row r="2457" spans="1:18">
      <c r="A2457" s="905"/>
      <c r="B2457" s="906"/>
      <c r="C2457" s="907">
        <v>740</v>
      </c>
      <c r="D2457" s="907" t="s">
        <v>12</v>
      </c>
      <c r="E2457" s="908" t="s">
        <v>4008</v>
      </c>
      <c r="F2457" s="909" t="s">
        <v>2674</v>
      </c>
      <c r="G2457" s="910"/>
      <c r="H2457" s="911">
        <v>4.87</v>
      </c>
      <c r="I2457" s="912"/>
      <c r="J2457" s="912"/>
      <c r="K2457" s="912">
        <f>VLOOKUP(E2457,ĐMNC!$A$7:$F$67,4,0)</f>
        <v>252714</v>
      </c>
      <c r="L2457" s="912">
        <f>H2457*K2457</f>
        <v>1230717.18</v>
      </c>
      <c r="M2457" s="912"/>
      <c r="N2457" s="912"/>
      <c r="O2457" s="892">
        <f t="shared" si="152"/>
        <v>0</v>
      </c>
      <c r="P2457" s="903">
        <f t="shared" si="153"/>
        <v>1</v>
      </c>
      <c r="Q2457" s="893">
        <f t="shared" si="154"/>
        <v>1</v>
      </c>
      <c r="R2457" s="894">
        <f t="shared" si="155"/>
        <v>0</v>
      </c>
    </row>
    <row r="2458" spans="1:18" s="847" customFormat="1" ht="31.5">
      <c r="A2458" s="905"/>
      <c r="B2458" s="914" t="s">
        <v>4754</v>
      </c>
      <c r="C2458" s="915"/>
      <c r="D2458" s="915"/>
      <c r="E2458" s="916" t="s">
        <v>4755</v>
      </c>
      <c r="F2458" s="917" t="s">
        <v>249</v>
      </c>
      <c r="G2458" s="918"/>
      <c r="H2458" s="919"/>
      <c r="I2458" s="920"/>
      <c r="J2458" s="891">
        <f>SUM(J2459:J2463)</f>
        <v>6869.9999999999991</v>
      </c>
      <c r="K2458" s="891"/>
      <c r="L2458" s="891">
        <f>SUM(L2459:L2463)</f>
        <v>1357074.18</v>
      </c>
      <c r="M2458" s="891"/>
      <c r="N2458" s="891">
        <f>SUM(N2459:N2463)</f>
        <v>0</v>
      </c>
      <c r="O2458" s="892">
        <f t="shared" si="152"/>
        <v>1</v>
      </c>
      <c r="P2458" s="903">
        <f t="shared" si="153"/>
        <v>0</v>
      </c>
      <c r="Q2458" s="893">
        <f t="shared" si="154"/>
        <v>0</v>
      </c>
      <c r="R2458" s="894">
        <f t="shared" si="155"/>
        <v>5</v>
      </c>
    </row>
    <row r="2459" spans="1:18" s="904" customFormat="1">
      <c r="A2459" s="895"/>
      <c r="B2459" s="896"/>
      <c r="C2459" s="897"/>
      <c r="D2459" s="897"/>
      <c r="E2459" s="924" t="s">
        <v>108</v>
      </c>
      <c r="F2459" s="899"/>
      <c r="G2459" s="900"/>
      <c r="H2459" s="901"/>
      <c r="I2459" s="902"/>
      <c r="J2459" s="902"/>
      <c r="K2459" s="912" t="s">
        <v>274</v>
      </c>
      <c r="L2459" s="902"/>
      <c r="M2459" s="902"/>
      <c r="N2459" s="902"/>
      <c r="O2459" s="892">
        <f t="shared" si="152"/>
        <v>0</v>
      </c>
      <c r="P2459" s="903">
        <f t="shared" si="153"/>
        <v>1</v>
      </c>
      <c r="Q2459" s="893">
        <f t="shared" si="154"/>
        <v>5</v>
      </c>
      <c r="R2459" s="894">
        <f t="shared" si="155"/>
        <v>0</v>
      </c>
    </row>
    <row r="2460" spans="1:18">
      <c r="A2460" s="905"/>
      <c r="B2460" s="906"/>
      <c r="C2460" s="907">
        <v>66</v>
      </c>
      <c r="D2460" s="907" t="s">
        <v>279</v>
      </c>
      <c r="E2460" s="925" t="s">
        <v>2682</v>
      </c>
      <c r="F2460" s="926" t="s">
        <v>45</v>
      </c>
      <c r="G2460" s="910"/>
      <c r="H2460" s="911">
        <v>0.04</v>
      </c>
      <c r="I2460" s="912">
        <f>VLOOKUP(E2460,[3]VLP!$B$7:$K$300,10,0)</f>
        <v>5000</v>
      </c>
      <c r="J2460" s="912">
        <f>I2460*H2460</f>
        <v>200</v>
      </c>
      <c r="K2460" s="912" t="s">
        <v>274</v>
      </c>
      <c r="L2460" s="912"/>
      <c r="M2460" s="912"/>
      <c r="N2460" s="912"/>
      <c r="O2460" s="892">
        <f t="shared" si="152"/>
        <v>0</v>
      </c>
      <c r="P2460" s="903">
        <f t="shared" si="153"/>
        <v>1</v>
      </c>
      <c r="Q2460" s="893">
        <f t="shared" si="154"/>
        <v>4</v>
      </c>
      <c r="R2460" s="894">
        <f t="shared" si="155"/>
        <v>0</v>
      </c>
    </row>
    <row r="2461" spans="1:18">
      <c r="A2461" s="905"/>
      <c r="B2461" s="906"/>
      <c r="C2461" s="907">
        <v>44</v>
      </c>
      <c r="D2461" s="907" t="s">
        <v>279</v>
      </c>
      <c r="E2461" s="925" t="s">
        <v>2681</v>
      </c>
      <c r="F2461" s="926" t="s">
        <v>45</v>
      </c>
      <c r="G2461" s="910"/>
      <c r="H2461" s="911">
        <v>0.28999999999999998</v>
      </c>
      <c r="I2461" s="912">
        <f>VLOOKUP(E2461,[3]VLP!$B$7:$K$300,10,0)</f>
        <v>23000</v>
      </c>
      <c r="J2461" s="912">
        <f>I2461*H2461</f>
        <v>6669.9999999999991</v>
      </c>
      <c r="K2461" s="912" t="s">
        <v>274</v>
      </c>
      <c r="L2461" s="912"/>
      <c r="M2461" s="912"/>
      <c r="N2461" s="912"/>
      <c r="O2461" s="892">
        <f t="shared" si="152"/>
        <v>0</v>
      </c>
      <c r="P2461" s="903">
        <f t="shared" si="153"/>
        <v>1</v>
      </c>
      <c r="Q2461" s="893">
        <f t="shared" si="154"/>
        <v>3</v>
      </c>
      <c r="R2461" s="894">
        <f t="shared" si="155"/>
        <v>0</v>
      </c>
    </row>
    <row r="2462" spans="1:18" s="904" customFormat="1">
      <c r="A2462" s="895"/>
      <c r="B2462" s="896"/>
      <c r="C2462" s="897"/>
      <c r="D2462" s="897"/>
      <c r="E2462" s="924" t="s">
        <v>276</v>
      </c>
      <c r="F2462" s="927"/>
      <c r="G2462" s="928"/>
      <c r="H2462" s="901"/>
      <c r="I2462" s="902"/>
      <c r="J2462" s="902"/>
      <c r="K2462" s="912" t="s">
        <v>274</v>
      </c>
      <c r="L2462" s="902"/>
      <c r="M2462" s="902"/>
      <c r="N2462" s="902"/>
      <c r="O2462" s="892">
        <f t="shared" si="152"/>
        <v>0</v>
      </c>
      <c r="P2462" s="903">
        <f t="shared" si="153"/>
        <v>1</v>
      </c>
      <c r="Q2462" s="893">
        <f t="shared" si="154"/>
        <v>2</v>
      </c>
      <c r="R2462" s="894">
        <f t="shared" si="155"/>
        <v>0</v>
      </c>
    </row>
    <row r="2463" spans="1:18">
      <c r="A2463" s="905"/>
      <c r="B2463" s="906"/>
      <c r="C2463" s="907">
        <v>740</v>
      </c>
      <c r="D2463" s="907" t="s">
        <v>12</v>
      </c>
      <c r="E2463" s="908" t="s">
        <v>4008</v>
      </c>
      <c r="F2463" s="909" t="s">
        <v>2674</v>
      </c>
      <c r="G2463" s="910"/>
      <c r="H2463" s="911">
        <v>5.37</v>
      </c>
      <c r="I2463" s="912"/>
      <c r="J2463" s="912"/>
      <c r="K2463" s="912">
        <f>VLOOKUP(E2463,ĐMNC!$A$7:$F$67,4,0)</f>
        <v>252714</v>
      </c>
      <c r="L2463" s="912">
        <f>H2463*K2463</f>
        <v>1357074.18</v>
      </c>
      <c r="M2463" s="912"/>
      <c r="N2463" s="912"/>
      <c r="O2463" s="892">
        <f t="shared" si="152"/>
        <v>0</v>
      </c>
      <c r="P2463" s="903">
        <f t="shared" si="153"/>
        <v>1</v>
      </c>
      <c r="Q2463" s="893">
        <f t="shared" si="154"/>
        <v>1</v>
      </c>
      <c r="R2463" s="894">
        <f t="shared" si="155"/>
        <v>0</v>
      </c>
    </row>
    <row r="2464" spans="1:18" s="847" customFormat="1" ht="31.5">
      <c r="A2464" s="905"/>
      <c r="B2464" s="914" t="s">
        <v>4756</v>
      </c>
      <c r="C2464" s="915"/>
      <c r="D2464" s="915"/>
      <c r="E2464" s="916" t="s">
        <v>4755</v>
      </c>
      <c r="F2464" s="917" t="s">
        <v>249</v>
      </c>
      <c r="G2464" s="918"/>
      <c r="H2464" s="919"/>
      <c r="I2464" s="920"/>
      <c r="J2464" s="891">
        <f>SUM(J2465:J2469)</f>
        <v>6869.9999999999991</v>
      </c>
      <c r="K2464" s="891"/>
      <c r="L2464" s="891">
        <f>SUM(L2465:L2469)</f>
        <v>1491012.6</v>
      </c>
      <c r="M2464" s="891"/>
      <c r="N2464" s="891">
        <f>SUM(N2465:N2469)</f>
        <v>0</v>
      </c>
      <c r="O2464" s="892">
        <f t="shared" si="152"/>
        <v>1</v>
      </c>
      <c r="P2464" s="903">
        <f t="shared" si="153"/>
        <v>0</v>
      </c>
      <c r="Q2464" s="893">
        <f t="shared" si="154"/>
        <v>0</v>
      </c>
      <c r="R2464" s="894">
        <f t="shared" si="155"/>
        <v>5</v>
      </c>
    </row>
    <row r="2465" spans="1:18" s="904" customFormat="1">
      <c r="A2465" s="895"/>
      <c r="B2465" s="896"/>
      <c r="C2465" s="897"/>
      <c r="D2465" s="897"/>
      <c r="E2465" s="924" t="s">
        <v>108</v>
      </c>
      <c r="F2465" s="899"/>
      <c r="G2465" s="900"/>
      <c r="H2465" s="901"/>
      <c r="I2465" s="902"/>
      <c r="J2465" s="902"/>
      <c r="K2465" s="912" t="s">
        <v>274</v>
      </c>
      <c r="L2465" s="902"/>
      <c r="M2465" s="902"/>
      <c r="N2465" s="902"/>
      <c r="O2465" s="892">
        <f t="shared" si="152"/>
        <v>0</v>
      </c>
      <c r="P2465" s="903">
        <f t="shared" si="153"/>
        <v>1</v>
      </c>
      <c r="Q2465" s="893">
        <f t="shared" si="154"/>
        <v>5</v>
      </c>
      <c r="R2465" s="894">
        <f t="shared" si="155"/>
        <v>0</v>
      </c>
    </row>
    <row r="2466" spans="1:18">
      <c r="A2466" s="905"/>
      <c r="B2466" s="906"/>
      <c r="C2466" s="907">
        <v>66</v>
      </c>
      <c r="D2466" s="907" t="s">
        <v>279</v>
      </c>
      <c r="E2466" s="925" t="s">
        <v>2682</v>
      </c>
      <c r="F2466" s="926" t="s">
        <v>45</v>
      </c>
      <c r="G2466" s="910"/>
      <c r="H2466" s="911">
        <v>0.04</v>
      </c>
      <c r="I2466" s="912">
        <f>VLOOKUP(E2466,[3]VLP!$B$7:$K$300,10,0)</f>
        <v>5000</v>
      </c>
      <c r="J2466" s="912">
        <f>I2466*H2466</f>
        <v>200</v>
      </c>
      <c r="K2466" s="912" t="s">
        <v>274</v>
      </c>
      <c r="L2466" s="912"/>
      <c r="M2466" s="912"/>
      <c r="N2466" s="912"/>
      <c r="O2466" s="892">
        <f t="shared" si="152"/>
        <v>0</v>
      </c>
      <c r="P2466" s="903">
        <f t="shared" si="153"/>
        <v>1</v>
      </c>
      <c r="Q2466" s="893">
        <f t="shared" si="154"/>
        <v>4</v>
      </c>
      <c r="R2466" s="894">
        <f t="shared" si="155"/>
        <v>0</v>
      </c>
    </row>
    <row r="2467" spans="1:18">
      <c r="A2467" s="905"/>
      <c r="B2467" s="906"/>
      <c r="C2467" s="907">
        <v>44</v>
      </c>
      <c r="D2467" s="907" t="s">
        <v>279</v>
      </c>
      <c r="E2467" s="925" t="s">
        <v>2681</v>
      </c>
      <c r="F2467" s="926" t="s">
        <v>45</v>
      </c>
      <c r="G2467" s="910"/>
      <c r="H2467" s="911">
        <v>0.28999999999999998</v>
      </c>
      <c r="I2467" s="912">
        <f>VLOOKUP(E2467,[3]VLP!$B$7:$K$300,10,0)</f>
        <v>23000</v>
      </c>
      <c r="J2467" s="912">
        <f>I2467*H2467</f>
        <v>6669.9999999999991</v>
      </c>
      <c r="K2467" s="912" t="s">
        <v>274</v>
      </c>
      <c r="L2467" s="912"/>
      <c r="M2467" s="912"/>
      <c r="N2467" s="912"/>
      <c r="O2467" s="892">
        <f t="shared" si="152"/>
        <v>0</v>
      </c>
      <c r="P2467" s="903">
        <f t="shared" si="153"/>
        <v>1</v>
      </c>
      <c r="Q2467" s="893">
        <f t="shared" si="154"/>
        <v>3</v>
      </c>
      <c r="R2467" s="894">
        <f t="shared" si="155"/>
        <v>0</v>
      </c>
    </row>
    <row r="2468" spans="1:18" s="904" customFormat="1">
      <c r="A2468" s="895"/>
      <c r="B2468" s="896"/>
      <c r="C2468" s="897"/>
      <c r="D2468" s="897"/>
      <c r="E2468" s="924" t="s">
        <v>276</v>
      </c>
      <c r="F2468" s="927"/>
      <c r="G2468" s="928"/>
      <c r="H2468" s="901"/>
      <c r="I2468" s="902"/>
      <c r="J2468" s="902"/>
      <c r="K2468" s="912" t="s">
        <v>274</v>
      </c>
      <c r="L2468" s="902"/>
      <c r="M2468" s="902"/>
      <c r="N2468" s="902"/>
      <c r="O2468" s="892">
        <f t="shared" si="152"/>
        <v>0</v>
      </c>
      <c r="P2468" s="903">
        <f t="shared" si="153"/>
        <v>1</v>
      </c>
      <c r="Q2468" s="893">
        <f t="shared" si="154"/>
        <v>2</v>
      </c>
      <c r="R2468" s="894">
        <f t="shared" si="155"/>
        <v>0</v>
      </c>
    </row>
    <row r="2469" spans="1:18">
      <c r="A2469" s="905"/>
      <c r="B2469" s="906"/>
      <c r="C2469" s="907">
        <v>740</v>
      </c>
      <c r="D2469" s="907" t="s">
        <v>12</v>
      </c>
      <c r="E2469" s="908" t="s">
        <v>4008</v>
      </c>
      <c r="F2469" s="909" t="s">
        <v>2674</v>
      </c>
      <c r="G2469" s="910"/>
      <c r="H2469" s="911">
        <v>5.9</v>
      </c>
      <c r="I2469" s="912"/>
      <c r="J2469" s="912"/>
      <c r="K2469" s="912">
        <f>VLOOKUP(E2469,ĐMNC!$A$7:$F$67,4,0)</f>
        <v>252714</v>
      </c>
      <c r="L2469" s="912">
        <f>H2469*K2469</f>
        <v>1491012.6</v>
      </c>
      <c r="M2469" s="912"/>
      <c r="N2469" s="912"/>
      <c r="O2469" s="892">
        <f t="shared" si="152"/>
        <v>0</v>
      </c>
      <c r="P2469" s="903">
        <f t="shared" si="153"/>
        <v>1</v>
      </c>
      <c r="Q2469" s="893">
        <f t="shared" si="154"/>
        <v>1</v>
      </c>
      <c r="R2469" s="894">
        <f t="shared" si="155"/>
        <v>0</v>
      </c>
    </row>
    <row r="2470" spans="1:18" s="847" customFormat="1" ht="31.5">
      <c r="A2470" s="905"/>
      <c r="B2470" s="914" t="s">
        <v>4757</v>
      </c>
      <c r="C2470" s="915"/>
      <c r="D2470" s="915"/>
      <c r="E2470" s="916" t="s">
        <v>4758</v>
      </c>
      <c r="F2470" s="917" t="s">
        <v>249</v>
      </c>
      <c r="G2470" s="918"/>
      <c r="H2470" s="919"/>
      <c r="I2470" s="920"/>
      <c r="J2470" s="891">
        <f>SUM(J2471:J2475)</f>
        <v>6869.9999999999991</v>
      </c>
      <c r="K2470" s="891"/>
      <c r="L2470" s="891">
        <f>SUM(L2471:L2475)</f>
        <v>1715928.06</v>
      </c>
      <c r="M2470" s="891"/>
      <c r="N2470" s="891">
        <f>SUM(N2471:N2475)</f>
        <v>0</v>
      </c>
      <c r="O2470" s="892">
        <f t="shared" si="152"/>
        <v>1</v>
      </c>
      <c r="P2470" s="903">
        <f t="shared" si="153"/>
        <v>0</v>
      </c>
      <c r="Q2470" s="893">
        <f t="shared" si="154"/>
        <v>0</v>
      </c>
      <c r="R2470" s="894">
        <f t="shared" si="155"/>
        <v>5</v>
      </c>
    </row>
    <row r="2471" spans="1:18" s="904" customFormat="1">
      <c r="A2471" s="895"/>
      <c r="B2471" s="896"/>
      <c r="C2471" s="897"/>
      <c r="D2471" s="897"/>
      <c r="E2471" s="924" t="s">
        <v>108</v>
      </c>
      <c r="F2471" s="899"/>
      <c r="G2471" s="900"/>
      <c r="H2471" s="901"/>
      <c r="I2471" s="902"/>
      <c r="J2471" s="902"/>
      <c r="K2471" s="912" t="s">
        <v>274</v>
      </c>
      <c r="L2471" s="902"/>
      <c r="M2471" s="902"/>
      <c r="N2471" s="902"/>
      <c r="O2471" s="892">
        <f t="shared" si="152"/>
        <v>0</v>
      </c>
      <c r="P2471" s="903">
        <f t="shared" si="153"/>
        <v>1</v>
      </c>
      <c r="Q2471" s="893">
        <f t="shared" si="154"/>
        <v>5</v>
      </c>
      <c r="R2471" s="894">
        <f t="shared" si="155"/>
        <v>0</v>
      </c>
    </row>
    <row r="2472" spans="1:18">
      <c r="A2472" s="905"/>
      <c r="B2472" s="906"/>
      <c r="C2472" s="907">
        <v>66</v>
      </c>
      <c r="D2472" s="907" t="s">
        <v>279</v>
      </c>
      <c r="E2472" s="925" t="s">
        <v>2682</v>
      </c>
      <c r="F2472" s="926" t="s">
        <v>45</v>
      </c>
      <c r="G2472" s="910"/>
      <c r="H2472" s="911">
        <v>0.04</v>
      </c>
      <c r="I2472" s="912">
        <f>VLOOKUP(E2472,[3]VLP!$B$7:$K$300,10,0)</f>
        <v>5000</v>
      </c>
      <c r="J2472" s="912">
        <f>I2472*H2472</f>
        <v>200</v>
      </c>
      <c r="K2472" s="912" t="s">
        <v>274</v>
      </c>
      <c r="L2472" s="912"/>
      <c r="M2472" s="912"/>
      <c r="N2472" s="912"/>
      <c r="O2472" s="892">
        <f t="shared" si="152"/>
        <v>0</v>
      </c>
      <c r="P2472" s="903">
        <f t="shared" si="153"/>
        <v>1</v>
      </c>
      <c r="Q2472" s="893">
        <f t="shared" si="154"/>
        <v>4</v>
      </c>
      <c r="R2472" s="894">
        <f t="shared" si="155"/>
        <v>0</v>
      </c>
    </row>
    <row r="2473" spans="1:18">
      <c r="A2473" s="905"/>
      <c r="B2473" s="906"/>
      <c r="C2473" s="907">
        <v>44</v>
      </c>
      <c r="D2473" s="907" t="s">
        <v>279</v>
      </c>
      <c r="E2473" s="925" t="s">
        <v>2681</v>
      </c>
      <c r="F2473" s="926" t="s">
        <v>45</v>
      </c>
      <c r="G2473" s="910"/>
      <c r="H2473" s="911">
        <v>0.28999999999999998</v>
      </c>
      <c r="I2473" s="912">
        <f>VLOOKUP(E2473,[3]VLP!$B$7:$K$300,10,0)</f>
        <v>23000</v>
      </c>
      <c r="J2473" s="912">
        <f>I2473*H2473</f>
        <v>6669.9999999999991</v>
      </c>
      <c r="K2473" s="912" t="s">
        <v>274</v>
      </c>
      <c r="L2473" s="912"/>
      <c r="M2473" s="912"/>
      <c r="N2473" s="912"/>
      <c r="O2473" s="892">
        <f t="shared" si="152"/>
        <v>0</v>
      </c>
      <c r="P2473" s="903">
        <f t="shared" si="153"/>
        <v>1</v>
      </c>
      <c r="Q2473" s="893">
        <f t="shared" si="154"/>
        <v>3</v>
      </c>
      <c r="R2473" s="894">
        <f t="shared" si="155"/>
        <v>0</v>
      </c>
    </row>
    <row r="2474" spans="1:18" s="904" customFormat="1">
      <c r="A2474" s="895"/>
      <c r="B2474" s="896"/>
      <c r="C2474" s="897"/>
      <c r="D2474" s="897"/>
      <c r="E2474" s="924" t="s">
        <v>276</v>
      </c>
      <c r="F2474" s="927"/>
      <c r="G2474" s="928"/>
      <c r="H2474" s="901"/>
      <c r="I2474" s="902"/>
      <c r="J2474" s="902"/>
      <c r="K2474" s="912" t="s">
        <v>274</v>
      </c>
      <c r="L2474" s="902"/>
      <c r="M2474" s="902"/>
      <c r="N2474" s="902"/>
      <c r="O2474" s="892">
        <f t="shared" si="152"/>
        <v>0</v>
      </c>
      <c r="P2474" s="903">
        <f t="shared" si="153"/>
        <v>1</v>
      </c>
      <c r="Q2474" s="893">
        <f t="shared" si="154"/>
        <v>2</v>
      </c>
      <c r="R2474" s="894">
        <f t="shared" si="155"/>
        <v>0</v>
      </c>
    </row>
    <row r="2475" spans="1:18">
      <c r="A2475" s="905"/>
      <c r="B2475" s="906"/>
      <c r="C2475" s="907">
        <v>740</v>
      </c>
      <c r="D2475" s="907" t="s">
        <v>12</v>
      </c>
      <c r="E2475" s="908" t="s">
        <v>4008</v>
      </c>
      <c r="F2475" s="909" t="s">
        <v>2674</v>
      </c>
      <c r="G2475" s="910"/>
      <c r="H2475" s="911">
        <v>6.79</v>
      </c>
      <c r="I2475" s="912"/>
      <c r="J2475" s="912"/>
      <c r="K2475" s="912">
        <f>VLOOKUP(E2475,ĐMNC!$A$7:$F$67,4,0)</f>
        <v>252714</v>
      </c>
      <c r="L2475" s="912">
        <f>H2475*K2475</f>
        <v>1715928.06</v>
      </c>
      <c r="M2475" s="912"/>
      <c r="N2475" s="912"/>
      <c r="O2475" s="892">
        <f t="shared" si="152"/>
        <v>0</v>
      </c>
      <c r="P2475" s="903">
        <f t="shared" si="153"/>
        <v>1</v>
      </c>
      <c r="Q2475" s="893">
        <f t="shared" si="154"/>
        <v>1</v>
      </c>
      <c r="R2475" s="894">
        <f t="shared" si="155"/>
        <v>0</v>
      </c>
    </row>
    <row r="2476" spans="1:18" s="847" customFormat="1" ht="31.5">
      <c r="A2476" s="905"/>
      <c r="B2476" s="914" t="s">
        <v>4759</v>
      </c>
      <c r="C2476" s="915"/>
      <c r="D2476" s="915"/>
      <c r="E2476" s="916" t="s">
        <v>4760</v>
      </c>
      <c r="F2476" s="917" t="s">
        <v>249</v>
      </c>
      <c r="G2476" s="918"/>
      <c r="H2476" s="919"/>
      <c r="I2476" s="920"/>
      <c r="J2476" s="891">
        <f>SUM(J2477:J2481)</f>
        <v>6869.9999999999991</v>
      </c>
      <c r="K2476" s="891"/>
      <c r="L2476" s="891">
        <f>SUM(L2477:L2481)</f>
        <v>1971169.2</v>
      </c>
      <c r="M2476" s="891"/>
      <c r="N2476" s="891">
        <f>SUM(N2477:N2481)</f>
        <v>0</v>
      </c>
      <c r="O2476" s="892">
        <f t="shared" si="152"/>
        <v>1</v>
      </c>
      <c r="P2476" s="903">
        <f t="shared" si="153"/>
        <v>0</v>
      </c>
      <c r="Q2476" s="893">
        <f t="shared" si="154"/>
        <v>0</v>
      </c>
      <c r="R2476" s="894">
        <f t="shared" si="155"/>
        <v>5</v>
      </c>
    </row>
    <row r="2477" spans="1:18" s="904" customFormat="1">
      <c r="A2477" s="895"/>
      <c r="B2477" s="896"/>
      <c r="C2477" s="897"/>
      <c r="D2477" s="897"/>
      <c r="E2477" s="924" t="s">
        <v>108</v>
      </c>
      <c r="F2477" s="899"/>
      <c r="G2477" s="900"/>
      <c r="H2477" s="901"/>
      <c r="I2477" s="902"/>
      <c r="J2477" s="902"/>
      <c r="K2477" s="912" t="s">
        <v>274</v>
      </c>
      <c r="L2477" s="902"/>
      <c r="M2477" s="902"/>
      <c r="N2477" s="902"/>
      <c r="O2477" s="892">
        <f t="shared" si="152"/>
        <v>0</v>
      </c>
      <c r="P2477" s="903">
        <f t="shared" si="153"/>
        <v>1</v>
      </c>
      <c r="Q2477" s="893">
        <f t="shared" si="154"/>
        <v>5</v>
      </c>
      <c r="R2477" s="894">
        <f t="shared" si="155"/>
        <v>0</v>
      </c>
    </row>
    <row r="2478" spans="1:18">
      <c r="A2478" s="905"/>
      <c r="B2478" s="906"/>
      <c r="C2478" s="907">
        <v>66</v>
      </c>
      <c r="D2478" s="907" t="s">
        <v>279</v>
      </c>
      <c r="E2478" s="925" t="s">
        <v>2682</v>
      </c>
      <c r="F2478" s="926" t="s">
        <v>45</v>
      </c>
      <c r="G2478" s="910"/>
      <c r="H2478" s="911">
        <v>0.04</v>
      </c>
      <c r="I2478" s="912">
        <f>VLOOKUP(E2478,[3]VLP!$B$7:$K$300,10,0)</f>
        <v>5000</v>
      </c>
      <c r="J2478" s="912">
        <f>I2478*H2478</f>
        <v>200</v>
      </c>
      <c r="K2478" s="912" t="s">
        <v>274</v>
      </c>
      <c r="L2478" s="912"/>
      <c r="M2478" s="912"/>
      <c r="N2478" s="912"/>
      <c r="O2478" s="892">
        <f t="shared" si="152"/>
        <v>0</v>
      </c>
      <c r="P2478" s="903">
        <f t="shared" si="153"/>
        <v>1</v>
      </c>
      <c r="Q2478" s="893">
        <f t="shared" si="154"/>
        <v>4</v>
      </c>
      <c r="R2478" s="894">
        <f t="shared" si="155"/>
        <v>0</v>
      </c>
    </row>
    <row r="2479" spans="1:18">
      <c r="A2479" s="905"/>
      <c r="B2479" s="906"/>
      <c r="C2479" s="907">
        <v>44</v>
      </c>
      <c r="D2479" s="907" t="s">
        <v>279</v>
      </c>
      <c r="E2479" s="925" t="s">
        <v>2681</v>
      </c>
      <c r="F2479" s="926" t="s">
        <v>45</v>
      </c>
      <c r="G2479" s="910"/>
      <c r="H2479" s="911">
        <v>0.28999999999999998</v>
      </c>
      <c r="I2479" s="912">
        <f>VLOOKUP(E2479,[3]VLP!$B$7:$K$300,10,0)</f>
        <v>23000</v>
      </c>
      <c r="J2479" s="912">
        <f>I2479*H2479</f>
        <v>6669.9999999999991</v>
      </c>
      <c r="K2479" s="912" t="s">
        <v>274</v>
      </c>
      <c r="L2479" s="912"/>
      <c r="M2479" s="912"/>
      <c r="N2479" s="912"/>
      <c r="O2479" s="892">
        <f t="shared" si="152"/>
        <v>0</v>
      </c>
      <c r="P2479" s="903">
        <f t="shared" si="153"/>
        <v>1</v>
      </c>
      <c r="Q2479" s="893">
        <f t="shared" si="154"/>
        <v>3</v>
      </c>
      <c r="R2479" s="894">
        <f t="shared" si="155"/>
        <v>0</v>
      </c>
    </row>
    <row r="2480" spans="1:18" s="904" customFormat="1">
      <c r="A2480" s="895"/>
      <c r="B2480" s="896"/>
      <c r="C2480" s="897"/>
      <c r="D2480" s="897"/>
      <c r="E2480" s="924" t="s">
        <v>276</v>
      </c>
      <c r="F2480" s="927"/>
      <c r="G2480" s="928"/>
      <c r="H2480" s="901"/>
      <c r="I2480" s="902"/>
      <c r="J2480" s="902"/>
      <c r="K2480" s="912" t="s">
        <v>274</v>
      </c>
      <c r="L2480" s="902"/>
      <c r="M2480" s="902"/>
      <c r="N2480" s="902"/>
      <c r="O2480" s="892">
        <f t="shared" si="152"/>
        <v>0</v>
      </c>
      <c r="P2480" s="903">
        <f t="shared" si="153"/>
        <v>1</v>
      </c>
      <c r="Q2480" s="893">
        <f t="shared" si="154"/>
        <v>2</v>
      </c>
      <c r="R2480" s="894">
        <f t="shared" si="155"/>
        <v>0</v>
      </c>
    </row>
    <row r="2481" spans="1:18">
      <c r="A2481" s="905"/>
      <c r="B2481" s="906"/>
      <c r="C2481" s="907">
        <v>740</v>
      </c>
      <c r="D2481" s="907" t="s">
        <v>12</v>
      </c>
      <c r="E2481" s="908" t="s">
        <v>4008</v>
      </c>
      <c r="F2481" s="909" t="s">
        <v>2674</v>
      </c>
      <c r="G2481" s="910"/>
      <c r="H2481" s="911">
        <v>7.8</v>
      </c>
      <c r="I2481" s="912"/>
      <c r="J2481" s="912"/>
      <c r="K2481" s="912">
        <f>VLOOKUP(E2481,ĐMNC!$A$7:$F$67,4,0)</f>
        <v>252714</v>
      </c>
      <c r="L2481" s="912">
        <f>H2481*K2481</f>
        <v>1971169.2</v>
      </c>
      <c r="M2481" s="912"/>
      <c r="N2481" s="912"/>
      <c r="O2481" s="892">
        <f t="shared" si="152"/>
        <v>0</v>
      </c>
      <c r="P2481" s="903">
        <f t="shared" si="153"/>
        <v>1</v>
      </c>
      <c r="Q2481" s="893">
        <f t="shared" si="154"/>
        <v>1</v>
      </c>
      <c r="R2481" s="894">
        <f t="shared" si="155"/>
        <v>0</v>
      </c>
    </row>
    <row r="2482" spans="1:18" s="847" customFormat="1" ht="31.5">
      <c r="A2482" s="905"/>
      <c r="B2482" s="914" t="s">
        <v>4761</v>
      </c>
      <c r="C2482" s="915"/>
      <c r="D2482" s="915"/>
      <c r="E2482" s="916" t="s">
        <v>4762</v>
      </c>
      <c r="F2482" s="917" t="s">
        <v>249</v>
      </c>
      <c r="G2482" s="918"/>
      <c r="H2482" s="919"/>
      <c r="I2482" s="920"/>
      <c r="J2482" s="891">
        <f>SUM(J2483:J2487)</f>
        <v>8250</v>
      </c>
      <c r="K2482" s="891"/>
      <c r="L2482" s="891">
        <f>SUM(L2483:L2487)</f>
        <v>1111941.6000000001</v>
      </c>
      <c r="M2482" s="891"/>
      <c r="N2482" s="891">
        <f>SUM(N2483:N2487)</f>
        <v>0</v>
      </c>
      <c r="O2482" s="892">
        <f t="shared" si="152"/>
        <v>1</v>
      </c>
      <c r="P2482" s="903">
        <f t="shared" si="153"/>
        <v>0</v>
      </c>
      <c r="Q2482" s="893">
        <f t="shared" si="154"/>
        <v>0</v>
      </c>
      <c r="R2482" s="894">
        <f t="shared" si="155"/>
        <v>5</v>
      </c>
    </row>
    <row r="2483" spans="1:18" s="904" customFormat="1">
      <c r="A2483" s="895"/>
      <c r="B2483" s="922"/>
      <c r="C2483" s="897"/>
      <c r="D2483" s="897"/>
      <c r="E2483" s="924" t="s">
        <v>108</v>
      </c>
      <c r="F2483" s="899"/>
      <c r="G2483" s="900"/>
      <c r="H2483" s="901"/>
      <c r="I2483" s="902"/>
      <c r="J2483" s="902"/>
      <c r="K2483" s="912" t="s">
        <v>274</v>
      </c>
      <c r="L2483" s="902"/>
      <c r="M2483" s="902"/>
      <c r="N2483" s="902"/>
      <c r="O2483" s="892">
        <f t="shared" si="152"/>
        <v>0</v>
      </c>
      <c r="P2483" s="903">
        <f t="shared" si="153"/>
        <v>1</v>
      </c>
      <c r="Q2483" s="893">
        <f t="shared" si="154"/>
        <v>5</v>
      </c>
      <c r="R2483" s="894">
        <f t="shared" si="155"/>
        <v>0</v>
      </c>
    </row>
    <row r="2484" spans="1:18">
      <c r="A2484" s="905"/>
      <c r="B2484" s="906"/>
      <c r="C2484" s="907">
        <v>66</v>
      </c>
      <c r="D2484" s="907" t="s">
        <v>279</v>
      </c>
      <c r="E2484" s="925" t="s">
        <v>2682</v>
      </c>
      <c r="F2484" s="926" t="s">
        <v>45</v>
      </c>
      <c r="G2484" s="910"/>
      <c r="H2484" s="911">
        <v>0.04</v>
      </c>
      <c r="I2484" s="912">
        <f>VLOOKUP(E2484,[3]VLP!$B$7:$K$300,10,0)</f>
        <v>5000</v>
      </c>
      <c r="J2484" s="912">
        <f>I2484*H2484</f>
        <v>200</v>
      </c>
      <c r="K2484" s="912" t="s">
        <v>274</v>
      </c>
      <c r="L2484" s="912"/>
      <c r="M2484" s="912"/>
      <c r="N2484" s="912"/>
      <c r="O2484" s="892">
        <f t="shared" si="152"/>
        <v>0</v>
      </c>
      <c r="P2484" s="903">
        <f t="shared" si="153"/>
        <v>1</v>
      </c>
      <c r="Q2484" s="893">
        <f t="shared" si="154"/>
        <v>4</v>
      </c>
      <c r="R2484" s="894">
        <f t="shared" si="155"/>
        <v>0</v>
      </c>
    </row>
    <row r="2485" spans="1:18">
      <c r="A2485" s="905"/>
      <c r="B2485" s="906"/>
      <c r="C2485" s="907">
        <v>44</v>
      </c>
      <c r="D2485" s="907" t="s">
        <v>279</v>
      </c>
      <c r="E2485" s="925" t="s">
        <v>2681</v>
      </c>
      <c r="F2485" s="926" t="s">
        <v>45</v>
      </c>
      <c r="G2485" s="910"/>
      <c r="H2485" s="911">
        <v>0.35</v>
      </c>
      <c r="I2485" s="912">
        <f>VLOOKUP(E2485,[3]VLP!$B$7:$K$300,10,0)</f>
        <v>23000</v>
      </c>
      <c r="J2485" s="912">
        <f>I2485*H2485</f>
        <v>8049.9999999999991</v>
      </c>
      <c r="K2485" s="912" t="s">
        <v>274</v>
      </c>
      <c r="L2485" s="912"/>
      <c r="M2485" s="912"/>
      <c r="N2485" s="912"/>
      <c r="O2485" s="892">
        <f t="shared" si="152"/>
        <v>0</v>
      </c>
      <c r="P2485" s="903">
        <f t="shared" si="153"/>
        <v>1</v>
      </c>
      <c r="Q2485" s="893">
        <f t="shared" si="154"/>
        <v>3</v>
      </c>
      <c r="R2485" s="894">
        <f t="shared" si="155"/>
        <v>0</v>
      </c>
    </row>
    <row r="2486" spans="1:18" s="904" customFormat="1">
      <c r="A2486" s="895"/>
      <c r="B2486" s="896"/>
      <c r="C2486" s="897"/>
      <c r="D2486" s="897"/>
      <c r="E2486" s="924" t="s">
        <v>276</v>
      </c>
      <c r="F2486" s="927"/>
      <c r="G2486" s="928"/>
      <c r="H2486" s="901"/>
      <c r="I2486" s="902"/>
      <c r="J2486" s="902"/>
      <c r="K2486" s="912" t="s">
        <v>274</v>
      </c>
      <c r="L2486" s="902"/>
      <c r="M2486" s="902"/>
      <c r="N2486" s="902"/>
      <c r="O2486" s="892">
        <f t="shared" si="152"/>
        <v>0</v>
      </c>
      <c r="P2486" s="903">
        <f t="shared" si="153"/>
        <v>1</v>
      </c>
      <c r="Q2486" s="893">
        <f t="shared" si="154"/>
        <v>2</v>
      </c>
      <c r="R2486" s="894">
        <f t="shared" si="155"/>
        <v>0</v>
      </c>
    </row>
    <row r="2487" spans="1:18">
      <c r="A2487" s="905"/>
      <c r="B2487" s="906"/>
      <c r="C2487" s="907">
        <v>740</v>
      </c>
      <c r="D2487" s="907" t="s">
        <v>12</v>
      </c>
      <c r="E2487" s="908" t="s">
        <v>4008</v>
      </c>
      <c r="F2487" s="909" t="s">
        <v>2674</v>
      </c>
      <c r="G2487" s="910"/>
      <c r="H2487" s="911">
        <v>4.4000000000000004</v>
      </c>
      <c r="I2487" s="912"/>
      <c r="J2487" s="912"/>
      <c r="K2487" s="912">
        <f>VLOOKUP(E2487,ĐMNC!$A$7:$F$67,4,0)</f>
        <v>252714</v>
      </c>
      <c r="L2487" s="912">
        <f>H2487*K2487</f>
        <v>1111941.6000000001</v>
      </c>
      <c r="M2487" s="912"/>
      <c r="N2487" s="912"/>
      <c r="O2487" s="892">
        <f t="shared" si="152"/>
        <v>0</v>
      </c>
      <c r="P2487" s="903">
        <f t="shared" si="153"/>
        <v>1</v>
      </c>
      <c r="Q2487" s="893">
        <f t="shared" si="154"/>
        <v>1</v>
      </c>
      <c r="R2487" s="894">
        <f t="shared" si="155"/>
        <v>0</v>
      </c>
    </row>
    <row r="2488" spans="1:18" s="847" customFormat="1" ht="31.5">
      <c r="A2488" s="905"/>
      <c r="B2488" s="914" t="s">
        <v>4763</v>
      </c>
      <c r="C2488" s="915"/>
      <c r="D2488" s="915"/>
      <c r="E2488" s="916" t="s">
        <v>4764</v>
      </c>
      <c r="F2488" s="917" t="s">
        <v>249</v>
      </c>
      <c r="G2488" s="918"/>
      <c r="H2488" s="919"/>
      <c r="I2488" s="920"/>
      <c r="J2488" s="891">
        <f>SUM(J2489:J2493)</f>
        <v>8250</v>
      </c>
      <c r="K2488" s="891"/>
      <c r="L2488" s="891">
        <f>SUM(L2489:L2493)</f>
        <v>1165011.54</v>
      </c>
      <c r="M2488" s="891"/>
      <c r="N2488" s="891">
        <f>SUM(N2489:N2493)</f>
        <v>0</v>
      </c>
      <c r="O2488" s="892">
        <f t="shared" si="152"/>
        <v>1</v>
      </c>
      <c r="P2488" s="903">
        <f t="shared" si="153"/>
        <v>0</v>
      </c>
      <c r="Q2488" s="893">
        <f t="shared" si="154"/>
        <v>0</v>
      </c>
      <c r="R2488" s="894">
        <f t="shared" si="155"/>
        <v>5</v>
      </c>
    </row>
    <row r="2489" spans="1:18" s="904" customFormat="1">
      <c r="A2489" s="895"/>
      <c r="B2489" s="896"/>
      <c r="C2489" s="897"/>
      <c r="D2489" s="897"/>
      <c r="E2489" s="924" t="s">
        <v>108</v>
      </c>
      <c r="F2489" s="899"/>
      <c r="G2489" s="900"/>
      <c r="H2489" s="901"/>
      <c r="I2489" s="902"/>
      <c r="J2489" s="902"/>
      <c r="K2489" s="912" t="s">
        <v>274</v>
      </c>
      <c r="L2489" s="902"/>
      <c r="M2489" s="902"/>
      <c r="N2489" s="902"/>
      <c r="O2489" s="892">
        <f t="shared" si="152"/>
        <v>0</v>
      </c>
      <c r="P2489" s="903">
        <f t="shared" si="153"/>
        <v>1</v>
      </c>
      <c r="Q2489" s="893">
        <f t="shared" si="154"/>
        <v>5</v>
      </c>
      <c r="R2489" s="894">
        <f t="shared" si="155"/>
        <v>0</v>
      </c>
    </row>
    <row r="2490" spans="1:18">
      <c r="A2490" s="905"/>
      <c r="B2490" s="906"/>
      <c r="C2490" s="907">
        <v>66</v>
      </c>
      <c r="D2490" s="907" t="s">
        <v>279</v>
      </c>
      <c r="E2490" s="925" t="s">
        <v>2682</v>
      </c>
      <c r="F2490" s="926" t="s">
        <v>45</v>
      </c>
      <c r="G2490" s="910"/>
      <c r="H2490" s="911">
        <v>0.04</v>
      </c>
      <c r="I2490" s="912">
        <f>VLOOKUP(E2490,[3]VLP!$B$7:$K$300,10,0)</f>
        <v>5000</v>
      </c>
      <c r="J2490" s="912">
        <f>I2490*H2490</f>
        <v>200</v>
      </c>
      <c r="K2490" s="912" t="s">
        <v>274</v>
      </c>
      <c r="L2490" s="912"/>
      <c r="M2490" s="912"/>
      <c r="N2490" s="912"/>
      <c r="O2490" s="892">
        <f t="shared" si="152"/>
        <v>0</v>
      </c>
      <c r="P2490" s="903">
        <f t="shared" si="153"/>
        <v>1</v>
      </c>
      <c r="Q2490" s="893">
        <f t="shared" si="154"/>
        <v>4</v>
      </c>
      <c r="R2490" s="894">
        <f t="shared" si="155"/>
        <v>0</v>
      </c>
    </row>
    <row r="2491" spans="1:18">
      <c r="A2491" s="905"/>
      <c r="B2491" s="906"/>
      <c r="C2491" s="907">
        <v>44</v>
      </c>
      <c r="D2491" s="907" t="s">
        <v>279</v>
      </c>
      <c r="E2491" s="925" t="s">
        <v>2681</v>
      </c>
      <c r="F2491" s="926" t="s">
        <v>45</v>
      </c>
      <c r="G2491" s="910"/>
      <c r="H2491" s="911">
        <v>0.35</v>
      </c>
      <c r="I2491" s="912">
        <f>VLOOKUP(E2491,[3]VLP!$B$7:$K$300,10,0)</f>
        <v>23000</v>
      </c>
      <c r="J2491" s="912">
        <f>I2491*H2491</f>
        <v>8049.9999999999991</v>
      </c>
      <c r="K2491" s="912" t="s">
        <v>274</v>
      </c>
      <c r="L2491" s="912"/>
      <c r="M2491" s="912"/>
      <c r="N2491" s="912"/>
      <c r="O2491" s="892">
        <f t="shared" si="152"/>
        <v>0</v>
      </c>
      <c r="P2491" s="903">
        <f t="shared" si="153"/>
        <v>1</v>
      </c>
      <c r="Q2491" s="893">
        <f t="shared" si="154"/>
        <v>3</v>
      </c>
      <c r="R2491" s="894">
        <f t="shared" si="155"/>
        <v>0</v>
      </c>
    </row>
    <row r="2492" spans="1:18" s="904" customFormat="1">
      <c r="A2492" s="895"/>
      <c r="B2492" s="896"/>
      <c r="C2492" s="897"/>
      <c r="D2492" s="897"/>
      <c r="E2492" s="924" t="s">
        <v>276</v>
      </c>
      <c r="F2492" s="927"/>
      <c r="G2492" s="928"/>
      <c r="H2492" s="901"/>
      <c r="I2492" s="902"/>
      <c r="J2492" s="902"/>
      <c r="K2492" s="912" t="s">
        <v>274</v>
      </c>
      <c r="L2492" s="902"/>
      <c r="M2492" s="902"/>
      <c r="N2492" s="902"/>
      <c r="O2492" s="892">
        <f t="shared" si="152"/>
        <v>0</v>
      </c>
      <c r="P2492" s="903">
        <f t="shared" si="153"/>
        <v>1</v>
      </c>
      <c r="Q2492" s="893">
        <f t="shared" si="154"/>
        <v>2</v>
      </c>
      <c r="R2492" s="894">
        <f t="shared" si="155"/>
        <v>0</v>
      </c>
    </row>
    <row r="2493" spans="1:18">
      <c r="A2493" s="905"/>
      <c r="B2493" s="906"/>
      <c r="C2493" s="907">
        <v>740</v>
      </c>
      <c r="D2493" s="907" t="s">
        <v>12</v>
      </c>
      <c r="E2493" s="908" t="s">
        <v>4008</v>
      </c>
      <c r="F2493" s="909" t="s">
        <v>2674</v>
      </c>
      <c r="G2493" s="910"/>
      <c r="H2493" s="911">
        <v>4.6100000000000003</v>
      </c>
      <c r="I2493" s="912"/>
      <c r="J2493" s="912"/>
      <c r="K2493" s="912">
        <f>VLOOKUP(E2493,ĐMNC!$A$7:$F$67,4,0)</f>
        <v>252714</v>
      </c>
      <c r="L2493" s="912">
        <f>H2493*K2493</f>
        <v>1165011.54</v>
      </c>
      <c r="M2493" s="912"/>
      <c r="N2493" s="912"/>
      <c r="O2493" s="892">
        <f t="shared" si="152"/>
        <v>0</v>
      </c>
      <c r="P2493" s="903">
        <f t="shared" si="153"/>
        <v>1</v>
      </c>
      <c r="Q2493" s="893">
        <f t="shared" si="154"/>
        <v>1</v>
      </c>
      <c r="R2493" s="894">
        <f t="shared" si="155"/>
        <v>0</v>
      </c>
    </row>
    <row r="2494" spans="1:18" s="847" customFormat="1" ht="31.5">
      <c r="A2494" s="905"/>
      <c r="B2494" s="914" t="s">
        <v>4765</v>
      </c>
      <c r="C2494" s="915"/>
      <c r="D2494" s="915"/>
      <c r="E2494" s="916" t="s">
        <v>4766</v>
      </c>
      <c r="F2494" s="917" t="s">
        <v>249</v>
      </c>
      <c r="G2494" s="918"/>
      <c r="H2494" s="919"/>
      <c r="I2494" s="920"/>
      <c r="J2494" s="891">
        <f>SUM(J2495:J2499)</f>
        <v>8250</v>
      </c>
      <c r="K2494" s="891"/>
      <c r="L2494" s="891">
        <f>SUM(L2495:L2499)</f>
        <v>1326748.5</v>
      </c>
      <c r="M2494" s="891"/>
      <c r="N2494" s="891">
        <f>SUM(N2495:N2499)</f>
        <v>0</v>
      </c>
      <c r="O2494" s="892">
        <f t="shared" si="152"/>
        <v>1</v>
      </c>
      <c r="P2494" s="903">
        <f t="shared" si="153"/>
        <v>0</v>
      </c>
      <c r="Q2494" s="893">
        <f t="shared" si="154"/>
        <v>0</v>
      </c>
      <c r="R2494" s="894">
        <f t="shared" si="155"/>
        <v>5</v>
      </c>
    </row>
    <row r="2495" spans="1:18" s="904" customFormat="1">
      <c r="A2495" s="895"/>
      <c r="B2495" s="896"/>
      <c r="C2495" s="897"/>
      <c r="D2495" s="897"/>
      <c r="E2495" s="924" t="s">
        <v>108</v>
      </c>
      <c r="F2495" s="899"/>
      <c r="G2495" s="900"/>
      <c r="H2495" s="901"/>
      <c r="I2495" s="902"/>
      <c r="J2495" s="902"/>
      <c r="K2495" s="912" t="s">
        <v>274</v>
      </c>
      <c r="L2495" s="902"/>
      <c r="M2495" s="902"/>
      <c r="N2495" s="902"/>
      <c r="O2495" s="892">
        <f t="shared" si="152"/>
        <v>0</v>
      </c>
      <c r="P2495" s="903">
        <f t="shared" si="153"/>
        <v>1</v>
      </c>
      <c r="Q2495" s="893">
        <f t="shared" si="154"/>
        <v>5</v>
      </c>
      <c r="R2495" s="894">
        <f t="shared" si="155"/>
        <v>0</v>
      </c>
    </row>
    <row r="2496" spans="1:18">
      <c r="A2496" s="905"/>
      <c r="B2496" s="906"/>
      <c r="C2496" s="907">
        <v>66</v>
      </c>
      <c r="D2496" s="907" t="s">
        <v>279</v>
      </c>
      <c r="E2496" s="925" t="s">
        <v>2682</v>
      </c>
      <c r="F2496" s="926" t="s">
        <v>45</v>
      </c>
      <c r="G2496" s="910"/>
      <c r="H2496" s="911">
        <v>0.04</v>
      </c>
      <c r="I2496" s="912">
        <f>VLOOKUP(E2496,[3]VLP!$B$7:$K$300,10,0)</f>
        <v>5000</v>
      </c>
      <c r="J2496" s="912">
        <f>I2496*H2496</f>
        <v>200</v>
      </c>
      <c r="K2496" s="912" t="s">
        <v>274</v>
      </c>
      <c r="L2496" s="912"/>
      <c r="M2496" s="912"/>
      <c r="N2496" s="912"/>
      <c r="O2496" s="892">
        <f t="shared" si="152"/>
        <v>0</v>
      </c>
      <c r="P2496" s="903">
        <f t="shared" si="153"/>
        <v>1</v>
      </c>
      <c r="Q2496" s="893">
        <f t="shared" si="154"/>
        <v>4</v>
      </c>
      <c r="R2496" s="894">
        <f t="shared" si="155"/>
        <v>0</v>
      </c>
    </row>
    <row r="2497" spans="1:18">
      <c r="A2497" s="905"/>
      <c r="B2497" s="906"/>
      <c r="C2497" s="907">
        <v>44</v>
      </c>
      <c r="D2497" s="907" t="s">
        <v>279</v>
      </c>
      <c r="E2497" s="925" t="s">
        <v>2681</v>
      </c>
      <c r="F2497" s="926" t="s">
        <v>45</v>
      </c>
      <c r="G2497" s="910"/>
      <c r="H2497" s="911">
        <v>0.35</v>
      </c>
      <c r="I2497" s="912">
        <f>VLOOKUP(E2497,[3]VLP!$B$7:$K$300,10,0)</f>
        <v>23000</v>
      </c>
      <c r="J2497" s="912">
        <f>I2497*H2497</f>
        <v>8049.9999999999991</v>
      </c>
      <c r="K2497" s="912" t="s">
        <v>274</v>
      </c>
      <c r="L2497" s="912"/>
      <c r="M2497" s="912"/>
      <c r="N2497" s="912"/>
      <c r="O2497" s="892">
        <f t="shared" si="152"/>
        <v>0</v>
      </c>
      <c r="P2497" s="903">
        <f t="shared" si="153"/>
        <v>1</v>
      </c>
      <c r="Q2497" s="893">
        <f t="shared" si="154"/>
        <v>3</v>
      </c>
      <c r="R2497" s="894">
        <f t="shared" si="155"/>
        <v>0</v>
      </c>
    </row>
    <row r="2498" spans="1:18" s="904" customFormat="1">
      <c r="A2498" s="895"/>
      <c r="B2498" s="896"/>
      <c r="C2498" s="897"/>
      <c r="D2498" s="897"/>
      <c r="E2498" s="924" t="s">
        <v>276</v>
      </c>
      <c r="F2498" s="927"/>
      <c r="G2498" s="928"/>
      <c r="H2498" s="901"/>
      <c r="I2498" s="902"/>
      <c r="J2498" s="902"/>
      <c r="K2498" s="912" t="s">
        <v>274</v>
      </c>
      <c r="L2498" s="902"/>
      <c r="M2498" s="902"/>
      <c r="N2498" s="902"/>
      <c r="O2498" s="892">
        <f t="shared" si="152"/>
        <v>0</v>
      </c>
      <c r="P2498" s="903">
        <f t="shared" si="153"/>
        <v>1</v>
      </c>
      <c r="Q2498" s="893">
        <f t="shared" si="154"/>
        <v>2</v>
      </c>
      <c r="R2498" s="894">
        <f t="shared" si="155"/>
        <v>0</v>
      </c>
    </row>
    <row r="2499" spans="1:18">
      <c r="A2499" s="905"/>
      <c r="B2499" s="906"/>
      <c r="C2499" s="907">
        <v>740</v>
      </c>
      <c r="D2499" s="907" t="s">
        <v>12</v>
      </c>
      <c r="E2499" s="908" t="s">
        <v>4008</v>
      </c>
      <c r="F2499" s="909" t="s">
        <v>2674</v>
      </c>
      <c r="G2499" s="910"/>
      <c r="H2499" s="911">
        <v>5.25</v>
      </c>
      <c r="I2499" s="912"/>
      <c r="J2499" s="912"/>
      <c r="K2499" s="912">
        <f>VLOOKUP(E2499,ĐMNC!$A$7:$F$67,4,0)</f>
        <v>252714</v>
      </c>
      <c r="L2499" s="912">
        <f>H2499*K2499</f>
        <v>1326748.5</v>
      </c>
      <c r="M2499" s="912"/>
      <c r="N2499" s="912"/>
      <c r="O2499" s="892">
        <f t="shared" si="152"/>
        <v>0</v>
      </c>
      <c r="P2499" s="903">
        <f t="shared" si="153"/>
        <v>1</v>
      </c>
      <c r="Q2499" s="893">
        <f t="shared" si="154"/>
        <v>1</v>
      </c>
      <c r="R2499" s="894">
        <f t="shared" si="155"/>
        <v>0</v>
      </c>
    </row>
    <row r="2500" spans="1:18" s="847" customFormat="1" ht="31.5">
      <c r="A2500" s="905"/>
      <c r="B2500" s="914" t="s">
        <v>4767</v>
      </c>
      <c r="C2500" s="915"/>
      <c r="D2500" s="915"/>
      <c r="E2500" s="916" t="s">
        <v>4768</v>
      </c>
      <c r="F2500" s="917" t="s">
        <v>249</v>
      </c>
      <c r="G2500" s="918"/>
      <c r="H2500" s="919"/>
      <c r="I2500" s="920"/>
      <c r="J2500" s="891">
        <f>SUM(J2501:J2505)</f>
        <v>8250</v>
      </c>
      <c r="K2500" s="891"/>
      <c r="L2500" s="891">
        <f>SUM(L2501:L2505)</f>
        <v>1475849.76</v>
      </c>
      <c r="M2500" s="891"/>
      <c r="N2500" s="891">
        <f>SUM(N2501:N2505)</f>
        <v>0</v>
      </c>
      <c r="O2500" s="892">
        <f t="shared" si="152"/>
        <v>1</v>
      </c>
      <c r="P2500" s="903">
        <f t="shared" si="153"/>
        <v>0</v>
      </c>
      <c r="Q2500" s="893">
        <f t="shared" si="154"/>
        <v>0</v>
      </c>
      <c r="R2500" s="894">
        <f t="shared" si="155"/>
        <v>5</v>
      </c>
    </row>
    <row r="2501" spans="1:18" s="904" customFormat="1">
      <c r="A2501" s="895"/>
      <c r="B2501" s="896"/>
      <c r="C2501" s="897"/>
      <c r="D2501" s="897"/>
      <c r="E2501" s="924" t="s">
        <v>108</v>
      </c>
      <c r="F2501" s="899"/>
      <c r="G2501" s="900"/>
      <c r="H2501" s="901"/>
      <c r="I2501" s="902"/>
      <c r="J2501" s="902"/>
      <c r="K2501" s="912" t="s">
        <v>274</v>
      </c>
      <c r="L2501" s="902"/>
      <c r="M2501" s="902"/>
      <c r="N2501" s="902"/>
      <c r="O2501" s="892">
        <f t="shared" si="152"/>
        <v>0</v>
      </c>
      <c r="P2501" s="903">
        <f t="shared" si="153"/>
        <v>1</v>
      </c>
      <c r="Q2501" s="893">
        <f t="shared" si="154"/>
        <v>5</v>
      </c>
      <c r="R2501" s="894">
        <f t="shared" si="155"/>
        <v>0</v>
      </c>
    </row>
    <row r="2502" spans="1:18">
      <c r="A2502" s="905"/>
      <c r="B2502" s="906"/>
      <c r="C2502" s="907">
        <v>66</v>
      </c>
      <c r="D2502" s="907" t="s">
        <v>279</v>
      </c>
      <c r="E2502" s="925" t="s">
        <v>2682</v>
      </c>
      <c r="F2502" s="926" t="s">
        <v>45</v>
      </c>
      <c r="G2502" s="910"/>
      <c r="H2502" s="911">
        <v>0.04</v>
      </c>
      <c r="I2502" s="912">
        <f>VLOOKUP(E2502,[3]VLP!$B$7:$K$300,10,0)</f>
        <v>5000</v>
      </c>
      <c r="J2502" s="912">
        <f>I2502*H2502</f>
        <v>200</v>
      </c>
      <c r="K2502" s="912" t="s">
        <v>274</v>
      </c>
      <c r="L2502" s="912"/>
      <c r="M2502" s="912"/>
      <c r="N2502" s="912"/>
      <c r="O2502" s="892">
        <f t="shared" si="152"/>
        <v>0</v>
      </c>
      <c r="P2502" s="903">
        <f t="shared" si="153"/>
        <v>1</v>
      </c>
      <c r="Q2502" s="893">
        <f t="shared" si="154"/>
        <v>4</v>
      </c>
      <c r="R2502" s="894">
        <f t="shared" si="155"/>
        <v>0</v>
      </c>
    </row>
    <row r="2503" spans="1:18">
      <c r="A2503" s="905"/>
      <c r="B2503" s="906"/>
      <c r="C2503" s="907">
        <v>44</v>
      </c>
      <c r="D2503" s="907" t="s">
        <v>279</v>
      </c>
      <c r="E2503" s="925" t="s">
        <v>2681</v>
      </c>
      <c r="F2503" s="926" t="s">
        <v>45</v>
      </c>
      <c r="G2503" s="910"/>
      <c r="H2503" s="911">
        <v>0.35</v>
      </c>
      <c r="I2503" s="912">
        <f>VLOOKUP(E2503,[3]VLP!$B$7:$K$300,10,0)</f>
        <v>23000</v>
      </c>
      <c r="J2503" s="912">
        <f>I2503*H2503</f>
        <v>8049.9999999999991</v>
      </c>
      <c r="K2503" s="912" t="s">
        <v>274</v>
      </c>
      <c r="L2503" s="912"/>
      <c r="M2503" s="912"/>
      <c r="N2503" s="912"/>
      <c r="O2503" s="892">
        <f t="shared" si="152"/>
        <v>0</v>
      </c>
      <c r="P2503" s="903">
        <f t="shared" si="153"/>
        <v>1</v>
      </c>
      <c r="Q2503" s="893">
        <f t="shared" si="154"/>
        <v>3</v>
      </c>
      <c r="R2503" s="894">
        <f t="shared" si="155"/>
        <v>0</v>
      </c>
    </row>
    <row r="2504" spans="1:18" s="904" customFormat="1">
      <c r="A2504" s="895"/>
      <c r="B2504" s="896"/>
      <c r="C2504" s="897"/>
      <c r="D2504" s="897"/>
      <c r="E2504" s="924" t="s">
        <v>276</v>
      </c>
      <c r="F2504" s="927"/>
      <c r="G2504" s="928"/>
      <c r="H2504" s="901"/>
      <c r="I2504" s="902"/>
      <c r="J2504" s="902"/>
      <c r="K2504" s="912" t="s">
        <v>274</v>
      </c>
      <c r="L2504" s="902"/>
      <c r="M2504" s="902"/>
      <c r="N2504" s="902"/>
      <c r="O2504" s="892">
        <f t="shared" si="152"/>
        <v>0</v>
      </c>
      <c r="P2504" s="903">
        <f t="shared" si="153"/>
        <v>1</v>
      </c>
      <c r="Q2504" s="893">
        <f t="shared" si="154"/>
        <v>2</v>
      </c>
      <c r="R2504" s="894">
        <f t="shared" si="155"/>
        <v>0</v>
      </c>
    </row>
    <row r="2505" spans="1:18">
      <c r="A2505" s="905"/>
      <c r="B2505" s="906"/>
      <c r="C2505" s="907">
        <v>740</v>
      </c>
      <c r="D2505" s="907" t="s">
        <v>12</v>
      </c>
      <c r="E2505" s="908" t="s">
        <v>4008</v>
      </c>
      <c r="F2505" s="909" t="s">
        <v>2674</v>
      </c>
      <c r="G2505" s="910"/>
      <c r="H2505" s="911">
        <v>5.84</v>
      </c>
      <c r="I2505" s="912"/>
      <c r="J2505" s="912"/>
      <c r="K2505" s="912">
        <f>VLOOKUP(E2505,ĐMNC!$A$7:$F$67,4,0)</f>
        <v>252714</v>
      </c>
      <c r="L2505" s="912">
        <f>H2505*K2505</f>
        <v>1475849.76</v>
      </c>
      <c r="M2505" s="912"/>
      <c r="N2505" s="912"/>
      <c r="O2505" s="892">
        <f t="shared" ref="O2505:O2568" si="156">IF(AND(B2505&lt;&gt;"",D2505=""),1,0)</f>
        <v>0</v>
      </c>
      <c r="P2505" s="903">
        <f t="shared" si="153"/>
        <v>1</v>
      </c>
      <c r="Q2505" s="893">
        <f t="shared" si="154"/>
        <v>1</v>
      </c>
      <c r="R2505" s="894">
        <f t="shared" si="155"/>
        <v>0</v>
      </c>
    </row>
    <row r="2506" spans="1:18" s="847" customFormat="1" ht="31.5">
      <c r="A2506" s="905"/>
      <c r="B2506" s="914" t="s">
        <v>4769</v>
      </c>
      <c r="C2506" s="915"/>
      <c r="D2506" s="915"/>
      <c r="E2506" s="916" t="s">
        <v>4770</v>
      </c>
      <c r="F2506" s="917" t="s">
        <v>249</v>
      </c>
      <c r="G2506" s="918"/>
      <c r="H2506" s="919"/>
      <c r="I2506" s="920"/>
      <c r="J2506" s="891">
        <f>SUM(J2507:J2511)</f>
        <v>8250</v>
      </c>
      <c r="K2506" s="891"/>
      <c r="L2506" s="891">
        <f>SUM(L2507:L2511)</f>
        <v>1627478.1600000001</v>
      </c>
      <c r="M2506" s="891"/>
      <c r="N2506" s="891">
        <f>SUM(N2507:N2511)</f>
        <v>0</v>
      </c>
      <c r="O2506" s="892">
        <f t="shared" si="156"/>
        <v>1</v>
      </c>
      <c r="P2506" s="903">
        <f t="shared" si="153"/>
        <v>0</v>
      </c>
      <c r="Q2506" s="893">
        <f t="shared" si="154"/>
        <v>0</v>
      </c>
      <c r="R2506" s="894">
        <f t="shared" si="155"/>
        <v>5</v>
      </c>
    </row>
    <row r="2507" spans="1:18" s="904" customFormat="1">
      <c r="A2507" s="895"/>
      <c r="B2507" s="896"/>
      <c r="C2507" s="897"/>
      <c r="D2507" s="897"/>
      <c r="E2507" s="924" t="s">
        <v>108</v>
      </c>
      <c r="F2507" s="899"/>
      <c r="G2507" s="900"/>
      <c r="H2507" s="901"/>
      <c r="I2507" s="902"/>
      <c r="J2507" s="902"/>
      <c r="K2507" s="912" t="s">
        <v>274</v>
      </c>
      <c r="L2507" s="902"/>
      <c r="M2507" s="902"/>
      <c r="N2507" s="902"/>
      <c r="O2507" s="892">
        <f t="shared" si="156"/>
        <v>0</v>
      </c>
      <c r="P2507" s="903">
        <f t="shared" si="153"/>
        <v>1</v>
      </c>
      <c r="Q2507" s="893">
        <f t="shared" si="154"/>
        <v>5</v>
      </c>
      <c r="R2507" s="894">
        <f t="shared" si="155"/>
        <v>0</v>
      </c>
    </row>
    <row r="2508" spans="1:18">
      <c r="A2508" s="905"/>
      <c r="B2508" s="906"/>
      <c r="C2508" s="907">
        <v>66</v>
      </c>
      <c r="D2508" s="907" t="s">
        <v>279</v>
      </c>
      <c r="E2508" s="925" t="s">
        <v>2682</v>
      </c>
      <c r="F2508" s="926" t="s">
        <v>45</v>
      </c>
      <c r="G2508" s="910"/>
      <c r="H2508" s="911">
        <v>0.04</v>
      </c>
      <c r="I2508" s="912">
        <f>VLOOKUP(E2508,[3]VLP!$B$7:$K$300,10,0)</f>
        <v>5000</v>
      </c>
      <c r="J2508" s="912">
        <f>I2508*H2508</f>
        <v>200</v>
      </c>
      <c r="K2508" s="912" t="s">
        <v>274</v>
      </c>
      <c r="L2508" s="912"/>
      <c r="M2508" s="912"/>
      <c r="N2508" s="912"/>
      <c r="O2508" s="892">
        <f t="shared" si="156"/>
        <v>0</v>
      </c>
      <c r="P2508" s="903">
        <f t="shared" si="153"/>
        <v>1</v>
      </c>
      <c r="Q2508" s="893">
        <f t="shared" si="154"/>
        <v>4</v>
      </c>
      <c r="R2508" s="894">
        <f t="shared" si="155"/>
        <v>0</v>
      </c>
    </row>
    <row r="2509" spans="1:18">
      <c r="A2509" s="905"/>
      <c r="B2509" s="906"/>
      <c r="C2509" s="907">
        <v>44</v>
      </c>
      <c r="D2509" s="907" t="s">
        <v>279</v>
      </c>
      <c r="E2509" s="925" t="s">
        <v>2681</v>
      </c>
      <c r="F2509" s="926" t="s">
        <v>45</v>
      </c>
      <c r="G2509" s="910"/>
      <c r="H2509" s="911">
        <v>0.35</v>
      </c>
      <c r="I2509" s="912">
        <f>VLOOKUP(E2509,[3]VLP!$B$7:$K$300,10,0)</f>
        <v>23000</v>
      </c>
      <c r="J2509" s="912">
        <f>I2509*H2509</f>
        <v>8049.9999999999991</v>
      </c>
      <c r="K2509" s="912" t="s">
        <v>274</v>
      </c>
      <c r="L2509" s="912"/>
      <c r="M2509" s="912"/>
      <c r="N2509" s="912"/>
      <c r="O2509" s="892">
        <f t="shared" si="156"/>
        <v>0</v>
      </c>
      <c r="P2509" s="903">
        <f t="shared" si="153"/>
        <v>1</v>
      </c>
      <c r="Q2509" s="893">
        <f t="shared" si="154"/>
        <v>3</v>
      </c>
      <c r="R2509" s="894">
        <f t="shared" si="155"/>
        <v>0</v>
      </c>
    </row>
    <row r="2510" spans="1:18" s="904" customFormat="1">
      <c r="A2510" s="895"/>
      <c r="B2510" s="896"/>
      <c r="C2510" s="897"/>
      <c r="D2510" s="897"/>
      <c r="E2510" s="924" t="s">
        <v>276</v>
      </c>
      <c r="F2510" s="927"/>
      <c r="G2510" s="928"/>
      <c r="H2510" s="901"/>
      <c r="I2510" s="902"/>
      <c r="J2510" s="902"/>
      <c r="K2510" s="912" t="s">
        <v>274</v>
      </c>
      <c r="L2510" s="902"/>
      <c r="M2510" s="902"/>
      <c r="N2510" s="902"/>
      <c r="O2510" s="892">
        <f t="shared" si="156"/>
        <v>0</v>
      </c>
      <c r="P2510" s="903">
        <f t="shared" si="153"/>
        <v>1</v>
      </c>
      <c r="Q2510" s="893">
        <f t="shared" si="154"/>
        <v>2</v>
      </c>
      <c r="R2510" s="894">
        <f t="shared" si="155"/>
        <v>0</v>
      </c>
    </row>
    <row r="2511" spans="1:18">
      <c r="A2511" s="905"/>
      <c r="B2511" s="906"/>
      <c r="C2511" s="907">
        <v>740</v>
      </c>
      <c r="D2511" s="907" t="s">
        <v>12</v>
      </c>
      <c r="E2511" s="908" t="s">
        <v>4008</v>
      </c>
      <c r="F2511" s="909" t="s">
        <v>2674</v>
      </c>
      <c r="G2511" s="910"/>
      <c r="H2511" s="911">
        <v>6.44</v>
      </c>
      <c r="I2511" s="912"/>
      <c r="J2511" s="912"/>
      <c r="K2511" s="912">
        <f>VLOOKUP(E2511,ĐMNC!$A$7:$F$67,4,0)</f>
        <v>252714</v>
      </c>
      <c r="L2511" s="912">
        <f>H2511*K2511</f>
        <v>1627478.1600000001</v>
      </c>
      <c r="M2511" s="912"/>
      <c r="N2511" s="912"/>
      <c r="O2511" s="892">
        <f t="shared" si="156"/>
        <v>0</v>
      </c>
      <c r="P2511" s="903">
        <f t="shared" si="153"/>
        <v>1</v>
      </c>
      <c r="Q2511" s="893">
        <f t="shared" si="154"/>
        <v>1</v>
      </c>
      <c r="R2511" s="894">
        <f t="shared" si="155"/>
        <v>0</v>
      </c>
    </row>
    <row r="2512" spans="1:18" s="847" customFormat="1" ht="31.5">
      <c r="A2512" s="905"/>
      <c r="B2512" s="914" t="s">
        <v>4771</v>
      </c>
      <c r="C2512" s="915"/>
      <c r="D2512" s="915"/>
      <c r="E2512" s="916" t="s">
        <v>4770</v>
      </c>
      <c r="F2512" s="917" t="s">
        <v>249</v>
      </c>
      <c r="G2512" s="918"/>
      <c r="H2512" s="919"/>
      <c r="I2512" s="920"/>
      <c r="J2512" s="891">
        <f>SUM(J2513:J2517)</f>
        <v>8250</v>
      </c>
      <c r="K2512" s="891"/>
      <c r="L2512" s="891">
        <f>SUM(L2513:L2517)</f>
        <v>1791742.26</v>
      </c>
      <c r="M2512" s="891"/>
      <c r="N2512" s="891">
        <f>SUM(N2513:N2517)</f>
        <v>0</v>
      </c>
      <c r="O2512" s="892">
        <f t="shared" si="156"/>
        <v>1</v>
      </c>
      <c r="P2512" s="903">
        <f t="shared" si="153"/>
        <v>0</v>
      </c>
      <c r="Q2512" s="893">
        <f t="shared" si="154"/>
        <v>0</v>
      </c>
      <c r="R2512" s="894">
        <f t="shared" si="155"/>
        <v>5</v>
      </c>
    </row>
    <row r="2513" spans="1:18" s="904" customFormat="1">
      <c r="A2513" s="895"/>
      <c r="B2513" s="896"/>
      <c r="C2513" s="897"/>
      <c r="D2513" s="897"/>
      <c r="E2513" s="924" t="s">
        <v>108</v>
      </c>
      <c r="F2513" s="899"/>
      <c r="G2513" s="900"/>
      <c r="H2513" s="901"/>
      <c r="I2513" s="902"/>
      <c r="J2513" s="902"/>
      <c r="K2513" s="912" t="s">
        <v>274</v>
      </c>
      <c r="L2513" s="902"/>
      <c r="M2513" s="902"/>
      <c r="N2513" s="902"/>
      <c r="O2513" s="892">
        <f t="shared" si="156"/>
        <v>0</v>
      </c>
      <c r="P2513" s="903">
        <f t="shared" si="153"/>
        <v>1</v>
      </c>
      <c r="Q2513" s="893">
        <f t="shared" si="154"/>
        <v>5</v>
      </c>
      <c r="R2513" s="894">
        <f t="shared" si="155"/>
        <v>0</v>
      </c>
    </row>
    <row r="2514" spans="1:18">
      <c r="A2514" s="905"/>
      <c r="B2514" s="906"/>
      <c r="C2514" s="907">
        <v>66</v>
      </c>
      <c r="D2514" s="907" t="s">
        <v>279</v>
      </c>
      <c r="E2514" s="925" t="s">
        <v>2682</v>
      </c>
      <c r="F2514" s="926" t="s">
        <v>45</v>
      </c>
      <c r="G2514" s="910"/>
      <c r="H2514" s="911">
        <v>0.04</v>
      </c>
      <c r="I2514" s="912">
        <f>VLOOKUP(E2514,[3]VLP!$B$7:$K$300,10,0)</f>
        <v>5000</v>
      </c>
      <c r="J2514" s="912">
        <f>I2514*H2514</f>
        <v>200</v>
      </c>
      <c r="K2514" s="912" t="s">
        <v>274</v>
      </c>
      <c r="L2514" s="912"/>
      <c r="M2514" s="912"/>
      <c r="N2514" s="912"/>
      <c r="O2514" s="892">
        <f t="shared" si="156"/>
        <v>0</v>
      </c>
      <c r="P2514" s="903">
        <f t="shared" ref="P2514:P2577" si="157">IF(O2514=0,1,0)</f>
        <v>1</v>
      </c>
      <c r="Q2514" s="893">
        <f t="shared" ref="Q2514:Q2577" si="158">IF(P2514=0,0,P2514+Q2515)</f>
        <v>4</v>
      </c>
      <c r="R2514" s="894">
        <f t="shared" ref="R2514:R2577" si="159">IF(Q2514=0,Q2515,0)</f>
        <v>0</v>
      </c>
    </row>
    <row r="2515" spans="1:18">
      <c r="A2515" s="905"/>
      <c r="B2515" s="906"/>
      <c r="C2515" s="907">
        <v>44</v>
      </c>
      <c r="D2515" s="907" t="s">
        <v>279</v>
      </c>
      <c r="E2515" s="925" t="s">
        <v>2681</v>
      </c>
      <c r="F2515" s="926" t="s">
        <v>45</v>
      </c>
      <c r="G2515" s="910"/>
      <c r="H2515" s="911">
        <v>0.35</v>
      </c>
      <c r="I2515" s="912">
        <f>VLOOKUP(E2515,[3]VLP!$B$7:$K$300,10,0)</f>
        <v>23000</v>
      </c>
      <c r="J2515" s="912">
        <f>I2515*H2515</f>
        <v>8049.9999999999991</v>
      </c>
      <c r="K2515" s="912" t="s">
        <v>274</v>
      </c>
      <c r="L2515" s="912"/>
      <c r="M2515" s="912"/>
      <c r="N2515" s="912"/>
      <c r="O2515" s="892">
        <f t="shared" si="156"/>
        <v>0</v>
      </c>
      <c r="P2515" s="903">
        <f t="shared" si="157"/>
        <v>1</v>
      </c>
      <c r="Q2515" s="893">
        <f t="shared" si="158"/>
        <v>3</v>
      </c>
      <c r="R2515" s="894">
        <f t="shared" si="159"/>
        <v>0</v>
      </c>
    </row>
    <row r="2516" spans="1:18" s="904" customFormat="1">
      <c r="A2516" s="895"/>
      <c r="B2516" s="896"/>
      <c r="C2516" s="897"/>
      <c r="D2516" s="897"/>
      <c r="E2516" s="924" t="s">
        <v>276</v>
      </c>
      <c r="F2516" s="927"/>
      <c r="G2516" s="928"/>
      <c r="H2516" s="901"/>
      <c r="I2516" s="902"/>
      <c r="J2516" s="902"/>
      <c r="K2516" s="912" t="s">
        <v>274</v>
      </c>
      <c r="L2516" s="902"/>
      <c r="M2516" s="902"/>
      <c r="N2516" s="902"/>
      <c r="O2516" s="892">
        <f t="shared" si="156"/>
        <v>0</v>
      </c>
      <c r="P2516" s="903">
        <f t="shared" si="157"/>
        <v>1</v>
      </c>
      <c r="Q2516" s="893">
        <f t="shared" si="158"/>
        <v>2</v>
      </c>
      <c r="R2516" s="894">
        <f t="shared" si="159"/>
        <v>0</v>
      </c>
    </row>
    <row r="2517" spans="1:18">
      <c r="A2517" s="905"/>
      <c r="B2517" s="906"/>
      <c r="C2517" s="907">
        <v>740</v>
      </c>
      <c r="D2517" s="907" t="s">
        <v>12</v>
      </c>
      <c r="E2517" s="908" t="s">
        <v>4008</v>
      </c>
      <c r="F2517" s="909" t="s">
        <v>2674</v>
      </c>
      <c r="G2517" s="910"/>
      <c r="H2517" s="911">
        <v>7.09</v>
      </c>
      <c r="I2517" s="912"/>
      <c r="J2517" s="912"/>
      <c r="K2517" s="912">
        <f>VLOOKUP(E2517,ĐMNC!$A$7:$F$67,4,0)</f>
        <v>252714</v>
      </c>
      <c r="L2517" s="912">
        <f>H2517*K2517</f>
        <v>1791742.26</v>
      </c>
      <c r="M2517" s="912"/>
      <c r="N2517" s="912"/>
      <c r="O2517" s="892">
        <f t="shared" si="156"/>
        <v>0</v>
      </c>
      <c r="P2517" s="903">
        <f t="shared" si="157"/>
        <v>1</v>
      </c>
      <c r="Q2517" s="893">
        <f t="shared" si="158"/>
        <v>1</v>
      </c>
      <c r="R2517" s="894">
        <f t="shared" si="159"/>
        <v>0</v>
      </c>
    </row>
    <row r="2518" spans="1:18" s="847" customFormat="1" ht="31.5">
      <c r="A2518" s="905"/>
      <c r="B2518" s="914" t="s">
        <v>4772</v>
      </c>
      <c r="C2518" s="915"/>
      <c r="D2518" s="915"/>
      <c r="E2518" s="916" t="s">
        <v>4773</v>
      </c>
      <c r="F2518" s="917" t="s">
        <v>249</v>
      </c>
      <c r="G2518" s="918"/>
      <c r="H2518" s="919"/>
      <c r="I2518" s="920"/>
      <c r="J2518" s="891">
        <f>SUM(J2519:J2523)</f>
        <v>8250</v>
      </c>
      <c r="K2518" s="891"/>
      <c r="L2518" s="891">
        <f>SUM(L2519:L2523)</f>
        <v>2062146.24</v>
      </c>
      <c r="M2518" s="891"/>
      <c r="N2518" s="891">
        <f>SUM(N2519:N2523)</f>
        <v>0</v>
      </c>
      <c r="O2518" s="892">
        <f t="shared" si="156"/>
        <v>1</v>
      </c>
      <c r="P2518" s="903">
        <f t="shared" si="157"/>
        <v>0</v>
      </c>
      <c r="Q2518" s="893">
        <f t="shared" si="158"/>
        <v>0</v>
      </c>
      <c r="R2518" s="894">
        <f t="shared" si="159"/>
        <v>5</v>
      </c>
    </row>
    <row r="2519" spans="1:18" s="904" customFormat="1">
      <c r="A2519" s="895"/>
      <c r="B2519" s="896"/>
      <c r="C2519" s="897"/>
      <c r="D2519" s="897"/>
      <c r="E2519" s="924" t="s">
        <v>108</v>
      </c>
      <c r="F2519" s="899"/>
      <c r="G2519" s="900"/>
      <c r="H2519" s="901"/>
      <c r="I2519" s="902"/>
      <c r="J2519" s="902"/>
      <c r="K2519" s="912" t="s">
        <v>274</v>
      </c>
      <c r="L2519" s="902"/>
      <c r="M2519" s="902"/>
      <c r="N2519" s="902"/>
      <c r="O2519" s="892">
        <f t="shared" si="156"/>
        <v>0</v>
      </c>
      <c r="P2519" s="903">
        <f t="shared" si="157"/>
        <v>1</v>
      </c>
      <c r="Q2519" s="893">
        <f t="shared" si="158"/>
        <v>5</v>
      </c>
      <c r="R2519" s="894">
        <f t="shared" si="159"/>
        <v>0</v>
      </c>
    </row>
    <row r="2520" spans="1:18">
      <c r="A2520" s="905"/>
      <c r="B2520" s="906"/>
      <c r="C2520" s="907">
        <v>66</v>
      </c>
      <c r="D2520" s="907" t="s">
        <v>279</v>
      </c>
      <c r="E2520" s="925" t="s">
        <v>2682</v>
      </c>
      <c r="F2520" s="926" t="s">
        <v>45</v>
      </c>
      <c r="G2520" s="910"/>
      <c r="H2520" s="911">
        <v>0.04</v>
      </c>
      <c r="I2520" s="912">
        <f>VLOOKUP(E2520,[3]VLP!$B$7:$K$300,10,0)</f>
        <v>5000</v>
      </c>
      <c r="J2520" s="912">
        <f>I2520*H2520</f>
        <v>200</v>
      </c>
      <c r="K2520" s="912" t="s">
        <v>274</v>
      </c>
      <c r="L2520" s="912"/>
      <c r="M2520" s="912"/>
      <c r="N2520" s="912"/>
      <c r="O2520" s="892">
        <f t="shared" si="156"/>
        <v>0</v>
      </c>
      <c r="P2520" s="903">
        <f t="shared" si="157"/>
        <v>1</v>
      </c>
      <c r="Q2520" s="893">
        <f t="shared" si="158"/>
        <v>4</v>
      </c>
      <c r="R2520" s="894">
        <f t="shared" si="159"/>
        <v>0</v>
      </c>
    </row>
    <row r="2521" spans="1:18">
      <c r="A2521" s="905"/>
      <c r="B2521" s="906"/>
      <c r="C2521" s="907">
        <v>44</v>
      </c>
      <c r="D2521" s="907" t="s">
        <v>279</v>
      </c>
      <c r="E2521" s="925" t="s">
        <v>2681</v>
      </c>
      <c r="F2521" s="926" t="s">
        <v>45</v>
      </c>
      <c r="G2521" s="910"/>
      <c r="H2521" s="911">
        <v>0.35</v>
      </c>
      <c r="I2521" s="912">
        <f>VLOOKUP(E2521,[3]VLP!$B$7:$K$300,10,0)</f>
        <v>23000</v>
      </c>
      <c r="J2521" s="912">
        <f>I2521*H2521</f>
        <v>8049.9999999999991</v>
      </c>
      <c r="K2521" s="912" t="s">
        <v>274</v>
      </c>
      <c r="L2521" s="912"/>
      <c r="M2521" s="912"/>
      <c r="N2521" s="912"/>
      <c r="O2521" s="892">
        <f t="shared" si="156"/>
        <v>0</v>
      </c>
      <c r="P2521" s="903">
        <f t="shared" si="157"/>
        <v>1</v>
      </c>
      <c r="Q2521" s="893">
        <f t="shared" si="158"/>
        <v>3</v>
      </c>
      <c r="R2521" s="894">
        <f t="shared" si="159"/>
        <v>0</v>
      </c>
    </row>
    <row r="2522" spans="1:18" s="904" customFormat="1">
      <c r="A2522" s="895"/>
      <c r="B2522" s="896"/>
      <c r="C2522" s="897"/>
      <c r="D2522" s="897"/>
      <c r="E2522" s="924" t="s">
        <v>276</v>
      </c>
      <c r="F2522" s="927"/>
      <c r="G2522" s="928"/>
      <c r="H2522" s="901"/>
      <c r="I2522" s="902"/>
      <c r="J2522" s="902"/>
      <c r="K2522" s="912" t="s">
        <v>274</v>
      </c>
      <c r="L2522" s="902"/>
      <c r="M2522" s="902"/>
      <c r="N2522" s="902"/>
      <c r="O2522" s="892">
        <f t="shared" si="156"/>
        <v>0</v>
      </c>
      <c r="P2522" s="903">
        <f t="shared" si="157"/>
        <v>1</v>
      </c>
      <c r="Q2522" s="893">
        <f t="shared" si="158"/>
        <v>2</v>
      </c>
      <c r="R2522" s="894">
        <f t="shared" si="159"/>
        <v>0</v>
      </c>
    </row>
    <row r="2523" spans="1:18">
      <c r="A2523" s="905"/>
      <c r="B2523" s="906"/>
      <c r="C2523" s="907">
        <v>740</v>
      </c>
      <c r="D2523" s="907" t="s">
        <v>12</v>
      </c>
      <c r="E2523" s="908" t="s">
        <v>4008</v>
      </c>
      <c r="F2523" s="909" t="s">
        <v>2674</v>
      </c>
      <c r="G2523" s="910"/>
      <c r="H2523" s="911">
        <v>8.16</v>
      </c>
      <c r="I2523" s="912"/>
      <c r="J2523" s="912"/>
      <c r="K2523" s="912">
        <f>VLOOKUP(E2523,ĐMNC!$A$7:$F$67,4,0)</f>
        <v>252714</v>
      </c>
      <c r="L2523" s="912">
        <f>H2523*K2523</f>
        <v>2062146.24</v>
      </c>
      <c r="M2523" s="912"/>
      <c r="N2523" s="912"/>
      <c r="O2523" s="892">
        <f t="shared" si="156"/>
        <v>0</v>
      </c>
      <c r="P2523" s="903">
        <f t="shared" si="157"/>
        <v>1</v>
      </c>
      <c r="Q2523" s="893">
        <f t="shared" si="158"/>
        <v>1</v>
      </c>
      <c r="R2523" s="894">
        <f t="shared" si="159"/>
        <v>0</v>
      </c>
    </row>
    <row r="2524" spans="1:18" s="847" customFormat="1" ht="31.5">
      <c r="A2524" s="905"/>
      <c r="B2524" s="914" t="s">
        <v>4774</v>
      </c>
      <c r="C2524" s="915"/>
      <c r="D2524" s="915"/>
      <c r="E2524" s="916" t="s">
        <v>4775</v>
      </c>
      <c r="F2524" s="917" t="s">
        <v>249</v>
      </c>
      <c r="G2524" s="918"/>
      <c r="H2524" s="919"/>
      <c r="I2524" s="920"/>
      <c r="J2524" s="891">
        <f>SUM(J2525:J2529)</f>
        <v>8250</v>
      </c>
      <c r="K2524" s="891"/>
      <c r="L2524" s="891">
        <f>SUM(L2525:L2529)</f>
        <v>2372984.46</v>
      </c>
      <c r="M2524" s="891"/>
      <c r="N2524" s="891">
        <f>SUM(N2525:N2529)</f>
        <v>0</v>
      </c>
      <c r="O2524" s="892">
        <f t="shared" si="156"/>
        <v>1</v>
      </c>
      <c r="P2524" s="903">
        <f t="shared" si="157"/>
        <v>0</v>
      </c>
      <c r="Q2524" s="893">
        <f t="shared" si="158"/>
        <v>0</v>
      </c>
      <c r="R2524" s="894">
        <f t="shared" si="159"/>
        <v>5</v>
      </c>
    </row>
    <row r="2525" spans="1:18" s="904" customFormat="1">
      <c r="A2525" s="895"/>
      <c r="B2525" s="896"/>
      <c r="C2525" s="897"/>
      <c r="D2525" s="897"/>
      <c r="E2525" s="924" t="s">
        <v>108</v>
      </c>
      <c r="F2525" s="899"/>
      <c r="G2525" s="900"/>
      <c r="H2525" s="901"/>
      <c r="I2525" s="902"/>
      <c r="J2525" s="902"/>
      <c r="K2525" s="912" t="s">
        <v>274</v>
      </c>
      <c r="L2525" s="902"/>
      <c r="M2525" s="902"/>
      <c r="N2525" s="902"/>
      <c r="O2525" s="892">
        <f t="shared" si="156"/>
        <v>0</v>
      </c>
      <c r="P2525" s="903">
        <f t="shared" si="157"/>
        <v>1</v>
      </c>
      <c r="Q2525" s="893">
        <f t="shared" si="158"/>
        <v>5</v>
      </c>
      <c r="R2525" s="894">
        <f t="shared" si="159"/>
        <v>0</v>
      </c>
    </row>
    <row r="2526" spans="1:18">
      <c r="A2526" s="905"/>
      <c r="B2526" s="906"/>
      <c r="C2526" s="907">
        <v>66</v>
      </c>
      <c r="D2526" s="907" t="s">
        <v>279</v>
      </c>
      <c r="E2526" s="925" t="s">
        <v>2682</v>
      </c>
      <c r="F2526" s="926" t="s">
        <v>45</v>
      </c>
      <c r="G2526" s="910"/>
      <c r="H2526" s="911">
        <v>0.04</v>
      </c>
      <c r="I2526" s="912">
        <f>VLOOKUP(E2526,[3]VLP!$B$7:$K$300,10,0)</f>
        <v>5000</v>
      </c>
      <c r="J2526" s="912">
        <f>I2526*H2526</f>
        <v>200</v>
      </c>
      <c r="K2526" s="912" t="s">
        <v>274</v>
      </c>
      <c r="L2526" s="912"/>
      <c r="M2526" s="912"/>
      <c r="N2526" s="912"/>
      <c r="O2526" s="892">
        <f t="shared" si="156"/>
        <v>0</v>
      </c>
      <c r="P2526" s="903">
        <f t="shared" si="157"/>
        <v>1</v>
      </c>
      <c r="Q2526" s="893">
        <f t="shared" si="158"/>
        <v>4</v>
      </c>
      <c r="R2526" s="894">
        <f t="shared" si="159"/>
        <v>0</v>
      </c>
    </row>
    <row r="2527" spans="1:18">
      <c r="A2527" s="905"/>
      <c r="B2527" s="906"/>
      <c r="C2527" s="907">
        <v>44</v>
      </c>
      <c r="D2527" s="907" t="s">
        <v>279</v>
      </c>
      <c r="E2527" s="925" t="s">
        <v>2681</v>
      </c>
      <c r="F2527" s="926" t="s">
        <v>45</v>
      </c>
      <c r="G2527" s="910"/>
      <c r="H2527" s="911">
        <v>0.35</v>
      </c>
      <c r="I2527" s="912">
        <f>VLOOKUP(E2527,[3]VLP!$B$7:$K$300,10,0)</f>
        <v>23000</v>
      </c>
      <c r="J2527" s="912">
        <f>I2527*H2527</f>
        <v>8049.9999999999991</v>
      </c>
      <c r="K2527" s="912" t="s">
        <v>274</v>
      </c>
      <c r="L2527" s="912"/>
      <c r="M2527" s="912"/>
      <c r="N2527" s="912"/>
      <c r="O2527" s="892">
        <f t="shared" si="156"/>
        <v>0</v>
      </c>
      <c r="P2527" s="903">
        <f t="shared" si="157"/>
        <v>1</v>
      </c>
      <c r="Q2527" s="893">
        <f t="shared" si="158"/>
        <v>3</v>
      </c>
      <c r="R2527" s="894">
        <f t="shared" si="159"/>
        <v>0</v>
      </c>
    </row>
    <row r="2528" spans="1:18" s="904" customFormat="1">
      <c r="A2528" s="895"/>
      <c r="B2528" s="896"/>
      <c r="C2528" s="897"/>
      <c r="D2528" s="897"/>
      <c r="E2528" s="924" t="s">
        <v>276</v>
      </c>
      <c r="F2528" s="927"/>
      <c r="G2528" s="928"/>
      <c r="H2528" s="901"/>
      <c r="I2528" s="902"/>
      <c r="J2528" s="902"/>
      <c r="K2528" s="912" t="s">
        <v>274</v>
      </c>
      <c r="L2528" s="902"/>
      <c r="M2528" s="902"/>
      <c r="N2528" s="902"/>
      <c r="O2528" s="892">
        <f t="shared" si="156"/>
        <v>0</v>
      </c>
      <c r="P2528" s="903">
        <f t="shared" si="157"/>
        <v>1</v>
      </c>
      <c r="Q2528" s="893">
        <f t="shared" si="158"/>
        <v>2</v>
      </c>
      <c r="R2528" s="894">
        <f t="shared" si="159"/>
        <v>0</v>
      </c>
    </row>
    <row r="2529" spans="1:18">
      <c r="A2529" s="905"/>
      <c r="B2529" s="906"/>
      <c r="C2529" s="907">
        <v>740</v>
      </c>
      <c r="D2529" s="907" t="s">
        <v>12</v>
      </c>
      <c r="E2529" s="908" t="s">
        <v>4008</v>
      </c>
      <c r="F2529" s="909" t="s">
        <v>2674</v>
      </c>
      <c r="G2529" s="910"/>
      <c r="H2529" s="911">
        <v>9.39</v>
      </c>
      <c r="I2529" s="912"/>
      <c r="J2529" s="912"/>
      <c r="K2529" s="912">
        <f>VLOOKUP(E2529,ĐMNC!$A$7:$F$67,4,0)</f>
        <v>252714</v>
      </c>
      <c r="L2529" s="912">
        <f>H2529*K2529</f>
        <v>2372984.46</v>
      </c>
      <c r="M2529" s="912"/>
      <c r="N2529" s="912"/>
      <c r="O2529" s="892">
        <f t="shared" si="156"/>
        <v>0</v>
      </c>
      <c r="P2529" s="903">
        <f t="shared" si="157"/>
        <v>1</v>
      </c>
      <c r="Q2529" s="893">
        <f>IF(P2529=0,0,P2529+Q2531)</f>
        <v>1</v>
      </c>
      <c r="R2529" s="894">
        <f>IF(Q2529=0,Q2531,0)</f>
        <v>0</v>
      </c>
    </row>
    <row r="2530" spans="1:18">
      <c r="A2530" s="905"/>
      <c r="B2530" s="885" t="s">
        <v>4776</v>
      </c>
      <c r="C2530" s="949"/>
      <c r="D2530" s="949"/>
      <c r="E2530" s="887" t="s">
        <v>4777</v>
      </c>
      <c r="F2530" s="909"/>
      <c r="G2530" s="910"/>
      <c r="H2530" s="911"/>
      <c r="I2530" s="912"/>
      <c r="J2530" s="912"/>
      <c r="K2530" s="912"/>
      <c r="L2530" s="912"/>
      <c r="M2530" s="912"/>
      <c r="N2530" s="912"/>
      <c r="O2530" s="892"/>
      <c r="P2530" s="903"/>
      <c r="Q2530" s="893"/>
      <c r="R2530" s="894"/>
    </row>
    <row r="2531" spans="1:18" s="847" customFormat="1" ht="31.5">
      <c r="A2531" s="905" t="s">
        <v>4778</v>
      </c>
      <c r="B2531" s="914" t="s">
        <v>4779</v>
      </c>
      <c r="C2531" s="915"/>
      <c r="D2531" s="915"/>
      <c r="E2531" s="916" t="s">
        <v>4780</v>
      </c>
      <c r="F2531" s="917" t="s">
        <v>249</v>
      </c>
      <c r="G2531" s="918"/>
      <c r="H2531" s="919"/>
      <c r="I2531" s="920"/>
      <c r="J2531" s="891">
        <f>SUM(J2532:J2536)</f>
        <v>2910</v>
      </c>
      <c r="K2531" s="891"/>
      <c r="L2531" s="891">
        <f>SUM(L2532:L2536)</f>
        <v>169318.38</v>
      </c>
      <c r="M2531" s="891"/>
      <c r="N2531" s="891">
        <f>SUM(N2532:N2536)</f>
        <v>0</v>
      </c>
      <c r="O2531" s="892">
        <f t="shared" si="156"/>
        <v>1</v>
      </c>
      <c r="P2531" s="903">
        <f t="shared" si="157"/>
        <v>0</v>
      </c>
      <c r="Q2531" s="893">
        <f t="shared" si="158"/>
        <v>0</v>
      </c>
      <c r="R2531" s="894">
        <f t="shared" si="159"/>
        <v>5</v>
      </c>
    </row>
    <row r="2532" spans="1:18" s="904" customFormat="1">
      <c r="A2532" s="895"/>
      <c r="B2532" s="922"/>
      <c r="C2532" s="897"/>
      <c r="D2532" s="897"/>
      <c r="E2532" s="924" t="s">
        <v>108</v>
      </c>
      <c r="F2532" s="899"/>
      <c r="G2532" s="900"/>
      <c r="H2532" s="901"/>
      <c r="I2532" s="902"/>
      <c r="J2532" s="902"/>
      <c r="K2532" s="912" t="s">
        <v>274</v>
      </c>
      <c r="L2532" s="902"/>
      <c r="M2532" s="902"/>
      <c r="N2532" s="902"/>
      <c r="O2532" s="892">
        <f t="shared" si="156"/>
        <v>0</v>
      </c>
      <c r="P2532" s="903">
        <f t="shared" si="157"/>
        <v>1</v>
      </c>
      <c r="Q2532" s="893">
        <f t="shared" si="158"/>
        <v>5</v>
      </c>
      <c r="R2532" s="894">
        <f t="shared" si="159"/>
        <v>0</v>
      </c>
    </row>
    <row r="2533" spans="1:18">
      <c r="A2533" s="905"/>
      <c r="B2533" s="906"/>
      <c r="C2533" s="907">
        <v>66</v>
      </c>
      <c r="D2533" s="907" t="s">
        <v>279</v>
      </c>
      <c r="E2533" s="925" t="s">
        <v>2682</v>
      </c>
      <c r="F2533" s="926" t="s">
        <v>45</v>
      </c>
      <c r="G2533" s="910"/>
      <c r="H2533" s="911">
        <v>0.03</v>
      </c>
      <c r="I2533" s="912">
        <f>VLOOKUP(E2533,[3]VLP!$B$7:$K$300,10,0)</f>
        <v>5000</v>
      </c>
      <c r="J2533" s="912">
        <f>I2533*H2533</f>
        <v>150</v>
      </c>
      <c r="K2533" s="912" t="s">
        <v>274</v>
      </c>
      <c r="L2533" s="912"/>
      <c r="M2533" s="912"/>
      <c r="N2533" s="912"/>
      <c r="O2533" s="892">
        <f t="shared" si="156"/>
        <v>0</v>
      </c>
      <c r="P2533" s="903">
        <f t="shared" si="157"/>
        <v>1</v>
      </c>
      <c r="Q2533" s="893">
        <f t="shared" si="158"/>
        <v>4</v>
      </c>
      <c r="R2533" s="894">
        <f t="shared" si="159"/>
        <v>0</v>
      </c>
    </row>
    <row r="2534" spans="1:18">
      <c r="A2534" s="905"/>
      <c r="B2534" s="906"/>
      <c r="C2534" s="907">
        <v>44</v>
      </c>
      <c r="D2534" s="907" t="s">
        <v>279</v>
      </c>
      <c r="E2534" s="925" t="s">
        <v>2681</v>
      </c>
      <c r="F2534" s="926" t="s">
        <v>45</v>
      </c>
      <c r="G2534" s="910"/>
      <c r="H2534" s="911">
        <v>0.12</v>
      </c>
      <c r="I2534" s="912">
        <f>VLOOKUP(E2534,[3]VLP!$B$7:$K$300,10,0)</f>
        <v>23000</v>
      </c>
      <c r="J2534" s="912">
        <f>I2534*H2534</f>
        <v>2760</v>
      </c>
      <c r="K2534" s="912" t="s">
        <v>274</v>
      </c>
      <c r="L2534" s="912"/>
      <c r="M2534" s="912"/>
      <c r="N2534" s="912"/>
      <c r="O2534" s="892">
        <f t="shared" si="156"/>
        <v>0</v>
      </c>
      <c r="P2534" s="903">
        <f t="shared" si="157"/>
        <v>1</v>
      </c>
      <c r="Q2534" s="893">
        <f t="shared" si="158"/>
        <v>3</v>
      </c>
      <c r="R2534" s="894">
        <f t="shared" si="159"/>
        <v>0</v>
      </c>
    </row>
    <row r="2535" spans="1:18" s="904" customFormat="1">
      <c r="A2535" s="895"/>
      <c r="B2535" s="896"/>
      <c r="C2535" s="897"/>
      <c r="D2535" s="897"/>
      <c r="E2535" s="924" t="s">
        <v>276</v>
      </c>
      <c r="F2535" s="927"/>
      <c r="G2535" s="928"/>
      <c r="H2535" s="901"/>
      <c r="I2535" s="902"/>
      <c r="J2535" s="902"/>
      <c r="K2535" s="912" t="s">
        <v>274</v>
      </c>
      <c r="L2535" s="902"/>
      <c r="M2535" s="902"/>
      <c r="N2535" s="902"/>
      <c r="O2535" s="892">
        <f t="shared" si="156"/>
        <v>0</v>
      </c>
      <c r="P2535" s="903">
        <f t="shared" si="157"/>
        <v>1</v>
      </c>
      <c r="Q2535" s="893">
        <f t="shared" si="158"/>
        <v>2</v>
      </c>
      <c r="R2535" s="894">
        <f t="shared" si="159"/>
        <v>0</v>
      </c>
    </row>
    <row r="2536" spans="1:18">
      <c r="A2536" s="905"/>
      <c r="B2536" s="906"/>
      <c r="C2536" s="907">
        <v>740</v>
      </c>
      <c r="D2536" s="907" t="s">
        <v>12</v>
      </c>
      <c r="E2536" s="908" t="s">
        <v>4008</v>
      </c>
      <c r="F2536" s="909" t="s">
        <v>2674</v>
      </c>
      <c r="G2536" s="910"/>
      <c r="H2536" s="911">
        <v>0.67</v>
      </c>
      <c r="I2536" s="912"/>
      <c r="J2536" s="912"/>
      <c r="K2536" s="912">
        <f>VLOOKUP(E2536,ĐMNC!$A$7:$F$67,4,0)</f>
        <v>252714</v>
      </c>
      <c r="L2536" s="912">
        <f>H2536*K2536</f>
        <v>169318.38</v>
      </c>
      <c r="M2536" s="912"/>
      <c r="N2536" s="912"/>
      <c r="O2536" s="892">
        <f t="shared" si="156"/>
        <v>0</v>
      </c>
      <c r="P2536" s="903">
        <f t="shared" si="157"/>
        <v>1</v>
      </c>
      <c r="Q2536" s="893">
        <f t="shared" si="158"/>
        <v>1</v>
      </c>
      <c r="R2536" s="894">
        <f t="shared" si="159"/>
        <v>0</v>
      </c>
    </row>
    <row r="2537" spans="1:18" s="847" customFormat="1" ht="31.5">
      <c r="A2537" s="905"/>
      <c r="B2537" s="914" t="s">
        <v>4781</v>
      </c>
      <c r="C2537" s="915"/>
      <c r="D2537" s="915"/>
      <c r="E2537" s="916" t="s">
        <v>4782</v>
      </c>
      <c r="F2537" s="917" t="s">
        <v>249</v>
      </c>
      <c r="G2537" s="918"/>
      <c r="H2537" s="919"/>
      <c r="I2537" s="920"/>
      <c r="J2537" s="891">
        <f>SUM(J2538:J2542)</f>
        <v>2910</v>
      </c>
      <c r="K2537" s="891"/>
      <c r="L2537" s="891">
        <f>SUM(L2538:L2542)</f>
        <v>176899.8</v>
      </c>
      <c r="M2537" s="891"/>
      <c r="N2537" s="891">
        <f>SUM(N2538:N2542)</f>
        <v>0</v>
      </c>
      <c r="O2537" s="892">
        <f t="shared" si="156"/>
        <v>1</v>
      </c>
      <c r="P2537" s="903">
        <f t="shared" si="157"/>
        <v>0</v>
      </c>
      <c r="Q2537" s="893">
        <f t="shared" si="158"/>
        <v>0</v>
      </c>
      <c r="R2537" s="894">
        <f t="shared" si="159"/>
        <v>5</v>
      </c>
    </row>
    <row r="2538" spans="1:18" s="904" customFormat="1">
      <c r="A2538" s="895"/>
      <c r="B2538" s="896"/>
      <c r="C2538" s="897"/>
      <c r="D2538" s="897"/>
      <c r="E2538" s="924" t="s">
        <v>108</v>
      </c>
      <c r="F2538" s="899"/>
      <c r="G2538" s="900"/>
      <c r="H2538" s="901"/>
      <c r="I2538" s="902"/>
      <c r="J2538" s="902"/>
      <c r="K2538" s="912" t="s">
        <v>274</v>
      </c>
      <c r="L2538" s="902"/>
      <c r="M2538" s="902"/>
      <c r="N2538" s="902"/>
      <c r="O2538" s="892">
        <f t="shared" si="156"/>
        <v>0</v>
      </c>
      <c r="P2538" s="903">
        <f t="shared" si="157"/>
        <v>1</v>
      </c>
      <c r="Q2538" s="893">
        <f t="shared" si="158"/>
        <v>5</v>
      </c>
      <c r="R2538" s="894">
        <f t="shared" si="159"/>
        <v>0</v>
      </c>
    </row>
    <row r="2539" spans="1:18">
      <c r="A2539" s="905"/>
      <c r="B2539" s="906"/>
      <c r="C2539" s="907">
        <v>66</v>
      </c>
      <c r="D2539" s="907" t="s">
        <v>279</v>
      </c>
      <c r="E2539" s="925" t="s">
        <v>2682</v>
      </c>
      <c r="F2539" s="926" t="s">
        <v>45</v>
      </c>
      <c r="G2539" s="910"/>
      <c r="H2539" s="911">
        <v>0.03</v>
      </c>
      <c r="I2539" s="912">
        <f>VLOOKUP(E2539,[3]VLP!$B$7:$K$300,10,0)</f>
        <v>5000</v>
      </c>
      <c r="J2539" s="912">
        <f>I2539*H2539</f>
        <v>150</v>
      </c>
      <c r="K2539" s="912" t="s">
        <v>274</v>
      </c>
      <c r="L2539" s="912"/>
      <c r="M2539" s="912"/>
      <c r="N2539" s="912"/>
      <c r="O2539" s="892">
        <f t="shared" si="156"/>
        <v>0</v>
      </c>
      <c r="P2539" s="903">
        <f t="shared" si="157"/>
        <v>1</v>
      </c>
      <c r="Q2539" s="893">
        <f t="shared" si="158"/>
        <v>4</v>
      </c>
      <c r="R2539" s="894">
        <f t="shared" si="159"/>
        <v>0</v>
      </c>
    </row>
    <row r="2540" spans="1:18">
      <c r="A2540" s="905"/>
      <c r="B2540" s="906"/>
      <c r="C2540" s="907">
        <v>44</v>
      </c>
      <c r="D2540" s="907" t="s">
        <v>279</v>
      </c>
      <c r="E2540" s="925" t="s">
        <v>2681</v>
      </c>
      <c r="F2540" s="926" t="s">
        <v>45</v>
      </c>
      <c r="G2540" s="910"/>
      <c r="H2540" s="911">
        <v>0.12</v>
      </c>
      <c r="I2540" s="912">
        <f>VLOOKUP(E2540,[3]VLP!$B$7:$K$300,10,0)</f>
        <v>23000</v>
      </c>
      <c r="J2540" s="912">
        <f>I2540*H2540</f>
        <v>2760</v>
      </c>
      <c r="K2540" s="912" t="s">
        <v>274</v>
      </c>
      <c r="L2540" s="912"/>
      <c r="M2540" s="912"/>
      <c r="N2540" s="912"/>
      <c r="O2540" s="892">
        <f t="shared" si="156"/>
        <v>0</v>
      </c>
      <c r="P2540" s="903">
        <f t="shared" si="157"/>
        <v>1</v>
      </c>
      <c r="Q2540" s="893">
        <f t="shared" si="158"/>
        <v>3</v>
      </c>
      <c r="R2540" s="894">
        <f t="shared" si="159"/>
        <v>0</v>
      </c>
    </row>
    <row r="2541" spans="1:18" s="904" customFormat="1">
      <c r="A2541" s="895"/>
      <c r="B2541" s="896"/>
      <c r="C2541" s="897"/>
      <c r="D2541" s="897"/>
      <c r="E2541" s="924" t="s">
        <v>276</v>
      </c>
      <c r="F2541" s="927"/>
      <c r="G2541" s="928"/>
      <c r="H2541" s="901"/>
      <c r="I2541" s="902"/>
      <c r="J2541" s="902"/>
      <c r="K2541" s="912" t="s">
        <v>274</v>
      </c>
      <c r="L2541" s="902"/>
      <c r="M2541" s="902"/>
      <c r="N2541" s="902"/>
      <c r="O2541" s="892">
        <f t="shared" si="156"/>
        <v>0</v>
      </c>
      <c r="P2541" s="903">
        <f t="shared" si="157"/>
        <v>1</v>
      </c>
      <c r="Q2541" s="893">
        <f t="shared" si="158"/>
        <v>2</v>
      </c>
      <c r="R2541" s="894">
        <f t="shared" si="159"/>
        <v>0</v>
      </c>
    </row>
    <row r="2542" spans="1:18">
      <c r="A2542" s="905"/>
      <c r="B2542" s="906"/>
      <c r="C2542" s="907">
        <v>740</v>
      </c>
      <c r="D2542" s="907" t="s">
        <v>12</v>
      </c>
      <c r="E2542" s="908" t="s">
        <v>4008</v>
      </c>
      <c r="F2542" s="909" t="s">
        <v>2674</v>
      </c>
      <c r="G2542" s="910"/>
      <c r="H2542" s="911">
        <v>0.7</v>
      </c>
      <c r="I2542" s="912"/>
      <c r="J2542" s="912"/>
      <c r="K2542" s="912">
        <f>VLOOKUP(E2542,ĐMNC!$A$7:$F$67,4,0)</f>
        <v>252714</v>
      </c>
      <c r="L2542" s="912">
        <f>H2542*K2542</f>
        <v>176899.8</v>
      </c>
      <c r="M2542" s="912"/>
      <c r="N2542" s="912"/>
      <c r="O2542" s="892">
        <f t="shared" si="156"/>
        <v>0</v>
      </c>
      <c r="P2542" s="903">
        <f t="shared" si="157"/>
        <v>1</v>
      </c>
      <c r="Q2542" s="893">
        <f t="shared" si="158"/>
        <v>1</v>
      </c>
      <c r="R2542" s="894">
        <f t="shared" si="159"/>
        <v>0</v>
      </c>
    </row>
    <row r="2543" spans="1:18" s="847" customFormat="1" ht="31.5">
      <c r="A2543" s="905"/>
      <c r="B2543" s="914" t="s">
        <v>4783</v>
      </c>
      <c r="C2543" s="915"/>
      <c r="D2543" s="915"/>
      <c r="E2543" s="916" t="s">
        <v>4784</v>
      </c>
      <c r="F2543" s="917" t="s">
        <v>249</v>
      </c>
      <c r="G2543" s="918"/>
      <c r="H2543" s="919"/>
      <c r="I2543" s="920"/>
      <c r="J2543" s="891">
        <f>SUM(J2544:J2548)</f>
        <v>2910</v>
      </c>
      <c r="K2543" s="891"/>
      <c r="L2543" s="891">
        <f>SUM(L2544:L2548)</f>
        <v>194589.78</v>
      </c>
      <c r="M2543" s="891"/>
      <c r="N2543" s="891">
        <f>SUM(N2544:N2548)</f>
        <v>0</v>
      </c>
      <c r="O2543" s="892">
        <f t="shared" si="156"/>
        <v>1</v>
      </c>
      <c r="P2543" s="903">
        <f t="shared" si="157"/>
        <v>0</v>
      </c>
      <c r="Q2543" s="893">
        <f t="shared" si="158"/>
        <v>0</v>
      </c>
      <c r="R2543" s="894">
        <f t="shared" si="159"/>
        <v>5</v>
      </c>
    </row>
    <row r="2544" spans="1:18" s="904" customFormat="1">
      <c r="A2544" s="895"/>
      <c r="B2544" s="896"/>
      <c r="C2544" s="897"/>
      <c r="D2544" s="897"/>
      <c r="E2544" s="924" t="s">
        <v>108</v>
      </c>
      <c r="F2544" s="899"/>
      <c r="G2544" s="900"/>
      <c r="H2544" s="901"/>
      <c r="I2544" s="902"/>
      <c r="J2544" s="902"/>
      <c r="K2544" s="912" t="s">
        <v>274</v>
      </c>
      <c r="L2544" s="902"/>
      <c r="M2544" s="902"/>
      <c r="N2544" s="902"/>
      <c r="O2544" s="892">
        <f t="shared" si="156"/>
        <v>0</v>
      </c>
      <c r="P2544" s="903">
        <f t="shared" si="157"/>
        <v>1</v>
      </c>
      <c r="Q2544" s="893">
        <f t="shared" si="158"/>
        <v>5</v>
      </c>
      <c r="R2544" s="894">
        <f t="shared" si="159"/>
        <v>0</v>
      </c>
    </row>
    <row r="2545" spans="1:18">
      <c r="A2545" s="905"/>
      <c r="B2545" s="906"/>
      <c r="C2545" s="907">
        <v>66</v>
      </c>
      <c r="D2545" s="907" t="s">
        <v>279</v>
      </c>
      <c r="E2545" s="925" t="s">
        <v>2682</v>
      </c>
      <c r="F2545" s="926" t="s">
        <v>45</v>
      </c>
      <c r="G2545" s="910"/>
      <c r="H2545" s="911">
        <v>0.03</v>
      </c>
      <c r="I2545" s="912">
        <f>VLOOKUP(E2545,[3]VLP!$B$7:$K$300,10,0)</f>
        <v>5000</v>
      </c>
      <c r="J2545" s="912">
        <f>I2545*H2545</f>
        <v>150</v>
      </c>
      <c r="K2545" s="912" t="s">
        <v>274</v>
      </c>
      <c r="L2545" s="912"/>
      <c r="M2545" s="912"/>
      <c r="N2545" s="912"/>
      <c r="O2545" s="892">
        <f t="shared" si="156"/>
        <v>0</v>
      </c>
      <c r="P2545" s="903">
        <f t="shared" si="157"/>
        <v>1</v>
      </c>
      <c r="Q2545" s="893">
        <f t="shared" si="158"/>
        <v>4</v>
      </c>
      <c r="R2545" s="894">
        <f t="shared" si="159"/>
        <v>0</v>
      </c>
    </row>
    <row r="2546" spans="1:18">
      <c r="A2546" s="905"/>
      <c r="B2546" s="906"/>
      <c r="C2546" s="907">
        <v>44</v>
      </c>
      <c r="D2546" s="907" t="s">
        <v>279</v>
      </c>
      <c r="E2546" s="925" t="s">
        <v>2681</v>
      </c>
      <c r="F2546" s="926" t="s">
        <v>45</v>
      </c>
      <c r="G2546" s="910"/>
      <c r="H2546" s="911">
        <v>0.12</v>
      </c>
      <c r="I2546" s="912">
        <f>VLOOKUP(E2546,[3]VLP!$B$7:$K$300,10,0)</f>
        <v>23000</v>
      </c>
      <c r="J2546" s="912">
        <f>I2546*H2546</f>
        <v>2760</v>
      </c>
      <c r="K2546" s="912" t="s">
        <v>274</v>
      </c>
      <c r="L2546" s="912"/>
      <c r="M2546" s="912"/>
      <c r="N2546" s="912"/>
      <c r="O2546" s="892">
        <f t="shared" si="156"/>
        <v>0</v>
      </c>
      <c r="P2546" s="903">
        <f t="shared" si="157"/>
        <v>1</v>
      </c>
      <c r="Q2546" s="893">
        <f t="shared" si="158"/>
        <v>3</v>
      </c>
      <c r="R2546" s="894">
        <f t="shared" si="159"/>
        <v>0</v>
      </c>
    </row>
    <row r="2547" spans="1:18" s="904" customFormat="1">
      <c r="A2547" s="895"/>
      <c r="B2547" s="896"/>
      <c r="C2547" s="897"/>
      <c r="D2547" s="897"/>
      <c r="E2547" s="924" t="s">
        <v>276</v>
      </c>
      <c r="F2547" s="927"/>
      <c r="G2547" s="928"/>
      <c r="H2547" s="901"/>
      <c r="I2547" s="902"/>
      <c r="J2547" s="902"/>
      <c r="K2547" s="912" t="s">
        <v>274</v>
      </c>
      <c r="L2547" s="902"/>
      <c r="M2547" s="902"/>
      <c r="N2547" s="902"/>
      <c r="O2547" s="892">
        <f t="shared" si="156"/>
        <v>0</v>
      </c>
      <c r="P2547" s="903">
        <f t="shared" si="157"/>
        <v>1</v>
      </c>
      <c r="Q2547" s="893">
        <f t="shared" si="158"/>
        <v>2</v>
      </c>
      <c r="R2547" s="894">
        <f t="shared" si="159"/>
        <v>0</v>
      </c>
    </row>
    <row r="2548" spans="1:18">
      <c r="A2548" s="905"/>
      <c r="B2548" s="906"/>
      <c r="C2548" s="907">
        <v>740</v>
      </c>
      <c r="D2548" s="907" t="s">
        <v>12</v>
      </c>
      <c r="E2548" s="908" t="s">
        <v>4008</v>
      </c>
      <c r="F2548" s="909" t="s">
        <v>2674</v>
      </c>
      <c r="G2548" s="910"/>
      <c r="H2548" s="911">
        <v>0.77</v>
      </c>
      <c r="I2548" s="912"/>
      <c r="J2548" s="912"/>
      <c r="K2548" s="912">
        <f>VLOOKUP(E2548,ĐMNC!$A$7:$F$67,4,0)</f>
        <v>252714</v>
      </c>
      <c r="L2548" s="912">
        <f>H2548*K2548</f>
        <v>194589.78</v>
      </c>
      <c r="M2548" s="912"/>
      <c r="N2548" s="912"/>
      <c r="O2548" s="892">
        <f t="shared" si="156"/>
        <v>0</v>
      </c>
      <c r="P2548" s="903">
        <f t="shared" si="157"/>
        <v>1</v>
      </c>
      <c r="Q2548" s="893">
        <f t="shared" si="158"/>
        <v>1</v>
      </c>
      <c r="R2548" s="894">
        <f t="shared" si="159"/>
        <v>0</v>
      </c>
    </row>
    <row r="2549" spans="1:18" s="847" customFormat="1" ht="31.5">
      <c r="A2549" s="905"/>
      <c r="B2549" s="914" t="s">
        <v>4785</v>
      </c>
      <c r="C2549" s="915"/>
      <c r="D2549" s="915"/>
      <c r="E2549" s="916" t="s">
        <v>4786</v>
      </c>
      <c r="F2549" s="917" t="s">
        <v>249</v>
      </c>
      <c r="G2549" s="918"/>
      <c r="H2549" s="919"/>
      <c r="I2549" s="920"/>
      <c r="J2549" s="891">
        <f>SUM(J2550:J2554)</f>
        <v>3945</v>
      </c>
      <c r="K2549" s="891"/>
      <c r="L2549" s="891">
        <f>SUM(L2550:L2554)</f>
        <v>240078.3</v>
      </c>
      <c r="M2549" s="891"/>
      <c r="N2549" s="891">
        <f>SUM(N2550:N2554)</f>
        <v>0</v>
      </c>
      <c r="O2549" s="892">
        <f t="shared" si="156"/>
        <v>1</v>
      </c>
      <c r="P2549" s="903">
        <f t="shared" si="157"/>
        <v>0</v>
      </c>
      <c r="Q2549" s="893">
        <f t="shared" si="158"/>
        <v>0</v>
      </c>
      <c r="R2549" s="894">
        <f t="shared" si="159"/>
        <v>5</v>
      </c>
    </row>
    <row r="2550" spans="1:18" s="904" customFormat="1">
      <c r="A2550" s="895"/>
      <c r="B2550" s="896"/>
      <c r="C2550" s="897"/>
      <c r="D2550" s="897"/>
      <c r="E2550" s="924" t="s">
        <v>108</v>
      </c>
      <c r="F2550" s="899"/>
      <c r="G2550" s="900"/>
      <c r="H2550" s="901"/>
      <c r="I2550" s="902"/>
      <c r="J2550" s="902"/>
      <c r="K2550" s="912" t="s">
        <v>274</v>
      </c>
      <c r="L2550" s="902"/>
      <c r="M2550" s="902"/>
      <c r="N2550" s="902"/>
      <c r="O2550" s="892">
        <f t="shared" si="156"/>
        <v>0</v>
      </c>
      <c r="P2550" s="903">
        <f t="shared" si="157"/>
        <v>1</v>
      </c>
      <c r="Q2550" s="893">
        <f t="shared" si="158"/>
        <v>5</v>
      </c>
      <c r="R2550" s="894">
        <f t="shared" si="159"/>
        <v>0</v>
      </c>
    </row>
    <row r="2551" spans="1:18">
      <c r="A2551" s="905"/>
      <c r="B2551" s="906"/>
      <c r="C2551" s="907">
        <v>66</v>
      </c>
      <c r="D2551" s="907" t="s">
        <v>279</v>
      </c>
      <c r="E2551" s="925" t="s">
        <v>2682</v>
      </c>
      <c r="F2551" s="926" t="s">
        <v>45</v>
      </c>
      <c r="G2551" s="910"/>
      <c r="H2551" s="911">
        <v>0.03</v>
      </c>
      <c r="I2551" s="912">
        <f>VLOOKUP(E2551,[3]VLP!$B$7:$K$300,10,0)</f>
        <v>5000</v>
      </c>
      <c r="J2551" s="912">
        <f>I2551*H2551</f>
        <v>150</v>
      </c>
      <c r="K2551" s="912" t="s">
        <v>274</v>
      </c>
      <c r="L2551" s="912"/>
      <c r="M2551" s="912"/>
      <c r="N2551" s="912"/>
      <c r="O2551" s="892">
        <f t="shared" si="156"/>
        <v>0</v>
      </c>
      <c r="P2551" s="903">
        <f t="shared" si="157"/>
        <v>1</v>
      </c>
      <c r="Q2551" s="893">
        <f t="shared" si="158"/>
        <v>4</v>
      </c>
      <c r="R2551" s="894">
        <f t="shared" si="159"/>
        <v>0</v>
      </c>
    </row>
    <row r="2552" spans="1:18">
      <c r="A2552" s="905"/>
      <c r="B2552" s="906"/>
      <c r="C2552" s="907">
        <v>44</v>
      </c>
      <c r="D2552" s="907" t="s">
        <v>279</v>
      </c>
      <c r="E2552" s="925" t="s">
        <v>2681</v>
      </c>
      <c r="F2552" s="926" t="s">
        <v>45</v>
      </c>
      <c r="G2552" s="910"/>
      <c r="H2552" s="911">
        <v>0.16500000000000001</v>
      </c>
      <c r="I2552" s="912">
        <f>VLOOKUP(E2552,[3]VLP!$B$7:$K$300,10,0)</f>
        <v>23000</v>
      </c>
      <c r="J2552" s="912">
        <f>I2552*H2552</f>
        <v>3795</v>
      </c>
      <c r="K2552" s="912" t="s">
        <v>274</v>
      </c>
      <c r="L2552" s="912"/>
      <c r="M2552" s="912"/>
      <c r="N2552" s="912"/>
      <c r="O2552" s="892">
        <f t="shared" si="156"/>
        <v>0</v>
      </c>
      <c r="P2552" s="903">
        <f t="shared" si="157"/>
        <v>1</v>
      </c>
      <c r="Q2552" s="893">
        <f t="shared" si="158"/>
        <v>3</v>
      </c>
      <c r="R2552" s="894">
        <f t="shared" si="159"/>
        <v>0</v>
      </c>
    </row>
    <row r="2553" spans="1:18" s="904" customFormat="1">
      <c r="A2553" s="895"/>
      <c r="B2553" s="896"/>
      <c r="C2553" s="897"/>
      <c r="D2553" s="897"/>
      <c r="E2553" s="924" t="s">
        <v>276</v>
      </c>
      <c r="F2553" s="927"/>
      <c r="G2553" s="928"/>
      <c r="H2553" s="901"/>
      <c r="I2553" s="902"/>
      <c r="J2553" s="902"/>
      <c r="K2553" s="912" t="s">
        <v>274</v>
      </c>
      <c r="L2553" s="902"/>
      <c r="M2553" s="902"/>
      <c r="N2553" s="902"/>
      <c r="O2553" s="892">
        <f t="shared" si="156"/>
        <v>0</v>
      </c>
      <c r="P2553" s="903">
        <f t="shared" si="157"/>
        <v>1</v>
      </c>
      <c r="Q2553" s="893">
        <f t="shared" si="158"/>
        <v>2</v>
      </c>
      <c r="R2553" s="894">
        <f t="shared" si="159"/>
        <v>0</v>
      </c>
    </row>
    <row r="2554" spans="1:18">
      <c r="A2554" s="905"/>
      <c r="B2554" s="906"/>
      <c r="C2554" s="907">
        <v>740</v>
      </c>
      <c r="D2554" s="907" t="s">
        <v>12</v>
      </c>
      <c r="E2554" s="908" t="s">
        <v>4008</v>
      </c>
      <c r="F2554" s="909" t="s">
        <v>2674</v>
      </c>
      <c r="G2554" s="910"/>
      <c r="H2554" s="911">
        <v>0.95</v>
      </c>
      <c r="I2554" s="912"/>
      <c r="J2554" s="912"/>
      <c r="K2554" s="912">
        <f>VLOOKUP(E2554,ĐMNC!$A$7:$F$67,4,0)</f>
        <v>252714</v>
      </c>
      <c r="L2554" s="912">
        <f>H2554*K2554</f>
        <v>240078.3</v>
      </c>
      <c r="M2554" s="912"/>
      <c r="N2554" s="912"/>
      <c r="O2554" s="892">
        <f t="shared" si="156"/>
        <v>0</v>
      </c>
      <c r="P2554" s="903">
        <f t="shared" si="157"/>
        <v>1</v>
      </c>
      <c r="Q2554" s="893">
        <f t="shared" si="158"/>
        <v>1</v>
      </c>
      <c r="R2554" s="894">
        <f t="shared" si="159"/>
        <v>0</v>
      </c>
    </row>
    <row r="2555" spans="1:18" s="847" customFormat="1" ht="31.5">
      <c r="A2555" s="905"/>
      <c r="B2555" s="914" t="s">
        <v>4787</v>
      </c>
      <c r="C2555" s="915"/>
      <c r="D2555" s="915"/>
      <c r="E2555" s="916" t="s">
        <v>4788</v>
      </c>
      <c r="F2555" s="917" t="s">
        <v>249</v>
      </c>
      <c r="G2555" s="918"/>
      <c r="H2555" s="919"/>
      <c r="I2555" s="920"/>
      <c r="J2555" s="891">
        <f>SUM(J2556:J2560)</f>
        <v>3945</v>
      </c>
      <c r="K2555" s="891"/>
      <c r="L2555" s="891">
        <f>SUM(L2556:L2560)</f>
        <v>252714</v>
      </c>
      <c r="M2555" s="891"/>
      <c r="N2555" s="891">
        <f>SUM(N2556:N2560)</f>
        <v>0</v>
      </c>
      <c r="O2555" s="892">
        <f t="shared" si="156"/>
        <v>1</v>
      </c>
      <c r="P2555" s="903">
        <f t="shared" si="157"/>
        <v>0</v>
      </c>
      <c r="Q2555" s="893">
        <f t="shared" si="158"/>
        <v>0</v>
      </c>
      <c r="R2555" s="894">
        <f t="shared" si="159"/>
        <v>5</v>
      </c>
    </row>
    <row r="2556" spans="1:18" s="904" customFormat="1">
      <c r="A2556" s="895"/>
      <c r="B2556" s="896"/>
      <c r="C2556" s="897"/>
      <c r="D2556" s="897"/>
      <c r="E2556" s="924" t="s">
        <v>108</v>
      </c>
      <c r="F2556" s="899"/>
      <c r="G2556" s="900"/>
      <c r="H2556" s="901"/>
      <c r="I2556" s="902"/>
      <c r="J2556" s="902"/>
      <c r="K2556" s="912" t="s">
        <v>274</v>
      </c>
      <c r="L2556" s="902"/>
      <c r="M2556" s="902"/>
      <c r="N2556" s="902"/>
      <c r="O2556" s="892">
        <f t="shared" si="156"/>
        <v>0</v>
      </c>
      <c r="P2556" s="903">
        <f t="shared" si="157"/>
        <v>1</v>
      </c>
      <c r="Q2556" s="893">
        <f t="shared" si="158"/>
        <v>5</v>
      </c>
      <c r="R2556" s="894">
        <f t="shared" si="159"/>
        <v>0</v>
      </c>
    </row>
    <row r="2557" spans="1:18">
      <c r="A2557" s="905"/>
      <c r="B2557" s="906"/>
      <c r="C2557" s="907">
        <v>66</v>
      </c>
      <c r="D2557" s="907" t="s">
        <v>279</v>
      </c>
      <c r="E2557" s="925" t="s">
        <v>2682</v>
      </c>
      <c r="F2557" s="926" t="s">
        <v>45</v>
      </c>
      <c r="G2557" s="910"/>
      <c r="H2557" s="911">
        <v>0.03</v>
      </c>
      <c r="I2557" s="912">
        <f>VLOOKUP(E2557,[3]VLP!$B$7:$K$300,10,0)</f>
        <v>5000</v>
      </c>
      <c r="J2557" s="912">
        <f>I2557*H2557</f>
        <v>150</v>
      </c>
      <c r="K2557" s="912" t="s">
        <v>274</v>
      </c>
      <c r="L2557" s="912"/>
      <c r="M2557" s="912"/>
      <c r="N2557" s="912"/>
      <c r="O2557" s="892">
        <f t="shared" si="156"/>
        <v>0</v>
      </c>
      <c r="P2557" s="903">
        <f t="shared" si="157"/>
        <v>1</v>
      </c>
      <c r="Q2557" s="893">
        <f t="shared" si="158"/>
        <v>4</v>
      </c>
      <c r="R2557" s="894">
        <f t="shared" si="159"/>
        <v>0</v>
      </c>
    </row>
    <row r="2558" spans="1:18">
      <c r="A2558" s="905"/>
      <c r="B2558" s="906"/>
      <c r="C2558" s="907">
        <v>44</v>
      </c>
      <c r="D2558" s="907" t="s">
        <v>279</v>
      </c>
      <c r="E2558" s="925" t="s">
        <v>2681</v>
      </c>
      <c r="F2558" s="926" t="s">
        <v>45</v>
      </c>
      <c r="G2558" s="910"/>
      <c r="H2558" s="911">
        <v>0.16500000000000001</v>
      </c>
      <c r="I2558" s="912">
        <f>VLOOKUP(E2558,[3]VLP!$B$7:$K$300,10,0)</f>
        <v>23000</v>
      </c>
      <c r="J2558" s="912">
        <f>I2558*H2558</f>
        <v>3795</v>
      </c>
      <c r="K2558" s="912" t="s">
        <v>274</v>
      </c>
      <c r="L2558" s="912"/>
      <c r="M2558" s="912"/>
      <c r="N2558" s="912"/>
      <c r="O2558" s="892">
        <f t="shared" si="156"/>
        <v>0</v>
      </c>
      <c r="P2558" s="903">
        <f t="shared" si="157"/>
        <v>1</v>
      </c>
      <c r="Q2558" s="893">
        <f t="shared" si="158"/>
        <v>3</v>
      </c>
      <c r="R2558" s="894">
        <f t="shared" si="159"/>
        <v>0</v>
      </c>
    </row>
    <row r="2559" spans="1:18" s="904" customFormat="1">
      <c r="A2559" s="895"/>
      <c r="B2559" s="896"/>
      <c r="C2559" s="897"/>
      <c r="D2559" s="897"/>
      <c r="E2559" s="924" t="s">
        <v>276</v>
      </c>
      <c r="F2559" s="927"/>
      <c r="G2559" s="928"/>
      <c r="H2559" s="901"/>
      <c r="I2559" s="902"/>
      <c r="J2559" s="902"/>
      <c r="K2559" s="912" t="s">
        <v>274</v>
      </c>
      <c r="L2559" s="902"/>
      <c r="M2559" s="902"/>
      <c r="N2559" s="902"/>
      <c r="O2559" s="892">
        <f t="shared" si="156"/>
        <v>0</v>
      </c>
      <c r="P2559" s="903">
        <f t="shared" si="157"/>
        <v>1</v>
      </c>
      <c r="Q2559" s="893">
        <f t="shared" si="158"/>
        <v>2</v>
      </c>
      <c r="R2559" s="894">
        <f t="shared" si="159"/>
        <v>0</v>
      </c>
    </row>
    <row r="2560" spans="1:18">
      <c r="A2560" s="905"/>
      <c r="B2560" s="906"/>
      <c r="C2560" s="907">
        <v>740</v>
      </c>
      <c r="D2560" s="907" t="s">
        <v>12</v>
      </c>
      <c r="E2560" s="908" t="s">
        <v>4008</v>
      </c>
      <c r="F2560" s="909" t="s">
        <v>2674</v>
      </c>
      <c r="G2560" s="910"/>
      <c r="H2560" s="911">
        <v>1</v>
      </c>
      <c r="I2560" s="912"/>
      <c r="J2560" s="912"/>
      <c r="K2560" s="912">
        <f>VLOOKUP(E2560,ĐMNC!$A$7:$F$67,4,0)</f>
        <v>252714</v>
      </c>
      <c r="L2560" s="912">
        <f>H2560*K2560</f>
        <v>252714</v>
      </c>
      <c r="M2560" s="912"/>
      <c r="N2560" s="912"/>
      <c r="O2560" s="892">
        <f t="shared" si="156"/>
        <v>0</v>
      </c>
      <c r="P2560" s="903">
        <f t="shared" si="157"/>
        <v>1</v>
      </c>
      <c r="Q2560" s="893">
        <f t="shared" si="158"/>
        <v>1</v>
      </c>
      <c r="R2560" s="894">
        <f t="shared" si="159"/>
        <v>0</v>
      </c>
    </row>
    <row r="2561" spans="1:18" s="847" customFormat="1" ht="31.5">
      <c r="A2561" s="905"/>
      <c r="B2561" s="914" t="s">
        <v>4789</v>
      </c>
      <c r="C2561" s="915"/>
      <c r="D2561" s="915"/>
      <c r="E2561" s="916" t="s">
        <v>4790</v>
      </c>
      <c r="F2561" s="917" t="s">
        <v>249</v>
      </c>
      <c r="G2561" s="918"/>
      <c r="H2561" s="919"/>
      <c r="I2561" s="920"/>
      <c r="J2561" s="891">
        <f>SUM(J2562:J2566)</f>
        <v>3945</v>
      </c>
      <c r="K2561" s="891"/>
      <c r="L2561" s="891">
        <f>SUM(L2562:L2566)</f>
        <v>275458.26</v>
      </c>
      <c r="M2561" s="891"/>
      <c r="N2561" s="891">
        <f>SUM(N2562:N2566)</f>
        <v>0</v>
      </c>
      <c r="O2561" s="892">
        <f t="shared" si="156"/>
        <v>1</v>
      </c>
      <c r="P2561" s="903">
        <f t="shared" si="157"/>
        <v>0</v>
      </c>
      <c r="Q2561" s="893">
        <f t="shared" si="158"/>
        <v>0</v>
      </c>
      <c r="R2561" s="894">
        <f t="shared" si="159"/>
        <v>5</v>
      </c>
    </row>
    <row r="2562" spans="1:18" s="904" customFormat="1">
      <c r="A2562" s="895"/>
      <c r="B2562" s="896"/>
      <c r="C2562" s="897"/>
      <c r="D2562" s="897"/>
      <c r="E2562" s="924" t="s">
        <v>108</v>
      </c>
      <c r="F2562" s="899"/>
      <c r="G2562" s="900"/>
      <c r="H2562" s="901"/>
      <c r="I2562" s="902"/>
      <c r="J2562" s="902"/>
      <c r="K2562" s="912" t="s">
        <v>274</v>
      </c>
      <c r="L2562" s="902"/>
      <c r="M2562" s="902"/>
      <c r="N2562" s="902"/>
      <c r="O2562" s="892">
        <f t="shared" si="156"/>
        <v>0</v>
      </c>
      <c r="P2562" s="903">
        <f t="shared" si="157"/>
        <v>1</v>
      </c>
      <c r="Q2562" s="893">
        <f t="shared" si="158"/>
        <v>5</v>
      </c>
      <c r="R2562" s="894">
        <f t="shared" si="159"/>
        <v>0</v>
      </c>
    </row>
    <row r="2563" spans="1:18">
      <c r="A2563" s="905"/>
      <c r="B2563" s="906"/>
      <c r="C2563" s="907">
        <v>66</v>
      </c>
      <c r="D2563" s="907" t="s">
        <v>279</v>
      </c>
      <c r="E2563" s="925" t="s">
        <v>2682</v>
      </c>
      <c r="F2563" s="926" t="s">
        <v>45</v>
      </c>
      <c r="G2563" s="910"/>
      <c r="H2563" s="911">
        <v>0.03</v>
      </c>
      <c r="I2563" s="912">
        <f>VLOOKUP(E2563,[3]VLP!$B$7:$K$300,10,0)</f>
        <v>5000</v>
      </c>
      <c r="J2563" s="912">
        <f>I2563*H2563</f>
        <v>150</v>
      </c>
      <c r="K2563" s="912" t="s">
        <v>274</v>
      </c>
      <c r="L2563" s="912"/>
      <c r="M2563" s="912"/>
      <c r="N2563" s="912"/>
      <c r="O2563" s="892">
        <f t="shared" si="156"/>
        <v>0</v>
      </c>
      <c r="P2563" s="903">
        <f t="shared" si="157"/>
        <v>1</v>
      </c>
      <c r="Q2563" s="893">
        <f t="shared" si="158"/>
        <v>4</v>
      </c>
      <c r="R2563" s="894">
        <f t="shared" si="159"/>
        <v>0</v>
      </c>
    </row>
    <row r="2564" spans="1:18">
      <c r="A2564" s="905"/>
      <c r="B2564" s="906"/>
      <c r="C2564" s="907">
        <v>44</v>
      </c>
      <c r="D2564" s="907" t="s">
        <v>279</v>
      </c>
      <c r="E2564" s="925" t="s">
        <v>2681</v>
      </c>
      <c r="F2564" s="926" t="s">
        <v>45</v>
      </c>
      <c r="G2564" s="910"/>
      <c r="H2564" s="911">
        <v>0.16500000000000001</v>
      </c>
      <c r="I2564" s="912">
        <f>VLOOKUP(E2564,[3]VLP!$B$7:$K$300,10,0)</f>
        <v>23000</v>
      </c>
      <c r="J2564" s="912">
        <f>I2564*H2564</f>
        <v>3795</v>
      </c>
      <c r="K2564" s="912" t="s">
        <v>274</v>
      </c>
      <c r="L2564" s="912"/>
      <c r="M2564" s="912"/>
      <c r="N2564" s="912"/>
      <c r="O2564" s="892">
        <f t="shared" si="156"/>
        <v>0</v>
      </c>
      <c r="P2564" s="903">
        <f t="shared" si="157"/>
        <v>1</v>
      </c>
      <c r="Q2564" s="893">
        <f t="shared" si="158"/>
        <v>3</v>
      </c>
      <c r="R2564" s="894">
        <f t="shared" si="159"/>
        <v>0</v>
      </c>
    </row>
    <row r="2565" spans="1:18" s="904" customFormat="1">
      <c r="A2565" s="895"/>
      <c r="B2565" s="896"/>
      <c r="C2565" s="897"/>
      <c r="D2565" s="897"/>
      <c r="E2565" s="924" t="s">
        <v>276</v>
      </c>
      <c r="F2565" s="927"/>
      <c r="G2565" s="928"/>
      <c r="H2565" s="901"/>
      <c r="I2565" s="902"/>
      <c r="J2565" s="902"/>
      <c r="K2565" s="912" t="s">
        <v>274</v>
      </c>
      <c r="L2565" s="902"/>
      <c r="M2565" s="902"/>
      <c r="N2565" s="902"/>
      <c r="O2565" s="892">
        <f t="shared" si="156"/>
        <v>0</v>
      </c>
      <c r="P2565" s="903">
        <f t="shared" si="157"/>
        <v>1</v>
      </c>
      <c r="Q2565" s="893">
        <f t="shared" si="158"/>
        <v>2</v>
      </c>
      <c r="R2565" s="894">
        <f t="shared" si="159"/>
        <v>0</v>
      </c>
    </row>
    <row r="2566" spans="1:18">
      <c r="A2566" s="905"/>
      <c r="B2566" s="906"/>
      <c r="C2566" s="907">
        <v>740</v>
      </c>
      <c r="D2566" s="907" t="s">
        <v>12</v>
      </c>
      <c r="E2566" s="908" t="s">
        <v>4008</v>
      </c>
      <c r="F2566" s="909" t="s">
        <v>2674</v>
      </c>
      <c r="G2566" s="910"/>
      <c r="H2566" s="911">
        <v>1.0900000000000001</v>
      </c>
      <c r="I2566" s="912"/>
      <c r="J2566" s="912"/>
      <c r="K2566" s="912">
        <f>VLOOKUP(E2566,ĐMNC!$A$7:$F$67,4,0)</f>
        <v>252714</v>
      </c>
      <c r="L2566" s="912">
        <f>H2566*K2566</f>
        <v>275458.26</v>
      </c>
      <c r="M2566" s="912"/>
      <c r="N2566" s="912"/>
      <c r="O2566" s="892">
        <f t="shared" si="156"/>
        <v>0</v>
      </c>
      <c r="P2566" s="903">
        <f t="shared" si="157"/>
        <v>1</v>
      </c>
      <c r="Q2566" s="893">
        <f t="shared" si="158"/>
        <v>1</v>
      </c>
      <c r="R2566" s="894">
        <f t="shared" si="159"/>
        <v>0</v>
      </c>
    </row>
    <row r="2567" spans="1:18" s="847" customFormat="1" ht="31.5">
      <c r="A2567" s="905"/>
      <c r="B2567" s="914" t="s">
        <v>4791</v>
      </c>
      <c r="C2567" s="915"/>
      <c r="D2567" s="915"/>
      <c r="E2567" s="916" t="s">
        <v>4792</v>
      </c>
      <c r="F2567" s="917" t="s">
        <v>249</v>
      </c>
      <c r="G2567" s="918"/>
      <c r="H2567" s="919"/>
      <c r="I2567" s="920"/>
      <c r="J2567" s="891">
        <f>SUM(J2568:J2572)</f>
        <v>4750</v>
      </c>
      <c r="K2567" s="891"/>
      <c r="L2567" s="891">
        <f>SUM(L2568:L2572)</f>
        <v>348745.31999999995</v>
      </c>
      <c r="M2567" s="891"/>
      <c r="N2567" s="891">
        <f>SUM(N2568:N2572)</f>
        <v>0</v>
      </c>
      <c r="O2567" s="892">
        <f t="shared" si="156"/>
        <v>1</v>
      </c>
      <c r="P2567" s="903">
        <f t="shared" si="157"/>
        <v>0</v>
      </c>
      <c r="Q2567" s="893">
        <f t="shared" si="158"/>
        <v>0</v>
      </c>
      <c r="R2567" s="894">
        <f t="shared" si="159"/>
        <v>5</v>
      </c>
    </row>
    <row r="2568" spans="1:18" s="904" customFormat="1">
      <c r="A2568" s="895"/>
      <c r="B2568" s="922"/>
      <c r="C2568" s="897"/>
      <c r="D2568" s="897"/>
      <c r="E2568" s="924" t="s">
        <v>108</v>
      </c>
      <c r="F2568" s="899"/>
      <c r="G2568" s="900"/>
      <c r="H2568" s="901"/>
      <c r="I2568" s="902"/>
      <c r="J2568" s="902"/>
      <c r="K2568" s="912" t="s">
        <v>274</v>
      </c>
      <c r="L2568" s="902"/>
      <c r="M2568" s="902"/>
      <c r="N2568" s="902"/>
      <c r="O2568" s="892">
        <f t="shared" si="156"/>
        <v>0</v>
      </c>
      <c r="P2568" s="903">
        <f t="shared" si="157"/>
        <v>1</v>
      </c>
      <c r="Q2568" s="893">
        <f t="shared" si="158"/>
        <v>5</v>
      </c>
      <c r="R2568" s="894">
        <f t="shared" si="159"/>
        <v>0</v>
      </c>
    </row>
    <row r="2569" spans="1:18">
      <c r="A2569" s="905"/>
      <c r="B2569" s="906"/>
      <c r="C2569" s="907">
        <v>66</v>
      </c>
      <c r="D2569" s="907" t="s">
        <v>279</v>
      </c>
      <c r="E2569" s="925" t="s">
        <v>2682</v>
      </c>
      <c r="F2569" s="926" t="s">
        <v>45</v>
      </c>
      <c r="G2569" s="910"/>
      <c r="H2569" s="911">
        <v>0.03</v>
      </c>
      <c r="I2569" s="912">
        <f>VLOOKUP(E2569,[3]VLP!$B$7:$K$300,10,0)</f>
        <v>5000</v>
      </c>
      <c r="J2569" s="912">
        <f>I2569*H2569</f>
        <v>150</v>
      </c>
      <c r="K2569" s="912" t="s">
        <v>274</v>
      </c>
      <c r="L2569" s="912"/>
      <c r="M2569" s="912"/>
      <c r="N2569" s="912"/>
      <c r="O2569" s="892">
        <f t="shared" ref="O2569:O2633" si="160">IF(AND(B2569&lt;&gt;"",D2569=""),1,0)</f>
        <v>0</v>
      </c>
      <c r="P2569" s="903">
        <f t="shared" si="157"/>
        <v>1</v>
      </c>
      <c r="Q2569" s="893">
        <f t="shared" si="158"/>
        <v>4</v>
      </c>
      <c r="R2569" s="894">
        <f t="shared" si="159"/>
        <v>0</v>
      </c>
    </row>
    <row r="2570" spans="1:18">
      <c r="A2570" s="905"/>
      <c r="B2570" s="906"/>
      <c r="C2570" s="907">
        <v>44</v>
      </c>
      <c r="D2570" s="907" t="s">
        <v>279</v>
      </c>
      <c r="E2570" s="925" t="s">
        <v>2681</v>
      </c>
      <c r="F2570" s="926" t="s">
        <v>45</v>
      </c>
      <c r="G2570" s="910"/>
      <c r="H2570" s="911">
        <v>0.2</v>
      </c>
      <c r="I2570" s="912">
        <f>VLOOKUP(E2570,[3]VLP!$B$7:$K$300,10,0)</f>
        <v>23000</v>
      </c>
      <c r="J2570" s="912">
        <f>I2570*H2570</f>
        <v>4600</v>
      </c>
      <c r="K2570" s="912" t="s">
        <v>274</v>
      </c>
      <c r="L2570" s="912"/>
      <c r="M2570" s="912"/>
      <c r="N2570" s="912"/>
      <c r="O2570" s="892">
        <f t="shared" si="160"/>
        <v>0</v>
      </c>
      <c r="P2570" s="903">
        <f t="shared" si="157"/>
        <v>1</v>
      </c>
      <c r="Q2570" s="893">
        <f t="shared" si="158"/>
        <v>3</v>
      </c>
      <c r="R2570" s="894">
        <f t="shared" si="159"/>
        <v>0</v>
      </c>
    </row>
    <row r="2571" spans="1:18" s="904" customFormat="1">
      <c r="A2571" s="895"/>
      <c r="B2571" s="896"/>
      <c r="C2571" s="897"/>
      <c r="D2571" s="897"/>
      <c r="E2571" s="924" t="s">
        <v>276</v>
      </c>
      <c r="F2571" s="927"/>
      <c r="G2571" s="928"/>
      <c r="H2571" s="901"/>
      <c r="I2571" s="902"/>
      <c r="J2571" s="902"/>
      <c r="K2571" s="912" t="s">
        <v>274</v>
      </c>
      <c r="L2571" s="902"/>
      <c r="M2571" s="902"/>
      <c r="N2571" s="902"/>
      <c r="O2571" s="892">
        <f t="shared" si="160"/>
        <v>0</v>
      </c>
      <c r="P2571" s="903">
        <f t="shared" si="157"/>
        <v>1</v>
      </c>
      <c r="Q2571" s="893">
        <f t="shared" si="158"/>
        <v>2</v>
      </c>
      <c r="R2571" s="894">
        <f t="shared" si="159"/>
        <v>0</v>
      </c>
    </row>
    <row r="2572" spans="1:18">
      <c r="A2572" s="905"/>
      <c r="B2572" s="906"/>
      <c r="C2572" s="907">
        <v>740</v>
      </c>
      <c r="D2572" s="907" t="s">
        <v>12</v>
      </c>
      <c r="E2572" s="908" t="s">
        <v>4008</v>
      </c>
      <c r="F2572" s="909" t="s">
        <v>2674</v>
      </c>
      <c r="G2572" s="910"/>
      <c r="H2572" s="911">
        <v>1.38</v>
      </c>
      <c r="I2572" s="912"/>
      <c r="J2572" s="912"/>
      <c r="K2572" s="912">
        <f>VLOOKUP(E2572,ĐMNC!$A$7:$F$67,4,0)</f>
        <v>252714</v>
      </c>
      <c r="L2572" s="912">
        <f>H2572*K2572</f>
        <v>348745.31999999995</v>
      </c>
      <c r="M2572" s="912"/>
      <c r="N2572" s="912"/>
      <c r="O2572" s="892">
        <f t="shared" si="160"/>
        <v>0</v>
      </c>
      <c r="P2572" s="903">
        <f t="shared" si="157"/>
        <v>1</v>
      </c>
      <c r="Q2572" s="893">
        <f t="shared" si="158"/>
        <v>1</v>
      </c>
      <c r="R2572" s="894">
        <f t="shared" si="159"/>
        <v>0</v>
      </c>
    </row>
    <row r="2573" spans="1:18" s="847" customFormat="1" ht="31.5">
      <c r="A2573" s="905"/>
      <c r="B2573" s="914" t="s">
        <v>4793</v>
      </c>
      <c r="C2573" s="915"/>
      <c r="D2573" s="915"/>
      <c r="E2573" s="916" t="s">
        <v>4794</v>
      </c>
      <c r="F2573" s="917" t="s">
        <v>249</v>
      </c>
      <c r="G2573" s="918"/>
      <c r="H2573" s="919"/>
      <c r="I2573" s="920"/>
      <c r="J2573" s="891">
        <f>SUM(J2574:J2578)</f>
        <v>5720</v>
      </c>
      <c r="K2573" s="891"/>
      <c r="L2573" s="891">
        <f>SUM(L2574:L2578)</f>
        <v>363908.16</v>
      </c>
      <c r="M2573" s="891"/>
      <c r="N2573" s="891">
        <f>SUM(N2574:N2578)</f>
        <v>0</v>
      </c>
      <c r="O2573" s="892">
        <f t="shared" si="160"/>
        <v>1</v>
      </c>
      <c r="P2573" s="903">
        <f t="shared" si="157"/>
        <v>0</v>
      </c>
      <c r="Q2573" s="893">
        <f t="shared" si="158"/>
        <v>0</v>
      </c>
      <c r="R2573" s="894">
        <f t="shared" si="159"/>
        <v>5</v>
      </c>
    </row>
    <row r="2574" spans="1:18" s="904" customFormat="1">
      <c r="A2574" s="895"/>
      <c r="B2574" s="896"/>
      <c r="C2574" s="897"/>
      <c r="D2574" s="897"/>
      <c r="E2574" s="924" t="s">
        <v>108</v>
      </c>
      <c r="F2574" s="899"/>
      <c r="G2574" s="900"/>
      <c r="H2574" s="901"/>
      <c r="I2574" s="902"/>
      <c r="J2574" s="902"/>
      <c r="K2574" s="912" t="s">
        <v>274</v>
      </c>
      <c r="L2574" s="902"/>
      <c r="M2574" s="902"/>
      <c r="N2574" s="902"/>
      <c r="O2574" s="892">
        <f t="shared" si="160"/>
        <v>0</v>
      </c>
      <c r="P2574" s="903">
        <f t="shared" si="157"/>
        <v>1</v>
      </c>
      <c r="Q2574" s="893">
        <f t="shared" si="158"/>
        <v>5</v>
      </c>
      <c r="R2574" s="894">
        <f t="shared" si="159"/>
        <v>0</v>
      </c>
    </row>
    <row r="2575" spans="1:18">
      <c r="A2575" s="905"/>
      <c r="B2575" s="906"/>
      <c r="C2575" s="907">
        <v>66</v>
      </c>
      <c r="D2575" s="907" t="s">
        <v>279</v>
      </c>
      <c r="E2575" s="925" t="s">
        <v>2682</v>
      </c>
      <c r="F2575" s="926" t="s">
        <v>45</v>
      </c>
      <c r="G2575" s="910"/>
      <c r="H2575" s="911">
        <v>0.04</v>
      </c>
      <c r="I2575" s="912">
        <f>VLOOKUP(E2575,[3]VLP!$B$7:$K$300,10,0)</f>
        <v>5000</v>
      </c>
      <c r="J2575" s="912">
        <f>I2575*H2575</f>
        <v>200</v>
      </c>
      <c r="K2575" s="912" t="s">
        <v>274</v>
      </c>
      <c r="L2575" s="912"/>
      <c r="M2575" s="912"/>
      <c r="N2575" s="912"/>
      <c r="O2575" s="892">
        <f t="shared" si="160"/>
        <v>0</v>
      </c>
      <c r="P2575" s="903">
        <f t="shared" si="157"/>
        <v>1</v>
      </c>
      <c r="Q2575" s="893">
        <f t="shared" si="158"/>
        <v>4</v>
      </c>
      <c r="R2575" s="894">
        <f t="shared" si="159"/>
        <v>0</v>
      </c>
    </row>
    <row r="2576" spans="1:18">
      <c r="A2576" s="905"/>
      <c r="B2576" s="906"/>
      <c r="C2576" s="907">
        <v>44</v>
      </c>
      <c r="D2576" s="907" t="s">
        <v>279</v>
      </c>
      <c r="E2576" s="925" t="s">
        <v>2681</v>
      </c>
      <c r="F2576" s="926" t="s">
        <v>45</v>
      </c>
      <c r="G2576" s="910"/>
      <c r="H2576" s="911">
        <v>0.24</v>
      </c>
      <c r="I2576" s="912">
        <f>VLOOKUP(E2576,[3]VLP!$B$7:$K$300,10,0)</f>
        <v>23000</v>
      </c>
      <c r="J2576" s="912">
        <f>I2576*H2576</f>
        <v>5520</v>
      </c>
      <c r="K2576" s="912" t="s">
        <v>274</v>
      </c>
      <c r="L2576" s="912"/>
      <c r="M2576" s="912"/>
      <c r="N2576" s="912"/>
      <c r="O2576" s="892">
        <f t="shared" si="160"/>
        <v>0</v>
      </c>
      <c r="P2576" s="903">
        <f t="shared" si="157"/>
        <v>1</v>
      </c>
      <c r="Q2576" s="893">
        <f t="shared" si="158"/>
        <v>3</v>
      </c>
      <c r="R2576" s="894">
        <f t="shared" si="159"/>
        <v>0</v>
      </c>
    </row>
    <row r="2577" spans="1:18" s="904" customFormat="1">
      <c r="A2577" s="895"/>
      <c r="B2577" s="896"/>
      <c r="C2577" s="897"/>
      <c r="D2577" s="897"/>
      <c r="E2577" s="924" t="s">
        <v>276</v>
      </c>
      <c r="F2577" s="927"/>
      <c r="G2577" s="928"/>
      <c r="H2577" s="901"/>
      <c r="I2577" s="902"/>
      <c r="J2577" s="902"/>
      <c r="K2577" s="912" t="s">
        <v>274</v>
      </c>
      <c r="L2577" s="902"/>
      <c r="M2577" s="902"/>
      <c r="N2577" s="902"/>
      <c r="O2577" s="892">
        <f t="shared" si="160"/>
        <v>0</v>
      </c>
      <c r="P2577" s="903">
        <f t="shared" si="157"/>
        <v>1</v>
      </c>
      <c r="Q2577" s="893">
        <f t="shared" si="158"/>
        <v>2</v>
      </c>
      <c r="R2577" s="894">
        <f t="shared" si="159"/>
        <v>0</v>
      </c>
    </row>
    <row r="2578" spans="1:18">
      <c r="A2578" s="905"/>
      <c r="B2578" s="906"/>
      <c r="C2578" s="907">
        <v>740</v>
      </c>
      <c r="D2578" s="907" t="s">
        <v>12</v>
      </c>
      <c r="E2578" s="908" t="s">
        <v>4008</v>
      </c>
      <c r="F2578" s="909" t="s">
        <v>2674</v>
      </c>
      <c r="G2578" s="910"/>
      <c r="H2578" s="911">
        <v>1.44</v>
      </c>
      <c r="I2578" s="912"/>
      <c r="J2578" s="912"/>
      <c r="K2578" s="912">
        <f>VLOOKUP(E2578,ĐMNC!$A$7:$F$67,4,0)</f>
        <v>252714</v>
      </c>
      <c r="L2578" s="912">
        <f>H2578*K2578</f>
        <v>363908.16</v>
      </c>
      <c r="M2578" s="912"/>
      <c r="N2578" s="912"/>
      <c r="O2578" s="892">
        <f t="shared" si="160"/>
        <v>0</v>
      </c>
      <c r="P2578" s="903">
        <f t="shared" ref="P2578:P2642" si="161">IF(O2578=0,1,0)</f>
        <v>1</v>
      </c>
      <c r="Q2578" s="893">
        <f t="shared" ref="Q2578:Q2642" si="162">IF(P2578=0,0,P2578+Q2579)</f>
        <v>1</v>
      </c>
      <c r="R2578" s="894">
        <f t="shared" ref="R2578:R2642" si="163">IF(Q2578=0,Q2579,0)</f>
        <v>0</v>
      </c>
    </row>
    <row r="2579" spans="1:18" s="847" customFormat="1" ht="31.5">
      <c r="A2579" s="905"/>
      <c r="B2579" s="914" t="s">
        <v>4795</v>
      </c>
      <c r="C2579" s="915"/>
      <c r="D2579" s="915"/>
      <c r="E2579" s="916" t="s">
        <v>4796</v>
      </c>
      <c r="F2579" s="917" t="s">
        <v>249</v>
      </c>
      <c r="G2579" s="918"/>
      <c r="H2579" s="919"/>
      <c r="I2579" s="920"/>
      <c r="J2579" s="891">
        <f>SUM(J2580:J2584)</f>
        <v>5720</v>
      </c>
      <c r="K2579" s="891"/>
      <c r="L2579" s="891">
        <f>SUM(L2580:L2584)</f>
        <v>381598.14</v>
      </c>
      <c r="M2579" s="891"/>
      <c r="N2579" s="891">
        <f>SUM(N2580:N2584)</f>
        <v>0</v>
      </c>
      <c r="O2579" s="892">
        <f t="shared" si="160"/>
        <v>1</v>
      </c>
      <c r="P2579" s="903">
        <f t="shared" si="161"/>
        <v>0</v>
      </c>
      <c r="Q2579" s="893">
        <f t="shared" si="162"/>
        <v>0</v>
      </c>
      <c r="R2579" s="894">
        <f t="shared" si="163"/>
        <v>5</v>
      </c>
    </row>
    <row r="2580" spans="1:18" s="904" customFormat="1">
      <c r="A2580" s="895"/>
      <c r="B2580" s="896"/>
      <c r="C2580" s="897"/>
      <c r="D2580" s="897"/>
      <c r="E2580" s="924" t="s">
        <v>108</v>
      </c>
      <c r="F2580" s="899"/>
      <c r="G2580" s="900"/>
      <c r="H2580" s="901"/>
      <c r="I2580" s="902"/>
      <c r="J2580" s="902"/>
      <c r="K2580" s="912" t="s">
        <v>274</v>
      </c>
      <c r="L2580" s="902"/>
      <c r="M2580" s="902"/>
      <c r="N2580" s="902"/>
      <c r="O2580" s="892">
        <f t="shared" si="160"/>
        <v>0</v>
      </c>
      <c r="P2580" s="903">
        <f t="shared" si="161"/>
        <v>1</v>
      </c>
      <c r="Q2580" s="893">
        <f t="shared" si="162"/>
        <v>5</v>
      </c>
      <c r="R2580" s="894">
        <f t="shared" si="163"/>
        <v>0</v>
      </c>
    </row>
    <row r="2581" spans="1:18">
      <c r="A2581" s="905"/>
      <c r="B2581" s="906"/>
      <c r="C2581" s="907">
        <v>66</v>
      </c>
      <c r="D2581" s="907" t="s">
        <v>279</v>
      </c>
      <c r="E2581" s="925" t="s">
        <v>2682</v>
      </c>
      <c r="F2581" s="926" t="s">
        <v>45</v>
      </c>
      <c r="G2581" s="910"/>
      <c r="H2581" s="911">
        <v>0.04</v>
      </c>
      <c r="I2581" s="912">
        <f>VLOOKUP(E2581,[3]VLP!$B$7:$K$300,10,0)</f>
        <v>5000</v>
      </c>
      <c r="J2581" s="912">
        <f>I2581*H2581</f>
        <v>200</v>
      </c>
      <c r="K2581" s="912" t="s">
        <v>274</v>
      </c>
      <c r="L2581" s="912"/>
      <c r="M2581" s="912"/>
      <c r="N2581" s="912"/>
      <c r="O2581" s="892">
        <f t="shared" si="160"/>
        <v>0</v>
      </c>
      <c r="P2581" s="903">
        <f t="shared" si="161"/>
        <v>1</v>
      </c>
      <c r="Q2581" s="893">
        <f t="shared" si="162"/>
        <v>4</v>
      </c>
      <c r="R2581" s="894">
        <f t="shared" si="163"/>
        <v>0</v>
      </c>
    </row>
    <row r="2582" spans="1:18">
      <c r="A2582" s="905"/>
      <c r="B2582" s="906"/>
      <c r="C2582" s="907">
        <v>44</v>
      </c>
      <c r="D2582" s="907" t="s">
        <v>279</v>
      </c>
      <c r="E2582" s="925" t="s">
        <v>2681</v>
      </c>
      <c r="F2582" s="926" t="s">
        <v>45</v>
      </c>
      <c r="G2582" s="910"/>
      <c r="H2582" s="911">
        <v>0.24</v>
      </c>
      <c r="I2582" s="912">
        <f>VLOOKUP(E2582,[3]VLP!$B$7:$K$300,10,0)</f>
        <v>23000</v>
      </c>
      <c r="J2582" s="912">
        <f>I2582*H2582</f>
        <v>5520</v>
      </c>
      <c r="K2582" s="912" t="s">
        <v>274</v>
      </c>
      <c r="L2582" s="912"/>
      <c r="M2582" s="912"/>
      <c r="N2582" s="912"/>
      <c r="O2582" s="892">
        <f t="shared" si="160"/>
        <v>0</v>
      </c>
      <c r="P2582" s="903">
        <f t="shared" si="161"/>
        <v>1</v>
      </c>
      <c r="Q2582" s="893">
        <f t="shared" si="162"/>
        <v>3</v>
      </c>
      <c r="R2582" s="894">
        <f t="shared" si="163"/>
        <v>0</v>
      </c>
    </row>
    <row r="2583" spans="1:18" s="904" customFormat="1">
      <c r="A2583" s="895"/>
      <c r="B2583" s="896"/>
      <c r="C2583" s="897"/>
      <c r="D2583" s="897"/>
      <c r="E2583" s="924" t="s">
        <v>276</v>
      </c>
      <c r="F2583" s="927"/>
      <c r="G2583" s="928"/>
      <c r="H2583" s="901"/>
      <c r="I2583" s="902"/>
      <c r="J2583" s="902"/>
      <c r="K2583" s="912" t="s">
        <v>274</v>
      </c>
      <c r="L2583" s="902"/>
      <c r="M2583" s="902"/>
      <c r="N2583" s="902"/>
      <c r="O2583" s="892">
        <f t="shared" si="160"/>
        <v>0</v>
      </c>
      <c r="P2583" s="903">
        <f t="shared" si="161"/>
        <v>1</v>
      </c>
      <c r="Q2583" s="893">
        <f t="shared" si="162"/>
        <v>2</v>
      </c>
      <c r="R2583" s="894">
        <f t="shared" si="163"/>
        <v>0</v>
      </c>
    </row>
    <row r="2584" spans="1:18">
      <c r="A2584" s="905"/>
      <c r="B2584" s="906"/>
      <c r="C2584" s="907">
        <v>740</v>
      </c>
      <c r="D2584" s="907" t="s">
        <v>12</v>
      </c>
      <c r="E2584" s="908" t="s">
        <v>4008</v>
      </c>
      <c r="F2584" s="909" t="s">
        <v>2674</v>
      </c>
      <c r="G2584" s="910"/>
      <c r="H2584" s="911">
        <v>1.51</v>
      </c>
      <c r="I2584" s="912"/>
      <c r="J2584" s="912"/>
      <c r="K2584" s="912">
        <f>VLOOKUP(E2584,ĐMNC!$A$7:$F$67,4,0)</f>
        <v>252714</v>
      </c>
      <c r="L2584" s="912">
        <f>H2584*K2584</f>
        <v>381598.14</v>
      </c>
      <c r="M2584" s="912"/>
      <c r="N2584" s="912"/>
      <c r="O2584" s="892">
        <f t="shared" si="160"/>
        <v>0</v>
      </c>
      <c r="P2584" s="903">
        <f t="shared" si="161"/>
        <v>1</v>
      </c>
      <c r="Q2584" s="893">
        <f t="shared" si="162"/>
        <v>1</v>
      </c>
      <c r="R2584" s="894">
        <f t="shared" si="163"/>
        <v>0</v>
      </c>
    </row>
    <row r="2585" spans="1:18" s="847" customFormat="1" ht="31.5">
      <c r="A2585" s="905"/>
      <c r="B2585" s="914" t="s">
        <v>4797</v>
      </c>
      <c r="C2585" s="915"/>
      <c r="D2585" s="915"/>
      <c r="E2585" s="916" t="s">
        <v>4798</v>
      </c>
      <c r="F2585" s="917" t="s">
        <v>249</v>
      </c>
      <c r="G2585" s="918"/>
      <c r="H2585" s="919"/>
      <c r="I2585" s="920"/>
      <c r="J2585" s="891">
        <f>SUM(J2586:J2590)</f>
        <v>5720</v>
      </c>
      <c r="K2585" s="891"/>
      <c r="L2585" s="891">
        <f>SUM(L2586:L2590)</f>
        <v>416978.1</v>
      </c>
      <c r="M2585" s="891"/>
      <c r="N2585" s="891">
        <f>SUM(N2586:N2590)</f>
        <v>0</v>
      </c>
      <c r="O2585" s="892">
        <f t="shared" si="160"/>
        <v>1</v>
      </c>
      <c r="P2585" s="903">
        <f t="shared" si="161"/>
        <v>0</v>
      </c>
      <c r="Q2585" s="893">
        <f t="shared" si="162"/>
        <v>0</v>
      </c>
      <c r="R2585" s="894">
        <f t="shared" si="163"/>
        <v>5</v>
      </c>
    </row>
    <row r="2586" spans="1:18" s="904" customFormat="1">
      <c r="A2586" s="895"/>
      <c r="B2586" s="896"/>
      <c r="C2586" s="897"/>
      <c r="D2586" s="897"/>
      <c r="E2586" s="924" t="s">
        <v>108</v>
      </c>
      <c r="F2586" s="899"/>
      <c r="G2586" s="900"/>
      <c r="H2586" s="901"/>
      <c r="I2586" s="902"/>
      <c r="J2586" s="902"/>
      <c r="K2586" s="912" t="s">
        <v>274</v>
      </c>
      <c r="L2586" s="902"/>
      <c r="M2586" s="902"/>
      <c r="N2586" s="902"/>
      <c r="O2586" s="892">
        <f t="shared" si="160"/>
        <v>0</v>
      </c>
      <c r="P2586" s="903">
        <f t="shared" si="161"/>
        <v>1</v>
      </c>
      <c r="Q2586" s="893">
        <f t="shared" si="162"/>
        <v>5</v>
      </c>
      <c r="R2586" s="894">
        <f t="shared" si="163"/>
        <v>0</v>
      </c>
    </row>
    <row r="2587" spans="1:18">
      <c r="A2587" s="905"/>
      <c r="B2587" s="906"/>
      <c r="C2587" s="907">
        <v>66</v>
      </c>
      <c r="D2587" s="907" t="s">
        <v>279</v>
      </c>
      <c r="E2587" s="925" t="s">
        <v>2682</v>
      </c>
      <c r="F2587" s="926" t="s">
        <v>45</v>
      </c>
      <c r="G2587" s="910"/>
      <c r="H2587" s="911">
        <v>0.04</v>
      </c>
      <c r="I2587" s="912">
        <f>VLOOKUP(E2587,[3]VLP!$B$7:$K$300,10,0)</f>
        <v>5000</v>
      </c>
      <c r="J2587" s="912">
        <f>I2587*H2587</f>
        <v>200</v>
      </c>
      <c r="K2587" s="912" t="s">
        <v>274</v>
      </c>
      <c r="L2587" s="912"/>
      <c r="M2587" s="912"/>
      <c r="N2587" s="912"/>
      <c r="O2587" s="892">
        <f t="shared" si="160"/>
        <v>0</v>
      </c>
      <c r="P2587" s="903">
        <f t="shared" si="161"/>
        <v>1</v>
      </c>
      <c r="Q2587" s="893">
        <f t="shared" si="162"/>
        <v>4</v>
      </c>
      <c r="R2587" s="894">
        <f t="shared" si="163"/>
        <v>0</v>
      </c>
    </row>
    <row r="2588" spans="1:18">
      <c r="A2588" s="905"/>
      <c r="B2588" s="906"/>
      <c r="C2588" s="907">
        <v>44</v>
      </c>
      <c r="D2588" s="907" t="s">
        <v>279</v>
      </c>
      <c r="E2588" s="925" t="s">
        <v>2681</v>
      </c>
      <c r="F2588" s="926" t="s">
        <v>45</v>
      </c>
      <c r="G2588" s="910"/>
      <c r="H2588" s="911">
        <v>0.24</v>
      </c>
      <c r="I2588" s="912">
        <f>VLOOKUP(E2588,[3]VLP!$B$7:$K$300,10,0)</f>
        <v>23000</v>
      </c>
      <c r="J2588" s="912">
        <f>I2588*H2588</f>
        <v>5520</v>
      </c>
      <c r="K2588" s="912" t="s">
        <v>274</v>
      </c>
      <c r="L2588" s="912"/>
      <c r="M2588" s="912"/>
      <c r="N2588" s="912"/>
      <c r="O2588" s="892">
        <f t="shared" si="160"/>
        <v>0</v>
      </c>
      <c r="P2588" s="903">
        <f t="shared" si="161"/>
        <v>1</v>
      </c>
      <c r="Q2588" s="893">
        <f t="shared" si="162"/>
        <v>3</v>
      </c>
      <c r="R2588" s="894">
        <f t="shared" si="163"/>
        <v>0</v>
      </c>
    </row>
    <row r="2589" spans="1:18" s="904" customFormat="1">
      <c r="A2589" s="895"/>
      <c r="B2589" s="896"/>
      <c r="C2589" s="897"/>
      <c r="D2589" s="897"/>
      <c r="E2589" s="924" t="s">
        <v>276</v>
      </c>
      <c r="F2589" s="927"/>
      <c r="G2589" s="928"/>
      <c r="H2589" s="901"/>
      <c r="I2589" s="902"/>
      <c r="J2589" s="902"/>
      <c r="K2589" s="912" t="s">
        <v>274</v>
      </c>
      <c r="L2589" s="902"/>
      <c r="M2589" s="902"/>
      <c r="N2589" s="902"/>
      <c r="O2589" s="892">
        <f t="shared" si="160"/>
        <v>0</v>
      </c>
      <c r="P2589" s="903">
        <f t="shared" si="161"/>
        <v>1</v>
      </c>
      <c r="Q2589" s="893">
        <f t="shared" si="162"/>
        <v>2</v>
      </c>
      <c r="R2589" s="894">
        <f t="shared" si="163"/>
        <v>0</v>
      </c>
    </row>
    <row r="2590" spans="1:18">
      <c r="A2590" s="905"/>
      <c r="B2590" s="906"/>
      <c r="C2590" s="907">
        <v>740</v>
      </c>
      <c r="D2590" s="907" t="s">
        <v>12</v>
      </c>
      <c r="E2590" s="908" t="s">
        <v>4008</v>
      </c>
      <c r="F2590" s="909" t="s">
        <v>2674</v>
      </c>
      <c r="G2590" s="910"/>
      <c r="H2590" s="911">
        <v>1.65</v>
      </c>
      <c r="I2590" s="912"/>
      <c r="J2590" s="912"/>
      <c r="K2590" s="912">
        <f>VLOOKUP(E2590,ĐMNC!$A$7:$F$67,4,0)</f>
        <v>252714</v>
      </c>
      <c r="L2590" s="912">
        <f>H2590*K2590</f>
        <v>416978.1</v>
      </c>
      <c r="M2590" s="912"/>
      <c r="N2590" s="912"/>
      <c r="O2590" s="892">
        <f t="shared" si="160"/>
        <v>0</v>
      </c>
      <c r="P2590" s="903">
        <f t="shared" si="161"/>
        <v>1</v>
      </c>
      <c r="Q2590" s="893">
        <f t="shared" si="162"/>
        <v>1</v>
      </c>
      <c r="R2590" s="894">
        <f t="shared" si="163"/>
        <v>0</v>
      </c>
    </row>
    <row r="2591" spans="1:18" s="847" customFormat="1" ht="31.5">
      <c r="A2591" s="905"/>
      <c r="B2591" s="914" t="s">
        <v>4799</v>
      </c>
      <c r="C2591" s="915"/>
      <c r="D2591" s="915"/>
      <c r="E2591" s="916" t="s">
        <v>4800</v>
      </c>
      <c r="F2591" s="917" t="s">
        <v>249</v>
      </c>
      <c r="G2591" s="918"/>
      <c r="H2591" s="919"/>
      <c r="I2591" s="920"/>
      <c r="J2591" s="891">
        <f>SUM(J2592:J2596)</f>
        <v>6869.9999999999991</v>
      </c>
      <c r="K2591" s="891"/>
      <c r="L2591" s="891">
        <f>SUM(L2592:L2596)</f>
        <v>434668.08</v>
      </c>
      <c r="M2591" s="891"/>
      <c r="N2591" s="891">
        <f>SUM(N2592:N2596)</f>
        <v>0</v>
      </c>
      <c r="O2591" s="892">
        <f t="shared" si="160"/>
        <v>1</v>
      </c>
      <c r="P2591" s="903">
        <f t="shared" si="161"/>
        <v>0</v>
      </c>
      <c r="Q2591" s="893">
        <f t="shared" si="162"/>
        <v>0</v>
      </c>
      <c r="R2591" s="894">
        <f t="shared" si="163"/>
        <v>5</v>
      </c>
    </row>
    <row r="2592" spans="1:18" s="904" customFormat="1">
      <c r="A2592" s="895"/>
      <c r="B2592" s="896"/>
      <c r="C2592" s="897"/>
      <c r="D2592" s="897"/>
      <c r="E2592" s="924" t="s">
        <v>108</v>
      </c>
      <c r="F2592" s="899"/>
      <c r="G2592" s="900"/>
      <c r="H2592" s="901"/>
      <c r="I2592" s="902"/>
      <c r="J2592" s="902"/>
      <c r="K2592" s="912" t="s">
        <v>274</v>
      </c>
      <c r="L2592" s="902"/>
      <c r="M2592" s="902"/>
      <c r="N2592" s="902"/>
      <c r="O2592" s="892">
        <f t="shared" si="160"/>
        <v>0</v>
      </c>
      <c r="P2592" s="903">
        <f t="shared" si="161"/>
        <v>1</v>
      </c>
      <c r="Q2592" s="893">
        <f t="shared" si="162"/>
        <v>5</v>
      </c>
      <c r="R2592" s="894">
        <f t="shared" si="163"/>
        <v>0</v>
      </c>
    </row>
    <row r="2593" spans="1:18">
      <c r="A2593" s="905"/>
      <c r="B2593" s="906"/>
      <c r="C2593" s="907">
        <v>66</v>
      </c>
      <c r="D2593" s="907" t="s">
        <v>279</v>
      </c>
      <c r="E2593" s="925" t="s">
        <v>2682</v>
      </c>
      <c r="F2593" s="926" t="s">
        <v>45</v>
      </c>
      <c r="G2593" s="910"/>
      <c r="H2593" s="911">
        <v>0.04</v>
      </c>
      <c r="I2593" s="912">
        <f>VLOOKUP(E2593,[3]VLP!$B$7:$K$300,10,0)</f>
        <v>5000</v>
      </c>
      <c r="J2593" s="912">
        <f>I2593*H2593</f>
        <v>200</v>
      </c>
      <c r="K2593" s="912" t="s">
        <v>274</v>
      </c>
      <c r="L2593" s="912"/>
      <c r="M2593" s="912"/>
      <c r="N2593" s="912"/>
      <c r="O2593" s="892">
        <f t="shared" si="160"/>
        <v>0</v>
      </c>
      <c r="P2593" s="903">
        <f t="shared" si="161"/>
        <v>1</v>
      </c>
      <c r="Q2593" s="893">
        <f t="shared" si="162"/>
        <v>4</v>
      </c>
      <c r="R2593" s="894">
        <f t="shared" si="163"/>
        <v>0</v>
      </c>
    </row>
    <row r="2594" spans="1:18">
      <c r="A2594" s="905"/>
      <c r="B2594" s="906"/>
      <c r="C2594" s="907">
        <v>44</v>
      </c>
      <c r="D2594" s="907" t="s">
        <v>279</v>
      </c>
      <c r="E2594" s="925" t="s">
        <v>2681</v>
      </c>
      <c r="F2594" s="926" t="s">
        <v>45</v>
      </c>
      <c r="G2594" s="910"/>
      <c r="H2594" s="911">
        <v>0.28999999999999998</v>
      </c>
      <c r="I2594" s="912">
        <f>VLOOKUP(E2594,[3]VLP!$B$7:$K$300,10,0)</f>
        <v>23000</v>
      </c>
      <c r="J2594" s="912">
        <f>I2594*H2594</f>
        <v>6669.9999999999991</v>
      </c>
      <c r="K2594" s="912" t="s">
        <v>274</v>
      </c>
      <c r="L2594" s="912"/>
      <c r="M2594" s="912"/>
      <c r="N2594" s="912"/>
      <c r="O2594" s="892">
        <f t="shared" si="160"/>
        <v>0</v>
      </c>
      <c r="P2594" s="903">
        <f t="shared" si="161"/>
        <v>1</v>
      </c>
      <c r="Q2594" s="893">
        <f t="shared" si="162"/>
        <v>3</v>
      </c>
      <c r="R2594" s="894">
        <f t="shared" si="163"/>
        <v>0</v>
      </c>
    </row>
    <row r="2595" spans="1:18" s="904" customFormat="1">
      <c r="A2595" s="895"/>
      <c r="B2595" s="896"/>
      <c r="C2595" s="897"/>
      <c r="D2595" s="897"/>
      <c r="E2595" s="924" t="s">
        <v>276</v>
      </c>
      <c r="F2595" s="927"/>
      <c r="G2595" s="928"/>
      <c r="H2595" s="901"/>
      <c r="I2595" s="902"/>
      <c r="J2595" s="902"/>
      <c r="K2595" s="912" t="s">
        <v>274</v>
      </c>
      <c r="L2595" s="902"/>
      <c r="M2595" s="902"/>
      <c r="N2595" s="902"/>
      <c r="O2595" s="892">
        <f t="shared" si="160"/>
        <v>0</v>
      </c>
      <c r="P2595" s="903">
        <f t="shared" si="161"/>
        <v>1</v>
      </c>
      <c r="Q2595" s="893">
        <f t="shared" si="162"/>
        <v>2</v>
      </c>
      <c r="R2595" s="894">
        <f t="shared" si="163"/>
        <v>0</v>
      </c>
    </row>
    <row r="2596" spans="1:18">
      <c r="A2596" s="905"/>
      <c r="B2596" s="906"/>
      <c r="C2596" s="907">
        <v>740</v>
      </c>
      <c r="D2596" s="907" t="s">
        <v>12</v>
      </c>
      <c r="E2596" s="908" t="s">
        <v>4008</v>
      </c>
      <c r="F2596" s="909" t="s">
        <v>2674</v>
      </c>
      <c r="G2596" s="910"/>
      <c r="H2596" s="911">
        <v>1.72</v>
      </c>
      <c r="I2596" s="912"/>
      <c r="J2596" s="912"/>
      <c r="K2596" s="912">
        <f>VLOOKUP(E2596,ĐMNC!$A$7:$F$67,4,0)</f>
        <v>252714</v>
      </c>
      <c r="L2596" s="912">
        <f>H2596*K2596</f>
        <v>434668.08</v>
      </c>
      <c r="M2596" s="912"/>
      <c r="N2596" s="912"/>
      <c r="O2596" s="892">
        <f t="shared" si="160"/>
        <v>0</v>
      </c>
      <c r="P2596" s="903">
        <f t="shared" si="161"/>
        <v>1</v>
      </c>
      <c r="Q2596" s="893">
        <f t="shared" si="162"/>
        <v>1</v>
      </c>
      <c r="R2596" s="894">
        <f t="shared" si="163"/>
        <v>0</v>
      </c>
    </row>
    <row r="2597" spans="1:18" s="847" customFormat="1" ht="31.5">
      <c r="A2597" s="905"/>
      <c r="B2597" s="914" t="s">
        <v>4801</v>
      </c>
      <c r="C2597" s="915"/>
      <c r="D2597" s="915"/>
      <c r="E2597" s="916" t="s">
        <v>4802</v>
      </c>
      <c r="F2597" s="917" t="s">
        <v>249</v>
      </c>
      <c r="G2597" s="918"/>
      <c r="H2597" s="919"/>
      <c r="I2597" s="920"/>
      <c r="J2597" s="891">
        <f>SUM(J2598:J2602)</f>
        <v>6869.9999999999991</v>
      </c>
      <c r="K2597" s="891"/>
      <c r="L2597" s="891">
        <f>SUM(L2598:L2602)</f>
        <v>459939.48000000004</v>
      </c>
      <c r="M2597" s="891"/>
      <c r="N2597" s="891">
        <f>SUM(N2598:N2602)</f>
        <v>0</v>
      </c>
      <c r="O2597" s="892">
        <f t="shared" si="160"/>
        <v>1</v>
      </c>
      <c r="P2597" s="903">
        <f t="shared" si="161"/>
        <v>0</v>
      </c>
      <c r="Q2597" s="893">
        <f t="shared" si="162"/>
        <v>0</v>
      </c>
      <c r="R2597" s="894">
        <f t="shared" si="163"/>
        <v>5</v>
      </c>
    </row>
    <row r="2598" spans="1:18" s="904" customFormat="1">
      <c r="A2598" s="895"/>
      <c r="B2598" s="896"/>
      <c r="C2598" s="897"/>
      <c r="D2598" s="897"/>
      <c r="E2598" s="924" t="s">
        <v>108</v>
      </c>
      <c r="F2598" s="899"/>
      <c r="G2598" s="900"/>
      <c r="H2598" s="901"/>
      <c r="I2598" s="902"/>
      <c r="J2598" s="902"/>
      <c r="K2598" s="912" t="s">
        <v>274</v>
      </c>
      <c r="L2598" s="902"/>
      <c r="M2598" s="902"/>
      <c r="N2598" s="902"/>
      <c r="O2598" s="892">
        <f t="shared" si="160"/>
        <v>0</v>
      </c>
      <c r="P2598" s="903">
        <f t="shared" si="161"/>
        <v>1</v>
      </c>
      <c r="Q2598" s="893">
        <f t="shared" si="162"/>
        <v>5</v>
      </c>
      <c r="R2598" s="894">
        <f t="shared" si="163"/>
        <v>0</v>
      </c>
    </row>
    <row r="2599" spans="1:18">
      <c r="A2599" s="905"/>
      <c r="B2599" s="906"/>
      <c r="C2599" s="907">
        <v>66</v>
      </c>
      <c r="D2599" s="907" t="s">
        <v>279</v>
      </c>
      <c r="E2599" s="925" t="s">
        <v>2682</v>
      </c>
      <c r="F2599" s="926" t="s">
        <v>45</v>
      </c>
      <c r="G2599" s="910"/>
      <c r="H2599" s="911">
        <v>0.04</v>
      </c>
      <c r="I2599" s="912">
        <f>VLOOKUP(E2599,[3]VLP!$B$7:$K$300,10,0)</f>
        <v>5000</v>
      </c>
      <c r="J2599" s="912">
        <f>I2599*H2599</f>
        <v>200</v>
      </c>
      <c r="K2599" s="912" t="s">
        <v>274</v>
      </c>
      <c r="L2599" s="912"/>
      <c r="M2599" s="912"/>
      <c r="N2599" s="912"/>
      <c r="O2599" s="892">
        <f t="shared" si="160"/>
        <v>0</v>
      </c>
      <c r="P2599" s="903">
        <f t="shared" si="161"/>
        <v>1</v>
      </c>
      <c r="Q2599" s="893">
        <f t="shared" si="162"/>
        <v>4</v>
      </c>
      <c r="R2599" s="894">
        <f t="shared" si="163"/>
        <v>0</v>
      </c>
    </row>
    <row r="2600" spans="1:18">
      <c r="A2600" s="905"/>
      <c r="B2600" s="906"/>
      <c r="C2600" s="907">
        <v>44</v>
      </c>
      <c r="D2600" s="907" t="s">
        <v>279</v>
      </c>
      <c r="E2600" s="925" t="s">
        <v>2681</v>
      </c>
      <c r="F2600" s="926" t="s">
        <v>45</v>
      </c>
      <c r="G2600" s="910"/>
      <c r="H2600" s="911">
        <v>0.28999999999999998</v>
      </c>
      <c r="I2600" s="912">
        <f>VLOOKUP(E2600,[3]VLP!$B$7:$K$300,10,0)</f>
        <v>23000</v>
      </c>
      <c r="J2600" s="912">
        <f>I2600*H2600</f>
        <v>6669.9999999999991</v>
      </c>
      <c r="K2600" s="912" t="s">
        <v>274</v>
      </c>
      <c r="L2600" s="912"/>
      <c r="M2600" s="912"/>
      <c r="N2600" s="912"/>
      <c r="O2600" s="892">
        <f t="shared" si="160"/>
        <v>0</v>
      </c>
      <c r="P2600" s="903">
        <f t="shared" si="161"/>
        <v>1</v>
      </c>
      <c r="Q2600" s="893">
        <f t="shared" si="162"/>
        <v>3</v>
      </c>
      <c r="R2600" s="894">
        <f t="shared" si="163"/>
        <v>0</v>
      </c>
    </row>
    <row r="2601" spans="1:18" s="904" customFormat="1">
      <c r="A2601" s="895"/>
      <c r="B2601" s="896"/>
      <c r="C2601" s="897"/>
      <c r="D2601" s="897"/>
      <c r="E2601" s="924" t="s">
        <v>276</v>
      </c>
      <c r="F2601" s="927"/>
      <c r="G2601" s="928"/>
      <c r="H2601" s="901"/>
      <c r="I2601" s="902"/>
      <c r="J2601" s="902"/>
      <c r="K2601" s="912" t="s">
        <v>274</v>
      </c>
      <c r="L2601" s="902"/>
      <c r="M2601" s="902"/>
      <c r="N2601" s="902"/>
      <c r="O2601" s="892">
        <f t="shared" si="160"/>
        <v>0</v>
      </c>
      <c r="P2601" s="903">
        <f t="shared" si="161"/>
        <v>1</v>
      </c>
      <c r="Q2601" s="893">
        <f t="shared" si="162"/>
        <v>2</v>
      </c>
      <c r="R2601" s="894">
        <f t="shared" si="163"/>
        <v>0</v>
      </c>
    </row>
    <row r="2602" spans="1:18">
      <c r="A2602" s="905"/>
      <c r="B2602" s="906"/>
      <c r="C2602" s="907">
        <v>740</v>
      </c>
      <c r="D2602" s="907" t="s">
        <v>12</v>
      </c>
      <c r="E2602" s="908" t="s">
        <v>4008</v>
      </c>
      <c r="F2602" s="909" t="s">
        <v>2674</v>
      </c>
      <c r="G2602" s="910"/>
      <c r="H2602" s="911">
        <v>1.82</v>
      </c>
      <c r="I2602" s="912"/>
      <c r="J2602" s="912"/>
      <c r="K2602" s="912">
        <f>VLOOKUP(E2602,ĐMNC!$A$7:$F$67,4,0)</f>
        <v>252714</v>
      </c>
      <c r="L2602" s="912">
        <f>H2602*K2602</f>
        <v>459939.48000000004</v>
      </c>
      <c r="M2602" s="912"/>
      <c r="N2602" s="912"/>
      <c r="O2602" s="892">
        <f t="shared" si="160"/>
        <v>0</v>
      </c>
      <c r="P2602" s="903">
        <f t="shared" si="161"/>
        <v>1</v>
      </c>
      <c r="Q2602" s="893">
        <f t="shared" si="162"/>
        <v>1</v>
      </c>
      <c r="R2602" s="894">
        <f t="shared" si="163"/>
        <v>0</v>
      </c>
    </row>
    <row r="2603" spans="1:18" s="847" customFormat="1" ht="31.5">
      <c r="A2603" s="905"/>
      <c r="B2603" s="914" t="s">
        <v>4803</v>
      </c>
      <c r="C2603" s="915"/>
      <c r="D2603" s="915"/>
      <c r="E2603" s="916" t="s">
        <v>4804</v>
      </c>
      <c r="F2603" s="917" t="s">
        <v>249</v>
      </c>
      <c r="G2603" s="918"/>
      <c r="H2603" s="919"/>
      <c r="I2603" s="920"/>
      <c r="J2603" s="891">
        <f>SUM(J2604:J2608)</f>
        <v>6869.9999999999991</v>
      </c>
      <c r="K2603" s="891"/>
      <c r="L2603" s="891">
        <f>SUM(L2604:L2608)</f>
        <v>497846.58</v>
      </c>
      <c r="M2603" s="891"/>
      <c r="N2603" s="891">
        <f>SUM(N2604:N2608)</f>
        <v>0</v>
      </c>
      <c r="O2603" s="892">
        <f t="shared" si="160"/>
        <v>1</v>
      </c>
      <c r="P2603" s="903">
        <f t="shared" si="161"/>
        <v>0</v>
      </c>
      <c r="Q2603" s="893">
        <f t="shared" si="162"/>
        <v>0</v>
      </c>
      <c r="R2603" s="894">
        <f t="shared" si="163"/>
        <v>5</v>
      </c>
    </row>
    <row r="2604" spans="1:18" s="904" customFormat="1">
      <c r="A2604" s="895"/>
      <c r="B2604" s="896"/>
      <c r="C2604" s="897"/>
      <c r="D2604" s="897"/>
      <c r="E2604" s="924" t="s">
        <v>108</v>
      </c>
      <c r="F2604" s="899"/>
      <c r="G2604" s="900"/>
      <c r="H2604" s="901"/>
      <c r="I2604" s="902"/>
      <c r="J2604" s="902"/>
      <c r="K2604" s="912" t="s">
        <v>274</v>
      </c>
      <c r="L2604" s="902"/>
      <c r="M2604" s="902"/>
      <c r="N2604" s="902"/>
      <c r="O2604" s="892">
        <f t="shared" si="160"/>
        <v>0</v>
      </c>
      <c r="P2604" s="903">
        <f t="shared" si="161"/>
        <v>1</v>
      </c>
      <c r="Q2604" s="893">
        <f t="shared" si="162"/>
        <v>5</v>
      </c>
      <c r="R2604" s="894">
        <f t="shared" si="163"/>
        <v>0</v>
      </c>
    </row>
    <row r="2605" spans="1:18">
      <c r="A2605" s="905"/>
      <c r="B2605" s="906"/>
      <c r="C2605" s="907">
        <v>66</v>
      </c>
      <c r="D2605" s="907" t="s">
        <v>279</v>
      </c>
      <c r="E2605" s="925" t="s">
        <v>2682</v>
      </c>
      <c r="F2605" s="926" t="s">
        <v>45</v>
      </c>
      <c r="G2605" s="910"/>
      <c r="H2605" s="911">
        <v>0.04</v>
      </c>
      <c r="I2605" s="912">
        <f>VLOOKUP(E2605,[3]VLP!$B$7:$K$300,10,0)</f>
        <v>5000</v>
      </c>
      <c r="J2605" s="912">
        <f>I2605*H2605</f>
        <v>200</v>
      </c>
      <c r="K2605" s="912" t="s">
        <v>274</v>
      </c>
      <c r="L2605" s="912"/>
      <c r="M2605" s="912"/>
      <c r="N2605" s="912"/>
      <c r="O2605" s="892">
        <f t="shared" si="160"/>
        <v>0</v>
      </c>
      <c r="P2605" s="903">
        <f t="shared" si="161"/>
        <v>1</v>
      </c>
      <c r="Q2605" s="893">
        <f t="shared" si="162"/>
        <v>4</v>
      </c>
      <c r="R2605" s="894">
        <f t="shared" si="163"/>
        <v>0</v>
      </c>
    </row>
    <row r="2606" spans="1:18">
      <c r="A2606" s="905"/>
      <c r="B2606" s="906"/>
      <c r="C2606" s="907">
        <v>44</v>
      </c>
      <c r="D2606" s="907" t="s">
        <v>279</v>
      </c>
      <c r="E2606" s="925" t="s">
        <v>2681</v>
      </c>
      <c r="F2606" s="926" t="s">
        <v>45</v>
      </c>
      <c r="G2606" s="910"/>
      <c r="H2606" s="911">
        <v>0.28999999999999998</v>
      </c>
      <c r="I2606" s="912">
        <f>VLOOKUP(E2606,[3]VLP!$B$7:$K$300,10,0)</f>
        <v>23000</v>
      </c>
      <c r="J2606" s="912">
        <f>I2606*H2606</f>
        <v>6669.9999999999991</v>
      </c>
      <c r="K2606" s="912" t="s">
        <v>274</v>
      </c>
      <c r="L2606" s="912"/>
      <c r="M2606" s="912"/>
      <c r="N2606" s="912"/>
      <c r="O2606" s="892">
        <f t="shared" si="160"/>
        <v>0</v>
      </c>
      <c r="P2606" s="903">
        <f t="shared" si="161"/>
        <v>1</v>
      </c>
      <c r="Q2606" s="893">
        <f t="shared" si="162"/>
        <v>3</v>
      </c>
      <c r="R2606" s="894">
        <f t="shared" si="163"/>
        <v>0</v>
      </c>
    </row>
    <row r="2607" spans="1:18" s="904" customFormat="1">
      <c r="A2607" s="895"/>
      <c r="B2607" s="896"/>
      <c r="C2607" s="897"/>
      <c r="D2607" s="897"/>
      <c r="E2607" s="924" t="s">
        <v>276</v>
      </c>
      <c r="F2607" s="927"/>
      <c r="G2607" s="928"/>
      <c r="H2607" s="901"/>
      <c r="I2607" s="902"/>
      <c r="J2607" s="902"/>
      <c r="K2607" s="912" t="s">
        <v>274</v>
      </c>
      <c r="L2607" s="902"/>
      <c r="M2607" s="902"/>
      <c r="N2607" s="902"/>
      <c r="O2607" s="892">
        <f t="shared" si="160"/>
        <v>0</v>
      </c>
      <c r="P2607" s="903">
        <f t="shared" si="161"/>
        <v>1</v>
      </c>
      <c r="Q2607" s="893">
        <f t="shared" si="162"/>
        <v>2</v>
      </c>
      <c r="R2607" s="894">
        <f t="shared" si="163"/>
        <v>0</v>
      </c>
    </row>
    <row r="2608" spans="1:18">
      <c r="A2608" s="905"/>
      <c r="B2608" s="906"/>
      <c r="C2608" s="907">
        <v>740</v>
      </c>
      <c r="D2608" s="907" t="s">
        <v>12</v>
      </c>
      <c r="E2608" s="908" t="s">
        <v>4008</v>
      </c>
      <c r="F2608" s="909" t="s">
        <v>2674</v>
      </c>
      <c r="G2608" s="910"/>
      <c r="H2608" s="911">
        <v>1.97</v>
      </c>
      <c r="I2608" s="912"/>
      <c r="J2608" s="912"/>
      <c r="K2608" s="912">
        <f>VLOOKUP(E2608,ĐMNC!$A$7:$F$67,4,0)</f>
        <v>252714</v>
      </c>
      <c r="L2608" s="912">
        <f>H2608*K2608</f>
        <v>497846.58</v>
      </c>
      <c r="M2608" s="912"/>
      <c r="N2608" s="912"/>
      <c r="O2608" s="892">
        <f t="shared" si="160"/>
        <v>0</v>
      </c>
      <c r="P2608" s="903">
        <f t="shared" si="161"/>
        <v>1</v>
      </c>
      <c r="Q2608" s="893">
        <f t="shared" si="162"/>
        <v>1</v>
      </c>
      <c r="R2608" s="894">
        <f t="shared" si="163"/>
        <v>0</v>
      </c>
    </row>
    <row r="2609" spans="1:18" s="847" customFormat="1" ht="31.5">
      <c r="A2609" s="905"/>
      <c r="B2609" s="914" t="s">
        <v>4805</v>
      </c>
      <c r="C2609" s="915"/>
      <c r="D2609" s="915"/>
      <c r="E2609" s="916" t="s">
        <v>4806</v>
      </c>
      <c r="F2609" s="917" t="s">
        <v>249</v>
      </c>
      <c r="G2609" s="918"/>
      <c r="H2609" s="919"/>
      <c r="I2609" s="920"/>
      <c r="J2609" s="891">
        <f>SUM(J2610:J2614)</f>
        <v>8250</v>
      </c>
      <c r="K2609" s="891"/>
      <c r="L2609" s="891">
        <f>SUM(L2610:L2614)</f>
        <v>523117.98</v>
      </c>
      <c r="M2609" s="891"/>
      <c r="N2609" s="891">
        <f>SUM(N2610:N2614)</f>
        <v>0</v>
      </c>
      <c r="O2609" s="892">
        <f t="shared" si="160"/>
        <v>1</v>
      </c>
      <c r="P2609" s="903">
        <f t="shared" si="161"/>
        <v>0</v>
      </c>
      <c r="Q2609" s="893">
        <f t="shared" si="162"/>
        <v>0</v>
      </c>
      <c r="R2609" s="894">
        <f t="shared" si="163"/>
        <v>5</v>
      </c>
    </row>
    <row r="2610" spans="1:18" s="904" customFormat="1">
      <c r="A2610" s="895"/>
      <c r="B2610" s="922"/>
      <c r="C2610" s="897"/>
      <c r="D2610" s="897"/>
      <c r="E2610" s="924" t="s">
        <v>108</v>
      </c>
      <c r="F2610" s="899"/>
      <c r="G2610" s="900"/>
      <c r="H2610" s="901"/>
      <c r="I2610" s="902"/>
      <c r="J2610" s="902"/>
      <c r="K2610" s="912" t="s">
        <v>274</v>
      </c>
      <c r="L2610" s="902"/>
      <c r="M2610" s="902"/>
      <c r="N2610" s="902"/>
      <c r="O2610" s="892">
        <f t="shared" si="160"/>
        <v>0</v>
      </c>
      <c r="P2610" s="903">
        <f t="shared" si="161"/>
        <v>1</v>
      </c>
      <c r="Q2610" s="893">
        <f t="shared" si="162"/>
        <v>5</v>
      </c>
      <c r="R2610" s="894">
        <f t="shared" si="163"/>
        <v>0</v>
      </c>
    </row>
    <row r="2611" spans="1:18">
      <c r="A2611" s="905"/>
      <c r="B2611" s="906"/>
      <c r="C2611" s="907">
        <v>66</v>
      </c>
      <c r="D2611" s="907" t="s">
        <v>279</v>
      </c>
      <c r="E2611" s="925" t="s">
        <v>2682</v>
      </c>
      <c r="F2611" s="926" t="s">
        <v>45</v>
      </c>
      <c r="G2611" s="910"/>
      <c r="H2611" s="911">
        <v>0.04</v>
      </c>
      <c r="I2611" s="912">
        <f>VLOOKUP(E2611,[3]VLP!$B$7:$K$300,10,0)</f>
        <v>5000</v>
      </c>
      <c r="J2611" s="912">
        <f>I2611*H2611</f>
        <v>200</v>
      </c>
      <c r="K2611" s="912" t="s">
        <v>274</v>
      </c>
      <c r="L2611" s="912"/>
      <c r="M2611" s="912"/>
      <c r="N2611" s="912"/>
      <c r="O2611" s="892">
        <f t="shared" si="160"/>
        <v>0</v>
      </c>
      <c r="P2611" s="903">
        <f t="shared" si="161"/>
        <v>1</v>
      </c>
      <c r="Q2611" s="893">
        <f t="shared" si="162"/>
        <v>4</v>
      </c>
      <c r="R2611" s="894">
        <f t="shared" si="163"/>
        <v>0</v>
      </c>
    </row>
    <row r="2612" spans="1:18">
      <c r="A2612" s="905"/>
      <c r="B2612" s="906"/>
      <c r="C2612" s="907">
        <v>44</v>
      </c>
      <c r="D2612" s="907" t="s">
        <v>279</v>
      </c>
      <c r="E2612" s="925" t="s">
        <v>2681</v>
      </c>
      <c r="F2612" s="926" t="s">
        <v>45</v>
      </c>
      <c r="G2612" s="910"/>
      <c r="H2612" s="911">
        <v>0.35</v>
      </c>
      <c r="I2612" s="912">
        <f>VLOOKUP(E2612,[3]VLP!$B$7:$K$300,10,0)</f>
        <v>23000</v>
      </c>
      <c r="J2612" s="912">
        <f>I2612*H2612</f>
        <v>8049.9999999999991</v>
      </c>
      <c r="K2612" s="912" t="s">
        <v>274</v>
      </c>
      <c r="L2612" s="912"/>
      <c r="M2612" s="912"/>
      <c r="N2612" s="912"/>
      <c r="O2612" s="892">
        <f t="shared" si="160"/>
        <v>0</v>
      </c>
      <c r="P2612" s="903">
        <f t="shared" si="161"/>
        <v>1</v>
      </c>
      <c r="Q2612" s="893">
        <f t="shared" si="162"/>
        <v>3</v>
      </c>
      <c r="R2612" s="894">
        <f t="shared" si="163"/>
        <v>0</v>
      </c>
    </row>
    <row r="2613" spans="1:18" s="904" customFormat="1">
      <c r="A2613" s="895"/>
      <c r="B2613" s="896"/>
      <c r="C2613" s="897"/>
      <c r="D2613" s="897"/>
      <c r="E2613" s="924" t="s">
        <v>276</v>
      </c>
      <c r="F2613" s="927"/>
      <c r="G2613" s="928"/>
      <c r="H2613" s="901"/>
      <c r="I2613" s="902"/>
      <c r="J2613" s="902"/>
      <c r="K2613" s="912" t="s">
        <v>274</v>
      </c>
      <c r="L2613" s="902"/>
      <c r="M2613" s="902"/>
      <c r="N2613" s="902"/>
      <c r="O2613" s="892">
        <f t="shared" si="160"/>
        <v>0</v>
      </c>
      <c r="P2613" s="903">
        <f t="shared" si="161"/>
        <v>1</v>
      </c>
      <c r="Q2613" s="893">
        <f t="shared" si="162"/>
        <v>2</v>
      </c>
      <c r="R2613" s="894">
        <f t="shared" si="163"/>
        <v>0</v>
      </c>
    </row>
    <row r="2614" spans="1:18">
      <c r="A2614" s="905"/>
      <c r="B2614" s="906"/>
      <c r="C2614" s="907">
        <v>740</v>
      </c>
      <c r="D2614" s="907" t="s">
        <v>12</v>
      </c>
      <c r="E2614" s="908" t="s">
        <v>4008</v>
      </c>
      <c r="F2614" s="909" t="s">
        <v>2674</v>
      </c>
      <c r="G2614" s="910"/>
      <c r="H2614" s="911">
        <v>2.0699999999999998</v>
      </c>
      <c r="I2614" s="912"/>
      <c r="J2614" s="912"/>
      <c r="K2614" s="912">
        <f>VLOOKUP(E2614,ĐMNC!$A$7:$F$67,4,0)</f>
        <v>252714</v>
      </c>
      <c r="L2614" s="912">
        <f>H2614*K2614</f>
        <v>523117.98</v>
      </c>
      <c r="M2614" s="912"/>
      <c r="N2614" s="912"/>
      <c r="O2614" s="892">
        <f t="shared" si="160"/>
        <v>0</v>
      </c>
      <c r="P2614" s="903">
        <f t="shared" si="161"/>
        <v>1</v>
      </c>
      <c r="Q2614" s="893">
        <f t="shared" si="162"/>
        <v>1</v>
      </c>
      <c r="R2614" s="894">
        <f t="shared" si="163"/>
        <v>0</v>
      </c>
    </row>
    <row r="2615" spans="1:18" s="847" customFormat="1" ht="31.5">
      <c r="A2615" s="905"/>
      <c r="B2615" s="914" t="s">
        <v>4807</v>
      </c>
      <c r="C2615" s="915"/>
      <c r="D2615" s="915"/>
      <c r="E2615" s="916" t="s">
        <v>4808</v>
      </c>
      <c r="F2615" s="917" t="s">
        <v>249</v>
      </c>
      <c r="G2615" s="918"/>
      <c r="H2615" s="919"/>
      <c r="I2615" s="920"/>
      <c r="J2615" s="891">
        <f>SUM(J2616:J2620)</f>
        <v>8250</v>
      </c>
      <c r="K2615" s="891"/>
      <c r="L2615" s="891">
        <f>SUM(L2616:L2620)</f>
        <v>550916.52</v>
      </c>
      <c r="M2615" s="891"/>
      <c r="N2615" s="891">
        <f>SUM(N2616:N2620)</f>
        <v>0</v>
      </c>
      <c r="O2615" s="892">
        <f t="shared" si="160"/>
        <v>1</v>
      </c>
      <c r="P2615" s="903">
        <f t="shared" si="161"/>
        <v>0</v>
      </c>
      <c r="Q2615" s="893">
        <f t="shared" si="162"/>
        <v>0</v>
      </c>
      <c r="R2615" s="894">
        <f t="shared" si="163"/>
        <v>5</v>
      </c>
    </row>
    <row r="2616" spans="1:18" s="904" customFormat="1">
      <c r="A2616" s="895"/>
      <c r="B2616" s="896"/>
      <c r="C2616" s="897"/>
      <c r="D2616" s="897"/>
      <c r="E2616" s="924" t="s">
        <v>108</v>
      </c>
      <c r="F2616" s="899"/>
      <c r="G2616" s="900"/>
      <c r="H2616" s="901"/>
      <c r="I2616" s="902"/>
      <c r="J2616" s="902"/>
      <c r="K2616" s="912" t="s">
        <v>274</v>
      </c>
      <c r="L2616" s="902"/>
      <c r="M2616" s="902"/>
      <c r="N2616" s="902"/>
      <c r="O2616" s="892">
        <f t="shared" si="160"/>
        <v>0</v>
      </c>
      <c r="P2616" s="903">
        <f t="shared" si="161"/>
        <v>1</v>
      </c>
      <c r="Q2616" s="893">
        <f t="shared" si="162"/>
        <v>5</v>
      </c>
      <c r="R2616" s="894">
        <f t="shared" si="163"/>
        <v>0</v>
      </c>
    </row>
    <row r="2617" spans="1:18">
      <c r="A2617" s="905"/>
      <c r="B2617" s="906"/>
      <c r="C2617" s="907">
        <v>66</v>
      </c>
      <c r="D2617" s="907" t="s">
        <v>279</v>
      </c>
      <c r="E2617" s="925" t="s">
        <v>2682</v>
      </c>
      <c r="F2617" s="926" t="s">
        <v>45</v>
      </c>
      <c r="G2617" s="910"/>
      <c r="H2617" s="911">
        <v>0.04</v>
      </c>
      <c r="I2617" s="912">
        <f>VLOOKUP(E2617,[3]VLP!$B$7:$K$300,10,0)</f>
        <v>5000</v>
      </c>
      <c r="J2617" s="912">
        <f>I2617*H2617</f>
        <v>200</v>
      </c>
      <c r="K2617" s="912" t="s">
        <v>274</v>
      </c>
      <c r="L2617" s="912"/>
      <c r="M2617" s="912"/>
      <c r="N2617" s="912"/>
      <c r="O2617" s="892">
        <f t="shared" si="160"/>
        <v>0</v>
      </c>
      <c r="P2617" s="903">
        <f t="shared" si="161"/>
        <v>1</v>
      </c>
      <c r="Q2617" s="893">
        <f t="shared" si="162"/>
        <v>4</v>
      </c>
      <c r="R2617" s="894">
        <f t="shared" si="163"/>
        <v>0</v>
      </c>
    </row>
    <row r="2618" spans="1:18">
      <c r="A2618" s="905"/>
      <c r="B2618" s="906"/>
      <c r="C2618" s="907">
        <v>44</v>
      </c>
      <c r="D2618" s="907" t="s">
        <v>279</v>
      </c>
      <c r="E2618" s="925" t="s">
        <v>2681</v>
      </c>
      <c r="F2618" s="926" t="s">
        <v>45</v>
      </c>
      <c r="G2618" s="910"/>
      <c r="H2618" s="911">
        <v>0.35</v>
      </c>
      <c r="I2618" s="912">
        <f>VLOOKUP(E2618,[3]VLP!$B$7:$K$300,10,0)</f>
        <v>23000</v>
      </c>
      <c r="J2618" s="912">
        <f>I2618*H2618</f>
        <v>8049.9999999999991</v>
      </c>
      <c r="K2618" s="912" t="s">
        <v>274</v>
      </c>
      <c r="L2618" s="912"/>
      <c r="M2618" s="912"/>
      <c r="N2618" s="912"/>
      <c r="O2618" s="892">
        <f t="shared" si="160"/>
        <v>0</v>
      </c>
      <c r="P2618" s="903">
        <f t="shared" si="161"/>
        <v>1</v>
      </c>
      <c r="Q2618" s="893">
        <f t="shared" si="162"/>
        <v>3</v>
      </c>
      <c r="R2618" s="894">
        <f t="shared" si="163"/>
        <v>0</v>
      </c>
    </row>
    <row r="2619" spans="1:18" s="904" customFormat="1">
      <c r="A2619" s="895"/>
      <c r="B2619" s="896"/>
      <c r="C2619" s="897"/>
      <c r="D2619" s="897"/>
      <c r="E2619" s="924" t="s">
        <v>276</v>
      </c>
      <c r="F2619" s="927"/>
      <c r="G2619" s="928"/>
      <c r="H2619" s="901"/>
      <c r="I2619" s="902"/>
      <c r="J2619" s="902"/>
      <c r="K2619" s="912" t="s">
        <v>274</v>
      </c>
      <c r="L2619" s="902"/>
      <c r="M2619" s="902"/>
      <c r="N2619" s="902"/>
      <c r="O2619" s="892">
        <f t="shared" si="160"/>
        <v>0</v>
      </c>
      <c r="P2619" s="903">
        <f t="shared" si="161"/>
        <v>1</v>
      </c>
      <c r="Q2619" s="893">
        <f t="shared" si="162"/>
        <v>2</v>
      </c>
      <c r="R2619" s="894">
        <f t="shared" si="163"/>
        <v>0</v>
      </c>
    </row>
    <row r="2620" spans="1:18">
      <c r="A2620" s="905"/>
      <c r="B2620" s="906"/>
      <c r="C2620" s="907">
        <v>740</v>
      </c>
      <c r="D2620" s="907" t="s">
        <v>12</v>
      </c>
      <c r="E2620" s="908" t="s">
        <v>4008</v>
      </c>
      <c r="F2620" s="909" t="s">
        <v>2674</v>
      </c>
      <c r="G2620" s="910"/>
      <c r="H2620" s="911">
        <v>2.1800000000000002</v>
      </c>
      <c r="I2620" s="912"/>
      <c r="J2620" s="912"/>
      <c r="K2620" s="912">
        <f>VLOOKUP(E2620,ĐMNC!$A$7:$F$67,4,0)</f>
        <v>252714</v>
      </c>
      <c r="L2620" s="912">
        <f>H2620*K2620</f>
        <v>550916.52</v>
      </c>
      <c r="M2620" s="912"/>
      <c r="N2620" s="912"/>
      <c r="O2620" s="892">
        <f t="shared" si="160"/>
        <v>0</v>
      </c>
      <c r="P2620" s="903">
        <f t="shared" si="161"/>
        <v>1</v>
      </c>
      <c r="Q2620" s="893">
        <f t="shared" si="162"/>
        <v>1</v>
      </c>
      <c r="R2620" s="894">
        <f t="shared" si="163"/>
        <v>0</v>
      </c>
    </row>
    <row r="2621" spans="1:18" s="847" customFormat="1" ht="31.5">
      <c r="A2621" s="905"/>
      <c r="B2621" s="914" t="s">
        <v>4809</v>
      </c>
      <c r="C2621" s="915"/>
      <c r="D2621" s="915"/>
      <c r="E2621" s="916" t="s">
        <v>4810</v>
      </c>
      <c r="F2621" s="917" t="s">
        <v>249</v>
      </c>
      <c r="G2621" s="918"/>
      <c r="H2621" s="919"/>
      <c r="I2621" s="920"/>
      <c r="J2621" s="891">
        <f>SUM(J2622:J2626)</f>
        <v>8250</v>
      </c>
      <c r="K2621" s="891"/>
      <c r="L2621" s="891">
        <f>SUM(L2622:L2626)</f>
        <v>598932.18000000005</v>
      </c>
      <c r="M2621" s="891"/>
      <c r="N2621" s="891">
        <f>SUM(N2622:N2626)</f>
        <v>0</v>
      </c>
      <c r="O2621" s="892">
        <f t="shared" si="160"/>
        <v>1</v>
      </c>
      <c r="P2621" s="903">
        <f t="shared" si="161"/>
        <v>0</v>
      </c>
      <c r="Q2621" s="893">
        <f t="shared" si="162"/>
        <v>0</v>
      </c>
      <c r="R2621" s="894">
        <f t="shared" si="163"/>
        <v>5</v>
      </c>
    </row>
    <row r="2622" spans="1:18" s="904" customFormat="1">
      <c r="A2622" s="895"/>
      <c r="B2622" s="896"/>
      <c r="C2622" s="897"/>
      <c r="D2622" s="897"/>
      <c r="E2622" s="924" t="s">
        <v>108</v>
      </c>
      <c r="F2622" s="899"/>
      <c r="G2622" s="900"/>
      <c r="H2622" s="901"/>
      <c r="I2622" s="902"/>
      <c r="J2622" s="902"/>
      <c r="K2622" s="912" t="s">
        <v>274</v>
      </c>
      <c r="L2622" s="902"/>
      <c r="M2622" s="902"/>
      <c r="N2622" s="902"/>
      <c r="O2622" s="892">
        <f t="shared" si="160"/>
        <v>0</v>
      </c>
      <c r="P2622" s="903">
        <f t="shared" si="161"/>
        <v>1</v>
      </c>
      <c r="Q2622" s="893">
        <f t="shared" si="162"/>
        <v>5</v>
      </c>
      <c r="R2622" s="894">
        <f t="shared" si="163"/>
        <v>0</v>
      </c>
    </row>
    <row r="2623" spans="1:18">
      <c r="A2623" s="905"/>
      <c r="B2623" s="906"/>
      <c r="C2623" s="907">
        <v>66</v>
      </c>
      <c r="D2623" s="907" t="s">
        <v>279</v>
      </c>
      <c r="E2623" s="925" t="s">
        <v>2682</v>
      </c>
      <c r="F2623" s="926" t="s">
        <v>45</v>
      </c>
      <c r="G2623" s="910"/>
      <c r="H2623" s="911">
        <v>0.04</v>
      </c>
      <c r="I2623" s="912">
        <f>VLOOKUP(E2623,[3]VLP!$B$7:$K$300,10,0)</f>
        <v>5000</v>
      </c>
      <c r="J2623" s="912">
        <f>I2623*H2623</f>
        <v>200</v>
      </c>
      <c r="K2623" s="912" t="s">
        <v>274</v>
      </c>
      <c r="L2623" s="912"/>
      <c r="M2623" s="912"/>
      <c r="N2623" s="912"/>
      <c r="O2623" s="892">
        <f t="shared" si="160"/>
        <v>0</v>
      </c>
      <c r="P2623" s="903">
        <f t="shared" si="161"/>
        <v>1</v>
      </c>
      <c r="Q2623" s="893">
        <f t="shared" si="162"/>
        <v>4</v>
      </c>
      <c r="R2623" s="894">
        <f t="shared" si="163"/>
        <v>0</v>
      </c>
    </row>
    <row r="2624" spans="1:18">
      <c r="A2624" s="905"/>
      <c r="B2624" s="906"/>
      <c r="C2624" s="907">
        <v>44</v>
      </c>
      <c r="D2624" s="907" t="s">
        <v>279</v>
      </c>
      <c r="E2624" s="925" t="s">
        <v>2681</v>
      </c>
      <c r="F2624" s="926" t="s">
        <v>45</v>
      </c>
      <c r="G2624" s="910"/>
      <c r="H2624" s="911">
        <v>0.35</v>
      </c>
      <c r="I2624" s="912">
        <f>VLOOKUP(E2624,[3]VLP!$B$7:$K$300,10,0)</f>
        <v>23000</v>
      </c>
      <c r="J2624" s="912">
        <f>I2624*H2624</f>
        <v>8049.9999999999991</v>
      </c>
      <c r="K2624" s="912" t="s">
        <v>274</v>
      </c>
      <c r="L2624" s="912"/>
      <c r="M2624" s="912"/>
      <c r="N2624" s="912"/>
      <c r="O2624" s="892">
        <f t="shared" si="160"/>
        <v>0</v>
      </c>
      <c r="P2624" s="903">
        <f t="shared" si="161"/>
        <v>1</v>
      </c>
      <c r="Q2624" s="893">
        <f t="shared" si="162"/>
        <v>3</v>
      </c>
      <c r="R2624" s="894">
        <f t="shared" si="163"/>
        <v>0</v>
      </c>
    </row>
    <row r="2625" spans="1:18" s="904" customFormat="1">
      <c r="A2625" s="895"/>
      <c r="B2625" s="896"/>
      <c r="C2625" s="897"/>
      <c r="D2625" s="897"/>
      <c r="E2625" s="924" t="s">
        <v>276</v>
      </c>
      <c r="F2625" s="927"/>
      <c r="G2625" s="928"/>
      <c r="H2625" s="901"/>
      <c r="I2625" s="902"/>
      <c r="J2625" s="902"/>
      <c r="K2625" s="912" t="s">
        <v>274</v>
      </c>
      <c r="L2625" s="902"/>
      <c r="M2625" s="902"/>
      <c r="N2625" s="902"/>
      <c r="O2625" s="892">
        <f t="shared" si="160"/>
        <v>0</v>
      </c>
      <c r="P2625" s="903">
        <f t="shared" si="161"/>
        <v>1</v>
      </c>
      <c r="Q2625" s="893">
        <f t="shared" si="162"/>
        <v>2</v>
      </c>
      <c r="R2625" s="894">
        <f t="shared" si="163"/>
        <v>0</v>
      </c>
    </row>
    <row r="2626" spans="1:18">
      <c r="A2626" s="905"/>
      <c r="B2626" s="906"/>
      <c r="C2626" s="907">
        <v>740</v>
      </c>
      <c r="D2626" s="907" t="s">
        <v>12</v>
      </c>
      <c r="E2626" s="908" t="s">
        <v>4008</v>
      </c>
      <c r="F2626" s="909" t="s">
        <v>2674</v>
      </c>
      <c r="G2626" s="910"/>
      <c r="H2626" s="911">
        <v>2.37</v>
      </c>
      <c r="I2626" s="912"/>
      <c r="J2626" s="912"/>
      <c r="K2626" s="912">
        <f>VLOOKUP(E2626,ĐMNC!$A$7:$F$67,4,0)</f>
        <v>252714</v>
      </c>
      <c r="L2626" s="912">
        <f>H2626*K2626</f>
        <v>598932.18000000005</v>
      </c>
      <c r="M2626" s="912"/>
      <c r="N2626" s="912"/>
      <c r="O2626" s="892">
        <f t="shared" si="160"/>
        <v>0</v>
      </c>
      <c r="P2626" s="903">
        <f t="shared" si="161"/>
        <v>1</v>
      </c>
      <c r="Q2626" s="893">
        <f>IF(P2626=0,0,P2626+Q2628)</f>
        <v>1</v>
      </c>
      <c r="R2626" s="894">
        <f>IF(Q2626=0,Q2628,0)</f>
        <v>0</v>
      </c>
    </row>
    <row r="2627" spans="1:18">
      <c r="A2627" s="905"/>
      <c r="B2627" s="885" t="s">
        <v>4811</v>
      </c>
      <c r="C2627" s="949"/>
      <c r="D2627" s="949"/>
      <c r="E2627" s="921" t="s">
        <v>4812</v>
      </c>
      <c r="F2627" s="909"/>
      <c r="G2627" s="910"/>
      <c r="H2627" s="911"/>
      <c r="I2627" s="912"/>
      <c r="J2627" s="912"/>
      <c r="K2627" s="912"/>
      <c r="L2627" s="912"/>
      <c r="M2627" s="912"/>
      <c r="N2627" s="912"/>
      <c r="O2627" s="892"/>
      <c r="P2627" s="903"/>
      <c r="Q2627" s="893"/>
      <c r="R2627" s="894"/>
    </row>
    <row r="2628" spans="1:18" s="847" customFormat="1" ht="31.5">
      <c r="A2628" s="905" t="s">
        <v>4813</v>
      </c>
      <c r="B2628" s="914" t="s">
        <v>4814</v>
      </c>
      <c r="C2628" s="915"/>
      <c r="D2628" s="915"/>
      <c r="E2628" s="916" t="s">
        <v>4815</v>
      </c>
      <c r="F2628" s="917" t="s">
        <v>4816</v>
      </c>
      <c r="G2628" s="918"/>
      <c r="H2628" s="919"/>
      <c r="I2628" s="920"/>
      <c r="J2628" s="891">
        <f>SUM(J2629:J2633)</f>
        <v>1200</v>
      </c>
      <c r="K2628" s="891"/>
      <c r="L2628" s="891">
        <f>SUM(L2629:L2633)</f>
        <v>11640.150000000001</v>
      </c>
      <c r="M2628" s="891"/>
      <c r="N2628" s="891">
        <f>SUM(N2629:N2633)</f>
        <v>0</v>
      </c>
      <c r="O2628" s="892">
        <f t="shared" si="160"/>
        <v>1</v>
      </c>
      <c r="P2628" s="903">
        <f t="shared" si="161"/>
        <v>0</v>
      </c>
      <c r="Q2628" s="893">
        <f t="shared" si="162"/>
        <v>0</v>
      </c>
      <c r="R2628" s="894">
        <f t="shared" si="163"/>
        <v>5</v>
      </c>
    </row>
    <row r="2629" spans="1:18" s="904" customFormat="1">
      <c r="A2629" s="895"/>
      <c r="B2629" s="896"/>
      <c r="C2629" s="897"/>
      <c r="D2629" s="897"/>
      <c r="E2629" s="924" t="s">
        <v>108</v>
      </c>
      <c r="F2629" s="899"/>
      <c r="G2629" s="900"/>
      <c r="H2629" s="901"/>
      <c r="I2629" s="902"/>
      <c r="J2629" s="902"/>
      <c r="K2629" s="912" t="s">
        <v>274</v>
      </c>
      <c r="L2629" s="902"/>
      <c r="M2629" s="902"/>
      <c r="N2629" s="902"/>
      <c r="O2629" s="892">
        <f t="shared" si="160"/>
        <v>0</v>
      </c>
      <c r="P2629" s="903">
        <f t="shared" si="161"/>
        <v>1</v>
      </c>
      <c r="Q2629" s="893">
        <f t="shared" si="162"/>
        <v>5</v>
      </c>
      <c r="R2629" s="894">
        <f t="shared" si="163"/>
        <v>0</v>
      </c>
    </row>
    <row r="2630" spans="1:18">
      <c r="A2630" s="905"/>
      <c r="B2630" s="906"/>
      <c r="C2630" s="907">
        <v>66</v>
      </c>
      <c r="D2630" s="907" t="s">
        <v>279</v>
      </c>
      <c r="E2630" s="925" t="s">
        <v>2682</v>
      </c>
      <c r="F2630" s="926" t="s">
        <v>45</v>
      </c>
      <c r="G2630" s="910"/>
      <c r="H2630" s="911">
        <v>0.01</v>
      </c>
      <c r="I2630" s="912">
        <f>VLOOKUP(E2630,[3]VLP!$B$7:$K$300,10,0)</f>
        <v>5000</v>
      </c>
      <c r="J2630" s="912">
        <f>I2630*H2630</f>
        <v>50</v>
      </c>
      <c r="K2630" s="912" t="s">
        <v>274</v>
      </c>
      <c r="L2630" s="912"/>
      <c r="M2630" s="912"/>
      <c r="N2630" s="912"/>
      <c r="O2630" s="892">
        <f t="shared" si="160"/>
        <v>0</v>
      </c>
      <c r="P2630" s="903">
        <f t="shared" si="161"/>
        <v>1</v>
      </c>
      <c r="Q2630" s="893">
        <f t="shared" si="162"/>
        <v>4</v>
      </c>
      <c r="R2630" s="894">
        <f t="shared" si="163"/>
        <v>0</v>
      </c>
    </row>
    <row r="2631" spans="1:18">
      <c r="A2631" s="905"/>
      <c r="B2631" s="906"/>
      <c r="C2631" s="907">
        <v>44</v>
      </c>
      <c r="D2631" s="907" t="s">
        <v>279</v>
      </c>
      <c r="E2631" s="925" t="s">
        <v>2681</v>
      </c>
      <c r="F2631" s="926" t="s">
        <v>45</v>
      </c>
      <c r="G2631" s="910"/>
      <c r="H2631" s="911">
        <v>0.05</v>
      </c>
      <c r="I2631" s="912">
        <f>VLOOKUP(E2631,[3]VLP!$B$7:$K$300,10,0)</f>
        <v>23000</v>
      </c>
      <c r="J2631" s="912">
        <f>I2631*H2631</f>
        <v>1150</v>
      </c>
      <c r="K2631" s="912" t="s">
        <v>274</v>
      </c>
      <c r="L2631" s="912"/>
      <c r="M2631" s="912"/>
      <c r="N2631" s="912"/>
      <c r="O2631" s="892">
        <f t="shared" si="160"/>
        <v>0</v>
      </c>
      <c r="P2631" s="903">
        <f t="shared" si="161"/>
        <v>1</v>
      </c>
      <c r="Q2631" s="893">
        <f t="shared" si="162"/>
        <v>3</v>
      </c>
      <c r="R2631" s="894">
        <f t="shared" si="163"/>
        <v>0</v>
      </c>
    </row>
    <row r="2632" spans="1:18" s="904" customFormat="1">
      <c r="A2632" s="895"/>
      <c r="B2632" s="896"/>
      <c r="C2632" s="897"/>
      <c r="D2632" s="897"/>
      <c r="E2632" s="924" t="s">
        <v>276</v>
      </c>
      <c r="F2632" s="927"/>
      <c r="G2632" s="928"/>
      <c r="H2632" s="901"/>
      <c r="I2632" s="902"/>
      <c r="J2632" s="902"/>
      <c r="K2632" s="912" t="s">
        <v>274</v>
      </c>
      <c r="L2632" s="902"/>
      <c r="M2632" s="902"/>
      <c r="N2632" s="902"/>
      <c r="O2632" s="892">
        <f t="shared" si="160"/>
        <v>0</v>
      </c>
      <c r="P2632" s="903">
        <f t="shared" si="161"/>
        <v>1</v>
      </c>
      <c r="Q2632" s="893">
        <f t="shared" si="162"/>
        <v>2</v>
      </c>
      <c r="R2632" s="894">
        <f t="shared" si="163"/>
        <v>0</v>
      </c>
    </row>
    <row r="2633" spans="1:18">
      <c r="A2633" s="905"/>
      <c r="B2633" s="906"/>
      <c r="C2633" s="907">
        <v>735</v>
      </c>
      <c r="D2633" s="907" t="s">
        <v>12</v>
      </c>
      <c r="E2633" s="908" t="s">
        <v>4065</v>
      </c>
      <c r="F2633" s="909" t="s">
        <v>2674</v>
      </c>
      <c r="G2633" s="910"/>
      <c r="H2633" s="911">
        <v>0.05</v>
      </c>
      <c r="I2633" s="912"/>
      <c r="J2633" s="912"/>
      <c r="K2633" s="912">
        <f>VLOOKUP(E2633,ĐMNC!$A$7:$F$67,4,0)</f>
        <v>232803</v>
      </c>
      <c r="L2633" s="912">
        <f>H2633*K2633</f>
        <v>11640.150000000001</v>
      </c>
      <c r="M2633" s="912"/>
      <c r="N2633" s="912"/>
      <c r="O2633" s="892">
        <f t="shared" si="160"/>
        <v>0</v>
      </c>
      <c r="P2633" s="903">
        <f t="shared" si="161"/>
        <v>1</v>
      </c>
      <c r="Q2633" s="893">
        <f t="shared" si="162"/>
        <v>1</v>
      </c>
      <c r="R2633" s="894">
        <f t="shared" si="163"/>
        <v>0</v>
      </c>
    </row>
    <row r="2634" spans="1:18" s="847" customFormat="1" ht="31.5">
      <c r="A2634" s="905"/>
      <c r="B2634" s="914" t="s">
        <v>4817</v>
      </c>
      <c r="C2634" s="915"/>
      <c r="D2634" s="915"/>
      <c r="E2634" s="916" t="s">
        <v>4818</v>
      </c>
      <c r="F2634" s="917" t="s">
        <v>4816</v>
      </c>
      <c r="G2634" s="918"/>
      <c r="H2634" s="919"/>
      <c r="I2634" s="920"/>
      <c r="J2634" s="891">
        <f>SUM(J2635:J2639)</f>
        <v>1445</v>
      </c>
      <c r="K2634" s="891"/>
      <c r="L2634" s="891">
        <f>SUM(L2635:L2639)</f>
        <v>16296.210000000001</v>
      </c>
      <c r="M2634" s="891"/>
      <c r="N2634" s="891">
        <f>SUM(N2635:N2639)</f>
        <v>0</v>
      </c>
      <c r="O2634" s="892">
        <f t="shared" ref="O2634:O2698" si="164">IF(AND(B2634&lt;&gt;"",D2634=""),1,0)</f>
        <v>1</v>
      </c>
      <c r="P2634" s="903">
        <f t="shared" si="161"/>
        <v>0</v>
      </c>
      <c r="Q2634" s="893">
        <f t="shared" si="162"/>
        <v>0</v>
      </c>
      <c r="R2634" s="894">
        <f t="shared" si="163"/>
        <v>5</v>
      </c>
    </row>
    <row r="2635" spans="1:18" s="904" customFormat="1">
      <c r="A2635" s="895"/>
      <c r="B2635" s="896"/>
      <c r="C2635" s="897"/>
      <c r="D2635" s="897"/>
      <c r="E2635" s="924" t="s">
        <v>108</v>
      </c>
      <c r="F2635" s="899"/>
      <c r="G2635" s="900"/>
      <c r="H2635" s="901"/>
      <c r="I2635" s="902"/>
      <c r="J2635" s="902"/>
      <c r="K2635" s="912" t="s">
        <v>274</v>
      </c>
      <c r="L2635" s="902"/>
      <c r="M2635" s="902"/>
      <c r="N2635" s="902"/>
      <c r="O2635" s="892">
        <f t="shared" si="164"/>
        <v>0</v>
      </c>
      <c r="P2635" s="903">
        <f t="shared" si="161"/>
        <v>1</v>
      </c>
      <c r="Q2635" s="893">
        <f t="shared" si="162"/>
        <v>5</v>
      </c>
      <c r="R2635" s="894">
        <f t="shared" si="163"/>
        <v>0</v>
      </c>
    </row>
    <row r="2636" spans="1:18">
      <c r="A2636" s="905"/>
      <c r="B2636" s="906"/>
      <c r="C2636" s="907">
        <v>66</v>
      </c>
      <c r="D2636" s="907" t="s">
        <v>279</v>
      </c>
      <c r="E2636" s="925" t="s">
        <v>2682</v>
      </c>
      <c r="F2636" s="926" t="s">
        <v>45</v>
      </c>
      <c r="G2636" s="910"/>
      <c r="H2636" s="911">
        <v>1.2999999999999999E-2</v>
      </c>
      <c r="I2636" s="912">
        <f>VLOOKUP(E2636,[3]VLP!$B$7:$K$300,10,0)</f>
        <v>5000</v>
      </c>
      <c r="J2636" s="912">
        <f>I2636*H2636</f>
        <v>65</v>
      </c>
      <c r="K2636" s="912" t="s">
        <v>274</v>
      </c>
      <c r="L2636" s="912"/>
      <c r="M2636" s="912"/>
      <c r="N2636" s="912"/>
      <c r="O2636" s="892">
        <f t="shared" si="164"/>
        <v>0</v>
      </c>
      <c r="P2636" s="903">
        <f t="shared" si="161"/>
        <v>1</v>
      </c>
      <c r="Q2636" s="893">
        <f t="shared" si="162"/>
        <v>4</v>
      </c>
      <c r="R2636" s="894">
        <f t="shared" si="163"/>
        <v>0</v>
      </c>
    </row>
    <row r="2637" spans="1:18">
      <c r="A2637" s="905"/>
      <c r="B2637" s="906"/>
      <c r="C2637" s="907">
        <v>44</v>
      </c>
      <c r="D2637" s="907" t="s">
        <v>279</v>
      </c>
      <c r="E2637" s="925" t="s">
        <v>2681</v>
      </c>
      <c r="F2637" s="926" t="s">
        <v>45</v>
      </c>
      <c r="G2637" s="910"/>
      <c r="H2637" s="911">
        <v>0.06</v>
      </c>
      <c r="I2637" s="912">
        <f>VLOOKUP(E2637,[3]VLP!$B$7:$K$300,10,0)</f>
        <v>23000</v>
      </c>
      <c r="J2637" s="912">
        <f>I2637*H2637</f>
        <v>1380</v>
      </c>
      <c r="K2637" s="912" t="s">
        <v>274</v>
      </c>
      <c r="L2637" s="912"/>
      <c r="M2637" s="912"/>
      <c r="N2637" s="912"/>
      <c r="O2637" s="892">
        <f t="shared" si="164"/>
        <v>0</v>
      </c>
      <c r="P2637" s="903">
        <f t="shared" si="161"/>
        <v>1</v>
      </c>
      <c r="Q2637" s="893">
        <f t="shared" si="162"/>
        <v>3</v>
      </c>
      <c r="R2637" s="894">
        <f t="shared" si="163"/>
        <v>0</v>
      </c>
    </row>
    <row r="2638" spans="1:18" s="904" customFormat="1">
      <c r="A2638" s="895"/>
      <c r="B2638" s="896"/>
      <c r="C2638" s="897"/>
      <c r="D2638" s="897"/>
      <c r="E2638" s="924" t="s">
        <v>276</v>
      </c>
      <c r="F2638" s="927"/>
      <c r="G2638" s="928"/>
      <c r="H2638" s="901"/>
      <c r="I2638" s="902"/>
      <c r="J2638" s="902"/>
      <c r="K2638" s="912" t="s">
        <v>274</v>
      </c>
      <c r="L2638" s="902"/>
      <c r="M2638" s="902"/>
      <c r="N2638" s="902"/>
      <c r="O2638" s="892">
        <f t="shared" si="164"/>
        <v>0</v>
      </c>
      <c r="P2638" s="903">
        <f t="shared" si="161"/>
        <v>1</v>
      </c>
      <c r="Q2638" s="893">
        <f t="shared" si="162"/>
        <v>2</v>
      </c>
      <c r="R2638" s="894">
        <f t="shared" si="163"/>
        <v>0</v>
      </c>
    </row>
    <row r="2639" spans="1:18">
      <c r="A2639" s="905"/>
      <c r="B2639" s="906"/>
      <c r="C2639" s="907">
        <v>735</v>
      </c>
      <c r="D2639" s="907" t="s">
        <v>12</v>
      </c>
      <c r="E2639" s="908" t="s">
        <v>4065</v>
      </c>
      <c r="F2639" s="909" t="s">
        <v>2674</v>
      </c>
      <c r="G2639" s="910"/>
      <c r="H2639" s="911">
        <v>7.0000000000000007E-2</v>
      </c>
      <c r="I2639" s="912"/>
      <c r="J2639" s="912"/>
      <c r="K2639" s="912">
        <f>VLOOKUP(E2639,ĐMNC!$A$7:$F$67,4,0)</f>
        <v>232803</v>
      </c>
      <c r="L2639" s="912">
        <f>H2639*K2639</f>
        <v>16296.210000000001</v>
      </c>
      <c r="M2639" s="912"/>
      <c r="N2639" s="912"/>
      <c r="O2639" s="892">
        <f t="shared" si="164"/>
        <v>0</v>
      </c>
      <c r="P2639" s="903">
        <f t="shared" si="161"/>
        <v>1</v>
      </c>
      <c r="Q2639" s="893">
        <f t="shared" si="162"/>
        <v>1</v>
      </c>
      <c r="R2639" s="894">
        <f t="shared" si="163"/>
        <v>0</v>
      </c>
    </row>
    <row r="2640" spans="1:18" s="847" customFormat="1" ht="31.5">
      <c r="A2640" s="905"/>
      <c r="B2640" s="914" t="s">
        <v>4819</v>
      </c>
      <c r="C2640" s="915"/>
      <c r="D2640" s="915"/>
      <c r="E2640" s="916" t="s">
        <v>4820</v>
      </c>
      <c r="F2640" s="917" t="s">
        <v>4816</v>
      </c>
      <c r="G2640" s="918"/>
      <c r="H2640" s="919"/>
      <c r="I2640" s="920"/>
      <c r="J2640" s="891">
        <f>SUM(J2641:J2645)</f>
        <v>6950</v>
      </c>
      <c r="K2640" s="891"/>
      <c r="L2640" s="891">
        <f>SUM(L2641:L2645)</f>
        <v>20952.27</v>
      </c>
      <c r="M2640" s="891"/>
      <c r="N2640" s="891">
        <f>SUM(N2641:N2645)</f>
        <v>0</v>
      </c>
      <c r="O2640" s="892">
        <f t="shared" si="164"/>
        <v>1</v>
      </c>
      <c r="P2640" s="903">
        <f t="shared" si="161"/>
        <v>0</v>
      </c>
      <c r="Q2640" s="893">
        <f t="shared" si="162"/>
        <v>0</v>
      </c>
      <c r="R2640" s="894">
        <f t="shared" si="163"/>
        <v>5</v>
      </c>
    </row>
    <row r="2641" spans="1:18" s="904" customFormat="1">
      <c r="A2641" s="895"/>
      <c r="B2641" s="896"/>
      <c r="C2641" s="897"/>
      <c r="D2641" s="897"/>
      <c r="E2641" s="924" t="s">
        <v>108</v>
      </c>
      <c r="F2641" s="899"/>
      <c r="G2641" s="900"/>
      <c r="H2641" s="901"/>
      <c r="I2641" s="902"/>
      <c r="J2641" s="902"/>
      <c r="K2641" s="912" t="s">
        <v>274</v>
      </c>
      <c r="L2641" s="902"/>
      <c r="M2641" s="902"/>
      <c r="N2641" s="902"/>
      <c r="O2641" s="892">
        <f t="shared" si="164"/>
        <v>0</v>
      </c>
      <c r="P2641" s="903">
        <f t="shared" si="161"/>
        <v>1</v>
      </c>
      <c r="Q2641" s="893">
        <f t="shared" si="162"/>
        <v>5</v>
      </c>
      <c r="R2641" s="894">
        <f t="shared" si="163"/>
        <v>0</v>
      </c>
    </row>
    <row r="2642" spans="1:18">
      <c r="A2642" s="905"/>
      <c r="B2642" s="906"/>
      <c r="C2642" s="907">
        <v>66</v>
      </c>
      <c r="D2642" s="907" t="s">
        <v>279</v>
      </c>
      <c r="E2642" s="925" t="s">
        <v>2682</v>
      </c>
      <c r="F2642" s="926" t="s">
        <v>45</v>
      </c>
      <c r="G2642" s="910"/>
      <c r="H2642" s="911">
        <v>0.7</v>
      </c>
      <c r="I2642" s="912">
        <f>VLOOKUP(E2642,[3]VLP!$B$7:$K$300,10,0)</f>
        <v>5000</v>
      </c>
      <c r="J2642" s="912">
        <f>I2642*H2642</f>
        <v>3500</v>
      </c>
      <c r="K2642" s="912" t="s">
        <v>274</v>
      </c>
      <c r="L2642" s="912"/>
      <c r="M2642" s="912"/>
      <c r="N2642" s="912"/>
      <c r="O2642" s="892">
        <f t="shared" si="164"/>
        <v>0</v>
      </c>
      <c r="P2642" s="903">
        <f t="shared" si="161"/>
        <v>1</v>
      </c>
      <c r="Q2642" s="893">
        <f t="shared" si="162"/>
        <v>4</v>
      </c>
      <c r="R2642" s="894">
        <f t="shared" si="163"/>
        <v>0</v>
      </c>
    </row>
    <row r="2643" spans="1:18">
      <c r="A2643" s="905"/>
      <c r="B2643" s="906"/>
      <c r="C2643" s="907">
        <v>44</v>
      </c>
      <c r="D2643" s="907" t="s">
        <v>279</v>
      </c>
      <c r="E2643" s="925" t="s">
        <v>2681</v>
      </c>
      <c r="F2643" s="926" t="s">
        <v>45</v>
      </c>
      <c r="G2643" s="910"/>
      <c r="H2643" s="911">
        <v>0.15</v>
      </c>
      <c r="I2643" s="912">
        <f>VLOOKUP(E2643,[3]VLP!$B$7:$K$300,10,0)</f>
        <v>23000</v>
      </c>
      <c r="J2643" s="912">
        <f>I2643*H2643</f>
        <v>3450</v>
      </c>
      <c r="K2643" s="912" t="s">
        <v>274</v>
      </c>
      <c r="L2643" s="912"/>
      <c r="M2643" s="912"/>
      <c r="N2643" s="912"/>
      <c r="O2643" s="892">
        <f t="shared" si="164"/>
        <v>0</v>
      </c>
      <c r="P2643" s="903">
        <f t="shared" ref="P2643:P2707" si="165">IF(O2643=0,1,0)</f>
        <v>1</v>
      </c>
      <c r="Q2643" s="893">
        <f t="shared" ref="Q2643:Q2707" si="166">IF(P2643=0,0,P2643+Q2644)</f>
        <v>3</v>
      </c>
      <c r="R2643" s="894">
        <f t="shared" ref="R2643:R2707" si="167">IF(Q2643=0,Q2644,0)</f>
        <v>0</v>
      </c>
    </row>
    <row r="2644" spans="1:18" s="904" customFormat="1">
      <c r="A2644" s="895"/>
      <c r="B2644" s="896"/>
      <c r="C2644" s="897"/>
      <c r="D2644" s="897"/>
      <c r="E2644" s="924" t="s">
        <v>276</v>
      </c>
      <c r="F2644" s="927"/>
      <c r="G2644" s="928"/>
      <c r="H2644" s="901"/>
      <c r="I2644" s="902"/>
      <c r="J2644" s="902"/>
      <c r="K2644" s="912" t="s">
        <v>274</v>
      </c>
      <c r="L2644" s="902"/>
      <c r="M2644" s="902"/>
      <c r="N2644" s="902"/>
      <c r="O2644" s="892">
        <f t="shared" si="164"/>
        <v>0</v>
      </c>
      <c r="P2644" s="903">
        <f t="shared" si="165"/>
        <v>1</v>
      </c>
      <c r="Q2644" s="893">
        <f t="shared" si="166"/>
        <v>2</v>
      </c>
      <c r="R2644" s="894">
        <f t="shared" si="167"/>
        <v>0</v>
      </c>
    </row>
    <row r="2645" spans="1:18">
      <c r="A2645" s="905"/>
      <c r="B2645" s="906"/>
      <c r="C2645" s="907">
        <v>735</v>
      </c>
      <c r="D2645" s="907" t="s">
        <v>12</v>
      </c>
      <c r="E2645" s="908" t="s">
        <v>4065</v>
      </c>
      <c r="F2645" s="909" t="s">
        <v>2674</v>
      </c>
      <c r="G2645" s="910"/>
      <c r="H2645" s="911">
        <v>0.09</v>
      </c>
      <c r="I2645" s="912"/>
      <c r="J2645" s="912"/>
      <c r="K2645" s="912">
        <f>VLOOKUP(E2645,ĐMNC!$A$7:$F$67,4,0)</f>
        <v>232803</v>
      </c>
      <c r="L2645" s="912">
        <f>H2645*K2645</f>
        <v>20952.27</v>
      </c>
      <c r="M2645" s="912"/>
      <c r="N2645" s="912"/>
      <c r="O2645" s="892">
        <f t="shared" si="164"/>
        <v>0</v>
      </c>
      <c r="P2645" s="903">
        <f t="shared" si="165"/>
        <v>1</v>
      </c>
      <c r="Q2645" s="893">
        <f t="shared" si="166"/>
        <v>1</v>
      </c>
      <c r="R2645" s="894">
        <f t="shared" si="167"/>
        <v>0</v>
      </c>
    </row>
    <row r="2646" spans="1:18" s="847" customFormat="1" ht="31.5">
      <c r="A2646" s="905"/>
      <c r="B2646" s="914" t="s">
        <v>4821</v>
      </c>
      <c r="C2646" s="915"/>
      <c r="D2646" s="915"/>
      <c r="E2646" s="916" t="s">
        <v>4822</v>
      </c>
      <c r="F2646" s="917" t="s">
        <v>4816</v>
      </c>
      <c r="G2646" s="918"/>
      <c r="H2646" s="919"/>
      <c r="I2646" s="920"/>
      <c r="J2646" s="891">
        <f>SUM(J2647:J2651)</f>
        <v>1200</v>
      </c>
      <c r="K2646" s="891"/>
      <c r="L2646" s="891">
        <f>SUM(L2647:L2651)</f>
        <v>23280.300000000003</v>
      </c>
      <c r="M2646" s="891"/>
      <c r="N2646" s="891">
        <f>SUM(N2647:N2651)</f>
        <v>0</v>
      </c>
      <c r="O2646" s="892">
        <f t="shared" si="164"/>
        <v>1</v>
      </c>
      <c r="P2646" s="903">
        <f t="shared" si="165"/>
        <v>0</v>
      </c>
      <c r="Q2646" s="893">
        <f t="shared" si="166"/>
        <v>0</v>
      </c>
      <c r="R2646" s="894">
        <f t="shared" si="167"/>
        <v>5</v>
      </c>
    </row>
    <row r="2647" spans="1:18" s="904" customFormat="1">
      <c r="A2647" s="895"/>
      <c r="B2647" s="896"/>
      <c r="C2647" s="897"/>
      <c r="D2647" s="897"/>
      <c r="E2647" s="924" t="s">
        <v>108</v>
      </c>
      <c r="F2647" s="899"/>
      <c r="G2647" s="900"/>
      <c r="H2647" s="901"/>
      <c r="I2647" s="902"/>
      <c r="J2647" s="902"/>
      <c r="K2647" s="912" t="s">
        <v>274</v>
      </c>
      <c r="L2647" s="902"/>
      <c r="M2647" s="902"/>
      <c r="N2647" s="902"/>
      <c r="O2647" s="892">
        <f t="shared" si="164"/>
        <v>0</v>
      </c>
      <c r="P2647" s="903">
        <f t="shared" si="165"/>
        <v>1</v>
      </c>
      <c r="Q2647" s="893">
        <f t="shared" si="166"/>
        <v>5</v>
      </c>
      <c r="R2647" s="894">
        <f t="shared" si="167"/>
        <v>0</v>
      </c>
    </row>
    <row r="2648" spans="1:18">
      <c r="A2648" s="905"/>
      <c r="B2648" s="906"/>
      <c r="C2648" s="907">
        <v>66</v>
      </c>
      <c r="D2648" s="907" t="s">
        <v>279</v>
      </c>
      <c r="E2648" s="925" t="s">
        <v>2682</v>
      </c>
      <c r="F2648" s="926" t="s">
        <v>45</v>
      </c>
      <c r="G2648" s="910"/>
      <c r="H2648" s="911">
        <v>0.01</v>
      </c>
      <c r="I2648" s="912">
        <f>VLOOKUP(E2648,[3]VLP!$B$7:$K$300,10,0)</f>
        <v>5000</v>
      </c>
      <c r="J2648" s="912">
        <f>I2648*H2648</f>
        <v>50</v>
      </c>
      <c r="K2648" s="912" t="s">
        <v>274</v>
      </c>
      <c r="L2648" s="912"/>
      <c r="M2648" s="912"/>
      <c r="N2648" s="912"/>
      <c r="O2648" s="892">
        <f t="shared" si="164"/>
        <v>0</v>
      </c>
      <c r="P2648" s="903">
        <f t="shared" si="165"/>
        <v>1</v>
      </c>
      <c r="Q2648" s="893">
        <f t="shared" si="166"/>
        <v>4</v>
      </c>
      <c r="R2648" s="894">
        <f t="shared" si="167"/>
        <v>0</v>
      </c>
    </row>
    <row r="2649" spans="1:18">
      <c r="A2649" s="905"/>
      <c r="B2649" s="906"/>
      <c r="C2649" s="907">
        <v>44</v>
      </c>
      <c r="D2649" s="907" t="s">
        <v>279</v>
      </c>
      <c r="E2649" s="925" t="s">
        <v>2681</v>
      </c>
      <c r="F2649" s="926" t="s">
        <v>45</v>
      </c>
      <c r="G2649" s="910"/>
      <c r="H2649" s="911">
        <v>0.05</v>
      </c>
      <c r="I2649" s="912">
        <f>VLOOKUP(E2649,[3]VLP!$B$7:$K$300,10,0)</f>
        <v>23000</v>
      </c>
      <c r="J2649" s="912">
        <f>I2649*H2649</f>
        <v>1150</v>
      </c>
      <c r="K2649" s="912" t="s">
        <v>274</v>
      </c>
      <c r="L2649" s="912"/>
      <c r="M2649" s="912"/>
      <c r="N2649" s="912"/>
      <c r="O2649" s="892">
        <f t="shared" si="164"/>
        <v>0</v>
      </c>
      <c r="P2649" s="903">
        <f t="shared" si="165"/>
        <v>1</v>
      </c>
      <c r="Q2649" s="893">
        <f t="shared" si="166"/>
        <v>3</v>
      </c>
      <c r="R2649" s="894">
        <f t="shared" si="167"/>
        <v>0</v>
      </c>
    </row>
    <row r="2650" spans="1:18" s="904" customFormat="1">
      <c r="A2650" s="895"/>
      <c r="B2650" s="896"/>
      <c r="C2650" s="897"/>
      <c r="D2650" s="897"/>
      <c r="E2650" s="924" t="s">
        <v>276</v>
      </c>
      <c r="F2650" s="927"/>
      <c r="G2650" s="928"/>
      <c r="H2650" s="901"/>
      <c r="I2650" s="902"/>
      <c r="J2650" s="902"/>
      <c r="K2650" s="912" t="s">
        <v>274</v>
      </c>
      <c r="L2650" s="902"/>
      <c r="M2650" s="902"/>
      <c r="N2650" s="902"/>
      <c r="O2650" s="892">
        <f t="shared" si="164"/>
        <v>0</v>
      </c>
      <c r="P2650" s="903">
        <f t="shared" si="165"/>
        <v>1</v>
      </c>
      <c r="Q2650" s="893">
        <f t="shared" si="166"/>
        <v>2</v>
      </c>
      <c r="R2650" s="894">
        <f t="shared" si="167"/>
        <v>0</v>
      </c>
    </row>
    <row r="2651" spans="1:18">
      <c r="A2651" s="905"/>
      <c r="B2651" s="906"/>
      <c r="C2651" s="907">
        <v>735</v>
      </c>
      <c r="D2651" s="907" t="s">
        <v>12</v>
      </c>
      <c r="E2651" s="908" t="s">
        <v>4065</v>
      </c>
      <c r="F2651" s="909" t="s">
        <v>2674</v>
      </c>
      <c r="G2651" s="910"/>
      <c r="H2651" s="911">
        <v>0.1</v>
      </c>
      <c r="I2651" s="912"/>
      <c r="J2651" s="912"/>
      <c r="K2651" s="912">
        <f>VLOOKUP(E2651,ĐMNC!$A$7:$F$67,4,0)</f>
        <v>232803</v>
      </c>
      <c r="L2651" s="912">
        <f>H2651*K2651</f>
        <v>23280.300000000003</v>
      </c>
      <c r="M2651" s="912"/>
      <c r="N2651" s="912"/>
      <c r="O2651" s="892">
        <f t="shared" si="164"/>
        <v>0</v>
      </c>
      <c r="P2651" s="903">
        <f t="shared" si="165"/>
        <v>1</v>
      </c>
      <c r="Q2651" s="893">
        <f t="shared" si="166"/>
        <v>1</v>
      </c>
      <c r="R2651" s="894">
        <f t="shared" si="167"/>
        <v>0</v>
      </c>
    </row>
    <row r="2652" spans="1:18" s="847" customFormat="1" ht="31.5">
      <c r="A2652" s="905"/>
      <c r="B2652" s="914" t="s">
        <v>4823</v>
      </c>
      <c r="C2652" s="915"/>
      <c r="D2652" s="915"/>
      <c r="E2652" s="916" t="s">
        <v>4824</v>
      </c>
      <c r="F2652" s="917" t="s">
        <v>4816</v>
      </c>
      <c r="G2652" s="918"/>
      <c r="H2652" s="919"/>
      <c r="I2652" s="920"/>
      <c r="J2652" s="891">
        <f>SUM(J2653:J2657)</f>
        <v>1445</v>
      </c>
      <c r="K2652" s="891"/>
      <c r="L2652" s="891">
        <f>SUM(L2653:L2657)</f>
        <v>32592.420000000002</v>
      </c>
      <c r="M2652" s="891"/>
      <c r="N2652" s="891">
        <f>SUM(N2653:N2657)</f>
        <v>0</v>
      </c>
      <c r="O2652" s="892">
        <f t="shared" si="164"/>
        <v>1</v>
      </c>
      <c r="P2652" s="903">
        <f t="shared" si="165"/>
        <v>0</v>
      </c>
      <c r="Q2652" s="893">
        <f t="shared" si="166"/>
        <v>0</v>
      </c>
      <c r="R2652" s="894">
        <f t="shared" si="167"/>
        <v>5</v>
      </c>
    </row>
    <row r="2653" spans="1:18" s="904" customFormat="1">
      <c r="A2653" s="895"/>
      <c r="B2653" s="896"/>
      <c r="C2653" s="897"/>
      <c r="D2653" s="897"/>
      <c r="E2653" s="924" t="s">
        <v>108</v>
      </c>
      <c r="F2653" s="899"/>
      <c r="G2653" s="900"/>
      <c r="H2653" s="901"/>
      <c r="I2653" s="902"/>
      <c r="J2653" s="902"/>
      <c r="K2653" s="912" t="s">
        <v>274</v>
      </c>
      <c r="L2653" s="902"/>
      <c r="M2653" s="902"/>
      <c r="N2653" s="902"/>
      <c r="O2653" s="892">
        <f t="shared" si="164"/>
        <v>0</v>
      </c>
      <c r="P2653" s="903">
        <f t="shared" si="165"/>
        <v>1</v>
      </c>
      <c r="Q2653" s="893">
        <f t="shared" si="166"/>
        <v>5</v>
      </c>
      <c r="R2653" s="894">
        <f t="shared" si="167"/>
        <v>0</v>
      </c>
    </row>
    <row r="2654" spans="1:18">
      <c r="A2654" s="905"/>
      <c r="B2654" s="906"/>
      <c r="C2654" s="907">
        <v>66</v>
      </c>
      <c r="D2654" s="907" t="s">
        <v>279</v>
      </c>
      <c r="E2654" s="925" t="s">
        <v>2682</v>
      </c>
      <c r="F2654" s="926" t="s">
        <v>45</v>
      </c>
      <c r="G2654" s="910"/>
      <c r="H2654" s="911">
        <v>1.2999999999999999E-2</v>
      </c>
      <c r="I2654" s="912">
        <f>VLOOKUP(E2654,[3]VLP!$B$7:$K$300,10,0)</f>
        <v>5000</v>
      </c>
      <c r="J2654" s="912">
        <f>I2654*H2654</f>
        <v>65</v>
      </c>
      <c r="K2654" s="912" t="s">
        <v>274</v>
      </c>
      <c r="L2654" s="912"/>
      <c r="M2654" s="912"/>
      <c r="N2654" s="912"/>
      <c r="O2654" s="892">
        <f t="shared" si="164"/>
        <v>0</v>
      </c>
      <c r="P2654" s="903">
        <f t="shared" si="165"/>
        <v>1</v>
      </c>
      <c r="Q2654" s="893">
        <f t="shared" si="166"/>
        <v>4</v>
      </c>
      <c r="R2654" s="894">
        <f t="shared" si="167"/>
        <v>0</v>
      </c>
    </row>
    <row r="2655" spans="1:18">
      <c r="A2655" s="905"/>
      <c r="B2655" s="906"/>
      <c r="C2655" s="907">
        <v>44</v>
      </c>
      <c r="D2655" s="907" t="s">
        <v>279</v>
      </c>
      <c r="E2655" s="925" t="s">
        <v>2681</v>
      </c>
      <c r="F2655" s="926" t="s">
        <v>45</v>
      </c>
      <c r="G2655" s="910"/>
      <c r="H2655" s="911">
        <v>0.06</v>
      </c>
      <c r="I2655" s="912">
        <f>VLOOKUP(E2655,[3]VLP!$B$7:$K$300,10,0)</f>
        <v>23000</v>
      </c>
      <c r="J2655" s="912">
        <f>I2655*H2655</f>
        <v>1380</v>
      </c>
      <c r="K2655" s="912" t="s">
        <v>274</v>
      </c>
      <c r="L2655" s="912"/>
      <c r="M2655" s="912"/>
      <c r="N2655" s="912"/>
      <c r="O2655" s="892">
        <f t="shared" si="164"/>
        <v>0</v>
      </c>
      <c r="P2655" s="903">
        <f t="shared" si="165"/>
        <v>1</v>
      </c>
      <c r="Q2655" s="893">
        <f t="shared" si="166"/>
        <v>3</v>
      </c>
      <c r="R2655" s="894">
        <f t="shared" si="167"/>
        <v>0</v>
      </c>
    </row>
    <row r="2656" spans="1:18" s="904" customFormat="1">
      <c r="A2656" s="895"/>
      <c r="B2656" s="896"/>
      <c r="C2656" s="897"/>
      <c r="D2656" s="897"/>
      <c r="E2656" s="924" t="s">
        <v>276</v>
      </c>
      <c r="F2656" s="927"/>
      <c r="G2656" s="928"/>
      <c r="H2656" s="901"/>
      <c r="I2656" s="902"/>
      <c r="J2656" s="902"/>
      <c r="K2656" s="912" t="s">
        <v>274</v>
      </c>
      <c r="L2656" s="902"/>
      <c r="M2656" s="902"/>
      <c r="N2656" s="902"/>
      <c r="O2656" s="892">
        <f t="shared" si="164"/>
        <v>0</v>
      </c>
      <c r="P2656" s="903">
        <f t="shared" si="165"/>
        <v>1</v>
      </c>
      <c r="Q2656" s="893">
        <f t="shared" si="166"/>
        <v>2</v>
      </c>
      <c r="R2656" s="894">
        <f t="shared" si="167"/>
        <v>0</v>
      </c>
    </row>
    <row r="2657" spans="1:18">
      <c r="A2657" s="905"/>
      <c r="B2657" s="906"/>
      <c r="C2657" s="907">
        <v>735</v>
      </c>
      <c r="D2657" s="907" t="s">
        <v>12</v>
      </c>
      <c r="E2657" s="908" t="s">
        <v>4065</v>
      </c>
      <c r="F2657" s="909" t="s">
        <v>2674</v>
      </c>
      <c r="G2657" s="910"/>
      <c r="H2657" s="911">
        <v>0.14000000000000001</v>
      </c>
      <c r="I2657" s="912"/>
      <c r="J2657" s="912"/>
      <c r="K2657" s="912">
        <f>VLOOKUP(E2657,ĐMNC!$A$7:$F$67,4,0)</f>
        <v>232803</v>
      </c>
      <c r="L2657" s="912">
        <f>H2657*K2657</f>
        <v>32592.420000000002</v>
      </c>
      <c r="M2657" s="912"/>
      <c r="N2657" s="912"/>
      <c r="O2657" s="892">
        <f t="shared" si="164"/>
        <v>0</v>
      </c>
      <c r="P2657" s="903">
        <f t="shared" si="165"/>
        <v>1</v>
      </c>
      <c r="Q2657" s="893">
        <f t="shared" si="166"/>
        <v>1</v>
      </c>
      <c r="R2657" s="894">
        <f t="shared" si="167"/>
        <v>0</v>
      </c>
    </row>
    <row r="2658" spans="1:18" s="847" customFormat="1" ht="31.5">
      <c r="A2658" s="905"/>
      <c r="B2658" s="914" t="s">
        <v>4825</v>
      </c>
      <c r="C2658" s="915"/>
      <c r="D2658" s="915"/>
      <c r="E2658" s="916" t="s">
        <v>4826</v>
      </c>
      <c r="F2658" s="917" t="s">
        <v>4816</v>
      </c>
      <c r="G2658" s="918"/>
      <c r="H2658" s="919"/>
      <c r="I2658" s="920"/>
      <c r="J2658" s="891">
        <f>SUM(J2659:J2663)</f>
        <v>1685.0000000000002</v>
      </c>
      <c r="K2658" s="891"/>
      <c r="L2658" s="891">
        <f>SUM(L2659:L2663)</f>
        <v>39576.51</v>
      </c>
      <c r="M2658" s="891"/>
      <c r="N2658" s="891">
        <f>SUM(N2659:N2663)</f>
        <v>0</v>
      </c>
      <c r="O2658" s="892">
        <f t="shared" si="164"/>
        <v>1</v>
      </c>
      <c r="P2658" s="903">
        <f t="shared" si="165"/>
        <v>0</v>
      </c>
      <c r="Q2658" s="893">
        <f t="shared" si="166"/>
        <v>0</v>
      </c>
      <c r="R2658" s="894">
        <f t="shared" si="167"/>
        <v>5</v>
      </c>
    </row>
    <row r="2659" spans="1:18" s="904" customFormat="1">
      <c r="A2659" s="895"/>
      <c r="B2659" s="896"/>
      <c r="C2659" s="897"/>
      <c r="D2659" s="897"/>
      <c r="E2659" s="924" t="s">
        <v>108</v>
      </c>
      <c r="F2659" s="899"/>
      <c r="G2659" s="900"/>
      <c r="H2659" s="901"/>
      <c r="I2659" s="902"/>
      <c r="J2659" s="902"/>
      <c r="K2659" s="912" t="s">
        <v>274</v>
      </c>
      <c r="L2659" s="902"/>
      <c r="M2659" s="902"/>
      <c r="N2659" s="902"/>
      <c r="O2659" s="892">
        <f t="shared" si="164"/>
        <v>0</v>
      </c>
      <c r="P2659" s="903">
        <f t="shared" si="165"/>
        <v>1</v>
      </c>
      <c r="Q2659" s="893">
        <f t="shared" si="166"/>
        <v>5</v>
      </c>
      <c r="R2659" s="894">
        <f t="shared" si="167"/>
        <v>0</v>
      </c>
    </row>
    <row r="2660" spans="1:18">
      <c r="A2660" s="905"/>
      <c r="B2660" s="906"/>
      <c r="C2660" s="907">
        <v>66</v>
      </c>
      <c r="D2660" s="907" t="s">
        <v>279</v>
      </c>
      <c r="E2660" s="925" t="s">
        <v>2682</v>
      </c>
      <c r="F2660" s="926" t="s">
        <v>45</v>
      </c>
      <c r="G2660" s="910"/>
      <c r="H2660" s="911">
        <v>1.4999999999999999E-2</v>
      </c>
      <c r="I2660" s="912">
        <f>VLOOKUP(E2660,[3]VLP!$B$7:$K$300,10,0)</f>
        <v>5000</v>
      </c>
      <c r="J2660" s="912">
        <f>I2660*H2660</f>
        <v>75</v>
      </c>
      <c r="K2660" s="912" t="s">
        <v>274</v>
      </c>
      <c r="L2660" s="912"/>
      <c r="M2660" s="912"/>
      <c r="N2660" s="912"/>
      <c r="O2660" s="892">
        <f t="shared" si="164"/>
        <v>0</v>
      </c>
      <c r="P2660" s="903">
        <f t="shared" si="165"/>
        <v>1</v>
      </c>
      <c r="Q2660" s="893">
        <f t="shared" si="166"/>
        <v>4</v>
      </c>
      <c r="R2660" s="894">
        <f t="shared" si="167"/>
        <v>0</v>
      </c>
    </row>
    <row r="2661" spans="1:18">
      <c r="A2661" s="905"/>
      <c r="B2661" s="906"/>
      <c r="C2661" s="907">
        <v>44</v>
      </c>
      <c r="D2661" s="907" t="s">
        <v>279</v>
      </c>
      <c r="E2661" s="925" t="s">
        <v>2681</v>
      </c>
      <c r="F2661" s="926" t="s">
        <v>45</v>
      </c>
      <c r="G2661" s="910"/>
      <c r="H2661" s="911">
        <v>7.0000000000000007E-2</v>
      </c>
      <c r="I2661" s="912">
        <f>VLOOKUP(E2661,[3]VLP!$B$7:$K$300,10,0)</f>
        <v>23000</v>
      </c>
      <c r="J2661" s="912">
        <f>I2661*H2661</f>
        <v>1610.0000000000002</v>
      </c>
      <c r="K2661" s="912" t="s">
        <v>274</v>
      </c>
      <c r="L2661" s="912"/>
      <c r="M2661" s="912"/>
      <c r="N2661" s="912"/>
      <c r="O2661" s="892">
        <f t="shared" si="164"/>
        <v>0</v>
      </c>
      <c r="P2661" s="903">
        <f t="shared" si="165"/>
        <v>1</v>
      </c>
      <c r="Q2661" s="893">
        <f t="shared" si="166"/>
        <v>3</v>
      </c>
      <c r="R2661" s="894">
        <f t="shared" si="167"/>
        <v>0</v>
      </c>
    </row>
    <row r="2662" spans="1:18" s="904" customFormat="1">
      <c r="A2662" s="895"/>
      <c r="B2662" s="896"/>
      <c r="C2662" s="897"/>
      <c r="D2662" s="897"/>
      <c r="E2662" s="924" t="s">
        <v>276</v>
      </c>
      <c r="F2662" s="927"/>
      <c r="G2662" s="928"/>
      <c r="H2662" s="901"/>
      <c r="I2662" s="902"/>
      <c r="J2662" s="902"/>
      <c r="K2662" s="912" t="s">
        <v>274</v>
      </c>
      <c r="L2662" s="902"/>
      <c r="M2662" s="902"/>
      <c r="N2662" s="902"/>
      <c r="O2662" s="892">
        <f t="shared" si="164"/>
        <v>0</v>
      </c>
      <c r="P2662" s="903">
        <f t="shared" si="165"/>
        <v>1</v>
      </c>
      <c r="Q2662" s="893">
        <f t="shared" si="166"/>
        <v>2</v>
      </c>
      <c r="R2662" s="894">
        <f t="shared" si="167"/>
        <v>0</v>
      </c>
    </row>
    <row r="2663" spans="1:18">
      <c r="A2663" s="905"/>
      <c r="B2663" s="906"/>
      <c r="C2663" s="907">
        <v>735</v>
      </c>
      <c r="D2663" s="907" t="s">
        <v>12</v>
      </c>
      <c r="E2663" s="908" t="s">
        <v>4065</v>
      </c>
      <c r="F2663" s="909" t="s">
        <v>2674</v>
      </c>
      <c r="G2663" s="910"/>
      <c r="H2663" s="911">
        <v>0.17</v>
      </c>
      <c r="I2663" s="912"/>
      <c r="J2663" s="912"/>
      <c r="K2663" s="912">
        <f>VLOOKUP(E2663,ĐMNC!$A$7:$F$67,4,0)</f>
        <v>232803</v>
      </c>
      <c r="L2663" s="912">
        <f>H2663*K2663</f>
        <v>39576.51</v>
      </c>
      <c r="M2663" s="912"/>
      <c r="N2663" s="912"/>
      <c r="O2663" s="892">
        <f t="shared" si="164"/>
        <v>0</v>
      </c>
      <c r="P2663" s="903">
        <f t="shared" si="165"/>
        <v>1</v>
      </c>
      <c r="Q2663" s="893">
        <f t="shared" si="166"/>
        <v>1</v>
      </c>
      <c r="R2663" s="894">
        <f t="shared" si="167"/>
        <v>0</v>
      </c>
    </row>
    <row r="2664" spans="1:18" s="847" customFormat="1" ht="31.5">
      <c r="A2664" s="905"/>
      <c r="B2664" s="914" t="s">
        <v>4827</v>
      </c>
      <c r="C2664" s="915"/>
      <c r="D2664" s="915"/>
      <c r="E2664" s="916" t="s">
        <v>4828</v>
      </c>
      <c r="F2664" s="917" t="s">
        <v>4816</v>
      </c>
      <c r="G2664" s="918"/>
      <c r="H2664" s="919"/>
      <c r="I2664" s="920"/>
      <c r="J2664" s="891">
        <f>SUM(J2665:J2669)</f>
        <v>1200</v>
      </c>
      <c r="K2664" s="891"/>
      <c r="L2664" s="891">
        <f>SUM(L2665:L2669)</f>
        <v>16296.210000000001</v>
      </c>
      <c r="M2664" s="891"/>
      <c r="N2664" s="891">
        <f>SUM(N2665:N2669)</f>
        <v>0</v>
      </c>
      <c r="O2664" s="892">
        <f t="shared" si="164"/>
        <v>1</v>
      </c>
      <c r="P2664" s="903">
        <f t="shared" si="165"/>
        <v>0</v>
      </c>
      <c r="Q2664" s="893">
        <f t="shared" si="166"/>
        <v>0</v>
      </c>
      <c r="R2664" s="894">
        <f t="shared" si="167"/>
        <v>5</v>
      </c>
    </row>
    <row r="2665" spans="1:18" s="904" customFormat="1">
      <c r="A2665" s="895"/>
      <c r="B2665" s="896"/>
      <c r="C2665" s="897"/>
      <c r="D2665" s="897"/>
      <c r="E2665" s="924" t="s">
        <v>108</v>
      </c>
      <c r="F2665" s="899"/>
      <c r="G2665" s="900"/>
      <c r="H2665" s="901"/>
      <c r="I2665" s="902"/>
      <c r="J2665" s="902"/>
      <c r="K2665" s="912" t="s">
        <v>274</v>
      </c>
      <c r="L2665" s="902"/>
      <c r="M2665" s="902"/>
      <c r="N2665" s="902"/>
      <c r="O2665" s="892">
        <f t="shared" si="164"/>
        <v>0</v>
      </c>
      <c r="P2665" s="903">
        <f t="shared" si="165"/>
        <v>1</v>
      </c>
      <c r="Q2665" s="893">
        <f t="shared" si="166"/>
        <v>5</v>
      </c>
      <c r="R2665" s="894">
        <f t="shared" si="167"/>
        <v>0</v>
      </c>
    </row>
    <row r="2666" spans="1:18">
      <c r="A2666" s="905"/>
      <c r="B2666" s="906"/>
      <c r="C2666" s="907">
        <v>66</v>
      </c>
      <c r="D2666" s="907" t="s">
        <v>279</v>
      </c>
      <c r="E2666" s="925" t="s">
        <v>2682</v>
      </c>
      <c r="F2666" s="926" t="s">
        <v>45</v>
      </c>
      <c r="G2666" s="910"/>
      <c r="H2666" s="911">
        <v>0.01</v>
      </c>
      <c r="I2666" s="912">
        <f>VLOOKUP(E2666,[3]VLP!$B$7:$K$300,10,0)</f>
        <v>5000</v>
      </c>
      <c r="J2666" s="912">
        <f>I2666*H2666</f>
        <v>50</v>
      </c>
      <c r="K2666" s="912" t="s">
        <v>274</v>
      </c>
      <c r="L2666" s="912"/>
      <c r="M2666" s="912"/>
      <c r="N2666" s="912"/>
      <c r="O2666" s="892">
        <f t="shared" si="164"/>
        <v>0</v>
      </c>
      <c r="P2666" s="903">
        <f t="shared" si="165"/>
        <v>1</v>
      </c>
      <c r="Q2666" s="893">
        <f t="shared" si="166"/>
        <v>4</v>
      </c>
      <c r="R2666" s="894">
        <f t="shared" si="167"/>
        <v>0</v>
      </c>
    </row>
    <row r="2667" spans="1:18">
      <c r="A2667" s="905"/>
      <c r="B2667" s="906"/>
      <c r="C2667" s="907">
        <v>44</v>
      </c>
      <c r="D2667" s="907" t="s">
        <v>279</v>
      </c>
      <c r="E2667" s="925" t="s">
        <v>2681</v>
      </c>
      <c r="F2667" s="926" t="s">
        <v>45</v>
      </c>
      <c r="G2667" s="910"/>
      <c r="H2667" s="911">
        <v>0.05</v>
      </c>
      <c r="I2667" s="912">
        <f>VLOOKUP(E2667,[3]VLP!$B$7:$K$300,10,0)</f>
        <v>23000</v>
      </c>
      <c r="J2667" s="912">
        <f>I2667*H2667</f>
        <v>1150</v>
      </c>
      <c r="K2667" s="912" t="s">
        <v>274</v>
      </c>
      <c r="L2667" s="912"/>
      <c r="M2667" s="912"/>
      <c r="N2667" s="912"/>
      <c r="O2667" s="892">
        <f t="shared" si="164"/>
        <v>0</v>
      </c>
      <c r="P2667" s="903">
        <f t="shared" si="165"/>
        <v>1</v>
      </c>
      <c r="Q2667" s="893">
        <f t="shared" si="166"/>
        <v>3</v>
      </c>
      <c r="R2667" s="894">
        <f t="shared" si="167"/>
        <v>0</v>
      </c>
    </row>
    <row r="2668" spans="1:18" s="904" customFormat="1">
      <c r="A2668" s="895"/>
      <c r="B2668" s="896"/>
      <c r="C2668" s="897"/>
      <c r="D2668" s="897"/>
      <c r="E2668" s="924" t="s">
        <v>276</v>
      </c>
      <c r="F2668" s="927"/>
      <c r="G2668" s="928"/>
      <c r="H2668" s="901"/>
      <c r="I2668" s="902"/>
      <c r="J2668" s="902"/>
      <c r="K2668" s="912" t="s">
        <v>274</v>
      </c>
      <c r="L2668" s="902"/>
      <c r="M2668" s="902"/>
      <c r="N2668" s="902"/>
      <c r="O2668" s="892">
        <f t="shared" si="164"/>
        <v>0</v>
      </c>
      <c r="P2668" s="903">
        <f t="shared" si="165"/>
        <v>1</v>
      </c>
      <c r="Q2668" s="893">
        <f t="shared" si="166"/>
        <v>2</v>
      </c>
      <c r="R2668" s="894">
        <f t="shared" si="167"/>
        <v>0</v>
      </c>
    </row>
    <row r="2669" spans="1:18">
      <c r="A2669" s="905"/>
      <c r="B2669" s="906"/>
      <c r="C2669" s="907">
        <v>735</v>
      </c>
      <c r="D2669" s="907" t="s">
        <v>12</v>
      </c>
      <c r="E2669" s="908" t="s">
        <v>4065</v>
      </c>
      <c r="F2669" s="909" t="s">
        <v>2674</v>
      </c>
      <c r="G2669" s="910"/>
      <c r="H2669" s="911">
        <v>7.0000000000000007E-2</v>
      </c>
      <c r="I2669" s="912"/>
      <c r="J2669" s="912"/>
      <c r="K2669" s="912">
        <f>VLOOKUP(E2669,ĐMNC!$A$7:$F$67,4,0)</f>
        <v>232803</v>
      </c>
      <c r="L2669" s="912">
        <f>H2669*K2669</f>
        <v>16296.210000000001</v>
      </c>
      <c r="M2669" s="912"/>
      <c r="N2669" s="912"/>
      <c r="O2669" s="892">
        <f t="shared" si="164"/>
        <v>0</v>
      </c>
      <c r="P2669" s="903">
        <f t="shared" si="165"/>
        <v>1</v>
      </c>
      <c r="Q2669" s="893">
        <f t="shared" si="166"/>
        <v>1</v>
      </c>
      <c r="R2669" s="894">
        <f t="shared" si="167"/>
        <v>0</v>
      </c>
    </row>
    <row r="2670" spans="1:18" s="847" customFormat="1" ht="31.5">
      <c r="A2670" s="905"/>
      <c r="B2670" s="914" t="s">
        <v>4829</v>
      </c>
      <c r="C2670" s="915"/>
      <c r="D2670" s="915"/>
      <c r="E2670" s="916" t="s">
        <v>4830</v>
      </c>
      <c r="F2670" s="917" t="s">
        <v>4816</v>
      </c>
      <c r="G2670" s="918"/>
      <c r="H2670" s="919"/>
      <c r="I2670" s="920"/>
      <c r="J2670" s="891">
        <f>SUM(J2671:J2675)</f>
        <v>1445</v>
      </c>
      <c r="K2670" s="891"/>
      <c r="L2670" s="891">
        <f>SUM(L2671:L2675)</f>
        <v>20952.27</v>
      </c>
      <c r="M2670" s="891"/>
      <c r="N2670" s="891">
        <f>SUM(N2671:N2675)</f>
        <v>0</v>
      </c>
      <c r="O2670" s="892">
        <f t="shared" si="164"/>
        <v>1</v>
      </c>
      <c r="P2670" s="903">
        <f t="shared" si="165"/>
        <v>0</v>
      </c>
      <c r="Q2670" s="893">
        <f t="shared" si="166"/>
        <v>0</v>
      </c>
      <c r="R2670" s="894">
        <f t="shared" si="167"/>
        <v>5</v>
      </c>
    </row>
    <row r="2671" spans="1:18" s="904" customFormat="1">
      <c r="A2671" s="895"/>
      <c r="B2671" s="896"/>
      <c r="C2671" s="897"/>
      <c r="D2671" s="897"/>
      <c r="E2671" s="924" t="s">
        <v>108</v>
      </c>
      <c r="F2671" s="899"/>
      <c r="G2671" s="900"/>
      <c r="H2671" s="901"/>
      <c r="I2671" s="902"/>
      <c r="J2671" s="902"/>
      <c r="K2671" s="912" t="s">
        <v>274</v>
      </c>
      <c r="L2671" s="902"/>
      <c r="M2671" s="902"/>
      <c r="N2671" s="902"/>
      <c r="O2671" s="892">
        <f t="shared" si="164"/>
        <v>0</v>
      </c>
      <c r="P2671" s="903">
        <f t="shared" si="165"/>
        <v>1</v>
      </c>
      <c r="Q2671" s="893">
        <f t="shared" si="166"/>
        <v>5</v>
      </c>
      <c r="R2671" s="894">
        <f t="shared" si="167"/>
        <v>0</v>
      </c>
    </row>
    <row r="2672" spans="1:18">
      <c r="A2672" s="905"/>
      <c r="B2672" s="906"/>
      <c r="C2672" s="907">
        <v>66</v>
      </c>
      <c r="D2672" s="907" t="s">
        <v>279</v>
      </c>
      <c r="E2672" s="925" t="s">
        <v>2682</v>
      </c>
      <c r="F2672" s="926" t="s">
        <v>45</v>
      </c>
      <c r="G2672" s="910"/>
      <c r="H2672" s="911">
        <v>1.2999999999999999E-2</v>
      </c>
      <c r="I2672" s="912">
        <f>VLOOKUP(E2672,[3]VLP!$B$7:$K$300,10,0)</f>
        <v>5000</v>
      </c>
      <c r="J2672" s="912">
        <f>I2672*H2672</f>
        <v>65</v>
      </c>
      <c r="K2672" s="912" t="s">
        <v>274</v>
      </c>
      <c r="L2672" s="912"/>
      <c r="M2672" s="912"/>
      <c r="N2672" s="912"/>
      <c r="O2672" s="892">
        <f t="shared" si="164"/>
        <v>0</v>
      </c>
      <c r="P2672" s="903">
        <f t="shared" si="165"/>
        <v>1</v>
      </c>
      <c r="Q2672" s="893">
        <f t="shared" si="166"/>
        <v>4</v>
      </c>
      <c r="R2672" s="894">
        <f t="shared" si="167"/>
        <v>0</v>
      </c>
    </row>
    <row r="2673" spans="1:18">
      <c r="A2673" s="905"/>
      <c r="B2673" s="906"/>
      <c r="C2673" s="907">
        <v>44</v>
      </c>
      <c r="D2673" s="907" t="s">
        <v>279</v>
      </c>
      <c r="E2673" s="925" t="s">
        <v>2681</v>
      </c>
      <c r="F2673" s="926" t="s">
        <v>45</v>
      </c>
      <c r="G2673" s="910"/>
      <c r="H2673" s="911">
        <v>0.06</v>
      </c>
      <c r="I2673" s="912">
        <f>VLOOKUP(E2673,[3]VLP!$B$7:$K$300,10,0)</f>
        <v>23000</v>
      </c>
      <c r="J2673" s="912">
        <f>I2673*H2673</f>
        <v>1380</v>
      </c>
      <c r="K2673" s="912" t="s">
        <v>274</v>
      </c>
      <c r="L2673" s="912"/>
      <c r="M2673" s="912"/>
      <c r="N2673" s="912"/>
      <c r="O2673" s="892">
        <f t="shared" si="164"/>
        <v>0</v>
      </c>
      <c r="P2673" s="903">
        <f t="shared" si="165"/>
        <v>1</v>
      </c>
      <c r="Q2673" s="893">
        <f t="shared" si="166"/>
        <v>3</v>
      </c>
      <c r="R2673" s="894">
        <f t="shared" si="167"/>
        <v>0</v>
      </c>
    </row>
    <row r="2674" spans="1:18" s="904" customFormat="1">
      <c r="A2674" s="895"/>
      <c r="B2674" s="896"/>
      <c r="C2674" s="897"/>
      <c r="D2674" s="897"/>
      <c r="E2674" s="924" t="s">
        <v>276</v>
      </c>
      <c r="F2674" s="927"/>
      <c r="G2674" s="928"/>
      <c r="H2674" s="901"/>
      <c r="I2674" s="902"/>
      <c r="J2674" s="902"/>
      <c r="K2674" s="912" t="s">
        <v>274</v>
      </c>
      <c r="L2674" s="902"/>
      <c r="M2674" s="902"/>
      <c r="N2674" s="902"/>
      <c r="O2674" s="892">
        <f t="shared" si="164"/>
        <v>0</v>
      </c>
      <c r="P2674" s="903">
        <f t="shared" si="165"/>
        <v>1</v>
      </c>
      <c r="Q2674" s="893">
        <f t="shared" si="166"/>
        <v>2</v>
      </c>
      <c r="R2674" s="894">
        <f t="shared" si="167"/>
        <v>0</v>
      </c>
    </row>
    <row r="2675" spans="1:18">
      <c r="A2675" s="905"/>
      <c r="B2675" s="906"/>
      <c r="C2675" s="907">
        <v>735</v>
      </c>
      <c r="D2675" s="907" t="s">
        <v>12</v>
      </c>
      <c r="E2675" s="908" t="s">
        <v>4065</v>
      </c>
      <c r="F2675" s="909" t="s">
        <v>2674</v>
      </c>
      <c r="G2675" s="910"/>
      <c r="H2675" s="911">
        <v>0.09</v>
      </c>
      <c r="I2675" s="912"/>
      <c r="J2675" s="912"/>
      <c r="K2675" s="912">
        <f>VLOOKUP(E2675,ĐMNC!$A$7:$F$67,4,0)</f>
        <v>232803</v>
      </c>
      <c r="L2675" s="912">
        <f>H2675*K2675</f>
        <v>20952.27</v>
      </c>
      <c r="M2675" s="912"/>
      <c r="N2675" s="912"/>
      <c r="O2675" s="892">
        <f t="shared" si="164"/>
        <v>0</v>
      </c>
      <c r="P2675" s="903">
        <f t="shared" si="165"/>
        <v>1</v>
      </c>
      <c r="Q2675" s="893">
        <f t="shared" si="166"/>
        <v>1</v>
      </c>
      <c r="R2675" s="894">
        <f t="shared" si="167"/>
        <v>0</v>
      </c>
    </row>
    <row r="2676" spans="1:18" s="847" customFormat="1" ht="31.5">
      <c r="A2676" s="905"/>
      <c r="B2676" s="914" t="s">
        <v>4831</v>
      </c>
      <c r="C2676" s="915"/>
      <c r="D2676" s="915"/>
      <c r="E2676" s="916" t="s">
        <v>4832</v>
      </c>
      <c r="F2676" s="917" t="s">
        <v>4816</v>
      </c>
      <c r="G2676" s="918"/>
      <c r="H2676" s="919"/>
      <c r="I2676" s="920"/>
      <c r="J2676" s="891">
        <f>SUM(J2677:J2681)</f>
        <v>1685.0000000000002</v>
      </c>
      <c r="K2676" s="891"/>
      <c r="L2676" s="891">
        <f>SUM(L2677:L2681)</f>
        <v>27936.36</v>
      </c>
      <c r="M2676" s="891"/>
      <c r="N2676" s="891">
        <f>SUM(N2677:N2681)</f>
        <v>0</v>
      </c>
      <c r="O2676" s="892">
        <f t="shared" si="164"/>
        <v>1</v>
      </c>
      <c r="P2676" s="903">
        <f t="shared" si="165"/>
        <v>0</v>
      </c>
      <c r="Q2676" s="893">
        <f t="shared" si="166"/>
        <v>0</v>
      </c>
      <c r="R2676" s="894" t="e">
        <f t="shared" si="167"/>
        <v>#REF!</v>
      </c>
    </row>
    <row r="2677" spans="1:18" s="904" customFormat="1">
      <c r="A2677" s="895"/>
      <c r="B2677" s="896"/>
      <c r="C2677" s="897"/>
      <c r="D2677" s="897"/>
      <c r="E2677" s="924" t="s">
        <v>108</v>
      </c>
      <c r="F2677" s="899"/>
      <c r="G2677" s="900"/>
      <c r="H2677" s="901"/>
      <c r="I2677" s="902"/>
      <c r="J2677" s="902"/>
      <c r="K2677" s="912" t="s">
        <v>274</v>
      </c>
      <c r="L2677" s="902"/>
      <c r="M2677" s="902"/>
      <c r="N2677" s="902"/>
      <c r="O2677" s="892">
        <f t="shared" si="164"/>
        <v>0</v>
      </c>
      <c r="P2677" s="903">
        <f t="shared" si="165"/>
        <v>1</v>
      </c>
      <c r="Q2677" s="893" t="e">
        <f t="shared" si="166"/>
        <v>#REF!</v>
      </c>
      <c r="R2677" s="894" t="e">
        <f t="shared" si="167"/>
        <v>#REF!</v>
      </c>
    </row>
    <row r="2678" spans="1:18">
      <c r="A2678" s="905"/>
      <c r="B2678" s="906"/>
      <c r="C2678" s="907">
        <v>66</v>
      </c>
      <c r="D2678" s="907" t="s">
        <v>279</v>
      </c>
      <c r="E2678" s="925" t="s">
        <v>2682</v>
      </c>
      <c r="F2678" s="926" t="s">
        <v>45</v>
      </c>
      <c r="G2678" s="910"/>
      <c r="H2678" s="911">
        <v>1.4999999999999999E-2</v>
      </c>
      <c r="I2678" s="912">
        <f>VLOOKUP(E2678,[3]VLP!$B$7:$K$300,10,0)</f>
        <v>5000</v>
      </c>
      <c r="J2678" s="912">
        <f>I2678*H2678</f>
        <v>75</v>
      </c>
      <c r="K2678" s="912" t="s">
        <v>274</v>
      </c>
      <c r="L2678" s="912"/>
      <c r="M2678" s="912"/>
      <c r="N2678" s="912"/>
      <c r="O2678" s="892">
        <f t="shared" si="164"/>
        <v>0</v>
      </c>
      <c r="P2678" s="903">
        <f t="shared" si="165"/>
        <v>1</v>
      </c>
      <c r="Q2678" s="893" t="e">
        <f t="shared" si="166"/>
        <v>#REF!</v>
      </c>
      <c r="R2678" s="894" t="e">
        <f t="shared" si="167"/>
        <v>#REF!</v>
      </c>
    </row>
    <row r="2679" spans="1:18">
      <c r="A2679" s="905"/>
      <c r="B2679" s="906"/>
      <c r="C2679" s="907">
        <v>44</v>
      </c>
      <c r="D2679" s="907" t="s">
        <v>279</v>
      </c>
      <c r="E2679" s="925" t="s">
        <v>2681</v>
      </c>
      <c r="F2679" s="926" t="s">
        <v>45</v>
      </c>
      <c r="G2679" s="910"/>
      <c r="H2679" s="911">
        <v>7.0000000000000007E-2</v>
      </c>
      <c r="I2679" s="912">
        <f>VLOOKUP(E2679,[3]VLP!$B$7:$K$300,10,0)</f>
        <v>23000</v>
      </c>
      <c r="J2679" s="912">
        <f>I2679*H2679</f>
        <v>1610.0000000000002</v>
      </c>
      <c r="K2679" s="912" t="s">
        <v>274</v>
      </c>
      <c r="L2679" s="912"/>
      <c r="M2679" s="912"/>
      <c r="N2679" s="912"/>
      <c r="O2679" s="892">
        <f t="shared" si="164"/>
        <v>0</v>
      </c>
      <c r="P2679" s="903">
        <f t="shared" si="165"/>
        <v>1</v>
      </c>
      <c r="Q2679" s="893" t="e">
        <f t="shared" si="166"/>
        <v>#REF!</v>
      </c>
      <c r="R2679" s="894" t="e">
        <f t="shared" si="167"/>
        <v>#REF!</v>
      </c>
    </row>
    <row r="2680" spans="1:18" s="904" customFormat="1">
      <c r="A2680" s="895"/>
      <c r="B2680" s="896"/>
      <c r="C2680" s="897"/>
      <c r="D2680" s="897"/>
      <c r="E2680" s="924" t="s">
        <v>276</v>
      </c>
      <c r="F2680" s="927"/>
      <c r="G2680" s="928"/>
      <c r="H2680" s="901"/>
      <c r="I2680" s="902"/>
      <c r="J2680" s="902"/>
      <c r="K2680" s="912" t="s">
        <v>274</v>
      </c>
      <c r="L2680" s="902"/>
      <c r="M2680" s="902"/>
      <c r="N2680" s="902"/>
      <c r="O2680" s="892">
        <f t="shared" si="164"/>
        <v>0</v>
      </c>
      <c r="P2680" s="903">
        <f t="shared" si="165"/>
        <v>1</v>
      </c>
      <c r="Q2680" s="893" t="e">
        <f t="shared" si="166"/>
        <v>#REF!</v>
      </c>
      <c r="R2680" s="894" t="e">
        <f t="shared" si="167"/>
        <v>#REF!</v>
      </c>
    </row>
    <row r="2681" spans="1:18">
      <c r="A2681" s="905"/>
      <c r="B2681" s="906"/>
      <c r="C2681" s="907">
        <v>735</v>
      </c>
      <c r="D2681" s="907" t="s">
        <v>12</v>
      </c>
      <c r="E2681" s="908" t="s">
        <v>4065</v>
      </c>
      <c r="F2681" s="909" t="s">
        <v>2674</v>
      </c>
      <c r="G2681" s="910"/>
      <c r="H2681" s="911">
        <v>0.12</v>
      </c>
      <c r="I2681" s="912"/>
      <c r="J2681" s="912"/>
      <c r="K2681" s="912">
        <f>VLOOKUP(E2681,ĐMNC!$A$7:$F$67,4,0)</f>
        <v>232803</v>
      </c>
      <c r="L2681" s="912">
        <f>H2681*K2681</f>
        <v>27936.36</v>
      </c>
      <c r="M2681" s="912"/>
      <c r="N2681" s="912"/>
      <c r="O2681" s="892">
        <f t="shared" si="164"/>
        <v>0</v>
      </c>
      <c r="P2681" s="903">
        <f t="shared" si="165"/>
        <v>1</v>
      </c>
      <c r="Q2681" s="893" t="e">
        <f>IF(P2681=0,0,P2681+#REF!)</f>
        <v>#REF!</v>
      </c>
      <c r="R2681" s="894" t="e">
        <f>IF(Q2681=0,#REF!,0)</f>
        <v>#REF!</v>
      </c>
    </row>
    <row r="2682" spans="1:18">
      <c r="A2682" s="905"/>
      <c r="B2682" s="885" t="s">
        <v>4833</v>
      </c>
      <c r="C2682" s="949"/>
      <c r="D2682" s="949"/>
      <c r="E2682" s="921" t="s">
        <v>4834</v>
      </c>
      <c r="F2682" s="909"/>
      <c r="G2682" s="910"/>
      <c r="H2682" s="911"/>
      <c r="I2682" s="912"/>
      <c r="J2682" s="912"/>
      <c r="K2682" s="912"/>
      <c r="L2682" s="912"/>
      <c r="M2682" s="912"/>
      <c r="N2682" s="912"/>
      <c r="O2682" s="892"/>
      <c r="P2682" s="903"/>
      <c r="Q2682" s="893"/>
      <c r="R2682" s="894"/>
    </row>
    <row r="2683" spans="1:18" s="847" customFormat="1" ht="31.5">
      <c r="A2683" s="905" t="s">
        <v>4835</v>
      </c>
      <c r="B2683" s="914" t="s">
        <v>4836</v>
      </c>
      <c r="C2683" s="915"/>
      <c r="D2683" s="915"/>
      <c r="E2683" s="916" t="s">
        <v>4837</v>
      </c>
      <c r="F2683" s="917" t="s">
        <v>94</v>
      </c>
      <c r="G2683" s="918"/>
      <c r="H2683" s="919"/>
      <c r="I2683" s="920"/>
      <c r="J2683" s="891">
        <f>SUM(J2684:J2688)</f>
        <v>1825</v>
      </c>
      <c r="K2683" s="891"/>
      <c r="L2683" s="891">
        <f>SUM(L2684:L2688)</f>
        <v>56607.936000000002</v>
      </c>
      <c r="M2683" s="891"/>
      <c r="N2683" s="891">
        <f>SUM(N2684:N2688)</f>
        <v>0</v>
      </c>
      <c r="O2683" s="892">
        <f t="shared" si="164"/>
        <v>1</v>
      </c>
      <c r="P2683" s="903">
        <f t="shared" si="165"/>
        <v>0</v>
      </c>
      <c r="Q2683" s="893">
        <f t="shared" si="166"/>
        <v>0</v>
      </c>
      <c r="R2683" s="894">
        <f t="shared" si="167"/>
        <v>5</v>
      </c>
    </row>
    <row r="2684" spans="1:18" s="904" customFormat="1">
      <c r="A2684" s="895"/>
      <c r="B2684" s="896"/>
      <c r="C2684" s="897"/>
      <c r="D2684" s="897"/>
      <c r="E2684" s="924" t="s">
        <v>108</v>
      </c>
      <c r="F2684" s="899"/>
      <c r="G2684" s="900"/>
      <c r="H2684" s="901"/>
      <c r="I2684" s="902"/>
      <c r="J2684" s="902"/>
      <c r="K2684" s="912" t="s">
        <v>274</v>
      </c>
      <c r="L2684" s="902"/>
      <c r="M2684" s="902"/>
      <c r="N2684" s="902"/>
      <c r="O2684" s="892">
        <f t="shared" si="164"/>
        <v>0</v>
      </c>
      <c r="P2684" s="903">
        <f t="shared" si="165"/>
        <v>1</v>
      </c>
      <c r="Q2684" s="893">
        <f t="shared" si="166"/>
        <v>5</v>
      </c>
      <c r="R2684" s="894">
        <f t="shared" si="167"/>
        <v>0</v>
      </c>
    </row>
    <row r="2685" spans="1:18">
      <c r="A2685" s="905"/>
      <c r="B2685" s="906"/>
      <c r="C2685" s="907">
        <v>66</v>
      </c>
      <c r="D2685" s="907" t="s">
        <v>279</v>
      </c>
      <c r="E2685" s="925" t="s">
        <v>2682</v>
      </c>
      <c r="F2685" s="926" t="s">
        <v>45</v>
      </c>
      <c r="G2685" s="910"/>
      <c r="H2685" s="911">
        <v>0.02</v>
      </c>
      <c r="I2685" s="912">
        <f>VLOOKUP(E2685,[3]VLP!$B$7:$K$300,10,0)</f>
        <v>5000</v>
      </c>
      <c r="J2685" s="912">
        <f>I2685*H2685</f>
        <v>100</v>
      </c>
      <c r="K2685" s="912" t="s">
        <v>274</v>
      </c>
      <c r="L2685" s="912"/>
      <c r="M2685" s="912"/>
      <c r="N2685" s="912"/>
      <c r="O2685" s="892">
        <f t="shared" si="164"/>
        <v>0</v>
      </c>
      <c r="P2685" s="903">
        <f t="shared" si="165"/>
        <v>1</v>
      </c>
      <c r="Q2685" s="893">
        <f t="shared" si="166"/>
        <v>4</v>
      </c>
      <c r="R2685" s="894">
        <f t="shared" si="167"/>
        <v>0</v>
      </c>
    </row>
    <row r="2686" spans="1:18">
      <c r="A2686" s="905"/>
      <c r="B2686" s="906"/>
      <c r="C2686" s="907">
        <v>44</v>
      </c>
      <c r="D2686" s="907" t="s">
        <v>279</v>
      </c>
      <c r="E2686" s="925" t="s">
        <v>2681</v>
      </c>
      <c r="F2686" s="926" t="s">
        <v>45</v>
      </c>
      <c r="G2686" s="910"/>
      <c r="H2686" s="911">
        <v>7.4999999999999997E-2</v>
      </c>
      <c r="I2686" s="912">
        <f>VLOOKUP(E2686,[3]VLP!$B$7:$K$300,10,0)</f>
        <v>23000</v>
      </c>
      <c r="J2686" s="912">
        <f>I2686*H2686</f>
        <v>1725</v>
      </c>
      <c r="K2686" s="912" t="s">
        <v>274</v>
      </c>
      <c r="L2686" s="912"/>
      <c r="M2686" s="912"/>
      <c r="N2686" s="912"/>
      <c r="O2686" s="892">
        <f t="shared" si="164"/>
        <v>0</v>
      </c>
      <c r="P2686" s="903">
        <f t="shared" si="165"/>
        <v>1</v>
      </c>
      <c r="Q2686" s="893">
        <f t="shared" si="166"/>
        <v>3</v>
      </c>
      <c r="R2686" s="894">
        <f t="shared" si="167"/>
        <v>0</v>
      </c>
    </row>
    <row r="2687" spans="1:18" s="904" customFormat="1">
      <c r="A2687" s="895"/>
      <c r="B2687" s="896"/>
      <c r="C2687" s="897"/>
      <c r="D2687" s="897"/>
      <c r="E2687" s="924" t="s">
        <v>276</v>
      </c>
      <c r="F2687" s="927"/>
      <c r="G2687" s="928"/>
      <c r="H2687" s="901"/>
      <c r="I2687" s="902"/>
      <c r="J2687" s="902"/>
      <c r="K2687" s="912" t="s">
        <v>274</v>
      </c>
      <c r="L2687" s="902"/>
      <c r="M2687" s="902"/>
      <c r="N2687" s="902"/>
      <c r="O2687" s="892">
        <f t="shared" si="164"/>
        <v>0</v>
      </c>
      <c r="P2687" s="903">
        <f t="shared" si="165"/>
        <v>1</v>
      </c>
      <c r="Q2687" s="893">
        <f t="shared" si="166"/>
        <v>2</v>
      </c>
      <c r="R2687" s="894">
        <f t="shared" si="167"/>
        <v>0</v>
      </c>
    </row>
    <row r="2688" spans="1:18">
      <c r="A2688" s="905"/>
      <c r="B2688" s="906"/>
      <c r="C2688" s="907">
        <v>740</v>
      </c>
      <c r="D2688" s="907" t="s">
        <v>12</v>
      </c>
      <c r="E2688" s="908" t="s">
        <v>4008</v>
      </c>
      <c r="F2688" s="909" t="s">
        <v>2674</v>
      </c>
      <c r="G2688" s="910"/>
      <c r="H2688" s="911">
        <v>0.224</v>
      </c>
      <c r="I2688" s="912"/>
      <c r="J2688" s="912"/>
      <c r="K2688" s="912">
        <f>VLOOKUP(E2688,ĐMNC!$A$7:$F$67,4,0)</f>
        <v>252714</v>
      </c>
      <c r="L2688" s="912">
        <f>H2688*K2688</f>
        <v>56607.936000000002</v>
      </c>
      <c r="M2688" s="912"/>
      <c r="N2688" s="912"/>
      <c r="O2688" s="892">
        <f t="shared" si="164"/>
        <v>0</v>
      </c>
      <c r="P2688" s="903">
        <f t="shared" si="165"/>
        <v>1</v>
      </c>
      <c r="Q2688" s="893">
        <f t="shared" si="166"/>
        <v>1</v>
      </c>
      <c r="R2688" s="894">
        <f t="shared" si="167"/>
        <v>0</v>
      </c>
    </row>
    <row r="2689" spans="1:18" s="847" customFormat="1" ht="31.5">
      <c r="A2689" s="905"/>
      <c r="B2689" s="914" t="s">
        <v>4838</v>
      </c>
      <c r="C2689" s="915"/>
      <c r="D2689" s="915"/>
      <c r="E2689" s="916" t="s">
        <v>4839</v>
      </c>
      <c r="F2689" s="917" t="s">
        <v>94</v>
      </c>
      <c r="G2689" s="918"/>
      <c r="H2689" s="919"/>
      <c r="I2689" s="920"/>
      <c r="J2689" s="891">
        <f>SUM(J2690:J2694)</f>
        <v>1825</v>
      </c>
      <c r="K2689" s="891"/>
      <c r="L2689" s="891">
        <f>SUM(L2690:L2694)</f>
        <v>59387.789999999994</v>
      </c>
      <c r="M2689" s="891"/>
      <c r="N2689" s="891">
        <f>SUM(N2690:N2694)</f>
        <v>0</v>
      </c>
      <c r="O2689" s="892">
        <f t="shared" si="164"/>
        <v>1</v>
      </c>
      <c r="P2689" s="903">
        <f t="shared" si="165"/>
        <v>0</v>
      </c>
      <c r="Q2689" s="893">
        <f t="shared" si="166"/>
        <v>0</v>
      </c>
      <c r="R2689" s="894">
        <f t="shared" si="167"/>
        <v>5</v>
      </c>
    </row>
    <row r="2690" spans="1:18" s="904" customFormat="1">
      <c r="A2690" s="895"/>
      <c r="B2690" s="896"/>
      <c r="C2690" s="897"/>
      <c r="D2690" s="897"/>
      <c r="E2690" s="924" t="s">
        <v>108</v>
      </c>
      <c r="F2690" s="899"/>
      <c r="G2690" s="900"/>
      <c r="H2690" s="901"/>
      <c r="I2690" s="902"/>
      <c r="J2690" s="902"/>
      <c r="K2690" s="912" t="s">
        <v>274</v>
      </c>
      <c r="L2690" s="902"/>
      <c r="M2690" s="902"/>
      <c r="N2690" s="902"/>
      <c r="O2690" s="892">
        <f t="shared" si="164"/>
        <v>0</v>
      </c>
      <c r="P2690" s="903">
        <f t="shared" si="165"/>
        <v>1</v>
      </c>
      <c r="Q2690" s="893">
        <f t="shared" si="166"/>
        <v>5</v>
      </c>
      <c r="R2690" s="894">
        <f t="shared" si="167"/>
        <v>0</v>
      </c>
    </row>
    <row r="2691" spans="1:18">
      <c r="A2691" s="905"/>
      <c r="B2691" s="906"/>
      <c r="C2691" s="907">
        <v>66</v>
      </c>
      <c r="D2691" s="907" t="s">
        <v>279</v>
      </c>
      <c r="E2691" s="925" t="s">
        <v>2682</v>
      </c>
      <c r="F2691" s="926" t="s">
        <v>45</v>
      </c>
      <c r="G2691" s="910"/>
      <c r="H2691" s="911">
        <v>0.02</v>
      </c>
      <c r="I2691" s="912">
        <f>VLOOKUP(E2691,[3]VLP!$B$7:$K$300,10,0)</f>
        <v>5000</v>
      </c>
      <c r="J2691" s="912">
        <f>I2691*H2691</f>
        <v>100</v>
      </c>
      <c r="K2691" s="912" t="s">
        <v>274</v>
      </c>
      <c r="L2691" s="912"/>
      <c r="M2691" s="912"/>
      <c r="N2691" s="912"/>
      <c r="O2691" s="892">
        <f t="shared" si="164"/>
        <v>0</v>
      </c>
      <c r="P2691" s="903">
        <f t="shared" si="165"/>
        <v>1</v>
      </c>
      <c r="Q2691" s="893">
        <f t="shared" si="166"/>
        <v>4</v>
      </c>
      <c r="R2691" s="894">
        <f t="shared" si="167"/>
        <v>0</v>
      </c>
    </row>
    <row r="2692" spans="1:18">
      <c r="A2692" s="905"/>
      <c r="B2692" s="906"/>
      <c r="C2692" s="907">
        <v>44</v>
      </c>
      <c r="D2692" s="907" t="s">
        <v>279</v>
      </c>
      <c r="E2692" s="925" t="s">
        <v>2681</v>
      </c>
      <c r="F2692" s="926" t="s">
        <v>45</v>
      </c>
      <c r="G2692" s="910"/>
      <c r="H2692" s="911">
        <v>7.4999999999999997E-2</v>
      </c>
      <c r="I2692" s="912">
        <f>VLOOKUP(E2692,[3]VLP!$B$7:$K$300,10,0)</f>
        <v>23000</v>
      </c>
      <c r="J2692" s="912">
        <f>I2692*H2692</f>
        <v>1725</v>
      </c>
      <c r="K2692" s="912" t="s">
        <v>274</v>
      </c>
      <c r="L2692" s="912"/>
      <c r="M2692" s="912"/>
      <c r="N2692" s="912"/>
      <c r="O2692" s="892">
        <f t="shared" si="164"/>
        <v>0</v>
      </c>
      <c r="P2692" s="903">
        <f t="shared" si="165"/>
        <v>1</v>
      </c>
      <c r="Q2692" s="893">
        <f t="shared" si="166"/>
        <v>3</v>
      </c>
      <c r="R2692" s="894">
        <f t="shared" si="167"/>
        <v>0</v>
      </c>
    </row>
    <row r="2693" spans="1:18" s="904" customFormat="1">
      <c r="A2693" s="895"/>
      <c r="B2693" s="896"/>
      <c r="C2693" s="897"/>
      <c r="D2693" s="897"/>
      <c r="E2693" s="924" t="s">
        <v>276</v>
      </c>
      <c r="F2693" s="927"/>
      <c r="G2693" s="928"/>
      <c r="H2693" s="901"/>
      <c r="I2693" s="902"/>
      <c r="J2693" s="902"/>
      <c r="K2693" s="912" t="s">
        <v>274</v>
      </c>
      <c r="L2693" s="902"/>
      <c r="M2693" s="902"/>
      <c r="N2693" s="902"/>
      <c r="O2693" s="892">
        <f t="shared" si="164"/>
        <v>0</v>
      </c>
      <c r="P2693" s="903">
        <f t="shared" si="165"/>
        <v>1</v>
      </c>
      <c r="Q2693" s="893">
        <f t="shared" si="166"/>
        <v>2</v>
      </c>
      <c r="R2693" s="894">
        <f t="shared" si="167"/>
        <v>0</v>
      </c>
    </row>
    <row r="2694" spans="1:18">
      <c r="A2694" s="905"/>
      <c r="B2694" s="906"/>
      <c r="C2694" s="907">
        <v>740</v>
      </c>
      <c r="D2694" s="907" t="s">
        <v>12</v>
      </c>
      <c r="E2694" s="908" t="s">
        <v>4008</v>
      </c>
      <c r="F2694" s="909" t="s">
        <v>2674</v>
      </c>
      <c r="G2694" s="910"/>
      <c r="H2694" s="911">
        <v>0.23499999999999999</v>
      </c>
      <c r="I2694" s="912"/>
      <c r="J2694" s="912"/>
      <c r="K2694" s="912">
        <f>VLOOKUP(E2694,ĐMNC!$A$7:$F$67,4,0)</f>
        <v>252714</v>
      </c>
      <c r="L2694" s="912">
        <f>H2694*K2694</f>
        <v>59387.789999999994</v>
      </c>
      <c r="M2694" s="912"/>
      <c r="N2694" s="912"/>
      <c r="O2694" s="892">
        <f t="shared" si="164"/>
        <v>0</v>
      </c>
      <c r="P2694" s="903">
        <f t="shared" si="165"/>
        <v>1</v>
      </c>
      <c r="Q2694" s="893">
        <f t="shared" si="166"/>
        <v>1</v>
      </c>
      <c r="R2694" s="894">
        <f t="shared" si="167"/>
        <v>0</v>
      </c>
    </row>
    <row r="2695" spans="1:18" s="847" customFormat="1" ht="31.5">
      <c r="A2695" s="905"/>
      <c r="B2695" s="914" t="s">
        <v>4840</v>
      </c>
      <c r="C2695" s="915"/>
      <c r="D2695" s="915"/>
      <c r="E2695" s="916" t="s">
        <v>4841</v>
      </c>
      <c r="F2695" s="917" t="s">
        <v>94</v>
      </c>
      <c r="G2695" s="918"/>
      <c r="H2695" s="919"/>
      <c r="I2695" s="920"/>
      <c r="J2695" s="891">
        <f>SUM(J2696:J2700)</f>
        <v>1825</v>
      </c>
      <c r="K2695" s="891"/>
      <c r="L2695" s="891">
        <f>SUM(L2696:L2700)</f>
        <v>65200.212</v>
      </c>
      <c r="M2695" s="891"/>
      <c r="N2695" s="891">
        <f>SUM(N2696:N2700)</f>
        <v>0</v>
      </c>
      <c r="O2695" s="892">
        <f t="shared" si="164"/>
        <v>1</v>
      </c>
      <c r="P2695" s="903">
        <f t="shared" si="165"/>
        <v>0</v>
      </c>
      <c r="Q2695" s="893">
        <f t="shared" si="166"/>
        <v>0</v>
      </c>
      <c r="R2695" s="894">
        <f t="shared" si="167"/>
        <v>5</v>
      </c>
    </row>
    <row r="2696" spans="1:18" s="904" customFormat="1">
      <c r="A2696" s="895"/>
      <c r="B2696" s="896"/>
      <c r="C2696" s="897"/>
      <c r="D2696" s="897"/>
      <c r="E2696" s="924" t="s">
        <v>108</v>
      </c>
      <c r="F2696" s="899"/>
      <c r="G2696" s="900"/>
      <c r="H2696" s="901"/>
      <c r="I2696" s="902"/>
      <c r="J2696" s="902"/>
      <c r="K2696" s="912" t="s">
        <v>274</v>
      </c>
      <c r="L2696" s="902"/>
      <c r="M2696" s="902"/>
      <c r="N2696" s="902"/>
      <c r="O2696" s="892">
        <f t="shared" si="164"/>
        <v>0</v>
      </c>
      <c r="P2696" s="903">
        <f t="shared" si="165"/>
        <v>1</v>
      </c>
      <c r="Q2696" s="893">
        <f t="shared" si="166"/>
        <v>5</v>
      </c>
      <c r="R2696" s="894">
        <f t="shared" si="167"/>
        <v>0</v>
      </c>
    </row>
    <row r="2697" spans="1:18">
      <c r="A2697" s="905"/>
      <c r="B2697" s="906"/>
      <c r="C2697" s="907">
        <v>66</v>
      </c>
      <c r="D2697" s="907" t="s">
        <v>279</v>
      </c>
      <c r="E2697" s="925" t="s">
        <v>2682</v>
      </c>
      <c r="F2697" s="926" t="s">
        <v>45</v>
      </c>
      <c r="G2697" s="910"/>
      <c r="H2697" s="911">
        <v>0.02</v>
      </c>
      <c r="I2697" s="912">
        <f>VLOOKUP(E2697,[3]VLP!$B$7:$K$300,10,0)</f>
        <v>5000</v>
      </c>
      <c r="J2697" s="912">
        <f>I2697*H2697</f>
        <v>100</v>
      </c>
      <c r="K2697" s="912" t="s">
        <v>274</v>
      </c>
      <c r="L2697" s="912"/>
      <c r="M2697" s="912"/>
      <c r="N2697" s="912"/>
      <c r="O2697" s="892">
        <f t="shared" si="164"/>
        <v>0</v>
      </c>
      <c r="P2697" s="903">
        <f t="shared" si="165"/>
        <v>1</v>
      </c>
      <c r="Q2697" s="893">
        <f t="shared" si="166"/>
        <v>4</v>
      </c>
      <c r="R2697" s="894">
        <f t="shared" si="167"/>
        <v>0</v>
      </c>
    </row>
    <row r="2698" spans="1:18">
      <c r="A2698" s="905"/>
      <c r="B2698" s="906"/>
      <c r="C2698" s="907">
        <v>44</v>
      </c>
      <c r="D2698" s="907" t="s">
        <v>279</v>
      </c>
      <c r="E2698" s="925" t="s">
        <v>2681</v>
      </c>
      <c r="F2698" s="926" t="s">
        <v>45</v>
      </c>
      <c r="G2698" s="910"/>
      <c r="H2698" s="911">
        <v>7.4999999999999997E-2</v>
      </c>
      <c r="I2698" s="912">
        <f>VLOOKUP(E2698,[3]VLP!$B$7:$K$300,10,0)</f>
        <v>23000</v>
      </c>
      <c r="J2698" s="912">
        <f>I2698*H2698</f>
        <v>1725</v>
      </c>
      <c r="K2698" s="912" t="s">
        <v>274</v>
      </c>
      <c r="L2698" s="912"/>
      <c r="M2698" s="912"/>
      <c r="N2698" s="912"/>
      <c r="O2698" s="892">
        <f t="shared" si="164"/>
        <v>0</v>
      </c>
      <c r="P2698" s="903">
        <f t="shared" si="165"/>
        <v>1</v>
      </c>
      <c r="Q2698" s="893">
        <f t="shared" si="166"/>
        <v>3</v>
      </c>
      <c r="R2698" s="894">
        <f t="shared" si="167"/>
        <v>0</v>
      </c>
    </row>
    <row r="2699" spans="1:18" s="904" customFormat="1">
      <c r="A2699" s="895"/>
      <c r="B2699" s="896"/>
      <c r="C2699" s="897"/>
      <c r="D2699" s="897"/>
      <c r="E2699" s="924" t="s">
        <v>276</v>
      </c>
      <c r="F2699" s="927"/>
      <c r="G2699" s="928"/>
      <c r="H2699" s="901"/>
      <c r="I2699" s="902"/>
      <c r="J2699" s="902"/>
      <c r="K2699" s="912" t="s">
        <v>274</v>
      </c>
      <c r="L2699" s="902"/>
      <c r="M2699" s="902"/>
      <c r="N2699" s="902"/>
      <c r="O2699" s="892">
        <f t="shared" ref="O2699:O2762" si="168">IF(AND(B2699&lt;&gt;"",D2699=""),1,0)</f>
        <v>0</v>
      </c>
      <c r="P2699" s="903">
        <f t="shared" si="165"/>
        <v>1</v>
      </c>
      <c r="Q2699" s="893">
        <f t="shared" si="166"/>
        <v>2</v>
      </c>
      <c r="R2699" s="894">
        <f t="shared" si="167"/>
        <v>0</v>
      </c>
    </row>
    <row r="2700" spans="1:18">
      <c r="A2700" s="905"/>
      <c r="B2700" s="906"/>
      <c r="C2700" s="907">
        <v>740</v>
      </c>
      <c r="D2700" s="907" t="s">
        <v>12</v>
      </c>
      <c r="E2700" s="908" t="s">
        <v>4008</v>
      </c>
      <c r="F2700" s="909" t="s">
        <v>2674</v>
      </c>
      <c r="G2700" s="910"/>
      <c r="H2700" s="911">
        <v>0.25800000000000001</v>
      </c>
      <c r="I2700" s="912"/>
      <c r="J2700" s="912"/>
      <c r="K2700" s="912">
        <f>VLOOKUP(E2700,ĐMNC!$A$7:$F$67,4,0)</f>
        <v>252714</v>
      </c>
      <c r="L2700" s="912">
        <f>H2700*K2700</f>
        <v>65200.212</v>
      </c>
      <c r="M2700" s="912"/>
      <c r="N2700" s="912"/>
      <c r="O2700" s="892">
        <f t="shared" si="168"/>
        <v>0</v>
      </c>
      <c r="P2700" s="903">
        <f t="shared" si="165"/>
        <v>1</v>
      </c>
      <c r="Q2700" s="893">
        <f t="shared" si="166"/>
        <v>1</v>
      </c>
      <c r="R2700" s="894">
        <f t="shared" si="167"/>
        <v>0</v>
      </c>
    </row>
    <row r="2701" spans="1:18" s="847" customFormat="1" ht="31.5">
      <c r="A2701" s="905"/>
      <c r="B2701" s="914" t="s">
        <v>4842</v>
      </c>
      <c r="C2701" s="915"/>
      <c r="D2701" s="915"/>
      <c r="E2701" s="916" t="s">
        <v>4843</v>
      </c>
      <c r="F2701" s="917" t="s">
        <v>94</v>
      </c>
      <c r="G2701" s="918"/>
      <c r="H2701" s="919"/>
      <c r="I2701" s="920"/>
      <c r="J2701" s="891">
        <f>SUM(J2702:J2706)</f>
        <v>1825</v>
      </c>
      <c r="K2701" s="891"/>
      <c r="L2701" s="891">
        <f>SUM(L2702:L2706)</f>
        <v>75308.771999999997</v>
      </c>
      <c r="M2701" s="891"/>
      <c r="N2701" s="891">
        <f>SUM(N2702:N2706)</f>
        <v>0</v>
      </c>
      <c r="O2701" s="892">
        <f t="shared" si="168"/>
        <v>1</v>
      </c>
      <c r="P2701" s="903">
        <f t="shared" si="165"/>
        <v>0</v>
      </c>
      <c r="Q2701" s="893">
        <f t="shared" si="166"/>
        <v>0</v>
      </c>
      <c r="R2701" s="894">
        <f t="shared" si="167"/>
        <v>5</v>
      </c>
    </row>
    <row r="2702" spans="1:18" s="904" customFormat="1">
      <c r="A2702" s="895"/>
      <c r="B2702" s="896"/>
      <c r="C2702" s="897"/>
      <c r="D2702" s="897"/>
      <c r="E2702" s="924" t="s">
        <v>108</v>
      </c>
      <c r="F2702" s="899"/>
      <c r="G2702" s="900"/>
      <c r="H2702" s="901"/>
      <c r="I2702" s="902"/>
      <c r="J2702" s="902"/>
      <c r="K2702" s="912" t="s">
        <v>274</v>
      </c>
      <c r="L2702" s="902"/>
      <c r="M2702" s="902"/>
      <c r="N2702" s="902"/>
      <c r="O2702" s="892">
        <f t="shared" si="168"/>
        <v>0</v>
      </c>
      <c r="P2702" s="903">
        <f t="shared" si="165"/>
        <v>1</v>
      </c>
      <c r="Q2702" s="893">
        <f t="shared" si="166"/>
        <v>5</v>
      </c>
      <c r="R2702" s="894">
        <f t="shared" si="167"/>
        <v>0</v>
      </c>
    </row>
    <row r="2703" spans="1:18">
      <c r="A2703" s="905"/>
      <c r="B2703" s="906"/>
      <c r="C2703" s="907">
        <v>66</v>
      </c>
      <c r="D2703" s="907" t="s">
        <v>279</v>
      </c>
      <c r="E2703" s="925" t="s">
        <v>2682</v>
      </c>
      <c r="F2703" s="926" t="s">
        <v>45</v>
      </c>
      <c r="G2703" s="910"/>
      <c r="H2703" s="911">
        <v>0.02</v>
      </c>
      <c r="I2703" s="912">
        <f>VLOOKUP(E2703,[3]VLP!$B$7:$K$300,10,0)</f>
        <v>5000</v>
      </c>
      <c r="J2703" s="912">
        <f>I2703*H2703</f>
        <v>100</v>
      </c>
      <c r="K2703" s="912" t="s">
        <v>274</v>
      </c>
      <c r="L2703" s="912"/>
      <c r="M2703" s="912"/>
      <c r="N2703" s="912"/>
      <c r="O2703" s="892">
        <f t="shared" si="168"/>
        <v>0</v>
      </c>
      <c r="P2703" s="903">
        <f t="shared" si="165"/>
        <v>1</v>
      </c>
      <c r="Q2703" s="893">
        <f t="shared" si="166"/>
        <v>4</v>
      </c>
      <c r="R2703" s="894">
        <f t="shared" si="167"/>
        <v>0</v>
      </c>
    </row>
    <row r="2704" spans="1:18">
      <c r="A2704" s="905"/>
      <c r="B2704" s="906"/>
      <c r="C2704" s="907">
        <v>44</v>
      </c>
      <c r="D2704" s="907" t="s">
        <v>279</v>
      </c>
      <c r="E2704" s="925" t="s">
        <v>2681</v>
      </c>
      <c r="F2704" s="926" t="s">
        <v>45</v>
      </c>
      <c r="G2704" s="910"/>
      <c r="H2704" s="911">
        <v>7.4999999999999997E-2</v>
      </c>
      <c r="I2704" s="912">
        <f>VLOOKUP(E2704,[3]VLP!$B$7:$K$300,10,0)</f>
        <v>23000</v>
      </c>
      <c r="J2704" s="912">
        <f>I2704*H2704</f>
        <v>1725</v>
      </c>
      <c r="K2704" s="912" t="s">
        <v>274</v>
      </c>
      <c r="L2704" s="912"/>
      <c r="M2704" s="912"/>
      <c r="N2704" s="912"/>
      <c r="O2704" s="892">
        <f t="shared" si="168"/>
        <v>0</v>
      </c>
      <c r="P2704" s="903">
        <f t="shared" si="165"/>
        <v>1</v>
      </c>
      <c r="Q2704" s="893">
        <f t="shared" si="166"/>
        <v>3</v>
      </c>
      <c r="R2704" s="894">
        <f t="shared" si="167"/>
        <v>0</v>
      </c>
    </row>
    <row r="2705" spans="1:18" s="904" customFormat="1">
      <c r="A2705" s="895"/>
      <c r="B2705" s="896"/>
      <c r="C2705" s="897"/>
      <c r="D2705" s="897"/>
      <c r="E2705" s="924" t="s">
        <v>276</v>
      </c>
      <c r="F2705" s="927"/>
      <c r="G2705" s="928"/>
      <c r="H2705" s="901"/>
      <c r="I2705" s="902"/>
      <c r="J2705" s="902"/>
      <c r="K2705" s="912" t="s">
        <v>274</v>
      </c>
      <c r="L2705" s="902"/>
      <c r="M2705" s="902"/>
      <c r="N2705" s="902"/>
      <c r="O2705" s="892">
        <f t="shared" si="168"/>
        <v>0</v>
      </c>
      <c r="P2705" s="903">
        <f t="shared" si="165"/>
        <v>1</v>
      </c>
      <c r="Q2705" s="893">
        <f t="shared" si="166"/>
        <v>2</v>
      </c>
      <c r="R2705" s="894">
        <f t="shared" si="167"/>
        <v>0</v>
      </c>
    </row>
    <row r="2706" spans="1:18">
      <c r="A2706" s="905"/>
      <c r="B2706" s="906"/>
      <c r="C2706" s="907">
        <v>740</v>
      </c>
      <c r="D2706" s="907" t="s">
        <v>12</v>
      </c>
      <c r="E2706" s="908" t="s">
        <v>4008</v>
      </c>
      <c r="F2706" s="909" t="s">
        <v>2674</v>
      </c>
      <c r="G2706" s="910"/>
      <c r="H2706" s="911">
        <v>0.29799999999999999</v>
      </c>
      <c r="I2706" s="912"/>
      <c r="J2706" s="912"/>
      <c r="K2706" s="912">
        <f>VLOOKUP(E2706,ĐMNC!$A$7:$F$67,4,0)</f>
        <v>252714</v>
      </c>
      <c r="L2706" s="912">
        <f>H2706*K2706</f>
        <v>75308.771999999997</v>
      </c>
      <c r="M2706" s="912"/>
      <c r="N2706" s="912"/>
      <c r="O2706" s="892">
        <f t="shared" si="168"/>
        <v>0</v>
      </c>
      <c r="P2706" s="903">
        <f t="shared" si="165"/>
        <v>1</v>
      </c>
      <c r="Q2706" s="893">
        <f t="shared" si="166"/>
        <v>1</v>
      </c>
      <c r="R2706" s="894">
        <f t="shared" si="167"/>
        <v>0</v>
      </c>
    </row>
    <row r="2707" spans="1:18" s="847" customFormat="1" ht="31.5">
      <c r="A2707" s="905"/>
      <c r="B2707" s="914" t="s">
        <v>4842</v>
      </c>
      <c r="C2707" s="915"/>
      <c r="D2707" s="915"/>
      <c r="E2707" s="916" t="s">
        <v>4844</v>
      </c>
      <c r="F2707" s="917" t="s">
        <v>94</v>
      </c>
      <c r="G2707" s="918"/>
      <c r="H2707" s="919"/>
      <c r="I2707" s="920"/>
      <c r="J2707" s="891">
        <f>SUM(J2708:J2712)</f>
        <v>1825</v>
      </c>
      <c r="K2707" s="891"/>
      <c r="L2707" s="891">
        <f>SUM(L2708:L2712)</f>
        <v>82890.19200000001</v>
      </c>
      <c r="M2707" s="891"/>
      <c r="N2707" s="891">
        <f>SUM(N2708:N2712)</f>
        <v>0</v>
      </c>
      <c r="O2707" s="892">
        <f t="shared" si="168"/>
        <v>1</v>
      </c>
      <c r="P2707" s="903">
        <f t="shared" si="165"/>
        <v>0</v>
      </c>
      <c r="Q2707" s="893">
        <f t="shared" si="166"/>
        <v>0</v>
      </c>
      <c r="R2707" s="894">
        <f t="shared" si="167"/>
        <v>5</v>
      </c>
    </row>
    <row r="2708" spans="1:18" s="904" customFormat="1">
      <c r="A2708" s="895"/>
      <c r="B2708" s="896"/>
      <c r="C2708" s="897"/>
      <c r="D2708" s="897"/>
      <c r="E2708" s="924" t="s">
        <v>108</v>
      </c>
      <c r="F2708" s="899"/>
      <c r="G2708" s="900"/>
      <c r="H2708" s="901"/>
      <c r="I2708" s="902"/>
      <c r="J2708" s="902"/>
      <c r="K2708" s="912" t="s">
        <v>274</v>
      </c>
      <c r="L2708" s="902"/>
      <c r="M2708" s="902"/>
      <c r="N2708" s="902"/>
      <c r="O2708" s="892">
        <f t="shared" si="168"/>
        <v>0</v>
      </c>
      <c r="P2708" s="903">
        <f t="shared" ref="P2708:P2771" si="169">IF(O2708=0,1,0)</f>
        <v>1</v>
      </c>
      <c r="Q2708" s="893">
        <f t="shared" ref="Q2708:Q2771" si="170">IF(P2708=0,0,P2708+Q2709)</f>
        <v>5</v>
      </c>
      <c r="R2708" s="894">
        <f t="shared" ref="R2708:R2771" si="171">IF(Q2708=0,Q2709,0)</f>
        <v>0</v>
      </c>
    </row>
    <row r="2709" spans="1:18">
      <c r="A2709" s="905"/>
      <c r="B2709" s="906"/>
      <c r="C2709" s="907">
        <v>66</v>
      </c>
      <c r="D2709" s="907" t="s">
        <v>279</v>
      </c>
      <c r="E2709" s="925" t="s">
        <v>2682</v>
      </c>
      <c r="F2709" s="926" t="s">
        <v>45</v>
      </c>
      <c r="G2709" s="910"/>
      <c r="H2709" s="911">
        <v>0.02</v>
      </c>
      <c r="I2709" s="912">
        <f>VLOOKUP(E2709,[3]VLP!$B$7:$K$300,10,0)</f>
        <v>5000</v>
      </c>
      <c r="J2709" s="912">
        <f>I2709*H2709</f>
        <v>100</v>
      </c>
      <c r="K2709" s="912" t="s">
        <v>274</v>
      </c>
      <c r="L2709" s="912"/>
      <c r="M2709" s="912"/>
      <c r="N2709" s="912"/>
      <c r="O2709" s="892">
        <f t="shared" si="168"/>
        <v>0</v>
      </c>
      <c r="P2709" s="903">
        <f t="shared" si="169"/>
        <v>1</v>
      </c>
      <c r="Q2709" s="893">
        <f t="shared" si="170"/>
        <v>4</v>
      </c>
      <c r="R2709" s="894">
        <f t="shared" si="171"/>
        <v>0</v>
      </c>
    </row>
    <row r="2710" spans="1:18">
      <c r="A2710" s="905"/>
      <c r="B2710" s="906"/>
      <c r="C2710" s="907">
        <v>44</v>
      </c>
      <c r="D2710" s="907" t="s">
        <v>279</v>
      </c>
      <c r="E2710" s="925" t="s">
        <v>2681</v>
      </c>
      <c r="F2710" s="926" t="s">
        <v>45</v>
      </c>
      <c r="G2710" s="910"/>
      <c r="H2710" s="911">
        <v>7.4999999999999997E-2</v>
      </c>
      <c r="I2710" s="912">
        <f>VLOOKUP(E2710,[3]VLP!$B$7:$K$300,10,0)</f>
        <v>23000</v>
      </c>
      <c r="J2710" s="912">
        <f>I2710*H2710</f>
        <v>1725</v>
      </c>
      <c r="K2710" s="912" t="s">
        <v>274</v>
      </c>
      <c r="L2710" s="912"/>
      <c r="M2710" s="912"/>
      <c r="N2710" s="912"/>
      <c r="O2710" s="892">
        <f t="shared" si="168"/>
        <v>0</v>
      </c>
      <c r="P2710" s="903">
        <f t="shared" si="169"/>
        <v>1</v>
      </c>
      <c r="Q2710" s="893">
        <f t="shared" si="170"/>
        <v>3</v>
      </c>
      <c r="R2710" s="894">
        <f t="shared" si="171"/>
        <v>0</v>
      </c>
    </row>
    <row r="2711" spans="1:18" s="904" customFormat="1">
      <c r="A2711" s="895"/>
      <c r="B2711" s="896"/>
      <c r="C2711" s="897"/>
      <c r="D2711" s="897"/>
      <c r="E2711" s="924" t="s">
        <v>276</v>
      </c>
      <c r="F2711" s="927"/>
      <c r="G2711" s="928"/>
      <c r="H2711" s="901"/>
      <c r="I2711" s="902"/>
      <c r="J2711" s="902"/>
      <c r="K2711" s="912" t="s">
        <v>274</v>
      </c>
      <c r="L2711" s="902"/>
      <c r="M2711" s="902"/>
      <c r="N2711" s="902"/>
      <c r="O2711" s="892">
        <f t="shared" si="168"/>
        <v>0</v>
      </c>
      <c r="P2711" s="903">
        <f t="shared" si="169"/>
        <v>1</v>
      </c>
      <c r="Q2711" s="893">
        <f t="shared" si="170"/>
        <v>2</v>
      </c>
      <c r="R2711" s="894">
        <f t="shared" si="171"/>
        <v>0</v>
      </c>
    </row>
    <row r="2712" spans="1:18">
      <c r="A2712" s="905"/>
      <c r="B2712" s="906"/>
      <c r="C2712" s="907">
        <v>740</v>
      </c>
      <c r="D2712" s="907" t="s">
        <v>12</v>
      </c>
      <c r="E2712" s="908" t="s">
        <v>4008</v>
      </c>
      <c r="F2712" s="909" t="s">
        <v>2674</v>
      </c>
      <c r="G2712" s="910"/>
      <c r="H2712" s="911">
        <v>0.32800000000000001</v>
      </c>
      <c r="I2712" s="912"/>
      <c r="J2712" s="912"/>
      <c r="K2712" s="912">
        <f>VLOOKUP(E2712,ĐMNC!$A$7:$F$67,4,0)</f>
        <v>252714</v>
      </c>
      <c r="L2712" s="912">
        <f>H2712*K2712</f>
        <v>82890.19200000001</v>
      </c>
      <c r="M2712" s="912"/>
      <c r="N2712" s="912"/>
      <c r="O2712" s="892">
        <f t="shared" si="168"/>
        <v>0</v>
      </c>
      <c r="P2712" s="903">
        <f t="shared" si="169"/>
        <v>1</v>
      </c>
      <c r="Q2712" s="893">
        <f t="shared" si="170"/>
        <v>1</v>
      </c>
      <c r="R2712" s="894">
        <f t="shared" si="171"/>
        <v>0</v>
      </c>
    </row>
    <row r="2713" spans="1:18" s="847" customFormat="1" ht="31.5">
      <c r="A2713" s="905"/>
      <c r="B2713" s="914" t="s">
        <v>4845</v>
      </c>
      <c r="C2713" s="915"/>
      <c r="D2713" s="915"/>
      <c r="E2713" s="916" t="s">
        <v>4846</v>
      </c>
      <c r="F2713" s="917" t="s">
        <v>94</v>
      </c>
      <c r="G2713" s="918"/>
      <c r="H2713" s="919"/>
      <c r="I2713" s="920"/>
      <c r="J2713" s="891">
        <f>SUM(J2714:J2718)</f>
        <v>3945</v>
      </c>
      <c r="K2713" s="891"/>
      <c r="L2713" s="891">
        <f>SUM(L2714:L2718)</f>
        <v>127367.856</v>
      </c>
      <c r="M2713" s="891"/>
      <c r="N2713" s="891">
        <f>SUM(N2714:N2718)</f>
        <v>0</v>
      </c>
      <c r="O2713" s="892">
        <f t="shared" si="168"/>
        <v>1</v>
      </c>
      <c r="P2713" s="903">
        <f t="shared" si="169"/>
        <v>0</v>
      </c>
      <c r="Q2713" s="893">
        <f t="shared" si="170"/>
        <v>0</v>
      </c>
      <c r="R2713" s="894">
        <f t="shared" si="171"/>
        <v>5</v>
      </c>
    </row>
    <row r="2714" spans="1:18" s="904" customFormat="1">
      <c r="A2714" s="895"/>
      <c r="B2714" s="896"/>
      <c r="C2714" s="897"/>
      <c r="D2714" s="897"/>
      <c r="E2714" s="924" t="s">
        <v>108</v>
      </c>
      <c r="F2714" s="899"/>
      <c r="G2714" s="900"/>
      <c r="H2714" s="901"/>
      <c r="I2714" s="902"/>
      <c r="J2714" s="902"/>
      <c r="K2714" s="912" t="s">
        <v>274</v>
      </c>
      <c r="L2714" s="902"/>
      <c r="M2714" s="902"/>
      <c r="N2714" s="902"/>
      <c r="O2714" s="892">
        <f t="shared" si="168"/>
        <v>0</v>
      </c>
      <c r="P2714" s="903">
        <f t="shared" si="169"/>
        <v>1</v>
      </c>
      <c r="Q2714" s="893">
        <f t="shared" si="170"/>
        <v>5</v>
      </c>
      <c r="R2714" s="894">
        <f t="shared" si="171"/>
        <v>0</v>
      </c>
    </row>
    <row r="2715" spans="1:18">
      <c r="A2715" s="905"/>
      <c r="B2715" s="906"/>
      <c r="C2715" s="907">
        <v>66</v>
      </c>
      <c r="D2715" s="907" t="s">
        <v>279</v>
      </c>
      <c r="E2715" s="925" t="s">
        <v>2682</v>
      </c>
      <c r="F2715" s="926" t="s">
        <v>45</v>
      </c>
      <c r="G2715" s="910"/>
      <c r="H2715" s="911">
        <v>0.03</v>
      </c>
      <c r="I2715" s="912">
        <f>VLOOKUP(E2715,[3]VLP!$B$7:$K$300,10,0)</f>
        <v>5000</v>
      </c>
      <c r="J2715" s="912">
        <f>I2715*H2715</f>
        <v>150</v>
      </c>
      <c r="K2715" s="912" t="s">
        <v>274</v>
      </c>
      <c r="L2715" s="912"/>
      <c r="M2715" s="912"/>
      <c r="N2715" s="912"/>
      <c r="O2715" s="892">
        <f t="shared" si="168"/>
        <v>0</v>
      </c>
      <c r="P2715" s="903">
        <f t="shared" si="169"/>
        <v>1</v>
      </c>
      <c r="Q2715" s="893">
        <f t="shared" si="170"/>
        <v>4</v>
      </c>
      <c r="R2715" s="894">
        <f t="shared" si="171"/>
        <v>0</v>
      </c>
    </row>
    <row r="2716" spans="1:18">
      <c r="A2716" s="905"/>
      <c r="B2716" s="906"/>
      <c r="C2716" s="907">
        <v>44</v>
      </c>
      <c r="D2716" s="907" t="s">
        <v>279</v>
      </c>
      <c r="E2716" s="925" t="s">
        <v>2681</v>
      </c>
      <c r="F2716" s="926" t="s">
        <v>45</v>
      </c>
      <c r="G2716" s="910"/>
      <c r="H2716" s="911">
        <v>0.16500000000000001</v>
      </c>
      <c r="I2716" s="912">
        <f>VLOOKUP(E2716,[3]VLP!$B$7:$K$300,10,0)</f>
        <v>23000</v>
      </c>
      <c r="J2716" s="912">
        <f>I2716*H2716</f>
        <v>3795</v>
      </c>
      <c r="K2716" s="912" t="s">
        <v>274</v>
      </c>
      <c r="L2716" s="912"/>
      <c r="M2716" s="912"/>
      <c r="N2716" s="912"/>
      <c r="O2716" s="892">
        <f t="shared" si="168"/>
        <v>0</v>
      </c>
      <c r="P2716" s="903">
        <f t="shared" si="169"/>
        <v>1</v>
      </c>
      <c r="Q2716" s="893">
        <f t="shared" si="170"/>
        <v>3</v>
      </c>
      <c r="R2716" s="894">
        <f t="shared" si="171"/>
        <v>0</v>
      </c>
    </row>
    <row r="2717" spans="1:18" s="904" customFormat="1">
      <c r="A2717" s="895"/>
      <c r="B2717" s="896"/>
      <c r="C2717" s="897"/>
      <c r="D2717" s="897"/>
      <c r="E2717" s="924" t="s">
        <v>276</v>
      </c>
      <c r="F2717" s="927"/>
      <c r="G2717" s="928"/>
      <c r="H2717" s="901"/>
      <c r="I2717" s="902"/>
      <c r="J2717" s="902"/>
      <c r="K2717" s="912" t="s">
        <v>274</v>
      </c>
      <c r="L2717" s="902"/>
      <c r="M2717" s="902"/>
      <c r="N2717" s="902"/>
      <c r="O2717" s="892">
        <f t="shared" si="168"/>
        <v>0</v>
      </c>
      <c r="P2717" s="903">
        <f t="shared" si="169"/>
        <v>1</v>
      </c>
      <c r="Q2717" s="893">
        <f t="shared" si="170"/>
        <v>2</v>
      </c>
      <c r="R2717" s="894">
        <f t="shared" si="171"/>
        <v>0</v>
      </c>
    </row>
    <row r="2718" spans="1:18">
      <c r="A2718" s="905"/>
      <c r="B2718" s="906"/>
      <c r="C2718" s="907">
        <v>740</v>
      </c>
      <c r="D2718" s="907" t="s">
        <v>12</v>
      </c>
      <c r="E2718" s="908" t="s">
        <v>4008</v>
      </c>
      <c r="F2718" s="909" t="s">
        <v>2674</v>
      </c>
      <c r="G2718" s="910"/>
      <c r="H2718" s="911">
        <v>0.504</v>
      </c>
      <c r="I2718" s="912"/>
      <c r="J2718" s="912"/>
      <c r="K2718" s="912">
        <f>VLOOKUP(E2718,ĐMNC!$A$7:$F$67,4,0)</f>
        <v>252714</v>
      </c>
      <c r="L2718" s="912">
        <f>H2718*K2718</f>
        <v>127367.856</v>
      </c>
      <c r="M2718" s="912"/>
      <c r="N2718" s="912"/>
      <c r="O2718" s="892">
        <f t="shared" si="168"/>
        <v>0</v>
      </c>
      <c r="P2718" s="903">
        <f t="shared" si="169"/>
        <v>1</v>
      </c>
      <c r="Q2718" s="893">
        <f t="shared" si="170"/>
        <v>1</v>
      </c>
      <c r="R2718" s="894">
        <f t="shared" si="171"/>
        <v>0</v>
      </c>
    </row>
    <row r="2719" spans="1:18" s="847" customFormat="1" ht="31.5">
      <c r="A2719" s="905"/>
      <c r="B2719" s="914" t="s">
        <v>4847</v>
      </c>
      <c r="C2719" s="915"/>
      <c r="D2719" s="915"/>
      <c r="E2719" s="916" t="s">
        <v>4848</v>
      </c>
      <c r="F2719" s="917" t="s">
        <v>94</v>
      </c>
      <c r="G2719" s="918"/>
      <c r="H2719" s="919"/>
      <c r="I2719" s="920"/>
      <c r="J2719" s="891">
        <f>SUM(J2720:J2724)</f>
        <v>3945</v>
      </c>
      <c r="K2719" s="891"/>
      <c r="L2719" s="891">
        <f>SUM(L2720:L2724)</f>
        <v>134443.848</v>
      </c>
      <c r="M2719" s="891"/>
      <c r="N2719" s="891">
        <f>SUM(N2720:N2724)</f>
        <v>0</v>
      </c>
      <c r="O2719" s="892">
        <f t="shared" si="168"/>
        <v>1</v>
      </c>
      <c r="P2719" s="903">
        <f t="shared" si="169"/>
        <v>0</v>
      </c>
      <c r="Q2719" s="893">
        <f t="shared" si="170"/>
        <v>0</v>
      </c>
      <c r="R2719" s="894">
        <f t="shared" si="171"/>
        <v>5</v>
      </c>
    </row>
    <row r="2720" spans="1:18" s="904" customFormat="1">
      <c r="A2720" s="895"/>
      <c r="B2720" s="896"/>
      <c r="C2720" s="897"/>
      <c r="D2720" s="897"/>
      <c r="E2720" s="924" t="s">
        <v>108</v>
      </c>
      <c r="F2720" s="899"/>
      <c r="G2720" s="900"/>
      <c r="H2720" s="901"/>
      <c r="I2720" s="902"/>
      <c r="J2720" s="902"/>
      <c r="K2720" s="912" t="s">
        <v>274</v>
      </c>
      <c r="L2720" s="902"/>
      <c r="M2720" s="902"/>
      <c r="N2720" s="902"/>
      <c r="O2720" s="892">
        <f t="shared" si="168"/>
        <v>0</v>
      </c>
      <c r="P2720" s="903">
        <f t="shared" si="169"/>
        <v>1</v>
      </c>
      <c r="Q2720" s="893">
        <f t="shared" si="170"/>
        <v>5</v>
      </c>
      <c r="R2720" s="894">
        <f t="shared" si="171"/>
        <v>0</v>
      </c>
    </row>
    <row r="2721" spans="1:18">
      <c r="A2721" s="905"/>
      <c r="B2721" s="906"/>
      <c r="C2721" s="907">
        <v>66</v>
      </c>
      <c r="D2721" s="907" t="s">
        <v>279</v>
      </c>
      <c r="E2721" s="925" t="s">
        <v>2682</v>
      </c>
      <c r="F2721" s="926" t="s">
        <v>45</v>
      </c>
      <c r="G2721" s="910"/>
      <c r="H2721" s="911">
        <v>0.03</v>
      </c>
      <c r="I2721" s="912">
        <f>VLOOKUP(E2721,[3]VLP!$B$7:$K$300,10,0)</f>
        <v>5000</v>
      </c>
      <c r="J2721" s="912">
        <f>I2721*H2721</f>
        <v>150</v>
      </c>
      <c r="K2721" s="912" t="s">
        <v>274</v>
      </c>
      <c r="L2721" s="912"/>
      <c r="M2721" s="912"/>
      <c r="N2721" s="912"/>
      <c r="O2721" s="892">
        <f t="shared" si="168"/>
        <v>0</v>
      </c>
      <c r="P2721" s="903">
        <f t="shared" si="169"/>
        <v>1</v>
      </c>
      <c r="Q2721" s="893">
        <f t="shared" si="170"/>
        <v>4</v>
      </c>
      <c r="R2721" s="894">
        <f t="shared" si="171"/>
        <v>0</v>
      </c>
    </row>
    <row r="2722" spans="1:18">
      <c r="A2722" s="905"/>
      <c r="B2722" s="906"/>
      <c r="C2722" s="907">
        <v>44</v>
      </c>
      <c r="D2722" s="907" t="s">
        <v>279</v>
      </c>
      <c r="E2722" s="925" t="s">
        <v>2681</v>
      </c>
      <c r="F2722" s="926" t="s">
        <v>45</v>
      </c>
      <c r="G2722" s="910"/>
      <c r="H2722" s="911">
        <v>0.16500000000000001</v>
      </c>
      <c r="I2722" s="912">
        <f>VLOOKUP(E2722,[3]VLP!$B$7:$K$300,10,0)</f>
        <v>23000</v>
      </c>
      <c r="J2722" s="912">
        <f>I2722*H2722</f>
        <v>3795</v>
      </c>
      <c r="K2722" s="912" t="s">
        <v>274</v>
      </c>
      <c r="L2722" s="912"/>
      <c r="M2722" s="912"/>
      <c r="N2722" s="912"/>
      <c r="O2722" s="892">
        <f t="shared" si="168"/>
        <v>0</v>
      </c>
      <c r="P2722" s="903">
        <f t="shared" si="169"/>
        <v>1</v>
      </c>
      <c r="Q2722" s="893">
        <f t="shared" si="170"/>
        <v>3</v>
      </c>
      <c r="R2722" s="894">
        <f t="shared" si="171"/>
        <v>0</v>
      </c>
    </row>
    <row r="2723" spans="1:18" s="904" customFormat="1">
      <c r="A2723" s="895"/>
      <c r="B2723" s="896"/>
      <c r="C2723" s="897"/>
      <c r="D2723" s="897"/>
      <c r="E2723" s="924" t="s">
        <v>276</v>
      </c>
      <c r="F2723" s="927"/>
      <c r="G2723" s="928"/>
      <c r="H2723" s="901"/>
      <c r="I2723" s="902"/>
      <c r="J2723" s="902"/>
      <c r="K2723" s="912" t="s">
        <v>274</v>
      </c>
      <c r="L2723" s="902"/>
      <c r="M2723" s="902"/>
      <c r="N2723" s="902"/>
      <c r="O2723" s="892">
        <f t="shared" si="168"/>
        <v>0</v>
      </c>
      <c r="P2723" s="903">
        <f t="shared" si="169"/>
        <v>1</v>
      </c>
      <c r="Q2723" s="893">
        <f t="shared" si="170"/>
        <v>2</v>
      </c>
      <c r="R2723" s="894">
        <f t="shared" si="171"/>
        <v>0</v>
      </c>
    </row>
    <row r="2724" spans="1:18">
      <c r="A2724" s="905"/>
      <c r="B2724" s="906"/>
      <c r="C2724" s="907">
        <v>740</v>
      </c>
      <c r="D2724" s="907" t="s">
        <v>12</v>
      </c>
      <c r="E2724" s="908" t="s">
        <v>4008</v>
      </c>
      <c r="F2724" s="909" t="s">
        <v>2674</v>
      </c>
      <c r="G2724" s="910"/>
      <c r="H2724" s="911">
        <v>0.53200000000000003</v>
      </c>
      <c r="I2724" s="912"/>
      <c r="J2724" s="912"/>
      <c r="K2724" s="912">
        <f>VLOOKUP(E2724,ĐMNC!$A$7:$F$67,4,0)</f>
        <v>252714</v>
      </c>
      <c r="L2724" s="912">
        <f>H2724*K2724</f>
        <v>134443.848</v>
      </c>
      <c r="M2724" s="912"/>
      <c r="N2724" s="912"/>
      <c r="O2724" s="892">
        <f t="shared" si="168"/>
        <v>0</v>
      </c>
      <c r="P2724" s="903">
        <f t="shared" si="169"/>
        <v>1</v>
      </c>
      <c r="Q2724" s="893">
        <f t="shared" si="170"/>
        <v>1</v>
      </c>
      <c r="R2724" s="894">
        <f t="shared" si="171"/>
        <v>0</v>
      </c>
    </row>
    <row r="2725" spans="1:18" s="847" customFormat="1" ht="31.5">
      <c r="A2725" s="905"/>
      <c r="B2725" s="914" t="s">
        <v>4849</v>
      </c>
      <c r="C2725" s="915"/>
      <c r="D2725" s="915"/>
      <c r="E2725" s="916" t="s">
        <v>4850</v>
      </c>
      <c r="F2725" s="917" t="s">
        <v>94</v>
      </c>
      <c r="G2725" s="918"/>
      <c r="H2725" s="919"/>
      <c r="I2725" s="920"/>
      <c r="J2725" s="891">
        <f>SUM(J2726:J2730)</f>
        <v>3945</v>
      </c>
      <c r="K2725" s="891"/>
      <c r="L2725" s="891">
        <f>SUM(L2726:L2730)</f>
        <v>147079.54799999998</v>
      </c>
      <c r="M2725" s="891"/>
      <c r="N2725" s="891">
        <f>SUM(N2726:N2730)</f>
        <v>0</v>
      </c>
      <c r="O2725" s="892">
        <f t="shared" si="168"/>
        <v>1</v>
      </c>
      <c r="P2725" s="903">
        <f t="shared" si="169"/>
        <v>0</v>
      </c>
      <c r="Q2725" s="893">
        <f t="shared" si="170"/>
        <v>0</v>
      </c>
      <c r="R2725" s="894">
        <f t="shared" si="171"/>
        <v>5</v>
      </c>
    </row>
    <row r="2726" spans="1:18" s="904" customFormat="1">
      <c r="A2726" s="895"/>
      <c r="B2726" s="896"/>
      <c r="C2726" s="897"/>
      <c r="D2726" s="897"/>
      <c r="E2726" s="924" t="s">
        <v>108</v>
      </c>
      <c r="F2726" s="899"/>
      <c r="G2726" s="900"/>
      <c r="H2726" s="901"/>
      <c r="I2726" s="902"/>
      <c r="J2726" s="902"/>
      <c r="K2726" s="912" t="s">
        <v>274</v>
      </c>
      <c r="L2726" s="902"/>
      <c r="M2726" s="902"/>
      <c r="N2726" s="902"/>
      <c r="O2726" s="892">
        <f t="shared" si="168"/>
        <v>0</v>
      </c>
      <c r="P2726" s="903">
        <f t="shared" si="169"/>
        <v>1</v>
      </c>
      <c r="Q2726" s="893">
        <f t="shared" si="170"/>
        <v>5</v>
      </c>
      <c r="R2726" s="894">
        <f t="shared" si="171"/>
        <v>0</v>
      </c>
    </row>
    <row r="2727" spans="1:18">
      <c r="A2727" s="905"/>
      <c r="B2727" s="906"/>
      <c r="C2727" s="907">
        <v>66</v>
      </c>
      <c r="D2727" s="907" t="s">
        <v>279</v>
      </c>
      <c r="E2727" s="925" t="s">
        <v>2682</v>
      </c>
      <c r="F2727" s="926" t="s">
        <v>45</v>
      </c>
      <c r="G2727" s="910"/>
      <c r="H2727" s="911">
        <v>0.03</v>
      </c>
      <c r="I2727" s="912">
        <f>VLOOKUP(E2727,[3]VLP!$B$7:$K$300,10,0)</f>
        <v>5000</v>
      </c>
      <c r="J2727" s="912">
        <f>I2727*H2727</f>
        <v>150</v>
      </c>
      <c r="K2727" s="912" t="s">
        <v>274</v>
      </c>
      <c r="L2727" s="912"/>
      <c r="M2727" s="912"/>
      <c r="N2727" s="912"/>
      <c r="O2727" s="892">
        <f t="shared" si="168"/>
        <v>0</v>
      </c>
      <c r="P2727" s="903">
        <f t="shared" si="169"/>
        <v>1</v>
      </c>
      <c r="Q2727" s="893">
        <f t="shared" si="170"/>
        <v>4</v>
      </c>
      <c r="R2727" s="894">
        <f t="shared" si="171"/>
        <v>0</v>
      </c>
    </row>
    <row r="2728" spans="1:18">
      <c r="A2728" s="905"/>
      <c r="B2728" s="906"/>
      <c r="C2728" s="907">
        <v>44</v>
      </c>
      <c r="D2728" s="907" t="s">
        <v>279</v>
      </c>
      <c r="E2728" s="925" t="s">
        <v>2681</v>
      </c>
      <c r="F2728" s="926" t="s">
        <v>45</v>
      </c>
      <c r="G2728" s="910"/>
      <c r="H2728" s="911">
        <v>0.16500000000000001</v>
      </c>
      <c r="I2728" s="912">
        <f>VLOOKUP(E2728,[3]VLP!$B$7:$K$300,10,0)</f>
        <v>23000</v>
      </c>
      <c r="J2728" s="912">
        <f>I2728*H2728</f>
        <v>3795</v>
      </c>
      <c r="K2728" s="912" t="s">
        <v>274</v>
      </c>
      <c r="L2728" s="912"/>
      <c r="M2728" s="912"/>
      <c r="N2728" s="912"/>
      <c r="O2728" s="892">
        <f t="shared" si="168"/>
        <v>0</v>
      </c>
      <c r="P2728" s="903">
        <f t="shared" si="169"/>
        <v>1</v>
      </c>
      <c r="Q2728" s="893">
        <f t="shared" si="170"/>
        <v>3</v>
      </c>
      <c r="R2728" s="894">
        <f t="shared" si="171"/>
        <v>0</v>
      </c>
    </row>
    <row r="2729" spans="1:18" s="904" customFormat="1">
      <c r="A2729" s="895"/>
      <c r="B2729" s="896"/>
      <c r="C2729" s="897"/>
      <c r="D2729" s="897"/>
      <c r="E2729" s="924" t="s">
        <v>276</v>
      </c>
      <c r="F2729" s="927"/>
      <c r="G2729" s="928"/>
      <c r="H2729" s="901"/>
      <c r="I2729" s="902"/>
      <c r="J2729" s="902"/>
      <c r="K2729" s="912" t="s">
        <v>274</v>
      </c>
      <c r="L2729" s="902"/>
      <c r="M2729" s="902"/>
      <c r="N2729" s="902"/>
      <c r="O2729" s="892">
        <f t="shared" si="168"/>
        <v>0</v>
      </c>
      <c r="P2729" s="903">
        <f t="shared" si="169"/>
        <v>1</v>
      </c>
      <c r="Q2729" s="893">
        <f t="shared" si="170"/>
        <v>2</v>
      </c>
      <c r="R2729" s="894">
        <f t="shared" si="171"/>
        <v>0</v>
      </c>
    </row>
    <row r="2730" spans="1:18">
      <c r="A2730" s="905"/>
      <c r="B2730" s="906"/>
      <c r="C2730" s="907">
        <v>740</v>
      </c>
      <c r="D2730" s="907" t="s">
        <v>12</v>
      </c>
      <c r="E2730" s="908" t="s">
        <v>4008</v>
      </c>
      <c r="F2730" s="909" t="s">
        <v>2674</v>
      </c>
      <c r="G2730" s="910"/>
      <c r="H2730" s="911">
        <v>0.58199999999999996</v>
      </c>
      <c r="I2730" s="912"/>
      <c r="J2730" s="912"/>
      <c r="K2730" s="912">
        <f>VLOOKUP(E2730,ĐMNC!$A$7:$F$67,4,0)</f>
        <v>252714</v>
      </c>
      <c r="L2730" s="912">
        <f>H2730*K2730</f>
        <v>147079.54799999998</v>
      </c>
      <c r="M2730" s="912"/>
      <c r="N2730" s="912"/>
      <c r="O2730" s="892">
        <f t="shared" si="168"/>
        <v>0</v>
      </c>
      <c r="P2730" s="903">
        <f t="shared" si="169"/>
        <v>1</v>
      </c>
      <c r="Q2730" s="893">
        <f t="shared" si="170"/>
        <v>1</v>
      </c>
      <c r="R2730" s="894">
        <f t="shared" si="171"/>
        <v>0</v>
      </c>
    </row>
    <row r="2731" spans="1:18" s="847" customFormat="1" ht="31.5">
      <c r="A2731" s="905"/>
      <c r="B2731" s="914" t="s">
        <v>4851</v>
      </c>
      <c r="C2731" s="915"/>
      <c r="D2731" s="915"/>
      <c r="E2731" s="916" t="s">
        <v>4852</v>
      </c>
      <c r="F2731" s="917" t="s">
        <v>94</v>
      </c>
      <c r="G2731" s="918"/>
      <c r="H2731" s="919"/>
      <c r="I2731" s="920"/>
      <c r="J2731" s="891">
        <f>SUM(J2732:J2736)</f>
        <v>3945</v>
      </c>
      <c r="K2731" s="891"/>
      <c r="L2731" s="891">
        <f>SUM(L2732:L2736)</f>
        <v>169823.80800000002</v>
      </c>
      <c r="M2731" s="891"/>
      <c r="N2731" s="891">
        <f>SUM(N2732:N2736)</f>
        <v>0</v>
      </c>
      <c r="O2731" s="892">
        <f t="shared" si="168"/>
        <v>1</v>
      </c>
      <c r="P2731" s="903">
        <f t="shared" si="169"/>
        <v>0</v>
      </c>
      <c r="Q2731" s="893">
        <f t="shared" si="170"/>
        <v>0</v>
      </c>
      <c r="R2731" s="894">
        <f t="shared" si="171"/>
        <v>5</v>
      </c>
    </row>
    <row r="2732" spans="1:18" s="904" customFormat="1">
      <c r="A2732" s="895"/>
      <c r="B2732" s="922"/>
      <c r="C2732" s="897"/>
      <c r="D2732" s="897"/>
      <c r="E2732" s="924" t="s">
        <v>108</v>
      </c>
      <c r="F2732" s="899"/>
      <c r="G2732" s="900"/>
      <c r="H2732" s="901"/>
      <c r="I2732" s="902"/>
      <c r="J2732" s="902"/>
      <c r="K2732" s="912" t="s">
        <v>274</v>
      </c>
      <c r="L2732" s="902"/>
      <c r="M2732" s="902"/>
      <c r="N2732" s="902"/>
      <c r="O2732" s="892">
        <f t="shared" si="168"/>
        <v>0</v>
      </c>
      <c r="P2732" s="903">
        <f t="shared" si="169"/>
        <v>1</v>
      </c>
      <c r="Q2732" s="893">
        <f t="shared" si="170"/>
        <v>5</v>
      </c>
      <c r="R2732" s="894">
        <f t="shared" si="171"/>
        <v>0</v>
      </c>
    </row>
    <row r="2733" spans="1:18">
      <c r="A2733" s="905"/>
      <c r="B2733" s="906"/>
      <c r="C2733" s="907">
        <v>66</v>
      </c>
      <c r="D2733" s="907" t="s">
        <v>279</v>
      </c>
      <c r="E2733" s="925" t="s">
        <v>2682</v>
      </c>
      <c r="F2733" s="926" t="s">
        <v>45</v>
      </c>
      <c r="G2733" s="910"/>
      <c r="H2733" s="911">
        <v>0.03</v>
      </c>
      <c r="I2733" s="912">
        <f>VLOOKUP(E2733,[3]VLP!$B$7:$K$300,10,0)</f>
        <v>5000</v>
      </c>
      <c r="J2733" s="912">
        <f>I2733*H2733</f>
        <v>150</v>
      </c>
      <c r="K2733" s="912" t="s">
        <v>274</v>
      </c>
      <c r="L2733" s="912"/>
      <c r="M2733" s="912"/>
      <c r="N2733" s="912"/>
      <c r="O2733" s="892">
        <f t="shared" si="168"/>
        <v>0</v>
      </c>
      <c r="P2733" s="903">
        <f t="shared" si="169"/>
        <v>1</v>
      </c>
      <c r="Q2733" s="893">
        <f t="shared" si="170"/>
        <v>4</v>
      </c>
      <c r="R2733" s="894">
        <f t="shared" si="171"/>
        <v>0</v>
      </c>
    </row>
    <row r="2734" spans="1:18">
      <c r="A2734" s="905"/>
      <c r="B2734" s="906"/>
      <c r="C2734" s="907">
        <v>44</v>
      </c>
      <c r="D2734" s="907" t="s">
        <v>279</v>
      </c>
      <c r="E2734" s="925" t="s">
        <v>2681</v>
      </c>
      <c r="F2734" s="926" t="s">
        <v>45</v>
      </c>
      <c r="G2734" s="910"/>
      <c r="H2734" s="911">
        <v>0.16500000000000001</v>
      </c>
      <c r="I2734" s="912">
        <f>VLOOKUP(E2734,[3]VLP!$B$7:$K$300,10,0)</f>
        <v>23000</v>
      </c>
      <c r="J2734" s="912">
        <f>I2734*H2734</f>
        <v>3795</v>
      </c>
      <c r="K2734" s="912" t="s">
        <v>274</v>
      </c>
      <c r="L2734" s="912"/>
      <c r="M2734" s="912"/>
      <c r="N2734" s="912"/>
      <c r="O2734" s="892">
        <f t="shared" si="168"/>
        <v>0</v>
      </c>
      <c r="P2734" s="903">
        <f t="shared" si="169"/>
        <v>1</v>
      </c>
      <c r="Q2734" s="893">
        <f t="shared" si="170"/>
        <v>3</v>
      </c>
      <c r="R2734" s="894">
        <f t="shared" si="171"/>
        <v>0</v>
      </c>
    </row>
    <row r="2735" spans="1:18" s="904" customFormat="1">
      <c r="A2735" s="895"/>
      <c r="B2735" s="896"/>
      <c r="C2735" s="897"/>
      <c r="D2735" s="897"/>
      <c r="E2735" s="924" t="s">
        <v>276</v>
      </c>
      <c r="F2735" s="927"/>
      <c r="G2735" s="928"/>
      <c r="H2735" s="901"/>
      <c r="I2735" s="902"/>
      <c r="J2735" s="902"/>
      <c r="K2735" s="912" t="s">
        <v>274</v>
      </c>
      <c r="L2735" s="902"/>
      <c r="M2735" s="902"/>
      <c r="N2735" s="902"/>
      <c r="O2735" s="892">
        <f t="shared" si="168"/>
        <v>0</v>
      </c>
      <c r="P2735" s="903">
        <f t="shared" si="169"/>
        <v>1</v>
      </c>
      <c r="Q2735" s="893">
        <f t="shared" si="170"/>
        <v>2</v>
      </c>
      <c r="R2735" s="894">
        <f t="shared" si="171"/>
        <v>0</v>
      </c>
    </row>
    <row r="2736" spans="1:18">
      <c r="A2736" s="905"/>
      <c r="B2736" s="906"/>
      <c r="C2736" s="907">
        <v>740</v>
      </c>
      <c r="D2736" s="907" t="s">
        <v>12</v>
      </c>
      <c r="E2736" s="908" t="s">
        <v>4008</v>
      </c>
      <c r="F2736" s="909" t="s">
        <v>2674</v>
      </c>
      <c r="G2736" s="910"/>
      <c r="H2736" s="911">
        <v>0.67200000000000004</v>
      </c>
      <c r="I2736" s="912"/>
      <c r="J2736" s="912"/>
      <c r="K2736" s="912">
        <f>VLOOKUP(E2736,ĐMNC!$A$7:$F$67,4,0)</f>
        <v>252714</v>
      </c>
      <c r="L2736" s="912">
        <f>H2736*K2736</f>
        <v>169823.80800000002</v>
      </c>
      <c r="M2736" s="912"/>
      <c r="N2736" s="912"/>
      <c r="O2736" s="892">
        <f t="shared" si="168"/>
        <v>0</v>
      </c>
      <c r="P2736" s="903">
        <f t="shared" si="169"/>
        <v>1</v>
      </c>
      <c r="Q2736" s="893">
        <f t="shared" si="170"/>
        <v>1</v>
      </c>
      <c r="R2736" s="894">
        <f t="shared" si="171"/>
        <v>0</v>
      </c>
    </row>
    <row r="2737" spans="1:18" s="847" customFormat="1" ht="31.5">
      <c r="A2737" s="905"/>
      <c r="B2737" s="914" t="s">
        <v>4853</v>
      </c>
      <c r="C2737" s="915"/>
      <c r="D2737" s="915"/>
      <c r="E2737" s="916" t="s">
        <v>4854</v>
      </c>
      <c r="F2737" s="917" t="s">
        <v>94</v>
      </c>
      <c r="G2737" s="918"/>
      <c r="H2737" s="919"/>
      <c r="I2737" s="920"/>
      <c r="J2737" s="891">
        <f>SUM(J2738:J2742)</f>
        <v>3945</v>
      </c>
      <c r="K2737" s="891"/>
      <c r="L2737" s="891">
        <f>SUM(L2738:L2742)</f>
        <v>186755.64600000001</v>
      </c>
      <c r="M2737" s="891"/>
      <c r="N2737" s="891">
        <f>SUM(N2738:N2742)</f>
        <v>0</v>
      </c>
      <c r="O2737" s="892">
        <f t="shared" si="168"/>
        <v>1</v>
      </c>
      <c r="P2737" s="903">
        <f t="shared" si="169"/>
        <v>0</v>
      </c>
      <c r="Q2737" s="893">
        <f t="shared" si="170"/>
        <v>0</v>
      </c>
      <c r="R2737" s="894">
        <f t="shared" si="171"/>
        <v>5</v>
      </c>
    </row>
    <row r="2738" spans="1:18" s="904" customFormat="1">
      <c r="A2738" s="895"/>
      <c r="B2738" s="896"/>
      <c r="C2738" s="897"/>
      <c r="D2738" s="897"/>
      <c r="E2738" s="924" t="s">
        <v>108</v>
      </c>
      <c r="F2738" s="899"/>
      <c r="G2738" s="900"/>
      <c r="H2738" s="901"/>
      <c r="I2738" s="902"/>
      <c r="J2738" s="902"/>
      <c r="K2738" s="912" t="s">
        <v>274</v>
      </c>
      <c r="L2738" s="902"/>
      <c r="M2738" s="902"/>
      <c r="N2738" s="902"/>
      <c r="O2738" s="892">
        <f t="shared" si="168"/>
        <v>0</v>
      </c>
      <c r="P2738" s="903">
        <f t="shared" si="169"/>
        <v>1</v>
      </c>
      <c r="Q2738" s="893">
        <f t="shared" si="170"/>
        <v>5</v>
      </c>
      <c r="R2738" s="894">
        <f t="shared" si="171"/>
        <v>0</v>
      </c>
    </row>
    <row r="2739" spans="1:18">
      <c r="A2739" s="905"/>
      <c r="B2739" s="906"/>
      <c r="C2739" s="907">
        <v>66</v>
      </c>
      <c r="D2739" s="907" t="s">
        <v>279</v>
      </c>
      <c r="E2739" s="925" t="s">
        <v>2682</v>
      </c>
      <c r="F2739" s="926" t="s">
        <v>45</v>
      </c>
      <c r="G2739" s="910"/>
      <c r="H2739" s="911">
        <v>0.03</v>
      </c>
      <c r="I2739" s="912">
        <f>VLOOKUP(E2739,[3]VLP!$B$7:$K$300,10,0)</f>
        <v>5000</v>
      </c>
      <c r="J2739" s="912">
        <f>I2739*H2739</f>
        <v>150</v>
      </c>
      <c r="K2739" s="912" t="s">
        <v>274</v>
      </c>
      <c r="L2739" s="912"/>
      <c r="M2739" s="912"/>
      <c r="N2739" s="912"/>
      <c r="O2739" s="892">
        <f t="shared" si="168"/>
        <v>0</v>
      </c>
      <c r="P2739" s="903">
        <f t="shared" si="169"/>
        <v>1</v>
      </c>
      <c r="Q2739" s="893">
        <f t="shared" si="170"/>
        <v>4</v>
      </c>
      <c r="R2739" s="894">
        <f t="shared" si="171"/>
        <v>0</v>
      </c>
    </row>
    <row r="2740" spans="1:18">
      <c r="A2740" s="905"/>
      <c r="B2740" s="906"/>
      <c r="C2740" s="907">
        <v>44</v>
      </c>
      <c r="D2740" s="907" t="s">
        <v>279</v>
      </c>
      <c r="E2740" s="925" t="s">
        <v>2681</v>
      </c>
      <c r="F2740" s="926" t="s">
        <v>45</v>
      </c>
      <c r="G2740" s="910"/>
      <c r="H2740" s="911">
        <v>0.16500000000000001</v>
      </c>
      <c r="I2740" s="912">
        <f>VLOOKUP(E2740,[3]VLP!$B$7:$K$300,10,0)</f>
        <v>23000</v>
      </c>
      <c r="J2740" s="912">
        <f>I2740*H2740</f>
        <v>3795</v>
      </c>
      <c r="K2740" s="912" t="s">
        <v>274</v>
      </c>
      <c r="L2740" s="912"/>
      <c r="M2740" s="912"/>
      <c r="N2740" s="912"/>
      <c r="O2740" s="892">
        <f t="shared" si="168"/>
        <v>0</v>
      </c>
      <c r="P2740" s="903">
        <f t="shared" si="169"/>
        <v>1</v>
      </c>
      <c r="Q2740" s="893">
        <f t="shared" si="170"/>
        <v>3</v>
      </c>
      <c r="R2740" s="894">
        <f t="shared" si="171"/>
        <v>0</v>
      </c>
    </row>
    <row r="2741" spans="1:18" s="904" customFormat="1">
      <c r="A2741" s="895"/>
      <c r="B2741" s="896"/>
      <c r="C2741" s="897"/>
      <c r="D2741" s="897"/>
      <c r="E2741" s="924" t="s">
        <v>276</v>
      </c>
      <c r="F2741" s="927"/>
      <c r="G2741" s="928"/>
      <c r="H2741" s="901"/>
      <c r="I2741" s="902"/>
      <c r="J2741" s="902"/>
      <c r="K2741" s="912" t="s">
        <v>274</v>
      </c>
      <c r="L2741" s="902"/>
      <c r="M2741" s="902"/>
      <c r="N2741" s="902"/>
      <c r="O2741" s="892">
        <f t="shared" si="168"/>
        <v>0</v>
      </c>
      <c r="P2741" s="903">
        <f t="shared" si="169"/>
        <v>1</v>
      </c>
      <c r="Q2741" s="893">
        <f t="shared" si="170"/>
        <v>2</v>
      </c>
      <c r="R2741" s="894">
        <f t="shared" si="171"/>
        <v>0</v>
      </c>
    </row>
    <row r="2742" spans="1:18">
      <c r="A2742" s="905"/>
      <c r="B2742" s="906"/>
      <c r="C2742" s="907">
        <v>740</v>
      </c>
      <c r="D2742" s="907" t="s">
        <v>12</v>
      </c>
      <c r="E2742" s="908" t="s">
        <v>4008</v>
      </c>
      <c r="F2742" s="909" t="s">
        <v>2674</v>
      </c>
      <c r="G2742" s="910"/>
      <c r="H2742" s="911">
        <v>0.73899999999999999</v>
      </c>
      <c r="I2742" s="912"/>
      <c r="J2742" s="912"/>
      <c r="K2742" s="912">
        <f>VLOOKUP(E2742,ĐMNC!$A$7:$F$67,4,0)</f>
        <v>252714</v>
      </c>
      <c r="L2742" s="912">
        <f>H2742*K2742</f>
        <v>186755.64600000001</v>
      </c>
      <c r="M2742" s="912"/>
      <c r="N2742" s="912"/>
      <c r="O2742" s="892">
        <f t="shared" si="168"/>
        <v>0</v>
      </c>
      <c r="P2742" s="903">
        <f t="shared" si="169"/>
        <v>1</v>
      </c>
      <c r="Q2742" s="893">
        <f t="shared" si="170"/>
        <v>1</v>
      </c>
      <c r="R2742" s="894">
        <f t="shared" si="171"/>
        <v>0</v>
      </c>
    </row>
    <row r="2743" spans="1:18" s="847" customFormat="1" ht="31.5">
      <c r="A2743" s="905"/>
      <c r="B2743" s="914" t="s">
        <v>4855</v>
      </c>
      <c r="C2743" s="915"/>
      <c r="D2743" s="915"/>
      <c r="E2743" s="916" t="s">
        <v>4856</v>
      </c>
      <c r="F2743" s="917" t="s">
        <v>94</v>
      </c>
      <c r="G2743" s="918"/>
      <c r="H2743" s="919"/>
      <c r="I2743" s="920"/>
      <c r="J2743" s="891">
        <f>SUM(J2744:J2748)</f>
        <v>3945</v>
      </c>
      <c r="K2743" s="891"/>
      <c r="L2743" s="891">
        <f>SUM(L2744:L2748)</f>
        <v>205456.48199999999</v>
      </c>
      <c r="M2743" s="891"/>
      <c r="N2743" s="891">
        <f>SUM(N2744:N2748)</f>
        <v>0</v>
      </c>
      <c r="O2743" s="892">
        <f t="shared" si="168"/>
        <v>1</v>
      </c>
      <c r="P2743" s="903">
        <f t="shared" si="169"/>
        <v>0</v>
      </c>
      <c r="Q2743" s="893">
        <f t="shared" si="170"/>
        <v>0</v>
      </c>
      <c r="R2743" s="894">
        <f t="shared" si="171"/>
        <v>5</v>
      </c>
    </row>
    <row r="2744" spans="1:18" s="904" customFormat="1">
      <c r="A2744" s="895"/>
      <c r="B2744" s="896"/>
      <c r="C2744" s="897"/>
      <c r="D2744" s="897"/>
      <c r="E2744" s="924" t="s">
        <v>108</v>
      </c>
      <c r="F2744" s="899"/>
      <c r="G2744" s="900"/>
      <c r="H2744" s="901"/>
      <c r="I2744" s="902"/>
      <c r="J2744" s="902"/>
      <c r="K2744" s="912" t="s">
        <v>274</v>
      </c>
      <c r="L2744" s="902"/>
      <c r="M2744" s="902"/>
      <c r="N2744" s="902"/>
      <c r="O2744" s="892">
        <f t="shared" si="168"/>
        <v>0</v>
      </c>
      <c r="P2744" s="903">
        <f t="shared" si="169"/>
        <v>1</v>
      </c>
      <c r="Q2744" s="893">
        <f t="shared" si="170"/>
        <v>5</v>
      </c>
      <c r="R2744" s="894">
        <f t="shared" si="171"/>
        <v>0</v>
      </c>
    </row>
    <row r="2745" spans="1:18">
      <c r="A2745" s="905"/>
      <c r="B2745" s="906"/>
      <c r="C2745" s="907">
        <v>66</v>
      </c>
      <c r="D2745" s="907" t="s">
        <v>279</v>
      </c>
      <c r="E2745" s="925" t="s">
        <v>2682</v>
      </c>
      <c r="F2745" s="926" t="s">
        <v>45</v>
      </c>
      <c r="G2745" s="910"/>
      <c r="H2745" s="911">
        <v>0.03</v>
      </c>
      <c r="I2745" s="912">
        <f>VLOOKUP(E2745,[3]VLP!$B$7:$K$300,10,0)</f>
        <v>5000</v>
      </c>
      <c r="J2745" s="912">
        <f>I2745*H2745</f>
        <v>150</v>
      </c>
      <c r="K2745" s="912" t="s">
        <v>274</v>
      </c>
      <c r="L2745" s="912"/>
      <c r="M2745" s="912"/>
      <c r="N2745" s="912"/>
      <c r="O2745" s="892">
        <f t="shared" si="168"/>
        <v>0</v>
      </c>
      <c r="P2745" s="903">
        <f t="shared" si="169"/>
        <v>1</v>
      </c>
      <c r="Q2745" s="893">
        <f t="shared" si="170"/>
        <v>4</v>
      </c>
      <c r="R2745" s="894">
        <f t="shared" si="171"/>
        <v>0</v>
      </c>
    </row>
    <row r="2746" spans="1:18">
      <c r="A2746" s="905"/>
      <c r="B2746" s="906"/>
      <c r="C2746" s="907">
        <v>44</v>
      </c>
      <c r="D2746" s="907" t="s">
        <v>279</v>
      </c>
      <c r="E2746" s="925" t="s">
        <v>2681</v>
      </c>
      <c r="F2746" s="926" t="s">
        <v>45</v>
      </c>
      <c r="G2746" s="910"/>
      <c r="H2746" s="911">
        <v>0.16500000000000001</v>
      </c>
      <c r="I2746" s="912">
        <f>VLOOKUP(E2746,[3]VLP!$B$7:$K$300,10,0)</f>
        <v>23000</v>
      </c>
      <c r="J2746" s="912">
        <f>I2746*H2746</f>
        <v>3795</v>
      </c>
      <c r="K2746" s="912" t="s">
        <v>274</v>
      </c>
      <c r="L2746" s="912"/>
      <c r="M2746" s="912"/>
      <c r="N2746" s="912"/>
      <c r="O2746" s="892">
        <f t="shared" si="168"/>
        <v>0</v>
      </c>
      <c r="P2746" s="903">
        <f t="shared" si="169"/>
        <v>1</v>
      </c>
      <c r="Q2746" s="893">
        <f t="shared" si="170"/>
        <v>3</v>
      </c>
      <c r="R2746" s="894">
        <f t="shared" si="171"/>
        <v>0</v>
      </c>
    </row>
    <row r="2747" spans="1:18" s="904" customFormat="1">
      <c r="A2747" s="895"/>
      <c r="B2747" s="896"/>
      <c r="C2747" s="897"/>
      <c r="D2747" s="897"/>
      <c r="E2747" s="924" t="s">
        <v>276</v>
      </c>
      <c r="F2747" s="927"/>
      <c r="G2747" s="928"/>
      <c r="H2747" s="901"/>
      <c r="I2747" s="902"/>
      <c r="J2747" s="902"/>
      <c r="K2747" s="912" t="s">
        <v>274</v>
      </c>
      <c r="L2747" s="902"/>
      <c r="M2747" s="902"/>
      <c r="N2747" s="902"/>
      <c r="O2747" s="892">
        <f t="shared" si="168"/>
        <v>0</v>
      </c>
      <c r="P2747" s="903">
        <f t="shared" si="169"/>
        <v>1</v>
      </c>
      <c r="Q2747" s="893">
        <f t="shared" si="170"/>
        <v>2</v>
      </c>
      <c r="R2747" s="894">
        <f t="shared" si="171"/>
        <v>0</v>
      </c>
    </row>
    <row r="2748" spans="1:18">
      <c r="A2748" s="905"/>
      <c r="B2748" s="906"/>
      <c r="C2748" s="907">
        <v>740</v>
      </c>
      <c r="D2748" s="907" t="s">
        <v>12</v>
      </c>
      <c r="E2748" s="908" t="s">
        <v>4008</v>
      </c>
      <c r="F2748" s="909" t="s">
        <v>2674</v>
      </c>
      <c r="G2748" s="910"/>
      <c r="H2748" s="911">
        <v>0.81299999999999994</v>
      </c>
      <c r="I2748" s="912"/>
      <c r="J2748" s="912"/>
      <c r="K2748" s="912">
        <f>VLOOKUP(E2748,ĐMNC!$A$7:$F$67,4,0)</f>
        <v>252714</v>
      </c>
      <c r="L2748" s="912">
        <f>H2748*K2748</f>
        <v>205456.48199999999</v>
      </c>
      <c r="M2748" s="912"/>
      <c r="N2748" s="912"/>
      <c r="O2748" s="892">
        <f t="shared" si="168"/>
        <v>0</v>
      </c>
      <c r="P2748" s="903">
        <f t="shared" si="169"/>
        <v>1</v>
      </c>
      <c r="Q2748" s="893">
        <f t="shared" si="170"/>
        <v>1</v>
      </c>
      <c r="R2748" s="894">
        <f t="shared" si="171"/>
        <v>0</v>
      </c>
    </row>
    <row r="2749" spans="1:18" s="847" customFormat="1" ht="31.5">
      <c r="A2749" s="905"/>
      <c r="B2749" s="914" t="s">
        <v>4857</v>
      </c>
      <c r="C2749" s="915"/>
      <c r="D2749" s="915"/>
      <c r="E2749" s="916" t="s">
        <v>4858</v>
      </c>
      <c r="F2749" s="917" t="s">
        <v>94</v>
      </c>
      <c r="G2749" s="918"/>
      <c r="H2749" s="919"/>
      <c r="I2749" s="920"/>
      <c r="J2749" s="891">
        <f>SUM(J2750:J2754)</f>
        <v>3945</v>
      </c>
      <c r="K2749" s="891"/>
      <c r="L2749" s="891">
        <f>SUM(L2750:L2754)</f>
        <v>225926.31599999999</v>
      </c>
      <c r="M2749" s="891"/>
      <c r="N2749" s="891">
        <f>SUM(N2750:N2754)</f>
        <v>0</v>
      </c>
      <c r="O2749" s="892">
        <f t="shared" si="168"/>
        <v>1</v>
      </c>
      <c r="P2749" s="903">
        <f t="shared" si="169"/>
        <v>0</v>
      </c>
      <c r="Q2749" s="893">
        <f t="shared" si="170"/>
        <v>0</v>
      </c>
      <c r="R2749" s="894">
        <f t="shared" si="171"/>
        <v>5</v>
      </c>
    </row>
    <row r="2750" spans="1:18" s="904" customFormat="1">
      <c r="A2750" s="895"/>
      <c r="B2750" s="896"/>
      <c r="C2750" s="897"/>
      <c r="D2750" s="897"/>
      <c r="E2750" s="924" t="s">
        <v>108</v>
      </c>
      <c r="F2750" s="899"/>
      <c r="G2750" s="900"/>
      <c r="H2750" s="901"/>
      <c r="I2750" s="902"/>
      <c r="J2750" s="902"/>
      <c r="K2750" s="912" t="s">
        <v>274</v>
      </c>
      <c r="L2750" s="902"/>
      <c r="M2750" s="902"/>
      <c r="N2750" s="902"/>
      <c r="O2750" s="892">
        <f t="shared" si="168"/>
        <v>0</v>
      </c>
      <c r="P2750" s="903">
        <f t="shared" si="169"/>
        <v>1</v>
      </c>
      <c r="Q2750" s="893">
        <f t="shared" si="170"/>
        <v>5</v>
      </c>
      <c r="R2750" s="894">
        <f t="shared" si="171"/>
        <v>0</v>
      </c>
    </row>
    <row r="2751" spans="1:18">
      <c r="A2751" s="905"/>
      <c r="B2751" s="906"/>
      <c r="C2751" s="907">
        <v>66</v>
      </c>
      <c r="D2751" s="907" t="s">
        <v>279</v>
      </c>
      <c r="E2751" s="925" t="s">
        <v>2682</v>
      </c>
      <c r="F2751" s="926" t="s">
        <v>45</v>
      </c>
      <c r="G2751" s="910"/>
      <c r="H2751" s="911">
        <v>0.03</v>
      </c>
      <c r="I2751" s="912">
        <f>VLOOKUP(E2751,[3]VLP!$B$7:$K$300,10,0)</f>
        <v>5000</v>
      </c>
      <c r="J2751" s="912">
        <f>I2751*H2751</f>
        <v>150</v>
      </c>
      <c r="K2751" s="912" t="s">
        <v>274</v>
      </c>
      <c r="L2751" s="912"/>
      <c r="M2751" s="912"/>
      <c r="N2751" s="912"/>
      <c r="O2751" s="892">
        <f t="shared" si="168"/>
        <v>0</v>
      </c>
      <c r="P2751" s="903">
        <f t="shared" si="169"/>
        <v>1</v>
      </c>
      <c r="Q2751" s="893">
        <f t="shared" si="170"/>
        <v>4</v>
      </c>
      <c r="R2751" s="894">
        <f t="shared" si="171"/>
        <v>0</v>
      </c>
    </row>
    <row r="2752" spans="1:18">
      <c r="A2752" s="905"/>
      <c r="B2752" s="906"/>
      <c r="C2752" s="907">
        <v>44</v>
      </c>
      <c r="D2752" s="907" t="s">
        <v>279</v>
      </c>
      <c r="E2752" s="925" t="s">
        <v>2681</v>
      </c>
      <c r="F2752" s="926" t="s">
        <v>45</v>
      </c>
      <c r="G2752" s="910"/>
      <c r="H2752" s="911">
        <v>0.16500000000000001</v>
      </c>
      <c r="I2752" s="912">
        <f>VLOOKUP(E2752,[3]VLP!$B$7:$K$300,10,0)</f>
        <v>23000</v>
      </c>
      <c r="J2752" s="912">
        <f>I2752*H2752</f>
        <v>3795</v>
      </c>
      <c r="K2752" s="912" t="s">
        <v>274</v>
      </c>
      <c r="L2752" s="912"/>
      <c r="M2752" s="912"/>
      <c r="N2752" s="912"/>
      <c r="O2752" s="892">
        <f t="shared" si="168"/>
        <v>0</v>
      </c>
      <c r="P2752" s="903">
        <f t="shared" si="169"/>
        <v>1</v>
      </c>
      <c r="Q2752" s="893">
        <f t="shared" si="170"/>
        <v>3</v>
      </c>
      <c r="R2752" s="894">
        <f t="shared" si="171"/>
        <v>0</v>
      </c>
    </row>
    <row r="2753" spans="1:18" s="904" customFormat="1">
      <c r="A2753" s="895"/>
      <c r="B2753" s="896"/>
      <c r="C2753" s="897"/>
      <c r="D2753" s="897"/>
      <c r="E2753" s="924" t="s">
        <v>276</v>
      </c>
      <c r="F2753" s="927"/>
      <c r="G2753" s="928"/>
      <c r="H2753" s="901"/>
      <c r="I2753" s="902"/>
      <c r="J2753" s="902"/>
      <c r="K2753" s="912" t="s">
        <v>274</v>
      </c>
      <c r="L2753" s="902"/>
      <c r="M2753" s="902"/>
      <c r="N2753" s="902"/>
      <c r="O2753" s="892">
        <f t="shared" si="168"/>
        <v>0</v>
      </c>
      <c r="P2753" s="903">
        <f t="shared" si="169"/>
        <v>1</v>
      </c>
      <c r="Q2753" s="893">
        <f t="shared" si="170"/>
        <v>2</v>
      </c>
      <c r="R2753" s="894">
        <f t="shared" si="171"/>
        <v>0</v>
      </c>
    </row>
    <row r="2754" spans="1:18">
      <c r="A2754" s="905"/>
      <c r="B2754" s="906"/>
      <c r="C2754" s="907">
        <v>740</v>
      </c>
      <c r="D2754" s="907" t="s">
        <v>12</v>
      </c>
      <c r="E2754" s="908" t="s">
        <v>4008</v>
      </c>
      <c r="F2754" s="909" t="s">
        <v>2674</v>
      </c>
      <c r="G2754" s="910"/>
      <c r="H2754" s="911">
        <v>0.89400000000000002</v>
      </c>
      <c r="I2754" s="912"/>
      <c r="J2754" s="912"/>
      <c r="K2754" s="912">
        <f>VLOOKUP(E2754,ĐMNC!$A$7:$F$67,4,0)</f>
        <v>252714</v>
      </c>
      <c r="L2754" s="912">
        <f>H2754*K2754</f>
        <v>225926.31599999999</v>
      </c>
      <c r="M2754" s="912"/>
      <c r="N2754" s="912"/>
      <c r="O2754" s="892">
        <f t="shared" si="168"/>
        <v>0</v>
      </c>
      <c r="P2754" s="903">
        <f t="shared" si="169"/>
        <v>1</v>
      </c>
      <c r="Q2754" s="893">
        <f t="shared" si="170"/>
        <v>1</v>
      </c>
      <c r="R2754" s="894">
        <f t="shared" si="171"/>
        <v>0</v>
      </c>
    </row>
    <row r="2755" spans="1:18" s="847" customFormat="1" ht="31.5">
      <c r="A2755" s="905" t="s">
        <v>4859</v>
      </c>
      <c r="B2755" s="914" t="s">
        <v>4860</v>
      </c>
      <c r="C2755" s="915"/>
      <c r="D2755" s="915"/>
      <c r="E2755" s="916" t="s">
        <v>4861</v>
      </c>
      <c r="F2755" s="917" t="s">
        <v>94</v>
      </c>
      <c r="G2755" s="918"/>
      <c r="H2755" s="919"/>
      <c r="I2755" s="920"/>
      <c r="J2755" s="891">
        <f>SUM(J2756:J2760)</f>
        <v>5720</v>
      </c>
      <c r="K2755" s="891"/>
      <c r="L2755" s="891">
        <f>SUM(L2756:L2760)</f>
        <v>193831.63800000001</v>
      </c>
      <c r="M2755" s="891"/>
      <c r="N2755" s="891">
        <f>SUM(N2756:N2760)</f>
        <v>0</v>
      </c>
      <c r="O2755" s="892">
        <f t="shared" si="168"/>
        <v>1</v>
      </c>
      <c r="P2755" s="903">
        <f t="shared" si="169"/>
        <v>0</v>
      </c>
      <c r="Q2755" s="893">
        <f t="shared" si="170"/>
        <v>0</v>
      </c>
      <c r="R2755" s="894">
        <f t="shared" si="171"/>
        <v>5</v>
      </c>
    </row>
    <row r="2756" spans="1:18" s="904" customFormat="1">
      <c r="A2756" s="895"/>
      <c r="B2756" s="922"/>
      <c r="C2756" s="897"/>
      <c r="D2756" s="897"/>
      <c r="E2756" s="924" t="s">
        <v>108</v>
      </c>
      <c r="F2756" s="899"/>
      <c r="G2756" s="900"/>
      <c r="H2756" s="901"/>
      <c r="I2756" s="902"/>
      <c r="J2756" s="902"/>
      <c r="K2756" s="912" t="s">
        <v>274</v>
      </c>
      <c r="L2756" s="902"/>
      <c r="M2756" s="902"/>
      <c r="N2756" s="902"/>
      <c r="O2756" s="892">
        <f t="shared" si="168"/>
        <v>0</v>
      </c>
      <c r="P2756" s="903">
        <f t="shared" si="169"/>
        <v>1</v>
      </c>
      <c r="Q2756" s="893">
        <f t="shared" si="170"/>
        <v>5</v>
      </c>
      <c r="R2756" s="894">
        <f t="shared" si="171"/>
        <v>0</v>
      </c>
    </row>
    <row r="2757" spans="1:18">
      <c r="A2757" s="905"/>
      <c r="B2757" s="906"/>
      <c r="C2757" s="907">
        <v>66</v>
      </c>
      <c r="D2757" s="907" t="s">
        <v>279</v>
      </c>
      <c r="E2757" s="925" t="s">
        <v>2682</v>
      </c>
      <c r="F2757" s="926" t="s">
        <v>45</v>
      </c>
      <c r="G2757" s="910"/>
      <c r="H2757" s="911">
        <v>0.04</v>
      </c>
      <c r="I2757" s="912">
        <f>VLOOKUP(E2757,[3]VLP!$B$7:$K$300,10,0)</f>
        <v>5000</v>
      </c>
      <c r="J2757" s="912">
        <f>I2757*H2757</f>
        <v>200</v>
      </c>
      <c r="K2757" s="912" t="s">
        <v>274</v>
      </c>
      <c r="L2757" s="912"/>
      <c r="M2757" s="912"/>
      <c r="N2757" s="912"/>
      <c r="O2757" s="892">
        <f t="shared" si="168"/>
        <v>0</v>
      </c>
      <c r="P2757" s="903">
        <f t="shared" si="169"/>
        <v>1</v>
      </c>
      <c r="Q2757" s="893">
        <f t="shared" si="170"/>
        <v>4</v>
      </c>
      <c r="R2757" s="894">
        <f t="shared" si="171"/>
        <v>0</v>
      </c>
    </row>
    <row r="2758" spans="1:18">
      <c r="A2758" s="905"/>
      <c r="B2758" s="906"/>
      <c r="C2758" s="907">
        <v>44</v>
      </c>
      <c r="D2758" s="907" t="s">
        <v>279</v>
      </c>
      <c r="E2758" s="925" t="s">
        <v>2681</v>
      </c>
      <c r="F2758" s="926" t="s">
        <v>45</v>
      </c>
      <c r="G2758" s="910"/>
      <c r="H2758" s="911">
        <v>0.24</v>
      </c>
      <c r="I2758" s="912">
        <f>VLOOKUP(E2758,[3]VLP!$B$7:$K$300,10,0)</f>
        <v>23000</v>
      </c>
      <c r="J2758" s="912">
        <f>I2758*H2758</f>
        <v>5520</v>
      </c>
      <c r="K2758" s="912" t="s">
        <v>274</v>
      </c>
      <c r="L2758" s="912"/>
      <c r="M2758" s="912"/>
      <c r="N2758" s="912"/>
      <c r="O2758" s="892">
        <f t="shared" si="168"/>
        <v>0</v>
      </c>
      <c r="P2758" s="903">
        <f t="shared" si="169"/>
        <v>1</v>
      </c>
      <c r="Q2758" s="893">
        <f t="shared" si="170"/>
        <v>3</v>
      </c>
      <c r="R2758" s="894">
        <f t="shared" si="171"/>
        <v>0</v>
      </c>
    </row>
    <row r="2759" spans="1:18" s="904" customFormat="1">
      <c r="A2759" s="895"/>
      <c r="B2759" s="896"/>
      <c r="C2759" s="897"/>
      <c r="D2759" s="897"/>
      <c r="E2759" s="924" t="s">
        <v>276</v>
      </c>
      <c r="F2759" s="927"/>
      <c r="G2759" s="928"/>
      <c r="H2759" s="901"/>
      <c r="I2759" s="902"/>
      <c r="J2759" s="902"/>
      <c r="K2759" s="912" t="s">
        <v>274</v>
      </c>
      <c r="L2759" s="902"/>
      <c r="M2759" s="902"/>
      <c r="N2759" s="902"/>
      <c r="O2759" s="892">
        <f t="shared" si="168"/>
        <v>0</v>
      </c>
      <c r="P2759" s="903">
        <f t="shared" si="169"/>
        <v>1</v>
      </c>
      <c r="Q2759" s="893">
        <f t="shared" si="170"/>
        <v>2</v>
      </c>
      <c r="R2759" s="894">
        <f t="shared" si="171"/>
        <v>0</v>
      </c>
    </row>
    <row r="2760" spans="1:18">
      <c r="A2760" s="905"/>
      <c r="B2760" s="906"/>
      <c r="C2760" s="907">
        <v>740</v>
      </c>
      <c r="D2760" s="907" t="s">
        <v>12</v>
      </c>
      <c r="E2760" s="908" t="s">
        <v>4008</v>
      </c>
      <c r="F2760" s="909" t="s">
        <v>2674</v>
      </c>
      <c r="G2760" s="910"/>
      <c r="H2760" s="911">
        <v>0.76700000000000002</v>
      </c>
      <c r="I2760" s="912"/>
      <c r="J2760" s="912"/>
      <c r="K2760" s="912">
        <f>VLOOKUP(E2760,ĐMNC!$A$7:$F$67,4,0)</f>
        <v>252714</v>
      </c>
      <c r="L2760" s="912">
        <f>H2760*K2760</f>
        <v>193831.63800000001</v>
      </c>
      <c r="M2760" s="912"/>
      <c r="N2760" s="912"/>
      <c r="O2760" s="892">
        <f t="shared" si="168"/>
        <v>0</v>
      </c>
      <c r="P2760" s="903">
        <f t="shared" si="169"/>
        <v>1</v>
      </c>
      <c r="Q2760" s="893">
        <f t="shared" si="170"/>
        <v>1</v>
      </c>
      <c r="R2760" s="894">
        <f t="shared" si="171"/>
        <v>0</v>
      </c>
    </row>
    <row r="2761" spans="1:18" s="847" customFormat="1" ht="31.5">
      <c r="A2761" s="905"/>
      <c r="B2761" s="914" t="s">
        <v>4862</v>
      </c>
      <c r="C2761" s="915"/>
      <c r="D2761" s="915"/>
      <c r="E2761" s="916" t="s">
        <v>4863</v>
      </c>
      <c r="F2761" s="917" t="s">
        <v>94</v>
      </c>
      <c r="G2761" s="918"/>
      <c r="H2761" s="919"/>
      <c r="I2761" s="920"/>
      <c r="J2761" s="891">
        <f>SUM(J2762:J2766)</f>
        <v>5720</v>
      </c>
      <c r="K2761" s="891"/>
      <c r="L2761" s="891">
        <f>SUM(L2762:L2766)</f>
        <v>203687.48400000003</v>
      </c>
      <c r="M2761" s="891"/>
      <c r="N2761" s="891">
        <f>SUM(N2762:N2766)</f>
        <v>0</v>
      </c>
      <c r="O2761" s="892">
        <f t="shared" si="168"/>
        <v>1</v>
      </c>
      <c r="P2761" s="903">
        <f t="shared" si="169"/>
        <v>0</v>
      </c>
      <c r="Q2761" s="893">
        <f t="shared" si="170"/>
        <v>0</v>
      </c>
      <c r="R2761" s="894">
        <f t="shared" si="171"/>
        <v>5</v>
      </c>
    </row>
    <row r="2762" spans="1:18" s="904" customFormat="1">
      <c r="A2762" s="895"/>
      <c r="B2762" s="896"/>
      <c r="C2762" s="897"/>
      <c r="D2762" s="897"/>
      <c r="E2762" s="924" t="s">
        <v>108</v>
      </c>
      <c r="F2762" s="899"/>
      <c r="G2762" s="900"/>
      <c r="H2762" s="901"/>
      <c r="I2762" s="902"/>
      <c r="J2762" s="902"/>
      <c r="K2762" s="912" t="s">
        <v>274</v>
      </c>
      <c r="L2762" s="902"/>
      <c r="M2762" s="902"/>
      <c r="N2762" s="902"/>
      <c r="O2762" s="892">
        <f t="shared" si="168"/>
        <v>0</v>
      </c>
      <c r="P2762" s="903">
        <f t="shared" si="169"/>
        <v>1</v>
      </c>
      <c r="Q2762" s="893">
        <f t="shared" si="170"/>
        <v>5</v>
      </c>
      <c r="R2762" s="894">
        <f t="shared" si="171"/>
        <v>0</v>
      </c>
    </row>
    <row r="2763" spans="1:18">
      <c r="A2763" s="905"/>
      <c r="B2763" s="906"/>
      <c r="C2763" s="907">
        <v>66</v>
      </c>
      <c r="D2763" s="907" t="s">
        <v>279</v>
      </c>
      <c r="E2763" s="925" t="s">
        <v>2682</v>
      </c>
      <c r="F2763" s="926" t="s">
        <v>45</v>
      </c>
      <c r="G2763" s="910"/>
      <c r="H2763" s="911">
        <v>0.04</v>
      </c>
      <c r="I2763" s="912">
        <f>VLOOKUP(E2763,[3]VLP!$B$7:$K$300,10,0)</f>
        <v>5000</v>
      </c>
      <c r="J2763" s="912">
        <f>I2763*H2763</f>
        <v>200</v>
      </c>
      <c r="K2763" s="912" t="s">
        <v>274</v>
      </c>
      <c r="L2763" s="912"/>
      <c r="M2763" s="912"/>
      <c r="N2763" s="912"/>
      <c r="O2763" s="892">
        <f t="shared" ref="O2763:O2826" si="172">IF(AND(B2763&lt;&gt;"",D2763=""),1,0)</f>
        <v>0</v>
      </c>
      <c r="P2763" s="903">
        <f t="shared" si="169"/>
        <v>1</v>
      </c>
      <c r="Q2763" s="893">
        <f t="shared" si="170"/>
        <v>4</v>
      </c>
      <c r="R2763" s="894">
        <f t="shared" si="171"/>
        <v>0</v>
      </c>
    </row>
    <row r="2764" spans="1:18">
      <c r="A2764" s="905"/>
      <c r="B2764" s="906"/>
      <c r="C2764" s="907">
        <v>44</v>
      </c>
      <c r="D2764" s="907" t="s">
        <v>279</v>
      </c>
      <c r="E2764" s="925" t="s">
        <v>2681</v>
      </c>
      <c r="F2764" s="926" t="s">
        <v>45</v>
      </c>
      <c r="G2764" s="910"/>
      <c r="H2764" s="911">
        <v>0.24</v>
      </c>
      <c r="I2764" s="912">
        <f>VLOOKUP(E2764,[3]VLP!$B$7:$K$300,10,0)</f>
        <v>23000</v>
      </c>
      <c r="J2764" s="912">
        <f>I2764*H2764</f>
        <v>5520</v>
      </c>
      <c r="K2764" s="912" t="s">
        <v>274</v>
      </c>
      <c r="L2764" s="912"/>
      <c r="M2764" s="912"/>
      <c r="N2764" s="912"/>
      <c r="O2764" s="892">
        <f t="shared" si="172"/>
        <v>0</v>
      </c>
      <c r="P2764" s="903">
        <f t="shared" si="169"/>
        <v>1</v>
      </c>
      <c r="Q2764" s="893">
        <f t="shared" si="170"/>
        <v>3</v>
      </c>
      <c r="R2764" s="894">
        <f t="shared" si="171"/>
        <v>0</v>
      </c>
    </row>
    <row r="2765" spans="1:18" s="904" customFormat="1">
      <c r="A2765" s="895"/>
      <c r="B2765" s="896"/>
      <c r="C2765" s="897"/>
      <c r="D2765" s="897"/>
      <c r="E2765" s="924" t="s">
        <v>276</v>
      </c>
      <c r="F2765" s="927"/>
      <c r="G2765" s="928"/>
      <c r="H2765" s="901"/>
      <c r="I2765" s="902"/>
      <c r="J2765" s="902"/>
      <c r="K2765" s="912" t="s">
        <v>274</v>
      </c>
      <c r="L2765" s="902"/>
      <c r="M2765" s="902"/>
      <c r="N2765" s="902"/>
      <c r="O2765" s="892">
        <f t="shared" si="172"/>
        <v>0</v>
      </c>
      <c r="P2765" s="903">
        <f t="shared" si="169"/>
        <v>1</v>
      </c>
      <c r="Q2765" s="893">
        <f t="shared" si="170"/>
        <v>2</v>
      </c>
      <c r="R2765" s="894">
        <f t="shared" si="171"/>
        <v>0</v>
      </c>
    </row>
    <row r="2766" spans="1:18">
      <c r="A2766" s="905"/>
      <c r="B2766" s="906"/>
      <c r="C2766" s="907">
        <v>740</v>
      </c>
      <c r="D2766" s="907" t="s">
        <v>12</v>
      </c>
      <c r="E2766" s="908" t="s">
        <v>4008</v>
      </c>
      <c r="F2766" s="909" t="s">
        <v>2674</v>
      </c>
      <c r="G2766" s="910"/>
      <c r="H2766" s="911">
        <v>0.80600000000000005</v>
      </c>
      <c r="I2766" s="912"/>
      <c r="J2766" s="912"/>
      <c r="K2766" s="912">
        <f>VLOOKUP(E2766,ĐMNC!$A$7:$F$67,4,0)</f>
        <v>252714</v>
      </c>
      <c r="L2766" s="912">
        <f>H2766*K2766</f>
        <v>203687.48400000003</v>
      </c>
      <c r="M2766" s="912"/>
      <c r="N2766" s="912"/>
      <c r="O2766" s="892">
        <f t="shared" si="172"/>
        <v>0</v>
      </c>
      <c r="P2766" s="903">
        <f t="shared" si="169"/>
        <v>1</v>
      </c>
      <c r="Q2766" s="893">
        <f t="shared" si="170"/>
        <v>1</v>
      </c>
      <c r="R2766" s="894">
        <f t="shared" si="171"/>
        <v>0</v>
      </c>
    </row>
    <row r="2767" spans="1:18" s="847" customFormat="1" ht="31.5">
      <c r="A2767" s="905"/>
      <c r="B2767" s="914" t="s">
        <v>4864</v>
      </c>
      <c r="C2767" s="915"/>
      <c r="D2767" s="915"/>
      <c r="E2767" s="916" t="s">
        <v>4865</v>
      </c>
      <c r="F2767" s="917" t="s">
        <v>94</v>
      </c>
      <c r="G2767" s="918"/>
      <c r="H2767" s="919"/>
      <c r="I2767" s="920"/>
      <c r="J2767" s="891">
        <f>SUM(J2768:J2772)</f>
        <v>5720</v>
      </c>
      <c r="K2767" s="891"/>
      <c r="L2767" s="891">
        <f>SUM(L2768:L2772)</f>
        <v>222135.606</v>
      </c>
      <c r="M2767" s="891"/>
      <c r="N2767" s="891">
        <f>SUM(N2768:N2772)</f>
        <v>0</v>
      </c>
      <c r="O2767" s="892">
        <f t="shared" si="172"/>
        <v>1</v>
      </c>
      <c r="P2767" s="903">
        <f t="shared" si="169"/>
        <v>0</v>
      </c>
      <c r="Q2767" s="893">
        <f t="shared" si="170"/>
        <v>0</v>
      </c>
      <c r="R2767" s="894">
        <f t="shared" si="171"/>
        <v>5</v>
      </c>
    </row>
    <row r="2768" spans="1:18" s="904" customFormat="1">
      <c r="A2768" s="895"/>
      <c r="B2768" s="896"/>
      <c r="C2768" s="897"/>
      <c r="D2768" s="897"/>
      <c r="E2768" s="924" t="s">
        <v>108</v>
      </c>
      <c r="F2768" s="899"/>
      <c r="G2768" s="900"/>
      <c r="H2768" s="901"/>
      <c r="I2768" s="902"/>
      <c r="J2768" s="902"/>
      <c r="K2768" s="912" t="s">
        <v>274</v>
      </c>
      <c r="L2768" s="902"/>
      <c r="M2768" s="902"/>
      <c r="N2768" s="902"/>
      <c r="O2768" s="892">
        <f t="shared" si="172"/>
        <v>0</v>
      </c>
      <c r="P2768" s="903">
        <f t="shared" si="169"/>
        <v>1</v>
      </c>
      <c r="Q2768" s="893">
        <f t="shared" si="170"/>
        <v>5</v>
      </c>
      <c r="R2768" s="894">
        <f t="shared" si="171"/>
        <v>0</v>
      </c>
    </row>
    <row r="2769" spans="1:18">
      <c r="A2769" s="905"/>
      <c r="B2769" s="906"/>
      <c r="C2769" s="907">
        <v>66</v>
      </c>
      <c r="D2769" s="907" t="s">
        <v>279</v>
      </c>
      <c r="E2769" s="925" t="s">
        <v>2682</v>
      </c>
      <c r="F2769" s="926" t="s">
        <v>45</v>
      </c>
      <c r="G2769" s="910"/>
      <c r="H2769" s="911">
        <v>0.04</v>
      </c>
      <c r="I2769" s="912">
        <f>VLOOKUP(E2769,[3]VLP!$B$7:$K$300,10,0)</f>
        <v>5000</v>
      </c>
      <c r="J2769" s="912">
        <f>I2769*H2769</f>
        <v>200</v>
      </c>
      <c r="K2769" s="912" t="s">
        <v>274</v>
      </c>
      <c r="L2769" s="912"/>
      <c r="M2769" s="912"/>
      <c r="N2769" s="912"/>
      <c r="O2769" s="892">
        <f t="shared" si="172"/>
        <v>0</v>
      </c>
      <c r="P2769" s="903">
        <f t="shared" si="169"/>
        <v>1</v>
      </c>
      <c r="Q2769" s="893">
        <f t="shared" si="170"/>
        <v>4</v>
      </c>
      <c r="R2769" s="894">
        <f t="shared" si="171"/>
        <v>0</v>
      </c>
    </row>
    <row r="2770" spans="1:18">
      <c r="A2770" s="905"/>
      <c r="B2770" s="906"/>
      <c r="C2770" s="907">
        <v>44</v>
      </c>
      <c r="D2770" s="907" t="s">
        <v>279</v>
      </c>
      <c r="E2770" s="925" t="s">
        <v>2681</v>
      </c>
      <c r="F2770" s="926" t="s">
        <v>45</v>
      </c>
      <c r="G2770" s="910"/>
      <c r="H2770" s="911">
        <v>0.24</v>
      </c>
      <c r="I2770" s="912">
        <f>VLOOKUP(E2770,[3]VLP!$B$7:$K$300,10,0)</f>
        <v>23000</v>
      </c>
      <c r="J2770" s="912">
        <f>I2770*H2770</f>
        <v>5520</v>
      </c>
      <c r="K2770" s="912" t="s">
        <v>274</v>
      </c>
      <c r="L2770" s="912"/>
      <c r="M2770" s="912"/>
      <c r="N2770" s="912"/>
      <c r="O2770" s="892">
        <f t="shared" si="172"/>
        <v>0</v>
      </c>
      <c r="P2770" s="903">
        <f t="shared" si="169"/>
        <v>1</v>
      </c>
      <c r="Q2770" s="893">
        <f t="shared" si="170"/>
        <v>3</v>
      </c>
      <c r="R2770" s="894">
        <f t="shared" si="171"/>
        <v>0</v>
      </c>
    </row>
    <row r="2771" spans="1:18" s="904" customFormat="1">
      <c r="A2771" s="895"/>
      <c r="B2771" s="896"/>
      <c r="C2771" s="897"/>
      <c r="D2771" s="897"/>
      <c r="E2771" s="924" t="s">
        <v>276</v>
      </c>
      <c r="F2771" s="927"/>
      <c r="G2771" s="928"/>
      <c r="H2771" s="901"/>
      <c r="I2771" s="902"/>
      <c r="J2771" s="902"/>
      <c r="K2771" s="912" t="s">
        <v>274</v>
      </c>
      <c r="L2771" s="902"/>
      <c r="M2771" s="902"/>
      <c r="N2771" s="902"/>
      <c r="O2771" s="892">
        <f t="shared" si="172"/>
        <v>0</v>
      </c>
      <c r="P2771" s="903">
        <f t="shared" si="169"/>
        <v>1</v>
      </c>
      <c r="Q2771" s="893">
        <f t="shared" si="170"/>
        <v>2</v>
      </c>
      <c r="R2771" s="894">
        <f t="shared" si="171"/>
        <v>0</v>
      </c>
    </row>
    <row r="2772" spans="1:18">
      <c r="A2772" s="905"/>
      <c r="B2772" s="906"/>
      <c r="C2772" s="907">
        <v>740</v>
      </c>
      <c r="D2772" s="907" t="s">
        <v>12</v>
      </c>
      <c r="E2772" s="908" t="s">
        <v>4008</v>
      </c>
      <c r="F2772" s="909" t="s">
        <v>2674</v>
      </c>
      <c r="G2772" s="910"/>
      <c r="H2772" s="911">
        <v>0.879</v>
      </c>
      <c r="I2772" s="912"/>
      <c r="J2772" s="912"/>
      <c r="K2772" s="912">
        <f>VLOOKUP(E2772,ĐMNC!$A$7:$F$67,4,0)</f>
        <v>252714</v>
      </c>
      <c r="L2772" s="912">
        <f>H2772*K2772</f>
        <v>222135.606</v>
      </c>
      <c r="M2772" s="912"/>
      <c r="N2772" s="912"/>
      <c r="O2772" s="892">
        <f t="shared" si="172"/>
        <v>0</v>
      </c>
      <c r="P2772" s="903">
        <f t="shared" ref="P2772:P2836" si="173">IF(O2772=0,1,0)</f>
        <v>1</v>
      </c>
      <c r="Q2772" s="893">
        <f t="shared" ref="Q2772:Q2836" si="174">IF(P2772=0,0,P2772+Q2773)</f>
        <v>1</v>
      </c>
      <c r="R2772" s="894">
        <f t="shared" ref="R2772:R2836" si="175">IF(Q2772=0,Q2773,0)</f>
        <v>0</v>
      </c>
    </row>
    <row r="2773" spans="1:18" s="847" customFormat="1" ht="31.5">
      <c r="A2773" s="905"/>
      <c r="B2773" s="914" t="s">
        <v>4866</v>
      </c>
      <c r="C2773" s="915"/>
      <c r="D2773" s="915"/>
      <c r="E2773" s="916" t="s">
        <v>4867</v>
      </c>
      <c r="F2773" s="917" t="s">
        <v>94</v>
      </c>
      <c r="G2773" s="918"/>
      <c r="H2773" s="919"/>
      <c r="I2773" s="920"/>
      <c r="J2773" s="891">
        <f>SUM(J2774:J2778)</f>
        <v>5720</v>
      </c>
      <c r="K2773" s="891"/>
      <c r="L2773" s="891">
        <f>SUM(L2774:L2778)</f>
        <v>254735.712</v>
      </c>
      <c r="M2773" s="891"/>
      <c r="N2773" s="891">
        <f>SUM(N2774:N2778)</f>
        <v>0</v>
      </c>
      <c r="O2773" s="892">
        <f t="shared" si="172"/>
        <v>1</v>
      </c>
      <c r="P2773" s="903">
        <f t="shared" si="173"/>
        <v>0</v>
      </c>
      <c r="Q2773" s="893">
        <f t="shared" si="174"/>
        <v>0</v>
      </c>
      <c r="R2773" s="894">
        <f t="shared" si="175"/>
        <v>5</v>
      </c>
    </row>
    <row r="2774" spans="1:18" s="904" customFormat="1">
      <c r="A2774" s="895"/>
      <c r="B2774" s="896"/>
      <c r="C2774" s="897"/>
      <c r="D2774" s="897"/>
      <c r="E2774" s="924" t="s">
        <v>108</v>
      </c>
      <c r="F2774" s="899"/>
      <c r="G2774" s="900"/>
      <c r="H2774" s="901"/>
      <c r="I2774" s="902"/>
      <c r="J2774" s="902"/>
      <c r="K2774" s="912" t="s">
        <v>274</v>
      </c>
      <c r="L2774" s="902"/>
      <c r="M2774" s="902"/>
      <c r="N2774" s="902"/>
      <c r="O2774" s="892">
        <f t="shared" si="172"/>
        <v>0</v>
      </c>
      <c r="P2774" s="903">
        <f t="shared" si="173"/>
        <v>1</v>
      </c>
      <c r="Q2774" s="893">
        <f t="shared" si="174"/>
        <v>5</v>
      </c>
      <c r="R2774" s="894">
        <f t="shared" si="175"/>
        <v>0</v>
      </c>
    </row>
    <row r="2775" spans="1:18">
      <c r="A2775" s="905"/>
      <c r="B2775" s="906"/>
      <c r="C2775" s="907">
        <v>66</v>
      </c>
      <c r="D2775" s="907" t="s">
        <v>279</v>
      </c>
      <c r="E2775" s="925" t="s">
        <v>2682</v>
      </c>
      <c r="F2775" s="926" t="s">
        <v>45</v>
      </c>
      <c r="G2775" s="910"/>
      <c r="H2775" s="911">
        <v>0.04</v>
      </c>
      <c r="I2775" s="912">
        <f>VLOOKUP(E2775,[3]VLP!$B$7:$K$300,10,0)</f>
        <v>5000</v>
      </c>
      <c r="J2775" s="912">
        <f>I2775*H2775</f>
        <v>200</v>
      </c>
      <c r="K2775" s="912" t="s">
        <v>274</v>
      </c>
      <c r="L2775" s="912"/>
      <c r="M2775" s="912"/>
      <c r="N2775" s="912"/>
      <c r="O2775" s="892">
        <f t="shared" si="172"/>
        <v>0</v>
      </c>
      <c r="P2775" s="903">
        <f t="shared" si="173"/>
        <v>1</v>
      </c>
      <c r="Q2775" s="893">
        <f t="shared" si="174"/>
        <v>4</v>
      </c>
      <c r="R2775" s="894">
        <f t="shared" si="175"/>
        <v>0</v>
      </c>
    </row>
    <row r="2776" spans="1:18">
      <c r="A2776" s="905"/>
      <c r="B2776" s="906"/>
      <c r="C2776" s="907">
        <v>44</v>
      </c>
      <c r="D2776" s="907" t="s">
        <v>279</v>
      </c>
      <c r="E2776" s="925" t="s">
        <v>2681</v>
      </c>
      <c r="F2776" s="926" t="s">
        <v>45</v>
      </c>
      <c r="G2776" s="910"/>
      <c r="H2776" s="911">
        <v>0.24</v>
      </c>
      <c r="I2776" s="912">
        <f>VLOOKUP(E2776,[3]VLP!$B$7:$K$300,10,0)</f>
        <v>23000</v>
      </c>
      <c r="J2776" s="912">
        <f>I2776*H2776</f>
        <v>5520</v>
      </c>
      <c r="K2776" s="912" t="s">
        <v>274</v>
      </c>
      <c r="L2776" s="912"/>
      <c r="M2776" s="912"/>
      <c r="N2776" s="912"/>
      <c r="O2776" s="892">
        <f t="shared" si="172"/>
        <v>0</v>
      </c>
      <c r="P2776" s="903">
        <f t="shared" si="173"/>
        <v>1</v>
      </c>
      <c r="Q2776" s="893">
        <f t="shared" si="174"/>
        <v>3</v>
      </c>
      <c r="R2776" s="894">
        <f t="shared" si="175"/>
        <v>0</v>
      </c>
    </row>
    <row r="2777" spans="1:18" s="904" customFormat="1">
      <c r="A2777" s="895"/>
      <c r="B2777" s="896"/>
      <c r="C2777" s="897"/>
      <c r="D2777" s="897"/>
      <c r="E2777" s="924" t="s">
        <v>276</v>
      </c>
      <c r="F2777" s="927"/>
      <c r="G2777" s="928"/>
      <c r="H2777" s="901"/>
      <c r="I2777" s="902"/>
      <c r="J2777" s="902"/>
      <c r="K2777" s="912" t="s">
        <v>274</v>
      </c>
      <c r="L2777" s="902"/>
      <c r="M2777" s="902"/>
      <c r="N2777" s="902"/>
      <c r="O2777" s="892">
        <f t="shared" si="172"/>
        <v>0</v>
      </c>
      <c r="P2777" s="903">
        <f t="shared" si="173"/>
        <v>1</v>
      </c>
      <c r="Q2777" s="893">
        <f t="shared" si="174"/>
        <v>2</v>
      </c>
      <c r="R2777" s="894">
        <f t="shared" si="175"/>
        <v>0</v>
      </c>
    </row>
    <row r="2778" spans="1:18">
      <c r="A2778" s="905"/>
      <c r="B2778" s="906"/>
      <c r="C2778" s="907">
        <v>740</v>
      </c>
      <c r="D2778" s="907" t="s">
        <v>12</v>
      </c>
      <c r="E2778" s="908" t="s">
        <v>4008</v>
      </c>
      <c r="F2778" s="909" t="s">
        <v>2674</v>
      </c>
      <c r="G2778" s="910"/>
      <c r="H2778" s="911">
        <v>1.008</v>
      </c>
      <c r="I2778" s="912"/>
      <c r="J2778" s="912"/>
      <c r="K2778" s="912">
        <f>VLOOKUP(E2778,ĐMNC!$A$7:$F$67,4,0)</f>
        <v>252714</v>
      </c>
      <c r="L2778" s="912">
        <f>H2778*K2778</f>
        <v>254735.712</v>
      </c>
      <c r="M2778" s="912"/>
      <c r="N2778" s="912"/>
      <c r="O2778" s="892">
        <f t="shared" si="172"/>
        <v>0</v>
      </c>
      <c r="P2778" s="903">
        <f t="shared" si="173"/>
        <v>1</v>
      </c>
      <c r="Q2778" s="893">
        <f t="shared" si="174"/>
        <v>1</v>
      </c>
      <c r="R2778" s="894">
        <f t="shared" si="175"/>
        <v>0</v>
      </c>
    </row>
    <row r="2779" spans="1:18" s="847" customFormat="1" ht="31.5">
      <c r="A2779" s="905"/>
      <c r="B2779" s="914" t="s">
        <v>4868</v>
      </c>
      <c r="C2779" s="915"/>
      <c r="D2779" s="915"/>
      <c r="E2779" s="916" t="s">
        <v>4869</v>
      </c>
      <c r="F2779" s="917" t="s">
        <v>94</v>
      </c>
      <c r="G2779" s="918"/>
      <c r="H2779" s="919"/>
      <c r="I2779" s="920"/>
      <c r="J2779" s="891">
        <f>SUM(J2780:J2784)</f>
        <v>5720</v>
      </c>
      <c r="K2779" s="891"/>
      <c r="L2779" s="891">
        <f>SUM(L2780:L2784)</f>
        <v>283039.68000000005</v>
      </c>
      <c r="M2779" s="891"/>
      <c r="N2779" s="891">
        <f>SUM(N2780:N2784)</f>
        <v>0</v>
      </c>
      <c r="O2779" s="892">
        <f t="shared" si="172"/>
        <v>1</v>
      </c>
      <c r="P2779" s="903">
        <f t="shared" si="173"/>
        <v>0</v>
      </c>
      <c r="Q2779" s="893">
        <f t="shared" si="174"/>
        <v>0</v>
      </c>
      <c r="R2779" s="894">
        <f t="shared" si="175"/>
        <v>5</v>
      </c>
    </row>
    <row r="2780" spans="1:18" s="904" customFormat="1">
      <c r="A2780" s="895"/>
      <c r="B2780" s="896"/>
      <c r="C2780" s="897"/>
      <c r="D2780" s="897"/>
      <c r="E2780" s="924" t="s">
        <v>108</v>
      </c>
      <c r="F2780" s="899"/>
      <c r="G2780" s="900"/>
      <c r="H2780" s="901"/>
      <c r="I2780" s="902"/>
      <c r="J2780" s="902"/>
      <c r="K2780" s="912" t="s">
        <v>274</v>
      </c>
      <c r="L2780" s="902"/>
      <c r="M2780" s="902"/>
      <c r="N2780" s="902"/>
      <c r="O2780" s="892">
        <f t="shared" si="172"/>
        <v>0</v>
      </c>
      <c r="P2780" s="903">
        <f t="shared" si="173"/>
        <v>1</v>
      </c>
      <c r="Q2780" s="893">
        <f t="shared" si="174"/>
        <v>5</v>
      </c>
      <c r="R2780" s="894">
        <f t="shared" si="175"/>
        <v>0</v>
      </c>
    </row>
    <row r="2781" spans="1:18">
      <c r="A2781" s="905"/>
      <c r="B2781" s="906"/>
      <c r="C2781" s="907">
        <v>66</v>
      </c>
      <c r="D2781" s="907" t="s">
        <v>279</v>
      </c>
      <c r="E2781" s="925" t="s">
        <v>2682</v>
      </c>
      <c r="F2781" s="926" t="s">
        <v>45</v>
      </c>
      <c r="G2781" s="910"/>
      <c r="H2781" s="911">
        <v>0.04</v>
      </c>
      <c r="I2781" s="912">
        <f>VLOOKUP(E2781,[3]VLP!$B$7:$K$300,10,0)</f>
        <v>5000</v>
      </c>
      <c r="J2781" s="912">
        <f>I2781*H2781</f>
        <v>200</v>
      </c>
      <c r="K2781" s="912" t="s">
        <v>274</v>
      </c>
      <c r="L2781" s="912"/>
      <c r="M2781" s="912"/>
      <c r="N2781" s="912"/>
      <c r="O2781" s="892">
        <f t="shared" si="172"/>
        <v>0</v>
      </c>
      <c r="P2781" s="903">
        <f t="shared" si="173"/>
        <v>1</v>
      </c>
      <c r="Q2781" s="893">
        <f t="shared" si="174"/>
        <v>4</v>
      </c>
      <c r="R2781" s="894">
        <f t="shared" si="175"/>
        <v>0</v>
      </c>
    </row>
    <row r="2782" spans="1:18">
      <c r="A2782" s="905"/>
      <c r="B2782" s="906"/>
      <c r="C2782" s="907">
        <v>44</v>
      </c>
      <c r="D2782" s="907" t="s">
        <v>279</v>
      </c>
      <c r="E2782" s="925" t="s">
        <v>2681</v>
      </c>
      <c r="F2782" s="926" t="s">
        <v>45</v>
      </c>
      <c r="G2782" s="910"/>
      <c r="H2782" s="911">
        <v>0.24</v>
      </c>
      <c r="I2782" s="912">
        <f>VLOOKUP(E2782,[3]VLP!$B$7:$K$300,10,0)</f>
        <v>23000</v>
      </c>
      <c r="J2782" s="912">
        <f>I2782*H2782</f>
        <v>5520</v>
      </c>
      <c r="K2782" s="912" t="s">
        <v>274</v>
      </c>
      <c r="L2782" s="912"/>
      <c r="M2782" s="912"/>
      <c r="N2782" s="912"/>
      <c r="O2782" s="892">
        <f t="shared" si="172"/>
        <v>0</v>
      </c>
      <c r="P2782" s="903">
        <f t="shared" si="173"/>
        <v>1</v>
      </c>
      <c r="Q2782" s="893">
        <f t="shared" si="174"/>
        <v>3</v>
      </c>
      <c r="R2782" s="894">
        <f t="shared" si="175"/>
        <v>0</v>
      </c>
    </row>
    <row r="2783" spans="1:18" s="904" customFormat="1">
      <c r="A2783" s="895"/>
      <c r="B2783" s="896"/>
      <c r="C2783" s="897"/>
      <c r="D2783" s="897"/>
      <c r="E2783" s="924" t="s">
        <v>276</v>
      </c>
      <c r="F2783" s="927"/>
      <c r="G2783" s="928"/>
      <c r="H2783" s="901"/>
      <c r="I2783" s="902"/>
      <c r="J2783" s="902"/>
      <c r="K2783" s="912" t="s">
        <v>274</v>
      </c>
      <c r="L2783" s="902"/>
      <c r="M2783" s="902"/>
      <c r="N2783" s="902"/>
      <c r="O2783" s="892">
        <f t="shared" si="172"/>
        <v>0</v>
      </c>
      <c r="P2783" s="903">
        <f t="shared" si="173"/>
        <v>1</v>
      </c>
      <c r="Q2783" s="893">
        <f t="shared" si="174"/>
        <v>2</v>
      </c>
      <c r="R2783" s="894">
        <f t="shared" si="175"/>
        <v>0</v>
      </c>
    </row>
    <row r="2784" spans="1:18">
      <c r="A2784" s="905"/>
      <c r="B2784" s="906"/>
      <c r="C2784" s="907">
        <v>740</v>
      </c>
      <c r="D2784" s="907" t="s">
        <v>12</v>
      </c>
      <c r="E2784" s="908" t="s">
        <v>4008</v>
      </c>
      <c r="F2784" s="909" t="s">
        <v>2674</v>
      </c>
      <c r="G2784" s="910"/>
      <c r="H2784" s="911">
        <v>1.1200000000000001</v>
      </c>
      <c r="I2784" s="912"/>
      <c r="J2784" s="912"/>
      <c r="K2784" s="912">
        <f>VLOOKUP(E2784,ĐMNC!$A$7:$F$67,4,0)</f>
        <v>252714</v>
      </c>
      <c r="L2784" s="912">
        <f>H2784*K2784</f>
        <v>283039.68000000005</v>
      </c>
      <c r="M2784" s="912"/>
      <c r="N2784" s="912"/>
      <c r="O2784" s="892">
        <f t="shared" si="172"/>
        <v>0</v>
      </c>
      <c r="P2784" s="903">
        <f t="shared" si="173"/>
        <v>1</v>
      </c>
      <c r="Q2784" s="893">
        <f t="shared" si="174"/>
        <v>1</v>
      </c>
      <c r="R2784" s="894">
        <f t="shared" si="175"/>
        <v>0</v>
      </c>
    </row>
    <row r="2785" spans="1:18" s="847" customFormat="1" ht="31.5">
      <c r="A2785" s="905"/>
      <c r="B2785" s="914" t="s">
        <v>4870</v>
      </c>
      <c r="C2785" s="915"/>
      <c r="D2785" s="915"/>
      <c r="E2785" s="916" t="s">
        <v>4871</v>
      </c>
      <c r="F2785" s="917" t="s">
        <v>94</v>
      </c>
      <c r="G2785" s="918"/>
      <c r="H2785" s="919"/>
      <c r="I2785" s="920"/>
      <c r="J2785" s="891">
        <f>SUM(J2786:J2790)</f>
        <v>5720</v>
      </c>
      <c r="K2785" s="891"/>
      <c r="L2785" s="891">
        <f>SUM(L2786:L2790)</f>
        <v>311343.64799999999</v>
      </c>
      <c r="M2785" s="891"/>
      <c r="N2785" s="891">
        <f>SUM(N2786:N2790)</f>
        <v>0</v>
      </c>
      <c r="O2785" s="892">
        <f t="shared" si="172"/>
        <v>1</v>
      </c>
      <c r="P2785" s="903">
        <f t="shared" si="173"/>
        <v>0</v>
      </c>
      <c r="Q2785" s="893">
        <f t="shared" si="174"/>
        <v>0</v>
      </c>
      <c r="R2785" s="894">
        <f t="shared" si="175"/>
        <v>5</v>
      </c>
    </row>
    <row r="2786" spans="1:18" s="904" customFormat="1">
      <c r="A2786" s="895"/>
      <c r="B2786" s="896"/>
      <c r="C2786" s="897"/>
      <c r="D2786" s="897"/>
      <c r="E2786" s="924" t="s">
        <v>108</v>
      </c>
      <c r="F2786" s="899"/>
      <c r="G2786" s="900"/>
      <c r="H2786" s="901"/>
      <c r="I2786" s="902"/>
      <c r="J2786" s="902"/>
      <c r="K2786" s="912" t="s">
        <v>274</v>
      </c>
      <c r="L2786" s="902"/>
      <c r="M2786" s="902"/>
      <c r="N2786" s="902"/>
      <c r="O2786" s="892">
        <f t="shared" si="172"/>
        <v>0</v>
      </c>
      <c r="P2786" s="903">
        <f t="shared" si="173"/>
        <v>1</v>
      </c>
      <c r="Q2786" s="893">
        <f t="shared" si="174"/>
        <v>5</v>
      </c>
      <c r="R2786" s="894">
        <f t="shared" si="175"/>
        <v>0</v>
      </c>
    </row>
    <row r="2787" spans="1:18">
      <c r="A2787" s="905"/>
      <c r="B2787" s="906"/>
      <c r="C2787" s="907">
        <v>66</v>
      </c>
      <c r="D2787" s="907" t="s">
        <v>279</v>
      </c>
      <c r="E2787" s="925" t="s">
        <v>2682</v>
      </c>
      <c r="F2787" s="926" t="s">
        <v>45</v>
      </c>
      <c r="G2787" s="910"/>
      <c r="H2787" s="911">
        <v>0.04</v>
      </c>
      <c r="I2787" s="912">
        <f>VLOOKUP(E2787,[3]VLP!$B$7:$K$300,10,0)</f>
        <v>5000</v>
      </c>
      <c r="J2787" s="912">
        <f>I2787*H2787</f>
        <v>200</v>
      </c>
      <c r="K2787" s="912" t="s">
        <v>274</v>
      </c>
      <c r="L2787" s="912"/>
      <c r="M2787" s="912"/>
      <c r="N2787" s="912"/>
      <c r="O2787" s="892">
        <f t="shared" si="172"/>
        <v>0</v>
      </c>
      <c r="P2787" s="903">
        <f t="shared" si="173"/>
        <v>1</v>
      </c>
      <c r="Q2787" s="893">
        <f t="shared" si="174"/>
        <v>4</v>
      </c>
      <c r="R2787" s="894">
        <f t="shared" si="175"/>
        <v>0</v>
      </c>
    </row>
    <row r="2788" spans="1:18">
      <c r="A2788" s="905"/>
      <c r="B2788" s="906"/>
      <c r="C2788" s="907">
        <v>44</v>
      </c>
      <c r="D2788" s="907" t="s">
        <v>279</v>
      </c>
      <c r="E2788" s="925" t="s">
        <v>2681</v>
      </c>
      <c r="F2788" s="926" t="s">
        <v>45</v>
      </c>
      <c r="G2788" s="910"/>
      <c r="H2788" s="911">
        <v>0.24</v>
      </c>
      <c r="I2788" s="912">
        <f>VLOOKUP(E2788,[3]VLP!$B$7:$K$300,10,0)</f>
        <v>23000</v>
      </c>
      <c r="J2788" s="912">
        <f>I2788*H2788</f>
        <v>5520</v>
      </c>
      <c r="K2788" s="912" t="s">
        <v>274</v>
      </c>
      <c r="L2788" s="912"/>
      <c r="M2788" s="912"/>
      <c r="N2788" s="912"/>
      <c r="O2788" s="892">
        <f t="shared" si="172"/>
        <v>0</v>
      </c>
      <c r="P2788" s="903">
        <f t="shared" si="173"/>
        <v>1</v>
      </c>
      <c r="Q2788" s="893">
        <f t="shared" si="174"/>
        <v>3</v>
      </c>
      <c r="R2788" s="894">
        <f t="shared" si="175"/>
        <v>0</v>
      </c>
    </row>
    <row r="2789" spans="1:18" s="904" customFormat="1">
      <c r="A2789" s="895"/>
      <c r="B2789" s="896"/>
      <c r="C2789" s="897"/>
      <c r="D2789" s="897"/>
      <c r="E2789" s="924" t="s">
        <v>276</v>
      </c>
      <c r="F2789" s="927"/>
      <c r="G2789" s="928"/>
      <c r="H2789" s="901"/>
      <c r="I2789" s="902"/>
      <c r="J2789" s="902"/>
      <c r="K2789" s="912" t="s">
        <v>274</v>
      </c>
      <c r="L2789" s="902"/>
      <c r="M2789" s="902"/>
      <c r="N2789" s="902"/>
      <c r="O2789" s="892">
        <f t="shared" si="172"/>
        <v>0</v>
      </c>
      <c r="P2789" s="903">
        <f t="shared" si="173"/>
        <v>1</v>
      </c>
      <c r="Q2789" s="893">
        <f t="shared" si="174"/>
        <v>2</v>
      </c>
      <c r="R2789" s="894">
        <f t="shared" si="175"/>
        <v>0</v>
      </c>
    </row>
    <row r="2790" spans="1:18">
      <c r="A2790" s="905"/>
      <c r="B2790" s="906"/>
      <c r="C2790" s="907">
        <v>740</v>
      </c>
      <c r="D2790" s="907" t="s">
        <v>12</v>
      </c>
      <c r="E2790" s="908" t="s">
        <v>4008</v>
      </c>
      <c r="F2790" s="909" t="s">
        <v>2674</v>
      </c>
      <c r="G2790" s="910"/>
      <c r="H2790" s="911">
        <v>1.232</v>
      </c>
      <c r="I2790" s="912"/>
      <c r="J2790" s="912"/>
      <c r="K2790" s="912">
        <f>VLOOKUP(E2790,ĐMNC!$A$7:$F$67,4,0)</f>
        <v>252714</v>
      </c>
      <c r="L2790" s="912">
        <f>H2790*K2790</f>
        <v>311343.64799999999</v>
      </c>
      <c r="M2790" s="912"/>
      <c r="N2790" s="912"/>
      <c r="O2790" s="892">
        <f t="shared" si="172"/>
        <v>0</v>
      </c>
      <c r="P2790" s="903">
        <f t="shared" si="173"/>
        <v>1</v>
      </c>
      <c r="Q2790" s="893">
        <f t="shared" si="174"/>
        <v>1</v>
      </c>
      <c r="R2790" s="894">
        <f t="shared" si="175"/>
        <v>0</v>
      </c>
    </row>
    <row r="2791" spans="1:18" s="847" customFormat="1" ht="31.5">
      <c r="A2791" s="905"/>
      <c r="B2791" s="914" t="s">
        <v>4872</v>
      </c>
      <c r="C2791" s="915"/>
      <c r="D2791" s="915"/>
      <c r="E2791" s="916" t="s">
        <v>4873</v>
      </c>
      <c r="F2791" s="917" t="s">
        <v>94</v>
      </c>
      <c r="G2791" s="918"/>
      <c r="H2791" s="919"/>
      <c r="I2791" s="920"/>
      <c r="J2791" s="891">
        <f>SUM(J2792:J2796)</f>
        <v>5720</v>
      </c>
      <c r="K2791" s="891"/>
      <c r="L2791" s="891">
        <f>SUM(L2792:L2796)</f>
        <v>342427.47</v>
      </c>
      <c r="M2791" s="891"/>
      <c r="N2791" s="891">
        <f>SUM(N2792:N2796)</f>
        <v>0</v>
      </c>
      <c r="O2791" s="892">
        <f t="shared" si="172"/>
        <v>1</v>
      </c>
      <c r="P2791" s="903">
        <f t="shared" si="173"/>
        <v>0</v>
      </c>
      <c r="Q2791" s="893">
        <f t="shared" si="174"/>
        <v>0</v>
      </c>
      <c r="R2791" s="894">
        <f t="shared" si="175"/>
        <v>5</v>
      </c>
    </row>
    <row r="2792" spans="1:18" s="904" customFormat="1">
      <c r="A2792" s="895"/>
      <c r="B2792" s="896"/>
      <c r="C2792" s="897"/>
      <c r="D2792" s="897"/>
      <c r="E2792" s="924" t="s">
        <v>108</v>
      </c>
      <c r="F2792" s="899"/>
      <c r="G2792" s="900"/>
      <c r="H2792" s="901"/>
      <c r="I2792" s="902"/>
      <c r="J2792" s="902"/>
      <c r="K2792" s="912" t="s">
        <v>274</v>
      </c>
      <c r="L2792" s="902"/>
      <c r="M2792" s="902"/>
      <c r="N2792" s="902"/>
      <c r="O2792" s="892">
        <f t="shared" si="172"/>
        <v>0</v>
      </c>
      <c r="P2792" s="903">
        <f t="shared" si="173"/>
        <v>1</v>
      </c>
      <c r="Q2792" s="893">
        <f t="shared" si="174"/>
        <v>5</v>
      </c>
      <c r="R2792" s="894">
        <f t="shared" si="175"/>
        <v>0</v>
      </c>
    </row>
    <row r="2793" spans="1:18">
      <c r="A2793" s="905"/>
      <c r="B2793" s="906"/>
      <c r="C2793" s="907">
        <v>66</v>
      </c>
      <c r="D2793" s="907" t="s">
        <v>279</v>
      </c>
      <c r="E2793" s="925" t="s">
        <v>2682</v>
      </c>
      <c r="F2793" s="926" t="s">
        <v>45</v>
      </c>
      <c r="G2793" s="910"/>
      <c r="H2793" s="911">
        <v>0.04</v>
      </c>
      <c r="I2793" s="912">
        <f>VLOOKUP(E2793,[3]VLP!$B$7:$K$300,10,0)</f>
        <v>5000</v>
      </c>
      <c r="J2793" s="912">
        <f>I2793*H2793</f>
        <v>200</v>
      </c>
      <c r="K2793" s="912" t="s">
        <v>274</v>
      </c>
      <c r="L2793" s="912"/>
      <c r="M2793" s="912"/>
      <c r="N2793" s="912"/>
      <c r="O2793" s="892">
        <f t="shared" si="172"/>
        <v>0</v>
      </c>
      <c r="P2793" s="903">
        <f t="shared" si="173"/>
        <v>1</v>
      </c>
      <c r="Q2793" s="893">
        <f t="shared" si="174"/>
        <v>4</v>
      </c>
      <c r="R2793" s="894">
        <f t="shared" si="175"/>
        <v>0</v>
      </c>
    </row>
    <row r="2794" spans="1:18">
      <c r="A2794" s="905"/>
      <c r="B2794" s="906"/>
      <c r="C2794" s="907">
        <v>44</v>
      </c>
      <c r="D2794" s="907" t="s">
        <v>279</v>
      </c>
      <c r="E2794" s="925" t="s">
        <v>2681</v>
      </c>
      <c r="F2794" s="926" t="s">
        <v>45</v>
      </c>
      <c r="G2794" s="910"/>
      <c r="H2794" s="911">
        <v>0.24</v>
      </c>
      <c r="I2794" s="912">
        <f>VLOOKUP(E2794,[3]VLP!$B$7:$K$300,10,0)</f>
        <v>23000</v>
      </c>
      <c r="J2794" s="912">
        <f>I2794*H2794</f>
        <v>5520</v>
      </c>
      <c r="K2794" s="912" t="s">
        <v>274</v>
      </c>
      <c r="L2794" s="912"/>
      <c r="M2794" s="912"/>
      <c r="N2794" s="912"/>
      <c r="O2794" s="892">
        <f t="shared" si="172"/>
        <v>0</v>
      </c>
      <c r="P2794" s="903">
        <f t="shared" si="173"/>
        <v>1</v>
      </c>
      <c r="Q2794" s="893">
        <f t="shared" si="174"/>
        <v>3</v>
      </c>
      <c r="R2794" s="894">
        <f t="shared" si="175"/>
        <v>0</v>
      </c>
    </row>
    <row r="2795" spans="1:18" s="904" customFormat="1">
      <c r="A2795" s="895"/>
      <c r="B2795" s="896"/>
      <c r="C2795" s="897"/>
      <c r="D2795" s="897"/>
      <c r="E2795" s="924" t="s">
        <v>276</v>
      </c>
      <c r="F2795" s="927"/>
      <c r="G2795" s="928"/>
      <c r="H2795" s="901"/>
      <c r="I2795" s="902"/>
      <c r="J2795" s="902"/>
      <c r="K2795" s="912" t="s">
        <v>274</v>
      </c>
      <c r="L2795" s="902"/>
      <c r="M2795" s="902"/>
      <c r="N2795" s="902"/>
      <c r="O2795" s="892">
        <f t="shared" si="172"/>
        <v>0</v>
      </c>
      <c r="P2795" s="903">
        <f t="shared" si="173"/>
        <v>1</v>
      </c>
      <c r="Q2795" s="893">
        <f t="shared" si="174"/>
        <v>2</v>
      </c>
      <c r="R2795" s="894">
        <f t="shared" si="175"/>
        <v>0</v>
      </c>
    </row>
    <row r="2796" spans="1:18">
      <c r="A2796" s="905"/>
      <c r="B2796" s="906"/>
      <c r="C2796" s="907">
        <v>740</v>
      </c>
      <c r="D2796" s="907" t="s">
        <v>12</v>
      </c>
      <c r="E2796" s="908" t="s">
        <v>4008</v>
      </c>
      <c r="F2796" s="909" t="s">
        <v>2674</v>
      </c>
      <c r="G2796" s="910"/>
      <c r="H2796" s="911">
        <v>1.355</v>
      </c>
      <c r="I2796" s="912"/>
      <c r="J2796" s="912"/>
      <c r="K2796" s="912">
        <f>VLOOKUP(E2796,ĐMNC!$A$7:$F$67,4,0)</f>
        <v>252714</v>
      </c>
      <c r="L2796" s="912">
        <f>H2796*K2796</f>
        <v>342427.47</v>
      </c>
      <c r="M2796" s="912"/>
      <c r="N2796" s="912"/>
      <c r="O2796" s="892">
        <f t="shared" si="172"/>
        <v>0</v>
      </c>
      <c r="P2796" s="903">
        <f t="shared" si="173"/>
        <v>1</v>
      </c>
      <c r="Q2796" s="893">
        <f t="shared" si="174"/>
        <v>1</v>
      </c>
      <c r="R2796" s="894">
        <f t="shared" si="175"/>
        <v>0</v>
      </c>
    </row>
    <row r="2797" spans="1:18" s="847" customFormat="1" ht="31.5">
      <c r="A2797" s="905"/>
      <c r="B2797" s="914" t="s">
        <v>4874</v>
      </c>
      <c r="C2797" s="915"/>
      <c r="D2797" s="915"/>
      <c r="E2797" s="916" t="s">
        <v>4875</v>
      </c>
      <c r="F2797" s="917" t="s">
        <v>94</v>
      </c>
      <c r="G2797" s="918"/>
      <c r="H2797" s="919"/>
      <c r="I2797" s="920"/>
      <c r="J2797" s="891">
        <f>SUM(J2798:J2802)</f>
        <v>10240</v>
      </c>
      <c r="K2797" s="891"/>
      <c r="L2797" s="891">
        <f>SUM(L2798:L2802)</f>
        <v>366688.01400000002</v>
      </c>
      <c r="M2797" s="891"/>
      <c r="N2797" s="891">
        <f>SUM(N2798:N2802)</f>
        <v>0</v>
      </c>
      <c r="O2797" s="892">
        <f t="shared" si="172"/>
        <v>1</v>
      </c>
      <c r="P2797" s="903">
        <f t="shared" si="173"/>
        <v>0</v>
      </c>
      <c r="Q2797" s="893">
        <f t="shared" si="174"/>
        <v>0</v>
      </c>
      <c r="R2797" s="894">
        <f t="shared" si="175"/>
        <v>5</v>
      </c>
    </row>
    <row r="2798" spans="1:18" s="904" customFormat="1">
      <c r="A2798" s="895"/>
      <c r="B2798" s="896"/>
      <c r="C2798" s="897"/>
      <c r="D2798" s="897"/>
      <c r="E2798" s="924" t="s">
        <v>108</v>
      </c>
      <c r="F2798" s="899"/>
      <c r="G2798" s="900"/>
      <c r="H2798" s="901"/>
      <c r="I2798" s="902"/>
      <c r="J2798" s="902"/>
      <c r="K2798" s="912" t="s">
        <v>274</v>
      </c>
      <c r="L2798" s="902"/>
      <c r="M2798" s="902"/>
      <c r="N2798" s="902"/>
      <c r="O2798" s="892">
        <f t="shared" si="172"/>
        <v>0</v>
      </c>
      <c r="P2798" s="903">
        <f t="shared" si="173"/>
        <v>1</v>
      </c>
      <c r="Q2798" s="893">
        <f t="shared" si="174"/>
        <v>5</v>
      </c>
      <c r="R2798" s="894">
        <f t="shared" si="175"/>
        <v>0</v>
      </c>
    </row>
    <row r="2799" spans="1:18">
      <c r="A2799" s="905"/>
      <c r="B2799" s="906"/>
      <c r="C2799" s="907">
        <v>66</v>
      </c>
      <c r="D2799" s="907" t="s">
        <v>279</v>
      </c>
      <c r="E2799" s="925" t="s">
        <v>2682</v>
      </c>
      <c r="F2799" s="926" t="s">
        <v>45</v>
      </c>
      <c r="G2799" s="910"/>
      <c r="H2799" s="911">
        <v>7.0000000000000007E-2</v>
      </c>
      <c r="I2799" s="912">
        <f>VLOOKUP(E2799,[3]VLP!$B$7:$K$300,10,0)</f>
        <v>5000</v>
      </c>
      <c r="J2799" s="912">
        <f>I2799*H2799</f>
        <v>350.00000000000006</v>
      </c>
      <c r="K2799" s="912" t="s">
        <v>274</v>
      </c>
      <c r="L2799" s="912"/>
      <c r="M2799" s="912"/>
      <c r="N2799" s="912"/>
      <c r="O2799" s="892">
        <f t="shared" si="172"/>
        <v>0</v>
      </c>
      <c r="P2799" s="903">
        <f t="shared" si="173"/>
        <v>1</v>
      </c>
      <c r="Q2799" s="893">
        <f t="shared" si="174"/>
        <v>4</v>
      </c>
      <c r="R2799" s="894">
        <f t="shared" si="175"/>
        <v>0</v>
      </c>
    </row>
    <row r="2800" spans="1:18">
      <c r="A2800" s="905"/>
      <c r="B2800" s="906"/>
      <c r="C2800" s="907">
        <v>44</v>
      </c>
      <c r="D2800" s="907" t="s">
        <v>279</v>
      </c>
      <c r="E2800" s="925" t="s">
        <v>2681</v>
      </c>
      <c r="F2800" s="926" t="s">
        <v>45</v>
      </c>
      <c r="G2800" s="910"/>
      <c r="H2800" s="911">
        <v>0.43</v>
      </c>
      <c r="I2800" s="912">
        <f>VLOOKUP(E2800,[3]VLP!$B$7:$K$300,10,0)</f>
        <v>23000</v>
      </c>
      <c r="J2800" s="912">
        <f>I2800*H2800</f>
        <v>9890</v>
      </c>
      <c r="K2800" s="912" t="s">
        <v>274</v>
      </c>
      <c r="L2800" s="912"/>
      <c r="M2800" s="912"/>
      <c r="N2800" s="912"/>
      <c r="O2800" s="892">
        <f t="shared" si="172"/>
        <v>0</v>
      </c>
      <c r="P2800" s="903">
        <f t="shared" si="173"/>
        <v>1</v>
      </c>
      <c r="Q2800" s="893">
        <f t="shared" si="174"/>
        <v>3</v>
      </c>
      <c r="R2800" s="894">
        <f t="shared" si="175"/>
        <v>0</v>
      </c>
    </row>
    <row r="2801" spans="1:18" s="904" customFormat="1">
      <c r="A2801" s="895"/>
      <c r="B2801" s="896"/>
      <c r="C2801" s="897"/>
      <c r="D2801" s="897"/>
      <c r="E2801" s="924" t="s">
        <v>276</v>
      </c>
      <c r="F2801" s="927"/>
      <c r="G2801" s="928"/>
      <c r="H2801" s="901"/>
      <c r="I2801" s="902"/>
      <c r="J2801" s="902"/>
      <c r="K2801" s="912" t="s">
        <v>274</v>
      </c>
      <c r="L2801" s="902"/>
      <c r="M2801" s="902"/>
      <c r="N2801" s="902"/>
      <c r="O2801" s="892">
        <f t="shared" si="172"/>
        <v>0</v>
      </c>
      <c r="P2801" s="903">
        <f t="shared" si="173"/>
        <v>1</v>
      </c>
      <c r="Q2801" s="893">
        <f t="shared" si="174"/>
        <v>2</v>
      </c>
      <c r="R2801" s="894">
        <f t="shared" si="175"/>
        <v>0</v>
      </c>
    </row>
    <row r="2802" spans="1:18">
      <c r="A2802" s="905"/>
      <c r="B2802" s="906"/>
      <c r="C2802" s="907">
        <v>740</v>
      </c>
      <c r="D2802" s="907" t="s">
        <v>12</v>
      </c>
      <c r="E2802" s="908" t="s">
        <v>4008</v>
      </c>
      <c r="F2802" s="909" t="s">
        <v>2674</v>
      </c>
      <c r="G2802" s="910"/>
      <c r="H2802" s="911">
        <v>1.4510000000000001</v>
      </c>
      <c r="I2802" s="912"/>
      <c r="J2802" s="912"/>
      <c r="K2802" s="912">
        <f>VLOOKUP(E2802,ĐMNC!$A$7:$F$67,4,0)</f>
        <v>252714</v>
      </c>
      <c r="L2802" s="912">
        <f>H2802*K2802</f>
        <v>366688.01400000002</v>
      </c>
      <c r="M2802" s="912"/>
      <c r="N2802" s="912"/>
      <c r="O2802" s="892">
        <f t="shared" si="172"/>
        <v>0</v>
      </c>
      <c r="P2802" s="903">
        <f t="shared" si="173"/>
        <v>1</v>
      </c>
      <c r="Q2802" s="893">
        <f t="shared" si="174"/>
        <v>1</v>
      </c>
      <c r="R2802" s="894">
        <f t="shared" si="175"/>
        <v>0</v>
      </c>
    </row>
    <row r="2803" spans="1:18" s="847" customFormat="1" ht="31.5">
      <c r="A2803" s="905"/>
      <c r="B2803" s="914" t="s">
        <v>4876</v>
      </c>
      <c r="C2803" s="915"/>
      <c r="D2803" s="915"/>
      <c r="E2803" s="916" t="s">
        <v>4877</v>
      </c>
      <c r="F2803" s="917" t="s">
        <v>94</v>
      </c>
      <c r="G2803" s="918"/>
      <c r="H2803" s="919"/>
      <c r="I2803" s="920"/>
      <c r="J2803" s="891">
        <f>SUM(J2804:J2808)</f>
        <v>10240</v>
      </c>
      <c r="K2803" s="891"/>
      <c r="L2803" s="891">
        <f>SUM(L2804:L2808)</f>
        <v>399793.54800000001</v>
      </c>
      <c r="M2803" s="891"/>
      <c r="N2803" s="891">
        <f>SUM(N2804:N2808)</f>
        <v>0</v>
      </c>
      <c r="O2803" s="892">
        <f t="shared" si="172"/>
        <v>1</v>
      </c>
      <c r="P2803" s="903">
        <f t="shared" si="173"/>
        <v>0</v>
      </c>
      <c r="Q2803" s="893">
        <f t="shared" si="174"/>
        <v>0</v>
      </c>
      <c r="R2803" s="894">
        <f t="shared" si="175"/>
        <v>5</v>
      </c>
    </row>
    <row r="2804" spans="1:18" s="904" customFormat="1">
      <c r="A2804" s="895"/>
      <c r="B2804" s="896"/>
      <c r="C2804" s="897"/>
      <c r="D2804" s="897"/>
      <c r="E2804" s="924" t="s">
        <v>108</v>
      </c>
      <c r="F2804" s="899"/>
      <c r="G2804" s="900"/>
      <c r="H2804" s="901"/>
      <c r="I2804" s="902"/>
      <c r="J2804" s="902"/>
      <c r="K2804" s="912" t="s">
        <v>274</v>
      </c>
      <c r="L2804" s="902"/>
      <c r="M2804" s="902"/>
      <c r="N2804" s="902"/>
      <c r="O2804" s="892">
        <f t="shared" si="172"/>
        <v>0</v>
      </c>
      <c r="P2804" s="903">
        <f t="shared" si="173"/>
        <v>1</v>
      </c>
      <c r="Q2804" s="893">
        <f t="shared" si="174"/>
        <v>5</v>
      </c>
      <c r="R2804" s="894">
        <f t="shared" si="175"/>
        <v>0</v>
      </c>
    </row>
    <row r="2805" spans="1:18">
      <c r="A2805" s="905"/>
      <c r="B2805" s="906"/>
      <c r="C2805" s="907">
        <v>66</v>
      </c>
      <c r="D2805" s="907" t="s">
        <v>279</v>
      </c>
      <c r="E2805" s="925" t="s">
        <v>2682</v>
      </c>
      <c r="F2805" s="926" t="s">
        <v>45</v>
      </c>
      <c r="G2805" s="910"/>
      <c r="H2805" s="911">
        <v>7.0000000000000007E-2</v>
      </c>
      <c r="I2805" s="912">
        <f>VLOOKUP(E2805,[3]VLP!$B$7:$K$300,10,0)</f>
        <v>5000</v>
      </c>
      <c r="J2805" s="912">
        <f>I2805*H2805</f>
        <v>350.00000000000006</v>
      </c>
      <c r="K2805" s="912" t="s">
        <v>274</v>
      </c>
      <c r="L2805" s="912"/>
      <c r="M2805" s="912"/>
      <c r="N2805" s="912"/>
      <c r="O2805" s="892">
        <f t="shared" si="172"/>
        <v>0</v>
      </c>
      <c r="P2805" s="903">
        <f t="shared" si="173"/>
        <v>1</v>
      </c>
      <c r="Q2805" s="893">
        <f t="shared" si="174"/>
        <v>4</v>
      </c>
      <c r="R2805" s="894">
        <f t="shared" si="175"/>
        <v>0</v>
      </c>
    </row>
    <row r="2806" spans="1:18">
      <c r="A2806" s="905"/>
      <c r="B2806" s="906"/>
      <c r="C2806" s="907">
        <v>44</v>
      </c>
      <c r="D2806" s="907" t="s">
        <v>279</v>
      </c>
      <c r="E2806" s="925" t="s">
        <v>2681</v>
      </c>
      <c r="F2806" s="926" t="s">
        <v>45</v>
      </c>
      <c r="G2806" s="910"/>
      <c r="H2806" s="911">
        <v>0.43</v>
      </c>
      <c r="I2806" s="912">
        <f>VLOOKUP(E2806,[3]VLP!$B$7:$K$300,10,0)</f>
        <v>23000</v>
      </c>
      <c r="J2806" s="912">
        <f>I2806*H2806</f>
        <v>9890</v>
      </c>
      <c r="K2806" s="912" t="s">
        <v>274</v>
      </c>
      <c r="L2806" s="912"/>
      <c r="M2806" s="912"/>
      <c r="N2806" s="912"/>
      <c r="O2806" s="892">
        <f t="shared" si="172"/>
        <v>0</v>
      </c>
      <c r="P2806" s="903">
        <f t="shared" si="173"/>
        <v>1</v>
      </c>
      <c r="Q2806" s="893">
        <f t="shared" si="174"/>
        <v>3</v>
      </c>
      <c r="R2806" s="894">
        <f t="shared" si="175"/>
        <v>0</v>
      </c>
    </row>
    <row r="2807" spans="1:18" s="904" customFormat="1">
      <c r="A2807" s="895"/>
      <c r="B2807" s="896"/>
      <c r="C2807" s="897"/>
      <c r="D2807" s="897"/>
      <c r="E2807" s="924" t="s">
        <v>276</v>
      </c>
      <c r="F2807" s="927"/>
      <c r="G2807" s="928"/>
      <c r="H2807" s="901"/>
      <c r="I2807" s="902"/>
      <c r="J2807" s="902"/>
      <c r="K2807" s="912" t="s">
        <v>274</v>
      </c>
      <c r="L2807" s="902"/>
      <c r="M2807" s="902"/>
      <c r="N2807" s="902"/>
      <c r="O2807" s="892">
        <f t="shared" si="172"/>
        <v>0</v>
      </c>
      <c r="P2807" s="903">
        <f t="shared" si="173"/>
        <v>1</v>
      </c>
      <c r="Q2807" s="893">
        <f t="shared" si="174"/>
        <v>2</v>
      </c>
      <c r="R2807" s="894">
        <f t="shared" si="175"/>
        <v>0</v>
      </c>
    </row>
    <row r="2808" spans="1:18">
      <c r="A2808" s="905"/>
      <c r="B2808" s="906"/>
      <c r="C2808" s="907">
        <v>740</v>
      </c>
      <c r="D2808" s="907" t="s">
        <v>12</v>
      </c>
      <c r="E2808" s="908" t="s">
        <v>4008</v>
      </c>
      <c r="F2808" s="909" t="s">
        <v>2674</v>
      </c>
      <c r="G2808" s="910"/>
      <c r="H2808" s="911">
        <v>1.5820000000000001</v>
      </c>
      <c r="I2808" s="912"/>
      <c r="J2808" s="912"/>
      <c r="K2808" s="912">
        <f>VLOOKUP(E2808,ĐMNC!$A$7:$F$67,4,0)</f>
        <v>252714</v>
      </c>
      <c r="L2808" s="912">
        <f>H2808*K2808</f>
        <v>399793.54800000001</v>
      </c>
      <c r="M2808" s="912"/>
      <c r="N2808" s="912"/>
      <c r="O2808" s="892">
        <f t="shared" si="172"/>
        <v>0</v>
      </c>
      <c r="P2808" s="903">
        <f t="shared" si="173"/>
        <v>1</v>
      </c>
      <c r="Q2808" s="893">
        <f t="shared" si="174"/>
        <v>1</v>
      </c>
      <c r="R2808" s="894">
        <f t="shared" si="175"/>
        <v>0</v>
      </c>
    </row>
    <row r="2809" spans="1:18" s="847" customFormat="1" ht="31.5">
      <c r="A2809" s="905"/>
      <c r="B2809" s="914" t="s">
        <v>4878</v>
      </c>
      <c r="C2809" s="915"/>
      <c r="D2809" s="915"/>
      <c r="E2809" s="916" t="s">
        <v>4879</v>
      </c>
      <c r="F2809" s="917" t="s">
        <v>94</v>
      </c>
      <c r="G2809" s="918"/>
      <c r="H2809" s="919"/>
      <c r="I2809" s="920"/>
      <c r="J2809" s="891">
        <f>SUM(J2810:J2814)</f>
        <v>10240</v>
      </c>
      <c r="K2809" s="891"/>
      <c r="L2809" s="891">
        <f>SUM(L2810:L2814)</f>
        <v>458423.196</v>
      </c>
      <c r="M2809" s="891"/>
      <c r="N2809" s="891">
        <f>SUM(N2810:N2814)</f>
        <v>0</v>
      </c>
      <c r="O2809" s="892">
        <f t="shared" si="172"/>
        <v>1</v>
      </c>
      <c r="P2809" s="903">
        <f t="shared" si="173"/>
        <v>0</v>
      </c>
      <c r="Q2809" s="893">
        <f t="shared" si="174"/>
        <v>0</v>
      </c>
      <c r="R2809" s="894">
        <f t="shared" si="175"/>
        <v>5</v>
      </c>
    </row>
    <row r="2810" spans="1:18" s="904" customFormat="1">
      <c r="A2810" s="895"/>
      <c r="B2810" s="896"/>
      <c r="C2810" s="897"/>
      <c r="D2810" s="897"/>
      <c r="E2810" s="924" t="s">
        <v>108</v>
      </c>
      <c r="F2810" s="899"/>
      <c r="G2810" s="900"/>
      <c r="H2810" s="901"/>
      <c r="I2810" s="902"/>
      <c r="J2810" s="902"/>
      <c r="K2810" s="912" t="s">
        <v>274</v>
      </c>
      <c r="L2810" s="902"/>
      <c r="M2810" s="902"/>
      <c r="N2810" s="902"/>
      <c r="O2810" s="892">
        <f t="shared" si="172"/>
        <v>0</v>
      </c>
      <c r="P2810" s="903">
        <f t="shared" si="173"/>
        <v>1</v>
      </c>
      <c r="Q2810" s="893">
        <f t="shared" si="174"/>
        <v>5</v>
      </c>
      <c r="R2810" s="894">
        <f t="shared" si="175"/>
        <v>0</v>
      </c>
    </row>
    <row r="2811" spans="1:18">
      <c r="A2811" s="905"/>
      <c r="B2811" s="906"/>
      <c r="C2811" s="907">
        <v>66</v>
      </c>
      <c r="D2811" s="907" t="s">
        <v>279</v>
      </c>
      <c r="E2811" s="925" t="s">
        <v>2682</v>
      </c>
      <c r="F2811" s="926" t="s">
        <v>45</v>
      </c>
      <c r="G2811" s="910"/>
      <c r="H2811" s="911">
        <v>7.0000000000000007E-2</v>
      </c>
      <c r="I2811" s="912">
        <f>VLOOKUP(E2811,[3]VLP!$B$7:$K$300,10,0)</f>
        <v>5000</v>
      </c>
      <c r="J2811" s="912">
        <f>I2811*H2811</f>
        <v>350.00000000000006</v>
      </c>
      <c r="K2811" s="912" t="s">
        <v>274</v>
      </c>
      <c r="L2811" s="912"/>
      <c r="M2811" s="912"/>
      <c r="N2811" s="912"/>
      <c r="O2811" s="892">
        <f t="shared" si="172"/>
        <v>0</v>
      </c>
      <c r="P2811" s="903">
        <f t="shared" si="173"/>
        <v>1</v>
      </c>
      <c r="Q2811" s="893">
        <f t="shared" si="174"/>
        <v>4</v>
      </c>
      <c r="R2811" s="894">
        <f t="shared" si="175"/>
        <v>0</v>
      </c>
    </row>
    <row r="2812" spans="1:18">
      <c r="A2812" s="905"/>
      <c r="B2812" s="906"/>
      <c r="C2812" s="907">
        <v>44</v>
      </c>
      <c r="D2812" s="907" t="s">
        <v>279</v>
      </c>
      <c r="E2812" s="925" t="s">
        <v>2681</v>
      </c>
      <c r="F2812" s="926" t="s">
        <v>45</v>
      </c>
      <c r="G2812" s="910"/>
      <c r="H2812" s="911">
        <v>0.43</v>
      </c>
      <c r="I2812" s="912">
        <f>VLOOKUP(E2812,[3]VLP!$B$7:$K$300,10,0)</f>
        <v>23000</v>
      </c>
      <c r="J2812" s="912">
        <f>I2812*H2812</f>
        <v>9890</v>
      </c>
      <c r="K2812" s="912" t="s">
        <v>274</v>
      </c>
      <c r="L2812" s="912"/>
      <c r="M2812" s="912"/>
      <c r="N2812" s="912"/>
      <c r="O2812" s="892">
        <f t="shared" si="172"/>
        <v>0</v>
      </c>
      <c r="P2812" s="903">
        <f t="shared" si="173"/>
        <v>1</v>
      </c>
      <c r="Q2812" s="893">
        <f t="shared" si="174"/>
        <v>3</v>
      </c>
      <c r="R2812" s="894">
        <f t="shared" si="175"/>
        <v>0</v>
      </c>
    </row>
    <row r="2813" spans="1:18" s="904" customFormat="1">
      <c r="A2813" s="895"/>
      <c r="B2813" s="896"/>
      <c r="C2813" s="897"/>
      <c r="D2813" s="897"/>
      <c r="E2813" s="924" t="s">
        <v>276</v>
      </c>
      <c r="F2813" s="927"/>
      <c r="G2813" s="928"/>
      <c r="H2813" s="901"/>
      <c r="I2813" s="902"/>
      <c r="J2813" s="902"/>
      <c r="K2813" s="912" t="s">
        <v>274</v>
      </c>
      <c r="L2813" s="902"/>
      <c r="M2813" s="902"/>
      <c r="N2813" s="902"/>
      <c r="O2813" s="892">
        <f t="shared" si="172"/>
        <v>0</v>
      </c>
      <c r="P2813" s="903">
        <f t="shared" si="173"/>
        <v>1</v>
      </c>
      <c r="Q2813" s="893">
        <f t="shared" si="174"/>
        <v>2</v>
      </c>
      <c r="R2813" s="894">
        <f t="shared" si="175"/>
        <v>0</v>
      </c>
    </row>
    <row r="2814" spans="1:18">
      <c r="A2814" s="905"/>
      <c r="B2814" s="906"/>
      <c r="C2814" s="907">
        <v>740</v>
      </c>
      <c r="D2814" s="907" t="s">
        <v>12</v>
      </c>
      <c r="E2814" s="908" t="s">
        <v>4008</v>
      </c>
      <c r="F2814" s="909" t="s">
        <v>2674</v>
      </c>
      <c r="G2814" s="910"/>
      <c r="H2814" s="911">
        <v>1.8140000000000001</v>
      </c>
      <c r="I2814" s="912"/>
      <c r="J2814" s="912"/>
      <c r="K2814" s="912">
        <f>VLOOKUP(E2814,ĐMNC!$A$7:$F$67,4,0)</f>
        <v>252714</v>
      </c>
      <c r="L2814" s="912">
        <f>H2814*K2814</f>
        <v>458423.196</v>
      </c>
      <c r="M2814" s="912"/>
      <c r="N2814" s="912"/>
      <c r="O2814" s="892">
        <f t="shared" si="172"/>
        <v>0</v>
      </c>
      <c r="P2814" s="903">
        <f t="shared" si="173"/>
        <v>1</v>
      </c>
      <c r="Q2814" s="893">
        <f t="shared" si="174"/>
        <v>1</v>
      </c>
      <c r="R2814" s="894">
        <f t="shared" si="175"/>
        <v>0</v>
      </c>
    </row>
    <row r="2815" spans="1:18" s="847" customFormat="1" ht="31.5">
      <c r="A2815" s="905"/>
      <c r="B2815" s="914" t="s">
        <v>4880</v>
      </c>
      <c r="C2815" s="915"/>
      <c r="D2815" s="915"/>
      <c r="E2815" s="916" t="s">
        <v>4881</v>
      </c>
      <c r="F2815" s="917" t="s">
        <v>94</v>
      </c>
      <c r="G2815" s="918"/>
      <c r="H2815" s="919"/>
      <c r="I2815" s="920"/>
      <c r="J2815" s="891">
        <f>SUM(J2816:J2820)</f>
        <v>10240</v>
      </c>
      <c r="K2815" s="891"/>
      <c r="L2815" s="891">
        <f>SUM(L2816:L2820)</f>
        <v>509471.424</v>
      </c>
      <c r="M2815" s="891"/>
      <c r="N2815" s="891">
        <f>SUM(N2816:N2820)</f>
        <v>0</v>
      </c>
      <c r="O2815" s="892">
        <f t="shared" si="172"/>
        <v>1</v>
      </c>
      <c r="P2815" s="903">
        <f t="shared" si="173"/>
        <v>0</v>
      </c>
      <c r="Q2815" s="893">
        <f t="shared" si="174"/>
        <v>0</v>
      </c>
      <c r="R2815" s="894">
        <f t="shared" si="175"/>
        <v>5</v>
      </c>
    </row>
    <row r="2816" spans="1:18" s="904" customFormat="1">
      <c r="A2816" s="895"/>
      <c r="B2816" s="896"/>
      <c r="C2816" s="897"/>
      <c r="D2816" s="897"/>
      <c r="E2816" s="924" t="s">
        <v>108</v>
      </c>
      <c r="F2816" s="899"/>
      <c r="G2816" s="900"/>
      <c r="H2816" s="901"/>
      <c r="I2816" s="902"/>
      <c r="J2816" s="902"/>
      <c r="K2816" s="912" t="s">
        <v>274</v>
      </c>
      <c r="L2816" s="902"/>
      <c r="M2816" s="902"/>
      <c r="N2816" s="902"/>
      <c r="O2816" s="892">
        <f t="shared" si="172"/>
        <v>0</v>
      </c>
      <c r="P2816" s="903">
        <f t="shared" si="173"/>
        <v>1</v>
      </c>
      <c r="Q2816" s="893">
        <f t="shared" si="174"/>
        <v>5</v>
      </c>
      <c r="R2816" s="894">
        <f t="shared" si="175"/>
        <v>0</v>
      </c>
    </row>
    <row r="2817" spans="1:18">
      <c r="A2817" s="905"/>
      <c r="B2817" s="906"/>
      <c r="C2817" s="907">
        <v>66</v>
      </c>
      <c r="D2817" s="907" t="s">
        <v>279</v>
      </c>
      <c r="E2817" s="925" t="s">
        <v>2682</v>
      </c>
      <c r="F2817" s="926" t="s">
        <v>45</v>
      </c>
      <c r="G2817" s="910"/>
      <c r="H2817" s="911">
        <v>7.0000000000000007E-2</v>
      </c>
      <c r="I2817" s="912">
        <f>VLOOKUP(E2817,[3]VLP!$B$7:$K$300,10,0)</f>
        <v>5000</v>
      </c>
      <c r="J2817" s="912">
        <f>I2817*H2817</f>
        <v>350.00000000000006</v>
      </c>
      <c r="K2817" s="912" t="s">
        <v>274</v>
      </c>
      <c r="L2817" s="912"/>
      <c r="M2817" s="912"/>
      <c r="N2817" s="912"/>
      <c r="O2817" s="892">
        <f t="shared" si="172"/>
        <v>0</v>
      </c>
      <c r="P2817" s="903">
        <f t="shared" si="173"/>
        <v>1</v>
      </c>
      <c r="Q2817" s="893">
        <f t="shared" si="174"/>
        <v>4</v>
      </c>
      <c r="R2817" s="894">
        <f t="shared" si="175"/>
        <v>0</v>
      </c>
    </row>
    <row r="2818" spans="1:18">
      <c r="A2818" s="905"/>
      <c r="B2818" s="906"/>
      <c r="C2818" s="907">
        <v>44</v>
      </c>
      <c r="D2818" s="907" t="s">
        <v>279</v>
      </c>
      <c r="E2818" s="925" t="s">
        <v>2681</v>
      </c>
      <c r="F2818" s="926" t="s">
        <v>45</v>
      </c>
      <c r="G2818" s="910"/>
      <c r="H2818" s="911">
        <v>0.43</v>
      </c>
      <c r="I2818" s="912">
        <f>VLOOKUP(E2818,[3]VLP!$B$7:$K$300,10,0)</f>
        <v>23000</v>
      </c>
      <c r="J2818" s="912">
        <f>I2818*H2818</f>
        <v>9890</v>
      </c>
      <c r="K2818" s="912" t="s">
        <v>274</v>
      </c>
      <c r="L2818" s="912"/>
      <c r="M2818" s="912"/>
      <c r="N2818" s="912"/>
      <c r="O2818" s="892">
        <f t="shared" si="172"/>
        <v>0</v>
      </c>
      <c r="P2818" s="903">
        <f t="shared" si="173"/>
        <v>1</v>
      </c>
      <c r="Q2818" s="893">
        <f t="shared" si="174"/>
        <v>3</v>
      </c>
      <c r="R2818" s="894">
        <f t="shared" si="175"/>
        <v>0</v>
      </c>
    </row>
    <row r="2819" spans="1:18" s="904" customFormat="1">
      <c r="A2819" s="895"/>
      <c r="B2819" s="896"/>
      <c r="C2819" s="897"/>
      <c r="D2819" s="897"/>
      <c r="E2819" s="924" t="s">
        <v>276</v>
      </c>
      <c r="F2819" s="927"/>
      <c r="G2819" s="928"/>
      <c r="H2819" s="901"/>
      <c r="I2819" s="902"/>
      <c r="J2819" s="902"/>
      <c r="K2819" s="912" t="s">
        <v>274</v>
      </c>
      <c r="L2819" s="902"/>
      <c r="M2819" s="902"/>
      <c r="N2819" s="902"/>
      <c r="O2819" s="892">
        <f t="shared" si="172"/>
        <v>0</v>
      </c>
      <c r="P2819" s="903">
        <f t="shared" si="173"/>
        <v>1</v>
      </c>
      <c r="Q2819" s="893">
        <f t="shared" si="174"/>
        <v>2</v>
      </c>
      <c r="R2819" s="894">
        <f t="shared" si="175"/>
        <v>0</v>
      </c>
    </row>
    <row r="2820" spans="1:18">
      <c r="A2820" s="905"/>
      <c r="B2820" s="906"/>
      <c r="C2820" s="907">
        <v>740</v>
      </c>
      <c r="D2820" s="907" t="s">
        <v>12</v>
      </c>
      <c r="E2820" s="908" t="s">
        <v>4008</v>
      </c>
      <c r="F2820" s="909" t="s">
        <v>2674</v>
      </c>
      <c r="G2820" s="910"/>
      <c r="H2820" s="911">
        <v>2.016</v>
      </c>
      <c r="I2820" s="912"/>
      <c r="J2820" s="912"/>
      <c r="K2820" s="912">
        <f>VLOOKUP(E2820,ĐMNC!$A$7:$F$67,4,0)</f>
        <v>252714</v>
      </c>
      <c r="L2820" s="912">
        <f>H2820*K2820</f>
        <v>509471.424</v>
      </c>
      <c r="M2820" s="912"/>
      <c r="N2820" s="912"/>
      <c r="O2820" s="892">
        <f t="shared" si="172"/>
        <v>0</v>
      </c>
      <c r="P2820" s="903">
        <f t="shared" si="173"/>
        <v>1</v>
      </c>
      <c r="Q2820" s="893">
        <f>IF(P2820=0,0,P2820+Q2822)</f>
        <v>1</v>
      </c>
      <c r="R2820" s="894">
        <f>IF(Q2820=0,Q2822,0)</f>
        <v>0</v>
      </c>
    </row>
    <row r="2821" spans="1:18">
      <c r="A2821" s="905"/>
      <c r="B2821" s="885" t="s">
        <v>4882</v>
      </c>
      <c r="C2821" s="949"/>
      <c r="D2821" s="949"/>
      <c r="E2821" s="921" t="s">
        <v>4883</v>
      </c>
      <c r="F2821" s="909"/>
      <c r="G2821" s="910"/>
      <c r="H2821" s="911"/>
      <c r="I2821" s="912"/>
      <c r="J2821" s="912"/>
      <c r="K2821" s="912"/>
      <c r="L2821" s="912"/>
      <c r="M2821" s="912"/>
      <c r="N2821" s="912"/>
      <c r="O2821" s="892"/>
      <c r="P2821" s="903"/>
      <c r="Q2821" s="893"/>
      <c r="R2821" s="894"/>
    </row>
    <row r="2822" spans="1:18" s="847" customFormat="1" ht="31.5">
      <c r="A2822" s="905" t="s">
        <v>4859</v>
      </c>
      <c r="B2822" s="914" t="s">
        <v>4884</v>
      </c>
      <c r="C2822" s="915"/>
      <c r="D2822" s="915"/>
      <c r="E2822" s="916" t="s">
        <v>4885</v>
      </c>
      <c r="F2822" s="917" t="s">
        <v>94</v>
      </c>
      <c r="G2822" s="918"/>
      <c r="H2822" s="919"/>
      <c r="I2822" s="920"/>
      <c r="J2822" s="891">
        <f>SUM(J2823:J2827)</f>
        <v>1825</v>
      </c>
      <c r="K2822" s="891"/>
      <c r="L2822" s="891">
        <f>SUM(L2823:L2827)</f>
        <v>51048.228000000003</v>
      </c>
      <c r="M2822" s="891"/>
      <c r="N2822" s="891">
        <f>SUM(N2823:N2827)</f>
        <v>0</v>
      </c>
      <c r="O2822" s="892">
        <f t="shared" si="172"/>
        <v>1</v>
      </c>
      <c r="P2822" s="903">
        <f t="shared" si="173"/>
        <v>0</v>
      </c>
      <c r="Q2822" s="893">
        <f t="shared" si="174"/>
        <v>0</v>
      </c>
      <c r="R2822" s="894">
        <f t="shared" si="175"/>
        <v>5</v>
      </c>
    </row>
    <row r="2823" spans="1:18" s="904" customFormat="1">
      <c r="A2823" s="895"/>
      <c r="B2823" s="922"/>
      <c r="C2823" s="897"/>
      <c r="D2823" s="897"/>
      <c r="E2823" s="924" t="s">
        <v>108</v>
      </c>
      <c r="F2823" s="899"/>
      <c r="G2823" s="900"/>
      <c r="H2823" s="901"/>
      <c r="I2823" s="902"/>
      <c r="J2823" s="902"/>
      <c r="K2823" s="912" t="s">
        <v>274</v>
      </c>
      <c r="L2823" s="902"/>
      <c r="M2823" s="902"/>
      <c r="N2823" s="902"/>
      <c r="O2823" s="892">
        <f t="shared" si="172"/>
        <v>0</v>
      </c>
      <c r="P2823" s="903">
        <f t="shared" si="173"/>
        <v>1</v>
      </c>
      <c r="Q2823" s="893">
        <f t="shared" si="174"/>
        <v>5</v>
      </c>
      <c r="R2823" s="894">
        <f t="shared" si="175"/>
        <v>0</v>
      </c>
    </row>
    <row r="2824" spans="1:18">
      <c r="A2824" s="905"/>
      <c r="B2824" s="906"/>
      <c r="C2824" s="907">
        <v>66</v>
      </c>
      <c r="D2824" s="907" t="s">
        <v>279</v>
      </c>
      <c r="E2824" s="925" t="s">
        <v>2682</v>
      </c>
      <c r="F2824" s="926" t="s">
        <v>45</v>
      </c>
      <c r="G2824" s="910"/>
      <c r="H2824" s="911">
        <v>0.02</v>
      </c>
      <c r="I2824" s="912">
        <f>VLOOKUP(E2824,[3]VLP!$B$7:$K$300,10,0)</f>
        <v>5000</v>
      </c>
      <c r="J2824" s="912">
        <f>I2824*H2824</f>
        <v>100</v>
      </c>
      <c r="K2824" s="912" t="s">
        <v>274</v>
      </c>
      <c r="L2824" s="912"/>
      <c r="M2824" s="912"/>
      <c r="N2824" s="912"/>
      <c r="O2824" s="892">
        <f t="shared" si="172"/>
        <v>0</v>
      </c>
      <c r="P2824" s="903">
        <f t="shared" si="173"/>
        <v>1</v>
      </c>
      <c r="Q2824" s="893">
        <f t="shared" si="174"/>
        <v>4</v>
      </c>
      <c r="R2824" s="894">
        <f t="shared" si="175"/>
        <v>0</v>
      </c>
    </row>
    <row r="2825" spans="1:18">
      <c r="A2825" s="905"/>
      <c r="B2825" s="906"/>
      <c r="C2825" s="907">
        <v>44</v>
      </c>
      <c r="D2825" s="907" t="s">
        <v>279</v>
      </c>
      <c r="E2825" s="925" t="s">
        <v>2681</v>
      </c>
      <c r="F2825" s="926" t="s">
        <v>45</v>
      </c>
      <c r="G2825" s="910"/>
      <c r="H2825" s="911">
        <v>7.4999999999999997E-2</v>
      </c>
      <c r="I2825" s="912">
        <f>VLOOKUP(E2825,[3]VLP!$B$7:$K$300,10,0)</f>
        <v>23000</v>
      </c>
      <c r="J2825" s="912">
        <f>I2825*H2825</f>
        <v>1725</v>
      </c>
      <c r="K2825" s="912" t="s">
        <v>274</v>
      </c>
      <c r="L2825" s="912"/>
      <c r="M2825" s="912"/>
      <c r="N2825" s="912"/>
      <c r="O2825" s="892">
        <f t="shared" si="172"/>
        <v>0</v>
      </c>
      <c r="P2825" s="903">
        <f t="shared" si="173"/>
        <v>1</v>
      </c>
      <c r="Q2825" s="893">
        <f t="shared" si="174"/>
        <v>3</v>
      </c>
      <c r="R2825" s="894">
        <f t="shared" si="175"/>
        <v>0</v>
      </c>
    </row>
    <row r="2826" spans="1:18" s="904" customFormat="1">
      <c r="A2826" s="895"/>
      <c r="B2826" s="896"/>
      <c r="C2826" s="897"/>
      <c r="D2826" s="897"/>
      <c r="E2826" s="924" t="s">
        <v>276</v>
      </c>
      <c r="F2826" s="927"/>
      <c r="G2826" s="928"/>
      <c r="H2826" s="901"/>
      <c r="I2826" s="902"/>
      <c r="J2826" s="902"/>
      <c r="K2826" s="912" t="s">
        <v>274</v>
      </c>
      <c r="L2826" s="902"/>
      <c r="M2826" s="902"/>
      <c r="N2826" s="902"/>
      <c r="O2826" s="892">
        <f t="shared" si="172"/>
        <v>0</v>
      </c>
      <c r="P2826" s="903">
        <f t="shared" si="173"/>
        <v>1</v>
      </c>
      <c r="Q2826" s="893">
        <f t="shared" si="174"/>
        <v>2</v>
      </c>
      <c r="R2826" s="894">
        <f t="shared" si="175"/>
        <v>0</v>
      </c>
    </row>
    <row r="2827" spans="1:18">
      <c r="A2827" s="905"/>
      <c r="B2827" s="906"/>
      <c r="C2827" s="907">
        <v>740</v>
      </c>
      <c r="D2827" s="907" t="s">
        <v>12</v>
      </c>
      <c r="E2827" s="908" t="s">
        <v>4008</v>
      </c>
      <c r="F2827" s="909" t="s">
        <v>2674</v>
      </c>
      <c r="G2827" s="910"/>
      <c r="H2827" s="911">
        <v>0.20200000000000001</v>
      </c>
      <c r="I2827" s="912"/>
      <c r="J2827" s="912"/>
      <c r="K2827" s="912">
        <f>VLOOKUP(E2827,ĐMNC!$A$7:$F$67,4,0)</f>
        <v>252714</v>
      </c>
      <c r="L2827" s="912">
        <f>H2827*K2827</f>
        <v>51048.228000000003</v>
      </c>
      <c r="M2827" s="912"/>
      <c r="N2827" s="912"/>
      <c r="O2827" s="892">
        <f t="shared" ref="O2827:O2891" si="176">IF(AND(B2827&lt;&gt;"",D2827=""),1,0)</f>
        <v>0</v>
      </c>
      <c r="P2827" s="903">
        <f t="shared" si="173"/>
        <v>1</v>
      </c>
      <c r="Q2827" s="893">
        <f t="shared" si="174"/>
        <v>1</v>
      </c>
      <c r="R2827" s="894">
        <f t="shared" si="175"/>
        <v>0</v>
      </c>
    </row>
    <row r="2828" spans="1:18" s="847" customFormat="1" ht="31.5">
      <c r="A2828" s="905"/>
      <c r="B2828" s="914" t="s">
        <v>4886</v>
      </c>
      <c r="C2828" s="915"/>
      <c r="D2828" s="915"/>
      <c r="E2828" s="916" t="s">
        <v>4887</v>
      </c>
      <c r="F2828" s="917" t="s">
        <v>94</v>
      </c>
      <c r="G2828" s="918"/>
      <c r="H2828" s="919"/>
      <c r="I2828" s="920"/>
      <c r="J2828" s="891">
        <f>SUM(J2829:J2833)</f>
        <v>1825</v>
      </c>
      <c r="K2828" s="891"/>
      <c r="L2828" s="891">
        <f>SUM(L2829:L2833)</f>
        <v>53575.367999999995</v>
      </c>
      <c r="M2828" s="891"/>
      <c r="N2828" s="891">
        <f>SUM(N2829:N2833)</f>
        <v>0</v>
      </c>
      <c r="O2828" s="892">
        <f t="shared" si="176"/>
        <v>1</v>
      </c>
      <c r="P2828" s="903">
        <f t="shared" si="173"/>
        <v>0</v>
      </c>
      <c r="Q2828" s="893">
        <f t="shared" si="174"/>
        <v>0</v>
      </c>
      <c r="R2828" s="894">
        <f t="shared" si="175"/>
        <v>5</v>
      </c>
    </row>
    <row r="2829" spans="1:18" s="904" customFormat="1">
      <c r="A2829" s="895"/>
      <c r="B2829" s="896"/>
      <c r="C2829" s="897"/>
      <c r="D2829" s="897"/>
      <c r="E2829" s="924" t="s">
        <v>108</v>
      </c>
      <c r="F2829" s="899"/>
      <c r="G2829" s="900"/>
      <c r="H2829" s="901"/>
      <c r="I2829" s="902"/>
      <c r="J2829" s="902"/>
      <c r="K2829" s="912" t="s">
        <v>274</v>
      </c>
      <c r="L2829" s="902"/>
      <c r="M2829" s="902"/>
      <c r="N2829" s="902"/>
      <c r="O2829" s="892">
        <f t="shared" si="176"/>
        <v>0</v>
      </c>
      <c r="P2829" s="903">
        <f t="shared" si="173"/>
        <v>1</v>
      </c>
      <c r="Q2829" s="893">
        <f t="shared" si="174"/>
        <v>5</v>
      </c>
      <c r="R2829" s="894">
        <f t="shared" si="175"/>
        <v>0</v>
      </c>
    </row>
    <row r="2830" spans="1:18">
      <c r="A2830" s="905"/>
      <c r="B2830" s="906"/>
      <c r="C2830" s="907">
        <v>66</v>
      </c>
      <c r="D2830" s="907" t="s">
        <v>279</v>
      </c>
      <c r="E2830" s="925" t="s">
        <v>2682</v>
      </c>
      <c r="F2830" s="926" t="s">
        <v>45</v>
      </c>
      <c r="G2830" s="910"/>
      <c r="H2830" s="911">
        <v>0.02</v>
      </c>
      <c r="I2830" s="912">
        <f>VLOOKUP(E2830,[3]VLP!$B$7:$K$300,10,0)</f>
        <v>5000</v>
      </c>
      <c r="J2830" s="912">
        <f>I2830*H2830</f>
        <v>100</v>
      </c>
      <c r="K2830" s="912" t="s">
        <v>274</v>
      </c>
      <c r="L2830" s="912"/>
      <c r="M2830" s="912"/>
      <c r="N2830" s="912"/>
      <c r="O2830" s="892">
        <f t="shared" si="176"/>
        <v>0</v>
      </c>
      <c r="P2830" s="903">
        <f t="shared" si="173"/>
        <v>1</v>
      </c>
      <c r="Q2830" s="893">
        <f t="shared" si="174"/>
        <v>4</v>
      </c>
      <c r="R2830" s="894">
        <f t="shared" si="175"/>
        <v>0</v>
      </c>
    </row>
    <row r="2831" spans="1:18">
      <c r="A2831" s="905"/>
      <c r="B2831" s="906"/>
      <c r="C2831" s="907">
        <v>44</v>
      </c>
      <c r="D2831" s="907" t="s">
        <v>279</v>
      </c>
      <c r="E2831" s="925" t="s">
        <v>2681</v>
      </c>
      <c r="F2831" s="926" t="s">
        <v>45</v>
      </c>
      <c r="G2831" s="910"/>
      <c r="H2831" s="911">
        <v>7.4999999999999997E-2</v>
      </c>
      <c r="I2831" s="912">
        <f>VLOOKUP(E2831,[3]VLP!$B$7:$K$300,10,0)</f>
        <v>23000</v>
      </c>
      <c r="J2831" s="912">
        <f>I2831*H2831</f>
        <v>1725</v>
      </c>
      <c r="K2831" s="912" t="s">
        <v>274</v>
      </c>
      <c r="L2831" s="912"/>
      <c r="M2831" s="912"/>
      <c r="N2831" s="912"/>
      <c r="O2831" s="892">
        <f t="shared" si="176"/>
        <v>0</v>
      </c>
      <c r="P2831" s="903">
        <f t="shared" si="173"/>
        <v>1</v>
      </c>
      <c r="Q2831" s="893">
        <f t="shared" si="174"/>
        <v>3</v>
      </c>
      <c r="R2831" s="894">
        <f t="shared" si="175"/>
        <v>0</v>
      </c>
    </row>
    <row r="2832" spans="1:18" s="904" customFormat="1">
      <c r="A2832" s="895"/>
      <c r="B2832" s="896"/>
      <c r="C2832" s="897"/>
      <c r="D2832" s="897"/>
      <c r="E2832" s="924" t="s">
        <v>276</v>
      </c>
      <c r="F2832" s="927"/>
      <c r="G2832" s="928"/>
      <c r="H2832" s="901"/>
      <c r="I2832" s="902"/>
      <c r="J2832" s="902"/>
      <c r="K2832" s="912" t="s">
        <v>274</v>
      </c>
      <c r="L2832" s="902"/>
      <c r="M2832" s="902"/>
      <c r="N2832" s="902"/>
      <c r="O2832" s="892">
        <f t="shared" si="176"/>
        <v>0</v>
      </c>
      <c r="P2832" s="903">
        <f t="shared" si="173"/>
        <v>1</v>
      </c>
      <c r="Q2832" s="893">
        <f t="shared" si="174"/>
        <v>2</v>
      </c>
      <c r="R2832" s="894">
        <f t="shared" si="175"/>
        <v>0</v>
      </c>
    </row>
    <row r="2833" spans="1:18">
      <c r="A2833" s="905"/>
      <c r="B2833" s="906"/>
      <c r="C2833" s="907">
        <v>740</v>
      </c>
      <c r="D2833" s="907" t="s">
        <v>12</v>
      </c>
      <c r="E2833" s="908" t="s">
        <v>4008</v>
      </c>
      <c r="F2833" s="909" t="s">
        <v>2674</v>
      </c>
      <c r="G2833" s="910"/>
      <c r="H2833" s="911">
        <v>0.21199999999999999</v>
      </c>
      <c r="I2833" s="912"/>
      <c r="J2833" s="912"/>
      <c r="K2833" s="912">
        <f>VLOOKUP(E2833,ĐMNC!$A$7:$F$67,4,0)</f>
        <v>252714</v>
      </c>
      <c r="L2833" s="912">
        <f>H2833*K2833</f>
        <v>53575.367999999995</v>
      </c>
      <c r="M2833" s="912"/>
      <c r="N2833" s="912"/>
      <c r="O2833" s="892">
        <f t="shared" si="176"/>
        <v>0</v>
      </c>
      <c r="P2833" s="903">
        <f t="shared" si="173"/>
        <v>1</v>
      </c>
      <c r="Q2833" s="893">
        <f t="shared" si="174"/>
        <v>1</v>
      </c>
      <c r="R2833" s="894">
        <f t="shared" si="175"/>
        <v>0</v>
      </c>
    </row>
    <row r="2834" spans="1:18" s="847" customFormat="1" ht="31.5">
      <c r="A2834" s="905"/>
      <c r="B2834" s="914" t="s">
        <v>4888</v>
      </c>
      <c r="C2834" s="915"/>
      <c r="D2834" s="915"/>
      <c r="E2834" s="916" t="s">
        <v>4889</v>
      </c>
      <c r="F2834" s="917" t="s">
        <v>94</v>
      </c>
      <c r="G2834" s="918"/>
      <c r="H2834" s="919"/>
      <c r="I2834" s="920"/>
      <c r="J2834" s="891">
        <f>SUM(J2835:J2839)</f>
        <v>1825</v>
      </c>
      <c r="K2834" s="891"/>
      <c r="L2834" s="891">
        <f>SUM(L2835:L2839)</f>
        <v>58629.648000000001</v>
      </c>
      <c r="M2834" s="891"/>
      <c r="N2834" s="891">
        <f>SUM(N2835:N2839)</f>
        <v>0</v>
      </c>
      <c r="O2834" s="892">
        <f t="shared" si="176"/>
        <v>1</v>
      </c>
      <c r="P2834" s="903">
        <f t="shared" si="173"/>
        <v>0</v>
      </c>
      <c r="Q2834" s="893">
        <f t="shared" si="174"/>
        <v>0</v>
      </c>
      <c r="R2834" s="894">
        <f t="shared" si="175"/>
        <v>5</v>
      </c>
    </row>
    <row r="2835" spans="1:18" s="904" customFormat="1">
      <c r="A2835" s="895"/>
      <c r="B2835" s="896"/>
      <c r="C2835" s="897"/>
      <c r="D2835" s="897"/>
      <c r="E2835" s="924" t="s">
        <v>108</v>
      </c>
      <c r="F2835" s="899"/>
      <c r="G2835" s="900"/>
      <c r="H2835" s="901"/>
      <c r="I2835" s="902"/>
      <c r="J2835" s="902"/>
      <c r="K2835" s="912" t="s">
        <v>274</v>
      </c>
      <c r="L2835" s="902"/>
      <c r="M2835" s="902"/>
      <c r="N2835" s="902"/>
      <c r="O2835" s="892">
        <f t="shared" si="176"/>
        <v>0</v>
      </c>
      <c r="P2835" s="903">
        <f t="shared" si="173"/>
        <v>1</v>
      </c>
      <c r="Q2835" s="893">
        <f t="shared" si="174"/>
        <v>5</v>
      </c>
      <c r="R2835" s="894">
        <f t="shared" si="175"/>
        <v>0</v>
      </c>
    </row>
    <row r="2836" spans="1:18">
      <c r="A2836" s="905"/>
      <c r="B2836" s="906"/>
      <c r="C2836" s="907">
        <v>66</v>
      </c>
      <c r="D2836" s="907" t="s">
        <v>279</v>
      </c>
      <c r="E2836" s="925" t="s">
        <v>2682</v>
      </c>
      <c r="F2836" s="926" t="s">
        <v>45</v>
      </c>
      <c r="G2836" s="910"/>
      <c r="H2836" s="911">
        <v>0.02</v>
      </c>
      <c r="I2836" s="912">
        <f>VLOOKUP(E2836,[3]VLP!$B$7:$K$300,10,0)</f>
        <v>5000</v>
      </c>
      <c r="J2836" s="912">
        <f>I2836*H2836</f>
        <v>100</v>
      </c>
      <c r="K2836" s="912" t="s">
        <v>274</v>
      </c>
      <c r="L2836" s="912"/>
      <c r="M2836" s="912"/>
      <c r="N2836" s="912"/>
      <c r="O2836" s="892">
        <f t="shared" si="176"/>
        <v>0</v>
      </c>
      <c r="P2836" s="903">
        <f t="shared" si="173"/>
        <v>1</v>
      </c>
      <c r="Q2836" s="893">
        <f t="shared" si="174"/>
        <v>4</v>
      </c>
      <c r="R2836" s="894">
        <f t="shared" si="175"/>
        <v>0</v>
      </c>
    </row>
    <row r="2837" spans="1:18">
      <c r="A2837" s="905"/>
      <c r="B2837" s="906"/>
      <c r="C2837" s="907">
        <v>44</v>
      </c>
      <c r="D2837" s="907" t="s">
        <v>279</v>
      </c>
      <c r="E2837" s="925" t="s">
        <v>2681</v>
      </c>
      <c r="F2837" s="926" t="s">
        <v>45</v>
      </c>
      <c r="G2837" s="910"/>
      <c r="H2837" s="911">
        <v>7.4999999999999997E-2</v>
      </c>
      <c r="I2837" s="912">
        <f>VLOOKUP(E2837,[3]VLP!$B$7:$K$300,10,0)</f>
        <v>23000</v>
      </c>
      <c r="J2837" s="912">
        <f>I2837*H2837</f>
        <v>1725</v>
      </c>
      <c r="K2837" s="912" t="s">
        <v>274</v>
      </c>
      <c r="L2837" s="912"/>
      <c r="M2837" s="912"/>
      <c r="N2837" s="912"/>
      <c r="O2837" s="892">
        <f t="shared" si="176"/>
        <v>0</v>
      </c>
      <c r="P2837" s="903">
        <f t="shared" ref="P2837:P2900" si="177">IF(O2837=0,1,0)</f>
        <v>1</v>
      </c>
      <c r="Q2837" s="893">
        <f t="shared" ref="Q2837:Q2900" si="178">IF(P2837=0,0,P2837+Q2838)</f>
        <v>3</v>
      </c>
      <c r="R2837" s="894">
        <f t="shared" ref="R2837:R2900" si="179">IF(Q2837=0,Q2838,0)</f>
        <v>0</v>
      </c>
    </row>
    <row r="2838" spans="1:18" s="904" customFormat="1">
      <c r="A2838" s="895"/>
      <c r="B2838" s="896"/>
      <c r="C2838" s="897"/>
      <c r="D2838" s="897"/>
      <c r="E2838" s="924" t="s">
        <v>276</v>
      </c>
      <c r="F2838" s="927"/>
      <c r="G2838" s="928"/>
      <c r="H2838" s="901"/>
      <c r="I2838" s="902"/>
      <c r="J2838" s="902"/>
      <c r="K2838" s="912" t="s">
        <v>274</v>
      </c>
      <c r="L2838" s="902"/>
      <c r="M2838" s="902"/>
      <c r="N2838" s="902"/>
      <c r="O2838" s="892">
        <f t="shared" si="176"/>
        <v>0</v>
      </c>
      <c r="P2838" s="903">
        <f t="shared" si="177"/>
        <v>1</v>
      </c>
      <c r="Q2838" s="893">
        <f t="shared" si="178"/>
        <v>2</v>
      </c>
      <c r="R2838" s="894">
        <f t="shared" si="179"/>
        <v>0</v>
      </c>
    </row>
    <row r="2839" spans="1:18">
      <c r="A2839" s="905"/>
      <c r="B2839" s="906"/>
      <c r="C2839" s="907">
        <v>740</v>
      </c>
      <c r="D2839" s="907" t="s">
        <v>12</v>
      </c>
      <c r="E2839" s="908" t="s">
        <v>4008</v>
      </c>
      <c r="F2839" s="909" t="s">
        <v>2674</v>
      </c>
      <c r="G2839" s="910"/>
      <c r="H2839" s="911">
        <v>0.23200000000000001</v>
      </c>
      <c r="I2839" s="912"/>
      <c r="J2839" s="912"/>
      <c r="K2839" s="912">
        <f>VLOOKUP(E2839,ĐMNC!$A$7:$F$67,4,0)</f>
        <v>252714</v>
      </c>
      <c r="L2839" s="912">
        <f>H2839*K2839</f>
        <v>58629.648000000001</v>
      </c>
      <c r="M2839" s="912"/>
      <c r="N2839" s="912"/>
      <c r="O2839" s="892">
        <f t="shared" si="176"/>
        <v>0</v>
      </c>
      <c r="P2839" s="903">
        <f t="shared" si="177"/>
        <v>1</v>
      </c>
      <c r="Q2839" s="893">
        <f t="shared" si="178"/>
        <v>1</v>
      </c>
      <c r="R2839" s="894">
        <f t="shared" si="179"/>
        <v>0</v>
      </c>
    </row>
    <row r="2840" spans="1:18" s="847" customFormat="1" ht="31.5">
      <c r="A2840" s="905"/>
      <c r="B2840" s="914" t="s">
        <v>4890</v>
      </c>
      <c r="C2840" s="915"/>
      <c r="D2840" s="915"/>
      <c r="E2840" s="916" t="s">
        <v>4891</v>
      </c>
      <c r="F2840" s="917" t="s">
        <v>94</v>
      </c>
      <c r="G2840" s="918"/>
      <c r="H2840" s="919"/>
      <c r="I2840" s="920"/>
      <c r="J2840" s="891">
        <f>SUM(J2841:J2845)</f>
        <v>1825</v>
      </c>
      <c r="K2840" s="891"/>
      <c r="L2840" s="891">
        <f>SUM(L2841:L2845)</f>
        <v>67727.351999999999</v>
      </c>
      <c r="M2840" s="891"/>
      <c r="N2840" s="891">
        <f>SUM(N2841:N2845)</f>
        <v>0</v>
      </c>
      <c r="O2840" s="892">
        <f t="shared" si="176"/>
        <v>1</v>
      </c>
      <c r="P2840" s="903">
        <f t="shared" si="177"/>
        <v>0</v>
      </c>
      <c r="Q2840" s="893">
        <f t="shared" si="178"/>
        <v>0</v>
      </c>
      <c r="R2840" s="894">
        <f t="shared" si="179"/>
        <v>5</v>
      </c>
    </row>
    <row r="2841" spans="1:18" s="904" customFormat="1">
      <c r="A2841" s="895"/>
      <c r="B2841" s="896"/>
      <c r="C2841" s="897"/>
      <c r="D2841" s="897"/>
      <c r="E2841" s="924" t="s">
        <v>108</v>
      </c>
      <c r="F2841" s="899"/>
      <c r="G2841" s="900"/>
      <c r="H2841" s="901"/>
      <c r="I2841" s="902"/>
      <c r="J2841" s="902"/>
      <c r="K2841" s="912" t="s">
        <v>274</v>
      </c>
      <c r="L2841" s="902"/>
      <c r="M2841" s="902"/>
      <c r="N2841" s="902"/>
      <c r="O2841" s="892">
        <f t="shared" si="176"/>
        <v>0</v>
      </c>
      <c r="P2841" s="903">
        <f t="shared" si="177"/>
        <v>1</v>
      </c>
      <c r="Q2841" s="893">
        <f t="shared" si="178"/>
        <v>5</v>
      </c>
      <c r="R2841" s="894">
        <f t="shared" si="179"/>
        <v>0</v>
      </c>
    </row>
    <row r="2842" spans="1:18">
      <c r="A2842" s="905"/>
      <c r="B2842" s="906"/>
      <c r="C2842" s="907">
        <v>66</v>
      </c>
      <c r="D2842" s="907" t="s">
        <v>279</v>
      </c>
      <c r="E2842" s="925" t="s">
        <v>2682</v>
      </c>
      <c r="F2842" s="926" t="s">
        <v>45</v>
      </c>
      <c r="G2842" s="910"/>
      <c r="H2842" s="911">
        <v>0.02</v>
      </c>
      <c r="I2842" s="912">
        <f>VLOOKUP(E2842,[3]VLP!$B$7:$K$300,10,0)</f>
        <v>5000</v>
      </c>
      <c r="J2842" s="912">
        <f>I2842*H2842</f>
        <v>100</v>
      </c>
      <c r="K2842" s="912" t="s">
        <v>274</v>
      </c>
      <c r="L2842" s="912"/>
      <c r="M2842" s="912"/>
      <c r="N2842" s="912"/>
      <c r="O2842" s="892">
        <f t="shared" si="176"/>
        <v>0</v>
      </c>
      <c r="P2842" s="903">
        <f t="shared" si="177"/>
        <v>1</v>
      </c>
      <c r="Q2842" s="893">
        <f t="shared" si="178"/>
        <v>4</v>
      </c>
      <c r="R2842" s="894">
        <f t="shared" si="179"/>
        <v>0</v>
      </c>
    </row>
    <row r="2843" spans="1:18">
      <c r="A2843" s="905"/>
      <c r="B2843" s="906"/>
      <c r="C2843" s="907">
        <v>44</v>
      </c>
      <c r="D2843" s="907" t="s">
        <v>279</v>
      </c>
      <c r="E2843" s="925" t="s">
        <v>2681</v>
      </c>
      <c r="F2843" s="926" t="s">
        <v>45</v>
      </c>
      <c r="G2843" s="910"/>
      <c r="H2843" s="911">
        <v>7.4999999999999997E-2</v>
      </c>
      <c r="I2843" s="912">
        <f>VLOOKUP(E2843,[3]VLP!$B$7:$K$300,10,0)</f>
        <v>23000</v>
      </c>
      <c r="J2843" s="912">
        <f>I2843*H2843</f>
        <v>1725</v>
      </c>
      <c r="K2843" s="912" t="s">
        <v>274</v>
      </c>
      <c r="L2843" s="912"/>
      <c r="M2843" s="912"/>
      <c r="N2843" s="912"/>
      <c r="O2843" s="892">
        <f t="shared" si="176"/>
        <v>0</v>
      </c>
      <c r="P2843" s="903">
        <f t="shared" si="177"/>
        <v>1</v>
      </c>
      <c r="Q2843" s="893">
        <f t="shared" si="178"/>
        <v>3</v>
      </c>
      <c r="R2843" s="894">
        <f t="shared" si="179"/>
        <v>0</v>
      </c>
    </row>
    <row r="2844" spans="1:18" s="904" customFormat="1">
      <c r="A2844" s="895"/>
      <c r="B2844" s="896"/>
      <c r="C2844" s="897"/>
      <c r="D2844" s="897"/>
      <c r="E2844" s="924" t="s">
        <v>276</v>
      </c>
      <c r="F2844" s="927"/>
      <c r="G2844" s="928"/>
      <c r="H2844" s="901"/>
      <c r="I2844" s="902"/>
      <c r="J2844" s="902"/>
      <c r="K2844" s="912" t="s">
        <v>274</v>
      </c>
      <c r="L2844" s="902"/>
      <c r="M2844" s="902"/>
      <c r="N2844" s="902"/>
      <c r="O2844" s="892">
        <f t="shared" si="176"/>
        <v>0</v>
      </c>
      <c r="P2844" s="903">
        <f t="shared" si="177"/>
        <v>1</v>
      </c>
      <c r="Q2844" s="893">
        <f t="shared" si="178"/>
        <v>2</v>
      </c>
      <c r="R2844" s="894">
        <f t="shared" si="179"/>
        <v>0</v>
      </c>
    </row>
    <row r="2845" spans="1:18">
      <c r="A2845" s="905"/>
      <c r="B2845" s="906"/>
      <c r="C2845" s="907">
        <v>740</v>
      </c>
      <c r="D2845" s="907" t="s">
        <v>12</v>
      </c>
      <c r="E2845" s="908" t="s">
        <v>4008</v>
      </c>
      <c r="F2845" s="909" t="s">
        <v>2674</v>
      </c>
      <c r="G2845" s="910"/>
      <c r="H2845" s="911">
        <v>0.26800000000000002</v>
      </c>
      <c r="I2845" s="912"/>
      <c r="J2845" s="912"/>
      <c r="K2845" s="912">
        <f>VLOOKUP(E2845,ĐMNC!$A$7:$F$67,4,0)</f>
        <v>252714</v>
      </c>
      <c r="L2845" s="912">
        <f>H2845*K2845</f>
        <v>67727.351999999999</v>
      </c>
      <c r="M2845" s="912"/>
      <c r="N2845" s="912"/>
      <c r="O2845" s="892">
        <f t="shared" si="176"/>
        <v>0</v>
      </c>
      <c r="P2845" s="903">
        <f t="shared" si="177"/>
        <v>1</v>
      </c>
      <c r="Q2845" s="893">
        <f t="shared" si="178"/>
        <v>1</v>
      </c>
      <c r="R2845" s="894">
        <f t="shared" si="179"/>
        <v>0</v>
      </c>
    </row>
    <row r="2846" spans="1:18" s="847" customFormat="1" ht="31.5">
      <c r="A2846" s="905" t="s">
        <v>4892</v>
      </c>
      <c r="B2846" s="914" t="s">
        <v>4893</v>
      </c>
      <c r="C2846" s="915"/>
      <c r="D2846" s="915"/>
      <c r="E2846" s="916" t="s">
        <v>4894</v>
      </c>
      <c r="F2846" s="917" t="s">
        <v>94</v>
      </c>
      <c r="G2846" s="918"/>
      <c r="H2846" s="919"/>
      <c r="I2846" s="920"/>
      <c r="J2846" s="891">
        <f>SUM(J2847:J2851)</f>
        <v>1825</v>
      </c>
      <c r="K2846" s="891"/>
      <c r="L2846" s="891">
        <f>SUM(L2847:L2851)</f>
        <v>92746.038</v>
      </c>
      <c r="M2846" s="891"/>
      <c r="N2846" s="891">
        <f>SUM(N2847:N2851)</f>
        <v>0</v>
      </c>
      <c r="O2846" s="892">
        <f t="shared" si="176"/>
        <v>1</v>
      </c>
      <c r="P2846" s="903">
        <f t="shared" si="177"/>
        <v>0</v>
      </c>
      <c r="Q2846" s="893">
        <f t="shared" si="178"/>
        <v>0</v>
      </c>
      <c r="R2846" s="894">
        <f t="shared" si="179"/>
        <v>5</v>
      </c>
    </row>
    <row r="2847" spans="1:18" s="904" customFormat="1">
      <c r="A2847" s="895"/>
      <c r="B2847" s="896"/>
      <c r="C2847" s="897"/>
      <c r="D2847" s="897"/>
      <c r="E2847" s="924" t="s">
        <v>108</v>
      </c>
      <c r="F2847" s="899"/>
      <c r="G2847" s="900"/>
      <c r="H2847" s="901"/>
      <c r="I2847" s="902"/>
      <c r="J2847" s="902"/>
      <c r="K2847" s="912" t="s">
        <v>274</v>
      </c>
      <c r="L2847" s="902"/>
      <c r="M2847" s="902"/>
      <c r="N2847" s="902"/>
      <c r="O2847" s="892">
        <f t="shared" si="176"/>
        <v>0</v>
      </c>
      <c r="P2847" s="903">
        <f t="shared" si="177"/>
        <v>1</v>
      </c>
      <c r="Q2847" s="893">
        <f t="shared" si="178"/>
        <v>5</v>
      </c>
      <c r="R2847" s="894">
        <f t="shared" si="179"/>
        <v>0</v>
      </c>
    </row>
    <row r="2848" spans="1:18">
      <c r="A2848" s="905"/>
      <c r="B2848" s="906"/>
      <c r="C2848" s="907">
        <v>66</v>
      </c>
      <c r="D2848" s="907" t="s">
        <v>279</v>
      </c>
      <c r="E2848" s="925" t="s">
        <v>2682</v>
      </c>
      <c r="F2848" s="926" t="s">
        <v>45</v>
      </c>
      <c r="G2848" s="910"/>
      <c r="H2848" s="911">
        <v>0.02</v>
      </c>
      <c r="I2848" s="912">
        <f>VLOOKUP(E2848,[3]VLP!$B$7:$K$300,10,0)</f>
        <v>5000</v>
      </c>
      <c r="J2848" s="912">
        <f>I2848*H2848</f>
        <v>100</v>
      </c>
      <c r="K2848" s="912" t="s">
        <v>274</v>
      </c>
      <c r="L2848" s="912"/>
      <c r="M2848" s="912"/>
      <c r="N2848" s="912"/>
      <c r="O2848" s="892">
        <f t="shared" si="176"/>
        <v>0</v>
      </c>
      <c r="P2848" s="903">
        <f t="shared" si="177"/>
        <v>1</v>
      </c>
      <c r="Q2848" s="893">
        <f t="shared" si="178"/>
        <v>4</v>
      </c>
      <c r="R2848" s="894">
        <f t="shared" si="179"/>
        <v>0</v>
      </c>
    </row>
    <row r="2849" spans="1:18">
      <c r="A2849" s="905"/>
      <c r="B2849" s="906"/>
      <c r="C2849" s="907">
        <v>44</v>
      </c>
      <c r="D2849" s="907" t="s">
        <v>279</v>
      </c>
      <c r="E2849" s="925" t="s">
        <v>2681</v>
      </c>
      <c r="F2849" s="926" t="s">
        <v>45</v>
      </c>
      <c r="G2849" s="910"/>
      <c r="H2849" s="911">
        <v>7.4999999999999997E-2</v>
      </c>
      <c r="I2849" s="912">
        <f>VLOOKUP(E2849,[3]VLP!$B$7:$K$300,10,0)</f>
        <v>23000</v>
      </c>
      <c r="J2849" s="912">
        <f>I2849*H2849</f>
        <v>1725</v>
      </c>
      <c r="K2849" s="912" t="s">
        <v>274</v>
      </c>
      <c r="L2849" s="912"/>
      <c r="M2849" s="912"/>
      <c r="N2849" s="912"/>
      <c r="O2849" s="892">
        <f t="shared" si="176"/>
        <v>0</v>
      </c>
      <c r="P2849" s="903">
        <f t="shared" si="177"/>
        <v>1</v>
      </c>
      <c r="Q2849" s="893">
        <f t="shared" si="178"/>
        <v>3</v>
      </c>
      <c r="R2849" s="894">
        <f t="shared" si="179"/>
        <v>0</v>
      </c>
    </row>
    <row r="2850" spans="1:18" s="904" customFormat="1">
      <c r="A2850" s="895"/>
      <c r="B2850" s="896"/>
      <c r="C2850" s="897"/>
      <c r="D2850" s="897"/>
      <c r="E2850" s="924" t="s">
        <v>276</v>
      </c>
      <c r="F2850" s="927"/>
      <c r="G2850" s="928"/>
      <c r="H2850" s="901"/>
      <c r="I2850" s="902"/>
      <c r="J2850" s="902"/>
      <c r="K2850" s="912" t="s">
        <v>274</v>
      </c>
      <c r="L2850" s="902"/>
      <c r="M2850" s="902"/>
      <c r="N2850" s="902"/>
      <c r="O2850" s="892">
        <f t="shared" si="176"/>
        <v>0</v>
      </c>
      <c r="P2850" s="903">
        <f t="shared" si="177"/>
        <v>1</v>
      </c>
      <c r="Q2850" s="893">
        <f t="shared" si="178"/>
        <v>2</v>
      </c>
      <c r="R2850" s="894">
        <f t="shared" si="179"/>
        <v>0</v>
      </c>
    </row>
    <row r="2851" spans="1:18">
      <c r="A2851" s="905"/>
      <c r="B2851" s="906"/>
      <c r="C2851" s="907">
        <v>740</v>
      </c>
      <c r="D2851" s="907" t="s">
        <v>12</v>
      </c>
      <c r="E2851" s="908" t="s">
        <v>4008</v>
      </c>
      <c r="F2851" s="909" t="s">
        <v>2674</v>
      </c>
      <c r="G2851" s="910"/>
      <c r="H2851" s="911">
        <v>0.36699999999999999</v>
      </c>
      <c r="I2851" s="912"/>
      <c r="J2851" s="912"/>
      <c r="K2851" s="912">
        <f>VLOOKUP(E2851,ĐMNC!$A$7:$F$67,4,0)</f>
        <v>252714</v>
      </c>
      <c r="L2851" s="912">
        <f>H2851*K2851</f>
        <v>92746.038</v>
      </c>
      <c r="M2851" s="912"/>
      <c r="N2851" s="912"/>
      <c r="O2851" s="892">
        <f t="shared" si="176"/>
        <v>0</v>
      </c>
      <c r="P2851" s="903">
        <f t="shared" si="177"/>
        <v>1</v>
      </c>
      <c r="Q2851" s="893">
        <f t="shared" si="178"/>
        <v>1</v>
      </c>
      <c r="R2851" s="894">
        <f t="shared" si="179"/>
        <v>0</v>
      </c>
    </row>
    <row r="2852" spans="1:18" s="847" customFormat="1" ht="31.5">
      <c r="A2852" s="905"/>
      <c r="B2852" s="914" t="s">
        <v>4895</v>
      </c>
      <c r="C2852" s="915"/>
      <c r="D2852" s="915"/>
      <c r="E2852" s="916" t="s">
        <v>4896</v>
      </c>
      <c r="F2852" s="917" t="s">
        <v>94</v>
      </c>
      <c r="G2852" s="918"/>
      <c r="H2852" s="919"/>
      <c r="I2852" s="920"/>
      <c r="J2852" s="891">
        <f>SUM(J2853:J2857)</f>
        <v>3945</v>
      </c>
      <c r="K2852" s="891"/>
      <c r="L2852" s="891">
        <f>SUM(L2853:L2857)</f>
        <v>114732.156</v>
      </c>
      <c r="M2852" s="891"/>
      <c r="N2852" s="891">
        <f>SUM(N2853:N2857)</f>
        <v>0</v>
      </c>
      <c r="O2852" s="892">
        <f t="shared" si="176"/>
        <v>1</v>
      </c>
      <c r="P2852" s="903">
        <f t="shared" si="177"/>
        <v>0</v>
      </c>
      <c r="Q2852" s="893">
        <f t="shared" si="178"/>
        <v>0</v>
      </c>
      <c r="R2852" s="894">
        <f t="shared" si="179"/>
        <v>5</v>
      </c>
    </row>
    <row r="2853" spans="1:18" s="904" customFormat="1">
      <c r="A2853" s="895"/>
      <c r="B2853" s="896"/>
      <c r="C2853" s="897"/>
      <c r="D2853" s="897"/>
      <c r="E2853" s="924" t="s">
        <v>108</v>
      </c>
      <c r="F2853" s="899"/>
      <c r="G2853" s="900"/>
      <c r="H2853" s="901"/>
      <c r="I2853" s="902"/>
      <c r="J2853" s="902"/>
      <c r="K2853" s="912" t="s">
        <v>274</v>
      </c>
      <c r="L2853" s="902"/>
      <c r="M2853" s="902"/>
      <c r="N2853" s="902"/>
      <c r="O2853" s="892">
        <f t="shared" si="176"/>
        <v>0</v>
      </c>
      <c r="P2853" s="903">
        <f t="shared" si="177"/>
        <v>1</v>
      </c>
      <c r="Q2853" s="893">
        <f t="shared" si="178"/>
        <v>5</v>
      </c>
      <c r="R2853" s="894">
        <f t="shared" si="179"/>
        <v>0</v>
      </c>
    </row>
    <row r="2854" spans="1:18">
      <c r="A2854" s="905"/>
      <c r="B2854" s="906"/>
      <c r="C2854" s="907">
        <v>66</v>
      </c>
      <c r="D2854" s="907" t="s">
        <v>279</v>
      </c>
      <c r="E2854" s="925" t="s">
        <v>2682</v>
      </c>
      <c r="F2854" s="926" t="s">
        <v>45</v>
      </c>
      <c r="G2854" s="910"/>
      <c r="H2854" s="911">
        <v>0.03</v>
      </c>
      <c r="I2854" s="912">
        <f>VLOOKUP(E2854,[3]VLP!$B$7:$K$300,10,0)</f>
        <v>5000</v>
      </c>
      <c r="J2854" s="912">
        <f>I2854*H2854</f>
        <v>150</v>
      </c>
      <c r="K2854" s="912" t="s">
        <v>274</v>
      </c>
      <c r="L2854" s="912"/>
      <c r="M2854" s="912"/>
      <c r="N2854" s="912"/>
      <c r="O2854" s="892">
        <f t="shared" si="176"/>
        <v>0</v>
      </c>
      <c r="P2854" s="903">
        <f t="shared" si="177"/>
        <v>1</v>
      </c>
      <c r="Q2854" s="893">
        <f t="shared" si="178"/>
        <v>4</v>
      </c>
      <c r="R2854" s="894">
        <f t="shared" si="179"/>
        <v>0</v>
      </c>
    </row>
    <row r="2855" spans="1:18">
      <c r="A2855" s="905"/>
      <c r="B2855" s="906"/>
      <c r="C2855" s="907">
        <v>44</v>
      </c>
      <c r="D2855" s="907" t="s">
        <v>279</v>
      </c>
      <c r="E2855" s="925" t="s">
        <v>2681</v>
      </c>
      <c r="F2855" s="926" t="s">
        <v>45</v>
      </c>
      <c r="G2855" s="910"/>
      <c r="H2855" s="911">
        <v>0.16500000000000001</v>
      </c>
      <c r="I2855" s="912">
        <f>VLOOKUP(E2855,[3]VLP!$B$7:$K$300,10,0)</f>
        <v>23000</v>
      </c>
      <c r="J2855" s="912">
        <f>I2855*H2855</f>
        <v>3795</v>
      </c>
      <c r="K2855" s="912" t="s">
        <v>274</v>
      </c>
      <c r="L2855" s="912"/>
      <c r="M2855" s="912"/>
      <c r="N2855" s="912"/>
      <c r="O2855" s="892">
        <f t="shared" si="176"/>
        <v>0</v>
      </c>
      <c r="P2855" s="903">
        <f t="shared" si="177"/>
        <v>1</v>
      </c>
      <c r="Q2855" s="893">
        <f t="shared" si="178"/>
        <v>3</v>
      </c>
      <c r="R2855" s="894">
        <f t="shared" si="179"/>
        <v>0</v>
      </c>
    </row>
    <row r="2856" spans="1:18" s="904" customFormat="1">
      <c r="A2856" s="895"/>
      <c r="B2856" s="896"/>
      <c r="C2856" s="897"/>
      <c r="D2856" s="897"/>
      <c r="E2856" s="924" t="s">
        <v>276</v>
      </c>
      <c r="F2856" s="927"/>
      <c r="G2856" s="928"/>
      <c r="H2856" s="901"/>
      <c r="I2856" s="902"/>
      <c r="J2856" s="902"/>
      <c r="K2856" s="912" t="s">
        <v>274</v>
      </c>
      <c r="L2856" s="902"/>
      <c r="M2856" s="902"/>
      <c r="N2856" s="902"/>
      <c r="O2856" s="892">
        <f t="shared" si="176"/>
        <v>0</v>
      </c>
      <c r="P2856" s="903">
        <f t="shared" si="177"/>
        <v>1</v>
      </c>
      <c r="Q2856" s="893">
        <f t="shared" si="178"/>
        <v>2</v>
      </c>
      <c r="R2856" s="894">
        <f t="shared" si="179"/>
        <v>0</v>
      </c>
    </row>
    <row r="2857" spans="1:18">
      <c r="A2857" s="905"/>
      <c r="B2857" s="906"/>
      <c r="C2857" s="907">
        <v>740</v>
      </c>
      <c r="D2857" s="907" t="s">
        <v>12</v>
      </c>
      <c r="E2857" s="908" t="s">
        <v>4008</v>
      </c>
      <c r="F2857" s="909" t="s">
        <v>2674</v>
      </c>
      <c r="G2857" s="910"/>
      <c r="H2857" s="911">
        <v>0.45400000000000001</v>
      </c>
      <c r="I2857" s="912"/>
      <c r="J2857" s="912"/>
      <c r="K2857" s="912">
        <f>VLOOKUP(E2857,ĐMNC!$A$7:$F$67,4,0)</f>
        <v>252714</v>
      </c>
      <c r="L2857" s="912">
        <f>H2857*K2857</f>
        <v>114732.156</v>
      </c>
      <c r="M2857" s="912"/>
      <c r="N2857" s="912"/>
      <c r="O2857" s="892">
        <f t="shared" si="176"/>
        <v>0</v>
      </c>
      <c r="P2857" s="903">
        <f t="shared" si="177"/>
        <v>1</v>
      </c>
      <c r="Q2857" s="893">
        <f t="shared" si="178"/>
        <v>1</v>
      </c>
      <c r="R2857" s="894">
        <f t="shared" si="179"/>
        <v>0</v>
      </c>
    </row>
    <row r="2858" spans="1:18" s="847" customFormat="1" ht="31.5">
      <c r="A2858" s="905"/>
      <c r="B2858" s="914" t="s">
        <v>4897</v>
      </c>
      <c r="C2858" s="915"/>
      <c r="D2858" s="915"/>
      <c r="E2858" s="916" t="s">
        <v>4898</v>
      </c>
      <c r="F2858" s="917" t="s">
        <v>94</v>
      </c>
      <c r="G2858" s="918"/>
      <c r="H2858" s="919"/>
      <c r="I2858" s="920"/>
      <c r="J2858" s="891">
        <f>SUM(J2859:J2863)</f>
        <v>3945</v>
      </c>
      <c r="K2858" s="891"/>
      <c r="L2858" s="891">
        <f>SUM(L2859:L2863)</f>
        <v>121050.00599999999</v>
      </c>
      <c r="M2858" s="891"/>
      <c r="N2858" s="891">
        <f>SUM(N2859:N2863)</f>
        <v>0</v>
      </c>
      <c r="O2858" s="892">
        <f t="shared" si="176"/>
        <v>1</v>
      </c>
      <c r="P2858" s="903">
        <f t="shared" si="177"/>
        <v>0</v>
      </c>
      <c r="Q2858" s="893">
        <f t="shared" si="178"/>
        <v>0</v>
      </c>
      <c r="R2858" s="894">
        <f t="shared" si="179"/>
        <v>5</v>
      </c>
    </row>
    <row r="2859" spans="1:18" s="904" customFormat="1">
      <c r="A2859" s="895"/>
      <c r="B2859" s="896"/>
      <c r="C2859" s="897"/>
      <c r="D2859" s="897"/>
      <c r="E2859" s="924" t="s">
        <v>108</v>
      </c>
      <c r="F2859" s="899"/>
      <c r="G2859" s="900"/>
      <c r="H2859" s="901"/>
      <c r="I2859" s="902"/>
      <c r="J2859" s="902"/>
      <c r="K2859" s="912" t="s">
        <v>274</v>
      </c>
      <c r="L2859" s="902"/>
      <c r="M2859" s="902"/>
      <c r="N2859" s="902"/>
      <c r="O2859" s="892">
        <f t="shared" si="176"/>
        <v>0</v>
      </c>
      <c r="P2859" s="903">
        <f t="shared" si="177"/>
        <v>1</v>
      </c>
      <c r="Q2859" s="893">
        <f t="shared" si="178"/>
        <v>5</v>
      </c>
      <c r="R2859" s="894">
        <f t="shared" si="179"/>
        <v>0</v>
      </c>
    </row>
    <row r="2860" spans="1:18">
      <c r="A2860" s="905"/>
      <c r="B2860" s="906"/>
      <c r="C2860" s="907">
        <v>66</v>
      </c>
      <c r="D2860" s="907" t="s">
        <v>279</v>
      </c>
      <c r="E2860" s="925" t="s">
        <v>2682</v>
      </c>
      <c r="F2860" s="926" t="s">
        <v>45</v>
      </c>
      <c r="G2860" s="910"/>
      <c r="H2860" s="911">
        <v>0.03</v>
      </c>
      <c r="I2860" s="912">
        <f>VLOOKUP(E2860,[3]VLP!$B$7:$K$300,10,0)</f>
        <v>5000</v>
      </c>
      <c r="J2860" s="912">
        <f>I2860*H2860</f>
        <v>150</v>
      </c>
      <c r="K2860" s="912" t="s">
        <v>274</v>
      </c>
      <c r="L2860" s="912"/>
      <c r="M2860" s="912"/>
      <c r="N2860" s="912"/>
      <c r="O2860" s="892">
        <f t="shared" si="176"/>
        <v>0</v>
      </c>
      <c r="P2860" s="903">
        <f t="shared" si="177"/>
        <v>1</v>
      </c>
      <c r="Q2860" s="893">
        <f t="shared" si="178"/>
        <v>4</v>
      </c>
      <c r="R2860" s="894">
        <f t="shared" si="179"/>
        <v>0</v>
      </c>
    </row>
    <row r="2861" spans="1:18">
      <c r="A2861" s="905"/>
      <c r="B2861" s="906"/>
      <c r="C2861" s="907">
        <v>44</v>
      </c>
      <c r="D2861" s="907" t="s">
        <v>279</v>
      </c>
      <c r="E2861" s="925" t="s">
        <v>2681</v>
      </c>
      <c r="F2861" s="926" t="s">
        <v>45</v>
      </c>
      <c r="G2861" s="910"/>
      <c r="H2861" s="911">
        <v>0.16500000000000001</v>
      </c>
      <c r="I2861" s="912">
        <f>VLOOKUP(E2861,[3]VLP!$B$7:$K$300,10,0)</f>
        <v>23000</v>
      </c>
      <c r="J2861" s="912">
        <f>I2861*H2861</f>
        <v>3795</v>
      </c>
      <c r="K2861" s="912" t="s">
        <v>274</v>
      </c>
      <c r="L2861" s="912"/>
      <c r="M2861" s="912"/>
      <c r="N2861" s="912"/>
      <c r="O2861" s="892">
        <f t="shared" si="176"/>
        <v>0</v>
      </c>
      <c r="P2861" s="903">
        <f t="shared" si="177"/>
        <v>1</v>
      </c>
      <c r="Q2861" s="893">
        <f t="shared" si="178"/>
        <v>3</v>
      </c>
      <c r="R2861" s="894">
        <f t="shared" si="179"/>
        <v>0</v>
      </c>
    </row>
    <row r="2862" spans="1:18" s="904" customFormat="1">
      <c r="A2862" s="895"/>
      <c r="B2862" s="896"/>
      <c r="C2862" s="897"/>
      <c r="D2862" s="897"/>
      <c r="E2862" s="924" t="s">
        <v>276</v>
      </c>
      <c r="F2862" s="927"/>
      <c r="G2862" s="928"/>
      <c r="H2862" s="901"/>
      <c r="I2862" s="902"/>
      <c r="J2862" s="902"/>
      <c r="K2862" s="912" t="s">
        <v>274</v>
      </c>
      <c r="L2862" s="902"/>
      <c r="M2862" s="902"/>
      <c r="N2862" s="902"/>
      <c r="O2862" s="892">
        <f t="shared" si="176"/>
        <v>0</v>
      </c>
      <c r="P2862" s="903">
        <f t="shared" si="177"/>
        <v>1</v>
      </c>
      <c r="Q2862" s="893">
        <f t="shared" si="178"/>
        <v>2</v>
      </c>
      <c r="R2862" s="894">
        <f t="shared" si="179"/>
        <v>0</v>
      </c>
    </row>
    <row r="2863" spans="1:18">
      <c r="A2863" s="905"/>
      <c r="B2863" s="906"/>
      <c r="C2863" s="907">
        <v>740</v>
      </c>
      <c r="D2863" s="907" t="s">
        <v>12</v>
      </c>
      <c r="E2863" s="908" t="s">
        <v>4008</v>
      </c>
      <c r="F2863" s="909" t="s">
        <v>2674</v>
      </c>
      <c r="G2863" s="910"/>
      <c r="H2863" s="911">
        <v>0.47899999999999998</v>
      </c>
      <c r="I2863" s="912"/>
      <c r="J2863" s="912"/>
      <c r="K2863" s="912">
        <f>VLOOKUP(E2863,ĐMNC!$A$7:$F$67,4,0)</f>
        <v>252714</v>
      </c>
      <c r="L2863" s="912">
        <f>H2863*K2863</f>
        <v>121050.00599999999</v>
      </c>
      <c r="M2863" s="912"/>
      <c r="N2863" s="912"/>
      <c r="O2863" s="892">
        <f t="shared" si="176"/>
        <v>0</v>
      </c>
      <c r="P2863" s="903">
        <f t="shared" si="177"/>
        <v>1</v>
      </c>
      <c r="Q2863" s="893">
        <f t="shared" si="178"/>
        <v>1</v>
      </c>
      <c r="R2863" s="894">
        <f t="shared" si="179"/>
        <v>0</v>
      </c>
    </row>
    <row r="2864" spans="1:18" s="847" customFormat="1" ht="31.5">
      <c r="A2864" s="905"/>
      <c r="B2864" s="914" t="s">
        <v>4899</v>
      </c>
      <c r="C2864" s="915"/>
      <c r="D2864" s="915"/>
      <c r="E2864" s="916" t="s">
        <v>4900</v>
      </c>
      <c r="F2864" s="917" t="s">
        <v>94</v>
      </c>
      <c r="G2864" s="918"/>
      <c r="H2864" s="919"/>
      <c r="I2864" s="920"/>
      <c r="J2864" s="891">
        <f>SUM(J2865:J2869)</f>
        <v>3945</v>
      </c>
      <c r="K2864" s="891"/>
      <c r="L2864" s="891">
        <f>SUM(L2865:L2869)</f>
        <v>132422.136</v>
      </c>
      <c r="M2864" s="891"/>
      <c r="N2864" s="891">
        <f>SUM(N2865:N2869)</f>
        <v>0</v>
      </c>
      <c r="O2864" s="892">
        <f t="shared" si="176"/>
        <v>1</v>
      </c>
      <c r="P2864" s="903">
        <f t="shared" si="177"/>
        <v>0</v>
      </c>
      <c r="Q2864" s="893">
        <f t="shared" si="178"/>
        <v>0</v>
      </c>
      <c r="R2864" s="894">
        <f t="shared" si="179"/>
        <v>5</v>
      </c>
    </row>
    <row r="2865" spans="1:18" s="904" customFormat="1">
      <c r="A2865" s="895"/>
      <c r="B2865" s="896"/>
      <c r="C2865" s="897"/>
      <c r="D2865" s="897"/>
      <c r="E2865" s="924" t="s">
        <v>108</v>
      </c>
      <c r="F2865" s="899"/>
      <c r="G2865" s="900"/>
      <c r="H2865" s="901"/>
      <c r="I2865" s="902"/>
      <c r="J2865" s="902"/>
      <c r="K2865" s="912" t="s">
        <v>274</v>
      </c>
      <c r="L2865" s="902"/>
      <c r="M2865" s="902"/>
      <c r="N2865" s="902"/>
      <c r="O2865" s="892">
        <f t="shared" si="176"/>
        <v>0</v>
      </c>
      <c r="P2865" s="903">
        <f t="shared" si="177"/>
        <v>1</v>
      </c>
      <c r="Q2865" s="893">
        <f t="shared" si="178"/>
        <v>5</v>
      </c>
      <c r="R2865" s="894">
        <f t="shared" si="179"/>
        <v>0</v>
      </c>
    </row>
    <row r="2866" spans="1:18">
      <c r="A2866" s="905"/>
      <c r="B2866" s="906"/>
      <c r="C2866" s="907">
        <v>66</v>
      </c>
      <c r="D2866" s="907" t="s">
        <v>279</v>
      </c>
      <c r="E2866" s="925" t="s">
        <v>2682</v>
      </c>
      <c r="F2866" s="926" t="s">
        <v>45</v>
      </c>
      <c r="G2866" s="910"/>
      <c r="H2866" s="911">
        <v>0.03</v>
      </c>
      <c r="I2866" s="912">
        <f>VLOOKUP(E2866,[3]VLP!$B$7:$K$300,10,0)</f>
        <v>5000</v>
      </c>
      <c r="J2866" s="912">
        <f>I2866*H2866</f>
        <v>150</v>
      </c>
      <c r="K2866" s="912" t="s">
        <v>274</v>
      </c>
      <c r="L2866" s="912"/>
      <c r="M2866" s="912"/>
      <c r="N2866" s="912"/>
      <c r="O2866" s="892">
        <f t="shared" si="176"/>
        <v>0</v>
      </c>
      <c r="P2866" s="903">
        <f t="shared" si="177"/>
        <v>1</v>
      </c>
      <c r="Q2866" s="893">
        <f t="shared" si="178"/>
        <v>4</v>
      </c>
      <c r="R2866" s="894">
        <f t="shared" si="179"/>
        <v>0</v>
      </c>
    </row>
    <row r="2867" spans="1:18">
      <c r="A2867" s="905"/>
      <c r="B2867" s="906"/>
      <c r="C2867" s="907">
        <v>44</v>
      </c>
      <c r="D2867" s="907" t="s">
        <v>279</v>
      </c>
      <c r="E2867" s="925" t="s">
        <v>2681</v>
      </c>
      <c r="F2867" s="926" t="s">
        <v>45</v>
      </c>
      <c r="G2867" s="910"/>
      <c r="H2867" s="911">
        <v>0.16500000000000001</v>
      </c>
      <c r="I2867" s="912">
        <f>VLOOKUP(E2867,[3]VLP!$B$7:$K$300,10,0)</f>
        <v>23000</v>
      </c>
      <c r="J2867" s="912">
        <f>I2867*H2867</f>
        <v>3795</v>
      </c>
      <c r="K2867" s="912" t="s">
        <v>274</v>
      </c>
      <c r="L2867" s="912"/>
      <c r="M2867" s="912"/>
      <c r="N2867" s="912"/>
      <c r="O2867" s="892">
        <f t="shared" si="176"/>
        <v>0</v>
      </c>
      <c r="P2867" s="903">
        <f t="shared" si="177"/>
        <v>1</v>
      </c>
      <c r="Q2867" s="893">
        <f t="shared" si="178"/>
        <v>3</v>
      </c>
      <c r="R2867" s="894">
        <f t="shared" si="179"/>
        <v>0</v>
      </c>
    </row>
    <row r="2868" spans="1:18" s="904" customFormat="1">
      <c r="A2868" s="895"/>
      <c r="B2868" s="896"/>
      <c r="C2868" s="897"/>
      <c r="D2868" s="897"/>
      <c r="E2868" s="924" t="s">
        <v>276</v>
      </c>
      <c r="F2868" s="927"/>
      <c r="G2868" s="928"/>
      <c r="H2868" s="901"/>
      <c r="I2868" s="902"/>
      <c r="J2868" s="902"/>
      <c r="K2868" s="912" t="s">
        <v>274</v>
      </c>
      <c r="L2868" s="902"/>
      <c r="M2868" s="902"/>
      <c r="N2868" s="902"/>
      <c r="O2868" s="892">
        <f t="shared" si="176"/>
        <v>0</v>
      </c>
      <c r="P2868" s="903">
        <f t="shared" si="177"/>
        <v>1</v>
      </c>
      <c r="Q2868" s="893">
        <f t="shared" si="178"/>
        <v>2</v>
      </c>
      <c r="R2868" s="894">
        <f t="shared" si="179"/>
        <v>0</v>
      </c>
    </row>
    <row r="2869" spans="1:18">
      <c r="A2869" s="905"/>
      <c r="B2869" s="906"/>
      <c r="C2869" s="907">
        <v>740</v>
      </c>
      <c r="D2869" s="907" t="s">
        <v>12</v>
      </c>
      <c r="E2869" s="908" t="s">
        <v>4008</v>
      </c>
      <c r="F2869" s="909" t="s">
        <v>2674</v>
      </c>
      <c r="G2869" s="910"/>
      <c r="H2869" s="911">
        <v>0.52400000000000002</v>
      </c>
      <c r="I2869" s="912"/>
      <c r="J2869" s="912"/>
      <c r="K2869" s="912">
        <f>VLOOKUP(E2869,ĐMNC!$A$7:$F$67,4,0)</f>
        <v>252714</v>
      </c>
      <c r="L2869" s="912">
        <f>H2869*K2869</f>
        <v>132422.136</v>
      </c>
      <c r="M2869" s="912"/>
      <c r="N2869" s="912"/>
      <c r="O2869" s="892">
        <f t="shared" si="176"/>
        <v>0</v>
      </c>
      <c r="P2869" s="903">
        <f t="shared" si="177"/>
        <v>1</v>
      </c>
      <c r="Q2869" s="893">
        <f t="shared" si="178"/>
        <v>1</v>
      </c>
      <c r="R2869" s="894">
        <f t="shared" si="179"/>
        <v>0</v>
      </c>
    </row>
    <row r="2870" spans="1:18" s="847" customFormat="1" ht="31.5">
      <c r="A2870" s="905"/>
      <c r="B2870" s="914" t="s">
        <v>4901</v>
      </c>
      <c r="C2870" s="915"/>
      <c r="D2870" s="915"/>
      <c r="E2870" s="916" t="s">
        <v>4902</v>
      </c>
      <c r="F2870" s="917" t="s">
        <v>94</v>
      </c>
      <c r="G2870" s="918"/>
      <c r="H2870" s="919"/>
      <c r="I2870" s="920"/>
      <c r="J2870" s="891">
        <f>SUM(J2871:J2875)</f>
        <v>3945</v>
      </c>
      <c r="K2870" s="891"/>
      <c r="L2870" s="891">
        <f>SUM(L2871:L2875)</f>
        <v>152891.97</v>
      </c>
      <c r="M2870" s="891"/>
      <c r="N2870" s="891">
        <f>SUM(N2871:N2875)</f>
        <v>0</v>
      </c>
      <c r="O2870" s="892">
        <f t="shared" si="176"/>
        <v>1</v>
      </c>
      <c r="P2870" s="903">
        <f t="shared" si="177"/>
        <v>0</v>
      </c>
      <c r="Q2870" s="893">
        <f t="shared" si="178"/>
        <v>0</v>
      </c>
      <c r="R2870" s="894">
        <f t="shared" si="179"/>
        <v>5</v>
      </c>
    </row>
    <row r="2871" spans="1:18" s="904" customFormat="1">
      <c r="A2871" s="895"/>
      <c r="B2871" s="896"/>
      <c r="C2871" s="897"/>
      <c r="D2871" s="897"/>
      <c r="E2871" s="924" t="s">
        <v>108</v>
      </c>
      <c r="F2871" s="899"/>
      <c r="G2871" s="900"/>
      <c r="H2871" s="901"/>
      <c r="I2871" s="902"/>
      <c r="J2871" s="902"/>
      <c r="K2871" s="912" t="s">
        <v>274</v>
      </c>
      <c r="L2871" s="902"/>
      <c r="M2871" s="902"/>
      <c r="N2871" s="902"/>
      <c r="O2871" s="892">
        <f t="shared" si="176"/>
        <v>0</v>
      </c>
      <c r="P2871" s="903">
        <f t="shared" si="177"/>
        <v>1</v>
      </c>
      <c r="Q2871" s="893">
        <f t="shared" si="178"/>
        <v>5</v>
      </c>
      <c r="R2871" s="894">
        <f t="shared" si="179"/>
        <v>0</v>
      </c>
    </row>
    <row r="2872" spans="1:18">
      <c r="A2872" s="905"/>
      <c r="B2872" s="906"/>
      <c r="C2872" s="907">
        <v>66</v>
      </c>
      <c r="D2872" s="907" t="s">
        <v>279</v>
      </c>
      <c r="E2872" s="925" t="s">
        <v>2682</v>
      </c>
      <c r="F2872" s="926" t="s">
        <v>45</v>
      </c>
      <c r="G2872" s="910"/>
      <c r="H2872" s="911">
        <v>0.03</v>
      </c>
      <c r="I2872" s="912">
        <f>VLOOKUP(E2872,[3]VLP!$B$7:$K$300,10,0)</f>
        <v>5000</v>
      </c>
      <c r="J2872" s="912">
        <f>I2872*H2872</f>
        <v>150</v>
      </c>
      <c r="K2872" s="912" t="s">
        <v>274</v>
      </c>
      <c r="L2872" s="912"/>
      <c r="M2872" s="912"/>
      <c r="N2872" s="912"/>
      <c r="O2872" s="892">
        <f t="shared" si="176"/>
        <v>0</v>
      </c>
      <c r="P2872" s="903">
        <f t="shared" si="177"/>
        <v>1</v>
      </c>
      <c r="Q2872" s="893">
        <f t="shared" si="178"/>
        <v>4</v>
      </c>
      <c r="R2872" s="894">
        <f t="shared" si="179"/>
        <v>0</v>
      </c>
    </row>
    <row r="2873" spans="1:18">
      <c r="A2873" s="905"/>
      <c r="B2873" s="906"/>
      <c r="C2873" s="907">
        <v>44</v>
      </c>
      <c r="D2873" s="907" t="s">
        <v>279</v>
      </c>
      <c r="E2873" s="925" t="s">
        <v>2681</v>
      </c>
      <c r="F2873" s="926" t="s">
        <v>45</v>
      </c>
      <c r="G2873" s="910"/>
      <c r="H2873" s="911">
        <v>0.16500000000000001</v>
      </c>
      <c r="I2873" s="912">
        <f>VLOOKUP(E2873,[3]VLP!$B$7:$K$300,10,0)</f>
        <v>23000</v>
      </c>
      <c r="J2873" s="912">
        <f>I2873*H2873</f>
        <v>3795</v>
      </c>
      <c r="K2873" s="912" t="s">
        <v>274</v>
      </c>
      <c r="L2873" s="912"/>
      <c r="M2873" s="912"/>
      <c r="N2873" s="912"/>
      <c r="O2873" s="892">
        <f t="shared" si="176"/>
        <v>0</v>
      </c>
      <c r="P2873" s="903">
        <f t="shared" si="177"/>
        <v>1</v>
      </c>
      <c r="Q2873" s="893">
        <f t="shared" si="178"/>
        <v>3</v>
      </c>
      <c r="R2873" s="894">
        <f t="shared" si="179"/>
        <v>0</v>
      </c>
    </row>
    <row r="2874" spans="1:18" s="904" customFormat="1">
      <c r="A2874" s="895"/>
      <c r="B2874" s="896"/>
      <c r="C2874" s="897"/>
      <c r="D2874" s="897"/>
      <c r="E2874" s="924" t="s">
        <v>276</v>
      </c>
      <c r="F2874" s="927"/>
      <c r="G2874" s="928"/>
      <c r="H2874" s="901"/>
      <c r="I2874" s="902"/>
      <c r="J2874" s="902"/>
      <c r="K2874" s="912" t="s">
        <v>274</v>
      </c>
      <c r="L2874" s="902"/>
      <c r="M2874" s="902"/>
      <c r="N2874" s="902"/>
      <c r="O2874" s="892">
        <f t="shared" si="176"/>
        <v>0</v>
      </c>
      <c r="P2874" s="903">
        <f t="shared" si="177"/>
        <v>1</v>
      </c>
      <c r="Q2874" s="893">
        <f t="shared" si="178"/>
        <v>2</v>
      </c>
      <c r="R2874" s="894">
        <f t="shared" si="179"/>
        <v>0</v>
      </c>
    </row>
    <row r="2875" spans="1:18">
      <c r="A2875" s="905"/>
      <c r="B2875" s="906"/>
      <c r="C2875" s="907">
        <v>740</v>
      </c>
      <c r="D2875" s="907" t="s">
        <v>12</v>
      </c>
      <c r="E2875" s="908" t="s">
        <v>4008</v>
      </c>
      <c r="F2875" s="909" t="s">
        <v>2674</v>
      </c>
      <c r="G2875" s="910"/>
      <c r="H2875" s="911">
        <v>0.60499999999999998</v>
      </c>
      <c r="I2875" s="912"/>
      <c r="J2875" s="912"/>
      <c r="K2875" s="912">
        <f>VLOOKUP(E2875,ĐMNC!$A$7:$F$67,4,0)</f>
        <v>252714</v>
      </c>
      <c r="L2875" s="912">
        <f>H2875*K2875</f>
        <v>152891.97</v>
      </c>
      <c r="M2875" s="912"/>
      <c r="N2875" s="912"/>
      <c r="O2875" s="892">
        <f t="shared" si="176"/>
        <v>0</v>
      </c>
      <c r="P2875" s="903">
        <f t="shared" si="177"/>
        <v>1</v>
      </c>
      <c r="Q2875" s="893">
        <f t="shared" si="178"/>
        <v>1</v>
      </c>
      <c r="R2875" s="894">
        <f t="shared" si="179"/>
        <v>0</v>
      </c>
    </row>
    <row r="2876" spans="1:18" s="847" customFormat="1" ht="31.5">
      <c r="A2876" s="905"/>
      <c r="B2876" s="914" t="s">
        <v>4903</v>
      </c>
      <c r="C2876" s="915"/>
      <c r="D2876" s="915"/>
      <c r="E2876" s="916" t="s">
        <v>4904</v>
      </c>
      <c r="F2876" s="917" t="s">
        <v>94</v>
      </c>
      <c r="G2876" s="918"/>
      <c r="H2876" s="919"/>
      <c r="I2876" s="920"/>
      <c r="J2876" s="891">
        <f>SUM(J2877:J2881)</f>
        <v>3945</v>
      </c>
      <c r="K2876" s="891"/>
      <c r="L2876" s="891">
        <f>SUM(L2877:L2881)</f>
        <v>209499.90599999999</v>
      </c>
      <c r="M2876" s="891"/>
      <c r="N2876" s="891">
        <f>SUM(N2877:N2881)</f>
        <v>0</v>
      </c>
      <c r="O2876" s="892">
        <f t="shared" si="176"/>
        <v>1</v>
      </c>
      <c r="P2876" s="903">
        <f t="shared" si="177"/>
        <v>0</v>
      </c>
      <c r="Q2876" s="893">
        <f t="shared" si="178"/>
        <v>0</v>
      </c>
      <c r="R2876" s="894">
        <f t="shared" si="179"/>
        <v>5</v>
      </c>
    </row>
    <row r="2877" spans="1:18" s="904" customFormat="1">
      <c r="A2877" s="895"/>
      <c r="B2877" s="896"/>
      <c r="C2877" s="897"/>
      <c r="D2877" s="897"/>
      <c r="E2877" s="924" t="s">
        <v>108</v>
      </c>
      <c r="F2877" s="899"/>
      <c r="G2877" s="900"/>
      <c r="H2877" s="901"/>
      <c r="I2877" s="902"/>
      <c r="J2877" s="902"/>
      <c r="K2877" s="912" t="s">
        <v>274</v>
      </c>
      <c r="L2877" s="902"/>
      <c r="M2877" s="902"/>
      <c r="N2877" s="902"/>
      <c r="O2877" s="892">
        <f t="shared" si="176"/>
        <v>0</v>
      </c>
      <c r="P2877" s="903">
        <f t="shared" si="177"/>
        <v>1</v>
      </c>
      <c r="Q2877" s="893">
        <f t="shared" si="178"/>
        <v>5</v>
      </c>
      <c r="R2877" s="894">
        <f t="shared" si="179"/>
        <v>0</v>
      </c>
    </row>
    <row r="2878" spans="1:18">
      <c r="A2878" s="905"/>
      <c r="B2878" s="906"/>
      <c r="C2878" s="907">
        <v>66</v>
      </c>
      <c r="D2878" s="907" t="s">
        <v>279</v>
      </c>
      <c r="E2878" s="925" t="s">
        <v>2682</v>
      </c>
      <c r="F2878" s="926" t="s">
        <v>45</v>
      </c>
      <c r="G2878" s="910"/>
      <c r="H2878" s="911">
        <v>0.03</v>
      </c>
      <c r="I2878" s="912">
        <f>VLOOKUP(E2878,[3]VLP!$B$7:$K$300,10,0)</f>
        <v>5000</v>
      </c>
      <c r="J2878" s="912">
        <f>I2878*H2878</f>
        <v>150</v>
      </c>
      <c r="K2878" s="912" t="s">
        <v>274</v>
      </c>
      <c r="L2878" s="912"/>
      <c r="M2878" s="912"/>
      <c r="N2878" s="912"/>
      <c r="O2878" s="892">
        <f t="shared" si="176"/>
        <v>0</v>
      </c>
      <c r="P2878" s="903">
        <f t="shared" si="177"/>
        <v>1</v>
      </c>
      <c r="Q2878" s="893">
        <f t="shared" si="178"/>
        <v>4</v>
      </c>
      <c r="R2878" s="894">
        <f t="shared" si="179"/>
        <v>0</v>
      </c>
    </row>
    <row r="2879" spans="1:18">
      <c r="A2879" s="905"/>
      <c r="B2879" s="906"/>
      <c r="C2879" s="907">
        <v>44</v>
      </c>
      <c r="D2879" s="907" t="s">
        <v>279</v>
      </c>
      <c r="E2879" s="925" t="s">
        <v>2681</v>
      </c>
      <c r="F2879" s="926" t="s">
        <v>45</v>
      </c>
      <c r="G2879" s="910"/>
      <c r="H2879" s="911">
        <v>0.16500000000000001</v>
      </c>
      <c r="I2879" s="912">
        <f>VLOOKUP(E2879,[3]VLP!$B$7:$K$300,10,0)</f>
        <v>23000</v>
      </c>
      <c r="J2879" s="912">
        <f>I2879*H2879</f>
        <v>3795</v>
      </c>
      <c r="K2879" s="912" t="s">
        <v>274</v>
      </c>
      <c r="L2879" s="912"/>
      <c r="M2879" s="912"/>
      <c r="N2879" s="912"/>
      <c r="O2879" s="892">
        <f t="shared" si="176"/>
        <v>0</v>
      </c>
      <c r="P2879" s="903">
        <f t="shared" si="177"/>
        <v>1</v>
      </c>
      <c r="Q2879" s="893">
        <f t="shared" si="178"/>
        <v>3</v>
      </c>
      <c r="R2879" s="894">
        <f t="shared" si="179"/>
        <v>0</v>
      </c>
    </row>
    <row r="2880" spans="1:18" s="904" customFormat="1">
      <c r="A2880" s="895"/>
      <c r="B2880" s="896"/>
      <c r="C2880" s="897"/>
      <c r="D2880" s="897"/>
      <c r="E2880" s="924" t="s">
        <v>276</v>
      </c>
      <c r="F2880" s="927"/>
      <c r="G2880" s="928"/>
      <c r="H2880" s="901"/>
      <c r="I2880" s="902"/>
      <c r="J2880" s="902"/>
      <c r="K2880" s="912" t="s">
        <v>274</v>
      </c>
      <c r="L2880" s="902"/>
      <c r="M2880" s="902"/>
      <c r="N2880" s="902"/>
      <c r="O2880" s="892">
        <f t="shared" si="176"/>
        <v>0</v>
      </c>
      <c r="P2880" s="903">
        <f t="shared" si="177"/>
        <v>1</v>
      </c>
      <c r="Q2880" s="893">
        <f t="shared" si="178"/>
        <v>2</v>
      </c>
      <c r="R2880" s="894">
        <f t="shared" si="179"/>
        <v>0</v>
      </c>
    </row>
    <row r="2881" spans="1:18">
      <c r="A2881" s="905"/>
      <c r="B2881" s="906"/>
      <c r="C2881" s="907">
        <v>740</v>
      </c>
      <c r="D2881" s="907" t="s">
        <v>12</v>
      </c>
      <c r="E2881" s="908" t="s">
        <v>4008</v>
      </c>
      <c r="F2881" s="909" t="s">
        <v>2674</v>
      </c>
      <c r="G2881" s="910"/>
      <c r="H2881" s="911">
        <v>0.82899999999999996</v>
      </c>
      <c r="I2881" s="912"/>
      <c r="J2881" s="912"/>
      <c r="K2881" s="912">
        <f>VLOOKUP(E2881,ĐMNC!$A$7:$F$67,4,0)</f>
        <v>252714</v>
      </c>
      <c r="L2881" s="912">
        <f>H2881*K2881</f>
        <v>209499.90599999999</v>
      </c>
      <c r="M2881" s="912"/>
      <c r="N2881" s="912"/>
      <c r="O2881" s="892">
        <f t="shared" si="176"/>
        <v>0</v>
      </c>
      <c r="P2881" s="903">
        <f t="shared" si="177"/>
        <v>1</v>
      </c>
      <c r="Q2881" s="893">
        <f t="shared" si="178"/>
        <v>1</v>
      </c>
      <c r="R2881" s="894">
        <f t="shared" si="179"/>
        <v>0</v>
      </c>
    </row>
    <row r="2882" spans="1:18" s="847" customFormat="1" ht="31.5">
      <c r="A2882" s="905"/>
      <c r="B2882" s="914" t="s">
        <v>4905</v>
      </c>
      <c r="C2882" s="915"/>
      <c r="D2882" s="915"/>
      <c r="E2882" s="916" t="s">
        <v>4906</v>
      </c>
      <c r="F2882" s="917" t="s">
        <v>94</v>
      </c>
      <c r="G2882" s="918"/>
      <c r="H2882" s="919"/>
      <c r="I2882" s="920"/>
      <c r="J2882" s="891">
        <f>SUM(J2883:J2887)</f>
        <v>3945</v>
      </c>
      <c r="K2882" s="891"/>
      <c r="L2882" s="891">
        <f>SUM(L2883:L2887)</f>
        <v>230475.16800000001</v>
      </c>
      <c r="M2882" s="891"/>
      <c r="N2882" s="891">
        <f>SUM(N2883:N2887)</f>
        <v>0</v>
      </c>
      <c r="O2882" s="892">
        <f t="shared" si="176"/>
        <v>1</v>
      </c>
      <c r="P2882" s="903">
        <f t="shared" si="177"/>
        <v>0</v>
      </c>
      <c r="Q2882" s="893">
        <f t="shared" si="178"/>
        <v>0</v>
      </c>
      <c r="R2882" s="894">
        <f t="shared" si="179"/>
        <v>5</v>
      </c>
    </row>
    <row r="2883" spans="1:18" s="904" customFormat="1">
      <c r="A2883" s="895"/>
      <c r="B2883" s="896"/>
      <c r="C2883" s="897"/>
      <c r="D2883" s="897"/>
      <c r="E2883" s="924" t="s">
        <v>108</v>
      </c>
      <c r="F2883" s="899"/>
      <c r="G2883" s="900"/>
      <c r="H2883" s="901"/>
      <c r="I2883" s="902"/>
      <c r="J2883" s="902"/>
      <c r="K2883" s="912" t="s">
        <v>274</v>
      </c>
      <c r="L2883" s="902"/>
      <c r="M2883" s="902"/>
      <c r="N2883" s="902"/>
      <c r="O2883" s="892">
        <f t="shared" si="176"/>
        <v>0</v>
      </c>
      <c r="P2883" s="903">
        <f t="shared" si="177"/>
        <v>1</v>
      </c>
      <c r="Q2883" s="893">
        <f t="shared" si="178"/>
        <v>5</v>
      </c>
      <c r="R2883" s="894">
        <f t="shared" si="179"/>
        <v>0</v>
      </c>
    </row>
    <row r="2884" spans="1:18">
      <c r="A2884" s="905"/>
      <c r="B2884" s="906"/>
      <c r="C2884" s="907">
        <v>66</v>
      </c>
      <c r="D2884" s="907" t="s">
        <v>279</v>
      </c>
      <c r="E2884" s="925" t="s">
        <v>2682</v>
      </c>
      <c r="F2884" s="926" t="s">
        <v>45</v>
      </c>
      <c r="G2884" s="910"/>
      <c r="H2884" s="911">
        <v>0.03</v>
      </c>
      <c r="I2884" s="912">
        <f>VLOOKUP(E2884,[3]VLP!$B$7:$K$300,10,0)</f>
        <v>5000</v>
      </c>
      <c r="J2884" s="912">
        <f>I2884*H2884</f>
        <v>150</v>
      </c>
      <c r="K2884" s="912" t="s">
        <v>274</v>
      </c>
      <c r="L2884" s="912"/>
      <c r="M2884" s="912"/>
      <c r="N2884" s="912"/>
      <c r="O2884" s="892">
        <f t="shared" si="176"/>
        <v>0</v>
      </c>
      <c r="P2884" s="903">
        <f t="shared" si="177"/>
        <v>1</v>
      </c>
      <c r="Q2884" s="893">
        <f t="shared" si="178"/>
        <v>4</v>
      </c>
      <c r="R2884" s="894">
        <f t="shared" si="179"/>
        <v>0</v>
      </c>
    </row>
    <row r="2885" spans="1:18">
      <c r="A2885" s="905"/>
      <c r="B2885" s="906"/>
      <c r="C2885" s="907">
        <v>44</v>
      </c>
      <c r="D2885" s="907" t="s">
        <v>279</v>
      </c>
      <c r="E2885" s="925" t="s">
        <v>2681</v>
      </c>
      <c r="F2885" s="926" t="s">
        <v>45</v>
      </c>
      <c r="G2885" s="910"/>
      <c r="H2885" s="911">
        <v>0.16500000000000001</v>
      </c>
      <c r="I2885" s="912">
        <f>VLOOKUP(E2885,[3]VLP!$B$7:$K$300,10,0)</f>
        <v>23000</v>
      </c>
      <c r="J2885" s="912">
        <f>I2885*H2885</f>
        <v>3795</v>
      </c>
      <c r="K2885" s="912" t="s">
        <v>274</v>
      </c>
      <c r="L2885" s="912"/>
      <c r="M2885" s="912"/>
      <c r="N2885" s="912"/>
      <c r="O2885" s="892">
        <f t="shared" si="176"/>
        <v>0</v>
      </c>
      <c r="P2885" s="903">
        <f t="shared" si="177"/>
        <v>1</v>
      </c>
      <c r="Q2885" s="893">
        <f t="shared" si="178"/>
        <v>3</v>
      </c>
      <c r="R2885" s="894">
        <f t="shared" si="179"/>
        <v>0</v>
      </c>
    </row>
    <row r="2886" spans="1:18" s="904" customFormat="1">
      <c r="A2886" s="895"/>
      <c r="B2886" s="896"/>
      <c r="C2886" s="897"/>
      <c r="D2886" s="897"/>
      <c r="E2886" s="924" t="s">
        <v>276</v>
      </c>
      <c r="F2886" s="927"/>
      <c r="G2886" s="928"/>
      <c r="H2886" s="901"/>
      <c r="I2886" s="902"/>
      <c r="J2886" s="902"/>
      <c r="K2886" s="912" t="s">
        <v>274</v>
      </c>
      <c r="L2886" s="902"/>
      <c r="M2886" s="902"/>
      <c r="N2886" s="902"/>
      <c r="O2886" s="892">
        <f t="shared" si="176"/>
        <v>0</v>
      </c>
      <c r="P2886" s="903">
        <f t="shared" si="177"/>
        <v>1</v>
      </c>
      <c r="Q2886" s="893">
        <f t="shared" si="178"/>
        <v>2</v>
      </c>
      <c r="R2886" s="894">
        <f t="shared" si="179"/>
        <v>0</v>
      </c>
    </row>
    <row r="2887" spans="1:18">
      <c r="A2887" s="905"/>
      <c r="B2887" s="906"/>
      <c r="C2887" s="907">
        <v>740</v>
      </c>
      <c r="D2887" s="907" t="s">
        <v>12</v>
      </c>
      <c r="E2887" s="908" t="s">
        <v>4008</v>
      </c>
      <c r="F2887" s="909" t="s">
        <v>2674</v>
      </c>
      <c r="G2887" s="910"/>
      <c r="H2887" s="911">
        <v>0.91200000000000003</v>
      </c>
      <c r="I2887" s="912"/>
      <c r="J2887" s="912"/>
      <c r="K2887" s="912">
        <f>VLOOKUP(E2887,ĐMNC!$A$7:$F$67,4,0)</f>
        <v>252714</v>
      </c>
      <c r="L2887" s="912">
        <f>H2887*K2887</f>
        <v>230475.16800000001</v>
      </c>
      <c r="M2887" s="912"/>
      <c r="N2887" s="912"/>
      <c r="O2887" s="892">
        <f t="shared" si="176"/>
        <v>0</v>
      </c>
      <c r="P2887" s="903">
        <f t="shared" si="177"/>
        <v>1</v>
      </c>
      <c r="Q2887" s="893">
        <f t="shared" si="178"/>
        <v>1</v>
      </c>
      <c r="R2887" s="894">
        <f t="shared" si="179"/>
        <v>0</v>
      </c>
    </row>
    <row r="2888" spans="1:18" s="847" customFormat="1" ht="31.5">
      <c r="A2888" s="905"/>
      <c r="B2888" s="914" t="s">
        <v>4907</v>
      </c>
      <c r="C2888" s="915"/>
      <c r="D2888" s="915"/>
      <c r="E2888" s="916" t="s">
        <v>4908</v>
      </c>
      <c r="F2888" s="917" t="s">
        <v>94</v>
      </c>
      <c r="G2888" s="918"/>
      <c r="H2888" s="919"/>
      <c r="I2888" s="920"/>
      <c r="J2888" s="891">
        <f>SUM(J2889:J2893)</f>
        <v>3945</v>
      </c>
      <c r="K2888" s="891"/>
      <c r="L2888" s="891">
        <f>SUM(L2889:L2893)</f>
        <v>253472.14199999996</v>
      </c>
      <c r="M2888" s="891"/>
      <c r="N2888" s="891">
        <f>SUM(N2889:N2893)</f>
        <v>0</v>
      </c>
      <c r="O2888" s="892">
        <f t="shared" si="176"/>
        <v>1</v>
      </c>
      <c r="P2888" s="903">
        <f t="shared" si="177"/>
        <v>0</v>
      </c>
      <c r="Q2888" s="893">
        <f t="shared" si="178"/>
        <v>0</v>
      </c>
      <c r="R2888" s="894">
        <f t="shared" si="179"/>
        <v>5</v>
      </c>
    </row>
    <row r="2889" spans="1:18" s="904" customFormat="1">
      <c r="A2889" s="895"/>
      <c r="B2889" s="896"/>
      <c r="C2889" s="897"/>
      <c r="D2889" s="897"/>
      <c r="E2889" s="924" t="s">
        <v>108</v>
      </c>
      <c r="F2889" s="899"/>
      <c r="G2889" s="900"/>
      <c r="H2889" s="901"/>
      <c r="I2889" s="902"/>
      <c r="J2889" s="902"/>
      <c r="K2889" s="912" t="s">
        <v>274</v>
      </c>
      <c r="L2889" s="902"/>
      <c r="M2889" s="902"/>
      <c r="N2889" s="902"/>
      <c r="O2889" s="892">
        <f t="shared" si="176"/>
        <v>0</v>
      </c>
      <c r="P2889" s="903">
        <f t="shared" si="177"/>
        <v>1</v>
      </c>
      <c r="Q2889" s="893">
        <f t="shared" si="178"/>
        <v>5</v>
      </c>
      <c r="R2889" s="894">
        <f t="shared" si="179"/>
        <v>0</v>
      </c>
    </row>
    <row r="2890" spans="1:18">
      <c r="A2890" s="905"/>
      <c r="B2890" s="906"/>
      <c r="C2890" s="907">
        <v>66</v>
      </c>
      <c r="D2890" s="907" t="s">
        <v>279</v>
      </c>
      <c r="E2890" s="925" t="s">
        <v>2682</v>
      </c>
      <c r="F2890" s="926" t="s">
        <v>45</v>
      </c>
      <c r="G2890" s="910"/>
      <c r="H2890" s="911">
        <v>0.03</v>
      </c>
      <c r="I2890" s="912">
        <f>VLOOKUP(E2890,[3]VLP!$B$7:$K$300,10,0)</f>
        <v>5000</v>
      </c>
      <c r="J2890" s="912">
        <f>I2890*H2890</f>
        <v>150</v>
      </c>
      <c r="K2890" s="912" t="s">
        <v>274</v>
      </c>
      <c r="L2890" s="912"/>
      <c r="M2890" s="912"/>
      <c r="N2890" s="912"/>
      <c r="O2890" s="892">
        <f t="shared" si="176"/>
        <v>0</v>
      </c>
      <c r="P2890" s="903">
        <f t="shared" si="177"/>
        <v>1</v>
      </c>
      <c r="Q2890" s="893">
        <f t="shared" si="178"/>
        <v>4</v>
      </c>
      <c r="R2890" s="894">
        <f t="shared" si="179"/>
        <v>0</v>
      </c>
    </row>
    <row r="2891" spans="1:18">
      <c r="A2891" s="905"/>
      <c r="B2891" s="906"/>
      <c r="C2891" s="907">
        <v>44</v>
      </c>
      <c r="D2891" s="907" t="s">
        <v>279</v>
      </c>
      <c r="E2891" s="925" t="s">
        <v>2681</v>
      </c>
      <c r="F2891" s="926" t="s">
        <v>45</v>
      </c>
      <c r="G2891" s="910"/>
      <c r="H2891" s="911">
        <v>0.16500000000000001</v>
      </c>
      <c r="I2891" s="912">
        <f>VLOOKUP(E2891,[3]VLP!$B$7:$K$300,10,0)</f>
        <v>23000</v>
      </c>
      <c r="J2891" s="912">
        <f>I2891*H2891</f>
        <v>3795</v>
      </c>
      <c r="K2891" s="912" t="s">
        <v>274</v>
      </c>
      <c r="L2891" s="912"/>
      <c r="M2891" s="912"/>
      <c r="N2891" s="912"/>
      <c r="O2891" s="892">
        <f t="shared" si="176"/>
        <v>0</v>
      </c>
      <c r="P2891" s="903">
        <f t="shared" si="177"/>
        <v>1</v>
      </c>
      <c r="Q2891" s="893">
        <f t="shared" si="178"/>
        <v>3</v>
      </c>
      <c r="R2891" s="894">
        <f t="shared" si="179"/>
        <v>0</v>
      </c>
    </row>
    <row r="2892" spans="1:18" s="904" customFormat="1">
      <c r="A2892" s="895"/>
      <c r="B2892" s="896"/>
      <c r="C2892" s="897"/>
      <c r="D2892" s="897"/>
      <c r="E2892" s="924" t="s">
        <v>276</v>
      </c>
      <c r="F2892" s="927"/>
      <c r="G2892" s="928"/>
      <c r="H2892" s="901"/>
      <c r="I2892" s="902"/>
      <c r="J2892" s="902"/>
      <c r="K2892" s="912" t="s">
        <v>274</v>
      </c>
      <c r="L2892" s="902"/>
      <c r="M2892" s="902"/>
      <c r="N2892" s="902"/>
      <c r="O2892" s="892">
        <f t="shared" ref="O2892:O2955" si="180">IF(AND(B2892&lt;&gt;"",D2892=""),1,0)</f>
        <v>0</v>
      </c>
      <c r="P2892" s="903">
        <f t="shared" si="177"/>
        <v>1</v>
      </c>
      <c r="Q2892" s="893">
        <f t="shared" si="178"/>
        <v>2</v>
      </c>
      <c r="R2892" s="894">
        <f t="shared" si="179"/>
        <v>0</v>
      </c>
    </row>
    <row r="2893" spans="1:18">
      <c r="A2893" s="905"/>
      <c r="B2893" s="906"/>
      <c r="C2893" s="907">
        <v>740</v>
      </c>
      <c r="D2893" s="907" t="s">
        <v>12</v>
      </c>
      <c r="E2893" s="908" t="s">
        <v>4008</v>
      </c>
      <c r="F2893" s="909" t="s">
        <v>2674</v>
      </c>
      <c r="G2893" s="910"/>
      <c r="H2893" s="911">
        <v>1.0029999999999999</v>
      </c>
      <c r="I2893" s="912"/>
      <c r="J2893" s="912"/>
      <c r="K2893" s="912">
        <f>VLOOKUP(E2893,ĐMNC!$A$7:$F$67,4,0)</f>
        <v>252714</v>
      </c>
      <c r="L2893" s="912">
        <f>H2893*K2893</f>
        <v>253472.14199999996</v>
      </c>
      <c r="M2893" s="912"/>
      <c r="N2893" s="912"/>
      <c r="O2893" s="892">
        <f t="shared" si="180"/>
        <v>0</v>
      </c>
      <c r="P2893" s="903">
        <f t="shared" si="177"/>
        <v>1</v>
      </c>
      <c r="Q2893" s="893">
        <f t="shared" si="178"/>
        <v>1</v>
      </c>
      <c r="R2893" s="894">
        <f t="shared" si="179"/>
        <v>0</v>
      </c>
    </row>
    <row r="2894" spans="1:18" s="847" customFormat="1" ht="31.5">
      <c r="A2894" s="905"/>
      <c r="B2894" s="914" t="s">
        <v>4909</v>
      </c>
      <c r="C2894" s="915"/>
      <c r="D2894" s="915"/>
      <c r="E2894" s="916" t="s">
        <v>4910</v>
      </c>
      <c r="F2894" s="917" t="s">
        <v>94</v>
      </c>
      <c r="G2894" s="918"/>
      <c r="H2894" s="919"/>
      <c r="I2894" s="920"/>
      <c r="J2894" s="891">
        <f>SUM(J2895:J2899)</f>
        <v>5720</v>
      </c>
      <c r="K2894" s="891"/>
      <c r="L2894" s="891">
        <f>SUM(L2895:L2899)</f>
        <v>174372.65999999997</v>
      </c>
      <c r="M2894" s="891"/>
      <c r="N2894" s="891">
        <f>SUM(N2895:N2899)</f>
        <v>0</v>
      </c>
      <c r="O2894" s="892">
        <f t="shared" si="180"/>
        <v>1</v>
      </c>
      <c r="P2894" s="903">
        <f t="shared" si="177"/>
        <v>0</v>
      </c>
      <c r="Q2894" s="893">
        <f t="shared" si="178"/>
        <v>0</v>
      </c>
      <c r="R2894" s="894">
        <f t="shared" si="179"/>
        <v>5</v>
      </c>
    </row>
    <row r="2895" spans="1:18" s="904" customFormat="1">
      <c r="A2895" s="895"/>
      <c r="B2895" s="896"/>
      <c r="C2895" s="897"/>
      <c r="D2895" s="897"/>
      <c r="E2895" s="924" t="s">
        <v>108</v>
      </c>
      <c r="F2895" s="899"/>
      <c r="G2895" s="900"/>
      <c r="H2895" s="901"/>
      <c r="I2895" s="902"/>
      <c r="J2895" s="902"/>
      <c r="K2895" s="912" t="s">
        <v>274</v>
      </c>
      <c r="L2895" s="902"/>
      <c r="M2895" s="902"/>
      <c r="N2895" s="902"/>
      <c r="O2895" s="892">
        <f t="shared" si="180"/>
        <v>0</v>
      </c>
      <c r="P2895" s="903">
        <f t="shared" si="177"/>
        <v>1</v>
      </c>
      <c r="Q2895" s="893">
        <f t="shared" si="178"/>
        <v>5</v>
      </c>
      <c r="R2895" s="894">
        <f t="shared" si="179"/>
        <v>0</v>
      </c>
    </row>
    <row r="2896" spans="1:18">
      <c r="A2896" s="905"/>
      <c r="B2896" s="906"/>
      <c r="C2896" s="907">
        <v>66</v>
      </c>
      <c r="D2896" s="907" t="s">
        <v>279</v>
      </c>
      <c r="E2896" s="925" t="s">
        <v>2682</v>
      </c>
      <c r="F2896" s="926" t="s">
        <v>45</v>
      </c>
      <c r="G2896" s="910"/>
      <c r="H2896" s="911">
        <v>0.04</v>
      </c>
      <c r="I2896" s="912">
        <f>VLOOKUP(E2896,[3]VLP!$B$7:$K$300,10,0)</f>
        <v>5000</v>
      </c>
      <c r="J2896" s="912">
        <f>I2896*H2896</f>
        <v>200</v>
      </c>
      <c r="K2896" s="912" t="s">
        <v>274</v>
      </c>
      <c r="L2896" s="912"/>
      <c r="M2896" s="912"/>
      <c r="N2896" s="912"/>
      <c r="O2896" s="892">
        <f t="shared" si="180"/>
        <v>0</v>
      </c>
      <c r="P2896" s="903">
        <f t="shared" si="177"/>
        <v>1</v>
      </c>
      <c r="Q2896" s="893">
        <f t="shared" si="178"/>
        <v>4</v>
      </c>
      <c r="R2896" s="894">
        <f t="shared" si="179"/>
        <v>0</v>
      </c>
    </row>
    <row r="2897" spans="1:18">
      <c r="A2897" s="905"/>
      <c r="B2897" s="906"/>
      <c r="C2897" s="907">
        <v>44</v>
      </c>
      <c r="D2897" s="907" t="s">
        <v>279</v>
      </c>
      <c r="E2897" s="925" t="s">
        <v>2681</v>
      </c>
      <c r="F2897" s="926" t="s">
        <v>45</v>
      </c>
      <c r="G2897" s="910"/>
      <c r="H2897" s="911">
        <v>0.24</v>
      </c>
      <c r="I2897" s="912">
        <f>VLOOKUP(E2897,[3]VLP!$B$7:$K$300,10,0)</f>
        <v>23000</v>
      </c>
      <c r="J2897" s="912">
        <f>I2897*H2897</f>
        <v>5520</v>
      </c>
      <c r="K2897" s="912" t="s">
        <v>274</v>
      </c>
      <c r="L2897" s="912"/>
      <c r="M2897" s="912"/>
      <c r="N2897" s="912"/>
      <c r="O2897" s="892">
        <f t="shared" si="180"/>
        <v>0</v>
      </c>
      <c r="P2897" s="903">
        <f t="shared" si="177"/>
        <v>1</v>
      </c>
      <c r="Q2897" s="893">
        <f t="shared" si="178"/>
        <v>3</v>
      </c>
      <c r="R2897" s="894">
        <f t="shared" si="179"/>
        <v>0</v>
      </c>
    </row>
    <row r="2898" spans="1:18" s="904" customFormat="1">
      <c r="A2898" s="895"/>
      <c r="B2898" s="896"/>
      <c r="C2898" s="897"/>
      <c r="D2898" s="897"/>
      <c r="E2898" s="924" t="s">
        <v>276</v>
      </c>
      <c r="F2898" s="927"/>
      <c r="G2898" s="928"/>
      <c r="H2898" s="901"/>
      <c r="I2898" s="902"/>
      <c r="J2898" s="902"/>
      <c r="K2898" s="912" t="s">
        <v>274</v>
      </c>
      <c r="L2898" s="902"/>
      <c r="M2898" s="902"/>
      <c r="N2898" s="902"/>
      <c r="O2898" s="892">
        <f t="shared" si="180"/>
        <v>0</v>
      </c>
      <c r="P2898" s="903">
        <f t="shared" si="177"/>
        <v>1</v>
      </c>
      <c r="Q2898" s="893">
        <f t="shared" si="178"/>
        <v>2</v>
      </c>
      <c r="R2898" s="894">
        <f t="shared" si="179"/>
        <v>0</v>
      </c>
    </row>
    <row r="2899" spans="1:18">
      <c r="A2899" s="905"/>
      <c r="B2899" s="906"/>
      <c r="C2899" s="907">
        <v>740</v>
      </c>
      <c r="D2899" s="907" t="s">
        <v>12</v>
      </c>
      <c r="E2899" s="908" t="s">
        <v>4008</v>
      </c>
      <c r="F2899" s="909" t="s">
        <v>2674</v>
      </c>
      <c r="G2899" s="910"/>
      <c r="H2899" s="911">
        <v>0.69</v>
      </c>
      <c r="I2899" s="912"/>
      <c r="J2899" s="912"/>
      <c r="K2899" s="912">
        <f>VLOOKUP(E2899,ĐMNC!$A$7:$F$67,4,0)</f>
        <v>252714</v>
      </c>
      <c r="L2899" s="912">
        <f>H2899*K2899</f>
        <v>174372.65999999997</v>
      </c>
      <c r="M2899" s="912"/>
      <c r="N2899" s="912"/>
      <c r="O2899" s="892">
        <f t="shared" si="180"/>
        <v>0</v>
      </c>
      <c r="P2899" s="903">
        <f t="shared" si="177"/>
        <v>1</v>
      </c>
      <c r="Q2899" s="893">
        <f t="shared" si="178"/>
        <v>1</v>
      </c>
      <c r="R2899" s="894">
        <f t="shared" si="179"/>
        <v>0</v>
      </c>
    </row>
    <row r="2900" spans="1:18" s="847" customFormat="1" ht="31.5">
      <c r="A2900" s="905"/>
      <c r="B2900" s="914" t="s">
        <v>4911</v>
      </c>
      <c r="C2900" s="915"/>
      <c r="D2900" s="915"/>
      <c r="E2900" s="916" t="s">
        <v>4912</v>
      </c>
      <c r="F2900" s="917" t="s">
        <v>94</v>
      </c>
      <c r="G2900" s="918"/>
      <c r="H2900" s="919"/>
      <c r="I2900" s="920"/>
      <c r="J2900" s="891">
        <f>SUM(J2901:J2905)</f>
        <v>5720</v>
      </c>
      <c r="K2900" s="891"/>
      <c r="L2900" s="891">
        <f>SUM(L2901:L2905)</f>
        <v>183470.364</v>
      </c>
      <c r="M2900" s="891"/>
      <c r="N2900" s="891">
        <f>SUM(N2901:N2905)</f>
        <v>0</v>
      </c>
      <c r="O2900" s="892">
        <f t="shared" si="180"/>
        <v>1</v>
      </c>
      <c r="P2900" s="903">
        <f t="shared" si="177"/>
        <v>0</v>
      </c>
      <c r="Q2900" s="893">
        <f t="shared" si="178"/>
        <v>0</v>
      </c>
      <c r="R2900" s="894">
        <f t="shared" si="179"/>
        <v>5</v>
      </c>
    </row>
    <row r="2901" spans="1:18" s="904" customFormat="1">
      <c r="A2901" s="895"/>
      <c r="B2901" s="896"/>
      <c r="C2901" s="897"/>
      <c r="D2901" s="897"/>
      <c r="E2901" s="924" t="s">
        <v>108</v>
      </c>
      <c r="F2901" s="899"/>
      <c r="G2901" s="900"/>
      <c r="H2901" s="901"/>
      <c r="I2901" s="902"/>
      <c r="J2901" s="902"/>
      <c r="K2901" s="912" t="s">
        <v>274</v>
      </c>
      <c r="L2901" s="902"/>
      <c r="M2901" s="902"/>
      <c r="N2901" s="902"/>
      <c r="O2901" s="892">
        <f t="shared" si="180"/>
        <v>0</v>
      </c>
      <c r="P2901" s="903">
        <f t="shared" ref="P2901:P2964" si="181">IF(O2901=0,1,0)</f>
        <v>1</v>
      </c>
      <c r="Q2901" s="893">
        <f t="shared" ref="Q2901:Q2964" si="182">IF(P2901=0,0,P2901+Q2902)</f>
        <v>5</v>
      </c>
      <c r="R2901" s="894">
        <f t="shared" ref="R2901:R2964" si="183">IF(Q2901=0,Q2902,0)</f>
        <v>0</v>
      </c>
    </row>
    <row r="2902" spans="1:18">
      <c r="A2902" s="905"/>
      <c r="B2902" s="906"/>
      <c r="C2902" s="907">
        <v>66</v>
      </c>
      <c r="D2902" s="907" t="s">
        <v>279</v>
      </c>
      <c r="E2902" s="925" t="s">
        <v>2682</v>
      </c>
      <c r="F2902" s="926" t="s">
        <v>45</v>
      </c>
      <c r="G2902" s="910"/>
      <c r="H2902" s="911">
        <v>0.04</v>
      </c>
      <c r="I2902" s="912">
        <f>VLOOKUP(E2902,[3]VLP!$B$7:$K$300,10,0)</f>
        <v>5000</v>
      </c>
      <c r="J2902" s="912">
        <f>I2902*H2902</f>
        <v>200</v>
      </c>
      <c r="K2902" s="912" t="s">
        <v>274</v>
      </c>
      <c r="L2902" s="912"/>
      <c r="M2902" s="912"/>
      <c r="N2902" s="912"/>
      <c r="O2902" s="892">
        <f t="shared" si="180"/>
        <v>0</v>
      </c>
      <c r="P2902" s="903">
        <f t="shared" si="181"/>
        <v>1</v>
      </c>
      <c r="Q2902" s="893">
        <f t="shared" si="182"/>
        <v>4</v>
      </c>
      <c r="R2902" s="894">
        <f t="shared" si="183"/>
        <v>0</v>
      </c>
    </row>
    <row r="2903" spans="1:18">
      <c r="A2903" s="905"/>
      <c r="B2903" s="906"/>
      <c r="C2903" s="907">
        <v>44</v>
      </c>
      <c r="D2903" s="907" t="s">
        <v>279</v>
      </c>
      <c r="E2903" s="925" t="s">
        <v>2681</v>
      </c>
      <c r="F2903" s="926" t="s">
        <v>45</v>
      </c>
      <c r="G2903" s="910"/>
      <c r="H2903" s="911">
        <v>0.24</v>
      </c>
      <c r="I2903" s="912">
        <f>VLOOKUP(E2903,[3]VLP!$B$7:$K$300,10,0)</f>
        <v>23000</v>
      </c>
      <c r="J2903" s="912">
        <f>I2903*H2903</f>
        <v>5520</v>
      </c>
      <c r="K2903" s="912" t="s">
        <v>274</v>
      </c>
      <c r="L2903" s="912"/>
      <c r="M2903" s="912"/>
      <c r="N2903" s="912"/>
      <c r="O2903" s="892">
        <f t="shared" si="180"/>
        <v>0</v>
      </c>
      <c r="P2903" s="903">
        <f t="shared" si="181"/>
        <v>1</v>
      </c>
      <c r="Q2903" s="893">
        <f t="shared" si="182"/>
        <v>3</v>
      </c>
      <c r="R2903" s="894">
        <f t="shared" si="183"/>
        <v>0</v>
      </c>
    </row>
    <row r="2904" spans="1:18" s="904" customFormat="1">
      <c r="A2904" s="895"/>
      <c r="B2904" s="896"/>
      <c r="C2904" s="897"/>
      <c r="D2904" s="897"/>
      <c r="E2904" s="924" t="s">
        <v>276</v>
      </c>
      <c r="F2904" s="927"/>
      <c r="G2904" s="928"/>
      <c r="H2904" s="901"/>
      <c r="I2904" s="902"/>
      <c r="J2904" s="902"/>
      <c r="K2904" s="912" t="s">
        <v>274</v>
      </c>
      <c r="L2904" s="902"/>
      <c r="M2904" s="902"/>
      <c r="N2904" s="902"/>
      <c r="O2904" s="892">
        <f t="shared" si="180"/>
        <v>0</v>
      </c>
      <c r="P2904" s="903">
        <f t="shared" si="181"/>
        <v>1</v>
      </c>
      <c r="Q2904" s="893">
        <f t="shared" si="182"/>
        <v>2</v>
      </c>
      <c r="R2904" s="894">
        <f t="shared" si="183"/>
        <v>0</v>
      </c>
    </row>
    <row r="2905" spans="1:18">
      <c r="A2905" s="905"/>
      <c r="B2905" s="906"/>
      <c r="C2905" s="907">
        <v>740</v>
      </c>
      <c r="D2905" s="907" t="s">
        <v>12</v>
      </c>
      <c r="E2905" s="908" t="s">
        <v>4008</v>
      </c>
      <c r="F2905" s="909" t="s">
        <v>2674</v>
      </c>
      <c r="G2905" s="910"/>
      <c r="H2905" s="911">
        <v>0.72599999999999998</v>
      </c>
      <c r="I2905" s="912"/>
      <c r="J2905" s="912"/>
      <c r="K2905" s="912">
        <f>VLOOKUP(E2905,ĐMNC!$A$7:$F$67,4,0)</f>
        <v>252714</v>
      </c>
      <c r="L2905" s="912">
        <f>H2905*K2905</f>
        <v>183470.364</v>
      </c>
      <c r="M2905" s="912"/>
      <c r="N2905" s="912"/>
      <c r="O2905" s="892">
        <f t="shared" si="180"/>
        <v>0</v>
      </c>
      <c r="P2905" s="903">
        <f t="shared" si="181"/>
        <v>1</v>
      </c>
      <c r="Q2905" s="893">
        <f t="shared" si="182"/>
        <v>1</v>
      </c>
      <c r="R2905" s="894">
        <f t="shared" si="183"/>
        <v>0</v>
      </c>
    </row>
    <row r="2906" spans="1:18" s="847" customFormat="1" ht="31.5">
      <c r="A2906" s="905"/>
      <c r="B2906" s="914" t="s">
        <v>4913</v>
      </c>
      <c r="C2906" s="915"/>
      <c r="D2906" s="915"/>
      <c r="E2906" s="916" t="s">
        <v>4914</v>
      </c>
      <c r="F2906" s="917" t="s">
        <v>94</v>
      </c>
      <c r="G2906" s="918"/>
      <c r="H2906" s="919"/>
      <c r="I2906" s="920"/>
      <c r="J2906" s="891">
        <f>SUM(J2907:J2911)</f>
        <v>5720</v>
      </c>
      <c r="K2906" s="891"/>
      <c r="L2906" s="891">
        <f>SUM(L2907:L2911)</f>
        <v>199896.774</v>
      </c>
      <c r="M2906" s="891"/>
      <c r="N2906" s="891">
        <f>SUM(N2907:N2911)</f>
        <v>0</v>
      </c>
      <c r="O2906" s="892">
        <f t="shared" si="180"/>
        <v>1</v>
      </c>
      <c r="P2906" s="903">
        <f t="shared" si="181"/>
        <v>0</v>
      </c>
      <c r="Q2906" s="893">
        <f t="shared" si="182"/>
        <v>0</v>
      </c>
      <c r="R2906" s="894">
        <f t="shared" si="183"/>
        <v>5</v>
      </c>
    </row>
    <row r="2907" spans="1:18" s="904" customFormat="1">
      <c r="A2907" s="895"/>
      <c r="B2907" s="896"/>
      <c r="C2907" s="897"/>
      <c r="D2907" s="897"/>
      <c r="E2907" s="924" t="s">
        <v>108</v>
      </c>
      <c r="F2907" s="899"/>
      <c r="G2907" s="900"/>
      <c r="H2907" s="901"/>
      <c r="I2907" s="902"/>
      <c r="J2907" s="902"/>
      <c r="K2907" s="912" t="s">
        <v>274</v>
      </c>
      <c r="L2907" s="902"/>
      <c r="M2907" s="902"/>
      <c r="N2907" s="902"/>
      <c r="O2907" s="892">
        <f t="shared" si="180"/>
        <v>0</v>
      </c>
      <c r="P2907" s="903">
        <f t="shared" si="181"/>
        <v>1</v>
      </c>
      <c r="Q2907" s="893">
        <f t="shared" si="182"/>
        <v>5</v>
      </c>
      <c r="R2907" s="894">
        <f t="shared" si="183"/>
        <v>0</v>
      </c>
    </row>
    <row r="2908" spans="1:18">
      <c r="A2908" s="905"/>
      <c r="B2908" s="906"/>
      <c r="C2908" s="907">
        <v>66</v>
      </c>
      <c r="D2908" s="907" t="s">
        <v>279</v>
      </c>
      <c r="E2908" s="925" t="s">
        <v>2682</v>
      </c>
      <c r="F2908" s="926" t="s">
        <v>45</v>
      </c>
      <c r="G2908" s="910"/>
      <c r="H2908" s="911">
        <v>0.04</v>
      </c>
      <c r="I2908" s="912">
        <f>VLOOKUP(E2908,[3]VLP!$B$7:$K$300,10,0)</f>
        <v>5000</v>
      </c>
      <c r="J2908" s="912">
        <f>I2908*H2908</f>
        <v>200</v>
      </c>
      <c r="K2908" s="912" t="s">
        <v>274</v>
      </c>
      <c r="L2908" s="912"/>
      <c r="M2908" s="912"/>
      <c r="N2908" s="912"/>
      <c r="O2908" s="892">
        <f t="shared" si="180"/>
        <v>0</v>
      </c>
      <c r="P2908" s="903">
        <f t="shared" si="181"/>
        <v>1</v>
      </c>
      <c r="Q2908" s="893">
        <f t="shared" si="182"/>
        <v>4</v>
      </c>
      <c r="R2908" s="894">
        <f t="shared" si="183"/>
        <v>0</v>
      </c>
    </row>
    <row r="2909" spans="1:18">
      <c r="A2909" s="905"/>
      <c r="B2909" s="906"/>
      <c r="C2909" s="907">
        <v>44</v>
      </c>
      <c r="D2909" s="907" t="s">
        <v>279</v>
      </c>
      <c r="E2909" s="925" t="s">
        <v>2681</v>
      </c>
      <c r="F2909" s="926" t="s">
        <v>45</v>
      </c>
      <c r="G2909" s="910"/>
      <c r="H2909" s="911">
        <v>0.24</v>
      </c>
      <c r="I2909" s="912">
        <f>VLOOKUP(E2909,[3]VLP!$B$7:$K$300,10,0)</f>
        <v>23000</v>
      </c>
      <c r="J2909" s="912">
        <f>I2909*H2909</f>
        <v>5520</v>
      </c>
      <c r="K2909" s="912" t="s">
        <v>274</v>
      </c>
      <c r="L2909" s="912"/>
      <c r="M2909" s="912"/>
      <c r="N2909" s="912"/>
      <c r="O2909" s="892">
        <f t="shared" si="180"/>
        <v>0</v>
      </c>
      <c r="P2909" s="903">
        <f t="shared" si="181"/>
        <v>1</v>
      </c>
      <c r="Q2909" s="893">
        <f t="shared" si="182"/>
        <v>3</v>
      </c>
      <c r="R2909" s="894">
        <f t="shared" si="183"/>
        <v>0</v>
      </c>
    </row>
    <row r="2910" spans="1:18" s="904" customFormat="1">
      <c r="A2910" s="895"/>
      <c r="B2910" s="896"/>
      <c r="C2910" s="897"/>
      <c r="D2910" s="897"/>
      <c r="E2910" s="924" t="s">
        <v>276</v>
      </c>
      <c r="F2910" s="927"/>
      <c r="G2910" s="928"/>
      <c r="H2910" s="901"/>
      <c r="I2910" s="902"/>
      <c r="J2910" s="902"/>
      <c r="K2910" s="912" t="s">
        <v>274</v>
      </c>
      <c r="L2910" s="902"/>
      <c r="M2910" s="902"/>
      <c r="N2910" s="902"/>
      <c r="O2910" s="892">
        <f t="shared" si="180"/>
        <v>0</v>
      </c>
      <c r="P2910" s="903">
        <f t="shared" si="181"/>
        <v>1</v>
      </c>
      <c r="Q2910" s="893">
        <f t="shared" si="182"/>
        <v>2</v>
      </c>
      <c r="R2910" s="894">
        <f t="shared" si="183"/>
        <v>0</v>
      </c>
    </row>
    <row r="2911" spans="1:18">
      <c r="A2911" s="905"/>
      <c r="B2911" s="906"/>
      <c r="C2911" s="907">
        <v>740</v>
      </c>
      <c r="D2911" s="907" t="s">
        <v>12</v>
      </c>
      <c r="E2911" s="908" t="s">
        <v>4008</v>
      </c>
      <c r="F2911" s="909" t="s">
        <v>2674</v>
      </c>
      <c r="G2911" s="910"/>
      <c r="H2911" s="911">
        <v>0.79100000000000004</v>
      </c>
      <c r="I2911" s="912"/>
      <c r="J2911" s="912"/>
      <c r="K2911" s="912">
        <f>VLOOKUP(E2911,ĐMNC!$A$7:$F$67,4,0)</f>
        <v>252714</v>
      </c>
      <c r="L2911" s="912">
        <f>H2911*K2911</f>
        <v>199896.774</v>
      </c>
      <c r="M2911" s="912"/>
      <c r="N2911" s="912"/>
      <c r="O2911" s="892">
        <f t="shared" si="180"/>
        <v>0</v>
      </c>
      <c r="P2911" s="903">
        <f t="shared" si="181"/>
        <v>1</v>
      </c>
      <c r="Q2911" s="893">
        <f t="shared" si="182"/>
        <v>1</v>
      </c>
      <c r="R2911" s="894">
        <f t="shared" si="183"/>
        <v>0</v>
      </c>
    </row>
    <row r="2912" spans="1:18" s="847" customFormat="1" ht="31.5">
      <c r="A2912" s="905"/>
      <c r="B2912" s="914" t="s">
        <v>4915</v>
      </c>
      <c r="C2912" s="915"/>
      <c r="D2912" s="915"/>
      <c r="E2912" s="916" t="s">
        <v>4916</v>
      </c>
      <c r="F2912" s="917" t="s">
        <v>94</v>
      </c>
      <c r="G2912" s="918"/>
      <c r="H2912" s="919"/>
      <c r="I2912" s="920"/>
      <c r="J2912" s="891">
        <f>SUM(J2913:J2917)</f>
        <v>5720</v>
      </c>
      <c r="K2912" s="891"/>
      <c r="L2912" s="891">
        <f>SUM(L2913:L2917)</f>
        <v>229211.598</v>
      </c>
      <c r="M2912" s="891"/>
      <c r="N2912" s="891">
        <f>SUM(N2913:N2917)</f>
        <v>0</v>
      </c>
      <c r="O2912" s="892">
        <f t="shared" si="180"/>
        <v>1</v>
      </c>
      <c r="P2912" s="903">
        <f t="shared" si="181"/>
        <v>0</v>
      </c>
      <c r="Q2912" s="893">
        <f t="shared" si="182"/>
        <v>0</v>
      </c>
      <c r="R2912" s="894">
        <f t="shared" si="183"/>
        <v>5</v>
      </c>
    </row>
    <row r="2913" spans="1:18" s="904" customFormat="1">
      <c r="A2913" s="895"/>
      <c r="B2913" s="896"/>
      <c r="C2913" s="897"/>
      <c r="D2913" s="897"/>
      <c r="E2913" s="924" t="s">
        <v>108</v>
      </c>
      <c r="F2913" s="899"/>
      <c r="G2913" s="900"/>
      <c r="H2913" s="901"/>
      <c r="I2913" s="902"/>
      <c r="J2913" s="902"/>
      <c r="K2913" s="912" t="s">
        <v>274</v>
      </c>
      <c r="L2913" s="902"/>
      <c r="M2913" s="902"/>
      <c r="N2913" s="902"/>
      <c r="O2913" s="892">
        <f t="shared" si="180"/>
        <v>0</v>
      </c>
      <c r="P2913" s="903">
        <f t="shared" si="181"/>
        <v>1</v>
      </c>
      <c r="Q2913" s="893">
        <f t="shared" si="182"/>
        <v>5</v>
      </c>
      <c r="R2913" s="894">
        <f t="shared" si="183"/>
        <v>0</v>
      </c>
    </row>
    <row r="2914" spans="1:18">
      <c r="A2914" s="905"/>
      <c r="B2914" s="906"/>
      <c r="C2914" s="907">
        <v>66</v>
      </c>
      <c r="D2914" s="907" t="s">
        <v>279</v>
      </c>
      <c r="E2914" s="925" t="s">
        <v>2682</v>
      </c>
      <c r="F2914" s="926" t="s">
        <v>45</v>
      </c>
      <c r="G2914" s="910"/>
      <c r="H2914" s="911">
        <v>0.04</v>
      </c>
      <c r="I2914" s="912">
        <f>VLOOKUP(E2914,[3]VLP!$B$7:$K$300,10,0)</f>
        <v>5000</v>
      </c>
      <c r="J2914" s="912">
        <f>I2914*H2914</f>
        <v>200</v>
      </c>
      <c r="K2914" s="912" t="s">
        <v>274</v>
      </c>
      <c r="L2914" s="912"/>
      <c r="M2914" s="912"/>
      <c r="N2914" s="912"/>
      <c r="O2914" s="892">
        <f t="shared" si="180"/>
        <v>0</v>
      </c>
      <c r="P2914" s="903">
        <f t="shared" si="181"/>
        <v>1</v>
      </c>
      <c r="Q2914" s="893">
        <f t="shared" si="182"/>
        <v>4</v>
      </c>
      <c r="R2914" s="894">
        <f t="shared" si="183"/>
        <v>0</v>
      </c>
    </row>
    <row r="2915" spans="1:18">
      <c r="A2915" s="905"/>
      <c r="B2915" s="906"/>
      <c r="C2915" s="907">
        <v>44</v>
      </c>
      <c r="D2915" s="907" t="s">
        <v>279</v>
      </c>
      <c r="E2915" s="925" t="s">
        <v>2681</v>
      </c>
      <c r="F2915" s="926" t="s">
        <v>45</v>
      </c>
      <c r="G2915" s="910"/>
      <c r="H2915" s="911">
        <v>0.24</v>
      </c>
      <c r="I2915" s="912">
        <f>VLOOKUP(E2915,[3]VLP!$B$7:$K$300,10,0)</f>
        <v>23000</v>
      </c>
      <c r="J2915" s="912">
        <f>I2915*H2915</f>
        <v>5520</v>
      </c>
      <c r="K2915" s="912" t="s">
        <v>274</v>
      </c>
      <c r="L2915" s="912"/>
      <c r="M2915" s="912"/>
      <c r="N2915" s="912"/>
      <c r="O2915" s="892">
        <f t="shared" si="180"/>
        <v>0</v>
      </c>
      <c r="P2915" s="903">
        <f t="shared" si="181"/>
        <v>1</v>
      </c>
      <c r="Q2915" s="893">
        <f t="shared" si="182"/>
        <v>3</v>
      </c>
      <c r="R2915" s="894">
        <f t="shared" si="183"/>
        <v>0</v>
      </c>
    </row>
    <row r="2916" spans="1:18" s="904" customFormat="1">
      <c r="A2916" s="895"/>
      <c r="B2916" s="896"/>
      <c r="C2916" s="897"/>
      <c r="D2916" s="897"/>
      <c r="E2916" s="924" t="s">
        <v>276</v>
      </c>
      <c r="F2916" s="927"/>
      <c r="G2916" s="928"/>
      <c r="H2916" s="901"/>
      <c r="I2916" s="902"/>
      <c r="J2916" s="902"/>
      <c r="K2916" s="912" t="s">
        <v>274</v>
      </c>
      <c r="L2916" s="902"/>
      <c r="M2916" s="902"/>
      <c r="N2916" s="902"/>
      <c r="O2916" s="892">
        <f t="shared" si="180"/>
        <v>0</v>
      </c>
      <c r="P2916" s="903">
        <f t="shared" si="181"/>
        <v>1</v>
      </c>
      <c r="Q2916" s="893">
        <f t="shared" si="182"/>
        <v>2</v>
      </c>
      <c r="R2916" s="894">
        <f t="shared" si="183"/>
        <v>0</v>
      </c>
    </row>
    <row r="2917" spans="1:18">
      <c r="A2917" s="905"/>
      <c r="B2917" s="906"/>
      <c r="C2917" s="907">
        <v>740</v>
      </c>
      <c r="D2917" s="907" t="s">
        <v>12</v>
      </c>
      <c r="E2917" s="908" t="s">
        <v>4008</v>
      </c>
      <c r="F2917" s="909" t="s">
        <v>2674</v>
      </c>
      <c r="G2917" s="910"/>
      <c r="H2917" s="911">
        <v>0.90700000000000003</v>
      </c>
      <c r="I2917" s="912"/>
      <c r="J2917" s="912"/>
      <c r="K2917" s="912">
        <f>VLOOKUP(E2917,ĐMNC!$A$7:$F$67,4,0)</f>
        <v>252714</v>
      </c>
      <c r="L2917" s="912">
        <f>H2917*K2917</f>
        <v>229211.598</v>
      </c>
      <c r="M2917" s="912"/>
      <c r="N2917" s="912"/>
      <c r="O2917" s="892">
        <f t="shared" si="180"/>
        <v>0</v>
      </c>
      <c r="P2917" s="903">
        <f t="shared" si="181"/>
        <v>1</v>
      </c>
      <c r="Q2917" s="893">
        <f t="shared" si="182"/>
        <v>1</v>
      </c>
      <c r="R2917" s="894">
        <f t="shared" si="183"/>
        <v>0</v>
      </c>
    </row>
    <row r="2918" spans="1:18" s="847" customFormat="1" ht="31.5">
      <c r="A2918" s="905"/>
      <c r="B2918" s="914" t="s">
        <v>4917</v>
      </c>
      <c r="C2918" s="915"/>
      <c r="D2918" s="915"/>
      <c r="E2918" s="916" t="s">
        <v>4918</v>
      </c>
      <c r="F2918" s="917" t="s">
        <v>94</v>
      </c>
      <c r="G2918" s="918"/>
      <c r="H2918" s="919"/>
      <c r="I2918" s="920"/>
      <c r="J2918" s="891">
        <f>SUM(J2919:J2923)</f>
        <v>5720</v>
      </c>
      <c r="K2918" s="891"/>
      <c r="L2918" s="891">
        <f>SUM(L2919:L2923)</f>
        <v>367951.58399999997</v>
      </c>
      <c r="M2918" s="891"/>
      <c r="N2918" s="891">
        <f>SUM(N2919:N2923)</f>
        <v>0</v>
      </c>
      <c r="O2918" s="892">
        <f t="shared" si="180"/>
        <v>1</v>
      </c>
      <c r="P2918" s="903">
        <f t="shared" si="181"/>
        <v>0</v>
      </c>
      <c r="Q2918" s="893">
        <f t="shared" si="182"/>
        <v>0</v>
      </c>
      <c r="R2918" s="894">
        <f t="shared" si="183"/>
        <v>5</v>
      </c>
    </row>
    <row r="2919" spans="1:18" s="904" customFormat="1">
      <c r="A2919" s="895"/>
      <c r="B2919" s="896"/>
      <c r="C2919" s="897"/>
      <c r="D2919" s="897"/>
      <c r="E2919" s="924" t="s">
        <v>108</v>
      </c>
      <c r="F2919" s="899"/>
      <c r="G2919" s="900"/>
      <c r="H2919" s="901"/>
      <c r="I2919" s="902"/>
      <c r="J2919" s="902"/>
      <c r="K2919" s="912" t="s">
        <v>274</v>
      </c>
      <c r="L2919" s="902"/>
      <c r="M2919" s="902"/>
      <c r="N2919" s="902"/>
      <c r="O2919" s="892">
        <f t="shared" si="180"/>
        <v>0</v>
      </c>
      <c r="P2919" s="903">
        <f t="shared" si="181"/>
        <v>1</v>
      </c>
      <c r="Q2919" s="893">
        <f t="shared" si="182"/>
        <v>5</v>
      </c>
      <c r="R2919" s="894">
        <f t="shared" si="183"/>
        <v>0</v>
      </c>
    </row>
    <row r="2920" spans="1:18">
      <c r="A2920" s="905"/>
      <c r="B2920" s="906"/>
      <c r="C2920" s="907">
        <v>66</v>
      </c>
      <c r="D2920" s="907" t="s">
        <v>279</v>
      </c>
      <c r="E2920" s="925" t="s">
        <v>2682</v>
      </c>
      <c r="F2920" s="926" t="s">
        <v>45</v>
      </c>
      <c r="G2920" s="910"/>
      <c r="H2920" s="911">
        <v>0.04</v>
      </c>
      <c r="I2920" s="912">
        <f>VLOOKUP(E2920,[3]VLP!$B$7:$K$300,10,0)</f>
        <v>5000</v>
      </c>
      <c r="J2920" s="912">
        <f>I2920*H2920</f>
        <v>200</v>
      </c>
      <c r="K2920" s="912" t="s">
        <v>274</v>
      </c>
      <c r="L2920" s="912"/>
      <c r="M2920" s="912"/>
      <c r="N2920" s="912"/>
      <c r="O2920" s="892">
        <f t="shared" si="180"/>
        <v>0</v>
      </c>
      <c r="P2920" s="903">
        <f t="shared" si="181"/>
        <v>1</v>
      </c>
      <c r="Q2920" s="893">
        <f t="shared" si="182"/>
        <v>4</v>
      </c>
      <c r="R2920" s="894">
        <f t="shared" si="183"/>
        <v>0</v>
      </c>
    </row>
    <row r="2921" spans="1:18">
      <c r="A2921" s="905"/>
      <c r="B2921" s="906"/>
      <c r="C2921" s="907">
        <v>44</v>
      </c>
      <c r="D2921" s="907" t="s">
        <v>279</v>
      </c>
      <c r="E2921" s="925" t="s">
        <v>2681</v>
      </c>
      <c r="F2921" s="926" t="s">
        <v>45</v>
      </c>
      <c r="G2921" s="910"/>
      <c r="H2921" s="911">
        <v>0.24</v>
      </c>
      <c r="I2921" s="912">
        <f>VLOOKUP(E2921,[3]VLP!$B$7:$K$300,10,0)</f>
        <v>23000</v>
      </c>
      <c r="J2921" s="912">
        <f>I2921*H2921</f>
        <v>5520</v>
      </c>
      <c r="K2921" s="912" t="s">
        <v>274</v>
      </c>
      <c r="L2921" s="912"/>
      <c r="M2921" s="912"/>
      <c r="N2921" s="912"/>
      <c r="O2921" s="892">
        <f t="shared" si="180"/>
        <v>0</v>
      </c>
      <c r="P2921" s="903">
        <f t="shared" si="181"/>
        <v>1</v>
      </c>
      <c r="Q2921" s="893">
        <f t="shared" si="182"/>
        <v>3</v>
      </c>
      <c r="R2921" s="894">
        <f t="shared" si="183"/>
        <v>0</v>
      </c>
    </row>
    <row r="2922" spans="1:18" s="904" customFormat="1">
      <c r="A2922" s="895"/>
      <c r="B2922" s="896"/>
      <c r="C2922" s="897"/>
      <c r="D2922" s="897"/>
      <c r="E2922" s="924" t="s">
        <v>276</v>
      </c>
      <c r="F2922" s="927"/>
      <c r="G2922" s="928"/>
      <c r="H2922" s="901"/>
      <c r="I2922" s="902"/>
      <c r="J2922" s="902"/>
      <c r="K2922" s="912" t="s">
        <v>274</v>
      </c>
      <c r="L2922" s="902"/>
      <c r="M2922" s="902"/>
      <c r="N2922" s="902"/>
      <c r="O2922" s="892">
        <f t="shared" si="180"/>
        <v>0</v>
      </c>
      <c r="P2922" s="903">
        <f t="shared" si="181"/>
        <v>1</v>
      </c>
      <c r="Q2922" s="893">
        <f t="shared" si="182"/>
        <v>2</v>
      </c>
      <c r="R2922" s="894">
        <f t="shared" si="183"/>
        <v>0</v>
      </c>
    </row>
    <row r="2923" spans="1:18">
      <c r="A2923" s="905"/>
      <c r="B2923" s="906"/>
      <c r="C2923" s="907">
        <v>740</v>
      </c>
      <c r="D2923" s="907" t="s">
        <v>12</v>
      </c>
      <c r="E2923" s="908" t="s">
        <v>4008</v>
      </c>
      <c r="F2923" s="909" t="s">
        <v>2674</v>
      </c>
      <c r="G2923" s="910"/>
      <c r="H2923" s="911">
        <v>1.456</v>
      </c>
      <c r="I2923" s="912"/>
      <c r="J2923" s="912"/>
      <c r="K2923" s="912">
        <f>VLOOKUP(E2923,ĐMNC!$A$7:$F$67,4,0)</f>
        <v>252714</v>
      </c>
      <c r="L2923" s="912">
        <f>H2923*K2923</f>
        <v>367951.58399999997</v>
      </c>
      <c r="M2923" s="912"/>
      <c r="N2923" s="912"/>
      <c r="O2923" s="892">
        <f t="shared" si="180"/>
        <v>0</v>
      </c>
      <c r="P2923" s="903">
        <f t="shared" si="181"/>
        <v>1</v>
      </c>
      <c r="Q2923" s="893">
        <f t="shared" si="182"/>
        <v>1</v>
      </c>
      <c r="R2923" s="894">
        <f t="shared" si="183"/>
        <v>0</v>
      </c>
    </row>
    <row r="2924" spans="1:18" s="847" customFormat="1" ht="31.5">
      <c r="A2924" s="905"/>
      <c r="B2924" s="914" t="s">
        <v>4919</v>
      </c>
      <c r="C2924" s="915"/>
      <c r="D2924" s="915"/>
      <c r="E2924" s="916" t="s">
        <v>4920</v>
      </c>
      <c r="F2924" s="917" t="s">
        <v>94</v>
      </c>
      <c r="G2924" s="918"/>
      <c r="H2924" s="919"/>
      <c r="I2924" s="920"/>
      <c r="J2924" s="891">
        <f>SUM(J2925:J2929)</f>
        <v>5720</v>
      </c>
      <c r="K2924" s="891"/>
      <c r="L2924" s="891">
        <f>SUM(L2925:L2929)</f>
        <v>404847.82800000004</v>
      </c>
      <c r="M2924" s="891"/>
      <c r="N2924" s="891">
        <f>SUM(N2925:N2929)</f>
        <v>0</v>
      </c>
      <c r="O2924" s="892">
        <f t="shared" si="180"/>
        <v>1</v>
      </c>
      <c r="P2924" s="903">
        <f t="shared" si="181"/>
        <v>0</v>
      </c>
      <c r="Q2924" s="893">
        <f t="shared" si="182"/>
        <v>0</v>
      </c>
      <c r="R2924" s="894">
        <f t="shared" si="183"/>
        <v>5</v>
      </c>
    </row>
    <row r="2925" spans="1:18" s="904" customFormat="1">
      <c r="A2925" s="895"/>
      <c r="B2925" s="896"/>
      <c r="C2925" s="897"/>
      <c r="D2925" s="897"/>
      <c r="E2925" s="924" t="s">
        <v>108</v>
      </c>
      <c r="F2925" s="899"/>
      <c r="G2925" s="900"/>
      <c r="H2925" s="901"/>
      <c r="I2925" s="902"/>
      <c r="J2925" s="902"/>
      <c r="K2925" s="912" t="s">
        <v>274</v>
      </c>
      <c r="L2925" s="902"/>
      <c r="M2925" s="902"/>
      <c r="N2925" s="902"/>
      <c r="O2925" s="892">
        <f t="shared" si="180"/>
        <v>0</v>
      </c>
      <c r="P2925" s="903">
        <f t="shared" si="181"/>
        <v>1</v>
      </c>
      <c r="Q2925" s="893">
        <f t="shared" si="182"/>
        <v>5</v>
      </c>
      <c r="R2925" s="894">
        <f t="shared" si="183"/>
        <v>0</v>
      </c>
    </row>
    <row r="2926" spans="1:18">
      <c r="A2926" s="905"/>
      <c r="B2926" s="906"/>
      <c r="C2926" s="907">
        <v>66</v>
      </c>
      <c r="D2926" s="907" t="s">
        <v>279</v>
      </c>
      <c r="E2926" s="925" t="s">
        <v>2682</v>
      </c>
      <c r="F2926" s="926" t="s">
        <v>45</v>
      </c>
      <c r="G2926" s="910"/>
      <c r="H2926" s="911">
        <v>0.04</v>
      </c>
      <c r="I2926" s="912">
        <f>VLOOKUP(E2926,[3]VLP!$B$7:$K$300,10,0)</f>
        <v>5000</v>
      </c>
      <c r="J2926" s="912">
        <f>I2926*H2926</f>
        <v>200</v>
      </c>
      <c r="K2926" s="912" t="s">
        <v>274</v>
      </c>
      <c r="L2926" s="912"/>
      <c r="M2926" s="912"/>
      <c r="N2926" s="912"/>
      <c r="O2926" s="892">
        <f t="shared" si="180"/>
        <v>0</v>
      </c>
      <c r="P2926" s="903">
        <f t="shared" si="181"/>
        <v>1</v>
      </c>
      <c r="Q2926" s="893">
        <f t="shared" si="182"/>
        <v>4</v>
      </c>
      <c r="R2926" s="894">
        <f t="shared" si="183"/>
        <v>0</v>
      </c>
    </row>
    <row r="2927" spans="1:18">
      <c r="A2927" s="905"/>
      <c r="B2927" s="906"/>
      <c r="C2927" s="907">
        <v>44</v>
      </c>
      <c r="D2927" s="907" t="s">
        <v>279</v>
      </c>
      <c r="E2927" s="925" t="s">
        <v>2681</v>
      </c>
      <c r="F2927" s="926" t="s">
        <v>45</v>
      </c>
      <c r="G2927" s="910"/>
      <c r="H2927" s="911">
        <v>0.24</v>
      </c>
      <c r="I2927" s="912">
        <f>VLOOKUP(E2927,[3]VLP!$B$7:$K$300,10,0)</f>
        <v>23000</v>
      </c>
      <c r="J2927" s="912">
        <f>I2927*H2927</f>
        <v>5520</v>
      </c>
      <c r="K2927" s="912" t="s">
        <v>274</v>
      </c>
      <c r="L2927" s="912"/>
      <c r="M2927" s="912"/>
      <c r="N2927" s="912"/>
      <c r="O2927" s="892">
        <f t="shared" si="180"/>
        <v>0</v>
      </c>
      <c r="P2927" s="903">
        <f t="shared" si="181"/>
        <v>1</v>
      </c>
      <c r="Q2927" s="893">
        <f t="shared" si="182"/>
        <v>3</v>
      </c>
      <c r="R2927" s="894">
        <f t="shared" si="183"/>
        <v>0</v>
      </c>
    </row>
    <row r="2928" spans="1:18" s="904" customFormat="1">
      <c r="A2928" s="895"/>
      <c r="B2928" s="896"/>
      <c r="C2928" s="897"/>
      <c r="D2928" s="897"/>
      <c r="E2928" s="924" t="s">
        <v>276</v>
      </c>
      <c r="F2928" s="927"/>
      <c r="G2928" s="928"/>
      <c r="H2928" s="901"/>
      <c r="I2928" s="902"/>
      <c r="J2928" s="902"/>
      <c r="K2928" s="912" t="s">
        <v>274</v>
      </c>
      <c r="L2928" s="902"/>
      <c r="M2928" s="902"/>
      <c r="N2928" s="902"/>
      <c r="O2928" s="892">
        <f t="shared" si="180"/>
        <v>0</v>
      </c>
      <c r="P2928" s="903">
        <f t="shared" si="181"/>
        <v>1</v>
      </c>
      <c r="Q2928" s="893">
        <f t="shared" si="182"/>
        <v>2</v>
      </c>
      <c r="R2928" s="894">
        <f t="shared" si="183"/>
        <v>0</v>
      </c>
    </row>
    <row r="2929" spans="1:18">
      <c r="A2929" s="905"/>
      <c r="B2929" s="906"/>
      <c r="C2929" s="907">
        <v>740</v>
      </c>
      <c r="D2929" s="907" t="s">
        <v>12</v>
      </c>
      <c r="E2929" s="908" t="s">
        <v>4008</v>
      </c>
      <c r="F2929" s="909" t="s">
        <v>2674</v>
      </c>
      <c r="G2929" s="910"/>
      <c r="H2929" s="911">
        <v>1.6020000000000001</v>
      </c>
      <c r="I2929" s="912"/>
      <c r="J2929" s="912"/>
      <c r="K2929" s="912">
        <f>VLOOKUP(E2929,ĐMNC!$A$7:$F$67,4,0)</f>
        <v>252714</v>
      </c>
      <c r="L2929" s="912">
        <f>H2929*K2929</f>
        <v>404847.82800000004</v>
      </c>
      <c r="M2929" s="912"/>
      <c r="N2929" s="912"/>
      <c r="O2929" s="892">
        <f t="shared" si="180"/>
        <v>0</v>
      </c>
      <c r="P2929" s="903">
        <f t="shared" si="181"/>
        <v>1</v>
      </c>
      <c r="Q2929" s="893">
        <f t="shared" si="182"/>
        <v>1</v>
      </c>
      <c r="R2929" s="894">
        <f t="shared" si="183"/>
        <v>0</v>
      </c>
    </row>
    <row r="2930" spans="1:18" s="847" customFormat="1" ht="31.5">
      <c r="A2930" s="905"/>
      <c r="B2930" s="914" t="s">
        <v>4921</v>
      </c>
      <c r="C2930" s="915"/>
      <c r="D2930" s="915"/>
      <c r="E2930" s="916" t="s">
        <v>4922</v>
      </c>
      <c r="F2930" s="917" t="s">
        <v>94</v>
      </c>
      <c r="G2930" s="918"/>
      <c r="H2930" s="919"/>
      <c r="I2930" s="920"/>
      <c r="J2930" s="891">
        <f>SUM(J2931:J2935)</f>
        <v>5720</v>
      </c>
      <c r="K2930" s="891"/>
      <c r="L2930" s="891">
        <f>SUM(L2931:L2935)</f>
        <v>445282.06800000003</v>
      </c>
      <c r="M2930" s="891"/>
      <c r="N2930" s="891">
        <f>SUM(N2931:N2935)</f>
        <v>0</v>
      </c>
      <c r="O2930" s="892">
        <f t="shared" si="180"/>
        <v>1</v>
      </c>
      <c r="P2930" s="903">
        <f t="shared" si="181"/>
        <v>0</v>
      </c>
      <c r="Q2930" s="893">
        <f t="shared" si="182"/>
        <v>0</v>
      </c>
      <c r="R2930" s="894">
        <f t="shared" si="183"/>
        <v>5</v>
      </c>
    </row>
    <row r="2931" spans="1:18" s="904" customFormat="1">
      <c r="A2931" s="895"/>
      <c r="B2931" s="896"/>
      <c r="C2931" s="897"/>
      <c r="D2931" s="897"/>
      <c r="E2931" s="924" t="s">
        <v>108</v>
      </c>
      <c r="F2931" s="899"/>
      <c r="G2931" s="900"/>
      <c r="H2931" s="901"/>
      <c r="I2931" s="902"/>
      <c r="J2931" s="902"/>
      <c r="K2931" s="912" t="s">
        <v>274</v>
      </c>
      <c r="L2931" s="902"/>
      <c r="M2931" s="902"/>
      <c r="N2931" s="902"/>
      <c r="O2931" s="892">
        <f t="shared" si="180"/>
        <v>0</v>
      </c>
      <c r="P2931" s="903">
        <f t="shared" si="181"/>
        <v>1</v>
      </c>
      <c r="Q2931" s="893">
        <f t="shared" si="182"/>
        <v>5</v>
      </c>
      <c r="R2931" s="894">
        <f t="shared" si="183"/>
        <v>0</v>
      </c>
    </row>
    <row r="2932" spans="1:18">
      <c r="A2932" s="905"/>
      <c r="B2932" s="906"/>
      <c r="C2932" s="907">
        <v>66</v>
      </c>
      <c r="D2932" s="907" t="s">
        <v>279</v>
      </c>
      <c r="E2932" s="925" t="s">
        <v>2682</v>
      </c>
      <c r="F2932" s="926" t="s">
        <v>45</v>
      </c>
      <c r="G2932" s="910"/>
      <c r="H2932" s="911">
        <v>0.04</v>
      </c>
      <c r="I2932" s="912">
        <f>VLOOKUP(E2932,[3]VLP!$B$7:$K$300,10,0)</f>
        <v>5000</v>
      </c>
      <c r="J2932" s="912">
        <f>I2932*H2932</f>
        <v>200</v>
      </c>
      <c r="K2932" s="912" t="s">
        <v>274</v>
      </c>
      <c r="L2932" s="912"/>
      <c r="M2932" s="912"/>
      <c r="N2932" s="912"/>
      <c r="O2932" s="892">
        <f t="shared" si="180"/>
        <v>0</v>
      </c>
      <c r="P2932" s="903">
        <f t="shared" si="181"/>
        <v>1</v>
      </c>
      <c r="Q2932" s="893">
        <f t="shared" si="182"/>
        <v>4</v>
      </c>
      <c r="R2932" s="894">
        <f t="shared" si="183"/>
        <v>0</v>
      </c>
    </row>
    <row r="2933" spans="1:18">
      <c r="A2933" s="905"/>
      <c r="B2933" s="906"/>
      <c r="C2933" s="907">
        <v>44</v>
      </c>
      <c r="D2933" s="907" t="s">
        <v>279</v>
      </c>
      <c r="E2933" s="925" t="s">
        <v>2681</v>
      </c>
      <c r="F2933" s="926" t="s">
        <v>45</v>
      </c>
      <c r="G2933" s="910"/>
      <c r="H2933" s="911">
        <v>0.24</v>
      </c>
      <c r="I2933" s="912">
        <f>VLOOKUP(E2933,[3]VLP!$B$7:$K$300,10,0)</f>
        <v>23000</v>
      </c>
      <c r="J2933" s="912">
        <f>I2933*H2933</f>
        <v>5520</v>
      </c>
      <c r="K2933" s="912" t="s">
        <v>274</v>
      </c>
      <c r="L2933" s="912"/>
      <c r="M2933" s="912"/>
      <c r="N2933" s="912"/>
      <c r="O2933" s="892">
        <f t="shared" si="180"/>
        <v>0</v>
      </c>
      <c r="P2933" s="903">
        <f t="shared" si="181"/>
        <v>1</v>
      </c>
      <c r="Q2933" s="893">
        <f t="shared" si="182"/>
        <v>3</v>
      </c>
      <c r="R2933" s="894">
        <f t="shared" si="183"/>
        <v>0</v>
      </c>
    </row>
    <row r="2934" spans="1:18" s="904" customFormat="1">
      <c r="A2934" s="895"/>
      <c r="B2934" s="896"/>
      <c r="C2934" s="897"/>
      <c r="D2934" s="897"/>
      <c r="E2934" s="924" t="s">
        <v>276</v>
      </c>
      <c r="F2934" s="927"/>
      <c r="G2934" s="928"/>
      <c r="H2934" s="901"/>
      <c r="I2934" s="902"/>
      <c r="J2934" s="902"/>
      <c r="K2934" s="912" t="s">
        <v>274</v>
      </c>
      <c r="L2934" s="902"/>
      <c r="M2934" s="902"/>
      <c r="N2934" s="902"/>
      <c r="O2934" s="892">
        <f t="shared" si="180"/>
        <v>0</v>
      </c>
      <c r="P2934" s="903">
        <f t="shared" si="181"/>
        <v>1</v>
      </c>
      <c r="Q2934" s="893">
        <f t="shared" si="182"/>
        <v>2</v>
      </c>
      <c r="R2934" s="894">
        <f t="shared" si="183"/>
        <v>0</v>
      </c>
    </row>
    <row r="2935" spans="1:18">
      <c r="A2935" s="905"/>
      <c r="B2935" s="906"/>
      <c r="C2935" s="907">
        <v>740</v>
      </c>
      <c r="D2935" s="907" t="s">
        <v>12</v>
      </c>
      <c r="E2935" s="908" t="s">
        <v>4008</v>
      </c>
      <c r="F2935" s="909" t="s">
        <v>2674</v>
      </c>
      <c r="G2935" s="910"/>
      <c r="H2935" s="911">
        <v>1.762</v>
      </c>
      <c r="I2935" s="912"/>
      <c r="J2935" s="912"/>
      <c r="K2935" s="912">
        <f>VLOOKUP(E2935,ĐMNC!$A$7:$F$67,4,0)</f>
        <v>252714</v>
      </c>
      <c r="L2935" s="912">
        <f>H2935*K2935</f>
        <v>445282.06800000003</v>
      </c>
      <c r="M2935" s="912"/>
      <c r="N2935" s="912"/>
      <c r="O2935" s="892">
        <f t="shared" si="180"/>
        <v>0</v>
      </c>
      <c r="P2935" s="903">
        <f t="shared" si="181"/>
        <v>1</v>
      </c>
      <c r="Q2935" s="893">
        <f t="shared" si="182"/>
        <v>1</v>
      </c>
      <c r="R2935" s="894">
        <f t="shared" si="183"/>
        <v>0</v>
      </c>
    </row>
    <row r="2936" spans="1:18" s="847" customFormat="1" ht="31.5">
      <c r="A2936" s="905"/>
      <c r="B2936" s="914" t="s">
        <v>4923</v>
      </c>
      <c r="C2936" s="915"/>
      <c r="D2936" s="915"/>
      <c r="E2936" s="916" t="s">
        <v>4924</v>
      </c>
      <c r="F2936" s="917" t="s">
        <v>94</v>
      </c>
      <c r="G2936" s="918"/>
      <c r="H2936" s="919"/>
      <c r="I2936" s="920"/>
      <c r="J2936" s="891">
        <f>SUM(J2937:J2941)</f>
        <v>10240</v>
      </c>
      <c r="K2936" s="891"/>
      <c r="L2936" s="891">
        <f>SUM(L2937:L2941)</f>
        <v>330297.19799999997</v>
      </c>
      <c r="M2936" s="891"/>
      <c r="N2936" s="891">
        <f>SUM(N2937:N2941)</f>
        <v>0</v>
      </c>
      <c r="O2936" s="892">
        <f t="shared" si="180"/>
        <v>1</v>
      </c>
      <c r="P2936" s="903">
        <f t="shared" si="181"/>
        <v>0</v>
      </c>
      <c r="Q2936" s="893">
        <f t="shared" si="182"/>
        <v>0</v>
      </c>
      <c r="R2936" s="894">
        <f t="shared" si="183"/>
        <v>5</v>
      </c>
    </row>
    <row r="2937" spans="1:18" s="904" customFormat="1">
      <c r="A2937" s="895"/>
      <c r="B2937" s="896"/>
      <c r="C2937" s="897"/>
      <c r="D2937" s="897"/>
      <c r="E2937" s="924" t="s">
        <v>108</v>
      </c>
      <c r="F2937" s="899"/>
      <c r="G2937" s="900"/>
      <c r="H2937" s="901"/>
      <c r="I2937" s="902"/>
      <c r="J2937" s="902"/>
      <c r="K2937" s="912" t="s">
        <v>274</v>
      </c>
      <c r="L2937" s="902"/>
      <c r="M2937" s="902"/>
      <c r="N2937" s="902"/>
      <c r="O2937" s="892">
        <f t="shared" si="180"/>
        <v>0</v>
      </c>
      <c r="P2937" s="903">
        <f t="shared" si="181"/>
        <v>1</v>
      </c>
      <c r="Q2937" s="893">
        <f t="shared" si="182"/>
        <v>5</v>
      </c>
      <c r="R2937" s="894">
        <f t="shared" si="183"/>
        <v>0</v>
      </c>
    </row>
    <row r="2938" spans="1:18">
      <c r="A2938" s="905"/>
      <c r="B2938" s="906"/>
      <c r="C2938" s="907">
        <v>66</v>
      </c>
      <c r="D2938" s="907" t="s">
        <v>279</v>
      </c>
      <c r="E2938" s="925" t="s">
        <v>2682</v>
      </c>
      <c r="F2938" s="926" t="s">
        <v>45</v>
      </c>
      <c r="G2938" s="910"/>
      <c r="H2938" s="911">
        <v>7.0000000000000007E-2</v>
      </c>
      <c r="I2938" s="912">
        <f>VLOOKUP(E2938,[3]VLP!$B$7:$K$300,10,0)</f>
        <v>5000</v>
      </c>
      <c r="J2938" s="912">
        <f>I2938*H2938</f>
        <v>350.00000000000006</v>
      </c>
      <c r="K2938" s="912" t="s">
        <v>274</v>
      </c>
      <c r="L2938" s="912"/>
      <c r="M2938" s="912"/>
      <c r="N2938" s="912"/>
      <c r="O2938" s="892">
        <f t="shared" si="180"/>
        <v>0</v>
      </c>
      <c r="P2938" s="903">
        <f t="shared" si="181"/>
        <v>1</v>
      </c>
      <c r="Q2938" s="893">
        <f t="shared" si="182"/>
        <v>4</v>
      </c>
      <c r="R2938" s="894">
        <f t="shared" si="183"/>
        <v>0</v>
      </c>
    </row>
    <row r="2939" spans="1:18">
      <c r="A2939" s="905"/>
      <c r="B2939" s="906"/>
      <c r="C2939" s="907">
        <v>44</v>
      </c>
      <c r="D2939" s="907" t="s">
        <v>279</v>
      </c>
      <c r="E2939" s="925" t="s">
        <v>2681</v>
      </c>
      <c r="F2939" s="926" t="s">
        <v>45</v>
      </c>
      <c r="G2939" s="910"/>
      <c r="H2939" s="911">
        <v>0.43</v>
      </c>
      <c r="I2939" s="912">
        <f>VLOOKUP(E2939,[3]VLP!$B$7:$K$300,10,0)</f>
        <v>23000</v>
      </c>
      <c r="J2939" s="912">
        <f>I2939*H2939</f>
        <v>9890</v>
      </c>
      <c r="K2939" s="912" t="s">
        <v>274</v>
      </c>
      <c r="L2939" s="912"/>
      <c r="M2939" s="912"/>
      <c r="N2939" s="912"/>
      <c r="O2939" s="892">
        <f t="shared" si="180"/>
        <v>0</v>
      </c>
      <c r="P2939" s="903">
        <f t="shared" si="181"/>
        <v>1</v>
      </c>
      <c r="Q2939" s="893">
        <f t="shared" si="182"/>
        <v>3</v>
      </c>
      <c r="R2939" s="894">
        <f t="shared" si="183"/>
        <v>0</v>
      </c>
    </row>
    <row r="2940" spans="1:18" s="904" customFormat="1">
      <c r="A2940" s="895"/>
      <c r="B2940" s="896"/>
      <c r="C2940" s="897"/>
      <c r="D2940" s="897"/>
      <c r="E2940" s="924" t="s">
        <v>276</v>
      </c>
      <c r="F2940" s="927"/>
      <c r="G2940" s="928"/>
      <c r="H2940" s="901"/>
      <c r="I2940" s="902"/>
      <c r="J2940" s="902"/>
      <c r="K2940" s="912" t="s">
        <v>274</v>
      </c>
      <c r="L2940" s="902"/>
      <c r="M2940" s="902"/>
      <c r="N2940" s="902"/>
      <c r="O2940" s="892">
        <f t="shared" si="180"/>
        <v>0</v>
      </c>
      <c r="P2940" s="903">
        <f t="shared" si="181"/>
        <v>1</v>
      </c>
      <c r="Q2940" s="893">
        <f t="shared" si="182"/>
        <v>2</v>
      </c>
      <c r="R2940" s="894">
        <f t="shared" si="183"/>
        <v>0</v>
      </c>
    </row>
    <row r="2941" spans="1:18">
      <c r="A2941" s="905"/>
      <c r="B2941" s="906"/>
      <c r="C2941" s="907">
        <v>740</v>
      </c>
      <c r="D2941" s="907" t="s">
        <v>12</v>
      </c>
      <c r="E2941" s="908" t="s">
        <v>4008</v>
      </c>
      <c r="F2941" s="909" t="s">
        <v>2674</v>
      </c>
      <c r="G2941" s="910"/>
      <c r="H2941" s="911">
        <v>1.3069999999999999</v>
      </c>
      <c r="I2941" s="912"/>
      <c r="J2941" s="912"/>
      <c r="K2941" s="912">
        <f>VLOOKUP(E2941,ĐMNC!$A$7:$F$67,4,0)</f>
        <v>252714</v>
      </c>
      <c r="L2941" s="912">
        <f>H2941*K2941</f>
        <v>330297.19799999997</v>
      </c>
      <c r="M2941" s="912"/>
      <c r="N2941" s="912"/>
      <c r="O2941" s="892">
        <f t="shared" si="180"/>
        <v>0</v>
      </c>
      <c r="P2941" s="903">
        <f t="shared" si="181"/>
        <v>1</v>
      </c>
      <c r="Q2941" s="893">
        <f t="shared" si="182"/>
        <v>1</v>
      </c>
      <c r="R2941" s="894">
        <f t="shared" si="183"/>
        <v>0</v>
      </c>
    </row>
    <row r="2942" spans="1:18" s="847" customFormat="1" ht="31.5">
      <c r="A2942" s="905"/>
      <c r="B2942" s="914" t="s">
        <v>4925</v>
      </c>
      <c r="C2942" s="915"/>
      <c r="D2942" s="915"/>
      <c r="E2942" s="916" t="s">
        <v>4926</v>
      </c>
      <c r="F2942" s="917" t="s">
        <v>94</v>
      </c>
      <c r="G2942" s="918"/>
      <c r="H2942" s="919"/>
      <c r="I2942" s="920"/>
      <c r="J2942" s="891">
        <f>SUM(J2943:J2947)</f>
        <v>10240</v>
      </c>
      <c r="K2942" s="891"/>
      <c r="L2942" s="891">
        <f>SUM(L2943:L2947)</f>
        <v>359864.73599999998</v>
      </c>
      <c r="M2942" s="891"/>
      <c r="N2942" s="891">
        <f>SUM(N2943:N2947)</f>
        <v>0</v>
      </c>
      <c r="O2942" s="892">
        <f t="shared" si="180"/>
        <v>1</v>
      </c>
      <c r="P2942" s="903">
        <f t="shared" si="181"/>
        <v>0</v>
      </c>
      <c r="Q2942" s="893">
        <f t="shared" si="182"/>
        <v>0</v>
      </c>
      <c r="R2942" s="894">
        <f t="shared" si="183"/>
        <v>5</v>
      </c>
    </row>
    <row r="2943" spans="1:18" s="904" customFormat="1">
      <c r="A2943" s="895"/>
      <c r="B2943" s="896"/>
      <c r="C2943" s="897"/>
      <c r="D2943" s="897"/>
      <c r="E2943" s="924" t="s">
        <v>108</v>
      </c>
      <c r="F2943" s="899"/>
      <c r="G2943" s="900"/>
      <c r="H2943" s="901"/>
      <c r="I2943" s="902"/>
      <c r="J2943" s="902"/>
      <c r="K2943" s="912" t="s">
        <v>274</v>
      </c>
      <c r="L2943" s="902"/>
      <c r="M2943" s="902"/>
      <c r="N2943" s="902"/>
      <c r="O2943" s="892">
        <f t="shared" si="180"/>
        <v>0</v>
      </c>
      <c r="P2943" s="903">
        <f t="shared" si="181"/>
        <v>1</v>
      </c>
      <c r="Q2943" s="893">
        <f t="shared" si="182"/>
        <v>5</v>
      </c>
      <c r="R2943" s="894">
        <f t="shared" si="183"/>
        <v>0</v>
      </c>
    </row>
    <row r="2944" spans="1:18">
      <c r="A2944" s="905"/>
      <c r="B2944" s="906"/>
      <c r="C2944" s="907">
        <v>66</v>
      </c>
      <c r="D2944" s="907" t="s">
        <v>279</v>
      </c>
      <c r="E2944" s="925" t="s">
        <v>2682</v>
      </c>
      <c r="F2944" s="926" t="s">
        <v>45</v>
      </c>
      <c r="G2944" s="910"/>
      <c r="H2944" s="911">
        <v>7.0000000000000007E-2</v>
      </c>
      <c r="I2944" s="912">
        <f>VLOOKUP(E2944,[3]VLP!$B$7:$K$300,10,0)</f>
        <v>5000</v>
      </c>
      <c r="J2944" s="912">
        <f>I2944*H2944</f>
        <v>350.00000000000006</v>
      </c>
      <c r="K2944" s="912" t="s">
        <v>274</v>
      </c>
      <c r="L2944" s="912"/>
      <c r="M2944" s="912"/>
      <c r="N2944" s="912"/>
      <c r="O2944" s="892">
        <f t="shared" si="180"/>
        <v>0</v>
      </c>
      <c r="P2944" s="903">
        <f t="shared" si="181"/>
        <v>1</v>
      </c>
      <c r="Q2944" s="893">
        <f t="shared" si="182"/>
        <v>4</v>
      </c>
      <c r="R2944" s="894">
        <f t="shared" si="183"/>
        <v>0</v>
      </c>
    </row>
    <row r="2945" spans="1:18">
      <c r="A2945" s="905"/>
      <c r="B2945" s="906"/>
      <c r="C2945" s="907">
        <v>44</v>
      </c>
      <c r="D2945" s="907" t="s">
        <v>279</v>
      </c>
      <c r="E2945" s="925" t="s">
        <v>2681</v>
      </c>
      <c r="F2945" s="926" t="s">
        <v>45</v>
      </c>
      <c r="G2945" s="910"/>
      <c r="H2945" s="911">
        <v>0.43</v>
      </c>
      <c r="I2945" s="912">
        <f>VLOOKUP(E2945,[3]VLP!$B$7:$K$300,10,0)</f>
        <v>23000</v>
      </c>
      <c r="J2945" s="912">
        <f>I2945*H2945</f>
        <v>9890</v>
      </c>
      <c r="K2945" s="912" t="s">
        <v>274</v>
      </c>
      <c r="L2945" s="912"/>
      <c r="M2945" s="912"/>
      <c r="N2945" s="912"/>
      <c r="O2945" s="892">
        <f t="shared" si="180"/>
        <v>0</v>
      </c>
      <c r="P2945" s="903">
        <f t="shared" si="181"/>
        <v>1</v>
      </c>
      <c r="Q2945" s="893">
        <f t="shared" si="182"/>
        <v>3</v>
      </c>
      <c r="R2945" s="894">
        <f t="shared" si="183"/>
        <v>0</v>
      </c>
    </row>
    <row r="2946" spans="1:18" s="904" customFormat="1">
      <c r="A2946" s="895"/>
      <c r="B2946" s="896"/>
      <c r="C2946" s="897"/>
      <c r="D2946" s="897"/>
      <c r="E2946" s="924" t="s">
        <v>276</v>
      </c>
      <c r="F2946" s="927"/>
      <c r="G2946" s="928"/>
      <c r="H2946" s="901"/>
      <c r="I2946" s="902"/>
      <c r="J2946" s="902"/>
      <c r="K2946" s="912" t="s">
        <v>274</v>
      </c>
      <c r="L2946" s="902"/>
      <c r="M2946" s="902"/>
      <c r="N2946" s="902"/>
      <c r="O2946" s="892">
        <f t="shared" si="180"/>
        <v>0</v>
      </c>
      <c r="P2946" s="903">
        <f t="shared" si="181"/>
        <v>1</v>
      </c>
      <c r="Q2946" s="893">
        <f t="shared" si="182"/>
        <v>2</v>
      </c>
      <c r="R2946" s="894">
        <f t="shared" si="183"/>
        <v>0</v>
      </c>
    </row>
    <row r="2947" spans="1:18">
      <c r="A2947" s="905"/>
      <c r="B2947" s="906"/>
      <c r="C2947" s="907">
        <v>740</v>
      </c>
      <c r="D2947" s="907" t="s">
        <v>12</v>
      </c>
      <c r="E2947" s="908" t="s">
        <v>4008</v>
      </c>
      <c r="F2947" s="909" t="s">
        <v>2674</v>
      </c>
      <c r="G2947" s="910"/>
      <c r="H2947" s="911">
        <v>1.4239999999999999</v>
      </c>
      <c r="I2947" s="912"/>
      <c r="J2947" s="912"/>
      <c r="K2947" s="912">
        <f>VLOOKUP(E2947,ĐMNC!$A$7:$F$67,4,0)</f>
        <v>252714</v>
      </c>
      <c r="L2947" s="912">
        <f>H2947*K2947</f>
        <v>359864.73599999998</v>
      </c>
      <c r="M2947" s="912"/>
      <c r="N2947" s="912"/>
      <c r="O2947" s="892">
        <f t="shared" si="180"/>
        <v>0</v>
      </c>
      <c r="P2947" s="903">
        <f t="shared" si="181"/>
        <v>1</v>
      </c>
      <c r="Q2947" s="893">
        <f t="shared" si="182"/>
        <v>1</v>
      </c>
      <c r="R2947" s="894">
        <f t="shared" si="183"/>
        <v>0</v>
      </c>
    </row>
    <row r="2948" spans="1:18" s="847" customFormat="1" ht="31.5">
      <c r="A2948" s="905"/>
      <c r="B2948" s="914" t="s">
        <v>4927</v>
      </c>
      <c r="C2948" s="915"/>
      <c r="D2948" s="915"/>
      <c r="E2948" s="916" t="s">
        <v>4928</v>
      </c>
      <c r="F2948" s="917" t="s">
        <v>94</v>
      </c>
      <c r="G2948" s="918"/>
      <c r="H2948" s="919"/>
      <c r="I2948" s="920"/>
      <c r="J2948" s="891">
        <f>SUM(J2949:J2953)</f>
        <v>10240</v>
      </c>
      <c r="K2948" s="891"/>
      <c r="L2948" s="891">
        <f>SUM(L2949:L2953)</f>
        <v>412681.962</v>
      </c>
      <c r="M2948" s="891"/>
      <c r="N2948" s="891">
        <f>SUM(N2949:N2953)</f>
        <v>0</v>
      </c>
      <c r="O2948" s="892">
        <f t="shared" si="180"/>
        <v>1</v>
      </c>
      <c r="P2948" s="903">
        <f t="shared" si="181"/>
        <v>0</v>
      </c>
      <c r="Q2948" s="893">
        <f t="shared" si="182"/>
        <v>0</v>
      </c>
      <c r="R2948" s="894">
        <f t="shared" si="183"/>
        <v>5</v>
      </c>
    </row>
    <row r="2949" spans="1:18" s="904" customFormat="1">
      <c r="A2949" s="895"/>
      <c r="B2949" s="896"/>
      <c r="C2949" s="897"/>
      <c r="D2949" s="897"/>
      <c r="E2949" s="924" t="s">
        <v>108</v>
      </c>
      <c r="F2949" s="899"/>
      <c r="G2949" s="900"/>
      <c r="H2949" s="901"/>
      <c r="I2949" s="902"/>
      <c r="J2949" s="902"/>
      <c r="K2949" s="912" t="s">
        <v>274</v>
      </c>
      <c r="L2949" s="902"/>
      <c r="M2949" s="902"/>
      <c r="N2949" s="902"/>
      <c r="O2949" s="892">
        <f t="shared" si="180"/>
        <v>0</v>
      </c>
      <c r="P2949" s="903">
        <f t="shared" si="181"/>
        <v>1</v>
      </c>
      <c r="Q2949" s="893">
        <f t="shared" si="182"/>
        <v>5</v>
      </c>
      <c r="R2949" s="894">
        <f t="shared" si="183"/>
        <v>0</v>
      </c>
    </row>
    <row r="2950" spans="1:18">
      <c r="A2950" s="905"/>
      <c r="B2950" s="906"/>
      <c r="C2950" s="907">
        <v>66</v>
      </c>
      <c r="D2950" s="907" t="s">
        <v>279</v>
      </c>
      <c r="E2950" s="925" t="s">
        <v>2682</v>
      </c>
      <c r="F2950" s="926" t="s">
        <v>45</v>
      </c>
      <c r="G2950" s="910"/>
      <c r="H2950" s="911">
        <v>7.0000000000000007E-2</v>
      </c>
      <c r="I2950" s="912">
        <f>VLOOKUP(E2950,[3]VLP!$B$7:$K$300,10,0)</f>
        <v>5000</v>
      </c>
      <c r="J2950" s="912">
        <f>I2950*H2950</f>
        <v>350.00000000000006</v>
      </c>
      <c r="K2950" s="912" t="s">
        <v>274</v>
      </c>
      <c r="L2950" s="912"/>
      <c r="M2950" s="912"/>
      <c r="N2950" s="912"/>
      <c r="O2950" s="892">
        <f t="shared" si="180"/>
        <v>0</v>
      </c>
      <c r="P2950" s="903">
        <f t="shared" si="181"/>
        <v>1</v>
      </c>
      <c r="Q2950" s="893">
        <f t="shared" si="182"/>
        <v>4</v>
      </c>
      <c r="R2950" s="894">
        <f t="shared" si="183"/>
        <v>0</v>
      </c>
    </row>
    <row r="2951" spans="1:18">
      <c r="A2951" s="905"/>
      <c r="B2951" s="906"/>
      <c r="C2951" s="907">
        <v>44</v>
      </c>
      <c r="D2951" s="907" t="s">
        <v>279</v>
      </c>
      <c r="E2951" s="925" t="s">
        <v>2681</v>
      </c>
      <c r="F2951" s="926" t="s">
        <v>45</v>
      </c>
      <c r="G2951" s="910"/>
      <c r="H2951" s="911">
        <v>0.43</v>
      </c>
      <c r="I2951" s="912">
        <f>VLOOKUP(E2951,[3]VLP!$B$7:$K$300,10,0)</f>
        <v>23000</v>
      </c>
      <c r="J2951" s="912">
        <f>I2951*H2951</f>
        <v>9890</v>
      </c>
      <c r="K2951" s="912" t="s">
        <v>274</v>
      </c>
      <c r="L2951" s="912"/>
      <c r="M2951" s="912"/>
      <c r="N2951" s="912"/>
      <c r="O2951" s="892">
        <f t="shared" si="180"/>
        <v>0</v>
      </c>
      <c r="P2951" s="903">
        <f t="shared" si="181"/>
        <v>1</v>
      </c>
      <c r="Q2951" s="893">
        <f t="shared" si="182"/>
        <v>3</v>
      </c>
      <c r="R2951" s="894">
        <f t="shared" si="183"/>
        <v>0</v>
      </c>
    </row>
    <row r="2952" spans="1:18" s="904" customFormat="1">
      <c r="A2952" s="895"/>
      <c r="B2952" s="896"/>
      <c r="C2952" s="897"/>
      <c r="D2952" s="897"/>
      <c r="E2952" s="924" t="s">
        <v>276</v>
      </c>
      <c r="F2952" s="927"/>
      <c r="G2952" s="928"/>
      <c r="H2952" s="901"/>
      <c r="I2952" s="902"/>
      <c r="J2952" s="902"/>
      <c r="K2952" s="912" t="s">
        <v>274</v>
      </c>
      <c r="L2952" s="902"/>
      <c r="M2952" s="902"/>
      <c r="N2952" s="902"/>
      <c r="O2952" s="892">
        <f t="shared" si="180"/>
        <v>0</v>
      </c>
      <c r="P2952" s="903">
        <f t="shared" si="181"/>
        <v>1</v>
      </c>
      <c r="Q2952" s="893">
        <f t="shared" si="182"/>
        <v>2</v>
      </c>
      <c r="R2952" s="894">
        <f t="shared" si="183"/>
        <v>0</v>
      </c>
    </row>
    <row r="2953" spans="1:18">
      <c r="A2953" s="905"/>
      <c r="B2953" s="906"/>
      <c r="C2953" s="907">
        <v>740</v>
      </c>
      <c r="D2953" s="907" t="s">
        <v>12</v>
      </c>
      <c r="E2953" s="908" t="s">
        <v>4008</v>
      </c>
      <c r="F2953" s="909" t="s">
        <v>2674</v>
      </c>
      <c r="G2953" s="910"/>
      <c r="H2953" s="911">
        <v>1.633</v>
      </c>
      <c r="I2953" s="912"/>
      <c r="J2953" s="912"/>
      <c r="K2953" s="912">
        <f>VLOOKUP(E2953,ĐMNC!$A$7:$F$67,4,0)</f>
        <v>252714</v>
      </c>
      <c r="L2953" s="912">
        <f>H2953*K2953</f>
        <v>412681.962</v>
      </c>
      <c r="M2953" s="912"/>
      <c r="N2953" s="912"/>
      <c r="O2953" s="892">
        <f t="shared" si="180"/>
        <v>0</v>
      </c>
      <c r="P2953" s="903">
        <f t="shared" si="181"/>
        <v>1</v>
      </c>
      <c r="Q2953" s="893">
        <f t="shared" si="182"/>
        <v>1</v>
      </c>
      <c r="R2953" s="894">
        <f t="shared" si="183"/>
        <v>0</v>
      </c>
    </row>
    <row r="2954" spans="1:18" s="847" customFormat="1" ht="31.5">
      <c r="A2954" s="905"/>
      <c r="B2954" s="914" t="s">
        <v>4929</v>
      </c>
      <c r="C2954" s="915"/>
      <c r="D2954" s="915"/>
      <c r="E2954" s="916" t="s">
        <v>4930</v>
      </c>
      <c r="F2954" s="917" t="s">
        <v>94</v>
      </c>
      <c r="G2954" s="918"/>
      <c r="H2954" s="919"/>
      <c r="I2954" s="920"/>
      <c r="J2954" s="891">
        <f>SUM(J2955:J2959)</f>
        <v>10240</v>
      </c>
      <c r="K2954" s="891"/>
      <c r="L2954" s="891">
        <f>SUM(L2955:L2959)</f>
        <v>458423.196</v>
      </c>
      <c r="M2954" s="891"/>
      <c r="N2954" s="891">
        <f>SUM(N2955:N2959)</f>
        <v>0</v>
      </c>
      <c r="O2954" s="892">
        <f t="shared" si="180"/>
        <v>1</v>
      </c>
      <c r="P2954" s="903">
        <f t="shared" si="181"/>
        <v>0</v>
      </c>
      <c r="Q2954" s="893">
        <f t="shared" si="182"/>
        <v>0</v>
      </c>
      <c r="R2954" s="894">
        <f t="shared" si="183"/>
        <v>5</v>
      </c>
    </row>
    <row r="2955" spans="1:18" s="904" customFormat="1">
      <c r="A2955" s="895"/>
      <c r="B2955" s="896"/>
      <c r="C2955" s="897"/>
      <c r="D2955" s="897"/>
      <c r="E2955" s="924" t="s">
        <v>108</v>
      </c>
      <c r="F2955" s="899"/>
      <c r="G2955" s="900"/>
      <c r="H2955" s="901"/>
      <c r="I2955" s="902"/>
      <c r="J2955" s="902"/>
      <c r="K2955" s="912" t="s">
        <v>274</v>
      </c>
      <c r="L2955" s="902"/>
      <c r="M2955" s="902"/>
      <c r="N2955" s="902"/>
      <c r="O2955" s="892">
        <f t="shared" si="180"/>
        <v>0</v>
      </c>
      <c r="P2955" s="903">
        <f t="shared" si="181"/>
        <v>1</v>
      </c>
      <c r="Q2955" s="893">
        <f t="shared" si="182"/>
        <v>5</v>
      </c>
      <c r="R2955" s="894">
        <f t="shared" si="183"/>
        <v>0</v>
      </c>
    </row>
    <row r="2956" spans="1:18">
      <c r="A2956" s="905"/>
      <c r="B2956" s="906"/>
      <c r="C2956" s="907">
        <v>66</v>
      </c>
      <c r="D2956" s="907" t="s">
        <v>279</v>
      </c>
      <c r="E2956" s="925" t="s">
        <v>2682</v>
      </c>
      <c r="F2956" s="926" t="s">
        <v>45</v>
      </c>
      <c r="G2956" s="910"/>
      <c r="H2956" s="911">
        <v>7.0000000000000007E-2</v>
      </c>
      <c r="I2956" s="912">
        <f>VLOOKUP(E2956,[3]VLP!$B$7:$K$300,10,0)</f>
        <v>5000</v>
      </c>
      <c r="J2956" s="912">
        <f>I2956*H2956</f>
        <v>350.00000000000006</v>
      </c>
      <c r="K2956" s="912" t="s">
        <v>274</v>
      </c>
      <c r="L2956" s="912"/>
      <c r="M2956" s="912"/>
      <c r="N2956" s="912"/>
      <c r="O2956" s="892">
        <f t="shared" ref="O2956:O3019" si="184">IF(AND(B2956&lt;&gt;"",D2956=""),1,0)</f>
        <v>0</v>
      </c>
      <c r="P2956" s="903">
        <f t="shared" si="181"/>
        <v>1</v>
      </c>
      <c r="Q2956" s="893">
        <f t="shared" si="182"/>
        <v>4</v>
      </c>
      <c r="R2956" s="894">
        <f t="shared" si="183"/>
        <v>0</v>
      </c>
    </row>
    <row r="2957" spans="1:18">
      <c r="A2957" s="905"/>
      <c r="B2957" s="906"/>
      <c r="C2957" s="907">
        <v>44</v>
      </c>
      <c r="D2957" s="907" t="s">
        <v>279</v>
      </c>
      <c r="E2957" s="925" t="s">
        <v>2681</v>
      </c>
      <c r="F2957" s="926" t="s">
        <v>45</v>
      </c>
      <c r="G2957" s="910"/>
      <c r="H2957" s="911">
        <v>0.43</v>
      </c>
      <c r="I2957" s="912">
        <f>VLOOKUP(E2957,[3]VLP!$B$7:$K$300,10,0)</f>
        <v>23000</v>
      </c>
      <c r="J2957" s="912">
        <f>I2957*H2957</f>
        <v>9890</v>
      </c>
      <c r="K2957" s="912" t="s">
        <v>274</v>
      </c>
      <c r="L2957" s="912"/>
      <c r="M2957" s="912"/>
      <c r="N2957" s="912"/>
      <c r="O2957" s="892">
        <f t="shared" si="184"/>
        <v>0</v>
      </c>
      <c r="P2957" s="903">
        <f t="shared" si="181"/>
        <v>1</v>
      </c>
      <c r="Q2957" s="893">
        <f t="shared" si="182"/>
        <v>3</v>
      </c>
      <c r="R2957" s="894">
        <f t="shared" si="183"/>
        <v>0</v>
      </c>
    </row>
    <row r="2958" spans="1:18" s="904" customFormat="1">
      <c r="A2958" s="895"/>
      <c r="B2958" s="896"/>
      <c r="C2958" s="897"/>
      <c r="D2958" s="897"/>
      <c r="E2958" s="924" t="s">
        <v>276</v>
      </c>
      <c r="F2958" s="927"/>
      <c r="G2958" s="928"/>
      <c r="H2958" s="901"/>
      <c r="I2958" s="902"/>
      <c r="J2958" s="902"/>
      <c r="K2958" s="912" t="s">
        <v>274</v>
      </c>
      <c r="L2958" s="902"/>
      <c r="M2958" s="902"/>
      <c r="N2958" s="902"/>
      <c r="O2958" s="892">
        <f t="shared" si="184"/>
        <v>0</v>
      </c>
      <c r="P2958" s="903">
        <f t="shared" si="181"/>
        <v>1</v>
      </c>
      <c r="Q2958" s="893">
        <f t="shared" si="182"/>
        <v>2</v>
      </c>
      <c r="R2958" s="894">
        <f t="shared" si="183"/>
        <v>0</v>
      </c>
    </row>
    <row r="2959" spans="1:18">
      <c r="A2959" s="905"/>
      <c r="B2959" s="906"/>
      <c r="C2959" s="907">
        <v>740</v>
      </c>
      <c r="D2959" s="907" t="s">
        <v>12</v>
      </c>
      <c r="E2959" s="908" t="s">
        <v>4008</v>
      </c>
      <c r="F2959" s="909" t="s">
        <v>2674</v>
      </c>
      <c r="G2959" s="910"/>
      <c r="H2959" s="911">
        <v>1.8140000000000001</v>
      </c>
      <c r="I2959" s="912"/>
      <c r="J2959" s="912"/>
      <c r="K2959" s="912">
        <f>VLOOKUP(E2959,ĐMNC!$A$7:$F$67,4,0)</f>
        <v>252714</v>
      </c>
      <c r="L2959" s="912">
        <f>H2959*K2959</f>
        <v>458423.196</v>
      </c>
      <c r="M2959" s="912"/>
      <c r="N2959" s="912"/>
      <c r="O2959" s="892">
        <f t="shared" si="184"/>
        <v>0</v>
      </c>
      <c r="P2959" s="903">
        <f t="shared" si="181"/>
        <v>1</v>
      </c>
      <c r="Q2959" s="893">
        <f t="shared" si="182"/>
        <v>1</v>
      </c>
      <c r="R2959" s="894">
        <f t="shared" si="183"/>
        <v>0</v>
      </c>
    </row>
    <row r="2960" spans="1:18" s="847" customFormat="1" ht="31.5">
      <c r="A2960" s="905"/>
      <c r="B2960" s="914" t="s">
        <v>4931</v>
      </c>
      <c r="C2960" s="915"/>
      <c r="D2960" s="915"/>
      <c r="E2960" s="916" t="s">
        <v>4932</v>
      </c>
      <c r="F2960" s="917" t="s">
        <v>94</v>
      </c>
      <c r="G2960" s="918"/>
      <c r="H2960" s="919"/>
      <c r="I2960" s="920"/>
      <c r="J2960" s="891">
        <f>SUM(J2961:J2965)</f>
        <v>10240</v>
      </c>
      <c r="K2960" s="891"/>
      <c r="L2960" s="891">
        <f>SUM(L2961:L2965)</f>
        <v>504417.14399999997</v>
      </c>
      <c r="M2960" s="891"/>
      <c r="N2960" s="891">
        <f>SUM(N2961:N2965)</f>
        <v>0</v>
      </c>
      <c r="O2960" s="892">
        <f t="shared" si="184"/>
        <v>1</v>
      </c>
      <c r="P2960" s="903">
        <f t="shared" si="181"/>
        <v>0</v>
      </c>
      <c r="Q2960" s="893">
        <f t="shared" si="182"/>
        <v>0</v>
      </c>
      <c r="R2960" s="894">
        <f t="shared" si="183"/>
        <v>5</v>
      </c>
    </row>
    <row r="2961" spans="1:18" s="904" customFormat="1">
      <c r="A2961" s="895"/>
      <c r="B2961" s="896"/>
      <c r="C2961" s="897"/>
      <c r="D2961" s="897"/>
      <c r="E2961" s="924" t="s">
        <v>108</v>
      </c>
      <c r="F2961" s="899"/>
      <c r="G2961" s="900"/>
      <c r="H2961" s="901"/>
      <c r="I2961" s="902"/>
      <c r="J2961" s="902"/>
      <c r="K2961" s="912" t="s">
        <v>274</v>
      </c>
      <c r="L2961" s="902"/>
      <c r="M2961" s="902"/>
      <c r="N2961" s="902"/>
      <c r="O2961" s="892">
        <f t="shared" si="184"/>
        <v>0</v>
      </c>
      <c r="P2961" s="903">
        <f t="shared" si="181"/>
        <v>1</v>
      </c>
      <c r="Q2961" s="893">
        <f t="shared" si="182"/>
        <v>5</v>
      </c>
      <c r="R2961" s="894">
        <f t="shared" si="183"/>
        <v>0</v>
      </c>
    </row>
    <row r="2962" spans="1:18">
      <c r="A2962" s="905"/>
      <c r="B2962" s="906"/>
      <c r="C2962" s="907">
        <v>66</v>
      </c>
      <c r="D2962" s="907" t="s">
        <v>279</v>
      </c>
      <c r="E2962" s="925" t="s">
        <v>2682</v>
      </c>
      <c r="F2962" s="926" t="s">
        <v>45</v>
      </c>
      <c r="G2962" s="910"/>
      <c r="H2962" s="911">
        <v>7.0000000000000007E-2</v>
      </c>
      <c r="I2962" s="912">
        <f>VLOOKUP(E2962,[3]VLP!$B$7:$K$300,10,0)</f>
        <v>5000</v>
      </c>
      <c r="J2962" s="912">
        <f>I2962*H2962</f>
        <v>350.00000000000006</v>
      </c>
      <c r="K2962" s="912" t="s">
        <v>274</v>
      </c>
      <c r="L2962" s="912"/>
      <c r="M2962" s="912"/>
      <c r="N2962" s="912"/>
      <c r="O2962" s="892">
        <f t="shared" si="184"/>
        <v>0</v>
      </c>
      <c r="P2962" s="903">
        <f t="shared" si="181"/>
        <v>1</v>
      </c>
      <c r="Q2962" s="893">
        <f t="shared" si="182"/>
        <v>4</v>
      </c>
      <c r="R2962" s="894">
        <f t="shared" si="183"/>
        <v>0</v>
      </c>
    </row>
    <row r="2963" spans="1:18">
      <c r="A2963" s="905"/>
      <c r="B2963" s="906"/>
      <c r="C2963" s="907">
        <v>44</v>
      </c>
      <c r="D2963" s="907" t="s">
        <v>279</v>
      </c>
      <c r="E2963" s="925" t="s">
        <v>2681</v>
      </c>
      <c r="F2963" s="926" t="s">
        <v>45</v>
      </c>
      <c r="G2963" s="910"/>
      <c r="H2963" s="911">
        <v>0.43</v>
      </c>
      <c r="I2963" s="912">
        <f>VLOOKUP(E2963,[3]VLP!$B$7:$K$300,10,0)</f>
        <v>23000</v>
      </c>
      <c r="J2963" s="912">
        <f>I2963*H2963</f>
        <v>9890</v>
      </c>
      <c r="K2963" s="912" t="s">
        <v>274</v>
      </c>
      <c r="L2963" s="912"/>
      <c r="M2963" s="912"/>
      <c r="N2963" s="912"/>
      <c r="O2963" s="892">
        <f t="shared" si="184"/>
        <v>0</v>
      </c>
      <c r="P2963" s="903">
        <f t="shared" si="181"/>
        <v>1</v>
      </c>
      <c r="Q2963" s="893">
        <f t="shared" si="182"/>
        <v>3</v>
      </c>
      <c r="R2963" s="894">
        <f t="shared" si="183"/>
        <v>0</v>
      </c>
    </row>
    <row r="2964" spans="1:18" s="904" customFormat="1">
      <c r="A2964" s="895"/>
      <c r="B2964" s="896"/>
      <c r="C2964" s="897"/>
      <c r="D2964" s="897"/>
      <c r="E2964" s="924" t="s">
        <v>276</v>
      </c>
      <c r="F2964" s="927"/>
      <c r="G2964" s="928"/>
      <c r="H2964" s="901"/>
      <c r="I2964" s="902"/>
      <c r="J2964" s="902"/>
      <c r="K2964" s="912" t="s">
        <v>274</v>
      </c>
      <c r="L2964" s="902"/>
      <c r="M2964" s="902"/>
      <c r="N2964" s="902"/>
      <c r="O2964" s="892">
        <f t="shared" si="184"/>
        <v>0</v>
      </c>
      <c r="P2964" s="903">
        <f t="shared" si="181"/>
        <v>1</v>
      </c>
      <c r="Q2964" s="893">
        <f t="shared" si="182"/>
        <v>2</v>
      </c>
      <c r="R2964" s="894">
        <f t="shared" si="183"/>
        <v>0</v>
      </c>
    </row>
    <row r="2965" spans="1:18">
      <c r="A2965" s="905"/>
      <c r="B2965" s="906"/>
      <c r="C2965" s="907">
        <v>740</v>
      </c>
      <c r="D2965" s="907" t="s">
        <v>12</v>
      </c>
      <c r="E2965" s="908" t="s">
        <v>4008</v>
      </c>
      <c r="F2965" s="909" t="s">
        <v>2674</v>
      </c>
      <c r="G2965" s="910"/>
      <c r="H2965" s="911">
        <v>1.996</v>
      </c>
      <c r="I2965" s="912"/>
      <c r="J2965" s="912"/>
      <c r="K2965" s="912">
        <f>VLOOKUP(E2965,ĐMNC!$A$7:$F$67,4,0)</f>
        <v>252714</v>
      </c>
      <c r="L2965" s="912">
        <f>H2965*K2965</f>
        <v>504417.14399999997</v>
      </c>
      <c r="M2965" s="912"/>
      <c r="N2965" s="912"/>
      <c r="O2965" s="892">
        <f t="shared" si="184"/>
        <v>0</v>
      </c>
      <c r="P2965" s="903">
        <f t="shared" ref="P2965:P3029" si="185">IF(O2965=0,1,0)</f>
        <v>1</v>
      </c>
      <c r="Q2965" s="893">
        <f t="shared" ref="Q2965:Q3029" si="186">IF(P2965=0,0,P2965+Q2966)</f>
        <v>1</v>
      </c>
      <c r="R2965" s="894">
        <f t="shared" ref="R2965:R3029" si="187">IF(Q2965=0,Q2966,0)</f>
        <v>0</v>
      </c>
    </row>
    <row r="2966" spans="1:18" s="847" customFormat="1" ht="31.5">
      <c r="A2966" s="905"/>
      <c r="B2966" s="914" t="s">
        <v>4933</v>
      </c>
      <c r="C2966" s="915"/>
      <c r="D2966" s="915"/>
      <c r="E2966" s="916" t="s">
        <v>4934</v>
      </c>
      <c r="F2966" s="917" t="s">
        <v>94</v>
      </c>
      <c r="G2966" s="918"/>
      <c r="H2966" s="919"/>
      <c r="I2966" s="920"/>
      <c r="J2966" s="891">
        <f>SUM(J2967:J2971)</f>
        <v>10240</v>
      </c>
      <c r="K2966" s="891"/>
      <c r="L2966" s="891">
        <f>SUM(L2967:L2971)</f>
        <v>554959.94400000002</v>
      </c>
      <c r="M2966" s="891"/>
      <c r="N2966" s="891">
        <f>SUM(N2967:N2971)</f>
        <v>0</v>
      </c>
      <c r="O2966" s="892">
        <f t="shared" si="184"/>
        <v>1</v>
      </c>
      <c r="P2966" s="903">
        <f t="shared" si="185"/>
        <v>0</v>
      </c>
      <c r="Q2966" s="893">
        <f t="shared" si="186"/>
        <v>0</v>
      </c>
      <c r="R2966" s="894">
        <f t="shared" si="187"/>
        <v>5</v>
      </c>
    </row>
    <row r="2967" spans="1:18" s="904" customFormat="1">
      <c r="A2967" s="895"/>
      <c r="B2967" s="896"/>
      <c r="C2967" s="897"/>
      <c r="D2967" s="897"/>
      <c r="E2967" s="924" t="s">
        <v>108</v>
      </c>
      <c r="F2967" s="899"/>
      <c r="G2967" s="900"/>
      <c r="H2967" s="901"/>
      <c r="I2967" s="902"/>
      <c r="J2967" s="902"/>
      <c r="K2967" s="912" t="s">
        <v>274</v>
      </c>
      <c r="L2967" s="902"/>
      <c r="M2967" s="902"/>
      <c r="N2967" s="902"/>
      <c r="O2967" s="892">
        <f t="shared" si="184"/>
        <v>0</v>
      </c>
      <c r="P2967" s="903">
        <f t="shared" si="185"/>
        <v>1</v>
      </c>
      <c r="Q2967" s="893">
        <f t="shared" si="186"/>
        <v>5</v>
      </c>
      <c r="R2967" s="894">
        <f t="shared" si="187"/>
        <v>0</v>
      </c>
    </row>
    <row r="2968" spans="1:18">
      <c r="A2968" s="905"/>
      <c r="B2968" s="906"/>
      <c r="C2968" s="907">
        <v>66</v>
      </c>
      <c r="D2968" s="907" t="s">
        <v>279</v>
      </c>
      <c r="E2968" s="925" t="s">
        <v>2682</v>
      </c>
      <c r="F2968" s="926" t="s">
        <v>45</v>
      </c>
      <c r="G2968" s="910"/>
      <c r="H2968" s="911">
        <v>7.0000000000000007E-2</v>
      </c>
      <c r="I2968" s="912">
        <f>VLOOKUP(E2968,[3]VLP!$B$7:$K$300,10,0)</f>
        <v>5000</v>
      </c>
      <c r="J2968" s="912">
        <f>I2968*H2968</f>
        <v>350.00000000000006</v>
      </c>
      <c r="K2968" s="912" t="s">
        <v>274</v>
      </c>
      <c r="L2968" s="912"/>
      <c r="M2968" s="912"/>
      <c r="N2968" s="912"/>
      <c r="O2968" s="892">
        <f t="shared" si="184"/>
        <v>0</v>
      </c>
      <c r="P2968" s="903">
        <f t="shared" si="185"/>
        <v>1</v>
      </c>
      <c r="Q2968" s="893">
        <f t="shared" si="186"/>
        <v>4</v>
      </c>
      <c r="R2968" s="894">
        <f t="shared" si="187"/>
        <v>0</v>
      </c>
    </row>
    <row r="2969" spans="1:18">
      <c r="A2969" s="905"/>
      <c r="B2969" s="906"/>
      <c r="C2969" s="907">
        <v>44</v>
      </c>
      <c r="D2969" s="907" t="s">
        <v>279</v>
      </c>
      <c r="E2969" s="925" t="s">
        <v>2681</v>
      </c>
      <c r="F2969" s="926" t="s">
        <v>45</v>
      </c>
      <c r="G2969" s="910"/>
      <c r="H2969" s="911">
        <v>0.43</v>
      </c>
      <c r="I2969" s="912">
        <f>VLOOKUP(E2969,[3]VLP!$B$7:$K$300,10,0)</f>
        <v>23000</v>
      </c>
      <c r="J2969" s="912">
        <f>I2969*H2969</f>
        <v>9890</v>
      </c>
      <c r="K2969" s="912" t="s">
        <v>274</v>
      </c>
      <c r="L2969" s="912"/>
      <c r="M2969" s="912"/>
      <c r="N2969" s="912"/>
      <c r="O2969" s="892">
        <f t="shared" si="184"/>
        <v>0</v>
      </c>
      <c r="P2969" s="903">
        <f t="shared" si="185"/>
        <v>1</v>
      </c>
      <c r="Q2969" s="893">
        <f t="shared" si="186"/>
        <v>3</v>
      </c>
      <c r="R2969" s="894">
        <f t="shared" si="187"/>
        <v>0</v>
      </c>
    </row>
    <row r="2970" spans="1:18" s="904" customFormat="1">
      <c r="A2970" s="895"/>
      <c r="B2970" s="896"/>
      <c r="C2970" s="897"/>
      <c r="D2970" s="897"/>
      <c r="E2970" s="924" t="s">
        <v>276</v>
      </c>
      <c r="F2970" s="927"/>
      <c r="G2970" s="928"/>
      <c r="H2970" s="901"/>
      <c r="I2970" s="902"/>
      <c r="J2970" s="902"/>
      <c r="K2970" s="912" t="s">
        <v>274</v>
      </c>
      <c r="L2970" s="902"/>
      <c r="M2970" s="902"/>
      <c r="N2970" s="902"/>
      <c r="O2970" s="892">
        <f t="shared" si="184"/>
        <v>0</v>
      </c>
      <c r="P2970" s="903">
        <f t="shared" si="185"/>
        <v>1</v>
      </c>
      <c r="Q2970" s="893">
        <f t="shared" si="186"/>
        <v>2</v>
      </c>
      <c r="R2970" s="894">
        <f t="shared" si="187"/>
        <v>0</v>
      </c>
    </row>
    <row r="2971" spans="1:18">
      <c r="A2971" s="905"/>
      <c r="B2971" s="906"/>
      <c r="C2971" s="907">
        <v>740</v>
      </c>
      <c r="D2971" s="907" t="s">
        <v>12</v>
      </c>
      <c r="E2971" s="908" t="s">
        <v>4008</v>
      </c>
      <c r="F2971" s="909" t="s">
        <v>2674</v>
      </c>
      <c r="G2971" s="910"/>
      <c r="H2971" s="911">
        <v>2.1960000000000002</v>
      </c>
      <c r="I2971" s="912"/>
      <c r="J2971" s="912"/>
      <c r="K2971" s="912">
        <f>VLOOKUP(E2971,ĐMNC!$A$7:$F$67,4,0)</f>
        <v>252714</v>
      </c>
      <c r="L2971" s="912">
        <f>H2971*K2971</f>
        <v>554959.94400000002</v>
      </c>
      <c r="M2971" s="912"/>
      <c r="N2971" s="912"/>
      <c r="O2971" s="892">
        <f t="shared" si="184"/>
        <v>0</v>
      </c>
      <c r="P2971" s="903">
        <f t="shared" si="185"/>
        <v>1</v>
      </c>
      <c r="Q2971" s="893">
        <f t="shared" si="186"/>
        <v>1</v>
      </c>
      <c r="R2971" s="894">
        <f t="shared" si="187"/>
        <v>0</v>
      </c>
    </row>
    <row r="2972" spans="1:18" s="847" customFormat="1" ht="31.5">
      <c r="A2972" s="905"/>
      <c r="B2972" s="914" t="s">
        <v>2698</v>
      </c>
      <c r="C2972" s="915"/>
      <c r="D2972" s="915"/>
      <c r="E2972" s="929" t="s">
        <v>4935</v>
      </c>
      <c r="F2972" s="917" t="s">
        <v>94</v>
      </c>
      <c r="G2972" s="918"/>
      <c r="H2972" s="919"/>
      <c r="I2972" s="920"/>
      <c r="J2972" s="891">
        <f>SUM(J2973:J2977)</f>
        <v>1825</v>
      </c>
      <c r="K2972" s="891"/>
      <c r="L2972" s="891">
        <f>SUM(L2973:L2977)</f>
        <v>63683.928</v>
      </c>
      <c r="M2972" s="891"/>
      <c r="N2972" s="891">
        <f>SUM(N2973:N2977)</f>
        <v>0</v>
      </c>
      <c r="O2972" s="892">
        <f t="shared" si="184"/>
        <v>1</v>
      </c>
      <c r="P2972" s="903">
        <f t="shared" si="185"/>
        <v>0</v>
      </c>
      <c r="Q2972" s="893">
        <f t="shared" si="186"/>
        <v>0</v>
      </c>
      <c r="R2972" s="894">
        <f t="shared" si="187"/>
        <v>5</v>
      </c>
    </row>
    <row r="2973" spans="1:18" s="904" customFormat="1">
      <c r="A2973" s="895"/>
      <c r="B2973" s="896"/>
      <c r="C2973" s="897"/>
      <c r="D2973" s="897"/>
      <c r="E2973" s="924" t="s">
        <v>108</v>
      </c>
      <c r="F2973" s="899"/>
      <c r="G2973" s="900"/>
      <c r="H2973" s="901"/>
      <c r="I2973" s="902"/>
      <c r="J2973" s="902"/>
      <c r="K2973" s="912" t="s">
        <v>274</v>
      </c>
      <c r="L2973" s="902"/>
      <c r="M2973" s="902"/>
      <c r="N2973" s="902"/>
      <c r="O2973" s="892">
        <f t="shared" si="184"/>
        <v>0</v>
      </c>
      <c r="P2973" s="903">
        <f t="shared" si="185"/>
        <v>1</v>
      </c>
      <c r="Q2973" s="893">
        <f t="shared" si="186"/>
        <v>5</v>
      </c>
      <c r="R2973" s="894">
        <f t="shared" si="187"/>
        <v>0</v>
      </c>
    </row>
    <row r="2974" spans="1:18">
      <c r="A2974" s="905"/>
      <c r="B2974" s="906"/>
      <c r="C2974" s="907">
        <v>66</v>
      </c>
      <c r="D2974" s="907" t="s">
        <v>279</v>
      </c>
      <c r="E2974" s="925" t="s">
        <v>2682</v>
      </c>
      <c r="F2974" s="926" t="s">
        <v>45</v>
      </c>
      <c r="G2974" s="910"/>
      <c r="H2974" s="911">
        <v>0.02</v>
      </c>
      <c r="I2974" s="912">
        <f>VLOOKUP(E2974,[3]VLP!$B$7:$K$300,10,0)</f>
        <v>5000</v>
      </c>
      <c r="J2974" s="912">
        <f>I2974*H2974</f>
        <v>100</v>
      </c>
      <c r="K2974" s="912" t="s">
        <v>274</v>
      </c>
      <c r="L2974" s="912"/>
      <c r="M2974" s="912"/>
      <c r="N2974" s="912"/>
      <c r="O2974" s="892">
        <f t="shared" si="184"/>
        <v>0</v>
      </c>
      <c r="P2974" s="903">
        <f t="shared" si="185"/>
        <v>1</v>
      </c>
      <c r="Q2974" s="893">
        <f t="shared" si="186"/>
        <v>4</v>
      </c>
      <c r="R2974" s="894">
        <f t="shared" si="187"/>
        <v>0</v>
      </c>
    </row>
    <row r="2975" spans="1:18">
      <c r="A2975" s="905"/>
      <c r="B2975" s="906"/>
      <c r="C2975" s="907">
        <v>44</v>
      </c>
      <c r="D2975" s="907" t="s">
        <v>279</v>
      </c>
      <c r="E2975" s="925" t="s">
        <v>2681</v>
      </c>
      <c r="F2975" s="926" t="s">
        <v>45</v>
      </c>
      <c r="G2975" s="910"/>
      <c r="H2975" s="911">
        <v>7.4999999999999997E-2</v>
      </c>
      <c r="I2975" s="912">
        <f>VLOOKUP(E2975,[3]VLP!$B$7:$K$300,10,0)</f>
        <v>23000</v>
      </c>
      <c r="J2975" s="912">
        <f>I2975*H2975</f>
        <v>1725</v>
      </c>
      <c r="K2975" s="912" t="s">
        <v>274</v>
      </c>
      <c r="L2975" s="912"/>
      <c r="M2975" s="912"/>
      <c r="N2975" s="912"/>
      <c r="O2975" s="892">
        <f t="shared" si="184"/>
        <v>0</v>
      </c>
      <c r="P2975" s="903">
        <f t="shared" si="185"/>
        <v>1</v>
      </c>
      <c r="Q2975" s="893">
        <f t="shared" si="186"/>
        <v>3</v>
      </c>
      <c r="R2975" s="894">
        <f t="shared" si="187"/>
        <v>0</v>
      </c>
    </row>
    <row r="2976" spans="1:18" s="904" customFormat="1">
      <c r="A2976" s="895"/>
      <c r="B2976" s="896"/>
      <c r="C2976" s="897"/>
      <c r="D2976" s="897"/>
      <c r="E2976" s="924" t="s">
        <v>276</v>
      </c>
      <c r="F2976" s="927"/>
      <c r="G2976" s="928"/>
      <c r="H2976" s="901"/>
      <c r="I2976" s="902"/>
      <c r="J2976" s="902"/>
      <c r="K2976" s="912" t="s">
        <v>274</v>
      </c>
      <c r="L2976" s="902"/>
      <c r="M2976" s="902"/>
      <c r="N2976" s="902"/>
      <c r="O2976" s="892">
        <f t="shared" si="184"/>
        <v>0</v>
      </c>
      <c r="P2976" s="903">
        <f t="shared" si="185"/>
        <v>1</v>
      </c>
      <c r="Q2976" s="893">
        <f t="shared" si="186"/>
        <v>2</v>
      </c>
      <c r="R2976" s="894">
        <f t="shared" si="187"/>
        <v>0</v>
      </c>
    </row>
    <row r="2977" spans="1:18">
      <c r="A2977" s="905"/>
      <c r="B2977" s="906"/>
      <c r="C2977" s="907">
        <v>740</v>
      </c>
      <c r="D2977" s="907" t="s">
        <v>12</v>
      </c>
      <c r="E2977" s="908" t="s">
        <v>4008</v>
      </c>
      <c r="F2977" s="909" t="s">
        <v>2674</v>
      </c>
      <c r="G2977" s="910"/>
      <c r="H2977" s="911">
        <v>0.252</v>
      </c>
      <c r="I2977" s="912"/>
      <c r="J2977" s="912"/>
      <c r="K2977" s="912">
        <f>VLOOKUP(E2977,ĐMNC!$A$7:$F$67,4,0)</f>
        <v>252714</v>
      </c>
      <c r="L2977" s="912">
        <f>H2977*K2977</f>
        <v>63683.928</v>
      </c>
      <c r="M2977" s="912"/>
      <c r="N2977" s="912"/>
      <c r="O2977" s="892">
        <f t="shared" si="184"/>
        <v>0</v>
      </c>
      <c r="P2977" s="903">
        <f t="shared" si="185"/>
        <v>1</v>
      </c>
      <c r="Q2977" s="893">
        <f>IF(P2977=0,0,P2977+Q2979)</f>
        <v>1</v>
      </c>
      <c r="R2977" s="894">
        <f>IF(Q2977=0,Q2979,0)</f>
        <v>0</v>
      </c>
    </row>
    <row r="2978" spans="1:18">
      <c r="A2978" s="905"/>
      <c r="B2978" s="885" t="s">
        <v>4936</v>
      </c>
      <c r="C2978" s="907"/>
      <c r="D2978" s="907"/>
      <c r="E2978" s="921" t="s">
        <v>4937</v>
      </c>
      <c r="F2978" s="909"/>
      <c r="G2978" s="910"/>
      <c r="H2978" s="911"/>
      <c r="I2978" s="912"/>
      <c r="J2978" s="912"/>
      <c r="K2978" s="912"/>
      <c r="L2978" s="912"/>
      <c r="M2978" s="912"/>
      <c r="N2978" s="912"/>
      <c r="O2978" s="892"/>
      <c r="P2978" s="903"/>
      <c r="Q2978" s="893"/>
      <c r="R2978" s="894"/>
    </row>
    <row r="2979" spans="1:18" s="847" customFormat="1" ht="31.5">
      <c r="A2979" s="905" t="s">
        <v>4938</v>
      </c>
      <c r="B2979" s="914" t="s">
        <v>2699</v>
      </c>
      <c r="C2979" s="915"/>
      <c r="D2979" s="915"/>
      <c r="E2979" s="916" t="s">
        <v>4939</v>
      </c>
      <c r="F2979" s="917" t="s">
        <v>94</v>
      </c>
      <c r="G2979" s="918"/>
      <c r="H2979" s="919"/>
      <c r="I2979" s="920"/>
      <c r="J2979" s="891">
        <f>SUM(J2980:J2984)</f>
        <v>1825</v>
      </c>
      <c r="K2979" s="891"/>
      <c r="L2979" s="891">
        <f>SUM(L2980:L2984)</f>
        <v>66463.782000000007</v>
      </c>
      <c r="M2979" s="891"/>
      <c r="N2979" s="891">
        <f>SUM(N2980:N2984)</f>
        <v>0</v>
      </c>
      <c r="O2979" s="892">
        <f t="shared" si="184"/>
        <v>1</v>
      </c>
      <c r="P2979" s="903">
        <f t="shared" si="185"/>
        <v>0</v>
      </c>
      <c r="Q2979" s="893">
        <f t="shared" si="186"/>
        <v>0</v>
      </c>
      <c r="R2979" s="894">
        <f t="shared" si="187"/>
        <v>5</v>
      </c>
    </row>
    <row r="2980" spans="1:18" s="904" customFormat="1">
      <c r="A2980" s="895"/>
      <c r="B2980" s="896"/>
      <c r="C2980" s="897"/>
      <c r="D2980" s="897"/>
      <c r="E2980" s="924" t="s">
        <v>108</v>
      </c>
      <c r="F2980" s="899"/>
      <c r="G2980" s="900"/>
      <c r="H2980" s="901"/>
      <c r="I2980" s="902"/>
      <c r="J2980" s="902"/>
      <c r="K2980" s="912" t="s">
        <v>274</v>
      </c>
      <c r="L2980" s="902"/>
      <c r="M2980" s="902"/>
      <c r="N2980" s="902"/>
      <c r="O2980" s="892">
        <f t="shared" si="184"/>
        <v>0</v>
      </c>
      <c r="P2980" s="903">
        <f t="shared" si="185"/>
        <v>1</v>
      </c>
      <c r="Q2980" s="893">
        <f t="shared" si="186"/>
        <v>5</v>
      </c>
      <c r="R2980" s="894">
        <f t="shared" si="187"/>
        <v>0</v>
      </c>
    </row>
    <row r="2981" spans="1:18">
      <c r="A2981" s="905"/>
      <c r="B2981" s="906"/>
      <c r="C2981" s="907">
        <v>66</v>
      </c>
      <c r="D2981" s="907" t="s">
        <v>279</v>
      </c>
      <c r="E2981" s="925" t="s">
        <v>2682</v>
      </c>
      <c r="F2981" s="926" t="s">
        <v>45</v>
      </c>
      <c r="G2981" s="910"/>
      <c r="H2981" s="911">
        <v>0.02</v>
      </c>
      <c r="I2981" s="912">
        <f>VLOOKUP(E2981,[3]VLP!$B$7:$K$300,10,0)</f>
        <v>5000</v>
      </c>
      <c r="J2981" s="912">
        <f>I2981*H2981</f>
        <v>100</v>
      </c>
      <c r="K2981" s="912" t="s">
        <v>274</v>
      </c>
      <c r="L2981" s="912"/>
      <c r="M2981" s="912"/>
      <c r="N2981" s="912"/>
      <c r="O2981" s="892">
        <f t="shared" si="184"/>
        <v>0</v>
      </c>
      <c r="P2981" s="903">
        <f t="shared" si="185"/>
        <v>1</v>
      </c>
      <c r="Q2981" s="893">
        <f t="shared" si="186"/>
        <v>4</v>
      </c>
      <c r="R2981" s="894">
        <f t="shared" si="187"/>
        <v>0</v>
      </c>
    </row>
    <row r="2982" spans="1:18">
      <c r="A2982" s="905"/>
      <c r="B2982" s="906"/>
      <c r="C2982" s="907">
        <v>44</v>
      </c>
      <c r="D2982" s="907" t="s">
        <v>279</v>
      </c>
      <c r="E2982" s="925" t="s">
        <v>2681</v>
      </c>
      <c r="F2982" s="926" t="s">
        <v>45</v>
      </c>
      <c r="G2982" s="910"/>
      <c r="H2982" s="911">
        <v>7.4999999999999997E-2</v>
      </c>
      <c r="I2982" s="912">
        <f>VLOOKUP(E2982,[3]VLP!$B$7:$K$300,10,0)</f>
        <v>23000</v>
      </c>
      <c r="J2982" s="912">
        <f>I2982*H2982</f>
        <v>1725</v>
      </c>
      <c r="K2982" s="912" t="s">
        <v>274</v>
      </c>
      <c r="L2982" s="912"/>
      <c r="M2982" s="912"/>
      <c r="N2982" s="912"/>
      <c r="O2982" s="892">
        <f t="shared" si="184"/>
        <v>0</v>
      </c>
      <c r="P2982" s="903">
        <f t="shared" si="185"/>
        <v>1</v>
      </c>
      <c r="Q2982" s="893">
        <f t="shared" si="186"/>
        <v>3</v>
      </c>
      <c r="R2982" s="894">
        <f t="shared" si="187"/>
        <v>0</v>
      </c>
    </row>
    <row r="2983" spans="1:18" s="904" customFormat="1">
      <c r="A2983" s="895"/>
      <c r="B2983" s="896"/>
      <c r="C2983" s="897"/>
      <c r="D2983" s="897"/>
      <c r="E2983" s="924" t="s">
        <v>276</v>
      </c>
      <c r="F2983" s="927"/>
      <c r="G2983" s="928"/>
      <c r="H2983" s="901"/>
      <c r="I2983" s="902"/>
      <c r="J2983" s="902"/>
      <c r="K2983" s="912" t="s">
        <v>274</v>
      </c>
      <c r="L2983" s="902"/>
      <c r="M2983" s="902"/>
      <c r="N2983" s="902"/>
      <c r="O2983" s="892">
        <f t="shared" si="184"/>
        <v>0</v>
      </c>
      <c r="P2983" s="903">
        <f t="shared" si="185"/>
        <v>1</v>
      </c>
      <c r="Q2983" s="893">
        <f t="shared" si="186"/>
        <v>2</v>
      </c>
      <c r="R2983" s="894">
        <f t="shared" si="187"/>
        <v>0</v>
      </c>
    </row>
    <row r="2984" spans="1:18">
      <c r="A2984" s="905"/>
      <c r="B2984" s="906"/>
      <c r="C2984" s="907">
        <v>740</v>
      </c>
      <c r="D2984" s="907" t="s">
        <v>12</v>
      </c>
      <c r="E2984" s="908" t="s">
        <v>4008</v>
      </c>
      <c r="F2984" s="909" t="s">
        <v>2674</v>
      </c>
      <c r="G2984" s="910"/>
      <c r="H2984" s="911">
        <v>0.26300000000000001</v>
      </c>
      <c r="I2984" s="912"/>
      <c r="J2984" s="912"/>
      <c r="K2984" s="912">
        <f>VLOOKUP(E2984,ĐMNC!$A$7:$F$67,4,0)</f>
        <v>252714</v>
      </c>
      <c r="L2984" s="912">
        <f>H2984*K2984</f>
        <v>66463.782000000007</v>
      </c>
      <c r="M2984" s="912"/>
      <c r="N2984" s="912"/>
      <c r="O2984" s="892">
        <f t="shared" si="184"/>
        <v>0</v>
      </c>
      <c r="P2984" s="903">
        <f t="shared" si="185"/>
        <v>1</v>
      </c>
      <c r="Q2984" s="893">
        <f t="shared" si="186"/>
        <v>1</v>
      </c>
      <c r="R2984" s="894">
        <f t="shared" si="187"/>
        <v>0</v>
      </c>
    </row>
    <row r="2985" spans="1:18" s="847" customFormat="1" ht="31.5">
      <c r="A2985" s="905"/>
      <c r="B2985" s="914" t="s">
        <v>2700</v>
      </c>
      <c r="C2985" s="915"/>
      <c r="D2985" s="915"/>
      <c r="E2985" s="916" t="s">
        <v>4940</v>
      </c>
      <c r="F2985" s="917" t="s">
        <v>94</v>
      </c>
      <c r="G2985" s="918"/>
      <c r="H2985" s="919"/>
      <c r="I2985" s="920"/>
      <c r="J2985" s="891">
        <f>SUM(J2986:J2990)</f>
        <v>1825</v>
      </c>
      <c r="K2985" s="891"/>
      <c r="L2985" s="891">
        <f>SUM(L2986:L2990)</f>
        <v>83648.334000000003</v>
      </c>
      <c r="M2985" s="891"/>
      <c r="N2985" s="891">
        <f>SUM(N2986:N2990)</f>
        <v>0</v>
      </c>
      <c r="O2985" s="892">
        <f t="shared" si="184"/>
        <v>1</v>
      </c>
      <c r="P2985" s="903">
        <f t="shared" si="185"/>
        <v>0</v>
      </c>
      <c r="Q2985" s="893">
        <f t="shared" si="186"/>
        <v>0</v>
      </c>
      <c r="R2985" s="894">
        <f t="shared" si="187"/>
        <v>5</v>
      </c>
    </row>
    <row r="2986" spans="1:18" s="904" customFormat="1">
      <c r="A2986" s="895"/>
      <c r="B2986" s="896"/>
      <c r="C2986" s="897"/>
      <c r="D2986" s="897"/>
      <c r="E2986" s="924" t="s">
        <v>108</v>
      </c>
      <c r="F2986" s="899"/>
      <c r="G2986" s="900"/>
      <c r="H2986" s="901"/>
      <c r="I2986" s="902"/>
      <c r="J2986" s="902"/>
      <c r="K2986" s="912" t="s">
        <v>274</v>
      </c>
      <c r="L2986" s="902"/>
      <c r="M2986" s="902"/>
      <c r="N2986" s="902"/>
      <c r="O2986" s="892">
        <f t="shared" si="184"/>
        <v>0</v>
      </c>
      <c r="P2986" s="903">
        <f t="shared" si="185"/>
        <v>1</v>
      </c>
      <c r="Q2986" s="893">
        <f t="shared" si="186"/>
        <v>5</v>
      </c>
      <c r="R2986" s="894">
        <f t="shared" si="187"/>
        <v>0</v>
      </c>
    </row>
    <row r="2987" spans="1:18">
      <c r="A2987" s="905"/>
      <c r="B2987" s="906"/>
      <c r="C2987" s="907">
        <v>66</v>
      </c>
      <c r="D2987" s="907" t="s">
        <v>279</v>
      </c>
      <c r="E2987" s="925" t="s">
        <v>2682</v>
      </c>
      <c r="F2987" s="926" t="s">
        <v>45</v>
      </c>
      <c r="G2987" s="910"/>
      <c r="H2987" s="911">
        <v>0.02</v>
      </c>
      <c r="I2987" s="912">
        <f>VLOOKUP(E2987,[3]VLP!$B$7:$K$300,10,0)</f>
        <v>5000</v>
      </c>
      <c r="J2987" s="912">
        <f>I2987*H2987</f>
        <v>100</v>
      </c>
      <c r="K2987" s="912" t="s">
        <v>274</v>
      </c>
      <c r="L2987" s="912"/>
      <c r="M2987" s="912"/>
      <c r="N2987" s="912"/>
      <c r="O2987" s="892">
        <f t="shared" si="184"/>
        <v>0</v>
      </c>
      <c r="P2987" s="903">
        <f t="shared" si="185"/>
        <v>1</v>
      </c>
      <c r="Q2987" s="893">
        <f t="shared" si="186"/>
        <v>4</v>
      </c>
      <c r="R2987" s="894">
        <f t="shared" si="187"/>
        <v>0</v>
      </c>
    </row>
    <row r="2988" spans="1:18">
      <c r="A2988" s="905"/>
      <c r="B2988" s="906"/>
      <c r="C2988" s="907">
        <v>44</v>
      </c>
      <c r="D2988" s="907" t="s">
        <v>279</v>
      </c>
      <c r="E2988" s="925" t="s">
        <v>2681</v>
      </c>
      <c r="F2988" s="926" t="s">
        <v>45</v>
      </c>
      <c r="G2988" s="910"/>
      <c r="H2988" s="911">
        <v>7.4999999999999997E-2</v>
      </c>
      <c r="I2988" s="912">
        <f>VLOOKUP(E2988,[3]VLP!$B$7:$K$300,10,0)</f>
        <v>23000</v>
      </c>
      <c r="J2988" s="912">
        <f>I2988*H2988</f>
        <v>1725</v>
      </c>
      <c r="K2988" s="912" t="s">
        <v>274</v>
      </c>
      <c r="L2988" s="912"/>
      <c r="M2988" s="912"/>
      <c r="N2988" s="912"/>
      <c r="O2988" s="892">
        <f t="shared" si="184"/>
        <v>0</v>
      </c>
      <c r="P2988" s="903">
        <f t="shared" si="185"/>
        <v>1</v>
      </c>
      <c r="Q2988" s="893">
        <f t="shared" si="186"/>
        <v>3</v>
      </c>
      <c r="R2988" s="894">
        <f t="shared" si="187"/>
        <v>0</v>
      </c>
    </row>
    <row r="2989" spans="1:18" s="904" customFormat="1">
      <c r="A2989" s="895"/>
      <c r="B2989" s="896"/>
      <c r="C2989" s="897"/>
      <c r="D2989" s="897"/>
      <c r="E2989" s="924" t="s">
        <v>276</v>
      </c>
      <c r="F2989" s="927"/>
      <c r="G2989" s="928"/>
      <c r="H2989" s="901"/>
      <c r="I2989" s="902"/>
      <c r="J2989" s="902"/>
      <c r="K2989" s="912" t="s">
        <v>274</v>
      </c>
      <c r="L2989" s="902"/>
      <c r="M2989" s="902"/>
      <c r="N2989" s="902"/>
      <c r="O2989" s="892">
        <f t="shared" si="184"/>
        <v>0</v>
      </c>
      <c r="P2989" s="903">
        <f t="shared" si="185"/>
        <v>1</v>
      </c>
      <c r="Q2989" s="893">
        <f t="shared" si="186"/>
        <v>2</v>
      </c>
      <c r="R2989" s="894">
        <f t="shared" si="187"/>
        <v>0</v>
      </c>
    </row>
    <row r="2990" spans="1:18">
      <c r="A2990" s="905"/>
      <c r="B2990" s="906"/>
      <c r="C2990" s="907">
        <v>740</v>
      </c>
      <c r="D2990" s="907" t="s">
        <v>12</v>
      </c>
      <c r="E2990" s="908" t="s">
        <v>4008</v>
      </c>
      <c r="F2990" s="909" t="s">
        <v>2674</v>
      </c>
      <c r="G2990" s="910"/>
      <c r="H2990" s="911">
        <v>0.33100000000000002</v>
      </c>
      <c r="I2990" s="912"/>
      <c r="J2990" s="912"/>
      <c r="K2990" s="912">
        <f>VLOOKUP(E2990,ĐMNC!$A$7:$F$67,4,0)</f>
        <v>252714</v>
      </c>
      <c r="L2990" s="912">
        <f>H2990*K2990</f>
        <v>83648.334000000003</v>
      </c>
      <c r="M2990" s="912"/>
      <c r="N2990" s="912"/>
      <c r="O2990" s="892">
        <f t="shared" si="184"/>
        <v>0</v>
      </c>
      <c r="P2990" s="903">
        <f t="shared" si="185"/>
        <v>1</v>
      </c>
      <c r="Q2990" s="893">
        <f t="shared" si="186"/>
        <v>1</v>
      </c>
      <c r="R2990" s="894">
        <f t="shared" si="187"/>
        <v>0</v>
      </c>
    </row>
    <row r="2991" spans="1:18" s="847" customFormat="1" ht="31.5">
      <c r="A2991" s="905"/>
      <c r="B2991" s="914" t="s">
        <v>4941</v>
      </c>
      <c r="C2991" s="915"/>
      <c r="D2991" s="915"/>
      <c r="E2991" s="916" t="s">
        <v>4942</v>
      </c>
      <c r="F2991" s="917" t="s">
        <v>94</v>
      </c>
      <c r="G2991" s="918"/>
      <c r="H2991" s="919"/>
      <c r="I2991" s="920"/>
      <c r="J2991" s="891">
        <f>SUM(J2992:J2996)</f>
        <v>1825</v>
      </c>
      <c r="K2991" s="891"/>
      <c r="L2991" s="891">
        <f>SUM(L2992:L2996)</f>
        <v>91735.182000000001</v>
      </c>
      <c r="M2991" s="891"/>
      <c r="N2991" s="891">
        <f>SUM(N2992:N2996)</f>
        <v>0</v>
      </c>
      <c r="O2991" s="892">
        <f t="shared" si="184"/>
        <v>1</v>
      </c>
      <c r="P2991" s="903">
        <f t="shared" si="185"/>
        <v>0</v>
      </c>
      <c r="Q2991" s="893">
        <f t="shared" si="186"/>
        <v>0</v>
      </c>
      <c r="R2991" s="894">
        <f t="shared" si="187"/>
        <v>5</v>
      </c>
    </row>
    <row r="2992" spans="1:18" s="904" customFormat="1">
      <c r="A2992" s="895"/>
      <c r="B2992" s="896"/>
      <c r="C2992" s="897"/>
      <c r="D2992" s="897"/>
      <c r="E2992" s="924" t="s">
        <v>108</v>
      </c>
      <c r="F2992" s="899"/>
      <c r="G2992" s="900"/>
      <c r="H2992" s="901"/>
      <c r="I2992" s="902"/>
      <c r="J2992" s="902"/>
      <c r="K2992" s="912" t="s">
        <v>274</v>
      </c>
      <c r="L2992" s="902"/>
      <c r="M2992" s="902"/>
      <c r="N2992" s="902"/>
      <c r="O2992" s="892">
        <f t="shared" si="184"/>
        <v>0</v>
      </c>
      <c r="P2992" s="903">
        <f t="shared" si="185"/>
        <v>1</v>
      </c>
      <c r="Q2992" s="893">
        <f t="shared" si="186"/>
        <v>5</v>
      </c>
      <c r="R2992" s="894">
        <f t="shared" si="187"/>
        <v>0</v>
      </c>
    </row>
    <row r="2993" spans="1:18">
      <c r="A2993" s="905"/>
      <c r="B2993" s="906"/>
      <c r="C2993" s="907">
        <v>66</v>
      </c>
      <c r="D2993" s="907" t="s">
        <v>279</v>
      </c>
      <c r="E2993" s="925" t="s">
        <v>2682</v>
      </c>
      <c r="F2993" s="926" t="s">
        <v>45</v>
      </c>
      <c r="G2993" s="910"/>
      <c r="H2993" s="911">
        <v>0.02</v>
      </c>
      <c r="I2993" s="912">
        <f>VLOOKUP(E2993,[3]VLP!$B$7:$K$300,10,0)</f>
        <v>5000</v>
      </c>
      <c r="J2993" s="912">
        <f>I2993*H2993</f>
        <v>100</v>
      </c>
      <c r="K2993" s="912" t="s">
        <v>274</v>
      </c>
      <c r="L2993" s="912"/>
      <c r="M2993" s="912"/>
      <c r="N2993" s="912"/>
      <c r="O2993" s="892">
        <f t="shared" si="184"/>
        <v>0</v>
      </c>
      <c r="P2993" s="903">
        <f t="shared" si="185"/>
        <v>1</v>
      </c>
      <c r="Q2993" s="893">
        <f t="shared" si="186"/>
        <v>4</v>
      </c>
      <c r="R2993" s="894">
        <f t="shared" si="187"/>
        <v>0</v>
      </c>
    </row>
    <row r="2994" spans="1:18">
      <c r="A2994" s="905"/>
      <c r="B2994" s="906"/>
      <c r="C2994" s="907">
        <v>44</v>
      </c>
      <c r="D2994" s="907" t="s">
        <v>279</v>
      </c>
      <c r="E2994" s="925" t="s">
        <v>2681</v>
      </c>
      <c r="F2994" s="926" t="s">
        <v>45</v>
      </c>
      <c r="G2994" s="910"/>
      <c r="H2994" s="911">
        <v>7.4999999999999997E-2</v>
      </c>
      <c r="I2994" s="912">
        <f>VLOOKUP(E2994,[3]VLP!$B$7:$K$300,10,0)</f>
        <v>23000</v>
      </c>
      <c r="J2994" s="912">
        <f>I2994*H2994</f>
        <v>1725</v>
      </c>
      <c r="K2994" s="912" t="s">
        <v>274</v>
      </c>
      <c r="L2994" s="912"/>
      <c r="M2994" s="912"/>
      <c r="N2994" s="912"/>
      <c r="O2994" s="892">
        <f t="shared" si="184"/>
        <v>0</v>
      </c>
      <c r="P2994" s="903">
        <f t="shared" si="185"/>
        <v>1</v>
      </c>
      <c r="Q2994" s="893">
        <f t="shared" si="186"/>
        <v>3</v>
      </c>
      <c r="R2994" s="894">
        <f t="shared" si="187"/>
        <v>0</v>
      </c>
    </row>
    <row r="2995" spans="1:18" s="904" customFormat="1">
      <c r="A2995" s="895"/>
      <c r="B2995" s="896"/>
      <c r="C2995" s="897"/>
      <c r="D2995" s="897"/>
      <c r="E2995" s="924" t="s">
        <v>276</v>
      </c>
      <c r="F2995" s="927"/>
      <c r="G2995" s="928"/>
      <c r="H2995" s="901"/>
      <c r="I2995" s="902"/>
      <c r="J2995" s="902"/>
      <c r="K2995" s="912" t="s">
        <v>274</v>
      </c>
      <c r="L2995" s="902"/>
      <c r="M2995" s="902"/>
      <c r="N2995" s="902"/>
      <c r="O2995" s="892">
        <f t="shared" si="184"/>
        <v>0</v>
      </c>
      <c r="P2995" s="903">
        <f t="shared" si="185"/>
        <v>1</v>
      </c>
      <c r="Q2995" s="893">
        <f t="shared" si="186"/>
        <v>2</v>
      </c>
      <c r="R2995" s="894">
        <f t="shared" si="187"/>
        <v>0</v>
      </c>
    </row>
    <row r="2996" spans="1:18">
      <c r="A2996" s="905"/>
      <c r="B2996" s="906"/>
      <c r="C2996" s="907">
        <v>740</v>
      </c>
      <c r="D2996" s="907" t="s">
        <v>12</v>
      </c>
      <c r="E2996" s="908" t="s">
        <v>4008</v>
      </c>
      <c r="F2996" s="909" t="s">
        <v>2674</v>
      </c>
      <c r="G2996" s="910"/>
      <c r="H2996" s="911">
        <v>0.36299999999999999</v>
      </c>
      <c r="I2996" s="912"/>
      <c r="J2996" s="912"/>
      <c r="K2996" s="912">
        <f>VLOOKUP(E2996,ĐMNC!$A$7:$F$67,4,0)</f>
        <v>252714</v>
      </c>
      <c r="L2996" s="912">
        <f>H2996*K2996</f>
        <v>91735.182000000001</v>
      </c>
      <c r="M2996" s="912"/>
      <c r="N2996" s="912"/>
      <c r="O2996" s="892">
        <f t="shared" si="184"/>
        <v>0</v>
      </c>
      <c r="P2996" s="903">
        <f t="shared" si="185"/>
        <v>1</v>
      </c>
      <c r="Q2996" s="893">
        <f t="shared" si="186"/>
        <v>1</v>
      </c>
      <c r="R2996" s="894">
        <f t="shared" si="187"/>
        <v>0</v>
      </c>
    </row>
    <row r="2997" spans="1:18" s="847" customFormat="1" ht="31.5">
      <c r="A2997" s="905"/>
      <c r="B2997" s="914" t="s">
        <v>4943</v>
      </c>
      <c r="C2997" s="915"/>
      <c r="D2997" s="915"/>
      <c r="E2997" s="916" t="s">
        <v>4944</v>
      </c>
      <c r="F2997" s="917" t="s">
        <v>94</v>
      </c>
      <c r="G2997" s="918"/>
      <c r="H2997" s="919"/>
      <c r="I2997" s="920"/>
      <c r="J2997" s="891">
        <f>SUM(J2998:J3002)</f>
        <v>1825</v>
      </c>
      <c r="K2997" s="891"/>
      <c r="L2997" s="891">
        <f>SUM(L2998:L3002)</f>
        <v>75056.05799999999</v>
      </c>
      <c r="M2997" s="891"/>
      <c r="N2997" s="891">
        <f>SUM(N2998:N3002)</f>
        <v>0</v>
      </c>
      <c r="O2997" s="892">
        <f t="shared" si="184"/>
        <v>1</v>
      </c>
      <c r="P2997" s="903">
        <f t="shared" si="185"/>
        <v>0</v>
      </c>
      <c r="Q2997" s="893">
        <f t="shared" si="186"/>
        <v>0</v>
      </c>
      <c r="R2997" s="894">
        <f t="shared" si="187"/>
        <v>5</v>
      </c>
    </row>
    <row r="2998" spans="1:18" s="904" customFormat="1">
      <c r="A2998" s="895"/>
      <c r="B2998" s="896"/>
      <c r="C2998" s="897"/>
      <c r="D2998" s="897"/>
      <c r="E2998" s="924" t="s">
        <v>108</v>
      </c>
      <c r="F2998" s="899"/>
      <c r="G2998" s="900"/>
      <c r="H2998" s="901"/>
      <c r="I2998" s="902"/>
      <c r="J2998" s="902"/>
      <c r="K2998" s="912" t="s">
        <v>274</v>
      </c>
      <c r="L2998" s="902"/>
      <c r="M2998" s="902"/>
      <c r="N2998" s="902"/>
      <c r="O2998" s="892">
        <f t="shared" si="184"/>
        <v>0</v>
      </c>
      <c r="P2998" s="903">
        <f t="shared" si="185"/>
        <v>1</v>
      </c>
      <c r="Q2998" s="893">
        <f t="shared" si="186"/>
        <v>5</v>
      </c>
      <c r="R2998" s="894">
        <f t="shared" si="187"/>
        <v>0</v>
      </c>
    </row>
    <row r="2999" spans="1:18">
      <c r="A2999" s="905"/>
      <c r="B2999" s="906"/>
      <c r="C2999" s="907">
        <v>66</v>
      </c>
      <c r="D2999" s="907" t="s">
        <v>279</v>
      </c>
      <c r="E2999" s="925" t="s">
        <v>2682</v>
      </c>
      <c r="F2999" s="926" t="s">
        <v>45</v>
      </c>
      <c r="G2999" s="910"/>
      <c r="H2999" s="911">
        <v>0.02</v>
      </c>
      <c r="I2999" s="912">
        <f>VLOOKUP(E2999,[3]VLP!$B$7:$K$300,10,0)</f>
        <v>5000</v>
      </c>
      <c r="J2999" s="912">
        <f>I2999*H2999</f>
        <v>100</v>
      </c>
      <c r="K2999" s="912" t="s">
        <v>274</v>
      </c>
      <c r="L2999" s="912"/>
      <c r="M2999" s="912"/>
      <c r="N2999" s="912"/>
      <c r="O2999" s="892">
        <f t="shared" si="184"/>
        <v>0</v>
      </c>
      <c r="P2999" s="903">
        <f t="shared" si="185"/>
        <v>1</v>
      </c>
      <c r="Q2999" s="893">
        <f t="shared" si="186"/>
        <v>4</v>
      </c>
      <c r="R2999" s="894">
        <f t="shared" si="187"/>
        <v>0</v>
      </c>
    </row>
    <row r="3000" spans="1:18">
      <c r="A3000" s="905"/>
      <c r="B3000" s="906"/>
      <c r="C3000" s="907">
        <v>44</v>
      </c>
      <c r="D3000" s="907" t="s">
        <v>279</v>
      </c>
      <c r="E3000" s="925" t="s">
        <v>2681</v>
      </c>
      <c r="F3000" s="926" t="s">
        <v>45</v>
      </c>
      <c r="G3000" s="910"/>
      <c r="H3000" s="911">
        <v>7.4999999999999997E-2</v>
      </c>
      <c r="I3000" s="912">
        <f>VLOOKUP(E3000,[3]VLP!$B$7:$K$300,10,0)</f>
        <v>23000</v>
      </c>
      <c r="J3000" s="912">
        <f>I3000*H3000</f>
        <v>1725</v>
      </c>
      <c r="K3000" s="912" t="s">
        <v>274</v>
      </c>
      <c r="L3000" s="912"/>
      <c r="M3000" s="912"/>
      <c r="N3000" s="912"/>
      <c r="O3000" s="892">
        <f t="shared" si="184"/>
        <v>0</v>
      </c>
      <c r="P3000" s="903">
        <f t="shared" si="185"/>
        <v>1</v>
      </c>
      <c r="Q3000" s="893">
        <f t="shared" si="186"/>
        <v>3</v>
      </c>
      <c r="R3000" s="894">
        <f t="shared" si="187"/>
        <v>0</v>
      </c>
    </row>
    <row r="3001" spans="1:18" s="904" customFormat="1">
      <c r="A3001" s="895"/>
      <c r="B3001" s="896"/>
      <c r="C3001" s="897"/>
      <c r="D3001" s="897"/>
      <c r="E3001" s="924" t="s">
        <v>276</v>
      </c>
      <c r="F3001" s="927"/>
      <c r="G3001" s="928"/>
      <c r="H3001" s="901"/>
      <c r="I3001" s="902"/>
      <c r="J3001" s="902"/>
      <c r="K3001" s="912" t="s">
        <v>274</v>
      </c>
      <c r="L3001" s="902"/>
      <c r="M3001" s="902"/>
      <c r="N3001" s="902"/>
      <c r="O3001" s="892">
        <f t="shared" si="184"/>
        <v>0</v>
      </c>
      <c r="P3001" s="903">
        <f t="shared" si="185"/>
        <v>1</v>
      </c>
      <c r="Q3001" s="893">
        <f t="shared" si="186"/>
        <v>2</v>
      </c>
      <c r="R3001" s="894">
        <f t="shared" si="187"/>
        <v>0</v>
      </c>
    </row>
    <row r="3002" spans="1:18">
      <c r="A3002" s="905"/>
      <c r="B3002" s="906"/>
      <c r="C3002" s="907">
        <v>740</v>
      </c>
      <c r="D3002" s="907" t="s">
        <v>12</v>
      </c>
      <c r="E3002" s="908" t="s">
        <v>4008</v>
      </c>
      <c r="F3002" s="909" t="s">
        <v>2674</v>
      </c>
      <c r="G3002" s="910"/>
      <c r="H3002" s="911">
        <v>0.29699999999999999</v>
      </c>
      <c r="I3002" s="912"/>
      <c r="J3002" s="912"/>
      <c r="K3002" s="912">
        <f>VLOOKUP(E3002,ĐMNC!$A$7:$F$67,4,0)</f>
        <v>252714</v>
      </c>
      <c r="L3002" s="912">
        <f>H3002*K3002</f>
        <v>75056.05799999999</v>
      </c>
      <c r="M3002" s="912"/>
      <c r="N3002" s="912"/>
      <c r="O3002" s="892">
        <f t="shared" si="184"/>
        <v>0</v>
      </c>
      <c r="P3002" s="903">
        <f t="shared" si="185"/>
        <v>1</v>
      </c>
      <c r="Q3002" s="893">
        <f t="shared" si="186"/>
        <v>1</v>
      </c>
      <c r="R3002" s="894">
        <f t="shared" si="187"/>
        <v>0</v>
      </c>
    </row>
    <row r="3003" spans="1:18" s="847" customFormat="1" ht="31.5">
      <c r="A3003" s="905"/>
      <c r="B3003" s="914" t="s">
        <v>4945</v>
      </c>
      <c r="C3003" s="915"/>
      <c r="D3003" s="915"/>
      <c r="E3003" s="916" t="s">
        <v>4946</v>
      </c>
      <c r="F3003" s="917" t="s">
        <v>94</v>
      </c>
      <c r="G3003" s="918"/>
      <c r="H3003" s="919"/>
      <c r="I3003" s="920"/>
      <c r="J3003" s="891">
        <f>SUM(J3004:J3008)</f>
        <v>3945</v>
      </c>
      <c r="K3003" s="891"/>
      <c r="L3003" s="891">
        <f>SUM(L3004:L3008)</f>
        <v>143036.12399999998</v>
      </c>
      <c r="M3003" s="891"/>
      <c r="N3003" s="891">
        <f>SUM(N3004:N3008)</f>
        <v>0</v>
      </c>
      <c r="O3003" s="892">
        <f t="shared" si="184"/>
        <v>1</v>
      </c>
      <c r="P3003" s="903">
        <f t="shared" si="185"/>
        <v>0</v>
      </c>
      <c r="Q3003" s="893">
        <f t="shared" si="186"/>
        <v>0</v>
      </c>
      <c r="R3003" s="894">
        <f t="shared" si="187"/>
        <v>5</v>
      </c>
    </row>
    <row r="3004" spans="1:18" s="904" customFormat="1">
      <c r="A3004" s="895"/>
      <c r="B3004" s="922"/>
      <c r="C3004" s="897"/>
      <c r="D3004" s="897"/>
      <c r="E3004" s="924" t="s">
        <v>108</v>
      </c>
      <c r="F3004" s="899"/>
      <c r="G3004" s="900"/>
      <c r="H3004" s="901"/>
      <c r="I3004" s="902"/>
      <c r="J3004" s="902"/>
      <c r="K3004" s="912" t="s">
        <v>274</v>
      </c>
      <c r="L3004" s="902"/>
      <c r="M3004" s="902"/>
      <c r="N3004" s="902"/>
      <c r="O3004" s="892">
        <f t="shared" si="184"/>
        <v>0</v>
      </c>
      <c r="P3004" s="903">
        <f t="shared" si="185"/>
        <v>1</v>
      </c>
      <c r="Q3004" s="893">
        <f t="shared" si="186"/>
        <v>5</v>
      </c>
      <c r="R3004" s="894">
        <f t="shared" si="187"/>
        <v>0</v>
      </c>
    </row>
    <row r="3005" spans="1:18">
      <c r="A3005" s="905"/>
      <c r="B3005" s="906"/>
      <c r="C3005" s="907">
        <v>66</v>
      </c>
      <c r="D3005" s="907" t="s">
        <v>279</v>
      </c>
      <c r="E3005" s="925" t="s">
        <v>2682</v>
      </c>
      <c r="F3005" s="926" t="s">
        <v>45</v>
      </c>
      <c r="G3005" s="910"/>
      <c r="H3005" s="911">
        <v>0.03</v>
      </c>
      <c r="I3005" s="912">
        <f>VLOOKUP(E3005,[3]VLP!$B$7:$K$300,10,0)</f>
        <v>5000</v>
      </c>
      <c r="J3005" s="912">
        <f>I3005*H3005</f>
        <v>150</v>
      </c>
      <c r="K3005" s="912" t="s">
        <v>274</v>
      </c>
      <c r="L3005" s="912"/>
      <c r="M3005" s="912"/>
      <c r="N3005" s="912"/>
      <c r="O3005" s="892">
        <f t="shared" si="184"/>
        <v>0</v>
      </c>
      <c r="P3005" s="903">
        <f t="shared" si="185"/>
        <v>1</v>
      </c>
      <c r="Q3005" s="893">
        <f t="shared" si="186"/>
        <v>4</v>
      </c>
      <c r="R3005" s="894">
        <f t="shared" si="187"/>
        <v>0</v>
      </c>
    </row>
    <row r="3006" spans="1:18">
      <c r="A3006" s="905"/>
      <c r="B3006" s="906"/>
      <c r="C3006" s="907">
        <v>44</v>
      </c>
      <c r="D3006" s="907" t="s">
        <v>279</v>
      </c>
      <c r="E3006" s="925" t="s">
        <v>2681</v>
      </c>
      <c r="F3006" s="926" t="s">
        <v>45</v>
      </c>
      <c r="G3006" s="910"/>
      <c r="H3006" s="911">
        <v>0.16500000000000001</v>
      </c>
      <c r="I3006" s="912">
        <f>VLOOKUP(E3006,[3]VLP!$B$7:$K$300,10,0)</f>
        <v>23000</v>
      </c>
      <c r="J3006" s="912">
        <f>I3006*H3006</f>
        <v>3795</v>
      </c>
      <c r="K3006" s="912" t="s">
        <v>274</v>
      </c>
      <c r="L3006" s="912"/>
      <c r="M3006" s="912"/>
      <c r="N3006" s="912"/>
      <c r="O3006" s="892">
        <f t="shared" si="184"/>
        <v>0</v>
      </c>
      <c r="P3006" s="903">
        <f t="shared" si="185"/>
        <v>1</v>
      </c>
      <c r="Q3006" s="893">
        <f t="shared" si="186"/>
        <v>3</v>
      </c>
      <c r="R3006" s="894">
        <f t="shared" si="187"/>
        <v>0</v>
      </c>
    </row>
    <row r="3007" spans="1:18" s="904" customFormat="1">
      <c r="A3007" s="895"/>
      <c r="B3007" s="896"/>
      <c r="C3007" s="897"/>
      <c r="D3007" s="897"/>
      <c r="E3007" s="924" t="s">
        <v>276</v>
      </c>
      <c r="F3007" s="927"/>
      <c r="G3007" s="928"/>
      <c r="H3007" s="901"/>
      <c r="I3007" s="902"/>
      <c r="J3007" s="902"/>
      <c r="K3007" s="912" t="s">
        <v>274</v>
      </c>
      <c r="L3007" s="902"/>
      <c r="M3007" s="902"/>
      <c r="N3007" s="902"/>
      <c r="O3007" s="892">
        <f t="shared" si="184"/>
        <v>0</v>
      </c>
      <c r="P3007" s="903">
        <f t="shared" si="185"/>
        <v>1</v>
      </c>
      <c r="Q3007" s="893">
        <f t="shared" si="186"/>
        <v>2</v>
      </c>
      <c r="R3007" s="894">
        <f t="shared" si="187"/>
        <v>0</v>
      </c>
    </row>
    <row r="3008" spans="1:18">
      <c r="A3008" s="905"/>
      <c r="B3008" s="906"/>
      <c r="C3008" s="907">
        <v>740</v>
      </c>
      <c r="D3008" s="907" t="s">
        <v>12</v>
      </c>
      <c r="E3008" s="908" t="s">
        <v>4008</v>
      </c>
      <c r="F3008" s="909" t="s">
        <v>2674</v>
      </c>
      <c r="G3008" s="910"/>
      <c r="H3008" s="911">
        <v>0.56599999999999995</v>
      </c>
      <c r="I3008" s="912"/>
      <c r="J3008" s="912"/>
      <c r="K3008" s="912">
        <f>VLOOKUP(E3008,ĐMNC!$A$7:$F$67,4,0)</f>
        <v>252714</v>
      </c>
      <c r="L3008" s="912">
        <f>H3008*K3008</f>
        <v>143036.12399999998</v>
      </c>
      <c r="M3008" s="912"/>
      <c r="N3008" s="912"/>
      <c r="O3008" s="892">
        <f t="shared" si="184"/>
        <v>0</v>
      </c>
      <c r="P3008" s="903">
        <f t="shared" si="185"/>
        <v>1</v>
      </c>
      <c r="Q3008" s="893">
        <f t="shared" si="186"/>
        <v>1</v>
      </c>
      <c r="R3008" s="894">
        <f t="shared" si="187"/>
        <v>0</v>
      </c>
    </row>
    <row r="3009" spans="1:18" s="847" customFormat="1" ht="31.5">
      <c r="A3009" s="905"/>
      <c r="B3009" s="914" t="s">
        <v>4947</v>
      </c>
      <c r="C3009" s="915"/>
      <c r="D3009" s="915"/>
      <c r="E3009" s="916" t="s">
        <v>4948</v>
      </c>
      <c r="F3009" s="917" t="s">
        <v>94</v>
      </c>
      <c r="G3009" s="918"/>
      <c r="H3009" s="919"/>
      <c r="I3009" s="920"/>
      <c r="J3009" s="891">
        <f>SUM(J3010:J3014)</f>
        <v>3945</v>
      </c>
      <c r="K3009" s="891"/>
      <c r="L3009" s="891">
        <f>SUM(L3010:L3014)</f>
        <v>151375.68599999999</v>
      </c>
      <c r="M3009" s="891"/>
      <c r="N3009" s="891">
        <f>SUM(N3010:N3014)</f>
        <v>0</v>
      </c>
      <c r="O3009" s="892">
        <f t="shared" si="184"/>
        <v>1</v>
      </c>
      <c r="P3009" s="903">
        <f t="shared" si="185"/>
        <v>0</v>
      </c>
      <c r="Q3009" s="893">
        <f t="shared" si="186"/>
        <v>0</v>
      </c>
      <c r="R3009" s="894">
        <f t="shared" si="187"/>
        <v>5</v>
      </c>
    </row>
    <row r="3010" spans="1:18" s="904" customFormat="1">
      <c r="A3010" s="895"/>
      <c r="B3010" s="896"/>
      <c r="C3010" s="897"/>
      <c r="D3010" s="897"/>
      <c r="E3010" s="924" t="s">
        <v>108</v>
      </c>
      <c r="F3010" s="899"/>
      <c r="G3010" s="900"/>
      <c r="H3010" s="901"/>
      <c r="I3010" s="902"/>
      <c r="J3010" s="902"/>
      <c r="K3010" s="912" t="s">
        <v>274</v>
      </c>
      <c r="L3010" s="902"/>
      <c r="M3010" s="902"/>
      <c r="N3010" s="902"/>
      <c r="O3010" s="892">
        <f t="shared" si="184"/>
        <v>0</v>
      </c>
      <c r="P3010" s="903">
        <f t="shared" si="185"/>
        <v>1</v>
      </c>
      <c r="Q3010" s="893">
        <f t="shared" si="186"/>
        <v>5</v>
      </c>
      <c r="R3010" s="894">
        <f t="shared" si="187"/>
        <v>0</v>
      </c>
    </row>
    <row r="3011" spans="1:18">
      <c r="A3011" s="905"/>
      <c r="B3011" s="906"/>
      <c r="C3011" s="907">
        <v>66</v>
      </c>
      <c r="D3011" s="907" t="s">
        <v>279</v>
      </c>
      <c r="E3011" s="925" t="s">
        <v>2682</v>
      </c>
      <c r="F3011" s="926" t="s">
        <v>45</v>
      </c>
      <c r="G3011" s="910"/>
      <c r="H3011" s="911">
        <v>0.03</v>
      </c>
      <c r="I3011" s="912">
        <f>VLOOKUP(E3011,[3]VLP!$B$7:$K$300,10,0)</f>
        <v>5000</v>
      </c>
      <c r="J3011" s="912">
        <f>I3011*H3011</f>
        <v>150</v>
      </c>
      <c r="K3011" s="912" t="s">
        <v>274</v>
      </c>
      <c r="L3011" s="912"/>
      <c r="M3011" s="912"/>
      <c r="N3011" s="912"/>
      <c r="O3011" s="892">
        <f t="shared" si="184"/>
        <v>0</v>
      </c>
      <c r="P3011" s="903">
        <f t="shared" si="185"/>
        <v>1</v>
      </c>
      <c r="Q3011" s="893">
        <f t="shared" si="186"/>
        <v>4</v>
      </c>
      <c r="R3011" s="894">
        <f t="shared" si="187"/>
        <v>0</v>
      </c>
    </row>
    <row r="3012" spans="1:18">
      <c r="A3012" s="905"/>
      <c r="B3012" s="906"/>
      <c r="C3012" s="907">
        <v>44</v>
      </c>
      <c r="D3012" s="907" t="s">
        <v>279</v>
      </c>
      <c r="E3012" s="925" t="s">
        <v>2681</v>
      </c>
      <c r="F3012" s="926" t="s">
        <v>45</v>
      </c>
      <c r="G3012" s="910"/>
      <c r="H3012" s="911">
        <v>0.16500000000000001</v>
      </c>
      <c r="I3012" s="912">
        <f>VLOOKUP(E3012,[3]VLP!$B$7:$K$300,10,0)</f>
        <v>23000</v>
      </c>
      <c r="J3012" s="912">
        <f>I3012*H3012</f>
        <v>3795</v>
      </c>
      <c r="K3012" s="912" t="s">
        <v>274</v>
      </c>
      <c r="L3012" s="912"/>
      <c r="M3012" s="912"/>
      <c r="N3012" s="912"/>
      <c r="O3012" s="892">
        <f t="shared" si="184"/>
        <v>0</v>
      </c>
      <c r="P3012" s="903">
        <f t="shared" si="185"/>
        <v>1</v>
      </c>
      <c r="Q3012" s="893">
        <f t="shared" si="186"/>
        <v>3</v>
      </c>
      <c r="R3012" s="894">
        <f t="shared" si="187"/>
        <v>0</v>
      </c>
    </row>
    <row r="3013" spans="1:18" s="904" customFormat="1">
      <c r="A3013" s="895"/>
      <c r="B3013" s="896"/>
      <c r="C3013" s="897"/>
      <c r="D3013" s="897"/>
      <c r="E3013" s="924" t="s">
        <v>276</v>
      </c>
      <c r="F3013" s="927"/>
      <c r="G3013" s="928"/>
      <c r="H3013" s="901"/>
      <c r="I3013" s="902"/>
      <c r="J3013" s="902"/>
      <c r="K3013" s="912" t="s">
        <v>274</v>
      </c>
      <c r="L3013" s="902"/>
      <c r="M3013" s="902"/>
      <c r="N3013" s="902"/>
      <c r="O3013" s="892">
        <f t="shared" si="184"/>
        <v>0</v>
      </c>
      <c r="P3013" s="903">
        <f t="shared" si="185"/>
        <v>1</v>
      </c>
      <c r="Q3013" s="893">
        <f t="shared" si="186"/>
        <v>2</v>
      </c>
      <c r="R3013" s="894">
        <f t="shared" si="187"/>
        <v>0</v>
      </c>
    </row>
    <row r="3014" spans="1:18">
      <c r="A3014" s="905"/>
      <c r="B3014" s="906"/>
      <c r="C3014" s="907">
        <v>740</v>
      </c>
      <c r="D3014" s="907" t="s">
        <v>12</v>
      </c>
      <c r="E3014" s="908" t="s">
        <v>4008</v>
      </c>
      <c r="F3014" s="909" t="s">
        <v>2674</v>
      </c>
      <c r="G3014" s="910"/>
      <c r="H3014" s="911">
        <v>0.59899999999999998</v>
      </c>
      <c r="I3014" s="912"/>
      <c r="J3014" s="912"/>
      <c r="K3014" s="912">
        <f>VLOOKUP(E3014,ĐMNC!$A$7:$F$67,4,0)</f>
        <v>252714</v>
      </c>
      <c r="L3014" s="912">
        <f>H3014*K3014</f>
        <v>151375.68599999999</v>
      </c>
      <c r="M3014" s="912"/>
      <c r="N3014" s="912"/>
      <c r="O3014" s="892">
        <f t="shared" si="184"/>
        <v>0</v>
      </c>
      <c r="P3014" s="903">
        <f t="shared" si="185"/>
        <v>1</v>
      </c>
      <c r="Q3014" s="893">
        <f t="shared" si="186"/>
        <v>1</v>
      </c>
      <c r="R3014" s="894">
        <f t="shared" si="187"/>
        <v>0</v>
      </c>
    </row>
    <row r="3015" spans="1:18" s="847" customFormat="1" ht="31.5">
      <c r="A3015" s="905"/>
      <c r="B3015" s="914" t="s">
        <v>4949</v>
      </c>
      <c r="C3015" s="915"/>
      <c r="D3015" s="915"/>
      <c r="E3015" s="916" t="s">
        <v>4950</v>
      </c>
      <c r="F3015" s="917" t="s">
        <v>94</v>
      </c>
      <c r="G3015" s="918"/>
      <c r="H3015" s="919"/>
      <c r="I3015" s="920"/>
      <c r="J3015" s="891">
        <f>SUM(J3016:J3020)</f>
        <v>3945</v>
      </c>
      <c r="K3015" s="891"/>
      <c r="L3015" s="891">
        <f>SUM(L3016:L3020)</f>
        <v>171340.092</v>
      </c>
      <c r="M3015" s="891"/>
      <c r="N3015" s="891">
        <f>SUM(N3016:N3020)</f>
        <v>0</v>
      </c>
      <c r="O3015" s="892">
        <f t="shared" si="184"/>
        <v>1</v>
      </c>
      <c r="P3015" s="903">
        <f t="shared" si="185"/>
        <v>0</v>
      </c>
      <c r="Q3015" s="893">
        <f t="shared" si="186"/>
        <v>0</v>
      </c>
      <c r="R3015" s="894">
        <f t="shared" si="187"/>
        <v>5</v>
      </c>
    </row>
    <row r="3016" spans="1:18" s="904" customFormat="1">
      <c r="A3016" s="895"/>
      <c r="B3016" s="896"/>
      <c r="C3016" s="897"/>
      <c r="D3016" s="897"/>
      <c r="E3016" s="924" t="s">
        <v>108</v>
      </c>
      <c r="F3016" s="899"/>
      <c r="G3016" s="900"/>
      <c r="H3016" s="901"/>
      <c r="I3016" s="902"/>
      <c r="J3016" s="902"/>
      <c r="K3016" s="912" t="s">
        <v>274</v>
      </c>
      <c r="L3016" s="902"/>
      <c r="M3016" s="902"/>
      <c r="N3016" s="902"/>
      <c r="O3016" s="892">
        <f t="shared" si="184"/>
        <v>0</v>
      </c>
      <c r="P3016" s="903">
        <f t="shared" si="185"/>
        <v>1</v>
      </c>
      <c r="Q3016" s="893">
        <f t="shared" si="186"/>
        <v>5</v>
      </c>
      <c r="R3016" s="894">
        <f t="shared" si="187"/>
        <v>0</v>
      </c>
    </row>
    <row r="3017" spans="1:18">
      <c r="A3017" s="905"/>
      <c r="B3017" s="906"/>
      <c r="C3017" s="907">
        <v>66</v>
      </c>
      <c r="D3017" s="907" t="s">
        <v>279</v>
      </c>
      <c r="E3017" s="925" t="s">
        <v>2682</v>
      </c>
      <c r="F3017" s="926" t="s">
        <v>45</v>
      </c>
      <c r="G3017" s="910"/>
      <c r="H3017" s="911">
        <v>0.03</v>
      </c>
      <c r="I3017" s="912">
        <f>VLOOKUP(E3017,[3]VLP!$B$7:$K$300,10,0)</f>
        <v>5000</v>
      </c>
      <c r="J3017" s="912">
        <f>I3017*H3017</f>
        <v>150</v>
      </c>
      <c r="K3017" s="912" t="s">
        <v>274</v>
      </c>
      <c r="L3017" s="912"/>
      <c r="M3017" s="912"/>
      <c r="N3017" s="912"/>
      <c r="O3017" s="892">
        <f t="shared" si="184"/>
        <v>0</v>
      </c>
      <c r="P3017" s="903">
        <f t="shared" si="185"/>
        <v>1</v>
      </c>
      <c r="Q3017" s="893">
        <f t="shared" si="186"/>
        <v>4</v>
      </c>
      <c r="R3017" s="894">
        <f t="shared" si="187"/>
        <v>0</v>
      </c>
    </row>
    <row r="3018" spans="1:18">
      <c r="A3018" s="905"/>
      <c r="B3018" s="906"/>
      <c r="C3018" s="907">
        <v>44</v>
      </c>
      <c r="D3018" s="907" t="s">
        <v>279</v>
      </c>
      <c r="E3018" s="925" t="s">
        <v>2681</v>
      </c>
      <c r="F3018" s="926" t="s">
        <v>45</v>
      </c>
      <c r="G3018" s="910"/>
      <c r="H3018" s="911">
        <v>0.16500000000000001</v>
      </c>
      <c r="I3018" s="912">
        <f>VLOOKUP(E3018,[3]VLP!$B$7:$K$300,10,0)</f>
        <v>23000</v>
      </c>
      <c r="J3018" s="912">
        <f>I3018*H3018</f>
        <v>3795</v>
      </c>
      <c r="K3018" s="912" t="s">
        <v>274</v>
      </c>
      <c r="L3018" s="912"/>
      <c r="M3018" s="912"/>
      <c r="N3018" s="912"/>
      <c r="O3018" s="892">
        <f t="shared" si="184"/>
        <v>0</v>
      </c>
      <c r="P3018" s="903">
        <f t="shared" si="185"/>
        <v>1</v>
      </c>
      <c r="Q3018" s="893">
        <f t="shared" si="186"/>
        <v>3</v>
      </c>
      <c r="R3018" s="894">
        <f t="shared" si="187"/>
        <v>0</v>
      </c>
    </row>
    <row r="3019" spans="1:18" s="904" customFormat="1">
      <c r="A3019" s="895"/>
      <c r="B3019" s="896"/>
      <c r="C3019" s="897"/>
      <c r="D3019" s="897"/>
      <c r="E3019" s="924" t="s">
        <v>276</v>
      </c>
      <c r="F3019" s="927"/>
      <c r="G3019" s="928"/>
      <c r="H3019" s="901"/>
      <c r="I3019" s="902"/>
      <c r="J3019" s="902"/>
      <c r="K3019" s="912" t="s">
        <v>274</v>
      </c>
      <c r="L3019" s="902"/>
      <c r="M3019" s="902"/>
      <c r="N3019" s="902"/>
      <c r="O3019" s="892">
        <f t="shared" si="184"/>
        <v>0</v>
      </c>
      <c r="P3019" s="903">
        <f t="shared" si="185"/>
        <v>1</v>
      </c>
      <c r="Q3019" s="893">
        <f t="shared" si="186"/>
        <v>2</v>
      </c>
      <c r="R3019" s="894">
        <f t="shared" si="187"/>
        <v>0</v>
      </c>
    </row>
    <row r="3020" spans="1:18">
      <c r="A3020" s="905"/>
      <c r="B3020" s="906"/>
      <c r="C3020" s="907">
        <v>740</v>
      </c>
      <c r="D3020" s="907" t="s">
        <v>12</v>
      </c>
      <c r="E3020" s="908" t="s">
        <v>4008</v>
      </c>
      <c r="F3020" s="909" t="s">
        <v>2674</v>
      </c>
      <c r="G3020" s="910"/>
      <c r="H3020" s="911">
        <v>0.67800000000000005</v>
      </c>
      <c r="I3020" s="912"/>
      <c r="J3020" s="912"/>
      <c r="K3020" s="912">
        <f>VLOOKUP(E3020,ĐMNC!$A$7:$F$67,4,0)</f>
        <v>252714</v>
      </c>
      <c r="L3020" s="912">
        <f>H3020*K3020</f>
        <v>171340.092</v>
      </c>
      <c r="M3020" s="912"/>
      <c r="N3020" s="912"/>
      <c r="O3020" s="892">
        <f t="shared" ref="O3020:O3084" si="188">IF(AND(B3020&lt;&gt;"",D3020=""),1,0)</f>
        <v>0</v>
      </c>
      <c r="P3020" s="903">
        <f t="shared" si="185"/>
        <v>1</v>
      </c>
      <c r="Q3020" s="893">
        <f t="shared" si="186"/>
        <v>1</v>
      </c>
      <c r="R3020" s="894">
        <f t="shared" si="187"/>
        <v>0</v>
      </c>
    </row>
    <row r="3021" spans="1:18" s="847" customFormat="1" ht="31.5">
      <c r="A3021" s="905"/>
      <c r="B3021" s="914" t="s">
        <v>4951</v>
      </c>
      <c r="C3021" s="915"/>
      <c r="D3021" s="915"/>
      <c r="E3021" s="916" t="s">
        <v>4952</v>
      </c>
      <c r="F3021" s="917" t="s">
        <v>94</v>
      </c>
      <c r="G3021" s="918"/>
      <c r="H3021" s="919"/>
      <c r="I3021" s="920"/>
      <c r="J3021" s="891">
        <f>SUM(J3022:J3026)</f>
        <v>3945</v>
      </c>
      <c r="K3021" s="891"/>
      <c r="L3021" s="891">
        <f>SUM(L3022:L3026)</f>
        <v>191051.78400000001</v>
      </c>
      <c r="M3021" s="891"/>
      <c r="N3021" s="891">
        <f>SUM(N3022:N3026)</f>
        <v>0</v>
      </c>
      <c r="O3021" s="892">
        <f t="shared" si="188"/>
        <v>1</v>
      </c>
      <c r="P3021" s="903">
        <f t="shared" si="185"/>
        <v>0</v>
      </c>
      <c r="Q3021" s="893">
        <f t="shared" si="186"/>
        <v>0</v>
      </c>
      <c r="R3021" s="894">
        <f t="shared" si="187"/>
        <v>5</v>
      </c>
    </row>
    <row r="3022" spans="1:18" s="904" customFormat="1">
      <c r="A3022" s="895"/>
      <c r="B3022" s="896"/>
      <c r="C3022" s="897"/>
      <c r="D3022" s="897"/>
      <c r="E3022" s="924" t="s">
        <v>108</v>
      </c>
      <c r="F3022" s="899"/>
      <c r="G3022" s="900"/>
      <c r="H3022" s="901"/>
      <c r="I3022" s="902"/>
      <c r="J3022" s="902"/>
      <c r="K3022" s="912" t="s">
        <v>274</v>
      </c>
      <c r="L3022" s="902"/>
      <c r="M3022" s="902"/>
      <c r="N3022" s="902"/>
      <c r="O3022" s="892">
        <f t="shared" si="188"/>
        <v>0</v>
      </c>
      <c r="P3022" s="903">
        <f t="shared" si="185"/>
        <v>1</v>
      </c>
      <c r="Q3022" s="893">
        <f t="shared" si="186"/>
        <v>5</v>
      </c>
      <c r="R3022" s="894">
        <f t="shared" si="187"/>
        <v>0</v>
      </c>
    </row>
    <row r="3023" spans="1:18">
      <c r="A3023" s="905"/>
      <c r="B3023" s="906"/>
      <c r="C3023" s="907">
        <v>66</v>
      </c>
      <c r="D3023" s="907" t="s">
        <v>279</v>
      </c>
      <c r="E3023" s="925" t="s">
        <v>2682</v>
      </c>
      <c r="F3023" s="926" t="s">
        <v>45</v>
      </c>
      <c r="G3023" s="910"/>
      <c r="H3023" s="911">
        <v>0.03</v>
      </c>
      <c r="I3023" s="912">
        <f>VLOOKUP(E3023,[3]VLP!$B$7:$K$300,10,0)</f>
        <v>5000</v>
      </c>
      <c r="J3023" s="912">
        <f>I3023*H3023</f>
        <v>150</v>
      </c>
      <c r="K3023" s="912" t="s">
        <v>274</v>
      </c>
      <c r="L3023" s="912"/>
      <c r="M3023" s="912"/>
      <c r="N3023" s="912"/>
      <c r="O3023" s="892">
        <f t="shared" si="188"/>
        <v>0</v>
      </c>
      <c r="P3023" s="903">
        <f t="shared" si="185"/>
        <v>1</v>
      </c>
      <c r="Q3023" s="893">
        <f t="shared" si="186"/>
        <v>4</v>
      </c>
      <c r="R3023" s="894">
        <f t="shared" si="187"/>
        <v>0</v>
      </c>
    </row>
    <row r="3024" spans="1:18">
      <c r="A3024" s="905"/>
      <c r="B3024" s="906"/>
      <c r="C3024" s="907">
        <v>44</v>
      </c>
      <c r="D3024" s="907" t="s">
        <v>279</v>
      </c>
      <c r="E3024" s="925" t="s">
        <v>2681</v>
      </c>
      <c r="F3024" s="926" t="s">
        <v>45</v>
      </c>
      <c r="G3024" s="910"/>
      <c r="H3024" s="911">
        <v>0.16500000000000001</v>
      </c>
      <c r="I3024" s="912">
        <f>VLOOKUP(E3024,[3]VLP!$B$7:$K$300,10,0)</f>
        <v>23000</v>
      </c>
      <c r="J3024" s="912">
        <f>I3024*H3024</f>
        <v>3795</v>
      </c>
      <c r="K3024" s="912" t="s">
        <v>274</v>
      </c>
      <c r="L3024" s="912"/>
      <c r="M3024" s="912"/>
      <c r="N3024" s="912"/>
      <c r="O3024" s="892">
        <f t="shared" si="188"/>
        <v>0</v>
      </c>
      <c r="P3024" s="903">
        <f t="shared" si="185"/>
        <v>1</v>
      </c>
      <c r="Q3024" s="893">
        <f t="shared" si="186"/>
        <v>3</v>
      </c>
      <c r="R3024" s="894">
        <f t="shared" si="187"/>
        <v>0</v>
      </c>
    </row>
    <row r="3025" spans="1:18" s="904" customFormat="1">
      <c r="A3025" s="895"/>
      <c r="B3025" s="896"/>
      <c r="C3025" s="897"/>
      <c r="D3025" s="897"/>
      <c r="E3025" s="924" t="s">
        <v>276</v>
      </c>
      <c r="F3025" s="927"/>
      <c r="G3025" s="928"/>
      <c r="H3025" s="901"/>
      <c r="I3025" s="902"/>
      <c r="J3025" s="902"/>
      <c r="K3025" s="912" t="s">
        <v>274</v>
      </c>
      <c r="L3025" s="902"/>
      <c r="M3025" s="902"/>
      <c r="N3025" s="902"/>
      <c r="O3025" s="892">
        <f t="shared" si="188"/>
        <v>0</v>
      </c>
      <c r="P3025" s="903">
        <f t="shared" si="185"/>
        <v>1</v>
      </c>
      <c r="Q3025" s="893">
        <f t="shared" si="186"/>
        <v>2</v>
      </c>
      <c r="R3025" s="894">
        <f t="shared" si="187"/>
        <v>0</v>
      </c>
    </row>
    <row r="3026" spans="1:18">
      <c r="A3026" s="905"/>
      <c r="B3026" s="906"/>
      <c r="C3026" s="907">
        <v>740</v>
      </c>
      <c r="D3026" s="907" t="s">
        <v>12</v>
      </c>
      <c r="E3026" s="908" t="s">
        <v>4008</v>
      </c>
      <c r="F3026" s="909" t="s">
        <v>2674</v>
      </c>
      <c r="G3026" s="910"/>
      <c r="H3026" s="911">
        <v>0.75600000000000001</v>
      </c>
      <c r="I3026" s="912"/>
      <c r="J3026" s="912"/>
      <c r="K3026" s="912">
        <f>VLOOKUP(E3026,ĐMNC!$A$7:$F$67,4,0)</f>
        <v>252714</v>
      </c>
      <c r="L3026" s="912">
        <f>H3026*K3026</f>
        <v>191051.78400000001</v>
      </c>
      <c r="M3026" s="912"/>
      <c r="N3026" s="912"/>
      <c r="O3026" s="892">
        <f t="shared" si="188"/>
        <v>0</v>
      </c>
      <c r="P3026" s="903">
        <f t="shared" si="185"/>
        <v>1</v>
      </c>
      <c r="Q3026" s="893">
        <f t="shared" si="186"/>
        <v>1</v>
      </c>
      <c r="R3026" s="894">
        <f t="shared" si="187"/>
        <v>0</v>
      </c>
    </row>
    <row r="3027" spans="1:18" s="847" customFormat="1" ht="31.5">
      <c r="A3027" s="905"/>
      <c r="B3027" s="914" t="s">
        <v>4953</v>
      </c>
      <c r="C3027" s="915"/>
      <c r="D3027" s="915"/>
      <c r="E3027" s="916" t="s">
        <v>4954</v>
      </c>
      <c r="F3027" s="917" t="s">
        <v>94</v>
      </c>
      <c r="G3027" s="918"/>
      <c r="H3027" s="919"/>
      <c r="I3027" s="920"/>
      <c r="J3027" s="891">
        <f>SUM(J3028:J3032)</f>
        <v>3945</v>
      </c>
      <c r="K3027" s="891"/>
      <c r="L3027" s="891">
        <f>SUM(L3028:L3032)</f>
        <v>209499.90599999999</v>
      </c>
      <c r="M3027" s="891"/>
      <c r="N3027" s="891">
        <f>SUM(N3028:N3032)</f>
        <v>0</v>
      </c>
      <c r="O3027" s="892">
        <f t="shared" si="188"/>
        <v>1</v>
      </c>
      <c r="P3027" s="903">
        <f t="shared" si="185"/>
        <v>0</v>
      </c>
      <c r="Q3027" s="893">
        <f t="shared" si="186"/>
        <v>0</v>
      </c>
      <c r="R3027" s="894">
        <f t="shared" si="187"/>
        <v>5</v>
      </c>
    </row>
    <row r="3028" spans="1:18" s="904" customFormat="1">
      <c r="A3028" s="895"/>
      <c r="B3028" s="896"/>
      <c r="C3028" s="897"/>
      <c r="D3028" s="897"/>
      <c r="E3028" s="924" t="s">
        <v>108</v>
      </c>
      <c r="F3028" s="899"/>
      <c r="G3028" s="900"/>
      <c r="H3028" s="901"/>
      <c r="I3028" s="902"/>
      <c r="J3028" s="902"/>
      <c r="K3028" s="912" t="s">
        <v>274</v>
      </c>
      <c r="L3028" s="902"/>
      <c r="M3028" s="902"/>
      <c r="N3028" s="902"/>
      <c r="O3028" s="892">
        <f t="shared" si="188"/>
        <v>0</v>
      </c>
      <c r="P3028" s="903">
        <f t="shared" si="185"/>
        <v>1</v>
      </c>
      <c r="Q3028" s="893">
        <f t="shared" si="186"/>
        <v>5</v>
      </c>
      <c r="R3028" s="894">
        <f t="shared" si="187"/>
        <v>0</v>
      </c>
    </row>
    <row r="3029" spans="1:18">
      <c r="A3029" s="905"/>
      <c r="B3029" s="906"/>
      <c r="C3029" s="907">
        <v>66</v>
      </c>
      <c r="D3029" s="907" t="s">
        <v>279</v>
      </c>
      <c r="E3029" s="925" t="s">
        <v>2682</v>
      </c>
      <c r="F3029" s="926" t="s">
        <v>45</v>
      </c>
      <c r="G3029" s="910"/>
      <c r="H3029" s="911">
        <v>0.03</v>
      </c>
      <c r="I3029" s="912">
        <f>VLOOKUP(E3029,[3]VLP!$B$7:$K$300,10,0)</f>
        <v>5000</v>
      </c>
      <c r="J3029" s="912">
        <f>I3029*H3029</f>
        <v>150</v>
      </c>
      <c r="K3029" s="912" t="s">
        <v>274</v>
      </c>
      <c r="L3029" s="912"/>
      <c r="M3029" s="912"/>
      <c r="N3029" s="912"/>
      <c r="O3029" s="892">
        <f t="shared" si="188"/>
        <v>0</v>
      </c>
      <c r="P3029" s="903">
        <f t="shared" si="185"/>
        <v>1</v>
      </c>
      <c r="Q3029" s="893">
        <f t="shared" si="186"/>
        <v>4</v>
      </c>
      <c r="R3029" s="894">
        <f t="shared" si="187"/>
        <v>0</v>
      </c>
    </row>
    <row r="3030" spans="1:18">
      <c r="A3030" s="905"/>
      <c r="B3030" s="906"/>
      <c r="C3030" s="907">
        <v>44</v>
      </c>
      <c r="D3030" s="907" t="s">
        <v>279</v>
      </c>
      <c r="E3030" s="925" t="s">
        <v>2681</v>
      </c>
      <c r="F3030" s="926" t="s">
        <v>45</v>
      </c>
      <c r="G3030" s="910"/>
      <c r="H3030" s="911">
        <v>0.16500000000000001</v>
      </c>
      <c r="I3030" s="912">
        <f>VLOOKUP(E3030,[3]VLP!$B$7:$K$300,10,0)</f>
        <v>23000</v>
      </c>
      <c r="J3030" s="912">
        <f>I3030*H3030</f>
        <v>3795</v>
      </c>
      <c r="K3030" s="912" t="s">
        <v>274</v>
      </c>
      <c r="L3030" s="912"/>
      <c r="M3030" s="912"/>
      <c r="N3030" s="912"/>
      <c r="O3030" s="892">
        <f t="shared" si="188"/>
        <v>0</v>
      </c>
      <c r="P3030" s="903">
        <f t="shared" ref="P3030:P3093" si="189">IF(O3030=0,1,0)</f>
        <v>1</v>
      </c>
      <c r="Q3030" s="893">
        <f t="shared" ref="Q3030:Q3093" si="190">IF(P3030=0,0,P3030+Q3031)</f>
        <v>3</v>
      </c>
      <c r="R3030" s="894">
        <f t="shared" ref="R3030:R3093" si="191">IF(Q3030=0,Q3031,0)</f>
        <v>0</v>
      </c>
    </row>
    <row r="3031" spans="1:18" s="904" customFormat="1">
      <c r="A3031" s="895"/>
      <c r="B3031" s="896"/>
      <c r="C3031" s="897"/>
      <c r="D3031" s="897"/>
      <c r="E3031" s="924" t="s">
        <v>276</v>
      </c>
      <c r="F3031" s="927"/>
      <c r="G3031" s="928"/>
      <c r="H3031" s="901"/>
      <c r="I3031" s="902"/>
      <c r="J3031" s="902"/>
      <c r="K3031" s="912" t="s">
        <v>274</v>
      </c>
      <c r="L3031" s="902"/>
      <c r="M3031" s="902"/>
      <c r="N3031" s="902"/>
      <c r="O3031" s="892">
        <f t="shared" si="188"/>
        <v>0</v>
      </c>
      <c r="P3031" s="903">
        <f t="shared" si="189"/>
        <v>1</v>
      </c>
      <c r="Q3031" s="893">
        <f t="shared" si="190"/>
        <v>2</v>
      </c>
      <c r="R3031" s="894">
        <f t="shared" si="191"/>
        <v>0</v>
      </c>
    </row>
    <row r="3032" spans="1:18">
      <c r="A3032" s="905"/>
      <c r="B3032" s="906"/>
      <c r="C3032" s="907">
        <v>740</v>
      </c>
      <c r="D3032" s="907" t="s">
        <v>12</v>
      </c>
      <c r="E3032" s="908" t="s">
        <v>4008</v>
      </c>
      <c r="F3032" s="909" t="s">
        <v>2674</v>
      </c>
      <c r="G3032" s="910"/>
      <c r="H3032" s="911">
        <v>0.82899999999999996</v>
      </c>
      <c r="I3032" s="912"/>
      <c r="J3032" s="912"/>
      <c r="K3032" s="912">
        <f>VLOOKUP(E3032,ĐMNC!$A$7:$F$67,4,0)</f>
        <v>252714</v>
      </c>
      <c r="L3032" s="912">
        <f>H3032*K3032</f>
        <v>209499.90599999999</v>
      </c>
      <c r="M3032" s="912"/>
      <c r="N3032" s="912"/>
      <c r="O3032" s="892">
        <f t="shared" si="188"/>
        <v>0</v>
      </c>
      <c r="P3032" s="903">
        <f t="shared" si="189"/>
        <v>1</v>
      </c>
      <c r="Q3032" s="893">
        <f t="shared" si="190"/>
        <v>1</v>
      </c>
      <c r="R3032" s="894">
        <f t="shared" si="191"/>
        <v>0</v>
      </c>
    </row>
    <row r="3033" spans="1:18" s="847" customFormat="1" ht="31.5">
      <c r="A3033" s="905"/>
      <c r="B3033" s="914" t="s">
        <v>4955</v>
      </c>
      <c r="C3033" s="915"/>
      <c r="D3033" s="915"/>
      <c r="E3033" s="916" t="s">
        <v>4956</v>
      </c>
      <c r="F3033" s="917" t="s">
        <v>94</v>
      </c>
      <c r="G3033" s="918"/>
      <c r="H3033" s="919"/>
      <c r="I3033" s="920"/>
      <c r="J3033" s="891">
        <f>SUM(J3034:J3038)</f>
        <v>3945</v>
      </c>
      <c r="K3033" s="891"/>
      <c r="L3033" s="891">
        <f>SUM(L3034:L3038)</f>
        <v>230475.16800000001</v>
      </c>
      <c r="M3033" s="891"/>
      <c r="N3033" s="891">
        <f>SUM(N3034:N3038)</f>
        <v>0</v>
      </c>
      <c r="O3033" s="892">
        <f t="shared" si="188"/>
        <v>1</v>
      </c>
      <c r="P3033" s="903">
        <f t="shared" si="189"/>
        <v>0</v>
      </c>
      <c r="Q3033" s="893">
        <f t="shared" si="190"/>
        <v>0</v>
      </c>
      <c r="R3033" s="894">
        <f t="shared" si="191"/>
        <v>5</v>
      </c>
    </row>
    <row r="3034" spans="1:18" s="904" customFormat="1">
      <c r="A3034" s="895"/>
      <c r="B3034" s="896"/>
      <c r="C3034" s="897"/>
      <c r="D3034" s="897"/>
      <c r="E3034" s="924" t="s">
        <v>108</v>
      </c>
      <c r="F3034" s="899"/>
      <c r="G3034" s="900"/>
      <c r="H3034" s="901"/>
      <c r="I3034" s="902"/>
      <c r="J3034" s="902"/>
      <c r="K3034" s="912" t="s">
        <v>274</v>
      </c>
      <c r="L3034" s="902"/>
      <c r="M3034" s="902"/>
      <c r="N3034" s="902"/>
      <c r="O3034" s="892">
        <f t="shared" si="188"/>
        <v>0</v>
      </c>
      <c r="P3034" s="903">
        <f t="shared" si="189"/>
        <v>1</v>
      </c>
      <c r="Q3034" s="893">
        <f t="shared" si="190"/>
        <v>5</v>
      </c>
      <c r="R3034" s="894">
        <f t="shared" si="191"/>
        <v>0</v>
      </c>
    </row>
    <row r="3035" spans="1:18">
      <c r="A3035" s="905"/>
      <c r="B3035" s="906"/>
      <c r="C3035" s="907">
        <v>66</v>
      </c>
      <c r="D3035" s="907" t="s">
        <v>279</v>
      </c>
      <c r="E3035" s="925" t="s">
        <v>2682</v>
      </c>
      <c r="F3035" s="926" t="s">
        <v>45</v>
      </c>
      <c r="G3035" s="910"/>
      <c r="H3035" s="911">
        <v>0.03</v>
      </c>
      <c r="I3035" s="912">
        <f>VLOOKUP(E3035,[3]VLP!$B$7:$K$300,10,0)</f>
        <v>5000</v>
      </c>
      <c r="J3035" s="912">
        <f>I3035*H3035</f>
        <v>150</v>
      </c>
      <c r="K3035" s="912" t="s">
        <v>274</v>
      </c>
      <c r="L3035" s="912"/>
      <c r="M3035" s="912"/>
      <c r="N3035" s="912"/>
      <c r="O3035" s="892">
        <f t="shared" si="188"/>
        <v>0</v>
      </c>
      <c r="P3035" s="903">
        <f t="shared" si="189"/>
        <v>1</v>
      </c>
      <c r="Q3035" s="893">
        <f t="shared" si="190"/>
        <v>4</v>
      </c>
      <c r="R3035" s="894">
        <f t="shared" si="191"/>
        <v>0</v>
      </c>
    </row>
    <row r="3036" spans="1:18">
      <c r="A3036" s="905"/>
      <c r="B3036" s="906"/>
      <c r="C3036" s="907">
        <v>44</v>
      </c>
      <c r="D3036" s="907" t="s">
        <v>279</v>
      </c>
      <c r="E3036" s="925" t="s">
        <v>2681</v>
      </c>
      <c r="F3036" s="926" t="s">
        <v>45</v>
      </c>
      <c r="G3036" s="910"/>
      <c r="H3036" s="911">
        <v>0.16500000000000001</v>
      </c>
      <c r="I3036" s="912">
        <f>VLOOKUP(E3036,[3]VLP!$B$7:$K$300,10,0)</f>
        <v>23000</v>
      </c>
      <c r="J3036" s="912">
        <f>I3036*H3036</f>
        <v>3795</v>
      </c>
      <c r="K3036" s="912" t="s">
        <v>274</v>
      </c>
      <c r="L3036" s="912"/>
      <c r="M3036" s="912"/>
      <c r="N3036" s="912"/>
      <c r="O3036" s="892">
        <f t="shared" si="188"/>
        <v>0</v>
      </c>
      <c r="P3036" s="903">
        <f t="shared" si="189"/>
        <v>1</v>
      </c>
      <c r="Q3036" s="893">
        <f t="shared" si="190"/>
        <v>3</v>
      </c>
      <c r="R3036" s="894">
        <f t="shared" si="191"/>
        <v>0</v>
      </c>
    </row>
    <row r="3037" spans="1:18" s="904" customFormat="1">
      <c r="A3037" s="895"/>
      <c r="B3037" s="896"/>
      <c r="C3037" s="897"/>
      <c r="D3037" s="897"/>
      <c r="E3037" s="924" t="s">
        <v>276</v>
      </c>
      <c r="F3037" s="927"/>
      <c r="G3037" s="928"/>
      <c r="H3037" s="901"/>
      <c r="I3037" s="902"/>
      <c r="J3037" s="902"/>
      <c r="K3037" s="912" t="s">
        <v>274</v>
      </c>
      <c r="L3037" s="902"/>
      <c r="M3037" s="902"/>
      <c r="N3037" s="902"/>
      <c r="O3037" s="892">
        <f t="shared" si="188"/>
        <v>0</v>
      </c>
      <c r="P3037" s="903">
        <f t="shared" si="189"/>
        <v>1</v>
      </c>
      <c r="Q3037" s="893">
        <f t="shared" si="190"/>
        <v>2</v>
      </c>
      <c r="R3037" s="894">
        <f t="shared" si="191"/>
        <v>0</v>
      </c>
    </row>
    <row r="3038" spans="1:18">
      <c r="A3038" s="905"/>
      <c r="B3038" s="906"/>
      <c r="C3038" s="907">
        <v>740</v>
      </c>
      <c r="D3038" s="907" t="s">
        <v>12</v>
      </c>
      <c r="E3038" s="908" t="s">
        <v>4008</v>
      </c>
      <c r="F3038" s="909" t="s">
        <v>2674</v>
      </c>
      <c r="G3038" s="910"/>
      <c r="H3038" s="911">
        <v>0.91200000000000003</v>
      </c>
      <c r="I3038" s="912"/>
      <c r="J3038" s="912"/>
      <c r="K3038" s="912">
        <f>VLOOKUP(E3038,ĐMNC!$A$7:$F$67,4,0)</f>
        <v>252714</v>
      </c>
      <c r="L3038" s="912">
        <f>H3038*K3038</f>
        <v>230475.16800000001</v>
      </c>
      <c r="M3038" s="912"/>
      <c r="N3038" s="912"/>
      <c r="O3038" s="892">
        <f t="shared" si="188"/>
        <v>0</v>
      </c>
      <c r="P3038" s="903">
        <f t="shared" si="189"/>
        <v>1</v>
      </c>
      <c r="Q3038" s="893">
        <f t="shared" si="190"/>
        <v>1</v>
      </c>
      <c r="R3038" s="894">
        <f t="shared" si="191"/>
        <v>0</v>
      </c>
    </row>
    <row r="3039" spans="1:18" s="847" customFormat="1" ht="31.5">
      <c r="A3039" s="905"/>
      <c r="B3039" s="914" t="s">
        <v>4957</v>
      </c>
      <c r="C3039" s="915"/>
      <c r="D3039" s="915"/>
      <c r="E3039" s="916" t="s">
        <v>4958</v>
      </c>
      <c r="F3039" s="917" t="s">
        <v>94</v>
      </c>
      <c r="G3039" s="918"/>
      <c r="H3039" s="919"/>
      <c r="I3039" s="920"/>
      <c r="J3039" s="891">
        <f>SUM(J3040:J3044)</f>
        <v>3945</v>
      </c>
      <c r="K3039" s="891"/>
      <c r="L3039" s="891">
        <f>SUM(L3040:L3044)</f>
        <v>253472.14199999996</v>
      </c>
      <c r="M3039" s="891"/>
      <c r="N3039" s="891">
        <f>SUM(N3040:N3044)</f>
        <v>0</v>
      </c>
      <c r="O3039" s="892">
        <f t="shared" si="188"/>
        <v>1</v>
      </c>
      <c r="P3039" s="903">
        <f t="shared" si="189"/>
        <v>0</v>
      </c>
      <c r="Q3039" s="893">
        <f t="shared" si="190"/>
        <v>0</v>
      </c>
      <c r="R3039" s="894">
        <f t="shared" si="191"/>
        <v>5</v>
      </c>
    </row>
    <row r="3040" spans="1:18" s="904" customFormat="1">
      <c r="A3040" s="895"/>
      <c r="B3040" s="896"/>
      <c r="C3040" s="897"/>
      <c r="D3040" s="897"/>
      <c r="E3040" s="924" t="s">
        <v>108</v>
      </c>
      <c r="F3040" s="899"/>
      <c r="G3040" s="900"/>
      <c r="H3040" s="901"/>
      <c r="I3040" s="902"/>
      <c r="J3040" s="902"/>
      <c r="K3040" s="912" t="s">
        <v>274</v>
      </c>
      <c r="L3040" s="902"/>
      <c r="M3040" s="902"/>
      <c r="N3040" s="902"/>
      <c r="O3040" s="892">
        <f t="shared" si="188"/>
        <v>0</v>
      </c>
      <c r="P3040" s="903">
        <f t="shared" si="189"/>
        <v>1</v>
      </c>
      <c r="Q3040" s="893">
        <f t="shared" si="190"/>
        <v>5</v>
      </c>
      <c r="R3040" s="894">
        <f t="shared" si="191"/>
        <v>0</v>
      </c>
    </row>
    <row r="3041" spans="1:18">
      <c r="A3041" s="905"/>
      <c r="B3041" s="906"/>
      <c r="C3041" s="907">
        <v>66</v>
      </c>
      <c r="D3041" s="907" t="s">
        <v>279</v>
      </c>
      <c r="E3041" s="925" t="s">
        <v>2682</v>
      </c>
      <c r="F3041" s="926" t="s">
        <v>45</v>
      </c>
      <c r="G3041" s="910"/>
      <c r="H3041" s="911">
        <v>0.03</v>
      </c>
      <c r="I3041" s="912">
        <f>VLOOKUP(E3041,[3]VLP!$B$7:$K$300,10,0)</f>
        <v>5000</v>
      </c>
      <c r="J3041" s="912">
        <f>I3041*H3041</f>
        <v>150</v>
      </c>
      <c r="K3041" s="912" t="s">
        <v>274</v>
      </c>
      <c r="L3041" s="912"/>
      <c r="M3041" s="912"/>
      <c r="N3041" s="912"/>
      <c r="O3041" s="892">
        <f t="shared" si="188"/>
        <v>0</v>
      </c>
      <c r="P3041" s="903">
        <f t="shared" si="189"/>
        <v>1</v>
      </c>
      <c r="Q3041" s="893">
        <f t="shared" si="190"/>
        <v>4</v>
      </c>
      <c r="R3041" s="894">
        <f t="shared" si="191"/>
        <v>0</v>
      </c>
    </row>
    <row r="3042" spans="1:18">
      <c r="A3042" s="905"/>
      <c r="B3042" s="906"/>
      <c r="C3042" s="907">
        <v>44</v>
      </c>
      <c r="D3042" s="907" t="s">
        <v>279</v>
      </c>
      <c r="E3042" s="925" t="s">
        <v>2681</v>
      </c>
      <c r="F3042" s="926" t="s">
        <v>45</v>
      </c>
      <c r="G3042" s="910"/>
      <c r="H3042" s="911">
        <v>0.16500000000000001</v>
      </c>
      <c r="I3042" s="912">
        <f>VLOOKUP(E3042,[3]VLP!$B$7:$K$300,10,0)</f>
        <v>23000</v>
      </c>
      <c r="J3042" s="912">
        <f>I3042*H3042</f>
        <v>3795</v>
      </c>
      <c r="K3042" s="912" t="s">
        <v>274</v>
      </c>
      <c r="L3042" s="912"/>
      <c r="M3042" s="912"/>
      <c r="N3042" s="912"/>
      <c r="O3042" s="892">
        <f t="shared" si="188"/>
        <v>0</v>
      </c>
      <c r="P3042" s="903">
        <f t="shared" si="189"/>
        <v>1</v>
      </c>
      <c r="Q3042" s="893">
        <f t="shared" si="190"/>
        <v>3</v>
      </c>
      <c r="R3042" s="894">
        <f t="shared" si="191"/>
        <v>0</v>
      </c>
    </row>
    <row r="3043" spans="1:18" s="904" customFormat="1">
      <c r="A3043" s="895"/>
      <c r="B3043" s="896"/>
      <c r="C3043" s="897"/>
      <c r="D3043" s="897"/>
      <c r="E3043" s="924" t="s">
        <v>276</v>
      </c>
      <c r="F3043" s="927"/>
      <c r="G3043" s="928"/>
      <c r="H3043" s="901"/>
      <c r="I3043" s="902"/>
      <c r="J3043" s="902"/>
      <c r="K3043" s="912" t="s">
        <v>274</v>
      </c>
      <c r="L3043" s="902"/>
      <c r="M3043" s="902"/>
      <c r="N3043" s="902"/>
      <c r="O3043" s="892">
        <f t="shared" si="188"/>
        <v>0</v>
      </c>
      <c r="P3043" s="903">
        <f t="shared" si="189"/>
        <v>1</v>
      </c>
      <c r="Q3043" s="893">
        <f t="shared" si="190"/>
        <v>2</v>
      </c>
      <c r="R3043" s="894">
        <f t="shared" si="191"/>
        <v>0</v>
      </c>
    </row>
    <row r="3044" spans="1:18">
      <c r="A3044" s="905"/>
      <c r="B3044" s="906"/>
      <c r="C3044" s="907">
        <v>740</v>
      </c>
      <c r="D3044" s="907" t="s">
        <v>12</v>
      </c>
      <c r="E3044" s="908" t="s">
        <v>4008</v>
      </c>
      <c r="F3044" s="909" t="s">
        <v>2674</v>
      </c>
      <c r="G3044" s="910"/>
      <c r="H3044" s="911">
        <v>1.0029999999999999</v>
      </c>
      <c r="I3044" s="912"/>
      <c r="J3044" s="912"/>
      <c r="K3044" s="912">
        <f>VLOOKUP(E3044,ĐMNC!$A$7:$F$67,4,0)</f>
        <v>252714</v>
      </c>
      <c r="L3044" s="912">
        <f>H3044*K3044</f>
        <v>253472.14199999996</v>
      </c>
      <c r="M3044" s="912"/>
      <c r="N3044" s="912"/>
      <c r="O3044" s="892">
        <f t="shared" si="188"/>
        <v>0</v>
      </c>
      <c r="P3044" s="903">
        <f t="shared" si="189"/>
        <v>1</v>
      </c>
      <c r="Q3044" s="893">
        <f t="shared" si="190"/>
        <v>1</v>
      </c>
      <c r="R3044" s="894">
        <f t="shared" si="191"/>
        <v>0</v>
      </c>
    </row>
    <row r="3045" spans="1:18" s="847" customFormat="1" ht="31.5">
      <c r="A3045" s="905"/>
      <c r="B3045" s="914" t="s">
        <v>4959</v>
      </c>
      <c r="C3045" s="915"/>
      <c r="D3045" s="915"/>
      <c r="E3045" s="916" t="s">
        <v>4960</v>
      </c>
      <c r="F3045" s="917" t="s">
        <v>94</v>
      </c>
      <c r="G3045" s="918"/>
      <c r="H3045" s="919"/>
      <c r="I3045" s="920"/>
      <c r="J3045" s="891">
        <f>SUM(J3046:J3050)</f>
        <v>5720</v>
      </c>
      <c r="K3045" s="891"/>
      <c r="L3045" s="891">
        <f>SUM(L3046:L3050)</f>
        <v>217839.46799999999</v>
      </c>
      <c r="M3045" s="891"/>
      <c r="N3045" s="891">
        <f>SUM(N3046:N3050)</f>
        <v>0</v>
      </c>
      <c r="O3045" s="892">
        <f t="shared" si="188"/>
        <v>1</v>
      </c>
      <c r="P3045" s="903">
        <f t="shared" si="189"/>
        <v>0</v>
      </c>
      <c r="Q3045" s="893">
        <f t="shared" si="190"/>
        <v>0</v>
      </c>
      <c r="R3045" s="894">
        <f t="shared" si="191"/>
        <v>5</v>
      </c>
    </row>
    <row r="3046" spans="1:18" s="904" customFormat="1">
      <c r="A3046" s="895"/>
      <c r="B3046" s="896"/>
      <c r="C3046" s="897"/>
      <c r="D3046" s="897"/>
      <c r="E3046" s="924" t="s">
        <v>108</v>
      </c>
      <c r="F3046" s="899"/>
      <c r="G3046" s="900"/>
      <c r="H3046" s="901"/>
      <c r="I3046" s="902"/>
      <c r="J3046" s="902"/>
      <c r="K3046" s="912" t="s">
        <v>274</v>
      </c>
      <c r="L3046" s="902"/>
      <c r="M3046" s="902"/>
      <c r="N3046" s="902"/>
      <c r="O3046" s="892">
        <f t="shared" si="188"/>
        <v>0</v>
      </c>
      <c r="P3046" s="903">
        <f t="shared" si="189"/>
        <v>1</v>
      </c>
      <c r="Q3046" s="893">
        <f t="shared" si="190"/>
        <v>5</v>
      </c>
      <c r="R3046" s="894">
        <f t="shared" si="191"/>
        <v>0</v>
      </c>
    </row>
    <row r="3047" spans="1:18">
      <c r="A3047" s="905"/>
      <c r="B3047" s="906"/>
      <c r="C3047" s="907">
        <v>66</v>
      </c>
      <c r="D3047" s="907" t="s">
        <v>279</v>
      </c>
      <c r="E3047" s="925" t="s">
        <v>2682</v>
      </c>
      <c r="F3047" s="926" t="s">
        <v>45</v>
      </c>
      <c r="G3047" s="910"/>
      <c r="H3047" s="911">
        <v>0.04</v>
      </c>
      <c r="I3047" s="912">
        <f>VLOOKUP(E3047,[3]VLP!$B$7:$K$300,10,0)</f>
        <v>5000</v>
      </c>
      <c r="J3047" s="912">
        <f>I3047*H3047</f>
        <v>200</v>
      </c>
      <c r="K3047" s="912" t="s">
        <v>274</v>
      </c>
      <c r="L3047" s="912"/>
      <c r="M3047" s="912"/>
      <c r="N3047" s="912"/>
      <c r="O3047" s="892">
        <f t="shared" si="188"/>
        <v>0</v>
      </c>
      <c r="P3047" s="903">
        <f t="shared" si="189"/>
        <v>1</v>
      </c>
      <c r="Q3047" s="893">
        <f t="shared" si="190"/>
        <v>4</v>
      </c>
      <c r="R3047" s="894">
        <f t="shared" si="191"/>
        <v>0</v>
      </c>
    </row>
    <row r="3048" spans="1:18">
      <c r="A3048" s="905"/>
      <c r="B3048" s="906"/>
      <c r="C3048" s="907">
        <v>44</v>
      </c>
      <c r="D3048" s="907" t="s">
        <v>279</v>
      </c>
      <c r="E3048" s="925" t="s">
        <v>2681</v>
      </c>
      <c r="F3048" s="926" t="s">
        <v>45</v>
      </c>
      <c r="G3048" s="910"/>
      <c r="H3048" s="911">
        <v>0.24</v>
      </c>
      <c r="I3048" s="912">
        <f>VLOOKUP(E3048,[3]VLP!$B$7:$K$300,10,0)</f>
        <v>23000</v>
      </c>
      <c r="J3048" s="912">
        <f>I3048*H3048</f>
        <v>5520</v>
      </c>
      <c r="K3048" s="912" t="s">
        <v>274</v>
      </c>
      <c r="L3048" s="912"/>
      <c r="M3048" s="912"/>
      <c r="N3048" s="912"/>
      <c r="O3048" s="892">
        <f t="shared" si="188"/>
        <v>0</v>
      </c>
      <c r="P3048" s="903">
        <f t="shared" si="189"/>
        <v>1</v>
      </c>
      <c r="Q3048" s="893">
        <f t="shared" si="190"/>
        <v>3</v>
      </c>
      <c r="R3048" s="894">
        <f t="shared" si="191"/>
        <v>0</v>
      </c>
    </row>
    <row r="3049" spans="1:18" s="904" customFormat="1">
      <c r="A3049" s="895"/>
      <c r="B3049" s="896"/>
      <c r="C3049" s="897"/>
      <c r="D3049" s="897"/>
      <c r="E3049" s="924" t="s">
        <v>276</v>
      </c>
      <c r="F3049" s="927"/>
      <c r="G3049" s="928"/>
      <c r="H3049" s="901"/>
      <c r="I3049" s="902"/>
      <c r="J3049" s="902"/>
      <c r="K3049" s="912" t="s">
        <v>274</v>
      </c>
      <c r="L3049" s="902"/>
      <c r="M3049" s="902"/>
      <c r="N3049" s="902"/>
      <c r="O3049" s="892">
        <f t="shared" si="188"/>
        <v>0</v>
      </c>
      <c r="P3049" s="903">
        <f t="shared" si="189"/>
        <v>1</v>
      </c>
      <c r="Q3049" s="893">
        <f t="shared" si="190"/>
        <v>2</v>
      </c>
      <c r="R3049" s="894">
        <f t="shared" si="191"/>
        <v>0</v>
      </c>
    </row>
    <row r="3050" spans="1:18">
      <c r="A3050" s="905"/>
      <c r="B3050" s="906"/>
      <c r="C3050" s="907">
        <v>740</v>
      </c>
      <c r="D3050" s="907" t="s">
        <v>12</v>
      </c>
      <c r="E3050" s="908" t="s">
        <v>4008</v>
      </c>
      <c r="F3050" s="909" t="s">
        <v>2674</v>
      </c>
      <c r="G3050" s="910"/>
      <c r="H3050" s="911">
        <v>0.86199999999999999</v>
      </c>
      <c r="I3050" s="912"/>
      <c r="J3050" s="912"/>
      <c r="K3050" s="912">
        <f>VLOOKUP(E3050,ĐMNC!$A$7:$F$67,4,0)</f>
        <v>252714</v>
      </c>
      <c r="L3050" s="912">
        <f>H3050*K3050</f>
        <v>217839.46799999999</v>
      </c>
      <c r="M3050" s="912"/>
      <c r="N3050" s="912"/>
      <c r="O3050" s="892">
        <f t="shared" si="188"/>
        <v>0</v>
      </c>
      <c r="P3050" s="903">
        <f t="shared" si="189"/>
        <v>1</v>
      </c>
      <c r="Q3050" s="893">
        <f t="shared" si="190"/>
        <v>1</v>
      </c>
      <c r="R3050" s="894">
        <f t="shared" si="191"/>
        <v>0</v>
      </c>
    </row>
    <row r="3051" spans="1:18" s="847" customFormat="1" ht="31.5">
      <c r="A3051" s="905"/>
      <c r="B3051" s="914" t="s">
        <v>4961</v>
      </c>
      <c r="C3051" s="915"/>
      <c r="D3051" s="915"/>
      <c r="E3051" s="916" t="s">
        <v>4962</v>
      </c>
      <c r="F3051" s="917" t="s">
        <v>94</v>
      </c>
      <c r="G3051" s="918"/>
      <c r="H3051" s="919"/>
      <c r="I3051" s="920"/>
      <c r="J3051" s="891">
        <f>SUM(J3052:J3056)</f>
        <v>5720</v>
      </c>
      <c r="K3051" s="891"/>
      <c r="L3051" s="891">
        <f>SUM(L3052:L3056)</f>
        <v>229211.598</v>
      </c>
      <c r="M3051" s="891"/>
      <c r="N3051" s="891">
        <f>SUM(N3052:N3056)</f>
        <v>0</v>
      </c>
      <c r="O3051" s="892">
        <f t="shared" si="188"/>
        <v>1</v>
      </c>
      <c r="P3051" s="903">
        <f t="shared" si="189"/>
        <v>0</v>
      </c>
      <c r="Q3051" s="893">
        <f t="shared" si="190"/>
        <v>0</v>
      </c>
      <c r="R3051" s="894">
        <f t="shared" si="191"/>
        <v>5</v>
      </c>
    </row>
    <row r="3052" spans="1:18" s="904" customFormat="1">
      <c r="A3052" s="895"/>
      <c r="B3052" s="896"/>
      <c r="C3052" s="897"/>
      <c r="D3052" s="897"/>
      <c r="E3052" s="924" t="s">
        <v>108</v>
      </c>
      <c r="F3052" s="899"/>
      <c r="G3052" s="900"/>
      <c r="H3052" s="901"/>
      <c r="I3052" s="902"/>
      <c r="J3052" s="902"/>
      <c r="K3052" s="912" t="s">
        <v>274</v>
      </c>
      <c r="L3052" s="902"/>
      <c r="M3052" s="902"/>
      <c r="N3052" s="902"/>
      <c r="O3052" s="892">
        <f t="shared" si="188"/>
        <v>0</v>
      </c>
      <c r="P3052" s="903">
        <f t="shared" si="189"/>
        <v>1</v>
      </c>
      <c r="Q3052" s="893">
        <f t="shared" si="190"/>
        <v>5</v>
      </c>
      <c r="R3052" s="894">
        <f t="shared" si="191"/>
        <v>0</v>
      </c>
    </row>
    <row r="3053" spans="1:18">
      <c r="A3053" s="905"/>
      <c r="B3053" s="906"/>
      <c r="C3053" s="907">
        <v>66</v>
      </c>
      <c r="D3053" s="907" t="s">
        <v>279</v>
      </c>
      <c r="E3053" s="925" t="s">
        <v>2682</v>
      </c>
      <c r="F3053" s="926" t="s">
        <v>45</v>
      </c>
      <c r="G3053" s="910"/>
      <c r="H3053" s="911">
        <v>0.04</v>
      </c>
      <c r="I3053" s="912">
        <f>VLOOKUP(E3053,[3]VLP!$B$7:$K$300,10,0)</f>
        <v>5000</v>
      </c>
      <c r="J3053" s="912">
        <f>I3053*H3053</f>
        <v>200</v>
      </c>
      <c r="K3053" s="912" t="s">
        <v>274</v>
      </c>
      <c r="L3053" s="912"/>
      <c r="M3053" s="912"/>
      <c r="N3053" s="912"/>
      <c r="O3053" s="892">
        <f t="shared" si="188"/>
        <v>0</v>
      </c>
      <c r="P3053" s="903">
        <f t="shared" si="189"/>
        <v>1</v>
      </c>
      <c r="Q3053" s="893">
        <f t="shared" si="190"/>
        <v>4</v>
      </c>
      <c r="R3053" s="894">
        <f t="shared" si="191"/>
        <v>0</v>
      </c>
    </row>
    <row r="3054" spans="1:18">
      <c r="A3054" s="905"/>
      <c r="B3054" s="906"/>
      <c r="C3054" s="907">
        <v>44</v>
      </c>
      <c r="D3054" s="907" t="s">
        <v>279</v>
      </c>
      <c r="E3054" s="925" t="s">
        <v>2681</v>
      </c>
      <c r="F3054" s="926" t="s">
        <v>45</v>
      </c>
      <c r="G3054" s="910"/>
      <c r="H3054" s="911">
        <v>0.24</v>
      </c>
      <c r="I3054" s="912">
        <f>VLOOKUP(E3054,[3]VLP!$B$7:$K$300,10,0)</f>
        <v>23000</v>
      </c>
      <c r="J3054" s="912">
        <f>I3054*H3054</f>
        <v>5520</v>
      </c>
      <c r="K3054" s="912" t="s">
        <v>274</v>
      </c>
      <c r="L3054" s="912"/>
      <c r="M3054" s="912"/>
      <c r="N3054" s="912"/>
      <c r="O3054" s="892">
        <f t="shared" si="188"/>
        <v>0</v>
      </c>
      <c r="P3054" s="903">
        <f t="shared" si="189"/>
        <v>1</v>
      </c>
      <c r="Q3054" s="893">
        <f t="shared" si="190"/>
        <v>3</v>
      </c>
      <c r="R3054" s="894">
        <f t="shared" si="191"/>
        <v>0</v>
      </c>
    </row>
    <row r="3055" spans="1:18" s="904" customFormat="1">
      <c r="A3055" s="895"/>
      <c r="B3055" s="896"/>
      <c r="C3055" s="897"/>
      <c r="D3055" s="897"/>
      <c r="E3055" s="924" t="s">
        <v>276</v>
      </c>
      <c r="F3055" s="927"/>
      <c r="G3055" s="928"/>
      <c r="H3055" s="901"/>
      <c r="I3055" s="902"/>
      <c r="J3055" s="902"/>
      <c r="K3055" s="912" t="s">
        <v>274</v>
      </c>
      <c r="L3055" s="902"/>
      <c r="M3055" s="902"/>
      <c r="N3055" s="902"/>
      <c r="O3055" s="892">
        <f t="shared" si="188"/>
        <v>0</v>
      </c>
      <c r="P3055" s="903">
        <f t="shared" si="189"/>
        <v>1</v>
      </c>
      <c r="Q3055" s="893">
        <f t="shared" si="190"/>
        <v>2</v>
      </c>
      <c r="R3055" s="894">
        <f t="shared" si="191"/>
        <v>0</v>
      </c>
    </row>
    <row r="3056" spans="1:18">
      <c r="A3056" s="905"/>
      <c r="B3056" s="906"/>
      <c r="C3056" s="907">
        <v>740</v>
      </c>
      <c r="D3056" s="907" t="s">
        <v>12</v>
      </c>
      <c r="E3056" s="908" t="s">
        <v>4008</v>
      </c>
      <c r="F3056" s="909" t="s">
        <v>2674</v>
      </c>
      <c r="G3056" s="910"/>
      <c r="H3056" s="911">
        <v>0.90700000000000003</v>
      </c>
      <c r="I3056" s="912"/>
      <c r="J3056" s="912"/>
      <c r="K3056" s="912">
        <f>VLOOKUP(E3056,ĐMNC!$A$7:$F$67,4,0)</f>
        <v>252714</v>
      </c>
      <c r="L3056" s="912">
        <f>H3056*K3056</f>
        <v>229211.598</v>
      </c>
      <c r="M3056" s="912"/>
      <c r="N3056" s="912"/>
      <c r="O3056" s="892">
        <f t="shared" si="188"/>
        <v>0</v>
      </c>
      <c r="P3056" s="903">
        <f t="shared" si="189"/>
        <v>1</v>
      </c>
      <c r="Q3056" s="893">
        <f t="shared" si="190"/>
        <v>1</v>
      </c>
      <c r="R3056" s="894">
        <f t="shared" si="191"/>
        <v>0</v>
      </c>
    </row>
    <row r="3057" spans="1:18" s="847" customFormat="1" ht="31.5">
      <c r="A3057" s="905"/>
      <c r="B3057" s="914" t="s">
        <v>4963</v>
      </c>
      <c r="C3057" s="915"/>
      <c r="D3057" s="915"/>
      <c r="E3057" s="916" t="s">
        <v>4964</v>
      </c>
      <c r="F3057" s="917" t="s">
        <v>94</v>
      </c>
      <c r="G3057" s="918"/>
      <c r="H3057" s="919"/>
      <c r="I3057" s="920"/>
      <c r="J3057" s="891">
        <f>SUM(J3058:J3062)</f>
        <v>5720</v>
      </c>
      <c r="K3057" s="891"/>
      <c r="L3057" s="891">
        <f>SUM(L3058:L3062)</f>
        <v>260295.42</v>
      </c>
      <c r="M3057" s="891"/>
      <c r="N3057" s="891">
        <f>SUM(N3058:N3062)</f>
        <v>0</v>
      </c>
      <c r="O3057" s="892">
        <f t="shared" si="188"/>
        <v>1</v>
      </c>
      <c r="P3057" s="903">
        <f t="shared" si="189"/>
        <v>0</v>
      </c>
      <c r="Q3057" s="893">
        <f t="shared" si="190"/>
        <v>0</v>
      </c>
      <c r="R3057" s="894">
        <f t="shared" si="191"/>
        <v>5</v>
      </c>
    </row>
    <row r="3058" spans="1:18" s="904" customFormat="1">
      <c r="A3058" s="895"/>
      <c r="B3058" s="896"/>
      <c r="C3058" s="897"/>
      <c r="D3058" s="897"/>
      <c r="E3058" s="924" t="s">
        <v>108</v>
      </c>
      <c r="F3058" s="899"/>
      <c r="G3058" s="900"/>
      <c r="H3058" s="901"/>
      <c r="I3058" s="902"/>
      <c r="J3058" s="902"/>
      <c r="K3058" s="912" t="s">
        <v>274</v>
      </c>
      <c r="L3058" s="902"/>
      <c r="M3058" s="902"/>
      <c r="N3058" s="902"/>
      <c r="O3058" s="892">
        <f t="shared" si="188"/>
        <v>0</v>
      </c>
      <c r="P3058" s="903">
        <f t="shared" si="189"/>
        <v>1</v>
      </c>
      <c r="Q3058" s="893">
        <f t="shared" si="190"/>
        <v>5</v>
      </c>
      <c r="R3058" s="894">
        <f t="shared" si="191"/>
        <v>0</v>
      </c>
    </row>
    <row r="3059" spans="1:18">
      <c r="A3059" s="905"/>
      <c r="B3059" s="906"/>
      <c r="C3059" s="907">
        <v>66</v>
      </c>
      <c r="D3059" s="907" t="s">
        <v>279</v>
      </c>
      <c r="E3059" s="925" t="s">
        <v>2682</v>
      </c>
      <c r="F3059" s="926" t="s">
        <v>45</v>
      </c>
      <c r="G3059" s="910"/>
      <c r="H3059" s="911">
        <v>0.04</v>
      </c>
      <c r="I3059" s="912">
        <f>VLOOKUP(E3059,[3]VLP!$B$7:$K$300,10,0)</f>
        <v>5000</v>
      </c>
      <c r="J3059" s="912">
        <f>I3059*H3059</f>
        <v>200</v>
      </c>
      <c r="K3059" s="912" t="s">
        <v>274</v>
      </c>
      <c r="L3059" s="912"/>
      <c r="M3059" s="912"/>
      <c r="N3059" s="912"/>
      <c r="O3059" s="892">
        <f t="shared" si="188"/>
        <v>0</v>
      </c>
      <c r="P3059" s="903">
        <f t="shared" si="189"/>
        <v>1</v>
      </c>
      <c r="Q3059" s="893">
        <f t="shared" si="190"/>
        <v>4</v>
      </c>
      <c r="R3059" s="894">
        <f t="shared" si="191"/>
        <v>0</v>
      </c>
    </row>
    <row r="3060" spans="1:18">
      <c r="A3060" s="905"/>
      <c r="B3060" s="906"/>
      <c r="C3060" s="907">
        <v>44</v>
      </c>
      <c r="D3060" s="907" t="s">
        <v>279</v>
      </c>
      <c r="E3060" s="925" t="s">
        <v>2681</v>
      </c>
      <c r="F3060" s="926" t="s">
        <v>45</v>
      </c>
      <c r="G3060" s="910"/>
      <c r="H3060" s="911">
        <v>0.24</v>
      </c>
      <c r="I3060" s="912">
        <f>VLOOKUP(E3060,[3]VLP!$B$7:$K$300,10,0)</f>
        <v>23000</v>
      </c>
      <c r="J3060" s="912">
        <f>I3060*H3060</f>
        <v>5520</v>
      </c>
      <c r="K3060" s="912" t="s">
        <v>274</v>
      </c>
      <c r="L3060" s="912"/>
      <c r="M3060" s="912"/>
      <c r="N3060" s="912"/>
      <c r="O3060" s="892">
        <f t="shared" si="188"/>
        <v>0</v>
      </c>
      <c r="P3060" s="903">
        <f t="shared" si="189"/>
        <v>1</v>
      </c>
      <c r="Q3060" s="893">
        <f t="shared" si="190"/>
        <v>3</v>
      </c>
      <c r="R3060" s="894">
        <f t="shared" si="191"/>
        <v>0</v>
      </c>
    </row>
    <row r="3061" spans="1:18" s="904" customFormat="1">
      <c r="A3061" s="895"/>
      <c r="B3061" s="896"/>
      <c r="C3061" s="897"/>
      <c r="D3061" s="897"/>
      <c r="E3061" s="924" t="s">
        <v>276</v>
      </c>
      <c r="F3061" s="927"/>
      <c r="G3061" s="928"/>
      <c r="H3061" s="901"/>
      <c r="I3061" s="902"/>
      <c r="J3061" s="902"/>
      <c r="K3061" s="912" t="s">
        <v>274</v>
      </c>
      <c r="L3061" s="902"/>
      <c r="M3061" s="902"/>
      <c r="N3061" s="902"/>
      <c r="O3061" s="892">
        <f t="shared" si="188"/>
        <v>0</v>
      </c>
      <c r="P3061" s="903">
        <f t="shared" si="189"/>
        <v>1</v>
      </c>
      <c r="Q3061" s="893">
        <f t="shared" si="190"/>
        <v>2</v>
      </c>
      <c r="R3061" s="894">
        <f t="shared" si="191"/>
        <v>0</v>
      </c>
    </row>
    <row r="3062" spans="1:18">
      <c r="A3062" s="905"/>
      <c r="B3062" s="906"/>
      <c r="C3062" s="907">
        <v>740</v>
      </c>
      <c r="D3062" s="907" t="s">
        <v>12</v>
      </c>
      <c r="E3062" s="908" t="s">
        <v>4008</v>
      </c>
      <c r="F3062" s="909" t="s">
        <v>2674</v>
      </c>
      <c r="G3062" s="910"/>
      <c r="H3062" s="911">
        <v>1.03</v>
      </c>
      <c r="I3062" s="912"/>
      <c r="J3062" s="912"/>
      <c r="K3062" s="912">
        <f>VLOOKUP(E3062,ĐMNC!$A$7:$F$67,4,0)</f>
        <v>252714</v>
      </c>
      <c r="L3062" s="912">
        <f>H3062*K3062</f>
        <v>260295.42</v>
      </c>
      <c r="M3062" s="912"/>
      <c r="N3062" s="912"/>
      <c r="O3062" s="892">
        <f t="shared" si="188"/>
        <v>0</v>
      </c>
      <c r="P3062" s="903">
        <f t="shared" si="189"/>
        <v>1</v>
      </c>
      <c r="Q3062" s="893">
        <f t="shared" si="190"/>
        <v>1</v>
      </c>
      <c r="R3062" s="894">
        <f t="shared" si="191"/>
        <v>0</v>
      </c>
    </row>
    <row r="3063" spans="1:18" s="847" customFormat="1" ht="31.5">
      <c r="A3063" s="905"/>
      <c r="B3063" s="914" t="s">
        <v>4965</v>
      </c>
      <c r="C3063" s="915"/>
      <c r="D3063" s="915"/>
      <c r="E3063" s="916" t="s">
        <v>4966</v>
      </c>
      <c r="F3063" s="917" t="s">
        <v>94</v>
      </c>
      <c r="G3063" s="918"/>
      <c r="H3063" s="919"/>
      <c r="I3063" s="920"/>
      <c r="J3063" s="891">
        <f>SUM(J3064:J3068)</f>
        <v>5720</v>
      </c>
      <c r="K3063" s="891"/>
      <c r="L3063" s="891">
        <f>SUM(L3064:L3068)</f>
        <v>290115.67199999996</v>
      </c>
      <c r="M3063" s="891"/>
      <c r="N3063" s="891">
        <f>SUM(N3064:N3068)</f>
        <v>0</v>
      </c>
      <c r="O3063" s="892">
        <f t="shared" si="188"/>
        <v>1</v>
      </c>
      <c r="P3063" s="903">
        <f t="shared" si="189"/>
        <v>0</v>
      </c>
      <c r="Q3063" s="893">
        <f t="shared" si="190"/>
        <v>0</v>
      </c>
      <c r="R3063" s="894">
        <f t="shared" si="191"/>
        <v>5</v>
      </c>
    </row>
    <row r="3064" spans="1:18" s="904" customFormat="1">
      <c r="A3064" s="895"/>
      <c r="B3064" s="896"/>
      <c r="C3064" s="897"/>
      <c r="D3064" s="897"/>
      <c r="E3064" s="924" t="s">
        <v>108</v>
      </c>
      <c r="F3064" s="899"/>
      <c r="G3064" s="900"/>
      <c r="H3064" s="901"/>
      <c r="I3064" s="902"/>
      <c r="J3064" s="902"/>
      <c r="K3064" s="912" t="s">
        <v>274</v>
      </c>
      <c r="L3064" s="902"/>
      <c r="M3064" s="902"/>
      <c r="N3064" s="902"/>
      <c r="O3064" s="892">
        <f t="shared" si="188"/>
        <v>0</v>
      </c>
      <c r="P3064" s="903">
        <f t="shared" si="189"/>
        <v>1</v>
      </c>
      <c r="Q3064" s="893">
        <f t="shared" si="190"/>
        <v>5</v>
      </c>
      <c r="R3064" s="894">
        <f t="shared" si="191"/>
        <v>0</v>
      </c>
    </row>
    <row r="3065" spans="1:18">
      <c r="A3065" s="905"/>
      <c r="B3065" s="906"/>
      <c r="C3065" s="907">
        <v>66</v>
      </c>
      <c r="D3065" s="907" t="s">
        <v>279</v>
      </c>
      <c r="E3065" s="925" t="s">
        <v>2682</v>
      </c>
      <c r="F3065" s="926" t="s">
        <v>45</v>
      </c>
      <c r="G3065" s="910"/>
      <c r="H3065" s="911">
        <v>0.04</v>
      </c>
      <c r="I3065" s="912">
        <f>VLOOKUP(E3065,[3]VLP!$B$7:$K$300,10,0)</f>
        <v>5000</v>
      </c>
      <c r="J3065" s="912">
        <f>I3065*H3065</f>
        <v>200</v>
      </c>
      <c r="K3065" s="912" t="s">
        <v>274</v>
      </c>
      <c r="L3065" s="912"/>
      <c r="M3065" s="912"/>
      <c r="N3065" s="912"/>
      <c r="O3065" s="892">
        <f t="shared" si="188"/>
        <v>0</v>
      </c>
      <c r="P3065" s="903">
        <f t="shared" si="189"/>
        <v>1</v>
      </c>
      <c r="Q3065" s="893">
        <f t="shared" si="190"/>
        <v>4</v>
      </c>
      <c r="R3065" s="894">
        <f t="shared" si="191"/>
        <v>0</v>
      </c>
    </row>
    <row r="3066" spans="1:18">
      <c r="A3066" s="905"/>
      <c r="B3066" s="906"/>
      <c r="C3066" s="907">
        <v>44</v>
      </c>
      <c r="D3066" s="907" t="s">
        <v>279</v>
      </c>
      <c r="E3066" s="925" t="s">
        <v>2681</v>
      </c>
      <c r="F3066" s="926" t="s">
        <v>45</v>
      </c>
      <c r="G3066" s="910"/>
      <c r="H3066" s="911">
        <v>0.24</v>
      </c>
      <c r="I3066" s="912">
        <f>VLOOKUP(E3066,[3]VLP!$B$7:$K$300,10,0)</f>
        <v>23000</v>
      </c>
      <c r="J3066" s="912">
        <f>I3066*H3066</f>
        <v>5520</v>
      </c>
      <c r="K3066" s="912" t="s">
        <v>274</v>
      </c>
      <c r="L3066" s="912"/>
      <c r="M3066" s="912"/>
      <c r="N3066" s="912"/>
      <c r="O3066" s="892">
        <f t="shared" si="188"/>
        <v>0</v>
      </c>
      <c r="P3066" s="903">
        <f t="shared" si="189"/>
        <v>1</v>
      </c>
      <c r="Q3066" s="893">
        <f t="shared" si="190"/>
        <v>3</v>
      </c>
      <c r="R3066" s="894">
        <f t="shared" si="191"/>
        <v>0</v>
      </c>
    </row>
    <row r="3067" spans="1:18" s="904" customFormat="1">
      <c r="A3067" s="895"/>
      <c r="B3067" s="896"/>
      <c r="C3067" s="897"/>
      <c r="D3067" s="897"/>
      <c r="E3067" s="924" t="s">
        <v>276</v>
      </c>
      <c r="F3067" s="927"/>
      <c r="G3067" s="928"/>
      <c r="H3067" s="901"/>
      <c r="I3067" s="902"/>
      <c r="J3067" s="902"/>
      <c r="K3067" s="912" t="s">
        <v>274</v>
      </c>
      <c r="L3067" s="902"/>
      <c r="M3067" s="902"/>
      <c r="N3067" s="902"/>
      <c r="O3067" s="892">
        <f t="shared" si="188"/>
        <v>0</v>
      </c>
      <c r="P3067" s="903">
        <f t="shared" si="189"/>
        <v>1</v>
      </c>
      <c r="Q3067" s="893">
        <f t="shared" si="190"/>
        <v>2</v>
      </c>
      <c r="R3067" s="894">
        <f t="shared" si="191"/>
        <v>0</v>
      </c>
    </row>
    <row r="3068" spans="1:18">
      <c r="A3068" s="905"/>
      <c r="B3068" s="906"/>
      <c r="C3068" s="907">
        <v>740</v>
      </c>
      <c r="D3068" s="907" t="s">
        <v>12</v>
      </c>
      <c r="E3068" s="908" t="s">
        <v>4008</v>
      </c>
      <c r="F3068" s="909" t="s">
        <v>2674</v>
      </c>
      <c r="G3068" s="910"/>
      <c r="H3068" s="911">
        <v>1.1479999999999999</v>
      </c>
      <c r="I3068" s="912"/>
      <c r="J3068" s="912"/>
      <c r="K3068" s="912">
        <f>VLOOKUP(E3068,ĐMNC!$A$7:$F$67,4,0)</f>
        <v>252714</v>
      </c>
      <c r="L3068" s="912">
        <f>H3068*K3068</f>
        <v>290115.67199999996</v>
      </c>
      <c r="M3068" s="912"/>
      <c r="N3068" s="912"/>
      <c r="O3068" s="892">
        <f t="shared" si="188"/>
        <v>0</v>
      </c>
      <c r="P3068" s="903">
        <f t="shared" si="189"/>
        <v>1</v>
      </c>
      <c r="Q3068" s="893">
        <f t="shared" si="190"/>
        <v>1</v>
      </c>
      <c r="R3068" s="894">
        <f t="shared" si="191"/>
        <v>0</v>
      </c>
    </row>
    <row r="3069" spans="1:18" s="847" customFormat="1" ht="31.5">
      <c r="A3069" s="905"/>
      <c r="B3069" s="914" t="s">
        <v>4967</v>
      </c>
      <c r="C3069" s="915"/>
      <c r="D3069" s="915"/>
      <c r="E3069" s="916" t="s">
        <v>4968</v>
      </c>
      <c r="F3069" s="917" t="s">
        <v>94</v>
      </c>
      <c r="G3069" s="918"/>
      <c r="H3069" s="919"/>
      <c r="I3069" s="920"/>
      <c r="J3069" s="891">
        <f>SUM(J3070:J3074)</f>
        <v>5720</v>
      </c>
      <c r="K3069" s="891"/>
      <c r="L3069" s="891">
        <f>SUM(L3070:L3074)</f>
        <v>367951.58399999997</v>
      </c>
      <c r="M3069" s="891"/>
      <c r="N3069" s="891">
        <f>SUM(N3070:N3074)</f>
        <v>0</v>
      </c>
      <c r="O3069" s="892">
        <f t="shared" si="188"/>
        <v>1</v>
      </c>
      <c r="P3069" s="903">
        <f t="shared" si="189"/>
        <v>0</v>
      </c>
      <c r="Q3069" s="893">
        <f t="shared" si="190"/>
        <v>0</v>
      </c>
      <c r="R3069" s="894">
        <f t="shared" si="191"/>
        <v>5</v>
      </c>
    </row>
    <row r="3070" spans="1:18" s="904" customFormat="1">
      <c r="A3070" s="895"/>
      <c r="B3070" s="896"/>
      <c r="C3070" s="897"/>
      <c r="D3070" s="897"/>
      <c r="E3070" s="924" t="s">
        <v>108</v>
      </c>
      <c r="F3070" s="899"/>
      <c r="G3070" s="900"/>
      <c r="H3070" s="901"/>
      <c r="I3070" s="902"/>
      <c r="J3070" s="902"/>
      <c r="K3070" s="912" t="s">
        <v>274</v>
      </c>
      <c r="L3070" s="902"/>
      <c r="M3070" s="902"/>
      <c r="N3070" s="902"/>
      <c r="O3070" s="892">
        <f t="shared" si="188"/>
        <v>0</v>
      </c>
      <c r="P3070" s="903">
        <f t="shared" si="189"/>
        <v>1</v>
      </c>
      <c r="Q3070" s="893">
        <f t="shared" si="190"/>
        <v>5</v>
      </c>
      <c r="R3070" s="894">
        <f t="shared" si="191"/>
        <v>0</v>
      </c>
    </row>
    <row r="3071" spans="1:18">
      <c r="A3071" s="905"/>
      <c r="B3071" s="906"/>
      <c r="C3071" s="907">
        <v>66</v>
      </c>
      <c r="D3071" s="907" t="s">
        <v>279</v>
      </c>
      <c r="E3071" s="925" t="s">
        <v>2682</v>
      </c>
      <c r="F3071" s="926" t="s">
        <v>45</v>
      </c>
      <c r="G3071" s="910"/>
      <c r="H3071" s="911">
        <v>0.04</v>
      </c>
      <c r="I3071" s="912">
        <f>VLOOKUP(E3071,[3]VLP!$B$7:$K$300,10,0)</f>
        <v>5000</v>
      </c>
      <c r="J3071" s="912">
        <f>I3071*H3071</f>
        <v>200</v>
      </c>
      <c r="K3071" s="912" t="s">
        <v>274</v>
      </c>
      <c r="L3071" s="912"/>
      <c r="M3071" s="912"/>
      <c r="N3071" s="912"/>
      <c r="O3071" s="892">
        <f t="shared" si="188"/>
        <v>0</v>
      </c>
      <c r="P3071" s="903">
        <f t="shared" si="189"/>
        <v>1</v>
      </c>
      <c r="Q3071" s="893">
        <f t="shared" si="190"/>
        <v>4</v>
      </c>
      <c r="R3071" s="894">
        <f t="shared" si="191"/>
        <v>0</v>
      </c>
    </row>
    <row r="3072" spans="1:18">
      <c r="A3072" s="905"/>
      <c r="B3072" s="906"/>
      <c r="C3072" s="907">
        <v>44</v>
      </c>
      <c r="D3072" s="907" t="s">
        <v>279</v>
      </c>
      <c r="E3072" s="925" t="s">
        <v>2681</v>
      </c>
      <c r="F3072" s="926" t="s">
        <v>45</v>
      </c>
      <c r="G3072" s="910"/>
      <c r="H3072" s="911">
        <v>0.24</v>
      </c>
      <c r="I3072" s="912">
        <f>VLOOKUP(E3072,[3]VLP!$B$7:$K$300,10,0)</f>
        <v>23000</v>
      </c>
      <c r="J3072" s="912">
        <f>I3072*H3072</f>
        <v>5520</v>
      </c>
      <c r="K3072" s="912" t="s">
        <v>274</v>
      </c>
      <c r="L3072" s="912"/>
      <c r="M3072" s="912"/>
      <c r="N3072" s="912"/>
      <c r="O3072" s="892">
        <f t="shared" si="188"/>
        <v>0</v>
      </c>
      <c r="P3072" s="903">
        <f t="shared" si="189"/>
        <v>1</v>
      </c>
      <c r="Q3072" s="893">
        <f t="shared" si="190"/>
        <v>3</v>
      </c>
      <c r="R3072" s="894">
        <f t="shared" si="191"/>
        <v>0</v>
      </c>
    </row>
    <row r="3073" spans="1:18" s="904" customFormat="1">
      <c r="A3073" s="895"/>
      <c r="B3073" s="896"/>
      <c r="C3073" s="897"/>
      <c r="D3073" s="897"/>
      <c r="E3073" s="924" t="s">
        <v>276</v>
      </c>
      <c r="F3073" s="927"/>
      <c r="G3073" s="928"/>
      <c r="H3073" s="901"/>
      <c r="I3073" s="902"/>
      <c r="J3073" s="902"/>
      <c r="K3073" s="912" t="s">
        <v>274</v>
      </c>
      <c r="L3073" s="902"/>
      <c r="M3073" s="902"/>
      <c r="N3073" s="902"/>
      <c r="O3073" s="892">
        <f t="shared" si="188"/>
        <v>0</v>
      </c>
      <c r="P3073" s="903">
        <f t="shared" si="189"/>
        <v>1</v>
      </c>
      <c r="Q3073" s="893">
        <f t="shared" si="190"/>
        <v>2</v>
      </c>
      <c r="R3073" s="894">
        <f t="shared" si="191"/>
        <v>0</v>
      </c>
    </row>
    <row r="3074" spans="1:18">
      <c r="A3074" s="905"/>
      <c r="B3074" s="906"/>
      <c r="C3074" s="907">
        <v>740</v>
      </c>
      <c r="D3074" s="907" t="s">
        <v>12</v>
      </c>
      <c r="E3074" s="908" t="s">
        <v>4008</v>
      </c>
      <c r="F3074" s="909" t="s">
        <v>2674</v>
      </c>
      <c r="G3074" s="910"/>
      <c r="H3074" s="911">
        <v>1.456</v>
      </c>
      <c r="I3074" s="912"/>
      <c r="J3074" s="912"/>
      <c r="K3074" s="912">
        <f>VLOOKUP(E3074,ĐMNC!$A$7:$F$67,4,0)</f>
        <v>252714</v>
      </c>
      <c r="L3074" s="912">
        <f>H3074*K3074</f>
        <v>367951.58399999997</v>
      </c>
      <c r="M3074" s="912"/>
      <c r="N3074" s="912"/>
      <c r="O3074" s="892">
        <f t="shared" si="188"/>
        <v>0</v>
      </c>
      <c r="P3074" s="903">
        <f t="shared" si="189"/>
        <v>1</v>
      </c>
      <c r="Q3074" s="893">
        <f t="shared" si="190"/>
        <v>1</v>
      </c>
      <c r="R3074" s="894">
        <f t="shared" si="191"/>
        <v>0</v>
      </c>
    </row>
    <row r="3075" spans="1:18" s="847" customFormat="1" ht="31.5">
      <c r="A3075" s="905"/>
      <c r="B3075" s="914" t="s">
        <v>4969</v>
      </c>
      <c r="C3075" s="915"/>
      <c r="D3075" s="915"/>
      <c r="E3075" s="916" t="s">
        <v>4970</v>
      </c>
      <c r="F3075" s="917" t="s">
        <v>94</v>
      </c>
      <c r="G3075" s="918"/>
      <c r="H3075" s="919"/>
      <c r="I3075" s="920"/>
      <c r="J3075" s="891">
        <f>SUM(J3076:J3080)</f>
        <v>5720</v>
      </c>
      <c r="K3075" s="891"/>
      <c r="L3075" s="891">
        <f>SUM(L3076:L3080)</f>
        <v>404847.82800000004</v>
      </c>
      <c r="M3075" s="891"/>
      <c r="N3075" s="891">
        <f>SUM(N3076:N3080)</f>
        <v>0</v>
      </c>
      <c r="O3075" s="892">
        <f t="shared" si="188"/>
        <v>1</v>
      </c>
      <c r="P3075" s="903">
        <f t="shared" si="189"/>
        <v>0</v>
      </c>
      <c r="Q3075" s="893">
        <f t="shared" si="190"/>
        <v>0</v>
      </c>
      <c r="R3075" s="894">
        <f t="shared" si="191"/>
        <v>5</v>
      </c>
    </row>
    <row r="3076" spans="1:18" s="904" customFormat="1">
      <c r="A3076" s="895"/>
      <c r="B3076" s="896"/>
      <c r="C3076" s="897"/>
      <c r="D3076" s="897"/>
      <c r="E3076" s="924" t="s">
        <v>108</v>
      </c>
      <c r="F3076" s="899"/>
      <c r="G3076" s="900"/>
      <c r="H3076" s="901"/>
      <c r="I3076" s="902"/>
      <c r="J3076" s="902"/>
      <c r="K3076" s="912" t="s">
        <v>274</v>
      </c>
      <c r="L3076" s="902"/>
      <c r="M3076" s="902"/>
      <c r="N3076" s="902"/>
      <c r="O3076" s="892">
        <f t="shared" si="188"/>
        <v>0</v>
      </c>
      <c r="P3076" s="903">
        <f t="shared" si="189"/>
        <v>1</v>
      </c>
      <c r="Q3076" s="893">
        <f t="shared" si="190"/>
        <v>5</v>
      </c>
      <c r="R3076" s="894">
        <f t="shared" si="191"/>
        <v>0</v>
      </c>
    </row>
    <row r="3077" spans="1:18">
      <c r="A3077" s="905"/>
      <c r="B3077" s="906"/>
      <c r="C3077" s="907">
        <v>66</v>
      </c>
      <c r="D3077" s="907" t="s">
        <v>279</v>
      </c>
      <c r="E3077" s="925" t="s">
        <v>2682</v>
      </c>
      <c r="F3077" s="926" t="s">
        <v>45</v>
      </c>
      <c r="G3077" s="910"/>
      <c r="H3077" s="911">
        <v>0.04</v>
      </c>
      <c r="I3077" s="912">
        <f>VLOOKUP(E3077,[3]VLP!$B$7:$K$300,10,0)</f>
        <v>5000</v>
      </c>
      <c r="J3077" s="912">
        <f>I3077*H3077</f>
        <v>200</v>
      </c>
      <c r="K3077" s="912" t="s">
        <v>274</v>
      </c>
      <c r="L3077" s="912"/>
      <c r="M3077" s="912"/>
      <c r="N3077" s="912"/>
      <c r="O3077" s="892">
        <f t="shared" si="188"/>
        <v>0</v>
      </c>
      <c r="P3077" s="903">
        <f t="shared" si="189"/>
        <v>1</v>
      </c>
      <c r="Q3077" s="893">
        <f t="shared" si="190"/>
        <v>4</v>
      </c>
      <c r="R3077" s="894">
        <f t="shared" si="191"/>
        <v>0</v>
      </c>
    </row>
    <row r="3078" spans="1:18">
      <c r="A3078" s="905"/>
      <c r="B3078" s="906"/>
      <c r="C3078" s="907">
        <v>44</v>
      </c>
      <c r="D3078" s="907" t="s">
        <v>279</v>
      </c>
      <c r="E3078" s="925" t="s">
        <v>2681</v>
      </c>
      <c r="F3078" s="926" t="s">
        <v>45</v>
      </c>
      <c r="G3078" s="910"/>
      <c r="H3078" s="911">
        <v>0.24</v>
      </c>
      <c r="I3078" s="912">
        <f>VLOOKUP(E3078,[3]VLP!$B$7:$K$300,10,0)</f>
        <v>23000</v>
      </c>
      <c r="J3078" s="912">
        <f>I3078*H3078</f>
        <v>5520</v>
      </c>
      <c r="K3078" s="912" t="s">
        <v>274</v>
      </c>
      <c r="L3078" s="912"/>
      <c r="M3078" s="912"/>
      <c r="N3078" s="912"/>
      <c r="O3078" s="892">
        <f t="shared" si="188"/>
        <v>0</v>
      </c>
      <c r="P3078" s="903">
        <f t="shared" si="189"/>
        <v>1</v>
      </c>
      <c r="Q3078" s="893">
        <f t="shared" si="190"/>
        <v>3</v>
      </c>
      <c r="R3078" s="894">
        <f t="shared" si="191"/>
        <v>0</v>
      </c>
    </row>
    <row r="3079" spans="1:18" s="904" customFormat="1">
      <c r="A3079" s="895"/>
      <c r="B3079" s="896"/>
      <c r="C3079" s="897"/>
      <c r="D3079" s="897"/>
      <c r="E3079" s="924" t="s">
        <v>276</v>
      </c>
      <c r="F3079" s="927"/>
      <c r="G3079" s="928"/>
      <c r="H3079" s="901"/>
      <c r="I3079" s="902"/>
      <c r="J3079" s="902"/>
      <c r="K3079" s="912" t="s">
        <v>274</v>
      </c>
      <c r="L3079" s="902"/>
      <c r="M3079" s="902"/>
      <c r="N3079" s="902"/>
      <c r="O3079" s="892">
        <f t="shared" si="188"/>
        <v>0</v>
      </c>
      <c r="P3079" s="903">
        <f t="shared" si="189"/>
        <v>1</v>
      </c>
      <c r="Q3079" s="893">
        <f t="shared" si="190"/>
        <v>2</v>
      </c>
      <c r="R3079" s="894">
        <f t="shared" si="191"/>
        <v>0</v>
      </c>
    </row>
    <row r="3080" spans="1:18">
      <c r="A3080" s="905"/>
      <c r="B3080" s="906"/>
      <c r="C3080" s="907">
        <v>740</v>
      </c>
      <c r="D3080" s="907" t="s">
        <v>12</v>
      </c>
      <c r="E3080" s="908" t="s">
        <v>4008</v>
      </c>
      <c r="F3080" s="909" t="s">
        <v>2674</v>
      </c>
      <c r="G3080" s="910"/>
      <c r="H3080" s="911">
        <v>1.6020000000000001</v>
      </c>
      <c r="I3080" s="912"/>
      <c r="J3080" s="912"/>
      <c r="K3080" s="912">
        <f>VLOOKUP(E3080,ĐMNC!$A$7:$F$67,4,0)</f>
        <v>252714</v>
      </c>
      <c r="L3080" s="912">
        <f>H3080*K3080</f>
        <v>404847.82800000004</v>
      </c>
      <c r="M3080" s="912"/>
      <c r="N3080" s="912"/>
      <c r="O3080" s="892">
        <f t="shared" si="188"/>
        <v>0</v>
      </c>
      <c r="P3080" s="903">
        <f t="shared" si="189"/>
        <v>1</v>
      </c>
      <c r="Q3080" s="893">
        <f t="shared" si="190"/>
        <v>1</v>
      </c>
      <c r="R3080" s="894">
        <f t="shared" si="191"/>
        <v>0</v>
      </c>
    </row>
    <row r="3081" spans="1:18" s="847" customFormat="1" ht="31.5">
      <c r="A3081" s="905"/>
      <c r="B3081" s="914" t="s">
        <v>4971</v>
      </c>
      <c r="C3081" s="915"/>
      <c r="D3081" s="915"/>
      <c r="E3081" s="916" t="s">
        <v>4972</v>
      </c>
      <c r="F3081" s="917" t="s">
        <v>94</v>
      </c>
      <c r="G3081" s="918"/>
      <c r="H3081" s="919"/>
      <c r="I3081" s="920"/>
      <c r="J3081" s="891">
        <f>SUM(J3082:J3086)</f>
        <v>5720</v>
      </c>
      <c r="K3081" s="891"/>
      <c r="L3081" s="891">
        <f>SUM(L3082:L3086)</f>
        <v>445282.06800000003</v>
      </c>
      <c r="M3081" s="891"/>
      <c r="N3081" s="891">
        <f>SUM(N3082:N3086)</f>
        <v>0</v>
      </c>
      <c r="O3081" s="892">
        <f t="shared" si="188"/>
        <v>1</v>
      </c>
      <c r="P3081" s="903">
        <f t="shared" si="189"/>
        <v>0</v>
      </c>
      <c r="Q3081" s="893">
        <f t="shared" si="190"/>
        <v>0</v>
      </c>
      <c r="R3081" s="894">
        <f t="shared" si="191"/>
        <v>5</v>
      </c>
    </row>
    <row r="3082" spans="1:18" s="904" customFormat="1">
      <c r="A3082" s="895"/>
      <c r="B3082" s="896"/>
      <c r="C3082" s="897"/>
      <c r="D3082" s="897"/>
      <c r="E3082" s="924" t="s">
        <v>108</v>
      </c>
      <c r="F3082" s="899"/>
      <c r="G3082" s="900"/>
      <c r="H3082" s="901"/>
      <c r="I3082" s="902"/>
      <c r="J3082" s="902"/>
      <c r="K3082" s="912" t="s">
        <v>274</v>
      </c>
      <c r="L3082" s="902"/>
      <c r="M3082" s="902"/>
      <c r="N3082" s="902"/>
      <c r="O3082" s="892">
        <f t="shared" si="188"/>
        <v>0</v>
      </c>
      <c r="P3082" s="903">
        <f t="shared" si="189"/>
        <v>1</v>
      </c>
      <c r="Q3082" s="893">
        <f t="shared" si="190"/>
        <v>5</v>
      </c>
      <c r="R3082" s="894">
        <f t="shared" si="191"/>
        <v>0</v>
      </c>
    </row>
    <row r="3083" spans="1:18">
      <c r="A3083" s="905"/>
      <c r="B3083" s="906"/>
      <c r="C3083" s="907">
        <v>66</v>
      </c>
      <c r="D3083" s="907" t="s">
        <v>279</v>
      </c>
      <c r="E3083" s="925" t="s">
        <v>2682</v>
      </c>
      <c r="F3083" s="926" t="s">
        <v>45</v>
      </c>
      <c r="G3083" s="910"/>
      <c r="H3083" s="911">
        <v>0.04</v>
      </c>
      <c r="I3083" s="912">
        <f>VLOOKUP(E3083,[3]VLP!$B$7:$K$300,10,0)</f>
        <v>5000</v>
      </c>
      <c r="J3083" s="912">
        <f>I3083*H3083</f>
        <v>200</v>
      </c>
      <c r="K3083" s="912" t="s">
        <v>274</v>
      </c>
      <c r="L3083" s="912"/>
      <c r="M3083" s="912"/>
      <c r="N3083" s="912"/>
      <c r="O3083" s="892">
        <f t="shared" si="188"/>
        <v>0</v>
      </c>
      <c r="P3083" s="903">
        <f t="shared" si="189"/>
        <v>1</v>
      </c>
      <c r="Q3083" s="893">
        <f t="shared" si="190"/>
        <v>4</v>
      </c>
      <c r="R3083" s="894">
        <f t="shared" si="191"/>
        <v>0</v>
      </c>
    </row>
    <row r="3084" spans="1:18">
      <c r="A3084" s="905"/>
      <c r="B3084" s="906"/>
      <c r="C3084" s="907">
        <v>44</v>
      </c>
      <c r="D3084" s="907" t="s">
        <v>279</v>
      </c>
      <c r="E3084" s="925" t="s">
        <v>2681</v>
      </c>
      <c r="F3084" s="926" t="s">
        <v>45</v>
      </c>
      <c r="G3084" s="910"/>
      <c r="H3084" s="911">
        <v>0.24</v>
      </c>
      <c r="I3084" s="912">
        <f>VLOOKUP(E3084,[3]VLP!$B$7:$K$300,10,0)</f>
        <v>23000</v>
      </c>
      <c r="J3084" s="912">
        <f>I3084*H3084</f>
        <v>5520</v>
      </c>
      <c r="K3084" s="912" t="s">
        <v>274</v>
      </c>
      <c r="L3084" s="912"/>
      <c r="M3084" s="912"/>
      <c r="N3084" s="912"/>
      <c r="O3084" s="892">
        <f t="shared" si="188"/>
        <v>0</v>
      </c>
      <c r="P3084" s="903">
        <f t="shared" si="189"/>
        <v>1</v>
      </c>
      <c r="Q3084" s="893">
        <f t="shared" si="190"/>
        <v>3</v>
      </c>
      <c r="R3084" s="894">
        <f t="shared" si="191"/>
        <v>0</v>
      </c>
    </row>
    <row r="3085" spans="1:18" s="904" customFormat="1">
      <c r="A3085" s="895"/>
      <c r="B3085" s="896"/>
      <c r="C3085" s="897"/>
      <c r="D3085" s="897"/>
      <c r="E3085" s="924" t="s">
        <v>276</v>
      </c>
      <c r="F3085" s="927"/>
      <c r="G3085" s="928"/>
      <c r="H3085" s="901"/>
      <c r="I3085" s="902"/>
      <c r="J3085" s="902"/>
      <c r="K3085" s="912" t="s">
        <v>274</v>
      </c>
      <c r="L3085" s="902"/>
      <c r="M3085" s="902"/>
      <c r="N3085" s="902"/>
      <c r="O3085" s="892">
        <f t="shared" ref="O3085:O3148" si="192">IF(AND(B3085&lt;&gt;"",D3085=""),1,0)</f>
        <v>0</v>
      </c>
      <c r="P3085" s="903">
        <f t="shared" si="189"/>
        <v>1</v>
      </c>
      <c r="Q3085" s="893">
        <f t="shared" si="190"/>
        <v>2</v>
      </c>
      <c r="R3085" s="894">
        <f t="shared" si="191"/>
        <v>0</v>
      </c>
    </row>
    <row r="3086" spans="1:18">
      <c r="A3086" s="905"/>
      <c r="B3086" s="906"/>
      <c r="C3086" s="907">
        <v>740</v>
      </c>
      <c r="D3086" s="907" t="s">
        <v>12</v>
      </c>
      <c r="E3086" s="908" t="s">
        <v>4008</v>
      </c>
      <c r="F3086" s="909" t="s">
        <v>2674</v>
      </c>
      <c r="G3086" s="910"/>
      <c r="H3086" s="911">
        <v>1.762</v>
      </c>
      <c r="I3086" s="912"/>
      <c r="J3086" s="912"/>
      <c r="K3086" s="912">
        <f>VLOOKUP(E3086,ĐMNC!$A$7:$F$67,4,0)</f>
        <v>252714</v>
      </c>
      <c r="L3086" s="912">
        <f>H3086*K3086</f>
        <v>445282.06800000003</v>
      </c>
      <c r="M3086" s="912"/>
      <c r="N3086" s="912"/>
      <c r="O3086" s="892">
        <f t="shared" si="192"/>
        <v>0</v>
      </c>
      <c r="P3086" s="903">
        <f t="shared" si="189"/>
        <v>1</v>
      </c>
      <c r="Q3086" s="893">
        <f t="shared" si="190"/>
        <v>1</v>
      </c>
      <c r="R3086" s="894">
        <f t="shared" si="191"/>
        <v>0</v>
      </c>
    </row>
    <row r="3087" spans="1:18" s="847" customFormat="1" ht="31.5">
      <c r="A3087" s="905"/>
      <c r="B3087" s="914" t="s">
        <v>4973</v>
      </c>
      <c r="C3087" s="915"/>
      <c r="D3087" s="915"/>
      <c r="E3087" s="916" t="s">
        <v>4974</v>
      </c>
      <c r="F3087" s="917" t="s">
        <v>94</v>
      </c>
      <c r="G3087" s="918"/>
      <c r="H3087" s="919"/>
      <c r="I3087" s="920"/>
      <c r="J3087" s="891">
        <f>SUM(J3088:J3092)</f>
        <v>10240</v>
      </c>
      <c r="K3087" s="891"/>
      <c r="L3087" s="891">
        <f>SUM(L3088:L3092)</f>
        <v>412681.962</v>
      </c>
      <c r="M3087" s="891"/>
      <c r="N3087" s="891">
        <f>SUM(N3088:N3092)</f>
        <v>0</v>
      </c>
      <c r="O3087" s="892">
        <f t="shared" si="192"/>
        <v>1</v>
      </c>
      <c r="P3087" s="903">
        <f t="shared" si="189"/>
        <v>0</v>
      </c>
      <c r="Q3087" s="893">
        <f t="shared" si="190"/>
        <v>0</v>
      </c>
      <c r="R3087" s="894">
        <f t="shared" si="191"/>
        <v>5</v>
      </c>
    </row>
    <row r="3088" spans="1:18" s="904" customFormat="1">
      <c r="A3088" s="895"/>
      <c r="B3088" s="896"/>
      <c r="C3088" s="897"/>
      <c r="D3088" s="897"/>
      <c r="E3088" s="924" t="s">
        <v>108</v>
      </c>
      <c r="F3088" s="899"/>
      <c r="G3088" s="900"/>
      <c r="H3088" s="901"/>
      <c r="I3088" s="902"/>
      <c r="J3088" s="902"/>
      <c r="K3088" s="912" t="s">
        <v>274</v>
      </c>
      <c r="L3088" s="902"/>
      <c r="M3088" s="902"/>
      <c r="N3088" s="902"/>
      <c r="O3088" s="892">
        <f t="shared" si="192"/>
        <v>0</v>
      </c>
      <c r="P3088" s="903">
        <f t="shared" si="189"/>
        <v>1</v>
      </c>
      <c r="Q3088" s="893">
        <f t="shared" si="190"/>
        <v>5</v>
      </c>
      <c r="R3088" s="894">
        <f t="shared" si="191"/>
        <v>0</v>
      </c>
    </row>
    <row r="3089" spans="1:18">
      <c r="A3089" s="905"/>
      <c r="B3089" s="906"/>
      <c r="C3089" s="907">
        <v>66</v>
      </c>
      <c r="D3089" s="907" t="s">
        <v>279</v>
      </c>
      <c r="E3089" s="925" t="s">
        <v>2682</v>
      </c>
      <c r="F3089" s="926" t="s">
        <v>45</v>
      </c>
      <c r="G3089" s="910"/>
      <c r="H3089" s="911">
        <v>7.0000000000000007E-2</v>
      </c>
      <c r="I3089" s="912">
        <f>VLOOKUP(E3089,[3]VLP!$B$7:$K$300,10,0)</f>
        <v>5000</v>
      </c>
      <c r="J3089" s="912">
        <f>I3089*H3089</f>
        <v>350.00000000000006</v>
      </c>
      <c r="K3089" s="912" t="s">
        <v>274</v>
      </c>
      <c r="L3089" s="912"/>
      <c r="M3089" s="912"/>
      <c r="N3089" s="912"/>
      <c r="O3089" s="892">
        <f t="shared" si="192"/>
        <v>0</v>
      </c>
      <c r="P3089" s="903">
        <f t="shared" si="189"/>
        <v>1</v>
      </c>
      <c r="Q3089" s="893">
        <f t="shared" si="190"/>
        <v>4</v>
      </c>
      <c r="R3089" s="894">
        <f t="shared" si="191"/>
        <v>0</v>
      </c>
    </row>
    <row r="3090" spans="1:18">
      <c r="A3090" s="905"/>
      <c r="B3090" s="906"/>
      <c r="C3090" s="907">
        <v>44</v>
      </c>
      <c r="D3090" s="907" t="s">
        <v>279</v>
      </c>
      <c r="E3090" s="925" t="s">
        <v>2681</v>
      </c>
      <c r="F3090" s="926" t="s">
        <v>45</v>
      </c>
      <c r="G3090" s="910"/>
      <c r="H3090" s="911">
        <v>0.43</v>
      </c>
      <c r="I3090" s="912">
        <f>VLOOKUP(E3090,[3]VLP!$B$7:$K$300,10,0)</f>
        <v>23000</v>
      </c>
      <c r="J3090" s="912">
        <f>I3090*H3090</f>
        <v>9890</v>
      </c>
      <c r="K3090" s="912" t="s">
        <v>274</v>
      </c>
      <c r="L3090" s="912"/>
      <c r="M3090" s="912"/>
      <c r="N3090" s="912"/>
      <c r="O3090" s="892">
        <f t="shared" si="192"/>
        <v>0</v>
      </c>
      <c r="P3090" s="903">
        <f t="shared" si="189"/>
        <v>1</v>
      </c>
      <c r="Q3090" s="893">
        <f t="shared" si="190"/>
        <v>3</v>
      </c>
      <c r="R3090" s="894">
        <f t="shared" si="191"/>
        <v>0</v>
      </c>
    </row>
    <row r="3091" spans="1:18" s="904" customFormat="1">
      <c r="A3091" s="895"/>
      <c r="B3091" s="896"/>
      <c r="C3091" s="897"/>
      <c r="D3091" s="897"/>
      <c r="E3091" s="924" t="s">
        <v>276</v>
      </c>
      <c r="F3091" s="927"/>
      <c r="G3091" s="928"/>
      <c r="H3091" s="901"/>
      <c r="I3091" s="902"/>
      <c r="J3091" s="902"/>
      <c r="K3091" s="912" t="s">
        <v>274</v>
      </c>
      <c r="L3091" s="902"/>
      <c r="M3091" s="902"/>
      <c r="N3091" s="902"/>
      <c r="O3091" s="892">
        <f t="shared" si="192"/>
        <v>0</v>
      </c>
      <c r="P3091" s="903">
        <f t="shared" si="189"/>
        <v>1</v>
      </c>
      <c r="Q3091" s="893">
        <f t="shared" si="190"/>
        <v>2</v>
      </c>
      <c r="R3091" s="894">
        <f t="shared" si="191"/>
        <v>0</v>
      </c>
    </row>
    <row r="3092" spans="1:18">
      <c r="A3092" s="905"/>
      <c r="B3092" s="906"/>
      <c r="C3092" s="907">
        <v>740</v>
      </c>
      <c r="D3092" s="907" t="s">
        <v>12</v>
      </c>
      <c r="E3092" s="908" t="s">
        <v>4008</v>
      </c>
      <c r="F3092" s="909" t="s">
        <v>2674</v>
      </c>
      <c r="G3092" s="910"/>
      <c r="H3092" s="911">
        <v>1.633</v>
      </c>
      <c r="I3092" s="912"/>
      <c r="J3092" s="912"/>
      <c r="K3092" s="912">
        <f>VLOOKUP(E3092,ĐMNC!$A$7:$F$67,4,0)</f>
        <v>252714</v>
      </c>
      <c r="L3092" s="912">
        <f>H3092*K3092</f>
        <v>412681.962</v>
      </c>
      <c r="M3092" s="912"/>
      <c r="N3092" s="912"/>
      <c r="O3092" s="892">
        <f t="shared" si="192"/>
        <v>0</v>
      </c>
      <c r="P3092" s="903">
        <f t="shared" si="189"/>
        <v>1</v>
      </c>
      <c r="Q3092" s="893">
        <f t="shared" si="190"/>
        <v>1</v>
      </c>
      <c r="R3092" s="894">
        <f t="shared" si="191"/>
        <v>0</v>
      </c>
    </row>
    <row r="3093" spans="1:18" s="847" customFormat="1" ht="31.5">
      <c r="A3093" s="905"/>
      <c r="B3093" s="914" t="s">
        <v>4975</v>
      </c>
      <c r="C3093" s="915"/>
      <c r="D3093" s="915"/>
      <c r="E3093" s="916" t="s">
        <v>4976</v>
      </c>
      <c r="F3093" s="917" t="s">
        <v>94</v>
      </c>
      <c r="G3093" s="918"/>
      <c r="H3093" s="919"/>
      <c r="I3093" s="920"/>
      <c r="J3093" s="891">
        <f>SUM(J3094:J3098)</f>
        <v>10240</v>
      </c>
      <c r="K3093" s="891"/>
      <c r="L3093" s="891">
        <f>SUM(L3094:L3098)</f>
        <v>468531.75600000005</v>
      </c>
      <c r="M3093" s="891"/>
      <c r="N3093" s="891">
        <f>SUM(N3094:N3098)</f>
        <v>0</v>
      </c>
      <c r="O3093" s="892">
        <f t="shared" si="192"/>
        <v>1</v>
      </c>
      <c r="P3093" s="903">
        <f t="shared" si="189"/>
        <v>0</v>
      </c>
      <c r="Q3093" s="893">
        <f t="shared" si="190"/>
        <v>0</v>
      </c>
      <c r="R3093" s="894">
        <f t="shared" si="191"/>
        <v>5</v>
      </c>
    </row>
    <row r="3094" spans="1:18" s="904" customFormat="1">
      <c r="A3094" s="895"/>
      <c r="B3094" s="896"/>
      <c r="C3094" s="897"/>
      <c r="D3094" s="897"/>
      <c r="E3094" s="924" t="s">
        <v>108</v>
      </c>
      <c r="F3094" s="899"/>
      <c r="G3094" s="900"/>
      <c r="H3094" s="901"/>
      <c r="I3094" s="902"/>
      <c r="J3094" s="902"/>
      <c r="K3094" s="912" t="s">
        <v>274</v>
      </c>
      <c r="L3094" s="902"/>
      <c r="M3094" s="902"/>
      <c r="N3094" s="902"/>
      <c r="O3094" s="892">
        <f t="shared" si="192"/>
        <v>0</v>
      </c>
      <c r="P3094" s="903">
        <f t="shared" ref="P3094:P3173" si="193">IF(O3094=0,1,0)</f>
        <v>1</v>
      </c>
      <c r="Q3094" s="893">
        <f t="shared" ref="Q3094:Q3173" si="194">IF(P3094=0,0,P3094+Q3095)</f>
        <v>5</v>
      </c>
      <c r="R3094" s="894">
        <f t="shared" ref="R3094:R3173" si="195">IF(Q3094=0,Q3095,0)</f>
        <v>0</v>
      </c>
    </row>
    <row r="3095" spans="1:18">
      <c r="A3095" s="905"/>
      <c r="B3095" s="906"/>
      <c r="C3095" s="907">
        <v>66</v>
      </c>
      <c r="D3095" s="907" t="s">
        <v>279</v>
      </c>
      <c r="E3095" s="925" t="s">
        <v>2682</v>
      </c>
      <c r="F3095" s="926" t="s">
        <v>45</v>
      </c>
      <c r="G3095" s="910"/>
      <c r="H3095" s="911">
        <v>7.0000000000000007E-2</v>
      </c>
      <c r="I3095" s="912">
        <f>VLOOKUP(E3095,[3]VLP!$B$7:$K$300,10,0)</f>
        <v>5000</v>
      </c>
      <c r="J3095" s="912">
        <f>I3095*H3095</f>
        <v>350.00000000000006</v>
      </c>
      <c r="K3095" s="912" t="s">
        <v>274</v>
      </c>
      <c r="L3095" s="912"/>
      <c r="M3095" s="912"/>
      <c r="N3095" s="912"/>
      <c r="O3095" s="892">
        <f t="shared" si="192"/>
        <v>0</v>
      </c>
      <c r="P3095" s="903">
        <f t="shared" si="193"/>
        <v>1</v>
      </c>
      <c r="Q3095" s="893">
        <f t="shared" si="194"/>
        <v>4</v>
      </c>
      <c r="R3095" s="894">
        <f t="shared" si="195"/>
        <v>0</v>
      </c>
    </row>
    <row r="3096" spans="1:18">
      <c r="A3096" s="905"/>
      <c r="B3096" s="906"/>
      <c r="C3096" s="907">
        <v>44</v>
      </c>
      <c r="D3096" s="907" t="s">
        <v>279</v>
      </c>
      <c r="E3096" s="925" t="s">
        <v>2681</v>
      </c>
      <c r="F3096" s="926" t="s">
        <v>45</v>
      </c>
      <c r="G3096" s="910"/>
      <c r="H3096" s="911">
        <v>0.43</v>
      </c>
      <c r="I3096" s="912">
        <f>VLOOKUP(E3096,[3]VLP!$B$7:$K$300,10,0)</f>
        <v>23000</v>
      </c>
      <c r="J3096" s="912">
        <f>I3096*H3096</f>
        <v>9890</v>
      </c>
      <c r="K3096" s="912" t="s">
        <v>274</v>
      </c>
      <c r="L3096" s="912"/>
      <c r="M3096" s="912"/>
      <c r="N3096" s="912"/>
      <c r="O3096" s="892">
        <f t="shared" si="192"/>
        <v>0</v>
      </c>
      <c r="P3096" s="903">
        <f t="shared" si="193"/>
        <v>1</v>
      </c>
      <c r="Q3096" s="893">
        <f t="shared" si="194"/>
        <v>3</v>
      </c>
      <c r="R3096" s="894">
        <f t="shared" si="195"/>
        <v>0</v>
      </c>
    </row>
    <row r="3097" spans="1:18" s="904" customFormat="1">
      <c r="A3097" s="895"/>
      <c r="B3097" s="896"/>
      <c r="C3097" s="897"/>
      <c r="D3097" s="897"/>
      <c r="E3097" s="924" t="s">
        <v>276</v>
      </c>
      <c r="F3097" s="927"/>
      <c r="G3097" s="928"/>
      <c r="H3097" s="901"/>
      <c r="I3097" s="902"/>
      <c r="J3097" s="902"/>
      <c r="K3097" s="912" t="s">
        <v>274</v>
      </c>
      <c r="L3097" s="902"/>
      <c r="M3097" s="902"/>
      <c r="N3097" s="902"/>
      <c r="O3097" s="892">
        <f t="shared" si="192"/>
        <v>0</v>
      </c>
      <c r="P3097" s="903">
        <f t="shared" si="193"/>
        <v>1</v>
      </c>
      <c r="Q3097" s="893">
        <f t="shared" si="194"/>
        <v>2</v>
      </c>
      <c r="R3097" s="894">
        <f t="shared" si="195"/>
        <v>0</v>
      </c>
    </row>
    <row r="3098" spans="1:18">
      <c r="A3098" s="905"/>
      <c r="B3098" s="906"/>
      <c r="C3098" s="907">
        <v>740</v>
      </c>
      <c r="D3098" s="907" t="s">
        <v>12</v>
      </c>
      <c r="E3098" s="908" t="s">
        <v>4008</v>
      </c>
      <c r="F3098" s="909" t="s">
        <v>2674</v>
      </c>
      <c r="G3098" s="910"/>
      <c r="H3098" s="911">
        <v>1.8540000000000001</v>
      </c>
      <c r="I3098" s="912"/>
      <c r="J3098" s="912"/>
      <c r="K3098" s="912">
        <f>VLOOKUP(E3098,ĐMNC!$A$7:$F$67,4,0)</f>
        <v>252714</v>
      </c>
      <c r="L3098" s="912">
        <f>H3098*K3098</f>
        <v>468531.75600000005</v>
      </c>
      <c r="M3098" s="912"/>
      <c r="N3098" s="912"/>
      <c r="O3098" s="892">
        <f t="shared" si="192"/>
        <v>0</v>
      </c>
      <c r="P3098" s="903">
        <f t="shared" si="193"/>
        <v>1</v>
      </c>
      <c r="Q3098" s="893">
        <f t="shared" si="194"/>
        <v>1</v>
      </c>
      <c r="R3098" s="894">
        <f t="shared" si="195"/>
        <v>0</v>
      </c>
    </row>
    <row r="3099" spans="1:18" s="847" customFormat="1" ht="31.5">
      <c r="A3099" s="905"/>
      <c r="B3099" s="914" t="s">
        <v>4977</v>
      </c>
      <c r="C3099" s="915"/>
      <c r="D3099" s="915"/>
      <c r="E3099" s="916" t="s">
        <v>4978</v>
      </c>
      <c r="F3099" s="917" t="s">
        <v>94</v>
      </c>
      <c r="G3099" s="918"/>
      <c r="H3099" s="919"/>
      <c r="I3099" s="920"/>
      <c r="J3099" s="891">
        <f>SUM(J3100:J3104)</f>
        <v>10240</v>
      </c>
      <c r="K3099" s="891"/>
      <c r="L3099" s="891">
        <f>SUM(L3100:L3104)</f>
        <v>522107.12399999995</v>
      </c>
      <c r="M3099" s="891"/>
      <c r="N3099" s="891">
        <f>SUM(N3100:N3104)</f>
        <v>0</v>
      </c>
      <c r="O3099" s="892">
        <f t="shared" si="192"/>
        <v>1</v>
      </c>
      <c r="P3099" s="903">
        <f t="shared" si="193"/>
        <v>0</v>
      </c>
      <c r="Q3099" s="893">
        <f t="shared" si="194"/>
        <v>0</v>
      </c>
      <c r="R3099" s="894">
        <f t="shared" si="195"/>
        <v>5</v>
      </c>
    </row>
    <row r="3100" spans="1:18" s="904" customFormat="1">
      <c r="A3100" s="895"/>
      <c r="B3100" s="896"/>
      <c r="C3100" s="897"/>
      <c r="D3100" s="897"/>
      <c r="E3100" s="924" t="s">
        <v>108</v>
      </c>
      <c r="F3100" s="899"/>
      <c r="G3100" s="900"/>
      <c r="H3100" s="901"/>
      <c r="I3100" s="902"/>
      <c r="J3100" s="902"/>
      <c r="K3100" s="912" t="s">
        <v>274</v>
      </c>
      <c r="L3100" s="902"/>
      <c r="M3100" s="902"/>
      <c r="N3100" s="902"/>
      <c r="O3100" s="892">
        <f t="shared" si="192"/>
        <v>0</v>
      </c>
      <c r="P3100" s="903">
        <f t="shared" si="193"/>
        <v>1</v>
      </c>
      <c r="Q3100" s="893">
        <f t="shared" si="194"/>
        <v>5</v>
      </c>
      <c r="R3100" s="894">
        <f t="shared" si="195"/>
        <v>0</v>
      </c>
    </row>
    <row r="3101" spans="1:18">
      <c r="A3101" s="905"/>
      <c r="B3101" s="906"/>
      <c r="C3101" s="907">
        <v>66</v>
      </c>
      <c r="D3101" s="907" t="s">
        <v>279</v>
      </c>
      <c r="E3101" s="925" t="s">
        <v>2682</v>
      </c>
      <c r="F3101" s="926" t="s">
        <v>45</v>
      </c>
      <c r="G3101" s="910"/>
      <c r="H3101" s="911">
        <v>7.0000000000000007E-2</v>
      </c>
      <c r="I3101" s="912">
        <f>VLOOKUP(E3101,[3]VLP!$B$7:$K$300,10,0)</f>
        <v>5000</v>
      </c>
      <c r="J3101" s="912">
        <f>I3101*H3101</f>
        <v>350.00000000000006</v>
      </c>
      <c r="K3101" s="912" t="s">
        <v>274</v>
      </c>
      <c r="L3101" s="912"/>
      <c r="M3101" s="912"/>
      <c r="N3101" s="912"/>
      <c r="O3101" s="892">
        <f t="shared" si="192"/>
        <v>0</v>
      </c>
      <c r="P3101" s="903">
        <f t="shared" si="193"/>
        <v>1</v>
      </c>
      <c r="Q3101" s="893">
        <f t="shared" si="194"/>
        <v>4</v>
      </c>
      <c r="R3101" s="894">
        <f t="shared" si="195"/>
        <v>0</v>
      </c>
    </row>
    <row r="3102" spans="1:18">
      <c r="A3102" s="905"/>
      <c r="B3102" s="906"/>
      <c r="C3102" s="907">
        <v>44</v>
      </c>
      <c r="D3102" s="907" t="s">
        <v>279</v>
      </c>
      <c r="E3102" s="925" t="s">
        <v>2681</v>
      </c>
      <c r="F3102" s="926" t="s">
        <v>45</v>
      </c>
      <c r="G3102" s="910"/>
      <c r="H3102" s="911">
        <v>0.43</v>
      </c>
      <c r="I3102" s="912">
        <f>VLOOKUP(E3102,[3]VLP!$B$7:$K$300,10,0)</f>
        <v>23000</v>
      </c>
      <c r="J3102" s="912">
        <f>I3102*H3102</f>
        <v>9890</v>
      </c>
      <c r="K3102" s="912" t="s">
        <v>274</v>
      </c>
      <c r="L3102" s="912"/>
      <c r="M3102" s="912"/>
      <c r="N3102" s="912"/>
      <c r="O3102" s="892">
        <f t="shared" si="192"/>
        <v>0</v>
      </c>
      <c r="P3102" s="903">
        <f t="shared" si="193"/>
        <v>1</v>
      </c>
      <c r="Q3102" s="893">
        <f t="shared" si="194"/>
        <v>3</v>
      </c>
      <c r="R3102" s="894">
        <f t="shared" si="195"/>
        <v>0</v>
      </c>
    </row>
    <row r="3103" spans="1:18" s="904" customFormat="1">
      <c r="A3103" s="895"/>
      <c r="B3103" s="896"/>
      <c r="C3103" s="897"/>
      <c r="D3103" s="897"/>
      <c r="E3103" s="924" t="s">
        <v>276</v>
      </c>
      <c r="F3103" s="927"/>
      <c r="G3103" s="928"/>
      <c r="H3103" s="901"/>
      <c r="I3103" s="902"/>
      <c r="J3103" s="902"/>
      <c r="K3103" s="912" t="s">
        <v>274</v>
      </c>
      <c r="L3103" s="902"/>
      <c r="M3103" s="902"/>
      <c r="N3103" s="902"/>
      <c r="O3103" s="892">
        <f t="shared" si="192"/>
        <v>0</v>
      </c>
      <c r="P3103" s="903">
        <f t="shared" si="193"/>
        <v>1</v>
      </c>
      <c r="Q3103" s="893">
        <f t="shared" si="194"/>
        <v>2</v>
      </c>
      <c r="R3103" s="894">
        <f t="shared" si="195"/>
        <v>0</v>
      </c>
    </row>
    <row r="3104" spans="1:18">
      <c r="A3104" s="905"/>
      <c r="B3104" s="906"/>
      <c r="C3104" s="907">
        <v>740</v>
      </c>
      <c r="D3104" s="907" t="s">
        <v>12</v>
      </c>
      <c r="E3104" s="908" t="s">
        <v>4008</v>
      </c>
      <c r="F3104" s="909" t="s">
        <v>2674</v>
      </c>
      <c r="G3104" s="910"/>
      <c r="H3104" s="911">
        <v>2.0659999999999998</v>
      </c>
      <c r="I3104" s="912"/>
      <c r="J3104" s="912"/>
      <c r="K3104" s="912">
        <f>VLOOKUP(E3104,ĐMNC!$A$7:$F$67,4,0)</f>
        <v>252714</v>
      </c>
      <c r="L3104" s="912">
        <f>H3104*K3104</f>
        <v>522107.12399999995</v>
      </c>
      <c r="M3104" s="912"/>
      <c r="N3104" s="912"/>
      <c r="O3104" s="892">
        <f t="shared" si="192"/>
        <v>0</v>
      </c>
      <c r="P3104" s="903">
        <f t="shared" si="193"/>
        <v>1</v>
      </c>
      <c r="Q3104" s="893">
        <f t="shared" si="194"/>
        <v>1</v>
      </c>
      <c r="R3104" s="894">
        <f t="shared" si="195"/>
        <v>0</v>
      </c>
    </row>
    <row r="3105" spans="1:18" s="847" customFormat="1" ht="31.5">
      <c r="A3105" s="905"/>
      <c r="B3105" s="914" t="s">
        <v>4979</v>
      </c>
      <c r="C3105" s="915"/>
      <c r="D3105" s="915"/>
      <c r="E3105" s="916" t="s">
        <v>4980</v>
      </c>
      <c r="F3105" s="917" t="s">
        <v>94</v>
      </c>
      <c r="G3105" s="918"/>
      <c r="H3105" s="919"/>
      <c r="I3105" s="920"/>
      <c r="J3105" s="891">
        <f>SUM(J3106:J3110)</f>
        <v>10240</v>
      </c>
      <c r="K3105" s="891"/>
      <c r="L3105" s="891">
        <f>SUM(L3106:L3110)</f>
        <v>662363.39399999997</v>
      </c>
      <c r="M3105" s="891"/>
      <c r="N3105" s="891">
        <f>SUM(N3106:N3110)</f>
        <v>0</v>
      </c>
      <c r="O3105" s="892">
        <f t="shared" si="192"/>
        <v>1</v>
      </c>
      <c r="P3105" s="903">
        <f t="shared" si="193"/>
        <v>0</v>
      </c>
      <c r="Q3105" s="893">
        <f t="shared" si="194"/>
        <v>0</v>
      </c>
      <c r="R3105" s="894">
        <f t="shared" si="195"/>
        <v>5</v>
      </c>
    </row>
    <row r="3106" spans="1:18" s="904" customFormat="1">
      <c r="A3106" s="895"/>
      <c r="B3106" s="896"/>
      <c r="C3106" s="897"/>
      <c r="D3106" s="897"/>
      <c r="E3106" s="924" t="s">
        <v>108</v>
      </c>
      <c r="F3106" s="899"/>
      <c r="G3106" s="900"/>
      <c r="H3106" s="901"/>
      <c r="I3106" s="902"/>
      <c r="J3106" s="902"/>
      <c r="K3106" s="912" t="s">
        <v>274</v>
      </c>
      <c r="L3106" s="902"/>
      <c r="M3106" s="902"/>
      <c r="N3106" s="902"/>
      <c r="O3106" s="892">
        <f t="shared" si="192"/>
        <v>0</v>
      </c>
      <c r="P3106" s="903">
        <f t="shared" si="193"/>
        <v>1</v>
      </c>
      <c r="Q3106" s="893">
        <f t="shared" si="194"/>
        <v>5</v>
      </c>
      <c r="R3106" s="894">
        <f t="shared" si="195"/>
        <v>0</v>
      </c>
    </row>
    <row r="3107" spans="1:18">
      <c r="A3107" s="905"/>
      <c r="B3107" s="906"/>
      <c r="C3107" s="907">
        <v>66</v>
      </c>
      <c r="D3107" s="907" t="s">
        <v>279</v>
      </c>
      <c r="E3107" s="925" t="s">
        <v>2682</v>
      </c>
      <c r="F3107" s="926" t="s">
        <v>45</v>
      </c>
      <c r="G3107" s="910"/>
      <c r="H3107" s="911">
        <v>7.0000000000000007E-2</v>
      </c>
      <c r="I3107" s="912">
        <f>VLOOKUP(E3107,[3]VLP!$B$7:$K$300,10,0)</f>
        <v>5000</v>
      </c>
      <c r="J3107" s="912">
        <f>I3107*H3107</f>
        <v>350.00000000000006</v>
      </c>
      <c r="K3107" s="912" t="s">
        <v>274</v>
      </c>
      <c r="L3107" s="912"/>
      <c r="M3107" s="912"/>
      <c r="N3107" s="912"/>
      <c r="O3107" s="892">
        <f t="shared" si="192"/>
        <v>0</v>
      </c>
      <c r="P3107" s="903">
        <f t="shared" si="193"/>
        <v>1</v>
      </c>
      <c r="Q3107" s="893">
        <f t="shared" si="194"/>
        <v>4</v>
      </c>
      <c r="R3107" s="894">
        <f t="shared" si="195"/>
        <v>0</v>
      </c>
    </row>
    <row r="3108" spans="1:18">
      <c r="A3108" s="905"/>
      <c r="B3108" s="906"/>
      <c r="C3108" s="907">
        <v>44</v>
      </c>
      <c r="D3108" s="907" t="s">
        <v>279</v>
      </c>
      <c r="E3108" s="925" t="s">
        <v>2681</v>
      </c>
      <c r="F3108" s="926" t="s">
        <v>45</v>
      </c>
      <c r="G3108" s="910"/>
      <c r="H3108" s="911">
        <v>0.43</v>
      </c>
      <c r="I3108" s="912">
        <f>VLOOKUP(E3108,[3]VLP!$B$7:$K$300,10,0)</f>
        <v>23000</v>
      </c>
      <c r="J3108" s="912">
        <f>I3108*H3108</f>
        <v>9890</v>
      </c>
      <c r="K3108" s="912" t="s">
        <v>274</v>
      </c>
      <c r="L3108" s="912"/>
      <c r="M3108" s="912"/>
      <c r="N3108" s="912"/>
      <c r="O3108" s="892">
        <f t="shared" si="192"/>
        <v>0</v>
      </c>
      <c r="P3108" s="903">
        <f t="shared" si="193"/>
        <v>1</v>
      </c>
      <c r="Q3108" s="893">
        <f t="shared" si="194"/>
        <v>3</v>
      </c>
      <c r="R3108" s="894">
        <f t="shared" si="195"/>
        <v>0</v>
      </c>
    </row>
    <row r="3109" spans="1:18" s="904" customFormat="1">
      <c r="A3109" s="895"/>
      <c r="B3109" s="896"/>
      <c r="C3109" s="897"/>
      <c r="D3109" s="897"/>
      <c r="E3109" s="924" t="s">
        <v>276</v>
      </c>
      <c r="F3109" s="927"/>
      <c r="G3109" s="928"/>
      <c r="H3109" s="901"/>
      <c r="I3109" s="902"/>
      <c r="J3109" s="902"/>
      <c r="K3109" s="912" t="s">
        <v>274</v>
      </c>
      <c r="L3109" s="902"/>
      <c r="M3109" s="902"/>
      <c r="N3109" s="902"/>
      <c r="O3109" s="892">
        <f t="shared" si="192"/>
        <v>0</v>
      </c>
      <c r="P3109" s="903">
        <f t="shared" si="193"/>
        <v>1</v>
      </c>
      <c r="Q3109" s="893">
        <f t="shared" si="194"/>
        <v>2</v>
      </c>
      <c r="R3109" s="894">
        <f t="shared" si="195"/>
        <v>0</v>
      </c>
    </row>
    <row r="3110" spans="1:18">
      <c r="A3110" s="905"/>
      <c r="B3110" s="906"/>
      <c r="C3110" s="907">
        <v>740</v>
      </c>
      <c r="D3110" s="907" t="s">
        <v>12</v>
      </c>
      <c r="E3110" s="908" t="s">
        <v>4008</v>
      </c>
      <c r="F3110" s="909" t="s">
        <v>2674</v>
      </c>
      <c r="G3110" s="910"/>
      <c r="H3110" s="911">
        <v>2.621</v>
      </c>
      <c r="I3110" s="912"/>
      <c r="J3110" s="912"/>
      <c r="K3110" s="912">
        <f>VLOOKUP(E3110,ĐMNC!$A$7:$F$67,4,0)</f>
        <v>252714</v>
      </c>
      <c r="L3110" s="912">
        <f>H3110*K3110</f>
        <v>662363.39399999997</v>
      </c>
      <c r="M3110" s="912"/>
      <c r="N3110" s="912"/>
      <c r="O3110" s="892">
        <f t="shared" si="192"/>
        <v>0</v>
      </c>
      <c r="P3110" s="903">
        <f t="shared" si="193"/>
        <v>1</v>
      </c>
      <c r="Q3110" s="893">
        <f t="shared" si="194"/>
        <v>1</v>
      </c>
      <c r="R3110" s="894">
        <f t="shared" si="195"/>
        <v>0</v>
      </c>
    </row>
    <row r="3111" spans="1:18" s="847" customFormat="1" ht="31.5">
      <c r="A3111" s="905"/>
      <c r="B3111" s="914" t="s">
        <v>4981</v>
      </c>
      <c r="C3111" s="915"/>
      <c r="D3111" s="915"/>
      <c r="E3111" s="916" t="s">
        <v>4982</v>
      </c>
      <c r="F3111" s="917" t="s">
        <v>94</v>
      </c>
      <c r="G3111" s="918"/>
      <c r="H3111" s="919"/>
      <c r="I3111" s="920"/>
      <c r="J3111" s="891">
        <f>SUM(J3112:J3116)</f>
        <v>10240</v>
      </c>
      <c r="K3111" s="891"/>
      <c r="L3111" s="891">
        <f>SUM(L3112:L3116)</f>
        <v>662363.39399999997</v>
      </c>
      <c r="M3111" s="891"/>
      <c r="N3111" s="891">
        <f>SUM(N3112:N3116)</f>
        <v>0</v>
      </c>
      <c r="O3111" s="892">
        <f t="shared" si="192"/>
        <v>1</v>
      </c>
      <c r="P3111" s="903">
        <f t="shared" si="193"/>
        <v>0</v>
      </c>
      <c r="Q3111" s="893">
        <f t="shared" si="194"/>
        <v>0</v>
      </c>
      <c r="R3111" s="894">
        <f t="shared" si="195"/>
        <v>5</v>
      </c>
    </row>
    <row r="3112" spans="1:18" s="904" customFormat="1">
      <c r="A3112" s="895"/>
      <c r="B3112" s="896"/>
      <c r="C3112" s="897"/>
      <c r="D3112" s="897"/>
      <c r="E3112" s="924" t="s">
        <v>108</v>
      </c>
      <c r="F3112" s="899"/>
      <c r="G3112" s="900"/>
      <c r="H3112" s="901"/>
      <c r="I3112" s="902"/>
      <c r="J3112" s="902"/>
      <c r="K3112" s="912" t="s">
        <v>274</v>
      </c>
      <c r="L3112" s="902"/>
      <c r="M3112" s="902"/>
      <c r="N3112" s="902"/>
      <c r="O3112" s="892">
        <f t="shared" si="192"/>
        <v>0</v>
      </c>
      <c r="P3112" s="903">
        <f t="shared" si="193"/>
        <v>1</v>
      </c>
      <c r="Q3112" s="893">
        <f t="shared" si="194"/>
        <v>5</v>
      </c>
      <c r="R3112" s="894">
        <f t="shared" si="195"/>
        <v>0</v>
      </c>
    </row>
    <row r="3113" spans="1:18">
      <c r="A3113" s="905"/>
      <c r="B3113" s="906"/>
      <c r="C3113" s="907">
        <v>66</v>
      </c>
      <c r="D3113" s="907" t="s">
        <v>279</v>
      </c>
      <c r="E3113" s="925" t="s">
        <v>2682</v>
      </c>
      <c r="F3113" s="926" t="s">
        <v>45</v>
      </c>
      <c r="G3113" s="910"/>
      <c r="H3113" s="911">
        <v>7.0000000000000007E-2</v>
      </c>
      <c r="I3113" s="912">
        <f>VLOOKUP(E3113,[3]VLP!$B$7:$K$300,10,0)</f>
        <v>5000</v>
      </c>
      <c r="J3113" s="912">
        <f>I3113*H3113</f>
        <v>350.00000000000006</v>
      </c>
      <c r="K3113" s="912" t="s">
        <v>274</v>
      </c>
      <c r="L3113" s="912"/>
      <c r="M3113" s="912"/>
      <c r="N3113" s="912"/>
      <c r="O3113" s="892">
        <f t="shared" si="192"/>
        <v>0</v>
      </c>
      <c r="P3113" s="903">
        <f t="shared" si="193"/>
        <v>1</v>
      </c>
      <c r="Q3113" s="893">
        <f t="shared" si="194"/>
        <v>4</v>
      </c>
      <c r="R3113" s="894">
        <f t="shared" si="195"/>
        <v>0</v>
      </c>
    </row>
    <row r="3114" spans="1:18">
      <c r="A3114" s="905"/>
      <c r="B3114" s="906"/>
      <c r="C3114" s="907">
        <v>44</v>
      </c>
      <c r="D3114" s="907" t="s">
        <v>279</v>
      </c>
      <c r="E3114" s="925" t="s">
        <v>2681</v>
      </c>
      <c r="F3114" s="926" t="s">
        <v>45</v>
      </c>
      <c r="G3114" s="910"/>
      <c r="H3114" s="911">
        <v>0.43</v>
      </c>
      <c r="I3114" s="912">
        <f>VLOOKUP(E3114,[3]VLP!$B$7:$K$300,10,0)</f>
        <v>23000</v>
      </c>
      <c r="J3114" s="912">
        <f>I3114*H3114</f>
        <v>9890</v>
      </c>
      <c r="K3114" s="912" t="s">
        <v>274</v>
      </c>
      <c r="L3114" s="912"/>
      <c r="M3114" s="912"/>
      <c r="N3114" s="912"/>
      <c r="O3114" s="892">
        <f t="shared" si="192"/>
        <v>0</v>
      </c>
      <c r="P3114" s="903">
        <f t="shared" si="193"/>
        <v>1</v>
      </c>
      <c r="Q3114" s="893">
        <f t="shared" si="194"/>
        <v>3</v>
      </c>
      <c r="R3114" s="894">
        <f t="shared" si="195"/>
        <v>0</v>
      </c>
    </row>
    <row r="3115" spans="1:18" s="904" customFormat="1">
      <c r="A3115" s="895"/>
      <c r="B3115" s="896"/>
      <c r="C3115" s="897"/>
      <c r="D3115" s="897"/>
      <c r="E3115" s="924" t="s">
        <v>276</v>
      </c>
      <c r="F3115" s="927"/>
      <c r="G3115" s="928"/>
      <c r="H3115" s="901"/>
      <c r="I3115" s="902"/>
      <c r="J3115" s="902"/>
      <c r="K3115" s="912" t="s">
        <v>274</v>
      </c>
      <c r="L3115" s="902"/>
      <c r="M3115" s="902"/>
      <c r="N3115" s="902"/>
      <c r="O3115" s="892">
        <f t="shared" si="192"/>
        <v>0</v>
      </c>
      <c r="P3115" s="903">
        <f t="shared" si="193"/>
        <v>1</v>
      </c>
      <c r="Q3115" s="893">
        <f t="shared" si="194"/>
        <v>2</v>
      </c>
      <c r="R3115" s="894">
        <f t="shared" si="195"/>
        <v>0</v>
      </c>
    </row>
    <row r="3116" spans="1:18">
      <c r="A3116" s="905"/>
      <c r="B3116" s="906"/>
      <c r="C3116" s="907">
        <v>740</v>
      </c>
      <c r="D3116" s="907" t="s">
        <v>12</v>
      </c>
      <c r="E3116" s="908" t="s">
        <v>4008</v>
      </c>
      <c r="F3116" s="909" t="s">
        <v>2674</v>
      </c>
      <c r="G3116" s="910"/>
      <c r="H3116" s="911">
        <v>2.621</v>
      </c>
      <c r="I3116" s="912"/>
      <c r="J3116" s="912"/>
      <c r="K3116" s="912">
        <f>VLOOKUP(E3116,ĐMNC!$A$7:$F$67,4,0)</f>
        <v>252714</v>
      </c>
      <c r="L3116" s="912">
        <f>H3116*K3116</f>
        <v>662363.39399999997</v>
      </c>
      <c r="M3116" s="912"/>
      <c r="N3116" s="912"/>
      <c r="O3116" s="892">
        <f t="shared" si="192"/>
        <v>0</v>
      </c>
      <c r="P3116" s="903">
        <f t="shared" si="193"/>
        <v>1</v>
      </c>
      <c r="Q3116" s="893">
        <f t="shared" si="194"/>
        <v>1</v>
      </c>
      <c r="R3116" s="894">
        <f t="shared" si="195"/>
        <v>0</v>
      </c>
    </row>
    <row r="3117" spans="1:18" s="847" customFormat="1" ht="31.5">
      <c r="A3117" s="905"/>
      <c r="B3117" s="914" t="s">
        <v>4983</v>
      </c>
      <c r="C3117" s="915"/>
      <c r="D3117" s="915"/>
      <c r="E3117" s="916" t="s">
        <v>4984</v>
      </c>
      <c r="F3117" s="917" t="s">
        <v>94</v>
      </c>
      <c r="G3117" s="918"/>
      <c r="H3117" s="919"/>
      <c r="I3117" s="920"/>
      <c r="J3117" s="891">
        <f>SUM(J3118:J3122)</f>
        <v>10240</v>
      </c>
      <c r="K3117" s="891"/>
      <c r="L3117" s="891">
        <f>SUM(L3118:L3122)</f>
        <v>728827.17599999998</v>
      </c>
      <c r="M3117" s="891"/>
      <c r="N3117" s="891">
        <f>SUM(N3118:N3122)</f>
        <v>0</v>
      </c>
      <c r="O3117" s="892">
        <f t="shared" si="192"/>
        <v>1</v>
      </c>
      <c r="P3117" s="903">
        <f t="shared" si="193"/>
        <v>0</v>
      </c>
      <c r="Q3117" s="893">
        <f t="shared" si="194"/>
        <v>0</v>
      </c>
      <c r="R3117" s="894">
        <f t="shared" si="195"/>
        <v>5</v>
      </c>
    </row>
    <row r="3118" spans="1:18" s="904" customFormat="1">
      <c r="A3118" s="895"/>
      <c r="B3118" s="896"/>
      <c r="C3118" s="897"/>
      <c r="D3118" s="897"/>
      <c r="E3118" s="924" t="s">
        <v>108</v>
      </c>
      <c r="F3118" s="899"/>
      <c r="G3118" s="900"/>
      <c r="H3118" s="901"/>
      <c r="I3118" s="902"/>
      <c r="J3118" s="902"/>
      <c r="K3118" s="912" t="s">
        <v>274</v>
      </c>
      <c r="L3118" s="902"/>
      <c r="M3118" s="902"/>
      <c r="N3118" s="902"/>
      <c r="O3118" s="892">
        <f t="shared" si="192"/>
        <v>0</v>
      </c>
      <c r="P3118" s="903">
        <f t="shared" si="193"/>
        <v>1</v>
      </c>
      <c r="Q3118" s="893">
        <f t="shared" si="194"/>
        <v>5</v>
      </c>
      <c r="R3118" s="894">
        <f t="shared" si="195"/>
        <v>0</v>
      </c>
    </row>
    <row r="3119" spans="1:18">
      <c r="A3119" s="905"/>
      <c r="B3119" s="906"/>
      <c r="C3119" s="907">
        <v>66</v>
      </c>
      <c r="D3119" s="907" t="s">
        <v>279</v>
      </c>
      <c r="E3119" s="925" t="s">
        <v>2682</v>
      </c>
      <c r="F3119" s="926" t="s">
        <v>45</v>
      </c>
      <c r="G3119" s="910"/>
      <c r="H3119" s="911">
        <v>7.0000000000000007E-2</v>
      </c>
      <c r="I3119" s="912">
        <f>VLOOKUP(E3119,[3]VLP!$B$7:$K$300,10,0)</f>
        <v>5000</v>
      </c>
      <c r="J3119" s="912">
        <f>I3119*H3119</f>
        <v>350.00000000000006</v>
      </c>
      <c r="K3119" s="912" t="s">
        <v>274</v>
      </c>
      <c r="L3119" s="912"/>
      <c r="M3119" s="912"/>
      <c r="N3119" s="912"/>
      <c r="O3119" s="892">
        <f t="shared" si="192"/>
        <v>0</v>
      </c>
      <c r="P3119" s="903">
        <f t="shared" si="193"/>
        <v>1</v>
      </c>
      <c r="Q3119" s="893">
        <f t="shared" si="194"/>
        <v>4</v>
      </c>
      <c r="R3119" s="894">
        <f t="shared" si="195"/>
        <v>0</v>
      </c>
    </row>
    <row r="3120" spans="1:18">
      <c r="A3120" s="905"/>
      <c r="B3120" s="906"/>
      <c r="C3120" s="907">
        <v>44</v>
      </c>
      <c r="D3120" s="907" t="s">
        <v>279</v>
      </c>
      <c r="E3120" s="925" t="s">
        <v>2681</v>
      </c>
      <c r="F3120" s="926" t="s">
        <v>45</v>
      </c>
      <c r="G3120" s="910"/>
      <c r="H3120" s="911">
        <v>0.43</v>
      </c>
      <c r="I3120" s="912">
        <f>VLOOKUP(E3120,[3]VLP!$B$7:$K$300,10,0)</f>
        <v>23000</v>
      </c>
      <c r="J3120" s="912">
        <f>I3120*H3120</f>
        <v>9890</v>
      </c>
      <c r="K3120" s="912" t="s">
        <v>274</v>
      </c>
      <c r="L3120" s="912"/>
      <c r="M3120" s="912"/>
      <c r="N3120" s="912"/>
      <c r="O3120" s="892">
        <f t="shared" si="192"/>
        <v>0</v>
      </c>
      <c r="P3120" s="903">
        <f t="shared" si="193"/>
        <v>1</v>
      </c>
      <c r="Q3120" s="893">
        <f t="shared" si="194"/>
        <v>3</v>
      </c>
      <c r="R3120" s="894">
        <f t="shared" si="195"/>
        <v>0</v>
      </c>
    </row>
    <row r="3121" spans="1:18" s="904" customFormat="1">
      <c r="A3121" s="895"/>
      <c r="B3121" s="896"/>
      <c r="C3121" s="897"/>
      <c r="D3121" s="897"/>
      <c r="E3121" s="924" t="s">
        <v>276</v>
      </c>
      <c r="F3121" s="927"/>
      <c r="G3121" s="928"/>
      <c r="H3121" s="901"/>
      <c r="I3121" s="902"/>
      <c r="J3121" s="902"/>
      <c r="K3121" s="912" t="s">
        <v>274</v>
      </c>
      <c r="L3121" s="902"/>
      <c r="M3121" s="902"/>
      <c r="N3121" s="902"/>
      <c r="O3121" s="892">
        <f t="shared" si="192"/>
        <v>0</v>
      </c>
      <c r="P3121" s="903">
        <f t="shared" si="193"/>
        <v>1</v>
      </c>
      <c r="Q3121" s="893">
        <f t="shared" si="194"/>
        <v>2</v>
      </c>
      <c r="R3121" s="894">
        <f t="shared" si="195"/>
        <v>0</v>
      </c>
    </row>
    <row r="3122" spans="1:18">
      <c r="A3122" s="905"/>
      <c r="B3122" s="906"/>
      <c r="C3122" s="907">
        <v>740</v>
      </c>
      <c r="D3122" s="907" t="s">
        <v>12</v>
      </c>
      <c r="E3122" s="908" t="s">
        <v>4008</v>
      </c>
      <c r="F3122" s="909" t="s">
        <v>2674</v>
      </c>
      <c r="G3122" s="910"/>
      <c r="H3122" s="911">
        <v>2.8839999999999999</v>
      </c>
      <c r="I3122" s="912"/>
      <c r="J3122" s="912"/>
      <c r="K3122" s="912">
        <f>VLOOKUP(E3122,ĐMNC!$A$7:$F$67,4,0)</f>
        <v>252714</v>
      </c>
      <c r="L3122" s="912">
        <f>H3122*K3122</f>
        <v>728827.17599999998</v>
      </c>
      <c r="M3122" s="912"/>
      <c r="N3122" s="912"/>
      <c r="O3122" s="892">
        <f t="shared" si="192"/>
        <v>0</v>
      </c>
      <c r="P3122" s="903">
        <f t="shared" si="193"/>
        <v>1</v>
      </c>
      <c r="Q3122" s="893">
        <f t="shared" si="194"/>
        <v>1</v>
      </c>
      <c r="R3122" s="894">
        <f t="shared" si="195"/>
        <v>0</v>
      </c>
    </row>
    <row r="3123" spans="1:18" s="847" customFormat="1" ht="31.5">
      <c r="A3123" s="905"/>
      <c r="B3123" s="914" t="s">
        <v>4985</v>
      </c>
      <c r="C3123" s="915"/>
      <c r="D3123" s="915"/>
      <c r="E3123" s="916" t="s">
        <v>4986</v>
      </c>
      <c r="F3123" s="917" t="s">
        <v>94</v>
      </c>
      <c r="G3123" s="918"/>
      <c r="H3123" s="919"/>
      <c r="I3123" s="920"/>
      <c r="J3123" s="891">
        <f>SUM(J3124:J3128)</f>
        <v>10240</v>
      </c>
      <c r="K3123" s="891"/>
      <c r="L3123" s="891">
        <f>SUM(L3124:L3128)</f>
        <v>801608.80800000008</v>
      </c>
      <c r="M3123" s="891"/>
      <c r="N3123" s="891">
        <f>SUM(N3124:N3128)</f>
        <v>0</v>
      </c>
      <c r="O3123" s="892">
        <f t="shared" si="192"/>
        <v>1</v>
      </c>
      <c r="P3123" s="903">
        <f t="shared" si="193"/>
        <v>0</v>
      </c>
      <c r="Q3123" s="893">
        <f t="shared" si="194"/>
        <v>0</v>
      </c>
      <c r="R3123" s="894">
        <f t="shared" si="195"/>
        <v>5</v>
      </c>
    </row>
    <row r="3124" spans="1:18" s="904" customFormat="1">
      <c r="A3124" s="895"/>
      <c r="B3124" s="896"/>
      <c r="C3124" s="897"/>
      <c r="D3124" s="897"/>
      <c r="E3124" s="924" t="s">
        <v>108</v>
      </c>
      <c r="F3124" s="899"/>
      <c r="G3124" s="900"/>
      <c r="H3124" s="901"/>
      <c r="I3124" s="902"/>
      <c r="J3124" s="902"/>
      <c r="K3124" s="912" t="s">
        <v>274</v>
      </c>
      <c r="L3124" s="902"/>
      <c r="M3124" s="902"/>
      <c r="N3124" s="902"/>
      <c r="O3124" s="892">
        <f t="shared" si="192"/>
        <v>0</v>
      </c>
      <c r="P3124" s="903">
        <f t="shared" si="193"/>
        <v>1</v>
      </c>
      <c r="Q3124" s="893">
        <f t="shared" si="194"/>
        <v>5</v>
      </c>
      <c r="R3124" s="894">
        <f t="shared" si="195"/>
        <v>0</v>
      </c>
    </row>
    <row r="3125" spans="1:18">
      <c r="A3125" s="905"/>
      <c r="B3125" s="906"/>
      <c r="C3125" s="907">
        <v>66</v>
      </c>
      <c r="D3125" s="907" t="s">
        <v>279</v>
      </c>
      <c r="E3125" s="925" t="s">
        <v>2682</v>
      </c>
      <c r="F3125" s="926" t="s">
        <v>45</v>
      </c>
      <c r="G3125" s="910"/>
      <c r="H3125" s="911">
        <v>7.0000000000000007E-2</v>
      </c>
      <c r="I3125" s="912">
        <f>VLOOKUP(E3125,[3]VLP!$B$7:$K$300,10,0)</f>
        <v>5000</v>
      </c>
      <c r="J3125" s="912">
        <f>I3125*H3125</f>
        <v>350.00000000000006</v>
      </c>
      <c r="K3125" s="912" t="s">
        <v>274</v>
      </c>
      <c r="L3125" s="912"/>
      <c r="M3125" s="912"/>
      <c r="N3125" s="912"/>
      <c r="O3125" s="892">
        <f t="shared" si="192"/>
        <v>0</v>
      </c>
      <c r="P3125" s="903">
        <f t="shared" si="193"/>
        <v>1</v>
      </c>
      <c r="Q3125" s="893">
        <f t="shared" si="194"/>
        <v>4</v>
      </c>
      <c r="R3125" s="894">
        <f t="shared" si="195"/>
        <v>0</v>
      </c>
    </row>
    <row r="3126" spans="1:18">
      <c r="A3126" s="905"/>
      <c r="B3126" s="906"/>
      <c r="C3126" s="907">
        <v>44</v>
      </c>
      <c r="D3126" s="907" t="s">
        <v>279</v>
      </c>
      <c r="E3126" s="925" t="s">
        <v>2681</v>
      </c>
      <c r="F3126" s="926" t="s">
        <v>45</v>
      </c>
      <c r="G3126" s="910"/>
      <c r="H3126" s="911">
        <v>0.43</v>
      </c>
      <c r="I3126" s="912">
        <f>VLOOKUP(E3126,[3]VLP!$B$7:$K$300,10,0)</f>
        <v>23000</v>
      </c>
      <c r="J3126" s="912">
        <f>I3126*H3126</f>
        <v>9890</v>
      </c>
      <c r="K3126" s="912" t="s">
        <v>274</v>
      </c>
      <c r="L3126" s="912"/>
      <c r="M3126" s="912"/>
      <c r="N3126" s="912"/>
      <c r="O3126" s="892">
        <f t="shared" si="192"/>
        <v>0</v>
      </c>
      <c r="P3126" s="903">
        <f t="shared" si="193"/>
        <v>1</v>
      </c>
      <c r="Q3126" s="893">
        <f t="shared" si="194"/>
        <v>3</v>
      </c>
      <c r="R3126" s="894">
        <f t="shared" si="195"/>
        <v>0</v>
      </c>
    </row>
    <row r="3127" spans="1:18" s="904" customFormat="1">
      <c r="A3127" s="895"/>
      <c r="B3127" s="896"/>
      <c r="C3127" s="897"/>
      <c r="D3127" s="897"/>
      <c r="E3127" s="924" t="s">
        <v>276</v>
      </c>
      <c r="F3127" s="927"/>
      <c r="G3127" s="928"/>
      <c r="H3127" s="901"/>
      <c r="I3127" s="902"/>
      <c r="J3127" s="902"/>
      <c r="K3127" s="912" t="s">
        <v>274</v>
      </c>
      <c r="L3127" s="902"/>
      <c r="M3127" s="902"/>
      <c r="N3127" s="902"/>
      <c r="O3127" s="892">
        <f t="shared" si="192"/>
        <v>0</v>
      </c>
      <c r="P3127" s="903">
        <f t="shared" si="193"/>
        <v>1</v>
      </c>
      <c r="Q3127" s="893">
        <f t="shared" si="194"/>
        <v>2</v>
      </c>
      <c r="R3127" s="894">
        <f t="shared" si="195"/>
        <v>0</v>
      </c>
    </row>
    <row r="3128" spans="1:18">
      <c r="A3128" s="905"/>
      <c r="B3128" s="906"/>
      <c r="C3128" s="907">
        <v>740</v>
      </c>
      <c r="D3128" s="907" t="s">
        <v>12</v>
      </c>
      <c r="E3128" s="908" t="s">
        <v>4008</v>
      </c>
      <c r="F3128" s="909" t="s">
        <v>2674</v>
      </c>
      <c r="G3128" s="910"/>
      <c r="H3128" s="911">
        <v>3.1720000000000002</v>
      </c>
      <c r="I3128" s="912"/>
      <c r="J3128" s="912"/>
      <c r="K3128" s="912">
        <f>VLOOKUP(E3128,ĐMNC!$A$7:$F$67,4,0)</f>
        <v>252714</v>
      </c>
      <c r="L3128" s="912">
        <f>H3128*K3128</f>
        <v>801608.80800000008</v>
      </c>
      <c r="M3128" s="912"/>
      <c r="N3128" s="912"/>
      <c r="O3128" s="892">
        <f t="shared" si="192"/>
        <v>0</v>
      </c>
      <c r="P3128" s="903">
        <f t="shared" si="193"/>
        <v>1</v>
      </c>
      <c r="Q3128" s="893">
        <f>IF(P3128=0,0,P3128+Q3130)</f>
        <v>1</v>
      </c>
      <c r="R3128" s="894">
        <f>IF(Q3128=0,Q3130,0)</f>
        <v>0</v>
      </c>
    </row>
    <row r="3129" spans="1:18">
      <c r="A3129" s="905" t="s">
        <v>4987</v>
      </c>
      <c r="B3129" s="885" t="s">
        <v>4988</v>
      </c>
      <c r="C3129" s="949"/>
      <c r="D3129" s="949"/>
      <c r="E3129" s="887" t="s">
        <v>4989</v>
      </c>
      <c r="F3129" s="909"/>
      <c r="G3129" s="910"/>
      <c r="H3129" s="911"/>
      <c r="I3129" s="912"/>
      <c r="J3129" s="912"/>
      <c r="K3129" s="912"/>
      <c r="L3129" s="912"/>
      <c r="M3129" s="912"/>
      <c r="N3129" s="912"/>
      <c r="O3129" s="892"/>
      <c r="P3129" s="903"/>
      <c r="Q3129" s="893"/>
      <c r="R3129" s="894"/>
    </row>
    <row r="3130" spans="1:18" s="847" customFormat="1">
      <c r="A3130" s="905"/>
      <c r="B3130" s="914" t="s">
        <v>4990</v>
      </c>
      <c r="C3130" s="915"/>
      <c r="D3130" s="915"/>
      <c r="E3130" s="916" t="s">
        <v>4991</v>
      </c>
      <c r="F3130" s="917" t="s">
        <v>94</v>
      </c>
      <c r="G3130" s="918"/>
      <c r="H3130" s="919"/>
      <c r="I3130" s="920"/>
      <c r="J3130" s="891">
        <f>SUM(J3131:J3135)</f>
        <v>1200</v>
      </c>
      <c r="K3130" s="891"/>
      <c r="L3130" s="891">
        <f>SUM(L3131:L3135)</f>
        <v>9097.7039999999997</v>
      </c>
      <c r="M3130" s="891"/>
      <c r="N3130" s="891">
        <f>SUM(N3131:N3135)</f>
        <v>0</v>
      </c>
      <c r="O3130" s="892">
        <f t="shared" ref="O3130:O3141" si="196">IF(AND(B3130&lt;&gt;"",D3130=""),1,0)</f>
        <v>1</v>
      </c>
      <c r="P3130" s="903">
        <f t="shared" ref="P3130:P3142" si="197">IF(O3130=0,1,0)</f>
        <v>0</v>
      </c>
      <c r="Q3130" s="893">
        <f t="shared" ref="Q3130:Q3142" si="198">IF(P3130=0,0,P3130+Q3131)</f>
        <v>0</v>
      </c>
      <c r="R3130" s="894">
        <f t="shared" ref="R3130:R3142" si="199">IF(Q3130=0,Q3131,0)</f>
        <v>5</v>
      </c>
    </row>
    <row r="3131" spans="1:18" s="904" customFormat="1">
      <c r="A3131" s="895"/>
      <c r="B3131" s="896"/>
      <c r="C3131" s="897"/>
      <c r="D3131" s="897"/>
      <c r="E3131" s="924" t="s">
        <v>108</v>
      </c>
      <c r="F3131" s="899"/>
      <c r="G3131" s="900"/>
      <c r="H3131" s="901"/>
      <c r="I3131" s="902"/>
      <c r="J3131" s="902"/>
      <c r="K3131" s="912" t="s">
        <v>274</v>
      </c>
      <c r="L3131" s="902"/>
      <c r="M3131" s="902"/>
      <c r="N3131" s="902"/>
      <c r="O3131" s="892">
        <f t="shared" si="196"/>
        <v>0</v>
      </c>
      <c r="P3131" s="903">
        <f t="shared" si="197"/>
        <v>1</v>
      </c>
      <c r="Q3131" s="893">
        <f t="shared" si="198"/>
        <v>5</v>
      </c>
      <c r="R3131" s="894">
        <f t="shared" si="199"/>
        <v>0</v>
      </c>
    </row>
    <row r="3132" spans="1:18">
      <c r="A3132" s="905"/>
      <c r="B3132" s="906"/>
      <c r="C3132" s="907">
        <v>66</v>
      </c>
      <c r="D3132" s="907" t="s">
        <v>279</v>
      </c>
      <c r="E3132" s="925" t="s">
        <v>2682</v>
      </c>
      <c r="F3132" s="926" t="s">
        <v>45</v>
      </c>
      <c r="G3132" s="910"/>
      <c r="H3132" s="911">
        <v>0.01</v>
      </c>
      <c r="I3132" s="912">
        <f>VLOOKUP(E3132,[3]VLP!$B$7:$K$300,10,0)</f>
        <v>5000</v>
      </c>
      <c r="J3132" s="912">
        <f>I3132*H3132</f>
        <v>50</v>
      </c>
      <c r="K3132" s="912" t="s">
        <v>274</v>
      </c>
      <c r="L3132" s="912"/>
      <c r="M3132" s="912"/>
      <c r="N3132" s="912"/>
      <c r="O3132" s="892">
        <f t="shared" si="196"/>
        <v>0</v>
      </c>
      <c r="P3132" s="903">
        <f t="shared" si="197"/>
        <v>1</v>
      </c>
      <c r="Q3132" s="893">
        <f t="shared" si="198"/>
        <v>4</v>
      </c>
      <c r="R3132" s="894">
        <f t="shared" si="199"/>
        <v>0</v>
      </c>
    </row>
    <row r="3133" spans="1:18">
      <c r="A3133" s="905"/>
      <c r="B3133" s="906"/>
      <c r="C3133" s="907">
        <v>44</v>
      </c>
      <c r="D3133" s="907" t="s">
        <v>279</v>
      </c>
      <c r="E3133" s="925" t="s">
        <v>2681</v>
      </c>
      <c r="F3133" s="926" t="s">
        <v>45</v>
      </c>
      <c r="G3133" s="910"/>
      <c r="H3133" s="911">
        <v>0.05</v>
      </c>
      <c r="I3133" s="912">
        <f>VLOOKUP(E3133,[3]VLP!$B$7:$K$300,10,0)</f>
        <v>23000</v>
      </c>
      <c r="J3133" s="912">
        <f>I3133*H3133</f>
        <v>1150</v>
      </c>
      <c r="K3133" s="912" t="s">
        <v>274</v>
      </c>
      <c r="L3133" s="912"/>
      <c r="M3133" s="912"/>
      <c r="N3133" s="912"/>
      <c r="O3133" s="892">
        <f t="shared" si="196"/>
        <v>0</v>
      </c>
      <c r="P3133" s="903">
        <f t="shared" si="197"/>
        <v>1</v>
      </c>
      <c r="Q3133" s="893">
        <f t="shared" si="198"/>
        <v>3</v>
      </c>
      <c r="R3133" s="894">
        <f t="shared" si="199"/>
        <v>0</v>
      </c>
    </row>
    <row r="3134" spans="1:18" s="904" customFormat="1">
      <c r="A3134" s="895"/>
      <c r="B3134" s="896"/>
      <c r="C3134" s="897"/>
      <c r="D3134" s="897"/>
      <c r="E3134" s="924" t="s">
        <v>276</v>
      </c>
      <c r="F3134" s="927"/>
      <c r="G3134" s="928"/>
      <c r="H3134" s="901"/>
      <c r="I3134" s="902"/>
      <c r="J3134" s="902"/>
      <c r="K3134" s="912" t="s">
        <v>274</v>
      </c>
      <c r="L3134" s="902"/>
      <c r="M3134" s="902"/>
      <c r="N3134" s="902"/>
      <c r="O3134" s="892">
        <f t="shared" si="196"/>
        <v>0</v>
      </c>
      <c r="P3134" s="903">
        <f t="shared" si="197"/>
        <v>1</v>
      </c>
      <c r="Q3134" s="893">
        <f t="shared" si="198"/>
        <v>2</v>
      </c>
      <c r="R3134" s="894">
        <f t="shared" si="199"/>
        <v>0</v>
      </c>
    </row>
    <row r="3135" spans="1:18">
      <c r="A3135" s="905"/>
      <c r="B3135" s="906"/>
      <c r="C3135" s="907">
        <v>740</v>
      </c>
      <c r="D3135" s="907" t="s">
        <v>12</v>
      </c>
      <c r="E3135" s="908" t="s">
        <v>4008</v>
      </c>
      <c r="F3135" s="909" t="s">
        <v>2674</v>
      </c>
      <c r="G3135" s="910"/>
      <c r="H3135" s="911">
        <v>3.5999999999999997E-2</v>
      </c>
      <c r="I3135" s="912"/>
      <c r="J3135" s="912"/>
      <c r="K3135" s="912">
        <f>VLOOKUP(E3135,ĐMNC!$A$7:$F$67,4,0)</f>
        <v>252714</v>
      </c>
      <c r="L3135" s="912">
        <f>H3135*K3135</f>
        <v>9097.7039999999997</v>
      </c>
      <c r="M3135" s="912"/>
      <c r="N3135" s="912"/>
      <c r="O3135" s="892">
        <f t="shared" si="196"/>
        <v>0</v>
      </c>
      <c r="P3135" s="903">
        <f t="shared" si="197"/>
        <v>1</v>
      </c>
      <c r="Q3135" s="893">
        <f t="shared" si="198"/>
        <v>1</v>
      </c>
      <c r="R3135" s="894">
        <f t="shared" si="199"/>
        <v>0</v>
      </c>
    </row>
    <row r="3136" spans="1:18" s="847" customFormat="1">
      <c r="A3136" s="905"/>
      <c r="B3136" s="914" t="s">
        <v>257</v>
      </c>
      <c r="C3136" s="915"/>
      <c r="D3136" s="915"/>
      <c r="E3136" s="916" t="s">
        <v>4992</v>
      </c>
      <c r="F3136" s="917" t="s">
        <v>94</v>
      </c>
      <c r="G3136" s="918"/>
      <c r="H3136" s="919"/>
      <c r="I3136" s="920"/>
      <c r="J3136" s="891">
        <f>SUM(J3137:J3143)</f>
        <v>1200</v>
      </c>
      <c r="K3136" s="891"/>
      <c r="L3136" s="891">
        <f>SUM(L3137:L3143)</f>
        <v>3537.9960000000001</v>
      </c>
      <c r="M3136" s="891"/>
      <c r="N3136" s="891" t="e">
        <f>SUM(N3137:N3143)</f>
        <v>#N/A</v>
      </c>
      <c r="O3136" s="892">
        <f t="shared" si="196"/>
        <v>1</v>
      </c>
      <c r="P3136" s="903">
        <f t="shared" si="197"/>
        <v>0</v>
      </c>
      <c r="Q3136" s="893">
        <f t="shared" si="198"/>
        <v>0</v>
      </c>
      <c r="R3136" s="894">
        <f t="shared" si="199"/>
        <v>7</v>
      </c>
    </row>
    <row r="3137" spans="1:18" s="904" customFormat="1">
      <c r="A3137" s="895"/>
      <c r="B3137" s="896"/>
      <c r="C3137" s="897"/>
      <c r="D3137" s="897"/>
      <c r="E3137" s="924" t="s">
        <v>108</v>
      </c>
      <c r="F3137" s="899"/>
      <c r="G3137" s="900"/>
      <c r="H3137" s="901"/>
      <c r="I3137" s="902"/>
      <c r="J3137" s="902"/>
      <c r="K3137" s="912" t="s">
        <v>274</v>
      </c>
      <c r="L3137" s="902"/>
      <c r="M3137" s="902"/>
      <c r="N3137" s="902"/>
      <c r="O3137" s="892">
        <f t="shared" si="196"/>
        <v>0</v>
      </c>
      <c r="P3137" s="903">
        <f t="shared" si="197"/>
        <v>1</v>
      </c>
      <c r="Q3137" s="893">
        <f t="shared" si="198"/>
        <v>7</v>
      </c>
      <c r="R3137" s="894">
        <f t="shared" si="199"/>
        <v>0</v>
      </c>
    </row>
    <row r="3138" spans="1:18">
      <c r="A3138" s="905"/>
      <c r="B3138" s="906"/>
      <c r="C3138" s="907">
        <v>66</v>
      </c>
      <c r="D3138" s="907" t="s">
        <v>279</v>
      </c>
      <c r="E3138" s="925" t="s">
        <v>2682</v>
      </c>
      <c r="F3138" s="926" t="s">
        <v>45</v>
      </c>
      <c r="G3138" s="910"/>
      <c r="H3138" s="911">
        <v>0.01</v>
      </c>
      <c r="I3138" s="912">
        <f>VLOOKUP(E3138,[3]VLP!$B$7:$K$300,10,0)</f>
        <v>5000</v>
      </c>
      <c r="J3138" s="912">
        <f>I3138*H3138</f>
        <v>50</v>
      </c>
      <c r="K3138" s="912" t="s">
        <v>274</v>
      </c>
      <c r="L3138" s="912"/>
      <c r="M3138" s="912"/>
      <c r="N3138" s="912"/>
      <c r="O3138" s="892">
        <f t="shared" si="196"/>
        <v>0</v>
      </c>
      <c r="P3138" s="903">
        <f t="shared" si="197"/>
        <v>1</v>
      </c>
      <c r="Q3138" s="893">
        <f t="shared" si="198"/>
        <v>6</v>
      </c>
      <c r="R3138" s="894">
        <f t="shared" si="199"/>
        <v>0</v>
      </c>
    </row>
    <row r="3139" spans="1:18">
      <c r="A3139" s="905"/>
      <c r="B3139" s="906"/>
      <c r="C3139" s="907">
        <v>44</v>
      </c>
      <c r="D3139" s="907" t="s">
        <v>279</v>
      </c>
      <c r="E3139" s="925" t="s">
        <v>2681</v>
      </c>
      <c r="F3139" s="926" t="s">
        <v>45</v>
      </c>
      <c r="G3139" s="910"/>
      <c r="H3139" s="911">
        <v>0.05</v>
      </c>
      <c r="I3139" s="912">
        <f>VLOOKUP(E3139,[3]VLP!$B$7:$K$300,10,0)</f>
        <v>23000</v>
      </c>
      <c r="J3139" s="912">
        <f>I3139*H3139</f>
        <v>1150</v>
      </c>
      <c r="K3139" s="912" t="s">
        <v>274</v>
      </c>
      <c r="L3139" s="912"/>
      <c r="M3139" s="912"/>
      <c r="N3139" s="912"/>
      <c r="O3139" s="892">
        <f t="shared" si="196"/>
        <v>0</v>
      </c>
      <c r="P3139" s="903">
        <f t="shared" si="197"/>
        <v>1</v>
      </c>
      <c r="Q3139" s="893">
        <f t="shared" si="198"/>
        <v>5</v>
      </c>
      <c r="R3139" s="894">
        <f t="shared" si="199"/>
        <v>0</v>
      </c>
    </row>
    <row r="3140" spans="1:18" s="904" customFormat="1">
      <c r="A3140" s="895"/>
      <c r="B3140" s="896"/>
      <c r="C3140" s="897"/>
      <c r="D3140" s="897"/>
      <c r="E3140" s="924" t="s">
        <v>276</v>
      </c>
      <c r="F3140" s="927"/>
      <c r="G3140" s="928"/>
      <c r="H3140" s="901"/>
      <c r="I3140" s="902"/>
      <c r="J3140" s="902"/>
      <c r="K3140" s="912" t="s">
        <v>274</v>
      </c>
      <c r="L3140" s="902"/>
      <c r="M3140" s="902"/>
      <c r="N3140" s="902"/>
      <c r="O3140" s="892">
        <f t="shared" si="196"/>
        <v>0</v>
      </c>
      <c r="P3140" s="903">
        <f t="shared" si="197"/>
        <v>1</v>
      </c>
      <c r="Q3140" s="893">
        <f t="shared" si="198"/>
        <v>4</v>
      </c>
      <c r="R3140" s="894">
        <f t="shared" si="199"/>
        <v>0</v>
      </c>
    </row>
    <row r="3141" spans="1:18">
      <c r="A3141" s="905"/>
      <c r="B3141" s="906"/>
      <c r="C3141" s="907">
        <v>740</v>
      </c>
      <c r="D3141" s="907" t="s">
        <v>12</v>
      </c>
      <c r="E3141" s="908" t="s">
        <v>4008</v>
      </c>
      <c r="F3141" s="909" t="s">
        <v>2674</v>
      </c>
      <c r="G3141" s="910"/>
      <c r="H3141" s="911">
        <v>1.4E-2</v>
      </c>
      <c r="I3141" s="912"/>
      <c r="J3141" s="912"/>
      <c r="K3141" s="912">
        <f>VLOOKUP(E3141,ĐMNC!$A$7:$F$67,4,0)</f>
        <v>252714</v>
      </c>
      <c r="L3141" s="912">
        <f>H3141*K3141</f>
        <v>3537.9960000000001</v>
      </c>
      <c r="M3141" s="912"/>
      <c r="N3141" s="912"/>
      <c r="O3141" s="892">
        <f t="shared" si="196"/>
        <v>0</v>
      </c>
      <c r="P3141" s="903">
        <f t="shared" si="197"/>
        <v>1</v>
      </c>
      <c r="Q3141" s="893">
        <f t="shared" si="198"/>
        <v>3</v>
      </c>
      <c r="R3141" s="894">
        <f t="shared" si="199"/>
        <v>0</v>
      </c>
    </row>
    <row r="3142" spans="1:18">
      <c r="A3142" s="905"/>
      <c r="B3142" s="906"/>
      <c r="C3142" s="907"/>
      <c r="D3142" s="907"/>
      <c r="E3142" s="898" t="s">
        <v>3914</v>
      </c>
      <c r="F3142" s="899"/>
      <c r="G3142" s="928"/>
      <c r="H3142" s="901"/>
      <c r="I3142" s="902"/>
      <c r="J3142" s="902"/>
      <c r="K3142" s="912" t="s">
        <v>274</v>
      </c>
      <c r="L3142" s="902"/>
      <c r="M3142" s="902"/>
      <c r="N3142" s="902"/>
      <c r="O3142" s="892"/>
      <c r="P3142" s="903">
        <f t="shared" si="197"/>
        <v>1</v>
      </c>
      <c r="Q3142" s="893">
        <f t="shared" si="198"/>
        <v>2</v>
      </c>
      <c r="R3142" s="894">
        <f t="shared" si="199"/>
        <v>0</v>
      </c>
    </row>
    <row r="3143" spans="1:18">
      <c r="A3143" s="905"/>
      <c r="B3143" s="952" t="s">
        <v>4993</v>
      </c>
      <c r="C3143" s="907"/>
      <c r="D3143" s="907"/>
      <c r="E3143" s="925" t="s">
        <v>4994</v>
      </c>
      <c r="F3143" s="909" t="s">
        <v>2673</v>
      </c>
      <c r="G3143" s="910"/>
      <c r="H3143" s="911">
        <v>1.4999999999999999E-2</v>
      </c>
      <c r="I3143" s="912"/>
      <c r="J3143" s="912"/>
      <c r="K3143" s="912"/>
      <c r="L3143" s="912"/>
      <c r="M3143" s="912" t="e">
        <f>VLOOKUP(B3143,[4]MTC!$B$9:$S$933,17,0)</f>
        <v>#N/A</v>
      </c>
      <c r="N3143" s="912" t="e">
        <f>M3143*H3143</f>
        <v>#N/A</v>
      </c>
      <c r="O3143" s="892"/>
      <c r="P3143" s="903">
        <f>IF(O3143=0,1,0)</f>
        <v>1</v>
      </c>
      <c r="Q3143" s="893">
        <f>IF(P3143=0,0,P3143+Q3145)</f>
        <v>1</v>
      </c>
      <c r="R3143" s="894">
        <f>IF(Q3143=0,Q3145,0)</f>
        <v>0</v>
      </c>
    </row>
    <row r="3144" spans="1:18">
      <c r="A3144" s="905"/>
      <c r="B3144" s="885" t="s">
        <v>4995</v>
      </c>
      <c r="C3144" s="949"/>
      <c r="D3144" s="949"/>
      <c r="E3144" s="943" t="s">
        <v>4996</v>
      </c>
      <c r="F3144" s="909"/>
      <c r="G3144" s="910"/>
      <c r="H3144" s="911"/>
      <c r="I3144" s="912"/>
      <c r="J3144" s="912"/>
      <c r="K3144" s="912"/>
      <c r="L3144" s="912"/>
      <c r="M3144" s="912"/>
      <c r="N3144" s="912"/>
      <c r="O3144" s="892"/>
      <c r="P3144" s="903"/>
      <c r="Q3144" s="893"/>
      <c r="R3144" s="894"/>
    </row>
    <row r="3145" spans="1:18" s="847" customFormat="1">
      <c r="A3145" s="905" t="s">
        <v>4997</v>
      </c>
      <c r="B3145" s="914" t="s">
        <v>1204</v>
      </c>
      <c r="C3145" s="915"/>
      <c r="D3145" s="915"/>
      <c r="E3145" s="916" t="s">
        <v>4998</v>
      </c>
      <c r="F3145" s="917" t="s">
        <v>139</v>
      </c>
      <c r="G3145" s="918"/>
      <c r="H3145" s="919"/>
      <c r="I3145" s="920"/>
      <c r="J3145" s="891">
        <f>SUM(J3146:J3147)</f>
        <v>0</v>
      </c>
      <c r="K3145" s="891"/>
      <c r="L3145" s="891">
        <f>SUM(L3146:L3147)</f>
        <v>79605</v>
      </c>
      <c r="M3145" s="891"/>
      <c r="N3145" s="891">
        <f>SUM(N3146:N3147)</f>
        <v>0</v>
      </c>
      <c r="O3145" s="892">
        <f t="shared" si="192"/>
        <v>1</v>
      </c>
      <c r="P3145" s="903">
        <f t="shared" si="193"/>
        <v>0</v>
      </c>
      <c r="Q3145" s="893">
        <f t="shared" si="194"/>
        <v>0</v>
      </c>
      <c r="R3145" s="894">
        <f t="shared" si="195"/>
        <v>2</v>
      </c>
    </row>
    <row r="3146" spans="1:18" s="904" customFormat="1">
      <c r="A3146" s="895"/>
      <c r="B3146" s="922"/>
      <c r="C3146" s="897"/>
      <c r="D3146" s="897"/>
      <c r="E3146" s="924" t="s">
        <v>276</v>
      </c>
      <c r="F3146" s="927"/>
      <c r="G3146" s="928"/>
      <c r="H3146" s="901"/>
      <c r="I3146" s="902"/>
      <c r="J3146" s="902"/>
      <c r="K3146" s="912" t="s">
        <v>274</v>
      </c>
      <c r="L3146" s="902"/>
      <c r="M3146" s="902"/>
      <c r="N3146" s="902"/>
      <c r="O3146" s="892">
        <f t="shared" si="192"/>
        <v>0</v>
      </c>
      <c r="P3146" s="903">
        <f t="shared" si="193"/>
        <v>1</v>
      </c>
      <c r="Q3146" s="893">
        <f t="shared" si="194"/>
        <v>2</v>
      </c>
      <c r="R3146" s="894">
        <f t="shared" si="195"/>
        <v>0</v>
      </c>
    </row>
    <row r="3147" spans="1:18">
      <c r="A3147" s="905"/>
      <c r="B3147" s="906"/>
      <c r="C3147" s="907">
        <v>740</v>
      </c>
      <c r="D3147" s="907" t="s">
        <v>12</v>
      </c>
      <c r="E3147" s="908" t="s">
        <v>4008</v>
      </c>
      <c r="F3147" s="909" t="s">
        <v>2674</v>
      </c>
      <c r="G3147" s="910"/>
      <c r="H3147" s="911">
        <v>0.36</v>
      </c>
      <c r="I3147" s="912"/>
      <c r="J3147" s="912"/>
      <c r="K3147" s="912">
        <f>VLOOKUP(E3147,[5]ĐMNC!$A$7:$F$67,4,0)</f>
        <v>221125</v>
      </c>
      <c r="L3147" s="912">
        <f>H3147*K3147</f>
        <v>79605</v>
      </c>
      <c r="M3147" s="912"/>
      <c r="N3147" s="912"/>
      <c r="O3147" s="892">
        <f t="shared" si="192"/>
        <v>0</v>
      </c>
      <c r="P3147" s="903">
        <f t="shared" si="193"/>
        <v>1</v>
      </c>
      <c r="Q3147" s="893">
        <f t="shared" si="194"/>
        <v>1</v>
      </c>
      <c r="R3147" s="894">
        <f t="shared" si="195"/>
        <v>0</v>
      </c>
    </row>
    <row r="3148" spans="1:18" s="847" customFormat="1">
      <c r="A3148" s="905"/>
      <c r="B3148" s="914" t="s">
        <v>1208</v>
      </c>
      <c r="C3148" s="915"/>
      <c r="D3148" s="915"/>
      <c r="E3148" s="916" t="s">
        <v>4999</v>
      </c>
      <c r="F3148" s="917" t="s">
        <v>139</v>
      </c>
      <c r="G3148" s="918"/>
      <c r="H3148" s="919"/>
      <c r="I3148" s="920"/>
      <c r="J3148" s="891">
        <f>SUM(J3149:J3150)</f>
        <v>0</v>
      </c>
      <c r="K3148" s="891"/>
      <c r="L3148" s="891">
        <f>SUM(L3149:L3150)</f>
        <v>84027.5</v>
      </c>
      <c r="M3148" s="891"/>
      <c r="N3148" s="891">
        <f>SUM(N3149:N3150)</f>
        <v>0</v>
      </c>
      <c r="O3148" s="892">
        <f t="shared" si="192"/>
        <v>1</v>
      </c>
      <c r="P3148" s="903">
        <f t="shared" si="193"/>
        <v>0</v>
      </c>
      <c r="Q3148" s="893">
        <f t="shared" si="194"/>
        <v>0</v>
      </c>
      <c r="R3148" s="894">
        <f t="shared" si="195"/>
        <v>2</v>
      </c>
    </row>
    <row r="3149" spans="1:18" s="904" customFormat="1">
      <c r="A3149" s="895"/>
      <c r="B3149" s="896"/>
      <c r="C3149" s="897"/>
      <c r="D3149" s="897"/>
      <c r="E3149" s="924" t="s">
        <v>276</v>
      </c>
      <c r="F3149" s="927"/>
      <c r="G3149" s="928"/>
      <c r="H3149" s="901"/>
      <c r="I3149" s="902"/>
      <c r="J3149" s="902"/>
      <c r="K3149" s="912" t="s">
        <v>274</v>
      </c>
      <c r="L3149" s="902"/>
      <c r="M3149" s="902"/>
      <c r="N3149" s="902"/>
      <c r="O3149" s="892">
        <f t="shared" ref="O3149:O3228" si="200">IF(AND(B3149&lt;&gt;"",D3149=""),1,0)</f>
        <v>0</v>
      </c>
      <c r="P3149" s="903">
        <f t="shared" si="193"/>
        <v>1</v>
      </c>
      <c r="Q3149" s="893">
        <f t="shared" si="194"/>
        <v>2</v>
      </c>
      <c r="R3149" s="894">
        <f t="shared" si="195"/>
        <v>0</v>
      </c>
    </row>
    <row r="3150" spans="1:18">
      <c r="A3150" s="905"/>
      <c r="B3150" s="906"/>
      <c r="C3150" s="907">
        <v>740</v>
      </c>
      <c r="D3150" s="907" t="s">
        <v>12</v>
      </c>
      <c r="E3150" s="908" t="s">
        <v>4008</v>
      </c>
      <c r="F3150" s="909" t="s">
        <v>2674</v>
      </c>
      <c r="G3150" s="910"/>
      <c r="H3150" s="911">
        <v>0.38</v>
      </c>
      <c r="I3150" s="912"/>
      <c r="J3150" s="912"/>
      <c r="K3150" s="912">
        <f>VLOOKUP(E3150,[5]ĐMNC!$A$7:$F$67,4,0)</f>
        <v>221125</v>
      </c>
      <c r="L3150" s="912">
        <f>H3150*K3150</f>
        <v>84027.5</v>
      </c>
      <c r="M3150" s="912"/>
      <c r="N3150" s="912"/>
      <c r="O3150" s="892">
        <f t="shared" si="200"/>
        <v>0</v>
      </c>
      <c r="P3150" s="903">
        <f t="shared" si="193"/>
        <v>1</v>
      </c>
      <c r="Q3150" s="893">
        <f t="shared" si="194"/>
        <v>1</v>
      </c>
      <c r="R3150" s="894">
        <f t="shared" si="195"/>
        <v>0</v>
      </c>
    </row>
    <row r="3151" spans="1:18" s="847" customFormat="1">
      <c r="A3151" s="905"/>
      <c r="B3151" s="914" t="s">
        <v>1210</v>
      </c>
      <c r="C3151" s="915"/>
      <c r="D3151" s="915"/>
      <c r="E3151" s="916" t="s">
        <v>5000</v>
      </c>
      <c r="F3151" s="917" t="s">
        <v>139</v>
      </c>
      <c r="G3151" s="918"/>
      <c r="H3151" s="919"/>
      <c r="I3151" s="920"/>
      <c r="J3151" s="891">
        <f>SUM(J3152:J3153)</f>
        <v>0</v>
      </c>
      <c r="K3151" s="891"/>
      <c r="L3151" s="891">
        <f>SUM(L3152:L3153)</f>
        <v>95083.75</v>
      </c>
      <c r="M3151" s="891"/>
      <c r="N3151" s="891">
        <f>SUM(N3152:N3153)</f>
        <v>0</v>
      </c>
      <c r="O3151" s="892">
        <f t="shared" si="200"/>
        <v>1</v>
      </c>
      <c r="P3151" s="903">
        <f t="shared" si="193"/>
        <v>0</v>
      </c>
      <c r="Q3151" s="893">
        <f t="shared" si="194"/>
        <v>0</v>
      </c>
      <c r="R3151" s="894">
        <f t="shared" si="195"/>
        <v>2</v>
      </c>
    </row>
    <row r="3152" spans="1:18" s="904" customFormat="1">
      <c r="A3152" s="895"/>
      <c r="B3152" s="896"/>
      <c r="C3152" s="897"/>
      <c r="D3152" s="897"/>
      <c r="E3152" s="924" t="s">
        <v>276</v>
      </c>
      <c r="F3152" s="927"/>
      <c r="G3152" s="928"/>
      <c r="H3152" s="901"/>
      <c r="I3152" s="902"/>
      <c r="J3152" s="902"/>
      <c r="K3152" s="912" t="s">
        <v>274</v>
      </c>
      <c r="L3152" s="902"/>
      <c r="M3152" s="902"/>
      <c r="N3152" s="902"/>
      <c r="O3152" s="892">
        <f t="shared" si="200"/>
        <v>0</v>
      </c>
      <c r="P3152" s="903">
        <f t="shared" si="193"/>
        <v>1</v>
      </c>
      <c r="Q3152" s="893">
        <f t="shared" si="194"/>
        <v>2</v>
      </c>
      <c r="R3152" s="894">
        <f t="shared" si="195"/>
        <v>0</v>
      </c>
    </row>
    <row r="3153" spans="1:18">
      <c r="A3153" s="905"/>
      <c r="B3153" s="906"/>
      <c r="C3153" s="907">
        <v>740</v>
      </c>
      <c r="D3153" s="907" t="s">
        <v>12</v>
      </c>
      <c r="E3153" s="908" t="s">
        <v>4008</v>
      </c>
      <c r="F3153" s="909" t="s">
        <v>2674</v>
      </c>
      <c r="G3153" s="910"/>
      <c r="H3153" s="911">
        <v>0.43</v>
      </c>
      <c r="I3153" s="912"/>
      <c r="J3153" s="912"/>
      <c r="K3153" s="912">
        <f>VLOOKUP(E3153,[5]ĐMNC!$A$7:$F$67,4,0)</f>
        <v>221125</v>
      </c>
      <c r="L3153" s="912">
        <f>H3153*K3153</f>
        <v>95083.75</v>
      </c>
      <c r="M3153" s="912"/>
      <c r="N3153" s="912"/>
      <c r="O3153" s="892">
        <f t="shared" si="200"/>
        <v>0</v>
      </c>
      <c r="P3153" s="903">
        <f t="shared" si="193"/>
        <v>1</v>
      </c>
      <c r="Q3153" s="893">
        <f t="shared" si="194"/>
        <v>1</v>
      </c>
      <c r="R3153" s="894">
        <f t="shared" si="195"/>
        <v>0</v>
      </c>
    </row>
    <row r="3154" spans="1:18" s="847" customFormat="1">
      <c r="A3154" s="905"/>
      <c r="B3154" s="914" t="s">
        <v>1212</v>
      </c>
      <c r="C3154" s="915"/>
      <c r="D3154" s="915"/>
      <c r="E3154" s="916" t="s">
        <v>5001</v>
      </c>
      <c r="F3154" s="917" t="s">
        <v>139</v>
      </c>
      <c r="G3154" s="918"/>
      <c r="H3154" s="919"/>
      <c r="I3154" s="920"/>
      <c r="J3154" s="891">
        <f>SUM(J3155:J3156)</f>
        <v>0</v>
      </c>
      <c r="K3154" s="891"/>
      <c r="L3154" s="891">
        <f>SUM(L3155:L3156)</f>
        <v>108351.25</v>
      </c>
      <c r="M3154" s="891"/>
      <c r="N3154" s="891">
        <f>SUM(N3155:N3156)</f>
        <v>0</v>
      </c>
      <c r="O3154" s="892">
        <f t="shared" si="200"/>
        <v>1</v>
      </c>
      <c r="P3154" s="903">
        <f t="shared" si="193"/>
        <v>0</v>
      </c>
      <c r="Q3154" s="893">
        <f t="shared" si="194"/>
        <v>0</v>
      </c>
      <c r="R3154" s="894">
        <f t="shared" si="195"/>
        <v>2</v>
      </c>
    </row>
    <row r="3155" spans="1:18" s="904" customFormat="1">
      <c r="A3155" s="895"/>
      <c r="B3155" s="896"/>
      <c r="C3155" s="897"/>
      <c r="D3155" s="897"/>
      <c r="E3155" s="924" t="s">
        <v>276</v>
      </c>
      <c r="F3155" s="927"/>
      <c r="G3155" s="928"/>
      <c r="H3155" s="901"/>
      <c r="I3155" s="902"/>
      <c r="J3155" s="902"/>
      <c r="K3155" s="912" t="s">
        <v>274</v>
      </c>
      <c r="L3155" s="902"/>
      <c r="M3155" s="902"/>
      <c r="N3155" s="902"/>
      <c r="O3155" s="892">
        <f t="shared" si="200"/>
        <v>0</v>
      </c>
      <c r="P3155" s="903">
        <f t="shared" si="193"/>
        <v>1</v>
      </c>
      <c r="Q3155" s="893">
        <f t="shared" si="194"/>
        <v>2</v>
      </c>
      <c r="R3155" s="894">
        <f t="shared" si="195"/>
        <v>0</v>
      </c>
    </row>
    <row r="3156" spans="1:18">
      <c r="A3156" s="905"/>
      <c r="B3156" s="906"/>
      <c r="C3156" s="907">
        <v>740</v>
      </c>
      <c r="D3156" s="907" t="s">
        <v>12</v>
      </c>
      <c r="E3156" s="908" t="s">
        <v>4008</v>
      </c>
      <c r="F3156" s="909" t="s">
        <v>2674</v>
      </c>
      <c r="G3156" s="910"/>
      <c r="H3156" s="911">
        <v>0.49</v>
      </c>
      <c r="I3156" s="912"/>
      <c r="J3156" s="912"/>
      <c r="K3156" s="912">
        <f>VLOOKUP(E3156,[5]ĐMNC!$A$7:$F$67,4,0)</f>
        <v>221125</v>
      </c>
      <c r="L3156" s="912">
        <f>H3156*K3156</f>
        <v>108351.25</v>
      </c>
      <c r="M3156" s="912"/>
      <c r="N3156" s="912"/>
      <c r="O3156" s="892">
        <f t="shared" si="200"/>
        <v>0</v>
      </c>
      <c r="P3156" s="903">
        <f t="shared" si="193"/>
        <v>1</v>
      </c>
      <c r="Q3156" s="893">
        <f t="shared" si="194"/>
        <v>1</v>
      </c>
      <c r="R3156" s="894">
        <f t="shared" si="195"/>
        <v>0</v>
      </c>
    </row>
    <row r="3157" spans="1:18" s="847" customFormat="1">
      <c r="A3157" s="905"/>
      <c r="B3157" s="914" t="s">
        <v>5002</v>
      </c>
      <c r="C3157" s="915"/>
      <c r="D3157" s="915"/>
      <c r="E3157" s="916" t="s">
        <v>5003</v>
      </c>
      <c r="F3157" s="917" t="s">
        <v>139</v>
      </c>
      <c r="G3157" s="918"/>
      <c r="H3157" s="919"/>
      <c r="I3157" s="920"/>
      <c r="J3157" s="891">
        <f>SUM(J3158:J3159)</f>
        <v>0</v>
      </c>
      <c r="K3157" s="891"/>
      <c r="L3157" s="891">
        <f>SUM(L3158:L3159)</f>
        <v>119407.50000000001</v>
      </c>
      <c r="M3157" s="891"/>
      <c r="N3157" s="891">
        <f>SUM(N3158:N3159)</f>
        <v>0</v>
      </c>
      <c r="O3157" s="892">
        <f t="shared" si="200"/>
        <v>1</v>
      </c>
      <c r="P3157" s="903">
        <f t="shared" si="193"/>
        <v>0</v>
      </c>
      <c r="Q3157" s="893">
        <f t="shared" si="194"/>
        <v>0</v>
      </c>
      <c r="R3157" s="894">
        <f t="shared" si="195"/>
        <v>2</v>
      </c>
    </row>
    <row r="3158" spans="1:18" s="904" customFormat="1">
      <c r="A3158" s="895"/>
      <c r="B3158" s="896"/>
      <c r="C3158" s="897"/>
      <c r="D3158" s="897"/>
      <c r="E3158" s="924" t="s">
        <v>276</v>
      </c>
      <c r="F3158" s="927"/>
      <c r="G3158" s="928"/>
      <c r="H3158" s="901"/>
      <c r="I3158" s="902"/>
      <c r="J3158" s="902"/>
      <c r="K3158" s="912" t="s">
        <v>274</v>
      </c>
      <c r="L3158" s="902"/>
      <c r="M3158" s="902"/>
      <c r="N3158" s="902"/>
      <c r="O3158" s="892">
        <f t="shared" si="200"/>
        <v>0</v>
      </c>
      <c r="P3158" s="903">
        <f t="shared" si="193"/>
        <v>1</v>
      </c>
      <c r="Q3158" s="893">
        <f t="shared" si="194"/>
        <v>2</v>
      </c>
      <c r="R3158" s="894">
        <f t="shared" si="195"/>
        <v>0</v>
      </c>
    </row>
    <row r="3159" spans="1:18">
      <c r="A3159" s="905"/>
      <c r="B3159" s="906"/>
      <c r="C3159" s="907">
        <v>740</v>
      </c>
      <c r="D3159" s="907" t="s">
        <v>12</v>
      </c>
      <c r="E3159" s="908" t="s">
        <v>4008</v>
      </c>
      <c r="F3159" s="909" t="s">
        <v>2674</v>
      </c>
      <c r="G3159" s="910"/>
      <c r="H3159" s="911">
        <v>0.54</v>
      </c>
      <c r="I3159" s="912"/>
      <c r="J3159" s="912"/>
      <c r="K3159" s="912">
        <f>VLOOKUP(E3159,[5]ĐMNC!$A$7:$F$67,4,0)</f>
        <v>221125</v>
      </c>
      <c r="L3159" s="912">
        <f>H3159*K3159</f>
        <v>119407.50000000001</v>
      </c>
      <c r="M3159" s="912"/>
      <c r="N3159" s="912"/>
      <c r="O3159" s="892">
        <f t="shared" si="200"/>
        <v>0</v>
      </c>
      <c r="P3159" s="903">
        <f t="shared" si="193"/>
        <v>1</v>
      </c>
      <c r="Q3159" s="893">
        <f t="shared" si="194"/>
        <v>1</v>
      </c>
      <c r="R3159" s="894">
        <f t="shared" si="195"/>
        <v>0</v>
      </c>
    </row>
    <row r="3160" spans="1:18" s="847" customFormat="1">
      <c r="A3160" s="905"/>
      <c r="B3160" s="914" t="s">
        <v>5004</v>
      </c>
      <c r="C3160" s="915"/>
      <c r="D3160" s="915"/>
      <c r="E3160" s="916" t="s">
        <v>5005</v>
      </c>
      <c r="F3160" s="917" t="s">
        <v>139</v>
      </c>
      <c r="G3160" s="918"/>
      <c r="H3160" s="919"/>
      <c r="I3160" s="920"/>
      <c r="J3160" s="891">
        <f>SUM(J3161:J3162)</f>
        <v>0</v>
      </c>
      <c r="K3160" s="891"/>
      <c r="L3160" s="891">
        <f>SUM(L3161:L3162)</f>
        <v>130463.75</v>
      </c>
      <c r="M3160" s="891"/>
      <c r="N3160" s="891">
        <f>SUM(N3161:N3162)</f>
        <v>0</v>
      </c>
      <c r="O3160" s="892">
        <f t="shared" si="200"/>
        <v>1</v>
      </c>
      <c r="P3160" s="903">
        <f t="shared" si="193"/>
        <v>0</v>
      </c>
      <c r="Q3160" s="893">
        <f t="shared" si="194"/>
        <v>0</v>
      </c>
      <c r="R3160" s="894">
        <f t="shared" si="195"/>
        <v>2</v>
      </c>
    </row>
    <row r="3161" spans="1:18" s="904" customFormat="1">
      <c r="A3161" s="895"/>
      <c r="B3161" s="896"/>
      <c r="C3161" s="897"/>
      <c r="D3161" s="897"/>
      <c r="E3161" s="924" t="s">
        <v>276</v>
      </c>
      <c r="F3161" s="927"/>
      <c r="G3161" s="928"/>
      <c r="H3161" s="901"/>
      <c r="I3161" s="902"/>
      <c r="J3161" s="902"/>
      <c r="K3161" s="912" t="s">
        <v>274</v>
      </c>
      <c r="L3161" s="902"/>
      <c r="M3161" s="902"/>
      <c r="N3161" s="902"/>
      <c r="O3161" s="892">
        <f t="shared" si="200"/>
        <v>0</v>
      </c>
      <c r="P3161" s="903">
        <f t="shared" si="193"/>
        <v>1</v>
      </c>
      <c r="Q3161" s="893">
        <f t="shared" si="194"/>
        <v>2</v>
      </c>
      <c r="R3161" s="894">
        <f t="shared" si="195"/>
        <v>0</v>
      </c>
    </row>
    <row r="3162" spans="1:18">
      <c r="A3162" s="905"/>
      <c r="B3162" s="906"/>
      <c r="C3162" s="907">
        <v>740</v>
      </c>
      <c r="D3162" s="907" t="s">
        <v>12</v>
      </c>
      <c r="E3162" s="908" t="s">
        <v>4008</v>
      </c>
      <c r="F3162" s="909" t="s">
        <v>2674</v>
      </c>
      <c r="G3162" s="910"/>
      <c r="H3162" s="911">
        <v>0.59</v>
      </c>
      <c r="I3162" s="912"/>
      <c r="J3162" s="912"/>
      <c r="K3162" s="912">
        <f>VLOOKUP(E3162,[5]ĐMNC!$A$7:$F$67,4,0)</f>
        <v>221125</v>
      </c>
      <c r="L3162" s="912">
        <f>H3162*K3162</f>
        <v>130463.75</v>
      </c>
      <c r="M3162" s="912"/>
      <c r="N3162" s="912"/>
      <c r="O3162" s="892">
        <f t="shared" si="200"/>
        <v>0</v>
      </c>
      <c r="P3162" s="903">
        <f t="shared" si="193"/>
        <v>1</v>
      </c>
      <c r="Q3162" s="893">
        <f t="shared" si="194"/>
        <v>1</v>
      </c>
      <c r="R3162" s="894">
        <f t="shared" si="195"/>
        <v>0</v>
      </c>
    </row>
    <row r="3163" spans="1:18" s="847" customFormat="1">
      <c r="A3163" s="905"/>
      <c r="B3163" s="914" t="s">
        <v>5006</v>
      </c>
      <c r="C3163" s="915"/>
      <c r="D3163" s="915"/>
      <c r="E3163" s="916" t="s">
        <v>5007</v>
      </c>
      <c r="F3163" s="917" t="s">
        <v>139</v>
      </c>
      <c r="G3163" s="918"/>
      <c r="H3163" s="919"/>
      <c r="I3163" s="920"/>
      <c r="J3163" s="891">
        <f>SUM(J3164:J3165)</f>
        <v>0</v>
      </c>
      <c r="K3163" s="891"/>
      <c r="L3163" s="891">
        <f>SUM(L3164:L3165)</f>
        <v>150365</v>
      </c>
      <c r="M3163" s="891"/>
      <c r="N3163" s="891">
        <f>SUM(N3164:N3165)</f>
        <v>0</v>
      </c>
      <c r="O3163" s="892">
        <f t="shared" si="200"/>
        <v>1</v>
      </c>
      <c r="P3163" s="903">
        <f t="shared" si="193"/>
        <v>0</v>
      </c>
      <c r="Q3163" s="893">
        <f t="shared" si="194"/>
        <v>0</v>
      </c>
      <c r="R3163" s="894">
        <f t="shared" si="195"/>
        <v>2</v>
      </c>
    </row>
    <row r="3164" spans="1:18" s="904" customFormat="1">
      <c r="A3164" s="895"/>
      <c r="B3164" s="896"/>
      <c r="C3164" s="897"/>
      <c r="D3164" s="897"/>
      <c r="E3164" s="924" t="s">
        <v>276</v>
      </c>
      <c r="F3164" s="927"/>
      <c r="G3164" s="928"/>
      <c r="H3164" s="901"/>
      <c r="I3164" s="902"/>
      <c r="J3164" s="902"/>
      <c r="K3164" s="912" t="s">
        <v>274</v>
      </c>
      <c r="L3164" s="902"/>
      <c r="M3164" s="902"/>
      <c r="N3164" s="902"/>
      <c r="O3164" s="892">
        <f t="shared" si="200"/>
        <v>0</v>
      </c>
      <c r="P3164" s="903">
        <f t="shared" si="193"/>
        <v>1</v>
      </c>
      <c r="Q3164" s="893">
        <f t="shared" si="194"/>
        <v>2</v>
      </c>
      <c r="R3164" s="894">
        <f t="shared" si="195"/>
        <v>0</v>
      </c>
    </row>
    <row r="3165" spans="1:18">
      <c r="A3165" s="905"/>
      <c r="B3165" s="906"/>
      <c r="C3165" s="907">
        <v>740</v>
      </c>
      <c r="D3165" s="907" t="s">
        <v>12</v>
      </c>
      <c r="E3165" s="908" t="s">
        <v>4008</v>
      </c>
      <c r="F3165" s="909" t="s">
        <v>2674</v>
      </c>
      <c r="G3165" s="910"/>
      <c r="H3165" s="911">
        <v>0.68</v>
      </c>
      <c r="I3165" s="912"/>
      <c r="J3165" s="912"/>
      <c r="K3165" s="912">
        <f>VLOOKUP(E3165,[5]ĐMNC!$A$7:$F$67,4,0)</f>
        <v>221125</v>
      </c>
      <c r="L3165" s="912">
        <f>H3165*K3165</f>
        <v>150365</v>
      </c>
      <c r="M3165" s="912"/>
      <c r="N3165" s="912"/>
      <c r="O3165" s="892">
        <f t="shared" si="200"/>
        <v>0</v>
      </c>
      <c r="P3165" s="903">
        <f t="shared" si="193"/>
        <v>1</v>
      </c>
      <c r="Q3165" s="893">
        <f t="shared" si="194"/>
        <v>1</v>
      </c>
      <c r="R3165" s="894">
        <f t="shared" si="195"/>
        <v>0</v>
      </c>
    </row>
    <row r="3166" spans="1:18" s="847" customFormat="1">
      <c r="A3166" s="905"/>
      <c r="B3166" s="914" t="s">
        <v>5008</v>
      </c>
      <c r="C3166" s="915"/>
      <c r="D3166" s="915"/>
      <c r="E3166" s="916" t="s">
        <v>5009</v>
      </c>
      <c r="F3166" s="917" t="s">
        <v>139</v>
      </c>
      <c r="G3166" s="918"/>
      <c r="H3166" s="919"/>
      <c r="I3166" s="920"/>
      <c r="J3166" s="891">
        <f>SUM(J3167:J3168)</f>
        <v>0</v>
      </c>
      <c r="K3166" s="891"/>
      <c r="L3166" s="891">
        <f>SUM(L3167:L3168)</f>
        <v>172477.5</v>
      </c>
      <c r="M3166" s="891"/>
      <c r="N3166" s="891">
        <f>SUM(N3167:N3168)</f>
        <v>0</v>
      </c>
      <c r="O3166" s="892">
        <f t="shared" si="200"/>
        <v>1</v>
      </c>
      <c r="P3166" s="903">
        <f t="shared" si="193"/>
        <v>0</v>
      </c>
      <c r="Q3166" s="893">
        <f t="shared" si="194"/>
        <v>0</v>
      </c>
      <c r="R3166" s="894">
        <f t="shared" si="195"/>
        <v>2</v>
      </c>
    </row>
    <row r="3167" spans="1:18" s="904" customFormat="1">
      <c r="A3167" s="895"/>
      <c r="B3167" s="896"/>
      <c r="C3167" s="897"/>
      <c r="D3167" s="897"/>
      <c r="E3167" s="924" t="s">
        <v>276</v>
      </c>
      <c r="F3167" s="927"/>
      <c r="G3167" s="928"/>
      <c r="H3167" s="901"/>
      <c r="I3167" s="902"/>
      <c r="J3167" s="902"/>
      <c r="K3167" s="912" t="s">
        <v>274</v>
      </c>
      <c r="L3167" s="902"/>
      <c r="M3167" s="902"/>
      <c r="N3167" s="902"/>
      <c r="O3167" s="892">
        <f t="shared" si="200"/>
        <v>0</v>
      </c>
      <c r="P3167" s="903">
        <f t="shared" si="193"/>
        <v>1</v>
      </c>
      <c r="Q3167" s="893">
        <f t="shared" si="194"/>
        <v>2</v>
      </c>
      <c r="R3167" s="894">
        <f t="shared" si="195"/>
        <v>0</v>
      </c>
    </row>
    <row r="3168" spans="1:18">
      <c r="A3168" s="905"/>
      <c r="B3168" s="906"/>
      <c r="C3168" s="907">
        <v>740</v>
      </c>
      <c r="D3168" s="907" t="s">
        <v>12</v>
      </c>
      <c r="E3168" s="908" t="s">
        <v>4008</v>
      </c>
      <c r="F3168" s="909" t="s">
        <v>2674</v>
      </c>
      <c r="G3168" s="910"/>
      <c r="H3168" s="911">
        <v>0.78</v>
      </c>
      <c r="I3168" s="912"/>
      <c r="J3168" s="912"/>
      <c r="K3168" s="912">
        <f>VLOOKUP(E3168,[5]ĐMNC!$A$7:$F$67,4,0)</f>
        <v>221125</v>
      </c>
      <c r="L3168" s="912">
        <f>H3168*K3168</f>
        <v>172477.5</v>
      </c>
      <c r="M3168" s="912"/>
      <c r="N3168" s="912"/>
      <c r="O3168" s="892">
        <f t="shared" si="200"/>
        <v>0</v>
      </c>
      <c r="P3168" s="903">
        <f t="shared" si="193"/>
        <v>1</v>
      </c>
      <c r="Q3168" s="893">
        <f t="shared" si="194"/>
        <v>1</v>
      </c>
      <c r="R3168" s="894">
        <f t="shared" si="195"/>
        <v>0</v>
      </c>
    </row>
    <row r="3169" spans="1:18" s="847" customFormat="1">
      <c r="A3169" s="905"/>
      <c r="B3169" s="914" t="s">
        <v>5010</v>
      </c>
      <c r="C3169" s="915"/>
      <c r="D3169" s="915"/>
      <c r="E3169" s="916" t="s">
        <v>5011</v>
      </c>
      <c r="F3169" s="917" t="s">
        <v>139</v>
      </c>
      <c r="G3169" s="918"/>
      <c r="H3169" s="919"/>
      <c r="I3169" s="920"/>
      <c r="J3169" s="891">
        <f>SUM(J3170:J3171)</f>
        <v>0</v>
      </c>
      <c r="K3169" s="891"/>
      <c r="L3169" s="891">
        <f>SUM(L3170:L3171)</f>
        <v>199012.5</v>
      </c>
      <c r="M3169" s="891"/>
      <c r="N3169" s="891">
        <f>SUM(N3170:N3171)</f>
        <v>0</v>
      </c>
      <c r="O3169" s="892">
        <f t="shared" si="200"/>
        <v>1</v>
      </c>
      <c r="P3169" s="903">
        <f t="shared" si="193"/>
        <v>0</v>
      </c>
      <c r="Q3169" s="893">
        <f t="shared" si="194"/>
        <v>0</v>
      </c>
      <c r="R3169" s="894">
        <f t="shared" si="195"/>
        <v>2</v>
      </c>
    </row>
    <row r="3170" spans="1:18" s="904" customFormat="1">
      <c r="A3170" s="895"/>
      <c r="B3170" s="896"/>
      <c r="C3170" s="897"/>
      <c r="D3170" s="897"/>
      <c r="E3170" s="924" t="s">
        <v>276</v>
      </c>
      <c r="F3170" s="927"/>
      <c r="G3170" s="928"/>
      <c r="H3170" s="901"/>
      <c r="I3170" s="902"/>
      <c r="J3170" s="902"/>
      <c r="K3170" s="912" t="s">
        <v>274</v>
      </c>
      <c r="L3170" s="902"/>
      <c r="M3170" s="902"/>
      <c r="N3170" s="902"/>
      <c r="O3170" s="892">
        <f t="shared" si="200"/>
        <v>0</v>
      </c>
      <c r="P3170" s="903">
        <f t="shared" si="193"/>
        <v>1</v>
      </c>
      <c r="Q3170" s="893">
        <f t="shared" si="194"/>
        <v>2</v>
      </c>
      <c r="R3170" s="894">
        <f t="shared" si="195"/>
        <v>0</v>
      </c>
    </row>
    <row r="3171" spans="1:18">
      <c r="A3171" s="905"/>
      <c r="B3171" s="906"/>
      <c r="C3171" s="907">
        <v>740</v>
      </c>
      <c r="D3171" s="907" t="s">
        <v>12</v>
      </c>
      <c r="E3171" s="908" t="s">
        <v>4008</v>
      </c>
      <c r="F3171" s="909" t="s">
        <v>2674</v>
      </c>
      <c r="G3171" s="910"/>
      <c r="H3171" s="911">
        <v>0.9</v>
      </c>
      <c r="I3171" s="912"/>
      <c r="J3171" s="912"/>
      <c r="K3171" s="912">
        <f>VLOOKUP(E3171,[5]ĐMNC!$A$7:$F$67,4,0)</f>
        <v>221125</v>
      </c>
      <c r="L3171" s="912">
        <f>H3171*K3171</f>
        <v>199012.5</v>
      </c>
      <c r="M3171" s="912"/>
      <c r="N3171" s="912"/>
      <c r="O3171" s="892">
        <f t="shared" si="200"/>
        <v>0</v>
      </c>
      <c r="P3171" s="903">
        <f t="shared" si="193"/>
        <v>1</v>
      </c>
      <c r="Q3171" s="893">
        <f t="shared" si="194"/>
        <v>1</v>
      </c>
      <c r="R3171" s="894">
        <f t="shared" si="195"/>
        <v>0</v>
      </c>
    </row>
    <row r="3172" spans="1:18" s="847" customFormat="1">
      <c r="A3172" s="905"/>
      <c r="B3172" s="914" t="s">
        <v>1214</v>
      </c>
      <c r="C3172" s="915"/>
      <c r="D3172" s="915"/>
      <c r="E3172" s="916" t="s">
        <v>5012</v>
      </c>
      <c r="F3172" s="917" t="s">
        <v>139</v>
      </c>
      <c r="G3172" s="918"/>
      <c r="H3172" s="919"/>
      <c r="I3172" s="920"/>
      <c r="J3172" s="891">
        <f>SUM(J3173:J3174)</f>
        <v>0</v>
      </c>
      <c r="K3172" s="891"/>
      <c r="L3172" s="891">
        <f>SUM(L3173:L3174)</f>
        <v>68548.75</v>
      </c>
      <c r="M3172" s="891"/>
      <c r="N3172" s="891">
        <f>SUM(N3173:N3174)</f>
        <v>0</v>
      </c>
      <c r="O3172" s="892">
        <f t="shared" si="200"/>
        <v>1</v>
      </c>
      <c r="P3172" s="903">
        <f t="shared" si="193"/>
        <v>0</v>
      </c>
      <c r="Q3172" s="893">
        <f t="shared" si="194"/>
        <v>0</v>
      </c>
      <c r="R3172" s="894">
        <f t="shared" si="195"/>
        <v>2</v>
      </c>
    </row>
    <row r="3173" spans="1:18" s="904" customFormat="1">
      <c r="A3173" s="895"/>
      <c r="B3173" s="896"/>
      <c r="C3173" s="897"/>
      <c r="D3173" s="897"/>
      <c r="E3173" s="924" t="s">
        <v>276</v>
      </c>
      <c r="F3173" s="927"/>
      <c r="G3173" s="928"/>
      <c r="H3173" s="901"/>
      <c r="I3173" s="902"/>
      <c r="J3173" s="902"/>
      <c r="K3173" s="912" t="s">
        <v>274</v>
      </c>
      <c r="L3173" s="902"/>
      <c r="M3173" s="902"/>
      <c r="N3173" s="902"/>
      <c r="O3173" s="892">
        <f t="shared" si="200"/>
        <v>0</v>
      </c>
      <c r="P3173" s="903">
        <f t="shared" si="193"/>
        <v>1</v>
      </c>
      <c r="Q3173" s="893">
        <f t="shared" si="194"/>
        <v>2</v>
      </c>
      <c r="R3173" s="894">
        <f t="shared" si="195"/>
        <v>0</v>
      </c>
    </row>
    <row r="3174" spans="1:18">
      <c r="A3174" s="905"/>
      <c r="B3174" s="906"/>
      <c r="C3174" s="907">
        <v>740</v>
      </c>
      <c r="D3174" s="907" t="s">
        <v>12</v>
      </c>
      <c r="E3174" s="908" t="s">
        <v>4008</v>
      </c>
      <c r="F3174" s="909" t="s">
        <v>2674</v>
      </c>
      <c r="G3174" s="910"/>
      <c r="H3174" s="911">
        <v>0.31</v>
      </c>
      <c r="I3174" s="912"/>
      <c r="J3174" s="912"/>
      <c r="K3174" s="912">
        <f>VLOOKUP(E3174,[5]ĐMNC!$A$7:$F$67,4,0)</f>
        <v>221125</v>
      </c>
      <c r="L3174" s="912">
        <f>H3174*K3174</f>
        <v>68548.75</v>
      </c>
      <c r="M3174" s="912"/>
      <c r="N3174" s="912"/>
      <c r="O3174" s="892">
        <f t="shared" si="200"/>
        <v>0</v>
      </c>
      <c r="P3174" s="903">
        <f t="shared" ref="P3174:P3237" si="201">IF(O3174=0,1,0)</f>
        <v>1</v>
      </c>
      <c r="Q3174" s="893">
        <f t="shared" ref="Q3174:Q3237" si="202">IF(P3174=0,0,P3174+Q3175)</f>
        <v>1</v>
      </c>
      <c r="R3174" s="894">
        <f t="shared" ref="R3174:R3237" si="203">IF(Q3174=0,Q3175,0)</f>
        <v>0</v>
      </c>
    </row>
    <row r="3175" spans="1:18" s="847" customFormat="1">
      <c r="A3175" s="905"/>
      <c r="B3175" s="914" t="s">
        <v>1216</v>
      </c>
      <c r="C3175" s="915"/>
      <c r="D3175" s="915"/>
      <c r="E3175" s="916" t="s">
        <v>5013</v>
      </c>
      <c r="F3175" s="917" t="s">
        <v>139</v>
      </c>
      <c r="G3175" s="918"/>
      <c r="H3175" s="919"/>
      <c r="I3175" s="920"/>
      <c r="J3175" s="891">
        <f>SUM(J3176:J3177)</f>
        <v>0</v>
      </c>
      <c r="K3175" s="891"/>
      <c r="L3175" s="891">
        <f>SUM(L3176:L3177)</f>
        <v>70760</v>
      </c>
      <c r="M3175" s="891"/>
      <c r="N3175" s="891">
        <f>SUM(N3176:N3177)</f>
        <v>0</v>
      </c>
      <c r="O3175" s="892">
        <f t="shared" si="200"/>
        <v>1</v>
      </c>
      <c r="P3175" s="903">
        <f t="shared" si="201"/>
        <v>0</v>
      </c>
      <c r="Q3175" s="893">
        <f t="shared" si="202"/>
        <v>0</v>
      </c>
      <c r="R3175" s="894">
        <f t="shared" si="203"/>
        <v>2</v>
      </c>
    </row>
    <row r="3176" spans="1:18" s="904" customFormat="1">
      <c r="A3176" s="895"/>
      <c r="B3176" s="896"/>
      <c r="C3176" s="897"/>
      <c r="D3176" s="897"/>
      <c r="E3176" s="924" t="s">
        <v>276</v>
      </c>
      <c r="F3176" s="927"/>
      <c r="G3176" s="928"/>
      <c r="H3176" s="901"/>
      <c r="I3176" s="902"/>
      <c r="J3176" s="902"/>
      <c r="K3176" s="912" t="s">
        <v>274</v>
      </c>
      <c r="L3176" s="902"/>
      <c r="M3176" s="902"/>
      <c r="N3176" s="902"/>
      <c r="O3176" s="892">
        <f t="shared" si="200"/>
        <v>0</v>
      </c>
      <c r="P3176" s="903">
        <f t="shared" si="201"/>
        <v>1</v>
      </c>
      <c r="Q3176" s="893">
        <f t="shared" si="202"/>
        <v>2</v>
      </c>
      <c r="R3176" s="894">
        <f t="shared" si="203"/>
        <v>0</v>
      </c>
    </row>
    <row r="3177" spans="1:18">
      <c r="A3177" s="905"/>
      <c r="B3177" s="906"/>
      <c r="C3177" s="907">
        <v>740</v>
      </c>
      <c r="D3177" s="907" t="s">
        <v>12</v>
      </c>
      <c r="E3177" s="908" t="s">
        <v>4008</v>
      </c>
      <c r="F3177" s="909" t="s">
        <v>2674</v>
      </c>
      <c r="G3177" s="910"/>
      <c r="H3177" s="911">
        <v>0.32</v>
      </c>
      <c r="I3177" s="912"/>
      <c r="J3177" s="912"/>
      <c r="K3177" s="912">
        <f>VLOOKUP(E3177,[5]ĐMNC!$A$7:$F$67,4,0)</f>
        <v>221125</v>
      </c>
      <c r="L3177" s="912">
        <f>H3177*K3177</f>
        <v>70760</v>
      </c>
      <c r="M3177" s="912"/>
      <c r="N3177" s="912"/>
      <c r="O3177" s="892">
        <f t="shared" si="200"/>
        <v>0</v>
      </c>
      <c r="P3177" s="903">
        <f t="shared" si="201"/>
        <v>1</v>
      </c>
      <c r="Q3177" s="893">
        <f t="shared" si="202"/>
        <v>1</v>
      </c>
      <c r="R3177" s="894">
        <f t="shared" si="203"/>
        <v>0</v>
      </c>
    </row>
    <row r="3178" spans="1:18" s="847" customFormat="1">
      <c r="A3178" s="905"/>
      <c r="B3178" s="914" t="s">
        <v>1218</v>
      </c>
      <c r="C3178" s="915"/>
      <c r="D3178" s="915"/>
      <c r="E3178" s="916" t="s">
        <v>5014</v>
      </c>
      <c r="F3178" s="917" t="s">
        <v>139</v>
      </c>
      <c r="G3178" s="918"/>
      <c r="H3178" s="919"/>
      <c r="I3178" s="920"/>
      <c r="J3178" s="891">
        <f>SUM(J3179:J3180)</f>
        <v>0</v>
      </c>
      <c r="K3178" s="891"/>
      <c r="L3178" s="891">
        <f>SUM(L3179:L3180)</f>
        <v>79605</v>
      </c>
      <c r="M3178" s="891"/>
      <c r="N3178" s="891">
        <f>SUM(N3179:N3180)</f>
        <v>0</v>
      </c>
      <c r="O3178" s="892">
        <f t="shared" si="200"/>
        <v>1</v>
      </c>
      <c r="P3178" s="903">
        <f t="shared" si="201"/>
        <v>0</v>
      </c>
      <c r="Q3178" s="893">
        <f t="shared" si="202"/>
        <v>0</v>
      </c>
      <c r="R3178" s="894">
        <f t="shared" si="203"/>
        <v>2</v>
      </c>
    </row>
    <row r="3179" spans="1:18" s="904" customFormat="1">
      <c r="A3179" s="895"/>
      <c r="B3179" s="896"/>
      <c r="C3179" s="897"/>
      <c r="D3179" s="897"/>
      <c r="E3179" s="924" t="s">
        <v>276</v>
      </c>
      <c r="F3179" s="927"/>
      <c r="G3179" s="928"/>
      <c r="H3179" s="901"/>
      <c r="I3179" s="902"/>
      <c r="J3179" s="902"/>
      <c r="K3179" s="912" t="s">
        <v>274</v>
      </c>
      <c r="L3179" s="902"/>
      <c r="M3179" s="902"/>
      <c r="N3179" s="902"/>
      <c r="O3179" s="892">
        <f t="shared" si="200"/>
        <v>0</v>
      </c>
      <c r="P3179" s="903">
        <f t="shared" si="201"/>
        <v>1</v>
      </c>
      <c r="Q3179" s="893">
        <f t="shared" si="202"/>
        <v>2</v>
      </c>
      <c r="R3179" s="894">
        <f t="shared" si="203"/>
        <v>0</v>
      </c>
    </row>
    <row r="3180" spans="1:18">
      <c r="A3180" s="905"/>
      <c r="B3180" s="906"/>
      <c r="C3180" s="907">
        <v>740</v>
      </c>
      <c r="D3180" s="907" t="s">
        <v>12</v>
      </c>
      <c r="E3180" s="908" t="s">
        <v>4008</v>
      </c>
      <c r="F3180" s="909" t="s">
        <v>2674</v>
      </c>
      <c r="G3180" s="910"/>
      <c r="H3180" s="911">
        <v>0.36</v>
      </c>
      <c r="I3180" s="912"/>
      <c r="J3180" s="912"/>
      <c r="K3180" s="912">
        <f>VLOOKUP(E3180,[5]ĐMNC!$A$7:$F$67,4,0)</f>
        <v>221125</v>
      </c>
      <c r="L3180" s="912">
        <f>H3180*K3180</f>
        <v>79605</v>
      </c>
      <c r="M3180" s="912"/>
      <c r="N3180" s="912"/>
      <c r="O3180" s="892">
        <f t="shared" si="200"/>
        <v>0</v>
      </c>
      <c r="P3180" s="903">
        <f t="shared" si="201"/>
        <v>1</v>
      </c>
      <c r="Q3180" s="893">
        <f t="shared" si="202"/>
        <v>1</v>
      </c>
      <c r="R3180" s="894">
        <f t="shared" si="203"/>
        <v>0</v>
      </c>
    </row>
    <row r="3181" spans="1:18" s="847" customFormat="1">
      <c r="A3181" s="905"/>
      <c r="B3181" s="914" t="s">
        <v>1220</v>
      </c>
      <c r="C3181" s="915"/>
      <c r="D3181" s="915"/>
      <c r="E3181" s="916" t="s">
        <v>5015</v>
      </c>
      <c r="F3181" s="917" t="s">
        <v>139</v>
      </c>
      <c r="G3181" s="918"/>
      <c r="H3181" s="919"/>
      <c r="I3181" s="920"/>
      <c r="J3181" s="891">
        <f>SUM(J3182:J3183)</f>
        <v>0</v>
      </c>
      <c r="K3181" s="891"/>
      <c r="L3181" s="891">
        <f>SUM(L3182:L3183)</f>
        <v>90661.25</v>
      </c>
      <c r="M3181" s="891"/>
      <c r="N3181" s="891">
        <f>SUM(N3182:N3183)</f>
        <v>0</v>
      </c>
      <c r="O3181" s="892">
        <f t="shared" si="200"/>
        <v>1</v>
      </c>
      <c r="P3181" s="903">
        <f t="shared" si="201"/>
        <v>0</v>
      </c>
      <c r="Q3181" s="893">
        <f t="shared" si="202"/>
        <v>0</v>
      </c>
      <c r="R3181" s="894">
        <f t="shared" si="203"/>
        <v>2</v>
      </c>
    </row>
    <row r="3182" spans="1:18" s="904" customFormat="1">
      <c r="A3182" s="895"/>
      <c r="B3182" s="896"/>
      <c r="C3182" s="897"/>
      <c r="D3182" s="897"/>
      <c r="E3182" s="924" t="s">
        <v>276</v>
      </c>
      <c r="F3182" s="927"/>
      <c r="G3182" s="928"/>
      <c r="H3182" s="901"/>
      <c r="I3182" s="902"/>
      <c r="J3182" s="902"/>
      <c r="K3182" s="912" t="s">
        <v>274</v>
      </c>
      <c r="L3182" s="902"/>
      <c r="M3182" s="902"/>
      <c r="N3182" s="902"/>
      <c r="O3182" s="892">
        <f t="shared" si="200"/>
        <v>0</v>
      </c>
      <c r="P3182" s="903">
        <f t="shared" si="201"/>
        <v>1</v>
      </c>
      <c r="Q3182" s="893">
        <f t="shared" si="202"/>
        <v>2</v>
      </c>
      <c r="R3182" s="894">
        <f t="shared" si="203"/>
        <v>0</v>
      </c>
    </row>
    <row r="3183" spans="1:18">
      <c r="A3183" s="905"/>
      <c r="B3183" s="906"/>
      <c r="C3183" s="907">
        <v>740</v>
      </c>
      <c r="D3183" s="907" t="s">
        <v>12</v>
      </c>
      <c r="E3183" s="908" t="s">
        <v>4008</v>
      </c>
      <c r="F3183" s="909" t="s">
        <v>2674</v>
      </c>
      <c r="G3183" s="910"/>
      <c r="H3183" s="911">
        <v>0.41</v>
      </c>
      <c r="I3183" s="912"/>
      <c r="J3183" s="912"/>
      <c r="K3183" s="912">
        <f>VLOOKUP(E3183,[5]ĐMNC!$A$7:$F$67,4,0)</f>
        <v>221125</v>
      </c>
      <c r="L3183" s="912">
        <f>H3183*K3183</f>
        <v>90661.25</v>
      </c>
      <c r="M3183" s="912"/>
      <c r="N3183" s="912"/>
      <c r="O3183" s="892">
        <f t="shared" si="200"/>
        <v>0</v>
      </c>
      <c r="P3183" s="903">
        <f t="shared" si="201"/>
        <v>1</v>
      </c>
      <c r="Q3183" s="893">
        <f t="shared" si="202"/>
        <v>1</v>
      </c>
      <c r="R3183" s="894">
        <f t="shared" si="203"/>
        <v>0</v>
      </c>
    </row>
    <row r="3184" spans="1:18" s="847" customFormat="1">
      <c r="A3184" s="905"/>
      <c r="B3184" s="914" t="s">
        <v>5016</v>
      </c>
      <c r="C3184" s="915"/>
      <c r="D3184" s="915"/>
      <c r="E3184" s="916" t="s">
        <v>5017</v>
      </c>
      <c r="F3184" s="917" t="s">
        <v>139</v>
      </c>
      <c r="G3184" s="918"/>
      <c r="H3184" s="919"/>
      <c r="I3184" s="920"/>
      <c r="J3184" s="891">
        <f>SUM(J3185:J3186)</f>
        <v>0</v>
      </c>
      <c r="K3184" s="891"/>
      <c r="L3184" s="891">
        <f>SUM(L3185:L3186)</f>
        <v>99506.25</v>
      </c>
      <c r="M3184" s="891"/>
      <c r="N3184" s="891">
        <f>SUM(N3185:N3186)</f>
        <v>0</v>
      </c>
      <c r="O3184" s="892">
        <f t="shared" si="200"/>
        <v>1</v>
      </c>
      <c r="P3184" s="903">
        <f t="shared" si="201"/>
        <v>0</v>
      </c>
      <c r="Q3184" s="893">
        <f t="shared" si="202"/>
        <v>0</v>
      </c>
      <c r="R3184" s="894">
        <f t="shared" si="203"/>
        <v>2</v>
      </c>
    </row>
    <row r="3185" spans="1:18" s="904" customFormat="1">
      <c r="A3185" s="895"/>
      <c r="B3185" s="896"/>
      <c r="C3185" s="897"/>
      <c r="D3185" s="897"/>
      <c r="E3185" s="924" t="s">
        <v>276</v>
      </c>
      <c r="F3185" s="927"/>
      <c r="G3185" s="928"/>
      <c r="H3185" s="901"/>
      <c r="I3185" s="902"/>
      <c r="J3185" s="902"/>
      <c r="K3185" s="912" t="s">
        <v>274</v>
      </c>
      <c r="L3185" s="902"/>
      <c r="M3185" s="902"/>
      <c r="N3185" s="902"/>
      <c r="O3185" s="892">
        <f t="shared" si="200"/>
        <v>0</v>
      </c>
      <c r="P3185" s="903">
        <f t="shared" si="201"/>
        <v>1</v>
      </c>
      <c r="Q3185" s="893">
        <f t="shared" si="202"/>
        <v>2</v>
      </c>
      <c r="R3185" s="894">
        <f t="shared" si="203"/>
        <v>0</v>
      </c>
    </row>
    <row r="3186" spans="1:18">
      <c r="A3186" s="905"/>
      <c r="B3186" s="906"/>
      <c r="C3186" s="907">
        <v>740</v>
      </c>
      <c r="D3186" s="907" t="s">
        <v>12</v>
      </c>
      <c r="E3186" s="908" t="s">
        <v>4008</v>
      </c>
      <c r="F3186" s="909" t="s">
        <v>2674</v>
      </c>
      <c r="G3186" s="910"/>
      <c r="H3186" s="911">
        <v>0.45</v>
      </c>
      <c r="I3186" s="912"/>
      <c r="J3186" s="912"/>
      <c r="K3186" s="912">
        <f>VLOOKUP(E3186,[5]ĐMNC!$A$7:$F$67,4,0)</f>
        <v>221125</v>
      </c>
      <c r="L3186" s="912">
        <f>H3186*K3186</f>
        <v>99506.25</v>
      </c>
      <c r="M3186" s="912"/>
      <c r="N3186" s="912"/>
      <c r="O3186" s="892">
        <f t="shared" si="200"/>
        <v>0</v>
      </c>
      <c r="P3186" s="903">
        <f t="shared" si="201"/>
        <v>1</v>
      </c>
      <c r="Q3186" s="893">
        <f t="shared" si="202"/>
        <v>1</v>
      </c>
      <c r="R3186" s="894">
        <f t="shared" si="203"/>
        <v>0</v>
      </c>
    </row>
    <row r="3187" spans="1:18" s="847" customFormat="1">
      <c r="A3187" s="905"/>
      <c r="B3187" s="914" t="s">
        <v>5018</v>
      </c>
      <c r="C3187" s="915"/>
      <c r="D3187" s="915"/>
      <c r="E3187" s="916" t="s">
        <v>5019</v>
      </c>
      <c r="F3187" s="917" t="s">
        <v>139</v>
      </c>
      <c r="G3187" s="918"/>
      <c r="H3187" s="919"/>
      <c r="I3187" s="920"/>
      <c r="J3187" s="891">
        <f>SUM(J3188:J3189)</f>
        <v>0</v>
      </c>
      <c r="K3187" s="891"/>
      <c r="L3187" s="891">
        <f>SUM(L3188:L3189)</f>
        <v>108351.25</v>
      </c>
      <c r="M3187" s="891"/>
      <c r="N3187" s="891">
        <f>SUM(N3188:N3189)</f>
        <v>0</v>
      </c>
      <c r="O3187" s="892">
        <f t="shared" si="200"/>
        <v>1</v>
      </c>
      <c r="P3187" s="903">
        <f t="shared" si="201"/>
        <v>0</v>
      </c>
      <c r="Q3187" s="893">
        <f t="shared" si="202"/>
        <v>0</v>
      </c>
      <c r="R3187" s="894">
        <f t="shared" si="203"/>
        <v>2</v>
      </c>
    </row>
    <row r="3188" spans="1:18" s="904" customFormat="1">
      <c r="A3188" s="895"/>
      <c r="B3188" s="896"/>
      <c r="C3188" s="897"/>
      <c r="D3188" s="897"/>
      <c r="E3188" s="924" t="s">
        <v>276</v>
      </c>
      <c r="F3188" s="927"/>
      <c r="G3188" s="928"/>
      <c r="H3188" s="901"/>
      <c r="I3188" s="902"/>
      <c r="J3188" s="902"/>
      <c r="K3188" s="912" t="s">
        <v>274</v>
      </c>
      <c r="L3188" s="902"/>
      <c r="M3188" s="902"/>
      <c r="N3188" s="902"/>
      <c r="O3188" s="892">
        <f t="shared" si="200"/>
        <v>0</v>
      </c>
      <c r="P3188" s="903">
        <f t="shared" si="201"/>
        <v>1</v>
      </c>
      <c r="Q3188" s="893">
        <f t="shared" si="202"/>
        <v>2</v>
      </c>
      <c r="R3188" s="894">
        <f t="shared" si="203"/>
        <v>0</v>
      </c>
    </row>
    <row r="3189" spans="1:18">
      <c r="A3189" s="905"/>
      <c r="B3189" s="906"/>
      <c r="C3189" s="907">
        <v>740</v>
      </c>
      <c r="D3189" s="907" t="s">
        <v>12</v>
      </c>
      <c r="E3189" s="908" t="s">
        <v>4008</v>
      </c>
      <c r="F3189" s="909" t="s">
        <v>2674</v>
      </c>
      <c r="G3189" s="910"/>
      <c r="H3189" s="911">
        <v>0.49</v>
      </c>
      <c r="I3189" s="912"/>
      <c r="J3189" s="912"/>
      <c r="K3189" s="912">
        <f>VLOOKUP(E3189,[5]ĐMNC!$A$7:$F$67,4,0)</f>
        <v>221125</v>
      </c>
      <c r="L3189" s="912">
        <f>H3189*K3189</f>
        <v>108351.25</v>
      </c>
      <c r="M3189" s="912"/>
      <c r="N3189" s="912"/>
      <c r="O3189" s="892">
        <f t="shared" si="200"/>
        <v>0</v>
      </c>
      <c r="P3189" s="903">
        <f t="shared" si="201"/>
        <v>1</v>
      </c>
      <c r="Q3189" s="893">
        <f t="shared" si="202"/>
        <v>1</v>
      </c>
      <c r="R3189" s="894">
        <f t="shared" si="203"/>
        <v>0</v>
      </c>
    </row>
    <row r="3190" spans="1:18" s="847" customFormat="1">
      <c r="A3190" s="905"/>
      <c r="B3190" s="914" t="s">
        <v>5020</v>
      </c>
      <c r="C3190" s="915"/>
      <c r="D3190" s="915"/>
      <c r="E3190" s="916" t="s">
        <v>5021</v>
      </c>
      <c r="F3190" s="917" t="s">
        <v>139</v>
      </c>
      <c r="G3190" s="918"/>
      <c r="H3190" s="919"/>
      <c r="I3190" s="920"/>
      <c r="J3190" s="891">
        <f>SUM(J3191:J3192)</f>
        <v>0</v>
      </c>
      <c r="K3190" s="891"/>
      <c r="L3190" s="891">
        <f>SUM(L3191:L3192)</f>
        <v>126041.24999999999</v>
      </c>
      <c r="M3190" s="891"/>
      <c r="N3190" s="891">
        <f>SUM(N3191:N3192)</f>
        <v>0</v>
      </c>
      <c r="O3190" s="892">
        <f t="shared" si="200"/>
        <v>1</v>
      </c>
      <c r="P3190" s="903">
        <f t="shared" si="201"/>
        <v>0</v>
      </c>
      <c r="Q3190" s="893">
        <f t="shared" si="202"/>
        <v>0</v>
      </c>
      <c r="R3190" s="894">
        <f t="shared" si="203"/>
        <v>2</v>
      </c>
    </row>
    <row r="3191" spans="1:18" s="904" customFormat="1">
      <c r="A3191" s="895"/>
      <c r="B3191" s="896"/>
      <c r="C3191" s="897"/>
      <c r="D3191" s="897"/>
      <c r="E3191" s="924" t="s">
        <v>276</v>
      </c>
      <c r="F3191" s="927"/>
      <c r="G3191" s="928"/>
      <c r="H3191" s="901"/>
      <c r="I3191" s="902"/>
      <c r="J3191" s="902"/>
      <c r="K3191" s="912" t="s">
        <v>274</v>
      </c>
      <c r="L3191" s="902"/>
      <c r="M3191" s="902"/>
      <c r="N3191" s="902"/>
      <c r="O3191" s="892">
        <f t="shared" si="200"/>
        <v>0</v>
      </c>
      <c r="P3191" s="903">
        <f t="shared" si="201"/>
        <v>1</v>
      </c>
      <c r="Q3191" s="893">
        <f t="shared" si="202"/>
        <v>2</v>
      </c>
      <c r="R3191" s="894">
        <f t="shared" si="203"/>
        <v>0</v>
      </c>
    </row>
    <row r="3192" spans="1:18">
      <c r="A3192" s="905"/>
      <c r="B3192" s="906"/>
      <c r="C3192" s="907">
        <v>740</v>
      </c>
      <c r="D3192" s="907" t="s">
        <v>12</v>
      </c>
      <c r="E3192" s="908" t="s">
        <v>4008</v>
      </c>
      <c r="F3192" s="909" t="s">
        <v>2674</v>
      </c>
      <c r="G3192" s="910"/>
      <c r="H3192" s="911">
        <v>0.56999999999999995</v>
      </c>
      <c r="I3192" s="912"/>
      <c r="J3192" s="912"/>
      <c r="K3192" s="912">
        <f>VLOOKUP(E3192,[5]ĐMNC!$A$7:$F$67,4,0)</f>
        <v>221125</v>
      </c>
      <c r="L3192" s="912">
        <f>H3192*K3192</f>
        <v>126041.24999999999</v>
      </c>
      <c r="M3192" s="912"/>
      <c r="N3192" s="912"/>
      <c r="O3192" s="892">
        <f t="shared" si="200"/>
        <v>0</v>
      </c>
      <c r="P3192" s="903">
        <f t="shared" si="201"/>
        <v>1</v>
      </c>
      <c r="Q3192" s="893">
        <f t="shared" si="202"/>
        <v>1</v>
      </c>
      <c r="R3192" s="894">
        <f t="shared" si="203"/>
        <v>0</v>
      </c>
    </row>
    <row r="3193" spans="1:18" s="847" customFormat="1">
      <c r="A3193" s="905"/>
      <c r="B3193" s="914" t="s">
        <v>5022</v>
      </c>
      <c r="C3193" s="915"/>
      <c r="D3193" s="915"/>
      <c r="E3193" s="916" t="s">
        <v>5023</v>
      </c>
      <c r="F3193" s="917" t="s">
        <v>139</v>
      </c>
      <c r="G3193" s="918"/>
      <c r="H3193" s="919"/>
      <c r="I3193" s="920"/>
      <c r="J3193" s="891">
        <f>SUM(J3194:J3195)</f>
        <v>0</v>
      </c>
      <c r="K3193" s="891"/>
      <c r="L3193" s="891">
        <f>SUM(L3194:L3195)</f>
        <v>143731.25</v>
      </c>
      <c r="M3193" s="891"/>
      <c r="N3193" s="891">
        <f>SUM(N3194:N3195)</f>
        <v>0</v>
      </c>
      <c r="O3193" s="892">
        <f t="shared" si="200"/>
        <v>1</v>
      </c>
      <c r="P3193" s="903">
        <f t="shared" si="201"/>
        <v>0</v>
      </c>
      <c r="Q3193" s="893">
        <f t="shared" si="202"/>
        <v>0</v>
      </c>
      <c r="R3193" s="894">
        <f t="shared" si="203"/>
        <v>2</v>
      </c>
    </row>
    <row r="3194" spans="1:18" s="904" customFormat="1">
      <c r="A3194" s="895"/>
      <c r="B3194" s="896"/>
      <c r="C3194" s="897"/>
      <c r="D3194" s="897"/>
      <c r="E3194" s="924" t="s">
        <v>276</v>
      </c>
      <c r="F3194" s="927"/>
      <c r="G3194" s="928"/>
      <c r="H3194" s="901"/>
      <c r="I3194" s="902"/>
      <c r="J3194" s="902"/>
      <c r="K3194" s="912" t="s">
        <v>274</v>
      </c>
      <c r="L3194" s="902"/>
      <c r="M3194" s="902"/>
      <c r="N3194" s="902"/>
      <c r="O3194" s="892">
        <f t="shared" si="200"/>
        <v>0</v>
      </c>
      <c r="P3194" s="903">
        <f t="shared" si="201"/>
        <v>1</v>
      </c>
      <c r="Q3194" s="893">
        <f t="shared" si="202"/>
        <v>2</v>
      </c>
      <c r="R3194" s="894">
        <f t="shared" si="203"/>
        <v>0</v>
      </c>
    </row>
    <row r="3195" spans="1:18">
      <c r="A3195" s="905"/>
      <c r="B3195" s="906"/>
      <c r="C3195" s="907">
        <v>740</v>
      </c>
      <c r="D3195" s="907" t="s">
        <v>12</v>
      </c>
      <c r="E3195" s="908" t="s">
        <v>4008</v>
      </c>
      <c r="F3195" s="909" t="s">
        <v>2674</v>
      </c>
      <c r="G3195" s="910"/>
      <c r="H3195" s="911">
        <v>0.65</v>
      </c>
      <c r="I3195" s="912"/>
      <c r="J3195" s="912"/>
      <c r="K3195" s="912">
        <f>VLOOKUP(E3195,[5]ĐMNC!$A$7:$F$67,4,0)</f>
        <v>221125</v>
      </c>
      <c r="L3195" s="912">
        <f>H3195*K3195</f>
        <v>143731.25</v>
      </c>
      <c r="M3195" s="912"/>
      <c r="N3195" s="912"/>
      <c r="O3195" s="892">
        <f t="shared" si="200"/>
        <v>0</v>
      </c>
      <c r="P3195" s="903">
        <f t="shared" si="201"/>
        <v>1</v>
      </c>
      <c r="Q3195" s="893">
        <f t="shared" si="202"/>
        <v>1</v>
      </c>
      <c r="R3195" s="894">
        <f t="shared" si="203"/>
        <v>0</v>
      </c>
    </row>
    <row r="3196" spans="1:18" s="847" customFormat="1">
      <c r="A3196" s="905"/>
      <c r="B3196" s="914" t="s">
        <v>5024</v>
      </c>
      <c r="C3196" s="915"/>
      <c r="D3196" s="915"/>
      <c r="E3196" s="916" t="s">
        <v>5025</v>
      </c>
      <c r="F3196" s="917" t="s">
        <v>139</v>
      </c>
      <c r="G3196" s="918"/>
      <c r="H3196" s="919"/>
      <c r="I3196" s="920"/>
      <c r="J3196" s="891">
        <f>SUM(J3197:J3198)</f>
        <v>0</v>
      </c>
      <c r="K3196" s="891"/>
      <c r="L3196" s="891">
        <f>SUM(L3197:L3198)</f>
        <v>166308.11249999999</v>
      </c>
      <c r="M3196" s="891"/>
      <c r="N3196" s="891">
        <f>SUM(N3197:N3198)</f>
        <v>0</v>
      </c>
      <c r="O3196" s="892">
        <f t="shared" si="200"/>
        <v>1</v>
      </c>
      <c r="P3196" s="903">
        <f t="shared" si="201"/>
        <v>0</v>
      </c>
      <c r="Q3196" s="893">
        <f t="shared" si="202"/>
        <v>0</v>
      </c>
      <c r="R3196" s="894">
        <f t="shared" si="203"/>
        <v>2</v>
      </c>
    </row>
    <row r="3197" spans="1:18" s="904" customFormat="1">
      <c r="A3197" s="895"/>
      <c r="B3197" s="896"/>
      <c r="C3197" s="897"/>
      <c r="D3197" s="897"/>
      <c r="E3197" s="924" t="s">
        <v>276</v>
      </c>
      <c r="F3197" s="927"/>
      <c r="G3197" s="928"/>
      <c r="H3197" s="901"/>
      <c r="I3197" s="902"/>
      <c r="J3197" s="902"/>
      <c r="K3197" s="912" t="s">
        <v>274</v>
      </c>
      <c r="L3197" s="902"/>
      <c r="M3197" s="902"/>
      <c r="N3197" s="902"/>
      <c r="O3197" s="892">
        <f t="shared" si="200"/>
        <v>0</v>
      </c>
      <c r="P3197" s="903">
        <f t="shared" si="201"/>
        <v>1</v>
      </c>
      <c r="Q3197" s="893">
        <f t="shared" si="202"/>
        <v>2</v>
      </c>
      <c r="R3197" s="894">
        <f t="shared" si="203"/>
        <v>0</v>
      </c>
    </row>
    <row r="3198" spans="1:18">
      <c r="A3198" s="905"/>
      <c r="B3198" s="906"/>
      <c r="C3198" s="907">
        <v>740</v>
      </c>
      <c r="D3198" s="907" t="s">
        <v>12</v>
      </c>
      <c r="E3198" s="908" t="s">
        <v>4008</v>
      </c>
      <c r="F3198" s="909" t="s">
        <v>2674</v>
      </c>
      <c r="G3198" s="910"/>
      <c r="H3198" s="911">
        <v>0.75209999999999999</v>
      </c>
      <c r="I3198" s="912"/>
      <c r="J3198" s="912"/>
      <c r="K3198" s="912">
        <f>VLOOKUP(E3198,[5]ĐMNC!$A$7:$F$67,4,0)</f>
        <v>221125</v>
      </c>
      <c r="L3198" s="912">
        <f>H3198*K3198</f>
        <v>166308.11249999999</v>
      </c>
      <c r="M3198" s="912"/>
      <c r="N3198" s="912"/>
      <c r="O3198" s="892">
        <f t="shared" si="200"/>
        <v>0</v>
      </c>
      <c r="P3198" s="903">
        <f t="shared" si="201"/>
        <v>1</v>
      </c>
      <c r="Q3198" s="893">
        <f t="shared" si="202"/>
        <v>1</v>
      </c>
      <c r="R3198" s="894">
        <f t="shared" si="203"/>
        <v>0</v>
      </c>
    </row>
    <row r="3199" spans="1:18" s="847" customFormat="1">
      <c r="A3199" s="905" t="s">
        <v>4997</v>
      </c>
      <c r="B3199" s="914" t="s">
        <v>5026</v>
      </c>
      <c r="C3199" s="915"/>
      <c r="D3199" s="915"/>
      <c r="E3199" s="916" t="s">
        <v>5027</v>
      </c>
      <c r="F3199" s="917" t="s">
        <v>139</v>
      </c>
      <c r="G3199" s="918"/>
      <c r="H3199" s="919"/>
      <c r="I3199" s="920"/>
      <c r="J3199" s="891">
        <f>SUM(J3200:J3201)</f>
        <v>0</v>
      </c>
      <c r="K3199" s="891"/>
      <c r="L3199" s="891">
        <f>SUM(L3200:L3201)</f>
        <v>106140</v>
      </c>
      <c r="M3199" s="891"/>
      <c r="N3199" s="891">
        <f>SUM(N3200:N3201)</f>
        <v>0</v>
      </c>
      <c r="O3199" s="892">
        <f t="shared" si="200"/>
        <v>1</v>
      </c>
      <c r="P3199" s="903">
        <f t="shared" si="201"/>
        <v>0</v>
      </c>
      <c r="Q3199" s="893">
        <f t="shared" si="202"/>
        <v>0</v>
      </c>
      <c r="R3199" s="894">
        <f t="shared" si="203"/>
        <v>2</v>
      </c>
    </row>
    <row r="3200" spans="1:18" s="904" customFormat="1">
      <c r="A3200" s="895"/>
      <c r="B3200" s="922"/>
      <c r="C3200" s="897"/>
      <c r="D3200" s="897"/>
      <c r="E3200" s="924" t="s">
        <v>276</v>
      </c>
      <c r="F3200" s="927"/>
      <c r="G3200" s="928"/>
      <c r="H3200" s="901"/>
      <c r="I3200" s="902"/>
      <c r="J3200" s="902"/>
      <c r="K3200" s="912" t="s">
        <v>274</v>
      </c>
      <c r="L3200" s="902"/>
      <c r="M3200" s="902"/>
      <c r="N3200" s="902"/>
      <c r="O3200" s="892">
        <f t="shared" si="200"/>
        <v>0</v>
      </c>
      <c r="P3200" s="903">
        <f t="shared" si="201"/>
        <v>1</v>
      </c>
      <c r="Q3200" s="893">
        <f t="shared" si="202"/>
        <v>2</v>
      </c>
      <c r="R3200" s="894">
        <f t="shared" si="203"/>
        <v>0</v>
      </c>
    </row>
    <row r="3201" spans="1:18">
      <c r="A3201" s="905"/>
      <c r="B3201" s="906"/>
      <c r="C3201" s="907">
        <v>740</v>
      </c>
      <c r="D3201" s="907" t="s">
        <v>12</v>
      </c>
      <c r="E3201" s="908" t="s">
        <v>4008</v>
      </c>
      <c r="F3201" s="909" t="s">
        <v>2674</v>
      </c>
      <c r="G3201" s="910"/>
      <c r="H3201" s="911">
        <v>0.48</v>
      </c>
      <c r="I3201" s="912"/>
      <c r="J3201" s="912"/>
      <c r="K3201" s="912">
        <f>VLOOKUP(E3201,[5]ĐMNC!$A$7:$F$67,4,0)</f>
        <v>221125</v>
      </c>
      <c r="L3201" s="912">
        <f>H3201*K3201</f>
        <v>106140</v>
      </c>
      <c r="M3201" s="912"/>
      <c r="N3201" s="912"/>
      <c r="O3201" s="892">
        <f t="shared" si="200"/>
        <v>0</v>
      </c>
      <c r="P3201" s="903">
        <f t="shared" si="201"/>
        <v>1</v>
      </c>
      <c r="Q3201" s="893">
        <f t="shared" si="202"/>
        <v>1</v>
      </c>
      <c r="R3201" s="894">
        <f t="shared" si="203"/>
        <v>0</v>
      </c>
    </row>
    <row r="3202" spans="1:18" s="847" customFormat="1">
      <c r="A3202" s="905"/>
      <c r="B3202" s="914" t="s">
        <v>5028</v>
      </c>
      <c r="C3202" s="915"/>
      <c r="D3202" s="915"/>
      <c r="E3202" s="916" t="s">
        <v>5029</v>
      </c>
      <c r="F3202" s="917" t="s">
        <v>139</v>
      </c>
      <c r="G3202" s="918"/>
      <c r="H3202" s="919"/>
      <c r="I3202" s="920"/>
      <c r="J3202" s="891">
        <f>SUM(J3203:J3204)</f>
        <v>0</v>
      </c>
      <c r="K3202" s="891"/>
      <c r="L3202" s="891">
        <f>SUM(L3203:L3204)</f>
        <v>110562.5</v>
      </c>
      <c r="M3202" s="891"/>
      <c r="N3202" s="891">
        <f>SUM(N3203:N3204)</f>
        <v>0</v>
      </c>
      <c r="O3202" s="892">
        <f t="shared" si="200"/>
        <v>1</v>
      </c>
      <c r="P3202" s="903">
        <f t="shared" si="201"/>
        <v>0</v>
      </c>
      <c r="Q3202" s="893">
        <f t="shared" si="202"/>
        <v>0</v>
      </c>
      <c r="R3202" s="894">
        <f t="shared" si="203"/>
        <v>2</v>
      </c>
    </row>
    <row r="3203" spans="1:18" s="904" customFormat="1">
      <c r="A3203" s="895"/>
      <c r="B3203" s="896"/>
      <c r="C3203" s="897"/>
      <c r="D3203" s="897"/>
      <c r="E3203" s="924" t="s">
        <v>276</v>
      </c>
      <c r="F3203" s="927"/>
      <c r="G3203" s="928"/>
      <c r="H3203" s="901"/>
      <c r="I3203" s="902"/>
      <c r="J3203" s="902"/>
      <c r="K3203" s="912" t="s">
        <v>274</v>
      </c>
      <c r="L3203" s="902"/>
      <c r="M3203" s="902"/>
      <c r="N3203" s="902"/>
      <c r="O3203" s="892">
        <f t="shared" si="200"/>
        <v>0</v>
      </c>
      <c r="P3203" s="903">
        <f t="shared" si="201"/>
        <v>1</v>
      </c>
      <c r="Q3203" s="893">
        <f t="shared" si="202"/>
        <v>2</v>
      </c>
      <c r="R3203" s="894">
        <f t="shared" si="203"/>
        <v>0</v>
      </c>
    </row>
    <row r="3204" spans="1:18">
      <c r="A3204" s="905"/>
      <c r="B3204" s="906"/>
      <c r="C3204" s="907">
        <v>740</v>
      </c>
      <c r="D3204" s="907" t="s">
        <v>12</v>
      </c>
      <c r="E3204" s="908" t="s">
        <v>4008</v>
      </c>
      <c r="F3204" s="909" t="s">
        <v>2674</v>
      </c>
      <c r="G3204" s="910"/>
      <c r="H3204" s="911">
        <v>0.5</v>
      </c>
      <c r="I3204" s="912"/>
      <c r="J3204" s="912"/>
      <c r="K3204" s="912">
        <f>VLOOKUP(E3204,[5]ĐMNC!$A$7:$F$67,4,0)</f>
        <v>221125</v>
      </c>
      <c r="L3204" s="912">
        <f>H3204*K3204</f>
        <v>110562.5</v>
      </c>
      <c r="M3204" s="912"/>
      <c r="N3204" s="912"/>
      <c r="O3204" s="892">
        <f t="shared" si="200"/>
        <v>0</v>
      </c>
      <c r="P3204" s="903">
        <f t="shared" si="201"/>
        <v>1</v>
      </c>
      <c r="Q3204" s="893">
        <f t="shared" si="202"/>
        <v>1</v>
      </c>
      <c r="R3204" s="894">
        <f t="shared" si="203"/>
        <v>0</v>
      </c>
    </row>
    <row r="3205" spans="1:18" s="847" customFormat="1">
      <c r="A3205" s="905"/>
      <c r="B3205" s="914" t="s">
        <v>5030</v>
      </c>
      <c r="C3205" s="915"/>
      <c r="D3205" s="915"/>
      <c r="E3205" s="916" t="s">
        <v>5031</v>
      </c>
      <c r="F3205" s="917" t="s">
        <v>139</v>
      </c>
      <c r="G3205" s="918"/>
      <c r="H3205" s="919"/>
      <c r="I3205" s="920"/>
      <c r="J3205" s="891">
        <f>SUM(J3206:J3207)</f>
        <v>0</v>
      </c>
      <c r="K3205" s="891"/>
      <c r="L3205" s="891">
        <f>SUM(L3206:L3207)</f>
        <v>123830.00000000001</v>
      </c>
      <c r="M3205" s="891"/>
      <c r="N3205" s="891">
        <f>SUM(N3206:N3207)</f>
        <v>0</v>
      </c>
      <c r="O3205" s="892">
        <f t="shared" si="200"/>
        <v>1</v>
      </c>
      <c r="P3205" s="903">
        <f t="shared" si="201"/>
        <v>0</v>
      </c>
      <c r="Q3205" s="893">
        <f t="shared" si="202"/>
        <v>0</v>
      </c>
      <c r="R3205" s="894">
        <f t="shared" si="203"/>
        <v>2</v>
      </c>
    </row>
    <row r="3206" spans="1:18" s="904" customFormat="1">
      <c r="A3206" s="895"/>
      <c r="B3206" s="896"/>
      <c r="C3206" s="897"/>
      <c r="D3206" s="897"/>
      <c r="E3206" s="924" t="s">
        <v>276</v>
      </c>
      <c r="F3206" s="927"/>
      <c r="G3206" s="928"/>
      <c r="H3206" s="901"/>
      <c r="I3206" s="902"/>
      <c r="J3206" s="902"/>
      <c r="K3206" s="912" t="s">
        <v>274</v>
      </c>
      <c r="L3206" s="902"/>
      <c r="M3206" s="902"/>
      <c r="N3206" s="902"/>
      <c r="O3206" s="892">
        <f t="shared" si="200"/>
        <v>0</v>
      </c>
      <c r="P3206" s="903">
        <f t="shared" si="201"/>
        <v>1</v>
      </c>
      <c r="Q3206" s="893">
        <f t="shared" si="202"/>
        <v>2</v>
      </c>
      <c r="R3206" s="894">
        <f t="shared" si="203"/>
        <v>0</v>
      </c>
    </row>
    <row r="3207" spans="1:18">
      <c r="A3207" s="905"/>
      <c r="B3207" s="906"/>
      <c r="C3207" s="907">
        <v>740</v>
      </c>
      <c r="D3207" s="907" t="s">
        <v>12</v>
      </c>
      <c r="E3207" s="908" t="s">
        <v>4008</v>
      </c>
      <c r="F3207" s="909" t="s">
        <v>2674</v>
      </c>
      <c r="G3207" s="910"/>
      <c r="H3207" s="911">
        <v>0.56000000000000005</v>
      </c>
      <c r="I3207" s="912"/>
      <c r="J3207" s="912"/>
      <c r="K3207" s="912">
        <f>VLOOKUP(E3207,[5]ĐMNC!$A$7:$F$67,4,0)</f>
        <v>221125</v>
      </c>
      <c r="L3207" s="912">
        <f>H3207*K3207</f>
        <v>123830.00000000001</v>
      </c>
      <c r="M3207" s="912"/>
      <c r="N3207" s="912"/>
      <c r="O3207" s="892">
        <f t="shared" si="200"/>
        <v>0</v>
      </c>
      <c r="P3207" s="903">
        <f t="shared" si="201"/>
        <v>1</v>
      </c>
      <c r="Q3207" s="893">
        <f t="shared" si="202"/>
        <v>1</v>
      </c>
      <c r="R3207" s="894">
        <f t="shared" si="203"/>
        <v>0</v>
      </c>
    </row>
    <row r="3208" spans="1:18" s="847" customFormat="1">
      <c r="A3208" s="905"/>
      <c r="B3208" s="914" t="s">
        <v>5032</v>
      </c>
      <c r="C3208" s="915"/>
      <c r="D3208" s="915"/>
      <c r="E3208" s="916" t="s">
        <v>5033</v>
      </c>
      <c r="F3208" s="917" t="s">
        <v>139</v>
      </c>
      <c r="G3208" s="918"/>
      <c r="H3208" s="919"/>
      <c r="I3208" s="920"/>
      <c r="J3208" s="891">
        <f>SUM(J3209:J3210)</f>
        <v>0</v>
      </c>
      <c r="K3208" s="891"/>
      <c r="L3208" s="891">
        <f>SUM(L3209:L3210)</f>
        <v>143731.25</v>
      </c>
      <c r="M3208" s="891"/>
      <c r="N3208" s="891">
        <f>SUM(N3209:N3210)</f>
        <v>0</v>
      </c>
      <c r="O3208" s="892">
        <f t="shared" si="200"/>
        <v>1</v>
      </c>
      <c r="P3208" s="903">
        <f t="shared" si="201"/>
        <v>0</v>
      </c>
      <c r="Q3208" s="893">
        <f t="shared" si="202"/>
        <v>0</v>
      </c>
      <c r="R3208" s="894">
        <f t="shared" si="203"/>
        <v>2</v>
      </c>
    </row>
    <row r="3209" spans="1:18" s="904" customFormat="1">
      <c r="A3209" s="895"/>
      <c r="B3209" s="896"/>
      <c r="C3209" s="897"/>
      <c r="D3209" s="897"/>
      <c r="E3209" s="924" t="s">
        <v>276</v>
      </c>
      <c r="F3209" s="927"/>
      <c r="G3209" s="928"/>
      <c r="H3209" s="901"/>
      <c r="I3209" s="902"/>
      <c r="J3209" s="902"/>
      <c r="K3209" s="912" t="s">
        <v>274</v>
      </c>
      <c r="L3209" s="902"/>
      <c r="M3209" s="902"/>
      <c r="N3209" s="902"/>
      <c r="O3209" s="892">
        <f t="shared" si="200"/>
        <v>0</v>
      </c>
      <c r="P3209" s="903">
        <f t="shared" si="201"/>
        <v>1</v>
      </c>
      <c r="Q3209" s="893">
        <f t="shared" si="202"/>
        <v>2</v>
      </c>
      <c r="R3209" s="894">
        <f t="shared" si="203"/>
        <v>0</v>
      </c>
    </row>
    <row r="3210" spans="1:18">
      <c r="A3210" s="905"/>
      <c r="B3210" s="906"/>
      <c r="C3210" s="907">
        <v>740</v>
      </c>
      <c r="D3210" s="907" t="s">
        <v>12</v>
      </c>
      <c r="E3210" s="908" t="s">
        <v>4008</v>
      </c>
      <c r="F3210" s="909" t="s">
        <v>2674</v>
      </c>
      <c r="G3210" s="910"/>
      <c r="H3210" s="911">
        <v>0.65</v>
      </c>
      <c r="I3210" s="912"/>
      <c r="J3210" s="912"/>
      <c r="K3210" s="912">
        <f>VLOOKUP(E3210,[5]ĐMNC!$A$7:$F$67,4,0)</f>
        <v>221125</v>
      </c>
      <c r="L3210" s="912">
        <f>H3210*K3210</f>
        <v>143731.25</v>
      </c>
      <c r="M3210" s="912"/>
      <c r="N3210" s="912"/>
      <c r="O3210" s="892">
        <f t="shared" si="200"/>
        <v>0</v>
      </c>
      <c r="P3210" s="903">
        <f t="shared" si="201"/>
        <v>1</v>
      </c>
      <c r="Q3210" s="893">
        <f t="shared" si="202"/>
        <v>1</v>
      </c>
      <c r="R3210" s="894">
        <f t="shared" si="203"/>
        <v>0</v>
      </c>
    </row>
    <row r="3211" spans="1:18" s="847" customFormat="1">
      <c r="A3211" s="905"/>
      <c r="B3211" s="914" t="s">
        <v>5034</v>
      </c>
      <c r="C3211" s="915"/>
      <c r="D3211" s="915"/>
      <c r="E3211" s="916" t="s">
        <v>5035</v>
      </c>
      <c r="F3211" s="917" t="s">
        <v>139</v>
      </c>
      <c r="G3211" s="918"/>
      <c r="H3211" s="919"/>
      <c r="I3211" s="920"/>
      <c r="J3211" s="891">
        <f>SUM(J3212:J3213)</f>
        <v>0</v>
      </c>
      <c r="K3211" s="891"/>
      <c r="L3211" s="891">
        <f>SUM(L3212:L3213)</f>
        <v>156998.75</v>
      </c>
      <c r="M3211" s="891"/>
      <c r="N3211" s="891">
        <f>SUM(N3212:N3213)</f>
        <v>0</v>
      </c>
      <c r="O3211" s="892">
        <f t="shared" si="200"/>
        <v>1</v>
      </c>
      <c r="P3211" s="903">
        <f t="shared" si="201"/>
        <v>0</v>
      </c>
      <c r="Q3211" s="893">
        <f t="shared" si="202"/>
        <v>0</v>
      </c>
      <c r="R3211" s="894">
        <f t="shared" si="203"/>
        <v>2</v>
      </c>
    </row>
    <row r="3212" spans="1:18" s="904" customFormat="1">
      <c r="A3212" s="895"/>
      <c r="B3212" s="896"/>
      <c r="C3212" s="897"/>
      <c r="D3212" s="897"/>
      <c r="E3212" s="924" t="s">
        <v>276</v>
      </c>
      <c r="F3212" s="927"/>
      <c r="G3212" s="928"/>
      <c r="H3212" s="901"/>
      <c r="I3212" s="902"/>
      <c r="J3212" s="902"/>
      <c r="K3212" s="912" t="s">
        <v>274</v>
      </c>
      <c r="L3212" s="902"/>
      <c r="M3212" s="902"/>
      <c r="N3212" s="902"/>
      <c r="O3212" s="892">
        <f t="shared" si="200"/>
        <v>0</v>
      </c>
      <c r="P3212" s="903">
        <f t="shared" si="201"/>
        <v>1</v>
      </c>
      <c r="Q3212" s="893">
        <f t="shared" si="202"/>
        <v>2</v>
      </c>
      <c r="R3212" s="894">
        <f t="shared" si="203"/>
        <v>0</v>
      </c>
    </row>
    <row r="3213" spans="1:18">
      <c r="A3213" s="905"/>
      <c r="B3213" s="906"/>
      <c r="C3213" s="907">
        <v>740</v>
      </c>
      <c r="D3213" s="907" t="s">
        <v>12</v>
      </c>
      <c r="E3213" s="908" t="s">
        <v>4008</v>
      </c>
      <c r="F3213" s="909" t="s">
        <v>2674</v>
      </c>
      <c r="G3213" s="910"/>
      <c r="H3213" s="911">
        <v>0.71</v>
      </c>
      <c r="I3213" s="912"/>
      <c r="J3213" s="912"/>
      <c r="K3213" s="912">
        <f>VLOOKUP(E3213,[5]ĐMNC!$A$7:$F$67,4,0)</f>
        <v>221125</v>
      </c>
      <c r="L3213" s="912">
        <f>H3213*K3213</f>
        <v>156998.75</v>
      </c>
      <c r="M3213" s="912"/>
      <c r="N3213" s="912"/>
      <c r="O3213" s="892">
        <f t="shared" si="200"/>
        <v>0</v>
      </c>
      <c r="P3213" s="903">
        <f t="shared" si="201"/>
        <v>1</v>
      </c>
      <c r="Q3213" s="893">
        <f t="shared" si="202"/>
        <v>1</v>
      </c>
      <c r="R3213" s="894">
        <f t="shared" si="203"/>
        <v>0</v>
      </c>
    </row>
    <row r="3214" spans="1:18" s="847" customFormat="1">
      <c r="A3214" s="905"/>
      <c r="B3214" s="914" t="s">
        <v>5036</v>
      </c>
      <c r="C3214" s="915"/>
      <c r="D3214" s="915"/>
      <c r="E3214" s="916" t="s">
        <v>5037</v>
      </c>
      <c r="F3214" s="917" t="s">
        <v>139</v>
      </c>
      <c r="G3214" s="918"/>
      <c r="H3214" s="919"/>
      <c r="I3214" s="920"/>
      <c r="J3214" s="891">
        <f>SUM(J3215:J3216)</f>
        <v>0</v>
      </c>
      <c r="K3214" s="891"/>
      <c r="L3214" s="891">
        <f>SUM(L3215:L3216)</f>
        <v>172477.5</v>
      </c>
      <c r="M3214" s="891"/>
      <c r="N3214" s="891">
        <f>SUM(N3215:N3216)</f>
        <v>0</v>
      </c>
      <c r="O3214" s="892">
        <f t="shared" si="200"/>
        <v>1</v>
      </c>
      <c r="P3214" s="903">
        <f t="shared" si="201"/>
        <v>0</v>
      </c>
      <c r="Q3214" s="893">
        <f t="shared" si="202"/>
        <v>0</v>
      </c>
      <c r="R3214" s="894">
        <f t="shared" si="203"/>
        <v>2</v>
      </c>
    </row>
    <row r="3215" spans="1:18" s="904" customFormat="1">
      <c r="A3215" s="895"/>
      <c r="B3215" s="896"/>
      <c r="C3215" s="897"/>
      <c r="D3215" s="897"/>
      <c r="E3215" s="924" t="s">
        <v>276</v>
      </c>
      <c r="F3215" s="927"/>
      <c r="G3215" s="928"/>
      <c r="H3215" s="901"/>
      <c r="I3215" s="902"/>
      <c r="J3215" s="902"/>
      <c r="K3215" s="912" t="s">
        <v>274</v>
      </c>
      <c r="L3215" s="902"/>
      <c r="M3215" s="902"/>
      <c r="N3215" s="902"/>
      <c r="O3215" s="892">
        <f t="shared" si="200"/>
        <v>0</v>
      </c>
      <c r="P3215" s="903">
        <f t="shared" si="201"/>
        <v>1</v>
      </c>
      <c r="Q3215" s="893">
        <f t="shared" si="202"/>
        <v>2</v>
      </c>
      <c r="R3215" s="894">
        <f t="shared" si="203"/>
        <v>0</v>
      </c>
    </row>
    <row r="3216" spans="1:18">
      <c r="A3216" s="905"/>
      <c r="B3216" s="906"/>
      <c r="C3216" s="907">
        <v>740</v>
      </c>
      <c r="D3216" s="907" t="s">
        <v>12</v>
      </c>
      <c r="E3216" s="908" t="s">
        <v>4008</v>
      </c>
      <c r="F3216" s="909" t="s">
        <v>2674</v>
      </c>
      <c r="G3216" s="910"/>
      <c r="H3216" s="911">
        <v>0.78</v>
      </c>
      <c r="I3216" s="912"/>
      <c r="J3216" s="912"/>
      <c r="K3216" s="912">
        <f>VLOOKUP(E3216,[5]ĐMNC!$A$7:$F$67,4,0)</f>
        <v>221125</v>
      </c>
      <c r="L3216" s="912">
        <f>H3216*K3216</f>
        <v>172477.5</v>
      </c>
      <c r="M3216" s="912"/>
      <c r="N3216" s="912"/>
      <c r="O3216" s="892">
        <f t="shared" si="200"/>
        <v>0</v>
      </c>
      <c r="P3216" s="903">
        <f t="shared" si="201"/>
        <v>1</v>
      </c>
      <c r="Q3216" s="893">
        <f t="shared" si="202"/>
        <v>1</v>
      </c>
      <c r="R3216" s="894">
        <f t="shared" si="203"/>
        <v>0</v>
      </c>
    </row>
    <row r="3217" spans="1:18" s="847" customFormat="1">
      <c r="A3217" s="905"/>
      <c r="B3217" s="914" t="s">
        <v>5038</v>
      </c>
      <c r="C3217" s="915"/>
      <c r="D3217" s="915"/>
      <c r="E3217" s="916" t="s">
        <v>5039</v>
      </c>
      <c r="F3217" s="917" t="s">
        <v>139</v>
      </c>
      <c r="G3217" s="918"/>
      <c r="H3217" s="919"/>
      <c r="I3217" s="920"/>
      <c r="J3217" s="891">
        <f>SUM(J3218:J3219)</f>
        <v>0</v>
      </c>
      <c r="K3217" s="891"/>
      <c r="L3217" s="891">
        <f>SUM(L3218:L3219)</f>
        <v>199012.5</v>
      </c>
      <c r="M3217" s="891"/>
      <c r="N3217" s="891">
        <f>SUM(N3218:N3219)</f>
        <v>0</v>
      </c>
      <c r="O3217" s="892">
        <f t="shared" si="200"/>
        <v>1</v>
      </c>
      <c r="P3217" s="903">
        <f t="shared" si="201"/>
        <v>0</v>
      </c>
      <c r="Q3217" s="893">
        <f t="shared" si="202"/>
        <v>0</v>
      </c>
      <c r="R3217" s="894">
        <f t="shared" si="203"/>
        <v>2</v>
      </c>
    </row>
    <row r="3218" spans="1:18" s="904" customFormat="1">
      <c r="A3218" s="895"/>
      <c r="B3218" s="896"/>
      <c r="C3218" s="897"/>
      <c r="D3218" s="897"/>
      <c r="E3218" s="924" t="s">
        <v>276</v>
      </c>
      <c r="F3218" s="927"/>
      <c r="G3218" s="928"/>
      <c r="H3218" s="901"/>
      <c r="I3218" s="902"/>
      <c r="J3218" s="902"/>
      <c r="K3218" s="912" t="s">
        <v>274</v>
      </c>
      <c r="L3218" s="902"/>
      <c r="M3218" s="902"/>
      <c r="N3218" s="902"/>
      <c r="O3218" s="892">
        <f t="shared" si="200"/>
        <v>0</v>
      </c>
      <c r="P3218" s="903">
        <f t="shared" si="201"/>
        <v>1</v>
      </c>
      <c r="Q3218" s="893">
        <f t="shared" si="202"/>
        <v>2</v>
      </c>
      <c r="R3218" s="894">
        <f t="shared" si="203"/>
        <v>0</v>
      </c>
    </row>
    <row r="3219" spans="1:18">
      <c r="A3219" s="905"/>
      <c r="B3219" s="906"/>
      <c r="C3219" s="907">
        <v>740</v>
      </c>
      <c r="D3219" s="907" t="s">
        <v>12</v>
      </c>
      <c r="E3219" s="908" t="s">
        <v>4008</v>
      </c>
      <c r="F3219" s="909" t="s">
        <v>2674</v>
      </c>
      <c r="G3219" s="910"/>
      <c r="H3219" s="911">
        <v>0.9</v>
      </c>
      <c r="I3219" s="912"/>
      <c r="J3219" s="912"/>
      <c r="K3219" s="912">
        <f>VLOOKUP(E3219,[5]ĐMNC!$A$7:$F$67,4,0)</f>
        <v>221125</v>
      </c>
      <c r="L3219" s="912">
        <f>H3219*K3219</f>
        <v>199012.5</v>
      </c>
      <c r="M3219" s="912"/>
      <c r="N3219" s="912"/>
      <c r="O3219" s="892">
        <f t="shared" si="200"/>
        <v>0</v>
      </c>
      <c r="P3219" s="903">
        <f t="shared" si="201"/>
        <v>1</v>
      </c>
      <c r="Q3219" s="893">
        <f t="shared" si="202"/>
        <v>1</v>
      </c>
      <c r="R3219" s="894">
        <f t="shared" si="203"/>
        <v>0</v>
      </c>
    </row>
    <row r="3220" spans="1:18" s="847" customFormat="1">
      <c r="A3220" s="905"/>
      <c r="B3220" s="914" t="s">
        <v>5040</v>
      </c>
      <c r="C3220" s="915"/>
      <c r="D3220" s="915"/>
      <c r="E3220" s="916" t="s">
        <v>5041</v>
      </c>
      <c r="F3220" s="917" t="s">
        <v>139</v>
      </c>
      <c r="G3220" s="918"/>
      <c r="H3220" s="919"/>
      <c r="I3220" s="920"/>
      <c r="J3220" s="891">
        <f>SUM(J3221:J3222)</f>
        <v>0</v>
      </c>
      <c r="K3220" s="891"/>
      <c r="L3220" s="891">
        <f>SUM(L3221:L3222)</f>
        <v>229970</v>
      </c>
      <c r="M3220" s="891"/>
      <c r="N3220" s="891">
        <f>SUM(N3221:N3222)</f>
        <v>0</v>
      </c>
      <c r="O3220" s="892">
        <f t="shared" si="200"/>
        <v>1</v>
      </c>
      <c r="P3220" s="903">
        <f t="shared" si="201"/>
        <v>0</v>
      </c>
      <c r="Q3220" s="893">
        <f t="shared" si="202"/>
        <v>0</v>
      </c>
      <c r="R3220" s="894">
        <f t="shared" si="203"/>
        <v>2</v>
      </c>
    </row>
    <row r="3221" spans="1:18" s="904" customFormat="1">
      <c r="A3221" s="895"/>
      <c r="B3221" s="896"/>
      <c r="C3221" s="897"/>
      <c r="D3221" s="897"/>
      <c r="E3221" s="924" t="s">
        <v>276</v>
      </c>
      <c r="F3221" s="927"/>
      <c r="G3221" s="928"/>
      <c r="H3221" s="901"/>
      <c r="I3221" s="902"/>
      <c r="J3221" s="902"/>
      <c r="K3221" s="912" t="s">
        <v>274</v>
      </c>
      <c r="L3221" s="902"/>
      <c r="M3221" s="902"/>
      <c r="N3221" s="902"/>
      <c r="O3221" s="892">
        <f t="shared" si="200"/>
        <v>0</v>
      </c>
      <c r="P3221" s="903">
        <f t="shared" si="201"/>
        <v>1</v>
      </c>
      <c r="Q3221" s="893">
        <f t="shared" si="202"/>
        <v>2</v>
      </c>
      <c r="R3221" s="894">
        <f t="shared" si="203"/>
        <v>0</v>
      </c>
    </row>
    <row r="3222" spans="1:18">
      <c r="A3222" s="905"/>
      <c r="B3222" s="906"/>
      <c r="C3222" s="907">
        <v>740</v>
      </c>
      <c r="D3222" s="907" t="s">
        <v>12</v>
      </c>
      <c r="E3222" s="908" t="s">
        <v>4008</v>
      </c>
      <c r="F3222" s="909" t="s">
        <v>2674</v>
      </c>
      <c r="G3222" s="910"/>
      <c r="H3222" s="911">
        <v>1.04</v>
      </c>
      <c r="I3222" s="912"/>
      <c r="J3222" s="912"/>
      <c r="K3222" s="912">
        <f>VLOOKUP(E3222,[5]ĐMNC!$A$7:$F$67,4,0)</f>
        <v>221125</v>
      </c>
      <c r="L3222" s="912">
        <f>H3222*K3222</f>
        <v>229970</v>
      </c>
      <c r="M3222" s="912"/>
      <c r="N3222" s="912"/>
      <c r="O3222" s="892">
        <f t="shared" si="200"/>
        <v>0</v>
      </c>
      <c r="P3222" s="903">
        <f t="shared" si="201"/>
        <v>1</v>
      </c>
      <c r="Q3222" s="893">
        <f t="shared" si="202"/>
        <v>1</v>
      </c>
      <c r="R3222" s="894">
        <f t="shared" si="203"/>
        <v>0</v>
      </c>
    </row>
    <row r="3223" spans="1:18" s="847" customFormat="1">
      <c r="A3223" s="905"/>
      <c r="B3223" s="914" t="s">
        <v>5042</v>
      </c>
      <c r="C3223" s="915"/>
      <c r="D3223" s="915"/>
      <c r="E3223" s="916" t="s">
        <v>5043</v>
      </c>
      <c r="F3223" s="917" t="s">
        <v>139</v>
      </c>
      <c r="G3223" s="918"/>
      <c r="H3223" s="919"/>
      <c r="I3223" s="920"/>
      <c r="J3223" s="891">
        <f>SUM(J3224:J3225)</f>
        <v>0</v>
      </c>
      <c r="K3223" s="891"/>
      <c r="L3223" s="891">
        <f>SUM(L3224:L3225)</f>
        <v>265350</v>
      </c>
      <c r="M3223" s="891"/>
      <c r="N3223" s="891">
        <f>SUM(N3224:N3225)</f>
        <v>0</v>
      </c>
      <c r="O3223" s="892">
        <f t="shared" si="200"/>
        <v>1</v>
      </c>
      <c r="P3223" s="903">
        <f t="shared" si="201"/>
        <v>0</v>
      </c>
      <c r="Q3223" s="893">
        <f t="shared" si="202"/>
        <v>0</v>
      </c>
      <c r="R3223" s="894">
        <f t="shared" si="203"/>
        <v>2</v>
      </c>
    </row>
    <row r="3224" spans="1:18" s="904" customFormat="1">
      <c r="A3224" s="895"/>
      <c r="B3224" s="896"/>
      <c r="C3224" s="897"/>
      <c r="D3224" s="897"/>
      <c r="E3224" s="924" t="s">
        <v>276</v>
      </c>
      <c r="F3224" s="927"/>
      <c r="G3224" s="928"/>
      <c r="H3224" s="901"/>
      <c r="I3224" s="902"/>
      <c r="J3224" s="902"/>
      <c r="K3224" s="912" t="s">
        <v>274</v>
      </c>
      <c r="L3224" s="902"/>
      <c r="M3224" s="902"/>
      <c r="N3224" s="902"/>
      <c r="O3224" s="892">
        <f t="shared" si="200"/>
        <v>0</v>
      </c>
      <c r="P3224" s="903">
        <f t="shared" si="201"/>
        <v>1</v>
      </c>
      <c r="Q3224" s="893">
        <f t="shared" si="202"/>
        <v>2</v>
      </c>
      <c r="R3224" s="894">
        <f t="shared" si="203"/>
        <v>0</v>
      </c>
    </row>
    <row r="3225" spans="1:18">
      <c r="A3225" s="905"/>
      <c r="B3225" s="906"/>
      <c r="C3225" s="907">
        <v>740</v>
      </c>
      <c r="D3225" s="907" t="s">
        <v>12</v>
      </c>
      <c r="E3225" s="908" t="s">
        <v>4008</v>
      </c>
      <c r="F3225" s="909" t="s">
        <v>2674</v>
      </c>
      <c r="G3225" s="910"/>
      <c r="H3225" s="911">
        <v>1.2</v>
      </c>
      <c r="I3225" s="912"/>
      <c r="J3225" s="912"/>
      <c r="K3225" s="912">
        <f>VLOOKUP(E3225,[5]ĐMNC!$A$7:$F$67,4,0)</f>
        <v>221125</v>
      </c>
      <c r="L3225" s="912">
        <f>H3225*K3225</f>
        <v>265350</v>
      </c>
      <c r="M3225" s="912"/>
      <c r="N3225" s="912"/>
      <c r="O3225" s="892">
        <f t="shared" si="200"/>
        <v>0</v>
      </c>
      <c r="P3225" s="903">
        <f t="shared" si="201"/>
        <v>1</v>
      </c>
      <c r="Q3225" s="893">
        <f t="shared" si="202"/>
        <v>1</v>
      </c>
      <c r="R3225" s="894">
        <f t="shared" si="203"/>
        <v>0</v>
      </c>
    </row>
    <row r="3226" spans="1:18" s="847" customFormat="1">
      <c r="A3226" s="905" t="s">
        <v>5044</v>
      </c>
      <c r="B3226" s="914" t="s">
        <v>5045</v>
      </c>
      <c r="C3226" s="915"/>
      <c r="D3226" s="915"/>
      <c r="E3226" s="916" t="s">
        <v>5046</v>
      </c>
      <c r="F3226" s="917" t="s">
        <v>139</v>
      </c>
      <c r="G3226" s="918"/>
      <c r="H3226" s="919"/>
      <c r="I3226" s="920"/>
      <c r="J3226" s="891">
        <f>SUM(J3227:J3228)</f>
        <v>0</v>
      </c>
      <c r="K3226" s="891"/>
      <c r="L3226" s="891">
        <f>SUM(L3227:L3228)</f>
        <v>132675</v>
      </c>
      <c r="M3226" s="891"/>
      <c r="N3226" s="891">
        <f>SUM(N3227:N3228)</f>
        <v>0</v>
      </c>
      <c r="O3226" s="892">
        <f t="shared" si="200"/>
        <v>1</v>
      </c>
      <c r="P3226" s="903">
        <f t="shared" si="201"/>
        <v>0</v>
      </c>
      <c r="Q3226" s="893">
        <f t="shared" si="202"/>
        <v>0</v>
      </c>
      <c r="R3226" s="894">
        <f t="shared" si="203"/>
        <v>2</v>
      </c>
    </row>
    <row r="3227" spans="1:18" s="904" customFormat="1">
      <c r="A3227" s="895"/>
      <c r="B3227" s="922"/>
      <c r="C3227" s="897"/>
      <c r="D3227" s="897"/>
      <c r="E3227" s="924" t="s">
        <v>276</v>
      </c>
      <c r="F3227" s="927"/>
      <c r="G3227" s="928"/>
      <c r="H3227" s="901"/>
      <c r="I3227" s="902"/>
      <c r="J3227" s="902"/>
      <c r="K3227" s="912" t="s">
        <v>274</v>
      </c>
      <c r="L3227" s="902"/>
      <c r="M3227" s="902"/>
      <c r="N3227" s="902"/>
      <c r="O3227" s="892">
        <f t="shared" si="200"/>
        <v>0</v>
      </c>
      <c r="P3227" s="903">
        <f t="shared" si="201"/>
        <v>1</v>
      </c>
      <c r="Q3227" s="893">
        <f t="shared" si="202"/>
        <v>2</v>
      </c>
      <c r="R3227" s="894">
        <f t="shared" si="203"/>
        <v>0</v>
      </c>
    </row>
    <row r="3228" spans="1:18">
      <c r="A3228" s="905"/>
      <c r="B3228" s="906"/>
      <c r="C3228" s="907">
        <v>740</v>
      </c>
      <c r="D3228" s="907" t="s">
        <v>12</v>
      </c>
      <c r="E3228" s="908" t="s">
        <v>4008</v>
      </c>
      <c r="F3228" s="909" t="s">
        <v>2674</v>
      </c>
      <c r="G3228" s="910"/>
      <c r="H3228" s="911">
        <v>0.6</v>
      </c>
      <c r="I3228" s="912"/>
      <c r="J3228" s="912"/>
      <c r="K3228" s="912">
        <f>VLOOKUP(E3228,[5]ĐMNC!$A$7:$F$67,4,0)</f>
        <v>221125</v>
      </c>
      <c r="L3228" s="912">
        <f>H3228*K3228</f>
        <v>132675</v>
      </c>
      <c r="M3228" s="912"/>
      <c r="N3228" s="912"/>
      <c r="O3228" s="892">
        <f t="shared" si="200"/>
        <v>0</v>
      </c>
      <c r="P3228" s="903">
        <f t="shared" si="201"/>
        <v>1</v>
      </c>
      <c r="Q3228" s="893">
        <f t="shared" si="202"/>
        <v>1</v>
      </c>
      <c r="R3228" s="894">
        <f t="shared" si="203"/>
        <v>0</v>
      </c>
    </row>
    <row r="3229" spans="1:18" s="847" customFormat="1">
      <c r="A3229" s="905"/>
      <c r="B3229" s="914" t="s">
        <v>5047</v>
      </c>
      <c r="C3229" s="915"/>
      <c r="D3229" s="915"/>
      <c r="E3229" s="916" t="s">
        <v>5048</v>
      </c>
      <c r="F3229" s="917" t="s">
        <v>139</v>
      </c>
      <c r="G3229" s="918"/>
      <c r="H3229" s="919"/>
      <c r="I3229" s="920"/>
      <c r="J3229" s="891">
        <f>SUM(J3230:J3231)</f>
        <v>0</v>
      </c>
      <c r="K3229" s="891"/>
      <c r="L3229" s="891">
        <f>SUM(L3230:L3231)</f>
        <v>139308.75</v>
      </c>
      <c r="M3229" s="891"/>
      <c r="N3229" s="891">
        <f>SUM(N3230:N3231)</f>
        <v>0</v>
      </c>
      <c r="O3229" s="892">
        <f t="shared" ref="O3229:O3292" si="204">IF(AND(B3229&lt;&gt;"",D3229=""),1,0)</f>
        <v>1</v>
      </c>
      <c r="P3229" s="903">
        <f t="shared" si="201"/>
        <v>0</v>
      </c>
      <c r="Q3229" s="893">
        <f t="shared" si="202"/>
        <v>0</v>
      </c>
      <c r="R3229" s="894">
        <f t="shared" si="203"/>
        <v>2</v>
      </c>
    </row>
    <row r="3230" spans="1:18" s="904" customFormat="1">
      <c r="A3230" s="895"/>
      <c r="B3230" s="896"/>
      <c r="C3230" s="897"/>
      <c r="D3230" s="897"/>
      <c r="E3230" s="924" t="s">
        <v>276</v>
      </c>
      <c r="F3230" s="927"/>
      <c r="G3230" s="928"/>
      <c r="H3230" s="901"/>
      <c r="I3230" s="902"/>
      <c r="J3230" s="902"/>
      <c r="K3230" s="912" t="s">
        <v>274</v>
      </c>
      <c r="L3230" s="902"/>
      <c r="M3230" s="902"/>
      <c r="N3230" s="902"/>
      <c r="O3230" s="892">
        <f t="shared" si="204"/>
        <v>0</v>
      </c>
      <c r="P3230" s="903">
        <f t="shared" si="201"/>
        <v>1</v>
      </c>
      <c r="Q3230" s="893">
        <f t="shared" si="202"/>
        <v>2</v>
      </c>
      <c r="R3230" s="894">
        <f t="shared" si="203"/>
        <v>0</v>
      </c>
    </row>
    <row r="3231" spans="1:18">
      <c r="A3231" s="905"/>
      <c r="B3231" s="906"/>
      <c r="C3231" s="907">
        <v>740</v>
      </c>
      <c r="D3231" s="907" t="s">
        <v>12</v>
      </c>
      <c r="E3231" s="908" t="s">
        <v>4008</v>
      </c>
      <c r="F3231" s="909" t="s">
        <v>2674</v>
      </c>
      <c r="G3231" s="910"/>
      <c r="H3231" s="911">
        <v>0.63</v>
      </c>
      <c r="I3231" s="912"/>
      <c r="J3231" s="912"/>
      <c r="K3231" s="912">
        <f>VLOOKUP(E3231,[5]ĐMNC!$A$7:$F$67,4,0)</f>
        <v>221125</v>
      </c>
      <c r="L3231" s="912">
        <f>H3231*K3231</f>
        <v>139308.75</v>
      </c>
      <c r="M3231" s="912"/>
      <c r="N3231" s="912"/>
      <c r="O3231" s="892">
        <f t="shared" si="204"/>
        <v>0</v>
      </c>
      <c r="P3231" s="903">
        <f t="shared" si="201"/>
        <v>1</v>
      </c>
      <c r="Q3231" s="893">
        <f t="shared" si="202"/>
        <v>1</v>
      </c>
      <c r="R3231" s="894">
        <f t="shared" si="203"/>
        <v>0</v>
      </c>
    </row>
    <row r="3232" spans="1:18" s="847" customFormat="1">
      <c r="A3232" s="905"/>
      <c r="B3232" s="914" t="s">
        <v>5049</v>
      </c>
      <c r="C3232" s="915"/>
      <c r="D3232" s="915"/>
      <c r="E3232" s="916" t="s">
        <v>5050</v>
      </c>
      <c r="F3232" s="917" t="s">
        <v>139</v>
      </c>
      <c r="G3232" s="918"/>
      <c r="H3232" s="919"/>
      <c r="I3232" s="920"/>
      <c r="J3232" s="891">
        <f>SUM(J3233:J3234)</f>
        <v>0</v>
      </c>
      <c r="K3232" s="891"/>
      <c r="L3232" s="891">
        <f>SUM(L3233:L3234)</f>
        <v>156998.75</v>
      </c>
      <c r="M3232" s="891"/>
      <c r="N3232" s="891">
        <f>SUM(N3233:N3234)</f>
        <v>0</v>
      </c>
      <c r="O3232" s="892">
        <f t="shared" si="204"/>
        <v>1</v>
      </c>
      <c r="P3232" s="903">
        <f t="shared" si="201"/>
        <v>0</v>
      </c>
      <c r="Q3232" s="893">
        <f t="shared" si="202"/>
        <v>0</v>
      </c>
      <c r="R3232" s="894">
        <f t="shared" si="203"/>
        <v>2</v>
      </c>
    </row>
    <row r="3233" spans="1:18" s="904" customFormat="1">
      <c r="A3233" s="895"/>
      <c r="B3233" s="896"/>
      <c r="C3233" s="897"/>
      <c r="D3233" s="897"/>
      <c r="E3233" s="924" t="s">
        <v>276</v>
      </c>
      <c r="F3233" s="927"/>
      <c r="G3233" s="928"/>
      <c r="H3233" s="901"/>
      <c r="I3233" s="902"/>
      <c r="J3233" s="902"/>
      <c r="K3233" s="912" t="s">
        <v>274</v>
      </c>
      <c r="L3233" s="902"/>
      <c r="M3233" s="902"/>
      <c r="N3233" s="902"/>
      <c r="O3233" s="892">
        <f t="shared" si="204"/>
        <v>0</v>
      </c>
      <c r="P3233" s="903">
        <f t="shared" si="201"/>
        <v>1</v>
      </c>
      <c r="Q3233" s="893">
        <f t="shared" si="202"/>
        <v>2</v>
      </c>
      <c r="R3233" s="894">
        <f t="shared" si="203"/>
        <v>0</v>
      </c>
    </row>
    <row r="3234" spans="1:18">
      <c r="A3234" s="905"/>
      <c r="B3234" s="906"/>
      <c r="C3234" s="907">
        <v>740</v>
      </c>
      <c r="D3234" s="907" t="s">
        <v>12</v>
      </c>
      <c r="E3234" s="908" t="s">
        <v>4008</v>
      </c>
      <c r="F3234" s="909" t="s">
        <v>2674</v>
      </c>
      <c r="G3234" s="910"/>
      <c r="H3234" s="911">
        <v>0.71</v>
      </c>
      <c r="I3234" s="912"/>
      <c r="J3234" s="912"/>
      <c r="K3234" s="912">
        <f>VLOOKUP(E3234,[5]ĐMNC!$A$7:$F$67,4,0)</f>
        <v>221125</v>
      </c>
      <c r="L3234" s="912">
        <f>H3234*K3234</f>
        <v>156998.75</v>
      </c>
      <c r="M3234" s="912"/>
      <c r="N3234" s="912"/>
      <c r="O3234" s="892">
        <f t="shared" si="204"/>
        <v>0</v>
      </c>
      <c r="P3234" s="903">
        <f t="shared" si="201"/>
        <v>1</v>
      </c>
      <c r="Q3234" s="893">
        <f t="shared" si="202"/>
        <v>1</v>
      </c>
      <c r="R3234" s="894">
        <f t="shared" si="203"/>
        <v>0</v>
      </c>
    </row>
    <row r="3235" spans="1:18" s="847" customFormat="1">
      <c r="A3235" s="905"/>
      <c r="B3235" s="914" t="s">
        <v>5051</v>
      </c>
      <c r="C3235" s="915"/>
      <c r="D3235" s="915"/>
      <c r="E3235" s="916" t="s">
        <v>5052</v>
      </c>
      <c r="F3235" s="917" t="s">
        <v>139</v>
      </c>
      <c r="G3235" s="918"/>
      <c r="H3235" s="919"/>
      <c r="I3235" s="920"/>
      <c r="J3235" s="891">
        <f>SUM(J3236:J3237)</f>
        <v>0</v>
      </c>
      <c r="K3235" s="891"/>
      <c r="L3235" s="891">
        <f>SUM(L3236:L3237)</f>
        <v>179111.25</v>
      </c>
      <c r="M3235" s="891"/>
      <c r="N3235" s="891">
        <f>SUM(N3236:N3237)</f>
        <v>0</v>
      </c>
      <c r="O3235" s="892">
        <f t="shared" si="204"/>
        <v>1</v>
      </c>
      <c r="P3235" s="903">
        <f t="shared" si="201"/>
        <v>0</v>
      </c>
      <c r="Q3235" s="893">
        <f t="shared" si="202"/>
        <v>0</v>
      </c>
      <c r="R3235" s="894">
        <f t="shared" si="203"/>
        <v>2</v>
      </c>
    </row>
    <row r="3236" spans="1:18" s="904" customFormat="1">
      <c r="A3236" s="895"/>
      <c r="B3236" s="896"/>
      <c r="C3236" s="897"/>
      <c r="D3236" s="897"/>
      <c r="E3236" s="924" t="s">
        <v>276</v>
      </c>
      <c r="F3236" s="927"/>
      <c r="G3236" s="928"/>
      <c r="H3236" s="901"/>
      <c r="I3236" s="902"/>
      <c r="J3236" s="902"/>
      <c r="K3236" s="912" t="s">
        <v>274</v>
      </c>
      <c r="L3236" s="902"/>
      <c r="M3236" s="902"/>
      <c r="N3236" s="902"/>
      <c r="O3236" s="892">
        <f t="shared" si="204"/>
        <v>0</v>
      </c>
      <c r="P3236" s="903">
        <f t="shared" si="201"/>
        <v>1</v>
      </c>
      <c r="Q3236" s="893">
        <f t="shared" si="202"/>
        <v>2</v>
      </c>
      <c r="R3236" s="894">
        <f t="shared" si="203"/>
        <v>0</v>
      </c>
    </row>
    <row r="3237" spans="1:18">
      <c r="A3237" s="905"/>
      <c r="B3237" s="906"/>
      <c r="C3237" s="907">
        <v>740</v>
      </c>
      <c r="D3237" s="907" t="s">
        <v>12</v>
      </c>
      <c r="E3237" s="908" t="s">
        <v>4008</v>
      </c>
      <c r="F3237" s="909" t="s">
        <v>2674</v>
      </c>
      <c r="G3237" s="910"/>
      <c r="H3237" s="911">
        <v>0.81</v>
      </c>
      <c r="I3237" s="912"/>
      <c r="J3237" s="912"/>
      <c r="K3237" s="912">
        <f>VLOOKUP(E3237,[5]ĐMNC!$A$7:$F$67,4,0)</f>
        <v>221125</v>
      </c>
      <c r="L3237" s="912">
        <f>H3237*K3237</f>
        <v>179111.25</v>
      </c>
      <c r="M3237" s="912"/>
      <c r="N3237" s="912"/>
      <c r="O3237" s="892">
        <f t="shared" si="204"/>
        <v>0</v>
      </c>
      <c r="P3237" s="903">
        <f t="shared" si="201"/>
        <v>1</v>
      </c>
      <c r="Q3237" s="893">
        <f t="shared" si="202"/>
        <v>1</v>
      </c>
      <c r="R3237" s="894">
        <f t="shared" si="203"/>
        <v>0</v>
      </c>
    </row>
    <row r="3238" spans="1:18" s="847" customFormat="1">
      <c r="A3238" s="905"/>
      <c r="B3238" s="914" t="s">
        <v>5053</v>
      </c>
      <c r="C3238" s="915"/>
      <c r="D3238" s="915"/>
      <c r="E3238" s="916" t="s">
        <v>5054</v>
      </c>
      <c r="F3238" s="917" t="s">
        <v>139</v>
      </c>
      <c r="G3238" s="918"/>
      <c r="H3238" s="919"/>
      <c r="I3238" s="920"/>
      <c r="J3238" s="891">
        <f>SUM(J3239:J3240)</f>
        <v>0</v>
      </c>
      <c r="K3238" s="891"/>
      <c r="L3238" s="891">
        <f>SUM(L3239:L3240)</f>
        <v>196801.25</v>
      </c>
      <c r="M3238" s="891"/>
      <c r="N3238" s="891">
        <f>SUM(N3239:N3240)</f>
        <v>0</v>
      </c>
      <c r="O3238" s="892">
        <f t="shared" si="204"/>
        <v>1</v>
      </c>
      <c r="P3238" s="903">
        <f t="shared" ref="P3238:P3301" si="205">IF(O3238=0,1,0)</f>
        <v>0</v>
      </c>
      <c r="Q3238" s="893">
        <f t="shared" ref="Q3238:Q3301" si="206">IF(P3238=0,0,P3238+Q3239)</f>
        <v>0</v>
      </c>
      <c r="R3238" s="894">
        <f t="shared" ref="R3238:R3301" si="207">IF(Q3238=0,Q3239,0)</f>
        <v>2</v>
      </c>
    </row>
    <row r="3239" spans="1:18" s="904" customFormat="1">
      <c r="A3239" s="895"/>
      <c r="B3239" s="896"/>
      <c r="C3239" s="897"/>
      <c r="D3239" s="897"/>
      <c r="E3239" s="924" t="s">
        <v>276</v>
      </c>
      <c r="F3239" s="927"/>
      <c r="G3239" s="928"/>
      <c r="H3239" s="901"/>
      <c r="I3239" s="902"/>
      <c r="J3239" s="902"/>
      <c r="K3239" s="912" t="s">
        <v>274</v>
      </c>
      <c r="L3239" s="902"/>
      <c r="M3239" s="902"/>
      <c r="N3239" s="902"/>
      <c r="O3239" s="892">
        <f t="shared" si="204"/>
        <v>0</v>
      </c>
      <c r="P3239" s="903">
        <f t="shared" si="205"/>
        <v>1</v>
      </c>
      <c r="Q3239" s="893">
        <f t="shared" si="206"/>
        <v>2</v>
      </c>
      <c r="R3239" s="894">
        <f t="shared" si="207"/>
        <v>0</v>
      </c>
    </row>
    <row r="3240" spans="1:18">
      <c r="A3240" s="905"/>
      <c r="B3240" s="906"/>
      <c r="C3240" s="907">
        <v>740</v>
      </c>
      <c r="D3240" s="907" t="s">
        <v>12</v>
      </c>
      <c r="E3240" s="908" t="s">
        <v>4008</v>
      </c>
      <c r="F3240" s="909" t="s">
        <v>2674</v>
      </c>
      <c r="G3240" s="910"/>
      <c r="H3240" s="911">
        <v>0.89</v>
      </c>
      <c r="I3240" s="912"/>
      <c r="J3240" s="912"/>
      <c r="K3240" s="912">
        <f>VLOOKUP(E3240,[5]ĐMNC!$A$7:$F$67,4,0)</f>
        <v>221125</v>
      </c>
      <c r="L3240" s="912">
        <f>H3240*K3240</f>
        <v>196801.25</v>
      </c>
      <c r="M3240" s="912"/>
      <c r="N3240" s="912"/>
      <c r="O3240" s="892">
        <f t="shared" si="204"/>
        <v>0</v>
      </c>
      <c r="P3240" s="903">
        <f t="shared" si="205"/>
        <v>1</v>
      </c>
      <c r="Q3240" s="893">
        <f t="shared" si="206"/>
        <v>1</v>
      </c>
      <c r="R3240" s="894">
        <f t="shared" si="207"/>
        <v>0</v>
      </c>
    </row>
    <row r="3241" spans="1:18" s="847" customFormat="1">
      <c r="A3241" s="905"/>
      <c r="B3241" s="914" t="s">
        <v>5055</v>
      </c>
      <c r="C3241" s="915"/>
      <c r="D3241" s="915"/>
      <c r="E3241" s="916" t="s">
        <v>5056</v>
      </c>
      <c r="F3241" s="917" t="s">
        <v>139</v>
      </c>
      <c r="G3241" s="918"/>
      <c r="H3241" s="919"/>
      <c r="I3241" s="920"/>
      <c r="J3241" s="891">
        <f>SUM(J3242:J3243)</f>
        <v>0</v>
      </c>
      <c r="K3241" s="891"/>
      <c r="L3241" s="891">
        <f>SUM(L3242:L3243)</f>
        <v>216702.5</v>
      </c>
      <c r="M3241" s="891"/>
      <c r="N3241" s="891">
        <f>SUM(N3242:N3243)</f>
        <v>0</v>
      </c>
      <c r="O3241" s="892">
        <f t="shared" si="204"/>
        <v>1</v>
      </c>
      <c r="P3241" s="903">
        <f t="shared" si="205"/>
        <v>0</v>
      </c>
      <c r="Q3241" s="893">
        <f t="shared" si="206"/>
        <v>0</v>
      </c>
      <c r="R3241" s="894">
        <f t="shared" si="207"/>
        <v>2</v>
      </c>
    </row>
    <row r="3242" spans="1:18" s="904" customFormat="1">
      <c r="A3242" s="895"/>
      <c r="B3242" s="896"/>
      <c r="C3242" s="897"/>
      <c r="D3242" s="897"/>
      <c r="E3242" s="924" t="s">
        <v>276</v>
      </c>
      <c r="F3242" s="927"/>
      <c r="G3242" s="928"/>
      <c r="H3242" s="901"/>
      <c r="I3242" s="902"/>
      <c r="J3242" s="902"/>
      <c r="K3242" s="912" t="s">
        <v>274</v>
      </c>
      <c r="L3242" s="902"/>
      <c r="M3242" s="902"/>
      <c r="N3242" s="902"/>
      <c r="O3242" s="892">
        <f t="shared" si="204"/>
        <v>0</v>
      </c>
      <c r="P3242" s="903">
        <f t="shared" si="205"/>
        <v>1</v>
      </c>
      <c r="Q3242" s="893">
        <f t="shared" si="206"/>
        <v>2</v>
      </c>
      <c r="R3242" s="894">
        <f t="shared" si="207"/>
        <v>0</v>
      </c>
    </row>
    <row r="3243" spans="1:18">
      <c r="A3243" s="905"/>
      <c r="B3243" s="906"/>
      <c r="C3243" s="907">
        <v>740</v>
      </c>
      <c r="D3243" s="907" t="s">
        <v>12</v>
      </c>
      <c r="E3243" s="908" t="s">
        <v>4008</v>
      </c>
      <c r="F3243" s="909" t="s">
        <v>2674</v>
      </c>
      <c r="G3243" s="910"/>
      <c r="H3243" s="911">
        <v>0.98</v>
      </c>
      <c r="I3243" s="912"/>
      <c r="J3243" s="912"/>
      <c r="K3243" s="912">
        <f>VLOOKUP(E3243,[5]ĐMNC!$A$7:$F$67,4,0)</f>
        <v>221125</v>
      </c>
      <c r="L3243" s="912">
        <f>H3243*K3243</f>
        <v>216702.5</v>
      </c>
      <c r="M3243" s="912"/>
      <c r="N3243" s="912"/>
      <c r="O3243" s="892">
        <f t="shared" si="204"/>
        <v>0</v>
      </c>
      <c r="P3243" s="903">
        <f t="shared" si="205"/>
        <v>1</v>
      </c>
      <c r="Q3243" s="893">
        <f t="shared" si="206"/>
        <v>1</v>
      </c>
      <c r="R3243" s="894">
        <f t="shared" si="207"/>
        <v>0</v>
      </c>
    </row>
    <row r="3244" spans="1:18" s="847" customFormat="1">
      <c r="A3244" s="905"/>
      <c r="B3244" s="914" t="s">
        <v>5057</v>
      </c>
      <c r="C3244" s="915"/>
      <c r="D3244" s="915"/>
      <c r="E3244" s="916" t="s">
        <v>5058</v>
      </c>
      <c r="F3244" s="917" t="s">
        <v>139</v>
      </c>
      <c r="G3244" s="918"/>
      <c r="H3244" s="919"/>
      <c r="I3244" s="920"/>
      <c r="J3244" s="891">
        <f>SUM(J3245:J3246)</f>
        <v>0</v>
      </c>
      <c r="K3244" s="891"/>
      <c r="L3244" s="891">
        <f>SUM(L3245:L3246)</f>
        <v>249871.24999999997</v>
      </c>
      <c r="M3244" s="891"/>
      <c r="N3244" s="891">
        <f>SUM(N3245:N3246)</f>
        <v>0</v>
      </c>
      <c r="O3244" s="892">
        <f t="shared" si="204"/>
        <v>1</v>
      </c>
      <c r="P3244" s="903">
        <f t="shared" si="205"/>
        <v>0</v>
      </c>
      <c r="Q3244" s="893">
        <f t="shared" si="206"/>
        <v>0</v>
      </c>
      <c r="R3244" s="894">
        <f t="shared" si="207"/>
        <v>2</v>
      </c>
    </row>
    <row r="3245" spans="1:18" s="904" customFormat="1">
      <c r="A3245" s="895"/>
      <c r="B3245" s="896"/>
      <c r="C3245" s="897"/>
      <c r="D3245" s="897"/>
      <c r="E3245" s="924" t="s">
        <v>276</v>
      </c>
      <c r="F3245" s="927"/>
      <c r="G3245" s="928"/>
      <c r="H3245" s="901"/>
      <c r="I3245" s="902"/>
      <c r="J3245" s="902"/>
      <c r="K3245" s="912" t="s">
        <v>274</v>
      </c>
      <c r="L3245" s="902"/>
      <c r="M3245" s="902"/>
      <c r="N3245" s="902"/>
      <c r="O3245" s="892">
        <f t="shared" si="204"/>
        <v>0</v>
      </c>
      <c r="P3245" s="903">
        <f t="shared" si="205"/>
        <v>1</v>
      </c>
      <c r="Q3245" s="893">
        <f t="shared" si="206"/>
        <v>2</v>
      </c>
      <c r="R3245" s="894">
        <f t="shared" si="207"/>
        <v>0</v>
      </c>
    </row>
    <row r="3246" spans="1:18">
      <c r="A3246" s="905"/>
      <c r="B3246" s="906"/>
      <c r="C3246" s="907">
        <v>740</v>
      </c>
      <c r="D3246" s="907" t="s">
        <v>12</v>
      </c>
      <c r="E3246" s="908" t="s">
        <v>4008</v>
      </c>
      <c r="F3246" s="909" t="s">
        <v>2674</v>
      </c>
      <c r="G3246" s="910"/>
      <c r="H3246" s="911">
        <v>1.1299999999999999</v>
      </c>
      <c r="I3246" s="912"/>
      <c r="J3246" s="912"/>
      <c r="K3246" s="912">
        <f>VLOOKUP(E3246,[5]ĐMNC!$A$7:$F$67,4,0)</f>
        <v>221125</v>
      </c>
      <c r="L3246" s="912">
        <f>H3246*K3246</f>
        <v>249871.24999999997</v>
      </c>
      <c r="M3246" s="912"/>
      <c r="N3246" s="912"/>
      <c r="O3246" s="892">
        <f t="shared" si="204"/>
        <v>0</v>
      </c>
      <c r="P3246" s="903">
        <f t="shared" si="205"/>
        <v>1</v>
      </c>
      <c r="Q3246" s="893">
        <f t="shared" si="206"/>
        <v>1</v>
      </c>
      <c r="R3246" s="894">
        <f t="shared" si="207"/>
        <v>0</v>
      </c>
    </row>
    <row r="3247" spans="1:18" s="847" customFormat="1">
      <c r="A3247" s="905"/>
      <c r="B3247" s="914" t="s">
        <v>5059</v>
      </c>
      <c r="C3247" s="915"/>
      <c r="D3247" s="915"/>
      <c r="E3247" s="916" t="s">
        <v>5060</v>
      </c>
      <c r="F3247" s="917" t="s">
        <v>139</v>
      </c>
      <c r="G3247" s="918"/>
      <c r="H3247" s="919"/>
      <c r="I3247" s="920"/>
      <c r="J3247" s="891">
        <f>SUM(J3248:J3249)</f>
        <v>0</v>
      </c>
      <c r="K3247" s="891"/>
      <c r="L3247" s="891">
        <f>SUM(L3248:L3249)</f>
        <v>287462.5</v>
      </c>
      <c r="M3247" s="891"/>
      <c r="N3247" s="891">
        <f>SUM(N3248:N3249)</f>
        <v>0</v>
      </c>
      <c r="O3247" s="892">
        <f t="shared" si="204"/>
        <v>1</v>
      </c>
      <c r="P3247" s="903">
        <f t="shared" si="205"/>
        <v>0</v>
      </c>
      <c r="Q3247" s="893">
        <f t="shared" si="206"/>
        <v>0</v>
      </c>
      <c r="R3247" s="894">
        <f t="shared" si="207"/>
        <v>2</v>
      </c>
    </row>
    <row r="3248" spans="1:18" s="904" customFormat="1">
      <c r="A3248" s="895"/>
      <c r="B3248" s="896"/>
      <c r="C3248" s="897"/>
      <c r="D3248" s="897"/>
      <c r="E3248" s="924" t="s">
        <v>276</v>
      </c>
      <c r="F3248" s="927"/>
      <c r="G3248" s="928"/>
      <c r="H3248" s="901"/>
      <c r="I3248" s="902"/>
      <c r="J3248" s="902"/>
      <c r="K3248" s="912" t="s">
        <v>274</v>
      </c>
      <c r="L3248" s="902"/>
      <c r="M3248" s="902"/>
      <c r="N3248" s="902"/>
      <c r="O3248" s="892">
        <f t="shared" si="204"/>
        <v>0</v>
      </c>
      <c r="P3248" s="903">
        <f t="shared" si="205"/>
        <v>1</v>
      </c>
      <c r="Q3248" s="893">
        <f t="shared" si="206"/>
        <v>2</v>
      </c>
      <c r="R3248" s="894">
        <f t="shared" si="207"/>
        <v>0</v>
      </c>
    </row>
    <row r="3249" spans="1:18">
      <c r="A3249" s="905"/>
      <c r="B3249" s="906"/>
      <c r="C3249" s="907">
        <v>740</v>
      </c>
      <c r="D3249" s="907" t="s">
        <v>12</v>
      </c>
      <c r="E3249" s="908" t="s">
        <v>4008</v>
      </c>
      <c r="F3249" s="909" t="s">
        <v>2674</v>
      </c>
      <c r="G3249" s="910"/>
      <c r="H3249" s="911">
        <v>1.3</v>
      </c>
      <c r="I3249" s="912"/>
      <c r="J3249" s="912"/>
      <c r="K3249" s="912">
        <f>VLOOKUP(E3249,[5]ĐMNC!$A$7:$F$67,4,0)</f>
        <v>221125</v>
      </c>
      <c r="L3249" s="912">
        <f>H3249*K3249</f>
        <v>287462.5</v>
      </c>
      <c r="M3249" s="912"/>
      <c r="N3249" s="912"/>
      <c r="O3249" s="892">
        <f t="shared" si="204"/>
        <v>0</v>
      </c>
      <c r="P3249" s="903">
        <f t="shared" si="205"/>
        <v>1</v>
      </c>
      <c r="Q3249" s="893">
        <f t="shared" si="206"/>
        <v>1</v>
      </c>
      <c r="R3249" s="894">
        <f t="shared" si="207"/>
        <v>0</v>
      </c>
    </row>
    <row r="3250" spans="1:18" s="847" customFormat="1">
      <c r="A3250" s="905"/>
      <c r="B3250" s="914" t="s">
        <v>5061</v>
      </c>
      <c r="C3250" s="915"/>
      <c r="D3250" s="915"/>
      <c r="E3250" s="916" t="s">
        <v>5062</v>
      </c>
      <c r="F3250" s="917" t="s">
        <v>139</v>
      </c>
      <c r="G3250" s="918"/>
      <c r="H3250" s="919"/>
      <c r="I3250" s="920"/>
      <c r="J3250" s="891">
        <f>SUM(J3251:J3252)</f>
        <v>0</v>
      </c>
      <c r="K3250" s="891"/>
      <c r="L3250" s="891">
        <f>SUM(L3251:L3252)</f>
        <v>331687.5</v>
      </c>
      <c r="M3250" s="891"/>
      <c r="N3250" s="891">
        <f>SUM(N3251:N3252)</f>
        <v>0</v>
      </c>
      <c r="O3250" s="892">
        <f t="shared" si="204"/>
        <v>1</v>
      </c>
      <c r="P3250" s="903">
        <f t="shared" si="205"/>
        <v>0</v>
      </c>
      <c r="Q3250" s="893">
        <f t="shared" si="206"/>
        <v>0</v>
      </c>
      <c r="R3250" s="894">
        <f t="shared" si="207"/>
        <v>2</v>
      </c>
    </row>
    <row r="3251" spans="1:18" s="904" customFormat="1">
      <c r="A3251" s="895"/>
      <c r="B3251" s="896"/>
      <c r="C3251" s="897"/>
      <c r="D3251" s="897"/>
      <c r="E3251" s="924" t="s">
        <v>276</v>
      </c>
      <c r="F3251" s="927"/>
      <c r="G3251" s="928"/>
      <c r="H3251" s="901"/>
      <c r="I3251" s="902"/>
      <c r="J3251" s="902"/>
      <c r="K3251" s="912" t="s">
        <v>274</v>
      </c>
      <c r="L3251" s="902"/>
      <c r="M3251" s="902"/>
      <c r="N3251" s="902"/>
      <c r="O3251" s="892">
        <f t="shared" si="204"/>
        <v>0</v>
      </c>
      <c r="P3251" s="903">
        <f t="shared" si="205"/>
        <v>1</v>
      </c>
      <c r="Q3251" s="893">
        <f t="shared" si="206"/>
        <v>2</v>
      </c>
      <c r="R3251" s="894">
        <f t="shared" si="207"/>
        <v>0</v>
      </c>
    </row>
    <row r="3252" spans="1:18">
      <c r="A3252" s="905"/>
      <c r="B3252" s="906"/>
      <c r="C3252" s="907">
        <v>740</v>
      </c>
      <c r="D3252" s="907" t="s">
        <v>12</v>
      </c>
      <c r="E3252" s="908" t="s">
        <v>4008</v>
      </c>
      <c r="F3252" s="909" t="s">
        <v>2674</v>
      </c>
      <c r="G3252" s="910"/>
      <c r="H3252" s="911">
        <v>1.5</v>
      </c>
      <c r="I3252" s="912"/>
      <c r="J3252" s="912"/>
      <c r="K3252" s="912">
        <f>VLOOKUP(E3252,[5]ĐMNC!$A$7:$F$67,4,0)</f>
        <v>221125</v>
      </c>
      <c r="L3252" s="912">
        <f>H3252*K3252</f>
        <v>331687.5</v>
      </c>
      <c r="M3252" s="912"/>
      <c r="N3252" s="912"/>
      <c r="O3252" s="892">
        <f t="shared" si="204"/>
        <v>0</v>
      </c>
      <c r="P3252" s="903">
        <f t="shared" si="205"/>
        <v>1</v>
      </c>
      <c r="Q3252" s="893">
        <f t="shared" si="206"/>
        <v>1</v>
      </c>
      <c r="R3252" s="894">
        <f t="shared" si="207"/>
        <v>0</v>
      </c>
    </row>
    <row r="3253" spans="1:18" s="847" customFormat="1">
      <c r="A3253" s="905"/>
      <c r="B3253" s="914" t="s">
        <v>5063</v>
      </c>
      <c r="C3253" s="915"/>
      <c r="D3253" s="915"/>
      <c r="E3253" s="916" t="s">
        <v>5064</v>
      </c>
      <c r="F3253" s="917" t="s">
        <v>139</v>
      </c>
      <c r="G3253" s="918"/>
      <c r="H3253" s="919"/>
      <c r="I3253" s="920"/>
      <c r="J3253" s="891">
        <f>SUM(J3254:J3255)</f>
        <v>0</v>
      </c>
      <c r="K3253" s="891"/>
      <c r="L3253" s="891">
        <f>SUM(L3254:L3255)</f>
        <v>258716.24999999997</v>
      </c>
      <c r="M3253" s="891"/>
      <c r="N3253" s="891">
        <f>SUM(N3254:N3255)</f>
        <v>0</v>
      </c>
      <c r="O3253" s="892">
        <f t="shared" si="204"/>
        <v>1</v>
      </c>
      <c r="P3253" s="903">
        <f t="shared" si="205"/>
        <v>0</v>
      </c>
      <c r="Q3253" s="893">
        <f t="shared" si="206"/>
        <v>0</v>
      </c>
      <c r="R3253" s="894">
        <f t="shared" si="207"/>
        <v>2</v>
      </c>
    </row>
    <row r="3254" spans="1:18" s="904" customFormat="1">
      <c r="A3254" s="895"/>
      <c r="B3254" s="896"/>
      <c r="C3254" s="897"/>
      <c r="D3254" s="897"/>
      <c r="E3254" s="924" t="s">
        <v>276</v>
      </c>
      <c r="F3254" s="927"/>
      <c r="G3254" s="928"/>
      <c r="H3254" s="901"/>
      <c r="I3254" s="902"/>
      <c r="J3254" s="902"/>
      <c r="K3254" s="912" t="s">
        <v>274</v>
      </c>
      <c r="L3254" s="902"/>
      <c r="M3254" s="902"/>
      <c r="N3254" s="902"/>
      <c r="O3254" s="892">
        <f t="shared" si="204"/>
        <v>0</v>
      </c>
      <c r="P3254" s="903">
        <f t="shared" si="205"/>
        <v>1</v>
      </c>
      <c r="Q3254" s="893">
        <f t="shared" si="206"/>
        <v>2</v>
      </c>
      <c r="R3254" s="894">
        <f t="shared" si="207"/>
        <v>0</v>
      </c>
    </row>
    <row r="3255" spans="1:18">
      <c r="A3255" s="905"/>
      <c r="B3255" s="906"/>
      <c r="C3255" s="907">
        <v>740</v>
      </c>
      <c r="D3255" s="907" t="s">
        <v>12</v>
      </c>
      <c r="E3255" s="908" t="s">
        <v>4008</v>
      </c>
      <c r="F3255" s="909" t="s">
        <v>2674</v>
      </c>
      <c r="G3255" s="910"/>
      <c r="H3255" s="911">
        <v>1.17</v>
      </c>
      <c r="I3255" s="912"/>
      <c r="J3255" s="912"/>
      <c r="K3255" s="912">
        <f>VLOOKUP(E3255,[5]ĐMNC!$A$7:$F$67,4,0)</f>
        <v>221125</v>
      </c>
      <c r="L3255" s="912">
        <f>H3255*K3255</f>
        <v>258716.24999999997</v>
      </c>
      <c r="M3255" s="912"/>
      <c r="N3255" s="912"/>
      <c r="O3255" s="892">
        <f t="shared" si="204"/>
        <v>0</v>
      </c>
      <c r="P3255" s="903">
        <f t="shared" si="205"/>
        <v>1</v>
      </c>
      <c r="Q3255" s="893">
        <f t="shared" si="206"/>
        <v>1</v>
      </c>
      <c r="R3255" s="894">
        <f t="shared" si="207"/>
        <v>0</v>
      </c>
    </row>
    <row r="3256" spans="1:18" s="847" customFormat="1">
      <c r="A3256" s="905" t="s">
        <v>4997</v>
      </c>
      <c r="B3256" s="914" t="s">
        <v>5065</v>
      </c>
      <c r="C3256" s="915"/>
      <c r="D3256" s="915"/>
      <c r="E3256" s="916" t="s">
        <v>5066</v>
      </c>
      <c r="F3256" s="917" t="s">
        <v>139</v>
      </c>
      <c r="G3256" s="918"/>
      <c r="H3256" s="919"/>
      <c r="I3256" s="920"/>
      <c r="J3256" s="891">
        <f>SUM(J3257:J3258)</f>
        <v>0</v>
      </c>
      <c r="K3256" s="891"/>
      <c r="L3256" s="891">
        <f>SUM(L3257:L3258)</f>
        <v>271983.75</v>
      </c>
      <c r="M3256" s="891"/>
      <c r="N3256" s="891">
        <f>SUM(N3257:N3258)</f>
        <v>0</v>
      </c>
      <c r="O3256" s="892">
        <f t="shared" si="204"/>
        <v>1</v>
      </c>
      <c r="P3256" s="903">
        <f t="shared" si="205"/>
        <v>0</v>
      </c>
      <c r="Q3256" s="893">
        <f t="shared" si="206"/>
        <v>0</v>
      </c>
      <c r="R3256" s="894">
        <f t="shared" si="207"/>
        <v>2</v>
      </c>
    </row>
    <row r="3257" spans="1:18" s="904" customFormat="1">
      <c r="A3257" s="895"/>
      <c r="B3257" s="896"/>
      <c r="C3257" s="897"/>
      <c r="D3257" s="897"/>
      <c r="E3257" s="924" t="s">
        <v>276</v>
      </c>
      <c r="F3257" s="927"/>
      <c r="G3257" s="928"/>
      <c r="H3257" s="901"/>
      <c r="I3257" s="902"/>
      <c r="J3257" s="902"/>
      <c r="K3257" s="912" t="s">
        <v>274</v>
      </c>
      <c r="L3257" s="902"/>
      <c r="M3257" s="902"/>
      <c r="N3257" s="902"/>
      <c r="O3257" s="892">
        <f t="shared" si="204"/>
        <v>0</v>
      </c>
      <c r="P3257" s="903">
        <f t="shared" si="205"/>
        <v>1</v>
      </c>
      <c r="Q3257" s="893">
        <f t="shared" si="206"/>
        <v>2</v>
      </c>
      <c r="R3257" s="894">
        <f t="shared" si="207"/>
        <v>0</v>
      </c>
    </row>
    <row r="3258" spans="1:18">
      <c r="A3258" s="905"/>
      <c r="B3258" s="906"/>
      <c r="C3258" s="907">
        <v>740</v>
      </c>
      <c r="D3258" s="907" t="s">
        <v>12</v>
      </c>
      <c r="E3258" s="908" t="s">
        <v>4008</v>
      </c>
      <c r="F3258" s="909" t="s">
        <v>2674</v>
      </c>
      <c r="G3258" s="910"/>
      <c r="H3258" s="911">
        <v>1.23</v>
      </c>
      <c r="I3258" s="912"/>
      <c r="J3258" s="912"/>
      <c r="K3258" s="912">
        <f>VLOOKUP(E3258,[5]ĐMNC!$A$7:$F$67,4,0)</f>
        <v>221125</v>
      </c>
      <c r="L3258" s="912">
        <f>H3258*K3258</f>
        <v>271983.75</v>
      </c>
      <c r="M3258" s="912"/>
      <c r="N3258" s="912"/>
      <c r="O3258" s="892">
        <f t="shared" si="204"/>
        <v>0</v>
      </c>
      <c r="P3258" s="903">
        <f t="shared" si="205"/>
        <v>1</v>
      </c>
      <c r="Q3258" s="893">
        <f t="shared" si="206"/>
        <v>1</v>
      </c>
      <c r="R3258" s="894">
        <f t="shared" si="207"/>
        <v>0</v>
      </c>
    </row>
    <row r="3259" spans="1:18" s="847" customFormat="1">
      <c r="A3259" s="905" t="s">
        <v>4997</v>
      </c>
      <c r="B3259" s="914" t="s">
        <v>5067</v>
      </c>
      <c r="C3259" s="915"/>
      <c r="D3259" s="915"/>
      <c r="E3259" s="916" t="s">
        <v>5068</v>
      </c>
      <c r="F3259" s="917" t="s">
        <v>139</v>
      </c>
      <c r="G3259" s="918"/>
      <c r="H3259" s="919"/>
      <c r="I3259" s="920"/>
      <c r="J3259" s="891">
        <f>SUM(J3260:J3261)</f>
        <v>0</v>
      </c>
      <c r="K3259" s="891"/>
      <c r="L3259" s="891">
        <f>SUM(L3260:L3261)</f>
        <v>305152.5</v>
      </c>
      <c r="M3259" s="891"/>
      <c r="N3259" s="891">
        <f>SUM(N3260:N3261)</f>
        <v>0</v>
      </c>
      <c r="O3259" s="892">
        <f t="shared" si="204"/>
        <v>1</v>
      </c>
      <c r="P3259" s="903">
        <f t="shared" si="205"/>
        <v>0</v>
      </c>
      <c r="Q3259" s="893">
        <f t="shared" si="206"/>
        <v>0</v>
      </c>
      <c r="R3259" s="894">
        <f t="shared" si="207"/>
        <v>2</v>
      </c>
    </row>
    <row r="3260" spans="1:18" s="904" customFormat="1">
      <c r="A3260" s="895"/>
      <c r="B3260" s="896"/>
      <c r="C3260" s="897"/>
      <c r="D3260" s="897"/>
      <c r="E3260" s="924" t="s">
        <v>276</v>
      </c>
      <c r="F3260" s="927"/>
      <c r="G3260" s="928"/>
      <c r="H3260" s="901"/>
      <c r="I3260" s="902"/>
      <c r="J3260" s="902"/>
      <c r="K3260" s="912" t="s">
        <v>274</v>
      </c>
      <c r="L3260" s="902"/>
      <c r="M3260" s="902"/>
      <c r="N3260" s="902"/>
      <c r="O3260" s="892">
        <f t="shared" si="204"/>
        <v>0</v>
      </c>
      <c r="P3260" s="903">
        <f t="shared" si="205"/>
        <v>1</v>
      </c>
      <c r="Q3260" s="893">
        <f t="shared" si="206"/>
        <v>2</v>
      </c>
      <c r="R3260" s="894">
        <f t="shared" si="207"/>
        <v>0</v>
      </c>
    </row>
    <row r="3261" spans="1:18">
      <c r="A3261" s="905"/>
      <c r="B3261" s="906"/>
      <c r="C3261" s="907">
        <v>740</v>
      </c>
      <c r="D3261" s="907" t="s">
        <v>12</v>
      </c>
      <c r="E3261" s="908" t="s">
        <v>4008</v>
      </c>
      <c r="F3261" s="909" t="s">
        <v>2674</v>
      </c>
      <c r="G3261" s="910"/>
      <c r="H3261" s="911">
        <v>1.38</v>
      </c>
      <c r="I3261" s="912"/>
      <c r="J3261" s="912"/>
      <c r="K3261" s="912">
        <f>VLOOKUP(E3261,[5]ĐMNC!$A$7:$F$67,4,0)</f>
        <v>221125</v>
      </c>
      <c r="L3261" s="912">
        <f>H3261*K3261</f>
        <v>305152.5</v>
      </c>
      <c r="M3261" s="912"/>
      <c r="N3261" s="912"/>
      <c r="O3261" s="892">
        <f t="shared" si="204"/>
        <v>0</v>
      </c>
      <c r="P3261" s="903">
        <f t="shared" si="205"/>
        <v>1</v>
      </c>
      <c r="Q3261" s="893">
        <f t="shared" si="206"/>
        <v>1</v>
      </c>
      <c r="R3261" s="894">
        <f t="shared" si="207"/>
        <v>0</v>
      </c>
    </row>
    <row r="3262" spans="1:18" s="847" customFormat="1">
      <c r="A3262" s="905"/>
      <c r="B3262" s="914" t="s">
        <v>5069</v>
      </c>
      <c r="C3262" s="915"/>
      <c r="D3262" s="915"/>
      <c r="E3262" s="916" t="s">
        <v>5070</v>
      </c>
      <c r="F3262" s="917" t="s">
        <v>139</v>
      </c>
      <c r="G3262" s="918"/>
      <c r="H3262" s="919"/>
      <c r="I3262" s="920"/>
      <c r="J3262" s="891">
        <f>SUM(J3263:J3264)</f>
        <v>0</v>
      </c>
      <c r="K3262" s="891"/>
      <c r="L3262" s="891">
        <f>SUM(L3263:L3264)</f>
        <v>342743.75</v>
      </c>
      <c r="M3262" s="891"/>
      <c r="N3262" s="891">
        <f>SUM(N3263:N3264)</f>
        <v>0</v>
      </c>
      <c r="O3262" s="892">
        <f t="shared" si="204"/>
        <v>1</v>
      </c>
      <c r="P3262" s="903">
        <f t="shared" si="205"/>
        <v>0</v>
      </c>
      <c r="Q3262" s="893">
        <f t="shared" si="206"/>
        <v>0</v>
      </c>
      <c r="R3262" s="894">
        <f t="shared" si="207"/>
        <v>2</v>
      </c>
    </row>
    <row r="3263" spans="1:18" s="904" customFormat="1">
      <c r="A3263" s="895"/>
      <c r="B3263" s="896"/>
      <c r="C3263" s="897"/>
      <c r="D3263" s="897"/>
      <c r="E3263" s="924" t="s">
        <v>276</v>
      </c>
      <c r="F3263" s="927"/>
      <c r="G3263" s="928"/>
      <c r="H3263" s="901"/>
      <c r="I3263" s="902"/>
      <c r="J3263" s="902"/>
      <c r="K3263" s="912" t="s">
        <v>274</v>
      </c>
      <c r="L3263" s="902"/>
      <c r="M3263" s="902"/>
      <c r="N3263" s="902"/>
      <c r="O3263" s="892">
        <f t="shared" si="204"/>
        <v>0</v>
      </c>
      <c r="P3263" s="903">
        <f t="shared" si="205"/>
        <v>1</v>
      </c>
      <c r="Q3263" s="893">
        <f t="shared" si="206"/>
        <v>2</v>
      </c>
      <c r="R3263" s="894">
        <f t="shared" si="207"/>
        <v>0</v>
      </c>
    </row>
    <row r="3264" spans="1:18">
      <c r="A3264" s="905"/>
      <c r="B3264" s="906"/>
      <c r="C3264" s="907">
        <v>740</v>
      </c>
      <c r="D3264" s="907" t="s">
        <v>12</v>
      </c>
      <c r="E3264" s="908" t="s">
        <v>4008</v>
      </c>
      <c r="F3264" s="909" t="s">
        <v>2674</v>
      </c>
      <c r="G3264" s="910"/>
      <c r="H3264" s="911">
        <v>1.55</v>
      </c>
      <c r="I3264" s="912"/>
      <c r="J3264" s="912"/>
      <c r="K3264" s="912">
        <f>VLOOKUP(E3264,[5]ĐMNC!$A$7:$F$67,4,0)</f>
        <v>221125</v>
      </c>
      <c r="L3264" s="912">
        <f>H3264*K3264</f>
        <v>342743.75</v>
      </c>
      <c r="M3264" s="912"/>
      <c r="N3264" s="912"/>
      <c r="O3264" s="892">
        <f t="shared" si="204"/>
        <v>0</v>
      </c>
      <c r="P3264" s="903">
        <f t="shared" si="205"/>
        <v>1</v>
      </c>
      <c r="Q3264" s="893">
        <f t="shared" si="206"/>
        <v>1</v>
      </c>
      <c r="R3264" s="894">
        <f t="shared" si="207"/>
        <v>0</v>
      </c>
    </row>
    <row r="3265" spans="1:18" s="847" customFormat="1">
      <c r="A3265" s="905"/>
      <c r="B3265" s="914" t="s">
        <v>5071</v>
      </c>
      <c r="C3265" s="915"/>
      <c r="D3265" s="915"/>
      <c r="E3265" s="916" t="s">
        <v>5072</v>
      </c>
      <c r="F3265" s="917" t="s">
        <v>139</v>
      </c>
      <c r="G3265" s="918"/>
      <c r="H3265" s="919"/>
      <c r="I3265" s="920"/>
      <c r="J3265" s="891">
        <f>SUM(J3266:J3267)</f>
        <v>0</v>
      </c>
      <c r="K3265" s="891"/>
      <c r="L3265" s="891">
        <f>SUM(L3266:L3267)</f>
        <v>406870</v>
      </c>
      <c r="M3265" s="891"/>
      <c r="N3265" s="891">
        <f>SUM(N3266:N3267)</f>
        <v>0</v>
      </c>
      <c r="O3265" s="892">
        <f t="shared" si="204"/>
        <v>1</v>
      </c>
      <c r="P3265" s="903">
        <f t="shared" si="205"/>
        <v>0</v>
      </c>
      <c r="Q3265" s="893">
        <f t="shared" si="206"/>
        <v>0</v>
      </c>
      <c r="R3265" s="894">
        <f t="shared" si="207"/>
        <v>2</v>
      </c>
    </row>
    <row r="3266" spans="1:18" s="904" customFormat="1">
      <c r="A3266" s="895"/>
      <c r="B3266" s="896"/>
      <c r="C3266" s="897"/>
      <c r="D3266" s="897"/>
      <c r="E3266" s="924" t="s">
        <v>276</v>
      </c>
      <c r="F3266" s="927"/>
      <c r="G3266" s="928"/>
      <c r="H3266" s="901"/>
      <c r="I3266" s="902"/>
      <c r="J3266" s="902"/>
      <c r="K3266" s="912" t="s">
        <v>274</v>
      </c>
      <c r="L3266" s="902"/>
      <c r="M3266" s="902"/>
      <c r="N3266" s="902"/>
      <c r="O3266" s="892">
        <f t="shared" si="204"/>
        <v>0</v>
      </c>
      <c r="P3266" s="903">
        <f t="shared" si="205"/>
        <v>1</v>
      </c>
      <c r="Q3266" s="893">
        <f t="shared" si="206"/>
        <v>2</v>
      </c>
      <c r="R3266" s="894">
        <f t="shared" si="207"/>
        <v>0</v>
      </c>
    </row>
    <row r="3267" spans="1:18">
      <c r="A3267" s="905"/>
      <c r="B3267" s="906"/>
      <c r="C3267" s="907">
        <v>740</v>
      </c>
      <c r="D3267" s="907" t="s">
        <v>12</v>
      </c>
      <c r="E3267" s="908" t="s">
        <v>4008</v>
      </c>
      <c r="F3267" s="909" t="s">
        <v>2674</v>
      </c>
      <c r="G3267" s="910"/>
      <c r="H3267" s="911">
        <v>1.84</v>
      </c>
      <c r="I3267" s="912"/>
      <c r="J3267" s="912"/>
      <c r="K3267" s="912">
        <f>VLOOKUP(E3267,[5]ĐMNC!$A$7:$F$67,4,0)</f>
        <v>221125</v>
      </c>
      <c r="L3267" s="912">
        <f>H3267*K3267</f>
        <v>406870</v>
      </c>
      <c r="M3267" s="912"/>
      <c r="N3267" s="912"/>
      <c r="O3267" s="892">
        <f t="shared" si="204"/>
        <v>0</v>
      </c>
      <c r="P3267" s="903">
        <f t="shared" si="205"/>
        <v>1</v>
      </c>
      <c r="Q3267" s="893">
        <f t="shared" si="206"/>
        <v>1</v>
      </c>
      <c r="R3267" s="894">
        <f t="shared" si="207"/>
        <v>0</v>
      </c>
    </row>
    <row r="3268" spans="1:18" s="847" customFormat="1">
      <c r="A3268" s="905"/>
      <c r="B3268" s="914" t="s">
        <v>5073</v>
      </c>
      <c r="C3268" s="915"/>
      <c r="D3268" s="915"/>
      <c r="E3268" s="916" t="s">
        <v>5074</v>
      </c>
      <c r="F3268" s="917" t="s">
        <v>139</v>
      </c>
      <c r="G3268" s="918"/>
      <c r="H3268" s="919"/>
      <c r="I3268" s="920"/>
      <c r="J3268" s="891">
        <f>SUM(J3269:J3270)</f>
        <v>0</v>
      </c>
      <c r="K3268" s="891"/>
      <c r="L3268" s="891">
        <f>SUM(L3269:L3270)</f>
        <v>446672.5</v>
      </c>
      <c r="M3268" s="891"/>
      <c r="N3268" s="891">
        <f>SUM(N3269:N3270)</f>
        <v>0</v>
      </c>
      <c r="O3268" s="892">
        <f t="shared" si="204"/>
        <v>1</v>
      </c>
      <c r="P3268" s="903">
        <f t="shared" si="205"/>
        <v>0</v>
      </c>
      <c r="Q3268" s="893">
        <f t="shared" si="206"/>
        <v>0</v>
      </c>
      <c r="R3268" s="894">
        <f t="shared" si="207"/>
        <v>2</v>
      </c>
    </row>
    <row r="3269" spans="1:18" s="904" customFormat="1">
      <c r="A3269" s="895"/>
      <c r="B3269" s="896"/>
      <c r="C3269" s="897"/>
      <c r="D3269" s="897"/>
      <c r="E3269" s="924" t="s">
        <v>276</v>
      </c>
      <c r="F3269" s="927"/>
      <c r="G3269" s="928"/>
      <c r="H3269" s="901"/>
      <c r="I3269" s="902"/>
      <c r="J3269" s="902"/>
      <c r="K3269" s="912" t="s">
        <v>274</v>
      </c>
      <c r="L3269" s="902"/>
      <c r="M3269" s="902"/>
      <c r="N3269" s="902"/>
      <c r="O3269" s="892">
        <f t="shared" si="204"/>
        <v>0</v>
      </c>
      <c r="P3269" s="903">
        <f t="shared" si="205"/>
        <v>1</v>
      </c>
      <c r="Q3269" s="893">
        <f t="shared" si="206"/>
        <v>2</v>
      </c>
      <c r="R3269" s="894">
        <f t="shared" si="207"/>
        <v>0</v>
      </c>
    </row>
    <row r="3270" spans="1:18">
      <c r="A3270" s="905"/>
      <c r="B3270" s="906"/>
      <c r="C3270" s="907">
        <v>740</v>
      </c>
      <c r="D3270" s="907" t="s">
        <v>12</v>
      </c>
      <c r="E3270" s="908" t="s">
        <v>4008</v>
      </c>
      <c r="F3270" s="909" t="s">
        <v>2674</v>
      </c>
      <c r="G3270" s="910"/>
      <c r="H3270" s="911">
        <v>2.02</v>
      </c>
      <c r="I3270" s="912"/>
      <c r="J3270" s="912"/>
      <c r="K3270" s="912">
        <f>VLOOKUP(E3270,[5]ĐMNC!$A$7:$F$67,4,0)</f>
        <v>221125</v>
      </c>
      <c r="L3270" s="912">
        <f>H3270*K3270</f>
        <v>446672.5</v>
      </c>
      <c r="M3270" s="912"/>
      <c r="N3270" s="912"/>
      <c r="O3270" s="892">
        <f t="shared" si="204"/>
        <v>0</v>
      </c>
      <c r="P3270" s="903">
        <f t="shared" si="205"/>
        <v>1</v>
      </c>
      <c r="Q3270" s="893">
        <f t="shared" si="206"/>
        <v>1</v>
      </c>
      <c r="R3270" s="894">
        <f t="shared" si="207"/>
        <v>0</v>
      </c>
    </row>
    <row r="3271" spans="1:18" s="847" customFormat="1">
      <c r="A3271" s="905"/>
      <c r="B3271" s="914" t="s">
        <v>5075</v>
      </c>
      <c r="C3271" s="915"/>
      <c r="D3271" s="915"/>
      <c r="E3271" s="916" t="s">
        <v>5076</v>
      </c>
      <c r="F3271" s="917" t="s">
        <v>139</v>
      </c>
      <c r="G3271" s="918"/>
      <c r="H3271" s="919"/>
      <c r="I3271" s="920"/>
      <c r="J3271" s="891">
        <f>SUM(J3272:J3273)</f>
        <v>0</v>
      </c>
      <c r="K3271" s="891"/>
      <c r="L3271" s="891">
        <f>SUM(L3272:L3273)</f>
        <v>513009.99999999994</v>
      </c>
      <c r="M3271" s="891"/>
      <c r="N3271" s="891">
        <f>SUM(N3272:N3273)</f>
        <v>0</v>
      </c>
      <c r="O3271" s="892">
        <f t="shared" si="204"/>
        <v>1</v>
      </c>
      <c r="P3271" s="903">
        <f t="shared" si="205"/>
        <v>0</v>
      </c>
      <c r="Q3271" s="893">
        <f t="shared" si="206"/>
        <v>0</v>
      </c>
      <c r="R3271" s="894">
        <f t="shared" si="207"/>
        <v>2</v>
      </c>
    </row>
    <row r="3272" spans="1:18" s="904" customFormat="1">
      <c r="A3272" s="895"/>
      <c r="B3272" s="896"/>
      <c r="C3272" s="897"/>
      <c r="D3272" s="897"/>
      <c r="E3272" s="924" t="s">
        <v>276</v>
      </c>
      <c r="F3272" s="927"/>
      <c r="G3272" s="928"/>
      <c r="H3272" s="901"/>
      <c r="I3272" s="902"/>
      <c r="J3272" s="902"/>
      <c r="K3272" s="912" t="s">
        <v>274</v>
      </c>
      <c r="L3272" s="902"/>
      <c r="M3272" s="902"/>
      <c r="N3272" s="902"/>
      <c r="O3272" s="892">
        <f t="shared" si="204"/>
        <v>0</v>
      </c>
      <c r="P3272" s="903">
        <f t="shared" si="205"/>
        <v>1</v>
      </c>
      <c r="Q3272" s="893">
        <f t="shared" si="206"/>
        <v>2</v>
      </c>
      <c r="R3272" s="894">
        <f t="shared" si="207"/>
        <v>0</v>
      </c>
    </row>
    <row r="3273" spans="1:18">
      <c r="A3273" s="905"/>
      <c r="B3273" s="906"/>
      <c r="C3273" s="907">
        <v>740</v>
      </c>
      <c r="D3273" s="907" t="s">
        <v>12</v>
      </c>
      <c r="E3273" s="908" t="s">
        <v>4008</v>
      </c>
      <c r="F3273" s="909" t="s">
        <v>2674</v>
      </c>
      <c r="G3273" s="910"/>
      <c r="H3273" s="911">
        <v>2.3199999999999998</v>
      </c>
      <c r="I3273" s="912"/>
      <c r="J3273" s="912"/>
      <c r="K3273" s="912">
        <f>VLOOKUP(E3273,[5]ĐMNC!$A$7:$F$67,4,0)</f>
        <v>221125</v>
      </c>
      <c r="L3273" s="912">
        <f>H3273*K3273</f>
        <v>513009.99999999994</v>
      </c>
      <c r="M3273" s="912"/>
      <c r="N3273" s="912"/>
      <c r="O3273" s="892">
        <f t="shared" si="204"/>
        <v>0</v>
      </c>
      <c r="P3273" s="903">
        <f t="shared" si="205"/>
        <v>1</v>
      </c>
      <c r="Q3273" s="893">
        <f t="shared" si="206"/>
        <v>1</v>
      </c>
      <c r="R3273" s="894">
        <f t="shared" si="207"/>
        <v>0</v>
      </c>
    </row>
    <row r="3274" spans="1:18" s="847" customFormat="1">
      <c r="A3274" s="905"/>
      <c r="B3274" s="914" t="s">
        <v>5077</v>
      </c>
      <c r="C3274" s="915"/>
      <c r="D3274" s="915"/>
      <c r="E3274" s="916" t="s">
        <v>5078</v>
      </c>
      <c r="F3274" s="917" t="s">
        <v>139</v>
      </c>
      <c r="G3274" s="918"/>
      <c r="H3274" s="919"/>
      <c r="I3274" s="920"/>
      <c r="J3274" s="891">
        <f>SUM(J3275:J3276)</f>
        <v>0</v>
      </c>
      <c r="K3274" s="891"/>
      <c r="L3274" s="891">
        <f>SUM(L3275:L3276)</f>
        <v>570502.5</v>
      </c>
      <c r="M3274" s="891"/>
      <c r="N3274" s="891">
        <f>SUM(N3275:N3276)</f>
        <v>0</v>
      </c>
      <c r="O3274" s="892">
        <f t="shared" si="204"/>
        <v>1</v>
      </c>
      <c r="P3274" s="903">
        <f t="shared" si="205"/>
        <v>0</v>
      </c>
      <c r="Q3274" s="893">
        <f t="shared" si="206"/>
        <v>0</v>
      </c>
      <c r="R3274" s="894">
        <f t="shared" si="207"/>
        <v>2</v>
      </c>
    </row>
    <row r="3275" spans="1:18" s="904" customFormat="1">
      <c r="A3275" s="895"/>
      <c r="B3275" s="896"/>
      <c r="C3275" s="897"/>
      <c r="D3275" s="897"/>
      <c r="E3275" s="924" t="s">
        <v>276</v>
      </c>
      <c r="F3275" s="927"/>
      <c r="G3275" s="928"/>
      <c r="H3275" s="901"/>
      <c r="I3275" s="902"/>
      <c r="J3275" s="902"/>
      <c r="K3275" s="912" t="s">
        <v>274</v>
      </c>
      <c r="L3275" s="902"/>
      <c r="M3275" s="902"/>
      <c r="N3275" s="902"/>
      <c r="O3275" s="892">
        <f t="shared" si="204"/>
        <v>0</v>
      </c>
      <c r="P3275" s="903">
        <f t="shared" si="205"/>
        <v>1</v>
      </c>
      <c r="Q3275" s="893">
        <f t="shared" si="206"/>
        <v>2</v>
      </c>
      <c r="R3275" s="894">
        <f t="shared" si="207"/>
        <v>0</v>
      </c>
    </row>
    <row r="3276" spans="1:18">
      <c r="A3276" s="905"/>
      <c r="B3276" s="906"/>
      <c r="C3276" s="907">
        <v>740</v>
      </c>
      <c r="D3276" s="907" t="s">
        <v>12</v>
      </c>
      <c r="E3276" s="908" t="s">
        <v>4008</v>
      </c>
      <c r="F3276" s="909" t="s">
        <v>2674</v>
      </c>
      <c r="G3276" s="910"/>
      <c r="H3276" s="911">
        <v>2.58</v>
      </c>
      <c r="I3276" s="912"/>
      <c r="J3276" s="912"/>
      <c r="K3276" s="912">
        <f>VLOOKUP(E3276,[5]ĐMNC!$A$7:$F$67,4,0)</f>
        <v>221125</v>
      </c>
      <c r="L3276" s="912">
        <f>H3276*K3276</f>
        <v>570502.5</v>
      </c>
      <c r="M3276" s="912"/>
      <c r="N3276" s="912"/>
      <c r="O3276" s="892">
        <f t="shared" si="204"/>
        <v>0</v>
      </c>
      <c r="P3276" s="903">
        <f t="shared" si="205"/>
        <v>1</v>
      </c>
      <c r="Q3276" s="893">
        <f t="shared" si="206"/>
        <v>1</v>
      </c>
      <c r="R3276" s="894">
        <f t="shared" si="207"/>
        <v>0</v>
      </c>
    </row>
    <row r="3277" spans="1:18" s="847" customFormat="1">
      <c r="A3277" s="905"/>
      <c r="B3277" s="914" t="s">
        <v>5079</v>
      </c>
      <c r="C3277" s="915"/>
      <c r="D3277" s="915"/>
      <c r="E3277" s="916" t="s">
        <v>5080</v>
      </c>
      <c r="F3277" s="917" t="s">
        <v>139</v>
      </c>
      <c r="G3277" s="918"/>
      <c r="H3277" s="919"/>
      <c r="I3277" s="920"/>
      <c r="J3277" s="891">
        <f>SUM(J3278:J3279)</f>
        <v>0</v>
      </c>
      <c r="K3277" s="891"/>
      <c r="L3277" s="891">
        <f>SUM(L3278:L3279)</f>
        <v>636840</v>
      </c>
      <c r="M3277" s="891"/>
      <c r="N3277" s="891">
        <f>SUM(N3278:N3279)</f>
        <v>0</v>
      </c>
      <c r="O3277" s="892">
        <f t="shared" si="204"/>
        <v>1</v>
      </c>
      <c r="P3277" s="903">
        <f t="shared" si="205"/>
        <v>0</v>
      </c>
      <c r="Q3277" s="893">
        <f t="shared" si="206"/>
        <v>0</v>
      </c>
      <c r="R3277" s="894">
        <f t="shared" si="207"/>
        <v>2</v>
      </c>
    </row>
    <row r="3278" spans="1:18" s="904" customFormat="1">
      <c r="A3278" s="895"/>
      <c r="B3278" s="896"/>
      <c r="C3278" s="897"/>
      <c r="D3278" s="897"/>
      <c r="E3278" s="924" t="s">
        <v>276</v>
      </c>
      <c r="F3278" s="927"/>
      <c r="G3278" s="928"/>
      <c r="H3278" s="901"/>
      <c r="I3278" s="902"/>
      <c r="J3278" s="902"/>
      <c r="K3278" s="912" t="s">
        <v>274</v>
      </c>
      <c r="L3278" s="902"/>
      <c r="M3278" s="902"/>
      <c r="N3278" s="902"/>
      <c r="O3278" s="892">
        <f t="shared" si="204"/>
        <v>0</v>
      </c>
      <c r="P3278" s="903">
        <f t="shared" si="205"/>
        <v>1</v>
      </c>
      <c r="Q3278" s="893">
        <f t="shared" si="206"/>
        <v>2</v>
      </c>
      <c r="R3278" s="894">
        <f t="shared" si="207"/>
        <v>0</v>
      </c>
    </row>
    <row r="3279" spans="1:18">
      <c r="A3279" s="905"/>
      <c r="B3279" s="906"/>
      <c r="C3279" s="907">
        <v>740</v>
      </c>
      <c r="D3279" s="907" t="s">
        <v>12</v>
      </c>
      <c r="E3279" s="908" t="s">
        <v>4008</v>
      </c>
      <c r="F3279" s="909" t="s">
        <v>2674</v>
      </c>
      <c r="G3279" s="910"/>
      <c r="H3279" s="911">
        <v>2.88</v>
      </c>
      <c r="I3279" s="912"/>
      <c r="J3279" s="912"/>
      <c r="K3279" s="912">
        <f>VLOOKUP(E3279,[5]ĐMNC!$A$7:$F$67,4,0)</f>
        <v>221125</v>
      </c>
      <c r="L3279" s="912">
        <f>H3279*K3279</f>
        <v>636840</v>
      </c>
      <c r="M3279" s="912"/>
      <c r="N3279" s="912"/>
      <c r="O3279" s="892">
        <f t="shared" si="204"/>
        <v>0</v>
      </c>
      <c r="P3279" s="903">
        <f t="shared" si="205"/>
        <v>1</v>
      </c>
      <c r="Q3279" s="893">
        <f t="shared" si="206"/>
        <v>1</v>
      </c>
      <c r="R3279" s="894">
        <f t="shared" si="207"/>
        <v>0</v>
      </c>
    </row>
    <row r="3280" spans="1:18" s="847" customFormat="1">
      <c r="A3280" s="905"/>
      <c r="B3280" s="914" t="s">
        <v>5081</v>
      </c>
      <c r="C3280" s="915"/>
      <c r="D3280" s="915"/>
      <c r="E3280" s="916" t="s">
        <v>5082</v>
      </c>
      <c r="F3280" s="917" t="s">
        <v>139</v>
      </c>
      <c r="G3280" s="918"/>
      <c r="H3280" s="919"/>
      <c r="I3280" s="920"/>
      <c r="J3280" s="891">
        <f>SUM(J3281:J3282)</f>
        <v>0</v>
      </c>
      <c r="K3280" s="891"/>
      <c r="L3280" s="891">
        <f>SUM(L3281:L3282)</f>
        <v>382546.25</v>
      </c>
      <c r="M3280" s="891"/>
      <c r="N3280" s="891">
        <f>SUM(N3281:N3282)</f>
        <v>0</v>
      </c>
      <c r="O3280" s="892">
        <f t="shared" si="204"/>
        <v>1</v>
      </c>
      <c r="P3280" s="903">
        <f t="shared" si="205"/>
        <v>0</v>
      </c>
      <c r="Q3280" s="893">
        <f t="shared" si="206"/>
        <v>0</v>
      </c>
      <c r="R3280" s="894">
        <f t="shared" si="207"/>
        <v>2</v>
      </c>
    </row>
    <row r="3281" spans="1:18" s="904" customFormat="1">
      <c r="A3281" s="895"/>
      <c r="B3281" s="922"/>
      <c r="C3281" s="897"/>
      <c r="D3281" s="897"/>
      <c r="E3281" s="924" t="s">
        <v>276</v>
      </c>
      <c r="F3281" s="927"/>
      <c r="G3281" s="928"/>
      <c r="H3281" s="901"/>
      <c r="I3281" s="902"/>
      <c r="J3281" s="902"/>
      <c r="K3281" s="912" t="s">
        <v>274</v>
      </c>
      <c r="L3281" s="902"/>
      <c r="M3281" s="902"/>
      <c r="N3281" s="902"/>
      <c r="O3281" s="892">
        <f t="shared" si="204"/>
        <v>0</v>
      </c>
      <c r="P3281" s="903">
        <f t="shared" si="205"/>
        <v>1</v>
      </c>
      <c r="Q3281" s="893">
        <f t="shared" si="206"/>
        <v>2</v>
      </c>
      <c r="R3281" s="894">
        <f t="shared" si="207"/>
        <v>0</v>
      </c>
    </row>
    <row r="3282" spans="1:18">
      <c r="A3282" s="905"/>
      <c r="B3282" s="906"/>
      <c r="C3282" s="907">
        <v>740</v>
      </c>
      <c r="D3282" s="907" t="s">
        <v>12</v>
      </c>
      <c r="E3282" s="908" t="s">
        <v>4008</v>
      </c>
      <c r="F3282" s="909" t="s">
        <v>2674</v>
      </c>
      <c r="G3282" s="910"/>
      <c r="H3282" s="911">
        <v>1.73</v>
      </c>
      <c r="I3282" s="912"/>
      <c r="J3282" s="912"/>
      <c r="K3282" s="912">
        <f>VLOOKUP(E3282,[5]ĐMNC!$A$7:$F$67,4,0)</f>
        <v>221125</v>
      </c>
      <c r="L3282" s="912">
        <f>H3282*K3282</f>
        <v>382546.25</v>
      </c>
      <c r="M3282" s="912"/>
      <c r="N3282" s="912"/>
      <c r="O3282" s="892">
        <f t="shared" si="204"/>
        <v>0</v>
      </c>
      <c r="P3282" s="903">
        <f t="shared" si="205"/>
        <v>1</v>
      </c>
      <c r="Q3282" s="893">
        <f t="shared" si="206"/>
        <v>1</v>
      </c>
      <c r="R3282" s="894">
        <f t="shared" si="207"/>
        <v>0</v>
      </c>
    </row>
    <row r="3283" spans="1:18" s="847" customFormat="1">
      <c r="A3283" s="905"/>
      <c r="B3283" s="914" t="s">
        <v>5083</v>
      </c>
      <c r="C3283" s="915"/>
      <c r="D3283" s="915"/>
      <c r="E3283" s="916" t="s">
        <v>5084</v>
      </c>
      <c r="F3283" s="917" t="s">
        <v>139</v>
      </c>
      <c r="G3283" s="918"/>
      <c r="H3283" s="919"/>
      <c r="I3283" s="920"/>
      <c r="J3283" s="891">
        <f>SUM(J3284:J3285)</f>
        <v>0</v>
      </c>
      <c r="K3283" s="891"/>
      <c r="L3283" s="891">
        <f>SUM(L3284:L3285)</f>
        <v>402447.5</v>
      </c>
      <c r="M3283" s="891"/>
      <c r="N3283" s="891">
        <f>SUM(N3284:N3285)</f>
        <v>0</v>
      </c>
      <c r="O3283" s="892">
        <f t="shared" si="204"/>
        <v>1</v>
      </c>
      <c r="P3283" s="903">
        <f t="shared" si="205"/>
        <v>0</v>
      </c>
      <c r="Q3283" s="893">
        <f t="shared" si="206"/>
        <v>0</v>
      </c>
      <c r="R3283" s="894">
        <f t="shared" si="207"/>
        <v>2</v>
      </c>
    </row>
    <row r="3284" spans="1:18" s="904" customFormat="1">
      <c r="A3284" s="895"/>
      <c r="B3284" s="896"/>
      <c r="C3284" s="897"/>
      <c r="D3284" s="897"/>
      <c r="E3284" s="924" t="s">
        <v>276</v>
      </c>
      <c r="F3284" s="927"/>
      <c r="G3284" s="928"/>
      <c r="H3284" s="901"/>
      <c r="I3284" s="902"/>
      <c r="J3284" s="902"/>
      <c r="K3284" s="912" t="s">
        <v>274</v>
      </c>
      <c r="L3284" s="902"/>
      <c r="M3284" s="902"/>
      <c r="N3284" s="902"/>
      <c r="O3284" s="892">
        <f t="shared" si="204"/>
        <v>0</v>
      </c>
      <c r="P3284" s="903">
        <f t="shared" si="205"/>
        <v>1</v>
      </c>
      <c r="Q3284" s="893">
        <f t="shared" si="206"/>
        <v>2</v>
      </c>
      <c r="R3284" s="894">
        <f t="shared" si="207"/>
        <v>0</v>
      </c>
    </row>
    <row r="3285" spans="1:18">
      <c r="A3285" s="905"/>
      <c r="B3285" s="906"/>
      <c r="C3285" s="907">
        <v>740</v>
      </c>
      <c r="D3285" s="907" t="s">
        <v>12</v>
      </c>
      <c r="E3285" s="908" t="s">
        <v>4008</v>
      </c>
      <c r="F3285" s="909" t="s">
        <v>2674</v>
      </c>
      <c r="G3285" s="910"/>
      <c r="H3285" s="911">
        <v>1.82</v>
      </c>
      <c r="I3285" s="912"/>
      <c r="J3285" s="912"/>
      <c r="K3285" s="912">
        <f>VLOOKUP(E3285,[5]ĐMNC!$A$7:$F$67,4,0)</f>
        <v>221125</v>
      </c>
      <c r="L3285" s="912">
        <f>H3285*K3285</f>
        <v>402447.5</v>
      </c>
      <c r="M3285" s="912"/>
      <c r="N3285" s="912"/>
      <c r="O3285" s="892">
        <f t="shared" si="204"/>
        <v>0</v>
      </c>
      <c r="P3285" s="903">
        <f t="shared" si="205"/>
        <v>1</v>
      </c>
      <c r="Q3285" s="893">
        <f t="shared" si="206"/>
        <v>1</v>
      </c>
      <c r="R3285" s="894">
        <f t="shared" si="207"/>
        <v>0</v>
      </c>
    </row>
    <row r="3286" spans="1:18" s="847" customFormat="1">
      <c r="A3286" s="905"/>
      <c r="B3286" s="914" t="s">
        <v>5085</v>
      </c>
      <c r="C3286" s="915"/>
      <c r="D3286" s="915"/>
      <c r="E3286" s="916" t="s">
        <v>5086</v>
      </c>
      <c r="F3286" s="917" t="s">
        <v>139</v>
      </c>
      <c r="G3286" s="918"/>
      <c r="H3286" s="919"/>
      <c r="I3286" s="920"/>
      <c r="J3286" s="891">
        <f>SUM(J3287:J3288)</f>
        <v>0</v>
      </c>
      <c r="K3286" s="891"/>
      <c r="L3286" s="891">
        <f>SUM(L3287:L3288)</f>
        <v>451095</v>
      </c>
      <c r="M3286" s="891"/>
      <c r="N3286" s="891">
        <f>SUM(N3287:N3288)</f>
        <v>0</v>
      </c>
      <c r="O3286" s="892">
        <f t="shared" si="204"/>
        <v>1</v>
      </c>
      <c r="P3286" s="903">
        <f t="shared" si="205"/>
        <v>0</v>
      </c>
      <c r="Q3286" s="893">
        <f t="shared" si="206"/>
        <v>0</v>
      </c>
      <c r="R3286" s="894">
        <f t="shared" si="207"/>
        <v>2</v>
      </c>
    </row>
    <row r="3287" spans="1:18" s="904" customFormat="1">
      <c r="A3287" s="895"/>
      <c r="B3287" s="896"/>
      <c r="C3287" s="897"/>
      <c r="D3287" s="897"/>
      <c r="E3287" s="924" t="s">
        <v>276</v>
      </c>
      <c r="F3287" s="927"/>
      <c r="G3287" s="928"/>
      <c r="H3287" s="901"/>
      <c r="I3287" s="902"/>
      <c r="J3287" s="902"/>
      <c r="K3287" s="912" t="s">
        <v>274</v>
      </c>
      <c r="L3287" s="902"/>
      <c r="M3287" s="902"/>
      <c r="N3287" s="902"/>
      <c r="O3287" s="892">
        <f t="shared" si="204"/>
        <v>0</v>
      </c>
      <c r="P3287" s="903">
        <f t="shared" si="205"/>
        <v>1</v>
      </c>
      <c r="Q3287" s="893">
        <f t="shared" si="206"/>
        <v>2</v>
      </c>
      <c r="R3287" s="894">
        <f t="shared" si="207"/>
        <v>0</v>
      </c>
    </row>
    <row r="3288" spans="1:18">
      <c r="A3288" s="905"/>
      <c r="B3288" s="906"/>
      <c r="C3288" s="907">
        <v>740</v>
      </c>
      <c r="D3288" s="907" t="s">
        <v>12</v>
      </c>
      <c r="E3288" s="908" t="s">
        <v>4008</v>
      </c>
      <c r="F3288" s="909" t="s">
        <v>2674</v>
      </c>
      <c r="G3288" s="910"/>
      <c r="H3288" s="911">
        <v>2.04</v>
      </c>
      <c r="I3288" s="912"/>
      <c r="J3288" s="912"/>
      <c r="K3288" s="912">
        <f>VLOOKUP(E3288,[5]ĐMNC!$A$7:$F$67,4,0)</f>
        <v>221125</v>
      </c>
      <c r="L3288" s="912">
        <f>H3288*K3288</f>
        <v>451095</v>
      </c>
      <c r="M3288" s="912"/>
      <c r="N3288" s="912"/>
      <c r="O3288" s="892">
        <f t="shared" si="204"/>
        <v>0</v>
      </c>
      <c r="P3288" s="903">
        <f t="shared" si="205"/>
        <v>1</v>
      </c>
      <c r="Q3288" s="893">
        <f t="shared" si="206"/>
        <v>1</v>
      </c>
      <c r="R3288" s="894">
        <f t="shared" si="207"/>
        <v>0</v>
      </c>
    </row>
    <row r="3289" spans="1:18" s="847" customFormat="1">
      <c r="A3289" s="905"/>
      <c r="B3289" s="914" t="s">
        <v>5087</v>
      </c>
      <c r="C3289" s="915"/>
      <c r="D3289" s="915"/>
      <c r="E3289" s="916" t="s">
        <v>5088</v>
      </c>
      <c r="F3289" s="917" t="s">
        <v>139</v>
      </c>
      <c r="G3289" s="918"/>
      <c r="H3289" s="919"/>
      <c r="I3289" s="920"/>
      <c r="J3289" s="891">
        <f>SUM(J3290:J3291)</f>
        <v>0</v>
      </c>
      <c r="K3289" s="891"/>
      <c r="L3289" s="891">
        <f>SUM(L3290:L3291)</f>
        <v>506376.25</v>
      </c>
      <c r="M3289" s="891"/>
      <c r="N3289" s="891">
        <f>SUM(N3290:N3291)</f>
        <v>0</v>
      </c>
      <c r="O3289" s="892">
        <f t="shared" si="204"/>
        <v>1</v>
      </c>
      <c r="P3289" s="903">
        <f t="shared" si="205"/>
        <v>0</v>
      </c>
      <c r="Q3289" s="893">
        <f t="shared" si="206"/>
        <v>0</v>
      </c>
      <c r="R3289" s="894">
        <f t="shared" si="207"/>
        <v>2</v>
      </c>
    </row>
    <row r="3290" spans="1:18" s="904" customFormat="1">
      <c r="A3290" s="895"/>
      <c r="B3290" s="896"/>
      <c r="C3290" s="897"/>
      <c r="D3290" s="897"/>
      <c r="E3290" s="924" t="s">
        <v>276</v>
      </c>
      <c r="F3290" s="927"/>
      <c r="G3290" s="928"/>
      <c r="H3290" s="901"/>
      <c r="I3290" s="902"/>
      <c r="J3290" s="902"/>
      <c r="K3290" s="912" t="s">
        <v>274</v>
      </c>
      <c r="L3290" s="902"/>
      <c r="M3290" s="902"/>
      <c r="N3290" s="902"/>
      <c r="O3290" s="892">
        <f t="shared" si="204"/>
        <v>0</v>
      </c>
      <c r="P3290" s="903">
        <f t="shared" si="205"/>
        <v>1</v>
      </c>
      <c r="Q3290" s="893">
        <f t="shared" si="206"/>
        <v>2</v>
      </c>
      <c r="R3290" s="894">
        <f t="shared" si="207"/>
        <v>0</v>
      </c>
    </row>
    <row r="3291" spans="1:18">
      <c r="A3291" s="905"/>
      <c r="B3291" s="906"/>
      <c r="C3291" s="907">
        <v>740</v>
      </c>
      <c r="D3291" s="907" t="s">
        <v>12</v>
      </c>
      <c r="E3291" s="908" t="s">
        <v>4008</v>
      </c>
      <c r="F3291" s="909" t="s">
        <v>2674</v>
      </c>
      <c r="G3291" s="910"/>
      <c r="H3291" s="911">
        <v>2.29</v>
      </c>
      <c r="I3291" s="912"/>
      <c r="J3291" s="912"/>
      <c r="K3291" s="912">
        <f>VLOOKUP(E3291,[5]ĐMNC!$A$7:$F$67,4,0)</f>
        <v>221125</v>
      </c>
      <c r="L3291" s="912">
        <f>H3291*K3291</f>
        <v>506376.25</v>
      </c>
      <c r="M3291" s="912"/>
      <c r="N3291" s="912"/>
      <c r="O3291" s="892">
        <f t="shared" si="204"/>
        <v>0</v>
      </c>
      <c r="P3291" s="903">
        <f t="shared" si="205"/>
        <v>1</v>
      </c>
      <c r="Q3291" s="893">
        <f t="shared" si="206"/>
        <v>1</v>
      </c>
      <c r="R3291" s="894">
        <f t="shared" si="207"/>
        <v>0</v>
      </c>
    </row>
    <row r="3292" spans="1:18" s="847" customFormat="1">
      <c r="A3292" s="905"/>
      <c r="B3292" s="914" t="s">
        <v>5089</v>
      </c>
      <c r="C3292" s="915"/>
      <c r="D3292" s="915"/>
      <c r="E3292" s="916" t="s">
        <v>5090</v>
      </c>
      <c r="F3292" s="917" t="s">
        <v>139</v>
      </c>
      <c r="G3292" s="918"/>
      <c r="H3292" s="919"/>
      <c r="I3292" s="920"/>
      <c r="J3292" s="891">
        <f>SUM(J3293:J3294)</f>
        <v>0</v>
      </c>
      <c r="K3292" s="891"/>
      <c r="L3292" s="891">
        <f>SUM(L3293:L3294)</f>
        <v>614727.5</v>
      </c>
      <c r="M3292" s="891"/>
      <c r="N3292" s="891">
        <f>SUM(N3293:N3294)</f>
        <v>0</v>
      </c>
      <c r="O3292" s="892">
        <f t="shared" si="204"/>
        <v>1</v>
      </c>
      <c r="P3292" s="903">
        <f t="shared" si="205"/>
        <v>0</v>
      </c>
      <c r="Q3292" s="893">
        <f t="shared" si="206"/>
        <v>0</v>
      </c>
      <c r="R3292" s="894">
        <f t="shared" si="207"/>
        <v>2</v>
      </c>
    </row>
    <row r="3293" spans="1:18" s="904" customFormat="1">
      <c r="A3293" s="895"/>
      <c r="B3293" s="896"/>
      <c r="C3293" s="897"/>
      <c r="D3293" s="897"/>
      <c r="E3293" s="924" t="s">
        <v>276</v>
      </c>
      <c r="F3293" s="927"/>
      <c r="G3293" s="928"/>
      <c r="H3293" s="901"/>
      <c r="I3293" s="902"/>
      <c r="J3293" s="902"/>
      <c r="K3293" s="912" t="s">
        <v>274</v>
      </c>
      <c r="L3293" s="902"/>
      <c r="M3293" s="902"/>
      <c r="N3293" s="902"/>
      <c r="O3293" s="892">
        <f t="shared" ref="O3293:O3356" si="208">IF(AND(B3293&lt;&gt;"",D3293=""),1,0)</f>
        <v>0</v>
      </c>
      <c r="P3293" s="903">
        <f t="shared" si="205"/>
        <v>1</v>
      </c>
      <c r="Q3293" s="893">
        <f t="shared" si="206"/>
        <v>2</v>
      </c>
      <c r="R3293" s="894">
        <f t="shared" si="207"/>
        <v>0</v>
      </c>
    </row>
    <row r="3294" spans="1:18">
      <c r="A3294" s="905"/>
      <c r="B3294" s="906"/>
      <c r="C3294" s="907">
        <v>740</v>
      </c>
      <c r="D3294" s="907" t="s">
        <v>12</v>
      </c>
      <c r="E3294" s="908" t="s">
        <v>4008</v>
      </c>
      <c r="F3294" s="909" t="s">
        <v>2674</v>
      </c>
      <c r="G3294" s="910"/>
      <c r="H3294" s="911">
        <v>2.78</v>
      </c>
      <c r="I3294" s="912"/>
      <c r="J3294" s="912"/>
      <c r="K3294" s="912">
        <f>VLOOKUP(E3294,[5]ĐMNC!$A$7:$F$67,4,0)</f>
        <v>221125</v>
      </c>
      <c r="L3294" s="912">
        <f>H3294*K3294</f>
        <v>614727.5</v>
      </c>
      <c r="M3294" s="912"/>
      <c r="N3294" s="912"/>
      <c r="O3294" s="892">
        <f t="shared" si="208"/>
        <v>0</v>
      </c>
      <c r="P3294" s="903">
        <f t="shared" si="205"/>
        <v>1</v>
      </c>
      <c r="Q3294" s="893">
        <f t="shared" si="206"/>
        <v>1</v>
      </c>
      <c r="R3294" s="894">
        <f t="shared" si="207"/>
        <v>0</v>
      </c>
    </row>
    <row r="3295" spans="1:18" s="847" customFormat="1">
      <c r="A3295" s="905"/>
      <c r="B3295" s="914" t="s">
        <v>5091</v>
      </c>
      <c r="C3295" s="915"/>
      <c r="D3295" s="915"/>
      <c r="E3295" s="916" t="s">
        <v>5092</v>
      </c>
      <c r="F3295" s="917" t="s">
        <v>139</v>
      </c>
      <c r="G3295" s="918"/>
      <c r="H3295" s="919"/>
      <c r="I3295" s="920"/>
      <c r="J3295" s="891">
        <f>SUM(J3296:J3297)</f>
        <v>0</v>
      </c>
      <c r="K3295" s="891"/>
      <c r="L3295" s="891">
        <f>SUM(L3296:L3297)</f>
        <v>676642.5</v>
      </c>
      <c r="M3295" s="891"/>
      <c r="N3295" s="891">
        <f>SUM(N3296:N3297)</f>
        <v>0</v>
      </c>
      <c r="O3295" s="892">
        <f t="shared" si="208"/>
        <v>1</v>
      </c>
      <c r="P3295" s="903">
        <f t="shared" si="205"/>
        <v>0</v>
      </c>
      <c r="Q3295" s="893">
        <f t="shared" si="206"/>
        <v>0</v>
      </c>
      <c r="R3295" s="894">
        <f t="shared" si="207"/>
        <v>2</v>
      </c>
    </row>
    <row r="3296" spans="1:18" s="904" customFormat="1">
      <c r="A3296" s="895"/>
      <c r="B3296" s="896"/>
      <c r="C3296" s="897"/>
      <c r="D3296" s="897"/>
      <c r="E3296" s="924" t="s">
        <v>276</v>
      </c>
      <c r="F3296" s="927"/>
      <c r="G3296" s="928"/>
      <c r="H3296" s="901"/>
      <c r="I3296" s="902"/>
      <c r="J3296" s="902"/>
      <c r="K3296" s="912" t="s">
        <v>274</v>
      </c>
      <c r="L3296" s="902"/>
      <c r="M3296" s="902"/>
      <c r="N3296" s="902"/>
      <c r="O3296" s="892">
        <f t="shared" si="208"/>
        <v>0</v>
      </c>
      <c r="P3296" s="903">
        <f t="shared" si="205"/>
        <v>1</v>
      </c>
      <c r="Q3296" s="893">
        <f t="shared" si="206"/>
        <v>2</v>
      </c>
      <c r="R3296" s="894">
        <f t="shared" si="207"/>
        <v>0</v>
      </c>
    </row>
    <row r="3297" spans="1:18">
      <c r="A3297" s="905"/>
      <c r="B3297" s="906"/>
      <c r="C3297" s="907">
        <v>740</v>
      </c>
      <c r="D3297" s="907" t="s">
        <v>12</v>
      </c>
      <c r="E3297" s="908" t="s">
        <v>4008</v>
      </c>
      <c r="F3297" s="909" t="s">
        <v>2674</v>
      </c>
      <c r="G3297" s="910"/>
      <c r="H3297" s="911">
        <v>3.06</v>
      </c>
      <c r="I3297" s="912"/>
      <c r="J3297" s="912"/>
      <c r="K3297" s="912">
        <f>VLOOKUP(E3297,[5]ĐMNC!$A$7:$F$67,4,0)</f>
        <v>221125</v>
      </c>
      <c r="L3297" s="912">
        <f>H3297*K3297</f>
        <v>676642.5</v>
      </c>
      <c r="M3297" s="912"/>
      <c r="N3297" s="912"/>
      <c r="O3297" s="892">
        <f t="shared" si="208"/>
        <v>0</v>
      </c>
      <c r="P3297" s="903">
        <f t="shared" si="205"/>
        <v>1</v>
      </c>
      <c r="Q3297" s="893">
        <f t="shared" si="206"/>
        <v>1</v>
      </c>
      <c r="R3297" s="894">
        <f t="shared" si="207"/>
        <v>0</v>
      </c>
    </row>
    <row r="3298" spans="1:18" s="847" customFormat="1">
      <c r="A3298" s="905"/>
      <c r="B3298" s="914" t="s">
        <v>5093</v>
      </c>
      <c r="C3298" s="915"/>
      <c r="D3298" s="915"/>
      <c r="E3298" s="916" t="s">
        <v>5094</v>
      </c>
      <c r="F3298" s="917" t="s">
        <v>139</v>
      </c>
      <c r="G3298" s="918"/>
      <c r="H3298" s="919"/>
      <c r="I3298" s="920"/>
      <c r="J3298" s="891">
        <f>SUM(J3299:J3300)</f>
        <v>0</v>
      </c>
      <c r="K3298" s="891"/>
      <c r="L3298" s="891">
        <f>SUM(L3299:L3300)</f>
        <v>778360</v>
      </c>
      <c r="M3298" s="891"/>
      <c r="N3298" s="891">
        <f>SUM(N3299:N3300)</f>
        <v>0</v>
      </c>
      <c r="O3298" s="892">
        <f t="shared" si="208"/>
        <v>1</v>
      </c>
      <c r="P3298" s="903">
        <f t="shared" si="205"/>
        <v>0</v>
      </c>
      <c r="Q3298" s="893">
        <f t="shared" si="206"/>
        <v>0</v>
      </c>
      <c r="R3298" s="894">
        <f t="shared" si="207"/>
        <v>2</v>
      </c>
    </row>
    <row r="3299" spans="1:18" s="904" customFormat="1">
      <c r="A3299" s="895"/>
      <c r="B3299" s="896"/>
      <c r="C3299" s="897"/>
      <c r="D3299" s="897"/>
      <c r="E3299" s="924" t="s">
        <v>276</v>
      </c>
      <c r="F3299" s="927"/>
      <c r="G3299" s="928"/>
      <c r="H3299" s="901"/>
      <c r="I3299" s="902"/>
      <c r="J3299" s="902"/>
      <c r="K3299" s="912" t="s">
        <v>274</v>
      </c>
      <c r="L3299" s="902"/>
      <c r="M3299" s="902"/>
      <c r="N3299" s="902"/>
      <c r="O3299" s="892">
        <f t="shared" si="208"/>
        <v>0</v>
      </c>
      <c r="P3299" s="903">
        <f t="shared" si="205"/>
        <v>1</v>
      </c>
      <c r="Q3299" s="893">
        <f t="shared" si="206"/>
        <v>2</v>
      </c>
      <c r="R3299" s="894">
        <f t="shared" si="207"/>
        <v>0</v>
      </c>
    </row>
    <row r="3300" spans="1:18">
      <c r="A3300" s="905"/>
      <c r="B3300" s="906"/>
      <c r="C3300" s="907">
        <v>740</v>
      </c>
      <c r="D3300" s="907" t="s">
        <v>12</v>
      </c>
      <c r="E3300" s="908" t="s">
        <v>4008</v>
      </c>
      <c r="F3300" s="909" t="s">
        <v>2674</v>
      </c>
      <c r="G3300" s="910"/>
      <c r="H3300" s="911">
        <v>3.52</v>
      </c>
      <c r="I3300" s="912"/>
      <c r="J3300" s="912"/>
      <c r="K3300" s="912">
        <f>VLOOKUP(E3300,[5]ĐMNC!$A$7:$F$67,4,0)</f>
        <v>221125</v>
      </c>
      <c r="L3300" s="912">
        <f>H3300*K3300</f>
        <v>778360</v>
      </c>
      <c r="M3300" s="912"/>
      <c r="N3300" s="912"/>
      <c r="O3300" s="892">
        <f t="shared" si="208"/>
        <v>0</v>
      </c>
      <c r="P3300" s="903">
        <f t="shared" si="205"/>
        <v>1</v>
      </c>
      <c r="Q3300" s="893">
        <f t="shared" si="206"/>
        <v>1</v>
      </c>
      <c r="R3300" s="894">
        <f t="shared" si="207"/>
        <v>0</v>
      </c>
    </row>
    <row r="3301" spans="1:18" s="847" customFormat="1">
      <c r="A3301" s="905"/>
      <c r="B3301" s="914" t="s">
        <v>5095</v>
      </c>
      <c r="C3301" s="915"/>
      <c r="D3301" s="915"/>
      <c r="E3301" s="916" t="s">
        <v>5096</v>
      </c>
      <c r="F3301" s="917" t="s">
        <v>139</v>
      </c>
      <c r="G3301" s="918"/>
      <c r="H3301" s="919"/>
      <c r="I3301" s="920"/>
      <c r="J3301" s="891">
        <f>SUM(J3302:J3303)</f>
        <v>0</v>
      </c>
      <c r="K3301" s="891"/>
      <c r="L3301" s="891">
        <f>SUM(L3302:L3303)</f>
        <v>855753.75</v>
      </c>
      <c r="M3301" s="891"/>
      <c r="N3301" s="891">
        <f>SUM(N3302:N3303)</f>
        <v>0</v>
      </c>
      <c r="O3301" s="892">
        <f t="shared" si="208"/>
        <v>1</v>
      </c>
      <c r="P3301" s="903">
        <f t="shared" si="205"/>
        <v>0</v>
      </c>
      <c r="Q3301" s="893">
        <f t="shared" si="206"/>
        <v>0</v>
      </c>
      <c r="R3301" s="894">
        <f t="shared" si="207"/>
        <v>2</v>
      </c>
    </row>
    <row r="3302" spans="1:18" s="904" customFormat="1">
      <c r="A3302" s="895"/>
      <c r="B3302" s="896"/>
      <c r="C3302" s="897"/>
      <c r="D3302" s="897"/>
      <c r="E3302" s="924" t="s">
        <v>276</v>
      </c>
      <c r="F3302" s="927"/>
      <c r="G3302" s="928"/>
      <c r="H3302" s="901"/>
      <c r="I3302" s="902"/>
      <c r="J3302" s="902"/>
      <c r="K3302" s="912" t="s">
        <v>274</v>
      </c>
      <c r="L3302" s="902"/>
      <c r="M3302" s="902"/>
      <c r="N3302" s="902"/>
      <c r="O3302" s="892">
        <f t="shared" si="208"/>
        <v>0</v>
      </c>
      <c r="P3302" s="903">
        <f t="shared" ref="P3302:P3365" si="209">IF(O3302=0,1,0)</f>
        <v>1</v>
      </c>
      <c r="Q3302" s="893">
        <f t="shared" ref="Q3302:Q3365" si="210">IF(P3302=0,0,P3302+Q3303)</f>
        <v>2</v>
      </c>
      <c r="R3302" s="894">
        <f t="shared" ref="R3302:R3365" si="211">IF(Q3302=0,Q3303,0)</f>
        <v>0</v>
      </c>
    </row>
    <row r="3303" spans="1:18">
      <c r="A3303" s="905"/>
      <c r="B3303" s="906"/>
      <c r="C3303" s="907">
        <v>740</v>
      </c>
      <c r="D3303" s="907" t="s">
        <v>12</v>
      </c>
      <c r="E3303" s="908" t="s">
        <v>4008</v>
      </c>
      <c r="F3303" s="909" t="s">
        <v>2674</v>
      </c>
      <c r="G3303" s="910"/>
      <c r="H3303" s="911">
        <v>3.87</v>
      </c>
      <c r="I3303" s="912"/>
      <c r="J3303" s="912"/>
      <c r="K3303" s="912">
        <f>VLOOKUP(E3303,[5]ĐMNC!$A$7:$F$67,4,0)</f>
        <v>221125</v>
      </c>
      <c r="L3303" s="912">
        <f>H3303*K3303</f>
        <v>855753.75</v>
      </c>
      <c r="M3303" s="912"/>
      <c r="N3303" s="912"/>
      <c r="O3303" s="892">
        <f t="shared" si="208"/>
        <v>0</v>
      </c>
      <c r="P3303" s="903">
        <f t="shared" si="209"/>
        <v>1</v>
      </c>
      <c r="Q3303" s="893">
        <f t="shared" si="210"/>
        <v>1</v>
      </c>
      <c r="R3303" s="894">
        <f t="shared" si="211"/>
        <v>0</v>
      </c>
    </row>
    <row r="3304" spans="1:18" s="847" customFormat="1">
      <c r="A3304" s="905"/>
      <c r="B3304" s="914" t="s">
        <v>5097</v>
      </c>
      <c r="C3304" s="915"/>
      <c r="D3304" s="915"/>
      <c r="E3304" s="916" t="s">
        <v>5098</v>
      </c>
      <c r="F3304" s="917" t="s">
        <v>139</v>
      </c>
      <c r="G3304" s="918"/>
      <c r="H3304" s="919"/>
      <c r="I3304" s="920"/>
      <c r="J3304" s="891">
        <f>SUM(J3305:J3306)</f>
        <v>0</v>
      </c>
      <c r="K3304" s="891"/>
      <c r="L3304" s="891">
        <f>SUM(L3305:L3306)</f>
        <v>941992.5</v>
      </c>
      <c r="M3304" s="891"/>
      <c r="N3304" s="891">
        <f>SUM(N3305:N3306)</f>
        <v>0</v>
      </c>
      <c r="O3304" s="892">
        <f t="shared" si="208"/>
        <v>1</v>
      </c>
      <c r="P3304" s="903">
        <f t="shared" si="209"/>
        <v>0</v>
      </c>
      <c r="Q3304" s="893">
        <f t="shared" si="210"/>
        <v>0</v>
      </c>
      <c r="R3304" s="894">
        <f t="shared" si="211"/>
        <v>2</v>
      </c>
    </row>
    <row r="3305" spans="1:18" s="904" customFormat="1">
      <c r="A3305" s="895"/>
      <c r="B3305" s="896"/>
      <c r="C3305" s="897"/>
      <c r="D3305" s="897"/>
      <c r="E3305" s="924" t="s">
        <v>276</v>
      </c>
      <c r="F3305" s="927"/>
      <c r="G3305" s="928"/>
      <c r="H3305" s="901"/>
      <c r="I3305" s="902"/>
      <c r="J3305" s="902"/>
      <c r="K3305" s="912" t="s">
        <v>274</v>
      </c>
      <c r="L3305" s="902"/>
      <c r="M3305" s="902"/>
      <c r="N3305" s="902"/>
      <c r="O3305" s="892">
        <f t="shared" si="208"/>
        <v>0</v>
      </c>
      <c r="P3305" s="903">
        <f t="shared" si="209"/>
        <v>1</v>
      </c>
      <c r="Q3305" s="893">
        <f t="shared" si="210"/>
        <v>2</v>
      </c>
      <c r="R3305" s="894">
        <f t="shared" si="211"/>
        <v>0</v>
      </c>
    </row>
    <row r="3306" spans="1:18">
      <c r="A3306" s="905"/>
      <c r="B3306" s="906"/>
      <c r="C3306" s="907">
        <v>740</v>
      </c>
      <c r="D3306" s="907" t="s">
        <v>12</v>
      </c>
      <c r="E3306" s="908" t="s">
        <v>4008</v>
      </c>
      <c r="F3306" s="909" t="s">
        <v>2674</v>
      </c>
      <c r="G3306" s="910"/>
      <c r="H3306" s="911">
        <v>4.26</v>
      </c>
      <c r="I3306" s="912"/>
      <c r="J3306" s="912"/>
      <c r="K3306" s="912">
        <f>VLOOKUP(E3306,[5]ĐMNC!$A$7:$F$67,4,0)</f>
        <v>221125</v>
      </c>
      <c r="L3306" s="912">
        <f>H3306*K3306</f>
        <v>941992.5</v>
      </c>
      <c r="M3306" s="912"/>
      <c r="N3306" s="912"/>
      <c r="O3306" s="892">
        <f t="shared" si="208"/>
        <v>0</v>
      </c>
      <c r="P3306" s="903">
        <f t="shared" si="209"/>
        <v>1</v>
      </c>
      <c r="Q3306" s="893">
        <f t="shared" si="210"/>
        <v>1</v>
      </c>
      <c r="R3306" s="894">
        <f t="shared" si="211"/>
        <v>0</v>
      </c>
    </row>
    <row r="3307" spans="1:18" s="847" customFormat="1">
      <c r="A3307" s="905"/>
      <c r="B3307" s="914" t="s">
        <v>5099</v>
      </c>
      <c r="C3307" s="915"/>
      <c r="D3307" s="915"/>
      <c r="E3307" s="916" t="s">
        <v>5100</v>
      </c>
      <c r="F3307" s="917" t="s">
        <v>139</v>
      </c>
      <c r="G3307" s="918"/>
      <c r="H3307" s="919"/>
      <c r="I3307" s="920"/>
      <c r="J3307" s="891">
        <f>SUM(J3308:J3309)</f>
        <v>0</v>
      </c>
      <c r="K3307" s="891"/>
      <c r="L3307" s="891">
        <f>SUM(L3308:L3309)</f>
        <v>486475.00000000006</v>
      </c>
      <c r="M3307" s="891"/>
      <c r="N3307" s="891">
        <f>SUM(N3308:N3309)</f>
        <v>0</v>
      </c>
      <c r="O3307" s="892">
        <f t="shared" si="208"/>
        <v>1</v>
      </c>
      <c r="P3307" s="903">
        <f t="shared" si="209"/>
        <v>0</v>
      </c>
      <c r="Q3307" s="893">
        <f t="shared" si="210"/>
        <v>0</v>
      </c>
      <c r="R3307" s="894">
        <f t="shared" si="211"/>
        <v>2</v>
      </c>
    </row>
    <row r="3308" spans="1:18" s="904" customFormat="1">
      <c r="A3308" s="895"/>
      <c r="B3308" s="896"/>
      <c r="C3308" s="897"/>
      <c r="D3308" s="897"/>
      <c r="E3308" s="924" t="s">
        <v>276</v>
      </c>
      <c r="F3308" s="927"/>
      <c r="G3308" s="928"/>
      <c r="H3308" s="901"/>
      <c r="I3308" s="902"/>
      <c r="J3308" s="902"/>
      <c r="K3308" s="912" t="s">
        <v>274</v>
      </c>
      <c r="L3308" s="902"/>
      <c r="M3308" s="902"/>
      <c r="N3308" s="902"/>
      <c r="O3308" s="892">
        <f t="shared" si="208"/>
        <v>0</v>
      </c>
      <c r="P3308" s="903">
        <f t="shared" si="209"/>
        <v>1</v>
      </c>
      <c r="Q3308" s="893">
        <f t="shared" si="210"/>
        <v>2</v>
      </c>
      <c r="R3308" s="894">
        <f t="shared" si="211"/>
        <v>0</v>
      </c>
    </row>
    <row r="3309" spans="1:18">
      <c r="A3309" s="905"/>
      <c r="B3309" s="906"/>
      <c r="C3309" s="907">
        <v>740</v>
      </c>
      <c r="D3309" s="907" t="s">
        <v>12</v>
      </c>
      <c r="E3309" s="908" t="s">
        <v>4008</v>
      </c>
      <c r="F3309" s="909" t="s">
        <v>2674</v>
      </c>
      <c r="G3309" s="910"/>
      <c r="H3309" s="911">
        <v>2.2000000000000002</v>
      </c>
      <c r="I3309" s="912"/>
      <c r="J3309" s="912"/>
      <c r="K3309" s="912">
        <f>VLOOKUP(E3309,[5]ĐMNC!$A$7:$F$67,4,0)</f>
        <v>221125</v>
      </c>
      <c r="L3309" s="912">
        <f>H3309*K3309</f>
        <v>486475.00000000006</v>
      </c>
      <c r="M3309" s="912"/>
      <c r="N3309" s="912"/>
      <c r="O3309" s="892">
        <f t="shared" si="208"/>
        <v>0</v>
      </c>
      <c r="P3309" s="903">
        <f t="shared" si="209"/>
        <v>1</v>
      </c>
      <c r="Q3309" s="893">
        <f t="shared" si="210"/>
        <v>1</v>
      </c>
      <c r="R3309" s="894">
        <f t="shared" si="211"/>
        <v>0</v>
      </c>
    </row>
    <row r="3310" spans="1:18" s="847" customFormat="1">
      <c r="A3310" s="905"/>
      <c r="B3310" s="914" t="s">
        <v>5101</v>
      </c>
      <c r="C3310" s="915"/>
      <c r="D3310" s="915"/>
      <c r="E3310" s="916" t="s">
        <v>5102</v>
      </c>
      <c r="F3310" s="917" t="s">
        <v>139</v>
      </c>
      <c r="G3310" s="918"/>
      <c r="H3310" s="919"/>
      <c r="I3310" s="920"/>
      <c r="J3310" s="891">
        <f>SUM(J3311:J3312)</f>
        <v>0</v>
      </c>
      <c r="K3310" s="891"/>
      <c r="L3310" s="891">
        <f>SUM(L3311:L3312)</f>
        <v>513009.99999999994</v>
      </c>
      <c r="M3310" s="891"/>
      <c r="N3310" s="891">
        <f>SUM(N3311:N3312)</f>
        <v>0</v>
      </c>
      <c r="O3310" s="892">
        <f t="shared" si="208"/>
        <v>1</v>
      </c>
      <c r="P3310" s="903">
        <f t="shared" si="209"/>
        <v>0</v>
      </c>
      <c r="Q3310" s="893">
        <f t="shared" si="210"/>
        <v>0</v>
      </c>
      <c r="R3310" s="894">
        <f t="shared" si="211"/>
        <v>2</v>
      </c>
    </row>
    <row r="3311" spans="1:18" s="904" customFormat="1">
      <c r="A3311" s="895"/>
      <c r="B3311" s="896"/>
      <c r="C3311" s="897"/>
      <c r="D3311" s="897"/>
      <c r="E3311" s="924" t="s">
        <v>276</v>
      </c>
      <c r="F3311" s="927"/>
      <c r="G3311" s="928"/>
      <c r="H3311" s="901"/>
      <c r="I3311" s="902"/>
      <c r="J3311" s="902"/>
      <c r="K3311" s="912" t="s">
        <v>274</v>
      </c>
      <c r="L3311" s="902"/>
      <c r="M3311" s="902"/>
      <c r="N3311" s="902"/>
      <c r="O3311" s="892">
        <f t="shared" si="208"/>
        <v>0</v>
      </c>
      <c r="P3311" s="903">
        <f t="shared" si="209"/>
        <v>1</v>
      </c>
      <c r="Q3311" s="893">
        <f t="shared" si="210"/>
        <v>2</v>
      </c>
      <c r="R3311" s="894">
        <f t="shared" si="211"/>
        <v>0</v>
      </c>
    </row>
    <row r="3312" spans="1:18">
      <c r="A3312" s="905"/>
      <c r="B3312" s="906"/>
      <c r="C3312" s="907">
        <v>740</v>
      </c>
      <c r="D3312" s="907" t="s">
        <v>12</v>
      </c>
      <c r="E3312" s="908" t="s">
        <v>4008</v>
      </c>
      <c r="F3312" s="909" t="s">
        <v>2674</v>
      </c>
      <c r="G3312" s="910"/>
      <c r="H3312" s="911">
        <v>2.3199999999999998</v>
      </c>
      <c r="I3312" s="912"/>
      <c r="J3312" s="912"/>
      <c r="K3312" s="912">
        <f>VLOOKUP(E3312,[5]ĐMNC!$A$7:$F$67,4,0)</f>
        <v>221125</v>
      </c>
      <c r="L3312" s="912">
        <f>H3312*K3312</f>
        <v>513009.99999999994</v>
      </c>
      <c r="M3312" s="912"/>
      <c r="N3312" s="912"/>
      <c r="O3312" s="892">
        <f t="shared" si="208"/>
        <v>0</v>
      </c>
      <c r="P3312" s="903">
        <f t="shared" si="209"/>
        <v>1</v>
      </c>
      <c r="Q3312" s="893">
        <f t="shared" si="210"/>
        <v>1</v>
      </c>
      <c r="R3312" s="894">
        <f t="shared" si="211"/>
        <v>0</v>
      </c>
    </row>
    <row r="3313" spans="1:18" s="847" customFormat="1">
      <c r="A3313" s="905"/>
      <c r="B3313" s="914" t="s">
        <v>5103</v>
      </c>
      <c r="C3313" s="915"/>
      <c r="D3313" s="915"/>
      <c r="E3313" s="916" t="s">
        <v>5104</v>
      </c>
      <c r="F3313" s="917" t="s">
        <v>139</v>
      </c>
      <c r="G3313" s="918"/>
      <c r="H3313" s="919"/>
      <c r="I3313" s="920"/>
      <c r="J3313" s="891">
        <f>SUM(J3314:J3315)</f>
        <v>0</v>
      </c>
      <c r="K3313" s="891"/>
      <c r="L3313" s="891">
        <f>SUM(L3314:L3315)</f>
        <v>557235</v>
      </c>
      <c r="M3313" s="891"/>
      <c r="N3313" s="891">
        <f>SUM(N3314:N3315)</f>
        <v>0</v>
      </c>
      <c r="O3313" s="892">
        <f t="shared" si="208"/>
        <v>1</v>
      </c>
      <c r="P3313" s="903">
        <f t="shared" si="209"/>
        <v>0</v>
      </c>
      <c r="Q3313" s="893">
        <f t="shared" si="210"/>
        <v>0</v>
      </c>
      <c r="R3313" s="894">
        <f t="shared" si="211"/>
        <v>2</v>
      </c>
    </row>
    <row r="3314" spans="1:18" s="904" customFormat="1">
      <c r="A3314" s="895"/>
      <c r="B3314" s="896"/>
      <c r="C3314" s="897"/>
      <c r="D3314" s="897"/>
      <c r="E3314" s="924" t="s">
        <v>276</v>
      </c>
      <c r="F3314" s="927"/>
      <c r="G3314" s="928"/>
      <c r="H3314" s="901"/>
      <c r="I3314" s="902"/>
      <c r="J3314" s="902"/>
      <c r="K3314" s="912" t="s">
        <v>274</v>
      </c>
      <c r="L3314" s="902"/>
      <c r="M3314" s="902"/>
      <c r="N3314" s="902"/>
      <c r="O3314" s="892">
        <f t="shared" si="208"/>
        <v>0</v>
      </c>
      <c r="P3314" s="903">
        <f t="shared" si="209"/>
        <v>1</v>
      </c>
      <c r="Q3314" s="893">
        <f t="shared" si="210"/>
        <v>2</v>
      </c>
      <c r="R3314" s="894">
        <f t="shared" si="211"/>
        <v>0</v>
      </c>
    </row>
    <row r="3315" spans="1:18">
      <c r="A3315" s="905"/>
      <c r="B3315" s="906"/>
      <c r="C3315" s="907">
        <v>740</v>
      </c>
      <c r="D3315" s="907" t="s">
        <v>12</v>
      </c>
      <c r="E3315" s="908" t="s">
        <v>4008</v>
      </c>
      <c r="F3315" s="909" t="s">
        <v>2674</v>
      </c>
      <c r="G3315" s="910"/>
      <c r="H3315" s="911">
        <v>2.52</v>
      </c>
      <c r="I3315" s="912"/>
      <c r="J3315" s="912"/>
      <c r="K3315" s="912">
        <f>VLOOKUP(E3315,[5]ĐMNC!$A$7:$F$67,4,0)</f>
        <v>221125</v>
      </c>
      <c r="L3315" s="912">
        <f>H3315*K3315</f>
        <v>557235</v>
      </c>
      <c r="M3315" s="912"/>
      <c r="N3315" s="912"/>
      <c r="O3315" s="892">
        <f t="shared" si="208"/>
        <v>0</v>
      </c>
      <c r="P3315" s="903">
        <f t="shared" si="209"/>
        <v>1</v>
      </c>
      <c r="Q3315" s="893">
        <f t="shared" si="210"/>
        <v>1</v>
      </c>
      <c r="R3315" s="894">
        <f t="shared" si="211"/>
        <v>0</v>
      </c>
    </row>
    <row r="3316" spans="1:18" s="847" customFormat="1">
      <c r="A3316" s="905"/>
      <c r="B3316" s="914" t="s">
        <v>5105</v>
      </c>
      <c r="C3316" s="915"/>
      <c r="D3316" s="915"/>
      <c r="E3316" s="916" t="s">
        <v>5106</v>
      </c>
      <c r="F3316" s="917" t="s">
        <v>139</v>
      </c>
      <c r="G3316" s="918"/>
      <c r="H3316" s="919"/>
      <c r="I3316" s="920"/>
      <c r="J3316" s="891">
        <f>SUM(J3317:J3318)</f>
        <v>0</v>
      </c>
      <c r="K3316" s="891"/>
      <c r="L3316" s="891">
        <f>SUM(L3317:L3318)</f>
        <v>625783.75</v>
      </c>
      <c r="M3316" s="891"/>
      <c r="N3316" s="891">
        <f>SUM(N3317:N3318)</f>
        <v>0</v>
      </c>
      <c r="O3316" s="892">
        <f t="shared" si="208"/>
        <v>1</v>
      </c>
      <c r="P3316" s="903">
        <f t="shared" si="209"/>
        <v>0</v>
      </c>
      <c r="Q3316" s="893">
        <f t="shared" si="210"/>
        <v>0</v>
      </c>
      <c r="R3316" s="894">
        <f t="shared" si="211"/>
        <v>2</v>
      </c>
    </row>
    <row r="3317" spans="1:18" s="904" customFormat="1">
      <c r="A3317" s="895"/>
      <c r="B3317" s="896"/>
      <c r="C3317" s="897"/>
      <c r="D3317" s="897"/>
      <c r="E3317" s="924" t="s">
        <v>276</v>
      </c>
      <c r="F3317" s="927"/>
      <c r="G3317" s="928"/>
      <c r="H3317" s="901"/>
      <c r="I3317" s="902"/>
      <c r="J3317" s="902"/>
      <c r="K3317" s="912" t="s">
        <v>274</v>
      </c>
      <c r="L3317" s="902"/>
      <c r="M3317" s="902"/>
      <c r="N3317" s="902"/>
      <c r="O3317" s="892">
        <f t="shared" si="208"/>
        <v>0</v>
      </c>
      <c r="P3317" s="903">
        <f t="shared" si="209"/>
        <v>1</v>
      </c>
      <c r="Q3317" s="893">
        <f t="shared" si="210"/>
        <v>2</v>
      </c>
      <c r="R3317" s="894">
        <f t="shared" si="211"/>
        <v>0</v>
      </c>
    </row>
    <row r="3318" spans="1:18">
      <c r="A3318" s="905"/>
      <c r="B3318" s="906"/>
      <c r="C3318" s="907">
        <v>740</v>
      </c>
      <c r="D3318" s="907" t="s">
        <v>12</v>
      </c>
      <c r="E3318" s="908" t="s">
        <v>4008</v>
      </c>
      <c r="F3318" s="909" t="s">
        <v>2674</v>
      </c>
      <c r="G3318" s="910"/>
      <c r="H3318" s="911">
        <v>2.83</v>
      </c>
      <c r="I3318" s="912"/>
      <c r="J3318" s="912"/>
      <c r="K3318" s="912">
        <f>VLOOKUP(E3318,[5]ĐMNC!$A$7:$F$67,4,0)</f>
        <v>221125</v>
      </c>
      <c r="L3318" s="912">
        <f>H3318*K3318</f>
        <v>625783.75</v>
      </c>
      <c r="M3318" s="912"/>
      <c r="N3318" s="912"/>
      <c r="O3318" s="892">
        <f t="shared" si="208"/>
        <v>0</v>
      </c>
      <c r="P3318" s="903">
        <f t="shared" si="209"/>
        <v>1</v>
      </c>
      <c r="Q3318" s="893">
        <f t="shared" si="210"/>
        <v>1</v>
      </c>
      <c r="R3318" s="894">
        <f t="shared" si="211"/>
        <v>0</v>
      </c>
    </row>
    <row r="3319" spans="1:18" s="847" customFormat="1">
      <c r="A3319" s="905"/>
      <c r="B3319" s="914" t="s">
        <v>5107</v>
      </c>
      <c r="C3319" s="915"/>
      <c r="D3319" s="915"/>
      <c r="E3319" s="916" t="s">
        <v>5108</v>
      </c>
      <c r="F3319" s="917" t="s">
        <v>139</v>
      </c>
      <c r="G3319" s="918"/>
      <c r="H3319" s="919"/>
      <c r="I3319" s="920"/>
      <c r="J3319" s="891">
        <f>SUM(J3320:J3321)</f>
        <v>0</v>
      </c>
      <c r="K3319" s="891"/>
      <c r="L3319" s="891">
        <f>SUM(L3320:L3321)</f>
        <v>760670</v>
      </c>
      <c r="M3319" s="891"/>
      <c r="N3319" s="891">
        <f>SUM(N3320:N3321)</f>
        <v>0</v>
      </c>
      <c r="O3319" s="892">
        <f t="shared" si="208"/>
        <v>1</v>
      </c>
      <c r="P3319" s="903">
        <f t="shared" si="209"/>
        <v>0</v>
      </c>
      <c r="Q3319" s="893">
        <f t="shared" si="210"/>
        <v>0</v>
      </c>
      <c r="R3319" s="894">
        <f t="shared" si="211"/>
        <v>2</v>
      </c>
    </row>
    <row r="3320" spans="1:18" s="904" customFormat="1">
      <c r="A3320" s="895"/>
      <c r="B3320" s="896"/>
      <c r="C3320" s="897"/>
      <c r="D3320" s="897"/>
      <c r="E3320" s="924" t="s">
        <v>276</v>
      </c>
      <c r="F3320" s="927"/>
      <c r="G3320" s="928"/>
      <c r="H3320" s="901"/>
      <c r="I3320" s="902"/>
      <c r="J3320" s="902"/>
      <c r="K3320" s="912" t="s">
        <v>274</v>
      </c>
      <c r="L3320" s="902"/>
      <c r="M3320" s="902"/>
      <c r="N3320" s="902"/>
      <c r="O3320" s="892">
        <f t="shared" si="208"/>
        <v>0</v>
      </c>
      <c r="P3320" s="903">
        <f t="shared" si="209"/>
        <v>1</v>
      </c>
      <c r="Q3320" s="893">
        <f t="shared" si="210"/>
        <v>2</v>
      </c>
      <c r="R3320" s="894">
        <f t="shared" si="211"/>
        <v>0</v>
      </c>
    </row>
    <row r="3321" spans="1:18">
      <c r="A3321" s="905"/>
      <c r="B3321" s="906"/>
      <c r="C3321" s="907">
        <v>740</v>
      </c>
      <c r="D3321" s="907" t="s">
        <v>12</v>
      </c>
      <c r="E3321" s="908" t="s">
        <v>4008</v>
      </c>
      <c r="F3321" s="909" t="s">
        <v>2674</v>
      </c>
      <c r="G3321" s="910"/>
      <c r="H3321" s="911">
        <v>3.44</v>
      </c>
      <c r="I3321" s="912"/>
      <c r="J3321" s="912"/>
      <c r="K3321" s="912">
        <f>VLOOKUP(E3321,[5]ĐMNC!$A$7:$F$67,4,0)</f>
        <v>221125</v>
      </c>
      <c r="L3321" s="912">
        <f>H3321*K3321</f>
        <v>760670</v>
      </c>
      <c r="M3321" s="912"/>
      <c r="N3321" s="912"/>
      <c r="O3321" s="892">
        <f t="shared" si="208"/>
        <v>0</v>
      </c>
      <c r="P3321" s="903">
        <f t="shared" si="209"/>
        <v>1</v>
      </c>
      <c r="Q3321" s="893">
        <f t="shared" si="210"/>
        <v>1</v>
      </c>
      <c r="R3321" s="894">
        <f t="shared" si="211"/>
        <v>0</v>
      </c>
    </row>
    <row r="3322" spans="1:18" s="847" customFormat="1">
      <c r="A3322" s="905"/>
      <c r="B3322" s="914" t="s">
        <v>5109</v>
      </c>
      <c r="C3322" s="915"/>
      <c r="D3322" s="915"/>
      <c r="E3322" s="916" t="s">
        <v>5110</v>
      </c>
      <c r="F3322" s="917" t="s">
        <v>139</v>
      </c>
      <c r="G3322" s="918"/>
      <c r="H3322" s="919"/>
      <c r="I3322" s="920"/>
      <c r="J3322" s="891">
        <f>SUM(J3323:J3324)</f>
        <v>0</v>
      </c>
      <c r="K3322" s="891"/>
      <c r="L3322" s="891">
        <f>SUM(L3323:L3324)</f>
        <v>813740</v>
      </c>
      <c r="M3322" s="891"/>
      <c r="N3322" s="891">
        <f>SUM(N3323:N3324)</f>
        <v>0</v>
      </c>
      <c r="O3322" s="892">
        <f t="shared" si="208"/>
        <v>1</v>
      </c>
      <c r="P3322" s="903">
        <f t="shared" si="209"/>
        <v>0</v>
      </c>
      <c r="Q3322" s="893">
        <f t="shared" si="210"/>
        <v>0</v>
      </c>
      <c r="R3322" s="894">
        <f t="shared" si="211"/>
        <v>2</v>
      </c>
    </row>
    <row r="3323" spans="1:18" s="904" customFormat="1">
      <c r="A3323" s="895"/>
      <c r="B3323" s="896"/>
      <c r="C3323" s="897"/>
      <c r="D3323" s="897"/>
      <c r="E3323" s="924" t="s">
        <v>276</v>
      </c>
      <c r="F3323" s="927"/>
      <c r="G3323" s="928"/>
      <c r="H3323" s="901"/>
      <c r="I3323" s="902"/>
      <c r="J3323" s="902"/>
      <c r="K3323" s="912" t="s">
        <v>274</v>
      </c>
      <c r="L3323" s="902"/>
      <c r="M3323" s="902"/>
      <c r="N3323" s="902"/>
      <c r="O3323" s="892">
        <f t="shared" si="208"/>
        <v>0</v>
      </c>
      <c r="P3323" s="903">
        <f t="shared" si="209"/>
        <v>1</v>
      </c>
      <c r="Q3323" s="893">
        <f t="shared" si="210"/>
        <v>2</v>
      </c>
      <c r="R3323" s="894">
        <f t="shared" si="211"/>
        <v>0</v>
      </c>
    </row>
    <row r="3324" spans="1:18">
      <c r="A3324" s="905"/>
      <c r="B3324" s="906"/>
      <c r="C3324" s="907">
        <v>740</v>
      </c>
      <c r="D3324" s="907" t="s">
        <v>12</v>
      </c>
      <c r="E3324" s="908" t="s">
        <v>4008</v>
      </c>
      <c r="F3324" s="909" t="s">
        <v>2674</v>
      </c>
      <c r="G3324" s="910"/>
      <c r="H3324" s="911">
        <v>3.68</v>
      </c>
      <c r="I3324" s="912"/>
      <c r="J3324" s="912"/>
      <c r="K3324" s="912">
        <f>VLOOKUP(E3324,[5]ĐMNC!$A$7:$F$67,4,0)</f>
        <v>221125</v>
      </c>
      <c r="L3324" s="912">
        <f>H3324*K3324</f>
        <v>813740</v>
      </c>
      <c r="M3324" s="912"/>
      <c r="N3324" s="912"/>
      <c r="O3324" s="892">
        <f t="shared" si="208"/>
        <v>0</v>
      </c>
      <c r="P3324" s="903">
        <f t="shared" si="209"/>
        <v>1</v>
      </c>
      <c r="Q3324" s="893">
        <f t="shared" si="210"/>
        <v>1</v>
      </c>
      <c r="R3324" s="894">
        <f t="shared" si="211"/>
        <v>0</v>
      </c>
    </row>
    <row r="3325" spans="1:18" s="847" customFormat="1">
      <c r="A3325" s="905"/>
      <c r="B3325" s="914" t="s">
        <v>5111</v>
      </c>
      <c r="C3325" s="915"/>
      <c r="D3325" s="915"/>
      <c r="E3325" s="916" t="s">
        <v>5112</v>
      </c>
      <c r="F3325" s="917" t="s">
        <v>139</v>
      </c>
      <c r="G3325" s="918"/>
      <c r="H3325" s="919"/>
      <c r="I3325" s="920"/>
      <c r="J3325" s="891">
        <f>SUM(J3326:J3327)</f>
        <v>0</v>
      </c>
      <c r="K3325" s="891"/>
      <c r="L3325" s="891">
        <f>SUM(L3326:L3327)</f>
        <v>937570</v>
      </c>
      <c r="M3325" s="891"/>
      <c r="N3325" s="891">
        <f>SUM(N3326:N3327)</f>
        <v>0</v>
      </c>
      <c r="O3325" s="892">
        <f t="shared" si="208"/>
        <v>1</v>
      </c>
      <c r="P3325" s="903">
        <f t="shared" si="209"/>
        <v>0</v>
      </c>
      <c r="Q3325" s="893">
        <f t="shared" si="210"/>
        <v>0</v>
      </c>
      <c r="R3325" s="894">
        <f t="shared" si="211"/>
        <v>2</v>
      </c>
    </row>
    <row r="3326" spans="1:18" s="904" customFormat="1">
      <c r="A3326" s="895"/>
      <c r="B3326" s="896"/>
      <c r="C3326" s="897"/>
      <c r="D3326" s="897"/>
      <c r="E3326" s="924" t="s">
        <v>276</v>
      </c>
      <c r="F3326" s="927"/>
      <c r="G3326" s="928"/>
      <c r="H3326" s="901"/>
      <c r="I3326" s="902"/>
      <c r="J3326" s="902"/>
      <c r="K3326" s="912" t="s">
        <v>274</v>
      </c>
      <c r="L3326" s="902"/>
      <c r="M3326" s="902"/>
      <c r="N3326" s="902"/>
      <c r="O3326" s="892">
        <f t="shared" si="208"/>
        <v>0</v>
      </c>
      <c r="P3326" s="903">
        <f t="shared" si="209"/>
        <v>1</v>
      </c>
      <c r="Q3326" s="893">
        <f t="shared" si="210"/>
        <v>2</v>
      </c>
      <c r="R3326" s="894">
        <f t="shared" si="211"/>
        <v>0</v>
      </c>
    </row>
    <row r="3327" spans="1:18">
      <c r="A3327" s="905"/>
      <c r="B3327" s="906"/>
      <c r="C3327" s="907">
        <v>740</v>
      </c>
      <c r="D3327" s="907" t="s">
        <v>12</v>
      </c>
      <c r="E3327" s="908" t="s">
        <v>4008</v>
      </c>
      <c r="F3327" s="909" t="s">
        <v>2674</v>
      </c>
      <c r="G3327" s="910"/>
      <c r="H3327" s="911">
        <v>4.24</v>
      </c>
      <c r="I3327" s="912"/>
      <c r="J3327" s="912"/>
      <c r="K3327" s="912">
        <f>VLOOKUP(E3327,[5]ĐMNC!$A$7:$F$67,4,0)</f>
        <v>221125</v>
      </c>
      <c r="L3327" s="912">
        <f>H3327*K3327</f>
        <v>937570</v>
      </c>
      <c r="M3327" s="912"/>
      <c r="N3327" s="912"/>
      <c r="O3327" s="892">
        <f t="shared" si="208"/>
        <v>0</v>
      </c>
      <c r="P3327" s="903">
        <f t="shared" si="209"/>
        <v>1</v>
      </c>
      <c r="Q3327" s="893">
        <f t="shared" si="210"/>
        <v>1</v>
      </c>
      <c r="R3327" s="894">
        <f t="shared" si="211"/>
        <v>0</v>
      </c>
    </row>
    <row r="3328" spans="1:18" s="847" customFormat="1">
      <c r="A3328" s="905"/>
      <c r="B3328" s="914" t="s">
        <v>5113</v>
      </c>
      <c r="C3328" s="915"/>
      <c r="D3328" s="915"/>
      <c r="E3328" s="916" t="s">
        <v>5114</v>
      </c>
      <c r="F3328" s="917" t="s">
        <v>139</v>
      </c>
      <c r="G3328" s="918"/>
      <c r="H3328" s="919"/>
      <c r="I3328" s="920"/>
      <c r="J3328" s="891">
        <f>SUM(J3329:J3330)</f>
        <v>0</v>
      </c>
      <c r="K3328" s="891"/>
      <c r="L3328" s="891">
        <f>SUM(L3329:L3330)</f>
        <v>1030442.5</v>
      </c>
      <c r="M3328" s="891"/>
      <c r="N3328" s="891">
        <f>SUM(N3329:N3330)</f>
        <v>0</v>
      </c>
      <c r="O3328" s="892">
        <f t="shared" si="208"/>
        <v>1</v>
      </c>
      <c r="P3328" s="903">
        <f t="shared" si="209"/>
        <v>0</v>
      </c>
      <c r="Q3328" s="893">
        <f t="shared" si="210"/>
        <v>0</v>
      </c>
      <c r="R3328" s="894">
        <f t="shared" si="211"/>
        <v>2</v>
      </c>
    </row>
    <row r="3329" spans="1:18" s="904" customFormat="1">
      <c r="A3329" s="895"/>
      <c r="B3329" s="896"/>
      <c r="C3329" s="897"/>
      <c r="D3329" s="897"/>
      <c r="E3329" s="924" t="s">
        <v>276</v>
      </c>
      <c r="F3329" s="927"/>
      <c r="G3329" s="928"/>
      <c r="H3329" s="901"/>
      <c r="I3329" s="902"/>
      <c r="J3329" s="902"/>
      <c r="K3329" s="912" t="s">
        <v>274</v>
      </c>
      <c r="L3329" s="902"/>
      <c r="M3329" s="902"/>
      <c r="N3329" s="902"/>
      <c r="O3329" s="892">
        <f t="shared" si="208"/>
        <v>0</v>
      </c>
      <c r="P3329" s="903">
        <f t="shared" si="209"/>
        <v>1</v>
      </c>
      <c r="Q3329" s="893">
        <f t="shared" si="210"/>
        <v>2</v>
      </c>
      <c r="R3329" s="894">
        <f t="shared" si="211"/>
        <v>0</v>
      </c>
    </row>
    <row r="3330" spans="1:18">
      <c r="A3330" s="905"/>
      <c r="B3330" s="906"/>
      <c r="C3330" s="907">
        <v>740</v>
      </c>
      <c r="D3330" s="907" t="s">
        <v>12</v>
      </c>
      <c r="E3330" s="908" t="s">
        <v>4008</v>
      </c>
      <c r="F3330" s="909" t="s">
        <v>2674</v>
      </c>
      <c r="G3330" s="910"/>
      <c r="H3330" s="911">
        <v>4.66</v>
      </c>
      <c r="I3330" s="912"/>
      <c r="J3330" s="912"/>
      <c r="K3330" s="912">
        <f>VLOOKUP(E3330,[5]ĐMNC!$A$7:$F$67,4,0)</f>
        <v>221125</v>
      </c>
      <c r="L3330" s="912">
        <f>H3330*K3330</f>
        <v>1030442.5</v>
      </c>
      <c r="M3330" s="912"/>
      <c r="N3330" s="912"/>
      <c r="O3330" s="892">
        <f t="shared" si="208"/>
        <v>0</v>
      </c>
      <c r="P3330" s="903">
        <f t="shared" si="209"/>
        <v>1</v>
      </c>
      <c r="Q3330" s="893">
        <f t="shared" si="210"/>
        <v>1</v>
      </c>
      <c r="R3330" s="894">
        <f t="shared" si="211"/>
        <v>0</v>
      </c>
    </row>
    <row r="3331" spans="1:18" s="847" customFormat="1">
      <c r="A3331" s="905"/>
      <c r="B3331" s="914" t="s">
        <v>5115</v>
      </c>
      <c r="C3331" s="915"/>
      <c r="D3331" s="915"/>
      <c r="E3331" s="916" t="s">
        <v>5116</v>
      </c>
      <c r="F3331" s="917" t="s">
        <v>139</v>
      </c>
      <c r="G3331" s="918"/>
      <c r="H3331" s="919"/>
      <c r="I3331" s="920"/>
      <c r="J3331" s="891">
        <f>SUM(J3332:J3333)</f>
        <v>0</v>
      </c>
      <c r="K3331" s="891"/>
      <c r="L3331" s="891">
        <f>SUM(L3332:L3333)</f>
        <v>1134371.25</v>
      </c>
      <c r="M3331" s="891"/>
      <c r="N3331" s="891">
        <f>SUM(N3332:N3333)</f>
        <v>0</v>
      </c>
      <c r="O3331" s="892">
        <f t="shared" si="208"/>
        <v>1</v>
      </c>
      <c r="P3331" s="903">
        <f t="shared" si="209"/>
        <v>0</v>
      </c>
      <c r="Q3331" s="893">
        <f t="shared" si="210"/>
        <v>0</v>
      </c>
      <c r="R3331" s="894">
        <f t="shared" si="211"/>
        <v>2</v>
      </c>
    </row>
    <row r="3332" spans="1:18" s="904" customFormat="1">
      <c r="A3332" s="895"/>
      <c r="B3332" s="896"/>
      <c r="C3332" s="897"/>
      <c r="D3332" s="897"/>
      <c r="E3332" s="924" t="s">
        <v>276</v>
      </c>
      <c r="F3332" s="927"/>
      <c r="G3332" s="928"/>
      <c r="H3332" s="901"/>
      <c r="I3332" s="902"/>
      <c r="J3332" s="902"/>
      <c r="K3332" s="912" t="s">
        <v>274</v>
      </c>
      <c r="L3332" s="902"/>
      <c r="M3332" s="902"/>
      <c r="N3332" s="902"/>
      <c r="O3332" s="892">
        <f t="shared" si="208"/>
        <v>0</v>
      </c>
      <c r="P3332" s="903">
        <f t="shared" si="209"/>
        <v>1</v>
      </c>
      <c r="Q3332" s="893">
        <f t="shared" si="210"/>
        <v>2</v>
      </c>
      <c r="R3332" s="894">
        <f t="shared" si="211"/>
        <v>0</v>
      </c>
    </row>
    <row r="3333" spans="1:18">
      <c r="A3333" s="905"/>
      <c r="B3333" s="906"/>
      <c r="C3333" s="907">
        <v>740</v>
      </c>
      <c r="D3333" s="907" t="s">
        <v>12</v>
      </c>
      <c r="E3333" s="908" t="s">
        <v>4008</v>
      </c>
      <c r="F3333" s="909" t="s">
        <v>2674</v>
      </c>
      <c r="G3333" s="910"/>
      <c r="H3333" s="911">
        <v>5.13</v>
      </c>
      <c r="I3333" s="912"/>
      <c r="J3333" s="912"/>
      <c r="K3333" s="912">
        <f>VLOOKUP(E3333,[5]ĐMNC!$A$7:$F$67,4,0)</f>
        <v>221125</v>
      </c>
      <c r="L3333" s="912">
        <f>H3333*K3333</f>
        <v>1134371.25</v>
      </c>
      <c r="M3333" s="912"/>
      <c r="N3333" s="912"/>
      <c r="O3333" s="892">
        <f t="shared" si="208"/>
        <v>0</v>
      </c>
      <c r="P3333" s="903">
        <f t="shared" si="209"/>
        <v>1</v>
      </c>
      <c r="Q3333" s="893">
        <f t="shared" si="210"/>
        <v>1</v>
      </c>
      <c r="R3333" s="894">
        <f t="shared" si="211"/>
        <v>0</v>
      </c>
    </row>
    <row r="3334" spans="1:18" s="847" customFormat="1">
      <c r="A3334" s="905"/>
      <c r="B3334" s="914" t="s">
        <v>5117</v>
      </c>
      <c r="C3334" s="915"/>
      <c r="D3334" s="915"/>
      <c r="E3334" s="916" t="s">
        <v>5118</v>
      </c>
      <c r="F3334" s="917" t="s">
        <v>139</v>
      </c>
      <c r="G3334" s="918"/>
      <c r="H3334" s="919"/>
      <c r="I3334" s="920"/>
      <c r="J3334" s="891">
        <f>SUM(J3335:J3336)</f>
        <v>0</v>
      </c>
      <c r="K3334" s="891"/>
      <c r="L3334" s="891">
        <f>SUM(L3335:L3336)</f>
        <v>592615</v>
      </c>
      <c r="M3334" s="891"/>
      <c r="N3334" s="891">
        <f>SUM(N3335:N3336)</f>
        <v>0</v>
      </c>
      <c r="O3334" s="892">
        <f t="shared" si="208"/>
        <v>1</v>
      </c>
      <c r="P3334" s="903">
        <f t="shared" si="209"/>
        <v>0</v>
      </c>
      <c r="Q3334" s="893">
        <f t="shared" si="210"/>
        <v>0</v>
      </c>
      <c r="R3334" s="894">
        <f t="shared" si="211"/>
        <v>2</v>
      </c>
    </row>
    <row r="3335" spans="1:18" s="904" customFormat="1">
      <c r="A3335" s="895"/>
      <c r="B3335" s="922"/>
      <c r="C3335" s="897"/>
      <c r="D3335" s="897"/>
      <c r="E3335" s="924" t="s">
        <v>276</v>
      </c>
      <c r="F3335" s="927"/>
      <c r="G3335" s="928"/>
      <c r="H3335" s="901"/>
      <c r="I3335" s="902"/>
      <c r="J3335" s="902"/>
      <c r="K3335" s="912" t="s">
        <v>274</v>
      </c>
      <c r="L3335" s="902"/>
      <c r="M3335" s="902"/>
      <c r="N3335" s="902"/>
      <c r="O3335" s="892">
        <f t="shared" si="208"/>
        <v>0</v>
      </c>
      <c r="P3335" s="903">
        <f t="shared" si="209"/>
        <v>1</v>
      </c>
      <c r="Q3335" s="893">
        <f t="shared" si="210"/>
        <v>2</v>
      </c>
      <c r="R3335" s="894">
        <f t="shared" si="211"/>
        <v>0</v>
      </c>
    </row>
    <row r="3336" spans="1:18">
      <c r="A3336" s="905"/>
      <c r="B3336" s="906"/>
      <c r="C3336" s="907">
        <v>740</v>
      </c>
      <c r="D3336" s="907" t="s">
        <v>12</v>
      </c>
      <c r="E3336" s="908" t="s">
        <v>4008</v>
      </c>
      <c r="F3336" s="909" t="s">
        <v>2674</v>
      </c>
      <c r="G3336" s="910"/>
      <c r="H3336" s="911">
        <v>2.68</v>
      </c>
      <c r="I3336" s="912"/>
      <c r="J3336" s="912"/>
      <c r="K3336" s="912">
        <f>VLOOKUP(E3336,[5]ĐMNC!$A$7:$F$67,4,0)</f>
        <v>221125</v>
      </c>
      <c r="L3336" s="912">
        <f>H3336*K3336</f>
        <v>592615</v>
      </c>
      <c r="M3336" s="912"/>
      <c r="N3336" s="912"/>
      <c r="O3336" s="892">
        <f t="shared" si="208"/>
        <v>0</v>
      </c>
      <c r="P3336" s="903">
        <f t="shared" si="209"/>
        <v>1</v>
      </c>
      <c r="Q3336" s="893">
        <f t="shared" si="210"/>
        <v>1</v>
      </c>
      <c r="R3336" s="894">
        <f t="shared" si="211"/>
        <v>0</v>
      </c>
    </row>
    <row r="3337" spans="1:18" s="847" customFormat="1">
      <c r="A3337" s="905"/>
      <c r="B3337" s="914" t="s">
        <v>5119</v>
      </c>
      <c r="C3337" s="915"/>
      <c r="D3337" s="915"/>
      <c r="E3337" s="916" t="s">
        <v>5120</v>
      </c>
      <c r="F3337" s="917" t="s">
        <v>139</v>
      </c>
      <c r="G3337" s="918"/>
      <c r="H3337" s="919"/>
      <c r="I3337" s="920"/>
      <c r="J3337" s="891">
        <f>SUM(J3338:J3339)</f>
        <v>0</v>
      </c>
      <c r="K3337" s="891"/>
      <c r="L3337" s="891">
        <f>SUM(L3338:L3339)</f>
        <v>621361.25</v>
      </c>
      <c r="M3337" s="891"/>
      <c r="N3337" s="891">
        <f>SUM(N3338:N3339)</f>
        <v>0</v>
      </c>
      <c r="O3337" s="892">
        <f t="shared" si="208"/>
        <v>1</v>
      </c>
      <c r="P3337" s="903">
        <f t="shared" si="209"/>
        <v>0</v>
      </c>
      <c r="Q3337" s="893">
        <f t="shared" si="210"/>
        <v>0</v>
      </c>
      <c r="R3337" s="894">
        <f t="shared" si="211"/>
        <v>2</v>
      </c>
    </row>
    <row r="3338" spans="1:18" s="904" customFormat="1">
      <c r="A3338" s="895"/>
      <c r="B3338" s="896"/>
      <c r="C3338" s="897"/>
      <c r="D3338" s="897"/>
      <c r="E3338" s="924" t="s">
        <v>276</v>
      </c>
      <c r="F3338" s="927"/>
      <c r="G3338" s="928"/>
      <c r="H3338" s="901"/>
      <c r="I3338" s="902"/>
      <c r="J3338" s="902"/>
      <c r="K3338" s="912" t="s">
        <v>274</v>
      </c>
      <c r="L3338" s="902"/>
      <c r="M3338" s="902"/>
      <c r="N3338" s="902"/>
      <c r="O3338" s="892">
        <f t="shared" si="208"/>
        <v>0</v>
      </c>
      <c r="P3338" s="903">
        <f t="shared" si="209"/>
        <v>1</v>
      </c>
      <c r="Q3338" s="893">
        <f t="shared" si="210"/>
        <v>2</v>
      </c>
      <c r="R3338" s="894">
        <f t="shared" si="211"/>
        <v>0</v>
      </c>
    </row>
    <row r="3339" spans="1:18">
      <c r="A3339" s="905"/>
      <c r="B3339" s="906"/>
      <c r="C3339" s="907">
        <v>740</v>
      </c>
      <c r="D3339" s="907" t="s">
        <v>12</v>
      </c>
      <c r="E3339" s="908" t="s">
        <v>4008</v>
      </c>
      <c r="F3339" s="909" t="s">
        <v>2674</v>
      </c>
      <c r="G3339" s="910"/>
      <c r="H3339" s="911">
        <v>2.81</v>
      </c>
      <c r="I3339" s="912"/>
      <c r="J3339" s="912"/>
      <c r="K3339" s="912">
        <f>VLOOKUP(E3339,[5]ĐMNC!$A$7:$F$67,4,0)</f>
        <v>221125</v>
      </c>
      <c r="L3339" s="912">
        <f>H3339*K3339</f>
        <v>621361.25</v>
      </c>
      <c r="M3339" s="912"/>
      <c r="N3339" s="912"/>
      <c r="O3339" s="892">
        <f t="shared" si="208"/>
        <v>0</v>
      </c>
      <c r="P3339" s="903">
        <f t="shared" si="209"/>
        <v>1</v>
      </c>
      <c r="Q3339" s="893">
        <f t="shared" si="210"/>
        <v>1</v>
      </c>
      <c r="R3339" s="894">
        <f t="shared" si="211"/>
        <v>0</v>
      </c>
    </row>
    <row r="3340" spans="1:18" s="847" customFormat="1">
      <c r="A3340" s="905"/>
      <c r="B3340" s="914" t="s">
        <v>5121</v>
      </c>
      <c r="C3340" s="915"/>
      <c r="D3340" s="915"/>
      <c r="E3340" s="916" t="s">
        <v>5122</v>
      </c>
      <c r="F3340" s="917" t="s">
        <v>139</v>
      </c>
      <c r="G3340" s="918"/>
      <c r="H3340" s="919"/>
      <c r="I3340" s="920"/>
      <c r="J3340" s="891">
        <f>SUM(J3341:J3342)</f>
        <v>0</v>
      </c>
      <c r="K3340" s="891"/>
      <c r="L3340" s="891">
        <f>SUM(L3341:L3342)</f>
        <v>661163.75</v>
      </c>
      <c r="M3340" s="891"/>
      <c r="N3340" s="891">
        <f>SUM(N3341:N3342)</f>
        <v>0</v>
      </c>
      <c r="O3340" s="892">
        <f t="shared" si="208"/>
        <v>1</v>
      </c>
      <c r="P3340" s="903">
        <f t="shared" si="209"/>
        <v>0</v>
      </c>
      <c r="Q3340" s="893">
        <f t="shared" si="210"/>
        <v>0</v>
      </c>
      <c r="R3340" s="894">
        <f t="shared" si="211"/>
        <v>2</v>
      </c>
    </row>
    <row r="3341" spans="1:18" s="904" customFormat="1">
      <c r="A3341" s="895"/>
      <c r="B3341" s="896"/>
      <c r="C3341" s="897"/>
      <c r="D3341" s="897"/>
      <c r="E3341" s="924" t="s">
        <v>276</v>
      </c>
      <c r="F3341" s="927"/>
      <c r="G3341" s="928"/>
      <c r="H3341" s="901"/>
      <c r="I3341" s="902"/>
      <c r="J3341" s="902"/>
      <c r="K3341" s="912" t="s">
        <v>274</v>
      </c>
      <c r="L3341" s="902"/>
      <c r="M3341" s="902"/>
      <c r="N3341" s="902"/>
      <c r="O3341" s="892">
        <f t="shared" si="208"/>
        <v>0</v>
      </c>
      <c r="P3341" s="903">
        <f t="shared" si="209"/>
        <v>1</v>
      </c>
      <c r="Q3341" s="893">
        <f t="shared" si="210"/>
        <v>2</v>
      </c>
      <c r="R3341" s="894">
        <f t="shared" si="211"/>
        <v>0</v>
      </c>
    </row>
    <row r="3342" spans="1:18">
      <c r="A3342" s="905"/>
      <c r="B3342" s="906"/>
      <c r="C3342" s="907">
        <v>740</v>
      </c>
      <c r="D3342" s="907" t="s">
        <v>12</v>
      </c>
      <c r="E3342" s="908" t="s">
        <v>4008</v>
      </c>
      <c r="F3342" s="909" t="s">
        <v>2674</v>
      </c>
      <c r="G3342" s="910"/>
      <c r="H3342" s="911">
        <v>2.99</v>
      </c>
      <c r="I3342" s="912"/>
      <c r="J3342" s="912"/>
      <c r="K3342" s="912">
        <f>VLOOKUP(E3342,[5]ĐMNC!$A$7:$F$67,4,0)</f>
        <v>221125</v>
      </c>
      <c r="L3342" s="912">
        <f>H3342*K3342</f>
        <v>661163.75</v>
      </c>
      <c r="M3342" s="912"/>
      <c r="N3342" s="912"/>
      <c r="O3342" s="892">
        <f t="shared" si="208"/>
        <v>0</v>
      </c>
      <c r="P3342" s="903">
        <f t="shared" si="209"/>
        <v>1</v>
      </c>
      <c r="Q3342" s="893">
        <f t="shared" si="210"/>
        <v>1</v>
      </c>
      <c r="R3342" s="894">
        <f t="shared" si="211"/>
        <v>0</v>
      </c>
    </row>
    <row r="3343" spans="1:18" s="847" customFormat="1">
      <c r="A3343" s="905"/>
      <c r="B3343" s="914" t="s">
        <v>5123</v>
      </c>
      <c r="C3343" s="915"/>
      <c r="D3343" s="915"/>
      <c r="E3343" s="916" t="s">
        <v>5124</v>
      </c>
      <c r="F3343" s="917" t="s">
        <v>139</v>
      </c>
      <c r="G3343" s="918"/>
      <c r="H3343" s="919"/>
      <c r="I3343" s="920"/>
      <c r="J3343" s="891">
        <f>SUM(J3344:J3345)</f>
        <v>0</v>
      </c>
      <c r="K3343" s="891"/>
      <c r="L3343" s="891">
        <f>SUM(L3344:L3345)</f>
        <v>742980</v>
      </c>
      <c r="M3343" s="891"/>
      <c r="N3343" s="891">
        <f>SUM(N3344:N3345)</f>
        <v>0</v>
      </c>
      <c r="O3343" s="892">
        <f t="shared" si="208"/>
        <v>1</v>
      </c>
      <c r="P3343" s="903">
        <f t="shared" si="209"/>
        <v>0</v>
      </c>
      <c r="Q3343" s="893">
        <f t="shared" si="210"/>
        <v>0</v>
      </c>
      <c r="R3343" s="894">
        <f t="shared" si="211"/>
        <v>2</v>
      </c>
    </row>
    <row r="3344" spans="1:18" s="904" customFormat="1">
      <c r="A3344" s="895"/>
      <c r="B3344" s="896"/>
      <c r="C3344" s="897"/>
      <c r="D3344" s="897"/>
      <c r="E3344" s="924" t="s">
        <v>276</v>
      </c>
      <c r="F3344" s="927"/>
      <c r="G3344" s="928"/>
      <c r="H3344" s="901"/>
      <c r="I3344" s="902"/>
      <c r="J3344" s="902"/>
      <c r="K3344" s="912" t="s">
        <v>274</v>
      </c>
      <c r="L3344" s="902"/>
      <c r="M3344" s="902"/>
      <c r="N3344" s="902"/>
      <c r="O3344" s="892">
        <f t="shared" si="208"/>
        <v>0</v>
      </c>
      <c r="P3344" s="903">
        <f t="shared" si="209"/>
        <v>1</v>
      </c>
      <c r="Q3344" s="893">
        <f t="shared" si="210"/>
        <v>2</v>
      </c>
      <c r="R3344" s="894">
        <f t="shared" si="211"/>
        <v>0</v>
      </c>
    </row>
    <row r="3345" spans="1:18">
      <c r="A3345" s="905"/>
      <c r="B3345" s="906"/>
      <c r="C3345" s="907">
        <v>740</v>
      </c>
      <c r="D3345" s="907" t="s">
        <v>12</v>
      </c>
      <c r="E3345" s="908" t="s">
        <v>4008</v>
      </c>
      <c r="F3345" s="909" t="s">
        <v>2674</v>
      </c>
      <c r="G3345" s="910"/>
      <c r="H3345" s="911">
        <v>3.36</v>
      </c>
      <c r="I3345" s="912"/>
      <c r="J3345" s="912"/>
      <c r="K3345" s="912">
        <f>VLOOKUP(E3345,[5]ĐMNC!$A$7:$F$67,4,0)</f>
        <v>221125</v>
      </c>
      <c r="L3345" s="912">
        <f>H3345*K3345</f>
        <v>742980</v>
      </c>
      <c r="M3345" s="912"/>
      <c r="N3345" s="912"/>
      <c r="O3345" s="892">
        <f t="shared" si="208"/>
        <v>0</v>
      </c>
      <c r="P3345" s="903">
        <f t="shared" si="209"/>
        <v>1</v>
      </c>
      <c r="Q3345" s="893">
        <f t="shared" si="210"/>
        <v>1</v>
      </c>
      <c r="R3345" s="894">
        <f t="shared" si="211"/>
        <v>0</v>
      </c>
    </row>
    <row r="3346" spans="1:18" s="847" customFormat="1">
      <c r="A3346" s="905"/>
      <c r="B3346" s="914" t="s">
        <v>5125</v>
      </c>
      <c r="C3346" s="915"/>
      <c r="D3346" s="915"/>
      <c r="E3346" s="916" t="s">
        <v>5126</v>
      </c>
      <c r="F3346" s="917" t="s">
        <v>139</v>
      </c>
      <c r="G3346" s="918"/>
      <c r="H3346" s="919"/>
      <c r="I3346" s="920"/>
      <c r="J3346" s="891">
        <f>SUM(J3347:J3348)</f>
        <v>0</v>
      </c>
      <c r="K3346" s="891"/>
      <c r="L3346" s="891">
        <f>SUM(L3347:L3348)</f>
        <v>906612.49999999988</v>
      </c>
      <c r="M3346" s="891"/>
      <c r="N3346" s="891">
        <f>SUM(N3347:N3348)</f>
        <v>0</v>
      </c>
      <c r="O3346" s="892">
        <f t="shared" si="208"/>
        <v>1</v>
      </c>
      <c r="P3346" s="903">
        <f t="shared" si="209"/>
        <v>0</v>
      </c>
      <c r="Q3346" s="893">
        <f t="shared" si="210"/>
        <v>0</v>
      </c>
      <c r="R3346" s="894">
        <f t="shared" si="211"/>
        <v>2</v>
      </c>
    </row>
    <row r="3347" spans="1:18" s="904" customFormat="1">
      <c r="A3347" s="895"/>
      <c r="B3347" s="896"/>
      <c r="C3347" s="897"/>
      <c r="D3347" s="897"/>
      <c r="E3347" s="924" t="s">
        <v>276</v>
      </c>
      <c r="F3347" s="927"/>
      <c r="G3347" s="928"/>
      <c r="H3347" s="901"/>
      <c r="I3347" s="902"/>
      <c r="J3347" s="902"/>
      <c r="K3347" s="912" t="s">
        <v>274</v>
      </c>
      <c r="L3347" s="902"/>
      <c r="M3347" s="902"/>
      <c r="N3347" s="902"/>
      <c r="O3347" s="892">
        <f t="shared" si="208"/>
        <v>0</v>
      </c>
      <c r="P3347" s="903">
        <f t="shared" si="209"/>
        <v>1</v>
      </c>
      <c r="Q3347" s="893">
        <f t="shared" si="210"/>
        <v>2</v>
      </c>
      <c r="R3347" s="894">
        <f t="shared" si="211"/>
        <v>0</v>
      </c>
    </row>
    <row r="3348" spans="1:18">
      <c r="A3348" s="905"/>
      <c r="B3348" s="906"/>
      <c r="C3348" s="907">
        <v>740</v>
      </c>
      <c r="D3348" s="907" t="s">
        <v>12</v>
      </c>
      <c r="E3348" s="908" t="s">
        <v>4008</v>
      </c>
      <c r="F3348" s="909" t="s">
        <v>2674</v>
      </c>
      <c r="G3348" s="910"/>
      <c r="H3348" s="911">
        <v>4.0999999999999996</v>
      </c>
      <c r="I3348" s="912"/>
      <c r="J3348" s="912"/>
      <c r="K3348" s="912">
        <f>VLOOKUP(E3348,[5]ĐMNC!$A$7:$F$67,4,0)</f>
        <v>221125</v>
      </c>
      <c r="L3348" s="912">
        <f>H3348*K3348</f>
        <v>906612.49999999988</v>
      </c>
      <c r="M3348" s="912"/>
      <c r="N3348" s="912"/>
      <c r="O3348" s="892">
        <f t="shared" si="208"/>
        <v>0</v>
      </c>
      <c r="P3348" s="903">
        <f t="shared" si="209"/>
        <v>1</v>
      </c>
      <c r="Q3348" s="893">
        <f t="shared" si="210"/>
        <v>1</v>
      </c>
      <c r="R3348" s="894">
        <f t="shared" si="211"/>
        <v>0</v>
      </c>
    </row>
    <row r="3349" spans="1:18" s="847" customFormat="1">
      <c r="A3349" s="905"/>
      <c r="B3349" s="914" t="s">
        <v>5127</v>
      </c>
      <c r="C3349" s="915"/>
      <c r="D3349" s="915"/>
      <c r="E3349" s="916" t="s">
        <v>5128</v>
      </c>
      <c r="F3349" s="917" t="s">
        <v>139</v>
      </c>
      <c r="G3349" s="918"/>
      <c r="H3349" s="919"/>
      <c r="I3349" s="920"/>
      <c r="J3349" s="891">
        <f>SUM(J3350:J3351)</f>
        <v>0</v>
      </c>
      <c r="K3349" s="891"/>
      <c r="L3349" s="891">
        <f>SUM(L3350:L3351)</f>
        <v>953048.74999999988</v>
      </c>
      <c r="M3349" s="891"/>
      <c r="N3349" s="891">
        <f>SUM(N3350:N3351)</f>
        <v>0</v>
      </c>
      <c r="O3349" s="892">
        <f t="shared" si="208"/>
        <v>1</v>
      </c>
      <c r="P3349" s="903">
        <f t="shared" si="209"/>
        <v>0</v>
      </c>
      <c r="Q3349" s="893">
        <f t="shared" si="210"/>
        <v>0</v>
      </c>
      <c r="R3349" s="894">
        <f t="shared" si="211"/>
        <v>2</v>
      </c>
    </row>
    <row r="3350" spans="1:18" s="904" customFormat="1">
      <c r="A3350" s="895"/>
      <c r="B3350" s="896"/>
      <c r="C3350" s="897"/>
      <c r="D3350" s="897"/>
      <c r="E3350" s="924" t="s">
        <v>276</v>
      </c>
      <c r="F3350" s="927"/>
      <c r="G3350" s="928"/>
      <c r="H3350" s="901"/>
      <c r="I3350" s="902"/>
      <c r="J3350" s="902"/>
      <c r="K3350" s="912" t="s">
        <v>274</v>
      </c>
      <c r="L3350" s="902"/>
      <c r="M3350" s="902"/>
      <c r="N3350" s="902"/>
      <c r="O3350" s="892">
        <f t="shared" si="208"/>
        <v>0</v>
      </c>
      <c r="P3350" s="903">
        <f t="shared" si="209"/>
        <v>1</v>
      </c>
      <c r="Q3350" s="893">
        <f t="shared" si="210"/>
        <v>2</v>
      </c>
      <c r="R3350" s="894">
        <f t="shared" si="211"/>
        <v>0</v>
      </c>
    </row>
    <row r="3351" spans="1:18">
      <c r="A3351" s="905"/>
      <c r="B3351" s="906"/>
      <c r="C3351" s="907">
        <v>740</v>
      </c>
      <c r="D3351" s="907" t="s">
        <v>12</v>
      </c>
      <c r="E3351" s="908" t="s">
        <v>4008</v>
      </c>
      <c r="F3351" s="909" t="s">
        <v>2674</v>
      </c>
      <c r="G3351" s="910"/>
      <c r="H3351" s="911">
        <v>4.3099999999999996</v>
      </c>
      <c r="I3351" s="912"/>
      <c r="J3351" s="912"/>
      <c r="K3351" s="912">
        <f>VLOOKUP(E3351,[5]ĐMNC!$A$7:$F$67,4,0)</f>
        <v>221125</v>
      </c>
      <c r="L3351" s="912">
        <f>H3351*K3351</f>
        <v>953048.74999999988</v>
      </c>
      <c r="M3351" s="912"/>
      <c r="N3351" s="912"/>
      <c r="O3351" s="892">
        <f t="shared" si="208"/>
        <v>0</v>
      </c>
      <c r="P3351" s="903">
        <f t="shared" si="209"/>
        <v>1</v>
      </c>
      <c r="Q3351" s="893">
        <f t="shared" si="210"/>
        <v>1</v>
      </c>
      <c r="R3351" s="894">
        <f t="shared" si="211"/>
        <v>0</v>
      </c>
    </row>
    <row r="3352" spans="1:18" s="847" customFormat="1">
      <c r="A3352" s="905"/>
      <c r="B3352" s="914" t="s">
        <v>5129</v>
      </c>
      <c r="C3352" s="915"/>
      <c r="D3352" s="915"/>
      <c r="E3352" s="916" t="s">
        <v>5130</v>
      </c>
      <c r="F3352" s="917" t="s">
        <v>139</v>
      </c>
      <c r="G3352" s="918"/>
      <c r="H3352" s="919"/>
      <c r="I3352" s="920"/>
      <c r="J3352" s="891">
        <f>SUM(J3353:J3354)</f>
        <v>0</v>
      </c>
      <c r="K3352" s="891"/>
      <c r="L3352" s="891">
        <f>SUM(L3353:L3354)</f>
        <v>1096780</v>
      </c>
      <c r="M3352" s="891"/>
      <c r="N3352" s="891">
        <f>SUM(N3353:N3354)</f>
        <v>0</v>
      </c>
      <c r="O3352" s="892">
        <f t="shared" si="208"/>
        <v>1</v>
      </c>
      <c r="P3352" s="903">
        <f t="shared" si="209"/>
        <v>0</v>
      </c>
      <c r="Q3352" s="893">
        <f t="shared" si="210"/>
        <v>0</v>
      </c>
      <c r="R3352" s="894">
        <f t="shared" si="211"/>
        <v>2</v>
      </c>
    </row>
    <row r="3353" spans="1:18" s="904" customFormat="1">
      <c r="A3353" s="895"/>
      <c r="B3353" s="896"/>
      <c r="C3353" s="897"/>
      <c r="D3353" s="897"/>
      <c r="E3353" s="924" t="s">
        <v>276</v>
      </c>
      <c r="F3353" s="927"/>
      <c r="G3353" s="928"/>
      <c r="H3353" s="901"/>
      <c r="I3353" s="902"/>
      <c r="J3353" s="902"/>
      <c r="K3353" s="912" t="s">
        <v>274</v>
      </c>
      <c r="L3353" s="902"/>
      <c r="M3353" s="902"/>
      <c r="N3353" s="902"/>
      <c r="O3353" s="892">
        <f t="shared" si="208"/>
        <v>0</v>
      </c>
      <c r="P3353" s="903">
        <f t="shared" si="209"/>
        <v>1</v>
      </c>
      <c r="Q3353" s="893">
        <f t="shared" si="210"/>
        <v>2</v>
      </c>
      <c r="R3353" s="894">
        <f t="shared" si="211"/>
        <v>0</v>
      </c>
    </row>
    <row r="3354" spans="1:18">
      <c r="A3354" s="905"/>
      <c r="B3354" s="906"/>
      <c r="C3354" s="907">
        <v>740</v>
      </c>
      <c r="D3354" s="907" t="s">
        <v>12</v>
      </c>
      <c r="E3354" s="908" t="s">
        <v>4008</v>
      </c>
      <c r="F3354" s="909" t="s">
        <v>2674</v>
      </c>
      <c r="G3354" s="910"/>
      <c r="H3354" s="911">
        <v>4.96</v>
      </c>
      <c r="I3354" s="912"/>
      <c r="J3354" s="912"/>
      <c r="K3354" s="912">
        <f>VLOOKUP(E3354,[5]ĐMNC!$A$7:$F$67,4,0)</f>
        <v>221125</v>
      </c>
      <c r="L3354" s="912">
        <f>H3354*K3354</f>
        <v>1096780</v>
      </c>
      <c r="M3354" s="912"/>
      <c r="N3354" s="912"/>
      <c r="O3354" s="892">
        <f t="shared" si="208"/>
        <v>0</v>
      </c>
      <c r="P3354" s="903">
        <f t="shared" si="209"/>
        <v>1</v>
      </c>
      <c r="Q3354" s="893">
        <f t="shared" si="210"/>
        <v>1</v>
      </c>
      <c r="R3354" s="894">
        <f t="shared" si="211"/>
        <v>0</v>
      </c>
    </row>
    <row r="3355" spans="1:18" s="847" customFormat="1">
      <c r="A3355" s="905"/>
      <c r="B3355" s="914" t="s">
        <v>5131</v>
      </c>
      <c r="C3355" s="915"/>
      <c r="D3355" s="915"/>
      <c r="E3355" s="916" t="s">
        <v>5132</v>
      </c>
      <c r="F3355" s="917" t="s">
        <v>139</v>
      </c>
      <c r="G3355" s="918"/>
      <c r="H3355" s="919"/>
      <c r="I3355" s="920"/>
      <c r="J3355" s="891">
        <f>SUM(J3356:J3357)</f>
        <v>0</v>
      </c>
      <c r="K3355" s="891"/>
      <c r="L3355" s="891">
        <f>SUM(L3356:L3357)</f>
        <v>1205131.25</v>
      </c>
      <c r="M3355" s="891"/>
      <c r="N3355" s="891">
        <f>SUM(N3356:N3357)</f>
        <v>0</v>
      </c>
      <c r="O3355" s="892">
        <f t="shared" si="208"/>
        <v>1</v>
      </c>
      <c r="P3355" s="903">
        <f t="shared" si="209"/>
        <v>0</v>
      </c>
      <c r="Q3355" s="893">
        <f t="shared" si="210"/>
        <v>0</v>
      </c>
      <c r="R3355" s="894">
        <f t="shared" si="211"/>
        <v>2</v>
      </c>
    </row>
    <row r="3356" spans="1:18" s="904" customFormat="1">
      <c r="A3356" s="895"/>
      <c r="B3356" s="896"/>
      <c r="C3356" s="897"/>
      <c r="D3356" s="897"/>
      <c r="E3356" s="924" t="s">
        <v>276</v>
      </c>
      <c r="F3356" s="927"/>
      <c r="G3356" s="928"/>
      <c r="H3356" s="901"/>
      <c r="I3356" s="902"/>
      <c r="J3356" s="902"/>
      <c r="K3356" s="912" t="s">
        <v>274</v>
      </c>
      <c r="L3356" s="902"/>
      <c r="M3356" s="902"/>
      <c r="N3356" s="902"/>
      <c r="O3356" s="892">
        <f t="shared" si="208"/>
        <v>0</v>
      </c>
      <c r="P3356" s="903">
        <f t="shared" si="209"/>
        <v>1</v>
      </c>
      <c r="Q3356" s="893">
        <f t="shared" si="210"/>
        <v>2</v>
      </c>
      <c r="R3356" s="894">
        <f t="shared" si="211"/>
        <v>0</v>
      </c>
    </row>
    <row r="3357" spans="1:18">
      <c r="A3357" s="905"/>
      <c r="B3357" s="906"/>
      <c r="C3357" s="907">
        <v>740</v>
      </c>
      <c r="D3357" s="907" t="s">
        <v>12</v>
      </c>
      <c r="E3357" s="908" t="s">
        <v>4008</v>
      </c>
      <c r="F3357" s="909" t="s">
        <v>2674</v>
      </c>
      <c r="G3357" s="910"/>
      <c r="H3357" s="911">
        <v>5.45</v>
      </c>
      <c r="I3357" s="912"/>
      <c r="J3357" s="912"/>
      <c r="K3357" s="912">
        <f>VLOOKUP(E3357,[5]ĐMNC!$A$7:$F$67,4,0)</f>
        <v>221125</v>
      </c>
      <c r="L3357" s="912">
        <f>H3357*K3357</f>
        <v>1205131.25</v>
      </c>
      <c r="M3357" s="912"/>
      <c r="N3357" s="912"/>
      <c r="O3357" s="892">
        <f t="shared" ref="O3357:O3420" si="212">IF(AND(B3357&lt;&gt;"",D3357=""),1,0)</f>
        <v>0</v>
      </c>
      <c r="P3357" s="903">
        <f t="shared" si="209"/>
        <v>1</v>
      </c>
      <c r="Q3357" s="893">
        <f t="shared" si="210"/>
        <v>1</v>
      </c>
      <c r="R3357" s="894">
        <f t="shared" si="211"/>
        <v>0</v>
      </c>
    </row>
    <row r="3358" spans="1:18" s="847" customFormat="1">
      <c r="A3358" s="905"/>
      <c r="B3358" s="914" t="s">
        <v>5133</v>
      </c>
      <c r="C3358" s="915"/>
      <c r="D3358" s="915"/>
      <c r="E3358" s="916" t="s">
        <v>5134</v>
      </c>
      <c r="F3358" s="917" t="s">
        <v>139</v>
      </c>
      <c r="G3358" s="918"/>
      <c r="H3358" s="919"/>
      <c r="I3358" s="920"/>
      <c r="J3358" s="891">
        <f>SUM(J3359:J3360)</f>
        <v>0</v>
      </c>
      <c r="K3358" s="891"/>
      <c r="L3358" s="891">
        <f>SUM(L3359:L3360)</f>
        <v>1326750</v>
      </c>
      <c r="M3358" s="891"/>
      <c r="N3358" s="891">
        <f>SUM(N3359:N3360)</f>
        <v>0</v>
      </c>
      <c r="O3358" s="892">
        <f t="shared" si="212"/>
        <v>1</v>
      </c>
      <c r="P3358" s="903">
        <f t="shared" si="209"/>
        <v>0</v>
      </c>
      <c r="Q3358" s="893">
        <f t="shared" si="210"/>
        <v>0</v>
      </c>
      <c r="R3358" s="894">
        <f t="shared" si="211"/>
        <v>2</v>
      </c>
    </row>
    <row r="3359" spans="1:18" s="904" customFormat="1">
      <c r="A3359" s="895"/>
      <c r="B3359" s="896"/>
      <c r="C3359" s="897"/>
      <c r="D3359" s="897"/>
      <c r="E3359" s="924" t="s">
        <v>276</v>
      </c>
      <c r="F3359" s="927"/>
      <c r="G3359" s="928"/>
      <c r="H3359" s="901"/>
      <c r="I3359" s="902"/>
      <c r="J3359" s="902"/>
      <c r="K3359" s="912" t="s">
        <v>274</v>
      </c>
      <c r="L3359" s="902"/>
      <c r="M3359" s="902"/>
      <c r="N3359" s="902"/>
      <c r="O3359" s="892">
        <f t="shared" si="212"/>
        <v>0</v>
      </c>
      <c r="P3359" s="903">
        <f t="shared" si="209"/>
        <v>1</v>
      </c>
      <c r="Q3359" s="893">
        <f t="shared" si="210"/>
        <v>2</v>
      </c>
      <c r="R3359" s="894">
        <f t="shared" si="211"/>
        <v>0</v>
      </c>
    </row>
    <row r="3360" spans="1:18">
      <c r="A3360" s="905"/>
      <c r="B3360" s="906"/>
      <c r="C3360" s="907">
        <v>740</v>
      </c>
      <c r="D3360" s="907" t="s">
        <v>12</v>
      </c>
      <c r="E3360" s="908" t="s">
        <v>4008</v>
      </c>
      <c r="F3360" s="909" t="s">
        <v>2674</v>
      </c>
      <c r="G3360" s="910"/>
      <c r="H3360" s="911">
        <v>6</v>
      </c>
      <c r="I3360" s="912"/>
      <c r="J3360" s="912"/>
      <c r="K3360" s="912">
        <f>VLOOKUP(E3360,[5]ĐMNC!$A$7:$F$67,4,0)</f>
        <v>221125</v>
      </c>
      <c r="L3360" s="912">
        <f>H3360*K3360</f>
        <v>1326750</v>
      </c>
      <c r="M3360" s="912"/>
      <c r="N3360" s="912"/>
      <c r="O3360" s="892">
        <f t="shared" si="212"/>
        <v>0</v>
      </c>
      <c r="P3360" s="903">
        <f t="shared" si="209"/>
        <v>1</v>
      </c>
      <c r="Q3360" s="893">
        <f t="shared" si="210"/>
        <v>1</v>
      </c>
      <c r="R3360" s="894">
        <f t="shared" si="211"/>
        <v>0</v>
      </c>
    </row>
    <row r="3361" spans="1:18" s="847" customFormat="1">
      <c r="A3361" s="905"/>
      <c r="B3361" s="914" t="s">
        <v>5135</v>
      </c>
      <c r="C3361" s="915"/>
      <c r="D3361" s="915"/>
      <c r="E3361" s="916" t="s">
        <v>5136</v>
      </c>
      <c r="F3361" s="917" t="s">
        <v>139</v>
      </c>
      <c r="G3361" s="918"/>
      <c r="H3361" s="919"/>
      <c r="I3361" s="920"/>
      <c r="J3361" s="891">
        <f>SUM(J3362:J3363)</f>
        <v>0</v>
      </c>
      <c r="K3361" s="891"/>
      <c r="L3361" s="891">
        <f>SUM(L3362:L3363)</f>
        <v>687698.75</v>
      </c>
      <c r="M3361" s="891"/>
      <c r="N3361" s="891">
        <f>SUM(N3362:N3363)</f>
        <v>0</v>
      </c>
      <c r="O3361" s="892">
        <f t="shared" si="212"/>
        <v>1</v>
      </c>
      <c r="P3361" s="903">
        <f t="shared" si="209"/>
        <v>0</v>
      </c>
      <c r="Q3361" s="893">
        <f t="shared" si="210"/>
        <v>0</v>
      </c>
      <c r="R3361" s="894">
        <f t="shared" si="211"/>
        <v>2</v>
      </c>
    </row>
    <row r="3362" spans="1:18" s="904" customFormat="1">
      <c r="A3362" s="895"/>
      <c r="B3362" s="922"/>
      <c r="C3362" s="897"/>
      <c r="D3362" s="897"/>
      <c r="E3362" s="924" t="s">
        <v>276</v>
      </c>
      <c r="F3362" s="927"/>
      <c r="G3362" s="928"/>
      <c r="H3362" s="901"/>
      <c r="I3362" s="902"/>
      <c r="J3362" s="902"/>
      <c r="K3362" s="912" t="s">
        <v>274</v>
      </c>
      <c r="L3362" s="902"/>
      <c r="M3362" s="902"/>
      <c r="N3362" s="902"/>
      <c r="O3362" s="892">
        <f t="shared" si="212"/>
        <v>0</v>
      </c>
      <c r="P3362" s="903">
        <f t="shared" si="209"/>
        <v>1</v>
      </c>
      <c r="Q3362" s="893">
        <f t="shared" si="210"/>
        <v>2</v>
      </c>
      <c r="R3362" s="894">
        <f t="shared" si="211"/>
        <v>0</v>
      </c>
    </row>
    <row r="3363" spans="1:18">
      <c r="A3363" s="905"/>
      <c r="B3363" s="906"/>
      <c r="C3363" s="907">
        <v>740</v>
      </c>
      <c r="D3363" s="907" t="s">
        <v>12</v>
      </c>
      <c r="E3363" s="908" t="s">
        <v>4008</v>
      </c>
      <c r="F3363" s="909" t="s">
        <v>2674</v>
      </c>
      <c r="G3363" s="910"/>
      <c r="H3363" s="911">
        <v>3.11</v>
      </c>
      <c r="I3363" s="912"/>
      <c r="J3363" s="912"/>
      <c r="K3363" s="912">
        <f>VLOOKUP(E3363,[5]ĐMNC!$A$7:$F$67,4,0)</f>
        <v>221125</v>
      </c>
      <c r="L3363" s="912">
        <f>H3363*K3363</f>
        <v>687698.75</v>
      </c>
      <c r="M3363" s="912"/>
      <c r="N3363" s="912"/>
      <c r="O3363" s="892">
        <f t="shared" si="212"/>
        <v>0</v>
      </c>
      <c r="P3363" s="903">
        <f t="shared" si="209"/>
        <v>1</v>
      </c>
      <c r="Q3363" s="893">
        <f t="shared" si="210"/>
        <v>1</v>
      </c>
      <c r="R3363" s="894">
        <f t="shared" si="211"/>
        <v>0</v>
      </c>
    </row>
    <row r="3364" spans="1:18" s="847" customFormat="1">
      <c r="A3364" s="905"/>
      <c r="B3364" s="914" t="s">
        <v>5137</v>
      </c>
      <c r="C3364" s="915"/>
      <c r="D3364" s="915"/>
      <c r="E3364" s="916" t="s">
        <v>5138</v>
      </c>
      <c r="F3364" s="917" t="s">
        <v>139</v>
      </c>
      <c r="G3364" s="918"/>
      <c r="H3364" s="919"/>
      <c r="I3364" s="920"/>
      <c r="J3364" s="891">
        <f>SUM(J3365:J3366)</f>
        <v>0</v>
      </c>
      <c r="K3364" s="891"/>
      <c r="L3364" s="891">
        <f>SUM(L3365:L3366)</f>
        <v>720867.5</v>
      </c>
      <c r="M3364" s="891"/>
      <c r="N3364" s="891">
        <f>SUM(N3365:N3366)</f>
        <v>0</v>
      </c>
      <c r="O3364" s="892">
        <f t="shared" si="212"/>
        <v>1</v>
      </c>
      <c r="P3364" s="903">
        <f t="shared" si="209"/>
        <v>0</v>
      </c>
      <c r="Q3364" s="893">
        <f t="shared" si="210"/>
        <v>0</v>
      </c>
      <c r="R3364" s="894">
        <f t="shared" si="211"/>
        <v>2</v>
      </c>
    </row>
    <row r="3365" spans="1:18" s="904" customFormat="1">
      <c r="A3365" s="895"/>
      <c r="B3365" s="896"/>
      <c r="C3365" s="897"/>
      <c r="D3365" s="897"/>
      <c r="E3365" s="924" t="s">
        <v>276</v>
      </c>
      <c r="F3365" s="927"/>
      <c r="G3365" s="928"/>
      <c r="H3365" s="901"/>
      <c r="I3365" s="902"/>
      <c r="J3365" s="902"/>
      <c r="K3365" s="912" t="s">
        <v>274</v>
      </c>
      <c r="L3365" s="902"/>
      <c r="M3365" s="902"/>
      <c r="N3365" s="902"/>
      <c r="O3365" s="892">
        <f t="shared" si="212"/>
        <v>0</v>
      </c>
      <c r="P3365" s="903">
        <f t="shared" si="209"/>
        <v>1</v>
      </c>
      <c r="Q3365" s="893">
        <f t="shared" si="210"/>
        <v>2</v>
      </c>
      <c r="R3365" s="894">
        <f t="shared" si="211"/>
        <v>0</v>
      </c>
    </row>
    <row r="3366" spans="1:18">
      <c r="A3366" s="905"/>
      <c r="B3366" s="906"/>
      <c r="C3366" s="907">
        <v>740</v>
      </c>
      <c r="D3366" s="907" t="s">
        <v>12</v>
      </c>
      <c r="E3366" s="908" t="s">
        <v>4008</v>
      </c>
      <c r="F3366" s="909" t="s">
        <v>2674</v>
      </c>
      <c r="G3366" s="910"/>
      <c r="H3366" s="911">
        <v>3.26</v>
      </c>
      <c r="I3366" s="912"/>
      <c r="J3366" s="912"/>
      <c r="K3366" s="912">
        <f>VLOOKUP(E3366,[5]ĐMNC!$A$7:$F$67,4,0)</f>
        <v>221125</v>
      </c>
      <c r="L3366" s="912">
        <f>H3366*K3366</f>
        <v>720867.5</v>
      </c>
      <c r="M3366" s="912"/>
      <c r="N3366" s="912"/>
      <c r="O3366" s="892">
        <f t="shared" si="212"/>
        <v>0</v>
      </c>
      <c r="P3366" s="903">
        <f t="shared" ref="P3366:P3429" si="213">IF(O3366=0,1,0)</f>
        <v>1</v>
      </c>
      <c r="Q3366" s="893">
        <f t="shared" ref="Q3366:Q3429" si="214">IF(P3366=0,0,P3366+Q3367)</f>
        <v>1</v>
      </c>
      <c r="R3366" s="894">
        <f t="shared" ref="R3366:R3429" si="215">IF(Q3366=0,Q3367,0)</f>
        <v>0</v>
      </c>
    </row>
    <row r="3367" spans="1:18" s="847" customFormat="1">
      <c r="A3367" s="905"/>
      <c r="B3367" s="914" t="s">
        <v>5139</v>
      </c>
      <c r="C3367" s="915"/>
      <c r="D3367" s="915"/>
      <c r="E3367" s="916" t="s">
        <v>5140</v>
      </c>
      <c r="F3367" s="917" t="s">
        <v>139</v>
      </c>
      <c r="G3367" s="918"/>
      <c r="H3367" s="919"/>
      <c r="I3367" s="920"/>
      <c r="J3367" s="891">
        <f>SUM(J3368:J3369)</f>
        <v>0</v>
      </c>
      <c r="K3367" s="891"/>
      <c r="L3367" s="891">
        <f>SUM(L3368:L3369)</f>
        <v>769515</v>
      </c>
      <c r="M3367" s="891"/>
      <c r="N3367" s="891">
        <f>SUM(N3368:N3369)</f>
        <v>0</v>
      </c>
      <c r="O3367" s="892">
        <f t="shared" si="212"/>
        <v>1</v>
      </c>
      <c r="P3367" s="903">
        <f t="shared" si="213"/>
        <v>0</v>
      </c>
      <c r="Q3367" s="893">
        <f t="shared" si="214"/>
        <v>0</v>
      </c>
      <c r="R3367" s="894">
        <f t="shared" si="215"/>
        <v>2</v>
      </c>
    </row>
    <row r="3368" spans="1:18" s="904" customFormat="1">
      <c r="A3368" s="895"/>
      <c r="B3368" s="896"/>
      <c r="C3368" s="897"/>
      <c r="D3368" s="897"/>
      <c r="E3368" s="924" t="s">
        <v>276</v>
      </c>
      <c r="F3368" s="927"/>
      <c r="G3368" s="928"/>
      <c r="H3368" s="901"/>
      <c r="I3368" s="902"/>
      <c r="J3368" s="902"/>
      <c r="K3368" s="912" t="s">
        <v>274</v>
      </c>
      <c r="L3368" s="902"/>
      <c r="M3368" s="902"/>
      <c r="N3368" s="902"/>
      <c r="O3368" s="892">
        <f t="shared" si="212"/>
        <v>0</v>
      </c>
      <c r="P3368" s="903">
        <f t="shared" si="213"/>
        <v>1</v>
      </c>
      <c r="Q3368" s="893">
        <f t="shared" si="214"/>
        <v>2</v>
      </c>
      <c r="R3368" s="894">
        <f t="shared" si="215"/>
        <v>0</v>
      </c>
    </row>
    <row r="3369" spans="1:18">
      <c r="A3369" s="905"/>
      <c r="B3369" s="906"/>
      <c r="C3369" s="907">
        <v>740</v>
      </c>
      <c r="D3369" s="907" t="s">
        <v>12</v>
      </c>
      <c r="E3369" s="908" t="s">
        <v>4008</v>
      </c>
      <c r="F3369" s="909" t="s">
        <v>2674</v>
      </c>
      <c r="G3369" s="910"/>
      <c r="H3369" s="911">
        <v>3.48</v>
      </c>
      <c r="I3369" s="912"/>
      <c r="J3369" s="912"/>
      <c r="K3369" s="912">
        <f>VLOOKUP(E3369,[5]ĐMNC!$A$7:$F$67,4,0)</f>
        <v>221125</v>
      </c>
      <c r="L3369" s="912">
        <f>H3369*K3369</f>
        <v>769515</v>
      </c>
      <c r="M3369" s="912"/>
      <c r="N3369" s="912"/>
      <c r="O3369" s="892">
        <f t="shared" si="212"/>
        <v>0</v>
      </c>
      <c r="P3369" s="903">
        <f t="shared" si="213"/>
        <v>1</v>
      </c>
      <c r="Q3369" s="893">
        <f t="shared" si="214"/>
        <v>1</v>
      </c>
      <c r="R3369" s="894">
        <f t="shared" si="215"/>
        <v>0</v>
      </c>
    </row>
    <row r="3370" spans="1:18" s="847" customFormat="1">
      <c r="A3370" s="905"/>
      <c r="B3370" s="914" t="s">
        <v>5141</v>
      </c>
      <c r="C3370" s="915"/>
      <c r="D3370" s="915"/>
      <c r="E3370" s="916" t="s">
        <v>5142</v>
      </c>
      <c r="F3370" s="917" t="s">
        <v>139</v>
      </c>
      <c r="G3370" s="918"/>
      <c r="H3370" s="919"/>
      <c r="I3370" s="920"/>
      <c r="J3370" s="891">
        <f>SUM(J3371:J3372)</f>
        <v>0</v>
      </c>
      <c r="K3370" s="891"/>
      <c r="L3370" s="891">
        <f>SUM(L3371:L3372)</f>
        <v>861281.875</v>
      </c>
      <c r="M3370" s="891"/>
      <c r="N3370" s="891">
        <f>SUM(N3371:N3372)</f>
        <v>0</v>
      </c>
      <c r="O3370" s="892">
        <f t="shared" si="212"/>
        <v>1</v>
      </c>
      <c r="P3370" s="903">
        <f t="shared" si="213"/>
        <v>0</v>
      </c>
      <c r="Q3370" s="893">
        <f t="shared" si="214"/>
        <v>0</v>
      </c>
      <c r="R3370" s="894">
        <f t="shared" si="215"/>
        <v>2</v>
      </c>
    </row>
    <row r="3371" spans="1:18" s="904" customFormat="1">
      <c r="A3371" s="895"/>
      <c r="B3371" s="896"/>
      <c r="C3371" s="897"/>
      <c r="D3371" s="897"/>
      <c r="E3371" s="924" t="s">
        <v>276</v>
      </c>
      <c r="F3371" s="927"/>
      <c r="G3371" s="928"/>
      <c r="H3371" s="901"/>
      <c r="I3371" s="902"/>
      <c r="J3371" s="902"/>
      <c r="K3371" s="912" t="s">
        <v>274</v>
      </c>
      <c r="L3371" s="902"/>
      <c r="M3371" s="902"/>
      <c r="N3371" s="902"/>
      <c r="O3371" s="892">
        <f t="shared" si="212"/>
        <v>0</v>
      </c>
      <c r="P3371" s="903">
        <f t="shared" si="213"/>
        <v>1</v>
      </c>
      <c r="Q3371" s="893">
        <f t="shared" si="214"/>
        <v>2</v>
      </c>
      <c r="R3371" s="894">
        <f t="shared" si="215"/>
        <v>0</v>
      </c>
    </row>
    <row r="3372" spans="1:18">
      <c r="A3372" s="905"/>
      <c r="B3372" s="906"/>
      <c r="C3372" s="907">
        <v>740</v>
      </c>
      <c r="D3372" s="907" t="s">
        <v>12</v>
      </c>
      <c r="E3372" s="908" t="s">
        <v>4008</v>
      </c>
      <c r="F3372" s="909" t="s">
        <v>2674</v>
      </c>
      <c r="G3372" s="910"/>
      <c r="H3372" s="911">
        <v>3.895</v>
      </c>
      <c r="I3372" s="912"/>
      <c r="J3372" s="912"/>
      <c r="K3372" s="912">
        <f>VLOOKUP(E3372,[5]ĐMNC!$A$7:$F$67,4,0)</f>
        <v>221125</v>
      </c>
      <c r="L3372" s="912">
        <f>H3372*K3372</f>
        <v>861281.875</v>
      </c>
      <c r="M3372" s="912"/>
      <c r="N3372" s="912"/>
      <c r="O3372" s="892">
        <f t="shared" si="212"/>
        <v>0</v>
      </c>
      <c r="P3372" s="903">
        <f t="shared" si="213"/>
        <v>1</v>
      </c>
      <c r="Q3372" s="893">
        <f t="shared" si="214"/>
        <v>1</v>
      </c>
      <c r="R3372" s="894">
        <f t="shared" si="215"/>
        <v>0</v>
      </c>
    </row>
    <row r="3373" spans="1:18" s="847" customFormat="1">
      <c r="A3373" s="905"/>
      <c r="B3373" s="914" t="s">
        <v>5143</v>
      </c>
      <c r="C3373" s="915"/>
      <c r="D3373" s="915"/>
      <c r="E3373" s="916" t="s">
        <v>5144</v>
      </c>
      <c r="F3373" s="917" t="s">
        <v>139</v>
      </c>
      <c r="G3373" s="918"/>
      <c r="H3373" s="919"/>
      <c r="I3373" s="920"/>
      <c r="J3373" s="891">
        <f>SUM(J3374:J3375)</f>
        <v>0</v>
      </c>
      <c r="K3373" s="891"/>
      <c r="L3373" s="891">
        <f>SUM(L3374:L3375)</f>
        <v>951943.12499999988</v>
      </c>
      <c r="M3373" s="891"/>
      <c r="N3373" s="891">
        <f>SUM(N3374:N3375)</f>
        <v>0</v>
      </c>
      <c r="O3373" s="892">
        <f t="shared" si="212"/>
        <v>1</v>
      </c>
      <c r="P3373" s="903">
        <f t="shared" si="213"/>
        <v>0</v>
      </c>
      <c r="Q3373" s="893">
        <f t="shared" si="214"/>
        <v>0</v>
      </c>
      <c r="R3373" s="894">
        <f t="shared" si="215"/>
        <v>2</v>
      </c>
    </row>
    <row r="3374" spans="1:18" s="904" customFormat="1">
      <c r="A3374" s="895"/>
      <c r="B3374" s="896"/>
      <c r="C3374" s="897"/>
      <c r="D3374" s="897"/>
      <c r="E3374" s="924" t="s">
        <v>276</v>
      </c>
      <c r="F3374" s="927"/>
      <c r="G3374" s="928"/>
      <c r="H3374" s="901"/>
      <c r="I3374" s="902"/>
      <c r="J3374" s="902"/>
      <c r="K3374" s="912" t="s">
        <v>274</v>
      </c>
      <c r="L3374" s="902"/>
      <c r="M3374" s="902"/>
      <c r="N3374" s="902"/>
      <c r="O3374" s="892">
        <f t="shared" si="212"/>
        <v>0</v>
      </c>
      <c r="P3374" s="903">
        <f t="shared" si="213"/>
        <v>1</v>
      </c>
      <c r="Q3374" s="893">
        <f t="shared" si="214"/>
        <v>2</v>
      </c>
      <c r="R3374" s="894">
        <f t="shared" si="215"/>
        <v>0</v>
      </c>
    </row>
    <row r="3375" spans="1:18">
      <c r="A3375" s="905"/>
      <c r="B3375" s="906"/>
      <c r="C3375" s="907">
        <v>740</v>
      </c>
      <c r="D3375" s="907" t="s">
        <v>12</v>
      </c>
      <c r="E3375" s="908" t="s">
        <v>4008</v>
      </c>
      <c r="F3375" s="909" t="s">
        <v>2674</v>
      </c>
      <c r="G3375" s="910"/>
      <c r="H3375" s="911">
        <v>4.3049999999999997</v>
      </c>
      <c r="I3375" s="912"/>
      <c r="J3375" s="912"/>
      <c r="K3375" s="912">
        <f>VLOOKUP(E3375,[5]ĐMNC!$A$7:$F$67,4,0)</f>
        <v>221125</v>
      </c>
      <c r="L3375" s="912">
        <f>H3375*K3375</f>
        <v>951943.12499999988</v>
      </c>
      <c r="M3375" s="912"/>
      <c r="N3375" s="912"/>
      <c r="O3375" s="892">
        <f t="shared" si="212"/>
        <v>0</v>
      </c>
      <c r="P3375" s="903">
        <f t="shared" si="213"/>
        <v>1</v>
      </c>
      <c r="Q3375" s="893">
        <f t="shared" si="214"/>
        <v>1</v>
      </c>
      <c r="R3375" s="894">
        <f t="shared" si="215"/>
        <v>0</v>
      </c>
    </row>
    <row r="3376" spans="1:18" s="847" customFormat="1">
      <c r="A3376" s="905"/>
      <c r="B3376" s="914" t="s">
        <v>5145</v>
      </c>
      <c r="C3376" s="915"/>
      <c r="D3376" s="915"/>
      <c r="E3376" s="916" t="s">
        <v>5146</v>
      </c>
      <c r="F3376" s="917" t="s">
        <v>139</v>
      </c>
      <c r="G3376" s="918"/>
      <c r="H3376" s="919"/>
      <c r="I3376" s="920"/>
      <c r="J3376" s="891">
        <f>SUM(J3377:J3378)</f>
        <v>0</v>
      </c>
      <c r="K3376" s="891"/>
      <c r="L3376" s="891">
        <f>SUM(L3377:L3378)</f>
        <v>1103413.75</v>
      </c>
      <c r="M3376" s="891"/>
      <c r="N3376" s="891">
        <f>SUM(N3377:N3378)</f>
        <v>0</v>
      </c>
      <c r="O3376" s="892">
        <f t="shared" si="212"/>
        <v>1</v>
      </c>
      <c r="P3376" s="903">
        <f t="shared" si="213"/>
        <v>0</v>
      </c>
      <c r="Q3376" s="893">
        <f t="shared" si="214"/>
        <v>0</v>
      </c>
      <c r="R3376" s="894">
        <f t="shared" si="215"/>
        <v>2</v>
      </c>
    </row>
    <row r="3377" spans="1:18" s="904" customFormat="1">
      <c r="A3377" s="895"/>
      <c r="B3377" s="896"/>
      <c r="C3377" s="897"/>
      <c r="D3377" s="897"/>
      <c r="E3377" s="924" t="s">
        <v>276</v>
      </c>
      <c r="F3377" s="927"/>
      <c r="G3377" s="928"/>
      <c r="H3377" s="901"/>
      <c r="I3377" s="902"/>
      <c r="J3377" s="902"/>
      <c r="K3377" s="912" t="s">
        <v>274</v>
      </c>
      <c r="L3377" s="902"/>
      <c r="M3377" s="902"/>
      <c r="N3377" s="902"/>
      <c r="O3377" s="892">
        <f t="shared" si="212"/>
        <v>0</v>
      </c>
      <c r="P3377" s="903">
        <f t="shared" si="213"/>
        <v>1</v>
      </c>
      <c r="Q3377" s="893">
        <f t="shared" si="214"/>
        <v>2</v>
      </c>
      <c r="R3377" s="894">
        <f t="shared" si="215"/>
        <v>0</v>
      </c>
    </row>
    <row r="3378" spans="1:18">
      <c r="A3378" s="905"/>
      <c r="B3378" s="906"/>
      <c r="C3378" s="907">
        <v>740</v>
      </c>
      <c r="D3378" s="907" t="s">
        <v>12</v>
      </c>
      <c r="E3378" s="908" t="s">
        <v>4008</v>
      </c>
      <c r="F3378" s="909" t="s">
        <v>2674</v>
      </c>
      <c r="G3378" s="910"/>
      <c r="H3378" s="911">
        <v>4.99</v>
      </c>
      <c r="I3378" s="912"/>
      <c r="J3378" s="912"/>
      <c r="K3378" s="912">
        <f>VLOOKUP(E3378,[5]ĐMNC!$A$7:$F$67,4,0)</f>
        <v>221125</v>
      </c>
      <c r="L3378" s="912">
        <f>H3378*K3378</f>
        <v>1103413.75</v>
      </c>
      <c r="M3378" s="912"/>
      <c r="N3378" s="912"/>
      <c r="O3378" s="892">
        <f t="shared" si="212"/>
        <v>0</v>
      </c>
      <c r="P3378" s="903">
        <f t="shared" si="213"/>
        <v>1</v>
      </c>
      <c r="Q3378" s="893">
        <f t="shared" si="214"/>
        <v>1</v>
      </c>
      <c r="R3378" s="894">
        <f t="shared" si="215"/>
        <v>0</v>
      </c>
    </row>
    <row r="3379" spans="1:18" s="847" customFormat="1">
      <c r="A3379" s="905"/>
      <c r="B3379" s="914" t="s">
        <v>5147</v>
      </c>
      <c r="C3379" s="915"/>
      <c r="D3379" s="915"/>
      <c r="E3379" s="916" t="s">
        <v>5148</v>
      </c>
      <c r="F3379" s="917" t="s">
        <v>139</v>
      </c>
      <c r="G3379" s="918"/>
      <c r="H3379" s="919"/>
      <c r="I3379" s="920"/>
      <c r="J3379" s="891">
        <f>SUM(J3380:J3381)</f>
        <v>0</v>
      </c>
      <c r="K3379" s="891"/>
      <c r="L3379" s="891">
        <f>SUM(L3380:L3381)</f>
        <v>1269257.5</v>
      </c>
      <c r="M3379" s="891"/>
      <c r="N3379" s="891">
        <f>SUM(N3380:N3381)</f>
        <v>0</v>
      </c>
      <c r="O3379" s="892">
        <f t="shared" si="212"/>
        <v>1</v>
      </c>
      <c r="P3379" s="903">
        <f t="shared" si="213"/>
        <v>0</v>
      </c>
      <c r="Q3379" s="893">
        <f t="shared" si="214"/>
        <v>0</v>
      </c>
      <c r="R3379" s="894">
        <f t="shared" si="215"/>
        <v>2</v>
      </c>
    </row>
    <row r="3380" spans="1:18" s="904" customFormat="1">
      <c r="A3380" s="895"/>
      <c r="B3380" s="896"/>
      <c r="C3380" s="897"/>
      <c r="D3380" s="897"/>
      <c r="E3380" s="924" t="s">
        <v>276</v>
      </c>
      <c r="F3380" s="927"/>
      <c r="G3380" s="928"/>
      <c r="H3380" s="901"/>
      <c r="I3380" s="902"/>
      <c r="J3380" s="902"/>
      <c r="K3380" s="912" t="s">
        <v>274</v>
      </c>
      <c r="L3380" s="902"/>
      <c r="M3380" s="902"/>
      <c r="N3380" s="902"/>
      <c r="O3380" s="892">
        <f t="shared" si="212"/>
        <v>0</v>
      </c>
      <c r="P3380" s="903">
        <f t="shared" si="213"/>
        <v>1</v>
      </c>
      <c r="Q3380" s="893">
        <f t="shared" si="214"/>
        <v>2</v>
      </c>
      <c r="R3380" s="894">
        <f t="shared" si="215"/>
        <v>0</v>
      </c>
    </row>
    <row r="3381" spans="1:18">
      <c r="A3381" s="905"/>
      <c r="B3381" s="906"/>
      <c r="C3381" s="907">
        <v>740</v>
      </c>
      <c r="D3381" s="907" t="s">
        <v>12</v>
      </c>
      <c r="E3381" s="908" t="s">
        <v>4008</v>
      </c>
      <c r="F3381" s="909" t="s">
        <v>2674</v>
      </c>
      <c r="G3381" s="910"/>
      <c r="H3381" s="911">
        <v>5.74</v>
      </c>
      <c r="I3381" s="912"/>
      <c r="J3381" s="912"/>
      <c r="K3381" s="912">
        <f>VLOOKUP(E3381,[5]ĐMNC!$A$7:$F$67,4,0)</f>
        <v>221125</v>
      </c>
      <c r="L3381" s="912">
        <f>H3381*K3381</f>
        <v>1269257.5</v>
      </c>
      <c r="M3381" s="912"/>
      <c r="N3381" s="912"/>
      <c r="O3381" s="892">
        <f t="shared" si="212"/>
        <v>0</v>
      </c>
      <c r="P3381" s="903">
        <f t="shared" si="213"/>
        <v>1</v>
      </c>
      <c r="Q3381" s="893">
        <f t="shared" si="214"/>
        <v>1</v>
      </c>
      <c r="R3381" s="894">
        <f t="shared" si="215"/>
        <v>0</v>
      </c>
    </row>
    <row r="3382" spans="1:18" s="847" customFormat="1">
      <c r="A3382" s="905"/>
      <c r="B3382" s="914" t="s">
        <v>5149</v>
      </c>
      <c r="C3382" s="915"/>
      <c r="D3382" s="915"/>
      <c r="E3382" s="916" t="s">
        <v>5150</v>
      </c>
      <c r="F3382" s="917" t="s">
        <v>139</v>
      </c>
      <c r="G3382" s="918"/>
      <c r="H3382" s="919"/>
      <c r="I3382" s="920"/>
      <c r="J3382" s="891">
        <f>SUM(J3383:J3384)</f>
        <v>0</v>
      </c>
      <c r="K3382" s="891"/>
      <c r="L3382" s="891">
        <f>SUM(L3383:L3384)</f>
        <v>1397510</v>
      </c>
      <c r="M3382" s="891"/>
      <c r="N3382" s="891">
        <f>SUM(N3383:N3384)</f>
        <v>0</v>
      </c>
      <c r="O3382" s="892">
        <f t="shared" si="212"/>
        <v>1</v>
      </c>
      <c r="P3382" s="903">
        <f t="shared" si="213"/>
        <v>0</v>
      </c>
      <c r="Q3382" s="893">
        <f t="shared" si="214"/>
        <v>0</v>
      </c>
      <c r="R3382" s="894">
        <f t="shared" si="215"/>
        <v>2</v>
      </c>
    </row>
    <row r="3383" spans="1:18" s="904" customFormat="1">
      <c r="A3383" s="895"/>
      <c r="B3383" s="896"/>
      <c r="C3383" s="897"/>
      <c r="D3383" s="897"/>
      <c r="E3383" s="924" t="s">
        <v>276</v>
      </c>
      <c r="F3383" s="927"/>
      <c r="G3383" s="928"/>
      <c r="H3383" s="901"/>
      <c r="I3383" s="902"/>
      <c r="J3383" s="902"/>
      <c r="K3383" s="912" t="s">
        <v>274</v>
      </c>
      <c r="L3383" s="902"/>
      <c r="M3383" s="902"/>
      <c r="N3383" s="902"/>
      <c r="O3383" s="892">
        <f t="shared" si="212"/>
        <v>0</v>
      </c>
      <c r="P3383" s="903">
        <f t="shared" si="213"/>
        <v>1</v>
      </c>
      <c r="Q3383" s="893">
        <f t="shared" si="214"/>
        <v>2</v>
      </c>
      <c r="R3383" s="894">
        <f t="shared" si="215"/>
        <v>0</v>
      </c>
    </row>
    <row r="3384" spans="1:18">
      <c r="A3384" s="905"/>
      <c r="B3384" s="906"/>
      <c r="C3384" s="907">
        <v>740</v>
      </c>
      <c r="D3384" s="907" t="s">
        <v>12</v>
      </c>
      <c r="E3384" s="908" t="s">
        <v>4008</v>
      </c>
      <c r="F3384" s="909" t="s">
        <v>2674</v>
      </c>
      <c r="G3384" s="910"/>
      <c r="H3384" s="911">
        <v>6.32</v>
      </c>
      <c r="I3384" s="912"/>
      <c r="J3384" s="912"/>
      <c r="K3384" s="912">
        <f>VLOOKUP(E3384,[5]ĐMNC!$A$7:$F$67,4,0)</f>
        <v>221125</v>
      </c>
      <c r="L3384" s="912">
        <f>H3384*K3384</f>
        <v>1397510</v>
      </c>
      <c r="M3384" s="912"/>
      <c r="N3384" s="912"/>
      <c r="O3384" s="892">
        <f t="shared" si="212"/>
        <v>0</v>
      </c>
      <c r="P3384" s="903">
        <f t="shared" si="213"/>
        <v>1</v>
      </c>
      <c r="Q3384" s="893">
        <f t="shared" si="214"/>
        <v>1</v>
      </c>
      <c r="R3384" s="894">
        <f t="shared" si="215"/>
        <v>0</v>
      </c>
    </row>
    <row r="3385" spans="1:18" s="847" customFormat="1">
      <c r="A3385" s="905"/>
      <c r="B3385" s="914" t="s">
        <v>5151</v>
      </c>
      <c r="C3385" s="915"/>
      <c r="D3385" s="915"/>
      <c r="E3385" s="916" t="s">
        <v>5152</v>
      </c>
      <c r="F3385" s="917" t="s">
        <v>139</v>
      </c>
      <c r="G3385" s="918"/>
      <c r="H3385" s="919"/>
      <c r="I3385" s="920"/>
      <c r="J3385" s="891">
        <f>SUM(J3386:J3387)</f>
        <v>0</v>
      </c>
      <c r="K3385" s="891"/>
      <c r="L3385" s="891">
        <f>SUM(L3386:L3387)</f>
        <v>1536818.75</v>
      </c>
      <c r="M3385" s="891"/>
      <c r="N3385" s="891">
        <f>SUM(N3386:N3387)</f>
        <v>0</v>
      </c>
      <c r="O3385" s="892">
        <f t="shared" si="212"/>
        <v>1</v>
      </c>
      <c r="P3385" s="903">
        <f t="shared" si="213"/>
        <v>0</v>
      </c>
      <c r="Q3385" s="893">
        <f t="shared" si="214"/>
        <v>0</v>
      </c>
      <c r="R3385" s="894">
        <f t="shared" si="215"/>
        <v>2</v>
      </c>
    </row>
    <row r="3386" spans="1:18" s="904" customFormat="1">
      <c r="A3386" s="895"/>
      <c r="B3386" s="896"/>
      <c r="C3386" s="897"/>
      <c r="D3386" s="897"/>
      <c r="E3386" s="924" t="s">
        <v>276</v>
      </c>
      <c r="F3386" s="927"/>
      <c r="G3386" s="928"/>
      <c r="H3386" s="901"/>
      <c r="I3386" s="902"/>
      <c r="J3386" s="902"/>
      <c r="K3386" s="912" t="s">
        <v>274</v>
      </c>
      <c r="L3386" s="902"/>
      <c r="M3386" s="902"/>
      <c r="N3386" s="902"/>
      <c r="O3386" s="892">
        <f t="shared" si="212"/>
        <v>0</v>
      </c>
      <c r="P3386" s="903">
        <f t="shared" si="213"/>
        <v>1</v>
      </c>
      <c r="Q3386" s="893">
        <f t="shared" si="214"/>
        <v>2</v>
      </c>
      <c r="R3386" s="894">
        <f t="shared" si="215"/>
        <v>0</v>
      </c>
    </row>
    <row r="3387" spans="1:18">
      <c r="A3387" s="905"/>
      <c r="B3387" s="906"/>
      <c r="C3387" s="907">
        <v>740</v>
      </c>
      <c r="D3387" s="907" t="s">
        <v>12</v>
      </c>
      <c r="E3387" s="908" t="s">
        <v>4008</v>
      </c>
      <c r="F3387" s="909" t="s">
        <v>2674</v>
      </c>
      <c r="G3387" s="910"/>
      <c r="H3387" s="911">
        <v>6.95</v>
      </c>
      <c r="I3387" s="912"/>
      <c r="J3387" s="912"/>
      <c r="K3387" s="912">
        <f>VLOOKUP(E3387,[5]ĐMNC!$A$7:$F$67,4,0)</f>
        <v>221125</v>
      </c>
      <c r="L3387" s="912">
        <f>H3387*K3387</f>
        <v>1536818.75</v>
      </c>
      <c r="M3387" s="912"/>
      <c r="N3387" s="912"/>
      <c r="O3387" s="892">
        <f t="shared" si="212"/>
        <v>0</v>
      </c>
      <c r="P3387" s="903">
        <f t="shared" si="213"/>
        <v>1</v>
      </c>
      <c r="Q3387" s="893">
        <f t="shared" si="214"/>
        <v>1</v>
      </c>
      <c r="R3387" s="894">
        <f t="shared" si="215"/>
        <v>0</v>
      </c>
    </row>
    <row r="3388" spans="1:18" s="847" customFormat="1">
      <c r="A3388" s="905"/>
      <c r="B3388" s="914" t="s">
        <v>5153</v>
      </c>
      <c r="C3388" s="915"/>
      <c r="D3388" s="915"/>
      <c r="E3388" s="916" t="s">
        <v>5154</v>
      </c>
      <c r="F3388" s="917" t="s">
        <v>139</v>
      </c>
      <c r="G3388" s="918"/>
      <c r="H3388" s="919"/>
      <c r="I3388" s="920"/>
      <c r="J3388" s="891">
        <f>SUM(J3389:J3390)</f>
        <v>0</v>
      </c>
      <c r="K3388" s="891"/>
      <c r="L3388" s="891">
        <f>SUM(L3389:L3390)</f>
        <v>782782.5</v>
      </c>
      <c r="M3388" s="891"/>
      <c r="N3388" s="891">
        <f>SUM(N3389:N3390)</f>
        <v>0</v>
      </c>
      <c r="O3388" s="892">
        <f t="shared" si="212"/>
        <v>1</v>
      </c>
      <c r="P3388" s="903">
        <f t="shared" si="213"/>
        <v>0</v>
      </c>
      <c r="Q3388" s="893">
        <f t="shared" si="214"/>
        <v>0</v>
      </c>
      <c r="R3388" s="894">
        <f t="shared" si="215"/>
        <v>2</v>
      </c>
    </row>
    <row r="3389" spans="1:18" s="904" customFormat="1">
      <c r="A3389" s="895"/>
      <c r="B3389" s="896"/>
      <c r="C3389" s="897"/>
      <c r="D3389" s="897"/>
      <c r="E3389" s="924" t="s">
        <v>276</v>
      </c>
      <c r="F3389" s="927"/>
      <c r="G3389" s="928"/>
      <c r="H3389" s="901"/>
      <c r="I3389" s="902"/>
      <c r="J3389" s="902"/>
      <c r="K3389" s="912" t="s">
        <v>274</v>
      </c>
      <c r="L3389" s="902"/>
      <c r="M3389" s="902"/>
      <c r="N3389" s="902"/>
      <c r="O3389" s="892">
        <f t="shared" si="212"/>
        <v>0</v>
      </c>
      <c r="P3389" s="903">
        <f t="shared" si="213"/>
        <v>1</v>
      </c>
      <c r="Q3389" s="893">
        <f t="shared" si="214"/>
        <v>2</v>
      </c>
      <c r="R3389" s="894">
        <f t="shared" si="215"/>
        <v>0</v>
      </c>
    </row>
    <row r="3390" spans="1:18">
      <c r="A3390" s="905"/>
      <c r="B3390" s="906"/>
      <c r="C3390" s="907">
        <v>740</v>
      </c>
      <c r="D3390" s="907" t="s">
        <v>12</v>
      </c>
      <c r="E3390" s="908" t="s">
        <v>4008</v>
      </c>
      <c r="F3390" s="909" t="s">
        <v>2674</v>
      </c>
      <c r="G3390" s="910"/>
      <c r="H3390" s="911">
        <v>3.54</v>
      </c>
      <c r="I3390" s="912"/>
      <c r="J3390" s="912"/>
      <c r="K3390" s="912">
        <f>VLOOKUP(E3390,[5]ĐMNC!$A$7:$F$67,4,0)</f>
        <v>221125</v>
      </c>
      <c r="L3390" s="912">
        <f>H3390*K3390</f>
        <v>782782.5</v>
      </c>
      <c r="M3390" s="912"/>
      <c r="N3390" s="912"/>
      <c r="O3390" s="892">
        <f t="shared" si="212"/>
        <v>0</v>
      </c>
      <c r="P3390" s="903">
        <f t="shared" si="213"/>
        <v>1</v>
      </c>
      <c r="Q3390" s="893">
        <f t="shared" si="214"/>
        <v>1</v>
      </c>
      <c r="R3390" s="894">
        <f t="shared" si="215"/>
        <v>0</v>
      </c>
    </row>
    <row r="3391" spans="1:18" s="847" customFormat="1">
      <c r="A3391" s="905"/>
      <c r="B3391" s="914" t="s">
        <v>5155</v>
      </c>
      <c r="C3391" s="915"/>
      <c r="D3391" s="915"/>
      <c r="E3391" s="916" t="s">
        <v>5156</v>
      </c>
      <c r="F3391" s="917" t="s">
        <v>139</v>
      </c>
      <c r="G3391" s="918"/>
      <c r="H3391" s="919"/>
      <c r="I3391" s="920"/>
      <c r="J3391" s="891">
        <f>SUM(J3392:J3393)</f>
        <v>0</v>
      </c>
      <c r="K3391" s="891"/>
      <c r="L3391" s="891">
        <f>SUM(L3392:L3393)</f>
        <v>820373.75</v>
      </c>
      <c r="M3391" s="891"/>
      <c r="N3391" s="891">
        <f>SUM(N3392:N3393)</f>
        <v>0</v>
      </c>
      <c r="O3391" s="892">
        <f t="shared" si="212"/>
        <v>1</v>
      </c>
      <c r="P3391" s="903">
        <f t="shared" si="213"/>
        <v>0</v>
      </c>
      <c r="Q3391" s="893">
        <f t="shared" si="214"/>
        <v>0</v>
      </c>
      <c r="R3391" s="894">
        <f t="shared" si="215"/>
        <v>2</v>
      </c>
    </row>
    <row r="3392" spans="1:18" s="904" customFormat="1">
      <c r="A3392" s="895"/>
      <c r="B3392" s="896"/>
      <c r="C3392" s="897"/>
      <c r="D3392" s="897"/>
      <c r="E3392" s="924" t="s">
        <v>276</v>
      </c>
      <c r="F3392" s="927"/>
      <c r="G3392" s="928"/>
      <c r="H3392" s="901"/>
      <c r="I3392" s="902"/>
      <c r="J3392" s="902"/>
      <c r="K3392" s="912" t="s">
        <v>274</v>
      </c>
      <c r="L3392" s="902"/>
      <c r="M3392" s="902"/>
      <c r="N3392" s="902"/>
      <c r="O3392" s="892">
        <f t="shared" si="212"/>
        <v>0</v>
      </c>
      <c r="P3392" s="903">
        <f t="shared" si="213"/>
        <v>1</v>
      </c>
      <c r="Q3392" s="893">
        <f t="shared" si="214"/>
        <v>2</v>
      </c>
      <c r="R3392" s="894">
        <f t="shared" si="215"/>
        <v>0</v>
      </c>
    </row>
    <row r="3393" spans="1:18">
      <c r="A3393" s="905"/>
      <c r="B3393" s="906"/>
      <c r="C3393" s="907">
        <v>740</v>
      </c>
      <c r="D3393" s="907" t="s">
        <v>12</v>
      </c>
      <c r="E3393" s="908" t="s">
        <v>4008</v>
      </c>
      <c r="F3393" s="909" t="s">
        <v>2674</v>
      </c>
      <c r="G3393" s="910"/>
      <c r="H3393" s="911">
        <v>3.71</v>
      </c>
      <c r="I3393" s="912"/>
      <c r="J3393" s="912"/>
      <c r="K3393" s="912">
        <f>VLOOKUP(E3393,[5]ĐMNC!$A$7:$F$67,4,0)</f>
        <v>221125</v>
      </c>
      <c r="L3393" s="912">
        <f>H3393*K3393</f>
        <v>820373.75</v>
      </c>
      <c r="M3393" s="912"/>
      <c r="N3393" s="912"/>
      <c r="O3393" s="892">
        <f t="shared" si="212"/>
        <v>0</v>
      </c>
      <c r="P3393" s="903">
        <f t="shared" si="213"/>
        <v>1</v>
      </c>
      <c r="Q3393" s="893">
        <f t="shared" si="214"/>
        <v>1</v>
      </c>
      <c r="R3393" s="894">
        <f t="shared" si="215"/>
        <v>0</v>
      </c>
    </row>
    <row r="3394" spans="1:18" s="847" customFormat="1">
      <c r="A3394" s="905"/>
      <c r="B3394" s="914" t="s">
        <v>5157</v>
      </c>
      <c r="C3394" s="915"/>
      <c r="D3394" s="915"/>
      <c r="E3394" s="916" t="s">
        <v>5158</v>
      </c>
      <c r="F3394" s="917" t="s">
        <v>139</v>
      </c>
      <c r="G3394" s="918"/>
      <c r="H3394" s="919"/>
      <c r="I3394" s="920"/>
      <c r="J3394" s="891">
        <f>SUM(J3395:J3396)</f>
        <v>0</v>
      </c>
      <c r="K3394" s="891"/>
      <c r="L3394" s="891">
        <f>SUM(L3395:L3396)</f>
        <v>877866.25</v>
      </c>
      <c r="M3394" s="891"/>
      <c r="N3394" s="891">
        <f>SUM(N3395:N3396)</f>
        <v>0</v>
      </c>
      <c r="O3394" s="892">
        <f t="shared" si="212"/>
        <v>1</v>
      </c>
      <c r="P3394" s="903">
        <f t="shared" si="213"/>
        <v>0</v>
      </c>
      <c r="Q3394" s="893">
        <f t="shared" si="214"/>
        <v>0</v>
      </c>
      <c r="R3394" s="894">
        <f t="shared" si="215"/>
        <v>2</v>
      </c>
    </row>
    <row r="3395" spans="1:18" s="904" customFormat="1">
      <c r="A3395" s="895"/>
      <c r="B3395" s="896"/>
      <c r="C3395" s="897"/>
      <c r="D3395" s="897"/>
      <c r="E3395" s="924" t="s">
        <v>276</v>
      </c>
      <c r="F3395" s="927"/>
      <c r="G3395" s="928"/>
      <c r="H3395" s="901"/>
      <c r="I3395" s="902"/>
      <c r="J3395" s="902"/>
      <c r="K3395" s="912" t="s">
        <v>274</v>
      </c>
      <c r="L3395" s="902"/>
      <c r="M3395" s="902"/>
      <c r="N3395" s="902"/>
      <c r="O3395" s="892">
        <f t="shared" si="212"/>
        <v>0</v>
      </c>
      <c r="P3395" s="903">
        <f t="shared" si="213"/>
        <v>1</v>
      </c>
      <c r="Q3395" s="893">
        <f t="shared" si="214"/>
        <v>2</v>
      </c>
      <c r="R3395" s="894">
        <f t="shared" si="215"/>
        <v>0</v>
      </c>
    </row>
    <row r="3396" spans="1:18">
      <c r="A3396" s="905"/>
      <c r="B3396" s="906"/>
      <c r="C3396" s="907">
        <v>740</v>
      </c>
      <c r="D3396" s="907" t="s">
        <v>12</v>
      </c>
      <c r="E3396" s="908" t="s">
        <v>4008</v>
      </c>
      <c r="F3396" s="909" t="s">
        <v>2674</v>
      </c>
      <c r="G3396" s="910"/>
      <c r="H3396" s="911">
        <v>3.97</v>
      </c>
      <c r="I3396" s="912"/>
      <c r="J3396" s="912"/>
      <c r="K3396" s="912">
        <f>VLOOKUP(E3396,[5]ĐMNC!$A$7:$F$67,4,0)</f>
        <v>221125</v>
      </c>
      <c r="L3396" s="912">
        <f>H3396*K3396</f>
        <v>877866.25</v>
      </c>
      <c r="M3396" s="912"/>
      <c r="N3396" s="912"/>
      <c r="O3396" s="892">
        <f t="shared" si="212"/>
        <v>0</v>
      </c>
      <c r="P3396" s="903">
        <f t="shared" si="213"/>
        <v>1</v>
      </c>
      <c r="Q3396" s="893">
        <f t="shared" si="214"/>
        <v>1</v>
      </c>
      <c r="R3396" s="894">
        <f t="shared" si="215"/>
        <v>0</v>
      </c>
    </row>
    <row r="3397" spans="1:18" s="847" customFormat="1">
      <c r="A3397" s="905"/>
      <c r="B3397" s="914" t="s">
        <v>5159</v>
      </c>
      <c r="C3397" s="915"/>
      <c r="D3397" s="915"/>
      <c r="E3397" s="916" t="s">
        <v>5160</v>
      </c>
      <c r="F3397" s="917" t="s">
        <v>139</v>
      </c>
      <c r="G3397" s="918"/>
      <c r="H3397" s="919"/>
      <c r="I3397" s="920"/>
      <c r="J3397" s="891">
        <f>SUM(J3398:J3399)</f>
        <v>0</v>
      </c>
      <c r="K3397" s="891"/>
      <c r="L3397" s="891">
        <f>SUM(L3398:L3399)</f>
        <v>979583.74999999988</v>
      </c>
      <c r="M3397" s="891"/>
      <c r="N3397" s="891">
        <f>SUM(N3398:N3399)</f>
        <v>0</v>
      </c>
      <c r="O3397" s="892">
        <f t="shared" si="212"/>
        <v>1</v>
      </c>
      <c r="P3397" s="903">
        <f t="shared" si="213"/>
        <v>0</v>
      </c>
      <c r="Q3397" s="893">
        <f t="shared" si="214"/>
        <v>0</v>
      </c>
      <c r="R3397" s="894">
        <f t="shared" si="215"/>
        <v>2</v>
      </c>
    </row>
    <row r="3398" spans="1:18" s="904" customFormat="1">
      <c r="A3398" s="895"/>
      <c r="B3398" s="896"/>
      <c r="C3398" s="897"/>
      <c r="D3398" s="897"/>
      <c r="E3398" s="924" t="s">
        <v>276</v>
      </c>
      <c r="F3398" s="927"/>
      <c r="G3398" s="928"/>
      <c r="H3398" s="901"/>
      <c r="I3398" s="902"/>
      <c r="J3398" s="902"/>
      <c r="K3398" s="912" t="s">
        <v>274</v>
      </c>
      <c r="L3398" s="902"/>
      <c r="M3398" s="902"/>
      <c r="N3398" s="902"/>
      <c r="O3398" s="892">
        <f t="shared" si="212"/>
        <v>0</v>
      </c>
      <c r="P3398" s="903">
        <f t="shared" si="213"/>
        <v>1</v>
      </c>
      <c r="Q3398" s="893">
        <f t="shared" si="214"/>
        <v>2</v>
      </c>
      <c r="R3398" s="894">
        <f t="shared" si="215"/>
        <v>0</v>
      </c>
    </row>
    <row r="3399" spans="1:18">
      <c r="A3399" s="905"/>
      <c r="B3399" s="906"/>
      <c r="C3399" s="907">
        <v>740</v>
      </c>
      <c r="D3399" s="907" t="s">
        <v>12</v>
      </c>
      <c r="E3399" s="908" t="s">
        <v>4008</v>
      </c>
      <c r="F3399" s="909" t="s">
        <v>2674</v>
      </c>
      <c r="G3399" s="910"/>
      <c r="H3399" s="911">
        <v>4.43</v>
      </c>
      <c r="I3399" s="912"/>
      <c r="J3399" s="912"/>
      <c r="K3399" s="912">
        <f>VLOOKUP(E3399,[5]ĐMNC!$A$7:$F$67,4,0)</f>
        <v>221125</v>
      </c>
      <c r="L3399" s="912">
        <f>H3399*K3399</f>
        <v>979583.74999999988</v>
      </c>
      <c r="M3399" s="912"/>
      <c r="N3399" s="912"/>
      <c r="O3399" s="892">
        <f t="shared" si="212"/>
        <v>0</v>
      </c>
      <c r="P3399" s="903">
        <f t="shared" si="213"/>
        <v>1</v>
      </c>
      <c r="Q3399" s="893">
        <f t="shared" si="214"/>
        <v>1</v>
      </c>
      <c r="R3399" s="894">
        <f t="shared" si="215"/>
        <v>0</v>
      </c>
    </row>
    <row r="3400" spans="1:18" s="847" customFormat="1">
      <c r="A3400" s="905"/>
      <c r="B3400" s="914" t="s">
        <v>5161</v>
      </c>
      <c r="C3400" s="915"/>
      <c r="D3400" s="915"/>
      <c r="E3400" s="916" t="s">
        <v>5162</v>
      </c>
      <c r="F3400" s="917" t="s">
        <v>139</v>
      </c>
      <c r="G3400" s="918"/>
      <c r="H3400" s="919"/>
      <c r="I3400" s="920"/>
      <c r="J3400" s="891">
        <f>SUM(J3401:J3402)</f>
        <v>0</v>
      </c>
      <c r="K3400" s="891"/>
      <c r="L3400" s="891">
        <f>SUM(L3401:L3402)</f>
        <v>997273.75</v>
      </c>
      <c r="M3400" s="891"/>
      <c r="N3400" s="891">
        <f>SUM(N3401:N3402)</f>
        <v>0</v>
      </c>
      <c r="O3400" s="892">
        <f t="shared" si="212"/>
        <v>1</v>
      </c>
      <c r="P3400" s="903">
        <f t="shared" si="213"/>
        <v>0</v>
      </c>
      <c r="Q3400" s="893">
        <f t="shared" si="214"/>
        <v>0</v>
      </c>
      <c r="R3400" s="894">
        <f t="shared" si="215"/>
        <v>2</v>
      </c>
    </row>
    <row r="3401" spans="1:18" s="904" customFormat="1">
      <c r="A3401" s="895"/>
      <c r="B3401" s="896"/>
      <c r="C3401" s="897"/>
      <c r="D3401" s="897"/>
      <c r="E3401" s="924" t="s">
        <v>276</v>
      </c>
      <c r="F3401" s="927"/>
      <c r="G3401" s="928"/>
      <c r="H3401" s="901"/>
      <c r="I3401" s="902"/>
      <c r="J3401" s="902"/>
      <c r="K3401" s="912" t="s">
        <v>274</v>
      </c>
      <c r="L3401" s="902"/>
      <c r="M3401" s="902"/>
      <c r="N3401" s="902"/>
      <c r="O3401" s="892">
        <f t="shared" si="212"/>
        <v>0</v>
      </c>
      <c r="P3401" s="903">
        <f t="shared" si="213"/>
        <v>1</v>
      </c>
      <c r="Q3401" s="893">
        <f t="shared" si="214"/>
        <v>2</v>
      </c>
      <c r="R3401" s="894">
        <f t="shared" si="215"/>
        <v>0</v>
      </c>
    </row>
    <row r="3402" spans="1:18">
      <c r="A3402" s="905"/>
      <c r="B3402" s="906"/>
      <c r="C3402" s="907">
        <v>740</v>
      </c>
      <c r="D3402" s="907" t="s">
        <v>12</v>
      </c>
      <c r="E3402" s="908" t="s">
        <v>4008</v>
      </c>
      <c r="F3402" s="909" t="s">
        <v>2674</v>
      </c>
      <c r="G3402" s="910"/>
      <c r="H3402" s="911">
        <v>4.51</v>
      </c>
      <c r="I3402" s="912"/>
      <c r="J3402" s="912"/>
      <c r="K3402" s="912">
        <f>VLOOKUP(E3402,[5]ĐMNC!$A$7:$F$67,4,0)</f>
        <v>221125</v>
      </c>
      <c r="L3402" s="912">
        <f>H3402*K3402</f>
        <v>997273.75</v>
      </c>
      <c r="M3402" s="912"/>
      <c r="N3402" s="912"/>
      <c r="O3402" s="892">
        <f t="shared" si="212"/>
        <v>0</v>
      </c>
      <c r="P3402" s="903">
        <f t="shared" si="213"/>
        <v>1</v>
      </c>
      <c r="Q3402" s="893">
        <f t="shared" si="214"/>
        <v>1</v>
      </c>
      <c r="R3402" s="894">
        <f t="shared" si="215"/>
        <v>0</v>
      </c>
    </row>
    <row r="3403" spans="1:18" s="847" customFormat="1">
      <c r="A3403" s="905"/>
      <c r="B3403" s="914" t="s">
        <v>5163</v>
      </c>
      <c r="C3403" s="915"/>
      <c r="D3403" s="915"/>
      <c r="E3403" s="916" t="s">
        <v>5164</v>
      </c>
      <c r="F3403" s="917" t="s">
        <v>139</v>
      </c>
      <c r="G3403" s="918"/>
      <c r="H3403" s="919"/>
      <c r="I3403" s="920"/>
      <c r="J3403" s="891">
        <f>SUM(J3404:J3405)</f>
        <v>0</v>
      </c>
      <c r="K3403" s="891"/>
      <c r="L3403" s="891">
        <f>SUM(L3404:L3405)</f>
        <v>1255990</v>
      </c>
      <c r="M3403" s="891"/>
      <c r="N3403" s="891">
        <f>SUM(N3404:N3405)</f>
        <v>0</v>
      </c>
      <c r="O3403" s="892">
        <f t="shared" si="212"/>
        <v>1</v>
      </c>
      <c r="P3403" s="903">
        <f t="shared" si="213"/>
        <v>0</v>
      </c>
      <c r="Q3403" s="893">
        <f t="shared" si="214"/>
        <v>0</v>
      </c>
      <c r="R3403" s="894">
        <f t="shared" si="215"/>
        <v>2</v>
      </c>
    </row>
    <row r="3404" spans="1:18" s="904" customFormat="1">
      <c r="A3404" s="895"/>
      <c r="B3404" s="896"/>
      <c r="C3404" s="897"/>
      <c r="D3404" s="897"/>
      <c r="E3404" s="924" t="s">
        <v>276</v>
      </c>
      <c r="F3404" s="927"/>
      <c r="G3404" s="928"/>
      <c r="H3404" s="901"/>
      <c r="I3404" s="902"/>
      <c r="J3404" s="902"/>
      <c r="K3404" s="912" t="s">
        <v>274</v>
      </c>
      <c r="L3404" s="902"/>
      <c r="M3404" s="902"/>
      <c r="N3404" s="902"/>
      <c r="O3404" s="892">
        <f t="shared" si="212"/>
        <v>0</v>
      </c>
      <c r="P3404" s="903">
        <f t="shared" si="213"/>
        <v>1</v>
      </c>
      <c r="Q3404" s="893">
        <f t="shared" si="214"/>
        <v>2</v>
      </c>
      <c r="R3404" s="894">
        <f t="shared" si="215"/>
        <v>0</v>
      </c>
    </row>
    <row r="3405" spans="1:18">
      <c r="A3405" s="905"/>
      <c r="B3405" s="906"/>
      <c r="C3405" s="907">
        <v>740</v>
      </c>
      <c r="D3405" s="907" t="s">
        <v>12</v>
      </c>
      <c r="E3405" s="908" t="s">
        <v>4008</v>
      </c>
      <c r="F3405" s="909" t="s">
        <v>2674</v>
      </c>
      <c r="G3405" s="910"/>
      <c r="H3405" s="911">
        <v>5.68</v>
      </c>
      <c r="I3405" s="912"/>
      <c r="J3405" s="912"/>
      <c r="K3405" s="912">
        <f>VLOOKUP(E3405,[5]ĐMNC!$A$7:$F$67,4,0)</f>
        <v>221125</v>
      </c>
      <c r="L3405" s="912">
        <f>H3405*K3405</f>
        <v>1255990</v>
      </c>
      <c r="M3405" s="912"/>
      <c r="N3405" s="912"/>
      <c r="O3405" s="892">
        <f t="shared" si="212"/>
        <v>0</v>
      </c>
      <c r="P3405" s="903">
        <f t="shared" si="213"/>
        <v>1</v>
      </c>
      <c r="Q3405" s="893">
        <f t="shared" si="214"/>
        <v>1</v>
      </c>
      <c r="R3405" s="894">
        <f t="shared" si="215"/>
        <v>0</v>
      </c>
    </row>
    <row r="3406" spans="1:18" s="847" customFormat="1">
      <c r="A3406" s="905"/>
      <c r="B3406" s="914" t="s">
        <v>5165</v>
      </c>
      <c r="C3406" s="915"/>
      <c r="D3406" s="915"/>
      <c r="E3406" s="916" t="s">
        <v>5166</v>
      </c>
      <c r="F3406" s="917" t="s">
        <v>139</v>
      </c>
      <c r="G3406" s="918"/>
      <c r="H3406" s="919"/>
      <c r="I3406" s="920"/>
      <c r="J3406" s="891">
        <f>SUM(J3407:J3408)</f>
        <v>0</v>
      </c>
      <c r="K3406" s="891"/>
      <c r="L3406" s="891">
        <f>SUM(L3407:L3408)</f>
        <v>1443946.25</v>
      </c>
      <c r="M3406" s="891"/>
      <c r="N3406" s="891">
        <f>SUM(N3407:N3408)</f>
        <v>0</v>
      </c>
      <c r="O3406" s="892">
        <f t="shared" si="212"/>
        <v>1</v>
      </c>
      <c r="P3406" s="903">
        <f t="shared" si="213"/>
        <v>0</v>
      </c>
      <c r="Q3406" s="893">
        <f t="shared" si="214"/>
        <v>0</v>
      </c>
      <c r="R3406" s="894">
        <f t="shared" si="215"/>
        <v>2</v>
      </c>
    </row>
    <row r="3407" spans="1:18" s="904" customFormat="1">
      <c r="A3407" s="895"/>
      <c r="B3407" s="896"/>
      <c r="C3407" s="897"/>
      <c r="D3407" s="897"/>
      <c r="E3407" s="924" t="s">
        <v>276</v>
      </c>
      <c r="F3407" s="927"/>
      <c r="G3407" s="928"/>
      <c r="H3407" s="901"/>
      <c r="I3407" s="902"/>
      <c r="J3407" s="902"/>
      <c r="K3407" s="912" t="s">
        <v>274</v>
      </c>
      <c r="L3407" s="902"/>
      <c r="M3407" s="902"/>
      <c r="N3407" s="902"/>
      <c r="O3407" s="892">
        <f t="shared" si="212"/>
        <v>0</v>
      </c>
      <c r="P3407" s="903">
        <f t="shared" si="213"/>
        <v>1</v>
      </c>
      <c r="Q3407" s="893">
        <f t="shared" si="214"/>
        <v>2</v>
      </c>
      <c r="R3407" s="894">
        <f t="shared" si="215"/>
        <v>0</v>
      </c>
    </row>
    <row r="3408" spans="1:18">
      <c r="A3408" s="905"/>
      <c r="B3408" s="906"/>
      <c r="C3408" s="907">
        <v>740</v>
      </c>
      <c r="D3408" s="907" t="s">
        <v>12</v>
      </c>
      <c r="E3408" s="908" t="s">
        <v>4008</v>
      </c>
      <c r="F3408" s="909" t="s">
        <v>2674</v>
      </c>
      <c r="G3408" s="910"/>
      <c r="H3408" s="911">
        <v>6.53</v>
      </c>
      <c r="I3408" s="912"/>
      <c r="J3408" s="912"/>
      <c r="K3408" s="912">
        <f>VLOOKUP(E3408,[5]ĐMNC!$A$7:$F$67,4,0)</f>
        <v>221125</v>
      </c>
      <c r="L3408" s="912">
        <f>H3408*K3408</f>
        <v>1443946.25</v>
      </c>
      <c r="M3408" s="912"/>
      <c r="N3408" s="912"/>
      <c r="O3408" s="892">
        <f t="shared" si="212"/>
        <v>0</v>
      </c>
      <c r="P3408" s="903">
        <f t="shared" si="213"/>
        <v>1</v>
      </c>
      <c r="Q3408" s="893">
        <f t="shared" si="214"/>
        <v>1</v>
      </c>
      <c r="R3408" s="894">
        <f t="shared" si="215"/>
        <v>0</v>
      </c>
    </row>
    <row r="3409" spans="1:18" s="847" customFormat="1">
      <c r="A3409" s="905"/>
      <c r="B3409" s="914" t="s">
        <v>5167</v>
      </c>
      <c r="C3409" s="915"/>
      <c r="D3409" s="915"/>
      <c r="E3409" s="916" t="s">
        <v>5168</v>
      </c>
      <c r="F3409" s="917" t="s">
        <v>139</v>
      </c>
      <c r="G3409" s="918"/>
      <c r="H3409" s="919"/>
      <c r="I3409" s="920"/>
      <c r="J3409" s="891">
        <f>SUM(J3410:J3411)</f>
        <v>0</v>
      </c>
      <c r="K3409" s="891"/>
      <c r="L3409" s="891">
        <f>SUM(L3410:L3411)</f>
        <v>1587677.5</v>
      </c>
      <c r="M3409" s="891"/>
      <c r="N3409" s="891">
        <f>SUM(N3410:N3411)</f>
        <v>0</v>
      </c>
      <c r="O3409" s="892">
        <f t="shared" si="212"/>
        <v>1</v>
      </c>
      <c r="P3409" s="903">
        <f t="shared" si="213"/>
        <v>0</v>
      </c>
      <c r="Q3409" s="893">
        <f t="shared" si="214"/>
        <v>0</v>
      </c>
      <c r="R3409" s="894">
        <f t="shared" si="215"/>
        <v>2</v>
      </c>
    </row>
    <row r="3410" spans="1:18" s="904" customFormat="1">
      <c r="A3410" s="895"/>
      <c r="B3410" s="896"/>
      <c r="C3410" s="897"/>
      <c r="D3410" s="897"/>
      <c r="E3410" s="924" t="s">
        <v>276</v>
      </c>
      <c r="F3410" s="927"/>
      <c r="G3410" s="928"/>
      <c r="H3410" s="901"/>
      <c r="I3410" s="902"/>
      <c r="J3410" s="902"/>
      <c r="K3410" s="912" t="s">
        <v>274</v>
      </c>
      <c r="L3410" s="902"/>
      <c r="M3410" s="902"/>
      <c r="N3410" s="902"/>
      <c r="O3410" s="892">
        <f t="shared" si="212"/>
        <v>0</v>
      </c>
      <c r="P3410" s="903">
        <f t="shared" si="213"/>
        <v>1</v>
      </c>
      <c r="Q3410" s="893">
        <f t="shared" si="214"/>
        <v>2</v>
      </c>
      <c r="R3410" s="894">
        <f t="shared" si="215"/>
        <v>0</v>
      </c>
    </row>
    <row r="3411" spans="1:18">
      <c r="A3411" s="905"/>
      <c r="B3411" s="906"/>
      <c r="C3411" s="907">
        <v>740</v>
      </c>
      <c r="D3411" s="907" t="s">
        <v>12</v>
      </c>
      <c r="E3411" s="908" t="s">
        <v>4008</v>
      </c>
      <c r="F3411" s="909" t="s">
        <v>2674</v>
      </c>
      <c r="G3411" s="910"/>
      <c r="H3411" s="911">
        <v>7.18</v>
      </c>
      <c r="I3411" s="912"/>
      <c r="J3411" s="912"/>
      <c r="K3411" s="912">
        <f>VLOOKUP(E3411,[5]ĐMNC!$A$7:$F$67,4,0)</f>
        <v>221125</v>
      </c>
      <c r="L3411" s="912">
        <f>H3411*K3411</f>
        <v>1587677.5</v>
      </c>
      <c r="M3411" s="912"/>
      <c r="N3411" s="912"/>
      <c r="O3411" s="892">
        <f t="shared" si="212"/>
        <v>0</v>
      </c>
      <c r="P3411" s="903">
        <f t="shared" si="213"/>
        <v>1</v>
      </c>
      <c r="Q3411" s="893">
        <f t="shared" si="214"/>
        <v>1</v>
      </c>
      <c r="R3411" s="894">
        <f t="shared" si="215"/>
        <v>0</v>
      </c>
    </row>
    <row r="3412" spans="1:18" s="847" customFormat="1">
      <c r="A3412" s="905"/>
      <c r="B3412" s="914" t="s">
        <v>5169</v>
      </c>
      <c r="C3412" s="915"/>
      <c r="D3412" s="915"/>
      <c r="E3412" s="916" t="s">
        <v>5170</v>
      </c>
      <c r="F3412" s="917" t="s">
        <v>139</v>
      </c>
      <c r="G3412" s="918"/>
      <c r="H3412" s="919"/>
      <c r="I3412" s="920"/>
      <c r="J3412" s="891">
        <f>SUM(J3413:J3414)</f>
        <v>0</v>
      </c>
      <c r="K3412" s="891"/>
      <c r="L3412" s="891">
        <f>SUM(L3413:L3414)</f>
        <v>1746887.5</v>
      </c>
      <c r="M3412" s="891"/>
      <c r="N3412" s="891">
        <f>SUM(N3413:N3414)</f>
        <v>0</v>
      </c>
      <c r="O3412" s="892">
        <f t="shared" si="212"/>
        <v>1</v>
      </c>
      <c r="P3412" s="903">
        <f t="shared" si="213"/>
        <v>0</v>
      </c>
      <c r="Q3412" s="893">
        <f t="shared" si="214"/>
        <v>0</v>
      </c>
      <c r="R3412" s="894">
        <f t="shared" si="215"/>
        <v>2</v>
      </c>
    </row>
    <row r="3413" spans="1:18" s="904" customFormat="1">
      <c r="A3413" s="895"/>
      <c r="B3413" s="896"/>
      <c r="C3413" s="897"/>
      <c r="D3413" s="897"/>
      <c r="E3413" s="924" t="s">
        <v>276</v>
      </c>
      <c r="F3413" s="927"/>
      <c r="G3413" s="928"/>
      <c r="H3413" s="901"/>
      <c r="I3413" s="902"/>
      <c r="J3413" s="902"/>
      <c r="K3413" s="912" t="s">
        <v>274</v>
      </c>
      <c r="L3413" s="902"/>
      <c r="M3413" s="902"/>
      <c r="N3413" s="902"/>
      <c r="O3413" s="892">
        <f t="shared" si="212"/>
        <v>0</v>
      </c>
      <c r="P3413" s="903">
        <f t="shared" si="213"/>
        <v>1</v>
      </c>
      <c r="Q3413" s="893">
        <f t="shared" si="214"/>
        <v>2</v>
      </c>
      <c r="R3413" s="894">
        <f t="shared" si="215"/>
        <v>0</v>
      </c>
    </row>
    <row r="3414" spans="1:18">
      <c r="A3414" s="905"/>
      <c r="B3414" s="906"/>
      <c r="C3414" s="907">
        <v>740</v>
      </c>
      <c r="D3414" s="907" t="s">
        <v>12</v>
      </c>
      <c r="E3414" s="908" t="s">
        <v>4008</v>
      </c>
      <c r="F3414" s="909" t="s">
        <v>2674</v>
      </c>
      <c r="G3414" s="910"/>
      <c r="H3414" s="911">
        <v>7.9</v>
      </c>
      <c r="I3414" s="912"/>
      <c r="J3414" s="912"/>
      <c r="K3414" s="912">
        <f>VLOOKUP(E3414,[5]ĐMNC!$A$7:$F$67,4,0)</f>
        <v>221125</v>
      </c>
      <c r="L3414" s="912">
        <f>H3414*K3414</f>
        <v>1746887.5</v>
      </c>
      <c r="M3414" s="912"/>
      <c r="N3414" s="912"/>
      <c r="O3414" s="892">
        <f t="shared" si="212"/>
        <v>0</v>
      </c>
      <c r="P3414" s="903">
        <f t="shared" si="213"/>
        <v>1</v>
      </c>
      <c r="Q3414" s="893">
        <f t="shared" si="214"/>
        <v>1</v>
      </c>
      <c r="R3414" s="894">
        <f t="shared" si="215"/>
        <v>0</v>
      </c>
    </row>
    <row r="3415" spans="1:18" s="847" customFormat="1">
      <c r="A3415" s="905"/>
      <c r="B3415" s="914" t="s">
        <v>5171</v>
      </c>
      <c r="C3415" s="915"/>
      <c r="D3415" s="915"/>
      <c r="E3415" s="916" t="s">
        <v>5172</v>
      </c>
      <c r="F3415" s="917" t="s">
        <v>139</v>
      </c>
      <c r="G3415" s="918"/>
      <c r="H3415" s="919"/>
      <c r="I3415" s="920"/>
      <c r="J3415" s="891">
        <f>SUM(J3416:J3417)</f>
        <v>0</v>
      </c>
      <c r="K3415" s="891"/>
      <c r="L3415" s="891">
        <f>SUM(L3416:L3417)</f>
        <v>970738.74999999988</v>
      </c>
      <c r="M3415" s="891"/>
      <c r="N3415" s="891">
        <f>SUM(N3416:N3417)</f>
        <v>0</v>
      </c>
      <c r="O3415" s="892">
        <f t="shared" si="212"/>
        <v>1</v>
      </c>
      <c r="P3415" s="903">
        <f t="shared" si="213"/>
        <v>0</v>
      </c>
      <c r="Q3415" s="893">
        <f t="shared" si="214"/>
        <v>0</v>
      </c>
      <c r="R3415" s="894">
        <f t="shared" si="215"/>
        <v>2</v>
      </c>
    </row>
    <row r="3416" spans="1:18" s="904" customFormat="1">
      <c r="A3416" s="895"/>
      <c r="B3416" s="922"/>
      <c r="C3416" s="897"/>
      <c r="D3416" s="897"/>
      <c r="E3416" s="924" t="s">
        <v>276</v>
      </c>
      <c r="F3416" s="927"/>
      <c r="G3416" s="928"/>
      <c r="H3416" s="901"/>
      <c r="I3416" s="902"/>
      <c r="J3416" s="902"/>
      <c r="K3416" s="912" t="s">
        <v>274</v>
      </c>
      <c r="L3416" s="902"/>
      <c r="M3416" s="902"/>
      <c r="N3416" s="902"/>
      <c r="O3416" s="892">
        <f t="shared" si="212"/>
        <v>0</v>
      </c>
      <c r="P3416" s="903">
        <f t="shared" si="213"/>
        <v>1</v>
      </c>
      <c r="Q3416" s="893">
        <f t="shared" si="214"/>
        <v>2</v>
      </c>
      <c r="R3416" s="894">
        <f t="shared" si="215"/>
        <v>0</v>
      </c>
    </row>
    <row r="3417" spans="1:18">
      <c r="A3417" s="905"/>
      <c r="B3417" s="906"/>
      <c r="C3417" s="907">
        <v>740</v>
      </c>
      <c r="D3417" s="907" t="s">
        <v>12</v>
      </c>
      <c r="E3417" s="908" t="s">
        <v>4008</v>
      </c>
      <c r="F3417" s="909" t="s">
        <v>2674</v>
      </c>
      <c r="G3417" s="910"/>
      <c r="H3417" s="911">
        <v>4.3899999999999997</v>
      </c>
      <c r="I3417" s="912"/>
      <c r="J3417" s="912"/>
      <c r="K3417" s="912">
        <f>VLOOKUP(E3417,[5]ĐMNC!$A$7:$F$67,4,0)</f>
        <v>221125</v>
      </c>
      <c r="L3417" s="912">
        <f>H3417*K3417</f>
        <v>970738.74999999988</v>
      </c>
      <c r="M3417" s="912"/>
      <c r="N3417" s="912"/>
      <c r="O3417" s="892">
        <f t="shared" si="212"/>
        <v>0</v>
      </c>
      <c r="P3417" s="903">
        <f t="shared" si="213"/>
        <v>1</v>
      </c>
      <c r="Q3417" s="893">
        <f t="shared" si="214"/>
        <v>1</v>
      </c>
      <c r="R3417" s="894">
        <f t="shared" si="215"/>
        <v>0</v>
      </c>
    </row>
    <row r="3418" spans="1:18" s="847" customFormat="1">
      <c r="A3418" s="905"/>
      <c r="B3418" s="914" t="s">
        <v>5173</v>
      </c>
      <c r="C3418" s="915"/>
      <c r="D3418" s="915"/>
      <c r="E3418" s="916" t="s">
        <v>5174</v>
      </c>
      <c r="F3418" s="917" t="s">
        <v>139</v>
      </c>
      <c r="G3418" s="918"/>
      <c r="H3418" s="919"/>
      <c r="I3418" s="920"/>
      <c r="J3418" s="891">
        <f>SUM(J3419:J3420)</f>
        <v>0</v>
      </c>
      <c r="K3418" s="891"/>
      <c r="L3418" s="891">
        <f>SUM(L3419:L3420)</f>
        <v>1017174.9999999999</v>
      </c>
      <c r="M3418" s="891"/>
      <c r="N3418" s="891">
        <f>SUM(N3419:N3420)</f>
        <v>0</v>
      </c>
      <c r="O3418" s="892">
        <f t="shared" si="212"/>
        <v>1</v>
      </c>
      <c r="P3418" s="903">
        <f t="shared" si="213"/>
        <v>0</v>
      </c>
      <c r="Q3418" s="893">
        <f t="shared" si="214"/>
        <v>0</v>
      </c>
      <c r="R3418" s="894">
        <f t="shared" si="215"/>
        <v>2</v>
      </c>
    </row>
    <row r="3419" spans="1:18" s="904" customFormat="1">
      <c r="A3419" s="895"/>
      <c r="B3419" s="896"/>
      <c r="C3419" s="897"/>
      <c r="D3419" s="897"/>
      <c r="E3419" s="924" t="s">
        <v>276</v>
      </c>
      <c r="F3419" s="927"/>
      <c r="G3419" s="928"/>
      <c r="H3419" s="901"/>
      <c r="I3419" s="902"/>
      <c r="J3419" s="902"/>
      <c r="K3419" s="912" t="s">
        <v>274</v>
      </c>
      <c r="L3419" s="902"/>
      <c r="M3419" s="902"/>
      <c r="N3419" s="902"/>
      <c r="O3419" s="892">
        <f t="shared" si="212"/>
        <v>0</v>
      </c>
      <c r="P3419" s="903">
        <f t="shared" si="213"/>
        <v>1</v>
      </c>
      <c r="Q3419" s="893">
        <f t="shared" si="214"/>
        <v>2</v>
      </c>
      <c r="R3419" s="894">
        <f t="shared" si="215"/>
        <v>0</v>
      </c>
    </row>
    <row r="3420" spans="1:18">
      <c r="A3420" s="905"/>
      <c r="B3420" s="906"/>
      <c r="C3420" s="907">
        <v>740</v>
      </c>
      <c r="D3420" s="907" t="s">
        <v>12</v>
      </c>
      <c r="E3420" s="908" t="s">
        <v>4008</v>
      </c>
      <c r="F3420" s="909" t="s">
        <v>2674</v>
      </c>
      <c r="G3420" s="910"/>
      <c r="H3420" s="911">
        <v>4.5999999999999996</v>
      </c>
      <c r="I3420" s="912"/>
      <c r="J3420" s="912"/>
      <c r="K3420" s="912">
        <f>VLOOKUP(E3420,[5]ĐMNC!$A$7:$F$67,4,0)</f>
        <v>221125</v>
      </c>
      <c r="L3420" s="912">
        <f>H3420*K3420</f>
        <v>1017174.9999999999</v>
      </c>
      <c r="M3420" s="912"/>
      <c r="N3420" s="912"/>
      <c r="O3420" s="892">
        <f t="shared" si="212"/>
        <v>0</v>
      </c>
      <c r="P3420" s="903">
        <f t="shared" si="213"/>
        <v>1</v>
      </c>
      <c r="Q3420" s="893">
        <f t="shared" si="214"/>
        <v>1</v>
      </c>
      <c r="R3420" s="894">
        <f t="shared" si="215"/>
        <v>0</v>
      </c>
    </row>
    <row r="3421" spans="1:18" s="847" customFormat="1">
      <c r="A3421" s="905"/>
      <c r="B3421" s="914" t="s">
        <v>5175</v>
      </c>
      <c r="C3421" s="915"/>
      <c r="D3421" s="915"/>
      <c r="E3421" s="916" t="s">
        <v>5176</v>
      </c>
      <c r="F3421" s="917" t="s">
        <v>139</v>
      </c>
      <c r="G3421" s="918"/>
      <c r="H3421" s="919"/>
      <c r="I3421" s="920"/>
      <c r="J3421" s="891">
        <f>SUM(J3422:J3423)</f>
        <v>0</v>
      </c>
      <c r="K3421" s="891"/>
      <c r="L3421" s="891">
        <f>SUM(L3422:L3423)</f>
        <v>1083512.5</v>
      </c>
      <c r="M3421" s="891"/>
      <c r="N3421" s="891">
        <f>SUM(N3422:N3423)</f>
        <v>0</v>
      </c>
      <c r="O3421" s="892">
        <f t="shared" ref="O3421:O3484" si="216">IF(AND(B3421&lt;&gt;"",D3421=""),1,0)</f>
        <v>1</v>
      </c>
      <c r="P3421" s="903">
        <f t="shared" si="213"/>
        <v>0</v>
      </c>
      <c r="Q3421" s="893">
        <f t="shared" si="214"/>
        <v>0</v>
      </c>
      <c r="R3421" s="894">
        <f t="shared" si="215"/>
        <v>2</v>
      </c>
    </row>
    <row r="3422" spans="1:18" s="904" customFormat="1">
      <c r="A3422" s="895"/>
      <c r="B3422" s="896"/>
      <c r="C3422" s="897"/>
      <c r="D3422" s="897"/>
      <c r="E3422" s="924" t="s">
        <v>276</v>
      </c>
      <c r="F3422" s="927"/>
      <c r="G3422" s="928"/>
      <c r="H3422" s="901"/>
      <c r="I3422" s="902"/>
      <c r="J3422" s="902"/>
      <c r="K3422" s="912" t="s">
        <v>274</v>
      </c>
      <c r="L3422" s="902"/>
      <c r="M3422" s="902"/>
      <c r="N3422" s="902"/>
      <c r="O3422" s="892">
        <f t="shared" si="216"/>
        <v>0</v>
      </c>
      <c r="P3422" s="903">
        <f t="shared" si="213"/>
        <v>1</v>
      </c>
      <c r="Q3422" s="893">
        <f t="shared" si="214"/>
        <v>2</v>
      </c>
      <c r="R3422" s="894">
        <f t="shared" si="215"/>
        <v>0</v>
      </c>
    </row>
    <row r="3423" spans="1:18">
      <c r="A3423" s="905"/>
      <c r="B3423" s="906"/>
      <c r="C3423" s="907">
        <v>740</v>
      </c>
      <c r="D3423" s="907" t="s">
        <v>12</v>
      </c>
      <c r="E3423" s="908" t="s">
        <v>4008</v>
      </c>
      <c r="F3423" s="909" t="s">
        <v>2674</v>
      </c>
      <c r="G3423" s="910"/>
      <c r="H3423" s="911">
        <v>4.9000000000000004</v>
      </c>
      <c r="I3423" s="912"/>
      <c r="J3423" s="912"/>
      <c r="K3423" s="912">
        <f>VLOOKUP(E3423,[5]ĐMNC!$A$7:$F$67,4,0)</f>
        <v>221125</v>
      </c>
      <c r="L3423" s="912">
        <f>H3423*K3423</f>
        <v>1083512.5</v>
      </c>
      <c r="M3423" s="912"/>
      <c r="N3423" s="912"/>
      <c r="O3423" s="892">
        <f t="shared" si="216"/>
        <v>0</v>
      </c>
      <c r="P3423" s="903">
        <f t="shared" si="213"/>
        <v>1</v>
      </c>
      <c r="Q3423" s="893">
        <f t="shared" si="214"/>
        <v>1</v>
      </c>
      <c r="R3423" s="894">
        <f t="shared" si="215"/>
        <v>0</v>
      </c>
    </row>
    <row r="3424" spans="1:18" s="847" customFormat="1">
      <c r="A3424" s="905"/>
      <c r="B3424" s="914" t="s">
        <v>5177</v>
      </c>
      <c r="C3424" s="915"/>
      <c r="D3424" s="915"/>
      <c r="E3424" s="916" t="s">
        <v>5178</v>
      </c>
      <c r="F3424" s="917" t="s">
        <v>139</v>
      </c>
      <c r="G3424" s="918"/>
      <c r="H3424" s="919"/>
      <c r="I3424" s="920"/>
      <c r="J3424" s="891">
        <f>SUM(J3425:J3426)</f>
        <v>0</v>
      </c>
      <c r="K3424" s="891"/>
      <c r="L3424" s="891">
        <f>SUM(L3425:L3426)</f>
        <v>1218398.75</v>
      </c>
      <c r="M3424" s="891"/>
      <c r="N3424" s="891">
        <f>SUM(N3425:N3426)</f>
        <v>0</v>
      </c>
      <c r="O3424" s="892">
        <f t="shared" si="216"/>
        <v>1</v>
      </c>
      <c r="P3424" s="903">
        <f t="shared" si="213"/>
        <v>0</v>
      </c>
      <c r="Q3424" s="893">
        <f t="shared" si="214"/>
        <v>0</v>
      </c>
      <c r="R3424" s="894">
        <f t="shared" si="215"/>
        <v>2</v>
      </c>
    </row>
    <row r="3425" spans="1:18" s="904" customFormat="1">
      <c r="A3425" s="895"/>
      <c r="B3425" s="896"/>
      <c r="C3425" s="897"/>
      <c r="D3425" s="897"/>
      <c r="E3425" s="924" t="s">
        <v>276</v>
      </c>
      <c r="F3425" s="927"/>
      <c r="G3425" s="928"/>
      <c r="H3425" s="901"/>
      <c r="I3425" s="902"/>
      <c r="J3425" s="902"/>
      <c r="K3425" s="912" t="s">
        <v>274</v>
      </c>
      <c r="L3425" s="902"/>
      <c r="M3425" s="902"/>
      <c r="N3425" s="902"/>
      <c r="O3425" s="892">
        <f t="shared" si="216"/>
        <v>0</v>
      </c>
      <c r="P3425" s="903">
        <f t="shared" si="213"/>
        <v>1</v>
      </c>
      <c r="Q3425" s="893">
        <f t="shared" si="214"/>
        <v>2</v>
      </c>
      <c r="R3425" s="894">
        <f t="shared" si="215"/>
        <v>0</v>
      </c>
    </row>
    <row r="3426" spans="1:18">
      <c r="A3426" s="905"/>
      <c r="B3426" s="906"/>
      <c r="C3426" s="907">
        <v>740</v>
      </c>
      <c r="D3426" s="907" t="s">
        <v>12</v>
      </c>
      <c r="E3426" s="908" t="s">
        <v>4008</v>
      </c>
      <c r="F3426" s="909" t="s">
        <v>2674</v>
      </c>
      <c r="G3426" s="910"/>
      <c r="H3426" s="911">
        <v>5.51</v>
      </c>
      <c r="I3426" s="912"/>
      <c r="J3426" s="912"/>
      <c r="K3426" s="912">
        <f>VLOOKUP(E3426,[5]ĐMNC!$A$7:$F$67,4,0)</f>
        <v>221125</v>
      </c>
      <c r="L3426" s="912">
        <f>H3426*K3426</f>
        <v>1218398.75</v>
      </c>
      <c r="M3426" s="912"/>
      <c r="N3426" s="912"/>
      <c r="O3426" s="892">
        <f t="shared" si="216"/>
        <v>0</v>
      </c>
      <c r="P3426" s="903">
        <f t="shared" si="213"/>
        <v>1</v>
      </c>
      <c r="Q3426" s="893">
        <f t="shared" si="214"/>
        <v>1</v>
      </c>
      <c r="R3426" s="894">
        <f t="shared" si="215"/>
        <v>0</v>
      </c>
    </row>
    <row r="3427" spans="1:18" s="847" customFormat="1">
      <c r="A3427" s="905"/>
      <c r="B3427" s="914" t="s">
        <v>5179</v>
      </c>
      <c r="C3427" s="915"/>
      <c r="D3427" s="915"/>
      <c r="E3427" s="916" t="s">
        <v>5180</v>
      </c>
      <c r="F3427" s="917" t="s">
        <v>139</v>
      </c>
      <c r="G3427" s="918"/>
      <c r="H3427" s="919"/>
      <c r="I3427" s="920"/>
      <c r="J3427" s="891">
        <f>SUM(J3428:J3429)</f>
        <v>0</v>
      </c>
      <c r="K3427" s="891"/>
      <c r="L3427" s="891">
        <f>SUM(L3428:L3429)</f>
        <v>1485960</v>
      </c>
      <c r="M3427" s="891"/>
      <c r="N3427" s="891">
        <f>SUM(N3428:N3429)</f>
        <v>0</v>
      </c>
      <c r="O3427" s="892">
        <f t="shared" si="216"/>
        <v>1</v>
      </c>
      <c r="P3427" s="903">
        <f t="shared" si="213"/>
        <v>0</v>
      </c>
      <c r="Q3427" s="893">
        <f t="shared" si="214"/>
        <v>0</v>
      </c>
      <c r="R3427" s="894">
        <f t="shared" si="215"/>
        <v>2</v>
      </c>
    </row>
    <row r="3428" spans="1:18" s="904" customFormat="1">
      <c r="A3428" s="895"/>
      <c r="B3428" s="896"/>
      <c r="C3428" s="897"/>
      <c r="D3428" s="897"/>
      <c r="E3428" s="924" t="s">
        <v>276</v>
      </c>
      <c r="F3428" s="927"/>
      <c r="G3428" s="928"/>
      <c r="H3428" s="901"/>
      <c r="I3428" s="902"/>
      <c r="J3428" s="902"/>
      <c r="K3428" s="912" t="s">
        <v>274</v>
      </c>
      <c r="L3428" s="902"/>
      <c r="M3428" s="902"/>
      <c r="N3428" s="902"/>
      <c r="O3428" s="892">
        <f t="shared" si="216"/>
        <v>0</v>
      </c>
      <c r="P3428" s="903">
        <f t="shared" si="213"/>
        <v>1</v>
      </c>
      <c r="Q3428" s="893">
        <f t="shared" si="214"/>
        <v>2</v>
      </c>
      <c r="R3428" s="894">
        <f t="shared" si="215"/>
        <v>0</v>
      </c>
    </row>
    <row r="3429" spans="1:18">
      <c r="A3429" s="905"/>
      <c r="B3429" s="906"/>
      <c r="C3429" s="907">
        <v>740</v>
      </c>
      <c r="D3429" s="907" t="s">
        <v>12</v>
      </c>
      <c r="E3429" s="908" t="s">
        <v>4008</v>
      </c>
      <c r="F3429" s="909" t="s">
        <v>2674</v>
      </c>
      <c r="G3429" s="910"/>
      <c r="H3429" s="911">
        <v>6.72</v>
      </c>
      <c r="I3429" s="912"/>
      <c r="J3429" s="912"/>
      <c r="K3429" s="912">
        <f>VLOOKUP(E3429,[5]ĐMNC!$A$7:$F$67,4,0)</f>
        <v>221125</v>
      </c>
      <c r="L3429" s="912">
        <f>H3429*K3429</f>
        <v>1485960</v>
      </c>
      <c r="M3429" s="912"/>
      <c r="N3429" s="912"/>
      <c r="O3429" s="892">
        <f t="shared" si="216"/>
        <v>0</v>
      </c>
      <c r="P3429" s="903">
        <f t="shared" si="213"/>
        <v>1</v>
      </c>
      <c r="Q3429" s="893">
        <f t="shared" si="214"/>
        <v>1</v>
      </c>
      <c r="R3429" s="894">
        <f t="shared" si="215"/>
        <v>0</v>
      </c>
    </row>
    <row r="3430" spans="1:18" s="847" customFormat="1">
      <c r="A3430" s="905"/>
      <c r="B3430" s="914" t="s">
        <v>5181</v>
      </c>
      <c r="C3430" s="915"/>
      <c r="D3430" s="915"/>
      <c r="E3430" s="916" t="s">
        <v>5182</v>
      </c>
      <c r="F3430" s="917" t="s">
        <v>139</v>
      </c>
      <c r="G3430" s="918"/>
      <c r="H3430" s="919"/>
      <c r="I3430" s="920"/>
      <c r="J3430" s="891">
        <f>SUM(J3431:J3432)</f>
        <v>0</v>
      </c>
      <c r="K3430" s="891"/>
      <c r="L3430" s="891">
        <f>SUM(L3431:L3432)</f>
        <v>1561142.5</v>
      </c>
      <c r="M3430" s="891"/>
      <c r="N3430" s="891">
        <f>SUM(N3431:N3432)</f>
        <v>0</v>
      </c>
      <c r="O3430" s="892">
        <f t="shared" si="216"/>
        <v>1</v>
      </c>
      <c r="P3430" s="903">
        <f t="shared" ref="P3430:P3493" si="217">IF(O3430=0,1,0)</f>
        <v>0</v>
      </c>
      <c r="Q3430" s="893">
        <f t="shared" ref="Q3430:Q3493" si="218">IF(P3430=0,0,P3430+Q3431)</f>
        <v>0</v>
      </c>
      <c r="R3430" s="894">
        <f t="shared" ref="R3430:R3493" si="219">IF(Q3430=0,Q3431,0)</f>
        <v>2</v>
      </c>
    </row>
    <row r="3431" spans="1:18" s="904" customFormat="1">
      <c r="A3431" s="895"/>
      <c r="B3431" s="896"/>
      <c r="C3431" s="897"/>
      <c r="D3431" s="897"/>
      <c r="E3431" s="924" t="s">
        <v>276</v>
      </c>
      <c r="F3431" s="927"/>
      <c r="G3431" s="928"/>
      <c r="H3431" s="901"/>
      <c r="I3431" s="902"/>
      <c r="J3431" s="902"/>
      <c r="K3431" s="912" t="s">
        <v>274</v>
      </c>
      <c r="L3431" s="902"/>
      <c r="M3431" s="902"/>
      <c r="N3431" s="902"/>
      <c r="O3431" s="892">
        <f t="shared" si="216"/>
        <v>0</v>
      </c>
      <c r="P3431" s="903">
        <f t="shared" si="217"/>
        <v>1</v>
      </c>
      <c r="Q3431" s="893">
        <f t="shared" si="218"/>
        <v>2</v>
      </c>
      <c r="R3431" s="894">
        <f t="shared" si="219"/>
        <v>0</v>
      </c>
    </row>
    <row r="3432" spans="1:18">
      <c r="A3432" s="905"/>
      <c r="B3432" s="906"/>
      <c r="C3432" s="907">
        <v>740</v>
      </c>
      <c r="D3432" s="907" t="s">
        <v>12</v>
      </c>
      <c r="E3432" s="908" t="s">
        <v>4008</v>
      </c>
      <c r="F3432" s="909" t="s">
        <v>2674</v>
      </c>
      <c r="G3432" s="910"/>
      <c r="H3432" s="911">
        <v>7.06</v>
      </c>
      <c r="I3432" s="912"/>
      <c r="J3432" s="912"/>
      <c r="K3432" s="912">
        <f>VLOOKUP(E3432,[5]ĐMNC!$A$7:$F$67,4,0)</f>
        <v>221125</v>
      </c>
      <c r="L3432" s="912">
        <f>H3432*K3432</f>
        <v>1561142.5</v>
      </c>
      <c r="M3432" s="912"/>
      <c r="N3432" s="912"/>
      <c r="O3432" s="892">
        <f t="shared" si="216"/>
        <v>0</v>
      </c>
      <c r="P3432" s="903">
        <f t="shared" si="217"/>
        <v>1</v>
      </c>
      <c r="Q3432" s="893">
        <f t="shared" si="218"/>
        <v>1</v>
      </c>
      <c r="R3432" s="894">
        <f t="shared" si="219"/>
        <v>0</v>
      </c>
    </row>
    <row r="3433" spans="1:18" s="847" customFormat="1">
      <c r="A3433" s="905"/>
      <c r="B3433" s="914" t="s">
        <v>5183</v>
      </c>
      <c r="C3433" s="915"/>
      <c r="D3433" s="915"/>
      <c r="E3433" s="916" t="s">
        <v>5184</v>
      </c>
      <c r="F3433" s="917" t="s">
        <v>139</v>
      </c>
      <c r="G3433" s="918"/>
      <c r="H3433" s="919"/>
      <c r="I3433" s="920"/>
      <c r="J3433" s="891">
        <f>SUM(J3434:J3435)</f>
        <v>0</v>
      </c>
      <c r="K3433" s="891"/>
      <c r="L3433" s="891">
        <f>SUM(L3434:L3435)</f>
        <v>1795534.9999999998</v>
      </c>
      <c r="M3433" s="891"/>
      <c r="N3433" s="891">
        <f>SUM(N3434:N3435)</f>
        <v>0</v>
      </c>
      <c r="O3433" s="892">
        <f t="shared" si="216"/>
        <v>1</v>
      </c>
      <c r="P3433" s="903">
        <f t="shared" si="217"/>
        <v>0</v>
      </c>
      <c r="Q3433" s="893">
        <f t="shared" si="218"/>
        <v>0</v>
      </c>
      <c r="R3433" s="894">
        <f t="shared" si="219"/>
        <v>2</v>
      </c>
    </row>
    <row r="3434" spans="1:18" s="904" customFormat="1">
      <c r="A3434" s="895"/>
      <c r="B3434" s="896"/>
      <c r="C3434" s="897"/>
      <c r="D3434" s="897"/>
      <c r="E3434" s="924" t="s">
        <v>276</v>
      </c>
      <c r="F3434" s="927"/>
      <c r="G3434" s="928"/>
      <c r="H3434" s="901"/>
      <c r="I3434" s="902"/>
      <c r="J3434" s="902"/>
      <c r="K3434" s="912" t="s">
        <v>274</v>
      </c>
      <c r="L3434" s="902"/>
      <c r="M3434" s="902"/>
      <c r="N3434" s="902"/>
      <c r="O3434" s="892">
        <f t="shared" si="216"/>
        <v>0</v>
      </c>
      <c r="P3434" s="903">
        <f t="shared" si="217"/>
        <v>1</v>
      </c>
      <c r="Q3434" s="893">
        <f t="shared" si="218"/>
        <v>2</v>
      </c>
      <c r="R3434" s="894">
        <f t="shared" si="219"/>
        <v>0</v>
      </c>
    </row>
    <row r="3435" spans="1:18">
      <c r="A3435" s="905"/>
      <c r="B3435" s="906"/>
      <c r="C3435" s="907">
        <v>740</v>
      </c>
      <c r="D3435" s="907" t="s">
        <v>12</v>
      </c>
      <c r="E3435" s="908" t="s">
        <v>4008</v>
      </c>
      <c r="F3435" s="909" t="s">
        <v>2674</v>
      </c>
      <c r="G3435" s="910"/>
      <c r="H3435" s="911">
        <v>8.1199999999999992</v>
      </c>
      <c r="I3435" s="912"/>
      <c r="J3435" s="912"/>
      <c r="K3435" s="912">
        <f>VLOOKUP(E3435,[5]ĐMNC!$A$7:$F$67,4,0)</f>
        <v>221125</v>
      </c>
      <c r="L3435" s="912">
        <f>H3435*K3435</f>
        <v>1795534.9999999998</v>
      </c>
      <c r="M3435" s="912"/>
      <c r="N3435" s="912"/>
      <c r="O3435" s="892">
        <f t="shared" si="216"/>
        <v>0</v>
      </c>
      <c r="P3435" s="903">
        <f t="shared" si="217"/>
        <v>1</v>
      </c>
      <c r="Q3435" s="893">
        <f t="shared" si="218"/>
        <v>1</v>
      </c>
      <c r="R3435" s="894">
        <f t="shared" si="219"/>
        <v>0</v>
      </c>
    </row>
    <row r="3436" spans="1:18" s="847" customFormat="1">
      <c r="A3436" s="905"/>
      <c r="B3436" s="914" t="s">
        <v>5185</v>
      </c>
      <c r="C3436" s="915"/>
      <c r="D3436" s="915"/>
      <c r="E3436" s="916" t="s">
        <v>5186</v>
      </c>
      <c r="F3436" s="917" t="s">
        <v>139</v>
      </c>
      <c r="G3436" s="918"/>
      <c r="H3436" s="919"/>
      <c r="I3436" s="920"/>
      <c r="J3436" s="891">
        <f>SUM(J3437:J3438)</f>
        <v>0</v>
      </c>
      <c r="K3436" s="891"/>
      <c r="L3436" s="891">
        <f>SUM(L3437:L3438)</f>
        <v>1974646.25</v>
      </c>
      <c r="M3436" s="891"/>
      <c r="N3436" s="891">
        <f>SUM(N3437:N3438)</f>
        <v>0</v>
      </c>
      <c r="O3436" s="892">
        <f t="shared" si="216"/>
        <v>1</v>
      </c>
      <c r="P3436" s="903">
        <f t="shared" si="217"/>
        <v>0</v>
      </c>
      <c r="Q3436" s="893">
        <f t="shared" si="218"/>
        <v>0</v>
      </c>
      <c r="R3436" s="894">
        <f t="shared" si="219"/>
        <v>2</v>
      </c>
    </row>
    <row r="3437" spans="1:18" s="904" customFormat="1">
      <c r="A3437" s="895"/>
      <c r="B3437" s="896"/>
      <c r="C3437" s="897"/>
      <c r="D3437" s="897"/>
      <c r="E3437" s="924" t="s">
        <v>276</v>
      </c>
      <c r="F3437" s="927"/>
      <c r="G3437" s="928"/>
      <c r="H3437" s="901"/>
      <c r="I3437" s="902"/>
      <c r="J3437" s="902"/>
      <c r="K3437" s="912" t="s">
        <v>274</v>
      </c>
      <c r="L3437" s="902"/>
      <c r="M3437" s="902"/>
      <c r="N3437" s="902"/>
      <c r="O3437" s="892">
        <f t="shared" si="216"/>
        <v>0</v>
      </c>
      <c r="P3437" s="903">
        <f t="shared" si="217"/>
        <v>1</v>
      </c>
      <c r="Q3437" s="893">
        <f t="shared" si="218"/>
        <v>2</v>
      </c>
      <c r="R3437" s="894">
        <f t="shared" si="219"/>
        <v>0</v>
      </c>
    </row>
    <row r="3438" spans="1:18">
      <c r="A3438" s="905"/>
      <c r="B3438" s="906"/>
      <c r="C3438" s="907">
        <v>740</v>
      </c>
      <c r="D3438" s="907" t="s">
        <v>12</v>
      </c>
      <c r="E3438" s="908" t="s">
        <v>4008</v>
      </c>
      <c r="F3438" s="909" t="s">
        <v>2674</v>
      </c>
      <c r="G3438" s="910"/>
      <c r="H3438" s="911">
        <v>8.93</v>
      </c>
      <c r="I3438" s="912"/>
      <c r="J3438" s="912"/>
      <c r="K3438" s="912">
        <f>VLOOKUP(E3438,[5]ĐMNC!$A$7:$F$67,4,0)</f>
        <v>221125</v>
      </c>
      <c r="L3438" s="912">
        <f>H3438*K3438</f>
        <v>1974646.25</v>
      </c>
      <c r="M3438" s="912"/>
      <c r="N3438" s="912"/>
      <c r="O3438" s="892">
        <f t="shared" si="216"/>
        <v>0</v>
      </c>
      <c r="P3438" s="903">
        <f t="shared" si="217"/>
        <v>1</v>
      </c>
      <c r="Q3438" s="893">
        <f t="shared" si="218"/>
        <v>1</v>
      </c>
      <c r="R3438" s="894">
        <f t="shared" si="219"/>
        <v>0</v>
      </c>
    </row>
    <row r="3439" spans="1:18" s="847" customFormat="1">
      <c r="A3439" s="905"/>
      <c r="B3439" s="914" t="s">
        <v>5187</v>
      </c>
      <c r="C3439" s="915"/>
      <c r="D3439" s="915"/>
      <c r="E3439" s="916" t="s">
        <v>5188</v>
      </c>
      <c r="F3439" s="917" t="s">
        <v>139</v>
      </c>
      <c r="G3439" s="918"/>
      <c r="H3439" s="919"/>
      <c r="I3439" s="920"/>
      <c r="J3439" s="891">
        <f>SUM(J3440:J3441)</f>
        <v>0</v>
      </c>
      <c r="K3439" s="891"/>
      <c r="L3439" s="891">
        <f>SUM(L3440:L3441)</f>
        <v>2171447.5</v>
      </c>
      <c r="M3439" s="891"/>
      <c r="N3439" s="891">
        <f>SUM(N3440:N3441)</f>
        <v>0</v>
      </c>
      <c r="O3439" s="892">
        <f t="shared" si="216"/>
        <v>1</v>
      </c>
      <c r="P3439" s="903">
        <f t="shared" si="217"/>
        <v>0</v>
      </c>
      <c r="Q3439" s="893">
        <f t="shared" si="218"/>
        <v>0</v>
      </c>
      <c r="R3439" s="894">
        <f t="shared" si="219"/>
        <v>2</v>
      </c>
    </row>
    <row r="3440" spans="1:18" s="904" customFormat="1">
      <c r="A3440" s="895"/>
      <c r="B3440" s="896"/>
      <c r="C3440" s="897"/>
      <c r="D3440" s="897"/>
      <c r="E3440" s="924" t="s">
        <v>276</v>
      </c>
      <c r="F3440" s="927"/>
      <c r="G3440" s="928"/>
      <c r="H3440" s="901"/>
      <c r="I3440" s="902"/>
      <c r="J3440" s="902"/>
      <c r="K3440" s="912" t="s">
        <v>274</v>
      </c>
      <c r="L3440" s="902"/>
      <c r="M3440" s="902"/>
      <c r="N3440" s="902"/>
      <c r="O3440" s="892">
        <f t="shared" si="216"/>
        <v>0</v>
      </c>
      <c r="P3440" s="903">
        <f t="shared" si="217"/>
        <v>1</v>
      </c>
      <c r="Q3440" s="893">
        <f t="shared" si="218"/>
        <v>2</v>
      </c>
      <c r="R3440" s="894">
        <f t="shared" si="219"/>
        <v>0</v>
      </c>
    </row>
    <row r="3441" spans="1:18">
      <c r="A3441" s="905"/>
      <c r="B3441" s="906"/>
      <c r="C3441" s="907">
        <v>740</v>
      </c>
      <c r="D3441" s="907" t="s">
        <v>12</v>
      </c>
      <c r="E3441" s="908" t="s">
        <v>4008</v>
      </c>
      <c r="F3441" s="909" t="s">
        <v>2674</v>
      </c>
      <c r="G3441" s="910"/>
      <c r="H3441" s="911">
        <v>9.82</v>
      </c>
      <c r="I3441" s="912"/>
      <c r="J3441" s="912"/>
      <c r="K3441" s="912">
        <f>VLOOKUP(E3441,[5]ĐMNC!$A$7:$F$67,4,0)</f>
        <v>221125</v>
      </c>
      <c r="L3441" s="912">
        <f>H3441*K3441</f>
        <v>2171447.5</v>
      </c>
      <c r="M3441" s="912"/>
      <c r="N3441" s="912"/>
      <c r="O3441" s="892">
        <f t="shared" si="216"/>
        <v>0</v>
      </c>
      <c r="P3441" s="903">
        <f t="shared" si="217"/>
        <v>1</v>
      </c>
      <c r="Q3441" s="893">
        <f t="shared" si="218"/>
        <v>1</v>
      </c>
      <c r="R3441" s="894">
        <f t="shared" si="219"/>
        <v>0</v>
      </c>
    </row>
    <row r="3442" spans="1:18" s="847" customFormat="1">
      <c r="A3442" s="905"/>
      <c r="B3442" s="914" t="s">
        <v>5189</v>
      </c>
      <c r="C3442" s="915"/>
      <c r="D3442" s="915"/>
      <c r="E3442" s="916" t="s">
        <v>5190</v>
      </c>
      <c r="F3442" s="917" t="s">
        <v>139</v>
      </c>
      <c r="G3442" s="918"/>
      <c r="H3442" s="919"/>
      <c r="I3442" s="920"/>
      <c r="J3442" s="891">
        <f>SUM(J3443:J3444)</f>
        <v>0</v>
      </c>
      <c r="K3442" s="891"/>
      <c r="L3442" s="891">
        <f>SUM(L3443:L3444)</f>
        <v>1160906.25</v>
      </c>
      <c r="M3442" s="891"/>
      <c r="N3442" s="891">
        <f>SUM(N3443:N3444)</f>
        <v>0</v>
      </c>
      <c r="O3442" s="892">
        <f t="shared" si="216"/>
        <v>1</v>
      </c>
      <c r="P3442" s="903">
        <f t="shared" si="217"/>
        <v>0</v>
      </c>
      <c r="Q3442" s="893">
        <f t="shared" si="218"/>
        <v>0</v>
      </c>
      <c r="R3442" s="894">
        <f t="shared" si="219"/>
        <v>2</v>
      </c>
    </row>
    <row r="3443" spans="1:18" s="904" customFormat="1">
      <c r="A3443" s="895"/>
      <c r="B3443" s="922"/>
      <c r="C3443" s="897"/>
      <c r="D3443" s="897"/>
      <c r="E3443" s="924" t="s">
        <v>276</v>
      </c>
      <c r="F3443" s="927"/>
      <c r="G3443" s="928"/>
      <c r="H3443" s="901"/>
      <c r="I3443" s="902"/>
      <c r="J3443" s="902"/>
      <c r="K3443" s="912" t="s">
        <v>274</v>
      </c>
      <c r="L3443" s="902"/>
      <c r="M3443" s="902"/>
      <c r="N3443" s="902"/>
      <c r="O3443" s="892">
        <f t="shared" si="216"/>
        <v>0</v>
      </c>
      <c r="P3443" s="903">
        <f t="shared" si="217"/>
        <v>1</v>
      </c>
      <c r="Q3443" s="893">
        <f t="shared" si="218"/>
        <v>2</v>
      </c>
      <c r="R3443" s="894">
        <f t="shared" si="219"/>
        <v>0</v>
      </c>
    </row>
    <row r="3444" spans="1:18">
      <c r="A3444" s="905"/>
      <c r="B3444" s="906"/>
      <c r="C3444" s="907">
        <v>740</v>
      </c>
      <c r="D3444" s="907" t="s">
        <v>12</v>
      </c>
      <c r="E3444" s="908" t="s">
        <v>4008</v>
      </c>
      <c r="F3444" s="909" t="s">
        <v>2674</v>
      </c>
      <c r="G3444" s="910"/>
      <c r="H3444" s="911">
        <v>5.25</v>
      </c>
      <c r="I3444" s="912"/>
      <c r="J3444" s="912"/>
      <c r="K3444" s="912">
        <f>VLOOKUP(E3444,[5]ĐMNC!$A$7:$F$67,4,0)</f>
        <v>221125</v>
      </c>
      <c r="L3444" s="912">
        <f>H3444*K3444</f>
        <v>1160906.25</v>
      </c>
      <c r="M3444" s="912"/>
      <c r="N3444" s="912"/>
      <c r="O3444" s="892">
        <f t="shared" si="216"/>
        <v>0</v>
      </c>
      <c r="P3444" s="903">
        <f t="shared" si="217"/>
        <v>1</v>
      </c>
      <c r="Q3444" s="893">
        <f t="shared" si="218"/>
        <v>1</v>
      </c>
      <c r="R3444" s="894">
        <f t="shared" si="219"/>
        <v>0</v>
      </c>
    </row>
    <row r="3445" spans="1:18" s="847" customFormat="1">
      <c r="A3445" s="905"/>
      <c r="B3445" s="914" t="s">
        <v>5191</v>
      </c>
      <c r="C3445" s="915"/>
      <c r="D3445" s="915"/>
      <c r="E3445" s="916" t="s">
        <v>5192</v>
      </c>
      <c r="F3445" s="917" t="s">
        <v>139</v>
      </c>
      <c r="G3445" s="918"/>
      <c r="H3445" s="919"/>
      <c r="I3445" s="920"/>
      <c r="J3445" s="891">
        <f>SUM(J3446:J3447)</f>
        <v>0</v>
      </c>
      <c r="K3445" s="891"/>
      <c r="L3445" s="891">
        <f>SUM(L3446:L3447)</f>
        <v>1218398.75</v>
      </c>
      <c r="M3445" s="891"/>
      <c r="N3445" s="891">
        <f>SUM(N3446:N3447)</f>
        <v>0</v>
      </c>
      <c r="O3445" s="892">
        <f t="shared" si="216"/>
        <v>1</v>
      </c>
      <c r="P3445" s="903">
        <f t="shared" si="217"/>
        <v>0</v>
      </c>
      <c r="Q3445" s="893">
        <f t="shared" si="218"/>
        <v>0</v>
      </c>
      <c r="R3445" s="894">
        <f t="shared" si="219"/>
        <v>2</v>
      </c>
    </row>
    <row r="3446" spans="1:18" s="904" customFormat="1">
      <c r="A3446" s="895"/>
      <c r="B3446" s="896"/>
      <c r="C3446" s="897"/>
      <c r="D3446" s="897"/>
      <c r="E3446" s="924" t="s">
        <v>276</v>
      </c>
      <c r="F3446" s="927"/>
      <c r="G3446" s="928"/>
      <c r="H3446" s="901"/>
      <c r="I3446" s="902"/>
      <c r="J3446" s="902"/>
      <c r="K3446" s="912" t="s">
        <v>274</v>
      </c>
      <c r="L3446" s="902"/>
      <c r="M3446" s="902"/>
      <c r="N3446" s="902"/>
      <c r="O3446" s="892">
        <f t="shared" si="216"/>
        <v>0</v>
      </c>
      <c r="P3446" s="903">
        <f t="shared" si="217"/>
        <v>1</v>
      </c>
      <c r="Q3446" s="893">
        <f t="shared" si="218"/>
        <v>2</v>
      </c>
      <c r="R3446" s="894">
        <f t="shared" si="219"/>
        <v>0</v>
      </c>
    </row>
    <row r="3447" spans="1:18">
      <c r="A3447" s="905"/>
      <c r="B3447" s="906"/>
      <c r="C3447" s="907">
        <v>740</v>
      </c>
      <c r="D3447" s="907" t="s">
        <v>12</v>
      </c>
      <c r="E3447" s="908" t="s">
        <v>4008</v>
      </c>
      <c r="F3447" s="909" t="s">
        <v>2674</v>
      </c>
      <c r="G3447" s="910"/>
      <c r="H3447" s="911">
        <v>5.51</v>
      </c>
      <c r="I3447" s="912"/>
      <c r="J3447" s="912"/>
      <c r="K3447" s="912">
        <f>VLOOKUP(E3447,[5]ĐMNC!$A$7:$F$67,4,0)</f>
        <v>221125</v>
      </c>
      <c r="L3447" s="912">
        <f>H3447*K3447</f>
        <v>1218398.75</v>
      </c>
      <c r="M3447" s="912"/>
      <c r="N3447" s="912"/>
      <c r="O3447" s="892">
        <f t="shared" si="216"/>
        <v>0</v>
      </c>
      <c r="P3447" s="903">
        <f t="shared" si="217"/>
        <v>1</v>
      </c>
      <c r="Q3447" s="893">
        <f t="shared" si="218"/>
        <v>1</v>
      </c>
      <c r="R3447" s="894">
        <f t="shared" si="219"/>
        <v>0</v>
      </c>
    </row>
    <row r="3448" spans="1:18" s="847" customFormat="1">
      <c r="A3448" s="905"/>
      <c r="B3448" s="914" t="s">
        <v>5193</v>
      </c>
      <c r="C3448" s="915"/>
      <c r="D3448" s="915"/>
      <c r="E3448" s="916" t="s">
        <v>5194</v>
      </c>
      <c r="F3448" s="917" t="s">
        <v>139</v>
      </c>
      <c r="G3448" s="918"/>
      <c r="H3448" s="919"/>
      <c r="I3448" s="920"/>
      <c r="J3448" s="891">
        <f>SUM(J3449:J3450)</f>
        <v>0</v>
      </c>
      <c r="K3448" s="891"/>
      <c r="L3448" s="891">
        <f>SUM(L3449:L3450)</f>
        <v>1298003.75</v>
      </c>
      <c r="M3448" s="891"/>
      <c r="N3448" s="891">
        <f>SUM(N3449:N3450)</f>
        <v>0</v>
      </c>
      <c r="O3448" s="892">
        <f t="shared" si="216"/>
        <v>1</v>
      </c>
      <c r="P3448" s="903">
        <f t="shared" si="217"/>
        <v>0</v>
      </c>
      <c r="Q3448" s="893">
        <f t="shared" si="218"/>
        <v>0</v>
      </c>
      <c r="R3448" s="894">
        <f t="shared" si="219"/>
        <v>2</v>
      </c>
    </row>
    <row r="3449" spans="1:18" s="904" customFormat="1">
      <c r="A3449" s="895"/>
      <c r="B3449" s="896"/>
      <c r="C3449" s="897"/>
      <c r="D3449" s="897"/>
      <c r="E3449" s="924" t="s">
        <v>276</v>
      </c>
      <c r="F3449" s="927"/>
      <c r="G3449" s="928"/>
      <c r="H3449" s="901"/>
      <c r="I3449" s="902"/>
      <c r="J3449" s="902"/>
      <c r="K3449" s="912" t="s">
        <v>274</v>
      </c>
      <c r="L3449" s="902"/>
      <c r="M3449" s="902"/>
      <c r="N3449" s="902"/>
      <c r="O3449" s="892">
        <f t="shared" si="216"/>
        <v>0</v>
      </c>
      <c r="P3449" s="903">
        <f t="shared" si="217"/>
        <v>1</v>
      </c>
      <c r="Q3449" s="893">
        <f t="shared" si="218"/>
        <v>2</v>
      </c>
      <c r="R3449" s="894">
        <f t="shared" si="219"/>
        <v>0</v>
      </c>
    </row>
    <row r="3450" spans="1:18">
      <c r="A3450" s="905"/>
      <c r="B3450" s="906"/>
      <c r="C3450" s="907">
        <v>740</v>
      </c>
      <c r="D3450" s="907" t="s">
        <v>12</v>
      </c>
      <c r="E3450" s="908" t="s">
        <v>4008</v>
      </c>
      <c r="F3450" s="909" t="s">
        <v>2674</v>
      </c>
      <c r="G3450" s="910"/>
      <c r="H3450" s="911">
        <v>5.87</v>
      </c>
      <c r="I3450" s="912"/>
      <c r="J3450" s="912"/>
      <c r="K3450" s="912">
        <f>VLOOKUP(E3450,[5]ĐMNC!$A$7:$F$67,4,0)</f>
        <v>221125</v>
      </c>
      <c r="L3450" s="912">
        <f>H3450*K3450</f>
        <v>1298003.75</v>
      </c>
      <c r="M3450" s="912"/>
      <c r="N3450" s="912"/>
      <c r="O3450" s="892">
        <f t="shared" si="216"/>
        <v>0</v>
      </c>
      <c r="P3450" s="903">
        <f t="shared" si="217"/>
        <v>1</v>
      </c>
      <c r="Q3450" s="893">
        <f t="shared" si="218"/>
        <v>1</v>
      </c>
      <c r="R3450" s="894">
        <f t="shared" si="219"/>
        <v>0</v>
      </c>
    </row>
    <row r="3451" spans="1:18" s="847" customFormat="1">
      <c r="A3451" s="905"/>
      <c r="B3451" s="914" t="s">
        <v>5195</v>
      </c>
      <c r="C3451" s="915"/>
      <c r="D3451" s="915"/>
      <c r="E3451" s="916" t="s">
        <v>5196</v>
      </c>
      <c r="F3451" s="917" t="s">
        <v>139</v>
      </c>
      <c r="G3451" s="918"/>
      <c r="H3451" s="919"/>
      <c r="I3451" s="920"/>
      <c r="J3451" s="891">
        <f>SUM(J3452:J3453)</f>
        <v>0</v>
      </c>
      <c r="K3451" s="891"/>
      <c r="L3451" s="891">
        <f>SUM(L3452:L3453)</f>
        <v>1455002.5</v>
      </c>
      <c r="M3451" s="891"/>
      <c r="N3451" s="891">
        <f>SUM(N3452:N3453)</f>
        <v>0</v>
      </c>
      <c r="O3451" s="892">
        <f t="shared" si="216"/>
        <v>1</v>
      </c>
      <c r="P3451" s="903">
        <f t="shared" si="217"/>
        <v>0</v>
      </c>
      <c r="Q3451" s="893">
        <f t="shared" si="218"/>
        <v>0</v>
      </c>
      <c r="R3451" s="894">
        <f t="shared" si="219"/>
        <v>2</v>
      </c>
    </row>
    <row r="3452" spans="1:18" s="904" customFormat="1">
      <c r="A3452" s="895"/>
      <c r="B3452" s="896"/>
      <c r="C3452" s="897"/>
      <c r="D3452" s="897"/>
      <c r="E3452" s="924" t="s">
        <v>276</v>
      </c>
      <c r="F3452" s="927"/>
      <c r="G3452" s="928"/>
      <c r="H3452" s="901"/>
      <c r="I3452" s="902"/>
      <c r="J3452" s="902"/>
      <c r="K3452" s="912" t="s">
        <v>274</v>
      </c>
      <c r="L3452" s="902"/>
      <c r="M3452" s="902"/>
      <c r="N3452" s="902"/>
      <c r="O3452" s="892">
        <f t="shared" si="216"/>
        <v>0</v>
      </c>
      <c r="P3452" s="903">
        <f t="shared" si="217"/>
        <v>1</v>
      </c>
      <c r="Q3452" s="893">
        <f t="shared" si="218"/>
        <v>2</v>
      </c>
      <c r="R3452" s="894">
        <f t="shared" si="219"/>
        <v>0</v>
      </c>
    </row>
    <row r="3453" spans="1:18">
      <c r="A3453" s="905"/>
      <c r="B3453" s="906"/>
      <c r="C3453" s="907">
        <v>740</v>
      </c>
      <c r="D3453" s="907" t="s">
        <v>12</v>
      </c>
      <c r="E3453" s="908" t="s">
        <v>4008</v>
      </c>
      <c r="F3453" s="909" t="s">
        <v>2674</v>
      </c>
      <c r="G3453" s="910"/>
      <c r="H3453" s="911">
        <v>6.58</v>
      </c>
      <c r="I3453" s="912"/>
      <c r="J3453" s="912"/>
      <c r="K3453" s="912">
        <f>VLOOKUP(E3453,[5]ĐMNC!$A$7:$F$67,4,0)</f>
        <v>221125</v>
      </c>
      <c r="L3453" s="912">
        <f>H3453*K3453</f>
        <v>1455002.5</v>
      </c>
      <c r="M3453" s="912"/>
      <c r="N3453" s="912"/>
      <c r="O3453" s="892">
        <f t="shared" si="216"/>
        <v>0</v>
      </c>
      <c r="P3453" s="903">
        <f t="shared" si="217"/>
        <v>1</v>
      </c>
      <c r="Q3453" s="893">
        <f t="shared" si="218"/>
        <v>1</v>
      </c>
      <c r="R3453" s="894">
        <f t="shared" si="219"/>
        <v>0</v>
      </c>
    </row>
    <row r="3454" spans="1:18" s="847" customFormat="1">
      <c r="A3454" s="905"/>
      <c r="B3454" s="914" t="s">
        <v>5197</v>
      </c>
      <c r="C3454" s="915"/>
      <c r="D3454" s="915"/>
      <c r="E3454" s="916" t="s">
        <v>5198</v>
      </c>
      <c r="F3454" s="917" t="s">
        <v>139</v>
      </c>
      <c r="G3454" s="918"/>
      <c r="H3454" s="919"/>
      <c r="I3454" s="920"/>
      <c r="J3454" s="891">
        <f>SUM(J3455:J3456)</f>
        <v>0</v>
      </c>
      <c r="K3454" s="891"/>
      <c r="L3454" s="891">
        <f>SUM(L3455:L3456)</f>
        <v>1773422.5</v>
      </c>
      <c r="M3454" s="891"/>
      <c r="N3454" s="891">
        <f>SUM(N3455:N3456)</f>
        <v>0</v>
      </c>
      <c r="O3454" s="892">
        <f t="shared" si="216"/>
        <v>1</v>
      </c>
      <c r="P3454" s="903">
        <f t="shared" si="217"/>
        <v>0</v>
      </c>
      <c r="Q3454" s="893">
        <f t="shared" si="218"/>
        <v>0</v>
      </c>
      <c r="R3454" s="894">
        <f t="shared" si="219"/>
        <v>2</v>
      </c>
    </row>
    <row r="3455" spans="1:18" s="904" customFormat="1">
      <c r="A3455" s="895"/>
      <c r="B3455" s="896"/>
      <c r="C3455" s="897"/>
      <c r="D3455" s="897"/>
      <c r="E3455" s="924" t="s">
        <v>276</v>
      </c>
      <c r="F3455" s="927"/>
      <c r="G3455" s="928"/>
      <c r="H3455" s="901"/>
      <c r="I3455" s="902"/>
      <c r="J3455" s="902"/>
      <c r="K3455" s="912" t="s">
        <v>274</v>
      </c>
      <c r="L3455" s="902"/>
      <c r="M3455" s="902"/>
      <c r="N3455" s="902"/>
      <c r="O3455" s="892">
        <f t="shared" si="216"/>
        <v>0</v>
      </c>
      <c r="P3455" s="903">
        <f t="shared" si="217"/>
        <v>1</v>
      </c>
      <c r="Q3455" s="893">
        <f t="shared" si="218"/>
        <v>2</v>
      </c>
      <c r="R3455" s="894">
        <f t="shared" si="219"/>
        <v>0</v>
      </c>
    </row>
    <row r="3456" spans="1:18">
      <c r="A3456" s="905"/>
      <c r="B3456" s="906"/>
      <c r="C3456" s="907">
        <v>740</v>
      </c>
      <c r="D3456" s="907" t="s">
        <v>12</v>
      </c>
      <c r="E3456" s="908" t="s">
        <v>4008</v>
      </c>
      <c r="F3456" s="909" t="s">
        <v>2674</v>
      </c>
      <c r="G3456" s="910"/>
      <c r="H3456" s="911">
        <v>8.02</v>
      </c>
      <c r="I3456" s="912"/>
      <c r="J3456" s="912"/>
      <c r="K3456" s="912">
        <f>VLOOKUP(E3456,[5]ĐMNC!$A$7:$F$67,4,0)</f>
        <v>221125</v>
      </c>
      <c r="L3456" s="912">
        <f>H3456*K3456</f>
        <v>1773422.5</v>
      </c>
      <c r="M3456" s="912"/>
      <c r="N3456" s="912"/>
      <c r="O3456" s="892">
        <f t="shared" si="216"/>
        <v>0</v>
      </c>
      <c r="P3456" s="903">
        <f t="shared" si="217"/>
        <v>1</v>
      </c>
      <c r="Q3456" s="893">
        <f t="shared" si="218"/>
        <v>1</v>
      </c>
      <c r="R3456" s="894">
        <f t="shared" si="219"/>
        <v>0</v>
      </c>
    </row>
    <row r="3457" spans="1:18" s="847" customFormat="1">
      <c r="A3457" s="905"/>
      <c r="B3457" s="914" t="s">
        <v>5199</v>
      </c>
      <c r="C3457" s="915"/>
      <c r="D3457" s="915"/>
      <c r="E3457" s="916" t="s">
        <v>5200</v>
      </c>
      <c r="F3457" s="917" t="s">
        <v>139</v>
      </c>
      <c r="G3457" s="918"/>
      <c r="H3457" s="919"/>
      <c r="I3457" s="920"/>
      <c r="J3457" s="891">
        <f>SUM(J3458:J3459)</f>
        <v>0</v>
      </c>
      <c r="K3457" s="891"/>
      <c r="L3457" s="891">
        <f>SUM(L3458:L3459)</f>
        <v>1866295</v>
      </c>
      <c r="M3457" s="891"/>
      <c r="N3457" s="891">
        <f>SUM(N3458:N3459)</f>
        <v>0</v>
      </c>
      <c r="O3457" s="892">
        <f t="shared" si="216"/>
        <v>1</v>
      </c>
      <c r="P3457" s="903">
        <f t="shared" si="217"/>
        <v>0</v>
      </c>
      <c r="Q3457" s="893">
        <f t="shared" si="218"/>
        <v>0</v>
      </c>
      <c r="R3457" s="894">
        <f t="shared" si="219"/>
        <v>2</v>
      </c>
    </row>
    <row r="3458" spans="1:18" s="904" customFormat="1">
      <c r="A3458" s="895"/>
      <c r="B3458" s="896"/>
      <c r="C3458" s="897"/>
      <c r="D3458" s="897"/>
      <c r="E3458" s="924" t="s">
        <v>276</v>
      </c>
      <c r="F3458" s="927"/>
      <c r="G3458" s="928"/>
      <c r="H3458" s="901"/>
      <c r="I3458" s="902"/>
      <c r="J3458" s="902"/>
      <c r="K3458" s="912" t="s">
        <v>274</v>
      </c>
      <c r="L3458" s="902"/>
      <c r="M3458" s="902"/>
      <c r="N3458" s="902"/>
      <c r="O3458" s="892">
        <f t="shared" si="216"/>
        <v>0</v>
      </c>
      <c r="P3458" s="903">
        <f t="shared" si="217"/>
        <v>1</v>
      </c>
      <c r="Q3458" s="893">
        <f t="shared" si="218"/>
        <v>2</v>
      </c>
      <c r="R3458" s="894">
        <f t="shared" si="219"/>
        <v>0</v>
      </c>
    </row>
    <row r="3459" spans="1:18">
      <c r="A3459" s="905"/>
      <c r="B3459" s="906"/>
      <c r="C3459" s="907">
        <v>740</v>
      </c>
      <c r="D3459" s="907" t="s">
        <v>12</v>
      </c>
      <c r="E3459" s="908" t="s">
        <v>4008</v>
      </c>
      <c r="F3459" s="909" t="s">
        <v>2674</v>
      </c>
      <c r="G3459" s="910"/>
      <c r="H3459" s="911">
        <v>8.44</v>
      </c>
      <c r="I3459" s="912"/>
      <c r="J3459" s="912"/>
      <c r="K3459" s="912">
        <f>VLOOKUP(E3459,[5]ĐMNC!$A$7:$F$67,4,0)</f>
        <v>221125</v>
      </c>
      <c r="L3459" s="912">
        <f>H3459*K3459</f>
        <v>1866295</v>
      </c>
      <c r="M3459" s="912"/>
      <c r="N3459" s="912"/>
      <c r="O3459" s="892">
        <f t="shared" si="216"/>
        <v>0</v>
      </c>
      <c r="P3459" s="903">
        <f t="shared" si="217"/>
        <v>1</v>
      </c>
      <c r="Q3459" s="893">
        <f t="shared" si="218"/>
        <v>1</v>
      </c>
      <c r="R3459" s="894">
        <f t="shared" si="219"/>
        <v>0</v>
      </c>
    </row>
    <row r="3460" spans="1:18" s="847" customFormat="1">
      <c r="A3460" s="905"/>
      <c r="B3460" s="914" t="s">
        <v>5201</v>
      </c>
      <c r="C3460" s="915"/>
      <c r="D3460" s="915"/>
      <c r="E3460" s="916" t="s">
        <v>5202</v>
      </c>
      <c r="F3460" s="917" t="s">
        <v>139</v>
      </c>
      <c r="G3460" s="918"/>
      <c r="H3460" s="919"/>
      <c r="I3460" s="920"/>
      <c r="J3460" s="891">
        <f>SUM(J3461:J3462)</f>
        <v>0</v>
      </c>
      <c r="K3460" s="891"/>
      <c r="L3460" s="891">
        <f>SUM(L3461:L3462)</f>
        <v>1956956.25</v>
      </c>
      <c r="M3460" s="891"/>
      <c r="N3460" s="891">
        <f>SUM(N3461:N3462)</f>
        <v>0</v>
      </c>
      <c r="O3460" s="892">
        <f t="shared" si="216"/>
        <v>1</v>
      </c>
      <c r="P3460" s="903">
        <f t="shared" si="217"/>
        <v>0</v>
      </c>
      <c r="Q3460" s="893">
        <f t="shared" si="218"/>
        <v>0</v>
      </c>
      <c r="R3460" s="894">
        <f t="shared" si="219"/>
        <v>2</v>
      </c>
    </row>
    <row r="3461" spans="1:18" s="904" customFormat="1">
      <c r="A3461" s="895"/>
      <c r="B3461" s="896"/>
      <c r="C3461" s="897"/>
      <c r="D3461" s="897"/>
      <c r="E3461" s="924" t="s">
        <v>276</v>
      </c>
      <c r="F3461" s="927"/>
      <c r="G3461" s="928"/>
      <c r="H3461" s="901"/>
      <c r="I3461" s="902"/>
      <c r="J3461" s="902"/>
      <c r="K3461" s="912" t="s">
        <v>274</v>
      </c>
      <c r="L3461" s="902"/>
      <c r="M3461" s="902"/>
      <c r="N3461" s="902"/>
      <c r="O3461" s="892">
        <f t="shared" si="216"/>
        <v>0</v>
      </c>
      <c r="P3461" s="903">
        <f t="shared" si="217"/>
        <v>1</v>
      </c>
      <c r="Q3461" s="893">
        <f t="shared" si="218"/>
        <v>2</v>
      </c>
      <c r="R3461" s="894">
        <f t="shared" si="219"/>
        <v>0</v>
      </c>
    </row>
    <row r="3462" spans="1:18">
      <c r="A3462" s="905"/>
      <c r="B3462" s="906"/>
      <c r="C3462" s="907">
        <v>740</v>
      </c>
      <c r="D3462" s="907" t="s">
        <v>12</v>
      </c>
      <c r="E3462" s="908" t="s">
        <v>4008</v>
      </c>
      <c r="F3462" s="909" t="s">
        <v>2674</v>
      </c>
      <c r="G3462" s="910"/>
      <c r="H3462" s="911">
        <v>8.85</v>
      </c>
      <c r="I3462" s="912"/>
      <c r="J3462" s="912"/>
      <c r="K3462" s="912">
        <f>VLOOKUP(E3462,[5]ĐMNC!$A$7:$F$67,4,0)</f>
        <v>221125</v>
      </c>
      <c r="L3462" s="912">
        <f>H3462*K3462</f>
        <v>1956956.25</v>
      </c>
      <c r="M3462" s="912"/>
      <c r="N3462" s="912"/>
      <c r="O3462" s="892">
        <f t="shared" si="216"/>
        <v>0</v>
      </c>
      <c r="P3462" s="903">
        <f t="shared" si="217"/>
        <v>1</v>
      </c>
      <c r="Q3462" s="893">
        <f t="shared" si="218"/>
        <v>1</v>
      </c>
      <c r="R3462" s="894">
        <f t="shared" si="219"/>
        <v>0</v>
      </c>
    </row>
    <row r="3463" spans="1:18" s="847" customFormat="1">
      <c r="A3463" s="905"/>
      <c r="B3463" s="914" t="s">
        <v>5203</v>
      </c>
      <c r="C3463" s="915"/>
      <c r="D3463" s="915"/>
      <c r="E3463" s="916" t="s">
        <v>5204</v>
      </c>
      <c r="F3463" s="917" t="s">
        <v>139</v>
      </c>
      <c r="G3463" s="918"/>
      <c r="H3463" s="919"/>
      <c r="I3463" s="920"/>
      <c r="J3463" s="891">
        <f>SUM(J3464:J3465)</f>
        <v>0</v>
      </c>
      <c r="K3463" s="891"/>
      <c r="L3463" s="891">
        <f>SUM(L3464:L3465)</f>
        <v>2054251.2499999998</v>
      </c>
      <c r="M3463" s="891"/>
      <c r="N3463" s="891">
        <f>SUM(N3464:N3465)</f>
        <v>0</v>
      </c>
      <c r="O3463" s="892">
        <f t="shared" si="216"/>
        <v>1</v>
      </c>
      <c r="P3463" s="903">
        <f t="shared" si="217"/>
        <v>0</v>
      </c>
      <c r="Q3463" s="893">
        <f t="shared" si="218"/>
        <v>0</v>
      </c>
      <c r="R3463" s="894">
        <f t="shared" si="219"/>
        <v>2</v>
      </c>
    </row>
    <row r="3464" spans="1:18" s="904" customFormat="1">
      <c r="A3464" s="895"/>
      <c r="B3464" s="896"/>
      <c r="C3464" s="897"/>
      <c r="D3464" s="897"/>
      <c r="E3464" s="924" t="s">
        <v>276</v>
      </c>
      <c r="F3464" s="927"/>
      <c r="G3464" s="928"/>
      <c r="H3464" s="901"/>
      <c r="I3464" s="902"/>
      <c r="J3464" s="902"/>
      <c r="K3464" s="912" t="s">
        <v>274</v>
      </c>
      <c r="L3464" s="902"/>
      <c r="M3464" s="902"/>
      <c r="N3464" s="902"/>
      <c r="O3464" s="892">
        <f t="shared" si="216"/>
        <v>0</v>
      </c>
      <c r="P3464" s="903">
        <f t="shared" si="217"/>
        <v>1</v>
      </c>
      <c r="Q3464" s="893">
        <f t="shared" si="218"/>
        <v>2</v>
      </c>
      <c r="R3464" s="894">
        <f t="shared" si="219"/>
        <v>0</v>
      </c>
    </row>
    <row r="3465" spans="1:18">
      <c r="A3465" s="905"/>
      <c r="B3465" s="906"/>
      <c r="C3465" s="907">
        <v>740</v>
      </c>
      <c r="D3465" s="907" t="s">
        <v>12</v>
      </c>
      <c r="E3465" s="908" t="s">
        <v>4008</v>
      </c>
      <c r="F3465" s="909" t="s">
        <v>2674</v>
      </c>
      <c r="G3465" s="910"/>
      <c r="H3465" s="911">
        <v>9.2899999999999991</v>
      </c>
      <c r="I3465" s="912"/>
      <c r="J3465" s="912"/>
      <c r="K3465" s="912">
        <f>VLOOKUP(E3465,[5]ĐMNC!$A$7:$F$67,4,0)</f>
        <v>221125</v>
      </c>
      <c r="L3465" s="912">
        <f>H3465*K3465</f>
        <v>2054251.2499999998</v>
      </c>
      <c r="M3465" s="912"/>
      <c r="N3465" s="912"/>
      <c r="O3465" s="892">
        <f t="shared" si="216"/>
        <v>0</v>
      </c>
      <c r="P3465" s="903">
        <f t="shared" si="217"/>
        <v>1</v>
      </c>
      <c r="Q3465" s="893">
        <f t="shared" si="218"/>
        <v>1</v>
      </c>
      <c r="R3465" s="894">
        <f t="shared" si="219"/>
        <v>0</v>
      </c>
    </row>
    <row r="3466" spans="1:18" s="847" customFormat="1">
      <c r="A3466" s="905"/>
      <c r="B3466" s="914" t="s">
        <v>5205</v>
      </c>
      <c r="C3466" s="915"/>
      <c r="D3466" s="915"/>
      <c r="E3466" s="916" t="s">
        <v>5206</v>
      </c>
      <c r="F3466" s="917" t="s">
        <v>139</v>
      </c>
      <c r="G3466" s="918"/>
      <c r="H3466" s="919"/>
      <c r="I3466" s="920"/>
      <c r="J3466" s="891">
        <f>SUM(J3467:J3468)</f>
        <v>0</v>
      </c>
      <c r="K3466" s="891"/>
      <c r="L3466" s="891">
        <f>SUM(L3467:L3468)</f>
        <v>2361615</v>
      </c>
      <c r="M3466" s="891"/>
      <c r="N3466" s="891">
        <f>SUM(N3467:N3468)</f>
        <v>0</v>
      </c>
      <c r="O3466" s="892">
        <f t="shared" si="216"/>
        <v>1</v>
      </c>
      <c r="P3466" s="903">
        <f t="shared" si="217"/>
        <v>0</v>
      </c>
      <c r="Q3466" s="893">
        <f t="shared" si="218"/>
        <v>0</v>
      </c>
      <c r="R3466" s="894">
        <f t="shared" si="219"/>
        <v>2</v>
      </c>
    </row>
    <row r="3467" spans="1:18" s="904" customFormat="1">
      <c r="A3467" s="895"/>
      <c r="B3467" s="896"/>
      <c r="C3467" s="897"/>
      <c r="D3467" s="897"/>
      <c r="E3467" s="924" t="s">
        <v>276</v>
      </c>
      <c r="F3467" s="927"/>
      <c r="G3467" s="928"/>
      <c r="H3467" s="901"/>
      <c r="I3467" s="902"/>
      <c r="J3467" s="902"/>
      <c r="K3467" s="912" t="s">
        <v>274</v>
      </c>
      <c r="L3467" s="902"/>
      <c r="M3467" s="902"/>
      <c r="N3467" s="902"/>
      <c r="O3467" s="892">
        <f t="shared" si="216"/>
        <v>0</v>
      </c>
      <c r="P3467" s="903">
        <f t="shared" si="217"/>
        <v>1</v>
      </c>
      <c r="Q3467" s="893">
        <f t="shared" si="218"/>
        <v>2</v>
      </c>
      <c r="R3467" s="894">
        <f t="shared" si="219"/>
        <v>0</v>
      </c>
    </row>
    <row r="3468" spans="1:18">
      <c r="A3468" s="905"/>
      <c r="B3468" s="906"/>
      <c r="C3468" s="907">
        <v>740</v>
      </c>
      <c r="D3468" s="907" t="s">
        <v>12</v>
      </c>
      <c r="E3468" s="908" t="s">
        <v>4008</v>
      </c>
      <c r="F3468" s="909" t="s">
        <v>2674</v>
      </c>
      <c r="G3468" s="910"/>
      <c r="H3468" s="911">
        <v>10.68</v>
      </c>
      <c r="I3468" s="912"/>
      <c r="J3468" s="912"/>
      <c r="K3468" s="912">
        <f>VLOOKUP(E3468,[5]ĐMNC!$A$7:$F$67,4,0)</f>
        <v>221125</v>
      </c>
      <c r="L3468" s="912">
        <f>H3468*K3468</f>
        <v>2361615</v>
      </c>
      <c r="M3468" s="912"/>
      <c r="N3468" s="912"/>
      <c r="O3468" s="892">
        <f t="shared" si="216"/>
        <v>0</v>
      </c>
      <c r="P3468" s="903">
        <f t="shared" si="217"/>
        <v>1</v>
      </c>
      <c r="Q3468" s="893">
        <f t="shared" si="218"/>
        <v>1</v>
      </c>
      <c r="R3468" s="894">
        <f t="shared" si="219"/>
        <v>0</v>
      </c>
    </row>
    <row r="3469" spans="1:18" s="847" customFormat="1">
      <c r="A3469" s="905"/>
      <c r="B3469" s="914" t="s">
        <v>5207</v>
      </c>
      <c r="C3469" s="915"/>
      <c r="D3469" s="915"/>
      <c r="E3469" s="916" t="s">
        <v>5208</v>
      </c>
      <c r="F3469" s="917" t="s">
        <v>139</v>
      </c>
      <c r="G3469" s="918"/>
      <c r="H3469" s="919"/>
      <c r="I3469" s="920"/>
      <c r="J3469" s="891">
        <f>SUM(J3470:J3471)</f>
        <v>0</v>
      </c>
      <c r="K3469" s="891"/>
      <c r="L3469" s="891">
        <f>SUM(L3470:L3471)</f>
        <v>1348862.5</v>
      </c>
      <c r="M3469" s="891"/>
      <c r="N3469" s="891">
        <f>SUM(N3470:N3471)</f>
        <v>0</v>
      </c>
      <c r="O3469" s="892">
        <f t="shared" si="216"/>
        <v>1</v>
      </c>
      <c r="P3469" s="903">
        <f t="shared" si="217"/>
        <v>0</v>
      </c>
      <c r="Q3469" s="893">
        <f t="shared" si="218"/>
        <v>0</v>
      </c>
      <c r="R3469" s="894">
        <f t="shared" si="219"/>
        <v>2</v>
      </c>
    </row>
    <row r="3470" spans="1:18" s="904" customFormat="1">
      <c r="A3470" s="895"/>
      <c r="B3470" s="896"/>
      <c r="C3470" s="897"/>
      <c r="D3470" s="897"/>
      <c r="E3470" s="924" t="s">
        <v>276</v>
      </c>
      <c r="F3470" s="927"/>
      <c r="G3470" s="928"/>
      <c r="H3470" s="901"/>
      <c r="I3470" s="902"/>
      <c r="J3470" s="902"/>
      <c r="K3470" s="912" t="s">
        <v>274</v>
      </c>
      <c r="L3470" s="902"/>
      <c r="M3470" s="902"/>
      <c r="N3470" s="902"/>
      <c r="O3470" s="892">
        <f t="shared" si="216"/>
        <v>0</v>
      </c>
      <c r="P3470" s="903">
        <f t="shared" si="217"/>
        <v>1</v>
      </c>
      <c r="Q3470" s="893">
        <f t="shared" si="218"/>
        <v>2</v>
      </c>
      <c r="R3470" s="894">
        <f t="shared" si="219"/>
        <v>0</v>
      </c>
    </row>
    <row r="3471" spans="1:18">
      <c r="A3471" s="905"/>
      <c r="B3471" s="906"/>
      <c r="C3471" s="907">
        <v>740</v>
      </c>
      <c r="D3471" s="907" t="s">
        <v>12</v>
      </c>
      <c r="E3471" s="908" t="s">
        <v>4008</v>
      </c>
      <c r="F3471" s="909" t="s">
        <v>2674</v>
      </c>
      <c r="G3471" s="910"/>
      <c r="H3471" s="911">
        <v>6.1</v>
      </c>
      <c r="I3471" s="912"/>
      <c r="J3471" s="912"/>
      <c r="K3471" s="912">
        <f>VLOOKUP(E3471,[5]ĐMNC!$A$7:$F$67,4,0)</f>
        <v>221125</v>
      </c>
      <c r="L3471" s="912">
        <f>H3471*K3471</f>
        <v>1348862.5</v>
      </c>
      <c r="M3471" s="912"/>
      <c r="N3471" s="912"/>
      <c r="O3471" s="892">
        <f t="shared" si="216"/>
        <v>0</v>
      </c>
      <c r="P3471" s="903">
        <f t="shared" si="217"/>
        <v>1</v>
      </c>
      <c r="Q3471" s="893">
        <f t="shared" si="218"/>
        <v>1</v>
      </c>
      <c r="R3471" s="894">
        <f t="shared" si="219"/>
        <v>0</v>
      </c>
    </row>
    <row r="3472" spans="1:18" s="847" customFormat="1">
      <c r="A3472" s="905"/>
      <c r="B3472" s="914" t="s">
        <v>5209</v>
      </c>
      <c r="C3472" s="915"/>
      <c r="D3472" s="915"/>
      <c r="E3472" s="916" t="s">
        <v>5210</v>
      </c>
      <c r="F3472" s="917" t="s">
        <v>139</v>
      </c>
      <c r="G3472" s="918"/>
      <c r="H3472" s="919"/>
      <c r="I3472" s="920"/>
      <c r="J3472" s="891">
        <f>SUM(J3473:J3474)</f>
        <v>0</v>
      </c>
      <c r="K3472" s="891"/>
      <c r="L3472" s="891">
        <f>SUM(L3473:L3474)</f>
        <v>1415200</v>
      </c>
      <c r="M3472" s="891"/>
      <c r="N3472" s="891">
        <f>SUM(N3473:N3474)</f>
        <v>0</v>
      </c>
      <c r="O3472" s="892">
        <f t="shared" si="216"/>
        <v>1</v>
      </c>
      <c r="P3472" s="903">
        <f t="shared" si="217"/>
        <v>0</v>
      </c>
      <c r="Q3472" s="893">
        <f t="shared" si="218"/>
        <v>0</v>
      </c>
      <c r="R3472" s="894">
        <f t="shared" si="219"/>
        <v>2</v>
      </c>
    </row>
    <row r="3473" spans="1:18" s="904" customFormat="1">
      <c r="A3473" s="895"/>
      <c r="B3473" s="896"/>
      <c r="C3473" s="897"/>
      <c r="D3473" s="897"/>
      <c r="E3473" s="924" t="s">
        <v>276</v>
      </c>
      <c r="F3473" s="927"/>
      <c r="G3473" s="928"/>
      <c r="H3473" s="901"/>
      <c r="I3473" s="902"/>
      <c r="J3473" s="902"/>
      <c r="K3473" s="912" t="s">
        <v>274</v>
      </c>
      <c r="L3473" s="902"/>
      <c r="M3473" s="902"/>
      <c r="N3473" s="902"/>
      <c r="O3473" s="892">
        <f t="shared" si="216"/>
        <v>0</v>
      </c>
      <c r="P3473" s="903">
        <f t="shared" si="217"/>
        <v>1</v>
      </c>
      <c r="Q3473" s="893">
        <f t="shared" si="218"/>
        <v>2</v>
      </c>
      <c r="R3473" s="894">
        <f t="shared" si="219"/>
        <v>0</v>
      </c>
    </row>
    <row r="3474" spans="1:18">
      <c r="A3474" s="905"/>
      <c r="B3474" s="906"/>
      <c r="C3474" s="907">
        <v>740</v>
      </c>
      <c r="D3474" s="907" t="s">
        <v>12</v>
      </c>
      <c r="E3474" s="908" t="s">
        <v>4008</v>
      </c>
      <c r="F3474" s="909" t="s">
        <v>2674</v>
      </c>
      <c r="G3474" s="910"/>
      <c r="H3474" s="911">
        <v>6.4</v>
      </c>
      <c r="I3474" s="912"/>
      <c r="J3474" s="912"/>
      <c r="K3474" s="912">
        <f>VLOOKUP(E3474,[5]ĐMNC!$A$7:$F$67,4,0)</f>
        <v>221125</v>
      </c>
      <c r="L3474" s="912">
        <f>H3474*K3474</f>
        <v>1415200</v>
      </c>
      <c r="M3474" s="912"/>
      <c r="N3474" s="912"/>
      <c r="O3474" s="892">
        <f t="shared" si="216"/>
        <v>0</v>
      </c>
      <c r="P3474" s="903">
        <f t="shared" si="217"/>
        <v>1</v>
      </c>
      <c r="Q3474" s="893">
        <f t="shared" si="218"/>
        <v>1</v>
      </c>
      <c r="R3474" s="894">
        <f t="shared" si="219"/>
        <v>0</v>
      </c>
    </row>
    <row r="3475" spans="1:18" s="847" customFormat="1">
      <c r="A3475" s="905"/>
      <c r="B3475" s="914" t="s">
        <v>5211</v>
      </c>
      <c r="C3475" s="915"/>
      <c r="D3475" s="915"/>
      <c r="E3475" s="916" t="s">
        <v>5212</v>
      </c>
      <c r="F3475" s="917" t="s">
        <v>139</v>
      </c>
      <c r="G3475" s="918"/>
      <c r="H3475" s="919"/>
      <c r="I3475" s="920"/>
      <c r="J3475" s="891">
        <f>SUM(J3476:J3477)</f>
        <v>0</v>
      </c>
      <c r="K3475" s="891"/>
      <c r="L3475" s="891">
        <f>SUM(L3476:L3477)</f>
        <v>1510283.75</v>
      </c>
      <c r="M3475" s="891"/>
      <c r="N3475" s="891">
        <f>SUM(N3476:N3477)</f>
        <v>0</v>
      </c>
      <c r="O3475" s="892">
        <f t="shared" si="216"/>
        <v>1</v>
      </c>
      <c r="P3475" s="903">
        <f t="shared" si="217"/>
        <v>0</v>
      </c>
      <c r="Q3475" s="893">
        <f t="shared" si="218"/>
        <v>0</v>
      </c>
      <c r="R3475" s="894">
        <f t="shared" si="219"/>
        <v>2</v>
      </c>
    </row>
    <row r="3476" spans="1:18" s="904" customFormat="1">
      <c r="A3476" s="895"/>
      <c r="B3476" s="896"/>
      <c r="C3476" s="897"/>
      <c r="D3476" s="897"/>
      <c r="E3476" s="924" t="s">
        <v>276</v>
      </c>
      <c r="F3476" s="927"/>
      <c r="G3476" s="928"/>
      <c r="H3476" s="901"/>
      <c r="I3476" s="902"/>
      <c r="J3476" s="902"/>
      <c r="K3476" s="912" t="s">
        <v>274</v>
      </c>
      <c r="L3476" s="902"/>
      <c r="M3476" s="902"/>
      <c r="N3476" s="902"/>
      <c r="O3476" s="892">
        <f t="shared" si="216"/>
        <v>0</v>
      </c>
      <c r="P3476" s="903">
        <f t="shared" si="217"/>
        <v>1</v>
      </c>
      <c r="Q3476" s="893">
        <f t="shared" si="218"/>
        <v>2</v>
      </c>
      <c r="R3476" s="894">
        <f t="shared" si="219"/>
        <v>0</v>
      </c>
    </row>
    <row r="3477" spans="1:18">
      <c r="A3477" s="905"/>
      <c r="B3477" s="906"/>
      <c r="C3477" s="907">
        <v>740</v>
      </c>
      <c r="D3477" s="907" t="s">
        <v>12</v>
      </c>
      <c r="E3477" s="908" t="s">
        <v>4008</v>
      </c>
      <c r="F3477" s="909" t="s">
        <v>2674</v>
      </c>
      <c r="G3477" s="910"/>
      <c r="H3477" s="911">
        <v>6.83</v>
      </c>
      <c r="I3477" s="912"/>
      <c r="J3477" s="912"/>
      <c r="K3477" s="912">
        <f>VLOOKUP(E3477,[5]ĐMNC!$A$7:$F$67,4,0)</f>
        <v>221125</v>
      </c>
      <c r="L3477" s="912">
        <f>H3477*K3477</f>
        <v>1510283.75</v>
      </c>
      <c r="M3477" s="912"/>
      <c r="N3477" s="912"/>
      <c r="O3477" s="892">
        <f t="shared" si="216"/>
        <v>0</v>
      </c>
      <c r="P3477" s="903">
        <f t="shared" si="217"/>
        <v>1</v>
      </c>
      <c r="Q3477" s="893">
        <f t="shared" si="218"/>
        <v>1</v>
      </c>
      <c r="R3477" s="894">
        <f t="shared" si="219"/>
        <v>0</v>
      </c>
    </row>
    <row r="3478" spans="1:18" s="847" customFormat="1">
      <c r="A3478" s="905"/>
      <c r="B3478" s="914" t="s">
        <v>5213</v>
      </c>
      <c r="C3478" s="915"/>
      <c r="D3478" s="915"/>
      <c r="E3478" s="916" t="s">
        <v>5214</v>
      </c>
      <c r="F3478" s="917" t="s">
        <v>139</v>
      </c>
      <c r="G3478" s="918"/>
      <c r="H3478" s="919"/>
      <c r="I3478" s="920"/>
      <c r="J3478" s="891">
        <f>SUM(J3479:J3480)</f>
        <v>0</v>
      </c>
      <c r="K3478" s="891"/>
      <c r="L3478" s="891">
        <f>SUM(L3479:L3480)</f>
        <v>1696028.75</v>
      </c>
      <c r="M3478" s="891"/>
      <c r="N3478" s="891">
        <f>SUM(N3479:N3480)</f>
        <v>0</v>
      </c>
      <c r="O3478" s="892">
        <f t="shared" si="216"/>
        <v>1</v>
      </c>
      <c r="P3478" s="903">
        <f t="shared" si="217"/>
        <v>0</v>
      </c>
      <c r="Q3478" s="893">
        <f t="shared" si="218"/>
        <v>0</v>
      </c>
      <c r="R3478" s="894">
        <f t="shared" si="219"/>
        <v>2</v>
      </c>
    </row>
    <row r="3479" spans="1:18" s="904" customFormat="1">
      <c r="A3479" s="895"/>
      <c r="B3479" s="896"/>
      <c r="C3479" s="897"/>
      <c r="D3479" s="897"/>
      <c r="E3479" s="924" t="s">
        <v>276</v>
      </c>
      <c r="F3479" s="927"/>
      <c r="G3479" s="928"/>
      <c r="H3479" s="901"/>
      <c r="I3479" s="902"/>
      <c r="J3479" s="902"/>
      <c r="K3479" s="912" t="s">
        <v>274</v>
      </c>
      <c r="L3479" s="902"/>
      <c r="M3479" s="902"/>
      <c r="N3479" s="902"/>
      <c r="O3479" s="892">
        <f t="shared" si="216"/>
        <v>0</v>
      </c>
      <c r="P3479" s="903">
        <f t="shared" si="217"/>
        <v>1</v>
      </c>
      <c r="Q3479" s="893">
        <f t="shared" si="218"/>
        <v>2</v>
      </c>
      <c r="R3479" s="894">
        <f t="shared" si="219"/>
        <v>0</v>
      </c>
    </row>
    <row r="3480" spans="1:18">
      <c r="A3480" s="905"/>
      <c r="B3480" s="906"/>
      <c r="C3480" s="907">
        <v>740</v>
      </c>
      <c r="D3480" s="907" t="s">
        <v>12</v>
      </c>
      <c r="E3480" s="908" t="s">
        <v>4008</v>
      </c>
      <c r="F3480" s="909" t="s">
        <v>2674</v>
      </c>
      <c r="G3480" s="910"/>
      <c r="H3480" s="911">
        <v>7.67</v>
      </c>
      <c r="I3480" s="912"/>
      <c r="J3480" s="912"/>
      <c r="K3480" s="912">
        <f>VLOOKUP(E3480,[5]ĐMNC!$A$7:$F$67,4,0)</f>
        <v>221125</v>
      </c>
      <c r="L3480" s="912">
        <f>H3480*K3480</f>
        <v>1696028.75</v>
      </c>
      <c r="M3480" s="912"/>
      <c r="N3480" s="912"/>
      <c r="O3480" s="892">
        <f t="shared" si="216"/>
        <v>0</v>
      </c>
      <c r="P3480" s="903">
        <f t="shared" si="217"/>
        <v>1</v>
      </c>
      <c r="Q3480" s="893">
        <f t="shared" si="218"/>
        <v>1</v>
      </c>
      <c r="R3480" s="894">
        <f t="shared" si="219"/>
        <v>0</v>
      </c>
    </row>
    <row r="3481" spans="1:18" s="847" customFormat="1">
      <c r="A3481" s="905"/>
      <c r="B3481" s="914" t="s">
        <v>5215</v>
      </c>
      <c r="C3481" s="915"/>
      <c r="D3481" s="915"/>
      <c r="E3481" s="916" t="s">
        <v>5216</v>
      </c>
      <c r="F3481" s="917" t="s">
        <v>139</v>
      </c>
      <c r="G3481" s="918"/>
      <c r="H3481" s="919"/>
      <c r="I3481" s="920"/>
      <c r="J3481" s="891">
        <f>SUM(J3482:J3483)</f>
        <v>0</v>
      </c>
      <c r="K3481" s="891"/>
      <c r="L3481" s="891">
        <f>SUM(L3482:L3483)</f>
        <v>2063096.25</v>
      </c>
      <c r="M3481" s="891"/>
      <c r="N3481" s="891">
        <f>SUM(N3482:N3483)</f>
        <v>0</v>
      </c>
      <c r="O3481" s="892">
        <f t="shared" si="216"/>
        <v>1</v>
      </c>
      <c r="P3481" s="903">
        <f t="shared" si="217"/>
        <v>0</v>
      </c>
      <c r="Q3481" s="893">
        <f t="shared" si="218"/>
        <v>0</v>
      </c>
      <c r="R3481" s="894">
        <f t="shared" si="219"/>
        <v>2</v>
      </c>
    </row>
    <row r="3482" spans="1:18" s="904" customFormat="1">
      <c r="A3482" s="895"/>
      <c r="B3482" s="896"/>
      <c r="C3482" s="897"/>
      <c r="D3482" s="897"/>
      <c r="E3482" s="924" t="s">
        <v>276</v>
      </c>
      <c r="F3482" s="927"/>
      <c r="G3482" s="928"/>
      <c r="H3482" s="901"/>
      <c r="I3482" s="902"/>
      <c r="J3482" s="902"/>
      <c r="K3482" s="912" t="s">
        <v>274</v>
      </c>
      <c r="L3482" s="902"/>
      <c r="M3482" s="902"/>
      <c r="N3482" s="902"/>
      <c r="O3482" s="892">
        <f t="shared" si="216"/>
        <v>0</v>
      </c>
      <c r="P3482" s="903">
        <f t="shared" si="217"/>
        <v>1</v>
      </c>
      <c r="Q3482" s="893">
        <f t="shared" si="218"/>
        <v>2</v>
      </c>
      <c r="R3482" s="894">
        <f t="shared" si="219"/>
        <v>0</v>
      </c>
    </row>
    <row r="3483" spans="1:18">
      <c r="A3483" s="905"/>
      <c r="B3483" s="906"/>
      <c r="C3483" s="907">
        <v>740</v>
      </c>
      <c r="D3483" s="907" t="s">
        <v>12</v>
      </c>
      <c r="E3483" s="908" t="s">
        <v>4008</v>
      </c>
      <c r="F3483" s="909" t="s">
        <v>2674</v>
      </c>
      <c r="G3483" s="910"/>
      <c r="H3483" s="911">
        <v>9.33</v>
      </c>
      <c r="I3483" s="912"/>
      <c r="J3483" s="912"/>
      <c r="K3483" s="912">
        <f>VLOOKUP(E3483,[5]ĐMNC!$A$7:$F$67,4,0)</f>
        <v>221125</v>
      </c>
      <c r="L3483" s="912">
        <f>H3483*K3483</f>
        <v>2063096.25</v>
      </c>
      <c r="M3483" s="912"/>
      <c r="N3483" s="912"/>
      <c r="O3483" s="892">
        <f t="shared" si="216"/>
        <v>0</v>
      </c>
      <c r="P3483" s="903">
        <f t="shared" si="217"/>
        <v>1</v>
      </c>
      <c r="Q3483" s="893">
        <f t="shared" si="218"/>
        <v>1</v>
      </c>
      <c r="R3483" s="894">
        <f t="shared" si="219"/>
        <v>0</v>
      </c>
    </row>
    <row r="3484" spans="1:18" s="847" customFormat="1">
      <c r="A3484" s="905"/>
      <c r="B3484" s="914" t="s">
        <v>5217</v>
      </c>
      <c r="C3484" s="915"/>
      <c r="D3484" s="915"/>
      <c r="E3484" s="916" t="s">
        <v>5218</v>
      </c>
      <c r="F3484" s="917" t="s">
        <v>139</v>
      </c>
      <c r="G3484" s="918"/>
      <c r="H3484" s="919"/>
      <c r="I3484" s="920"/>
      <c r="J3484" s="891">
        <f>SUM(J3485:J3486)</f>
        <v>0</v>
      </c>
      <c r="K3484" s="891"/>
      <c r="L3484" s="891">
        <f>SUM(L3485:L3486)</f>
        <v>2171447.5</v>
      </c>
      <c r="M3484" s="891"/>
      <c r="N3484" s="891">
        <f>SUM(N3485:N3486)</f>
        <v>0</v>
      </c>
      <c r="O3484" s="892">
        <f t="shared" si="216"/>
        <v>1</v>
      </c>
      <c r="P3484" s="903">
        <f t="shared" si="217"/>
        <v>0</v>
      </c>
      <c r="Q3484" s="893">
        <f t="shared" si="218"/>
        <v>0</v>
      </c>
      <c r="R3484" s="894">
        <f t="shared" si="219"/>
        <v>2</v>
      </c>
    </row>
    <row r="3485" spans="1:18" s="904" customFormat="1">
      <c r="A3485" s="895"/>
      <c r="B3485" s="896"/>
      <c r="C3485" s="897"/>
      <c r="D3485" s="897"/>
      <c r="E3485" s="924" t="s">
        <v>276</v>
      </c>
      <c r="F3485" s="927"/>
      <c r="G3485" s="928"/>
      <c r="H3485" s="901"/>
      <c r="I3485" s="902"/>
      <c r="J3485" s="902"/>
      <c r="K3485" s="912" t="s">
        <v>274</v>
      </c>
      <c r="L3485" s="902"/>
      <c r="M3485" s="902"/>
      <c r="N3485" s="902"/>
      <c r="O3485" s="892">
        <f t="shared" ref="O3485:O3548" si="220">IF(AND(B3485&lt;&gt;"",D3485=""),1,0)</f>
        <v>0</v>
      </c>
      <c r="P3485" s="903">
        <f t="shared" si="217"/>
        <v>1</v>
      </c>
      <c r="Q3485" s="893">
        <f t="shared" si="218"/>
        <v>2</v>
      </c>
      <c r="R3485" s="894">
        <f t="shared" si="219"/>
        <v>0</v>
      </c>
    </row>
    <row r="3486" spans="1:18">
      <c r="A3486" s="905"/>
      <c r="B3486" s="906"/>
      <c r="C3486" s="907">
        <v>740</v>
      </c>
      <c r="D3486" s="907" t="s">
        <v>12</v>
      </c>
      <c r="E3486" s="908" t="s">
        <v>4008</v>
      </c>
      <c r="F3486" s="909" t="s">
        <v>2674</v>
      </c>
      <c r="G3486" s="910"/>
      <c r="H3486" s="911">
        <v>9.82</v>
      </c>
      <c r="I3486" s="912"/>
      <c r="J3486" s="912"/>
      <c r="K3486" s="912">
        <f>VLOOKUP(E3486,[5]ĐMNC!$A$7:$F$67,4,0)</f>
        <v>221125</v>
      </c>
      <c r="L3486" s="912">
        <f>H3486*K3486</f>
        <v>2171447.5</v>
      </c>
      <c r="M3486" s="912"/>
      <c r="N3486" s="912"/>
      <c r="O3486" s="892">
        <f t="shared" si="220"/>
        <v>0</v>
      </c>
      <c r="P3486" s="903">
        <f t="shared" si="217"/>
        <v>1</v>
      </c>
      <c r="Q3486" s="893">
        <f t="shared" si="218"/>
        <v>1</v>
      </c>
      <c r="R3486" s="894">
        <f t="shared" si="219"/>
        <v>0</v>
      </c>
    </row>
    <row r="3487" spans="1:18" s="847" customFormat="1">
      <c r="A3487" s="905"/>
      <c r="B3487" s="914" t="s">
        <v>5219</v>
      </c>
      <c r="C3487" s="915"/>
      <c r="D3487" s="915"/>
      <c r="E3487" s="916" t="s">
        <v>5220</v>
      </c>
      <c r="F3487" s="917" t="s">
        <v>139</v>
      </c>
      <c r="G3487" s="918"/>
      <c r="H3487" s="919"/>
      <c r="I3487" s="920"/>
      <c r="J3487" s="891">
        <f>SUM(J3488:J3489)</f>
        <v>0</v>
      </c>
      <c r="K3487" s="891"/>
      <c r="L3487" s="891">
        <f>SUM(L3488:L3489)</f>
        <v>2275376.25</v>
      </c>
      <c r="M3487" s="891"/>
      <c r="N3487" s="891">
        <f>SUM(N3488:N3489)</f>
        <v>0</v>
      </c>
      <c r="O3487" s="892">
        <f t="shared" si="220"/>
        <v>1</v>
      </c>
      <c r="P3487" s="903">
        <f t="shared" si="217"/>
        <v>0</v>
      </c>
      <c r="Q3487" s="893">
        <f t="shared" si="218"/>
        <v>0</v>
      </c>
      <c r="R3487" s="894">
        <f t="shared" si="219"/>
        <v>2</v>
      </c>
    </row>
    <row r="3488" spans="1:18" s="904" customFormat="1">
      <c r="A3488" s="895"/>
      <c r="B3488" s="896"/>
      <c r="C3488" s="897"/>
      <c r="D3488" s="897"/>
      <c r="E3488" s="924" t="s">
        <v>276</v>
      </c>
      <c r="F3488" s="927"/>
      <c r="G3488" s="928"/>
      <c r="H3488" s="901"/>
      <c r="I3488" s="902"/>
      <c r="J3488" s="902"/>
      <c r="K3488" s="912" t="s">
        <v>274</v>
      </c>
      <c r="L3488" s="902"/>
      <c r="M3488" s="902"/>
      <c r="N3488" s="902"/>
      <c r="O3488" s="892">
        <f t="shared" si="220"/>
        <v>0</v>
      </c>
      <c r="P3488" s="903">
        <f t="shared" si="217"/>
        <v>1</v>
      </c>
      <c r="Q3488" s="893">
        <f t="shared" si="218"/>
        <v>2</v>
      </c>
      <c r="R3488" s="894">
        <f t="shared" si="219"/>
        <v>0</v>
      </c>
    </row>
    <row r="3489" spans="1:18">
      <c r="A3489" s="905"/>
      <c r="B3489" s="906"/>
      <c r="C3489" s="907">
        <v>740</v>
      </c>
      <c r="D3489" s="907" t="s">
        <v>12</v>
      </c>
      <c r="E3489" s="908" t="s">
        <v>4008</v>
      </c>
      <c r="F3489" s="909" t="s">
        <v>2674</v>
      </c>
      <c r="G3489" s="910"/>
      <c r="H3489" s="911">
        <v>10.29</v>
      </c>
      <c r="I3489" s="912"/>
      <c r="J3489" s="912"/>
      <c r="K3489" s="912">
        <f>VLOOKUP(E3489,[5]ĐMNC!$A$7:$F$67,4,0)</f>
        <v>221125</v>
      </c>
      <c r="L3489" s="912">
        <f>H3489*K3489</f>
        <v>2275376.25</v>
      </c>
      <c r="M3489" s="912"/>
      <c r="N3489" s="912"/>
      <c r="O3489" s="892">
        <f t="shared" si="220"/>
        <v>0</v>
      </c>
      <c r="P3489" s="903">
        <f t="shared" si="217"/>
        <v>1</v>
      </c>
      <c r="Q3489" s="893">
        <f t="shared" si="218"/>
        <v>1</v>
      </c>
      <c r="R3489" s="894">
        <f t="shared" si="219"/>
        <v>0</v>
      </c>
    </row>
    <row r="3490" spans="1:18" s="847" customFormat="1">
      <c r="A3490" s="905"/>
      <c r="B3490" s="914" t="s">
        <v>5221</v>
      </c>
      <c r="C3490" s="915"/>
      <c r="D3490" s="915"/>
      <c r="E3490" s="916" t="s">
        <v>5222</v>
      </c>
      <c r="F3490" s="917" t="s">
        <v>139</v>
      </c>
      <c r="G3490" s="918"/>
      <c r="H3490" s="919"/>
      <c r="I3490" s="920"/>
      <c r="J3490" s="891">
        <f>SUM(J3491:J3492)</f>
        <v>0</v>
      </c>
      <c r="K3490" s="891"/>
      <c r="L3490" s="891">
        <f>SUM(L3491:L3492)</f>
        <v>2388150</v>
      </c>
      <c r="M3490" s="891"/>
      <c r="N3490" s="891">
        <f>SUM(N3491:N3492)</f>
        <v>0</v>
      </c>
      <c r="O3490" s="892">
        <f t="shared" si="220"/>
        <v>1</v>
      </c>
      <c r="P3490" s="903">
        <f t="shared" si="217"/>
        <v>0</v>
      </c>
      <c r="Q3490" s="893">
        <f t="shared" si="218"/>
        <v>0</v>
      </c>
      <c r="R3490" s="894">
        <f t="shared" si="219"/>
        <v>2</v>
      </c>
    </row>
    <row r="3491" spans="1:18" s="904" customFormat="1">
      <c r="A3491" s="895"/>
      <c r="B3491" s="896"/>
      <c r="C3491" s="897"/>
      <c r="D3491" s="897"/>
      <c r="E3491" s="924" t="s">
        <v>276</v>
      </c>
      <c r="F3491" s="927"/>
      <c r="G3491" s="928"/>
      <c r="H3491" s="901"/>
      <c r="I3491" s="902"/>
      <c r="J3491" s="902"/>
      <c r="K3491" s="912" t="s">
        <v>274</v>
      </c>
      <c r="L3491" s="902"/>
      <c r="M3491" s="902"/>
      <c r="N3491" s="902"/>
      <c r="O3491" s="892">
        <f t="shared" si="220"/>
        <v>0</v>
      </c>
      <c r="P3491" s="903">
        <f t="shared" si="217"/>
        <v>1</v>
      </c>
      <c r="Q3491" s="893">
        <f t="shared" si="218"/>
        <v>2</v>
      </c>
      <c r="R3491" s="894">
        <f t="shared" si="219"/>
        <v>0</v>
      </c>
    </row>
    <row r="3492" spans="1:18">
      <c r="A3492" s="905"/>
      <c r="B3492" s="906"/>
      <c r="C3492" s="907">
        <v>740</v>
      </c>
      <c r="D3492" s="907" t="s">
        <v>12</v>
      </c>
      <c r="E3492" s="908" t="s">
        <v>4008</v>
      </c>
      <c r="F3492" s="909" t="s">
        <v>2674</v>
      </c>
      <c r="G3492" s="910"/>
      <c r="H3492" s="911">
        <v>10.8</v>
      </c>
      <c r="I3492" s="912"/>
      <c r="J3492" s="912"/>
      <c r="K3492" s="912">
        <f>VLOOKUP(E3492,[5]ĐMNC!$A$7:$F$67,4,0)</f>
        <v>221125</v>
      </c>
      <c r="L3492" s="912">
        <f>H3492*K3492</f>
        <v>2388150</v>
      </c>
      <c r="M3492" s="912"/>
      <c r="N3492" s="912"/>
      <c r="O3492" s="892">
        <f t="shared" si="220"/>
        <v>0</v>
      </c>
      <c r="P3492" s="903">
        <f t="shared" si="217"/>
        <v>1</v>
      </c>
      <c r="Q3492" s="893">
        <f t="shared" si="218"/>
        <v>1</v>
      </c>
      <c r="R3492" s="894">
        <f t="shared" si="219"/>
        <v>0</v>
      </c>
    </row>
    <row r="3493" spans="1:18" s="847" customFormat="1">
      <c r="A3493" s="905"/>
      <c r="B3493" s="914" t="s">
        <v>5223</v>
      </c>
      <c r="C3493" s="915"/>
      <c r="D3493" s="915"/>
      <c r="E3493" s="916" t="s">
        <v>5224</v>
      </c>
      <c r="F3493" s="917" t="s">
        <v>139</v>
      </c>
      <c r="G3493" s="918"/>
      <c r="H3493" s="919"/>
      <c r="I3493" s="920"/>
      <c r="J3493" s="891">
        <f>SUM(J3494:J3495)</f>
        <v>0</v>
      </c>
      <c r="K3493" s="891"/>
      <c r="L3493" s="891">
        <f>SUM(L3494:L3495)</f>
        <v>2746372.5</v>
      </c>
      <c r="M3493" s="891"/>
      <c r="N3493" s="891">
        <f>SUM(N3494:N3495)</f>
        <v>0</v>
      </c>
      <c r="O3493" s="892">
        <f t="shared" si="220"/>
        <v>1</v>
      </c>
      <c r="P3493" s="903">
        <f t="shared" si="217"/>
        <v>0</v>
      </c>
      <c r="Q3493" s="893">
        <f t="shared" si="218"/>
        <v>0</v>
      </c>
      <c r="R3493" s="894">
        <f t="shared" si="219"/>
        <v>2</v>
      </c>
    </row>
    <row r="3494" spans="1:18" s="904" customFormat="1">
      <c r="A3494" s="895"/>
      <c r="B3494" s="896"/>
      <c r="C3494" s="897"/>
      <c r="D3494" s="897"/>
      <c r="E3494" s="924" t="s">
        <v>276</v>
      </c>
      <c r="F3494" s="927"/>
      <c r="G3494" s="928"/>
      <c r="H3494" s="901"/>
      <c r="I3494" s="902"/>
      <c r="J3494" s="902"/>
      <c r="K3494" s="912" t="s">
        <v>274</v>
      </c>
      <c r="L3494" s="902"/>
      <c r="M3494" s="902"/>
      <c r="N3494" s="902"/>
      <c r="O3494" s="892">
        <f t="shared" si="220"/>
        <v>0</v>
      </c>
      <c r="P3494" s="903">
        <f t="shared" ref="P3494:P3557" si="221">IF(O3494=0,1,0)</f>
        <v>1</v>
      </c>
      <c r="Q3494" s="893">
        <f t="shared" ref="Q3494:Q3557" si="222">IF(P3494=0,0,P3494+Q3495)</f>
        <v>2</v>
      </c>
      <c r="R3494" s="894">
        <f t="shared" ref="R3494:R3557" si="223">IF(Q3494=0,Q3495,0)</f>
        <v>0</v>
      </c>
    </row>
    <row r="3495" spans="1:18">
      <c r="A3495" s="905"/>
      <c r="B3495" s="906"/>
      <c r="C3495" s="907">
        <v>740</v>
      </c>
      <c r="D3495" s="907" t="s">
        <v>12</v>
      </c>
      <c r="E3495" s="908" t="s">
        <v>4008</v>
      </c>
      <c r="F3495" s="909" t="s">
        <v>2674</v>
      </c>
      <c r="G3495" s="910"/>
      <c r="H3495" s="911">
        <v>12.42</v>
      </c>
      <c r="I3495" s="912"/>
      <c r="J3495" s="912"/>
      <c r="K3495" s="912">
        <f>VLOOKUP(E3495,[5]ĐMNC!$A$7:$F$67,4,0)</f>
        <v>221125</v>
      </c>
      <c r="L3495" s="912">
        <f>H3495*K3495</f>
        <v>2746372.5</v>
      </c>
      <c r="M3495" s="912"/>
      <c r="N3495" s="912"/>
      <c r="O3495" s="892">
        <f t="shared" si="220"/>
        <v>0</v>
      </c>
      <c r="P3495" s="903">
        <f t="shared" si="221"/>
        <v>1</v>
      </c>
      <c r="Q3495" s="893">
        <f t="shared" si="222"/>
        <v>1</v>
      </c>
      <c r="R3495" s="894">
        <f t="shared" si="223"/>
        <v>0</v>
      </c>
    </row>
    <row r="3496" spans="1:18" s="847" customFormat="1">
      <c r="A3496" s="905"/>
      <c r="B3496" s="914" t="s">
        <v>5225</v>
      </c>
      <c r="C3496" s="915"/>
      <c r="D3496" s="915"/>
      <c r="E3496" s="916" t="s">
        <v>5226</v>
      </c>
      <c r="F3496" s="917" t="s">
        <v>139</v>
      </c>
      <c r="G3496" s="918"/>
      <c r="H3496" s="919"/>
      <c r="I3496" s="920"/>
      <c r="J3496" s="891">
        <f>SUM(J3497:J3498)</f>
        <v>0</v>
      </c>
      <c r="K3496" s="891"/>
      <c r="L3496" s="891">
        <f>SUM(L3497:L3498)</f>
        <v>1539030</v>
      </c>
      <c r="M3496" s="891"/>
      <c r="N3496" s="891">
        <f>SUM(N3497:N3498)</f>
        <v>0</v>
      </c>
      <c r="O3496" s="892">
        <f t="shared" si="220"/>
        <v>1</v>
      </c>
      <c r="P3496" s="903">
        <f t="shared" si="221"/>
        <v>0</v>
      </c>
      <c r="Q3496" s="893">
        <f t="shared" si="222"/>
        <v>0</v>
      </c>
      <c r="R3496" s="894">
        <f t="shared" si="223"/>
        <v>2</v>
      </c>
    </row>
    <row r="3497" spans="1:18" s="904" customFormat="1">
      <c r="A3497" s="895"/>
      <c r="B3497" s="922"/>
      <c r="C3497" s="897"/>
      <c r="D3497" s="897"/>
      <c r="E3497" s="924" t="s">
        <v>276</v>
      </c>
      <c r="F3497" s="927"/>
      <c r="G3497" s="928"/>
      <c r="H3497" s="901"/>
      <c r="I3497" s="902"/>
      <c r="J3497" s="902"/>
      <c r="K3497" s="912" t="s">
        <v>274</v>
      </c>
      <c r="L3497" s="902"/>
      <c r="M3497" s="902"/>
      <c r="N3497" s="902"/>
      <c r="O3497" s="892">
        <f t="shared" si="220"/>
        <v>0</v>
      </c>
      <c r="P3497" s="903">
        <f t="shared" si="221"/>
        <v>1</v>
      </c>
      <c r="Q3497" s="893">
        <f t="shared" si="222"/>
        <v>2</v>
      </c>
      <c r="R3497" s="894">
        <f t="shared" si="223"/>
        <v>0</v>
      </c>
    </row>
    <row r="3498" spans="1:18">
      <c r="A3498" s="905"/>
      <c r="B3498" s="906"/>
      <c r="C3498" s="907">
        <v>740</v>
      </c>
      <c r="D3498" s="907" t="s">
        <v>12</v>
      </c>
      <c r="E3498" s="908" t="s">
        <v>4008</v>
      </c>
      <c r="F3498" s="909" t="s">
        <v>2674</v>
      </c>
      <c r="G3498" s="910"/>
      <c r="H3498" s="911">
        <v>6.96</v>
      </c>
      <c r="I3498" s="912"/>
      <c r="J3498" s="912"/>
      <c r="K3498" s="912">
        <f>VLOOKUP(E3498,[5]ĐMNC!$A$7:$F$67,4,0)</f>
        <v>221125</v>
      </c>
      <c r="L3498" s="912">
        <f>H3498*K3498</f>
        <v>1539030</v>
      </c>
      <c r="M3498" s="912"/>
      <c r="N3498" s="912"/>
      <c r="O3498" s="892">
        <f t="shared" si="220"/>
        <v>0</v>
      </c>
      <c r="P3498" s="903">
        <f t="shared" si="221"/>
        <v>1</v>
      </c>
      <c r="Q3498" s="893">
        <f t="shared" si="222"/>
        <v>1</v>
      </c>
      <c r="R3498" s="894">
        <f t="shared" si="223"/>
        <v>0</v>
      </c>
    </row>
    <row r="3499" spans="1:18" s="847" customFormat="1">
      <c r="A3499" s="905"/>
      <c r="B3499" s="914" t="s">
        <v>5227</v>
      </c>
      <c r="C3499" s="915"/>
      <c r="D3499" s="915"/>
      <c r="E3499" s="916" t="s">
        <v>5228</v>
      </c>
      <c r="F3499" s="917" t="s">
        <v>139</v>
      </c>
      <c r="G3499" s="918"/>
      <c r="H3499" s="919"/>
      <c r="I3499" s="920"/>
      <c r="J3499" s="891">
        <f>SUM(J3500:J3501)</f>
        <v>0</v>
      </c>
      <c r="K3499" s="891"/>
      <c r="L3499" s="891">
        <f>SUM(L3500:L3501)</f>
        <v>1614212.5</v>
      </c>
      <c r="M3499" s="891"/>
      <c r="N3499" s="891">
        <f>SUM(N3500:N3501)</f>
        <v>0</v>
      </c>
      <c r="O3499" s="892">
        <f t="shared" si="220"/>
        <v>1</v>
      </c>
      <c r="P3499" s="903">
        <f t="shared" si="221"/>
        <v>0</v>
      </c>
      <c r="Q3499" s="893">
        <f t="shared" si="222"/>
        <v>0</v>
      </c>
      <c r="R3499" s="894">
        <f t="shared" si="223"/>
        <v>2</v>
      </c>
    </row>
    <row r="3500" spans="1:18" s="904" customFormat="1">
      <c r="A3500" s="895"/>
      <c r="B3500" s="896"/>
      <c r="C3500" s="897"/>
      <c r="D3500" s="897"/>
      <c r="E3500" s="924" t="s">
        <v>276</v>
      </c>
      <c r="F3500" s="927"/>
      <c r="G3500" s="928"/>
      <c r="H3500" s="901"/>
      <c r="I3500" s="902"/>
      <c r="J3500" s="902"/>
      <c r="K3500" s="912" t="s">
        <v>274</v>
      </c>
      <c r="L3500" s="902"/>
      <c r="M3500" s="902"/>
      <c r="N3500" s="902"/>
      <c r="O3500" s="892">
        <f t="shared" si="220"/>
        <v>0</v>
      </c>
      <c r="P3500" s="903">
        <f t="shared" si="221"/>
        <v>1</v>
      </c>
      <c r="Q3500" s="893">
        <f t="shared" si="222"/>
        <v>2</v>
      </c>
      <c r="R3500" s="894">
        <f t="shared" si="223"/>
        <v>0</v>
      </c>
    </row>
    <row r="3501" spans="1:18">
      <c r="A3501" s="905"/>
      <c r="B3501" s="906"/>
      <c r="C3501" s="907">
        <v>740</v>
      </c>
      <c r="D3501" s="907" t="s">
        <v>12</v>
      </c>
      <c r="E3501" s="908" t="s">
        <v>4008</v>
      </c>
      <c r="F3501" s="909" t="s">
        <v>2674</v>
      </c>
      <c r="G3501" s="910"/>
      <c r="H3501" s="911">
        <v>7.3</v>
      </c>
      <c r="I3501" s="912"/>
      <c r="J3501" s="912"/>
      <c r="K3501" s="912">
        <f>VLOOKUP(E3501,[5]ĐMNC!$A$7:$F$67,4,0)</f>
        <v>221125</v>
      </c>
      <c r="L3501" s="912">
        <f>H3501*K3501</f>
        <v>1614212.5</v>
      </c>
      <c r="M3501" s="912"/>
      <c r="N3501" s="912"/>
      <c r="O3501" s="892">
        <f t="shared" si="220"/>
        <v>0</v>
      </c>
      <c r="P3501" s="903">
        <f t="shared" si="221"/>
        <v>1</v>
      </c>
      <c r="Q3501" s="893">
        <f t="shared" si="222"/>
        <v>1</v>
      </c>
      <c r="R3501" s="894">
        <f t="shared" si="223"/>
        <v>0</v>
      </c>
    </row>
    <row r="3502" spans="1:18" s="847" customFormat="1">
      <c r="A3502" s="905"/>
      <c r="B3502" s="914" t="s">
        <v>5229</v>
      </c>
      <c r="C3502" s="915"/>
      <c r="D3502" s="915"/>
      <c r="E3502" s="916" t="s">
        <v>5230</v>
      </c>
      <c r="F3502" s="917" t="s">
        <v>139</v>
      </c>
      <c r="G3502" s="918"/>
      <c r="H3502" s="919"/>
      <c r="I3502" s="920"/>
      <c r="J3502" s="891">
        <f>SUM(J3503:J3504)</f>
        <v>0</v>
      </c>
      <c r="K3502" s="891"/>
      <c r="L3502" s="891">
        <f>SUM(L3503:L3504)</f>
        <v>1720352.5</v>
      </c>
      <c r="M3502" s="891"/>
      <c r="N3502" s="891">
        <f>SUM(N3503:N3504)</f>
        <v>0</v>
      </c>
      <c r="O3502" s="892">
        <f t="shared" si="220"/>
        <v>1</v>
      </c>
      <c r="P3502" s="903">
        <f t="shared" si="221"/>
        <v>0</v>
      </c>
      <c r="Q3502" s="893">
        <f t="shared" si="222"/>
        <v>0</v>
      </c>
      <c r="R3502" s="894">
        <f t="shared" si="223"/>
        <v>2</v>
      </c>
    </row>
    <row r="3503" spans="1:18" s="904" customFormat="1">
      <c r="A3503" s="895"/>
      <c r="B3503" s="896"/>
      <c r="C3503" s="897"/>
      <c r="D3503" s="897"/>
      <c r="E3503" s="924" t="s">
        <v>276</v>
      </c>
      <c r="F3503" s="927"/>
      <c r="G3503" s="928"/>
      <c r="H3503" s="901"/>
      <c r="I3503" s="902"/>
      <c r="J3503" s="902"/>
      <c r="K3503" s="912" t="s">
        <v>274</v>
      </c>
      <c r="L3503" s="902"/>
      <c r="M3503" s="902"/>
      <c r="N3503" s="902"/>
      <c r="O3503" s="892">
        <f t="shared" si="220"/>
        <v>0</v>
      </c>
      <c r="P3503" s="903">
        <f t="shared" si="221"/>
        <v>1</v>
      </c>
      <c r="Q3503" s="893">
        <f t="shared" si="222"/>
        <v>2</v>
      </c>
      <c r="R3503" s="894">
        <f t="shared" si="223"/>
        <v>0</v>
      </c>
    </row>
    <row r="3504" spans="1:18">
      <c r="A3504" s="905"/>
      <c r="B3504" s="906"/>
      <c r="C3504" s="907">
        <v>740</v>
      </c>
      <c r="D3504" s="907" t="s">
        <v>12</v>
      </c>
      <c r="E3504" s="908" t="s">
        <v>4008</v>
      </c>
      <c r="F3504" s="909" t="s">
        <v>2674</v>
      </c>
      <c r="G3504" s="910"/>
      <c r="H3504" s="911">
        <v>7.78</v>
      </c>
      <c r="I3504" s="912"/>
      <c r="J3504" s="912"/>
      <c r="K3504" s="912">
        <f>VLOOKUP(E3504,[5]ĐMNC!$A$7:$F$67,4,0)</f>
        <v>221125</v>
      </c>
      <c r="L3504" s="912">
        <f>H3504*K3504</f>
        <v>1720352.5</v>
      </c>
      <c r="M3504" s="912"/>
      <c r="N3504" s="912"/>
      <c r="O3504" s="892">
        <f t="shared" si="220"/>
        <v>0</v>
      </c>
      <c r="P3504" s="903">
        <f t="shared" si="221"/>
        <v>1</v>
      </c>
      <c r="Q3504" s="893">
        <f t="shared" si="222"/>
        <v>1</v>
      </c>
      <c r="R3504" s="894">
        <f t="shared" si="223"/>
        <v>0</v>
      </c>
    </row>
    <row r="3505" spans="1:18" s="847" customFormat="1">
      <c r="A3505" s="905"/>
      <c r="B3505" s="914" t="s">
        <v>5231</v>
      </c>
      <c r="C3505" s="915"/>
      <c r="D3505" s="915"/>
      <c r="E3505" s="916" t="s">
        <v>5232</v>
      </c>
      <c r="F3505" s="917" t="s">
        <v>139</v>
      </c>
      <c r="G3505" s="918"/>
      <c r="H3505" s="919"/>
      <c r="I3505" s="920"/>
      <c r="J3505" s="891">
        <f>SUM(J3506:J3507)</f>
        <v>0</v>
      </c>
      <c r="K3505" s="891"/>
      <c r="L3505" s="891">
        <f>SUM(L3506:L3507)</f>
        <v>1932632.5</v>
      </c>
      <c r="M3505" s="891"/>
      <c r="N3505" s="891">
        <f>SUM(N3506:N3507)</f>
        <v>0</v>
      </c>
      <c r="O3505" s="892">
        <f t="shared" si="220"/>
        <v>1</v>
      </c>
      <c r="P3505" s="903">
        <f t="shared" si="221"/>
        <v>0</v>
      </c>
      <c r="Q3505" s="893">
        <f t="shared" si="222"/>
        <v>0</v>
      </c>
      <c r="R3505" s="894">
        <f t="shared" si="223"/>
        <v>2</v>
      </c>
    </row>
    <row r="3506" spans="1:18" s="904" customFormat="1">
      <c r="A3506" s="895"/>
      <c r="B3506" s="896"/>
      <c r="C3506" s="897"/>
      <c r="D3506" s="897"/>
      <c r="E3506" s="924" t="s">
        <v>276</v>
      </c>
      <c r="F3506" s="927"/>
      <c r="G3506" s="928"/>
      <c r="H3506" s="901"/>
      <c r="I3506" s="902"/>
      <c r="J3506" s="902"/>
      <c r="K3506" s="912" t="s">
        <v>274</v>
      </c>
      <c r="L3506" s="902"/>
      <c r="M3506" s="902"/>
      <c r="N3506" s="902"/>
      <c r="O3506" s="892">
        <f t="shared" si="220"/>
        <v>0</v>
      </c>
      <c r="P3506" s="903">
        <f t="shared" si="221"/>
        <v>1</v>
      </c>
      <c r="Q3506" s="893">
        <f t="shared" si="222"/>
        <v>2</v>
      </c>
      <c r="R3506" s="894">
        <f t="shared" si="223"/>
        <v>0</v>
      </c>
    </row>
    <row r="3507" spans="1:18">
      <c r="A3507" s="905"/>
      <c r="B3507" s="906"/>
      <c r="C3507" s="907">
        <v>740</v>
      </c>
      <c r="D3507" s="907" t="s">
        <v>12</v>
      </c>
      <c r="E3507" s="908" t="s">
        <v>4008</v>
      </c>
      <c r="F3507" s="909" t="s">
        <v>2674</v>
      </c>
      <c r="G3507" s="910"/>
      <c r="H3507" s="911">
        <v>8.74</v>
      </c>
      <c r="I3507" s="912"/>
      <c r="J3507" s="912"/>
      <c r="K3507" s="912">
        <f>VLOOKUP(E3507,[5]ĐMNC!$A$7:$F$67,4,0)</f>
        <v>221125</v>
      </c>
      <c r="L3507" s="912">
        <f>H3507*K3507</f>
        <v>1932632.5</v>
      </c>
      <c r="M3507" s="912"/>
      <c r="N3507" s="912"/>
      <c r="O3507" s="892">
        <f t="shared" si="220"/>
        <v>0</v>
      </c>
      <c r="P3507" s="903">
        <f t="shared" si="221"/>
        <v>1</v>
      </c>
      <c r="Q3507" s="893">
        <f t="shared" si="222"/>
        <v>1</v>
      </c>
      <c r="R3507" s="894">
        <f t="shared" si="223"/>
        <v>0</v>
      </c>
    </row>
    <row r="3508" spans="1:18" s="847" customFormat="1">
      <c r="A3508" s="905"/>
      <c r="B3508" s="914" t="s">
        <v>5233</v>
      </c>
      <c r="C3508" s="915"/>
      <c r="D3508" s="915"/>
      <c r="E3508" s="916" t="s">
        <v>5234</v>
      </c>
      <c r="F3508" s="917" t="s">
        <v>139</v>
      </c>
      <c r="G3508" s="918"/>
      <c r="H3508" s="919"/>
      <c r="I3508" s="920"/>
      <c r="J3508" s="891">
        <f>SUM(J3509:J3510)</f>
        <v>0</v>
      </c>
      <c r="K3508" s="891"/>
      <c r="L3508" s="891">
        <f>SUM(L3509:L3510)</f>
        <v>2354981.25</v>
      </c>
      <c r="M3508" s="891"/>
      <c r="N3508" s="891">
        <f>SUM(N3509:N3510)</f>
        <v>0</v>
      </c>
      <c r="O3508" s="892">
        <f t="shared" si="220"/>
        <v>1</v>
      </c>
      <c r="P3508" s="903">
        <f t="shared" si="221"/>
        <v>0</v>
      </c>
      <c r="Q3508" s="893">
        <f t="shared" si="222"/>
        <v>0</v>
      </c>
      <c r="R3508" s="894">
        <f t="shared" si="223"/>
        <v>2</v>
      </c>
    </row>
    <row r="3509" spans="1:18" s="904" customFormat="1">
      <c r="A3509" s="895"/>
      <c r="B3509" s="896"/>
      <c r="C3509" s="897"/>
      <c r="D3509" s="897"/>
      <c r="E3509" s="924" t="s">
        <v>276</v>
      </c>
      <c r="F3509" s="927"/>
      <c r="G3509" s="928"/>
      <c r="H3509" s="901"/>
      <c r="I3509" s="902"/>
      <c r="J3509" s="902"/>
      <c r="K3509" s="912" t="s">
        <v>274</v>
      </c>
      <c r="L3509" s="902"/>
      <c r="M3509" s="902"/>
      <c r="N3509" s="902"/>
      <c r="O3509" s="892">
        <f t="shared" si="220"/>
        <v>0</v>
      </c>
      <c r="P3509" s="903">
        <f t="shared" si="221"/>
        <v>1</v>
      </c>
      <c r="Q3509" s="893">
        <f t="shared" si="222"/>
        <v>2</v>
      </c>
      <c r="R3509" s="894">
        <f t="shared" si="223"/>
        <v>0</v>
      </c>
    </row>
    <row r="3510" spans="1:18">
      <c r="A3510" s="905"/>
      <c r="B3510" s="906"/>
      <c r="C3510" s="907">
        <v>740</v>
      </c>
      <c r="D3510" s="907" t="s">
        <v>12</v>
      </c>
      <c r="E3510" s="908" t="s">
        <v>4008</v>
      </c>
      <c r="F3510" s="909" t="s">
        <v>2674</v>
      </c>
      <c r="G3510" s="910"/>
      <c r="H3510" s="911">
        <v>10.65</v>
      </c>
      <c r="I3510" s="912"/>
      <c r="J3510" s="912"/>
      <c r="K3510" s="912">
        <f>VLOOKUP(E3510,[5]ĐMNC!$A$7:$F$67,4,0)</f>
        <v>221125</v>
      </c>
      <c r="L3510" s="912">
        <f>H3510*K3510</f>
        <v>2354981.25</v>
      </c>
      <c r="M3510" s="912"/>
      <c r="N3510" s="912"/>
      <c r="O3510" s="892">
        <f t="shared" si="220"/>
        <v>0</v>
      </c>
      <c r="P3510" s="903">
        <f t="shared" si="221"/>
        <v>1</v>
      </c>
      <c r="Q3510" s="893">
        <f t="shared" si="222"/>
        <v>1</v>
      </c>
      <c r="R3510" s="894">
        <f t="shared" si="223"/>
        <v>0</v>
      </c>
    </row>
    <row r="3511" spans="1:18" s="847" customFormat="1">
      <c r="A3511" s="905"/>
      <c r="B3511" s="914" t="s">
        <v>5235</v>
      </c>
      <c r="C3511" s="915"/>
      <c r="D3511" s="915"/>
      <c r="E3511" s="916" t="s">
        <v>5236</v>
      </c>
      <c r="F3511" s="917" t="s">
        <v>139</v>
      </c>
      <c r="G3511" s="918"/>
      <c r="H3511" s="919"/>
      <c r="I3511" s="920"/>
      <c r="J3511" s="891">
        <f>SUM(J3512:J3513)</f>
        <v>0</v>
      </c>
      <c r="K3511" s="891"/>
      <c r="L3511" s="891">
        <f>SUM(L3512:L3513)</f>
        <v>2476600</v>
      </c>
      <c r="M3511" s="891"/>
      <c r="N3511" s="891">
        <f>SUM(N3512:N3513)</f>
        <v>0</v>
      </c>
      <c r="O3511" s="892">
        <f t="shared" si="220"/>
        <v>1</v>
      </c>
      <c r="P3511" s="903">
        <f t="shared" si="221"/>
        <v>0</v>
      </c>
      <c r="Q3511" s="893">
        <f t="shared" si="222"/>
        <v>0</v>
      </c>
      <c r="R3511" s="894">
        <f t="shared" si="223"/>
        <v>2</v>
      </c>
    </row>
    <row r="3512" spans="1:18" s="904" customFormat="1">
      <c r="A3512" s="895"/>
      <c r="B3512" s="896"/>
      <c r="C3512" s="897"/>
      <c r="D3512" s="897"/>
      <c r="E3512" s="924" t="s">
        <v>276</v>
      </c>
      <c r="F3512" s="927"/>
      <c r="G3512" s="928"/>
      <c r="H3512" s="901"/>
      <c r="I3512" s="902"/>
      <c r="J3512" s="902"/>
      <c r="K3512" s="912" t="s">
        <v>274</v>
      </c>
      <c r="L3512" s="902"/>
      <c r="M3512" s="902"/>
      <c r="N3512" s="902"/>
      <c r="O3512" s="892">
        <f t="shared" si="220"/>
        <v>0</v>
      </c>
      <c r="P3512" s="903">
        <f t="shared" si="221"/>
        <v>1</v>
      </c>
      <c r="Q3512" s="893">
        <f t="shared" si="222"/>
        <v>2</v>
      </c>
      <c r="R3512" s="894">
        <f t="shared" si="223"/>
        <v>0</v>
      </c>
    </row>
    <row r="3513" spans="1:18">
      <c r="A3513" s="905"/>
      <c r="B3513" s="906"/>
      <c r="C3513" s="907">
        <v>740</v>
      </c>
      <c r="D3513" s="907" t="s">
        <v>12</v>
      </c>
      <c r="E3513" s="908" t="s">
        <v>4008</v>
      </c>
      <c r="F3513" s="909" t="s">
        <v>2674</v>
      </c>
      <c r="G3513" s="910"/>
      <c r="H3513" s="911">
        <v>11.2</v>
      </c>
      <c r="I3513" s="912"/>
      <c r="J3513" s="912"/>
      <c r="K3513" s="912">
        <f>VLOOKUP(E3513,[5]ĐMNC!$A$7:$F$67,4,0)</f>
        <v>221125</v>
      </c>
      <c r="L3513" s="912">
        <f>H3513*K3513</f>
        <v>2476600</v>
      </c>
      <c r="M3513" s="912"/>
      <c r="N3513" s="912"/>
      <c r="O3513" s="892">
        <f t="shared" si="220"/>
        <v>0</v>
      </c>
      <c r="P3513" s="903">
        <f t="shared" si="221"/>
        <v>1</v>
      </c>
      <c r="Q3513" s="893">
        <f t="shared" si="222"/>
        <v>1</v>
      </c>
      <c r="R3513" s="894">
        <f t="shared" si="223"/>
        <v>0</v>
      </c>
    </row>
    <row r="3514" spans="1:18" s="847" customFormat="1">
      <c r="A3514" s="905"/>
      <c r="B3514" s="914" t="s">
        <v>5237</v>
      </c>
      <c r="C3514" s="915"/>
      <c r="D3514" s="915"/>
      <c r="E3514" s="916" t="s">
        <v>5238</v>
      </c>
      <c r="F3514" s="917" t="s">
        <v>139</v>
      </c>
      <c r="G3514" s="918"/>
      <c r="H3514" s="919"/>
      <c r="I3514" s="920"/>
      <c r="J3514" s="891">
        <f>SUM(J3515:J3516)</f>
        <v>0</v>
      </c>
      <c r="K3514" s="891"/>
      <c r="L3514" s="891">
        <f>SUM(L3515:L3516)</f>
        <v>2596007.5</v>
      </c>
      <c r="M3514" s="891"/>
      <c r="N3514" s="891">
        <f>SUM(N3515:N3516)</f>
        <v>0</v>
      </c>
      <c r="O3514" s="892">
        <f t="shared" si="220"/>
        <v>1</v>
      </c>
      <c r="P3514" s="903">
        <f t="shared" si="221"/>
        <v>0</v>
      </c>
      <c r="Q3514" s="893">
        <f t="shared" si="222"/>
        <v>0</v>
      </c>
      <c r="R3514" s="894">
        <f t="shared" si="223"/>
        <v>2</v>
      </c>
    </row>
    <row r="3515" spans="1:18" s="904" customFormat="1">
      <c r="A3515" s="895"/>
      <c r="B3515" s="896"/>
      <c r="C3515" s="897"/>
      <c r="D3515" s="897"/>
      <c r="E3515" s="924" t="s">
        <v>276</v>
      </c>
      <c r="F3515" s="927"/>
      <c r="G3515" s="928"/>
      <c r="H3515" s="901"/>
      <c r="I3515" s="902"/>
      <c r="J3515" s="902"/>
      <c r="K3515" s="912" t="s">
        <v>274</v>
      </c>
      <c r="L3515" s="902"/>
      <c r="M3515" s="902"/>
      <c r="N3515" s="902"/>
      <c r="O3515" s="892">
        <f t="shared" si="220"/>
        <v>0</v>
      </c>
      <c r="P3515" s="903">
        <f t="shared" si="221"/>
        <v>1</v>
      </c>
      <c r="Q3515" s="893">
        <f t="shared" si="222"/>
        <v>2</v>
      </c>
      <c r="R3515" s="894">
        <f t="shared" si="223"/>
        <v>0</v>
      </c>
    </row>
    <row r="3516" spans="1:18">
      <c r="A3516" s="905"/>
      <c r="B3516" s="906"/>
      <c r="C3516" s="907">
        <v>740</v>
      </c>
      <c r="D3516" s="907" t="s">
        <v>12</v>
      </c>
      <c r="E3516" s="908" t="s">
        <v>4008</v>
      </c>
      <c r="F3516" s="909" t="s">
        <v>2674</v>
      </c>
      <c r="G3516" s="910"/>
      <c r="H3516" s="911">
        <v>11.74</v>
      </c>
      <c r="I3516" s="912"/>
      <c r="J3516" s="912"/>
      <c r="K3516" s="912">
        <f>VLOOKUP(E3516,[5]ĐMNC!$A$7:$F$67,4,0)</f>
        <v>221125</v>
      </c>
      <c r="L3516" s="912">
        <f>H3516*K3516</f>
        <v>2596007.5</v>
      </c>
      <c r="M3516" s="912"/>
      <c r="N3516" s="912"/>
      <c r="O3516" s="892">
        <f t="shared" si="220"/>
        <v>0</v>
      </c>
      <c r="P3516" s="903">
        <f t="shared" si="221"/>
        <v>1</v>
      </c>
      <c r="Q3516" s="893">
        <f t="shared" si="222"/>
        <v>1</v>
      </c>
      <c r="R3516" s="894">
        <f t="shared" si="223"/>
        <v>0</v>
      </c>
    </row>
    <row r="3517" spans="1:18" s="847" customFormat="1">
      <c r="A3517" s="905"/>
      <c r="B3517" s="914" t="s">
        <v>5239</v>
      </c>
      <c r="C3517" s="915"/>
      <c r="D3517" s="915"/>
      <c r="E3517" s="916" t="s">
        <v>5240</v>
      </c>
      <c r="F3517" s="917" t="s">
        <v>139</v>
      </c>
      <c r="G3517" s="918"/>
      <c r="H3517" s="919"/>
      <c r="I3517" s="920"/>
      <c r="J3517" s="891">
        <f>SUM(J3518:J3519)</f>
        <v>0</v>
      </c>
      <c r="K3517" s="891"/>
      <c r="L3517" s="891">
        <f>SUM(L3518:L3519)</f>
        <v>2726471.25</v>
      </c>
      <c r="M3517" s="891"/>
      <c r="N3517" s="891">
        <f>SUM(N3518:N3519)</f>
        <v>0</v>
      </c>
      <c r="O3517" s="892">
        <f t="shared" si="220"/>
        <v>1</v>
      </c>
      <c r="P3517" s="903">
        <f t="shared" si="221"/>
        <v>0</v>
      </c>
      <c r="Q3517" s="893">
        <f t="shared" si="222"/>
        <v>0</v>
      </c>
      <c r="R3517" s="894">
        <f t="shared" si="223"/>
        <v>2</v>
      </c>
    </row>
    <row r="3518" spans="1:18" s="904" customFormat="1">
      <c r="A3518" s="895"/>
      <c r="B3518" s="896"/>
      <c r="C3518" s="897"/>
      <c r="D3518" s="897"/>
      <c r="E3518" s="924" t="s">
        <v>276</v>
      </c>
      <c r="F3518" s="927"/>
      <c r="G3518" s="928"/>
      <c r="H3518" s="901"/>
      <c r="I3518" s="902"/>
      <c r="J3518" s="902"/>
      <c r="K3518" s="912" t="s">
        <v>274</v>
      </c>
      <c r="L3518" s="902"/>
      <c r="M3518" s="902"/>
      <c r="N3518" s="902"/>
      <c r="O3518" s="892">
        <f t="shared" si="220"/>
        <v>0</v>
      </c>
      <c r="P3518" s="903">
        <f t="shared" si="221"/>
        <v>1</v>
      </c>
      <c r="Q3518" s="893">
        <f t="shared" si="222"/>
        <v>2</v>
      </c>
      <c r="R3518" s="894">
        <f t="shared" si="223"/>
        <v>0</v>
      </c>
    </row>
    <row r="3519" spans="1:18">
      <c r="A3519" s="905"/>
      <c r="B3519" s="906"/>
      <c r="C3519" s="907">
        <v>740</v>
      </c>
      <c r="D3519" s="907" t="s">
        <v>12</v>
      </c>
      <c r="E3519" s="908" t="s">
        <v>4008</v>
      </c>
      <c r="F3519" s="909" t="s">
        <v>2674</v>
      </c>
      <c r="G3519" s="910"/>
      <c r="H3519" s="911">
        <v>12.33</v>
      </c>
      <c r="I3519" s="912"/>
      <c r="J3519" s="912"/>
      <c r="K3519" s="912">
        <f>VLOOKUP(E3519,[5]ĐMNC!$A$7:$F$67,4,0)</f>
        <v>221125</v>
      </c>
      <c r="L3519" s="912">
        <f>H3519*K3519</f>
        <v>2726471.25</v>
      </c>
      <c r="M3519" s="912"/>
      <c r="N3519" s="912"/>
      <c r="O3519" s="892">
        <f t="shared" si="220"/>
        <v>0</v>
      </c>
      <c r="P3519" s="903">
        <f t="shared" si="221"/>
        <v>1</v>
      </c>
      <c r="Q3519" s="893">
        <f t="shared" si="222"/>
        <v>1</v>
      </c>
      <c r="R3519" s="894">
        <f t="shared" si="223"/>
        <v>0</v>
      </c>
    </row>
    <row r="3520" spans="1:18" s="847" customFormat="1">
      <c r="A3520" s="905"/>
      <c r="B3520" s="914" t="s">
        <v>5241</v>
      </c>
      <c r="C3520" s="915"/>
      <c r="D3520" s="915"/>
      <c r="E3520" s="916" t="s">
        <v>5242</v>
      </c>
      <c r="F3520" s="917" t="s">
        <v>139</v>
      </c>
      <c r="G3520" s="918"/>
      <c r="H3520" s="919"/>
      <c r="I3520" s="920"/>
      <c r="J3520" s="891">
        <f>SUM(J3521:J3522)</f>
        <v>0</v>
      </c>
      <c r="K3520" s="891"/>
      <c r="L3520" s="891">
        <f>SUM(L3521:L3522)</f>
        <v>3135552.5</v>
      </c>
      <c r="M3520" s="891"/>
      <c r="N3520" s="891">
        <f>SUM(N3521:N3522)</f>
        <v>0</v>
      </c>
      <c r="O3520" s="892">
        <f t="shared" si="220"/>
        <v>1</v>
      </c>
      <c r="P3520" s="903">
        <f t="shared" si="221"/>
        <v>0</v>
      </c>
      <c r="Q3520" s="893">
        <f t="shared" si="222"/>
        <v>0</v>
      </c>
      <c r="R3520" s="894">
        <f t="shared" si="223"/>
        <v>2</v>
      </c>
    </row>
    <row r="3521" spans="1:18" s="904" customFormat="1">
      <c r="A3521" s="895"/>
      <c r="B3521" s="896"/>
      <c r="C3521" s="897"/>
      <c r="D3521" s="897"/>
      <c r="E3521" s="924" t="s">
        <v>276</v>
      </c>
      <c r="F3521" s="927"/>
      <c r="G3521" s="928"/>
      <c r="H3521" s="901"/>
      <c r="I3521" s="902"/>
      <c r="J3521" s="902"/>
      <c r="K3521" s="912" t="s">
        <v>274</v>
      </c>
      <c r="L3521" s="902"/>
      <c r="M3521" s="902"/>
      <c r="N3521" s="902"/>
      <c r="O3521" s="892">
        <f t="shared" si="220"/>
        <v>0</v>
      </c>
      <c r="P3521" s="903">
        <f t="shared" si="221"/>
        <v>1</v>
      </c>
      <c r="Q3521" s="893">
        <f t="shared" si="222"/>
        <v>2</v>
      </c>
      <c r="R3521" s="894">
        <f t="shared" si="223"/>
        <v>0</v>
      </c>
    </row>
    <row r="3522" spans="1:18">
      <c r="A3522" s="905"/>
      <c r="B3522" s="906"/>
      <c r="C3522" s="907">
        <v>740</v>
      </c>
      <c r="D3522" s="907" t="s">
        <v>12</v>
      </c>
      <c r="E3522" s="908" t="s">
        <v>4008</v>
      </c>
      <c r="F3522" s="909" t="s">
        <v>2674</v>
      </c>
      <c r="G3522" s="910"/>
      <c r="H3522" s="911">
        <v>14.18</v>
      </c>
      <c r="I3522" s="912"/>
      <c r="J3522" s="912"/>
      <c r="K3522" s="912">
        <f>VLOOKUP(E3522,[5]ĐMNC!$A$7:$F$67,4,0)</f>
        <v>221125</v>
      </c>
      <c r="L3522" s="912">
        <f>H3522*K3522</f>
        <v>3135552.5</v>
      </c>
      <c r="M3522" s="912"/>
      <c r="N3522" s="912"/>
      <c r="O3522" s="892">
        <f t="shared" si="220"/>
        <v>0</v>
      </c>
      <c r="P3522" s="903">
        <f t="shared" si="221"/>
        <v>1</v>
      </c>
      <c r="Q3522" s="893">
        <f t="shared" si="222"/>
        <v>1</v>
      </c>
      <c r="R3522" s="894">
        <f t="shared" si="223"/>
        <v>0</v>
      </c>
    </row>
    <row r="3523" spans="1:18" s="847" customFormat="1">
      <c r="A3523" s="905"/>
      <c r="B3523" s="914" t="s">
        <v>5243</v>
      </c>
      <c r="C3523" s="915"/>
      <c r="D3523" s="915"/>
      <c r="E3523" s="916" t="s">
        <v>5244</v>
      </c>
      <c r="F3523" s="917" t="s">
        <v>139</v>
      </c>
      <c r="G3523" s="918"/>
      <c r="H3523" s="919"/>
      <c r="I3523" s="920"/>
      <c r="J3523" s="891">
        <f>SUM(J3524:J3525)</f>
        <v>0</v>
      </c>
      <c r="K3523" s="891"/>
      <c r="L3523" s="891">
        <f>SUM(L3524:L3525)</f>
        <v>1729197.5</v>
      </c>
      <c r="M3523" s="891"/>
      <c r="N3523" s="891">
        <f>SUM(N3524:N3525)</f>
        <v>0</v>
      </c>
      <c r="O3523" s="892">
        <f t="shared" si="220"/>
        <v>1</v>
      </c>
      <c r="P3523" s="903">
        <f t="shared" si="221"/>
        <v>0</v>
      </c>
      <c r="Q3523" s="893">
        <f t="shared" si="222"/>
        <v>0</v>
      </c>
      <c r="R3523" s="894">
        <f t="shared" si="223"/>
        <v>2</v>
      </c>
    </row>
    <row r="3524" spans="1:18" s="904" customFormat="1">
      <c r="A3524" s="895"/>
      <c r="B3524" s="922"/>
      <c r="C3524" s="897"/>
      <c r="D3524" s="897"/>
      <c r="E3524" s="924" t="s">
        <v>276</v>
      </c>
      <c r="F3524" s="927"/>
      <c r="G3524" s="928"/>
      <c r="H3524" s="901"/>
      <c r="I3524" s="902"/>
      <c r="J3524" s="902"/>
      <c r="K3524" s="912" t="s">
        <v>274</v>
      </c>
      <c r="L3524" s="902"/>
      <c r="M3524" s="902"/>
      <c r="N3524" s="902"/>
      <c r="O3524" s="892">
        <f t="shared" si="220"/>
        <v>0</v>
      </c>
      <c r="P3524" s="903">
        <f t="shared" si="221"/>
        <v>1</v>
      </c>
      <c r="Q3524" s="893">
        <f t="shared" si="222"/>
        <v>2</v>
      </c>
      <c r="R3524" s="894">
        <f t="shared" si="223"/>
        <v>0</v>
      </c>
    </row>
    <row r="3525" spans="1:18">
      <c r="A3525" s="905"/>
      <c r="B3525" s="906"/>
      <c r="C3525" s="907">
        <v>740</v>
      </c>
      <c r="D3525" s="907" t="s">
        <v>12</v>
      </c>
      <c r="E3525" s="908" t="s">
        <v>4008</v>
      </c>
      <c r="F3525" s="909" t="s">
        <v>2674</v>
      </c>
      <c r="G3525" s="910"/>
      <c r="H3525" s="911">
        <v>7.82</v>
      </c>
      <c r="I3525" s="912"/>
      <c r="J3525" s="912"/>
      <c r="K3525" s="912">
        <f>VLOOKUP(E3525,[5]ĐMNC!$A$7:$F$67,4,0)</f>
        <v>221125</v>
      </c>
      <c r="L3525" s="912">
        <f>H3525*K3525</f>
        <v>1729197.5</v>
      </c>
      <c r="M3525" s="912"/>
      <c r="N3525" s="912"/>
      <c r="O3525" s="892">
        <f t="shared" si="220"/>
        <v>0</v>
      </c>
      <c r="P3525" s="903">
        <f t="shared" si="221"/>
        <v>1</v>
      </c>
      <c r="Q3525" s="893">
        <f t="shared" si="222"/>
        <v>1</v>
      </c>
      <c r="R3525" s="894">
        <f t="shared" si="223"/>
        <v>0</v>
      </c>
    </row>
    <row r="3526" spans="1:18" s="847" customFormat="1">
      <c r="A3526" s="905"/>
      <c r="B3526" s="914" t="s">
        <v>5245</v>
      </c>
      <c r="C3526" s="915"/>
      <c r="D3526" s="915"/>
      <c r="E3526" s="916" t="s">
        <v>5246</v>
      </c>
      <c r="F3526" s="917" t="s">
        <v>139</v>
      </c>
      <c r="G3526" s="918"/>
      <c r="H3526" s="919"/>
      <c r="I3526" s="920"/>
      <c r="J3526" s="891">
        <f>SUM(J3527:J3528)</f>
        <v>0</v>
      </c>
      <c r="K3526" s="891"/>
      <c r="L3526" s="891">
        <f>SUM(L3527:L3528)</f>
        <v>1815436.2500000002</v>
      </c>
      <c r="M3526" s="891"/>
      <c r="N3526" s="891">
        <f>SUM(N3527:N3528)</f>
        <v>0</v>
      </c>
      <c r="O3526" s="892">
        <f t="shared" si="220"/>
        <v>1</v>
      </c>
      <c r="P3526" s="903">
        <f t="shared" si="221"/>
        <v>0</v>
      </c>
      <c r="Q3526" s="893">
        <f t="shared" si="222"/>
        <v>0</v>
      </c>
      <c r="R3526" s="894">
        <f t="shared" si="223"/>
        <v>2</v>
      </c>
    </row>
    <row r="3527" spans="1:18" s="904" customFormat="1">
      <c r="A3527" s="895"/>
      <c r="B3527" s="896"/>
      <c r="C3527" s="897"/>
      <c r="D3527" s="897"/>
      <c r="E3527" s="924" t="s">
        <v>276</v>
      </c>
      <c r="F3527" s="927"/>
      <c r="G3527" s="928"/>
      <c r="H3527" s="901"/>
      <c r="I3527" s="902"/>
      <c r="J3527" s="902"/>
      <c r="K3527" s="912" t="s">
        <v>274</v>
      </c>
      <c r="L3527" s="902"/>
      <c r="M3527" s="902"/>
      <c r="N3527" s="902"/>
      <c r="O3527" s="892">
        <f t="shared" si="220"/>
        <v>0</v>
      </c>
      <c r="P3527" s="903">
        <f t="shared" si="221"/>
        <v>1</v>
      </c>
      <c r="Q3527" s="893">
        <f t="shared" si="222"/>
        <v>2</v>
      </c>
      <c r="R3527" s="894">
        <f t="shared" si="223"/>
        <v>0</v>
      </c>
    </row>
    <row r="3528" spans="1:18">
      <c r="A3528" s="905"/>
      <c r="B3528" s="906"/>
      <c r="C3528" s="907">
        <v>740</v>
      </c>
      <c r="D3528" s="907" t="s">
        <v>12</v>
      </c>
      <c r="E3528" s="908" t="s">
        <v>4008</v>
      </c>
      <c r="F3528" s="909" t="s">
        <v>2674</v>
      </c>
      <c r="G3528" s="910"/>
      <c r="H3528" s="911">
        <v>8.2100000000000009</v>
      </c>
      <c r="I3528" s="912"/>
      <c r="J3528" s="912"/>
      <c r="K3528" s="912">
        <f>VLOOKUP(E3528,[5]ĐMNC!$A$7:$F$67,4,0)</f>
        <v>221125</v>
      </c>
      <c r="L3528" s="912">
        <f>H3528*K3528</f>
        <v>1815436.2500000002</v>
      </c>
      <c r="M3528" s="912"/>
      <c r="N3528" s="912"/>
      <c r="O3528" s="892">
        <f t="shared" si="220"/>
        <v>0</v>
      </c>
      <c r="P3528" s="903">
        <f t="shared" si="221"/>
        <v>1</v>
      </c>
      <c r="Q3528" s="893">
        <f t="shared" si="222"/>
        <v>1</v>
      </c>
      <c r="R3528" s="894">
        <f t="shared" si="223"/>
        <v>0</v>
      </c>
    </row>
    <row r="3529" spans="1:18" s="847" customFormat="1">
      <c r="A3529" s="905"/>
      <c r="B3529" s="914" t="s">
        <v>5247</v>
      </c>
      <c r="C3529" s="915"/>
      <c r="D3529" s="915"/>
      <c r="E3529" s="916" t="s">
        <v>5248</v>
      </c>
      <c r="F3529" s="917" t="s">
        <v>139</v>
      </c>
      <c r="G3529" s="918"/>
      <c r="H3529" s="919"/>
      <c r="I3529" s="920"/>
      <c r="J3529" s="891">
        <f>SUM(J3530:J3531)</f>
        <v>0</v>
      </c>
      <c r="K3529" s="891"/>
      <c r="L3529" s="891">
        <f>SUM(L3530:L3531)</f>
        <v>1932632.5</v>
      </c>
      <c r="M3529" s="891"/>
      <c r="N3529" s="891">
        <f>SUM(N3530:N3531)</f>
        <v>0</v>
      </c>
      <c r="O3529" s="892">
        <f t="shared" si="220"/>
        <v>1</v>
      </c>
      <c r="P3529" s="903">
        <f t="shared" si="221"/>
        <v>0</v>
      </c>
      <c r="Q3529" s="893">
        <f t="shared" si="222"/>
        <v>0</v>
      </c>
      <c r="R3529" s="894">
        <f t="shared" si="223"/>
        <v>2</v>
      </c>
    </row>
    <row r="3530" spans="1:18" s="904" customFormat="1">
      <c r="A3530" s="895"/>
      <c r="B3530" s="896"/>
      <c r="C3530" s="897"/>
      <c r="D3530" s="897"/>
      <c r="E3530" s="924" t="s">
        <v>276</v>
      </c>
      <c r="F3530" s="927"/>
      <c r="G3530" s="928"/>
      <c r="H3530" s="901"/>
      <c r="I3530" s="902"/>
      <c r="J3530" s="902"/>
      <c r="K3530" s="912" t="s">
        <v>274</v>
      </c>
      <c r="L3530" s="902"/>
      <c r="M3530" s="902"/>
      <c r="N3530" s="902"/>
      <c r="O3530" s="892">
        <f t="shared" si="220"/>
        <v>0</v>
      </c>
      <c r="P3530" s="903">
        <f t="shared" si="221"/>
        <v>1</v>
      </c>
      <c r="Q3530" s="893">
        <f t="shared" si="222"/>
        <v>2</v>
      </c>
      <c r="R3530" s="894">
        <f t="shared" si="223"/>
        <v>0</v>
      </c>
    </row>
    <row r="3531" spans="1:18">
      <c r="A3531" s="905"/>
      <c r="B3531" s="906"/>
      <c r="C3531" s="907">
        <v>740</v>
      </c>
      <c r="D3531" s="907" t="s">
        <v>12</v>
      </c>
      <c r="E3531" s="908" t="s">
        <v>4008</v>
      </c>
      <c r="F3531" s="909" t="s">
        <v>2674</v>
      </c>
      <c r="G3531" s="910"/>
      <c r="H3531" s="911">
        <v>8.74</v>
      </c>
      <c r="I3531" s="912"/>
      <c r="J3531" s="912"/>
      <c r="K3531" s="912">
        <f>VLOOKUP(E3531,[5]ĐMNC!$A$7:$F$67,4,0)</f>
        <v>221125</v>
      </c>
      <c r="L3531" s="912">
        <f>H3531*K3531</f>
        <v>1932632.5</v>
      </c>
      <c r="M3531" s="912"/>
      <c r="N3531" s="912"/>
      <c r="O3531" s="892">
        <f t="shared" si="220"/>
        <v>0</v>
      </c>
      <c r="P3531" s="903">
        <f t="shared" si="221"/>
        <v>1</v>
      </c>
      <c r="Q3531" s="893">
        <f t="shared" si="222"/>
        <v>1</v>
      </c>
      <c r="R3531" s="894">
        <f t="shared" si="223"/>
        <v>0</v>
      </c>
    </row>
    <row r="3532" spans="1:18" s="847" customFormat="1">
      <c r="A3532" s="905"/>
      <c r="B3532" s="914" t="s">
        <v>5249</v>
      </c>
      <c r="C3532" s="915"/>
      <c r="D3532" s="915"/>
      <c r="E3532" s="916" t="s">
        <v>5250</v>
      </c>
      <c r="F3532" s="917" t="s">
        <v>139</v>
      </c>
      <c r="G3532" s="918"/>
      <c r="H3532" s="919"/>
      <c r="I3532" s="920"/>
      <c r="J3532" s="891">
        <f>SUM(J3533:J3534)</f>
        <v>0</v>
      </c>
      <c r="K3532" s="891"/>
      <c r="L3532" s="891">
        <f>SUM(L3533:L3534)</f>
        <v>2052039.9999999998</v>
      </c>
      <c r="M3532" s="891"/>
      <c r="N3532" s="891">
        <f>SUM(N3533:N3534)</f>
        <v>0</v>
      </c>
      <c r="O3532" s="892">
        <f t="shared" si="220"/>
        <v>1</v>
      </c>
      <c r="P3532" s="903">
        <f t="shared" si="221"/>
        <v>0</v>
      </c>
      <c r="Q3532" s="893">
        <f t="shared" si="222"/>
        <v>0</v>
      </c>
      <c r="R3532" s="894">
        <f t="shared" si="223"/>
        <v>2</v>
      </c>
    </row>
    <row r="3533" spans="1:18" s="904" customFormat="1">
      <c r="A3533" s="895"/>
      <c r="B3533" s="896"/>
      <c r="C3533" s="897"/>
      <c r="D3533" s="897"/>
      <c r="E3533" s="924" t="s">
        <v>276</v>
      </c>
      <c r="F3533" s="927"/>
      <c r="G3533" s="928"/>
      <c r="H3533" s="901"/>
      <c r="I3533" s="902"/>
      <c r="J3533" s="902"/>
      <c r="K3533" s="912" t="s">
        <v>274</v>
      </c>
      <c r="L3533" s="902"/>
      <c r="M3533" s="902"/>
      <c r="N3533" s="902"/>
      <c r="O3533" s="892">
        <f t="shared" si="220"/>
        <v>0</v>
      </c>
      <c r="P3533" s="903">
        <f t="shared" si="221"/>
        <v>1</v>
      </c>
      <c r="Q3533" s="893">
        <f t="shared" si="222"/>
        <v>2</v>
      </c>
      <c r="R3533" s="894">
        <f t="shared" si="223"/>
        <v>0</v>
      </c>
    </row>
    <row r="3534" spans="1:18">
      <c r="A3534" s="905"/>
      <c r="B3534" s="906"/>
      <c r="C3534" s="907">
        <v>740</v>
      </c>
      <c r="D3534" s="907" t="s">
        <v>12</v>
      </c>
      <c r="E3534" s="908" t="s">
        <v>4008</v>
      </c>
      <c r="F3534" s="909" t="s">
        <v>2674</v>
      </c>
      <c r="G3534" s="910"/>
      <c r="H3534" s="911">
        <v>9.2799999999999994</v>
      </c>
      <c r="I3534" s="912"/>
      <c r="J3534" s="912"/>
      <c r="K3534" s="912">
        <f>VLOOKUP(E3534,[5]ĐMNC!$A$7:$F$67,4,0)</f>
        <v>221125</v>
      </c>
      <c r="L3534" s="912">
        <f>H3534*K3534</f>
        <v>2052039.9999999998</v>
      </c>
      <c r="M3534" s="912"/>
      <c r="N3534" s="912"/>
      <c r="O3534" s="892">
        <f t="shared" si="220"/>
        <v>0</v>
      </c>
      <c r="P3534" s="903">
        <f t="shared" si="221"/>
        <v>1</v>
      </c>
      <c r="Q3534" s="893">
        <f t="shared" si="222"/>
        <v>1</v>
      </c>
      <c r="R3534" s="894">
        <f t="shared" si="223"/>
        <v>0</v>
      </c>
    </row>
    <row r="3535" spans="1:18" s="847" customFormat="1">
      <c r="A3535" s="905"/>
      <c r="B3535" s="914" t="s">
        <v>5251</v>
      </c>
      <c r="C3535" s="915"/>
      <c r="D3535" s="915"/>
      <c r="E3535" s="916" t="s">
        <v>5252</v>
      </c>
      <c r="F3535" s="917" t="s">
        <v>139</v>
      </c>
      <c r="G3535" s="918"/>
      <c r="H3535" s="919"/>
      <c r="I3535" s="920"/>
      <c r="J3535" s="891">
        <f>SUM(J3536:J3537)</f>
        <v>0</v>
      </c>
      <c r="K3535" s="891"/>
      <c r="L3535" s="891">
        <f>SUM(L3536:L3537)</f>
        <v>2644655</v>
      </c>
      <c r="M3535" s="891"/>
      <c r="N3535" s="891">
        <f>SUM(N3536:N3537)</f>
        <v>0</v>
      </c>
      <c r="O3535" s="892">
        <f t="shared" si="220"/>
        <v>1</v>
      </c>
      <c r="P3535" s="903">
        <f t="shared" si="221"/>
        <v>0</v>
      </c>
      <c r="Q3535" s="893">
        <f t="shared" si="222"/>
        <v>0</v>
      </c>
      <c r="R3535" s="894">
        <f t="shared" si="223"/>
        <v>2</v>
      </c>
    </row>
    <row r="3536" spans="1:18" s="904" customFormat="1">
      <c r="A3536" s="895"/>
      <c r="B3536" s="896"/>
      <c r="C3536" s="897"/>
      <c r="D3536" s="897"/>
      <c r="E3536" s="924" t="s">
        <v>276</v>
      </c>
      <c r="F3536" s="927"/>
      <c r="G3536" s="928"/>
      <c r="H3536" s="901"/>
      <c r="I3536" s="902"/>
      <c r="J3536" s="902"/>
      <c r="K3536" s="912" t="s">
        <v>274</v>
      </c>
      <c r="L3536" s="902"/>
      <c r="M3536" s="902"/>
      <c r="N3536" s="902"/>
      <c r="O3536" s="892">
        <f t="shared" si="220"/>
        <v>0</v>
      </c>
      <c r="P3536" s="903">
        <f t="shared" si="221"/>
        <v>1</v>
      </c>
      <c r="Q3536" s="893">
        <f t="shared" si="222"/>
        <v>2</v>
      </c>
      <c r="R3536" s="894">
        <f t="shared" si="223"/>
        <v>0</v>
      </c>
    </row>
    <row r="3537" spans="1:18">
      <c r="A3537" s="905"/>
      <c r="B3537" s="906"/>
      <c r="C3537" s="907">
        <v>740</v>
      </c>
      <c r="D3537" s="907" t="s">
        <v>12</v>
      </c>
      <c r="E3537" s="908" t="s">
        <v>4008</v>
      </c>
      <c r="F3537" s="909" t="s">
        <v>2674</v>
      </c>
      <c r="G3537" s="910"/>
      <c r="H3537" s="911">
        <v>11.96</v>
      </c>
      <c r="I3537" s="912"/>
      <c r="J3537" s="912"/>
      <c r="K3537" s="912">
        <f>VLOOKUP(E3537,[5]ĐMNC!$A$7:$F$67,4,0)</f>
        <v>221125</v>
      </c>
      <c r="L3537" s="912">
        <f>H3537*K3537</f>
        <v>2644655</v>
      </c>
      <c r="M3537" s="912"/>
      <c r="N3537" s="912"/>
      <c r="O3537" s="892">
        <f t="shared" si="220"/>
        <v>0</v>
      </c>
      <c r="P3537" s="903">
        <f t="shared" si="221"/>
        <v>1</v>
      </c>
      <c r="Q3537" s="893">
        <f t="shared" si="222"/>
        <v>1</v>
      </c>
      <c r="R3537" s="894">
        <f t="shared" si="223"/>
        <v>0</v>
      </c>
    </row>
    <row r="3538" spans="1:18" s="847" customFormat="1">
      <c r="A3538" s="905"/>
      <c r="B3538" s="914" t="s">
        <v>5253</v>
      </c>
      <c r="C3538" s="915"/>
      <c r="D3538" s="915"/>
      <c r="E3538" s="916" t="s">
        <v>5254</v>
      </c>
      <c r="F3538" s="917" t="s">
        <v>139</v>
      </c>
      <c r="G3538" s="918"/>
      <c r="H3538" s="919"/>
      <c r="I3538" s="920"/>
      <c r="J3538" s="891">
        <f>SUM(J3539:J3540)</f>
        <v>0</v>
      </c>
      <c r="K3538" s="891"/>
      <c r="L3538" s="891">
        <f>SUM(L3539:L3540)</f>
        <v>2764062.5</v>
      </c>
      <c r="M3538" s="891"/>
      <c r="N3538" s="891">
        <f>SUM(N3539:N3540)</f>
        <v>0</v>
      </c>
      <c r="O3538" s="892">
        <f t="shared" si="220"/>
        <v>1</v>
      </c>
      <c r="P3538" s="903">
        <f t="shared" si="221"/>
        <v>0</v>
      </c>
      <c r="Q3538" s="893">
        <f t="shared" si="222"/>
        <v>0</v>
      </c>
      <c r="R3538" s="894">
        <f t="shared" si="223"/>
        <v>2</v>
      </c>
    </row>
    <row r="3539" spans="1:18" s="904" customFormat="1">
      <c r="A3539" s="895"/>
      <c r="B3539" s="896"/>
      <c r="C3539" s="897"/>
      <c r="D3539" s="897"/>
      <c r="E3539" s="924" t="s">
        <v>276</v>
      </c>
      <c r="F3539" s="927"/>
      <c r="G3539" s="928"/>
      <c r="H3539" s="901"/>
      <c r="I3539" s="902"/>
      <c r="J3539" s="902"/>
      <c r="K3539" s="912" t="s">
        <v>274</v>
      </c>
      <c r="L3539" s="902"/>
      <c r="M3539" s="902"/>
      <c r="N3539" s="902"/>
      <c r="O3539" s="892">
        <f t="shared" si="220"/>
        <v>0</v>
      </c>
      <c r="P3539" s="903">
        <f t="shared" si="221"/>
        <v>1</v>
      </c>
      <c r="Q3539" s="893">
        <f t="shared" si="222"/>
        <v>2</v>
      </c>
      <c r="R3539" s="894">
        <f t="shared" si="223"/>
        <v>0</v>
      </c>
    </row>
    <row r="3540" spans="1:18">
      <c r="A3540" s="905"/>
      <c r="B3540" s="906"/>
      <c r="C3540" s="907">
        <v>740</v>
      </c>
      <c r="D3540" s="907" t="s">
        <v>12</v>
      </c>
      <c r="E3540" s="908" t="s">
        <v>4008</v>
      </c>
      <c r="F3540" s="909" t="s">
        <v>2674</v>
      </c>
      <c r="G3540" s="910"/>
      <c r="H3540" s="911">
        <v>12.5</v>
      </c>
      <c r="I3540" s="912"/>
      <c r="J3540" s="912"/>
      <c r="K3540" s="912">
        <f>VLOOKUP(E3540,[5]ĐMNC!$A$7:$F$67,4,0)</f>
        <v>221125</v>
      </c>
      <c r="L3540" s="912">
        <f>H3540*K3540</f>
        <v>2764062.5</v>
      </c>
      <c r="M3540" s="912"/>
      <c r="N3540" s="912"/>
      <c r="O3540" s="892">
        <f t="shared" si="220"/>
        <v>0</v>
      </c>
      <c r="P3540" s="903">
        <f t="shared" si="221"/>
        <v>1</v>
      </c>
      <c r="Q3540" s="893">
        <f t="shared" si="222"/>
        <v>1</v>
      </c>
      <c r="R3540" s="894">
        <f t="shared" si="223"/>
        <v>0</v>
      </c>
    </row>
    <row r="3541" spans="1:18" s="847" customFormat="1">
      <c r="A3541" s="905"/>
      <c r="B3541" s="914" t="s">
        <v>5255</v>
      </c>
      <c r="C3541" s="915"/>
      <c r="D3541" s="915"/>
      <c r="E3541" s="916" t="s">
        <v>5256</v>
      </c>
      <c r="F3541" s="917" t="s">
        <v>139</v>
      </c>
      <c r="G3541" s="918"/>
      <c r="H3541" s="919"/>
      <c r="I3541" s="920"/>
      <c r="J3541" s="891">
        <f>SUM(J3542:J3543)</f>
        <v>0</v>
      </c>
      <c r="K3541" s="891"/>
      <c r="L3541" s="891">
        <f>SUM(L3542:L3543)</f>
        <v>2916638.75</v>
      </c>
      <c r="M3541" s="891"/>
      <c r="N3541" s="891">
        <f>SUM(N3542:N3543)</f>
        <v>0</v>
      </c>
      <c r="O3541" s="892">
        <f t="shared" si="220"/>
        <v>1</v>
      </c>
      <c r="P3541" s="903">
        <f t="shared" si="221"/>
        <v>0</v>
      </c>
      <c r="Q3541" s="893">
        <f t="shared" si="222"/>
        <v>0</v>
      </c>
      <c r="R3541" s="894">
        <f t="shared" si="223"/>
        <v>2</v>
      </c>
    </row>
    <row r="3542" spans="1:18" s="904" customFormat="1">
      <c r="A3542" s="895"/>
      <c r="B3542" s="896"/>
      <c r="C3542" s="897"/>
      <c r="D3542" s="897"/>
      <c r="E3542" s="924" t="s">
        <v>276</v>
      </c>
      <c r="F3542" s="927"/>
      <c r="G3542" s="928"/>
      <c r="H3542" s="901"/>
      <c r="I3542" s="902"/>
      <c r="J3542" s="902"/>
      <c r="K3542" s="912" t="s">
        <v>274</v>
      </c>
      <c r="L3542" s="902"/>
      <c r="M3542" s="902"/>
      <c r="N3542" s="902"/>
      <c r="O3542" s="892">
        <f t="shared" si="220"/>
        <v>0</v>
      </c>
      <c r="P3542" s="903">
        <f t="shared" si="221"/>
        <v>1</v>
      </c>
      <c r="Q3542" s="893">
        <f t="shared" si="222"/>
        <v>2</v>
      </c>
      <c r="R3542" s="894">
        <f t="shared" si="223"/>
        <v>0</v>
      </c>
    </row>
    <row r="3543" spans="1:18">
      <c r="A3543" s="905"/>
      <c r="B3543" s="906"/>
      <c r="C3543" s="907">
        <v>740</v>
      </c>
      <c r="D3543" s="907" t="s">
        <v>12</v>
      </c>
      <c r="E3543" s="908" t="s">
        <v>4008</v>
      </c>
      <c r="F3543" s="909" t="s">
        <v>2674</v>
      </c>
      <c r="G3543" s="910"/>
      <c r="H3543" s="911">
        <v>13.19</v>
      </c>
      <c r="I3543" s="912"/>
      <c r="J3543" s="912"/>
      <c r="K3543" s="912">
        <f>VLOOKUP(E3543,[5]ĐMNC!$A$7:$F$67,4,0)</f>
        <v>221125</v>
      </c>
      <c r="L3543" s="912">
        <f>H3543*K3543</f>
        <v>2916638.75</v>
      </c>
      <c r="M3543" s="912"/>
      <c r="N3543" s="912"/>
      <c r="O3543" s="892">
        <f t="shared" si="220"/>
        <v>0</v>
      </c>
      <c r="P3543" s="903">
        <f t="shared" si="221"/>
        <v>1</v>
      </c>
      <c r="Q3543" s="893">
        <f t="shared" si="222"/>
        <v>1</v>
      </c>
      <c r="R3543" s="894">
        <f t="shared" si="223"/>
        <v>0</v>
      </c>
    </row>
    <row r="3544" spans="1:18" s="847" customFormat="1">
      <c r="A3544" s="905"/>
      <c r="B3544" s="914" t="s">
        <v>5257</v>
      </c>
      <c r="C3544" s="915"/>
      <c r="D3544" s="915"/>
      <c r="E3544" s="916" t="s">
        <v>5258</v>
      </c>
      <c r="F3544" s="917" t="s">
        <v>139</v>
      </c>
      <c r="G3544" s="918"/>
      <c r="H3544" s="919"/>
      <c r="I3544" s="920"/>
      <c r="J3544" s="891">
        <f>SUM(J3545:J3546)</f>
        <v>0</v>
      </c>
      <c r="K3544" s="891"/>
      <c r="L3544" s="891">
        <f>SUM(L3545:L3546)</f>
        <v>3062581.25</v>
      </c>
      <c r="M3544" s="891"/>
      <c r="N3544" s="891">
        <f>SUM(N3545:N3546)</f>
        <v>0</v>
      </c>
      <c r="O3544" s="892">
        <f t="shared" si="220"/>
        <v>1</v>
      </c>
      <c r="P3544" s="903">
        <f t="shared" si="221"/>
        <v>0</v>
      </c>
      <c r="Q3544" s="893">
        <f t="shared" si="222"/>
        <v>0</v>
      </c>
      <c r="R3544" s="894">
        <f t="shared" si="223"/>
        <v>2</v>
      </c>
    </row>
    <row r="3545" spans="1:18" s="904" customFormat="1">
      <c r="A3545" s="895"/>
      <c r="B3545" s="896"/>
      <c r="C3545" s="897"/>
      <c r="D3545" s="897"/>
      <c r="E3545" s="924" t="s">
        <v>276</v>
      </c>
      <c r="F3545" s="927"/>
      <c r="G3545" s="928"/>
      <c r="H3545" s="901"/>
      <c r="I3545" s="902"/>
      <c r="J3545" s="902"/>
      <c r="K3545" s="912" t="s">
        <v>274</v>
      </c>
      <c r="L3545" s="902"/>
      <c r="M3545" s="902"/>
      <c r="N3545" s="902"/>
      <c r="O3545" s="892">
        <f t="shared" si="220"/>
        <v>0</v>
      </c>
      <c r="P3545" s="903">
        <f t="shared" si="221"/>
        <v>1</v>
      </c>
      <c r="Q3545" s="893">
        <f t="shared" si="222"/>
        <v>2</v>
      </c>
      <c r="R3545" s="894">
        <f t="shared" si="223"/>
        <v>0</v>
      </c>
    </row>
    <row r="3546" spans="1:18">
      <c r="A3546" s="905"/>
      <c r="B3546" s="906"/>
      <c r="C3546" s="907">
        <v>740</v>
      </c>
      <c r="D3546" s="907" t="s">
        <v>12</v>
      </c>
      <c r="E3546" s="908" t="s">
        <v>4008</v>
      </c>
      <c r="F3546" s="909" t="s">
        <v>2674</v>
      </c>
      <c r="G3546" s="910"/>
      <c r="H3546" s="911">
        <v>13.85</v>
      </c>
      <c r="I3546" s="912"/>
      <c r="J3546" s="912"/>
      <c r="K3546" s="912">
        <f>VLOOKUP(E3546,[5]ĐMNC!$A$7:$F$67,4,0)</f>
        <v>221125</v>
      </c>
      <c r="L3546" s="912">
        <f>H3546*K3546</f>
        <v>3062581.25</v>
      </c>
      <c r="M3546" s="912"/>
      <c r="N3546" s="912"/>
      <c r="O3546" s="892">
        <f t="shared" si="220"/>
        <v>0</v>
      </c>
      <c r="P3546" s="903">
        <f t="shared" si="221"/>
        <v>1</v>
      </c>
      <c r="Q3546" s="893">
        <f t="shared" si="222"/>
        <v>1</v>
      </c>
      <c r="R3546" s="894">
        <f t="shared" si="223"/>
        <v>0</v>
      </c>
    </row>
    <row r="3547" spans="1:18" s="847" customFormat="1">
      <c r="A3547" s="905"/>
      <c r="B3547" s="914" t="s">
        <v>5259</v>
      </c>
      <c r="C3547" s="915"/>
      <c r="D3547" s="915"/>
      <c r="E3547" s="916" t="s">
        <v>5260</v>
      </c>
      <c r="F3547" s="917" t="s">
        <v>139</v>
      </c>
      <c r="G3547" s="918"/>
      <c r="H3547" s="919"/>
      <c r="I3547" s="920"/>
      <c r="J3547" s="891">
        <f>SUM(J3548:J3549)</f>
        <v>0</v>
      </c>
      <c r="K3547" s="891"/>
      <c r="L3547" s="891">
        <f>SUM(L3548:L3549)</f>
        <v>3522521.25</v>
      </c>
      <c r="M3547" s="891"/>
      <c r="N3547" s="891">
        <f>SUM(N3548:N3549)</f>
        <v>0</v>
      </c>
      <c r="O3547" s="892">
        <f t="shared" si="220"/>
        <v>1</v>
      </c>
      <c r="P3547" s="903">
        <f t="shared" si="221"/>
        <v>0</v>
      </c>
      <c r="Q3547" s="893">
        <f t="shared" si="222"/>
        <v>0</v>
      </c>
      <c r="R3547" s="894">
        <f t="shared" si="223"/>
        <v>2</v>
      </c>
    </row>
    <row r="3548" spans="1:18" s="904" customFormat="1">
      <c r="A3548" s="895"/>
      <c r="B3548" s="896"/>
      <c r="C3548" s="897"/>
      <c r="D3548" s="897"/>
      <c r="E3548" s="924" t="s">
        <v>276</v>
      </c>
      <c r="F3548" s="927"/>
      <c r="G3548" s="928"/>
      <c r="H3548" s="901"/>
      <c r="I3548" s="902"/>
      <c r="J3548" s="902"/>
      <c r="K3548" s="912" t="s">
        <v>274</v>
      </c>
      <c r="L3548" s="902"/>
      <c r="M3548" s="902"/>
      <c r="N3548" s="902"/>
      <c r="O3548" s="892">
        <f t="shared" si="220"/>
        <v>0</v>
      </c>
      <c r="P3548" s="903">
        <f t="shared" si="221"/>
        <v>1</v>
      </c>
      <c r="Q3548" s="893">
        <f t="shared" si="222"/>
        <v>2</v>
      </c>
      <c r="R3548" s="894">
        <f t="shared" si="223"/>
        <v>0</v>
      </c>
    </row>
    <row r="3549" spans="1:18">
      <c r="A3549" s="905"/>
      <c r="B3549" s="906"/>
      <c r="C3549" s="907">
        <v>740</v>
      </c>
      <c r="D3549" s="907" t="s">
        <v>12</v>
      </c>
      <c r="E3549" s="908" t="s">
        <v>4008</v>
      </c>
      <c r="F3549" s="909" t="s">
        <v>2674</v>
      </c>
      <c r="G3549" s="910"/>
      <c r="H3549" s="911">
        <v>15.93</v>
      </c>
      <c r="I3549" s="912"/>
      <c r="J3549" s="912"/>
      <c r="K3549" s="912">
        <f>VLOOKUP(E3549,[5]ĐMNC!$A$7:$F$67,4,0)</f>
        <v>221125</v>
      </c>
      <c r="L3549" s="912">
        <f>H3549*K3549</f>
        <v>3522521.25</v>
      </c>
      <c r="M3549" s="912"/>
      <c r="N3549" s="912"/>
      <c r="O3549" s="892">
        <f t="shared" ref="O3549:O3612" si="224">IF(AND(B3549&lt;&gt;"",D3549=""),1,0)</f>
        <v>0</v>
      </c>
      <c r="P3549" s="903">
        <f t="shared" si="221"/>
        <v>1</v>
      </c>
      <c r="Q3549" s="893">
        <f t="shared" si="222"/>
        <v>1</v>
      </c>
      <c r="R3549" s="894">
        <f t="shared" si="223"/>
        <v>0</v>
      </c>
    </row>
    <row r="3550" spans="1:18" s="847" customFormat="1">
      <c r="A3550" s="905"/>
      <c r="B3550" s="914" t="s">
        <v>5261</v>
      </c>
      <c r="C3550" s="915"/>
      <c r="D3550" s="915"/>
      <c r="E3550" s="916" t="s">
        <v>5262</v>
      </c>
      <c r="F3550" s="917" t="s">
        <v>139</v>
      </c>
      <c r="G3550" s="918"/>
      <c r="H3550" s="919"/>
      <c r="I3550" s="920"/>
      <c r="J3550" s="891">
        <f>SUM(J3551:J3552)</f>
        <v>0</v>
      </c>
      <c r="K3550" s="891"/>
      <c r="L3550" s="891">
        <f>SUM(L3551:L3552)</f>
        <v>1917153.75</v>
      </c>
      <c r="M3550" s="891"/>
      <c r="N3550" s="891">
        <f>SUM(N3551:N3552)</f>
        <v>0</v>
      </c>
      <c r="O3550" s="892">
        <f t="shared" si="224"/>
        <v>1</v>
      </c>
      <c r="P3550" s="903">
        <f t="shared" si="221"/>
        <v>0</v>
      </c>
      <c r="Q3550" s="893">
        <f t="shared" si="222"/>
        <v>0</v>
      </c>
      <c r="R3550" s="894">
        <f t="shared" si="223"/>
        <v>2</v>
      </c>
    </row>
    <row r="3551" spans="1:18" s="904" customFormat="1">
      <c r="A3551" s="895"/>
      <c r="B3551" s="922"/>
      <c r="C3551" s="897"/>
      <c r="D3551" s="897"/>
      <c r="E3551" s="924" t="s">
        <v>276</v>
      </c>
      <c r="F3551" s="927"/>
      <c r="G3551" s="928"/>
      <c r="H3551" s="901"/>
      <c r="I3551" s="902"/>
      <c r="J3551" s="902"/>
      <c r="K3551" s="912" t="s">
        <v>274</v>
      </c>
      <c r="L3551" s="902"/>
      <c r="M3551" s="902"/>
      <c r="N3551" s="902"/>
      <c r="O3551" s="892">
        <f t="shared" si="224"/>
        <v>0</v>
      </c>
      <c r="P3551" s="903">
        <f t="shared" si="221"/>
        <v>1</v>
      </c>
      <c r="Q3551" s="893">
        <f t="shared" si="222"/>
        <v>2</v>
      </c>
      <c r="R3551" s="894">
        <f t="shared" si="223"/>
        <v>0</v>
      </c>
    </row>
    <row r="3552" spans="1:18">
      <c r="A3552" s="905"/>
      <c r="B3552" s="906"/>
      <c r="C3552" s="907">
        <v>740</v>
      </c>
      <c r="D3552" s="907" t="s">
        <v>12</v>
      </c>
      <c r="E3552" s="908" t="s">
        <v>4008</v>
      </c>
      <c r="F3552" s="909" t="s">
        <v>2674</v>
      </c>
      <c r="G3552" s="910"/>
      <c r="H3552" s="911">
        <v>8.67</v>
      </c>
      <c r="I3552" s="912"/>
      <c r="J3552" s="912"/>
      <c r="K3552" s="912">
        <f>VLOOKUP(E3552,[5]ĐMNC!$A$7:$F$67,4,0)</f>
        <v>221125</v>
      </c>
      <c r="L3552" s="912">
        <f>H3552*K3552</f>
        <v>1917153.75</v>
      </c>
      <c r="M3552" s="912"/>
      <c r="N3552" s="912"/>
      <c r="O3552" s="892">
        <f t="shared" si="224"/>
        <v>0</v>
      </c>
      <c r="P3552" s="903">
        <f t="shared" si="221"/>
        <v>1</v>
      </c>
      <c r="Q3552" s="893">
        <f t="shared" si="222"/>
        <v>1</v>
      </c>
      <c r="R3552" s="894">
        <f t="shared" si="223"/>
        <v>0</v>
      </c>
    </row>
    <row r="3553" spans="1:18" s="847" customFormat="1">
      <c r="A3553" s="905"/>
      <c r="B3553" s="914" t="s">
        <v>5263</v>
      </c>
      <c r="C3553" s="915"/>
      <c r="D3553" s="915"/>
      <c r="E3553" s="916" t="s">
        <v>5264</v>
      </c>
      <c r="F3553" s="917" t="s">
        <v>139</v>
      </c>
      <c r="G3553" s="918"/>
      <c r="H3553" s="919"/>
      <c r="I3553" s="920"/>
      <c r="J3553" s="891">
        <f>SUM(J3554:J3555)</f>
        <v>0</v>
      </c>
      <c r="K3553" s="891"/>
      <c r="L3553" s="891">
        <f>SUM(L3554:L3555)</f>
        <v>2012237.5</v>
      </c>
      <c r="M3553" s="891"/>
      <c r="N3553" s="891">
        <f>SUM(N3554:N3555)</f>
        <v>0</v>
      </c>
      <c r="O3553" s="892">
        <f t="shared" si="224"/>
        <v>1</v>
      </c>
      <c r="P3553" s="903">
        <f t="shared" si="221"/>
        <v>0</v>
      </c>
      <c r="Q3553" s="893">
        <f t="shared" si="222"/>
        <v>0</v>
      </c>
      <c r="R3553" s="894">
        <f t="shared" si="223"/>
        <v>2</v>
      </c>
    </row>
    <row r="3554" spans="1:18" s="904" customFormat="1">
      <c r="A3554" s="895"/>
      <c r="B3554" s="896"/>
      <c r="C3554" s="897"/>
      <c r="D3554" s="897"/>
      <c r="E3554" s="924" t="s">
        <v>276</v>
      </c>
      <c r="F3554" s="927"/>
      <c r="G3554" s="928"/>
      <c r="H3554" s="901"/>
      <c r="I3554" s="902"/>
      <c r="J3554" s="902"/>
      <c r="K3554" s="912" t="s">
        <v>274</v>
      </c>
      <c r="L3554" s="902"/>
      <c r="M3554" s="902"/>
      <c r="N3554" s="902"/>
      <c r="O3554" s="892">
        <f t="shared" si="224"/>
        <v>0</v>
      </c>
      <c r="P3554" s="903">
        <f t="shared" si="221"/>
        <v>1</v>
      </c>
      <c r="Q3554" s="893">
        <f t="shared" si="222"/>
        <v>2</v>
      </c>
      <c r="R3554" s="894">
        <f t="shared" si="223"/>
        <v>0</v>
      </c>
    </row>
    <row r="3555" spans="1:18">
      <c r="A3555" s="905"/>
      <c r="B3555" s="906"/>
      <c r="C3555" s="907">
        <v>740</v>
      </c>
      <c r="D3555" s="907" t="s">
        <v>12</v>
      </c>
      <c r="E3555" s="908" t="s">
        <v>4008</v>
      </c>
      <c r="F3555" s="909" t="s">
        <v>2674</v>
      </c>
      <c r="G3555" s="910"/>
      <c r="H3555" s="911">
        <v>9.1</v>
      </c>
      <c r="I3555" s="912"/>
      <c r="J3555" s="912"/>
      <c r="K3555" s="912">
        <f>VLOOKUP(E3555,[5]ĐMNC!$A$7:$F$67,4,0)</f>
        <v>221125</v>
      </c>
      <c r="L3555" s="912">
        <f>H3555*K3555</f>
        <v>2012237.5</v>
      </c>
      <c r="M3555" s="912"/>
      <c r="N3555" s="912"/>
      <c r="O3555" s="892">
        <f t="shared" si="224"/>
        <v>0</v>
      </c>
      <c r="P3555" s="903">
        <f t="shared" si="221"/>
        <v>1</v>
      </c>
      <c r="Q3555" s="893">
        <f t="shared" si="222"/>
        <v>1</v>
      </c>
      <c r="R3555" s="894">
        <f t="shared" si="223"/>
        <v>0</v>
      </c>
    </row>
    <row r="3556" spans="1:18" s="847" customFormat="1">
      <c r="A3556" s="905"/>
      <c r="B3556" s="914" t="s">
        <v>5265</v>
      </c>
      <c r="C3556" s="915"/>
      <c r="D3556" s="915"/>
      <c r="E3556" s="916" t="s">
        <v>5266</v>
      </c>
      <c r="F3556" s="917" t="s">
        <v>139</v>
      </c>
      <c r="G3556" s="918"/>
      <c r="H3556" s="919"/>
      <c r="I3556" s="920"/>
      <c r="J3556" s="891">
        <f>SUM(J3557:J3558)</f>
        <v>0</v>
      </c>
      <c r="K3556" s="891"/>
      <c r="L3556" s="891">
        <f>SUM(L3557:L3558)</f>
        <v>2142701.25</v>
      </c>
      <c r="M3556" s="891"/>
      <c r="N3556" s="891">
        <f>SUM(N3557:N3558)</f>
        <v>0</v>
      </c>
      <c r="O3556" s="892">
        <f t="shared" si="224"/>
        <v>1</v>
      </c>
      <c r="P3556" s="903">
        <f t="shared" si="221"/>
        <v>0</v>
      </c>
      <c r="Q3556" s="893">
        <f t="shared" si="222"/>
        <v>0</v>
      </c>
      <c r="R3556" s="894">
        <f t="shared" si="223"/>
        <v>2</v>
      </c>
    </row>
    <row r="3557" spans="1:18" s="904" customFormat="1">
      <c r="A3557" s="895"/>
      <c r="B3557" s="896"/>
      <c r="C3557" s="897"/>
      <c r="D3557" s="897"/>
      <c r="E3557" s="924" t="s">
        <v>276</v>
      </c>
      <c r="F3557" s="927"/>
      <c r="G3557" s="928"/>
      <c r="H3557" s="901"/>
      <c r="I3557" s="902"/>
      <c r="J3557" s="902"/>
      <c r="K3557" s="912" t="s">
        <v>274</v>
      </c>
      <c r="L3557" s="902"/>
      <c r="M3557" s="902"/>
      <c r="N3557" s="902"/>
      <c r="O3557" s="892">
        <f t="shared" si="224"/>
        <v>0</v>
      </c>
      <c r="P3557" s="903">
        <f t="shared" si="221"/>
        <v>1</v>
      </c>
      <c r="Q3557" s="893">
        <f t="shared" si="222"/>
        <v>2</v>
      </c>
      <c r="R3557" s="894">
        <f t="shared" si="223"/>
        <v>0</v>
      </c>
    </row>
    <row r="3558" spans="1:18">
      <c r="A3558" s="905"/>
      <c r="B3558" s="906"/>
      <c r="C3558" s="907">
        <v>740</v>
      </c>
      <c r="D3558" s="907" t="s">
        <v>12</v>
      </c>
      <c r="E3558" s="908" t="s">
        <v>4008</v>
      </c>
      <c r="F3558" s="909" t="s">
        <v>2674</v>
      </c>
      <c r="G3558" s="910"/>
      <c r="H3558" s="911">
        <v>9.69</v>
      </c>
      <c r="I3558" s="912"/>
      <c r="J3558" s="912"/>
      <c r="K3558" s="912">
        <f>VLOOKUP(E3558,[5]ĐMNC!$A$7:$F$67,4,0)</f>
        <v>221125</v>
      </c>
      <c r="L3558" s="912">
        <f>H3558*K3558</f>
        <v>2142701.25</v>
      </c>
      <c r="M3558" s="912"/>
      <c r="N3558" s="912"/>
      <c r="O3558" s="892">
        <f t="shared" si="224"/>
        <v>0</v>
      </c>
      <c r="P3558" s="903">
        <f t="shared" ref="P3558:P3621" si="225">IF(O3558=0,1,0)</f>
        <v>1</v>
      </c>
      <c r="Q3558" s="893">
        <f t="shared" ref="Q3558:Q3621" si="226">IF(P3558=0,0,P3558+Q3559)</f>
        <v>1</v>
      </c>
      <c r="R3558" s="894">
        <f t="shared" ref="R3558:R3621" si="227">IF(Q3558=0,Q3559,0)</f>
        <v>0</v>
      </c>
    </row>
    <row r="3559" spans="1:18" s="847" customFormat="1">
      <c r="A3559" s="905"/>
      <c r="B3559" s="914" t="s">
        <v>5267</v>
      </c>
      <c r="C3559" s="915"/>
      <c r="D3559" s="915"/>
      <c r="E3559" s="916" t="s">
        <v>5268</v>
      </c>
      <c r="F3559" s="917" t="s">
        <v>139</v>
      </c>
      <c r="G3559" s="918"/>
      <c r="H3559" s="919"/>
      <c r="I3559" s="920"/>
      <c r="J3559" s="891">
        <f>SUM(J3560:J3561)</f>
        <v>0</v>
      </c>
      <c r="K3559" s="891"/>
      <c r="L3559" s="891">
        <f>SUM(L3560:L3561)</f>
        <v>2408051.25</v>
      </c>
      <c r="M3559" s="891"/>
      <c r="N3559" s="891">
        <f>SUM(N3560:N3561)</f>
        <v>0</v>
      </c>
      <c r="O3559" s="892">
        <f t="shared" si="224"/>
        <v>1</v>
      </c>
      <c r="P3559" s="903">
        <f t="shared" si="225"/>
        <v>0</v>
      </c>
      <c r="Q3559" s="893">
        <f t="shared" si="226"/>
        <v>0</v>
      </c>
      <c r="R3559" s="894">
        <f t="shared" si="227"/>
        <v>2</v>
      </c>
    </row>
    <row r="3560" spans="1:18" s="904" customFormat="1">
      <c r="A3560" s="895"/>
      <c r="B3560" s="896"/>
      <c r="C3560" s="897"/>
      <c r="D3560" s="897"/>
      <c r="E3560" s="924" t="s">
        <v>276</v>
      </c>
      <c r="F3560" s="927"/>
      <c r="G3560" s="928"/>
      <c r="H3560" s="901"/>
      <c r="I3560" s="902"/>
      <c r="J3560" s="902"/>
      <c r="K3560" s="912" t="s">
        <v>274</v>
      </c>
      <c r="L3560" s="902"/>
      <c r="M3560" s="902"/>
      <c r="N3560" s="902"/>
      <c r="O3560" s="892">
        <f t="shared" si="224"/>
        <v>0</v>
      </c>
      <c r="P3560" s="903">
        <f t="shared" si="225"/>
        <v>1</v>
      </c>
      <c r="Q3560" s="893">
        <f t="shared" si="226"/>
        <v>2</v>
      </c>
      <c r="R3560" s="894">
        <f t="shared" si="227"/>
        <v>0</v>
      </c>
    </row>
    <row r="3561" spans="1:18">
      <c r="A3561" s="905"/>
      <c r="B3561" s="906"/>
      <c r="C3561" s="907">
        <v>740</v>
      </c>
      <c r="D3561" s="907" t="s">
        <v>12</v>
      </c>
      <c r="E3561" s="908" t="s">
        <v>4008</v>
      </c>
      <c r="F3561" s="909" t="s">
        <v>2674</v>
      </c>
      <c r="G3561" s="910"/>
      <c r="H3561" s="911">
        <v>10.89</v>
      </c>
      <c r="I3561" s="912"/>
      <c r="J3561" s="912"/>
      <c r="K3561" s="912">
        <f>VLOOKUP(E3561,[5]ĐMNC!$A$7:$F$67,4,0)</f>
        <v>221125</v>
      </c>
      <c r="L3561" s="912">
        <f>H3561*K3561</f>
        <v>2408051.25</v>
      </c>
      <c r="M3561" s="912"/>
      <c r="N3561" s="912"/>
      <c r="O3561" s="892">
        <f t="shared" si="224"/>
        <v>0</v>
      </c>
      <c r="P3561" s="903">
        <f t="shared" si="225"/>
        <v>1</v>
      </c>
      <c r="Q3561" s="893">
        <f t="shared" si="226"/>
        <v>1</v>
      </c>
      <c r="R3561" s="894">
        <f t="shared" si="227"/>
        <v>0</v>
      </c>
    </row>
    <row r="3562" spans="1:18" s="847" customFormat="1">
      <c r="A3562" s="905"/>
      <c r="B3562" s="914" t="s">
        <v>5269</v>
      </c>
      <c r="C3562" s="915"/>
      <c r="D3562" s="915"/>
      <c r="E3562" s="916" t="s">
        <v>5270</v>
      </c>
      <c r="F3562" s="917" t="s">
        <v>139</v>
      </c>
      <c r="G3562" s="918"/>
      <c r="H3562" s="919"/>
      <c r="I3562" s="920"/>
      <c r="J3562" s="891">
        <f>SUM(J3563:J3564)</f>
        <v>0</v>
      </c>
      <c r="K3562" s="891"/>
      <c r="L3562" s="891">
        <f>SUM(L3563:L3564)</f>
        <v>2934328.75</v>
      </c>
      <c r="M3562" s="891"/>
      <c r="N3562" s="891">
        <f>SUM(N3563:N3564)</f>
        <v>0</v>
      </c>
      <c r="O3562" s="892">
        <f t="shared" si="224"/>
        <v>1</v>
      </c>
      <c r="P3562" s="903">
        <f t="shared" si="225"/>
        <v>0</v>
      </c>
      <c r="Q3562" s="893">
        <f t="shared" si="226"/>
        <v>0</v>
      </c>
      <c r="R3562" s="894">
        <f t="shared" si="227"/>
        <v>2</v>
      </c>
    </row>
    <row r="3563" spans="1:18" s="904" customFormat="1">
      <c r="A3563" s="895"/>
      <c r="B3563" s="896"/>
      <c r="C3563" s="897"/>
      <c r="D3563" s="897"/>
      <c r="E3563" s="924" t="s">
        <v>276</v>
      </c>
      <c r="F3563" s="927"/>
      <c r="G3563" s="928"/>
      <c r="H3563" s="901"/>
      <c r="I3563" s="902"/>
      <c r="J3563" s="902"/>
      <c r="K3563" s="912" t="s">
        <v>274</v>
      </c>
      <c r="L3563" s="902"/>
      <c r="M3563" s="902"/>
      <c r="N3563" s="902"/>
      <c r="O3563" s="892">
        <f t="shared" si="224"/>
        <v>0</v>
      </c>
      <c r="P3563" s="903">
        <f t="shared" si="225"/>
        <v>1</v>
      </c>
      <c r="Q3563" s="893">
        <f t="shared" si="226"/>
        <v>2</v>
      </c>
      <c r="R3563" s="894">
        <f t="shared" si="227"/>
        <v>0</v>
      </c>
    </row>
    <row r="3564" spans="1:18">
      <c r="A3564" s="905"/>
      <c r="B3564" s="906"/>
      <c r="C3564" s="907">
        <v>740</v>
      </c>
      <c r="D3564" s="907" t="s">
        <v>12</v>
      </c>
      <c r="E3564" s="908" t="s">
        <v>4008</v>
      </c>
      <c r="F3564" s="909" t="s">
        <v>2674</v>
      </c>
      <c r="G3564" s="910"/>
      <c r="H3564" s="911">
        <v>13.27</v>
      </c>
      <c r="I3564" s="912"/>
      <c r="J3564" s="912"/>
      <c r="K3564" s="912">
        <f>VLOOKUP(E3564,[5]ĐMNC!$A$7:$F$67,4,0)</f>
        <v>221125</v>
      </c>
      <c r="L3564" s="912">
        <f>H3564*K3564</f>
        <v>2934328.75</v>
      </c>
      <c r="M3564" s="912"/>
      <c r="N3564" s="912"/>
      <c r="O3564" s="892">
        <f t="shared" si="224"/>
        <v>0</v>
      </c>
      <c r="P3564" s="903">
        <f t="shared" si="225"/>
        <v>1</v>
      </c>
      <c r="Q3564" s="893">
        <f t="shared" si="226"/>
        <v>1</v>
      </c>
      <c r="R3564" s="894">
        <f t="shared" si="227"/>
        <v>0</v>
      </c>
    </row>
    <row r="3565" spans="1:18" s="847" customFormat="1">
      <c r="A3565" s="905"/>
      <c r="B3565" s="914" t="s">
        <v>5271</v>
      </c>
      <c r="C3565" s="915"/>
      <c r="D3565" s="915"/>
      <c r="E3565" s="916" t="s">
        <v>5272</v>
      </c>
      <c r="F3565" s="917" t="s">
        <v>139</v>
      </c>
      <c r="G3565" s="918"/>
      <c r="H3565" s="919"/>
      <c r="I3565" s="920"/>
      <c r="J3565" s="891">
        <f>SUM(J3566:J3567)</f>
        <v>0</v>
      </c>
      <c r="K3565" s="891"/>
      <c r="L3565" s="891">
        <f>SUM(L3566:L3567)</f>
        <v>3073637.5</v>
      </c>
      <c r="M3565" s="891"/>
      <c r="N3565" s="891">
        <f>SUM(N3566:N3567)</f>
        <v>0</v>
      </c>
      <c r="O3565" s="892">
        <f t="shared" si="224"/>
        <v>1</v>
      </c>
      <c r="P3565" s="903">
        <f t="shared" si="225"/>
        <v>0</v>
      </c>
      <c r="Q3565" s="893">
        <f t="shared" si="226"/>
        <v>0</v>
      </c>
      <c r="R3565" s="894">
        <f t="shared" si="227"/>
        <v>2</v>
      </c>
    </row>
    <row r="3566" spans="1:18" s="904" customFormat="1">
      <c r="A3566" s="895"/>
      <c r="B3566" s="896"/>
      <c r="C3566" s="897"/>
      <c r="D3566" s="897"/>
      <c r="E3566" s="924" t="s">
        <v>276</v>
      </c>
      <c r="F3566" s="927"/>
      <c r="G3566" s="928"/>
      <c r="H3566" s="901"/>
      <c r="I3566" s="902"/>
      <c r="J3566" s="902"/>
      <c r="K3566" s="912" t="s">
        <v>274</v>
      </c>
      <c r="L3566" s="902"/>
      <c r="M3566" s="902"/>
      <c r="N3566" s="902"/>
      <c r="O3566" s="892">
        <f t="shared" si="224"/>
        <v>0</v>
      </c>
      <c r="P3566" s="903">
        <f t="shared" si="225"/>
        <v>1</v>
      </c>
      <c r="Q3566" s="893">
        <f t="shared" si="226"/>
        <v>2</v>
      </c>
      <c r="R3566" s="894">
        <f t="shared" si="227"/>
        <v>0</v>
      </c>
    </row>
    <row r="3567" spans="1:18">
      <c r="A3567" s="905"/>
      <c r="B3567" s="906"/>
      <c r="C3567" s="907">
        <v>740</v>
      </c>
      <c r="D3567" s="907" t="s">
        <v>12</v>
      </c>
      <c r="E3567" s="908" t="s">
        <v>4008</v>
      </c>
      <c r="F3567" s="909" t="s">
        <v>2674</v>
      </c>
      <c r="G3567" s="910"/>
      <c r="H3567" s="911">
        <v>13.9</v>
      </c>
      <c r="I3567" s="912"/>
      <c r="J3567" s="912"/>
      <c r="K3567" s="912">
        <f>VLOOKUP(E3567,[5]ĐMNC!$A$7:$F$67,4,0)</f>
        <v>221125</v>
      </c>
      <c r="L3567" s="912">
        <f>H3567*K3567</f>
        <v>3073637.5</v>
      </c>
      <c r="M3567" s="912"/>
      <c r="N3567" s="912"/>
      <c r="O3567" s="892">
        <f t="shared" si="224"/>
        <v>0</v>
      </c>
      <c r="P3567" s="903">
        <f t="shared" si="225"/>
        <v>1</v>
      </c>
      <c r="Q3567" s="893">
        <f t="shared" si="226"/>
        <v>1</v>
      </c>
      <c r="R3567" s="894">
        <f t="shared" si="227"/>
        <v>0</v>
      </c>
    </row>
    <row r="3568" spans="1:18" s="847" customFormat="1">
      <c r="A3568" s="905"/>
      <c r="B3568" s="914" t="s">
        <v>5273</v>
      </c>
      <c r="C3568" s="915"/>
      <c r="D3568" s="915"/>
      <c r="E3568" s="916" t="s">
        <v>5274</v>
      </c>
      <c r="F3568" s="917" t="s">
        <v>139</v>
      </c>
      <c r="G3568" s="918"/>
      <c r="H3568" s="919"/>
      <c r="I3568" s="920"/>
      <c r="J3568" s="891">
        <f>SUM(J3569:J3570)</f>
        <v>0</v>
      </c>
      <c r="K3568" s="891"/>
      <c r="L3568" s="891">
        <f>SUM(L3569:L3570)</f>
        <v>3235058.75</v>
      </c>
      <c r="M3568" s="891"/>
      <c r="N3568" s="891">
        <f>SUM(N3569:N3570)</f>
        <v>0</v>
      </c>
      <c r="O3568" s="892">
        <f t="shared" si="224"/>
        <v>1</v>
      </c>
      <c r="P3568" s="903">
        <f t="shared" si="225"/>
        <v>0</v>
      </c>
      <c r="Q3568" s="893">
        <f t="shared" si="226"/>
        <v>0</v>
      </c>
      <c r="R3568" s="894">
        <f t="shared" si="227"/>
        <v>2</v>
      </c>
    </row>
    <row r="3569" spans="1:18" s="904" customFormat="1">
      <c r="A3569" s="895"/>
      <c r="B3569" s="896"/>
      <c r="C3569" s="897"/>
      <c r="D3569" s="897"/>
      <c r="E3569" s="924" t="s">
        <v>276</v>
      </c>
      <c r="F3569" s="927"/>
      <c r="G3569" s="928"/>
      <c r="H3569" s="901"/>
      <c r="I3569" s="902"/>
      <c r="J3569" s="902"/>
      <c r="K3569" s="912" t="s">
        <v>274</v>
      </c>
      <c r="L3569" s="902"/>
      <c r="M3569" s="902"/>
      <c r="N3569" s="902"/>
      <c r="O3569" s="892">
        <f t="shared" si="224"/>
        <v>0</v>
      </c>
      <c r="P3569" s="903">
        <f t="shared" si="225"/>
        <v>1</v>
      </c>
      <c r="Q3569" s="893">
        <f t="shared" si="226"/>
        <v>2</v>
      </c>
      <c r="R3569" s="894">
        <f t="shared" si="227"/>
        <v>0</v>
      </c>
    </row>
    <row r="3570" spans="1:18">
      <c r="A3570" s="905"/>
      <c r="B3570" s="906"/>
      <c r="C3570" s="907">
        <v>740</v>
      </c>
      <c r="D3570" s="907" t="s">
        <v>12</v>
      </c>
      <c r="E3570" s="908" t="s">
        <v>4008</v>
      </c>
      <c r="F3570" s="909" t="s">
        <v>2674</v>
      </c>
      <c r="G3570" s="910"/>
      <c r="H3570" s="911">
        <v>14.63</v>
      </c>
      <c r="I3570" s="912"/>
      <c r="J3570" s="912"/>
      <c r="K3570" s="912">
        <f>VLOOKUP(E3570,[5]ĐMNC!$A$7:$F$67,4,0)</f>
        <v>221125</v>
      </c>
      <c r="L3570" s="912">
        <f>H3570*K3570</f>
        <v>3235058.75</v>
      </c>
      <c r="M3570" s="912"/>
      <c r="N3570" s="912"/>
      <c r="O3570" s="892">
        <f t="shared" si="224"/>
        <v>0</v>
      </c>
      <c r="P3570" s="903">
        <f t="shared" si="225"/>
        <v>1</v>
      </c>
      <c r="Q3570" s="893">
        <f t="shared" si="226"/>
        <v>1</v>
      </c>
      <c r="R3570" s="894">
        <f t="shared" si="227"/>
        <v>0</v>
      </c>
    </row>
    <row r="3571" spans="1:18" s="847" customFormat="1">
      <c r="A3571" s="905"/>
      <c r="B3571" s="914" t="s">
        <v>5275</v>
      </c>
      <c r="C3571" s="915"/>
      <c r="D3571" s="915"/>
      <c r="E3571" s="916" t="s">
        <v>5276</v>
      </c>
      <c r="F3571" s="917" t="s">
        <v>139</v>
      </c>
      <c r="G3571" s="918"/>
      <c r="H3571" s="919"/>
      <c r="I3571" s="920"/>
      <c r="J3571" s="891">
        <f>SUM(J3572:J3573)</f>
        <v>0</v>
      </c>
      <c r="K3571" s="891"/>
      <c r="L3571" s="891">
        <f>SUM(L3572:L3573)</f>
        <v>3396480</v>
      </c>
      <c r="M3571" s="891"/>
      <c r="N3571" s="891">
        <f>SUM(N3572:N3573)</f>
        <v>0</v>
      </c>
      <c r="O3571" s="892">
        <f t="shared" si="224"/>
        <v>1</v>
      </c>
      <c r="P3571" s="903">
        <f t="shared" si="225"/>
        <v>0</v>
      </c>
      <c r="Q3571" s="893">
        <f t="shared" si="226"/>
        <v>0</v>
      </c>
      <c r="R3571" s="894">
        <f t="shared" si="227"/>
        <v>2</v>
      </c>
    </row>
    <row r="3572" spans="1:18" s="904" customFormat="1">
      <c r="A3572" s="895"/>
      <c r="B3572" s="896"/>
      <c r="C3572" s="897"/>
      <c r="D3572" s="897"/>
      <c r="E3572" s="924" t="s">
        <v>276</v>
      </c>
      <c r="F3572" s="927"/>
      <c r="G3572" s="928"/>
      <c r="H3572" s="901"/>
      <c r="I3572" s="902"/>
      <c r="J3572" s="902"/>
      <c r="K3572" s="912" t="s">
        <v>274</v>
      </c>
      <c r="L3572" s="902"/>
      <c r="M3572" s="902"/>
      <c r="N3572" s="902"/>
      <c r="O3572" s="892">
        <f t="shared" si="224"/>
        <v>0</v>
      </c>
      <c r="P3572" s="903">
        <f t="shared" si="225"/>
        <v>1</v>
      </c>
      <c r="Q3572" s="893">
        <f t="shared" si="226"/>
        <v>2</v>
      </c>
      <c r="R3572" s="894">
        <f t="shared" si="227"/>
        <v>0</v>
      </c>
    </row>
    <row r="3573" spans="1:18">
      <c r="A3573" s="905"/>
      <c r="B3573" s="906"/>
      <c r="C3573" s="907">
        <v>740</v>
      </c>
      <c r="D3573" s="907" t="s">
        <v>12</v>
      </c>
      <c r="E3573" s="908" t="s">
        <v>4008</v>
      </c>
      <c r="F3573" s="909" t="s">
        <v>2674</v>
      </c>
      <c r="G3573" s="910"/>
      <c r="H3573" s="911">
        <v>15.36</v>
      </c>
      <c r="I3573" s="912"/>
      <c r="J3573" s="912"/>
      <c r="K3573" s="912">
        <f>VLOOKUP(E3573,[5]ĐMNC!$A$7:$F$67,4,0)</f>
        <v>221125</v>
      </c>
      <c r="L3573" s="912">
        <f>H3573*K3573</f>
        <v>3396480</v>
      </c>
      <c r="M3573" s="912"/>
      <c r="N3573" s="912"/>
      <c r="O3573" s="892">
        <f t="shared" si="224"/>
        <v>0</v>
      </c>
      <c r="P3573" s="903">
        <f t="shared" si="225"/>
        <v>1</v>
      </c>
      <c r="Q3573" s="893">
        <f t="shared" si="226"/>
        <v>1</v>
      </c>
      <c r="R3573" s="894">
        <f t="shared" si="227"/>
        <v>0</v>
      </c>
    </row>
    <row r="3574" spans="1:18" s="847" customFormat="1">
      <c r="A3574" s="905"/>
      <c r="B3574" s="914" t="s">
        <v>5277</v>
      </c>
      <c r="C3574" s="915"/>
      <c r="D3574" s="915"/>
      <c r="E3574" s="916" t="s">
        <v>5278</v>
      </c>
      <c r="F3574" s="917" t="s">
        <v>139</v>
      </c>
      <c r="G3574" s="918"/>
      <c r="H3574" s="919"/>
      <c r="I3574" s="920"/>
      <c r="J3574" s="891">
        <f>SUM(J3575:J3576)</f>
        <v>0</v>
      </c>
      <c r="K3574" s="891"/>
      <c r="L3574" s="891">
        <f>SUM(L3575:L3576)</f>
        <v>3905067.5</v>
      </c>
      <c r="M3574" s="891"/>
      <c r="N3574" s="891">
        <f>SUM(N3575:N3576)</f>
        <v>0</v>
      </c>
      <c r="O3574" s="892">
        <f t="shared" si="224"/>
        <v>1</v>
      </c>
      <c r="P3574" s="903">
        <f t="shared" si="225"/>
        <v>0</v>
      </c>
      <c r="Q3574" s="893">
        <f t="shared" si="226"/>
        <v>0</v>
      </c>
      <c r="R3574" s="894">
        <f t="shared" si="227"/>
        <v>2</v>
      </c>
    </row>
    <row r="3575" spans="1:18" s="904" customFormat="1">
      <c r="A3575" s="895"/>
      <c r="B3575" s="896"/>
      <c r="C3575" s="897"/>
      <c r="D3575" s="897"/>
      <c r="E3575" s="924" t="s">
        <v>276</v>
      </c>
      <c r="F3575" s="927"/>
      <c r="G3575" s="928"/>
      <c r="H3575" s="901"/>
      <c r="I3575" s="902"/>
      <c r="J3575" s="902"/>
      <c r="K3575" s="912" t="s">
        <v>274</v>
      </c>
      <c r="L3575" s="902"/>
      <c r="M3575" s="902"/>
      <c r="N3575" s="902"/>
      <c r="O3575" s="892">
        <f t="shared" si="224"/>
        <v>0</v>
      </c>
      <c r="P3575" s="903">
        <f t="shared" si="225"/>
        <v>1</v>
      </c>
      <c r="Q3575" s="893">
        <f t="shared" si="226"/>
        <v>2</v>
      </c>
      <c r="R3575" s="894">
        <f t="shared" si="227"/>
        <v>0</v>
      </c>
    </row>
    <row r="3576" spans="1:18">
      <c r="A3576" s="905"/>
      <c r="B3576" s="906"/>
      <c r="C3576" s="907">
        <v>740</v>
      </c>
      <c r="D3576" s="907" t="s">
        <v>12</v>
      </c>
      <c r="E3576" s="908" t="s">
        <v>4008</v>
      </c>
      <c r="F3576" s="909" t="s">
        <v>2674</v>
      </c>
      <c r="G3576" s="910"/>
      <c r="H3576" s="911">
        <v>17.66</v>
      </c>
      <c r="I3576" s="912"/>
      <c r="J3576" s="912"/>
      <c r="K3576" s="912">
        <f>VLOOKUP(E3576,[5]ĐMNC!$A$7:$F$67,4,0)</f>
        <v>221125</v>
      </c>
      <c r="L3576" s="912">
        <f>H3576*K3576</f>
        <v>3905067.5</v>
      </c>
      <c r="M3576" s="912"/>
      <c r="N3576" s="912"/>
      <c r="O3576" s="892">
        <f t="shared" si="224"/>
        <v>0</v>
      </c>
      <c r="P3576" s="903">
        <f t="shared" si="225"/>
        <v>1</v>
      </c>
      <c r="Q3576" s="893">
        <f t="shared" si="226"/>
        <v>1</v>
      </c>
      <c r="R3576" s="894">
        <f t="shared" si="227"/>
        <v>0</v>
      </c>
    </row>
    <row r="3577" spans="1:18" s="847" customFormat="1">
      <c r="A3577" s="905"/>
      <c r="B3577" s="914" t="s">
        <v>5279</v>
      </c>
      <c r="C3577" s="915"/>
      <c r="D3577" s="915"/>
      <c r="E3577" s="916" t="s">
        <v>5280</v>
      </c>
      <c r="F3577" s="917" t="s">
        <v>139</v>
      </c>
      <c r="G3577" s="918"/>
      <c r="H3577" s="919"/>
      <c r="I3577" s="920"/>
      <c r="J3577" s="891">
        <f>SUM(J3578:J3579)</f>
        <v>0</v>
      </c>
      <c r="K3577" s="891"/>
      <c r="L3577" s="891">
        <f>SUM(L3578:L3579)</f>
        <v>2109532.5</v>
      </c>
      <c r="M3577" s="891"/>
      <c r="N3577" s="891">
        <f>SUM(N3578:N3579)</f>
        <v>0</v>
      </c>
      <c r="O3577" s="892">
        <f t="shared" si="224"/>
        <v>1</v>
      </c>
      <c r="P3577" s="903">
        <f t="shared" si="225"/>
        <v>0</v>
      </c>
      <c r="Q3577" s="893">
        <f t="shared" si="226"/>
        <v>0</v>
      </c>
      <c r="R3577" s="894">
        <f t="shared" si="227"/>
        <v>2</v>
      </c>
    </row>
    <row r="3578" spans="1:18" s="904" customFormat="1">
      <c r="A3578" s="895"/>
      <c r="B3578" s="896"/>
      <c r="C3578" s="897"/>
      <c r="D3578" s="897"/>
      <c r="E3578" s="924" t="s">
        <v>276</v>
      </c>
      <c r="F3578" s="927"/>
      <c r="G3578" s="928"/>
      <c r="H3578" s="901"/>
      <c r="I3578" s="902"/>
      <c r="J3578" s="902"/>
      <c r="K3578" s="912" t="s">
        <v>274</v>
      </c>
      <c r="L3578" s="902"/>
      <c r="M3578" s="902"/>
      <c r="N3578" s="902"/>
      <c r="O3578" s="892">
        <f t="shared" si="224"/>
        <v>0</v>
      </c>
      <c r="P3578" s="903">
        <f t="shared" si="225"/>
        <v>1</v>
      </c>
      <c r="Q3578" s="893">
        <f t="shared" si="226"/>
        <v>2</v>
      </c>
      <c r="R3578" s="894">
        <f t="shared" si="227"/>
        <v>0</v>
      </c>
    </row>
    <row r="3579" spans="1:18">
      <c r="A3579" s="905"/>
      <c r="B3579" s="906"/>
      <c r="C3579" s="907">
        <v>740</v>
      </c>
      <c r="D3579" s="907" t="s">
        <v>12</v>
      </c>
      <c r="E3579" s="908" t="s">
        <v>4008</v>
      </c>
      <c r="F3579" s="909" t="s">
        <v>2674</v>
      </c>
      <c r="G3579" s="910"/>
      <c r="H3579" s="911">
        <v>9.5399999999999991</v>
      </c>
      <c r="I3579" s="912"/>
      <c r="J3579" s="912"/>
      <c r="K3579" s="912">
        <f>VLOOKUP(E3579,[5]ĐMNC!$A$7:$F$67,4,0)</f>
        <v>221125</v>
      </c>
      <c r="L3579" s="912">
        <f>H3579*K3579</f>
        <v>2109532.5</v>
      </c>
      <c r="M3579" s="912"/>
      <c r="N3579" s="912"/>
      <c r="O3579" s="892">
        <f t="shared" si="224"/>
        <v>0</v>
      </c>
      <c r="P3579" s="903">
        <f t="shared" si="225"/>
        <v>1</v>
      </c>
      <c r="Q3579" s="893">
        <f t="shared" si="226"/>
        <v>1</v>
      </c>
      <c r="R3579" s="894">
        <f t="shared" si="227"/>
        <v>0</v>
      </c>
    </row>
    <row r="3580" spans="1:18" s="847" customFormat="1">
      <c r="A3580" s="905"/>
      <c r="B3580" s="914" t="s">
        <v>5281</v>
      </c>
      <c r="C3580" s="915"/>
      <c r="D3580" s="915"/>
      <c r="E3580" s="916" t="s">
        <v>5282</v>
      </c>
      <c r="F3580" s="917" t="s">
        <v>139</v>
      </c>
      <c r="G3580" s="918"/>
      <c r="H3580" s="919"/>
      <c r="I3580" s="920"/>
      <c r="J3580" s="891">
        <f>SUM(J3581:J3582)</f>
        <v>0</v>
      </c>
      <c r="K3580" s="891"/>
      <c r="L3580" s="891">
        <f>SUM(L3581:L3582)</f>
        <v>2213461.25</v>
      </c>
      <c r="M3580" s="891"/>
      <c r="N3580" s="891">
        <f>SUM(N3581:N3582)</f>
        <v>0</v>
      </c>
      <c r="O3580" s="892">
        <f t="shared" si="224"/>
        <v>1</v>
      </c>
      <c r="P3580" s="903">
        <f t="shared" si="225"/>
        <v>0</v>
      </c>
      <c r="Q3580" s="893">
        <f t="shared" si="226"/>
        <v>0</v>
      </c>
      <c r="R3580" s="894">
        <f t="shared" si="227"/>
        <v>2</v>
      </c>
    </row>
    <row r="3581" spans="1:18" s="904" customFormat="1">
      <c r="A3581" s="895"/>
      <c r="B3581" s="896"/>
      <c r="C3581" s="897"/>
      <c r="D3581" s="897"/>
      <c r="E3581" s="924" t="s">
        <v>276</v>
      </c>
      <c r="F3581" s="927"/>
      <c r="G3581" s="928"/>
      <c r="H3581" s="901"/>
      <c r="I3581" s="902"/>
      <c r="J3581" s="902"/>
      <c r="K3581" s="912" t="s">
        <v>274</v>
      </c>
      <c r="L3581" s="902"/>
      <c r="M3581" s="902"/>
      <c r="N3581" s="902"/>
      <c r="O3581" s="892">
        <f t="shared" si="224"/>
        <v>0</v>
      </c>
      <c r="P3581" s="903">
        <f t="shared" si="225"/>
        <v>1</v>
      </c>
      <c r="Q3581" s="893">
        <f t="shared" si="226"/>
        <v>2</v>
      </c>
      <c r="R3581" s="894">
        <f t="shared" si="227"/>
        <v>0</v>
      </c>
    </row>
    <row r="3582" spans="1:18">
      <c r="A3582" s="905"/>
      <c r="B3582" s="906"/>
      <c r="C3582" s="907">
        <v>740</v>
      </c>
      <c r="D3582" s="907" t="s">
        <v>12</v>
      </c>
      <c r="E3582" s="908" t="s">
        <v>4008</v>
      </c>
      <c r="F3582" s="909" t="s">
        <v>2674</v>
      </c>
      <c r="G3582" s="910"/>
      <c r="H3582" s="911">
        <v>10.01</v>
      </c>
      <c r="I3582" s="912"/>
      <c r="J3582" s="912"/>
      <c r="K3582" s="912">
        <f>VLOOKUP(E3582,[5]ĐMNC!$A$7:$F$67,4,0)</f>
        <v>221125</v>
      </c>
      <c r="L3582" s="912">
        <f>H3582*K3582</f>
        <v>2213461.25</v>
      </c>
      <c r="M3582" s="912"/>
      <c r="N3582" s="912"/>
      <c r="O3582" s="892">
        <f t="shared" si="224"/>
        <v>0</v>
      </c>
      <c r="P3582" s="903">
        <f t="shared" si="225"/>
        <v>1</v>
      </c>
      <c r="Q3582" s="893">
        <f t="shared" si="226"/>
        <v>1</v>
      </c>
      <c r="R3582" s="894">
        <f t="shared" si="227"/>
        <v>0</v>
      </c>
    </row>
    <row r="3583" spans="1:18" s="847" customFormat="1">
      <c r="A3583" s="905"/>
      <c r="B3583" s="914" t="s">
        <v>5283</v>
      </c>
      <c r="C3583" s="915"/>
      <c r="D3583" s="915"/>
      <c r="E3583" s="916" t="s">
        <v>5284</v>
      </c>
      <c r="F3583" s="917" t="s">
        <v>139</v>
      </c>
      <c r="G3583" s="918"/>
      <c r="H3583" s="919"/>
      <c r="I3583" s="920"/>
      <c r="J3583" s="891">
        <f>SUM(J3584:J3585)</f>
        <v>0</v>
      </c>
      <c r="K3583" s="891"/>
      <c r="L3583" s="891">
        <f>SUM(L3584:L3585)</f>
        <v>2567261.25</v>
      </c>
      <c r="M3583" s="891"/>
      <c r="N3583" s="891">
        <f>SUM(N3584:N3585)</f>
        <v>0</v>
      </c>
      <c r="O3583" s="892">
        <f t="shared" si="224"/>
        <v>1</v>
      </c>
      <c r="P3583" s="903">
        <f t="shared" si="225"/>
        <v>0</v>
      </c>
      <c r="Q3583" s="893">
        <f t="shared" si="226"/>
        <v>0</v>
      </c>
      <c r="R3583" s="894">
        <f t="shared" si="227"/>
        <v>2</v>
      </c>
    </row>
    <row r="3584" spans="1:18" s="904" customFormat="1">
      <c r="A3584" s="895"/>
      <c r="B3584" s="896"/>
      <c r="C3584" s="897"/>
      <c r="D3584" s="897"/>
      <c r="E3584" s="924" t="s">
        <v>276</v>
      </c>
      <c r="F3584" s="927"/>
      <c r="G3584" s="928"/>
      <c r="H3584" s="901"/>
      <c r="I3584" s="902"/>
      <c r="J3584" s="902"/>
      <c r="K3584" s="912" t="s">
        <v>274</v>
      </c>
      <c r="L3584" s="902"/>
      <c r="M3584" s="902"/>
      <c r="N3584" s="902"/>
      <c r="O3584" s="892">
        <f t="shared" si="224"/>
        <v>0</v>
      </c>
      <c r="P3584" s="903">
        <f t="shared" si="225"/>
        <v>1</v>
      </c>
      <c r="Q3584" s="893">
        <f t="shared" si="226"/>
        <v>2</v>
      </c>
      <c r="R3584" s="894">
        <f t="shared" si="227"/>
        <v>0</v>
      </c>
    </row>
    <row r="3585" spans="1:18">
      <c r="A3585" s="905"/>
      <c r="B3585" s="906"/>
      <c r="C3585" s="907">
        <v>740</v>
      </c>
      <c r="D3585" s="907" t="s">
        <v>12</v>
      </c>
      <c r="E3585" s="908" t="s">
        <v>4008</v>
      </c>
      <c r="F3585" s="909" t="s">
        <v>2674</v>
      </c>
      <c r="G3585" s="910"/>
      <c r="H3585" s="911">
        <v>11.61</v>
      </c>
      <c r="I3585" s="912"/>
      <c r="J3585" s="912"/>
      <c r="K3585" s="912">
        <f>VLOOKUP(E3585,[5]ĐMNC!$A$7:$F$67,4,0)</f>
        <v>221125</v>
      </c>
      <c r="L3585" s="912">
        <f>H3585*K3585</f>
        <v>2567261.25</v>
      </c>
      <c r="M3585" s="912"/>
      <c r="N3585" s="912"/>
      <c r="O3585" s="892">
        <f t="shared" si="224"/>
        <v>0</v>
      </c>
      <c r="P3585" s="903">
        <f t="shared" si="225"/>
        <v>1</v>
      </c>
      <c r="Q3585" s="893">
        <f t="shared" si="226"/>
        <v>1</v>
      </c>
      <c r="R3585" s="894">
        <f t="shared" si="227"/>
        <v>0</v>
      </c>
    </row>
    <row r="3586" spans="1:18" s="847" customFormat="1">
      <c r="A3586" s="905"/>
      <c r="B3586" s="914" t="s">
        <v>5285</v>
      </c>
      <c r="C3586" s="915"/>
      <c r="D3586" s="915"/>
      <c r="E3586" s="916" t="s">
        <v>5286</v>
      </c>
      <c r="F3586" s="917" t="s">
        <v>139</v>
      </c>
      <c r="G3586" s="918"/>
      <c r="H3586" s="919"/>
      <c r="I3586" s="920"/>
      <c r="J3586" s="891">
        <f>SUM(J3587:J3588)</f>
        <v>0</v>
      </c>
      <c r="K3586" s="891"/>
      <c r="L3586" s="891">
        <f>SUM(L3587:L3588)</f>
        <v>2883470</v>
      </c>
      <c r="M3586" s="891"/>
      <c r="N3586" s="891">
        <f>SUM(N3587:N3588)</f>
        <v>0</v>
      </c>
      <c r="O3586" s="892">
        <f t="shared" si="224"/>
        <v>1</v>
      </c>
      <c r="P3586" s="903">
        <f t="shared" si="225"/>
        <v>0</v>
      </c>
      <c r="Q3586" s="893">
        <f t="shared" si="226"/>
        <v>0</v>
      </c>
      <c r="R3586" s="894">
        <f t="shared" si="227"/>
        <v>2</v>
      </c>
    </row>
    <row r="3587" spans="1:18" s="904" customFormat="1">
      <c r="A3587" s="895"/>
      <c r="B3587" s="896"/>
      <c r="C3587" s="897"/>
      <c r="D3587" s="897"/>
      <c r="E3587" s="924" t="s">
        <v>276</v>
      </c>
      <c r="F3587" s="927"/>
      <c r="G3587" s="928"/>
      <c r="H3587" s="901"/>
      <c r="I3587" s="902"/>
      <c r="J3587" s="902"/>
      <c r="K3587" s="912" t="s">
        <v>274</v>
      </c>
      <c r="L3587" s="902"/>
      <c r="M3587" s="902"/>
      <c r="N3587" s="902"/>
      <c r="O3587" s="892">
        <f t="shared" si="224"/>
        <v>0</v>
      </c>
      <c r="P3587" s="903">
        <f t="shared" si="225"/>
        <v>1</v>
      </c>
      <c r="Q3587" s="893">
        <f t="shared" si="226"/>
        <v>2</v>
      </c>
      <c r="R3587" s="894">
        <f t="shared" si="227"/>
        <v>0</v>
      </c>
    </row>
    <row r="3588" spans="1:18">
      <c r="A3588" s="905"/>
      <c r="B3588" s="906"/>
      <c r="C3588" s="907">
        <v>740</v>
      </c>
      <c r="D3588" s="907" t="s">
        <v>12</v>
      </c>
      <c r="E3588" s="908" t="s">
        <v>4008</v>
      </c>
      <c r="F3588" s="909" t="s">
        <v>2674</v>
      </c>
      <c r="G3588" s="910"/>
      <c r="H3588" s="911">
        <v>13.04</v>
      </c>
      <c r="I3588" s="912"/>
      <c r="J3588" s="912"/>
      <c r="K3588" s="912">
        <f>VLOOKUP(E3588,[5]ĐMNC!$A$7:$F$67,4,0)</f>
        <v>221125</v>
      </c>
      <c r="L3588" s="912">
        <f>H3588*K3588</f>
        <v>2883470</v>
      </c>
      <c r="M3588" s="912"/>
      <c r="N3588" s="912"/>
      <c r="O3588" s="892">
        <f t="shared" si="224"/>
        <v>0</v>
      </c>
      <c r="P3588" s="903">
        <f t="shared" si="225"/>
        <v>1</v>
      </c>
      <c r="Q3588" s="893">
        <f t="shared" si="226"/>
        <v>1</v>
      </c>
      <c r="R3588" s="894">
        <f t="shared" si="227"/>
        <v>0</v>
      </c>
    </row>
    <row r="3589" spans="1:18" s="847" customFormat="1">
      <c r="A3589" s="905"/>
      <c r="B3589" s="914" t="s">
        <v>5287</v>
      </c>
      <c r="C3589" s="915"/>
      <c r="D3589" s="915"/>
      <c r="E3589" s="916" t="s">
        <v>5288</v>
      </c>
      <c r="F3589" s="917" t="s">
        <v>139</v>
      </c>
      <c r="G3589" s="918"/>
      <c r="H3589" s="919"/>
      <c r="I3589" s="920"/>
      <c r="J3589" s="891">
        <f>SUM(J3590:J3591)</f>
        <v>0</v>
      </c>
      <c r="K3589" s="891"/>
      <c r="L3589" s="891">
        <f>SUM(L3590:L3591)</f>
        <v>3513676.25</v>
      </c>
      <c r="M3589" s="891"/>
      <c r="N3589" s="891">
        <f>SUM(N3590:N3591)</f>
        <v>0</v>
      </c>
      <c r="O3589" s="892">
        <f t="shared" si="224"/>
        <v>1</v>
      </c>
      <c r="P3589" s="903">
        <f t="shared" si="225"/>
        <v>0</v>
      </c>
      <c r="Q3589" s="893">
        <f t="shared" si="226"/>
        <v>0</v>
      </c>
      <c r="R3589" s="894">
        <f t="shared" si="227"/>
        <v>2</v>
      </c>
    </row>
    <row r="3590" spans="1:18" s="904" customFormat="1">
      <c r="A3590" s="895"/>
      <c r="B3590" s="896"/>
      <c r="C3590" s="897"/>
      <c r="D3590" s="897"/>
      <c r="E3590" s="924" t="s">
        <v>276</v>
      </c>
      <c r="F3590" s="927"/>
      <c r="G3590" s="928"/>
      <c r="H3590" s="901"/>
      <c r="I3590" s="902"/>
      <c r="J3590" s="902"/>
      <c r="K3590" s="912" t="s">
        <v>274</v>
      </c>
      <c r="L3590" s="902"/>
      <c r="M3590" s="902"/>
      <c r="N3590" s="902"/>
      <c r="O3590" s="892">
        <f t="shared" si="224"/>
        <v>0</v>
      </c>
      <c r="P3590" s="903">
        <f t="shared" si="225"/>
        <v>1</v>
      </c>
      <c r="Q3590" s="893">
        <f t="shared" si="226"/>
        <v>2</v>
      </c>
      <c r="R3590" s="894">
        <f t="shared" si="227"/>
        <v>0</v>
      </c>
    </row>
    <row r="3591" spans="1:18">
      <c r="A3591" s="905"/>
      <c r="B3591" s="906"/>
      <c r="C3591" s="907">
        <v>740</v>
      </c>
      <c r="D3591" s="907" t="s">
        <v>12</v>
      </c>
      <c r="E3591" s="908" t="s">
        <v>4008</v>
      </c>
      <c r="F3591" s="909" t="s">
        <v>2674</v>
      </c>
      <c r="G3591" s="910"/>
      <c r="H3591" s="911">
        <v>15.89</v>
      </c>
      <c r="I3591" s="912"/>
      <c r="J3591" s="912"/>
      <c r="K3591" s="912">
        <f>VLOOKUP(E3591,[5]ĐMNC!$A$7:$F$67,4,0)</f>
        <v>221125</v>
      </c>
      <c r="L3591" s="912">
        <f>H3591*K3591</f>
        <v>3513676.25</v>
      </c>
      <c r="M3591" s="912"/>
      <c r="N3591" s="912"/>
      <c r="O3591" s="892">
        <f t="shared" si="224"/>
        <v>0</v>
      </c>
      <c r="P3591" s="903">
        <f t="shared" si="225"/>
        <v>1</v>
      </c>
      <c r="Q3591" s="893">
        <f t="shared" si="226"/>
        <v>1</v>
      </c>
      <c r="R3591" s="894">
        <f t="shared" si="227"/>
        <v>0</v>
      </c>
    </row>
    <row r="3592" spans="1:18" s="847" customFormat="1">
      <c r="A3592" s="905"/>
      <c r="B3592" s="914" t="s">
        <v>5289</v>
      </c>
      <c r="C3592" s="915"/>
      <c r="D3592" s="915"/>
      <c r="E3592" s="916" t="s">
        <v>5290</v>
      </c>
      <c r="F3592" s="917" t="s">
        <v>139</v>
      </c>
      <c r="G3592" s="918"/>
      <c r="H3592" s="919"/>
      <c r="I3592" s="920"/>
      <c r="J3592" s="891">
        <f>SUM(J3593:J3594)</f>
        <v>0</v>
      </c>
      <c r="K3592" s="891"/>
      <c r="L3592" s="891">
        <f>SUM(L3593:L3594)</f>
        <v>3692787.5</v>
      </c>
      <c r="M3592" s="891"/>
      <c r="N3592" s="891">
        <f>SUM(N3593:N3594)</f>
        <v>0</v>
      </c>
      <c r="O3592" s="892">
        <f t="shared" si="224"/>
        <v>1</v>
      </c>
      <c r="P3592" s="903">
        <f t="shared" si="225"/>
        <v>0</v>
      </c>
      <c r="Q3592" s="893">
        <f t="shared" si="226"/>
        <v>0</v>
      </c>
      <c r="R3592" s="894">
        <f t="shared" si="227"/>
        <v>2</v>
      </c>
    </row>
    <row r="3593" spans="1:18" s="904" customFormat="1">
      <c r="A3593" s="895"/>
      <c r="B3593" s="896"/>
      <c r="C3593" s="897"/>
      <c r="D3593" s="897"/>
      <c r="E3593" s="924" t="s">
        <v>276</v>
      </c>
      <c r="F3593" s="927"/>
      <c r="G3593" s="928"/>
      <c r="H3593" s="901"/>
      <c r="I3593" s="902"/>
      <c r="J3593" s="902"/>
      <c r="K3593" s="912" t="s">
        <v>274</v>
      </c>
      <c r="L3593" s="902"/>
      <c r="M3593" s="902"/>
      <c r="N3593" s="902"/>
      <c r="O3593" s="892">
        <f t="shared" si="224"/>
        <v>0</v>
      </c>
      <c r="P3593" s="903">
        <f t="shared" si="225"/>
        <v>1</v>
      </c>
      <c r="Q3593" s="893">
        <f t="shared" si="226"/>
        <v>2</v>
      </c>
      <c r="R3593" s="894">
        <f t="shared" si="227"/>
        <v>0</v>
      </c>
    </row>
    <row r="3594" spans="1:18">
      <c r="A3594" s="905"/>
      <c r="B3594" s="906"/>
      <c r="C3594" s="907">
        <v>740</v>
      </c>
      <c r="D3594" s="907" t="s">
        <v>12</v>
      </c>
      <c r="E3594" s="908" t="s">
        <v>4008</v>
      </c>
      <c r="F3594" s="909" t="s">
        <v>2674</v>
      </c>
      <c r="G3594" s="910"/>
      <c r="H3594" s="911">
        <v>16.7</v>
      </c>
      <c r="I3594" s="912"/>
      <c r="J3594" s="912"/>
      <c r="K3594" s="912">
        <f>VLOOKUP(E3594,[5]ĐMNC!$A$7:$F$67,4,0)</f>
        <v>221125</v>
      </c>
      <c r="L3594" s="912">
        <f>H3594*K3594</f>
        <v>3692787.5</v>
      </c>
      <c r="M3594" s="912"/>
      <c r="N3594" s="912"/>
      <c r="O3594" s="892">
        <f t="shared" si="224"/>
        <v>0</v>
      </c>
      <c r="P3594" s="903">
        <f t="shared" si="225"/>
        <v>1</v>
      </c>
      <c r="Q3594" s="893">
        <f t="shared" si="226"/>
        <v>1</v>
      </c>
      <c r="R3594" s="894">
        <f t="shared" si="227"/>
        <v>0</v>
      </c>
    </row>
    <row r="3595" spans="1:18" s="847" customFormat="1">
      <c r="A3595" s="905"/>
      <c r="B3595" s="914" t="s">
        <v>5291</v>
      </c>
      <c r="C3595" s="915"/>
      <c r="D3595" s="915"/>
      <c r="E3595" s="916" t="s">
        <v>5292</v>
      </c>
      <c r="F3595" s="917" t="s">
        <v>139</v>
      </c>
      <c r="G3595" s="918"/>
      <c r="H3595" s="919"/>
      <c r="I3595" s="920"/>
      <c r="J3595" s="891">
        <f>SUM(J3596:J3597)</f>
        <v>0</v>
      </c>
      <c r="K3595" s="891"/>
      <c r="L3595" s="891">
        <f>SUM(L3596:L3597)</f>
        <v>4336261.25</v>
      </c>
      <c r="M3595" s="891"/>
      <c r="N3595" s="891">
        <f>SUM(N3596:N3597)</f>
        <v>0</v>
      </c>
      <c r="O3595" s="892">
        <f t="shared" si="224"/>
        <v>1</v>
      </c>
      <c r="P3595" s="903">
        <f t="shared" si="225"/>
        <v>0</v>
      </c>
      <c r="Q3595" s="893">
        <f t="shared" si="226"/>
        <v>0</v>
      </c>
      <c r="R3595" s="894">
        <f t="shared" si="227"/>
        <v>2</v>
      </c>
    </row>
    <row r="3596" spans="1:18" s="904" customFormat="1">
      <c r="A3596" s="895"/>
      <c r="B3596" s="896"/>
      <c r="C3596" s="897"/>
      <c r="D3596" s="897"/>
      <c r="E3596" s="924" t="s">
        <v>276</v>
      </c>
      <c r="F3596" s="927"/>
      <c r="G3596" s="928"/>
      <c r="H3596" s="901"/>
      <c r="I3596" s="902"/>
      <c r="J3596" s="902"/>
      <c r="K3596" s="912" t="s">
        <v>274</v>
      </c>
      <c r="L3596" s="902"/>
      <c r="M3596" s="902"/>
      <c r="N3596" s="902"/>
      <c r="O3596" s="892">
        <f t="shared" si="224"/>
        <v>0</v>
      </c>
      <c r="P3596" s="903">
        <f t="shared" si="225"/>
        <v>1</v>
      </c>
      <c r="Q3596" s="893">
        <f t="shared" si="226"/>
        <v>2</v>
      </c>
      <c r="R3596" s="894">
        <f t="shared" si="227"/>
        <v>0</v>
      </c>
    </row>
    <row r="3597" spans="1:18">
      <c r="A3597" s="905"/>
      <c r="B3597" s="906"/>
      <c r="C3597" s="907">
        <v>740</v>
      </c>
      <c r="D3597" s="907" t="s">
        <v>12</v>
      </c>
      <c r="E3597" s="908" t="s">
        <v>4008</v>
      </c>
      <c r="F3597" s="909" t="s">
        <v>2674</v>
      </c>
      <c r="G3597" s="910"/>
      <c r="H3597" s="911">
        <v>19.61</v>
      </c>
      <c r="I3597" s="912"/>
      <c r="J3597" s="912"/>
      <c r="K3597" s="912">
        <f>VLOOKUP(E3597,[5]ĐMNC!$A$7:$F$67,4,0)</f>
        <v>221125</v>
      </c>
      <c r="L3597" s="912">
        <f>H3597*K3597</f>
        <v>4336261.25</v>
      </c>
      <c r="M3597" s="912"/>
      <c r="N3597" s="912"/>
      <c r="O3597" s="892">
        <f t="shared" si="224"/>
        <v>0</v>
      </c>
      <c r="P3597" s="903">
        <f t="shared" si="225"/>
        <v>1</v>
      </c>
      <c r="Q3597" s="893">
        <f t="shared" si="226"/>
        <v>1</v>
      </c>
      <c r="R3597" s="894">
        <f t="shared" si="227"/>
        <v>0</v>
      </c>
    </row>
    <row r="3598" spans="1:18" s="847" customFormat="1">
      <c r="A3598" s="905"/>
      <c r="B3598" s="914" t="s">
        <v>5293</v>
      </c>
      <c r="C3598" s="915"/>
      <c r="D3598" s="915"/>
      <c r="E3598" s="916" t="s">
        <v>5294</v>
      </c>
      <c r="F3598" s="917" t="s">
        <v>139</v>
      </c>
      <c r="G3598" s="918"/>
      <c r="H3598" s="919"/>
      <c r="I3598" s="920"/>
      <c r="J3598" s="891">
        <f>SUM(J3599:J3600)</f>
        <v>0</v>
      </c>
      <c r="K3598" s="891"/>
      <c r="L3598" s="891">
        <f>SUM(L3599:L3600)</f>
        <v>4552963.75</v>
      </c>
      <c r="M3598" s="891"/>
      <c r="N3598" s="891">
        <f>SUM(N3599:N3600)</f>
        <v>0</v>
      </c>
      <c r="O3598" s="892">
        <f t="shared" si="224"/>
        <v>1</v>
      </c>
      <c r="P3598" s="903">
        <f t="shared" si="225"/>
        <v>0</v>
      </c>
      <c r="Q3598" s="893">
        <f t="shared" si="226"/>
        <v>0</v>
      </c>
      <c r="R3598" s="894">
        <f t="shared" si="227"/>
        <v>2</v>
      </c>
    </row>
    <row r="3599" spans="1:18" s="904" customFormat="1">
      <c r="A3599" s="895"/>
      <c r="B3599" s="896"/>
      <c r="C3599" s="897"/>
      <c r="D3599" s="897"/>
      <c r="E3599" s="924" t="s">
        <v>276</v>
      </c>
      <c r="F3599" s="927"/>
      <c r="G3599" s="928"/>
      <c r="H3599" s="901"/>
      <c r="I3599" s="902"/>
      <c r="J3599" s="902"/>
      <c r="K3599" s="912" t="s">
        <v>274</v>
      </c>
      <c r="L3599" s="902"/>
      <c r="M3599" s="902"/>
      <c r="N3599" s="902"/>
      <c r="O3599" s="892">
        <f t="shared" si="224"/>
        <v>0</v>
      </c>
      <c r="P3599" s="903">
        <f t="shared" si="225"/>
        <v>1</v>
      </c>
      <c r="Q3599" s="893">
        <f t="shared" si="226"/>
        <v>2</v>
      </c>
      <c r="R3599" s="894">
        <f t="shared" si="227"/>
        <v>0</v>
      </c>
    </row>
    <row r="3600" spans="1:18">
      <c r="A3600" s="905"/>
      <c r="B3600" s="906"/>
      <c r="C3600" s="907">
        <v>740</v>
      </c>
      <c r="D3600" s="907" t="s">
        <v>12</v>
      </c>
      <c r="E3600" s="908" t="s">
        <v>4008</v>
      </c>
      <c r="F3600" s="909" t="s">
        <v>2674</v>
      </c>
      <c r="G3600" s="910"/>
      <c r="H3600" s="911">
        <v>20.59</v>
      </c>
      <c r="I3600" s="912"/>
      <c r="J3600" s="912"/>
      <c r="K3600" s="912">
        <f>VLOOKUP(E3600,[5]ĐMNC!$A$7:$F$67,4,0)</f>
        <v>221125</v>
      </c>
      <c r="L3600" s="912">
        <f>H3600*K3600</f>
        <v>4552963.75</v>
      </c>
      <c r="M3600" s="912"/>
      <c r="N3600" s="912"/>
      <c r="O3600" s="892">
        <f t="shared" si="224"/>
        <v>0</v>
      </c>
      <c r="P3600" s="903">
        <f t="shared" si="225"/>
        <v>1</v>
      </c>
      <c r="Q3600" s="893">
        <f t="shared" si="226"/>
        <v>1</v>
      </c>
      <c r="R3600" s="894">
        <f t="shared" si="227"/>
        <v>0</v>
      </c>
    </row>
    <row r="3601" spans="1:18" s="847" customFormat="1">
      <c r="A3601" s="905"/>
      <c r="B3601" s="914" t="s">
        <v>5295</v>
      </c>
      <c r="C3601" s="915"/>
      <c r="D3601" s="915"/>
      <c r="E3601" s="916" t="s">
        <v>5296</v>
      </c>
      <c r="F3601" s="917" t="s">
        <v>139</v>
      </c>
      <c r="G3601" s="918"/>
      <c r="H3601" s="919"/>
      <c r="I3601" s="920"/>
      <c r="J3601" s="891">
        <f>SUM(J3602:J3603)</f>
        <v>0</v>
      </c>
      <c r="K3601" s="891"/>
      <c r="L3601" s="891">
        <f>SUM(L3602:L3603)</f>
        <v>5236240</v>
      </c>
      <c r="M3601" s="891"/>
      <c r="N3601" s="891">
        <f>SUM(N3602:N3603)</f>
        <v>0</v>
      </c>
      <c r="O3601" s="892">
        <f t="shared" si="224"/>
        <v>1</v>
      </c>
      <c r="P3601" s="903">
        <f t="shared" si="225"/>
        <v>0</v>
      </c>
      <c r="Q3601" s="893">
        <f t="shared" si="226"/>
        <v>0</v>
      </c>
      <c r="R3601" s="894">
        <f t="shared" si="227"/>
        <v>2</v>
      </c>
    </row>
    <row r="3602" spans="1:18" s="904" customFormat="1">
      <c r="A3602" s="895"/>
      <c r="B3602" s="896"/>
      <c r="C3602" s="897"/>
      <c r="D3602" s="897"/>
      <c r="E3602" s="924" t="s">
        <v>276</v>
      </c>
      <c r="F3602" s="927"/>
      <c r="G3602" s="928"/>
      <c r="H3602" s="901"/>
      <c r="I3602" s="902"/>
      <c r="J3602" s="902"/>
      <c r="K3602" s="912" t="s">
        <v>274</v>
      </c>
      <c r="L3602" s="902"/>
      <c r="M3602" s="902"/>
      <c r="N3602" s="902"/>
      <c r="O3602" s="892">
        <f t="shared" si="224"/>
        <v>0</v>
      </c>
      <c r="P3602" s="903">
        <f t="shared" si="225"/>
        <v>1</v>
      </c>
      <c r="Q3602" s="893">
        <f t="shared" si="226"/>
        <v>2</v>
      </c>
      <c r="R3602" s="894">
        <f t="shared" si="227"/>
        <v>0</v>
      </c>
    </row>
    <row r="3603" spans="1:18">
      <c r="A3603" s="905"/>
      <c r="B3603" s="906"/>
      <c r="C3603" s="907">
        <v>740</v>
      </c>
      <c r="D3603" s="907" t="s">
        <v>12</v>
      </c>
      <c r="E3603" s="908" t="s">
        <v>4008</v>
      </c>
      <c r="F3603" s="909" t="s">
        <v>2674</v>
      </c>
      <c r="G3603" s="910"/>
      <c r="H3603" s="911">
        <v>23.68</v>
      </c>
      <c r="I3603" s="912"/>
      <c r="J3603" s="912"/>
      <c r="K3603" s="912">
        <f>VLOOKUP(E3603,[5]ĐMNC!$A$7:$F$67,4,0)</f>
        <v>221125</v>
      </c>
      <c r="L3603" s="912">
        <f>H3603*K3603</f>
        <v>5236240</v>
      </c>
      <c r="M3603" s="912"/>
      <c r="N3603" s="912"/>
      <c r="O3603" s="892">
        <f t="shared" si="224"/>
        <v>0</v>
      </c>
      <c r="P3603" s="903">
        <f t="shared" si="225"/>
        <v>1</v>
      </c>
      <c r="Q3603" s="893">
        <f t="shared" si="226"/>
        <v>1</v>
      </c>
      <c r="R3603" s="894">
        <f t="shared" si="227"/>
        <v>0</v>
      </c>
    </row>
    <row r="3604" spans="1:18" s="847" customFormat="1">
      <c r="A3604" s="905"/>
      <c r="B3604" s="914" t="s">
        <v>5297</v>
      </c>
      <c r="C3604" s="915"/>
      <c r="D3604" s="915"/>
      <c r="E3604" s="916" t="s">
        <v>5298</v>
      </c>
      <c r="F3604" s="917" t="s">
        <v>139</v>
      </c>
      <c r="G3604" s="918"/>
      <c r="H3604" s="919"/>
      <c r="I3604" s="920"/>
      <c r="J3604" s="891">
        <f>SUM(J3605:J3606)</f>
        <v>0</v>
      </c>
      <c r="K3604" s="891"/>
      <c r="L3604" s="891">
        <f>SUM(L3605:L3606)</f>
        <v>552812.5</v>
      </c>
      <c r="M3604" s="891"/>
      <c r="N3604" s="891">
        <f>SUM(N3605:N3606)</f>
        <v>0</v>
      </c>
      <c r="O3604" s="892">
        <f t="shared" si="224"/>
        <v>1</v>
      </c>
      <c r="P3604" s="903">
        <f t="shared" si="225"/>
        <v>0</v>
      </c>
      <c r="Q3604" s="893">
        <f t="shared" si="226"/>
        <v>0</v>
      </c>
      <c r="R3604" s="894">
        <f t="shared" si="227"/>
        <v>2</v>
      </c>
    </row>
    <row r="3605" spans="1:18" s="904" customFormat="1">
      <c r="A3605" s="895"/>
      <c r="B3605" s="896"/>
      <c r="C3605" s="897"/>
      <c r="D3605" s="897"/>
      <c r="E3605" s="924" t="s">
        <v>276</v>
      </c>
      <c r="F3605" s="927"/>
      <c r="G3605" s="928"/>
      <c r="H3605" s="901"/>
      <c r="I3605" s="902"/>
      <c r="J3605" s="902"/>
      <c r="K3605" s="912" t="s">
        <v>274</v>
      </c>
      <c r="L3605" s="902"/>
      <c r="M3605" s="902"/>
      <c r="N3605" s="902"/>
      <c r="O3605" s="892">
        <f t="shared" si="224"/>
        <v>0</v>
      </c>
      <c r="P3605" s="903">
        <f t="shared" si="225"/>
        <v>1</v>
      </c>
      <c r="Q3605" s="893">
        <f t="shared" si="226"/>
        <v>2</v>
      </c>
      <c r="R3605" s="894">
        <f t="shared" si="227"/>
        <v>0</v>
      </c>
    </row>
    <row r="3606" spans="1:18">
      <c r="A3606" s="905"/>
      <c r="B3606" s="914"/>
      <c r="C3606" s="907">
        <v>740</v>
      </c>
      <c r="D3606" s="907" t="s">
        <v>12</v>
      </c>
      <c r="E3606" s="908" t="s">
        <v>4008</v>
      </c>
      <c r="F3606" s="909" t="s">
        <v>2674</v>
      </c>
      <c r="G3606" s="910"/>
      <c r="H3606" s="911">
        <v>2.5</v>
      </c>
      <c r="I3606" s="912"/>
      <c r="J3606" s="912"/>
      <c r="K3606" s="912">
        <f>VLOOKUP(E3606,[5]ĐMNC!$A$7:$F$67,4,0)</f>
        <v>221125</v>
      </c>
      <c r="L3606" s="912">
        <f>H3606*K3606</f>
        <v>552812.5</v>
      </c>
      <c r="M3606" s="912"/>
      <c r="N3606" s="912"/>
      <c r="O3606" s="892">
        <f t="shared" si="224"/>
        <v>0</v>
      </c>
      <c r="P3606" s="903">
        <f t="shared" si="225"/>
        <v>1</v>
      </c>
      <c r="Q3606" s="893">
        <f t="shared" si="226"/>
        <v>1</v>
      </c>
      <c r="R3606" s="894">
        <f t="shared" si="227"/>
        <v>0</v>
      </c>
    </row>
    <row r="3607" spans="1:18" s="847" customFormat="1">
      <c r="A3607" s="905"/>
      <c r="B3607" s="914" t="s">
        <v>5299</v>
      </c>
      <c r="C3607" s="915"/>
      <c r="D3607" s="915"/>
      <c r="E3607" s="916" t="s">
        <v>5300</v>
      </c>
      <c r="F3607" s="917" t="s">
        <v>139</v>
      </c>
      <c r="G3607" s="918"/>
      <c r="H3607" s="919"/>
      <c r="I3607" s="920"/>
      <c r="J3607" s="891">
        <f>SUM(J3608:J3609)</f>
        <v>0</v>
      </c>
      <c r="K3607" s="891"/>
      <c r="L3607" s="891">
        <f>SUM(L3608:L3609)</f>
        <v>608093.75</v>
      </c>
      <c r="M3607" s="891"/>
      <c r="N3607" s="891">
        <f>SUM(N3608:N3609)</f>
        <v>0</v>
      </c>
      <c r="O3607" s="892">
        <f t="shared" si="224"/>
        <v>1</v>
      </c>
      <c r="P3607" s="903">
        <f t="shared" si="225"/>
        <v>0</v>
      </c>
      <c r="Q3607" s="893">
        <f t="shared" si="226"/>
        <v>0</v>
      </c>
      <c r="R3607" s="894">
        <f t="shared" si="227"/>
        <v>2</v>
      </c>
    </row>
    <row r="3608" spans="1:18" s="904" customFormat="1">
      <c r="A3608" s="895"/>
      <c r="B3608" s="896"/>
      <c r="C3608" s="897"/>
      <c r="D3608" s="897"/>
      <c r="E3608" s="924" t="s">
        <v>276</v>
      </c>
      <c r="F3608" s="927"/>
      <c r="G3608" s="928"/>
      <c r="H3608" s="901"/>
      <c r="I3608" s="902"/>
      <c r="J3608" s="902"/>
      <c r="K3608" s="912" t="s">
        <v>274</v>
      </c>
      <c r="L3608" s="902"/>
      <c r="M3608" s="902"/>
      <c r="N3608" s="902"/>
      <c r="O3608" s="892">
        <f t="shared" si="224"/>
        <v>0</v>
      </c>
      <c r="P3608" s="903">
        <f t="shared" si="225"/>
        <v>1</v>
      </c>
      <c r="Q3608" s="893">
        <f t="shared" si="226"/>
        <v>2</v>
      </c>
      <c r="R3608" s="894">
        <f t="shared" si="227"/>
        <v>0</v>
      </c>
    </row>
    <row r="3609" spans="1:18">
      <c r="A3609" s="905"/>
      <c r="B3609" s="906"/>
      <c r="C3609" s="907">
        <v>740</v>
      </c>
      <c r="D3609" s="907" t="s">
        <v>12</v>
      </c>
      <c r="E3609" s="908" t="s">
        <v>4008</v>
      </c>
      <c r="F3609" s="909" t="s">
        <v>2674</v>
      </c>
      <c r="G3609" s="910"/>
      <c r="H3609" s="911">
        <v>2.75</v>
      </c>
      <c r="I3609" s="912"/>
      <c r="J3609" s="912"/>
      <c r="K3609" s="912">
        <f>VLOOKUP(E3609,[5]ĐMNC!$A$7:$F$67,4,0)</f>
        <v>221125</v>
      </c>
      <c r="L3609" s="912">
        <f>H3609*K3609</f>
        <v>608093.75</v>
      </c>
      <c r="M3609" s="912"/>
      <c r="N3609" s="912"/>
      <c r="O3609" s="892">
        <f t="shared" si="224"/>
        <v>0</v>
      </c>
      <c r="P3609" s="903">
        <f t="shared" si="225"/>
        <v>1</v>
      </c>
      <c r="Q3609" s="893">
        <f t="shared" si="226"/>
        <v>1</v>
      </c>
      <c r="R3609" s="894">
        <f t="shared" si="227"/>
        <v>0</v>
      </c>
    </row>
    <row r="3610" spans="1:18" s="847" customFormat="1">
      <c r="A3610" s="905"/>
      <c r="B3610" s="914" t="s">
        <v>5301</v>
      </c>
      <c r="C3610" s="915"/>
      <c r="D3610" s="915"/>
      <c r="E3610" s="916" t="s">
        <v>5302</v>
      </c>
      <c r="F3610" s="917" t="s">
        <v>139</v>
      </c>
      <c r="G3610" s="918"/>
      <c r="H3610" s="919"/>
      <c r="I3610" s="920"/>
      <c r="J3610" s="891">
        <f>SUM(J3611:J3612)</f>
        <v>0</v>
      </c>
      <c r="K3610" s="891"/>
      <c r="L3610" s="891">
        <f>SUM(L3611:L3612)</f>
        <v>838063.75</v>
      </c>
      <c r="M3610" s="891"/>
      <c r="N3610" s="891">
        <f>SUM(N3611:N3612)</f>
        <v>0</v>
      </c>
      <c r="O3610" s="892">
        <f t="shared" si="224"/>
        <v>1</v>
      </c>
      <c r="P3610" s="903">
        <f t="shared" si="225"/>
        <v>0</v>
      </c>
      <c r="Q3610" s="893">
        <f t="shared" si="226"/>
        <v>0</v>
      </c>
      <c r="R3610" s="894">
        <f t="shared" si="227"/>
        <v>2</v>
      </c>
    </row>
    <row r="3611" spans="1:18" s="904" customFormat="1">
      <c r="A3611" s="895"/>
      <c r="B3611" s="896"/>
      <c r="C3611" s="897"/>
      <c r="D3611" s="897"/>
      <c r="E3611" s="924" t="s">
        <v>276</v>
      </c>
      <c r="F3611" s="927"/>
      <c r="G3611" s="928"/>
      <c r="H3611" s="901"/>
      <c r="I3611" s="902"/>
      <c r="J3611" s="902"/>
      <c r="K3611" s="912" t="s">
        <v>274</v>
      </c>
      <c r="L3611" s="902"/>
      <c r="M3611" s="902"/>
      <c r="N3611" s="902"/>
      <c r="O3611" s="892">
        <f t="shared" si="224"/>
        <v>0</v>
      </c>
      <c r="P3611" s="903">
        <f t="shared" si="225"/>
        <v>1</v>
      </c>
      <c r="Q3611" s="893">
        <f t="shared" si="226"/>
        <v>2</v>
      </c>
      <c r="R3611" s="894">
        <f t="shared" si="227"/>
        <v>0</v>
      </c>
    </row>
    <row r="3612" spans="1:18">
      <c r="A3612" s="905"/>
      <c r="B3612" s="906"/>
      <c r="C3612" s="907">
        <v>740</v>
      </c>
      <c r="D3612" s="907" t="s">
        <v>12</v>
      </c>
      <c r="E3612" s="908" t="s">
        <v>4008</v>
      </c>
      <c r="F3612" s="909" t="s">
        <v>2674</v>
      </c>
      <c r="G3612" s="910"/>
      <c r="H3612" s="911">
        <v>3.79</v>
      </c>
      <c r="I3612" s="912"/>
      <c r="J3612" s="912"/>
      <c r="K3612" s="912">
        <f>VLOOKUP(E3612,[5]ĐMNC!$A$7:$F$67,4,0)</f>
        <v>221125</v>
      </c>
      <c r="L3612" s="912">
        <f>H3612*K3612</f>
        <v>838063.75</v>
      </c>
      <c r="M3612" s="912"/>
      <c r="N3612" s="912"/>
      <c r="O3612" s="892">
        <f t="shared" si="224"/>
        <v>0</v>
      </c>
      <c r="P3612" s="903">
        <f t="shared" si="225"/>
        <v>1</v>
      </c>
      <c r="Q3612" s="893">
        <f t="shared" si="226"/>
        <v>1</v>
      </c>
      <c r="R3612" s="894">
        <f t="shared" si="227"/>
        <v>0</v>
      </c>
    </row>
    <row r="3613" spans="1:18" s="847" customFormat="1">
      <c r="A3613" s="905"/>
      <c r="B3613" s="914" t="s">
        <v>5303</v>
      </c>
      <c r="C3613" s="915"/>
      <c r="D3613" s="915"/>
      <c r="E3613" s="916" t="s">
        <v>5304</v>
      </c>
      <c r="F3613" s="917" t="s">
        <v>139</v>
      </c>
      <c r="G3613" s="918"/>
      <c r="H3613" s="919"/>
      <c r="I3613" s="920"/>
      <c r="J3613" s="891">
        <f>SUM(J3614:J3615)</f>
        <v>0</v>
      </c>
      <c r="K3613" s="891"/>
      <c r="L3613" s="891">
        <f>SUM(L3614:L3615)</f>
        <v>1156483.75</v>
      </c>
      <c r="M3613" s="891"/>
      <c r="N3613" s="891">
        <f>SUM(N3614:N3615)</f>
        <v>0</v>
      </c>
      <c r="O3613" s="892">
        <f t="shared" ref="O3613:O3676" si="228">IF(AND(B3613&lt;&gt;"",D3613=""),1,0)</f>
        <v>1</v>
      </c>
      <c r="P3613" s="903">
        <f t="shared" si="225"/>
        <v>0</v>
      </c>
      <c r="Q3613" s="893">
        <f t="shared" si="226"/>
        <v>0</v>
      </c>
      <c r="R3613" s="894">
        <f t="shared" si="227"/>
        <v>2</v>
      </c>
    </row>
    <row r="3614" spans="1:18" s="904" customFormat="1">
      <c r="A3614" s="895"/>
      <c r="B3614" s="896"/>
      <c r="C3614" s="897"/>
      <c r="D3614" s="897"/>
      <c r="E3614" s="924" t="s">
        <v>276</v>
      </c>
      <c r="F3614" s="927"/>
      <c r="G3614" s="928"/>
      <c r="H3614" s="901"/>
      <c r="I3614" s="902"/>
      <c r="J3614" s="902"/>
      <c r="K3614" s="912" t="s">
        <v>274</v>
      </c>
      <c r="L3614" s="902"/>
      <c r="M3614" s="902"/>
      <c r="N3614" s="902"/>
      <c r="O3614" s="892">
        <f t="shared" si="228"/>
        <v>0</v>
      </c>
      <c r="P3614" s="903">
        <f t="shared" si="225"/>
        <v>1</v>
      </c>
      <c r="Q3614" s="893">
        <f t="shared" si="226"/>
        <v>2</v>
      </c>
      <c r="R3614" s="894">
        <f t="shared" si="227"/>
        <v>0</v>
      </c>
    </row>
    <row r="3615" spans="1:18">
      <c r="A3615" s="905"/>
      <c r="B3615" s="906"/>
      <c r="C3615" s="907">
        <v>740</v>
      </c>
      <c r="D3615" s="907" t="s">
        <v>12</v>
      </c>
      <c r="E3615" s="908" t="s">
        <v>4008</v>
      </c>
      <c r="F3615" s="909" t="s">
        <v>2674</v>
      </c>
      <c r="G3615" s="910"/>
      <c r="H3615" s="911">
        <v>5.23</v>
      </c>
      <c r="I3615" s="912"/>
      <c r="J3615" s="912"/>
      <c r="K3615" s="912">
        <f>VLOOKUP(E3615,[5]ĐMNC!$A$7:$F$67,4,0)</f>
        <v>221125</v>
      </c>
      <c r="L3615" s="912">
        <f>H3615*K3615</f>
        <v>1156483.75</v>
      </c>
      <c r="M3615" s="912"/>
      <c r="N3615" s="912"/>
      <c r="O3615" s="892">
        <f t="shared" si="228"/>
        <v>0</v>
      </c>
      <c r="P3615" s="903">
        <f t="shared" si="225"/>
        <v>1</v>
      </c>
      <c r="Q3615" s="893">
        <f t="shared" si="226"/>
        <v>1</v>
      </c>
      <c r="R3615" s="894">
        <f t="shared" si="227"/>
        <v>0</v>
      </c>
    </row>
    <row r="3616" spans="1:18" s="847" customFormat="1">
      <c r="A3616" s="905"/>
      <c r="B3616" s="914" t="s">
        <v>5305</v>
      </c>
      <c r="C3616" s="915"/>
      <c r="D3616" s="915"/>
      <c r="E3616" s="916" t="s">
        <v>5306</v>
      </c>
      <c r="F3616" s="917" t="s">
        <v>139</v>
      </c>
      <c r="G3616" s="918"/>
      <c r="H3616" s="919"/>
      <c r="I3616" s="920"/>
      <c r="J3616" s="891">
        <f>SUM(J3617:J3618)</f>
        <v>0</v>
      </c>
      <c r="K3616" s="891"/>
      <c r="L3616" s="891">
        <f>SUM(L3617:L3618)</f>
        <v>1213976.25</v>
      </c>
      <c r="M3616" s="891"/>
      <c r="N3616" s="891">
        <f>SUM(N3617:N3618)</f>
        <v>0</v>
      </c>
      <c r="O3616" s="892">
        <f t="shared" si="228"/>
        <v>1</v>
      </c>
      <c r="P3616" s="903">
        <f t="shared" si="225"/>
        <v>0</v>
      </c>
      <c r="Q3616" s="893">
        <f t="shared" si="226"/>
        <v>0</v>
      </c>
      <c r="R3616" s="894">
        <f t="shared" si="227"/>
        <v>2</v>
      </c>
    </row>
    <row r="3617" spans="1:18" s="904" customFormat="1">
      <c r="A3617" s="895"/>
      <c r="B3617" s="896"/>
      <c r="C3617" s="897"/>
      <c r="D3617" s="897"/>
      <c r="E3617" s="924" t="s">
        <v>276</v>
      </c>
      <c r="F3617" s="927"/>
      <c r="G3617" s="928"/>
      <c r="H3617" s="901"/>
      <c r="I3617" s="902"/>
      <c r="J3617" s="902"/>
      <c r="K3617" s="912" t="s">
        <v>274</v>
      </c>
      <c r="L3617" s="902"/>
      <c r="M3617" s="902"/>
      <c r="N3617" s="902"/>
      <c r="O3617" s="892">
        <f t="shared" si="228"/>
        <v>0</v>
      </c>
      <c r="P3617" s="903">
        <f t="shared" si="225"/>
        <v>1</v>
      </c>
      <c r="Q3617" s="893">
        <f t="shared" si="226"/>
        <v>2</v>
      </c>
      <c r="R3617" s="894">
        <f t="shared" si="227"/>
        <v>0</v>
      </c>
    </row>
    <row r="3618" spans="1:18">
      <c r="A3618" s="905"/>
      <c r="B3618" s="906"/>
      <c r="C3618" s="907">
        <v>740</v>
      </c>
      <c r="D3618" s="907" t="s">
        <v>12</v>
      </c>
      <c r="E3618" s="908" t="s">
        <v>4008</v>
      </c>
      <c r="F3618" s="909" t="s">
        <v>2674</v>
      </c>
      <c r="G3618" s="910"/>
      <c r="H3618" s="911">
        <v>5.49</v>
      </c>
      <c r="I3618" s="912"/>
      <c r="J3618" s="912"/>
      <c r="K3618" s="912">
        <f>VLOOKUP(E3618,[5]ĐMNC!$A$7:$F$67,4,0)</f>
        <v>221125</v>
      </c>
      <c r="L3618" s="912">
        <f>H3618*K3618</f>
        <v>1213976.25</v>
      </c>
      <c r="M3618" s="912"/>
      <c r="N3618" s="912"/>
      <c r="O3618" s="892">
        <f t="shared" si="228"/>
        <v>0</v>
      </c>
      <c r="P3618" s="903">
        <f t="shared" si="225"/>
        <v>1</v>
      </c>
      <c r="Q3618" s="893">
        <f t="shared" si="226"/>
        <v>1</v>
      </c>
      <c r="R3618" s="894">
        <f t="shared" si="227"/>
        <v>0</v>
      </c>
    </row>
    <row r="3619" spans="1:18" s="847" customFormat="1">
      <c r="A3619" s="905"/>
      <c r="B3619" s="914" t="s">
        <v>5307</v>
      </c>
      <c r="C3619" s="915"/>
      <c r="D3619" s="915"/>
      <c r="E3619" s="916" t="s">
        <v>5308</v>
      </c>
      <c r="F3619" s="917" t="s">
        <v>139</v>
      </c>
      <c r="G3619" s="918"/>
      <c r="H3619" s="919"/>
      <c r="I3619" s="920"/>
      <c r="J3619" s="891">
        <f>SUM(J3620:J3621)</f>
        <v>0</v>
      </c>
      <c r="K3619" s="891"/>
      <c r="L3619" s="891">
        <f>SUM(L3620:L3621)</f>
        <v>1335595</v>
      </c>
      <c r="M3619" s="891"/>
      <c r="N3619" s="891">
        <f>SUM(N3620:N3621)</f>
        <v>0</v>
      </c>
      <c r="O3619" s="892">
        <f t="shared" si="228"/>
        <v>1</v>
      </c>
      <c r="P3619" s="903">
        <f t="shared" si="225"/>
        <v>0</v>
      </c>
      <c r="Q3619" s="893">
        <f t="shared" si="226"/>
        <v>0</v>
      </c>
      <c r="R3619" s="894">
        <f t="shared" si="227"/>
        <v>2</v>
      </c>
    </row>
    <row r="3620" spans="1:18" s="904" customFormat="1">
      <c r="A3620" s="895"/>
      <c r="B3620" s="896"/>
      <c r="C3620" s="897"/>
      <c r="D3620" s="897"/>
      <c r="E3620" s="924" t="s">
        <v>276</v>
      </c>
      <c r="F3620" s="927"/>
      <c r="G3620" s="928"/>
      <c r="H3620" s="901"/>
      <c r="I3620" s="902"/>
      <c r="J3620" s="902"/>
      <c r="K3620" s="912" t="s">
        <v>274</v>
      </c>
      <c r="L3620" s="902"/>
      <c r="M3620" s="902"/>
      <c r="N3620" s="902"/>
      <c r="O3620" s="892">
        <f t="shared" si="228"/>
        <v>0</v>
      </c>
      <c r="P3620" s="903">
        <f t="shared" si="225"/>
        <v>1</v>
      </c>
      <c r="Q3620" s="893">
        <f t="shared" si="226"/>
        <v>2</v>
      </c>
      <c r="R3620" s="894">
        <f t="shared" si="227"/>
        <v>0</v>
      </c>
    </row>
    <row r="3621" spans="1:18">
      <c r="A3621" s="905"/>
      <c r="B3621" s="906"/>
      <c r="C3621" s="907">
        <v>740</v>
      </c>
      <c r="D3621" s="907" t="s">
        <v>12</v>
      </c>
      <c r="E3621" s="908" t="s">
        <v>4008</v>
      </c>
      <c r="F3621" s="909" t="s">
        <v>2674</v>
      </c>
      <c r="G3621" s="910"/>
      <c r="H3621" s="911">
        <v>6.04</v>
      </c>
      <c r="I3621" s="912"/>
      <c r="J3621" s="912"/>
      <c r="K3621" s="912">
        <f>VLOOKUP(E3621,[5]ĐMNC!$A$7:$F$67,4,0)</f>
        <v>221125</v>
      </c>
      <c r="L3621" s="912">
        <f>H3621*K3621</f>
        <v>1335595</v>
      </c>
      <c r="M3621" s="912"/>
      <c r="N3621" s="912"/>
      <c r="O3621" s="892">
        <f t="shared" si="228"/>
        <v>0</v>
      </c>
      <c r="P3621" s="903">
        <f t="shared" si="225"/>
        <v>1</v>
      </c>
      <c r="Q3621" s="893">
        <f t="shared" si="226"/>
        <v>1</v>
      </c>
      <c r="R3621" s="894">
        <f t="shared" si="227"/>
        <v>0</v>
      </c>
    </row>
    <row r="3622" spans="1:18" s="847" customFormat="1">
      <c r="A3622" s="905"/>
      <c r="B3622" s="914" t="s">
        <v>5309</v>
      </c>
      <c r="C3622" s="915"/>
      <c r="D3622" s="915"/>
      <c r="E3622" s="916" t="s">
        <v>5310</v>
      </c>
      <c r="F3622" s="917" t="s">
        <v>139</v>
      </c>
      <c r="G3622" s="918"/>
      <c r="H3622" s="919"/>
      <c r="I3622" s="920"/>
      <c r="J3622" s="891">
        <f>SUM(J3623:J3624)</f>
        <v>0</v>
      </c>
      <c r="K3622" s="891"/>
      <c r="L3622" s="891">
        <f>SUM(L3623:L3624)</f>
        <v>97295</v>
      </c>
      <c r="M3622" s="891"/>
      <c r="N3622" s="891">
        <f>SUM(N3623:N3624)</f>
        <v>0</v>
      </c>
      <c r="O3622" s="892">
        <f t="shared" si="228"/>
        <v>1</v>
      </c>
      <c r="P3622" s="903">
        <f t="shared" ref="P3622:P3685" si="229">IF(O3622=0,1,0)</f>
        <v>0</v>
      </c>
      <c r="Q3622" s="893">
        <f t="shared" ref="Q3622:Q3685" si="230">IF(P3622=0,0,P3622+Q3623)</f>
        <v>0</v>
      </c>
      <c r="R3622" s="894">
        <f t="shared" ref="R3622:R3685" si="231">IF(Q3622=0,Q3623,0)</f>
        <v>2</v>
      </c>
    </row>
    <row r="3623" spans="1:18" s="904" customFormat="1">
      <c r="A3623" s="895"/>
      <c r="B3623" s="896"/>
      <c r="C3623" s="897"/>
      <c r="D3623" s="897"/>
      <c r="E3623" s="924" t="s">
        <v>276</v>
      </c>
      <c r="F3623" s="927"/>
      <c r="G3623" s="928"/>
      <c r="H3623" s="901"/>
      <c r="I3623" s="902"/>
      <c r="J3623" s="902"/>
      <c r="K3623" s="912" t="s">
        <v>274</v>
      </c>
      <c r="L3623" s="902"/>
      <c r="M3623" s="902"/>
      <c r="N3623" s="902"/>
      <c r="O3623" s="892">
        <f t="shared" si="228"/>
        <v>0</v>
      </c>
      <c r="P3623" s="903">
        <f t="shared" si="229"/>
        <v>1</v>
      </c>
      <c r="Q3623" s="893">
        <f t="shared" si="230"/>
        <v>2</v>
      </c>
      <c r="R3623" s="894">
        <f t="shared" si="231"/>
        <v>0</v>
      </c>
    </row>
    <row r="3624" spans="1:18">
      <c r="A3624" s="905"/>
      <c r="B3624" s="906"/>
      <c r="C3624" s="907">
        <v>740</v>
      </c>
      <c r="D3624" s="907" t="s">
        <v>12</v>
      </c>
      <c r="E3624" s="908" t="s">
        <v>4008</v>
      </c>
      <c r="F3624" s="909" t="s">
        <v>2674</v>
      </c>
      <c r="G3624" s="910"/>
      <c r="H3624" s="911">
        <v>0.44</v>
      </c>
      <c r="I3624" s="912"/>
      <c r="J3624" s="912"/>
      <c r="K3624" s="912">
        <f>VLOOKUP(E3624,[5]ĐMNC!$A$7:$F$67,4,0)</f>
        <v>221125</v>
      </c>
      <c r="L3624" s="912">
        <f>H3624*K3624</f>
        <v>97295</v>
      </c>
      <c r="M3624" s="912"/>
      <c r="N3624" s="912"/>
      <c r="O3624" s="892">
        <f t="shared" si="228"/>
        <v>0</v>
      </c>
      <c r="P3624" s="903">
        <f t="shared" si="229"/>
        <v>1</v>
      </c>
      <c r="Q3624" s="893">
        <f t="shared" si="230"/>
        <v>1</v>
      </c>
      <c r="R3624" s="894">
        <f t="shared" si="231"/>
        <v>0</v>
      </c>
    </row>
    <row r="3625" spans="1:18" s="847" customFormat="1">
      <c r="A3625" s="905"/>
      <c r="B3625" s="914" t="s">
        <v>5311</v>
      </c>
      <c r="C3625" s="915"/>
      <c r="D3625" s="915"/>
      <c r="E3625" s="929" t="s">
        <v>5312</v>
      </c>
      <c r="F3625" s="917" t="s">
        <v>139</v>
      </c>
      <c r="G3625" s="918"/>
      <c r="H3625" s="919"/>
      <c r="I3625" s="920"/>
      <c r="J3625" s="891">
        <f>SUM(J3626:J3627)</f>
        <v>0</v>
      </c>
      <c r="K3625" s="891"/>
      <c r="L3625" s="891">
        <f>SUM(L3626:L3627)</f>
        <v>44225</v>
      </c>
      <c r="M3625" s="891"/>
      <c r="N3625" s="891">
        <f>SUM(N3626:N3627)</f>
        <v>0</v>
      </c>
      <c r="O3625" s="892">
        <f t="shared" si="228"/>
        <v>1</v>
      </c>
      <c r="P3625" s="903">
        <f t="shared" si="229"/>
        <v>0</v>
      </c>
      <c r="Q3625" s="893">
        <f t="shared" si="230"/>
        <v>0</v>
      </c>
      <c r="R3625" s="894">
        <f t="shared" si="231"/>
        <v>2</v>
      </c>
    </row>
    <row r="3626" spans="1:18" s="904" customFormat="1">
      <c r="A3626" s="895"/>
      <c r="B3626" s="896"/>
      <c r="C3626" s="897"/>
      <c r="D3626" s="897"/>
      <c r="E3626" s="924" t="s">
        <v>276</v>
      </c>
      <c r="F3626" s="927"/>
      <c r="G3626" s="928"/>
      <c r="H3626" s="901"/>
      <c r="I3626" s="902"/>
      <c r="J3626" s="902"/>
      <c r="K3626" s="912" t="s">
        <v>274</v>
      </c>
      <c r="L3626" s="902"/>
      <c r="M3626" s="902"/>
      <c r="N3626" s="902"/>
      <c r="O3626" s="892">
        <f t="shared" si="228"/>
        <v>0</v>
      </c>
      <c r="P3626" s="903">
        <f t="shared" si="229"/>
        <v>1</v>
      </c>
      <c r="Q3626" s="893">
        <f t="shared" si="230"/>
        <v>2</v>
      </c>
      <c r="R3626" s="894">
        <f t="shared" si="231"/>
        <v>0</v>
      </c>
    </row>
    <row r="3627" spans="1:18">
      <c r="A3627" s="905"/>
      <c r="B3627" s="906"/>
      <c r="C3627" s="907">
        <v>740</v>
      </c>
      <c r="D3627" s="907" t="s">
        <v>12</v>
      </c>
      <c r="E3627" s="908" t="s">
        <v>4008</v>
      </c>
      <c r="F3627" s="909" t="s">
        <v>2674</v>
      </c>
      <c r="G3627" s="910"/>
      <c r="H3627" s="911">
        <v>0.2</v>
      </c>
      <c r="I3627" s="912"/>
      <c r="J3627" s="912"/>
      <c r="K3627" s="912">
        <f>VLOOKUP(E3627,[5]ĐMNC!$A$7:$F$67,4,0)</f>
        <v>221125</v>
      </c>
      <c r="L3627" s="912">
        <f>H3627*K3627</f>
        <v>44225</v>
      </c>
      <c r="M3627" s="912"/>
      <c r="N3627" s="912"/>
      <c r="O3627" s="892">
        <f t="shared" si="228"/>
        <v>0</v>
      </c>
      <c r="P3627" s="903">
        <f t="shared" si="229"/>
        <v>1</v>
      </c>
      <c r="Q3627" s="893">
        <f t="shared" si="230"/>
        <v>1</v>
      </c>
      <c r="R3627" s="894">
        <f t="shared" si="231"/>
        <v>0</v>
      </c>
    </row>
    <row r="3628" spans="1:18" s="847" customFormat="1">
      <c r="A3628" s="905"/>
      <c r="B3628" s="914" t="s">
        <v>5313</v>
      </c>
      <c r="C3628" s="915"/>
      <c r="D3628" s="915"/>
      <c r="E3628" s="916" t="s">
        <v>5314</v>
      </c>
      <c r="F3628" s="917" t="s">
        <v>139</v>
      </c>
      <c r="G3628" s="918"/>
      <c r="H3628" s="919"/>
      <c r="I3628" s="920"/>
      <c r="J3628" s="891">
        <f>SUM(J3629:J3630)</f>
        <v>0</v>
      </c>
      <c r="K3628" s="891"/>
      <c r="L3628" s="891">
        <f>SUM(L3629:L3630)</f>
        <v>110562.5</v>
      </c>
      <c r="M3628" s="891"/>
      <c r="N3628" s="891">
        <f>SUM(N3629:N3630)</f>
        <v>0</v>
      </c>
      <c r="O3628" s="892">
        <f t="shared" si="228"/>
        <v>1</v>
      </c>
      <c r="P3628" s="903">
        <f t="shared" si="229"/>
        <v>0</v>
      </c>
      <c r="Q3628" s="893">
        <f t="shared" si="230"/>
        <v>0</v>
      </c>
      <c r="R3628" s="894">
        <f t="shared" si="231"/>
        <v>2</v>
      </c>
    </row>
    <row r="3629" spans="1:18" s="904" customFormat="1">
      <c r="A3629" s="895"/>
      <c r="B3629" s="922"/>
      <c r="C3629" s="897"/>
      <c r="D3629" s="897"/>
      <c r="E3629" s="924" t="s">
        <v>276</v>
      </c>
      <c r="F3629" s="927"/>
      <c r="G3629" s="928"/>
      <c r="H3629" s="901"/>
      <c r="I3629" s="902"/>
      <c r="J3629" s="902"/>
      <c r="K3629" s="912" t="s">
        <v>274</v>
      </c>
      <c r="L3629" s="902"/>
      <c r="M3629" s="902"/>
      <c r="N3629" s="902"/>
      <c r="O3629" s="892">
        <f t="shared" si="228"/>
        <v>0</v>
      </c>
      <c r="P3629" s="903">
        <f t="shared" si="229"/>
        <v>1</v>
      </c>
      <c r="Q3629" s="893">
        <f t="shared" si="230"/>
        <v>2</v>
      </c>
      <c r="R3629" s="894">
        <f t="shared" si="231"/>
        <v>0</v>
      </c>
    </row>
    <row r="3630" spans="1:18">
      <c r="A3630" s="905"/>
      <c r="B3630" s="906"/>
      <c r="C3630" s="907">
        <v>740</v>
      </c>
      <c r="D3630" s="907" t="s">
        <v>12</v>
      </c>
      <c r="E3630" s="908" t="s">
        <v>4008</v>
      </c>
      <c r="F3630" s="909" t="s">
        <v>2674</v>
      </c>
      <c r="G3630" s="910"/>
      <c r="H3630" s="911">
        <v>0.5</v>
      </c>
      <c r="I3630" s="912"/>
      <c r="J3630" s="912"/>
      <c r="K3630" s="912">
        <f>VLOOKUP(E3630,[5]ĐMNC!$A$7:$F$67,4,0)</f>
        <v>221125</v>
      </c>
      <c r="L3630" s="912">
        <f>H3630*K3630</f>
        <v>110562.5</v>
      </c>
      <c r="M3630" s="912"/>
      <c r="N3630" s="912"/>
      <c r="O3630" s="892">
        <f t="shared" si="228"/>
        <v>0</v>
      </c>
      <c r="P3630" s="903">
        <f t="shared" si="229"/>
        <v>1</v>
      </c>
      <c r="Q3630" s="893">
        <f t="shared" si="230"/>
        <v>1</v>
      </c>
      <c r="R3630" s="894">
        <f t="shared" si="231"/>
        <v>0</v>
      </c>
    </row>
    <row r="3631" spans="1:18" s="847" customFormat="1">
      <c r="A3631" s="905"/>
      <c r="B3631" s="914" t="s">
        <v>5315</v>
      </c>
      <c r="C3631" s="915"/>
      <c r="D3631" s="915"/>
      <c r="E3631" s="916" t="s">
        <v>5316</v>
      </c>
      <c r="F3631" s="917" t="s">
        <v>139</v>
      </c>
      <c r="G3631" s="918"/>
      <c r="H3631" s="919"/>
      <c r="I3631" s="920"/>
      <c r="J3631" s="891">
        <f>SUM(J3632:J3633)</f>
        <v>0</v>
      </c>
      <c r="K3631" s="891"/>
      <c r="L3631" s="891">
        <f>SUM(L3632:L3633)</f>
        <v>121618.75000000001</v>
      </c>
      <c r="M3631" s="891"/>
      <c r="N3631" s="891">
        <f>SUM(N3632:N3633)</f>
        <v>0</v>
      </c>
      <c r="O3631" s="892">
        <f t="shared" si="228"/>
        <v>1</v>
      </c>
      <c r="P3631" s="903">
        <f t="shared" si="229"/>
        <v>0</v>
      </c>
      <c r="Q3631" s="893">
        <f t="shared" si="230"/>
        <v>0</v>
      </c>
      <c r="R3631" s="894">
        <f t="shared" si="231"/>
        <v>2</v>
      </c>
    </row>
    <row r="3632" spans="1:18" s="904" customFormat="1">
      <c r="A3632" s="895"/>
      <c r="B3632" s="896"/>
      <c r="C3632" s="897"/>
      <c r="D3632" s="897"/>
      <c r="E3632" s="924" t="s">
        <v>276</v>
      </c>
      <c r="F3632" s="927"/>
      <c r="G3632" s="928"/>
      <c r="H3632" s="901"/>
      <c r="I3632" s="902"/>
      <c r="J3632" s="902"/>
      <c r="K3632" s="912" t="s">
        <v>274</v>
      </c>
      <c r="L3632" s="902"/>
      <c r="M3632" s="902"/>
      <c r="N3632" s="902"/>
      <c r="O3632" s="892">
        <f t="shared" si="228"/>
        <v>0</v>
      </c>
      <c r="P3632" s="903">
        <f t="shared" si="229"/>
        <v>1</v>
      </c>
      <c r="Q3632" s="893">
        <f t="shared" si="230"/>
        <v>2</v>
      </c>
      <c r="R3632" s="894">
        <f t="shared" si="231"/>
        <v>0</v>
      </c>
    </row>
    <row r="3633" spans="1:18">
      <c r="A3633" s="905"/>
      <c r="B3633" s="906"/>
      <c r="C3633" s="907">
        <v>740</v>
      </c>
      <c r="D3633" s="907" t="s">
        <v>12</v>
      </c>
      <c r="E3633" s="908" t="s">
        <v>4008</v>
      </c>
      <c r="F3633" s="909" t="s">
        <v>2674</v>
      </c>
      <c r="G3633" s="910"/>
      <c r="H3633" s="911">
        <v>0.55000000000000004</v>
      </c>
      <c r="I3633" s="912"/>
      <c r="J3633" s="912"/>
      <c r="K3633" s="912">
        <f>VLOOKUP(E3633,[5]ĐMNC!$A$7:$F$67,4,0)</f>
        <v>221125</v>
      </c>
      <c r="L3633" s="912">
        <f>H3633*K3633</f>
        <v>121618.75000000001</v>
      </c>
      <c r="M3633" s="912"/>
      <c r="N3633" s="912"/>
      <c r="O3633" s="892">
        <f t="shared" si="228"/>
        <v>0</v>
      </c>
      <c r="P3633" s="903">
        <f t="shared" si="229"/>
        <v>1</v>
      </c>
      <c r="Q3633" s="893">
        <f t="shared" si="230"/>
        <v>1</v>
      </c>
      <c r="R3633" s="894">
        <f t="shared" si="231"/>
        <v>0</v>
      </c>
    </row>
    <row r="3634" spans="1:18" s="847" customFormat="1">
      <c r="A3634" s="905"/>
      <c r="B3634" s="914" t="s">
        <v>5317</v>
      </c>
      <c r="C3634" s="915"/>
      <c r="D3634" s="915"/>
      <c r="E3634" s="916" t="s">
        <v>5318</v>
      </c>
      <c r="F3634" s="917" t="s">
        <v>139</v>
      </c>
      <c r="G3634" s="918"/>
      <c r="H3634" s="919"/>
      <c r="I3634" s="920"/>
      <c r="J3634" s="891">
        <f>SUM(J3635:J3636)</f>
        <v>0</v>
      </c>
      <c r="K3634" s="891"/>
      <c r="L3634" s="891">
        <f>SUM(L3635:L3636)</f>
        <v>134886.25</v>
      </c>
      <c r="M3634" s="891"/>
      <c r="N3634" s="891">
        <f>SUM(N3635:N3636)</f>
        <v>0</v>
      </c>
      <c r="O3634" s="892">
        <f t="shared" si="228"/>
        <v>1</v>
      </c>
      <c r="P3634" s="903">
        <f t="shared" si="229"/>
        <v>0</v>
      </c>
      <c r="Q3634" s="893">
        <f t="shared" si="230"/>
        <v>0</v>
      </c>
      <c r="R3634" s="894">
        <f t="shared" si="231"/>
        <v>2</v>
      </c>
    </row>
    <row r="3635" spans="1:18" s="904" customFormat="1">
      <c r="A3635" s="895"/>
      <c r="B3635" s="896"/>
      <c r="C3635" s="897"/>
      <c r="D3635" s="897"/>
      <c r="E3635" s="924" t="s">
        <v>276</v>
      </c>
      <c r="F3635" s="927"/>
      <c r="G3635" s="928"/>
      <c r="H3635" s="901"/>
      <c r="I3635" s="902"/>
      <c r="J3635" s="902"/>
      <c r="K3635" s="912" t="s">
        <v>274</v>
      </c>
      <c r="L3635" s="902"/>
      <c r="M3635" s="902"/>
      <c r="N3635" s="902"/>
      <c r="O3635" s="892">
        <f t="shared" si="228"/>
        <v>0</v>
      </c>
      <c r="P3635" s="903">
        <f t="shared" si="229"/>
        <v>1</v>
      </c>
      <c r="Q3635" s="893">
        <f t="shared" si="230"/>
        <v>2</v>
      </c>
      <c r="R3635" s="894">
        <f t="shared" si="231"/>
        <v>0</v>
      </c>
    </row>
    <row r="3636" spans="1:18">
      <c r="A3636" s="905"/>
      <c r="B3636" s="906"/>
      <c r="C3636" s="907">
        <v>740</v>
      </c>
      <c r="D3636" s="907" t="s">
        <v>12</v>
      </c>
      <c r="E3636" s="908" t="s">
        <v>4008</v>
      </c>
      <c r="F3636" s="909" t="s">
        <v>2674</v>
      </c>
      <c r="G3636" s="910"/>
      <c r="H3636" s="911">
        <v>0.61</v>
      </c>
      <c r="I3636" s="912"/>
      <c r="J3636" s="912"/>
      <c r="K3636" s="912">
        <f>VLOOKUP(E3636,[5]ĐMNC!$A$7:$F$67,4,0)</f>
        <v>221125</v>
      </c>
      <c r="L3636" s="912">
        <f>H3636*K3636</f>
        <v>134886.25</v>
      </c>
      <c r="M3636" s="912"/>
      <c r="N3636" s="912"/>
      <c r="O3636" s="892">
        <f t="shared" si="228"/>
        <v>0</v>
      </c>
      <c r="P3636" s="903">
        <f t="shared" si="229"/>
        <v>1</v>
      </c>
      <c r="Q3636" s="893">
        <f t="shared" si="230"/>
        <v>1</v>
      </c>
      <c r="R3636" s="894">
        <f t="shared" si="231"/>
        <v>0</v>
      </c>
    </row>
    <row r="3637" spans="1:18" s="847" customFormat="1">
      <c r="A3637" s="905"/>
      <c r="B3637" s="914" t="s">
        <v>5319</v>
      </c>
      <c r="C3637" s="915"/>
      <c r="D3637" s="915"/>
      <c r="E3637" s="916" t="s">
        <v>5320</v>
      </c>
      <c r="F3637" s="917" t="s">
        <v>139</v>
      </c>
      <c r="G3637" s="918"/>
      <c r="H3637" s="919"/>
      <c r="I3637" s="920"/>
      <c r="J3637" s="891">
        <f>SUM(J3638:J3639)</f>
        <v>0</v>
      </c>
      <c r="K3637" s="891"/>
      <c r="L3637" s="891">
        <f>SUM(L3638:L3639)</f>
        <v>148153.75</v>
      </c>
      <c r="M3637" s="891"/>
      <c r="N3637" s="891">
        <f>SUM(N3638:N3639)</f>
        <v>0</v>
      </c>
      <c r="O3637" s="892">
        <f t="shared" si="228"/>
        <v>1</v>
      </c>
      <c r="P3637" s="903">
        <f t="shared" si="229"/>
        <v>0</v>
      </c>
      <c r="Q3637" s="893">
        <f t="shared" si="230"/>
        <v>0</v>
      </c>
      <c r="R3637" s="894">
        <f t="shared" si="231"/>
        <v>2</v>
      </c>
    </row>
    <row r="3638" spans="1:18" s="904" customFormat="1">
      <c r="A3638" s="895"/>
      <c r="B3638" s="896"/>
      <c r="C3638" s="897"/>
      <c r="D3638" s="897"/>
      <c r="E3638" s="924" t="s">
        <v>276</v>
      </c>
      <c r="F3638" s="927"/>
      <c r="G3638" s="928"/>
      <c r="H3638" s="901"/>
      <c r="I3638" s="902"/>
      <c r="J3638" s="902"/>
      <c r="K3638" s="912" t="s">
        <v>274</v>
      </c>
      <c r="L3638" s="902"/>
      <c r="M3638" s="902"/>
      <c r="N3638" s="902"/>
      <c r="O3638" s="892">
        <f t="shared" si="228"/>
        <v>0</v>
      </c>
      <c r="P3638" s="903">
        <f t="shared" si="229"/>
        <v>1</v>
      </c>
      <c r="Q3638" s="893">
        <f t="shared" si="230"/>
        <v>2</v>
      </c>
      <c r="R3638" s="894">
        <f t="shared" si="231"/>
        <v>0</v>
      </c>
    </row>
    <row r="3639" spans="1:18">
      <c r="A3639" s="905"/>
      <c r="B3639" s="906"/>
      <c r="C3639" s="907">
        <v>740</v>
      </c>
      <c r="D3639" s="907" t="s">
        <v>12</v>
      </c>
      <c r="E3639" s="908" t="s">
        <v>4008</v>
      </c>
      <c r="F3639" s="909" t="s">
        <v>2674</v>
      </c>
      <c r="G3639" s="910"/>
      <c r="H3639" s="911">
        <v>0.67</v>
      </c>
      <c r="I3639" s="912"/>
      <c r="J3639" s="912"/>
      <c r="K3639" s="912">
        <f>VLOOKUP(E3639,[5]ĐMNC!$A$7:$F$67,4,0)</f>
        <v>221125</v>
      </c>
      <c r="L3639" s="912">
        <f>H3639*K3639</f>
        <v>148153.75</v>
      </c>
      <c r="M3639" s="912"/>
      <c r="N3639" s="912"/>
      <c r="O3639" s="892">
        <f t="shared" si="228"/>
        <v>0</v>
      </c>
      <c r="P3639" s="903">
        <f t="shared" si="229"/>
        <v>1</v>
      </c>
      <c r="Q3639" s="893">
        <f t="shared" si="230"/>
        <v>1</v>
      </c>
      <c r="R3639" s="894">
        <f t="shared" si="231"/>
        <v>0</v>
      </c>
    </row>
    <row r="3640" spans="1:18" s="847" customFormat="1">
      <c r="A3640" s="905"/>
      <c r="B3640" s="914" t="s">
        <v>5321</v>
      </c>
      <c r="C3640" s="915"/>
      <c r="D3640" s="915"/>
      <c r="E3640" s="916" t="s">
        <v>5322</v>
      </c>
      <c r="F3640" s="917" t="s">
        <v>139</v>
      </c>
      <c r="G3640" s="918"/>
      <c r="H3640" s="919"/>
      <c r="I3640" s="920"/>
      <c r="J3640" s="891">
        <f>SUM(J3641:J3642)</f>
        <v>0</v>
      </c>
      <c r="K3640" s="891"/>
      <c r="L3640" s="891">
        <f>SUM(L3641:L3642)</f>
        <v>161421.25</v>
      </c>
      <c r="M3640" s="891"/>
      <c r="N3640" s="891">
        <f>SUM(N3641:N3642)</f>
        <v>0</v>
      </c>
      <c r="O3640" s="892">
        <f t="shared" si="228"/>
        <v>1</v>
      </c>
      <c r="P3640" s="903">
        <f t="shared" si="229"/>
        <v>0</v>
      </c>
      <c r="Q3640" s="893">
        <f t="shared" si="230"/>
        <v>0</v>
      </c>
      <c r="R3640" s="894">
        <f t="shared" si="231"/>
        <v>2</v>
      </c>
    </row>
    <row r="3641" spans="1:18" s="904" customFormat="1">
      <c r="A3641" s="895"/>
      <c r="B3641" s="896"/>
      <c r="C3641" s="897"/>
      <c r="D3641" s="897"/>
      <c r="E3641" s="924" t="s">
        <v>276</v>
      </c>
      <c r="F3641" s="927"/>
      <c r="G3641" s="928"/>
      <c r="H3641" s="901"/>
      <c r="I3641" s="902"/>
      <c r="J3641" s="902"/>
      <c r="K3641" s="912" t="s">
        <v>274</v>
      </c>
      <c r="L3641" s="902"/>
      <c r="M3641" s="902"/>
      <c r="N3641" s="902"/>
      <c r="O3641" s="892">
        <f t="shared" si="228"/>
        <v>0</v>
      </c>
      <c r="P3641" s="903">
        <f t="shared" si="229"/>
        <v>1</v>
      </c>
      <c r="Q3641" s="893">
        <f t="shared" si="230"/>
        <v>2</v>
      </c>
      <c r="R3641" s="894">
        <f t="shared" si="231"/>
        <v>0</v>
      </c>
    </row>
    <row r="3642" spans="1:18">
      <c r="A3642" s="905"/>
      <c r="B3642" s="906"/>
      <c r="C3642" s="907">
        <v>740</v>
      </c>
      <c r="D3642" s="907" t="s">
        <v>12</v>
      </c>
      <c r="E3642" s="908" t="s">
        <v>4008</v>
      </c>
      <c r="F3642" s="909" t="s">
        <v>2674</v>
      </c>
      <c r="G3642" s="910"/>
      <c r="H3642" s="911">
        <v>0.73</v>
      </c>
      <c r="I3642" s="912"/>
      <c r="J3642" s="912"/>
      <c r="K3642" s="912">
        <f>VLOOKUP(E3642,[5]ĐMNC!$A$7:$F$67,4,0)</f>
        <v>221125</v>
      </c>
      <c r="L3642" s="912">
        <f>H3642*K3642</f>
        <v>161421.25</v>
      </c>
      <c r="M3642" s="912"/>
      <c r="N3642" s="912"/>
      <c r="O3642" s="892">
        <f t="shared" si="228"/>
        <v>0</v>
      </c>
      <c r="P3642" s="903">
        <f t="shared" si="229"/>
        <v>1</v>
      </c>
      <c r="Q3642" s="893">
        <f t="shared" si="230"/>
        <v>1</v>
      </c>
      <c r="R3642" s="894">
        <f t="shared" si="231"/>
        <v>0</v>
      </c>
    </row>
    <row r="3643" spans="1:18" s="847" customFormat="1">
      <c r="A3643" s="905"/>
      <c r="B3643" s="914" t="s">
        <v>5323</v>
      </c>
      <c r="C3643" s="915"/>
      <c r="D3643" s="915"/>
      <c r="E3643" s="916" t="s">
        <v>5324</v>
      </c>
      <c r="F3643" s="917" t="s">
        <v>139</v>
      </c>
      <c r="G3643" s="918"/>
      <c r="H3643" s="919"/>
      <c r="I3643" s="920"/>
      <c r="J3643" s="891">
        <f>SUM(J3644:J3645)</f>
        <v>0</v>
      </c>
      <c r="K3643" s="891"/>
      <c r="L3643" s="891">
        <f>SUM(L3644:L3645)</f>
        <v>179111.25</v>
      </c>
      <c r="M3643" s="891"/>
      <c r="N3643" s="891">
        <f>SUM(N3644:N3645)</f>
        <v>0</v>
      </c>
      <c r="O3643" s="892">
        <f t="shared" si="228"/>
        <v>1</v>
      </c>
      <c r="P3643" s="903">
        <f t="shared" si="229"/>
        <v>0</v>
      </c>
      <c r="Q3643" s="893">
        <f t="shared" si="230"/>
        <v>0</v>
      </c>
      <c r="R3643" s="894">
        <f t="shared" si="231"/>
        <v>2</v>
      </c>
    </row>
    <row r="3644" spans="1:18" s="904" customFormat="1">
      <c r="A3644" s="895"/>
      <c r="B3644" s="896"/>
      <c r="C3644" s="897"/>
      <c r="D3644" s="897"/>
      <c r="E3644" s="924" t="s">
        <v>276</v>
      </c>
      <c r="F3644" s="927"/>
      <c r="G3644" s="928"/>
      <c r="H3644" s="901"/>
      <c r="I3644" s="902"/>
      <c r="J3644" s="902"/>
      <c r="K3644" s="912" t="s">
        <v>274</v>
      </c>
      <c r="L3644" s="902"/>
      <c r="M3644" s="902"/>
      <c r="N3644" s="902"/>
      <c r="O3644" s="892">
        <f t="shared" si="228"/>
        <v>0</v>
      </c>
      <c r="P3644" s="903">
        <f t="shared" si="229"/>
        <v>1</v>
      </c>
      <c r="Q3644" s="893">
        <f t="shared" si="230"/>
        <v>2</v>
      </c>
      <c r="R3644" s="894">
        <f t="shared" si="231"/>
        <v>0</v>
      </c>
    </row>
    <row r="3645" spans="1:18">
      <c r="A3645" s="905"/>
      <c r="B3645" s="906"/>
      <c r="C3645" s="907">
        <v>740</v>
      </c>
      <c r="D3645" s="907" t="s">
        <v>12</v>
      </c>
      <c r="E3645" s="908" t="s">
        <v>4008</v>
      </c>
      <c r="F3645" s="909" t="s">
        <v>2674</v>
      </c>
      <c r="G3645" s="910"/>
      <c r="H3645" s="911">
        <v>0.81</v>
      </c>
      <c r="I3645" s="912"/>
      <c r="J3645" s="912"/>
      <c r="K3645" s="912">
        <f>VLOOKUP(E3645,[5]ĐMNC!$A$7:$F$67,4,0)</f>
        <v>221125</v>
      </c>
      <c r="L3645" s="912">
        <f>H3645*K3645</f>
        <v>179111.25</v>
      </c>
      <c r="M3645" s="912"/>
      <c r="N3645" s="912"/>
      <c r="O3645" s="892">
        <f t="shared" si="228"/>
        <v>0</v>
      </c>
      <c r="P3645" s="903">
        <f t="shared" si="229"/>
        <v>1</v>
      </c>
      <c r="Q3645" s="893">
        <f t="shared" si="230"/>
        <v>1</v>
      </c>
      <c r="R3645" s="894">
        <f t="shared" si="231"/>
        <v>0</v>
      </c>
    </row>
    <row r="3646" spans="1:18" s="847" customFormat="1">
      <c r="A3646" s="905"/>
      <c r="B3646" s="914" t="s">
        <v>5325</v>
      </c>
      <c r="C3646" s="915"/>
      <c r="D3646" s="915"/>
      <c r="E3646" s="916" t="s">
        <v>5326</v>
      </c>
      <c r="F3646" s="917" t="s">
        <v>139</v>
      </c>
      <c r="G3646" s="918"/>
      <c r="H3646" s="919"/>
      <c r="I3646" s="920"/>
      <c r="J3646" s="891">
        <f>SUM(J3647:J3648)</f>
        <v>0</v>
      </c>
      <c r="K3646" s="891"/>
      <c r="L3646" s="891">
        <f>SUM(L3647:L3648)</f>
        <v>196801.25</v>
      </c>
      <c r="M3646" s="891"/>
      <c r="N3646" s="891">
        <f>SUM(N3647:N3648)</f>
        <v>0</v>
      </c>
      <c r="O3646" s="892">
        <f t="shared" si="228"/>
        <v>1</v>
      </c>
      <c r="P3646" s="903">
        <f t="shared" si="229"/>
        <v>0</v>
      </c>
      <c r="Q3646" s="893">
        <f t="shared" si="230"/>
        <v>0</v>
      </c>
      <c r="R3646" s="894">
        <f t="shared" si="231"/>
        <v>2</v>
      </c>
    </row>
    <row r="3647" spans="1:18" s="904" customFormat="1">
      <c r="A3647" s="895"/>
      <c r="B3647" s="896"/>
      <c r="C3647" s="897"/>
      <c r="D3647" s="897"/>
      <c r="E3647" s="924" t="s">
        <v>276</v>
      </c>
      <c r="F3647" s="927"/>
      <c r="G3647" s="928"/>
      <c r="H3647" s="901"/>
      <c r="I3647" s="902"/>
      <c r="J3647" s="902"/>
      <c r="K3647" s="912" t="s">
        <v>274</v>
      </c>
      <c r="L3647" s="902"/>
      <c r="M3647" s="902"/>
      <c r="N3647" s="902"/>
      <c r="O3647" s="892">
        <f t="shared" si="228"/>
        <v>0</v>
      </c>
      <c r="P3647" s="903">
        <f t="shared" si="229"/>
        <v>1</v>
      </c>
      <c r="Q3647" s="893">
        <f t="shared" si="230"/>
        <v>2</v>
      </c>
      <c r="R3647" s="894">
        <f t="shared" si="231"/>
        <v>0</v>
      </c>
    </row>
    <row r="3648" spans="1:18">
      <c r="A3648" s="905"/>
      <c r="B3648" s="906"/>
      <c r="C3648" s="907">
        <v>740</v>
      </c>
      <c r="D3648" s="907" t="s">
        <v>12</v>
      </c>
      <c r="E3648" s="908" t="s">
        <v>4008</v>
      </c>
      <c r="F3648" s="909" t="s">
        <v>2674</v>
      </c>
      <c r="G3648" s="910"/>
      <c r="H3648" s="911">
        <v>0.89</v>
      </c>
      <c r="I3648" s="912"/>
      <c r="J3648" s="912"/>
      <c r="K3648" s="912">
        <f>VLOOKUP(E3648,[5]ĐMNC!$A$7:$F$67,4,0)</f>
        <v>221125</v>
      </c>
      <c r="L3648" s="912">
        <f>H3648*K3648</f>
        <v>196801.25</v>
      </c>
      <c r="M3648" s="912"/>
      <c r="N3648" s="912"/>
      <c r="O3648" s="892">
        <f t="shared" si="228"/>
        <v>0</v>
      </c>
      <c r="P3648" s="903">
        <f t="shared" si="229"/>
        <v>1</v>
      </c>
      <c r="Q3648" s="893">
        <f t="shared" si="230"/>
        <v>1</v>
      </c>
      <c r="R3648" s="894">
        <f t="shared" si="231"/>
        <v>0</v>
      </c>
    </row>
    <row r="3649" spans="1:18" s="847" customFormat="1">
      <c r="A3649" s="905"/>
      <c r="B3649" s="914" t="s">
        <v>5327</v>
      </c>
      <c r="C3649" s="915"/>
      <c r="D3649" s="915"/>
      <c r="E3649" s="916" t="s">
        <v>5328</v>
      </c>
      <c r="F3649" s="917" t="s">
        <v>139</v>
      </c>
      <c r="G3649" s="918"/>
      <c r="H3649" s="919"/>
      <c r="I3649" s="920"/>
      <c r="J3649" s="891">
        <f>SUM(J3650:J3651)</f>
        <v>0</v>
      </c>
      <c r="K3649" s="891"/>
      <c r="L3649" s="891">
        <f>SUM(L3650:L3651)</f>
        <v>214491.25</v>
      </c>
      <c r="M3649" s="891"/>
      <c r="N3649" s="891">
        <f>SUM(N3650:N3651)</f>
        <v>0</v>
      </c>
      <c r="O3649" s="892">
        <f t="shared" si="228"/>
        <v>1</v>
      </c>
      <c r="P3649" s="903">
        <f t="shared" si="229"/>
        <v>0</v>
      </c>
      <c r="Q3649" s="893">
        <f t="shared" si="230"/>
        <v>0</v>
      </c>
      <c r="R3649" s="894">
        <f t="shared" si="231"/>
        <v>2</v>
      </c>
    </row>
    <row r="3650" spans="1:18" s="904" customFormat="1">
      <c r="A3650" s="895"/>
      <c r="B3650" s="896"/>
      <c r="C3650" s="897"/>
      <c r="D3650" s="897"/>
      <c r="E3650" s="924" t="s">
        <v>276</v>
      </c>
      <c r="F3650" s="927"/>
      <c r="G3650" s="928"/>
      <c r="H3650" s="901"/>
      <c r="I3650" s="902"/>
      <c r="J3650" s="902"/>
      <c r="K3650" s="912" t="s">
        <v>274</v>
      </c>
      <c r="L3650" s="902"/>
      <c r="M3650" s="902"/>
      <c r="N3650" s="902"/>
      <c r="O3650" s="892">
        <f t="shared" si="228"/>
        <v>0</v>
      </c>
      <c r="P3650" s="903">
        <f t="shared" si="229"/>
        <v>1</v>
      </c>
      <c r="Q3650" s="893">
        <f t="shared" si="230"/>
        <v>2</v>
      </c>
      <c r="R3650" s="894">
        <f t="shared" si="231"/>
        <v>0</v>
      </c>
    </row>
    <row r="3651" spans="1:18">
      <c r="A3651" s="905"/>
      <c r="B3651" s="906"/>
      <c r="C3651" s="907">
        <v>740</v>
      </c>
      <c r="D3651" s="907" t="s">
        <v>12</v>
      </c>
      <c r="E3651" s="908" t="s">
        <v>4008</v>
      </c>
      <c r="F3651" s="909" t="s">
        <v>2674</v>
      </c>
      <c r="G3651" s="910"/>
      <c r="H3651" s="911">
        <v>0.97</v>
      </c>
      <c r="I3651" s="912"/>
      <c r="J3651" s="912"/>
      <c r="K3651" s="912">
        <f>VLOOKUP(E3651,[5]ĐMNC!$A$7:$F$67,4,0)</f>
        <v>221125</v>
      </c>
      <c r="L3651" s="912">
        <f>H3651*K3651</f>
        <v>214491.25</v>
      </c>
      <c r="M3651" s="912"/>
      <c r="N3651" s="912"/>
      <c r="O3651" s="892">
        <f t="shared" si="228"/>
        <v>0</v>
      </c>
      <c r="P3651" s="903">
        <f t="shared" si="229"/>
        <v>1</v>
      </c>
      <c r="Q3651" s="893">
        <f t="shared" si="230"/>
        <v>1</v>
      </c>
      <c r="R3651" s="894">
        <f t="shared" si="231"/>
        <v>0</v>
      </c>
    </row>
    <row r="3652" spans="1:18" s="847" customFormat="1">
      <c r="A3652" s="905"/>
      <c r="B3652" s="914" t="s">
        <v>5329</v>
      </c>
      <c r="C3652" s="915"/>
      <c r="D3652" s="915"/>
      <c r="E3652" s="916" t="s">
        <v>5330</v>
      </c>
      <c r="F3652" s="917" t="s">
        <v>139</v>
      </c>
      <c r="G3652" s="918"/>
      <c r="H3652" s="919"/>
      <c r="I3652" s="920"/>
      <c r="J3652" s="891">
        <f>SUM(J3653:J3654)</f>
        <v>0</v>
      </c>
      <c r="K3652" s="891"/>
      <c r="L3652" s="891">
        <f>SUM(L3653:L3654)</f>
        <v>236603.75</v>
      </c>
      <c r="M3652" s="891"/>
      <c r="N3652" s="891">
        <f>SUM(N3653:N3654)</f>
        <v>0</v>
      </c>
      <c r="O3652" s="892">
        <f t="shared" si="228"/>
        <v>1</v>
      </c>
      <c r="P3652" s="903">
        <f t="shared" si="229"/>
        <v>0</v>
      </c>
      <c r="Q3652" s="893">
        <f t="shared" si="230"/>
        <v>0</v>
      </c>
      <c r="R3652" s="894">
        <f t="shared" si="231"/>
        <v>2</v>
      </c>
    </row>
    <row r="3653" spans="1:18" s="904" customFormat="1">
      <c r="A3653" s="895"/>
      <c r="B3653" s="896"/>
      <c r="C3653" s="897"/>
      <c r="D3653" s="897"/>
      <c r="E3653" s="924" t="s">
        <v>276</v>
      </c>
      <c r="F3653" s="927"/>
      <c r="G3653" s="928"/>
      <c r="H3653" s="901"/>
      <c r="I3653" s="902"/>
      <c r="J3653" s="902"/>
      <c r="K3653" s="912" t="s">
        <v>274</v>
      </c>
      <c r="L3653" s="902"/>
      <c r="M3653" s="902"/>
      <c r="N3653" s="902"/>
      <c r="O3653" s="892">
        <f t="shared" si="228"/>
        <v>0</v>
      </c>
      <c r="P3653" s="903">
        <f t="shared" si="229"/>
        <v>1</v>
      </c>
      <c r="Q3653" s="893">
        <f t="shared" si="230"/>
        <v>2</v>
      </c>
      <c r="R3653" s="894">
        <f t="shared" si="231"/>
        <v>0</v>
      </c>
    </row>
    <row r="3654" spans="1:18">
      <c r="A3654" s="905"/>
      <c r="B3654" s="906"/>
      <c r="C3654" s="907">
        <v>740</v>
      </c>
      <c r="D3654" s="907" t="s">
        <v>12</v>
      </c>
      <c r="E3654" s="908" t="s">
        <v>4008</v>
      </c>
      <c r="F3654" s="909" t="s">
        <v>2674</v>
      </c>
      <c r="G3654" s="910"/>
      <c r="H3654" s="911">
        <v>1.07</v>
      </c>
      <c r="I3654" s="912"/>
      <c r="J3654" s="912"/>
      <c r="K3654" s="912">
        <f>VLOOKUP(E3654,[5]ĐMNC!$A$7:$F$67,4,0)</f>
        <v>221125</v>
      </c>
      <c r="L3654" s="912">
        <f>H3654*K3654</f>
        <v>236603.75</v>
      </c>
      <c r="M3654" s="912"/>
      <c r="N3654" s="912"/>
      <c r="O3654" s="892">
        <f t="shared" si="228"/>
        <v>0</v>
      </c>
      <c r="P3654" s="903">
        <f t="shared" si="229"/>
        <v>1</v>
      </c>
      <c r="Q3654" s="893">
        <f t="shared" si="230"/>
        <v>1</v>
      </c>
      <c r="R3654" s="894">
        <f t="shared" si="231"/>
        <v>0</v>
      </c>
    </row>
    <row r="3655" spans="1:18" s="847" customFormat="1">
      <c r="A3655" s="905"/>
      <c r="B3655" s="914" t="s">
        <v>5331</v>
      </c>
      <c r="C3655" s="915"/>
      <c r="D3655" s="915"/>
      <c r="E3655" s="916" t="s">
        <v>5332</v>
      </c>
      <c r="F3655" s="917" t="s">
        <v>139</v>
      </c>
      <c r="G3655" s="918"/>
      <c r="H3655" s="919"/>
      <c r="I3655" s="920"/>
      <c r="J3655" s="891">
        <f>SUM(J3656:J3657)</f>
        <v>0</v>
      </c>
      <c r="K3655" s="891"/>
      <c r="L3655" s="891">
        <f>SUM(L3656:L3657)</f>
        <v>552812.5</v>
      </c>
      <c r="M3655" s="891"/>
      <c r="N3655" s="891">
        <f>SUM(N3656:N3657)</f>
        <v>0</v>
      </c>
      <c r="O3655" s="892">
        <f t="shared" si="228"/>
        <v>1</v>
      </c>
      <c r="P3655" s="903">
        <f t="shared" si="229"/>
        <v>0</v>
      </c>
      <c r="Q3655" s="893">
        <f t="shared" si="230"/>
        <v>0</v>
      </c>
      <c r="R3655" s="894">
        <f t="shared" si="231"/>
        <v>2</v>
      </c>
    </row>
    <row r="3656" spans="1:18" s="904" customFormat="1">
      <c r="A3656" s="895"/>
      <c r="B3656" s="922"/>
      <c r="C3656" s="897"/>
      <c r="D3656" s="897"/>
      <c r="E3656" s="924" t="s">
        <v>276</v>
      </c>
      <c r="F3656" s="927"/>
      <c r="G3656" s="928"/>
      <c r="H3656" s="901"/>
      <c r="I3656" s="902"/>
      <c r="J3656" s="902"/>
      <c r="K3656" s="912" t="s">
        <v>274</v>
      </c>
      <c r="L3656" s="902"/>
      <c r="M3656" s="902"/>
      <c r="N3656" s="902"/>
      <c r="O3656" s="892">
        <f t="shared" si="228"/>
        <v>0</v>
      </c>
      <c r="P3656" s="903">
        <f t="shared" si="229"/>
        <v>1</v>
      </c>
      <c r="Q3656" s="893">
        <f t="shared" si="230"/>
        <v>2</v>
      </c>
      <c r="R3656" s="894">
        <f t="shared" si="231"/>
        <v>0</v>
      </c>
    </row>
    <row r="3657" spans="1:18">
      <c r="A3657" s="905"/>
      <c r="B3657" s="914"/>
      <c r="C3657" s="907">
        <v>740</v>
      </c>
      <c r="D3657" s="907" t="s">
        <v>12</v>
      </c>
      <c r="E3657" s="908" t="s">
        <v>4008</v>
      </c>
      <c r="F3657" s="909" t="s">
        <v>2674</v>
      </c>
      <c r="G3657" s="910"/>
      <c r="H3657" s="911">
        <v>2.5</v>
      </c>
      <c r="I3657" s="912"/>
      <c r="J3657" s="912"/>
      <c r="K3657" s="912">
        <f>VLOOKUP(E3657,[5]ĐMNC!$A$7:$F$67,4,0)</f>
        <v>221125</v>
      </c>
      <c r="L3657" s="912">
        <f>H3657*K3657</f>
        <v>552812.5</v>
      </c>
      <c r="M3657" s="912"/>
      <c r="N3657" s="912"/>
      <c r="O3657" s="892">
        <f t="shared" si="228"/>
        <v>0</v>
      </c>
      <c r="P3657" s="903">
        <f t="shared" si="229"/>
        <v>1</v>
      </c>
      <c r="Q3657" s="893">
        <f t="shared" si="230"/>
        <v>1</v>
      </c>
      <c r="R3657" s="894">
        <f t="shared" si="231"/>
        <v>0</v>
      </c>
    </row>
    <row r="3658" spans="1:18" s="847" customFormat="1">
      <c r="A3658" s="905"/>
      <c r="B3658" s="914" t="s">
        <v>5333</v>
      </c>
      <c r="C3658" s="915"/>
      <c r="D3658" s="915"/>
      <c r="E3658" s="916" t="s">
        <v>5334</v>
      </c>
      <c r="F3658" s="917" t="s">
        <v>139</v>
      </c>
      <c r="G3658" s="918"/>
      <c r="H3658" s="919"/>
      <c r="I3658" s="920"/>
      <c r="J3658" s="891">
        <f>SUM(J3659:J3660)</f>
        <v>0</v>
      </c>
      <c r="K3658" s="891"/>
      <c r="L3658" s="891">
        <f>SUM(L3659:L3660)</f>
        <v>581558.75</v>
      </c>
      <c r="M3658" s="891"/>
      <c r="N3658" s="891">
        <f>SUM(N3659:N3660)</f>
        <v>0</v>
      </c>
      <c r="O3658" s="892">
        <f t="shared" si="228"/>
        <v>1</v>
      </c>
      <c r="P3658" s="903">
        <f t="shared" si="229"/>
        <v>0</v>
      </c>
      <c r="Q3658" s="893">
        <f t="shared" si="230"/>
        <v>0</v>
      </c>
      <c r="R3658" s="894">
        <f t="shared" si="231"/>
        <v>2</v>
      </c>
    </row>
    <row r="3659" spans="1:18" s="904" customFormat="1">
      <c r="A3659" s="895"/>
      <c r="B3659" s="922"/>
      <c r="C3659" s="897"/>
      <c r="D3659" s="897"/>
      <c r="E3659" s="924" t="s">
        <v>276</v>
      </c>
      <c r="F3659" s="927"/>
      <c r="G3659" s="928"/>
      <c r="H3659" s="901"/>
      <c r="I3659" s="902"/>
      <c r="J3659" s="902"/>
      <c r="K3659" s="912" t="s">
        <v>274</v>
      </c>
      <c r="L3659" s="902"/>
      <c r="M3659" s="902"/>
      <c r="N3659" s="902"/>
      <c r="O3659" s="892">
        <f t="shared" si="228"/>
        <v>0</v>
      </c>
      <c r="P3659" s="903">
        <f t="shared" si="229"/>
        <v>1</v>
      </c>
      <c r="Q3659" s="893">
        <f t="shared" si="230"/>
        <v>2</v>
      </c>
      <c r="R3659" s="894">
        <f t="shared" si="231"/>
        <v>0</v>
      </c>
    </row>
    <row r="3660" spans="1:18">
      <c r="A3660" s="905"/>
      <c r="B3660" s="906"/>
      <c r="C3660" s="907">
        <v>740</v>
      </c>
      <c r="D3660" s="907" t="s">
        <v>12</v>
      </c>
      <c r="E3660" s="908" t="s">
        <v>4008</v>
      </c>
      <c r="F3660" s="909" t="s">
        <v>2674</v>
      </c>
      <c r="G3660" s="910"/>
      <c r="H3660" s="911">
        <v>2.63</v>
      </c>
      <c r="I3660" s="912"/>
      <c r="J3660" s="912"/>
      <c r="K3660" s="912">
        <f>VLOOKUP(E3660,[5]ĐMNC!$A$7:$F$67,4,0)</f>
        <v>221125</v>
      </c>
      <c r="L3660" s="912">
        <f>H3660*K3660</f>
        <v>581558.75</v>
      </c>
      <c r="M3660" s="912"/>
      <c r="N3660" s="912"/>
      <c r="O3660" s="892">
        <f t="shared" si="228"/>
        <v>0</v>
      </c>
      <c r="P3660" s="903">
        <f t="shared" si="229"/>
        <v>1</v>
      </c>
      <c r="Q3660" s="893">
        <f t="shared" si="230"/>
        <v>1</v>
      </c>
      <c r="R3660" s="894">
        <f t="shared" si="231"/>
        <v>0</v>
      </c>
    </row>
    <row r="3661" spans="1:18" s="847" customFormat="1">
      <c r="A3661" s="905"/>
      <c r="B3661" s="914" t="s">
        <v>5335</v>
      </c>
      <c r="C3661" s="915"/>
      <c r="D3661" s="915"/>
      <c r="E3661" s="916" t="s">
        <v>5336</v>
      </c>
      <c r="F3661" s="917" t="s">
        <v>139</v>
      </c>
      <c r="G3661" s="918"/>
      <c r="H3661" s="919"/>
      <c r="I3661" s="920"/>
      <c r="J3661" s="891">
        <f>SUM(J3662:J3663)</f>
        <v>0</v>
      </c>
      <c r="K3661" s="891"/>
      <c r="L3661" s="891">
        <f>SUM(L3662:L3663)</f>
        <v>652318.75</v>
      </c>
      <c r="M3661" s="891"/>
      <c r="N3661" s="891">
        <f>SUM(N3662:N3663)</f>
        <v>0</v>
      </c>
      <c r="O3661" s="892">
        <f t="shared" si="228"/>
        <v>1</v>
      </c>
      <c r="P3661" s="903">
        <f t="shared" si="229"/>
        <v>0</v>
      </c>
      <c r="Q3661" s="893">
        <f t="shared" si="230"/>
        <v>0</v>
      </c>
      <c r="R3661" s="894">
        <f t="shared" si="231"/>
        <v>2</v>
      </c>
    </row>
    <row r="3662" spans="1:18" s="904" customFormat="1">
      <c r="A3662" s="895"/>
      <c r="B3662" s="922"/>
      <c r="C3662" s="897"/>
      <c r="D3662" s="897"/>
      <c r="E3662" s="924" t="s">
        <v>276</v>
      </c>
      <c r="F3662" s="927"/>
      <c r="G3662" s="928"/>
      <c r="H3662" s="901"/>
      <c r="I3662" s="902"/>
      <c r="J3662" s="902"/>
      <c r="K3662" s="912" t="s">
        <v>274</v>
      </c>
      <c r="L3662" s="902"/>
      <c r="M3662" s="902"/>
      <c r="N3662" s="902"/>
      <c r="O3662" s="892">
        <f t="shared" si="228"/>
        <v>0</v>
      </c>
      <c r="P3662" s="903">
        <f t="shared" si="229"/>
        <v>1</v>
      </c>
      <c r="Q3662" s="893">
        <f t="shared" si="230"/>
        <v>2</v>
      </c>
      <c r="R3662" s="894">
        <f t="shared" si="231"/>
        <v>0</v>
      </c>
    </row>
    <row r="3663" spans="1:18">
      <c r="A3663" s="905"/>
      <c r="B3663" s="906"/>
      <c r="C3663" s="907">
        <v>740</v>
      </c>
      <c r="D3663" s="907" t="s">
        <v>12</v>
      </c>
      <c r="E3663" s="908" t="s">
        <v>4008</v>
      </c>
      <c r="F3663" s="909" t="s">
        <v>2674</v>
      </c>
      <c r="G3663" s="910"/>
      <c r="H3663" s="911">
        <v>2.95</v>
      </c>
      <c r="I3663" s="912"/>
      <c r="J3663" s="912"/>
      <c r="K3663" s="912">
        <f>VLOOKUP(E3663,[5]ĐMNC!$A$7:$F$67,4,0)</f>
        <v>221125</v>
      </c>
      <c r="L3663" s="912">
        <f>H3663*K3663</f>
        <v>652318.75</v>
      </c>
      <c r="M3663" s="912"/>
      <c r="N3663" s="912"/>
      <c r="O3663" s="892">
        <f t="shared" si="228"/>
        <v>0</v>
      </c>
      <c r="P3663" s="903">
        <f t="shared" si="229"/>
        <v>1</v>
      </c>
      <c r="Q3663" s="893">
        <f t="shared" si="230"/>
        <v>1</v>
      </c>
      <c r="R3663" s="894">
        <f t="shared" si="231"/>
        <v>0</v>
      </c>
    </row>
    <row r="3664" spans="1:18" s="847" customFormat="1">
      <c r="A3664" s="905"/>
      <c r="B3664" s="914" t="s">
        <v>5337</v>
      </c>
      <c r="C3664" s="915"/>
      <c r="D3664" s="915"/>
      <c r="E3664" s="916" t="s">
        <v>5338</v>
      </c>
      <c r="F3664" s="917" t="s">
        <v>139</v>
      </c>
      <c r="G3664" s="918"/>
      <c r="H3664" s="919"/>
      <c r="I3664" s="920"/>
      <c r="J3664" s="891">
        <f>SUM(J3665:J3666)</f>
        <v>0</v>
      </c>
      <c r="K3664" s="891"/>
      <c r="L3664" s="891">
        <f>SUM(L3665:L3666)</f>
        <v>731923.75</v>
      </c>
      <c r="M3664" s="891"/>
      <c r="N3664" s="891">
        <f>SUM(N3665:N3666)</f>
        <v>0</v>
      </c>
      <c r="O3664" s="892">
        <f t="shared" si="228"/>
        <v>1</v>
      </c>
      <c r="P3664" s="903">
        <f t="shared" si="229"/>
        <v>0</v>
      </c>
      <c r="Q3664" s="893">
        <f t="shared" si="230"/>
        <v>0</v>
      </c>
      <c r="R3664" s="894">
        <f t="shared" si="231"/>
        <v>2</v>
      </c>
    </row>
    <row r="3665" spans="1:18" s="904" customFormat="1">
      <c r="A3665" s="895"/>
      <c r="B3665" s="922"/>
      <c r="C3665" s="897"/>
      <c r="D3665" s="897"/>
      <c r="E3665" s="924" t="s">
        <v>276</v>
      </c>
      <c r="F3665" s="927"/>
      <c r="G3665" s="928"/>
      <c r="H3665" s="901"/>
      <c r="I3665" s="902"/>
      <c r="J3665" s="902"/>
      <c r="K3665" s="912" t="s">
        <v>274</v>
      </c>
      <c r="L3665" s="902"/>
      <c r="M3665" s="902"/>
      <c r="N3665" s="902"/>
      <c r="O3665" s="892">
        <f t="shared" si="228"/>
        <v>0</v>
      </c>
      <c r="P3665" s="903">
        <f t="shared" si="229"/>
        <v>1</v>
      </c>
      <c r="Q3665" s="893">
        <f t="shared" si="230"/>
        <v>2</v>
      </c>
      <c r="R3665" s="894">
        <f t="shared" si="231"/>
        <v>0</v>
      </c>
    </row>
    <row r="3666" spans="1:18">
      <c r="A3666" s="905"/>
      <c r="B3666" s="906"/>
      <c r="C3666" s="907">
        <v>740</v>
      </c>
      <c r="D3666" s="907" t="s">
        <v>12</v>
      </c>
      <c r="E3666" s="908" t="s">
        <v>4008</v>
      </c>
      <c r="F3666" s="909" t="s">
        <v>2674</v>
      </c>
      <c r="G3666" s="910"/>
      <c r="H3666" s="911">
        <v>3.31</v>
      </c>
      <c r="I3666" s="912"/>
      <c r="J3666" s="912"/>
      <c r="K3666" s="912">
        <f>VLOOKUP(E3666,[5]ĐMNC!$A$7:$F$67,4,0)</f>
        <v>221125</v>
      </c>
      <c r="L3666" s="912">
        <f>H3666*K3666</f>
        <v>731923.75</v>
      </c>
      <c r="M3666" s="912"/>
      <c r="N3666" s="912"/>
      <c r="O3666" s="892">
        <f t="shared" si="228"/>
        <v>0</v>
      </c>
      <c r="P3666" s="903">
        <f t="shared" si="229"/>
        <v>1</v>
      </c>
      <c r="Q3666" s="893">
        <f t="shared" si="230"/>
        <v>1</v>
      </c>
      <c r="R3666" s="894">
        <f t="shared" si="231"/>
        <v>0</v>
      </c>
    </row>
    <row r="3667" spans="1:18" s="847" customFormat="1">
      <c r="A3667" s="905"/>
      <c r="B3667" s="914" t="s">
        <v>5339</v>
      </c>
      <c r="C3667" s="915"/>
      <c r="D3667" s="915"/>
      <c r="E3667" s="916" t="s">
        <v>5340</v>
      </c>
      <c r="F3667" s="917" t="s">
        <v>139</v>
      </c>
      <c r="G3667" s="918"/>
      <c r="H3667" s="919"/>
      <c r="I3667" s="920"/>
      <c r="J3667" s="891">
        <f>SUM(J3668:J3669)</f>
        <v>0</v>
      </c>
      <c r="K3667" s="891"/>
      <c r="L3667" s="891">
        <f>SUM(L3668:L3669)</f>
        <v>869021.25</v>
      </c>
      <c r="M3667" s="891"/>
      <c r="N3667" s="891">
        <f>SUM(N3668:N3669)</f>
        <v>0</v>
      </c>
      <c r="O3667" s="892">
        <f t="shared" si="228"/>
        <v>1</v>
      </c>
      <c r="P3667" s="903">
        <f t="shared" si="229"/>
        <v>0</v>
      </c>
      <c r="Q3667" s="893">
        <f t="shared" si="230"/>
        <v>0</v>
      </c>
      <c r="R3667" s="894">
        <f t="shared" si="231"/>
        <v>2</v>
      </c>
    </row>
    <row r="3668" spans="1:18" s="904" customFormat="1">
      <c r="A3668" s="895"/>
      <c r="B3668" s="922"/>
      <c r="C3668" s="897"/>
      <c r="D3668" s="897"/>
      <c r="E3668" s="924" t="s">
        <v>276</v>
      </c>
      <c r="F3668" s="927"/>
      <c r="G3668" s="928"/>
      <c r="H3668" s="901"/>
      <c r="I3668" s="902"/>
      <c r="J3668" s="902"/>
      <c r="K3668" s="912" t="s">
        <v>274</v>
      </c>
      <c r="L3668" s="902"/>
      <c r="M3668" s="902"/>
      <c r="N3668" s="902"/>
      <c r="O3668" s="892">
        <f t="shared" si="228"/>
        <v>0</v>
      </c>
      <c r="P3668" s="903">
        <f t="shared" si="229"/>
        <v>1</v>
      </c>
      <c r="Q3668" s="893">
        <f t="shared" si="230"/>
        <v>2</v>
      </c>
      <c r="R3668" s="894">
        <f t="shared" si="231"/>
        <v>0</v>
      </c>
    </row>
    <row r="3669" spans="1:18">
      <c r="A3669" s="905"/>
      <c r="B3669" s="906"/>
      <c r="C3669" s="907">
        <v>740</v>
      </c>
      <c r="D3669" s="907" t="s">
        <v>12</v>
      </c>
      <c r="E3669" s="908" t="s">
        <v>4008</v>
      </c>
      <c r="F3669" s="909" t="s">
        <v>2674</v>
      </c>
      <c r="G3669" s="910"/>
      <c r="H3669" s="911">
        <v>3.93</v>
      </c>
      <c r="I3669" s="912"/>
      <c r="J3669" s="912"/>
      <c r="K3669" s="912">
        <f>VLOOKUP(E3669,[5]ĐMNC!$A$7:$F$67,4,0)</f>
        <v>221125</v>
      </c>
      <c r="L3669" s="912">
        <f>H3669*K3669</f>
        <v>869021.25</v>
      </c>
      <c r="M3669" s="912"/>
      <c r="N3669" s="912"/>
      <c r="O3669" s="892">
        <f t="shared" si="228"/>
        <v>0</v>
      </c>
      <c r="P3669" s="903">
        <f t="shared" si="229"/>
        <v>1</v>
      </c>
      <c r="Q3669" s="893">
        <f t="shared" si="230"/>
        <v>1</v>
      </c>
      <c r="R3669" s="894">
        <f t="shared" si="231"/>
        <v>0</v>
      </c>
    </row>
    <row r="3670" spans="1:18" s="847" customFormat="1">
      <c r="A3670" s="905"/>
      <c r="B3670" s="914" t="s">
        <v>5341</v>
      </c>
      <c r="C3670" s="915"/>
      <c r="D3670" s="915"/>
      <c r="E3670" s="916" t="s">
        <v>5342</v>
      </c>
      <c r="F3670" s="917" t="s">
        <v>139</v>
      </c>
      <c r="G3670" s="918"/>
      <c r="H3670" s="919"/>
      <c r="I3670" s="920"/>
      <c r="J3670" s="891">
        <f>SUM(J3671:J3672)</f>
        <v>0</v>
      </c>
      <c r="K3670" s="891"/>
      <c r="L3670" s="891">
        <f>SUM(L3671:L3672)</f>
        <v>110562.5</v>
      </c>
      <c r="M3670" s="891"/>
      <c r="N3670" s="891">
        <f>SUM(N3671:N3672)</f>
        <v>0</v>
      </c>
      <c r="O3670" s="892">
        <f t="shared" si="228"/>
        <v>1</v>
      </c>
      <c r="P3670" s="903">
        <f t="shared" si="229"/>
        <v>0</v>
      </c>
      <c r="Q3670" s="893">
        <f t="shared" si="230"/>
        <v>0</v>
      </c>
      <c r="R3670" s="894">
        <f t="shared" si="231"/>
        <v>2</v>
      </c>
    </row>
    <row r="3671" spans="1:18" s="904" customFormat="1">
      <c r="A3671" s="895"/>
      <c r="B3671" s="896"/>
      <c r="C3671" s="897"/>
      <c r="D3671" s="897"/>
      <c r="E3671" s="924" t="s">
        <v>276</v>
      </c>
      <c r="F3671" s="927"/>
      <c r="G3671" s="928"/>
      <c r="H3671" s="901"/>
      <c r="I3671" s="902"/>
      <c r="J3671" s="902"/>
      <c r="K3671" s="912" t="s">
        <v>274</v>
      </c>
      <c r="L3671" s="902"/>
      <c r="M3671" s="902"/>
      <c r="N3671" s="902"/>
      <c r="O3671" s="892">
        <f t="shared" si="228"/>
        <v>0</v>
      </c>
      <c r="P3671" s="903">
        <f t="shared" si="229"/>
        <v>1</v>
      </c>
      <c r="Q3671" s="893">
        <f t="shared" si="230"/>
        <v>2</v>
      </c>
      <c r="R3671" s="894">
        <f t="shared" si="231"/>
        <v>0</v>
      </c>
    </row>
    <row r="3672" spans="1:18">
      <c r="A3672" s="905"/>
      <c r="B3672" s="906"/>
      <c r="C3672" s="907">
        <v>740</v>
      </c>
      <c r="D3672" s="907" t="s">
        <v>12</v>
      </c>
      <c r="E3672" s="908" t="s">
        <v>4008</v>
      </c>
      <c r="F3672" s="909" t="s">
        <v>2674</v>
      </c>
      <c r="G3672" s="910"/>
      <c r="H3672" s="911">
        <v>0.5</v>
      </c>
      <c r="I3672" s="912"/>
      <c r="J3672" s="912"/>
      <c r="K3672" s="912">
        <f>VLOOKUP(E3672,[5]ĐMNC!$A$7:$F$67,4,0)</f>
        <v>221125</v>
      </c>
      <c r="L3672" s="912">
        <f>H3672*K3672</f>
        <v>110562.5</v>
      </c>
      <c r="M3672" s="912"/>
      <c r="N3672" s="912"/>
      <c r="O3672" s="892">
        <f t="shared" si="228"/>
        <v>0</v>
      </c>
      <c r="P3672" s="903">
        <f t="shared" si="229"/>
        <v>1</v>
      </c>
      <c r="Q3672" s="893">
        <f t="shared" si="230"/>
        <v>1</v>
      </c>
      <c r="R3672" s="894">
        <f t="shared" si="231"/>
        <v>0</v>
      </c>
    </row>
    <row r="3673" spans="1:18" s="847" customFormat="1">
      <c r="A3673" s="905"/>
      <c r="B3673" s="914" t="s">
        <v>5343</v>
      </c>
      <c r="C3673" s="915"/>
      <c r="D3673" s="915"/>
      <c r="E3673" s="916" t="s">
        <v>5344</v>
      </c>
      <c r="F3673" s="917" t="s">
        <v>139</v>
      </c>
      <c r="G3673" s="918"/>
      <c r="H3673" s="919"/>
      <c r="I3673" s="920"/>
      <c r="J3673" s="891">
        <f>SUM(J3674:J3675)</f>
        <v>0</v>
      </c>
      <c r="K3673" s="891"/>
      <c r="L3673" s="891">
        <f>SUM(L3674:L3675)</f>
        <v>77393.75</v>
      </c>
      <c r="M3673" s="891"/>
      <c r="N3673" s="891">
        <f>SUM(N3674:N3675)</f>
        <v>0</v>
      </c>
      <c r="O3673" s="892">
        <f t="shared" si="228"/>
        <v>1</v>
      </c>
      <c r="P3673" s="903">
        <f t="shared" si="229"/>
        <v>0</v>
      </c>
      <c r="Q3673" s="893">
        <f t="shared" si="230"/>
        <v>0</v>
      </c>
      <c r="R3673" s="894">
        <f t="shared" si="231"/>
        <v>2</v>
      </c>
    </row>
    <row r="3674" spans="1:18" s="904" customFormat="1">
      <c r="A3674" s="895"/>
      <c r="B3674" s="896"/>
      <c r="C3674" s="897"/>
      <c r="D3674" s="897"/>
      <c r="E3674" s="924" t="s">
        <v>276</v>
      </c>
      <c r="F3674" s="927"/>
      <c r="G3674" s="928"/>
      <c r="H3674" s="901"/>
      <c r="I3674" s="902"/>
      <c r="J3674" s="902"/>
      <c r="K3674" s="912" t="s">
        <v>274</v>
      </c>
      <c r="L3674" s="902"/>
      <c r="M3674" s="902"/>
      <c r="N3674" s="902"/>
      <c r="O3674" s="892">
        <f t="shared" si="228"/>
        <v>0</v>
      </c>
      <c r="P3674" s="903">
        <f t="shared" si="229"/>
        <v>1</v>
      </c>
      <c r="Q3674" s="893">
        <f t="shared" si="230"/>
        <v>2</v>
      </c>
      <c r="R3674" s="894">
        <f t="shared" si="231"/>
        <v>0</v>
      </c>
    </row>
    <row r="3675" spans="1:18">
      <c r="A3675" s="905"/>
      <c r="B3675" s="906"/>
      <c r="C3675" s="907">
        <v>740</v>
      </c>
      <c r="D3675" s="907" t="s">
        <v>12</v>
      </c>
      <c r="E3675" s="908" t="s">
        <v>4008</v>
      </c>
      <c r="F3675" s="909" t="s">
        <v>2674</v>
      </c>
      <c r="G3675" s="910"/>
      <c r="H3675" s="911">
        <v>0.35</v>
      </c>
      <c r="I3675" s="912"/>
      <c r="J3675" s="912"/>
      <c r="K3675" s="912">
        <f>VLOOKUP(E3675,[5]ĐMNC!$A$7:$F$67,4,0)</f>
        <v>221125</v>
      </c>
      <c r="L3675" s="912">
        <f>H3675*K3675</f>
        <v>77393.75</v>
      </c>
      <c r="M3675" s="912"/>
      <c r="N3675" s="912"/>
      <c r="O3675" s="892">
        <f t="shared" si="228"/>
        <v>0</v>
      </c>
      <c r="P3675" s="903">
        <f t="shared" si="229"/>
        <v>1</v>
      </c>
      <c r="Q3675" s="893">
        <f t="shared" si="230"/>
        <v>1</v>
      </c>
      <c r="R3675" s="894">
        <f t="shared" si="231"/>
        <v>0</v>
      </c>
    </row>
    <row r="3676" spans="1:18" s="847" customFormat="1">
      <c r="A3676" s="905"/>
      <c r="B3676" s="914" t="s">
        <v>5345</v>
      </c>
      <c r="C3676" s="915"/>
      <c r="D3676" s="915"/>
      <c r="E3676" s="916" t="s">
        <v>5346</v>
      </c>
      <c r="F3676" s="917" t="s">
        <v>139</v>
      </c>
      <c r="G3676" s="918"/>
      <c r="H3676" s="919"/>
      <c r="I3676" s="920"/>
      <c r="J3676" s="891">
        <f>SUM(J3677:J3678)</f>
        <v>0</v>
      </c>
      <c r="K3676" s="891"/>
      <c r="L3676" s="891">
        <f>SUM(L3677:L3678)</f>
        <v>99506.25</v>
      </c>
      <c r="M3676" s="891"/>
      <c r="N3676" s="891">
        <f>SUM(N3677:N3678)</f>
        <v>0</v>
      </c>
      <c r="O3676" s="892">
        <f t="shared" si="228"/>
        <v>1</v>
      </c>
      <c r="P3676" s="903">
        <f t="shared" si="229"/>
        <v>0</v>
      </c>
      <c r="Q3676" s="893">
        <f t="shared" si="230"/>
        <v>0</v>
      </c>
      <c r="R3676" s="894">
        <f t="shared" si="231"/>
        <v>2</v>
      </c>
    </row>
    <row r="3677" spans="1:18" s="904" customFormat="1">
      <c r="A3677" s="895"/>
      <c r="B3677" s="896"/>
      <c r="C3677" s="897"/>
      <c r="D3677" s="897"/>
      <c r="E3677" s="924" t="s">
        <v>276</v>
      </c>
      <c r="F3677" s="927"/>
      <c r="G3677" s="928"/>
      <c r="H3677" s="901"/>
      <c r="I3677" s="902"/>
      <c r="J3677" s="902"/>
      <c r="K3677" s="912" t="s">
        <v>274</v>
      </c>
      <c r="L3677" s="902"/>
      <c r="M3677" s="902"/>
      <c r="N3677" s="902"/>
      <c r="O3677" s="892">
        <f t="shared" ref="O3677:O3740" si="232">IF(AND(B3677&lt;&gt;"",D3677=""),1,0)</f>
        <v>0</v>
      </c>
      <c r="P3677" s="903">
        <f t="shared" si="229"/>
        <v>1</v>
      </c>
      <c r="Q3677" s="893">
        <f t="shared" si="230"/>
        <v>2</v>
      </c>
      <c r="R3677" s="894">
        <f t="shared" si="231"/>
        <v>0</v>
      </c>
    </row>
    <row r="3678" spans="1:18">
      <c r="A3678" s="905"/>
      <c r="B3678" s="906"/>
      <c r="C3678" s="907">
        <v>740</v>
      </c>
      <c r="D3678" s="907" t="s">
        <v>12</v>
      </c>
      <c r="E3678" s="908" t="s">
        <v>4008</v>
      </c>
      <c r="F3678" s="909" t="s">
        <v>2674</v>
      </c>
      <c r="G3678" s="910"/>
      <c r="H3678" s="911">
        <v>0.45</v>
      </c>
      <c r="I3678" s="912"/>
      <c r="J3678" s="912"/>
      <c r="K3678" s="912">
        <f>VLOOKUP(E3678,[5]ĐMNC!$A$7:$F$67,4,0)</f>
        <v>221125</v>
      </c>
      <c r="L3678" s="912">
        <f>H3678*K3678</f>
        <v>99506.25</v>
      </c>
      <c r="M3678" s="912"/>
      <c r="N3678" s="912"/>
      <c r="O3678" s="892">
        <f t="shared" si="232"/>
        <v>0</v>
      </c>
      <c r="P3678" s="903">
        <f t="shared" si="229"/>
        <v>1</v>
      </c>
      <c r="Q3678" s="893">
        <f t="shared" si="230"/>
        <v>1</v>
      </c>
      <c r="R3678" s="894">
        <f t="shared" si="231"/>
        <v>0</v>
      </c>
    </row>
    <row r="3679" spans="1:18" s="847" customFormat="1" ht="31.5">
      <c r="A3679" s="905"/>
      <c r="B3679" s="914" t="s">
        <v>5347</v>
      </c>
      <c r="C3679" s="915"/>
      <c r="D3679" s="915"/>
      <c r="E3679" s="916" t="s">
        <v>5348</v>
      </c>
      <c r="F3679" s="917" t="s">
        <v>139</v>
      </c>
      <c r="G3679" s="918"/>
      <c r="H3679" s="919"/>
      <c r="I3679" s="920"/>
      <c r="J3679" s="891">
        <f>SUM(J3680:J3681)</f>
        <v>0</v>
      </c>
      <c r="K3679" s="891"/>
      <c r="L3679" s="891">
        <f>SUM(L3680:L3681)</f>
        <v>24323.75</v>
      </c>
      <c r="M3679" s="891"/>
      <c r="N3679" s="891">
        <f>SUM(N3680:N3681)</f>
        <v>0</v>
      </c>
      <c r="O3679" s="892">
        <f t="shared" si="232"/>
        <v>1</v>
      </c>
      <c r="P3679" s="903">
        <f t="shared" si="229"/>
        <v>0</v>
      </c>
      <c r="Q3679" s="893">
        <f t="shared" si="230"/>
        <v>0</v>
      </c>
      <c r="R3679" s="894">
        <f t="shared" si="231"/>
        <v>2</v>
      </c>
    </row>
    <row r="3680" spans="1:18" s="904" customFormat="1">
      <c r="A3680" s="895"/>
      <c r="B3680" s="922"/>
      <c r="C3680" s="897"/>
      <c r="D3680" s="897"/>
      <c r="E3680" s="924" t="s">
        <v>276</v>
      </c>
      <c r="F3680" s="927"/>
      <c r="G3680" s="928"/>
      <c r="H3680" s="901"/>
      <c r="I3680" s="902"/>
      <c r="J3680" s="902"/>
      <c r="K3680" s="912" t="s">
        <v>274</v>
      </c>
      <c r="L3680" s="902"/>
      <c r="M3680" s="902"/>
      <c r="N3680" s="902"/>
      <c r="O3680" s="892">
        <f t="shared" si="232"/>
        <v>0</v>
      </c>
      <c r="P3680" s="903">
        <f t="shared" si="229"/>
        <v>1</v>
      </c>
      <c r="Q3680" s="893">
        <f t="shared" si="230"/>
        <v>2</v>
      </c>
      <c r="R3680" s="894">
        <f t="shared" si="231"/>
        <v>0</v>
      </c>
    </row>
    <row r="3681" spans="1:18">
      <c r="A3681" s="905"/>
      <c r="B3681" s="906"/>
      <c r="C3681" s="907">
        <v>740</v>
      </c>
      <c r="D3681" s="907" t="s">
        <v>12</v>
      </c>
      <c r="E3681" s="908" t="s">
        <v>4008</v>
      </c>
      <c r="F3681" s="909" t="s">
        <v>2674</v>
      </c>
      <c r="G3681" s="910"/>
      <c r="H3681" s="911">
        <v>0.11</v>
      </c>
      <c r="I3681" s="912"/>
      <c r="J3681" s="912"/>
      <c r="K3681" s="912">
        <f>VLOOKUP(E3681,[5]ĐMNC!$A$7:$F$67,4,0)</f>
        <v>221125</v>
      </c>
      <c r="L3681" s="912">
        <f>H3681*K3681</f>
        <v>24323.75</v>
      </c>
      <c r="M3681" s="912"/>
      <c r="N3681" s="912"/>
      <c r="O3681" s="892">
        <f t="shared" si="232"/>
        <v>0</v>
      </c>
      <c r="P3681" s="903">
        <f t="shared" si="229"/>
        <v>1</v>
      </c>
      <c r="Q3681" s="893">
        <f t="shared" si="230"/>
        <v>1</v>
      </c>
      <c r="R3681" s="894">
        <f t="shared" si="231"/>
        <v>0</v>
      </c>
    </row>
    <row r="3682" spans="1:18" s="847" customFormat="1" ht="31.5">
      <c r="A3682" s="905"/>
      <c r="B3682" s="914" t="s">
        <v>5349</v>
      </c>
      <c r="C3682" s="915"/>
      <c r="D3682" s="915"/>
      <c r="E3682" s="916" t="s">
        <v>5350</v>
      </c>
      <c r="F3682" s="917" t="s">
        <v>139</v>
      </c>
      <c r="G3682" s="918"/>
      <c r="H3682" s="919"/>
      <c r="I3682" s="920"/>
      <c r="J3682" s="891">
        <f>SUM(J3683:J3684)</f>
        <v>0</v>
      </c>
      <c r="K3682" s="891"/>
      <c r="L3682" s="891">
        <f>SUM(L3683:L3684)</f>
        <v>26535</v>
      </c>
      <c r="M3682" s="891"/>
      <c r="N3682" s="891">
        <f>SUM(N3683:N3684)</f>
        <v>0</v>
      </c>
      <c r="O3682" s="892">
        <f t="shared" si="232"/>
        <v>1</v>
      </c>
      <c r="P3682" s="903">
        <f t="shared" si="229"/>
        <v>0</v>
      </c>
      <c r="Q3682" s="893">
        <f t="shared" si="230"/>
        <v>0</v>
      </c>
      <c r="R3682" s="894">
        <f t="shared" si="231"/>
        <v>2</v>
      </c>
    </row>
    <row r="3683" spans="1:18" s="904" customFormat="1">
      <c r="A3683" s="895"/>
      <c r="B3683" s="896"/>
      <c r="C3683" s="897"/>
      <c r="D3683" s="897"/>
      <c r="E3683" s="924" t="s">
        <v>276</v>
      </c>
      <c r="F3683" s="927"/>
      <c r="G3683" s="928"/>
      <c r="H3683" s="901"/>
      <c r="I3683" s="902"/>
      <c r="J3683" s="902"/>
      <c r="K3683" s="912" t="s">
        <v>274</v>
      </c>
      <c r="L3683" s="902"/>
      <c r="M3683" s="902"/>
      <c r="N3683" s="902"/>
      <c r="O3683" s="892">
        <f t="shared" si="232"/>
        <v>0</v>
      </c>
      <c r="P3683" s="903">
        <f t="shared" si="229"/>
        <v>1</v>
      </c>
      <c r="Q3683" s="893">
        <f t="shared" si="230"/>
        <v>2</v>
      </c>
      <c r="R3683" s="894">
        <f t="shared" si="231"/>
        <v>0</v>
      </c>
    </row>
    <row r="3684" spans="1:18">
      <c r="A3684" s="905"/>
      <c r="B3684" s="906"/>
      <c r="C3684" s="907">
        <v>740</v>
      </c>
      <c r="D3684" s="907" t="s">
        <v>12</v>
      </c>
      <c r="E3684" s="908" t="s">
        <v>4008</v>
      </c>
      <c r="F3684" s="909" t="s">
        <v>2674</v>
      </c>
      <c r="G3684" s="910"/>
      <c r="H3684" s="911">
        <v>0.12</v>
      </c>
      <c r="I3684" s="912"/>
      <c r="J3684" s="912"/>
      <c r="K3684" s="912">
        <f>VLOOKUP(E3684,[5]ĐMNC!$A$7:$F$67,4,0)</f>
        <v>221125</v>
      </c>
      <c r="L3684" s="912">
        <f>H3684*K3684</f>
        <v>26535</v>
      </c>
      <c r="M3684" s="912"/>
      <c r="N3684" s="912"/>
      <c r="O3684" s="892">
        <f t="shared" si="232"/>
        <v>0</v>
      </c>
      <c r="P3684" s="903">
        <f t="shared" si="229"/>
        <v>1</v>
      </c>
      <c r="Q3684" s="893">
        <f t="shared" si="230"/>
        <v>1</v>
      </c>
      <c r="R3684" s="894">
        <f t="shared" si="231"/>
        <v>0</v>
      </c>
    </row>
    <row r="3685" spans="1:18" s="847" customFormat="1" ht="31.5">
      <c r="A3685" s="905"/>
      <c r="B3685" s="914" t="s">
        <v>5351</v>
      </c>
      <c r="C3685" s="915"/>
      <c r="D3685" s="915"/>
      <c r="E3685" s="916" t="s">
        <v>5352</v>
      </c>
      <c r="F3685" s="917" t="s">
        <v>139</v>
      </c>
      <c r="G3685" s="918"/>
      <c r="H3685" s="919"/>
      <c r="I3685" s="920"/>
      <c r="J3685" s="891">
        <f>SUM(J3686:J3687)</f>
        <v>0</v>
      </c>
      <c r="K3685" s="891"/>
      <c r="L3685" s="891">
        <f>SUM(L3686:L3687)</f>
        <v>30957.500000000004</v>
      </c>
      <c r="M3685" s="891"/>
      <c r="N3685" s="891">
        <f>SUM(N3686:N3687)</f>
        <v>0</v>
      </c>
      <c r="O3685" s="892">
        <f t="shared" si="232"/>
        <v>1</v>
      </c>
      <c r="P3685" s="903">
        <f t="shared" si="229"/>
        <v>0</v>
      </c>
      <c r="Q3685" s="893">
        <f t="shared" si="230"/>
        <v>0</v>
      </c>
      <c r="R3685" s="894">
        <f t="shared" si="231"/>
        <v>2</v>
      </c>
    </row>
    <row r="3686" spans="1:18" s="904" customFormat="1">
      <c r="A3686" s="895"/>
      <c r="B3686" s="896"/>
      <c r="C3686" s="897"/>
      <c r="D3686" s="897"/>
      <c r="E3686" s="924" t="s">
        <v>276</v>
      </c>
      <c r="F3686" s="927"/>
      <c r="G3686" s="928"/>
      <c r="H3686" s="901"/>
      <c r="I3686" s="902"/>
      <c r="J3686" s="902"/>
      <c r="K3686" s="912" t="s">
        <v>274</v>
      </c>
      <c r="L3686" s="902"/>
      <c r="M3686" s="902"/>
      <c r="N3686" s="902"/>
      <c r="O3686" s="892">
        <f t="shared" si="232"/>
        <v>0</v>
      </c>
      <c r="P3686" s="903">
        <f t="shared" ref="P3686:P3749" si="233">IF(O3686=0,1,0)</f>
        <v>1</v>
      </c>
      <c r="Q3686" s="893">
        <f t="shared" ref="Q3686:Q3749" si="234">IF(P3686=0,0,P3686+Q3687)</f>
        <v>2</v>
      </c>
      <c r="R3686" s="894">
        <f t="shared" ref="R3686:R3749" si="235">IF(Q3686=0,Q3687,0)</f>
        <v>0</v>
      </c>
    </row>
    <row r="3687" spans="1:18">
      <c r="A3687" s="905"/>
      <c r="B3687" s="906"/>
      <c r="C3687" s="907">
        <v>740</v>
      </c>
      <c r="D3687" s="907" t="s">
        <v>12</v>
      </c>
      <c r="E3687" s="908" t="s">
        <v>4008</v>
      </c>
      <c r="F3687" s="909" t="s">
        <v>2674</v>
      </c>
      <c r="G3687" s="910"/>
      <c r="H3687" s="911">
        <v>0.14000000000000001</v>
      </c>
      <c r="I3687" s="912"/>
      <c r="J3687" s="912"/>
      <c r="K3687" s="912">
        <f>VLOOKUP(E3687,[5]ĐMNC!$A$7:$F$67,4,0)</f>
        <v>221125</v>
      </c>
      <c r="L3687" s="912">
        <f>H3687*K3687</f>
        <v>30957.500000000004</v>
      </c>
      <c r="M3687" s="912"/>
      <c r="N3687" s="912"/>
      <c r="O3687" s="892">
        <f t="shared" si="232"/>
        <v>0</v>
      </c>
      <c r="P3687" s="903">
        <f t="shared" si="233"/>
        <v>1</v>
      </c>
      <c r="Q3687" s="893">
        <f t="shared" si="234"/>
        <v>1</v>
      </c>
      <c r="R3687" s="894">
        <f t="shared" si="235"/>
        <v>0</v>
      </c>
    </row>
    <row r="3688" spans="1:18" s="847" customFormat="1" ht="31.5">
      <c r="A3688" s="905"/>
      <c r="B3688" s="914" t="s">
        <v>5353</v>
      </c>
      <c r="C3688" s="915"/>
      <c r="D3688" s="915"/>
      <c r="E3688" s="916" t="s">
        <v>5354</v>
      </c>
      <c r="F3688" s="917" t="s">
        <v>139</v>
      </c>
      <c r="G3688" s="918"/>
      <c r="H3688" s="919"/>
      <c r="I3688" s="920"/>
      <c r="J3688" s="891">
        <f>SUM(J3689:J3690)</f>
        <v>0</v>
      </c>
      <c r="K3688" s="891"/>
      <c r="L3688" s="891">
        <f>SUM(L3689:L3690)</f>
        <v>33168.75</v>
      </c>
      <c r="M3688" s="891"/>
      <c r="N3688" s="891">
        <f>SUM(N3689:N3690)</f>
        <v>0</v>
      </c>
      <c r="O3688" s="892">
        <f t="shared" si="232"/>
        <v>1</v>
      </c>
      <c r="P3688" s="903">
        <f t="shared" si="233"/>
        <v>0</v>
      </c>
      <c r="Q3688" s="893">
        <f t="shared" si="234"/>
        <v>0</v>
      </c>
      <c r="R3688" s="894">
        <f t="shared" si="235"/>
        <v>2</v>
      </c>
    </row>
    <row r="3689" spans="1:18" s="904" customFormat="1">
      <c r="A3689" s="895"/>
      <c r="B3689" s="896"/>
      <c r="C3689" s="897"/>
      <c r="D3689" s="897"/>
      <c r="E3689" s="924" t="s">
        <v>276</v>
      </c>
      <c r="F3689" s="927"/>
      <c r="G3689" s="928"/>
      <c r="H3689" s="901"/>
      <c r="I3689" s="902"/>
      <c r="J3689" s="902"/>
      <c r="K3689" s="912" t="s">
        <v>274</v>
      </c>
      <c r="L3689" s="902"/>
      <c r="M3689" s="902"/>
      <c r="N3689" s="902"/>
      <c r="O3689" s="892">
        <f t="shared" si="232"/>
        <v>0</v>
      </c>
      <c r="P3689" s="903">
        <f t="shared" si="233"/>
        <v>1</v>
      </c>
      <c r="Q3689" s="893">
        <f t="shared" si="234"/>
        <v>2</v>
      </c>
      <c r="R3689" s="894">
        <f t="shared" si="235"/>
        <v>0</v>
      </c>
    </row>
    <row r="3690" spans="1:18">
      <c r="A3690" s="905"/>
      <c r="B3690" s="906"/>
      <c r="C3690" s="907">
        <v>740</v>
      </c>
      <c r="D3690" s="907" t="s">
        <v>12</v>
      </c>
      <c r="E3690" s="908" t="s">
        <v>4008</v>
      </c>
      <c r="F3690" s="909" t="s">
        <v>2674</v>
      </c>
      <c r="G3690" s="910"/>
      <c r="H3690" s="911">
        <v>0.15</v>
      </c>
      <c r="I3690" s="912"/>
      <c r="J3690" s="912"/>
      <c r="K3690" s="912">
        <f>VLOOKUP(E3690,[5]ĐMNC!$A$7:$F$67,4,0)</f>
        <v>221125</v>
      </c>
      <c r="L3690" s="912">
        <f>H3690*K3690</f>
        <v>33168.75</v>
      </c>
      <c r="M3690" s="912"/>
      <c r="N3690" s="912"/>
      <c r="O3690" s="892">
        <f t="shared" si="232"/>
        <v>0</v>
      </c>
      <c r="P3690" s="903">
        <f t="shared" si="233"/>
        <v>1</v>
      </c>
      <c r="Q3690" s="893">
        <f t="shared" si="234"/>
        <v>1</v>
      </c>
      <c r="R3690" s="894">
        <f t="shared" si="235"/>
        <v>0</v>
      </c>
    </row>
    <row r="3691" spans="1:18" s="847" customFormat="1" ht="31.5">
      <c r="A3691" s="905"/>
      <c r="B3691" s="914" t="s">
        <v>5355</v>
      </c>
      <c r="C3691" s="915"/>
      <c r="D3691" s="915"/>
      <c r="E3691" s="916" t="s">
        <v>5356</v>
      </c>
      <c r="F3691" s="917" t="s">
        <v>139</v>
      </c>
      <c r="G3691" s="918"/>
      <c r="H3691" s="919"/>
      <c r="I3691" s="920"/>
      <c r="J3691" s="891">
        <f>SUM(J3692:J3693)</f>
        <v>0</v>
      </c>
      <c r="K3691" s="891"/>
      <c r="L3691" s="891">
        <f>SUM(L3692:L3693)</f>
        <v>37591.25</v>
      </c>
      <c r="M3691" s="891"/>
      <c r="N3691" s="891">
        <f>SUM(N3692:N3693)</f>
        <v>0</v>
      </c>
      <c r="O3691" s="892">
        <f t="shared" si="232"/>
        <v>1</v>
      </c>
      <c r="P3691" s="903">
        <f t="shared" si="233"/>
        <v>0</v>
      </c>
      <c r="Q3691" s="893">
        <f t="shared" si="234"/>
        <v>0</v>
      </c>
      <c r="R3691" s="894">
        <f t="shared" si="235"/>
        <v>2</v>
      </c>
    </row>
    <row r="3692" spans="1:18" s="904" customFormat="1">
      <c r="A3692" s="895"/>
      <c r="B3692" s="896"/>
      <c r="C3692" s="897"/>
      <c r="D3692" s="897"/>
      <c r="E3692" s="924" t="s">
        <v>276</v>
      </c>
      <c r="F3692" s="927"/>
      <c r="G3692" s="928"/>
      <c r="H3692" s="901"/>
      <c r="I3692" s="902"/>
      <c r="J3692" s="902"/>
      <c r="K3692" s="912" t="s">
        <v>274</v>
      </c>
      <c r="L3692" s="902"/>
      <c r="M3692" s="902"/>
      <c r="N3692" s="902"/>
      <c r="O3692" s="892">
        <f t="shared" si="232"/>
        <v>0</v>
      </c>
      <c r="P3692" s="903">
        <f t="shared" si="233"/>
        <v>1</v>
      </c>
      <c r="Q3692" s="893">
        <f t="shared" si="234"/>
        <v>2</v>
      </c>
      <c r="R3692" s="894">
        <f t="shared" si="235"/>
        <v>0</v>
      </c>
    </row>
    <row r="3693" spans="1:18">
      <c r="A3693" s="905"/>
      <c r="B3693" s="906"/>
      <c r="C3693" s="907">
        <v>740</v>
      </c>
      <c r="D3693" s="907" t="s">
        <v>12</v>
      </c>
      <c r="E3693" s="908" t="s">
        <v>4008</v>
      </c>
      <c r="F3693" s="909" t="s">
        <v>2674</v>
      </c>
      <c r="G3693" s="910"/>
      <c r="H3693" s="911">
        <v>0.17</v>
      </c>
      <c r="I3693" s="912"/>
      <c r="J3693" s="912"/>
      <c r="K3693" s="912">
        <f>VLOOKUP(E3693,[5]ĐMNC!$A$7:$F$67,4,0)</f>
        <v>221125</v>
      </c>
      <c r="L3693" s="912">
        <f>H3693*K3693</f>
        <v>37591.25</v>
      </c>
      <c r="M3693" s="912"/>
      <c r="N3693" s="912"/>
      <c r="O3693" s="892">
        <f t="shared" si="232"/>
        <v>0</v>
      </c>
      <c r="P3693" s="903">
        <f t="shared" si="233"/>
        <v>1</v>
      </c>
      <c r="Q3693" s="893">
        <f t="shared" si="234"/>
        <v>1</v>
      </c>
      <c r="R3693" s="894">
        <f t="shared" si="235"/>
        <v>0</v>
      </c>
    </row>
    <row r="3694" spans="1:18" s="847" customFormat="1" ht="31.5">
      <c r="A3694" s="905"/>
      <c r="B3694" s="914" t="s">
        <v>5357</v>
      </c>
      <c r="C3694" s="915"/>
      <c r="D3694" s="915"/>
      <c r="E3694" s="916" t="s">
        <v>5358</v>
      </c>
      <c r="F3694" s="917" t="s">
        <v>139</v>
      </c>
      <c r="G3694" s="918"/>
      <c r="H3694" s="919"/>
      <c r="I3694" s="920"/>
      <c r="J3694" s="891">
        <f>SUM(J3695:J3696)</f>
        <v>0</v>
      </c>
      <c r="K3694" s="891"/>
      <c r="L3694" s="891">
        <f>SUM(L3695:L3696)</f>
        <v>42013.75</v>
      </c>
      <c r="M3694" s="891"/>
      <c r="N3694" s="891">
        <f>SUM(N3695:N3696)</f>
        <v>0</v>
      </c>
      <c r="O3694" s="892">
        <f t="shared" si="232"/>
        <v>1</v>
      </c>
      <c r="P3694" s="903">
        <f t="shared" si="233"/>
        <v>0</v>
      </c>
      <c r="Q3694" s="893">
        <f t="shared" si="234"/>
        <v>0</v>
      </c>
      <c r="R3694" s="894">
        <f t="shared" si="235"/>
        <v>2</v>
      </c>
    </row>
    <row r="3695" spans="1:18" s="904" customFormat="1">
      <c r="A3695" s="895"/>
      <c r="B3695" s="896"/>
      <c r="C3695" s="897"/>
      <c r="D3695" s="897"/>
      <c r="E3695" s="924" t="s">
        <v>276</v>
      </c>
      <c r="F3695" s="927"/>
      <c r="G3695" s="928"/>
      <c r="H3695" s="901"/>
      <c r="I3695" s="902"/>
      <c r="J3695" s="902"/>
      <c r="K3695" s="912" t="s">
        <v>274</v>
      </c>
      <c r="L3695" s="902"/>
      <c r="M3695" s="902"/>
      <c r="N3695" s="902"/>
      <c r="O3695" s="892">
        <f t="shared" si="232"/>
        <v>0</v>
      </c>
      <c r="P3695" s="903">
        <f t="shared" si="233"/>
        <v>1</v>
      </c>
      <c r="Q3695" s="893">
        <f t="shared" si="234"/>
        <v>2</v>
      </c>
      <c r="R3695" s="894">
        <f t="shared" si="235"/>
        <v>0</v>
      </c>
    </row>
    <row r="3696" spans="1:18">
      <c r="A3696" s="905"/>
      <c r="B3696" s="906"/>
      <c r="C3696" s="907">
        <v>740</v>
      </c>
      <c r="D3696" s="907" t="s">
        <v>12</v>
      </c>
      <c r="E3696" s="908" t="s">
        <v>4008</v>
      </c>
      <c r="F3696" s="909" t="s">
        <v>2674</v>
      </c>
      <c r="G3696" s="910"/>
      <c r="H3696" s="911">
        <v>0.19</v>
      </c>
      <c r="I3696" s="912"/>
      <c r="J3696" s="912"/>
      <c r="K3696" s="912">
        <f>VLOOKUP(E3696,[5]ĐMNC!$A$7:$F$67,4,0)</f>
        <v>221125</v>
      </c>
      <c r="L3696" s="912">
        <f>H3696*K3696</f>
        <v>42013.75</v>
      </c>
      <c r="M3696" s="912"/>
      <c r="N3696" s="912"/>
      <c r="O3696" s="892">
        <f t="shared" si="232"/>
        <v>0</v>
      </c>
      <c r="P3696" s="903">
        <f t="shared" si="233"/>
        <v>1</v>
      </c>
      <c r="Q3696" s="893">
        <f t="shared" si="234"/>
        <v>1</v>
      </c>
      <c r="R3696" s="894">
        <f t="shared" si="235"/>
        <v>0</v>
      </c>
    </row>
    <row r="3697" spans="1:18" s="847" customFormat="1" ht="31.5">
      <c r="A3697" s="905"/>
      <c r="B3697" s="914" t="s">
        <v>5359</v>
      </c>
      <c r="C3697" s="915"/>
      <c r="D3697" s="915"/>
      <c r="E3697" s="916" t="s">
        <v>5360</v>
      </c>
      <c r="F3697" s="917" t="s">
        <v>139</v>
      </c>
      <c r="G3697" s="918"/>
      <c r="H3697" s="919"/>
      <c r="I3697" s="920"/>
      <c r="J3697" s="891">
        <f>SUM(J3698:J3699)</f>
        <v>0</v>
      </c>
      <c r="K3697" s="891"/>
      <c r="L3697" s="891">
        <f>SUM(L3698:L3699)</f>
        <v>46436.25</v>
      </c>
      <c r="M3697" s="891"/>
      <c r="N3697" s="891">
        <f>SUM(N3698:N3699)</f>
        <v>0</v>
      </c>
      <c r="O3697" s="892">
        <f t="shared" si="232"/>
        <v>1</v>
      </c>
      <c r="P3697" s="903">
        <f t="shared" si="233"/>
        <v>0</v>
      </c>
      <c r="Q3697" s="893">
        <f t="shared" si="234"/>
        <v>0</v>
      </c>
      <c r="R3697" s="894">
        <f t="shared" si="235"/>
        <v>2</v>
      </c>
    </row>
    <row r="3698" spans="1:18" s="904" customFormat="1">
      <c r="A3698" s="895"/>
      <c r="B3698" s="896"/>
      <c r="C3698" s="897"/>
      <c r="D3698" s="897"/>
      <c r="E3698" s="924" t="s">
        <v>276</v>
      </c>
      <c r="F3698" s="927"/>
      <c r="G3698" s="928"/>
      <c r="H3698" s="901"/>
      <c r="I3698" s="902"/>
      <c r="J3698" s="902"/>
      <c r="K3698" s="912" t="s">
        <v>274</v>
      </c>
      <c r="L3698" s="902"/>
      <c r="M3698" s="902"/>
      <c r="N3698" s="902"/>
      <c r="O3698" s="892">
        <f t="shared" si="232"/>
        <v>0</v>
      </c>
      <c r="P3698" s="903">
        <f t="shared" si="233"/>
        <v>1</v>
      </c>
      <c r="Q3698" s="893">
        <f t="shared" si="234"/>
        <v>2</v>
      </c>
      <c r="R3698" s="894">
        <f t="shared" si="235"/>
        <v>0</v>
      </c>
    </row>
    <row r="3699" spans="1:18">
      <c r="A3699" s="905"/>
      <c r="B3699" s="906"/>
      <c r="C3699" s="907">
        <v>740</v>
      </c>
      <c r="D3699" s="907" t="s">
        <v>12</v>
      </c>
      <c r="E3699" s="908" t="s">
        <v>4008</v>
      </c>
      <c r="F3699" s="909" t="s">
        <v>2674</v>
      </c>
      <c r="G3699" s="910"/>
      <c r="H3699" s="911">
        <v>0.21</v>
      </c>
      <c r="I3699" s="912"/>
      <c r="J3699" s="912"/>
      <c r="K3699" s="912">
        <f>VLOOKUP(E3699,[5]ĐMNC!$A$7:$F$67,4,0)</f>
        <v>221125</v>
      </c>
      <c r="L3699" s="912">
        <f>H3699*K3699</f>
        <v>46436.25</v>
      </c>
      <c r="M3699" s="912"/>
      <c r="N3699" s="912"/>
      <c r="O3699" s="892">
        <f t="shared" si="232"/>
        <v>0</v>
      </c>
      <c r="P3699" s="903">
        <f t="shared" si="233"/>
        <v>1</v>
      </c>
      <c r="Q3699" s="893">
        <f t="shared" si="234"/>
        <v>1</v>
      </c>
      <c r="R3699" s="894">
        <f t="shared" si="235"/>
        <v>0</v>
      </c>
    </row>
    <row r="3700" spans="1:18" s="847" customFormat="1" ht="31.5">
      <c r="A3700" s="905"/>
      <c r="B3700" s="914" t="s">
        <v>5361</v>
      </c>
      <c r="C3700" s="915"/>
      <c r="D3700" s="915"/>
      <c r="E3700" s="916" t="s">
        <v>5362</v>
      </c>
      <c r="F3700" s="917" t="s">
        <v>139</v>
      </c>
      <c r="G3700" s="918"/>
      <c r="H3700" s="919"/>
      <c r="I3700" s="920"/>
      <c r="J3700" s="891">
        <f>SUM(J3701:J3702)</f>
        <v>0</v>
      </c>
      <c r="K3700" s="891"/>
      <c r="L3700" s="891">
        <f>SUM(L3701:L3702)</f>
        <v>50858.75</v>
      </c>
      <c r="M3700" s="891"/>
      <c r="N3700" s="891">
        <f>SUM(N3701:N3702)</f>
        <v>0</v>
      </c>
      <c r="O3700" s="892">
        <f t="shared" si="232"/>
        <v>1</v>
      </c>
      <c r="P3700" s="903">
        <f t="shared" si="233"/>
        <v>0</v>
      </c>
      <c r="Q3700" s="893">
        <f t="shared" si="234"/>
        <v>0</v>
      </c>
      <c r="R3700" s="894">
        <f t="shared" si="235"/>
        <v>2</v>
      </c>
    </row>
    <row r="3701" spans="1:18" s="904" customFormat="1">
      <c r="A3701" s="895"/>
      <c r="B3701" s="896"/>
      <c r="C3701" s="897"/>
      <c r="D3701" s="897"/>
      <c r="E3701" s="924" t="s">
        <v>276</v>
      </c>
      <c r="F3701" s="927"/>
      <c r="G3701" s="928"/>
      <c r="H3701" s="901"/>
      <c r="I3701" s="902"/>
      <c r="J3701" s="902"/>
      <c r="K3701" s="912" t="s">
        <v>274</v>
      </c>
      <c r="L3701" s="902"/>
      <c r="M3701" s="902"/>
      <c r="N3701" s="902"/>
      <c r="O3701" s="892">
        <f t="shared" si="232"/>
        <v>0</v>
      </c>
      <c r="P3701" s="903">
        <f t="shared" si="233"/>
        <v>1</v>
      </c>
      <c r="Q3701" s="893">
        <f t="shared" si="234"/>
        <v>2</v>
      </c>
      <c r="R3701" s="894">
        <f t="shared" si="235"/>
        <v>0</v>
      </c>
    </row>
    <row r="3702" spans="1:18">
      <c r="A3702" s="905"/>
      <c r="B3702" s="906"/>
      <c r="C3702" s="907">
        <v>740</v>
      </c>
      <c r="D3702" s="907" t="s">
        <v>12</v>
      </c>
      <c r="E3702" s="908" t="s">
        <v>4008</v>
      </c>
      <c r="F3702" s="909" t="s">
        <v>2674</v>
      </c>
      <c r="G3702" s="910"/>
      <c r="H3702" s="911">
        <v>0.23</v>
      </c>
      <c r="I3702" s="912"/>
      <c r="J3702" s="912"/>
      <c r="K3702" s="912">
        <f>VLOOKUP(E3702,[5]ĐMNC!$A$7:$F$67,4,0)</f>
        <v>221125</v>
      </c>
      <c r="L3702" s="912">
        <f>H3702*K3702</f>
        <v>50858.75</v>
      </c>
      <c r="M3702" s="912"/>
      <c r="N3702" s="912"/>
      <c r="O3702" s="892">
        <f t="shared" si="232"/>
        <v>0</v>
      </c>
      <c r="P3702" s="903">
        <f t="shared" si="233"/>
        <v>1</v>
      </c>
      <c r="Q3702" s="893">
        <f t="shared" si="234"/>
        <v>1</v>
      </c>
      <c r="R3702" s="894">
        <f t="shared" si="235"/>
        <v>0</v>
      </c>
    </row>
    <row r="3703" spans="1:18" s="847" customFormat="1" ht="31.5">
      <c r="A3703" s="905"/>
      <c r="B3703" s="914" t="s">
        <v>5363</v>
      </c>
      <c r="C3703" s="915"/>
      <c r="D3703" s="915"/>
      <c r="E3703" s="916" t="s">
        <v>5364</v>
      </c>
      <c r="F3703" s="917" t="s">
        <v>139</v>
      </c>
      <c r="G3703" s="918"/>
      <c r="H3703" s="919"/>
      <c r="I3703" s="920"/>
      <c r="J3703" s="891">
        <f>SUM(J3704:J3705)</f>
        <v>0</v>
      </c>
      <c r="K3703" s="891"/>
      <c r="L3703" s="891">
        <f>SUM(L3704:L3705)</f>
        <v>55281.25</v>
      </c>
      <c r="M3703" s="891"/>
      <c r="N3703" s="891">
        <f>SUM(N3704:N3705)</f>
        <v>0</v>
      </c>
      <c r="O3703" s="892">
        <f t="shared" si="232"/>
        <v>1</v>
      </c>
      <c r="P3703" s="903">
        <f t="shared" si="233"/>
        <v>0</v>
      </c>
      <c r="Q3703" s="893">
        <f t="shared" si="234"/>
        <v>0</v>
      </c>
      <c r="R3703" s="894">
        <f t="shared" si="235"/>
        <v>2</v>
      </c>
    </row>
    <row r="3704" spans="1:18" s="904" customFormat="1">
      <c r="A3704" s="895"/>
      <c r="B3704" s="896"/>
      <c r="C3704" s="897"/>
      <c r="D3704" s="897"/>
      <c r="E3704" s="924" t="s">
        <v>276</v>
      </c>
      <c r="F3704" s="927"/>
      <c r="G3704" s="928"/>
      <c r="H3704" s="901"/>
      <c r="I3704" s="902"/>
      <c r="J3704" s="902"/>
      <c r="K3704" s="912" t="s">
        <v>274</v>
      </c>
      <c r="L3704" s="902"/>
      <c r="M3704" s="902"/>
      <c r="N3704" s="902"/>
      <c r="O3704" s="892">
        <f t="shared" si="232"/>
        <v>0</v>
      </c>
      <c r="P3704" s="903">
        <f t="shared" si="233"/>
        <v>1</v>
      </c>
      <c r="Q3704" s="893">
        <f t="shared" si="234"/>
        <v>2</v>
      </c>
      <c r="R3704" s="894">
        <f t="shared" si="235"/>
        <v>0</v>
      </c>
    </row>
    <row r="3705" spans="1:18">
      <c r="A3705" s="905"/>
      <c r="B3705" s="906"/>
      <c r="C3705" s="907">
        <v>740</v>
      </c>
      <c r="D3705" s="907" t="s">
        <v>12</v>
      </c>
      <c r="E3705" s="908" t="s">
        <v>4008</v>
      </c>
      <c r="F3705" s="909" t="s">
        <v>2674</v>
      </c>
      <c r="G3705" s="910"/>
      <c r="H3705" s="911">
        <v>0.25</v>
      </c>
      <c r="I3705" s="912"/>
      <c r="J3705" s="912"/>
      <c r="K3705" s="912">
        <f>VLOOKUP(E3705,[5]ĐMNC!$A$7:$F$67,4,0)</f>
        <v>221125</v>
      </c>
      <c r="L3705" s="912">
        <f>H3705*K3705</f>
        <v>55281.25</v>
      </c>
      <c r="M3705" s="912"/>
      <c r="N3705" s="912"/>
      <c r="O3705" s="892">
        <f t="shared" si="232"/>
        <v>0</v>
      </c>
      <c r="P3705" s="903">
        <f t="shared" si="233"/>
        <v>1</v>
      </c>
      <c r="Q3705" s="893">
        <f t="shared" si="234"/>
        <v>1</v>
      </c>
      <c r="R3705" s="894">
        <f t="shared" si="235"/>
        <v>0</v>
      </c>
    </row>
    <row r="3706" spans="1:18" s="847" customFormat="1" ht="31.5">
      <c r="A3706" s="905"/>
      <c r="B3706" s="914" t="s">
        <v>5365</v>
      </c>
      <c r="C3706" s="915"/>
      <c r="D3706" s="915"/>
      <c r="E3706" s="916" t="s">
        <v>5366</v>
      </c>
      <c r="F3706" s="917" t="s">
        <v>139</v>
      </c>
      <c r="G3706" s="918"/>
      <c r="H3706" s="919"/>
      <c r="I3706" s="920"/>
      <c r="J3706" s="891">
        <f>SUM(J3707:J3708)</f>
        <v>0</v>
      </c>
      <c r="K3706" s="891"/>
      <c r="L3706" s="891">
        <f>SUM(L3707:L3708)</f>
        <v>37591.25</v>
      </c>
      <c r="M3706" s="891"/>
      <c r="N3706" s="891">
        <f>SUM(N3707:N3708)</f>
        <v>0</v>
      </c>
      <c r="O3706" s="892">
        <f t="shared" si="232"/>
        <v>1</v>
      </c>
      <c r="P3706" s="903">
        <f t="shared" si="233"/>
        <v>0</v>
      </c>
      <c r="Q3706" s="893">
        <f t="shared" si="234"/>
        <v>0</v>
      </c>
      <c r="R3706" s="894">
        <f t="shared" si="235"/>
        <v>2</v>
      </c>
    </row>
    <row r="3707" spans="1:18" s="904" customFormat="1">
      <c r="A3707" s="895"/>
      <c r="B3707" s="922"/>
      <c r="C3707" s="897"/>
      <c r="D3707" s="897"/>
      <c r="E3707" s="924" t="s">
        <v>276</v>
      </c>
      <c r="F3707" s="927"/>
      <c r="G3707" s="928"/>
      <c r="H3707" s="901"/>
      <c r="I3707" s="902"/>
      <c r="J3707" s="902"/>
      <c r="K3707" s="912" t="s">
        <v>274</v>
      </c>
      <c r="L3707" s="902"/>
      <c r="M3707" s="902"/>
      <c r="N3707" s="902"/>
      <c r="O3707" s="892">
        <f t="shared" si="232"/>
        <v>0</v>
      </c>
      <c r="P3707" s="903">
        <f t="shared" si="233"/>
        <v>1</v>
      </c>
      <c r="Q3707" s="893">
        <f t="shared" si="234"/>
        <v>2</v>
      </c>
      <c r="R3707" s="894">
        <f t="shared" si="235"/>
        <v>0</v>
      </c>
    </row>
    <row r="3708" spans="1:18">
      <c r="A3708" s="905"/>
      <c r="B3708" s="906"/>
      <c r="C3708" s="907">
        <v>740</v>
      </c>
      <c r="D3708" s="907" t="s">
        <v>12</v>
      </c>
      <c r="E3708" s="908" t="s">
        <v>4008</v>
      </c>
      <c r="F3708" s="909" t="s">
        <v>2674</v>
      </c>
      <c r="G3708" s="910"/>
      <c r="H3708" s="911">
        <v>0.17</v>
      </c>
      <c r="I3708" s="912"/>
      <c r="J3708" s="912"/>
      <c r="K3708" s="912">
        <f>VLOOKUP(E3708,[5]ĐMNC!$A$7:$F$67,4,0)</f>
        <v>221125</v>
      </c>
      <c r="L3708" s="912">
        <f>H3708*K3708</f>
        <v>37591.25</v>
      </c>
      <c r="M3708" s="912"/>
      <c r="N3708" s="912"/>
      <c r="O3708" s="892">
        <f t="shared" si="232"/>
        <v>0</v>
      </c>
      <c r="P3708" s="903">
        <f t="shared" si="233"/>
        <v>1</v>
      </c>
      <c r="Q3708" s="893">
        <f t="shared" si="234"/>
        <v>1</v>
      </c>
      <c r="R3708" s="894">
        <f t="shared" si="235"/>
        <v>0</v>
      </c>
    </row>
    <row r="3709" spans="1:18" s="847" customFormat="1" ht="31.5">
      <c r="A3709" s="905"/>
      <c r="B3709" s="914" t="s">
        <v>5367</v>
      </c>
      <c r="C3709" s="915"/>
      <c r="D3709" s="915"/>
      <c r="E3709" s="916" t="s">
        <v>5368</v>
      </c>
      <c r="F3709" s="917" t="s">
        <v>139</v>
      </c>
      <c r="G3709" s="918"/>
      <c r="H3709" s="919"/>
      <c r="I3709" s="920"/>
      <c r="J3709" s="891">
        <f>SUM(J3710:J3711)</f>
        <v>0</v>
      </c>
      <c r="K3709" s="891"/>
      <c r="L3709" s="891">
        <f>SUM(L3710:L3711)</f>
        <v>39802.5</v>
      </c>
      <c r="M3709" s="891"/>
      <c r="N3709" s="891">
        <f>SUM(N3710:N3711)</f>
        <v>0</v>
      </c>
      <c r="O3709" s="892">
        <f t="shared" si="232"/>
        <v>1</v>
      </c>
      <c r="P3709" s="903">
        <f t="shared" si="233"/>
        <v>0</v>
      </c>
      <c r="Q3709" s="893">
        <f t="shared" si="234"/>
        <v>0</v>
      </c>
      <c r="R3709" s="894">
        <f t="shared" si="235"/>
        <v>2</v>
      </c>
    </row>
    <row r="3710" spans="1:18" s="904" customFormat="1">
      <c r="A3710" s="895"/>
      <c r="B3710" s="896"/>
      <c r="C3710" s="897"/>
      <c r="D3710" s="897"/>
      <c r="E3710" s="924" t="s">
        <v>276</v>
      </c>
      <c r="F3710" s="927"/>
      <c r="G3710" s="928"/>
      <c r="H3710" s="901"/>
      <c r="I3710" s="902"/>
      <c r="J3710" s="902"/>
      <c r="K3710" s="912" t="s">
        <v>274</v>
      </c>
      <c r="L3710" s="902"/>
      <c r="M3710" s="902"/>
      <c r="N3710" s="902"/>
      <c r="O3710" s="892">
        <f t="shared" si="232"/>
        <v>0</v>
      </c>
      <c r="P3710" s="903">
        <f t="shared" si="233"/>
        <v>1</v>
      </c>
      <c r="Q3710" s="893">
        <f t="shared" si="234"/>
        <v>2</v>
      </c>
      <c r="R3710" s="894">
        <f t="shared" si="235"/>
        <v>0</v>
      </c>
    </row>
    <row r="3711" spans="1:18">
      <c r="A3711" s="905"/>
      <c r="B3711" s="906"/>
      <c r="C3711" s="907">
        <v>740</v>
      </c>
      <c r="D3711" s="907" t="s">
        <v>12</v>
      </c>
      <c r="E3711" s="908" t="s">
        <v>4008</v>
      </c>
      <c r="F3711" s="909" t="s">
        <v>2674</v>
      </c>
      <c r="G3711" s="910"/>
      <c r="H3711" s="911">
        <v>0.18</v>
      </c>
      <c r="I3711" s="912"/>
      <c r="J3711" s="912"/>
      <c r="K3711" s="912">
        <f>VLOOKUP(E3711,[5]ĐMNC!$A$7:$F$67,4,0)</f>
        <v>221125</v>
      </c>
      <c r="L3711" s="912">
        <f>H3711*K3711</f>
        <v>39802.5</v>
      </c>
      <c r="M3711" s="912"/>
      <c r="N3711" s="912"/>
      <c r="O3711" s="892">
        <f t="shared" si="232"/>
        <v>0</v>
      </c>
      <c r="P3711" s="903">
        <f t="shared" si="233"/>
        <v>1</v>
      </c>
      <c r="Q3711" s="893">
        <f t="shared" si="234"/>
        <v>1</v>
      </c>
      <c r="R3711" s="894">
        <f t="shared" si="235"/>
        <v>0</v>
      </c>
    </row>
    <row r="3712" spans="1:18" s="847" customFormat="1" ht="31.5">
      <c r="A3712" s="905"/>
      <c r="B3712" s="914" t="s">
        <v>5369</v>
      </c>
      <c r="C3712" s="915"/>
      <c r="D3712" s="915"/>
      <c r="E3712" s="916" t="s">
        <v>5370</v>
      </c>
      <c r="F3712" s="917" t="s">
        <v>139</v>
      </c>
      <c r="G3712" s="918"/>
      <c r="H3712" s="919"/>
      <c r="I3712" s="920"/>
      <c r="J3712" s="891">
        <f>SUM(J3713:J3714)</f>
        <v>0</v>
      </c>
      <c r="K3712" s="891"/>
      <c r="L3712" s="891">
        <f>SUM(L3713:L3714)</f>
        <v>44225</v>
      </c>
      <c r="M3712" s="891"/>
      <c r="N3712" s="891">
        <f>SUM(N3713:N3714)</f>
        <v>0</v>
      </c>
      <c r="O3712" s="892">
        <f t="shared" si="232"/>
        <v>1</v>
      </c>
      <c r="P3712" s="903">
        <f t="shared" si="233"/>
        <v>0</v>
      </c>
      <c r="Q3712" s="893">
        <f t="shared" si="234"/>
        <v>0</v>
      </c>
      <c r="R3712" s="894">
        <f t="shared" si="235"/>
        <v>2</v>
      </c>
    </row>
    <row r="3713" spans="1:18" s="904" customFormat="1">
      <c r="A3713" s="895"/>
      <c r="B3713" s="896"/>
      <c r="C3713" s="897"/>
      <c r="D3713" s="897"/>
      <c r="E3713" s="924" t="s">
        <v>276</v>
      </c>
      <c r="F3713" s="927"/>
      <c r="G3713" s="928"/>
      <c r="H3713" s="901"/>
      <c r="I3713" s="902"/>
      <c r="J3713" s="902"/>
      <c r="K3713" s="912" t="s">
        <v>274</v>
      </c>
      <c r="L3713" s="902"/>
      <c r="M3713" s="902"/>
      <c r="N3713" s="902"/>
      <c r="O3713" s="892">
        <f t="shared" si="232"/>
        <v>0</v>
      </c>
      <c r="P3713" s="903">
        <f t="shared" si="233"/>
        <v>1</v>
      </c>
      <c r="Q3713" s="893">
        <f t="shared" si="234"/>
        <v>2</v>
      </c>
      <c r="R3713" s="894">
        <f t="shared" si="235"/>
        <v>0</v>
      </c>
    </row>
    <row r="3714" spans="1:18">
      <c r="A3714" s="905"/>
      <c r="B3714" s="906"/>
      <c r="C3714" s="907">
        <v>740</v>
      </c>
      <c r="D3714" s="907" t="s">
        <v>12</v>
      </c>
      <c r="E3714" s="908" t="s">
        <v>4008</v>
      </c>
      <c r="F3714" s="909" t="s">
        <v>2674</v>
      </c>
      <c r="G3714" s="910"/>
      <c r="H3714" s="911">
        <v>0.2</v>
      </c>
      <c r="I3714" s="912"/>
      <c r="J3714" s="912"/>
      <c r="K3714" s="912">
        <f>VLOOKUP(E3714,[5]ĐMNC!$A$7:$F$67,4,0)</f>
        <v>221125</v>
      </c>
      <c r="L3714" s="912">
        <f>H3714*K3714</f>
        <v>44225</v>
      </c>
      <c r="M3714" s="912"/>
      <c r="N3714" s="912"/>
      <c r="O3714" s="892">
        <f t="shared" si="232"/>
        <v>0</v>
      </c>
      <c r="P3714" s="903">
        <f t="shared" si="233"/>
        <v>1</v>
      </c>
      <c r="Q3714" s="893">
        <f t="shared" si="234"/>
        <v>1</v>
      </c>
      <c r="R3714" s="894">
        <f t="shared" si="235"/>
        <v>0</v>
      </c>
    </row>
    <row r="3715" spans="1:18" s="847" customFormat="1" ht="31.5">
      <c r="A3715" s="905"/>
      <c r="B3715" s="914" t="s">
        <v>5371</v>
      </c>
      <c r="C3715" s="915"/>
      <c r="D3715" s="915"/>
      <c r="E3715" s="916" t="s">
        <v>5372</v>
      </c>
      <c r="F3715" s="917" t="s">
        <v>139</v>
      </c>
      <c r="G3715" s="918"/>
      <c r="H3715" s="919"/>
      <c r="I3715" s="920"/>
      <c r="J3715" s="891">
        <f>SUM(J3716:J3717)</f>
        <v>0</v>
      </c>
      <c r="K3715" s="891"/>
      <c r="L3715" s="891">
        <f>SUM(L3716:L3717)</f>
        <v>50858.75</v>
      </c>
      <c r="M3715" s="891"/>
      <c r="N3715" s="891">
        <f>SUM(N3716:N3717)</f>
        <v>0</v>
      </c>
      <c r="O3715" s="892">
        <f t="shared" si="232"/>
        <v>1</v>
      </c>
      <c r="P3715" s="903">
        <f t="shared" si="233"/>
        <v>0</v>
      </c>
      <c r="Q3715" s="893">
        <f t="shared" si="234"/>
        <v>0</v>
      </c>
      <c r="R3715" s="894">
        <f t="shared" si="235"/>
        <v>2</v>
      </c>
    </row>
    <row r="3716" spans="1:18" s="904" customFormat="1">
      <c r="A3716" s="895"/>
      <c r="B3716" s="896"/>
      <c r="C3716" s="897"/>
      <c r="D3716" s="897"/>
      <c r="E3716" s="924" t="s">
        <v>276</v>
      </c>
      <c r="F3716" s="927"/>
      <c r="G3716" s="928"/>
      <c r="H3716" s="901"/>
      <c r="I3716" s="902"/>
      <c r="J3716" s="902"/>
      <c r="K3716" s="912" t="s">
        <v>274</v>
      </c>
      <c r="L3716" s="902"/>
      <c r="M3716" s="902"/>
      <c r="N3716" s="902"/>
      <c r="O3716" s="892">
        <f t="shared" si="232"/>
        <v>0</v>
      </c>
      <c r="P3716" s="903">
        <f t="shared" si="233"/>
        <v>1</v>
      </c>
      <c r="Q3716" s="893">
        <f t="shared" si="234"/>
        <v>2</v>
      </c>
      <c r="R3716" s="894">
        <f t="shared" si="235"/>
        <v>0</v>
      </c>
    </row>
    <row r="3717" spans="1:18">
      <c r="A3717" s="905"/>
      <c r="B3717" s="906"/>
      <c r="C3717" s="907">
        <v>740</v>
      </c>
      <c r="D3717" s="907" t="s">
        <v>12</v>
      </c>
      <c r="E3717" s="908" t="s">
        <v>4008</v>
      </c>
      <c r="F3717" s="909" t="s">
        <v>2674</v>
      </c>
      <c r="G3717" s="910"/>
      <c r="H3717" s="911">
        <v>0.23</v>
      </c>
      <c r="I3717" s="912"/>
      <c r="J3717" s="912"/>
      <c r="K3717" s="912">
        <f>VLOOKUP(E3717,[5]ĐMNC!$A$7:$F$67,4,0)</f>
        <v>221125</v>
      </c>
      <c r="L3717" s="912">
        <f>H3717*K3717</f>
        <v>50858.75</v>
      </c>
      <c r="M3717" s="912"/>
      <c r="N3717" s="912"/>
      <c r="O3717" s="892">
        <f t="shared" si="232"/>
        <v>0</v>
      </c>
      <c r="P3717" s="903">
        <f t="shared" si="233"/>
        <v>1</v>
      </c>
      <c r="Q3717" s="893">
        <f t="shared" si="234"/>
        <v>1</v>
      </c>
      <c r="R3717" s="894">
        <f t="shared" si="235"/>
        <v>0</v>
      </c>
    </row>
    <row r="3718" spans="1:18" s="847" customFormat="1" ht="31.5">
      <c r="A3718" s="905"/>
      <c r="B3718" s="914" t="s">
        <v>5373</v>
      </c>
      <c r="C3718" s="915"/>
      <c r="D3718" s="915"/>
      <c r="E3718" s="916" t="s">
        <v>5374</v>
      </c>
      <c r="F3718" s="917" t="s">
        <v>139</v>
      </c>
      <c r="G3718" s="918"/>
      <c r="H3718" s="919"/>
      <c r="I3718" s="920"/>
      <c r="J3718" s="891">
        <f>SUM(J3719:J3720)</f>
        <v>0</v>
      </c>
      <c r="K3718" s="891"/>
      <c r="L3718" s="891">
        <f>SUM(L3719:L3720)</f>
        <v>57492.5</v>
      </c>
      <c r="M3718" s="891"/>
      <c r="N3718" s="891">
        <f>SUM(N3719:N3720)</f>
        <v>0</v>
      </c>
      <c r="O3718" s="892">
        <f t="shared" si="232"/>
        <v>1</v>
      </c>
      <c r="P3718" s="903">
        <f t="shared" si="233"/>
        <v>0</v>
      </c>
      <c r="Q3718" s="893">
        <f t="shared" si="234"/>
        <v>0</v>
      </c>
      <c r="R3718" s="894">
        <f t="shared" si="235"/>
        <v>2</v>
      </c>
    </row>
    <row r="3719" spans="1:18" s="904" customFormat="1">
      <c r="A3719" s="895"/>
      <c r="B3719" s="896"/>
      <c r="C3719" s="897"/>
      <c r="D3719" s="897"/>
      <c r="E3719" s="924" t="s">
        <v>276</v>
      </c>
      <c r="F3719" s="927"/>
      <c r="G3719" s="928"/>
      <c r="H3719" s="901"/>
      <c r="I3719" s="902"/>
      <c r="J3719" s="902"/>
      <c r="K3719" s="912" t="s">
        <v>274</v>
      </c>
      <c r="L3719" s="902"/>
      <c r="M3719" s="902"/>
      <c r="N3719" s="902"/>
      <c r="O3719" s="892">
        <f t="shared" si="232"/>
        <v>0</v>
      </c>
      <c r="P3719" s="903">
        <f t="shared" si="233"/>
        <v>1</v>
      </c>
      <c r="Q3719" s="893">
        <f t="shared" si="234"/>
        <v>2</v>
      </c>
      <c r="R3719" s="894">
        <f t="shared" si="235"/>
        <v>0</v>
      </c>
    </row>
    <row r="3720" spans="1:18">
      <c r="A3720" s="905"/>
      <c r="B3720" s="906"/>
      <c r="C3720" s="907">
        <v>740</v>
      </c>
      <c r="D3720" s="907" t="s">
        <v>12</v>
      </c>
      <c r="E3720" s="908" t="s">
        <v>4008</v>
      </c>
      <c r="F3720" s="909" t="s">
        <v>2674</v>
      </c>
      <c r="G3720" s="910"/>
      <c r="H3720" s="911">
        <v>0.26</v>
      </c>
      <c r="I3720" s="912"/>
      <c r="J3720" s="912"/>
      <c r="K3720" s="912">
        <f>VLOOKUP(E3720,[5]ĐMNC!$A$7:$F$67,4,0)</f>
        <v>221125</v>
      </c>
      <c r="L3720" s="912">
        <f>H3720*K3720</f>
        <v>57492.5</v>
      </c>
      <c r="M3720" s="912"/>
      <c r="N3720" s="912"/>
      <c r="O3720" s="892">
        <f t="shared" si="232"/>
        <v>0</v>
      </c>
      <c r="P3720" s="903">
        <f t="shared" si="233"/>
        <v>1</v>
      </c>
      <c r="Q3720" s="893">
        <f t="shared" si="234"/>
        <v>1</v>
      </c>
      <c r="R3720" s="894">
        <f t="shared" si="235"/>
        <v>0</v>
      </c>
    </row>
    <row r="3721" spans="1:18" s="847" customFormat="1" ht="31.5">
      <c r="A3721" s="905"/>
      <c r="B3721" s="914" t="s">
        <v>5375</v>
      </c>
      <c r="C3721" s="915"/>
      <c r="D3721" s="915"/>
      <c r="E3721" s="916" t="s">
        <v>5376</v>
      </c>
      <c r="F3721" s="917" t="s">
        <v>139</v>
      </c>
      <c r="G3721" s="918"/>
      <c r="H3721" s="919"/>
      <c r="I3721" s="920"/>
      <c r="J3721" s="891">
        <f>SUM(J3722:J3723)</f>
        <v>0</v>
      </c>
      <c r="K3721" s="891"/>
      <c r="L3721" s="891">
        <f>SUM(L3722:L3723)</f>
        <v>64126.249999999993</v>
      </c>
      <c r="M3721" s="891"/>
      <c r="N3721" s="891">
        <f>SUM(N3722:N3723)</f>
        <v>0</v>
      </c>
      <c r="O3721" s="892">
        <f t="shared" si="232"/>
        <v>1</v>
      </c>
      <c r="P3721" s="903">
        <f t="shared" si="233"/>
        <v>0</v>
      </c>
      <c r="Q3721" s="893">
        <f t="shared" si="234"/>
        <v>0</v>
      </c>
      <c r="R3721" s="894">
        <f t="shared" si="235"/>
        <v>2</v>
      </c>
    </row>
    <row r="3722" spans="1:18" s="904" customFormat="1">
      <c r="A3722" s="895"/>
      <c r="B3722" s="896"/>
      <c r="C3722" s="897"/>
      <c r="D3722" s="897"/>
      <c r="E3722" s="924" t="s">
        <v>276</v>
      </c>
      <c r="F3722" s="927"/>
      <c r="G3722" s="928"/>
      <c r="H3722" s="901"/>
      <c r="I3722" s="902"/>
      <c r="J3722" s="902"/>
      <c r="K3722" s="912" t="s">
        <v>274</v>
      </c>
      <c r="L3722" s="902"/>
      <c r="M3722" s="902"/>
      <c r="N3722" s="902"/>
      <c r="O3722" s="892">
        <f t="shared" si="232"/>
        <v>0</v>
      </c>
      <c r="P3722" s="903">
        <f t="shared" si="233"/>
        <v>1</v>
      </c>
      <c r="Q3722" s="893">
        <f t="shared" si="234"/>
        <v>2</v>
      </c>
      <c r="R3722" s="894">
        <f t="shared" si="235"/>
        <v>0</v>
      </c>
    </row>
    <row r="3723" spans="1:18">
      <c r="A3723" s="905"/>
      <c r="B3723" s="906"/>
      <c r="C3723" s="907">
        <v>740</v>
      </c>
      <c r="D3723" s="907" t="s">
        <v>12</v>
      </c>
      <c r="E3723" s="908" t="s">
        <v>4008</v>
      </c>
      <c r="F3723" s="909" t="s">
        <v>2674</v>
      </c>
      <c r="G3723" s="910"/>
      <c r="H3723" s="911">
        <v>0.28999999999999998</v>
      </c>
      <c r="I3723" s="912"/>
      <c r="J3723" s="912"/>
      <c r="K3723" s="912">
        <f>VLOOKUP(E3723,[5]ĐMNC!$A$7:$F$67,4,0)</f>
        <v>221125</v>
      </c>
      <c r="L3723" s="912">
        <f>H3723*K3723</f>
        <v>64126.249999999993</v>
      </c>
      <c r="M3723" s="912"/>
      <c r="N3723" s="912"/>
      <c r="O3723" s="892">
        <f t="shared" si="232"/>
        <v>0</v>
      </c>
      <c r="P3723" s="903">
        <f t="shared" si="233"/>
        <v>1</v>
      </c>
      <c r="Q3723" s="893">
        <f t="shared" si="234"/>
        <v>1</v>
      </c>
      <c r="R3723" s="894">
        <f t="shared" si="235"/>
        <v>0</v>
      </c>
    </row>
    <row r="3724" spans="1:18" s="847" customFormat="1" ht="31.5">
      <c r="A3724" s="905"/>
      <c r="B3724" s="914" t="s">
        <v>5377</v>
      </c>
      <c r="C3724" s="915"/>
      <c r="D3724" s="915"/>
      <c r="E3724" s="916" t="s">
        <v>5378</v>
      </c>
      <c r="F3724" s="917" t="s">
        <v>139</v>
      </c>
      <c r="G3724" s="918"/>
      <c r="H3724" s="919"/>
      <c r="I3724" s="920"/>
      <c r="J3724" s="891">
        <f>SUM(J3725:J3726)</f>
        <v>0</v>
      </c>
      <c r="K3724" s="891"/>
      <c r="L3724" s="891">
        <f>SUM(L3725:L3726)</f>
        <v>68548.75</v>
      </c>
      <c r="M3724" s="891"/>
      <c r="N3724" s="891">
        <f>SUM(N3725:N3726)</f>
        <v>0</v>
      </c>
      <c r="O3724" s="892">
        <f t="shared" si="232"/>
        <v>1</v>
      </c>
      <c r="P3724" s="903">
        <f t="shared" si="233"/>
        <v>0</v>
      </c>
      <c r="Q3724" s="893">
        <f t="shared" si="234"/>
        <v>0</v>
      </c>
      <c r="R3724" s="894">
        <f t="shared" si="235"/>
        <v>2</v>
      </c>
    </row>
    <row r="3725" spans="1:18" s="904" customFormat="1">
      <c r="A3725" s="895"/>
      <c r="B3725" s="896"/>
      <c r="C3725" s="897"/>
      <c r="D3725" s="897"/>
      <c r="E3725" s="924" t="s">
        <v>276</v>
      </c>
      <c r="F3725" s="927"/>
      <c r="G3725" s="928"/>
      <c r="H3725" s="901"/>
      <c r="I3725" s="902"/>
      <c r="J3725" s="902"/>
      <c r="K3725" s="912" t="s">
        <v>274</v>
      </c>
      <c r="L3725" s="902"/>
      <c r="M3725" s="902"/>
      <c r="N3725" s="902"/>
      <c r="O3725" s="892">
        <f t="shared" si="232"/>
        <v>0</v>
      </c>
      <c r="P3725" s="903">
        <f t="shared" si="233"/>
        <v>1</v>
      </c>
      <c r="Q3725" s="893">
        <f t="shared" si="234"/>
        <v>2</v>
      </c>
      <c r="R3725" s="894">
        <f t="shared" si="235"/>
        <v>0</v>
      </c>
    </row>
    <row r="3726" spans="1:18">
      <c r="A3726" s="905"/>
      <c r="B3726" s="906"/>
      <c r="C3726" s="907">
        <v>740</v>
      </c>
      <c r="D3726" s="907" t="s">
        <v>12</v>
      </c>
      <c r="E3726" s="908" t="s">
        <v>4008</v>
      </c>
      <c r="F3726" s="909" t="s">
        <v>2674</v>
      </c>
      <c r="G3726" s="910"/>
      <c r="H3726" s="911">
        <v>0.31</v>
      </c>
      <c r="I3726" s="912"/>
      <c r="J3726" s="912"/>
      <c r="K3726" s="912">
        <f>VLOOKUP(E3726,[5]ĐMNC!$A$7:$F$67,4,0)</f>
        <v>221125</v>
      </c>
      <c r="L3726" s="912">
        <f>H3726*K3726</f>
        <v>68548.75</v>
      </c>
      <c r="M3726" s="912"/>
      <c r="N3726" s="912"/>
      <c r="O3726" s="892">
        <f t="shared" si="232"/>
        <v>0</v>
      </c>
      <c r="P3726" s="903">
        <f t="shared" si="233"/>
        <v>1</v>
      </c>
      <c r="Q3726" s="893">
        <f t="shared" si="234"/>
        <v>1</v>
      </c>
      <c r="R3726" s="894">
        <f t="shared" si="235"/>
        <v>0</v>
      </c>
    </row>
    <row r="3727" spans="1:18" s="847" customFormat="1" ht="31.5">
      <c r="A3727" s="905"/>
      <c r="B3727" s="914" t="s">
        <v>5379</v>
      </c>
      <c r="C3727" s="915"/>
      <c r="D3727" s="915"/>
      <c r="E3727" s="916" t="s">
        <v>5380</v>
      </c>
      <c r="F3727" s="917" t="s">
        <v>139</v>
      </c>
      <c r="G3727" s="918"/>
      <c r="H3727" s="919"/>
      <c r="I3727" s="920"/>
      <c r="J3727" s="891">
        <f>SUM(J3728:J3729)</f>
        <v>0</v>
      </c>
      <c r="K3727" s="891"/>
      <c r="L3727" s="891">
        <f>SUM(L3728:L3729)</f>
        <v>77393.75</v>
      </c>
      <c r="M3727" s="891"/>
      <c r="N3727" s="891">
        <f>SUM(N3728:N3729)</f>
        <v>0</v>
      </c>
      <c r="O3727" s="892">
        <f t="shared" si="232"/>
        <v>1</v>
      </c>
      <c r="P3727" s="903">
        <f t="shared" si="233"/>
        <v>0</v>
      </c>
      <c r="Q3727" s="893">
        <f t="shared" si="234"/>
        <v>0</v>
      </c>
      <c r="R3727" s="894">
        <f t="shared" si="235"/>
        <v>2</v>
      </c>
    </row>
    <row r="3728" spans="1:18" s="904" customFormat="1">
      <c r="A3728" s="895"/>
      <c r="B3728" s="896"/>
      <c r="C3728" s="897"/>
      <c r="D3728" s="897"/>
      <c r="E3728" s="924" t="s">
        <v>276</v>
      </c>
      <c r="F3728" s="927"/>
      <c r="G3728" s="928"/>
      <c r="H3728" s="901"/>
      <c r="I3728" s="902"/>
      <c r="J3728" s="902"/>
      <c r="K3728" s="912" t="s">
        <v>274</v>
      </c>
      <c r="L3728" s="902"/>
      <c r="M3728" s="902"/>
      <c r="N3728" s="902"/>
      <c r="O3728" s="892">
        <f t="shared" si="232"/>
        <v>0</v>
      </c>
      <c r="P3728" s="903">
        <f t="shared" si="233"/>
        <v>1</v>
      </c>
      <c r="Q3728" s="893">
        <f t="shared" si="234"/>
        <v>2</v>
      </c>
      <c r="R3728" s="894">
        <f t="shared" si="235"/>
        <v>0</v>
      </c>
    </row>
    <row r="3729" spans="1:18">
      <c r="A3729" s="905"/>
      <c r="B3729" s="906"/>
      <c r="C3729" s="907">
        <v>740</v>
      </c>
      <c r="D3729" s="907" t="s">
        <v>12</v>
      </c>
      <c r="E3729" s="908" t="s">
        <v>4008</v>
      </c>
      <c r="F3729" s="909" t="s">
        <v>2674</v>
      </c>
      <c r="G3729" s="910"/>
      <c r="H3729" s="911">
        <v>0.35</v>
      </c>
      <c r="I3729" s="912"/>
      <c r="J3729" s="912"/>
      <c r="K3729" s="912">
        <f>VLOOKUP(E3729,[5]ĐMNC!$A$7:$F$67,4,0)</f>
        <v>221125</v>
      </c>
      <c r="L3729" s="912">
        <f>H3729*K3729</f>
        <v>77393.75</v>
      </c>
      <c r="M3729" s="912"/>
      <c r="N3729" s="912"/>
      <c r="O3729" s="892">
        <f t="shared" si="232"/>
        <v>0</v>
      </c>
      <c r="P3729" s="903">
        <f t="shared" si="233"/>
        <v>1</v>
      </c>
      <c r="Q3729" s="893">
        <f t="shared" si="234"/>
        <v>1</v>
      </c>
      <c r="R3729" s="894">
        <f t="shared" si="235"/>
        <v>0</v>
      </c>
    </row>
    <row r="3730" spans="1:18" s="847" customFormat="1" ht="31.5">
      <c r="A3730" s="905"/>
      <c r="B3730" s="914" t="s">
        <v>5381</v>
      </c>
      <c r="C3730" s="915"/>
      <c r="D3730" s="915"/>
      <c r="E3730" s="916" t="s">
        <v>5382</v>
      </c>
      <c r="F3730" s="917" t="s">
        <v>139</v>
      </c>
      <c r="G3730" s="918"/>
      <c r="H3730" s="919"/>
      <c r="I3730" s="920"/>
      <c r="J3730" s="891">
        <f>SUM(J3731:J3732)</f>
        <v>0</v>
      </c>
      <c r="K3730" s="891"/>
      <c r="L3730" s="891">
        <f>SUM(L3731:L3732)</f>
        <v>84027.5</v>
      </c>
      <c r="M3730" s="891"/>
      <c r="N3730" s="891">
        <f>SUM(N3731:N3732)</f>
        <v>0</v>
      </c>
      <c r="O3730" s="892">
        <f t="shared" si="232"/>
        <v>1</v>
      </c>
      <c r="P3730" s="903">
        <f t="shared" si="233"/>
        <v>0</v>
      </c>
      <c r="Q3730" s="893">
        <f t="shared" si="234"/>
        <v>0</v>
      </c>
      <c r="R3730" s="894">
        <f t="shared" si="235"/>
        <v>2</v>
      </c>
    </row>
    <row r="3731" spans="1:18" s="904" customFormat="1">
      <c r="A3731" s="895"/>
      <c r="B3731" s="896"/>
      <c r="C3731" s="897"/>
      <c r="D3731" s="897"/>
      <c r="E3731" s="924" t="s">
        <v>276</v>
      </c>
      <c r="F3731" s="927"/>
      <c r="G3731" s="928"/>
      <c r="H3731" s="901"/>
      <c r="I3731" s="902"/>
      <c r="J3731" s="902"/>
      <c r="K3731" s="912" t="s">
        <v>274</v>
      </c>
      <c r="L3731" s="902"/>
      <c r="M3731" s="902"/>
      <c r="N3731" s="902"/>
      <c r="O3731" s="892">
        <f t="shared" si="232"/>
        <v>0</v>
      </c>
      <c r="P3731" s="903">
        <f t="shared" si="233"/>
        <v>1</v>
      </c>
      <c r="Q3731" s="893">
        <f t="shared" si="234"/>
        <v>2</v>
      </c>
      <c r="R3731" s="894">
        <f t="shared" si="235"/>
        <v>0</v>
      </c>
    </row>
    <row r="3732" spans="1:18">
      <c r="A3732" s="905"/>
      <c r="B3732" s="906"/>
      <c r="C3732" s="907">
        <v>740</v>
      </c>
      <c r="D3732" s="907" t="s">
        <v>12</v>
      </c>
      <c r="E3732" s="908" t="s">
        <v>4008</v>
      </c>
      <c r="F3732" s="909" t="s">
        <v>2674</v>
      </c>
      <c r="G3732" s="910"/>
      <c r="H3732" s="911">
        <v>0.38</v>
      </c>
      <c r="I3732" s="912"/>
      <c r="J3732" s="912"/>
      <c r="K3732" s="912">
        <f>VLOOKUP(E3732,[5]ĐMNC!$A$7:$F$67,4,0)</f>
        <v>221125</v>
      </c>
      <c r="L3732" s="912">
        <f>H3732*K3732</f>
        <v>84027.5</v>
      </c>
      <c r="M3732" s="912"/>
      <c r="N3732" s="912"/>
      <c r="O3732" s="892">
        <f t="shared" si="232"/>
        <v>0</v>
      </c>
      <c r="P3732" s="903">
        <f t="shared" si="233"/>
        <v>1</v>
      </c>
      <c r="Q3732" s="893">
        <f t="shared" si="234"/>
        <v>1</v>
      </c>
      <c r="R3732" s="894">
        <f t="shared" si="235"/>
        <v>0</v>
      </c>
    </row>
    <row r="3733" spans="1:18" s="847" customFormat="1" ht="31.5">
      <c r="A3733" s="905"/>
      <c r="B3733" s="914" t="s">
        <v>5383</v>
      </c>
      <c r="C3733" s="915"/>
      <c r="D3733" s="915"/>
      <c r="E3733" s="916" t="s">
        <v>5384</v>
      </c>
      <c r="F3733" s="917" t="s">
        <v>139</v>
      </c>
      <c r="G3733" s="918"/>
      <c r="H3733" s="919"/>
      <c r="I3733" s="920"/>
      <c r="J3733" s="891">
        <f>SUM(J3734:J3735)</f>
        <v>0</v>
      </c>
      <c r="K3733" s="891"/>
      <c r="L3733" s="891">
        <f>SUM(L3734:L3735)</f>
        <v>77393.75</v>
      </c>
      <c r="M3733" s="891"/>
      <c r="N3733" s="891">
        <f>SUM(N3734:N3735)</f>
        <v>0</v>
      </c>
      <c r="O3733" s="892">
        <f t="shared" si="232"/>
        <v>1</v>
      </c>
      <c r="P3733" s="903">
        <f t="shared" si="233"/>
        <v>0</v>
      </c>
      <c r="Q3733" s="893">
        <f t="shared" si="234"/>
        <v>0</v>
      </c>
      <c r="R3733" s="894">
        <f t="shared" si="235"/>
        <v>2</v>
      </c>
    </row>
    <row r="3734" spans="1:18" s="904" customFormat="1">
      <c r="A3734" s="895"/>
      <c r="B3734" s="922"/>
      <c r="C3734" s="897"/>
      <c r="D3734" s="897"/>
      <c r="E3734" s="924" t="s">
        <v>276</v>
      </c>
      <c r="F3734" s="927"/>
      <c r="G3734" s="928"/>
      <c r="H3734" s="901"/>
      <c r="I3734" s="902"/>
      <c r="J3734" s="902"/>
      <c r="K3734" s="912" t="s">
        <v>274</v>
      </c>
      <c r="L3734" s="902"/>
      <c r="M3734" s="902"/>
      <c r="N3734" s="902"/>
      <c r="O3734" s="892">
        <f t="shared" si="232"/>
        <v>0</v>
      </c>
      <c r="P3734" s="903">
        <f t="shared" si="233"/>
        <v>1</v>
      </c>
      <c r="Q3734" s="893">
        <f t="shared" si="234"/>
        <v>2</v>
      </c>
      <c r="R3734" s="894">
        <f t="shared" si="235"/>
        <v>0</v>
      </c>
    </row>
    <row r="3735" spans="1:18">
      <c r="A3735" s="905"/>
      <c r="B3735" s="906"/>
      <c r="C3735" s="907">
        <v>740</v>
      </c>
      <c r="D3735" s="907" t="s">
        <v>12</v>
      </c>
      <c r="E3735" s="908" t="s">
        <v>4008</v>
      </c>
      <c r="F3735" s="909" t="s">
        <v>2674</v>
      </c>
      <c r="G3735" s="910"/>
      <c r="H3735" s="911">
        <v>0.35</v>
      </c>
      <c r="I3735" s="912"/>
      <c r="J3735" s="912"/>
      <c r="K3735" s="912">
        <f>VLOOKUP(E3735,[5]ĐMNC!$A$7:$F$67,4,0)</f>
        <v>221125</v>
      </c>
      <c r="L3735" s="912">
        <f>H3735*K3735</f>
        <v>77393.75</v>
      </c>
      <c r="M3735" s="912"/>
      <c r="N3735" s="912"/>
      <c r="O3735" s="892">
        <f t="shared" si="232"/>
        <v>0</v>
      </c>
      <c r="P3735" s="903">
        <f t="shared" si="233"/>
        <v>1</v>
      </c>
      <c r="Q3735" s="893">
        <f t="shared" si="234"/>
        <v>1</v>
      </c>
      <c r="R3735" s="894">
        <f t="shared" si="235"/>
        <v>0</v>
      </c>
    </row>
    <row r="3736" spans="1:18" s="847" customFormat="1" ht="31.5">
      <c r="A3736" s="905"/>
      <c r="B3736" s="914" t="s">
        <v>5385</v>
      </c>
      <c r="C3736" s="915"/>
      <c r="D3736" s="915"/>
      <c r="E3736" s="916" t="s">
        <v>5386</v>
      </c>
      <c r="F3736" s="917" t="s">
        <v>139</v>
      </c>
      <c r="G3736" s="918"/>
      <c r="H3736" s="919"/>
      <c r="I3736" s="920"/>
      <c r="J3736" s="891">
        <f>SUM(J3737:J3738)</f>
        <v>0</v>
      </c>
      <c r="K3736" s="891"/>
      <c r="L3736" s="891">
        <f>SUM(L3737:L3738)</f>
        <v>79605</v>
      </c>
      <c r="M3736" s="891"/>
      <c r="N3736" s="891">
        <f>SUM(N3737:N3738)</f>
        <v>0</v>
      </c>
      <c r="O3736" s="892">
        <f t="shared" si="232"/>
        <v>1</v>
      </c>
      <c r="P3736" s="903">
        <f t="shared" si="233"/>
        <v>0</v>
      </c>
      <c r="Q3736" s="893">
        <f t="shared" si="234"/>
        <v>0</v>
      </c>
      <c r="R3736" s="894">
        <f t="shared" si="235"/>
        <v>2</v>
      </c>
    </row>
    <row r="3737" spans="1:18" s="904" customFormat="1">
      <c r="A3737" s="895"/>
      <c r="B3737" s="896"/>
      <c r="C3737" s="897"/>
      <c r="D3737" s="897"/>
      <c r="E3737" s="924" t="s">
        <v>276</v>
      </c>
      <c r="F3737" s="927"/>
      <c r="G3737" s="928"/>
      <c r="H3737" s="901"/>
      <c r="I3737" s="902"/>
      <c r="J3737" s="902"/>
      <c r="K3737" s="912" t="s">
        <v>274</v>
      </c>
      <c r="L3737" s="902"/>
      <c r="M3737" s="902"/>
      <c r="N3737" s="902"/>
      <c r="O3737" s="892">
        <f t="shared" si="232"/>
        <v>0</v>
      </c>
      <c r="P3737" s="903">
        <f t="shared" si="233"/>
        <v>1</v>
      </c>
      <c r="Q3737" s="893">
        <f t="shared" si="234"/>
        <v>2</v>
      </c>
      <c r="R3737" s="894">
        <f t="shared" si="235"/>
        <v>0</v>
      </c>
    </row>
    <row r="3738" spans="1:18">
      <c r="A3738" s="905"/>
      <c r="B3738" s="906"/>
      <c r="C3738" s="907">
        <v>740</v>
      </c>
      <c r="D3738" s="907" t="s">
        <v>12</v>
      </c>
      <c r="E3738" s="908" t="s">
        <v>4008</v>
      </c>
      <c r="F3738" s="909" t="s">
        <v>2674</v>
      </c>
      <c r="G3738" s="910"/>
      <c r="H3738" s="911">
        <v>0.36</v>
      </c>
      <c r="I3738" s="912"/>
      <c r="J3738" s="912"/>
      <c r="K3738" s="912">
        <f>VLOOKUP(E3738,[5]ĐMNC!$A$7:$F$67,4,0)</f>
        <v>221125</v>
      </c>
      <c r="L3738" s="912">
        <f>H3738*K3738</f>
        <v>79605</v>
      </c>
      <c r="M3738" s="912"/>
      <c r="N3738" s="912"/>
      <c r="O3738" s="892">
        <f t="shared" si="232"/>
        <v>0</v>
      </c>
      <c r="P3738" s="903">
        <f t="shared" si="233"/>
        <v>1</v>
      </c>
      <c r="Q3738" s="893">
        <f t="shared" si="234"/>
        <v>1</v>
      </c>
      <c r="R3738" s="894">
        <f t="shared" si="235"/>
        <v>0</v>
      </c>
    </row>
    <row r="3739" spans="1:18" s="847" customFormat="1" ht="31.5">
      <c r="A3739" s="905"/>
      <c r="B3739" s="914" t="s">
        <v>5387</v>
      </c>
      <c r="C3739" s="915"/>
      <c r="D3739" s="915"/>
      <c r="E3739" s="916" t="s">
        <v>5388</v>
      </c>
      <c r="F3739" s="917" t="s">
        <v>139</v>
      </c>
      <c r="G3739" s="918"/>
      <c r="H3739" s="919"/>
      <c r="I3739" s="920"/>
      <c r="J3739" s="891">
        <f>SUM(J3740:J3741)</f>
        <v>0</v>
      </c>
      <c r="K3739" s="891"/>
      <c r="L3739" s="891">
        <f>SUM(L3740:L3741)</f>
        <v>90661.25</v>
      </c>
      <c r="M3739" s="891"/>
      <c r="N3739" s="891">
        <f>SUM(N3740:N3741)</f>
        <v>0</v>
      </c>
      <c r="O3739" s="892">
        <f t="shared" si="232"/>
        <v>1</v>
      </c>
      <c r="P3739" s="903">
        <f t="shared" si="233"/>
        <v>0</v>
      </c>
      <c r="Q3739" s="893">
        <f t="shared" si="234"/>
        <v>0</v>
      </c>
      <c r="R3739" s="894">
        <f t="shared" si="235"/>
        <v>2</v>
      </c>
    </row>
    <row r="3740" spans="1:18" s="904" customFormat="1">
      <c r="A3740" s="895"/>
      <c r="B3740" s="896"/>
      <c r="C3740" s="897"/>
      <c r="D3740" s="897"/>
      <c r="E3740" s="924" t="s">
        <v>276</v>
      </c>
      <c r="F3740" s="927"/>
      <c r="G3740" s="928"/>
      <c r="H3740" s="901"/>
      <c r="I3740" s="902"/>
      <c r="J3740" s="902"/>
      <c r="K3740" s="912" t="s">
        <v>274</v>
      </c>
      <c r="L3740" s="902"/>
      <c r="M3740" s="902"/>
      <c r="N3740" s="902"/>
      <c r="O3740" s="892">
        <f t="shared" si="232"/>
        <v>0</v>
      </c>
      <c r="P3740" s="903">
        <f t="shared" si="233"/>
        <v>1</v>
      </c>
      <c r="Q3740" s="893">
        <f t="shared" si="234"/>
        <v>2</v>
      </c>
      <c r="R3740" s="894">
        <f t="shared" si="235"/>
        <v>0</v>
      </c>
    </row>
    <row r="3741" spans="1:18">
      <c r="A3741" s="905"/>
      <c r="B3741" s="906"/>
      <c r="C3741" s="907">
        <v>740</v>
      </c>
      <c r="D3741" s="907" t="s">
        <v>12</v>
      </c>
      <c r="E3741" s="908" t="s">
        <v>4008</v>
      </c>
      <c r="F3741" s="909" t="s">
        <v>2674</v>
      </c>
      <c r="G3741" s="910"/>
      <c r="H3741" s="911">
        <v>0.41</v>
      </c>
      <c r="I3741" s="912"/>
      <c r="J3741" s="912"/>
      <c r="K3741" s="912">
        <f>VLOOKUP(E3741,[5]ĐMNC!$A$7:$F$67,4,0)</f>
        <v>221125</v>
      </c>
      <c r="L3741" s="912">
        <f>H3741*K3741</f>
        <v>90661.25</v>
      </c>
      <c r="M3741" s="912"/>
      <c r="N3741" s="912"/>
      <c r="O3741" s="892">
        <f t="shared" ref="O3741:O3804" si="236">IF(AND(B3741&lt;&gt;"",D3741=""),1,0)</f>
        <v>0</v>
      </c>
      <c r="P3741" s="903">
        <f t="shared" si="233"/>
        <v>1</v>
      </c>
      <c r="Q3741" s="893">
        <f t="shared" si="234"/>
        <v>1</v>
      </c>
      <c r="R3741" s="894">
        <f t="shared" si="235"/>
        <v>0</v>
      </c>
    </row>
    <row r="3742" spans="1:18" s="847" customFormat="1" ht="31.5">
      <c r="A3742" s="905"/>
      <c r="B3742" s="914" t="s">
        <v>5389</v>
      </c>
      <c r="C3742" s="915"/>
      <c r="D3742" s="915"/>
      <c r="E3742" s="916" t="s">
        <v>5390</v>
      </c>
      <c r="F3742" s="917" t="s">
        <v>139</v>
      </c>
      <c r="G3742" s="918"/>
      <c r="H3742" s="919"/>
      <c r="I3742" s="920"/>
      <c r="J3742" s="891">
        <f>SUM(J3743:J3744)</f>
        <v>0</v>
      </c>
      <c r="K3742" s="891"/>
      <c r="L3742" s="891">
        <f>SUM(L3743:L3744)</f>
        <v>101717.5</v>
      </c>
      <c r="M3742" s="891"/>
      <c r="N3742" s="891">
        <f>SUM(N3743:N3744)</f>
        <v>0</v>
      </c>
      <c r="O3742" s="892">
        <f t="shared" si="236"/>
        <v>1</v>
      </c>
      <c r="P3742" s="903">
        <f t="shared" si="233"/>
        <v>0</v>
      </c>
      <c r="Q3742" s="893">
        <f t="shared" si="234"/>
        <v>0</v>
      </c>
      <c r="R3742" s="894">
        <f t="shared" si="235"/>
        <v>2</v>
      </c>
    </row>
    <row r="3743" spans="1:18" s="904" customFormat="1">
      <c r="A3743" s="895"/>
      <c r="B3743" s="896"/>
      <c r="C3743" s="897"/>
      <c r="D3743" s="897"/>
      <c r="E3743" s="924" t="s">
        <v>276</v>
      </c>
      <c r="F3743" s="927"/>
      <c r="G3743" s="928"/>
      <c r="H3743" s="901"/>
      <c r="I3743" s="902"/>
      <c r="J3743" s="902"/>
      <c r="K3743" s="912" t="s">
        <v>274</v>
      </c>
      <c r="L3743" s="902"/>
      <c r="M3743" s="902"/>
      <c r="N3743" s="902"/>
      <c r="O3743" s="892">
        <f t="shared" si="236"/>
        <v>0</v>
      </c>
      <c r="P3743" s="903">
        <f t="shared" si="233"/>
        <v>1</v>
      </c>
      <c r="Q3743" s="893">
        <f t="shared" si="234"/>
        <v>2</v>
      </c>
      <c r="R3743" s="894">
        <f t="shared" si="235"/>
        <v>0</v>
      </c>
    </row>
    <row r="3744" spans="1:18">
      <c r="A3744" s="905"/>
      <c r="B3744" s="906"/>
      <c r="C3744" s="907">
        <v>740</v>
      </c>
      <c r="D3744" s="907" t="s">
        <v>12</v>
      </c>
      <c r="E3744" s="908" t="s">
        <v>4008</v>
      </c>
      <c r="F3744" s="909" t="s">
        <v>2674</v>
      </c>
      <c r="G3744" s="910"/>
      <c r="H3744" s="911">
        <v>0.46</v>
      </c>
      <c r="I3744" s="912"/>
      <c r="J3744" s="912"/>
      <c r="K3744" s="912">
        <f>VLOOKUP(E3744,[5]ĐMNC!$A$7:$F$67,4,0)</f>
        <v>221125</v>
      </c>
      <c r="L3744" s="912">
        <f>H3744*K3744</f>
        <v>101717.5</v>
      </c>
      <c r="M3744" s="912"/>
      <c r="N3744" s="912"/>
      <c r="O3744" s="892">
        <f t="shared" si="236"/>
        <v>0</v>
      </c>
      <c r="P3744" s="903">
        <f t="shared" si="233"/>
        <v>1</v>
      </c>
      <c r="Q3744" s="893">
        <f t="shared" si="234"/>
        <v>1</v>
      </c>
      <c r="R3744" s="894">
        <f t="shared" si="235"/>
        <v>0</v>
      </c>
    </row>
    <row r="3745" spans="1:18" s="847" customFormat="1" ht="31.5">
      <c r="A3745" s="905"/>
      <c r="B3745" s="914" t="s">
        <v>5391</v>
      </c>
      <c r="C3745" s="915"/>
      <c r="D3745" s="915"/>
      <c r="E3745" s="916" t="s">
        <v>5392</v>
      </c>
      <c r="F3745" s="917" t="s">
        <v>139</v>
      </c>
      <c r="G3745" s="918"/>
      <c r="H3745" s="919"/>
      <c r="I3745" s="920"/>
      <c r="J3745" s="891">
        <f>SUM(J3746:J3747)</f>
        <v>0</v>
      </c>
      <c r="K3745" s="891"/>
      <c r="L3745" s="891">
        <f>SUM(L3746:L3747)</f>
        <v>112773.75</v>
      </c>
      <c r="M3745" s="891"/>
      <c r="N3745" s="891">
        <f>SUM(N3746:N3747)</f>
        <v>0</v>
      </c>
      <c r="O3745" s="892">
        <f t="shared" si="236"/>
        <v>1</v>
      </c>
      <c r="P3745" s="903">
        <f t="shared" si="233"/>
        <v>0</v>
      </c>
      <c r="Q3745" s="893">
        <f t="shared" si="234"/>
        <v>0</v>
      </c>
      <c r="R3745" s="894">
        <f t="shared" si="235"/>
        <v>2</v>
      </c>
    </row>
    <row r="3746" spans="1:18" s="904" customFormat="1">
      <c r="A3746" s="895"/>
      <c r="B3746" s="896"/>
      <c r="C3746" s="897"/>
      <c r="D3746" s="897"/>
      <c r="E3746" s="924" t="s">
        <v>276</v>
      </c>
      <c r="F3746" s="927"/>
      <c r="G3746" s="928"/>
      <c r="H3746" s="901"/>
      <c r="I3746" s="902"/>
      <c r="J3746" s="902"/>
      <c r="K3746" s="912" t="s">
        <v>274</v>
      </c>
      <c r="L3746" s="902"/>
      <c r="M3746" s="902"/>
      <c r="N3746" s="902"/>
      <c r="O3746" s="892">
        <f t="shared" si="236"/>
        <v>0</v>
      </c>
      <c r="P3746" s="903">
        <f t="shared" si="233"/>
        <v>1</v>
      </c>
      <c r="Q3746" s="893">
        <f t="shared" si="234"/>
        <v>2</v>
      </c>
      <c r="R3746" s="894">
        <f t="shared" si="235"/>
        <v>0</v>
      </c>
    </row>
    <row r="3747" spans="1:18">
      <c r="A3747" s="905"/>
      <c r="B3747" s="906"/>
      <c r="C3747" s="907">
        <v>740</v>
      </c>
      <c r="D3747" s="907" t="s">
        <v>12</v>
      </c>
      <c r="E3747" s="908" t="s">
        <v>4008</v>
      </c>
      <c r="F3747" s="909" t="s">
        <v>2674</v>
      </c>
      <c r="G3747" s="910"/>
      <c r="H3747" s="911">
        <v>0.51</v>
      </c>
      <c r="I3747" s="912"/>
      <c r="J3747" s="912"/>
      <c r="K3747" s="912">
        <f>VLOOKUP(E3747,[5]ĐMNC!$A$7:$F$67,4,0)</f>
        <v>221125</v>
      </c>
      <c r="L3747" s="912">
        <f>H3747*K3747</f>
        <v>112773.75</v>
      </c>
      <c r="M3747" s="912"/>
      <c r="N3747" s="912"/>
      <c r="O3747" s="892">
        <f t="shared" si="236"/>
        <v>0</v>
      </c>
      <c r="P3747" s="903">
        <f t="shared" si="233"/>
        <v>1</v>
      </c>
      <c r="Q3747" s="893">
        <f t="shared" si="234"/>
        <v>1</v>
      </c>
      <c r="R3747" s="894">
        <f t="shared" si="235"/>
        <v>0</v>
      </c>
    </row>
    <row r="3748" spans="1:18" s="847" customFormat="1" ht="31.5">
      <c r="A3748" s="905"/>
      <c r="B3748" s="914" t="s">
        <v>5393</v>
      </c>
      <c r="C3748" s="915"/>
      <c r="D3748" s="915"/>
      <c r="E3748" s="916" t="s">
        <v>5394</v>
      </c>
      <c r="F3748" s="917" t="s">
        <v>139</v>
      </c>
      <c r="G3748" s="918"/>
      <c r="H3748" s="919"/>
      <c r="I3748" s="920"/>
      <c r="J3748" s="891">
        <f>SUM(J3749:J3750)</f>
        <v>0</v>
      </c>
      <c r="K3748" s="891"/>
      <c r="L3748" s="891">
        <f>SUM(L3749:L3750)</f>
        <v>123830.00000000001</v>
      </c>
      <c r="M3748" s="891"/>
      <c r="N3748" s="891">
        <f>SUM(N3749:N3750)</f>
        <v>0</v>
      </c>
      <c r="O3748" s="892">
        <f t="shared" si="236"/>
        <v>1</v>
      </c>
      <c r="P3748" s="903">
        <f t="shared" si="233"/>
        <v>0</v>
      </c>
      <c r="Q3748" s="893">
        <f t="shared" si="234"/>
        <v>0</v>
      </c>
      <c r="R3748" s="894">
        <f t="shared" si="235"/>
        <v>2</v>
      </c>
    </row>
    <row r="3749" spans="1:18" s="904" customFormat="1">
      <c r="A3749" s="895"/>
      <c r="B3749" s="896"/>
      <c r="C3749" s="897"/>
      <c r="D3749" s="897"/>
      <c r="E3749" s="924" t="s">
        <v>276</v>
      </c>
      <c r="F3749" s="927"/>
      <c r="G3749" s="928"/>
      <c r="H3749" s="901"/>
      <c r="I3749" s="902"/>
      <c r="J3749" s="902"/>
      <c r="K3749" s="912" t="s">
        <v>274</v>
      </c>
      <c r="L3749" s="902"/>
      <c r="M3749" s="902"/>
      <c r="N3749" s="902"/>
      <c r="O3749" s="892">
        <f t="shared" si="236"/>
        <v>0</v>
      </c>
      <c r="P3749" s="903">
        <f t="shared" si="233"/>
        <v>1</v>
      </c>
      <c r="Q3749" s="893">
        <f t="shared" si="234"/>
        <v>2</v>
      </c>
      <c r="R3749" s="894">
        <f t="shared" si="235"/>
        <v>0</v>
      </c>
    </row>
    <row r="3750" spans="1:18">
      <c r="A3750" s="905"/>
      <c r="B3750" s="906"/>
      <c r="C3750" s="907">
        <v>740</v>
      </c>
      <c r="D3750" s="907" t="s">
        <v>12</v>
      </c>
      <c r="E3750" s="908" t="s">
        <v>4008</v>
      </c>
      <c r="F3750" s="909" t="s">
        <v>2674</v>
      </c>
      <c r="G3750" s="910"/>
      <c r="H3750" s="911">
        <v>0.56000000000000005</v>
      </c>
      <c r="I3750" s="912"/>
      <c r="J3750" s="912"/>
      <c r="K3750" s="912">
        <f>VLOOKUP(E3750,[5]ĐMNC!$A$7:$F$67,4,0)</f>
        <v>221125</v>
      </c>
      <c r="L3750" s="912">
        <f>H3750*K3750</f>
        <v>123830.00000000001</v>
      </c>
      <c r="M3750" s="912"/>
      <c r="N3750" s="912"/>
      <c r="O3750" s="892">
        <f t="shared" si="236"/>
        <v>0</v>
      </c>
      <c r="P3750" s="903">
        <f t="shared" ref="P3750:P3813" si="237">IF(O3750=0,1,0)</f>
        <v>1</v>
      </c>
      <c r="Q3750" s="893">
        <f t="shared" ref="Q3750:Q3813" si="238">IF(P3750=0,0,P3750+Q3751)</f>
        <v>1</v>
      </c>
      <c r="R3750" s="894">
        <f t="shared" ref="R3750:R3813" si="239">IF(Q3750=0,Q3751,0)</f>
        <v>0</v>
      </c>
    </row>
    <row r="3751" spans="1:18" s="847" customFormat="1" ht="31.5">
      <c r="A3751" s="905"/>
      <c r="B3751" s="914" t="s">
        <v>5395</v>
      </c>
      <c r="C3751" s="915"/>
      <c r="D3751" s="915"/>
      <c r="E3751" s="916" t="s">
        <v>5396</v>
      </c>
      <c r="F3751" s="917" t="s">
        <v>139</v>
      </c>
      <c r="G3751" s="918"/>
      <c r="H3751" s="919"/>
      <c r="I3751" s="920"/>
      <c r="J3751" s="891">
        <f>SUM(J3752:J3753)</f>
        <v>0</v>
      </c>
      <c r="K3751" s="891"/>
      <c r="L3751" s="891">
        <f>SUM(L3752:L3753)</f>
        <v>137097.5</v>
      </c>
      <c r="M3751" s="891"/>
      <c r="N3751" s="891">
        <f>SUM(N3752:N3753)</f>
        <v>0</v>
      </c>
      <c r="O3751" s="892">
        <f t="shared" si="236"/>
        <v>1</v>
      </c>
      <c r="P3751" s="903">
        <f t="shared" si="237"/>
        <v>0</v>
      </c>
      <c r="Q3751" s="893">
        <f t="shared" si="238"/>
        <v>0</v>
      </c>
      <c r="R3751" s="894">
        <f t="shared" si="239"/>
        <v>2</v>
      </c>
    </row>
    <row r="3752" spans="1:18" s="904" customFormat="1">
      <c r="A3752" s="895"/>
      <c r="B3752" s="896"/>
      <c r="C3752" s="897"/>
      <c r="D3752" s="897"/>
      <c r="E3752" s="924" t="s">
        <v>276</v>
      </c>
      <c r="F3752" s="927"/>
      <c r="G3752" s="928"/>
      <c r="H3752" s="901"/>
      <c r="I3752" s="902"/>
      <c r="J3752" s="902"/>
      <c r="K3752" s="912" t="s">
        <v>274</v>
      </c>
      <c r="L3752" s="902"/>
      <c r="M3752" s="902"/>
      <c r="N3752" s="902"/>
      <c r="O3752" s="892">
        <f t="shared" si="236"/>
        <v>0</v>
      </c>
      <c r="P3752" s="903">
        <f t="shared" si="237"/>
        <v>1</v>
      </c>
      <c r="Q3752" s="893">
        <f t="shared" si="238"/>
        <v>2</v>
      </c>
      <c r="R3752" s="894">
        <f t="shared" si="239"/>
        <v>0</v>
      </c>
    </row>
    <row r="3753" spans="1:18">
      <c r="A3753" s="905"/>
      <c r="B3753" s="906"/>
      <c r="C3753" s="907">
        <v>740</v>
      </c>
      <c r="D3753" s="907" t="s">
        <v>12</v>
      </c>
      <c r="E3753" s="908" t="s">
        <v>4008</v>
      </c>
      <c r="F3753" s="909" t="s">
        <v>2674</v>
      </c>
      <c r="G3753" s="910"/>
      <c r="H3753" s="911">
        <v>0.62</v>
      </c>
      <c r="I3753" s="912"/>
      <c r="J3753" s="912"/>
      <c r="K3753" s="912">
        <f>VLOOKUP(E3753,[5]ĐMNC!$A$7:$F$67,4,0)</f>
        <v>221125</v>
      </c>
      <c r="L3753" s="912">
        <f>H3753*K3753</f>
        <v>137097.5</v>
      </c>
      <c r="M3753" s="912"/>
      <c r="N3753" s="912"/>
      <c r="O3753" s="892">
        <f t="shared" si="236"/>
        <v>0</v>
      </c>
      <c r="P3753" s="903">
        <f t="shared" si="237"/>
        <v>1</v>
      </c>
      <c r="Q3753" s="893">
        <f t="shared" si="238"/>
        <v>1</v>
      </c>
      <c r="R3753" s="894">
        <f t="shared" si="239"/>
        <v>0</v>
      </c>
    </row>
    <row r="3754" spans="1:18" s="847" customFormat="1" ht="31.5">
      <c r="A3754" s="905"/>
      <c r="B3754" s="914" t="s">
        <v>5397</v>
      </c>
      <c r="C3754" s="915"/>
      <c r="D3754" s="915"/>
      <c r="E3754" s="916" t="s">
        <v>5398</v>
      </c>
      <c r="F3754" s="917" t="s">
        <v>139</v>
      </c>
      <c r="G3754" s="918"/>
      <c r="H3754" s="919"/>
      <c r="I3754" s="920"/>
      <c r="J3754" s="891">
        <f>SUM(J3755:J3756)</f>
        <v>0</v>
      </c>
      <c r="K3754" s="891"/>
      <c r="L3754" s="891">
        <f>SUM(L3755:L3756)</f>
        <v>150365</v>
      </c>
      <c r="M3754" s="891"/>
      <c r="N3754" s="891">
        <f>SUM(N3755:N3756)</f>
        <v>0</v>
      </c>
      <c r="O3754" s="892">
        <f t="shared" si="236"/>
        <v>1</v>
      </c>
      <c r="P3754" s="903">
        <f t="shared" si="237"/>
        <v>0</v>
      </c>
      <c r="Q3754" s="893">
        <f t="shared" si="238"/>
        <v>0</v>
      </c>
      <c r="R3754" s="894">
        <f t="shared" si="239"/>
        <v>2</v>
      </c>
    </row>
    <row r="3755" spans="1:18" s="904" customFormat="1">
      <c r="A3755" s="895"/>
      <c r="B3755" s="896"/>
      <c r="C3755" s="897"/>
      <c r="D3755" s="897"/>
      <c r="E3755" s="924" t="s">
        <v>276</v>
      </c>
      <c r="F3755" s="927"/>
      <c r="G3755" s="928"/>
      <c r="H3755" s="901"/>
      <c r="I3755" s="902"/>
      <c r="J3755" s="902"/>
      <c r="K3755" s="912" t="s">
        <v>274</v>
      </c>
      <c r="L3755" s="902"/>
      <c r="M3755" s="902"/>
      <c r="N3755" s="902"/>
      <c r="O3755" s="892">
        <f t="shared" si="236"/>
        <v>0</v>
      </c>
      <c r="P3755" s="903">
        <f t="shared" si="237"/>
        <v>1</v>
      </c>
      <c r="Q3755" s="893">
        <f t="shared" si="238"/>
        <v>2</v>
      </c>
      <c r="R3755" s="894">
        <f t="shared" si="239"/>
        <v>0</v>
      </c>
    </row>
    <row r="3756" spans="1:18">
      <c r="A3756" s="905"/>
      <c r="B3756" s="906"/>
      <c r="C3756" s="907">
        <v>740</v>
      </c>
      <c r="D3756" s="907" t="s">
        <v>12</v>
      </c>
      <c r="E3756" s="908" t="s">
        <v>4008</v>
      </c>
      <c r="F3756" s="909" t="s">
        <v>2674</v>
      </c>
      <c r="G3756" s="910"/>
      <c r="H3756" s="911">
        <v>0.68</v>
      </c>
      <c r="I3756" s="912"/>
      <c r="J3756" s="912"/>
      <c r="K3756" s="912">
        <f>VLOOKUP(E3756,[5]ĐMNC!$A$7:$F$67,4,0)</f>
        <v>221125</v>
      </c>
      <c r="L3756" s="912">
        <f>H3756*K3756</f>
        <v>150365</v>
      </c>
      <c r="M3756" s="912"/>
      <c r="N3756" s="912"/>
      <c r="O3756" s="892">
        <f t="shared" si="236"/>
        <v>0</v>
      </c>
      <c r="P3756" s="903">
        <f t="shared" si="237"/>
        <v>1</v>
      </c>
      <c r="Q3756" s="893">
        <f t="shared" si="238"/>
        <v>1</v>
      </c>
      <c r="R3756" s="894">
        <f t="shared" si="239"/>
        <v>0</v>
      </c>
    </row>
    <row r="3757" spans="1:18" s="847" customFormat="1" ht="31.5">
      <c r="A3757" s="905"/>
      <c r="B3757" s="914" t="s">
        <v>5399</v>
      </c>
      <c r="C3757" s="915"/>
      <c r="D3757" s="915"/>
      <c r="E3757" s="916" t="s">
        <v>5400</v>
      </c>
      <c r="F3757" s="917" t="s">
        <v>139</v>
      </c>
      <c r="G3757" s="918"/>
      <c r="H3757" s="919"/>
      <c r="I3757" s="920"/>
      <c r="J3757" s="891">
        <f>SUM(J3758:J3759)</f>
        <v>0</v>
      </c>
      <c r="K3757" s="891"/>
      <c r="L3757" s="891">
        <f>SUM(L3758:L3759)</f>
        <v>165843.75</v>
      </c>
      <c r="M3757" s="891"/>
      <c r="N3757" s="891">
        <f>SUM(N3758:N3759)</f>
        <v>0</v>
      </c>
      <c r="O3757" s="892">
        <f t="shared" si="236"/>
        <v>1</v>
      </c>
      <c r="P3757" s="903">
        <f t="shared" si="237"/>
        <v>0</v>
      </c>
      <c r="Q3757" s="893">
        <f t="shared" si="238"/>
        <v>0</v>
      </c>
      <c r="R3757" s="894">
        <f t="shared" si="239"/>
        <v>74</v>
      </c>
    </row>
    <row r="3758" spans="1:18" s="904" customFormat="1">
      <c r="A3758" s="895"/>
      <c r="B3758" s="896"/>
      <c r="C3758" s="897"/>
      <c r="D3758" s="897"/>
      <c r="E3758" s="924" t="s">
        <v>276</v>
      </c>
      <c r="F3758" s="927"/>
      <c r="G3758" s="928"/>
      <c r="H3758" s="901"/>
      <c r="I3758" s="902"/>
      <c r="J3758" s="902"/>
      <c r="K3758" s="912" t="s">
        <v>274</v>
      </c>
      <c r="L3758" s="902"/>
      <c r="M3758" s="902"/>
      <c r="N3758" s="902"/>
      <c r="O3758" s="892">
        <f t="shared" si="236"/>
        <v>0</v>
      </c>
      <c r="P3758" s="903">
        <f t="shared" si="237"/>
        <v>1</v>
      </c>
      <c r="Q3758" s="893">
        <f t="shared" si="238"/>
        <v>74</v>
      </c>
      <c r="R3758" s="894">
        <f t="shared" si="239"/>
        <v>0</v>
      </c>
    </row>
    <row r="3759" spans="1:18">
      <c r="A3759" s="905"/>
      <c r="B3759" s="906"/>
      <c r="C3759" s="907">
        <v>740</v>
      </c>
      <c r="D3759" s="907" t="s">
        <v>12</v>
      </c>
      <c r="E3759" s="908" t="s">
        <v>4008</v>
      </c>
      <c r="F3759" s="909" t="s">
        <v>2674</v>
      </c>
      <c r="G3759" s="910"/>
      <c r="H3759" s="911">
        <v>0.75</v>
      </c>
      <c r="I3759" s="912"/>
      <c r="J3759" s="912"/>
      <c r="K3759" s="912">
        <f>VLOOKUP(E3759,[5]ĐMNC!$A$7:$F$67,4,0)</f>
        <v>221125</v>
      </c>
      <c r="L3759" s="912">
        <f>H3759*K3759</f>
        <v>165843.75</v>
      </c>
      <c r="M3759" s="912"/>
      <c r="N3759" s="912"/>
      <c r="O3759" s="892">
        <f t="shared" si="236"/>
        <v>0</v>
      </c>
      <c r="P3759" s="903">
        <f t="shared" si="237"/>
        <v>1</v>
      </c>
      <c r="Q3759" s="893">
        <f t="shared" si="238"/>
        <v>73</v>
      </c>
      <c r="R3759" s="894">
        <f t="shared" si="239"/>
        <v>0</v>
      </c>
    </row>
    <row r="3760" spans="1:18" s="847" customFormat="1">
      <c r="A3760" s="905" t="s">
        <v>5044</v>
      </c>
      <c r="B3760" s="914"/>
      <c r="C3760" s="915"/>
      <c r="D3760" s="915"/>
      <c r="E3760" s="916" t="s">
        <v>5401</v>
      </c>
      <c r="F3760" s="917" t="s">
        <v>1206</v>
      </c>
      <c r="G3760" s="918"/>
      <c r="H3760" s="919"/>
      <c r="I3760" s="920"/>
      <c r="J3760" s="891">
        <f>SUM(J3761:J3768)</f>
        <v>6550</v>
      </c>
      <c r="K3760" s="891"/>
      <c r="L3760" s="891">
        <f>SUM(L3761:L3768)</f>
        <v>241789.77000000002</v>
      </c>
      <c r="M3760" s="891"/>
      <c r="N3760" s="891">
        <f>SUM(N3761:N3768)</f>
        <v>0</v>
      </c>
      <c r="O3760" s="892">
        <f t="shared" si="236"/>
        <v>0</v>
      </c>
      <c r="P3760" s="903">
        <f t="shared" si="237"/>
        <v>1</v>
      </c>
      <c r="Q3760" s="893">
        <f t="shared" si="238"/>
        <v>72</v>
      </c>
      <c r="R3760" s="894">
        <f t="shared" si="239"/>
        <v>0</v>
      </c>
    </row>
    <row r="3761" spans="1:18" s="904" customFormat="1">
      <c r="A3761" s="895"/>
      <c r="B3761" s="922"/>
      <c r="C3761" s="897"/>
      <c r="D3761" s="897"/>
      <c r="E3761" s="898" t="s">
        <v>108</v>
      </c>
      <c r="F3761" s="899"/>
      <c r="G3761" s="900"/>
      <c r="H3761" s="901"/>
      <c r="I3761" s="902"/>
      <c r="J3761" s="902"/>
      <c r="K3761" s="912" t="s">
        <v>274</v>
      </c>
      <c r="L3761" s="902"/>
      <c r="M3761" s="902"/>
      <c r="N3761" s="902"/>
      <c r="O3761" s="892">
        <f t="shared" si="236"/>
        <v>0</v>
      </c>
      <c r="P3761" s="903">
        <f t="shared" si="237"/>
        <v>1</v>
      </c>
      <c r="Q3761" s="893">
        <f t="shared" si="238"/>
        <v>71</v>
      </c>
      <c r="R3761" s="894">
        <f t="shared" si="239"/>
        <v>0</v>
      </c>
    </row>
    <row r="3762" spans="1:18">
      <c r="A3762" s="905"/>
      <c r="B3762" s="906"/>
      <c r="C3762" s="907">
        <v>90</v>
      </c>
      <c r="D3762" s="907" t="s">
        <v>279</v>
      </c>
      <c r="E3762" s="925" t="s">
        <v>3205</v>
      </c>
      <c r="F3762" s="926" t="s">
        <v>45</v>
      </c>
      <c r="G3762" s="910"/>
      <c r="H3762" s="911">
        <v>0.05</v>
      </c>
      <c r="I3762" s="912">
        <f>VLOOKUP(E3762,[3]VLP!$B$7:$K$300,10,0)</f>
        <v>65000</v>
      </c>
      <c r="J3762" s="912">
        <f>I3762*H3762</f>
        <v>3250</v>
      </c>
      <c r="K3762" s="912" t="s">
        <v>274</v>
      </c>
      <c r="L3762" s="912"/>
      <c r="M3762" s="912"/>
      <c r="N3762" s="912"/>
      <c r="O3762" s="892">
        <f t="shared" si="236"/>
        <v>0</v>
      </c>
      <c r="P3762" s="903">
        <f t="shared" si="237"/>
        <v>1</v>
      </c>
      <c r="Q3762" s="893">
        <f t="shared" si="238"/>
        <v>70</v>
      </c>
      <c r="R3762" s="894">
        <f t="shared" si="239"/>
        <v>0</v>
      </c>
    </row>
    <row r="3763" spans="1:18">
      <c r="A3763" s="905"/>
      <c r="B3763" s="906"/>
      <c r="C3763" s="907">
        <v>44</v>
      </c>
      <c r="D3763" s="907" t="s">
        <v>279</v>
      </c>
      <c r="E3763" s="925" t="s">
        <v>2681</v>
      </c>
      <c r="F3763" s="926" t="s">
        <v>45</v>
      </c>
      <c r="G3763" s="910"/>
      <c r="H3763" s="911">
        <v>0.1</v>
      </c>
      <c r="I3763" s="912">
        <f>VLOOKUP(E3763,[3]VLP!$B$7:$K$300,10,0)</f>
        <v>23000</v>
      </c>
      <c r="J3763" s="912">
        <f>I3763*H3763</f>
        <v>2300</v>
      </c>
      <c r="K3763" s="912" t="s">
        <v>274</v>
      </c>
      <c r="L3763" s="912"/>
      <c r="M3763" s="912"/>
      <c r="N3763" s="912"/>
      <c r="O3763" s="892">
        <f t="shared" si="236"/>
        <v>0</v>
      </c>
      <c r="P3763" s="903">
        <f t="shared" si="237"/>
        <v>1</v>
      </c>
      <c r="Q3763" s="893">
        <f t="shared" si="238"/>
        <v>69</v>
      </c>
      <c r="R3763" s="894">
        <f t="shared" si="239"/>
        <v>0</v>
      </c>
    </row>
    <row r="3764" spans="1:18">
      <c r="A3764" s="905"/>
      <c r="B3764" s="906"/>
      <c r="C3764" s="907">
        <v>66</v>
      </c>
      <c r="D3764" s="907" t="s">
        <v>279</v>
      </c>
      <c r="E3764" s="925" t="s">
        <v>2682</v>
      </c>
      <c r="F3764" s="926" t="s">
        <v>45</v>
      </c>
      <c r="G3764" s="910"/>
      <c r="H3764" s="911">
        <v>0.2</v>
      </c>
      <c r="I3764" s="912">
        <f>VLOOKUP(E3764,[3]VLP!$B$7:$K$300,10,0)</f>
        <v>5000</v>
      </c>
      <c r="J3764" s="912">
        <f>I3764*H3764</f>
        <v>1000</v>
      </c>
      <c r="K3764" s="912" t="s">
        <v>274</v>
      </c>
      <c r="L3764" s="912"/>
      <c r="M3764" s="912"/>
      <c r="N3764" s="912"/>
      <c r="O3764" s="892">
        <f t="shared" si="236"/>
        <v>0</v>
      </c>
      <c r="P3764" s="903">
        <f t="shared" si="237"/>
        <v>1</v>
      </c>
      <c r="Q3764" s="893">
        <f t="shared" si="238"/>
        <v>68</v>
      </c>
      <c r="R3764" s="894">
        <f t="shared" si="239"/>
        <v>0</v>
      </c>
    </row>
    <row r="3765" spans="1:18" s="904" customFormat="1">
      <c r="A3765" s="895"/>
      <c r="B3765" s="896"/>
      <c r="C3765" s="897"/>
      <c r="D3765" s="897"/>
      <c r="E3765" s="924" t="s">
        <v>276</v>
      </c>
      <c r="F3765" s="927"/>
      <c r="G3765" s="928"/>
      <c r="H3765" s="901"/>
      <c r="I3765" s="902"/>
      <c r="J3765" s="902"/>
      <c r="K3765" s="912" t="s">
        <v>274</v>
      </c>
      <c r="L3765" s="902"/>
      <c r="M3765" s="902"/>
      <c r="N3765" s="902"/>
      <c r="O3765" s="892">
        <f t="shared" si="236"/>
        <v>0</v>
      </c>
      <c r="P3765" s="903">
        <f t="shared" si="237"/>
        <v>1</v>
      </c>
      <c r="Q3765" s="893">
        <f t="shared" si="238"/>
        <v>67</v>
      </c>
      <c r="R3765" s="894">
        <f t="shared" si="239"/>
        <v>0</v>
      </c>
    </row>
    <row r="3766" spans="1:18">
      <c r="A3766" s="905"/>
      <c r="B3766" s="906"/>
      <c r="C3766" s="907">
        <v>750</v>
      </c>
      <c r="D3766" s="907" t="s">
        <v>12</v>
      </c>
      <c r="E3766" s="908" t="s">
        <v>5402</v>
      </c>
      <c r="F3766" s="909" t="s">
        <v>2674</v>
      </c>
      <c r="G3766" s="910"/>
      <c r="H3766" s="911">
        <v>0.93</v>
      </c>
      <c r="I3766" s="912"/>
      <c r="J3766" s="912"/>
      <c r="K3766" s="912">
        <f>VLOOKUP(E3766,[5]ĐMNC!$A$7:$F$67,4,0)</f>
        <v>259989</v>
      </c>
      <c r="L3766" s="912">
        <f>H3766*K3766</f>
        <v>241789.77000000002</v>
      </c>
      <c r="M3766" s="912"/>
      <c r="N3766" s="912"/>
      <c r="O3766" s="892">
        <f t="shared" si="236"/>
        <v>0</v>
      </c>
      <c r="P3766" s="903">
        <f t="shared" si="237"/>
        <v>1</v>
      </c>
      <c r="Q3766" s="893">
        <f t="shared" si="238"/>
        <v>66</v>
      </c>
      <c r="R3766" s="894">
        <f t="shared" si="239"/>
        <v>0</v>
      </c>
    </row>
    <row r="3767" spans="1:18" s="904" customFormat="1">
      <c r="A3767" s="895"/>
      <c r="B3767" s="896"/>
      <c r="C3767" s="897"/>
      <c r="D3767" s="897"/>
      <c r="E3767" s="898" t="s">
        <v>3914</v>
      </c>
      <c r="F3767" s="899"/>
      <c r="G3767" s="928"/>
      <c r="H3767" s="901"/>
      <c r="I3767" s="902"/>
      <c r="J3767" s="902"/>
      <c r="K3767" s="912" t="s">
        <v>274</v>
      </c>
      <c r="L3767" s="902"/>
      <c r="M3767" s="902"/>
      <c r="N3767" s="902"/>
      <c r="O3767" s="892">
        <f t="shared" si="236"/>
        <v>0</v>
      </c>
      <c r="P3767" s="903">
        <f t="shared" si="237"/>
        <v>1</v>
      </c>
      <c r="Q3767" s="893">
        <f t="shared" si="238"/>
        <v>65</v>
      </c>
      <c r="R3767" s="894">
        <f t="shared" si="239"/>
        <v>0</v>
      </c>
    </row>
    <row r="3768" spans="1:18">
      <c r="A3768" s="905"/>
      <c r="B3768" s="953" t="s">
        <v>5403</v>
      </c>
      <c r="C3768" s="907">
        <v>866</v>
      </c>
      <c r="D3768" s="907" t="s">
        <v>93</v>
      </c>
      <c r="E3768" s="925" t="s">
        <v>5404</v>
      </c>
      <c r="F3768" s="909" t="s">
        <v>2673</v>
      </c>
      <c r="G3768" s="910"/>
      <c r="H3768" s="911">
        <v>0.08</v>
      </c>
      <c r="I3768" s="912"/>
      <c r="J3768" s="912"/>
      <c r="K3768" s="912"/>
      <c r="L3768" s="912"/>
      <c r="M3768" s="912">
        <f>VLOOKUP(B3768,MTC!$B$9:$S$933,12,0)</f>
        <v>0</v>
      </c>
      <c r="N3768" s="912">
        <f>M3768*H3768</f>
        <v>0</v>
      </c>
      <c r="O3768" s="892">
        <f t="shared" si="236"/>
        <v>0</v>
      </c>
      <c r="P3768" s="903">
        <f t="shared" si="237"/>
        <v>1</v>
      </c>
      <c r="Q3768" s="893">
        <f t="shared" si="238"/>
        <v>64</v>
      </c>
      <c r="R3768" s="894">
        <f t="shared" si="239"/>
        <v>0</v>
      </c>
    </row>
    <row r="3769" spans="1:18" s="847" customFormat="1">
      <c r="A3769" s="905"/>
      <c r="B3769" s="914"/>
      <c r="C3769" s="915"/>
      <c r="D3769" s="915"/>
      <c r="E3769" s="916" t="s">
        <v>5405</v>
      </c>
      <c r="F3769" s="917" t="s">
        <v>1206</v>
      </c>
      <c r="G3769" s="918"/>
      <c r="H3769" s="919"/>
      <c r="I3769" s="920"/>
      <c r="J3769" s="891">
        <f>SUM(J3770:J3777)</f>
        <v>6550</v>
      </c>
      <c r="K3769" s="891"/>
      <c r="L3769" s="891">
        <f>SUM(L3770:L3777)</f>
        <v>304187.13</v>
      </c>
      <c r="M3769" s="891"/>
      <c r="N3769" s="891">
        <f>SUM(N3770:N3777)</f>
        <v>0</v>
      </c>
      <c r="O3769" s="892">
        <f t="shared" si="236"/>
        <v>0</v>
      </c>
      <c r="P3769" s="903">
        <f t="shared" si="237"/>
        <v>1</v>
      </c>
      <c r="Q3769" s="893">
        <f t="shared" si="238"/>
        <v>63</v>
      </c>
      <c r="R3769" s="894">
        <f t="shared" si="239"/>
        <v>0</v>
      </c>
    </row>
    <row r="3770" spans="1:18" s="904" customFormat="1">
      <c r="A3770" s="895"/>
      <c r="B3770" s="896"/>
      <c r="C3770" s="897"/>
      <c r="D3770" s="897"/>
      <c r="E3770" s="898" t="s">
        <v>108</v>
      </c>
      <c r="F3770" s="899"/>
      <c r="G3770" s="900"/>
      <c r="H3770" s="901"/>
      <c r="I3770" s="902"/>
      <c r="J3770" s="902"/>
      <c r="K3770" s="912" t="s">
        <v>274</v>
      </c>
      <c r="L3770" s="902"/>
      <c r="M3770" s="902"/>
      <c r="N3770" s="902"/>
      <c r="O3770" s="892">
        <f t="shared" si="236"/>
        <v>0</v>
      </c>
      <c r="P3770" s="903">
        <f t="shared" si="237"/>
        <v>1</v>
      </c>
      <c r="Q3770" s="893">
        <f t="shared" si="238"/>
        <v>62</v>
      </c>
      <c r="R3770" s="894">
        <f t="shared" si="239"/>
        <v>0</v>
      </c>
    </row>
    <row r="3771" spans="1:18">
      <c r="A3771" s="905"/>
      <c r="B3771" s="906"/>
      <c r="C3771" s="907">
        <v>90</v>
      </c>
      <c r="D3771" s="907" t="s">
        <v>279</v>
      </c>
      <c r="E3771" s="925" t="s">
        <v>3205</v>
      </c>
      <c r="F3771" s="926" t="s">
        <v>45</v>
      </c>
      <c r="G3771" s="910"/>
      <c r="H3771" s="911">
        <v>0.05</v>
      </c>
      <c r="I3771" s="912">
        <f>VLOOKUP(E3771,[3]VLP!$B$7:$K$300,10,0)</f>
        <v>65000</v>
      </c>
      <c r="J3771" s="912">
        <f>I3771*H3771</f>
        <v>3250</v>
      </c>
      <c r="K3771" s="912" t="s">
        <v>274</v>
      </c>
      <c r="L3771" s="912"/>
      <c r="M3771" s="912"/>
      <c r="N3771" s="912"/>
      <c r="O3771" s="892">
        <f t="shared" si="236"/>
        <v>0</v>
      </c>
      <c r="P3771" s="903">
        <f t="shared" si="237"/>
        <v>1</v>
      </c>
      <c r="Q3771" s="893">
        <f t="shared" si="238"/>
        <v>61</v>
      </c>
      <c r="R3771" s="894">
        <f t="shared" si="239"/>
        <v>0</v>
      </c>
    </row>
    <row r="3772" spans="1:18">
      <c r="A3772" s="905"/>
      <c r="B3772" s="906"/>
      <c r="C3772" s="907">
        <v>44</v>
      </c>
      <c r="D3772" s="907" t="s">
        <v>279</v>
      </c>
      <c r="E3772" s="925" t="s">
        <v>2681</v>
      </c>
      <c r="F3772" s="926" t="s">
        <v>45</v>
      </c>
      <c r="G3772" s="910"/>
      <c r="H3772" s="911">
        <v>0.1</v>
      </c>
      <c r="I3772" s="912">
        <f>VLOOKUP(E3772,[3]VLP!$B$7:$K$300,10,0)</f>
        <v>23000</v>
      </c>
      <c r="J3772" s="912">
        <f>I3772*H3772</f>
        <v>2300</v>
      </c>
      <c r="K3772" s="912" t="s">
        <v>274</v>
      </c>
      <c r="L3772" s="912"/>
      <c r="M3772" s="912"/>
      <c r="N3772" s="912"/>
      <c r="O3772" s="892">
        <f t="shared" si="236"/>
        <v>0</v>
      </c>
      <c r="P3772" s="903">
        <f t="shared" si="237"/>
        <v>1</v>
      </c>
      <c r="Q3772" s="893">
        <f t="shared" si="238"/>
        <v>60</v>
      </c>
      <c r="R3772" s="894">
        <f t="shared" si="239"/>
        <v>0</v>
      </c>
    </row>
    <row r="3773" spans="1:18">
      <c r="A3773" s="905"/>
      <c r="B3773" s="906"/>
      <c r="C3773" s="907">
        <v>66</v>
      </c>
      <c r="D3773" s="907" t="s">
        <v>279</v>
      </c>
      <c r="E3773" s="925" t="s">
        <v>2682</v>
      </c>
      <c r="F3773" s="926" t="s">
        <v>45</v>
      </c>
      <c r="G3773" s="910"/>
      <c r="H3773" s="911">
        <v>0.2</v>
      </c>
      <c r="I3773" s="912">
        <f>VLOOKUP(E3773,[3]VLP!$B$7:$K$300,10,0)</f>
        <v>5000</v>
      </c>
      <c r="J3773" s="912">
        <f>I3773*H3773</f>
        <v>1000</v>
      </c>
      <c r="K3773" s="912" t="s">
        <v>274</v>
      </c>
      <c r="L3773" s="912"/>
      <c r="M3773" s="912"/>
      <c r="N3773" s="912"/>
      <c r="O3773" s="892">
        <f t="shared" si="236"/>
        <v>0</v>
      </c>
      <c r="P3773" s="903">
        <f t="shared" si="237"/>
        <v>1</v>
      </c>
      <c r="Q3773" s="893">
        <f t="shared" si="238"/>
        <v>59</v>
      </c>
      <c r="R3773" s="894">
        <f t="shared" si="239"/>
        <v>0</v>
      </c>
    </row>
    <row r="3774" spans="1:18" s="904" customFormat="1">
      <c r="A3774" s="895"/>
      <c r="B3774" s="896"/>
      <c r="C3774" s="897"/>
      <c r="D3774" s="897"/>
      <c r="E3774" s="924" t="s">
        <v>276</v>
      </c>
      <c r="F3774" s="927"/>
      <c r="G3774" s="928"/>
      <c r="H3774" s="901"/>
      <c r="I3774" s="902"/>
      <c r="J3774" s="902"/>
      <c r="K3774" s="912" t="s">
        <v>274</v>
      </c>
      <c r="L3774" s="902"/>
      <c r="M3774" s="902"/>
      <c r="N3774" s="902"/>
      <c r="O3774" s="892">
        <f t="shared" si="236"/>
        <v>0</v>
      </c>
      <c r="P3774" s="903">
        <f t="shared" si="237"/>
        <v>1</v>
      </c>
      <c r="Q3774" s="893">
        <f t="shared" si="238"/>
        <v>58</v>
      </c>
      <c r="R3774" s="894">
        <f t="shared" si="239"/>
        <v>0</v>
      </c>
    </row>
    <row r="3775" spans="1:18">
      <c r="A3775" s="905"/>
      <c r="B3775" s="906"/>
      <c r="C3775" s="907">
        <v>750</v>
      </c>
      <c r="D3775" s="907" t="s">
        <v>12</v>
      </c>
      <c r="E3775" s="908" t="s">
        <v>5402</v>
      </c>
      <c r="F3775" s="909" t="s">
        <v>2674</v>
      </c>
      <c r="G3775" s="910"/>
      <c r="H3775" s="911">
        <v>1.17</v>
      </c>
      <c r="I3775" s="912"/>
      <c r="J3775" s="912"/>
      <c r="K3775" s="912">
        <f>VLOOKUP(E3775,[5]ĐMNC!$A$7:$F$67,4,0)</f>
        <v>259989</v>
      </c>
      <c r="L3775" s="912">
        <f>H3775*K3775</f>
        <v>304187.13</v>
      </c>
      <c r="M3775" s="912"/>
      <c r="N3775" s="912"/>
      <c r="O3775" s="892">
        <f t="shared" si="236"/>
        <v>0</v>
      </c>
      <c r="P3775" s="903">
        <f t="shared" si="237"/>
        <v>1</v>
      </c>
      <c r="Q3775" s="893">
        <f t="shared" si="238"/>
        <v>57</v>
      </c>
      <c r="R3775" s="894">
        <f t="shared" si="239"/>
        <v>0</v>
      </c>
    </row>
    <row r="3776" spans="1:18" s="904" customFormat="1">
      <c r="A3776" s="895"/>
      <c r="B3776" s="896"/>
      <c r="C3776" s="897"/>
      <c r="D3776" s="897"/>
      <c r="E3776" s="898" t="s">
        <v>3914</v>
      </c>
      <c r="F3776" s="899"/>
      <c r="G3776" s="928"/>
      <c r="H3776" s="901"/>
      <c r="I3776" s="902"/>
      <c r="J3776" s="902"/>
      <c r="K3776" s="912" t="s">
        <v>274</v>
      </c>
      <c r="L3776" s="902"/>
      <c r="M3776" s="902"/>
      <c r="N3776" s="902"/>
      <c r="O3776" s="892">
        <f t="shared" si="236"/>
        <v>0</v>
      </c>
      <c r="P3776" s="903">
        <f t="shared" si="237"/>
        <v>1</v>
      </c>
      <c r="Q3776" s="893">
        <f t="shared" si="238"/>
        <v>56</v>
      </c>
      <c r="R3776" s="894">
        <f t="shared" si="239"/>
        <v>0</v>
      </c>
    </row>
    <row r="3777" spans="1:18">
      <c r="A3777" s="905"/>
      <c r="B3777" s="953" t="s">
        <v>5403</v>
      </c>
      <c r="C3777" s="907">
        <v>866</v>
      </c>
      <c r="D3777" s="907" t="s">
        <v>93</v>
      </c>
      <c r="E3777" s="925" t="s">
        <v>5404</v>
      </c>
      <c r="F3777" s="909" t="s">
        <v>2673</v>
      </c>
      <c r="G3777" s="910"/>
      <c r="H3777" s="911">
        <v>0.08</v>
      </c>
      <c r="I3777" s="912"/>
      <c r="J3777" s="912"/>
      <c r="K3777" s="912"/>
      <c r="L3777" s="912"/>
      <c r="M3777" s="912">
        <f>VLOOKUP(B3777,MTC!$B$9:$S$933,12,0)</f>
        <v>0</v>
      </c>
      <c r="N3777" s="912">
        <f>M3777*H3777</f>
        <v>0</v>
      </c>
      <c r="O3777" s="892">
        <f t="shared" si="236"/>
        <v>0</v>
      </c>
      <c r="P3777" s="903">
        <f t="shared" si="237"/>
        <v>1</v>
      </c>
      <c r="Q3777" s="893">
        <f t="shared" si="238"/>
        <v>55</v>
      </c>
      <c r="R3777" s="894">
        <f t="shared" si="239"/>
        <v>0</v>
      </c>
    </row>
    <row r="3778" spans="1:18" s="847" customFormat="1">
      <c r="A3778" s="905"/>
      <c r="B3778" s="914"/>
      <c r="C3778" s="915"/>
      <c r="D3778" s="915"/>
      <c r="E3778" s="916" t="s">
        <v>5406</v>
      </c>
      <c r="F3778" s="917" t="s">
        <v>1206</v>
      </c>
      <c r="G3778" s="918"/>
      <c r="H3778" s="919"/>
      <c r="I3778" s="920"/>
      <c r="J3778" s="891">
        <f>SUM(J3779:J3786)</f>
        <v>6550</v>
      </c>
      <c r="K3778" s="891"/>
      <c r="L3778" s="891">
        <f>SUM(L3779:L3786)</f>
        <v>374384.16</v>
      </c>
      <c r="M3778" s="891"/>
      <c r="N3778" s="891">
        <f>SUM(N3779:N3786)</f>
        <v>0</v>
      </c>
      <c r="O3778" s="892">
        <f t="shared" si="236"/>
        <v>0</v>
      </c>
      <c r="P3778" s="903">
        <f t="shared" si="237"/>
        <v>1</v>
      </c>
      <c r="Q3778" s="893">
        <f t="shared" si="238"/>
        <v>54</v>
      </c>
      <c r="R3778" s="894">
        <f t="shared" si="239"/>
        <v>0</v>
      </c>
    </row>
    <row r="3779" spans="1:18" s="904" customFormat="1">
      <c r="A3779" s="895"/>
      <c r="B3779" s="896"/>
      <c r="C3779" s="897"/>
      <c r="D3779" s="897"/>
      <c r="E3779" s="898" t="s">
        <v>108</v>
      </c>
      <c r="F3779" s="899"/>
      <c r="G3779" s="900"/>
      <c r="H3779" s="901"/>
      <c r="I3779" s="902"/>
      <c r="J3779" s="902"/>
      <c r="K3779" s="912" t="s">
        <v>274</v>
      </c>
      <c r="L3779" s="902"/>
      <c r="M3779" s="902"/>
      <c r="N3779" s="902"/>
      <c r="O3779" s="892">
        <f t="shared" si="236"/>
        <v>0</v>
      </c>
      <c r="P3779" s="903">
        <f t="shared" si="237"/>
        <v>1</v>
      </c>
      <c r="Q3779" s="893">
        <f t="shared" si="238"/>
        <v>53</v>
      </c>
      <c r="R3779" s="894">
        <f t="shared" si="239"/>
        <v>0</v>
      </c>
    </row>
    <row r="3780" spans="1:18">
      <c r="A3780" s="905"/>
      <c r="B3780" s="906"/>
      <c r="C3780" s="907">
        <v>90</v>
      </c>
      <c r="D3780" s="907" t="s">
        <v>279</v>
      </c>
      <c r="E3780" s="925" t="s">
        <v>3205</v>
      </c>
      <c r="F3780" s="926" t="s">
        <v>45</v>
      </c>
      <c r="G3780" s="910"/>
      <c r="H3780" s="911">
        <v>0.05</v>
      </c>
      <c r="I3780" s="912">
        <f>VLOOKUP(E3780,[3]VLP!$B$7:$K$300,10,0)</f>
        <v>65000</v>
      </c>
      <c r="J3780" s="912">
        <f>I3780*H3780</f>
        <v>3250</v>
      </c>
      <c r="K3780" s="912" t="s">
        <v>274</v>
      </c>
      <c r="L3780" s="912"/>
      <c r="M3780" s="912"/>
      <c r="N3780" s="912"/>
      <c r="O3780" s="892">
        <f t="shared" si="236"/>
        <v>0</v>
      </c>
      <c r="P3780" s="903">
        <f t="shared" si="237"/>
        <v>1</v>
      </c>
      <c r="Q3780" s="893">
        <f t="shared" si="238"/>
        <v>52</v>
      </c>
      <c r="R3780" s="894">
        <f t="shared" si="239"/>
        <v>0</v>
      </c>
    </row>
    <row r="3781" spans="1:18">
      <c r="A3781" s="905"/>
      <c r="B3781" s="906"/>
      <c r="C3781" s="907">
        <v>44</v>
      </c>
      <c r="D3781" s="907" t="s">
        <v>279</v>
      </c>
      <c r="E3781" s="925" t="s">
        <v>2681</v>
      </c>
      <c r="F3781" s="926" t="s">
        <v>45</v>
      </c>
      <c r="G3781" s="910"/>
      <c r="H3781" s="911">
        <v>0.1</v>
      </c>
      <c r="I3781" s="912">
        <f>VLOOKUP(E3781,[3]VLP!$B$7:$K$300,10,0)</f>
        <v>23000</v>
      </c>
      <c r="J3781" s="912">
        <f>I3781*H3781</f>
        <v>2300</v>
      </c>
      <c r="K3781" s="912" t="s">
        <v>274</v>
      </c>
      <c r="L3781" s="912"/>
      <c r="M3781" s="912"/>
      <c r="N3781" s="912"/>
      <c r="O3781" s="892">
        <f t="shared" si="236"/>
        <v>0</v>
      </c>
      <c r="P3781" s="903">
        <f t="shared" si="237"/>
        <v>1</v>
      </c>
      <c r="Q3781" s="893">
        <f t="shared" si="238"/>
        <v>51</v>
      </c>
      <c r="R3781" s="894">
        <f t="shared" si="239"/>
        <v>0</v>
      </c>
    </row>
    <row r="3782" spans="1:18">
      <c r="A3782" s="905"/>
      <c r="B3782" s="906"/>
      <c r="C3782" s="907">
        <v>66</v>
      </c>
      <c r="D3782" s="907" t="s">
        <v>279</v>
      </c>
      <c r="E3782" s="925" t="s">
        <v>2682</v>
      </c>
      <c r="F3782" s="926" t="s">
        <v>45</v>
      </c>
      <c r="G3782" s="910"/>
      <c r="H3782" s="911">
        <v>0.2</v>
      </c>
      <c r="I3782" s="912">
        <f>VLOOKUP(E3782,[3]VLP!$B$7:$K$300,10,0)</f>
        <v>5000</v>
      </c>
      <c r="J3782" s="912">
        <f>I3782*H3782</f>
        <v>1000</v>
      </c>
      <c r="K3782" s="912" t="s">
        <v>274</v>
      </c>
      <c r="L3782" s="912"/>
      <c r="M3782" s="912"/>
      <c r="N3782" s="912"/>
      <c r="O3782" s="892">
        <f t="shared" si="236"/>
        <v>0</v>
      </c>
      <c r="P3782" s="903">
        <f t="shared" si="237"/>
        <v>1</v>
      </c>
      <c r="Q3782" s="893">
        <f t="shared" si="238"/>
        <v>50</v>
      </c>
      <c r="R3782" s="894">
        <f t="shared" si="239"/>
        <v>0</v>
      </c>
    </row>
    <row r="3783" spans="1:18" s="904" customFormat="1">
      <c r="A3783" s="895"/>
      <c r="B3783" s="896"/>
      <c r="C3783" s="897"/>
      <c r="D3783" s="897"/>
      <c r="E3783" s="924" t="s">
        <v>276</v>
      </c>
      <c r="F3783" s="927"/>
      <c r="G3783" s="928"/>
      <c r="H3783" s="901"/>
      <c r="I3783" s="902"/>
      <c r="J3783" s="902"/>
      <c r="K3783" s="912" t="s">
        <v>274</v>
      </c>
      <c r="L3783" s="902"/>
      <c r="M3783" s="902"/>
      <c r="N3783" s="902"/>
      <c r="O3783" s="892">
        <f t="shared" si="236"/>
        <v>0</v>
      </c>
      <c r="P3783" s="903">
        <f t="shared" si="237"/>
        <v>1</v>
      </c>
      <c r="Q3783" s="893">
        <f t="shared" si="238"/>
        <v>49</v>
      </c>
      <c r="R3783" s="894">
        <f t="shared" si="239"/>
        <v>0</v>
      </c>
    </row>
    <row r="3784" spans="1:18">
      <c r="A3784" s="905"/>
      <c r="B3784" s="906"/>
      <c r="C3784" s="907">
        <v>750</v>
      </c>
      <c r="D3784" s="907" t="s">
        <v>12</v>
      </c>
      <c r="E3784" s="908" t="s">
        <v>5402</v>
      </c>
      <c r="F3784" s="909" t="s">
        <v>2674</v>
      </c>
      <c r="G3784" s="910"/>
      <c r="H3784" s="911">
        <v>1.44</v>
      </c>
      <c r="I3784" s="912"/>
      <c r="J3784" s="912"/>
      <c r="K3784" s="912">
        <f>VLOOKUP(E3784,[5]ĐMNC!$A$7:$F$67,4,0)</f>
        <v>259989</v>
      </c>
      <c r="L3784" s="912">
        <f>H3784*K3784</f>
        <v>374384.16</v>
      </c>
      <c r="M3784" s="912"/>
      <c r="N3784" s="912"/>
      <c r="O3784" s="892">
        <f t="shared" si="236"/>
        <v>0</v>
      </c>
      <c r="P3784" s="903">
        <f t="shared" si="237"/>
        <v>1</v>
      </c>
      <c r="Q3784" s="893">
        <f t="shared" si="238"/>
        <v>48</v>
      </c>
      <c r="R3784" s="894">
        <f t="shared" si="239"/>
        <v>0</v>
      </c>
    </row>
    <row r="3785" spans="1:18" s="904" customFormat="1">
      <c r="A3785" s="895"/>
      <c r="B3785" s="896"/>
      <c r="C3785" s="897"/>
      <c r="D3785" s="897"/>
      <c r="E3785" s="898" t="s">
        <v>3914</v>
      </c>
      <c r="F3785" s="899"/>
      <c r="G3785" s="928"/>
      <c r="H3785" s="901"/>
      <c r="I3785" s="902"/>
      <c r="J3785" s="902"/>
      <c r="K3785" s="912" t="s">
        <v>274</v>
      </c>
      <c r="L3785" s="902"/>
      <c r="M3785" s="902"/>
      <c r="N3785" s="902"/>
      <c r="O3785" s="892">
        <f t="shared" si="236"/>
        <v>0</v>
      </c>
      <c r="P3785" s="903">
        <f t="shared" si="237"/>
        <v>1</v>
      </c>
      <c r="Q3785" s="893">
        <f t="shared" si="238"/>
        <v>47</v>
      </c>
      <c r="R3785" s="894">
        <f t="shared" si="239"/>
        <v>0</v>
      </c>
    </row>
    <row r="3786" spans="1:18">
      <c r="A3786" s="905"/>
      <c r="B3786" s="953" t="s">
        <v>5403</v>
      </c>
      <c r="C3786" s="907">
        <v>866</v>
      </c>
      <c r="D3786" s="907" t="s">
        <v>93</v>
      </c>
      <c r="E3786" s="925" t="s">
        <v>5404</v>
      </c>
      <c r="F3786" s="909" t="s">
        <v>2673</v>
      </c>
      <c r="G3786" s="910"/>
      <c r="H3786" s="911">
        <v>0.08</v>
      </c>
      <c r="I3786" s="912"/>
      <c r="J3786" s="912"/>
      <c r="K3786" s="912"/>
      <c r="L3786" s="912"/>
      <c r="M3786" s="912">
        <f>VLOOKUP(B3786,MTC!$B$9:$S$933,12,0)</f>
        <v>0</v>
      </c>
      <c r="N3786" s="912">
        <f>M3786*H3786</f>
        <v>0</v>
      </c>
      <c r="O3786" s="892">
        <f t="shared" si="236"/>
        <v>0</v>
      </c>
      <c r="P3786" s="903">
        <f t="shared" si="237"/>
        <v>1</v>
      </c>
      <c r="Q3786" s="893">
        <f t="shared" si="238"/>
        <v>46</v>
      </c>
      <c r="R3786" s="894">
        <f t="shared" si="239"/>
        <v>0</v>
      </c>
    </row>
    <row r="3787" spans="1:18" s="847" customFormat="1">
      <c r="A3787" s="905"/>
      <c r="B3787" s="914"/>
      <c r="C3787" s="915"/>
      <c r="D3787" s="915"/>
      <c r="E3787" s="916" t="s">
        <v>5407</v>
      </c>
      <c r="F3787" s="917" t="s">
        <v>1206</v>
      </c>
      <c r="G3787" s="918"/>
      <c r="H3787" s="919"/>
      <c r="I3787" s="920"/>
      <c r="J3787" s="891">
        <f>SUM(J3788:J3795)</f>
        <v>10950</v>
      </c>
      <c r="K3787" s="891"/>
      <c r="L3787" s="891">
        <f>SUM(L3788:L3795)</f>
        <v>486179.43000000005</v>
      </c>
      <c r="M3787" s="891"/>
      <c r="N3787" s="891">
        <f>SUM(N3788:N3795)</f>
        <v>0</v>
      </c>
      <c r="O3787" s="892">
        <f t="shared" si="236"/>
        <v>0</v>
      </c>
      <c r="P3787" s="903">
        <f t="shared" si="237"/>
        <v>1</v>
      </c>
      <c r="Q3787" s="893">
        <f t="shared" si="238"/>
        <v>45</v>
      </c>
      <c r="R3787" s="894">
        <f t="shared" si="239"/>
        <v>0</v>
      </c>
    </row>
    <row r="3788" spans="1:18" s="904" customFormat="1">
      <c r="A3788" s="895"/>
      <c r="B3788" s="896"/>
      <c r="C3788" s="897"/>
      <c r="D3788" s="897"/>
      <c r="E3788" s="898" t="s">
        <v>108</v>
      </c>
      <c r="F3788" s="899"/>
      <c r="G3788" s="900"/>
      <c r="H3788" s="901"/>
      <c r="I3788" s="902"/>
      <c r="J3788" s="902"/>
      <c r="K3788" s="912" t="s">
        <v>274</v>
      </c>
      <c r="L3788" s="902"/>
      <c r="M3788" s="902"/>
      <c r="N3788" s="902"/>
      <c r="O3788" s="892">
        <f t="shared" si="236"/>
        <v>0</v>
      </c>
      <c r="P3788" s="903">
        <f t="shared" si="237"/>
        <v>1</v>
      </c>
      <c r="Q3788" s="893">
        <f t="shared" si="238"/>
        <v>44</v>
      </c>
      <c r="R3788" s="894">
        <f t="shared" si="239"/>
        <v>0</v>
      </c>
    </row>
    <row r="3789" spans="1:18">
      <c r="A3789" s="905"/>
      <c r="B3789" s="906"/>
      <c r="C3789" s="907">
        <v>90</v>
      </c>
      <c r="D3789" s="907" t="s">
        <v>279</v>
      </c>
      <c r="E3789" s="925" t="s">
        <v>3205</v>
      </c>
      <c r="F3789" s="926" t="s">
        <v>45</v>
      </c>
      <c r="G3789" s="910"/>
      <c r="H3789" s="911">
        <v>0.1</v>
      </c>
      <c r="I3789" s="912">
        <f>VLOOKUP(E3789,[3]VLP!$B$7:$K$300,10,0)</f>
        <v>65000</v>
      </c>
      <c r="J3789" s="912">
        <f>I3789*H3789</f>
        <v>6500</v>
      </c>
      <c r="K3789" s="912" t="s">
        <v>274</v>
      </c>
      <c r="L3789" s="912"/>
      <c r="M3789" s="912"/>
      <c r="N3789" s="912"/>
      <c r="O3789" s="892">
        <f t="shared" si="236"/>
        <v>0</v>
      </c>
      <c r="P3789" s="903">
        <f t="shared" si="237"/>
        <v>1</v>
      </c>
      <c r="Q3789" s="893">
        <f t="shared" si="238"/>
        <v>43</v>
      </c>
      <c r="R3789" s="894">
        <f t="shared" si="239"/>
        <v>0</v>
      </c>
    </row>
    <row r="3790" spans="1:18">
      <c r="A3790" s="905"/>
      <c r="B3790" s="906"/>
      <c r="C3790" s="907">
        <v>44</v>
      </c>
      <c r="D3790" s="907" t="s">
        <v>279</v>
      </c>
      <c r="E3790" s="925" t="s">
        <v>2681</v>
      </c>
      <c r="F3790" s="926" t="s">
        <v>45</v>
      </c>
      <c r="G3790" s="910"/>
      <c r="H3790" s="911">
        <v>0.15</v>
      </c>
      <c r="I3790" s="912">
        <f>VLOOKUP(E3790,[3]VLP!$B$7:$K$300,10,0)</f>
        <v>23000</v>
      </c>
      <c r="J3790" s="912">
        <f>I3790*H3790</f>
        <v>3450</v>
      </c>
      <c r="K3790" s="912" t="s">
        <v>274</v>
      </c>
      <c r="L3790" s="912"/>
      <c r="M3790" s="912"/>
      <c r="N3790" s="912"/>
      <c r="O3790" s="892">
        <f t="shared" si="236"/>
        <v>0</v>
      </c>
      <c r="P3790" s="903">
        <f t="shared" si="237"/>
        <v>1</v>
      </c>
      <c r="Q3790" s="893">
        <f t="shared" si="238"/>
        <v>42</v>
      </c>
      <c r="R3790" s="894">
        <f t="shared" si="239"/>
        <v>0</v>
      </c>
    </row>
    <row r="3791" spans="1:18">
      <c r="A3791" s="905"/>
      <c r="B3791" s="906"/>
      <c r="C3791" s="907">
        <v>66</v>
      </c>
      <c r="D3791" s="907" t="s">
        <v>279</v>
      </c>
      <c r="E3791" s="925" t="s">
        <v>2682</v>
      </c>
      <c r="F3791" s="926" t="s">
        <v>45</v>
      </c>
      <c r="G3791" s="910"/>
      <c r="H3791" s="911">
        <v>0.2</v>
      </c>
      <c r="I3791" s="912">
        <f>VLOOKUP(E3791,[3]VLP!$B$7:$K$300,10,0)</f>
        <v>5000</v>
      </c>
      <c r="J3791" s="912">
        <f>I3791*H3791</f>
        <v>1000</v>
      </c>
      <c r="K3791" s="912" t="s">
        <v>274</v>
      </c>
      <c r="L3791" s="912"/>
      <c r="M3791" s="912"/>
      <c r="N3791" s="912"/>
      <c r="O3791" s="892">
        <f t="shared" si="236"/>
        <v>0</v>
      </c>
      <c r="P3791" s="903">
        <f t="shared" si="237"/>
        <v>1</v>
      </c>
      <c r="Q3791" s="893">
        <f t="shared" si="238"/>
        <v>41</v>
      </c>
      <c r="R3791" s="894">
        <f t="shared" si="239"/>
        <v>0</v>
      </c>
    </row>
    <row r="3792" spans="1:18" s="904" customFormat="1">
      <c r="A3792" s="895"/>
      <c r="B3792" s="896"/>
      <c r="C3792" s="897"/>
      <c r="D3792" s="897"/>
      <c r="E3792" s="924" t="s">
        <v>276</v>
      </c>
      <c r="F3792" s="927"/>
      <c r="G3792" s="928"/>
      <c r="H3792" s="901"/>
      <c r="I3792" s="902"/>
      <c r="J3792" s="902"/>
      <c r="K3792" s="912" t="s">
        <v>274</v>
      </c>
      <c r="L3792" s="902"/>
      <c r="M3792" s="902"/>
      <c r="N3792" s="902"/>
      <c r="O3792" s="892">
        <f t="shared" si="236"/>
        <v>0</v>
      </c>
      <c r="P3792" s="903">
        <f t="shared" si="237"/>
        <v>1</v>
      </c>
      <c r="Q3792" s="893">
        <f t="shared" si="238"/>
        <v>40</v>
      </c>
      <c r="R3792" s="894">
        <f t="shared" si="239"/>
        <v>0</v>
      </c>
    </row>
    <row r="3793" spans="1:18">
      <c r="A3793" s="905"/>
      <c r="B3793" s="906"/>
      <c r="C3793" s="907">
        <v>750</v>
      </c>
      <c r="D3793" s="907" t="s">
        <v>12</v>
      </c>
      <c r="E3793" s="908" t="s">
        <v>5402</v>
      </c>
      <c r="F3793" s="909" t="s">
        <v>2674</v>
      </c>
      <c r="G3793" s="910"/>
      <c r="H3793" s="911">
        <v>1.87</v>
      </c>
      <c r="I3793" s="912"/>
      <c r="J3793" s="912"/>
      <c r="K3793" s="912">
        <f>VLOOKUP(E3793,[5]ĐMNC!$A$7:$F$67,4,0)</f>
        <v>259989</v>
      </c>
      <c r="L3793" s="912">
        <f>H3793*K3793</f>
        <v>486179.43000000005</v>
      </c>
      <c r="M3793" s="912"/>
      <c r="N3793" s="912"/>
      <c r="O3793" s="892">
        <f t="shared" si="236"/>
        <v>0</v>
      </c>
      <c r="P3793" s="903">
        <f t="shared" si="237"/>
        <v>1</v>
      </c>
      <c r="Q3793" s="893">
        <f t="shared" si="238"/>
        <v>39</v>
      </c>
      <c r="R3793" s="894">
        <f t="shared" si="239"/>
        <v>0</v>
      </c>
    </row>
    <row r="3794" spans="1:18" s="904" customFormat="1">
      <c r="A3794" s="895"/>
      <c r="B3794" s="896"/>
      <c r="C3794" s="897"/>
      <c r="D3794" s="897"/>
      <c r="E3794" s="898" t="s">
        <v>3914</v>
      </c>
      <c r="F3794" s="899"/>
      <c r="G3794" s="928"/>
      <c r="H3794" s="901"/>
      <c r="I3794" s="902"/>
      <c r="J3794" s="902"/>
      <c r="K3794" s="912" t="s">
        <v>274</v>
      </c>
      <c r="L3794" s="902"/>
      <c r="M3794" s="902"/>
      <c r="N3794" s="902"/>
      <c r="O3794" s="892">
        <f t="shared" si="236"/>
        <v>0</v>
      </c>
      <c r="P3794" s="903">
        <f t="shared" si="237"/>
        <v>1</v>
      </c>
      <c r="Q3794" s="893">
        <f t="shared" si="238"/>
        <v>38</v>
      </c>
      <c r="R3794" s="894">
        <f t="shared" si="239"/>
        <v>0</v>
      </c>
    </row>
    <row r="3795" spans="1:18">
      <c r="A3795" s="905"/>
      <c r="B3795" s="953" t="s">
        <v>5403</v>
      </c>
      <c r="C3795" s="907">
        <v>866</v>
      </c>
      <c r="D3795" s="907" t="s">
        <v>93</v>
      </c>
      <c r="E3795" s="925" t="s">
        <v>5404</v>
      </c>
      <c r="F3795" s="909" t="s">
        <v>2673</v>
      </c>
      <c r="G3795" s="910"/>
      <c r="H3795" s="911">
        <v>0.1</v>
      </c>
      <c r="I3795" s="912"/>
      <c r="J3795" s="912"/>
      <c r="K3795" s="912"/>
      <c r="L3795" s="912"/>
      <c r="M3795" s="912">
        <f>VLOOKUP(B3795,MTC!$B$9:$S$933,12,0)</f>
        <v>0</v>
      </c>
      <c r="N3795" s="912">
        <f>M3795*H3795</f>
        <v>0</v>
      </c>
      <c r="O3795" s="892">
        <f t="shared" si="236"/>
        <v>0</v>
      </c>
      <c r="P3795" s="903">
        <f t="shared" si="237"/>
        <v>1</v>
      </c>
      <c r="Q3795" s="893">
        <f t="shared" si="238"/>
        <v>37</v>
      </c>
      <c r="R3795" s="894">
        <f t="shared" si="239"/>
        <v>0</v>
      </c>
    </row>
    <row r="3796" spans="1:18" s="847" customFormat="1">
      <c r="A3796" s="905"/>
      <c r="B3796" s="914"/>
      <c r="C3796" s="915"/>
      <c r="D3796" s="915"/>
      <c r="E3796" s="916" t="s">
        <v>5408</v>
      </c>
      <c r="F3796" s="917" t="s">
        <v>1206</v>
      </c>
      <c r="G3796" s="918"/>
      <c r="H3796" s="919"/>
      <c r="I3796" s="920"/>
      <c r="J3796" s="891">
        <f>SUM(J3797:J3804)</f>
        <v>10950</v>
      </c>
      <c r="K3796" s="891"/>
      <c r="L3796" s="891">
        <f>SUM(L3797:L3804)</f>
        <v>519978</v>
      </c>
      <c r="M3796" s="891"/>
      <c r="N3796" s="891">
        <f>SUM(N3797:N3804)</f>
        <v>0</v>
      </c>
      <c r="O3796" s="892">
        <f t="shared" si="236"/>
        <v>0</v>
      </c>
      <c r="P3796" s="903">
        <f t="shared" si="237"/>
        <v>1</v>
      </c>
      <c r="Q3796" s="893">
        <f t="shared" si="238"/>
        <v>36</v>
      </c>
      <c r="R3796" s="894">
        <f t="shared" si="239"/>
        <v>0</v>
      </c>
    </row>
    <row r="3797" spans="1:18" s="904" customFormat="1">
      <c r="A3797" s="895"/>
      <c r="B3797" s="896"/>
      <c r="C3797" s="897"/>
      <c r="D3797" s="897"/>
      <c r="E3797" s="898" t="s">
        <v>108</v>
      </c>
      <c r="F3797" s="899"/>
      <c r="G3797" s="900"/>
      <c r="H3797" s="901"/>
      <c r="I3797" s="902"/>
      <c r="J3797" s="902"/>
      <c r="K3797" s="912" t="s">
        <v>274</v>
      </c>
      <c r="L3797" s="902"/>
      <c r="M3797" s="902"/>
      <c r="N3797" s="902"/>
      <c r="O3797" s="892">
        <f t="shared" si="236"/>
        <v>0</v>
      </c>
      <c r="P3797" s="903">
        <f t="shared" si="237"/>
        <v>1</v>
      </c>
      <c r="Q3797" s="893">
        <f t="shared" si="238"/>
        <v>35</v>
      </c>
      <c r="R3797" s="894">
        <f t="shared" si="239"/>
        <v>0</v>
      </c>
    </row>
    <row r="3798" spans="1:18">
      <c r="A3798" s="905"/>
      <c r="B3798" s="906"/>
      <c r="C3798" s="907">
        <v>90</v>
      </c>
      <c r="D3798" s="907" t="s">
        <v>279</v>
      </c>
      <c r="E3798" s="925" t="s">
        <v>3205</v>
      </c>
      <c r="F3798" s="926" t="s">
        <v>45</v>
      </c>
      <c r="G3798" s="910"/>
      <c r="H3798" s="911">
        <v>0.1</v>
      </c>
      <c r="I3798" s="912">
        <f>VLOOKUP(E3798,[3]VLP!$B$7:$K$300,10,0)</f>
        <v>65000</v>
      </c>
      <c r="J3798" s="912">
        <f>I3798*H3798</f>
        <v>6500</v>
      </c>
      <c r="K3798" s="912" t="s">
        <v>274</v>
      </c>
      <c r="L3798" s="912"/>
      <c r="M3798" s="912"/>
      <c r="N3798" s="912"/>
      <c r="O3798" s="892">
        <f t="shared" si="236"/>
        <v>0</v>
      </c>
      <c r="P3798" s="903">
        <f t="shared" si="237"/>
        <v>1</v>
      </c>
      <c r="Q3798" s="893">
        <f t="shared" si="238"/>
        <v>34</v>
      </c>
      <c r="R3798" s="894">
        <f t="shared" si="239"/>
        <v>0</v>
      </c>
    </row>
    <row r="3799" spans="1:18">
      <c r="A3799" s="905"/>
      <c r="B3799" s="906"/>
      <c r="C3799" s="907">
        <v>44</v>
      </c>
      <c r="D3799" s="907" t="s">
        <v>279</v>
      </c>
      <c r="E3799" s="925" t="s">
        <v>2681</v>
      </c>
      <c r="F3799" s="926" t="s">
        <v>45</v>
      </c>
      <c r="G3799" s="910"/>
      <c r="H3799" s="911">
        <v>0.15</v>
      </c>
      <c r="I3799" s="912">
        <f>VLOOKUP(E3799,[3]VLP!$B$7:$K$300,10,0)</f>
        <v>23000</v>
      </c>
      <c r="J3799" s="912">
        <f>I3799*H3799</f>
        <v>3450</v>
      </c>
      <c r="K3799" s="912" t="s">
        <v>274</v>
      </c>
      <c r="L3799" s="912"/>
      <c r="M3799" s="912"/>
      <c r="N3799" s="912"/>
      <c r="O3799" s="892">
        <f t="shared" si="236"/>
        <v>0</v>
      </c>
      <c r="P3799" s="903">
        <f t="shared" si="237"/>
        <v>1</v>
      </c>
      <c r="Q3799" s="893">
        <f t="shared" si="238"/>
        <v>33</v>
      </c>
      <c r="R3799" s="894">
        <f t="shared" si="239"/>
        <v>0</v>
      </c>
    </row>
    <row r="3800" spans="1:18">
      <c r="A3800" s="905"/>
      <c r="B3800" s="906"/>
      <c r="C3800" s="907">
        <v>66</v>
      </c>
      <c r="D3800" s="907" t="s">
        <v>279</v>
      </c>
      <c r="E3800" s="925" t="s">
        <v>2682</v>
      </c>
      <c r="F3800" s="926" t="s">
        <v>45</v>
      </c>
      <c r="G3800" s="910"/>
      <c r="H3800" s="911">
        <v>0.2</v>
      </c>
      <c r="I3800" s="912">
        <f>VLOOKUP(E3800,[3]VLP!$B$7:$K$300,10,0)</f>
        <v>5000</v>
      </c>
      <c r="J3800" s="912">
        <f>I3800*H3800</f>
        <v>1000</v>
      </c>
      <c r="K3800" s="912" t="s">
        <v>274</v>
      </c>
      <c r="L3800" s="912"/>
      <c r="M3800" s="912"/>
      <c r="N3800" s="912"/>
      <c r="O3800" s="892">
        <f t="shared" si="236"/>
        <v>0</v>
      </c>
      <c r="P3800" s="903">
        <f t="shared" si="237"/>
        <v>1</v>
      </c>
      <c r="Q3800" s="893">
        <f t="shared" si="238"/>
        <v>32</v>
      </c>
      <c r="R3800" s="894">
        <f t="shared" si="239"/>
        <v>0</v>
      </c>
    </row>
    <row r="3801" spans="1:18" s="904" customFormat="1">
      <c r="A3801" s="895"/>
      <c r="B3801" s="896"/>
      <c r="C3801" s="897"/>
      <c r="D3801" s="897"/>
      <c r="E3801" s="924" t="s">
        <v>276</v>
      </c>
      <c r="F3801" s="927"/>
      <c r="G3801" s="928"/>
      <c r="H3801" s="901"/>
      <c r="I3801" s="902"/>
      <c r="J3801" s="902"/>
      <c r="K3801" s="912" t="s">
        <v>274</v>
      </c>
      <c r="L3801" s="902"/>
      <c r="M3801" s="902"/>
      <c r="N3801" s="902"/>
      <c r="O3801" s="892">
        <f t="shared" si="236"/>
        <v>0</v>
      </c>
      <c r="P3801" s="903">
        <f t="shared" si="237"/>
        <v>1</v>
      </c>
      <c r="Q3801" s="893">
        <f t="shared" si="238"/>
        <v>31</v>
      </c>
      <c r="R3801" s="894">
        <f t="shared" si="239"/>
        <v>0</v>
      </c>
    </row>
    <row r="3802" spans="1:18">
      <c r="A3802" s="905"/>
      <c r="B3802" s="906"/>
      <c r="C3802" s="907">
        <v>750</v>
      </c>
      <c r="D3802" s="907" t="s">
        <v>12</v>
      </c>
      <c r="E3802" s="908" t="s">
        <v>5402</v>
      </c>
      <c r="F3802" s="909" t="s">
        <v>2674</v>
      </c>
      <c r="G3802" s="910"/>
      <c r="H3802" s="911">
        <v>2</v>
      </c>
      <c r="I3802" s="912"/>
      <c r="J3802" s="912"/>
      <c r="K3802" s="912">
        <f>VLOOKUP(E3802,[5]ĐMNC!$A$7:$F$67,4,0)</f>
        <v>259989</v>
      </c>
      <c r="L3802" s="912">
        <f>H3802*K3802</f>
        <v>519978</v>
      </c>
      <c r="M3802" s="912"/>
      <c r="N3802" s="912"/>
      <c r="O3802" s="892">
        <f t="shared" si="236"/>
        <v>0</v>
      </c>
      <c r="P3802" s="903">
        <f t="shared" si="237"/>
        <v>1</v>
      </c>
      <c r="Q3802" s="893">
        <f t="shared" si="238"/>
        <v>30</v>
      </c>
      <c r="R3802" s="894">
        <f t="shared" si="239"/>
        <v>0</v>
      </c>
    </row>
    <row r="3803" spans="1:18" s="904" customFormat="1">
      <c r="A3803" s="895"/>
      <c r="B3803" s="896"/>
      <c r="C3803" s="897"/>
      <c r="D3803" s="897"/>
      <c r="E3803" s="898" t="s">
        <v>3914</v>
      </c>
      <c r="F3803" s="899"/>
      <c r="G3803" s="928"/>
      <c r="H3803" s="901"/>
      <c r="I3803" s="902"/>
      <c r="J3803" s="902"/>
      <c r="K3803" s="912" t="s">
        <v>274</v>
      </c>
      <c r="L3803" s="902"/>
      <c r="M3803" s="902"/>
      <c r="N3803" s="902"/>
      <c r="O3803" s="892">
        <f t="shared" si="236"/>
        <v>0</v>
      </c>
      <c r="P3803" s="903">
        <f t="shared" si="237"/>
        <v>1</v>
      </c>
      <c r="Q3803" s="893">
        <f t="shared" si="238"/>
        <v>29</v>
      </c>
      <c r="R3803" s="894">
        <f t="shared" si="239"/>
        <v>0</v>
      </c>
    </row>
    <row r="3804" spans="1:18">
      <c r="A3804" s="905"/>
      <c r="B3804" s="953" t="s">
        <v>5403</v>
      </c>
      <c r="C3804" s="907">
        <v>866</v>
      </c>
      <c r="D3804" s="907" t="s">
        <v>93</v>
      </c>
      <c r="E3804" s="925" t="s">
        <v>5404</v>
      </c>
      <c r="F3804" s="909" t="s">
        <v>2673</v>
      </c>
      <c r="G3804" s="910"/>
      <c r="H3804" s="911">
        <v>0.1</v>
      </c>
      <c r="I3804" s="912"/>
      <c r="J3804" s="912"/>
      <c r="K3804" s="912"/>
      <c r="L3804" s="912"/>
      <c r="M3804" s="912">
        <f>VLOOKUP(B3804,MTC!$B$9:$S$933,12,0)</f>
        <v>0</v>
      </c>
      <c r="N3804" s="912">
        <f>M3804*H3804</f>
        <v>0</v>
      </c>
      <c r="O3804" s="892">
        <f t="shared" si="236"/>
        <v>0</v>
      </c>
      <c r="P3804" s="903">
        <f t="shared" si="237"/>
        <v>1</v>
      </c>
      <c r="Q3804" s="893">
        <f t="shared" si="238"/>
        <v>28</v>
      </c>
      <c r="R3804" s="894">
        <f t="shared" si="239"/>
        <v>0</v>
      </c>
    </row>
    <row r="3805" spans="1:18" s="847" customFormat="1">
      <c r="A3805" s="905"/>
      <c r="B3805" s="914"/>
      <c r="C3805" s="915"/>
      <c r="D3805" s="915"/>
      <c r="E3805" s="916" t="s">
        <v>5409</v>
      </c>
      <c r="F3805" s="917" t="s">
        <v>1206</v>
      </c>
      <c r="G3805" s="918"/>
      <c r="H3805" s="919"/>
      <c r="I3805" s="920"/>
      <c r="J3805" s="891">
        <f>SUM(J3806:J3813)</f>
        <v>10950</v>
      </c>
      <c r="K3805" s="891"/>
      <c r="L3805" s="891">
        <f>SUM(L3806:L3813)</f>
        <v>553776.56999999995</v>
      </c>
      <c r="M3805" s="891"/>
      <c r="N3805" s="891">
        <f>SUM(N3806:N3813)</f>
        <v>0</v>
      </c>
      <c r="O3805" s="892">
        <f t="shared" ref="O3805:O3868" si="240">IF(AND(B3805&lt;&gt;"",D3805=""),1,0)</f>
        <v>0</v>
      </c>
      <c r="P3805" s="903">
        <f t="shared" si="237"/>
        <v>1</v>
      </c>
      <c r="Q3805" s="893">
        <f t="shared" si="238"/>
        <v>27</v>
      </c>
      <c r="R3805" s="894">
        <f t="shared" si="239"/>
        <v>0</v>
      </c>
    </row>
    <row r="3806" spans="1:18" s="904" customFormat="1">
      <c r="A3806" s="895"/>
      <c r="B3806" s="896"/>
      <c r="C3806" s="897"/>
      <c r="D3806" s="897"/>
      <c r="E3806" s="898" t="s">
        <v>108</v>
      </c>
      <c r="F3806" s="899"/>
      <c r="G3806" s="900"/>
      <c r="H3806" s="901"/>
      <c r="I3806" s="902"/>
      <c r="J3806" s="902"/>
      <c r="K3806" s="912" t="s">
        <v>274</v>
      </c>
      <c r="L3806" s="902"/>
      <c r="M3806" s="902"/>
      <c r="N3806" s="902"/>
      <c r="O3806" s="892">
        <f t="shared" si="240"/>
        <v>0</v>
      </c>
      <c r="P3806" s="903">
        <f t="shared" si="237"/>
        <v>1</v>
      </c>
      <c r="Q3806" s="893">
        <f t="shared" si="238"/>
        <v>26</v>
      </c>
      <c r="R3806" s="894">
        <f t="shared" si="239"/>
        <v>0</v>
      </c>
    </row>
    <row r="3807" spans="1:18">
      <c r="A3807" s="905"/>
      <c r="B3807" s="906"/>
      <c r="C3807" s="907">
        <v>90</v>
      </c>
      <c r="D3807" s="907" t="s">
        <v>279</v>
      </c>
      <c r="E3807" s="925" t="s">
        <v>3205</v>
      </c>
      <c r="F3807" s="926" t="s">
        <v>45</v>
      </c>
      <c r="G3807" s="910"/>
      <c r="H3807" s="911">
        <v>0.1</v>
      </c>
      <c r="I3807" s="912">
        <f>VLOOKUP(E3807,[3]VLP!$B$7:$K$300,10,0)</f>
        <v>65000</v>
      </c>
      <c r="J3807" s="912">
        <f>I3807*H3807</f>
        <v>6500</v>
      </c>
      <c r="K3807" s="912" t="s">
        <v>274</v>
      </c>
      <c r="L3807" s="912"/>
      <c r="M3807" s="912"/>
      <c r="N3807" s="912"/>
      <c r="O3807" s="892">
        <f t="shared" si="240"/>
        <v>0</v>
      </c>
      <c r="P3807" s="903">
        <f t="shared" si="237"/>
        <v>1</v>
      </c>
      <c r="Q3807" s="893">
        <f t="shared" si="238"/>
        <v>25</v>
      </c>
      <c r="R3807" s="894">
        <f t="shared" si="239"/>
        <v>0</v>
      </c>
    </row>
    <row r="3808" spans="1:18">
      <c r="A3808" s="905"/>
      <c r="B3808" s="906"/>
      <c r="C3808" s="907">
        <v>44</v>
      </c>
      <c r="D3808" s="907" t="s">
        <v>279</v>
      </c>
      <c r="E3808" s="925" t="s">
        <v>2681</v>
      </c>
      <c r="F3808" s="926" t="s">
        <v>45</v>
      </c>
      <c r="G3808" s="910"/>
      <c r="H3808" s="911">
        <v>0.15</v>
      </c>
      <c r="I3808" s="912">
        <f>VLOOKUP(E3808,[3]VLP!$B$7:$K$300,10,0)</f>
        <v>23000</v>
      </c>
      <c r="J3808" s="912">
        <f>I3808*H3808</f>
        <v>3450</v>
      </c>
      <c r="K3808" s="912" t="s">
        <v>274</v>
      </c>
      <c r="L3808" s="912"/>
      <c r="M3808" s="912"/>
      <c r="N3808" s="912"/>
      <c r="O3808" s="892">
        <f t="shared" si="240"/>
        <v>0</v>
      </c>
      <c r="P3808" s="903">
        <f t="shared" si="237"/>
        <v>1</v>
      </c>
      <c r="Q3808" s="893">
        <f t="shared" si="238"/>
        <v>24</v>
      </c>
      <c r="R3808" s="894">
        <f t="shared" si="239"/>
        <v>0</v>
      </c>
    </row>
    <row r="3809" spans="1:18">
      <c r="A3809" s="905"/>
      <c r="B3809" s="906"/>
      <c r="C3809" s="907">
        <v>66</v>
      </c>
      <c r="D3809" s="907" t="s">
        <v>279</v>
      </c>
      <c r="E3809" s="925" t="s">
        <v>2682</v>
      </c>
      <c r="F3809" s="926" t="s">
        <v>45</v>
      </c>
      <c r="G3809" s="910"/>
      <c r="H3809" s="911">
        <v>0.2</v>
      </c>
      <c r="I3809" s="912">
        <f>VLOOKUP(E3809,[3]VLP!$B$7:$K$300,10,0)</f>
        <v>5000</v>
      </c>
      <c r="J3809" s="912">
        <f>I3809*H3809</f>
        <v>1000</v>
      </c>
      <c r="K3809" s="912" t="s">
        <v>274</v>
      </c>
      <c r="L3809" s="912"/>
      <c r="M3809" s="912"/>
      <c r="N3809" s="912"/>
      <c r="O3809" s="892">
        <f t="shared" si="240"/>
        <v>0</v>
      </c>
      <c r="P3809" s="903">
        <f t="shared" si="237"/>
        <v>1</v>
      </c>
      <c r="Q3809" s="893">
        <f t="shared" si="238"/>
        <v>23</v>
      </c>
      <c r="R3809" s="894">
        <f t="shared" si="239"/>
        <v>0</v>
      </c>
    </row>
    <row r="3810" spans="1:18" s="904" customFormat="1">
      <c r="A3810" s="895"/>
      <c r="B3810" s="896"/>
      <c r="C3810" s="897"/>
      <c r="D3810" s="897"/>
      <c r="E3810" s="924" t="s">
        <v>276</v>
      </c>
      <c r="F3810" s="927"/>
      <c r="G3810" s="928"/>
      <c r="H3810" s="901"/>
      <c r="I3810" s="902"/>
      <c r="J3810" s="902"/>
      <c r="K3810" s="912" t="s">
        <v>274</v>
      </c>
      <c r="L3810" s="902"/>
      <c r="M3810" s="902"/>
      <c r="N3810" s="902"/>
      <c r="O3810" s="892">
        <f t="shared" si="240"/>
        <v>0</v>
      </c>
      <c r="P3810" s="903">
        <f t="shared" si="237"/>
        <v>1</v>
      </c>
      <c r="Q3810" s="893">
        <f t="shared" si="238"/>
        <v>22</v>
      </c>
      <c r="R3810" s="894">
        <f t="shared" si="239"/>
        <v>0</v>
      </c>
    </row>
    <row r="3811" spans="1:18">
      <c r="A3811" s="905"/>
      <c r="B3811" s="906"/>
      <c r="C3811" s="907">
        <v>750</v>
      </c>
      <c r="D3811" s="907" t="s">
        <v>12</v>
      </c>
      <c r="E3811" s="908" t="s">
        <v>5402</v>
      </c>
      <c r="F3811" s="909" t="s">
        <v>2674</v>
      </c>
      <c r="G3811" s="910"/>
      <c r="H3811" s="911">
        <v>2.13</v>
      </c>
      <c r="I3811" s="912"/>
      <c r="J3811" s="912"/>
      <c r="K3811" s="912">
        <f>VLOOKUP(E3811,[5]ĐMNC!$A$7:$F$67,4,0)</f>
        <v>259989</v>
      </c>
      <c r="L3811" s="912">
        <f>H3811*K3811</f>
        <v>553776.56999999995</v>
      </c>
      <c r="M3811" s="912"/>
      <c r="N3811" s="912"/>
      <c r="O3811" s="892">
        <f t="shared" si="240"/>
        <v>0</v>
      </c>
      <c r="P3811" s="903">
        <f t="shared" si="237"/>
        <v>1</v>
      </c>
      <c r="Q3811" s="893">
        <f t="shared" si="238"/>
        <v>21</v>
      </c>
      <c r="R3811" s="894">
        <f t="shared" si="239"/>
        <v>0</v>
      </c>
    </row>
    <row r="3812" spans="1:18" s="904" customFormat="1">
      <c r="A3812" s="895"/>
      <c r="B3812" s="896"/>
      <c r="C3812" s="897"/>
      <c r="D3812" s="897"/>
      <c r="E3812" s="898" t="s">
        <v>3914</v>
      </c>
      <c r="F3812" s="899"/>
      <c r="G3812" s="928"/>
      <c r="H3812" s="901"/>
      <c r="I3812" s="902"/>
      <c r="J3812" s="902"/>
      <c r="K3812" s="912" t="s">
        <v>274</v>
      </c>
      <c r="L3812" s="902"/>
      <c r="M3812" s="902"/>
      <c r="N3812" s="902"/>
      <c r="O3812" s="892">
        <f t="shared" si="240"/>
        <v>0</v>
      </c>
      <c r="P3812" s="903">
        <f t="shared" si="237"/>
        <v>1</v>
      </c>
      <c r="Q3812" s="893">
        <f t="shared" si="238"/>
        <v>20</v>
      </c>
      <c r="R3812" s="894">
        <f t="shared" si="239"/>
        <v>0</v>
      </c>
    </row>
    <row r="3813" spans="1:18">
      <c r="A3813" s="905"/>
      <c r="B3813" s="953" t="s">
        <v>5403</v>
      </c>
      <c r="C3813" s="907">
        <v>866</v>
      </c>
      <c r="D3813" s="907" t="s">
        <v>93</v>
      </c>
      <c r="E3813" s="925" t="s">
        <v>5404</v>
      </c>
      <c r="F3813" s="909" t="s">
        <v>2673</v>
      </c>
      <c r="G3813" s="910"/>
      <c r="H3813" s="911">
        <v>0.1</v>
      </c>
      <c r="I3813" s="912"/>
      <c r="J3813" s="912"/>
      <c r="K3813" s="912"/>
      <c r="L3813" s="912"/>
      <c r="M3813" s="912">
        <f>VLOOKUP(B3813,MTC!$B$9:$S$933,12,0)</f>
        <v>0</v>
      </c>
      <c r="N3813" s="912">
        <f>M3813*H3813</f>
        <v>0</v>
      </c>
      <c r="O3813" s="892">
        <f t="shared" si="240"/>
        <v>0</v>
      </c>
      <c r="P3813" s="903">
        <f t="shared" si="237"/>
        <v>1</v>
      </c>
      <c r="Q3813" s="893">
        <f t="shared" si="238"/>
        <v>19</v>
      </c>
      <c r="R3813" s="894">
        <f t="shared" si="239"/>
        <v>0</v>
      </c>
    </row>
    <row r="3814" spans="1:18" s="847" customFormat="1">
      <c r="A3814" s="905"/>
      <c r="B3814" s="914"/>
      <c r="C3814" s="915"/>
      <c r="D3814" s="915"/>
      <c r="E3814" s="916" t="s">
        <v>5410</v>
      </c>
      <c r="F3814" s="917" t="s">
        <v>1206</v>
      </c>
      <c r="G3814" s="918"/>
      <c r="H3814" s="919"/>
      <c r="I3814" s="920"/>
      <c r="J3814" s="891">
        <f>SUM(J3815:J3822)</f>
        <v>10950</v>
      </c>
      <c r="K3814" s="891"/>
      <c r="L3814" s="891">
        <f>SUM(L3815:L3822)</f>
        <v>584975.25</v>
      </c>
      <c r="M3814" s="891"/>
      <c r="N3814" s="891">
        <f>SUM(N3815:N3822)</f>
        <v>0</v>
      </c>
      <c r="O3814" s="892">
        <f t="shared" si="240"/>
        <v>0</v>
      </c>
      <c r="P3814" s="903">
        <f t="shared" ref="P3814:P3877" si="241">IF(O3814=0,1,0)</f>
        <v>1</v>
      </c>
      <c r="Q3814" s="893">
        <f t="shared" ref="Q3814:Q3877" si="242">IF(P3814=0,0,P3814+Q3815)</f>
        <v>18</v>
      </c>
      <c r="R3814" s="894">
        <f t="shared" ref="R3814:R3877" si="243">IF(Q3814=0,Q3815,0)</f>
        <v>0</v>
      </c>
    </row>
    <row r="3815" spans="1:18" s="904" customFormat="1">
      <c r="A3815" s="895"/>
      <c r="B3815" s="896"/>
      <c r="C3815" s="897"/>
      <c r="D3815" s="897"/>
      <c r="E3815" s="898" t="s">
        <v>108</v>
      </c>
      <c r="F3815" s="899"/>
      <c r="G3815" s="900"/>
      <c r="H3815" s="901"/>
      <c r="I3815" s="902"/>
      <c r="J3815" s="902"/>
      <c r="K3815" s="912" t="s">
        <v>274</v>
      </c>
      <c r="L3815" s="902"/>
      <c r="M3815" s="902"/>
      <c r="N3815" s="902"/>
      <c r="O3815" s="892">
        <f t="shared" si="240"/>
        <v>0</v>
      </c>
      <c r="P3815" s="903">
        <f t="shared" si="241"/>
        <v>1</v>
      </c>
      <c r="Q3815" s="893">
        <f t="shared" si="242"/>
        <v>17</v>
      </c>
      <c r="R3815" s="894">
        <f t="shared" si="243"/>
        <v>0</v>
      </c>
    </row>
    <row r="3816" spans="1:18">
      <c r="A3816" s="905"/>
      <c r="B3816" s="906"/>
      <c r="C3816" s="907">
        <v>90</v>
      </c>
      <c r="D3816" s="907" t="s">
        <v>279</v>
      </c>
      <c r="E3816" s="925" t="s">
        <v>3205</v>
      </c>
      <c r="F3816" s="926" t="s">
        <v>45</v>
      </c>
      <c r="G3816" s="910"/>
      <c r="H3816" s="911">
        <v>0.1</v>
      </c>
      <c r="I3816" s="912">
        <f>VLOOKUP(E3816,[3]VLP!$B$7:$K$300,10,0)</f>
        <v>65000</v>
      </c>
      <c r="J3816" s="912">
        <f>I3816*H3816</f>
        <v>6500</v>
      </c>
      <c r="K3816" s="912" t="s">
        <v>274</v>
      </c>
      <c r="L3816" s="912"/>
      <c r="M3816" s="912"/>
      <c r="N3816" s="912"/>
      <c r="O3816" s="892">
        <f t="shared" si="240"/>
        <v>0</v>
      </c>
      <c r="P3816" s="903">
        <f t="shared" si="241"/>
        <v>1</v>
      </c>
      <c r="Q3816" s="893">
        <f t="shared" si="242"/>
        <v>16</v>
      </c>
      <c r="R3816" s="894">
        <f t="shared" si="243"/>
        <v>0</v>
      </c>
    </row>
    <row r="3817" spans="1:18">
      <c r="A3817" s="905"/>
      <c r="B3817" s="906"/>
      <c r="C3817" s="907">
        <v>44</v>
      </c>
      <c r="D3817" s="907" t="s">
        <v>279</v>
      </c>
      <c r="E3817" s="925" t="s">
        <v>2681</v>
      </c>
      <c r="F3817" s="926" t="s">
        <v>45</v>
      </c>
      <c r="G3817" s="910"/>
      <c r="H3817" s="911">
        <v>0.15</v>
      </c>
      <c r="I3817" s="912">
        <f>VLOOKUP(E3817,[3]VLP!$B$7:$K$300,10,0)</f>
        <v>23000</v>
      </c>
      <c r="J3817" s="912">
        <f>I3817*H3817</f>
        <v>3450</v>
      </c>
      <c r="K3817" s="912" t="s">
        <v>274</v>
      </c>
      <c r="L3817" s="912"/>
      <c r="M3817" s="912"/>
      <c r="N3817" s="912"/>
      <c r="O3817" s="892">
        <f t="shared" si="240"/>
        <v>0</v>
      </c>
      <c r="P3817" s="903">
        <f t="shared" si="241"/>
        <v>1</v>
      </c>
      <c r="Q3817" s="893">
        <f t="shared" si="242"/>
        <v>15</v>
      </c>
      <c r="R3817" s="894">
        <f t="shared" si="243"/>
        <v>0</v>
      </c>
    </row>
    <row r="3818" spans="1:18">
      <c r="A3818" s="905"/>
      <c r="B3818" s="906"/>
      <c r="C3818" s="907">
        <v>66</v>
      </c>
      <c r="D3818" s="907" t="s">
        <v>279</v>
      </c>
      <c r="E3818" s="925" t="s">
        <v>2682</v>
      </c>
      <c r="F3818" s="926" t="s">
        <v>45</v>
      </c>
      <c r="G3818" s="910"/>
      <c r="H3818" s="911">
        <v>0.2</v>
      </c>
      <c r="I3818" s="912">
        <f>VLOOKUP(E3818,[3]VLP!$B$7:$K$300,10,0)</f>
        <v>5000</v>
      </c>
      <c r="J3818" s="912">
        <f>I3818*H3818</f>
        <v>1000</v>
      </c>
      <c r="K3818" s="912" t="s">
        <v>274</v>
      </c>
      <c r="L3818" s="912"/>
      <c r="M3818" s="912"/>
      <c r="N3818" s="912"/>
      <c r="O3818" s="892">
        <f t="shared" si="240"/>
        <v>0</v>
      </c>
      <c r="P3818" s="903">
        <f t="shared" si="241"/>
        <v>1</v>
      </c>
      <c r="Q3818" s="893">
        <f t="shared" si="242"/>
        <v>14</v>
      </c>
      <c r="R3818" s="894">
        <f t="shared" si="243"/>
        <v>0</v>
      </c>
    </row>
    <row r="3819" spans="1:18" s="904" customFormat="1">
      <c r="A3819" s="895"/>
      <c r="B3819" s="896"/>
      <c r="C3819" s="897"/>
      <c r="D3819" s="897"/>
      <c r="E3819" s="924" t="s">
        <v>276</v>
      </c>
      <c r="F3819" s="927"/>
      <c r="G3819" s="928"/>
      <c r="H3819" s="901"/>
      <c r="I3819" s="902"/>
      <c r="J3819" s="902"/>
      <c r="K3819" s="912" t="s">
        <v>274</v>
      </c>
      <c r="L3819" s="902"/>
      <c r="M3819" s="902"/>
      <c r="N3819" s="902"/>
      <c r="O3819" s="892">
        <f t="shared" si="240"/>
        <v>0</v>
      </c>
      <c r="P3819" s="903">
        <f t="shared" si="241"/>
        <v>1</v>
      </c>
      <c r="Q3819" s="893">
        <f t="shared" si="242"/>
        <v>13</v>
      </c>
      <c r="R3819" s="894">
        <f t="shared" si="243"/>
        <v>0</v>
      </c>
    </row>
    <row r="3820" spans="1:18">
      <c r="A3820" s="905"/>
      <c r="B3820" s="906"/>
      <c r="C3820" s="907">
        <v>750</v>
      </c>
      <c r="D3820" s="907" t="s">
        <v>12</v>
      </c>
      <c r="E3820" s="908" t="s">
        <v>5402</v>
      </c>
      <c r="F3820" s="909" t="s">
        <v>2674</v>
      </c>
      <c r="G3820" s="910"/>
      <c r="H3820" s="911">
        <v>2.25</v>
      </c>
      <c r="I3820" s="912"/>
      <c r="J3820" s="912"/>
      <c r="K3820" s="912">
        <f>VLOOKUP(E3820,[5]ĐMNC!$A$7:$F$67,4,0)</f>
        <v>259989</v>
      </c>
      <c r="L3820" s="912">
        <f>H3820*K3820</f>
        <v>584975.25</v>
      </c>
      <c r="M3820" s="912"/>
      <c r="N3820" s="912"/>
      <c r="O3820" s="892">
        <f t="shared" si="240"/>
        <v>0</v>
      </c>
      <c r="P3820" s="903">
        <f t="shared" si="241"/>
        <v>1</v>
      </c>
      <c r="Q3820" s="893">
        <f t="shared" si="242"/>
        <v>12</v>
      </c>
      <c r="R3820" s="894">
        <f t="shared" si="243"/>
        <v>0</v>
      </c>
    </row>
    <row r="3821" spans="1:18" s="904" customFormat="1">
      <c r="A3821" s="895"/>
      <c r="B3821" s="896"/>
      <c r="C3821" s="897"/>
      <c r="D3821" s="897"/>
      <c r="E3821" s="898" t="s">
        <v>3914</v>
      </c>
      <c r="F3821" s="899"/>
      <c r="G3821" s="928"/>
      <c r="H3821" s="901"/>
      <c r="I3821" s="902"/>
      <c r="J3821" s="902"/>
      <c r="K3821" s="912" t="s">
        <v>274</v>
      </c>
      <c r="L3821" s="902"/>
      <c r="M3821" s="902"/>
      <c r="N3821" s="902"/>
      <c r="O3821" s="892">
        <f t="shared" si="240"/>
        <v>0</v>
      </c>
      <c r="P3821" s="903">
        <f t="shared" si="241"/>
        <v>1</v>
      </c>
      <c r="Q3821" s="893">
        <f t="shared" si="242"/>
        <v>11</v>
      </c>
      <c r="R3821" s="894">
        <f t="shared" si="243"/>
        <v>0</v>
      </c>
    </row>
    <row r="3822" spans="1:18">
      <c r="A3822" s="905"/>
      <c r="B3822" s="953" t="s">
        <v>5403</v>
      </c>
      <c r="C3822" s="907">
        <v>866</v>
      </c>
      <c r="D3822" s="907" t="s">
        <v>93</v>
      </c>
      <c r="E3822" s="925" t="s">
        <v>5404</v>
      </c>
      <c r="F3822" s="909" t="s">
        <v>2673</v>
      </c>
      <c r="G3822" s="910"/>
      <c r="H3822" s="911">
        <v>0.1</v>
      </c>
      <c r="I3822" s="912"/>
      <c r="J3822" s="912"/>
      <c r="K3822" s="912"/>
      <c r="L3822" s="912"/>
      <c r="M3822" s="912">
        <f>VLOOKUP(B3822,MTC!$B$9:$S$933,12,0)</f>
        <v>0</v>
      </c>
      <c r="N3822" s="912">
        <f>M3822*H3822</f>
        <v>0</v>
      </c>
      <c r="O3822" s="892">
        <f t="shared" si="240"/>
        <v>0</v>
      </c>
      <c r="P3822" s="903">
        <f t="shared" si="241"/>
        <v>1</v>
      </c>
      <c r="Q3822" s="893">
        <f t="shared" si="242"/>
        <v>10</v>
      </c>
      <c r="R3822" s="894">
        <f t="shared" si="243"/>
        <v>0</v>
      </c>
    </row>
    <row r="3823" spans="1:18" s="847" customFormat="1">
      <c r="A3823" s="905"/>
      <c r="B3823" s="914"/>
      <c r="C3823" s="915"/>
      <c r="D3823" s="915"/>
      <c r="E3823" s="916" t="s">
        <v>5411</v>
      </c>
      <c r="F3823" s="917" t="s">
        <v>1206</v>
      </c>
      <c r="G3823" s="918"/>
      <c r="H3823" s="919"/>
      <c r="I3823" s="920"/>
      <c r="J3823" s="891">
        <f>SUM(J3824:J3831)</f>
        <v>10950</v>
      </c>
      <c r="K3823" s="891"/>
      <c r="L3823" s="891">
        <f>SUM(L3824:L3831)</f>
        <v>701970.3</v>
      </c>
      <c r="M3823" s="891"/>
      <c r="N3823" s="891">
        <f>SUM(N3824:N3831)</f>
        <v>0</v>
      </c>
      <c r="O3823" s="892">
        <f t="shared" si="240"/>
        <v>0</v>
      </c>
      <c r="P3823" s="903">
        <f t="shared" si="241"/>
        <v>1</v>
      </c>
      <c r="Q3823" s="893">
        <f t="shared" si="242"/>
        <v>9</v>
      </c>
      <c r="R3823" s="894">
        <f t="shared" si="243"/>
        <v>0</v>
      </c>
    </row>
    <row r="3824" spans="1:18" s="904" customFormat="1">
      <c r="A3824" s="895"/>
      <c r="B3824" s="896"/>
      <c r="C3824" s="897"/>
      <c r="D3824" s="897"/>
      <c r="E3824" s="898" t="s">
        <v>108</v>
      </c>
      <c r="F3824" s="899"/>
      <c r="G3824" s="900"/>
      <c r="H3824" s="901"/>
      <c r="I3824" s="902"/>
      <c r="J3824" s="902"/>
      <c r="K3824" s="912" t="s">
        <v>274</v>
      </c>
      <c r="L3824" s="902"/>
      <c r="M3824" s="902"/>
      <c r="N3824" s="902"/>
      <c r="O3824" s="892">
        <f t="shared" si="240"/>
        <v>0</v>
      </c>
      <c r="P3824" s="903">
        <f t="shared" si="241"/>
        <v>1</v>
      </c>
      <c r="Q3824" s="893">
        <f t="shared" si="242"/>
        <v>8</v>
      </c>
      <c r="R3824" s="894">
        <f t="shared" si="243"/>
        <v>0</v>
      </c>
    </row>
    <row r="3825" spans="1:18">
      <c r="A3825" s="905"/>
      <c r="B3825" s="906"/>
      <c r="C3825" s="907">
        <v>90</v>
      </c>
      <c r="D3825" s="907" t="s">
        <v>279</v>
      </c>
      <c r="E3825" s="925" t="s">
        <v>3205</v>
      </c>
      <c r="F3825" s="926" t="s">
        <v>45</v>
      </c>
      <c r="G3825" s="910"/>
      <c r="H3825" s="911">
        <v>0.1</v>
      </c>
      <c r="I3825" s="912">
        <f>VLOOKUP(E3825,[3]VLP!$B$7:$K$300,10,0)</f>
        <v>65000</v>
      </c>
      <c r="J3825" s="912">
        <f>I3825*H3825</f>
        <v>6500</v>
      </c>
      <c r="K3825" s="912" t="s">
        <v>274</v>
      </c>
      <c r="L3825" s="912"/>
      <c r="M3825" s="912"/>
      <c r="N3825" s="912"/>
      <c r="O3825" s="892">
        <f t="shared" si="240"/>
        <v>0</v>
      </c>
      <c r="P3825" s="903">
        <f t="shared" si="241"/>
        <v>1</v>
      </c>
      <c r="Q3825" s="893">
        <f t="shared" si="242"/>
        <v>7</v>
      </c>
      <c r="R3825" s="894">
        <f t="shared" si="243"/>
        <v>0</v>
      </c>
    </row>
    <row r="3826" spans="1:18">
      <c r="A3826" s="905"/>
      <c r="B3826" s="906"/>
      <c r="C3826" s="907">
        <v>44</v>
      </c>
      <c r="D3826" s="907" t="s">
        <v>279</v>
      </c>
      <c r="E3826" s="925" t="s">
        <v>2681</v>
      </c>
      <c r="F3826" s="926" t="s">
        <v>45</v>
      </c>
      <c r="G3826" s="910"/>
      <c r="H3826" s="911">
        <v>0.15</v>
      </c>
      <c r="I3826" s="912">
        <f>VLOOKUP(E3826,[3]VLP!$B$7:$K$300,10,0)</f>
        <v>23000</v>
      </c>
      <c r="J3826" s="912">
        <f>I3826*H3826</f>
        <v>3450</v>
      </c>
      <c r="K3826" s="912" t="s">
        <v>274</v>
      </c>
      <c r="L3826" s="912"/>
      <c r="M3826" s="912"/>
      <c r="N3826" s="912"/>
      <c r="O3826" s="892">
        <f t="shared" si="240"/>
        <v>0</v>
      </c>
      <c r="P3826" s="903">
        <f t="shared" si="241"/>
        <v>1</v>
      </c>
      <c r="Q3826" s="893">
        <f t="shared" si="242"/>
        <v>6</v>
      </c>
      <c r="R3826" s="894">
        <f t="shared" si="243"/>
        <v>0</v>
      </c>
    </row>
    <row r="3827" spans="1:18">
      <c r="A3827" s="905"/>
      <c r="B3827" s="906"/>
      <c r="C3827" s="907">
        <v>66</v>
      </c>
      <c r="D3827" s="907" t="s">
        <v>279</v>
      </c>
      <c r="E3827" s="925" t="s">
        <v>2682</v>
      </c>
      <c r="F3827" s="926" t="s">
        <v>45</v>
      </c>
      <c r="G3827" s="910"/>
      <c r="H3827" s="911">
        <v>0.2</v>
      </c>
      <c r="I3827" s="912">
        <f>VLOOKUP(E3827,[3]VLP!$B$7:$K$300,10,0)</f>
        <v>5000</v>
      </c>
      <c r="J3827" s="912">
        <f>I3827*H3827</f>
        <v>1000</v>
      </c>
      <c r="K3827" s="912" t="s">
        <v>274</v>
      </c>
      <c r="L3827" s="912"/>
      <c r="M3827" s="912"/>
      <c r="N3827" s="912"/>
      <c r="O3827" s="892">
        <f t="shared" si="240"/>
        <v>0</v>
      </c>
      <c r="P3827" s="903">
        <f t="shared" si="241"/>
        <v>1</v>
      </c>
      <c r="Q3827" s="893">
        <f t="shared" si="242"/>
        <v>5</v>
      </c>
      <c r="R3827" s="894">
        <f t="shared" si="243"/>
        <v>0</v>
      </c>
    </row>
    <row r="3828" spans="1:18" s="904" customFormat="1">
      <c r="A3828" s="895"/>
      <c r="B3828" s="896"/>
      <c r="C3828" s="897"/>
      <c r="D3828" s="897"/>
      <c r="E3828" s="924" t="s">
        <v>276</v>
      </c>
      <c r="F3828" s="927"/>
      <c r="G3828" s="928"/>
      <c r="H3828" s="901"/>
      <c r="I3828" s="902"/>
      <c r="J3828" s="902"/>
      <c r="K3828" s="912" t="s">
        <v>274</v>
      </c>
      <c r="L3828" s="902"/>
      <c r="M3828" s="902"/>
      <c r="N3828" s="902"/>
      <c r="O3828" s="892">
        <f t="shared" si="240"/>
        <v>0</v>
      </c>
      <c r="P3828" s="903">
        <f t="shared" si="241"/>
        <v>1</v>
      </c>
      <c r="Q3828" s="893">
        <f t="shared" si="242"/>
        <v>4</v>
      </c>
      <c r="R3828" s="894">
        <f t="shared" si="243"/>
        <v>0</v>
      </c>
    </row>
    <row r="3829" spans="1:18">
      <c r="A3829" s="905"/>
      <c r="B3829" s="906"/>
      <c r="C3829" s="907">
        <v>750</v>
      </c>
      <c r="D3829" s="907" t="s">
        <v>12</v>
      </c>
      <c r="E3829" s="908" t="s">
        <v>5402</v>
      </c>
      <c r="F3829" s="909" t="s">
        <v>2674</v>
      </c>
      <c r="G3829" s="910"/>
      <c r="H3829" s="911">
        <v>2.7</v>
      </c>
      <c r="I3829" s="912"/>
      <c r="J3829" s="912"/>
      <c r="K3829" s="912">
        <f>VLOOKUP(E3829,[5]ĐMNC!$A$7:$F$67,4,0)</f>
        <v>259989</v>
      </c>
      <c r="L3829" s="912">
        <f>H3829*K3829</f>
        <v>701970.3</v>
      </c>
      <c r="M3829" s="912"/>
      <c r="N3829" s="912"/>
      <c r="O3829" s="892">
        <f t="shared" si="240"/>
        <v>0</v>
      </c>
      <c r="P3829" s="903">
        <f t="shared" si="241"/>
        <v>1</v>
      </c>
      <c r="Q3829" s="893">
        <f t="shared" si="242"/>
        <v>3</v>
      </c>
      <c r="R3829" s="894">
        <f t="shared" si="243"/>
        <v>0</v>
      </c>
    </row>
    <row r="3830" spans="1:18" s="904" customFormat="1">
      <c r="A3830" s="895"/>
      <c r="B3830" s="896"/>
      <c r="C3830" s="897"/>
      <c r="D3830" s="897"/>
      <c r="E3830" s="898" t="s">
        <v>3914</v>
      </c>
      <c r="F3830" s="899"/>
      <c r="G3830" s="928"/>
      <c r="H3830" s="901"/>
      <c r="I3830" s="902"/>
      <c r="J3830" s="902"/>
      <c r="K3830" s="912" t="s">
        <v>274</v>
      </c>
      <c r="L3830" s="902"/>
      <c r="M3830" s="902"/>
      <c r="N3830" s="902"/>
      <c r="O3830" s="892">
        <f t="shared" si="240"/>
        <v>0</v>
      </c>
      <c r="P3830" s="903">
        <f t="shared" si="241"/>
        <v>1</v>
      </c>
      <c r="Q3830" s="893">
        <f t="shared" si="242"/>
        <v>2</v>
      </c>
      <c r="R3830" s="894">
        <f t="shared" si="243"/>
        <v>0</v>
      </c>
    </row>
    <row r="3831" spans="1:18">
      <c r="A3831" s="905"/>
      <c r="B3831" s="953" t="s">
        <v>5403</v>
      </c>
      <c r="C3831" s="907">
        <v>866</v>
      </c>
      <c r="D3831" s="907" t="s">
        <v>93</v>
      </c>
      <c r="E3831" s="925" t="s">
        <v>5404</v>
      </c>
      <c r="F3831" s="909" t="s">
        <v>2673</v>
      </c>
      <c r="G3831" s="910"/>
      <c r="H3831" s="911">
        <v>0.1</v>
      </c>
      <c r="I3831" s="912"/>
      <c r="J3831" s="912"/>
      <c r="K3831" s="912"/>
      <c r="L3831" s="912"/>
      <c r="M3831" s="912">
        <f>VLOOKUP(B3831,MTC!$B$9:$S$933,12,0)</f>
        <v>0</v>
      </c>
      <c r="N3831" s="912">
        <f>M3831*H3831</f>
        <v>0</v>
      </c>
      <c r="O3831" s="892">
        <f t="shared" si="240"/>
        <v>0</v>
      </c>
      <c r="P3831" s="903">
        <f t="shared" si="241"/>
        <v>1</v>
      </c>
      <c r="Q3831" s="893">
        <f t="shared" si="242"/>
        <v>1</v>
      </c>
      <c r="R3831" s="894">
        <f t="shared" si="243"/>
        <v>0</v>
      </c>
    </row>
    <row r="3832" spans="1:18" s="847" customFormat="1">
      <c r="A3832" s="905"/>
      <c r="B3832" s="914" t="s">
        <v>1214</v>
      </c>
      <c r="C3832" s="915"/>
      <c r="D3832" s="915"/>
      <c r="E3832" s="916" t="s">
        <v>5412</v>
      </c>
      <c r="F3832" s="917" t="s">
        <v>1206</v>
      </c>
      <c r="G3832" s="918"/>
      <c r="H3832" s="919"/>
      <c r="I3832" s="920"/>
      <c r="J3832" s="891">
        <f>SUM(J3833:J3840)</f>
        <v>6550</v>
      </c>
      <c r="K3832" s="891"/>
      <c r="L3832" s="891">
        <f>SUM(L3833:L3840)</f>
        <v>129994.5</v>
      </c>
      <c r="M3832" s="891"/>
      <c r="N3832" s="891">
        <f>SUM(N3833:N3840)</f>
        <v>0</v>
      </c>
      <c r="O3832" s="892">
        <f t="shared" si="240"/>
        <v>1</v>
      </c>
      <c r="P3832" s="903">
        <f t="shared" si="241"/>
        <v>0</v>
      </c>
      <c r="Q3832" s="893">
        <f t="shared" si="242"/>
        <v>0</v>
      </c>
      <c r="R3832" s="894">
        <f t="shared" si="243"/>
        <v>8</v>
      </c>
    </row>
    <row r="3833" spans="1:18" s="904" customFormat="1">
      <c r="A3833" s="895"/>
      <c r="B3833" s="896"/>
      <c r="C3833" s="897"/>
      <c r="D3833" s="897"/>
      <c r="E3833" s="898" t="s">
        <v>108</v>
      </c>
      <c r="F3833" s="899"/>
      <c r="G3833" s="900"/>
      <c r="H3833" s="901"/>
      <c r="I3833" s="902"/>
      <c r="J3833" s="902"/>
      <c r="K3833" s="912" t="s">
        <v>274</v>
      </c>
      <c r="L3833" s="902"/>
      <c r="M3833" s="902"/>
      <c r="N3833" s="902"/>
      <c r="O3833" s="892">
        <f t="shared" si="240"/>
        <v>0</v>
      </c>
      <c r="P3833" s="903">
        <f t="shared" si="241"/>
        <v>1</v>
      </c>
      <c r="Q3833" s="893">
        <f t="shared" si="242"/>
        <v>8</v>
      </c>
      <c r="R3833" s="894">
        <f t="shared" si="243"/>
        <v>0</v>
      </c>
    </row>
    <row r="3834" spans="1:18">
      <c r="A3834" s="905"/>
      <c r="B3834" s="906"/>
      <c r="C3834" s="907">
        <v>90</v>
      </c>
      <c r="D3834" s="907" t="s">
        <v>279</v>
      </c>
      <c r="E3834" s="925" t="s">
        <v>3205</v>
      </c>
      <c r="F3834" s="926" t="s">
        <v>45</v>
      </c>
      <c r="G3834" s="910"/>
      <c r="H3834" s="911">
        <v>0.05</v>
      </c>
      <c r="I3834" s="912">
        <f>VLOOKUP(E3834,[3]VLP!$B$7:$K$300,10,0)</f>
        <v>65000</v>
      </c>
      <c r="J3834" s="912">
        <f>I3834*H3834</f>
        <v>3250</v>
      </c>
      <c r="K3834" s="912" t="s">
        <v>274</v>
      </c>
      <c r="L3834" s="912"/>
      <c r="M3834" s="912"/>
      <c r="N3834" s="912"/>
      <c r="O3834" s="892">
        <f t="shared" si="240"/>
        <v>0</v>
      </c>
      <c r="P3834" s="903">
        <f t="shared" si="241"/>
        <v>1</v>
      </c>
      <c r="Q3834" s="893">
        <f t="shared" si="242"/>
        <v>7</v>
      </c>
      <c r="R3834" s="894">
        <f t="shared" si="243"/>
        <v>0</v>
      </c>
    </row>
    <row r="3835" spans="1:18">
      <c r="A3835" s="905"/>
      <c r="B3835" s="906"/>
      <c r="C3835" s="907">
        <v>44</v>
      </c>
      <c r="D3835" s="907" t="s">
        <v>279</v>
      </c>
      <c r="E3835" s="925" t="s">
        <v>2681</v>
      </c>
      <c r="F3835" s="926" t="s">
        <v>45</v>
      </c>
      <c r="G3835" s="910"/>
      <c r="H3835" s="911">
        <v>0.1</v>
      </c>
      <c r="I3835" s="912">
        <f>VLOOKUP(E3835,[3]VLP!$B$7:$K$300,10,0)</f>
        <v>23000</v>
      </c>
      <c r="J3835" s="912">
        <f>I3835*H3835</f>
        <v>2300</v>
      </c>
      <c r="K3835" s="912" t="s">
        <v>274</v>
      </c>
      <c r="L3835" s="912"/>
      <c r="M3835" s="912"/>
      <c r="N3835" s="912"/>
      <c r="O3835" s="892">
        <f t="shared" si="240"/>
        <v>0</v>
      </c>
      <c r="P3835" s="903">
        <f t="shared" si="241"/>
        <v>1</v>
      </c>
      <c r="Q3835" s="893">
        <f t="shared" si="242"/>
        <v>6</v>
      </c>
      <c r="R3835" s="894">
        <f t="shared" si="243"/>
        <v>0</v>
      </c>
    </row>
    <row r="3836" spans="1:18">
      <c r="A3836" s="905"/>
      <c r="B3836" s="906"/>
      <c r="C3836" s="907">
        <v>66</v>
      </c>
      <c r="D3836" s="907" t="s">
        <v>279</v>
      </c>
      <c r="E3836" s="925" t="s">
        <v>2682</v>
      </c>
      <c r="F3836" s="926" t="s">
        <v>45</v>
      </c>
      <c r="G3836" s="910"/>
      <c r="H3836" s="911">
        <v>0.2</v>
      </c>
      <c r="I3836" s="912">
        <f>VLOOKUP(E3836,[3]VLP!$B$7:$K$300,10,0)</f>
        <v>5000</v>
      </c>
      <c r="J3836" s="912">
        <f>I3836*H3836</f>
        <v>1000</v>
      </c>
      <c r="K3836" s="912" t="s">
        <v>274</v>
      </c>
      <c r="L3836" s="912"/>
      <c r="M3836" s="912"/>
      <c r="N3836" s="912"/>
      <c r="O3836" s="892">
        <f t="shared" si="240"/>
        <v>0</v>
      </c>
      <c r="P3836" s="903">
        <f t="shared" si="241"/>
        <v>1</v>
      </c>
      <c r="Q3836" s="893">
        <f t="shared" si="242"/>
        <v>5</v>
      </c>
      <c r="R3836" s="894">
        <f t="shared" si="243"/>
        <v>0</v>
      </c>
    </row>
    <row r="3837" spans="1:18" s="904" customFormat="1">
      <c r="A3837" s="895"/>
      <c r="B3837" s="896"/>
      <c r="C3837" s="897"/>
      <c r="D3837" s="897"/>
      <c r="E3837" s="924" t="s">
        <v>276</v>
      </c>
      <c r="F3837" s="927"/>
      <c r="G3837" s="928"/>
      <c r="H3837" s="901"/>
      <c r="I3837" s="902"/>
      <c r="J3837" s="902"/>
      <c r="K3837" s="912" t="s">
        <v>274</v>
      </c>
      <c r="L3837" s="902"/>
      <c r="M3837" s="902"/>
      <c r="N3837" s="902"/>
      <c r="O3837" s="892">
        <f t="shared" si="240"/>
        <v>0</v>
      </c>
      <c r="P3837" s="903">
        <f t="shared" si="241"/>
        <v>1</v>
      </c>
      <c r="Q3837" s="893">
        <f t="shared" si="242"/>
        <v>4</v>
      </c>
      <c r="R3837" s="894">
        <f t="shared" si="243"/>
        <v>0</v>
      </c>
    </row>
    <row r="3838" spans="1:18">
      <c r="A3838" s="905"/>
      <c r="B3838" s="906"/>
      <c r="C3838" s="907">
        <v>750</v>
      </c>
      <c r="D3838" s="907" t="s">
        <v>12</v>
      </c>
      <c r="E3838" s="908" t="s">
        <v>5402</v>
      </c>
      <c r="F3838" s="909" t="s">
        <v>2674</v>
      </c>
      <c r="G3838" s="910"/>
      <c r="H3838" s="911">
        <v>0.5</v>
      </c>
      <c r="I3838" s="912"/>
      <c r="J3838" s="912"/>
      <c r="K3838" s="912">
        <f>VLOOKUP(E3838,[5]ĐMNC!$A$7:$F$67,4,0)</f>
        <v>259989</v>
      </c>
      <c r="L3838" s="912">
        <f>H3838*K3838</f>
        <v>129994.5</v>
      </c>
      <c r="M3838" s="912"/>
      <c r="N3838" s="912"/>
      <c r="O3838" s="892">
        <f t="shared" si="240"/>
        <v>0</v>
      </c>
      <c r="P3838" s="903">
        <f t="shared" si="241"/>
        <v>1</v>
      </c>
      <c r="Q3838" s="893">
        <f t="shared" si="242"/>
        <v>3</v>
      </c>
      <c r="R3838" s="894">
        <f t="shared" si="243"/>
        <v>0</v>
      </c>
    </row>
    <row r="3839" spans="1:18" s="904" customFormat="1">
      <c r="A3839" s="895"/>
      <c r="B3839" s="896"/>
      <c r="C3839" s="897"/>
      <c r="D3839" s="897"/>
      <c r="E3839" s="898" t="s">
        <v>3914</v>
      </c>
      <c r="F3839" s="899"/>
      <c r="G3839" s="928"/>
      <c r="H3839" s="901"/>
      <c r="I3839" s="902"/>
      <c r="J3839" s="902"/>
      <c r="K3839" s="912" t="s">
        <v>274</v>
      </c>
      <c r="L3839" s="902"/>
      <c r="M3839" s="902"/>
      <c r="N3839" s="902"/>
      <c r="O3839" s="892">
        <f t="shared" si="240"/>
        <v>0</v>
      </c>
      <c r="P3839" s="903">
        <f t="shared" si="241"/>
        <v>1</v>
      </c>
      <c r="Q3839" s="893">
        <f t="shared" si="242"/>
        <v>2</v>
      </c>
      <c r="R3839" s="894">
        <f t="shared" si="243"/>
        <v>0</v>
      </c>
    </row>
    <row r="3840" spans="1:18">
      <c r="A3840" s="905"/>
      <c r="B3840" s="953" t="s">
        <v>5403</v>
      </c>
      <c r="C3840" s="907">
        <v>866</v>
      </c>
      <c r="D3840" s="907" t="s">
        <v>93</v>
      </c>
      <c r="E3840" s="925" t="s">
        <v>5404</v>
      </c>
      <c r="F3840" s="909" t="s">
        <v>2673</v>
      </c>
      <c r="G3840" s="910"/>
      <c r="H3840" s="911">
        <v>0.08</v>
      </c>
      <c r="I3840" s="912"/>
      <c r="J3840" s="912"/>
      <c r="K3840" s="912"/>
      <c r="L3840" s="912"/>
      <c r="M3840" s="912">
        <f>VLOOKUP(B3840,MTC!$B$9:$S$933,12,0)</f>
        <v>0</v>
      </c>
      <c r="N3840" s="912">
        <f>M3840*H3840</f>
        <v>0</v>
      </c>
      <c r="O3840" s="892">
        <f t="shared" si="240"/>
        <v>0</v>
      </c>
      <c r="P3840" s="903">
        <f t="shared" si="241"/>
        <v>1</v>
      </c>
      <c r="Q3840" s="893">
        <f t="shared" si="242"/>
        <v>1</v>
      </c>
      <c r="R3840" s="894">
        <f t="shared" si="243"/>
        <v>0</v>
      </c>
    </row>
    <row r="3841" spans="1:18" s="847" customFormat="1">
      <c r="A3841" s="905"/>
      <c r="B3841" s="914" t="s">
        <v>1216</v>
      </c>
      <c r="C3841" s="915"/>
      <c r="D3841" s="915"/>
      <c r="E3841" s="916" t="s">
        <v>5413</v>
      </c>
      <c r="F3841" s="917" t="s">
        <v>1206</v>
      </c>
      <c r="G3841" s="918"/>
      <c r="H3841" s="919"/>
      <c r="I3841" s="920"/>
      <c r="J3841" s="891">
        <f>SUM(J3842:J3849)</f>
        <v>6550</v>
      </c>
      <c r="K3841" s="891"/>
      <c r="L3841" s="891">
        <f>SUM(L3842:L3849)</f>
        <v>161193.18</v>
      </c>
      <c r="M3841" s="891"/>
      <c r="N3841" s="891">
        <f>SUM(N3842:N3849)</f>
        <v>0</v>
      </c>
      <c r="O3841" s="892">
        <f t="shared" si="240"/>
        <v>1</v>
      </c>
      <c r="P3841" s="903">
        <f t="shared" si="241"/>
        <v>0</v>
      </c>
      <c r="Q3841" s="893">
        <f t="shared" si="242"/>
        <v>0</v>
      </c>
      <c r="R3841" s="894">
        <f t="shared" si="243"/>
        <v>8</v>
      </c>
    </row>
    <row r="3842" spans="1:18" s="904" customFormat="1">
      <c r="A3842" s="895"/>
      <c r="B3842" s="896"/>
      <c r="C3842" s="897"/>
      <c r="D3842" s="897"/>
      <c r="E3842" s="898" t="s">
        <v>108</v>
      </c>
      <c r="F3842" s="899"/>
      <c r="G3842" s="900"/>
      <c r="H3842" s="901"/>
      <c r="I3842" s="902"/>
      <c r="J3842" s="902"/>
      <c r="K3842" s="912" t="s">
        <v>274</v>
      </c>
      <c r="L3842" s="902"/>
      <c r="M3842" s="902"/>
      <c r="N3842" s="902"/>
      <c r="O3842" s="892">
        <f t="shared" si="240"/>
        <v>0</v>
      </c>
      <c r="P3842" s="903">
        <f t="shared" si="241"/>
        <v>1</v>
      </c>
      <c r="Q3842" s="893">
        <f t="shared" si="242"/>
        <v>8</v>
      </c>
      <c r="R3842" s="894">
        <f t="shared" si="243"/>
        <v>0</v>
      </c>
    </row>
    <row r="3843" spans="1:18">
      <c r="A3843" s="905"/>
      <c r="B3843" s="906"/>
      <c r="C3843" s="907">
        <v>90</v>
      </c>
      <c r="D3843" s="907" t="s">
        <v>279</v>
      </c>
      <c r="E3843" s="925" t="s">
        <v>3205</v>
      </c>
      <c r="F3843" s="926" t="s">
        <v>45</v>
      </c>
      <c r="G3843" s="910"/>
      <c r="H3843" s="911">
        <v>0.05</v>
      </c>
      <c r="I3843" s="912">
        <f>VLOOKUP(E3843,[3]VLP!$B$7:$K$300,10,0)</f>
        <v>65000</v>
      </c>
      <c r="J3843" s="912">
        <f>I3843*H3843</f>
        <v>3250</v>
      </c>
      <c r="K3843" s="912" t="s">
        <v>274</v>
      </c>
      <c r="L3843" s="912"/>
      <c r="M3843" s="912"/>
      <c r="N3843" s="912"/>
      <c r="O3843" s="892">
        <f t="shared" si="240"/>
        <v>0</v>
      </c>
      <c r="P3843" s="903">
        <f t="shared" si="241"/>
        <v>1</v>
      </c>
      <c r="Q3843" s="893">
        <f t="shared" si="242"/>
        <v>7</v>
      </c>
      <c r="R3843" s="894">
        <f t="shared" si="243"/>
        <v>0</v>
      </c>
    </row>
    <row r="3844" spans="1:18">
      <c r="A3844" s="905"/>
      <c r="B3844" s="906"/>
      <c r="C3844" s="907">
        <v>44</v>
      </c>
      <c r="D3844" s="907" t="s">
        <v>279</v>
      </c>
      <c r="E3844" s="925" t="s">
        <v>2681</v>
      </c>
      <c r="F3844" s="926" t="s">
        <v>45</v>
      </c>
      <c r="G3844" s="910"/>
      <c r="H3844" s="911">
        <v>0.1</v>
      </c>
      <c r="I3844" s="912">
        <f>VLOOKUP(E3844,[3]VLP!$B$7:$K$300,10,0)</f>
        <v>23000</v>
      </c>
      <c r="J3844" s="912">
        <f>I3844*H3844</f>
        <v>2300</v>
      </c>
      <c r="K3844" s="912" t="s">
        <v>274</v>
      </c>
      <c r="L3844" s="912"/>
      <c r="M3844" s="912"/>
      <c r="N3844" s="912"/>
      <c r="O3844" s="892">
        <f t="shared" si="240"/>
        <v>0</v>
      </c>
      <c r="P3844" s="903">
        <f t="shared" si="241"/>
        <v>1</v>
      </c>
      <c r="Q3844" s="893">
        <f t="shared" si="242"/>
        <v>6</v>
      </c>
      <c r="R3844" s="894">
        <f t="shared" si="243"/>
        <v>0</v>
      </c>
    </row>
    <row r="3845" spans="1:18">
      <c r="A3845" s="905"/>
      <c r="B3845" s="906"/>
      <c r="C3845" s="907">
        <v>66</v>
      </c>
      <c r="D3845" s="907" t="s">
        <v>279</v>
      </c>
      <c r="E3845" s="925" t="s">
        <v>2682</v>
      </c>
      <c r="F3845" s="926" t="s">
        <v>45</v>
      </c>
      <c r="G3845" s="910"/>
      <c r="H3845" s="911">
        <v>0.2</v>
      </c>
      <c r="I3845" s="912">
        <f>VLOOKUP(E3845,[3]VLP!$B$7:$K$300,10,0)</f>
        <v>5000</v>
      </c>
      <c r="J3845" s="912">
        <f>I3845*H3845</f>
        <v>1000</v>
      </c>
      <c r="K3845" s="912" t="s">
        <v>274</v>
      </c>
      <c r="L3845" s="912"/>
      <c r="M3845" s="912"/>
      <c r="N3845" s="912"/>
      <c r="O3845" s="892">
        <f t="shared" si="240"/>
        <v>0</v>
      </c>
      <c r="P3845" s="903">
        <f t="shared" si="241"/>
        <v>1</v>
      </c>
      <c r="Q3845" s="893">
        <f t="shared" si="242"/>
        <v>5</v>
      </c>
      <c r="R3845" s="894">
        <f t="shared" si="243"/>
        <v>0</v>
      </c>
    </row>
    <row r="3846" spans="1:18" s="904" customFormat="1">
      <c r="A3846" s="895"/>
      <c r="B3846" s="896"/>
      <c r="C3846" s="897"/>
      <c r="D3846" s="897"/>
      <c r="E3846" s="924" t="s">
        <v>276</v>
      </c>
      <c r="F3846" s="927"/>
      <c r="G3846" s="928"/>
      <c r="H3846" s="901"/>
      <c r="I3846" s="902"/>
      <c r="J3846" s="902"/>
      <c r="K3846" s="912" t="s">
        <v>274</v>
      </c>
      <c r="L3846" s="902"/>
      <c r="M3846" s="902"/>
      <c r="N3846" s="902"/>
      <c r="O3846" s="892">
        <f t="shared" si="240"/>
        <v>0</v>
      </c>
      <c r="P3846" s="903">
        <f t="shared" si="241"/>
        <v>1</v>
      </c>
      <c r="Q3846" s="893">
        <f t="shared" si="242"/>
        <v>4</v>
      </c>
      <c r="R3846" s="894">
        <f t="shared" si="243"/>
        <v>0</v>
      </c>
    </row>
    <row r="3847" spans="1:18">
      <c r="A3847" s="905"/>
      <c r="B3847" s="906"/>
      <c r="C3847" s="907">
        <v>750</v>
      </c>
      <c r="D3847" s="907" t="s">
        <v>12</v>
      </c>
      <c r="E3847" s="908" t="s">
        <v>5402</v>
      </c>
      <c r="F3847" s="909" t="s">
        <v>2674</v>
      </c>
      <c r="G3847" s="910"/>
      <c r="H3847" s="911">
        <v>0.62</v>
      </c>
      <c r="I3847" s="912"/>
      <c r="J3847" s="912"/>
      <c r="K3847" s="912">
        <f>VLOOKUP(E3847,[5]ĐMNC!$A$7:$F$67,4,0)</f>
        <v>259989</v>
      </c>
      <c r="L3847" s="912">
        <f>H3847*K3847</f>
        <v>161193.18</v>
      </c>
      <c r="M3847" s="912"/>
      <c r="N3847" s="912"/>
      <c r="O3847" s="892">
        <f t="shared" si="240"/>
        <v>0</v>
      </c>
      <c r="P3847" s="903">
        <f t="shared" si="241"/>
        <v>1</v>
      </c>
      <c r="Q3847" s="893">
        <f t="shared" si="242"/>
        <v>3</v>
      </c>
      <c r="R3847" s="894">
        <f t="shared" si="243"/>
        <v>0</v>
      </c>
    </row>
    <row r="3848" spans="1:18" s="904" customFormat="1">
      <c r="A3848" s="895"/>
      <c r="B3848" s="896"/>
      <c r="C3848" s="897"/>
      <c r="D3848" s="897"/>
      <c r="E3848" s="898" t="s">
        <v>3914</v>
      </c>
      <c r="F3848" s="899"/>
      <c r="G3848" s="928"/>
      <c r="H3848" s="901"/>
      <c r="I3848" s="902"/>
      <c r="J3848" s="902"/>
      <c r="K3848" s="912" t="s">
        <v>274</v>
      </c>
      <c r="L3848" s="902"/>
      <c r="M3848" s="902"/>
      <c r="N3848" s="902"/>
      <c r="O3848" s="892">
        <f t="shared" si="240"/>
        <v>0</v>
      </c>
      <c r="P3848" s="903">
        <f t="shared" si="241"/>
        <v>1</v>
      </c>
      <c r="Q3848" s="893">
        <f t="shared" si="242"/>
        <v>2</v>
      </c>
      <c r="R3848" s="894">
        <f t="shared" si="243"/>
        <v>0</v>
      </c>
    </row>
    <row r="3849" spans="1:18">
      <c r="A3849" s="905"/>
      <c r="B3849" s="953" t="s">
        <v>5403</v>
      </c>
      <c r="C3849" s="907">
        <v>866</v>
      </c>
      <c r="D3849" s="907" t="s">
        <v>93</v>
      </c>
      <c r="E3849" s="925" t="s">
        <v>5404</v>
      </c>
      <c r="F3849" s="909" t="s">
        <v>2673</v>
      </c>
      <c r="G3849" s="910"/>
      <c r="H3849" s="911">
        <v>0.08</v>
      </c>
      <c r="I3849" s="912"/>
      <c r="J3849" s="912"/>
      <c r="K3849" s="912"/>
      <c r="L3849" s="912"/>
      <c r="M3849" s="912">
        <f>VLOOKUP(B3849,MTC!$B$9:$S$933,12,0)</f>
        <v>0</v>
      </c>
      <c r="N3849" s="912">
        <f>M3849*H3849</f>
        <v>0</v>
      </c>
      <c r="O3849" s="892">
        <f t="shared" si="240"/>
        <v>0</v>
      </c>
      <c r="P3849" s="903">
        <f t="shared" si="241"/>
        <v>1</v>
      </c>
      <c r="Q3849" s="893">
        <f t="shared" si="242"/>
        <v>1</v>
      </c>
      <c r="R3849" s="894">
        <f t="shared" si="243"/>
        <v>0</v>
      </c>
    </row>
    <row r="3850" spans="1:18" s="847" customFormat="1">
      <c r="A3850" s="905"/>
      <c r="B3850" s="914" t="s">
        <v>1218</v>
      </c>
      <c r="C3850" s="915"/>
      <c r="D3850" s="915"/>
      <c r="E3850" s="916" t="s">
        <v>5414</v>
      </c>
      <c r="F3850" s="917" t="s">
        <v>1206</v>
      </c>
      <c r="G3850" s="918"/>
      <c r="H3850" s="919"/>
      <c r="I3850" s="920"/>
      <c r="J3850" s="891">
        <f>SUM(J3851:J3858)</f>
        <v>6550</v>
      </c>
      <c r="K3850" s="891"/>
      <c r="L3850" s="891">
        <f>SUM(L3851:L3858)</f>
        <v>197591.64</v>
      </c>
      <c r="M3850" s="891"/>
      <c r="N3850" s="891">
        <f>SUM(N3851:N3858)</f>
        <v>0</v>
      </c>
      <c r="O3850" s="892">
        <f t="shared" si="240"/>
        <v>1</v>
      </c>
      <c r="P3850" s="903">
        <f t="shared" si="241"/>
        <v>0</v>
      </c>
      <c r="Q3850" s="893">
        <f t="shared" si="242"/>
        <v>0</v>
      </c>
      <c r="R3850" s="894">
        <f t="shared" si="243"/>
        <v>8</v>
      </c>
    </row>
    <row r="3851" spans="1:18" s="904" customFormat="1">
      <c r="A3851" s="895"/>
      <c r="B3851" s="896"/>
      <c r="C3851" s="897"/>
      <c r="D3851" s="897"/>
      <c r="E3851" s="898" t="s">
        <v>108</v>
      </c>
      <c r="F3851" s="899"/>
      <c r="G3851" s="900"/>
      <c r="H3851" s="901"/>
      <c r="I3851" s="902"/>
      <c r="J3851" s="902"/>
      <c r="K3851" s="912" t="s">
        <v>274</v>
      </c>
      <c r="L3851" s="902"/>
      <c r="M3851" s="902"/>
      <c r="N3851" s="902"/>
      <c r="O3851" s="892">
        <f t="shared" si="240"/>
        <v>0</v>
      </c>
      <c r="P3851" s="903">
        <f t="shared" si="241"/>
        <v>1</v>
      </c>
      <c r="Q3851" s="893">
        <f t="shared" si="242"/>
        <v>8</v>
      </c>
      <c r="R3851" s="894">
        <f t="shared" si="243"/>
        <v>0</v>
      </c>
    </row>
    <row r="3852" spans="1:18">
      <c r="A3852" s="905"/>
      <c r="B3852" s="906"/>
      <c r="C3852" s="907">
        <v>90</v>
      </c>
      <c r="D3852" s="907" t="s">
        <v>279</v>
      </c>
      <c r="E3852" s="925" t="s">
        <v>3205</v>
      </c>
      <c r="F3852" s="926" t="s">
        <v>45</v>
      </c>
      <c r="G3852" s="910"/>
      <c r="H3852" s="911">
        <v>0.05</v>
      </c>
      <c r="I3852" s="912">
        <f>VLOOKUP(E3852,[3]VLP!$B$7:$K$300,10,0)</f>
        <v>65000</v>
      </c>
      <c r="J3852" s="912">
        <f>I3852*H3852</f>
        <v>3250</v>
      </c>
      <c r="K3852" s="912" t="s">
        <v>274</v>
      </c>
      <c r="L3852" s="912"/>
      <c r="M3852" s="912"/>
      <c r="N3852" s="912"/>
      <c r="O3852" s="892">
        <f t="shared" si="240"/>
        <v>0</v>
      </c>
      <c r="P3852" s="903">
        <f t="shared" si="241"/>
        <v>1</v>
      </c>
      <c r="Q3852" s="893">
        <f t="shared" si="242"/>
        <v>7</v>
      </c>
      <c r="R3852" s="894">
        <f t="shared" si="243"/>
        <v>0</v>
      </c>
    </row>
    <row r="3853" spans="1:18">
      <c r="A3853" s="905"/>
      <c r="B3853" s="906"/>
      <c r="C3853" s="907">
        <v>44</v>
      </c>
      <c r="D3853" s="907" t="s">
        <v>279</v>
      </c>
      <c r="E3853" s="925" t="s">
        <v>2681</v>
      </c>
      <c r="F3853" s="926" t="s">
        <v>45</v>
      </c>
      <c r="G3853" s="910"/>
      <c r="H3853" s="911">
        <v>0.1</v>
      </c>
      <c r="I3853" s="912">
        <f>VLOOKUP(E3853,[3]VLP!$B$7:$K$300,10,0)</f>
        <v>23000</v>
      </c>
      <c r="J3853" s="912">
        <f>I3853*H3853</f>
        <v>2300</v>
      </c>
      <c r="K3853" s="912" t="s">
        <v>274</v>
      </c>
      <c r="L3853" s="912"/>
      <c r="M3853" s="912"/>
      <c r="N3853" s="912"/>
      <c r="O3853" s="892">
        <f t="shared" si="240"/>
        <v>0</v>
      </c>
      <c r="P3853" s="903">
        <f t="shared" si="241"/>
        <v>1</v>
      </c>
      <c r="Q3853" s="893">
        <f t="shared" si="242"/>
        <v>6</v>
      </c>
      <c r="R3853" s="894">
        <f t="shared" si="243"/>
        <v>0</v>
      </c>
    </row>
    <row r="3854" spans="1:18">
      <c r="A3854" s="905"/>
      <c r="B3854" s="906"/>
      <c r="C3854" s="907">
        <v>66</v>
      </c>
      <c r="D3854" s="907" t="s">
        <v>279</v>
      </c>
      <c r="E3854" s="925" t="s">
        <v>2682</v>
      </c>
      <c r="F3854" s="926" t="s">
        <v>45</v>
      </c>
      <c r="G3854" s="910"/>
      <c r="H3854" s="911">
        <v>0.2</v>
      </c>
      <c r="I3854" s="912">
        <f>VLOOKUP(E3854,[3]VLP!$B$7:$K$300,10,0)</f>
        <v>5000</v>
      </c>
      <c r="J3854" s="912">
        <f>I3854*H3854</f>
        <v>1000</v>
      </c>
      <c r="K3854" s="912" t="s">
        <v>274</v>
      </c>
      <c r="L3854" s="912"/>
      <c r="M3854" s="912"/>
      <c r="N3854" s="912"/>
      <c r="O3854" s="892">
        <f t="shared" si="240"/>
        <v>0</v>
      </c>
      <c r="P3854" s="903">
        <f t="shared" si="241"/>
        <v>1</v>
      </c>
      <c r="Q3854" s="893">
        <f t="shared" si="242"/>
        <v>5</v>
      </c>
      <c r="R3854" s="894">
        <f t="shared" si="243"/>
        <v>0</v>
      </c>
    </row>
    <row r="3855" spans="1:18" s="904" customFormat="1">
      <c r="A3855" s="895"/>
      <c r="B3855" s="896"/>
      <c r="C3855" s="897"/>
      <c r="D3855" s="897"/>
      <c r="E3855" s="924" t="s">
        <v>276</v>
      </c>
      <c r="F3855" s="927"/>
      <c r="G3855" s="928"/>
      <c r="H3855" s="901"/>
      <c r="I3855" s="902"/>
      <c r="J3855" s="902"/>
      <c r="K3855" s="912" t="s">
        <v>274</v>
      </c>
      <c r="L3855" s="902"/>
      <c r="M3855" s="902"/>
      <c r="N3855" s="902"/>
      <c r="O3855" s="892">
        <f t="shared" si="240"/>
        <v>0</v>
      </c>
      <c r="P3855" s="903">
        <f t="shared" si="241"/>
        <v>1</v>
      </c>
      <c r="Q3855" s="893">
        <f t="shared" si="242"/>
        <v>4</v>
      </c>
      <c r="R3855" s="894">
        <f t="shared" si="243"/>
        <v>0</v>
      </c>
    </row>
    <row r="3856" spans="1:18">
      <c r="A3856" s="905"/>
      <c r="B3856" s="906"/>
      <c r="C3856" s="907">
        <v>750</v>
      </c>
      <c r="D3856" s="907" t="s">
        <v>12</v>
      </c>
      <c r="E3856" s="908" t="s">
        <v>5402</v>
      </c>
      <c r="F3856" s="909" t="s">
        <v>2674</v>
      </c>
      <c r="G3856" s="910"/>
      <c r="H3856" s="911">
        <v>0.76</v>
      </c>
      <c r="I3856" s="912"/>
      <c r="J3856" s="912"/>
      <c r="K3856" s="912">
        <f>VLOOKUP(E3856,[5]ĐMNC!$A$7:$F$67,4,0)</f>
        <v>259989</v>
      </c>
      <c r="L3856" s="912">
        <f>H3856*K3856</f>
        <v>197591.64</v>
      </c>
      <c r="M3856" s="912"/>
      <c r="N3856" s="912"/>
      <c r="O3856" s="892">
        <f t="shared" si="240"/>
        <v>0</v>
      </c>
      <c r="P3856" s="903">
        <f t="shared" si="241"/>
        <v>1</v>
      </c>
      <c r="Q3856" s="893">
        <f t="shared" si="242"/>
        <v>3</v>
      </c>
      <c r="R3856" s="894">
        <f t="shared" si="243"/>
        <v>0</v>
      </c>
    </row>
    <row r="3857" spans="1:18" s="904" customFormat="1">
      <c r="A3857" s="895"/>
      <c r="B3857" s="896"/>
      <c r="C3857" s="897"/>
      <c r="D3857" s="897"/>
      <c r="E3857" s="898" t="s">
        <v>3914</v>
      </c>
      <c r="F3857" s="899"/>
      <c r="G3857" s="928"/>
      <c r="H3857" s="901"/>
      <c r="I3857" s="902"/>
      <c r="J3857" s="902"/>
      <c r="K3857" s="912" t="s">
        <v>274</v>
      </c>
      <c r="L3857" s="902"/>
      <c r="M3857" s="902"/>
      <c r="N3857" s="902"/>
      <c r="O3857" s="892">
        <f t="shared" si="240"/>
        <v>0</v>
      </c>
      <c r="P3857" s="903">
        <f t="shared" si="241"/>
        <v>1</v>
      </c>
      <c r="Q3857" s="893">
        <f t="shared" si="242"/>
        <v>2</v>
      </c>
      <c r="R3857" s="894">
        <f t="shared" si="243"/>
        <v>0</v>
      </c>
    </row>
    <row r="3858" spans="1:18">
      <c r="A3858" s="905"/>
      <c r="B3858" s="953" t="s">
        <v>5403</v>
      </c>
      <c r="C3858" s="907">
        <v>866</v>
      </c>
      <c r="D3858" s="907" t="s">
        <v>93</v>
      </c>
      <c r="E3858" s="925" t="s">
        <v>5404</v>
      </c>
      <c r="F3858" s="909" t="s">
        <v>2673</v>
      </c>
      <c r="G3858" s="910"/>
      <c r="H3858" s="911">
        <v>0.08</v>
      </c>
      <c r="I3858" s="912"/>
      <c r="J3858" s="912"/>
      <c r="K3858" s="912"/>
      <c r="L3858" s="912"/>
      <c r="M3858" s="912">
        <f>VLOOKUP(B3858,MTC!$B$9:$S$933,12,0)</f>
        <v>0</v>
      </c>
      <c r="N3858" s="912">
        <f>M3858*H3858</f>
        <v>0</v>
      </c>
      <c r="O3858" s="892">
        <f t="shared" si="240"/>
        <v>0</v>
      </c>
      <c r="P3858" s="903">
        <f t="shared" si="241"/>
        <v>1</v>
      </c>
      <c r="Q3858" s="893">
        <f t="shared" si="242"/>
        <v>1</v>
      </c>
      <c r="R3858" s="894">
        <f t="shared" si="243"/>
        <v>0</v>
      </c>
    </row>
    <row r="3859" spans="1:18" s="847" customFormat="1">
      <c r="A3859" s="905"/>
      <c r="B3859" s="914" t="s">
        <v>1220</v>
      </c>
      <c r="C3859" s="915"/>
      <c r="D3859" s="915"/>
      <c r="E3859" s="916" t="s">
        <v>5415</v>
      </c>
      <c r="F3859" s="917" t="s">
        <v>1206</v>
      </c>
      <c r="G3859" s="918"/>
      <c r="H3859" s="919"/>
      <c r="I3859" s="920"/>
      <c r="J3859" s="891">
        <f>SUM(J3860:J3867)</f>
        <v>10950</v>
      </c>
      <c r="K3859" s="891"/>
      <c r="L3859" s="891">
        <f>SUM(L3860:L3867)</f>
        <v>257389.11</v>
      </c>
      <c r="M3859" s="891"/>
      <c r="N3859" s="891">
        <f>SUM(N3860:N3867)</f>
        <v>0</v>
      </c>
      <c r="O3859" s="892">
        <f t="shared" si="240"/>
        <v>1</v>
      </c>
      <c r="P3859" s="903">
        <f t="shared" si="241"/>
        <v>0</v>
      </c>
      <c r="Q3859" s="893">
        <f t="shared" si="242"/>
        <v>0</v>
      </c>
      <c r="R3859" s="894">
        <f t="shared" si="243"/>
        <v>8</v>
      </c>
    </row>
    <row r="3860" spans="1:18" s="904" customFormat="1">
      <c r="A3860" s="895"/>
      <c r="B3860" s="896"/>
      <c r="C3860" s="897"/>
      <c r="D3860" s="897"/>
      <c r="E3860" s="898" t="s">
        <v>108</v>
      </c>
      <c r="F3860" s="899"/>
      <c r="G3860" s="900"/>
      <c r="H3860" s="901"/>
      <c r="I3860" s="902"/>
      <c r="J3860" s="902"/>
      <c r="K3860" s="912" t="s">
        <v>274</v>
      </c>
      <c r="L3860" s="902"/>
      <c r="M3860" s="902"/>
      <c r="N3860" s="902"/>
      <c r="O3860" s="892">
        <f t="shared" si="240"/>
        <v>0</v>
      </c>
      <c r="P3860" s="903">
        <f t="shared" si="241"/>
        <v>1</v>
      </c>
      <c r="Q3860" s="893">
        <f t="shared" si="242"/>
        <v>8</v>
      </c>
      <c r="R3860" s="894">
        <f t="shared" si="243"/>
        <v>0</v>
      </c>
    </row>
    <row r="3861" spans="1:18">
      <c r="A3861" s="905"/>
      <c r="B3861" s="906"/>
      <c r="C3861" s="907">
        <v>90</v>
      </c>
      <c r="D3861" s="907" t="s">
        <v>279</v>
      </c>
      <c r="E3861" s="925" t="s">
        <v>3205</v>
      </c>
      <c r="F3861" s="926" t="s">
        <v>45</v>
      </c>
      <c r="G3861" s="910"/>
      <c r="H3861" s="911">
        <v>0.1</v>
      </c>
      <c r="I3861" s="912">
        <f>VLOOKUP(E3861,[3]VLP!$B$7:$K$300,10,0)</f>
        <v>65000</v>
      </c>
      <c r="J3861" s="912">
        <f>I3861*H3861</f>
        <v>6500</v>
      </c>
      <c r="K3861" s="912" t="s">
        <v>274</v>
      </c>
      <c r="L3861" s="912"/>
      <c r="M3861" s="912"/>
      <c r="N3861" s="912"/>
      <c r="O3861" s="892">
        <f t="shared" si="240"/>
        <v>0</v>
      </c>
      <c r="P3861" s="903">
        <f t="shared" si="241"/>
        <v>1</v>
      </c>
      <c r="Q3861" s="893">
        <f t="shared" si="242"/>
        <v>7</v>
      </c>
      <c r="R3861" s="894">
        <f t="shared" si="243"/>
        <v>0</v>
      </c>
    </row>
    <row r="3862" spans="1:18">
      <c r="A3862" s="905"/>
      <c r="B3862" s="906"/>
      <c r="C3862" s="907">
        <v>44</v>
      </c>
      <c r="D3862" s="907" t="s">
        <v>279</v>
      </c>
      <c r="E3862" s="925" t="s">
        <v>2681</v>
      </c>
      <c r="F3862" s="926" t="s">
        <v>45</v>
      </c>
      <c r="G3862" s="910"/>
      <c r="H3862" s="911">
        <v>0.15</v>
      </c>
      <c r="I3862" s="912">
        <f>VLOOKUP(E3862,[3]VLP!$B$7:$K$300,10,0)</f>
        <v>23000</v>
      </c>
      <c r="J3862" s="912">
        <f>I3862*H3862</f>
        <v>3450</v>
      </c>
      <c r="K3862" s="912" t="s">
        <v>274</v>
      </c>
      <c r="L3862" s="912"/>
      <c r="M3862" s="912"/>
      <c r="N3862" s="912"/>
      <c r="O3862" s="892">
        <f t="shared" si="240"/>
        <v>0</v>
      </c>
      <c r="P3862" s="903">
        <f t="shared" si="241"/>
        <v>1</v>
      </c>
      <c r="Q3862" s="893">
        <f t="shared" si="242"/>
        <v>6</v>
      </c>
      <c r="R3862" s="894">
        <f t="shared" si="243"/>
        <v>0</v>
      </c>
    </row>
    <row r="3863" spans="1:18">
      <c r="A3863" s="905"/>
      <c r="B3863" s="906"/>
      <c r="C3863" s="907">
        <v>66</v>
      </c>
      <c r="D3863" s="907" t="s">
        <v>279</v>
      </c>
      <c r="E3863" s="925" t="s">
        <v>2682</v>
      </c>
      <c r="F3863" s="926" t="s">
        <v>45</v>
      </c>
      <c r="G3863" s="910"/>
      <c r="H3863" s="911">
        <v>0.2</v>
      </c>
      <c r="I3863" s="912">
        <f>VLOOKUP(E3863,[3]VLP!$B$7:$K$300,10,0)</f>
        <v>5000</v>
      </c>
      <c r="J3863" s="912">
        <f>I3863*H3863</f>
        <v>1000</v>
      </c>
      <c r="K3863" s="912" t="s">
        <v>274</v>
      </c>
      <c r="L3863" s="912"/>
      <c r="M3863" s="912"/>
      <c r="N3863" s="912"/>
      <c r="O3863" s="892">
        <f t="shared" si="240"/>
        <v>0</v>
      </c>
      <c r="P3863" s="903">
        <f t="shared" si="241"/>
        <v>1</v>
      </c>
      <c r="Q3863" s="893">
        <f t="shared" si="242"/>
        <v>5</v>
      </c>
      <c r="R3863" s="894">
        <f t="shared" si="243"/>
        <v>0</v>
      </c>
    </row>
    <row r="3864" spans="1:18" s="904" customFormat="1">
      <c r="A3864" s="895"/>
      <c r="B3864" s="896"/>
      <c r="C3864" s="897"/>
      <c r="D3864" s="897"/>
      <c r="E3864" s="924" t="s">
        <v>276</v>
      </c>
      <c r="F3864" s="927"/>
      <c r="G3864" s="928"/>
      <c r="H3864" s="901"/>
      <c r="I3864" s="902"/>
      <c r="J3864" s="902"/>
      <c r="K3864" s="912" t="s">
        <v>274</v>
      </c>
      <c r="L3864" s="902"/>
      <c r="M3864" s="902"/>
      <c r="N3864" s="902"/>
      <c r="O3864" s="892">
        <f t="shared" si="240"/>
        <v>0</v>
      </c>
      <c r="P3864" s="903">
        <f t="shared" si="241"/>
        <v>1</v>
      </c>
      <c r="Q3864" s="893">
        <f t="shared" si="242"/>
        <v>4</v>
      </c>
      <c r="R3864" s="894">
        <f t="shared" si="243"/>
        <v>0</v>
      </c>
    </row>
    <row r="3865" spans="1:18">
      <c r="A3865" s="905"/>
      <c r="B3865" s="906"/>
      <c r="C3865" s="907">
        <v>750</v>
      </c>
      <c r="D3865" s="907" t="s">
        <v>12</v>
      </c>
      <c r="E3865" s="908" t="s">
        <v>5402</v>
      </c>
      <c r="F3865" s="909" t="s">
        <v>2674</v>
      </c>
      <c r="G3865" s="910"/>
      <c r="H3865" s="911">
        <v>0.99</v>
      </c>
      <c r="I3865" s="912"/>
      <c r="J3865" s="912"/>
      <c r="K3865" s="912">
        <f>VLOOKUP(E3865,[5]ĐMNC!$A$7:$F$67,4,0)</f>
        <v>259989</v>
      </c>
      <c r="L3865" s="912">
        <f>H3865*K3865</f>
        <v>257389.11</v>
      </c>
      <c r="M3865" s="912"/>
      <c r="N3865" s="912"/>
      <c r="O3865" s="892">
        <f t="shared" si="240"/>
        <v>0</v>
      </c>
      <c r="P3865" s="903">
        <f t="shared" si="241"/>
        <v>1</v>
      </c>
      <c r="Q3865" s="893">
        <f t="shared" si="242"/>
        <v>3</v>
      </c>
      <c r="R3865" s="894">
        <f t="shared" si="243"/>
        <v>0</v>
      </c>
    </row>
    <row r="3866" spans="1:18" s="904" customFormat="1">
      <c r="A3866" s="895"/>
      <c r="B3866" s="896"/>
      <c r="C3866" s="897"/>
      <c r="D3866" s="897"/>
      <c r="E3866" s="898" t="s">
        <v>3914</v>
      </c>
      <c r="F3866" s="899"/>
      <c r="G3866" s="928"/>
      <c r="H3866" s="901"/>
      <c r="I3866" s="902"/>
      <c r="J3866" s="902"/>
      <c r="K3866" s="912" t="s">
        <v>274</v>
      </c>
      <c r="L3866" s="902"/>
      <c r="M3866" s="902"/>
      <c r="N3866" s="902"/>
      <c r="O3866" s="892">
        <f t="shared" si="240"/>
        <v>0</v>
      </c>
      <c r="P3866" s="903">
        <f t="shared" si="241"/>
        <v>1</v>
      </c>
      <c r="Q3866" s="893">
        <f t="shared" si="242"/>
        <v>2</v>
      </c>
      <c r="R3866" s="894">
        <f t="shared" si="243"/>
        <v>0</v>
      </c>
    </row>
    <row r="3867" spans="1:18">
      <c r="A3867" s="905"/>
      <c r="B3867" s="953" t="s">
        <v>5403</v>
      </c>
      <c r="C3867" s="907">
        <v>866</v>
      </c>
      <c r="D3867" s="907" t="s">
        <v>93</v>
      </c>
      <c r="E3867" s="925" t="s">
        <v>5404</v>
      </c>
      <c r="F3867" s="909" t="s">
        <v>2673</v>
      </c>
      <c r="G3867" s="910"/>
      <c r="H3867" s="911">
        <v>0.1</v>
      </c>
      <c r="I3867" s="912"/>
      <c r="J3867" s="912"/>
      <c r="K3867" s="912"/>
      <c r="L3867" s="912"/>
      <c r="M3867" s="912">
        <f>VLOOKUP(B3867,MTC!$B$9:$S$933,12,0)</f>
        <v>0</v>
      </c>
      <c r="N3867" s="912">
        <f>M3867*H3867</f>
        <v>0</v>
      </c>
      <c r="O3867" s="892">
        <f t="shared" si="240"/>
        <v>0</v>
      </c>
      <c r="P3867" s="903">
        <f t="shared" si="241"/>
        <v>1</v>
      </c>
      <c r="Q3867" s="893">
        <f t="shared" si="242"/>
        <v>1</v>
      </c>
      <c r="R3867" s="894">
        <f t="shared" si="243"/>
        <v>0</v>
      </c>
    </row>
    <row r="3868" spans="1:18" s="847" customFormat="1">
      <c r="A3868" s="905"/>
      <c r="B3868" s="914" t="s">
        <v>5016</v>
      </c>
      <c r="C3868" s="915"/>
      <c r="D3868" s="915"/>
      <c r="E3868" s="916" t="s">
        <v>5416</v>
      </c>
      <c r="F3868" s="917" t="s">
        <v>1206</v>
      </c>
      <c r="G3868" s="918"/>
      <c r="H3868" s="919"/>
      <c r="I3868" s="920"/>
      <c r="J3868" s="891">
        <f>SUM(J3869:J3876)</f>
        <v>10950</v>
      </c>
      <c r="K3868" s="891"/>
      <c r="L3868" s="891">
        <f>SUM(L3869:L3876)</f>
        <v>259989</v>
      </c>
      <c r="M3868" s="891"/>
      <c r="N3868" s="891">
        <f>SUM(N3869:N3876)</f>
        <v>0</v>
      </c>
      <c r="O3868" s="892">
        <f t="shared" si="240"/>
        <v>1</v>
      </c>
      <c r="P3868" s="903">
        <f t="shared" si="241"/>
        <v>0</v>
      </c>
      <c r="Q3868" s="893">
        <f t="shared" si="242"/>
        <v>0</v>
      </c>
      <c r="R3868" s="894">
        <f t="shared" si="243"/>
        <v>8</v>
      </c>
    </row>
    <row r="3869" spans="1:18" s="904" customFormat="1">
      <c r="A3869" s="895"/>
      <c r="B3869" s="896"/>
      <c r="C3869" s="897"/>
      <c r="D3869" s="897"/>
      <c r="E3869" s="898" t="s">
        <v>108</v>
      </c>
      <c r="F3869" s="899"/>
      <c r="G3869" s="900"/>
      <c r="H3869" s="901"/>
      <c r="I3869" s="902"/>
      <c r="J3869" s="902"/>
      <c r="K3869" s="912" t="s">
        <v>274</v>
      </c>
      <c r="L3869" s="902"/>
      <c r="M3869" s="902"/>
      <c r="N3869" s="902"/>
      <c r="O3869" s="892">
        <f t="shared" ref="O3869:O3932" si="244">IF(AND(B3869&lt;&gt;"",D3869=""),1,0)</f>
        <v>0</v>
      </c>
      <c r="P3869" s="903">
        <f t="shared" si="241"/>
        <v>1</v>
      </c>
      <c r="Q3869" s="893">
        <f t="shared" si="242"/>
        <v>8</v>
      </c>
      <c r="R3869" s="894">
        <f t="shared" si="243"/>
        <v>0</v>
      </c>
    </row>
    <row r="3870" spans="1:18">
      <c r="A3870" s="905"/>
      <c r="B3870" s="906"/>
      <c r="C3870" s="907">
        <v>90</v>
      </c>
      <c r="D3870" s="907" t="s">
        <v>279</v>
      </c>
      <c r="E3870" s="925" t="s">
        <v>3205</v>
      </c>
      <c r="F3870" s="926" t="s">
        <v>45</v>
      </c>
      <c r="G3870" s="910"/>
      <c r="H3870" s="911">
        <v>0.1</v>
      </c>
      <c r="I3870" s="912">
        <f>VLOOKUP(E3870,[3]VLP!$B$7:$K$300,10,0)</f>
        <v>65000</v>
      </c>
      <c r="J3870" s="912">
        <f>I3870*H3870</f>
        <v>6500</v>
      </c>
      <c r="K3870" s="912" t="s">
        <v>274</v>
      </c>
      <c r="L3870" s="912"/>
      <c r="M3870" s="912"/>
      <c r="N3870" s="912"/>
      <c r="O3870" s="892">
        <f t="shared" si="244"/>
        <v>0</v>
      </c>
      <c r="P3870" s="903">
        <f t="shared" si="241"/>
        <v>1</v>
      </c>
      <c r="Q3870" s="893">
        <f t="shared" si="242"/>
        <v>7</v>
      </c>
      <c r="R3870" s="894">
        <f t="shared" si="243"/>
        <v>0</v>
      </c>
    </row>
    <row r="3871" spans="1:18">
      <c r="A3871" s="905"/>
      <c r="B3871" s="906"/>
      <c r="C3871" s="907">
        <v>44</v>
      </c>
      <c r="D3871" s="907" t="s">
        <v>279</v>
      </c>
      <c r="E3871" s="925" t="s">
        <v>2681</v>
      </c>
      <c r="F3871" s="926" t="s">
        <v>45</v>
      </c>
      <c r="G3871" s="910"/>
      <c r="H3871" s="911">
        <v>0.15</v>
      </c>
      <c r="I3871" s="912">
        <f>VLOOKUP(E3871,[3]VLP!$B$7:$K$300,10,0)</f>
        <v>23000</v>
      </c>
      <c r="J3871" s="912">
        <f>I3871*H3871</f>
        <v>3450</v>
      </c>
      <c r="K3871" s="912" t="s">
        <v>274</v>
      </c>
      <c r="L3871" s="912"/>
      <c r="M3871" s="912"/>
      <c r="N3871" s="912"/>
      <c r="O3871" s="892">
        <f t="shared" si="244"/>
        <v>0</v>
      </c>
      <c r="P3871" s="903">
        <f t="shared" si="241"/>
        <v>1</v>
      </c>
      <c r="Q3871" s="893">
        <f t="shared" si="242"/>
        <v>6</v>
      </c>
      <c r="R3871" s="894">
        <f t="shared" si="243"/>
        <v>0</v>
      </c>
    </row>
    <row r="3872" spans="1:18">
      <c r="A3872" s="905"/>
      <c r="B3872" s="906"/>
      <c r="C3872" s="907">
        <v>66</v>
      </c>
      <c r="D3872" s="907" t="s">
        <v>279</v>
      </c>
      <c r="E3872" s="925" t="s">
        <v>2682</v>
      </c>
      <c r="F3872" s="926" t="s">
        <v>45</v>
      </c>
      <c r="G3872" s="910"/>
      <c r="H3872" s="911">
        <v>0.2</v>
      </c>
      <c r="I3872" s="912">
        <f>VLOOKUP(E3872,[3]VLP!$B$7:$K$300,10,0)</f>
        <v>5000</v>
      </c>
      <c r="J3872" s="912">
        <f>I3872*H3872</f>
        <v>1000</v>
      </c>
      <c r="K3872" s="912" t="s">
        <v>274</v>
      </c>
      <c r="L3872" s="912"/>
      <c r="M3872" s="912"/>
      <c r="N3872" s="912"/>
      <c r="O3872" s="892">
        <f t="shared" si="244"/>
        <v>0</v>
      </c>
      <c r="P3872" s="903">
        <f t="shared" si="241"/>
        <v>1</v>
      </c>
      <c r="Q3872" s="893">
        <f t="shared" si="242"/>
        <v>5</v>
      </c>
      <c r="R3872" s="894">
        <f t="shared" si="243"/>
        <v>0</v>
      </c>
    </row>
    <row r="3873" spans="1:18" s="904" customFormat="1">
      <c r="A3873" s="895"/>
      <c r="B3873" s="896"/>
      <c r="C3873" s="897"/>
      <c r="D3873" s="897"/>
      <c r="E3873" s="924" t="s">
        <v>276</v>
      </c>
      <c r="F3873" s="927"/>
      <c r="G3873" s="928"/>
      <c r="H3873" s="901"/>
      <c r="I3873" s="902"/>
      <c r="J3873" s="902"/>
      <c r="K3873" s="912" t="s">
        <v>274</v>
      </c>
      <c r="L3873" s="902"/>
      <c r="M3873" s="902"/>
      <c r="N3873" s="902"/>
      <c r="O3873" s="892">
        <f t="shared" si="244"/>
        <v>0</v>
      </c>
      <c r="P3873" s="903">
        <f t="shared" si="241"/>
        <v>1</v>
      </c>
      <c r="Q3873" s="893">
        <f t="shared" si="242"/>
        <v>4</v>
      </c>
      <c r="R3873" s="894">
        <f t="shared" si="243"/>
        <v>0</v>
      </c>
    </row>
    <row r="3874" spans="1:18">
      <c r="A3874" s="905"/>
      <c r="B3874" s="906"/>
      <c r="C3874" s="907">
        <v>750</v>
      </c>
      <c r="D3874" s="907" t="s">
        <v>12</v>
      </c>
      <c r="E3874" s="908" t="s">
        <v>5402</v>
      </c>
      <c r="F3874" s="909" t="s">
        <v>2674</v>
      </c>
      <c r="G3874" s="910"/>
      <c r="H3874" s="911">
        <v>1</v>
      </c>
      <c r="I3874" s="912"/>
      <c r="J3874" s="912"/>
      <c r="K3874" s="912">
        <f>VLOOKUP(E3874,[5]ĐMNC!$A$7:$F$67,4,0)</f>
        <v>259989</v>
      </c>
      <c r="L3874" s="912">
        <f>H3874*K3874</f>
        <v>259989</v>
      </c>
      <c r="M3874" s="912"/>
      <c r="N3874" s="912"/>
      <c r="O3874" s="892">
        <f t="shared" si="244"/>
        <v>0</v>
      </c>
      <c r="P3874" s="903">
        <f t="shared" si="241"/>
        <v>1</v>
      </c>
      <c r="Q3874" s="893">
        <f t="shared" si="242"/>
        <v>3</v>
      </c>
      <c r="R3874" s="894">
        <f t="shared" si="243"/>
        <v>0</v>
      </c>
    </row>
    <row r="3875" spans="1:18" s="904" customFormat="1">
      <c r="A3875" s="895"/>
      <c r="B3875" s="896"/>
      <c r="C3875" s="897"/>
      <c r="D3875" s="897"/>
      <c r="E3875" s="898" t="s">
        <v>3914</v>
      </c>
      <c r="F3875" s="899"/>
      <c r="G3875" s="928"/>
      <c r="H3875" s="901"/>
      <c r="I3875" s="902"/>
      <c r="J3875" s="902"/>
      <c r="K3875" s="912" t="s">
        <v>274</v>
      </c>
      <c r="L3875" s="902"/>
      <c r="M3875" s="902"/>
      <c r="N3875" s="902"/>
      <c r="O3875" s="892">
        <f t="shared" si="244"/>
        <v>0</v>
      </c>
      <c r="P3875" s="903">
        <f t="shared" si="241"/>
        <v>1</v>
      </c>
      <c r="Q3875" s="893">
        <f t="shared" si="242"/>
        <v>2</v>
      </c>
      <c r="R3875" s="894">
        <f t="shared" si="243"/>
        <v>0</v>
      </c>
    </row>
    <row r="3876" spans="1:18">
      <c r="A3876" s="905"/>
      <c r="B3876" s="953" t="s">
        <v>5403</v>
      </c>
      <c r="C3876" s="907">
        <v>866</v>
      </c>
      <c r="D3876" s="907" t="s">
        <v>93</v>
      </c>
      <c r="E3876" s="925" t="s">
        <v>5404</v>
      </c>
      <c r="F3876" s="909" t="s">
        <v>2673</v>
      </c>
      <c r="G3876" s="910"/>
      <c r="H3876" s="911">
        <v>0.1</v>
      </c>
      <c r="I3876" s="912"/>
      <c r="J3876" s="912"/>
      <c r="K3876" s="912"/>
      <c r="L3876" s="912"/>
      <c r="M3876" s="912">
        <f>VLOOKUP(B3876,MTC!$B$9:$S$933,12,0)</f>
        <v>0</v>
      </c>
      <c r="N3876" s="912">
        <f>M3876*H3876</f>
        <v>0</v>
      </c>
      <c r="O3876" s="892">
        <f t="shared" si="244"/>
        <v>0</v>
      </c>
      <c r="P3876" s="903">
        <f t="shared" si="241"/>
        <v>1</v>
      </c>
      <c r="Q3876" s="893">
        <f t="shared" si="242"/>
        <v>1</v>
      </c>
      <c r="R3876" s="894">
        <f t="shared" si="243"/>
        <v>0</v>
      </c>
    </row>
    <row r="3877" spans="1:18" s="847" customFormat="1">
      <c r="A3877" s="905"/>
      <c r="B3877" s="914" t="s">
        <v>5018</v>
      </c>
      <c r="C3877" s="915"/>
      <c r="D3877" s="915"/>
      <c r="E3877" s="916" t="s">
        <v>5417</v>
      </c>
      <c r="F3877" s="917" t="s">
        <v>1206</v>
      </c>
      <c r="G3877" s="918"/>
      <c r="H3877" s="919"/>
      <c r="I3877" s="920"/>
      <c r="J3877" s="891">
        <f>SUM(J3878:J3885)</f>
        <v>10950</v>
      </c>
      <c r="K3877" s="891"/>
      <c r="L3877" s="891">
        <f>SUM(L3878:L3885)</f>
        <v>324986.25</v>
      </c>
      <c r="M3877" s="891"/>
      <c r="N3877" s="891">
        <f>SUM(N3878:N3885)</f>
        <v>0</v>
      </c>
      <c r="O3877" s="892">
        <f t="shared" si="244"/>
        <v>1</v>
      </c>
      <c r="P3877" s="903">
        <f t="shared" si="241"/>
        <v>0</v>
      </c>
      <c r="Q3877" s="893">
        <f t="shared" si="242"/>
        <v>0</v>
      </c>
      <c r="R3877" s="894">
        <f t="shared" si="243"/>
        <v>8</v>
      </c>
    </row>
    <row r="3878" spans="1:18" s="904" customFormat="1">
      <c r="A3878" s="895"/>
      <c r="B3878" s="896"/>
      <c r="C3878" s="897"/>
      <c r="D3878" s="897"/>
      <c r="E3878" s="898" t="s">
        <v>108</v>
      </c>
      <c r="F3878" s="899"/>
      <c r="G3878" s="900"/>
      <c r="H3878" s="901"/>
      <c r="I3878" s="902"/>
      <c r="J3878" s="902"/>
      <c r="K3878" s="912" t="s">
        <v>274</v>
      </c>
      <c r="L3878" s="902"/>
      <c r="M3878" s="902"/>
      <c r="N3878" s="902"/>
      <c r="O3878" s="892">
        <f t="shared" si="244"/>
        <v>0</v>
      </c>
      <c r="P3878" s="903">
        <f t="shared" ref="P3878:P3941" si="245">IF(O3878=0,1,0)</f>
        <v>1</v>
      </c>
      <c r="Q3878" s="893">
        <f t="shared" ref="Q3878:Q3941" si="246">IF(P3878=0,0,P3878+Q3879)</f>
        <v>8</v>
      </c>
      <c r="R3878" s="894">
        <f t="shared" ref="R3878:R3941" si="247">IF(Q3878=0,Q3879,0)</f>
        <v>0</v>
      </c>
    </row>
    <row r="3879" spans="1:18">
      <c r="A3879" s="905"/>
      <c r="B3879" s="906"/>
      <c r="C3879" s="907">
        <v>90</v>
      </c>
      <c r="D3879" s="907" t="s">
        <v>279</v>
      </c>
      <c r="E3879" s="925" t="s">
        <v>3205</v>
      </c>
      <c r="F3879" s="926" t="s">
        <v>45</v>
      </c>
      <c r="G3879" s="910"/>
      <c r="H3879" s="911">
        <v>0.1</v>
      </c>
      <c r="I3879" s="912">
        <f>VLOOKUP(E3879,[3]VLP!$B$7:$K$300,10,0)</f>
        <v>65000</v>
      </c>
      <c r="J3879" s="912">
        <f>I3879*H3879</f>
        <v>6500</v>
      </c>
      <c r="K3879" s="912" t="s">
        <v>274</v>
      </c>
      <c r="L3879" s="912"/>
      <c r="M3879" s="912"/>
      <c r="N3879" s="912"/>
      <c r="O3879" s="892">
        <f t="shared" si="244"/>
        <v>0</v>
      </c>
      <c r="P3879" s="903">
        <f t="shared" si="245"/>
        <v>1</v>
      </c>
      <c r="Q3879" s="893">
        <f t="shared" si="246"/>
        <v>7</v>
      </c>
      <c r="R3879" s="894">
        <f t="shared" si="247"/>
        <v>0</v>
      </c>
    </row>
    <row r="3880" spans="1:18">
      <c r="A3880" s="905"/>
      <c r="B3880" s="906"/>
      <c r="C3880" s="907">
        <v>44</v>
      </c>
      <c r="D3880" s="907" t="s">
        <v>279</v>
      </c>
      <c r="E3880" s="925" t="s">
        <v>2681</v>
      </c>
      <c r="F3880" s="926" t="s">
        <v>45</v>
      </c>
      <c r="G3880" s="910"/>
      <c r="H3880" s="911">
        <v>0.15</v>
      </c>
      <c r="I3880" s="912">
        <f>VLOOKUP(E3880,[3]VLP!$B$7:$K$300,10,0)</f>
        <v>23000</v>
      </c>
      <c r="J3880" s="912">
        <f>I3880*H3880</f>
        <v>3450</v>
      </c>
      <c r="K3880" s="912" t="s">
        <v>274</v>
      </c>
      <c r="L3880" s="912"/>
      <c r="M3880" s="912"/>
      <c r="N3880" s="912"/>
      <c r="O3880" s="892">
        <f t="shared" si="244"/>
        <v>0</v>
      </c>
      <c r="P3880" s="903">
        <f t="shared" si="245"/>
        <v>1</v>
      </c>
      <c r="Q3880" s="893">
        <f t="shared" si="246"/>
        <v>6</v>
      </c>
      <c r="R3880" s="894">
        <f t="shared" si="247"/>
        <v>0</v>
      </c>
    </row>
    <row r="3881" spans="1:18">
      <c r="A3881" s="905"/>
      <c r="B3881" s="906"/>
      <c r="C3881" s="907">
        <v>66</v>
      </c>
      <c r="D3881" s="907" t="s">
        <v>279</v>
      </c>
      <c r="E3881" s="925" t="s">
        <v>2682</v>
      </c>
      <c r="F3881" s="926" t="s">
        <v>45</v>
      </c>
      <c r="G3881" s="910"/>
      <c r="H3881" s="911">
        <v>0.2</v>
      </c>
      <c r="I3881" s="912">
        <f>VLOOKUP(E3881,[3]VLP!$B$7:$K$300,10,0)</f>
        <v>5000</v>
      </c>
      <c r="J3881" s="912">
        <f>I3881*H3881</f>
        <v>1000</v>
      </c>
      <c r="K3881" s="912" t="s">
        <v>274</v>
      </c>
      <c r="L3881" s="912"/>
      <c r="M3881" s="912"/>
      <c r="N3881" s="912"/>
      <c r="O3881" s="892">
        <f t="shared" si="244"/>
        <v>0</v>
      </c>
      <c r="P3881" s="903">
        <f t="shared" si="245"/>
        <v>1</v>
      </c>
      <c r="Q3881" s="893">
        <f t="shared" si="246"/>
        <v>5</v>
      </c>
      <c r="R3881" s="894">
        <f t="shared" si="247"/>
        <v>0</v>
      </c>
    </row>
    <row r="3882" spans="1:18" s="904" customFormat="1">
      <c r="A3882" s="895"/>
      <c r="B3882" s="896"/>
      <c r="C3882" s="897"/>
      <c r="D3882" s="897"/>
      <c r="E3882" s="924" t="s">
        <v>276</v>
      </c>
      <c r="F3882" s="927"/>
      <c r="G3882" s="928"/>
      <c r="H3882" s="901"/>
      <c r="I3882" s="902"/>
      <c r="J3882" s="902"/>
      <c r="K3882" s="912" t="s">
        <v>274</v>
      </c>
      <c r="L3882" s="902"/>
      <c r="M3882" s="902"/>
      <c r="N3882" s="902"/>
      <c r="O3882" s="892">
        <f t="shared" si="244"/>
        <v>0</v>
      </c>
      <c r="P3882" s="903">
        <f t="shared" si="245"/>
        <v>1</v>
      </c>
      <c r="Q3882" s="893">
        <f t="shared" si="246"/>
        <v>4</v>
      </c>
      <c r="R3882" s="894">
        <f t="shared" si="247"/>
        <v>0</v>
      </c>
    </row>
    <row r="3883" spans="1:18">
      <c r="A3883" s="905"/>
      <c r="B3883" s="906"/>
      <c r="C3883" s="907">
        <v>750</v>
      </c>
      <c r="D3883" s="907" t="s">
        <v>12</v>
      </c>
      <c r="E3883" s="908" t="s">
        <v>5402</v>
      </c>
      <c r="F3883" s="909" t="s">
        <v>2674</v>
      </c>
      <c r="G3883" s="910"/>
      <c r="H3883" s="911">
        <v>1.25</v>
      </c>
      <c r="I3883" s="912"/>
      <c r="J3883" s="912"/>
      <c r="K3883" s="912">
        <f>VLOOKUP(E3883,[5]ĐMNC!$A$7:$F$67,4,0)</f>
        <v>259989</v>
      </c>
      <c r="L3883" s="912">
        <f>H3883*K3883</f>
        <v>324986.25</v>
      </c>
      <c r="M3883" s="912"/>
      <c r="N3883" s="912"/>
      <c r="O3883" s="892">
        <f t="shared" si="244"/>
        <v>0</v>
      </c>
      <c r="P3883" s="903">
        <f t="shared" si="245"/>
        <v>1</v>
      </c>
      <c r="Q3883" s="893">
        <f t="shared" si="246"/>
        <v>3</v>
      </c>
      <c r="R3883" s="894">
        <f t="shared" si="247"/>
        <v>0</v>
      </c>
    </row>
    <row r="3884" spans="1:18" s="904" customFormat="1">
      <c r="A3884" s="895"/>
      <c r="B3884" s="896"/>
      <c r="C3884" s="897"/>
      <c r="D3884" s="897"/>
      <c r="E3884" s="898" t="s">
        <v>3914</v>
      </c>
      <c r="F3884" s="899"/>
      <c r="G3884" s="928"/>
      <c r="H3884" s="901"/>
      <c r="I3884" s="902"/>
      <c r="J3884" s="902"/>
      <c r="K3884" s="912" t="s">
        <v>274</v>
      </c>
      <c r="L3884" s="902"/>
      <c r="M3884" s="902"/>
      <c r="N3884" s="902"/>
      <c r="O3884" s="892">
        <f t="shared" si="244"/>
        <v>0</v>
      </c>
      <c r="P3884" s="903">
        <f t="shared" si="245"/>
        <v>1</v>
      </c>
      <c r="Q3884" s="893">
        <f t="shared" si="246"/>
        <v>2</v>
      </c>
      <c r="R3884" s="894">
        <f t="shared" si="247"/>
        <v>0</v>
      </c>
    </row>
    <row r="3885" spans="1:18">
      <c r="A3885" s="905"/>
      <c r="B3885" s="953" t="s">
        <v>5403</v>
      </c>
      <c r="C3885" s="907">
        <v>866</v>
      </c>
      <c r="D3885" s="907" t="s">
        <v>93</v>
      </c>
      <c r="E3885" s="925" t="s">
        <v>5404</v>
      </c>
      <c r="F3885" s="909" t="s">
        <v>2673</v>
      </c>
      <c r="G3885" s="910"/>
      <c r="H3885" s="911">
        <v>0.1</v>
      </c>
      <c r="I3885" s="912"/>
      <c r="J3885" s="912"/>
      <c r="K3885" s="912"/>
      <c r="L3885" s="912"/>
      <c r="M3885" s="912">
        <f>VLOOKUP(B3885,MTC!$B$9:$S$933,12,0)</f>
        <v>0</v>
      </c>
      <c r="N3885" s="912">
        <f>M3885*H3885</f>
        <v>0</v>
      </c>
      <c r="O3885" s="892">
        <f t="shared" si="244"/>
        <v>0</v>
      </c>
      <c r="P3885" s="903">
        <f t="shared" si="245"/>
        <v>1</v>
      </c>
      <c r="Q3885" s="893">
        <f t="shared" si="246"/>
        <v>1</v>
      </c>
      <c r="R3885" s="894">
        <f t="shared" si="247"/>
        <v>0</v>
      </c>
    </row>
    <row r="3886" spans="1:18" s="847" customFormat="1">
      <c r="A3886" s="905"/>
      <c r="B3886" s="914" t="s">
        <v>5020</v>
      </c>
      <c r="C3886" s="915"/>
      <c r="D3886" s="915"/>
      <c r="E3886" s="916" t="s">
        <v>5418</v>
      </c>
      <c r="F3886" s="917" t="s">
        <v>1206</v>
      </c>
      <c r="G3886" s="918"/>
      <c r="H3886" s="919"/>
      <c r="I3886" s="920"/>
      <c r="J3886" s="891">
        <f>SUM(J3887:J3894)</f>
        <v>10950</v>
      </c>
      <c r="K3886" s="891"/>
      <c r="L3886" s="891">
        <f>SUM(L3887:L3894)</f>
        <v>389983.5</v>
      </c>
      <c r="M3886" s="891"/>
      <c r="N3886" s="891">
        <f>SUM(N3887:N3894)</f>
        <v>0</v>
      </c>
      <c r="O3886" s="892">
        <f t="shared" si="244"/>
        <v>1</v>
      </c>
      <c r="P3886" s="903">
        <f t="shared" si="245"/>
        <v>0</v>
      </c>
      <c r="Q3886" s="893">
        <f t="shared" si="246"/>
        <v>0</v>
      </c>
      <c r="R3886" s="894">
        <f t="shared" si="247"/>
        <v>8</v>
      </c>
    </row>
    <row r="3887" spans="1:18" s="904" customFormat="1">
      <c r="A3887" s="895"/>
      <c r="B3887" s="896"/>
      <c r="C3887" s="897"/>
      <c r="D3887" s="897"/>
      <c r="E3887" s="898" t="s">
        <v>108</v>
      </c>
      <c r="F3887" s="899"/>
      <c r="G3887" s="900"/>
      <c r="H3887" s="901"/>
      <c r="I3887" s="902"/>
      <c r="J3887" s="902"/>
      <c r="K3887" s="912" t="s">
        <v>274</v>
      </c>
      <c r="L3887" s="902"/>
      <c r="M3887" s="902"/>
      <c r="N3887" s="902"/>
      <c r="O3887" s="892">
        <f t="shared" si="244"/>
        <v>0</v>
      </c>
      <c r="P3887" s="903">
        <f t="shared" si="245"/>
        <v>1</v>
      </c>
      <c r="Q3887" s="893">
        <f t="shared" si="246"/>
        <v>8</v>
      </c>
      <c r="R3887" s="894">
        <f t="shared" si="247"/>
        <v>0</v>
      </c>
    </row>
    <row r="3888" spans="1:18">
      <c r="A3888" s="905"/>
      <c r="B3888" s="906"/>
      <c r="C3888" s="907">
        <v>90</v>
      </c>
      <c r="D3888" s="907" t="s">
        <v>279</v>
      </c>
      <c r="E3888" s="925" t="s">
        <v>3205</v>
      </c>
      <c r="F3888" s="926" t="s">
        <v>45</v>
      </c>
      <c r="G3888" s="910"/>
      <c r="H3888" s="911">
        <v>0.1</v>
      </c>
      <c r="I3888" s="912">
        <f>VLOOKUP(E3888,[3]VLP!$B$7:$K$300,10,0)</f>
        <v>65000</v>
      </c>
      <c r="J3888" s="912">
        <f>I3888*H3888</f>
        <v>6500</v>
      </c>
      <c r="K3888" s="912" t="s">
        <v>274</v>
      </c>
      <c r="L3888" s="912"/>
      <c r="M3888" s="912"/>
      <c r="N3888" s="912"/>
      <c r="O3888" s="892">
        <f t="shared" si="244"/>
        <v>0</v>
      </c>
      <c r="P3888" s="903">
        <f t="shared" si="245"/>
        <v>1</v>
      </c>
      <c r="Q3888" s="893">
        <f t="shared" si="246"/>
        <v>7</v>
      </c>
      <c r="R3888" s="894">
        <f t="shared" si="247"/>
        <v>0</v>
      </c>
    </row>
    <row r="3889" spans="1:18">
      <c r="A3889" s="905"/>
      <c r="B3889" s="906"/>
      <c r="C3889" s="907">
        <v>44</v>
      </c>
      <c r="D3889" s="907" t="s">
        <v>279</v>
      </c>
      <c r="E3889" s="925" t="s">
        <v>2681</v>
      </c>
      <c r="F3889" s="926" t="s">
        <v>45</v>
      </c>
      <c r="G3889" s="910"/>
      <c r="H3889" s="911">
        <v>0.15</v>
      </c>
      <c r="I3889" s="912">
        <f>VLOOKUP(E3889,[3]VLP!$B$7:$K$300,10,0)</f>
        <v>23000</v>
      </c>
      <c r="J3889" s="912">
        <f>I3889*H3889</f>
        <v>3450</v>
      </c>
      <c r="K3889" s="912" t="s">
        <v>274</v>
      </c>
      <c r="L3889" s="912"/>
      <c r="M3889" s="912"/>
      <c r="N3889" s="912"/>
      <c r="O3889" s="892">
        <f t="shared" si="244"/>
        <v>0</v>
      </c>
      <c r="P3889" s="903">
        <f t="shared" si="245"/>
        <v>1</v>
      </c>
      <c r="Q3889" s="893">
        <f t="shared" si="246"/>
        <v>6</v>
      </c>
      <c r="R3889" s="894">
        <f t="shared" si="247"/>
        <v>0</v>
      </c>
    </row>
    <row r="3890" spans="1:18">
      <c r="A3890" s="905"/>
      <c r="B3890" s="906"/>
      <c r="C3890" s="907">
        <v>66</v>
      </c>
      <c r="D3890" s="907" t="s">
        <v>279</v>
      </c>
      <c r="E3890" s="925" t="s">
        <v>2682</v>
      </c>
      <c r="F3890" s="926" t="s">
        <v>45</v>
      </c>
      <c r="G3890" s="910"/>
      <c r="H3890" s="911">
        <v>0.2</v>
      </c>
      <c r="I3890" s="912">
        <f>VLOOKUP(E3890,[3]VLP!$B$7:$K$300,10,0)</f>
        <v>5000</v>
      </c>
      <c r="J3890" s="912">
        <f>I3890*H3890</f>
        <v>1000</v>
      </c>
      <c r="K3890" s="912" t="s">
        <v>274</v>
      </c>
      <c r="L3890" s="912"/>
      <c r="M3890" s="912"/>
      <c r="N3890" s="912"/>
      <c r="O3890" s="892">
        <f t="shared" si="244"/>
        <v>0</v>
      </c>
      <c r="P3890" s="903">
        <f t="shared" si="245"/>
        <v>1</v>
      </c>
      <c r="Q3890" s="893">
        <f t="shared" si="246"/>
        <v>5</v>
      </c>
      <c r="R3890" s="894">
        <f t="shared" si="247"/>
        <v>0</v>
      </c>
    </row>
    <row r="3891" spans="1:18" s="904" customFormat="1">
      <c r="A3891" s="895"/>
      <c r="B3891" s="896"/>
      <c r="C3891" s="897"/>
      <c r="D3891" s="897"/>
      <c r="E3891" s="924" t="s">
        <v>276</v>
      </c>
      <c r="F3891" s="927"/>
      <c r="G3891" s="928"/>
      <c r="H3891" s="901"/>
      <c r="I3891" s="902"/>
      <c r="J3891" s="902"/>
      <c r="K3891" s="912" t="s">
        <v>274</v>
      </c>
      <c r="L3891" s="902"/>
      <c r="M3891" s="902"/>
      <c r="N3891" s="902"/>
      <c r="O3891" s="892">
        <f t="shared" si="244"/>
        <v>0</v>
      </c>
      <c r="P3891" s="903">
        <f t="shared" si="245"/>
        <v>1</v>
      </c>
      <c r="Q3891" s="893">
        <f t="shared" si="246"/>
        <v>4</v>
      </c>
      <c r="R3891" s="894">
        <f t="shared" si="247"/>
        <v>0</v>
      </c>
    </row>
    <row r="3892" spans="1:18">
      <c r="A3892" s="905"/>
      <c r="B3892" s="906"/>
      <c r="C3892" s="907">
        <v>750</v>
      </c>
      <c r="D3892" s="907" t="s">
        <v>12</v>
      </c>
      <c r="E3892" s="908" t="s">
        <v>5402</v>
      </c>
      <c r="F3892" s="909" t="s">
        <v>2674</v>
      </c>
      <c r="G3892" s="910"/>
      <c r="H3892" s="911">
        <v>1.5</v>
      </c>
      <c r="I3892" s="912"/>
      <c r="J3892" s="912"/>
      <c r="K3892" s="912">
        <f>VLOOKUP(E3892,[5]ĐMNC!$A$7:$F$67,4,0)</f>
        <v>259989</v>
      </c>
      <c r="L3892" s="912">
        <f>H3892*K3892</f>
        <v>389983.5</v>
      </c>
      <c r="M3892" s="912"/>
      <c r="N3892" s="912"/>
      <c r="O3892" s="892">
        <f t="shared" si="244"/>
        <v>0</v>
      </c>
      <c r="P3892" s="903">
        <f t="shared" si="245"/>
        <v>1</v>
      </c>
      <c r="Q3892" s="893">
        <f t="shared" si="246"/>
        <v>3</v>
      </c>
      <c r="R3892" s="894">
        <f t="shared" si="247"/>
        <v>0</v>
      </c>
    </row>
    <row r="3893" spans="1:18" s="904" customFormat="1">
      <c r="A3893" s="895"/>
      <c r="B3893" s="896"/>
      <c r="C3893" s="897"/>
      <c r="D3893" s="897"/>
      <c r="E3893" s="898" t="s">
        <v>3914</v>
      </c>
      <c r="F3893" s="899"/>
      <c r="G3893" s="928"/>
      <c r="H3893" s="901"/>
      <c r="I3893" s="902"/>
      <c r="J3893" s="902"/>
      <c r="K3893" s="912" t="s">
        <v>274</v>
      </c>
      <c r="L3893" s="902"/>
      <c r="M3893" s="902"/>
      <c r="N3893" s="902"/>
      <c r="O3893" s="892">
        <f t="shared" si="244"/>
        <v>0</v>
      </c>
      <c r="P3893" s="903">
        <f t="shared" si="245"/>
        <v>1</v>
      </c>
      <c r="Q3893" s="893">
        <f t="shared" si="246"/>
        <v>2</v>
      </c>
      <c r="R3893" s="894">
        <f t="shared" si="247"/>
        <v>0</v>
      </c>
    </row>
    <row r="3894" spans="1:18">
      <c r="A3894" s="905"/>
      <c r="B3894" s="953" t="s">
        <v>5403</v>
      </c>
      <c r="C3894" s="907">
        <v>866</v>
      </c>
      <c r="D3894" s="907" t="s">
        <v>93</v>
      </c>
      <c r="E3894" s="925" t="s">
        <v>5404</v>
      </c>
      <c r="F3894" s="909" t="s">
        <v>2673</v>
      </c>
      <c r="G3894" s="910"/>
      <c r="H3894" s="911">
        <v>0.1</v>
      </c>
      <c r="I3894" s="912"/>
      <c r="J3894" s="912"/>
      <c r="K3894" s="912"/>
      <c r="L3894" s="912"/>
      <c r="M3894" s="912">
        <f>VLOOKUP(B3894,MTC!$B$9:$S$933,12,0)</f>
        <v>0</v>
      </c>
      <c r="N3894" s="912">
        <f>M3894*H3894</f>
        <v>0</v>
      </c>
      <c r="O3894" s="892">
        <f t="shared" si="244"/>
        <v>0</v>
      </c>
      <c r="P3894" s="903">
        <f t="shared" si="245"/>
        <v>1</v>
      </c>
      <c r="Q3894" s="893">
        <f t="shared" si="246"/>
        <v>1</v>
      </c>
      <c r="R3894" s="894">
        <f t="shared" si="247"/>
        <v>0</v>
      </c>
    </row>
    <row r="3895" spans="1:18" s="847" customFormat="1">
      <c r="A3895" s="905"/>
      <c r="B3895" s="914" t="s">
        <v>5022</v>
      </c>
      <c r="C3895" s="915"/>
      <c r="D3895" s="915"/>
      <c r="E3895" s="916" t="s">
        <v>5418</v>
      </c>
      <c r="F3895" s="917" t="s">
        <v>1206</v>
      </c>
      <c r="G3895" s="918"/>
      <c r="H3895" s="919"/>
      <c r="I3895" s="920"/>
      <c r="J3895" s="891">
        <f>SUM(J3896:J3903)</f>
        <v>10950</v>
      </c>
      <c r="K3895" s="891"/>
      <c r="L3895" s="891">
        <f>SUM(L3896:L3903)</f>
        <v>467980.2</v>
      </c>
      <c r="M3895" s="891"/>
      <c r="N3895" s="891">
        <f>SUM(N3896:N3903)</f>
        <v>0</v>
      </c>
      <c r="O3895" s="892">
        <f t="shared" si="244"/>
        <v>1</v>
      </c>
      <c r="P3895" s="903">
        <f t="shared" si="245"/>
        <v>0</v>
      </c>
      <c r="Q3895" s="893">
        <f t="shared" si="246"/>
        <v>0</v>
      </c>
      <c r="R3895" s="894">
        <f t="shared" si="247"/>
        <v>8</v>
      </c>
    </row>
    <row r="3896" spans="1:18" s="904" customFormat="1">
      <c r="A3896" s="895"/>
      <c r="B3896" s="896"/>
      <c r="C3896" s="897"/>
      <c r="D3896" s="897"/>
      <c r="E3896" s="898" t="s">
        <v>108</v>
      </c>
      <c r="F3896" s="899"/>
      <c r="G3896" s="900"/>
      <c r="H3896" s="901"/>
      <c r="I3896" s="902"/>
      <c r="J3896" s="902"/>
      <c r="K3896" s="912" t="s">
        <v>274</v>
      </c>
      <c r="L3896" s="902"/>
      <c r="M3896" s="902"/>
      <c r="N3896" s="902"/>
      <c r="O3896" s="892">
        <f t="shared" si="244"/>
        <v>0</v>
      </c>
      <c r="P3896" s="903">
        <f t="shared" si="245"/>
        <v>1</v>
      </c>
      <c r="Q3896" s="893">
        <f t="shared" si="246"/>
        <v>8</v>
      </c>
      <c r="R3896" s="894">
        <f t="shared" si="247"/>
        <v>0</v>
      </c>
    </row>
    <row r="3897" spans="1:18">
      <c r="A3897" s="905"/>
      <c r="B3897" s="906"/>
      <c r="C3897" s="907">
        <v>90</v>
      </c>
      <c r="D3897" s="907" t="s">
        <v>279</v>
      </c>
      <c r="E3897" s="925" t="s">
        <v>3205</v>
      </c>
      <c r="F3897" s="926" t="s">
        <v>45</v>
      </c>
      <c r="G3897" s="910"/>
      <c r="H3897" s="911">
        <v>0.1</v>
      </c>
      <c r="I3897" s="912">
        <f>VLOOKUP(E3897,[3]VLP!$B$7:$K$300,10,0)</f>
        <v>65000</v>
      </c>
      <c r="J3897" s="912">
        <f>I3897*H3897</f>
        <v>6500</v>
      </c>
      <c r="K3897" s="912" t="s">
        <v>274</v>
      </c>
      <c r="L3897" s="912"/>
      <c r="M3897" s="912"/>
      <c r="N3897" s="912"/>
      <c r="O3897" s="892">
        <f t="shared" si="244"/>
        <v>0</v>
      </c>
      <c r="P3897" s="903">
        <f t="shared" si="245"/>
        <v>1</v>
      </c>
      <c r="Q3897" s="893">
        <f t="shared" si="246"/>
        <v>7</v>
      </c>
      <c r="R3897" s="894">
        <f t="shared" si="247"/>
        <v>0</v>
      </c>
    </row>
    <row r="3898" spans="1:18">
      <c r="A3898" s="905"/>
      <c r="B3898" s="906"/>
      <c r="C3898" s="907">
        <v>44</v>
      </c>
      <c r="D3898" s="907" t="s">
        <v>279</v>
      </c>
      <c r="E3898" s="925" t="s">
        <v>2681</v>
      </c>
      <c r="F3898" s="926" t="s">
        <v>45</v>
      </c>
      <c r="G3898" s="910"/>
      <c r="H3898" s="911">
        <v>0.15</v>
      </c>
      <c r="I3898" s="912">
        <f>VLOOKUP(E3898,[3]VLP!$B$7:$K$300,10,0)</f>
        <v>23000</v>
      </c>
      <c r="J3898" s="912">
        <f>I3898*H3898</f>
        <v>3450</v>
      </c>
      <c r="K3898" s="912" t="s">
        <v>274</v>
      </c>
      <c r="L3898" s="912"/>
      <c r="M3898" s="912"/>
      <c r="N3898" s="912"/>
      <c r="O3898" s="892">
        <f t="shared" si="244"/>
        <v>0</v>
      </c>
      <c r="P3898" s="903">
        <f t="shared" si="245"/>
        <v>1</v>
      </c>
      <c r="Q3898" s="893">
        <f t="shared" si="246"/>
        <v>6</v>
      </c>
      <c r="R3898" s="894">
        <f t="shared" si="247"/>
        <v>0</v>
      </c>
    </row>
    <row r="3899" spans="1:18">
      <c r="A3899" s="905"/>
      <c r="B3899" s="906"/>
      <c r="C3899" s="907">
        <v>66</v>
      </c>
      <c r="D3899" s="907" t="s">
        <v>279</v>
      </c>
      <c r="E3899" s="925" t="s">
        <v>2682</v>
      </c>
      <c r="F3899" s="926" t="s">
        <v>45</v>
      </c>
      <c r="G3899" s="910"/>
      <c r="H3899" s="911">
        <v>0.2</v>
      </c>
      <c r="I3899" s="912">
        <f>VLOOKUP(E3899,[3]VLP!$B$7:$K$300,10,0)</f>
        <v>5000</v>
      </c>
      <c r="J3899" s="912">
        <f>I3899*H3899</f>
        <v>1000</v>
      </c>
      <c r="K3899" s="912" t="s">
        <v>274</v>
      </c>
      <c r="L3899" s="912"/>
      <c r="M3899" s="912"/>
      <c r="N3899" s="912"/>
      <c r="O3899" s="892">
        <f t="shared" si="244"/>
        <v>0</v>
      </c>
      <c r="P3899" s="903">
        <f t="shared" si="245"/>
        <v>1</v>
      </c>
      <c r="Q3899" s="893">
        <f t="shared" si="246"/>
        <v>5</v>
      </c>
      <c r="R3899" s="894">
        <f t="shared" si="247"/>
        <v>0</v>
      </c>
    </row>
    <row r="3900" spans="1:18" s="904" customFormat="1">
      <c r="A3900" s="895"/>
      <c r="B3900" s="896"/>
      <c r="C3900" s="897"/>
      <c r="D3900" s="897"/>
      <c r="E3900" s="924" t="s">
        <v>276</v>
      </c>
      <c r="F3900" s="927"/>
      <c r="G3900" s="928"/>
      <c r="H3900" s="901"/>
      <c r="I3900" s="902"/>
      <c r="J3900" s="902"/>
      <c r="K3900" s="912" t="s">
        <v>274</v>
      </c>
      <c r="L3900" s="902"/>
      <c r="M3900" s="902"/>
      <c r="N3900" s="902"/>
      <c r="O3900" s="892">
        <f t="shared" si="244"/>
        <v>0</v>
      </c>
      <c r="P3900" s="903">
        <f t="shared" si="245"/>
        <v>1</v>
      </c>
      <c r="Q3900" s="893">
        <f t="shared" si="246"/>
        <v>4</v>
      </c>
      <c r="R3900" s="894">
        <f t="shared" si="247"/>
        <v>0</v>
      </c>
    </row>
    <row r="3901" spans="1:18">
      <c r="A3901" s="905"/>
      <c r="B3901" s="906"/>
      <c r="C3901" s="907">
        <v>750</v>
      </c>
      <c r="D3901" s="907" t="s">
        <v>12</v>
      </c>
      <c r="E3901" s="908" t="s">
        <v>5402</v>
      </c>
      <c r="F3901" s="909" t="s">
        <v>2674</v>
      </c>
      <c r="G3901" s="910"/>
      <c r="H3901" s="911">
        <v>1.8</v>
      </c>
      <c r="I3901" s="912"/>
      <c r="J3901" s="912"/>
      <c r="K3901" s="912">
        <f>VLOOKUP(E3901,[5]ĐMNC!$A$7:$F$67,4,0)</f>
        <v>259989</v>
      </c>
      <c r="L3901" s="912">
        <f>H3901*K3901</f>
        <v>467980.2</v>
      </c>
      <c r="M3901" s="912"/>
      <c r="N3901" s="912"/>
      <c r="O3901" s="892">
        <f t="shared" si="244"/>
        <v>0</v>
      </c>
      <c r="P3901" s="903">
        <f t="shared" si="245"/>
        <v>1</v>
      </c>
      <c r="Q3901" s="893">
        <f t="shared" si="246"/>
        <v>3</v>
      </c>
      <c r="R3901" s="894">
        <f t="shared" si="247"/>
        <v>0</v>
      </c>
    </row>
    <row r="3902" spans="1:18" s="904" customFormat="1">
      <c r="A3902" s="895"/>
      <c r="B3902" s="896"/>
      <c r="C3902" s="897"/>
      <c r="D3902" s="897"/>
      <c r="E3902" s="898" t="s">
        <v>3914</v>
      </c>
      <c r="F3902" s="899"/>
      <c r="G3902" s="928"/>
      <c r="H3902" s="901"/>
      <c r="I3902" s="902"/>
      <c r="J3902" s="902"/>
      <c r="K3902" s="912" t="s">
        <v>274</v>
      </c>
      <c r="L3902" s="902"/>
      <c r="M3902" s="902"/>
      <c r="N3902" s="902"/>
      <c r="O3902" s="892">
        <f t="shared" si="244"/>
        <v>0</v>
      </c>
      <c r="P3902" s="903">
        <f t="shared" si="245"/>
        <v>1</v>
      </c>
      <c r="Q3902" s="893">
        <f t="shared" si="246"/>
        <v>2</v>
      </c>
      <c r="R3902" s="894">
        <f t="shared" si="247"/>
        <v>0</v>
      </c>
    </row>
    <row r="3903" spans="1:18">
      <c r="A3903" s="905"/>
      <c r="B3903" s="953" t="s">
        <v>5403</v>
      </c>
      <c r="C3903" s="907">
        <v>866</v>
      </c>
      <c r="D3903" s="907" t="s">
        <v>93</v>
      </c>
      <c r="E3903" s="925" t="s">
        <v>5404</v>
      </c>
      <c r="F3903" s="909" t="s">
        <v>2673</v>
      </c>
      <c r="G3903" s="910"/>
      <c r="H3903" s="911">
        <v>0.1</v>
      </c>
      <c r="I3903" s="912"/>
      <c r="J3903" s="912"/>
      <c r="K3903" s="912"/>
      <c r="L3903" s="912"/>
      <c r="M3903" s="912">
        <f>VLOOKUP(B3903,MTC!$B$9:$S$933,12,0)</f>
        <v>0</v>
      </c>
      <c r="N3903" s="912">
        <f>M3903*H3903</f>
        <v>0</v>
      </c>
      <c r="O3903" s="892">
        <f t="shared" si="244"/>
        <v>0</v>
      </c>
      <c r="P3903" s="903">
        <f t="shared" si="245"/>
        <v>1</v>
      </c>
      <c r="Q3903" s="893">
        <f t="shared" si="246"/>
        <v>1</v>
      </c>
      <c r="R3903" s="894">
        <f t="shared" si="247"/>
        <v>0</v>
      </c>
    </row>
    <row r="3904" spans="1:18" s="847" customFormat="1">
      <c r="A3904" s="905"/>
      <c r="B3904" s="914" t="s">
        <v>5026</v>
      </c>
      <c r="C3904" s="915"/>
      <c r="D3904" s="915"/>
      <c r="E3904" s="916" t="s">
        <v>5419</v>
      </c>
      <c r="F3904" s="917" t="s">
        <v>1206</v>
      </c>
      <c r="G3904" s="918"/>
      <c r="H3904" s="919"/>
      <c r="I3904" s="920"/>
      <c r="J3904" s="891">
        <f>SUM(J3905:J3912)</f>
        <v>6550</v>
      </c>
      <c r="K3904" s="891"/>
      <c r="L3904" s="891">
        <f>SUM(L3905:L3912)</f>
        <v>119594.94</v>
      </c>
      <c r="M3904" s="891"/>
      <c r="N3904" s="891">
        <f>SUM(N3905:N3912)</f>
        <v>0</v>
      </c>
      <c r="O3904" s="892">
        <f t="shared" si="244"/>
        <v>1</v>
      </c>
      <c r="P3904" s="903">
        <f t="shared" si="245"/>
        <v>0</v>
      </c>
      <c r="Q3904" s="893">
        <f t="shared" si="246"/>
        <v>0</v>
      </c>
      <c r="R3904" s="894">
        <f t="shared" si="247"/>
        <v>8</v>
      </c>
    </row>
    <row r="3905" spans="1:18" s="904" customFormat="1">
      <c r="A3905" s="895"/>
      <c r="B3905" s="896"/>
      <c r="C3905" s="897"/>
      <c r="D3905" s="897"/>
      <c r="E3905" s="898" t="s">
        <v>108</v>
      </c>
      <c r="F3905" s="899"/>
      <c r="G3905" s="900"/>
      <c r="H3905" s="901"/>
      <c r="I3905" s="902"/>
      <c r="J3905" s="902"/>
      <c r="K3905" s="912" t="s">
        <v>274</v>
      </c>
      <c r="L3905" s="902"/>
      <c r="M3905" s="902"/>
      <c r="N3905" s="902"/>
      <c r="O3905" s="892">
        <f t="shared" si="244"/>
        <v>0</v>
      </c>
      <c r="P3905" s="903">
        <f t="shared" si="245"/>
        <v>1</v>
      </c>
      <c r="Q3905" s="893">
        <f t="shared" si="246"/>
        <v>8</v>
      </c>
      <c r="R3905" s="894">
        <f t="shared" si="247"/>
        <v>0</v>
      </c>
    </row>
    <row r="3906" spans="1:18">
      <c r="A3906" s="905"/>
      <c r="B3906" s="906"/>
      <c r="C3906" s="907">
        <v>90</v>
      </c>
      <c r="D3906" s="907" t="s">
        <v>279</v>
      </c>
      <c r="E3906" s="925" t="s">
        <v>3205</v>
      </c>
      <c r="F3906" s="926" t="s">
        <v>45</v>
      </c>
      <c r="G3906" s="910"/>
      <c r="H3906" s="911">
        <v>0.05</v>
      </c>
      <c r="I3906" s="912">
        <f>VLOOKUP(E3906,[3]VLP!$B$7:$K$300,10,0)</f>
        <v>65000</v>
      </c>
      <c r="J3906" s="912">
        <f>I3906*H3906</f>
        <v>3250</v>
      </c>
      <c r="K3906" s="912" t="s">
        <v>274</v>
      </c>
      <c r="L3906" s="912"/>
      <c r="M3906" s="912"/>
      <c r="N3906" s="912"/>
      <c r="O3906" s="892">
        <f t="shared" si="244"/>
        <v>0</v>
      </c>
      <c r="P3906" s="903">
        <f t="shared" si="245"/>
        <v>1</v>
      </c>
      <c r="Q3906" s="893">
        <f t="shared" si="246"/>
        <v>7</v>
      </c>
      <c r="R3906" s="894">
        <f t="shared" si="247"/>
        <v>0</v>
      </c>
    </row>
    <row r="3907" spans="1:18">
      <c r="A3907" s="905"/>
      <c r="B3907" s="906"/>
      <c r="C3907" s="907">
        <v>44</v>
      </c>
      <c r="D3907" s="907" t="s">
        <v>279</v>
      </c>
      <c r="E3907" s="925" t="s">
        <v>2681</v>
      </c>
      <c r="F3907" s="926" t="s">
        <v>45</v>
      </c>
      <c r="G3907" s="910"/>
      <c r="H3907" s="911">
        <v>0.1</v>
      </c>
      <c r="I3907" s="912">
        <f>VLOOKUP(E3907,[3]VLP!$B$7:$K$300,10,0)</f>
        <v>23000</v>
      </c>
      <c r="J3907" s="912">
        <f>I3907*H3907</f>
        <v>2300</v>
      </c>
      <c r="K3907" s="912" t="s">
        <v>274</v>
      </c>
      <c r="L3907" s="912"/>
      <c r="M3907" s="912"/>
      <c r="N3907" s="912"/>
      <c r="O3907" s="892">
        <f t="shared" si="244"/>
        <v>0</v>
      </c>
      <c r="P3907" s="903">
        <f t="shared" si="245"/>
        <v>1</v>
      </c>
      <c r="Q3907" s="893">
        <f t="shared" si="246"/>
        <v>6</v>
      </c>
      <c r="R3907" s="894">
        <f t="shared" si="247"/>
        <v>0</v>
      </c>
    </row>
    <row r="3908" spans="1:18">
      <c r="A3908" s="905"/>
      <c r="B3908" s="906"/>
      <c r="C3908" s="907">
        <v>66</v>
      </c>
      <c r="D3908" s="907" t="s">
        <v>279</v>
      </c>
      <c r="E3908" s="925" t="s">
        <v>2682</v>
      </c>
      <c r="F3908" s="926" t="s">
        <v>45</v>
      </c>
      <c r="G3908" s="910"/>
      <c r="H3908" s="911">
        <v>0.2</v>
      </c>
      <c r="I3908" s="912">
        <f>VLOOKUP(E3908,[3]VLP!$B$7:$K$300,10,0)</f>
        <v>5000</v>
      </c>
      <c r="J3908" s="912">
        <f>I3908*H3908</f>
        <v>1000</v>
      </c>
      <c r="K3908" s="912" t="s">
        <v>274</v>
      </c>
      <c r="L3908" s="912"/>
      <c r="M3908" s="912"/>
      <c r="N3908" s="912"/>
      <c r="O3908" s="892">
        <f t="shared" si="244"/>
        <v>0</v>
      </c>
      <c r="P3908" s="903">
        <f t="shared" si="245"/>
        <v>1</v>
      </c>
      <c r="Q3908" s="893">
        <f t="shared" si="246"/>
        <v>5</v>
      </c>
      <c r="R3908" s="894">
        <f t="shared" si="247"/>
        <v>0</v>
      </c>
    </row>
    <row r="3909" spans="1:18" s="904" customFormat="1">
      <c r="A3909" s="895"/>
      <c r="B3909" s="896"/>
      <c r="C3909" s="897"/>
      <c r="D3909" s="897"/>
      <c r="E3909" s="924" t="s">
        <v>276</v>
      </c>
      <c r="F3909" s="927"/>
      <c r="G3909" s="928"/>
      <c r="H3909" s="901"/>
      <c r="I3909" s="902"/>
      <c r="J3909" s="902"/>
      <c r="K3909" s="912" t="s">
        <v>274</v>
      </c>
      <c r="L3909" s="902"/>
      <c r="M3909" s="902"/>
      <c r="N3909" s="902"/>
      <c r="O3909" s="892">
        <f t="shared" si="244"/>
        <v>0</v>
      </c>
      <c r="P3909" s="903">
        <f t="shared" si="245"/>
        <v>1</v>
      </c>
      <c r="Q3909" s="893">
        <f t="shared" si="246"/>
        <v>4</v>
      </c>
      <c r="R3909" s="894">
        <f t="shared" si="247"/>
        <v>0</v>
      </c>
    </row>
    <row r="3910" spans="1:18">
      <c r="A3910" s="905"/>
      <c r="B3910" s="906"/>
      <c r="C3910" s="907">
        <v>750</v>
      </c>
      <c r="D3910" s="907" t="s">
        <v>12</v>
      </c>
      <c r="E3910" s="908" t="s">
        <v>5402</v>
      </c>
      <c r="F3910" s="909" t="s">
        <v>2674</v>
      </c>
      <c r="G3910" s="910"/>
      <c r="H3910" s="911">
        <v>0.46</v>
      </c>
      <c r="I3910" s="912"/>
      <c r="J3910" s="912"/>
      <c r="K3910" s="912">
        <f>VLOOKUP(E3910,[5]ĐMNC!$A$7:$F$67,4,0)</f>
        <v>259989</v>
      </c>
      <c r="L3910" s="912">
        <f>H3910*K3910</f>
        <v>119594.94</v>
      </c>
      <c r="M3910" s="912"/>
      <c r="N3910" s="912"/>
      <c r="O3910" s="892">
        <f t="shared" si="244"/>
        <v>0</v>
      </c>
      <c r="P3910" s="903">
        <f t="shared" si="245"/>
        <v>1</v>
      </c>
      <c r="Q3910" s="893">
        <f t="shared" si="246"/>
        <v>3</v>
      </c>
      <c r="R3910" s="894">
        <f t="shared" si="247"/>
        <v>0</v>
      </c>
    </row>
    <row r="3911" spans="1:18" s="904" customFormat="1">
      <c r="A3911" s="895"/>
      <c r="B3911" s="896"/>
      <c r="C3911" s="897"/>
      <c r="D3911" s="897"/>
      <c r="E3911" s="898" t="s">
        <v>3914</v>
      </c>
      <c r="F3911" s="899"/>
      <c r="G3911" s="928"/>
      <c r="H3911" s="901"/>
      <c r="I3911" s="902"/>
      <c r="J3911" s="902"/>
      <c r="K3911" s="912" t="s">
        <v>274</v>
      </c>
      <c r="L3911" s="902"/>
      <c r="M3911" s="902"/>
      <c r="N3911" s="902"/>
      <c r="O3911" s="892">
        <f t="shared" si="244"/>
        <v>0</v>
      </c>
      <c r="P3911" s="903">
        <f t="shared" si="245"/>
        <v>1</v>
      </c>
      <c r="Q3911" s="893">
        <f t="shared" si="246"/>
        <v>2</v>
      </c>
      <c r="R3911" s="894">
        <f t="shared" si="247"/>
        <v>0</v>
      </c>
    </row>
    <row r="3912" spans="1:18">
      <c r="A3912" s="905"/>
      <c r="B3912" s="953" t="s">
        <v>5403</v>
      </c>
      <c r="C3912" s="907">
        <v>866</v>
      </c>
      <c r="D3912" s="907" t="s">
        <v>93</v>
      </c>
      <c r="E3912" s="925" t="s">
        <v>5404</v>
      </c>
      <c r="F3912" s="909" t="s">
        <v>2673</v>
      </c>
      <c r="G3912" s="910"/>
      <c r="H3912" s="911">
        <v>0.08</v>
      </c>
      <c r="I3912" s="912"/>
      <c r="J3912" s="912"/>
      <c r="K3912" s="912"/>
      <c r="L3912" s="912"/>
      <c r="M3912" s="912">
        <f>VLOOKUP(B3912,MTC!$B$9:$S$933,12,0)</f>
        <v>0</v>
      </c>
      <c r="N3912" s="912">
        <f>M3912*H3912</f>
        <v>0</v>
      </c>
      <c r="O3912" s="892">
        <f t="shared" si="244"/>
        <v>0</v>
      </c>
      <c r="P3912" s="903">
        <f t="shared" si="245"/>
        <v>1</v>
      </c>
      <c r="Q3912" s="893">
        <f t="shared" si="246"/>
        <v>1</v>
      </c>
      <c r="R3912" s="894">
        <f t="shared" si="247"/>
        <v>0</v>
      </c>
    </row>
    <row r="3913" spans="1:18" s="847" customFormat="1">
      <c r="A3913" s="905"/>
      <c r="B3913" s="914" t="s">
        <v>5028</v>
      </c>
      <c r="C3913" s="915"/>
      <c r="D3913" s="915"/>
      <c r="E3913" s="916" t="s">
        <v>5420</v>
      </c>
      <c r="F3913" s="917" t="s">
        <v>1206</v>
      </c>
      <c r="G3913" s="918"/>
      <c r="H3913" s="919"/>
      <c r="I3913" s="920"/>
      <c r="J3913" s="891">
        <f>SUM(J3914:J3921)</f>
        <v>6550</v>
      </c>
      <c r="K3913" s="891"/>
      <c r="L3913" s="891">
        <f>SUM(L3914:L3921)</f>
        <v>150793.62</v>
      </c>
      <c r="M3913" s="891"/>
      <c r="N3913" s="891">
        <f>SUM(N3914:N3921)</f>
        <v>0</v>
      </c>
      <c r="O3913" s="892">
        <f t="shared" si="244"/>
        <v>1</v>
      </c>
      <c r="P3913" s="903">
        <f t="shared" si="245"/>
        <v>0</v>
      </c>
      <c r="Q3913" s="893">
        <f t="shared" si="246"/>
        <v>0</v>
      </c>
      <c r="R3913" s="894">
        <f t="shared" si="247"/>
        <v>8</v>
      </c>
    </row>
    <row r="3914" spans="1:18" s="904" customFormat="1">
      <c r="A3914" s="895"/>
      <c r="B3914" s="896"/>
      <c r="C3914" s="897"/>
      <c r="D3914" s="897"/>
      <c r="E3914" s="898" t="s">
        <v>108</v>
      </c>
      <c r="F3914" s="899"/>
      <c r="G3914" s="900"/>
      <c r="H3914" s="901"/>
      <c r="I3914" s="902"/>
      <c r="J3914" s="902"/>
      <c r="K3914" s="912" t="s">
        <v>274</v>
      </c>
      <c r="L3914" s="902"/>
      <c r="M3914" s="902"/>
      <c r="N3914" s="902"/>
      <c r="O3914" s="892">
        <f t="shared" si="244"/>
        <v>0</v>
      </c>
      <c r="P3914" s="903">
        <f t="shared" si="245"/>
        <v>1</v>
      </c>
      <c r="Q3914" s="893">
        <f t="shared" si="246"/>
        <v>8</v>
      </c>
      <c r="R3914" s="894">
        <f t="shared" si="247"/>
        <v>0</v>
      </c>
    </row>
    <row r="3915" spans="1:18">
      <c r="A3915" s="905"/>
      <c r="B3915" s="906"/>
      <c r="C3915" s="907">
        <v>90</v>
      </c>
      <c r="D3915" s="907" t="s">
        <v>279</v>
      </c>
      <c r="E3915" s="925" t="s">
        <v>3205</v>
      </c>
      <c r="F3915" s="926" t="s">
        <v>45</v>
      </c>
      <c r="G3915" s="910"/>
      <c r="H3915" s="911">
        <v>0.05</v>
      </c>
      <c r="I3915" s="912">
        <f>VLOOKUP(E3915,[3]VLP!$B$7:$K$300,10,0)</f>
        <v>65000</v>
      </c>
      <c r="J3915" s="912">
        <f>I3915*H3915</f>
        <v>3250</v>
      </c>
      <c r="K3915" s="912" t="s">
        <v>274</v>
      </c>
      <c r="L3915" s="912"/>
      <c r="M3915" s="912"/>
      <c r="N3915" s="912"/>
      <c r="O3915" s="892">
        <f t="shared" si="244"/>
        <v>0</v>
      </c>
      <c r="P3915" s="903">
        <f t="shared" si="245"/>
        <v>1</v>
      </c>
      <c r="Q3915" s="893">
        <f t="shared" si="246"/>
        <v>7</v>
      </c>
      <c r="R3915" s="894">
        <f t="shared" si="247"/>
        <v>0</v>
      </c>
    </row>
    <row r="3916" spans="1:18">
      <c r="A3916" s="905"/>
      <c r="B3916" s="906"/>
      <c r="C3916" s="907">
        <v>44</v>
      </c>
      <c r="D3916" s="907" t="s">
        <v>279</v>
      </c>
      <c r="E3916" s="925" t="s">
        <v>2681</v>
      </c>
      <c r="F3916" s="926" t="s">
        <v>45</v>
      </c>
      <c r="G3916" s="910"/>
      <c r="H3916" s="911">
        <v>0.1</v>
      </c>
      <c r="I3916" s="912">
        <f>VLOOKUP(E3916,[3]VLP!$B$7:$K$300,10,0)</f>
        <v>23000</v>
      </c>
      <c r="J3916" s="912">
        <f>I3916*H3916</f>
        <v>2300</v>
      </c>
      <c r="K3916" s="912" t="s">
        <v>274</v>
      </c>
      <c r="L3916" s="912"/>
      <c r="M3916" s="912"/>
      <c r="N3916" s="912"/>
      <c r="O3916" s="892">
        <f t="shared" si="244"/>
        <v>0</v>
      </c>
      <c r="P3916" s="903">
        <f t="shared" si="245"/>
        <v>1</v>
      </c>
      <c r="Q3916" s="893">
        <f t="shared" si="246"/>
        <v>6</v>
      </c>
      <c r="R3916" s="894">
        <f t="shared" si="247"/>
        <v>0</v>
      </c>
    </row>
    <row r="3917" spans="1:18">
      <c r="A3917" s="905"/>
      <c r="B3917" s="906"/>
      <c r="C3917" s="907">
        <v>66</v>
      </c>
      <c r="D3917" s="907" t="s">
        <v>279</v>
      </c>
      <c r="E3917" s="925" t="s">
        <v>2682</v>
      </c>
      <c r="F3917" s="926" t="s">
        <v>45</v>
      </c>
      <c r="G3917" s="910"/>
      <c r="H3917" s="911">
        <v>0.2</v>
      </c>
      <c r="I3917" s="912">
        <f>VLOOKUP(E3917,[3]VLP!$B$7:$K$300,10,0)</f>
        <v>5000</v>
      </c>
      <c r="J3917" s="912">
        <f>I3917*H3917</f>
        <v>1000</v>
      </c>
      <c r="K3917" s="912" t="s">
        <v>274</v>
      </c>
      <c r="L3917" s="912"/>
      <c r="M3917" s="912"/>
      <c r="N3917" s="912"/>
      <c r="O3917" s="892">
        <f t="shared" si="244"/>
        <v>0</v>
      </c>
      <c r="P3917" s="903">
        <f t="shared" si="245"/>
        <v>1</v>
      </c>
      <c r="Q3917" s="893">
        <f t="shared" si="246"/>
        <v>5</v>
      </c>
      <c r="R3917" s="894">
        <f t="shared" si="247"/>
        <v>0</v>
      </c>
    </row>
    <row r="3918" spans="1:18" s="904" customFormat="1">
      <c r="A3918" s="895"/>
      <c r="B3918" s="896"/>
      <c r="C3918" s="897"/>
      <c r="D3918" s="897"/>
      <c r="E3918" s="924" t="s">
        <v>276</v>
      </c>
      <c r="F3918" s="927"/>
      <c r="G3918" s="928"/>
      <c r="H3918" s="901"/>
      <c r="I3918" s="902"/>
      <c r="J3918" s="902"/>
      <c r="K3918" s="912" t="s">
        <v>274</v>
      </c>
      <c r="L3918" s="902"/>
      <c r="M3918" s="902"/>
      <c r="N3918" s="902"/>
      <c r="O3918" s="892">
        <f t="shared" si="244"/>
        <v>0</v>
      </c>
      <c r="P3918" s="903">
        <f t="shared" si="245"/>
        <v>1</v>
      </c>
      <c r="Q3918" s="893">
        <f t="shared" si="246"/>
        <v>4</v>
      </c>
      <c r="R3918" s="894">
        <f t="shared" si="247"/>
        <v>0</v>
      </c>
    </row>
    <row r="3919" spans="1:18">
      <c r="A3919" s="905"/>
      <c r="B3919" s="906"/>
      <c r="C3919" s="907">
        <v>750</v>
      </c>
      <c r="D3919" s="907" t="s">
        <v>12</v>
      </c>
      <c r="E3919" s="908" t="s">
        <v>5402</v>
      </c>
      <c r="F3919" s="909" t="s">
        <v>2674</v>
      </c>
      <c r="G3919" s="910"/>
      <c r="H3919" s="911">
        <v>0.57999999999999996</v>
      </c>
      <c r="I3919" s="912"/>
      <c r="J3919" s="912"/>
      <c r="K3919" s="912">
        <f>VLOOKUP(E3919,[5]ĐMNC!$A$7:$F$67,4,0)</f>
        <v>259989</v>
      </c>
      <c r="L3919" s="912">
        <f>H3919*K3919</f>
        <v>150793.62</v>
      </c>
      <c r="M3919" s="912"/>
      <c r="N3919" s="912"/>
      <c r="O3919" s="892">
        <f t="shared" si="244"/>
        <v>0</v>
      </c>
      <c r="P3919" s="903">
        <f t="shared" si="245"/>
        <v>1</v>
      </c>
      <c r="Q3919" s="893">
        <f t="shared" si="246"/>
        <v>3</v>
      </c>
      <c r="R3919" s="894">
        <f t="shared" si="247"/>
        <v>0</v>
      </c>
    </row>
    <row r="3920" spans="1:18" s="904" customFormat="1">
      <c r="A3920" s="895"/>
      <c r="B3920" s="896"/>
      <c r="C3920" s="897"/>
      <c r="D3920" s="897"/>
      <c r="E3920" s="898" t="s">
        <v>3914</v>
      </c>
      <c r="F3920" s="899"/>
      <c r="G3920" s="928"/>
      <c r="H3920" s="901"/>
      <c r="I3920" s="902"/>
      <c r="J3920" s="902"/>
      <c r="K3920" s="912" t="s">
        <v>274</v>
      </c>
      <c r="L3920" s="902"/>
      <c r="M3920" s="902"/>
      <c r="N3920" s="902"/>
      <c r="O3920" s="892">
        <f t="shared" si="244"/>
        <v>0</v>
      </c>
      <c r="P3920" s="903">
        <f t="shared" si="245"/>
        <v>1</v>
      </c>
      <c r="Q3920" s="893">
        <f t="shared" si="246"/>
        <v>2</v>
      </c>
      <c r="R3920" s="894">
        <f t="shared" si="247"/>
        <v>0</v>
      </c>
    </row>
    <row r="3921" spans="1:18">
      <c r="A3921" s="905"/>
      <c r="B3921" s="953" t="s">
        <v>5403</v>
      </c>
      <c r="C3921" s="907">
        <v>866</v>
      </c>
      <c r="D3921" s="907" t="s">
        <v>93</v>
      </c>
      <c r="E3921" s="925" t="s">
        <v>5404</v>
      </c>
      <c r="F3921" s="909" t="s">
        <v>2673</v>
      </c>
      <c r="G3921" s="910"/>
      <c r="H3921" s="911">
        <v>0.08</v>
      </c>
      <c r="I3921" s="912"/>
      <c r="J3921" s="912"/>
      <c r="K3921" s="912"/>
      <c r="L3921" s="912"/>
      <c r="M3921" s="912">
        <f>VLOOKUP(B3921,MTC!$B$9:$S$933,12,0)</f>
        <v>0</v>
      </c>
      <c r="N3921" s="912">
        <f>M3921*H3921</f>
        <v>0</v>
      </c>
      <c r="O3921" s="892">
        <f t="shared" si="244"/>
        <v>0</v>
      </c>
      <c r="P3921" s="903">
        <f t="shared" si="245"/>
        <v>1</v>
      </c>
      <c r="Q3921" s="893">
        <f t="shared" si="246"/>
        <v>1</v>
      </c>
      <c r="R3921" s="894">
        <f t="shared" si="247"/>
        <v>0</v>
      </c>
    </row>
    <row r="3922" spans="1:18" s="847" customFormat="1">
      <c r="A3922" s="905"/>
      <c r="B3922" s="914" t="s">
        <v>5030</v>
      </c>
      <c r="C3922" s="915"/>
      <c r="D3922" s="915"/>
      <c r="E3922" s="916" t="s">
        <v>5421</v>
      </c>
      <c r="F3922" s="917" t="s">
        <v>1206</v>
      </c>
      <c r="G3922" s="918"/>
      <c r="H3922" s="919"/>
      <c r="I3922" s="920"/>
      <c r="J3922" s="891">
        <f>SUM(J3923:J3930)</f>
        <v>6550</v>
      </c>
      <c r="K3922" s="891"/>
      <c r="L3922" s="891">
        <f>SUM(L3923:L3930)</f>
        <v>184592.19</v>
      </c>
      <c r="M3922" s="891"/>
      <c r="N3922" s="891">
        <f>SUM(N3923:N3930)</f>
        <v>0</v>
      </c>
      <c r="O3922" s="892">
        <f t="shared" si="244"/>
        <v>1</v>
      </c>
      <c r="P3922" s="903">
        <f t="shared" si="245"/>
        <v>0</v>
      </c>
      <c r="Q3922" s="893">
        <f t="shared" si="246"/>
        <v>0</v>
      </c>
      <c r="R3922" s="894">
        <f t="shared" si="247"/>
        <v>8</v>
      </c>
    </row>
    <row r="3923" spans="1:18" s="904" customFormat="1">
      <c r="A3923" s="895"/>
      <c r="B3923" s="896"/>
      <c r="C3923" s="897"/>
      <c r="D3923" s="897"/>
      <c r="E3923" s="898" t="s">
        <v>108</v>
      </c>
      <c r="F3923" s="899"/>
      <c r="G3923" s="900"/>
      <c r="H3923" s="901"/>
      <c r="I3923" s="902"/>
      <c r="J3923" s="902"/>
      <c r="K3923" s="912" t="s">
        <v>274</v>
      </c>
      <c r="L3923" s="902"/>
      <c r="M3923" s="902"/>
      <c r="N3923" s="902"/>
      <c r="O3923" s="892">
        <f t="shared" si="244"/>
        <v>0</v>
      </c>
      <c r="P3923" s="903">
        <f t="shared" si="245"/>
        <v>1</v>
      </c>
      <c r="Q3923" s="893">
        <f t="shared" si="246"/>
        <v>8</v>
      </c>
      <c r="R3923" s="894">
        <f t="shared" si="247"/>
        <v>0</v>
      </c>
    </row>
    <row r="3924" spans="1:18">
      <c r="A3924" s="905"/>
      <c r="B3924" s="906"/>
      <c r="C3924" s="907">
        <v>90</v>
      </c>
      <c r="D3924" s="907" t="s">
        <v>279</v>
      </c>
      <c r="E3924" s="925" t="s">
        <v>3205</v>
      </c>
      <c r="F3924" s="926" t="s">
        <v>45</v>
      </c>
      <c r="G3924" s="910"/>
      <c r="H3924" s="911">
        <v>0.05</v>
      </c>
      <c r="I3924" s="912">
        <f>VLOOKUP(E3924,[3]VLP!$B$7:$K$300,10,0)</f>
        <v>65000</v>
      </c>
      <c r="J3924" s="912">
        <f>I3924*H3924</f>
        <v>3250</v>
      </c>
      <c r="K3924" s="912" t="s">
        <v>274</v>
      </c>
      <c r="L3924" s="912"/>
      <c r="M3924" s="912"/>
      <c r="N3924" s="912"/>
      <c r="O3924" s="892">
        <f t="shared" si="244"/>
        <v>0</v>
      </c>
      <c r="P3924" s="903">
        <f t="shared" si="245"/>
        <v>1</v>
      </c>
      <c r="Q3924" s="893">
        <f t="shared" si="246"/>
        <v>7</v>
      </c>
      <c r="R3924" s="894">
        <f t="shared" si="247"/>
        <v>0</v>
      </c>
    </row>
    <row r="3925" spans="1:18">
      <c r="A3925" s="905"/>
      <c r="B3925" s="906"/>
      <c r="C3925" s="907">
        <v>44</v>
      </c>
      <c r="D3925" s="907" t="s">
        <v>279</v>
      </c>
      <c r="E3925" s="925" t="s">
        <v>2681</v>
      </c>
      <c r="F3925" s="926" t="s">
        <v>45</v>
      </c>
      <c r="G3925" s="910"/>
      <c r="H3925" s="911">
        <v>0.1</v>
      </c>
      <c r="I3925" s="912">
        <f>VLOOKUP(E3925,[3]VLP!$B$7:$K$300,10,0)</f>
        <v>23000</v>
      </c>
      <c r="J3925" s="912">
        <f>I3925*H3925</f>
        <v>2300</v>
      </c>
      <c r="K3925" s="912" t="s">
        <v>274</v>
      </c>
      <c r="L3925" s="912"/>
      <c r="M3925" s="912"/>
      <c r="N3925" s="912"/>
      <c r="O3925" s="892">
        <f t="shared" si="244"/>
        <v>0</v>
      </c>
      <c r="P3925" s="903">
        <f t="shared" si="245"/>
        <v>1</v>
      </c>
      <c r="Q3925" s="893">
        <f t="shared" si="246"/>
        <v>6</v>
      </c>
      <c r="R3925" s="894">
        <f t="shared" si="247"/>
        <v>0</v>
      </c>
    </row>
    <row r="3926" spans="1:18">
      <c r="A3926" s="905"/>
      <c r="B3926" s="906"/>
      <c r="C3926" s="907">
        <v>66</v>
      </c>
      <c r="D3926" s="907" t="s">
        <v>279</v>
      </c>
      <c r="E3926" s="925" t="s">
        <v>2682</v>
      </c>
      <c r="F3926" s="926" t="s">
        <v>45</v>
      </c>
      <c r="G3926" s="910"/>
      <c r="H3926" s="911">
        <v>0.2</v>
      </c>
      <c r="I3926" s="912">
        <f>VLOOKUP(E3926,[3]VLP!$B$7:$K$300,10,0)</f>
        <v>5000</v>
      </c>
      <c r="J3926" s="912">
        <f>I3926*H3926</f>
        <v>1000</v>
      </c>
      <c r="K3926" s="912" t="s">
        <v>274</v>
      </c>
      <c r="L3926" s="912"/>
      <c r="M3926" s="912"/>
      <c r="N3926" s="912"/>
      <c r="O3926" s="892">
        <f t="shared" si="244"/>
        <v>0</v>
      </c>
      <c r="P3926" s="903">
        <f t="shared" si="245"/>
        <v>1</v>
      </c>
      <c r="Q3926" s="893">
        <f t="shared" si="246"/>
        <v>5</v>
      </c>
      <c r="R3926" s="894">
        <f t="shared" si="247"/>
        <v>0</v>
      </c>
    </row>
    <row r="3927" spans="1:18" s="904" customFormat="1">
      <c r="A3927" s="895"/>
      <c r="B3927" s="896"/>
      <c r="C3927" s="897"/>
      <c r="D3927" s="897"/>
      <c r="E3927" s="924" t="s">
        <v>276</v>
      </c>
      <c r="F3927" s="927"/>
      <c r="G3927" s="928"/>
      <c r="H3927" s="901"/>
      <c r="I3927" s="902"/>
      <c r="J3927" s="902"/>
      <c r="K3927" s="912" t="s">
        <v>274</v>
      </c>
      <c r="L3927" s="902"/>
      <c r="M3927" s="902"/>
      <c r="N3927" s="902"/>
      <c r="O3927" s="892">
        <f t="shared" si="244"/>
        <v>0</v>
      </c>
      <c r="P3927" s="903">
        <f t="shared" si="245"/>
        <v>1</v>
      </c>
      <c r="Q3927" s="893">
        <f t="shared" si="246"/>
        <v>4</v>
      </c>
      <c r="R3927" s="894">
        <f t="shared" si="247"/>
        <v>0</v>
      </c>
    </row>
    <row r="3928" spans="1:18">
      <c r="A3928" s="905"/>
      <c r="B3928" s="906"/>
      <c r="C3928" s="907">
        <v>750</v>
      </c>
      <c r="D3928" s="907" t="s">
        <v>12</v>
      </c>
      <c r="E3928" s="908" t="s">
        <v>5402</v>
      </c>
      <c r="F3928" s="909" t="s">
        <v>2674</v>
      </c>
      <c r="G3928" s="910"/>
      <c r="H3928" s="911">
        <v>0.71</v>
      </c>
      <c r="I3928" s="912"/>
      <c r="J3928" s="912"/>
      <c r="K3928" s="912">
        <f>VLOOKUP(E3928,[5]ĐMNC!$A$7:$F$67,4,0)</f>
        <v>259989</v>
      </c>
      <c r="L3928" s="912">
        <f>H3928*K3928</f>
        <v>184592.19</v>
      </c>
      <c r="M3928" s="912"/>
      <c r="N3928" s="912"/>
      <c r="O3928" s="892">
        <f t="shared" si="244"/>
        <v>0</v>
      </c>
      <c r="P3928" s="903">
        <f t="shared" si="245"/>
        <v>1</v>
      </c>
      <c r="Q3928" s="893">
        <f t="shared" si="246"/>
        <v>3</v>
      </c>
      <c r="R3928" s="894">
        <f t="shared" si="247"/>
        <v>0</v>
      </c>
    </row>
    <row r="3929" spans="1:18" s="904" customFormat="1">
      <c r="A3929" s="895"/>
      <c r="B3929" s="896"/>
      <c r="C3929" s="897"/>
      <c r="D3929" s="897"/>
      <c r="E3929" s="898" t="s">
        <v>3914</v>
      </c>
      <c r="F3929" s="899"/>
      <c r="G3929" s="928"/>
      <c r="H3929" s="901"/>
      <c r="I3929" s="902"/>
      <c r="J3929" s="902"/>
      <c r="K3929" s="912" t="s">
        <v>274</v>
      </c>
      <c r="L3929" s="902"/>
      <c r="M3929" s="902"/>
      <c r="N3929" s="902"/>
      <c r="O3929" s="892">
        <f t="shared" si="244"/>
        <v>0</v>
      </c>
      <c r="P3929" s="903">
        <f t="shared" si="245"/>
        <v>1</v>
      </c>
      <c r="Q3929" s="893">
        <f t="shared" si="246"/>
        <v>2</v>
      </c>
      <c r="R3929" s="894">
        <f t="shared" si="247"/>
        <v>0</v>
      </c>
    </row>
    <row r="3930" spans="1:18">
      <c r="A3930" s="905"/>
      <c r="B3930" s="953" t="s">
        <v>5403</v>
      </c>
      <c r="C3930" s="907">
        <v>866</v>
      </c>
      <c r="D3930" s="907" t="s">
        <v>93</v>
      </c>
      <c r="E3930" s="925" t="s">
        <v>5404</v>
      </c>
      <c r="F3930" s="909" t="s">
        <v>2673</v>
      </c>
      <c r="G3930" s="910"/>
      <c r="H3930" s="911">
        <v>0.08</v>
      </c>
      <c r="I3930" s="912"/>
      <c r="J3930" s="912"/>
      <c r="K3930" s="912"/>
      <c r="L3930" s="912"/>
      <c r="M3930" s="912">
        <f>VLOOKUP(B3930,MTC!$B$9:$S$933,12,0)</f>
        <v>0</v>
      </c>
      <c r="N3930" s="912">
        <f>M3930*H3930</f>
        <v>0</v>
      </c>
      <c r="O3930" s="892">
        <f t="shared" si="244"/>
        <v>0</v>
      </c>
      <c r="P3930" s="903">
        <f t="shared" si="245"/>
        <v>1</v>
      </c>
      <c r="Q3930" s="893">
        <f t="shared" si="246"/>
        <v>1</v>
      </c>
      <c r="R3930" s="894">
        <f t="shared" si="247"/>
        <v>0</v>
      </c>
    </row>
    <row r="3931" spans="1:18" s="847" customFormat="1">
      <c r="A3931" s="905"/>
      <c r="B3931" s="914" t="s">
        <v>5032</v>
      </c>
      <c r="C3931" s="915"/>
      <c r="D3931" s="915"/>
      <c r="E3931" s="916" t="s">
        <v>5422</v>
      </c>
      <c r="F3931" s="917" t="s">
        <v>1206</v>
      </c>
      <c r="G3931" s="918"/>
      <c r="H3931" s="919"/>
      <c r="I3931" s="920"/>
      <c r="J3931" s="891">
        <f>SUM(J3932:J3939)</f>
        <v>10950</v>
      </c>
      <c r="K3931" s="891"/>
      <c r="L3931" s="891">
        <f>SUM(L3932:L3939)</f>
        <v>239189.88</v>
      </c>
      <c r="M3931" s="891"/>
      <c r="N3931" s="891">
        <f>SUM(N3932:N3939)</f>
        <v>0</v>
      </c>
      <c r="O3931" s="892">
        <f t="shared" si="244"/>
        <v>1</v>
      </c>
      <c r="P3931" s="903">
        <f t="shared" si="245"/>
        <v>0</v>
      </c>
      <c r="Q3931" s="893">
        <f t="shared" si="246"/>
        <v>0</v>
      </c>
      <c r="R3931" s="894">
        <f t="shared" si="247"/>
        <v>8</v>
      </c>
    </row>
    <row r="3932" spans="1:18" s="904" customFormat="1">
      <c r="A3932" s="895"/>
      <c r="B3932" s="896"/>
      <c r="C3932" s="897"/>
      <c r="D3932" s="897"/>
      <c r="E3932" s="898" t="s">
        <v>108</v>
      </c>
      <c r="F3932" s="899"/>
      <c r="G3932" s="900"/>
      <c r="H3932" s="901"/>
      <c r="I3932" s="902"/>
      <c r="J3932" s="902"/>
      <c r="K3932" s="912" t="s">
        <v>274</v>
      </c>
      <c r="L3932" s="902"/>
      <c r="M3932" s="902"/>
      <c r="N3932" s="902"/>
      <c r="O3932" s="892">
        <f t="shared" si="244"/>
        <v>0</v>
      </c>
      <c r="P3932" s="903">
        <f t="shared" si="245"/>
        <v>1</v>
      </c>
      <c r="Q3932" s="893">
        <f t="shared" si="246"/>
        <v>8</v>
      </c>
      <c r="R3932" s="894">
        <f t="shared" si="247"/>
        <v>0</v>
      </c>
    </row>
    <row r="3933" spans="1:18">
      <c r="A3933" s="905"/>
      <c r="B3933" s="906"/>
      <c r="C3933" s="907">
        <v>90</v>
      </c>
      <c r="D3933" s="907" t="s">
        <v>279</v>
      </c>
      <c r="E3933" s="925" t="s">
        <v>3205</v>
      </c>
      <c r="F3933" s="926" t="s">
        <v>45</v>
      </c>
      <c r="G3933" s="910"/>
      <c r="H3933" s="911">
        <v>0.1</v>
      </c>
      <c r="I3933" s="912">
        <f>VLOOKUP(E3933,[3]VLP!$B$7:$K$300,10,0)</f>
        <v>65000</v>
      </c>
      <c r="J3933" s="912">
        <f>I3933*H3933</f>
        <v>6500</v>
      </c>
      <c r="K3933" s="912" t="s">
        <v>274</v>
      </c>
      <c r="L3933" s="912"/>
      <c r="M3933" s="912"/>
      <c r="N3933" s="912"/>
      <c r="O3933" s="892">
        <f t="shared" ref="O3933:O3996" si="248">IF(AND(B3933&lt;&gt;"",D3933=""),1,0)</f>
        <v>0</v>
      </c>
      <c r="P3933" s="903">
        <f t="shared" si="245"/>
        <v>1</v>
      </c>
      <c r="Q3933" s="893">
        <f t="shared" si="246"/>
        <v>7</v>
      </c>
      <c r="R3933" s="894">
        <f t="shared" si="247"/>
        <v>0</v>
      </c>
    </row>
    <row r="3934" spans="1:18">
      <c r="A3934" s="905"/>
      <c r="B3934" s="906"/>
      <c r="C3934" s="907">
        <v>44</v>
      </c>
      <c r="D3934" s="907" t="s">
        <v>279</v>
      </c>
      <c r="E3934" s="925" t="s">
        <v>2681</v>
      </c>
      <c r="F3934" s="926" t="s">
        <v>45</v>
      </c>
      <c r="G3934" s="910"/>
      <c r="H3934" s="911">
        <v>0.15</v>
      </c>
      <c r="I3934" s="912">
        <f>VLOOKUP(E3934,[3]VLP!$B$7:$K$300,10,0)</f>
        <v>23000</v>
      </c>
      <c r="J3934" s="912">
        <f>I3934*H3934</f>
        <v>3450</v>
      </c>
      <c r="K3934" s="912" t="s">
        <v>274</v>
      </c>
      <c r="L3934" s="912"/>
      <c r="M3934" s="912"/>
      <c r="N3934" s="912"/>
      <c r="O3934" s="892">
        <f t="shared" si="248"/>
        <v>0</v>
      </c>
      <c r="P3934" s="903">
        <f t="shared" si="245"/>
        <v>1</v>
      </c>
      <c r="Q3934" s="893">
        <f t="shared" si="246"/>
        <v>6</v>
      </c>
      <c r="R3934" s="894">
        <f t="shared" si="247"/>
        <v>0</v>
      </c>
    </row>
    <row r="3935" spans="1:18">
      <c r="A3935" s="905"/>
      <c r="B3935" s="906"/>
      <c r="C3935" s="907">
        <v>66</v>
      </c>
      <c r="D3935" s="907" t="s">
        <v>279</v>
      </c>
      <c r="E3935" s="925" t="s">
        <v>2682</v>
      </c>
      <c r="F3935" s="926" t="s">
        <v>45</v>
      </c>
      <c r="G3935" s="910"/>
      <c r="H3935" s="911">
        <v>0.2</v>
      </c>
      <c r="I3935" s="912">
        <f>VLOOKUP(E3935,[3]VLP!$B$7:$K$300,10,0)</f>
        <v>5000</v>
      </c>
      <c r="J3935" s="912">
        <f>I3935*H3935</f>
        <v>1000</v>
      </c>
      <c r="K3935" s="912" t="s">
        <v>274</v>
      </c>
      <c r="L3935" s="912"/>
      <c r="M3935" s="912"/>
      <c r="N3935" s="912"/>
      <c r="O3935" s="892">
        <f t="shared" si="248"/>
        <v>0</v>
      </c>
      <c r="P3935" s="903">
        <f t="shared" si="245"/>
        <v>1</v>
      </c>
      <c r="Q3935" s="893">
        <f t="shared" si="246"/>
        <v>5</v>
      </c>
      <c r="R3935" s="894">
        <f t="shared" si="247"/>
        <v>0</v>
      </c>
    </row>
    <row r="3936" spans="1:18" s="904" customFormat="1">
      <c r="A3936" s="895"/>
      <c r="B3936" s="896"/>
      <c r="C3936" s="897"/>
      <c r="D3936" s="897"/>
      <c r="E3936" s="924" t="s">
        <v>276</v>
      </c>
      <c r="F3936" s="927"/>
      <c r="G3936" s="928"/>
      <c r="H3936" s="901"/>
      <c r="I3936" s="902"/>
      <c r="J3936" s="902"/>
      <c r="K3936" s="912" t="s">
        <v>274</v>
      </c>
      <c r="L3936" s="902"/>
      <c r="M3936" s="902"/>
      <c r="N3936" s="902"/>
      <c r="O3936" s="892">
        <f t="shared" si="248"/>
        <v>0</v>
      </c>
      <c r="P3936" s="903">
        <f t="shared" si="245"/>
        <v>1</v>
      </c>
      <c r="Q3936" s="893">
        <f t="shared" si="246"/>
        <v>4</v>
      </c>
      <c r="R3936" s="894">
        <f t="shared" si="247"/>
        <v>0</v>
      </c>
    </row>
    <row r="3937" spans="1:18">
      <c r="A3937" s="905"/>
      <c r="B3937" s="906"/>
      <c r="C3937" s="907">
        <v>750</v>
      </c>
      <c r="D3937" s="907" t="s">
        <v>12</v>
      </c>
      <c r="E3937" s="908" t="s">
        <v>5402</v>
      </c>
      <c r="F3937" s="909" t="s">
        <v>2674</v>
      </c>
      <c r="G3937" s="910"/>
      <c r="H3937" s="911">
        <v>0.92</v>
      </c>
      <c r="I3937" s="912"/>
      <c r="J3937" s="912"/>
      <c r="K3937" s="912">
        <f>VLOOKUP(E3937,[5]ĐMNC!$A$7:$F$67,4,0)</f>
        <v>259989</v>
      </c>
      <c r="L3937" s="912">
        <f>H3937*K3937</f>
        <v>239189.88</v>
      </c>
      <c r="M3937" s="912"/>
      <c r="N3937" s="912"/>
      <c r="O3937" s="892">
        <f t="shared" si="248"/>
        <v>0</v>
      </c>
      <c r="P3937" s="903">
        <f t="shared" si="245"/>
        <v>1</v>
      </c>
      <c r="Q3937" s="893">
        <f t="shared" si="246"/>
        <v>3</v>
      </c>
      <c r="R3937" s="894">
        <f t="shared" si="247"/>
        <v>0</v>
      </c>
    </row>
    <row r="3938" spans="1:18" s="904" customFormat="1">
      <c r="A3938" s="895"/>
      <c r="B3938" s="896"/>
      <c r="C3938" s="897"/>
      <c r="D3938" s="897"/>
      <c r="E3938" s="898" t="s">
        <v>3914</v>
      </c>
      <c r="F3938" s="899"/>
      <c r="G3938" s="928"/>
      <c r="H3938" s="901"/>
      <c r="I3938" s="902"/>
      <c r="J3938" s="902"/>
      <c r="K3938" s="912" t="s">
        <v>274</v>
      </c>
      <c r="L3938" s="902"/>
      <c r="M3938" s="902"/>
      <c r="N3938" s="902"/>
      <c r="O3938" s="892">
        <f t="shared" si="248"/>
        <v>0</v>
      </c>
      <c r="P3938" s="903">
        <f t="shared" si="245"/>
        <v>1</v>
      </c>
      <c r="Q3938" s="893">
        <f t="shared" si="246"/>
        <v>2</v>
      </c>
      <c r="R3938" s="894">
        <f t="shared" si="247"/>
        <v>0</v>
      </c>
    </row>
    <row r="3939" spans="1:18">
      <c r="A3939" s="905"/>
      <c r="B3939" s="953" t="s">
        <v>5403</v>
      </c>
      <c r="C3939" s="907">
        <v>866</v>
      </c>
      <c r="D3939" s="907" t="s">
        <v>93</v>
      </c>
      <c r="E3939" s="925" t="s">
        <v>5404</v>
      </c>
      <c r="F3939" s="909" t="s">
        <v>2673</v>
      </c>
      <c r="G3939" s="910"/>
      <c r="H3939" s="911">
        <v>0.1</v>
      </c>
      <c r="I3939" s="912"/>
      <c r="J3939" s="912"/>
      <c r="K3939" s="912"/>
      <c r="L3939" s="912"/>
      <c r="M3939" s="912">
        <f>VLOOKUP(B3939,MTC!$B$9:$S$933,12,0)</f>
        <v>0</v>
      </c>
      <c r="N3939" s="912">
        <f>M3939*H3939</f>
        <v>0</v>
      </c>
      <c r="O3939" s="892">
        <f t="shared" si="248"/>
        <v>0</v>
      </c>
      <c r="P3939" s="903">
        <f t="shared" si="245"/>
        <v>1</v>
      </c>
      <c r="Q3939" s="893">
        <f t="shared" si="246"/>
        <v>1</v>
      </c>
      <c r="R3939" s="894">
        <f t="shared" si="247"/>
        <v>0</v>
      </c>
    </row>
    <row r="3940" spans="1:18" s="847" customFormat="1">
      <c r="A3940" s="905"/>
      <c r="B3940" s="914" t="s">
        <v>5034</v>
      </c>
      <c r="C3940" s="915"/>
      <c r="D3940" s="915"/>
      <c r="E3940" s="916" t="s">
        <v>5423</v>
      </c>
      <c r="F3940" s="917" t="s">
        <v>1206</v>
      </c>
      <c r="G3940" s="918"/>
      <c r="H3940" s="919"/>
      <c r="I3940" s="920"/>
      <c r="J3940" s="891">
        <f>SUM(J3941:J3948)</f>
        <v>10950</v>
      </c>
      <c r="K3940" s="891"/>
      <c r="L3940" s="891">
        <f>SUM(L3941:L3948)</f>
        <v>254789.22</v>
      </c>
      <c r="M3940" s="891"/>
      <c r="N3940" s="891">
        <f>SUM(N3941:N3948)</f>
        <v>0</v>
      </c>
      <c r="O3940" s="892">
        <f t="shared" si="248"/>
        <v>1</v>
      </c>
      <c r="P3940" s="903">
        <f t="shared" si="245"/>
        <v>0</v>
      </c>
      <c r="Q3940" s="893">
        <f t="shared" si="246"/>
        <v>0</v>
      </c>
      <c r="R3940" s="894">
        <f t="shared" si="247"/>
        <v>8</v>
      </c>
    </row>
    <row r="3941" spans="1:18" s="904" customFormat="1">
      <c r="A3941" s="895"/>
      <c r="B3941" s="896"/>
      <c r="C3941" s="897"/>
      <c r="D3941" s="897"/>
      <c r="E3941" s="898" t="s">
        <v>108</v>
      </c>
      <c r="F3941" s="899"/>
      <c r="G3941" s="900"/>
      <c r="H3941" s="901"/>
      <c r="I3941" s="902"/>
      <c r="J3941" s="902"/>
      <c r="K3941" s="912" t="s">
        <v>274</v>
      </c>
      <c r="L3941" s="902"/>
      <c r="M3941" s="902"/>
      <c r="N3941" s="902"/>
      <c r="O3941" s="892">
        <f t="shared" si="248"/>
        <v>0</v>
      </c>
      <c r="P3941" s="903">
        <f t="shared" si="245"/>
        <v>1</v>
      </c>
      <c r="Q3941" s="893">
        <f t="shared" si="246"/>
        <v>8</v>
      </c>
      <c r="R3941" s="894">
        <f t="shared" si="247"/>
        <v>0</v>
      </c>
    </row>
    <row r="3942" spans="1:18">
      <c r="A3942" s="905"/>
      <c r="B3942" s="906"/>
      <c r="C3942" s="907">
        <v>90</v>
      </c>
      <c r="D3942" s="907" t="s">
        <v>279</v>
      </c>
      <c r="E3942" s="925" t="s">
        <v>3205</v>
      </c>
      <c r="F3942" s="926" t="s">
        <v>45</v>
      </c>
      <c r="G3942" s="910"/>
      <c r="H3942" s="911">
        <v>0.1</v>
      </c>
      <c r="I3942" s="912">
        <f>VLOOKUP(E3942,[3]VLP!$B$7:$K$300,10,0)</f>
        <v>65000</v>
      </c>
      <c r="J3942" s="912">
        <f>I3942*H3942</f>
        <v>6500</v>
      </c>
      <c r="K3942" s="912" t="s">
        <v>274</v>
      </c>
      <c r="L3942" s="912"/>
      <c r="M3942" s="912"/>
      <c r="N3942" s="912"/>
      <c r="O3942" s="892">
        <f t="shared" si="248"/>
        <v>0</v>
      </c>
      <c r="P3942" s="903">
        <f t="shared" ref="P3942:P4006" si="249">IF(O3942=0,1,0)</f>
        <v>1</v>
      </c>
      <c r="Q3942" s="893">
        <f t="shared" ref="Q3942:Q4006" si="250">IF(P3942=0,0,P3942+Q3943)</f>
        <v>7</v>
      </c>
      <c r="R3942" s="894">
        <f t="shared" ref="R3942:R4006" si="251">IF(Q3942=0,Q3943,0)</f>
        <v>0</v>
      </c>
    </row>
    <row r="3943" spans="1:18">
      <c r="A3943" s="905"/>
      <c r="B3943" s="906"/>
      <c r="C3943" s="907">
        <v>44</v>
      </c>
      <c r="D3943" s="907" t="s">
        <v>279</v>
      </c>
      <c r="E3943" s="925" t="s">
        <v>2681</v>
      </c>
      <c r="F3943" s="926" t="s">
        <v>45</v>
      </c>
      <c r="G3943" s="910"/>
      <c r="H3943" s="911">
        <v>0.15</v>
      </c>
      <c r="I3943" s="912">
        <f>VLOOKUP(E3943,[3]VLP!$B$7:$K$300,10,0)</f>
        <v>23000</v>
      </c>
      <c r="J3943" s="912">
        <f>I3943*H3943</f>
        <v>3450</v>
      </c>
      <c r="K3943" s="912" t="s">
        <v>274</v>
      </c>
      <c r="L3943" s="912"/>
      <c r="M3943" s="912"/>
      <c r="N3943" s="912"/>
      <c r="O3943" s="892">
        <f t="shared" si="248"/>
        <v>0</v>
      </c>
      <c r="P3943" s="903">
        <f t="shared" si="249"/>
        <v>1</v>
      </c>
      <c r="Q3943" s="893">
        <f t="shared" si="250"/>
        <v>6</v>
      </c>
      <c r="R3943" s="894">
        <f t="shared" si="251"/>
        <v>0</v>
      </c>
    </row>
    <row r="3944" spans="1:18">
      <c r="A3944" s="905"/>
      <c r="B3944" s="906"/>
      <c r="C3944" s="907">
        <v>66</v>
      </c>
      <c r="D3944" s="907" t="s">
        <v>279</v>
      </c>
      <c r="E3944" s="925" t="s">
        <v>2682</v>
      </c>
      <c r="F3944" s="926" t="s">
        <v>45</v>
      </c>
      <c r="G3944" s="910"/>
      <c r="H3944" s="911">
        <v>0.2</v>
      </c>
      <c r="I3944" s="912">
        <f>VLOOKUP(E3944,[3]VLP!$B$7:$K$300,10,0)</f>
        <v>5000</v>
      </c>
      <c r="J3944" s="912">
        <f>I3944*H3944</f>
        <v>1000</v>
      </c>
      <c r="K3944" s="912" t="s">
        <v>274</v>
      </c>
      <c r="L3944" s="912"/>
      <c r="M3944" s="912"/>
      <c r="N3944" s="912"/>
      <c r="O3944" s="892">
        <f t="shared" si="248"/>
        <v>0</v>
      </c>
      <c r="P3944" s="903">
        <f t="shared" si="249"/>
        <v>1</v>
      </c>
      <c r="Q3944" s="893">
        <f t="shared" si="250"/>
        <v>5</v>
      </c>
      <c r="R3944" s="894">
        <f t="shared" si="251"/>
        <v>0</v>
      </c>
    </row>
    <row r="3945" spans="1:18" s="904" customFormat="1">
      <c r="A3945" s="895"/>
      <c r="B3945" s="896"/>
      <c r="C3945" s="897"/>
      <c r="D3945" s="897"/>
      <c r="E3945" s="924" t="s">
        <v>276</v>
      </c>
      <c r="F3945" s="927"/>
      <c r="G3945" s="928"/>
      <c r="H3945" s="901"/>
      <c r="I3945" s="902"/>
      <c r="J3945" s="902"/>
      <c r="K3945" s="912" t="s">
        <v>274</v>
      </c>
      <c r="L3945" s="902"/>
      <c r="M3945" s="902"/>
      <c r="N3945" s="902"/>
      <c r="O3945" s="892">
        <f t="shared" si="248"/>
        <v>0</v>
      </c>
      <c r="P3945" s="903">
        <f t="shared" si="249"/>
        <v>1</v>
      </c>
      <c r="Q3945" s="893">
        <f t="shared" si="250"/>
        <v>4</v>
      </c>
      <c r="R3945" s="894">
        <f t="shared" si="251"/>
        <v>0</v>
      </c>
    </row>
    <row r="3946" spans="1:18">
      <c r="A3946" s="905"/>
      <c r="B3946" s="906"/>
      <c r="C3946" s="907">
        <v>750</v>
      </c>
      <c r="D3946" s="907" t="s">
        <v>12</v>
      </c>
      <c r="E3946" s="908" t="s">
        <v>5402</v>
      </c>
      <c r="F3946" s="909" t="s">
        <v>2674</v>
      </c>
      <c r="G3946" s="910"/>
      <c r="H3946" s="911">
        <v>0.98</v>
      </c>
      <c r="I3946" s="912"/>
      <c r="J3946" s="912"/>
      <c r="K3946" s="912">
        <f>VLOOKUP(E3946,[5]ĐMNC!$A$7:$F$67,4,0)</f>
        <v>259989</v>
      </c>
      <c r="L3946" s="912">
        <f>H3946*K3946</f>
        <v>254789.22</v>
      </c>
      <c r="M3946" s="912"/>
      <c r="N3946" s="912"/>
      <c r="O3946" s="892">
        <f t="shared" si="248"/>
        <v>0</v>
      </c>
      <c r="P3946" s="903">
        <f t="shared" si="249"/>
        <v>1</v>
      </c>
      <c r="Q3946" s="893">
        <f t="shared" si="250"/>
        <v>3</v>
      </c>
      <c r="R3946" s="894">
        <f t="shared" si="251"/>
        <v>0</v>
      </c>
    </row>
    <row r="3947" spans="1:18" s="904" customFormat="1">
      <c r="A3947" s="895"/>
      <c r="B3947" s="896"/>
      <c r="C3947" s="897"/>
      <c r="D3947" s="897"/>
      <c r="E3947" s="898" t="s">
        <v>3914</v>
      </c>
      <c r="F3947" s="899"/>
      <c r="G3947" s="928"/>
      <c r="H3947" s="901"/>
      <c r="I3947" s="902"/>
      <c r="J3947" s="902"/>
      <c r="K3947" s="912" t="s">
        <v>274</v>
      </c>
      <c r="L3947" s="902"/>
      <c r="M3947" s="902"/>
      <c r="N3947" s="902"/>
      <c r="O3947" s="892">
        <f t="shared" si="248"/>
        <v>0</v>
      </c>
      <c r="P3947" s="903">
        <f t="shared" si="249"/>
        <v>1</v>
      </c>
      <c r="Q3947" s="893">
        <f t="shared" si="250"/>
        <v>2</v>
      </c>
      <c r="R3947" s="894">
        <f t="shared" si="251"/>
        <v>0</v>
      </c>
    </row>
    <row r="3948" spans="1:18">
      <c r="A3948" s="905"/>
      <c r="B3948" s="953" t="s">
        <v>5403</v>
      </c>
      <c r="C3948" s="907">
        <v>866</v>
      </c>
      <c r="D3948" s="907" t="s">
        <v>93</v>
      </c>
      <c r="E3948" s="925" t="s">
        <v>5404</v>
      </c>
      <c r="F3948" s="909" t="s">
        <v>2673</v>
      </c>
      <c r="G3948" s="910"/>
      <c r="H3948" s="911">
        <v>0.1</v>
      </c>
      <c r="I3948" s="912"/>
      <c r="J3948" s="912"/>
      <c r="K3948" s="912"/>
      <c r="L3948" s="912"/>
      <c r="M3948" s="912">
        <f>VLOOKUP(B3948,MTC!$B$9:$S$933,12,0)</f>
        <v>0</v>
      </c>
      <c r="N3948" s="912">
        <f>M3948*H3948</f>
        <v>0</v>
      </c>
      <c r="O3948" s="892">
        <f t="shared" si="248"/>
        <v>0</v>
      </c>
      <c r="P3948" s="903">
        <f t="shared" si="249"/>
        <v>1</v>
      </c>
      <c r="Q3948" s="893">
        <f t="shared" si="250"/>
        <v>1</v>
      </c>
      <c r="R3948" s="894">
        <f t="shared" si="251"/>
        <v>0</v>
      </c>
    </row>
    <row r="3949" spans="1:18" s="847" customFormat="1">
      <c r="A3949" s="905"/>
      <c r="B3949" s="914" t="s">
        <v>5036</v>
      </c>
      <c r="C3949" s="915"/>
      <c r="D3949" s="915"/>
      <c r="E3949" s="916" t="s">
        <v>5424</v>
      </c>
      <c r="F3949" s="917" t="s">
        <v>1206</v>
      </c>
      <c r="G3949" s="918"/>
      <c r="H3949" s="919"/>
      <c r="I3949" s="920"/>
      <c r="J3949" s="891">
        <f>SUM(J3950:J3957)</f>
        <v>10950</v>
      </c>
      <c r="K3949" s="891"/>
      <c r="L3949" s="891">
        <f>SUM(L3950:L3957)</f>
        <v>309386.90999999997</v>
      </c>
      <c r="M3949" s="891"/>
      <c r="N3949" s="891">
        <f>SUM(N3950:N3957)</f>
        <v>0</v>
      </c>
      <c r="O3949" s="892">
        <f t="shared" si="248"/>
        <v>1</v>
      </c>
      <c r="P3949" s="903">
        <f t="shared" si="249"/>
        <v>0</v>
      </c>
      <c r="Q3949" s="893">
        <f t="shared" si="250"/>
        <v>0</v>
      </c>
      <c r="R3949" s="894">
        <f t="shared" si="251"/>
        <v>8</v>
      </c>
    </row>
    <row r="3950" spans="1:18" s="904" customFormat="1">
      <c r="A3950" s="895"/>
      <c r="B3950" s="896"/>
      <c r="C3950" s="897"/>
      <c r="D3950" s="897"/>
      <c r="E3950" s="898" t="s">
        <v>108</v>
      </c>
      <c r="F3950" s="899"/>
      <c r="G3950" s="900"/>
      <c r="H3950" s="901"/>
      <c r="I3950" s="902"/>
      <c r="J3950" s="902"/>
      <c r="K3950" s="912" t="s">
        <v>274</v>
      </c>
      <c r="L3950" s="902"/>
      <c r="M3950" s="902"/>
      <c r="N3950" s="902"/>
      <c r="O3950" s="892">
        <f t="shared" si="248"/>
        <v>0</v>
      </c>
      <c r="P3950" s="903">
        <f t="shared" si="249"/>
        <v>1</v>
      </c>
      <c r="Q3950" s="893">
        <f t="shared" si="250"/>
        <v>8</v>
      </c>
      <c r="R3950" s="894">
        <f t="shared" si="251"/>
        <v>0</v>
      </c>
    </row>
    <row r="3951" spans="1:18">
      <c r="A3951" s="905"/>
      <c r="B3951" s="906"/>
      <c r="C3951" s="907">
        <v>90</v>
      </c>
      <c r="D3951" s="907" t="s">
        <v>279</v>
      </c>
      <c r="E3951" s="925" t="s">
        <v>3205</v>
      </c>
      <c r="F3951" s="926" t="s">
        <v>45</v>
      </c>
      <c r="G3951" s="910"/>
      <c r="H3951" s="911">
        <v>0.1</v>
      </c>
      <c r="I3951" s="912">
        <f>VLOOKUP(E3951,[3]VLP!$B$7:$K$300,10,0)</f>
        <v>65000</v>
      </c>
      <c r="J3951" s="912">
        <f>I3951*H3951</f>
        <v>6500</v>
      </c>
      <c r="K3951" s="912" t="s">
        <v>274</v>
      </c>
      <c r="L3951" s="912"/>
      <c r="M3951" s="912"/>
      <c r="N3951" s="912"/>
      <c r="O3951" s="892">
        <f t="shared" si="248"/>
        <v>0</v>
      </c>
      <c r="P3951" s="903">
        <f t="shared" si="249"/>
        <v>1</v>
      </c>
      <c r="Q3951" s="893">
        <f t="shared" si="250"/>
        <v>7</v>
      </c>
      <c r="R3951" s="894">
        <f t="shared" si="251"/>
        <v>0</v>
      </c>
    </row>
    <row r="3952" spans="1:18">
      <c r="A3952" s="905"/>
      <c r="B3952" s="906"/>
      <c r="C3952" s="907">
        <v>44</v>
      </c>
      <c r="D3952" s="907" t="s">
        <v>279</v>
      </c>
      <c r="E3952" s="925" t="s">
        <v>2681</v>
      </c>
      <c r="F3952" s="926" t="s">
        <v>45</v>
      </c>
      <c r="G3952" s="910"/>
      <c r="H3952" s="911">
        <v>0.15</v>
      </c>
      <c r="I3952" s="912">
        <f>VLOOKUP(E3952,[3]VLP!$B$7:$K$300,10,0)</f>
        <v>23000</v>
      </c>
      <c r="J3952" s="912">
        <f>I3952*H3952</f>
        <v>3450</v>
      </c>
      <c r="K3952" s="912" t="s">
        <v>274</v>
      </c>
      <c r="L3952" s="912"/>
      <c r="M3952" s="912"/>
      <c r="N3952" s="912"/>
      <c r="O3952" s="892">
        <f t="shared" si="248"/>
        <v>0</v>
      </c>
      <c r="P3952" s="903">
        <f t="shared" si="249"/>
        <v>1</v>
      </c>
      <c r="Q3952" s="893">
        <f t="shared" si="250"/>
        <v>6</v>
      </c>
      <c r="R3952" s="894">
        <f t="shared" si="251"/>
        <v>0</v>
      </c>
    </row>
    <row r="3953" spans="1:18">
      <c r="A3953" s="905"/>
      <c r="B3953" s="906"/>
      <c r="C3953" s="907">
        <v>66</v>
      </c>
      <c r="D3953" s="907" t="s">
        <v>279</v>
      </c>
      <c r="E3953" s="925" t="s">
        <v>2682</v>
      </c>
      <c r="F3953" s="926" t="s">
        <v>45</v>
      </c>
      <c r="G3953" s="910"/>
      <c r="H3953" s="911">
        <v>0.2</v>
      </c>
      <c r="I3953" s="912">
        <f>VLOOKUP(E3953,[3]VLP!$B$7:$K$300,10,0)</f>
        <v>5000</v>
      </c>
      <c r="J3953" s="912">
        <f>I3953*H3953</f>
        <v>1000</v>
      </c>
      <c r="K3953" s="912" t="s">
        <v>274</v>
      </c>
      <c r="L3953" s="912"/>
      <c r="M3953" s="912"/>
      <c r="N3953" s="912"/>
      <c r="O3953" s="892">
        <f t="shared" si="248"/>
        <v>0</v>
      </c>
      <c r="P3953" s="903">
        <f t="shared" si="249"/>
        <v>1</v>
      </c>
      <c r="Q3953" s="893">
        <f t="shared" si="250"/>
        <v>5</v>
      </c>
      <c r="R3953" s="894">
        <f t="shared" si="251"/>
        <v>0</v>
      </c>
    </row>
    <row r="3954" spans="1:18" s="904" customFormat="1">
      <c r="A3954" s="895"/>
      <c r="B3954" s="896"/>
      <c r="C3954" s="897"/>
      <c r="D3954" s="897"/>
      <c r="E3954" s="924" t="s">
        <v>276</v>
      </c>
      <c r="F3954" s="927"/>
      <c r="G3954" s="928"/>
      <c r="H3954" s="901"/>
      <c r="I3954" s="902"/>
      <c r="J3954" s="902"/>
      <c r="K3954" s="912" t="s">
        <v>274</v>
      </c>
      <c r="L3954" s="902"/>
      <c r="M3954" s="902"/>
      <c r="N3954" s="902"/>
      <c r="O3954" s="892">
        <f t="shared" si="248"/>
        <v>0</v>
      </c>
      <c r="P3954" s="903">
        <f t="shared" si="249"/>
        <v>1</v>
      </c>
      <c r="Q3954" s="893">
        <f t="shared" si="250"/>
        <v>4</v>
      </c>
      <c r="R3954" s="894">
        <f t="shared" si="251"/>
        <v>0</v>
      </c>
    </row>
    <row r="3955" spans="1:18">
      <c r="A3955" s="905"/>
      <c r="B3955" s="906"/>
      <c r="C3955" s="907">
        <v>750</v>
      </c>
      <c r="D3955" s="907" t="s">
        <v>12</v>
      </c>
      <c r="E3955" s="908" t="s">
        <v>5402</v>
      </c>
      <c r="F3955" s="909" t="s">
        <v>2674</v>
      </c>
      <c r="G3955" s="910"/>
      <c r="H3955" s="911">
        <v>1.19</v>
      </c>
      <c r="I3955" s="912"/>
      <c r="J3955" s="912"/>
      <c r="K3955" s="912">
        <f>VLOOKUP(E3955,[5]ĐMNC!$A$7:$F$67,4,0)</f>
        <v>259989</v>
      </c>
      <c r="L3955" s="912">
        <f>H3955*K3955</f>
        <v>309386.90999999997</v>
      </c>
      <c r="M3955" s="912"/>
      <c r="N3955" s="912"/>
      <c r="O3955" s="892">
        <f t="shared" si="248"/>
        <v>0</v>
      </c>
      <c r="P3955" s="903">
        <f t="shared" si="249"/>
        <v>1</v>
      </c>
      <c r="Q3955" s="893">
        <f t="shared" si="250"/>
        <v>3</v>
      </c>
      <c r="R3955" s="894">
        <f t="shared" si="251"/>
        <v>0</v>
      </c>
    </row>
    <row r="3956" spans="1:18" s="904" customFormat="1">
      <c r="A3956" s="895"/>
      <c r="B3956" s="896"/>
      <c r="C3956" s="897"/>
      <c r="D3956" s="897"/>
      <c r="E3956" s="898" t="s">
        <v>3914</v>
      </c>
      <c r="F3956" s="899"/>
      <c r="G3956" s="928"/>
      <c r="H3956" s="901"/>
      <c r="I3956" s="902"/>
      <c r="J3956" s="902"/>
      <c r="K3956" s="912" t="s">
        <v>274</v>
      </c>
      <c r="L3956" s="902"/>
      <c r="M3956" s="902"/>
      <c r="N3956" s="902"/>
      <c r="O3956" s="892">
        <f t="shared" si="248"/>
        <v>0</v>
      </c>
      <c r="P3956" s="903">
        <f t="shared" si="249"/>
        <v>1</v>
      </c>
      <c r="Q3956" s="893">
        <f t="shared" si="250"/>
        <v>2</v>
      </c>
      <c r="R3956" s="894">
        <f t="shared" si="251"/>
        <v>0</v>
      </c>
    </row>
    <row r="3957" spans="1:18">
      <c r="A3957" s="905"/>
      <c r="B3957" s="953" t="s">
        <v>5403</v>
      </c>
      <c r="C3957" s="907">
        <v>866</v>
      </c>
      <c r="D3957" s="907" t="s">
        <v>93</v>
      </c>
      <c r="E3957" s="925" t="s">
        <v>5404</v>
      </c>
      <c r="F3957" s="909" t="s">
        <v>2673</v>
      </c>
      <c r="G3957" s="910"/>
      <c r="H3957" s="911">
        <v>0.1</v>
      </c>
      <c r="I3957" s="912"/>
      <c r="J3957" s="912"/>
      <c r="K3957" s="912"/>
      <c r="L3957" s="912"/>
      <c r="M3957" s="912">
        <f>VLOOKUP(B3957,MTC!$B$9:$S$933,12,0)</f>
        <v>0</v>
      </c>
      <c r="N3957" s="912">
        <f>M3957*H3957</f>
        <v>0</v>
      </c>
      <c r="O3957" s="892">
        <f t="shared" si="248"/>
        <v>0</v>
      </c>
      <c r="P3957" s="903">
        <f t="shared" si="249"/>
        <v>1</v>
      </c>
      <c r="Q3957" s="893">
        <f t="shared" si="250"/>
        <v>1</v>
      </c>
      <c r="R3957" s="894">
        <f t="shared" si="251"/>
        <v>0</v>
      </c>
    </row>
    <row r="3958" spans="1:18" s="847" customFormat="1">
      <c r="A3958" s="905"/>
      <c r="B3958" s="914" t="s">
        <v>5038</v>
      </c>
      <c r="C3958" s="915"/>
      <c r="D3958" s="915"/>
      <c r="E3958" s="916" t="s">
        <v>5425</v>
      </c>
      <c r="F3958" s="917" t="s">
        <v>1206</v>
      </c>
      <c r="G3958" s="918"/>
      <c r="H3958" s="919"/>
      <c r="I3958" s="920"/>
      <c r="J3958" s="891">
        <f>SUM(J3959:J3966)</f>
        <v>10950</v>
      </c>
      <c r="K3958" s="891"/>
      <c r="L3958" s="891">
        <f>SUM(L3959:L3966)</f>
        <v>358784.81999999995</v>
      </c>
      <c r="M3958" s="891"/>
      <c r="N3958" s="891">
        <f>SUM(N3959:N3966)</f>
        <v>0</v>
      </c>
      <c r="O3958" s="892">
        <f t="shared" si="248"/>
        <v>1</v>
      </c>
      <c r="P3958" s="903">
        <f t="shared" si="249"/>
        <v>0</v>
      </c>
      <c r="Q3958" s="893">
        <f t="shared" si="250"/>
        <v>0</v>
      </c>
      <c r="R3958" s="894">
        <f t="shared" si="251"/>
        <v>8</v>
      </c>
    </row>
    <row r="3959" spans="1:18" s="904" customFormat="1">
      <c r="A3959" s="895"/>
      <c r="B3959" s="896"/>
      <c r="C3959" s="897"/>
      <c r="D3959" s="897"/>
      <c r="E3959" s="898" t="s">
        <v>108</v>
      </c>
      <c r="F3959" s="899"/>
      <c r="G3959" s="900"/>
      <c r="H3959" s="901"/>
      <c r="I3959" s="902"/>
      <c r="J3959" s="902"/>
      <c r="K3959" s="912" t="s">
        <v>274</v>
      </c>
      <c r="L3959" s="902"/>
      <c r="M3959" s="902"/>
      <c r="N3959" s="902"/>
      <c r="O3959" s="892">
        <f t="shared" si="248"/>
        <v>0</v>
      </c>
      <c r="P3959" s="903">
        <f t="shared" si="249"/>
        <v>1</v>
      </c>
      <c r="Q3959" s="893">
        <f t="shared" si="250"/>
        <v>8</v>
      </c>
      <c r="R3959" s="894">
        <f t="shared" si="251"/>
        <v>0</v>
      </c>
    </row>
    <row r="3960" spans="1:18">
      <c r="A3960" s="905"/>
      <c r="B3960" s="906"/>
      <c r="C3960" s="907">
        <v>90</v>
      </c>
      <c r="D3960" s="907" t="s">
        <v>279</v>
      </c>
      <c r="E3960" s="925" t="s">
        <v>3205</v>
      </c>
      <c r="F3960" s="926" t="s">
        <v>45</v>
      </c>
      <c r="G3960" s="910"/>
      <c r="H3960" s="911">
        <v>0.1</v>
      </c>
      <c r="I3960" s="912">
        <f>VLOOKUP(E3960,[3]VLP!$B$7:$K$300,10,0)</f>
        <v>65000</v>
      </c>
      <c r="J3960" s="912">
        <f>I3960*H3960</f>
        <v>6500</v>
      </c>
      <c r="K3960" s="912" t="s">
        <v>274</v>
      </c>
      <c r="L3960" s="912"/>
      <c r="M3960" s="912"/>
      <c r="N3960" s="912"/>
      <c r="O3960" s="892">
        <f t="shared" si="248"/>
        <v>0</v>
      </c>
      <c r="P3960" s="903">
        <f t="shared" si="249"/>
        <v>1</v>
      </c>
      <c r="Q3960" s="893">
        <f t="shared" si="250"/>
        <v>7</v>
      </c>
      <c r="R3960" s="894">
        <f t="shared" si="251"/>
        <v>0</v>
      </c>
    </row>
    <row r="3961" spans="1:18">
      <c r="A3961" s="905"/>
      <c r="B3961" s="906"/>
      <c r="C3961" s="907">
        <v>44</v>
      </c>
      <c r="D3961" s="907" t="s">
        <v>279</v>
      </c>
      <c r="E3961" s="925" t="s">
        <v>2681</v>
      </c>
      <c r="F3961" s="926" t="s">
        <v>45</v>
      </c>
      <c r="G3961" s="910"/>
      <c r="H3961" s="911">
        <v>0.15</v>
      </c>
      <c r="I3961" s="912">
        <f>VLOOKUP(E3961,[3]VLP!$B$7:$K$300,10,0)</f>
        <v>23000</v>
      </c>
      <c r="J3961" s="912">
        <f>I3961*H3961</f>
        <v>3450</v>
      </c>
      <c r="K3961" s="912" t="s">
        <v>274</v>
      </c>
      <c r="L3961" s="912"/>
      <c r="M3961" s="912"/>
      <c r="N3961" s="912"/>
      <c r="O3961" s="892">
        <f t="shared" si="248"/>
        <v>0</v>
      </c>
      <c r="P3961" s="903">
        <f t="shared" si="249"/>
        <v>1</v>
      </c>
      <c r="Q3961" s="893">
        <f t="shared" si="250"/>
        <v>6</v>
      </c>
      <c r="R3961" s="894">
        <f t="shared" si="251"/>
        <v>0</v>
      </c>
    </row>
    <row r="3962" spans="1:18">
      <c r="A3962" s="905"/>
      <c r="B3962" s="906"/>
      <c r="C3962" s="907">
        <v>66</v>
      </c>
      <c r="D3962" s="907" t="s">
        <v>279</v>
      </c>
      <c r="E3962" s="925" t="s">
        <v>2682</v>
      </c>
      <c r="F3962" s="926" t="s">
        <v>45</v>
      </c>
      <c r="G3962" s="910"/>
      <c r="H3962" s="911">
        <v>0.2</v>
      </c>
      <c r="I3962" s="912">
        <f>VLOOKUP(E3962,[3]VLP!$B$7:$K$300,10,0)</f>
        <v>5000</v>
      </c>
      <c r="J3962" s="912">
        <f>I3962*H3962</f>
        <v>1000</v>
      </c>
      <c r="K3962" s="912" t="s">
        <v>274</v>
      </c>
      <c r="L3962" s="912"/>
      <c r="M3962" s="912"/>
      <c r="N3962" s="912"/>
      <c r="O3962" s="892">
        <f t="shared" si="248"/>
        <v>0</v>
      </c>
      <c r="P3962" s="903">
        <f t="shared" si="249"/>
        <v>1</v>
      </c>
      <c r="Q3962" s="893">
        <f t="shared" si="250"/>
        <v>5</v>
      </c>
      <c r="R3962" s="894">
        <f t="shared" si="251"/>
        <v>0</v>
      </c>
    </row>
    <row r="3963" spans="1:18" s="904" customFormat="1">
      <c r="A3963" s="895"/>
      <c r="B3963" s="896"/>
      <c r="C3963" s="897"/>
      <c r="D3963" s="897"/>
      <c r="E3963" s="924" t="s">
        <v>276</v>
      </c>
      <c r="F3963" s="927"/>
      <c r="G3963" s="928"/>
      <c r="H3963" s="901"/>
      <c r="I3963" s="902"/>
      <c r="J3963" s="902"/>
      <c r="K3963" s="912" t="s">
        <v>274</v>
      </c>
      <c r="L3963" s="902"/>
      <c r="M3963" s="902"/>
      <c r="N3963" s="902"/>
      <c r="O3963" s="892">
        <f t="shared" si="248"/>
        <v>0</v>
      </c>
      <c r="P3963" s="903">
        <f t="shared" si="249"/>
        <v>1</v>
      </c>
      <c r="Q3963" s="893">
        <f t="shared" si="250"/>
        <v>4</v>
      </c>
      <c r="R3963" s="894">
        <f t="shared" si="251"/>
        <v>0</v>
      </c>
    </row>
    <row r="3964" spans="1:18">
      <c r="A3964" s="905"/>
      <c r="B3964" s="906"/>
      <c r="C3964" s="907">
        <v>750</v>
      </c>
      <c r="D3964" s="907" t="s">
        <v>12</v>
      </c>
      <c r="E3964" s="908" t="s">
        <v>5402</v>
      </c>
      <c r="F3964" s="909" t="s">
        <v>2674</v>
      </c>
      <c r="G3964" s="910"/>
      <c r="H3964" s="911">
        <v>1.38</v>
      </c>
      <c r="I3964" s="912"/>
      <c r="J3964" s="912"/>
      <c r="K3964" s="912">
        <f>VLOOKUP(E3964,[5]ĐMNC!$A$7:$F$67,4,0)</f>
        <v>259989</v>
      </c>
      <c r="L3964" s="912">
        <f>H3964*K3964</f>
        <v>358784.81999999995</v>
      </c>
      <c r="M3964" s="912"/>
      <c r="N3964" s="912"/>
      <c r="O3964" s="892">
        <f t="shared" si="248"/>
        <v>0</v>
      </c>
      <c r="P3964" s="903">
        <f t="shared" si="249"/>
        <v>1</v>
      </c>
      <c r="Q3964" s="893">
        <f t="shared" si="250"/>
        <v>3</v>
      </c>
      <c r="R3964" s="894">
        <f t="shared" si="251"/>
        <v>0</v>
      </c>
    </row>
    <row r="3965" spans="1:18" s="904" customFormat="1">
      <c r="A3965" s="895"/>
      <c r="B3965" s="896"/>
      <c r="C3965" s="897"/>
      <c r="D3965" s="897"/>
      <c r="E3965" s="898" t="s">
        <v>3914</v>
      </c>
      <c r="F3965" s="899"/>
      <c r="G3965" s="928"/>
      <c r="H3965" s="901"/>
      <c r="I3965" s="902"/>
      <c r="J3965" s="902"/>
      <c r="K3965" s="912" t="s">
        <v>274</v>
      </c>
      <c r="L3965" s="902"/>
      <c r="M3965" s="902"/>
      <c r="N3965" s="902"/>
      <c r="O3965" s="892">
        <f t="shared" si="248"/>
        <v>0</v>
      </c>
      <c r="P3965" s="903">
        <f t="shared" si="249"/>
        <v>1</v>
      </c>
      <c r="Q3965" s="893">
        <f t="shared" si="250"/>
        <v>2</v>
      </c>
      <c r="R3965" s="894">
        <f t="shared" si="251"/>
        <v>0</v>
      </c>
    </row>
    <row r="3966" spans="1:18">
      <c r="A3966" s="905"/>
      <c r="B3966" s="953" t="s">
        <v>5403</v>
      </c>
      <c r="C3966" s="907">
        <v>866</v>
      </c>
      <c r="D3966" s="907" t="s">
        <v>93</v>
      </c>
      <c r="E3966" s="925" t="s">
        <v>5404</v>
      </c>
      <c r="F3966" s="909" t="s">
        <v>2673</v>
      </c>
      <c r="G3966" s="910"/>
      <c r="H3966" s="911">
        <v>0.1</v>
      </c>
      <c r="I3966" s="912"/>
      <c r="J3966" s="912"/>
      <c r="K3966" s="912"/>
      <c r="L3966" s="912"/>
      <c r="M3966" s="912">
        <f>VLOOKUP(B3966,MTC!$B$9:$S$933,12,0)</f>
        <v>0</v>
      </c>
      <c r="N3966" s="912">
        <f>M3966*H3966</f>
        <v>0</v>
      </c>
      <c r="O3966" s="892">
        <f t="shared" si="248"/>
        <v>0</v>
      </c>
      <c r="P3966" s="903">
        <f t="shared" si="249"/>
        <v>1</v>
      </c>
      <c r="Q3966" s="893">
        <f t="shared" si="250"/>
        <v>1</v>
      </c>
      <c r="R3966" s="894">
        <f t="shared" si="251"/>
        <v>0</v>
      </c>
    </row>
    <row r="3967" spans="1:18" s="847" customFormat="1">
      <c r="A3967" s="905"/>
      <c r="B3967" s="914" t="s">
        <v>5040</v>
      </c>
      <c r="C3967" s="915"/>
      <c r="D3967" s="915"/>
      <c r="E3967" s="916" t="s">
        <v>5426</v>
      </c>
      <c r="F3967" s="917" t="s">
        <v>1206</v>
      </c>
      <c r="G3967" s="918"/>
      <c r="H3967" s="919"/>
      <c r="I3967" s="920"/>
      <c r="J3967" s="891">
        <f>SUM(J3968:J3975)</f>
        <v>10950</v>
      </c>
      <c r="K3967" s="891"/>
      <c r="L3967" s="891">
        <f>SUM(L3968:L3975)</f>
        <v>431581.74</v>
      </c>
      <c r="M3967" s="891"/>
      <c r="N3967" s="891">
        <f>SUM(N3968:N3975)</f>
        <v>0</v>
      </c>
      <c r="O3967" s="892">
        <f t="shared" si="248"/>
        <v>1</v>
      </c>
      <c r="P3967" s="903">
        <f t="shared" si="249"/>
        <v>0</v>
      </c>
      <c r="Q3967" s="893">
        <f t="shared" si="250"/>
        <v>0</v>
      </c>
      <c r="R3967" s="894">
        <f t="shared" si="251"/>
        <v>8</v>
      </c>
    </row>
    <row r="3968" spans="1:18" s="904" customFormat="1">
      <c r="A3968" s="895"/>
      <c r="B3968" s="896"/>
      <c r="C3968" s="897"/>
      <c r="D3968" s="897"/>
      <c r="E3968" s="898" t="s">
        <v>108</v>
      </c>
      <c r="F3968" s="899"/>
      <c r="G3968" s="900"/>
      <c r="H3968" s="901"/>
      <c r="I3968" s="902"/>
      <c r="J3968" s="902"/>
      <c r="K3968" s="912" t="s">
        <v>274</v>
      </c>
      <c r="L3968" s="902"/>
      <c r="M3968" s="902"/>
      <c r="N3968" s="902"/>
      <c r="O3968" s="892">
        <f t="shared" si="248"/>
        <v>0</v>
      </c>
      <c r="P3968" s="903">
        <f t="shared" si="249"/>
        <v>1</v>
      </c>
      <c r="Q3968" s="893">
        <f t="shared" si="250"/>
        <v>8</v>
      </c>
      <c r="R3968" s="894">
        <f t="shared" si="251"/>
        <v>0</v>
      </c>
    </row>
    <row r="3969" spans="1:18">
      <c r="A3969" s="905"/>
      <c r="B3969" s="906"/>
      <c r="C3969" s="907">
        <v>90</v>
      </c>
      <c r="D3969" s="907" t="s">
        <v>279</v>
      </c>
      <c r="E3969" s="925" t="s">
        <v>3205</v>
      </c>
      <c r="F3969" s="926" t="s">
        <v>45</v>
      </c>
      <c r="G3969" s="910"/>
      <c r="H3969" s="911">
        <v>0.1</v>
      </c>
      <c r="I3969" s="912">
        <f>VLOOKUP(E3969,[3]VLP!$B$7:$K$300,10,0)</f>
        <v>65000</v>
      </c>
      <c r="J3969" s="912">
        <f>I3969*H3969</f>
        <v>6500</v>
      </c>
      <c r="K3969" s="912" t="s">
        <v>274</v>
      </c>
      <c r="L3969" s="912"/>
      <c r="M3969" s="912"/>
      <c r="N3969" s="912"/>
      <c r="O3969" s="892">
        <f t="shared" si="248"/>
        <v>0</v>
      </c>
      <c r="P3969" s="903">
        <f t="shared" si="249"/>
        <v>1</v>
      </c>
      <c r="Q3969" s="893">
        <f t="shared" si="250"/>
        <v>7</v>
      </c>
      <c r="R3969" s="894">
        <f t="shared" si="251"/>
        <v>0</v>
      </c>
    </row>
    <row r="3970" spans="1:18">
      <c r="A3970" s="905"/>
      <c r="B3970" s="906"/>
      <c r="C3970" s="907">
        <v>44</v>
      </c>
      <c r="D3970" s="907" t="s">
        <v>279</v>
      </c>
      <c r="E3970" s="925" t="s">
        <v>2681</v>
      </c>
      <c r="F3970" s="926" t="s">
        <v>45</v>
      </c>
      <c r="G3970" s="910"/>
      <c r="H3970" s="911">
        <v>0.15</v>
      </c>
      <c r="I3970" s="912">
        <f>VLOOKUP(E3970,[3]VLP!$B$7:$K$300,10,0)</f>
        <v>23000</v>
      </c>
      <c r="J3970" s="912">
        <f>I3970*H3970</f>
        <v>3450</v>
      </c>
      <c r="K3970" s="912" t="s">
        <v>274</v>
      </c>
      <c r="L3970" s="912"/>
      <c r="M3970" s="912"/>
      <c r="N3970" s="912"/>
      <c r="O3970" s="892">
        <f t="shared" si="248"/>
        <v>0</v>
      </c>
      <c r="P3970" s="903">
        <f t="shared" si="249"/>
        <v>1</v>
      </c>
      <c r="Q3970" s="893">
        <f t="shared" si="250"/>
        <v>6</v>
      </c>
      <c r="R3970" s="894">
        <f t="shared" si="251"/>
        <v>0</v>
      </c>
    </row>
    <row r="3971" spans="1:18">
      <c r="A3971" s="905"/>
      <c r="B3971" s="906"/>
      <c r="C3971" s="907">
        <v>66</v>
      </c>
      <c r="D3971" s="907" t="s">
        <v>279</v>
      </c>
      <c r="E3971" s="925" t="s">
        <v>2682</v>
      </c>
      <c r="F3971" s="926" t="s">
        <v>45</v>
      </c>
      <c r="G3971" s="910"/>
      <c r="H3971" s="911">
        <v>0.2</v>
      </c>
      <c r="I3971" s="912">
        <f>VLOOKUP(E3971,[3]VLP!$B$7:$K$300,10,0)</f>
        <v>5000</v>
      </c>
      <c r="J3971" s="912">
        <f>I3971*H3971</f>
        <v>1000</v>
      </c>
      <c r="K3971" s="912" t="s">
        <v>274</v>
      </c>
      <c r="L3971" s="912"/>
      <c r="M3971" s="912"/>
      <c r="N3971" s="912"/>
      <c r="O3971" s="892">
        <f t="shared" si="248"/>
        <v>0</v>
      </c>
      <c r="P3971" s="903">
        <f t="shared" si="249"/>
        <v>1</v>
      </c>
      <c r="Q3971" s="893">
        <f t="shared" si="250"/>
        <v>5</v>
      </c>
      <c r="R3971" s="894">
        <f t="shared" si="251"/>
        <v>0</v>
      </c>
    </row>
    <row r="3972" spans="1:18" s="904" customFormat="1">
      <c r="A3972" s="895"/>
      <c r="B3972" s="896"/>
      <c r="C3972" s="897"/>
      <c r="D3972" s="897"/>
      <c r="E3972" s="924" t="s">
        <v>276</v>
      </c>
      <c r="F3972" s="927"/>
      <c r="G3972" s="928"/>
      <c r="H3972" s="901"/>
      <c r="I3972" s="902"/>
      <c r="J3972" s="902"/>
      <c r="K3972" s="912" t="s">
        <v>274</v>
      </c>
      <c r="L3972" s="902"/>
      <c r="M3972" s="902"/>
      <c r="N3972" s="902"/>
      <c r="O3972" s="892">
        <f t="shared" si="248"/>
        <v>0</v>
      </c>
      <c r="P3972" s="903">
        <f t="shared" si="249"/>
        <v>1</v>
      </c>
      <c r="Q3972" s="893">
        <f t="shared" si="250"/>
        <v>4</v>
      </c>
      <c r="R3972" s="894">
        <f t="shared" si="251"/>
        <v>0</v>
      </c>
    </row>
    <row r="3973" spans="1:18">
      <c r="A3973" s="905"/>
      <c r="B3973" s="906"/>
      <c r="C3973" s="907">
        <v>750</v>
      </c>
      <c r="D3973" s="907" t="s">
        <v>12</v>
      </c>
      <c r="E3973" s="908" t="s">
        <v>5402</v>
      </c>
      <c r="F3973" s="909" t="s">
        <v>2674</v>
      </c>
      <c r="G3973" s="910"/>
      <c r="H3973" s="911">
        <v>1.66</v>
      </c>
      <c r="I3973" s="912"/>
      <c r="J3973" s="912"/>
      <c r="K3973" s="912">
        <f>VLOOKUP(E3973,[5]ĐMNC!$A$7:$F$67,4,0)</f>
        <v>259989</v>
      </c>
      <c r="L3973" s="912">
        <f>H3973*K3973</f>
        <v>431581.74</v>
      </c>
      <c r="M3973" s="912"/>
      <c r="N3973" s="912"/>
      <c r="O3973" s="892">
        <f t="shared" si="248"/>
        <v>0</v>
      </c>
      <c r="P3973" s="903">
        <f t="shared" si="249"/>
        <v>1</v>
      </c>
      <c r="Q3973" s="893">
        <f t="shared" si="250"/>
        <v>3</v>
      </c>
      <c r="R3973" s="894">
        <f t="shared" si="251"/>
        <v>0</v>
      </c>
    </row>
    <row r="3974" spans="1:18" s="904" customFormat="1">
      <c r="A3974" s="895"/>
      <c r="B3974" s="896"/>
      <c r="C3974" s="897"/>
      <c r="D3974" s="897"/>
      <c r="E3974" s="898" t="s">
        <v>3914</v>
      </c>
      <c r="F3974" s="899"/>
      <c r="G3974" s="928"/>
      <c r="H3974" s="901"/>
      <c r="I3974" s="902"/>
      <c r="J3974" s="902"/>
      <c r="K3974" s="912" t="s">
        <v>274</v>
      </c>
      <c r="L3974" s="902"/>
      <c r="M3974" s="902"/>
      <c r="N3974" s="902"/>
      <c r="O3974" s="892">
        <f t="shared" si="248"/>
        <v>0</v>
      </c>
      <c r="P3974" s="903">
        <f t="shared" si="249"/>
        <v>1</v>
      </c>
      <c r="Q3974" s="893">
        <f t="shared" si="250"/>
        <v>2</v>
      </c>
      <c r="R3974" s="894">
        <f t="shared" si="251"/>
        <v>0</v>
      </c>
    </row>
    <row r="3975" spans="1:18">
      <c r="A3975" s="905"/>
      <c r="B3975" s="953" t="s">
        <v>5403</v>
      </c>
      <c r="C3975" s="907">
        <v>866</v>
      </c>
      <c r="D3975" s="907" t="s">
        <v>93</v>
      </c>
      <c r="E3975" s="925" t="s">
        <v>5404</v>
      </c>
      <c r="F3975" s="909" t="s">
        <v>2673</v>
      </c>
      <c r="G3975" s="910"/>
      <c r="H3975" s="911">
        <v>0.1</v>
      </c>
      <c r="I3975" s="912"/>
      <c r="J3975" s="912"/>
      <c r="K3975" s="912"/>
      <c r="L3975" s="912"/>
      <c r="M3975" s="912">
        <f>VLOOKUP(B3975,MTC!$B$9:$S$933,12,0)</f>
        <v>0</v>
      </c>
      <c r="N3975" s="912">
        <f>M3975*H3975</f>
        <v>0</v>
      </c>
      <c r="O3975" s="892">
        <f t="shared" si="248"/>
        <v>0</v>
      </c>
      <c r="P3975" s="903">
        <f t="shared" si="249"/>
        <v>1</v>
      </c>
      <c r="Q3975" s="893">
        <f>IF(P3975=0,0,P3975+Q3977)</f>
        <v>1</v>
      </c>
      <c r="R3975" s="894">
        <f>IF(Q3975=0,Q3977,0)</f>
        <v>0</v>
      </c>
    </row>
    <row r="3976" spans="1:18">
      <c r="A3976" s="905"/>
      <c r="B3976" s="885" t="s">
        <v>5427</v>
      </c>
      <c r="C3976" s="949"/>
      <c r="D3976" s="949"/>
      <c r="E3976" s="954" t="s">
        <v>5428</v>
      </c>
      <c r="F3976" s="909"/>
      <c r="G3976" s="910"/>
      <c r="H3976" s="911"/>
      <c r="I3976" s="912"/>
      <c r="J3976" s="912"/>
      <c r="K3976" s="912"/>
      <c r="L3976" s="912"/>
      <c r="M3976" s="912"/>
      <c r="N3976" s="912"/>
      <c r="O3976" s="892"/>
      <c r="P3976" s="903"/>
      <c r="Q3976" s="893"/>
      <c r="R3976" s="894"/>
    </row>
    <row r="3977" spans="1:18" s="847" customFormat="1" ht="31.5">
      <c r="A3977" s="905" t="s">
        <v>5429</v>
      </c>
      <c r="B3977" s="914" t="s">
        <v>1233</v>
      </c>
      <c r="C3977" s="915"/>
      <c r="D3977" s="915"/>
      <c r="E3977" s="916" t="s">
        <v>5430</v>
      </c>
      <c r="F3977" s="917" t="s">
        <v>5431</v>
      </c>
      <c r="G3977" s="918"/>
      <c r="H3977" s="919"/>
      <c r="I3977" s="920"/>
      <c r="J3977" s="891">
        <f>SUM(J3978:J3982)</f>
        <v>101818.4</v>
      </c>
      <c r="K3977" s="891"/>
      <c r="L3977" s="891">
        <f>SUM(L3978:L3982)</f>
        <v>1030737.1799999999</v>
      </c>
      <c r="M3977" s="891"/>
      <c r="N3977" s="891">
        <f>SUM(N3978:N3982)</f>
        <v>0</v>
      </c>
      <c r="O3977" s="892">
        <f t="shared" si="248"/>
        <v>1</v>
      </c>
      <c r="P3977" s="903">
        <f t="shared" si="249"/>
        <v>0</v>
      </c>
      <c r="Q3977" s="893">
        <f t="shared" si="250"/>
        <v>0</v>
      </c>
      <c r="R3977" s="894">
        <f t="shared" si="251"/>
        <v>5</v>
      </c>
    </row>
    <row r="3978" spans="1:18" s="904" customFormat="1">
      <c r="A3978" s="895"/>
      <c r="B3978" s="922"/>
      <c r="C3978" s="897"/>
      <c r="D3978" s="897"/>
      <c r="E3978" s="898" t="s">
        <v>108</v>
      </c>
      <c r="F3978" s="899"/>
      <c r="G3978" s="900"/>
      <c r="H3978" s="901"/>
      <c r="I3978" s="902"/>
      <c r="J3978" s="902"/>
      <c r="K3978" s="912" t="s">
        <v>274</v>
      </c>
      <c r="L3978" s="902"/>
      <c r="M3978" s="902"/>
      <c r="N3978" s="902"/>
      <c r="O3978" s="892">
        <f t="shared" si="248"/>
        <v>0</v>
      </c>
      <c r="P3978" s="903">
        <f t="shared" si="249"/>
        <v>1</v>
      </c>
      <c r="Q3978" s="893">
        <f t="shared" si="250"/>
        <v>5</v>
      </c>
      <c r="R3978" s="894">
        <f t="shared" si="251"/>
        <v>0</v>
      </c>
    </row>
    <row r="3979" spans="1:18">
      <c r="A3979" s="905"/>
      <c r="B3979" s="906"/>
      <c r="C3979" s="907">
        <v>55</v>
      </c>
      <c r="D3979" s="907" t="s">
        <v>279</v>
      </c>
      <c r="E3979" s="925" t="s">
        <v>3192</v>
      </c>
      <c r="F3979" s="926" t="s">
        <v>45</v>
      </c>
      <c r="G3979" s="910"/>
      <c r="H3979" s="911">
        <v>0.8</v>
      </c>
      <c r="I3979" s="912">
        <f>VLOOKUP(E3979,[3]VLP!$B$7:$K$300,10,0)</f>
        <v>2273</v>
      </c>
      <c r="J3979" s="912">
        <f>I3979*H3979</f>
        <v>1818.4</v>
      </c>
      <c r="K3979" s="912" t="s">
        <v>274</v>
      </c>
      <c r="L3979" s="912"/>
      <c r="M3979" s="912"/>
      <c r="N3979" s="912"/>
      <c r="O3979" s="892">
        <f t="shared" si="248"/>
        <v>0</v>
      </c>
      <c r="P3979" s="903">
        <f t="shared" si="249"/>
        <v>1</v>
      </c>
      <c r="Q3979" s="893">
        <f t="shared" si="250"/>
        <v>4</v>
      </c>
      <c r="R3979" s="894">
        <f t="shared" si="251"/>
        <v>0</v>
      </c>
    </row>
    <row r="3980" spans="1:18">
      <c r="A3980" s="905"/>
      <c r="B3980" s="906"/>
      <c r="C3980" s="907">
        <v>124</v>
      </c>
      <c r="D3980" s="907" t="s">
        <v>279</v>
      </c>
      <c r="E3980" s="925" t="s">
        <v>5432</v>
      </c>
      <c r="F3980" s="926" t="s">
        <v>3272</v>
      </c>
      <c r="G3980" s="910"/>
      <c r="H3980" s="911">
        <v>5</v>
      </c>
      <c r="I3980" s="912">
        <f>VLOOKUP(E3980,[3]VLP!$B$7:$K$300,10,0)</f>
        <v>20000</v>
      </c>
      <c r="J3980" s="912">
        <f>I3980*H3980</f>
        <v>100000</v>
      </c>
      <c r="K3980" s="912" t="s">
        <v>274</v>
      </c>
      <c r="L3980" s="912"/>
      <c r="M3980" s="912"/>
      <c r="N3980" s="912"/>
      <c r="O3980" s="892">
        <f t="shared" si="248"/>
        <v>0</v>
      </c>
      <c r="P3980" s="903">
        <f t="shared" si="249"/>
        <v>1</v>
      </c>
      <c r="Q3980" s="893">
        <f t="shared" si="250"/>
        <v>3</v>
      </c>
      <c r="R3980" s="894">
        <f t="shared" si="251"/>
        <v>0</v>
      </c>
    </row>
    <row r="3981" spans="1:18" s="904" customFormat="1">
      <c r="A3981" s="895"/>
      <c r="B3981" s="896"/>
      <c r="C3981" s="897"/>
      <c r="D3981" s="897"/>
      <c r="E3981" s="924" t="s">
        <v>276</v>
      </c>
      <c r="F3981" s="927"/>
      <c r="G3981" s="928"/>
      <c r="H3981" s="901"/>
      <c r="I3981" s="902"/>
      <c r="J3981" s="902"/>
      <c r="K3981" s="912" t="s">
        <v>274</v>
      </c>
      <c r="L3981" s="902"/>
      <c r="M3981" s="902"/>
      <c r="N3981" s="902"/>
      <c r="O3981" s="892">
        <f t="shared" si="248"/>
        <v>0</v>
      </c>
      <c r="P3981" s="903">
        <f t="shared" si="249"/>
        <v>1</v>
      </c>
      <c r="Q3981" s="893">
        <f t="shared" si="250"/>
        <v>2</v>
      </c>
      <c r="R3981" s="894">
        <f t="shared" si="251"/>
        <v>0</v>
      </c>
    </row>
    <row r="3982" spans="1:18">
      <c r="A3982" s="905"/>
      <c r="B3982" s="906"/>
      <c r="C3982" s="907">
        <v>735</v>
      </c>
      <c r="D3982" s="907" t="s">
        <v>12</v>
      </c>
      <c r="E3982" s="908" t="s">
        <v>4065</v>
      </c>
      <c r="F3982" s="909" t="s">
        <v>2674</v>
      </c>
      <c r="G3982" s="910"/>
      <c r="H3982" s="911">
        <v>5.0599999999999996</v>
      </c>
      <c r="I3982" s="912"/>
      <c r="J3982" s="912"/>
      <c r="K3982" s="912">
        <f>VLOOKUP(E3982,[5]ĐMNC!$A$7:$F$67,4,0)</f>
        <v>203703</v>
      </c>
      <c r="L3982" s="912">
        <f>H3982*K3982</f>
        <v>1030737.1799999999</v>
      </c>
      <c r="M3982" s="912"/>
      <c r="N3982" s="912"/>
      <c r="O3982" s="892">
        <f t="shared" si="248"/>
        <v>0</v>
      </c>
      <c r="P3982" s="903">
        <f t="shared" si="249"/>
        <v>1</v>
      </c>
      <c r="Q3982" s="893">
        <f t="shared" si="250"/>
        <v>1</v>
      </c>
      <c r="R3982" s="894">
        <f t="shared" si="251"/>
        <v>0</v>
      </c>
    </row>
    <row r="3983" spans="1:18" s="847" customFormat="1" ht="31.5">
      <c r="A3983" s="905"/>
      <c r="B3983" s="914" t="s">
        <v>1235</v>
      </c>
      <c r="C3983" s="915"/>
      <c r="D3983" s="915"/>
      <c r="E3983" s="916" t="s">
        <v>5433</v>
      </c>
      <c r="F3983" s="917" t="s">
        <v>5431</v>
      </c>
      <c r="G3983" s="918"/>
      <c r="H3983" s="919"/>
      <c r="I3983" s="920"/>
      <c r="J3983" s="891">
        <f>SUM(J3984:J3988)</f>
        <v>142386.65</v>
      </c>
      <c r="K3983" s="891"/>
      <c r="L3983" s="891">
        <f>SUM(L3984:L3988)</f>
        <v>1195736.6100000001</v>
      </c>
      <c r="M3983" s="891"/>
      <c r="N3983" s="891">
        <f>SUM(N3984:N3988)</f>
        <v>0</v>
      </c>
      <c r="O3983" s="892">
        <f t="shared" si="248"/>
        <v>1</v>
      </c>
      <c r="P3983" s="903">
        <f t="shared" si="249"/>
        <v>0</v>
      </c>
      <c r="Q3983" s="893">
        <f t="shared" si="250"/>
        <v>0</v>
      </c>
      <c r="R3983" s="894">
        <f t="shared" si="251"/>
        <v>5</v>
      </c>
    </row>
    <row r="3984" spans="1:18" s="904" customFormat="1">
      <c r="A3984" s="895"/>
      <c r="B3984" s="896"/>
      <c r="C3984" s="897"/>
      <c r="D3984" s="897"/>
      <c r="E3984" s="898" t="s">
        <v>108</v>
      </c>
      <c r="F3984" s="899"/>
      <c r="G3984" s="900"/>
      <c r="H3984" s="901"/>
      <c r="I3984" s="902"/>
      <c r="J3984" s="902"/>
      <c r="K3984" s="912" t="s">
        <v>274</v>
      </c>
      <c r="L3984" s="902"/>
      <c r="M3984" s="902"/>
      <c r="N3984" s="902"/>
      <c r="O3984" s="892">
        <f t="shared" si="248"/>
        <v>0</v>
      </c>
      <c r="P3984" s="903">
        <f t="shared" si="249"/>
        <v>1</v>
      </c>
      <c r="Q3984" s="893">
        <f t="shared" si="250"/>
        <v>5</v>
      </c>
      <c r="R3984" s="894">
        <f t="shared" si="251"/>
        <v>0</v>
      </c>
    </row>
    <row r="3985" spans="1:18">
      <c r="A3985" s="905"/>
      <c r="B3985" s="906"/>
      <c r="C3985" s="907">
        <v>55</v>
      </c>
      <c r="D3985" s="907" t="s">
        <v>279</v>
      </c>
      <c r="E3985" s="925" t="s">
        <v>3192</v>
      </c>
      <c r="F3985" s="926" t="s">
        <v>45</v>
      </c>
      <c r="G3985" s="910"/>
      <c r="H3985" s="911">
        <v>1.05</v>
      </c>
      <c r="I3985" s="912">
        <f>VLOOKUP(E3985,[3]VLP!$B$7:$K$300,10,0)</f>
        <v>2273</v>
      </c>
      <c r="J3985" s="912">
        <f>I3985*H3985</f>
        <v>2386.65</v>
      </c>
      <c r="K3985" s="912" t="s">
        <v>274</v>
      </c>
      <c r="L3985" s="912"/>
      <c r="M3985" s="912"/>
      <c r="N3985" s="912"/>
      <c r="O3985" s="892">
        <f t="shared" si="248"/>
        <v>0</v>
      </c>
      <c r="P3985" s="903">
        <f t="shared" si="249"/>
        <v>1</v>
      </c>
      <c r="Q3985" s="893">
        <f t="shared" si="250"/>
        <v>4</v>
      </c>
      <c r="R3985" s="894">
        <f t="shared" si="251"/>
        <v>0</v>
      </c>
    </row>
    <row r="3986" spans="1:18">
      <c r="A3986" s="905"/>
      <c r="B3986" s="906"/>
      <c r="C3986" s="907">
        <v>124</v>
      </c>
      <c r="D3986" s="907" t="s">
        <v>279</v>
      </c>
      <c r="E3986" s="925" t="s">
        <v>5432</v>
      </c>
      <c r="F3986" s="926" t="s">
        <v>3272</v>
      </c>
      <c r="G3986" s="910"/>
      <c r="H3986" s="911">
        <v>7</v>
      </c>
      <c r="I3986" s="912">
        <f>VLOOKUP(E3986,[3]VLP!$B$7:$K$300,10,0)</f>
        <v>20000</v>
      </c>
      <c r="J3986" s="912">
        <f>I3986*H3986</f>
        <v>140000</v>
      </c>
      <c r="K3986" s="912" t="s">
        <v>274</v>
      </c>
      <c r="L3986" s="912"/>
      <c r="M3986" s="912"/>
      <c r="N3986" s="912"/>
      <c r="O3986" s="892">
        <f t="shared" si="248"/>
        <v>0</v>
      </c>
      <c r="P3986" s="903">
        <f t="shared" si="249"/>
        <v>1</v>
      </c>
      <c r="Q3986" s="893">
        <f t="shared" si="250"/>
        <v>3</v>
      </c>
      <c r="R3986" s="894">
        <f t="shared" si="251"/>
        <v>0</v>
      </c>
    </row>
    <row r="3987" spans="1:18" s="904" customFormat="1">
      <c r="A3987" s="895"/>
      <c r="B3987" s="896"/>
      <c r="C3987" s="897"/>
      <c r="D3987" s="897"/>
      <c r="E3987" s="924" t="s">
        <v>276</v>
      </c>
      <c r="F3987" s="927"/>
      <c r="G3987" s="928"/>
      <c r="H3987" s="901"/>
      <c r="I3987" s="902"/>
      <c r="J3987" s="902"/>
      <c r="K3987" s="912" t="s">
        <v>274</v>
      </c>
      <c r="L3987" s="902"/>
      <c r="M3987" s="902"/>
      <c r="N3987" s="902"/>
      <c r="O3987" s="892">
        <f t="shared" si="248"/>
        <v>0</v>
      </c>
      <c r="P3987" s="903">
        <f t="shared" si="249"/>
        <v>1</v>
      </c>
      <c r="Q3987" s="893">
        <f t="shared" si="250"/>
        <v>2</v>
      </c>
      <c r="R3987" s="894">
        <f t="shared" si="251"/>
        <v>0</v>
      </c>
    </row>
    <row r="3988" spans="1:18">
      <c r="A3988" s="905"/>
      <c r="B3988" s="906"/>
      <c r="C3988" s="907">
        <v>735</v>
      </c>
      <c r="D3988" s="907" t="s">
        <v>12</v>
      </c>
      <c r="E3988" s="908" t="s">
        <v>4065</v>
      </c>
      <c r="F3988" s="909" t="s">
        <v>2674</v>
      </c>
      <c r="G3988" s="910"/>
      <c r="H3988" s="911">
        <v>5.87</v>
      </c>
      <c r="I3988" s="912"/>
      <c r="J3988" s="912"/>
      <c r="K3988" s="912">
        <f>VLOOKUP(E3988,[5]ĐMNC!$A$7:$F$67,4,0)</f>
        <v>203703</v>
      </c>
      <c r="L3988" s="912">
        <f>H3988*K3988</f>
        <v>1195736.6100000001</v>
      </c>
      <c r="M3988" s="912"/>
      <c r="N3988" s="912"/>
      <c r="O3988" s="892">
        <f t="shared" si="248"/>
        <v>0</v>
      </c>
      <c r="P3988" s="903">
        <f t="shared" si="249"/>
        <v>1</v>
      </c>
      <c r="Q3988" s="893">
        <f t="shared" si="250"/>
        <v>1</v>
      </c>
      <c r="R3988" s="894">
        <f t="shared" si="251"/>
        <v>0</v>
      </c>
    </row>
    <row r="3989" spans="1:18" s="847" customFormat="1" ht="31.5">
      <c r="A3989" s="905"/>
      <c r="B3989" s="914" t="s">
        <v>1237</v>
      </c>
      <c r="C3989" s="915"/>
      <c r="D3989" s="915"/>
      <c r="E3989" s="916" t="s">
        <v>5434</v>
      </c>
      <c r="F3989" s="917" t="s">
        <v>5431</v>
      </c>
      <c r="G3989" s="918"/>
      <c r="H3989" s="919"/>
      <c r="I3989" s="920"/>
      <c r="J3989" s="891">
        <f>SUM(J3990:J3994)</f>
        <v>183068.55</v>
      </c>
      <c r="K3989" s="891"/>
      <c r="L3989" s="891">
        <f>SUM(L3990:L3994)</f>
        <v>1680549.75</v>
      </c>
      <c r="M3989" s="891"/>
      <c r="N3989" s="891">
        <f>SUM(N3990:N3994)</f>
        <v>0</v>
      </c>
      <c r="O3989" s="892">
        <f t="shared" si="248"/>
        <v>1</v>
      </c>
      <c r="P3989" s="903">
        <f t="shared" si="249"/>
        <v>0</v>
      </c>
      <c r="Q3989" s="893">
        <f t="shared" si="250"/>
        <v>0</v>
      </c>
      <c r="R3989" s="894">
        <f t="shared" si="251"/>
        <v>5</v>
      </c>
    </row>
    <row r="3990" spans="1:18" s="904" customFormat="1">
      <c r="A3990" s="895"/>
      <c r="B3990" s="896"/>
      <c r="C3990" s="897"/>
      <c r="D3990" s="897"/>
      <c r="E3990" s="898" t="s">
        <v>108</v>
      </c>
      <c r="F3990" s="899"/>
      <c r="G3990" s="900"/>
      <c r="H3990" s="901"/>
      <c r="I3990" s="902"/>
      <c r="J3990" s="902"/>
      <c r="K3990" s="912" t="s">
        <v>274</v>
      </c>
      <c r="L3990" s="902"/>
      <c r="M3990" s="902"/>
      <c r="N3990" s="902"/>
      <c r="O3990" s="892">
        <f t="shared" si="248"/>
        <v>0</v>
      </c>
      <c r="P3990" s="903">
        <f t="shared" si="249"/>
        <v>1</v>
      </c>
      <c r="Q3990" s="893">
        <f t="shared" si="250"/>
        <v>5</v>
      </c>
      <c r="R3990" s="894">
        <f t="shared" si="251"/>
        <v>0</v>
      </c>
    </row>
    <row r="3991" spans="1:18">
      <c r="A3991" s="905"/>
      <c r="B3991" s="906"/>
      <c r="C3991" s="907">
        <v>55</v>
      </c>
      <c r="D3991" s="907" t="s">
        <v>279</v>
      </c>
      <c r="E3991" s="925" t="s">
        <v>3192</v>
      </c>
      <c r="F3991" s="926" t="s">
        <v>45</v>
      </c>
      <c r="G3991" s="910"/>
      <c r="H3991" s="911">
        <v>1.35</v>
      </c>
      <c r="I3991" s="912">
        <f>VLOOKUP(E3991,[3]VLP!$B$7:$K$300,10,0)</f>
        <v>2273</v>
      </c>
      <c r="J3991" s="912">
        <f>I3991*H3991</f>
        <v>3068.55</v>
      </c>
      <c r="K3991" s="912" t="s">
        <v>274</v>
      </c>
      <c r="L3991" s="912"/>
      <c r="M3991" s="912"/>
      <c r="N3991" s="912"/>
      <c r="O3991" s="892">
        <f t="shared" si="248"/>
        <v>0</v>
      </c>
      <c r="P3991" s="903">
        <f t="shared" si="249"/>
        <v>1</v>
      </c>
      <c r="Q3991" s="893">
        <f t="shared" si="250"/>
        <v>4</v>
      </c>
      <c r="R3991" s="894">
        <f t="shared" si="251"/>
        <v>0</v>
      </c>
    </row>
    <row r="3992" spans="1:18">
      <c r="A3992" s="905"/>
      <c r="B3992" s="906"/>
      <c r="C3992" s="907">
        <v>124</v>
      </c>
      <c r="D3992" s="907" t="s">
        <v>279</v>
      </c>
      <c r="E3992" s="925" t="s">
        <v>5432</v>
      </c>
      <c r="F3992" s="926" t="s">
        <v>3272</v>
      </c>
      <c r="G3992" s="910"/>
      <c r="H3992" s="911">
        <v>9</v>
      </c>
      <c r="I3992" s="912">
        <f>VLOOKUP(E3992,[3]VLP!$B$7:$K$300,10,0)</f>
        <v>20000</v>
      </c>
      <c r="J3992" s="912">
        <f>I3992*H3992</f>
        <v>180000</v>
      </c>
      <c r="K3992" s="912" t="s">
        <v>274</v>
      </c>
      <c r="L3992" s="912"/>
      <c r="M3992" s="912"/>
      <c r="N3992" s="912"/>
      <c r="O3992" s="892">
        <f t="shared" si="248"/>
        <v>0</v>
      </c>
      <c r="P3992" s="903">
        <f t="shared" si="249"/>
        <v>1</v>
      </c>
      <c r="Q3992" s="893">
        <f t="shared" si="250"/>
        <v>3</v>
      </c>
      <c r="R3992" s="894">
        <f t="shared" si="251"/>
        <v>0</v>
      </c>
    </row>
    <row r="3993" spans="1:18" s="904" customFormat="1">
      <c r="A3993" s="895"/>
      <c r="B3993" s="896"/>
      <c r="C3993" s="897"/>
      <c r="D3993" s="897"/>
      <c r="E3993" s="924" t="s">
        <v>276</v>
      </c>
      <c r="F3993" s="927"/>
      <c r="G3993" s="928"/>
      <c r="H3993" s="901"/>
      <c r="I3993" s="902"/>
      <c r="J3993" s="902"/>
      <c r="K3993" s="912" t="s">
        <v>274</v>
      </c>
      <c r="L3993" s="902"/>
      <c r="M3993" s="902"/>
      <c r="N3993" s="902"/>
      <c r="O3993" s="892">
        <f t="shared" si="248"/>
        <v>0</v>
      </c>
      <c r="P3993" s="903">
        <f t="shared" si="249"/>
        <v>1</v>
      </c>
      <c r="Q3993" s="893">
        <f t="shared" si="250"/>
        <v>2</v>
      </c>
      <c r="R3993" s="894">
        <f t="shared" si="251"/>
        <v>0</v>
      </c>
    </row>
    <row r="3994" spans="1:18">
      <c r="A3994" s="905"/>
      <c r="B3994" s="906"/>
      <c r="C3994" s="907">
        <v>735</v>
      </c>
      <c r="D3994" s="907" t="s">
        <v>12</v>
      </c>
      <c r="E3994" s="908" t="s">
        <v>4065</v>
      </c>
      <c r="F3994" s="909" t="s">
        <v>2674</v>
      </c>
      <c r="G3994" s="910"/>
      <c r="H3994" s="911">
        <v>8.25</v>
      </c>
      <c r="I3994" s="912"/>
      <c r="J3994" s="912"/>
      <c r="K3994" s="912">
        <f>VLOOKUP(E3994,[5]ĐMNC!$A$7:$F$67,4,0)</f>
        <v>203703</v>
      </c>
      <c r="L3994" s="912">
        <f>H3994*K3994</f>
        <v>1680549.75</v>
      </c>
      <c r="M3994" s="912"/>
      <c r="N3994" s="912"/>
      <c r="O3994" s="892">
        <f t="shared" si="248"/>
        <v>0</v>
      </c>
      <c r="P3994" s="903">
        <f t="shared" si="249"/>
        <v>1</v>
      </c>
      <c r="Q3994" s="893">
        <f t="shared" si="250"/>
        <v>1</v>
      </c>
      <c r="R3994" s="894">
        <f t="shared" si="251"/>
        <v>0</v>
      </c>
    </row>
    <row r="3995" spans="1:18" s="847" customFormat="1" ht="31.5">
      <c r="A3995" s="905"/>
      <c r="B3995" s="914" t="s">
        <v>1239</v>
      </c>
      <c r="C3995" s="915"/>
      <c r="D3995" s="915"/>
      <c r="E3995" s="916" t="s">
        <v>5435</v>
      </c>
      <c r="F3995" s="917" t="s">
        <v>5431</v>
      </c>
      <c r="G3995" s="918"/>
      <c r="H3995" s="919"/>
      <c r="I3995" s="920"/>
      <c r="J3995" s="891">
        <f>SUM(J3996:J4000)</f>
        <v>223409.5</v>
      </c>
      <c r="K3995" s="891"/>
      <c r="L3995" s="891">
        <f>SUM(L3996:L4000)</f>
        <v>1888326.8099999998</v>
      </c>
      <c r="M3995" s="891"/>
      <c r="N3995" s="891">
        <f>SUM(N3996:N4000)</f>
        <v>0</v>
      </c>
      <c r="O3995" s="892">
        <f t="shared" si="248"/>
        <v>1</v>
      </c>
      <c r="P3995" s="903">
        <f t="shared" si="249"/>
        <v>0</v>
      </c>
      <c r="Q3995" s="893">
        <f t="shared" si="250"/>
        <v>0</v>
      </c>
      <c r="R3995" s="894">
        <f t="shared" si="251"/>
        <v>5</v>
      </c>
    </row>
    <row r="3996" spans="1:18" s="904" customFormat="1">
      <c r="A3996" s="895"/>
      <c r="B3996" s="896"/>
      <c r="C3996" s="897"/>
      <c r="D3996" s="897"/>
      <c r="E3996" s="898" t="s">
        <v>108</v>
      </c>
      <c r="F3996" s="899"/>
      <c r="G3996" s="900"/>
      <c r="H3996" s="901"/>
      <c r="I3996" s="902"/>
      <c r="J3996" s="902"/>
      <c r="K3996" s="912" t="s">
        <v>274</v>
      </c>
      <c r="L3996" s="902"/>
      <c r="M3996" s="902"/>
      <c r="N3996" s="902"/>
      <c r="O3996" s="892">
        <f t="shared" si="248"/>
        <v>0</v>
      </c>
      <c r="P3996" s="903">
        <f t="shared" si="249"/>
        <v>1</v>
      </c>
      <c r="Q3996" s="893">
        <f t="shared" si="250"/>
        <v>5</v>
      </c>
      <c r="R3996" s="894">
        <f t="shared" si="251"/>
        <v>0</v>
      </c>
    </row>
    <row r="3997" spans="1:18">
      <c r="A3997" s="905"/>
      <c r="B3997" s="906"/>
      <c r="C3997" s="907">
        <v>55</v>
      </c>
      <c r="D3997" s="907" t="s">
        <v>279</v>
      </c>
      <c r="E3997" s="925" t="s">
        <v>3192</v>
      </c>
      <c r="F3997" s="926" t="s">
        <v>45</v>
      </c>
      <c r="G3997" s="910"/>
      <c r="H3997" s="911">
        <v>1.5</v>
      </c>
      <c r="I3997" s="912">
        <f>VLOOKUP(E3997,[3]VLP!$B$7:$K$300,10,0)</f>
        <v>2273</v>
      </c>
      <c r="J3997" s="912">
        <f>I3997*H3997</f>
        <v>3409.5</v>
      </c>
      <c r="K3997" s="912" t="s">
        <v>274</v>
      </c>
      <c r="L3997" s="912"/>
      <c r="M3997" s="912"/>
      <c r="N3997" s="912"/>
      <c r="O3997" s="892">
        <f t="shared" ref="O3997:O4061" si="252">IF(AND(B3997&lt;&gt;"",D3997=""),1,0)</f>
        <v>0</v>
      </c>
      <c r="P3997" s="903">
        <f t="shared" si="249"/>
        <v>1</v>
      </c>
      <c r="Q3997" s="893">
        <f t="shared" si="250"/>
        <v>4</v>
      </c>
      <c r="R3997" s="894">
        <f t="shared" si="251"/>
        <v>0</v>
      </c>
    </row>
    <row r="3998" spans="1:18">
      <c r="A3998" s="905"/>
      <c r="B3998" s="906"/>
      <c r="C3998" s="907">
        <v>124</v>
      </c>
      <c r="D3998" s="907" t="s">
        <v>279</v>
      </c>
      <c r="E3998" s="925" t="s">
        <v>5432</v>
      </c>
      <c r="F3998" s="926" t="s">
        <v>3272</v>
      </c>
      <c r="G3998" s="910"/>
      <c r="H3998" s="911">
        <v>11</v>
      </c>
      <c r="I3998" s="912">
        <f>VLOOKUP(E3998,[3]VLP!$B$7:$K$300,10,0)</f>
        <v>20000</v>
      </c>
      <c r="J3998" s="912">
        <f>I3998*H3998</f>
        <v>220000</v>
      </c>
      <c r="K3998" s="912" t="s">
        <v>274</v>
      </c>
      <c r="L3998" s="912"/>
      <c r="M3998" s="912"/>
      <c r="N3998" s="912"/>
      <c r="O3998" s="892">
        <f t="shared" si="252"/>
        <v>0</v>
      </c>
      <c r="P3998" s="903">
        <f t="shared" si="249"/>
        <v>1</v>
      </c>
      <c r="Q3998" s="893">
        <f t="shared" si="250"/>
        <v>3</v>
      </c>
      <c r="R3998" s="894">
        <f t="shared" si="251"/>
        <v>0</v>
      </c>
    </row>
    <row r="3999" spans="1:18" s="904" customFormat="1">
      <c r="A3999" s="895"/>
      <c r="B3999" s="896"/>
      <c r="C3999" s="897"/>
      <c r="D3999" s="897"/>
      <c r="E3999" s="924" t="s">
        <v>276</v>
      </c>
      <c r="F3999" s="927"/>
      <c r="G3999" s="928"/>
      <c r="H3999" s="901"/>
      <c r="I3999" s="902"/>
      <c r="J3999" s="902"/>
      <c r="K3999" s="912" t="s">
        <v>274</v>
      </c>
      <c r="L3999" s="902"/>
      <c r="M3999" s="902"/>
      <c r="N3999" s="902"/>
      <c r="O3999" s="892">
        <f t="shared" si="252"/>
        <v>0</v>
      </c>
      <c r="P3999" s="903">
        <f t="shared" si="249"/>
        <v>1</v>
      </c>
      <c r="Q3999" s="893">
        <f t="shared" si="250"/>
        <v>2</v>
      </c>
      <c r="R3999" s="894">
        <f t="shared" si="251"/>
        <v>0</v>
      </c>
    </row>
    <row r="4000" spans="1:18">
      <c r="A4000" s="905"/>
      <c r="B4000" s="906"/>
      <c r="C4000" s="907">
        <v>735</v>
      </c>
      <c r="D4000" s="907" t="s">
        <v>12</v>
      </c>
      <c r="E4000" s="908" t="s">
        <v>4065</v>
      </c>
      <c r="F4000" s="909" t="s">
        <v>2674</v>
      </c>
      <c r="G4000" s="910"/>
      <c r="H4000" s="911">
        <v>9.27</v>
      </c>
      <c r="I4000" s="912"/>
      <c r="J4000" s="912"/>
      <c r="K4000" s="912">
        <f>VLOOKUP(E4000,[5]ĐMNC!$A$7:$F$67,4,0)</f>
        <v>203703</v>
      </c>
      <c r="L4000" s="912">
        <f>H4000*K4000</f>
        <v>1888326.8099999998</v>
      </c>
      <c r="M4000" s="912"/>
      <c r="N4000" s="912"/>
      <c r="O4000" s="892">
        <f t="shared" si="252"/>
        <v>0</v>
      </c>
      <c r="P4000" s="903">
        <f t="shared" si="249"/>
        <v>1</v>
      </c>
      <c r="Q4000" s="893">
        <f t="shared" si="250"/>
        <v>1</v>
      </c>
      <c r="R4000" s="894">
        <f t="shared" si="251"/>
        <v>0</v>
      </c>
    </row>
    <row r="4001" spans="1:18" s="847" customFormat="1" ht="31.5">
      <c r="A4001" s="905"/>
      <c r="B4001" s="914" t="s">
        <v>1241</v>
      </c>
      <c r="C4001" s="915"/>
      <c r="D4001" s="915"/>
      <c r="E4001" s="916" t="s">
        <v>5436</v>
      </c>
      <c r="F4001" s="917" t="s">
        <v>5431</v>
      </c>
      <c r="G4001" s="918"/>
      <c r="H4001" s="919"/>
      <c r="I4001" s="920"/>
      <c r="J4001" s="891">
        <f>SUM(J4002:J4006)</f>
        <v>397628.02</v>
      </c>
      <c r="K4001" s="891"/>
      <c r="L4001" s="891">
        <f>SUM(L4002:L4006)</f>
        <v>3014804.4000000004</v>
      </c>
      <c r="M4001" s="891"/>
      <c r="N4001" s="891">
        <f>SUM(N4002:N4006)</f>
        <v>0</v>
      </c>
      <c r="O4001" s="892">
        <f t="shared" si="252"/>
        <v>1</v>
      </c>
      <c r="P4001" s="903">
        <f t="shared" si="249"/>
        <v>0</v>
      </c>
      <c r="Q4001" s="893">
        <f t="shared" si="250"/>
        <v>0</v>
      </c>
      <c r="R4001" s="894">
        <f t="shared" si="251"/>
        <v>5</v>
      </c>
    </row>
    <row r="4002" spans="1:18" s="904" customFormat="1">
      <c r="A4002" s="895"/>
      <c r="B4002" s="896"/>
      <c r="C4002" s="897"/>
      <c r="D4002" s="897"/>
      <c r="E4002" s="898" t="s">
        <v>108</v>
      </c>
      <c r="F4002" s="899"/>
      <c r="G4002" s="900"/>
      <c r="H4002" s="901"/>
      <c r="I4002" s="902"/>
      <c r="J4002" s="902"/>
      <c r="K4002" s="912" t="s">
        <v>274</v>
      </c>
      <c r="L4002" s="902"/>
      <c r="M4002" s="902"/>
      <c r="N4002" s="902"/>
      <c r="O4002" s="892">
        <f t="shared" si="252"/>
        <v>0</v>
      </c>
      <c r="P4002" s="903">
        <f t="shared" si="249"/>
        <v>1</v>
      </c>
      <c r="Q4002" s="893">
        <f t="shared" si="250"/>
        <v>5</v>
      </c>
      <c r="R4002" s="894">
        <f t="shared" si="251"/>
        <v>0</v>
      </c>
    </row>
    <row r="4003" spans="1:18">
      <c r="A4003" s="905"/>
      <c r="B4003" s="906"/>
      <c r="C4003" s="907">
        <v>55</v>
      </c>
      <c r="D4003" s="907" t="s">
        <v>279</v>
      </c>
      <c r="E4003" s="925" t="s">
        <v>3192</v>
      </c>
      <c r="F4003" s="926" t="s">
        <v>45</v>
      </c>
      <c r="G4003" s="910"/>
      <c r="H4003" s="911">
        <v>2.74</v>
      </c>
      <c r="I4003" s="912">
        <f>VLOOKUP(E4003,[3]VLP!$B$7:$K$300,10,0)</f>
        <v>2273</v>
      </c>
      <c r="J4003" s="912">
        <f>I4003*H4003</f>
        <v>6228.02</v>
      </c>
      <c r="K4003" s="912" t="s">
        <v>274</v>
      </c>
      <c r="L4003" s="912"/>
      <c r="M4003" s="912"/>
      <c r="N4003" s="912"/>
      <c r="O4003" s="892">
        <f t="shared" si="252"/>
        <v>0</v>
      </c>
      <c r="P4003" s="903">
        <f t="shared" si="249"/>
        <v>1</v>
      </c>
      <c r="Q4003" s="893">
        <f t="shared" si="250"/>
        <v>4</v>
      </c>
      <c r="R4003" s="894">
        <f t="shared" si="251"/>
        <v>0</v>
      </c>
    </row>
    <row r="4004" spans="1:18">
      <c r="A4004" s="905"/>
      <c r="B4004" s="906"/>
      <c r="C4004" s="907">
        <v>124</v>
      </c>
      <c r="D4004" s="907" t="s">
        <v>279</v>
      </c>
      <c r="E4004" s="925" t="s">
        <v>5432</v>
      </c>
      <c r="F4004" s="926" t="s">
        <v>3272</v>
      </c>
      <c r="G4004" s="910"/>
      <c r="H4004" s="911">
        <v>19.57</v>
      </c>
      <c r="I4004" s="912">
        <f>VLOOKUP(E4004,[3]VLP!$B$7:$K$300,10,0)</f>
        <v>20000</v>
      </c>
      <c r="J4004" s="912">
        <f>I4004*H4004</f>
        <v>391400</v>
      </c>
      <c r="K4004" s="912" t="s">
        <v>274</v>
      </c>
      <c r="L4004" s="912"/>
      <c r="M4004" s="912"/>
      <c r="N4004" s="912"/>
      <c r="O4004" s="892">
        <f t="shared" si="252"/>
        <v>0</v>
      </c>
      <c r="P4004" s="903">
        <f t="shared" si="249"/>
        <v>1</v>
      </c>
      <c r="Q4004" s="893">
        <f t="shared" si="250"/>
        <v>3</v>
      </c>
      <c r="R4004" s="894">
        <f t="shared" si="251"/>
        <v>0</v>
      </c>
    </row>
    <row r="4005" spans="1:18" s="904" customFormat="1">
      <c r="A4005" s="895"/>
      <c r="B4005" s="896"/>
      <c r="C4005" s="897"/>
      <c r="D4005" s="897"/>
      <c r="E4005" s="924" t="s">
        <v>276</v>
      </c>
      <c r="F4005" s="927"/>
      <c r="G4005" s="928"/>
      <c r="H4005" s="901"/>
      <c r="I4005" s="902"/>
      <c r="J4005" s="902"/>
      <c r="K4005" s="912" t="s">
        <v>274</v>
      </c>
      <c r="L4005" s="902"/>
      <c r="M4005" s="902"/>
      <c r="N4005" s="902"/>
      <c r="O4005" s="892">
        <f t="shared" si="252"/>
        <v>0</v>
      </c>
      <c r="P4005" s="903">
        <f t="shared" si="249"/>
        <v>1</v>
      </c>
      <c r="Q4005" s="893">
        <f t="shared" si="250"/>
        <v>2</v>
      </c>
      <c r="R4005" s="894">
        <f t="shared" si="251"/>
        <v>0</v>
      </c>
    </row>
    <row r="4006" spans="1:18">
      <c r="A4006" s="905"/>
      <c r="B4006" s="906"/>
      <c r="C4006" s="907">
        <v>735</v>
      </c>
      <c r="D4006" s="907" t="s">
        <v>12</v>
      </c>
      <c r="E4006" s="908" t="s">
        <v>4065</v>
      </c>
      <c r="F4006" s="909" t="s">
        <v>2674</v>
      </c>
      <c r="G4006" s="910"/>
      <c r="H4006" s="911">
        <v>14.8</v>
      </c>
      <c r="I4006" s="912"/>
      <c r="J4006" s="912"/>
      <c r="K4006" s="912">
        <f>VLOOKUP(E4006,[5]ĐMNC!$A$7:$F$67,4,0)</f>
        <v>203703</v>
      </c>
      <c r="L4006" s="912">
        <f>H4006*K4006</f>
        <v>3014804.4000000004</v>
      </c>
      <c r="M4006" s="912"/>
      <c r="N4006" s="912"/>
      <c r="O4006" s="892">
        <f t="shared" si="252"/>
        <v>0</v>
      </c>
      <c r="P4006" s="903">
        <f t="shared" si="249"/>
        <v>1</v>
      </c>
      <c r="Q4006" s="893">
        <f t="shared" si="250"/>
        <v>1</v>
      </c>
      <c r="R4006" s="894">
        <f t="shared" si="251"/>
        <v>0</v>
      </c>
    </row>
    <row r="4007" spans="1:18" s="847" customFormat="1" ht="31.5">
      <c r="A4007" s="905"/>
      <c r="B4007" s="914" t="s">
        <v>5437</v>
      </c>
      <c r="C4007" s="915"/>
      <c r="D4007" s="915"/>
      <c r="E4007" s="916" t="s">
        <v>5438</v>
      </c>
      <c r="F4007" s="917" t="s">
        <v>5431</v>
      </c>
      <c r="G4007" s="918"/>
      <c r="H4007" s="919"/>
      <c r="I4007" s="920"/>
      <c r="J4007" s="891">
        <f>SUM(J4008:J4012)</f>
        <v>477078.17</v>
      </c>
      <c r="K4007" s="891"/>
      <c r="L4007" s="891">
        <f>SUM(L4008:L4012)</f>
        <v>3617765.2800000003</v>
      </c>
      <c r="M4007" s="891"/>
      <c r="N4007" s="891">
        <f>SUM(N4008:N4012)</f>
        <v>0</v>
      </c>
      <c r="O4007" s="892">
        <f t="shared" si="252"/>
        <v>1</v>
      </c>
      <c r="P4007" s="903">
        <f t="shared" ref="P4007:P4070" si="253">IF(O4007=0,1,0)</f>
        <v>0</v>
      </c>
      <c r="Q4007" s="893">
        <f t="shared" ref="Q4007:Q4070" si="254">IF(P4007=0,0,P4007+Q4008)</f>
        <v>0</v>
      </c>
      <c r="R4007" s="894">
        <f t="shared" ref="R4007:R4070" si="255">IF(Q4007=0,Q4008,0)</f>
        <v>5</v>
      </c>
    </row>
    <row r="4008" spans="1:18" s="904" customFormat="1">
      <c r="A4008" s="895"/>
      <c r="B4008" s="896"/>
      <c r="C4008" s="897"/>
      <c r="D4008" s="897"/>
      <c r="E4008" s="898" t="s">
        <v>108</v>
      </c>
      <c r="F4008" s="899"/>
      <c r="G4008" s="900"/>
      <c r="H4008" s="901"/>
      <c r="I4008" s="902"/>
      <c r="J4008" s="902"/>
      <c r="K4008" s="912" t="s">
        <v>274</v>
      </c>
      <c r="L4008" s="902"/>
      <c r="M4008" s="902"/>
      <c r="N4008" s="902"/>
      <c r="O4008" s="892">
        <f t="shared" si="252"/>
        <v>0</v>
      </c>
      <c r="P4008" s="903">
        <f t="shared" si="253"/>
        <v>1</v>
      </c>
      <c r="Q4008" s="893">
        <f t="shared" si="254"/>
        <v>5</v>
      </c>
      <c r="R4008" s="894">
        <f t="shared" si="255"/>
        <v>0</v>
      </c>
    </row>
    <row r="4009" spans="1:18">
      <c r="A4009" s="905"/>
      <c r="B4009" s="906"/>
      <c r="C4009" s="907">
        <v>55</v>
      </c>
      <c r="D4009" s="907" t="s">
        <v>279</v>
      </c>
      <c r="E4009" s="925" t="s">
        <v>3192</v>
      </c>
      <c r="F4009" s="926" t="s">
        <v>45</v>
      </c>
      <c r="G4009" s="910"/>
      <c r="H4009" s="911">
        <v>3.29</v>
      </c>
      <c r="I4009" s="912">
        <f>VLOOKUP(E4009,[3]VLP!$B$7:$K$300,10,0)</f>
        <v>2273</v>
      </c>
      <c r="J4009" s="912">
        <f>I4009*H4009</f>
        <v>7478.17</v>
      </c>
      <c r="K4009" s="912" t="s">
        <v>274</v>
      </c>
      <c r="L4009" s="912"/>
      <c r="M4009" s="912"/>
      <c r="N4009" s="912"/>
      <c r="O4009" s="892">
        <f t="shared" si="252"/>
        <v>0</v>
      </c>
      <c r="P4009" s="903">
        <f t="shared" si="253"/>
        <v>1</v>
      </c>
      <c r="Q4009" s="893">
        <f t="shared" si="254"/>
        <v>4</v>
      </c>
      <c r="R4009" s="894">
        <f t="shared" si="255"/>
        <v>0</v>
      </c>
    </row>
    <row r="4010" spans="1:18">
      <c r="A4010" s="905"/>
      <c r="B4010" s="906"/>
      <c r="C4010" s="907">
        <v>124</v>
      </c>
      <c r="D4010" s="907" t="s">
        <v>279</v>
      </c>
      <c r="E4010" s="925" t="s">
        <v>5432</v>
      </c>
      <c r="F4010" s="926" t="s">
        <v>3272</v>
      </c>
      <c r="G4010" s="910"/>
      <c r="H4010" s="911">
        <v>23.48</v>
      </c>
      <c r="I4010" s="912">
        <f>VLOOKUP(E4010,[3]VLP!$B$7:$K$300,10,0)</f>
        <v>20000</v>
      </c>
      <c r="J4010" s="912">
        <f>I4010*H4010</f>
        <v>469600</v>
      </c>
      <c r="K4010" s="912" t="s">
        <v>274</v>
      </c>
      <c r="L4010" s="912"/>
      <c r="M4010" s="912"/>
      <c r="N4010" s="912"/>
      <c r="O4010" s="892">
        <f t="shared" si="252"/>
        <v>0</v>
      </c>
      <c r="P4010" s="903">
        <f t="shared" si="253"/>
        <v>1</v>
      </c>
      <c r="Q4010" s="893">
        <f t="shared" si="254"/>
        <v>3</v>
      </c>
      <c r="R4010" s="894">
        <f t="shared" si="255"/>
        <v>0</v>
      </c>
    </row>
    <row r="4011" spans="1:18" s="904" customFormat="1">
      <c r="A4011" s="895"/>
      <c r="B4011" s="896"/>
      <c r="C4011" s="897"/>
      <c r="D4011" s="897"/>
      <c r="E4011" s="924" t="s">
        <v>276</v>
      </c>
      <c r="F4011" s="927"/>
      <c r="G4011" s="928"/>
      <c r="H4011" s="901"/>
      <c r="I4011" s="902"/>
      <c r="J4011" s="902"/>
      <c r="K4011" s="912" t="s">
        <v>274</v>
      </c>
      <c r="L4011" s="902"/>
      <c r="M4011" s="902"/>
      <c r="N4011" s="902"/>
      <c r="O4011" s="892">
        <f t="shared" si="252"/>
        <v>0</v>
      </c>
      <c r="P4011" s="903">
        <f t="shared" si="253"/>
        <v>1</v>
      </c>
      <c r="Q4011" s="893">
        <f t="shared" si="254"/>
        <v>2</v>
      </c>
      <c r="R4011" s="894">
        <f t="shared" si="255"/>
        <v>0</v>
      </c>
    </row>
    <row r="4012" spans="1:18">
      <c r="A4012" s="905"/>
      <c r="B4012" s="906"/>
      <c r="C4012" s="907">
        <v>735</v>
      </c>
      <c r="D4012" s="907" t="s">
        <v>12</v>
      </c>
      <c r="E4012" s="908" t="s">
        <v>4065</v>
      </c>
      <c r="F4012" s="909" t="s">
        <v>2674</v>
      </c>
      <c r="G4012" s="910"/>
      <c r="H4012" s="911">
        <v>17.760000000000002</v>
      </c>
      <c r="I4012" s="912"/>
      <c r="J4012" s="912"/>
      <c r="K4012" s="912">
        <f>VLOOKUP(E4012,[5]ĐMNC!$A$7:$F$67,4,0)</f>
        <v>203703</v>
      </c>
      <c r="L4012" s="912">
        <f>H4012*K4012</f>
        <v>3617765.2800000003</v>
      </c>
      <c r="M4012" s="912"/>
      <c r="N4012" s="912"/>
      <c r="O4012" s="892">
        <f t="shared" si="252"/>
        <v>0</v>
      </c>
      <c r="P4012" s="903">
        <f t="shared" si="253"/>
        <v>1</v>
      </c>
      <c r="Q4012" s="893">
        <f t="shared" si="254"/>
        <v>1</v>
      </c>
      <c r="R4012" s="894">
        <f t="shared" si="255"/>
        <v>0</v>
      </c>
    </row>
    <row r="4013" spans="1:18" s="847" customFormat="1" ht="31.5">
      <c r="A4013" s="905"/>
      <c r="B4013" s="914" t="s">
        <v>5439</v>
      </c>
      <c r="C4013" s="915"/>
      <c r="D4013" s="915"/>
      <c r="E4013" s="916" t="s">
        <v>5440</v>
      </c>
      <c r="F4013" s="917" t="s">
        <v>5431</v>
      </c>
      <c r="G4013" s="918"/>
      <c r="H4013" s="919"/>
      <c r="I4013" s="920"/>
      <c r="J4013" s="891">
        <f>SUM(J4014:J4018)</f>
        <v>572378.35</v>
      </c>
      <c r="K4013" s="891"/>
      <c r="L4013" s="891">
        <f>SUM(L4014:L4018)</f>
        <v>4316466.57</v>
      </c>
      <c r="M4013" s="891"/>
      <c r="N4013" s="891">
        <f>SUM(N4014:N4018)</f>
        <v>0</v>
      </c>
      <c r="O4013" s="892">
        <f t="shared" si="252"/>
        <v>1</v>
      </c>
      <c r="P4013" s="903">
        <f t="shared" si="253"/>
        <v>0</v>
      </c>
      <c r="Q4013" s="893">
        <f t="shared" si="254"/>
        <v>0</v>
      </c>
      <c r="R4013" s="894">
        <f t="shared" si="255"/>
        <v>5</v>
      </c>
    </row>
    <row r="4014" spans="1:18" s="904" customFormat="1">
      <c r="A4014" s="895"/>
      <c r="B4014" s="896"/>
      <c r="C4014" s="897"/>
      <c r="D4014" s="897"/>
      <c r="E4014" s="898" t="s">
        <v>108</v>
      </c>
      <c r="F4014" s="899"/>
      <c r="G4014" s="900"/>
      <c r="H4014" s="901"/>
      <c r="I4014" s="902"/>
      <c r="J4014" s="902"/>
      <c r="K4014" s="912" t="s">
        <v>274</v>
      </c>
      <c r="L4014" s="902"/>
      <c r="M4014" s="902"/>
      <c r="N4014" s="902"/>
      <c r="O4014" s="892">
        <f t="shared" si="252"/>
        <v>0</v>
      </c>
      <c r="P4014" s="903">
        <f t="shared" si="253"/>
        <v>1</v>
      </c>
      <c r="Q4014" s="893">
        <f t="shared" si="254"/>
        <v>5</v>
      </c>
      <c r="R4014" s="894">
        <f t="shared" si="255"/>
        <v>0</v>
      </c>
    </row>
    <row r="4015" spans="1:18">
      <c r="A4015" s="905"/>
      <c r="B4015" s="906"/>
      <c r="C4015" s="907">
        <v>55</v>
      </c>
      <c r="D4015" s="907" t="s">
        <v>279</v>
      </c>
      <c r="E4015" s="925" t="s">
        <v>3192</v>
      </c>
      <c r="F4015" s="926" t="s">
        <v>45</v>
      </c>
      <c r="G4015" s="910"/>
      <c r="H4015" s="911">
        <v>3.95</v>
      </c>
      <c r="I4015" s="912">
        <f>VLOOKUP(E4015,[3]VLP!$B$7:$K$300,10,0)</f>
        <v>2273</v>
      </c>
      <c r="J4015" s="912">
        <f>I4015*H4015</f>
        <v>8978.35</v>
      </c>
      <c r="K4015" s="912" t="s">
        <v>274</v>
      </c>
      <c r="L4015" s="912"/>
      <c r="M4015" s="912"/>
      <c r="N4015" s="912"/>
      <c r="O4015" s="892">
        <f t="shared" si="252"/>
        <v>0</v>
      </c>
      <c r="P4015" s="903">
        <f t="shared" si="253"/>
        <v>1</v>
      </c>
      <c r="Q4015" s="893">
        <f t="shared" si="254"/>
        <v>4</v>
      </c>
      <c r="R4015" s="894">
        <f t="shared" si="255"/>
        <v>0</v>
      </c>
    </row>
    <row r="4016" spans="1:18">
      <c r="A4016" s="905"/>
      <c r="B4016" s="906"/>
      <c r="C4016" s="907">
        <v>124</v>
      </c>
      <c r="D4016" s="907" t="s">
        <v>279</v>
      </c>
      <c r="E4016" s="925" t="s">
        <v>5432</v>
      </c>
      <c r="F4016" s="926" t="s">
        <v>3272</v>
      </c>
      <c r="G4016" s="910"/>
      <c r="H4016" s="911">
        <v>28.17</v>
      </c>
      <c r="I4016" s="912">
        <f>VLOOKUP(E4016,[3]VLP!$B$7:$K$300,10,0)</f>
        <v>20000</v>
      </c>
      <c r="J4016" s="912">
        <f>I4016*H4016</f>
        <v>563400</v>
      </c>
      <c r="K4016" s="912" t="s">
        <v>274</v>
      </c>
      <c r="L4016" s="912"/>
      <c r="M4016" s="912"/>
      <c r="N4016" s="912"/>
      <c r="O4016" s="892">
        <f t="shared" si="252"/>
        <v>0</v>
      </c>
      <c r="P4016" s="903">
        <f t="shared" si="253"/>
        <v>1</v>
      </c>
      <c r="Q4016" s="893">
        <f t="shared" si="254"/>
        <v>3</v>
      </c>
      <c r="R4016" s="894">
        <f t="shared" si="255"/>
        <v>0</v>
      </c>
    </row>
    <row r="4017" spans="1:18" s="904" customFormat="1">
      <c r="A4017" s="895"/>
      <c r="B4017" s="896"/>
      <c r="C4017" s="897"/>
      <c r="D4017" s="897"/>
      <c r="E4017" s="924" t="s">
        <v>276</v>
      </c>
      <c r="F4017" s="927"/>
      <c r="G4017" s="928"/>
      <c r="H4017" s="901"/>
      <c r="I4017" s="902"/>
      <c r="J4017" s="902"/>
      <c r="K4017" s="912" t="s">
        <v>274</v>
      </c>
      <c r="L4017" s="902"/>
      <c r="M4017" s="902"/>
      <c r="N4017" s="902"/>
      <c r="O4017" s="892">
        <f t="shared" si="252"/>
        <v>0</v>
      </c>
      <c r="P4017" s="903">
        <f t="shared" si="253"/>
        <v>1</v>
      </c>
      <c r="Q4017" s="893">
        <f t="shared" si="254"/>
        <v>2</v>
      </c>
      <c r="R4017" s="894">
        <f t="shared" si="255"/>
        <v>0</v>
      </c>
    </row>
    <row r="4018" spans="1:18">
      <c r="A4018" s="905"/>
      <c r="B4018" s="906"/>
      <c r="C4018" s="907">
        <v>735</v>
      </c>
      <c r="D4018" s="907" t="s">
        <v>12</v>
      </c>
      <c r="E4018" s="908" t="s">
        <v>4065</v>
      </c>
      <c r="F4018" s="909" t="s">
        <v>2674</v>
      </c>
      <c r="G4018" s="910"/>
      <c r="H4018" s="911">
        <v>21.19</v>
      </c>
      <c r="I4018" s="912"/>
      <c r="J4018" s="912"/>
      <c r="K4018" s="912">
        <f>VLOOKUP(E4018,[5]ĐMNC!$A$7:$F$67,4,0)</f>
        <v>203703</v>
      </c>
      <c r="L4018" s="912">
        <f>H4018*K4018</f>
        <v>4316466.57</v>
      </c>
      <c r="M4018" s="912"/>
      <c r="N4018" s="912"/>
      <c r="O4018" s="892">
        <f t="shared" si="252"/>
        <v>0</v>
      </c>
      <c r="P4018" s="903">
        <f t="shared" si="253"/>
        <v>1</v>
      </c>
      <c r="Q4018" s="893">
        <f t="shared" si="254"/>
        <v>1</v>
      </c>
      <c r="R4018" s="894">
        <f t="shared" si="255"/>
        <v>0</v>
      </c>
    </row>
    <row r="4019" spans="1:18" s="847" customFormat="1" ht="31.5">
      <c r="A4019" s="905"/>
      <c r="B4019" s="914" t="s">
        <v>5441</v>
      </c>
      <c r="C4019" s="915"/>
      <c r="D4019" s="915"/>
      <c r="E4019" s="916" t="s">
        <v>5442</v>
      </c>
      <c r="F4019" s="917" t="s">
        <v>5431</v>
      </c>
      <c r="G4019" s="918"/>
      <c r="H4019" s="919"/>
      <c r="I4019" s="920"/>
      <c r="J4019" s="891">
        <f>SUM(J4020:J4024)</f>
        <v>162727.6</v>
      </c>
      <c r="K4019" s="891"/>
      <c r="L4019" s="891">
        <f>SUM(L4020:L4024)</f>
        <v>1389254.46</v>
      </c>
      <c r="M4019" s="891"/>
      <c r="N4019" s="891">
        <f>SUM(N4020:N4024)</f>
        <v>0</v>
      </c>
      <c r="O4019" s="892">
        <f t="shared" si="252"/>
        <v>1</v>
      </c>
      <c r="P4019" s="903">
        <f t="shared" si="253"/>
        <v>0</v>
      </c>
      <c r="Q4019" s="893">
        <f t="shared" si="254"/>
        <v>0</v>
      </c>
      <c r="R4019" s="894">
        <f t="shared" si="255"/>
        <v>5</v>
      </c>
    </row>
    <row r="4020" spans="1:18" s="904" customFormat="1">
      <c r="A4020" s="895"/>
      <c r="B4020" s="922"/>
      <c r="C4020" s="897"/>
      <c r="D4020" s="897"/>
      <c r="E4020" s="898" t="s">
        <v>108</v>
      </c>
      <c r="F4020" s="899"/>
      <c r="G4020" s="900"/>
      <c r="H4020" s="901"/>
      <c r="I4020" s="902"/>
      <c r="J4020" s="902"/>
      <c r="K4020" s="912" t="s">
        <v>274</v>
      </c>
      <c r="L4020" s="902"/>
      <c r="M4020" s="902"/>
      <c r="N4020" s="902"/>
      <c r="O4020" s="892">
        <f t="shared" si="252"/>
        <v>0</v>
      </c>
      <c r="P4020" s="903">
        <f t="shared" si="253"/>
        <v>1</v>
      </c>
      <c r="Q4020" s="893">
        <f t="shared" si="254"/>
        <v>5</v>
      </c>
      <c r="R4020" s="894">
        <f t="shared" si="255"/>
        <v>0</v>
      </c>
    </row>
    <row r="4021" spans="1:18">
      <c r="A4021" s="905"/>
      <c r="B4021" s="906"/>
      <c r="C4021" s="907">
        <v>55</v>
      </c>
      <c r="D4021" s="907" t="s">
        <v>279</v>
      </c>
      <c r="E4021" s="925" t="s">
        <v>3192</v>
      </c>
      <c r="F4021" s="926" t="s">
        <v>45</v>
      </c>
      <c r="G4021" s="910"/>
      <c r="H4021" s="911">
        <v>1.2</v>
      </c>
      <c r="I4021" s="912">
        <f>VLOOKUP(E4021,[3]VLP!$B$7:$K$300,10,0)</f>
        <v>2273</v>
      </c>
      <c r="J4021" s="912">
        <f>I4021*H4021</f>
        <v>2727.6</v>
      </c>
      <c r="K4021" s="912" t="s">
        <v>274</v>
      </c>
      <c r="L4021" s="912"/>
      <c r="M4021" s="912"/>
      <c r="N4021" s="912"/>
      <c r="O4021" s="892">
        <f t="shared" si="252"/>
        <v>0</v>
      </c>
      <c r="P4021" s="903">
        <f t="shared" si="253"/>
        <v>1</v>
      </c>
      <c r="Q4021" s="893">
        <f t="shared" si="254"/>
        <v>4</v>
      </c>
      <c r="R4021" s="894">
        <f t="shared" si="255"/>
        <v>0</v>
      </c>
    </row>
    <row r="4022" spans="1:18">
      <c r="A4022" s="905"/>
      <c r="B4022" s="906"/>
      <c r="C4022" s="907">
        <v>124</v>
      </c>
      <c r="D4022" s="907" t="s">
        <v>279</v>
      </c>
      <c r="E4022" s="925" t="s">
        <v>5432</v>
      </c>
      <c r="F4022" s="926" t="s">
        <v>3272</v>
      </c>
      <c r="G4022" s="910"/>
      <c r="H4022" s="911">
        <v>8</v>
      </c>
      <c r="I4022" s="912">
        <f>VLOOKUP(E4022,[3]VLP!$B$7:$K$300,10,0)</f>
        <v>20000</v>
      </c>
      <c r="J4022" s="912">
        <f>I4022*H4022</f>
        <v>160000</v>
      </c>
      <c r="K4022" s="912" t="s">
        <v>274</v>
      </c>
      <c r="L4022" s="912"/>
      <c r="M4022" s="912"/>
      <c r="N4022" s="912"/>
      <c r="O4022" s="892">
        <f t="shared" si="252"/>
        <v>0</v>
      </c>
      <c r="P4022" s="903">
        <f t="shared" si="253"/>
        <v>1</v>
      </c>
      <c r="Q4022" s="893">
        <f t="shared" si="254"/>
        <v>3</v>
      </c>
      <c r="R4022" s="894">
        <f t="shared" si="255"/>
        <v>0</v>
      </c>
    </row>
    <row r="4023" spans="1:18" s="904" customFormat="1">
      <c r="A4023" s="895"/>
      <c r="B4023" s="896"/>
      <c r="C4023" s="897"/>
      <c r="D4023" s="897"/>
      <c r="E4023" s="924" t="s">
        <v>276</v>
      </c>
      <c r="F4023" s="927"/>
      <c r="G4023" s="928"/>
      <c r="H4023" s="901"/>
      <c r="I4023" s="902"/>
      <c r="J4023" s="902"/>
      <c r="K4023" s="912" t="s">
        <v>274</v>
      </c>
      <c r="L4023" s="902"/>
      <c r="M4023" s="902"/>
      <c r="N4023" s="902"/>
      <c r="O4023" s="892">
        <f t="shared" si="252"/>
        <v>0</v>
      </c>
      <c r="P4023" s="903">
        <f t="shared" si="253"/>
        <v>1</v>
      </c>
      <c r="Q4023" s="893">
        <f t="shared" si="254"/>
        <v>2</v>
      </c>
      <c r="R4023" s="894">
        <f t="shared" si="255"/>
        <v>0</v>
      </c>
    </row>
    <row r="4024" spans="1:18">
      <c r="A4024" s="905"/>
      <c r="B4024" s="906"/>
      <c r="C4024" s="907">
        <v>735</v>
      </c>
      <c r="D4024" s="907" t="s">
        <v>12</v>
      </c>
      <c r="E4024" s="908" t="s">
        <v>4065</v>
      </c>
      <c r="F4024" s="909" t="s">
        <v>2674</v>
      </c>
      <c r="G4024" s="910"/>
      <c r="H4024" s="911">
        <v>6.82</v>
      </c>
      <c r="I4024" s="912"/>
      <c r="J4024" s="912"/>
      <c r="K4024" s="912">
        <f>VLOOKUP(E4024,[5]ĐMNC!$A$7:$F$67,4,0)</f>
        <v>203703</v>
      </c>
      <c r="L4024" s="912">
        <f>H4024*K4024</f>
        <v>1389254.46</v>
      </c>
      <c r="M4024" s="912"/>
      <c r="N4024" s="912"/>
      <c r="O4024" s="892">
        <f t="shared" si="252"/>
        <v>0</v>
      </c>
      <c r="P4024" s="903">
        <f t="shared" si="253"/>
        <v>1</v>
      </c>
      <c r="Q4024" s="893">
        <f t="shared" si="254"/>
        <v>1</v>
      </c>
      <c r="R4024" s="894">
        <f t="shared" si="255"/>
        <v>0</v>
      </c>
    </row>
    <row r="4025" spans="1:18" s="847" customFormat="1" ht="31.5">
      <c r="A4025" s="905"/>
      <c r="B4025" s="914" t="s">
        <v>5443</v>
      </c>
      <c r="C4025" s="915"/>
      <c r="D4025" s="915"/>
      <c r="E4025" s="916" t="s">
        <v>5444</v>
      </c>
      <c r="F4025" s="917" t="s">
        <v>5431</v>
      </c>
      <c r="G4025" s="918"/>
      <c r="H4025" s="919"/>
      <c r="I4025" s="920"/>
      <c r="J4025" s="891">
        <f>SUM(J4026:J4030)</f>
        <v>203409.5</v>
      </c>
      <c r="K4025" s="891"/>
      <c r="L4025" s="891">
        <f>SUM(L4026:L4030)</f>
        <v>1599068.5499999998</v>
      </c>
      <c r="M4025" s="891"/>
      <c r="N4025" s="891">
        <f>SUM(N4026:N4030)</f>
        <v>0</v>
      </c>
      <c r="O4025" s="892">
        <f t="shared" si="252"/>
        <v>1</v>
      </c>
      <c r="P4025" s="903">
        <f t="shared" si="253"/>
        <v>0</v>
      </c>
      <c r="Q4025" s="893">
        <f t="shared" si="254"/>
        <v>0</v>
      </c>
      <c r="R4025" s="894">
        <f t="shared" si="255"/>
        <v>5</v>
      </c>
    </row>
    <row r="4026" spans="1:18" s="904" customFormat="1">
      <c r="A4026" s="895"/>
      <c r="B4026" s="896"/>
      <c r="C4026" s="897"/>
      <c r="D4026" s="897"/>
      <c r="E4026" s="898" t="s">
        <v>108</v>
      </c>
      <c r="F4026" s="899"/>
      <c r="G4026" s="900"/>
      <c r="H4026" s="901"/>
      <c r="I4026" s="902"/>
      <c r="J4026" s="902"/>
      <c r="K4026" s="912" t="s">
        <v>274</v>
      </c>
      <c r="L4026" s="902"/>
      <c r="M4026" s="902"/>
      <c r="N4026" s="902"/>
      <c r="O4026" s="892">
        <f t="shared" si="252"/>
        <v>0</v>
      </c>
      <c r="P4026" s="903">
        <f t="shared" si="253"/>
        <v>1</v>
      </c>
      <c r="Q4026" s="893">
        <f t="shared" si="254"/>
        <v>5</v>
      </c>
      <c r="R4026" s="894">
        <f t="shared" si="255"/>
        <v>0</v>
      </c>
    </row>
    <row r="4027" spans="1:18">
      <c r="A4027" s="905"/>
      <c r="B4027" s="906"/>
      <c r="C4027" s="907">
        <v>55</v>
      </c>
      <c r="D4027" s="907" t="s">
        <v>279</v>
      </c>
      <c r="E4027" s="925" t="s">
        <v>3192</v>
      </c>
      <c r="F4027" s="926" t="s">
        <v>45</v>
      </c>
      <c r="G4027" s="910"/>
      <c r="H4027" s="911">
        <v>1.5</v>
      </c>
      <c r="I4027" s="912">
        <f>VLOOKUP(E4027,[3]VLP!$B$7:$K$300,10,0)</f>
        <v>2273</v>
      </c>
      <c r="J4027" s="912">
        <f>I4027*H4027</f>
        <v>3409.5</v>
      </c>
      <c r="K4027" s="912" t="s">
        <v>274</v>
      </c>
      <c r="L4027" s="912"/>
      <c r="M4027" s="912"/>
      <c r="N4027" s="912"/>
      <c r="O4027" s="892">
        <f t="shared" si="252"/>
        <v>0</v>
      </c>
      <c r="P4027" s="903">
        <f t="shared" si="253"/>
        <v>1</v>
      </c>
      <c r="Q4027" s="893">
        <f t="shared" si="254"/>
        <v>4</v>
      </c>
      <c r="R4027" s="894">
        <f t="shared" si="255"/>
        <v>0</v>
      </c>
    </row>
    <row r="4028" spans="1:18">
      <c r="A4028" s="905"/>
      <c r="B4028" s="906"/>
      <c r="C4028" s="907">
        <v>124</v>
      </c>
      <c r="D4028" s="907" t="s">
        <v>279</v>
      </c>
      <c r="E4028" s="925" t="s">
        <v>5432</v>
      </c>
      <c r="F4028" s="926" t="s">
        <v>3272</v>
      </c>
      <c r="G4028" s="910"/>
      <c r="H4028" s="911">
        <v>10</v>
      </c>
      <c r="I4028" s="912">
        <f>VLOOKUP(E4028,[3]VLP!$B$7:$K$300,10,0)</f>
        <v>20000</v>
      </c>
      <c r="J4028" s="912">
        <f>I4028*H4028</f>
        <v>200000</v>
      </c>
      <c r="K4028" s="912" t="s">
        <v>274</v>
      </c>
      <c r="L4028" s="912"/>
      <c r="M4028" s="912"/>
      <c r="N4028" s="912"/>
      <c r="O4028" s="892">
        <f t="shared" si="252"/>
        <v>0</v>
      </c>
      <c r="P4028" s="903">
        <f t="shared" si="253"/>
        <v>1</v>
      </c>
      <c r="Q4028" s="893">
        <f t="shared" si="254"/>
        <v>3</v>
      </c>
      <c r="R4028" s="894">
        <f t="shared" si="255"/>
        <v>0</v>
      </c>
    </row>
    <row r="4029" spans="1:18" s="904" customFormat="1">
      <c r="A4029" s="895"/>
      <c r="B4029" s="896"/>
      <c r="C4029" s="897"/>
      <c r="D4029" s="897"/>
      <c r="E4029" s="924" t="s">
        <v>276</v>
      </c>
      <c r="F4029" s="927"/>
      <c r="G4029" s="928"/>
      <c r="H4029" s="901"/>
      <c r="I4029" s="902"/>
      <c r="J4029" s="902"/>
      <c r="K4029" s="912" t="s">
        <v>274</v>
      </c>
      <c r="L4029" s="902"/>
      <c r="M4029" s="902"/>
      <c r="N4029" s="902"/>
      <c r="O4029" s="892">
        <f t="shared" si="252"/>
        <v>0</v>
      </c>
      <c r="P4029" s="903">
        <f t="shared" si="253"/>
        <v>1</v>
      </c>
      <c r="Q4029" s="893">
        <f t="shared" si="254"/>
        <v>2</v>
      </c>
      <c r="R4029" s="894">
        <f t="shared" si="255"/>
        <v>0</v>
      </c>
    </row>
    <row r="4030" spans="1:18">
      <c r="A4030" s="905"/>
      <c r="B4030" s="906"/>
      <c r="C4030" s="907">
        <v>735</v>
      </c>
      <c r="D4030" s="907" t="s">
        <v>12</v>
      </c>
      <c r="E4030" s="908" t="s">
        <v>4065</v>
      </c>
      <c r="F4030" s="909" t="s">
        <v>2674</v>
      </c>
      <c r="G4030" s="910"/>
      <c r="H4030" s="911">
        <v>7.85</v>
      </c>
      <c r="I4030" s="912"/>
      <c r="J4030" s="912"/>
      <c r="K4030" s="912">
        <f>VLOOKUP(E4030,[5]ĐMNC!$A$7:$F$67,4,0)</f>
        <v>203703</v>
      </c>
      <c r="L4030" s="912">
        <f>H4030*K4030</f>
        <v>1599068.5499999998</v>
      </c>
      <c r="M4030" s="912"/>
      <c r="N4030" s="912"/>
      <c r="O4030" s="892">
        <f t="shared" si="252"/>
        <v>0</v>
      </c>
      <c r="P4030" s="903">
        <f t="shared" si="253"/>
        <v>1</v>
      </c>
      <c r="Q4030" s="893">
        <f t="shared" si="254"/>
        <v>1</v>
      </c>
      <c r="R4030" s="894">
        <f t="shared" si="255"/>
        <v>0</v>
      </c>
    </row>
    <row r="4031" spans="1:18" s="847" customFormat="1" ht="31.5">
      <c r="A4031" s="905"/>
      <c r="B4031" s="914" t="s">
        <v>1243</v>
      </c>
      <c r="C4031" s="915"/>
      <c r="D4031" s="915"/>
      <c r="E4031" s="916" t="s">
        <v>5445</v>
      </c>
      <c r="F4031" s="917" t="s">
        <v>5431</v>
      </c>
      <c r="G4031" s="918"/>
      <c r="H4031" s="919"/>
      <c r="I4031" s="920"/>
      <c r="J4031" s="891">
        <f>SUM(J4032:J4036)</f>
        <v>243636.8</v>
      </c>
      <c r="K4031" s="891"/>
      <c r="L4031" s="891">
        <f>SUM(L4032:L4036)</f>
        <v>1957585.8299999998</v>
      </c>
      <c r="M4031" s="891"/>
      <c r="N4031" s="891">
        <f>SUM(N4032:N4036)</f>
        <v>0</v>
      </c>
      <c r="O4031" s="892">
        <f t="shared" si="252"/>
        <v>1</v>
      </c>
      <c r="P4031" s="903">
        <f t="shared" si="253"/>
        <v>0</v>
      </c>
      <c r="Q4031" s="893">
        <f t="shared" si="254"/>
        <v>0</v>
      </c>
      <c r="R4031" s="894">
        <f t="shared" si="255"/>
        <v>5</v>
      </c>
    </row>
    <row r="4032" spans="1:18" s="904" customFormat="1">
      <c r="A4032" s="895"/>
      <c r="B4032" s="896"/>
      <c r="C4032" s="897"/>
      <c r="D4032" s="897"/>
      <c r="E4032" s="898" t="s">
        <v>108</v>
      </c>
      <c r="F4032" s="899"/>
      <c r="G4032" s="900"/>
      <c r="H4032" s="901"/>
      <c r="I4032" s="902"/>
      <c r="J4032" s="902"/>
      <c r="K4032" s="912" t="s">
        <v>274</v>
      </c>
      <c r="L4032" s="902"/>
      <c r="M4032" s="902"/>
      <c r="N4032" s="902"/>
      <c r="O4032" s="892">
        <f t="shared" si="252"/>
        <v>0</v>
      </c>
      <c r="P4032" s="903">
        <f t="shared" si="253"/>
        <v>1</v>
      </c>
      <c r="Q4032" s="893">
        <f t="shared" si="254"/>
        <v>5</v>
      </c>
      <c r="R4032" s="894">
        <f t="shared" si="255"/>
        <v>0</v>
      </c>
    </row>
    <row r="4033" spans="1:18">
      <c r="A4033" s="905"/>
      <c r="B4033" s="906"/>
      <c r="C4033" s="907">
        <v>55</v>
      </c>
      <c r="D4033" s="907" t="s">
        <v>279</v>
      </c>
      <c r="E4033" s="925" t="s">
        <v>3192</v>
      </c>
      <c r="F4033" s="926" t="s">
        <v>45</v>
      </c>
      <c r="G4033" s="910"/>
      <c r="H4033" s="911">
        <v>1.6</v>
      </c>
      <c r="I4033" s="912">
        <f>VLOOKUP(E4033,[3]VLP!$B$7:$K$300,10,0)</f>
        <v>2273</v>
      </c>
      <c r="J4033" s="912">
        <f>I4033*H4033</f>
        <v>3636.8</v>
      </c>
      <c r="K4033" s="912" t="s">
        <v>274</v>
      </c>
      <c r="L4033" s="912"/>
      <c r="M4033" s="912"/>
      <c r="N4033" s="912"/>
      <c r="O4033" s="892">
        <f t="shared" si="252"/>
        <v>0</v>
      </c>
      <c r="P4033" s="903">
        <f t="shared" si="253"/>
        <v>1</v>
      </c>
      <c r="Q4033" s="893">
        <f t="shared" si="254"/>
        <v>4</v>
      </c>
      <c r="R4033" s="894">
        <f t="shared" si="255"/>
        <v>0</v>
      </c>
    </row>
    <row r="4034" spans="1:18">
      <c r="A4034" s="905"/>
      <c r="B4034" s="906"/>
      <c r="C4034" s="907">
        <v>124</v>
      </c>
      <c r="D4034" s="907" t="s">
        <v>279</v>
      </c>
      <c r="E4034" s="925" t="s">
        <v>5432</v>
      </c>
      <c r="F4034" s="926" t="s">
        <v>3272</v>
      </c>
      <c r="G4034" s="910"/>
      <c r="H4034" s="911">
        <v>12</v>
      </c>
      <c r="I4034" s="912">
        <f>VLOOKUP(E4034,[3]VLP!$B$7:$K$300,10,0)</f>
        <v>20000</v>
      </c>
      <c r="J4034" s="912">
        <f>I4034*H4034</f>
        <v>240000</v>
      </c>
      <c r="K4034" s="912" t="s">
        <v>274</v>
      </c>
      <c r="L4034" s="912"/>
      <c r="M4034" s="912"/>
      <c r="N4034" s="912"/>
      <c r="O4034" s="892">
        <f t="shared" si="252"/>
        <v>0</v>
      </c>
      <c r="P4034" s="903">
        <f t="shared" si="253"/>
        <v>1</v>
      </c>
      <c r="Q4034" s="893">
        <f t="shared" si="254"/>
        <v>3</v>
      </c>
      <c r="R4034" s="894">
        <f t="shared" si="255"/>
        <v>0</v>
      </c>
    </row>
    <row r="4035" spans="1:18" s="904" customFormat="1">
      <c r="A4035" s="895"/>
      <c r="B4035" s="896"/>
      <c r="C4035" s="897"/>
      <c r="D4035" s="897"/>
      <c r="E4035" s="924" t="s">
        <v>276</v>
      </c>
      <c r="F4035" s="927"/>
      <c r="G4035" s="928"/>
      <c r="H4035" s="901"/>
      <c r="I4035" s="902"/>
      <c r="J4035" s="902"/>
      <c r="K4035" s="912" t="s">
        <v>274</v>
      </c>
      <c r="L4035" s="902"/>
      <c r="M4035" s="902"/>
      <c r="N4035" s="902"/>
      <c r="O4035" s="892">
        <f t="shared" si="252"/>
        <v>0</v>
      </c>
      <c r="P4035" s="903">
        <f t="shared" si="253"/>
        <v>1</v>
      </c>
      <c r="Q4035" s="893">
        <f t="shared" si="254"/>
        <v>2</v>
      </c>
      <c r="R4035" s="894">
        <f t="shared" si="255"/>
        <v>0</v>
      </c>
    </row>
    <row r="4036" spans="1:18">
      <c r="A4036" s="905"/>
      <c r="B4036" s="906"/>
      <c r="C4036" s="907">
        <v>735</v>
      </c>
      <c r="D4036" s="907" t="s">
        <v>12</v>
      </c>
      <c r="E4036" s="908" t="s">
        <v>4065</v>
      </c>
      <c r="F4036" s="909" t="s">
        <v>2674</v>
      </c>
      <c r="G4036" s="910"/>
      <c r="H4036" s="911">
        <v>9.61</v>
      </c>
      <c r="I4036" s="912"/>
      <c r="J4036" s="912"/>
      <c r="K4036" s="912">
        <f>VLOOKUP(E4036,[5]ĐMNC!$A$7:$F$67,4,0)</f>
        <v>203703</v>
      </c>
      <c r="L4036" s="912">
        <f>H4036*K4036</f>
        <v>1957585.8299999998</v>
      </c>
      <c r="M4036" s="912"/>
      <c r="N4036" s="912"/>
      <c r="O4036" s="892">
        <f t="shared" si="252"/>
        <v>0</v>
      </c>
      <c r="P4036" s="903">
        <f t="shared" si="253"/>
        <v>1</v>
      </c>
      <c r="Q4036" s="893">
        <f t="shared" si="254"/>
        <v>1</v>
      </c>
      <c r="R4036" s="894">
        <f t="shared" si="255"/>
        <v>0</v>
      </c>
    </row>
    <row r="4037" spans="1:18" s="847" customFormat="1" ht="31.5">
      <c r="A4037" s="905"/>
      <c r="B4037" s="914" t="s">
        <v>1245</v>
      </c>
      <c r="C4037" s="915"/>
      <c r="D4037" s="915"/>
      <c r="E4037" s="916" t="s">
        <v>5446</v>
      </c>
      <c r="F4037" s="917" t="s">
        <v>5431</v>
      </c>
      <c r="G4037" s="918"/>
      <c r="H4037" s="919"/>
      <c r="I4037" s="920"/>
      <c r="J4037" s="891">
        <f>SUM(J4038:J4042)</f>
        <v>305114.25</v>
      </c>
      <c r="K4037" s="891"/>
      <c r="L4037" s="891">
        <f>SUM(L4038:L4042)</f>
        <v>2189807.25</v>
      </c>
      <c r="M4037" s="891"/>
      <c r="N4037" s="891">
        <f>SUM(N4038:N4042)</f>
        <v>0</v>
      </c>
      <c r="O4037" s="892">
        <f t="shared" si="252"/>
        <v>1</v>
      </c>
      <c r="P4037" s="903">
        <f t="shared" si="253"/>
        <v>0</v>
      </c>
      <c r="Q4037" s="893">
        <f t="shared" si="254"/>
        <v>0</v>
      </c>
      <c r="R4037" s="894">
        <f t="shared" si="255"/>
        <v>5</v>
      </c>
    </row>
    <row r="4038" spans="1:18" s="904" customFormat="1">
      <c r="A4038" s="895"/>
      <c r="B4038" s="896"/>
      <c r="C4038" s="897"/>
      <c r="D4038" s="897"/>
      <c r="E4038" s="898" t="s">
        <v>108</v>
      </c>
      <c r="F4038" s="899"/>
      <c r="G4038" s="900"/>
      <c r="H4038" s="901"/>
      <c r="I4038" s="902"/>
      <c r="J4038" s="902"/>
      <c r="K4038" s="912" t="s">
        <v>274</v>
      </c>
      <c r="L4038" s="902"/>
      <c r="M4038" s="902"/>
      <c r="N4038" s="902"/>
      <c r="O4038" s="892">
        <f t="shared" si="252"/>
        <v>0</v>
      </c>
      <c r="P4038" s="903">
        <f t="shared" si="253"/>
        <v>1</v>
      </c>
      <c r="Q4038" s="893">
        <f t="shared" si="254"/>
        <v>5</v>
      </c>
      <c r="R4038" s="894">
        <f t="shared" si="255"/>
        <v>0</v>
      </c>
    </row>
    <row r="4039" spans="1:18">
      <c r="A4039" s="905"/>
      <c r="B4039" s="906"/>
      <c r="C4039" s="907">
        <v>55</v>
      </c>
      <c r="D4039" s="907" t="s">
        <v>279</v>
      </c>
      <c r="E4039" s="925" t="s">
        <v>3192</v>
      </c>
      <c r="F4039" s="926" t="s">
        <v>45</v>
      </c>
      <c r="G4039" s="910"/>
      <c r="H4039" s="911">
        <v>2.25</v>
      </c>
      <c r="I4039" s="912">
        <f>VLOOKUP(E4039,[3]VLP!$B$7:$K$300,10,0)</f>
        <v>2273</v>
      </c>
      <c r="J4039" s="912">
        <f>I4039*H4039</f>
        <v>5114.25</v>
      </c>
      <c r="K4039" s="912" t="s">
        <v>274</v>
      </c>
      <c r="L4039" s="912"/>
      <c r="M4039" s="912"/>
      <c r="N4039" s="912"/>
      <c r="O4039" s="892">
        <f t="shared" si="252"/>
        <v>0</v>
      </c>
      <c r="P4039" s="903">
        <f t="shared" si="253"/>
        <v>1</v>
      </c>
      <c r="Q4039" s="893">
        <f t="shared" si="254"/>
        <v>4</v>
      </c>
      <c r="R4039" s="894">
        <f t="shared" si="255"/>
        <v>0</v>
      </c>
    </row>
    <row r="4040" spans="1:18">
      <c r="A4040" s="905"/>
      <c r="B4040" s="906"/>
      <c r="C4040" s="907">
        <v>124</v>
      </c>
      <c r="D4040" s="907" t="s">
        <v>279</v>
      </c>
      <c r="E4040" s="925" t="s">
        <v>5432</v>
      </c>
      <c r="F4040" s="926" t="s">
        <v>3272</v>
      </c>
      <c r="G4040" s="910"/>
      <c r="H4040" s="911">
        <v>15</v>
      </c>
      <c r="I4040" s="912">
        <f>VLOOKUP(E4040,[3]VLP!$B$7:$K$300,10,0)</f>
        <v>20000</v>
      </c>
      <c r="J4040" s="912">
        <f>I4040*H4040</f>
        <v>300000</v>
      </c>
      <c r="K4040" s="912" t="s">
        <v>274</v>
      </c>
      <c r="L4040" s="912"/>
      <c r="M4040" s="912"/>
      <c r="N4040" s="912"/>
      <c r="O4040" s="892">
        <f t="shared" si="252"/>
        <v>0</v>
      </c>
      <c r="P4040" s="903">
        <f t="shared" si="253"/>
        <v>1</v>
      </c>
      <c r="Q4040" s="893">
        <f t="shared" si="254"/>
        <v>3</v>
      </c>
      <c r="R4040" s="894">
        <f t="shared" si="255"/>
        <v>0</v>
      </c>
    </row>
    <row r="4041" spans="1:18" s="904" customFormat="1">
      <c r="A4041" s="895"/>
      <c r="B4041" s="896"/>
      <c r="C4041" s="897"/>
      <c r="D4041" s="897"/>
      <c r="E4041" s="924" t="s">
        <v>276</v>
      </c>
      <c r="F4041" s="927"/>
      <c r="G4041" s="928"/>
      <c r="H4041" s="901"/>
      <c r="I4041" s="902"/>
      <c r="J4041" s="902"/>
      <c r="K4041" s="912" t="s">
        <v>274</v>
      </c>
      <c r="L4041" s="902"/>
      <c r="M4041" s="902"/>
      <c r="N4041" s="902"/>
      <c r="O4041" s="892">
        <f t="shared" si="252"/>
        <v>0</v>
      </c>
      <c r="P4041" s="903">
        <f t="shared" si="253"/>
        <v>1</v>
      </c>
      <c r="Q4041" s="893">
        <f t="shared" si="254"/>
        <v>2</v>
      </c>
      <c r="R4041" s="894">
        <f t="shared" si="255"/>
        <v>0</v>
      </c>
    </row>
    <row r="4042" spans="1:18">
      <c r="A4042" s="905"/>
      <c r="B4042" s="906"/>
      <c r="C4042" s="907">
        <v>735</v>
      </c>
      <c r="D4042" s="907" t="s">
        <v>12</v>
      </c>
      <c r="E4042" s="908" t="s">
        <v>4065</v>
      </c>
      <c r="F4042" s="909" t="s">
        <v>2674</v>
      </c>
      <c r="G4042" s="910"/>
      <c r="H4042" s="911">
        <v>10.75</v>
      </c>
      <c r="I4042" s="912"/>
      <c r="J4042" s="912"/>
      <c r="K4042" s="912">
        <f>VLOOKUP(E4042,[5]ĐMNC!$A$7:$F$67,4,0)</f>
        <v>203703</v>
      </c>
      <c r="L4042" s="912">
        <f>H4042*K4042</f>
        <v>2189807.25</v>
      </c>
      <c r="M4042" s="912"/>
      <c r="N4042" s="912"/>
      <c r="O4042" s="892">
        <f t="shared" si="252"/>
        <v>0</v>
      </c>
      <c r="P4042" s="903">
        <f t="shared" si="253"/>
        <v>1</v>
      </c>
      <c r="Q4042" s="893">
        <f t="shared" si="254"/>
        <v>1</v>
      </c>
      <c r="R4042" s="894">
        <f t="shared" si="255"/>
        <v>0</v>
      </c>
    </row>
    <row r="4043" spans="1:18" s="847" customFormat="1" ht="31.5">
      <c r="A4043" s="905"/>
      <c r="B4043" s="914" t="s">
        <v>1247</v>
      </c>
      <c r="C4043" s="915"/>
      <c r="D4043" s="915"/>
      <c r="E4043" s="916" t="s">
        <v>5447</v>
      </c>
      <c r="F4043" s="917" t="s">
        <v>5431</v>
      </c>
      <c r="G4043" s="918"/>
      <c r="H4043" s="919"/>
      <c r="I4043" s="920"/>
      <c r="J4043" s="891">
        <f>SUM(J4044:J4048)</f>
        <v>557187.49</v>
      </c>
      <c r="K4043" s="891"/>
      <c r="L4043" s="891">
        <f>SUM(L4044:L4048)</f>
        <v>3462951</v>
      </c>
      <c r="M4043" s="891"/>
      <c r="N4043" s="891">
        <f>SUM(N4044:N4048)</f>
        <v>0</v>
      </c>
      <c r="O4043" s="892">
        <f t="shared" si="252"/>
        <v>1</v>
      </c>
      <c r="P4043" s="903">
        <f t="shared" si="253"/>
        <v>0</v>
      </c>
      <c r="Q4043" s="893">
        <f t="shared" si="254"/>
        <v>0</v>
      </c>
      <c r="R4043" s="894">
        <f t="shared" si="255"/>
        <v>5</v>
      </c>
    </row>
    <row r="4044" spans="1:18" s="904" customFormat="1">
      <c r="A4044" s="895"/>
      <c r="B4044" s="896"/>
      <c r="C4044" s="897"/>
      <c r="D4044" s="897"/>
      <c r="E4044" s="898" t="s">
        <v>108</v>
      </c>
      <c r="F4044" s="899"/>
      <c r="G4044" s="900"/>
      <c r="H4044" s="901"/>
      <c r="I4044" s="902"/>
      <c r="J4044" s="902"/>
      <c r="K4044" s="912" t="s">
        <v>274</v>
      </c>
      <c r="L4044" s="902"/>
      <c r="M4044" s="902"/>
      <c r="N4044" s="902"/>
      <c r="O4044" s="892">
        <f t="shared" si="252"/>
        <v>0</v>
      </c>
      <c r="P4044" s="903">
        <f t="shared" si="253"/>
        <v>1</v>
      </c>
      <c r="Q4044" s="893">
        <f t="shared" si="254"/>
        <v>5</v>
      </c>
      <c r="R4044" s="894">
        <f t="shared" si="255"/>
        <v>0</v>
      </c>
    </row>
    <row r="4045" spans="1:18">
      <c r="A4045" s="905"/>
      <c r="B4045" s="906"/>
      <c r="C4045" s="907">
        <v>55</v>
      </c>
      <c r="D4045" s="907" t="s">
        <v>279</v>
      </c>
      <c r="E4045" s="925" t="s">
        <v>3192</v>
      </c>
      <c r="F4045" s="926" t="s">
        <v>45</v>
      </c>
      <c r="G4045" s="910"/>
      <c r="H4045" s="911">
        <v>4.13</v>
      </c>
      <c r="I4045" s="912">
        <f>VLOOKUP(E4045,[3]VLP!$B$7:$K$300,10,0)</f>
        <v>2273</v>
      </c>
      <c r="J4045" s="912">
        <f>I4045*H4045</f>
        <v>9387.49</v>
      </c>
      <c r="K4045" s="912" t="s">
        <v>274</v>
      </c>
      <c r="L4045" s="912"/>
      <c r="M4045" s="912"/>
      <c r="N4045" s="912"/>
      <c r="O4045" s="892">
        <f t="shared" si="252"/>
        <v>0</v>
      </c>
      <c r="P4045" s="903">
        <f t="shared" si="253"/>
        <v>1</v>
      </c>
      <c r="Q4045" s="893">
        <f t="shared" si="254"/>
        <v>4</v>
      </c>
      <c r="R4045" s="894">
        <f t="shared" si="255"/>
        <v>0</v>
      </c>
    </row>
    <row r="4046" spans="1:18">
      <c r="A4046" s="905"/>
      <c r="B4046" s="906"/>
      <c r="C4046" s="907">
        <v>124</v>
      </c>
      <c r="D4046" s="907" t="s">
        <v>279</v>
      </c>
      <c r="E4046" s="925" t="s">
        <v>5432</v>
      </c>
      <c r="F4046" s="926" t="s">
        <v>3272</v>
      </c>
      <c r="G4046" s="910"/>
      <c r="H4046" s="911">
        <v>27.39</v>
      </c>
      <c r="I4046" s="912">
        <f>VLOOKUP(E4046,[3]VLP!$B$7:$K$300,10,0)</f>
        <v>20000</v>
      </c>
      <c r="J4046" s="912">
        <f>I4046*H4046</f>
        <v>547800</v>
      </c>
      <c r="K4046" s="912" t="s">
        <v>274</v>
      </c>
      <c r="L4046" s="912"/>
      <c r="M4046" s="912"/>
      <c r="N4046" s="912"/>
      <c r="O4046" s="892">
        <f t="shared" si="252"/>
        <v>0</v>
      </c>
      <c r="P4046" s="903">
        <f t="shared" si="253"/>
        <v>1</v>
      </c>
      <c r="Q4046" s="893">
        <f t="shared" si="254"/>
        <v>3</v>
      </c>
      <c r="R4046" s="894">
        <f t="shared" si="255"/>
        <v>0</v>
      </c>
    </row>
    <row r="4047" spans="1:18" s="904" customFormat="1">
      <c r="A4047" s="895"/>
      <c r="B4047" s="896"/>
      <c r="C4047" s="897"/>
      <c r="D4047" s="897"/>
      <c r="E4047" s="924" t="s">
        <v>276</v>
      </c>
      <c r="F4047" s="927"/>
      <c r="G4047" s="928"/>
      <c r="H4047" s="901"/>
      <c r="I4047" s="902"/>
      <c r="J4047" s="902"/>
      <c r="K4047" s="912" t="s">
        <v>274</v>
      </c>
      <c r="L4047" s="902"/>
      <c r="M4047" s="902"/>
      <c r="N4047" s="902"/>
      <c r="O4047" s="892">
        <f t="shared" si="252"/>
        <v>0</v>
      </c>
      <c r="P4047" s="903">
        <f t="shared" si="253"/>
        <v>1</v>
      </c>
      <c r="Q4047" s="893">
        <f t="shared" si="254"/>
        <v>2</v>
      </c>
      <c r="R4047" s="894">
        <f t="shared" si="255"/>
        <v>0</v>
      </c>
    </row>
    <row r="4048" spans="1:18">
      <c r="A4048" s="905"/>
      <c r="B4048" s="906"/>
      <c r="C4048" s="907">
        <v>735</v>
      </c>
      <c r="D4048" s="907" t="s">
        <v>12</v>
      </c>
      <c r="E4048" s="908" t="s">
        <v>4065</v>
      </c>
      <c r="F4048" s="909" t="s">
        <v>2674</v>
      </c>
      <c r="G4048" s="910"/>
      <c r="H4048" s="911">
        <v>17</v>
      </c>
      <c r="I4048" s="912"/>
      <c r="J4048" s="912"/>
      <c r="K4048" s="912">
        <f>VLOOKUP(E4048,[5]ĐMNC!$A$7:$F$67,4,0)</f>
        <v>203703</v>
      </c>
      <c r="L4048" s="912">
        <f>H4048*K4048</f>
        <v>3462951</v>
      </c>
      <c r="M4048" s="912"/>
      <c r="N4048" s="912"/>
      <c r="O4048" s="892">
        <f t="shared" si="252"/>
        <v>0</v>
      </c>
      <c r="P4048" s="903">
        <f t="shared" si="253"/>
        <v>1</v>
      </c>
      <c r="Q4048" s="893">
        <f t="shared" si="254"/>
        <v>1</v>
      </c>
      <c r="R4048" s="894">
        <f t="shared" si="255"/>
        <v>0</v>
      </c>
    </row>
    <row r="4049" spans="1:18" s="847" customFormat="1" ht="31.5">
      <c r="A4049" s="905"/>
      <c r="B4049" s="914" t="s">
        <v>5448</v>
      </c>
      <c r="C4049" s="915"/>
      <c r="D4049" s="915"/>
      <c r="E4049" s="916" t="s">
        <v>5447</v>
      </c>
      <c r="F4049" s="917" t="s">
        <v>5431</v>
      </c>
      <c r="G4049" s="918"/>
      <c r="H4049" s="919"/>
      <c r="I4049" s="920"/>
      <c r="J4049" s="891">
        <f>SUM(J4050:J4054)</f>
        <v>668605.89</v>
      </c>
      <c r="K4049" s="891"/>
      <c r="L4049" s="891">
        <f>SUM(L4050:L4054)</f>
        <v>4155541.1999999997</v>
      </c>
      <c r="M4049" s="891"/>
      <c r="N4049" s="891">
        <f>SUM(N4050:N4054)</f>
        <v>0</v>
      </c>
      <c r="O4049" s="892">
        <f t="shared" si="252"/>
        <v>1</v>
      </c>
      <c r="P4049" s="903">
        <f t="shared" si="253"/>
        <v>0</v>
      </c>
      <c r="Q4049" s="893">
        <f t="shared" si="254"/>
        <v>0</v>
      </c>
      <c r="R4049" s="894">
        <f t="shared" si="255"/>
        <v>5</v>
      </c>
    </row>
    <row r="4050" spans="1:18" s="904" customFormat="1">
      <c r="A4050" s="895"/>
      <c r="B4050" s="896"/>
      <c r="C4050" s="897"/>
      <c r="D4050" s="897"/>
      <c r="E4050" s="898" t="s">
        <v>108</v>
      </c>
      <c r="F4050" s="899"/>
      <c r="G4050" s="900"/>
      <c r="H4050" s="901"/>
      <c r="I4050" s="902"/>
      <c r="J4050" s="902"/>
      <c r="K4050" s="912" t="s">
        <v>274</v>
      </c>
      <c r="L4050" s="902"/>
      <c r="M4050" s="902"/>
      <c r="N4050" s="902"/>
      <c r="O4050" s="892">
        <f t="shared" si="252"/>
        <v>0</v>
      </c>
      <c r="P4050" s="903">
        <f t="shared" si="253"/>
        <v>1</v>
      </c>
      <c r="Q4050" s="893">
        <f t="shared" si="254"/>
        <v>5</v>
      </c>
      <c r="R4050" s="894">
        <f t="shared" si="255"/>
        <v>0</v>
      </c>
    </row>
    <row r="4051" spans="1:18">
      <c r="A4051" s="905"/>
      <c r="B4051" s="906"/>
      <c r="C4051" s="907">
        <v>55</v>
      </c>
      <c r="D4051" s="907" t="s">
        <v>279</v>
      </c>
      <c r="E4051" s="925" t="s">
        <v>3192</v>
      </c>
      <c r="F4051" s="926" t="s">
        <v>45</v>
      </c>
      <c r="G4051" s="910"/>
      <c r="H4051" s="911">
        <v>4.93</v>
      </c>
      <c r="I4051" s="912">
        <f>VLOOKUP(E4051,[3]VLP!$B$7:$K$300,10,0)</f>
        <v>2273</v>
      </c>
      <c r="J4051" s="912">
        <f>I4051*H4051</f>
        <v>11205.89</v>
      </c>
      <c r="K4051" s="912" t="s">
        <v>274</v>
      </c>
      <c r="L4051" s="912"/>
      <c r="M4051" s="912"/>
      <c r="N4051" s="912"/>
      <c r="O4051" s="892">
        <f t="shared" si="252"/>
        <v>0</v>
      </c>
      <c r="P4051" s="903">
        <f t="shared" si="253"/>
        <v>1</v>
      </c>
      <c r="Q4051" s="893">
        <f t="shared" si="254"/>
        <v>4</v>
      </c>
      <c r="R4051" s="894">
        <f t="shared" si="255"/>
        <v>0</v>
      </c>
    </row>
    <row r="4052" spans="1:18">
      <c r="A4052" s="905"/>
      <c r="B4052" s="906"/>
      <c r="C4052" s="907">
        <v>124</v>
      </c>
      <c r="D4052" s="907" t="s">
        <v>279</v>
      </c>
      <c r="E4052" s="925" t="s">
        <v>5432</v>
      </c>
      <c r="F4052" s="926" t="s">
        <v>3272</v>
      </c>
      <c r="G4052" s="910"/>
      <c r="H4052" s="911">
        <v>32.869999999999997</v>
      </c>
      <c r="I4052" s="912">
        <f>VLOOKUP(E4052,[3]VLP!$B$7:$K$300,10,0)</f>
        <v>20000</v>
      </c>
      <c r="J4052" s="912">
        <f>I4052*H4052</f>
        <v>657400</v>
      </c>
      <c r="K4052" s="912" t="s">
        <v>274</v>
      </c>
      <c r="L4052" s="912"/>
      <c r="M4052" s="912"/>
      <c r="N4052" s="912"/>
      <c r="O4052" s="892">
        <f t="shared" si="252"/>
        <v>0</v>
      </c>
      <c r="P4052" s="903">
        <f t="shared" si="253"/>
        <v>1</v>
      </c>
      <c r="Q4052" s="893">
        <f t="shared" si="254"/>
        <v>3</v>
      </c>
      <c r="R4052" s="894">
        <f t="shared" si="255"/>
        <v>0</v>
      </c>
    </row>
    <row r="4053" spans="1:18" s="904" customFormat="1">
      <c r="A4053" s="895"/>
      <c r="B4053" s="896"/>
      <c r="C4053" s="897"/>
      <c r="D4053" s="897"/>
      <c r="E4053" s="924" t="s">
        <v>276</v>
      </c>
      <c r="F4053" s="927"/>
      <c r="G4053" s="928"/>
      <c r="H4053" s="901"/>
      <c r="I4053" s="902"/>
      <c r="J4053" s="902"/>
      <c r="K4053" s="912" t="s">
        <v>274</v>
      </c>
      <c r="L4053" s="902"/>
      <c r="M4053" s="902"/>
      <c r="N4053" s="902"/>
      <c r="O4053" s="892">
        <f t="shared" si="252"/>
        <v>0</v>
      </c>
      <c r="P4053" s="903">
        <f t="shared" si="253"/>
        <v>1</v>
      </c>
      <c r="Q4053" s="893">
        <f t="shared" si="254"/>
        <v>2</v>
      </c>
      <c r="R4053" s="894">
        <f t="shared" si="255"/>
        <v>0</v>
      </c>
    </row>
    <row r="4054" spans="1:18">
      <c r="A4054" s="905"/>
      <c r="B4054" s="906"/>
      <c r="C4054" s="907">
        <v>735</v>
      </c>
      <c r="D4054" s="907" t="s">
        <v>12</v>
      </c>
      <c r="E4054" s="908" t="s">
        <v>4065</v>
      </c>
      <c r="F4054" s="909" t="s">
        <v>2674</v>
      </c>
      <c r="G4054" s="910"/>
      <c r="H4054" s="911">
        <v>20.399999999999999</v>
      </c>
      <c r="I4054" s="912"/>
      <c r="J4054" s="912"/>
      <c r="K4054" s="912">
        <f>VLOOKUP(E4054,[5]ĐMNC!$A$7:$F$67,4,0)</f>
        <v>203703</v>
      </c>
      <c r="L4054" s="912">
        <f>H4054*K4054</f>
        <v>4155541.1999999997</v>
      </c>
      <c r="M4054" s="912"/>
      <c r="N4054" s="912"/>
      <c r="O4054" s="892">
        <f t="shared" si="252"/>
        <v>0</v>
      </c>
      <c r="P4054" s="903">
        <f t="shared" si="253"/>
        <v>1</v>
      </c>
      <c r="Q4054" s="893">
        <f t="shared" si="254"/>
        <v>1</v>
      </c>
      <c r="R4054" s="894">
        <f t="shared" si="255"/>
        <v>0</v>
      </c>
    </row>
    <row r="4055" spans="1:18" s="847" customFormat="1" ht="31.5">
      <c r="A4055" s="905"/>
      <c r="B4055" s="914" t="s">
        <v>5449</v>
      </c>
      <c r="C4055" s="915"/>
      <c r="D4055" s="915"/>
      <c r="E4055" s="916" t="s">
        <v>5447</v>
      </c>
      <c r="F4055" s="917" t="s">
        <v>5431</v>
      </c>
      <c r="G4055" s="918"/>
      <c r="H4055" s="919"/>
      <c r="I4055" s="920"/>
      <c r="J4055" s="891">
        <f>SUM(J4056:J4060)</f>
        <v>802233.43</v>
      </c>
      <c r="K4055" s="891"/>
      <c r="L4055" s="891">
        <f>SUM(L4056:L4060)</f>
        <v>4986649.4400000004</v>
      </c>
      <c r="M4055" s="891"/>
      <c r="N4055" s="891">
        <f>SUM(N4056:N4060)</f>
        <v>0</v>
      </c>
      <c r="O4055" s="892">
        <f t="shared" si="252"/>
        <v>1</v>
      </c>
      <c r="P4055" s="903">
        <f t="shared" si="253"/>
        <v>0</v>
      </c>
      <c r="Q4055" s="893">
        <f t="shared" si="254"/>
        <v>0</v>
      </c>
      <c r="R4055" s="894">
        <f t="shared" si="255"/>
        <v>5</v>
      </c>
    </row>
    <row r="4056" spans="1:18" s="904" customFormat="1">
      <c r="A4056" s="895"/>
      <c r="B4056" s="896"/>
      <c r="C4056" s="897"/>
      <c r="D4056" s="897"/>
      <c r="E4056" s="898" t="s">
        <v>108</v>
      </c>
      <c r="F4056" s="899"/>
      <c r="G4056" s="900"/>
      <c r="H4056" s="901"/>
      <c r="I4056" s="902"/>
      <c r="J4056" s="902"/>
      <c r="K4056" s="912" t="s">
        <v>274</v>
      </c>
      <c r="L4056" s="902"/>
      <c r="M4056" s="902"/>
      <c r="N4056" s="902"/>
      <c r="O4056" s="892">
        <f t="shared" si="252"/>
        <v>0</v>
      </c>
      <c r="P4056" s="903">
        <f t="shared" si="253"/>
        <v>1</v>
      </c>
      <c r="Q4056" s="893">
        <f t="shared" si="254"/>
        <v>5</v>
      </c>
      <c r="R4056" s="894">
        <f t="shared" si="255"/>
        <v>0</v>
      </c>
    </row>
    <row r="4057" spans="1:18">
      <c r="A4057" s="905"/>
      <c r="B4057" s="906"/>
      <c r="C4057" s="907">
        <v>55</v>
      </c>
      <c r="D4057" s="907" t="s">
        <v>279</v>
      </c>
      <c r="E4057" s="925" t="s">
        <v>3192</v>
      </c>
      <c r="F4057" s="926" t="s">
        <v>45</v>
      </c>
      <c r="G4057" s="910"/>
      <c r="H4057" s="911">
        <v>5.91</v>
      </c>
      <c r="I4057" s="912">
        <f>VLOOKUP(E4057,[3]VLP!$B$7:$K$300,10,0)</f>
        <v>2273</v>
      </c>
      <c r="J4057" s="912">
        <f>I4057*H4057</f>
        <v>13433.43</v>
      </c>
      <c r="K4057" s="912" t="s">
        <v>274</v>
      </c>
      <c r="L4057" s="912"/>
      <c r="M4057" s="912"/>
      <c r="N4057" s="912"/>
      <c r="O4057" s="892">
        <f t="shared" si="252"/>
        <v>0</v>
      </c>
      <c r="P4057" s="903">
        <f t="shared" si="253"/>
        <v>1</v>
      </c>
      <c r="Q4057" s="893">
        <f t="shared" si="254"/>
        <v>4</v>
      </c>
      <c r="R4057" s="894">
        <f t="shared" si="255"/>
        <v>0</v>
      </c>
    </row>
    <row r="4058" spans="1:18">
      <c r="A4058" s="905"/>
      <c r="B4058" s="906"/>
      <c r="C4058" s="907">
        <v>124</v>
      </c>
      <c r="D4058" s="907" t="s">
        <v>279</v>
      </c>
      <c r="E4058" s="925" t="s">
        <v>5432</v>
      </c>
      <c r="F4058" s="926" t="s">
        <v>3272</v>
      </c>
      <c r="G4058" s="910"/>
      <c r="H4058" s="911">
        <v>39.44</v>
      </c>
      <c r="I4058" s="912">
        <f>VLOOKUP(E4058,[3]VLP!$B$7:$K$300,10,0)</f>
        <v>20000</v>
      </c>
      <c r="J4058" s="912">
        <f>I4058*H4058</f>
        <v>788800</v>
      </c>
      <c r="K4058" s="912" t="s">
        <v>274</v>
      </c>
      <c r="L4058" s="912"/>
      <c r="M4058" s="912"/>
      <c r="N4058" s="912"/>
      <c r="O4058" s="892">
        <f t="shared" si="252"/>
        <v>0</v>
      </c>
      <c r="P4058" s="903">
        <f t="shared" si="253"/>
        <v>1</v>
      </c>
      <c r="Q4058" s="893">
        <f t="shared" si="254"/>
        <v>3</v>
      </c>
      <c r="R4058" s="894">
        <f t="shared" si="255"/>
        <v>0</v>
      </c>
    </row>
    <row r="4059" spans="1:18" s="904" customFormat="1">
      <c r="A4059" s="895"/>
      <c r="B4059" s="896"/>
      <c r="C4059" s="897"/>
      <c r="D4059" s="897"/>
      <c r="E4059" s="924" t="s">
        <v>276</v>
      </c>
      <c r="F4059" s="927"/>
      <c r="G4059" s="928"/>
      <c r="H4059" s="901"/>
      <c r="I4059" s="902"/>
      <c r="J4059" s="902"/>
      <c r="K4059" s="912" t="s">
        <v>274</v>
      </c>
      <c r="L4059" s="902"/>
      <c r="M4059" s="902"/>
      <c r="N4059" s="902"/>
      <c r="O4059" s="892">
        <f t="shared" si="252"/>
        <v>0</v>
      </c>
      <c r="P4059" s="903">
        <f t="shared" si="253"/>
        <v>1</v>
      </c>
      <c r="Q4059" s="893">
        <f t="shared" si="254"/>
        <v>2</v>
      </c>
      <c r="R4059" s="894">
        <f t="shared" si="255"/>
        <v>0</v>
      </c>
    </row>
    <row r="4060" spans="1:18">
      <c r="A4060" s="905"/>
      <c r="B4060" s="906"/>
      <c r="C4060" s="907">
        <v>735</v>
      </c>
      <c r="D4060" s="907" t="s">
        <v>12</v>
      </c>
      <c r="E4060" s="908" t="s">
        <v>4065</v>
      </c>
      <c r="F4060" s="909" t="s">
        <v>2674</v>
      </c>
      <c r="G4060" s="910"/>
      <c r="H4060" s="911">
        <v>24.48</v>
      </c>
      <c r="I4060" s="912"/>
      <c r="J4060" s="912"/>
      <c r="K4060" s="912">
        <f>VLOOKUP(E4060,[5]ĐMNC!$A$7:$F$67,4,0)</f>
        <v>203703</v>
      </c>
      <c r="L4060" s="912">
        <f>H4060*K4060</f>
        <v>4986649.4400000004</v>
      </c>
      <c r="M4060" s="912"/>
      <c r="N4060" s="912"/>
      <c r="O4060" s="892">
        <f t="shared" si="252"/>
        <v>0</v>
      </c>
      <c r="P4060" s="903">
        <f t="shared" si="253"/>
        <v>1</v>
      </c>
      <c r="Q4060" s="893">
        <f t="shared" si="254"/>
        <v>1</v>
      </c>
      <c r="R4060" s="894">
        <f t="shared" si="255"/>
        <v>0</v>
      </c>
    </row>
    <row r="4061" spans="1:18" s="847" customFormat="1" ht="31.5">
      <c r="A4061" s="905"/>
      <c r="B4061" s="914" t="s">
        <v>5450</v>
      </c>
      <c r="C4061" s="915"/>
      <c r="D4061" s="915"/>
      <c r="E4061" s="916" t="s">
        <v>5451</v>
      </c>
      <c r="F4061" s="917" t="s">
        <v>5431</v>
      </c>
      <c r="G4061" s="918"/>
      <c r="H4061" s="919"/>
      <c r="I4061" s="920"/>
      <c r="J4061" s="891">
        <f>SUM(J4062:J4066)</f>
        <v>304773.3</v>
      </c>
      <c r="K4061" s="891"/>
      <c r="L4061" s="891">
        <f>SUM(L4062:L4066)</f>
        <v>4177948.5300000003</v>
      </c>
      <c r="M4061" s="891"/>
      <c r="N4061" s="891">
        <f>SUM(N4062:N4066)</f>
        <v>0</v>
      </c>
      <c r="O4061" s="892">
        <f t="shared" si="252"/>
        <v>1</v>
      </c>
      <c r="P4061" s="903">
        <f t="shared" si="253"/>
        <v>0</v>
      </c>
      <c r="Q4061" s="893">
        <f t="shared" si="254"/>
        <v>0</v>
      </c>
      <c r="R4061" s="894">
        <f t="shared" si="255"/>
        <v>5</v>
      </c>
    </row>
    <row r="4062" spans="1:18" s="904" customFormat="1">
      <c r="A4062" s="895"/>
      <c r="B4062" s="922"/>
      <c r="C4062" s="897"/>
      <c r="D4062" s="897"/>
      <c r="E4062" s="898" t="s">
        <v>108</v>
      </c>
      <c r="F4062" s="899"/>
      <c r="G4062" s="900"/>
      <c r="H4062" s="901"/>
      <c r="I4062" s="902"/>
      <c r="J4062" s="902"/>
      <c r="K4062" s="912" t="s">
        <v>274</v>
      </c>
      <c r="L4062" s="902"/>
      <c r="M4062" s="902"/>
      <c r="N4062" s="902"/>
      <c r="O4062" s="892">
        <f t="shared" ref="O4062:O4125" si="256">IF(AND(B4062&lt;&gt;"",D4062=""),1,0)</f>
        <v>0</v>
      </c>
      <c r="P4062" s="903">
        <f t="shared" si="253"/>
        <v>1</v>
      </c>
      <c r="Q4062" s="893">
        <f t="shared" si="254"/>
        <v>5</v>
      </c>
      <c r="R4062" s="894">
        <f t="shared" si="255"/>
        <v>0</v>
      </c>
    </row>
    <row r="4063" spans="1:18">
      <c r="A4063" s="905"/>
      <c r="B4063" s="906"/>
      <c r="C4063" s="907">
        <v>55</v>
      </c>
      <c r="D4063" s="907" t="s">
        <v>279</v>
      </c>
      <c r="E4063" s="925" t="s">
        <v>3192</v>
      </c>
      <c r="F4063" s="926" t="s">
        <v>45</v>
      </c>
      <c r="G4063" s="910"/>
      <c r="H4063" s="911">
        <v>2.1</v>
      </c>
      <c r="I4063" s="912">
        <f>VLOOKUP(E4063,[3]VLP!$B$7:$K$300,10,0)</f>
        <v>2273</v>
      </c>
      <c r="J4063" s="912">
        <f>I4063*H4063</f>
        <v>4773.3</v>
      </c>
      <c r="K4063" s="912" t="s">
        <v>274</v>
      </c>
      <c r="L4063" s="912"/>
      <c r="M4063" s="912"/>
      <c r="N4063" s="912"/>
      <c r="O4063" s="892">
        <f t="shared" si="256"/>
        <v>0</v>
      </c>
      <c r="P4063" s="903">
        <f t="shared" si="253"/>
        <v>1</v>
      </c>
      <c r="Q4063" s="893">
        <f t="shared" si="254"/>
        <v>4</v>
      </c>
      <c r="R4063" s="894">
        <f t="shared" si="255"/>
        <v>0</v>
      </c>
    </row>
    <row r="4064" spans="1:18">
      <c r="A4064" s="905"/>
      <c r="B4064" s="906"/>
      <c r="C4064" s="907">
        <v>124</v>
      </c>
      <c r="D4064" s="907" t="s">
        <v>279</v>
      </c>
      <c r="E4064" s="925" t="s">
        <v>5432</v>
      </c>
      <c r="F4064" s="926" t="s">
        <v>3272</v>
      </c>
      <c r="G4064" s="910"/>
      <c r="H4064" s="911">
        <v>15</v>
      </c>
      <c r="I4064" s="912">
        <f>VLOOKUP(E4064,[3]VLP!$B$7:$K$300,10,0)</f>
        <v>20000</v>
      </c>
      <c r="J4064" s="912">
        <f>I4064*H4064</f>
        <v>300000</v>
      </c>
      <c r="K4064" s="912" t="s">
        <v>274</v>
      </c>
      <c r="L4064" s="912"/>
      <c r="M4064" s="912"/>
      <c r="N4064" s="912"/>
      <c r="O4064" s="892">
        <f t="shared" si="256"/>
        <v>0</v>
      </c>
      <c r="P4064" s="903">
        <f t="shared" si="253"/>
        <v>1</v>
      </c>
      <c r="Q4064" s="893">
        <f t="shared" si="254"/>
        <v>3</v>
      </c>
      <c r="R4064" s="894">
        <f t="shared" si="255"/>
        <v>0</v>
      </c>
    </row>
    <row r="4065" spans="1:18" s="904" customFormat="1">
      <c r="A4065" s="895"/>
      <c r="B4065" s="896"/>
      <c r="C4065" s="897"/>
      <c r="D4065" s="897"/>
      <c r="E4065" s="924" t="s">
        <v>276</v>
      </c>
      <c r="F4065" s="927"/>
      <c r="G4065" s="928"/>
      <c r="H4065" s="901"/>
      <c r="I4065" s="902"/>
      <c r="J4065" s="902"/>
      <c r="K4065" s="912" t="s">
        <v>274</v>
      </c>
      <c r="L4065" s="902"/>
      <c r="M4065" s="902"/>
      <c r="N4065" s="902"/>
      <c r="O4065" s="892">
        <f t="shared" si="256"/>
        <v>0</v>
      </c>
      <c r="P4065" s="903">
        <f t="shared" si="253"/>
        <v>1</v>
      </c>
      <c r="Q4065" s="893">
        <f t="shared" si="254"/>
        <v>2</v>
      </c>
      <c r="R4065" s="894">
        <f t="shared" si="255"/>
        <v>0</v>
      </c>
    </row>
    <row r="4066" spans="1:18">
      <c r="A4066" s="905"/>
      <c r="B4066" s="906"/>
      <c r="C4066" s="907">
        <v>735</v>
      </c>
      <c r="D4066" s="907" t="s">
        <v>12</v>
      </c>
      <c r="E4066" s="908" t="s">
        <v>4065</v>
      </c>
      <c r="F4066" s="909" t="s">
        <v>2674</v>
      </c>
      <c r="G4066" s="910"/>
      <c r="H4066" s="911">
        <v>20.51</v>
      </c>
      <c r="I4066" s="912"/>
      <c r="J4066" s="912"/>
      <c r="K4066" s="912">
        <f>VLOOKUP(E4066,[5]ĐMNC!$A$7:$F$67,4,0)</f>
        <v>203703</v>
      </c>
      <c r="L4066" s="912">
        <f>H4066*K4066</f>
        <v>4177948.5300000003</v>
      </c>
      <c r="M4066" s="912"/>
      <c r="N4066" s="912"/>
      <c r="O4066" s="892">
        <f t="shared" si="256"/>
        <v>0</v>
      </c>
      <c r="P4066" s="903">
        <f t="shared" si="253"/>
        <v>1</v>
      </c>
      <c r="Q4066" s="893">
        <f t="shared" si="254"/>
        <v>1</v>
      </c>
      <c r="R4066" s="894">
        <f t="shared" si="255"/>
        <v>0</v>
      </c>
    </row>
    <row r="4067" spans="1:18" s="847" customFormat="1" ht="31.5">
      <c r="A4067" s="905"/>
      <c r="B4067" s="914" t="s">
        <v>5452</v>
      </c>
      <c r="C4067" s="915"/>
      <c r="D4067" s="915"/>
      <c r="E4067" s="916" t="s">
        <v>5453</v>
      </c>
      <c r="F4067" s="917" t="s">
        <v>5431</v>
      </c>
      <c r="G4067" s="918"/>
      <c r="H4067" s="919"/>
      <c r="I4067" s="920"/>
      <c r="J4067" s="891">
        <f>SUM(J4068:J4072)</f>
        <v>366137.1</v>
      </c>
      <c r="K4067" s="891"/>
      <c r="L4067" s="891">
        <f>SUM(L4068:L4072)</f>
        <v>4695354.1500000004</v>
      </c>
      <c r="M4067" s="891"/>
      <c r="N4067" s="891">
        <f>SUM(N4068:N4072)</f>
        <v>0</v>
      </c>
      <c r="O4067" s="892">
        <f t="shared" si="256"/>
        <v>1</v>
      </c>
      <c r="P4067" s="903">
        <f t="shared" si="253"/>
        <v>0</v>
      </c>
      <c r="Q4067" s="893">
        <f t="shared" si="254"/>
        <v>0</v>
      </c>
      <c r="R4067" s="894">
        <f t="shared" si="255"/>
        <v>5</v>
      </c>
    </row>
    <row r="4068" spans="1:18" s="904" customFormat="1">
      <c r="A4068" s="895"/>
      <c r="B4068" s="896"/>
      <c r="C4068" s="897"/>
      <c r="D4068" s="897"/>
      <c r="E4068" s="898" t="s">
        <v>108</v>
      </c>
      <c r="F4068" s="899"/>
      <c r="G4068" s="900"/>
      <c r="H4068" s="901"/>
      <c r="I4068" s="902"/>
      <c r="J4068" s="902"/>
      <c r="K4068" s="912" t="s">
        <v>274</v>
      </c>
      <c r="L4068" s="902"/>
      <c r="M4068" s="902"/>
      <c r="N4068" s="902"/>
      <c r="O4068" s="892">
        <f t="shared" si="256"/>
        <v>0</v>
      </c>
      <c r="P4068" s="903">
        <f t="shared" si="253"/>
        <v>1</v>
      </c>
      <c r="Q4068" s="893">
        <f t="shared" si="254"/>
        <v>5</v>
      </c>
      <c r="R4068" s="894">
        <f t="shared" si="255"/>
        <v>0</v>
      </c>
    </row>
    <row r="4069" spans="1:18">
      <c r="A4069" s="905"/>
      <c r="B4069" s="906"/>
      <c r="C4069" s="907">
        <v>55</v>
      </c>
      <c r="D4069" s="907" t="s">
        <v>279</v>
      </c>
      <c r="E4069" s="925" t="s">
        <v>3192</v>
      </c>
      <c r="F4069" s="926" t="s">
        <v>45</v>
      </c>
      <c r="G4069" s="910"/>
      <c r="H4069" s="911">
        <v>2.7</v>
      </c>
      <c r="I4069" s="912">
        <f>VLOOKUP(E4069,[3]VLP!$B$7:$K$300,10,0)</f>
        <v>2273</v>
      </c>
      <c r="J4069" s="912">
        <f>I4069*H4069</f>
        <v>6137.1</v>
      </c>
      <c r="K4069" s="912" t="s">
        <v>274</v>
      </c>
      <c r="L4069" s="912"/>
      <c r="M4069" s="912"/>
      <c r="N4069" s="912"/>
      <c r="O4069" s="892">
        <f t="shared" si="256"/>
        <v>0</v>
      </c>
      <c r="P4069" s="903">
        <f t="shared" si="253"/>
        <v>1</v>
      </c>
      <c r="Q4069" s="893">
        <f t="shared" si="254"/>
        <v>4</v>
      </c>
      <c r="R4069" s="894">
        <f t="shared" si="255"/>
        <v>0</v>
      </c>
    </row>
    <row r="4070" spans="1:18">
      <c r="A4070" s="905"/>
      <c r="B4070" s="906"/>
      <c r="C4070" s="907">
        <v>124</v>
      </c>
      <c r="D4070" s="907" t="s">
        <v>279</v>
      </c>
      <c r="E4070" s="925" t="s">
        <v>5432</v>
      </c>
      <c r="F4070" s="926" t="s">
        <v>3272</v>
      </c>
      <c r="G4070" s="910"/>
      <c r="H4070" s="911">
        <v>18</v>
      </c>
      <c r="I4070" s="912">
        <f>VLOOKUP(E4070,[3]VLP!$B$7:$K$300,10,0)</f>
        <v>20000</v>
      </c>
      <c r="J4070" s="912">
        <f>I4070*H4070</f>
        <v>360000</v>
      </c>
      <c r="K4070" s="912" t="s">
        <v>274</v>
      </c>
      <c r="L4070" s="912"/>
      <c r="M4070" s="912"/>
      <c r="N4070" s="912"/>
      <c r="O4070" s="892">
        <f t="shared" si="256"/>
        <v>0</v>
      </c>
      <c r="P4070" s="903">
        <f t="shared" si="253"/>
        <v>1</v>
      </c>
      <c r="Q4070" s="893">
        <f t="shared" si="254"/>
        <v>3</v>
      </c>
      <c r="R4070" s="894">
        <f t="shared" si="255"/>
        <v>0</v>
      </c>
    </row>
    <row r="4071" spans="1:18" s="904" customFormat="1">
      <c r="A4071" s="895"/>
      <c r="B4071" s="896"/>
      <c r="C4071" s="897"/>
      <c r="D4071" s="897"/>
      <c r="E4071" s="924" t="s">
        <v>276</v>
      </c>
      <c r="F4071" s="927"/>
      <c r="G4071" s="928"/>
      <c r="H4071" s="901"/>
      <c r="I4071" s="902"/>
      <c r="J4071" s="902"/>
      <c r="K4071" s="912" t="s">
        <v>274</v>
      </c>
      <c r="L4071" s="902"/>
      <c r="M4071" s="902"/>
      <c r="N4071" s="902"/>
      <c r="O4071" s="892">
        <f t="shared" si="256"/>
        <v>0</v>
      </c>
      <c r="P4071" s="903">
        <f t="shared" ref="P4071:P4134" si="257">IF(O4071=0,1,0)</f>
        <v>1</v>
      </c>
      <c r="Q4071" s="893">
        <f t="shared" ref="Q4071:Q4134" si="258">IF(P4071=0,0,P4071+Q4072)</f>
        <v>2</v>
      </c>
      <c r="R4071" s="894">
        <f t="shared" ref="R4071:R4134" si="259">IF(Q4071=0,Q4072,0)</f>
        <v>0</v>
      </c>
    </row>
    <row r="4072" spans="1:18">
      <c r="A4072" s="905"/>
      <c r="B4072" s="906"/>
      <c r="C4072" s="907">
        <v>735</v>
      </c>
      <c r="D4072" s="907" t="s">
        <v>12</v>
      </c>
      <c r="E4072" s="908" t="s">
        <v>4065</v>
      </c>
      <c r="F4072" s="909" t="s">
        <v>2674</v>
      </c>
      <c r="G4072" s="910"/>
      <c r="H4072" s="911">
        <v>23.05</v>
      </c>
      <c r="I4072" s="912"/>
      <c r="J4072" s="912"/>
      <c r="K4072" s="912">
        <f>VLOOKUP(E4072,[5]ĐMNC!$A$7:$F$67,4,0)</f>
        <v>203703</v>
      </c>
      <c r="L4072" s="912">
        <f>H4072*K4072</f>
        <v>4695354.1500000004</v>
      </c>
      <c r="M4072" s="912"/>
      <c r="N4072" s="912"/>
      <c r="O4072" s="892">
        <f t="shared" si="256"/>
        <v>0</v>
      </c>
      <c r="P4072" s="903">
        <f t="shared" si="257"/>
        <v>1</v>
      </c>
      <c r="Q4072" s="893">
        <f t="shared" si="258"/>
        <v>1</v>
      </c>
      <c r="R4072" s="894">
        <f t="shared" si="259"/>
        <v>0</v>
      </c>
    </row>
    <row r="4073" spans="1:18" s="847" customFormat="1" ht="31.5">
      <c r="A4073" s="905"/>
      <c r="B4073" s="914" t="s">
        <v>5454</v>
      </c>
      <c r="C4073" s="915"/>
      <c r="D4073" s="915"/>
      <c r="E4073" s="916" t="s">
        <v>5455</v>
      </c>
      <c r="F4073" s="917" t="s">
        <v>5431</v>
      </c>
      <c r="G4073" s="918"/>
      <c r="H4073" s="919"/>
      <c r="I4073" s="920"/>
      <c r="J4073" s="891">
        <f>SUM(J4074:J4078)</f>
        <v>662269.39</v>
      </c>
      <c r="K4073" s="891"/>
      <c r="L4073" s="891">
        <f>SUM(L4074:L4078)</f>
        <v>7088864.3999999994</v>
      </c>
      <c r="M4073" s="891"/>
      <c r="N4073" s="891">
        <f>SUM(N4074:N4078)</f>
        <v>0</v>
      </c>
      <c r="O4073" s="892">
        <f t="shared" si="256"/>
        <v>1</v>
      </c>
      <c r="P4073" s="903">
        <f t="shared" si="257"/>
        <v>0</v>
      </c>
      <c r="Q4073" s="893">
        <f t="shared" si="258"/>
        <v>0</v>
      </c>
      <c r="R4073" s="894">
        <f t="shared" si="259"/>
        <v>5</v>
      </c>
    </row>
    <row r="4074" spans="1:18" s="904" customFormat="1">
      <c r="A4074" s="895"/>
      <c r="B4074" s="896"/>
      <c r="C4074" s="897"/>
      <c r="D4074" s="897"/>
      <c r="E4074" s="898" t="s">
        <v>108</v>
      </c>
      <c r="F4074" s="899"/>
      <c r="G4074" s="900"/>
      <c r="H4074" s="901"/>
      <c r="I4074" s="902"/>
      <c r="J4074" s="902"/>
      <c r="K4074" s="912" t="s">
        <v>274</v>
      </c>
      <c r="L4074" s="902"/>
      <c r="M4074" s="902"/>
      <c r="N4074" s="902"/>
      <c r="O4074" s="892">
        <f t="shared" si="256"/>
        <v>0</v>
      </c>
      <c r="P4074" s="903">
        <f t="shared" si="257"/>
        <v>1</v>
      </c>
      <c r="Q4074" s="893">
        <f t="shared" si="258"/>
        <v>5</v>
      </c>
      <c r="R4074" s="894">
        <f t="shared" si="259"/>
        <v>0</v>
      </c>
    </row>
    <row r="4075" spans="1:18">
      <c r="A4075" s="905"/>
      <c r="B4075" s="906"/>
      <c r="C4075" s="907">
        <v>55</v>
      </c>
      <c r="D4075" s="907" t="s">
        <v>279</v>
      </c>
      <c r="E4075" s="925" t="s">
        <v>3192</v>
      </c>
      <c r="F4075" s="926" t="s">
        <v>45</v>
      </c>
      <c r="G4075" s="910"/>
      <c r="H4075" s="911">
        <v>4.43</v>
      </c>
      <c r="I4075" s="912">
        <f>VLOOKUP(E4075,[3]VLP!$B$7:$K$300,10,0)</f>
        <v>2273</v>
      </c>
      <c r="J4075" s="912">
        <f>I4075*H4075</f>
        <v>10069.39</v>
      </c>
      <c r="K4075" s="912" t="s">
        <v>274</v>
      </c>
      <c r="L4075" s="912"/>
      <c r="M4075" s="912"/>
      <c r="N4075" s="912"/>
      <c r="O4075" s="892">
        <f t="shared" si="256"/>
        <v>0</v>
      </c>
      <c r="P4075" s="903">
        <f t="shared" si="257"/>
        <v>1</v>
      </c>
      <c r="Q4075" s="893">
        <f t="shared" si="258"/>
        <v>4</v>
      </c>
      <c r="R4075" s="894">
        <f t="shared" si="259"/>
        <v>0</v>
      </c>
    </row>
    <row r="4076" spans="1:18">
      <c r="A4076" s="905"/>
      <c r="B4076" s="906"/>
      <c r="C4076" s="907">
        <v>124</v>
      </c>
      <c r="D4076" s="907" t="s">
        <v>279</v>
      </c>
      <c r="E4076" s="925" t="s">
        <v>5432</v>
      </c>
      <c r="F4076" s="926" t="s">
        <v>3272</v>
      </c>
      <c r="G4076" s="910"/>
      <c r="H4076" s="911">
        <v>32.61</v>
      </c>
      <c r="I4076" s="912">
        <f>VLOOKUP(E4076,[3]VLP!$B$7:$K$300,10,0)</f>
        <v>20000</v>
      </c>
      <c r="J4076" s="912">
        <f>I4076*H4076</f>
        <v>652200</v>
      </c>
      <c r="K4076" s="912" t="s">
        <v>274</v>
      </c>
      <c r="L4076" s="912"/>
      <c r="M4076" s="912"/>
      <c r="N4076" s="912"/>
      <c r="O4076" s="892">
        <f t="shared" si="256"/>
        <v>0</v>
      </c>
      <c r="P4076" s="903">
        <f t="shared" si="257"/>
        <v>1</v>
      </c>
      <c r="Q4076" s="893">
        <f t="shared" si="258"/>
        <v>3</v>
      </c>
      <c r="R4076" s="894">
        <f t="shared" si="259"/>
        <v>0</v>
      </c>
    </row>
    <row r="4077" spans="1:18" s="904" customFormat="1">
      <c r="A4077" s="895"/>
      <c r="B4077" s="896"/>
      <c r="C4077" s="897"/>
      <c r="D4077" s="897"/>
      <c r="E4077" s="924" t="s">
        <v>276</v>
      </c>
      <c r="F4077" s="927"/>
      <c r="G4077" s="928"/>
      <c r="H4077" s="901"/>
      <c r="I4077" s="902"/>
      <c r="J4077" s="902"/>
      <c r="K4077" s="912" t="s">
        <v>274</v>
      </c>
      <c r="L4077" s="902"/>
      <c r="M4077" s="902"/>
      <c r="N4077" s="902"/>
      <c r="O4077" s="892">
        <f t="shared" si="256"/>
        <v>0</v>
      </c>
      <c r="P4077" s="903">
        <f t="shared" si="257"/>
        <v>1</v>
      </c>
      <c r="Q4077" s="893">
        <f t="shared" si="258"/>
        <v>2</v>
      </c>
      <c r="R4077" s="894">
        <f t="shared" si="259"/>
        <v>0</v>
      </c>
    </row>
    <row r="4078" spans="1:18">
      <c r="A4078" s="905"/>
      <c r="B4078" s="906"/>
      <c r="C4078" s="907">
        <v>735</v>
      </c>
      <c r="D4078" s="907" t="s">
        <v>12</v>
      </c>
      <c r="E4078" s="908" t="s">
        <v>4065</v>
      </c>
      <c r="F4078" s="909" t="s">
        <v>2674</v>
      </c>
      <c r="G4078" s="910"/>
      <c r="H4078" s="911">
        <v>34.799999999999997</v>
      </c>
      <c r="I4078" s="912"/>
      <c r="J4078" s="912"/>
      <c r="K4078" s="912">
        <f>VLOOKUP(E4078,[5]ĐMNC!$A$7:$F$67,4,0)</f>
        <v>203703</v>
      </c>
      <c r="L4078" s="912">
        <f>H4078*K4078</f>
        <v>7088864.3999999994</v>
      </c>
      <c r="M4078" s="912"/>
      <c r="N4078" s="912"/>
      <c r="O4078" s="892">
        <f t="shared" si="256"/>
        <v>0</v>
      </c>
      <c r="P4078" s="903">
        <f t="shared" si="257"/>
        <v>1</v>
      </c>
      <c r="Q4078" s="893">
        <f t="shared" si="258"/>
        <v>1</v>
      </c>
      <c r="R4078" s="894">
        <f t="shared" si="259"/>
        <v>0</v>
      </c>
    </row>
    <row r="4079" spans="1:18" s="847" customFormat="1" ht="31.5">
      <c r="A4079" s="905"/>
      <c r="B4079" s="914" t="s">
        <v>5456</v>
      </c>
      <c r="C4079" s="915"/>
      <c r="D4079" s="915"/>
      <c r="E4079" s="916" t="s">
        <v>5457</v>
      </c>
      <c r="F4079" s="917" t="s">
        <v>5431</v>
      </c>
      <c r="G4079" s="918"/>
      <c r="H4079" s="919"/>
      <c r="I4079" s="920"/>
      <c r="J4079" s="891">
        <f>SUM(J4080:J4084)</f>
        <v>794851.47</v>
      </c>
      <c r="K4079" s="891"/>
      <c r="L4079" s="891">
        <f>SUM(L4080:L4084)</f>
        <v>8506637.2799999993</v>
      </c>
      <c r="M4079" s="891"/>
      <c r="N4079" s="891">
        <f>SUM(N4080:N4084)</f>
        <v>0</v>
      </c>
      <c r="O4079" s="892">
        <f t="shared" si="256"/>
        <v>1</v>
      </c>
      <c r="P4079" s="903">
        <f t="shared" si="257"/>
        <v>0</v>
      </c>
      <c r="Q4079" s="893">
        <f t="shared" si="258"/>
        <v>0</v>
      </c>
      <c r="R4079" s="894">
        <f t="shared" si="259"/>
        <v>5</v>
      </c>
    </row>
    <row r="4080" spans="1:18" s="904" customFormat="1">
      <c r="A4080" s="895"/>
      <c r="B4080" s="896"/>
      <c r="C4080" s="897"/>
      <c r="D4080" s="897"/>
      <c r="E4080" s="898" t="s">
        <v>108</v>
      </c>
      <c r="F4080" s="899"/>
      <c r="G4080" s="900"/>
      <c r="H4080" s="901"/>
      <c r="I4080" s="902"/>
      <c r="J4080" s="902"/>
      <c r="K4080" s="912" t="s">
        <v>274</v>
      </c>
      <c r="L4080" s="902"/>
      <c r="M4080" s="902"/>
      <c r="N4080" s="902"/>
      <c r="O4080" s="892">
        <f t="shared" si="256"/>
        <v>0</v>
      </c>
      <c r="P4080" s="903">
        <f t="shared" si="257"/>
        <v>1</v>
      </c>
      <c r="Q4080" s="893">
        <f t="shared" si="258"/>
        <v>5</v>
      </c>
      <c r="R4080" s="894">
        <f t="shared" si="259"/>
        <v>0</v>
      </c>
    </row>
    <row r="4081" spans="1:18">
      <c r="A4081" s="905"/>
      <c r="B4081" s="906"/>
      <c r="C4081" s="907">
        <v>55</v>
      </c>
      <c r="D4081" s="907" t="s">
        <v>279</v>
      </c>
      <c r="E4081" s="925" t="s">
        <v>3192</v>
      </c>
      <c r="F4081" s="926" t="s">
        <v>45</v>
      </c>
      <c r="G4081" s="910"/>
      <c r="H4081" s="911">
        <v>5.39</v>
      </c>
      <c r="I4081" s="912">
        <f>VLOOKUP(E4081,[3]VLP!$B$7:$K$300,10,0)</f>
        <v>2273</v>
      </c>
      <c r="J4081" s="912">
        <f>I4081*H4081</f>
        <v>12251.47</v>
      </c>
      <c r="K4081" s="912" t="s">
        <v>274</v>
      </c>
      <c r="L4081" s="912"/>
      <c r="M4081" s="912"/>
      <c r="N4081" s="912"/>
      <c r="O4081" s="892">
        <f t="shared" si="256"/>
        <v>0</v>
      </c>
      <c r="P4081" s="903">
        <f t="shared" si="257"/>
        <v>1</v>
      </c>
      <c r="Q4081" s="893">
        <f t="shared" si="258"/>
        <v>4</v>
      </c>
      <c r="R4081" s="894">
        <f t="shared" si="259"/>
        <v>0</v>
      </c>
    </row>
    <row r="4082" spans="1:18">
      <c r="A4082" s="905"/>
      <c r="B4082" s="906"/>
      <c r="C4082" s="907">
        <v>124</v>
      </c>
      <c r="D4082" s="907" t="s">
        <v>279</v>
      </c>
      <c r="E4082" s="925" t="s">
        <v>5432</v>
      </c>
      <c r="F4082" s="926" t="s">
        <v>3272</v>
      </c>
      <c r="G4082" s="910"/>
      <c r="H4082" s="911">
        <v>39.130000000000003</v>
      </c>
      <c r="I4082" s="912">
        <f>VLOOKUP(E4082,[3]VLP!$B$7:$K$300,10,0)</f>
        <v>20000</v>
      </c>
      <c r="J4082" s="912">
        <f>I4082*H4082</f>
        <v>782600</v>
      </c>
      <c r="K4082" s="912" t="s">
        <v>274</v>
      </c>
      <c r="L4082" s="912"/>
      <c r="M4082" s="912"/>
      <c r="N4082" s="912"/>
      <c r="O4082" s="892">
        <f t="shared" si="256"/>
        <v>0</v>
      </c>
      <c r="P4082" s="903">
        <f t="shared" si="257"/>
        <v>1</v>
      </c>
      <c r="Q4082" s="893">
        <f t="shared" si="258"/>
        <v>3</v>
      </c>
      <c r="R4082" s="894">
        <f t="shared" si="259"/>
        <v>0</v>
      </c>
    </row>
    <row r="4083" spans="1:18" s="904" customFormat="1">
      <c r="A4083" s="895"/>
      <c r="B4083" s="896"/>
      <c r="C4083" s="897"/>
      <c r="D4083" s="897"/>
      <c r="E4083" s="924" t="s">
        <v>276</v>
      </c>
      <c r="F4083" s="927"/>
      <c r="G4083" s="928"/>
      <c r="H4083" s="901"/>
      <c r="I4083" s="902"/>
      <c r="J4083" s="902"/>
      <c r="K4083" s="912" t="s">
        <v>274</v>
      </c>
      <c r="L4083" s="902"/>
      <c r="M4083" s="902"/>
      <c r="N4083" s="902"/>
      <c r="O4083" s="892">
        <f t="shared" si="256"/>
        <v>0</v>
      </c>
      <c r="P4083" s="903">
        <f t="shared" si="257"/>
        <v>1</v>
      </c>
      <c r="Q4083" s="893">
        <f t="shared" si="258"/>
        <v>2</v>
      </c>
      <c r="R4083" s="894">
        <f t="shared" si="259"/>
        <v>0</v>
      </c>
    </row>
    <row r="4084" spans="1:18">
      <c r="A4084" s="905"/>
      <c r="B4084" s="906"/>
      <c r="C4084" s="907">
        <v>735</v>
      </c>
      <c r="D4084" s="907" t="s">
        <v>12</v>
      </c>
      <c r="E4084" s="908" t="s">
        <v>4065</v>
      </c>
      <c r="F4084" s="909" t="s">
        <v>2674</v>
      </c>
      <c r="G4084" s="910"/>
      <c r="H4084" s="911">
        <v>41.76</v>
      </c>
      <c r="I4084" s="912"/>
      <c r="J4084" s="912"/>
      <c r="K4084" s="912">
        <f>VLOOKUP(E4084,[5]ĐMNC!$A$7:$F$67,4,0)</f>
        <v>203703</v>
      </c>
      <c r="L4084" s="912">
        <f>H4084*K4084</f>
        <v>8506637.2799999993</v>
      </c>
      <c r="M4084" s="912"/>
      <c r="N4084" s="912"/>
      <c r="O4084" s="892">
        <f t="shared" si="256"/>
        <v>0</v>
      </c>
      <c r="P4084" s="903">
        <f t="shared" si="257"/>
        <v>1</v>
      </c>
      <c r="Q4084" s="893">
        <f t="shared" si="258"/>
        <v>1</v>
      </c>
      <c r="R4084" s="894">
        <f t="shared" si="259"/>
        <v>0</v>
      </c>
    </row>
    <row r="4085" spans="1:18" s="847" customFormat="1" ht="31.5">
      <c r="A4085" s="905"/>
      <c r="B4085" s="914" t="s">
        <v>5458</v>
      </c>
      <c r="C4085" s="915"/>
      <c r="D4085" s="915"/>
      <c r="E4085" s="916" t="s">
        <v>5459</v>
      </c>
      <c r="F4085" s="917" t="s">
        <v>5431</v>
      </c>
      <c r="G4085" s="918"/>
      <c r="H4085" s="919"/>
      <c r="I4085" s="920"/>
      <c r="J4085" s="891">
        <f>SUM(J4086:J4090)</f>
        <v>935906.31</v>
      </c>
      <c r="K4085" s="891"/>
      <c r="L4085" s="891">
        <f>SUM(L4086:L4090)</f>
        <v>10207557.33</v>
      </c>
      <c r="M4085" s="891"/>
      <c r="N4085" s="891">
        <f>SUM(N4086:N4090)</f>
        <v>0</v>
      </c>
      <c r="O4085" s="892">
        <f t="shared" si="256"/>
        <v>1</v>
      </c>
      <c r="P4085" s="903">
        <f t="shared" si="257"/>
        <v>0</v>
      </c>
      <c r="Q4085" s="893">
        <f t="shared" si="258"/>
        <v>0</v>
      </c>
      <c r="R4085" s="894">
        <f t="shared" si="259"/>
        <v>5</v>
      </c>
    </row>
    <row r="4086" spans="1:18" s="904" customFormat="1">
      <c r="A4086" s="895"/>
      <c r="B4086" s="896"/>
      <c r="C4086" s="897"/>
      <c r="D4086" s="897"/>
      <c r="E4086" s="898" t="s">
        <v>108</v>
      </c>
      <c r="F4086" s="899"/>
      <c r="G4086" s="900"/>
      <c r="H4086" s="901"/>
      <c r="I4086" s="902"/>
      <c r="J4086" s="902"/>
      <c r="K4086" s="912" t="s">
        <v>274</v>
      </c>
      <c r="L4086" s="902"/>
      <c r="M4086" s="902"/>
      <c r="N4086" s="902"/>
      <c r="O4086" s="892">
        <f t="shared" si="256"/>
        <v>0</v>
      </c>
      <c r="P4086" s="903">
        <f t="shared" si="257"/>
        <v>1</v>
      </c>
      <c r="Q4086" s="893">
        <f t="shared" si="258"/>
        <v>5</v>
      </c>
      <c r="R4086" s="894">
        <f t="shared" si="259"/>
        <v>0</v>
      </c>
    </row>
    <row r="4087" spans="1:18">
      <c r="A4087" s="905"/>
      <c r="B4087" s="906"/>
      <c r="C4087" s="907">
        <v>55</v>
      </c>
      <c r="D4087" s="907" t="s">
        <v>279</v>
      </c>
      <c r="E4087" s="925" t="s">
        <v>3192</v>
      </c>
      <c r="F4087" s="926" t="s">
        <v>45</v>
      </c>
      <c r="G4087" s="910"/>
      <c r="H4087" s="911">
        <v>6.47</v>
      </c>
      <c r="I4087" s="912">
        <f>VLOOKUP(E4087,[3]VLP!$B$7:$K$300,10,0)</f>
        <v>2273</v>
      </c>
      <c r="J4087" s="912">
        <f>I4087*H4087</f>
        <v>14706.31</v>
      </c>
      <c r="K4087" s="912" t="s">
        <v>274</v>
      </c>
      <c r="L4087" s="912"/>
      <c r="M4087" s="912"/>
      <c r="N4087" s="912"/>
      <c r="O4087" s="892">
        <f t="shared" si="256"/>
        <v>0</v>
      </c>
      <c r="P4087" s="903">
        <f t="shared" si="257"/>
        <v>1</v>
      </c>
      <c r="Q4087" s="893">
        <f t="shared" si="258"/>
        <v>4</v>
      </c>
      <c r="R4087" s="894">
        <f t="shared" si="259"/>
        <v>0</v>
      </c>
    </row>
    <row r="4088" spans="1:18">
      <c r="A4088" s="905"/>
      <c r="B4088" s="906"/>
      <c r="C4088" s="907">
        <v>124</v>
      </c>
      <c r="D4088" s="907" t="s">
        <v>279</v>
      </c>
      <c r="E4088" s="925" t="s">
        <v>5432</v>
      </c>
      <c r="F4088" s="926" t="s">
        <v>3272</v>
      </c>
      <c r="G4088" s="910"/>
      <c r="H4088" s="911">
        <v>46.06</v>
      </c>
      <c r="I4088" s="912">
        <f>VLOOKUP(E4088,[3]VLP!$B$7:$K$300,10,0)</f>
        <v>20000</v>
      </c>
      <c r="J4088" s="912">
        <f>I4088*H4088</f>
        <v>921200</v>
      </c>
      <c r="K4088" s="912" t="s">
        <v>274</v>
      </c>
      <c r="L4088" s="912"/>
      <c r="M4088" s="912"/>
      <c r="N4088" s="912"/>
      <c r="O4088" s="892">
        <f t="shared" si="256"/>
        <v>0</v>
      </c>
      <c r="P4088" s="903">
        <f t="shared" si="257"/>
        <v>1</v>
      </c>
      <c r="Q4088" s="893">
        <f t="shared" si="258"/>
        <v>3</v>
      </c>
      <c r="R4088" s="894">
        <f t="shared" si="259"/>
        <v>0</v>
      </c>
    </row>
    <row r="4089" spans="1:18" s="904" customFormat="1">
      <c r="A4089" s="895"/>
      <c r="B4089" s="896"/>
      <c r="C4089" s="897"/>
      <c r="D4089" s="897"/>
      <c r="E4089" s="924" t="s">
        <v>276</v>
      </c>
      <c r="F4089" s="927"/>
      <c r="G4089" s="928"/>
      <c r="H4089" s="901"/>
      <c r="I4089" s="902"/>
      <c r="J4089" s="902"/>
      <c r="K4089" s="912" t="s">
        <v>274</v>
      </c>
      <c r="L4089" s="902"/>
      <c r="M4089" s="902"/>
      <c r="N4089" s="902"/>
      <c r="O4089" s="892">
        <f t="shared" si="256"/>
        <v>0</v>
      </c>
      <c r="P4089" s="903">
        <f t="shared" si="257"/>
        <v>1</v>
      </c>
      <c r="Q4089" s="893">
        <f t="shared" si="258"/>
        <v>2</v>
      </c>
      <c r="R4089" s="894">
        <f t="shared" si="259"/>
        <v>0</v>
      </c>
    </row>
    <row r="4090" spans="1:18">
      <c r="A4090" s="905"/>
      <c r="B4090" s="906"/>
      <c r="C4090" s="907">
        <v>735</v>
      </c>
      <c r="D4090" s="907" t="s">
        <v>12</v>
      </c>
      <c r="E4090" s="908" t="s">
        <v>4065</v>
      </c>
      <c r="F4090" s="909" t="s">
        <v>2674</v>
      </c>
      <c r="G4090" s="910"/>
      <c r="H4090" s="911">
        <v>50.11</v>
      </c>
      <c r="I4090" s="912"/>
      <c r="J4090" s="912"/>
      <c r="K4090" s="912">
        <f>VLOOKUP(E4090,[5]ĐMNC!$A$7:$F$67,4,0)</f>
        <v>203703</v>
      </c>
      <c r="L4090" s="912">
        <f>H4090*K4090</f>
        <v>10207557.33</v>
      </c>
      <c r="M4090" s="912"/>
      <c r="N4090" s="912"/>
      <c r="O4090" s="892">
        <f t="shared" si="256"/>
        <v>0</v>
      </c>
      <c r="P4090" s="903">
        <f t="shared" si="257"/>
        <v>1</v>
      </c>
      <c r="Q4090" s="893">
        <f t="shared" si="258"/>
        <v>1</v>
      </c>
      <c r="R4090" s="894">
        <f t="shared" si="259"/>
        <v>0</v>
      </c>
    </row>
    <row r="4091" spans="1:18" s="847" customFormat="1" ht="31.5">
      <c r="A4091" s="905"/>
      <c r="B4091" s="914" t="s">
        <v>1257</v>
      </c>
      <c r="C4091" s="915"/>
      <c r="D4091" s="915"/>
      <c r="E4091" s="916" t="s">
        <v>5460</v>
      </c>
      <c r="F4091" s="917" t="s">
        <v>5431</v>
      </c>
      <c r="G4091" s="918"/>
      <c r="H4091" s="919"/>
      <c r="I4091" s="920"/>
      <c r="J4091" s="891">
        <f>SUM(J4092:J4096)</f>
        <v>794487.79</v>
      </c>
      <c r="K4091" s="891"/>
      <c r="L4091" s="891">
        <f>SUM(L4092:L4096)</f>
        <v>8506637.2799999993</v>
      </c>
      <c r="M4091" s="891"/>
      <c r="N4091" s="891">
        <f>SUM(N4092:N4096)</f>
        <v>0</v>
      </c>
      <c r="O4091" s="892">
        <f t="shared" si="256"/>
        <v>1</v>
      </c>
      <c r="P4091" s="903">
        <f t="shared" si="257"/>
        <v>0</v>
      </c>
      <c r="Q4091" s="893">
        <f t="shared" si="258"/>
        <v>0</v>
      </c>
      <c r="R4091" s="894">
        <f t="shared" si="259"/>
        <v>5</v>
      </c>
    </row>
    <row r="4092" spans="1:18" s="904" customFormat="1">
      <c r="A4092" s="895"/>
      <c r="B4092" s="922"/>
      <c r="C4092" s="897"/>
      <c r="D4092" s="897"/>
      <c r="E4092" s="898" t="s">
        <v>108</v>
      </c>
      <c r="F4092" s="899"/>
      <c r="G4092" s="900"/>
      <c r="H4092" s="901"/>
      <c r="I4092" s="902"/>
      <c r="J4092" s="902"/>
      <c r="K4092" s="912" t="s">
        <v>274</v>
      </c>
      <c r="L4092" s="902"/>
      <c r="M4092" s="902"/>
      <c r="N4092" s="902"/>
      <c r="O4092" s="892">
        <f t="shared" si="256"/>
        <v>0</v>
      </c>
      <c r="P4092" s="903">
        <f t="shared" si="257"/>
        <v>1</v>
      </c>
      <c r="Q4092" s="893">
        <f t="shared" si="258"/>
        <v>5</v>
      </c>
      <c r="R4092" s="894">
        <f t="shared" si="259"/>
        <v>0</v>
      </c>
    </row>
    <row r="4093" spans="1:18">
      <c r="A4093" s="905"/>
      <c r="B4093" s="906"/>
      <c r="C4093" s="907">
        <v>55</v>
      </c>
      <c r="D4093" s="907" t="s">
        <v>279</v>
      </c>
      <c r="E4093" s="925" t="s">
        <v>3192</v>
      </c>
      <c r="F4093" s="926" t="s">
        <v>45</v>
      </c>
      <c r="G4093" s="910"/>
      <c r="H4093" s="911">
        <v>5.23</v>
      </c>
      <c r="I4093" s="912">
        <f>VLOOKUP(E4093,[3]VLP!$B$7:$K$300,10,0)</f>
        <v>2273</v>
      </c>
      <c r="J4093" s="912">
        <f>I4093*H4093</f>
        <v>11887.79</v>
      </c>
      <c r="K4093" s="912" t="s">
        <v>274</v>
      </c>
      <c r="L4093" s="912"/>
      <c r="M4093" s="912"/>
      <c r="N4093" s="912"/>
      <c r="O4093" s="892">
        <f t="shared" si="256"/>
        <v>0</v>
      </c>
      <c r="P4093" s="903">
        <f t="shared" si="257"/>
        <v>1</v>
      </c>
      <c r="Q4093" s="893">
        <f t="shared" si="258"/>
        <v>4</v>
      </c>
      <c r="R4093" s="894">
        <f t="shared" si="259"/>
        <v>0</v>
      </c>
    </row>
    <row r="4094" spans="1:18">
      <c r="A4094" s="905"/>
      <c r="B4094" s="906"/>
      <c r="C4094" s="907">
        <v>124</v>
      </c>
      <c r="D4094" s="907" t="s">
        <v>279</v>
      </c>
      <c r="E4094" s="925" t="s">
        <v>5432</v>
      </c>
      <c r="F4094" s="926" t="s">
        <v>3272</v>
      </c>
      <c r="G4094" s="910"/>
      <c r="H4094" s="911">
        <v>39.130000000000003</v>
      </c>
      <c r="I4094" s="912">
        <f>VLOOKUP(E4094,[3]VLP!$B$7:$K$300,10,0)</f>
        <v>20000</v>
      </c>
      <c r="J4094" s="912">
        <f>I4094*H4094</f>
        <v>782600</v>
      </c>
      <c r="K4094" s="912" t="s">
        <v>274</v>
      </c>
      <c r="L4094" s="912"/>
      <c r="M4094" s="912"/>
      <c r="N4094" s="912"/>
      <c r="O4094" s="892">
        <f t="shared" si="256"/>
        <v>0</v>
      </c>
      <c r="P4094" s="903">
        <f t="shared" si="257"/>
        <v>1</v>
      </c>
      <c r="Q4094" s="893">
        <f t="shared" si="258"/>
        <v>3</v>
      </c>
      <c r="R4094" s="894">
        <f t="shared" si="259"/>
        <v>0</v>
      </c>
    </row>
    <row r="4095" spans="1:18" s="904" customFormat="1">
      <c r="A4095" s="895"/>
      <c r="B4095" s="896"/>
      <c r="C4095" s="897"/>
      <c r="D4095" s="897"/>
      <c r="E4095" s="924" t="s">
        <v>276</v>
      </c>
      <c r="F4095" s="927"/>
      <c r="G4095" s="928"/>
      <c r="H4095" s="901"/>
      <c r="I4095" s="902"/>
      <c r="J4095" s="902"/>
      <c r="K4095" s="912" t="s">
        <v>274</v>
      </c>
      <c r="L4095" s="902"/>
      <c r="M4095" s="902"/>
      <c r="N4095" s="902"/>
      <c r="O4095" s="892">
        <f t="shared" si="256"/>
        <v>0</v>
      </c>
      <c r="P4095" s="903">
        <f t="shared" si="257"/>
        <v>1</v>
      </c>
      <c r="Q4095" s="893">
        <f t="shared" si="258"/>
        <v>2</v>
      </c>
      <c r="R4095" s="894">
        <f t="shared" si="259"/>
        <v>0</v>
      </c>
    </row>
    <row r="4096" spans="1:18">
      <c r="A4096" s="905"/>
      <c r="B4096" s="906"/>
      <c r="C4096" s="907">
        <v>735</v>
      </c>
      <c r="D4096" s="907" t="s">
        <v>12</v>
      </c>
      <c r="E4096" s="908" t="s">
        <v>4065</v>
      </c>
      <c r="F4096" s="909" t="s">
        <v>2674</v>
      </c>
      <c r="G4096" s="910"/>
      <c r="H4096" s="911">
        <v>41.76</v>
      </c>
      <c r="I4096" s="912"/>
      <c r="J4096" s="912"/>
      <c r="K4096" s="912">
        <f>VLOOKUP(E4096,[5]ĐMNC!$A$7:$F$67,4,0)</f>
        <v>203703</v>
      </c>
      <c r="L4096" s="912">
        <f>H4096*K4096</f>
        <v>8506637.2799999993</v>
      </c>
      <c r="M4096" s="912"/>
      <c r="N4096" s="912"/>
      <c r="O4096" s="892">
        <f t="shared" si="256"/>
        <v>0</v>
      </c>
      <c r="P4096" s="903">
        <f t="shared" si="257"/>
        <v>1</v>
      </c>
      <c r="Q4096" s="893">
        <f t="shared" si="258"/>
        <v>1</v>
      </c>
      <c r="R4096" s="894">
        <f t="shared" si="259"/>
        <v>0</v>
      </c>
    </row>
    <row r="4097" spans="1:18" s="847" customFormat="1" ht="31.5">
      <c r="A4097" s="905"/>
      <c r="B4097" s="914" t="s">
        <v>5461</v>
      </c>
      <c r="C4097" s="915"/>
      <c r="D4097" s="915"/>
      <c r="E4097" s="916" t="s">
        <v>5462</v>
      </c>
      <c r="F4097" s="917" t="s">
        <v>5431</v>
      </c>
      <c r="G4097" s="918"/>
      <c r="H4097" s="919"/>
      <c r="I4097" s="920"/>
      <c r="J4097" s="891">
        <f>SUM(J4098:J4102)</f>
        <v>953906.31</v>
      </c>
      <c r="K4097" s="891"/>
      <c r="L4097" s="891">
        <f>SUM(L4098:L4102)</f>
        <v>10207557.33</v>
      </c>
      <c r="M4097" s="891"/>
      <c r="N4097" s="891">
        <f>SUM(N4098:N4102)</f>
        <v>0</v>
      </c>
      <c r="O4097" s="892">
        <f t="shared" si="256"/>
        <v>1</v>
      </c>
      <c r="P4097" s="903">
        <f t="shared" si="257"/>
        <v>0</v>
      </c>
      <c r="Q4097" s="893">
        <f t="shared" si="258"/>
        <v>0</v>
      </c>
      <c r="R4097" s="894">
        <f t="shared" si="259"/>
        <v>5</v>
      </c>
    </row>
    <row r="4098" spans="1:18" s="904" customFormat="1">
      <c r="A4098" s="895"/>
      <c r="B4098" s="896"/>
      <c r="C4098" s="897"/>
      <c r="D4098" s="897"/>
      <c r="E4098" s="898" t="s">
        <v>108</v>
      </c>
      <c r="F4098" s="899"/>
      <c r="G4098" s="900"/>
      <c r="H4098" s="901"/>
      <c r="I4098" s="902"/>
      <c r="J4098" s="902"/>
      <c r="K4098" s="912" t="s">
        <v>274</v>
      </c>
      <c r="L4098" s="902"/>
      <c r="M4098" s="902"/>
      <c r="N4098" s="902"/>
      <c r="O4098" s="892">
        <f t="shared" si="256"/>
        <v>0</v>
      </c>
      <c r="P4098" s="903">
        <f t="shared" si="257"/>
        <v>1</v>
      </c>
      <c r="Q4098" s="893">
        <f t="shared" si="258"/>
        <v>5</v>
      </c>
      <c r="R4098" s="894">
        <f t="shared" si="259"/>
        <v>0</v>
      </c>
    </row>
    <row r="4099" spans="1:18">
      <c r="A4099" s="905"/>
      <c r="B4099" s="906"/>
      <c r="C4099" s="907">
        <v>55</v>
      </c>
      <c r="D4099" s="907" t="s">
        <v>279</v>
      </c>
      <c r="E4099" s="925" t="s">
        <v>3192</v>
      </c>
      <c r="F4099" s="926" t="s">
        <v>45</v>
      </c>
      <c r="G4099" s="910"/>
      <c r="H4099" s="911">
        <v>6.47</v>
      </c>
      <c r="I4099" s="912">
        <f>VLOOKUP(E4099,[3]VLP!$B$7:$K$300,10,0)</f>
        <v>2273</v>
      </c>
      <c r="J4099" s="912">
        <f>I4099*H4099</f>
        <v>14706.31</v>
      </c>
      <c r="K4099" s="912" t="s">
        <v>274</v>
      </c>
      <c r="L4099" s="912"/>
      <c r="M4099" s="912"/>
      <c r="N4099" s="912"/>
      <c r="O4099" s="892">
        <f t="shared" si="256"/>
        <v>0</v>
      </c>
      <c r="P4099" s="903">
        <f t="shared" si="257"/>
        <v>1</v>
      </c>
      <c r="Q4099" s="893">
        <f t="shared" si="258"/>
        <v>4</v>
      </c>
      <c r="R4099" s="894">
        <f t="shared" si="259"/>
        <v>0</v>
      </c>
    </row>
    <row r="4100" spans="1:18">
      <c r="A4100" s="905"/>
      <c r="B4100" s="906"/>
      <c r="C4100" s="907">
        <v>124</v>
      </c>
      <c r="D4100" s="907" t="s">
        <v>279</v>
      </c>
      <c r="E4100" s="925" t="s">
        <v>5432</v>
      </c>
      <c r="F4100" s="926" t="s">
        <v>3272</v>
      </c>
      <c r="G4100" s="910"/>
      <c r="H4100" s="911">
        <v>46.96</v>
      </c>
      <c r="I4100" s="912">
        <f>VLOOKUP(E4100,[3]VLP!$B$7:$K$300,10,0)</f>
        <v>20000</v>
      </c>
      <c r="J4100" s="912">
        <f>I4100*H4100</f>
        <v>939200</v>
      </c>
      <c r="K4100" s="912" t="s">
        <v>274</v>
      </c>
      <c r="L4100" s="912"/>
      <c r="M4100" s="912"/>
      <c r="N4100" s="912"/>
      <c r="O4100" s="892">
        <f t="shared" si="256"/>
        <v>0</v>
      </c>
      <c r="P4100" s="903">
        <f t="shared" si="257"/>
        <v>1</v>
      </c>
      <c r="Q4100" s="893">
        <f t="shared" si="258"/>
        <v>3</v>
      </c>
      <c r="R4100" s="894">
        <f t="shared" si="259"/>
        <v>0</v>
      </c>
    </row>
    <row r="4101" spans="1:18" s="904" customFormat="1">
      <c r="A4101" s="895"/>
      <c r="B4101" s="896"/>
      <c r="C4101" s="897"/>
      <c r="D4101" s="897"/>
      <c r="E4101" s="924" t="s">
        <v>276</v>
      </c>
      <c r="F4101" s="927"/>
      <c r="G4101" s="928"/>
      <c r="H4101" s="901"/>
      <c r="I4101" s="902"/>
      <c r="J4101" s="902"/>
      <c r="K4101" s="912" t="s">
        <v>274</v>
      </c>
      <c r="L4101" s="902"/>
      <c r="M4101" s="902"/>
      <c r="N4101" s="902"/>
      <c r="O4101" s="892">
        <f t="shared" si="256"/>
        <v>0</v>
      </c>
      <c r="P4101" s="903">
        <f t="shared" si="257"/>
        <v>1</v>
      </c>
      <c r="Q4101" s="893">
        <f t="shared" si="258"/>
        <v>2</v>
      </c>
      <c r="R4101" s="894">
        <f t="shared" si="259"/>
        <v>0</v>
      </c>
    </row>
    <row r="4102" spans="1:18">
      <c r="A4102" s="905"/>
      <c r="B4102" s="906"/>
      <c r="C4102" s="907">
        <v>735</v>
      </c>
      <c r="D4102" s="907" t="s">
        <v>12</v>
      </c>
      <c r="E4102" s="908" t="s">
        <v>4065</v>
      </c>
      <c r="F4102" s="909" t="s">
        <v>2674</v>
      </c>
      <c r="G4102" s="910"/>
      <c r="H4102" s="911">
        <v>50.11</v>
      </c>
      <c r="I4102" s="912"/>
      <c r="J4102" s="912"/>
      <c r="K4102" s="912">
        <f>VLOOKUP(E4102,[5]ĐMNC!$A$7:$F$67,4,0)</f>
        <v>203703</v>
      </c>
      <c r="L4102" s="912">
        <f>H4102*K4102</f>
        <v>10207557.33</v>
      </c>
      <c r="M4102" s="912"/>
      <c r="N4102" s="912"/>
      <c r="O4102" s="892">
        <f t="shared" si="256"/>
        <v>0</v>
      </c>
      <c r="P4102" s="903">
        <f t="shared" si="257"/>
        <v>1</v>
      </c>
      <c r="Q4102" s="893">
        <f t="shared" si="258"/>
        <v>1</v>
      </c>
      <c r="R4102" s="894">
        <f t="shared" si="259"/>
        <v>0</v>
      </c>
    </row>
    <row r="4103" spans="1:18" s="847" customFormat="1" ht="31.5">
      <c r="A4103" s="905"/>
      <c r="B4103" s="914" t="s">
        <v>5463</v>
      </c>
      <c r="C4103" s="915"/>
      <c r="D4103" s="915"/>
      <c r="E4103" s="916" t="s">
        <v>5464</v>
      </c>
      <c r="F4103" s="917" t="s">
        <v>5431</v>
      </c>
      <c r="G4103" s="918"/>
      <c r="H4103" s="919"/>
      <c r="I4103" s="920"/>
      <c r="J4103" s="891">
        <f>SUM(J4104:J4108)</f>
        <v>1144661.21</v>
      </c>
      <c r="K4103" s="891"/>
      <c r="L4103" s="891">
        <f>SUM(L4104:L4108)</f>
        <v>12248661.390000001</v>
      </c>
      <c r="M4103" s="891"/>
      <c r="N4103" s="891">
        <f>SUM(N4104:N4108)</f>
        <v>0</v>
      </c>
      <c r="O4103" s="892">
        <f t="shared" si="256"/>
        <v>1</v>
      </c>
      <c r="P4103" s="903">
        <f t="shared" si="257"/>
        <v>0</v>
      </c>
      <c r="Q4103" s="893">
        <f t="shared" si="258"/>
        <v>0</v>
      </c>
      <c r="R4103" s="894">
        <f t="shared" si="259"/>
        <v>5</v>
      </c>
    </row>
    <row r="4104" spans="1:18" s="904" customFormat="1">
      <c r="A4104" s="895"/>
      <c r="B4104" s="896"/>
      <c r="C4104" s="897"/>
      <c r="D4104" s="897"/>
      <c r="E4104" s="898" t="s">
        <v>108</v>
      </c>
      <c r="F4104" s="899"/>
      <c r="G4104" s="900"/>
      <c r="H4104" s="901"/>
      <c r="I4104" s="902"/>
      <c r="J4104" s="902"/>
      <c r="K4104" s="912" t="s">
        <v>274</v>
      </c>
      <c r="L4104" s="902"/>
      <c r="M4104" s="902"/>
      <c r="N4104" s="902"/>
      <c r="O4104" s="892">
        <f t="shared" si="256"/>
        <v>0</v>
      </c>
      <c r="P4104" s="903">
        <f t="shared" si="257"/>
        <v>1</v>
      </c>
      <c r="Q4104" s="893">
        <f t="shared" si="258"/>
        <v>5</v>
      </c>
      <c r="R4104" s="894">
        <f t="shared" si="259"/>
        <v>0</v>
      </c>
    </row>
    <row r="4105" spans="1:18">
      <c r="A4105" s="905"/>
      <c r="B4105" s="906"/>
      <c r="C4105" s="907">
        <v>55</v>
      </c>
      <c r="D4105" s="907" t="s">
        <v>279</v>
      </c>
      <c r="E4105" s="925" t="s">
        <v>3192</v>
      </c>
      <c r="F4105" s="926" t="s">
        <v>45</v>
      </c>
      <c r="G4105" s="910"/>
      <c r="H4105" s="911">
        <v>7.77</v>
      </c>
      <c r="I4105" s="912">
        <f>VLOOKUP(E4105,[3]VLP!$B$7:$K$300,10,0)</f>
        <v>2273</v>
      </c>
      <c r="J4105" s="912">
        <f>I4105*H4105</f>
        <v>17661.21</v>
      </c>
      <c r="K4105" s="912" t="s">
        <v>274</v>
      </c>
      <c r="L4105" s="912"/>
      <c r="M4105" s="912"/>
      <c r="N4105" s="912"/>
      <c r="O4105" s="892">
        <f t="shared" si="256"/>
        <v>0</v>
      </c>
      <c r="P4105" s="903">
        <f t="shared" si="257"/>
        <v>1</v>
      </c>
      <c r="Q4105" s="893">
        <f t="shared" si="258"/>
        <v>4</v>
      </c>
      <c r="R4105" s="894">
        <f t="shared" si="259"/>
        <v>0</v>
      </c>
    </row>
    <row r="4106" spans="1:18">
      <c r="A4106" s="905"/>
      <c r="B4106" s="906"/>
      <c r="C4106" s="907">
        <v>124</v>
      </c>
      <c r="D4106" s="907" t="s">
        <v>279</v>
      </c>
      <c r="E4106" s="925" t="s">
        <v>5432</v>
      </c>
      <c r="F4106" s="926" t="s">
        <v>3272</v>
      </c>
      <c r="G4106" s="910"/>
      <c r="H4106" s="911">
        <v>56.35</v>
      </c>
      <c r="I4106" s="912">
        <f>VLOOKUP(E4106,[3]VLP!$B$7:$K$300,10,0)</f>
        <v>20000</v>
      </c>
      <c r="J4106" s="912">
        <f>I4106*H4106</f>
        <v>1127000</v>
      </c>
      <c r="K4106" s="912" t="s">
        <v>274</v>
      </c>
      <c r="L4106" s="912"/>
      <c r="M4106" s="912"/>
      <c r="N4106" s="912"/>
      <c r="O4106" s="892">
        <f t="shared" si="256"/>
        <v>0</v>
      </c>
      <c r="P4106" s="903">
        <f t="shared" si="257"/>
        <v>1</v>
      </c>
      <c r="Q4106" s="893">
        <f t="shared" si="258"/>
        <v>3</v>
      </c>
      <c r="R4106" s="894">
        <f t="shared" si="259"/>
        <v>0</v>
      </c>
    </row>
    <row r="4107" spans="1:18" s="904" customFormat="1">
      <c r="A4107" s="895"/>
      <c r="B4107" s="896"/>
      <c r="C4107" s="897"/>
      <c r="D4107" s="897"/>
      <c r="E4107" s="924" t="s">
        <v>276</v>
      </c>
      <c r="F4107" s="927"/>
      <c r="G4107" s="928"/>
      <c r="H4107" s="901"/>
      <c r="I4107" s="902"/>
      <c r="J4107" s="902"/>
      <c r="K4107" s="912" t="s">
        <v>274</v>
      </c>
      <c r="L4107" s="902"/>
      <c r="M4107" s="902"/>
      <c r="N4107" s="902"/>
      <c r="O4107" s="892">
        <f t="shared" si="256"/>
        <v>0</v>
      </c>
      <c r="P4107" s="903">
        <f t="shared" si="257"/>
        <v>1</v>
      </c>
      <c r="Q4107" s="893">
        <f t="shared" si="258"/>
        <v>2</v>
      </c>
      <c r="R4107" s="894">
        <f t="shared" si="259"/>
        <v>0</v>
      </c>
    </row>
    <row r="4108" spans="1:18">
      <c r="A4108" s="905"/>
      <c r="B4108" s="906"/>
      <c r="C4108" s="907">
        <v>735</v>
      </c>
      <c r="D4108" s="907" t="s">
        <v>12</v>
      </c>
      <c r="E4108" s="908" t="s">
        <v>4065</v>
      </c>
      <c r="F4108" s="909" t="s">
        <v>2674</v>
      </c>
      <c r="G4108" s="910"/>
      <c r="H4108" s="911">
        <v>60.13</v>
      </c>
      <c r="I4108" s="912"/>
      <c r="J4108" s="912"/>
      <c r="K4108" s="912">
        <f>VLOOKUP(E4108,[5]ĐMNC!$A$7:$F$67,4,0)</f>
        <v>203703</v>
      </c>
      <c r="L4108" s="912">
        <f>H4108*K4108</f>
        <v>12248661.390000001</v>
      </c>
      <c r="M4108" s="912"/>
      <c r="N4108" s="912"/>
      <c r="O4108" s="892">
        <f t="shared" si="256"/>
        <v>0</v>
      </c>
      <c r="P4108" s="903">
        <f t="shared" si="257"/>
        <v>1</v>
      </c>
      <c r="Q4108" s="893">
        <f t="shared" si="258"/>
        <v>1</v>
      </c>
      <c r="R4108" s="894">
        <f t="shared" si="259"/>
        <v>0</v>
      </c>
    </row>
    <row r="4109" spans="1:18" s="847" customFormat="1" ht="31.5">
      <c r="A4109" s="905"/>
      <c r="B4109" s="914" t="s">
        <v>1259</v>
      </c>
      <c r="C4109" s="915"/>
      <c r="D4109" s="915"/>
      <c r="E4109" s="916" t="s">
        <v>5465</v>
      </c>
      <c r="F4109" s="917" t="s">
        <v>5431</v>
      </c>
      <c r="G4109" s="918"/>
      <c r="H4109" s="919"/>
      <c r="I4109" s="920"/>
      <c r="J4109" s="891">
        <f>SUM(J4110:J4114)</f>
        <v>162727.6</v>
      </c>
      <c r="K4109" s="891"/>
      <c r="L4109" s="891">
        <f>SUM(L4110:L4114)</f>
        <v>1389254.46</v>
      </c>
      <c r="M4109" s="891"/>
      <c r="N4109" s="891">
        <f>SUM(N4110:N4114)</f>
        <v>0</v>
      </c>
      <c r="O4109" s="892">
        <f t="shared" si="256"/>
        <v>1</v>
      </c>
      <c r="P4109" s="903">
        <f t="shared" si="257"/>
        <v>0</v>
      </c>
      <c r="Q4109" s="893">
        <f t="shared" si="258"/>
        <v>0</v>
      </c>
      <c r="R4109" s="894">
        <f t="shared" si="259"/>
        <v>5</v>
      </c>
    </row>
    <row r="4110" spans="1:18" s="904" customFormat="1">
      <c r="A4110" s="895"/>
      <c r="B4110" s="922"/>
      <c r="C4110" s="897"/>
      <c r="D4110" s="897"/>
      <c r="E4110" s="898" t="s">
        <v>108</v>
      </c>
      <c r="F4110" s="899"/>
      <c r="G4110" s="900"/>
      <c r="H4110" s="901"/>
      <c r="I4110" s="902"/>
      <c r="J4110" s="902"/>
      <c r="K4110" s="912" t="s">
        <v>274</v>
      </c>
      <c r="L4110" s="902"/>
      <c r="M4110" s="902"/>
      <c r="N4110" s="902"/>
      <c r="O4110" s="892">
        <f t="shared" si="256"/>
        <v>0</v>
      </c>
      <c r="P4110" s="903">
        <f t="shared" si="257"/>
        <v>1</v>
      </c>
      <c r="Q4110" s="893">
        <f t="shared" si="258"/>
        <v>5</v>
      </c>
      <c r="R4110" s="894">
        <f t="shared" si="259"/>
        <v>0</v>
      </c>
    </row>
    <row r="4111" spans="1:18">
      <c r="A4111" s="905"/>
      <c r="B4111" s="906"/>
      <c r="C4111" s="907">
        <v>55</v>
      </c>
      <c r="D4111" s="907" t="s">
        <v>279</v>
      </c>
      <c r="E4111" s="925" t="s">
        <v>3192</v>
      </c>
      <c r="F4111" s="926" t="s">
        <v>45</v>
      </c>
      <c r="G4111" s="910"/>
      <c r="H4111" s="911">
        <v>1.2</v>
      </c>
      <c r="I4111" s="912">
        <f>VLOOKUP(E4111,[3]VLP!$B$7:$K$300,10,0)</f>
        <v>2273</v>
      </c>
      <c r="J4111" s="912">
        <f>I4111*H4111</f>
        <v>2727.6</v>
      </c>
      <c r="K4111" s="912" t="s">
        <v>274</v>
      </c>
      <c r="L4111" s="912"/>
      <c r="M4111" s="912"/>
      <c r="N4111" s="912"/>
      <c r="O4111" s="892">
        <f t="shared" si="256"/>
        <v>0</v>
      </c>
      <c r="P4111" s="903">
        <f t="shared" si="257"/>
        <v>1</v>
      </c>
      <c r="Q4111" s="893">
        <f t="shared" si="258"/>
        <v>4</v>
      </c>
      <c r="R4111" s="894">
        <f t="shared" si="259"/>
        <v>0</v>
      </c>
    </row>
    <row r="4112" spans="1:18">
      <c r="A4112" s="905"/>
      <c r="B4112" s="906"/>
      <c r="C4112" s="907">
        <v>124</v>
      </c>
      <c r="D4112" s="907" t="s">
        <v>279</v>
      </c>
      <c r="E4112" s="925" t="s">
        <v>5432</v>
      </c>
      <c r="F4112" s="926" t="s">
        <v>3272</v>
      </c>
      <c r="G4112" s="910"/>
      <c r="H4112" s="911">
        <v>8</v>
      </c>
      <c r="I4112" s="912">
        <f>VLOOKUP(E4112,[3]VLP!$B$7:$K$300,10,0)</f>
        <v>20000</v>
      </c>
      <c r="J4112" s="912">
        <f>I4112*H4112</f>
        <v>160000</v>
      </c>
      <c r="K4112" s="912" t="s">
        <v>274</v>
      </c>
      <c r="L4112" s="912"/>
      <c r="M4112" s="912"/>
      <c r="N4112" s="912"/>
      <c r="O4112" s="892">
        <f t="shared" si="256"/>
        <v>0</v>
      </c>
      <c r="P4112" s="903">
        <f t="shared" si="257"/>
        <v>1</v>
      </c>
      <c r="Q4112" s="893">
        <f t="shared" si="258"/>
        <v>3</v>
      </c>
      <c r="R4112" s="894">
        <f t="shared" si="259"/>
        <v>0</v>
      </c>
    </row>
    <row r="4113" spans="1:18" s="904" customFormat="1">
      <c r="A4113" s="895"/>
      <c r="B4113" s="896"/>
      <c r="C4113" s="897"/>
      <c r="D4113" s="897"/>
      <c r="E4113" s="924" t="s">
        <v>276</v>
      </c>
      <c r="F4113" s="927"/>
      <c r="G4113" s="928"/>
      <c r="H4113" s="901"/>
      <c r="I4113" s="902"/>
      <c r="J4113" s="902"/>
      <c r="K4113" s="912" t="s">
        <v>274</v>
      </c>
      <c r="L4113" s="902"/>
      <c r="M4113" s="902"/>
      <c r="N4113" s="902"/>
      <c r="O4113" s="892">
        <f t="shared" si="256"/>
        <v>0</v>
      </c>
      <c r="P4113" s="903">
        <f t="shared" si="257"/>
        <v>1</v>
      </c>
      <c r="Q4113" s="893">
        <f t="shared" si="258"/>
        <v>2</v>
      </c>
      <c r="R4113" s="894">
        <f t="shared" si="259"/>
        <v>0</v>
      </c>
    </row>
    <row r="4114" spans="1:18">
      <c r="A4114" s="905"/>
      <c r="B4114" s="906"/>
      <c r="C4114" s="907">
        <v>735</v>
      </c>
      <c r="D4114" s="907" t="s">
        <v>12</v>
      </c>
      <c r="E4114" s="908" t="s">
        <v>4065</v>
      </c>
      <c r="F4114" s="909" t="s">
        <v>2674</v>
      </c>
      <c r="G4114" s="910"/>
      <c r="H4114" s="911">
        <v>6.82</v>
      </c>
      <c r="I4114" s="912"/>
      <c r="J4114" s="912"/>
      <c r="K4114" s="912">
        <f>VLOOKUP(E4114,[5]ĐMNC!$A$7:$F$67,4,0)</f>
        <v>203703</v>
      </c>
      <c r="L4114" s="912">
        <f>H4114*K4114</f>
        <v>1389254.46</v>
      </c>
      <c r="M4114" s="912"/>
      <c r="N4114" s="912"/>
      <c r="O4114" s="892">
        <f t="shared" si="256"/>
        <v>0</v>
      </c>
      <c r="P4114" s="903">
        <f t="shared" si="257"/>
        <v>1</v>
      </c>
      <c r="Q4114" s="893">
        <f t="shared" si="258"/>
        <v>1</v>
      </c>
      <c r="R4114" s="894">
        <f t="shared" si="259"/>
        <v>0</v>
      </c>
    </row>
    <row r="4115" spans="1:18" s="847" customFormat="1" ht="31.5">
      <c r="A4115" s="905"/>
      <c r="B4115" s="914" t="s">
        <v>1261</v>
      </c>
      <c r="C4115" s="915"/>
      <c r="D4115" s="915"/>
      <c r="E4115" s="916" t="s">
        <v>5466</v>
      </c>
      <c r="F4115" s="917" t="s">
        <v>5431</v>
      </c>
      <c r="G4115" s="918"/>
      <c r="H4115" s="919"/>
      <c r="I4115" s="920"/>
      <c r="J4115" s="891">
        <f>SUM(J4116:J4120)</f>
        <v>203409.5</v>
      </c>
      <c r="K4115" s="891"/>
      <c r="L4115" s="891">
        <f>SUM(L4116:L4120)</f>
        <v>1599068.5499999998</v>
      </c>
      <c r="M4115" s="891"/>
      <c r="N4115" s="891">
        <f>SUM(N4116:N4120)</f>
        <v>0</v>
      </c>
      <c r="O4115" s="892">
        <f t="shared" si="256"/>
        <v>1</v>
      </c>
      <c r="P4115" s="903">
        <f t="shared" si="257"/>
        <v>0</v>
      </c>
      <c r="Q4115" s="893">
        <f t="shared" si="258"/>
        <v>0</v>
      </c>
      <c r="R4115" s="894">
        <f t="shared" si="259"/>
        <v>5</v>
      </c>
    </row>
    <row r="4116" spans="1:18" s="904" customFormat="1">
      <c r="A4116" s="895"/>
      <c r="B4116" s="896"/>
      <c r="C4116" s="897"/>
      <c r="D4116" s="897"/>
      <c r="E4116" s="898" t="s">
        <v>108</v>
      </c>
      <c r="F4116" s="899"/>
      <c r="G4116" s="900"/>
      <c r="H4116" s="901"/>
      <c r="I4116" s="902"/>
      <c r="J4116" s="902"/>
      <c r="K4116" s="912" t="s">
        <v>274</v>
      </c>
      <c r="L4116" s="902"/>
      <c r="M4116" s="902"/>
      <c r="N4116" s="902"/>
      <c r="O4116" s="892">
        <f t="shared" si="256"/>
        <v>0</v>
      </c>
      <c r="P4116" s="903">
        <f t="shared" si="257"/>
        <v>1</v>
      </c>
      <c r="Q4116" s="893">
        <f t="shared" si="258"/>
        <v>5</v>
      </c>
      <c r="R4116" s="894">
        <f t="shared" si="259"/>
        <v>0</v>
      </c>
    </row>
    <row r="4117" spans="1:18">
      <c r="A4117" s="905"/>
      <c r="B4117" s="906"/>
      <c r="C4117" s="907">
        <v>55</v>
      </c>
      <c r="D4117" s="907" t="s">
        <v>279</v>
      </c>
      <c r="E4117" s="925" t="s">
        <v>3192</v>
      </c>
      <c r="F4117" s="926" t="s">
        <v>45</v>
      </c>
      <c r="G4117" s="910"/>
      <c r="H4117" s="911">
        <v>1.5</v>
      </c>
      <c r="I4117" s="912">
        <f>VLOOKUP(E4117,[3]VLP!$B$7:$K$300,10,0)</f>
        <v>2273</v>
      </c>
      <c r="J4117" s="912">
        <f>I4117*H4117</f>
        <v>3409.5</v>
      </c>
      <c r="K4117" s="912" t="s">
        <v>274</v>
      </c>
      <c r="L4117" s="912"/>
      <c r="M4117" s="912"/>
      <c r="N4117" s="912"/>
      <c r="O4117" s="892">
        <f t="shared" si="256"/>
        <v>0</v>
      </c>
      <c r="P4117" s="903">
        <f t="shared" si="257"/>
        <v>1</v>
      </c>
      <c r="Q4117" s="893">
        <f t="shared" si="258"/>
        <v>4</v>
      </c>
      <c r="R4117" s="894">
        <f t="shared" si="259"/>
        <v>0</v>
      </c>
    </row>
    <row r="4118" spans="1:18">
      <c r="A4118" s="905"/>
      <c r="B4118" s="906"/>
      <c r="C4118" s="907">
        <v>124</v>
      </c>
      <c r="D4118" s="907" t="s">
        <v>279</v>
      </c>
      <c r="E4118" s="925" t="s">
        <v>5432</v>
      </c>
      <c r="F4118" s="926" t="s">
        <v>3272</v>
      </c>
      <c r="G4118" s="910"/>
      <c r="H4118" s="911">
        <v>10</v>
      </c>
      <c r="I4118" s="912">
        <f>VLOOKUP(E4118,[3]VLP!$B$7:$K$300,10,0)</f>
        <v>20000</v>
      </c>
      <c r="J4118" s="912">
        <f>I4118*H4118</f>
        <v>200000</v>
      </c>
      <c r="K4118" s="912" t="s">
        <v>274</v>
      </c>
      <c r="L4118" s="912"/>
      <c r="M4118" s="912"/>
      <c r="N4118" s="912"/>
      <c r="O4118" s="892">
        <f t="shared" si="256"/>
        <v>0</v>
      </c>
      <c r="P4118" s="903">
        <f t="shared" si="257"/>
        <v>1</v>
      </c>
      <c r="Q4118" s="893">
        <f t="shared" si="258"/>
        <v>3</v>
      </c>
      <c r="R4118" s="894">
        <f t="shared" si="259"/>
        <v>0</v>
      </c>
    </row>
    <row r="4119" spans="1:18" s="904" customFormat="1">
      <c r="A4119" s="895"/>
      <c r="B4119" s="896"/>
      <c r="C4119" s="897"/>
      <c r="D4119" s="897"/>
      <c r="E4119" s="924" t="s">
        <v>276</v>
      </c>
      <c r="F4119" s="927"/>
      <c r="G4119" s="928"/>
      <c r="H4119" s="901"/>
      <c r="I4119" s="902"/>
      <c r="J4119" s="902"/>
      <c r="K4119" s="912" t="s">
        <v>274</v>
      </c>
      <c r="L4119" s="902"/>
      <c r="M4119" s="902"/>
      <c r="N4119" s="902"/>
      <c r="O4119" s="892">
        <f t="shared" si="256"/>
        <v>0</v>
      </c>
      <c r="P4119" s="903">
        <f t="shared" si="257"/>
        <v>1</v>
      </c>
      <c r="Q4119" s="893">
        <f t="shared" si="258"/>
        <v>2</v>
      </c>
      <c r="R4119" s="894">
        <f t="shared" si="259"/>
        <v>0</v>
      </c>
    </row>
    <row r="4120" spans="1:18">
      <c r="A4120" s="905"/>
      <c r="B4120" s="906"/>
      <c r="C4120" s="907">
        <v>735</v>
      </c>
      <c r="D4120" s="907" t="s">
        <v>12</v>
      </c>
      <c r="E4120" s="908" t="s">
        <v>4065</v>
      </c>
      <c r="F4120" s="909" t="s">
        <v>2674</v>
      </c>
      <c r="G4120" s="910"/>
      <c r="H4120" s="911">
        <v>7.85</v>
      </c>
      <c r="I4120" s="912"/>
      <c r="J4120" s="912"/>
      <c r="K4120" s="912">
        <f>VLOOKUP(E4120,[5]ĐMNC!$A$7:$F$67,4,0)</f>
        <v>203703</v>
      </c>
      <c r="L4120" s="912">
        <f>H4120*K4120</f>
        <v>1599068.5499999998</v>
      </c>
      <c r="M4120" s="912"/>
      <c r="N4120" s="912"/>
      <c r="O4120" s="892">
        <f t="shared" si="256"/>
        <v>0</v>
      </c>
      <c r="P4120" s="903">
        <f t="shared" si="257"/>
        <v>1</v>
      </c>
      <c r="Q4120" s="893">
        <f t="shared" si="258"/>
        <v>1</v>
      </c>
      <c r="R4120" s="894">
        <f t="shared" si="259"/>
        <v>0</v>
      </c>
    </row>
    <row r="4121" spans="1:18" s="847" customFormat="1" ht="31.5">
      <c r="A4121" s="905"/>
      <c r="B4121" s="914" t="s">
        <v>1263</v>
      </c>
      <c r="C4121" s="915"/>
      <c r="D4121" s="915"/>
      <c r="E4121" s="916" t="s">
        <v>5467</v>
      </c>
      <c r="F4121" s="917" t="s">
        <v>5431</v>
      </c>
      <c r="G4121" s="918"/>
      <c r="H4121" s="919"/>
      <c r="I4121" s="920"/>
      <c r="J4121" s="891">
        <f>SUM(J4122:J4126)</f>
        <v>244091.4</v>
      </c>
      <c r="K4121" s="891"/>
      <c r="L4121" s="891">
        <f>SUM(L4122:L4126)</f>
        <v>1957585.8299999998</v>
      </c>
      <c r="M4121" s="891"/>
      <c r="N4121" s="891">
        <f>SUM(N4122:N4126)</f>
        <v>0</v>
      </c>
      <c r="O4121" s="892">
        <f t="shared" si="256"/>
        <v>1</v>
      </c>
      <c r="P4121" s="903">
        <f t="shared" si="257"/>
        <v>0</v>
      </c>
      <c r="Q4121" s="893">
        <f t="shared" si="258"/>
        <v>0</v>
      </c>
      <c r="R4121" s="894">
        <f t="shared" si="259"/>
        <v>5</v>
      </c>
    </row>
    <row r="4122" spans="1:18" s="904" customFormat="1">
      <c r="A4122" s="895"/>
      <c r="B4122" s="896"/>
      <c r="C4122" s="897"/>
      <c r="D4122" s="897"/>
      <c r="E4122" s="898" t="s">
        <v>108</v>
      </c>
      <c r="F4122" s="899"/>
      <c r="G4122" s="900"/>
      <c r="H4122" s="901"/>
      <c r="I4122" s="902"/>
      <c r="J4122" s="902"/>
      <c r="K4122" s="912" t="s">
        <v>274</v>
      </c>
      <c r="L4122" s="902"/>
      <c r="M4122" s="902"/>
      <c r="N4122" s="902"/>
      <c r="O4122" s="892">
        <f t="shared" si="256"/>
        <v>0</v>
      </c>
      <c r="P4122" s="903">
        <f t="shared" si="257"/>
        <v>1</v>
      </c>
      <c r="Q4122" s="893">
        <f t="shared" si="258"/>
        <v>5</v>
      </c>
      <c r="R4122" s="894">
        <f t="shared" si="259"/>
        <v>0</v>
      </c>
    </row>
    <row r="4123" spans="1:18">
      <c r="A4123" s="905"/>
      <c r="B4123" s="906"/>
      <c r="C4123" s="907">
        <v>55</v>
      </c>
      <c r="D4123" s="907" t="s">
        <v>279</v>
      </c>
      <c r="E4123" s="925" t="s">
        <v>3192</v>
      </c>
      <c r="F4123" s="926" t="s">
        <v>45</v>
      </c>
      <c r="G4123" s="910"/>
      <c r="H4123" s="911">
        <v>1.8</v>
      </c>
      <c r="I4123" s="912">
        <f>VLOOKUP(E4123,[3]VLP!$B$7:$K$300,10,0)</f>
        <v>2273</v>
      </c>
      <c r="J4123" s="912">
        <f>I4123*H4123</f>
        <v>4091.4</v>
      </c>
      <c r="K4123" s="912" t="s">
        <v>274</v>
      </c>
      <c r="L4123" s="912"/>
      <c r="M4123" s="912"/>
      <c r="N4123" s="912"/>
      <c r="O4123" s="892">
        <f t="shared" si="256"/>
        <v>0</v>
      </c>
      <c r="P4123" s="903">
        <f t="shared" si="257"/>
        <v>1</v>
      </c>
      <c r="Q4123" s="893">
        <f t="shared" si="258"/>
        <v>4</v>
      </c>
      <c r="R4123" s="894">
        <f t="shared" si="259"/>
        <v>0</v>
      </c>
    </row>
    <row r="4124" spans="1:18">
      <c r="A4124" s="905"/>
      <c r="B4124" s="906"/>
      <c r="C4124" s="907">
        <v>124</v>
      </c>
      <c r="D4124" s="907" t="s">
        <v>279</v>
      </c>
      <c r="E4124" s="925" t="s">
        <v>5432</v>
      </c>
      <c r="F4124" s="926" t="s">
        <v>3272</v>
      </c>
      <c r="G4124" s="910"/>
      <c r="H4124" s="911">
        <v>12</v>
      </c>
      <c r="I4124" s="912">
        <f>VLOOKUP(E4124,[3]VLP!$B$7:$K$300,10,0)</f>
        <v>20000</v>
      </c>
      <c r="J4124" s="912">
        <f>I4124*H4124</f>
        <v>240000</v>
      </c>
      <c r="K4124" s="912" t="s">
        <v>274</v>
      </c>
      <c r="L4124" s="912"/>
      <c r="M4124" s="912"/>
      <c r="N4124" s="912"/>
      <c r="O4124" s="892">
        <f t="shared" si="256"/>
        <v>0</v>
      </c>
      <c r="P4124" s="903">
        <f t="shared" si="257"/>
        <v>1</v>
      </c>
      <c r="Q4124" s="893">
        <f t="shared" si="258"/>
        <v>3</v>
      </c>
      <c r="R4124" s="894">
        <f t="shared" si="259"/>
        <v>0</v>
      </c>
    </row>
    <row r="4125" spans="1:18" s="904" customFormat="1">
      <c r="A4125" s="895"/>
      <c r="B4125" s="896"/>
      <c r="C4125" s="897"/>
      <c r="D4125" s="897"/>
      <c r="E4125" s="924" t="s">
        <v>276</v>
      </c>
      <c r="F4125" s="927"/>
      <c r="G4125" s="928"/>
      <c r="H4125" s="901"/>
      <c r="I4125" s="902"/>
      <c r="J4125" s="902"/>
      <c r="K4125" s="912" t="s">
        <v>274</v>
      </c>
      <c r="L4125" s="902"/>
      <c r="M4125" s="902"/>
      <c r="N4125" s="902"/>
      <c r="O4125" s="892">
        <f t="shared" si="256"/>
        <v>0</v>
      </c>
      <c r="P4125" s="903">
        <f t="shared" si="257"/>
        <v>1</v>
      </c>
      <c r="Q4125" s="893">
        <f t="shared" si="258"/>
        <v>2</v>
      </c>
      <c r="R4125" s="894">
        <f t="shared" si="259"/>
        <v>0</v>
      </c>
    </row>
    <row r="4126" spans="1:18">
      <c r="A4126" s="905"/>
      <c r="B4126" s="906"/>
      <c r="C4126" s="907">
        <v>735</v>
      </c>
      <c r="D4126" s="907" t="s">
        <v>12</v>
      </c>
      <c r="E4126" s="908" t="s">
        <v>4065</v>
      </c>
      <c r="F4126" s="909" t="s">
        <v>2674</v>
      </c>
      <c r="G4126" s="910"/>
      <c r="H4126" s="911">
        <v>9.61</v>
      </c>
      <c r="I4126" s="912"/>
      <c r="J4126" s="912"/>
      <c r="K4126" s="912">
        <f>VLOOKUP(E4126,[5]ĐMNC!$A$7:$F$67,4,0)</f>
        <v>203703</v>
      </c>
      <c r="L4126" s="912">
        <f>H4126*K4126</f>
        <v>1957585.8299999998</v>
      </c>
      <c r="M4126" s="912"/>
      <c r="N4126" s="912"/>
      <c r="O4126" s="892">
        <f t="shared" ref="O4126:O4189" si="260">IF(AND(B4126&lt;&gt;"",D4126=""),1,0)</f>
        <v>0</v>
      </c>
      <c r="P4126" s="903">
        <f t="shared" si="257"/>
        <v>1</v>
      </c>
      <c r="Q4126" s="893">
        <f t="shared" si="258"/>
        <v>1</v>
      </c>
      <c r="R4126" s="894">
        <f t="shared" si="259"/>
        <v>0</v>
      </c>
    </row>
    <row r="4127" spans="1:18" s="847" customFormat="1" ht="31.5">
      <c r="A4127" s="905"/>
      <c r="B4127" s="914" t="s">
        <v>1265</v>
      </c>
      <c r="C4127" s="915"/>
      <c r="D4127" s="915"/>
      <c r="E4127" s="916" t="s">
        <v>5468</v>
      </c>
      <c r="F4127" s="917" t="s">
        <v>5431</v>
      </c>
      <c r="G4127" s="918"/>
      <c r="H4127" s="919"/>
      <c r="I4127" s="920"/>
      <c r="J4127" s="891">
        <f>SUM(J4128:J4132)</f>
        <v>305114.25</v>
      </c>
      <c r="K4127" s="891"/>
      <c r="L4127" s="891">
        <f>SUM(L4128:L4132)</f>
        <v>2189807.25</v>
      </c>
      <c r="M4127" s="891"/>
      <c r="N4127" s="891">
        <f>SUM(N4128:N4132)</f>
        <v>0</v>
      </c>
      <c r="O4127" s="892">
        <f t="shared" si="260"/>
        <v>1</v>
      </c>
      <c r="P4127" s="903">
        <f t="shared" si="257"/>
        <v>0</v>
      </c>
      <c r="Q4127" s="893">
        <f t="shared" si="258"/>
        <v>0</v>
      </c>
      <c r="R4127" s="894">
        <f t="shared" si="259"/>
        <v>5</v>
      </c>
    </row>
    <row r="4128" spans="1:18" s="904" customFormat="1">
      <c r="A4128" s="895"/>
      <c r="B4128" s="896"/>
      <c r="C4128" s="897"/>
      <c r="D4128" s="897"/>
      <c r="E4128" s="898" t="s">
        <v>108</v>
      </c>
      <c r="F4128" s="899"/>
      <c r="G4128" s="900"/>
      <c r="H4128" s="901"/>
      <c r="I4128" s="902"/>
      <c r="J4128" s="902"/>
      <c r="K4128" s="912" t="s">
        <v>274</v>
      </c>
      <c r="L4128" s="902"/>
      <c r="M4128" s="902"/>
      <c r="N4128" s="902"/>
      <c r="O4128" s="892">
        <f t="shared" si="260"/>
        <v>0</v>
      </c>
      <c r="P4128" s="903">
        <f t="shared" si="257"/>
        <v>1</v>
      </c>
      <c r="Q4128" s="893">
        <f t="shared" si="258"/>
        <v>5</v>
      </c>
      <c r="R4128" s="894">
        <f t="shared" si="259"/>
        <v>0</v>
      </c>
    </row>
    <row r="4129" spans="1:18">
      <c r="A4129" s="905"/>
      <c r="B4129" s="906"/>
      <c r="C4129" s="907">
        <v>55</v>
      </c>
      <c r="D4129" s="907" t="s">
        <v>279</v>
      </c>
      <c r="E4129" s="925" t="s">
        <v>3192</v>
      </c>
      <c r="F4129" s="926" t="s">
        <v>45</v>
      </c>
      <c r="G4129" s="910"/>
      <c r="H4129" s="911">
        <v>2.25</v>
      </c>
      <c r="I4129" s="912">
        <f>VLOOKUP(E4129,[3]VLP!$B$7:$K$300,10,0)</f>
        <v>2273</v>
      </c>
      <c r="J4129" s="912">
        <f>I4129*H4129</f>
        <v>5114.25</v>
      </c>
      <c r="K4129" s="912" t="s">
        <v>274</v>
      </c>
      <c r="L4129" s="912"/>
      <c r="M4129" s="912"/>
      <c r="N4129" s="912"/>
      <c r="O4129" s="892">
        <f t="shared" si="260"/>
        <v>0</v>
      </c>
      <c r="P4129" s="903">
        <f t="shared" si="257"/>
        <v>1</v>
      </c>
      <c r="Q4129" s="893">
        <f t="shared" si="258"/>
        <v>4</v>
      </c>
      <c r="R4129" s="894">
        <f t="shared" si="259"/>
        <v>0</v>
      </c>
    </row>
    <row r="4130" spans="1:18">
      <c r="A4130" s="905"/>
      <c r="B4130" s="906"/>
      <c r="C4130" s="907">
        <v>124</v>
      </c>
      <c r="D4130" s="907" t="s">
        <v>279</v>
      </c>
      <c r="E4130" s="925" t="s">
        <v>5432</v>
      </c>
      <c r="F4130" s="926" t="s">
        <v>3272</v>
      </c>
      <c r="G4130" s="910"/>
      <c r="H4130" s="911">
        <v>15</v>
      </c>
      <c r="I4130" s="912">
        <f>VLOOKUP(E4130,[3]VLP!$B$7:$K$300,10,0)</f>
        <v>20000</v>
      </c>
      <c r="J4130" s="912">
        <f>I4130*H4130</f>
        <v>300000</v>
      </c>
      <c r="K4130" s="912" t="s">
        <v>274</v>
      </c>
      <c r="L4130" s="912"/>
      <c r="M4130" s="912"/>
      <c r="N4130" s="912"/>
      <c r="O4130" s="892">
        <f t="shared" si="260"/>
        <v>0</v>
      </c>
      <c r="P4130" s="903">
        <f t="shared" si="257"/>
        <v>1</v>
      </c>
      <c r="Q4130" s="893">
        <f t="shared" si="258"/>
        <v>3</v>
      </c>
      <c r="R4130" s="894">
        <f t="shared" si="259"/>
        <v>0</v>
      </c>
    </row>
    <row r="4131" spans="1:18" s="904" customFormat="1">
      <c r="A4131" s="895"/>
      <c r="B4131" s="896"/>
      <c r="C4131" s="897"/>
      <c r="D4131" s="897"/>
      <c r="E4131" s="924" t="s">
        <v>276</v>
      </c>
      <c r="F4131" s="927"/>
      <c r="G4131" s="928"/>
      <c r="H4131" s="901"/>
      <c r="I4131" s="902"/>
      <c r="J4131" s="902"/>
      <c r="K4131" s="912" t="s">
        <v>274</v>
      </c>
      <c r="L4131" s="902"/>
      <c r="M4131" s="902"/>
      <c r="N4131" s="902"/>
      <c r="O4131" s="892">
        <f t="shared" si="260"/>
        <v>0</v>
      </c>
      <c r="P4131" s="903">
        <f t="shared" si="257"/>
        <v>1</v>
      </c>
      <c r="Q4131" s="893">
        <f t="shared" si="258"/>
        <v>2</v>
      </c>
      <c r="R4131" s="894">
        <f t="shared" si="259"/>
        <v>0</v>
      </c>
    </row>
    <row r="4132" spans="1:18">
      <c r="A4132" s="905"/>
      <c r="B4132" s="906"/>
      <c r="C4132" s="907">
        <v>735</v>
      </c>
      <c r="D4132" s="907" t="s">
        <v>12</v>
      </c>
      <c r="E4132" s="908" t="s">
        <v>4065</v>
      </c>
      <c r="F4132" s="909" t="s">
        <v>2674</v>
      </c>
      <c r="G4132" s="910"/>
      <c r="H4132" s="911">
        <v>10.75</v>
      </c>
      <c r="I4132" s="912"/>
      <c r="J4132" s="912"/>
      <c r="K4132" s="912">
        <f>VLOOKUP(E4132,[5]ĐMNC!$A$7:$F$67,4,0)</f>
        <v>203703</v>
      </c>
      <c r="L4132" s="912">
        <f>H4132*K4132</f>
        <v>2189807.25</v>
      </c>
      <c r="M4132" s="912"/>
      <c r="N4132" s="912"/>
      <c r="O4132" s="892">
        <f t="shared" si="260"/>
        <v>0</v>
      </c>
      <c r="P4132" s="903">
        <f t="shared" si="257"/>
        <v>1</v>
      </c>
      <c r="Q4132" s="893">
        <f t="shared" si="258"/>
        <v>1</v>
      </c>
      <c r="R4132" s="894">
        <f t="shared" si="259"/>
        <v>0</v>
      </c>
    </row>
    <row r="4133" spans="1:18" s="847" customFormat="1" ht="31.5">
      <c r="A4133" s="905"/>
      <c r="B4133" s="914" t="s">
        <v>1267</v>
      </c>
      <c r="C4133" s="915"/>
      <c r="D4133" s="915"/>
      <c r="E4133" s="916" t="s">
        <v>5469</v>
      </c>
      <c r="F4133" s="917" t="s">
        <v>5431</v>
      </c>
      <c r="G4133" s="918"/>
      <c r="H4133" s="919"/>
      <c r="I4133" s="920"/>
      <c r="J4133" s="891">
        <f>SUM(J4134:J4138)</f>
        <v>452742.03000000009</v>
      </c>
      <c r="K4133" s="891"/>
      <c r="L4133" s="891">
        <f>SUM(L4134:L4138)</f>
        <v>3014804.4000000004</v>
      </c>
      <c r="M4133" s="891"/>
      <c r="N4133" s="891">
        <f>SUM(N4134:N4138)</f>
        <v>0</v>
      </c>
      <c r="O4133" s="892">
        <f t="shared" si="260"/>
        <v>1</v>
      </c>
      <c r="P4133" s="903">
        <f t="shared" si="257"/>
        <v>0</v>
      </c>
      <c r="Q4133" s="893">
        <f t="shared" si="258"/>
        <v>0</v>
      </c>
      <c r="R4133" s="894">
        <f t="shared" si="259"/>
        <v>5</v>
      </c>
    </row>
    <row r="4134" spans="1:18" s="904" customFormat="1">
      <c r="A4134" s="895"/>
      <c r="B4134" s="896"/>
      <c r="C4134" s="897"/>
      <c r="D4134" s="897"/>
      <c r="E4134" s="898" t="s">
        <v>108</v>
      </c>
      <c r="F4134" s="899"/>
      <c r="G4134" s="900"/>
      <c r="H4134" s="901"/>
      <c r="I4134" s="902"/>
      <c r="J4134" s="902"/>
      <c r="K4134" s="912" t="s">
        <v>274</v>
      </c>
      <c r="L4134" s="902"/>
      <c r="M4134" s="902"/>
      <c r="N4134" s="902"/>
      <c r="O4134" s="892">
        <f t="shared" si="260"/>
        <v>0</v>
      </c>
      <c r="P4134" s="903">
        <f t="shared" si="257"/>
        <v>1</v>
      </c>
      <c r="Q4134" s="893">
        <f t="shared" si="258"/>
        <v>5</v>
      </c>
      <c r="R4134" s="894">
        <f t="shared" si="259"/>
        <v>0</v>
      </c>
    </row>
    <row r="4135" spans="1:18">
      <c r="A4135" s="905"/>
      <c r="B4135" s="906"/>
      <c r="C4135" s="907">
        <v>55</v>
      </c>
      <c r="D4135" s="907" t="s">
        <v>279</v>
      </c>
      <c r="E4135" s="925" t="s">
        <v>3192</v>
      </c>
      <c r="F4135" s="926" t="s">
        <v>45</v>
      </c>
      <c r="G4135" s="910"/>
      <c r="H4135" s="911">
        <v>4.1100000000000003</v>
      </c>
      <c r="I4135" s="912">
        <f>VLOOKUP(E4135,[3]VLP!$B$7:$K$300,10,0)</f>
        <v>2273</v>
      </c>
      <c r="J4135" s="912">
        <f>I4135*H4135</f>
        <v>9342.0300000000007</v>
      </c>
      <c r="K4135" s="912" t="s">
        <v>274</v>
      </c>
      <c r="L4135" s="912"/>
      <c r="M4135" s="912"/>
      <c r="N4135" s="912"/>
      <c r="O4135" s="892">
        <f t="shared" si="260"/>
        <v>0</v>
      </c>
      <c r="P4135" s="903">
        <f t="shared" ref="P4135:P4198" si="261">IF(O4135=0,1,0)</f>
        <v>1</v>
      </c>
      <c r="Q4135" s="893">
        <f t="shared" ref="Q4135:Q4198" si="262">IF(P4135=0,0,P4135+Q4136)</f>
        <v>4</v>
      </c>
      <c r="R4135" s="894">
        <f t="shared" ref="R4135:R4198" si="263">IF(Q4135=0,Q4136,0)</f>
        <v>0</v>
      </c>
    </row>
    <row r="4136" spans="1:18">
      <c r="A4136" s="905"/>
      <c r="B4136" s="906"/>
      <c r="C4136" s="907">
        <v>124</v>
      </c>
      <c r="D4136" s="907" t="s">
        <v>279</v>
      </c>
      <c r="E4136" s="925" t="s">
        <v>5432</v>
      </c>
      <c r="F4136" s="926" t="s">
        <v>3272</v>
      </c>
      <c r="G4136" s="910"/>
      <c r="H4136" s="911">
        <v>22.17</v>
      </c>
      <c r="I4136" s="912">
        <f>VLOOKUP(E4136,[3]VLP!$B$7:$K$300,10,0)</f>
        <v>20000</v>
      </c>
      <c r="J4136" s="912">
        <f>I4136*H4136</f>
        <v>443400.00000000006</v>
      </c>
      <c r="K4136" s="912" t="s">
        <v>274</v>
      </c>
      <c r="L4136" s="912"/>
      <c r="M4136" s="912"/>
      <c r="N4136" s="912"/>
      <c r="O4136" s="892">
        <f t="shared" si="260"/>
        <v>0</v>
      </c>
      <c r="P4136" s="903">
        <f t="shared" si="261"/>
        <v>1</v>
      </c>
      <c r="Q4136" s="893">
        <f t="shared" si="262"/>
        <v>3</v>
      </c>
      <c r="R4136" s="894">
        <f t="shared" si="263"/>
        <v>0</v>
      </c>
    </row>
    <row r="4137" spans="1:18" s="904" customFormat="1">
      <c r="A4137" s="895"/>
      <c r="B4137" s="896"/>
      <c r="C4137" s="897"/>
      <c r="D4137" s="897"/>
      <c r="E4137" s="924" t="s">
        <v>276</v>
      </c>
      <c r="F4137" s="927"/>
      <c r="G4137" s="928"/>
      <c r="H4137" s="901"/>
      <c r="I4137" s="902"/>
      <c r="J4137" s="902"/>
      <c r="K4137" s="912" t="s">
        <v>274</v>
      </c>
      <c r="L4137" s="902"/>
      <c r="M4137" s="902"/>
      <c r="N4137" s="902"/>
      <c r="O4137" s="892">
        <f t="shared" si="260"/>
        <v>0</v>
      </c>
      <c r="P4137" s="903">
        <f t="shared" si="261"/>
        <v>1</v>
      </c>
      <c r="Q4137" s="893">
        <f t="shared" si="262"/>
        <v>2</v>
      </c>
      <c r="R4137" s="894">
        <f t="shared" si="263"/>
        <v>0</v>
      </c>
    </row>
    <row r="4138" spans="1:18">
      <c r="A4138" s="905"/>
      <c r="B4138" s="906"/>
      <c r="C4138" s="907">
        <v>735</v>
      </c>
      <c r="D4138" s="907" t="s">
        <v>12</v>
      </c>
      <c r="E4138" s="908" t="s">
        <v>4065</v>
      </c>
      <c r="F4138" s="909" t="s">
        <v>2674</v>
      </c>
      <c r="G4138" s="910"/>
      <c r="H4138" s="911">
        <v>14.8</v>
      </c>
      <c r="I4138" s="912"/>
      <c r="J4138" s="912"/>
      <c r="K4138" s="912">
        <f>VLOOKUP(E4138,[5]ĐMNC!$A$7:$F$67,4,0)</f>
        <v>203703</v>
      </c>
      <c r="L4138" s="912">
        <f>H4138*K4138</f>
        <v>3014804.4000000004</v>
      </c>
      <c r="M4138" s="912"/>
      <c r="N4138" s="912"/>
      <c r="O4138" s="892">
        <f t="shared" si="260"/>
        <v>0</v>
      </c>
      <c r="P4138" s="903">
        <f t="shared" si="261"/>
        <v>1</v>
      </c>
      <c r="Q4138" s="893">
        <f t="shared" si="262"/>
        <v>1</v>
      </c>
      <c r="R4138" s="894">
        <f t="shared" si="263"/>
        <v>0</v>
      </c>
    </row>
    <row r="4139" spans="1:18" s="847" customFormat="1" ht="31.5">
      <c r="A4139" s="905"/>
      <c r="B4139" s="914" t="s">
        <v>5470</v>
      </c>
      <c r="C4139" s="915"/>
      <c r="D4139" s="915"/>
      <c r="E4139" s="916" t="s">
        <v>5471</v>
      </c>
      <c r="F4139" s="917" t="s">
        <v>5431</v>
      </c>
      <c r="G4139" s="918"/>
      <c r="H4139" s="919"/>
      <c r="I4139" s="920"/>
      <c r="J4139" s="891">
        <f>SUM(J4140:J4144)</f>
        <v>543405.89</v>
      </c>
      <c r="K4139" s="891"/>
      <c r="L4139" s="891">
        <f>SUM(L4140:L4144)</f>
        <v>3617765.2800000003</v>
      </c>
      <c r="M4139" s="891"/>
      <c r="N4139" s="891">
        <f>SUM(N4140:N4144)</f>
        <v>0</v>
      </c>
      <c r="O4139" s="892">
        <f t="shared" si="260"/>
        <v>1</v>
      </c>
      <c r="P4139" s="903">
        <f t="shared" si="261"/>
        <v>0</v>
      </c>
      <c r="Q4139" s="893">
        <f t="shared" si="262"/>
        <v>0</v>
      </c>
      <c r="R4139" s="894">
        <f t="shared" si="263"/>
        <v>5</v>
      </c>
    </row>
    <row r="4140" spans="1:18" s="904" customFormat="1">
      <c r="A4140" s="895"/>
      <c r="B4140" s="896"/>
      <c r="C4140" s="897"/>
      <c r="D4140" s="897"/>
      <c r="E4140" s="898" t="s">
        <v>108</v>
      </c>
      <c r="F4140" s="899"/>
      <c r="G4140" s="900"/>
      <c r="H4140" s="901"/>
      <c r="I4140" s="902"/>
      <c r="J4140" s="902"/>
      <c r="K4140" s="912" t="s">
        <v>274</v>
      </c>
      <c r="L4140" s="902"/>
      <c r="M4140" s="902"/>
      <c r="N4140" s="902"/>
      <c r="O4140" s="892">
        <f t="shared" si="260"/>
        <v>0</v>
      </c>
      <c r="P4140" s="903">
        <f t="shared" si="261"/>
        <v>1</v>
      </c>
      <c r="Q4140" s="893">
        <f t="shared" si="262"/>
        <v>5</v>
      </c>
      <c r="R4140" s="894">
        <f t="shared" si="263"/>
        <v>0</v>
      </c>
    </row>
    <row r="4141" spans="1:18">
      <c r="A4141" s="905"/>
      <c r="B4141" s="906"/>
      <c r="C4141" s="907">
        <v>55</v>
      </c>
      <c r="D4141" s="907" t="s">
        <v>279</v>
      </c>
      <c r="E4141" s="925" t="s">
        <v>3192</v>
      </c>
      <c r="F4141" s="926" t="s">
        <v>45</v>
      </c>
      <c r="G4141" s="910"/>
      <c r="H4141" s="911">
        <v>4.93</v>
      </c>
      <c r="I4141" s="912">
        <f>VLOOKUP(E4141,[3]VLP!$B$7:$K$300,10,0)</f>
        <v>2273</v>
      </c>
      <c r="J4141" s="912">
        <f>I4141*H4141</f>
        <v>11205.89</v>
      </c>
      <c r="K4141" s="912" t="s">
        <v>274</v>
      </c>
      <c r="L4141" s="912"/>
      <c r="M4141" s="912"/>
      <c r="N4141" s="912"/>
      <c r="O4141" s="892">
        <f t="shared" si="260"/>
        <v>0</v>
      </c>
      <c r="P4141" s="903">
        <f t="shared" si="261"/>
        <v>1</v>
      </c>
      <c r="Q4141" s="893">
        <f t="shared" si="262"/>
        <v>4</v>
      </c>
      <c r="R4141" s="894">
        <f t="shared" si="263"/>
        <v>0</v>
      </c>
    </row>
    <row r="4142" spans="1:18">
      <c r="A4142" s="905"/>
      <c r="B4142" s="906"/>
      <c r="C4142" s="907">
        <v>124</v>
      </c>
      <c r="D4142" s="907" t="s">
        <v>279</v>
      </c>
      <c r="E4142" s="925" t="s">
        <v>5432</v>
      </c>
      <c r="F4142" s="926" t="s">
        <v>3272</v>
      </c>
      <c r="G4142" s="910"/>
      <c r="H4142" s="911">
        <v>26.61</v>
      </c>
      <c r="I4142" s="912">
        <f>VLOOKUP(E4142,[3]VLP!$B$7:$K$300,10,0)</f>
        <v>20000</v>
      </c>
      <c r="J4142" s="912">
        <f>I4142*H4142</f>
        <v>532200</v>
      </c>
      <c r="K4142" s="912" t="s">
        <v>274</v>
      </c>
      <c r="L4142" s="912"/>
      <c r="M4142" s="912"/>
      <c r="N4142" s="912"/>
      <c r="O4142" s="892">
        <f t="shared" si="260"/>
        <v>0</v>
      </c>
      <c r="P4142" s="903">
        <f t="shared" si="261"/>
        <v>1</v>
      </c>
      <c r="Q4142" s="893">
        <f t="shared" si="262"/>
        <v>3</v>
      </c>
      <c r="R4142" s="894">
        <f t="shared" si="263"/>
        <v>0</v>
      </c>
    </row>
    <row r="4143" spans="1:18" s="904" customFormat="1">
      <c r="A4143" s="895"/>
      <c r="B4143" s="896"/>
      <c r="C4143" s="897"/>
      <c r="D4143" s="897"/>
      <c r="E4143" s="924" t="s">
        <v>276</v>
      </c>
      <c r="F4143" s="927"/>
      <c r="G4143" s="928"/>
      <c r="H4143" s="901"/>
      <c r="I4143" s="902"/>
      <c r="J4143" s="902"/>
      <c r="K4143" s="912" t="s">
        <v>274</v>
      </c>
      <c r="L4143" s="902"/>
      <c r="M4143" s="902"/>
      <c r="N4143" s="902"/>
      <c r="O4143" s="892">
        <f t="shared" si="260"/>
        <v>0</v>
      </c>
      <c r="P4143" s="903">
        <f t="shared" si="261"/>
        <v>1</v>
      </c>
      <c r="Q4143" s="893">
        <f t="shared" si="262"/>
        <v>2</v>
      </c>
      <c r="R4143" s="894">
        <f t="shared" si="263"/>
        <v>0</v>
      </c>
    </row>
    <row r="4144" spans="1:18">
      <c r="A4144" s="905"/>
      <c r="B4144" s="906"/>
      <c r="C4144" s="907">
        <v>735</v>
      </c>
      <c r="D4144" s="907" t="s">
        <v>12</v>
      </c>
      <c r="E4144" s="908" t="s">
        <v>4065</v>
      </c>
      <c r="F4144" s="909" t="s">
        <v>2674</v>
      </c>
      <c r="G4144" s="910"/>
      <c r="H4144" s="911">
        <v>17.760000000000002</v>
      </c>
      <c r="I4144" s="912"/>
      <c r="J4144" s="912"/>
      <c r="K4144" s="912">
        <f>VLOOKUP(E4144,[5]ĐMNC!$A$7:$F$67,4,0)</f>
        <v>203703</v>
      </c>
      <c r="L4144" s="912">
        <f>H4144*K4144</f>
        <v>3617765.2800000003</v>
      </c>
      <c r="M4144" s="912"/>
      <c r="N4144" s="912"/>
      <c r="O4144" s="892">
        <f t="shared" si="260"/>
        <v>0</v>
      </c>
      <c r="P4144" s="903">
        <f t="shared" si="261"/>
        <v>1</v>
      </c>
      <c r="Q4144" s="893">
        <f t="shared" si="262"/>
        <v>1</v>
      </c>
      <c r="R4144" s="894">
        <f t="shared" si="263"/>
        <v>0</v>
      </c>
    </row>
    <row r="4145" spans="1:18" s="847" customFormat="1" ht="31.5">
      <c r="A4145" s="905"/>
      <c r="B4145" s="914" t="s">
        <v>5472</v>
      </c>
      <c r="C4145" s="915"/>
      <c r="D4145" s="915"/>
      <c r="E4145" s="916" t="s">
        <v>5473</v>
      </c>
      <c r="F4145" s="917" t="s">
        <v>5431</v>
      </c>
      <c r="G4145" s="918"/>
      <c r="H4145" s="919"/>
      <c r="I4145" s="920"/>
      <c r="J4145" s="891">
        <f>SUM(J4146:J4150)</f>
        <v>652033.43000000005</v>
      </c>
      <c r="K4145" s="891"/>
      <c r="L4145" s="891">
        <f>SUM(L4146:L4150)</f>
        <v>3852023.73</v>
      </c>
      <c r="M4145" s="891"/>
      <c r="N4145" s="891">
        <f>SUM(N4146:N4150)</f>
        <v>0</v>
      </c>
      <c r="O4145" s="892">
        <f t="shared" si="260"/>
        <v>1</v>
      </c>
      <c r="P4145" s="903">
        <f t="shared" si="261"/>
        <v>0</v>
      </c>
      <c r="Q4145" s="893">
        <f t="shared" si="262"/>
        <v>0</v>
      </c>
      <c r="R4145" s="894">
        <f t="shared" si="263"/>
        <v>5</v>
      </c>
    </row>
    <row r="4146" spans="1:18" s="904" customFormat="1">
      <c r="A4146" s="895"/>
      <c r="B4146" s="896"/>
      <c r="C4146" s="897"/>
      <c r="D4146" s="897"/>
      <c r="E4146" s="898" t="s">
        <v>108</v>
      </c>
      <c r="F4146" s="899"/>
      <c r="G4146" s="900"/>
      <c r="H4146" s="901"/>
      <c r="I4146" s="902"/>
      <c r="J4146" s="902"/>
      <c r="K4146" s="912" t="s">
        <v>274</v>
      </c>
      <c r="L4146" s="902"/>
      <c r="M4146" s="902"/>
      <c r="N4146" s="902"/>
      <c r="O4146" s="892">
        <f t="shared" si="260"/>
        <v>0</v>
      </c>
      <c r="P4146" s="903">
        <f t="shared" si="261"/>
        <v>1</v>
      </c>
      <c r="Q4146" s="893">
        <f t="shared" si="262"/>
        <v>5</v>
      </c>
      <c r="R4146" s="894">
        <f t="shared" si="263"/>
        <v>0</v>
      </c>
    </row>
    <row r="4147" spans="1:18">
      <c r="A4147" s="905"/>
      <c r="B4147" s="906"/>
      <c r="C4147" s="907">
        <v>55</v>
      </c>
      <c r="D4147" s="907" t="s">
        <v>279</v>
      </c>
      <c r="E4147" s="925" t="s">
        <v>3192</v>
      </c>
      <c r="F4147" s="926" t="s">
        <v>45</v>
      </c>
      <c r="G4147" s="910"/>
      <c r="H4147" s="911">
        <v>5.91</v>
      </c>
      <c r="I4147" s="912">
        <f>VLOOKUP(E4147,[3]VLP!$B$7:$K$300,10,0)</f>
        <v>2273</v>
      </c>
      <c r="J4147" s="912">
        <f>I4147*H4147</f>
        <v>13433.43</v>
      </c>
      <c r="K4147" s="912" t="s">
        <v>274</v>
      </c>
      <c r="L4147" s="912"/>
      <c r="M4147" s="912"/>
      <c r="N4147" s="912"/>
      <c r="O4147" s="892">
        <f t="shared" si="260"/>
        <v>0</v>
      </c>
      <c r="P4147" s="903">
        <f t="shared" si="261"/>
        <v>1</v>
      </c>
      <c r="Q4147" s="893">
        <f t="shared" si="262"/>
        <v>4</v>
      </c>
      <c r="R4147" s="894">
        <f t="shared" si="263"/>
        <v>0</v>
      </c>
    </row>
    <row r="4148" spans="1:18">
      <c r="A4148" s="905"/>
      <c r="B4148" s="906"/>
      <c r="C4148" s="907">
        <v>124</v>
      </c>
      <c r="D4148" s="907" t="s">
        <v>279</v>
      </c>
      <c r="E4148" s="925" t="s">
        <v>5432</v>
      </c>
      <c r="F4148" s="926" t="s">
        <v>3272</v>
      </c>
      <c r="G4148" s="910"/>
      <c r="H4148" s="911">
        <v>31.93</v>
      </c>
      <c r="I4148" s="912">
        <f>VLOOKUP(E4148,[3]VLP!$B$7:$K$300,10,0)</f>
        <v>20000</v>
      </c>
      <c r="J4148" s="912">
        <f>I4148*H4148</f>
        <v>638600</v>
      </c>
      <c r="K4148" s="912" t="s">
        <v>274</v>
      </c>
      <c r="L4148" s="912"/>
      <c r="M4148" s="912"/>
      <c r="N4148" s="912"/>
      <c r="O4148" s="892">
        <f t="shared" si="260"/>
        <v>0</v>
      </c>
      <c r="P4148" s="903">
        <f t="shared" si="261"/>
        <v>1</v>
      </c>
      <c r="Q4148" s="893">
        <f t="shared" si="262"/>
        <v>3</v>
      </c>
      <c r="R4148" s="894">
        <f t="shared" si="263"/>
        <v>0</v>
      </c>
    </row>
    <row r="4149" spans="1:18" s="904" customFormat="1">
      <c r="A4149" s="895"/>
      <c r="B4149" s="896"/>
      <c r="C4149" s="897"/>
      <c r="D4149" s="897"/>
      <c r="E4149" s="924" t="s">
        <v>276</v>
      </c>
      <c r="F4149" s="927"/>
      <c r="G4149" s="928"/>
      <c r="H4149" s="901"/>
      <c r="I4149" s="902"/>
      <c r="J4149" s="902"/>
      <c r="K4149" s="912" t="s">
        <v>274</v>
      </c>
      <c r="L4149" s="902"/>
      <c r="M4149" s="902"/>
      <c r="N4149" s="902"/>
      <c r="O4149" s="892">
        <f t="shared" si="260"/>
        <v>0</v>
      </c>
      <c r="P4149" s="903">
        <f t="shared" si="261"/>
        <v>1</v>
      </c>
      <c r="Q4149" s="893">
        <f t="shared" si="262"/>
        <v>2</v>
      </c>
      <c r="R4149" s="894">
        <f t="shared" si="263"/>
        <v>0</v>
      </c>
    </row>
    <row r="4150" spans="1:18">
      <c r="A4150" s="905"/>
      <c r="B4150" s="906"/>
      <c r="C4150" s="907">
        <v>735</v>
      </c>
      <c r="D4150" s="907" t="s">
        <v>12</v>
      </c>
      <c r="E4150" s="908" t="s">
        <v>4065</v>
      </c>
      <c r="F4150" s="909" t="s">
        <v>2674</v>
      </c>
      <c r="G4150" s="910"/>
      <c r="H4150" s="911">
        <v>18.91</v>
      </c>
      <c r="I4150" s="912"/>
      <c r="J4150" s="912"/>
      <c r="K4150" s="912">
        <f>VLOOKUP(E4150,[5]ĐMNC!$A$7:$F$67,4,0)</f>
        <v>203703</v>
      </c>
      <c r="L4150" s="912">
        <f>H4150*K4150</f>
        <v>3852023.73</v>
      </c>
      <c r="M4150" s="912"/>
      <c r="N4150" s="912"/>
      <c r="O4150" s="892">
        <f t="shared" si="260"/>
        <v>0</v>
      </c>
      <c r="P4150" s="903">
        <f t="shared" si="261"/>
        <v>1</v>
      </c>
      <c r="Q4150" s="893">
        <f t="shared" si="262"/>
        <v>1</v>
      </c>
      <c r="R4150" s="894">
        <f t="shared" si="263"/>
        <v>0</v>
      </c>
    </row>
    <row r="4151" spans="1:18" s="847" customFormat="1" ht="31.5">
      <c r="A4151" s="905"/>
      <c r="B4151" s="914" t="s">
        <v>1269</v>
      </c>
      <c r="C4151" s="915"/>
      <c r="D4151" s="915"/>
      <c r="E4151" s="916" t="s">
        <v>5474</v>
      </c>
      <c r="F4151" s="917" t="s">
        <v>5431</v>
      </c>
      <c r="G4151" s="918"/>
      <c r="H4151" s="919"/>
      <c r="I4151" s="920"/>
      <c r="J4151" s="891">
        <f>SUM(J4152:J4156)</f>
        <v>203409.5</v>
      </c>
      <c r="K4151" s="891"/>
      <c r="L4151" s="891">
        <f>SUM(L4152:L4156)</f>
        <v>1654068.3599999999</v>
      </c>
      <c r="M4151" s="891"/>
      <c r="N4151" s="891">
        <f>SUM(N4152:N4156)</f>
        <v>0</v>
      </c>
      <c r="O4151" s="892">
        <f t="shared" si="260"/>
        <v>1</v>
      </c>
      <c r="P4151" s="903">
        <f t="shared" si="261"/>
        <v>0</v>
      </c>
      <c r="Q4151" s="893">
        <f t="shared" si="262"/>
        <v>0</v>
      </c>
      <c r="R4151" s="894">
        <f t="shared" si="263"/>
        <v>5</v>
      </c>
    </row>
    <row r="4152" spans="1:18" s="904" customFormat="1">
      <c r="A4152" s="895"/>
      <c r="B4152" s="896"/>
      <c r="C4152" s="897"/>
      <c r="D4152" s="897"/>
      <c r="E4152" s="898" t="s">
        <v>108</v>
      </c>
      <c r="F4152" s="899"/>
      <c r="G4152" s="900"/>
      <c r="H4152" s="901"/>
      <c r="I4152" s="902"/>
      <c r="J4152" s="902"/>
      <c r="K4152" s="912" t="s">
        <v>274</v>
      </c>
      <c r="L4152" s="902"/>
      <c r="M4152" s="902"/>
      <c r="N4152" s="902"/>
      <c r="O4152" s="892">
        <f t="shared" si="260"/>
        <v>0</v>
      </c>
      <c r="P4152" s="903">
        <f t="shared" si="261"/>
        <v>1</v>
      </c>
      <c r="Q4152" s="893">
        <f t="shared" si="262"/>
        <v>5</v>
      </c>
      <c r="R4152" s="894">
        <f t="shared" si="263"/>
        <v>0</v>
      </c>
    </row>
    <row r="4153" spans="1:18">
      <c r="A4153" s="905"/>
      <c r="B4153" s="906"/>
      <c r="C4153" s="907">
        <v>55</v>
      </c>
      <c r="D4153" s="907" t="s">
        <v>279</v>
      </c>
      <c r="E4153" s="925" t="s">
        <v>3192</v>
      </c>
      <c r="F4153" s="926" t="s">
        <v>45</v>
      </c>
      <c r="G4153" s="910"/>
      <c r="H4153" s="911">
        <v>1.5</v>
      </c>
      <c r="I4153" s="912">
        <f>VLOOKUP(E4153,[3]VLP!$B$7:$K$300,10,0)</f>
        <v>2273</v>
      </c>
      <c r="J4153" s="912">
        <f>I4153*H4153</f>
        <v>3409.5</v>
      </c>
      <c r="K4153" s="912" t="s">
        <v>274</v>
      </c>
      <c r="L4153" s="912"/>
      <c r="M4153" s="912"/>
      <c r="N4153" s="912"/>
      <c r="O4153" s="892">
        <f t="shared" si="260"/>
        <v>0</v>
      </c>
      <c r="P4153" s="903">
        <f t="shared" si="261"/>
        <v>1</v>
      </c>
      <c r="Q4153" s="893">
        <f t="shared" si="262"/>
        <v>4</v>
      </c>
      <c r="R4153" s="894">
        <f t="shared" si="263"/>
        <v>0</v>
      </c>
    </row>
    <row r="4154" spans="1:18">
      <c r="A4154" s="905"/>
      <c r="B4154" s="906"/>
      <c r="C4154" s="907">
        <v>124</v>
      </c>
      <c r="D4154" s="907" t="s">
        <v>279</v>
      </c>
      <c r="E4154" s="925" t="s">
        <v>5432</v>
      </c>
      <c r="F4154" s="926" t="s">
        <v>3272</v>
      </c>
      <c r="G4154" s="910"/>
      <c r="H4154" s="911">
        <v>10</v>
      </c>
      <c r="I4154" s="912">
        <f>VLOOKUP(E4154,[3]VLP!$B$7:$K$300,10,0)</f>
        <v>20000</v>
      </c>
      <c r="J4154" s="912">
        <f>I4154*H4154</f>
        <v>200000</v>
      </c>
      <c r="K4154" s="912" t="s">
        <v>274</v>
      </c>
      <c r="L4154" s="912"/>
      <c r="M4154" s="912"/>
      <c r="N4154" s="912"/>
      <c r="O4154" s="892">
        <f t="shared" si="260"/>
        <v>0</v>
      </c>
      <c r="P4154" s="903">
        <f t="shared" si="261"/>
        <v>1</v>
      </c>
      <c r="Q4154" s="893">
        <f t="shared" si="262"/>
        <v>3</v>
      </c>
      <c r="R4154" s="894">
        <f t="shared" si="263"/>
        <v>0</v>
      </c>
    </row>
    <row r="4155" spans="1:18" s="904" customFormat="1">
      <c r="A4155" s="895"/>
      <c r="B4155" s="896"/>
      <c r="C4155" s="897"/>
      <c r="D4155" s="897"/>
      <c r="E4155" s="924" t="s">
        <v>276</v>
      </c>
      <c r="F4155" s="927"/>
      <c r="G4155" s="928"/>
      <c r="H4155" s="901"/>
      <c r="I4155" s="902"/>
      <c r="J4155" s="902"/>
      <c r="K4155" s="912" t="s">
        <v>274</v>
      </c>
      <c r="L4155" s="902"/>
      <c r="M4155" s="902"/>
      <c r="N4155" s="902"/>
      <c r="O4155" s="892">
        <f t="shared" si="260"/>
        <v>0</v>
      </c>
      <c r="P4155" s="903">
        <f t="shared" si="261"/>
        <v>1</v>
      </c>
      <c r="Q4155" s="893">
        <f t="shared" si="262"/>
        <v>2</v>
      </c>
      <c r="R4155" s="894">
        <f t="shared" si="263"/>
        <v>0</v>
      </c>
    </row>
    <row r="4156" spans="1:18">
      <c r="A4156" s="905"/>
      <c r="B4156" s="906"/>
      <c r="C4156" s="907">
        <v>735</v>
      </c>
      <c r="D4156" s="907" t="s">
        <v>12</v>
      </c>
      <c r="E4156" s="908" t="s">
        <v>4065</v>
      </c>
      <c r="F4156" s="909" t="s">
        <v>2674</v>
      </c>
      <c r="G4156" s="910"/>
      <c r="H4156" s="911">
        <v>8.1199999999999992</v>
      </c>
      <c r="I4156" s="912"/>
      <c r="J4156" s="912"/>
      <c r="K4156" s="912">
        <f>VLOOKUP(E4156,[5]ĐMNC!$A$7:$F$67,4,0)</f>
        <v>203703</v>
      </c>
      <c r="L4156" s="912">
        <f>H4156*K4156</f>
        <v>1654068.3599999999</v>
      </c>
      <c r="M4156" s="912"/>
      <c r="N4156" s="912"/>
      <c r="O4156" s="892">
        <f t="shared" si="260"/>
        <v>0</v>
      </c>
      <c r="P4156" s="903">
        <f t="shared" si="261"/>
        <v>1</v>
      </c>
      <c r="Q4156" s="893">
        <f t="shared" si="262"/>
        <v>1</v>
      </c>
      <c r="R4156" s="894">
        <f t="shared" si="263"/>
        <v>0</v>
      </c>
    </row>
    <row r="4157" spans="1:18" s="847" customFormat="1" ht="31.5">
      <c r="A4157" s="905"/>
      <c r="B4157" s="914" t="s">
        <v>1271</v>
      </c>
      <c r="C4157" s="915"/>
      <c r="D4157" s="915"/>
      <c r="E4157" s="916" t="s">
        <v>5475</v>
      </c>
      <c r="F4157" s="917" t="s">
        <v>5431</v>
      </c>
      <c r="G4157" s="918"/>
      <c r="H4157" s="919"/>
      <c r="I4157" s="920"/>
      <c r="J4157" s="891">
        <f>SUM(J4158:J4162)</f>
        <v>284295.96999999997</v>
      </c>
      <c r="K4157" s="891"/>
      <c r="L4157" s="891">
        <f>SUM(L4158:L4162)</f>
        <v>2092029.8099999998</v>
      </c>
      <c r="M4157" s="891"/>
      <c r="N4157" s="891">
        <f>SUM(N4158:N4162)</f>
        <v>0</v>
      </c>
      <c r="O4157" s="892">
        <f t="shared" si="260"/>
        <v>1</v>
      </c>
      <c r="P4157" s="903">
        <f t="shared" si="261"/>
        <v>0</v>
      </c>
      <c r="Q4157" s="893">
        <f t="shared" si="262"/>
        <v>0</v>
      </c>
      <c r="R4157" s="894">
        <f t="shared" si="263"/>
        <v>5</v>
      </c>
    </row>
    <row r="4158" spans="1:18" s="904" customFormat="1">
      <c r="A4158" s="895"/>
      <c r="B4158" s="896"/>
      <c r="C4158" s="897"/>
      <c r="D4158" s="897"/>
      <c r="E4158" s="898" t="s">
        <v>108</v>
      </c>
      <c r="F4158" s="899"/>
      <c r="G4158" s="900"/>
      <c r="H4158" s="901"/>
      <c r="I4158" s="902"/>
      <c r="J4158" s="902"/>
      <c r="K4158" s="912" t="s">
        <v>274</v>
      </c>
      <c r="L4158" s="902"/>
      <c r="M4158" s="902"/>
      <c r="N4158" s="902"/>
      <c r="O4158" s="892">
        <f t="shared" si="260"/>
        <v>0</v>
      </c>
      <c r="P4158" s="903">
        <f t="shared" si="261"/>
        <v>1</v>
      </c>
      <c r="Q4158" s="893">
        <f t="shared" si="262"/>
        <v>5</v>
      </c>
      <c r="R4158" s="894">
        <f t="shared" si="263"/>
        <v>0</v>
      </c>
    </row>
    <row r="4159" spans="1:18">
      <c r="A4159" s="905"/>
      <c r="B4159" s="906"/>
      <c r="C4159" s="907">
        <v>55</v>
      </c>
      <c r="D4159" s="907" t="s">
        <v>279</v>
      </c>
      <c r="E4159" s="925" t="s">
        <v>3192</v>
      </c>
      <c r="F4159" s="926" t="s">
        <v>45</v>
      </c>
      <c r="G4159" s="910"/>
      <c r="H4159" s="911">
        <v>1.89</v>
      </c>
      <c r="I4159" s="912">
        <f>VLOOKUP(E4159,[3]VLP!$B$7:$K$300,10,0)</f>
        <v>2273</v>
      </c>
      <c r="J4159" s="912">
        <f>I4159*H4159</f>
        <v>4295.9699999999993</v>
      </c>
      <c r="K4159" s="912" t="s">
        <v>274</v>
      </c>
      <c r="L4159" s="912"/>
      <c r="M4159" s="912"/>
      <c r="N4159" s="912"/>
      <c r="O4159" s="892">
        <f t="shared" si="260"/>
        <v>0</v>
      </c>
      <c r="P4159" s="903">
        <f t="shared" si="261"/>
        <v>1</v>
      </c>
      <c r="Q4159" s="893">
        <f t="shared" si="262"/>
        <v>4</v>
      </c>
      <c r="R4159" s="894">
        <f t="shared" si="263"/>
        <v>0</v>
      </c>
    </row>
    <row r="4160" spans="1:18">
      <c r="A4160" s="905"/>
      <c r="B4160" s="906"/>
      <c r="C4160" s="907">
        <v>124</v>
      </c>
      <c r="D4160" s="907" t="s">
        <v>279</v>
      </c>
      <c r="E4160" s="925" t="s">
        <v>5432</v>
      </c>
      <c r="F4160" s="926" t="s">
        <v>3272</v>
      </c>
      <c r="G4160" s="910"/>
      <c r="H4160" s="911">
        <v>14</v>
      </c>
      <c r="I4160" s="912">
        <f>VLOOKUP(E4160,[3]VLP!$B$7:$K$300,10,0)</f>
        <v>20000</v>
      </c>
      <c r="J4160" s="912">
        <f>I4160*H4160</f>
        <v>280000</v>
      </c>
      <c r="K4160" s="912" t="s">
        <v>274</v>
      </c>
      <c r="L4160" s="912"/>
      <c r="M4160" s="912"/>
      <c r="N4160" s="912"/>
      <c r="O4160" s="892">
        <f t="shared" si="260"/>
        <v>0</v>
      </c>
      <c r="P4160" s="903">
        <f t="shared" si="261"/>
        <v>1</v>
      </c>
      <c r="Q4160" s="893">
        <f t="shared" si="262"/>
        <v>3</v>
      </c>
      <c r="R4160" s="894">
        <f t="shared" si="263"/>
        <v>0</v>
      </c>
    </row>
    <row r="4161" spans="1:18" s="904" customFormat="1">
      <c r="A4161" s="895"/>
      <c r="B4161" s="896"/>
      <c r="C4161" s="897"/>
      <c r="D4161" s="897"/>
      <c r="E4161" s="924" t="s">
        <v>276</v>
      </c>
      <c r="F4161" s="927"/>
      <c r="G4161" s="928"/>
      <c r="H4161" s="901"/>
      <c r="I4161" s="902"/>
      <c r="J4161" s="902"/>
      <c r="K4161" s="912" t="s">
        <v>274</v>
      </c>
      <c r="L4161" s="902"/>
      <c r="M4161" s="902"/>
      <c r="N4161" s="902"/>
      <c r="O4161" s="892">
        <f t="shared" si="260"/>
        <v>0</v>
      </c>
      <c r="P4161" s="903">
        <f t="shared" si="261"/>
        <v>1</v>
      </c>
      <c r="Q4161" s="893">
        <f t="shared" si="262"/>
        <v>2</v>
      </c>
      <c r="R4161" s="894">
        <f t="shared" si="263"/>
        <v>0</v>
      </c>
    </row>
    <row r="4162" spans="1:18">
      <c r="A4162" s="905"/>
      <c r="B4162" s="906"/>
      <c r="C4162" s="907">
        <v>735</v>
      </c>
      <c r="D4162" s="907" t="s">
        <v>12</v>
      </c>
      <c r="E4162" s="908" t="s">
        <v>4065</v>
      </c>
      <c r="F4162" s="909" t="s">
        <v>2674</v>
      </c>
      <c r="G4162" s="910"/>
      <c r="H4162" s="911">
        <v>10.27</v>
      </c>
      <c r="I4162" s="912"/>
      <c r="J4162" s="912"/>
      <c r="K4162" s="912">
        <f>VLOOKUP(E4162,[5]ĐMNC!$A$7:$F$67,4,0)</f>
        <v>203703</v>
      </c>
      <c r="L4162" s="912">
        <f>H4162*K4162</f>
        <v>2092029.8099999998</v>
      </c>
      <c r="M4162" s="912"/>
      <c r="N4162" s="912"/>
      <c r="O4162" s="892">
        <f t="shared" si="260"/>
        <v>0</v>
      </c>
      <c r="P4162" s="903">
        <f t="shared" si="261"/>
        <v>1</v>
      </c>
      <c r="Q4162" s="893">
        <f t="shared" si="262"/>
        <v>1</v>
      </c>
      <c r="R4162" s="894">
        <f t="shared" si="263"/>
        <v>0</v>
      </c>
    </row>
    <row r="4163" spans="1:18" s="847" customFormat="1" ht="31.5">
      <c r="A4163" s="905"/>
      <c r="B4163" s="914" t="s">
        <v>1273</v>
      </c>
      <c r="C4163" s="915"/>
      <c r="D4163" s="915"/>
      <c r="E4163" s="916" t="s">
        <v>5476</v>
      </c>
      <c r="F4163" s="917" t="s">
        <v>5431</v>
      </c>
      <c r="G4163" s="918"/>
      <c r="H4163" s="919"/>
      <c r="I4163" s="920"/>
      <c r="J4163" s="891">
        <f>SUM(J4164:J4168)</f>
        <v>365114.25</v>
      </c>
      <c r="K4163" s="891"/>
      <c r="L4163" s="891">
        <f>SUM(L4164:L4168)</f>
        <v>2558509.6800000002</v>
      </c>
      <c r="M4163" s="891"/>
      <c r="N4163" s="891">
        <f>SUM(N4164:N4168)</f>
        <v>0</v>
      </c>
      <c r="O4163" s="892">
        <f t="shared" si="260"/>
        <v>1</v>
      </c>
      <c r="P4163" s="903">
        <f t="shared" si="261"/>
        <v>0</v>
      </c>
      <c r="Q4163" s="893">
        <f t="shared" si="262"/>
        <v>0</v>
      </c>
      <c r="R4163" s="894">
        <f t="shared" si="263"/>
        <v>5</v>
      </c>
    </row>
    <row r="4164" spans="1:18" s="904" customFormat="1">
      <c r="A4164" s="895"/>
      <c r="B4164" s="896"/>
      <c r="C4164" s="897"/>
      <c r="D4164" s="897"/>
      <c r="E4164" s="898" t="s">
        <v>108</v>
      </c>
      <c r="F4164" s="899"/>
      <c r="G4164" s="900"/>
      <c r="H4164" s="901"/>
      <c r="I4164" s="902"/>
      <c r="J4164" s="902"/>
      <c r="K4164" s="912" t="s">
        <v>274</v>
      </c>
      <c r="L4164" s="902"/>
      <c r="M4164" s="902"/>
      <c r="N4164" s="902"/>
      <c r="O4164" s="892">
        <f t="shared" si="260"/>
        <v>0</v>
      </c>
      <c r="P4164" s="903">
        <f t="shared" si="261"/>
        <v>1</v>
      </c>
      <c r="Q4164" s="893">
        <f t="shared" si="262"/>
        <v>5</v>
      </c>
      <c r="R4164" s="894">
        <f t="shared" si="263"/>
        <v>0</v>
      </c>
    </row>
    <row r="4165" spans="1:18">
      <c r="A4165" s="905"/>
      <c r="B4165" s="906"/>
      <c r="C4165" s="907">
        <v>55</v>
      </c>
      <c r="D4165" s="907" t="s">
        <v>279</v>
      </c>
      <c r="E4165" s="925" t="s">
        <v>3192</v>
      </c>
      <c r="F4165" s="926" t="s">
        <v>45</v>
      </c>
      <c r="G4165" s="910"/>
      <c r="H4165" s="911">
        <v>2.25</v>
      </c>
      <c r="I4165" s="912">
        <f>VLOOKUP(E4165,[3]VLP!$B$7:$K$300,10,0)</f>
        <v>2273</v>
      </c>
      <c r="J4165" s="912">
        <f>I4165*H4165</f>
        <v>5114.25</v>
      </c>
      <c r="K4165" s="912" t="s">
        <v>274</v>
      </c>
      <c r="L4165" s="912"/>
      <c r="M4165" s="912"/>
      <c r="N4165" s="912"/>
      <c r="O4165" s="892">
        <f t="shared" si="260"/>
        <v>0</v>
      </c>
      <c r="P4165" s="903">
        <f t="shared" si="261"/>
        <v>1</v>
      </c>
      <c r="Q4165" s="893">
        <f t="shared" si="262"/>
        <v>4</v>
      </c>
      <c r="R4165" s="894">
        <f t="shared" si="263"/>
        <v>0</v>
      </c>
    </row>
    <row r="4166" spans="1:18">
      <c r="A4166" s="905"/>
      <c r="B4166" s="906"/>
      <c r="C4166" s="907">
        <v>124</v>
      </c>
      <c r="D4166" s="907" t="s">
        <v>279</v>
      </c>
      <c r="E4166" s="925" t="s">
        <v>5432</v>
      </c>
      <c r="F4166" s="926" t="s">
        <v>3272</v>
      </c>
      <c r="G4166" s="910"/>
      <c r="H4166" s="911">
        <v>18</v>
      </c>
      <c r="I4166" s="912">
        <f>VLOOKUP(E4166,[3]VLP!$B$7:$K$300,10,0)</f>
        <v>20000</v>
      </c>
      <c r="J4166" s="912">
        <f>I4166*H4166</f>
        <v>360000</v>
      </c>
      <c r="K4166" s="912" t="s">
        <v>274</v>
      </c>
      <c r="L4166" s="912"/>
      <c r="M4166" s="912"/>
      <c r="N4166" s="912"/>
      <c r="O4166" s="892">
        <f t="shared" si="260"/>
        <v>0</v>
      </c>
      <c r="P4166" s="903">
        <f t="shared" si="261"/>
        <v>1</v>
      </c>
      <c r="Q4166" s="893">
        <f t="shared" si="262"/>
        <v>3</v>
      </c>
      <c r="R4166" s="894">
        <f t="shared" si="263"/>
        <v>0</v>
      </c>
    </row>
    <row r="4167" spans="1:18" s="904" customFormat="1">
      <c r="A4167" s="895"/>
      <c r="B4167" s="896"/>
      <c r="C4167" s="897"/>
      <c r="D4167" s="897"/>
      <c r="E4167" s="924" t="s">
        <v>276</v>
      </c>
      <c r="F4167" s="927"/>
      <c r="G4167" s="928"/>
      <c r="H4167" s="901"/>
      <c r="I4167" s="902"/>
      <c r="J4167" s="902"/>
      <c r="K4167" s="912" t="s">
        <v>274</v>
      </c>
      <c r="L4167" s="902"/>
      <c r="M4167" s="902"/>
      <c r="N4167" s="902"/>
      <c r="O4167" s="892">
        <f t="shared" si="260"/>
        <v>0</v>
      </c>
      <c r="P4167" s="903">
        <f t="shared" si="261"/>
        <v>1</v>
      </c>
      <c r="Q4167" s="893">
        <f t="shared" si="262"/>
        <v>2</v>
      </c>
      <c r="R4167" s="894">
        <f t="shared" si="263"/>
        <v>0</v>
      </c>
    </row>
    <row r="4168" spans="1:18">
      <c r="A4168" s="905"/>
      <c r="B4168" s="906"/>
      <c r="C4168" s="907">
        <v>735</v>
      </c>
      <c r="D4168" s="907" t="s">
        <v>12</v>
      </c>
      <c r="E4168" s="908" t="s">
        <v>4065</v>
      </c>
      <c r="F4168" s="909" t="s">
        <v>2674</v>
      </c>
      <c r="G4168" s="910"/>
      <c r="H4168" s="911">
        <v>12.56</v>
      </c>
      <c r="I4168" s="912"/>
      <c r="J4168" s="912"/>
      <c r="K4168" s="912">
        <f>VLOOKUP(E4168,[5]ĐMNC!$A$7:$F$67,4,0)</f>
        <v>203703</v>
      </c>
      <c r="L4168" s="912">
        <f>H4168*K4168</f>
        <v>2558509.6800000002</v>
      </c>
      <c r="M4168" s="912"/>
      <c r="N4168" s="912"/>
      <c r="O4168" s="892">
        <f t="shared" si="260"/>
        <v>0</v>
      </c>
      <c r="P4168" s="903">
        <f t="shared" si="261"/>
        <v>1</v>
      </c>
      <c r="Q4168" s="893">
        <f t="shared" si="262"/>
        <v>1</v>
      </c>
      <c r="R4168" s="894">
        <f t="shared" si="263"/>
        <v>0</v>
      </c>
    </row>
    <row r="4169" spans="1:18" s="847" customFormat="1" ht="31.5">
      <c r="A4169" s="905"/>
      <c r="B4169" s="914" t="s">
        <v>1275</v>
      </c>
      <c r="C4169" s="915"/>
      <c r="D4169" s="915"/>
      <c r="E4169" s="916" t="s">
        <v>5477</v>
      </c>
      <c r="F4169" s="917" t="s">
        <v>5431</v>
      </c>
      <c r="G4169" s="918"/>
      <c r="H4169" s="919"/>
      <c r="I4169" s="920"/>
      <c r="J4169" s="891">
        <f>SUM(J4170:J4174)</f>
        <v>447273.6</v>
      </c>
      <c r="K4169" s="891"/>
      <c r="L4169" s="891">
        <f>SUM(L4170:L4174)</f>
        <v>2874249.33</v>
      </c>
      <c r="M4169" s="891"/>
      <c r="N4169" s="891">
        <f>SUM(N4170:N4174)</f>
        <v>0</v>
      </c>
      <c r="O4169" s="892">
        <f t="shared" si="260"/>
        <v>1</v>
      </c>
      <c r="P4169" s="903">
        <f t="shared" si="261"/>
        <v>0</v>
      </c>
      <c r="Q4169" s="893">
        <f t="shared" si="262"/>
        <v>0</v>
      </c>
      <c r="R4169" s="894">
        <f t="shared" si="263"/>
        <v>5</v>
      </c>
    </row>
    <row r="4170" spans="1:18" s="904" customFormat="1">
      <c r="A4170" s="895"/>
      <c r="B4170" s="896"/>
      <c r="C4170" s="897"/>
      <c r="D4170" s="897"/>
      <c r="E4170" s="898" t="s">
        <v>108</v>
      </c>
      <c r="F4170" s="899"/>
      <c r="G4170" s="900"/>
      <c r="H4170" s="901"/>
      <c r="I4170" s="902"/>
      <c r="J4170" s="902"/>
      <c r="K4170" s="912" t="s">
        <v>274</v>
      </c>
      <c r="L4170" s="902"/>
      <c r="M4170" s="902"/>
      <c r="N4170" s="902"/>
      <c r="O4170" s="892">
        <f t="shared" si="260"/>
        <v>0</v>
      </c>
      <c r="P4170" s="903">
        <f t="shared" si="261"/>
        <v>1</v>
      </c>
      <c r="Q4170" s="893">
        <f t="shared" si="262"/>
        <v>5</v>
      </c>
      <c r="R4170" s="894">
        <f t="shared" si="263"/>
        <v>0</v>
      </c>
    </row>
    <row r="4171" spans="1:18">
      <c r="A4171" s="905"/>
      <c r="B4171" s="906"/>
      <c r="C4171" s="907">
        <v>55</v>
      </c>
      <c r="D4171" s="907" t="s">
        <v>279</v>
      </c>
      <c r="E4171" s="925" t="s">
        <v>3192</v>
      </c>
      <c r="F4171" s="926" t="s">
        <v>45</v>
      </c>
      <c r="G4171" s="910"/>
      <c r="H4171" s="911">
        <v>3.2</v>
      </c>
      <c r="I4171" s="912">
        <f>VLOOKUP(E4171,[3]VLP!$B$7:$K$300,10,0)</f>
        <v>2273</v>
      </c>
      <c r="J4171" s="912">
        <f>I4171*H4171</f>
        <v>7273.6</v>
      </c>
      <c r="K4171" s="912" t="s">
        <v>274</v>
      </c>
      <c r="L4171" s="912"/>
      <c r="M4171" s="912"/>
      <c r="N4171" s="912"/>
      <c r="O4171" s="892">
        <f t="shared" si="260"/>
        <v>0</v>
      </c>
      <c r="P4171" s="903">
        <f t="shared" si="261"/>
        <v>1</v>
      </c>
      <c r="Q4171" s="893">
        <f t="shared" si="262"/>
        <v>4</v>
      </c>
      <c r="R4171" s="894">
        <f t="shared" si="263"/>
        <v>0</v>
      </c>
    </row>
    <row r="4172" spans="1:18">
      <c r="A4172" s="905"/>
      <c r="B4172" s="906"/>
      <c r="C4172" s="907">
        <v>124</v>
      </c>
      <c r="D4172" s="907" t="s">
        <v>279</v>
      </c>
      <c r="E4172" s="925" t="s">
        <v>5432</v>
      </c>
      <c r="F4172" s="926" t="s">
        <v>3272</v>
      </c>
      <c r="G4172" s="910"/>
      <c r="H4172" s="911">
        <v>22</v>
      </c>
      <c r="I4172" s="912">
        <f>VLOOKUP(E4172,[3]VLP!$B$7:$K$300,10,0)</f>
        <v>20000</v>
      </c>
      <c r="J4172" s="912">
        <f>I4172*H4172</f>
        <v>440000</v>
      </c>
      <c r="K4172" s="912" t="s">
        <v>274</v>
      </c>
      <c r="L4172" s="912"/>
      <c r="M4172" s="912"/>
      <c r="N4172" s="912"/>
      <c r="O4172" s="892">
        <f t="shared" si="260"/>
        <v>0</v>
      </c>
      <c r="P4172" s="903">
        <f t="shared" si="261"/>
        <v>1</v>
      </c>
      <c r="Q4172" s="893">
        <f t="shared" si="262"/>
        <v>3</v>
      </c>
      <c r="R4172" s="894">
        <f t="shared" si="263"/>
        <v>0</v>
      </c>
    </row>
    <row r="4173" spans="1:18" s="904" customFormat="1">
      <c r="A4173" s="895"/>
      <c r="B4173" s="896"/>
      <c r="C4173" s="897"/>
      <c r="D4173" s="897"/>
      <c r="E4173" s="924" t="s">
        <v>276</v>
      </c>
      <c r="F4173" s="927"/>
      <c r="G4173" s="928"/>
      <c r="H4173" s="901"/>
      <c r="I4173" s="902"/>
      <c r="J4173" s="902"/>
      <c r="K4173" s="912" t="s">
        <v>274</v>
      </c>
      <c r="L4173" s="902"/>
      <c r="M4173" s="902"/>
      <c r="N4173" s="902"/>
      <c r="O4173" s="892">
        <f t="shared" si="260"/>
        <v>0</v>
      </c>
      <c r="P4173" s="903">
        <f t="shared" si="261"/>
        <v>1</v>
      </c>
      <c r="Q4173" s="893">
        <f t="shared" si="262"/>
        <v>2</v>
      </c>
      <c r="R4173" s="894">
        <f t="shared" si="263"/>
        <v>0</v>
      </c>
    </row>
    <row r="4174" spans="1:18">
      <c r="A4174" s="905"/>
      <c r="B4174" s="906"/>
      <c r="C4174" s="907">
        <v>735</v>
      </c>
      <c r="D4174" s="907" t="s">
        <v>12</v>
      </c>
      <c r="E4174" s="908" t="s">
        <v>4065</v>
      </c>
      <c r="F4174" s="909" t="s">
        <v>2674</v>
      </c>
      <c r="G4174" s="910"/>
      <c r="H4174" s="911">
        <v>14.11</v>
      </c>
      <c r="I4174" s="912"/>
      <c r="J4174" s="912"/>
      <c r="K4174" s="912">
        <f>VLOOKUP(E4174,[5]ĐMNC!$A$7:$F$67,4,0)</f>
        <v>203703</v>
      </c>
      <c r="L4174" s="912">
        <f>H4174*K4174</f>
        <v>2874249.33</v>
      </c>
      <c r="M4174" s="912"/>
      <c r="N4174" s="912"/>
      <c r="O4174" s="892">
        <f t="shared" si="260"/>
        <v>0</v>
      </c>
      <c r="P4174" s="903">
        <f t="shared" si="261"/>
        <v>1</v>
      </c>
      <c r="Q4174" s="893">
        <f t="shared" si="262"/>
        <v>1</v>
      </c>
      <c r="R4174" s="894">
        <f t="shared" si="263"/>
        <v>0</v>
      </c>
    </row>
    <row r="4175" spans="1:18" s="847" customFormat="1" ht="31.5">
      <c r="A4175" s="905"/>
      <c r="B4175" s="914" t="s">
        <v>1277</v>
      </c>
      <c r="C4175" s="915"/>
      <c r="D4175" s="915"/>
      <c r="E4175" s="916" t="s">
        <v>5478</v>
      </c>
      <c r="F4175" s="917" t="s">
        <v>5431</v>
      </c>
      <c r="G4175" s="918"/>
      <c r="H4175" s="919"/>
      <c r="I4175" s="920"/>
      <c r="J4175" s="891">
        <f>SUM(J4176:J4180)</f>
        <v>820896.93</v>
      </c>
      <c r="K4175" s="891"/>
      <c r="L4175" s="891">
        <f>SUM(L4176:L4180)</f>
        <v>4617947.0100000007</v>
      </c>
      <c r="M4175" s="891"/>
      <c r="N4175" s="891">
        <f>SUM(N4176:N4180)</f>
        <v>0</v>
      </c>
      <c r="O4175" s="892">
        <f t="shared" si="260"/>
        <v>1</v>
      </c>
      <c r="P4175" s="903">
        <f t="shared" si="261"/>
        <v>0</v>
      </c>
      <c r="Q4175" s="893">
        <f t="shared" si="262"/>
        <v>0</v>
      </c>
      <c r="R4175" s="894">
        <f t="shared" si="263"/>
        <v>5</v>
      </c>
    </row>
    <row r="4176" spans="1:18" s="904" customFormat="1">
      <c r="A4176" s="895"/>
      <c r="B4176" s="896"/>
      <c r="C4176" s="897"/>
      <c r="D4176" s="897"/>
      <c r="E4176" s="898" t="s">
        <v>108</v>
      </c>
      <c r="F4176" s="899"/>
      <c r="G4176" s="900"/>
      <c r="H4176" s="901"/>
      <c r="I4176" s="902"/>
      <c r="J4176" s="902"/>
      <c r="K4176" s="912" t="s">
        <v>274</v>
      </c>
      <c r="L4176" s="902"/>
      <c r="M4176" s="902"/>
      <c r="N4176" s="902"/>
      <c r="O4176" s="892">
        <f t="shared" si="260"/>
        <v>0</v>
      </c>
      <c r="P4176" s="903">
        <f t="shared" si="261"/>
        <v>1</v>
      </c>
      <c r="Q4176" s="893">
        <f t="shared" si="262"/>
        <v>5</v>
      </c>
      <c r="R4176" s="894">
        <f t="shared" si="263"/>
        <v>0</v>
      </c>
    </row>
    <row r="4177" spans="1:18">
      <c r="A4177" s="905"/>
      <c r="B4177" s="906"/>
      <c r="C4177" s="907">
        <v>55</v>
      </c>
      <c r="D4177" s="907" t="s">
        <v>279</v>
      </c>
      <c r="E4177" s="925" t="s">
        <v>3192</v>
      </c>
      <c r="F4177" s="926" t="s">
        <v>45</v>
      </c>
      <c r="G4177" s="910"/>
      <c r="H4177" s="911">
        <v>5.41</v>
      </c>
      <c r="I4177" s="912">
        <f>VLOOKUP(E4177,[3]VLP!$B$7:$K$300,10,0)</f>
        <v>2273</v>
      </c>
      <c r="J4177" s="912">
        <f>I4177*H4177</f>
        <v>12296.93</v>
      </c>
      <c r="K4177" s="912" t="s">
        <v>274</v>
      </c>
      <c r="L4177" s="912"/>
      <c r="M4177" s="912"/>
      <c r="N4177" s="912"/>
      <c r="O4177" s="892">
        <f t="shared" si="260"/>
        <v>0</v>
      </c>
      <c r="P4177" s="903">
        <f t="shared" si="261"/>
        <v>1</v>
      </c>
      <c r="Q4177" s="893">
        <f t="shared" si="262"/>
        <v>4</v>
      </c>
      <c r="R4177" s="894">
        <f t="shared" si="263"/>
        <v>0</v>
      </c>
    </row>
    <row r="4178" spans="1:18">
      <c r="A4178" s="905"/>
      <c r="B4178" s="906"/>
      <c r="C4178" s="907">
        <v>124</v>
      </c>
      <c r="D4178" s="907" t="s">
        <v>279</v>
      </c>
      <c r="E4178" s="925" t="s">
        <v>5432</v>
      </c>
      <c r="F4178" s="926" t="s">
        <v>3272</v>
      </c>
      <c r="G4178" s="910"/>
      <c r="H4178" s="911">
        <v>40.43</v>
      </c>
      <c r="I4178" s="912">
        <f>VLOOKUP(E4178,[3]VLP!$B$7:$K$300,10,0)</f>
        <v>20000</v>
      </c>
      <c r="J4178" s="912">
        <f>I4178*H4178</f>
        <v>808600</v>
      </c>
      <c r="K4178" s="912" t="s">
        <v>274</v>
      </c>
      <c r="L4178" s="912"/>
      <c r="M4178" s="912"/>
      <c r="N4178" s="912"/>
      <c r="O4178" s="892">
        <f t="shared" si="260"/>
        <v>0</v>
      </c>
      <c r="P4178" s="903">
        <f t="shared" si="261"/>
        <v>1</v>
      </c>
      <c r="Q4178" s="893">
        <f t="shared" si="262"/>
        <v>3</v>
      </c>
      <c r="R4178" s="894">
        <f t="shared" si="263"/>
        <v>0</v>
      </c>
    </row>
    <row r="4179" spans="1:18" s="904" customFormat="1">
      <c r="A4179" s="895"/>
      <c r="B4179" s="896"/>
      <c r="C4179" s="897"/>
      <c r="D4179" s="897"/>
      <c r="E4179" s="924" t="s">
        <v>276</v>
      </c>
      <c r="F4179" s="927"/>
      <c r="G4179" s="928"/>
      <c r="H4179" s="901"/>
      <c r="I4179" s="902"/>
      <c r="J4179" s="902"/>
      <c r="K4179" s="912" t="s">
        <v>274</v>
      </c>
      <c r="L4179" s="902"/>
      <c r="M4179" s="902"/>
      <c r="N4179" s="902"/>
      <c r="O4179" s="892">
        <f t="shared" si="260"/>
        <v>0</v>
      </c>
      <c r="P4179" s="903">
        <f t="shared" si="261"/>
        <v>1</v>
      </c>
      <c r="Q4179" s="893">
        <f t="shared" si="262"/>
        <v>2</v>
      </c>
      <c r="R4179" s="894">
        <f t="shared" si="263"/>
        <v>0</v>
      </c>
    </row>
    <row r="4180" spans="1:18">
      <c r="A4180" s="905"/>
      <c r="B4180" s="906"/>
      <c r="C4180" s="907">
        <v>735</v>
      </c>
      <c r="D4180" s="907" t="s">
        <v>12</v>
      </c>
      <c r="E4180" s="908" t="s">
        <v>4065</v>
      </c>
      <c r="F4180" s="909" t="s">
        <v>2674</v>
      </c>
      <c r="G4180" s="910"/>
      <c r="H4180" s="911">
        <v>22.67</v>
      </c>
      <c r="I4180" s="912"/>
      <c r="J4180" s="912"/>
      <c r="K4180" s="912">
        <f>VLOOKUP(E4180,[5]ĐMNC!$A$7:$F$67,4,0)</f>
        <v>203703</v>
      </c>
      <c r="L4180" s="912">
        <f>H4180*K4180</f>
        <v>4617947.0100000007</v>
      </c>
      <c r="M4180" s="912"/>
      <c r="N4180" s="912"/>
      <c r="O4180" s="892">
        <f t="shared" si="260"/>
        <v>0</v>
      </c>
      <c r="P4180" s="903">
        <f t="shared" si="261"/>
        <v>1</v>
      </c>
      <c r="Q4180" s="893">
        <f t="shared" si="262"/>
        <v>1</v>
      </c>
      <c r="R4180" s="894">
        <f t="shared" si="263"/>
        <v>0</v>
      </c>
    </row>
    <row r="4181" spans="1:18" s="847" customFormat="1" ht="31.5">
      <c r="A4181" s="905"/>
      <c r="B4181" s="914" t="s">
        <v>5479</v>
      </c>
      <c r="C4181" s="915"/>
      <c r="D4181" s="915"/>
      <c r="E4181" s="916" t="s">
        <v>5480</v>
      </c>
      <c r="F4181" s="917" t="s">
        <v>5431</v>
      </c>
      <c r="G4181" s="918"/>
      <c r="H4181" s="919"/>
      <c r="I4181" s="920"/>
      <c r="J4181" s="891">
        <f>SUM(J4182:J4186)</f>
        <v>985606.37000000011</v>
      </c>
      <c r="K4181" s="891"/>
      <c r="L4181" s="891">
        <f>SUM(L4182:L4186)</f>
        <v>5540721.5999999996</v>
      </c>
      <c r="M4181" s="891"/>
      <c r="N4181" s="891">
        <f>SUM(N4182:N4186)</f>
        <v>0</v>
      </c>
      <c r="O4181" s="892">
        <f t="shared" si="260"/>
        <v>1</v>
      </c>
      <c r="P4181" s="903">
        <f t="shared" si="261"/>
        <v>0</v>
      </c>
      <c r="Q4181" s="893">
        <f t="shared" si="262"/>
        <v>0</v>
      </c>
      <c r="R4181" s="894">
        <f t="shared" si="263"/>
        <v>5</v>
      </c>
    </row>
    <row r="4182" spans="1:18" s="904" customFormat="1">
      <c r="A4182" s="895"/>
      <c r="B4182" s="896"/>
      <c r="C4182" s="897"/>
      <c r="D4182" s="897"/>
      <c r="E4182" s="898" t="s">
        <v>108</v>
      </c>
      <c r="F4182" s="899"/>
      <c r="G4182" s="900"/>
      <c r="H4182" s="901"/>
      <c r="I4182" s="902"/>
      <c r="J4182" s="902"/>
      <c r="K4182" s="912" t="s">
        <v>274</v>
      </c>
      <c r="L4182" s="902"/>
      <c r="M4182" s="902"/>
      <c r="N4182" s="902"/>
      <c r="O4182" s="892">
        <f t="shared" si="260"/>
        <v>0</v>
      </c>
      <c r="P4182" s="903">
        <f t="shared" si="261"/>
        <v>1</v>
      </c>
      <c r="Q4182" s="893">
        <f t="shared" si="262"/>
        <v>5</v>
      </c>
      <c r="R4182" s="894">
        <f t="shared" si="263"/>
        <v>0</v>
      </c>
    </row>
    <row r="4183" spans="1:18">
      <c r="A4183" s="905"/>
      <c r="B4183" s="906"/>
      <c r="C4183" s="907">
        <v>55</v>
      </c>
      <c r="D4183" s="907" t="s">
        <v>279</v>
      </c>
      <c r="E4183" s="925" t="s">
        <v>3192</v>
      </c>
      <c r="F4183" s="926" t="s">
        <v>45</v>
      </c>
      <c r="G4183" s="910"/>
      <c r="H4183" s="911">
        <v>6.69</v>
      </c>
      <c r="I4183" s="912">
        <f>VLOOKUP(E4183,[3]VLP!$B$7:$K$300,10,0)</f>
        <v>2273</v>
      </c>
      <c r="J4183" s="912">
        <f>I4183*H4183</f>
        <v>15206.37</v>
      </c>
      <c r="K4183" s="912" t="s">
        <v>274</v>
      </c>
      <c r="L4183" s="912"/>
      <c r="M4183" s="912"/>
      <c r="N4183" s="912"/>
      <c r="O4183" s="892">
        <f t="shared" si="260"/>
        <v>0</v>
      </c>
      <c r="P4183" s="903">
        <f t="shared" si="261"/>
        <v>1</v>
      </c>
      <c r="Q4183" s="893">
        <f t="shared" si="262"/>
        <v>4</v>
      </c>
      <c r="R4183" s="894">
        <f t="shared" si="263"/>
        <v>0</v>
      </c>
    </row>
    <row r="4184" spans="1:18">
      <c r="A4184" s="905"/>
      <c r="B4184" s="906"/>
      <c r="C4184" s="907">
        <v>124</v>
      </c>
      <c r="D4184" s="907" t="s">
        <v>279</v>
      </c>
      <c r="E4184" s="925" t="s">
        <v>5432</v>
      </c>
      <c r="F4184" s="926" t="s">
        <v>3272</v>
      </c>
      <c r="G4184" s="910"/>
      <c r="H4184" s="911">
        <v>48.52</v>
      </c>
      <c r="I4184" s="912">
        <f>VLOOKUP(E4184,[3]VLP!$B$7:$K$300,10,0)</f>
        <v>20000</v>
      </c>
      <c r="J4184" s="912">
        <f>I4184*H4184</f>
        <v>970400.00000000012</v>
      </c>
      <c r="K4184" s="912" t="s">
        <v>274</v>
      </c>
      <c r="L4184" s="912"/>
      <c r="M4184" s="912"/>
      <c r="N4184" s="912"/>
      <c r="O4184" s="892">
        <f t="shared" si="260"/>
        <v>0</v>
      </c>
      <c r="P4184" s="903">
        <f t="shared" si="261"/>
        <v>1</v>
      </c>
      <c r="Q4184" s="893">
        <f t="shared" si="262"/>
        <v>3</v>
      </c>
      <c r="R4184" s="894">
        <f t="shared" si="263"/>
        <v>0</v>
      </c>
    </row>
    <row r="4185" spans="1:18" s="904" customFormat="1">
      <c r="A4185" s="895"/>
      <c r="B4185" s="896"/>
      <c r="C4185" s="897"/>
      <c r="D4185" s="897"/>
      <c r="E4185" s="924" t="s">
        <v>276</v>
      </c>
      <c r="F4185" s="927"/>
      <c r="G4185" s="928"/>
      <c r="H4185" s="901"/>
      <c r="I4185" s="902"/>
      <c r="J4185" s="902"/>
      <c r="K4185" s="912" t="s">
        <v>274</v>
      </c>
      <c r="L4185" s="902"/>
      <c r="M4185" s="902"/>
      <c r="N4185" s="902"/>
      <c r="O4185" s="892">
        <f t="shared" si="260"/>
        <v>0</v>
      </c>
      <c r="P4185" s="903">
        <f t="shared" si="261"/>
        <v>1</v>
      </c>
      <c r="Q4185" s="893">
        <f t="shared" si="262"/>
        <v>2</v>
      </c>
      <c r="R4185" s="894">
        <f t="shared" si="263"/>
        <v>0</v>
      </c>
    </row>
    <row r="4186" spans="1:18">
      <c r="A4186" s="905"/>
      <c r="B4186" s="906"/>
      <c r="C4186" s="907">
        <v>735</v>
      </c>
      <c r="D4186" s="907" t="s">
        <v>12</v>
      </c>
      <c r="E4186" s="908" t="s">
        <v>4065</v>
      </c>
      <c r="F4186" s="909" t="s">
        <v>2674</v>
      </c>
      <c r="G4186" s="910"/>
      <c r="H4186" s="911">
        <v>27.2</v>
      </c>
      <c r="I4186" s="912"/>
      <c r="J4186" s="912"/>
      <c r="K4186" s="912">
        <f>VLOOKUP(E4186,[5]ĐMNC!$A$7:$F$67,4,0)</f>
        <v>203703</v>
      </c>
      <c r="L4186" s="912">
        <f>H4186*K4186</f>
        <v>5540721.5999999996</v>
      </c>
      <c r="M4186" s="912"/>
      <c r="N4186" s="912"/>
      <c r="O4186" s="892">
        <f t="shared" si="260"/>
        <v>0</v>
      </c>
      <c r="P4186" s="903">
        <f t="shared" si="261"/>
        <v>1</v>
      </c>
      <c r="Q4186" s="893">
        <f t="shared" si="262"/>
        <v>1</v>
      </c>
      <c r="R4186" s="894">
        <f t="shared" si="263"/>
        <v>0</v>
      </c>
    </row>
    <row r="4187" spans="1:18" s="847" customFormat="1" ht="31.5">
      <c r="A4187" s="905"/>
      <c r="B4187" s="914" t="s">
        <v>5481</v>
      </c>
      <c r="C4187" s="915"/>
      <c r="D4187" s="915"/>
      <c r="E4187" s="916" t="s">
        <v>5482</v>
      </c>
      <c r="F4187" s="917" t="s">
        <v>5431</v>
      </c>
      <c r="G4187" s="918"/>
      <c r="H4187" s="919"/>
      <c r="I4187" s="920"/>
      <c r="J4187" s="891">
        <f>SUM(J4188:J4192)</f>
        <v>1182852.19</v>
      </c>
      <c r="K4187" s="891"/>
      <c r="L4187" s="891">
        <f>SUM(L4188:L4192)</f>
        <v>6648865.9199999999</v>
      </c>
      <c r="M4187" s="891"/>
      <c r="N4187" s="891">
        <f>SUM(N4188:N4192)</f>
        <v>0</v>
      </c>
      <c r="O4187" s="892">
        <f t="shared" si="260"/>
        <v>1</v>
      </c>
      <c r="P4187" s="903">
        <f t="shared" si="261"/>
        <v>0</v>
      </c>
      <c r="Q4187" s="893">
        <f t="shared" si="262"/>
        <v>0</v>
      </c>
      <c r="R4187" s="894">
        <f t="shared" si="263"/>
        <v>5</v>
      </c>
    </row>
    <row r="4188" spans="1:18" s="904" customFormat="1">
      <c r="A4188" s="895"/>
      <c r="B4188" s="896"/>
      <c r="C4188" s="897"/>
      <c r="D4188" s="897"/>
      <c r="E4188" s="898" t="s">
        <v>108</v>
      </c>
      <c r="F4188" s="899"/>
      <c r="G4188" s="900"/>
      <c r="H4188" s="901"/>
      <c r="I4188" s="902"/>
      <c r="J4188" s="902"/>
      <c r="K4188" s="912" t="s">
        <v>274</v>
      </c>
      <c r="L4188" s="902"/>
      <c r="M4188" s="902"/>
      <c r="N4188" s="902"/>
      <c r="O4188" s="892">
        <f t="shared" si="260"/>
        <v>0</v>
      </c>
      <c r="P4188" s="903">
        <f t="shared" si="261"/>
        <v>1</v>
      </c>
      <c r="Q4188" s="893">
        <f t="shared" si="262"/>
        <v>5</v>
      </c>
      <c r="R4188" s="894">
        <f t="shared" si="263"/>
        <v>0</v>
      </c>
    </row>
    <row r="4189" spans="1:18">
      <c r="A4189" s="905"/>
      <c r="B4189" s="906"/>
      <c r="C4189" s="907">
        <v>55</v>
      </c>
      <c r="D4189" s="907" t="s">
        <v>279</v>
      </c>
      <c r="E4189" s="925" t="s">
        <v>3192</v>
      </c>
      <c r="F4189" s="926" t="s">
        <v>45</v>
      </c>
      <c r="G4189" s="910"/>
      <c r="H4189" s="911">
        <v>8.0299999999999994</v>
      </c>
      <c r="I4189" s="912">
        <f>VLOOKUP(E4189,[3]VLP!$B$7:$K$300,10,0)</f>
        <v>2273</v>
      </c>
      <c r="J4189" s="912">
        <f>I4189*H4189</f>
        <v>18252.189999999999</v>
      </c>
      <c r="K4189" s="912" t="s">
        <v>274</v>
      </c>
      <c r="L4189" s="912"/>
      <c r="M4189" s="912"/>
      <c r="N4189" s="912"/>
      <c r="O4189" s="892">
        <f t="shared" si="260"/>
        <v>0</v>
      </c>
      <c r="P4189" s="903">
        <f t="shared" si="261"/>
        <v>1</v>
      </c>
      <c r="Q4189" s="893">
        <f t="shared" si="262"/>
        <v>4</v>
      </c>
      <c r="R4189" s="894">
        <f t="shared" si="263"/>
        <v>0</v>
      </c>
    </row>
    <row r="4190" spans="1:18">
      <c r="A4190" s="905"/>
      <c r="B4190" s="906"/>
      <c r="C4190" s="907">
        <v>124</v>
      </c>
      <c r="D4190" s="907" t="s">
        <v>279</v>
      </c>
      <c r="E4190" s="925" t="s">
        <v>5432</v>
      </c>
      <c r="F4190" s="926" t="s">
        <v>3272</v>
      </c>
      <c r="G4190" s="910"/>
      <c r="H4190" s="911">
        <v>58.23</v>
      </c>
      <c r="I4190" s="912">
        <f>VLOOKUP(E4190,[3]VLP!$B$7:$K$300,10,0)</f>
        <v>20000</v>
      </c>
      <c r="J4190" s="912">
        <f>I4190*H4190</f>
        <v>1164600</v>
      </c>
      <c r="K4190" s="912" t="s">
        <v>274</v>
      </c>
      <c r="L4190" s="912"/>
      <c r="M4190" s="912"/>
      <c r="N4190" s="912"/>
      <c r="O4190" s="892">
        <f t="shared" ref="O4190:O4253" si="264">IF(AND(B4190&lt;&gt;"",D4190=""),1,0)</f>
        <v>0</v>
      </c>
      <c r="P4190" s="903">
        <f t="shared" si="261"/>
        <v>1</v>
      </c>
      <c r="Q4190" s="893">
        <f t="shared" si="262"/>
        <v>3</v>
      </c>
      <c r="R4190" s="894">
        <f t="shared" si="263"/>
        <v>0</v>
      </c>
    </row>
    <row r="4191" spans="1:18" s="904" customFormat="1">
      <c r="A4191" s="895"/>
      <c r="B4191" s="896"/>
      <c r="C4191" s="897"/>
      <c r="D4191" s="897"/>
      <c r="E4191" s="924" t="s">
        <v>276</v>
      </c>
      <c r="F4191" s="927"/>
      <c r="G4191" s="928"/>
      <c r="H4191" s="901"/>
      <c r="I4191" s="902"/>
      <c r="J4191" s="902"/>
      <c r="K4191" s="912" t="s">
        <v>274</v>
      </c>
      <c r="L4191" s="902"/>
      <c r="M4191" s="902"/>
      <c r="N4191" s="902"/>
      <c r="O4191" s="892">
        <f t="shared" si="264"/>
        <v>0</v>
      </c>
      <c r="P4191" s="903">
        <f t="shared" si="261"/>
        <v>1</v>
      </c>
      <c r="Q4191" s="893">
        <f t="shared" si="262"/>
        <v>2</v>
      </c>
      <c r="R4191" s="894">
        <f t="shared" si="263"/>
        <v>0</v>
      </c>
    </row>
    <row r="4192" spans="1:18">
      <c r="A4192" s="905"/>
      <c r="B4192" s="906"/>
      <c r="C4192" s="907">
        <v>735</v>
      </c>
      <c r="D4192" s="907" t="s">
        <v>12</v>
      </c>
      <c r="E4192" s="908" t="s">
        <v>4065</v>
      </c>
      <c r="F4192" s="909" t="s">
        <v>2674</v>
      </c>
      <c r="G4192" s="910"/>
      <c r="H4192" s="911">
        <v>32.64</v>
      </c>
      <c r="I4192" s="912"/>
      <c r="J4192" s="912"/>
      <c r="K4192" s="912">
        <f>VLOOKUP(E4192,[5]ĐMNC!$A$7:$F$67,4,0)</f>
        <v>203703</v>
      </c>
      <c r="L4192" s="912">
        <f>H4192*K4192</f>
        <v>6648865.9199999999</v>
      </c>
      <c r="M4192" s="912"/>
      <c r="N4192" s="912"/>
      <c r="O4192" s="892">
        <f t="shared" si="264"/>
        <v>0</v>
      </c>
      <c r="P4192" s="903">
        <f t="shared" si="261"/>
        <v>1</v>
      </c>
      <c r="Q4192" s="893">
        <f t="shared" si="262"/>
        <v>1</v>
      </c>
      <c r="R4192" s="894">
        <f t="shared" si="263"/>
        <v>0</v>
      </c>
    </row>
    <row r="4193" spans="1:18" s="847" customFormat="1" ht="31.5">
      <c r="A4193" s="905" t="s">
        <v>5483</v>
      </c>
      <c r="B4193" s="914" t="s">
        <v>1279</v>
      </c>
      <c r="C4193" s="915"/>
      <c r="D4193" s="915"/>
      <c r="E4193" s="916" t="s">
        <v>5484</v>
      </c>
      <c r="F4193" s="917" t="s">
        <v>5431</v>
      </c>
      <c r="G4193" s="918"/>
      <c r="H4193" s="919"/>
      <c r="I4193" s="920"/>
      <c r="J4193" s="891">
        <f>SUM(J4194:J4198)</f>
        <v>243409.5</v>
      </c>
      <c r="K4193" s="891"/>
      <c r="L4193" s="891">
        <f>SUM(L4194:L4198)</f>
        <v>1894437.9000000001</v>
      </c>
      <c r="M4193" s="891"/>
      <c r="N4193" s="891">
        <f>SUM(N4194:N4198)</f>
        <v>0</v>
      </c>
      <c r="O4193" s="892">
        <f t="shared" si="264"/>
        <v>1</v>
      </c>
      <c r="P4193" s="903">
        <f t="shared" si="261"/>
        <v>0</v>
      </c>
      <c r="Q4193" s="893">
        <f t="shared" si="262"/>
        <v>0</v>
      </c>
      <c r="R4193" s="894">
        <f t="shared" si="263"/>
        <v>5</v>
      </c>
    </row>
    <row r="4194" spans="1:18" s="904" customFormat="1">
      <c r="A4194" s="895"/>
      <c r="B4194" s="896"/>
      <c r="C4194" s="897"/>
      <c r="D4194" s="897"/>
      <c r="E4194" s="898" t="s">
        <v>108</v>
      </c>
      <c r="F4194" s="899"/>
      <c r="G4194" s="900"/>
      <c r="H4194" s="901"/>
      <c r="I4194" s="902"/>
      <c r="J4194" s="902"/>
      <c r="K4194" s="912" t="s">
        <v>274</v>
      </c>
      <c r="L4194" s="902"/>
      <c r="M4194" s="902"/>
      <c r="N4194" s="902"/>
      <c r="O4194" s="892">
        <f t="shared" si="264"/>
        <v>0</v>
      </c>
      <c r="P4194" s="903">
        <f t="shared" si="261"/>
        <v>1</v>
      </c>
      <c r="Q4194" s="893">
        <f t="shared" si="262"/>
        <v>5</v>
      </c>
      <c r="R4194" s="894">
        <f t="shared" si="263"/>
        <v>0</v>
      </c>
    </row>
    <row r="4195" spans="1:18">
      <c r="A4195" s="905"/>
      <c r="B4195" s="906"/>
      <c r="C4195" s="907">
        <v>55</v>
      </c>
      <c r="D4195" s="907" t="s">
        <v>279</v>
      </c>
      <c r="E4195" s="925" t="s">
        <v>3192</v>
      </c>
      <c r="F4195" s="926" t="s">
        <v>45</v>
      </c>
      <c r="G4195" s="910"/>
      <c r="H4195" s="911">
        <v>1.5</v>
      </c>
      <c r="I4195" s="912">
        <f>VLOOKUP(E4195,[3]VLP!$B$7:$K$300,10,0)</f>
        <v>2273</v>
      </c>
      <c r="J4195" s="912">
        <f>I4195*H4195</f>
        <v>3409.5</v>
      </c>
      <c r="K4195" s="912" t="s">
        <v>274</v>
      </c>
      <c r="L4195" s="912"/>
      <c r="M4195" s="912"/>
      <c r="N4195" s="912"/>
      <c r="O4195" s="892">
        <f t="shared" si="264"/>
        <v>0</v>
      </c>
      <c r="P4195" s="903">
        <f t="shared" si="261"/>
        <v>1</v>
      </c>
      <c r="Q4195" s="893">
        <f t="shared" si="262"/>
        <v>4</v>
      </c>
      <c r="R4195" s="894">
        <f t="shared" si="263"/>
        <v>0</v>
      </c>
    </row>
    <row r="4196" spans="1:18">
      <c r="A4196" s="905"/>
      <c r="B4196" s="906"/>
      <c r="C4196" s="907">
        <v>124</v>
      </c>
      <c r="D4196" s="907" t="s">
        <v>279</v>
      </c>
      <c r="E4196" s="925" t="s">
        <v>5432</v>
      </c>
      <c r="F4196" s="926" t="s">
        <v>3272</v>
      </c>
      <c r="G4196" s="910"/>
      <c r="H4196" s="911">
        <v>12</v>
      </c>
      <c r="I4196" s="912">
        <f>VLOOKUP(E4196,[3]VLP!$B$7:$K$300,10,0)</f>
        <v>20000</v>
      </c>
      <c r="J4196" s="912">
        <f>I4196*H4196</f>
        <v>240000</v>
      </c>
      <c r="K4196" s="912" t="s">
        <v>274</v>
      </c>
      <c r="L4196" s="912"/>
      <c r="M4196" s="912"/>
      <c r="N4196" s="912"/>
      <c r="O4196" s="892">
        <f t="shared" si="264"/>
        <v>0</v>
      </c>
      <c r="P4196" s="903">
        <f t="shared" si="261"/>
        <v>1</v>
      </c>
      <c r="Q4196" s="893">
        <f t="shared" si="262"/>
        <v>3</v>
      </c>
      <c r="R4196" s="894">
        <f t="shared" si="263"/>
        <v>0</v>
      </c>
    </row>
    <row r="4197" spans="1:18" s="904" customFormat="1">
      <c r="A4197" s="895"/>
      <c r="B4197" s="896"/>
      <c r="C4197" s="897"/>
      <c r="D4197" s="897"/>
      <c r="E4197" s="924" t="s">
        <v>276</v>
      </c>
      <c r="F4197" s="927"/>
      <c r="G4197" s="928"/>
      <c r="H4197" s="901"/>
      <c r="I4197" s="902"/>
      <c r="J4197" s="902"/>
      <c r="K4197" s="912" t="s">
        <v>274</v>
      </c>
      <c r="L4197" s="902"/>
      <c r="M4197" s="902"/>
      <c r="N4197" s="902"/>
      <c r="O4197" s="892">
        <f t="shared" si="264"/>
        <v>0</v>
      </c>
      <c r="P4197" s="903">
        <f t="shared" si="261"/>
        <v>1</v>
      </c>
      <c r="Q4197" s="893">
        <f t="shared" si="262"/>
        <v>2</v>
      </c>
      <c r="R4197" s="894">
        <f t="shared" si="263"/>
        <v>0</v>
      </c>
    </row>
    <row r="4198" spans="1:18">
      <c r="A4198" s="905"/>
      <c r="B4198" s="906"/>
      <c r="C4198" s="907">
        <v>735</v>
      </c>
      <c r="D4198" s="907" t="s">
        <v>12</v>
      </c>
      <c r="E4198" s="908" t="s">
        <v>4065</v>
      </c>
      <c r="F4198" s="909" t="s">
        <v>2674</v>
      </c>
      <c r="G4198" s="910"/>
      <c r="H4198" s="911">
        <v>9.3000000000000007</v>
      </c>
      <c r="I4198" s="912"/>
      <c r="J4198" s="912"/>
      <c r="K4198" s="912">
        <f>VLOOKUP(E4198,[5]ĐMNC!$A$7:$F$67,4,0)</f>
        <v>203703</v>
      </c>
      <c r="L4198" s="912">
        <f>H4198*K4198</f>
        <v>1894437.9000000001</v>
      </c>
      <c r="M4198" s="912"/>
      <c r="N4198" s="912"/>
      <c r="O4198" s="892">
        <f t="shared" si="264"/>
        <v>0</v>
      </c>
      <c r="P4198" s="903">
        <f t="shared" si="261"/>
        <v>1</v>
      </c>
      <c r="Q4198" s="893">
        <f t="shared" si="262"/>
        <v>1</v>
      </c>
      <c r="R4198" s="894">
        <f t="shared" si="263"/>
        <v>0</v>
      </c>
    </row>
    <row r="4199" spans="1:18" s="847" customFormat="1" ht="31.5">
      <c r="A4199" s="905"/>
      <c r="B4199" s="914" t="s">
        <v>1281</v>
      </c>
      <c r="C4199" s="915"/>
      <c r="D4199" s="915"/>
      <c r="E4199" s="916" t="s">
        <v>5485</v>
      </c>
      <c r="F4199" s="917" t="s">
        <v>5431</v>
      </c>
      <c r="G4199" s="918"/>
      <c r="H4199" s="919"/>
      <c r="I4199" s="920"/>
      <c r="J4199" s="891">
        <f>SUM(J4200:J4204)</f>
        <v>345091.52</v>
      </c>
      <c r="K4199" s="891"/>
      <c r="L4199" s="891">
        <f>SUM(L4200:L4204)</f>
        <v>2505546.9000000004</v>
      </c>
      <c r="M4199" s="891"/>
      <c r="N4199" s="891">
        <f>SUM(N4200:N4204)</f>
        <v>0</v>
      </c>
      <c r="O4199" s="892">
        <f t="shared" si="264"/>
        <v>1</v>
      </c>
      <c r="P4199" s="903">
        <f t="shared" ref="P4199:P4262" si="265">IF(O4199=0,1,0)</f>
        <v>0</v>
      </c>
      <c r="Q4199" s="893">
        <f t="shared" ref="Q4199:Q4262" si="266">IF(P4199=0,0,P4199+Q4200)</f>
        <v>0</v>
      </c>
      <c r="R4199" s="894">
        <f t="shared" ref="R4199:R4262" si="267">IF(Q4199=0,Q4200,0)</f>
        <v>5</v>
      </c>
    </row>
    <row r="4200" spans="1:18" s="904" customFormat="1">
      <c r="A4200" s="895"/>
      <c r="B4200" s="896"/>
      <c r="C4200" s="897"/>
      <c r="D4200" s="897"/>
      <c r="E4200" s="898" t="s">
        <v>108</v>
      </c>
      <c r="F4200" s="899"/>
      <c r="G4200" s="900"/>
      <c r="H4200" s="901"/>
      <c r="I4200" s="902"/>
      <c r="J4200" s="902"/>
      <c r="K4200" s="912" t="s">
        <v>274</v>
      </c>
      <c r="L4200" s="902"/>
      <c r="M4200" s="902"/>
      <c r="N4200" s="902"/>
      <c r="O4200" s="892">
        <f t="shared" si="264"/>
        <v>0</v>
      </c>
      <c r="P4200" s="903">
        <f t="shared" si="265"/>
        <v>1</v>
      </c>
      <c r="Q4200" s="893">
        <f t="shared" si="266"/>
        <v>5</v>
      </c>
      <c r="R4200" s="894">
        <f t="shared" si="267"/>
        <v>0</v>
      </c>
    </row>
    <row r="4201" spans="1:18">
      <c r="A4201" s="905"/>
      <c r="B4201" s="906"/>
      <c r="C4201" s="907">
        <v>55</v>
      </c>
      <c r="D4201" s="907" t="s">
        <v>279</v>
      </c>
      <c r="E4201" s="925" t="s">
        <v>3192</v>
      </c>
      <c r="F4201" s="926" t="s">
        <v>45</v>
      </c>
      <c r="G4201" s="910"/>
      <c r="H4201" s="911">
        <v>2.2400000000000002</v>
      </c>
      <c r="I4201" s="912">
        <f>VLOOKUP(E4201,[3]VLP!$B$7:$K$300,10,0)</f>
        <v>2273</v>
      </c>
      <c r="J4201" s="912">
        <f>I4201*H4201</f>
        <v>5091.5200000000004</v>
      </c>
      <c r="K4201" s="912" t="s">
        <v>274</v>
      </c>
      <c r="L4201" s="912"/>
      <c r="M4201" s="912"/>
      <c r="N4201" s="912"/>
      <c r="O4201" s="892">
        <f t="shared" si="264"/>
        <v>0</v>
      </c>
      <c r="P4201" s="903">
        <f t="shared" si="265"/>
        <v>1</v>
      </c>
      <c r="Q4201" s="893">
        <f t="shared" si="266"/>
        <v>4</v>
      </c>
      <c r="R4201" s="894">
        <f t="shared" si="267"/>
        <v>0</v>
      </c>
    </row>
    <row r="4202" spans="1:18">
      <c r="A4202" s="905"/>
      <c r="B4202" s="906"/>
      <c r="C4202" s="907">
        <v>124</v>
      </c>
      <c r="D4202" s="907" t="s">
        <v>279</v>
      </c>
      <c r="E4202" s="925" t="s">
        <v>5432</v>
      </c>
      <c r="F4202" s="926" t="s">
        <v>3272</v>
      </c>
      <c r="G4202" s="910"/>
      <c r="H4202" s="911">
        <v>17</v>
      </c>
      <c r="I4202" s="912">
        <f>VLOOKUP(E4202,[3]VLP!$B$7:$K$300,10,0)</f>
        <v>20000</v>
      </c>
      <c r="J4202" s="912">
        <f>I4202*H4202</f>
        <v>340000</v>
      </c>
      <c r="K4202" s="912" t="s">
        <v>274</v>
      </c>
      <c r="L4202" s="912"/>
      <c r="M4202" s="912"/>
      <c r="N4202" s="912"/>
      <c r="O4202" s="892">
        <f t="shared" si="264"/>
        <v>0</v>
      </c>
      <c r="P4202" s="903">
        <f t="shared" si="265"/>
        <v>1</v>
      </c>
      <c r="Q4202" s="893">
        <f t="shared" si="266"/>
        <v>3</v>
      </c>
      <c r="R4202" s="894">
        <f t="shared" si="267"/>
        <v>0</v>
      </c>
    </row>
    <row r="4203" spans="1:18" s="904" customFormat="1">
      <c r="A4203" s="895"/>
      <c r="B4203" s="896"/>
      <c r="C4203" s="897"/>
      <c r="D4203" s="897"/>
      <c r="E4203" s="924" t="s">
        <v>276</v>
      </c>
      <c r="F4203" s="927"/>
      <c r="G4203" s="928"/>
      <c r="H4203" s="901"/>
      <c r="I4203" s="902"/>
      <c r="J4203" s="902"/>
      <c r="K4203" s="912" t="s">
        <v>274</v>
      </c>
      <c r="L4203" s="902"/>
      <c r="M4203" s="902"/>
      <c r="N4203" s="902"/>
      <c r="O4203" s="892">
        <f t="shared" si="264"/>
        <v>0</v>
      </c>
      <c r="P4203" s="903">
        <f t="shared" si="265"/>
        <v>1</v>
      </c>
      <c r="Q4203" s="893">
        <f t="shared" si="266"/>
        <v>2</v>
      </c>
      <c r="R4203" s="894">
        <f t="shared" si="267"/>
        <v>0</v>
      </c>
    </row>
    <row r="4204" spans="1:18">
      <c r="A4204" s="905"/>
      <c r="B4204" s="906"/>
      <c r="C4204" s="907">
        <v>735</v>
      </c>
      <c r="D4204" s="907" t="s">
        <v>12</v>
      </c>
      <c r="E4204" s="908" t="s">
        <v>4065</v>
      </c>
      <c r="F4204" s="909" t="s">
        <v>2674</v>
      </c>
      <c r="G4204" s="910"/>
      <c r="H4204" s="911">
        <v>12.3</v>
      </c>
      <c r="I4204" s="912"/>
      <c r="J4204" s="912"/>
      <c r="K4204" s="912">
        <f>VLOOKUP(E4204,[5]ĐMNC!$A$7:$F$67,4,0)</f>
        <v>203703</v>
      </c>
      <c r="L4204" s="912">
        <f>H4204*K4204</f>
        <v>2505546.9000000004</v>
      </c>
      <c r="M4204" s="912"/>
      <c r="N4204" s="912"/>
      <c r="O4204" s="892">
        <f t="shared" si="264"/>
        <v>0</v>
      </c>
      <c r="P4204" s="903">
        <f t="shared" si="265"/>
        <v>1</v>
      </c>
      <c r="Q4204" s="893">
        <f t="shared" si="266"/>
        <v>1</v>
      </c>
      <c r="R4204" s="894">
        <f t="shared" si="267"/>
        <v>0</v>
      </c>
    </row>
    <row r="4205" spans="1:18" s="847" customFormat="1" ht="31.5">
      <c r="A4205" s="905"/>
      <c r="B4205" s="914" t="s">
        <v>1283</v>
      </c>
      <c r="C4205" s="915"/>
      <c r="D4205" s="915"/>
      <c r="E4205" s="916" t="s">
        <v>5486</v>
      </c>
      <c r="F4205" s="917" t="s">
        <v>5431</v>
      </c>
      <c r="G4205" s="918"/>
      <c r="H4205" s="919"/>
      <c r="I4205" s="920"/>
      <c r="J4205" s="891">
        <f>SUM(J4206:J4210)</f>
        <v>447273.6</v>
      </c>
      <c r="K4205" s="891"/>
      <c r="L4205" s="891">
        <f>SUM(L4206:L4210)</f>
        <v>3065730.1500000004</v>
      </c>
      <c r="M4205" s="891"/>
      <c r="N4205" s="891">
        <f>SUM(N4206:N4210)</f>
        <v>0</v>
      </c>
      <c r="O4205" s="892">
        <f t="shared" si="264"/>
        <v>1</v>
      </c>
      <c r="P4205" s="903">
        <f t="shared" si="265"/>
        <v>0</v>
      </c>
      <c r="Q4205" s="893">
        <f t="shared" si="266"/>
        <v>0</v>
      </c>
      <c r="R4205" s="894">
        <f t="shared" si="267"/>
        <v>5</v>
      </c>
    </row>
    <row r="4206" spans="1:18" s="904" customFormat="1">
      <c r="A4206" s="895"/>
      <c r="B4206" s="896"/>
      <c r="C4206" s="897"/>
      <c r="D4206" s="897"/>
      <c r="E4206" s="898" t="s">
        <v>108</v>
      </c>
      <c r="F4206" s="899"/>
      <c r="G4206" s="900"/>
      <c r="H4206" s="901"/>
      <c r="I4206" s="902"/>
      <c r="J4206" s="902"/>
      <c r="K4206" s="912" t="s">
        <v>274</v>
      </c>
      <c r="L4206" s="902"/>
      <c r="M4206" s="902"/>
      <c r="N4206" s="902"/>
      <c r="O4206" s="892">
        <f t="shared" si="264"/>
        <v>0</v>
      </c>
      <c r="P4206" s="903">
        <f t="shared" si="265"/>
        <v>1</v>
      </c>
      <c r="Q4206" s="893">
        <f t="shared" si="266"/>
        <v>5</v>
      </c>
      <c r="R4206" s="894">
        <f t="shared" si="267"/>
        <v>0</v>
      </c>
    </row>
    <row r="4207" spans="1:18">
      <c r="A4207" s="905"/>
      <c r="B4207" s="906"/>
      <c r="C4207" s="907">
        <v>55</v>
      </c>
      <c r="D4207" s="907" t="s">
        <v>279</v>
      </c>
      <c r="E4207" s="925" t="s">
        <v>3192</v>
      </c>
      <c r="F4207" s="926" t="s">
        <v>45</v>
      </c>
      <c r="G4207" s="910"/>
      <c r="H4207" s="911">
        <v>3.2</v>
      </c>
      <c r="I4207" s="912">
        <f>VLOOKUP(E4207,[3]VLP!$B$7:$K$300,10,0)</f>
        <v>2273</v>
      </c>
      <c r="J4207" s="912">
        <f>I4207*H4207</f>
        <v>7273.6</v>
      </c>
      <c r="K4207" s="912" t="s">
        <v>274</v>
      </c>
      <c r="L4207" s="912"/>
      <c r="M4207" s="912"/>
      <c r="N4207" s="912"/>
      <c r="O4207" s="892">
        <f t="shared" si="264"/>
        <v>0</v>
      </c>
      <c r="P4207" s="903">
        <f t="shared" si="265"/>
        <v>1</v>
      </c>
      <c r="Q4207" s="893">
        <f t="shared" si="266"/>
        <v>4</v>
      </c>
      <c r="R4207" s="894">
        <f t="shared" si="267"/>
        <v>0</v>
      </c>
    </row>
    <row r="4208" spans="1:18">
      <c r="A4208" s="905"/>
      <c r="B4208" s="906"/>
      <c r="C4208" s="907">
        <v>124</v>
      </c>
      <c r="D4208" s="907" t="s">
        <v>279</v>
      </c>
      <c r="E4208" s="925" t="s">
        <v>5432</v>
      </c>
      <c r="F4208" s="926" t="s">
        <v>3272</v>
      </c>
      <c r="G4208" s="910"/>
      <c r="H4208" s="911">
        <v>22</v>
      </c>
      <c r="I4208" s="912">
        <f>VLOOKUP(E4208,[3]VLP!$B$7:$K$300,10,0)</f>
        <v>20000</v>
      </c>
      <c r="J4208" s="912">
        <f>I4208*H4208</f>
        <v>440000</v>
      </c>
      <c r="K4208" s="912" t="s">
        <v>274</v>
      </c>
      <c r="L4208" s="912"/>
      <c r="M4208" s="912"/>
      <c r="N4208" s="912"/>
      <c r="O4208" s="892">
        <f t="shared" si="264"/>
        <v>0</v>
      </c>
      <c r="P4208" s="903">
        <f t="shared" si="265"/>
        <v>1</v>
      </c>
      <c r="Q4208" s="893">
        <f t="shared" si="266"/>
        <v>3</v>
      </c>
      <c r="R4208" s="894">
        <f t="shared" si="267"/>
        <v>0</v>
      </c>
    </row>
    <row r="4209" spans="1:18" s="904" customFormat="1">
      <c r="A4209" s="895"/>
      <c r="B4209" s="896"/>
      <c r="C4209" s="897"/>
      <c r="D4209" s="897"/>
      <c r="E4209" s="924" t="s">
        <v>276</v>
      </c>
      <c r="F4209" s="927"/>
      <c r="G4209" s="928"/>
      <c r="H4209" s="901"/>
      <c r="I4209" s="902"/>
      <c r="J4209" s="902"/>
      <c r="K4209" s="912" t="s">
        <v>274</v>
      </c>
      <c r="L4209" s="902"/>
      <c r="M4209" s="902"/>
      <c r="N4209" s="902"/>
      <c r="O4209" s="892">
        <f t="shared" si="264"/>
        <v>0</v>
      </c>
      <c r="P4209" s="903">
        <f t="shared" si="265"/>
        <v>1</v>
      </c>
      <c r="Q4209" s="893">
        <f t="shared" si="266"/>
        <v>2</v>
      </c>
      <c r="R4209" s="894">
        <f t="shared" si="267"/>
        <v>0</v>
      </c>
    </row>
    <row r="4210" spans="1:18">
      <c r="A4210" s="905"/>
      <c r="B4210" s="906"/>
      <c r="C4210" s="907">
        <v>735</v>
      </c>
      <c r="D4210" s="907" t="s">
        <v>12</v>
      </c>
      <c r="E4210" s="908" t="s">
        <v>4065</v>
      </c>
      <c r="F4210" s="909" t="s">
        <v>2674</v>
      </c>
      <c r="G4210" s="910"/>
      <c r="H4210" s="911">
        <v>15.05</v>
      </c>
      <c r="I4210" s="912"/>
      <c r="J4210" s="912"/>
      <c r="K4210" s="912">
        <f>VLOOKUP(E4210,[5]ĐMNC!$A$7:$F$67,4,0)</f>
        <v>203703</v>
      </c>
      <c r="L4210" s="912">
        <f>H4210*K4210</f>
        <v>3065730.1500000004</v>
      </c>
      <c r="M4210" s="912"/>
      <c r="N4210" s="912"/>
      <c r="O4210" s="892">
        <f t="shared" si="264"/>
        <v>0</v>
      </c>
      <c r="P4210" s="903">
        <f t="shared" si="265"/>
        <v>1</v>
      </c>
      <c r="Q4210" s="893">
        <f t="shared" si="266"/>
        <v>1</v>
      </c>
      <c r="R4210" s="894">
        <f t="shared" si="267"/>
        <v>0</v>
      </c>
    </row>
    <row r="4211" spans="1:18" s="847" customFormat="1" ht="31.5">
      <c r="A4211" s="905"/>
      <c r="B4211" s="914" t="s">
        <v>1285</v>
      </c>
      <c r="C4211" s="915"/>
      <c r="D4211" s="915"/>
      <c r="E4211" s="916" t="s">
        <v>5487</v>
      </c>
      <c r="F4211" s="917" t="s">
        <v>5431</v>
      </c>
      <c r="G4211" s="918"/>
      <c r="H4211" s="919"/>
      <c r="I4211" s="920"/>
      <c r="J4211" s="891">
        <f>SUM(J4212:J4216)</f>
        <v>527728.19999999995</v>
      </c>
      <c r="K4211" s="891"/>
      <c r="L4211" s="891">
        <f>SUM(L4212:L4216)</f>
        <v>3444617.73</v>
      </c>
      <c r="M4211" s="891"/>
      <c r="N4211" s="891">
        <f>SUM(N4212:N4216)</f>
        <v>0</v>
      </c>
      <c r="O4211" s="892">
        <f t="shared" si="264"/>
        <v>1</v>
      </c>
      <c r="P4211" s="903">
        <f t="shared" si="265"/>
        <v>0</v>
      </c>
      <c r="Q4211" s="893">
        <f t="shared" si="266"/>
        <v>0</v>
      </c>
      <c r="R4211" s="894">
        <f t="shared" si="267"/>
        <v>5</v>
      </c>
    </row>
    <row r="4212" spans="1:18" s="904" customFormat="1">
      <c r="A4212" s="895"/>
      <c r="B4212" s="896"/>
      <c r="C4212" s="897"/>
      <c r="D4212" s="897"/>
      <c r="E4212" s="898" t="s">
        <v>108</v>
      </c>
      <c r="F4212" s="899"/>
      <c r="G4212" s="900"/>
      <c r="H4212" s="901"/>
      <c r="I4212" s="902"/>
      <c r="J4212" s="902"/>
      <c r="K4212" s="912" t="s">
        <v>274</v>
      </c>
      <c r="L4212" s="902"/>
      <c r="M4212" s="902"/>
      <c r="N4212" s="902"/>
      <c r="O4212" s="892">
        <f t="shared" si="264"/>
        <v>0</v>
      </c>
      <c r="P4212" s="903">
        <f t="shared" si="265"/>
        <v>1</v>
      </c>
      <c r="Q4212" s="893">
        <f t="shared" si="266"/>
        <v>5</v>
      </c>
      <c r="R4212" s="894">
        <f t="shared" si="267"/>
        <v>0</v>
      </c>
    </row>
    <row r="4213" spans="1:18">
      <c r="A4213" s="905"/>
      <c r="B4213" s="906"/>
      <c r="C4213" s="907">
        <v>55</v>
      </c>
      <c r="D4213" s="907" t="s">
        <v>279</v>
      </c>
      <c r="E4213" s="925" t="s">
        <v>3192</v>
      </c>
      <c r="F4213" s="926" t="s">
        <v>45</v>
      </c>
      <c r="G4213" s="910"/>
      <c r="H4213" s="911">
        <v>3.4</v>
      </c>
      <c r="I4213" s="912">
        <f>VLOOKUP(E4213,[3]VLP!$B$7:$K$300,10,0)</f>
        <v>2273</v>
      </c>
      <c r="J4213" s="912">
        <f>I4213*H4213</f>
        <v>7728.2</v>
      </c>
      <c r="K4213" s="912" t="s">
        <v>274</v>
      </c>
      <c r="L4213" s="912"/>
      <c r="M4213" s="912"/>
      <c r="N4213" s="912"/>
      <c r="O4213" s="892">
        <f t="shared" si="264"/>
        <v>0</v>
      </c>
      <c r="P4213" s="903">
        <f t="shared" si="265"/>
        <v>1</v>
      </c>
      <c r="Q4213" s="893">
        <f t="shared" si="266"/>
        <v>4</v>
      </c>
      <c r="R4213" s="894">
        <f t="shared" si="267"/>
        <v>0</v>
      </c>
    </row>
    <row r="4214" spans="1:18">
      <c r="A4214" s="905"/>
      <c r="B4214" s="906"/>
      <c r="C4214" s="907">
        <v>124</v>
      </c>
      <c r="D4214" s="907" t="s">
        <v>279</v>
      </c>
      <c r="E4214" s="925" t="s">
        <v>5432</v>
      </c>
      <c r="F4214" s="926" t="s">
        <v>3272</v>
      </c>
      <c r="G4214" s="910"/>
      <c r="H4214" s="911">
        <v>26</v>
      </c>
      <c r="I4214" s="912">
        <f>VLOOKUP(E4214,[3]VLP!$B$7:$K$300,10,0)</f>
        <v>20000</v>
      </c>
      <c r="J4214" s="912">
        <f>I4214*H4214</f>
        <v>520000</v>
      </c>
      <c r="K4214" s="912" t="s">
        <v>274</v>
      </c>
      <c r="L4214" s="912"/>
      <c r="M4214" s="912"/>
      <c r="N4214" s="912"/>
      <c r="O4214" s="892">
        <f t="shared" si="264"/>
        <v>0</v>
      </c>
      <c r="P4214" s="903">
        <f t="shared" si="265"/>
        <v>1</v>
      </c>
      <c r="Q4214" s="893">
        <f t="shared" si="266"/>
        <v>3</v>
      </c>
      <c r="R4214" s="894">
        <f t="shared" si="267"/>
        <v>0</v>
      </c>
    </row>
    <row r="4215" spans="1:18" s="904" customFormat="1">
      <c r="A4215" s="895"/>
      <c r="B4215" s="896"/>
      <c r="C4215" s="897"/>
      <c r="D4215" s="897"/>
      <c r="E4215" s="924" t="s">
        <v>276</v>
      </c>
      <c r="F4215" s="927"/>
      <c r="G4215" s="928"/>
      <c r="H4215" s="901"/>
      <c r="I4215" s="902"/>
      <c r="J4215" s="902"/>
      <c r="K4215" s="912" t="s">
        <v>274</v>
      </c>
      <c r="L4215" s="902"/>
      <c r="M4215" s="902"/>
      <c r="N4215" s="902"/>
      <c r="O4215" s="892">
        <f t="shared" si="264"/>
        <v>0</v>
      </c>
      <c r="P4215" s="903">
        <f t="shared" si="265"/>
        <v>1</v>
      </c>
      <c r="Q4215" s="893">
        <f t="shared" si="266"/>
        <v>2</v>
      </c>
      <c r="R4215" s="894">
        <f t="shared" si="267"/>
        <v>0</v>
      </c>
    </row>
    <row r="4216" spans="1:18">
      <c r="A4216" s="905"/>
      <c r="B4216" s="906"/>
      <c r="C4216" s="907">
        <v>735</v>
      </c>
      <c r="D4216" s="907" t="s">
        <v>12</v>
      </c>
      <c r="E4216" s="908" t="s">
        <v>4065</v>
      </c>
      <c r="F4216" s="909" t="s">
        <v>2674</v>
      </c>
      <c r="G4216" s="910"/>
      <c r="H4216" s="911">
        <v>16.91</v>
      </c>
      <c r="I4216" s="912"/>
      <c r="J4216" s="912"/>
      <c r="K4216" s="912">
        <f>VLOOKUP(E4216,[5]ĐMNC!$A$7:$F$67,4,0)</f>
        <v>203703</v>
      </c>
      <c r="L4216" s="912">
        <f>H4216*K4216</f>
        <v>3444617.73</v>
      </c>
      <c r="M4216" s="912"/>
      <c r="N4216" s="912"/>
      <c r="O4216" s="892">
        <f t="shared" si="264"/>
        <v>0</v>
      </c>
      <c r="P4216" s="903">
        <f t="shared" si="265"/>
        <v>1</v>
      </c>
      <c r="Q4216" s="893">
        <f t="shared" si="266"/>
        <v>1</v>
      </c>
      <c r="R4216" s="894">
        <f t="shared" si="267"/>
        <v>0</v>
      </c>
    </row>
    <row r="4217" spans="1:18" s="847" customFormat="1" ht="31.5">
      <c r="A4217" s="905"/>
      <c r="B4217" s="914" t="s">
        <v>5488</v>
      </c>
      <c r="C4217" s="915"/>
      <c r="D4217" s="915"/>
      <c r="E4217" s="916" t="s">
        <v>5489</v>
      </c>
      <c r="F4217" s="917" t="s">
        <v>5431</v>
      </c>
      <c r="G4217" s="918"/>
      <c r="H4217" s="919"/>
      <c r="I4217" s="920"/>
      <c r="J4217" s="891">
        <f>SUM(J4218:J4222)</f>
        <v>953906.31</v>
      </c>
      <c r="K4217" s="891"/>
      <c r="L4217" s="891">
        <f>SUM(L4218:L4222)</f>
        <v>5231093.04</v>
      </c>
      <c r="M4217" s="891"/>
      <c r="N4217" s="891">
        <f>SUM(N4218:N4222)</f>
        <v>0</v>
      </c>
      <c r="O4217" s="892">
        <f t="shared" si="264"/>
        <v>1</v>
      </c>
      <c r="P4217" s="903">
        <f t="shared" si="265"/>
        <v>0</v>
      </c>
      <c r="Q4217" s="893">
        <f t="shared" si="266"/>
        <v>0</v>
      </c>
      <c r="R4217" s="894">
        <f t="shared" si="267"/>
        <v>5</v>
      </c>
    </row>
    <row r="4218" spans="1:18" s="904" customFormat="1">
      <c r="A4218" s="895"/>
      <c r="B4218" s="896"/>
      <c r="C4218" s="897"/>
      <c r="D4218" s="897"/>
      <c r="E4218" s="898" t="s">
        <v>108</v>
      </c>
      <c r="F4218" s="899"/>
      <c r="G4218" s="900"/>
      <c r="H4218" s="901"/>
      <c r="I4218" s="902"/>
      <c r="J4218" s="902"/>
      <c r="K4218" s="912" t="s">
        <v>274</v>
      </c>
      <c r="L4218" s="902"/>
      <c r="M4218" s="902"/>
      <c r="N4218" s="902"/>
      <c r="O4218" s="892">
        <f t="shared" si="264"/>
        <v>0</v>
      </c>
      <c r="P4218" s="903">
        <f t="shared" si="265"/>
        <v>1</v>
      </c>
      <c r="Q4218" s="893">
        <f t="shared" si="266"/>
        <v>5</v>
      </c>
      <c r="R4218" s="894">
        <f t="shared" si="267"/>
        <v>0</v>
      </c>
    </row>
    <row r="4219" spans="1:18">
      <c r="A4219" s="905"/>
      <c r="B4219" s="906"/>
      <c r="C4219" s="907">
        <v>55</v>
      </c>
      <c r="D4219" s="907" t="s">
        <v>279</v>
      </c>
      <c r="E4219" s="925" t="s">
        <v>3192</v>
      </c>
      <c r="F4219" s="926" t="s">
        <v>45</v>
      </c>
      <c r="G4219" s="910"/>
      <c r="H4219" s="911">
        <v>6.47</v>
      </c>
      <c r="I4219" s="912">
        <f>VLOOKUP(E4219,[3]VLP!$B$7:$K$300,10,0)</f>
        <v>2273</v>
      </c>
      <c r="J4219" s="912">
        <f>I4219*H4219</f>
        <v>14706.31</v>
      </c>
      <c r="K4219" s="912" t="s">
        <v>274</v>
      </c>
      <c r="L4219" s="912"/>
      <c r="M4219" s="912"/>
      <c r="N4219" s="912"/>
      <c r="O4219" s="892">
        <f t="shared" si="264"/>
        <v>0</v>
      </c>
      <c r="P4219" s="903">
        <f t="shared" si="265"/>
        <v>1</v>
      </c>
      <c r="Q4219" s="893">
        <f t="shared" si="266"/>
        <v>4</v>
      </c>
      <c r="R4219" s="894">
        <f t="shared" si="267"/>
        <v>0</v>
      </c>
    </row>
    <row r="4220" spans="1:18">
      <c r="A4220" s="905"/>
      <c r="B4220" s="906"/>
      <c r="C4220" s="907">
        <v>124</v>
      </c>
      <c r="D4220" s="907" t="s">
        <v>279</v>
      </c>
      <c r="E4220" s="925" t="s">
        <v>5432</v>
      </c>
      <c r="F4220" s="926" t="s">
        <v>3272</v>
      </c>
      <c r="G4220" s="910"/>
      <c r="H4220" s="911">
        <v>46.96</v>
      </c>
      <c r="I4220" s="912">
        <f>VLOOKUP(E4220,[3]VLP!$B$7:$K$300,10,0)</f>
        <v>20000</v>
      </c>
      <c r="J4220" s="912">
        <f>I4220*H4220</f>
        <v>939200</v>
      </c>
      <c r="K4220" s="912" t="s">
        <v>274</v>
      </c>
      <c r="L4220" s="912"/>
      <c r="M4220" s="912"/>
      <c r="N4220" s="912"/>
      <c r="O4220" s="892">
        <f t="shared" si="264"/>
        <v>0</v>
      </c>
      <c r="P4220" s="903">
        <f t="shared" si="265"/>
        <v>1</v>
      </c>
      <c r="Q4220" s="893">
        <f t="shared" si="266"/>
        <v>3</v>
      </c>
      <c r="R4220" s="894">
        <f t="shared" si="267"/>
        <v>0</v>
      </c>
    </row>
    <row r="4221" spans="1:18" s="904" customFormat="1">
      <c r="A4221" s="895"/>
      <c r="B4221" s="896"/>
      <c r="C4221" s="897"/>
      <c r="D4221" s="897"/>
      <c r="E4221" s="924" t="s">
        <v>276</v>
      </c>
      <c r="F4221" s="927"/>
      <c r="G4221" s="928"/>
      <c r="H4221" s="901"/>
      <c r="I4221" s="902"/>
      <c r="J4221" s="902"/>
      <c r="K4221" s="912" t="s">
        <v>274</v>
      </c>
      <c r="L4221" s="902"/>
      <c r="M4221" s="902"/>
      <c r="N4221" s="902"/>
      <c r="O4221" s="892">
        <f t="shared" si="264"/>
        <v>0</v>
      </c>
      <c r="P4221" s="903">
        <f t="shared" si="265"/>
        <v>1</v>
      </c>
      <c r="Q4221" s="893">
        <f t="shared" si="266"/>
        <v>2</v>
      </c>
      <c r="R4221" s="894">
        <f t="shared" si="267"/>
        <v>0</v>
      </c>
    </row>
    <row r="4222" spans="1:18">
      <c r="A4222" s="905"/>
      <c r="B4222" s="906"/>
      <c r="C4222" s="907">
        <v>735</v>
      </c>
      <c r="D4222" s="907" t="s">
        <v>12</v>
      </c>
      <c r="E4222" s="908" t="s">
        <v>4065</v>
      </c>
      <c r="F4222" s="909" t="s">
        <v>2674</v>
      </c>
      <c r="G4222" s="910"/>
      <c r="H4222" s="911">
        <v>25.68</v>
      </c>
      <c r="I4222" s="912"/>
      <c r="J4222" s="912"/>
      <c r="K4222" s="912">
        <f>VLOOKUP(E4222,[5]ĐMNC!$A$7:$F$67,4,0)</f>
        <v>203703</v>
      </c>
      <c r="L4222" s="912">
        <f>H4222*K4222</f>
        <v>5231093.04</v>
      </c>
      <c r="M4222" s="912"/>
      <c r="N4222" s="912"/>
      <c r="O4222" s="892">
        <f t="shared" si="264"/>
        <v>0</v>
      </c>
      <c r="P4222" s="903">
        <f t="shared" si="265"/>
        <v>1</v>
      </c>
      <c r="Q4222" s="893">
        <f t="shared" si="266"/>
        <v>1</v>
      </c>
      <c r="R4222" s="894">
        <f t="shared" si="267"/>
        <v>0</v>
      </c>
    </row>
    <row r="4223" spans="1:18" s="847" customFormat="1" ht="31.5">
      <c r="A4223" s="905"/>
      <c r="B4223" s="914" t="s">
        <v>5490</v>
      </c>
      <c r="C4223" s="915"/>
      <c r="D4223" s="915"/>
      <c r="E4223" s="916" t="s">
        <v>5489</v>
      </c>
      <c r="F4223" s="917" t="s">
        <v>5431</v>
      </c>
      <c r="G4223" s="918"/>
      <c r="H4223" s="919"/>
      <c r="I4223" s="920"/>
      <c r="J4223" s="891">
        <f>SUM(J4224:J4228)</f>
        <v>1146115.93</v>
      </c>
      <c r="K4223" s="891"/>
      <c r="L4223" s="891">
        <f>SUM(L4224:L4228)</f>
        <v>6276089.4299999997</v>
      </c>
      <c r="M4223" s="891"/>
      <c r="N4223" s="891">
        <f>SUM(N4224:N4228)</f>
        <v>0</v>
      </c>
      <c r="O4223" s="892">
        <f t="shared" si="264"/>
        <v>1</v>
      </c>
      <c r="P4223" s="903">
        <f t="shared" si="265"/>
        <v>0</v>
      </c>
      <c r="Q4223" s="893">
        <f t="shared" si="266"/>
        <v>0</v>
      </c>
      <c r="R4223" s="894">
        <f t="shared" si="267"/>
        <v>5</v>
      </c>
    </row>
    <row r="4224" spans="1:18" s="904" customFormat="1">
      <c r="A4224" s="895"/>
      <c r="B4224" s="896"/>
      <c r="C4224" s="897"/>
      <c r="D4224" s="897"/>
      <c r="E4224" s="898" t="s">
        <v>108</v>
      </c>
      <c r="F4224" s="899"/>
      <c r="G4224" s="900"/>
      <c r="H4224" s="901"/>
      <c r="I4224" s="902"/>
      <c r="J4224" s="902"/>
      <c r="K4224" s="912" t="s">
        <v>274</v>
      </c>
      <c r="L4224" s="902"/>
      <c r="M4224" s="902"/>
      <c r="N4224" s="902"/>
      <c r="O4224" s="892">
        <f t="shared" si="264"/>
        <v>0</v>
      </c>
      <c r="P4224" s="903">
        <f t="shared" si="265"/>
        <v>1</v>
      </c>
      <c r="Q4224" s="893">
        <f t="shared" si="266"/>
        <v>5</v>
      </c>
      <c r="R4224" s="894">
        <f t="shared" si="267"/>
        <v>0</v>
      </c>
    </row>
    <row r="4225" spans="1:18">
      <c r="A4225" s="905"/>
      <c r="B4225" s="906"/>
      <c r="C4225" s="907">
        <v>55</v>
      </c>
      <c r="D4225" s="907" t="s">
        <v>279</v>
      </c>
      <c r="E4225" s="925" t="s">
        <v>3192</v>
      </c>
      <c r="F4225" s="926" t="s">
        <v>45</v>
      </c>
      <c r="G4225" s="910"/>
      <c r="H4225" s="911">
        <v>8.41</v>
      </c>
      <c r="I4225" s="912">
        <f>VLOOKUP(E4225,[3]VLP!$B$7:$K$300,10,0)</f>
        <v>2273</v>
      </c>
      <c r="J4225" s="912">
        <f>I4225*H4225</f>
        <v>19115.93</v>
      </c>
      <c r="K4225" s="912" t="s">
        <v>274</v>
      </c>
      <c r="L4225" s="912"/>
      <c r="M4225" s="912"/>
      <c r="N4225" s="912"/>
      <c r="O4225" s="892">
        <f t="shared" si="264"/>
        <v>0</v>
      </c>
      <c r="P4225" s="903">
        <f t="shared" si="265"/>
        <v>1</v>
      </c>
      <c r="Q4225" s="893">
        <f t="shared" si="266"/>
        <v>4</v>
      </c>
      <c r="R4225" s="894">
        <f t="shared" si="267"/>
        <v>0</v>
      </c>
    </row>
    <row r="4226" spans="1:18">
      <c r="A4226" s="905"/>
      <c r="B4226" s="906"/>
      <c r="C4226" s="907">
        <v>124</v>
      </c>
      <c r="D4226" s="907" t="s">
        <v>279</v>
      </c>
      <c r="E4226" s="925" t="s">
        <v>5432</v>
      </c>
      <c r="F4226" s="926" t="s">
        <v>3272</v>
      </c>
      <c r="G4226" s="910"/>
      <c r="H4226" s="911">
        <v>56.35</v>
      </c>
      <c r="I4226" s="912">
        <f>VLOOKUP(E4226,[3]VLP!$B$7:$K$300,10,0)</f>
        <v>20000</v>
      </c>
      <c r="J4226" s="912">
        <f>I4226*H4226</f>
        <v>1127000</v>
      </c>
      <c r="K4226" s="912" t="s">
        <v>274</v>
      </c>
      <c r="L4226" s="912"/>
      <c r="M4226" s="912"/>
      <c r="N4226" s="912"/>
      <c r="O4226" s="892">
        <f t="shared" si="264"/>
        <v>0</v>
      </c>
      <c r="P4226" s="903">
        <f t="shared" si="265"/>
        <v>1</v>
      </c>
      <c r="Q4226" s="893">
        <f t="shared" si="266"/>
        <v>3</v>
      </c>
      <c r="R4226" s="894">
        <f t="shared" si="267"/>
        <v>0</v>
      </c>
    </row>
    <row r="4227" spans="1:18" s="904" customFormat="1">
      <c r="A4227" s="895"/>
      <c r="B4227" s="896"/>
      <c r="C4227" s="897"/>
      <c r="D4227" s="897"/>
      <c r="E4227" s="924" t="s">
        <v>276</v>
      </c>
      <c r="F4227" s="927"/>
      <c r="G4227" s="928"/>
      <c r="H4227" s="901"/>
      <c r="I4227" s="902"/>
      <c r="J4227" s="902"/>
      <c r="K4227" s="912" t="s">
        <v>274</v>
      </c>
      <c r="L4227" s="902"/>
      <c r="M4227" s="902"/>
      <c r="N4227" s="902"/>
      <c r="O4227" s="892">
        <f t="shared" si="264"/>
        <v>0</v>
      </c>
      <c r="P4227" s="903">
        <f t="shared" si="265"/>
        <v>1</v>
      </c>
      <c r="Q4227" s="893">
        <f t="shared" si="266"/>
        <v>2</v>
      </c>
      <c r="R4227" s="894">
        <f t="shared" si="267"/>
        <v>0</v>
      </c>
    </row>
    <row r="4228" spans="1:18">
      <c r="A4228" s="905"/>
      <c r="B4228" s="906"/>
      <c r="C4228" s="907">
        <v>735</v>
      </c>
      <c r="D4228" s="907" t="s">
        <v>12</v>
      </c>
      <c r="E4228" s="908" t="s">
        <v>4065</v>
      </c>
      <c r="F4228" s="909" t="s">
        <v>2674</v>
      </c>
      <c r="G4228" s="910"/>
      <c r="H4228" s="911">
        <v>30.81</v>
      </c>
      <c r="I4228" s="912"/>
      <c r="J4228" s="912"/>
      <c r="K4228" s="912">
        <f>VLOOKUP(E4228,[5]ĐMNC!$A$7:$F$67,4,0)</f>
        <v>203703</v>
      </c>
      <c r="L4228" s="912">
        <f>H4228*K4228</f>
        <v>6276089.4299999997</v>
      </c>
      <c r="M4228" s="912"/>
      <c r="N4228" s="912"/>
      <c r="O4228" s="892">
        <f t="shared" si="264"/>
        <v>0</v>
      </c>
      <c r="P4228" s="903">
        <f t="shared" si="265"/>
        <v>1</v>
      </c>
      <c r="Q4228" s="893">
        <f t="shared" si="266"/>
        <v>1</v>
      </c>
      <c r="R4228" s="894">
        <f t="shared" si="267"/>
        <v>0</v>
      </c>
    </row>
    <row r="4229" spans="1:18" s="847" customFormat="1" ht="31.5">
      <c r="A4229" s="905"/>
      <c r="B4229" s="914" t="s">
        <v>5491</v>
      </c>
      <c r="C4229" s="915"/>
      <c r="D4229" s="915"/>
      <c r="E4229" s="916" t="s">
        <v>5489</v>
      </c>
      <c r="F4229" s="917" t="s">
        <v>5431</v>
      </c>
      <c r="G4229" s="918"/>
      <c r="H4229" s="919"/>
      <c r="I4229" s="920"/>
      <c r="J4229" s="891">
        <f>SUM(J4230:J4234)</f>
        <v>1375334.57</v>
      </c>
      <c r="K4229" s="891"/>
      <c r="L4229" s="891">
        <f>SUM(L4230:L4234)</f>
        <v>7530899.9100000001</v>
      </c>
      <c r="M4229" s="891"/>
      <c r="N4229" s="891">
        <f>SUM(N4230:N4234)</f>
        <v>0</v>
      </c>
      <c r="O4229" s="892">
        <f t="shared" si="264"/>
        <v>1</v>
      </c>
      <c r="P4229" s="903">
        <f t="shared" si="265"/>
        <v>0</v>
      </c>
      <c r="Q4229" s="893">
        <f t="shared" si="266"/>
        <v>0</v>
      </c>
      <c r="R4229" s="894">
        <f t="shared" si="267"/>
        <v>5</v>
      </c>
    </row>
    <row r="4230" spans="1:18" s="904" customFormat="1">
      <c r="A4230" s="895"/>
      <c r="B4230" s="896"/>
      <c r="C4230" s="897"/>
      <c r="D4230" s="897"/>
      <c r="E4230" s="898" t="s">
        <v>108</v>
      </c>
      <c r="F4230" s="899"/>
      <c r="G4230" s="900"/>
      <c r="H4230" s="901"/>
      <c r="I4230" s="902"/>
      <c r="J4230" s="902"/>
      <c r="K4230" s="912" t="s">
        <v>274</v>
      </c>
      <c r="L4230" s="902"/>
      <c r="M4230" s="902"/>
      <c r="N4230" s="902"/>
      <c r="O4230" s="892">
        <f t="shared" si="264"/>
        <v>0</v>
      </c>
      <c r="P4230" s="903">
        <f t="shared" si="265"/>
        <v>1</v>
      </c>
      <c r="Q4230" s="893">
        <f t="shared" si="266"/>
        <v>5</v>
      </c>
      <c r="R4230" s="894">
        <f t="shared" si="267"/>
        <v>0</v>
      </c>
    </row>
    <row r="4231" spans="1:18">
      <c r="A4231" s="905"/>
      <c r="B4231" s="906"/>
      <c r="C4231" s="907">
        <v>55</v>
      </c>
      <c r="D4231" s="907" t="s">
        <v>279</v>
      </c>
      <c r="E4231" s="925" t="s">
        <v>3192</v>
      </c>
      <c r="F4231" s="926" t="s">
        <v>45</v>
      </c>
      <c r="G4231" s="910"/>
      <c r="H4231" s="911">
        <v>10.09</v>
      </c>
      <c r="I4231" s="912">
        <f>VLOOKUP(E4231,[3]VLP!$B$7:$K$300,10,0)</f>
        <v>2273</v>
      </c>
      <c r="J4231" s="912">
        <f>I4231*H4231</f>
        <v>22934.57</v>
      </c>
      <c r="K4231" s="912" t="s">
        <v>274</v>
      </c>
      <c r="L4231" s="912"/>
      <c r="M4231" s="912"/>
      <c r="N4231" s="912"/>
      <c r="O4231" s="892">
        <f t="shared" si="264"/>
        <v>0</v>
      </c>
      <c r="P4231" s="903">
        <f t="shared" si="265"/>
        <v>1</v>
      </c>
      <c r="Q4231" s="893">
        <f t="shared" si="266"/>
        <v>4</v>
      </c>
      <c r="R4231" s="894">
        <f t="shared" si="267"/>
        <v>0</v>
      </c>
    </row>
    <row r="4232" spans="1:18">
      <c r="A4232" s="905"/>
      <c r="B4232" s="906"/>
      <c r="C4232" s="907">
        <v>124</v>
      </c>
      <c r="D4232" s="907" t="s">
        <v>279</v>
      </c>
      <c r="E4232" s="925" t="s">
        <v>5432</v>
      </c>
      <c r="F4232" s="926" t="s">
        <v>3272</v>
      </c>
      <c r="G4232" s="910"/>
      <c r="H4232" s="911">
        <v>67.62</v>
      </c>
      <c r="I4232" s="912">
        <f>VLOOKUP(E4232,[3]VLP!$B$7:$K$300,10,0)</f>
        <v>20000</v>
      </c>
      <c r="J4232" s="912">
        <f>I4232*H4232</f>
        <v>1352400</v>
      </c>
      <c r="K4232" s="912" t="s">
        <v>274</v>
      </c>
      <c r="L4232" s="912"/>
      <c r="M4232" s="912"/>
      <c r="N4232" s="912"/>
      <c r="O4232" s="892">
        <f t="shared" si="264"/>
        <v>0</v>
      </c>
      <c r="P4232" s="903">
        <f t="shared" si="265"/>
        <v>1</v>
      </c>
      <c r="Q4232" s="893">
        <f t="shared" si="266"/>
        <v>3</v>
      </c>
      <c r="R4232" s="894">
        <f t="shared" si="267"/>
        <v>0</v>
      </c>
    </row>
    <row r="4233" spans="1:18" s="904" customFormat="1">
      <c r="A4233" s="895"/>
      <c r="B4233" s="896"/>
      <c r="C4233" s="897"/>
      <c r="D4233" s="897"/>
      <c r="E4233" s="924" t="s">
        <v>276</v>
      </c>
      <c r="F4233" s="927"/>
      <c r="G4233" s="928"/>
      <c r="H4233" s="901"/>
      <c r="I4233" s="902"/>
      <c r="J4233" s="902"/>
      <c r="K4233" s="912" t="s">
        <v>274</v>
      </c>
      <c r="L4233" s="902"/>
      <c r="M4233" s="902"/>
      <c r="N4233" s="902"/>
      <c r="O4233" s="892">
        <f t="shared" si="264"/>
        <v>0</v>
      </c>
      <c r="P4233" s="903">
        <f t="shared" si="265"/>
        <v>1</v>
      </c>
      <c r="Q4233" s="893">
        <f t="shared" si="266"/>
        <v>2</v>
      </c>
      <c r="R4233" s="894">
        <f t="shared" si="267"/>
        <v>0</v>
      </c>
    </row>
    <row r="4234" spans="1:18">
      <c r="A4234" s="905"/>
      <c r="B4234" s="906"/>
      <c r="C4234" s="907">
        <v>735</v>
      </c>
      <c r="D4234" s="907" t="s">
        <v>12</v>
      </c>
      <c r="E4234" s="908" t="s">
        <v>4065</v>
      </c>
      <c r="F4234" s="909" t="s">
        <v>2674</v>
      </c>
      <c r="G4234" s="910"/>
      <c r="H4234" s="911">
        <v>36.97</v>
      </c>
      <c r="I4234" s="912"/>
      <c r="J4234" s="912"/>
      <c r="K4234" s="912">
        <f>VLOOKUP(E4234,[5]ĐMNC!$A$7:$F$67,4,0)</f>
        <v>203703</v>
      </c>
      <c r="L4234" s="912">
        <f>H4234*K4234</f>
        <v>7530899.9100000001</v>
      </c>
      <c r="M4234" s="912"/>
      <c r="N4234" s="912"/>
      <c r="O4234" s="892">
        <f t="shared" si="264"/>
        <v>0</v>
      </c>
      <c r="P4234" s="903">
        <f t="shared" si="265"/>
        <v>1</v>
      </c>
      <c r="Q4234" s="893">
        <f t="shared" si="266"/>
        <v>1</v>
      </c>
      <c r="R4234" s="894">
        <f t="shared" si="267"/>
        <v>0</v>
      </c>
    </row>
    <row r="4235" spans="1:18" s="847" customFormat="1" ht="31.5">
      <c r="A4235" s="905"/>
      <c r="B4235" s="914" t="s">
        <v>5492</v>
      </c>
      <c r="C4235" s="915"/>
      <c r="D4235" s="915"/>
      <c r="E4235" s="916" t="s">
        <v>5493</v>
      </c>
      <c r="F4235" s="917" t="s">
        <v>5431</v>
      </c>
      <c r="G4235" s="918"/>
      <c r="H4235" s="919"/>
      <c r="I4235" s="920"/>
      <c r="J4235" s="891">
        <f>SUM(J4236:J4237)</f>
        <v>0</v>
      </c>
      <c r="K4235" s="891"/>
      <c r="L4235" s="891">
        <f>SUM(L4236:L4237)</f>
        <v>407406</v>
      </c>
      <c r="M4235" s="891"/>
      <c r="N4235" s="891">
        <f>SUM(N4236:N4237)</f>
        <v>0</v>
      </c>
      <c r="O4235" s="892">
        <f t="shared" si="264"/>
        <v>1</v>
      </c>
      <c r="P4235" s="903">
        <f t="shared" si="265"/>
        <v>0</v>
      </c>
      <c r="Q4235" s="893">
        <f t="shared" si="266"/>
        <v>0</v>
      </c>
      <c r="R4235" s="894">
        <f t="shared" si="267"/>
        <v>2</v>
      </c>
    </row>
    <row r="4236" spans="1:18" s="904" customFormat="1">
      <c r="A4236" s="895"/>
      <c r="B4236" s="922"/>
      <c r="C4236" s="897"/>
      <c r="D4236" s="897"/>
      <c r="E4236" s="924" t="s">
        <v>276</v>
      </c>
      <c r="F4236" s="927"/>
      <c r="G4236" s="928"/>
      <c r="H4236" s="901"/>
      <c r="I4236" s="902"/>
      <c r="J4236" s="902"/>
      <c r="K4236" s="912" t="s">
        <v>274</v>
      </c>
      <c r="L4236" s="902"/>
      <c r="M4236" s="902"/>
      <c r="N4236" s="902"/>
      <c r="O4236" s="892">
        <f t="shared" si="264"/>
        <v>0</v>
      </c>
      <c r="P4236" s="903">
        <f t="shared" si="265"/>
        <v>1</v>
      </c>
      <c r="Q4236" s="893">
        <f t="shared" si="266"/>
        <v>2</v>
      </c>
      <c r="R4236" s="894">
        <f t="shared" si="267"/>
        <v>0</v>
      </c>
    </row>
    <row r="4237" spans="1:18">
      <c r="A4237" s="905"/>
      <c r="B4237" s="906"/>
      <c r="C4237" s="907">
        <v>735</v>
      </c>
      <c r="D4237" s="907" t="s">
        <v>12</v>
      </c>
      <c r="E4237" s="908" t="s">
        <v>4065</v>
      </c>
      <c r="F4237" s="909" t="s">
        <v>2674</v>
      </c>
      <c r="G4237" s="910"/>
      <c r="H4237" s="911">
        <v>2</v>
      </c>
      <c r="I4237" s="912"/>
      <c r="J4237" s="912"/>
      <c r="K4237" s="912">
        <f>VLOOKUP(E4237,[5]ĐMNC!$A$7:$F$67,4,0)</f>
        <v>203703</v>
      </c>
      <c r="L4237" s="912">
        <f>H4237*K4237</f>
        <v>407406</v>
      </c>
      <c r="M4237" s="912"/>
      <c r="N4237" s="912"/>
      <c r="O4237" s="892">
        <f t="shared" si="264"/>
        <v>0</v>
      </c>
      <c r="P4237" s="903">
        <f t="shared" si="265"/>
        <v>1</v>
      </c>
      <c r="Q4237" s="893">
        <f t="shared" si="266"/>
        <v>1</v>
      </c>
      <c r="R4237" s="894">
        <f t="shared" si="267"/>
        <v>0</v>
      </c>
    </row>
    <row r="4238" spans="1:18" s="847" customFormat="1" ht="31.5">
      <c r="A4238" s="905"/>
      <c r="B4238" s="914" t="s">
        <v>5494</v>
      </c>
      <c r="C4238" s="915"/>
      <c r="D4238" s="915"/>
      <c r="E4238" s="916" t="s">
        <v>5495</v>
      </c>
      <c r="F4238" s="917" t="s">
        <v>5431</v>
      </c>
      <c r="G4238" s="918"/>
      <c r="H4238" s="919"/>
      <c r="I4238" s="920"/>
      <c r="J4238" s="891">
        <f>SUM(J4239:J4240)</f>
        <v>0</v>
      </c>
      <c r="K4238" s="891"/>
      <c r="L4238" s="891">
        <f>SUM(L4239:L4240)</f>
        <v>814812</v>
      </c>
      <c r="M4238" s="891"/>
      <c r="N4238" s="891">
        <f>SUM(N4239:N4240)</f>
        <v>0</v>
      </c>
      <c r="O4238" s="892">
        <f t="shared" si="264"/>
        <v>1</v>
      </c>
      <c r="P4238" s="903">
        <f t="shared" si="265"/>
        <v>0</v>
      </c>
      <c r="Q4238" s="893">
        <f t="shared" si="266"/>
        <v>0</v>
      </c>
      <c r="R4238" s="894">
        <f t="shared" si="267"/>
        <v>2</v>
      </c>
    </row>
    <row r="4239" spans="1:18" s="904" customFormat="1">
      <c r="A4239" s="895"/>
      <c r="B4239" s="896"/>
      <c r="C4239" s="897"/>
      <c r="D4239" s="897"/>
      <c r="E4239" s="924" t="s">
        <v>276</v>
      </c>
      <c r="F4239" s="927"/>
      <c r="G4239" s="928"/>
      <c r="H4239" s="901"/>
      <c r="I4239" s="902"/>
      <c r="J4239" s="902"/>
      <c r="K4239" s="912" t="s">
        <v>274</v>
      </c>
      <c r="L4239" s="902"/>
      <c r="M4239" s="902"/>
      <c r="N4239" s="902"/>
      <c r="O4239" s="892">
        <f t="shared" si="264"/>
        <v>0</v>
      </c>
      <c r="P4239" s="903">
        <f t="shared" si="265"/>
        <v>1</v>
      </c>
      <c r="Q4239" s="893">
        <f t="shared" si="266"/>
        <v>2</v>
      </c>
      <c r="R4239" s="894">
        <f t="shared" si="267"/>
        <v>0</v>
      </c>
    </row>
    <row r="4240" spans="1:18">
      <c r="A4240" s="905"/>
      <c r="B4240" s="906"/>
      <c r="C4240" s="907">
        <v>735</v>
      </c>
      <c r="D4240" s="907" t="s">
        <v>12</v>
      </c>
      <c r="E4240" s="908" t="s">
        <v>4065</v>
      </c>
      <c r="F4240" s="909" t="s">
        <v>2674</v>
      </c>
      <c r="G4240" s="910"/>
      <c r="H4240" s="911">
        <v>4</v>
      </c>
      <c r="I4240" s="912"/>
      <c r="J4240" s="912"/>
      <c r="K4240" s="912">
        <f>VLOOKUP(E4240,[5]ĐMNC!$A$7:$F$67,4,0)</f>
        <v>203703</v>
      </c>
      <c r="L4240" s="912">
        <f>H4240*K4240</f>
        <v>814812</v>
      </c>
      <c r="M4240" s="912"/>
      <c r="N4240" s="912"/>
      <c r="O4240" s="892">
        <f t="shared" si="264"/>
        <v>0</v>
      </c>
      <c r="P4240" s="903">
        <f t="shared" si="265"/>
        <v>1</v>
      </c>
      <c r="Q4240" s="893">
        <f t="shared" si="266"/>
        <v>1</v>
      </c>
      <c r="R4240" s="894">
        <f t="shared" si="267"/>
        <v>0</v>
      </c>
    </row>
    <row r="4241" spans="1:18" s="847" customFormat="1" ht="31.5">
      <c r="A4241" s="905"/>
      <c r="B4241" s="914" t="s">
        <v>5496</v>
      </c>
      <c r="C4241" s="915"/>
      <c r="D4241" s="915"/>
      <c r="E4241" s="916" t="s">
        <v>5497</v>
      </c>
      <c r="F4241" s="917" t="s">
        <v>5431</v>
      </c>
      <c r="G4241" s="918"/>
      <c r="H4241" s="919"/>
      <c r="I4241" s="920"/>
      <c r="J4241" s="891">
        <f>SUM(J4242:J4243)</f>
        <v>0</v>
      </c>
      <c r="K4241" s="891"/>
      <c r="L4241" s="891">
        <f>SUM(L4242:L4243)</f>
        <v>1030737.1799999999</v>
      </c>
      <c r="M4241" s="891"/>
      <c r="N4241" s="891">
        <f>SUM(N4242:N4243)</f>
        <v>0</v>
      </c>
      <c r="O4241" s="892">
        <f t="shared" si="264"/>
        <v>1</v>
      </c>
      <c r="P4241" s="903">
        <f t="shared" si="265"/>
        <v>0</v>
      </c>
      <c r="Q4241" s="893">
        <f t="shared" si="266"/>
        <v>0</v>
      </c>
      <c r="R4241" s="894">
        <f t="shared" si="267"/>
        <v>2</v>
      </c>
    </row>
    <row r="4242" spans="1:18" s="904" customFormat="1">
      <c r="A4242" s="895"/>
      <c r="B4242" s="896"/>
      <c r="C4242" s="897"/>
      <c r="D4242" s="897"/>
      <c r="E4242" s="924" t="s">
        <v>276</v>
      </c>
      <c r="F4242" s="927"/>
      <c r="G4242" s="928"/>
      <c r="H4242" s="901"/>
      <c r="I4242" s="902"/>
      <c r="J4242" s="902"/>
      <c r="K4242" s="912" t="s">
        <v>274</v>
      </c>
      <c r="L4242" s="902"/>
      <c r="M4242" s="902"/>
      <c r="N4242" s="902"/>
      <c r="O4242" s="892">
        <f t="shared" si="264"/>
        <v>0</v>
      </c>
      <c r="P4242" s="903">
        <f t="shared" si="265"/>
        <v>1</v>
      </c>
      <c r="Q4242" s="893">
        <f t="shared" si="266"/>
        <v>2</v>
      </c>
      <c r="R4242" s="894">
        <f t="shared" si="267"/>
        <v>0</v>
      </c>
    </row>
    <row r="4243" spans="1:18">
      <c r="A4243" s="905"/>
      <c r="B4243" s="906"/>
      <c r="C4243" s="907">
        <v>735</v>
      </c>
      <c r="D4243" s="907" t="s">
        <v>12</v>
      </c>
      <c r="E4243" s="908" t="s">
        <v>4065</v>
      </c>
      <c r="F4243" s="909" t="s">
        <v>2674</v>
      </c>
      <c r="G4243" s="910"/>
      <c r="H4243" s="911">
        <v>5.0599999999999996</v>
      </c>
      <c r="I4243" s="912"/>
      <c r="J4243" s="912"/>
      <c r="K4243" s="912">
        <f>VLOOKUP(E4243,[5]ĐMNC!$A$7:$F$67,4,0)</f>
        <v>203703</v>
      </c>
      <c r="L4243" s="912">
        <f>H4243*K4243</f>
        <v>1030737.1799999999</v>
      </c>
      <c r="M4243" s="912"/>
      <c r="N4243" s="912"/>
      <c r="O4243" s="892">
        <f t="shared" si="264"/>
        <v>0</v>
      </c>
      <c r="P4243" s="903">
        <f t="shared" si="265"/>
        <v>1</v>
      </c>
      <c r="Q4243" s="893">
        <f t="shared" si="266"/>
        <v>1</v>
      </c>
      <c r="R4243" s="894">
        <f t="shared" si="267"/>
        <v>0</v>
      </c>
    </row>
    <row r="4244" spans="1:18" s="847" customFormat="1" ht="31.5">
      <c r="A4244" s="905"/>
      <c r="B4244" s="914" t="s">
        <v>5498</v>
      </c>
      <c r="C4244" s="915"/>
      <c r="D4244" s="915"/>
      <c r="E4244" s="916" t="s">
        <v>5499</v>
      </c>
      <c r="F4244" s="917" t="s">
        <v>5431</v>
      </c>
      <c r="G4244" s="918"/>
      <c r="H4244" s="919"/>
      <c r="I4244" s="920"/>
      <c r="J4244" s="891">
        <f>SUM(J4245:J4246)</f>
        <v>0</v>
      </c>
      <c r="K4244" s="891"/>
      <c r="L4244" s="891">
        <f>SUM(L4245:L4246)</f>
        <v>1065366.6900000002</v>
      </c>
      <c r="M4244" s="891"/>
      <c r="N4244" s="891">
        <f>SUM(N4245:N4246)</f>
        <v>0</v>
      </c>
      <c r="O4244" s="892">
        <f t="shared" si="264"/>
        <v>1</v>
      </c>
      <c r="P4244" s="903">
        <f t="shared" si="265"/>
        <v>0</v>
      </c>
      <c r="Q4244" s="893">
        <f t="shared" si="266"/>
        <v>0</v>
      </c>
      <c r="R4244" s="894">
        <f t="shared" si="267"/>
        <v>2</v>
      </c>
    </row>
    <row r="4245" spans="1:18" s="904" customFormat="1">
      <c r="A4245" s="895"/>
      <c r="B4245" s="896"/>
      <c r="C4245" s="897"/>
      <c r="D4245" s="897"/>
      <c r="E4245" s="924" t="s">
        <v>276</v>
      </c>
      <c r="F4245" s="927"/>
      <c r="G4245" s="928"/>
      <c r="H4245" s="901"/>
      <c r="I4245" s="902"/>
      <c r="J4245" s="902"/>
      <c r="K4245" s="912" t="s">
        <v>274</v>
      </c>
      <c r="L4245" s="902"/>
      <c r="M4245" s="902"/>
      <c r="N4245" s="902"/>
      <c r="O4245" s="892">
        <f t="shared" si="264"/>
        <v>0</v>
      </c>
      <c r="P4245" s="903">
        <f t="shared" si="265"/>
        <v>1</v>
      </c>
      <c r="Q4245" s="893">
        <f t="shared" si="266"/>
        <v>2</v>
      </c>
      <c r="R4245" s="894">
        <f t="shared" si="267"/>
        <v>0</v>
      </c>
    </row>
    <row r="4246" spans="1:18">
      <c r="A4246" s="905"/>
      <c r="B4246" s="906"/>
      <c r="C4246" s="907">
        <v>735</v>
      </c>
      <c r="D4246" s="907" t="s">
        <v>12</v>
      </c>
      <c r="E4246" s="908" t="s">
        <v>4065</v>
      </c>
      <c r="F4246" s="909" t="s">
        <v>2674</v>
      </c>
      <c r="G4246" s="910"/>
      <c r="H4246" s="911">
        <v>5.23</v>
      </c>
      <c r="I4246" s="912"/>
      <c r="J4246" s="912"/>
      <c r="K4246" s="912">
        <f>VLOOKUP(E4246,[5]ĐMNC!$A$7:$F$67,4,0)</f>
        <v>203703</v>
      </c>
      <c r="L4246" s="912">
        <f>H4246*K4246</f>
        <v>1065366.6900000002</v>
      </c>
      <c r="M4246" s="912"/>
      <c r="N4246" s="912"/>
      <c r="O4246" s="892">
        <f t="shared" si="264"/>
        <v>0</v>
      </c>
      <c r="P4246" s="903">
        <f t="shared" si="265"/>
        <v>1</v>
      </c>
      <c r="Q4246" s="893">
        <f t="shared" si="266"/>
        <v>1</v>
      </c>
      <c r="R4246" s="894">
        <f t="shared" si="267"/>
        <v>0</v>
      </c>
    </row>
    <row r="4247" spans="1:18" s="847" customFormat="1" ht="31.5">
      <c r="A4247" s="905"/>
      <c r="B4247" s="914" t="s">
        <v>5500</v>
      </c>
      <c r="C4247" s="915"/>
      <c r="D4247" s="915"/>
      <c r="E4247" s="916" t="s">
        <v>5501</v>
      </c>
      <c r="F4247" s="917" t="s">
        <v>5431</v>
      </c>
      <c r="G4247" s="918"/>
      <c r="H4247" s="919"/>
      <c r="I4247" s="920"/>
      <c r="J4247" s="891">
        <f>SUM(J4248:J4249)</f>
        <v>0</v>
      </c>
      <c r="K4247" s="891"/>
      <c r="L4247" s="891">
        <f>SUM(L4248:L4249)</f>
        <v>2185733.19</v>
      </c>
      <c r="M4247" s="891"/>
      <c r="N4247" s="891">
        <f>SUM(N4248:N4249)</f>
        <v>0</v>
      </c>
      <c r="O4247" s="892">
        <f t="shared" si="264"/>
        <v>1</v>
      </c>
      <c r="P4247" s="903">
        <f t="shared" si="265"/>
        <v>0</v>
      </c>
      <c r="Q4247" s="893">
        <f t="shared" si="266"/>
        <v>0</v>
      </c>
      <c r="R4247" s="894">
        <f t="shared" si="267"/>
        <v>2</v>
      </c>
    </row>
    <row r="4248" spans="1:18" s="904" customFormat="1">
      <c r="A4248" s="895"/>
      <c r="B4248" s="896"/>
      <c r="C4248" s="897"/>
      <c r="D4248" s="897"/>
      <c r="E4248" s="924" t="s">
        <v>276</v>
      </c>
      <c r="F4248" s="927"/>
      <c r="G4248" s="928"/>
      <c r="H4248" s="901"/>
      <c r="I4248" s="902"/>
      <c r="J4248" s="902"/>
      <c r="K4248" s="912" t="s">
        <v>274</v>
      </c>
      <c r="L4248" s="902"/>
      <c r="M4248" s="902"/>
      <c r="N4248" s="902"/>
      <c r="O4248" s="892">
        <f t="shared" si="264"/>
        <v>0</v>
      </c>
      <c r="P4248" s="903">
        <f t="shared" si="265"/>
        <v>1</v>
      </c>
      <c r="Q4248" s="893">
        <f t="shared" si="266"/>
        <v>2</v>
      </c>
      <c r="R4248" s="894">
        <f t="shared" si="267"/>
        <v>0</v>
      </c>
    </row>
    <row r="4249" spans="1:18">
      <c r="A4249" s="905"/>
      <c r="B4249" s="906"/>
      <c r="C4249" s="907">
        <v>735</v>
      </c>
      <c r="D4249" s="907" t="s">
        <v>12</v>
      </c>
      <c r="E4249" s="908" t="s">
        <v>4065</v>
      </c>
      <c r="F4249" s="909" t="s">
        <v>2674</v>
      </c>
      <c r="G4249" s="910"/>
      <c r="H4249" s="911">
        <v>10.73</v>
      </c>
      <c r="I4249" s="912"/>
      <c r="J4249" s="912"/>
      <c r="K4249" s="912">
        <f>VLOOKUP(E4249,[5]ĐMNC!$A$7:$F$67,4,0)</f>
        <v>203703</v>
      </c>
      <c r="L4249" s="912">
        <f>H4249*K4249</f>
        <v>2185733.19</v>
      </c>
      <c r="M4249" s="912"/>
      <c r="N4249" s="912"/>
      <c r="O4249" s="892">
        <f t="shared" si="264"/>
        <v>0</v>
      </c>
      <c r="P4249" s="903">
        <f t="shared" si="265"/>
        <v>1</v>
      </c>
      <c r="Q4249" s="893">
        <f t="shared" si="266"/>
        <v>1</v>
      </c>
      <c r="R4249" s="894">
        <f t="shared" si="267"/>
        <v>0</v>
      </c>
    </row>
    <row r="4250" spans="1:18" s="847" customFormat="1" ht="31.5">
      <c r="A4250" s="905"/>
      <c r="B4250" s="914" t="s">
        <v>5502</v>
      </c>
      <c r="C4250" s="915"/>
      <c r="D4250" s="915"/>
      <c r="E4250" s="916" t="s">
        <v>5503</v>
      </c>
      <c r="F4250" s="917" t="s">
        <v>5431</v>
      </c>
      <c r="G4250" s="918"/>
      <c r="H4250" s="919"/>
      <c r="I4250" s="920"/>
      <c r="J4250" s="891">
        <f>SUM(J4251:J4252)</f>
        <v>0</v>
      </c>
      <c r="K4250" s="891"/>
      <c r="L4250" s="891">
        <f>SUM(L4251:L4252)</f>
        <v>2623694.64</v>
      </c>
      <c r="M4250" s="891"/>
      <c r="N4250" s="891">
        <f>SUM(N4251:N4252)</f>
        <v>0</v>
      </c>
      <c r="O4250" s="892">
        <f t="shared" si="264"/>
        <v>1</v>
      </c>
      <c r="P4250" s="903">
        <f t="shared" si="265"/>
        <v>0</v>
      </c>
      <c r="Q4250" s="893">
        <f t="shared" si="266"/>
        <v>0</v>
      </c>
      <c r="R4250" s="894">
        <f t="shared" si="267"/>
        <v>2</v>
      </c>
    </row>
    <row r="4251" spans="1:18" s="904" customFormat="1">
      <c r="A4251" s="895"/>
      <c r="B4251" s="896"/>
      <c r="C4251" s="897"/>
      <c r="D4251" s="897"/>
      <c r="E4251" s="924" t="s">
        <v>276</v>
      </c>
      <c r="F4251" s="927"/>
      <c r="G4251" s="928"/>
      <c r="H4251" s="901"/>
      <c r="I4251" s="902"/>
      <c r="J4251" s="902"/>
      <c r="K4251" s="912" t="s">
        <v>274</v>
      </c>
      <c r="L4251" s="902"/>
      <c r="M4251" s="902"/>
      <c r="N4251" s="902"/>
      <c r="O4251" s="892">
        <f t="shared" si="264"/>
        <v>0</v>
      </c>
      <c r="P4251" s="903">
        <f t="shared" si="265"/>
        <v>1</v>
      </c>
      <c r="Q4251" s="893">
        <f t="shared" si="266"/>
        <v>2</v>
      </c>
      <c r="R4251" s="894">
        <f t="shared" si="267"/>
        <v>0</v>
      </c>
    </row>
    <row r="4252" spans="1:18">
      <c r="A4252" s="905"/>
      <c r="B4252" s="906"/>
      <c r="C4252" s="907">
        <v>735</v>
      </c>
      <c r="D4252" s="907" t="s">
        <v>12</v>
      </c>
      <c r="E4252" s="908" t="s">
        <v>4065</v>
      </c>
      <c r="F4252" s="909" t="s">
        <v>2674</v>
      </c>
      <c r="G4252" s="910"/>
      <c r="H4252" s="911">
        <v>12.88</v>
      </c>
      <c r="I4252" s="912"/>
      <c r="J4252" s="912"/>
      <c r="K4252" s="912">
        <f>VLOOKUP(E4252,[5]ĐMNC!$A$7:$F$67,4,0)</f>
        <v>203703</v>
      </c>
      <c r="L4252" s="912">
        <f>H4252*K4252</f>
        <v>2623694.64</v>
      </c>
      <c r="M4252" s="912"/>
      <c r="N4252" s="912"/>
      <c r="O4252" s="892">
        <f t="shared" si="264"/>
        <v>0</v>
      </c>
      <c r="P4252" s="903">
        <f t="shared" si="265"/>
        <v>1</v>
      </c>
      <c r="Q4252" s="893">
        <f t="shared" si="266"/>
        <v>1</v>
      </c>
      <c r="R4252" s="894">
        <f t="shared" si="267"/>
        <v>0</v>
      </c>
    </row>
    <row r="4253" spans="1:18" s="847" customFormat="1" ht="31.5">
      <c r="A4253" s="905"/>
      <c r="B4253" s="914" t="s">
        <v>5504</v>
      </c>
      <c r="C4253" s="915"/>
      <c r="D4253" s="915"/>
      <c r="E4253" s="916" t="s">
        <v>5505</v>
      </c>
      <c r="F4253" s="917" t="s">
        <v>5431</v>
      </c>
      <c r="G4253" s="918"/>
      <c r="H4253" s="919"/>
      <c r="I4253" s="920"/>
      <c r="J4253" s="891">
        <f>SUM(J4254:J4255)</f>
        <v>0</v>
      </c>
      <c r="K4253" s="891"/>
      <c r="L4253" s="891">
        <f>SUM(L4254:L4255)</f>
        <v>3147211.3499999996</v>
      </c>
      <c r="M4253" s="891"/>
      <c r="N4253" s="891">
        <f>SUM(N4254:N4255)</f>
        <v>0</v>
      </c>
      <c r="O4253" s="892">
        <f t="shared" si="264"/>
        <v>1</v>
      </c>
      <c r="P4253" s="903">
        <f t="shared" si="265"/>
        <v>0</v>
      </c>
      <c r="Q4253" s="893">
        <f t="shared" si="266"/>
        <v>0</v>
      </c>
      <c r="R4253" s="894">
        <f t="shared" si="267"/>
        <v>2</v>
      </c>
    </row>
    <row r="4254" spans="1:18" s="904" customFormat="1">
      <c r="A4254" s="895"/>
      <c r="B4254" s="896"/>
      <c r="C4254" s="897"/>
      <c r="D4254" s="897"/>
      <c r="E4254" s="924" t="s">
        <v>276</v>
      </c>
      <c r="F4254" s="927"/>
      <c r="G4254" s="928"/>
      <c r="H4254" s="901"/>
      <c r="I4254" s="902"/>
      <c r="J4254" s="902"/>
      <c r="K4254" s="912" t="s">
        <v>274</v>
      </c>
      <c r="L4254" s="902"/>
      <c r="M4254" s="902"/>
      <c r="N4254" s="902"/>
      <c r="O4254" s="892">
        <f t="shared" ref="O4254:O4318" si="268">IF(AND(B4254&lt;&gt;"",D4254=""),1,0)</f>
        <v>0</v>
      </c>
      <c r="P4254" s="903">
        <f t="shared" si="265"/>
        <v>1</v>
      </c>
      <c r="Q4254" s="893">
        <f t="shared" si="266"/>
        <v>2</v>
      </c>
      <c r="R4254" s="894">
        <f t="shared" si="267"/>
        <v>0</v>
      </c>
    </row>
    <row r="4255" spans="1:18">
      <c r="A4255" s="905"/>
      <c r="B4255" s="906"/>
      <c r="C4255" s="907">
        <v>735</v>
      </c>
      <c r="D4255" s="907" t="s">
        <v>12</v>
      </c>
      <c r="E4255" s="908" t="s">
        <v>4065</v>
      </c>
      <c r="F4255" s="909" t="s">
        <v>2674</v>
      </c>
      <c r="G4255" s="910"/>
      <c r="H4255" s="911">
        <v>15.45</v>
      </c>
      <c r="I4255" s="912"/>
      <c r="J4255" s="912"/>
      <c r="K4255" s="912">
        <f>VLOOKUP(E4255,[5]ĐMNC!$A$7:$F$67,4,0)</f>
        <v>203703</v>
      </c>
      <c r="L4255" s="912">
        <f>H4255*K4255</f>
        <v>3147211.3499999996</v>
      </c>
      <c r="M4255" s="912"/>
      <c r="N4255" s="912"/>
      <c r="O4255" s="892">
        <f t="shared" si="268"/>
        <v>0</v>
      </c>
      <c r="P4255" s="903">
        <f t="shared" si="265"/>
        <v>1</v>
      </c>
      <c r="Q4255" s="893">
        <f>IF(P4255=0,0,P4255+Q4257)</f>
        <v>1</v>
      </c>
      <c r="R4255" s="894">
        <f>IF(Q4255=0,Q4257,0)</f>
        <v>0</v>
      </c>
    </row>
    <row r="4256" spans="1:18">
      <c r="A4256" s="905"/>
      <c r="B4256" s="885" t="s">
        <v>5506</v>
      </c>
      <c r="C4256" s="949"/>
      <c r="D4256" s="949"/>
      <c r="E4256" s="887" t="s">
        <v>5507</v>
      </c>
      <c r="F4256" s="909"/>
      <c r="G4256" s="910"/>
      <c r="H4256" s="911"/>
      <c r="I4256" s="912"/>
      <c r="J4256" s="912"/>
      <c r="K4256" s="912"/>
      <c r="L4256" s="912"/>
      <c r="M4256" s="912"/>
      <c r="N4256" s="912"/>
      <c r="O4256" s="892"/>
      <c r="P4256" s="903"/>
      <c r="Q4256" s="893"/>
      <c r="R4256" s="894"/>
    </row>
    <row r="4257" spans="1:18" s="847" customFormat="1" ht="31.5">
      <c r="A4257" s="905" t="s">
        <v>5508</v>
      </c>
      <c r="B4257" s="953" t="s">
        <v>1287</v>
      </c>
      <c r="C4257" s="915"/>
      <c r="D4257" s="915"/>
      <c r="E4257" s="916" t="s">
        <v>5509</v>
      </c>
      <c r="F4257" s="917" t="s">
        <v>150</v>
      </c>
      <c r="G4257" s="918"/>
      <c r="H4257" s="919"/>
      <c r="I4257" s="920"/>
      <c r="J4257" s="891">
        <f>SUM(J4258:J4263)</f>
        <v>304668.19</v>
      </c>
      <c r="K4257" s="891"/>
      <c r="L4257" s="891">
        <f>SUM(L4258:L4263)</f>
        <v>1864083.75</v>
      </c>
      <c r="M4257" s="891"/>
      <c r="N4257" s="891">
        <f>SUM(N4258:N4263)</f>
        <v>0</v>
      </c>
      <c r="O4257" s="892">
        <f t="shared" si="268"/>
        <v>1</v>
      </c>
      <c r="P4257" s="903">
        <f t="shared" si="265"/>
        <v>0</v>
      </c>
      <c r="Q4257" s="893">
        <f t="shared" si="266"/>
        <v>0</v>
      </c>
      <c r="R4257" s="894">
        <f t="shared" si="267"/>
        <v>6</v>
      </c>
    </row>
    <row r="4258" spans="1:18" s="904" customFormat="1">
      <c r="A4258" s="895"/>
      <c r="B4258" s="896"/>
      <c r="C4258" s="897"/>
      <c r="D4258" s="897"/>
      <c r="E4258" s="898" t="s">
        <v>108</v>
      </c>
      <c r="F4258" s="899"/>
      <c r="G4258" s="900"/>
      <c r="H4258" s="901"/>
      <c r="I4258" s="902"/>
      <c r="J4258" s="902"/>
      <c r="K4258" s="912" t="s">
        <v>274</v>
      </c>
      <c r="L4258" s="902"/>
      <c r="M4258" s="902"/>
      <c r="N4258" s="902"/>
      <c r="O4258" s="892">
        <f t="shared" si="268"/>
        <v>0</v>
      </c>
      <c r="P4258" s="903">
        <f t="shared" si="265"/>
        <v>1</v>
      </c>
      <c r="Q4258" s="893">
        <f t="shared" si="266"/>
        <v>6</v>
      </c>
      <c r="R4258" s="894">
        <f t="shared" si="267"/>
        <v>0</v>
      </c>
    </row>
    <row r="4259" spans="1:18">
      <c r="A4259" s="905"/>
      <c r="B4259" s="906"/>
      <c r="C4259" s="907">
        <v>55</v>
      </c>
      <c r="D4259" s="907" t="s">
        <v>279</v>
      </c>
      <c r="E4259" s="925" t="s">
        <v>3192</v>
      </c>
      <c r="F4259" s="926" t="s">
        <v>45</v>
      </c>
      <c r="G4259" s="910"/>
      <c r="H4259" s="911">
        <v>0.03</v>
      </c>
      <c r="I4259" s="912">
        <f>VLOOKUP(E4259,[3]VLP!$B$7:$K$300,10,0)</f>
        <v>2273</v>
      </c>
      <c r="J4259" s="912">
        <f>I4259*H4259</f>
        <v>68.19</v>
      </c>
      <c r="K4259" s="912" t="s">
        <v>274</v>
      </c>
      <c r="L4259" s="912"/>
      <c r="M4259" s="912"/>
      <c r="N4259" s="912"/>
      <c r="O4259" s="892">
        <f t="shared" si="268"/>
        <v>0</v>
      </c>
      <c r="P4259" s="903">
        <f t="shared" si="265"/>
        <v>1</v>
      </c>
      <c r="Q4259" s="893">
        <f t="shared" si="266"/>
        <v>5</v>
      </c>
      <c r="R4259" s="894">
        <f t="shared" si="267"/>
        <v>0</v>
      </c>
    </row>
    <row r="4260" spans="1:18">
      <c r="A4260" s="905"/>
      <c r="B4260" s="906"/>
      <c r="C4260" s="907">
        <v>44</v>
      </c>
      <c r="D4260" s="907" t="s">
        <v>279</v>
      </c>
      <c r="E4260" s="925" t="s">
        <v>2681</v>
      </c>
      <c r="F4260" s="926" t="s">
        <v>45</v>
      </c>
      <c r="G4260" s="910"/>
      <c r="H4260" s="911">
        <v>0.2</v>
      </c>
      <c r="I4260" s="912">
        <f>VLOOKUP(E4260,[3]VLP!$B$7:$K$300,10,0)</f>
        <v>23000</v>
      </c>
      <c r="J4260" s="912">
        <f>I4260*H4260</f>
        <v>4600</v>
      </c>
      <c r="K4260" s="912" t="s">
        <v>274</v>
      </c>
      <c r="L4260" s="912"/>
      <c r="M4260" s="912"/>
      <c r="N4260" s="912"/>
      <c r="O4260" s="892">
        <f t="shared" si="268"/>
        <v>0</v>
      </c>
      <c r="P4260" s="903">
        <f t="shared" si="265"/>
        <v>1</v>
      </c>
      <c r="Q4260" s="893">
        <f t="shared" si="266"/>
        <v>4</v>
      </c>
      <c r="R4260" s="894">
        <f t="shared" si="267"/>
        <v>0</v>
      </c>
    </row>
    <row r="4261" spans="1:18">
      <c r="A4261" s="905"/>
      <c r="B4261" s="906"/>
      <c r="C4261" s="907">
        <v>124</v>
      </c>
      <c r="D4261" s="907" t="s">
        <v>279</v>
      </c>
      <c r="E4261" s="925" t="s">
        <v>5432</v>
      </c>
      <c r="F4261" s="926" t="s">
        <v>3272</v>
      </c>
      <c r="G4261" s="910"/>
      <c r="H4261" s="911">
        <v>15</v>
      </c>
      <c r="I4261" s="912">
        <f>VLOOKUP(E4261,[3]VLP!$B$7:$K$300,10,0)</f>
        <v>20000</v>
      </c>
      <c r="J4261" s="912">
        <f>I4261*H4261</f>
        <v>300000</v>
      </c>
      <c r="K4261" s="912" t="s">
        <v>274</v>
      </c>
      <c r="L4261" s="912"/>
      <c r="M4261" s="912"/>
      <c r="N4261" s="912"/>
      <c r="O4261" s="892">
        <f t="shared" si="268"/>
        <v>0</v>
      </c>
      <c r="P4261" s="903">
        <f t="shared" si="265"/>
        <v>1</v>
      </c>
      <c r="Q4261" s="893">
        <f t="shared" si="266"/>
        <v>3</v>
      </c>
      <c r="R4261" s="894">
        <f t="shared" si="267"/>
        <v>0</v>
      </c>
    </row>
    <row r="4262" spans="1:18" s="904" customFormat="1">
      <c r="A4262" s="895"/>
      <c r="B4262" s="896"/>
      <c r="C4262" s="897"/>
      <c r="D4262" s="897"/>
      <c r="E4262" s="924" t="s">
        <v>276</v>
      </c>
      <c r="F4262" s="927"/>
      <c r="G4262" s="928"/>
      <c r="H4262" s="901"/>
      <c r="I4262" s="902"/>
      <c r="J4262" s="902"/>
      <c r="K4262" s="912" t="s">
        <v>274</v>
      </c>
      <c r="L4262" s="902"/>
      <c r="M4262" s="902"/>
      <c r="N4262" s="902"/>
      <c r="O4262" s="892">
        <f t="shared" si="268"/>
        <v>0</v>
      </c>
      <c r="P4262" s="903">
        <f t="shared" si="265"/>
        <v>1</v>
      </c>
      <c r="Q4262" s="893">
        <f t="shared" si="266"/>
        <v>2</v>
      </c>
      <c r="R4262" s="894">
        <f t="shared" si="267"/>
        <v>0</v>
      </c>
    </row>
    <row r="4263" spans="1:18">
      <c r="A4263" s="905"/>
      <c r="B4263" s="906"/>
      <c r="C4263" s="907">
        <v>740</v>
      </c>
      <c r="D4263" s="907" t="s">
        <v>12</v>
      </c>
      <c r="E4263" s="908" t="s">
        <v>4008</v>
      </c>
      <c r="F4263" s="909" t="s">
        <v>2674</v>
      </c>
      <c r="G4263" s="910"/>
      <c r="H4263" s="911">
        <v>8.43</v>
      </c>
      <c r="I4263" s="912"/>
      <c r="J4263" s="912"/>
      <c r="K4263" s="912">
        <f>VLOOKUP(E4263,[5]ĐMNC!$A$7:$F$67,4,0)</f>
        <v>221125</v>
      </c>
      <c r="L4263" s="912">
        <f>H4263*K4263</f>
        <v>1864083.75</v>
      </c>
      <c r="M4263" s="912"/>
      <c r="N4263" s="912"/>
      <c r="O4263" s="892">
        <f t="shared" si="268"/>
        <v>0</v>
      </c>
      <c r="P4263" s="903">
        <f t="shared" ref="P4263:P4327" si="269">IF(O4263=0,1,0)</f>
        <v>1</v>
      </c>
      <c r="Q4263" s="893">
        <f t="shared" ref="Q4263:Q4327" si="270">IF(P4263=0,0,P4263+Q4264)</f>
        <v>1</v>
      </c>
      <c r="R4263" s="894">
        <f t="shared" ref="R4263:R4327" si="271">IF(Q4263=0,Q4264,0)</f>
        <v>0</v>
      </c>
    </row>
    <row r="4264" spans="1:18" s="847" customFormat="1" ht="31.5">
      <c r="A4264" s="905"/>
      <c r="B4264" s="914" t="s">
        <v>1289</v>
      </c>
      <c r="C4264" s="915"/>
      <c r="D4264" s="915"/>
      <c r="E4264" s="916" t="s">
        <v>5510</v>
      </c>
      <c r="F4264" s="917" t="s">
        <v>150</v>
      </c>
      <c r="G4264" s="918"/>
      <c r="H4264" s="919"/>
      <c r="I4264" s="920"/>
      <c r="J4264" s="891">
        <f>SUM(J4265:J4270)</f>
        <v>304668.19</v>
      </c>
      <c r="K4264" s="891"/>
      <c r="L4264" s="891">
        <f>SUM(L4265:L4270)</f>
        <v>2456698.75</v>
      </c>
      <c r="M4264" s="891"/>
      <c r="N4264" s="891">
        <f>SUM(N4265:N4270)</f>
        <v>0</v>
      </c>
      <c r="O4264" s="892">
        <f t="shared" si="268"/>
        <v>1</v>
      </c>
      <c r="P4264" s="903">
        <f t="shared" si="269"/>
        <v>0</v>
      </c>
      <c r="Q4264" s="893">
        <f t="shared" si="270"/>
        <v>0</v>
      </c>
      <c r="R4264" s="894">
        <f t="shared" si="271"/>
        <v>6</v>
      </c>
    </row>
    <row r="4265" spans="1:18" s="904" customFormat="1">
      <c r="A4265" s="895"/>
      <c r="B4265" s="896"/>
      <c r="C4265" s="897"/>
      <c r="D4265" s="897"/>
      <c r="E4265" s="898" t="s">
        <v>108</v>
      </c>
      <c r="F4265" s="899"/>
      <c r="G4265" s="900"/>
      <c r="H4265" s="901"/>
      <c r="I4265" s="902"/>
      <c r="J4265" s="902"/>
      <c r="K4265" s="912" t="s">
        <v>274</v>
      </c>
      <c r="L4265" s="902"/>
      <c r="M4265" s="902"/>
      <c r="N4265" s="902"/>
      <c r="O4265" s="892">
        <f t="shared" si="268"/>
        <v>0</v>
      </c>
      <c r="P4265" s="903">
        <f t="shared" si="269"/>
        <v>1</v>
      </c>
      <c r="Q4265" s="893">
        <f t="shared" si="270"/>
        <v>6</v>
      </c>
      <c r="R4265" s="894">
        <f t="shared" si="271"/>
        <v>0</v>
      </c>
    </row>
    <row r="4266" spans="1:18">
      <c r="A4266" s="905"/>
      <c r="B4266" s="906"/>
      <c r="C4266" s="907">
        <v>55</v>
      </c>
      <c r="D4266" s="907" t="s">
        <v>279</v>
      </c>
      <c r="E4266" s="925" t="s">
        <v>3192</v>
      </c>
      <c r="F4266" s="926" t="s">
        <v>45</v>
      </c>
      <c r="G4266" s="910"/>
      <c r="H4266" s="911">
        <v>0.03</v>
      </c>
      <c r="I4266" s="912">
        <f>VLOOKUP(E4266,[3]VLP!$B$7:$K$300,10,0)</f>
        <v>2273</v>
      </c>
      <c r="J4266" s="912">
        <f>I4266*H4266</f>
        <v>68.19</v>
      </c>
      <c r="K4266" s="912" t="s">
        <v>274</v>
      </c>
      <c r="L4266" s="912"/>
      <c r="M4266" s="912"/>
      <c r="N4266" s="912"/>
      <c r="O4266" s="892">
        <f t="shared" si="268"/>
        <v>0</v>
      </c>
      <c r="P4266" s="903">
        <f t="shared" si="269"/>
        <v>1</v>
      </c>
      <c r="Q4266" s="893">
        <f t="shared" si="270"/>
        <v>5</v>
      </c>
      <c r="R4266" s="894">
        <f t="shared" si="271"/>
        <v>0</v>
      </c>
    </row>
    <row r="4267" spans="1:18">
      <c r="A4267" s="905"/>
      <c r="B4267" s="906"/>
      <c r="C4267" s="907">
        <v>44</v>
      </c>
      <c r="D4267" s="907" t="s">
        <v>279</v>
      </c>
      <c r="E4267" s="925" t="s">
        <v>2681</v>
      </c>
      <c r="F4267" s="926" t="s">
        <v>45</v>
      </c>
      <c r="G4267" s="910"/>
      <c r="H4267" s="911">
        <v>0.2</v>
      </c>
      <c r="I4267" s="912">
        <f>VLOOKUP(E4267,[3]VLP!$B$7:$K$300,10,0)</f>
        <v>23000</v>
      </c>
      <c r="J4267" s="912">
        <f>I4267*H4267</f>
        <v>4600</v>
      </c>
      <c r="K4267" s="912" t="s">
        <v>274</v>
      </c>
      <c r="L4267" s="912"/>
      <c r="M4267" s="912"/>
      <c r="N4267" s="912"/>
      <c r="O4267" s="892">
        <f t="shared" si="268"/>
        <v>0</v>
      </c>
      <c r="P4267" s="903">
        <f t="shared" si="269"/>
        <v>1</v>
      </c>
      <c r="Q4267" s="893">
        <f t="shared" si="270"/>
        <v>4</v>
      </c>
      <c r="R4267" s="894">
        <f t="shared" si="271"/>
        <v>0</v>
      </c>
    </row>
    <row r="4268" spans="1:18">
      <c r="A4268" s="905"/>
      <c r="B4268" s="906"/>
      <c r="C4268" s="907">
        <v>124</v>
      </c>
      <c r="D4268" s="907" t="s">
        <v>279</v>
      </c>
      <c r="E4268" s="925" t="s">
        <v>5432</v>
      </c>
      <c r="F4268" s="926" t="s">
        <v>3272</v>
      </c>
      <c r="G4268" s="910"/>
      <c r="H4268" s="911">
        <v>15</v>
      </c>
      <c r="I4268" s="912">
        <f>VLOOKUP(E4268,[3]VLP!$B$7:$K$300,10,0)</f>
        <v>20000</v>
      </c>
      <c r="J4268" s="912">
        <f>I4268*H4268</f>
        <v>300000</v>
      </c>
      <c r="K4268" s="912" t="s">
        <v>274</v>
      </c>
      <c r="L4268" s="912"/>
      <c r="M4268" s="912"/>
      <c r="N4268" s="912"/>
      <c r="O4268" s="892">
        <f t="shared" si="268"/>
        <v>0</v>
      </c>
      <c r="P4268" s="903">
        <f t="shared" si="269"/>
        <v>1</v>
      </c>
      <c r="Q4268" s="893">
        <f t="shared" si="270"/>
        <v>3</v>
      </c>
      <c r="R4268" s="894">
        <f t="shared" si="271"/>
        <v>0</v>
      </c>
    </row>
    <row r="4269" spans="1:18" s="904" customFormat="1">
      <c r="A4269" s="895"/>
      <c r="B4269" s="896"/>
      <c r="C4269" s="897"/>
      <c r="D4269" s="897"/>
      <c r="E4269" s="924" t="s">
        <v>276</v>
      </c>
      <c r="F4269" s="927"/>
      <c r="G4269" s="928"/>
      <c r="H4269" s="901"/>
      <c r="I4269" s="902"/>
      <c r="J4269" s="902"/>
      <c r="K4269" s="912" t="s">
        <v>274</v>
      </c>
      <c r="L4269" s="902"/>
      <c r="M4269" s="902"/>
      <c r="N4269" s="902"/>
      <c r="O4269" s="892">
        <f t="shared" si="268"/>
        <v>0</v>
      </c>
      <c r="P4269" s="903">
        <f t="shared" si="269"/>
        <v>1</v>
      </c>
      <c r="Q4269" s="893">
        <f t="shared" si="270"/>
        <v>2</v>
      </c>
      <c r="R4269" s="894">
        <f t="shared" si="271"/>
        <v>0</v>
      </c>
    </row>
    <row r="4270" spans="1:18">
      <c r="A4270" s="905"/>
      <c r="B4270" s="906"/>
      <c r="C4270" s="907">
        <v>740</v>
      </c>
      <c r="D4270" s="907" t="s">
        <v>12</v>
      </c>
      <c r="E4270" s="908" t="s">
        <v>4008</v>
      </c>
      <c r="F4270" s="909" t="s">
        <v>2674</v>
      </c>
      <c r="G4270" s="910"/>
      <c r="H4270" s="911">
        <v>11.11</v>
      </c>
      <c r="I4270" s="912"/>
      <c r="J4270" s="912"/>
      <c r="K4270" s="912">
        <f>VLOOKUP(E4270,[5]ĐMNC!$A$7:$F$67,4,0)</f>
        <v>221125</v>
      </c>
      <c r="L4270" s="912">
        <f>H4270*K4270</f>
        <v>2456698.75</v>
      </c>
      <c r="M4270" s="912"/>
      <c r="N4270" s="912"/>
      <c r="O4270" s="892">
        <f t="shared" si="268"/>
        <v>0</v>
      </c>
      <c r="P4270" s="903">
        <f t="shared" si="269"/>
        <v>1</v>
      </c>
      <c r="Q4270" s="893">
        <f t="shared" si="270"/>
        <v>1</v>
      </c>
      <c r="R4270" s="894">
        <f t="shared" si="271"/>
        <v>0</v>
      </c>
    </row>
    <row r="4271" spans="1:18" s="847" customFormat="1" ht="31.5">
      <c r="A4271" s="905"/>
      <c r="B4271" s="914" t="s">
        <v>1291</v>
      </c>
      <c r="C4271" s="915"/>
      <c r="D4271" s="915"/>
      <c r="E4271" s="916" t="s">
        <v>5511</v>
      </c>
      <c r="F4271" s="917" t="s">
        <v>150</v>
      </c>
      <c r="G4271" s="918"/>
      <c r="H4271" s="919"/>
      <c r="I4271" s="920"/>
      <c r="J4271" s="891">
        <f>SUM(J4272:J4277)</f>
        <v>304668.19</v>
      </c>
      <c r="K4271" s="891"/>
      <c r="L4271" s="891">
        <f>SUM(L4272:L4277)</f>
        <v>2697725</v>
      </c>
      <c r="M4271" s="891"/>
      <c r="N4271" s="891">
        <f>SUM(N4272:N4277)</f>
        <v>0</v>
      </c>
      <c r="O4271" s="892">
        <f t="shared" si="268"/>
        <v>1</v>
      </c>
      <c r="P4271" s="903">
        <f t="shared" si="269"/>
        <v>0</v>
      </c>
      <c r="Q4271" s="893">
        <f t="shared" si="270"/>
        <v>0</v>
      </c>
      <c r="R4271" s="894">
        <f t="shared" si="271"/>
        <v>6</v>
      </c>
    </row>
    <row r="4272" spans="1:18" s="904" customFormat="1">
      <c r="A4272" s="895"/>
      <c r="B4272" s="896"/>
      <c r="C4272" s="897"/>
      <c r="D4272" s="897"/>
      <c r="E4272" s="898" t="s">
        <v>108</v>
      </c>
      <c r="F4272" s="899"/>
      <c r="G4272" s="900"/>
      <c r="H4272" s="901"/>
      <c r="I4272" s="902"/>
      <c r="J4272" s="902"/>
      <c r="K4272" s="912" t="s">
        <v>274</v>
      </c>
      <c r="L4272" s="902"/>
      <c r="M4272" s="902"/>
      <c r="N4272" s="902"/>
      <c r="O4272" s="892">
        <f t="shared" si="268"/>
        <v>0</v>
      </c>
      <c r="P4272" s="903">
        <f t="shared" si="269"/>
        <v>1</v>
      </c>
      <c r="Q4272" s="893">
        <f t="shared" si="270"/>
        <v>6</v>
      </c>
      <c r="R4272" s="894">
        <f t="shared" si="271"/>
        <v>0</v>
      </c>
    </row>
    <row r="4273" spans="1:18">
      <c r="A4273" s="905"/>
      <c r="B4273" s="906"/>
      <c r="C4273" s="907">
        <v>55</v>
      </c>
      <c r="D4273" s="907" t="s">
        <v>279</v>
      </c>
      <c r="E4273" s="925" t="s">
        <v>3192</v>
      </c>
      <c r="F4273" s="926" t="s">
        <v>45</v>
      </c>
      <c r="G4273" s="910"/>
      <c r="H4273" s="911">
        <v>0.03</v>
      </c>
      <c r="I4273" s="912">
        <f>VLOOKUP(E4273,[3]VLP!$B$7:$K$300,10,0)</f>
        <v>2273</v>
      </c>
      <c r="J4273" s="912">
        <f>I4273*H4273</f>
        <v>68.19</v>
      </c>
      <c r="K4273" s="912" t="s">
        <v>274</v>
      </c>
      <c r="L4273" s="912"/>
      <c r="M4273" s="912"/>
      <c r="N4273" s="912"/>
      <c r="O4273" s="892">
        <f t="shared" si="268"/>
        <v>0</v>
      </c>
      <c r="P4273" s="903">
        <f t="shared" si="269"/>
        <v>1</v>
      </c>
      <c r="Q4273" s="893">
        <f t="shared" si="270"/>
        <v>5</v>
      </c>
      <c r="R4273" s="894">
        <f t="shared" si="271"/>
        <v>0</v>
      </c>
    </row>
    <row r="4274" spans="1:18">
      <c r="A4274" s="905"/>
      <c r="B4274" s="906"/>
      <c r="C4274" s="907">
        <v>44</v>
      </c>
      <c r="D4274" s="907" t="s">
        <v>279</v>
      </c>
      <c r="E4274" s="925" t="s">
        <v>2681</v>
      </c>
      <c r="F4274" s="926" t="s">
        <v>45</v>
      </c>
      <c r="G4274" s="910"/>
      <c r="H4274" s="911">
        <v>0.2</v>
      </c>
      <c r="I4274" s="912">
        <f>VLOOKUP(E4274,[3]VLP!$B$7:$K$300,10,0)</f>
        <v>23000</v>
      </c>
      <c r="J4274" s="912">
        <f>I4274*H4274</f>
        <v>4600</v>
      </c>
      <c r="K4274" s="912" t="s">
        <v>274</v>
      </c>
      <c r="L4274" s="912"/>
      <c r="M4274" s="912"/>
      <c r="N4274" s="912"/>
      <c r="O4274" s="892">
        <f t="shared" si="268"/>
        <v>0</v>
      </c>
      <c r="P4274" s="903">
        <f t="shared" si="269"/>
        <v>1</v>
      </c>
      <c r="Q4274" s="893">
        <f t="shared" si="270"/>
        <v>4</v>
      </c>
      <c r="R4274" s="894">
        <f t="shared" si="271"/>
        <v>0</v>
      </c>
    </row>
    <row r="4275" spans="1:18">
      <c r="A4275" s="905"/>
      <c r="B4275" s="906"/>
      <c r="C4275" s="907">
        <v>124</v>
      </c>
      <c r="D4275" s="907" t="s">
        <v>279</v>
      </c>
      <c r="E4275" s="925" t="s">
        <v>5432</v>
      </c>
      <c r="F4275" s="926" t="s">
        <v>3272</v>
      </c>
      <c r="G4275" s="910"/>
      <c r="H4275" s="911">
        <v>15</v>
      </c>
      <c r="I4275" s="912">
        <f>VLOOKUP(E4275,[3]VLP!$B$7:$K$300,10,0)</f>
        <v>20000</v>
      </c>
      <c r="J4275" s="912">
        <f>I4275*H4275</f>
        <v>300000</v>
      </c>
      <c r="K4275" s="912" t="s">
        <v>274</v>
      </c>
      <c r="L4275" s="912"/>
      <c r="M4275" s="912"/>
      <c r="N4275" s="912"/>
      <c r="O4275" s="892">
        <f t="shared" si="268"/>
        <v>0</v>
      </c>
      <c r="P4275" s="903">
        <f t="shared" si="269"/>
        <v>1</v>
      </c>
      <c r="Q4275" s="893">
        <f t="shared" si="270"/>
        <v>3</v>
      </c>
      <c r="R4275" s="894">
        <f t="shared" si="271"/>
        <v>0</v>
      </c>
    </row>
    <row r="4276" spans="1:18" s="904" customFormat="1">
      <c r="A4276" s="895"/>
      <c r="B4276" s="896"/>
      <c r="C4276" s="897"/>
      <c r="D4276" s="897"/>
      <c r="E4276" s="924" t="s">
        <v>276</v>
      </c>
      <c r="F4276" s="927"/>
      <c r="G4276" s="928"/>
      <c r="H4276" s="901"/>
      <c r="I4276" s="902"/>
      <c r="J4276" s="902"/>
      <c r="K4276" s="912" t="s">
        <v>274</v>
      </c>
      <c r="L4276" s="902"/>
      <c r="M4276" s="902"/>
      <c r="N4276" s="902"/>
      <c r="O4276" s="892">
        <f t="shared" si="268"/>
        <v>0</v>
      </c>
      <c r="P4276" s="903">
        <f t="shared" si="269"/>
        <v>1</v>
      </c>
      <c r="Q4276" s="893">
        <f t="shared" si="270"/>
        <v>2</v>
      </c>
      <c r="R4276" s="894">
        <f t="shared" si="271"/>
        <v>0</v>
      </c>
    </row>
    <row r="4277" spans="1:18">
      <c r="A4277" s="905"/>
      <c r="B4277" s="906"/>
      <c r="C4277" s="907">
        <v>740</v>
      </c>
      <c r="D4277" s="907" t="s">
        <v>12</v>
      </c>
      <c r="E4277" s="908" t="s">
        <v>4008</v>
      </c>
      <c r="F4277" s="909" t="s">
        <v>2674</v>
      </c>
      <c r="G4277" s="910"/>
      <c r="H4277" s="911">
        <v>12.2</v>
      </c>
      <c r="I4277" s="912"/>
      <c r="J4277" s="912"/>
      <c r="K4277" s="912">
        <f>VLOOKUP(E4277,[5]ĐMNC!$A$7:$F$67,4,0)</f>
        <v>221125</v>
      </c>
      <c r="L4277" s="912">
        <f>H4277*K4277</f>
        <v>2697725</v>
      </c>
      <c r="M4277" s="912"/>
      <c r="N4277" s="912"/>
      <c r="O4277" s="892">
        <f t="shared" si="268"/>
        <v>0</v>
      </c>
      <c r="P4277" s="903">
        <f t="shared" si="269"/>
        <v>1</v>
      </c>
      <c r="Q4277" s="893">
        <f t="shared" si="270"/>
        <v>1</v>
      </c>
      <c r="R4277" s="894">
        <f t="shared" si="271"/>
        <v>0</v>
      </c>
    </row>
    <row r="4278" spans="1:18" s="847" customFormat="1" ht="31.5">
      <c r="A4278" s="905"/>
      <c r="B4278" s="914" t="s">
        <v>254</v>
      </c>
      <c r="C4278" s="915"/>
      <c r="D4278" s="915"/>
      <c r="E4278" s="929" t="s">
        <v>5512</v>
      </c>
      <c r="F4278" s="917" t="s">
        <v>150</v>
      </c>
      <c r="G4278" s="918"/>
      <c r="H4278" s="919"/>
      <c r="I4278" s="920"/>
      <c r="J4278" s="891">
        <f>SUM(J4279:J4284)</f>
        <v>305818.19</v>
      </c>
      <c r="K4278" s="891"/>
      <c r="L4278" s="891">
        <f>SUM(L4279:L4284)</f>
        <v>3553478.75</v>
      </c>
      <c r="M4278" s="891"/>
      <c r="N4278" s="891">
        <f>SUM(N4279:N4284)</f>
        <v>0</v>
      </c>
      <c r="O4278" s="892">
        <f t="shared" si="268"/>
        <v>1</v>
      </c>
      <c r="P4278" s="903">
        <f t="shared" si="269"/>
        <v>0</v>
      </c>
      <c r="Q4278" s="893">
        <f t="shared" si="270"/>
        <v>0</v>
      </c>
      <c r="R4278" s="894">
        <f t="shared" si="271"/>
        <v>6</v>
      </c>
    </row>
    <row r="4279" spans="1:18" s="904" customFormat="1">
      <c r="A4279" s="895"/>
      <c r="B4279" s="896"/>
      <c r="C4279" s="897"/>
      <c r="D4279" s="897"/>
      <c r="E4279" s="898" t="s">
        <v>108</v>
      </c>
      <c r="F4279" s="899"/>
      <c r="G4279" s="900"/>
      <c r="H4279" s="901"/>
      <c r="I4279" s="902"/>
      <c r="J4279" s="902"/>
      <c r="K4279" s="912" t="s">
        <v>274</v>
      </c>
      <c r="L4279" s="902"/>
      <c r="M4279" s="902"/>
      <c r="N4279" s="902"/>
      <c r="O4279" s="892">
        <f t="shared" si="268"/>
        <v>0</v>
      </c>
      <c r="P4279" s="903">
        <f t="shared" si="269"/>
        <v>1</v>
      </c>
      <c r="Q4279" s="893">
        <f t="shared" si="270"/>
        <v>6</v>
      </c>
      <c r="R4279" s="894">
        <f t="shared" si="271"/>
        <v>0</v>
      </c>
    </row>
    <row r="4280" spans="1:18">
      <c r="A4280" s="905"/>
      <c r="B4280" s="906"/>
      <c r="C4280" s="907">
        <v>55</v>
      </c>
      <c r="D4280" s="907" t="s">
        <v>279</v>
      </c>
      <c r="E4280" s="925" t="s">
        <v>3192</v>
      </c>
      <c r="F4280" s="926" t="s">
        <v>45</v>
      </c>
      <c r="G4280" s="910"/>
      <c r="H4280" s="911">
        <v>0.03</v>
      </c>
      <c r="I4280" s="912">
        <f>VLOOKUP(E4280,[3]VLP!$B$7:$K$300,10,0)</f>
        <v>2273</v>
      </c>
      <c r="J4280" s="912">
        <f>I4280*H4280</f>
        <v>68.19</v>
      </c>
      <c r="K4280" s="912" t="s">
        <v>274</v>
      </c>
      <c r="L4280" s="912"/>
      <c r="M4280" s="912"/>
      <c r="N4280" s="912"/>
      <c r="O4280" s="892">
        <f t="shared" si="268"/>
        <v>0</v>
      </c>
      <c r="P4280" s="903">
        <f t="shared" si="269"/>
        <v>1</v>
      </c>
      <c r="Q4280" s="893">
        <f t="shared" si="270"/>
        <v>5</v>
      </c>
      <c r="R4280" s="894">
        <f t="shared" si="271"/>
        <v>0</v>
      </c>
    </row>
    <row r="4281" spans="1:18">
      <c r="A4281" s="905"/>
      <c r="B4281" s="906"/>
      <c r="C4281" s="907">
        <v>44</v>
      </c>
      <c r="D4281" s="907" t="s">
        <v>279</v>
      </c>
      <c r="E4281" s="925" t="s">
        <v>2681</v>
      </c>
      <c r="F4281" s="926" t="s">
        <v>45</v>
      </c>
      <c r="G4281" s="910"/>
      <c r="H4281" s="911">
        <v>0.25</v>
      </c>
      <c r="I4281" s="912">
        <f>VLOOKUP(E4281,[3]VLP!$B$7:$K$300,10,0)</f>
        <v>23000</v>
      </c>
      <c r="J4281" s="912">
        <f>I4281*H4281</f>
        <v>5750</v>
      </c>
      <c r="K4281" s="912" t="s">
        <v>274</v>
      </c>
      <c r="L4281" s="912"/>
      <c r="M4281" s="912"/>
      <c r="N4281" s="912"/>
      <c r="O4281" s="892">
        <f t="shared" si="268"/>
        <v>0</v>
      </c>
      <c r="P4281" s="903">
        <f t="shared" si="269"/>
        <v>1</v>
      </c>
      <c r="Q4281" s="893">
        <f t="shared" si="270"/>
        <v>4</v>
      </c>
      <c r="R4281" s="894">
        <f t="shared" si="271"/>
        <v>0</v>
      </c>
    </row>
    <row r="4282" spans="1:18">
      <c r="A4282" s="905"/>
      <c r="B4282" s="906"/>
      <c r="C4282" s="907">
        <v>124</v>
      </c>
      <c r="D4282" s="907" t="s">
        <v>279</v>
      </c>
      <c r="E4282" s="925" t="s">
        <v>5432</v>
      </c>
      <c r="F4282" s="926" t="s">
        <v>3272</v>
      </c>
      <c r="G4282" s="910"/>
      <c r="H4282" s="911">
        <v>15</v>
      </c>
      <c r="I4282" s="912">
        <f>VLOOKUP(E4282,[3]VLP!$B$7:$K$300,10,0)</f>
        <v>20000</v>
      </c>
      <c r="J4282" s="912">
        <f>I4282*H4282</f>
        <v>300000</v>
      </c>
      <c r="K4282" s="912" t="s">
        <v>274</v>
      </c>
      <c r="L4282" s="912"/>
      <c r="M4282" s="912"/>
      <c r="N4282" s="912"/>
      <c r="O4282" s="892">
        <f t="shared" si="268"/>
        <v>0</v>
      </c>
      <c r="P4282" s="903">
        <f t="shared" si="269"/>
        <v>1</v>
      </c>
      <c r="Q4282" s="893">
        <f t="shared" si="270"/>
        <v>3</v>
      </c>
      <c r="R4282" s="894">
        <f t="shared" si="271"/>
        <v>0</v>
      </c>
    </row>
    <row r="4283" spans="1:18" s="904" customFormat="1">
      <c r="A4283" s="895"/>
      <c r="B4283" s="896"/>
      <c r="C4283" s="897"/>
      <c r="D4283" s="897"/>
      <c r="E4283" s="924" t="s">
        <v>276</v>
      </c>
      <c r="F4283" s="927"/>
      <c r="G4283" s="928"/>
      <c r="H4283" s="901"/>
      <c r="I4283" s="902"/>
      <c r="J4283" s="902"/>
      <c r="K4283" s="912" t="s">
        <v>274</v>
      </c>
      <c r="L4283" s="902"/>
      <c r="M4283" s="902"/>
      <c r="N4283" s="902"/>
      <c r="O4283" s="892">
        <f t="shared" si="268"/>
        <v>0</v>
      </c>
      <c r="P4283" s="903">
        <f t="shared" si="269"/>
        <v>1</v>
      </c>
      <c r="Q4283" s="893">
        <f t="shared" si="270"/>
        <v>2</v>
      </c>
      <c r="R4283" s="894">
        <f t="shared" si="271"/>
        <v>0</v>
      </c>
    </row>
    <row r="4284" spans="1:18">
      <c r="A4284" s="905"/>
      <c r="B4284" s="906"/>
      <c r="C4284" s="907">
        <v>740</v>
      </c>
      <c r="D4284" s="907" t="s">
        <v>12</v>
      </c>
      <c r="E4284" s="908" t="s">
        <v>4008</v>
      </c>
      <c r="F4284" s="909" t="s">
        <v>2674</v>
      </c>
      <c r="G4284" s="910"/>
      <c r="H4284" s="911">
        <v>16.07</v>
      </c>
      <c r="I4284" s="912"/>
      <c r="J4284" s="912"/>
      <c r="K4284" s="912">
        <f>VLOOKUP(E4284,[5]ĐMNC!$A$7:$F$67,4,0)</f>
        <v>221125</v>
      </c>
      <c r="L4284" s="912">
        <f>H4284*K4284</f>
        <v>3553478.75</v>
      </c>
      <c r="M4284" s="912"/>
      <c r="N4284" s="912"/>
      <c r="O4284" s="892">
        <f t="shared" si="268"/>
        <v>0</v>
      </c>
      <c r="P4284" s="903">
        <f t="shared" si="269"/>
        <v>1</v>
      </c>
      <c r="Q4284" s="893">
        <f t="shared" si="270"/>
        <v>1</v>
      </c>
      <c r="R4284" s="894">
        <f t="shared" si="271"/>
        <v>0</v>
      </c>
    </row>
    <row r="4285" spans="1:18" s="847" customFormat="1" ht="31.5">
      <c r="A4285" s="905"/>
      <c r="B4285" s="914" t="s">
        <v>1293</v>
      </c>
      <c r="C4285" s="915"/>
      <c r="D4285" s="915"/>
      <c r="E4285" s="916" t="s">
        <v>5513</v>
      </c>
      <c r="F4285" s="917" t="s">
        <v>150</v>
      </c>
      <c r="G4285" s="918"/>
      <c r="H4285" s="919"/>
      <c r="I4285" s="920"/>
      <c r="J4285" s="891">
        <f>SUM(J4286:J4291)</f>
        <v>305818.19</v>
      </c>
      <c r="K4285" s="891"/>
      <c r="L4285" s="891">
        <f>SUM(L4286:L4291)</f>
        <v>4747553.75</v>
      </c>
      <c r="M4285" s="891"/>
      <c r="N4285" s="891">
        <f>SUM(N4286:N4291)</f>
        <v>0</v>
      </c>
      <c r="O4285" s="892">
        <f t="shared" si="268"/>
        <v>1</v>
      </c>
      <c r="P4285" s="903">
        <f t="shared" si="269"/>
        <v>0</v>
      </c>
      <c r="Q4285" s="893">
        <f t="shared" si="270"/>
        <v>0</v>
      </c>
      <c r="R4285" s="894">
        <f t="shared" si="271"/>
        <v>6</v>
      </c>
    </row>
    <row r="4286" spans="1:18" s="904" customFormat="1">
      <c r="A4286" s="895"/>
      <c r="B4286" s="896"/>
      <c r="C4286" s="897"/>
      <c r="D4286" s="897"/>
      <c r="E4286" s="898" t="s">
        <v>108</v>
      </c>
      <c r="F4286" s="899"/>
      <c r="G4286" s="900"/>
      <c r="H4286" s="901"/>
      <c r="I4286" s="902"/>
      <c r="J4286" s="902"/>
      <c r="K4286" s="912" t="s">
        <v>274</v>
      </c>
      <c r="L4286" s="902"/>
      <c r="M4286" s="902"/>
      <c r="N4286" s="902"/>
      <c r="O4286" s="892">
        <f t="shared" si="268"/>
        <v>0</v>
      </c>
      <c r="P4286" s="903">
        <f t="shared" si="269"/>
        <v>1</v>
      </c>
      <c r="Q4286" s="893">
        <f t="shared" si="270"/>
        <v>6</v>
      </c>
      <c r="R4286" s="894">
        <f t="shared" si="271"/>
        <v>0</v>
      </c>
    </row>
    <row r="4287" spans="1:18">
      <c r="A4287" s="905"/>
      <c r="B4287" s="906"/>
      <c r="C4287" s="907">
        <v>55</v>
      </c>
      <c r="D4287" s="907" t="s">
        <v>279</v>
      </c>
      <c r="E4287" s="925" t="s">
        <v>3192</v>
      </c>
      <c r="F4287" s="926" t="s">
        <v>45</v>
      </c>
      <c r="G4287" s="910"/>
      <c r="H4287" s="911">
        <v>0.03</v>
      </c>
      <c r="I4287" s="912">
        <f>VLOOKUP(E4287,[3]VLP!$B$7:$K$300,10,0)</f>
        <v>2273</v>
      </c>
      <c r="J4287" s="912">
        <f>I4287*H4287</f>
        <v>68.19</v>
      </c>
      <c r="K4287" s="912" t="s">
        <v>274</v>
      </c>
      <c r="L4287" s="912"/>
      <c r="M4287" s="912"/>
      <c r="N4287" s="912"/>
      <c r="O4287" s="892">
        <f t="shared" si="268"/>
        <v>0</v>
      </c>
      <c r="P4287" s="903">
        <f t="shared" si="269"/>
        <v>1</v>
      </c>
      <c r="Q4287" s="893">
        <f t="shared" si="270"/>
        <v>5</v>
      </c>
      <c r="R4287" s="894">
        <f t="shared" si="271"/>
        <v>0</v>
      </c>
    </row>
    <row r="4288" spans="1:18">
      <c r="A4288" s="905"/>
      <c r="B4288" s="906"/>
      <c r="C4288" s="907">
        <v>44</v>
      </c>
      <c r="D4288" s="907" t="s">
        <v>279</v>
      </c>
      <c r="E4288" s="925" t="s">
        <v>2681</v>
      </c>
      <c r="F4288" s="926" t="s">
        <v>45</v>
      </c>
      <c r="G4288" s="910"/>
      <c r="H4288" s="911">
        <v>0.25</v>
      </c>
      <c r="I4288" s="912">
        <f>VLOOKUP(E4288,[3]VLP!$B$7:$K$300,10,0)</f>
        <v>23000</v>
      </c>
      <c r="J4288" s="912">
        <f>I4288*H4288</f>
        <v>5750</v>
      </c>
      <c r="K4288" s="912" t="s">
        <v>274</v>
      </c>
      <c r="L4288" s="912"/>
      <c r="M4288" s="912"/>
      <c r="N4288" s="912"/>
      <c r="O4288" s="892">
        <f t="shared" si="268"/>
        <v>0</v>
      </c>
      <c r="P4288" s="903">
        <f t="shared" si="269"/>
        <v>1</v>
      </c>
      <c r="Q4288" s="893">
        <f t="shared" si="270"/>
        <v>4</v>
      </c>
      <c r="R4288" s="894">
        <f t="shared" si="271"/>
        <v>0</v>
      </c>
    </row>
    <row r="4289" spans="1:18">
      <c r="A4289" s="905"/>
      <c r="B4289" s="906"/>
      <c r="C4289" s="907">
        <v>124</v>
      </c>
      <c r="D4289" s="907" t="s">
        <v>279</v>
      </c>
      <c r="E4289" s="925" t="s">
        <v>5432</v>
      </c>
      <c r="F4289" s="926" t="s">
        <v>3272</v>
      </c>
      <c r="G4289" s="910"/>
      <c r="H4289" s="911">
        <v>15</v>
      </c>
      <c r="I4289" s="912">
        <f>VLOOKUP(E4289,[3]VLP!$B$7:$K$300,10,0)</f>
        <v>20000</v>
      </c>
      <c r="J4289" s="912">
        <f>I4289*H4289</f>
        <v>300000</v>
      </c>
      <c r="K4289" s="912" t="s">
        <v>274</v>
      </c>
      <c r="L4289" s="912"/>
      <c r="M4289" s="912"/>
      <c r="N4289" s="912"/>
      <c r="O4289" s="892">
        <f t="shared" si="268"/>
        <v>0</v>
      </c>
      <c r="P4289" s="903">
        <f t="shared" si="269"/>
        <v>1</v>
      </c>
      <c r="Q4289" s="893">
        <f t="shared" si="270"/>
        <v>3</v>
      </c>
      <c r="R4289" s="894">
        <f t="shared" si="271"/>
        <v>0</v>
      </c>
    </row>
    <row r="4290" spans="1:18" s="904" customFormat="1">
      <c r="A4290" s="895"/>
      <c r="B4290" s="896"/>
      <c r="C4290" s="897"/>
      <c r="D4290" s="897"/>
      <c r="E4290" s="924" t="s">
        <v>276</v>
      </c>
      <c r="F4290" s="927"/>
      <c r="G4290" s="928"/>
      <c r="H4290" s="901"/>
      <c r="I4290" s="902"/>
      <c r="J4290" s="902"/>
      <c r="K4290" s="912" t="s">
        <v>274</v>
      </c>
      <c r="L4290" s="902"/>
      <c r="M4290" s="902"/>
      <c r="N4290" s="902"/>
      <c r="O4290" s="892">
        <f t="shared" si="268"/>
        <v>0</v>
      </c>
      <c r="P4290" s="903">
        <f t="shared" si="269"/>
        <v>1</v>
      </c>
      <c r="Q4290" s="893">
        <f t="shared" si="270"/>
        <v>2</v>
      </c>
      <c r="R4290" s="894">
        <f t="shared" si="271"/>
        <v>0</v>
      </c>
    </row>
    <row r="4291" spans="1:18">
      <c r="A4291" s="905"/>
      <c r="B4291" s="906"/>
      <c r="C4291" s="907">
        <v>740</v>
      </c>
      <c r="D4291" s="907" t="s">
        <v>12</v>
      </c>
      <c r="E4291" s="908" t="s">
        <v>4008</v>
      </c>
      <c r="F4291" s="909" t="s">
        <v>2674</v>
      </c>
      <c r="G4291" s="910"/>
      <c r="H4291" s="911">
        <v>21.47</v>
      </c>
      <c r="I4291" s="912"/>
      <c r="J4291" s="912"/>
      <c r="K4291" s="912">
        <f>VLOOKUP(E4291,[5]ĐMNC!$A$7:$F$67,4,0)</f>
        <v>221125</v>
      </c>
      <c r="L4291" s="912">
        <f>H4291*K4291</f>
        <v>4747553.75</v>
      </c>
      <c r="M4291" s="912"/>
      <c r="N4291" s="912"/>
      <c r="O4291" s="892">
        <f t="shared" si="268"/>
        <v>0</v>
      </c>
      <c r="P4291" s="903">
        <f t="shared" si="269"/>
        <v>1</v>
      </c>
      <c r="Q4291" s="893">
        <f t="shared" si="270"/>
        <v>1</v>
      </c>
      <c r="R4291" s="894">
        <f t="shared" si="271"/>
        <v>0</v>
      </c>
    </row>
    <row r="4292" spans="1:18" s="847" customFormat="1" ht="31.5">
      <c r="A4292" s="905"/>
      <c r="B4292" s="914" t="s">
        <v>1295</v>
      </c>
      <c r="C4292" s="915"/>
      <c r="D4292" s="915"/>
      <c r="E4292" s="916" t="s">
        <v>5514</v>
      </c>
      <c r="F4292" s="917" t="s">
        <v>150</v>
      </c>
      <c r="G4292" s="918"/>
      <c r="H4292" s="919"/>
      <c r="I4292" s="920"/>
      <c r="J4292" s="891">
        <f>SUM(J4293:J4298)</f>
        <v>305818.19</v>
      </c>
      <c r="K4292" s="891"/>
      <c r="L4292" s="891">
        <f>SUM(L4293:L4298)</f>
        <v>6465695</v>
      </c>
      <c r="M4292" s="891"/>
      <c r="N4292" s="891">
        <f>SUM(N4293:N4298)</f>
        <v>0</v>
      </c>
      <c r="O4292" s="892">
        <f t="shared" si="268"/>
        <v>1</v>
      </c>
      <c r="P4292" s="903">
        <f t="shared" si="269"/>
        <v>0</v>
      </c>
      <c r="Q4292" s="893">
        <f t="shared" si="270"/>
        <v>0</v>
      </c>
      <c r="R4292" s="894">
        <f t="shared" si="271"/>
        <v>6</v>
      </c>
    </row>
    <row r="4293" spans="1:18" s="904" customFormat="1">
      <c r="A4293" s="895"/>
      <c r="B4293" s="896"/>
      <c r="C4293" s="897"/>
      <c r="D4293" s="897"/>
      <c r="E4293" s="898" t="s">
        <v>108</v>
      </c>
      <c r="F4293" s="899"/>
      <c r="G4293" s="900"/>
      <c r="H4293" s="901"/>
      <c r="I4293" s="902"/>
      <c r="J4293" s="902"/>
      <c r="K4293" s="912" t="s">
        <v>274</v>
      </c>
      <c r="L4293" s="902"/>
      <c r="M4293" s="902"/>
      <c r="N4293" s="902"/>
      <c r="O4293" s="892">
        <f t="shared" si="268"/>
        <v>0</v>
      </c>
      <c r="P4293" s="903">
        <f t="shared" si="269"/>
        <v>1</v>
      </c>
      <c r="Q4293" s="893">
        <f t="shared" si="270"/>
        <v>6</v>
      </c>
      <c r="R4293" s="894">
        <f t="shared" si="271"/>
        <v>0</v>
      </c>
    </row>
    <row r="4294" spans="1:18">
      <c r="A4294" s="905"/>
      <c r="B4294" s="906"/>
      <c r="C4294" s="907">
        <v>55</v>
      </c>
      <c r="D4294" s="907" t="s">
        <v>279</v>
      </c>
      <c r="E4294" s="925" t="s">
        <v>3192</v>
      </c>
      <c r="F4294" s="926" t="s">
        <v>45</v>
      </c>
      <c r="G4294" s="910"/>
      <c r="H4294" s="911">
        <v>0.03</v>
      </c>
      <c r="I4294" s="912">
        <f>VLOOKUP(E4294,[3]VLP!$B$7:$K$300,10,0)</f>
        <v>2273</v>
      </c>
      <c r="J4294" s="912">
        <f>I4294*H4294</f>
        <v>68.19</v>
      </c>
      <c r="K4294" s="912" t="s">
        <v>274</v>
      </c>
      <c r="L4294" s="912"/>
      <c r="M4294" s="912"/>
      <c r="N4294" s="912"/>
      <c r="O4294" s="892">
        <f t="shared" si="268"/>
        <v>0</v>
      </c>
      <c r="P4294" s="903">
        <f t="shared" si="269"/>
        <v>1</v>
      </c>
      <c r="Q4294" s="893">
        <f t="shared" si="270"/>
        <v>5</v>
      </c>
      <c r="R4294" s="894">
        <f t="shared" si="271"/>
        <v>0</v>
      </c>
    </row>
    <row r="4295" spans="1:18">
      <c r="A4295" s="905"/>
      <c r="B4295" s="906"/>
      <c r="C4295" s="907">
        <v>44</v>
      </c>
      <c r="D4295" s="907" t="s">
        <v>279</v>
      </c>
      <c r="E4295" s="925" t="s">
        <v>2681</v>
      </c>
      <c r="F4295" s="926" t="s">
        <v>45</v>
      </c>
      <c r="G4295" s="910"/>
      <c r="H4295" s="911">
        <v>0.25</v>
      </c>
      <c r="I4295" s="912">
        <f>VLOOKUP(E4295,[3]VLP!$B$7:$K$300,10,0)</f>
        <v>23000</v>
      </c>
      <c r="J4295" s="912">
        <f>I4295*H4295</f>
        <v>5750</v>
      </c>
      <c r="K4295" s="912" t="s">
        <v>274</v>
      </c>
      <c r="L4295" s="912"/>
      <c r="M4295" s="912"/>
      <c r="N4295" s="912"/>
      <c r="O4295" s="892">
        <f t="shared" si="268"/>
        <v>0</v>
      </c>
      <c r="P4295" s="903">
        <f t="shared" si="269"/>
        <v>1</v>
      </c>
      <c r="Q4295" s="893">
        <f t="shared" si="270"/>
        <v>4</v>
      </c>
      <c r="R4295" s="894">
        <f t="shared" si="271"/>
        <v>0</v>
      </c>
    </row>
    <row r="4296" spans="1:18">
      <c r="A4296" s="905"/>
      <c r="B4296" s="906"/>
      <c r="C4296" s="907">
        <v>124</v>
      </c>
      <c r="D4296" s="907" t="s">
        <v>279</v>
      </c>
      <c r="E4296" s="925" t="s">
        <v>5432</v>
      </c>
      <c r="F4296" s="926" t="s">
        <v>3272</v>
      </c>
      <c r="G4296" s="910"/>
      <c r="H4296" s="911">
        <v>15</v>
      </c>
      <c r="I4296" s="912">
        <f>VLOOKUP(E4296,[3]VLP!$B$7:$K$300,10,0)</f>
        <v>20000</v>
      </c>
      <c r="J4296" s="912">
        <f>I4296*H4296</f>
        <v>300000</v>
      </c>
      <c r="K4296" s="912" t="s">
        <v>274</v>
      </c>
      <c r="L4296" s="912"/>
      <c r="M4296" s="912"/>
      <c r="N4296" s="912"/>
      <c r="O4296" s="892">
        <f t="shared" si="268"/>
        <v>0</v>
      </c>
      <c r="P4296" s="903">
        <f t="shared" si="269"/>
        <v>1</v>
      </c>
      <c r="Q4296" s="893">
        <f t="shared" si="270"/>
        <v>3</v>
      </c>
      <c r="R4296" s="894">
        <f t="shared" si="271"/>
        <v>0</v>
      </c>
    </row>
    <row r="4297" spans="1:18" s="904" customFormat="1">
      <c r="A4297" s="895"/>
      <c r="B4297" s="896"/>
      <c r="C4297" s="897"/>
      <c r="D4297" s="897"/>
      <c r="E4297" s="924" t="s">
        <v>276</v>
      </c>
      <c r="F4297" s="927"/>
      <c r="G4297" s="928"/>
      <c r="H4297" s="901"/>
      <c r="I4297" s="902"/>
      <c r="J4297" s="902"/>
      <c r="K4297" s="912" t="s">
        <v>274</v>
      </c>
      <c r="L4297" s="902"/>
      <c r="M4297" s="902"/>
      <c r="N4297" s="902"/>
      <c r="O4297" s="892">
        <f t="shared" si="268"/>
        <v>0</v>
      </c>
      <c r="P4297" s="903">
        <f t="shared" si="269"/>
        <v>1</v>
      </c>
      <c r="Q4297" s="893">
        <f t="shared" si="270"/>
        <v>2</v>
      </c>
      <c r="R4297" s="894">
        <f t="shared" si="271"/>
        <v>0</v>
      </c>
    </row>
    <row r="4298" spans="1:18">
      <c r="A4298" s="905"/>
      <c r="B4298" s="906"/>
      <c r="C4298" s="907">
        <v>740</v>
      </c>
      <c r="D4298" s="907" t="s">
        <v>12</v>
      </c>
      <c r="E4298" s="908" t="s">
        <v>4008</v>
      </c>
      <c r="F4298" s="909" t="s">
        <v>2674</v>
      </c>
      <c r="G4298" s="910"/>
      <c r="H4298" s="911">
        <v>29.24</v>
      </c>
      <c r="I4298" s="912"/>
      <c r="J4298" s="912"/>
      <c r="K4298" s="912">
        <f>VLOOKUP(E4298,[5]ĐMNC!$A$7:$F$67,4,0)</f>
        <v>221125</v>
      </c>
      <c r="L4298" s="912">
        <f>H4298*K4298</f>
        <v>6465695</v>
      </c>
      <c r="M4298" s="912"/>
      <c r="N4298" s="912"/>
      <c r="O4298" s="892">
        <f t="shared" si="268"/>
        <v>0</v>
      </c>
      <c r="P4298" s="903">
        <f t="shared" si="269"/>
        <v>1</v>
      </c>
      <c r="Q4298" s="893">
        <f t="shared" si="270"/>
        <v>1</v>
      </c>
      <c r="R4298" s="894">
        <f t="shared" si="271"/>
        <v>0</v>
      </c>
    </row>
    <row r="4299" spans="1:18" s="847" customFormat="1" ht="31.5">
      <c r="A4299" s="905"/>
      <c r="B4299" s="914" t="s">
        <v>1297</v>
      </c>
      <c r="C4299" s="915"/>
      <c r="D4299" s="915"/>
      <c r="E4299" s="916" t="s">
        <v>5515</v>
      </c>
      <c r="F4299" s="917" t="s">
        <v>150</v>
      </c>
      <c r="G4299" s="918"/>
      <c r="H4299" s="919"/>
      <c r="I4299" s="920"/>
      <c r="J4299" s="891">
        <f>SUM(J4300:J4305)</f>
        <v>427718.28</v>
      </c>
      <c r="K4299" s="891"/>
      <c r="L4299" s="891">
        <f>SUM(L4300:L4305)</f>
        <v>8540638.6500000004</v>
      </c>
      <c r="M4299" s="891"/>
      <c r="N4299" s="891">
        <f>SUM(N4300:N4305)</f>
        <v>0</v>
      </c>
      <c r="O4299" s="892">
        <f t="shared" si="268"/>
        <v>1</v>
      </c>
      <c r="P4299" s="903">
        <f t="shared" si="269"/>
        <v>0</v>
      </c>
      <c r="Q4299" s="893">
        <f t="shared" si="270"/>
        <v>0</v>
      </c>
      <c r="R4299" s="894">
        <f t="shared" si="271"/>
        <v>6</v>
      </c>
    </row>
    <row r="4300" spans="1:18" s="904" customFormat="1">
      <c r="A4300" s="895"/>
      <c r="B4300" s="896"/>
      <c r="C4300" s="897"/>
      <c r="D4300" s="897"/>
      <c r="E4300" s="898" t="s">
        <v>108</v>
      </c>
      <c r="F4300" s="899"/>
      <c r="G4300" s="900"/>
      <c r="H4300" s="901"/>
      <c r="I4300" s="902"/>
      <c r="J4300" s="902"/>
      <c r="K4300" s="912" t="s">
        <v>274</v>
      </c>
      <c r="L4300" s="902"/>
      <c r="M4300" s="902"/>
      <c r="N4300" s="902"/>
      <c r="O4300" s="892">
        <f t="shared" si="268"/>
        <v>0</v>
      </c>
      <c r="P4300" s="903">
        <f t="shared" si="269"/>
        <v>1</v>
      </c>
      <c r="Q4300" s="893">
        <f t="shared" si="270"/>
        <v>6</v>
      </c>
      <c r="R4300" s="894">
        <f t="shared" si="271"/>
        <v>0</v>
      </c>
    </row>
    <row r="4301" spans="1:18">
      <c r="A4301" s="905"/>
      <c r="B4301" s="906"/>
      <c r="C4301" s="907">
        <v>44</v>
      </c>
      <c r="D4301" s="907" t="s">
        <v>279</v>
      </c>
      <c r="E4301" s="925" t="s">
        <v>2681</v>
      </c>
      <c r="F4301" s="926" t="s">
        <v>45</v>
      </c>
      <c r="G4301" s="910"/>
      <c r="H4301" s="911">
        <v>0.3</v>
      </c>
      <c r="I4301" s="912">
        <f>VLOOKUP(E4301,[3]VLP!$B$7:$K$300,10,0)</f>
        <v>23000</v>
      </c>
      <c r="J4301" s="912">
        <f>I4301*H4301</f>
        <v>6900</v>
      </c>
      <c r="K4301" s="912" t="s">
        <v>274</v>
      </c>
      <c r="L4301" s="912"/>
      <c r="M4301" s="912"/>
      <c r="N4301" s="912"/>
      <c r="O4301" s="892">
        <f t="shared" si="268"/>
        <v>0</v>
      </c>
      <c r="P4301" s="903">
        <f t="shared" si="269"/>
        <v>1</v>
      </c>
      <c r="Q4301" s="893">
        <f t="shared" si="270"/>
        <v>5</v>
      </c>
      <c r="R4301" s="894">
        <f t="shared" si="271"/>
        <v>0</v>
      </c>
    </row>
    <row r="4302" spans="1:18">
      <c r="A4302" s="905"/>
      <c r="B4302" s="906"/>
      <c r="C4302" s="907">
        <v>55</v>
      </c>
      <c r="D4302" s="907" t="s">
        <v>279</v>
      </c>
      <c r="E4302" s="925" t="s">
        <v>3192</v>
      </c>
      <c r="F4302" s="926" t="s">
        <v>45</v>
      </c>
      <c r="G4302" s="910"/>
      <c r="H4302" s="911">
        <v>0.36</v>
      </c>
      <c r="I4302" s="912">
        <f>VLOOKUP(E4302,[3]VLP!$B$7:$K$300,10,0)</f>
        <v>2273</v>
      </c>
      <c r="J4302" s="912">
        <f>I4302*H4302</f>
        <v>818.28</v>
      </c>
      <c r="K4302" s="912" t="s">
        <v>274</v>
      </c>
      <c r="L4302" s="912"/>
      <c r="M4302" s="912"/>
      <c r="N4302" s="912"/>
      <c r="O4302" s="892">
        <f t="shared" si="268"/>
        <v>0</v>
      </c>
      <c r="P4302" s="903">
        <f t="shared" si="269"/>
        <v>1</v>
      </c>
      <c r="Q4302" s="893">
        <f t="shared" si="270"/>
        <v>4</v>
      </c>
      <c r="R4302" s="894">
        <f t="shared" si="271"/>
        <v>0</v>
      </c>
    </row>
    <row r="4303" spans="1:18">
      <c r="A4303" s="905"/>
      <c r="B4303" s="906"/>
      <c r="C4303" s="907">
        <v>124</v>
      </c>
      <c r="D4303" s="907" t="s">
        <v>279</v>
      </c>
      <c r="E4303" s="925" t="s">
        <v>5432</v>
      </c>
      <c r="F4303" s="926" t="s">
        <v>3272</v>
      </c>
      <c r="G4303" s="910"/>
      <c r="H4303" s="911">
        <v>21</v>
      </c>
      <c r="I4303" s="912">
        <f>VLOOKUP(E4303,[3]VLP!$B$7:$K$300,10,0)</f>
        <v>20000</v>
      </c>
      <c r="J4303" s="912">
        <f>I4303*H4303</f>
        <v>420000</v>
      </c>
      <c r="K4303" s="912" t="s">
        <v>274</v>
      </c>
      <c r="L4303" s="912"/>
      <c r="M4303" s="912"/>
      <c r="N4303" s="912"/>
      <c r="O4303" s="892">
        <f t="shared" si="268"/>
        <v>0</v>
      </c>
      <c r="P4303" s="903">
        <f t="shared" si="269"/>
        <v>1</v>
      </c>
      <c r="Q4303" s="893">
        <f t="shared" si="270"/>
        <v>3</v>
      </c>
      <c r="R4303" s="894">
        <f t="shared" si="271"/>
        <v>0</v>
      </c>
    </row>
    <row r="4304" spans="1:18" s="904" customFormat="1">
      <c r="A4304" s="895"/>
      <c r="B4304" s="896"/>
      <c r="C4304" s="897"/>
      <c r="D4304" s="897"/>
      <c r="E4304" s="924" t="s">
        <v>276</v>
      </c>
      <c r="F4304" s="927"/>
      <c r="G4304" s="928"/>
      <c r="H4304" s="901"/>
      <c r="I4304" s="902"/>
      <c r="J4304" s="902"/>
      <c r="K4304" s="912" t="s">
        <v>274</v>
      </c>
      <c r="L4304" s="902"/>
      <c r="M4304" s="902"/>
      <c r="N4304" s="902"/>
      <c r="O4304" s="892">
        <f t="shared" si="268"/>
        <v>0</v>
      </c>
      <c r="P4304" s="903">
        <f t="shared" si="269"/>
        <v>1</v>
      </c>
      <c r="Q4304" s="893">
        <f t="shared" si="270"/>
        <v>2</v>
      </c>
      <c r="R4304" s="894">
        <f t="shared" si="271"/>
        <v>0</v>
      </c>
    </row>
    <row r="4305" spans="1:18">
      <c r="A4305" s="905"/>
      <c r="B4305" s="906"/>
      <c r="C4305" s="907">
        <v>750</v>
      </c>
      <c r="D4305" s="907" t="s">
        <v>12</v>
      </c>
      <c r="E4305" s="908" t="s">
        <v>5402</v>
      </c>
      <c r="F4305" s="909" t="s">
        <v>2674</v>
      </c>
      <c r="G4305" s="910"/>
      <c r="H4305" s="911">
        <v>32.85</v>
      </c>
      <c r="I4305" s="912"/>
      <c r="J4305" s="912"/>
      <c r="K4305" s="912">
        <f>VLOOKUP(E4305,[5]ĐMNC!$A$7:$F$67,4,0)</f>
        <v>259989</v>
      </c>
      <c r="L4305" s="912">
        <f>H4305*K4305</f>
        <v>8540638.6500000004</v>
      </c>
      <c r="M4305" s="912"/>
      <c r="N4305" s="912"/>
      <c r="O4305" s="892">
        <f t="shared" si="268"/>
        <v>0</v>
      </c>
      <c r="P4305" s="903">
        <f t="shared" si="269"/>
        <v>1</v>
      </c>
      <c r="Q4305" s="893">
        <f t="shared" si="270"/>
        <v>1</v>
      </c>
      <c r="R4305" s="894">
        <f t="shared" si="271"/>
        <v>0</v>
      </c>
    </row>
    <row r="4306" spans="1:18" s="847" customFormat="1" ht="31.5">
      <c r="A4306" s="905"/>
      <c r="B4306" s="914" t="s">
        <v>1300</v>
      </c>
      <c r="C4306" s="915"/>
      <c r="D4306" s="915"/>
      <c r="E4306" s="916" t="s">
        <v>5516</v>
      </c>
      <c r="F4306" s="917" t="s">
        <v>150</v>
      </c>
      <c r="G4306" s="918"/>
      <c r="H4306" s="919"/>
      <c r="I4306" s="920"/>
      <c r="J4306" s="891">
        <f>SUM(J4307:J4312)</f>
        <v>427718.28</v>
      </c>
      <c r="K4306" s="891"/>
      <c r="L4306" s="891">
        <f>SUM(L4307:L4312)</f>
        <v>10334562.75</v>
      </c>
      <c r="M4306" s="891"/>
      <c r="N4306" s="891">
        <f>SUM(N4307:N4312)</f>
        <v>0</v>
      </c>
      <c r="O4306" s="892">
        <f t="shared" si="268"/>
        <v>1</v>
      </c>
      <c r="P4306" s="903">
        <f t="shared" si="269"/>
        <v>0</v>
      </c>
      <c r="Q4306" s="893">
        <f t="shared" si="270"/>
        <v>0</v>
      </c>
      <c r="R4306" s="894">
        <f t="shared" si="271"/>
        <v>6</v>
      </c>
    </row>
    <row r="4307" spans="1:18" s="904" customFormat="1">
      <c r="A4307" s="895"/>
      <c r="B4307" s="896"/>
      <c r="C4307" s="897"/>
      <c r="D4307" s="897"/>
      <c r="E4307" s="898" t="s">
        <v>108</v>
      </c>
      <c r="F4307" s="899"/>
      <c r="G4307" s="900"/>
      <c r="H4307" s="901"/>
      <c r="I4307" s="902"/>
      <c r="J4307" s="902"/>
      <c r="K4307" s="912" t="s">
        <v>274</v>
      </c>
      <c r="L4307" s="902"/>
      <c r="M4307" s="902"/>
      <c r="N4307" s="902"/>
      <c r="O4307" s="892">
        <f t="shared" si="268"/>
        <v>0</v>
      </c>
      <c r="P4307" s="903">
        <f t="shared" si="269"/>
        <v>1</v>
      </c>
      <c r="Q4307" s="893">
        <f t="shared" si="270"/>
        <v>6</v>
      </c>
      <c r="R4307" s="894">
        <f t="shared" si="271"/>
        <v>0</v>
      </c>
    </row>
    <row r="4308" spans="1:18">
      <c r="A4308" s="905"/>
      <c r="B4308" s="906"/>
      <c r="C4308" s="907">
        <v>44</v>
      </c>
      <c r="D4308" s="907" t="s">
        <v>279</v>
      </c>
      <c r="E4308" s="925" t="s">
        <v>2681</v>
      </c>
      <c r="F4308" s="926" t="s">
        <v>45</v>
      </c>
      <c r="G4308" s="910"/>
      <c r="H4308" s="911">
        <v>0.3</v>
      </c>
      <c r="I4308" s="912">
        <f>VLOOKUP(E4308,[3]VLP!$B$7:$K$300,10,0)</f>
        <v>23000</v>
      </c>
      <c r="J4308" s="912">
        <f>I4308*H4308</f>
        <v>6900</v>
      </c>
      <c r="K4308" s="912" t="s">
        <v>274</v>
      </c>
      <c r="L4308" s="912"/>
      <c r="M4308" s="912"/>
      <c r="N4308" s="912"/>
      <c r="O4308" s="892">
        <f t="shared" si="268"/>
        <v>0</v>
      </c>
      <c r="P4308" s="903">
        <f t="shared" si="269"/>
        <v>1</v>
      </c>
      <c r="Q4308" s="893">
        <f t="shared" si="270"/>
        <v>5</v>
      </c>
      <c r="R4308" s="894">
        <f t="shared" si="271"/>
        <v>0</v>
      </c>
    </row>
    <row r="4309" spans="1:18">
      <c r="A4309" s="905"/>
      <c r="B4309" s="906"/>
      <c r="C4309" s="907">
        <v>55</v>
      </c>
      <c r="D4309" s="907" t="s">
        <v>279</v>
      </c>
      <c r="E4309" s="925" t="s">
        <v>3192</v>
      </c>
      <c r="F4309" s="926" t="s">
        <v>45</v>
      </c>
      <c r="G4309" s="910"/>
      <c r="H4309" s="911">
        <v>0.36</v>
      </c>
      <c r="I4309" s="912">
        <f>VLOOKUP(E4309,[3]VLP!$B$7:$K$300,10,0)</f>
        <v>2273</v>
      </c>
      <c r="J4309" s="912">
        <f>I4309*H4309</f>
        <v>818.28</v>
      </c>
      <c r="K4309" s="912" t="s">
        <v>274</v>
      </c>
      <c r="L4309" s="912"/>
      <c r="M4309" s="912"/>
      <c r="N4309" s="912"/>
      <c r="O4309" s="892">
        <f t="shared" si="268"/>
        <v>0</v>
      </c>
      <c r="P4309" s="903">
        <f t="shared" si="269"/>
        <v>1</v>
      </c>
      <c r="Q4309" s="893">
        <f t="shared" si="270"/>
        <v>4</v>
      </c>
      <c r="R4309" s="894">
        <f t="shared" si="271"/>
        <v>0</v>
      </c>
    </row>
    <row r="4310" spans="1:18">
      <c r="A4310" s="905"/>
      <c r="B4310" s="906"/>
      <c r="C4310" s="907">
        <v>124</v>
      </c>
      <c r="D4310" s="907" t="s">
        <v>279</v>
      </c>
      <c r="E4310" s="925" t="s">
        <v>5432</v>
      </c>
      <c r="F4310" s="926" t="s">
        <v>3272</v>
      </c>
      <c r="G4310" s="910"/>
      <c r="H4310" s="911">
        <v>21</v>
      </c>
      <c r="I4310" s="912">
        <f>VLOOKUP(E4310,[3]VLP!$B$7:$K$300,10,0)</f>
        <v>20000</v>
      </c>
      <c r="J4310" s="912">
        <f>I4310*H4310</f>
        <v>420000</v>
      </c>
      <c r="K4310" s="912" t="s">
        <v>274</v>
      </c>
      <c r="L4310" s="912"/>
      <c r="M4310" s="912"/>
      <c r="N4310" s="912"/>
      <c r="O4310" s="892">
        <f t="shared" si="268"/>
        <v>0</v>
      </c>
      <c r="P4310" s="903">
        <f t="shared" si="269"/>
        <v>1</v>
      </c>
      <c r="Q4310" s="893">
        <f t="shared" si="270"/>
        <v>3</v>
      </c>
      <c r="R4310" s="894">
        <f t="shared" si="271"/>
        <v>0</v>
      </c>
    </row>
    <row r="4311" spans="1:18" s="904" customFormat="1">
      <c r="A4311" s="895"/>
      <c r="B4311" s="896"/>
      <c r="C4311" s="897"/>
      <c r="D4311" s="897"/>
      <c r="E4311" s="924" t="s">
        <v>276</v>
      </c>
      <c r="F4311" s="927"/>
      <c r="G4311" s="928"/>
      <c r="H4311" s="901"/>
      <c r="I4311" s="902"/>
      <c r="J4311" s="902"/>
      <c r="K4311" s="912" t="s">
        <v>274</v>
      </c>
      <c r="L4311" s="902"/>
      <c r="M4311" s="902"/>
      <c r="N4311" s="902"/>
      <c r="O4311" s="892">
        <f t="shared" si="268"/>
        <v>0</v>
      </c>
      <c r="P4311" s="903">
        <f t="shared" si="269"/>
        <v>1</v>
      </c>
      <c r="Q4311" s="893">
        <f t="shared" si="270"/>
        <v>2</v>
      </c>
      <c r="R4311" s="894">
        <f t="shared" si="271"/>
        <v>0</v>
      </c>
    </row>
    <row r="4312" spans="1:18">
      <c r="A4312" s="905"/>
      <c r="B4312" s="906"/>
      <c r="C4312" s="907">
        <v>750</v>
      </c>
      <c r="D4312" s="907" t="s">
        <v>12</v>
      </c>
      <c r="E4312" s="908" t="s">
        <v>5402</v>
      </c>
      <c r="F4312" s="909" t="s">
        <v>2674</v>
      </c>
      <c r="G4312" s="910"/>
      <c r="H4312" s="911">
        <v>39.75</v>
      </c>
      <c r="I4312" s="912"/>
      <c r="J4312" s="912"/>
      <c r="K4312" s="912">
        <f>VLOOKUP(E4312,[5]ĐMNC!$A$7:$F$67,4,0)</f>
        <v>259989</v>
      </c>
      <c r="L4312" s="912">
        <f>H4312*K4312</f>
        <v>10334562.75</v>
      </c>
      <c r="M4312" s="912"/>
      <c r="N4312" s="912"/>
      <c r="O4312" s="892">
        <f t="shared" si="268"/>
        <v>0</v>
      </c>
      <c r="P4312" s="903">
        <f t="shared" si="269"/>
        <v>1</v>
      </c>
      <c r="Q4312" s="893">
        <f t="shared" si="270"/>
        <v>1</v>
      </c>
      <c r="R4312" s="894">
        <f t="shared" si="271"/>
        <v>0</v>
      </c>
    </row>
    <row r="4313" spans="1:18" s="847" customFormat="1" ht="31.5">
      <c r="A4313" s="905"/>
      <c r="B4313" s="914" t="s">
        <v>1302</v>
      </c>
      <c r="C4313" s="915"/>
      <c r="D4313" s="915"/>
      <c r="E4313" s="916" t="s">
        <v>5517</v>
      </c>
      <c r="F4313" s="917" t="s">
        <v>150</v>
      </c>
      <c r="G4313" s="918"/>
      <c r="H4313" s="919"/>
      <c r="I4313" s="920"/>
      <c r="J4313" s="891">
        <f>SUM(J4314:J4319)</f>
        <v>427718.28</v>
      </c>
      <c r="K4313" s="891"/>
      <c r="L4313" s="891">
        <f>SUM(L4314:L4319)</f>
        <v>11284528.869999999</v>
      </c>
      <c r="M4313" s="891"/>
      <c r="N4313" s="891">
        <f>SUM(N4314:N4319)</f>
        <v>0</v>
      </c>
      <c r="O4313" s="892">
        <f t="shared" si="268"/>
        <v>1</v>
      </c>
      <c r="P4313" s="903">
        <f t="shared" si="269"/>
        <v>0</v>
      </c>
      <c r="Q4313" s="893">
        <f t="shared" si="270"/>
        <v>0</v>
      </c>
      <c r="R4313" s="894">
        <f t="shared" si="271"/>
        <v>6</v>
      </c>
    </row>
    <row r="4314" spans="1:18" s="904" customFormat="1">
      <c r="A4314" s="895"/>
      <c r="B4314" s="896"/>
      <c r="C4314" s="897"/>
      <c r="D4314" s="897"/>
      <c r="E4314" s="898" t="s">
        <v>108</v>
      </c>
      <c r="F4314" s="899"/>
      <c r="G4314" s="900"/>
      <c r="H4314" s="901"/>
      <c r="I4314" s="902"/>
      <c r="J4314" s="902"/>
      <c r="K4314" s="912" t="s">
        <v>274</v>
      </c>
      <c r="L4314" s="902"/>
      <c r="M4314" s="902"/>
      <c r="N4314" s="902"/>
      <c r="O4314" s="892">
        <f t="shared" si="268"/>
        <v>0</v>
      </c>
      <c r="P4314" s="903">
        <f t="shared" si="269"/>
        <v>1</v>
      </c>
      <c r="Q4314" s="893">
        <f t="shared" si="270"/>
        <v>6</v>
      </c>
      <c r="R4314" s="894">
        <f t="shared" si="271"/>
        <v>0</v>
      </c>
    </row>
    <row r="4315" spans="1:18">
      <c r="A4315" s="905"/>
      <c r="B4315" s="906"/>
      <c r="C4315" s="907">
        <v>44</v>
      </c>
      <c r="D4315" s="907" t="s">
        <v>279</v>
      </c>
      <c r="E4315" s="925" t="s">
        <v>2681</v>
      </c>
      <c r="F4315" s="926" t="s">
        <v>45</v>
      </c>
      <c r="G4315" s="910"/>
      <c r="H4315" s="911">
        <v>0.3</v>
      </c>
      <c r="I4315" s="912">
        <f>VLOOKUP(E4315,[3]VLP!$B$7:$K$300,10,0)</f>
        <v>23000</v>
      </c>
      <c r="J4315" s="912">
        <f>I4315*H4315</f>
        <v>6900</v>
      </c>
      <c r="K4315" s="912" t="s">
        <v>274</v>
      </c>
      <c r="L4315" s="912"/>
      <c r="M4315" s="912"/>
      <c r="N4315" s="912"/>
      <c r="O4315" s="892">
        <f t="shared" si="268"/>
        <v>0</v>
      </c>
      <c r="P4315" s="903">
        <f t="shared" si="269"/>
        <v>1</v>
      </c>
      <c r="Q4315" s="893">
        <f t="shared" si="270"/>
        <v>5</v>
      </c>
      <c r="R4315" s="894">
        <f t="shared" si="271"/>
        <v>0</v>
      </c>
    </row>
    <row r="4316" spans="1:18">
      <c r="A4316" s="905"/>
      <c r="B4316" s="906"/>
      <c r="C4316" s="907">
        <v>55</v>
      </c>
      <c r="D4316" s="907" t="s">
        <v>279</v>
      </c>
      <c r="E4316" s="925" t="s">
        <v>3192</v>
      </c>
      <c r="F4316" s="926" t="s">
        <v>45</v>
      </c>
      <c r="G4316" s="910"/>
      <c r="H4316" s="911">
        <v>0.36</v>
      </c>
      <c r="I4316" s="912">
        <f>VLOOKUP(E4316,[3]VLP!$B$7:$K$300,10,0)</f>
        <v>2273</v>
      </c>
      <c r="J4316" s="912">
        <f>I4316*H4316</f>
        <v>818.28</v>
      </c>
      <c r="K4316" s="912" t="s">
        <v>274</v>
      </c>
      <c r="L4316" s="912"/>
      <c r="M4316" s="912"/>
      <c r="N4316" s="912"/>
      <c r="O4316" s="892">
        <f t="shared" si="268"/>
        <v>0</v>
      </c>
      <c r="P4316" s="903">
        <f t="shared" si="269"/>
        <v>1</v>
      </c>
      <c r="Q4316" s="893">
        <f t="shared" si="270"/>
        <v>4</v>
      </c>
      <c r="R4316" s="894">
        <f t="shared" si="271"/>
        <v>0</v>
      </c>
    </row>
    <row r="4317" spans="1:18">
      <c r="A4317" s="905"/>
      <c r="B4317" s="906"/>
      <c r="C4317" s="907">
        <v>124</v>
      </c>
      <c r="D4317" s="907" t="s">
        <v>279</v>
      </c>
      <c r="E4317" s="925" t="s">
        <v>5432</v>
      </c>
      <c r="F4317" s="926" t="s">
        <v>3272</v>
      </c>
      <c r="G4317" s="910"/>
      <c r="H4317" s="911">
        <v>21</v>
      </c>
      <c r="I4317" s="912">
        <f>VLOOKUP(E4317,[3]VLP!$B$7:$K$300,10,0)</f>
        <v>20000</v>
      </c>
      <c r="J4317" s="912">
        <f>I4317*H4317</f>
        <v>420000</v>
      </c>
      <c r="K4317" s="912" t="s">
        <v>274</v>
      </c>
      <c r="L4317" s="912"/>
      <c r="M4317" s="912"/>
      <c r="N4317" s="912"/>
      <c r="O4317" s="892">
        <f t="shared" si="268"/>
        <v>0</v>
      </c>
      <c r="P4317" s="903">
        <f t="shared" si="269"/>
        <v>1</v>
      </c>
      <c r="Q4317" s="893">
        <f t="shared" si="270"/>
        <v>3</v>
      </c>
      <c r="R4317" s="894">
        <f t="shared" si="271"/>
        <v>0</v>
      </c>
    </row>
    <row r="4318" spans="1:18" s="904" customFormat="1">
      <c r="A4318" s="895"/>
      <c r="B4318" s="896"/>
      <c r="C4318" s="897"/>
      <c r="D4318" s="897"/>
      <c r="E4318" s="924" t="s">
        <v>276</v>
      </c>
      <c r="F4318" s="927"/>
      <c r="G4318" s="928"/>
      <c r="H4318" s="901"/>
      <c r="I4318" s="902"/>
      <c r="J4318" s="902"/>
      <c r="K4318" s="912" t="s">
        <v>274</v>
      </c>
      <c r="L4318" s="902"/>
      <c r="M4318" s="902"/>
      <c r="N4318" s="902"/>
      <c r="O4318" s="892">
        <f t="shared" si="268"/>
        <v>0</v>
      </c>
      <c r="P4318" s="903">
        <f t="shared" si="269"/>
        <v>1</v>
      </c>
      <c r="Q4318" s="893">
        <f t="shared" si="270"/>
        <v>2</v>
      </c>
      <c r="R4318" s="894">
        <f t="shared" si="271"/>
        <v>0</v>
      </c>
    </row>
    <row r="4319" spans="1:18">
      <c r="A4319" s="905"/>
      <c r="B4319" s="906"/>
      <c r="C4319" s="907">
        <v>745</v>
      </c>
      <c r="D4319" s="907" t="s">
        <v>12</v>
      </c>
      <c r="E4319" s="908" t="s">
        <v>5518</v>
      </c>
      <c r="F4319" s="909" t="s">
        <v>2674</v>
      </c>
      <c r="G4319" s="910"/>
      <c r="H4319" s="911">
        <v>46.91</v>
      </c>
      <c r="I4319" s="912"/>
      <c r="J4319" s="912"/>
      <c r="K4319" s="912">
        <f>VLOOKUP(E4319,[5]ĐMNC!$A$7:$F$67,4,0)</f>
        <v>240557</v>
      </c>
      <c r="L4319" s="912">
        <f>H4319*K4319</f>
        <v>11284528.869999999</v>
      </c>
      <c r="M4319" s="912"/>
      <c r="N4319" s="912"/>
      <c r="O4319" s="892">
        <f t="shared" ref="O4319:O4382" si="272">IF(AND(B4319&lt;&gt;"",D4319=""),1,0)</f>
        <v>0</v>
      </c>
      <c r="P4319" s="903">
        <f t="shared" si="269"/>
        <v>1</v>
      </c>
      <c r="Q4319" s="893">
        <f t="shared" si="270"/>
        <v>1</v>
      </c>
      <c r="R4319" s="894">
        <f t="shared" si="271"/>
        <v>0</v>
      </c>
    </row>
    <row r="4320" spans="1:18" s="847" customFormat="1" ht="31.5">
      <c r="A4320" s="905"/>
      <c r="B4320" s="914" t="s">
        <v>1304</v>
      </c>
      <c r="C4320" s="915"/>
      <c r="D4320" s="915"/>
      <c r="E4320" s="916" t="s">
        <v>5519</v>
      </c>
      <c r="F4320" s="917" t="s">
        <v>150</v>
      </c>
      <c r="G4320" s="918"/>
      <c r="H4320" s="919"/>
      <c r="I4320" s="920"/>
      <c r="J4320" s="891">
        <f>SUM(J4321:J4326)</f>
        <v>427718.28</v>
      </c>
      <c r="K4320" s="891"/>
      <c r="L4320" s="891">
        <f>SUM(L4321:L4326)</f>
        <v>12410335.630000001</v>
      </c>
      <c r="M4320" s="891"/>
      <c r="N4320" s="891">
        <f>SUM(N4321:N4326)</f>
        <v>0</v>
      </c>
      <c r="O4320" s="892">
        <f t="shared" si="272"/>
        <v>1</v>
      </c>
      <c r="P4320" s="903">
        <f t="shared" si="269"/>
        <v>0</v>
      </c>
      <c r="Q4320" s="893">
        <f t="shared" si="270"/>
        <v>0</v>
      </c>
      <c r="R4320" s="894">
        <f t="shared" si="271"/>
        <v>6</v>
      </c>
    </row>
    <row r="4321" spans="1:18" s="904" customFormat="1">
      <c r="A4321" s="895"/>
      <c r="B4321" s="896"/>
      <c r="C4321" s="897"/>
      <c r="D4321" s="897"/>
      <c r="E4321" s="898" t="s">
        <v>108</v>
      </c>
      <c r="F4321" s="899"/>
      <c r="G4321" s="900"/>
      <c r="H4321" s="901"/>
      <c r="I4321" s="902"/>
      <c r="J4321" s="902"/>
      <c r="K4321" s="912" t="s">
        <v>274</v>
      </c>
      <c r="L4321" s="902"/>
      <c r="M4321" s="902"/>
      <c r="N4321" s="902"/>
      <c r="O4321" s="892">
        <f t="shared" si="272"/>
        <v>0</v>
      </c>
      <c r="P4321" s="903">
        <f t="shared" si="269"/>
        <v>1</v>
      </c>
      <c r="Q4321" s="893">
        <f t="shared" si="270"/>
        <v>6</v>
      </c>
      <c r="R4321" s="894">
        <f t="shared" si="271"/>
        <v>0</v>
      </c>
    </row>
    <row r="4322" spans="1:18">
      <c r="A4322" s="905"/>
      <c r="B4322" s="906"/>
      <c r="C4322" s="907">
        <v>44</v>
      </c>
      <c r="D4322" s="907" t="s">
        <v>279</v>
      </c>
      <c r="E4322" s="925" t="s">
        <v>2681</v>
      </c>
      <c r="F4322" s="926" t="s">
        <v>45</v>
      </c>
      <c r="G4322" s="910"/>
      <c r="H4322" s="911">
        <v>0.3</v>
      </c>
      <c r="I4322" s="912">
        <f>VLOOKUP(E4322,[3]VLP!$B$7:$K$300,10,0)</f>
        <v>23000</v>
      </c>
      <c r="J4322" s="912">
        <f>I4322*H4322</f>
        <v>6900</v>
      </c>
      <c r="K4322" s="912" t="s">
        <v>274</v>
      </c>
      <c r="L4322" s="912"/>
      <c r="M4322" s="912"/>
      <c r="N4322" s="912"/>
      <c r="O4322" s="892">
        <f t="shared" si="272"/>
        <v>0</v>
      </c>
      <c r="P4322" s="903">
        <f t="shared" si="269"/>
        <v>1</v>
      </c>
      <c r="Q4322" s="893">
        <f t="shared" si="270"/>
        <v>5</v>
      </c>
      <c r="R4322" s="894">
        <f t="shared" si="271"/>
        <v>0</v>
      </c>
    </row>
    <row r="4323" spans="1:18">
      <c r="A4323" s="905"/>
      <c r="B4323" s="906"/>
      <c r="C4323" s="907">
        <v>55</v>
      </c>
      <c r="D4323" s="907" t="s">
        <v>279</v>
      </c>
      <c r="E4323" s="925" t="s">
        <v>3192</v>
      </c>
      <c r="F4323" s="926" t="s">
        <v>45</v>
      </c>
      <c r="G4323" s="910"/>
      <c r="H4323" s="911">
        <v>0.36</v>
      </c>
      <c r="I4323" s="912">
        <f>VLOOKUP(E4323,[3]VLP!$B$7:$K$300,10,0)</f>
        <v>2273</v>
      </c>
      <c r="J4323" s="912">
        <f>I4323*H4323</f>
        <v>818.28</v>
      </c>
      <c r="K4323" s="912" t="s">
        <v>274</v>
      </c>
      <c r="L4323" s="912"/>
      <c r="M4323" s="912"/>
      <c r="N4323" s="912"/>
      <c r="O4323" s="892">
        <f t="shared" si="272"/>
        <v>0</v>
      </c>
      <c r="P4323" s="903">
        <f t="shared" si="269"/>
        <v>1</v>
      </c>
      <c r="Q4323" s="893">
        <f t="shared" si="270"/>
        <v>4</v>
      </c>
      <c r="R4323" s="894">
        <f t="shared" si="271"/>
        <v>0</v>
      </c>
    </row>
    <row r="4324" spans="1:18">
      <c r="A4324" s="905"/>
      <c r="B4324" s="906"/>
      <c r="C4324" s="907">
        <v>124</v>
      </c>
      <c r="D4324" s="907" t="s">
        <v>279</v>
      </c>
      <c r="E4324" s="925" t="s">
        <v>5432</v>
      </c>
      <c r="F4324" s="926" t="s">
        <v>3272</v>
      </c>
      <c r="G4324" s="910"/>
      <c r="H4324" s="911">
        <v>21</v>
      </c>
      <c r="I4324" s="912">
        <f>VLOOKUP(E4324,[3]VLP!$B$7:$K$300,10,0)</f>
        <v>20000</v>
      </c>
      <c r="J4324" s="912">
        <f>I4324*H4324</f>
        <v>420000</v>
      </c>
      <c r="K4324" s="912" t="s">
        <v>274</v>
      </c>
      <c r="L4324" s="912"/>
      <c r="M4324" s="912"/>
      <c r="N4324" s="912"/>
      <c r="O4324" s="892">
        <f t="shared" si="272"/>
        <v>0</v>
      </c>
      <c r="P4324" s="903">
        <f t="shared" si="269"/>
        <v>1</v>
      </c>
      <c r="Q4324" s="893">
        <f t="shared" si="270"/>
        <v>3</v>
      </c>
      <c r="R4324" s="894">
        <f t="shared" si="271"/>
        <v>0</v>
      </c>
    </row>
    <row r="4325" spans="1:18" s="904" customFormat="1">
      <c r="A4325" s="895"/>
      <c r="B4325" s="896"/>
      <c r="C4325" s="897"/>
      <c r="D4325" s="897"/>
      <c r="E4325" s="924" t="s">
        <v>276</v>
      </c>
      <c r="F4325" s="927"/>
      <c r="G4325" s="928"/>
      <c r="H4325" s="901"/>
      <c r="I4325" s="902"/>
      <c r="J4325" s="902"/>
      <c r="K4325" s="912" t="s">
        <v>274</v>
      </c>
      <c r="L4325" s="902"/>
      <c r="M4325" s="902"/>
      <c r="N4325" s="902"/>
      <c r="O4325" s="892">
        <f t="shared" si="272"/>
        <v>0</v>
      </c>
      <c r="P4325" s="903">
        <f t="shared" si="269"/>
        <v>1</v>
      </c>
      <c r="Q4325" s="893">
        <f t="shared" si="270"/>
        <v>2</v>
      </c>
      <c r="R4325" s="894">
        <f t="shared" si="271"/>
        <v>0</v>
      </c>
    </row>
    <row r="4326" spans="1:18">
      <c r="A4326" s="905"/>
      <c r="B4326" s="906"/>
      <c r="C4326" s="907">
        <v>745</v>
      </c>
      <c r="D4326" s="907" t="s">
        <v>12</v>
      </c>
      <c r="E4326" s="908" t="s">
        <v>5518</v>
      </c>
      <c r="F4326" s="909" t="s">
        <v>2674</v>
      </c>
      <c r="G4326" s="910"/>
      <c r="H4326" s="911">
        <v>51.59</v>
      </c>
      <c r="I4326" s="912"/>
      <c r="J4326" s="912"/>
      <c r="K4326" s="912">
        <f>VLOOKUP(E4326,[5]ĐMNC!$A$7:$F$67,4,0)</f>
        <v>240557</v>
      </c>
      <c r="L4326" s="912">
        <f>H4326*K4326</f>
        <v>12410335.630000001</v>
      </c>
      <c r="M4326" s="912"/>
      <c r="N4326" s="912"/>
      <c r="O4326" s="892">
        <f t="shared" si="272"/>
        <v>0</v>
      </c>
      <c r="P4326" s="903">
        <f t="shared" si="269"/>
        <v>1</v>
      </c>
      <c r="Q4326" s="893">
        <f t="shared" si="270"/>
        <v>1</v>
      </c>
      <c r="R4326" s="894">
        <f t="shared" si="271"/>
        <v>0</v>
      </c>
    </row>
    <row r="4327" spans="1:18" s="847" customFormat="1" ht="31.5">
      <c r="A4327" s="905"/>
      <c r="B4327" s="914" t="s">
        <v>1306</v>
      </c>
      <c r="C4327" s="915"/>
      <c r="D4327" s="915"/>
      <c r="E4327" s="916" t="s">
        <v>5520</v>
      </c>
      <c r="F4327" s="917" t="s">
        <v>150</v>
      </c>
      <c r="G4327" s="918"/>
      <c r="H4327" s="919"/>
      <c r="I4327" s="920"/>
      <c r="J4327" s="891">
        <f>SUM(J4328:J4333)</f>
        <v>509277.42</v>
      </c>
      <c r="K4327" s="891"/>
      <c r="L4327" s="891">
        <f>SUM(L4328:L4333)</f>
        <v>15650638.42</v>
      </c>
      <c r="M4327" s="891"/>
      <c r="N4327" s="891">
        <f>SUM(N4328:N4333)</f>
        <v>0</v>
      </c>
      <c r="O4327" s="892">
        <f t="shared" si="272"/>
        <v>1</v>
      </c>
      <c r="P4327" s="903">
        <f t="shared" si="269"/>
        <v>0</v>
      </c>
      <c r="Q4327" s="893">
        <f t="shared" si="270"/>
        <v>0</v>
      </c>
      <c r="R4327" s="894">
        <f t="shared" si="271"/>
        <v>6</v>
      </c>
    </row>
    <row r="4328" spans="1:18" s="904" customFormat="1">
      <c r="A4328" s="895"/>
      <c r="B4328" s="896"/>
      <c r="C4328" s="897"/>
      <c r="D4328" s="897"/>
      <c r="E4328" s="898" t="s">
        <v>108</v>
      </c>
      <c r="F4328" s="899"/>
      <c r="G4328" s="900"/>
      <c r="H4328" s="901"/>
      <c r="I4328" s="902"/>
      <c r="J4328" s="902"/>
      <c r="K4328" s="912" t="s">
        <v>274</v>
      </c>
      <c r="L4328" s="902"/>
      <c r="M4328" s="902"/>
      <c r="N4328" s="902"/>
      <c r="O4328" s="892">
        <f t="shared" si="272"/>
        <v>0</v>
      </c>
      <c r="P4328" s="903">
        <f t="shared" ref="P4328:P4391" si="273">IF(O4328=0,1,0)</f>
        <v>1</v>
      </c>
      <c r="Q4328" s="893">
        <f t="shared" ref="Q4328:Q4391" si="274">IF(P4328=0,0,P4328+Q4329)</f>
        <v>6</v>
      </c>
      <c r="R4328" s="894">
        <f t="shared" ref="R4328:R4391" si="275">IF(Q4328=0,Q4329,0)</f>
        <v>0</v>
      </c>
    </row>
    <row r="4329" spans="1:18">
      <c r="A4329" s="905"/>
      <c r="B4329" s="906"/>
      <c r="C4329" s="907">
        <v>44</v>
      </c>
      <c r="D4329" s="907" t="s">
        <v>279</v>
      </c>
      <c r="E4329" s="925" t="s">
        <v>2681</v>
      </c>
      <c r="F4329" s="926" t="s">
        <v>45</v>
      </c>
      <c r="G4329" s="910"/>
      <c r="H4329" s="911">
        <v>0.35</v>
      </c>
      <c r="I4329" s="912">
        <f>VLOOKUP(E4329,[3]VLP!$B$7:$K$300,10,0)</f>
        <v>23000</v>
      </c>
      <c r="J4329" s="912">
        <f>I4329*H4329</f>
        <v>8049.9999999999991</v>
      </c>
      <c r="K4329" s="912" t="s">
        <v>274</v>
      </c>
      <c r="L4329" s="912"/>
      <c r="M4329" s="912"/>
      <c r="N4329" s="912"/>
      <c r="O4329" s="892">
        <f t="shared" si="272"/>
        <v>0</v>
      </c>
      <c r="P4329" s="903">
        <f t="shared" si="273"/>
        <v>1</v>
      </c>
      <c r="Q4329" s="893">
        <f t="shared" si="274"/>
        <v>5</v>
      </c>
      <c r="R4329" s="894">
        <f t="shared" si="275"/>
        <v>0</v>
      </c>
    </row>
    <row r="4330" spans="1:18">
      <c r="A4330" s="905"/>
      <c r="B4330" s="906"/>
      <c r="C4330" s="907">
        <v>55</v>
      </c>
      <c r="D4330" s="907" t="s">
        <v>279</v>
      </c>
      <c r="E4330" s="925" t="s">
        <v>3192</v>
      </c>
      <c r="F4330" s="926" t="s">
        <v>45</v>
      </c>
      <c r="G4330" s="910"/>
      <c r="H4330" s="911">
        <v>0.54</v>
      </c>
      <c r="I4330" s="912">
        <f>VLOOKUP(E4330,[3]VLP!$B$7:$K$300,10,0)</f>
        <v>2273</v>
      </c>
      <c r="J4330" s="912">
        <f>I4330*H4330</f>
        <v>1227.42</v>
      </c>
      <c r="K4330" s="912" t="s">
        <v>274</v>
      </c>
      <c r="L4330" s="912"/>
      <c r="M4330" s="912"/>
      <c r="N4330" s="912"/>
      <c r="O4330" s="892">
        <f t="shared" si="272"/>
        <v>0</v>
      </c>
      <c r="P4330" s="903">
        <f t="shared" si="273"/>
        <v>1</v>
      </c>
      <c r="Q4330" s="893">
        <f t="shared" si="274"/>
        <v>4</v>
      </c>
      <c r="R4330" s="894">
        <f t="shared" si="275"/>
        <v>0</v>
      </c>
    </row>
    <row r="4331" spans="1:18">
      <c r="A4331" s="905"/>
      <c r="B4331" s="906"/>
      <c r="C4331" s="907">
        <v>124</v>
      </c>
      <c r="D4331" s="907" t="s">
        <v>279</v>
      </c>
      <c r="E4331" s="925" t="s">
        <v>5432</v>
      </c>
      <c r="F4331" s="926" t="s">
        <v>3272</v>
      </c>
      <c r="G4331" s="910"/>
      <c r="H4331" s="911">
        <v>25</v>
      </c>
      <c r="I4331" s="912">
        <f>VLOOKUP(E4331,[3]VLP!$B$7:$K$300,10,0)</f>
        <v>20000</v>
      </c>
      <c r="J4331" s="912">
        <f>I4331*H4331</f>
        <v>500000</v>
      </c>
      <c r="K4331" s="912" t="s">
        <v>274</v>
      </c>
      <c r="L4331" s="912"/>
      <c r="M4331" s="912"/>
      <c r="N4331" s="912"/>
      <c r="O4331" s="892">
        <f t="shared" si="272"/>
        <v>0</v>
      </c>
      <c r="P4331" s="903">
        <f t="shared" si="273"/>
        <v>1</v>
      </c>
      <c r="Q4331" s="893">
        <f t="shared" si="274"/>
        <v>3</v>
      </c>
      <c r="R4331" s="894">
        <f t="shared" si="275"/>
        <v>0</v>
      </c>
    </row>
    <row r="4332" spans="1:18" s="904" customFormat="1">
      <c r="A4332" s="895"/>
      <c r="B4332" s="896"/>
      <c r="C4332" s="897"/>
      <c r="D4332" s="897"/>
      <c r="E4332" s="924" t="s">
        <v>276</v>
      </c>
      <c r="F4332" s="927"/>
      <c r="G4332" s="928"/>
      <c r="H4332" s="901"/>
      <c r="I4332" s="902"/>
      <c r="J4332" s="902"/>
      <c r="K4332" s="912" t="s">
        <v>274</v>
      </c>
      <c r="L4332" s="902"/>
      <c r="M4332" s="902"/>
      <c r="N4332" s="902"/>
      <c r="O4332" s="892">
        <f t="shared" si="272"/>
        <v>0</v>
      </c>
      <c r="P4332" s="903">
        <f t="shared" si="273"/>
        <v>1</v>
      </c>
      <c r="Q4332" s="893">
        <f t="shared" si="274"/>
        <v>2</v>
      </c>
      <c r="R4332" s="894">
        <f t="shared" si="275"/>
        <v>0</v>
      </c>
    </row>
    <row r="4333" spans="1:18">
      <c r="A4333" s="905"/>
      <c r="B4333" s="906"/>
      <c r="C4333" s="907">
        <v>745</v>
      </c>
      <c r="D4333" s="907" t="s">
        <v>12</v>
      </c>
      <c r="E4333" s="908" t="s">
        <v>5518</v>
      </c>
      <c r="F4333" s="909" t="s">
        <v>2674</v>
      </c>
      <c r="G4333" s="910"/>
      <c r="H4333" s="911">
        <v>65.06</v>
      </c>
      <c r="I4333" s="912"/>
      <c r="J4333" s="912"/>
      <c r="K4333" s="912">
        <f>VLOOKUP(E4333,[5]ĐMNC!$A$7:$F$67,4,0)</f>
        <v>240557</v>
      </c>
      <c r="L4333" s="912">
        <f>H4333*K4333</f>
        <v>15650638.42</v>
      </c>
      <c r="M4333" s="912"/>
      <c r="N4333" s="912"/>
      <c r="O4333" s="892">
        <f t="shared" si="272"/>
        <v>0</v>
      </c>
      <c r="P4333" s="903">
        <f t="shared" si="273"/>
        <v>1</v>
      </c>
      <c r="Q4333" s="893">
        <f t="shared" si="274"/>
        <v>1</v>
      </c>
      <c r="R4333" s="894">
        <f t="shared" si="275"/>
        <v>0</v>
      </c>
    </row>
    <row r="4334" spans="1:18" s="847" customFormat="1" ht="31.5">
      <c r="A4334" s="905"/>
      <c r="B4334" s="914" t="s">
        <v>1308</v>
      </c>
      <c r="C4334" s="915"/>
      <c r="D4334" s="915"/>
      <c r="E4334" s="916" t="s">
        <v>5521</v>
      </c>
      <c r="F4334" s="917" t="s">
        <v>150</v>
      </c>
      <c r="G4334" s="918"/>
      <c r="H4334" s="919"/>
      <c r="I4334" s="920"/>
      <c r="J4334" s="891">
        <f>SUM(J4335:J4340)</f>
        <v>509277.42</v>
      </c>
      <c r="K4334" s="891"/>
      <c r="L4334" s="891">
        <f>SUM(L4335:L4340)</f>
        <v>20673468.579999998</v>
      </c>
      <c r="M4334" s="891"/>
      <c r="N4334" s="891">
        <f>SUM(N4335:N4340)</f>
        <v>0</v>
      </c>
      <c r="O4334" s="892">
        <f t="shared" si="272"/>
        <v>1</v>
      </c>
      <c r="P4334" s="903">
        <f t="shared" si="273"/>
        <v>0</v>
      </c>
      <c r="Q4334" s="893">
        <f t="shared" si="274"/>
        <v>0</v>
      </c>
      <c r="R4334" s="894">
        <f t="shared" si="275"/>
        <v>6</v>
      </c>
    </row>
    <row r="4335" spans="1:18" s="904" customFormat="1">
      <c r="A4335" s="895"/>
      <c r="B4335" s="896"/>
      <c r="C4335" s="897"/>
      <c r="D4335" s="897"/>
      <c r="E4335" s="898" t="s">
        <v>108</v>
      </c>
      <c r="F4335" s="899"/>
      <c r="G4335" s="900"/>
      <c r="H4335" s="901"/>
      <c r="I4335" s="902"/>
      <c r="J4335" s="902"/>
      <c r="K4335" s="912" t="s">
        <v>274</v>
      </c>
      <c r="L4335" s="902"/>
      <c r="M4335" s="902"/>
      <c r="N4335" s="902"/>
      <c r="O4335" s="892">
        <f t="shared" si="272"/>
        <v>0</v>
      </c>
      <c r="P4335" s="903">
        <f t="shared" si="273"/>
        <v>1</v>
      </c>
      <c r="Q4335" s="893">
        <f t="shared" si="274"/>
        <v>6</v>
      </c>
      <c r="R4335" s="894">
        <f t="shared" si="275"/>
        <v>0</v>
      </c>
    </row>
    <row r="4336" spans="1:18">
      <c r="A4336" s="905"/>
      <c r="B4336" s="906"/>
      <c r="C4336" s="907">
        <v>44</v>
      </c>
      <c r="D4336" s="907" t="s">
        <v>279</v>
      </c>
      <c r="E4336" s="925" t="s">
        <v>2681</v>
      </c>
      <c r="F4336" s="926" t="s">
        <v>45</v>
      </c>
      <c r="G4336" s="910"/>
      <c r="H4336" s="911">
        <v>0.35</v>
      </c>
      <c r="I4336" s="912">
        <f>VLOOKUP(E4336,[3]VLP!$B$7:$K$300,10,0)</f>
        <v>23000</v>
      </c>
      <c r="J4336" s="912">
        <f>I4336*H4336</f>
        <v>8049.9999999999991</v>
      </c>
      <c r="K4336" s="912" t="s">
        <v>274</v>
      </c>
      <c r="L4336" s="912"/>
      <c r="M4336" s="912"/>
      <c r="N4336" s="912"/>
      <c r="O4336" s="892">
        <f t="shared" si="272"/>
        <v>0</v>
      </c>
      <c r="P4336" s="903">
        <f t="shared" si="273"/>
        <v>1</v>
      </c>
      <c r="Q4336" s="893">
        <f t="shared" si="274"/>
        <v>5</v>
      </c>
      <c r="R4336" s="894">
        <f t="shared" si="275"/>
        <v>0</v>
      </c>
    </row>
    <row r="4337" spans="1:18">
      <c r="A4337" s="905"/>
      <c r="B4337" s="906"/>
      <c r="C4337" s="907">
        <v>55</v>
      </c>
      <c r="D4337" s="907" t="s">
        <v>279</v>
      </c>
      <c r="E4337" s="925" t="s">
        <v>3192</v>
      </c>
      <c r="F4337" s="926" t="s">
        <v>45</v>
      </c>
      <c r="G4337" s="910"/>
      <c r="H4337" s="911">
        <v>0.54</v>
      </c>
      <c r="I4337" s="912">
        <f>VLOOKUP(E4337,[3]VLP!$B$7:$K$300,10,0)</f>
        <v>2273</v>
      </c>
      <c r="J4337" s="912">
        <f>I4337*H4337</f>
        <v>1227.42</v>
      </c>
      <c r="K4337" s="912" t="s">
        <v>274</v>
      </c>
      <c r="L4337" s="912"/>
      <c r="M4337" s="912"/>
      <c r="N4337" s="912"/>
      <c r="O4337" s="892">
        <f t="shared" si="272"/>
        <v>0</v>
      </c>
      <c r="P4337" s="903">
        <f t="shared" si="273"/>
        <v>1</v>
      </c>
      <c r="Q4337" s="893">
        <f t="shared" si="274"/>
        <v>4</v>
      </c>
      <c r="R4337" s="894">
        <f t="shared" si="275"/>
        <v>0</v>
      </c>
    </row>
    <row r="4338" spans="1:18">
      <c r="A4338" s="905"/>
      <c r="B4338" s="906"/>
      <c r="C4338" s="907">
        <v>124</v>
      </c>
      <c r="D4338" s="907" t="s">
        <v>279</v>
      </c>
      <c r="E4338" s="925" t="s">
        <v>5432</v>
      </c>
      <c r="F4338" s="926" t="s">
        <v>3272</v>
      </c>
      <c r="G4338" s="910"/>
      <c r="H4338" s="911">
        <v>25</v>
      </c>
      <c r="I4338" s="912">
        <f>VLOOKUP(E4338,[3]VLP!$B$7:$K$300,10,0)</f>
        <v>20000</v>
      </c>
      <c r="J4338" s="912">
        <f>I4338*H4338</f>
        <v>500000</v>
      </c>
      <c r="K4338" s="912" t="s">
        <v>274</v>
      </c>
      <c r="L4338" s="912"/>
      <c r="M4338" s="912"/>
      <c r="N4338" s="912"/>
      <c r="O4338" s="892">
        <f t="shared" si="272"/>
        <v>0</v>
      </c>
      <c r="P4338" s="903">
        <f t="shared" si="273"/>
        <v>1</v>
      </c>
      <c r="Q4338" s="893">
        <f t="shared" si="274"/>
        <v>3</v>
      </c>
      <c r="R4338" s="894">
        <f t="shared" si="275"/>
        <v>0</v>
      </c>
    </row>
    <row r="4339" spans="1:18" s="904" customFormat="1">
      <c r="A4339" s="895"/>
      <c r="B4339" s="896"/>
      <c r="C4339" s="897"/>
      <c r="D4339" s="897"/>
      <c r="E4339" s="924" t="s">
        <v>276</v>
      </c>
      <c r="F4339" s="927"/>
      <c r="G4339" s="928"/>
      <c r="H4339" s="901"/>
      <c r="I4339" s="902"/>
      <c r="J4339" s="902"/>
      <c r="K4339" s="912" t="s">
        <v>274</v>
      </c>
      <c r="L4339" s="902"/>
      <c r="M4339" s="902"/>
      <c r="N4339" s="902"/>
      <c r="O4339" s="892">
        <f t="shared" si="272"/>
        <v>0</v>
      </c>
      <c r="P4339" s="903">
        <f t="shared" si="273"/>
        <v>1</v>
      </c>
      <c r="Q4339" s="893">
        <f t="shared" si="274"/>
        <v>2</v>
      </c>
      <c r="R4339" s="894">
        <f t="shared" si="275"/>
        <v>0</v>
      </c>
    </row>
    <row r="4340" spans="1:18">
      <c r="A4340" s="905"/>
      <c r="B4340" s="906"/>
      <c r="C4340" s="907">
        <v>745</v>
      </c>
      <c r="D4340" s="907" t="s">
        <v>12</v>
      </c>
      <c r="E4340" s="908" t="s">
        <v>5518</v>
      </c>
      <c r="F4340" s="909" t="s">
        <v>2674</v>
      </c>
      <c r="G4340" s="910"/>
      <c r="H4340" s="911">
        <v>85.94</v>
      </c>
      <c r="I4340" s="912"/>
      <c r="J4340" s="912"/>
      <c r="K4340" s="912">
        <f>VLOOKUP(E4340,[5]ĐMNC!$A$7:$F$67,4,0)</f>
        <v>240557</v>
      </c>
      <c r="L4340" s="912">
        <f>H4340*K4340</f>
        <v>20673468.579999998</v>
      </c>
      <c r="M4340" s="912"/>
      <c r="N4340" s="912"/>
      <c r="O4340" s="892">
        <f t="shared" si="272"/>
        <v>0</v>
      </c>
      <c r="P4340" s="903">
        <f t="shared" si="273"/>
        <v>1</v>
      </c>
      <c r="Q4340" s="893">
        <f t="shared" si="274"/>
        <v>1</v>
      </c>
      <c r="R4340" s="894">
        <f t="shared" si="275"/>
        <v>0</v>
      </c>
    </row>
    <row r="4341" spans="1:18" s="847" customFormat="1" ht="31.5">
      <c r="A4341" s="905"/>
      <c r="B4341" s="914" t="s">
        <v>1310</v>
      </c>
      <c r="C4341" s="915"/>
      <c r="D4341" s="915"/>
      <c r="E4341" s="916" t="s">
        <v>5522</v>
      </c>
      <c r="F4341" s="917" t="s">
        <v>150</v>
      </c>
      <c r="G4341" s="918"/>
      <c r="H4341" s="919"/>
      <c r="I4341" s="920"/>
      <c r="J4341" s="891">
        <f>SUM(J4342:J4347)</f>
        <v>509277.42</v>
      </c>
      <c r="K4341" s="891"/>
      <c r="L4341" s="891">
        <f>SUM(L4342:L4347)</f>
        <v>24224089.900000002</v>
      </c>
      <c r="M4341" s="891"/>
      <c r="N4341" s="891">
        <f>SUM(N4342:N4347)</f>
        <v>0</v>
      </c>
      <c r="O4341" s="892">
        <f t="shared" si="272"/>
        <v>1</v>
      </c>
      <c r="P4341" s="903">
        <f t="shared" si="273"/>
        <v>0</v>
      </c>
      <c r="Q4341" s="893">
        <f t="shared" si="274"/>
        <v>0</v>
      </c>
      <c r="R4341" s="894">
        <f t="shared" si="275"/>
        <v>6</v>
      </c>
    </row>
    <row r="4342" spans="1:18" s="904" customFormat="1">
      <c r="A4342" s="895"/>
      <c r="B4342" s="896"/>
      <c r="C4342" s="897"/>
      <c r="D4342" s="897"/>
      <c r="E4342" s="898" t="s">
        <v>108</v>
      </c>
      <c r="F4342" s="899"/>
      <c r="G4342" s="900"/>
      <c r="H4342" s="901"/>
      <c r="I4342" s="902"/>
      <c r="J4342" s="902"/>
      <c r="K4342" s="912" t="s">
        <v>274</v>
      </c>
      <c r="L4342" s="902"/>
      <c r="M4342" s="902"/>
      <c r="N4342" s="902"/>
      <c r="O4342" s="892">
        <f t="shared" si="272"/>
        <v>0</v>
      </c>
      <c r="P4342" s="903">
        <f t="shared" si="273"/>
        <v>1</v>
      </c>
      <c r="Q4342" s="893">
        <f t="shared" si="274"/>
        <v>6</v>
      </c>
      <c r="R4342" s="894">
        <f t="shared" si="275"/>
        <v>0</v>
      </c>
    </row>
    <row r="4343" spans="1:18">
      <c r="A4343" s="905"/>
      <c r="B4343" s="906"/>
      <c r="C4343" s="907">
        <v>44</v>
      </c>
      <c r="D4343" s="907" t="s">
        <v>279</v>
      </c>
      <c r="E4343" s="925" t="s">
        <v>2681</v>
      </c>
      <c r="F4343" s="926" t="s">
        <v>45</v>
      </c>
      <c r="G4343" s="910"/>
      <c r="H4343" s="911">
        <v>0.35</v>
      </c>
      <c r="I4343" s="912">
        <f>VLOOKUP(E4343,[3]VLP!$B$7:$K$300,10,0)</f>
        <v>23000</v>
      </c>
      <c r="J4343" s="912">
        <f>I4343*H4343</f>
        <v>8049.9999999999991</v>
      </c>
      <c r="K4343" s="912" t="s">
        <v>274</v>
      </c>
      <c r="L4343" s="912"/>
      <c r="M4343" s="912"/>
      <c r="N4343" s="912"/>
      <c r="O4343" s="892">
        <f t="shared" si="272"/>
        <v>0</v>
      </c>
      <c r="P4343" s="903">
        <f t="shared" si="273"/>
        <v>1</v>
      </c>
      <c r="Q4343" s="893">
        <f t="shared" si="274"/>
        <v>5</v>
      </c>
      <c r="R4343" s="894">
        <f t="shared" si="275"/>
        <v>0</v>
      </c>
    </row>
    <row r="4344" spans="1:18">
      <c r="A4344" s="905"/>
      <c r="B4344" s="906"/>
      <c r="C4344" s="907">
        <v>55</v>
      </c>
      <c r="D4344" s="907" t="s">
        <v>279</v>
      </c>
      <c r="E4344" s="925" t="s">
        <v>3192</v>
      </c>
      <c r="F4344" s="926" t="s">
        <v>45</v>
      </c>
      <c r="G4344" s="910"/>
      <c r="H4344" s="911">
        <v>0.54</v>
      </c>
      <c r="I4344" s="912">
        <f>VLOOKUP(E4344,[3]VLP!$B$7:$K$300,10,0)</f>
        <v>2273</v>
      </c>
      <c r="J4344" s="912">
        <f>I4344*H4344</f>
        <v>1227.42</v>
      </c>
      <c r="K4344" s="912" t="s">
        <v>274</v>
      </c>
      <c r="L4344" s="912"/>
      <c r="M4344" s="912"/>
      <c r="N4344" s="912"/>
      <c r="O4344" s="892">
        <f t="shared" si="272"/>
        <v>0</v>
      </c>
      <c r="P4344" s="903">
        <f t="shared" si="273"/>
        <v>1</v>
      </c>
      <c r="Q4344" s="893">
        <f t="shared" si="274"/>
        <v>4</v>
      </c>
      <c r="R4344" s="894">
        <f t="shared" si="275"/>
        <v>0</v>
      </c>
    </row>
    <row r="4345" spans="1:18">
      <c r="A4345" s="905"/>
      <c r="B4345" s="906"/>
      <c r="C4345" s="907">
        <v>124</v>
      </c>
      <c r="D4345" s="907" t="s">
        <v>279</v>
      </c>
      <c r="E4345" s="925" t="s">
        <v>5432</v>
      </c>
      <c r="F4345" s="926" t="s">
        <v>3272</v>
      </c>
      <c r="G4345" s="910"/>
      <c r="H4345" s="911">
        <v>25</v>
      </c>
      <c r="I4345" s="912">
        <f>VLOOKUP(E4345,[3]VLP!$B$7:$K$300,10,0)</f>
        <v>20000</v>
      </c>
      <c r="J4345" s="912">
        <f>I4345*H4345</f>
        <v>500000</v>
      </c>
      <c r="K4345" s="912" t="s">
        <v>274</v>
      </c>
      <c r="L4345" s="912"/>
      <c r="M4345" s="912"/>
      <c r="N4345" s="912"/>
      <c r="O4345" s="892">
        <f t="shared" si="272"/>
        <v>0</v>
      </c>
      <c r="P4345" s="903">
        <f t="shared" si="273"/>
        <v>1</v>
      </c>
      <c r="Q4345" s="893">
        <f t="shared" si="274"/>
        <v>3</v>
      </c>
      <c r="R4345" s="894">
        <f t="shared" si="275"/>
        <v>0</v>
      </c>
    </row>
    <row r="4346" spans="1:18" s="904" customFormat="1">
      <c r="A4346" s="895"/>
      <c r="B4346" s="896"/>
      <c r="C4346" s="897"/>
      <c r="D4346" s="897"/>
      <c r="E4346" s="924" t="s">
        <v>276</v>
      </c>
      <c r="F4346" s="927"/>
      <c r="G4346" s="928"/>
      <c r="H4346" s="901"/>
      <c r="I4346" s="902"/>
      <c r="J4346" s="902"/>
      <c r="K4346" s="912" t="s">
        <v>274</v>
      </c>
      <c r="L4346" s="902"/>
      <c r="M4346" s="902"/>
      <c r="N4346" s="902"/>
      <c r="O4346" s="892">
        <f t="shared" si="272"/>
        <v>0</v>
      </c>
      <c r="P4346" s="903">
        <f t="shared" si="273"/>
        <v>1</v>
      </c>
      <c r="Q4346" s="893">
        <f t="shared" si="274"/>
        <v>2</v>
      </c>
      <c r="R4346" s="894">
        <f t="shared" si="275"/>
        <v>0</v>
      </c>
    </row>
    <row r="4347" spans="1:18">
      <c r="A4347" s="905"/>
      <c r="B4347" s="906"/>
      <c r="C4347" s="907">
        <v>745</v>
      </c>
      <c r="D4347" s="907" t="s">
        <v>12</v>
      </c>
      <c r="E4347" s="908" t="s">
        <v>5518</v>
      </c>
      <c r="F4347" s="909" t="s">
        <v>2674</v>
      </c>
      <c r="G4347" s="910"/>
      <c r="H4347" s="911">
        <v>100.7</v>
      </c>
      <c r="I4347" s="912"/>
      <c r="J4347" s="912"/>
      <c r="K4347" s="912">
        <f>VLOOKUP(E4347,[5]ĐMNC!$A$7:$F$67,4,0)</f>
        <v>240557</v>
      </c>
      <c r="L4347" s="912">
        <f>H4347*K4347</f>
        <v>24224089.900000002</v>
      </c>
      <c r="M4347" s="912"/>
      <c r="N4347" s="912"/>
      <c r="O4347" s="892">
        <f t="shared" si="272"/>
        <v>0</v>
      </c>
      <c r="P4347" s="903">
        <f t="shared" si="273"/>
        <v>1</v>
      </c>
      <c r="Q4347" s="893">
        <f t="shared" si="274"/>
        <v>1</v>
      </c>
      <c r="R4347" s="894">
        <f t="shared" si="275"/>
        <v>0</v>
      </c>
    </row>
    <row r="4348" spans="1:18" s="847" customFormat="1" ht="31.5">
      <c r="A4348" s="905"/>
      <c r="B4348" s="914" t="s">
        <v>1312</v>
      </c>
      <c r="C4348" s="915"/>
      <c r="D4348" s="915"/>
      <c r="E4348" s="916" t="s">
        <v>5523</v>
      </c>
      <c r="F4348" s="917" t="s">
        <v>150</v>
      </c>
      <c r="G4348" s="918"/>
      <c r="H4348" s="919"/>
      <c r="I4348" s="920"/>
      <c r="J4348" s="891">
        <f>SUM(J4349:J4354)</f>
        <v>509277.42</v>
      </c>
      <c r="K4348" s="891"/>
      <c r="L4348" s="891">
        <f>SUM(L4349:L4354)</f>
        <v>31488911.300000001</v>
      </c>
      <c r="M4348" s="891"/>
      <c r="N4348" s="891">
        <f>SUM(N4349:N4354)</f>
        <v>0</v>
      </c>
      <c r="O4348" s="892">
        <f t="shared" si="272"/>
        <v>1</v>
      </c>
      <c r="P4348" s="903">
        <f t="shared" si="273"/>
        <v>0</v>
      </c>
      <c r="Q4348" s="893">
        <f t="shared" si="274"/>
        <v>0</v>
      </c>
      <c r="R4348" s="894">
        <f t="shared" si="275"/>
        <v>6</v>
      </c>
    </row>
    <row r="4349" spans="1:18" s="904" customFormat="1">
      <c r="A4349" s="895"/>
      <c r="B4349" s="896"/>
      <c r="C4349" s="897"/>
      <c r="D4349" s="897"/>
      <c r="E4349" s="898" t="s">
        <v>108</v>
      </c>
      <c r="F4349" s="899"/>
      <c r="G4349" s="900"/>
      <c r="H4349" s="901"/>
      <c r="I4349" s="902"/>
      <c r="J4349" s="902"/>
      <c r="K4349" s="912" t="s">
        <v>274</v>
      </c>
      <c r="L4349" s="902"/>
      <c r="M4349" s="902"/>
      <c r="N4349" s="902"/>
      <c r="O4349" s="892">
        <f t="shared" si="272"/>
        <v>0</v>
      </c>
      <c r="P4349" s="903">
        <f t="shared" si="273"/>
        <v>1</v>
      </c>
      <c r="Q4349" s="893">
        <f t="shared" si="274"/>
        <v>6</v>
      </c>
      <c r="R4349" s="894">
        <f t="shared" si="275"/>
        <v>0</v>
      </c>
    </row>
    <row r="4350" spans="1:18">
      <c r="A4350" s="905"/>
      <c r="B4350" s="906"/>
      <c r="C4350" s="907">
        <v>44</v>
      </c>
      <c r="D4350" s="907" t="s">
        <v>279</v>
      </c>
      <c r="E4350" s="925" t="s">
        <v>2681</v>
      </c>
      <c r="F4350" s="926" t="s">
        <v>45</v>
      </c>
      <c r="G4350" s="910"/>
      <c r="H4350" s="911">
        <v>0.35</v>
      </c>
      <c r="I4350" s="912">
        <f>VLOOKUP(E4350,[3]VLP!$B$7:$K$300,10,0)</f>
        <v>23000</v>
      </c>
      <c r="J4350" s="912">
        <f>I4350*H4350</f>
        <v>8049.9999999999991</v>
      </c>
      <c r="K4350" s="912" t="s">
        <v>274</v>
      </c>
      <c r="L4350" s="912"/>
      <c r="M4350" s="912"/>
      <c r="N4350" s="912"/>
      <c r="O4350" s="892">
        <f t="shared" si="272"/>
        <v>0</v>
      </c>
      <c r="P4350" s="903">
        <f t="shared" si="273"/>
        <v>1</v>
      </c>
      <c r="Q4350" s="893">
        <f t="shared" si="274"/>
        <v>5</v>
      </c>
      <c r="R4350" s="894">
        <f t="shared" si="275"/>
        <v>0</v>
      </c>
    </row>
    <row r="4351" spans="1:18">
      <c r="A4351" s="905"/>
      <c r="B4351" s="906"/>
      <c r="C4351" s="907">
        <v>55</v>
      </c>
      <c r="D4351" s="907" t="s">
        <v>279</v>
      </c>
      <c r="E4351" s="925" t="s">
        <v>3192</v>
      </c>
      <c r="F4351" s="926" t="s">
        <v>45</v>
      </c>
      <c r="G4351" s="910"/>
      <c r="H4351" s="911">
        <v>0.54</v>
      </c>
      <c r="I4351" s="912">
        <f>VLOOKUP(E4351,[3]VLP!$B$7:$K$300,10,0)</f>
        <v>2273</v>
      </c>
      <c r="J4351" s="912">
        <f>I4351*H4351</f>
        <v>1227.42</v>
      </c>
      <c r="K4351" s="912" t="s">
        <v>274</v>
      </c>
      <c r="L4351" s="912"/>
      <c r="M4351" s="912"/>
      <c r="N4351" s="912"/>
      <c r="O4351" s="892">
        <f t="shared" si="272"/>
        <v>0</v>
      </c>
      <c r="P4351" s="903">
        <f t="shared" si="273"/>
        <v>1</v>
      </c>
      <c r="Q4351" s="893">
        <f t="shared" si="274"/>
        <v>4</v>
      </c>
      <c r="R4351" s="894">
        <f t="shared" si="275"/>
        <v>0</v>
      </c>
    </row>
    <row r="4352" spans="1:18">
      <c r="A4352" s="905"/>
      <c r="B4352" s="906"/>
      <c r="C4352" s="907">
        <v>124</v>
      </c>
      <c r="D4352" s="907" t="s">
        <v>279</v>
      </c>
      <c r="E4352" s="925" t="s">
        <v>5432</v>
      </c>
      <c r="F4352" s="926" t="s">
        <v>3272</v>
      </c>
      <c r="G4352" s="910"/>
      <c r="H4352" s="911">
        <v>25</v>
      </c>
      <c r="I4352" s="912">
        <f>VLOOKUP(E4352,[3]VLP!$B$7:$K$300,10,0)</f>
        <v>20000</v>
      </c>
      <c r="J4352" s="912">
        <f>I4352*H4352</f>
        <v>500000</v>
      </c>
      <c r="K4352" s="912" t="s">
        <v>274</v>
      </c>
      <c r="L4352" s="912"/>
      <c r="M4352" s="912"/>
      <c r="N4352" s="912"/>
      <c r="O4352" s="892">
        <f t="shared" si="272"/>
        <v>0</v>
      </c>
      <c r="P4352" s="903">
        <f t="shared" si="273"/>
        <v>1</v>
      </c>
      <c r="Q4352" s="893">
        <f t="shared" si="274"/>
        <v>3</v>
      </c>
      <c r="R4352" s="894">
        <f t="shared" si="275"/>
        <v>0</v>
      </c>
    </row>
    <row r="4353" spans="1:18" s="904" customFormat="1">
      <c r="A4353" s="895"/>
      <c r="B4353" s="896"/>
      <c r="C4353" s="897"/>
      <c r="D4353" s="897"/>
      <c r="E4353" s="924" t="s">
        <v>276</v>
      </c>
      <c r="F4353" s="927"/>
      <c r="G4353" s="928"/>
      <c r="H4353" s="901"/>
      <c r="I4353" s="902"/>
      <c r="J4353" s="902"/>
      <c r="K4353" s="912" t="s">
        <v>274</v>
      </c>
      <c r="L4353" s="902"/>
      <c r="M4353" s="902"/>
      <c r="N4353" s="902"/>
      <c r="O4353" s="892">
        <f t="shared" si="272"/>
        <v>0</v>
      </c>
      <c r="P4353" s="903">
        <f t="shared" si="273"/>
        <v>1</v>
      </c>
      <c r="Q4353" s="893">
        <f t="shared" si="274"/>
        <v>2</v>
      </c>
      <c r="R4353" s="894">
        <f t="shared" si="275"/>
        <v>0</v>
      </c>
    </row>
    <row r="4354" spans="1:18">
      <c r="A4354" s="905"/>
      <c r="B4354" s="906"/>
      <c r="C4354" s="907">
        <v>745</v>
      </c>
      <c r="D4354" s="907" t="s">
        <v>12</v>
      </c>
      <c r="E4354" s="908" t="s">
        <v>5518</v>
      </c>
      <c r="F4354" s="909" t="s">
        <v>2674</v>
      </c>
      <c r="G4354" s="910"/>
      <c r="H4354" s="911">
        <v>130.9</v>
      </c>
      <c r="I4354" s="912"/>
      <c r="J4354" s="912"/>
      <c r="K4354" s="912">
        <f>VLOOKUP(E4354,[5]ĐMNC!$A$7:$F$67,4,0)</f>
        <v>240557</v>
      </c>
      <c r="L4354" s="912">
        <f>H4354*K4354</f>
        <v>31488911.300000001</v>
      </c>
      <c r="M4354" s="912"/>
      <c r="N4354" s="912"/>
      <c r="O4354" s="892">
        <f t="shared" si="272"/>
        <v>0</v>
      </c>
      <c r="P4354" s="903">
        <f t="shared" si="273"/>
        <v>1</v>
      </c>
      <c r="Q4354" s="893">
        <f t="shared" si="274"/>
        <v>1</v>
      </c>
      <c r="R4354" s="894">
        <f t="shared" si="275"/>
        <v>0</v>
      </c>
    </row>
    <row r="4355" spans="1:18" s="847" customFormat="1" ht="31.5">
      <c r="A4355" s="905"/>
      <c r="B4355" s="914" t="s">
        <v>1314</v>
      </c>
      <c r="C4355" s="915"/>
      <c r="D4355" s="915"/>
      <c r="E4355" s="916" t="s">
        <v>5524</v>
      </c>
      <c r="F4355" s="917" t="s">
        <v>150</v>
      </c>
      <c r="G4355" s="918"/>
      <c r="H4355" s="919"/>
      <c r="I4355" s="920"/>
      <c r="J4355" s="891">
        <f>SUM(J4356:J4361)</f>
        <v>304668.19</v>
      </c>
      <c r="K4355" s="891"/>
      <c r="L4355" s="891">
        <f>SUM(L4356:L4361)</f>
        <v>1260412.5</v>
      </c>
      <c r="M4355" s="891"/>
      <c r="N4355" s="891">
        <f>SUM(N4356:N4361)</f>
        <v>0</v>
      </c>
      <c r="O4355" s="892">
        <f t="shared" si="272"/>
        <v>1</v>
      </c>
      <c r="P4355" s="903">
        <f t="shared" si="273"/>
        <v>0</v>
      </c>
      <c r="Q4355" s="893">
        <f t="shared" si="274"/>
        <v>0</v>
      </c>
      <c r="R4355" s="894">
        <f t="shared" si="275"/>
        <v>6</v>
      </c>
    </row>
    <row r="4356" spans="1:18" s="904" customFormat="1">
      <c r="A4356" s="895"/>
      <c r="B4356" s="922"/>
      <c r="C4356" s="897"/>
      <c r="D4356" s="897"/>
      <c r="E4356" s="898" t="s">
        <v>108</v>
      </c>
      <c r="F4356" s="899"/>
      <c r="G4356" s="900"/>
      <c r="H4356" s="901"/>
      <c r="I4356" s="902"/>
      <c r="J4356" s="902"/>
      <c r="K4356" s="912" t="s">
        <v>274</v>
      </c>
      <c r="L4356" s="902"/>
      <c r="M4356" s="902"/>
      <c r="N4356" s="902"/>
      <c r="O4356" s="892">
        <f t="shared" si="272"/>
        <v>0</v>
      </c>
      <c r="P4356" s="903">
        <f t="shared" si="273"/>
        <v>1</v>
      </c>
      <c r="Q4356" s="893">
        <f t="shared" si="274"/>
        <v>6</v>
      </c>
      <c r="R4356" s="894">
        <f t="shared" si="275"/>
        <v>0</v>
      </c>
    </row>
    <row r="4357" spans="1:18">
      <c r="A4357" s="905"/>
      <c r="B4357" s="906"/>
      <c r="C4357" s="907">
        <v>55</v>
      </c>
      <c r="D4357" s="907" t="s">
        <v>279</v>
      </c>
      <c r="E4357" s="925" t="s">
        <v>3192</v>
      </c>
      <c r="F4357" s="926" t="s">
        <v>45</v>
      </c>
      <c r="G4357" s="910"/>
      <c r="H4357" s="911">
        <v>0.03</v>
      </c>
      <c r="I4357" s="912">
        <f>VLOOKUP(E4357,[3]VLP!$B$7:$K$300,10,0)</f>
        <v>2273</v>
      </c>
      <c r="J4357" s="912">
        <f>I4357*H4357</f>
        <v>68.19</v>
      </c>
      <c r="K4357" s="912" t="s">
        <v>274</v>
      </c>
      <c r="L4357" s="912"/>
      <c r="M4357" s="912"/>
      <c r="N4357" s="912"/>
      <c r="O4357" s="892">
        <f t="shared" si="272"/>
        <v>0</v>
      </c>
      <c r="P4357" s="903">
        <f t="shared" si="273"/>
        <v>1</v>
      </c>
      <c r="Q4357" s="893">
        <f t="shared" si="274"/>
        <v>5</v>
      </c>
      <c r="R4357" s="894">
        <f t="shared" si="275"/>
        <v>0</v>
      </c>
    </row>
    <row r="4358" spans="1:18">
      <c r="A4358" s="905"/>
      <c r="B4358" s="906"/>
      <c r="C4358" s="907">
        <v>44</v>
      </c>
      <c r="D4358" s="907" t="s">
        <v>279</v>
      </c>
      <c r="E4358" s="925" t="s">
        <v>2681</v>
      </c>
      <c r="F4358" s="926" t="s">
        <v>45</v>
      </c>
      <c r="G4358" s="910"/>
      <c r="H4358" s="911">
        <v>0.2</v>
      </c>
      <c r="I4358" s="912">
        <f>VLOOKUP(E4358,[3]VLP!$B$7:$K$300,10,0)</f>
        <v>23000</v>
      </c>
      <c r="J4358" s="912">
        <f>I4358*H4358</f>
        <v>4600</v>
      </c>
      <c r="K4358" s="912" t="s">
        <v>274</v>
      </c>
      <c r="L4358" s="912"/>
      <c r="M4358" s="912"/>
      <c r="N4358" s="912"/>
      <c r="O4358" s="892">
        <f t="shared" si="272"/>
        <v>0</v>
      </c>
      <c r="P4358" s="903">
        <f t="shared" si="273"/>
        <v>1</v>
      </c>
      <c r="Q4358" s="893">
        <f t="shared" si="274"/>
        <v>4</v>
      </c>
      <c r="R4358" s="894">
        <f t="shared" si="275"/>
        <v>0</v>
      </c>
    </row>
    <row r="4359" spans="1:18">
      <c r="A4359" s="905"/>
      <c r="B4359" s="906"/>
      <c r="C4359" s="907">
        <v>124</v>
      </c>
      <c r="D4359" s="907" t="s">
        <v>279</v>
      </c>
      <c r="E4359" s="925" t="s">
        <v>5432</v>
      </c>
      <c r="F4359" s="926" t="s">
        <v>3272</v>
      </c>
      <c r="G4359" s="910"/>
      <c r="H4359" s="911">
        <v>15</v>
      </c>
      <c r="I4359" s="912">
        <f>VLOOKUP(E4359,[3]VLP!$B$7:$K$300,10,0)</f>
        <v>20000</v>
      </c>
      <c r="J4359" s="912">
        <f>I4359*H4359</f>
        <v>300000</v>
      </c>
      <c r="K4359" s="912" t="s">
        <v>274</v>
      </c>
      <c r="L4359" s="912"/>
      <c r="M4359" s="912"/>
      <c r="N4359" s="912"/>
      <c r="O4359" s="892">
        <f t="shared" si="272"/>
        <v>0</v>
      </c>
      <c r="P4359" s="903">
        <f t="shared" si="273"/>
        <v>1</v>
      </c>
      <c r="Q4359" s="893">
        <f t="shared" si="274"/>
        <v>3</v>
      </c>
      <c r="R4359" s="894">
        <f t="shared" si="275"/>
        <v>0</v>
      </c>
    </row>
    <row r="4360" spans="1:18" s="904" customFormat="1">
      <c r="A4360" s="895"/>
      <c r="B4360" s="896"/>
      <c r="C4360" s="897"/>
      <c r="D4360" s="897"/>
      <c r="E4360" s="924" t="s">
        <v>276</v>
      </c>
      <c r="F4360" s="927"/>
      <c r="G4360" s="928"/>
      <c r="H4360" s="901"/>
      <c r="I4360" s="902"/>
      <c r="J4360" s="902"/>
      <c r="K4360" s="912" t="s">
        <v>274</v>
      </c>
      <c r="L4360" s="902"/>
      <c r="M4360" s="902"/>
      <c r="N4360" s="902"/>
      <c r="O4360" s="892">
        <f t="shared" si="272"/>
        <v>0</v>
      </c>
      <c r="P4360" s="903">
        <f t="shared" si="273"/>
        <v>1</v>
      </c>
      <c r="Q4360" s="893">
        <f t="shared" si="274"/>
        <v>2</v>
      </c>
      <c r="R4360" s="894">
        <f t="shared" si="275"/>
        <v>0</v>
      </c>
    </row>
    <row r="4361" spans="1:18">
      <c r="A4361" s="905"/>
      <c r="B4361" s="906"/>
      <c r="C4361" s="907">
        <v>740</v>
      </c>
      <c r="D4361" s="907" t="s">
        <v>12</v>
      </c>
      <c r="E4361" s="908" t="s">
        <v>4008</v>
      </c>
      <c r="F4361" s="909" t="s">
        <v>2674</v>
      </c>
      <c r="G4361" s="910"/>
      <c r="H4361" s="911">
        <v>5.7</v>
      </c>
      <c r="I4361" s="912"/>
      <c r="J4361" s="912"/>
      <c r="K4361" s="912">
        <f>VLOOKUP(E4361,[5]ĐMNC!$A$7:$F$67,4,0)</f>
        <v>221125</v>
      </c>
      <c r="L4361" s="912">
        <f>H4361*K4361</f>
        <v>1260412.5</v>
      </c>
      <c r="M4361" s="912"/>
      <c r="N4361" s="912"/>
      <c r="O4361" s="892">
        <f t="shared" si="272"/>
        <v>0</v>
      </c>
      <c r="P4361" s="903">
        <f t="shared" si="273"/>
        <v>1</v>
      </c>
      <c r="Q4361" s="893">
        <f t="shared" si="274"/>
        <v>1</v>
      </c>
      <c r="R4361" s="894">
        <f t="shared" si="275"/>
        <v>0</v>
      </c>
    </row>
    <row r="4362" spans="1:18" s="847" customFormat="1" ht="31.5">
      <c r="A4362" s="905"/>
      <c r="B4362" s="914" t="s">
        <v>1316</v>
      </c>
      <c r="C4362" s="915"/>
      <c r="D4362" s="915"/>
      <c r="E4362" s="916" t="s">
        <v>5525</v>
      </c>
      <c r="F4362" s="917" t="s">
        <v>150</v>
      </c>
      <c r="G4362" s="918"/>
      <c r="H4362" s="919"/>
      <c r="I4362" s="920"/>
      <c r="J4362" s="891">
        <f>SUM(J4363:J4368)</f>
        <v>304668.19</v>
      </c>
      <c r="K4362" s="891"/>
      <c r="L4362" s="891">
        <f>SUM(L4363:L4368)</f>
        <v>1658437.5</v>
      </c>
      <c r="M4362" s="891"/>
      <c r="N4362" s="891">
        <f>SUM(N4363:N4368)</f>
        <v>0</v>
      </c>
      <c r="O4362" s="892">
        <f t="shared" si="272"/>
        <v>1</v>
      </c>
      <c r="P4362" s="903">
        <f t="shared" si="273"/>
        <v>0</v>
      </c>
      <c r="Q4362" s="893">
        <f t="shared" si="274"/>
        <v>0</v>
      </c>
      <c r="R4362" s="894">
        <f t="shared" si="275"/>
        <v>6</v>
      </c>
    </row>
    <row r="4363" spans="1:18" s="904" customFormat="1">
      <c r="A4363" s="895"/>
      <c r="B4363" s="896"/>
      <c r="C4363" s="897"/>
      <c r="D4363" s="897"/>
      <c r="E4363" s="898" t="s">
        <v>108</v>
      </c>
      <c r="F4363" s="899"/>
      <c r="G4363" s="900"/>
      <c r="H4363" s="901"/>
      <c r="I4363" s="902"/>
      <c r="J4363" s="902"/>
      <c r="K4363" s="912" t="s">
        <v>274</v>
      </c>
      <c r="L4363" s="902"/>
      <c r="M4363" s="902"/>
      <c r="N4363" s="902"/>
      <c r="O4363" s="892">
        <f t="shared" si="272"/>
        <v>0</v>
      </c>
      <c r="P4363" s="903">
        <f t="shared" si="273"/>
        <v>1</v>
      </c>
      <c r="Q4363" s="893">
        <f t="shared" si="274"/>
        <v>6</v>
      </c>
      <c r="R4363" s="894">
        <f t="shared" si="275"/>
        <v>0</v>
      </c>
    </row>
    <row r="4364" spans="1:18">
      <c r="A4364" s="905"/>
      <c r="B4364" s="906"/>
      <c r="C4364" s="907">
        <v>55</v>
      </c>
      <c r="D4364" s="907" t="s">
        <v>279</v>
      </c>
      <c r="E4364" s="925" t="s">
        <v>3192</v>
      </c>
      <c r="F4364" s="926" t="s">
        <v>45</v>
      </c>
      <c r="G4364" s="910"/>
      <c r="H4364" s="911">
        <v>0.03</v>
      </c>
      <c r="I4364" s="912">
        <f>VLOOKUP(E4364,[3]VLP!$B$7:$K$300,10,0)</f>
        <v>2273</v>
      </c>
      <c r="J4364" s="912">
        <f>I4364*H4364</f>
        <v>68.19</v>
      </c>
      <c r="K4364" s="912" t="s">
        <v>274</v>
      </c>
      <c r="L4364" s="912"/>
      <c r="M4364" s="912"/>
      <c r="N4364" s="912"/>
      <c r="O4364" s="892">
        <f t="shared" si="272"/>
        <v>0</v>
      </c>
      <c r="P4364" s="903">
        <f t="shared" si="273"/>
        <v>1</v>
      </c>
      <c r="Q4364" s="893">
        <f t="shared" si="274"/>
        <v>5</v>
      </c>
      <c r="R4364" s="894">
        <f t="shared" si="275"/>
        <v>0</v>
      </c>
    </row>
    <row r="4365" spans="1:18">
      <c r="A4365" s="905"/>
      <c r="B4365" s="906"/>
      <c r="C4365" s="907">
        <v>44</v>
      </c>
      <c r="D4365" s="907" t="s">
        <v>279</v>
      </c>
      <c r="E4365" s="925" t="s">
        <v>2681</v>
      </c>
      <c r="F4365" s="926" t="s">
        <v>45</v>
      </c>
      <c r="G4365" s="910"/>
      <c r="H4365" s="911">
        <v>0.2</v>
      </c>
      <c r="I4365" s="912">
        <f>VLOOKUP(E4365,[3]VLP!$B$7:$K$300,10,0)</f>
        <v>23000</v>
      </c>
      <c r="J4365" s="912">
        <f>I4365*H4365</f>
        <v>4600</v>
      </c>
      <c r="K4365" s="912" t="s">
        <v>274</v>
      </c>
      <c r="L4365" s="912"/>
      <c r="M4365" s="912"/>
      <c r="N4365" s="912"/>
      <c r="O4365" s="892">
        <f t="shared" si="272"/>
        <v>0</v>
      </c>
      <c r="P4365" s="903">
        <f t="shared" si="273"/>
        <v>1</v>
      </c>
      <c r="Q4365" s="893">
        <f t="shared" si="274"/>
        <v>4</v>
      </c>
      <c r="R4365" s="894">
        <f t="shared" si="275"/>
        <v>0</v>
      </c>
    </row>
    <row r="4366" spans="1:18">
      <c r="A4366" s="905"/>
      <c r="B4366" s="906"/>
      <c r="C4366" s="907">
        <v>124</v>
      </c>
      <c r="D4366" s="907" t="s">
        <v>279</v>
      </c>
      <c r="E4366" s="925" t="s">
        <v>5432</v>
      </c>
      <c r="F4366" s="926" t="s">
        <v>3272</v>
      </c>
      <c r="G4366" s="910"/>
      <c r="H4366" s="911">
        <v>15</v>
      </c>
      <c r="I4366" s="912">
        <f>VLOOKUP(E4366,[3]VLP!$B$7:$K$300,10,0)</f>
        <v>20000</v>
      </c>
      <c r="J4366" s="912">
        <f>I4366*H4366</f>
        <v>300000</v>
      </c>
      <c r="K4366" s="912" t="s">
        <v>274</v>
      </c>
      <c r="L4366" s="912"/>
      <c r="M4366" s="912"/>
      <c r="N4366" s="912"/>
      <c r="O4366" s="892">
        <f t="shared" si="272"/>
        <v>0</v>
      </c>
      <c r="P4366" s="903">
        <f t="shared" si="273"/>
        <v>1</v>
      </c>
      <c r="Q4366" s="893">
        <f t="shared" si="274"/>
        <v>3</v>
      </c>
      <c r="R4366" s="894">
        <f t="shared" si="275"/>
        <v>0</v>
      </c>
    </row>
    <row r="4367" spans="1:18" s="904" customFormat="1">
      <c r="A4367" s="895"/>
      <c r="B4367" s="896"/>
      <c r="C4367" s="897"/>
      <c r="D4367" s="897"/>
      <c r="E4367" s="924" t="s">
        <v>276</v>
      </c>
      <c r="F4367" s="927"/>
      <c r="G4367" s="928"/>
      <c r="H4367" s="901"/>
      <c r="I4367" s="902"/>
      <c r="J4367" s="902"/>
      <c r="K4367" s="912" t="s">
        <v>274</v>
      </c>
      <c r="L4367" s="902"/>
      <c r="M4367" s="902"/>
      <c r="N4367" s="902"/>
      <c r="O4367" s="892">
        <f t="shared" si="272"/>
        <v>0</v>
      </c>
      <c r="P4367" s="903">
        <f t="shared" si="273"/>
        <v>1</v>
      </c>
      <c r="Q4367" s="893">
        <f t="shared" si="274"/>
        <v>2</v>
      </c>
      <c r="R4367" s="894">
        <f t="shared" si="275"/>
        <v>0</v>
      </c>
    </row>
    <row r="4368" spans="1:18">
      <c r="A4368" s="905"/>
      <c r="B4368" s="906"/>
      <c r="C4368" s="907">
        <v>740</v>
      </c>
      <c r="D4368" s="907" t="s">
        <v>12</v>
      </c>
      <c r="E4368" s="908" t="s">
        <v>4008</v>
      </c>
      <c r="F4368" s="909" t="s">
        <v>2674</v>
      </c>
      <c r="G4368" s="910"/>
      <c r="H4368" s="911">
        <v>7.5</v>
      </c>
      <c r="I4368" s="912"/>
      <c r="J4368" s="912"/>
      <c r="K4368" s="912">
        <f>VLOOKUP(E4368,[5]ĐMNC!$A$7:$F$67,4,0)</f>
        <v>221125</v>
      </c>
      <c r="L4368" s="912">
        <f>H4368*K4368</f>
        <v>1658437.5</v>
      </c>
      <c r="M4368" s="912"/>
      <c r="N4368" s="912"/>
      <c r="O4368" s="892">
        <f t="shared" si="272"/>
        <v>0</v>
      </c>
      <c r="P4368" s="903">
        <f t="shared" si="273"/>
        <v>1</v>
      </c>
      <c r="Q4368" s="893">
        <f t="shared" si="274"/>
        <v>1</v>
      </c>
      <c r="R4368" s="894">
        <f t="shared" si="275"/>
        <v>0</v>
      </c>
    </row>
    <row r="4369" spans="1:18" s="847" customFormat="1" ht="31.5">
      <c r="A4369" s="905"/>
      <c r="B4369" s="914" t="s">
        <v>1318</v>
      </c>
      <c r="C4369" s="915"/>
      <c r="D4369" s="915"/>
      <c r="E4369" s="916" t="s">
        <v>5526</v>
      </c>
      <c r="F4369" s="917" t="s">
        <v>150</v>
      </c>
      <c r="G4369" s="918"/>
      <c r="H4369" s="919"/>
      <c r="I4369" s="920"/>
      <c r="J4369" s="891">
        <f>SUM(J4370:J4375)</f>
        <v>304668.19</v>
      </c>
      <c r="K4369" s="891"/>
      <c r="L4369" s="891">
        <f>SUM(L4370:L4375)</f>
        <v>2167025</v>
      </c>
      <c r="M4369" s="891"/>
      <c r="N4369" s="891">
        <f>SUM(N4370:N4375)</f>
        <v>0</v>
      </c>
      <c r="O4369" s="892">
        <f t="shared" si="272"/>
        <v>1</v>
      </c>
      <c r="P4369" s="903">
        <f t="shared" si="273"/>
        <v>0</v>
      </c>
      <c r="Q4369" s="893">
        <f t="shared" si="274"/>
        <v>0</v>
      </c>
      <c r="R4369" s="894">
        <f t="shared" si="275"/>
        <v>6</v>
      </c>
    </row>
    <row r="4370" spans="1:18" s="904" customFormat="1">
      <c r="A4370" s="895"/>
      <c r="B4370" s="896"/>
      <c r="C4370" s="897"/>
      <c r="D4370" s="897"/>
      <c r="E4370" s="898" t="s">
        <v>108</v>
      </c>
      <c r="F4370" s="899"/>
      <c r="G4370" s="900"/>
      <c r="H4370" s="901"/>
      <c r="I4370" s="902"/>
      <c r="J4370" s="902"/>
      <c r="K4370" s="912" t="s">
        <v>274</v>
      </c>
      <c r="L4370" s="902"/>
      <c r="M4370" s="902"/>
      <c r="N4370" s="902"/>
      <c r="O4370" s="892">
        <f t="shared" si="272"/>
        <v>0</v>
      </c>
      <c r="P4370" s="903">
        <f t="shared" si="273"/>
        <v>1</v>
      </c>
      <c r="Q4370" s="893">
        <f t="shared" si="274"/>
        <v>6</v>
      </c>
      <c r="R4370" s="894">
        <f t="shared" si="275"/>
        <v>0</v>
      </c>
    </row>
    <row r="4371" spans="1:18">
      <c r="A4371" s="905"/>
      <c r="B4371" s="906"/>
      <c r="C4371" s="907">
        <v>55</v>
      </c>
      <c r="D4371" s="907" t="s">
        <v>279</v>
      </c>
      <c r="E4371" s="925" t="s">
        <v>3192</v>
      </c>
      <c r="F4371" s="926" t="s">
        <v>45</v>
      </c>
      <c r="G4371" s="910"/>
      <c r="H4371" s="911">
        <v>0.03</v>
      </c>
      <c r="I4371" s="912">
        <f>VLOOKUP(E4371,[3]VLP!$B$7:$K$300,10,0)</f>
        <v>2273</v>
      </c>
      <c r="J4371" s="912">
        <f>I4371*H4371</f>
        <v>68.19</v>
      </c>
      <c r="K4371" s="912" t="s">
        <v>274</v>
      </c>
      <c r="L4371" s="912"/>
      <c r="M4371" s="912"/>
      <c r="N4371" s="912"/>
      <c r="O4371" s="892">
        <f t="shared" si="272"/>
        <v>0</v>
      </c>
      <c r="P4371" s="903">
        <f t="shared" si="273"/>
        <v>1</v>
      </c>
      <c r="Q4371" s="893">
        <f t="shared" si="274"/>
        <v>5</v>
      </c>
      <c r="R4371" s="894">
        <f t="shared" si="275"/>
        <v>0</v>
      </c>
    </row>
    <row r="4372" spans="1:18">
      <c r="A4372" s="905"/>
      <c r="B4372" s="906"/>
      <c r="C4372" s="907">
        <v>44</v>
      </c>
      <c r="D4372" s="907" t="s">
        <v>279</v>
      </c>
      <c r="E4372" s="925" t="s">
        <v>2681</v>
      </c>
      <c r="F4372" s="926" t="s">
        <v>45</v>
      </c>
      <c r="G4372" s="910"/>
      <c r="H4372" s="911">
        <v>0.2</v>
      </c>
      <c r="I4372" s="912">
        <f>VLOOKUP(E4372,[3]VLP!$B$7:$K$300,10,0)</f>
        <v>23000</v>
      </c>
      <c r="J4372" s="912">
        <f>I4372*H4372</f>
        <v>4600</v>
      </c>
      <c r="K4372" s="912" t="s">
        <v>274</v>
      </c>
      <c r="L4372" s="912"/>
      <c r="M4372" s="912"/>
      <c r="N4372" s="912"/>
      <c r="O4372" s="892">
        <f t="shared" si="272"/>
        <v>0</v>
      </c>
      <c r="P4372" s="903">
        <f t="shared" si="273"/>
        <v>1</v>
      </c>
      <c r="Q4372" s="893">
        <f t="shared" si="274"/>
        <v>4</v>
      </c>
      <c r="R4372" s="894">
        <f t="shared" si="275"/>
        <v>0</v>
      </c>
    </row>
    <row r="4373" spans="1:18">
      <c r="A4373" s="905"/>
      <c r="B4373" s="906"/>
      <c r="C4373" s="907">
        <v>124</v>
      </c>
      <c r="D4373" s="907" t="s">
        <v>279</v>
      </c>
      <c r="E4373" s="925" t="s">
        <v>5432</v>
      </c>
      <c r="F4373" s="926" t="s">
        <v>3272</v>
      </c>
      <c r="G4373" s="910"/>
      <c r="H4373" s="911">
        <v>15</v>
      </c>
      <c r="I4373" s="912">
        <f>VLOOKUP(E4373,[3]VLP!$B$7:$K$300,10,0)</f>
        <v>20000</v>
      </c>
      <c r="J4373" s="912">
        <f>I4373*H4373</f>
        <v>300000</v>
      </c>
      <c r="K4373" s="912" t="s">
        <v>274</v>
      </c>
      <c r="L4373" s="912"/>
      <c r="M4373" s="912"/>
      <c r="N4373" s="912"/>
      <c r="O4373" s="892">
        <f t="shared" si="272"/>
        <v>0</v>
      </c>
      <c r="P4373" s="903">
        <f t="shared" si="273"/>
        <v>1</v>
      </c>
      <c r="Q4373" s="893">
        <f t="shared" si="274"/>
        <v>3</v>
      </c>
      <c r="R4373" s="894">
        <f t="shared" si="275"/>
        <v>0</v>
      </c>
    </row>
    <row r="4374" spans="1:18" s="904" customFormat="1">
      <c r="A4374" s="895"/>
      <c r="B4374" s="896"/>
      <c r="C4374" s="897"/>
      <c r="D4374" s="897"/>
      <c r="E4374" s="924" t="s">
        <v>276</v>
      </c>
      <c r="F4374" s="927"/>
      <c r="G4374" s="928"/>
      <c r="H4374" s="901"/>
      <c r="I4374" s="902"/>
      <c r="J4374" s="902"/>
      <c r="K4374" s="912" t="s">
        <v>274</v>
      </c>
      <c r="L4374" s="902"/>
      <c r="M4374" s="902"/>
      <c r="N4374" s="902"/>
      <c r="O4374" s="892">
        <f t="shared" si="272"/>
        <v>0</v>
      </c>
      <c r="P4374" s="903">
        <f t="shared" si="273"/>
        <v>1</v>
      </c>
      <c r="Q4374" s="893">
        <f t="shared" si="274"/>
        <v>2</v>
      </c>
      <c r="R4374" s="894">
        <f t="shared" si="275"/>
        <v>0</v>
      </c>
    </row>
    <row r="4375" spans="1:18">
      <c r="A4375" s="905"/>
      <c r="B4375" s="906"/>
      <c r="C4375" s="907">
        <v>740</v>
      </c>
      <c r="D4375" s="907" t="s">
        <v>12</v>
      </c>
      <c r="E4375" s="908" t="s">
        <v>4008</v>
      </c>
      <c r="F4375" s="909" t="s">
        <v>2674</v>
      </c>
      <c r="G4375" s="910"/>
      <c r="H4375" s="911">
        <v>9.8000000000000007</v>
      </c>
      <c r="I4375" s="912"/>
      <c r="J4375" s="912"/>
      <c r="K4375" s="912">
        <f>VLOOKUP(E4375,[5]ĐMNC!$A$7:$F$67,4,0)</f>
        <v>221125</v>
      </c>
      <c r="L4375" s="912">
        <f>H4375*K4375</f>
        <v>2167025</v>
      </c>
      <c r="M4375" s="912"/>
      <c r="N4375" s="912"/>
      <c r="O4375" s="892">
        <f t="shared" si="272"/>
        <v>0</v>
      </c>
      <c r="P4375" s="903">
        <f t="shared" si="273"/>
        <v>1</v>
      </c>
      <c r="Q4375" s="893">
        <f t="shared" si="274"/>
        <v>1</v>
      </c>
      <c r="R4375" s="894">
        <f t="shared" si="275"/>
        <v>0</v>
      </c>
    </row>
    <row r="4376" spans="1:18" s="847" customFormat="1" ht="31.5">
      <c r="A4376" s="905"/>
      <c r="B4376" s="914" t="s">
        <v>1320</v>
      </c>
      <c r="C4376" s="915"/>
      <c r="D4376" s="915"/>
      <c r="E4376" s="916" t="s">
        <v>5527</v>
      </c>
      <c r="F4376" s="917" t="s">
        <v>150</v>
      </c>
      <c r="G4376" s="918"/>
      <c r="H4376" s="919"/>
      <c r="I4376" s="920"/>
      <c r="J4376" s="891">
        <f>SUM(J4377:J4382)</f>
        <v>305818.19</v>
      </c>
      <c r="K4376" s="891"/>
      <c r="L4376" s="891">
        <f>SUM(L4377:L4382)</f>
        <v>2830400</v>
      </c>
      <c r="M4376" s="891"/>
      <c r="N4376" s="891">
        <f>SUM(N4377:N4382)</f>
        <v>0</v>
      </c>
      <c r="O4376" s="892">
        <f t="shared" si="272"/>
        <v>1</v>
      </c>
      <c r="P4376" s="903">
        <f t="shared" si="273"/>
        <v>0</v>
      </c>
      <c r="Q4376" s="893">
        <f t="shared" si="274"/>
        <v>0</v>
      </c>
      <c r="R4376" s="894">
        <f t="shared" si="275"/>
        <v>6</v>
      </c>
    </row>
    <row r="4377" spans="1:18" s="904" customFormat="1">
      <c r="A4377" s="895"/>
      <c r="B4377" s="896"/>
      <c r="C4377" s="897"/>
      <c r="D4377" s="897"/>
      <c r="E4377" s="898" t="s">
        <v>108</v>
      </c>
      <c r="F4377" s="899"/>
      <c r="G4377" s="900"/>
      <c r="H4377" s="901"/>
      <c r="I4377" s="902"/>
      <c r="J4377" s="902"/>
      <c r="K4377" s="912" t="s">
        <v>274</v>
      </c>
      <c r="L4377" s="902"/>
      <c r="M4377" s="902"/>
      <c r="N4377" s="902"/>
      <c r="O4377" s="892">
        <f t="shared" si="272"/>
        <v>0</v>
      </c>
      <c r="P4377" s="903">
        <f t="shared" si="273"/>
        <v>1</v>
      </c>
      <c r="Q4377" s="893">
        <f t="shared" si="274"/>
        <v>6</v>
      </c>
      <c r="R4377" s="894">
        <f t="shared" si="275"/>
        <v>0</v>
      </c>
    </row>
    <row r="4378" spans="1:18">
      <c r="A4378" s="905"/>
      <c r="B4378" s="906"/>
      <c r="C4378" s="907">
        <v>55</v>
      </c>
      <c r="D4378" s="907" t="s">
        <v>279</v>
      </c>
      <c r="E4378" s="925" t="s">
        <v>3192</v>
      </c>
      <c r="F4378" s="926" t="s">
        <v>45</v>
      </c>
      <c r="G4378" s="910"/>
      <c r="H4378" s="911">
        <v>0.03</v>
      </c>
      <c r="I4378" s="912">
        <f>VLOOKUP(E4378,[3]VLP!$B$7:$K$300,10,0)</f>
        <v>2273</v>
      </c>
      <c r="J4378" s="912">
        <f>I4378*H4378</f>
        <v>68.19</v>
      </c>
      <c r="K4378" s="912" t="s">
        <v>274</v>
      </c>
      <c r="L4378" s="912"/>
      <c r="M4378" s="912"/>
      <c r="N4378" s="912"/>
      <c r="O4378" s="892">
        <f t="shared" si="272"/>
        <v>0</v>
      </c>
      <c r="P4378" s="903">
        <f t="shared" si="273"/>
        <v>1</v>
      </c>
      <c r="Q4378" s="893">
        <f t="shared" si="274"/>
        <v>5</v>
      </c>
      <c r="R4378" s="894">
        <f t="shared" si="275"/>
        <v>0</v>
      </c>
    </row>
    <row r="4379" spans="1:18">
      <c r="A4379" s="905"/>
      <c r="B4379" s="906"/>
      <c r="C4379" s="907">
        <v>44</v>
      </c>
      <c r="D4379" s="907" t="s">
        <v>279</v>
      </c>
      <c r="E4379" s="925" t="s">
        <v>2681</v>
      </c>
      <c r="F4379" s="926" t="s">
        <v>45</v>
      </c>
      <c r="G4379" s="910"/>
      <c r="H4379" s="911">
        <v>0.25</v>
      </c>
      <c r="I4379" s="912">
        <f>VLOOKUP(E4379,[3]VLP!$B$7:$K$300,10,0)</f>
        <v>23000</v>
      </c>
      <c r="J4379" s="912">
        <f>I4379*H4379</f>
        <v>5750</v>
      </c>
      <c r="K4379" s="912" t="s">
        <v>274</v>
      </c>
      <c r="L4379" s="912"/>
      <c r="M4379" s="912"/>
      <c r="N4379" s="912"/>
      <c r="O4379" s="892">
        <f t="shared" si="272"/>
        <v>0</v>
      </c>
      <c r="P4379" s="903">
        <f t="shared" si="273"/>
        <v>1</v>
      </c>
      <c r="Q4379" s="893">
        <f t="shared" si="274"/>
        <v>4</v>
      </c>
      <c r="R4379" s="894">
        <f t="shared" si="275"/>
        <v>0</v>
      </c>
    </row>
    <row r="4380" spans="1:18">
      <c r="A4380" s="905"/>
      <c r="B4380" s="906"/>
      <c r="C4380" s="907">
        <v>124</v>
      </c>
      <c r="D4380" s="907" t="s">
        <v>279</v>
      </c>
      <c r="E4380" s="925" t="s">
        <v>5432</v>
      </c>
      <c r="F4380" s="926" t="s">
        <v>3272</v>
      </c>
      <c r="G4380" s="910"/>
      <c r="H4380" s="911">
        <v>15</v>
      </c>
      <c r="I4380" s="912">
        <f>VLOOKUP(E4380,[3]VLP!$B$7:$K$300,10,0)</f>
        <v>20000</v>
      </c>
      <c r="J4380" s="912">
        <f>I4380*H4380</f>
        <v>300000</v>
      </c>
      <c r="K4380" s="912" t="s">
        <v>274</v>
      </c>
      <c r="L4380" s="912"/>
      <c r="M4380" s="912"/>
      <c r="N4380" s="912"/>
      <c r="O4380" s="892">
        <f t="shared" si="272"/>
        <v>0</v>
      </c>
      <c r="P4380" s="903">
        <f t="shared" si="273"/>
        <v>1</v>
      </c>
      <c r="Q4380" s="893">
        <f t="shared" si="274"/>
        <v>3</v>
      </c>
      <c r="R4380" s="894">
        <f t="shared" si="275"/>
        <v>0</v>
      </c>
    </row>
    <row r="4381" spans="1:18" s="904" customFormat="1">
      <c r="A4381" s="895"/>
      <c r="B4381" s="896"/>
      <c r="C4381" s="897"/>
      <c r="D4381" s="897"/>
      <c r="E4381" s="924" t="s">
        <v>276</v>
      </c>
      <c r="F4381" s="927"/>
      <c r="G4381" s="928"/>
      <c r="H4381" s="901"/>
      <c r="I4381" s="902"/>
      <c r="J4381" s="902"/>
      <c r="K4381" s="912" t="s">
        <v>274</v>
      </c>
      <c r="L4381" s="902"/>
      <c r="M4381" s="902"/>
      <c r="N4381" s="902"/>
      <c r="O4381" s="892">
        <f t="shared" si="272"/>
        <v>0</v>
      </c>
      <c r="P4381" s="903">
        <f t="shared" si="273"/>
        <v>1</v>
      </c>
      <c r="Q4381" s="893">
        <f t="shared" si="274"/>
        <v>2</v>
      </c>
      <c r="R4381" s="894">
        <f t="shared" si="275"/>
        <v>0</v>
      </c>
    </row>
    <row r="4382" spans="1:18">
      <c r="A4382" s="905"/>
      <c r="B4382" s="906"/>
      <c r="C4382" s="907">
        <v>740</v>
      </c>
      <c r="D4382" s="907" t="s">
        <v>12</v>
      </c>
      <c r="E4382" s="908" t="s">
        <v>4008</v>
      </c>
      <c r="F4382" s="909" t="s">
        <v>2674</v>
      </c>
      <c r="G4382" s="910"/>
      <c r="H4382" s="911">
        <v>12.8</v>
      </c>
      <c r="I4382" s="912"/>
      <c r="J4382" s="912"/>
      <c r="K4382" s="912">
        <f>VLOOKUP(E4382,[5]ĐMNC!$A$7:$F$67,4,0)</f>
        <v>221125</v>
      </c>
      <c r="L4382" s="912">
        <f>H4382*K4382</f>
        <v>2830400</v>
      </c>
      <c r="M4382" s="912"/>
      <c r="N4382" s="912"/>
      <c r="O4382" s="892">
        <f t="shared" si="272"/>
        <v>0</v>
      </c>
      <c r="P4382" s="903">
        <f t="shared" si="273"/>
        <v>1</v>
      </c>
      <c r="Q4382" s="893">
        <f t="shared" si="274"/>
        <v>1</v>
      </c>
      <c r="R4382" s="894">
        <f t="shared" si="275"/>
        <v>0</v>
      </c>
    </row>
    <row r="4383" spans="1:18" s="847" customFormat="1" ht="31.5">
      <c r="A4383" s="905"/>
      <c r="B4383" s="914" t="s">
        <v>1322</v>
      </c>
      <c r="C4383" s="915"/>
      <c r="D4383" s="915"/>
      <c r="E4383" s="916" t="s">
        <v>5528</v>
      </c>
      <c r="F4383" s="917" t="s">
        <v>150</v>
      </c>
      <c r="G4383" s="918"/>
      <c r="H4383" s="919"/>
      <c r="I4383" s="920"/>
      <c r="J4383" s="891">
        <f>SUM(J4384:J4389)</f>
        <v>305818.19</v>
      </c>
      <c r="K4383" s="891"/>
      <c r="L4383" s="891">
        <f>SUM(L4384:L4389)</f>
        <v>3803350</v>
      </c>
      <c r="M4383" s="891"/>
      <c r="N4383" s="891">
        <f>SUM(N4384:N4389)</f>
        <v>0</v>
      </c>
      <c r="O4383" s="892">
        <f t="shared" ref="O4383:O4446" si="276">IF(AND(B4383&lt;&gt;"",D4383=""),1,0)</f>
        <v>1</v>
      </c>
      <c r="P4383" s="903">
        <f t="shared" si="273"/>
        <v>0</v>
      </c>
      <c r="Q4383" s="893">
        <f t="shared" si="274"/>
        <v>0</v>
      </c>
      <c r="R4383" s="894">
        <f t="shared" si="275"/>
        <v>6</v>
      </c>
    </row>
    <row r="4384" spans="1:18" s="904" customFormat="1">
      <c r="A4384" s="895"/>
      <c r="B4384" s="896"/>
      <c r="C4384" s="897"/>
      <c r="D4384" s="897"/>
      <c r="E4384" s="898" t="s">
        <v>108</v>
      </c>
      <c r="F4384" s="899"/>
      <c r="G4384" s="900"/>
      <c r="H4384" s="901"/>
      <c r="I4384" s="902"/>
      <c r="J4384" s="902"/>
      <c r="K4384" s="912" t="s">
        <v>274</v>
      </c>
      <c r="L4384" s="902"/>
      <c r="M4384" s="902"/>
      <c r="N4384" s="902"/>
      <c r="O4384" s="892">
        <f t="shared" si="276"/>
        <v>0</v>
      </c>
      <c r="P4384" s="903">
        <f t="shared" si="273"/>
        <v>1</v>
      </c>
      <c r="Q4384" s="893">
        <f t="shared" si="274"/>
        <v>6</v>
      </c>
      <c r="R4384" s="894">
        <f t="shared" si="275"/>
        <v>0</v>
      </c>
    </row>
    <row r="4385" spans="1:18">
      <c r="A4385" s="905"/>
      <c r="B4385" s="906"/>
      <c r="C4385" s="907">
        <v>55</v>
      </c>
      <c r="D4385" s="907" t="s">
        <v>279</v>
      </c>
      <c r="E4385" s="925" t="s">
        <v>3192</v>
      </c>
      <c r="F4385" s="926" t="s">
        <v>45</v>
      </c>
      <c r="G4385" s="910"/>
      <c r="H4385" s="911">
        <v>0.03</v>
      </c>
      <c r="I4385" s="912">
        <f>VLOOKUP(E4385,[3]VLP!$B$7:$K$300,10,0)</f>
        <v>2273</v>
      </c>
      <c r="J4385" s="912">
        <f>I4385*H4385</f>
        <v>68.19</v>
      </c>
      <c r="K4385" s="912" t="s">
        <v>274</v>
      </c>
      <c r="L4385" s="912"/>
      <c r="M4385" s="912"/>
      <c r="N4385" s="912"/>
      <c r="O4385" s="892">
        <f t="shared" si="276"/>
        <v>0</v>
      </c>
      <c r="P4385" s="903">
        <f t="shared" si="273"/>
        <v>1</v>
      </c>
      <c r="Q4385" s="893">
        <f t="shared" si="274"/>
        <v>5</v>
      </c>
      <c r="R4385" s="894">
        <f t="shared" si="275"/>
        <v>0</v>
      </c>
    </row>
    <row r="4386" spans="1:18">
      <c r="A4386" s="905"/>
      <c r="B4386" s="906"/>
      <c r="C4386" s="907">
        <v>44</v>
      </c>
      <c r="D4386" s="907" t="s">
        <v>279</v>
      </c>
      <c r="E4386" s="925" t="s">
        <v>2681</v>
      </c>
      <c r="F4386" s="926" t="s">
        <v>45</v>
      </c>
      <c r="G4386" s="910"/>
      <c r="H4386" s="911">
        <v>0.25</v>
      </c>
      <c r="I4386" s="912">
        <f>VLOOKUP(E4386,[3]VLP!$B$7:$K$300,10,0)</f>
        <v>23000</v>
      </c>
      <c r="J4386" s="912">
        <f>I4386*H4386</f>
        <v>5750</v>
      </c>
      <c r="K4386" s="912" t="s">
        <v>274</v>
      </c>
      <c r="L4386" s="912"/>
      <c r="M4386" s="912"/>
      <c r="N4386" s="912"/>
      <c r="O4386" s="892">
        <f t="shared" si="276"/>
        <v>0</v>
      </c>
      <c r="P4386" s="903">
        <f t="shared" si="273"/>
        <v>1</v>
      </c>
      <c r="Q4386" s="893">
        <f t="shared" si="274"/>
        <v>4</v>
      </c>
      <c r="R4386" s="894">
        <f t="shared" si="275"/>
        <v>0</v>
      </c>
    </row>
    <row r="4387" spans="1:18">
      <c r="A4387" s="905"/>
      <c r="B4387" s="906"/>
      <c r="C4387" s="907">
        <v>124</v>
      </c>
      <c r="D4387" s="907" t="s">
        <v>279</v>
      </c>
      <c r="E4387" s="925" t="s">
        <v>5432</v>
      </c>
      <c r="F4387" s="926" t="s">
        <v>3272</v>
      </c>
      <c r="G4387" s="910"/>
      <c r="H4387" s="911">
        <v>15</v>
      </c>
      <c r="I4387" s="912">
        <f>VLOOKUP(E4387,[3]VLP!$B$7:$K$300,10,0)</f>
        <v>20000</v>
      </c>
      <c r="J4387" s="912">
        <f>I4387*H4387</f>
        <v>300000</v>
      </c>
      <c r="K4387" s="912" t="s">
        <v>274</v>
      </c>
      <c r="L4387" s="912"/>
      <c r="M4387" s="912"/>
      <c r="N4387" s="912"/>
      <c r="O4387" s="892">
        <f t="shared" si="276"/>
        <v>0</v>
      </c>
      <c r="P4387" s="903">
        <f t="shared" si="273"/>
        <v>1</v>
      </c>
      <c r="Q4387" s="893">
        <f t="shared" si="274"/>
        <v>3</v>
      </c>
      <c r="R4387" s="894">
        <f t="shared" si="275"/>
        <v>0</v>
      </c>
    </row>
    <row r="4388" spans="1:18" s="904" customFormat="1">
      <c r="A4388" s="895"/>
      <c r="B4388" s="896"/>
      <c r="C4388" s="897"/>
      <c r="D4388" s="897"/>
      <c r="E4388" s="924" t="s">
        <v>276</v>
      </c>
      <c r="F4388" s="927"/>
      <c r="G4388" s="928"/>
      <c r="H4388" s="901"/>
      <c r="I4388" s="902"/>
      <c r="J4388" s="902"/>
      <c r="K4388" s="912" t="s">
        <v>274</v>
      </c>
      <c r="L4388" s="902"/>
      <c r="M4388" s="902"/>
      <c r="N4388" s="902"/>
      <c r="O4388" s="892">
        <f t="shared" si="276"/>
        <v>0</v>
      </c>
      <c r="P4388" s="903">
        <f t="shared" si="273"/>
        <v>1</v>
      </c>
      <c r="Q4388" s="893">
        <f t="shared" si="274"/>
        <v>2</v>
      </c>
      <c r="R4388" s="894">
        <f t="shared" si="275"/>
        <v>0</v>
      </c>
    </row>
    <row r="4389" spans="1:18">
      <c r="A4389" s="905"/>
      <c r="B4389" s="906"/>
      <c r="C4389" s="907">
        <v>740</v>
      </c>
      <c r="D4389" s="907" t="s">
        <v>12</v>
      </c>
      <c r="E4389" s="908" t="s">
        <v>4008</v>
      </c>
      <c r="F4389" s="909" t="s">
        <v>2674</v>
      </c>
      <c r="G4389" s="910"/>
      <c r="H4389" s="911">
        <v>17.2</v>
      </c>
      <c r="I4389" s="912"/>
      <c r="J4389" s="912"/>
      <c r="K4389" s="912">
        <f>VLOOKUP(E4389,[5]ĐMNC!$A$7:$F$67,4,0)</f>
        <v>221125</v>
      </c>
      <c r="L4389" s="912">
        <f>H4389*K4389</f>
        <v>3803350</v>
      </c>
      <c r="M4389" s="912"/>
      <c r="N4389" s="912"/>
      <c r="O4389" s="892">
        <f t="shared" si="276"/>
        <v>0</v>
      </c>
      <c r="P4389" s="903">
        <f t="shared" si="273"/>
        <v>1</v>
      </c>
      <c r="Q4389" s="893">
        <f t="shared" si="274"/>
        <v>1</v>
      </c>
      <c r="R4389" s="894">
        <f t="shared" si="275"/>
        <v>0</v>
      </c>
    </row>
    <row r="4390" spans="1:18" s="847" customFormat="1" ht="31.5">
      <c r="A4390" s="905"/>
      <c r="B4390" s="914" t="s">
        <v>1324</v>
      </c>
      <c r="C4390" s="915"/>
      <c r="D4390" s="915"/>
      <c r="E4390" s="916" t="s">
        <v>5529</v>
      </c>
      <c r="F4390" s="917" t="s">
        <v>150</v>
      </c>
      <c r="G4390" s="918"/>
      <c r="H4390" s="919"/>
      <c r="I4390" s="920"/>
      <c r="J4390" s="891">
        <f>SUM(J4391:J4396)</f>
        <v>305818.19</v>
      </c>
      <c r="K4390" s="891"/>
      <c r="L4390" s="891">
        <f>SUM(L4391:L4396)</f>
        <v>5196437.5</v>
      </c>
      <c r="M4390" s="891"/>
      <c r="N4390" s="891">
        <f>SUM(N4391:N4396)</f>
        <v>0</v>
      </c>
      <c r="O4390" s="892">
        <f t="shared" si="276"/>
        <v>1</v>
      </c>
      <c r="P4390" s="903">
        <f t="shared" si="273"/>
        <v>0</v>
      </c>
      <c r="Q4390" s="893">
        <f t="shared" si="274"/>
        <v>0</v>
      </c>
      <c r="R4390" s="894">
        <f t="shared" si="275"/>
        <v>6</v>
      </c>
    </row>
    <row r="4391" spans="1:18" s="904" customFormat="1">
      <c r="A4391" s="895"/>
      <c r="B4391" s="896"/>
      <c r="C4391" s="897"/>
      <c r="D4391" s="897"/>
      <c r="E4391" s="898" t="s">
        <v>108</v>
      </c>
      <c r="F4391" s="899"/>
      <c r="G4391" s="900"/>
      <c r="H4391" s="901"/>
      <c r="I4391" s="902"/>
      <c r="J4391" s="902"/>
      <c r="K4391" s="912" t="s">
        <v>274</v>
      </c>
      <c r="L4391" s="902"/>
      <c r="M4391" s="902"/>
      <c r="N4391" s="902"/>
      <c r="O4391" s="892">
        <f t="shared" si="276"/>
        <v>0</v>
      </c>
      <c r="P4391" s="903">
        <f t="shared" si="273"/>
        <v>1</v>
      </c>
      <c r="Q4391" s="893">
        <f t="shared" si="274"/>
        <v>6</v>
      </c>
      <c r="R4391" s="894">
        <f t="shared" si="275"/>
        <v>0</v>
      </c>
    </row>
    <row r="4392" spans="1:18">
      <c r="A4392" s="905"/>
      <c r="B4392" s="906"/>
      <c r="C4392" s="907">
        <v>55</v>
      </c>
      <c r="D4392" s="907" t="s">
        <v>279</v>
      </c>
      <c r="E4392" s="925" t="s">
        <v>3192</v>
      </c>
      <c r="F4392" s="926" t="s">
        <v>45</v>
      </c>
      <c r="G4392" s="910"/>
      <c r="H4392" s="911">
        <v>0.03</v>
      </c>
      <c r="I4392" s="912">
        <f>VLOOKUP(E4392,[3]VLP!$B$7:$K$300,10,0)</f>
        <v>2273</v>
      </c>
      <c r="J4392" s="912">
        <f>I4392*H4392</f>
        <v>68.19</v>
      </c>
      <c r="K4392" s="912" t="s">
        <v>274</v>
      </c>
      <c r="L4392" s="912"/>
      <c r="M4392" s="912"/>
      <c r="N4392" s="912"/>
      <c r="O4392" s="892">
        <f t="shared" si="276"/>
        <v>0</v>
      </c>
      <c r="P4392" s="903">
        <f t="shared" ref="P4392:P4455" si="277">IF(O4392=0,1,0)</f>
        <v>1</v>
      </c>
      <c r="Q4392" s="893">
        <f t="shared" ref="Q4392:Q4455" si="278">IF(P4392=0,0,P4392+Q4393)</f>
        <v>5</v>
      </c>
      <c r="R4392" s="894">
        <f t="shared" ref="R4392:R4455" si="279">IF(Q4392=0,Q4393,0)</f>
        <v>0</v>
      </c>
    </row>
    <row r="4393" spans="1:18">
      <c r="A4393" s="905"/>
      <c r="B4393" s="906"/>
      <c r="C4393" s="907">
        <v>44</v>
      </c>
      <c r="D4393" s="907" t="s">
        <v>279</v>
      </c>
      <c r="E4393" s="925" t="s">
        <v>2681</v>
      </c>
      <c r="F4393" s="926" t="s">
        <v>45</v>
      </c>
      <c r="G4393" s="910"/>
      <c r="H4393" s="911">
        <v>0.25</v>
      </c>
      <c r="I4393" s="912">
        <f>VLOOKUP(E4393,[3]VLP!$B$7:$K$300,10,0)</f>
        <v>23000</v>
      </c>
      <c r="J4393" s="912">
        <f>I4393*H4393</f>
        <v>5750</v>
      </c>
      <c r="K4393" s="912" t="s">
        <v>274</v>
      </c>
      <c r="L4393" s="912"/>
      <c r="M4393" s="912"/>
      <c r="N4393" s="912"/>
      <c r="O4393" s="892">
        <f t="shared" si="276"/>
        <v>0</v>
      </c>
      <c r="P4393" s="903">
        <f t="shared" si="277"/>
        <v>1</v>
      </c>
      <c r="Q4393" s="893">
        <f t="shared" si="278"/>
        <v>4</v>
      </c>
      <c r="R4393" s="894">
        <f t="shared" si="279"/>
        <v>0</v>
      </c>
    </row>
    <row r="4394" spans="1:18">
      <c r="A4394" s="905"/>
      <c r="B4394" s="906"/>
      <c r="C4394" s="907">
        <v>124</v>
      </c>
      <c r="D4394" s="907" t="s">
        <v>279</v>
      </c>
      <c r="E4394" s="925" t="s">
        <v>5432</v>
      </c>
      <c r="F4394" s="926" t="s">
        <v>3272</v>
      </c>
      <c r="G4394" s="910"/>
      <c r="H4394" s="911">
        <v>15</v>
      </c>
      <c r="I4394" s="912">
        <f>VLOOKUP(E4394,[3]VLP!$B$7:$K$300,10,0)</f>
        <v>20000</v>
      </c>
      <c r="J4394" s="912">
        <f>I4394*H4394</f>
        <v>300000</v>
      </c>
      <c r="K4394" s="912" t="s">
        <v>274</v>
      </c>
      <c r="L4394" s="912"/>
      <c r="M4394" s="912"/>
      <c r="N4394" s="912"/>
      <c r="O4394" s="892">
        <f t="shared" si="276"/>
        <v>0</v>
      </c>
      <c r="P4394" s="903">
        <f t="shared" si="277"/>
        <v>1</v>
      </c>
      <c r="Q4394" s="893">
        <f t="shared" si="278"/>
        <v>3</v>
      </c>
      <c r="R4394" s="894">
        <f t="shared" si="279"/>
        <v>0</v>
      </c>
    </row>
    <row r="4395" spans="1:18" s="904" customFormat="1">
      <c r="A4395" s="895"/>
      <c r="B4395" s="896"/>
      <c r="C4395" s="897"/>
      <c r="D4395" s="897"/>
      <c r="E4395" s="924" t="s">
        <v>276</v>
      </c>
      <c r="F4395" s="927"/>
      <c r="G4395" s="928"/>
      <c r="H4395" s="901"/>
      <c r="I4395" s="902"/>
      <c r="J4395" s="902"/>
      <c r="K4395" s="912" t="s">
        <v>274</v>
      </c>
      <c r="L4395" s="902"/>
      <c r="M4395" s="902"/>
      <c r="N4395" s="902"/>
      <c r="O4395" s="892">
        <f t="shared" si="276"/>
        <v>0</v>
      </c>
      <c r="P4395" s="903">
        <f t="shared" si="277"/>
        <v>1</v>
      </c>
      <c r="Q4395" s="893">
        <f t="shared" si="278"/>
        <v>2</v>
      </c>
      <c r="R4395" s="894">
        <f t="shared" si="279"/>
        <v>0</v>
      </c>
    </row>
    <row r="4396" spans="1:18">
      <c r="A4396" s="905"/>
      <c r="B4396" s="906"/>
      <c r="C4396" s="907">
        <v>740</v>
      </c>
      <c r="D4396" s="907" t="s">
        <v>12</v>
      </c>
      <c r="E4396" s="908" t="s">
        <v>4008</v>
      </c>
      <c r="F4396" s="909" t="s">
        <v>2674</v>
      </c>
      <c r="G4396" s="910"/>
      <c r="H4396" s="911">
        <v>23.5</v>
      </c>
      <c r="I4396" s="912"/>
      <c r="J4396" s="912"/>
      <c r="K4396" s="912">
        <f>VLOOKUP(E4396,[5]ĐMNC!$A$7:$F$67,4,0)</f>
        <v>221125</v>
      </c>
      <c r="L4396" s="912">
        <f>H4396*K4396</f>
        <v>5196437.5</v>
      </c>
      <c r="M4396" s="912"/>
      <c r="N4396" s="912"/>
      <c r="O4396" s="892">
        <f t="shared" si="276"/>
        <v>0</v>
      </c>
      <c r="P4396" s="903">
        <f t="shared" si="277"/>
        <v>1</v>
      </c>
      <c r="Q4396" s="893">
        <f t="shared" si="278"/>
        <v>1</v>
      </c>
      <c r="R4396" s="894">
        <f t="shared" si="279"/>
        <v>0</v>
      </c>
    </row>
    <row r="4397" spans="1:18" s="847" customFormat="1" ht="31.5">
      <c r="A4397" s="905"/>
      <c r="B4397" s="914" t="s">
        <v>1326</v>
      </c>
      <c r="C4397" s="915"/>
      <c r="D4397" s="915"/>
      <c r="E4397" s="916" t="s">
        <v>5530</v>
      </c>
      <c r="F4397" s="917" t="s">
        <v>150</v>
      </c>
      <c r="G4397" s="918"/>
      <c r="H4397" s="919"/>
      <c r="I4397" s="920"/>
      <c r="J4397" s="891">
        <f>SUM(J4398:J4403)</f>
        <v>427718.28</v>
      </c>
      <c r="K4397" s="891"/>
      <c r="L4397" s="891">
        <f>SUM(L4398:L4403)</f>
        <v>5926150</v>
      </c>
      <c r="M4397" s="891"/>
      <c r="N4397" s="891">
        <f>SUM(N4398:N4403)</f>
        <v>0</v>
      </c>
      <c r="O4397" s="892">
        <f t="shared" si="276"/>
        <v>1</v>
      </c>
      <c r="P4397" s="903">
        <f t="shared" si="277"/>
        <v>0</v>
      </c>
      <c r="Q4397" s="893">
        <f t="shared" si="278"/>
        <v>0</v>
      </c>
      <c r="R4397" s="894">
        <f t="shared" si="279"/>
        <v>6</v>
      </c>
    </row>
    <row r="4398" spans="1:18" s="904" customFormat="1">
      <c r="A4398" s="895"/>
      <c r="B4398" s="896"/>
      <c r="C4398" s="897"/>
      <c r="D4398" s="897"/>
      <c r="E4398" s="898" t="s">
        <v>108</v>
      </c>
      <c r="F4398" s="899"/>
      <c r="G4398" s="900"/>
      <c r="H4398" s="901"/>
      <c r="I4398" s="902"/>
      <c r="J4398" s="902"/>
      <c r="K4398" s="912" t="s">
        <v>274</v>
      </c>
      <c r="L4398" s="902"/>
      <c r="M4398" s="902"/>
      <c r="N4398" s="902"/>
      <c r="O4398" s="892">
        <f t="shared" si="276"/>
        <v>0</v>
      </c>
      <c r="P4398" s="903">
        <f t="shared" si="277"/>
        <v>1</v>
      </c>
      <c r="Q4398" s="893">
        <f t="shared" si="278"/>
        <v>6</v>
      </c>
      <c r="R4398" s="894">
        <f t="shared" si="279"/>
        <v>0</v>
      </c>
    </row>
    <row r="4399" spans="1:18">
      <c r="A4399" s="905"/>
      <c r="B4399" s="906"/>
      <c r="C4399" s="907">
        <v>55</v>
      </c>
      <c r="D4399" s="907" t="s">
        <v>279</v>
      </c>
      <c r="E4399" s="925" t="s">
        <v>3192</v>
      </c>
      <c r="F4399" s="926" t="s">
        <v>45</v>
      </c>
      <c r="G4399" s="910"/>
      <c r="H4399" s="911">
        <v>0.36</v>
      </c>
      <c r="I4399" s="912">
        <f>VLOOKUP(E4399,[3]VLP!$B$7:$K$300,10,0)</f>
        <v>2273</v>
      </c>
      <c r="J4399" s="912">
        <f>I4399*H4399</f>
        <v>818.28</v>
      </c>
      <c r="K4399" s="912" t="s">
        <v>274</v>
      </c>
      <c r="L4399" s="912"/>
      <c r="M4399" s="912"/>
      <c r="N4399" s="912"/>
      <c r="O4399" s="892">
        <f t="shared" si="276"/>
        <v>0</v>
      </c>
      <c r="P4399" s="903">
        <f t="shared" si="277"/>
        <v>1</v>
      </c>
      <c r="Q4399" s="893">
        <f t="shared" si="278"/>
        <v>5</v>
      </c>
      <c r="R4399" s="894">
        <f t="shared" si="279"/>
        <v>0</v>
      </c>
    </row>
    <row r="4400" spans="1:18">
      <c r="A4400" s="905"/>
      <c r="B4400" s="906"/>
      <c r="C4400" s="907">
        <v>44</v>
      </c>
      <c r="D4400" s="907" t="s">
        <v>279</v>
      </c>
      <c r="E4400" s="925" t="s">
        <v>2681</v>
      </c>
      <c r="F4400" s="926" t="s">
        <v>45</v>
      </c>
      <c r="G4400" s="910"/>
      <c r="H4400" s="911">
        <v>0.3</v>
      </c>
      <c r="I4400" s="912">
        <f>VLOOKUP(E4400,[3]VLP!$B$7:$K$300,10,0)</f>
        <v>23000</v>
      </c>
      <c r="J4400" s="912">
        <f>I4400*H4400</f>
        <v>6900</v>
      </c>
      <c r="K4400" s="912" t="s">
        <v>274</v>
      </c>
      <c r="L4400" s="912"/>
      <c r="M4400" s="912"/>
      <c r="N4400" s="912"/>
      <c r="O4400" s="892">
        <f t="shared" si="276"/>
        <v>0</v>
      </c>
      <c r="P4400" s="903">
        <f t="shared" si="277"/>
        <v>1</v>
      </c>
      <c r="Q4400" s="893">
        <f t="shared" si="278"/>
        <v>4</v>
      </c>
      <c r="R4400" s="894">
        <f t="shared" si="279"/>
        <v>0</v>
      </c>
    </row>
    <row r="4401" spans="1:18">
      <c r="A4401" s="905"/>
      <c r="B4401" s="906"/>
      <c r="C4401" s="907">
        <v>124</v>
      </c>
      <c r="D4401" s="907" t="s">
        <v>279</v>
      </c>
      <c r="E4401" s="925" t="s">
        <v>5432</v>
      </c>
      <c r="F4401" s="926" t="s">
        <v>3272</v>
      </c>
      <c r="G4401" s="910"/>
      <c r="H4401" s="911">
        <v>21</v>
      </c>
      <c r="I4401" s="912">
        <f>VLOOKUP(E4401,[3]VLP!$B$7:$K$300,10,0)</f>
        <v>20000</v>
      </c>
      <c r="J4401" s="912">
        <f>I4401*H4401</f>
        <v>420000</v>
      </c>
      <c r="K4401" s="912" t="s">
        <v>274</v>
      </c>
      <c r="L4401" s="912"/>
      <c r="M4401" s="912"/>
      <c r="N4401" s="912"/>
      <c r="O4401" s="892">
        <f t="shared" si="276"/>
        <v>0</v>
      </c>
      <c r="P4401" s="903">
        <f t="shared" si="277"/>
        <v>1</v>
      </c>
      <c r="Q4401" s="893">
        <f t="shared" si="278"/>
        <v>3</v>
      </c>
      <c r="R4401" s="894">
        <f t="shared" si="279"/>
        <v>0</v>
      </c>
    </row>
    <row r="4402" spans="1:18" s="904" customFormat="1">
      <c r="A4402" s="895"/>
      <c r="B4402" s="896"/>
      <c r="C4402" s="897"/>
      <c r="D4402" s="897"/>
      <c r="E4402" s="924" t="s">
        <v>276</v>
      </c>
      <c r="F4402" s="927"/>
      <c r="G4402" s="928"/>
      <c r="H4402" s="901"/>
      <c r="I4402" s="902"/>
      <c r="J4402" s="902"/>
      <c r="K4402" s="912" t="s">
        <v>274</v>
      </c>
      <c r="L4402" s="902"/>
      <c r="M4402" s="902"/>
      <c r="N4402" s="902"/>
      <c r="O4402" s="892">
        <f t="shared" si="276"/>
        <v>0</v>
      </c>
      <c r="P4402" s="903">
        <f t="shared" si="277"/>
        <v>1</v>
      </c>
      <c r="Q4402" s="893">
        <f t="shared" si="278"/>
        <v>2</v>
      </c>
      <c r="R4402" s="894">
        <f t="shared" si="279"/>
        <v>0</v>
      </c>
    </row>
    <row r="4403" spans="1:18">
      <c r="A4403" s="905"/>
      <c r="B4403" s="906"/>
      <c r="C4403" s="907">
        <v>740</v>
      </c>
      <c r="D4403" s="907" t="s">
        <v>12</v>
      </c>
      <c r="E4403" s="908" t="s">
        <v>4008</v>
      </c>
      <c r="F4403" s="909" t="s">
        <v>2674</v>
      </c>
      <c r="G4403" s="910"/>
      <c r="H4403" s="911">
        <v>26.8</v>
      </c>
      <c r="I4403" s="912"/>
      <c r="J4403" s="912"/>
      <c r="K4403" s="912">
        <f>VLOOKUP(E4403,[5]ĐMNC!$A$7:$F$67,4,0)</f>
        <v>221125</v>
      </c>
      <c r="L4403" s="912">
        <f>H4403*K4403</f>
        <v>5926150</v>
      </c>
      <c r="M4403" s="912"/>
      <c r="N4403" s="912"/>
      <c r="O4403" s="892">
        <f t="shared" si="276"/>
        <v>0</v>
      </c>
      <c r="P4403" s="903">
        <f t="shared" si="277"/>
        <v>1</v>
      </c>
      <c r="Q4403" s="893">
        <f t="shared" si="278"/>
        <v>1</v>
      </c>
      <c r="R4403" s="894">
        <f t="shared" si="279"/>
        <v>0</v>
      </c>
    </row>
    <row r="4404" spans="1:18" s="847" customFormat="1" ht="31.5">
      <c r="A4404" s="905"/>
      <c r="B4404" s="914" t="s">
        <v>1328</v>
      </c>
      <c r="C4404" s="915"/>
      <c r="D4404" s="915"/>
      <c r="E4404" s="916" t="s">
        <v>5531</v>
      </c>
      <c r="F4404" s="917" t="s">
        <v>150</v>
      </c>
      <c r="G4404" s="918"/>
      <c r="H4404" s="919"/>
      <c r="I4404" s="920"/>
      <c r="J4404" s="891">
        <f>SUM(J4405:J4410)</f>
        <v>427718.28</v>
      </c>
      <c r="K4404" s="891"/>
      <c r="L4404" s="891">
        <f>SUM(L4405:L4410)</f>
        <v>7031775</v>
      </c>
      <c r="M4404" s="891"/>
      <c r="N4404" s="891">
        <f>SUM(N4405:N4410)</f>
        <v>0</v>
      </c>
      <c r="O4404" s="892">
        <f t="shared" si="276"/>
        <v>1</v>
      </c>
      <c r="P4404" s="903">
        <f t="shared" si="277"/>
        <v>0</v>
      </c>
      <c r="Q4404" s="893">
        <f t="shared" si="278"/>
        <v>0</v>
      </c>
      <c r="R4404" s="894">
        <f t="shared" si="279"/>
        <v>6</v>
      </c>
    </row>
    <row r="4405" spans="1:18" s="904" customFormat="1">
      <c r="A4405" s="895"/>
      <c r="B4405" s="896"/>
      <c r="C4405" s="897"/>
      <c r="D4405" s="897"/>
      <c r="E4405" s="898" t="s">
        <v>108</v>
      </c>
      <c r="F4405" s="899"/>
      <c r="G4405" s="900"/>
      <c r="H4405" s="901"/>
      <c r="I4405" s="902"/>
      <c r="J4405" s="902"/>
      <c r="K4405" s="912" t="s">
        <v>274</v>
      </c>
      <c r="L4405" s="902"/>
      <c r="M4405" s="902"/>
      <c r="N4405" s="902"/>
      <c r="O4405" s="892">
        <f t="shared" si="276"/>
        <v>0</v>
      </c>
      <c r="P4405" s="903">
        <f t="shared" si="277"/>
        <v>1</v>
      </c>
      <c r="Q4405" s="893">
        <f t="shared" si="278"/>
        <v>6</v>
      </c>
      <c r="R4405" s="894">
        <f t="shared" si="279"/>
        <v>0</v>
      </c>
    </row>
    <row r="4406" spans="1:18">
      <c r="A4406" s="905"/>
      <c r="B4406" s="906"/>
      <c r="C4406" s="907">
        <v>55</v>
      </c>
      <c r="D4406" s="907" t="s">
        <v>279</v>
      </c>
      <c r="E4406" s="925" t="s">
        <v>3192</v>
      </c>
      <c r="F4406" s="926" t="s">
        <v>45</v>
      </c>
      <c r="G4406" s="910"/>
      <c r="H4406" s="911">
        <v>0.36</v>
      </c>
      <c r="I4406" s="912">
        <f>VLOOKUP(E4406,[3]VLP!$B$7:$K$300,10,0)</f>
        <v>2273</v>
      </c>
      <c r="J4406" s="912">
        <f>I4406*H4406</f>
        <v>818.28</v>
      </c>
      <c r="K4406" s="912" t="s">
        <v>274</v>
      </c>
      <c r="L4406" s="912"/>
      <c r="M4406" s="912"/>
      <c r="N4406" s="912"/>
      <c r="O4406" s="892">
        <f t="shared" si="276"/>
        <v>0</v>
      </c>
      <c r="P4406" s="903">
        <f t="shared" si="277"/>
        <v>1</v>
      </c>
      <c r="Q4406" s="893">
        <f t="shared" si="278"/>
        <v>5</v>
      </c>
      <c r="R4406" s="894">
        <f t="shared" si="279"/>
        <v>0</v>
      </c>
    </row>
    <row r="4407" spans="1:18">
      <c r="A4407" s="905"/>
      <c r="B4407" s="906"/>
      <c r="C4407" s="907">
        <v>44</v>
      </c>
      <c r="D4407" s="907" t="s">
        <v>279</v>
      </c>
      <c r="E4407" s="925" t="s">
        <v>2681</v>
      </c>
      <c r="F4407" s="926" t="s">
        <v>45</v>
      </c>
      <c r="G4407" s="910"/>
      <c r="H4407" s="911">
        <v>0.3</v>
      </c>
      <c r="I4407" s="912">
        <f>VLOOKUP(E4407,[3]VLP!$B$7:$K$300,10,0)</f>
        <v>23000</v>
      </c>
      <c r="J4407" s="912">
        <f>I4407*H4407</f>
        <v>6900</v>
      </c>
      <c r="K4407" s="912" t="s">
        <v>274</v>
      </c>
      <c r="L4407" s="912"/>
      <c r="M4407" s="912"/>
      <c r="N4407" s="912"/>
      <c r="O4407" s="892">
        <f t="shared" si="276"/>
        <v>0</v>
      </c>
      <c r="P4407" s="903">
        <f t="shared" si="277"/>
        <v>1</v>
      </c>
      <c r="Q4407" s="893">
        <f t="shared" si="278"/>
        <v>4</v>
      </c>
      <c r="R4407" s="894">
        <f t="shared" si="279"/>
        <v>0</v>
      </c>
    </row>
    <row r="4408" spans="1:18">
      <c r="A4408" s="905"/>
      <c r="B4408" s="906"/>
      <c r="C4408" s="907">
        <v>124</v>
      </c>
      <c r="D4408" s="907" t="s">
        <v>279</v>
      </c>
      <c r="E4408" s="925" t="s">
        <v>5432</v>
      </c>
      <c r="F4408" s="926" t="s">
        <v>3272</v>
      </c>
      <c r="G4408" s="910"/>
      <c r="H4408" s="911">
        <v>21</v>
      </c>
      <c r="I4408" s="912">
        <f>VLOOKUP(E4408,[3]VLP!$B$7:$K$300,10,0)</f>
        <v>20000</v>
      </c>
      <c r="J4408" s="912">
        <f>I4408*H4408</f>
        <v>420000</v>
      </c>
      <c r="K4408" s="912" t="s">
        <v>274</v>
      </c>
      <c r="L4408" s="912"/>
      <c r="M4408" s="912"/>
      <c r="N4408" s="912"/>
      <c r="O4408" s="892">
        <f t="shared" si="276"/>
        <v>0</v>
      </c>
      <c r="P4408" s="903">
        <f t="shared" si="277"/>
        <v>1</v>
      </c>
      <c r="Q4408" s="893">
        <f t="shared" si="278"/>
        <v>3</v>
      </c>
      <c r="R4408" s="894">
        <f t="shared" si="279"/>
        <v>0</v>
      </c>
    </row>
    <row r="4409" spans="1:18" s="904" customFormat="1">
      <c r="A4409" s="895"/>
      <c r="B4409" s="896"/>
      <c r="C4409" s="897"/>
      <c r="D4409" s="897"/>
      <c r="E4409" s="924" t="s">
        <v>276</v>
      </c>
      <c r="F4409" s="927"/>
      <c r="G4409" s="928"/>
      <c r="H4409" s="901"/>
      <c r="I4409" s="902"/>
      <c r="J4409" s="902"/>
      <c r="K4409" s="912" t="s">
        <v>274</v>
      </c>
      <c r="L4409" s="902"/>
      <c r="M4409" s="902"/>
      <c r="N4409" s="902"/>
      <c r="O4409" s="892">
        <f t="shared" si="276"/>
        <v>0</v>
      </c>
      <c r="P4409" s="903">
        <f t="shared" si="277"/>
        <v>1</v>
      </c>
      <c r="Q4409" s="893">
        <f t="shared" si="278"/>
        <v>2</v>
      </c>
      <c r="R4409" s="894">
        <f t="shared" si="279"/>
        <v>0</v>
      </c>
    </row>
    <row r="4410" spans="1:18">
      <c r="A4410" s="905"/>
      <c r="B4410" s="906"/>
      <c r="C4410" s="907">
        <v>740</v>
      </c>
      <c r="D4410" s="907" t="s">
        <v>12</v>
      </c>
      <c r="E4410" s="908" t="s">
        <v>4008</v>
      </c>
      <c r="F4410" s="909" t="s">
        <v>2674</v>
      </c>
      <c r="G4410" s="910"/>
      <c r="H4410" s="911">
        <v>31.8</v>
      </c>
      <c r="I4410" s="912"/>
      <c r="J4410" s="912"/>
      <c r="K4410" s="912">
        <f>VLOOKUP(E4410,[5]ĐMNC!$A$7:$F$67,4,0)</f>
        <v>221125</v>
      </c>
      <c r="L4410" s="912">
        <f>H4410*K4410</f>
        <v>7031775</v>
      </c>
      <c r="M4410" s="912"/>
      <c r="N4410" s="912"/>
      <c r="O4410" s="892">
        <f t="shared" si="276"/>
        <v>0</v>
      </c>
      <c r="P4410" s="903">
        <f t="shared" si="277"/>
        <v>1</v>
      </c>
      <c r="Q4410" s="893">
        <f t="shared" si="278"/>
        <v>1</v>
      </c>
      <c r="R4410" s="894">
        <f t="shared" si="279"/>
        <v>0</v>
      </c>
    </row>
    <row r="4411" spans="1:18" s="847" customFormat="1" ht="31.5">
      <c r="A4411" s="905"/>
      <c r="B4411" s="914" t="s">
        <v>1330</v>
      </c>
      <c r="C4411" s="915"/>
      <c r="D4411" s="915"/>
      <c r="E4411" s="916" t="s">
        <v>5532</v>
      </c>
      <c r="F4411" s="917" t="s">
        <v>150</v>
      </c>
      <c r="G4411" s="918"/>
      <c r="H4411" s="919"/>
      <c r="I4411" s="920"/>
      <c r="J4411" s="891">
        <f>SUM(J4412:J4417)</f>
        <v>427718.28</v>
      </c>
      <c r="K4411" s="891"/>
      <c r="L4411" s="891">
        <f>SUM(L4412:L4417)</f>
        <v>8298821.25</v>
      </c>
      <c r="M4411" s="891"/>
      <c r="N4411" s="891">
        <f>SUM(N4412:N4417)</f>
        <v>0</v>
      </c>
      <c r="O4411" s="892">
        <f t="shared" si="276"/>
        <v>1</v>
      </c>
      <c r="P4411" s="903">
        <f t="shared" si="277"/>
        <v>0</v>
      </c>
      <c r="Q4411" s="893">
        <f t="shared" si="278"/>
        <v>0</v>
      </c>
      <c r="R4411" s="894">
        <f t="shared" si="279"/>
        <v>6</v>
      </c>
    </row>
    <row r="4412" spans="1:18" s="904" customFormat="1">
      <c r="A4412" s="895"/>
      <c r="B4412" s="896"/>
      <c r="C4412" s="897"/>
      <c r="D4412" s="897"/>
      <c r="E4412" s="898" t="s">
        <v>108</v>
      </c>
      <c r="F4412" s="899"/>
      <c r="G4412" s="900"/>
      <c r="H4412" s="901"/>
      <c r="I4412" s="902"/>
      <c r="J4412" s="902"/>
      <c r="K4412" s="912" t="s">
        <v>274</v>
      </c>
      <c r="L4412" s="902"/>
      <c r="M4412" s="902"/>
      <c r="N4412" s="902"/>
      <c r="O4412" s="892">
        <f t="shared" si="276"/>
        <v>0</v>
      </c>
      <c r="P4412" s="903">
        <f t="shared" si="277"/>
        <v>1</v>
      </c>
      <c r="Q4412" s="893">
        <f t="shared" si="278"/>
        <v>6</v>
      </c>
      <c r="R4412" s="894">
        <f t="shared" si="279"/>
        <v>0</v>
      </c>
    </row>
    <row r="4413" spans="1:18">
      <c r="A4413" s="905"/>
      <c r="B4413" s="906"/>
      <c r="C4413" s="907">
        <v>55</v>
      </c>
      <c r="D4413" s="907" t="s">
        <v>279</v>
      </c>
      <c r="E4413" s="925" t="s">
        <v>3192</v>
      </c>
      <c r="F4413" s="926" t="s">
        <v>45</v>
      </c>
      <c r="G4413" s="910"/>
      <c r="H4413" s="911">
        <v>0.36</v>
      </c>
      <c r="I4413" s="912">
        <f>VLOOKUP(E4413,[3]VLP!$B$7:$K$300,10,0)</f>
        <v>2273</v>
      </c>
      <c r="J4413" s="912">
        <f>I4413*H4413</f>
        <v>818.28</v>
      </c>
      <c r="K4413" s="912" t="s">
        <v>274</v>
      </c>
      <c r="L4413" s="912"/>
      <c r="M4413" s="912"/>
      <c r="N4413" s="912"/>
      <c r="O4413" s="892">
        <f t="shared" si="276"/>
        <v>0</v>
      </c>
      <c r="P4413" s="903">
        <f t="shared" si="277"/>
        <v>1</v>
      </c>
      <c r="Q4413" s="893">
        <f t="shared" si="278"/>
        <v>5</v>
      </c>
      <c r="R4413" s="894">
        <f t="shared" si="279"/>
        <v>0</v>
      </c>
    </row>
    <row r="4414" spans="1:18">
      <c r="A4414" s="905"/>
      <c r="B4414" s="906"/>
      <c r="C4414" s="907">
        <v>44</v>
      </c>
      <c r="D4414" s="907" t="s">
        <v>279</v>
      </c>
      <c r="E4414" s="925" t="s">
        <v>2681</v>
      </c>
      <c r="F4414" s="926" t="s">
        <v>45</v>
      </c>
      <c r="G4414" s="910"/>
      <c r="H4414" s="911">
        <v>0.3</v>
      </c>
      <c r="I4414" s="912">
        <f>VLOOKUP(E4414,[3]VLP!$B$7:$K$300,10,0)</f>
        <v>23000</v>
      </c>
      <c r="J4414" s="912">
        <f>I4414*H4414</f>
        <v>6900</v>
      </c>
      <c r="K4414" s="912" t="s">
        <v>274</v>
      </c>
      <c r="L4414" s="912"/>
      <c r="M4414" s="912"/>
      <c r="N4414" s="912"/>
      <c r="O4414" s="892">
        <f t="shared" si="276"/>
        <v>0</v>
      </c>
      <c r="P4414" s="903">
        <f t="shared" si="277"/>
        <v>1</v>
      </c>
      <c r="Q4414" s="893">
        <f t="shared" si="278"/>
        <v>4</v>
      </c>
      <c r="R4414" s="894">
        <f t="shared" si="279"/>
        <v>0</v>
      </c>
    </row>
    <row r="4415" spans="1:18">
      <c r="A4415" s="905"/>
      <c r="B4415" s="906"/>
      <c r="C4415" s="907">
        <v>124</v>
      </c>
      <c r="D4415" s="907" t="s">
        <v>279</v>
      </c>
      <c r="E4415" s="925" t="s">
        <v>5432</v>
      </c>
      <c r="F4415" s="926" t="s">
        <v>3272</v>
      </c>
      <c r="G4415" s="910"/>
      <c r="H4415" s="911">
        <v>21</v>
      </c>
      <c r="I4415" s="912">
        <f>VLOOKUP(E4415,[3]VLP!$B$7:$K$300,10,0)</f>
        <v>20000</v>
      </c>
      <c r="J4415" s="912">
        <f>I4415*H4415</f>
        <v>420000</v>
      </c>
      <c r="K4415" s="912" t="s">
        <v>274</v>
      </c>
      <c r="L4415" s="912"/>
      <c r="M4415" s="912"/>
      <c r="N4415" s="912"/>
      <c r="O4415" s="892">
        <f t="shared" si="276"/>
        <v>0</v>
      </c>
      <c r="P4415" s="903">
        <f t="shared" si="277"/>
        <v>1</v>
      </c>
      <c r="Q4415" s="893">
        <f t="shared" si="278"/>
        <v>3</v>
      </c>
      <c r="R4415" s="894">
        <f t="shared" si="279"/>
        <v>0</v>
      </c>
    </row>
    <row r="4416" spans="1:18" s="904" customFormat="1">
      <c r="A4416" s="895"/>
      <c r="B4416" s="896"/>
      <c r="C4416" s="897"/>
      <c r="D4416" s="897"/>
      <c r="E4416" s="924" t="s">
        <v>276</v>
      </c>
      <c r="F4416" s="927"/>
      <c r="G4416" s="928"/>
      <c r="H4416" s="901"/>
      <c r="I4416" s="902"/>
      <c r="J4416" s="902"/>
      <c r="K4416" s="912" t="s">
        <v>274</v>
      </c>
      <c r="L4416" s="902"/>
      <c r="M4416" s="902"/>
      <c r="N4416" s="902"/>
      <c r="O4416" s="892">
        <f t="shared" si="276"/>
        <v>0</v>
      </c>
      <c r="P4416" s="903">
        <f t="shared" si="277"/>
        <v>1</v>
      </c>
      <c r="Q4416" s="893">
        <f t="shared" si="278"/>
        <v>2</v>
      </c>
      <c r="R4416" s="894">
        <f t="shared" si="279"/>
        <v>0</v>
      </c>
    </row>
    <row r="4417" spans="1:18">
      <c r="A4417" s="905"/>
      <c r="B4417" s="906"/>
      <c r="C4417" s="907">
        <v>740</v>
      </c>
      <c r="D4417" s="907" t="s">
        <v>12</v>
      </c>
      <c r="E4417" s="908" t="s">
        <v>4008</v>
      </c>
      <c r="F4417" s="909" t="s">
        <v>2674</v>
      </c>
      <c r="G4417" s="910"/>
      <c r="H4417" s="911">
        <v>37.53</v>
      </c>
      <c r="I4417" s="912"/>
      <c r="J4417" s="912"/>
      <c r="K4417" s="912">
        <f>VLOOKUP(E4417,[5]ĐMNC!$A$7:$F$67,4,0)</f>
        <v>221125</v>
      </c>
      <c r="L4417" s="912">
        <f>H4417*K4417</f>
        <v>8298821.25</v>
      </c>
      <c r="M4417" s="912"/>
      <c r="N4417" s="912"/>
      <c r="O4417" s="892">
        <f t="shared" si="276"/>
        <v>0</v>
      </c>
      <c r="P4417" s="903">
        <f t="shared" si="277"/>
        <v>1</v>
      </c>
      <c r="Q4417" s="893">
        <f t="shared" si="278"/>
        <v>1</v>
      </c>
      <c r="R4417" s="894">
        <f t="shared" si="279"/>
        <v>0</v>
      </c>
    </row>
    <row r="4418" spans="1:18" s="847" customFormat="1" ht="31.5">
      <c r="A4418" s="905"/>
      <c r="B4418" s="914" t="s">
        <v>1332</v>
      </c>
      <c r="C4418" s="915"/>
      <c r="D4418" s="915"/>
      <c r="E4418" s="916" t="s">
        <v>5532</v>
      </c>
      <c r="F4418" s="917" t="s">
        <v>150</v>
      </c>
      <c r="G4418" s="918"/>
      <c r="H4418" s="919"/>
      <c r="I4418" s="920"/>
      <c r="J4418" s="891">
        <f>SUM(J4419:J4424)</f>
        <v>427718.28</v>
      </c>
      <c r="K4418" s="891"/>
      <c r="L4418" s="891">
        <f>SUM(L4419:L4424)</f>
        <v>9125828.75</v>
      </c>
      <c r="M4418" s="891"/>
      <c r="N4418" s="891">
        <f>SUM(N4419:N4424)</f>
        <v>0</v>
      </c>
      <c r="O4418" s="892">
        <f t="shared" si="276"/>
        <v>1</v>
      </c>
      <c r="P4418" s="903">
        <f t="shared" si="277"/>
        <v>0</v>
      </c>
      <c r="Q4418" s="893">
        <f t="shared" si="278"/>
        <v>0</v>
      </c>
      <c r="R4418" s="894">
        <f t="shared" si="279"/>
        <v>6</v>
      </c>
    </row>
    <row r="4419" spans="1:18" s="904" customFormat="1">
      <c r="A4419" s="895"/>
      <c r="B4419" s="896"/>
      <c r="C4419" s="897"/>
      <c r="D4419" s="897"/>
      <c r="E4419" s="898" t="s">
        <v>108</v>
      </c>
      <c r="F4419" s="899"/>
      <c r="G4419" s="900"/>
      <c r="H4419" s="901"/>
      <c r="I4419" s="902"/>
      <c r="J4419" s="902"/>
      <c r="K4419" s="912" t="s">
        <v>274</v>
      </c>
      <c r="L4419" s="902"/>
      <c r="M4419" s="902"/>
      <c r="N4419" s="902"/>
      <c r="O4419" s="892">
        <f t="shared" si="276"/>
        <v>0</v>
      </c>
      <c r="P4419" s="903">
        <f t="shared" si="277"/>
        <v>1</v>
      </c>
      <c r="Q4419" s="893">
        <f t="shared" si="278"/>
        <v>6</v>
      </c>
      <c r="R4419" s="894">
        <f t="shared" si="279"/>
        <v>0</v>
      </c>
    </row>
    <row r="4420" spans="1:18">
      <c r="A4420" s="905"/>
      <c r="B4420" s="906"/>
      <c r="C4420" s="907">
        <v>55</v>
      </c>
      <c r="D4420" s="907" t="s">
        <v>279</v>
      </c>
      <c r="E4420" s="925" t="s">
        <v>3192</v>
      </c>
      <c r="F4420" s="926" t="s">
        <v>45</v>
      </c>
      <c r="G4420" s="910"/>
      <c r="H4420" s="911">
        <v>0.36</v>
      </c>
      <c r="I4420" s="912">
        <f>VLOOKUP(E4420,[3]VLP!$B$7:$K$300,10,0)</f>
        <v>2273</v>
      </c>
      <c r="J4420" s="912">
        <f>I4420*H4420</f>
        <v>818.28</v>
      </c>
      <c r="K4420" s="912" t="s">
        <v>274</v>
      </c>
      <c r="L4420" s="912"/>
      <c r="M4420" s="912"/>
      <c r="N4420" s="912"/>
      <c r="O4420" s="892">
        <f t="shared" si="276"/>
        <v>0</v>
      </c>
      <c r="P4420" s="903">
        <f t="shared" si="277"/>
        <v>1</v>
      </c>
      <c r="Q4420" s="893">
        <f t="shared" si="278"/>
        <v>5</v>
      </c>
      <c r="R4420" s="894">
        <f t="shared" si="279"/>
        <v>0</v>
      </c>
    </row>
    <row r="4421" spans="1:18">
      <c r="A4421" s="905"/>
      <c r="B4421" s="906"/>
      <c r="C4421" s="907">
        <v>44</v>
      </c>
      <c r="D4421" s="907" t="s">
        <v>279</v>
      </c>
      <c r="E4421" s="925" t="s">
        <v>2681</v>
      </c>
      <c r="F4421" s="926" t="s">
        <v>45</v>
      </c>
      <c r="G4421" s="910"/>
      <c r="H4421" s="911">
        <v>0.3</v>
      </c>
      <c r="I4421" s="912">
        <f>VLOOKUP(E4421,[3]VLP!$B$7:$K$300,10,0)</f>
        <v>23000</v>
      </c>
      <c r="J4421" s="912">
        <f>I4421*H4421</f>
        <v>6900</v>
      </c>
      <c r="K4421" s="912" t="s">
        <v>274</v>
      </c>
      <c r="L4421" s="912"/>
      <c r="M4421" s="912"/>
      <c r="N4421" s="912"/>
      <c r="O4421" s="892">
        <f t="shared" si="276"/>
        <v>0</v>
      </c>
      <c r="P4421" s="903">
        <f t="shared" si="277"/>
        <v>1</v>
      </c>
      <c r="Q4421" s="893">
        <f t="shared" si="278"/>
        <v>4</v>
      </c>
      <c r="R4421" s="894">
        <f t="shared" si="279"/>
        <v>0</v>
      </c>
    </row>
    <row r="4422" spans="1:18">
      <c r="A4422" s="905"/>
      <c r="B4422" s="906"/>
      <c r="C4422" s="907">
        <v>124</v>
      </c>
      <c r="D4422" s="907" t="s">
        <v>279</v>
      </c>
      <c r="E4422" s="925" t="s">
        <v>5432</v>
      </c>
      <c r="F4422" s="926" t="s">
        <v>3272</v>
      </c>
      <c r="G4422" s="910"/>
      <c r="H4422" s="911">
        <v>21</v>
      </c>
      <c r="I4422" s="912">
        <f>VLOOKUP(E4422,[3]VLP!$B$7:$K$300,10,0)</f>
        <v>20000</v>
      </c>
      <c r="J4422" s="912">
        <f>I4422*H4422</f>
        <v>420000</v>
      </c>
      <c r="K4422" s="912" t="s">
        <v>274</v>
      </c>
      <c r="L4422" s="912"/>
      <c r="M4422" s="912"/>
      <c r="N4422" s="912"/>
      <c r="O4422" s="892">
        <f t="shared" si="276"/>
        <v>0</v>
      </c>
      <c r="P4422" s="903">
        <f t="shared" si="277"/>
        <v>1</v>
      </c>
      <c r="Q4422" s="893">
        <f t="shared" si="278"/>
        <v>3</v>
      </c>
      <c r="R4422" s="894">
        <f t="shared" si="279"/>
        <v>0</v>
      </c>
    </row>
    <row r="4423" spans="1:18" s="904" customFormat="1">
      <c r="A4423" s="895"/>
      <c r="B4423" s="896"/>
      <c r="C4423" s="897"/>
      <c r="D4423" s="897"/>
      <c r="E4423" s="924" t="s">
        <v>276</v>
      </c>
      <c r="F4423" s="927"/>
      <c r="G4423" s="928"/>
      <c r="H4423" s="901"/>
      <c r="I4423" s="902"/>
      <c r="J4423" s="902"/>
      <c r="K4423" s="912" t="s">
        <v>274</v>
      </c>
      <c r="L4423" s="902"/>
      <c r="M4423" s="902"/>
      <c r="N4423" s="902"/>
      <c r="O4423" s="892">
        <f t="shared" si="276"/>
        <v>0</v>
      </c>
      <c r="P4423" s="903">
        <f t="shared" si="277"/>
        <v>1</v>
      </c>
      <c r="Q4423" s="893">
        <f t="shared" si="278"/>
        <v>2</v>
      </c>
      <c r="R4423" s="894">
        <f t="shared" si="279"/>
        <v>0</v>
      </c>
    </row>
    <row r="4424" spans="1:18">
      <c r="A4424" s="905"/>
      <c r="B4424" s="906"/>
      <c r="C4424" s="907">
        <v>740</v>
      </c>
      <c r="D4424" s="907" t="s">
        <v>12</v>
      </c>
      <c r="E4424" s="908" t="s">
        <v>4008</v>
      </c>
      <c r="F4424" s="909" t="s">
        <v>2674</v>
      </c>
      <c r="G4424" s="910"/>
      <c r="H4424" s="911">
        <v>41.27</v>
      </c>
      <c r="I4424" s="912"/>
      <c r="J4424" s="912"/>
      <c r="K4424" s="912">
        <f>VLOOKUP(E4424,[5]ĐMNC!$A$7:$F$67,4,0)</f>
        <v>221125</v>
      </c>
      <c r="L4424" s="912">
        <f>H4424*K4424</f>
        <v>9125828.75</v>
      </c>
      <c r="M4424" s="912"/>
      <c r="N4424" s="912"/>
      <c r="O4424" s="892">
        <f t="shared" si="276"/>
        <v>0</v>
      </c>
      <c r="P4424" s="903">
        <f t="shared" si="277"/>
        <v>1</v>
      </c>
      <c r="Q4424" s="893">
        <f t="shared" si="278"/>
        <v>1</v>
      </c>
      <c r="R4424" s="894">
        <f t="shared" si="279"/>
        <v>0</v>
      </c>
    </row>
    <row r="4425" spans="1:18" s="847" customFormat="1" ht="31.5">
      <c r="A4425" s="905"/>
      <c r="B4425" s="914" t="s">
        <v>1334</v>
      </c>
      <c r="C4425" s="915"/>
      <c r="D4425" s="915"/>
      <c r="E4425" s="916" t="s">
        <v>5533</v>
      </c>
      <c r="F4425" s="917" t="s">
        <v>150</v>
      </c>
      <c r="G4425" s="918"/>
      <c r="H4425" s="919"/>
      <c r="I4425" s="920"/>
      <c r="J4425" s="891">
        <f>SUM(J4426:J4431)</f>
        <v>427718.28</v>
      </c>
      <c r="K4425" s="891"/>
      <c r="L4425" s="891">
        <f>SUM(L4426:L4431)</f>
        <v>11509556.25</v>
      </c>
      <c r="M4425" s="891"/>
      <c r="N4425" s="891">
        <f>SUM(N4426:N4431)</f>
        <v>0</v>
      </c>
      <c r="O4425" s="892">
        <f t="shared" si="276"/>
        <v>1</v>
      </c>
      <c r="P4425" s="903">
        <f t="shared" si="277"/>
        <v>0</v>
      </c>
      <c r="Q4425" s="893">
        <f t="shared" si="278"/>
        <v>0</v>
      </c>
      <c r="R4425" s="894">
        <f t="shared" si="279"/>
        <v>6</v>
      </c>
    </row>
    <row r="4426" spans="1:18" s="904" customFormat="1">
      <c r="A4426" s="895"/>
      <c r="B4426" s="896"/>
      <c r="C4426" s="897"/>
      <c r="D4426" s="897"/>
      <c r="E4426" s="898" t="s">
        <v>108</v>
      </c>
      <c r="F4426" s="899"/>
      <c r="G4426" s="900"/>
      <c r="H4426" s="901"/>
      <c r="I4426" s="902"/>
      <c r="J4426" s="902"/>
      <c r="K4426" s="912" t="s">
        <v>274</v>
      </c>
      <c r="L4426" s="902"/>
      <c r="M4426" s="902"/>
      <c r="N4426" s="902"/>
      <c r="O4426" s="892">
        <f t="shared" si="276"/>
        <v>0</v>
      </c>
      <c r="P4426" s="903">
        <f t="shared" si="277"/>
        <v>1</v>
      </c>
      <c r="Q4426" s="893">
        <f t="shared" si="278"/>
        <v>6</v>
      </c>
      <c r="R4426" s="894">
        <f t="shared" si="279"/>
        <v>0</v>
      </c>
    </row>
    <row r="4427" spans="1:18">
      <c r="A4427" s="905"/>
      <c r="B4427" s="906"/>
      <c r="C4427" s="907">
        <v>55</v>
      </c>
      <c r="D4427" s="907" t="s">
        <v>279</v>
      </c>
      <c r="E4427" s="925" t="s">
        <v>3192</v>
      </c>
      <c r="F4427" s="926" t="s">
        <v>45</v>
      </c>
      <c r="G4427" s="910"/>
      <c r="H4427" s="911">
        <v>0.36</v>
      </c>
      <c r="I4427" s="912">
        <f>VLOOKUP(E4427,[3]VLP!$B$7:$K$300,10,0)</f>
        <v>2273</v>
      </c>
      <c r="J4427" s="912">
        <f>I4427*H4427</f>
        <v>818.28</v>
      </c>
      <c r="K4427" s="912" t="s">
        <v>274</v>
      </c>
      <c r="L4427" s="912"/>
      <c r="M4427" s="912"/>
      <c r="N4427" s="912"/>
      <c r="O4427" s="892">
        <f t="shared" si="276"/>
        <v>0</v>
      </c>
      <c r="P4427" s="903">
        <f t="shared" si="277"/>
        <v>1</v>
      </c>
      <c r="Q4427" s="893">
        <f t="shared" si="278"/>
        <v>5</v>
      </c>
      <c r="R4427" s="894">
        <f t="shared" si="279"/>
        <v>0</v>
      </c>
    </row>
    <row r="4428" spans="1:18">
      <c r="A4428" s="905"/>
      <c r="B4428" s="906"/>
      <c r="C4428" s="907">
        <v>44</v>
      </c>
      <c r="D4428" s="907" t="s">
        <v>279</v>
      </c>
      <c r="E4428" s="925" t="s">
        <v>2681</v>
      </c>
      <c r="F4428" s="926" t="s">
        <v>45</v>
      </c>
      <c r="G4428" s="910"/>
      <c r="H4428" s="911">
        <v>0.3</v>
      </c>
      <c r="I4428" s="912">
        <f>VLOOKUP(E4428,[3]VLP!$B$7:$K$300,10,0)</f>
        <v>23000</v>
      </c>
      <c r="J4428" s="912">
        <f>I4428*H4428</f>
        <v>6900</v>
      </c>
      <c r="K4428" s="912" t="s">
        <v>274</v>
      </c>
      <c r="L4428" s="912"/>
      <c r="M4428" s="912"/>
      <c r="N4428" s="912"/>
      <c r="O4428" s="892">
        <f t="shared" si="276"/>
        <v>0</v>
      </c>
      <c r="P4428" s="903">
        <f t="shared" si="277"/>
        <v>1</v>
      </c>
      <c r="Q4428" s="893">
        <f t="shared" si="278"/>
        <v>4</v>
      </c>
      <c r="R4428" s="894">
        <f t="shared" si="279"/>
        <v>0</v>
      </c>
    </row>
    <row r="4429" spans="1:18">
      <c r="A4429" s="905"/>
      <c r="B4429" s="906"/>
      <c r="C4429" s="907">
        <v>124</v>
      </c>
      <c r="D4429" s="907" t="s">
        <v>279</v>
      </c>
      <c r="E4429" s="925" t="s">
        <v>5432</v>
      </c>
      <c r="F4429" s="926" t="s">
        <v>3272</v>
      </c>
      <c r="G4429" s="910"/>
      <c r="H4429" s="911">
        <v>21</v>
      </c>
      <c r="I4429" s="912">
        <f>VLOOKUP(E4429,[3]VLP!$B$7:$K$300,10,0)</f>
        <v>20000</v>
      </c>
      <c r="J4429" s="912">
        <f>I4429*H4429</f>
        <v>420000</v>
      </c>
      <c r="K4429" s="912" t="s">
        <v>274</v>
      </c>
      <c r="L4429" s="912"/>
      <c r="M4429" s="912"/>
      <c r="N4429" s="912"/>
      <c r="O4429" s="892">
        <f t="shared" si="276"/>
        <v>0</v>
      </c>
      <c r="P4429" s="903">
        <f t="shared" si="277"/>
        <v>1</v>
      </c>
      <c r="Q4429" s="893">
        <f t="shared" si="278"/>
        <v>3</v>
      </c>
      <c r="R4429" s="894">
        <f t="shared" si="279"/>
        <v>0</v>
      </c>
    </row>
    <row r="4430" spans="1:18" s="904" customFormat="1">
      <c r="A4430" s="895"/>
      <c r="B4430" s="896"/>
      <c r="C4430" s="897"/>
      <c r="D4430" s="897"/>
      <c r="E4430" s="924" t="s">
        <v>276</v>
      </c>
      <c r="F4430" s="927"/>
      <c r="G4430" s="928"/>
      <c r="H4430" s="901"/>
      <c r="I4430" s="902"/>
      <c r="J4430" s="902"/>
      <c r="K4430" s="912" t="s">
        <v>274</v>
      </c>
      <c r="L4430" s="902"/>
      <c r="M4430" s="902"/>
      <c r="N4430" s="902"/>
      <c r="O4430" s="892">
        <f t="shared" si="276"/>
        <v>0</v>
      </c>
      <c r="P4430" s="903">
        <f t="shared" si="277"/>
        <v>1</v>
      </c>
      <c r="Q4430" s="893">
        <f t="shared" si="278"/>
        <v>2</v>
      </c>
      <c r="R4430" s="894">
        <f t="shared" si="279"/>
        <v>0</v>
      </c>
    </row>
    <row r="4431" spans="1:18">
      <c r="A4431" s="905"/>
      <c r="B4431" s="906"/>
      <c r="C4431" s="907">
        <v>740</v>
      </c>
      <c r="D4431" s="907" t="s">
        <v>12</v>
      </c>
      <c r="E4431" s="908" t="s">
        <v>4008</v>
      </c>
      <c r="F4431" s="909" t="s">
        <v>2674</v>
      </c>
      <c r="G4431" s="910"/>
      <c r="H4431" s="911">
        <v>52.05</v>
      </c>
      <c r="I4431" s="912"/>
      <c r="J4431" s="912"/>
      <c r="K4431" s="912">
        <f>VLOOKUP(E4431,[5]ĐMNC!$A$7:$F$67,4,0)</f>
        <v>221125</v>
      </c>
      <c r="L4431" s="912">
        <f>H4431*K4431</f>
        <v>11509556.25</v>
      </c>
      <c r="M4431" s="912"/>
      <c r="N4431" s="912"/>
      <c r="O4431" s="892">
        <f t="shared" si="276"/>
        <v>0</v>
      </c>
      <c r="P4431" s="903">
        <f t="shared" si="277"/>
        <v>1</v>
      </c>
      <c r="Q4431" s="893">
        <f t="shared" si="278"/>
        <v>1</v>
      </c>
      <c r="R4431" s="894">
        <f t="shared" si="279"/>
        <v>0</v>
      </c>
    </row>
    <row r="4432" spans="1:18" s="847" customFormat="1" ht="31.5">
      <c r="A4432" s="905"/>
      <c r="B4432" s="914" t="s">
        <v>1336</v>
      </c>
      <c r="C4432" s="915"/>
      <c r="D4432" s="915"/>
      <c r="E4432" s="916" t="s">
        <v>5534</v>
      </c>
      <c r="F4432" s="917" t="s">
        <v>150</v>
      </c>
      <c r="G4432" s="918"/>
      <c r="H4432" s="919"/>
      <c r="I4432" s="920"/>
      <c r="J4432" s="891">
        <f>SUM(J4433:J4438)</f>
        <v>427718.28</v>
      </c>
      <c r="K4432" s="891"/>
      <c r="L4432" s="891">
        <f>SUM(L4433:L4438)</f>
        <v>15202343.75</v>
      </c>
      <c r="M4432" s="891"/>
      <c r="N4432" s="891">
        <f>SUM(N4433:N4438)</f>
        <v>0</v>
      </c>
      <c r="O4432" s="892">
        <f t="shared" si="276"/>
        <v>1</v>
      </c>
      <c r="P4432" s="903">
        <f t="shared" si="277"/>
        <v>0</v>
      </c>
      <c r="Q4432" s="893">
        <f t="shared" si="278"/>
        <v>0</v>
      </c>
      <c r="R4432" s="894">
        <f t="shared" si="279"/>
        <v>6</v>
      </c>
    </row>
    <row r="4433" spans="1:18" s="904" customFormat="1">
      <c r="A4433" s="895"/>
      <c r="B4433" s="896"/>
      <c r="C4433" s="897"/>
      <c r="D4433" s="897"/>
      <c r="E4433" s="898" t="s">
        <v>108</v>
      </c>
      <c r="F4433" s="899"/>
      <c r="G4433" s="900"/>
      <c r="H4433" s="901"/>
      <c r="I4433" s="902"/>
      <c r="J4433" s="902"/>
      <c r="K4433" s="912" t="s">
        <v>274</v>
      </c>
      <c r="L4433" s="902"/>
      <c r="M4433" s="902"/>
      <c r="N4433" s="902"/>
      <c r="O4433" s="892">
        <f t="shared" si="276"/>
        <v>0</v>
      </c>
      <c r="P4433" s="903">
        <f t="shared" si="277"/>
        <v>1</v>
      </c>
      <c r="Q4433" s="893">
        <f t="shared" si="278"/>
        <v>6</v>
      </c>
      <c r="R4433" s="894">
        <f t="shared" si="279"/>
        <v>0</v>
      </c>
    </row>
    <row r="4434" spans="1:18">
      <c r="A4434" s="905"/>
      <c r="B4434" s="906"/>
      <c r="C4434" s="907">
        <v>55</v>
      </c>
      <c r="D4434" s="907" t="s">
        <v>279</v>
      </c>
      <c r="E4434" s="925" t="s">
        <v>3192</v>
      </c>
      <c r="F4434" s="926" t="s">
        <v>45</v>
      </c>
      <c r="G4434" s="910"/>
      <c r="H4434" s="911">
        <v>0.36</v>
      </c>
      <c r="I4434" s="912">
        <f>VLOOKUP(E4434,[3]VLP!$B$7:$K$300,10,0)</f>
        <v>2273</v>
      </c>
      <c r="J4434" s="912">
        <f>I4434*H4434</f>
        <v>818.28</v>
      </c>
      <c r="K4434" s="912" t="s">
        <v>274</v>
      </c>
      <c r="L4434" s="912"/>
      <c r="M4434" s="912"/>
      <c r="N4434" s="912"/>
      <c r="O4434" s="892">
        <f t="shared" si="276"/>
        <v>0</v>
      </c>
      <c r="P4434" s="903">
        <f t="shared" si="277"/>
        <v>1</v>
      </c>
      <c r="Q4434" s="893">
        <f t="shared" si="278"/>
        <v>5</v>
      </c>
      <c r="R4434" s="894">
        <f t="shared" si="279"/>
        <v>0</v>
      </c>
    </row>
    <row r="4435" spans="1:18">
      <c r="A4435" s="905"/>
      <c r="B4435" s="906"/>
      <c r="C4435" s="907">
        <v>44</v>
      </c>
      <c r="D4435" s="907" t="s">
        <v>279</v>
      </c>
      <c r="E4435" s="925" t="s">
        <v>2681</v>
      </c>
      <c r="F4435" s="926" t="s">
        <v>45</v>
      </c>
      <c r="G4435" s="910"/>
      <c r="H4435" s="911">
        <v>0.3</v>
      </c>
      <c r="I4435" s="912">
        <f>VLOOKUP(E4435,[3]VLP!$B$7:$K$300,10,0)</f>
        <v>23000</v>
      </c>
      <c r="J4435" s="912">
        <f>I4435*H4435</f>
        <v>6900</v>
      </c>
      <c r="K4435" s="912" t="s">
        <v>274</v>
      </c>
      <c r="L4435" s="912"/>
      <c r="M4435" s="912"/>
      <c r="N4435" s="912"/>
      <c r="O4435" s="892">
        <f t="shared" si="276"/>
        <v>0</v>
      </c>
      <c r="P4435" s="903">
        <f t="shared" si="277"/>
        <v>1</v>
      </c>
      <c r="Q4435" s="893">
        <f t="shared" si="278"/>
        <v>4</v>
      </c>
      <c r="R4435" s="894">
        <f t="shared" si="279"/>
        <v>0</v>
      </c>
    </row>
    <row r="4436" spans="1:18">
      <c r="A4436" s="905"/>
      <c r="B4436" s="906"/>
      <c r="C4436" s="907">
        <v>124</v>
      </c>
      <c r="D4436" s="907" t="s">
        <v>279</v>
      </c>
      <c r="E4436" s="925" t="s">
        <v>5432</v>
      </c>
      <c r="F4436" s="926" t="s">
        <v>3272</v>
      </c>
      <c r="G4436" s="910"/>
      <c r="H4436" s="911">
        <v>21</v>
      </c>
      <c r="I4436" s="912">
        <f>VLOOKUP(E4436,[3]VLP!$B$7:$K$300,10,0)</f>
        <v>20000</v>
      </c>
      <c r="J4436" s="912">
        <f>I4436*H4436</f>
        <v>420000</v>
      </c>
      <c r="K4436" s="912" t="s">
        <v>274</v>
      </c>
      <c r="L4436" s="912"/>
      <c r="M4436" s="912"/>
      <c r="N4436" s="912"/>
      <c r="O4436" s="892">
        <f t="shared" si="276"/>
        <v>0</v>
      </c>
      <c r="P4436" s="903">
        <f t="shared" si="277"/>
        <v>1</v>
      </c>
      <c r="Q4436" s="893">
        <f t="shared" si="278"/>
        <v>3</v>
      </c>
      <c r="R4436" s="894">
        <f t="shared" si="279"/>
        <v>0</v>
      </c>
    </row>
    <row r="4437" spans="1:18" s="904" customFormat="1">
      <c r="A4437" s="895"/>
      <c r="B4437" s="896"/>
      <c r="C4437" s="897"/>
      <c r="D4437" s="897"/>
      <c r="E4437" s="924" t="s">
        <v>276</v>
      </c>
      <c r="F4437" s="927"/>
      <c r="G4437" s="928"/>
      <c r="H4437" s="901"/>
      <c r="I4437" s="902"/>
      <c r="J4437" s="902"/>
      <c r="K4437" s="912" t="s">
        <v>274</v>
      </c>
      <c r="L4437" s="902"/>
      <c r="M4437" s="902"/>
      <c r="N4437" s="902"/>
      <c r="O4437" s="892">
        <f t="shared" si="276"/>
        <v>0</v>
      </c>
      <c r="P4437" s="903">
        <f t="shared" si="277"/>
        <v>1</v>
      </c>
      <c r="Q4437" s="893">
        <f t="shared" si="278"/>
        <v>2</v>
      </c>
      <c r="R4437" s="894">
        <f t="shared" si="279"/>
        <v>0</v>
      </c>
    </row>
    <row r="4438" spans="1:18">
      <c r="A4438" s="905"/>
      <c r="B4438" s="906"/>
      <c r="C4438" s="907">
        <v>740</v>
      </c>
      <c r="D4438" s="907" t="s">
        <v>12</v>
      </c>
      <c r="E4438" s="908" t="s">
        <v>4008</v>
      </c>
      <c r="F4438" s="909" t="s">
        <v>2674</v>
      </c>
      <c r="G4438" s="910"/>
      <c r="H4438" s="911">
        <v>68.75</v>
      </c>
      <c r="I4438" s="912"/>
      <c r="J4438" s="912"/>
      <c r="K4438" s="912">
        <f>VLOOKUP(E4438,[5]ĐMNC!$A$7:$F$67,4,0)</f>
        <v>221125</v>
      </c>
      <c r="L4438" s="912">
        <f>H4438*K4438</f>
        <v>15202343.75</v>
      </c>
      <c r="M4438" s="912"/>
      <c r="N4438" s="912"/>
      <c r="O4438" s="892">
        <f t="shared" si="276"/>
        <v>0</v>
      </c>
      <c r="P4438" s="903">
        <f t="shared" si="277"/>
        <v>1</v>
      </c>
      <c r="Q4438" s="893">
        <f t="shared" si="278"/>
        <v>1</v>
      </c>
      <c r="R4438" s="894">
        <f t="shared" si="279"/>
        <v>0</v>
      </c>
    </row>
    <row r="4439" spans="1:18" s="847" customFormat="1" ht="31.5">
      <c r="A4439" s="905"/>
      <c r="B4439" s="914" t="s">
        <v>1338</v>
      </c>
      <c r="C4439" s="915"/>
      <c r="D4439" s="915"/>
      <c r="E4439" s="916" t="s">
        <v>5535</v>
      </c>
      <c r="F4439" s="917" t="s">
        <v>150</v>
      </c>
      <c r="G4439" s="918"/>
      <c r="H4439" s="919"/>
      <c r="I4439" s="920"/>
      <c r="J4439" s="891">
        <f>SUM(J4440:J4445)</f>
        <v>427718.28</v>
      </c>
      <c r="K4439" s="891"/>
      <c r="L4439" s="891">
        <f>SUM(L4440:L4445)</f>
        <v>17813830</v>
      </c>
      <c r="M4439" s="891"/>
      <c r="N4439" s="891">
        <f>SUM(N4440:N4445)</f>
        <v>0</v>
      </c>
      <c r="O4439" s="892">
        <f t="shared" si="276"/>
        <v>1</v>
      </c>
      <c r="P4439" s="903">
        <f t="shared" si="277"/>
        <v>0</v>
      </c>
      <c r="Q4439" s="893">
        <f t="shared" si="278"/>
        <v>0</v>
      </c>
      <c r="R4439" s="894">
        <f t="shared" si="279"/>
        <v>6</v>
      </c>
    </row>
    <row r="4440" spans="1:18" s="904" customFormat="1">
      <c r="A4440" s="895"/>
      <c r="B4440" s="896"/>
      <c r="C4440" s="897"/>
      <c r="D4440" s="897"/>
      <c r="E4440" s="898" t="s">
        <v>108</v>
      </c>
      <c r="F4440" s="899"/>
      <c r="G4440" s="900"/>
      <c r="H4440" s="901"/>
      <c r="I4440" s="902"/>
      <c r="J4440" s="902"/>
      <c r="K4440" s="912" t="s">
        <v>274</v>
      </c>
      <c r="L4440" s="902"/>
      <c r="M4440" s="902"/>
      <c r="N4440" s="902"/>
      <c r="O4440" s="892">
        <f t="shared" si="276"/>
        <v>0</v>
      </c>
      <c r="P4440" s="903">
        <f t="shared" si="277"/>
        <v>1</v>
      </c>
      <c r="Q4440" s="893">
        <f t="shared" si="278"/>
        <v>6</v>
      </c>
      <c r="R4440" s="894">
        <f t="shared" si="279"/>
        <v>0</v>
      </c>
    </row>
    <row r="4441" spans="1:18">
      <c r="A4441" s="905"/>
      <c r="B4441" s="906"/>
      <c r="C4441" s="907">
        <v>55</v>
      </c>
      <c r="D4441" s="907" t="s">
        <v>279</v>
      </c>
      <c r="E4441" s="925" t="s">
        <v>3192</v>
      </c>
      <c r="F4441" s="926" t="s">
        <v>45</v>
      </c>
      <c r="G4441" s="910"/>
      <c r="H4441" s="911">
        <v>0.36</v>
      </c>
      <c r="I4441" s="912">
        <f>VLOOKUP(E4441,[3]VLP!$B$7:$K$300,10,0)</f>
        <v>2273</v>
      </c>
      <c r="J4441" s="912">
        <f>I4441*H4441</f>
        <v>818.28</v>
      </c>
      <c r="K4441" s="912" t="s">
        <v>274</v>
      </c>
      <c r="L4441" s="912"/>
      <c r="M4441" s="912"/>
      <c r="N4441" s="912"/>
      <c r="O4441" s="892">
        <f t="shared" si="276"/>
        <v>0</v>
      </c>
      <c r="P4441" s="903">
        <f t="shared" si="277"/>
        <v>1</v>
      </c>
      <c r="Q4441" s="893">
        <f t="shared" si="278"/>
        <v>5</v>
      </c>
      <c r="R4441" s="894">
        <f t="shared" si="279"/>
        <v>0</v>
      </c>
    </row>
    <row r="4442" spans="1:18">
      <c r="A4442" s="905"/>
      <c r="B4442" s="906"/>
      <c r="C4442" s="907">
        <v>44</v>
      </c>
      <c r="D4442" s="907" t="s">
        <v>279</v>
      </c>
      <c r="E4442" s="925" t="s">
        <v>2681</v>
      </c>
      <c r="F4442" s="926" t="s">
        <v>45</v>
      </c>
      <c r="G4442" s="910"/>
      <c r="H4442" s="911">
        <v>0.3</v>
      </c>
      <c r="I4442" s="912">
        <f>VLOOKUP(E4442,[3]VLP!$B$7:$K$300,10,0)</f>
        <v>23000</v>
      </c>
      <c r="J4442" s="912">
        <f>I4442*H4442</f>
        <v>6900</v>
      </c>
      <c r="K4442" s="912" t="s">
        <v>274</v>
      </c>
      <c r="L4442" s="912"/>
      <c r="M4442" s="912"/>
      <c r="N4442" s="912"/>
      <c r="O4442" s="892">
        <f t="shared" si="276"/>
        <v>0</v>
      </c>
      <c r="P4442" s="903">
        <f t="shared" si="277"/>
        <v>1</v>
      </c>
      <c r="Q4442" s="893">
        <f t="shared" si="278"/>
        <v>4</v>
      </c>
      <c r="R4442" s="894">
        <f t="shared" si="279"/>
        <v>0</v>
      </c>
    </row>
    <row r="4443" spans="1:18">
      <c r="A4443" s="905"/>
      <c r="B4443" s="906"/>
      <c r="C4443" s="907">
        <v>124</v>
      </c>
      <c r="D4443" s="907" t="s">
        <v>279</v>
      </c>
      <c r="E4443" s="925" t="s">
        <v>5432</v>
      </c>
      <c r="F4443" s="926" t="s">
        <v>3272</v>
      </c>
      <c r="G4443" s="910"/>
      <c r="H4443" s="911">
        <v>21</v>
      </c>
      <c r="I4443" s="912">
        <f>VLOOKUP(E4443,[3]VLP!$B$7:$K$300,10,0)</f>
        <v>20000</v>
      </c>
      <c r="J4443" s="912">
        <f>I4443*H4443</f>
        <v>420000</v>
      </c>
      <c r="K4443" s="912" t="s">
        <v>274</v>
      </c>
      <c r="L4443" s="912"/>
      <c r="M4443" s="912"/>
      <c r="N4443" s="912"/>
      <c r="O4443" s="892">
        <f t="shared" si="276"/>
        <v>0</v>
      </c>
      <c r="P4443" s="903">
        <f t="shared" si="277"/>
        <v>1</v>
      </c>
      <c r="Q4443" s="893">
        <f t="shared" si="278"/>
        <v>3</v>
      </c>
      <c r="R4443" s="894">
        <f t="shared" si="279"/>
        <v>0</v>
      </c>
    </row>
    <row r="4444" spans="1:18" s="904" customFormat="1">
      <c r="A4444" s="895"/>
      <c r="B4444" s="896"/>
      <c r="C4444" s="897"/>
      <c r="D4444" s="897"/>
      <c r="E4444" s="924" t="s">
        <v>276</v>
      </c>
      <c r="F4444" s="927"/>
      <c r="G4444" s="928"/>
      <c r="H4444" s="901"/>
      <c r="I4444" s="902"/>
      <c r="J4444" s="902"/>
      <c r="K4444" s="912" t="s">
        <v>274</v>
      </c>
      <c r="L4444" s="902"/>
      <c r="M4444" s="902"/>
      <c r="N4444" s="902"/>
      <c r="O4444" s="892">
        <f t="shared" si="276"/>
        <v>0</v>
      </c>
      <c r="P4444" s="903">
        <f t="shared" si="277"/>
        <v>1</v>
      </c>
      <c r="Q4444" s="893">
        <f t="shared" si="278"/>
        <v>2</v>
      </c>
      <c r="R4444" s="894">
        <f t="shared" si="279"/>
        <v>0</v>
      </c>
    </row>
    <row r="4445" spans="1:18">
      <c r="A4445" s="905"/>
      <c r="B4445" s="906"/>
      <c r="C4445" s="907">
        <v>740</v>
      </c>
      <c r="D4445" s="907" t="s">
        <v>12</v>
      </c>
      <c r="E4445" s="908" t="s">
        <v>4008</v>
      </c>
      <c r="F4445" s="909" t="s">
        <v>2674</v>
      </c>
      <c r="G4445" s="910"/>
      <c r="H4445" s="911">
        <v>80.56</v>
      </c>
      <c r="I4445" s="912"/>
      <c r="J4445" s="912"/>
      <c r="K4445" s="912">
        <f>VLOOKUP(E4445,[5]ĐMNC!$A$7:$F$67,4,0)</f>
        <v>221125</v>
      </c>
      <c r="L4445" s="912">
        <f>H4445*K4445</f>
        <v>17813830</v>
      </c>
      <c r="M4445" s="912"/>
      <c r="N4445" s="912"/>
      <c r="O4445" s="892">
        <f t="shared" si="276"/>
        <v>0</v>
      </c>
      <c r="P4445" s="903">
        <f t="shared" si="277"/>
        <v>1</v>
      </c>
      <c r="Q4445" s="893">
        <f t="shared" si="278"/>
        <v>1</v>
      </c>
      <c r="R4445" s="894">
        <f t="shared" si="279"/>
        <v>0</v>
      </c>
    </row>
    <row r="4446" spans="1:18" s="847" customFormat="1" ht="31.5">
      <c r="A4446" s="905"/>
      <c r="B4446" s="914" t="s">
        <v>1340</v>
      </c>
      <c r="C4446" s="915"/>
      <c r="D4446" s="915"/>
      <c r="E4446" s="916" t="s">
        <v>5536</v>
      </c>
      <c r="F4446" s="917" t="s">
        <v>150</v>
      </c>
      <c r="G4446" s="918"/>
      <c r="H4446" s="919"/>
      <c r="I4446" s="920"/>
      <c r="J4446" s="891">
        <f>SUM(J4447:J4452)</f>
        <v>427718.28</v>
      </c>
      <c r="K4446" s="891"/>
      <c r="L4446" s="891">
        <f>SUM(L4447:L4452)</f>
        <v>23156210</v>
      </c>
      <c r="M4446" s="891"/>
      <c r="N4446" s="891">
        <f>SUM(N4447:N4452)</f>
        <v>0</v>
      </c>
      <c r="O4446" s="892">
        <f t="shared" si="276"/>
        <v>1</v>
      </c>
      <c r="P4446" s="903">
        <f t="shared" si="277"/>
        <v>0</v>
      </c>
      <c r="Q4446" s="893">
        <f t="shared" si="278"/>
        <v>0</v>
      </c>
      <c r="R4446" s="894">
        <f t="shared" si="279"/>
        <v>6</v>
      </c>
    </row>
    <row r="4447" spans="1:18" s="904" customFormat="1">
      <c r="A4447" s="895"/>
      <c r="B4447" s="896"/>
      <c r="C4447" s="897"/>
      <c r="D4447" s="897"/>
      <c r="E4447" s="898" t="s">
        <v>108</v>
      </c>
      <c r="F4447" s="899"/>
      <c r="G4447" s="900"/>
      <c r="H4447" s="901"/>
      <c r="I4447" s="902"/>
      <c r="J4447" s="902"/>
      <c r="K4447" s="912" t="s">
        <v>274</v>
      </c>
      <c r="L4447" s="902"/>
      <c r="M4447" s="902"/>
      <c r="N4447" s="902"/>
      <c r="O4447" s="892">
        <f t="shared" ref="O4447:O4510" si="280">IF(AND(B4447&lt;&gt;"",D4447=""),1,0)</f>
        <v>0</v>
      </c>
      <c r="P4447" s="903">
        <f t="shared" si="277"/>
        <v>1</v>
      </c>
      <c r="Q4447" s="893">
        <f t="shared" si="278"/>
        <v>6</v>
      </c>
      <c r="R4447" s="894">
        <f t="shared" si="279"/>
        <v>0</v>
      </c>
    </row>
    <row r="4448" spans="1:18">
      <c r="A4448" s="905"/>
      <c r="B4448" s="906"/>
      <c r="C4448" s="907">
        <v>55</v>
      </c>
      <c r="D4448" s="907" t="s">
        <v>279</v>
      </c>
      <c r="E4448" s="925" t="s">
        <v>3192</v>
      </c>
      <c r="F4448" s="926" t="s">
        <v>45</v>
      </c>
      <c r="G4448" s="910"/>
      <c r="H4448" s="911">
        <v>0.36</v>
      </c>
      <c r="I4448" s="912">
        <f>VLOOKUP(E4448,[3]VLP!$B$7:$K$300,10,0)</f>
        <v>2273</v>
      </c>
      <c r="J4448" s="912">
        <f>I4448*H4448</f>
        <v>818.28</v>
      </c>
      <c r="K4448" s="912" t="s">
        <v>274</v>
      </c>
      <c r="L4448" s="912"/>
      <c r="M4448" s="912"/>
      <c r="N4448" s="912"/>
      <c r="O4448" s="892">
        <f t="shared" si="280"/>
        <v>0</v>
      </c>
      <c r="P4448" s="903">
        <f t="shared" si="277"/>
        <v>1</v>
      </c>
      <c r="Q4448" s="893">
        <f t="shared" si="278"/>
        <v>5</v>
      </c>
      <c r="R4448" s="894">
        <f t="shared" si="279"/>
        <v>0</v>
      </c>
    </row>
    <row r="4449" spans="1:18">
      <c r="A4449" s="905"/>
      <c r="B4449" s="906"/>
      <c r="C4449" s="907">
        <v>44</v>
      </c>
      <c r="D4449" s="907" t="s">
        <v>279</v>
      </c>
      <c r="E4449" s="925" t="s">
        <v>2681</v>
      </c>
      <c r="F4449" s="926" t="s">
        <v>45</v>
      </c>
      <c r="G4449" s="910"/>
      <c r="H4449" s="911">
        <v>0.3</v>
      </c>
      <c r="I4449" s="912">
        <f>VLOOKUP(E4449,[3]VLP!$B$7:$K$300,10,0)</f>
        <v>23000</v>
      </c>
      <c r="J4449" s="912">
        <f>I4449*H4449</f>
        <v>6900</v>
      </c>
      <c r="K4449" s="912" t="s">
        <v>274</v>
      </c>
      <c r="L4449" s="912"/>
      <c r="M4449" s="912"/>
      <c r="N4449" s="912"/>
      <c r="O4449" s="892">
        <f t="shared" si="280"/>
        <v>0</v>
      </c>
      <c r="P4449" s="903">
        <f t="shared" si="277"/>
        <v>1</v>
      </c>
      <c r="Q4449" s="893">
        <f t="shared" si="278"/>
        <v>4</v>
      </c>
      <c r="R4449" s="894">
        <f t="shared" si="279"/>
        <v>0</v>
      </c>
    </row>
    <row r="4450" spans="1:18">
      <c r="A4450" s="905"/>
      <c r="B4450" s="906"/>
      <c r="C4450" s="907">
        <v>124</v>
      </c>
      <c r="D4450" s="907" t="s">
        <v>279</v>
      </c>
      <c r="E4450" s="925" t="s">
        <v>5432</v>
      </c>
      <c r="F4450" s="926" t="s">
        <v>3272</v>
      </c>
      <c r="G4450" s="910"/>
      <c r="H4450" s="911">
        <v>21</v>
      </c>
      <c r="I4450" s="912">
        <f>VLOOKUP(E4450,[3]VLP!$B$7:$K$300,10,0)</f>
        <v>20000</v>
      </c>
      <c r="J4450" s="912">
        <f>I4450*H4450</f>
        <v>420000</v>
      </c>
      <c r="K4450" s="912" t="s">
        <v>274</v>
      </c>
      <c r="L4450" s="912"/>
      <c r="M4450" s="912"/>
      <c r="N4450" s="912"/>
      <c r="O4450" s="892">
        <f t="shared" si="280"/>
        <v>0</v>
      </c>
      <c r="P4450" s="903">
        <f t="shared" si="277"/>
        <v>1</v>
      </c>
      <c r="Q4450" s="893">
        <f t="shared" si="278"/>
        <v>3</v>
      </c>
      <c r="R4450" s="894">
        <f t="shared" si="279"/>
        <v>0</v>
      </c>
    </row>
    <row r="4451" spans="1:18" s="904" customFormat="1">
      <c r="A4451" s="895"/>
      <c r="B4451" s="896"/>
      <c r="C4451" s="897"/>
      <c r="D4451" s="897"/>
      <c r="E4451" s="924" t="s">
        <v>276</v>
      </c>
      <c r="F4451" s="927"/>
      <c r="G4451" s="928"/>
      <c r="H4451" s="901"/>
      <c r="I4451" s="902"/>
      <c r="J4451" s="902"/>
      <c r="K4451" s="912" t="s">
        <v>274</v>
      </c>
      <c r="L4451" s="902"/>
      <c r="M4451" s="902"/>
      <c r="N4451" s="902"/>
      <c r="O4451" s="892">
        <f t="shared" si="280"/>
        <v>0</v>
      </c>
      <c r="P4451" s="903">
        <f t="shared" si="277"/>
        <v>1</v>
      </c>
      <c r="Q4451" s="893">
        <f t="shared" si="278"/>
        <v>2</v>
      </c>
      <c r="R4451" s="894">
        <f t="shared" si="279"/>
        <v>0</v>
      </c>
    </row>
    <row r="4452" spans="1:18">
      <c r="A4452" s="905"/>
      <c r="B4452" s="906"/>
      <c r="C4452" s="907">
        <v>740</v>
      </c>
      <c r="D4452" s="907" t="s">
        <v>12</v>
      </c>
      <c r="E4452" s="908" t="s">
        <v>4008</v>
      </c>
      <c r="F4452" s="909" t="s">
        <v>2674</v>
      </c>
      <c r="G4452" s="910"/>
      <c r="H4452" s="911">
        <v>104.72</v>
      </c>
      <c r="I4452" s="912"/>
      <c r="J4452" s="912"/>
      <c r="K4452" s="912">
        <f>VLOOKUP(E4452,[5]ĐMNC!$A$7:$F$67,4,0)</f>
        <v>221125</v>
      </c>
      <c r="L4452" s="912">
        <f>H4452*K4452</f>
        <v>23156210</v>
      </c>
      <c r="M4452" s="912"/>
      <c r="N4452" s="912"/>
      <c r="O4452" s="892">
        <f t="shared" si="280"/>
        <v>0</v>
      </c>
      <c r="P4452" s="903">
        <f t="shared" si="277"/>
        <v>1</v>
      </c>
      <c r="Q4452" s="893">
        <f t="shared" si="278"/>
        <v>1</v>
      </c>
      <c r="R4452" s="894">
        <f t="shared" si="279"/>
        <v>0</v>
      </c>
    </row>
    <row r="4453" spans="1:18" s="847" customFormat="1" ht="31.5">
      <c r="A4453" s="905"/>
      <c r="B4453" s="914" t="s">
        <v>1342</v>
      </c>
      <c r="C4453" s="915"/>
      <c r="D4453" s="915"/>
      <c r="E4453" s="916" t="s">
        <v>5537</v>
      </c>
      <c r="F4453" s="917" t="s">
        <v>150</v>
      </c>
      <c r="G4453" s="918"/>
      <c r="H4453" s="919"/>
      <c r="I4453" s="920"/>
      <c r="J4453" s="891">
        <f>SUM(J4454:J4459)</f>
        <v>304668.19</v>
      </c>
      <c r="K4453" s="891"/>
      <c r="L4453" s="891">
        <f>SUM(L4454:L4459)</f>
        <v>3597703.75</v>
      </c>
      <c r="M4453" s="891"/>
      <c r="N4453" s="891">
        <f>SUM(N4454:N4459)</f>
        <v>0</v>
      </c>
      <c r="O4453" s="892">
        <f t="shared" si="280"/>
        <v>1</v>
      </c>
      <c r="P4453" s="903">
        <f t="shared" si="277"/>
        <v>0</v>
      </c>
      <c r="Q4453" s="893">
        <f t="shared" si="278"/>
        <v>0</v>
      </c>
      <c r="R4453" s="894">
        <f t="shared" si="279"/>
        <v>6</v>
      </c>
    </row>
    <row r="4454" spans="1:18" s="904" customFormat="1">
      <c r="A4454" s="895"/>
      <c r="B4454" s="922"/>
      <c r="C4454" s="897"/>
      <c r="D4454" s="897"/>
      <c r="E4454" s="898" t="s">
        <v>108</v>
      </c>
      <c r="F4454" s="899"/>
      <c r="G4454" s="900"/>
      <c r="H4454" s="901"/>
      <c r="I4454" s="902"/>
      <c r="J4454" s="902"/>
      <c r="K4454" s="912" t="s">
        <v>274</v>
      </c>
      <c r="L4454" s="902"/>
      <c r="M4454" s="902"/>
      <c r="N4454" s="902"/>
      <c r="O4454" s="892">
        <f t="shared" si="280"/>
        <v>0</v>
      </c>
      <c r="P4454" s="903">
        <f t="shared" si="277"/>
        <v>1</v>
      </c>
      <c r="Q4454" s="893">
        <f t="shared" si="278"/>
        <v>6</v>
      </c>
      <c r="R4454" s="894">
        <f t="shared" si="279"/>
        <v>0</v>
      </c>
    </row>
    <row r="4455" spans="1:18">
      <c r="A4455" s="905"/>
      <c r="B4455" s="906"/>
      <c r="C4455" s="907">
        <v>55</v>
      </c>
      <c r="D4455" s="907" t="s">
        <v>279</v>
      </c>
      <c r="E4455" s="925" t="s">
        <v>3192</v>
      </c>
      <c r="F4455" s="926" t="s">
        <v>45</v>
      </c>
      <c r="G4455" s="910"/>
      <c r="H4455" s="911">
        <v>0.03</v>
      </c>
      <c r="I4455" s="912">
        <f>VLOOKUP(E4455,[3]VLP!$B$7:$K$300,10,0)</f>
        <v>2273</v>
      </c>
      <c r="J4455" s="912">
        <f>I4455*H4455</f>
        <v>68.19</v>
      </c>
      <c r="K4455" s="912" t="s">
        <v>274</v>
      </c>
      <c r="L4455" s="912"/>
      <c r="M4455" s="912"/>
      <c r="N4455" s="912"/>
      <c r="O4455" s="892">
        <f t="shared" si="280"/>
        <v>0</v>
      </c>
      <c r="P4455" s="903">
        <f t="shared" si="277"/>
        <v>1</v>
      </c>
      <c r="Q4455" s="893">
        <f t="shared" si="278"/>
        <v>5</v>
      </c>
      <c r="R4455" s="894">
        <f t="shared" si="279"/>
        <v>0</v>
      </c>
    </row>
    <row r="4456" spans="1:18">
      <c r="A4456" s="905"/>
      <c r="B4456" s="906"/>
      <c r="C4456" s="907">
        <v>44</v>
      </c>
      <c r="D4456" s="907" t="s">
        <v>279</v>
      </c>
      <c r="E4456" s="925" t="s">
        <v>2681</v>
      </c>
      <c r="F4456" s="926" t="s">
        <v>45</v>
      </c>
      <c r="G4456" s="910"/>
      <c r="H4456" s="911">
        <v>0.2</v>
      </c>
      <c r="I4456" s="912">
        <f>VLOOKUP(E4456,[3]VLP!$B$7:$K$300,10,0)</f>
        <v>23000</v>
      </c>
      <c r="J4456" s="912">
        <f>I4456*H4456</f>
        <v>4600</v>
      </c>
      <c r="K4456" s="912" t="s">
        <v>274</v>
      </c>
      <c r="L4456" s="912"/>
      <c r="M4456" s="912"/>
      <c r="N4456" s="912"/>
      <c r="O4456" s="892">
        <f t="shared" si="280"/>
        <v>0</v>
      </c>
      <c r="P4456" s="903">
        <f t="shared" ref="P4456:P4519" si="281">IF(O4456=0,1,0)</f>
        <v>1</v>
      </c>
      <c r="Q4456" s="893">
        <f t="shared" ref="Q4456:Q4519" si="282">IF(P4456=0,0,P4456+Q4457)</f>
        <v>4</v>
      </c>
      <c r="R4456" s="894">
        <f t="shared" ref="R4456:R4519" si="283">IF(Q4456=0,Q4457,0)</f>
        <v>0</v>
      </c>
    </row>
    <row r="4457" spans="1:18">
      <c r="A4457" s="905"/>
      <c r="B4457" s="906"/>
      <c r="C4457" s="907">
        <v>124</v>
      </c>
      <c r="D4457" s="907" t="s">
        <v>279</v>
      </c>
      <c r="E4457" s="925" t="s">
        <v>5432</v>
      </c>
      <c r="F4457" s="926" t="s">
        <v>3272</v>
      </c>
      <c r="G4457" s="910"/>
      <c r="H4457" s="911">
        <v>15</v>
      </c>
      <c r="I4457" s="912">
        <f>VLOOKUP(E4457,[3]VLP!$B$7:$K$300,10,0)</f>
        <v>20000</v>
      </c>
      <c r="J4457" s="912">
        <f>I4457*H4457</f>
        <v>300000</v>
      </c>
      <c r="K4457" s="912" t="s">
        <v>274</v>
      </c>
      <c r="L4457" s="912"/>
      <c r="M4457" s="912"/>
      <c r="N4457" s="912"/>
      <c r="O4457" s="892">
        <f t="shared" si="280"/>
        <v>0</v>
      </c>
      <c r="P4457" s="903">
        <f t="shared" si="281"/>
        <v>1</v>
      </c>
      <c r="Q4457" s="893">
        <f t="shared" si="282"/>
        <v>3</v>
      </c>
      <c r="R4457" s="894">
        <f t="shared" si="283"/>
        <v>0</v>
      </c>
    </row>
    <row r="4458" spans="1:18" s="904" customFormat="1">
      <c r="A4458" s="895"/>
      <c r="B4458" s="896"/>
      <c r="C4458" s="897"/>
      <c r="D4458" s="897"/>
      <c r="E4458" s="924" t="s">
        <v>276</v>
      </c>
      <c r="F4458" s="927"/>
      <c r="G4458" s="928"/>
      <c r="H4458" s="901"/>
      <c r="I4458" s="902"/>
      <c r="J4458" s="902"/>
      <c r="K4458" s="912" t="s">
        <v>274</v>
      </c>
      <c r="L4458" s="902"/>
      <c r="M4458" s="902"/>
      <c r="N4458" s="902"/>
      <c r="O4458" s="892">
        <f t="shared" si="280"/>
        <v>0</v>
      </c>
      <c r="P4458" s="903">
        <f t="shared" si="281"/>
        <v>1</v>
      </c>
      <c r="Q4458" s="893">
        <f t="shared" si="282"/>
        <v>2</v>
      </c>
      <c r="R4458" s="894">
        <f t="shared" si="283"/>
        <v>0</v>
      </c>
    </row>
    <row r="4459" spans="1:18">
      <c r="A4459" s="905"/>
      <c r="B4459" s="906"/>
      <c r="C4459" s="907">
        <v>740</v>
      </c>
      <c r="D4459" s="907" t="s">
        <v>12</v>
      </c>
      <c r="E4459" s="908" t="s">
        <v>4008</v>
      </c>
      <c r="F4459" s="909" t="s">
        <v>2674</v>
      </c>
      <c r="G4459" s="910"/>
      <c r="H4459" s="911">
        <v>16.27</v>
      </c>
      <c r="I4459" s="912"/>
      <c r="J4459" s="912"/>
      <c r="K4459" s="912">
        <f>VLOOKUP(E4459,[5]ĐMNC!$A$7:$F$67,4,0)</f>
        <v>221125</v>
      </c>
      <c r="L4459" s="912">
        <f>H4459*K4459</f>
        <v>3597703.75</v>
      </c>
      <c r="M4459" s="912"/>
      <c r="N4459" s="912"/>
      <c r="O4459" s="892">
        <f t="shared" si="280"/>
        <v>0</v>
      </c>
      <c r="P4459" s="903">
        <f t="shared" si="281"/>
        <v>1</v>
      </c>
      <c r="Q4459" s="893">
        <f t="shared" si="282"/>
        <v>1</v>
      </c>
      <c r="R4459" s="894">
        <f t="shared" si="283"/>
        <v>0</v>
      </c>
    </row>
    <row r="4460" spans="1:18" s="847" customFormat="1" ht="31.5">
      <c r="A4460" s="905"/>
      <c r="B4460" s="914" t="s">
        <v>1344</v>
      </c>
      <c r="C4460" s="915"/>
      <c r="D4460" s="915"/>
      <c r="E4460" s="916" t="s">
        <v>5538</v>
      </c>
      <c r="F4460" s="917" t="s">
        <v>150</v>
      </c>
      <c r="G4460" s="918"/>
      <c r="H4460" s="919"/>
      <c r="I4460" s="920"/>
      <c r="J4460" s="891">
        <f>SUM(J4461:J4466)</f>
        <v>304668.19</v>
      </c>
      <c r="K4460" s="891"/>
      <c r="L4460" s="891">
        <f>SUM(L4461:L4466)</f>
        <v>4422500</v>
      </c>
      <c r="M4460" s="891"/>
      <c r="N4460" s="891">
        <f>SUM(N4461:N4466)</f>
        <v>0</v>
      </c>
      <c r="O4460" s="892">
        <f t="shared" si="280"/>
        <v>1</v>
      </c>
      <c r="P4460" s="903">
        <f t="shared" si="281"/>
        <v>0</v>
      </c>
      <c r="Q4460" s="893">
        <f t="shared" si="282"/>
        <v>0</v>
      </c>
      <c r="R4460" s="894">
        <f t="shared" si="283"/>
        <v>6</v>
      </c>
    </row>
    <row r="4461" spans="1:18" s="904" customFormat="1">
      <c r="A4461" s="895"/>
      <c r="B4461" s="896"/>
      <c r="C4461" s="897"/>
      <c r="D4461" s="897"/>
      <c r="E4461" s="898" t="s">
        <v>108</v>
      </c>
      <c r="F4461" s="899"/>
      <c r="G4461" s="900"/>
      <c r="H4461" s="901"/>
      <c r="I4461" s="902"/>
      <c r="J4461" s="902"/>
      <c r="K4461" s="912" t="s">
        <v>274</v>
      </c>
      <c r="L4461" s="902"/>
      <c r="M4461" s="902"/>
      <c r="N4461" s="902"/>
      <c r="O4461" s="892">
        <f t="shared" si="280"/>
        <v>0</v>
      </c>
      <c r="P4461" s="903">
        <f t="shared" si="281"/>
        <v>1</v>
      </c>
      <c r="Q4461" s="893">
        <f t="shared" si="282"/>
        <v>6</v>
      </c>
      <c r="R4461" s="894">
        <f t="shared" si="283"/>
        <v>0</v>
      </c>
    </row>
    <row r="4462" spans="1:18">
      <c r="A4462" s="905"/>
      <c r="B4462" s="906"/>
      <c r="C4462" s="907">
        <v>55</v>
      </c>
      <c r="D4462" s="907" t="s">
        <v>279</v>
      </c>
      <c r="E4462" s="925" t="s">
        <v>3192</v>
      </c>
      <c r="F4462" s="926" t="s">
        <v>45</v>
      </c>
      <c r="G4462" s="910"/>
      <c r="H4462" s="911">
        <v>0.03</v>
      </c>
      <c r="I4462" s="912">
        <f>VLOOKUP(E4462,[3]VLP!$B$7:$K$300,10,0)</f>
        <v>2273</v>
      </c>
      <c r="J4462" s="912">
        <f>I4462*H4462</f>
        <v>68.19</v>
      </c>
      <c r="K4462" s="912" t="s">
        <v>274</v>
      </c>
      <c r="L4462" s="912"/>
      <c r="M4462" s="912"/>
      <c r="N4462" s="912"/>
      <c r="O4462" s="892">
        <f t="shared" si="280"/>
        <v>0</v>
      </c>
      <c r="P4462" s="903">
        <f t="shared" si="281"/>
        <v>1</v>
      </c>
      <c r="Q4462" s="893">
        <f t="shared" si="282"/>
        <v>5</v>
      </c>
      <c r="R4462" s="894">
        <f t="shared" si="283"/>
        <v>0</v>
      </c>
    </row>
    <row r="4463" spans="1:18">
      <c r="A4463" s="905"/>
      <c r="B4463" s="906"/>
      <c r="C4463" s="907">
        <v>44</v>
      </c>
      <c r="D4463" s="907" t="s">
        <v>279</v>
      </c>
      <c r="E4463" s="925" t="s">
        <v>2681</v>
      </c>
      <c r="F4463" s="926" t="s">
        <v>45</v>
      </c>
      <c r="G4463" s="910"/>
      <c r="H4463" s="911">
        <v>0.2</v>
      </c>
      <c r="I4463" s="912">
        <f>VLOOKUP(E4463,[3]VLP!$B$7:$K$300,10,0)</f>
        <v>23000</v>
      </c>
      <c r="J4463" s="912">
        <f>I4463*H4463</f>
        <v>4600</v>
      </c>
      <c r="K4463" s="912" t="s">
        <v>274</v>
      </c>
      <c r="L4463" s="912"/>
      <c r="M4463" s="912"/>
      <c r="N4463" s="912"/>
      <c r="O4463" s="892">
        <f t="shared" si="280"/>
        <v>0</v>
      </c>
      <c r="P4463" s="903">
        <f t="shared" si="281"/>
        <v>1</v>
      </c>
      <c r="Q4463" s="893">
        <f t="shared" si="282"/>
        <v>4</v>
      </c>
      <c r="R4463" s="894">
        <f t="shared" si="283"/>
        <v>0</v>
      </c>
    </row>
    <row r="4464" spans="1:18">
      <c r="A4464" s="905"/>
      <c r="B4464" s="906"/>
      <c r="C4464" s="907">
        <v>124</v>
      </c>
      <c r="D4464" s="907" t="s">
        <v>279</v>
      </c>
      <c r="E4464" s="925" t="s">
        <v>5432</v>
      </c>
      <c r="F4464" s="926" t="s">
        <v>3272</v>
      </c>
      <c r="G4464" s="910"/>
      <c r="H4464" s="911">
        <v>15</v>
      </c>
      <c r="I4464" s="912">
        <f>VLOOKUP(E4464,[3]VLP!$B$7:$K$300,10,0)</f>
        <v>20000</v>
      </c>
      <c r="J4464" s="912">
        <f>I4464*H4464</f>
        <v>300000</v>
      </c>
      <c r="K4464" s="912" t="s">
        <v>274</v>
      </c>
      <c r="L4464" s="912"/>
      <c r="M4464" s="912"/>
      <c r="N4464" s="912"/>
      <c r="O4464" s="892">
        <f t="shared" si="280"/>
        <v>0</v>
      </c>
      <c r="P4464" s="903">
        <f t="shared" si="281"/>
        <v>1</v>
      </c>
      <c r="Q4464" s="893">
        <f t="shared" si="282"/>
        <v>3</v>
      </c>
      <c r="R4464" s="894">
        <f t="shared" si="283"/>
        <v>0</v>
      </c>
    </row>
    <row r="4465" spans="1:18" s="904" customFormat="1">
      <c r="A4465" s="895"/>
      <c r="B4465" s="896"/>
      <c r="C4465" s="897"/>
      <c r="D4465" s="897"/>
      <c r="E4465" s="924" t="s">
        <v>276</v>
      </c>
      <c r="F4465" s="927"/>
      <c r="G4465" s="928"/>
      <c r="H4465" s="901"/>
      <c r="I4465" s="902"/>
      <c r="J4465" s="902"/>
      <c r="K4465" s="912" t="s">
        <v>274</v>
      </c>
      <c r="L4465" s="902"/>
      <c r="M4465" s="902"/>
      <c r="N4465" s="902"/>
      <c r="O4465" s="892">
        <f t="shared" si="280"/>
        <v>0</v>
      </c>
      <c r="P4465" s="903">
        <f t="shared" si="281"/>
        <v>1</v>
      </c>
      <c r="Q4465" s="893">
        <f t="shared" si="282"/>
        <v>2</v>
      </c>
      <c r="R4465" s="894">
        <f t="shared" si="283"/>
        <v>0</v>
      </c>
    </row>
    <row r="4466" spans="1:18">
      <c r="A4466" s="905"/>
      <c r="B4466" s="906"/>
      <c r="C4466" s="907">
        <v>740</v>
      </c>
      <c r="D4466" s="907" t="s">
        <v>12</v>
      </c>
      <c r="E4466" s="908" t="s">
        <v>4008</v>
      </c>
      <c r="F4466" s="909" t="s">
        <v>2674</v>
      </c>
      <c r="G4466" s="910"/>
      <c r="H4466" s="911">
        <v>20</v>
      </c>
      <c r="I4466" s="912"/>
      <c r="J4466" s="912"/>
      <c r="K4466" s="912">
        <f>VLOOKUP(E4466,[5]ĐMNC!$A$7:$F$67,4,0)</f>
        <v>221125</v>
      </c>
      <c r="L4466" s="912">
        <f>H4466*K4466</f>
        <v>4422500</v>
      </c>
      <c r="M4466" s="912"/>
      <c r="N4466" s="912"/>
      <c r="O4466" s="892">
        <f t="shared" si="280"/>
        <v>0</v>
      </c>
      <c r="P4466" s="903">
        <f t="shared" si="281"/>
        <v>1</v>
      </c>
      <c r="Q4466" s="893">
        <f t="shared" si="282"/>
        <v>1</v>
      </c>
      <c r="R4466" s="894">
        <f t="shared" si="283"/>
        <v>0</v>
      </c>
    </row>
    <row r="4467" spans="1:18" s="847" customFormat="1" ht="31.5">
      <c r="A4467" s="905"/>
      <c r="B4467" s="914" t="s">
        <v>1346</v>
      </c>
      <c r="C4467" s="915"/>
      <c r="D4467" s="915"/>
      <c r="E4467" s="916" t="s">
        <v>5539</v>
      </c>
      <c r="F4467" s="917" t="s">
        <v>150</v>
      </c>
      <c r="G4467" s="918"/>
      <c r="H4467" s="919"/>
      <c r="I4467" s="920"/>
      <c r="J4467" s="891">
        <f>SUM(J4468:J4473)</f>
        <v>304668.19</v>
      </c>
      <c r="K4467" s="891"/>
      <c r="L4467" s="891">
        <f>SUM(L4468:L4473)</f>
        <v>4973101.25</v>
      </c>
      <c r="M4467" s="891"/>
      <c r="N4467" s="891">
        <f>SUM(N4468:N4473)</f>
        <v>0</v>
      </c>
      <c r="O4467" s="892">
        <f t="shared" si="280"/>
        <v>1</v>
      </c>
      <c r="P4467" s="903">
        <f t="shared" si="281"/>
        <v>0</v>
      </c>
      <c r="Q4467" s="893">
        <f t="shared" si="282"/>
        <v>0</v>
      </c>
      <c r="R4467" s="894">
        <f t="shared" si="283"/>
        <v>6</v>
      </c>
    </row>
    <row r="4468" spans="1:18" s="904" customFormat="1">
      <c r="A4468" s="895"/>
      <c r="B4468" s="896"/>
      <c r="C4468" s="897"/>
      <c r="D4468" s="897"/>
      <c r="E4468" s="898" t="s">
        <v>108</v>
      </c>
      <c r="F4468" s="899"/>
      <c r="G4468" s="900"/>
      <c r="H4468" s="901"/>
      <c r="I4468" s="902"/>
      <c r="J4468" s="902"/>
      <c r="K4468" s="912" t="s">
        <v>274</v>
      </c>
      <c r="L4468" s="902"/>
      <c r="M4468" s="902"/>
      <c r="N4468" s="902"/>
      <c r="O4468" s="892">
        <f t="shared" si="280"/>
        <v>0</v>
      </c>
      <c r="P4468" s="903">
        <f t="shared" si="281"/>
        <v>1</v>
      </c>
      <c r="Q4468" s="893">
        <f t="shared" si="282"/>
        <v>6</v>
      </c>
      <c r="R4468" s="894">
        <f t="shared" si="283"/>
        <v>0</v>
      </c>
    </row>
    <row r="4469" spans="1:18">
      <c r="A4469" s="905"/>
      <c r="B4469" s="906"/>
      <c r="C4469" s="907">
        <v>55</v>
      </c>
      <c r="D4469" s="907" t="s">
        <v>279</v>
      </c>
      <c r="E4469" s="925" t="s">
        <v>3192</v>
      </c>
      <c r="F4469" s="926" t="s">
        <v>45</v>
      </c>
      <c r="G4469" s="910"/>
      <c r="H4469" s="911">
        <v>0.03</v>
      </c>
      <c r="I4469" s="912">
        <f>VLOOKUP(E4469,[3]VLP!$B$7:$K$300,10,0)</f>
        <v>2273</v>
      </c>
      <c r="J4469" s="912">
        <f>I4469*H4469</f>
        <v>68.19</v>
      </c>
      <c r="K4469" s="912" t="s">
        <v>274</v>
      </c>
      <c r="L4469" s="912"/>
      <c r="M4469" s="912"/>
      <c r="N4469" s="912"/>
      <c r="O4469" s="892">
        <f t="shared" si="280"/>
        <v>0</v>
      </c>
      <c r="P4469" s="903">
        <f t="shared" si="281"/>
        <v>1</v>
      </c>
      <c r="Q4469" s="893">
        <f t="shared" si="282"/>
        <v>5</v>
      </c>
      <c r="R4469" s="894">
        <f t="shared" si="283"/>
        <v>0</v>
      </c>
    </row>
    <row r="4470" spans="1:18">
      <c r="A4470" s="905"/>
      <c r="B4470" s="906"/>
      <c r="C4470" s="907">
        <v>44</v>
      </c>
      <c r="D4470" s="907" t="s">
        <v>279</v>
      </c>
      <c r="E4470" s="925" t="s">
        <v>2681</v>
      </c>
      <c r="F4470" s="926" t="s">
        <v>45</v>
      </c>
      <c r="G4470" s="910"/>
      <c r="H4470" s="911">
        <v>0.2</v>
      </c>
      <c r="I4470" s="912">
        <f>VLOOKUP(E4470,[3]VLP!$B$7:$K$300,10,0)</f>
        <v>23000</v>
      </c>
      <c r="J4470" s="912">
        <f>I4470*H4470</f>
        <v>4600</v>
      </c>
      <c r="K4470" s="912" t="s">
        <v>274</v>
      </c>
      <c r="L4470" s="912"/>
      <c r="M4470" s="912"/>
      <c r="N4470" s="912"/>
      <c r="O4470" s="892">
        <f t="shared" si="280"/>
        <v>0</v>
      </c>
      <c r="P4470" s="903">
        <f t="shared" si="281"/>
        <v>1</v>
      </c>
      <c r="Q4470" s="893">
        <f t="shared" si="282"/>
        <v>4</v>
      </c>
      <c r="R4470" s="894">
        <f t="shared" si="283"/>
        <v>0</v>
      </c>
    </row>
    <row r="4471" spans="1:18">
      <c r="A4471" s="905"/>
      <c r="B4471" s="906"/>
      <c r="C4471" s="907">
        <v>124</v>
      </c>
      <c r="D4471" s="907" t="s">
        <v>279</v>
      </c>
      <c r="E4471" s="925" t="s">
        <v>5432</v>
      </c>
      <c r="F4471" s="926" t="s">
        <v>3272</v>
      </c>
      <c r="G4471" s="910"/>
      <c r="H4471" s="911">
        <v>15</v>
      </c>
      <c r="I4471" s="912">
        <f>VLOOKUP(E4471,[3]VLP!$B$7:$K$300,10,0)</f>
        <v>20000</v>
      </c>
      <c r="J4471" s="912">
        <f>I4471*H4471</f>
        <v>300000</v>
      </c>
      <c r="K4471" s="912" t="s">
        <v>274</v>
      </c>
      <c r="L4471" s="912"/>
      <c r="M4471" s="912"/>
      <c r="N4471" s="912"/>
      <c r="O4471" s="892">
        <f t="shared" si="280"/>
        <v>0</v>
      </c>
      <c r="P4471" s="903">
        <f t="shared" si="281"/>
        <v>1</v>
      </c>
      <c r="Q4471" s="893">
        <f t="shared" si="282"/>
        <v>3</v>
      </c>
      <c r="R4471" s="894">
        <f t="shared" si="283"/>
        <v>0</v>
      </c>
    </row>
    <row r="4472" spans="1:18" s="904" customFormat="1">
      <c r="A4472" s="895"/>
      <c r="B4472" s="896"/>
      <c r="C4472" s="897"/>
      <c r="D4472" s="897"/>
      <c r="E4472" s="924" t="s">
        <v>276</v>
      </c>
      <c r="F4472" s="927"/>
      <c r="G4472" s="928"/>
      <c r="H4472" s="901"/>
      <c r="I4472" s="902"/>
      <c r="J4472" s="902"/>
      <c r="K4472" s="912" t="s">
        <v>274</v>
      </c>
      <c r="L4472" s="902"/>
      <c r="M4472" s="902"/>
      <c r="N4472" s="902"/>
      <c r="O4472" s="892">
        <f t="shared" si="280"/>
        <v>0</v>
      </c>
      <c r="P4472" s="903">
        <f t="shared" si="281"/>
        <v>1</v>
      </c>
      <c r="Q4472" s="893">
        <f t="shared" si="282"/>
        <v>2</v>
      </c>
      <c r="R4472" s="894">
        <f t="shared" si="283"/>
        <v>0</v>
      </c>
    </row>
    <row r="4473" spans="1:18">
      <c r="A4473" s="905"/>
      <c r="B4473" s="906"/>
      <c r="C4473" s="907">
        <v>740</v>
      </c>
      <c r="D4473" s="907" t="s">
        <v>12</v>
      </c>
      <c r="E4473" s="908" t="s">
        <v>4008</v>
      </c>
      <c r="F4473" s="909" t="s">
        <v>2674</v>
      </c>
      <c r="G4473" s="910"/>
      <c r="H4473" s="911">
        <v>22.49</v>
      </c>
      <c r="I4473" s="912"/>
      <c r="J4473" s="912"/>
      <c r="K4473" s="912">
        <f>VLOOKUP(E4473,[5]ĐMNC!$A$7:$F$67,4,0)</f>
        <v>221125</v>
      </c>
      <c r="L4473" s="912">
        <f>H4473*K4473</f>
        <v>4973101.25</v>
      </c>
      <c r="M4473" s="912"/>
      <c r="N4473" s="912"/>
      <c r="O4473" s="892">
        <f t="shared" si="280"/>
        <v>0</v>
      </c>
      <c r="P4473" s="903">
        <f t="shared" si="281"/>
        <v>1</v>
      </c>
      <c r="Q4473" s="893">
        <f t="shared" si="282"/>
        <v>1</v>
      </c>
      <c r="R4473" s="894">
        <f t="shared" si="283"/>
        <v>0</v>
      </c>
    </row>
    <row r="4474" spans="1:18" s="847" customFormat="1" ht="31.5">
      <c r="A4474" s="905"/>
      <c r="B4474" s="914" t="s">
        <v>1348</v>
      </c>
      <c r="C4474" s="915"/>
      <c r="D4474" s="915"/>
      <c r="E4474" s="916" t="s">
        <v>5540</v>
      </c>
      <c r="F4474" s="917" t="s">
        <v>150</v>
      </c>
      <c r="G4474" s="918"/>
      <c r="H4474" s="919"/>
      <c r="I4474" s="920"/>
      <c r="J4474" s="891">
        <f>SUM(J4475:J4480)</f>
        <v>305818.19</v>
      </c>
      <c r="K4474" s="891"/>
      <c r="L4474" s="891">
        <f>SUM(L4475:L4480)</f>
        <v>5572350</v>
      </c>
      <c r="M4474" s="891"/>
      <c r="N4474" s="891">
        <f>SUM(N4475:N4480)</f>
        <v>0</v>
      </c>
      <c r="O4474" s="892">
        <f t="shared" si="280"/>
        <v>1</v>
      </c>
      <c r="P4474" s="903">
        <f t="shared" si="281"/>
        <v>0</v>
      </c>
      <c r="Q4474" s="893">
        <f t="shared" si="282"/>
        <v>0</v>
      </c>
      <c r="R4474" s="894">
        <f t="shared" si="283"/>
        <v>6</v>
      </c>
    </row>
    <row r="4475" spans="1:18" s="904" customFormat="1">
      <c r="A4475" s="895"/>
      <c r="B4475" s="896"/>
      <c r="C4475" s="897"/>
      <c r="D4475" s="897"/>
      <c r="E4475" s="898" t="s">
        <v>108</v>
      </c>
      <c r="F4475" s="899"/>
      <c r="G4475" s="900"/>
      <c r="H4475" s="901"/>
      <c r="I4475" s="902"/>
      <c r="J4475" s="902"/>
      <c r="K4475" s="912" t="s">
        <v>274</v>
      </c>
      <c r="L4475" s="902"/>
      <c r="M4475" s="902"/>
      <c r="N4475" s="902"/>
      <c r="O4475" s="892">
        <f t="shared" si="280"/>
        <v>0</v>
      </c>
      <c r="P4475" s="903">
        <f t="shared" si="281"/>
        <v>1</v>
      </c>
      <c r="Q4475" s="893">
        <f t="shared" si="282"/>
        <v>6</v>
      </c>
      <c r="R4475" s="894">
        <f t="shared" si="283"/>
        <v>0</v>
      </c>
    </row>
    <row r="4476" spans="1:18">
      <c r="A4476" s="905"/>
      <c r="B4476" s="906"/>
      <c r="C4476" s="907">
        <v>55</v>
      </c>
      <c r="D4476" s="907" t="s">
        <v>279</v>
      </c>
      <c r="E4476" s="925" t="s">
        <v>3192</v>
      </c>
      <c r="F4476" s="926" t="s">
        <v>45</v>
      </c>
      <c r="G4476" s="910"/>
      <c r="H4476" s="911">
        <v>0.03</v>
      </c>
      <c r="I4476" s="912">
        <f>VLOOKUP(E4476,[3]VLP!$B$7:$K$300,10,0)</f>
        <v>2273</v>
      </c>
      <c r="J4476" s="912">
        <f>I4476*H4476</f>
        <v>68.19</v>
      </c>
      <c r="K4476" s="912" t="s">
        <v>274</v>
      </c>
      <c r="L4476" s="912"/>
      <c r="M4476" s="912"/>
      <c r="N4476" s="912"/>
      <c r="O4476" s="892">
        <f t="shared" si="280"/>
        <v>0</v>
      </c>
      <c r="P4476" s="903">
        <f t="shared" si="281"/>
        <v>1</v>
      </c>
      <c r="Q4476" s="893">
        <f t="shared" si="282"/>
        <v>5</v>
      </c>
      <c r="R4476" s="894">
        <f t="shared" si="283"/>
        <v>0</v>
      </c>
    </row>
    <row r="4477" spans="1:18">
      <c r="A4477" s="905"/>
      <c r="B4477" s="906"/>
      <c r="C4477" s="907">
        <v>44</v>
      </c>
      <c r="D4477" s="907" t="s">
        <v>279</v>
      </c>
      <c r="E4477" s="925" t="s">
        <v>2681</v>
      </c>
      <c r="F4477" s="926" t="s">
        <v>45</v>
      </c>
      <c r="G4477" s="910"/>
      <c r="H4477" s="911">
        <v>0.25</v>
      </c>
      <c r="I4477" s="912">
        <f>VLOOKUP(E4477,[3]VLP!$B$7:$K$300,10,0)</f>
        <v>23000</v>
      </c>
      <c r="J4477" s="912">
        <f>I4477*H4477</f>
        <v>5750</v>
      </c>
      <c r="K4477" s="912" t="s">
        <v>274</v>
      </c>
      <c r="L4477" s="912"/>
      <c r="M4477" s="912"/>
      <c r="N4477" s="912"/>
      <c r="O4477" s="892">
        <f t="shared" si="280"/>
        <v>0</v>
      </c>
      <c r="P4477" s="903">
        <f t="shared" si="281"/>
        <v>1</v>
      </c>
      <c r="Q4477" s="893">
        <f t="shared" si="282"/>
        <v>4</v>
      </c>
      <c r="R4477" s="894">
        <f t="shared" si="283"/>
        <v>0</v>
      </c>
    </row>
    <row r="4478" spans="1:18">
      <c r="A4478" s="905"/>
      <c r="B4478" s="906"/>
      <c r="C4478" s="907">
        <v>124</v>
      </c>
      <c r="D4478" s="907" t="s">
        <v>279</v>
      </c>
      <c r="E4478" s="925" t="s">
        <v>5432</v>
      </c>
      <c r="F4478" s="926" t="s">
        <v>3272</v>
      </c>
      <c r="G4478" s="910"/>
      <c r="H4478" s="911">
        <v>15</v>
      </c>
      <c r="I4478" s="912">
        <f>VLOOKUP(E4478,[3]VLP!$B$7:$K$300,10,0)</f>
        <v>20000</v>
      </c>
      <c r="J4478" s="912">
        <f>I4478*H4478</f>
        <v>300000</v>
      </c>
      <c r="K4478" s="912" t="s">
        <v>274</v>
      </c>
      <c r="L4478" s="912"/>
      <c r="M4478" s="912"/>
      <c r="N4478" s="912"/>
      <c r="O4478" s="892">
        <f t="shared" si="280"/>
        <v>0</v>
      </c>
      <c r="P4478" s="903">
        <f t="shared" si="281"/>
        <v>1</v>
      </c>
      <c r="Q4478" s="893">
        <f t="shared" si="282"/>
        <v>3</v>
      </c>
      <c r="R4478" s="894">
        <f t="shared" si="283"/>
        <v>0</v>
      </c>
    </row>
    <row r="4479" spans="1:18" s="904" customFormat="1">
      <c r="A4479" s="895"/>
      <c r="B4479" s="896"/>
      <c r="C4479" s="897"/>
      <c r="D4479" s="897"/>
      <c r="E4479" s="924" t="s">
        <v>276</v>
      </c>
      <c r="F4479" s="927"/>
      <c r="G4479" s="928"/>
      <c r="H4479" s="901"/>
      <c r="I4479" s="902"/>
      <c r="J4479" s="902"/>
      <c r="K4479" s="912" t="s">
        <v>274</v>
      </c>
      <c r="L4479" s="902"/>
      <c r="M4479" s="902"/>
      <c r="N4479" s="902"/>
      <c r="O4479" s="892">
        <f t="shared" si="280"/>
        <v>0</v>
      </c>
      <c r="P4479" s="903">
        <f t="shared" si="281"/>
        <v>1</v>
      </c>
      <c r="Q4479" s="893">
        <f t="shared" si="282"/>
        <v>2</v>
      </c>
      <c r="R4479" s="894">
        <f t="shared" si="283"/>
        <v>0</v>
      </c>
    </row>
    <row r="4480" spans="1:18">
      <c r="A4480" s="905"/>
      <c r="B4480" s="906"/>
      <c r="C4480" s="907">
        <v>740</v>
      </c>
      <c r="D4480" s="907" t="s">
        <v>12</v>
      </c>
      <c r="E4480" s="908" t="s">
        <v>4008</v>
      </c>
      <c r="F4480" s="909" t="s">
        <v>2674</v>
      </c>
      <c r="G4480" s="910"/>
      <c r="H4480" s="911">
        <v>25.2</v>
      </c>
      <c r="I4480" s="912"/>
      <c r="J4480" s="912"/>
      <c r="K4480" s="912">
        <f>VLOOKUP(E4480,[5]ĐMNC!$A$7:$F$67,4,0)</f>
        <v>221125</v>
      </c>
      <c r="L4480" s="912">
        <f>H4480*K4480</f>
        <v>5572350</v>
      </c>
      <c r="M4480" s="912"/>
      <c r="N4480" s="912"/>
      <c r="O4480" s="892">
        <f t="shared" si="280"/>
        <v>0</v>
      </c>
      <c r="P4480" s="903">
        <f t="shared" si="281"/>
        <v>1</v>
      </c>
      <c r="Q4480" s="893">
        <f t="shared" si="282"/>
        <v>1</v>
      </c>
      <c r="R4480" s="894">
        <f t="shared" si="283"/>
        <v>0</v>
      </c>
    </row>
    <row r="4481" spans="1:18" s="847" customFormat="1" ht="31.5">
      <c r="A4481" s="905"/>
      <c r="B4481" s="914" t="s">
        <v>1350</v>
      </c>
      <c r="C4481" s="915"/>
      <c r="D4481" s="915"/>
      <c r="E4481" s="916" t="s">
        <v>5541</v>
      </c>
      <c r="F4481" s="917" t="s">
        <v>150</v>
      </c>
      <c r="G4481" s="918"/>
      <c r="H4481" s="919"/>
      <c r="I4481" s="920"/>
      <c r="J4481" s="891">
        <f>SUM(J4482:J4487)</f>
        <v>305818.19</v>
      </c>
      <c r="K4481" s="891"/>
      <c r="L4481" s="891">
        <f>SUM(L4482:L4487)</f>
        <v>6686820</v>
      </c>
      <c r="M4481" s="891"/>
      <c r="N4481" s="891">
        <f>SUM(N4482:N4487)</f>
        <v>0</v>
      </c>
      <c r="O4481" s="892">
        <f t="shared" si="280"/>
        <v>1</v>
      </c>
      <c r="P4481" s="903">
        <f t="shared" si="281"/>
        <v>0</v>
      </c>
      <c r="Q4481" s="893">
        <f t="shared" si="282"/>
        <v>0</v>
      </c>
      <c r="R4481" s="894">
        <f t="shared" si="283"/>
        <v>6</v>
      </c>
    </row>
    <row r="4482" spans="1:18" s="904" customFormat="1">
      <c r="A4482" s="895"/>
      <c r="B4482" s="896"/>
      <c r="C4482" s="897"/>
      <c r="D4482" s="897"/>
      <c r="E4482" s="898" t="s">
        <v>108</v>
      </c>
      <c r="F4482" s="899"/>
      <c r="G4482" s="900"/>
      <c r="H4482" s="901"/>
      <c r="I4482" s="902"/>
      <c r="J4482" s="902"/>
      <c r="K4482" s="912" t="s">
        <v>274</v>
      </c>
      <c r="L4482" s="902"/>
      <c r="M4482" s="902"/>
      <c r="N4482" s="902"/>
      <c r="O4482" s="892">
        <f t="shared" si="280"/>
        <v>0</v>
      </c>
      <c r="P4482" s="903">
        <f t="shared" si="281"/>
        <v>1</v>
      </c>
      <c r="Q4482" s="893">
        <f t="shared" si="282"/>
        <v>6</v>
      </c>
      <c r="R4482" s="894">
        <f t="shared" si="283"/>
        <v>0</v>
      </c>
    </row>
    <row r="4483" spans="1:18">
      <c r="A4483" s="905"/>
      <c r="B4483" s="906"/>
      <c r="C4483" s="907">
        <v>55</v>
      </c>
      <c r="D4483" s="907" t="s">
        <v>279</v>
      </c>
      <c r="E4483" s="925" t="s">
        <v>3192</v>
      </c>
      <c r="F4483" s="926" t="s">
        <v>45</v>
      </c>
      <c r="G4483" s="910"/>
      <c r="H4483" s="911">
        <v>0.03</v>
      </c>
      <c r="I4483" s="912">
        <f>VLOOKUP(E4483,[3]VLP!$B$7:$K$300,10,0)</f>
        <v>2273</v>
      </c>
      <c r="J4483" s="912">
        <f>I4483*H4483</f>
        <v>68.19</v>
      </c>
      <c r="K4483" s="912" t="s">
        <v>274</v>
      </c>
      <c r="L4483" s="912"/>
      <c r="M4483" s="912"/>
      <c r="N4483" s="912"/>
      <c r="O4483" s="892">
        <f t="shared" si="280"/>
        <v>0</v>
      </c>
      <c r="P4483" s="903">
        <f t="shared" si="281"/>
        <v>1</v>
      </c>
      <c r="Q4483" s="893">
        <f t="shared" si="282"/>
        <v>5</v>
      </c>
      <c r="R4483" s="894">
        <f t="shared" si="283"/>
        <v>0</v>
      </c>
    </row>
    <row r="4484" spans="1:18">
      <c r="A4484" s="905"/>
      <c r="B4484" s="906"/>
      <c r="C4484" s="907">
        <v>44</v>
      </c>
      <c r="D4484" s="907" t="s">
        <v>279</v>
      </c>
      <c r="E4484" s="925" t="s">
        <v>2681</v>
      </c>
      <c r="F4484" s="926" t="s">
        <v>45</v>
      </c>
      <c r="G4484" s="910"/>
      <c r="H4484" s="911">
        <v>0.25</v>
      </c>
      <c r="I4484" s="912">
        <f>VLOOKUP(E4484,[3]VLP!$B$7:$K$300,10,0)</f>
        <v>23000</v>
      </c>
      <c r="J4484" s="912">
        <f>I4484*H4484</f>
        <v>5750</v>
      </c>
      <c r="K4484" s="912" t="s">
        <v>274</v>
      </c>
      <c r="L4484" s="912"/>
      <c r="M4484" s="912"/>
      <c r="N4484" s="912"/>
      <c r="O4484" s="892">
        <f t="shared" si="280"/>
        <v>0</v>
      </c>
      <c r="P4484" s="903">
        <f t="shared" si="281"/>
        <v>1</v>
      </c>
      <c r="Q4484" s="893">
        <f t="shared" si="282"/>
        <v>4</v>
      </c>
      <c r="R4484" s="894">
        <f t="shared" si="283"/>
        <v>0</v>
      </c>
    </row>
    <row r="4485" spans="1:18">
      <c r="A4485" s="905"/>
      <c r="B4485" s="906"/>
      <c r="C4485" s="907">
        <v>124</v>
      </c>
      <c r="D4485" s="907" t="s">
        <v>279</v>
      </c>
      <c r="E4485" s="925" t="s">
        <v>5432</v>
      </c>
      <c r="F4485" s="926" t="s">
        <v>3272</v>
      </c>
      <c r="G4485" s="910"/>
      <c r="H4485" s="911">
        <v>15</v>
      </c>
      <c r="I4485" s="912">
        <f>VLOOKUP(E4485,[3]VLP!$B$7:$K$300,10,0)</f>
        <v>20000</v>
      </c>
      <c r="J4485" s="912">
        <f>I4485*H4485</f>
        <v>300000</v>
      </c>
      <c r="K4485" s="912" t="s">
        <v>274</v>
      </c>
      <c r="L4485" s="912"/>
      <c r="M4485" s="912"/>
      <c r="N4485" s="912"/>
      <c r="O4485" s="892">
        <f t="shared" si="280"/>
        <v>0</v>
      </c>
      <c r="P4485" s="903">
        <f t="shared" si="281"/>
        <v>1</v>
      </c>
      <c r="Q4485" s="893">
        <f t="shared" si="282"/>
        <v>3</v>
      </c>
      <c r="R4485" s="894">
        <f t="shared" si="283"/>
        <v>0</v>
      </c>
    </row>
    <row r="4486" spans="1:18" s="904" customFormat="1">
      <c r="A4486" s="895"/>
      <c r="B4486" s="896"/>
      <c r="C4486" s="897"/>
      <c r="D4486" s="897"/>
      <c r="E4486" s="924" t="s">
        <v>276</v>
      </c>
      <c r="F4486" s="927"/>
      <c r="G4486" s="928"/>
      <c r="H4486" s="901"/>
      <c r="I4486" s="902"/>
      <c r="J4486" s="902"/>
      <c r="K4486" s="912" t="s">
        <v>274</v>
      </c>
      <c r="L4486" s="902"/>
      <c r="M4486" s="902"/>
      <c r="N4486" s="902"/>
      <c r="O4486" s="892">
        <f t="shared" si="280"/>
        <v>0</v>
      </c>
      <c r="P4486" s="903">
        <f t="shared" si="281"/>
        <v>1</v>
      </c>
      <c r="Q4486" s="893">
        <f t="shared" si="282"/>
        <v>2</v>
      </c>
      <c r="R4486" s="894">
        <f t="shared" si="283"/>
        <v>0</v>
      </c>
    </row>
    <row r="4487" spans="1:18">
      <c r="A4487" s="905"/>
      <c r="B4487" s="906"/>
      <c r="C4487" s="907">
        <v>740</v>
      </c>
      <c r="D4487" s="907" t="s">
        <v>12</v>
      </c>
      <c r="E4487" s="908" t="s">
        <v>4008</v>
      </c>
      <c r="F4487" s="909" t="s">
        <v>2674</v>
      </c>
      <c r="G4487" s="910"/>
      <c r="H4487" s="911">
        <v>30.24</v>
      </c>
      <c r="I4487" s="912"/>
      <c r="J4487" s="912"/>
      <c r="K4487" s="912">
        <f>VLOOKUP(E4487,[5]ĐMNC!$A$7:$F$67,4,0)</f>
        <v>221125</v>
      </c>
      <c r="L4487" s="912">
        <f>H4487*K4487</f>
        <v>6686820</v>
      </c>
      <c r="M4487" s="912"/>
      <c r="N4487" s="912"/>
      <c r="O4487" s="892">
        <f t="shared" si="280"/>
        <v>0</v>
      </c>
      <c r="P4487" s="903">
        <f t="shared" si="281"/>
        <v>1</v>
      </c>
      <c r="Q4487" s="893">
        <f t="shared" si="282"/>
        <v>1</v>
      </c>
      <c r="R4487" s="894">
        <f t="shared" si="283"/>
        <v>0</v>
      </c>
    </row>
    <row r="4488" spans="1:18" s="847" customFormat="1" ht="31.5">
      <c r="A4488" s="905"/>
      <c r="B4488" s="914" t="s">
        <v>1352</v>
      </c>
      <c r="C4488" s="915"/>
      <c r="D4488" s="915"/>
      <c r="E4488" s="916" t="s">
        <v>5542</v>
      </c>
      <c r="F4488" s="917" t="s">
        <v>150</v>
      </c>
      <c r="G4488" s="918"/>
      <c r="H4488" s="919"/>
      <c r="I4488" s="920"/>
      <c r="J4488" s="891">
        <f>SUM(J4489:J4494)</f>
        <v>304668.19</v>
      </c>
      <c r="K4488" s="891"/>
      <c r="L4488" s="891">
        <f>SUM(L4489:L4494)</f>
        <v>2465543.75</v>
      </c>
      <c r="M4488" s="891"/>
      <c r="N4488" s="891">
        <f>SUM(N4489:N4494)</f>
        <v>0</v>
      </c>
      <c r="O4488" s="892">
        <f t="shared" si="280"/>
        <v>1</v>
      </c>
      <c r="P4488" s="903">
        <f t="shared" si="281"/>
        <v>0</v>
      </c>
      <c r="Q4488" s="893">
        <f t="shared" si="282"/>
        <v>0</v>
      </c>
      <c r="R4488" s="894">
        <f t="shared" si="283"/>
        <v>6</v>
      </c>
    </row>
    <row r="4489" spans="1:18" s="904" customFormat="1">
      <c r="A4489" s="895"/>
      <c r="B4489" s="922"/>
      <c r="C4489" s="897"/>
      <c r="D4489" s="897"/>
      <c r="E4489" s="898" t="s">
        <v>108</v>
      </c>
      <c r="F4489" s="899"/>
      <c r="G4489" s="900"/>
      <c r="H4489" s="901"/>
      <c r="I4489" s="902"/>
      <c r="J4489" s="902"/>
      <c r="K4489" s="912" t="s">
        <v>274</v>
      </c>
      <c r="L4489" s="902"/>
      <c r="M4489" s="902"/>
      <c r="N4489" s="902"/>
      <c r="O4489" s="892">
        <f t="shared" si="280"/>
        <v>0</v>
      </c>
      <c r="P4489" s="903">
        <f t="shared" si="281"/>
        <v>1</v>
      </c>
      <c r="Q4489" s="893">
        <f t="shared" si="282"/>
        <v>6</v>
      </c>
      <c r="R4489" s="894">
        <f t="shared" si="283"/>
        <v>0</v>
      </c>
    </row>
    <row r="4490" spans="1:18">
      <c r="A4490" s="905"/>
      <c r="B4490" s="906"/>
      <c r="C4490" s="907">
        <v>55</v>
      </c>
      <c r="D4490" s="907" t="s">
        <v>279</v>
      </c>
      <c r="E4490" s="925" t="s">
        <v>3192</v>
      </c>
      <c r="F4490" s="926" t="s">
        <v>45</v>
      </c>
      <c r="G4490" s="910"/>
      <c r="H4490" s="911">
        <v>0.03</v>
      </c>
      <c r="I4490" s="912">
        <f>VLOOKUP(E4490,[3]VLP!$B$7:$K$300,10,0)</f>
        <v>2273</v>
      </c>
      <c r="J4490" s="912">
        <f>I4490*H4490</f>
        <v>68.19</v>
      </c>
      <c r="K4490" s="912" t="s">
        <v>274</v>
      </c>
      <c r="L4490" s="912"/>
      <c r="M4490" s="912"/>
      <c r="N4490" s="912"/>
      <c r="O4490" s="892">
        <f t="shared" si="280"/>
        <v>0</v>
      </c>
      <c r="P4490" s="903">
        <f t="shared" si="281"/>
        <v>1</v>
      </c>
      <c r="Q4490" s="893">
        <f t="shared" si="282"/>
        <v>5</v>
      </c>
      <c r="R4490" s="894">
        <f t="shared" si="283"/>
        <v>0</v>
      </c>
    </row>
    <row r="4491" spans="1:18">
      <c r="A4491" s="905"/>
      <c r="B4491" s="906"/>
      <c r="C4491" s="907">
        <v>44</v>
      </c>
      <c r="D4491" s="907" t="s">
        <v>279</v>
      </c>
      <c r="E4491" s="925" t="s">
        <v>2681</v>
      </c>
      <c r="F4491" s="926" t="s">
        <v>45</v>
      </c>
      <c r="G4491" s="910"/>
      <c r="H4491" s="911">
        <v>0.2</v>
      </c>
      <c r="I4491" s="912">
        <f>VLOOKUP(E4491,[3]VLP!$B$7:$K$300,10,0)</f>
        <v>23000</v>
      </c>
      <c r="J4491" s="912">
        <f>I4491*H4491</f>
        <v>4600</v>
      </c>
      <c r="K4491" s="912" t="s">
        <v>274</v>
      </c>
      <c r="L4491" s="912"/>
      <c r="M4491" s="912"/>
      <c r="N4491" s="912"/>
      <c r="O4491" s="892">
        <f t="shared" si="280"/>
        <v>0</v>
      </c>
      <c r="P4491" s="903">
        <f t="shared" si="281"/>
        <v>1</v>
      </c>
      <c r="Q4491" s="893">
        <f t="shared" si="282"/>
        <v>4</v>
      </c>
      <c r="R4491" s="894">
        <f t="shared" si="283"/>
        <v>0</v>
      </c>
    </row>
    <row r="4492" spans="1:18">
      <c r="A4492" s="905"/>
      <c r="B4492" s="906"/>
      <c r="C4492" s="907">
        <v>124</v>
      </c>
      <c r="D4492" s="907" t="s">
        <v>279</v>
      </c>
      <c r="E4492" s="925" t="s">
        <v>5432</v>
      </c>
      <c r="F4492" s="926" t="s">
        <v>3272</v>
      </c>
      <c r="G4492" s="910"/>
      <c r="H4492" s="911">
        <v>15</v>
      </c>
      <c r="I4492" s="912">
        <f>VLOOKUP(E4492,[3]VLP!$B$7:$K$300,10,0)</f>
        <v>20000</v>
      </c>
      <c r="J4492" s="912">
        <f>I4492*H4492</f>
        <v>300000</v>
      </c>
      <c r="K4492" s="912" t="s">
        <v>274</v>
      </c>
      <c r="L4492" s="912"/>
      <c r="M4492" s="912"/>
      <c r="N4492" s="912"/>
      <c r="O4492" s="892">
        <f t="shared" si="280"/>
        <v>0</v>
      </c>
      <c r="P4492" s="903">
        <f t="shared" si="281"/>
        <v>1</v>
      </c>
      <c r="Q4492" s="893">
        <f t="shared" si="282"/>
        <v>3</v>
      </c>
      <c r="R4492" s="894">
        <f t="shared" si="283"/>
        <v>0</v>
      </c>
    </row>
    <row r="4493" spans="1:18" s="904" customFormat="1">
      <c r="A4493" s="895"/>
      <c r="B4493" s="896"/>
      <c r="C4493" s="897"/>
      <c r="D4493" s="897"/>
      <c r="E4493" s="924" t="s">
        <v>276</v>
      </c>
      <c r="F4493" s="927"/>
      <c r="G4493" s="928"/>
      <c r="H4493" s="901"/>
      <c r="I4493" s="902"/>
      <c r="J4493" s="902"/>
      <c r="K4493" s="912" t="s">
        <v>274</v>
      </c>
      <c r="L4493" s="902"/>
      <c r="M4493" s="902"/>
      <c r="N4493" s="902"/>
      <c r="O4493" s="892">
        <f t="shared" si="280"/>
        <v>0</v>
      </c>
      <c r="P4493" s="903">
        <f t="shared" si="281"/>
        <v>1</v>
      </c>
      <c r="Q4493" s="893">
        <f t="shared" si="282"/>
        <v>2</v>
      </c>
      <c r="R4493" s="894">
        <f t="shared" si="283"/>
        <v>0</v>
      </c>
    </row>
    <row r="4494" spans="1:18">
      <c r="A4494" s="905"/>
      <c r="B4494" s="906"/>
      <c r="C4494" s="907">
        <v>740</v>
      </c>
      <c r="D4494" s="907" t="s">
        <v>12</v>
      </c>
      <c r="E4494" s="908" t="s">
        <v>4008</v>
      </c>
      <c r="F4494" s="909" t="s">
        <v>2674</v>
      </c>
      <c r="G4494" s="910"/>
      <c r="H4494" s="911">
        <v>11.15</v>
      </c>
      <c r="I4494" s="912"/>
      <c r="J4494" s="912"/>
      <c r="K4494" s="912">
        <f>VLOOKUP(E4494,[5]ĐMNC!$A$7:$F$67,4,0)</f>
        <v>221125</v>
      </c>
      <c r="L4494" s="912">
        <f>H4494*K4494</f>
        <v>2465543.75</v>
      </c>
      <c r="M4494" s="912"/>
      <c r="N4494" s="912"/>
      <c r="O4494" s="892">
        <f t="shared" si="280"/>
        <v>0</v>
      </c>
      <c r="P4494" s="903">
        <f t="shared" si="281"/>
        <v>1</v>
      </c>
      <c r="Q4494" s="893">
        <f t="shared" si="282"/>
        <v>1</v>
      </c>
      <c r="R4494" s="894">
        <f t="shared" si="283"/>
        <v>0</v>
      </c>
    </row>
    <row r="4495" spans="1:18" s="847" customFormat="1" ht="31.5">
      <c r="A4495" s="905"/>
      <c r="B4495" s="914" t="s">
        <v>1354</v>
      </c>
      <c r="C4495" s="915"/>
      <c r="D4495" s="915"/>
      <c r="E4495" s="916" t="s">
        <v>5543</v>
      </c>
      <c r="F4495" s="917" t="s">
        <v>150</v>
      </c>
      <c r="G4495" s="918"/>
      <c r="H4495" s="919"/>
      <c r="I4495" s="920"/>
      <c r="J4495" s="891">
        <f>SUM(J4496:J4501)</f>
        <v>304668.19</v>
      </c>
      <c r="K4495" s="891"/>
      <c r="L4495" s="891">
        <f>SUM(L4496:L4501)</f>
        <v>3199678.75</v>
      </c>
      <c r="M4495" s="891"/>
      <c r="N4495" s="891">
        <f>SUM(N4496:N4501)</f>
        <v>0</v>
      </c>
      <c r="O4495" s="892">
        <f t="shared" si="280"/>
        <v>1</v>
      </c>
      <c r="P4495" s="903">
        <f t="shared" si="281"/>
        <v>0</v>
      </c>
      <c r="Q4495" s="893">
        <f t="shared" si="282"/>
        <v>0</v>
      </c>
      <c r="R4495" s="894">
        <f t="shared" si="283"/>
        <v>6</v>
      </c>
    </row>
    <row r="4496" spans="1:18" s="904" customFormat="1">
      <c r="A4496" s="895"/>
      <c r="B4496" s="896"/>
      <c r="C4496" s="897"/>
      <c r="D4496" s="897"/>
      <c r="E4496" s="898" t="s">
        <v>108</v>
      </c>
      <c r="F4496" s="899"/>
      <c r="G4496" s="900"/>
      <c r="H4496" s="901"/>
      <c r="I4496" s="902"/>
      <c r="J4496" s="902"/>
      <c r="K4496" s="912" t="s">
        <v>274</v>
      </c>
      <c r="L4496" s="902"/>
      <c r="M4496" s="902"/>
      <c r="N4496" s="902"/>
      <c r="O4496" s="892">
        <f t="shared" si="280"/>
        <v>0</v>
      </c>
      <c r="P4496" s="903">
        <f t="shared" si="281"/>
        <v>1</v>
      </c>
      <c r="Q4496" s="893">
        <f t="shared" si="282"/>
        <v>6</v>
      </c>
      <c r="R4496" s="894">
        <f t="shared" si="283"/>
        <v>0</v>
      </c>
    </row>
    <row r="4497" spans="1:18">
      <c r="A4497" s="905"/>
      <c r="B4497" s="906"/>
      <c r="C4497" s="907">
        <v>55</v>
      </c>
      <c r="D4497" s="907" t="s">
        <v>279</v>
      </c>
      <c r="E4497" s="925" t="s">
        <v>3192</v>
      </c>
      <c r="F4497" s="926" t="s">
        <v>45</v>
      </c>
      <c r="G4497" s="910"/>
      <c r="H4497" s="911">
        <v>0.03</v>
      </c>
      <c r="I4497" s="912">
        <f>VLOOKUP(E4497,[3]VLP!$B$7:$K$300,10,0)</f>
        <v>2273</v>
      </c>
      <c r="J4497" s="912">
        <f>I4497*H4497</f>
        <v>68.19</v>
      </c>
      <c r="K4497" s="912" t="s">
        <v>274</v>
      </c>
      <c r="L4497" s="912"/>
      <c r="M4497" s="912"/>
      <c r="N4497" s="912"/>
      <c r="O4497" s="892">
        <f t="shared" si="280"/>
        <v>0</v>
      </c>
      <c r="P4497" s="903">
        <f t="shared" si="281"/>
        <v>1</v>
      </c>
      <c r="Q4497" s="893">
        <f t="shared" si="282"/>
        <v>5</v>
      </c>
      <c r="R4497" s="894">
        <f t="shared" si="283"/>
        <v>0</v>
      </c>
    </row>
    <row r="4498" spans="1:18">
      <c r="A4498" s="905"/>
      <c r="B4498" s="906"/>
      <c r="C4498" s="907">
        <v>44</v>
      </c>
      <c r="D4498" s="907" t="s">
        <v>279</v>
      </c>
      <c r="E4498" s="925" t="s">
        <v>2681</v>
      </c>
      <c r="F4498" s="926" t="s">
        <v>45</v>
      </c>
      <c r="G4498" s="910"/>
      <c r="H4498" s="911">
        <v>0.2</v>
      </c>
      <c r="I4498" s="912">
        <f>VLOOKUP(E4498,[3]VLP!$B$7:$K$300,10,0)</f>
        <v>23000</v>
      </c>
      <c r="J4498" s="912">
        <f>I4498*H4498</f>
        <v>4600</v>
      </c>
      <c r="K4498" s="912" t="s">
        <v>274</v>
      </c>
      <c r="L4498" s="912"/>
      <c r="M4498" s="912"/>
      <c r="N4498" s="912"/>
      <c r="O4498" s="892">
        <f t="shared" si="280"/>
        <v>0</v>
      </c>
      <c r="P4498" s="903">
        <f t="shared" si="281"/>
        <v>1</v>
      </c>
      <c r="Q4498" s="893">
        <f t="shared" si="282"/>
        <v>4</v>
      </c>
      <c r="R4498" s="894">
        <f t="shared" si="283"/>
        <v>0</v>
      </c>
    </row>
    <row r="4499" spans="1:18">
      <c r="A4499" s="905"/>
      <c r="B4499" s="906"/>
      <c r="C4499" s="907">
        <v>124</v>
      </c>
      <c r="D4499" s="907" t="s">
        <v>279</v>
      </c>
      <c r="E4499" s="925" t="s">
        <v>5432</v>
      </c>
      <c r="F4499" s="926" t="s">
        <v>3272</v>
      </c>
      <c r="G4499" s="910"/>
      <c r="H4499" s="911">
        <v>15</v>
      </c>
      <c r="I4499" s="912">
        <f>VLOOKUP(E4499,[3]VLP!$B$7:$K$300,10,0)</f>
        <v>20000</v>
      </c>
      <c r="J4499" s="912">
        <f>I4499*H4499</f>
        <v>300000</v>
      </c>
      <c r="K4499" s="912" t="s">
        <v>274</v>
      </c>
      <c r="L4499" s="912"/>
      <c r="M4499" s="912"/>
      <c r="N4499" s="912"/>
      <c r="O4499" s="892">
        <f t="shared" si="280"/>
        <v>0</v>
      </c>
      <c r="P4499" s="903">
        <f t="shared" si="281"/>
        <v>1</v>
      </c>
      <c r="Q4499" s="893">
        <f t="shared" si="282"/>
        <v>3</v>
      </c>
      <c r="R4499" s="894">
        <f t="shared" si="283"/>
        <v>0</v>
      </c>
    </row>
    <row r="4500" spans="1:18" s="904" customFormat="1">
      <c r="A4500" s="895"/>
      <c r="B4500" s="896"/>
      <c r="C4500" s="897"/>
      <c r="D4500" s="897"/>
      <c r="E4500" s="924" t="s">
        <v>276</v>
      </c>
      <c r="F4500" s="927"/>
      <c r="G4500" s="928"/>
      <c r="H4500" s="901"/>
      <c r="I4500" s="902"/>
      <c r="J4500" s="902"/>
      <c r="K4500" s="912" t="s">
        <v>274</v>
      </c>
      <c r="L4500" s="902"/>
      <c r="M4500" s="902"/>
      <c r="N4500" s="902"/>
      <c r="O4500" s="892">
        <f t="shared" si="280"/>
        <v>0</v>
      </c>
      <c r="P4500" s="903">
        <f t="shared" si="281"/>
        <v>1</v>
      </c>
      <c r="Q4500" s="893">
        <f t="shared" si="282"/>
        <v>2</v>
      </c>
      <c r="R4500" s="894">
        <f t="shared" si="283"/>
        <v>0</v>
      </c>
    </row>
    <row r="4501" spans="1:18">
      <c r="A4501" s="905"/>
      <c r="B4501" s="906"/>
      <c r="C4501" s="907">
        <v>740</v>
      </c>
      <c r="D4501" s="907" t="s">
        <v>12</v>
      </c>
      <c r="E4501" s="908" t="s">
        <v>4008</v>
      </c>
      <c r="F4501" s="909" t="s">
        <v>2674</v>
      </c>
      <c r="G4501" s="910"/>
      <c r="H4501" s="911">
        <v>14.47</v>
      </c>
      <c r="I4501" s="912"/>
      <c r="J4501" s="912"/>
      <c r="K4501" s="912">
        <f>VLOOKUP(E4501,[5]ĐMNC!$A$7:$F$67,4,0)</f>
        <v>221125</v>
      </c>
      <c r="L4501" s="912">
        <f>H4501*K4501</f>
        <v>3199678.75</v>
      </c>
      <c r="M4501" s="912"/>
      <c r="N4501" s="912"/>
      <c r="O4501" s="892">
        <f t="shared" si="280"/>
        <v>0</v>
      </c>
      <c r="P4501" s="903">
        <f t="shared" si="281"/>
        <v>1</v>
      </c>
      <c r="Q4501" s="893">
        <f t="shared" si="282"/>
        <v>1</v>
      </c>
      <c r="R4501" s="894">
        <f t="shared" si="283"/>
        <v>0</v>
      </c>
    </row>
    <row r="4502" spans="1:18" s="847" customFormat="1" ht="31.5">
      <c r="A4502" s="905"/>
      <c r="B4502" s="914" t="s">
        <v>1356</v>
      </c>
      <c r="C4502" s="915"/>
      <c r="D4502" s="915"/>
      <c r="E4502" s="916" t="s">
        <v>5544</v>
      </c>
      <c r="F4502" s="917" t="s">
        <v>150</v>
      </c>
      <c r="G4502" s="918"/>
      <c r="H4502" s="919"/>
      <c r="I4502" s="920"/>
      <c r="J4502" s="891">
        <f>SUM(J4503:J4508)</f>
        <v>304668.19</v>
      </c>
      <c r="K4502" s="891"/>
      <c r="L4502" s="891">
        <f>SUM(L4503:L4508)</f>
        <v>3507042.5</v>
      </c>
      <c r="M4502" s="891"/>
      <c r="N4502" s="891">
        <f>SUM(N4503:N4508)</f>
        <v>0</v>
      </c>
      <c r="O4502" s="892">
        <f t="shared" si="280"/>
        <v>1</v>
      </c>
      <c r="P4502" s="903">
        <f t="shared" si="281"/>
        <v>0</v>
      </c>
      <c r="Q4502" s="893">
        <f t="shared" si="282"/>
        <v>0</v>
      </c>
      <c r="R4502" s="894">
        <f t="shared" si="283"/>
        <v>6</v>
      </c>
    </row>
    <row r="4503" spans="1:18" s="904" customFormat="1">
      <c r="A4503" s="895"/>
      <c r="B4503" s="896"/>
      <c r="C4503" s="897"/>
      <c r="D4503" s="897"/>
      <c r="E4503" s="898" t="s">
        <v>108</v>
      </c>
      <c r="F4503" s="899"/>
      <c r="G4503" s="900"/>
      <c r="H4503" s="901"/>
      <c r="I4503" s="902"/>
      <c r="J4503" s="902"/>
      <c r="K4503" s="912" t="s">
        <v>274</v>
      </c>
      <c r="L4503" s="902"/>
      <c r="M4503" s="902"/>
      <c r="N4503" s="902"/>
      <c r="O4503" s="892">
        <f t="shared" si="280"/>
        <v>0</v>
      </c>
      <c r="P4503" s="903">
        <f t="shared" si="281"/>
        <v>1</v>
      </c>
      <c r="Q4503" s="893">
        <f t="shared" si="282"/>
        <v>6</v>
      </c>
      <c r="R4503" s="894">
        <f t="shared" si="283"/>
        <v>0</v>
      </c>
    </row>
    <row r="4504" spans="1:18">
      <c r="A4504" s="905"/>
      <c r="B4504" s="906"/>
      <c r="C4504" s="907">
        <v>55</v>
      </c>
      <c r="D4504" s="907" t="s">
        <v>279</v>
      </c>
      <c r="E4504" s="925" t="s">
        <v>3192</v>
      </c>
      <c r="F4504" s="926" t="s">
        <v>45</v>
      </c>
      <c r="G4504" s="910"/>
      <c r="H4504" s="911">
        <v>0.03</v>
      </c>
      <c r="I4504" s="912">
        <f>VLOOKUP(E4504,[3]VLP!$B$7:$K$300,10,0)</f>
        <v>2273</v>
      </c>
      <c r="J4504" s="912">
        <f>I4504*H4504</f>
        <v>68.19</v>
      </c>
      <c r="K4504" s="912" t="s">
        <v>274</v>
      </c>
      <c r="L4504" s="912"/>
      <c r="M4504" s="912"/>
      <c r="N4504" s="912"/>
      <c r="O4504" s="892">
        <f t="shared" si="280"/>
        <v>0</v>
      </c>
      <c r="P4504" s="903">
        <f t="shared" si="281"/>
        <v>1</v>
      </c>
      <c r="Q4504" s="893">
        <f t="shared" si="282"/>
        <v>5</v>
      </c>
      <c r="R4504" s="894">
        <f t="shared" si="283"/>
        <v>0</v>
      </c>
    </row>
    <row r="4505" spans="1:18">
      <c r="A4505" s="905"/>
      <c r="B4505" s="906"/>
      <c r="C4505" s="907">
        <v>44</v>
      </c>
      <c r="D4505" s="907" t="s">
        <v>279</v>
      </c>
      <c r="E4505" s="925" t="s">
        <v>2681</v>
      </c>
      <c r="F4505" s="926" t="s">
        <v>45</v>
      </c>
      <c r="G4505" s="910"/>
      <c r="H4505" s="911">
        <v>0.2</v>
      </c>
      <c r="I4505" s="912">
        <f>VLOOKUP(E4505,[3]VLP!$B$7:$K$300,10,0)</f>
        <v>23000</v>
      </c>
      <c r="J4505" s="912">
        <f>I4505*H4505</f>
        <v>4600</v>
      </c>
      <c r="K4505" s="912" t="s">
        <v>274</v>
      </c>
      <c r="L4505" s="912"/>
      <c r="M4505" s="912"/>
      <c r="N4505" s="912"/>
      <c r="O4505" s="892">
        <f t="shared" si="280"/>
        <v>0</v>
      </c>
      <c r="P4505" s="903">
        <f t="shared" si="281"/>
        <v>1</v>
      </c>
      <c r="Q4505" s="893">
        <f t="shared" si="282"/>
        <v>4</v>
      </c>
      <c r="R4505" s="894">
        <f t="shared" si="283"/>
        <v>0</v>
      </c>
    </row>
    <row r="4506" spans="1:18">
      <c r="A4506" s="905"/>
      <c r="B4506" s="906"/>
      <c r="C4506" s="907">
        <v>124</v>
      </c>
      <c r="D4506" s="907" t="s">
        <v>279</v>
      </c>
      <c r="E4506" s="925" t="s">
        <v>5432</v>
      </c>
      <c r="F4506" s="926" t="s">
        <v>3272</v>
      </c>
      <c r="G4506" s="910"/>
      <c r="H4506" s="911">
        <v>15</v>
      </c>
      <c r="I4506" s="912">
        <f>VLOOKUP(E4506,[3]VLP!$B$7:$K$300,10,0)</f>
        <v>20000</v>
      </c>
      <c r="J4506" s="912">
        <f>I4506*H4506</f>
        <v>300000</v>
      </c>
      <c r="K4506" s="912" t="s">
        <v>274</v>
      </c>
      <c r="L4506" s="912"/>
      <c r="M4506" s="912"/>
      <c r="N4506" s="912"/>
      <c r="O4506" s="892">
        <f t="shared" si="280"/>
        <v>0</v>
      </c>
      <c r="P4506" s="903">
        <f t="shared" si="281"/>
        <v>1</v>
      </c>
      <c r="Q4506" s="893">
        <f t="shared" si="282"/>
        <v>3</v>
      </c>
      <c r="R4506" s="894">
        <f t="shared" si="283"/>
        <v>0</v>
      </c>
    </row>
    <row r="4507" spans="1:18" s="904" customFormat="1">
      <c r="A4507" s="895"/>
      <c r="B4507" s="896"/>
      <c r="C4507" s="897"/>
      <c r="D4507" s="897"/>
      <c r="E4507" s="924" t="s">
        <v>276</v>
      </c>
      <c r="F4507" s="927"/>
      <c r="G4507" s="928"/>
      <c r="H4507" s="901"/>
      <c r="I4507" s="902"/>
      <c r="J4507" s="902"/>
      <c r="K4507" s="912" t="s">
        <v>274</v>
      </c>
      <c r="L4507" s="902"/>
      <c r="M4507" s="902"/>
      <c r="N4507" s="902"/>
      <c r="O4507" s="892">
        <f t="shared" si="280"/>
        <v>0</v>
      </c>
      <c r="P4507" s="903">
        <f t="shared" si="281"/>
        <v>1</v>
      </c>
      <c r="Q4507" s="893">
        <f t="shared" si="282"/>
        <v>2</v>
      </c>
      <c r="R4507" s="894">
        <f t="shared" si="283"/>
        <v>0</v>
      </c>
    </row>
    <row r="4508" spans="1:18">
      <c r="A4508" s="905"/>
      <c r="B4508" s="906"/>
      <c r="C4508" s="907">
        <v>740</v>
      </c>
      <c r="D4508" s="907" t="s">
        <v>12</v>
      </c>
      <c r="E4508" s="908" t="s">
        <v>4008</v>
      </c>
      <c r="F4508" s="909" t="s">
        <v>2674</v>
      </c>
      <c r="G4508" s="910"/>
      <c r="H4508" s="911">
        <v>15.86</v>
      </c>
      <c r="I4508" s="912"/>
      <c r="J4508" s="912"/>
      <c r="K4508" s="912">
        <f>VLOOKUP(E4508,[5]ĐMNC!$A$7:$F$67,4,0)</f>
        <v>221125</v>
      </c>
      <c r="L4508" s="912">
        <f>H4508*K4508</f>
        <v>3507042.5</v>
      </c>
      <c r="M4508" s="912"/>
      <c r="N4508" s="912"/>
      <c r="O4508" s="892">
        <f t="shared" si="280"/>
        <v>0</v>
      </c>
      <c r="P4508" s="903">
        <f t="shared" si="281"/>
        <v>1</v>
      </c>
      <c r="Q4508" s="893">
        <f t="shared" si="282"/>
        <v>1</v>
      </c>
      <c r="R4508" s="894">
        <f t="shared" si="283"/>
        <v>0</v>
      </c>
    </row>
    <row r="4509" spans="1:18" s="847" customFormat="1" ht="31.5">
      <c r="A4509" s="905"/>
      <c r="B4509" s="914" t="s">
        <v>1358</v>
      </c>
      <c r="C4509" s="915"/>
      <c r="D4509" s="915"/>
      <c r="E4509" s="916" t="s">
        <v>5545</v>
      </c>
      <c r="F4509" s="917" t="s">
        <v>150</v>
      </c>
      <c r="G4509" s="918"/>
      <c r="H4509" s="919"/>
      <c r="I4509" s="920"/>
      <c r="J4509" s="891">
        <f>SUM(J4510:J4515)</f>
        <v>305818.19</v>
      </c>
      <c r="K4509" s="891"/>
      <c r="L4509" s="891">
        <f>SUM(L4510:L4515)</f>
        <v>4581710</v>
      </c>
      <c r="M4509" s="891"/>
      <c r="N4509" s="891">
        <f>SUM(N4510:N4515)</f>
        <v>0</v>
      </c>
      <c r="O4509" s="892">
        <f t="shared" si="280"/>
        <v>1</v>
      </c>
      <c r="P4509" s="903">
        <f t="shared" si="281"/>
        <v>0</v>
      </c>
      <c r="Q4509" s="893">
        <f t="shared" si="282"/>
        <v>0</v>
      </c>
      <c r="R4509" s="894">
        <f t="shared" si="283"/>
        <v>6</v>
      </c>
    </row>
    <row r="4510" spans="1:18" s="904" customFormat="1">
      <c r="A4510" s="895"/>
      <c r="B4510" s="896"/>
      <c r="C4510" s="897"/>
      <c r="D4510" s="897"/>
      <c r="E4510" s="898" t="s">
        <v>108</v>
      </c>
      <c r="F4510" s="899"/>
      <c r="G4510" s="900"/>
      <c r="H4510" s="901"/>
      <c r="I4510" s="902"/>
      <c r="J4510" s="902"/>
      <c r="K4510" s="912" t="s">
        <v>274</v>
      </c>
      <c r="L4510" s="902"/>
      <c r="M4510" s="902"/>
      <c r="N4510" s="902"/>
      <c r="O4510" s="892">
        <f t="shared" si="280"/>
        <v>0</v>
      </c>
      <c r="P4510" s="903">
        <f t="shared" si="281"/>
        <v>1</v>
      </c>
      <c r="Q4510" s="893">
        <f t="shared" si="282"/>
        <v>6</v>
      </c>
      <c r="R4510" s="894">
        <f t="shared" si="283"/>
        <v>0</v>
      </c>
    </row>
    <row r="4511" spans="1:18">
      <c r="A4511" s="905"/>
      <c r="B4511" s="906"/>
      <c r="C4511" s="907">
        <v>55</v>
      </c>
      <c r="D4511" s="907" t="s">
        <v>279</v>
      </c>
      <c r="E4511" s="925" t="s">
        <v>3192</v>
      </c>
      <c r="F4511" s="926" t="s">
        <v>45</v>
      </c>
      <c r="G4511" s="910"/>
      <c r="H4511" s="911">
        <v>0.03</v>
      </c>
      <c r="I4511" s="912">
        <f>VLOOKUP(E4511,[3]VLP!$B$7:$K$300,10,0)</f>
        <v>2273</v>
      </c>
      <c r="J4511" s="912">
        <f>I4511*H4511</f>
        <v>68.19</v>
      </c>
      <c r="K4511" s="912" t="s">
        <v>274</v>
      </c>
      <c r="L4511" s="912"/>
      <c r="M4511" s="912"/>
      <c r="N4511" s="912"/>
      <c r="O4511" s="892">
        <f t="shared" ref="O4511:O4574" si="284">IF(AND(B4511&lt;&gt;"",D4511=""),1,0)</f>
        <v>0</v>
      </c>
      <c r="P4511" s="903">
        <f t="shared" si="281"/>
        <v>1</v>
      </c>
      <c r="Q4511" s="893">
        <f t="shared" si="282"/>
        <v>5</v>
      </c>
      <c r="R4511" s="894">
        <f t="shared" si="283"/>
        <v>0</v>
      </c>
    </row>
    <row r="4512" spans="1:18">
      <c r="A4512" s="905"/>
      <c r="B4512" s="906"/>
      <c r="C4512" s="907">
        <v>44</v>
      </c>
      <c r="D4512" s="907" t="s">
        <v>279</v>
      </c>
      <c r="E4512" s="925" t="s">
        <v>2681</v>
      </c>
      <c r="F4512" s="926" t="s">
        <v>45</v>
      </c>
      <c r="G4512" s="910"/>
      <c r="H4512" s="911">
        <v>0.25</v>
      </c>
      <c r="I4512" s="912">
        <f>VLOOKUP(E4512,[3]VLP!$B$7:$K$300,10,0)</f>
        <v>23000</v>
      </c>
      <c r="J4512" s="912">
        <f>I4512*H4512</f>
        <v>5750</v>
      </c>
      <c r="K4512" s="912" t="s">
        <v>274</v>
      </c>
      <c r="L4512" s="912"/>
      <c r="M4512" s="912"/>
      <c r="N4512" s="912"/>
      <c r="O4512" s="892">
        <f t="shared" si="284"/>
        <v>0</v>
      </c>
      <c r="P4512" s="903">
        <f t="shared" si="281"/>
        <v>1</v>
      </c>
      <c r="Q4512" s="893">
        <f t="shared" si="282"/>
        <v>4</v>
      </c>
      <c r="R4512" s="894">
        <f t="shared" si="283"/>
        <v>0</v>
      </c>
    </row>
    <row r="4513" spans="1:18">
      <c r="A4513" s="905"/>
      <c r="B4513" s="906"/>
      <c r="C4513" s="907">
        <v>124</v>
      </c>
      <c r="D4513" s="907" t="s">
        <v>279</v>
      </c>
      <c r="E4513" s="925" t="s">
        <v>5432</v>
      </c>
      <c r="F4513" s="926" t="s">
        <v>3272</v>
      </c>
      <c r="G4513" s="910"/>
      <c r="H4513" s="911">
        <v>15</v>
      </c>
      <c r="I4513" s="912">
        <f>VLOOKUP(E4513,[3]VLP!$B$7:$K$300,10,0)</f>
        <v>20000</v>
      </c>
      <c r="J4513" s="912">
        <f>I4513*H4513</f>
        <v>300000</v>
      </c>
      <c r="K4513" s="912" t="s">
        <v>274</v>
      </c>
      <c r="L4513" s="912"/>
      <c r="M4513" s="912"/>
      <c r="N4513" s="912"/>
      <c r="O4513" s="892">
        <f t="shared" si="284"/>
        <v>0</v>
      </c>
      <c r="P4513" s="903">
        <f t="shared" si="281"/>
        <v>1</v>
      </c>
      <c r="Q4513" s="893">
        <f t="shared" si="282"/>
        <v>3</v>
      </c>
      <c r="R4513" s="894">
        <f t="shared" si="283"/>
        <v>0</v>
      </c>
    </row>
    <row r="4514" spans="1:18" s="904" customFormat="1">
      <c r="A4514" s="895"/>
      <c r="B4514" s="896"/>
      <c r="C4514" s="897"/>
      <c r="D4514" s="897"/>
      <c r="E4514" s="924" t="s">
        <v>276</v>
      </c>
      <c r="F4514" s="927"/>
      <c r="G4514" s="928"/>
      <c r="H4514" s="901"/>
      <c r="I4514" s="902"/>
      <c r="J4514" s="902"/>
      <c r="K4514" s="912" t="s">
        <v>274</v>
      </c>
      <c r="L4514" s="902"/>
      <c r="M4514" s="902"/>
      <c r="N4514" s="902"/>
      <c r="O4514" s="892">
        <f t="shared" si="284"/>
        <v>0</v>
      </c>
      <c r="P4514" s="903">
        <f t="shared" si="281"/>
        <v>1</v>
      </c>
      <c r="Q4514" s="893">
        <f t="shared" si="282"/>
        <v>2</v>
      </c>
      <c r="R4514" s="894">
        <f t="shared" si="283"/>
        <v>0</v>
      </c>
    </row>
    <row r="4515" spans="1:18">
      <c r="A4515" s="905"/>
      <c r="B4515" s="906"/>
      <c r="C4515" s="907">
        <v>740</v>
      </c>
      <c r="D4515" s="907" t="s">
        <v>12</v>
      </c>
      <c r="E4515" s="908" t="s">
        <v>4008</v>
      </c>
      <c r="F4515" s="909" t="s">
        <v>2674</v>
      </c>
      <c r="G4515" s="910"/>
      <c r="H4515" s="911">
        <v>20.72</v>
      </c>
      <c r="I4515" s="912"/>
      <c r="J4515" s="912"/>
      <c r="K4515" s="912">
        <f>VLOOKUP(E4515,[5]ĐMNC!$A$7:$F$67,4,0)</f>
        <v>221125</v>
      </c>
      <c r="L4515" s="912">
        <f>H4515*K4515</f>
        <v>4581710</v>
      </c>
      <c r="M4515" s="912"/>
      <c r="N4515" s="912"/>
      <c r="O4515" s="892">
        <f t="shared" si="284"/>
        <v>0</v>
      </c>
      <c r="P4515" s="903">
        <f t="shared" si="281"/>
        <v>1</v>
      </c>
      <c r="Q4515" s="893">
        <f t="shared" si="282"/>
        <v>1</v>
      </c>
      <c r="R4515" s="894">
        <f t="shared" si="283"/>
        <v>0</v>
      </c>
    </row>
    <row r="4516" spans="1:18" s="847" customFormat="1" ht="31.5">
      <c r="A4516" s="905"/>
      <c r="B4516" s="914" t="s">
        <v>1360</v>
      </c>
      <c r="C4516" s="915"/>
      <c r="D4516" s="915"/>
      <c r="E4516" s="916" t="s">
        <v>5546</v>
      </c>
      <c r="F4516" s="917" t="s">
        <v>150</v>
      </c>
      <c r="G4516" s="918"/>
      <c r="H4516" s="919"/>
      <c r="I4516" s="920"/>
      <c r="J4516" s="891">
        <f>SUM(J4517:J4522)</f>
        <v>305818.19</v>
      </c>
      <c r="K4516" s="891"/>
      <c r="L4516" s="891">
        <f>SUM(L4517:L4522)</f>
        <v>6171598.75</v>
      </c>
      <c r="M4516" s="891"/>
      <c r="N4516" s="891">
        <f>SUM(N4517:N4522)</f>
        <v>0</v>
      </c>
      <c r="O4516" s="892">
        <f t="shared" si="284"/>
        <v>1</v>
      </c>
      <c r="P4516" s="903">
        <f t="shared" si="281"/>
        <v>0</v>
      </c>
      <c r="Q4516" s="893">
        <f t="shared" si="282"/>
        <v>0</v>
      </c>
      <c r="R4516" s="894">
        <f t="shared" si="283"/>
        <v>6</v>
      </c>
    </row>
    <row r="4517" spans="1:18" s="904" customFormat="1">
      <c r="A4517" s="895"/>
      <c r="B4517" s="896"/>
      <c r="C4517" s="897"/>
      <c r="D4517" s="897"/>
      <c r="E4517" s="898" t="s">
        <v>108</v>
      </c>
      <c r="F4517" s="899"/>
      <c r="G4517" s="900"/>
      <c r="H4517" s="901"/>
      <c r="I4517" s="902"/>
      <c r="J4517" s="902"/>
      <c r="K4517" s="912" t="s">
        <v>274</v>
      </c>
      <c r="L4517" s="902"/>
      <c r="M4517" s="902"/>
      <c r="N4517" s="902"/>
      <c r="O4517" s="892">
        <f t="shared" si="284"/>
        <v>0</v>
      </c>
      <c r="P4517" s="903">
        <f t="shared" si="281"/>
        <v>1</v>
      </c>
      <c r="Q4517" s="893">
        <f t="shared" si="282"/>
        <v>6</v>
      </c>
      <c r="R4517" s="894">
        <f t="shared" si="283"/>
        <v>0</v>
      </c>
    </row>
    <row r="4518" spans="1:18">
      <c r="A4518" s="905"/>
      <c r="B4518" s="906"/>
      <c r="C4518" s="907">
        <v>55</v>
      </c>
      <c r="D4518" s="907" t="s">
        <v>279</v>
      </c>
      <c r="E4518" s="925" t="s">
        <v>3192</v>
      </c>
      <c r="F4518" s="926" t="s">
        <v>45</v>
      </c>
      <c r="G4518" s="910"/>
      <c r="H4518" s="911">
        <v>0.03</v>
      </c>
      <c r="I4518" s="912">
        <f>VLOOKUP(E4518,[3]VLP!$B$7:$K$300,10,0)</f>
        <v>2273</v>
      </c>
      <c r="J4518" s="912">
        <f>I4518*H4518</f>
        <v>68.19</v>
      </c>
      <c r="K4518" s="912" t="s">
        <v>274</v>
      </c>
      <c r="L4518" s="912"/>
      <c r="M4518" s="912"/>
      <c r="N4518" s="912"/>
      <c r="O4518" s="892">
        <f t="shared" si="284"/>
        <v>0</v>
      </c>
      <c r="P4518" s="903">
        <f t="shared" si="281"/>
        <v>1</v>
      </c>
      <c r="Q4518" s="893">
        <f t="shared" si="282"/>
        <v>5</v>
      </c>
      <c r="R4518" s="894">
        <f t="shared" si="283"/>
        <v>0</v>
      </c>
    </row>
    <row r="4519" spans="1:18">
      <c r="A4519" s="905"/>
      <c r="B4519" s="906"/>
      <c r="C4519" s="907">
        <v>44</v>
      </c>
      <c r="D4519" s="907" t="s">
        <v>279</v>
      </c>
      <c r="E4519" s="925" t="s">
        <v>2681</v>
      </c>
      <c r="F4519" s="926" t="s">
        <v>45</v>
      </c>
      <c r="G4519" s="910"/>
      <c r="H4519" s="911">
        <v>0.25</v>
      </c>
      <c r="I4519" s="912">
        <f>VLOOKUP(E4519,[3]VLP!$B$7:$K$300,10,0)</f>
        <v>23000</v>
      </c>
      <c r="J4519" s="912">
        <f>I4519*H4519</f>
        <v>5750</v>
      </c>
      <c r="K4519" s="912" t="s">
        <v>274</v>
      </c>
      <c r="L4519" s="912"/>
      <c r="M4519" s="912"/>
      <c r="N4519" s="912"/>
      <c r="O4519" s="892">
        <f t="shared" si="284"/>
        <v>0</v>
      </c>
      <c r="P4519" s="903">
        <f t="shared" si="281"/>
        <v>1</v>
      </c>
      <c r="Q4519" s="893">
        <f t="shared" si="282"/>
        <v>4</v>
      </c>
      <c r="R4519" s="894">
        <f t="shared" si="283"/>
        <v>0</v>
      </c>
    </row>
    <row r="4520" spans="1:18">
      <c r="A4520" s="905"/>
      <c r="B4520" s="906"/>
      <c r="C4520" s="907">
        <v>124</v>
      </c>
      <c r="D4520" s="907" t="s">
        <v>279</v>
      </c>
      <c r="E4520" s="925" t="s">
        <v>5432</v>
      </c>
      <c r="F4520" s="926" t="s">
        <v>3272</v>
      </c>
      <c r="G4520" s="910"/>
      <c r="H4520" s="911">
        <v>15</v>
      </c>
      <c r="I4520" s="912">
        <f>VLOOKUP(E4520,[3]VLP!$B$7:$K$300,10,0)</f>
        <v>20000</v>
      </c>
      <c r="J4520" s="912">
        <f>I4520*H4520</f>
        <v>300000</v>
      </c>
      <c r="K4520" s="912" t="s">
        <v>274</v>
      </c>
      <c r="L4520" s="912"/>
      <c r="M4520" s="912"/>
      <c r="N4520" s="912"/>
      <c r="O4520" s="892">
        <f t="shared" si="284"/>
        <v>0</v>
      </c>
      <c r="P4520" s="903">
        <f t="shared" ref="P4520:P4583" si="285">IF(O4520=0,1,0)</f>
        <v>1</v>
      </c>
      <c r="Q4520" s="893">
        <f t="shared" ref="Q4520:Q4583" si="286">IF(P4520=0,0,P4520+Q4521)</f>
        <v>3</v>
      </c>
      <c r="R4520" s="894">
        <f t="shared" ref="R4520:R4583" si="287">IF(Q4520=0,Q4521,0)</f>
        <v>0</v>
      </c>
    </row>
    <row r="4521" spans="1:18" s="904" customFormat="1">
      <c r="A4521" s="895"/>
      <c r="B4521" s="896"/>
      <c r="C4521" s="897"/>
      <c r="D4521" s="897"/>
      <c r="E4521" s="924" t="s">
        <v>276</v>
      </c>
      <c r="F4521" s="927"/>
      <c r="G4521" s="928"/>
      <c r="H4521" s="901"/>
      <c r="I4521" s="902"/>
      <c r="J4521" s="902"/>
      <c r="K4521" s="912" t="s">
        <v>274</v>
      </c>
      <c r="L4521" s="902"/>
      <c r="M4521" s="902"/>
      <c r="N4521" s="902"/>
      <c r="O4521" s="892">
        <f t="shared" si="284"/>
        <v>0</v>
      </c>
      <c r="P4521" s="903">
        <f t="shared" si="285"/>
        <v>1</v>
      </c>
      <c r="Q4521" s="893">
        <f t="shared" si="286"/>
        <v>2</v>
      </c>
      <c r="R4521" s="894">
        <f t="shared" si="287"/>
        <v>0</v>
      </c>
    </row>
    <row r="4522" spans="1:18">
      <c r="A4522" s="905"/>
      <c r="B4522" s="906"/>
      <c r="C4522" s="907">
        <v>740</v>
      </c>
      <c r="D4522" s="907" t="s">
        <v>12</v>
      </c>
      <c r="E4522" s="908" t="s">
        <v>4008</v>
      </c>
      <c r="F4522" s="909" t="s">
        <v>2674</v>
      </c>
      <c r="G4522" s="910"/>
      <c r="H4522" s="911">
        <v>27.91</v>
      </c>
      <c r="I4522" s="912"/>
      <c r="J4522" s="912"/>
      <c r="K4522" s="912">
        <f>VLOOKUP(E4522,[5]ĐMNC!$A$7:$F$67,4,0)</f>
        <v>221125</v>
      </c>
      <c r="L4522" s="912">
        <f>H4522*K4522</f>
        <v>6171598.75</v>
      </c>
      <c r="M4522" s="912"/>
      <c r="N4522" s="912"/>
      <c r="O4522" s="892">
        <f t="shared" si="284"/>
        <v>0</v>
      </c>
      <c r="P4522" s="903">
        <f t="shared" si="285"/>
        <v>1</v>
      </c>
      <c r="Q4522" s="893">
        <f t="shared" si="286"/>
        <v>1</v>
      </c>
      <c r="R4522" s="894">
        <f t="shared" si="287"/>
        <v>0</v>
      </c>
    </row>
    <row r="4523" spans="1:18" s="847" customFormat="1" ht="31.5">
      <c r="A4523" s="905"/>
      <c r="B4523" s="914" t="s">
        <v>1362</v>
      </c>
      <c r="C4523" s="915"/>
      <c r="D4523" s="915"/>
      <c r="E4523" s="916" t="s">
        <v>5547</v>
      </c>
      <c r="F4523" s="917" t="s">
        <v>150</v>
      </c>
      <c r="G4523" s="918"/>
      <c r="H4523" s="919"/>
      <c r="I4523" s="920"/>
      <c r="J4523" s="891">
        <f>SUM(J4524:J4529)</f>
        <v>305818.19</v>
      </c>
      <c r="K4523" s="891"/>
      <c r="L4523" s="891">
        <f>SUM(L4524:L4529)</f>
        <v>8411595</v>
      </c>
      <c r="M4523" s="891"/>
      <c r="N4523" s="891">
        <f>SUM(N4524:N4529)</f>
        <v>0</v>
      </c>
      <c r="O4523" s="892">
        <f t="shared" si="284"/>
        <v>1</v>
      </c>
      <c r="P4523" s="903">
        <f t="shared" si="285"/>
        <v>0</v>
      </c>
      <c r="Q4523" s="893">
        <f t="shared" si="286"/>
        <v>0</v>
      </c>
      <c r="R4523" s="894">
        <f t="shared" si="287"/>
        <v>6</v>
      </c>
    </row>
    <row r="4524" spans="1:18" s="904" customFormat="1">
      <c r="A4524" s="895"/>
      <c r="B4524" s="896"/>
      <c r="C4524" s="897"/>
      <c r="D4524" s="897"/>
      <c r="E4524" s="898" t="s">
        <v>108</v>
      </c>
      <c r="F4524" s="899"/>
      <c r="G4524" s="900"/>
      <c r="H4524" s="901"/>
      <c r="I4524" s="902"/>
      <c r="J4524" s="902"/>
      <c r="K4524" s="912" t="s">
        <v>274</v>
      </c>
      <c r="L4524" s="902"/>
      <c r="M4524" s="902"/>
      <c r="N4524" s="902"/>
      <c r="O4524" s="892">
        <f t="shared" si="284"/>
        <v>0</v>
      </c>
      <c r="P4524" s="903">
        <f t="shared" si="285"/>
        <v>1</v>
      </c>
      <c r="Q4524" s="893">
        <f t="shared" si="286"/>
        <v>6</v>
      </c>
      <c r="R4524" s="894">
        <f t="shared" si="287"/>
        <v>0</v>
      </c>
    </row>
    <row r="4525" spans="1:18">
      <c r="A4525" s="905"/>
      <c r="B4525" s="906"/>
      <c r="C4525" s="907">
        <v>55</v>
      </c>
      <c r="D4525" s="907" t="s">
        <v>279</v>
      </c>
      <c r="E4525" s="925" t="s">
        <v>3192</v>
      </c>
      <c r="F4525" s="926" t="s">
        <v>45</v>
      </c>
      <c r="G4525" s="910"/>
      <c r="H4525" s="911">
        <v>0.03</v>
      </c>
      <c r="I4525" s="912">
        <f>VLOOKUP(E4525,[3]VLP!$B$7:$K$300,10,0)</f>
        <v>2273</v>
      </c>
      <c r="J4525" s="912">
        <f>I4525*H4525</f>
        <v>68.19</v>
      </c>
      <c r="K4525" s="912" t="s">
        <v>274</v>
      </c>
      <c r="L4525" s="912"/>
      <c r="M4525" s="912"/>
      <c r="N4525" s="912"/>
      <c r="O4525" s="892">
        <f t="shared" si="284"/>
        <v>0</v>
      </c>
      <c r="P4525" s="903">
        <f t="shared" si="285"/>
        <v>1</v>
      </c>
      <c r="Q4525" s="893">
        <f t="shared" si="286"/>
        <v>5</v>
      </c>
      <c r="R4525" s="894">
        <f t="shared" si="287"/>
        <v>0</v>
      </c>
    </row>
    <row r="4526" spans="1:18">
      <c r="A4526" s="905"/>
      <c r="B4526" s="906"/>
      <c r="C4526" s="907">
        <v>44</v>
      </c>
      <c r="D4526" s="907" t="s">
        <v>279</v>
      </c>
      <c r="E4526" s="925" t="s">
        <v>2681</v>
      </c>
      <c r="F4526" s="926" t="s">
        <v>45</v>
      </c>
      <c r="G4526" s="910"/>
      <c r="H4526" s="911">
        <v>0.25</v>
      </c>
      <c r="I4526" s="912">
        <f>VLOOKUP(E4526,[3]VLP!$B$7:$K$300,10,0)</f>
        <v>23000</v>
      </c>
      <c r="J4526" s="912">
        <f>I4526*H4526</f>
        <v>5750</v>
      </c>
      <c r="K4526" s="912" t="s">
        <v>274</v>
      </c>
      <c r="L4526" s="912"/>
      <c r="M4526" s="912"/>
      <c r="N4526" s="912"/>
      <c r="O4526" s="892">
        <f t="shared" si="284"/>
        <v>0</v>
      </c>
      <c r="P4526" s="903">
        <f t="shared" si="285"/>
        <v>1</v>
      </c>
      <c r="Q4526" s="893">
        <f t="shared" si="286"/>
        <v>4</v>
      </c>
      <c r="R4526" s="894">
        <f t="shared" si="287"/>
        <v>0</v>
      </c>
    </row>
    <row r="4527" spans="1:18">
      <c r="A4527" s="905"/>
      <c r="B4527" s="906"/>
      <c r="C4527" s="907">
        <v>124</v>
      </c>
      <c r="D4527" s="907" t="s">
        <v>279</v>
      </c>
      <c r="E4527" s="925" t="s">
        <v>5432</v>
      </c>
      <c r="F4527" s="926" t="s">
        <v>3272</v>
      </c>
      <c r="G4527" s="910"/>
      <c r="H4527" s="911">
        <v>15</v>
      </c>
      <c r="I4527" s="912">
        <f>VLOOKUP(E4527,[3]VLP!$B$7:$K$300,10,0)</f>
        <v>20000</v>
      </c>
      <c r="J4527" s="912">
        <f>I4527*H4527</f>
        <v>300000</v>
      </c>
      <c r="K4527" s="912" t="s">
        <v>274</v>
      </c>
      <c r="L4527" s="912"/>
      <c r="M4527" s="912"/>
      <c r="N4527" s="912"/>
      <c r="O4527" s="892">
        <f t="shared" si="284"/>
        <v>0</v>
      </c>
      <c r="P4527" s="903">
        <f t="shared" si="285"/>
        <v>1</v>
      </c>
      <c r="Q4527" s="893">
        <f t="shared" si="286"/>
        <v>3</v>
      </c>
      <c r="R4527" s="894">
        <f t="shared" si="287"/>
        <v>0</v>
      </c>
    </row>
    <row r="4528" spans="1:18" s="904" customFormat="1">
      <c r="A4528" s="895"/>
      <c r="B4528" s="896"/>
      <c r="C4528" s="897"/>
      <c r="D4528" s="897"/>
      <c r="E4528" s="924" t="s">
        <v>276</v>
      </c>
      <c r="F4528" s="927"/>
      <c r="G4528" s="928"/>
      <c r="H4528" s="901"/>
      <c r="I4528" s="902"/>
      <c r="J4528" s="902"/>
      <c r="K4528" s="912" t="s">
        <v>274</v>
      </c>
      <c r="L4528" s="902"/>
      <c r="M4528" s="902"/>
      <c r="N4528" s="902"/>
      <c r="O4528" s="892">
        <f t="shared" si="284"/>
        <v>0</v>
      </c>
      <c r="P4528" s="903">
        <f t="shared" si="285"/>
        <v>1</v>
      </c>
      <c r="Q4528" s="893">
        <f t="shared" si="286"/>
        <v>2</v>
      </c>
      <c r="R4528" s="894">
        <f t="shared" si="287"/>
        <v>0</v>
      </c>
    </row>
    <row r="4529" spans="1:18">
      <c r="A4529" s="905"/>
      <c r="B4529" s="906"/>
      <c r="C4529" s="907">
        <v>740</v>
      </c>
      <c r="D4529" s="907" t="s">
        <v>12</v>
      </c>
      <c r="E4529" s="908" t="s">
        <v>4008</v>
      </c>
      <c r="F4529" s="909" t="s">
        <v>2674</v>
      </c>
      <c r="G4529" s="910"/>
      <c r="H4529" s="911">
        <v>38.04</v>
      </c>
      <c r="I4529" s="912"/>
      <c r="J4529" s="912"/>
      <c r="K4529" s="912">
        <f>VLOOKUP(E4529,[5]ĐMNC!$A$7:$F$67,4,0)</f>
        <v>221125</v>
      </c>
      <c r="L4529" s="912">
        <f>H4529*K4529</f>
        <v>8411595</v>
      </c>
      <c r="M4529" s="912"/>
      <c r="N4529" s="912"/>
      <c r="O4529" s="892">
        <f t="shared" si="284"/>
        <v>0</v>
      </c>
      <c r="P4529" s="903">
        <f t="shared" si="285"/>
        <v>1</v>
      </c>
      <c r="Q4529" s="893">
        <f t="shared" si="286"/>
        <v>1</v>
      </c>
      <c r="R4529" s="894">
        <f t="shared" si="287"/>
        <v>0</v>
      </c>
    </row>
    <row r="4530" spans="1:18" s="847" customFormat="1" ht="31.5">
      <c r="A4530" s="905"/>
      <c r="B4530" s="914" t="s">
        <v>1364</v>
      </c>
      <c r="C4530" s="915"/>
      <c r="D4530" s="915"/>
      <c r="E4530" s="916" t="s">
        <v>5548</v>
      </c>
      <c r="F4530" s="917" t="s">
        <v>150</v>
      </c>
      <c r="G4530" s="918"/>
      <c r="H4530" s="919"/>
      <c r="I4530" s="920"/>
      <c r="J4530" s="891">
        <f>SUM(J4531:J4536)</f>
        <v>427718.28</v>
      </c>
      <c r="K4530" s="891"/>
      <c r="L4530" s="891">
        <f>SUM(L4531:L4536)</f>
        <v>10202022.369999999</v>
      </c>
      <c r="M4530" s="891"/>
      <c r="N4530" s="891">
        <f>SUM(N4531:N4536)</f>
        <v>0</v>
      </c>
      <c r="O4530" s="892">
        <f t="shared" si="284"/>
        <v>1</v>
      </c>
      <c r="P4530" s="903">
        <f t="shared" si="285"/>
        <v>0</v>
      </c>
      <c r="Q4530" s="893">
        <f t="shared" si="286"/>
        <v>0</v>
      </c>
      <c r="R4530" s="894">
        <f t="shared" si="287"/>
        <v>6</v>
      </c>
    </row>
    <row r="4531" spans="1:18" s="904" customFormat="1">
      <c r="A4531" s="895"/>
      <c r="B4531" s="896"/>
      <c r="C4531" s="897"/>
      <c r="D4531" s="897"/>
      <c r="E4531" s="898" t="s">
        <v>108</v>
      </c>
      <c r="F4531" s="899"/>
      <c r="G4531" s="900"/>
      <c r="H4531" s="901"/>
      <c r="I4531" s="902"/>
      <c r="J4531" s="902"/>
      <c r="K4531" s="912" t="s">
        <v>274</v>
      </c>
      <c r="L4531" s="902"/>
      <c r="M4531" s="902"/>
      <c r="N4531" s="902"/>
      <c r="O4531" s="892">
        <f t="shared" si="284"/>
        <v>0</v>
      </c>
      <c r="P4531" s="903">
        <f t="shared" si="285"/>
        <v>1</v>
      </c>
      <c r="Q4531" s="893">
        <f t="shared" si="286"/>
        <v>6</v>
      </c>
      <c r="R4531" s="894">
        <f t="shared" si="287"/>
        <v>0</v>
      </c>
    </row>
    <row r="4532" spans="1:18">
      <c r="A4532" s="905"/>
      <c r="B4532" s="906"/>
      <c r="C4532" s="907">
        <v>44</v>
      </c>
      <c r="D4532" s="907" t="s">
        <v>279</v>
      </c>
      <c r="E4532" s="925" t="s">
        <v>2681</v>
      </c>
      <c r="F4532" s="926" t="s">
        <v>45</v>
      </c>
      <c r="G4532" s="910"/>
      <c r="H4532" s="911">
        <v>0.3</v>
      </c>
      <c r="I4532" s="912">
        <f>VLOOKUP(E4532,[3]VLP!$B$7:$K$300,10,0)</f>
        <v>23000</v>
      </c>
      <c r="J4532" s="912">
        <f>I4532*H4532</f>
        <v>6900</v>
      </c>
      <c r="K4532" s="912" t="s">
        <v>274</v>
      </c>
      <c r="L4532" s="912"/>
      <c r="M4532" s="912"/>
      <c r="N4532" s="912"/>
      <c r="O4532" s="892">
        <f t="shared" si="284"/>
        <v>0</v>
      </c>
      <c r="P4532" s="903">
        <f t="shared" si="285"/>
        <v>1</v>
      </c>
      <c r="Q4532" s="893">
        <f t="shared" si="286"/>
        <v>5</v>
      </c>
      <c r="R4532" s="894">
        <f t="shared" si="287"/>
        <v>0</v>
      </c>
    </row>
    <row r="4533" spans="1:18">
      <c r="A4533" s="905"/>
      <c r="B4533" s="906"/>
      <c r="C4533" s="907">
        <v>55</v>
      </c>
      <c r="D4533" s="907" t="s">
        <v>279</v>
      </c>
      <c r="E4533" s="925" t="s">
        <v>3192</v>
      </c>
      <c r="F4533" s="926" t="s">
        <v>45</v>
      </c>
      <c r="G4533" s="910"/>
      <c r="H4533" s="911">
        <v>0.36</v>
      </c>
      <c r="I4533" s="912">
        <f>VLOOKUP(E4533,[3]VLP!$B$7:$K$300,10,0)</f>
        <v>2273</v>
      </c>
      <c r="J4533" s="912">
        <f>I4533*H4533</f>
        <v>818.28</v>
      </c>
      <c r="K4533" s="912" t="s">
        <v>274</v>
      </c>
      <c r="L4533" s="912"/>
      <c r="M4533" s="912"/>
      <c r="N4533" s="912"/>
      <c r="O4533" s="892">
        <f t="shared" si="284"/>
        <v>0</v>
      </c>
      <c r="P4533" s="903">
        <f t="shared" si="285"/>
        <v>1</v>
      </c>
      <c r="Q4533" s="893">
        <f t="shared" si="286"/>
        <v>4</v>
      </c>
      <c r="R4533" s="894">
        <f t="shared" si="287"/>
        <v>0</v>
      </c>
    </row>
    <row r="4534" spans="1:18">
      <c r="A4534" s="905"/>
      <c r="B4534" s="906"/>
      <c r="C4534" s="907">
        <v>124</v>
      </c>
      <c r="D4534" s="907" t="s">
        <v>279</v>
      </c>
      <c r="E4534" s="925" t="s">
        <v>5432</v>
      </c>
      <c r="F4534" s="926" t="s">
        <v>3272</v>
      </c>
      <c r="G4534" s="910"/>
      <c r="H4534" s="911">
        <v>21</v>
      </c>
      <c r="I4534" s="912">
        <f>VLOOKUP(E4534,[3]VLP!$B$7:$K$300,10,0)</f>
        <v>20000</v>
      </c>
      <c r="J4534" s="912">
        <f>I4534*H4534</f>
        <v>420000</v>
      </c>
      <c r="K4534" s="912" t="s">
        <v>274</v>
      </c>
      <c r="L4534" s="912"/>
      <c r="M4534" s="912"/>
      <c r="N4534" s="912"/>
      <c r="O4534" s="892">
        <f t="shared" si="284"/>
        <v>0</v>
      </c>
      <c r="P4534" s="903">
        <f t="shared" si="285"/>
        <v>1</v>
      </c>
      <c r="Q4534" s="893">
        <f t="shared" si="286"/>
        <v>3</v>
      </c>
      <c r="R4534" s="894">
        <f t="shared" si="287"/>
        <v>0</v>
      </c>
    </row>
    <row r="4535" spans="1:18" s="904" customFormat="1">
      <c r="A4535" s="895"/>
      <c r="B4535" s="896"/>
      <c r="C4535" s="897"/>
      <c r="D4535" s="897"/>
      <c r="E4535" s="924" t="s">
        <v>276</v>
      </c>
      <c r="F4535" s="927"/>
      <c r="G4535" s="928"/>
      <c r="H4535" s="901"/>
      <c r="I4535" s="902"/>
      <c r="J4535" s="902"/>
      <c r="K4535" s="912" t="s">
        <v>274</v>
      </c>
      <c r="L4535" s="902"/>
      <c r="M4535" s="902"/>
      <c r="N4535" s="902"/>
      <c r="O4535" s="892">
        <f t="shared" si="284"/>
        <v>0</v>
      </c>
      <c r="P4535" s="903">
        <f t="shared" si="285"/>
        <v>1</v>
      </c>
      <c r="Q4535" s="893">
        <f t="shared" si="286"/>
        <v>2</v>
      </c>
      <c r="R4535" s="894">
        <f t="shared" si="287"/>
        <v>0</v>
      </c>
    </row>
    <row r="4536" spans="1:18">
      <c r="A4536" s="905"/>
      <c r="B4536" s="906"/>
      <c r="C4536" s="907">
        <v>745</v>
      </c>
      <c r="D4536" s="907" t="s">
        <v>12</v>
      </c>
      <c r="E4536" s="908" t="s">
        <v>5518</v>
      </c>
      <c r="F4536" s="909" t="s">
        <v>2674</v>
      </c>
      <c r="G4536" s="910"/>
      <c r="H4536" s="911">
        <v>42.41</v>
      </c>
      <c r="I4536" s="912"/>
      <c r="J4536" s="912"/>
      <c r="K4536" s="912">
        <f>VLOOKUP(E4536,[5]ĐMNC!$A$7:$F$67,4,0)</f>
        <v>240557</v>
      </c>
      <c r="L4536" s="912">
        <f>H4536*K4536</f>
        <v>10202022.369999999</v>
      </c>
      <c r="M4536" s="912"/>
      <c r="N4536" s="912"/>
      <c r="O4536" s="892">
        <f t="shared" si="284"/>
        <v>0</v>
      </c>
      <c r="P4536" s="903">
        <f t="shared" si="285"/>
        <v>1</v>
      </c>
      <c r="Q4536" s="893">
        <f t="shared" si="286"/>
        <v>1</v>
      </c>
      <c r="R4536" s="894">
        <f t="shared" si="287"/>
        <v>0</v>
      </c>
    </row>
    <row r="4537" spans="1:18" s="847" customFormat="1" ht="31.5">
      <c r="A4537" s="905"/>
      <c r="B4537" s="914" t="s">
        <v>1366</v>
      </c>
      <c r="C4537" s="915"/>
      <c r="D4537" s="915"/>
      <c r="E4537" s="916" t="s">
        <v>5549</v>
      </c>
      <c r="F4537" s="917" t="s">
        <v>150</v>
      </c>
      <c r="G4537" s="918"/>
      <c r="H4537" s="919"/>
      <c r="I4537" s="920"/>
      <c r="J4537" s="891">
        <f>SUM(J4538:J4543)</f>
        <v>427718.28</v>
      </c>
      <c r="K4537" s="891"/>
      <c r="L4537" s="891">
        <f>SUM(L4538:L4543)</f>
        <v>12427174.619999999</v>
      </c>
      <c r="M4537" s="891"/>
      <c r="N4537" s="891">
        <f>SUM(N4538:N4543)</f>
        <v>0</v>
      </c>
      <c r="O4537" s="892">
        <f t="shared" si="284"/>
        <v>1</v>
      </c>
      <c r="P4537" s="903">
        <f t="shared" si="285"/>
        <v>0</v>
      </c>
      <c r="Q4537" s="893">
        <f t="shared" si="286"/>
        <v>0</v>
      </c>
      <c r="R4537" s="894">
        <f t="shared" si="287"/>
        <v>6</v>
      </c>
    </row>
    <row r="4538" spans="1:18" s="904" customFormat="1">
      <c r="A4538" s="895"/>
      <c r="B4538" s="896"/>
      <c r="C4538" s="897"/>
      <c r="D4538" s="897"/>
      <c r="E4538" s="898" t="s">
        <v>108</v>
      </c>
      <c r="F4538" s="899"/>
      <c r="G4538" s="900"/>
      <c r="H4538" s="901"/>
      <c r="I4538" s="902"/>
      <c r="J4538" s="902"/>
      <c r="K4538" s="912" t="s">
        <v>274</v>
      </c>
      <c r="L4538" s="902"/>
      <c r="M4538" s="902"/>
      <c r="N4538" s="902"/>
      <c r="O4538" s="892">
        <f t="shared" si="284"/>
        <v>0</v>
      </c>
      <c r="P4538" s="903">
        <f t="shared" si="285"/>
        <v>1</v>
      </c>
      <c r="Q4538" s="893">
        <f t="shared" si="286"/>
        <v>6</v>
      </c>
      <c r="R4538" s="894">
        <f t="shared" si="287"/>
        <v>0</v>
      </c>
    </row>
    <row r="4539" spans="1:18">
      <c r="A4539" s="905"/>
      <c r="B4539" s="906"/>
      <c r="C4539" s="907">
        <v>44</v>
      </c>
      <c r="D4539" s="907" t="s">
        <v>279</v>
      </c>
      <c r="E4539" s="925" t="s">
        <v>2681</v>
      </c>
      <c r="F4539" s="926" t="s">
        <v>45</v>
      </c>
      <c r="G4539" s="910"/>
      <c r="H4539" s="911">
        <v>0.3</v>
      </c>
      <c r="I4539" s="912">
        <f>VLOOKUP(E4539,[3]VLP!$B$7:$K$300,10,0)</f>
        <v>23000</v>
      </c>
      <c r="J4539" s="912">
        <f>I4539*H4539</f>
        <v>6900</v>
      </c>
      <c r="K4539" s="912" t="s">
        <v>274</v>
      </c>
      <c r="L4539" s="912"/>
      <c r="M4539" s="912"/>
      <c r="N4539" s="912"/>
      <c r="O4539" s="892">
        <f t="shared" si="284"/>
        <v>0</v>
      </c>
      <c r="P4539" s="903">
        <f t="shared" si="285"/>
        <v>1</v>
      </c>
      <c r="Q4539" s="893">
        <f t="shared" si="286"/>
        <v>5</v>
      </c>
      <c r="R4539" s="894">
        <f t="shared" si="287"/>
        <v>0</v>
      </c>
    </row>
    <row r="4540" spans="1:18">
      <c r="A4540" s="905"/>
      <c r="B4540" s="906"/>
      <c r="C4540" s="907">
        <v>55</v>
      </c>
      <c r="D4540" s="907" t="s">
        <v>279</v>
      </c>
      <c r="E4540" s="925" t="s">
        <v>3192</v>
      </c>
      <c r="F4540" s="926" t="s">
        <v>45</v>
      </c>
      <c r="G4540" s="910"/>
      <c r="H4540" s="911">
        <v>0.36</v>
      </c>
      <c r="I4540" s="912">
        <f>VLOOKUP(E4540,[3]VLP!$B$7:$K$300,10,0)</f>
        <v>2273</v>
      </c>
      <c r="J4540" s="912">
        <f>I4540*H4540</f>
        <v>818.28</v>
      </c>
      <c r="K4540" s="912" t="s">
        <v>274</v>
      </c>
      <c r="L4540" s="912"/>
      <c r="M4540" s="912"/>
      <c r="N4540" s="912"/>
      <c r="O4540" s="892">
        <f t="shared" si="284"/>
        <v>0</v>
      </c>
      <c r="P4540" s="903">
        <f t="shared" si="285"/>
        <v>1</v>
      </c>
      <c r="Q4540" s="893">
        <f t="shared" si="286"/>
        <v>4</v>
      </c>
      <c r="R4540" s="894">
        <f t="shared" si="287"/>
        <v>0</v>
      </c>
    </row>
    <row r="4541" spans="1:18">
      <c r="A4541" s="905"/>
      <c r="B4541" s="906"/>
      <c r="C4541" s="907">
        <v>124</v>
      </c>
      <c r="D4541" s="907" t="s">
        <v>279</v>
      </c>
      <c r="E4541" s="925" t="s">
        <v>5432</v>
      </c>
      <c r="F4541" s="926" t="s">
        <v>3272</v>
      </c>
      <c r="G4541" s="910"/>
      <c r="H4541" s="911">
        <v>21</v>
      </c>
      <c r="I4541" s="912">
        <f>VLOOKUP(E4541,[3]VLP!$B$7:$K$300,10,0)</f>
        <v>20000</v>
      </c>
      <c r="J4541" s="912">
        <f>I4541*H4541</f>
        <v>420000</v>
      </c>
      <c r="K4541" s="912" t="s">
        <v>274</v>
      </c>
      <c r="L4541" s="912"/>
      <c r="M4541" s="912"/>
      <c r="N4541" s="912"/>
      <c r="O4541" s="892">
        <f t="shared" si="284"/>
        <v>0</v>
      </c>
      <c r="P4541" s="903">
        <f t="shared" si="285"/>
        <v>1</v>
      </c>
      <c r="Q4541" s="893">
        <f t="shared" si="286"/>
        <v>3</v>
      </c>
      <c r="R4541" s="894">
        <f t="shared" si="287"/>
        <v>0</v>
      </c>
    </row>
    <row r="4542" spans="1:18" s="904" customFormat="1">
      <c r="A4542" s="895"/>
      <c r="B4542" s="896"/>
      <c r="C4542" s="897"/>
      <c r="D4542" s="897"/>
      <c r="E4542" s="924" t="s">
        <v>276</v>
      </c>
      <c r="F4542" s="927"/>
      <c r="G4542" s="928"/>
      <c r="H4542" s="901"/>
      <c r="I4542" s="902"/>
      <c r="J4542" s="902"/>
      <c r="K4542" s="912" t="s">
        <v>274</v>
      </c>
      <c r="L4542" s="902"/>
      <c r="M4542" s="902"/>
      <c r="N4542" s="902"/>
      <c r="O4542" s="892">
        <f t="shared" si="284"/>
        <v>0</v>
      </c>
      <c r="P4542" s="903">
        <f t="shared" si="285"/>
        <v>1</v>
      </c>
      <c r="Q4542" s="893">
        <f t="shared" si="286"/>
        <v>2</v>
      </c>
      <c r="R4542" s="894">
        <f t="shared" si="287"/>
        <v>0</v>
      </c>
    </row>
    <row r="4543" spans="1:18">
      <c r="A4543" s="905"/>
      <c r="B4543" s="906"/>
      <c r="C4543" s="907">
        <v>745</v>
      </c>
      <c r="D4543" s="907" t="s">
        <v>12</v>
      </c>
      <c r="E4543" s="908" t="s">
        <v>5518</v>
      </c>
      <c r="F4543" s="909" t="s">
        <v>2674</v>
      </c>
      <c r="G4543" s="910"/>
      <c r="H4543" s="911">
        <v>51.66</v>
      </c>
      <c r="I4543" s="912"/>
      <c r="J4543" s="912"/>
      <c r="K4543" s="912">
        <f>VLOOKUP(E4543,[5]ĐMNC!$A$7:$F$67,4,0)</f>
        <v>240557</v>
      </c>
      <c r="L4543" s="912">
        <f>H4543*K4543</f>
        <v>12427174.619999999</v>
      </c>
      <c r="M4543" s="912"/>
      <c r="N4543" s="912"/>
      <c r="O4543" s="892">
        <f t="shared" si="284"/>
        <v>0</v>
      </c>
      <c r="P4543" s="903">
        <f t="shared" si="285"/>
        <v>1</v>
      </c>
      <c r="Q4543" s="893">
        <f t="shared" si="286"/>
        <v>1</v>
      </c>
      <c r="R4543" s="894">
        <f t="shared" si="287"/>
        <v>0</v>
      </c>
    </row>
    <row r="4544" spans="1:18" s="847" customFormat="1" ht="31.5">
      <c r="A4544" s="905"/>
      <c r="B4544" s="914" t="s">
        <v>1368</v>
      </c>
      <c r="C4544" s="915"/>
      <c r="D4544" s="915"/>
      <c r="E4544" s="916" t="s">
        <v>5550</v>
      </c>
      <c r="F4544" s="917" t="s">
        <v>150</v>
      </c>
      <c r="G4544" s="918"/>
      <c r="H4544" s="919"/>
      <c r="I4544" s="920"/>
      <c r="J4544" s="891">
        <f>SUM(J4545:J4550)</f>
        <v>427718.28</v>
      </c>
      <c r="K4544" s="891"/>
      <c r="L4544" s="891">
        <f>SUM(L4545:L4550)</f>
        <v>14669165.859999999</v>
      </c>
      <c r="M4544" s="891"/>
      <c r="N4544" s="891">
        <f>SUM(N4545:N4550)</f>
        <v>0</v>
      </c>
      <c r="O4544" s="892">
        <f t="shared" si="284"/>
        <v>1</v>
      </c>
      <c r="P4544" s="903">
        <f t="shared" si="285"/>
        <v>0</v>
      </c>
      <c r="Q4544" s="893">
        <f t="shared" si="286"/>
        <v>0</v>
      </c>
      <c r="R4544" s="894">
        <f t="shared" si="287"/>
        <v>6</v>
      </c>
    </row>
    <row r="4545" spans="1:18" s="904" customFormat="1">
      <c r="A4545" s="895"/>
      <c r="B4545" s="896"/>
      <c r="C4545" s="897"/>
      <c r="D4545" s="897"/>
      <c r="E4545" s="898" t="s">
        <v>108</v>
      </c>
      <c r="F4545" s="899"/>
      <c r="G4545" s="900"/>
      <c r="H4545" s="901"/>
      <c r="I4545" s="902"/>
      <c r="J4545" s="902"/>
      <c r="K4545" s="912" t="s">
        <v>274</v>
      </c>
      <c r="L4545" s="902"/>
      <c r="M4545" s="902"/>
      <c r="N4545" s="902"/>
      <c r="O4545" s="892">
        <f t="shared" si="284"/>
        <v>0</v>
      </c>
      <c r="P4545" s="903">
        <f t="shared" si="285"/>
        <v>1</v>
      </c>
      <c r="Q4545" s="893">
        <f t="shared" si="286"/>
        <v>6</v>
      </c>
      <c r="R4545" s="894">
        <f t="shared" si="287"/>
        <v>0</v>
      </c>
    </row>
    <row r="4546" spans="1:18">
      <c r="A4546" s="905"/>
      <c r="B4546" s="906"/>
      <c r="C4546" s="907">
        <v>44</v>
      </c>
      <c r="D4546" s="907" t="s">
        <v>279</v>
      </c>
      <c r="E4546" s="925" t="s">
        <v>2681</v>
      </c>
      <c r="F4546" s="926" t="s">
        <v>45</v>
      </c>
      <c r="G4546" s="910"/>
      <c r="H4546" s="911">
        <v>0.3</v>
      </c>
      <c r="I4546" s="912">
        <f>VLOOKUP(E4546,[3]VLP!$B$7:$K$300,10,0)</f>
        <v>23000</v>
      </c>
      <c r="J4546" s="912">
        <f>I4546*H4546</f>
        <v>6900</v>
      </c>
      <c r="K4546" s="912" t="s">
        <v>274</v>
      </c>
      <c r="L4546" s="912"/>
      <c r="M4546" s="912"/>
      <c r="N4546" s="912"/>
      <c r="O4546" s="892">
        <f t="shared" si="284"/>
        <v>0</v>
      </c>
      <c r="P4546" s="903">
        <f t="shared" si="285"/>
        <v>1</v>
      </c>
      <c r="Q4546" s="893">
        <f t="shared" si="286"/>
        <v>5</v>
      </c>
      <c r="R4546" s="894">
        <f t="shared" si="287"/>
        <v>0</v>
      </c>
    </row>
    <row r="4547" spans="1:18">
      <c r="A4547" s="905"/>
      <c r="B4547" s="906"/>
      <c r="C4547" s="907">
        <v>55</v>
      </c>
      <c r="D4547" s="907" t="s">
        <v>279</v>
      </c>
      <c r="E4547" s="925" t="s">
        <v>3192</v>
      </c>
      <c r="F4547" s="926" t="s">
        <v>45</v>
      </c>
      <c r="G4547" s="910"/>
      <c r="H4547" s="911">
        <v>0.36</v>
      </c>
      <c r="I4547" s="912">
        <f>VLOOKUP(E4547,[3]VLP!$B$7:$K$300,10,0)</f>
        <v>2273</v>
      </c>
      <c r="J4547" s="912">
        <f>I4547*H4547</f>
        <v>818.28</v>
      </c>
      <c r="K4547" s="912" t="s">
        <v>274</v>
      </c>
      <c r="L4547" s="912"/>
      <c r="M4547" s="912"/>
      <c r="N4547" s="912"/>
      <c r="O4547" s="892">
        <f t="shared" si="284"/>
        <v>0</v>
      </c>
      <c r="P4547" s="903">
        <f t="shared" si="285"/>
        <v>1</v>
      </c>
      <c r="Q4547" s="893">
        <f t="shared" si="286"/>
        <v>4</v>
      </c>
      <c r="R4547" s="894">
        <f t="shared" si="287"/>
        <v>0</v>
      </c>
    </row>
    <row r="4548" spans="1:18">
      <c r="A4548" s="905"/>
      <c r="B4548" s="906"/>
      <c r="C4548" s="907">
        <v>124</v>
      </c>
      <c r="D4548" s="907" t="s">
        <v>279</v>
      </c>
      <c r="E4548" s="925" t="s">
        <v>5432</v>
      </c>
      <c r="F4548" s="926" t="s">
        <v>3272</v>
      </c>
      <c r="G4548" s="910"/>
      <c r="H4548" s="911">
        <v>21</v>
      </c>
      <c r="I4548" s="912">
        <f>VLOOKUP(E4548,[3]VLP!$B$7:$K$300,10,0)</f>
        <v>20000</v>
      </c>
      <c r="J4548" s="912">
        <f>I4548*H4548</f>
        <v>420000</v>
      </c>
      <c r="K4548" s="912" t="s">
        <v>274</v>
      </c>
      <c r="L4548" s="912"/>
      <c r="M4548" s="912"/>
      <c r="N4548" s="912"/>
      <c r="O4548" s="892">
        <f t="shared" si="284"/>
        <v>0</v>
      </c>
      <c r="P4548" s="903">
        <f t="shared" si="285"/>
        <v>1</v>
      </c>
      <c r="Q4548" s="893">
        <f t="shared" si="286"/>
        <v>3</v>
      </c>
      <c r="R4548" s="894">
        <f t="shared" si="287"/>
        <v>0</v>
      </c>
    </row>
    <row r="4549" spans="1:18" s="904" customFormat="1">
      <c r="A4549" s="895"/>
      <c r="B4549" s="896"/>
      <c r="C4549" s="897"/>
      <c r="D4549" s="897"/>
      <c r="E4549" s="924" t="s">
        <v>276</v>
      </c>
      <c r="F4549" s="927"/>
      <c r="G4549" s="928"/>
      <c r="H4549" s="901"/>
      <c r="I4549" s="902"/>
      <c r="J4549" s="902"/>
      <c r="K4549" s="912" t="s">
        <v>274</v>
      </c>
      <c r="L4549" s="902"/>
      <c r="M4549" s="902"/>
      <c r="N4549" s="902"/>
      <c r="O4549" s="892">
        <f t="shared" si="284"/>
        <v>0</v>
      </c>
      <c r="P4549" s="903">
        <f t="shared" si="285"/>
        <v>1</v>
      </c>
      <c r="Q4549" s="893">
        <f t="shared" si="286"/>
        <v>2</v>
      </c>
      <c r="R4549" s="894">
        <f t="shared" si="287"/>
        <v>0</v>
      </c>
    </row>
    <row r="4550" spans="1:18">
      <c r="A4550" s="905"/>
      <c r="B4550" s="906"/>
      <c r="C4550" s="907">
        <v>745</v>
      </c>
      <c r="D4550" s="907" t="s">
        <v>12</v>
      </c>
      <c r="E4550" s="908" t="s">
        <v>5518</v>
      </c>
      <c r="F4550" s="909" t="s">
        <v>2674</v>
      </c>
      <c r="G4550" s="910"/>
      <c r="H4550" s="911">
        <v>60.98</v>
      </c>
      <c r="I4550" s="912"/>
      <c r="J4550" s="912"/>
      <c r="K4550" s="912">
        <f>VLOOKUP(E4550,[5]ĐMNC!$A$7:$F$67,4,0)</f>
        <v>240557</v>
      </c>
      <c r="L4550" s="912">
        <f>H4550*K4550</f>
        <v>14669165.859999999</v>
      </c>
      <c r="M4550" s="912"/>
      <c r="N4550" s="912"/>
      <c r="O4550" s="892">
        <f t="shared" si="284"/>
        <v>0</v>
      </c>
      <c r="P4550" s="903">
        <f t="shared" si="285"/>
        <v>1</v>
      </c>
      <c r="Q4550" s="893">
        <f t="shared" si="286"/>
        <v>1</v>
      </c>
      <c r="R4550" s="894">
        <f t="shared" si="287"/>
        <v>0</v>
      </c>
    </row>
    <row r="4551" spans="1:18" s="847" customFormat="1" ht="31.5">
      <c r="A4551" s="905"/>
      <c r="B4551" s="914" t="s">
        <v>1370</v>
      </c>
      <c r="C4551" s="915"/>
      <c r="D4551" s="915"/>
      <c r="E4551" s="916" t="s">
        <v>5551</v>
      </c>
      <c r="F4551" s="917" t="s">
        <v>150</v>
      </c>
      <c r="G4551" s="918"/>
      <c r="H4551" s="919"/>
      <c r="I4551" s="920"/>
      <c r="J4551" s="891">
        <f>SUM(J4552:J4557)</f>
        <v>427718.28</v>
      </c>
      <c r="K4551" s="891"/>
      <c r="L4551" s="891">
        <f>SUM(L4552:L4557)</f>
        <v>16134157.989999998</v>
      </c>
      <c r="M4551" s="891"/>
      <c r="N4551" s="891">
        <f>SUM(N4552:N4557)</f>
        <v>0</v>
      </c>
      <c r="O4551" s="892">
        <f t="shared" si="284"/>
        <v>1</v>
      </c>
      <c r="P4551" s="903">
        <f t="shared" si="285"/>
        <v>0</v>
      </c>
      <c r="Q4551" s="893">
        <f t="shared" si="286"/>
        <v>0</v>
      </c>
      <c r="R4551" s="894">
        <f t="shared" si="287"/>
        <v>6</v>
      </c>
    </row>
    <row r="4552" spans="1:18" s="904" customFormat="1">
      <c r="A4552" s="895"/>
      <c r="B4552" s="896"/>
      <c r="C4552" s="897"/>
      <c r="D4552" s="897"/>
      <c r="E4552" s="898" t="s">
        <v>108</v>
      </c>
      <c r="F4552" s="899"/>
      <c r="G4552" s="900"/>
      <c r="H4552" s="901"/>
      <c r="I4552" s="902"/>
      <c r="J4552" s="902"/>
      <c r="K4552" s="912" t="s">
        <v>274</v>
      </c>
      <c r="L4552" s="902"/>
      <c r="M4552" s="902"/>
      <c r="N4552" s="902"/>
      <c r="O4552" s="892">
        <f t="shared" si="284"/>
        <v>0</v>
      </c>
      <c r="P4552" s="903">
        <f t="shared" si="285"/>
        <v>1</v>
      </c>
      <c r="Q4552" s="893">
        <f t="shared" si="286"/>
        <v>6</v>
      </c>
      <c r="R4552" s="894">
        <f t="shared" si="287"/>
        <v>0</v>
      </c>
    </row>
    <row r="4553" spans="1:18">
      <c r="A4553" s="905"/>
      <c r="B4553" s="906"/>
      <c r="C4553" s="907">
        <v>44</v>
      </c>
      <c r="D4553" s="907" t="s">
        <v>279</v>
      </c>
      <c r="E4553" s="925" t="s">
        <v>2681</v>
      </c>
      <c r="F4553" s="926" t="s">
        <v>45</v>
      </c>
      <c r="G4553" s="910"/>
      <c r="H4553" s="911">
        <v>0.3</v>
      </c>
      <c r="I4553" s="912">
        <f>VLOOKUP(E4553,[3]VLP!$B$7:$K$300,10,0)</f>
        <v>23000</v>
      </c>
      <c r="J4553" s="912">
        <f>I4553*H4553</f>
        <v>6900</v>
      </c>
      <c r="K4553" s="912" t="s">
        <v>274</v>
      </c>
      <c r="L4553" s="912"/>
      <c r="M4553" s="912"/>
      <c r="N4553" s="912"/>
      <c r="O4553" s="892">
        <f t="shared" si="284"/>
        <v>0</v>
      </c>
      <c r="P4553" s="903">
        <f t="shared" si="285"/>
        <v>1</v>
      </c>
      <c r="Q4553" s="893">
        <f t="shared" si="286"/>
        <v>5</v>
      </c>
      <c r="R4553" s="894">
        <f t="shared" si="287"/>
        <v>0</v>
      </c>
    </row>
    <row r="4554" spans="1:18">
      <c r="A4554" s="905"/>
      <c r="B4554" s="906"/>
      <c r="C4554" s="907">
        <v>55</v>
      </c>
      <c r="D4554" s="907" t="s">
        <v>279</v>
      </c>
      <c r="E4554" s="925" t="s">
        <v>3192</v>
      </c>
      <c r="F4554" s="926" t="s">
        <v>45</v>
      </c>
      <c r="G4554" s="910"/>
      <c r="H4554" s="911">
        <v>0.36</v>
      </c>
      <c r="I4554" s="912">
        <f>VLOOKUP(E4554,[3]VLP!$B$7:$K$300,10,0)</f>
        <v>2273</v>
      </c>
      <c r="J4554" s="912">
        <f>I4554*H4554</f>
        <v>818.28</v>
      </c>
      <c r="K4554" s="912" t="s">
        <v>274</v>
      </c>
      <c r="L4554" s="912"/>
      <c r="M4554" s="912"/>
      <c r="N4554" s="912"/>
      <c r="O4554" s="892">
        <f t="shared" si="284"/>
        <v>0</v>
      </c>
      <c r="P4554" s="903">
        <f t="shared" si="285"/>
        <v>1</v>
      </c>
      <c r="Q4554" s="893">
        <f t="shared" si="286"/>
        <v>4</v>
      </c>
      <c r="R4554" s="894">
        <f t="shared" si="287"/>
        <v>0</v>
      </c>
    </row>
    <row r="4555" spans="1:18">
      <c r="A4555" s="905"/>
      <c r="B4555" s="906"/>
      <c r="C4555" s="907">
        <v>124</v>
      </c>
      <c r="D4555" s="907" t="s">
        <v>279</v>
      </c>
      <c r="E4555" s="925" t="s">
        <v>5432</v>
      </c>
      <c r="F4555" s="926" t="s">
        <v>3272</v>
      </c>
      <c r="G4555" s="910"/>
      <c r="H4555" s="911">
        <v>21</v>
      </c>
      <c r="I4555" s="912">
        <f>VLOOKUP(E4555,[3]VLP!$B$7:$K$300,10,0)</f>
        <v>20000</v>
      </c>
      <c r="J4555" s="912">
        <f>I4555*H4555</f>
        <v>420000</v>
      </c>
      <c r="K4555" s="912" t="s">
        <v>274</v>
      </c>
      <c r="L4555" s="912"/>
      <c r="M4555" s="912"/>
      <c r="N4555" s="912"/>
      <c r="O4555" s="892">
        <f t="shared" si="284"/>
        <v>0</v>
      </c>
      <c r="P4555" s="903">
        <f t="shared" si="285"/>
        <v>1</v>
      </c>
      <c r="Q4555" s="893">
        <f t="shared" si="286"/>
        <v>3</v>
      </c>
      <c r="R4555" s="894">
        <f t="shared" si="287"/>
        <v>0</v>
      </c>
    </row>
    <row r="4556" spans="1:18" s="904" customFormat="1">
      <c r="A4556" s="895"/>
      <c r="B4556" s="896"/>
      <c r="C4556" s="897"/>
      <c r="D4556" s="897"/>
      <c r="E4556" s="924" t="s">
        <v>276</v>
      </c>
      <c r="F4556" s="927"/>
      <c r="G4556" s="928"/>
      <c r="H4556" s="901"/>
      <c r="I4556" s="902"/>
      <c r="J4556" s="902"/>
      <c r="K4556" s="912" t="s">
        <v>274</v>
      </c>
      <c r="L4556" s="902"/>
      <c r="M4556" s="902"/>
      <c r="N4556" s="902"/>
      <c r="O4556" s="892">
        <f t="shared" si="284"/>
        <v>0</v>
      </c>
      <c r="P4556" s="903">
        <f t="shared" si="285"/>
        <v>1</v>
      </c>
      <c r="Q4556" s="893">
        <f t="shared" si="286"/>
        <v>2</v>
      </c>
      <c r="R4556" s="894">
        <f t="shared" si="287"/>
        <v>0</v>
      </c>
    </row>
    <row r="4557" spans="1:18">
      <c r="A4557" s="905"/>
      <c r="B4557" s="906"/>
      <c r="C4557" s="907">
        <v>745</v>
      </c>
      <c r="D4557" s="907" t="s">
        <v>12</v>
      </c>
      <c r="E4557" s="908" t="s">
        <v>5518</v>
      </c>
      <c r="F4557" s="909" t="s">
        <v>2674</v>
      </c>
      <c r="G4557" s="910"/>
      <c r="H4557" s="911">
        <v>67.069999999999993</v>
      </c>
      <c r="I4557" s="912"/>
      <c r="J4557" s="912"/>
      <c r="K4557" s="912">
        <f>VLOOKUP(E4557,[5]ĐMNC!$A$7:$F$67,4,0)</f>
        <v>240557</v>
      </c>
      <c r="L4557" s="912">
        <f>H4557*K4557</f>
        <v>16134157.989999998</v>
      </c>
      <c r="M4557" s="912"/>
      <c r="N4557" s="912"/>
      <c r="O4557" s="892">
        <f t="shared" si="284"/>
        <v>0</v>
      </c>
      <c r="P4557" s="903">
        <f t="shared" si="285"/>
        <v>1</v>
      </c>
      <c r="Q4557" s="893">
        <f t="shared" si="286"/>
        <v>1</v>
      </c>
      <c r="R4557" s="894">
        <f t="shared" si="287"/>
        <v>0</v>
      </c>
    </row>
    <row r="4558" spans="1:18" s="847" customFormat="1" ht="31.5">
      <c r="A4558" s="955" t="s">
        <v>5552</v>
      </c>
      <c r="B4558" s="953" t="s">
        <v>5553</v>
      </c>
      <c r="C4558" s="956"/>
      <c r="D4558" s="956"/>
      <c r="E4558" s="957" t="s">
        <v>5554</v>
      </c>
      <c r="F4558" s="958" t="s">
        <v>150</v>
      </c>
      <c r="G4558" s="959"/>
      <c r="H4558" s="960"/>
      <c r="I4558" s="961"/>
      <c r="J4558" s="962">
        <f>SUM(J4559:J4567)</f>
        <v>12101.31</v>
      </c>
      <c r="K4558" s="891" t="s">
        <v>274</v>
      </c>
      <c r="L4558" s="962">
        <f>SUM(L4559:L4567)</f>
        <v>2100062.6100000003</v>
      </c>
      <c r="M4558" s="962"/>
      <c r="N4558" s="962">
        <f>SUM(N4559:N4567)</f>
        <v>0</v>
      </c>
      <c r="O4558" s="892">
        <f t="shared" si="284"/>
        <v>1</v>
      </c>
      <c r="P4558" s="903">
        <f t="shared" si="285"/>
        <v>0</v>
      </c>
      <c r="Q4558" s="893">
        <f t="shared" si="286"/>
        <v>0</v>
      </c>
      <c r="R4558" s="894">
        <f t="shared" si="287"/>
        <v>9</v>
      </c>
    </row>
    <row r="4559" spans="1:18" s="904" customFormat="1">
      <c r="A4559" s="963"/>
      <c r="B4559" s="964"/>
      <c r="C4559" s="965"/>
      <c r="D4559" s="965"/>
      <c r="E4559" s="966" t="s">
        <v>108</v>
      </c>
      <c r="F4559" s="967"/>
      <c r="G4559" s="968"/>
      <c r="H4559" s="969"/>
      <c r="I4559" s="970"/>
      <c r="J4559" s="970"/>
      <c r="K4559" s="912" t="s">
        <v>274</v>
      </c>
      <c r="L4559" s="970"/>
      <c r="M4559" s="970"/>
      <c r="N4559" s="970"/>
      <c r="O4559" s="892">
        <f t="shared" si="284"/>
        <v>0</v>
      </c>
      <c r="P4559" s="903">
        <f t="shared" si="285"/>
        <v>1</v>
      </c>
      <c r="Q4559" s="893">
        <f t="shared" si="286"/>
        <v>9</v>
      </c>
      <c r="R4559" s="894">
        <f t="shared" si="287"/>
        <v>0</v>
      </c>
    </row>
    <row r="4560" spans="1:18">
      <c r="A4560" s="955"/>
      <c r="B4560" s="953"/>
      <c r="C4560" s="971">
        <v>44</v>
      </c>
      <c r="D4560" s="907" t="s">
        <v>279</v>
      </c>
      <c r="E4560" s="972" t="s">
        <v>2681</v>
      </c>
      <c r="F4560" s="973" t="s">
        <v>45</v>
      </c>
      <c r="G4560" s="974"/>
      <c r="H4560" s="975">
        <v>0.22</v>
      </c>
      <c r="I4560" s="912">
        <f>VLOOKUP(E4560,[3]VLP!$B$7:$K$300,10,0)</f>
        <v>23000</v>
      </c>
      <c r="J4560" s="912">
        <f>I4560*H4560</f>
        <v>5060</v>
      </c>
      <c r="K4560" s="912" t="s">
        <v>274</v>
      </c>
      <c r="L4560" s="976"/>
      <c r="M4560" s="976"/>
      <c r="N4560" s="976"/>
      <c r="O4560" s="892">
        <f t="shared" si="284"/>
        <v>0</v>
      </c>
      <c r="P4560" s="903">
        <f t="shared" si="285"/>
        <v>1</v>
      </c>
      <c r="Q4560" s="893">
        <f t="shared" si="286"/>
        <v>8</v>
      </c>
      <c r="R4560" s="894">
        <f t="shared" si="287"/>
        <v>0</v>
      </c>
    </row>
    <row r="4561" spans="1:18">
      <c r="A4561" s="955"/>
      <c r="B4561" s="953"/>
      <c r="C4561" s="971">
        <v>124</v>
      </c>
      <c r="D4561" s="907" t="s">
        <v>279</v>
      </c>
      <c r="E4561" s="972" t="s">
        <v>5432</v>
      </c>
      <c r="F4561" s="973" t="s">
        <v>3272</v>
      </c>
      <c r="G4561" s="974"/>
      <c r="H4561" s="975">
        <v>0.18</v>
      </c>
      <c r="I4561" s="912">
        <f>VLOOKUP(E4561,[3]VLP!$B$7:$K$300,10,0)</f>
        <v>20000</v>
      </c>
      <c r="J4561" s="912">
        <f>I4561*H4561</f>
        <v>3600</v>
      </c>
      <c r="K4561" s="912" t="s">
        <v>274</v>
      </c>
      <c r="L4561" s="976"/>
      <c r="M4561" s="976"/>
      <c r="N4561" s="976"/>
      <c r="O4561" s="892">
        <f t="shared" si="284"/>
        <v>0</v>
      </c>
      <c r="P4561" s="903">
        <f t="shared" si="285"/>
        <v>1</v>
      </c>
      <c r="Q4561" s="893">
        <f t="shared" si="286"/>
        <v>7</v>
      </c>
      <c r="R4561" s="894">
        <f t="shared" si="287"/>
        <v>0</v>
      </c>
    </row>
    <row r="4562" spans="1:18">
      <c r="A4562" s="955"/>
      <c r="B4562" s="953"/>
      <c r="C4562" s="971">
        <v>55</v>
      </c>
      <c r="D4562" s="907" t="s">
        <v>279</v>
      </c>
      <c r="E4562" s="925" t="s">
        <v>3192</v>
      </c>
      <c r="F4562" s="973" t="s">
        <v>45</v>
      </c>
      <c r="G4562" s="974"/>
      <c r="H4562" s="975">
        <v>1.47</v>
      </c>
      <c r="I4562" s="912">
        <f>VLOOKUP(E4562,[3]VLP!$B$7:$K$300,10,0)</f>
        <v>2273</v>
      </c>
      <c r="J4562" s="912">
        <f>I4562*H4562</f>
        <v>3341.31</v>
      </c>
      <c r="K4562" s="912" t="s">
        <v>274</v>
      </c>
      <c r="L4562" s="976"/>
      <c r="M4562" s="976"/>
      <c r="N4562" s="976"/>
      <c r="O4562" s="892">
        <f t="shared" si="284"/>
        <v>0</v>
      </c>
      <c r="P4562" s="903">
        <f t="shared" si="285"/>
        <v>1</v>
      </c>
      <c r="Q4562" s="893">
        <f t="shared" si="286"/>
        <v>6</v>
      </c>
      <c r="R4562" s="894">
        <f t="shared" si="287"/>
        <v>0</v>
      </c>
    </row>
    <row r="4563" spans="1:18">
      <c r="A4563" s="955"/>
      <c r="B4563" s="953"/>
      <c r="C4563" s="977">
        <v>108</v>
      </c>
      <c r="D4563" s="907" t="s">
        <v>279</v>
      </c>
      <c r="E4563" s="978" t="s">
        <v>3244</v>
      </c>
      <c r="F4563" s="979" t="s">
        <v>45</v>
      </c>
      <c r="G4563" s="980"/>
      <c r="H4563" s="981">
        <v>0.02</v>
      </c>
      <c r="I4563" s="912">
        <f>VLOOKUP(E4563,[3]VLP!$B$7:$K$300,10,0)</f>
        <v>5000</v>
      </c>
      <c r="J4563" s="912">
        <f>I4563*H4563</f>
        <v>100</v>
      </c>
      <c r="K4563" s="912" t="s">
        <v>274</v>
      </c>
      <c r="L4563" s="976"/>
      <c r="M4563" s="976"/>
      <c r="N4563" s="976"/>
      <c r="O4563" s="892">
        <f t="shared" si="284"/>
        <v>0</v>
      </c>
      <c r="P4563" s="903">
        <f t="shared" si="285"/>
        <v>1</v>
      </c>
      <c r="Q4563" s="893">
        <f t="shared" si="286"/>
        <v>5</v>
      </c>
      <c r="R4563" s="894">
        <f t="shared" si="287"/>
        <v>0</v>
      </c>
    </row>
    <row r="4564" spans="1:18" s="904" customFormat="1">
      <c r="A4564" s="963"/>
      <c r="B4564" s="964"/>
      <c r="C4564" s="965"/>
      <c r="D4564" s="965"/>
      <c r="E4564" s="982" t="s">
        <v>276</v>
      </c>
      <c r="F4564" s="983"/>
      <c r="G4564" s="984"/>
      <c r="H4564" s="969"/>
      <c r="I4564" s="970"/>
      <c r="J4564" s="970"/>
      <c r="K4564" s="912" t="s">
        <v>274</v>
      </c>
      <c r="L4564" s="970"/>
      <c r="M4564" s="970"/>
      <c r="N4564" s="970"/>
      <c r="O4564" s="892">
        <f t="shared" si="284"/>
        <v>0</v>
      </c>
      <c r="P4564" s="903">
        <f t="shared" si="285"/>
        <v>1</v>
      </c>
      <c r="Q4564" s="893">
        <f t="shared" si="286"/>
        <v>4</v>
      </c>
      <c r="R4564" s="894">
        <f t="shared" si="287"/>
        <v>0</v>
      </c>
    </row>
    <row r="4565" spans="1:18">
      <c r="A4565" s="955"/>
      <c r="B4565" s="953"/>
      <c r="C4565" s="971">
        <v>740</v>
      </c>
      <c r="D4565" s="907" t="s">
        <v>12</v>
      </c>
      <c r="E4565" s="985" t="s">
        <v>5518</v>
      </c>
      <c r="F4565" s="986" t="s">
        <v>2674</v>
      </c>
      <c r="G4565" s="974"/>
      <c r="H4565" s="975">
        <v>8.73</v>
      </c>
      <c r="I4565" s="976"/>
      <c r="J4565" s="976"/>
      <c r="K4565" s="912">
        <f>VLOOKUP(E4565,[5]ĐMNC!$A$7:$F$67,4,0)</f>
        <v>240557</v>
      </c>
      <c r="L4565" s="912">
        <f>H4565*K4565</f>
        <v>2100062.6100000003</v>
      </c>
      <c r="M4565" s="912"/>
      <c r="N4565" s="912"/>
      <c r="O4565" s="892">
        <f t="shared" si="284"/>
        <v>0</v>
      </c>
      <c r="P4565" s="903">
        <f t="shared" si="285"/>
        <v>1</v>
      </c>
      <c r="Q4565" s="893">
        <f t="shared" si="286"/>
        <v>3</v>
      </c>
      <c r="R4565" s="894">
        <f t="shared" si="287"/>
        <v>0</v>
      </c>
    </row>
    <row r="4566" spans="1:18" s="904" customFormat="1">
      <c r="A4566" s="963"/>
      <c r="B4566" s="964"/>
      <c r="C4566" s="965"/>
      <c r="D4566" s="965"/>
      <c r="E4566" s="966" t="s">
        <v>3914</v>
      </c>
      <c r="F4566" s="967"/>
      <c r="G4566" s="984"/>
      <c r="H4566" s="969"/>
      <c r="I4566" s="970"/>
      <c r="J4566" s="970"/>
      <c r="K4566" s="912" t="s">
        <v>274</v>
      </c>
      <c r="L4566" s="970"/>
      <c r="M4566" s="970"/>
      <c r="N4566" s="970"/>
      <c r="O4566" s="892">
        <f t="shared" si="284"/>
        <v>0</v>
      </c>
      <c r="P4566" s="903">
        <f t="shared" si="285"/>
        <v>1</v>
      </c>
      <c r="Q4566" s="893">
        <f t="shared" si="286"/>
        <v>2</v>
      </c>
      <c r="R4566" s="894">
        <f t="shared" si="287"/>
        <v>0</v>
      </c>
    </row>
    <row r="4567" spans="1:18">
      <c r="A4567" s="955"/>
      <c r="B4567" s="914" t="s">
        <v>3974</v>
      </c>
      <c r="C4567" s="971">
        <v>817</v>
      </c>
      <c r="D4567" s="907" t="s">
        <v>93</v>
      </c>
      <c r="E4567" s="972" t="s">
        <v>5555</v>
      </c>
      <c r="F4567" s="986" t="s">
        <v>2673</v>
      </c>
      <c r="G4567" s="974"/>
      <c r="H4567" s="975">
        <v>0.2</v>
      </c>
      <c r="I4567" s="976"/>
      <c r="J4567" s="976"/>
      <c r="K4567" s="912"/>
      <c r="L4567" s="912"/>
      <c r="M4567" s="912">
        <f>VLOOKUP(B4567,MTC!$B$9:$S$933,12,0)</f>
        <v>0</v>
      </c>
      <c r="N4567" s="912">
        <f>M4567*H4567</f>
        <v>0</v>
      </c>
      <c r="O4567" s="892">
        <f t="shared" si="284"/>
        <v>0</v>
      </c>
      <c r="P4567" s="903">
        <f t="shared" si="285"/>
        <v>1</v>
      </c>
      <c r="Q4567" s="893">
        <f t="shared" si="286"/>
        <v>1</v>
      </c>
      <c r="R4567" s="894">
        <f t="shared" si="287"/>
        <v>0</v>
      </c>
    </row>
    <row r="4568" spans="1:18" s="847" customFormat="1" ht="31.5">
      <c r="A4568" s="955"/>
      <c r="B4568" s="953" t="s">
        <v>5556</v>
      </c>
      <c r="C4568" s="956"/>
      <c r="D4568" s="956"/>
      <c r="E4568" s="957" t="s">
        <v>5554</v>
      </c>
      <c r="F4568" s="958" t="s">
        <v>150</v>
      </c>
      <c r="G4568" s="959"/>
      <c r="H4568" s="960"/>
      <c r="I4568" s="961"/>
      <c r="J4568" s="891">
        <f>SUM(J4569:J4576)</f>
        <v>305818.19</v>
      </c>
      <c r="K4568" s="891"/>
      <c r="L4568" s="891">
        <f>SUM(L4569:L4576)</f>
        <v>2116166.25</v>
      </c>
      <c r="M4568" s="891"/>
      <c r="N4568" s="891">
        <f>SUM(N4569:N4576)</f>
        <v>0</v>
      </c>
      <c r="O4568" s="892">
        <f t="shared" si="284"/>
        <v>1</v>
      </c>
      <c r="P4568" s="903">
        <f t="shared" si="285"/>
        <v>0</v>
      </c>
      <c r="Q4568" s="893">
        <f t="shared" si="286"/>
        <v>0</v>
      </c>
      <c r="R4568" s="894">
        <f t="shared" si="287"/>
        <v>8</v>
      </c>
    </row>
    <row r="4569" spans="1:18" s="904" customFormat="1">
      <c r="A4569" s="963"/>
      <c r="B4569" s="964"/>
      <c r="C4569" s="965"/>
      <c r="D4569" s="965"/>
      <c r="E4569" s="966" t="s">
        <v>108</v>
      </c>
      <c r="F4569" s="967"/>
      <c r="G4569" s="968"/>
      <c r="H4569" s="969"/>
      <c r="I4569" s="970"/>
      <c r="J4569" s="970"/>
      <c r="K4569" s="912" t="s">
        <v>274</v>
      </c>
      <c r="L4569" s="970"/>
      <c r="M4569" s="970"/>
      <c r="N4569" s="970"/>
      <c r="O4569" s="892">
        <f t="shared" si="284"/>
        <v>0</v>
      </c>
      <c r="P4569" s="903">
        <f t="shared" si="285"/>
        <v>1</v>
      </c>
      <c r="Q4569" s="893">
        <f t="shared" si="286"/>
        <v>8</v>
      </c>
      <c r="R4569" s="894">
        <f t="shared" si="287"/>
        <v>0</v>
      </c>
    </row>
    <row r="4570" spans="1:18">
      <c r="A4570" s="955"/>
      <c r="B4570" s="953"/>
      <c r="C4570" s="971">
        <v>55</v>
      </c>
      <c r="D4570" s="907" t="s">
        <v>279</v>
      </c>
      <c r="E4570" s="925" t="s">
        <v>3192</v>
      </c>
      <c r="F4570" s="973" t="s">
        <v>45</v>
      </c>
      <c r="G4570" s="974"/>
      <c r="H4570" s="975">
        <v>0.03</v>
      </c>
      <c r="I4570" s="912">
        <f>VLOOKUP(E4570,[3]VLP!$B$7:$K$300,10,0)</f>
        <v>2273</v>
      </c>
      <c r="J4570" s="912">
        <f>I4570*H4570</f>
        <v>68.19</v>
      </c>
      <c r="K4570" s="912" t="s">
        <v>274</v>
      </c>
      <c r="L4570" s="976"/>
      <c r="M4570" s="976"/>
      <c r="N4570" s="976"/>
      <c r="O4570" s="892">
        <f t="shared" si="284"/>
        <v>0</v>
      </c>
      <c r="P4570" s="903">
        <f t="shared" si="285"/>
        <v>1</v>
      </c>
      <c r="Q4570" s="893">
        <f t="shared" si="286"/>
        <v>7</v>
      </c>
      <c r="R4570" s="894">
        <f t="shared" si="287"/>
        <v>0</v>
      </c>
    </row>
    <row r="4571" spans="1:18">
      <c r="A4571" s="955"/>
      <c r="B4571" s="953"/>
      <c r="C4571" s="971">
        <v>44</v>
      </c>
      <c r="D4571" s="907" t="s">
        <v>279</v>
      </c>
      <c r="E4571" s="972" t="s">
        <v>2681</v>
      </c>
      <c r="F4571" s="973" t="s">
        <v>45</v>
      </c>
      <c r="G4571" s="974"/>
      <c r="H4571" s="975">
        <v>0.25</v>
      </c>
      <c r="I4571" s="912">
        <f>VLOOKUP(E4571,[3]VLP!$B$7:$K$300,10,0)</f>
        <v>23000</v>
      </c>
      <c r="J4571" s="912">
        <f>I4571*H4571</f>
        <v>5750</v>
      </c>
      <c r="K4571" s="912" t="s">
        <v>274</v>
      </c>
      <c r="L4571" s="976"/>
      <c r="M4571" s="976"/>
      <c r="N4571" s="976"/>
      <c r="O4571" s="892">
        <f t="shared" si="284"/>
        <v>0</v>
      </c>
      <c r="P4571" s="903">
        <f t="shared" si="285"/>
        <v>1</v>
      </c>
      <c r="Q4571" s="893">
        <f t="shared" si="286"/>
        <v>6</v>
      </c>
      <c r="R4571" s="894">
        <f t="shared" si="287"/>
        <v>0</v>
      </c>
    </row>
    <row r="4572" spans="1:18">
      <c r="A4572" s="955"/>
      <c r="B4572" s="953"/>
      <c r="C4572" s="971">
        <v>124</v>
      </c>
      <c r="D4572" s="907" t="s">
        <v>279</v>
      </c>
      <c r="E4572" s="972" t="s">
        <v>5432</v>
      </c>
      <c r="F4572" s="973" t="s">
        <v>3272</v>
      </c>
      <c r="G4572" s="974"/>
      <c r="H4572" s="975">
        <v>15</v>
      </c>
      <c r="I4572" s="912">
        <f>VLOOKUP(E4572,[3]VLP!$B$7:$K$300,10,0)</f>
        <v>20000</v>
      </c>
      <c r="J4572" s="912">
        <f>I4572*H4572</f>
        <v>300000</v>
      </c>
      <c r="K4572" s="912" t="s">
        <v>274</v>
      </c>
      <c r="L4572" s="976"/>
      <c r="M4572" s="976"/>
      <c r="N4572" s="976"/>
      <c r="O4572" s="892">
        <f t="shared" si="284"/>
        <v>0</v>
      </c>
      <c r="P4572" s="903">
        <f t="shared" si="285"/>
        <v>1</v>
      </c>
      <c r="Q4572" s="893">
        <f t="shared" si="286"/>
        <v>5</v>
      </c>
      <c r="R4572" s="894">
        <f t="shared" si="287"/>
        <v>0</v>
      </c>
    </row>
    <row r="4573" spans="1:18" s="904" customFormat="1">
      <c r="A4573" s="963"/>
      <c r="B4573" s="964"/>
      <c r="C4573" s="965"/>
      <c r="D4573" s="965"/>
      <c r="E4573" s="982" t="s">
        <v>276</v>
      </c>
      <c r="F4573" s="983"/>
      <c r="G4573" s="984"/>
      <c r="H4573" s="969"/>
      <c r="I4573" s="970"/>
      <c r="J4573" s="970"/>
      <c r="K4573" s="912" t="s">
        <v>274</v>
      </c>
      <c r="L4573" s="970"/>
      <c r="M4573" s="970"/>
      <c r="N4573" s="970"/>
      <c r="O4573" s="892">
        <f t="shared" si="284"/>
        <v>0</v>
      </c>
      <c r="P4573" s="903">
        <f t="shared" si="285"/>
        <v>1</v>
      </c>
      <c r="Q4573" s="893">
        <f t="shared" si="286"/>
        <v>4</v>
      </c>
      <c r="R4573" s="894">
        <f t="shared" si="287"/>
        <v>0</v>
      </c>
    </row>
    <row r="4574" spans="1:18">
      <c r="A4574" s="955"/>
      <c r="B4574" s="953"/>
      <c r="C4574" s="971">
        <v>740</v>
      </c>
      <c r="D4574" s="907" t="s">
        <v>12</v>
      </c>
      <c r="E4574" s="985" t="s">
        <v>4008</v>
      </c>
      <c r="F4574" s="986" t="s">
        <v>2674</v>
      </c>
      <c r="G4574" s="974"/>
      <c r="H4574" s="975">
        <v>9.57</v>
      </c>
      <c r="I4574" s="976"/>
      <c r="J4574" s="976"/>
      <c r="K4574" s="912">
        <f>VLOOKUP(E4574,[5]ĐMNC!$A$7:$F$67,4,0)</f>
        <v>221125</v>
      </c>
      <c r="L4574" s="912">
        <f>H4574*K4574</f>
        <v>2116166.25</v>
      </c>
      <c r="M4574" s="912"/>
      <c r="N4574" s="912"/>
      <c r="O4574" s="892">
        <f t="shared" si="284"/>
        <v>0</v>
      </c>
      <c r="P4574" s="903">
        <f t="shared" si="285"/>
        <v>1</v>
      </c>
      <c r="Q4574" s="893">
        <f t="shared" si="286"/>
        <v>3</v>
      </c>
      <c r="R4574" s="894">
        <f t="shared" si="287"/>
        <v>0</v>
      </c>
    </row>
    <row r="4575" spans="1:18" s="904" customFormat="1">
      <c r="A4575" s="963"/>
      <c r="B4575" s="964"/>
      <c r="C4575" s="965"/>
      <c r="D4575" s="965"/>
      <c r="E4575" s="966" t="s">
        <v>3914</v>
      </c>
      <c r="F4575" s="967"/>
      <c r="G4575" s="984"/>
      <c r="H4575" s="969"/>
      <c r="I4575" s="970"/>
      <c r="J4575" s="970"/>
      <c r="K4575" s="912" t="s">
        <v>274</v>
      </c>
      <c r="L4575" s="970"/>
      <c r="M4575" s="970"/>
      <c r="N4575" s="970"/>
      <c r="O4575" s="892">
        <f t="shared" ref="O4575:O4638" si="288">IF(AND(B4575&lt;&gt;"",D4575=""),1,0)</f>
        <v>0</v>
      </c>
      <c r="P4575" s="903">
        <f t="shared" si="285"/>
        <v>1</v>
      </c>
      <c r="Q4575" s="893">
        <f t="shared" si="286"/>
        <v>2</v>
      </c>
      <c r="R4575" s="894">
        <f t="shared" si="287"/>
        <v>0</v>
      </c>
    </row>
    <row r="4576" spans="1:18">
      <c r="A4576" s="955"/>
      <c r="B4576" s="914" t="s">
        <v>3974</v>
      </c>
      <c r="C4576" s="971">
        <v>817</v>
      </c>
      <c r="D4576" s="907" t="s">
        <v>93</v>
      </c>
      <c r="E4576" s="972" t="s">
        <v>5555</v>
      </c>
      <c r="F4576" s="986" t="s">
        <v>2673</v>
      </c>
      <c r="G4576" s="974"/>
      <c r="H4576" s="975">
        <v>0.2</v>
      </c>
      <c r="I4576" s="976"/>
      <c r="J4576" s="976"/>
      <c r="K4576" s="912"/>
      <c r="L4576" s="912"/>
      <c r="M4576" s="912">
        <f>VLOOKUP(B4576,MTC!$B$9:$S$933,12,0)</f>
        <v>0</v>
      </c>
      <c r="N4576" s="912">
        <f>M4576*H4576</f>
        <v>0</v>
      </c>
      <c r="O4576" s="892">
        <f t="shared" si="288"/>
        <v>0</v>
      </c>
      <c r="P4576" s="903">
        <f t="shared" si="285"/>
        <v>1</v>
      </c>
      <c r="Q4576" s="893">
        <f t="shared" si="286"/>
        <v>1</v>
      </c>
      <c r="R4576" s="894">
        <f t="shared" si="287"/>
        <v>0</v>
      </c>
    </row>
    <row r="4577" spans="1:18" s="847" customFormat="1" ht="31.5">
      <c r="A4577" s="955"/>
      <c r="B4577" s="953" t="s">
        <v>5557</v>
      </c>
      <c r="C4577" s="956"/>
      <c r="D4577" s="956"/>
      <c r="E4577" s="957" t="s">
        <v>5558</v>
      </c>
      <c r="F4577" s="958" t="s">
        <v>150</v>
      </c>
      <c r="G4577" s="959"/>
      <c r="H4577" s="960"/>
      <c r="I4577" s="961"/>
      <c r="J4577" s="891">
        <f>SUM(J4578:J4585)</f>
        <v>305818.19</v>
      </c>
      <c r="K4577" s="891"/>
      <c r="L4577" s="891">
        <f>SUM(L4578:L4585)</f>
        <v>2803865</v>
      </c>
      <c r="M4577" s="891"/>
      <c r="N4577" s="891">
        <f>SUM(N4578:N4585)</f>
        <v>0</v>
      </c>
      <c r="O4577" s="892">
        <f t="shared" si="288"/>
        <v>1</v>
      </c>
      <c r="P4577" s="903">
        <f t="shared" si="285"/>
        <v>0</v>
      </c>
      <c r="Q4577" s="893">
        <f t="shared" si="286"/>
        <v>0</v>
      </c>
      <c r="R4577" s="894">
        <f t="shared" si="287"/>
        <v>8</v>
      </c>
    </row>
    <row r="4578" spans="1:18" s="904" customFormat="1">
      <c r="A4578" s="963"/>
      <c r="B4578" s="964"/>
      <c r="C4578" s="965"/>
      <c r="D4578" s="965"/>
      <c r="E4578" s="966" t="s">
        <v>108</v>
      </c>
      <c r="F4578" s="967"/>
      <c r="G4578" s="968"/>
      <c r="H4578" s="969"/>
      <c r="I4578" s="970"/>
      <c r="J4578" s="970"/>
      <c r="K4578" s="912" t="s">
        <v>274</v>
      </c>
      <c r="L4578" s="970"/>
      <c r="M4578" s="970"/>
      <c r="N4578" s="970"/>
      <c r="O4578" s="892">
        <f t="shared" si="288"/>
        <v>0</v>
      </c>
      <c r="P4578" s="903">
        <f t="shared" si="285"/>
        <v>1</v>
      </c>
      <c r="Q4578" s="893">
        <f t="shared" si="286"/>
        <v>8</v>
      </c>
      <c r="R4578" s="894">
        <f t="shared" si="287"/>
        <v>0</v>
      </c>
    </row>
    <row r="4579" spans="1:18">
      <c r="A4579" s="955"/>
      <c r="B4579" s="953"/>
      <c r="C4579" s="971">
        <v>55</v>
      </c>
      <c r="D4579" s="907" t="s">
        <v>279</v>
      </c>
      <c r="E4579" s="925" t="s">
        <v>3192</v>
      </c>
      <c r="F4579" s="973" t="s">
        <v>45</v>
      </c>
      <c r="G4579" s="974"/>
      <c r="H4579" s="975">
        <v>0.03</v>
      </c>
      <c r="I4579" s="912">
        <f>VLOOKUP(E4579,[3]VLP!$B$7:$K$300,10,0)</f>
        <v>2273</v>
      </c>
      <c r="J4579" s="912">
        <f>I4579*H4579</f>
        <v>68.19</v>
      </c>
      <c r="K4579" s="912" t="s">
        <v>274</v>
      </c>
      <c r="L4579" s="976"/>
      <c r="M4579" s="976"/>
      <c r="N4579" s="976"/>
      <c r="O4579" s="892">
        <f t="shared" si="288"/>
        <v>0</v>
      </c>
      <c r="P4579" s="903">
        <f t="shared" si="285"/>
        <v>1</v>
      </c>
      <c r="Q4579" s="893">
        <f t="shared" si="286"/>
        <v>7</v>
      </c>
      <c r="R4579" s="894">
        <f t="shared" si="287"/>
        <v>0</v>
      </c>
    </row>
    <row r="4580" spans="1:18">
      <c r="A4580" s="955"/>
      <c r="B4580" s="953"/>
      <c r="C4580" s="971">
        <v>44</v>
      </c>
      <c r="D4580" s="907" t="s">
        <v>279</v>
      </c>
      <c r="E4580" s="972" t="s">
        <v>2681</v>
      </c>
      <c r="F4580" s="973" t="s">
        <v>45</v>
      </c>
      <c r="G4580" s="974"/>
      <c r="H4580" s="975">
        <v>0.25</v>
      </c>
      <c r="I4580" s="912">
        <f>VLOOKUP(E4580,[3]VLP!$B$7:$K$300,10,0)</f>
        <v>23000</v>
      </c>
      <c r="J4580" s="912">
        <f>I4580*H4580</f>
        <v>5750</v>
      </c>
      <c r="K4580" s="912" t="s">
        <v>274</v>
      </c>
      <c r="L4580" s="976"/>
      <c r="M4580" s="976"/>
      <c r="N4580" s="976"/>
      <c r="O4580" s="892">
        <f t="shared" si="288"/>
        <v>0</v>
      </c>
      <c r="P4580" s="903">
        <f t="shared" si="285"/>
        <v>1</v>
      </c>
      <c r="Q4580" s="893">
        <f t="shared" si="286"/>
        <v>6</v>
      </c>
      <c r="R4580" s="894">
        <f t="shared" si="287"/>
        <v>0</v>
      </c>
    </row>
    <row r="4581" spans="1:18">
      <c r="A4581" s="955"/>
      <c r="B4581" s="953"/>
      <c r="C4581" s="971">
        <v>124</v>
      </c>
      <c r="D4581" s="907" t="s">
        <v>279</v>
      </c>
      <c r="E4581" s="972" t="s">
        <v>5432</v>
      </c>
      <c r="F4581" s="973" t="s">
        <v>3272</v>
      </c>
      <c r="G4581" s="974"/>
      <c r="H4581" s="975">
        <v>15</v>
      </c>
      <c r="I4581" s="912">
        <f>VLOOKUP(E4581,[3]VLP!$B$7:$K$300,10,0)</f>
        <v>20000</v>
      </c>
      <c r="J4581" s="912">
        <f>I4581*H4581</f>
        <v>300000</v>
      </c>
      <c r="K4581" s="912" t="s">
        <v>274</v>
      </c>
      <c r="L4581" s="976"/>
      <c r="M4581" s="976"/>
      <c r="N4581" s="976"/>
      <c r="O4581" s="892">
        <f t="shared" si="288"/>
        <v>0</v>
      </c>
      <c r="P4581" s="903">
        <f t="shared" si="285"/>
        <v>1</v>
      </c>
      <c r="Q4581" s="893">
        <f t="shared" si="286"/>
        <v>5</v>
      </c>
      <c r="R4581" s="894">
        <f t="shared" si="287"/>
        <v>0</v>
      </c>
    </row>
    <row r="4582" spans="1:18" s="904" customFormat="1">
      <c r="A4582" s="963"/>
      <c r="B4582" s="964"/>
      <c r="C4582" s="965"/>
      <c r="D4582" s="965"/>
      <c r="E4582" s="982" t="s">
        <v>276</v>
      </c>
      <c r="F4582" s="983"/>
      <c r="G4582" s="984"/>
      <c r="H4582" s="969"/>
      <c r="I4582" s="970"/>
      <c r="J4582" s="970"/>
      <c r="K4582" s="912" t="s">
        <v>274</v>
      </c>
      <c r="L4582" s="970"/>
      <c r="M4582" s="970"/>
      <c r="N4582" s="970"/>
      <c r="O4582" s="892">
        <f t="shared" si="288"/>
        <v>0</v>
      </c>
      <c r="P4582" s="903">
        <f t="shared" si="285"/>
        <v>1</v>
      </c>
      <c r="Q4582" s="893">
        <f t="shared" si="286"/>
        <v>4</v>
      </c>
      <c r="R4582" s="894">
        <f t="shared" si="287"/>
        <v>0</v>
      </c>
    </row>
    <row r="4583" spans="1:18">
      <c r="A4583" s="955"/>
      <c r="B4583" s="953"/>
      <c r="C4583" s="971">
        <v>740</v>
      </c>
      <c r="D4583" s="907" t="s">
        <v>12</v>
      </c>
      <c r="E4583" s="985" t="s">
        <v>4008</v>
      </c>
      <c r="F4583" s="986" t="s">
        <v>2674</v>
      </c>
      <c r="G4583" s="974"/>
      <c r="H4583" s="975">
        <v>12.68</v>
      </c>
      <c r="I4583" s="976"/>
      <c r="J4583" s="976"/>
      <c r="K4583" s="912">
        <f>VLOOKUP(E4583,[5]ĐMNC!$A$7:$F$67,4,0)</f>
        <v>221125</v>
      </c>
      <c r="L4583" s="912">
        <f>H4583*K4583</f>
        <v>2803865</v>
      </c>
      <c r="M4583" s="912"/>
      <c r="N4583" s="912"/>
      <c r="O4583" s="892">
        <f t="shared" si="288"/>
        <v>0</v>
      </c>
      <c r="P4583" s="903">
        <f t="shared" si="285"/>
        <v>1</v>
      </c>
      <c r="Q4583" s="893">
        <f t="shared" si="286"/>
        <v>3</v>
      </c>
      <c r="R4583" s="894">
        <f t="shared" si="287"/>
        <v>0</v>
      </c>
    </row>
    <row r="4584" spans="1:18" s="904" customFormat="1">
      <c r="A4584" s="963"/>
      <c r="B4584" s="964"/>
      <c r="C4584" s="965"/>
      <c r="D4584" s="965"/>
      <c r="E4584" s="966" t="s">
        <v>3914</v>
      </c>
      <c r="F4584" s="967"/>
      <c r="G4584" s="984"/>
      <c r="H4584" s="969"/>
      <c r="I4584" s="970"/>
      <c r="J4584" s="970"/>
      <c r="K4584" s="912" t="s">
        <v>274</v>
      </c>
      <c r="L4584" s="970"/>
      <c r="M4584" s="970"/>
      <c r="N4584" s="970"/>
      <c r="O4584" s="892">
        <f t="shared" si="288"/>
        <v>0</v>
      </c>
      <c r="P4584" s="903">
        <f t="shared" ref="P4584:P4647" si="289">IF(O4584=0,1,0)</f>
        <v>1</v>
      </c>
      <c r="Q4584" s="893">
        <f t="shared" ref="Q4584:Q4647" si="290">IF(P4584=0,0,P4584+Q4585)</f>
        <v>2</v>
      </c>
      <c r="R4584" s="894">
        <f t="shared" ref="R4584:R4647" si="291">IF(Q4584=0,Q4585,0)</f>
        <v>0</v>
      </c>
    </row>
    <row r="4585" spans="1:18">
      <c r="A4585" s="955"/>
      <c r="B4585" s="914" t="s">
        <v>3974</v>
      </c>
      <c r="C4585" s="971">
        <v>817</v>
      </c>
      <c r="D4585" s="907" t="s">
        <v>93</v>
      </c>
      <c r="E4585" s="972" t="s">
        <v>5555</v>
      </c>
      <c r="F4585" s="986" t="s">
        <v>2673</v>
      </c>
      <c r="G4585" s="974"/>
      <c r="H4585" s="975">
        <v>0.2</v>
      </c>
      <c r="I4585" s="976"/>
      <c r="J4585" s="976"/>
      <c r="K4585" s="912"/>
      <c r="L4585" s="912"/>
      <c r="M4585" s="912">
        <f>VLOOKUP(B4585,MTC!$B$9:$S$933,12,0)</f>
        <v>0</v>
      </c>
      <c r="N4585" s="912">
        <f>M4585*H4585</f>
        <v>0</v>
      </c>
      <c r="O4585" s="892">
        <f t="shared" si="288"/>
        <v>0</v>
      </c>
      <c r="P4585" s="903">
        <f t="shared" si="289"/>
        <v>1</v>
      </c>
      <c r="Q4585" s="893">
        <f t="shared" si="290"/>
        <v>1</v>
      </c>
      <c r="R4585" s="894">
        <f t="shared" si="291"/>
        <v>0</v>
      </c>
    </row>
    <row r="4586" spans="1:18" s="847" customFormat="1" ht="31.5">
      <c r="A4586" s="955"/>
      <c r="B4586" s="953" t="s">
        <v>5559</v>
      </c>
      <c r="C4586" s="956"/>
      <c r="D4586" s="956"/>
      <c r="E4586" s="957" t="s">
        <v>5560</v>
      </c>
      <c r="F4586" s="958" t="s">
        <v>150</v>
      </c>
      <c r="G4586" s="959"/>
      <c r="H4586" s="960"/>
      <c r="I4586" s="961"/>
      <c r="J4586" s="891">
        <f>SUM(J4587:J4594)</f>
        <v>427718.28</v>
      </c>
      <c r="K4586" s="891"/>
      <c r="L4586" s="891">
        <f>SUM(L4587:L4594)</f>
        <v>3878532.5</v>
      </c>
      <c r="M4586" s="891"/>
      <c r="N4586" s="891">
        <f>SUM(N4587:N4594)</f>
        <v>0</v>
      </c>
      <c r="O4586" s="892">
        <f t="shared" si="288"/>
        <v>1</v>
      </c>
      <c r="P4586" s="903">
        <f t="shared" si="289"/>
        <v>0</v>
      </c>
      <c r="Q4586" s="893">
        <f t="shared" si="290"/>
        <v>0</v>
      </c>
      <c r="R4586" s="894">
        <f t="shared" si="291"/>
        <v>8</v>
      </c>
    </row>
    <row r="4587" spans="1:18" s="904" customFormat="1">
      <c r="A4587" s="963"/>
      <c r="B4587" s="964"/>
      <c r="C4587" s="965"/>
      <c r="D4587" s="965"/>
      <c r="E4587" s="966" t="s">
        <v>108</v>
      </c>
      <c r="F4587" s="967"/>
      <c r="G4587" s="968"/>
      <c r="H4587" s="969"/>
      <c r="I4587" s="970"/>
      <c r="J4587" s="970"/>
      <c r="K4587" s="912" t="s">
        <v>274</v>
      </c>
      <c r="L4587" s="970"/>
      <c r="M4587" s="970"/>
      <c r="N4587" s="970"/>
      <c r="O4587" s="892">
        <f t="shared" si="288"/>
        <v>0</v>
      </c>
      <c r="P4587" s="903">
        <f t="shared" si="289"/>
        <v>1</v>
      </c>
      <c r="Q4587" s="893">
        <f t="shared" si="290"/>
        <v>8</v>
      </c>
      <c r="R4587" s="894">
        <f t="shared" si="291"/>
        <v>0</v>
      </c>
    </row>
    <row r="4588" spans="1:18">
      <c r="A4588" s="955"/>
      <c r="B4588" s="953"/>
      <c r="C4588" s="971">
        <v>55</v>
      </c>
      <c r="D4588" s="907" t="s">
        <v>279</v>
      </c>
      <c r="E4588" s="925" t="s">
        <v>3192</v>
      </c>
      <c r="F4588" s="973" t="s">
        <v>45</v>
      </c>
      <c r="G4588" s="974"/>
      <c r="H4588" s="975">
        <v>0.36</v>
      </c>
      <c r="I4588" s="912">
        <f>VLOOKUP(E4588,[3]VLP!$B$7:$K$300,10,0)</f>
        <v>2273</v>
      </c>
      <c r="J4588" s="912">
        <f>I4588*H4588</f>
        <v>818.28</v>
      </c>
      <c r="K4588" s="912" t="s">
        <v>274</v>
      </c>
      <c r="L4588" s="976"/>
      <c r="M4588" s="976"/>
      <c r="N4588" s="976"/>
      <c r="O4588" s="892">
        <f t="shared" si="288"/>
        <v>0</v>
      </c>
      <c r="P4588" s="903">
        <f t="shared" si="289"/>
        <v>1</v>
      </c>
      <c r="Q4588" s="893">
        <f t="shared" si="290"/>
        <v>7</v>
      </c>
      <c r="R4588" s="894">
        <f t="shared" si="291"/>
        <v>0</v>
      </c>
    </row>
    <row r="4589" spans="1:18">
      <c r="A4589" s="955"/>
      <c r="B4589" s="953"/>
      <c r="C4589" s="971">
        <v>44</v>
      </c>
      <c r="D4589" s="907" t="s">
        <v>279</v>
      </c>
      <c r="E4589" s="972" t="s">
        <v>2681</v>
      </c>
      <c r="F4589" s="973" t="s">
        <v>45</v>
      </c>
      <c r="G4589" s="974"/>
      <c r="H4589" s="975">
        <v>0.3</v>
      </c>
      <c r="I4589" s="912">
        <f>VLOOKUP(E4589,[3]VLP!$B$7:$K$300,10,0)</f>
        <v>23000</v>
      </c>
      <c r="J4589" s="912">
        <f>I4589*H4589</f>
        <v>6900</v>
      </c>
      <c r="K4589" s="912" t="s">
        <v>274</v>
      </c>
      <c r="L4589" s="976"/>
      <c r="M4589" s="976"/>
      <c r="N4589" s="976"/>
      <c r="O4589" s="892">
        <f t="shared" si="288"/>
        <v>0</v>
      </c>
      <c r="P4589" s="903">
        <f t="shared" si="289"/>
        <v>1</v>
      </c>
      <c r="Q4589" s="893">
        <f t="shared" si="290"/>
        <v>6</v>
      </c>
      <c r="R4589" s="894">
        <f t="shared" si="291"/>
        <v>0</v>
      </c>
    </row>
    <row r="4590" spans="1:18">
      <c r="A4590" s="955"/>
      <c r="B4590" s="953"/>
      <c r="C4590" s="971">
        <v>124</v>
      </c>
      <c r="D4590" s="907" t="s">
        <v>279</v>
      </c>
      <c r="E4590" s="972" t="s">
        <v>5432</v>
      </c>
      <c r="F4590" s="973" t="s">
        <v>3272</v>
      </c>
      <c r="G4590" s="974"/>
      <c r="H4590" s="975">
        <v>21</v>
      </c>
      <c r="I4590" s="912">
        <f>VLOOKUP(E4590,[3]VLP!$B$7:$K$300,10,0)</f>
        <v>20000</v>
      </c>
      <c r="J4590" s="912">
        <f>I4590*H4590</f>
        <v>420000</v>
      </c>
      <c r="K4590" s="912" t="s">
        <v>274</v>
      </c>
      <c r="L4590" s="976"/>
      <c r="M4590" s="976"/>
      <c r="N4590" s="976"/>
      <c r="O4590" s="892">
        <f t="shared" si="288"/>
        <v>0</v>
      </c>
      <c r="P4590" s="903">
        <f t="shared" si="289"/>
        <v>1</v>
      </c>
      <c r="Q4590" s="893">
        <f t="shared" si="290"/>
        <v>5</v>
      </c>
      <c r="R4590" s="894">
        <f t="shared" si="291"/>
        <v>0</v>
      </c>
    </row>
    <row r="4591" spans="1:18" s="904" customFormat="1">
      <c r="A4591" s="963"/>
      <c r="B4591" s="964"/>
      <c r="C4591" s="965"/>
      <c r="D4591" s="965"/>
      <c r="E4591" s="982" t="s">
        <v>276</v>
      </c>
      <c r="F4591" s="983"/>
      <c r="G4591" s="984"/>
      <c r="H4591" s="969"/>
      <c r="I4591" s="970"/>
      <c r="J4591" s="970"/>
      <c r="K4591" s="912" t="s">
        <v>274</v>
      </c>
      <c r="L4591" s="970"/>
      <c r="M4591" s="970"/>
      <c r="N4591" s="970"/>
      <c r="O4591" s="892">
        <f t="shared" si="288"/>
        <v>0</v>
      </c>
      <c r="P4591" s="903">
        <f t="shared" si="289"/>
        <v>1</v>
      </c>
      <c r="Q4591" s="893">
        <f t="shared" si="290"/>
        <v>4</v>
      </c>
      <c r="R4591" s="894">
        <f t="shared" si="291"/>
        <v>0</v>
      </c>
    </row>
    <row r="4592" spans="1:18">
      <c r="A4592" s="955"/>
      <c r="B4592" s="953"/>
      <c r="C4592" s="971">
        <v>740</v>
      </c>
      <c r="D4592" s="907" t="s">
        <v>12</v>
      </c>
      <c r="E4592" s="985" t="s">
        <v>4008</v>
      </c>
      <c r="F4592" s="986" t="s">
        <v>2674</v>
      </c>
      <c r="G4592" s="974"/>
      <c r="H4592" s="975">
        <v>17.54</v>
      </c>
      <c r="I4592" s="976"/>
      <c r="J4592" s="976"/>
      <c r="K4592" s="912">
        <f>VLOOKUP(E4592,[5]ĐMNC!$A$7:$F$67,4,0)</f>
        <v>221125</v>
      </c>
      <c r="L4592" s="912">
        <f>H4592*K4592</f>
        <v>3878532.5</v>
      </c>
      <c r="M4592" s="912"/>
      <c r="N4592" s="912"/>
      <c r="O4592" s="892">
        <f t="shared" si="288"/>
        <v>0</v>
      </c>
      <c r="P4592" s="903">
        <f t="shared" si="289"/>
        <v>1</v>
      </c>
      <c r="Q4592" s="893">
        <f t="shared" si="290"/>
        <v>3</v>
      </c>
      <c r="R4592" s="894">
        <f t="shared" si="291"/>
        <v>0</v>
      </c>
    </row>
    <row r="4593" spans="1:18" s="904" customFormat="1">
      <c r="A4593" s="963"/>
      <c r="B4593" s="964"/>
      <c r="C4593" s="965"/>
      <c r="D4593" s="965"/>
      <c r="E4593" s="966" t="s">
        <v>3914</v>
      </c>
      <c r="F4593" s="967"/>
      <c r="G4593" s="984"/>
      <c r="H4593" s="969"/>
      <c r="I4593" s="970"/>
      <c r="J4593" s="970"/>
      <c r="K4593" s="912" t="s">
        <v>274</v>
      </c>
      <c r="L4593" s="970"/>
      <c r="M4593" s="970"/>
      <c r="N4593" s="970"/>
      <c r="O4593" s="892">
        <f t="shared" si="288"/>
        <v>0</v>
      </c>
      <c r="P4593" s="903">
        <f t="shared" si="289"/>
        <v>1</v>
      </c>
      <c r="Q4593" s="893">
        <f t="shared" si="290"/>
        <v>2</v>
      </c>
      <c r="R4593" s="894">
        <f t="shared" si="291"/>
        <v>0</v>
      </c>
    </row>
    <row r="4594" spans="1:18">
      <c r="A4594" s="955"/>
      <c r="B4594" s="914" t="s">
        <v>3974</v>
      </c>
      <c r="C4594" s="971">
        <v>817</v>
      </c>
      <c r="D4594" s="907" t="s">
        <v>93</v>
      </c>
      <c r="E4594" s="972" t="s">
        <v>5555</v>
      </c>
      <c r="F4594" s="986" t="s">
        <v>2673</v>
      </c>
      <c r="G4594" s="974"/>
      <c r="H4594" s="975">
        <v>0.2</v>
      </c>
      <c r="I4594" s="976"/>
      <c r="J4594" s="976"/>
      <c r="K4594" s="912"/>
      <c r="L4594" s="912"/>
      <c r="M4594" s="912">
        <f>VLOOKUP(B4594,MTC!$B$9:$S$933,12,0)</f>
        <v>0</v>
      </c>
      <c r="N4594" s="912">
        <f>M4594*H4594</f>
        <v>0</v>
      </c>
      <c r="O4594" s="892">
        <f t="shared" si="288"/>
        <v>0</v>
      </c>
      <c r="P4594" s="903">
        <f t="shared" si="289"/>
        <v>1</v>
      </c>
      <c r="Q4594" s="893">
        <f t="shared" si="290"/>
        <v>1</v>
      </c>
      <c r="R4594" s="894">
        <f t="shared" si="291"/>
        <v>0</v>
      </c>
    </row>
    <row r="4595" spans="1:18" s="847" customFormat="1" ht="31.5">
      <c r="A4595" s="955"/>
      <c r="B4595" s="953" t="s">
        <v>5561</v>
      </c>
      <c r="C4595" s="956"/>
      <c r="D4595" s="956"/>
      <c r="E4595" s="957" t="s">
        <v>5562</v>
      </c>
      <c r="F4595" s="958" t="s">
        <v>150</v>
      </c>
      <c r="G4595" s="959"/>
      <c r="H4595" s="960"/>
      <c r="I4595" s="961"/>
      <c r="J4595" s="891">
        <f>SUM(J4596:J4603)</f>
        <v>427718.28</v>
      </c>
      <c r="K4595" s="891"/>
      <c r="L4595" s="891">
        <f>SUM(L4596:L4603)</f>
        <v>4358373.75</v>
      </c>
      <c r="M4595" s="891"/>
      <c r="N4595" s="891">
        <f>SUM(N4596:N4603)</f>
        <v>0</v>
      </c>
      <c r="O4595" s="892">
        <f t="shared" si="288"/>
        <v>1</v>
      </c>
      <c r="P4595" s="903">
        <f t="shared" si="289"/>
        <v>0</v>
      </c>
      <c r="Q4595" s="893">
        <f t="shared" si="290"/>
        <v>0</v>
      </c>
      <c r="R4595" s="894">
        <f t="shared" si="291"/>
        <v>8</v>
      </c>
    </row>
    <row r="4596" spans="1:18" s="904" customFormat="1">
      <c r="A4596" s="963"/>
      <c r="B4596" s="964"/>
      <c r="C4596" s="965"/>
      <c r="D4596" s="965"/>
      <c r="E4596" s="966" t="s">
        <v>108</v>
      </c>
      <c r="F4596" s="967"/>
      <c r="G4596" s="968"/>
      <c r="H4596" s="969"/>
      <c r="I4596" s="970"/>
      <c r="J4596" s="970"/>
      <c r="K4596" s="912" t="s">
        <v>274</v>
      </c>
      <c r="L4596" s="970"/>
      <c r="M4596" s="970"/>
      <c r="N4596" s="970"/>
      <c r="O4596" s="892">
        <f t="shared" si="288"/>
        <v>0</v>
      </c>
      <c r="P4596" s="903">
        <f t="shared" si="289"/>
        <v>1</v>
      </c>
      <c r="Q4596" s="893">
        <f t="shared" si="290"/>
        <v>8</v>
      </c>
      <c r="R4596" s="894">
        <f t="shared" si="291"/>
        <v>0</v>
      </c>
    </row>
    <row r="4597" spans="1:18">
      <c r="A4597" s="955"/>
      <c r="B4597" s="953"/>
      <c r="C4597" s="971">
        <v>55</v>
      </c>
      <c r="D4597" s="907" t="s">
        <v>279</v>
      </c>
      <c r="E4597" s="925" t="s">
        <v>3192</v>
      </c>
      <c r="F4597" s="973" t="s">
        <v>45</v>
      </c>
      <c r="G4597" s="974"/>
      <c r="H4597" s="975">
        <v>0.36</v>
      </c>
      <c r="I4597" s="912">
        <f>VLOOKUP(E4597,[3]VLP!$B$7:$K$300,10,0)</f>
        <v>2273</v>
      </c>
      <c r="J4597" s="912">
        <f>I4597*H4597</f>
        <v>818.28</v>
      </c>
      <c r="K4597" s="912" t="s">
        <v>274</v>
      </c>
      <c r="L4597" s="976"/>
      <c r="M4597" s="976"/>
      <c r="N4597" s="976"/>
      <c r="O4597" s="892">
        <f t="shared" si="288"/>
        <v>0</v>
      </c>
      <c r="P4597" s="903">
        <f t="shared" si="289"/>
        <v>1</v>
      </c>
      <c r="Q4597" s="893">
        <f t="shared" si="290"/>
        <v>7</v>
      </c>
      <c r="R4597" s="894">
        <f t="shared" si="291"/>
        <v>0</v>
      </c>
    </row>
    <row r="4598" spans="1:18">
      <c r="A4598" s="955"/>
      <c r="B4598" s="953"/>
      <c r="C4598" s="971">
        <v>44</v>
      </c>
      <c r="D4598" s="907" t="s">
        <v>279</v>
      </c>
      <c r="E4598" s="972" t="s">
        <v>2681</v>
      </c>
      <c r="F4598" s="973" t="s">
        <v>45</v>
      </c>
      <c r="G4598" s="974"/>
      <c r="H4598" s="975">
        <v>0.3</v>
      </c>
      <c r="I4598" s="912">
        <f>VLOOKUP(E4598,[3]VLP!$B$7:$K$300,10,0)</f>
        <v>23000</v>
      </c>
      <c r="J4598" s="912">
        <f>I4598*H4598</f>
        <v>6900</v>
      </c>
      <c r="K4598" s="912" t="s">
        <v>274</v>
      </c>
      <c r="L4598" s="976"/>
      <c r="M4598" s="976"/>
      <c r="N4598" s="976"/>
      <c r="O4598" s="892">
        <f t="shared" si="288"/>
        <v>0</v>
      </c>
      <c r="P4598" s="903">
        <f t="shared" si="289"/>
        <v>1</v>
      </c>
      <c r="Q4598" s="893">
        <f t="shared" si="290"/>
        <v>6</v>
      </c>
      <c r="R4598" s="894">
        <f t="shared" si="291"/>
        <v>0</v>
      </c>
    </row>
    <row r="4599" spans="1:18">
      <c r="A4599" s="955"/>
      <c r="B4599" s="953"/>
      <c r="C4599" s="971">
        <v>124</v>
      </c>
      <c r="D4599" s="907" t="s">
        <v>279</v>
      </c>
      <c r="E4599" s="972" t="s">
        <v>5432</v>
      </c>
      <c r="F4599" s="973" t="s">
        <v>3272</v>
      </c>
      <c r="G4599" s="974"/>
      <c r="H4599" s="975">
        <v>21</v>
      </c>
      <c r="I4599" s="912">
        <f>VLOOKUP(E4599,[3]VLP!$B$7:$K$300,10,0)</f>
        <v>20000</v>
      </c>
      <c r="J4599" s="912">
        <f>I4599*H4599</f>
        <v>420000</v>
      </c>
      <c r="K4599" s="912" t="s">
        <v>274</v>
      </c>
      <c r="L4599" s="976"/>
      <c r="M4599" s="976"/>
      <c r="N4599" s="976"/>
      <c r="O4599" s="892">
        <f t="shared" si="288"/>
        <v>0</v>
      </c>
      <c r="P4599" s="903">
        <f t="shared" si="289"/>
        <v>1</v>
      </c>
      <c r="Q4599" s="893">
        <f t="shared" si="290"/>
        <v>5</v>
      </c>
      <c r="R4599" s="894">
        <f t="shared" si="291"/>
        <v>0</v>
      </c>
    </row>
    <row r="4600" spans="1:18" s="904" customFormat="1">
      <c r="A4600" s="963"/>
      <c r="B4600" s="964"/>
      <c r="C4600" s="965"/>
      <c r="D4600" s="965"/>
      <c r="E4600" s="982" t="s">
        <v>276</v>
      </c>
      <c r="F4600" s="983"/>
      <c r="G4600" s="984"/>
      <c r="H4600" s="969"/>
      <c r="I4600" s="970"/>
      <c r="J4600" s="970"/>
      <c r="K4600" s="912" t="s">
        <v>274</v>
      </c>
      <c r="L4600" s="970"/>
      <c r="M4600" s="970"/>
      <c r="N4600" s="970"/>
      <c r="O4600" s="892">
        <f t="shared" si="288"/>
        <v>0</v>
      </c>
      <c r="P4600" s="903">
        <f t="shared" si="289"/>
        <v>1</v>
      </c>
      <c r="Q4600" s="893">
        <f t="shared" si="290"/>
        <v>4</v>
      </c>
      <c r="R4600" s="894">
        <f t="shared" si="291"/>
        <v>0</v>
      </c>
    </row>
    <row r="4601" spans="1:18">
      <c r="A4601" s="955"/>
      <c r="B4601" s="953"/>
      <c r="C4601" s="971">
        <v>740</v>
      </c>
      <c r="D4601" s="907" t="s">
        <v>12</v>
      </c>
      <c r="E4601" s="985" t="s">
        <v>4008</v>
      </c>
      <c r="F4601" s="986" t="s">
        <v>2674</v>
      </c>
      <c r="G4601" s="974"/>
      <c r="H4601" s="975">
        <v>19.71</v>
      </c>
      <c r="I4601" s="976"/>
      <c r="J4601" s="976"/>
      <c r="K4601" s="912">
        <f>VLOOKUP(E4601,[5]ĐMNC!$A$7:$F$67,4,0)</f>
        <v>221125</v>
      </c>
      <c r="L4601" s="912">
        <f>H4601*K4601</f>
        <v>4358373.75</v>
      </c>
      <c r="M4601" s="912"/>
      <c r="N4601" s="912"/>
      <c r="O4601" s="892">
        <f t="shared" si="288"/>
        <v>0</v>
      </c>
      <c r="P4601" s="903">
        <f t="shared" si="289"/>
        <v>1</v>
      </c>
      <c r="Q4601" s="893">
        <f t="shared" si="290"/>
        <v>3</v>
      </c>
      <c r="R4601" s="894">
        <f t="shared" si="291"/>
        <v>0</v>
      </c>
    </row>
    <row r="4602" spans="1:18" s="904" customFormat="1">
      <c r="A4602" s="963"/>
      <c r="B4602" s="964"/>
      <c r="C4602" s="965"/>
      <c r="D4602" s="965"/>
      <c r="E4602" s="966" t="s">
        <v>3914</v>
      </c>
      <c r="F4602" s="967"/>
      <c r="G4602" s="984"/>
      <c r="H4602" s="969"/>
      <c r="I4602" s="970"/>
      <c r="J4602" s="970"/>
      <c r="K4602" s="912" t="s">
        <v>274</v>
      </c>
      <c r="L4602" s="970"/>
      <c r="M4602" s="970"/>
      <c r="N4602" s="970"/>
      <c r="O4602" s="892">
        <f t="shared" si="288"/>
        <v>0</v>
      </c>
      <c r="P4602" s="903">
        <f t="shared" si="289"/>
        <v>1</v>
      </c>
      <c r="Q4602" s="893">
        <f t="shared" si="290"/>
        <v>2</v>
      </c>
      <c r="R4602" s="894">
        <f t="shared" si="291"/>
        <v>0</v>
      </c>
    </row>
    <row r="4603" spans="1:18">
      <c r="A4603" s="955"/>
      <c r="B4603" s="914" t="s">
        <v>3974</v>
      </c>
      <c r="C4603" s="971">
        <v>817</v>
      </c>
      <c r="D4603" s="907" t="s">
        <v>93</v>
      </c>
      <c r="E4603" s="972" t="s">
        <v>5555</v>
      </c>
      <c r="F4603" s="986" t="s">
        <v>2673</v>
      </c>
      <c r="G4603" s="974"/>
      <c r="H4603" s="975">
        <v>0.2</v>
      </c>
      <c r="I4603" s="976"/>
      <c r="J4603" s="976"/>
      <c r="K4603" s="912"/>
      <c r="L4603" s="912"/>
      <c r="M4603" s="912">
        <f>VLOOKUP(B4603,MTC!$B$9:$S$933,12,0)</f>
        <v>0</v>
      </c>
      <c r="N4603" s="912">
        <f>M4603*H4603</f>
        <v>0</v>
      </c>
      <c r="O4603" s="892">
        <f t="shared" si="288"/>
        <v>0</v>
      </c>
      <c r="P4603" s="903">
        <f t="shared" si="289"/>
        <v>1</v>
      </c>
      <c r="Q4603" s="893">
        <f t="shared" si="290"/>
        <v>1</v>
      </c>
      <c r="R4603" s="894">
        <f t="shared" si="291"/>
        <v>0</v>
      </c>
    </row>
    <row r="4604" spans="1:18" s="847" customFormat="1" ht="31.5">
      <c r="A4604" s="955"/>
      <c r="B4604" s="953" t="s">
        <v>5563</v>
      </c>
      <c r="C4604" s="956"/>
      <c r="D4604" s="956"/>
      <c r="E4604" s="957" t="s">
        <v>5564</v>
      </c>
      <c r="F4604" s="958" t="s">
        <v>150</v>
      </c>
      <c r="G4604" s="959"/>
      <c r="H4604" s="960"/>
      <c r="I4604" s="961"/>
      <c r="J4604" s="891">
        <f>SUM(J4605:J4612)</f>
        <v>427718.28</v>
      </c>
      <c r="K4604" s="891"/>
      <c r="L4604" s="891">
        <f>SUM(L4605:L4612)</f>
        <v>5563505</v>
      </c>
      <c r="M4604" s="891"/>
      <c r="N4604" s="891">
        <f>SUM(N4605:N4612)</f>
        <v>0</v>
      </c>
      <c r="O4604" s="892">
        <f t="shared" si="288"/>
        <v>1</v>
      </c>
      <c r="P4604" s="903">
        <f t="shared" si="289"/>
        <v>0</v>
      </c>
      <c r="Q4604" s="893">
        <f t="shared" si="290"/>
        <v>0</v>
      </c>
      <c r="R4604" s="894">
        <f t="shared" si="291"/>
        <v>8</v>
      </c>
    </row>
    <row r="4605" spans="1:18" s="904" customFormat="1">
      <c r="A4605" s="963"/>
      <c r="B4605" s="964"/>
      <c r="C4605" s="965"/>
      <c r="D4605" s="965"/>
      <c r="E4605" s="966" t="s">
        <v>108</v>
      </c>
      <c r="F4605" s="967"/>
      <c r="G4605" s="968"/>
      <c r="H4605" s="969"/>
      <c r="I4605" s="970"/>
      <c r="J4605" s="970"/>
      <c r="K4605" s="912" t="s">
        <v>274</v>
      </c>
      <c r="L4605" s="970"/>
      <c r="M4605" s="970"/>
      <c r="N4605" s="970"/>
      <c r="O4605" s="892">
        <f t="shared" si="288"/>
        <v>0</v>
      </c>
      <c r="P4605" s="903">
        <f t="shared" si="289"/>
        <v>1</v>
      </c>
      <c r="Q4605" s="893">
        <f t="shared" si="290"/>
        <v>8</v>
      </c>
      <c r="R4605" s="894">
        <f t="shared" si="291"/>
        <v>0</v>
      </c>
    </row>
    <row r="4606" spans="1:18">
      <c r="A4606" s="955"/>
      <c r="B4606" s="953"/>
      <c r="C4606" s="971">
        <v>55</v>
      </c>
      <c r="D4606" s="907" t="s">
        <v>279</v>
      </c>
      <c r="E4606" s="925" t="s">
        <v>3192</v>
      </c>
      <c r="F4606" s="973" t="s">
        <v>45</v>
      </c>
      <c r="G4606" s="974"/>
      <c r="H4606" s="975">
        <v>0.36</v>
      </c>
      <c r="I4606" s="912">
        <f>VLOOKUP(E4606,[3]VLP!$B$7:$K$300,10,0)</f>
        <v>2273</v>
      </c>
      <c r="J4606" s="912">
        <f>I4606*H4606</f>
        <v>818.28</v>
      </c>
      <c r="K4606" s="912" t="s">
        <v>274</v>
      </c>
      <c r="L4606" s="976"/>
      <c r="M4606" s="976"/>
      <c r="N4606" s="976"/>
      <c r="O4606" s="892">
        <f t="shared" si="288"/>
        <v>0</v>
      </c>
      <c r="P4606" s="903">
        <f t="shared" si="289"/>
        <v>1</v>
      </c>
      <c r="Q4606" s="893">
        <f t="shared" si="290"/>
        <v>7</v>
      </c>
      <c r="R4606" s="894">
        <f t="shared" si="291"/>
        <v>0</v>
      </c>
    </row>
    <row r="4607" spans="1:18">
      <c r="A4607" s="955"/>
      <c r="B4607" s="953"/>
      <c r="C4607" s="971">
        <v>44</v>
      </c>
      <c r="D4607" s="907" t="s">
        <v>279</v>
      </c>
      <c r="E4607" s="972" t="s">
        <v>2681</v>
      </c>
      <c r="F4607" s="973" t="s">
        <v>45</v>
      </c>
      <c r="G4607" s="974"/>
      <c r="H4607" s="975">
        <v>0.3</v>
      </c>
      <c r="I4607" s="912">
        <f>VLOOKUP(E4607,[3]VLP!$B$7:$K$300,10,0)</f>
        <v>23000</v>
      </c>
      <c r="J4607" s="912">
        <f>I4607*H4607</f>
        <v>6900</v>
      </c>
      <c r="K4607" s="912" t="s">
        <v>274</v>
      </c>
      <c r="L4607" s="976"/>
      <c r="M4607" s="976"/>
      <c r="N4607" s="976"/>
      <c r="O4607" s="892">
        <f t="shared" si="288"/>
        <v>0</v>
      </c>
      <c r="P4607" s="903">
        <f t="shared" si="289"/>
        <v>1</v>
      </c>
      <c r="Q4607" s="893">
        <f t="shared" si="290"/>
        <v>6</v>
      </c>
      <c r="R4607" s="894">
        <f t="shared" si="291"/>
        <v>0</v>
      </c>
    </row>
    <row r="4608" spans="1:18">
      <c r="A4608" s="955"/>
      <c r="B4608" s="953"/>
      <c r="C4608" s="971">
        <v>124</v>
      </c>
      <c r="D4608" s="907" t="s">
        <v>279</v>
      </c>
      <c r="E4608" s="972" t="s">
        <v>5432</v>
      </c>
      <c r="F4608" s="973" t="s">
        <v>3272</v>
      </c>
      <c r="G4608" s="974"/>
      <c r="H4608" s="975">
        <v>21</v>
      </c>
      <c r="I4608" s="912">
        <f>VLOOKUP(E4608,[3]VLP!$B$7:$K$300,10,0)</f>
        <v>20000</v>
      </c>
      <c r="J4608" s="912">
        <f>I4608*H4608</f>
        <v>420000</v>
      </c>
      <c r="K4608" s="912" t="s">
        <v>274</v>
      </c>
      <c r="L4608" s="976"/>
      <c r="M4608" s="976"/>
      <c r="N4608" s="976"/>
      <c r="O4608" s="892">
        <f t="shared" si="288"/>
        <v>0</v>
      </c>
      <c r="P4608" s="903">
        <f t="shared" si="289"/>
        <v>1</v>
      </c>
      <c r="Q4608" s="893">
        <f t="shared" si="290"/>
        <v>5</v>
      </c>
      <c r="R4608" s="894">
        <f t="shared" si="291"/>
        <v>0</v>
      </c>
    </row>
    <row r="4609" spans="1:18" s="904" customFormat="1">
      <c r="A4609" s="963"/>
      <c r="B4609" s="964"/>
      <c r="C4609" s="965"/>
      <c r="D4609" s="965"/>
      <c r="E4609" s="982" t="s">
        <v>276</v>
      </c>
      <c r="F4609" s="983"/>
      <c r="G4609" s="984"/>
      <c r="H4609" s="969"/>
      <c r="I4609" s="970"/>
      <c r="J4609" s="970"/>
      <c r="K4609" s="912" t="s">
        <v>274</v>
      </c>
      <c r="L4609" s="970"/>
      <c r="M4609" s="970"/>
      <c r="N4609" s="970"/>
      <c r="O4609" s="892">
        <f t="shared" si="288"/>
        <v>0</v>
      </c>
      <c r="P4609" s="903">
        <f t="shared" si="289"/>
        <v>1</v>
      </c>
      <c r="Q4609" s="893">
        <f t="shared" si="290"/>
        <v>4</v>
      </c>
      <c r="R4609" s="894">
        <f t="shared" si="291"/>
        <v>0</v>
      </c>
    </row>
    <row r="4610" spans="1:18">
      <c r="A4610" s="955"/>
      <c r="B4610" s="953"/>
      <c r="C4610" s="971">
        <v>740</v>
      </c>
      <c r="D4610" s="907" t="s">
        <v>12</v>
      </c>
      <c r="E4610" s="985" t="s">
        <v>4008</v>
      </c>
      <c r="F4610" s="986" t="s">
        <v>2674</v>
      </c>
      <c r="G4610" s="974"/>
      <c r="H4610" s="975">
        <v>25.16</v>
      </c>
      <c r="I4610" s="976"/>
      <c r="J4610" s="976"/>
      <c r="K4610" s="912">
        <f>VLOOKUP(E4610,[5]ĐMNC!$A$7:$F$67,4,0)</f>
        <v>221125</v>
      </c>
      <c r="L4610" s="912">
        <f>H4610*K4610</f>
        <v>5563505</v>
      </c>
      <c r="M4610" s="912"/>
      <c r="N4610" s="912"/>
      <c r="O4610" s="892">
        <f t="shared" si="288"/>
        <v>0</v>
      </c>
      <c r="P4610" s="903">
        <f t="shared" si="289"/>
        <v>1</v>
      </c>
      <c r="Q4610" s="893">
        <f t="shared" si="290"/>
        <v>3</v>
      </c>
      <c r="R4610" s="894">
        <f t="shared" si="291"/>
        <v>0</v>
      </c>
    </row>
    <row r="4611" spans="1:18" s="904" customFormat="1">
      <c r="A4611" s="963"/>
      <c r="B4611" s="964"/>
      <c r="C4611" s="965"/>
      <c r="D4611" s="965"/>
      <c r="E4611" s="966" t="s">
        <v>3914</v>
      </c>
      <c r="F4611" s="967"/>
      <c r="G4611" s="984"/>
      <c r="H4611" s="969"/>
      <c r="I4611" s="970"/>
      <c r="J4611" s="970"/>
      <c r="K4611" s="912" t="s">
        <v>274</v>
      </c>
      <c r="L4611" s="970"/>
      <c r="M4611" s="970"/>
      <c r="N4611" s="970"/>
      <c r="O4611" s="892">
        <f t="shared" si="288"/>
        <v>0</v>
      </c>
      <c r="P4611" s="903">
        <f t="shared" si="289"/>
        <v>1</v>
      </c>
      <c r="Q4611" s="893">
        <f t="shared" si="290"/>
        <v>2</v>
      </c>
      <c r="R4611" s="894">
        <f t="shared" si="291"/>
        <v>0</v>
      </c>
    </row>
    <row r="4612" spans="1:18">
      <c r="A4612" s="955"/>
      <c r="B4612" s="914" t="s">
        <v>3974</v>
      </c>
      <c r="C4612" s="971">
        <v>817</v>
      </c>
      <c r="D4612" s="907" t="s">
        <v>93</v>
      </c>
      <c r="E4612" s="972" t="s">
        <v>5555</v>
      </c>
      <c r="F4612" s="986" t="s">
        <v>2673</v>
      </c>
      <c r="G4612" s="974"/>
      <c r="H4612" s="975">
        <v>0.3</v>
      </c>
      <c r="I4612" s="976"/>
      <c r="J4612" s="976"/>
      <c r="K4612" s="912"/>
      <c r="L4612" s="912"/>
      <c r="M4612" s="912">
        <f>VLOOKUP(B4612,MTC!$B$9:$S$933,12,0)</f>
        <v>0</v>
      </c>
      <c r="N4612" s="912">
        <f>M4612*H4612</f>
        <v>0</v>
      </c>
      <c r="O4612" s="892">
        <f t="shared" si="288"/>
        <v>0</v>
      </c>
      <c r="P4612" s="903">
        <f t="shared" si="289"/>
        <v>1</v>
      </c>
      <c r="Q4612" s="893">
        <f t="shared" si="290"/>
        <v>1</v>
      </c>
      <c r="R4612" s="894">
        <f t="shared" si="291"/>
        <v>0</v>
      </c>
    </row>
    <row r="4613" spans="1:18" s="847" customFormat="1" ht="31.5">
      <c r="A4613" s="955"/>
      <c r="B4613" s="953" t="s">
        <v>5565</v>
      </c>
      <c r="C4613" s="956"/>
      <c r="D4613" s="956"/>
      <c r="E4613" s="957" t="s">
        <v>5566</v>
      </c>
      <c r="F4613" s="958" t="s">
        <v>150</v>
      </c>
      <c r="G4613" s="959"/>
      <c r="H4613" s="960"/>
      <c r="I4613" s="961"/>
      <c r="J4613" s="891">
        <f>SUM(J4614:J4621)</f>
        <v>427718.28</v>
      </c>
      <c r="K4613" s="891"/>
      <c r="L4613" s="891">
        <f>SUM(L4614:L4621)</f>
        <v>6224668.75</v>
      </c>
      <c r="M4613" s="891"/>
      <c r="N4613" s="891">
        <f>SUM(N4614:N4621)</f>
        <v>0</v>
      </c>
      <c r="O4613" s="892">
        <f t="shared" si="288"/>
        <v>1</v>
      </c>
      <c r="P4613" s="903">
        <f t="shared" si="289"/>
        <v>0</v>
      </c>
      <c r="Q4613" s="893">
        <f t="shared" si="290"/>
        <v>0</v>
      </c>
      <c r="R4613" s="894">
        <f t="shared" si="291"/>
        <v>8</v>
      </c>
    </row>
    <row r="4614" spans="1:18" s="904" customFormat="1">
      <c r="A4614" s="963"/>
      <c r="B4614" s="964"/>
      <c r="C4614" s="965"/>
      <c r="D4614" s="965"/>
      <c r="E4614" s="966" t="s">
        <v>108</v>
      </c>
      <c r="F4614" s="967"/>
      <c r="G4614" s="968"/>
      <c r="H4614" s="969"/>
      <c r="I4614" s="970"/>
      <c r="J4614" s="970"/>
      <c r="K4614" s="912" t="s">
        <v>274</v>
      </c>
      <c r="L4614" s="970"/>
      <c r="M4614" s="970"/>
      <c r="N4614" s="970"/>
      <c r="O4614" s="892">
        <f t="shared" si="288"/>
        <v>0</v>
      </c>
      <c r="P4614" s="903">
        <f t="shared" si="289"/>
        <v>1</v>
      </c>
      <c r="Q4614" s="893">
        <f t="shared" si="290"/>
        <v>8</v>
      </c>
      <c r="R4614" s="894">
        <f t="shared" si="291"/>
        <v>0</v>
      </c>
    </row>
    <row r="4615" spans="1:18">
      <c r="A4615" s="955"/>
      <c r="B4615" s="953"/>
      <c r="C4615" s="971">
        <v>55</v>
      </c>
      <c r="D4615" s="907" t="s">
        <v>279</v>
      </c>
      <c r="E4615" s="925" t="s">
        <v>3192</v>
      </c>
      <c r="F4615" s="973" t="s">
        <v>45</v>
      </c>
      <c r="G4615" s="974"/>
      <c r="H4615" s="975">
        <v>0.36</v>
      </c>
      <c r="I4615" s="912">
        <f>VLOOKUP(E4615,[3]VLP!$B$7:$K$300,10,0)</f>
        <v>2273</v>
      </c>
      <c r="J4615" s="912">
        <f>I4615*H4615</f>
        <v>818.28</v>
      </c>
      <c r="K4615" s="912" t="s">
        <v>274</v>
      </c>
      <c r="L4615" s="976"/>
      <c r="M4615" s="976"/>
      <c r="N4615" s="976"/>
      <c r="O4615" s="892">
        <f t="shared" si="288"/>
        <v>0</v>
      </c>
      <c r="P4615" s="903">
        <f t="shared" si="289"/>
        <v>1</v>
      </c>
      <c r="Q4615" s="893">
        <f t="shared" si="290"/>
        <v>7</v>
      </c>
      <c r="R4615" s="894">
        <f t="shared" si="291"/>
        <v>0</v>
      </c>
    </row>
    <row r="4616" spans="1:18">
      <c r="A4616" s="955"/>
      <c r="B4616" s="953"/>
      <c r="C4616" s="971">
        <v>44</v>
      </c>
      <c r="D4616" s="907" t="s">
        <v>279</v>
      </c>
      <c r="E4616" s="972" t="s">
        <v>2681</v>
      </c>
      <c r="F4616" s="973" t="s">
        <v>45</v>
      </c>
      <c r="G4616" s="974"/>
      <c r="H4616" s="975">
        <v>0.3</v>
      </c>
      <c r="I4616" s="912">
        <f>VLOOKUP(E4616,[3]VLP!$B$7:$K$300,10,0)</f>
        <v>23000</v>
      </c>
      <c r="J4616" s="912">
        <f>I4616*H4616</f>
        <v>6900</v>
      </c>
      <c r="K4616" s="912" t="s">
        <v>274</v>
      </c>
      <c r="L4616" s="976"/>
      <c r="M4616" s="976"/>
      <c r="N4616" s="976"/>
      <c r="O4616" s="892">
        <f t="shared" si="288"/>
        <v>0</v>
      </c>
      <c r="P4616" s="903">
        <f t="shared" si="289"/>
        <v>1</v>
      </c>
      <c r="Q4616" s="893">
        <f t="shared" si="290"/>
        <v>6</v>
      </c>
      <c r="R4616" s="894">
        <f t="shared" si="291"/>
        <v>0</v>
      </c>
    </row>
    <row r="4617" spans="1:18">
      <c r="A4617" s="955"/>
      <c r="B4617" s="953"/>
      <c r="C4617" s="971">
        <v>124</v>
      </c>
      <c r="D4617" s="907" t="s">
        <v>279</v>
      </c>
      <c r="E4617" s="972" t="s">
        <v>5432</v>
      </c>
      <c r="F4617" s="973" t="s">
        <v>3272</v>
      </c>
      <c r="G4617" s="974"/>
      <c r="H4617" s="975">
        <v>21</v>
      </c>
      <c r="I4617" s="912">
        <f>VLOOKUP(E4617,[3]VLP!$B$7:$K$300,10,0)</f>
        <v>20000</v>
      </c>
      <c r="J4617" s="912">
        <f>I4617*H4617</f>
        <v>420000</v>
      </c>
      <c r="K4617" s="912" t="s">
        <v>274</v>
      </c>
      <c r="L4617" s="976"/>
      <c r="M4617" s="976"/>
      <c r="N4617" s="976"/>
      <c r="O4617" s="892">
        <f t="shared" si="288"/>
        <v>0</v>
      </c>
      <c r="P4617" s="903">
        <f t="shared" si="289"/>
        <v>1</v>
      </c>
      <c r="Q4617" s="893">
        <f t="shared" si="290"/>
        <v>5</v>
      </c>
      <c r="R4617" s="894">
        <f t="shared" si="291"/>
        <v>0</v>
      </c>
    </row>
    <row r="4618" spans="1:18" s="904" customFormat="1">
      <c r="A4618" s="963"/>
      <c r="B4618" s="964"/>
      <c r="C4618" s="965"/>
      <c r="D4618" s="965"/>
      <c r="E4618" s="982" t="s">
        <v>276</v>
      </c>
      <c r="F4618" s="983"/>
      <c r="G4618" s="984"/>
      <c r="H4618" s="969"/>
      <c r="I4618" s="970"/>
      <c r="J4618" s="970"/>
      <c r="K4618" s="912" t="s">
        <v>274</v>
      </c>
      <c r="L4618" s="970"/>
      <c r="M4618" s="970"/>
      <c r="N4618" s="970"/>
      <c r="O4618" s="892">
        <f t="shared" si="288"/>
        <v>0</v>
      </c>
      <c r="P4618" s="903">
        <f t="shared" si="289"/>
        <v>1</v>
      </c>
      <c r="Q4618" s="893">
        <f t="shared" si="290"/>
        <v>4</v>
      </c>
      <c r="R4618" s="894">
        <f t="shared" si="291"/>
        <v>0</v>
      </c>
    </row>
    <row r="4619" spans="1:18">
      <c r="A4619" s="955"/>
      <c r="B4619" s="953"/>
      <c r="C4619" s="971">
        <v>740</v>
      </c>
      <c r="D4619" s="907" t="s">
        <v>12</v>
      </c>
      <c r="E4619" s="985" t="s">
        <v>4008</v>
      </c>
      <c r="F4619" s="986" t="s">
        <v>2674</v>
      </c>
      <c r="G4619" s="974"/>
      <c r="H4619" s="975">
        <v>28.15</v>
      </c>
      <c r="I4619" s="976"/>
      <c r="J4619" s="976"/>
      <c r="K4619" s="912">
        <f>VLOOKUP(E4619,[5]ĐMNC!$A$7:$F$67,4,0)</f>
        <v>221125</v>
      </c>
      <c r="L4619" s="912">
        <f>H4619*K4619</f>
        <v>6224668.75</v>
      </c>
      <c r="M4619" s="912"/>
      <c r="N4619" s="912"/>
      <c r="O4619" s="892">
        <f t="shared" si="288"/>
        <v>0</v>
      </c>
      <c r="P4619" s="903">
        <f t="shared" si="289"/>
        <v>1</v>
      </c>
      <c r="Q4619" s="893">
        <f t="shared" si="290"/>
        <v>3</v>
      </c>
      <c r="R4619" s="894">
        <f t="shared" si="291"/>
        <v>0</v>
      </c>
    </row>
    <row r="4620" spans="1:18" s="904" customFormat="1">
      <c r="A4620" s="963"/>
      <c r="B4620" s="964"/>
      <c r="C4620" s="965"/>
      <c r="D4620" s="965"/>
      <c r="E4620" s="966" t="s">
        <v>3914</v>
      </c>
      <c r="F4620" s="967"/>
      <c r="G4620" s="984"/>
      <c r="H4620" s="969"/>
      <c r="I4620" s="970"/>
      <c r="J4620" s="970"/>
      <c r="K4620" s="912" t="s">
        <v>274</v>
      </c>
      <c r="L4620" s="970"/>
      <c r="M4620" s="970"/>
      <c r="N4620" s="970"/>
      <c r="O4620" s="892">
        <f t="shared" si="288"/>
        <v>0</v>
      </c>
      <c r="P4620" s="903">
        <f t="shared" si="289"/>
        <v>1</v>
      </c>
      <c r="Q4620" s="893">
        <f t="shared" si="290"/>
        <v>2</v>
      </c>
      <c r="R4620" s="894">
        <f t="shared" si="291"/>
        <v>0</v>
      </c>
    </row>
    <row r="4621" spans="1:18">
      <c r="A4621" s="955"/>
      <c r="B4621" s="914" t="s">
        <v>3974</v>
      </c>
      <c r="C4621" s="971">
        <v>817</v>
      </c>
      <c r="D4621" s="907" t="s">
        <v>93</v>
      </c>
      <c r="E4621" s="972" t="s">
        <v>5555</v>
      </c>
      <c r="F4621" s="986" t="s">
        <v>2673</v>
      </c>
      <c r="G4621" s="974"/>
      <c r="H4621" s="975">
        <v>0.3</v>
      </c>
      <c r="I4621" s="976"/>
      <c r="J4621" s="976"/>
      <c r="K4621" s="912"/>
      <c r="L4621" s="912"/>
      <c r="M4621" s="912">
        <f>VLOOKUP(B4621,MTC!$B$9:$S$933,12,0)</f>
        <v>0</v>
      </c>
      <c r="N4621" s="912">
        <f>M4621*H4621</f>
        <v>0</v>
      </c>
      <c r="O4621" s="892">
        <f t="shared" si="288"/>
        <v>0</v>
      </c>
      <c r="P4621" s="903">
        <f t="shared" si="289"/>
        <v>1</v>
      </c>
      <c r="Q4621" s="893">
        <f t="shared" si="290"/>
        <v>1</v>
      </c>
      <c r="R4621" s="894">
        <f t="shared" si="291"/>
        <v>0</v>
      </c>
    </row>
    <row r="4622" spans="1:18" s="847" customFormat="1" ht="31.5">
      <c r="A4622" s="955"/>
      <c r="B4622" s="953" t="s">
        <v>5567</v>
      </c>
      <c r="C4622" s="956"/>
      <c r="D4622" s="956"/>
      <c r="E4622" s="957" t="s">
        <v>5568</v>
      </c>
      <c r="F4622" s="958" t="s">
        <v>150</v>
      </c>
      <c r="G4622" s="959"/>
      <c r="H4622" s="960"/>
      <c r="I4622" s="961"/>
      <c r="J4622" s="891">
        <f>SUM(J4623:J4630)</f>
        <v>509277.42</v>
      </c>
      <c r="K4622" s="891"/>
      <c r="L4622" s="891">
        <f>SUM(L4623:L4630)</f>
        <v>6846030</v>
      </c>
      <c r="M4622" s="891"/>
      <c r="N4622" s="891">
        <f>SUM(N4623:N4630)</f>
        <v>0</v>
      </c>
      <c r="O4622" s="892">
        <f t="shared" si="288"/>
        <v>1</v>
      </c>
      <c r="P4622" s="903">
        <f t="shared" si="289"/>
        <v>0</v>
      </c>
      <c r="Q4622" s="893">
        <f t="shared" si="290"/>
        <v>0</v>
      </c>
      <c r="R4622" s="894">
        <f t="shared" si="291"/>
        <v>8</v>
      </c>
    </row>
    <row r="4623" spans="1:18" s="904" customFormat="1">
      <c r="A4623" s="963"/>
      <c r="B4623" s="964"/>
      <c r="C4623" s="965"/>
      <c r="D4623" s="965"/>
      <c r="E4623" s="966" t="s">
        <v>108</v>
      </c>
      <c r="F4623" s="967"/>
      <c r="G4623" s="968"/>
      <c r="H4623" s="969"/>
      <c r="I4623" s="970"/>
      <c r="J4623" s="970"/>
      <c r="K4623" s="912" t="s">
        <v>274</v>
      </c>
      <c r="L4623" s="970"/>
      <c r="M4623" s="970"/>
      <c r="N4623" s="970"/>
      <c r="O4623" s="892">
        <f t="shared" si="288"/>
        <v>0</v>
      </c>
      <c r="P4623" s="903">
        <f t="shared" si="289"/>
        <v>1</v>
      </c>
      <c r="Q4623" s="893">
        <f t="shared" si="290"/>
        <v>8</v>
      </c>
      <c r="R4623" s="894">
        <f t="shared" si="291"/>
        <v>0</v>
      </c>
    </row>
    <row r="4624" spans="1:18">
      <c r="A4624" s="955"/>
      <c r="B4624" s="953"/>
      <c r="C4624" s="971">
        <v>55</v>
      </c>
      <c r="D4624" s="907" t="s">
        <v>279</v>
      </c>
      <c r="E4624" s="925" t="s">
        <v>3192</v>
      </c>
      <c r="F4624" s="973" t="s">
        <v>45</v>
      </c>
      <c r="G4624" s="974"/>
      <c r="H4624" s="975">
        <v>0.54</v>
      </c>
      <c r="I4624" s="912">
        <f>VLOOKUP(E4624,[3]VLP!$B$7:$K$300,10,0)</f>
        <v>2273</v>
      </c>
      <c r="J4624" s="912">
        <f>I4624*H4624</f>
        <v>1227.42</v>
      </c>
      <c r="K4624" s="912" t="s">
        <v>274</v>
      </c>
      <c r="L4624" s="976"/>
      <c r="M4624" s="976"/>
      <c r="N4624" s="976"/>
      <c r="O4624" s="892">
        <f t="shared" si="288"/>
        <v>0</v>
      </c>
      <c r="P4624" s="903">
        <f t="shared" si="289"/>
        <v>1</v>
      </c>
      <c r="Q4624" s="893">
        <f t="shared" si="290"/>
        <v>7</v>
      </c>
      <c r="R4624" s="894">
        <f t="shared" si="291"/>
        <v>0</v>
      </c>
    </row>
    <row r="4625" spans="1:18">
      <c r="A4625" s="955"/>
      <c r="B4625" s="953"/>
      <c r="C4625" s="971">
        <v>44</v>
      </c>
      <c r="D4625" s="907" t="s">
        <v>279</v>
      </c>
      <c r="E4625" s="972" t="s">
        <v>2681</v>
      </c>
      <c r="F4625" s="973" t="s">
        <v>45</v>
      </c>
      <c r="G4625" s="974"/>
      <c r="H4625" s="975">
        <v>0.35</v>
      </c>
      <c r="I4625" s="912">
        <f>VLOOKUP(E4625,[3]VLP!$B$7:$K$300,10,0)</f>
        <v>23000</v>
      </c>
      <c r="J4625" s="912">
        <f>I4625*H4625</f>
        <v>8049.9999999999991</v>
      </c>
      <c r="K4625" s="912" t="s">
        <v>274</v>
      </c>
      <c r="L4625" s="976"/>
      <c r="M4625" s="976"/>
      <c r="N4625" s="976"/>
      <c r="O4625" s="892">
        <f t="shared" si="288"/>
        <v>0</v>
      </c>
      <c r="P4625" s="903">
        <f t="shared" si="289"/>
        <v>1</v>
      </c>
      <c r="Q4625" s="893">
        <f t="shared" si="290"/>
        <v>6</v>
      </c>
      <c r="R4625" s="894">
        <f t="shared" si="291"/>
        <v>0</v>
      </c>
    </row>
    <row r="4626" spans="1:18">
      <c r="A4626" s="955"/>
      <c r="B4626" s="953"/>
      <c r="C4626" s="971">
        <v>124</v>
      </c>
      <c r="D4626" s="907" t="s">
        <v>279</v>
      </c>
      <c r="E4626" s="972" t="s">
        <v>5432</v>
      </c>
      <c r="F4626" s="973" t="s">
        <v>3272</v>
      </c>
      <c r="G4626" s="974"/>
      <c r="H4626" s="975">
        <v>25</v>
      </c>
      <c r="I4626" s="912">
        <f>VLOOKUP(E4626,[3]VLP!$B$7:$K$300,10,0)</f>
        <v>20000</v>
      </c>
      <c r="J4626" s="912">
        <f>I4626*H4626</f>
        <v>500000</v>
      </c>
      <c r="K4626" s="912" t="s">
        <v>274</v>
      </c>
      <c r="L4626" s="976"/>
      <c r="M4626" s="976"/>
      <c r="N4626" s="976"/>
      <c r="O4626" s="892">
        <f t="shared" si="288"/>
        <v>0</v>
      </c>
      <c r="P4626" s="903">
        <f t="shared" si="289"/>
        <v>1</v>
      </c>
      <c r="Q4626" s="893">
        <f t="shared" si="290"/>
        <v>5</v>
      </c>
      <c r="R4626" s="894">
        <f t="shared" si="291"/>
        <v>0</v>
      </c>
    </row>
    <row r="4627" spans="1:18" s="904" customFormat="1">
      <c r="A4627" s="963"/>
      <c r="B4627" s="964"/>
      <c r="C4627" s="965"/>
      <c r="D4627" s="965"/>
      <c r="E4627" s="982" t="s">
        <v>276</v>
      </c>
      <c r="F4627" s="983"/>
      <c r="G4627" s="984"/>
      <c r="H4627" s="969"/>
      <c r="I4627" s="970"/>
      <c r="J4627" s="970"/>
      <c r="K4627" s="912" t="s">
        <v>274</v>
      </c>
      <c r="L4627" s="970"/>
      <c r="M4627" s="970"/>
      <c r="N4627" s="970"/>
      <c r="O4627" s="892">
        <f t="shared" si="288"/>
        <v>0</v>
      </c>
      <c r="P4627" s="903">
        <f t="shared" si="289"/>
        <v>1</v>
      </c>
      <c r="Q4627" s="893">
        <f t="shared" si="290"/>
        <v>4</v>
      </c>
      <c r="R4627" s="894">
        <f t="shared" si="291"/>
        <v>0</v>
      </c>
    </row>
    <row r="4628" spans="1:18">
      <c r="A4628" s="955"/>
      <c r="B4628" s="953"/>
      <c r="C4628" s="971">
        <v>740</v>
      </c>
      <c r="D4628" s="907" t="s">
        <v>12</v>
      </c>
      <c r="E4628" s="985" t="s">
        <v>4008</v>
      </c>
      <c r="F4628" s="986" t="s">
        <v>2674</v>
      </c>
      <c r="G4628" s="974"/>
      <c r="H4628" s="975">
        <v>30.96</v>
      </c>
      <c r="I4628" s="976"/>
      <c r="J4628" s="976"/>
      <c r="K4628" s="912">
        <f>VLOOKUP(E4628,[5]ĐMNC!$A$7:$F$67,4,0)</f>
        <v>221125</v>
      </c>
      <c r="L4628" s="912">
        <f>H4628*K4628</f>
        <v>6846030</v>
      </c>
      <c r="M4628" s="912"/>
      <c r="N4628" s="912"/>
      <c r="O4628" s="892">
        <f t="shared" si="288"/>
        <v>0</v>
      </c>
      <c r="P4628" s="903">
        <f t="shared" si="289"/>
        <v>1</v>
      </c>
      <c r="Q4628" s="893">
        <f t="shared" si="290"/>
        <v>3</v>
      </c>
      <c r="R4628" s="894">
        <f t="shared" si="291"/>
        <v>0</v>
      </c>
    </row>
    <row r="4629" spans="1:18" s="904" customFormat="1">
      <c r="A4629" s="963"/>
      <c r="B4629" s="964"/>
      <c r="C4629" s="965"/>
      <c r="D4629" s="965"/>
      <c r="E4629" s="966" t="s">
        <v>3914</v>
      </c>
      <c r="F4629" s="967"/>
      <c r="G4629" s="984"/>
      <c r="H4629" s="969"/>
      <c r="I4629" s="970"/>
      <c r="J4629" s="970"/>
      <c r="K4629" s="912" t="s">
        <v>274</v>
      </c>
      <c r="L4629" s="970"/>
      <c r="M4629" s="970"/>
      <c r="N4629" s="970"/>
      <c r="O4629" s="892">
        <f t="shared" si="288"/>
        <v>0</v>
      </c>
      <c r="P4629" s="903">
        <f t="shared" si="289"/>
        <v>1</v>
      </c>
      <c r="Q4629" s="893">
        <f t="shared" si="290"/>
        <v>2</v>
      </c>
      <c r="R4629" s="894">
        <f t="shared" si="291"/>
        <v>0</v>
      </c>
    </row>
    <row r="4630" spans="1:18">
      <c r="A4630" s="955"/>
      <c r="B4630" s="914" t="s">
        <v>3974</v>
      </c>
      <c r="C4630" s="971">
        <v>817</v>
      </c>
      <c r="D4630" s="907" t="s">
        <v>93</v>
      </c>
      <c r="E4630" s="972" t="s">
        <v>5555</v>
      </c>
      <c r="F4630" s="986" t="s">
        <v>2673</v>
      </c>
      <c r="G4630" s="974"/>
      <c r="H4630" s="975">
        <v>0.3</v>
      </c>
      <c r="I4630" s="976"/>
      <c r="J4630" s="976"/>
      <c r="K4630" s="912"/>
      <c r="L4630" s="912"/>
      <c r="M4630" s="912">
        <f>VLOOKUP(B4630,MTC!$B$9:$S$933,12,0)</f>
        <v>0</v>
      </c>
      <c r="N4630" s="912">
        <f>M4630*H4630</f>
        <v>0</v>
      </c>
      <c r="O4630" s="892">
        <f t="shared" si="288"/>
        <v>0</v>
      </c>
      <c r="P4630" s="903">
        <f t="shared" si="289"/>
        <v>1</v>
      </c>
      <c r="Q4630" s="893">
        <f t="shared" si="290"/>
        <v>1</v>
      </c>
      <c r="R4630" s="894">
        <f t="shared" si="291"/>
        <v>0</v>
      </c>
    </row>
    <row r="4631" spans="1:18" s="847" customFormat="1" ht="31.5">
      <c r="A4631" s="955"/>
      <c r="B4631" s="953" t="s">
        <v>5569</v>
      </c>
      <c r="C4631" s="956"/>
      <c r="D4631" s="956"/>
      <c r="E4631" s="957" t="s">
        <v>5570</v>
      </c>
      <c r="F4631" s="958" t="s">
        <v>150</v>
      </c>
      <c r="G4631" s="959"/>
      <c r="H4631" s="960"/>
      <c r="I4631" s="961"/>
      <c r="J4631" s="891">
        <f>SUM(J4632:J4639)</f>
        <v>509277.42</v>
      </c>
      <c r="K4631" s="891"/>
      <c r="L4631" s="891">
        <f>SUM(L4632:L4639)</f>
        <v>8632720</v>
      </c>
      <c r="M4631" s="891"/>
      <c r="N4631" s="891">
        <f>SUM(N4632:N4639)</f>
        <v>0</v>
      </c>
      <c r="O4631" s="892">
        <f t="shared" si="288"/>
        <v>1</v>
      </c>
      <c r="P4631" s="903">
        <f t="shared" si="289"/>
        <v>0</v>
      </c>
      <c r="Q4631" s="893">
        <f t="shared" si="290"/>
        <v>0</v>
      </c>
      <c r="R4631" s="894">
        <f t="shared" si="291"/>
        <v>8</v>
      </c>
    </row>
    <row r="4632" spans="1:18" s="904" customFormat="1">
      <c r="A4632" s="963"/>
      <c r="B4632" s="964"/>
      <c r="C4632" s="965"/>
      <c r="D4632" s="965"/>
      <c r="E4632" s="966" t="s">
        <v>108</v>
      </c>
      <c r="F4632" s="967"/>
      <c r="G4632" s="968"/>
      <c r="H4632" s="969"/>
      <c r="I4632" s="970"/>
      <c r="J4632" s="970"/>
      <c r="K4632" s="912" t="s">
        <v>274</v>
      </c>
      <c r="L4632" s="970"/>
      <c r="M4632" s="970"/>
      <c r="N4632" s="970"/>
      <c r="O4632" s="892">
        <f t="shared" si="288"/>
        <v>0</v>
      </c>
      <c r="P4632" s="903">
        <f t="shared" si="289"/>
        <v>1</v>
      </c>
      <c r="Q4632" s="893">
        <f t="shared" si="290"/>
        <v>8</v>
      </c>
      <c r="R4632" s="894">
        <f t="shared" si="291"/>
        <v>0</v>
      </c>
    </row>
    <row r="4633" spans="1:18">
      <c r="A4633" s="955"/>
      <c r="B4633" s="953"/>
      <c r="C4633" s="971">
        <v>55</v>
      </c>
      <c r="D4633" s="907" t="s">
        <v>279</v>
      </c>
      <c r="E4633" s="925" t="s">
        <v>3192</v>
      </c>
      <c r="F4633" s="973" t="s">
        <v>45</v>
      </c>
      <c r="G4633" s="974"/>
      <c r="H4633" s="975">
        <v>0.54</v>
      </c>
      <c r="I4633" s="912">
        <f>VLOOKUP(E4633,[3]VLP!$B$7:$K$300,10,0)</f>
        <v>2273</v>
      </c>
      <c r="J4633" s="912">
        <f>I4633*H4633</f>
        <v>1227.42</v>
      </c>
      <c r="K4633" s="912" t="s">
        <v>274</v>
      </c>
      <c r="L4633" s="976"/>
      <c r="M4633" s="976"/>
      <c r="N4633" s="976"/>
      <c r="O4633" s="892">
        <f t="shared" si="288"/>
        <v>0</v>
      </c>
      <c r="P4633" s="903">
        <f t="shared" si="289"/>
        <v>1</v>
      </c>
      <c r="Q4633" s="893">
        <f t="shared" si="290"/>
        <v>7</v>
      </c>
      <c r="R4633" s="894">
        <f t="shared" si="291"/>
        <v>0</v>
      </c>
    </row>
    <row r="4634" spans="1:18">
      <c r="A4634" s="955"/>
      <c r="B4634" s="953"/>
      <c r="C4634" s="971">
        <v>44</v>
      </c>
      <c r="D4634" s="907" t="s">
        <v>279</v>
      </c>
      <c r="E4634" s="972" t="s">
        <v>2681</v>
      </c>
      <c r="F4634" s="973" t="s">
        <v>45</v>
      </c>
      <c r="G4634" s="974"/>
      <c r="H4634" s="975">
        <v>0.35</v>
      </c>
      <c r="I4634" s="912">
        <f>VLOOKUP(E4634,[3]VLP!$B$7:$K$300,10,0)</f>
        <v>23000</v>
      </c>
      <c r="J4634" s="912">
        <f>I4634*H4634</f>
        <v>8049.9999999999991</v>
      </c>
      <c r="K4634" s="912" t="s">
        <v>274</v>
      </c>
      <c r="L4634" s="976"/>
      <c r="M4634" s="976"/>
      <c r="N4634" s="976"/>
      <c r="O4634" s="892">
        <f t="shared" si="288"/>
        <v>0</v>
      </c>
      <c r="P4634" s="903">
        <f t="shared" si="289"/>
        <v>1</v>
      </c>
      <c r="Q4634" s="893">
        <f t="shared" si="290"/>
        <v>6</v>
      </c>
      <c r="R4634" s="894">
        <f t="shared" si="291"/>
        <v>0</v>
      </c>
    </row>
    <row r="4635" spans="1:18">
      <c r="A4635" s="955"/>
      <c r="B4635" s="953"/>
      <c r="C4635" s="971">
        <v>124</v>
      </c>
      <c r="D4635" s="907" t="s">
        <v>279</v>
      </c>
      <c r="E4635" s="972" t="s">
        <v>5432</v>
      </c>
      <c r="F4635" s="973" t="s">
        <v>3272</v>
      </c>
      <c r="G4635" s="974"/>
      <c r="H4635" s="975">
        <v>25</v>
      </c>
      <c r="I4635" s="912">
        <f>VLOOKUP(E4635,[3]VLP!$B$7:$K$300,10,0)</f>
        <v>20000</v>
      </c>
      <c r="J4635" s="912">
        <f>I4635*H4635</f>
        <v>500000</v>
      </c>
      <c r="K4635" s="912" t="s">
        <v>274</v>
      </c>
      <c r="L4635" s="976"/>
      <c r="M4635" s="976"/>
      <c r="N4635" s="976"/>
      <c r="O4635" s="892">
        <f t="shared" si="288"/>
        <v>0</v>
      </c>
      <c r="P4635" s="903">
        <f t="shared" si="289"/>
        <v>1</v>
      </c>
      <c r="Q4635" s="893">
        <f t="shared" si="290"/>
        <v>5</v>
      </c>
      <c r="R4635" s="894">
        <f t="shared" si="291"/>
        <v>0</v>
      </c>
    </row>
    <row r="4636" spans="1:18" s="904" customFormat="1">
      <c r="A4636" s="963"/>
      <c r="B4636" s="964"/>
      <c r="C4636" s="965"/>
      <c r="D4636" s="965"/>
      <c r="E4636" s="982" t="s">
        <v>276</v>
      </c>
      <c r="F4636" s="983"/>
      <c r="G4636" s="984"/>
      <c r="H4636" s="969"/>
      <c r="I4636" s="970"/>
      <c r="J4636" s="970"/>
      <c r="K4636" s="912" t="s">
        <v>274</v>
      </c>
      <c r="L4636" s="970"/>
      <c r="M4636" s="970"/>
      <c r="N4636" s="970"/>
      <c r="O4636" s="892">
        <f t="shared" si="288"/>
        <v>0</v>
      </c>
      <c r="P4636" s="903">
        <f t="shared" si="289"/>
        <v>1</v>
      </c>
      <c r="Q4636" s="893">
        <f t="shared" si="290"/>
        <v>4</v>
      </c>
      <c r="R4636" s="894">
        <f t="shared" si="291"/>
        <v>0</v>
      </c>
    </row>
    <row r="4637" spans="1:18">
      <c r="A4637" s="955"/>
      <c r="B4637" s="953"/>
      <c r="C4637" s="971">
        <v>740</v>
      </c>
      <c r="D4637" s="907" t="s">
        <v>12</v>
      </c>
      <c r="E4637" s="985" t="s">
        <v>4008</v>
      </c>
      <c r="F4637" s="986" t="s">
        <v>2674</v>
      </c>
      <c r="G4637" s="974"/>
      <c r="H4637" s="975">
        <v>39.04</v>
      </c>
      <c r="I4637" s="976"/>
      <c r="J4637" s="976"/>
      <c r="K4637" s="912">
        <f>VLOOKUP(E4637,[5]ĐMNC!$A$7:$F$67,4,0)</f>
        <v>221125</v>
      </c>
      <c r="L4637" s="912">
        <f>H4637*K4637</f>
        <v>8632720</v>
      </c>
      <c r="M4637" s="912"/>
      <c r="N4637" s="912"/>
      <c r="O4637" s="892">
        <f t="shared" si="288"/>
        <v>0</v>
      </c>
      <c r="P4637" s="903">
        <f t="shared" si="289"/>
        <v>1</v>
      </c>
      <c r="Q4637" s="893">
        <f t="shared" si="290"/>
        <v>3</v>
      </c>
      <c r="R4637" s="894">
        <f t="shared" si="291"/>
        <v>0</v>
      </c>
    </row>
    <row r="4638" spans="1:18" s="904" customFormat="1">
      <c r="A4638" s="963"/>
      <c r="B4638" s="964"/>
      <c r="C4638" s="965"/>
      <c r="D4638" s="965"/>
      <c r="E4638" s="966" t="s">
        <v>3914</v>
      </c>
      <c r="F4638" s="967"/>
      <c r="G4638" s="984"/>
      <c r="H4638" s="969"/>
      <c r="I4638" s="970"/>
      <c r="J4638" s="970"/>
      <c r="K4638" s="912" t="s">
        <v>274</v>
      </c>
      <c r="L4638" s="970"/>
      <c r="M4638" s="970"/>
      <c r="N4638" s="970"/>
      <c r="O4638" s="892">
        <f t="shared" si="288"/>
        <v>0</v>
      </c>
      <c r="P4638" s="903">
        <f t="shared" si="289"/>
        <v>1</v>
      </c>
      <c r="Q4638" s="893">
        <f t="shared" si="290"/>
        <v>2</v>
      </c>
      <c r="R4638" s="894">
        <f t="shared" si="291"/>
        <v>0</v>
      </c>
    </row>
    <row r="4639" spans="1:18">
      <c r="A4639" s="955"/>
      <c r="B4639" s="914" t="s">
        <v>3974</v>
      </c>
      <c r="C4639" s="971">
        <v>817</v>
      </c>
      <c r="D4639" s="907" t="s">
        <v>93</v>
      </c>
      <c r="E4639" s="972" t="s">
        <v>5555</v>
      </c>
      <c r="F4639" s="986" t="s">
        <v>2673</v>
      </c>
      <c r="G4639" s="974"/>
      <c r="H4639" s="975">
        <v>0.3</v>
      </c>
      <c r="I4639" s="976"/>
      <c r="J4639" s="976"/>
      <c r="K4639" s="912"/>
      <c r="L4639" s="912"/>
      <c r="M4639" s="912">
        <f>VLOOKUP(B4639,MTC!$B$9:$S$933,12,0)</f>
        <v>0</v>
      </c>
      <c r="N4639" s="912">
        <f>M4639*H4639</f>
        <v>0</v>
      </c>
      <c r="O4639" s="892">
        <f t="shared" ref="O4639:O4702" si="292">IF(AND(B4639&lt;&gt;"",D4639=""),1,0)</f>
        <v>0</v>
      </c>
      <c r="P4639" s="903">
        <f t="shared" si="289"/>
        <v>1</v>
      </c>
      <c r="Q4639" s="893">
        <f t="shared" si="290"/>
        <v>1</v>
      </c>
      <c r="R4639" s="894">
        <f t="shared" si="291"/>
        <v>0</v>
      </c>
    </row>
    <row r="4640" spans="1:18" s="847" customFormat="1" ht="31.5">
      <c r="A4640" s="955"/>
      <c r="B4640" s="953" t="s">
        <v>5571</v>
      </c>
      <c r="C4640" s="956"/>
      <c r="D4640" s="956"/>
      <c r="E4640" s="957" t="s">
        <v>5572</v>
      </c>
      <c r="F4640" s="958" t="s">
        <v>150</v>
      </c>
      <c r="G4640" s="959"/>
      <c r="H4640" s="960"/>
      <c r="I4640" s="961"/>
      <c r="J4640" s="891">
        <f>SUM(J4641:J4648)</f>
        <v>509277.42</v>
      </c>
      <c r="K4640" s="891"/>
      <c r="L4640" s="891">
        <f>SUM(L4641:L4648)</f>
        <v>11403416.25</v>
      </c>
      <c r="M4640" s="891"/>
      <c r="N4640" s="891">
        <f>SUM(N4641:N4648)</f>
        <v>0</v>
      </c>
      <c r="O4640" s="892">
        <f t="shared" si="292"/>
        <v>1</v>
      </c>
      <c r="P4640" s="903">
        <f t="shared" si="289"/>
        <v>0</v>
      </c>
      <c r="Q4640" s="893">
        <f t="shared" si="290"/>
        <v>0</v>
      </c>
      <c r="R4640" s="894">
        <f t="shared" si="291"/>
        <v>8</v>
      </c>
    </row>
    <row r="4641" spans="1:18" s="904" customFormat="1">
      <c r="A4641" s="963"/>
      <c r="B4641" s="964"/>
      <c r="C4641" s="965"/>
      <c r="D4641" s="965"/>
      <c r="E4641" s="966" t="s">
        <v>108</v>
      </c>
      <c r="F4641" s="967"/>
      <c r="G4641" s="968"/>
      <c r="H4641" s="969"/>
      <c r="I4641" s="970"/>
      <c r="J4641" s="970"/>
      <c r="K4641" s="912" t="s">
        <v>274</v>
      </c>
      <c r="L4641" s="970"/>
      <c r="M4641" s="970"/>
      <c r="N4641" s="970"/>
      <c r="O4641" s="892">
        <f t="shared" si="292"/>
        <v>0</v>
      </c>
      <c r="P4641" s="903">
        <f t="shared" si="289"/>
        <v>1</v>
      </c>
      <c r="Q4641" s="893">
        <f t="shared" si="290"/>
        <v>8</v>
      </c>
      <c r="R4641" s="894">
        <f t="shared" si="291"/>
        <v>0</v>
      </c>
    </row>
    <row r="4642" spans="1:18">
      <c r="A4642" s="955"/>
      <c r="B4642" s="953"/>
      <c r="C4642" s="971">
        <v>55</v>
      </c>
      <c r="D4642" s="907" t="s">
        <v>279</v>
      </c>
      <c r="E4642" s="925" t="s">
        <v>3192</v>
      </c>
      <c r="F4642" s="973" t="s">
        <v>45</v>
      </c>
      <c r="G4642" s="974"/>
      <c r="H4642" s="975">
        <v>0.54</v>
      </c>
      <c r="I4642" s="912">
        <f>VLOOKUP(E4642,[3]VLP!$B$7:$K$300,10,0)</f>
        <v>2273</v>
      </c>
      <c r="J4642" s="912">
        <f>I4642*H4642</f>
        <v>1227.42</v>
      </c>
      <c r="K4642" s="912" t="s">
        <v>274</v>
      </c>
      <c r="L4642" s="976"/>
      <c r="M4642" s="976"/>
      <c r="N4642" s="976"/>
      <c r="O4642" s="892">
        <f t="shared" si="292"/>
        <v>0</v>
      </c>
      <c r="P4642" s="903">
        <f t="shared" si="289"/>
        <v>1</v>
      </c>
      <c r="Q4642" s="893">
        <f t="shared" si="290"/>
        <v>7</v>
      </c>
      <c r="R4642" s="894">
        <f t="shared" si="291"/>
        <v>0</v>
      </c>
    </row>
    <row r="4643" spans="1:18">
      <c r="A4643" s="955"/>
      <c r="B4643" s="953"/>
      <c r="C4643" s="971">
        <v>44</v>
      </c>
      <c r="D4643" s="907" t="s">
        <v>279</v>
      </c>
      <c r="E4643" s="972" t="s">
        <v>2681</v>
      </c>
      <c r="F4643" s="973" t="s">
        <v>45</v>
      </c>
      <c r="G4643" s="974"/>
      <c r="H4643" s="975">
        <v>0.35</v>
      </c>
      <c r="I4643" s="912">
        <f>VLOOKUP(E4643,[3]VLP!$B$7:$K$300,10,0)</f>
        <v>23000</v>
      </c>
      <c r="J4643" s="912">
        <f>I4643*H4643</f>
        <v>8049.9999999999991</v>
      </c>
      <c r="K4643" s="912" t="s">
        <v>274</v>
      </c>
      <c r="L4643" s="976"/>
      <c r="M4643" s="976"/>
      <c r="N4643" s="976"/>
      <c r="O4643" s="892">
        <f t="shared" si="292"/>
        <v>0</v>
      </c>
      <c r="P4643" s="903">
        <f t="shared" si="289"/>
        <v>1</v>
      </c>
      <c r="Q4643" s="893">
        <f t="shared" si="290"/>
        <v>6</v>
      </c>
      <c r="R4643" s="894">
        <f t="shared" si="291"/>
        <v>0</v>
      </c>
    </row>
    <row r="4644" spans="1:18">
      <c r="A4644" s="955"/>
      <c r="B4644" s="953"/>
      <c r="C4644" s="971">
        <v>124</v>
      </c>
      <c r="D4644" s="907" t="s">
        <v>279</v>
      </c>
      <c r="E4644" s="972" t="s">
        <v>5432</v>
      </c>
      <c r="F4644" s="973" t="s">
        <v>3272</v>
      </c>
      <c r="G4644" s="974"/>
      <c r="H4644" s="975">
        <v>25</v>
      </c>
      <c r="I4644" s="912">
        <f>VLOOKUP(E4644,[3]VLP!$B$7:$K$300,10,0)</f>
        <v>20000</v>
      </c>
      <c r="J4644" s="912">
        <f>I4644*H4644</f>
        <v>500000</v>
      </c>
      <c r="K4644" s="912" t="s">
        <v>274</v>
      </c>
      <c r="L4644" s="976"/>
      <c r="M4644" s="976"/>
      <c r="N4644" s="976"/>
      <c r="O4644" s="892">
        <f t="shared" si="292"/>
        <v>0</v>
      </c>
      <c r="P4644" s="903">
        <f t="shared" si="289"/>
        <v>1</v>
      </c>
      <c r="Q4644" s="893">
        <f t="shared" si="290"/>
        <v>5</v>
      </c>
      <c r="R4644" s="894">
        <f t="shared" si="291"/>
        <v>0</v>
      </c>
    </row>
    <row r="4645" spans="1:18" s="904" customFormat="1">
      <c r="A4645" s="963"/>
      <c r="B4645" s="964"/>
      <c r="C4645" s="965"/>
      <c r="D4645" s="965"/>
      <c r="E4645" s="982" t="s">
        <v>276</v>
      </c>
      <c r="F4645" s="983"/>
      <c r="G4645" s="984"/>
      <c r="H4645" s="969"/>
      <c r="I4645" s="970"/>
      <c r="J4645" s="970"/>
      <c r="K4645" s="912" t="s">
        <v>274</v>
      </c>
      <c r="L4645" s="970"/>
      <c r="M4645" s="970"/>
      <c r="N4645" s="970"/>
      <c r="O4645" s="892">
        <f t="shared" si="292"/>
        <v>0</v>
      </c>
      <c r="P4645" s="903">
        <f t="shared" si="289"/>
        <v>1</v>
      </c>
      <c r="Q4645" s="893">
        <f t="shared" si="290"/>
        <v>4</v>
      </c>
      <c r="R4645" s="894">
        <f t="shared" si="291"/>
        <v>0</v>
      </c>
    </row>
    <row r="4646" spans="1:18">
      <c r="A4646" s="955"/>
      <c r="B4646" s="953"/>
      <c r="C4646" s="971">
        <v>740</v>
      </c>
      <c r="D4646" s="907" t="s">
        <v>12</v>
      </c>
      <c r="E4646" s="985" t="s">
        <v>4008</v>
      </c>
      <c r="F4646" s="986" t="s">
        <v>2674</v>
      </c>
      <c r="G4646" s="974"/>
      <c r="H4646" s="975">
        <v>51.57</v>
      </c>
      <c r="I4646" s="976"/>
      <c r="J4646" s="976"/>
      <c r="K4646" s="912">
        <f>VLOOKUP(E4646,[5]ĐMNC!$A$7:$F$67,4,0)</f>
        <v>221125</v>
      </c>
      <c r="L4646" s="912">
        <f>H4646*K4646</f>
        <v>11403416.25</v>
      </c>
      <c r="M4646" s="912"/>
      <c r="N4646" s="912"/>
      <c r="O4646" s="892">
        <f t="shared" si="292"/>
        <v>0</v>
      </c>
      <c r="P4646" s="903">
        <f t="shared" si="289"/>
        <v>1</v>
      </c>
      <c r="Q4646" s="893">
        <f t="shared" si="290"/>
        <v>3</v>
      </c>
      <c r="R4646" s="894">
        <f t="shared" si="291"/>
        <v>0</v>
      </c>
    </row>
    <row r="4647" spans="1:18" s="904" customFormat="1">
      <c r="A4647" s="963"/>
      <c r="B4647" s="964"/>
      <c r="C4647" s="965"/>
      <c r="D4647" s="965"/>
      <c r="E4647" s="966" t="s">
        <v>3914</v>
      </c>
      <c r="F4647" s="967"/>
      <c r="G4647" s="984"/>
      <c r="H4647" s="969"/>
      <c r="I4647" s="970"/>
      <c r="J4647" s="970"/>
      <c r="K4647" s="912" t="s">
        <v>274</v>
      </c>
      <c r="L4647" s="970"/>
      <c r="M4647" s="970"/>
      <c r="N4647" s="970"/>
      <c r="O4647" s="892">
        <f t="shared" si="292"/>
        <v>0</v>
      </c>
      <c r="P4647" s="903">
        <f t="shared" si="289"/>
        <v>1</v>
      </c>
      <c r="Q4647" s="893">
        <f t="shared" si="290"/>
        <v>2</v>
      </c>
      <c r="R4647" s="894">
        <f t="shared" si="291"/>
        <v>0</v>
      </c>
    </row>
    <row r="4648" spans="1:18">
      <c r="A4648" s="955"/>
      <c r="B4648" s="914" t="s">
        <v>3974</v>
      </c>
      <c r="C4648" s="971">
        <v>817</v>
      </c>
      <c r="D4648" s="907" t="s">
        <v>93</v>
      </c>
      <c r="E4648" s="972" t="s">
        <v>5555</v>
      </c>
      <c r="F4648" s="986" t="s">
        <v>2673</v>
      </c>
      <c r="G4648" s="974"/>
      <c r="H4648" s="975">
        <v>0.3</v>
      </c>
      <c r="I4648" s="976"/>
      <c r="J4648" s="976"/>
      <c r="K4648" s="912"/>
      <c r="L4648" s="912"/>
      <c r="M4648" s="912">
        <f>VLOOKUP(B4648,MTC!$B$9:$S$933,12,0)</f>
        <v>0</v>
      </c>
      <c r="N4648" s="912">
        <f>M4648*H4648</f>
        <v>0</v>
      </c>
      <c r="O4648" s="892">
        <f t="shared" si="292"/>
        <v>0</v>
      </c>
      <c r="P4648" s="903">
        <f t="shared" ref="P4648:P4711" si="293">IF(O4648=0,1,0)</f>
        <v>1</v>
      </c>
      <c r="Q4648" s="893">
        <f t="shared" ref="Q4648:Q4711" si="294">IF(P4648=0,0,P4648+Q4649)</f>
        <v>1</v>
      </c>
      <c r="R4648" s="894">
        <f t="shared" ref="R4648:R4711" si="295">IF(Q4648=0,Q4649,0)</f>
        <v>0</v>
      </c>
    </row>
    <row r="4649" spans="1:18" s="847" customFormat="1" ht="31.5">
      <c r="A4649" s="955"/>
      <c r="B4649" s="953" t="s">
        <v>5571</v>
      </c>
      <c r="C4649" s="956"/>
      <c r="D4649" s="956"/>
      <c r="E4649" s="957" t="s">
        <v>5573</v>
      </c>
      <c r="F4649" s="958" t="s">
        <v>150</v>
      </c>
      <c r="G4649" s="959"/>
      <c r="H4649" s="960"/>
      <c r="I4649" s="961"/>
      <c r="J4649" s="891">
        <f>SUM(J4650:J4657)</f>
        <v>509277.42</v>
      </c>
      <c r="K4649" s="891"/>
      <c r="L4649" s="891">
        <f>SUM(L4650:L4657)</f>
        <v>14837487.499999998</v>
      </c>
      <c r="M4649" s="891"/>
      <c r="N4649" s="891">
        <f>SUM(N4650:N4657)</f>
        <v>0</v>
      </c>
      <c r="O4649" s="892">
        <f t="shared" si="292"/>
        <v>1</v>
      </c>
      <c r="P4649" s="903">
        <f t="shared" si="293"/>
        <v>0</v>
      </c>
      <c r="Q4649" s="893">
        <f t="shared" si="294"/>
        <v>0</v>
      </c>
      <c r="R4649" s="894">
        <f t="shared" si="295"/>
        <v>8</v>
      </c>
    </row>
    <row r="4650" spans="1:18" s="904" customFormat="1">
      <c r="A4650" s="963"/>
      <c r="B4650" s="964"/>
      <c r="C4650" s="965"/>
      <c r="D4650" s="965"/>
      <c r="E4650" s="966" t="s">
        <v>108</v>
      </c>
      <c r="F4650" s="967"/>
      <c r="G4650" s="968"/>
      <c r="H4650" s="969"/>
      <c r="I4650" s="970"/>
      <c r="J4650" s="970"/>
      <c r="K4650" s="912" t="s">
        <v>274</v>
      </c>
      <c r="L4650" s="970"/>
      <c r="M4650" s="970"/>
      <c r="N4650" s="970"/>
      <c r="O4650" s="892">
        <f t="shared" si="292"/>
        <v>0</v>
      </c>
      <c r="P4650" s="903">
        <f t="shared" si="293"/>
        <v>1</v>
      </c>
      <c r="Q4650" s="893">
        <f t="shared" si="294"/>
        <v>8</v>
      </c>
      <c r="R4650" s="894">
        <f t="shared" si="295"/>
        <v>0</v>
      </c>
    </row>
    <row r="4651" spans="1:18">
      <c r="A4651" s="955"/>
      <c r="B4651" s="953"/>
      <c r="C4651" s="971">
        <v>55</v>
      </c>
      <c r="D4651" s="907" t="s">
        <v>279</v>
      </c>
      <c r="E4651" s="925" t="s">
        <v>3192</v>
      </c>
      <c r="F4651" s="973" t="s">
        <v>45</v>
      </c>
      <c r="G4651" s="974"/>
      <c r="H4651" s="975">
        <v>0.54</v>
      </c>
      <c r="I4651" s="912">
        <f>VLOOKUP(E4651,[3]VLP!$B$7:$K$300,10,0)</f>
        <v>2273</v>
      </c>
      <c r="J4651" s="912">
        <f>I4651*H4651</f>
        <v>1227.42</v>
      </c>
      <c r="K4651" s="912" t="s">
        <v>274</v>
      </c>
      <c r="L4651" s="976"/>
      <c r="M4651" s="976"/>
      <c r="N4651" s="976"/>
      <c r="O4651" s="892">
        <f t="shared" si="292"/>
        <v>0</v>
      </c>
      <c r="P4651" s="903">
        <f t="shared" si="293"/>
        <v>1</v>
      </c>
      <c r="Q4651" s="893">
        <f t="shared" si="294"/>
        <v>7</v>
      </c>
      <c r="R4651" s="894">
        <f t="shared" si="295"/>
        <v>0</v>
      </c>
    </row>
    <row r="4652" spans="1:18">
      <c r="A4652" s="955"/>
      <c r="B4652" s="953"/>
      <c r="C4652" s="971">
        <v>44</v>
      </c>
      <c r="D4652" s="907" t="s">
        <v>279</v>
      </c>
      <c r="E4652" s="972" t="s">
        <v>2681</v>
      </c>
      <c r="F4652" s="973" t="s">
        <v>45</v>
      </c>
      <c r="G4652" s="974"/>
      <c r="H4652" s="975">
        <v>0.35</v>
      </c>
      <c r="I4652" s="912">
        <f>VLOOKUP(E4652,[3]VLP!$B$7:$K$300,10,0)</f>
        <v>23000</v>
      </c>
      <c r="J4652" s="912">
        <f>I4652*H4652</f>
        <v>8049.9999999999991</v>
      </c>
      <c r="K4652" s="912" t="s">
        <v>274</v>
      </c>
      <c r="L4652" s="976"/>
      <c r="M4652" s="976"/>
      <c r="N4652" s="976"/>
      <c r="O4652" s="892">
        <f t="shared" si="292"/>
        <v>0</v>
      </c>
      <c r="P4652" s="903">
        <f t="shared" si="293"/>
        <v>1</v>
      </c>
      <c r="Q4652" s="893">
        <f t="shared" si="294"/>
        <v>6</v>
      </c>
      <c r="R4652" s="894">
        <f t="shared" si="295"/>
        <v>0</v>
      </c>
    </row>
    <row r="4653" spans="1:18">
      <c r="A4653" s="955"/>
      <c r="B4653" s="953"/>
      <c r="C4653" s="971">
        <v>124</v>
      </c>
      <c r="D4653" s="907" t="s">
        <v>279</v>
      </c>
      <c r="E4653" s="972" t="s">
        <v>5432</v>
      </c>
      <c r="F4653" s="973" t="s">
        <v>3272</v>
      </c>
      <c r="G4653" s="974"/>
      <c r="H4653" s="975">
        <v>25</v>
      </c>
      <c r="I4653" s="912">
        <f>VLOOKUP(E4653,[3]VLP!$B$7:$K$300,10,0)</f>
        <v>20000</v>
      </c>
      <c r="J4653" s="912">
        <f>I4653*H4653</f>
        <v>500000</v>
      </c>
      <c r="K4653" s="912" t="s">
        <v>274</v>
      </c>
      <c r="L4653" s="976"/>
      <c r="M4653" s="976"/>
      <c r="N4653" s="976"/>
      <c r="O4653" s="892">
        <f t="shared" si="292"/>
        <v>0</v>
      </c>
      <c r="P4653" s="903">
        <f t="shared" si="293"/>
        <v>1</v>
      </c>
      <c r="Q4653" s="893">
        <f t="shared" si="294"/>
        <v>5</v>
      </c>
      <c r="R4653" s="894">
        <f t="shared" si="295"/>
        <v>0</v>
      </c>
    </row>
    <row r="4654" spans="1:18" s="904" customFormat="1">
      <c r="A4654" s="963"/>
      <c r="B4654" s="964"/>
      <c r="C4654" s="965"/>
      <c r="D4654" s="965"/>
      <c r="E4654" s="982" t="s">
        <v>276</v>
      </c>
      <c r="F4654" s="983"/>
      <c r="G4654" s="984"/>
      <c r="H4654" s="969"/>
      <c r="I4654" s="970"/>
      <c r="J4654" s="970"/>
      <c r="K4654" s="912" t="s">
        <v>274</v>
      </c>
      <c r="L4654" s="970"/>
      <c r="M4654" s="970"/>
      <c r="N4654" s="970"/>
      <c r="O4654" s="892">
        <f t="shared" si="292"/>
        <v>0</v>
      </c>
      <c r="P4654" s="903">
        <f t="shared" si="293"/>
        <v>1</v>
      </c>
      <c r="Q4654" s="893">
        <f t="shared" si="294"/>
        <v>4</v>
      </c>
      <c r="R4654" s="894">
        <f t="shared" si="295"/>
        <v>0</v>
      </c>
    </row>
    <row r="4655" spans="1:18">
      <c r="A4655" s="955"/>
      <c r="B4655" s="953"/>
      <c r="C4655" s="971">
        <v>740</v>
      </c>
      <c r="D4655" s="907" t="s">
        <v>12</v>
      </c>
      <c r="E4655" s="985" t="s">
        <v>4008</v>
      </c>
      <c r="F4655" s="986" t="s">
        <v>2674</v>
      </c>
      <c r="G4655" s="974"/>
      <c r="H4655" s="975">
        <v>67.099999999999994</v>
      </c>
      <c r="I4655" s="976"/>
      <c r="J4655" s="976"/>
      <c r="K4655" s="912">
        <f>VLOOKUP(E4655,[5]ĐMNC!$A$7:$F$67,4,0)</f>
        <v>221125</v>
      </c>
      <c r="L4655" s="912">
        <f>H4655*K4655</f>
        <v>14837487.499999998</v>
      </c>
      <c r="M4655" s="912"/>
      <c r="N4655" s="912"/>
      <c r="O4655" s="892">
        <f t="shared" si="292"/>
        <v>0</v>
      </c>
      <c r="P4655" s="903">
        <f t="shared" si="293"/>
        <v>1</v>
      </c>
      <c r="Q4655" s="893">
        <f t="shared" si="294"/>
        <v>3</v>
      </c>
      <c r="R4655" s="894">
        <f t="shared" si="295"/>
        <v>0</v>
      </c>
    </row>
    <row r="4656" spans="1:18" s="904" customFormat="1">
      <c r="A4656" s="963"/>
      <c r="B4656" s="964"/>
      <c r="C4656" s="965"/>
      <c r="D4656" s="965"/>
      <c r="E4656" s="966" t="s">
        <v>3914</v>
      </c>
      <c r="F4656" s="967"/>
      <c r="G4656" s="984"/>
      <c r="H4656" s="969"/>
      <c r="I4656" s="970"/>
      <c r="J4656" s="970"/>
      <c r="K4656" s="912" t="s">
        <v>274</v>
      </c>
      <c r="L4656" s="970"/>
      <c r="M4656" s="970"/>
      <c r="N4656" s="970"/>
      <c r="O4656" s="892">
        <f t="shared" si="292"/>
        <v>0</v>
      </c>
      <c r="P4656" s="903">
        <f t="shared" si="293"/>
        <v>1</v>
      </c>
      <c r="Q4656" s="893">
        <f t="shared" si="294"/>
        <v>2</v>
      </c>
      <c r="R4656" s="894">
        <f t="shared" si="295"/>
        <v>0</v>
      </c>
    </row>
    <row r="4657" spans="1:18">
      <c r="A4657" s="955"/>
      <c r="B4657" s="914" t="s">
        <v>3974</v>
      </c>
      <c r="C4657" s="971">
        <v>817</v>
      </c>
      <c r="D4657" s="907" t="s">
        <v>93</v>
      </c>
      <c r="E4657" s="972" t="s">
        <v>5555</v>
      </c>
      <c r="F4657" s="986" t="s">
        <v>2673</v>
      </c>
      <c r="G4657" s="974"/>
      <c r="H4657" s="975">
        <v>0.35</v>
      </c>
      <c r="I4657" s="976"/>
      <c r="J4657" s="976"/>
      <c r="K4657" s="912"/>
      <c r="L4657" s="912"/>
      <c r="M4657" s="912">
        <f>VLOOKUP(B4657,MTC!$B$9:$S$933,12,0)</f>
        <v>0</v>
      </c>
      <c r="N4657" s="912">
        <f>M4657*H4657</f>
        <v>0</v>
      </c>
      <c r="O4657" s="892">
        <f t="shared" si="292"/>
        <v>0</v>
      </c>
      <c r="P4657" s="903">
        <f t="shared" si="293"/>
        <v>1</v>
      </c>
      <c r="Q4657" s="893">
        <f t="shared" si="294"/>
        <v>1</v>
      </c>
      <c r="R4657" s="894">
        <f t="shared" si="295"/>
        <v>0</v>
      </c>
    </row>
    <row r="4658" spans="1:18" s="847" customFormat="1" ht="31.5">
      <c r="A4658" s="955"/>
      <c r="B4658" s="953" t="s">
        <v>5574</v>
      </c>
      <c r="C4658" s="956"/>
      <c r="D4658" s="956"/>
      <c r="E4658" s="957" t="s">
        <v>5575</v>
      </c>
      <c r="F4658" s="958" t="s">
        <v>150</v>
      </c>
      <c r="G4658" s="959"/>
      <c r="H4658" s="960"/>
      <c r="I4658" s="961"/>
      <c r="J4658" s="891">
        <f>SUM(J4659:J4666)</f>
        <v>304668.19</v>
      </c>
      <c r="K4658" s="891"/>
      <c r="L4658" s="891">
        <f>SUM(L4659:L4666)</f>
        <v>2717626.25</v>
      </c>
      <c r="M4658" s="891"/>
      <c r="N4658" s="891">
        <f>SUM(N4659:N4666)</f>
        <v>0</v>
      </c>
      <c r="O4658" s="892">
        <f t="shared" si="292"/>
        <v>1</v>
      </c>
      <c r="P4658" s="903">
        <f t="shared" si="293"/>
        <v>0</v>
      </c>
      <c r="Q4658" s="893">
        <f t="shared" si="294"/>
        <v>0</v>
      </c>
      <c r="R4658" s="894">
        <f t="shared" si="295"/>
        <v>8</v>
      </c>
    </row>
    <row r="4659" spans="1:18" s="904" customFormat="1">
      <c r="A4659" s="963"/>
      <c r="B4659" s="964"/>
      <c r="C4659" s="965"/>
      <c r="D4659" s="965"/>
      <c r="E4659" s="966" t="s">
        <v>108</v>
      </c>
      <c r="F4659" s="967"/>
      <c r="G4659" s="968"/>
      <c r="H4659" s="969"/>
      <c r="I4659" s="970"/>
      <c r="J4659" s="970"/>
      <c r="K4659" s="912" t="s">
        <v>274</v>
      </c>
      <c r="L4659" s="970"/>
      <c r="M4659" s="970"/>
      <c r="N4659" s="970"/>
      <c r="O4659" s="892">
        <f t="shared" si="292"/>
        <v>0</v>
      </c>
      <c r="P4659" s="903">
        <f t="shared" si="293"/>
        <v>1</v>
      </c>
      <c r="Q4659" s="893">
        <f t="shared" si="294"/>
        <v>8</v>
      </c>
      <c r="R4659" s="894">
        <f t="shared" si="295"/>
        <v>0</v>
      </c>
    </row>
    <row r="4660" spans="1:18">
      <c r="A4660" s="955"/>
      <c r="B4660" s="953"/>
      <c r="C4660" s="971">
        <v>55</v>
      </c>
      <c r="D4660" s="907" t="s">
        <v>279</v>
      </c>
      <c r="E4660" s="925" t="s">
        <v>3192</v>
      </c>
      <c r="F4660" s="973" t="s">
        <v>45</v>
      </c>
      <c r="G4660" s="974"/>
      <c r="H4660" s="975">
        <v>0.03</v>
      </c>
      <c r="I4660" s="912">
        <f>VLOOKUP(E4660,[3]VLP!$B$7:$K$300,10,0)</f>
        <v>2273</v>
      </c>
      <c r="J4660" s="912">
        <f>I4660*H4660</f>
        <v>68.19</v>
      </c>
      <c r="K4660" s="912" t="s">
        <v>274</v>
      </c>
      <c r="L4660" s="976"/>
      <c r="M4660" s="976"/>
      <c r="N4660" s="976"/>
      <c r="O4660" s="892">
        <f t="shared" si="292"/>
        <v>0</v>
      </c>
      <c r="P4660" s="903">
        <f t="shared" si="293"/>
        <v>1</v>
      </c>
      <c r="Q4660" s="893">
        <f t="shared" si="294"/>
        <v>7</v>
      </c>
      <c r="R4660" s="894">
        <f t="shared" si="295"/>
        <v>0</v>
      </c>
    </row>
    <row r="4661" spans="1:18">
      <c r="A4661" s="955"/>
      <c r="B4661" s="953"/>
      <c r="C4661" s="971">
        <v>44</v>
      </c>
      <c r="D4661" s="907" t="s">
        <v>279</v>
      </c>
      <c r="E4661" s="972" t="s">
        <v>2681</v>
      </c>
      <c r="F4661" s="973" t="s">
        <v>45</v>
      </c>
      <c r="G4661" s="974"/>
      <c r="H4661" s="975">
        <v>0.2</v>
      </c>
      <c r="I4661" s="912">
        <f>VLOOKUP(E4661,[3]VLP!$B$7:$K$300,10,0)</f>
        <v>23000</v>
      </c>
      <c r="J4661" s="912">
        <f>I4661*H4661</f>
        <v>4600</v>
      </c>
      <c r="K4661" s="912" t="s">
        <v>274</v>
      </c>
      <c r="L4661" s="976"/>
      <c r="M4661" s="976"/>
      <c r="N4661" s="976"/>
      <c r="O4661" s="892">
        <f t="shared" si="292"/>
        <v>0</v>
      </c>
      <c r="P4661" s="903">
        <f t="shared" si="293"/>
        <v>1</v>
      </c>
      <c r="Q4661" s="893">
        <f t="shared" si="294"/>
        <v>6</v>
      </c>
      <c r="R4661" s="894">
        <f t="shared" si="295"/>
        <v>0</v>
      </c>
    </row>
    <row r="4662" spans="1:18">
      <c r="A4662" s="955"/>
      <c r="B4662" s="953"/>
      <c r="C4662" s="971">
        <v>124</v>
      </c>
      <c r="D4662" s="907" t="s">
        <v>279</v>
      </c>
      <c r="E4662" s="972" t="s">
        <v>5432</v>
      </c>
      <c r="F4662" s="973" t="s">
        <v>3272</v>
      </c>
      <c r="G4662" s="974"/>
      <c r="H4662" s="975">
        <v>15</v>
      </c>
      <c r="I4662" s="912">
        <f>VLOOKUP(E4662,[3]VLP!$B$7:$K$300,10,0)</f>
        <v>20000</v>
      </c>
      <c r="J4662" s="912">
        <f>I4662*H4662</f>
        <v>300000</v>
      </c>
      <c r="K4662" s="912" t="s">
        <v>274</v>
      </c>
      <c r="L4662" s="976"/>
      <c r="M4662" s="976"/>
      <c r="N4662" s="976"/>
      <c r="O4662" s="892">
        <f t="shared" si="292"/>
        <v>0</v>
      </c>
      <c r="P4662" s="903">
        <f t="shared" si="293"/>
        <v>1</v>
      </c>
      <c r="Q4662" s="893">
        <f t="shared" si="294"/>
        <v>5</v>
      </c>
      <c r="R4662" s="894">
        <f t="shared" si="295"/>
        <v>0</v>
      </c>
    </row>
    <row r="4663" spans="1:18" s="904" customFormat="1">
      <c r="A4663" s="963"/>
      <c r="B4663" s="964"/>
      <c r="C4663" s="965"/>
      <c r="D4663" s="965"/>
      <c r="E4663" s="982" t="s">
        <v>276</v>
      </c>
      <c r="F4663" s="983"/>
      <c r="G4663" s="984"/>
      <c r="H4663" s="969"/>
      <c r="I4663" s="970"/>
      <c r="J4663" s="970"/>
      <c r="K4663" s="912" t="s">
        <v>274</v>
      </c>
      <c r="L4663" s="970"/>
      <c r="M4663" s="970"/>
      <c r="N4663" s="970"/>
      <c r="O4663" s="892">
        <f t="shared" si="292"/>
        <v>0</v>
      </c>
      <c r="P4663" s="903">
        <f t="shared" si="293"/>
        <v>1</v>
      </c>
      <c r="Q4663" s="893">
        <f t="shared" si="294"/>
        <v>4</v>
      </c>
      <c r="R4663" s="894">
        <f t="shared" si="295"/>
        <v>0</v>
      </c>
    </row>
    <row r="4664" spans="1:18">
      <c r="A4664" s="955"/>
      <c r="B4664" s="953"/>
      <c r="C4664" s="971">
        <v>740</v>
      </c>
      <c r="D4664" s="907" t="s">
        <v>12</v>
      </c>
      <c r="E4664" s="985" t="s">
        <v>4008</v>
      </c>
      <c r="F4664" s="986" t="s">
        <v>2674</v>
      </c>
      <c r="G4664" s="974"/>
      <c r="H4664" s="975">
        <v>12.29</v>
      </c>
      <c r="I4664" s="976"/>
      <c r="J4664" s="976"/>
      <c r="K4664" s="912">
        <f>VLOOKUP(E4664,[5]ĐMNC!$A$7:$F$67,4,0)</f>
        <v>221125</v>
      </c>
      <c r="L4664" s="912">
        <f>H4664*K4664</f>
        <v>2717626.25</v>
      </c>
      <c r="M4664" s="912"/>
      <c r="N4664" s="912"/>
      <c r="O4664" s="892">
        <f t="shared" si="292"/>
        <v>0</v>
      </c>
      <c r="P4664" s="903">
        <f t="shared" si="293"/>
        <v>1</v>
      </c>
      <c r="Q4664" s="893">
        <f t="shared" si="294"/>
        <v>3</v>
      </c>
      <c r="R4664" s="894">
        <f t="shared" si="295"/>
        <v>0</v>
      </c>
    </row>
    <row r="4665" spans="1:18" s="904" customFormat="1">
      <c r="A4665" s="963"/>
      <c r="B4665" s="964"/>
      <c r="C4665" s="965"/>
      <c r="D4665" s="965"/>
      <c r="E4665" s="966" t="s">
        <v>3914</v>
      </c>
      <c r="F4665" s="967"/>
      <c r="G4665" s="984"/>
      <c r="H4665" s="969"/>
      <c r="I4665" s="970"/>
      <c r="J4665" s="970"/>
      <c r="K4665" s="912" t="s">
        <v>274</v>
      </c>
      <c r="L4665" s="970"/>
      <c r="M4665" s="970"/>
      <c r="N4665" s="970"/>
      <c r="O4665" s="892">
        <f t="shared" si="292"/>
        <v>0</v>
      </c>
      <c r="P4665" s="903">
        <f t="shared" si="293"/>
        <v>1</v>
      </c>
      <c r="Q4665" s="893">
        <f t="shared" si="294"/>
        <v>2</v>
      </c>
      <c r="R4665" s="894">
        <f t="shared" si="295"/>
        <v>0</v>
      </c>
    </row>
    <row r="4666" spans="1:18">
      <c r="A4666" s="955"/>
      <c r="B4666" s="914" t="s">
        <v>3974</v>
      </c>
      <c r="C4666" s="971">
        <v>817</v>
      </c>
      <c r="D4666" s="907" t="s">
        <v>93</v>
      </c>
      <c r="E4666" s="972" t="s">
        <v>5555</v>
      </c>
      <c r="F4666" s="986" t="s">
        <v>2673</v>
      </c>
      <c r="G4666" s="974"/>
      <c r="H4666" s="975">
        <v>0.2</v>
      </c>
      <c r="I4666" s="976"/>
      <c r="J4666" s="976"/>
      <c r="K4666" s="912"/>
      <c r="L4666" s="912"/>
      <c r="M4666" s="912">
        <f>VLOOKUP(B4666,MTC!$B$9:$S$933,12,0)</f>
        <v>0</v>
      </c>
      <c r="N4666" s="912">
        <f>M4666*H4666</f>
        <v>0</v>
      </c>
      <c r="O4666" s="892">
        <f t="shared" si="292"/>
        <v>0</v>
      </c>
      <c r="P4666" s="903">
        <f t="shared" si="293"/>
        <v>1</v>
      </c>
      <c r="Q4666" s="893">
        <f t="shared" si="294"/>
        <v>1</v>
      </c>
      <c r="R4666" s="894">
        <f t="shared" si="295"/>
        <v>0</v>
      </c>
    </row>
    <row r="4667" spans="1:18" s="847" customFormat="1" ht="31.5">
      <c r="A4667" s="955"/>
      <c r="B4667" s="953" t="s">
        <v>5576</v>
      </c>
      <c r="C4667" s="956"/>
      <c r="D4667" s="956"/>
      <c r="E4667" s="957" t="s">
        <v>5577</v>
      </c>
      <c r="F4667" s="958" t="s">
        <v>150</v>
      </c>
      <c r="G4667" s="959"/>
      <c r="H4667" s="960"/>
      <c r="I4667" s="961"/>
      <c r="J4667" s="891">
        <f>SUM(J4668:J4675)</f>
        <v>305818.19</v>
      </c>
      <c r="K4667" s="891"/>
      <c r="L4667" s="891">
        <f>SUM(L4668:L4675)</f>
        <v>3341198.75</v>
      </c>
      <c r="M4667" s="891"/>
      <c r="N4667" s="891">
        <f>SUM(N4668:N4675)</f>
        <v>0</v>
      </c>
      <c r="O4667" s="892">
        <f t="shared" si="292"/>
        <v>1</v>
      </c>
      <c r="P4667" s="903">
        <f t="shared" si="293"/>
        <v>0</v>
      </c>
      <c r="Q4667" s="893">
        <f t="shared" si="294"/>
        <v>0</v>
      </c>
      <c r="R4667" s="894">
        <f t="shared" si="295"/>
        <v>8</v>
      </c>
    </row>
    <row r="4668" spans="1:18" s="904" customFormat="1">
      <c r="A4668" s="963"/>
      <c r="B4668" s="964"/>
      <c r="C4668" s="965"/>
      <c r="D4668" s="965"/>
      <c r="E4668" s="966" t="s">
        <v>108</v>
      </c>
      <c r="F4668" s="967"/>
      <c r="G4668" s="968"/>
      <c r="H4668" s="969"/>
      <c r="I4668" s="970"/>
      <c r="J4668" s="970"/>
      <c r="K4668" s="912" t="s">
        <v>274</v>
      </c>
      <c r="L4668" s="970"/>
      <c r="M4668" s="970"/>
      <c r="N4668" s="970"/>
      <c r="O4668" s="892">
        <f t="shared" si="292"/>
        <v>0</v>
      </c>
      <c r="P4668" s="903">
        <f t="shared" si="293"/>
        <v>1</v>
      </c>
      <c r="Q4668" s="893">
        <f t="shared" si="294"/>
        <v>8</v>
      </c>
      <c r="R4668" s="894">
        <f t="shared" si="295"/>
        <v>0</v>
      </c>
    </row>
    <row r="4669" spans="1:18">
      <c r="A4669" s="955"/>
      <c r="B4669" s="953"/>
      <c r="C4669" s="971">
        <v>55</v>
      </c>
      <c r="D4669" s="907" t="s">
        <v>279</v>
      </c>
      <c r="E4669" s="925" t="s">
        <v>3192</v>
      </c>
      <c r="F4669" s="973" t="s">
        <v>45</v>
      </c>
      <c r="G4669" s="974"/>
      <c r="H4669" s="975">
        <v>0.03</v>
      </c>
      <c r="I4669" s="912">
        <f>VLOOKUP(E4669,[3]VLP!$B$7:$K$300,10,0)</f>
        <v>2273</v>
      </c>
      <c r="J4669" s="912">
        <f>I4669*H4669</f>
        <v>68.19</v>
      </c>
      <c r="K4669" s="912" t="s">
        <v>274</v>
      </c>
      <c r="L4669" s="976"/>
      <c r="M4669" s="976"/>
      <c r="N4669" s="976"/>
      <c r="O4669" s="892">
        <f t="shared" si="292"/>
        <v>0</v>
      </c>
      <c r="P4669" s="903">
        <f t="shared" si="293"/>
        <v>1</v>
      </c>
      <c r="Q4669" s="893">
        <f t="shared" si="294"/>
        <v>7</v>
      </c>
      <c r="R4669" s="894">
        <f t="shared" si="295"/>
        <v>0</v>
      </c>
    </row>
    <row r="4670" spans="1:18">
      <c r="A4670" s="955"/>
      <c r="B4670" s="953"/>
      <c r="C4670" s="971">
        <v>44</v>
      </c>
      <c r="D4670" s="907" t="s">
        <v>279</v>
      </c>
      <c r="E4670" s="972" t="s">
        <v>2681</v>
      </c>
      <c r="F4670" s="973" t="s">
        <v>45</v>
      </c>
      <c r="G4670" s="974"/>
      <c r="H4670" s="975">
        <v>0.25</v>
      </c>
      <c r="I4670" s="912">
        <f>VLOOKUP(E4670,[3]VLP!$B$7:$K$300,10,0)</f>
        <v>23000</v>
      </c>
      <c r="J4670" s="912">
        <f>I4670*H4670</f>
        <v>5750</v>
      </c>
      <c r="K4670" s="912" t="s">
        <v>274</v>
      </c>
      <c r="L4670" s="976"/>
      <c r="M4670" s="976"/>
      <c r="N4670" s="976"/>
      <c r="O4670" s="892">
        <f t="shared" si="292"/>
        <v>0</v>
      </c>
      <c r="P4670" s="903">
        <f t="shared" si="293"/>
        <v>1</v>
      </c>
      <c r="Q4670" s="893">
        <f t="shared" si="294"/>
        <v>6</v>
      </c>
      <c r="R4670" s="894">
        <f t="shared" si="295"/>
        <v>0</v>
      </c>
    </row>
    <row r="4671" spans="1:18">
      <c r="A4671" s="955"/>
      <c r="B4671" s="953"/>
      <c r="C4671" s="971">
        <v>124</v>
      </c>
      <c r="D4671" s="907" t="s">
        <v>279</v>
      </c>
      <c r="E4671" s="972" t="s">
        <v>5432</v>
      </c>
      <c r="F4671" s="973" t="s">
        <v>3272</v>
      </c>
      <c r="G4671" s="974"/>
      <c r="H4671" s="975">
        <v>15</v>
      </c>
      <c r="I4671" s="912">
        <f>VLOOKUP(E4671,[3]VLP!$B$7:$K$300,10,0)</f>
        <v>20000</v>
      </c>
      <c r="J4671" s="912">
        <f>I4671*H4671</f>
        <v>300000</v>
      </c>
      <c r="K4671" s="912" t="s">
        <v>274</v>
      </c>
      <c r="L4671" s="976"/>
      <c r="M4671" s="976"/>
      <c r="N4671" s="976"/>
      <c r="O4671" s="892">
        <f t="shared" si="292"/>
        <v>0</v>
      </c>
      <c r="P4671" s="903">
        <f t="shared" si="293"/>
        <v>1</v>
      </c>
      <c r="Q4671" s="893">
        <f t="shared" si="294"/>
        <v>5</v>
      </c>
      <c r="R4671" s="894">
        <f t="shared" si="295"/>
        <v>0</v>
      </c>
    </row>
    <row r="4672" spans="1:18" s="904" customFormat="1">
      <c r="A4672" s="963"/>
      <c r="B4672" s="964"/>
      <c r="C4672" s="965"/>
      <c r="D4672" s="965"/>
      <c r="E4672" s="982" t="s">
        <v>276</v>
      </c>
      <c r="F4672" s="983"/>
      <c r="G4672" s="984"/>
      <c r="H4672" s="969"/>
      <c r="I4672" s="970"/>
      <c r="J4672" s="970"/>
      <c r="K4672" s="912" t="s">
        <v>274</v>
      </c>
      <c r="L4672" s="970"/>
      <c r="M4672" s="970"/>
      <c r="N4672" s="970"/>
      <c r="O4672" s="892">
        <f t="shared" si="292"/>
        <v>0</v>
      </c>
      <c r="P4672" s="903">
        <f t="shared" si="293"/>
        <v>1</v>
      </c>
      <c r="Q4672" s="893">
        <f t="shared" si="294"/>
        <v>4</v>
      </c>
      <c r="R4672" s="894">
        <f t="shared" si="295"/>
        <v>0</v>
      </c>
    </row>
    <row r="4673" spans="1:18">
      <c r="A4673" s="955"/>
      <c r="B4673" s="953"/>
      <c r="C4673" s="971">
        <v>740</v>
      </c>
      <c r="D4673" s="907" t="s">
        <v>12</v>
      </c>
      <c r="E4673" s="985" t="s">
        <v>4008</v>
      </c>
      <c r="F4673" s="986" t="s">
        <v>2674</v>
      </c>
      <c r="G4673" s="974"/>
      <c r="H4673" s="975">
        <v>15.11</v>
      </c>
      <c r="I4673" s="976"/>
      <c r="J4673" s="976"/>
      <c r="K4673" s="912">
        <f>VLOOKUP(E4673,[5]ĐMNC!$A$7:$F$67,4,0)</f>
        <v>221125</v>
      </c>
      <c r="L4673" s="912">
        <f>H4673*K4673</f>
        <v>3341198.75</v>
      </c>
      <c r="M4673" s="912"/>
      <c r="N4673" s="912"/>
      <c r="O4673" s="892">
        <f t="shared" si="292"/>
        <v>0</v>
      </c>
      <c r="P4673" s="903">
        <f t="shared" si="293"/>
        <v>1</v>
      </c>
      <c r="Q4673" s="893">
        <f t="shared" si="294"/>
        <v>3</v>
      </c>
      <c r="R4673" s="894">
        <f t="shared" si="295"/>
        <v>0</v>
      </c>
    </row>
    <row r="4674" spans="1:18" s="904" customFormat="1">
      <c r="A4674" s="963"/>
      <c r="B4674" s="964"/>
      <c r="C4674" s="965"/>
      <c r="D4674" s="965"/>
      <c r="E4674" s="966" t="s">
        <v>3914</v>
      </c>
      <c r="F4674" s="967"/>
      <c r="G4674" s="984"/>
      <c r="H4674" s="969"/>
      <c r="I4674" s="970"/>
      <c r="J4674" s="970"/>
      <c r="K4674" s="912" t="s">
        <v>274</v>
      </c>
      <c r="L4674" s="970"/>
      <c r="M4674" s="970"/>
      <c r="N4674" s="970"/>
      <c r="O4674" s="892">
        <f t="shared" si="292"/>
        <v>0</v>
      </c>
      <c r="P4674" s="903">
        <f t="shared" si="293"/>
        <v>1</v>
      </c>
      <c r="Q4674" s="893">
        <f t="shared" si="294"/>
        <v>2</v>
      </c>
      <c r="R4674" s="894">
        <f t="shared" si="295"/>
        <v>0</v>
      </c>
    </row>
    <row r="4675" spans="1:18">
      <c r="A4675" s="955"/>
      <c r="B4675" s="914" t="s">
        <v>3974</v>
      </c>
      <c r="C4675" s="971">
        <v>817</v>
      </c>
      <c r="D4675" s="907" t="s">
        <v>93</v>
      </c>
      <c r="E4675" s="972" t="s">
        <v>5555</v>
      </c>
      <c r="F4675" s="986" t="s">
        <v>2673</v>
      </c>
      <c r="G4675" s="974"/>
      <c r="H4675" s="975">
        <v>0.2</v>
      </c>
      <c r="I4675" s="976"/>
      <c r="J4675" s="976"/>
      <c r="K4675" s="912"/>
      <c r="L4675" s="912"/>
      <c r="M4675" s="912">
        <f>VLOOKUP(B4675,MTC!$B$9:$S$933,12,0)</f>
        <v>0</v>
      </c>
      <c r="N4675" s="912">
        <f>M4675*H4675</f>
        <v>0</v>
      </c>
      <c r="O4675" s="892">
        <f t="shared" si="292"/>
        <v>0</v>
      </c>
      <c r="P4675" s="903">
        <f t="shared" si="293"/>
        <v>1</v>
      </c>
      <c r="Q4675" s="893">
        <f t="shared" si="294"/>
        <v>1</v>
      </c>
      <c r="R4675" s="894">
        <f t="shared" si="295"/>
        <v>0</v>
      </c>
    </row>
    <row r="4676" spans="1:18" s="847" customFormat="1" ht="31.5">
      <c r="A4676" s="955"/>
      <c r="B4676" s="953" t="s">
        <v>5578</v>
      </c>
      <c r="C4676" s="956"/>
      <c r="D4676" s="956"/>
      <c r="E4676" s="957" t="s">
        <v>5579</v>
      </c>
      <c r="F4676" s="958" t="s">
        <v>150</v>
      </c>
      <c r="G4676" s="959"/>
      <c r="H4676" s="960"/>
      <c r="I4676" s="961"/>
      <c r="J4676" s="891">
        <f>SUM(J4677:J4684)</f>
        <v>305818.19</v>
      </c>
      <c r="K4676" s="891"/>
      <c r="L4676" s="891">
        <f>SUM(L4677:L4684)</f>
        <v>4011207.5</v>
      </c>
      <c r="M4676" s="891"/>
      <c r="N4676" s="891">
        <f>SUM(N4677:N4684)</f>
        <v>0</v>
      </c>
      <c r="O4676" s="892">
        <f t="shared" si="292"/>
        <v>1</v>
      </c>
      <c r="P4676" s="903">
        <f t="shared" si="293"/>
        <v>0</v>
      </c>
      <c r="Q4676" s="893">
        <f t="shared" si="294"/>
        <v>0</v>
      </c>
      <c r="R4676" s="894">
        <f t="shared" si="295"/>
        <v>8</v>
      </c>
    </row>
    <row r="4677" spans="1:18" s="904" customFormat="1">
      <c r="A4677" s="963"/>
      <c r="B4677" s="964"/>
      <c r="C4677" s="965"/>
      <c r="D4677" s="965"/>
      <c r="E4677" s="966" t="s">
        <v>108</v>
      </c>
      <c r="F4677" s="967"/>
      <c r="G4677" s="968"/>
      <c r="H4677" s="969"/>
      <c r="I4677" s="970"/>
      <c r="J4677" s="970"/>
      <c r="K4677" s="912" t="s">
        <v>274</v>
      </c>
      <c r="L4677" s="970"/>
      <c r="M4677" s="970"/>
      <c r="N4677" s="970"/>
      <c r="O4677" s="892">
        <f t="shared" si="292"/>
        <v>0</v>
      </c>
      <c r="P4677" s="903">
        <f t="shared" si="293"/>
        <v>1</v>
      </c>
      <c r="Q4677" s="893">
        <f t="shared" si="294"/>
        <v>8</v>
      </c>
      <c r="R4677" s="894">
        <f t="shared" si="295"/>
        <v>0</v>
      </c>
    </row>
    <row r="4678" spans="1:18">
      <c r="A4678" s="955"/>
      <c r="B4678" s="953"/>
      <c r="C4678" s="971">
        <v>55</v>
      </c>
      <c r="D4678" s="907" t="s">
        <v>279</v>
      </c>
      <c r="E4678" s="925" t="s">
        <v>3192</v>
      </c>
      <c r="F4678" s="973" t="s">
        <v>45</v>
      </c>
      <c r="G4678" s="974"/>
      <c r="H4678" s="975">
        <v>0.03</v>
      </c>
      <c r="I4678" s="912">
        <f>VLOOKUP(E4678,[3]VLP!$B$7:$K$300,10,0)</f>
        <v>2273</v>
      </c>
      <c r="J4678" s="912">
        <f>I4678*H4678</f>
        <v>68.19</v>
      </c>
      <c r="K4678" s="912" t="s">
        <v>274</v>
      </c>
      <c r="L4678" s="976"/>
      <c r="M4678" s="976"/>
      <c r="N4678" s="976"/>
      <c r="O4678" s="892">
        <f t="shared" si="292"/>
        <v>0</v>
      </c>
      <c r="P4678" s="903">
        <f t="shared" si="293"/>
        <v>1</v>
      </c>
      <c r="Q4678" s="893">
        <f t="shared" si="294"/>
        <v>7</v>
      </c>
      <c r="R4678" s="894">
        <f t="shared" si="295"/>
        <v>0</v>
      </c>
    </row>
    <row r="4679" spans="1:18">
      <c r="A4679" s="955"/>
      <c r="B4679" s="953"/>
      <c r="C4679" s="971">
        <v>44</v>
      </c>
      <c r="D4679" s="907" t="s">
        <v>279</v>
      </c>
      <c r="E4679" s="972" t="s">
        <v>2681</v>
      </c>
      <c r="F4679" s="973" t="s">
        <v>45</v>
      </c>
      <c r="G4679" s="974"/>
      <c r="H4679" s="975">
        <v>0.25</v>
      </c>
      <c r="I4679" s="912">
        <f>VLOOKUP(E4679,[3]VLP!$B$7:$K$300,10,0)</f>
        <v>23000</v>
      </c>
      <c r="J4679" s="912">
        <f>I4679*H4679</f>
        <v>5750</v>
      </c>
      <c r="K4679" s="912" t="s">
        <v>274</v>
      </c>
      <c r="L4679" s="976"/>
      <c r="M4679" s="976"/>
      <c r="N4679" s="976"/>
      <c r="O4679" s="892">
        <f t="shared" si="292"/>
        <v>0</v>
      </c>
      <c r="P4679" s="903">
        <f t="shared" si="293"/>
        <v>1</v>
      </c>
      <c r="Q4679" s="893">
        <f t="shared" si="294"/>
        <v>6</v>
      </c>
      <c r="R4679" s="894">
        <f t="shared" si="295"/>
        <v>0</v>
      </c>
    </row>
    <row r="4680" spans="1:18">
      <c r="A4680" s="955"/>
      <c r="B4680" s="953"/>
      <c r="C4680" s="971">
        <v>124</v>
      </c>
      <c r="D4680" s="907" t="s">
        <v>279</v>
      </c>
      <c r="E4680" s="972" t="s">
        <v>5432</v>
      </c>
      <c r="F4680" s="973" t="s">
        <v>3272</v>
      </c>
      <c r="G4680" s="974"/>
      <c r="H4680" s="975">
        <v>15</v>
      </c>
      <c r="I4680" s="912">
        <f>VLOOKUP(E4680,[3]VLP!$B$7:$K$300,10,0)</f>
        <v>20000</v>
      </c>
      <c r="J4680" s="912">
        <f>I4680*H4680</f>
        <v>300000</v>
      </c>
      <c r="K4680" s="912" t="s">
        <v>274</v>
      </c>
      <c r="L4680" s="976"/>
      <c r="M4680" s="976"/>
      <c r="N4680" s="976"/>
      <c r="O4680" s="892">
        <f t="shared" si="292"/>
        <v>0</v>
      </c>
      <c r="P4680" s="903">
        <f t="shared" si="293"/>
        <v>1</v>
      </c>
      <c r="Q4680" s="893">
        <f t="shared" si="294"/>
        <v>5</v>
      </c>
      <c r="R4680" s="894">
        <f t="shared" si="295"/>
        <v>0</v>
      </c>
    </row>
    <row r="4681" spans="1:18" s="904" customFormat="1">
      <c r="A4681" s="963"/>
      <c r="B4681" s="964"/>
      <c r="C4681" s="965"/>
      <c r="D4681" s="965"/>
      <c r="E4681" s="982" t="s">
        <v>276</v>
      </c>
      <c r="F4681" s="983"/>
      <c r="G4681" s="984"/>
      <c r="H4681" s="969"/>
      <c r="I4681" s="970"/>
      <c r="J4681" s="970"/>
      <c r="K4681" s="912" t="s">
        <v>274</v>
      </c>
      <c r="L4681" s="970"/>
      <c r="M4681" s="970"/>
      <c r="N4681" s="970"/>
      <c r="O4681" s="892">
        <f t="shared" si="292"/>
        <v>0</v>
      </c>
      <c r="P4681" s="903">
        <f t="shared" si="293"/>
        <v>1</v>
      </c>
      <c r="Q4681" s="893">
        <f t="shared" si="294"/>
        <v>4</v>
      </c>
      <c r="R4681" s="894">
        <f t="shared" si="295"/>
        <v>0</v>
      </c>
    </row>
    <row r="4682" spans="1:18">
      <c r="A4682" s="955"/>
      <c r="B4682" s="953"/>
      <c r="C4682" s="971">
        <v>740</v>
      </c>
      <c r="D4682" s="907" t="s">
        <v>12</v>
      </c>
      <c r="E4682" s="985" t="s">
        <v>4008</v>
      </c>
      <c r="F4682" s="986" t="s">
        <v>2674</v>
      </c>
      <c r="G4682" s="974"/>
      <c r="H4682" s="975">
        <v>18.14</v>
      </c>
      <c r="I4682" s="976"/>
      <c r="J4682" s="976"/>
      <c r="K4682" s="912">
        <f>VLOOKUP(E4682,[5]ĐMNC!$A$7:$F$67,4,0)</f>
        <v>221125</v>
      </c>
      <c r="L4682" s="912">
        <f>H4682*K4682</f>
        <v>4011207.5</v>
      </c>
      <c r="M4682" s="912"/>
      <c r="N4682" s="912"/>
      <c r="O4682" s="892">
        <f t="shared" si="292"/>
        <v>0</v>
      </c>
      <c r="P4682" s="903">
        <f t="shared" si="293"/>
        <v>1</v>
      </c>
      <c r="Q4682" s="893">
        <f t="shared" si="294"/>
        <v>3</v>
      </c>
      <c r="R4682" s="894">
        <f t="shared" si="295"/>
        <v>0</v>
      </c>
    </row>
    <row r="4683" spans="1:18" s="904" customFormat="1">
      <c r="A4683" s="963"/>
      <c r="B4683" s="964"/>
      <c r="C4683" s="965"/>
      <c r="D4683" s="965"/>
      <c r="E4683" s="966" t="s">
        <v>3914</v>
      </c>
      <c r="F4683" s="967"/>
      <c r="G4683" s="984"/>
      <c r="H4683" s="969"/>
      <c r="I4683" s="970"/>
      <c r="J4683" s="970"/>
      <c r="K4683" s="912" t="s">
        <v>274</v>
      </c>
      <c r="L4683" s="970"/>
      <c r="M4683" s="970"/>
      <c r="N4683" s="970"/>
      <c r="O4683" s="892">
        <f t="shared" si="292"/>
        <v>0</v>
      </c>
      <c r="P4683" s="903">
        <f t="shared" si="293"/>
        <v>1</v>
      </c>
      <c r="Q4683" s="893">
        <f t="shared" si="294"/>
        <v>2</v>
      </c>
      <c r="R4683" s="894">
        <f t="shared" si="295"/>
        <v>0</v>
      </c>
    </row>
    <row r="4684" spans="1:18">
      <c r="A4684" s="955"/>
      <c r="B4684" s="914" t="s">
        <v>3974</v>
      </c>
      <c r="C4684" s="971">
        <v>817</v>
      </c>
      <c r="D4684" s="907" t="s">
        <v>93</v>
      </c>
      <c r="E4684" s="972" t="s">
        <v>5555</v>
      </c>
      <c r="F4684" s="986" t="s">
        <v>2673</v>
      </c>
      <c r="G4684" s="974"/>
      <c r="H4684" s="975">
        <v>0.2</v>
      </c>
      <c r="I4684" s="976"/>
      <c r="J4684" s="976"/>
      <c r="K4684" s="912"/>
      <c r="L4684" s="912"/>
      <c r="M4684" s="912">
        <f>VLOOKUP(B4684,MTC!$B$9:$S$933,12,0)</f>
        <v>0</v>
      </c>
      <c r="N4684" s="912">
        <f>M4684*H4684</f>
        <v>0</v>
      </c>
      <c r="O4684" s="892">
        <f t="shared" si="292"/>
        <v>0</v>
      </c>
      <c r="P4684" s="903">
        <f t="shared" si="293"/>
        <v>1</v>
      </c>
      <c r="Q4684" s="893">
        <f t="shared" si="294"/>
        <v>1</v>
      </c>
      <c r="R4684" s="894">
        <f t="shared" si="295"/>
        <v>0</v>
      </c>
    </row>
    <row r="4685" spans="1:18" s="847" customFormat="1" ht="31.5">
      <c r="A4685" s="955"/>
      <c r="B4685" s="953" t="s">
        <v>5580</v>
      </c>
      <c r="C4685" s="956"/>
      <c r="D4685" s="956"/>
      <c r="E4685" s="957" t="s">
        <v>5581</v>
      </c>
      <c r="F4685" s="958" t="s">
        <v>150</v>
      </c>
      <c r="G4685" s="959"/>
      <c r="H4685" s="960"/>
      <c r="I4685" s="961"/>
      <c r="J4685" s="891">
        <f>SUM(J4686:J4693)</f>
        <v>304668.19</v>
      </c>
      <c r="K4685" s="891"/>
      <c r="L4685" s="891">
        <f>SUM(L4686:L4693)</f>
        <v>2105110</v>
      </c>
      <c r="M4685" s="891"/>
      <c r="N4685" s="891">
        <f>SUM(N4686:N4693)</f>
        <v>0</v>
      </c>
      <c r="O4685" s="892">
        <f t="shared" si="292"/>
        <v>1</v>
      </c>
      <c r="P4685" s="903">
        <f t="shared" si="293"/>
        <v>0</v>
      </c>
      <c r="Q4685" s="893">
        <f t="shared" si="294"/>
        <v>0</v>
      </c>
      <c r="R4685" s="894">
        <f t="shared" si="295"/>
        <v>8</v>
      </c>
    </row>
    <row r="4686" spans="1:18" s="904" customFormat="1">
      <c r="A4686" s="963"/>
      <c r="B4686" s="964"/>
      <c r="C4686" s="965"/>
      <c r="D4686" s="965"/>
      <c r="E4686" s="966" t="s">
        <v>108</v>
      </c>
      <c r="F4686" s="967"/>
      <c r="G4686" s="968"/>
      <c r="H4686" s="969"/>
      <c r="I4686" s="970"/>
      <c r="J4686" s="970"/>
      <c r="K4686" s="912" t="s">
        <v>274</v>
      </c>
      <c r="L4686" s="970"/>
      <c r="M4686" s="970"/>
      <c r="N4686" s="970"/>
      <c r="O4686" s="892">
        <f t="shared" si="292"/>
        <v>0</v>
      </c>
      <c r="P4686" s="903">
        <f t="shared" si="293"/>
        <v>1</v>
      </c>
      <c r="Q4686" s="893">
        <f t="shared" si="294"/>
        <v>8</v>
      </c>
      <c r="R4686" s="894">
        <f t="shared" si="295"/>
        <v>0</v>
      </c>
    </row>
    <row r="4687" spans="1:18">
      <c r="A4687" s="955"/>
      <c r="B4687" s="953"/>
      <c r="C4687" s="971">
        <v>55</v>
      </c>
      <c r="D4687" s="907" t="s">
        <v>279</v>
      </c>
      <c r="E4687" s="925" t="s">
        <v>3192</v>
      </c>
      <c r="F4687" s="973" t="s">
        <v>45</v>
      </c>
      <c r="G4687" s="974"/>
      <c r="H4687" s="975">
        <v>0.03</v>
      </c>
      <c r="I4687" s="912">
        <f>VLOOKUP(E4687,[3]VLP!$B$7:$K$300,10,0)</f>
        <v>2273</v>
      </c>
      <c r="J4687" s="912">
        <f>I4687*H4687</f>
        <v>68.19</v>
      </c>
      <c r="K4687" s="912" t="s">
        <v>274</v>
      </c>
      <c r="L4687" s="976"/>
      <c r="M4687" s="976"/>
      <c r="N4687" s="976"/>
      <c r="O4687" s="892">
        <f t="shared" si="292"/>
        <v>0</v>
      </c>
      <c r="P4687" s="903">
        <f t="shared" si="293"/>
        <v>1</v>
      </c>
      <c r="Q4687" s="893">
        <f t="shared" si="294"/>
        <v>7</v>
      </c>
      <c r="R4687" s="894">
        <f t="shared" si="295"/>
        <v>0</v>
      </c>
    </row>
    <row r="4688" spans="1:18">
      <c r="A4688" s="955"/>
      <c r="B4688" s="953"/>
      <c r="C4688" s="971">
        <v>44</v>
      </c>
      <c r="D4688" s="907" t="s">
        <v>279</v>
      </c>
      <c r="E4688" s="972" t="s">
        <v>2681</v>
      </c>
      <c r="F4688" s="973" t="s">
        <v>45</v>
      </c>
      <c r="G4688" s="974"/>
      <c r="H4688" s="975">
        <v>0.2</v>
      </c>
      <c r="I4688" s="912">
        <f>VLOOKUP(E4688,[3]VLP!$B$7:$K$300,10,0)</f>
        <v>23000</v>
      </c>
      <c r="J4688" s="912">
        <f>I4688*H4688</f>
        <v>4600</v>
      </c>
      <c r="K4688" s="912" t="s">
        <v>274</v>
      </c>
      <c r="L4688" s="976"/>
      <c r="M4688" s="976"/>
      <c r="N4688" s="976"/>
      <c r="O4688" s="892">
        <f t="shared" si="292"/>
        <v>0</v>
      </c>
      <c r="P4688" s="903">
        <f t="shared" si="293"/>
        <v>1</v>
      </c>
      <c r="Q4688" s="893">
        <f t="shared" si="294"/>
        <v>6</v>
      </c>
      <c r="R4688" s="894">
        <f t="shared" si="295"/>
        <v>0</v>
      </c>
    </row>
    <row r="4689" spans="1:18">
      <c r="A4689" s="955"/>
      <c r="B4689" s="953"/>
      <c r="C4689" s="971">
        <v>124</v>
      </c>
      <c r="D4689" s="907" t="s">
        <v>279</v>
      </c>
      <c r="E4689" s="972" t="s">
        <v>5432</v>
      </c>
      <c r="F4689" s="973" t="s">
        <v>3272</v>
      </c>
      <c r="G4689" s="974"/>
      <c r="H4689" s="975">
        <v>15</v>
      </c>
      <c r="I4689" s="912">
        <f>VLOOKUP(E4689,[3]VLP!$B$7:$K$300,10,0)</f>
        <v>20000</v>
      </c>
      <c r="J4689" s="912">
        <f>I4689*H4689</f>
        <v>300000</v>
      </c>
      <c r="K4689" s="912" t="s">
        <v>274</v>
      </c>
      <c r="L4689" s="976"/>
      <c r="M4689" s="976"/>
      <c r="N4689" s="976"/>
      <c r="O4689" s="892">
        <f t="shared" si="292"/>
        <v>0</v>
      </c>
      <c r="P4689" s="903">
        <f t="shared" si="293"/>
        <v>1</v>
      </c>
      <c r="Q4689" s="893">
        <f t="shared" si="294"/>
        <v>5</v>
      </c>
      <c r="R4689" s="894">
        <f t="shared" si="295"/>
        <v>0</v>
      </c>
    </row>
    <row r="4690" spans="1:18" s="904" customFormat="1">
      <c r="A4690" s="963"/>
      <c r="B4690" s="964"/>
      <c r="C4690" s="965"/>
      <c r="D4690" s="965"/>
      <c r="E4690" s="982" t="s">
        <v>276</v>
      </c>
      <c r="F4690" s="983"/>
      <c r="G4690" s="984"/>
      <c r="H4690" s="969"/>
      <c r="I4690" s="970"/>
      <c r="J4690" s="970"/>
      <c r="K4690" s="912" t="s">
        <v>274</v>
      </c>
      <c r="L4690" s="970"/>
      <c r="M4690" s="970"/>
      <c r="N4690" s="970"/>
      <c r="O4690" s="892">
        <f t="shared" si="292"/>
        <v>0</v>
      </c>
      <c r="P4690" s="903">
        <f t="shared" si="293"/>
        <v>1</v>
      </c>
      <c r="Q4690" s="893">
        <f t="shared" si="294"/>
        <v>4</v>
      </c>
      <c r="R4690" s="894">
        <f t="shared" si="295"/>
        <v>0</v>
      </c>
    </row>
    <row r="4691" spans="1:18">
      <c r="A4691" s="955"/>
      <c r="B4691" s="953"/>
      <c r="C4691" s="971">
        <v>740</v>
      </c>
      <c r="D4691" s="907" t="s">
        <v>12</v>
      </c>
      <c r="E4691" s="985" t="s">
        <v>4008</v>
      </c>
      <c r="F4691" s="986" t="s">
        <v>2674</v>
      </c>
      <c r="G4691" s="974"/>
      <c r="H4691" s="975">
        <v>9.52</v>
      </c>
      <c r="I4691" s="976"/>
      <c r="J4691" s="976"/>
      <c r="K4691" s="912">
        <f>VLOOKUP(E4691,[5]ĐMNC!$A$7:$F$67,4,0)</f>
        <v>221125</v>
      </c>
      <c r="L4691" s="912">
        <f>H4691*K4691</f>
        <v>2105110</v>
      </c>
      <c r="M4691" s="912"/>
      <c r="N4691" s="912"/>
      <c r="O4691" s="892">
        <f t="shared" si="292"/>
        <v>0</v>
      </c>
      <c r="P4691" s="903">
        <f t="shared" si="293"/>
        <v>1</v>
      </c>
      <c r="Q4691" s="893">
        <f t="shared" si="294"/>
        <v>3</v>
      </c>
      <c r="R4691" s="894">
        <f t="shared" si="295"/>
        <v>0</v>
      </c>
    </row>
    <row r="4692" spans="1:18" s="904" customFormat="1">
      <c r="A4692" s="963"/>
      <c r="B4692" s="964"/>
      <c r="C4692" s="965"/>
      <c r="D4692" s="965"/>
      <c r="E4692" s="966" t="s">
        <v>3914</v>
      </c>
      <c r="F4692" s="967"/>
      <c r="G4692" s="984"/>
      <c r="H4692" s="969"/>
      <c r="I4692" s="970"/>
      <c r="J4692" s="970"/>
      <c r="K4692" s="912" t="s">
        <v>274</v>
      </c>
      <c r="L4692" s="970"/>
      <c r="M4692" s="970"/>
      <c r="N4692" s="970"/>
      <c r="O4692" s="892">
        <f t="shared" si="292"/>
        <v>0</v>
      </c>
      <c r="P4692" s="903">
        <f t="shared" si="293"/>
        <v>1</v>
      </c>
      <c r="Q4692" s="893">
        <f t="shared" si="294"/>
        <v>2</v>
      </c>
      <c r="R4692" s="894">
        <f t="shared" si="295"/>
        <v>0</v>
      </c>
    </row>
    <row r="4693" spans="1:18">
      <c r="A4693" s="955"/>
      <c r="B4693" s="914" t="s">
        <v>3974</v>
      </c>
      <c r="C4693" s="971">
        <v>817</v>
      </c>
      <c r="D4693" s="907" t="s">
        <v>93</v>
      </c>
      <c r="E4693" s="972" t="s">
        <v>5555</v>
      </c>
      <c r="F4693" s="986" t="s">
        <v>2673</v>
      </c>
      <c r="G4693" s="974"/>
      <c r="H4693" s="975">
        <v>0.2</v>
      </c>
      <c r="I4693" s="976"/>
      <c r="J4693" s="976"/>
      <c r="K4693" s="912"/>
      <c r="L4693" s="912"/>
      <c r="M4693" s="912">
        <f>VLOOKUP(B4693,MTC!$B$9:$S$933,12,0)</f>
        <v>0</v>
      </c>
      <c r="N4693" s="912">
        <f>M4693*H4693</f>
        <v>0</v>
      </c>
      <c r="O4693" s="892">
        <f t="shared" si="292"/>
        <v>0</v>
      </c>
      <c r="P4693" s="903">
        <f t="shared" si="293"/>
        <v>1</v>
      </c>
      <c r="Q4693" s="893">
        <f t="shared" si="294"/>
        <v>1</v>
      </c>
      <c r="R4693" s="894">
        <f t="shared" si="295"/>
        <v>0</v>
      </c>
    </row>
    <row r="4694" spans="1:18" s="847" customFormat="1" ht="31.5">
      <c r="A4694" s="955"/>
      <c r="B4694" s="953" t="s">
        <v>5582</v>
      </c>
      <c r="C4694" s="956"/>
      <c r="D4694" s="956"/>
      <c r="E4694" s="957" t="s">
        <v>5583</v>
      </c>
      <c r="F4694" s="958" t="s">
        <v>150</v>
      </c>
      <c r="G4694" s="959"/>
      <c r="H4694" s="960"/>
      <c r="I4694" s="961"/>
      <c r="J4694" s="891">
        <f>SUM(J4695:J4702)</f>
        <v>305818.19</v>
      </c>
      <c r="K4694" s="891"/>
      <c r="L4694" s="891">
        <f>SUM(L4695:L4702)</f>
        <v>2750795</v>
      </c>
      <c r="M4694" s="891"/>
      <c r="N4694" s="891">
        <f>SUM(N4695:N4702)</f>
        <v>0</v>
      </c>
      <c r="O4694" s="892">
        <f t="shared" si="292"/>
        <v>1</v>
      </c>
      <c r="P4694" s="903">
        <f t="shared" si="293"/>
        <v>0</v>
      </c>
      <c r="Q4694" s="893">
        <f t="shared" si="294"/>
        <v>0</v>
      </c>
      <c r="R4694" s="894">
        <f t="shared" si="295"/>
        <v>8</v>
      </c>
    </row>
    <row r="4695" spans="1:18" s="904" customFormat="1">
      <c r="A4695" s="963"/>
      <c r="B4695" s="964"/>
      <c r="C4695" s="965"/>
      <c r="D4695" s="965"/>
      <c r="E4695" s="966" t="s">
        <v>108</v>
      </c>
      <c r="F4695" s="967"/>
      <c r="G4695" s="968"/>
      <c r="H4695" s="969"/>
      <c r="I4695" s="970"/>
      <c r="J4695" s="970"/>
      <c r="K4695" s="912" t="s">
        <v>274</v>
      </c>
      <c r="L4695" s="970"/>
      <c r="M4695" s="970"/>
      <c r="N4695" s="970"/>
      <c r="O4695" s="892">
        <f t="shared" si="292"/>
        <v>0</v>
      </c>
      <c r="P4695" s="903">
        <f t="shared" si="293"/>
        <v>1</v>
      </c>
      <c r="Q4695" s="893">
        <f t="shared" si="294"/>
        <v>8</v>
      </c>
      <c r="R4695" s="894">
        <f t="shared" si="295"/>
        <v>0</v>
      </c>
    </row>
    <row r="4696" spans="1:18">
      <c r="A4696" s="955"/>
      <c r="B4696" s="953"/>
      <c r="C4696" s="971">
        <v>55</v>
      </c>
      <c r="D4696" s="907" t="s">
        <v>279</v>
      </c>
      <c r="E4696" s="925" t="s">
        <v>3192</v>
      </c>
      <c r="F4696" s="973" t="s">
        <v>45</v>
      </c>
      <c r="G4696" s="974"/>
      <c r="H4696" s="975">
        <v>0.03</v>
      </c>
      <c r="I4696" s="912">
        <f>VLOOKUP(E4696,[3]VLP!$B$7:$K$300,10,0)</f>
        <v>2273</v>
      </c>
      <c r="J4696" s="912">
        <f>I4696*H4696</f>
        <v>68.19</v>
      </c>
      <c r="K4696" s="912" t="s">
        <v>274</v>
      </c>
      <c r="L4696" s="976"/>
      <c r="M4696" s="976"/>
      <c r="N4696" s="976"/>
      <c r="O4696" s="892">
        <f t="shared" si="292"/>
        <v>0</v>
      </c>
      <c r="P4696" s="903">
        <f t="shared" si="293"/>
        <v>1</v>
      </c>
      <c r="Q4696" s="893">
        <f t="shared" si="294"/>
        <v>7</v>
      </c>
      <c r="R4696" s="894">
        <f t="shared" si="295"/>
        <v>0</v>
      </c>
    </row>
    <row r="4697" spans="1:18">
      <c r="A4697" s="955"/>
      <c r="B4697" s="953"/>
      <c r="C4697" s="971">
        <v>44</v>
      </c>
      <c r="D4697" s="907" t="s">
        <v>279</v>
      </c>
      <c r="E4697" s="972" t="s">
        <v>2681</v>
      </c>
      <c r="F4697" s="973" t="s">
        <v>45</v>
      </c>
      <c r="G4697" s="974"/>
      <c r="H4697" s="975">
        <v>0.25</v>
      </c>
      <c r="I4697" s="912">
        <f>VLOOKUP(E4697,[3]VLP!$B$7:$K$300,10,0)</f>
        <v>23000</v>
      </c>
      <c r="J4697" s="912">
        <f>I4697*H4697</f>
        <v>5750</v>
      </c>
      <c r="K4697" s="912" t="s">
        <v>274</v>
      </c>
      <c r="L4697" s="976"/>
      <c r="M4697" s="976"/>
      <c r="N4697" s="976"/>
      <c r="O4697" s="892">
        <f t="shared" si="292"/>
        <v>0</v>
      </c>
      <c r="P4697" s="903">
        <f t="shared" si="293"/>
        <v>1</v>
      </c>
      <c r="Q4697" s="893">
        <f t="shared" si="294"/>
        <v>6</v>
      </c>
      <c r="R4697" s="894">
        <f t="shared" si="295"/>
        <v>0</v>
      </c>
    </row>
    <row r="4698" spans="1:18">
      <c r="A4698" s="955"/>
      <c r="B4698" s="953"/>
      <c r="C4698" s="971">
        <v>124</v>
      </c>
      <c r="D4698" s="907" t="s">
        <v>279</v>
      </c>
      <c r="E4698" s="972" t="s">
        <v>5432</v>
      </c>
      <c r="F4698" s="973" t="s">
        <v>3272</v>
      </c>
      <c r="G4698" s="974"/>
      <c r="H4698" s="975">
        <v>15</v>
      </c>
      <c r="I4698" s="912">
        <f>VLOOKUP(E4698,[3]VLP!$B$7:$K$300,10,0)</f>
        <v>20000</v>
      </c>
      <c r="J4698" s="912">
        <f>I4698*H4698</f>
        <v>300000</v>
      </c>
      <c r="K4698" s="912" t="s">
        <v>274</v>
      </c>
      <c r="L4698" s="976"/>
      <c r="M4698" s="976"/>
      <c r="N4698" s="976"/>
      <c r="O4698" s="892">
        <f t="shared" si="292"/>
        <v>0</v>
      </c>
      <c r="P4698" s="903">
        <f t="shared" si="293"/>
        <v>1</v>
      </c>
      <c r="Q4698" s="893">
        <f t="shared" si="294"/>
        <v>5</v>
      </c>
      <c r="R4698" s="894">
        <f t="shared" si="295"/>
        <v>0</v>
      </c>
    </row>
    <row r="4699" spans="1:18" s="904" customFormat="1">
      <c r="A4699" s="963"/>
      <c r="B4699" s="964"/>
      <c r="C4699" s="965"/>
      <c r="D4699" s="965"/>
      <c r="E4699" s="982" t="s">
        <v>276</v>
      </c>
      <c r="F4699" s="983"/>
      <c r="G4699" s="984"/>
      <c r="H4699" s="969"/>
      <c r="I4699" s="970"/>
      <c r="J4699" s="970"/>
      <c r="K4699" s="912" t="s">
        <v>274</v>
      </c>
      <c r="L4699" s="970"/>
      <c r="M4699" s="970"/>
      <c r="N4699" s="970"/>
      <c r="O4699" s="892">
        <f t="shared" si="292"/>
        <v>0</v>
      </c>
      <c r="P4699" s="903">
        <f t="shared" si="293"/>
        <v>1</v>
      </c>
      <c r="Q4699" s="893">
        <f t="shared" si="294"/>
        <v>4</v>
      </c>
      <c r="R4699" s="894">
        <f t="shared" si="295"/>
        <v>0</v>
      </c>
    </row>
    <row r="4700" spans="1:18">
      <c r="A4700" s="955"/>
      <c r="B4700" s="953"/>
      <c r="C4700" s="971">
        <v>740</v>
      </c>
      <c r="D4700" s="907" t="s">
        <v>12</v>
      </c>
      <c r="E4700" s="985" t="s">
        <v>4008</v>
      </c>
      <c r="F4700" s="986" t="s">
        <v>2674</v>
      </c>
      <c r="G4700" s="974"/>
      <c r="H4700" s="975">
        <v>12.44</v>
      </c>
      <c r="I4700" s="976"/>
      <c r="J4700" s="976"/>
      <c r="K4700" s="912">
        <f>VLOOKUP(E4700,[5]ĐMNC!$A$7:$F$67,4,0)</f>
        <v>221125</v>
      </c>
      <c r="L4700" s="912">
        <f>H4700*K4700</f>
        <v>2750795</v>
      </c>
      <c r="M4700" s="912"/>
      <c r="N4700" s="912"/>
      <c r="O4700" s="892">
        <f t="shared" si="292"/>
        <v>0</v>
      </c>
      <c r="P4700" s="903">
        <f t="shared" si="293"/>
        <v>1</v>
      </c>
      <c r="Q4700" s="893">
        <f t="shared" si="294"/>
        <v>3</v>
      </c>
      <c r="R4700" s="894">
        <f t="shared" si="295"/>
        <v>0</v>
      </c>
    </row>
    <row r="4701" spans="1:18" s="904" customFormat="1">
      <c r="A4701" s="963"/>
      <c r="B4701" s="964"/>
      <c r="C4701" s="965"/>
      <c r="D4701" s="965"/>
      <c r="E4701" s="966" t="s">
        <v>3914</v>
      </c>
      <c r="F4701" s="967"/>
      <c r="G4701" s="984"/>
      <c r="H4701" s="969"/>
      <c r="I4701" s="970"/>
      <c r="J4701" s="970"/>
      <c r="K4701" s="912" t="s">
        <v>274</v>
      </c>
      <c r="L4701" s="970"/>
      <c r="M4701" s="970"/>
      <c r="N4701" s="970"/>
      <c r="O4701" s="892">
        <f t="shared" si="292"/>
        <v>0</v>
      </c>
      <c r="P4701" s="903">
        <f t="shared" si="293"/>
        <v>1</v>
      </c>
      <c r="Q4701" s="893">
        <f t="shared" si="294"/>
        <v>2</v>
      </c>
      <c r="R4701" s="894">
        <f t="shared" si="295"/>
        <v>0</v>
      </c>
    </row>
    <row r="4702" spans="1:18">
      <c r="A4702" s="955"/>
      <c r="B4702" s="914" t="s">
        <v>3974</v>
      </c>
      <c r="C4702" s="971">
        <v>817</v>
      </c>
      <c r="D4702" s="907" t="s">
        <v>93</v>
      </c>
      <c r="E4702" s="972" t="s">
        <v>5555</v>
      </c>
      <c r="F4702" s="986" t="s">
        <v>2673</v>
      </c>
      <c r="G4702" s="974"/>
      <c r="H4702" s="975">
        <v>0.2</v>
      </c>
      <c r="I4702" s="976"/>
      <c r="J4702" s="976"/>
      <c r="K4702" s="912"/>
      <c r="L4702" s="912"/>
      <c r="M4702" s="912">
        <f>VLOOKUP(B4702,MTC!$B$9:$S$933,12,0)</f>
        <v>0</v>
      </c>
      <c r="N4702" s="912">
        <f>M4702*H4702</f>
        <v>0</v>
      </c>
      <c r="O4702" s="892">
        <f t="shared" si="292"/>
        <v>0</v>
      </c>
      <c r="P4702" s="903">
        <f t="shared" si="293"/>
        <v>1</v>
      </c>
      <c r="Q4702" s="893">
        <f t="shared" si="294"/>
        <v>1</v>
      </c>
      <c r="R4702" s="894">
        <f t="shared" si="295"/>
        <v>0</v>
      </c>
    </row>
    <row r="4703" spans="1:18" s="847" customFormat="1" ht="31.5">
      <c r="A4703" s="955"/>
      <c r="B4703" s="953" t="s">
        <v>5584</v>
      </c>
      <c r="C4703" s="956"/>
      <c r="D4703" s="956"/>
      <c r="E4703" s="957" t="s">
        <v>5585</v>
      </c>
      <c r="F4703" s="958" t="s">
        <v>150</v>
      </c>
      <c r="G4703" s="959"/>
      <c r="H4703" s="960"/>
      <c r="I4703" s="961"/>
      <c r="J4703" s="891">
        <f>SUM(J4704:J4711)</f>
        <v>305818.19</v>
      </c>
      <c r="K4703" s="891"/>
      <c r="L4703" s="891">
        <f>SUM(L4704:L4711)</f>
        <v>3703843.75</v>
      </c>
      <c r="M4703" s="891"/>
      <c r="N4703" s="891">
        <f>SUM(N4704:N4711)</f>
        <v>0</v>
      </c>
      <c r="O4703" s="892">
        <f t="shared" ref="O4703:O4766" si="296">IF(AND(B4703&lt;&gt;"",D4703=""),1,0)</f>
        <v>1</v>
      </c>
      <c r="P4703" s="903">
        <f t="shared" si="293"/>
        <v>0</v>
      </c>
      <c r="Q4703" s="893">
        <f t="shared" si="294"/>
        <v>0</v>
      </c>
      <c r="R4703" s="894">
        <f t="shared" si="295"/>
        <v>8</v>
      </c>
    </row>
    <row r="4704" spans="1:18" s="904" customFormat="1">
      <c r="A4704" s="963"/>
      <c r="B4704" s="964"/>
      <c r="C4704" s="965"/>
      <c r="D4704" s="965"/>
      <c r="E4704" s="966" t="s">
        <v>108</v>
      </c>
      <c r="F4704" s="967"/>
      <c r="G4704" s="968"/>
      <c r="H4704" s="969"/>
      <c r="I4704" s="970"/>
      <c r="J4704" s="970"/>
      <c r="K4704" s="912" t="s">
        <v>274</v>
      </c>
      <c r="L4704" s="970"/>
      <c r="M4704" s="970"/>
      <c r="N4704" s="970"/>
      <c r="O4704" s="892">
        <f t="shared" si="296"/>
        <v>0</v>
      </c>
      <c r="P4704" s="903">
        <f t="shared" si="293"/>
        <v>1</v>
      </c>
      <c r="Q4704" s="893">
        <f t="shared" si="294"/>
        <v>8</v>
      </c>
      <c r="R4704" s="894">
        <f t="shared" si="295"/>
        <v>0</v>
      </c>
    </row>
    <row r="4705" spans="1:18">
      <c r="A4705" s="955"/>
      <c r="B4705" s="953"/>
      <c r="C4705" s="971">
        <v>55</v>
      </c>
      <c r="D4705" s="907" t="s">
        <v>279</v>
      </c>
      <c r="E4705" s="925" t="s">
        <v>3192</v>
      </c>
      <c r="F4705" s="973" t="s">
        <v>45</v>
      </c>
      <c r="G4705" s="974"/>
      <c r="H4705" s="975">
        <v>0.03</v>
      </c>
      <c r="I4705" s="912">
        <f>VLOOKUP(E4705,[3]VLP!$B$7:$K$300,10,0)</f>
        <v>2273</v>
      </c>
      <c r="J4705" s="912">
        <f>I4705*H4705</f>
        <v>68.19</v>
      </c>
      <c r="K4705" s="912" t="s">
        <v>274</v>
      </c>
      <c r="L4705" s="976"/>
      <c r="M4705" s="976"/>
      <c r="N4705" s="976"/>
      <c r="O4705" s="892">
        <f t="shared" si="296"/>
        <v>0</v>
      </c>
      <c r="P4705" s="903">
        <f t="shared" si="293"/>
        <v>1</v>
      </c>
      <c r="Q4705" s="893">
        <f t="shared" si="294"/>
        <v>7</v>
      </c>
      <c r="R4705" s="894">
        <f t="shared" si="295"/>
        <v>0</v>
      </c>
    </row>
    <row r="4706" spans="1:18">
      <c r="A4706" s="955"/>
      <c r="B4706" s="953"/>
      <c r="C4706" s="971">
        <v>44</v>
      </c>
      <c r="D4706" s="907" t="s">
        <v>279</v>
      </c>
      <c r="E4706" s="972" t="s">
        <v>2681</v>
      </c>
      <c r="F4706" s="973" t="s">
        <v>45</v>
      </c>
      <c r="G4706" s="974"/>
      <c r="H4706" s="975">
        <v>0.25</v>
      </c>
      <c r="I4706" s="912">
        <f>VLOOKUP(E4706,[3]VLP!$B$7:$K$300,10,0)</f>
        <v>23000</v>
      </c>
      <c r="J4706" s="912">
        <f>I4706*H4706</f>
        <v>5750</v>
      </c>
      <c r="K4706" s="912" t="s">
        <v>274</v>
      </c>
      <c r="L4706" s="976"/>
      <c r="M4706" s="976"/>
      <c r="N4706" s="976"/>
      <c r="O4706" s="892">
        <f t="shared" si="296"/>
        <v>0</v>
      </c>
      <c r="P4706" s="903">
        <f t="shared" si="293"/>
        <v>1</v>
      </c>
      <c r="Q4706" s="893">
        <f t="shared" si="294"/>
        <v>6</v>
      </c>
      <c r="R4706" s="894">
        <f t="shared" si="295"/>
        <v>0</v>
      </c>
    </row>
    <row r="4707" spans="1:18">
      <c r="A4707" s="955"/>
      <c r="B4707" s="953"/>
      <c r="C4707" s="971">
        <v>124</v>
      </c>
      <c r="D4707" s="907" t="s">
        <v>279</v>
      </c>
      <c r="E4707" s="972" t="s">
        <v>5432</v>
      </c>
      <c r="F4707" s="973" t="s">
        <v>3272</v>
      </c>
      <c r="G4707" s="974"/>
      <c r="H4707" s="975">
        <v>15</v>
      </c>
      <c r="I4707" s="912">
        <f>VLOOKUP(E4707,[3]VLP!$B$7:$K$300,10,0)</f>
        <v>20000</v>
      </c>
      <c r="J4707" s="912">
        <f>I4707*H4707</f>
        <v>300000</v>
      </c>
      <c r="K4707" s="912" t="s">
        <v>274</v>
      </c>
      <c r="L4707" s="976"/>
      <c r="M4707" s="976"/>
      <c r="N4707" s="976"/>
      <c r="O4707" s="892">
        <f t="shared" si="296"/>
        <v>0</v>
      </c>
      <c r="P4707" s="903">
        <f t="shared" si="293"/>
        <v>1</v>
      </c>
      <c r="Q4707" s="893">
        <f t="shared" si="294"/>
        <v>5</v>
      </c>
      <c r="R4707" s="894">
        <f t="shared" si="295"/>
        <v>0</v>
      </c>
    </row>
    <row r="4708" spans="1:18" s="904" customFormat="1">
      <c r="A4708" s="963"/>
      <c r="B4708" s="964"/>
      <c r="C4708" s="965"/>
      <c r="D4708" s="965"/>
      <c r="E4708" s="982" t="s">
        <v>276</v>
      </c>
      <c r="F4708" s="983"/>
      <c r="G4708" s="984"/>
      <c r="H4708" s="969"/>
      <c r="I4708" s="970"/>
      <c r="J4708" s="970"/>
      <c r="K4708" s="912" t="s">
        <v>274</v>
      </c>
      <c r="L4708" s="970"/>
      <c r="M4708" s="970"/>
      <c r="N4708" s="970"/>
      <c r="O4708" s="892">
        <f t="shared" si="296"/>
        <v>0</v>
      </c>
      <c r="P4708" s="903">
        <f t="shared" si="293"/>
        <v>1</v>
      </c>
      <c r="Q4708" s="893">
        <f t="shared" si="294"/>
        <v>4</v>
      </c>
      <c r="R4708" s="894">
        <f t="shared" si="295"/>
        <v>0</v>
      </c>
    </row>
    <row r="4709" spans="1:18">
      <c r="A4709" s="955"/>
      <c r="B4709" s="953"/>
      <c r="C4709" s="971">
        <v>740</v>
      </c>
      <c r="D4709" s="907" t="s">
        <v>12</v>
      </c>
      <c r="E4709" s="985" t="s">
        <v>4008</v>
      </c>
      <c r="F4709" s="986" t="s">
        <v>2674</v>
      </c>
      <c r="G4709" s="974"/>
      <c r="H4709" s="975">
        <v>16.75</v>
      </c>
      <c r="I4709" s="976"/>
      <c r="J4709" s="976"/>
      <c r="K4709" s="912">
        <f>VLOOKUP(E4709,[5]ĐMNC!$A$7:$F$67,4,0)</f>
        <v>221125</v>
      </c>
      <c r="L4709" s="912">
        <f>H4709*K4709</f>
        <v>3703843.75</v>
      </c>
      <c r="M4709" s="912"/>
      <c r="N4709" s="912"/>
      <c r="O4709" s="892">
        <f t="shared" si="296"/>
        <v>0</v>
      </c>
      <c r="P4709" s="903">
        <f t="shared" si="293"/>
        <v>1</v>
      </c>
      <c r="Q4709" s="893">
        <f t="shared" si="294"/>
        <v>3</v>
      </c>
      <c r="R4709" s="894">
        <f t="shared" si="295"/>
        <v>0</v>
      </c>
    </row>
    <row r="4710" spans="1:18" s="904" customFormat="1">
      <c r="A4710" s="963"/>
      <c r="B4710" s="964"/>
      <c r="C4710" s="965"/>
      <c r="D4710" s="965"/>
      <c r="E4710" s="966" t="s">
        <v>3914</v>
      </c>
      <c r="F4710" s="967"/>
      <c r="G4710" s="984"/>
      <c r="H4710" s="969"/>
      <c r="I4710" s="970"/>
      <c r="J4710" s="970"/>
      <c r="K4710" s="912" t="s">
        <v>274</v>
      </c>
      <c r="L4710" s="970"/>
      <c r="M4710" s="970"/>
      <c r="N4710" s="970"/>
      <c r="O4710" s="892">
        <f t="shared" si="296"/>
        <v>0</v>
      </c>
      <c r="P4710" s="903">
        <f t="shared" si="293"/>
        <v>1</v>
      </c>
      <c r="Q4710" s="893">
        <f t="shared" si="294"/>
        <v>2</v>
      </c>
      <c r="R4710" s="894">
        <f t="shared" si="295"/>
        <v>0</v>
      </c>
    </row>
    <row r="4711" spans="1:18">
      <c r="A4711" s="955"/>
      <c r="B4711" s="914" t="s">
        <v>3974</v>
      </c>
      <c r="C4711" s="971">
        <v>817</v>
      </c>
      <c r="D4711" s="907" t="s">
        <v>93</v>
      </c>
      <c r="E4711" s="972" t="s">
        <v>5555</v>
      </c>
      <c r="F4711" s="986" t="s">
        <v>2673</v>
      </c>
      <c r="G4711" s="974"/>
      <c r="H4711" s="975">
        <v>0.2</v>
      </c>
      <c r="I4711" s="976"/>
      <c r="J4711" s="976"/>
      <c r="K4711" s="912"/>
      <c r="L4711" s="912"/>
      <c r="M4711" s="912">
        <f>VLOOKUP(B4711,MTC!$B$9:$S$933,12,0)</f>
        <v>0</v>
      </c>
      <c r="N4711" s="912">
        <f>M4711*H4711</f>
        <v>0</v>
      </c>
      <c r="O4711" s="892">
        <f t="shared" si="296"/>
        <v>0</v>
      </c>
      <c r="P4711" s="903">
        <f t="shared" si="293"/>
        <v>1</v>
      </c>
      <c r="Q4711" s="893">
        <f t="shared" si="294"/>
        <v>1</v>
      </c>
      <c r="R4711" s="894">
        <f t="shared" si="295"/>
        <v>0</v>
      </c>
    </row>
    <row r="4712" spans="1:18" s="847" customFormat="1" ht="31.5">
      <c r="A4712" s="955"/>
      <c r="B4712" s="953" t="s">
        <v>5586</v>
      </c>
      <c r="C4712" s="956"/>
      <c r="D4712" s="956"/>
      <c r="E4712" s="957" t="s">
        <v>5587</v>
      </c>
      <c r="F4712" s="958" t="s">
        <v>150</v>
      </c>
      <c r="G4712" s="959"/>
      <c r="H4712" s="960"/>
      <c r="I4712" s="961"/>
      <c r="J4712" s="891">
        <f>SUM(J4713:J4720)</f>
        <v>305818.19</v>
      </c>
      <c r="K4712" s="891"/>
      <c r="L4712" s="891">
        <f>SUM(L4713:L4720)</f>
        <v>5487105.1699999999</v>
      </c>
      <c r="M4712" s="891"/>
      <c r="N4712" s="891">
        <f>SUM(N4713:N4720)</f>
        <v>0</v>
      </c>
      <c r="O4712" s="892">
        <f t="shared" si="296"/>
        <v>1</v>
      </c>
      <c r="P4712" s="903">
        <f t="shared" ref="P4712:P4775" si="297">IF(O4712=0,1,0)</f>
        <v>0</v>
      </c>
      <c r="Q4712" s="893">
        <f t="shared" ref="Q4712:Q4775" si="298">IF(P4712=0,0,P4712+Q4713)</f>
        <v>0</v>
      </c>
      <c r="R4712" s="894">
        <f t="shared" ref="R4712:R4775" si="299">IF(Q4712=0,Q4713,0)</f>
        <v>8</v>
      </c>
    </row>
    <row r="4713" spans="1:18" s="904" customFormat="1">
      <c r="A4713" s="963"/>
      <c r="B4713" s="964"/>
      <c r="C4713" s="965"/>
      <c r="D4713" s="965"/>
      <c r="E4713" s="966" t="s">
        <v>108</v>
      </c>
      <c r="F4713" s="967"/>
      <c r="G4713" s="968"/>
      <c r="H4713" s="969"/>
      <c r="I4713" s="970"/>
      <c r="J4713" s="970"/>
      <c r="K4713" s="912" t="s">
        <v>274</v>
      </c>
      <c r="L4713" s="970"/>
      <c r="M4713" s="970"/>
      <c r="N4713" s="970"/>
      <c r="O4713" s="892">
        <f t="shared" si="296"/>
        <v>0</v>
      </c>
      <c r="P4713" s="903">
        <f t="shared" si="297"/>
        <v>1</v>
      </c>
      <c r="Q4713" s="893">
        <f t="shared" si="298"/>
        <v>8</v>
      </c>
      <c r="R4713" s="894">
        <f t="shared" si="299"/>
        <v>0</v>
      </c>
    </row>
    <row r="4714" spans="1:18">
      <c r="A4714" s="955"/>
      <c r="B4714" s="953"/>
      <c r="C4714" s="971">
        <v>55</v>
      </c>
      <c r="D4714" s="907" t="s">
        <v>279</v>
      </c>
      <c r="E4714" s="925" t="s">
        <v>3192</v>
      </c>
      <c r="F4714" s="973" t="s">
        <v>45</v>
      </c>
      <c r="G4714" s="974"/>
      <c r="H4714" s="975">
        <v>0.03</v>
      </c>
      <c r="I4714" s="912">
        <f>VLOOKUP(E4714,[3]VLP!$B$7:$K$300,10,0)</f>
        <v>2273</v>
      </c>
      <c r="J4714" s="912">
        <f>I4714*H4714</f>
        <v>68.19</v>
      </c>
      <c r="K4714" s="912" t="s">
        <v>274</v>
      </c>
      <c r="L4714" s="976"/>
      <c r="M4714" s="976"/>
      <c r="N4714" s="976"/>
      <c r="O4714" s="892">
        <f t="shared" si="296"/>
        <v>0</v>
      </c>
      <c r="P4714" s="903">
        <f t="shared" si="297"/>
        <v>1</v>
      </c>
      <c r="Q4714" s="893">
        <f t="shared" si="298"/>
        <v>7</v>
      </c>
      <c r="R4714" s="894">
        <f t="shared" si="299"/>
        <v>0</v>
      </c>
    </row>
    <row r="4715" spans="1:18">
      <c r="A4715" s="955"/>
      <c r="B4715" s="953"/>
      <c r="C4715" s="971">
        <v>44</v>
      </c>
      <c r="D4715" s="907" t="s">
        <v>279</v>
      </c>
      <c r="E4715" s="972" t="s">
        <v>2681</v>
      </c>
      <c r="F4715" s="973" t="s">
        <v>45</v>
      </c>
      <c r="G4715" s="974"/>
      <c r="H4715" s="975">
        <v>0.25</v>
      </c>
      <c r="I4715" s="912">
        <f>VLOOKUP(E4715,[3]VLP!$B$7:$K$300,10,0)</f>
        <v>23000</v>
      </c>
      <c r="J4715" s="912">
        <f>I4715*H4715</f>
        <v>5750</v>
      </c>
      <c r="K4715" s="912" t="s">
        <v>274</v>
      </c>
      <c r="L4715" s="976"/>
      <c r="M4715" s="976"/>
      <c r="N4715" s="976"/>
      <c r="O4715" s="892">
        <f t="shared" si="296"/>
        <v>0</v>
      </c>
      <c r="P4715" s="903">
        <f t="shared" si="297"/>
        <v>1</v>
      </c>
      <c r="Q4715" s="893">
        <f t="shared" si="298"/>
        <v>6</v>
      </c>
      <c r="R4715" s="894">
        <f t="shared" si="299"/>
        <v>0</v>
      </c>
    </row>
    <row r="4716" spans="1:18">
      <c r="A4716" s="955"/>
      <c r="B4716" s="953"/>
      <c r="C4716" s="971">
        <v>124</v>
      </c>
      <c r="D4716" s="907" t="s">
        <v>279</v>
      </c>
      <c r="E4716" s="972" t="s">
        <v>5432</v>
      </c>
      <c r="F4716" s="973" t="s">
        <v>3272</v>
      </c>
      <c r="G4716" s="974"/>
      <c r="H4716" s="975">
        <v>15</v>
      </c>
      <c r="I4716" s="912">
        <f>VLOOKUP(E4716,[3]VLP!$B$7:$K$300,10,0)</f>
        <v>20000</v>
      </c>
      <c r="J4716" s="912">
        <f>I4716*H4716</f>
        <v>300000</v>
      </c>
      <c r="K4716" s="912" t="s">
        <v>274</v>
      </c>
      <c r="L4716" s="976"/>
      <c r="M4716" s="976"/>
      <c r="N4716" s="976"/>
      <c r="O4716" s="892">
        <f t="shared" si="296"/>
        <v>0</v>
      </c>
      <c r="P4716" s="903">
        <f t="shared" si="297"/>
        <v>1</v>
      </c>
      <c r="Q4716" s="893">
        <f t="shared" si="298"/>
        <v>5</v>
      </c>
      <c r="R4716" s="894">
        <f t="shared" si="299"/>
        <v>0</v>
      </c>
    </row>
    <row r="4717" spans="1:18" s="904" customFormat="1">
      <c r="A4717" s="963"/>
      <c r="B4717" s="964"/>
      <c r="C4717" s="965"/>
      <c r="D4717" s="965"/>
      <c r="E4717" s="982" t="s">
        <v>276</v>
      </c>
      <c r="F4717" s="983"/>
      <c r="G4717" s="984"/>
      <c r="H4717" s="969"/>
      <c r="I4717" s="970"/>
      <c r="J4717" s="970"/>
      <c r="K4717" s="912" t="s">
        <v>274</v>
      </c>
      <c r="L4717" s="970"/>
      <c r="M4717" s="970"/>
      <c r="N4717" s="970"/>
      <c r="O4717" s="892">
        <f t="shared" si="296"/>
        <v>0</v>
      </c>
      <c r="P4717" s="903">
        <f t="shared" si="297"/>
        <v>1</v>
      </c>
      <c r="Q4717" s="893">
        <f t="shared" si="298"/>
        <v>4</v>
      </c>
      <c r="R4717" s="894">
        <f t="shared" si="299"/>
        <v>0</v>
      </c>
    </row>
    <row r="4718" spans="1:18">
      <c r="A4718" s="955"/>
      <c r="B4718" s="953"/>
      <c r="C4718" s="971">
        <v>745</v>
      </c>
      <c r="D4718" s="907" t="s">
        <v>12</v>
      </c>
      <c r="E4718" s="985" t="s">
        <v>5518</v>
      </c>
      <c r="F4718" s="986" t="s">
        <v>2674</v>
      </c>
      <c r="G4718" s="974"/>
      <c r="H4718" s="975">
        <v>22.81</v>
      </c>
      <c r="I4718" s="976"/>
      <c r="J4718" s="976"/>
      <c r="K4718" s="912">
        <f>VLOOKUP(E4718,[5]ĐMNC!$A$7:$F$67,4,0)</f>
        <v>240557</v>
      </c>
      <c r="L4718" s="912">
        <f>H4718*K4718</f>
        <v>5487105.1699999999</v>
      </c>
      <c r="M4718" s="912"/>
      <c r="N4718" s="912"/>
      <c r="O4718" s="892">
        <f t="shared" si="296"/>
        <v>0</v>
      </c>
      <c r="P4718" s="903">
        <f t="shared" si="297"/>
        <v>1</v>
      </c>
      <c r="Q4718" s="893">
        <f t="shared" si="298"/>
        <v>3</v>
      </c>
      <c r="R4718" s="894">
        <f t="shared" si="299"/>
        <v>0</v>
      </c>
    </row>
    <row r="4719" spans="1:18" s="904" customFormat="1">
      <c r="A4719" s="963"/>
      <c r="B4719" s="964"/>
      <c r="C4719" s="965"/>
      <c r="D4719" s="965"/>
      <c r="E4719" s="966" t="s">
        <v>3914</v>
      </c>
      <c r="F4719" s="967"/>
      <c r="G4719" s="984"/>
      <c r="H4719" s="969"/>
      <c r="I4719" s="970"/>
      <c r="J4719" s="970"/>
      <c r="K4719" s="912" t="s">
        <v>274</v>
      </c>
      <c r="L4719" s="970"/>
      <c r="M4719" s="970"/>
      <c r="N4719" s="970"/>
      <c r="O4719" s="892">
        <f t="shared" si="296"/>
        <v>0</v>
      </c>
      <c r="P4719" s="903">
        <f t="shared" si="297"/>
        <v>1</v>
      </c>
      <c r="Q4719" s="893">
        <f t="shared" si="298"/>
        <v>2</v>
      </c>
      <c r="R4719" s="894">
        <f t="shared" si="299"/>
        <v>0</v>
      </c>
    </row>
    <row r="4720" spans="1:18">
      <c r="A4720" s="955"/>
      <c r="B4720" s="914" t="s">
        <v>3974</v>
      </c>
      <c r="C4720" s="971">
        <v>817</v>
      </c>
      <c r="D4720" s="907" t="s">
        <v>93</v>
      </c>
      <c r="E4720" s="972" t="s">
        <v>5555</v>
      </c>
      <c r="F4720" s="986" t="s">
        <v>2673</v>
      </c>
      <c r="G4720" s="974"/>
      <c r="H4720" s="975">
        <v>0.2</v>
      </c>
      <c r="I4720" s="976"/>
      <c r="J4720" s="976"/>
      <c r="K4720" s="912"/>
      <c r="L4720" s="912"/>
      <c r="M4720" s="912">
        <f>VLOOKUP(B4720,MTC!$B$9:$S$933,12,0)</f>
        <v>0</v>
      </c>
      <c r="N4720" s="912">
        <f>M4720*H4720</f>
        <v>0</v>
      </c>
      <c r="O4720" s="892">
        <f t="shared" si="296"/>
        <v>0</v>
      </c>
      <c r="P4720" s="903">
        <f t="shared" si="297"/>
        <v>1</v>
      </c>
      <c r="Q4720" s="893">
        <f t="shared" si="298"/>
        <v>1</v>
      </c>
      <c r="R4720" s="894">
        <f t="shared" si="299"/>
        <v>0</v>
      </c>
    </row>
    <row r="4721" spans="1:18" s="847" customFormat="1" ht="31.5">
      <c r="A4721" s="955"/>
      <c r="B4721" s="953" t="s">
        <v>5588</v>
      </c>
      <c r="C4721" s="956"/>
      <c r="D4721" s="956"/>
      <c r="E4721" s="957" t="s">
        <v>5589</v>
      </c>
      <c r="F4721" s="958" t="s">
        <v>150</v>
      </c>
      <c r="G4721" s="959"/>
      <c r="H4721" s="960"/>
      <c r="I4721" s="961"/>
      <c r="J4721" s="891">
        <f>SUM(J4722:J4729)</f>
        <v>427718.28</v>
      </c>
      <c r="K4721" s="891"/>
      <c r="L4721" s="891">
        <f>SUM(L4722:L4729)</f>
        <v>4219369.7799999993</v>
      </c>
      <c r="M4721" s="891"/>
      <c r="N4721" s="891">
        <f>SUM(N4722:N4729)</f>
        <v>0</v>
      </c>
      <c r="O4721" s="892">
        <f t="shared" si="296"/>
        <v>1</v>
      </c>
      <c r="P4721" s="903">
        <f t="shared" si="297"/>
        <v>0</v>
      </c>
      <c r="Q4721" s="893">
        <f t="shared" si="298"/>
        <v>0</v>
      </c>
      <c r="R4721" s="894">
        <f t="shared" si="299"/>
        <v>8</v>
      </c>
    </row>
    <row r="4722" spans="1:18" s="904" customFormat="1">
      <c r="A4722" s="963"/>
      <c r="B4722" s="964"/>
      <c r="C4722" s="965"/>
      <c r="D4722" s="965"/>
      <c r="E4722" s="966" t="s">
        <v>108</v>
      </c>
      <c r="F4722" s="967"/>
      <c r="G4722" s="968"/>
      <c r="H4722" s="969"/>
      <c r="I4722" s="970"/>
      <c r="J4722" s="970"/>
      <c r="K4722" s="912" t="s">
        <v>274</v>
      </c>
      <c r="L4722" s="970"/>
      <c r="M4722" s="970"/>
      <c r="N4722" s="970"/>
      <c r="O4722" s="892">
        <f t="shared" si="296"/>
        <v>0</v>
      </c>
      <c r="P4722" s="903">
        <f t="shared" si="297"/>
        <v>1</v>
      </c>
      <c r="Q4722" s="893">
        <f t="shared" si="298"/>
        <v>8</v>
      </c>
      <c r="R4722" s="894">
        <f t="shared" si="299"/>
        <v>0</v>
      </c>
    </row>
    <row r="4723" spans="1:18">
      <c r="A4723" s="955"/>
      <c r="B4723" s="953"/>
      <c r="C4723" s="971">
        <v>55</v>
      </c>
      <c r="D4723" s="907" t="s">
        <v>279</v>
      </c>
      <c r="E4723" s="925" t="s">
        <v>3192</v>
      </c>
      <c r="F4723" s="973" t="s">
        <v>45</v>
      </c>
      <c r="G4723" s="974"/>
      <c r="H4723" s="975">
        <v>0.36</v>
      </c>
      <c r="I4723" s="912">
        <f>VLOOKUP(E4723,[3]VLP!$B$7:$K$300,10,0)</f>
        <v>2273</v>
      </c>
      <c r="J4723" s="912">
        <f>I4723*H4723</f>
        <v>818.28</v>
      </c>
      <c r="K4723" s="912" t="s">
        <v>274</v>
      </c>
      <c r="L4723" s="976"/>
      <c r="M4723" s="976"/>
      <c r="N4723" s="976"/>
      <c r="O4723" s="892">
        <f t="shared" si="296"/>
        <v>0</v>
      </c>
      <c r="P4723" s="903">
        <f t="shared" si="297"/>
        <v>1</v>
      </c>
      <c r="Q4723" s="893">
        <f t="shared" si="298"/>
        <v>7</v>
      </c>
      <c r="R4723" s="894">
        <f t="shared" si="299"/>
        <v>0</v>
      </c>
    </row>
    <row r="4724" spans="1:18">
      <c r="A4724" s="955"/>
      <c r="B4724" s="953"/>
      <c r="C4724" s="971">
        <v>44</v>
      </c>
      <c r="D4724" s="907" t="s">
        <v>279</v>
      </c>
      <c r="E4724" s="972" t="s">
        <v>2681</v>
      </c>
      <c r="F4724" s="973" t="s">
        <v>45</v>
      </c>
      <c r="G4724" s="974"/>
      <c r="H4724" s="975">
        <v>0.3</v>
      </c>
      <c r="I4724" s="912">
        <f>VLOOKUP(E4724,[3]VLP!$B$7:$K$300,10,0)</f>
        <v>23000</v>
      </c>
      <c r="J4724" s="912">
        <f>I4724*H4724</f>
        <v>6900</v>
      </c>
      <c r="K4724" s="912" t="s">
        <v>274</v>
      </c>
      <c r="L4724" s="976"/>
      <c r="M4724" s="976"/>
      <c r="N4724" s="976"/>
      <c r="O4724" s="892">
        <f t="shared" si="296"/>
        <v>0</v>
      </c>
      <c r="P4724" s="903">
        <f t="shared" si="297"/>
        <v>1</v>
      </c>
      <c r="Q4724" s="893">
        <f t="shared" si="298"/>
        <v>6</v>
      </c>
      <c r="R4724" s="894">
        <f t="shared" si="299"/>
        <v>0</v>
      </c>
    </row>
    <row r="4725" spans="1:18">
      <c r="A4725" s="955"/>
      <c r="B4725" s="953"/>
      <c r="C4725" s="971">
        <v>124</v>
      </c>
      <c r="D4725" s="907" t="s">
        <v>279</v>
      </c>
      <c r="E4725" s="972" t="s">
        <v>5432</v>
      </c>
      <c r="F4725" s="973" t="s">
        <v>3272</v>
      </c>
      <c r="G4725" s="974"/>
      <c r="H4725" s="975">
        <v>21</v>
      </c>
      <c r="I4725" s="912">
        <f>VLOOKUP(E4725,[3]VLP!$B$7:$K$300,10,0)</f>
        <v>20000</v>
      </c>
      <c r="J4725" s="912">
        <f>I4725*H4725</f>
        <v>420000</v>
      </c>
      <c r="K4725" s="912" t="s">
        <v>274</v>
      </c>
      <c r="L4725" s="976"/>
      <c r="M4725" s="976"/>
      <c r="N4725" s="976"/>
      <c r="O4725" s="892">
        <f t="shared" si="296"/>
        <v>0</v>
      </c>
      <c r="P4725" s="903">
        <f t="shared" si="297"/>
        <v>1</v>
      </c>
      <c r="Q4725" s="893">
        <f t="shared" si="298"/>
        <v>5</v>
      </c>
      <c r="R4725" s="894">
        <f t="shared" si="299"/>
        <v>0</v>
      </c>
    </row>
    <row r="4726" spans="1:18" s="904" customFormat="1">
      <c r="A4726" s="963"/>
      <c r="B4726" s="964"/>
      <c r="C4726" s="965"/>
      <c r="D4726" s="965"/>
      <c r="E4726" s="982" t="s">
        <v>276</v>
      </c>
      <c r="F4726" s="983"/>
      <c r="G4726" s="984"/>
      <c r="H4726" s="969"/>
      <c r="I4726" s="970"/>
      <c r="J4726" s="970"/>
      <c r="K4726" s="912" t="s">
        <v>274</v>
      </c>
      <c r="L4726" s="970"/>
      <c r="M4726" s="970"/>
      <c r="N4726" s="970"/>
      <c r="O4726" s="892">
        <f t="shared" si="296"/>
        <v>0</v>
      </c>
      <c r="P4726" s="903">
        <f t="shared" si="297"/>
        <v>1</v>
      </c>
      <c r="Q4726" s="893">
        <f t="shared" si="298"/>
        <v>4</v>
      </c>
      <c r="R4726" s="894">
        <f t="shared" si="299"/>
        <v>0</v>
      </c>
    </row>
    <row r="4727" spans="1:18">
      <c r="A4727" s="955"/>
      <c r="B4727" s="953"/>
      <c r="C4727" s="971">
        <v>745</v>
      </c>
      <c r="D4727" s="907" t="s">
        <v>12</v>
      </c>
      <c r="E4727" s="985" t="s">
        <v>5518</v>
      </c>
      <c r="F4727" s="986" t="s">
        <v>2674</v>
      </c>
      <c r="G4727" s="974"/>
      <c r="H4727" s="975">
        <v>17.54</v>
      </c>
      <c r="I4727" s="976"/>
      <c r="J4727" s="976"/>
      <c r="K4727" s="912">
        <f>VLOOKUP(E4727,[5]ĐMNC!$A$7:$F$67,4,0)</f>
        <v>240557</v>
      </c>
      <c r="L4727" s="912">
        <f>H4727*K4727</f>
        <v>4219369.7799999993</v>
      </c>
      <c r="M4727" s="912"/>
      <c r="N4727" s="912"/>
      <c r="O4727" s="892">
        <f t="shared" si="296"/>
        <v>0</v>
      </c>
      <c r="P4727" s="903">
        <f t="shared" si="297"/>
        <v>1</v>
      </c>
      <c r="Q4727" s="893">
        <f t="shared" si="298"/>
        <v>3</v>
      </c>
      <c r="R4727" s="894">
        <f t="shared" si="299"/>
        <v>0</v>
      </c>
    </row>
    <row r="4728" spans="1:18" s="904" customFormat="1">
      <c r="A4728" s="963"/>
      <c r="B4728" s="964"/>
      <c r="C4728" s="965"/>
      <c r="D4728" s="965"/>
      <c r="E4728" s="966" t="s">
        <v>3914</v>
      </c>
      <c r="F4728" s="967"/>
      <c r="G4728" s="984"/>
      <c r="H4728" s="969"/>
      <c r="I4728" s="970"/>
      <c r="J4728" s="970"/>
      <c r="K4728" s="912" t="s">
        <v>274</v>
      </c>
      <c r="L4728" s="970"/>
      <c r="M4728" s="970"/>
      <c r="N4728" s="970"/>
      <c r="O4728" s="892">
        <f t="shared" si="296"/>
        <v>0</v>
      </c>
      <c r="P4728" s="903">
        <f t="shared" si="297"/>
        <v>1</v>
      </c>
      <c r="Q4728" s="893">
        <f t="shared" si="298"/>
        <v>2</v>
      </c>
      <c r="R4728" s="894">
        <f t="shared" si="299"/>
        <v>0</v>
      </c>
    </row>
    <row r="4729" spans="1:18">
      <c r="A4729" s="955"/>
      <c r="B4729" s="914" t="s">
        <v>3974</v>
      </c>
      <c r="C4729" s="971">
        <v>817</v>
      </c>
      <c r="D4729" s="907" t="s">
        <v>93</v>
      </c>
      <c r="E4729" s="972" t="s">
        <v>5555</v>
      </c>
      <c r="F4729" s="986" t="s">
        <v>2673</v>
      </c>
      <c r="G4729" s="974"/>
      <c r="H4729" s="975">
        <v>0.2</v>
      </c>
      <c r="I4729" s="976"/>
      <c r="J4729" s="976"/>
      <c r="K4729" s="912"/>
      <c r="L4729" s="912"/>
      <c r="M4729" s="912">
        <f>VLOOKUP(B4729,MTC!$B$9:$S$933,12,0)</f>
        <v>0</v>
      </c>
      <c r="N4729" s="912">
        <f>M4729*H4729</f>
        <v>0</v>
      </c>
      <c r="O4729" s="892">
        <f t="shared" si="296"/>
        <v>0</v>
      </c>
      <c r="P4729" s="903">
        <f t="shared" si="297"/>
        <v>1</v>
      </c>
      <c r="Q4729" s="893">
        <f t="shared" si="298"/>
        <v>1</v>
      </c>
      <c r="R4729" s="894">
        <f t="shared" si="299"/>
        <v>0</v>
      </c>
    </row>
    <row r="4730" spans="1:18" s="847" customFormat="1" ht="31.5">
      <c r="A4730" s="955"/>
      <c r="B4730" s="953" t="s">
        <v>5590</v>
      </c>
      <c r="C4730" s="956"/>
      <c r="D4730" s="956"/>
      <c r="E4730" s="957" t="s">
        <v>5591</v>
      </c>
      <c r="F4730" s="958" t="s">
        <v>150</v>
      </c>
      <c r="G4730" s="959"/>
      <c r="H4730" s="960"/>
      <c r="I4730" s="961"/>
      <c r="J4730" s="891">
        <f>SUM(J4731:J4738)</f>
        <v>427718.28</v>
      </c>
      <c r="K4730" s="891"/>
      <c r="L4730" s="891">
        <f>SUM(L4731:L4738)</f>
        <v>4741378.4700000007</v>
      </c>
      <c r="M4730" s="891"/>
      <c r="N4730" s="891">
        <f>SUM(N4731:N4738)</f>
        <v>0</v>
      </c>
      <c r="O4730" s="892">
        <f t="shared" si="296"/>
        <v>1</v>
      </c>
      <c r="P4730" s="903">
        <f t="shared" si="297"/>
        <v>0</v>
      </c>
      <c r="Q4730" s="893">
        <f t="shared" si="298"/>
        <v>0</v>
      </c>
      <c r="R4730" s="894">
        <f t="shared" si="299"/>
        <v>8</v>
      </c>
    </row>
    <row r="4731" spans="1:18" s="904" customFormat="1">
      <c r="A4731" s="963"/>
      <c r="B4731" s="964"/>
      <c r="C4731" s="965"/>
      <c r="D4731" s="965"/>
      <c r="E4731" s="966" t="s">
        <v>108</v>
      </c>
      <c r="F4731" s="967"/>
      <c r="G4731" s="968"/>
      <c r="H4731" s="969"/>
      <c r="I4731" s="970"/>
      <c r="J4731" s="970"/>
      <c r="K4731" s="912" t="s">
        <v>274</v>
      </c>
      <c r="L4731" s="970"/>
      <c r="M4731" s="970"/>
      <c r="N4731" s="970"/>
      <c r="O4731" s="892">
        <f t="shared" si="296"/>
        <v>0</v>
      </c>
      <c r="P4731" s="903">
        <f t="shared" si="297"/>
        <v>1</v>
      </c>
      <c r="Q4731" s="893">
        <f t="shared" si="298"/>
        <v>8</v>
      </c>
      <c r="R4731" s="894">
        <f t="shared" si="299"/>
        <v>0</v>
      </c>
    </row>
    <row r="4732" spans="1:18">
      <c r="A4732" s="955"/>
      <c r="B4732" s="953"/>
      <c r="C4732" s="971">
        <v>55</v>
      </c>
      <c r="D4732" s="907" t="s">
        <v>279</v>
      </c>
      <c r="E4732" s="925" t="s">
        <v>3192</v>
      </c>
      <c r="F4732" s="973" t="s">
        <v>45</v>
      </c>
      <c r="G4732" s="974"/>
      <c r="H4732" s="975">
        <v>0.36</v>
      </c>
      <c r="I4732" s="912">
        <f>VLOOKUP(E4732,[3]VLP!$B$7:$K$300,10,0)</f>
        <v>2273</v>
      </c>
      <c r="J4732" s="912">
        <f>I4732*H4732</f>
        <v>818.28</v>
      </c>
      <c r="K4732" s="912" t="s">
        <v>274</v>
      </c>
      <c r="L4732" s="976"/>
      <c r="M4732" s="976"/>
      <c r="N4732" s="976"/>
      <c r="O4732" s="892">
        <f t="shared" si="296"/>
        <v>0</v>
      </c>
      <c r="P4732" s="903">
        <f t="shared" si="297"/>
        <v>1</v>
      </c>
      <c r="Q4732" s="893">
        <f t="shared" si="298"/>
        <v>7</v>
      </c>
      <c r="R4732" s="894">
        <f t="shared" si="299"/>
        <v>0</v>
      </c>
    </row>
    <row r="4733" spans="1:18">
      <c r="A4733" s="955"/>
      <c r="B4733" s="953"/>
      <c r="C4733" s="971">
        <v>44</v>
      </c>
      <c r="D4733" s="907" t="s">
        <v>279</v>
      </c>
      <c r="E4733" s="972" t="s">
        <v>2681</v>
      </c>
      <c r="F4733" s="973" t="s">
        <v>45</v>
      </c>
      <c r="G4733" s="974"/>
      <c r="H4733" s="975">
        <v>0.3</v>
      </c>
      <c r="I4733" s="912">
        <f>VLOOKUP(E4733,[3]VLP!$B$7:$K$300,10,0)</f>
        <v>23000</v>
      </c>
      <c r="J4733" s="912">
        <f>I4733*H4733</f>
        <v>6900</v>
      </c>
      <c r="K4733" s="912" t="s">
        <v>274</v>
      </c>
      <c r="L4733" s="976"/>
      <c r="M4733" s="976"/>
      <c r="N4733" s="976"/>
      <c r="O4733" s="892">
        <f t="shared" si="296"/>
        <v>0</v>
      </c>
      <c r="P4733" s="903">
        <f t="shared" si="297"/>
        <v>1</v>
      </c>
      <c r="Q4733" s="893">
        <f t="shared" si="298"/>
        <v>6</v>
      </c>
      <c r="R4733" s="894">
        <f t="shared" si="299"/>
        <v>0</v>
      </c>
    </row>
    <row r="4734" spans="1:18">
      <c r="A4734" s="955"/>
      <c r="B4734" s="953"/>
      <c r="C4734" s="971">
        <v>124</v>
      </c>
      <c r="D4734" s="907" t="s">
        <v>279</v>
      </c>
      <c r="E4734" s="972" t="s">
        <v>5432</v>
      </c>
      <c r="F4734" s="973" t="s">
        <v>3272</v>
      </c>
      <c r="G4734" s="974"/>
      <c r="H4734" s="975">
        <v>21</v>
      </c>
      <c r="I4734" s="912">
        <f>VLOOKUP(E4734,[3]VLP!$B$7:$K$300,10,0)</f>
        <v>20000</v>
      </c>
      <c r="J4734" s="912">
        <f>I4734*H4734</f>
        <v>420000</v>
      </c>
      <c r="K4734" s="912" t="s">
        <v>274</v>
      </c>
      <c r="L4734" s="976"/>
      <c r="M4734" s="976"/>
      <c r="N4734" s="976"/>
      <c r="O4734" s="892">
        <f t="shared" si="296"/>
        <v>0</v>
      </c>
      <c r="P4734" s="903">
        <f t="shared" si="297"/>
        <v>1</v>
      </c>
      <c r="Q4734" s="893">
        <f t="shared" si="298"/>
        <v>5</v>
      </c>
      <c r="R4734" s="894">
        <f t="shared" si="299"/>
        <v>0</v>
      </c>
    </row>
    <row r="4735" spans="1:18" s="904" customFormat="1">
      <c r="A4735" s="963"/>
      <c r="B4735" s="964"/>
      <c r="C4735" s="965"/>
      <c r="D4735" s="965"/>
      <c r="E4735" s="982" t="s">
        <v>276</v>
      </c>
      <c r="F4735" s="983"/>
      <c r="G4735" s="984"/>
      <c r="H4735" s="969"/>
      <c r="I4735" s="970"/>
      <c r="J4735" s="970"/>
      <c r="K4735" s="912" t="s">
        <v>274</v>
      </c>
      <c r="L4735" s="970"/>
      <c r="M4735" s="970"/>
      <c r="N4735" s="970"/>
      <c r="O4735" s="892">
        <f t="shared" si="296"/>
        <v>0</v>
      </c>
      <c r="P4735" s="903">
        <f t="shared" si="297"/>
        <v>1</v>
      </c>
      <c r="Q4735" s="893">
        <f t="shared" si="298"/>
        <v>4</v>
      </c>
      <c r="R4735" s="894">
        <f t="shared" si="299"/>
        <v>0</v>
      </c>
    </row>
    <row r="4736" spans="1:18">
      <c r="A4736" s="955"/>
      <c r="B4736" s="953"/>
      <c r="C4736" s="971">
        <v>745</v>
      </c>
      <c r="D4736" s="907" t="s">
        <v>12</v>
      </c>
      <c r="E4736" s="985" t="s">
        <v>5518</v>
      </c>
      <c r="F4736" s="986" t="s">
        <v>2674</v>
      </c>
      <c r="G4736" s="974"/>
      <c r="H4736" s="975">
        <v>19.71</v>
      </c>
      <c r="I4736" s="976"/>
      <c r="J4736" s="976"/>
      <c r="K4736" s="912">
        <f>VLOOKUP(E4736,[5]ĐMNC!$A$7:$F$67,4,0)</f>
        <v>240557</v>
      </c>
      <c r="L4736" s="912">
        <f>H4736*K4736</f>
        <v>4741378.4700000007</v>
      </c>
      <c r="M4736" s="912"/>
      <c r="N4736" s="912"/>
      <c r="O4736" s="892">
        <f t="shared" si="296"/>
        <v>0</v>
      </c>
      <c r="P4736" s="903">
        <f t="shared" si="297"/>
        <v>1</v>
      </c>
      <c r="Q4736" s="893">
        <f t="shared" si="298"/>
        <v>3</v>
      </c>
      <c r="R4736" s="894">
        <f t="shared" si="299"/>
        <v>0</v>
      </c>
    </row>
    <row r="4737" spans="1:18" s="904" customFormat="1">
      <c r="A4737" s="963"/>
      <c r="B4737" s="964"/>
      <c r="C4737" s="965"/>
      <c r="D4737" s="965"/>
      <c r="E4737" s="966" t="s">
        <v>3914</v>
      </c>
      <c r="F4737" s="967"/>
      <c r="G4737" s="984"/>
      <c r="H4737" s="969"/>
      <c r="I4737" s="970"/>
      <c r="J4737" s="970"/>
      <c r="K4737" s="912" t="s">
        <v>274</v>
      </c>
      <c r="L4737" s="970"/>
      <c r="M4737" s="970"/>
      <c r="N4737" s="970"/>
      <c r="O4737" s="892">
        <f t="shared" si="296"/>
        <v>0</v>
      </c>
      <c r="P4737" s="903">
        <f t="shared" si="297"/>
        <v>1</v>
      </c>
      <c r="Q4737" s="893">
        <f t="shared" si="298"/>
        <v>2</v>
      </c>
      <c r="R4737" s="894">
        <f t="shared" si="299"/>
        <v>0</v>
      </c>
    </row>
    <row r="4738" spans="1:18">
      <c r="A4738" s="955"/>
      <c r="B4738" s="914" t="s">
        <v>3974</v>
      </c>
      <c r="C4738" s="971">
        <v>817</v>
      </c>
      <c r="D4738" s="907" t="s">
        <v>93</v>
      </c>
      <c r="E4738" s="972" t="s">
        <v>5555</v>
      </c>
      <c r="F4738" s="986" t="s">
        <v>2673</v>
      </c>
      <c r="G4738" s="974"/>
      <c r="H4738" s="975">
        <v>0.2</v>
      </c>
      <c r="I4738" s="976"/>
      <c r="J4738" s="976"/>
      <c r="K4738" s="912"/>
      <c r="L4738" s="912"/>
      <c r="M4738" s="912">
        <f>VLOOKUP(B4738,MTC!$B$9:$S$933,12,0)</f>
        <v>0</v>
      </c>
      <c r="N4738" s="912">
        <f>M4738*H4738</f>
        <v>0</v>
      </c>
      <c r="O4738" s="892">
        <f t="shared" si="296"/>
        <v>0</v>
      </c>
      <c r="P4738" s="903">
        <f t="shared" si="297"/>
        <v>1</v>
      </c>
      <c r="Q4738" s="893">
        <f t="shared" si="298"/>
        <v>1</v>
      </c>
      <c r="R4738" s="894">
        <f t="shared" si="299"/>
        <v>0</v>
      </c>
    </row>
    <row r="4739" spans="1:18" s="847" customFormat="1" ht="31.5">
      <c r="A4739" s="955"/>
      <c r="B4739" s="953" t="s">
        <v>5592</v>
      </c>
      <c r="C4739" s="956"/>
      <c r="D4739" s="956"/>
      <c r="E4739" s="957" t="s">
        <v>5593</v>
      </c>
      <c r="F4739" s="958" t="s">
        <v>150</v>
      </c>
      <c r="G4739" s="959"/>
      <c r="H4739" s="960"/>
      <c r="I4739" s="961"/>
      <c r="J4739" s="962">
        <f>SUM(J4740:J4748)</f>
        <v>427718.28</v>
      </c>
      <c r="K4739" s="891" t="s">
        <v>274</v>
      </c>
      <c r="L4739" s="962">
        <f>SUM(L4740:L4748)</f>
        <v>6052414.1200000001</v>
      </c>
      <c r="M4739" s="962"/>
      <c r="N4739" s="962">
        <f>SUM(N4740:N4748)</f>
        <v>0</v>
      </c>
      <c r="O4739" s="892">
        <f t="shared" si="296"/>
        <v>1</v>
      </c>
      <c r="P4739" s="903">
        <f t="shared" si="297"/>
        <v>0</v>
      </c>
      <c r="Q4739" s="893">
        <f t="shared" si="298"/>
        <v>0</v>
      </c>
      <c r="R4739" s="894">
        <f t="shared" si="299"/>
        <v>9</v>
      </c>
    </row>
    <row r="4740" spans="1:18" s="904" customFormat="1">
      <c r="A4740" s="963"/>
      <c r="B4740" s="964"/>
      <c r="C4740" s="965"/>
      <c r="D4740" s="965"/>
      <c r="E4740" s="966" t="s">
        <v>108</v>
      </c>
      <c r="F4740" s="967"/>
      <c r="G4740" s="968"/>
      <c r="H4740" s="969"/>
      <c r="I4740" s="970"/>
      <c r="J4740" s="970"/>
      <c r="K4740" s="912" t="s">
        <v>274</v>
      </c>
      <c r="L4740" s="970"/>
      <c r="M4740" s="970"/>
      <c r="N4740" s="970"/>
      <c r="O4740" s="892">
        <f t="shared" si="296"/>
        <v>0</v>
      </c>
      <c r="P4740" s="903">
        <f t="shared" si="297"/>
        <v>1</v>
      </c>
      <c r="Q4740" s="893">
        <f t="shared" si="298"/>
        <v>9</v>
      </c>
      <c r="R4740" s="894">
        <f t="shared" si="299"/>
        <v>0</v>
      </c>
    </row>
    <row r="4741" spans="1:18">
      <c r="A4741" s="955"/>
      <c r="B4741" s="953"/>
      <c r="C4741" s="971">
        <v>55</v>
      </c>
      <c r="D4741" s="907" t="s">
        <v>279</v>
      </c>
      <c r="E4741" s="925" t="s">
        <v>3192</v>
      </c>
      <c r="F4741" s="973" t="s">
        <v>45</v>
      </c>
      <c r="G4741" s="974"/>
      <c r="H4741" s="975">
        <v>0.36</v>
      </c>
      <c r="I4741" s="912">
        <f>VLOOKUP(E4741,[3]VLP!$B$7:$K$300,10,0)</f>
        <v>2273</v>
      </c>
      <c r="J4741" s="912">
        <f>I4741*H4741</f>
        <v>818.28</v>
      </c>
      <c r="K4741" s="912" t="s">
        <v>274</v>
      </c>
      <c r="L4741" s="976"/>
      <c r="M4741" s="976"/>
      <c r="N4741" s="976"/>
      <c r="O4741" s="892">
        <f t="shared" si="296"/>
        <v>0</v>
      </c>
      <c r="P4741" s="903">
        <f t="shared" si="297"/>
        <v>1</v>
      </c>
      <c r="Q4741" s="893">
        <f t="shared" si="298"/>
        <v>8</v>
      </c>
      <c r="R4741" s="894">
        <f t="shared" si="299"/>
        <v>0</v>
      </c>
    </row>
    <row r="4742" spans="1:18">
      <c r="A4742" s="955"/>
      <c r="B4742" s="953"/>
      <c r="C4742" s="971">
        <v>44</v>
      </c>
      <c r="D4742" s="907" t="s">
        <v>279</v>
      </c>
      <c r="E4742" s="972" t="s">
        <v>2681</v>
      </c>
      <c r="F4742" s="973" t="s">
        <v>45</v>
      </c>
      <c r="G4742" s="974"/>
      <c r="H4742" s="975">
        <v>0.3</v>
      </c>
      <c r="I4742" s="912">
        <f>VLOOKUP(E4742,[3]VLP!$B$7:$K$300,10,0)</f>
        <v>23000</v>
      </c>
      <c r="J4742" s="912">
        <f>I4742*H4742</f>
        <v>6900</v>
      </c>
      <c r="K4742" s="912" t="s">
        <v>274</v>
      </c>
      <c r="L4742" s="976"/>
      <c r="M4742" s="976"/>
      <c r="N4742" s="976"/>
      <c r="O4742" s="892">
        <f t="shared" si="296"/>
        <v>0</v>
      </c>
      <c r="P4742" s="903">
        <f t="shared" si="297"/>
        <v>1</v>
      </c>
      <c r="Q4742" s="893">
        <f t="shared" si="298"/>
        <v>7</v>
      </c>
      <c r="R4742" s="894">
        <f t="shared" si="299"/>
        <v>0</v>
      </c>
    </row>
    <row r="4743" spans="1:18">
      <c r="A4743" s="955"/>
      <c r="B4743" s="953"/>
      <c r="C4743" s="971">
        <v>124</v>
      </c>
      <c r="D4743" s="907" t="s">
        <v>279</v>
      </c>
      <c r="E4743" s="972" t="s">
        <v>5432</v>
      </c>
      <c r="F4743" s="973" t="s">
        <v>3272</v>
      </c>
      <c r="G4743" s="974"/>
      <c r="H4743" s="975">
        <v>21</v>
      </c>
      <c r="I4743" s="912">
        <f>VLOOKUP(E4743,[3]VLP!$B$7:$K$300,10,0)</f>
        <v>20000</v>
      </c>
      <c r="J4743" s="912">
        <f>I4743*H4743</f>
        <v>420000</v>
      </c>
      <c r="K4743" s="912" t="s">
        <v>274</v>
      </c>
      <c r="L4743" s="976"/>
      <c r="M4743" s="976"/>
      <c r="N4743" s="976"/>
      <c r="O4743" s="892">
        <f t="shared" si="296"/>
        <v>0</v>
      </c>
      <c r="P4743" s="903">
        <f t="shared" si="297"/>
        <v>1</v>
      </c>
      <c r="Q4743" s="893">
        <f t="shared" si="298"/>
        <v>6</v>
      </c>
      <c r="R4743" s="894">
        <f t="shared" si="299"/>
        <v>0</v>
      </c>
    </row>
    <row r="4744" spans="1:18" s="904" customFormat="1">
      <c r="A4744" s="963"/>
      <c r="B4744" s="964"/>
      <c r="C4744" s="965"/>
      <c r="D4744" s="965"/>
      <c r="E4744" s="982" t="s">
        <v>276</v>
      </c>
      <c r="F4744" s="983"/>
      <c r="G4744" s="984"/>
      <c r="H4744" s="969"/>
      <c r="I4744" s="970"/>
      <c r="J4744" s="970"/>
      <c r="K4744" s="912" t="s">
        <v>274</v>
      </c>
      <c r="L4744" s="970"/>
      <c r="M4744" s="970"/>
      <c r="N4744" s="970"/>
      <c r="O4744" s="892">
        <f t="shared" si="296"/>
        <v>0</v>
      </c>
      <c r="P4744" s="903">
        <f t="shared" si="297"/>
        <v>1</v>
      </c>
      <c r="Q4744" s="893">
        <f t="shared" si="298"/>
        <v>5</v>
      </c>
      <c r="R4744" s="894">
        <f t="shared" si="299"/>
        <v>0</v>
      </c>
    </row>
    <row r="4745" spans="1:18">
      <c r="A4745" s="955"/>
      <c r="B4745" s="953"/>
      <c r="C4745" s="971">
        <v>745</v>
      </c>
      <c r="D4745" s="907" t="s">
        <v>12</v>
      </c>
      <c r="E4745" s="985" t="s">
        <v>5518</v>
      </c>
      <c r="F4745" s="986" t="s">
        <v>2674</v>
      </c>
      <c r="G4745" s="974"/>
      <c r="H4745" s="975">
        <v>25.16</v>
      </c>
      <c r="I4745" s="976"/>
      <c r="J4745" s="976"/>
      <c r="K4745" s="912">
        <f>VLOOKUP(E4745,[5]ĐMNC!$A$7:$F$67,4,0)</f>
        <v>240557</v>
      </c>
      <c r="L4745" s="912">
        <f>H4745*K4745</f>
        <v>6052414.1200000001</v>
      </c>
      <c r="M4745" s="912"/>
      <c r="N4745" s="912"/>
      <c r="O4745" s="892">
        <f t="shared" si="296"/>
        <v>0</v>
      </c>
      <c r="P4745" s="903">
        <f t="shared" si="297"/>
        <v>1</v>
      </c>
      <c r="Q4745" s="893">
        <f t="shared" si="298"/>
        <v>4</v>
      </c>
      <c r="R4745" s="894">
        <f t="shared" si="299"/>
        <v>0</v>
      </c>
    </row>
    <row r="4746" spans="1:18" s="904" customFormat="1">
      <c r="A4746" s="963"/>
      <c r="B4746" s="964"/>
      <c r="C4746" s="965"/>
      <c r="D4746" s="965"/>
      <c r="E4746" s="966" t="s">
        <v>3914</v>
      </c>
      <c r="F4746" s="967"/>
      <c r="G4746" s="984"/>
      <c r="H4746" s="969"/>
      <c r="I4746" s="970"/>
      <c r="J4746" s="970"/>
      <c r="K4746" s="912" t="s">
        <v>274</v>
      </c>
      <c r="L4746" s="970"/>
      <c r="M4746" s="970"/>
      <c r="N4746" s="970"/>
      <c r="O4746" s="892">
        <f t="shared" si="296"/>
        <v>0</v>
      </c>
      <c r="P4746" s="903">
        <f t="shared" si="297"/>
        <v>1</v>
      </c>
      <c r="Q4746" s="893">
        <f t="shared" si="298"/>
        <v>3</v>
      </c>
      <c r="R4746" s="894">
        <f t="shared" si="299"/>
        <v>0</v>
      </c>
    </row>
    <row r="4747" spans="1:18">
      <c r="A4747" s="955"/>
      <c r="B4747" s="914" t="s">
        <v>3974</v>
      </c>
      <c r="C4747" s="971">
        <v>817</v>
      </c>
      <c r="D4747" s="907" t="s">
        <v>93</v>
      </c>
      <c r="E4747" s="972" t="s">
        <v>5555</v>
      </c>
      <c r="F4747" s="986" t="s">
        <v>2673</v>
      </c>
      <c r="G4747" s="974"/>
      <c r="H4747" s="975">
        <v>0.3</v>
      </c>
      <c r="I4747" s="976"/>
      <c r="J4747" s="976"/>
      <c r="K4747" s="912"/>
      <c r="L4747" s="912"/>
      <c r="M4747" s="912">
        <f>VLOOKUP(B4747,MTC!$B$9:$S$933,12,0)</f>
        <v>0</v>
      </c>
      <c r="N4747" s="912">
        <f>M4747*H4747</f>
        <v>0</v>
      </c>
      <c r="O4747" s="892">
        <f t="shared" si="296"/>
        <v>0</v>
      </c>
      <c r="P4747" s="903">
        <f t="shared" si="297"/>
        <v>1</v>
      </c>
      <c r="Q4747" s="893">
        <f t="shared" si="298"/>
        <v>2</v>
      </c>
      <c r="R4747" s="894">
        <f t="shared" si="299"/>
        <v>0</v>
      </c>
    </row>
    <row r="4748" spans="1:18">
      <c r="A4748" s="955"/>
      <c r="B4748" s="953" t="s">
        <v>5403</v>
      </c>
      <c r="C4748" s="971">
        <v>857</v>
      </c>
      <c r="D4748" s="907" t="s">
        <v>93</v>
      </c>
      <c r="E4748" s="925" t="s">
        <v>5404</v>
      </c>
      <c r="F4748" s="986" t="s">
        <v>2673</v>
      </c>
      <c r="G4748" s="974"/>
      <c r="H4748" s="975">
        <v>0.12</v>
      </c>
      <c r="I4748" s="976"/>
      <c r="J4748" s="976"/>
      <c r="K4748" s="912"/>
      <c r="L4748" s="912"/>
      <c r="M4748" s="912">
        <f>VLOOKUP(B4748,MTC!$B$9:$S$933,12,0)</f>
        <v>0</v>
      </c>
      <c r="N4748" s="912">
        <f>M4748*H4748</f>
        <v>0</v>
      </c>
      <c r="O4748" s="892">
        <f t="shared" si="296"/>
        <v>0</v>
      </c>
      <c r="P4748" s="903">
        <f t="shared" si="297"/>
        <v>1</v>
      </c>
      <c r="Q4748" s="893">
        <f t="shared" si="298"/>
        <v>1</v>
      </c>
      <c r="R4748" s="894">
        <f t="shared" si="299"/>
        <v>0</v>
      </c>
    </row>
    <row r="4749" spans="1:18" s="847" customFormat="1" ht="31.5">
      <c r="A4749" s="955"/>
      <c r="B4749" s="953" t="s">
        <v>5594</v>
      </c>
      <c r="C4749" s="956"/>
      <c r="D4749" s="956"/>
      <c r="E4749" s="957" t="s">
        <v>5595</v>
      </c>
      <c r="F4749" s="958" t="s">
        <v>150</v>
      </c>
      <c r="G4749" s="959"/>
      <c r="H4749" s="960"/>
      <c r="I4749" s="961"/>
      <c r="J4749" s="962">
        <f>SUM(J4750:J4758)</f>
        <v>427718.28</v>
      </c>
      <c r="K4749" s="891" t="s">
        <v>274</v>
      </c>
      <c r="L4749" s="962">
        <f>SUM(L4750:L4758)</f>
        <v>6771679.5499999998</v>
      </c>
      <c r="M4749" s="962"/>
      <c r="N4749" s="962">
        <f>SUM(N4750:N4758)</f>
        <v>0</v>
      </c>
      <c r="O4749" s="892">
        <f t="shared" si="296"/>
        <v>1</v>
      </c>
      <c r="P4749" s="903">
        <f t="shared" si="297"/>
        <v>0</v>
      </c>
      <c r="Q4749" s="893">
        <f t="shared" si="298"/>
        <v>0</v>
      </c>
      <c r="R4749" s="894">
        <f t="shared" si="299"/>
        <v>9</v>
      </c>
    </row>
    <row r="4750" spans="1:18" s="904" customFormat="1">
      <c r="A4750" s="963"/>
      <c r="B4750" s="964"/>
      <c r="C4750" s="965"/>
      <c r="D4750" s="965"/>
      <c r="E4750" s="966" t="s">
        <v>108</v>
      </c>
      <c r="F4750" s="967"/>
      <c r="G4750" s="968"/>
      <c r="H4750" s="969"/>
      <c r="I4750" s="970"/>
      <c r="J4750" s="970"/>
      <c r="K4750" s="912" t="s">
        <v>274</v>
      </c>
      <c r="L4750" s="970"/>
      <c r="M4750" s="970"/>
      <c r="N4750" s="970"/>
      <c r="O4750" s="892">
        <f t="shared" si="296"/>
        <v>0</v>
      </c>
      <c r="P4750" s="903">
        <f t="shared" si="297"/>
        <v>1</v>
      </c>
      <c r="Q4750" s="893">
        <f t="shared" si="298"/>
        <v>9</v>
      </c>
      <c r="R4750" s="894">
        <f t="shared" si="299"/>
        <v>0</v>
      </c>
    </row>
    <row r="4751" spans="1:18">
      <c r="A4751" s="955"/>
      <c r="B4751" s="953"/>
      <c r="C4751" s="971">
        <v>55</v>
      </c>
      <c r="D4751" s="907" t="s">
        <v>279</v>
      </c>
      <c r="E4751" s="925" t="s">
        <v>3192</v>
      </c>
      <c r="F4751" s="973" t="s">
        <v>45</v>
      </c>
      <c r="G4751" s="974"/>
      <c r="H4751" s="975">
        <v>0.36</v>
      </c>
      <c r="I4751" s="912">
        <f>VLOOKUP(E4751,[3]VLP!$B$7:$K$300,10,0)</f>
        <v>2273</v>
      </c>
      <c r="J4751" s="912">
        <f>I4751*H4751</f>
        <v>818.28</v>
      </c>
      <c r="K4751" s="912" t="s">
        <v>274</v>
      </c>
      <c r="L4751" s="976"/>
      <c r="M4751" s="976"/>
      <c r="N4751" s="976"/>
      <c r="O4751" s="892">
        <f t="shared" si="296"/>
        <v>0</v>
      </c>
      <c r="P4751" s="903">
        <f t="shared" si="297"/>
        <v>1</v>
      </c>
      <c r="Q4751" s="893">
        <f t="shared" si="298"/>
        <v>8</v>
      </c>
      <c r="R4751" s="894">
        <f t="shared" si="299"/>
        <v>0</v>
      </c>
    </row>
    <row r="4752" spans="1:18">
      <c r="A4752" s="955"/>
      <c r="B4752" s="953"/>
      <c r="C4752" s="971">
        <v>44</v>
      </c>
      <c r="D4752" s="907" t="s">
        <v>279</v>
      </c>
      <c r="E4752" s="972" t="s">
        <v>2681</v>
      </c>
      <c r="F4752" s="973" t="s">
        <v>45</v>
      </c>
      <c r="G4752" s="974"/>
      <c r="H4752" s="975">
        <v>0.3</v>
      </c>
      <c r="I4752" s="912">
        <f>VLOOKUP(E4752,[3]VLP!$B$7:$K$300,10,0)</f>
        <v>23000</v>
      </c>
      <c r="J4752" s="912">
        <f>I4752*H4752</f>
        <v>6900</v>
      </c>
      <c r="K4752" s="912" t="s">
        <v>274</v>
      </c>
      <c r="L4752" s="976"/>
      <c r="M4752" s="976"/>
      <c r="N4752" s="976"/>
      <c r="O4752" s="892">
        <f t="shared" si="296"/>
        <v>0</v>
      </c>
      <c r="P4752" s="903">
        <f t="shared" si="297"/>
        <v>1</v>
      </c>
      <c r="Q4752" s="893">
        <f t="shared" si="298"/>
        <v>7</v>
      </c>
      <c r="R4752" s="894">
        <f t="shared" si="299"/>
        <v>0</v>
      </c>
    </row>
    <row r="4753" spans="1:18">
      <c r="A4753" s="955"/>
      <c r="B4753" s="953"/>
      <c r="C4753" s="971">
        <v>124</v>
      </c>
      <c r="D4753" s="907" t="s">
        <v>279</v>
      </c>
      <c r="E4753" s="972" t="s">
        <v>5432</v>
      </c>
      <c r="F4753" s="973" t="s">
        <v>3272</v>
      </c>
      <c r="G4753" s="974"/>
      <c r="H4753" s="975">
        <v>21</v>
      </c>
      <c r="I4753" s="912">
        <f>VLOOKUP(E4753,[3]VLP!$B$7:$K$300,10,0)</f>
        <v>20000</v>
      </c>
      <c r="J4753" s="912">
        <f>I4753*H4753</f>
        <v>420000</v>
      </c>
      <c r="K4753" s="912" t="s">
        <v>274</v>
      </c>
      <c r="L4753" s="976"/>
      <c r="M4753" s="976"/>
      <c r="N4753" s="976"/>
      <c r="O4753" s="892">
        <f t="shared" si="296"/>
        <v>0</v>
      </c>
      <c r="P4753" s="903">
        <f t="shared" si="297"/>
        <v>1</v>
      </c>
      <c r="Q4753" s="893">
        <f t="shared" si="298"/>
        <v>6</v>
      </c>
      <c r="R4753" s="894">
        <f t="shared" si="299"/>
        <v>0</v>
      </c>
    </row>
    <row r="4754" spans="1:18" s="904" customFormat="1">
      <c r="A4754" s="963"/>
      <c r="B4754" s="964"/>
      <c r="C4754" s="965"/>
      <c r="D4754" s="965"/>
      <c r="E4754" s="982" t="s">
        <v>276</v>
      </c>
      <c r="F4754" s="983"/>
      <c r="G4754" s="984"/>
      <c r="H4754" s="969"/>
      <c r="I4754" s="970"/>
      <c r="J4754" s="970"/>
      <c r="K4754" s="912" t="s">
        <v>274</v>
      </c>
      <c r="L4754" s="970"/>
      <c r="M4754" s="970"/>
      <c r="N4754" s="970"/>
      <c r="O4754" s="892">
        <f t="shared" si="296"/>
        <v>0</v>
      </c>
      <c r="P4754" s="903">
        <f t="shared" si="297"/>
        <v>1</v>
      </c>
      <c r="Q4754" s="893">
        <f t="shared" si="298"/>
        <v>5</v>
      </c>
      <c r="R4754" s="894">
        <f t="shared" si="299"/>
        <v>0</v>
      </c>
    </row>
    <row r="4755" spans="1:18">
      <c r="A4755" s="955"/>
      <c r="B4755" s="953"/>
      <c r="C4755" s="971">
        <v>745</v>
      </c>
      <c r="D4755" s="907" t="s">
        <v>12</v>
      </c>
      <c r="E4755" s="985" t="s">
        <v>5518</v>
      </c>
      <c r="F4755" s="986" t="s">
        <v>2674</v>
      </c>
      <c r="G4755" s="974"/>
      <c r="H4755" s="975">
        <v>28.15</v>
      </c>
      <c r="I4755" s="976"/>
      <c r="J4755" s="976"/>
      <c r="K4755" s="912">
        <f>VLOOKUP(E4755,[5]ĐMNC!$A$7:$F$67,4,0)</f>
        <v>240557</v>
      </c>
      <c r="L4755" s="912">
        <f>H4755*K4755</f>
        <v>6771679.5499999998</v>
      </c>
      <c r="M4755" s="912"/>
      <c r="N4755" s="912"/>
      <c r="O4755" s="892">
        <f t="shared" si="296"/>
        <v>0</v>
      </c>
      <c r="P4755" s="903">
        <f t="shared" si="297"/>
        <v>1</v>
      </c>
      <c r="Q4755" s="893">
        <f t="shared" si="298"/>
        <v>4</v>
      </c>
      <c r="R4755" s="894">
        <f t="shared" si="299"/>
        <v>0</v>
      </c>
    </row>
    <row r="4756" spans="1:18" s="904" customFormat="1">
      <c r="A4756" s="963"/>
      <c r="B4756" s="964"/>
      <c r="C4756" s="965"/>
      <c r="D4756" s="965"/>
      <c r="E4756" s="966" t="s">
        <v>3914</v>
      </c>
      <c r="F4756" s="967"/>
      <c r="G4756" s="984"/>
      <c r="H4756" s="969"/>
      <c r="I4756" s="970"/>
      <c r="J4756" s="970"/>
      <c r="K4756" s="912" t="s">
        <v>274</v>
      </c>
      <c r="L4756" s="970"/>
      <c r="M4756" s="970"/>
      <c r="N4756" s="970"/>
      <c r="O4756" s="892">
        <f t="shared" si="296"/>
        <v>0</v>
      </c>
      <c r="P4756" s="903">
        <f t="shared" si="297"/>
        <v>1</v>
      </c>
      <c r="Q4756" s="893">
        <f t="shared" si="298"/>
        <v>3</v>
      </c>
      <c r="R4756" s="894">
        <f t="shared" si="299"/>
        <v>0</v>
      </c>
    </row>
    <row r="4757" spans="1:18">
      <c r="A4757" s="955"/>
      <c r="B4757" s="914" t="s">
        <v>3974</v>
      </c>
      <c r="C4757" s="971">
        <v>817</v>
      </c>
      <c r="D4757" s="907" t="s">
        <v>93</v>
      </c>
      <c r="E4757" s="972" t="s">
        <v>5555</v>
      </c>
      <c r="F4757" s="986" t="s">
        <v>2673</v>
      </c>
      <c r="G4757" s="974"/>
      <c r="H4757" s="975">
        <v>0.3</v>
      </c>
      <c r="I4757" s="976"/>
      <c r="J4757" s="976"/>
      <c r="K4757" s="912"/>
      <c r="L4757" s="912"/>
      <c r="M4757" s="912">
        <f>VLOOKUP(B4757,MTC!$B$9:$S$933,12,0)</f>
        <v>0</v>
      </c>
      <c r="N4757" s="912">
        <f>M4757*H4757</f>
        <v>0</v>
      </c>
      <c r="O4757" s="892">
        <f t="shared" si="296"/>
        <v>0</v>
      </c>
      <c r="P4757" s="903">
        <f t="shared" si="297"/>
        <v>1</v>
      </c>
      <c r="Q4757" s="893">
        <f t="shared" si="298"/>
        <v>2</v>
      </c>
      <c r="R4757" s="894">
        <f t="shared" si="299"/>
        <v>0</v>
      </c>
    </row>
    <row r="4758" spans="1:18">
      <c r="A4758" s="955"/>
      <c r="B4758" s="953" t="s">
        <v>5403</v>
      </c>
      <c r="C4758" s="971">
        <v>857</v>
      </c>
      <c r="D4758" s="907" t="s">
        <v>93</v>
      </c>
      <c r="E4758" s="925" t="s">
        <v>5404</v>
      </c>
      <c r="F4758" s="986" t="s">
        <v>2673</v>
      </c>
      <c r="G4758" s="974"/>
      <c r="H4758" s="975">
        <v>0.15</v>
      </c>
      <c r="I4758" s="976"/>
      <c r="J4758" s="976"/>
      <c r="K4758" s="912"/>
      <c r="L4758" s="912"/>
      <c r="M4758" s="912">
        <f>VLOOKUP(B4758,MTC!$B$9:$S$933,12,0)</f>
        <v>0</v>
      </c>
      <c r="N4758" s="912">
        <f>M4758*H4758</f>
        <v>0</v>
      </c>
      <c r="O4758" s="892">
        <f t="shared" si="296"/>
        <v>0</v>
      </c>
      <c r="P4758" s="903">
        <f t="shared" si="297"/>
        <v>1</v>
      </c>
      <c r="Q4758" s="893">
        <f t="shared" si="298"/>
        <v>1</v>
      </c>
      <c r="R4758" s="894">
        <f t="shared" si="299"/>
        <v>0</v>
      </c>
    </row>
    <row r="4759" spans="1:18" s="847" customFormat="1" ht="31.5">
      <c r="A4759" s="955"/>
      <c r="B4759" s="953" t="s">
        <v>5596</v>
      </c>
      <c r="C4759" s="956"/>
      <c r="D4759" s="956"/>
      <c r="E4759" s="957" t="s">
        <v>5589</v>
      </c>
      <c r="F4759" s="958" t="s">
        <v>150</v>
      </c>
      <c r="G4759" s="959"/>
      <c r="H4759" s="960"/>
      <c r="I4759" s="961"/>
      <c r="J4759" s="962">
        <f>SUM(J4760:J4769)</f>
        <v>509277.42</v>
      </c>
      <c r="K4759" s="891" t="s">
        <v>274</v>
      </c>
      <c r="L4759" s="962">
        <f>SUM(L4760:L4769)</f>
        <v>7447644.7200000007</v>
      </c>
      <c r="M4759" s="962"/>
      <c r="N4759" s="962">
        <f>SUM(N4760:N4769)</f>
        <v>0</v>
      </c>
      <c r="O4759" s="892">
        <f t="shared" si="296"/>
        <v>1</v>
      </c>
      <c r="P4759" s="903">
        <f t="shared" si="297"/>
        <v>0</v>
      </c>
      <c r="Q4759" s="893">
        <f t="shared" si="298"/>
        <v>0</v>
      </c>
      <c r="R4759" s="894">
        <f t="shared" si="299"/>
        <v>10</v>
      </c>
    </row>
    <row r="4760" spans="1:18" s="904" customFormat="1">
      <c r="A4760" s="963"/>
      <c r="B4760" s="964"/>
      <c r="C4760" s="965"/>
      <c r="D4760" s="965"/>
      <c r="E4760" s="966" t="s">
        <v>108</v>
      </c>
      <c r="F4760" s="967"/>
      <c r="G4760" s="968"/>
      <c r="H4760" s="969"/>
      <c r="I4760" s="970"/>
      <c r="J4760" s="970"/>
      <c r="K4760" s="912" t="s">
        <v>274</v>
      </c>
      <c r="L4760" s="970"/>
      <c r="M4760" s="970"/>
      <c r="N4760" s="970"/>
      <c r="O4760" s="892">
        <f t="shared" si="296"/>
        <v>0</v>
      </c>
      <c r="P4760" s="903">
        <f t="shared" si="297"/>
        <v>1</v>
      </c>
      <c r="Q4760" s="893">
        <f t="shared" si="298"/>
        <v>10</v>
      </c>
      <c r="R4760" s="894">
        <f t="shared" si="299"/>
        <v>0</v>
      </c>
    </row>
    <row r="4761" spans="1:18" s="904" customFormat="1">
      <c r="A4761" s="963"/>
      <c r="B4761" s="964"/>
      <c r="C4761" s="965"/>
      <c r="D4761" s="965"/>
      <c r="E4761" s="966" t="s">
        <v>108</v>
      </c>
      <c r="F4761" s="967"/>
      <c r="G4761" s="968"/>
      <c r="H4761" s="969"/>
      <c r="I4761" s="970"/>
      <c r="J4761" s="970"/>
      <c r="K4761" s="912" t="s">
        <v>274</v>
      </c>
      <c r="L4761" s="970"/>
      <c r="M4761" s="970"/>
      <c r="N4761" s="970"/>
      <c r="O4761" s="892">
        <f t="shared" si="296"/>
        <v>0</v>
      </c>
      <c r="P4761" s="903">
        <f t="shared" si="297"/>
        <v>1</v>
      </c>
      <c r="Q4761" s="893">
        <f t="shared" si="298"/>
        <v>9</v>
      </c>
      <c r="R4761" s="894">
        <f t="shared" si="299"/>
        <v>0</v>
      </c>
    </row>
    <row r="4762" spans="1:18">
      <c r="A4762" s="955"/>
      <c r="B4762" s="953"/>
      <c r="C4762" s="971">
        <v>55</v>
      </c>
      <c r="D4762" s="907" t="s">
        <v>279</v>
      </c>
      <c r="E4762" s="925" t="s">
        <v>3192</v>
      </c>
      <c r="F4762" s="973" t="s">
        <v>45</v>
      </c>
      <c r="G4762" s="974"/>
      <c r="H4762" s="975">
        <v>0.54</v>
      </c>
      <c r="I4762" s="912">
        <f>VLOOKUP(E4762,[3]VLP!$B$7:$K$300,10,0)</f>
        <v>2273</v>
      </c>
      <c r="J4762" s="912">
        <f>I4762*H4762</f>
        <v>1227.42</v>
      </c>
      <c r="K4762" s="912" t="s">
        <v>274</v>
      </c>
      <c r="L4762" s="976"/>
      <c r="M4762" s="976"/>
      <c r="N4762" s="976"/>
      <c r="O4762" s="892">
        <f t="shared" si="296"/>
        <v>0</v>
      </c>
      <c r="P4762" s="903">
        <f t="shared" si="297"/>
        <v>1</v>
      </c>
      <c r="Q4762" s="893">
        <f t="shared" si="298"/>
        <v>8</v>
      </c>
      <c r="R4762" s="894">
        <f t="shared" si="299"/>
        <v>0</v>
      </c>
    </row>
    <row r="4763" spans="1:18">
      <c r="A4763" s="955"/>
      <c r="B4763" s="953"/>
      <c r="C4763" s="971">
        <v>44</v>
      </c>
      <c r="D4763" s="907" t="s">
        <v>279</v>
      </c>
      <c r="E4763" s="972" t="s">
        <v>2681</v>
      </c>
      <c r="F4763" s="973" t="s">
        <v>45</v>
      </c>
      <c r="G4763" s="974"/>
      <c r="H4763" s="975">
        <v>0.35</v>
      </c>
      <c r="I4763" s="912">
        <f>VLOOKUP(E4763,[3]VLP!$B$7:$K$300,10,0)</f>
        <v>23000</v>
      </c>
      <c r="J4763" s="912">
        <f>I4763*H4763</f>
        <v>8049.9999999999991</v>
      </c>
      <c r="K4763" s="912" t="s">
        <v>274</v>
      </c>
      <c r="L4763" s="976"/>
      <c r="M4763" s="976"/>
      <c r="N4763" s="976"/>
      <c r="O4763" s="892">
        <f t="shared" si="296"/>
        <v>0</v>
      </c>
      <c r="P4763" s="903">
        <f t="shared" si="297"/>
        <v>1</v>
      </c>
      <c r="Q4763" s="893">
        <f t="shared" si="298"/>
        <v>7</v>
      </c>
      <c r="R4763" s="894">
        <f t="shared" si="299"/>
        <v>0</v>
      </c>
    </row>
    <row r="4764" spans="1:18">
      <c r="A4764" s="955"/>
      <c r="B4764" s="953"/>
      <c r="C4764" s="971">
        <v>124</v>
      </c>
      <c r="D4764" s="907" t="s">
        <v>279</v>
      </c>
      <c r="E4764" s="972" t="s">
        <v>5432</v>
      </c>
      <c r="F4764" s="973" t="s">
        <v>3272</v>
      </c>
      <c r="G4764" s="974"/>
      <c r="H4764" s="975">
        <v>25</v>
      </c>
      <c r="I4764" s="912">
        <f>VLOOKUP(E4764,[3]VLP!$B$7:$K$300,10,0)</f>
        <v>20000</v>
      </c>
      <c r="J4764" s="912">
        <f>I4764*H4764</f>
        <v>500000</v>
      </c>
      <c r="K4764" s="912" t="s">
        <v>274</v>
      </c>
      <c r="L4764" s="976"/>
      <c r="M4764" s="976"/>
      <c r="N4764" s="976"/>
      <c r="O4764" s="892">
        <f t="shared" si="296"/>
        <v>0</v>
      </c>
      <c r="P4764" s="903">
        <f t="shared" si="297"/>
        <v>1</v>
      </c>
      <c r="Q4764" s="893">
        <f t="shared" si="298"/>
        <v>6</v>
      </c>
      <c r="R4764" s="894">
        <f t="shared" si="299"/>
        <v>0</v>
      </c>
    </row>
    <row r="4765" spans="1:18" s="904" customFormat="1">
      <c r="A4765" s="963"/>
      <c r="B4765" s="964"/>
      <c r="C4765" s="965"/>
      <c r="D4765" s="965"/>
      <c r="E4765" s="982" t="s">
        <v>276</v>
      </c>
      <c r="F4765" s="983"/>
      <c r="G4765" s="984"/>
      <c r="H4765" s="969"/>
      <c r="I4765" s="970"/>
      <c r="J4765" s="970"/>
      <c r="K4765" s="912" t="s">
        <v>274</v>
      </c>
      <c r="L4765" s="970"/>
      <c r="M4765" s="970"/>
      <c r="N4765" s="970"/>
      <c r="O4765" s="892">
        <f t="shared" si="296"/>
        <v>0</v>
      </c>
      <c r="P4765" s="903">
        <f t="shared" si="297"/>
        <v>1</v>
      </c>
      <c r="Q4765" s="893">
        <f t="shared" si="298"/>
        <v>5</v>
      </c>
      <c r="R4765" s="894">
        <f t="shared" si="299"/>
        <v>0</v>
      </c>
    </row>
    <row r="4766" spans="1:18">
      <c r="A4766" s="955"/>
      <c r="B4766" s="953"/>
      <c r="C4766" s="971">
        <v>745</v>
      </c>
      <c r="D4766" s="907" t="s">
        <v>12</v>
      </c>
      <c r="E4766" s="985" t="s">
        <v>5518</v>
      </c>
      <c r="F4766" s="986" t="s">
        <v>2674</v>
      </c>
      <c r="G4766" s="974"/>
      <c r="H4766" s="975">
        <v>30.96</v>
      </c>
      <c r="I4766" s="976"/>
      <c r="J4766" s="976"/>
      <c r="K4766" s="912">
        <f>VLOOKUP(E4766,[5]ĐMNC!$A$7:$F$67,4,0)</f>
        <v>240557</v>
      </c>
      <c r="L4766" s="912">
        <f>H4766*K4766</f>
        <v>7447644.7200000007</v>
      </c>
      <c r="M4766" s="912"/>
      <c r="N4766" s="912"/>
      <c r="O4766" s="892">
        <f t="shared" si="296"/>
        <v>0</v>
      </c>
      <c r="P4766" s="903">
        <f t="shared" si="297"/>
        <v>1</v>
      </c>
      <c r="Q4766" s="893">
        <f t="shared" si="298"/>
        <v>4</v>
      </c>
      <c r="R4766" s="894">
        <f t="shared" si="299"/>
        <v>0</v>
      </c>
    </row>
    <row r="4767" spans="1:18" s="904" customFormat="1">
      <c r="A4767" s="963"/>
      <c r="B4767" s="964"/>
      <c r="C4767" s="965"/>
      <c r="D4767" s="965"/>
      <c r="E4767" s="966" t="s">
        <v>3914</v>
      </c>
      <c r="F4767" s="967"/>
      <c r="G4767" s="984"/>
      <c r="H4767" s="969"/>
      <c r="I4767" s="970"/>
      <c r="J4767" s="970"/>
      <c r="K4767" s="912" t="s">
        <v>274</v>
      </c>
      <c r="L4767" s="970"/>
      <c r="M4767" s="970"/>
      <c r="N4767" s="970"/>
      <c r="O4767" s="892">
        <f t="shared" ref="O4767:O4830" si="300">IF(AND(B4767&lt;&gt;"",D4767=""),1,0)</f>
        <v>0</v>
      </c>
      <c r="P4767" s="903">
        <f t="shared" si="297"/>
        <v>1</v>
      </c>
      <c r="Q4767" s="893">
        <f t="shared" si="298"/>
        <v>3</v>
      </c>
      <c r="R4767" s="894">
        <f t="shared" si="299"/>
        <v>0</v>
      </c>
    </row>
    <row r="4768" spans="1:18">
      <c r="A4768" s="955"/>
      <c r="B4768" s="914" t="s">
        <v>3974</v>
      </c>
      <c r="C4768" s="971">
        <v>817</v>
      </c>
      <c r="D4768" s="907" t="s">
        <v>93</v>
      </c>
      <c r="E4768" s="972" t="s">
        <v>5555</v>
      </c>
      <c r="F4768" s="986" t="s">
        <v>2673</v>
      </c>
      <c r="G4768" s="974"/>
      <c r="H4768" s="975">
        <v>0.3</v>
      </c>
      <c r="I4768" s="976"/>
      <c r="J4768" s="976"/>
      <c r="K4768" s="912"/>
      <c r="L4768" s="912"/>
      <c r="M4768" s="912">
        <f>VLOOKUP(B4768,MTC!$B$9:$S$933,12,0)</f>
        <v>0</v>
      </c>
      <c r="N4768" s="912">
        <f>M4768*H4768</f>
        <v>0</v>
      </c>
      <c r="O4768" s="892">
        <f t="shared" si="300"/>
        <v>0</v>
      </c>
      <c r="P4768" s="903">
        <f t="shared" si="297"/>
        <v>1</v>
      </c>
      <c r="Q4768" s="893">
        <f t="shared" si="298"/>
        <v>2</v>
      </c>
      <c r="R4768" s="894">
        <f t="shared" si="299"/>
        <v>0</v>
      </c>
    </row>
    <row r="4769" spans="1:18">
      <c r="A4769" s="955"/>
      <c r="B4769" s="953" t="s">
        <v>5403</v>
      </c>
      <c r="C4769" s="971">
        <v>857</v>
      </c>
      <c r="D4769" s="907" t="s">
        <v>93</v>
      </c>
      <c r="E4769" s="925" t="s">
        <v>5404</v>
      </c>
      <c r="F4769" s="986" t="s">
        <v>2673</v>
      </c>
      <c r="G4769" s="974"/>
      <c r="H4769" s="975">
        <v>0.19</v>
      </c>
      <c r="I4769" s="976"/>
      <c r="J4769" s="976"/>
      <c r="K4769" s="912"/>
      <c r="L4769" s="912"/>
      <c r="M4769" s="912">
        <f>VLOOKUP(B4769,MTC!$B$9:$S$933,12,0)</f>
        <v>0</v>
      </c>
      <c r="N4769" s="912">
        <f>M4769*H4769</f>
        <v>0</v>
      </c>
      <c r="O4769" s="892">
        <f t="shared" si="300"/>
        <v>0</v>
      </c>
      <c r="P4769" s="903">
        <f t="shared" si="297"/>
        <v>1</v>
      </c>
      <c r="Q4769" s="893">
        <f t="shared" si="298"/>
        <v>1</v>
      </c>
      <c r="R4769" s="894">
        <f t="shared" si="299"/>
        <v>0</v>
      </c>
    </row>
    <row r="4770" spans="1:18" s="847" customFormat="1" ht="31.5">
      <c r="A4770" s="955"/>
      <c r="B4770" s="953" t="s">
        <v>5597</v>
      </c>
      <c r="C4770" s="956"/>
      <c r="D4770" s="956"/>
      <c r="E4770" s="957" t="s">
        <v>5591</v>
      </c>
      <c r="F4770" s="958" t="s">
        <v>150</v>
      </c>
      <c r="G4770" s="959"/>
      <c r="H4770" s="960"/>
      <c r="I4770" s="961"/>
      <c r="J4770" s="962">
        <f>SUM(J4771:J4779)</f>
        <v>509277.42</v>
      </c>
      <c r="K4770" s="891" t="s">
        <v>274</v>
      </c>
      <c r="L4770" s="962">
        <f>SUM(L4771:L4779)</f>
        <v>9391345.2799999993</v>
      </c>
      <c r="M4770" s="962"/>
      <c r="N4770" s="962">
        <f>SUM(N4771:N4779)</f>
        <v>0</v>
      </c>
      <c r="O4770" s="892">
        <f t="shared" si="300"/>
        <v>1</v>
      </c>
      <c r="P4770" s="903">
        <f t="shared" si="297"/>
        <v>0</v>
      </c>
      <c r="Q4770" s="893">
        <f t="shared" si="298"/>
        <v>0</v>
      </c>
      <c r="R4770" s="894">
        <f t="shared" si="299"/>
        <v>9</v>
      </c>
    </row>
    <row r="4771" spans="1:18" s="904" customFormat="1">
      <c r="A4771" s="963"/>
      <c r="B4771" s="964"/>
      <c r="C4771" s="965"/>
      <c r="D4771" s="965"/>
      <c r="E4771" s="966" t="s">
        <v>108</v>
      </c>
      <c r="F4771" s="967"/>
      <c r="G4771" s="968"/>
      <c r="H4771" s="969"/>
      <c r="I4771" s="970"/>
      <c r="J4771" s="970"/>
      <c r="K4771" s="912" t="s">
        <v>274</v>
      </c>
      <c r="L4771" s="970"/>
      <c r="M4771" s="970"/>
      <c r="N4771" s="970"/>
      <c r="O4771" s="892">
        <f t="shared" si="300"/>
        <v>0</v>
      </c>
      <c r="P4771" s="903">
        <f t="shared" si="297"/>
        <v>1</v>
      </c>
      <c r="Q4771" s="893">
        <f t="shared" si="298"/>
        <v>9</v>
      </c>
      <c r="R4771" s="894">
        <f t="shared" si="299"/>
        <v>0</v>
      </c>
    </row>
    <row r="4772" spans="1:18">
      <c r="A4772" s="955"/>
      <c r="B4772" s="953"/>
      <c r="C4772" s="971">
        <v>55</v>
      </c>
      <c r="D4772" s="907" t="s">
        <v>279</v>
      </c>
      <c r="E4772" s="925" t="s">
        <v>3192</v>
      </c>
      <c r="F4772" s="973" t="s">
        <v>45</v>
      </c>
      <c r="G4772" s="974"/>
      <c r="H4772" s="975">
        <v>0.54</v>
      </c>
      <c r="I4772" s="912">
        <f>VLOOKUP(E4772,[3]VLP!$B$7:$K$300,10,0)</f>
        <v>2273</v>
      </c>
      <c r="J4772" s="912">
        <f>I4772*H4772</f>
        <v>1227.42</v>
      </c>
      <c r="K4772" s="912" t="s">
        <v>274</v>
      </c>
      <c r="L4772" s="976"/>
      <c r="M4772" s="976"/>
      <c r="N4772" s="976"/>
      <c r="O4772" s="892">
        <f t="shared" si="300"/>
        <v>0</v>
      </c>
      <c r="P4772" s="903">
        <f t="shared" si="297"/>
        <v>1</v>
      </c>
      <c r="Q4772" s="893">
        <f t="shared" si="298"/>
        <v>8</v>
      </c>
      <c r="R4772" s="894">
        <f t="shared" si="299"/>
        <v>0</v>
      </c>
    </row>
    <row r="4773" spans="1:18">
      <c r="A4773" s="955"/>
      <c r="B4773" s="953"/>
      <c r="C4773" s="971">
        <v>44</v>
      </c>
      <c r="D4773" s="907" t="s">
        <v>279</v>
      </c>
      <c r="E4773" s="972" t="s">
        <v>2681</v>
      </c>
      <c r="F4773" s="973" t="s">
        <v>45</v>
      </c>
      <c r="G4773" s="974"/>
      <c r="H4773" s="975">
        <v>0.35</v>
      </c>
      <c r="I4773" s="912">
        <f>VLOOKUP(E4773,[3]VLP!$B$7:$K$300,10,0)</f>
        <v>23000</v>
      </c>
      <c r="J4773" s="912">
        <f>I4773*H4773</f>
        <v>8049.9999999999991</v>
      </c>
      <c r="K4773" s="912" t="s">
        <v>274</v>
      </c>
      <c r="L4773" s="976"/>
      <c r="M4773" s="976"/>
      <c r="N4773" s="976"/>
      <c r="O4773" s="892">
        <f t="shared" si="300"/>
        <v>0</v>
      </c>
      <c r="P4773" s="903">
        <f t="shared" si="297"/>
        <v>1</v>
      </c>
      <c r="Q4773" s="893">
        <f t="shared" si="298"/>
        <v>7</v>
      </c>
      <c r="R4773" s="894">
        <f t="shared" si="299"/>
        <v>0</v>
      </c>
    </row>
    <row r="4774" spans="1:18">
      <c r="A4774" s="955"/>
      <c r="B4774" s="953"/>
      <c r="C4774" s="971">
        <v>124</v>
      </c>
      <c r="D4774" s="907" t="s">
        <v>279</v>
      </c>
      <c r="E4774" s="972" t="s">
        <v>5432</v>
      </c>
      <c r="F4774" s="973" t="s">
        <v>3272</v>
      </c>
      <c r="G4774" s="974"/>
      <c r="H4774" s="975">
        <v>25</v>
      </c>
      <c r="I4774" s="912">
        <f>VLOOKUP(E4774,[3]VLP!$B$7:$K$300,10,0)</f>
        <v>20000</v>
      </c>
      <c r="J4774" s="912">
        <f>I4774*H4774</f>
        <v>500000</v>
      </c>
      <c r="K4774" s="912" t="s">
        <v>274</v>
      </c>
      <c r="L4774" s="976"/>
      <c r="M4774" s="976"/>
      <c r="N4774" s="976"/>
      <c r="O4774" s="892">
        <f t="shared" si="300"/>
        <v>0</v>
      </c>
      <c r="P4774" s="903">
        <f t="shared" si="297"/>
        <v>1</v>
      </c>
      <c r="Q4774" s="893">
        <f t="shared" si="298"/>
        <v>6</v>
      </c>
      <c r="R4774" s="894">
        <f t="shared" si="299"/>
        <v>0</v>
      </c>
    </row>
    <row r="4775" spans="1:18" s="904" customFormat="1">
      <c r="A4775" s="963"/>
      <c r="B4775" s="964"/>
      <c r="C4775" s="965"/>
      <c r="D4775" s="965"/>
      <c r="E4775" s="982" t="s">
        <v>276</v>
      </c>
      <c r="F4775" s="983"/>
      <c r="G4775" s="984"/>
      <c r="H4775" s="969"/>
      <c r="I4775" s="970"/>
      <c r="J4775" s="970"/>
      <c r="K4775" s="912" t="s">
        <v>274</v>
      </c>
      <c r="L4775" s="970"/>
      <c r="M4775" s="970"/>
      <c r="N4775" s="970"/>
      <c r="O4775" s="892">
        <f t="shared" si="300"/>
        <v>0</v>
      </c>
      <c r="P4775" s="903">
        <f t="shared" si="297"/>
        <v>1</v>
      </c>
      <c r="Q4775" s="893">
        <f t="shared" si="298"/>
        <v>5</v>
      </c>
      <c r="R4775" s="894">
        <f t="shared" si="299"/>
        <v>0</v>
      </c>
    </row>
    <row r="4776" spans="1:18">
      <c r="A4776" s="955"/>
      <c r="B4776" s="953"/>
      <c r="C4776" s="971">
        <v>745</v>
      </c>
      <c r="D4776" s="907" t="s">
        <v>12</v>
      </c>
      <c r="E4776" s="985" t="s">
        <v>5518</v>
      </c>
      <c r="F4776" s="986" t="s">
        <v>2674</v>
      </c>
      <c r="G4776" s="974"/>
      <c r="H4776" s="975">
        <v>39.04</v>
      </c>
      <c r="I4776" s="976"/>
      <c r="J4776" s="976"/>
      <c r="K4776" s="912">
        <f>VLOOKUP(E4776,[5]ĐMNC!$A$7:$F$67,4,0)</f>
        <v>240557</v>
      </c>
      <c r="L4776" s="912">
        <f>H4776*K4776</f>
        <v>9391345.2799999993</v>
      </c>
      <c r="M4776" s="912"/>
      <c r="N4776" s="912"/>
      <c r="O4776" s="892">
        <f t="shared" si="300"/>
        <v>0</v>
      </c>
      <c r="P4776" s="903">
        <f t="shared" ref="P4776:P4839" si="301">IF(O4776=0,1,0)</f>
        <v>1</v>
      </c>
      <c r="Q4776" s="893">
        <f t="shared" ref="Q4776:Q4839" si="302">IF(P4776=0,0,P4776+Q4777)</f>
        <v>4</v>
      </c>
      <c r="R4776" s="894">
        <f t="shared" ref="R4776:R4839" si="303">IF(Q4776=0,Q4777,0)</f>
        <v>0</v>
      </c>
    </row>
    <row r="4777" spans="1:18" s="904" customFormat="1">
      <c r="A4777" s="963"/>
      <c r="B4777" s="964"/>
      <c r="C4777" s="965"/>
      <c r="D4777" s="965"/>
      <c r="E4777" s="966" t="s">
        <v>3914</v>
      </c>
      <c r="F4777" s="967"/>
      <c r="G4777" s="984"/>
      <c r="H4777" s="969"/>
      <c r="I4777" s="970"/>
      <c r="J4777" s="970"/>
      <c r="K4777" s="912" t="s">
        <v>274</v>
      </c>
      <c r="L4777" s="970"/>
      <c r="M4777" s="970"/>
      <c r="N4777" s="970"/>
      <c r="O4777" s="892">
        <f t="shared" si="300"/>
        <v>0</v>
      </c>
      <c r="P4777" s="903">
        <f t="shared" si="301"/>
        <v>1</v>
      </c>
      <c r="Q4777" s="893">
        <f t="shared" si="302"/>
        <v>3</v>
      </c>
      <c r="R4777" s="894">
        <f t="shared" si="303"/>
        <v>0</v>
      </c>
    </row>
    <row r="4778" spans="1:18">
      <c r="A4778" s="955"/>
      <c r="B4778" s="914" t="s">
        <v>3974</v>
      </c>
      <c r="C4778" s="971">
        <v>817</v>
      </c>
      <c r="D4778" s="907" t="s">
        <v>93</v>
      </c>
      <c r="E4778" s="972" t="s">
        <v>5555</v>
      </c>
      <c r="F4778" s="986" t="s">
        <v>2673</v>
      </c>
      <c r="G4778" s="974"/>
      <c r="H4778" s="975">
        <v>0.3</v>
      </c>
      <c r="I4778" s="976"/>
      <c r="J4778" s="976"/>
      <c r="K4778" s="912"/>
      <c r="L4778" s="912"/>
      <c r="M4778" s="912">
        <f>VLOOKUP(B4778,MTC!$B$9:$S$933,12,0)</f>
        <v>0</v>
      </c>
      <c r="N4778" s="912">
        <f>M4778*H4778</f>
        <v>0</v>
      </c>
      <c r="O4778" s="892">
        <f t="shared" si="300"/>
        <v>0</v>
      </c>
      <c r="P4778" s="903">
        <f t="shared" si="301"/>
        <v>1</v>
      </c>
      <c r="Q4778" s="893">
        <f t="shared" si="302"/>
        <v>2</v>
      </c>
      <c r="R4778" s="894">
        <f t="shared" si="303"/>
        <v>0</v>
      </c>
    </row>
    <row r="4779" spans="1:18">
      <c r="A4779" s="955"/>
      <c r="B4779" s="953" t="s">
        <v>5403</v>
      </c>
      <c r="C4779" s="971">
        <v>857</v>
      </c>
      <c r="D4779" s="907" t="s">
        <v>93</v>
      </c>
      <c r="E4779" s="925" t="s">
        <v>5404</v>
      </c>
      <c r="F4779" s="986" t="s">
        <v>2673</v>
      </c>
      <c r="G4779" s="974"/>
      <c r="H4779" s="975">
        <v>0.25</v>
      </c>
      <c r="I4779" s="976"/>
      <c r="J4779" s="976"/>
      <c r="K4779" s="912"/>
      <c r="L4779" s="912"/>
      <c r="M4779" s="912">
        <f>VLOOKUP(B4779,MTC!$B$9:$S$933,12,0)</f>
        <v>0</v>
      </c>
      <c r="N4779" s="912">
        <f>M4779*H4779</f>
        <v>0</v>
      </c>
      <c r="O4779" s="892">
        <f t="shared" si="300"/>
        <v>0</v>
      </c>
      <c r="P4779" s="903">
        <f t="shared" si="301"/>
        <v>1</v>
      </c>
      <c r="Q4779" s="893">
        <f t="shared" si="302"/>
        <v>1</v>
      </c>
      <c r="R4779" s="894">
        <f t="shared" si="303"/>
        <v>0</v>
      </c>
    </row>
    <row r="4780" spans="1:18" s="847" customFormat="1" ht="31.5">
      <c r="A4780" s="955"/>
      <c r="B4780" s="953" t="s">
        <v>5598</v>
      </c>
      <c r="C4780" s="956"/>
      <c r="D4780" s="956"/>
      <c r="E4780" s="957" t="s">
        <v>5593</v>
      </c>
      <c r="F4780" s="958" t="s">
        <v>150</v>
      </c>
      <c r="G4780" s="959"/>
      <c r="H4780" s="960"/>
      <c r="I4780" s="961"/>
      <c r="J4780" s="962">
        <f>SUM(J4781:J4789)</f>
        <v>509277.42</v>
      </c>
      <c r="K4780" s="891" t="s">
        <v>274</v>
      </c>
      <c r="L4780" s="962">
        <f>SUM(L4781:L4789)</f>
        <v>12405524.49</v>
      </c>
      <c r="M4780" s="962"/>
      <c r="N4780" s="962">
        <f>SUM(N4781:N4789)</f>
        <v>0</v>
      </c>
      <c r="O4780" s="892">
        <f t="shared" si="300"/>
        <v>1</v>
      </c>
      <c r="P4780" s="903">
        <f t="shared" si="301"/>
        <v>0</v>
      </c>
      <c r="Q4780" s="893">
        <f t="shared" si="302"/>
        <v>0</v>
      </c>
      <c r="R4780" s="894">
        <f t="shared" si="303"/>
        <v>9</v>
      </c>
    </row>
    <row r="4781" spans="1:18" s="904" customFormat="1">
      <c r="A4781" s="963"/>
      <c r="B4781" s="964"/>
      <c r="C4781" s="965"/>
      <c r="D4781" s="965"/>
      <c r="E4781" s="966" t="s">
        <v>108</v>
      </c>
      <c r="F4781" s="967"/>
      <c r="G4781" s="968"/>
      <c r="H4781" s="969"/>
      <c r="I4781" s="970"/>
      <c r="J4781" s="970"/>
      <c r="K4781" s="912" t="s">
        <v>274</v>
      </c>
      <c r="L4781" s="970"/>
      <c r="M4781" s="970"/>
      <c r="N4781" s="970"/>
      <c r="O4781" s="892">
        <f t="shared" si="300"/>
        <v>0</v>
      </c>
      <c r="P4781" s="903">
        <f t="shared" si="301"/>
        <v>1</v>
      </c>
      <c r="Q4781" s="893">
        <f t="shared" si="302"/>
        <v>9</v>
      </c>
      <c r="R4781" s="894">
        <f t="shared" si="303"/>
        <v>0</v>
      </c>
    </row>
    <row r="4782" spans="1:18">
      <c r="A4782" s="955"/>
      <c r="B4782" s="953"/>
      <c r="C4782" s="971">
        <v>55</v>
      </c>
      <c r="D4782" s="907" t="s">
        <v>279</v>
      </c>
      <c r="E4782" s="925" t="s">
        <v>3192</v>
      </c>
      <c r="F4782" s="973" t="s">
        <v>45</v>
      </c>
      <c r="G4782" s="974"/>
      <c r="H4782" s="975">
        <v>0.54</v>
      </c>
      <c r="I4782" s="912">
        <f>VLOOKUP(E4782,[3]VLP!$B$7:$K$300,10,0)</f>
        <v>2273</v>
      </c>
      <c r="J4782" s="912">
        <f>I4782*H4782</f>
        <v>1227.42</v>
      </c>
      <c r="K4782" s="912" t="s">
        <v>274</v>
      </c>
      <c r="L4782" s="976"/>
      <c r="M4782" s="976"/>
      <c r="N4782" s="976"/>
      <c r="O4782" s="892">
        <f t="shared" si="300"/>
        <v>0</v>
      </c>
      <c r="P4782" s="903">
        <f t="shared" si="301"/>
        <v>1</v>
      </c>
      <c r="Q4782" s="893">
        <f t="shared" si="302"/>
        <v>8</v>
      </c>
      <c r="R4782" s="894">
        <f t="shared" si="303"/>
        <v>0</v>
      </c>
    </row>
    <row r="4783" spans="1:18">
      <c r="A4783" s="955"/>
      <c r="B4783" s="953"/>
      <c r="C4783" s="971">
        <v>44</v>
      </c>
      <c r="D4783" s="907" t="s">
        <v>279</v>
      </c>
      <c r="E4783" s="972" t="s">
        <v>2681</v>
      </c>
      <c r="F4783" s="973" t="s">
        <v>45</v>
      </c>
      <c r="G4783" s="974"/>
      <c r="H4783" s="975">
        <v>0.35</v>
      </c>
      <c r="I4783" s="912">
        <f>VLOOKUP(E4783,[3]VLP!$B$7:$K$300,10,0)</f>
        <v>23000</v>
      </c>
      <c r="J4783" s="912">
        <f>I4783*H4783</f>
        <v>8049.9999999999991</v>
      </c>
      <c r="K4783" s="912" t="s">
        <v>274</v>
      </c>
      <c r="L4783" s="976"/>
      <c r="M4783" s="976"/>
      <c r="N4783" s="976"/>
      <c r="O4783" s="892">
        <f t="shared" si="300"/>
        <v>0</v>
      </c>
      <c r="P4783" s="903">
        <f t="shared" si="301"/>
        <v>1</v>
      </c>
      <c r="Q4783" s="893">
        <f t="shared" si="302"/>
        <v>7</v>
      </c>
      <c r="R4783" s="894">
        <f t="shared" si="303"/>
        <v>0</v>
      </c>
    </row>
    <row r="4784" spans="1:18">
      <c r="A4784" s="955"/>
      <c r="B4784" s="953"/>
      <c r="C4784" s="971">
        <v>124</v>
      </c>
      <c r="D4784" s="907" t="s">
        <v>279</v>
      </c>
      <c r="E4784" s="972" t="s">
        <v>5432</v>
      </c>
      <c r="F4784" s="973" t="s">
        <v>3272</v>
      </c>
      <c r="G4784" s="974"/>
      <c r="H4784" s="975">
        <v>25</v>
      </c>
      <c r="I4784" s="912">
        <f>VLOOKUP(E4784,[3]VLP!$B$7:$K$300,10,0)</f>
        <v>20000</v>
      </c>
      <c r="J4784" s="912">
        <f>I4784*H4784</f>
        <v>500000</v>
      </c>
      <c r="K4784" s="912" t="s">
        <v>274</v>
      </c>
      <c r="L4784" s="976"/>
      <c r="M4784" s="976"/>
      <c r="N4784" s="976"/>
      <c r="O4784" s="892">
        <f t="shared" si="300"/>
        <v>0</v>
      </c>
      <c r="P4784" s="903">
        <f t="shared" si="301"/>
        <v>1</v>
      </c>
      <c r="Q4784" s="893">
        <f t="shared" si="302"/>
        <v>6</v>
      </c>
      <c r="R4784" s="894">
        <f t="shared" si="303"/>
        <v>0</v>
      </c>
    </row>
    <row r="4785" spans="1:18" s="904" customFormat="1">
      <c r="A4785" s="963"/>
      <c r="B4785" s="964"/>
      <c r="C4785" s="965"/>
      <c r="D4785" s="965"/>
      <c r="E4785" s="982" t="s">
        <v>276</v>
      </c>
      <c r="F4785" s="983"/>
      <c r="G4785" s="984"/>
      <c r="H4785" s="969"/>
      <c r="I4785" s="970"/>
      <c r="J4785" s="970"/>
      <c r="K4785" s="912" t="s">
        <v>274</v>
      </c>
      <c r="L4785" s="970"/>
      <c r="M4785" s="970"/>
      <c r="N4785" s="970"/>
      <c r="O4785" s="892">
        <f t="shared" si="300"/>
        <v>0</v>
      </c>
      <c r="P4785" s="903">
        <f t="shared" si="301"/>
        <v>1</v>
      </c>
      <c r="Q4785" s="893">
        <f t="shared" si="302"/>
        <v>5</v>
      </c>
      <c r="R4785" s="894">
        <f t="shared" si="303"/>
        <v>0</v>
      </c>
    </row>
    <row r="4786" spans="1:18">
      <c r="A4786" s="955"/>
      <c r="B4786" s="953"/>
      <c r="C4786" s="971">
        <v>745</v>
      </c>
      <c r="D4786" s="907" t="s">
        <v>12</v>
      </c>
      <c r="E4786" s="985" t="s">
        <v>5518</v>
      </c>
      <c r="F4786" s="986" t="s">
        <v>2674</v>
      </c>
      <c r="G4786" s="974"/>
      <c r="H4786" s="975">
        <v>51.57</v>
      </c>
      <c r="I4786" s="976"/>
      <c r="J4786" s="976"/>
      <c r="K4786" s="912">
        <f>VLOOKUP(E4786,[5]ĐMNC!$A$7:$F$67,4,0)</f>
        <v>240557</v>
      </c>
      <c r="L4786" s="912">
        <f>H4786*K4786</f>
        <v>12405524.49</v>
      </c>
      <c r="M4786" s="912"/>
      <c r="N4786" s="912"/>
      <c r="O4786" s="892">
        <f t="shared" si="300"/>
        <v>0</v>
      </c>
      <c r="P4786" s="903">
        <f t="shared" si="301"/>
        <v>1</v>
      </c>
      <c r="Q4786" s="893">
        <f t="shared" si="302"/>
        <v>4</v>
      </c>
      <c r="R4786" s="894">
        <f t="shared" si="303"/>
        <v>0</v>
      </c>
    </row>
    <row r="4787" spans="1:18" s="904" customFormat="1">
      <c r="A4787" s="963"/>
      <c r="B4787" s="964"/>
      <c r="C4787" s="965"/>
      <c r="D4787" s="965"/>
      <c r="E4787" s="966" t="s">
        <v>3914</v>
      </c>
      <c r="F4787" s="967"/>
      <c r="G4787" s="984"/>
      <c r="H4787" s="969"/>
      <c r="I4787" s="970"/>
      <c r="J4787" s="970"/>
      <c r="K4787" s="912" t="s">
        <v>274</v>
      </c>
      <c r="L4787" s="970"/>
      <c r="M4787" s="970"/>
      <c r="N4787" s="970"/>
      <c r="O4787" s="892">
        <f t="shared" si="300"/>
        <v>0</v>
      </c>
      <c r="P4787" s="903">
        <f t="shared" si="301"/>
        <v>1</v>
      </c>
      <c r="Q4787" s="893">
        <f t="shared" si="302"/>
        <v>3</v>
      </c>
      <c r="R4787" s="894">
        <f t="shared" si="303"/>
        <v>0</v>
      </c>
    </row>
    <row r="4788" spans="1:18">
      <c r="A4788" s="955"/>
      <c r="B4788" s="914" t="s">
        <v>3974</v>
      </c>
      <c r="C4788" s="971">
        <v>817</v>
      </c>
      <c r="D4788" s="907" t="s">
        <v>93</v>
      </c>
      <c r="E4788" s="972" t="s">
        <v>5555</v>
      </c>
      <c r="F4788" s="986" t="s">
        <v>2673</v>
      </c>
      <c r="G4788" s="974"/>
      <c r="H4788" s="975">
        <v>0.3</v>
      </c>
      <c r="I4788" s="976"/>
      <c r="J4788" s="976"/>
      <c r="K4788" s="912"/>
      <c r="L4788" s="912"/>
      <c r="M4788" s="912">
        <f>VLOOKUP(B4788,MTC!$B$9:$S$933,12,0)</f>
        <v>0</v>
      </c>
      <c r="N4788" s="912">
        <f>M4788*H4788</f>
        <v>0</v>
      </c>
      <c r="O4788" s="892">
        <f t="shared" si="300"/>
        <v>0</v>
      </c>
      <c r="P4788" s="903">
        <f t="shared" si="301"/>
        <v>1</v>
      </c>
      <c r="Q4788" s="893">
        <f t="shared" si="302"/>
        <v>2</v>
      </c>
      <c r="R4788" s="894">
        <f t="shared" si="303"/>
        <v>0</v>
      </c>
    </row>
    <row r="4789" spans="1:18">
      <c r="A4789" s="955"/>
      <c r="B4789" s="953" t="s">
        <v>5403</v>
      </c>
      <c r="C4789" s="971">
        <v>857</v>
      </c>
      <c r="D4789" s="907" t="s">
        <v>93</v>
      </c>
      <c r="E4789" s="925" t="s">
        <v>5404</v>
      </c>
      <c r="F4789" s="986" t="s">
        <v>2673</v>
      </c>
      <c r="G4789" s="974"/>
      <c r="H4789" s="975">
        <v>0.3</v>
      </c>
      <c r="I4789" s="976"/>
      <c r="J4789" s="976"/>
      <c r="K4789" s="912"/>
      <c r="L4789" s="912"/>
      <c r="M4789" s="912">
        <f>VLOOKUP(B4789,MTC!$B$9:$S$933,12,0)</f>
        <v>0</v>
      </c>
      <c r="N4789" s="912">
        <f>M4789*H4789</f>
        <v>0</v>
      </c>
      <c r="O4789" s="892">
        <f t="shared" si="300"/>
        <v>0</v>
      </c>
      <c r="P4789" s="903">
        <f t="shared" si="301"/>
        <v>1</v>
      </c>
      <c r="Q4789" s="893">
        <f t="shared" si="302"/>
        <v>1</v>
      </c>
      <c r="R4789" s="894">
        <f t="shared" si="303"/>
        <v>0</v>
      </c>
    </row>
    <row r="4790" spans="1:18" s="847" customFormat="1" ht="31.5">
      <c r="A4790" s="955"/>
      <c r="B4790" s="953" t="s">
        <v>5599</v>
      </c>
      <c r="C4790" s="956"/>
      <c r="D4790" s="956"/>
      <c r="E4790" s="957" t="s">
        <v>5595</v>
      </c>
      <c r="F4790" s="958" t="s">
        <v>150</v>
      </c>
      <c r="G4790" s="959"/>
      <c r="H4790" s="960"/>
      <c r="I4790" s="961"/>
      <c r="J4790" s="962">
        <f>SUM(J4791:J4799)</f>
        <v>509277.42</v>
      </c>
      <c r="K4790" s="891" t="s">
        <v>274</v>
      </c>
      <c r="L4790" s="962">
        <f>SUM(L4791:L4799)</f>
        <v>16141374.699999999</v>
      </c>
      <c r="M4790" s="962"/>
      <c r="N4790" s="962">
        <f>SUM(N4791:N4799)</f>
        <v>0</v>
      </c>
      <c r="O4790" s="892">
        <f t="shared" si="300"/>
        <v>1</v>
      </c>
      <c r="P4790" s="903">
        <f t="shared" si="301"/>
        <v>0</v>
      </c>
      <c r="Q4790" s="893">
        <f t="shared" si="302"/>
        <v>0</v>
      </c>
      <c r="R4790" s="894">
        <f t="shared" si="303"/>
        <v>9</v>
      </c>
    </row>
    <row r="4791" spans="1:18" s="904" customFormat="1">
      <c r="A4791" s="963"/>
      <c r="B4791" s="964"/>
      <c r="C4791" s="965"/>
      <c r="D4791" s="965"/>
      <c r="E4791" s="966" t="s">
        <v>108</v>
      </c>
      <c r="F4791" s="967"/>
      <c r="G4791" s="968"/>
      <c r="H4791" s="969"/>
      <c r="I4791" s="970"/>
      <c r="J4791" s="970"/>
      <c r="K4791" s="912" t="s">
        <v>274</v>
      </c>
      <c r="L4791" s="970"/>
      <c r="M4791" s="970"/>
      <c r="N4791" s="970"/>
      <c r="O4791" s="892">
        <f t="shared" si="300"/>
        <v>0</v>
      </c>
      <c r="P4791" s="903">
        <f t="shared" si="301"/>
        <v>1</v>
      </c>
      <c r="Q4791" s="893">
        <f t="shared" si="302"/>
        <v>9</v>
      </c>
      <c r="R4791" s="894">
        <f t="shared" si="303"/>
        <v>0</v>
      </c>
    </row>
    <row r="4792" spans="1:18">
      <c r="A4792" s="955"/>
      <c r="B4792" s="953"/>
      <c r="C4792" s="971">
        <v>55</v>
      </c>
      <c r="D4792" s="907" t="s">
        <v>279</v>
      </c>
      <c r="E4792" s="925" t="s">
        <v>3192</v>
      </c>
      <c r="F4792" s="973" t="s">
        <v>45</v>
      </c>
      <c r="G4792" s="974"/>
      <c r="H4792" s="975">
        <v>0.54</v>
      </c>
      <c r="I4792" s="912">
        <f>VLOOKUP(E4792,[3]VLP!$B$7:$K$300,10,0)</f>
        <v>2273</v>
      </c>
      <c r="J4792" s="912">
        <f>I4792*H4792</f>
        <v>1227.42</v>
      </c>
      <c r="K4792" s="912" t="s">
        <v>274</v>
      </c>
      <c r="L4792" s="976"/>
      <c r="M4792" s="976"/>
      <c r="N4792" s="976"/>
      <c r="O4792" s="892">
        <f t="shared" si="300"/>
        <v>0</v>
      </c>
      <c r="P4792" s="903">
        <f t="shared" si="301"/>
        <v>1</v>
      </c>
      <c r="Q4792" s="893">
        <f t="shared" si="302"/>
        <v>8</v>
      </c>
      <c r="R4792" s="894">
        <f t="shared" si="303"/>
        <v>0</v>
      </c>
    </row>
    <row r="4793" spans="1:18">
      <c r="A4793" s="955"/>
      <c r="B4793" s="953"/>
      <c r="C4793" s="971">
        <v>44</v>
      </c>
      <c r="D4793" s="907" t="s">
        <v>279</v>
      </c>
      <c r="E4793" s="972" t="s">
        <v>2681</v>
      </c>
      <c r="F4793" s="973" t="s">
        <v>45</v>
      </c>
      <c r="G4793" s="974"/>
      <c r="H4793" s="975">
        <v>0.35</v>
      </c>
      <c r="I4793" s="912">
        <f>VLOOKUP(E4793,[3]VLP!$B$7:$K$300,10,0)</f>
        <v>23000</v>
      </c>
      <c r="J4793" s="912">
        <f>I4793*H4793</f>
        <v>8049.9999999999991</v>
      </c>
      <c r="K4793" s="912" t="s">
        <v>274</v>
      </c>
      <c r="L4793" s="976"/>
      <c r="M4793" s="976"/>
      <c r="N4793" s="976"/>
      <c r="O4793" s="892">
        <f t="shared" si="300"/>
        <v>0</v>
      </c>
      <c r="P4793" s="903">
        <f t="shared" si="301"/>
        <v>1</v>
      </c>
      <c r="Q4793" s="893">
        <f t="shared" si="302"/>
        <v>7</v>
      </c>
      <c r="R4793" s="894">
        <f t="shared" si="303"/>
        <v>0</v>
      </c>
    </row>
    <row r="4794" spans="1:18">
      <c r="A4794" s="955"/>
      <c r="B4794" s="953"/>
      <c r="C4794" s="971">
        <v>124</v>
      </c>
      <c r="D4794" s="907" t="s">
        <v>279</v>
      </c>
      <c r="E4794" s="972" t="s">
        <v>5432</v>
      </c>
      <c r="F4794" s="973" t="s">
        <v>3272</v>
      </c>
      <c r="G4794" s="974"/>
      <c r="H4794" s="975">
        <v>25</v>
      </c>
      <c r="I4794" s="912">
        <f>VLOOKUP(E4794,[3]VLP!$B$7:$K$300,10,0)</f>
        <v>20000</v>
      </c>
      <c r="J4794" s="912">
        <f>I4794*H4794</f>
        <v>500000</v>
      </c>
      <c r="K4794" s="912" t="s">
        <v>274</v>
      </c>
      <c r="L4794" s="976"/>
      <c r="M4794" s="976"/>
      <c r="N4794" s="976"/>
      <c r="O4794" s="892">
        <f t="shared" si="300"/>
        <v>0</v>
      </c>
      <c r="P4794" s="903">
        <f t="shared" si="301"/>
        <v>1</v>
      </c>
      <c r="Q4794" s="893">
        <f t="shared" si="302"/>
        <v>6</v>
      </c>
      <c r="R4794" s="894">
        <f t="shared" si="303"/>
        <v>0</v>
      </c>
    </row>
    <row r="4795" spans="1:18" s="904" customFormat="1">
      <c r="A4795" s="963"/>
      <c r="B4795" s="964"/>
      <c r="C4795" s="965"/>
      <c r="D4795" s="965"/>
      <c r="E4795" s="982" t="s">
        <v>276</v>
      </c>
      <c r="F4795" s="983"/>
      <c r="G4795" s="984"/>
      <c r="H4795" s="969"/>
      <c r="I4795" s="970"/>
      <c r="J4795" s="970"/>
      <c r="K4795" s="912" t="s">
        <v>274</v>
      </c>
      <c r="L4795" s="970"/>
      <c r="M4795" s="970"/>
      <c r="N4795" s="970"/>
      <c r="O4795" s="892">
        <f t="shared" si="300"/>
        <v>0</v>
      </c>
      <c r="P4795" s="903">
        <f t="shared" si="301"/>
        <v>1</v>
      </c>
      <c r="Q4795" s="893">
        <f t="shared" si="302"/>
        <v>5</v>
      </c>
      <c r="R4795" s="894">
        <f t="shared" si="303"/>
        <v>0</v>
      </c>
    </row>
    <row r="4796" spans="1:18">
      <c r="A4796" s="955"/>
      <c r="B4796" s="953"/>
      <c r="C4796" s="971">
        <v>745</v>
      </c>
      <c r="D4796" s="907" t="s">
        <v>12</v>
      </c>
      <c r="E4796" s="985" t="s">
        <v>5518</v>
      </c>
      <c r="F4796" s="986" t="s">
        <v>2674</v>
      </c>
      <c r="G4796" s="974"/>
      <c r="H4796" s="975">
        <v>67.099999999999994</v>
      </c>
      <c r="I4796" s="976"/>
      <c r="J4796" s="976"/>
      <c r="K4796" s="912">
        <f>VLOOKUP(E4796,[5]ĐMNC!$A$7:$F$67,4,0)</f>
        <v>240557</v>
      </c>
      <c r="L4796" s="912">
        <f>H4796*K4796</f>
        <v>16141374.699999999</v>
      </c>
      <c r="M4796" s="912"/>
      <c r="N4796" s="912"/>
      <c r="O4796" s="892">
        <f t="shared" si="300"/>
        <v>0</v>
      </c>
      <c r="P4796" s="903">
        <f t="shared" si="301"/>
        <v>1</v>
      </c>
      <c r="Q4796" s="893">
        <f t="shared" si="302"/>
        <v>4</v>
      </c>
      <c r="R4796" s="894">
        <f t="shared" si="303"/>
        <v>0</v>
      </c>
    </row>
    <row r="4797" spans="1:18" s="904" customFormat="1">
      <c r="A4797" s="963"/>
      <c r="B4797" s="964"/>
      <c r="C4797" s="965"/>
      <c r="D4797" s="965"/>
      <c r="E4797" s="966" t="s">
        <v>3914</v>
      </c>
      <c r="F4797" s="967"/>
      <c r="G4797" s="984"/>
      <c r="H4797" s="969"/>
      <c r="I4797" s="970"/>
      <c r="J4797" s="970"/>
      <c r="K4797" s="912" t="s">
        <v>274</v>
      </c>
      <c r="L4797" s="970"/>
      <c r="M4797" s="970"/>
      <c r="N4797" s="970"/>
      <c r="O4797" s="892">
        <f t="shared" si="300"/>
        <v>0</v>
      </c>
      <c r="P4797" s="903">
        <f t="shared" si="301"/>
        <v>1</v>
      </c>
      <c r="Q4797" s="893">
        <f t="shared" si="302"/>
        <v>3</v>
      </c>
      <c r="R4797" s="894">
        <f t="shared" si="303"/>
        <v>0</v>
      </c>
    </row>
    <row r="4798" spans="1:18">
      <c r="A4798" s="955"/>
      <c r="B4798" s="914" t="s">
        <v>3974</v>
      </c>
      <c r="C4798" s="971">
        <v>817</v>
      </c>
      <c r="D4798" s="907" t="s">
        <v>93</v>
      </c>
      <c r="E4798" s="972" t="s">
        <v>5555</v>
      </c>
      <c r="F4798" s="986" t="s">
        <v>2673</v>
      </c>
      <c r="G4798" s="974"/>
      <c r="H4798" s="975">
        <v>0.35</v>
      </c>
      <c r="I4798" s="976"/>
      <c r="J4798" s="976"/>
      <c r="K4798" s="912"/>
      <c r="L4798" s="912"/>
      <c r="M4798" s="912">
        <f>VLOOKUP(B4798,MTC!$B$9:$S$933,12,0)</f>
        <v>0</v>
      </c>
      <c r="N4798" s="912">
        <f>M4798*H4798</f>
        <v>0</v>
      </c>
      <c r="O4798" s="892">
        <f t="shared" si="300"/>
        <v>0</v>
      </c>
      <c r="P4798" s="903">
        <f t="shared" si="301"/>
        <v>1</v>
      </c>
      <c r="Q4798" s="893">
        <f t="shared" si="302"/>
        <v>2</v>
      </c>
      <c r="R4798" s="894">
        <f t="shared" si="303"/>
        <v>0</v>
      </c>
    </row>
    <row r="4799" spans="1:18">
      <c r="A4799" s="955"/>
      <c r="B4799" s="953" t="s">
        <v>5403</v>
      </c>
      <c r="C4799" s="971">
        <v>857</v>
      </c>
      <c r="D4799" s="907" t="s">
        <v>93</v>
      </c>
      <c r="E4799" s="925" t="s">
        <v>5404</v>
      </c>
      <c r="F4799" s="986" t="s">
        <v>2673</v>
      </c>
      <c r="G4799" s="974"/>
      <c r="H4799" s="975">
        <v>0.36</v>
      </c>
      <c r="I4799" s="976"/>
      <c r="J4799" s="976"/>
      <c r="K4799" s="912"/>
      <c r="L4799" s="912"/>
      <c r="M4799" s="912">
        <f>VLOOKUP(B4799,MTC!$B$9:$S$933,12,0)</f>
        <v>0</v>
      </c>
      <c r="N4799" s="912">
        <f>M4799*H4799</f>
        <v>0</v>
      </c>
      <c r="O4799" s="892">
        <f t="shared" si="300"/>
        <v>0</v>
      </c>
      <c r="P4799" s="903">
        <f t="shared" si="301"/>
        <v>1</v>
      </c>
      <c r="Q4799" s="893">
        <f t="shared" si="302"/>
        <v>1</v>
      </c>
      <c r="R4799" s="894">
        <f t="shared" si="303"/>
        <v>0</v>
      </c>
    </row>
    <row r="4800" spans="1:18" s="847" customFormat="1" ht="31.5">
      <c r="A4800" s="955"/>
      <c r="B4800" s="953" t="s">
        <v>5600</v>
      </c>
      <c r="C4800" s="956"/>
      <c r="D4800" s="956"/>
      <c r="E4800" s="957" t="s">
        <v>5601</v>
      </c>
      <c r="F4800" s="958" t="s">
        <v>150</v>
      </c>
      <c r="G4800" s="959"/>
      <c r="H4800" s="960"/>
      <c r="I4800" s="961"/>
      <c r="J4800" s="891">
        <f>SUM(J4801:J4808)</f>
        <v>427718.28</v>
      </c>
      <c r="K4800" s="891"/>
      <c r="L4800" s="891">
        <f>SUM(L4801:L4808)</f>
        <v>6163070.3399999999</v>
      </c>
      <c r="M4800" s="891"/>
      <c r="N4800" s="891">
        <f>SUM(N4801:N4808)</f>
        <v>0</v>
      </c>
      <c r="O4800" s="892">
        <f t="shared" si="300"/>
        <v>1</v>
      </c>
      <c r="P4800" s="903">
        <f t="shared" si="301"/>
        <v>0</v>
      </c>
      <c r="Q4800" s="893">
        <f t="shared" si="302"/>
        <v>0</v>
      </c>
      <c r="R4800" s="894">
        <f t="shared" si="303"/>
        <v>8</v>
      </c>
    </row>
    <row r="4801" spans="1:18" s="904" customFormat="1">
      <c r="A4801" s="963"/>
      <c r="B4801" s="964"/>
      <c r="C4801" s="965"/>
      <c r="D4801" s="965"/>
      <c r="E4801" s="966" t="s">
        <v>108</v>
      </c>
      <c r="F4801" s="967"/>
      <c r="G4801" s="968"/>
      <c r="H4801" s="969"/>
      <c r="I4801" s="970"/>
      <c r="J4801" s="970"/>
      <c r="K4801" s="912" t="s">
        <v>274</v>
      </c>
      <c r="L4801" s="970"/>
      <c r="M4801" s="970"/>
      <c r="N4801" s="970"/>
      <c r="O4801" s="892">
        <f t="shared" si="300"/>
        <v>0</v>
      </c>
      <c r="P4801" s="903">
        <f t="shared" si="301"/>
        <v>1</v>
      </c>
      <c r="Q4801" s="893">
        <f t="shared" si="302"/>
        <v>8</v>
      </c>
      <c r="R4801" s="894">
        <f t="shared" si="303"/>
        <v>0</v>
      </c>
    </row>
    <row r="4802" spans="1:18">
      <c r="A4802" s="955"/>
      <c r="B4802" s="953"/>
      <c r="C4802" s="971">
        <v>55</v>
      </c>
      <c r="D4802" s="907" t="s">
        <v>279</v>
      </c>
      <c r="E4802" s="925" t="s">
        <v>3192</v>
      </c>
      <c r="F4802" s="973" t="s">
        <v>45</v>
      </c>
      <c r="G4802" s="974"/>
      <c r="H4802" s="975">
        <v>0.36</v>
      </c>
      <c r="I4802" s="912">
        <f>VLOOKUP(E4802,[3]VLP!$B$7:$K$300,10,0)</f>
        <v>2273</v>
      </c>
      <c r="J4802" s="912">
        <f>I4802*H4802</f>
        <v>818.28</v>
      </c>
      <c r="K4802" s="912" t="s">
        <v>274</v>
      </c>
      <c r="L4802" s="976"/>
      <c r="M4802" s="976"/>
      <c r="N4802" s="976"/>
      <c r="O4802" s="892">
        <f t="shared" si="300"/>
        <v>0</v>
      </c>
      <c r="P4802" s="903">
        <f t="shared" si="301"/>
        <v>1</v>
      </c>
      <c r="Q4802" s="893">
        <f t="shared" si="302"/>
        <v>7</v>
      </c>
      <c r="R4802" s="894">
        <f t="shared" si="303"/>
        <v>0</v>
      </c>
    </row>
    <row r="4803" spans="1:18">
      <c r="A4803" s="955"/>
      <c r="B4803" s="953"/>
      <c r="C4803" s="971">
        <v>44</v>
      </c>
      <c r="D4803" s="907" t="s">
        <v>279</v>
      </c>
      <c r="E4803" s="972" t="s">
        <v>2681</v>
      </c>
      <c r="F4803" s="973" t="s">
        <v>45</v>
      </c>
      <c r="G4803" s="974"/>
      <c r="H4803" s="975">
        <v>0.3</v>
      </c>
      <c r="I4803" s="912">
        <f>VLOOKUP(E4803,[3]VLP!$B$7:$K$300,10,0)</f>
        <v>23000</v>
      </c>
      <c r="J4803" s="912">
        <f>I4803*H4803</f>
        <v>6900</v>
      </c>
      <c r="K4803" s="912" t="s">
        <v>274</v>
      </c>
      <c r="L4803" s="976"/>
      <c r="M4803" s="976"/>
      <c r="N4803" s="976"/>
      <c r="O4803" s="892">
        <f t="shared" si="300"/>
        <v>0</v>
      </c>
      <c r="P4803" s="903">
        <f t="shared" si="301"/>
        <v>1</v>
      </c>
      <c r="Q4803" s="893">
        <f t="shared" si="302"/>
        <v>6</v>
      </c>
      <c r="R4803" s="894">
        <f t="shared" si="303"/>
        <v>0</v>
      </c>
    </row>
    <row r="4804" spans="1:18">
      <c r="A4804" s="955"/>
      <c r="B4804" s="953"/>
      <c r="C4804" s="971">
        <v>124</v>
      </c>
      <c r="D4804" s="907" t="s">
        <v>279</v>
      </c>
      <c r="E4804" s="972" t="s">
        <v>5432</v>
      </c>
      <c r="F4804" s="973" t="s">
        <v>3272</v>
      </c>
      <c r="G4804" s="974"/>
      <c r="H4804" s="975">
        <v>21</v>
      </c>
      <c r="I4804" s="912">
        <f>VLOOKUP(E4804,[3]VLP!$B$7:$K$300,10,0)</f>
        <v>20000</v>
      </c>
      <c r="J4804" s="912">
        <f>I4804*H4804</f>
        <v>420000</v>
      </c>
      <c r="K4804" s="912" t="s">
        <v>274</v>
      </c>
      <c r="L4804" s="976"/>
      <c r="M4804" s="976"/>
      <c r="N4804" s="976"/>
      <c r="O4804" s="892">
        <f t="shared" si="300"/>
        <v>0</v>
      </c>
      <c r="P4804" s="903">
        <f t="shared" si="301"/>
        <v>1</v>
      </c>
      <c r="Q4804" s="893">
        <f t="shared" si="302"/>
        <v>5</v>
      </c>
      <c r="R4804" s="894">
        <f t="shared" si="303"/>
        <v>0</v>
      </c>
    </row>
    <row r="4805" spans="1:18" s="904" customFormat="1">
      <c r="A4805" s="963"/>
      <c r="B4805" s="964"/>
      <c r="C4805" s="965"/>
      <c r="D4805" s="965"/>
      <c r="E4805" s="982" t="s">
        <v>276</v>
      </c>
      <c r="F4805" s="983"/>
      <c r="G4805" s="984"/>
      <c r="H4805" s="969"/>
      <c r="I4805" s="970"/>
      <c r="J4805" s="970"/>
      <c r="K4805" s="912" t="s">
        <v>274</v>
      </c>
      <c r="L4805" s="970"/>
      <c r="M4805" s="970"/>
      <c r="N4805" s="970"/>
      <c r="O4805" s="892">
        <f t="shared" si="300"/>
        <v>0</v>
      </c>
      <c r="P4805" s="903">
        <f t="shared" si="301"/>
        <v>1</v>
      </c>
      <c r="Q4805" s="893">
        <f t="shared" si="302"/>
        <v>4</v>
      </c>
      <c r="R4805" s="894">
        <f t="shared" si="303"/>
        <v>0</v>
      </c>
    </row>
    <row r="4806" spans="1:18">
      <c r="A4806" s="955"/>
      <c r="B4806" s="953"/>
      <c r="C4806" s="971">
        <v>745</v>
      </c>
      <c r="D4806" s="907" t="s">
        <v>12</v>
      </c>
      <c r="E4806" s="985" t="s">
        <v>5518</v>
      </c>
      <c r="F4806" s="986" t="s">
        <v>2674</v>
      </c>
      <c r="G4806" s="974"/>
      <c r="H4806" s="975">
        <v>25.62</v>
      </c>
      <c r="I4806" s="976"/>
      <c r="J4806" s="976"/>
      <c r="K4806" s="912">
        <f>VLOOKUP(E4806,[5]ĐMNC!$A$7:$F$67,4,0)</f>
        <v>240557</v>
      </c>
      <c r="L4806" s="912">
        <f>H4806*K4806</f>
        <v>6163070.3399999999</v>
      </c>
      <c r="M4806" s="912"/>
      <c r="N4806" s="912"/>
      <c r="O4806" s="892">
        <f t="shared" si="300"/>
        <v>0</v>
      </c>
      <c r="P4806" s="903">
        <f t="shared" si="301"/>
        <v>1</v>
      </c>
      <c r="Q4806" s="893">
        <f t="shared" si="302"/>
        <v>3</v>
      </c>
      <c r="R4806" s="894">
        <f t="shared" si="303"/>
        <v>0</v>
      </c>
    </row>
    <row r="4807" spans="1:18" s="904" customFormat="1">
      <c r="A4807" s="963"/>
      <c r="B4807" s="964"/>
      <c r="C4807" s="965"/>
      <c r="D4807" s="965"/>
      <c r="E4807" s="966" t="s">
        <v>3914</v>
      </c>
      <c r="F4807" s="967"/>
      <c r="G4807" s="984"/>
      <c r="H4807" s="969"/>
      <c r="I4807" s="970"/>
      <c r="J4807" s="970"/>
      <c r="K4807" s="912" t="s">
        <v>274</v>
      </c>
      <c r="L4807" s="970"/>
      <c r="M4807" s="970"/>
      <c r="N4807" s="970"/>
      <c r="O4807" s="892">
        <f t="shared" si="300"/>
        <v>0</v>
      </c>
      <c r="P4807" s="903">
        <f t="shared" si="301"/>
        <v>1</v>
      </c>
      <c r="Q4807" s="893">
        <f t="shared" si="302"/>
        <v>2</v>
      </c>
      <c r="R4807" s="894">
        <f t="shared" si="303"/>
        <v>0</v>
      </c>
    </row>
    <row r="4808" spans="1:18">
      <c r="A4808" s="955"/>
      <c r="B4808" s="914" t="s">
        <v>3974</v>
      </c>
      <c r="C4808" s="971">
        <v>817</v>
      </c>
      <c r="D4808" s="907" t="s">
        <v>93</v>
      </c>
      <c r="E4808" s="972" t="s">
        <v>5555</v>
      </c>
      <c r="F4808" s="986" t="s">
        <v>2673</v>
      </c>
      <c r="G4808" s="974"/>
      <c r="H4808" s="975">
        <v>0.2</v>
      </c>
      <c r="I4808" s="976"/>
      <c r="J4808" s="976"/>
      <c r="K4808" s="912"/>
      <c r="L4808" s="912"/>
      <c r="M4808" s="912">
        <f>VLOOKUP(B4808,MTC!$B$9:$S$933,12,0)</f>
        <v>0</v>
      </c>
      <c r="N4808" s="912">
        <f>M4808*H4808</f>
        <v>0</v>
      </c>
      <c r="O4808" s="892">
        <f t="shared" si="300"/>
        <v>0</v>
      </c>
      <c r="P4808" s="903">
        <f t="shared" si="301"/>
        <v>1</v>
      </c>
      <c r="Q4808" s="893">
        <f t="shared" si="302"/>
        <v>1</v>
      </c>
      <c r="R4808" s="894">
        <f t="shared" si="303"/>
        <v>0</v>
      </c>
    </row>
    <row r="4809" spans="1:18" s="847" customFormat="1" ht="31.5">
      <c r="A4809" s="955"/>
      <c r="B4809" s="953" t="s">
        <v>5602</v>
      </c>
      <c r="C4809" s="956"/>
      <c r="D4809" s="956"/>
      <c r="E4809" s="957" t="s">
        <v>5603</v>
      </c>
      <c r="F4809" s="958" t="s">
        <v>150</v>
      </c>
      <c r="G4809" s="959"/>
      <c r="H4809" s="960"/>
      <c r="I4809" s="961"/>
      <c r="J4809" s="891">
        <f>SUM(J4810:J4817)</f>
        <v>427718.28</v>
      </c>
      <c r="K4809" s="891"/>
      <c r="L4809" s="891">
        <f>SUM(L4810:L4817)</f>
        <v>7457267</v>
      </c>
      <c r="M4809" s="891"/>
      <c r="N4809" s="891">
        <f>SUM(N4810:N4817)</f>
        <v>0</v>
      </c>
      <c r="O4809" s="892">
        <f t="shared" si="300"/>
        <v>1</v>
      </c>
      <c r="P4809" s="903">
        <f t="shared" si="301"/>
        <v>0</v>
      </c>
      <c r="Q4809" s="893">
        <f t="shared" si="302"/>
        <v>0</v>
      </c>
      <c r="R4809" s="894">
        <f t="shared" si="303"/>
        <v>8</v>
      </c>
    </row>
    <row r="4810" spans="1:18" s="904" customFormat="1">
      <c r="A4810" s="963"/>
      <c r="B4810" s="964"/>
      <c r="C4810" s="965"/>
      <c r="D4810" s="965"/>
      <c r="E4810" s="966" t="s">
        <v>108</v>
      </c>
      <c r="F4810" s="967"/>
      <c r="G4810" s="968"/>
      <c r="H4810" s="969"/>
      <c r="I4810" s="970"/>
      <c r="J4810" s="970"/>
      <c r="K4810" s="912" t="s">
        <v>274</v>
      </c>
      <c r="L4810" s="970"/>
      <c r="M4810" s="970"/>
      <c r="N4810" s="970"/>
      <c r="O4810" s="892">
        <f t="shared" si="300"/>
        <v>0</v>
      </c>
      <c r="P4810" s="903">
        <f t="shared" si="301"/>
        <v>1</v>
      </c>
      <c r="Q4810" s="893">
        <f t="shared" si="302"/>
        <v>8</v>
      </c>
      <c r="R4810" s="894">
        <f t="shared" si="303"/>
        <v>0</v>
      </c>
    </row>
    <row r="4811" spans="1:18">
      <c r="A4811" s="955"/>
      <c r="B4811" s="953"/>
      <c r="C4811" s="971">
        <v>55</v>
      </c>
      <c r="D4811" s="907" t="s">
        <v>279</v>
      </c>
      <c r="E4811" s="925" t="s">
        <v>3192</v>
      </c>
      <c r="F4811" s="973" t="s">
        <v>45</v>
      </c>
      <c r="G4811" s="974"/>
      <c r="H4811" s="975">
        <v>0.36</v>
      </c>
      <c r="I4811" s="912">
        <f>VLOOKUP(E4811,[3]VLP!$B$7:$K$300,10,0)</f>
        <v>2273</v>
      </c>
      <c r="J4811" s="912">
        <f>I4811*H4811</f>
        <v>818.28</v>
      </c>
      <c r="K4811" s="912" t="s">
        <v>274</v>
      </c>
      <c r="L4811" s="976"/>
      <c r="M4811" s="976"/>
      <c r="N4811" s="976"/>
      <c r="O4811" s="892">
        <f t="shared" si="300"/>
        <v>0</v>
      </c>
      <c r="P4811" s="903">
        <f t="shared" si="301"/>
        <v>1</v>
      </c>
      <c r="Q4811" s="893">
        <f t="shared" si="302"/>
        <v>7</v>
      </c>
      <c r="R4811" s="894">
        <f t="shared" si="303"/>
        <v>0</v>
      </c>
    </row>
    <row r="4812" spans="1:18">
      <c r="A4812" s="955"/>
      <c r="B4812" s="953"/>
      <c r="C4812" s="971">
        <v>44</v>
      </c>
      <c r="D4812" s="907" t="s">
        <v>279</v>
      </c>
      <c r="E4812" s="972" t="s">
        <v>2681</v>
      </c>
      <c r="F4812" s="973" t="s">
        <v>45</v>
      </c>
      <c r="G4812" s="974"/>
      <c r="H4812" s="975">
        <v>0.3</v>
      </c>
      <c r="I4812" s="912">
        <f>VLOOKUP(E4812,[3]VLP!$B$7:$K$300,10,0)</f>
        <v>23000</v>
      </c>
      <c r="J4812" s="912">
        <f>I4812*H4812</f>
        <v>6900</v>
      </c>
      <c r="K4812" s="912" t="s">
        <v>274</v>
      </c>
      <c r="L4812" s="976"/>
      <c r="M4812" s="976"/>
      <c r="N4812" s="976"/>
      <c r="O4812" s="892">
        <f t="shared" si="300"/>
        <v>0</v>
      </c>
      <c r="P4812" s="903">
        <f t="shared" si="301"/>
        <v>1</v>
      </c>
      <c r="Q4812" s="893">
        <f t="shared" si="302"/>
        <v>6</v>
      </c>
      <c r="R4812" s="894">
        <f t="shared" si="303"/>
        <v>0</v>
      </c>
    </row>
    <row r="4813" spans="1:18">
      <c r="A4813" s="955"/>
      <c r="B4813" s="953"/>
      <c r="C4813" s="971">
        <v>124</v>
      </c>
      <c r="D4813" s="907" t="s">
        <v>279</v>
      </c>
      <c r="E4813" s="972" t="s">
        <v>5432</v>
      </c>
      <c r="F4813" s="973" t="s">
        <v>3272</v>
      </c>
      <c r="G4813" s="974"/>
      <c r="H4813" s="975">
        <v>21</v>
      </c>
      <c r="I4813" s="912">
        <f>VLOOKUP(E4813,[3]VLP!$B$7:$K$300,10,0)</f>
        <v>20000</v>
      </c>
      <c r="J4813" s="912">
        <f>I4813*H4813</f>
        <v>420000</v>
      </c>
      <c r="K4813" s="912" t="s">
        <v>274</v>
      </c>
      <c r="L4813" s="976"/>
      <c r="M4813" s="976"/>
      <c r="N4813" s="976"/>
      <c r="O4813" s="892">
        <f t="shared" si="300"/>
        <v>0</v>
      </c>
      <c r="P4813" s="903">
        <f t="shared" si="301"/>
        <v>1</v>
      </c>
      <c r="Q4813" s="893">
        <f t="shared" si="302"/>
        <v>5</v>
      </c>
      <c r="R4813" s="894">
        <f t="shared" si="303"/>
        <v>0</v>
      </c>
    </row>
    <row r="4814" spans="1:18" s="904" customFormat="1">
      <c r="A4814" s="963"/>
      <c r="B4814" s="964"/>
      <c r="C4814" s="965"/>
      <c r="D4814" s="965"/>
      <c r="E4814" s="982" t="s">
        <v>276</v>
      </c>
      <c r="F4814" s="983"/>
      <c r="G4814" s="984"/>
      <c r="H4814" s="969"/>
      <c r="I4814" s="970"/>
      <c r="J4814" s="970"/>
      <c r="K4814" s="912" t="s">
        <v>274</v>
      </c>
      <c r="L4814" s="970"/>
      <c r="M4814" s="970"/>
      <c r="N4814" s="970"/>
      <c r="O4814" s="892">
        <f t="shared" si="300"/>
        <v>0</v>
      </c>
      <c r="P4814" s="903">
        <f t="shared" si="301"/>
        <v>1</v>
      </c>
      <c r="Q4814" s="893">
        <f t="shared" si="302"/>
        <v>4</v>
      </c>
      <c r="R4814" s="894">
        <f t="shared" si="303"/>
        <v>0</v>
      </c>
    </row>
    <row r="4815" spans="1:18">
      <c r="A4815" s="955"/>
      <c r="B4815" s="953"/>
      <c r="C4815" s="971">
        <v>745</v>
      </c>
      <c r="D4815" s="907" t="s">
        <v>12</v>
      </c>
      <c r="E4815" s="985" t="s">
        <v>5518</v>
      </c>
      <c r="F4815" s="986" t="s">
        <v>2674</v>
      </c>
      <c r="G4815" s="974"/>
      <c r="H4815" s="975">
        <v>31</v>
      </c>
      <c r="I4815" s="976"/>
      <c r="J4815" s="976"/>
      <c r="K4815" s="912">
        <f>VLOOKUP(E4815,[5]ĐMNC!$A$7:$F$67,4,0)</f>
        <v>240557</v>
      </c>
      <c r="L4815" s="912">
        <f>H4815*K4815</f>
        <v>7457267</v>
      </c>
      <c r="M4815" s="912"/>
      <c r="N4815" s="912"/>
      <c r="O4815" s="892">
        <f t="shared" si="300"/>
        <v>0</v>
      </c>
      <c r="P4815" s="903">
        <f t="shared" si="301"/>
        <v>1</v>
      </c>
      <c r="Q4815" s="893">
        <f t="shared" si="302"/>
        <v>3</v>
      </c>
      <c r="R4815" s="894">
        <f t="shared" si="303"/>
        <v>0</v>
      </c>
    </row>
    <row r="4816" spans="1:18" s="904" customFormat="1">
      <c r="A4816" s="963"/>
      <c r="B4816" s="964"/>
      <c r="C4816" s="965"/>
      <c r="D4816" s="965"/>
      <c r="E4816" s="966" t="s">
        <v>3914</v>
      </c>
      <c r="F4816" s="967"/>
      <c r="G4816" s="984"/>
      <c r="H4816" s="969"/>
      <c r="I4816" s="970"/>
      <c r="J4816" s="970"/>
      <c r="K4816" s="912" t="s">
        <v>274</v>
      </c>
      <c r="L4816" s="970"/>
      <c r="M4816" s="970"/>
      <c r="N4816" s="970"/>
      <c r="O4816" s="892">
        <f t="shared" si="300"/>
        <v>0</v>
      </c>
      <c r="P4816" s="903">
        <f t="shared" si="301"/>
        <v>1</v>
      </c>
      <c r="Q4816" s="893">
        <f t="shared" si="302"/>
        <v>2</v>
      </c>
      <c r="R4816" s="894">
        <f t="shared" si="303"/>
        <v>0</v>
      </c>
    </row>
    <row r="4817" spans="1:18">
      <c r="A4817" s="955"/>
      <c r="B4817" s="914" t="s">
        <v>3974</v>
      </c>
      <c r="C4817" s="971">
        <v>817</v>
      </c>
      <c r="D4817" s="907" t="s">
        <v>93</v>
      </c>
      <c r="E4817" s="972" t="s">
        <v>5555</v>
      </c>
      <c r="F4817" s="986" t="s">
        <v>2673</v>
      </c>
      <c r="G4817" s="974"/>
      <c r="H4817" s="975">
        <v>0.2</v>
      </c>
      <c r="I4817" s="976"/>
      <c r="J4817" s="976"/>
      <c r="K4817" s="912"/>
      <c r="L4817" s="912"/>
      <c r="M4817" s="912">
        <f>VLOOKUP(B4817,MTC!$B$9:$S$933,12,0)</f>
        <v>0</v>
      </c>
      <c r="N4817" s="912">
        <f>M4817*H4817</f>
        <v>0</v>
      </c>
      <c r="O4817" s="892">
        <f t="shared" si="300"/>
        <v>0</v>
      </c>
      <c r="P4817" s="903">
        <f t="shared" si="301"/>
        <v>1</v>
      </c>
      <c r="Q4817" s="893">
        <f t="shared" si="302"/>
        <v>1</v>
      </c>
      <c r="R4817" s="894">
        <f t="shared" si="303"/>
        <v>0</v>
      </c>
    </row>
    <row r="4818" spans="1:18" s="847" customFormat="1" ht="31.5">
      <c r="A4818" s="955"/>
      <c r="B4818" s="953" t="s">
        <v>5604</v>
      </c>
      <c r="C4818" s="956"/>
      <c r="D4818" s="956"/>
      <c r="E4818" s="957" t="s">
        <v>5605</v>
      </c>
      <c r="F4818" s="958" t="s">
        <v>150</v>
      </c>
      <c r="G4818" s="959"/>
      <c r="H4818" s="960"/>
      <c r="I4818" s="961"/>
      <c r="J4818" s="891">
        <f>SUM(J4819:J4826)</f>
        <v>427718.28</v>
      </c>
      <c r="K4818" s="891"/>
      <c r="L4818" s="891">
        <f>SUM(L4819:L4826)</f>
        <v>8801980.6300000008</v>
      </c>
      <c r="M4818" s="891"/>
      <c r="N4818" s="891">
        <f>SUM(N4819:N4826)</f>
        <v>0</v>
      </c>
      <c r="O4818" s="892">
        <f t="shared" si="300"/>
        <v>1</v>
      </c>
      <c r="P4818" s="903">
        <f t="shared" si="301"/>
        <v>0</v>
      </c>
      <c r="Q4818" s="893">
        <f t="shared" si="302"/>
        <v>0</v>
      </c>
      <c r="R4818" s="894">
        <f t="shared" si="303"/>
        <v>8</v>
      </c>
    </row>
    <row r="4819" spans="1:18" s="904" customFormat="1">
      <c r="A4819" s="963"/>
      <c r="B4819" s="964"/>
      <c r="C4819" s="965"/>
      <c r="D4819" s="965"/>
      <c r="E4819" s="966" t="s">
        <v>108</v>
      </c>
      <c r="F4819" s="967"/>
      <c r="G4819" s="968"/>
      <c r="H4819" s="969"/>
      <c r="I4819" s="970"/>
      <c r="J4819" s="970"/>
      <c r="K4819" s="912" t="s">
        <v>274</v>
      </c>
      <c r="L4819" s="970"/>
      <c r="M4819" s="970"/>
      <c r="N4819" s="970"/>
      <c r="O4819" s="892">
        <f t="shared" si="300"/>
        <v>0</v>
      </c>
      <c r="P4819" s="903">
        <f t="shared" si="301"/>
        <v>1</v>
      </c>
      <c r="Q4819" s="893">
        <f t="shared" si="302"/>
        <v>8</v>
      </c>
      <c r="R4819" s="894">
        <f t="shared" si="303"/>
        <v>0</v>
      </c>
    </row>
    <row r="4820" spans="1:18">
      <c r="A4820" s="955"/>
      <c r="B4820" s="953"/>
      <c r="C4820" s="971">
        <v>55</v>
      </c>
      <c r="D4820" s="907" t="s">
        <v>279</v>
      </c>
      <c r="E4820" s="925" t="s">
        <v>3192</v>
      </c>
      <c r="F4820" s="973" t="s">
        <v>45</v>
      </c>
      <c r="G4820" s="974"/>
      <c r="H4820" s="975">
        <v>0.36</v>
      </c>
      <c r="I4820" s="912">
        <f>VLOOKUP(E4820,[3]VLP!$B$7:$K$300,10,0)</f>
        <v>2273</v>
      </c>
      <c r="J4820" s="912">
        <f>I4820*H4820</f>
        <v>818.28</v>
      </c>
      <c r="K4820" s="912" t="s">
        <v>274</v>
      </c>
      <c r="L4820" s="976"/>
      <c r="M4820" s="976"/>
      <c r="N4820" s="976"/>
      <c r="O4820" s="892">
        <f t="shared" si="300"/>
        <v>0</v>
      </c>
      <c r="P4820" s="903">
        <f t="shared" si="301"/>
        <v>1</v>
      </c>
      <c r="Q4820" s="893">
        <f t="shared" si="302"/>
        <v>7</v>
      </c>
      <c r="R4820" s="894">
        <f t="shared" si="303"/>
        <v>0</v>
      </c>
    </row>
    <row r="4821" spans="1:18">
      <c r="A4821" s="955"/>
      <c r="B4821" s="953"/>
      <c r="C4821" s="971">
        <v>44</v>
      </c>
      <c r="D4821" s="907" t="s">
        <v>279</v>
      </c>
      <c r="E4821" s="972" t="s">
        <v>2681</v>
      </c>
      <c r="F4821" s="973" t="s">
        <v>45</v>
      </c>
      <c r="G4821" s="974"/>
      <c r="H4821" s="975">
        <v>0.3</v>
      </c>
      <c r="I4821" s="912">
        <f>VLOOKUP(E4821,[3]VLP!$B$7:$K$300,10,0)</f>
        <v>23000</v>
      </c>
      <c r="J4821" s="912">
        <f>I4821*H4821</f>
        <v>6900</v>
      </c>
      <c r="K4821" s="912" t="s">
        <v>274</v>
      </c>
      <c r="L4821" s="976"/>
      <c r="M4821" s="976"/>
      <c r="N4821" s="976"/>
      <c r="O4821" s="892">
        <f t="shared" si="300"/>
        <v>0</v>
      </c>
      <c r="P4821" s="903">
        <f t="shared" si="301"/>
        <v>1</v>
      </c>
      <c r="Q4821" s="893">
        <f t="shared" si="302"/>
        <v>6</v>
      </c>
      <c r="R4821" s="894">
        <f t="shared" si="303"/>
        <v>0</v>
      </c>
    </row>
    <row r="4822" spans="1:18">
      <c r="A4822" s="955"/>
      <c r="B4822" s="953"/>
      <c r="C4822" s="971">
        <v>124</v>
      </c>
      <c r="D4822" s="907" t="s">
        <v>279</v>
      </c>
      <c r="E4822" s="972" t="s">
        <v>5432</v>
      </c>
      <c r="F4822" s="973" t="s">
        <v>3272</v>
      </c>
      <c r="G4822" s="974"/>
      <c r="H4822" s="975">
        <v>21</v>
      </c>
      <c r="I4822" s="912">
        <f>VLOOKUP(E4822,[3]VLP!$B$7:$K$300,10,0)</f>
        <v>20000</v>
      </c>
      <c r="J4822" s="912">
        <f>I4822*H4822</f>
        <v>420000</v>
      </c>
      <c r="K4822" s="912" t="s">
        <v>274</v>
      </c>
      <c r="L4822" s="976"/>
      <c r="M4822" s="976"/>
      <c r="N4822" s="976"/>
      <c r="O4822" s="892">
        <f t="shared" si="300"/>
        <v>0</v>
      </c>
      <c r="P4822" s="903">
        <f t="shared" si="301"/>
        <v>1</v>
      </c>
      <c r="Q4822" s="893">
        <f t="shared" si="302"/>
        <v>5</v>
      </c>
      <c r="R4822" s="894">
        <f t="shared" si="303"/>
        <v>0</v>
      </c>
    </row>
    <row r="4823" spans="1:18" s="904" customFormat="1">
      <c r="A4823" s="963"/>
      <c r="B4823" s="964"/>
      <c r="C4823" s="965"/>
      <c r="D4823" s="965"/>
      <c r="E4823" s="982" t="s">
        <v>276</v>
      </c>
      <c r="F4823" s="983"/>
      <c r="G4823" s="984"/>
      <c r="H4823" s="969"/>
      <c r="I4823" s="970"/>
      <c r="J4823" s="970"/>
      <c r="K4823" s="912" t="s">
        <v>274</v>
      </c>
      <c r="L4823" s="970"/>
      <c r="M4823" s="970"/>
      <c r="N4823" s="970"/>
      <c r="O4823" s="892">
        <f t="shared" si="300"/>
        <v>0</v>
      </c>
      <c r="P4823" s="903">
        <f t="shared" si="301"/>
        <v>1</v>
      </c>
      <c r="Q4823" s="893">
        <f t="shared" si="302"/>
        <v>4</v>
      </c>
      <c r="R4823" s="894">
        <f t="shared" si="303"/>
        <v>0</v>
      </c>
    </row>
    <row r="4824" spans="1:18">
      <c r="A4824" s="955"/>
      <c r="B4824" s="953"/>
      <c r="C4824" s="971">
        <v>745</v>
      </c>
      <c r="D4824" s="907" t="s">
        <v>12</v>
      </c>
      <c r="E4824" s="985" t="s">
        <v>5518</v>
      </c>
      <c r="F4824" s="986" t="s">
        <v>2674</v>
      </c>
      <c r="G4824" s="974"/>
      <c r="H4824" s="975">
        <v>36.590000000000003</v>
      </c>
      <c r="I4824" s="976"/>
      <c r="J4824" s="976"/>
      <c r="K4824" s="912">
        <f>VLOOKUP(E4824,[5]ĐMNC!$A$7:$F$67,4,0)</f>
        <v>240557</v>
      </c>
      <c r="L4824" s="912">
        <f>H4824*K4824</f>
        <v>8801980.6300000008</v>
      </c>
      <c r="M4824" s="912"/>
      <c r="N4824" s="912"/>
      <c r="O4824" s="892">
        <f t="shared" si="300"/>
        <v>0</v>
      </c>
      <c r="P4824" s="903">
        <f t="shared" si="301"/>
        <v>1</v>
      </c>
      <c r="Q4824" s="893">
        <f t="shared" si="302"/>
        <v>3</v>
      </c>
      <c r="R4824" s="894">
        <f t="shared" si="303"/>
        <v>0</v>
      </c>
    </row>
    <row r="4825" spans="1:18" s="904" customFormat="1">
      <c r="A4825" s="963"/>
      <c r="B4825" s="964"/>
      <c r="C4825" s="965"/>
      <c r="D4825" s="965"/>
      <c r="E4825" s="966" t="s">
        <v>3914</v>
      </c>
      <c r="F4825" s="967"/>
      <c r="G4825" s="984"/>
      <c r="H4825" s="969"/>
      <c r="I4825" s="970"/>
      <c r="J4825" s="970"/>
      <c r="K4825" s="912" t="s">
        <v>274</v>
      </c>
      <c r="L4825" s="970"/>
      <c r="M4825" s="970"/>
      <c r="N4825" s="970"/>
      <c r="O4825" s="892">
        <f t="shared" si="300"/>
        <v>0</v>
      </c>
      <c r="P4825" s="903">
        <f t="shared" si="301"/>
        <v>1</v>
      </c>
      <c r="Q4825" s="893">
        <f t="shared" si="302"/>
        <v>2</v>
      </c>
      <c r="R4825" s="894">
        <f t="shared" si="303"/>
        <v>0</v>
      </c>
    </row>
    <row r="4826" spans="1:18">
      <c r="A4826" s="955"/>
      <c r="B4826" s="914" t="s">
        <v>3974</v>
      </c>
      <c r="C4826" s="971">
        <v>817</v>
      </c>
      <c r="D4826" s="907" t="s">
        <v>93</v>
      </c>
      <c r="E4826" s="972" t="s">
        <v>5555</v>
      </c>
      <c r="F4826" s="986" t="s">
        <v>2673</v>
      </c>
      <c r="G4826" s="974"/>
      <c r="H4826" s="975">
        <v>0.2</v>
      </c>
      <c r="I4826" s="976"/>
      <c r="J4826" s="976"/>
      <c r="K4826" s="912"/>
      <c r="L4826" s="912"/>
      <c r="M4826" s="912">
        <f>VLOOKUP(B4826,MTC!$B$9:$S$933,12,0)</f>
        <v>0</v>
      </c>
      <c r="N4826" s="912">
        <f>M4826*H4826</f>
        <v>0</v>
      </c>
      <c r="O4826" s="892">
        <f t="shared" si="300"/>
        <v>0</v>
      </c>
      <c r="P4826" s="903">
        <f t="shared" si="301"/>
        <v>1</v>
      </c>
      <c r="Q4826" s="893">
        <f t="shared" si="302"/>
        <v>1</v>
      </c>
      <c r="R4826" s="894">
        <f t="shared" si="303"/>
        <v>0</v>
      </c>
    </row>
    <row r="4827" spans="1:18" s="847" customFormat="1" ht="31.5">
      <c r="A4827" s="955"/>
      <c r="B4827" s="953" t="s">
        <v>5606</v>
      </c>
      <c r="C4827" s="956"/>
      <c r="D4827" s="956"/>
      <c r="E4827" s="957" t="s">
        <v>5607</v>
      </c>
      <c r="F4827" s="958" t="s">
        <v>150</v>
      </c>
      <c r="G4827" s="959"/>
      <c r="H4827" s="960"/>
      <c r="I4827" s="961"/>
      <c r="J4827" s="891">
        <f>SUM(J4828:J4835)</f>
        <v>427718.28</v>
      </c>
      <c r="K4827" s="891"/>
      <c r="L4827" s="891">
        <f>SUM(L4828:L4835)</f>
        <v>9680013.6799999997</v>
      </c>
      <c r="M4827" s="891"/>
      <c r="N4827" s="891">
        <f>SUM(N4828:N4835)</f>
        <v>0</v>
      </c>
      <c r="O4827" s="892">
        <f t="shared" si="300"/>
        <v>1</v>
      </c>
      <c r="P4827" s="903">
        <f t="shared" si="301"/>
        <v>0</v>
      </c>
      <c r="Q4827" s="893">
        <f t="shared" si="302"/>
        <v>0</v>
      </c>
      <c r="R4827" s="894">
        <f t="shared" si="303"/>
        <v>8</v>
      </c>
    </row>
    <row r="4828" spans="1:18" s="904" customFormat="1">
      <c r="A4828" s="963"/>
      <c r="B4828" s="964"/>
      <c r="C4828" s="965"/>
      <c r="D4828" s="965"/>
      <c r="E4828" s="966" t="s">
        <v>108</v>
      </c>
      <c r="F4828" s="967"/>
      <c r="G4828" s="968"/>
      <c r="H4828" s="969"/>
      <c r="I4828" s="970"/>
      <c r="J4828" s="970"/>
      <c r="K4828" s="912" t="s">
        <v>274</v>
      </c>
      <c r="L4828" s="970"/>
      <c r="M4828" s="970"/>
      <c r="N4828" s="970"/>
      <c r="O4828" s="892">
        <f t="shared" si="300"/>
        <v>0</v>
      </c>
      <c r="P4828" s="903">
        <f t="shared" si="301"/>
        <v>1</v>
      </c>
      <c r="Q4828" s="893">
        <f t="shared" si="302"/>
        <v>8</v>
      </c>
      <c r="R4828" s="894">
        <f t="shared" si="303"/>
        <v>0</v>
      </c>
    </row>
    <row r="4829" spans="1:18">
      <c r="A4829" s="955"/>
      <c r="B4829" s="953"/>
      <c r="C4829" s="971">
        <v>55</v>
      </c>
      <c r="D4829" s="907" t="s">
        <v>279</v>
      </c>
      <c r="E4829" s="925" t="s">
        <v>3192</v>
      </c>
      <c r="F4829" s="973" t="s">
        <v>45</v>
      </c>
      <c r="G4829" s="974"/>
      <c r="H4829" s="975">
        <v>0.36</v>
      </c>
      <c r="I4829" s="912">
        <f>VLOOKUP(E4829,[3]VLP!$B$7:$K$300,10,0)</f>
        <v>2273</v>
      </c>
      <c r="J4829" s="912">
        <f>I4829*H4829</f>
        <v>818.28</v>
      </c>
      <c r="K4829" s="912" t="s">
        <v>274</v>
      </c>
      <c r="L4829" s="976"/>
      <c r="M4829" s="976"/>
      <c r="N4829" s="976"/>
      <c r="O4829" s="892">
        <f t="shared" si="300"/>
        <v>0</v>
      </c>
      <c r="P4829" s="903">
        <f t="shared" si="301"/>
        <v>1</v>
      </c>
      <c r="Q4829" s="893">
        <f t="shared" si="302"/>
        <v>7</v>
      </c>
      <c r="R4829" s="894">
        <f t="shared" si="303"/>
        <v>0</v>
      </c>
    </row>
    <row r="4830" spans="1:18">
      <c r="A4830" s="955"/>
      <c r="B4830" s="953"/>
      <c r="C4830" s="971">
        <v>44</v>
      </c>
      <c r="D4830" s="907" t="s">
        <v>279</v>
      </c>
      <c r="E4830" s="972" t="s">
        <v>2681</v>
      </c>
      <c r="F4830" s="973" t="s">
        <v>45</v>
      </c>
      <c r="G4830" s="974"/>
      <c r="H4830" s="975">
        <v>0.3</v>
      </c>
      <c r="I4830" s="912">
        <f>VLOOKUP(E4830,[3]VLP!$B$7:$K$300,10,0)</f>
        <v>23000</v>
      </c>
      <c r="J4830" s="912">
        <f>I4830*H4830</f>
        <v>6900</v>
      </c>
      <c r="K4830" s="912" t="s">
        <v>274</v>
      </c>
      <c r="L4830" s="976"/>
      <c r="M4830" s="976"/>
      <c r="N4830" s="976"/>
      <c r="O4830" s="892">
        <f t="shared" si="300"/>
        <v>0</v>
      </c>
      <c r="P4830" s="903">
        <f t="shared" si="301"/>
        <v>1</v>
      </c>
      <c r="Q4830" s="893">
        <f t="shared" si="302"/>
        <v>6</v>
      </c>
      <c r="R4830" s="894">
        <f t="shared" si="303"/>
        <v>0</v>
      </c>
    </row>
    <row r="4831" spans="1:18">
      <c r="A4831" s="955"/>
      <c r="B4831" s="953"/>
      <c r="C4831" s="971">
        <v>124</v>
      </c>
      <c r="D4831" s="907" t="s">
        <v>279</v>
      </c>
      <c r="E4831" s="972" t="s">
        <v>5432</v>
      </c>
      <c r="F4831" s="973" t="s">
        <v>3272</v>
      </c>
      <c r="G4831" s="974"/>
      <c r="H4831" s="975">
        <v>21</v>
      </c>
      <c r="I4831" s="912">
        <f>VLOOKUP(E4831,[3]VLP!$B$7:$K$300,10,0)</f>
        <v>20000</v>
      </c>
      <c r="J4831" s="912">
        <f>I4831*H4831</f>
        <v>420000</v>
      </c>
      <c r="K4831" s="912" t="s">
        <v>274</v>
      </c>
      <c r="L4831" s="976"/>
      <c r="M4831" s="976"/>
      <c r="N4831" s="976"/>
      <c r="O4831" s="892">
        <f t="shared" ref="O4831:O4894" si="304">IF(AND(B4831&lt;&gt;"",D4831=""),1,0)</f>
        <v>0</v>
      </c>
      <c r="P4831" s="903">
        <f t="shared" si="301"/>
        <v>1</v>
      </c>
      <c r="Q4831" s="893">
        <f t="shared" si="302"/>
        <v>5</v>
      </c>
      <c r="R4831" s="894">
        <f t="shared" si="303"/>
        <v>0</v>
      </c>
    </row>
    <row r="4832" spans="1:18" s="904" customFormat="1">
      <c r="A4832" s="963"/>
      <c r="B4832" s="964"/>
      <c r="C4832" s="965"/>
      <c r="D4832" s="965"/>
      <c r="E4832" s="982" t="s">
        <v>276</v>
      </c>
      <c r="F4832" s="983"/>
      <c r="G4832" s="984"/>
      <c r="H4832" s="969"/>
      <c r="I4832" s="970"/>
      <c r="J4832" s="970"/>
      <c r="K4832" s="912" t="s">
        <v>274</v>
      </c>
      <c r="L4832" s="970"/>
      <c r="M4832" s="970"/>
      <c r="N4832" s="970"/>
      <c r="O4832" s="892">
        <f t="shared" si="304"/>
        <v>0</v>
      </c>
      <c r="P4832" s="903">
        <f t="shared" si="301"/>
        <v>1</v>
      </c>
      <c r="Q4832" s="893">
        <f t="shared" si="302"/>
        <v>4</v>
      </c>
      <c r="R4832" s="894">
        <f t="shared" si="303"/>
        <v>0</v>
      </c>
    </row>
    <row r="4833" spans="1:18">
      <c r="A4833" s="955"/>
      <c r="B4833" s="953"/>
      <c r="C4833" s="971">
        <v>745</v>
      </c>
      <c r="D4833" s="907" t="s">
        <v>12</v>
      </c>
      <c r="E4833" s="985" t="s">
        <v>5518</v>
      </c>
      <c r="F4833" s="986" t="s">
        <v>2674</v>
      </c>
      <c r="G4833" s="974"/>
      <c r="H4833" s="975">
        <v>40.24</v>
      </c>
      <c r="I4833" s="976"/>
      <c r="J4833" s="976"/>
      <c r="K4833" s="912">
        <f>VLOOKUP(E4833,[5]ĐMNC!$A$7:$F$67,4,0)</f>
        <v>240557</v>
      </c>
      <c r="L4833" s="912">
        <f>H4833*K4833</f>
        <v>9680013.6799999997</v>
      </c>
      <c r="M4833" s="912"/>
      <c r="N4833" s="912"/>
      <c r="O4833" s="892">
        <f t="shared" si="304"/>
        <v>0</v>
      </c>
      <c r="P4833" s="903">
        <f t="shared" si="301"/>
        <v>1</v>
      </c>
      <c r="Q4833" s="893">
        <f t="shared" si="302"/>
        <v>3</v>
      </c>
      <c r="R4833" s="894">
        <f t="shared" si="303"/>
        <v>0</v>
      </c>
    </row>
    <row r="4834" spans="1:18" s="904" customFormat="1">
      <c r="A4834" s="963"/>
      <c r="B4834" s="964"/>
      <c r="C4834" s="965"/>
      <c r="D4834" s="965"/>
      <c r="E4834" s="966" t="s">
        <v>3914</v>
      </c>
      <c r="F4834" s="967"/>
      <c r="G4834" s="984"/>
      <c r="H4834" s="969"/>
      <c r="I4834" s="970"/>
      <c r="J4834" s="970"/>
      <c r="K4834" s="912" t="s">
        <v>274</v>
      </c>
      <c r="L4834" s="970"/>
      <c r="M4834" s="970"/>
      <c r="N4834" s="970"/>
      <c r="O4834" s="892">
        <f t="shared" si="304"/>
        <v>0</v>
      </c>
      <c r="P4834" s="903">
        <f t="shared" si="301"/>
        <v>1</v>
      </c>
      <c r="Q4834" s="893">
        <f t="shared" si="302"/>
        <v>2</v>
      </c>
      <c r="R4834" s="894">
        <f t="shared" si="303"/>
        <v>0</v>
      </c>
    </row>
    <row r="4835" spans="1:18">
      <c r="A4835" s="955"/>
      <c r="B4835" s="914" t="s">
        <v>3974</v>
      </c>
      <c r="C4835" s="971">
        <v>817</v>
      </c>
      <c r="D4835" s="907" t="s">
        <v>93</v>
      </c>
      <c r="E4835" s="972" t="s">
        <v>5555</v>
      </c>
      <c r="F4835" s="986" t="s">
        <v>2673</v>
      </c>
      <c r="G4835" s="974"/>
      <c r="H4835" s="975">
        <v>0.2</v>
      </c>
      <c r="I4835" s="976"/>
      <c r="J4835" s="976"/>
      <c r="K4835" s="912"/>
      <c r="L4835" s="912"/>
      <c r="M4835" s="912">
        <f>VLOOKUP(B4835,MTC!$B$9:$S$933,12,0)</f>
        <v>0</v>
      </c>
      <c r="N4835" s="912">
        <f>M4835*H4835</f>
        <v>0</v>
      </c>
      <c r="O4835" s="892">
        <f t="shared" si="304"/>
        <v>0</v>
      </c>
      <c r="P4835" s="903">
        <f t="shared" si="301"/>
        <v>1</v>
      </c>
      <c r="Q4835" s="893">
        <f t="shared" si="302"/>
        <v>1</v>
      </c>
      <c r="R4835" s="894">
        <f t="shared" si="303"/>
        <v>0</v>
      </c>
    </row>
    <row r="4836" spans="1:18" s="847" customFormat="1" ht="47.25">
      <c r="A4836" s="955"/>
      <c r="B4836" s="953" t="s">
        <v>5608</v>
      </c>
      <c r="C4836" s="956"/>
      <c r="D4836" s="956"/>
      <c r="E4836" s="957" t="s">
        <v>5609</v>
      </c>
      <c r="F4836" s="958" t="s">
        <v>150</v>
      </c>
      <c r="G4836" s="959"/>
      <c r="H4836" s="960"/>
      <c r="I4836" s="961"/>
      <c r="J4836" s="891">
        <f>SUM(J4837:J4841)</f>
        <v>0</v>
      </c>
      <c r="K4836" s="891"/>
      <c r="L4836" s="891">
        <f>SUM(L4837:L4841)</f>
        <v>1335595</v>
      </c>
      <c r="M4836" s="891"/>
      <c r="N4836" s="891">
        <f>SUM(N4837:N4841)</f>
        <v>0</v>
      </c>
      <c r="O4836" s="892">
        <f t="shared" si="304"/>
        <v>1</v>
      </c>
      <c r="P4836" s="903">
        <f t="shared" si="301"/>
        <v>0</v>
      </c>
      <c r="Q4836" s="893">
        <f t="shared" si="302"/>
        <v>0</v>
      </c>
      <c r="R4836" s="894">
        <f t="shared" si="303"/>
        <v>5</v>
      </c>
    </row>
    <row r="4837" spans="1:18" s="904" customFormat="1">
      <c r="A4837" s="963"/>
      <c r="B4837" s="964"/>
      <c r="C4837" s="965"/>
      <c r="D4837" s="965"/>
      <c r="E4837" s="982" t="s">
        <v>276</v>
      </c>
      <c r="F4837" s="983"/>
      <c r="G4837" s="984"/>
      <c r="H4837" s="969"/>
      <c r="I4837" s="970"/>
      <c r="J4837" s="970"/>
      <c r="K4837" s="912" t="s">
        <v>274</v>
      </c>
      <c r="L4837" s="970"/>
      <c r="M4837" s="970"/>
      <c r="N4837" s="970"/>
      <c r="O4837" s="892">
        <f t="shared" si="304"/>
        <v>0</v>
      </c>
      <c r="P4837" s="903">
        <f t="shared" si="301"/>
        <v>1</v>
      </c>
      <c r="Q4837" s="893">
        <f t="shared" si="302"/>
        <v>5</v>
      </c>
      <c r="R4837" s="894">
        <f t="shared" si="303"/>
        <v>0</v>
      </c>
    </row>
    <row r="4838" spans="1:18">
      <c r="A4838" s="955"/>
      <c r="B4838" s="953"/>
      <c r="C4838" s="971">
        <v>740</v>
      </c>
      <c r="D4838" s="907" t="s">
        <v>12</v>
      </c>
      <c r="E4838" s="985" t="s">
        <v>4008</v>
      </c>
      <c r="F4838" s="986" t="s">
        <v>2674</v>
      </c>
      <c r="G4838" s="974"/>
      <c r="H4838" s="975">
        <v>6.04</v>
      </c>
      <c r="I4838" s="976"/>
      <c r="J4838" s="976"/>
      <c r="K4838" s="912">
        <f>VLOOKUP(E4838,[5]ĐMNC!$A$7:$F$67,4,0)</f>
        <v>221125</v>
      </c>
      <c r="L4838" s="912">
        <f>H4838*K4838</f>
        <v>1335595</v>
      </c>
      <c r="M4838" s="912"/>
      <c r="N4838" s="912"/>
      <c r="O4838" s="892">
        <f t="shared" si="304"/>
        <v>0</v>
      </c>
      <c r="P4838" s="903">
        <f t="shared" si="301"/>
        <v>1</v>
      </c>
      <c r="Q4838" s="893">
        <f t="shared" si="302"/>
        <v>4</v>
      </c>
      <c r="R4838" s="894">
        <f t="shared" si="303"/>
        <v>0</v>
      </c>
    </row>
    <row r="4839" spans="1:18" s="904" customFormat="1">
      <c r="A4839" s="963"/>
      <c r="B4839" s="964"/>
      <c r="C4839" s="965"/>
      <c r="D4839" s="965"/>
      <c r="E4839" s="966" t="s">
        <v>3914</v>
      </c>
      <c r="F4839" s="967"/>
      <c r="G4839" s="984"/>
      <c r="H4839" s="969"/>
      <c r="I4839" s="970"/>
      <c r="J4839" s="970"/>
      <c r="K4839" s="912" t="s">
        <v>274</v>
      </c>
      <c r="L4839" s="970"/>
      <c r="M4839" s="970"/>
      <c r="N4839" s="970"/>
      <c r="O4839" s="892">
        <f t="shared" si="304"/>
        <v>0</v>
      </c>
      <c r="P4839" s="903">
        <f t="shared" si="301"/>
        <v>1</v>
      </c>
      <c r="Q4839" s="893">
        <f t="shared" si="302"/>
        <v>3</v>
      </c>
      <c r="R4839" s="894">
        <f t="shared" si="303"/>
        <v>0</v>
      </c>
    </row>
    <row r="4840" spans="1:18">
      <c r="A4840" s="955"/>
      <c r="B4840" s="953" t="s">
        <v>5610</v>
      </c>
      <c r="C4840" s="971">
        <v>823</v>
      </c>
      <c r="D4840" s="907" t="s">
        <v>93</v>
      </c>
      <c r="E4840" s="972" t="s">
        <v>5611</v>
      </c>
      <c r="F4840" s="986" t="s">
        <v>2673</v>
      </c>
      <c r="G4840" s="974"/>
      <c r="H4840" s="975">
        <v>0.15</v>
      </c>
      <c r="I4840" s="976"/>
      <c r="J4840" s="976"/>
      <c r="K4840" s="912"/>
      <c r="L4840" s="912"/>
      <c r="M4840" s="912">
        <f>VLOOKUP(B4840,MTC!$B$9:$S$933,12,0)</f>
        <v>0</v>
      </c>
      <c r="N4840" s="912">
        <f>M4840*H4840</f>
        <v>0</v>
      </c>
      <c r="O4840" s="892">
        <f t="shared" si="304"/>
        <v>0</v>
      </c>
      <c r="P4840" s="903">
        <f t="shared" ref="P4840:P4903" si="305">IF(O4840=0,1,0)</f>
        <v>1</v>
      </c>
      <c r="Q4840" s="893">
        <f t="shared" ref="Q4840:Q4903" si="306">IF(P4840=0,0,P4840+Q4841)</f>
        <v>2</v>
      </c>
      <c r="R4840" s="894">
        <f t="shared" ref="R4840:R4903" si="307">IF(Q4840=0,Q4841,0)</f>
        <v>0</v>
      </c>
    </row>
    <row r="4841" spans="1:18">
      <c r="A4841" s="955"/>
      <c r="B4841" s="914" t="s">
        <v>3974</v>
      </c>
      <c r="C4841" s="971">
        <v>817</v>
      </c>
      <c r="D4841" s="907" t="s">
        <v>93</v>
      </c>
      <c r="E4841" s="972" t="s">
        <v>5555</v>
      </c>
      <c r="F4841" s="986" t="s">
        <v>2673</v>
      </c>
      <c r="G4841" s="974"/>
      <c r="H4841" s="975">
        <v>0.2</v>
      </c>
      <c r="I4841" s="976"/>
      <c r="J4841" s="976"/>
      <c r="K4841" s="912"/>
      <c r="L4841" s="912"/>
      <c r="M4841" s="912">
        <f>VLOOKUP(B4841,MTC!$B$9:$S$933,12,0)</f>
        <v>0</v>
      </c>
      <c r="N4841" s="912">
        <f>M4841*H4841</f>
        <v>0</v>
      </c>
      <c r="O4841" s="892">
        <f t="shared" si="304"/>
        <v>0</v>
      </c>
      <c r="P4841" s="903">
        <f t="shared" si="305"/>
        <v>1</v>
      </c>
      <c r="Q4841" s="893">
        <f t="shared" si="306"/>
        <v>1</v>
      </c>
      <c r="R4841" s="894">
        <f t="shared" si="307"/>
        <v>0</v>
      </c>
    </row>
    <row r="4842" spans="1:18" s="847" customFormat="1" ht="47.25">
      <c r="A4842" s="955"/>
      <c r="B4842" s="953" t="s">
        <v>5612</v>
      </c>
      <c r="C4842" s="956"/>
      <c r="D4842" s="956"/>
      <c r="E4842" s="957" t="s">
        <v>5613</v>
      </c>
      <c r="F4842" s="958" t="s">
        <v>150</v>
      </c>
      <c r="G4842" s="959"/>
      <c r="H4842" s="960"/>
      <c r="I4842" s="961"/>
      <c r="J4842" s="891">
        <f>SUM(J4843:J4847)</f>
        <v>0</v>
      </c>
      <c r="K4842" s="891"/>
      <c r="L4842" s="891">
        <f>SUM(L4843:L4847)</f>
        <v>1797746.2500000002</v>
      </c>
      <c r="M4842" s="891"/>
      <c r="N4842" s="891">
        <f>SUM(N4843:N4847)</f>
        <v>0</v>
      </c>
      <c r="O4842" s="892">
        <f t="shared" si="304"/>
        <v>1</v>
      </c>
      <c r="P4842" s="903">
        <f t="shared" si="305"/>
        <v>0</v>
      </c>
      <c r="Q4842" s="893">
        <f t="shared" si="306"/>
        <v>0</v>
      </c>
      <c r="R4842" s="894">
        <f t="shared" si="307"/>
        <v>5</v>
      </c>
    </row>
    <row r="4843" spans="1:18" s="904" customFormat="1">
      <c r="A4843" s="963"/>
      <c r="B4843" s="964"/>
      <c r="C4843" s="965"/>
      <c r="D4843" s="965"/>
      <c r="E4843" s="982" t="s">
        <v>276</v>
      </c>
      <c r="F4843" s="983"/>
      <c r="G4843" s="984"/>
      <c r="H4843" s="969"/>
      <c r="I4843" s="970"/>
      <c r="J4843" s="970"/>
      <c r="K4843" s="912" t="s">
        <v>274</v>
      </c>
      <c r="L4843" s="970"/>
      <c r="M4843" s="970"/>
      <c r="N4843" s="970"/>
      <c r="O4843" s="892">
        <f t="shared" si="304"/>
        <v>0</v>
      </c>
      <c r="P4843" s="903">
        <f t="shared" si="305"/>
        <v>1</v>
      </c>
      <c r="Q4843" s="893">
        <f t="shared" si="306"/>
        <v>5</v>
      </c>
      <c r="R4843" s="894">
        <f t="shared" si="307"/>
        <v>0</v>
      </c>
    </row>
    <row r="4844" spans="1:18">
      <c r="A4844" s="955"/>
      <c r="B4844" s="953"/>
      <c r="C4844" s="971">
        <v>740</v>
      </c>
      <c r="D4844" s="907" t="s">
        <v>12</v>
      </c>
      <c r="E4844" s="985" t="s">
        <v>4008</v>
      </c>
      <c r="F4844" s="986" t="s">
        <v>2674</v>
      </c>
      <c r="G4844" s="974"/>
      <c r="H4844" s="975">
        <v>8.1300000000000008</v>
      </c>
      <c r="I4844" s="976"/>
      <c r="J4844" s="976"/>
      <c r="K4844" s="912">
        <f>VLOOKUP(E4844,[5]ĐMNC!$A$7:$F$67,4,0)</f>
        <v>221125</v>
      </c>
      <c r="L4844" s="912">
        <f>H4844*K4844</f>
        <v>1797746.2500000002</v>
      </c>
      <c r="M4844" s="912"/>
      <c r="N4844" s="912"/>
      <c r="O4844" s="892">
        <f t="shared" si="304"/>
        <v>0</v>
      </c>
      <c r="P4844" s="903">
        <f t="shared" si="305"/>
        <v>1</v>
      </c>
      <c r="Q4844" s="893">
        <f t="shared" si="306"/>
        <v>4</v>
      </c>
      <c r="R4844" s="894">
        <f t="shared" si="307"/>
        <v>0</v>
      </c>
    </row>
    <row r="4845" spans="1:18" s="904" customFormat="1">
      <c r="A4845" s="963"/>
      <c r="B4845" s="964"/>
      <c r="C4845" s="965"/>
      <c r="D4845" s="965"/>
      <c r="E4845" s="966" t="s">
        <v>3914</v>
      </c>
      <c r="F4845" s="967"/>
      <c r="G4845" s="984"/>
      <c r="H4845" s="969"/>
      <c r="I4845" s="970"/>
      <c r="J4845" s="970"/>
      <c r="K4845" s="912" t="s">
        <v>274</v>
      </c>
      <c r="L4845" s="970"/>
      <c r="M4845" s="970"/>
      <c r="N4845" s="970"/>
      <c r="O4845" s="892">
        <f t="shared" si="304"/>
        <v>0</v>
      </c>
      <c r="P4845" s="903">
        <f t="shared" si="305"/>
        <v>1</v>
      </c>
      <c r="Q4845" s="893">
        <f t="shared" si="306"/>
        <v>3</v>
      </c>
      <c r="R4845" s="894">
        <f t="shared" si="307"/>
        <v>0</v>
      </c>
    </row>
    <row r="4846" spans="1:18">
      <c r="A4846" s="955"/>
      <c r="B4846" s="953" t="s">
        <v>5610</v>
      </c>
      <c r="C4846" s="971">
        <v>823</v>
      </c>
      <c r="D4846" s="907" t="s">
        <v>93</v>
      </c>
      <c r="E4846" s="972" t="s">
        <v>5611</v>
      </c>
      <c r="F4846" s="986" t="s">
        <v>2673</v>
      </c>
      <c r="G4846" s="974"/>
      <c r="H4846" s="975">
        <v>0.15</v>
      </c>
      <c r="I4846" s="976"/>
      <c r="J4846" s="976"/>
      <c r="K4846" s="912"/>
      <c r="L4846" s="912"/>
      <c r="M4846" s="912">
        <f>VLOOKUP(B4846,MTC!$B$9:$S$933,12,0)</f>
        <v>0</v>
      </c>
      <c r="N4846" s="912">
        <f>M4846*H4846</f>
        <v>0</v>
      </c>
      <c r="O4846" s="892">
        <f t="shared" si="304"/>
        <v>0</v>
      </c>
      <c r="P4846" s="903">
        <f t="shared" si="305"/>
        <v>1</v>
      </c>
      <c r="Q4846" s="893">
        <f t="shared" si="306"/>
        <v>2</v>
      </c>
      <c r="R4846" s="894">
        <f t="shared" si="307"/>
        <v>0</v>
      </c>
    </row>
    <row r="4847" spans="1:18">
      <c r="A4847" s="955"/>
      <c r="B4847" s="914" t="s">
        <v>3974</v>
      </c>
      <c r="C4847" s="971">
        <v>817</v>
      </c>
      <c r="D4847" s="907" t="s">
        <v>93</v>
      </c>
      <c r="E4847" s="972" t="s">
        <v>5555</v>
      </c>
      <c r="F4847" s="986" t="s">
        <v>2673</v>
      </c>
      <c r="G4847" s="974"/>
      <c r="H4847" s="975">
        <v>0.2</v>
      </c>
      <c r="I4847" s="976"/>
      <c r="J4847" s="976"/>
      <c r="K4847" s="912"/>
      <c r="L4847" s="912"/>
      <c r="M4847" s="912">
        <f>VLOOKUP(B4847,MTC!$B$9:$S$933,12,0)</f>
        <v>0</v>
      </c>
      <c r="N4847" s="912">
        <f>M4847*H4847</f>
        <v>0</v>
      </c>
      <c r="O4847" s="892">
        <f t="shared" si="304"/>
        <v>0</v>
      </c>
      <c r="P4847" s="903">
        <f t="shared" si="305"/>
        <v>1</v>
      </c>
      <c r="Q4847" s="893">
        <f t="shared" si="306"/>
        <v>1</v>
      </c>
      <c r="R4847" s="894">
        <f t="shared" si="307"/>
        <v>0</v>
      </c>
    </row>
    <row r="4848" spans="1:18" s="847" customFormat="1" ht="47.25">
      <c r="A4848" s="955"/>
      <c r="B4848" s="953" t="s">
        <v>5614</v>
      </c>
      <c r="C4848" s="956"/>
      <c r="D4848" s="956"/>
      <c r="E4848" s="957" t="s">
        <v>5615</v>
      </c>
      <c r="F4848" s="958" t="s">
        <v>150</v>
      </c>
      <c r="G4848" s="959"/>
      <c r="H4848" s="960"/>
      <c r="I4848" s="961"/>
      <c r="J4848" s="891">
        <f>SUM(J4849:J4853)</f>
        <v>0</v>
      </c>
      <c r="K4848" s="891"/>
      <c r="L4848" s="891">
        <f>SUM(L4849:L4853)</f>
        <v>2383727.5</v>
      </c>
      <c r="M4848" s="891"/>
      <c r="N4848" s="891">
        <f>SUM(N4849:N4853)</f>
        <v>0</v>
      </c>
      <c r="O4848" s="892">
        <f t="shared" si="304"/>
        <v>1</v>
      </c>
      <c r="P4848" s="903">
        <f t="shared" si="305"/>
        <v>0</v>
      </c>
      <c r="Q4848" s="893">
        <f t="shared" si="306"/>
        <v>0</v>
      </c>
      <c r="R4848" s="894">
        <f t="shared" si="307"/>
        <v>5</v>
      </c>
    </row>
    <row r="4849" spans="1:18" s="904" customFormat="1">
      <c r="A4849" s="963"/>
      <c r="B4849" s="964"/>
      <c r="C4849" s="965"/>
      <c r="D4849" s="965"/>
      <c r="E4849" s="982" t="s">
        <v>276</v>
      </c>
      <c r="F4849" s="983"/>
      <c r="G4849" s="984"/>
      <c r="H4849" s="969"/>
      <c r="I4849" s="970"/>
      <c r="J4849" s="970"/>
      <c r="K4849" s="912" t="s">
        <v>274</v>
      </c>
      <c r="L4849" s="970"/>
      <c r="M4849" s="970"/>
      <c r="N4849" s="970"/>
      <c r="O4849" s="892">
        <f t="shared" si="304"/>
        <v>0</v>
      </c>
      <c r="P4849" s="903">
        <f t="shared" si="305"/>
        <v>1</v>
      </c>
      <c r="Q4849" s="893">
        <f t="shared" si="306"/>
        <v>5</v>
      </c>
      <c r="R4849" s="894">
        <f t="shared" si="307"/>
        <v>0</v>
      </c>
    </row>
    <row r="4850" spans="1:18">
      <c r="A4850" s="955"/>
      <c r="B4850" s="953"/>
      <c r="C4850" s="971">
        <v>740</v>
      </c>
      <c r="D4850" s="907" t="s">
        <v>12</v>
      </c>
      <c r="E4850" s="985" t="s">
        <v>4008</v>
      </c>
      <c r="F4850" s="986" t="s">
        <v>2674</v>
      </c>
      <c r="G4850" s="974"/>
      <c r="H4850" s="975">
        <v>10.78</v>
      </c>
      <c r="I4850" s="976"/>
      <c r="J4850" s="976"/>
      <c r="K4850" s="912">
        <f>VLOOKUP(E4850,[5]ĐMNC!$A$7:$F$67,4,0)</f>
        <v>221125</v>
      </c>
      <c r="L4850" s="912">
        <f>H4850*K4850</f>
        <v>2383727.5</v>
      </c>
      <c r="M4850" s="912"/>
      <c r="N4850" s="912"/>
      <c r="O4850" s="892">
        <f t="shared" si="304"/>
        <v>0</v>
      </c>
      <c r="P4850" s="903">
        <f t="shared" si="305"/>
        <v>1</v>
      </c>
      <c r="Q4850" s="893">
        <f t="shared" si="306"/>
        <v>4</v>
      </c>
      <c r="R4850" s="894">
        <f t="shared" si="307"/>
        <v>0</v>
      </c>
    </row>
    <row r="4851" spans="1:18" s="904" customFormat="1">
      <c r="A4851" s="963"/>
      <c r="B4851" s="964"/>
      <c r="C4851" s="965"/>
      <c r="D4851" s="965"/>
      <c r="E4851" s="966" t="s">
        <v>3914</v>
      </c>
      <c r="F4851" s="967"/>
      <c r="G4851" s="984"/>
      <c r="H4851" s="969"/>
      <c r="I4851" s="970"/>
      <c r="J4851" s="970"/>
      <c r="K4851" s="912" t="s">
        <v>274</v>
      </c>
      <c r="L4851" s="970"/>
      <c r="M4851" s="970"/>
      <c r="N4851" s="970"/>
      <c r="O4851" s="892">
        <f t="shared" si="304"/>
        <v>0</v>
      </c>
      <c r="P4851" s="903">
        <f t="shared" si="305"/>
        <v>1</v>
      </c>
      <c r="Q4851" s="893">
        <f t="shared" si="306"/>
        <v>3</v>
      </c>
      <c r="R4851" s="894">
        <f t="shared" si="307"/>
        <v>0</v>
      </c>
    </row>
    <row r="4852" spans="1:18">
      <c r="A4852" s="955"/>
      <c r="B4852" s="953" t="s">
        <v>5610</v>
      </c>
      <c r="C4852" s="971">
        <v>823</v>
      </c>
      <c r="D4852" s="907" t="s">
        <v>93</v>
      </c>
      <c r="E4852" s="972" t="s">
        <v>5611</v>
      </c>
      <c r="F4852" s="986" t="s">
        <v>2673</v>
      </c>
      <c r="G4852" s="974"/>
      <c r="H4852" s="975">
        <v>0.15</v>
      </c>
      <c r="I4852" s="976"/>
      <c r="J4852" s="976"/>
      <c r="K4852" s="912"/>
      <c r="L4852" s="912"/>
      <c r="M4852" s="912">
        <f>VLOOKUP(B4852,MTC!$B$9:$S$933,12,0)</f>
        <v>0</v>
      </c>
      <c r="N4852" s="912">
        <f>M4852*H4852</f>
        <v>0</v>
      </c>
      <c r="O4852" s="892">
        <f t="shared" si="304"/>
        <v>0</v>
      </c>
      <c r="P4852" s="903">
        <f t="shared" si="305"/>
        <v>1</v>
      </c>
      <c r="Q4852" s="893">
        <f t="shared" si="306"/>
        <v>2</v>
      </c>
      <c r="R4852" s="894">
        <f t="shared" si="307"/>
        <v>0</v>
      </c>
    </row>
    <row r="4853" spans="1:18">
      <c r="A4853" s="955"/>
      <c r="B4853" s="914" t="s">
        <v>3974</v>
      </c>
      <c r="C4853" s="971">
        <v>817</v>
      </c>
      <c r="D4853" s="907" t="s">
        <v>93</v>
      </c>
      <c r="E4853" s="972" t="s">
        <v>5555</v>
      </c>
      <c r="F4853" s="986" t="s">
        <v>2673</v>
      </c>
      <c r="G4853" s="974"/>
      <c r="H4853" s="975">
        <v>0.2</v>
      </c>
      <c r="I4853" s="976"/>
      <c r="J4853" s="976"/>
      <c r="K4853" s="912"/>
      <c r="L4853" s="912"/>
      <c r="M4853" s="912">
        <f>VLOOKUP(B4853,MTC!$B$9:$S$933,12,0)</f>
        <v>0</v>
      </c>
      <c r="N4853" s="912">
        <f>M4853*H4853</f>
        <v>0</v>
      </c>
      <c r="O4853" s="892">
        <f t="shared" si="304"/>
        <v>0</v>
      </c>
      <c r="P4853" s="903">
        <f t="shared" si="305"/>
        <v>1</v>
      </c>
      <c r="Q4853" s="893">
        <f t="shared" si="306"/>
        <v>1</v>
      </c>
      <c r="R4853" s="894">
        <f t="shared" si="307"/>
        <v>0</v>
      </c>
    </row>
    <row r="4854" spans="1:18" s="847" customFormat="1" ht="47.25">
      <c r="A4854" s="955"/>
      <c r="B4854" s="953" t="s">
        <v>5616</v>
      </c>
      <c r="C4854" s="956"/>
      <c r="D4854" s="956"/>
      <c r="E4854" s="957" t="s">
        <v>5617</v>
      </c>
      <c r="F4854" s="958" t="s">
        <v>150</v>
      </c>
      <c r="G4854" s="959"/>
      <c r="H4854" s="960"/>
      <c r="I4854" s="961"/>
      <c r="J4854" s="891">
        <f>SUM(J4855:J4859)</f>
        <v>0</v>
      </c>
      <c r="K4854" s="891"/>
      <c r="L4854" s="891">
        <f>SUM(L4855:L4859)</f>
        <v>3586704.87</v>
      </c>
      <c r="M4854" s="891"/>
      <c r="N4854" s="891">
        <f>SUM(N4855:N4859)</f>
        <v>0</v>
      </c>
      <c r="O4854" s="892">
        <f t="shared" si="304"/>
        <v>1</v>
      </c>
      <c r="P4854" s="903">
        <f t="shared" si="305"/>
        <v>0</v>
      </c>
      <c r="Q4854" s="893">
        <f t="shared" si="306"/>
        <v>0</v>
      </c>
      <c r="R4854" s="894">
        <f t="shared" si="307"/>
        <v>5</v>
      </c>
    </row>
    <row r="4855" spans="1:18" s="904" customFormat="1">
      <c r="A4855" s="963"/>
      <c r="B4855" s="964"/>
      <c r="C4855" s="965"/>
      <c r="D4855" s="965"/>
      <c r="E4855" s="982" t="s">
        <v>276</v>
      </c>
      <c r="F4855" s="983"/>
      <c r="G4855" s="984"/>
      <c r="H4855" s="969"/>
      <c r="I4855" s="970"/>
      <c r="J4855" s="970"/>
      <c r="K4855" s="912" t="s">
        <v>274</v>
      </c>
      <c r="L4855" s="970"/>
      <c r="M4855" s="970"/>
      <c r="N4855" s="970"/>
      <c r="O4855" s="892">
        <f t="shared" si="304"/>
        <v>0</v>
      </c>
      <c r="P4855" s="903">
        <f t="shared" si="305"/>
        <v>1</v>
      </c>
      <c r="Q4855" s="893">
        <f t="shared" si="306"/>
        <v>5</v>
      </c>
      <c r="R4855" s="894">
        <f t="shared" si="307"/>
        <v>0</v>
      </c>
    </row>
    <row r="4856" spans="1:18">
      <c r="A4856" s="955"/>
      <c r="B4856" s="953"/>
      <c r="C4856" s="971">
        <v>745</v>
      </c>
      <c r="D4856" s="907" t="s">
        <v>12</v>
      </c>
      <c r="E4856" s="985" t="s">
        <v>5518</v>
      </c>
      <c r="F4856" s="986" t="s">
        <v>2674</v>
      </c>
      <c r="G4856" s="974"/>
      <c r="H4856" s="975">
        <v>14.91</v>
      </c>
      <c r="I4856" s="976"/>
      <c r="J4856" s="976"/>
      <c r="K4856" s="912">
        <f>VLOOKUP(E4856,[5]ĐMNC!$A$7:$F$67,4,0)</f>
        <v>240557</v>
      </c>
      <c r="L4856" s="912">
        <f>H4856*K4856</f>
        <v>3586704.87</v>
      </c>
      <c r="M4856" s="912"/>
      <c r="N4856" s="912"/>
      <c r="O4856" s="892">
        <f t="shared" si="304"/>
        <v>0</v>
      </c>
      <c r="P4856" s="903">
        <f t="shared" si="305"/>
        <v>1</v>
      </c>
      <c r="Q4856" s="893">
        <f t="shared" si="306"/>
        <v>4</v>
      </c>
      <c r="R4856" s="894">
        <f t="shared" si="307"/>
        <v>0</v>
      </c>
    </row>
    <row r="4857" spans="1:18" s="904" customFormat="1">
      <c r="A4857" s="963"/>
      <c r="B4857" s="964"/>
      <c r="C4857" s="965"/>
      <c r="D4857" s="965"/>
      <c r="E4857" s="966" t="s">
        <v>3914</v>
      </c>
      <c r="F4857" s="967"/>
      <c r="G4857" s="984"/>
      <c r="H4857" s="969"/>
      <c r="I4857" s="970"/>
      <c r="J4857" s="970"/>
      <c r="K4857" s="912" t="s">
        <v>274</v>
      </c>
      <c r="L4857" s="970"/>
      <c r="M4857" s="970"/>
      <c r="N4857" s="970"/>
      <c r="O4857" s="892">
        <f t="shared" si="304"/>
        <v>0</v>
      </c>
      <c r="P4857" s="903">
        <f t="shared" si="305"/>
        <v>1</v>
      </c>
      <c r="Q4857" s="893">
        <f t="shared" si="306"/>
        <v>3</v>
      </c>
      <c r="R4857" s="894">
        <f t="shared" si="307"/>
        <v>0</v>
      </c>
    </row>
    <row r="4858" spans="1:18">
      <c r="A4858" s="955"/>
      <c r="B4858" s="953" t="s">
        <v>5610</v>
      </c>
      <c r="C4858" s="971">
        <v>823</v>
      </c>
      <c r="D4858" s="907" t="s">
        <v>93</v>
      </c>
      <c r="E4858" s="972" t="s">
        <v>5611</v>
      </c>
      <c r="F4858" s="986" t="s">
        <v>2673</v>
      </c>
      <c r="G4858" s="974"/>
      <c r="H4858" s="975">
        <v>0.15</v>
      </c>
      <c r="I4858" s="976"/>
      <c r="J4858" s="976"/>
      <c r="K4858" s="912"/>
      <c r="L4858" s="912"/>
      <c r="M4858" s="912">
        <f>VLOOKUP(B4858,MTC!$B$9:$S$933,12,0)</f>
        <v>0</v>
      </c>
      <c r="N4858" s="912">
        <f>M4858*H4858</f>
        <v>0</v>
      </c>
      <c r="O4858" s="892">
        <f t="shared" si="304"/>
        <v>0</v>
      </c>
      <c r="P4858" s="903">
        <f t="shared" si="305"/>
        <v>1</v>
      </c>
      <c r="Q4858" s="893">
        <f t="shared" si="306"/>
        <v>2</v>
      </c>
      <c r="R4858" s="894">
        <f t="shared" si="307"/>
        <v>0</v>
      </c>
    </row>
    <row r="4859" spans="1:18">
      <c r="A4859" s="955"/>
      <c r="B4859" s="914" t="s">
        <v>3974</v>
      </c>
      <c r="C4859" s="971">
        <v>817</v>
      </c>
      <c r="D4859" s="907" t="s">
        <v>93</v>
      </c>
      <c r="E4859" s="972" t="s">
        <v>5555</v>
      </c>
      <c r="F4859" s="986" t="s">
        <v>2673</v>
      </c>
      <c r="G4859" s="974"/>
      <c r="H4859" s="975">
        <v>0.2</v>
      </c>
      <c r="I4859" s="976"/>
      <c r="J4859" s="976"/>
      <c r="K4859" s="912"/>
      <c r="L4859" s="912"/>
      <c r="M4859" s="912">
        <f>VLOOKUP(B4859,MTC!$B$9:$S$933,12,0)</f>
        <v>0</v>
      </c>
      <c r="N4859" s="912">
        <f>M4859*H4859</f>
        <v>0</v>
      </c>
      <c r="O4859" s="892">
        <f t="shared" si="304"/>
        <v>0</v>
      </c>
      <c r="P4859" s="903">
        <f t="shared" si="305"/>
        <v>1</v>
      </c>
      <c r="Q4859" s="893">
        <f t="shared" si="306"/>
        <v>1</v>
      </c>
      <c r="R4859" s="894">
        <f t="shared" si="307"/>
        <v>0</v>
      </c>
    </row>
    <row r="4860" spans="1:18" s="847" customFormat="1" ht="47.25">
      <c r="A4860" s="955"/>
      <c r="B4860" s="953" t="s">
        <v>5618</v>
      </c>
      <c r="C4860" s="956"/>
      <c r="D4860" s="956"/>
      <c r="E4860" s="957" t="s">
        <v>5619</v>
      </c>
      <c r="F4860" s="958" t="s">
        <v>150</v>
      </c>
      <c r="G4860" s="959"/>
      <c r="H4860" s="960"/>
      <c r="I4860" s="961"/>
      <c r="J4860" s="891">
        <f>SUM(J4861:J4865)</f>
        <v>0</v>
      </c>
      <c r="K4860" s="891"/>
      <c r="L4860" s="891">
        <f>SUM(L4861:L4865)</f>
        <v>4029329.75</v>
      </c>
      <c r="M4860" s="891"/>
      <c r="N4860" s="891">
        <f>SUM(N4861:N4865)</f>
        <v>0</v>
      </c>
      <c r="O4860" s="892">
        <f t="shared" si="304"/>
        <v>1</v>
      </c>
      <c r="P4860" s="903">
        <f t="shared" si="305"/>
        <v>0</v>
      </c>
      <c r="Q4860" s="893">
        <f t="shared" si="306"/>
        <v>0</v>
      </c>
      <c r="R4860" s="894">
        <f t="shared" si="307"/>
        <v>5</v>
      </c>
    </row>
    <row r="4861" spans="1:18" s="904" customFormat="1">
      <c r="A4861" s="963"/>
      <c r="B4861" s="964"/>
      <c r="C4861" s="965"/>
      <c r="D4861" s="965"/>
      <c r="E4861" s="982" t="s">
        <v>276</v>
      </c>
      <c r="F4861" s="983"/>
      <c r="G4861" s="984"/>
      <c r="H4861" s="969"/>
      <c r="I4861" s="970"/>
      <c r="J4861" s="970"/>
      <c r="K4861" s="912" t="s">
        <v>274</v>
      </c>
      <c r="L4861" s="970"/>
      <c r="M4861" s="970"/>
      <c r="N4861" s="970"/>
      <c r="O4861" s="892">
        <f t="shared" si="304"/>
        <v>0</v>
      </c>
      <c r="P4861" s="903">
        <f t="shared" si="305"/>
        <v>1</v>
      </c>
      <c r="Q4861" s="893">
        <f t="shared" si="306"/>
        <v>5</v>
      </c>
      <c r="R4861" s="894">
        <f t="shared" si="307"/>
        <v>0</v>
      </c>
    </row>
    <row r="4862" spans="1:18">
      <c r="A4862" s="955"/>
      <c r="B4862" s="953"/>
      <c r="C4862" s="971">
        <v>745</v>
      </c>
      <c r="D4862" s="907" t="s">
        <v>12</v>
      </c>
      <c r="E4862" s="985" t="s">
        <v>5518</v>
      </c>
      <c r="F4862" s="986" t="s">
        <v>2674</v>
      </c>
      <c r="G4862" s="974"/>
      <c r="H4862" s="975">
        <v>16.75</v>
      </c>
      <c r="I4862" s="976"/>
      <c r="J4862" s="976"/>
      <c r="K4862" s="912">
        <f>VLOOKUP(E4862,[5]ĐMNC!$A$7:$F$67,4,0)</f>
        <v>240557</v>
      </c>
      <c r="L4862" s="912">
        <f>H4862*K4862</f>
        <v>4029329.75</v>
      </c>
      <c r="M4862" s="912"/>
      <c r="N4862" s="912"/>
      <c r="O4862" s="892">
        <f t="shared" si="304"/>
        <v>0</v>
      </c>
      <c r="P4862" s="903">
        <f t="shared" si="305"/>
        <v>1</v>
      </c>
      <c r="Q4862" s="893">
        <f t="shared" si="306"/>
        <v>4</v>
      </c>
      <c r="R4862" s="894">
        <f t="shared" si="307"/>
        <v>0</v>
      </c>
    </row>
    <row r="4863" spans="1:18" s="904" customFormat="1">
      <c r="A4863" s="963"/>
      <c r="B4863" s="964"/>
      <c r="C4863" s="965"/>
      <c r="D4863" s="965"/>
      <c r="E4863" s="966" t="s">
        <v>3914</v>
      </c>
      <c r="F4863" s="967"/>
      <c r="G4863" s="984"/>
      <c r="H4863" s="969"/>
      <c r="I4863" s="970"/>
      <c r="J4863" s="970"/>
      <c r="K4863" s="912" t="s">
        <v>274</v>
      </c>
      <c r="L4863" s="970"/>
      <c r="M4863" s="970"/>
      <c r="N4863" s="970"/>
      <c r="O4863" s="892">
        <f t="shared" si="304"/>
        <v>0</v>
      </c>
      <c r="P4863" s="903">
        <f t="shared" si="305"/>
        <v>1</v>
      </c>
      <c r="Q4863" s="893">
        <f t="shared" si="306"/>
        <v>3</v>
      </c>
      <c r="R4863" s="894">
        <f t="shared" si="307"/>
        <v>0</v>
      </c>
    </row>
    <row r="4864" spans="1:18">
      <c r="A4864" s="955"/>
      <c r="B4864" s="953" t="s">
        <v>5610</v>
      </c>
      <c r="C4864" s="971">
        <v>823</v>
      </c>
      <c r="D4864" s="907" t="s">
        <v>93</v>
      </c>
      <c r="E4864" s="972" t="s">
        <v>5611</v>
      </c>
      <c r="F4864" s="986" t="s">
        <v>2673</v>
      </c>
      <c r="G4864" s="974"/>
      <c r="H4864" s="975">
        <v>0.15</v>
      </c>
      <c r="I4864" s="976"/>
      <c r="J4864" s="976"/>
      <c r="K4864" s="912"/>
      <c r="L4864" s="912"/>
      <c r="M4864" s="912">
        <f>VLOOKUP(B4864,MTC!$B$9:$S$933,12,0)</f>
        <v>0</v>
      </c>
      <c r="N4864" s="912">
        <f>M4864*H4864</f>
        <v>0</v>
      </c>
      <c r="O4864" s="892">
        <f t="shared" si="304"/>
        <v>0</v>
      </c>
      <c r="P4864" s="903">
        <f t="shared" si="305"/>
        <v>1</v>
      </c>
      <c r="Q4864" s="893">
        <f t="shared" si="306"/>
        <v>2</v>
      </c>
      <c r="R4864" s="894">
        <f t="shared" si="307"/>
        <v>0</v>
      </c>
    </row>
    <row r="4865" spans="1:18">
      <c r="A4865" s="955"/>
      <c r="B4865" s="914" t="s">
        <v>3974</v>
      </c>
      <c r="C4865" s="971">
        <v>817</v>
      </c>
      <c r="D4865" s="907" t="s">
        <v>93</v>
      </c>
      <c r="E4865" s="972" t="s">
        <v>5555</v>
      </c>
      <c r="F4865" s="986" t="s">
        <v>2673</v>
      </c>
      <c r="G4865" s="974"/>
      <c r="H4865" s="975">
        <v>0.2</v>
      </c>
      <c r="I4865" s="976"/>
      <c r="J4865" s="976"/>
      <c r="K4865" s="912"/>
      <c r="L4865" s="912"/>
      <c r="M4865" s="912">
        <f>VLOOKUP(B4865,MTC!$B$9:$S$933,12,0)</f>
        <v>0</v>
      </c>
      <c r="N4865" s="912">
        <f>M4865*H4865</f>
        <v>0</v>
      </c>
      <c r="O4865" s="892">
        <f t="shared" si="304"/>
        <v>0</v>
      </c>
      <c r="P4865" s="903">
        <f t="shared" si="305"/>
        <v>1</v>
      </c>
      <c r="Q4865" s="893">
        <f t="shared" si="306"/>
        <v>1</v>
      </c>
      <c r="R4865" s="894">
        <f t="shared" si="307"/>
        <v>0</v>
      </c>
    </row>
    <row r="4866" spans="1:18" s="847" customFormat="1" ht="47.25">
      <c r="A4866" s="955"/>
      <c r="B4866" s="953" t="s">
        <v>5620</v>
      </c>
      <c r="C4866" s="956"/>
      <c r="D4866" s="956"/>
      <c r="E4866" s="957" t="s">
        <v>5621</v>
      </c>
      <c r="F4866" s="958" t="s">
        <v>150</v>
      </c>
      <c r="G4866" s="959"/>
      <c r="H4866" s="960"/>
      <c r="I4866" s="961"/>
      <c r="J4866" s="891">
        <f>SUM(J4867:J4871)</f>
        <v>0</v>
      </c>
      <c r="K4866" s="891"/>
      <c r="L4866" s="891">
        <f>SUM(L4867:L4871)</f>
        <v>5145514.2300000004</v>
      </c>
      <c r="M4866" s="891"/>
      <c r="N4866" s="891">
        <f>SUM(N4867:N4871)</f>
        <v>0</v>
      </c>
      <c r="O4866" s="892">
        <f t="shared" si="304"/>
        <v>1</v>
      </c>
      <c r="P4866" s="903">
        <f t="shared" si="305"/>
        <v>0</v>
      </c>
      <c r="Q4866" s="893">
        <f t="shared" si="306"/>
        <v>0</v>
      </c>
      <c r="R4866" s="894">
        <f t="shared" si="307"/>
        <v>5</v>
      </c>
    </row>
    <row r="4867" spans="1:18" s="904" customFormat="1">
      <c r="A4867" s="963"/>
      <c r="B4867" s="964"/>
      <c r="C4867" s="965"/>
      <c r="D4867" s="965"/>
      <c r="E4867" s="982" t="s">
        <v>276</v>
      </c>
      <c r="F4867" s="983"/>
      <c r="G4867" s="984"/>
      <c r="H4867" s="969"/>
      <c r="I4867" s="970"/>
      <c r="J4867" s="970"/>
      <c r="K4867" s="912" t="s">
        <v>274</v>
      </c>
      <c r="L4867" s="970"/>
      <c r="M4867" s="970"/>
      <c r="N4867" s="970"/>
      <c r="O4867" s="892">
        <f t="shared" si="304"/>
        <v>0</v>
      </c>
      <c r="P4867" s="903">
        <f t="shared" si="305"/>
        <v>1</v>
      </c>
      <c r="Q4867" s="893">
        <f t="shared" si="306"/>
        <v>5</v>
      </c>
      <c r="R4867" s="894">
        <f t="shared" si="307"/>
        <v>0</v>
      </c>
    </row>
    <row r="4868" spans="1:18">
      <c r="A4868" s="955"/>
      <c r="B4868" s="953"/>
      <c r="C4868" s="971">
        <v>745</v>
      </c>
      <c r="D4868" s="907" t="s">
        <v>12</v>
      </c>
      <c r="E4868" s="985" t="s">
        <v>5518</v>
      </c>
      <c r="F4868" s="986" t="s">
        <v>2674</v>
      </c>
      <c r="G4868" s="974"/>
      <c r="H4868" s="975">
        <v>21.39</v>
      </c>
      <c r="I4868" s="976"/>
      <c r="J4868" s="976"/>
      <c r="K4868" s="912">
        <f>VLOOKUP(E4868,[5]ĐMNC!$A$7:$F$67,4,0)</f>
        <v>240557</v>
      </c>
      <c r="L4868" s="912">
        <f>H4868*K4868</f>
        <v>5145514.2300000004</v>
      </c>
      <c r="M4868" s="912"/>
      <c r="N4868" s="912"/>
      <c r="O4868" s="892">
        <f t="shared" si="304"/>
        <v>0</v>
      </c>
      <c r="P4868" s="903">
        <f t="shared" si="305"/>
        <v>1</v>
      </c>
      <c r="Q4868" s="893">
        <f t="shared" si="306"/>
        <v>4</v>
      </c>
      <c r="R4868" s="894">
        <f t="shared" si="307"/>
        <v>0</v>
      </c>
    </row>
    <row r="4869" spans="1:18" s="904" customFormat="1">
      <c r="A4869" s="963"/>
      <c r="B4869" s="964"/>
      <c r="C4869" s="965"/>
      <c r="D4869" s="965"/>
      <c r="E4869" s="966" t="s">
        <v>3914</v>
      </c>
      <c r="F4869" s="967"/>
      <c r="G4869" s="984"/>
      <c r="H4869" s="969"/>
      <c r="I4869" s="970"/>
      <c r="J4869" s="970"/>
      <c r="K4869" s="912" t="s">
        <v>274</v>
      </c>
      <c r="L4869" s="970"/>
      <c r="M4869" s="970"/>
      <c r="N4869" s="970"/>
      <c r="O4869" s="892">
        <f t="shared" si="304"/>
        <v>0</v>
      </c>
      <c r="P4869" s="903">
        <f t="shared" si="305"/>
        <v>1</v>
      </c>
      <c r="Q4869" s="893">
        <f t="shared" si="306"/>
        <v>3</v>
      </c>
      <c r="R4869" s="894">
        <f t="shared" si="307"/>
        <v>0</v>
      </c>
    </row>
    <row r="4870" spans="1:18">
      <c r="A4870" s="955"/>
      <c r="B4870" s="953" t="s">
        <v>5610</v>
      </c>
      <c r="C4870" s="971">
        <v>823</v>
      </c>
      <c r="D4870" s="907" t="s">
        <v>93</v>
      </c>
      <c r="E4870" s="972" t="s">
        <v>5611</v>
      </c>
      <c r="F4870" s="986" t="s">
        <v>2673</v>
      </c>
      <c r="G4870" s="974"/>
      <c r="H4870" s="975">
        <v>0.2</v>
      </c>
      <c r="I4870" s="976"/>
      <c r="J4870" s="976"/>
      <c r="K4870" s="912"/>
      <c r="L4870" s="912"/>
      <c r="M4870" s="912">
        <f>VLOOKUP(B4870,MTC!$B$9:$S$933,12,0)</f>
        <v>0</v>
      </c>
      <c r="N4870" s="912">
        <f>M4870*H4870</f>
        <v>0</v>
      </c>
      <c r="O4870" s="892">
        <f t="shared" si="304"/>
        <v>0</v>
      </c>
      <c r="P4870" s="903">
        <f t="shared" si="305"/>
        <v>1</v>
      </c>
      <c r="Q4870" s="893">
        <f t="shared" si="306"/>
        <v>2</v>
      </c>
      <c r="R4870" s="894">
        <f t="shared" si="307"/>
        <v>0</v>
      </c>
    </row>
    <row r="4871" spans="1:18">
      <c r="A4871" s="955"/>
      <c r="B4871" s="914" t="s">
        <v>3974</v>
      </c>
      <c r="C4871" s="971">
        <v>817</v>
      </c>
      <c r="D4871" s="907" t="s">
        <v>93</v>
      </c>
      <c r="E4871" s="972" t="s">
        <v>5555</v>
      </c>
      <c r="F4871" s="986" t="s">
        <v>2673</v>
      </c>
      <c r="G4871" s="974"/>
      <c r="H4871" s="975">
        <v>0.3</v>
      </c>
      <c r="I4871" s="976"/>
      <c r="J4871" s="976"/>
      <c r="K4871" s="912"/>
      <c r="L4871" s="912"/>
      <c r="M4871" s="912">
        <f>VLOOKUP(B4871,MTC!$B$9:$S$933,12,0)</f>
        <v>0</v>
      </c>
      <c r="N4871" s="912">
        <f>M4871*H4871</f>
        <v>0</v>
      </c>
      <c r="O4871" s="892">
        <f t="shared" si="304"/>
        <v>0</v>
      </c>
      <c r="P4871" s="903">
        <f t="shared" si="305"/>
        <v>1</v>
      </c>
      <c r="Q4871" s="893">
        <f t="shared" si="306"/>
        <v>1</v>
      </c>
      <c r="R4871" s="894">
        <f t="shared" si="307"/>
        <v>0</v>
      </c>
    </row>
    <row r="4872" spans="1:18" s="847" customFormat="1" ht="47.25">
      <c r="A4872" s="955"/>
      <c r="B4872" s="953" t="s">
        <v>5622</v>
      </c>
      <c r="C4872" s="956"/>
      <c r="D4872" s="956"/>
      <c r="E4872" s="957" t="s">
        <v>5623</v>
      </c>
      <c r="F4872" s="958" t="s">
        <v>150</v>
      </c>
      <c r="G4872" s="959"/>
      <c r="H4872" s="960"/>
      <c r="I4872" s="961"/>
      <c r="J4872" s="891">
        <f>SUM(J4873:J4877)</f>
        <v>0</v>
      </c>
      <c r="K4872" s="891"/>
      <c r="L4872" s="891">
        <f>SUM(L4873:L4877)</f>
        <v>5754123.4400000004</v>
      </c>
      <c r="M4872" s="891"/>
      <c r="N4872" s="891">
        <f>SUM(N4873:N4877)</f>
        <v>0</v>
      </c>
      <c r="O4872" s="892">
        <f t="shared" si="304"/>
        <v>1</v>
      </c>
      <c r="P4872" s="903">
        <f t="shared" si="305"/>
        <v>0</v>
      </c>
      <c r="Q4872" s="893">
        <f t="shared" si="306"/>
        <v>0</v>
      </c>
      <c r="R4872" s="894">
        <f t="shared" si="307"/>
        <v>5</v>
      </c>
    </row>
    <row r="4873" spans="1:18" s="904" customFormat="1">
      <c r="A4873" s="963"/>
      <c r="B4873" s="964"/>
      <c r="C4873" s="965"/>
      <c r="D4873" s="965"/>
      <c r="E4873" s="982" t="s">
        <v>276</v>
      </c>
      <c r="F4873" s="983"/>
      <c r="G4873" s="984"/>
      <c r="H4873" s="969"/>
      <c r="I4873" s="970"/>
      <c r="J4873" s="970"/>
      <c r="K4873" s="912" t="s">
        <v>274</v>
      </c>
      <c r="L4873" s="970"/>
      <c r="M4873" s="970"/>
      <c r="N4873" s="970"/>
      <c r="O4873" s="892">
        <f t="shared" si="304"/>
        <v>0</v>
      </c>
      <c r="P4873" s="903">
        <f t="shared" si="305"/>
        <v>1</v>
      </c>
      <c r="Q4873" s="893">
        <f t="shared" si="306"/>
        <v>5</v>
      </c>
      <c r="R4873" s="894">
        <f t="shared" si="307"/>
        <v>0</v>
      </c>
    </row>
    <row r="4874" spans="1:18">
      <c r="A4874" s="955"/>
      <c r="B4874" s="953"/>
      <c r="C4874" s="971">
        <v>745</v>
      </c>
      <c r="D4874" s="907" t="s">
        <v>12</v>
      </c>
      <c r="E4874" s="985" t="s">
        <v>5518</v>
      </c>
      <c r="F4874" s="986" t="s">
        <v>2674</v>
      </c>
      <c r="G4874" s="974"/>
      <c r="H4874" s="975">
        <v>23.92</v>
      </c>
      <c r="I4874" s="976"/>
      <c r="J4874" s="976"/>
      <c r="K4874" s="912">
        <f>VLOOKUP(E4874,[5]ĐMNC!$A$7:$F$67,4,0)</f>
        <v>240557</v>
      </c>
      <c r="L4874" s="912">
        <f>H4874*K4874</f>
        <v>5754123.4400000004</v>
      </c>
      <c r="M4874" s="912"/>
      <c r="N4874" s="912"/>
      <c r="O4874" s="892">
        <f t="shared" si="304"/>
        <v>0</v>
      </c>
      <c r="P4874" s="903">
        <f t="shared" si="305"/>
        <v>1</v>
      </c>
      <c r="Q4874" s="893">
        <f t="shared" si="306"/>
        <v>4</v>
      </c>
      <c r="R4874" s="894">
        <f t="shared" si="307"/>
        <v>0</v>
      </c>
    </row>
    <row r="4875" spans="1:18" s="904" customFormat="1">
      <c r="A4875" s="963"/>
      <c r="B4875" s="964"/>
      <c r="C4875" s="965"/>
      <c r="D4875" s="965"/>
      <c r="E4875" s="966" t="s">
        <v>3914</v>
      </c>
      <c r="F4875" s="967"/>
      <c r="G4875" s="984"/>
      <c r="H4875" s="969"/>
      <c r="I4875" s="970"/>
      <c r="J4875" s="970"/>
      <c r="K4875" s="912" t="s">
        <v>274</v>
      </c>
      <c r="L4875" s="970"/>
      <c r="M4875" s="970"/>
      <c r="N4875" s="970"/>
      <c r="O4875" s="892">
        <f t="shared" si="304"/>
        <v>0</v>
      </c>
      <c r="P4875" s="903">
        <f t="shared" si="305"/>
        <v>1</v>
      </c>
      <c r="Q4875" s="893">
        <f t="shared" si="306"/>
        <v>3</v>
      </c>
      <c r="R4875" s="894">
        <f t="shared" si="307"/>
        <v>0</v>
      </c>
    </row>
    <row r="4876" spans="1:18">
      <c r="A4876" s="955"/>
      <c r="B4876" s="953" t="s">
        <v>5610</v>
      </c>
      <c r="C4876" s="971">
        <v>823</v>
      </c>
      <c r="D4876" s="907" t="s">
        <v>93</v>
      </c>
      <c r="E4876" s="972" t="s">
        <v>5611</v>
      </c>
      <c r="F4876" s="986" t="s">
        <v>2673</v>
      </c>
      <c r="G4876" s="974"/>
      <c r="H4876" s="975">
        <v>0.2</v>
      </c>
      <c r="I4876" s="976"/>
      <c r="J4876" s="976"/>
      <c r="K4876" s="912"/>
      <c r="L4876" s="912"/>
      <c r="M4876" s="912">
        <f>VLOOKUP(B4876,MTC!$B$9:$S$933,12,0)</f>
        <v>0</v>
      </c>
      <c r="N4876" s="912">
        <f>M4876*H4876</f>
        <v>0</v>
      </c>
      <c r="O4876" s="892">
        <f t="shared" si="304"/>
        <v>0</v>
      </c>
      <c r="P4876" s="903">
        <f t="shared" si="305"/>
        <v>1</v>
      </c>
      <c r="Q4876" s="893">
        <f t="shared" si="306"/>
        <v>2</v>
      </c>
      <c r="R4876" s="894">
        <f t="shared" si="307"/>
        <v>0</v>
      </c>
    </row>
    <row r="4877" spans="1:18">
      <c r="A4877" s="955"/>
      <c r="B4877" s="914" t="s">
        <v>3974</v>
      </c>
      <c r="C4877" s="971">
        <v>817</v>
      </c>
      <c r="D4877" s="907" t="s">
        <v>93</v>
      </c>
      <c r="E4877" s="972" t="s">
        <v>5555</v>
      </c>
      <c r="F4877" s="986" t="s">
        <v>2673</v>
      </c>
      <c r="G4877" s="974"/>
      <c r="H4877" s="975">
        <v>0.3</v>
      </c>
      <c r="I4877" s="976"/>
      <c r="J4877" s="976"/>
      <c r="K4877" s="912"/>
      <c r="L4877" s="912"/>
      <c r="M4877" s="912">
        <f>VLOOKUP(B4877,MTC!$B$9:$S$933,12,0)</f>
        <v>0</v>
      </c>
      <c r="N4877" s="912">
        <f>M4877*H4877</f>
        <v>0</v>
      </c>
      <c r="O4877" s="892">
        <f t="shared" si="304"/>
        <v>0</v>
      </c>
      <c r="P4877" s="903">
        <f t="shared" si="305"/>
        <v>1</v>
      </c>
      <c r="Q4877" s="893">
        <f t="shared" si="306"/>
        <v>1</v>
      </c>
      <c r="R4877" s="894">
        <f t="shared" si="307"/>
        <v>0</v>
      </c>
    </row>
    <row r="4878" spans="1:18" s="847" customFormat="1" ht="47.25">
      <c r="A4878" s="955"/>
      <c r="B4878" s="953" t="s">
        <v>5624</v>
      </c>
      <c r="C4878" s="956"/>
      <c r="D4878" s="956"/>
      <c r="E4878" s="957" t="s">
        <v>5625</v>
      </c>
      <c r="F4878" s="958" t="s">
        <v>150</v>
      </c>
      <c r="G4878" s="959"/>
      <c r="H4878" s="960"/>
      <c r="I4878" s="961"/>
      <c r="J4878" s="891">
        <f>SUM(J4879:J4883)</f>
        <v>0</v>
      </c>
      <c r="K4878" s="891"/>
      <c r="L4878" s="891">
        <f>SUM(L4879:L4883)</f>
        <v>6331460.2400000002</v>
      </c>
      <c r="M4878" s="891"/>
      <c r="N4878" s="891">
        <f>SUM(N4879:N4883)</f>
        <v>0</v>
      </c>
      <c r="O4878" s="892">
        <f t="shared" si="304"/>
        <v>1</v>
      </c>
      <c r="P4878" s="903">
        <f t="shared" si="305"/>
        <v>0</v>
      </c>
      <c r="Q4878" s="893">
        <f t="shared" si="306"/>
        <v>0</v>
      </c>
      <c r="R4878" s="894">
        <f t="shared" si="307"/>
        <v>5</v>
      </c>
    </row>
    <row r="4879" spans="1:18" s="904" customFormat="1">
      <c r="A4879" s="963"/>
      <c r="B4879" s="964"/>
      <c r="C4879" s="965"/>
      <c r="D4879" s="965"/>
      <c r="E4879" s="982" t="s">
        <v>276</v>
      </c>
      <c r="F4879" s="983"/>
      <c r="G4879" s="984"/>
      <c r="H4879" s="969"/>
      <c r="I4879" s="970"/>
      <c r="J4879" s="970"/>
      <c r="K4879" s="912" t="s">
        <v>274</v>
      </c>
      <c r="L4879" s="970"/>
      <c r="M4879" s="970"/>
      <c r="N4879" s="970"/>
      <c r="O4879" s="892">
        <f t="shared" si="304"/>
        <v>0</v>
      </c>
      <c r="P4879" s="903">
        <f t="shared" si="305"/>
        <v>1</v>
      </c>
      <c r="Q4879" s="893">
        <f t="shared" si="306"/>
        <v>5</v>
      </c>
      <c r="R4879" s="894">
        <f t="shared" si="307"/>
        <v>0</v>
      </c>
    </row>
    <row r="4880" spans="1:18">
      <c r="A4880" s="955"/>
      <c r="B4880" s="953"/>
      <c r="C4880" s="971">
        <v>745</v>
      </c>
      <c r="D4880" s="907" t="s">
        <v>12</v>
      </c>
      <c r="E4880" s="985" t="s">
        <v>5518</v>
      </c>
      <c r="F4880" s="986" t="s">
        <v>2674</v>
      </c>
      <c r="G4880" s="974"/>
      <c r="H4880" s="975">
        <v>26.32</v>
      </c>
      <c r="I4880" s="976"/>
      <c r="J4880" s="976"/>
      <c r="K4880" s="912">
        <f>VLOOKUP(E4880,[5]ĐMNC!$A$7:$F$67,4,0)</f>
        <v>240557</v>
      </c>
      <c r="L4880" s="912">
        <f>H4880*K4880</f>
        <v>6331460.2400000002</v>
      </c>
      <c r="M4880" s="912"/>
      <c r="N4880" s="912"/>
      <c r="O4880" s="892">
        <f t="shared" si="304"/>
        <v>0</v>
      </c>
      <c r="P4880" s="903">
        <f t="shared" si="305"/>
        <v>1</v>
      </c>
      <c r="Q4880" s="893">
        <f t="shared" si="306"/>
        <v>4</v>
      </c>
      <c r="R4880" s="894">
        <f t="shared" si="307"/>
        <v>0</v>
      </c>
    </row>
    <row r="4881" spans="1:18" s="904" customFormat="1">
      <c r="A4881" s="963"/>
      <c r="B4881" s="964"/>
      <c r="C4881" s="965"/>
      <c r="D4881" s="965"/>
      <c r="E4881" s="966" t="s">
        <v>3914</v>
      </c>
      <c r="F4881" s="967"/>
      <c r="G4881" s="984"/>
      <c r="H4881" s="969"/>
      <c r="I4881" s="970"/>
      <c r="J4881" s="970"/>
      <c r="K4881" s="912" t="s">
        <v>274</v>
      </c>
      <c r="L4881" s="970"/>
      <c r="M4881" s="970"/>
      <c r="N4881" s="970"/>
      <c r="O4881" s="892">
        <f t="shared" si="304"/>
        <v>0</v>
      </c>
      <c r="P4881" s="903">
        <f t="shared" si="305"/>
        <v>1</v>
      </c>
      <c r="Q4881" s="893">
        <f t="shared" si="306"/>
        <v>3</v>
      </c>
      <c r="R4881" s="894">
        <f t="shared" si="307"/>
        <v>0</v>
      </c>
    </row>
    <row r="4882" spans="1:18">
      <c r="A4882" s="955"/>
      <c r="B4882" s="953" t="s">
        <v>5610</v>
      </c>
      <c r="C4882" s="971">
        <v>823</v>
      </c>
      <c r="D4882" s="907" t="s">
        <v>93</v>
      </c>
      <c r="E4882" s="972" t="s">
        <v>5611</v>
      </c>
      <c r="F4882" s="986" t="s">
        <v>2673</v>
      </c>
      <c r="G4882" s="974"/>
      <c r="H4882" s="975">
        <v>0.2</v>
      </c>
      <c r="I4882" s="976"/>
      <c r="J4882" s="976"/>
      <c r="K4882" s="912"/>
      <c r="L4882" s="912"/>
      <c r="M4882" s="912">
        <f>VLOOKUP(B4882,MTC!$B$9:$S$933,12,0)</f>
        <v>0</v>
      </c>
      <c r="N4882" s="912">
        <f>M4882*H4882</f>
        <v>0</v>
      </c>
      <c r="O4882" s="892">
        <f t="shared" si="304"/>
        <v>0</v>
      </c>
      <c r="P4882" s="903">
        <f t="shared" si="305"/>
        <v>1</v>
      </c>
      <c r="Q4882" s="893">
        <f t="shared" si="306"/>
        <v>2</v>
      </c>
      <c r="R4882" s="894">
        <f t="shared" si="307"/>
        <v>0</v>
      </c>
    </row>
    <row r="4883" spans="1:18">
      <c r="A4883" s="955"/>
      <c r="B4883" s="914" t="s">
        <v>3974</v>
      </c>
      <c r="C4883" s="971">
        <v>817</v>
      </c>
      <c r="D4883" s="907" t="s">
        <v>93</v>
      </c>
      <c r="E4883" s="972" t="s">
        <v>5555</v>
      </c>
      <c r="F4883" s="986" t="s">
        <v>2673</v>
      </c>
      <c r="G4883" s="974"/>
      <c r="H4883" s="975">
        <v>0.3</v>
      </c>
      <c r="I4883" s="976"/>
      <c r="J4883" s="976"/>
      <c r="K4883" s="912"/>
      <c r="L4883" s="912"/>
      <c r="M4883" s="912">
        <f>VLOOKUP(B4883,MTC!$B$9:$S$933,12,0)</f>
        <v>0</v>
      </c>
      <c r="N4883" s="912">
        <f>M4883*H4883</f>
        <v>0</v>
      </c>
      <c r="O4883" s="892">
        <f t="shared" si="304"/>
        <v>0</v>
      </c>
      <c r="P4883" s="903">
        <f t="shared" si="305"/>
        <v>1</v>
      </c>
      <c r="Q4883" s="893">
        <f t="shared" si="306"/>
        <v>1</v>
      </c>
      <c r="R4883" s="894">
        <f t="shared" si="307"/>
        <v>0</v>
      </c>
    </row>
    <row r="4884" spans="1:18" s="847" customFormat="1" ht="47.25">
      <c r="A4884" s="955"/>
      <c r="B4884" s="953" t="s">
        <v>5626</v>
      </c>
      <c r="C4884" s="956"/>
      <c r="D4884" s="956"/>
      <c r="E4884" s="957" t="s">
        <v>5627</v>
      </c>
      <c r="F4884" s="958" t="s">
        <v>150</v>
      </c>
      <c r="G4884" s="959"/>
      <c r="H4884" s="960"/>
      <c r="I4884" s="961"/>
      <c r="J4884" s="891">
        <f>SUM(J4885:J4889)</f>
        <v>0</v>
      </c>
      <c r="K4884" s="891"/>
      <c r="L4884" s="891">
        <f>SUM(L4885:L4889)</f>
        <v>7981681.2599999998</v>
      </c>
      <c r="M4884" s="891"/>
      <c r="N4884" s="891">
        <f>SUM(N4885:N4889)</f>
        <v>0</v>
      </c>
      <c r="O4884" s="892">
        <f t="shared" si="304"/>
        <v>1</v>
      </c>
      <c r="P4884" s="903">
        <f t="shared" si="305"/>
        <v>0</v>
      </c>
      <c r="Q4884" s="893">
        <f t="shared" si="306"/>
        <v>0</v>
      </c>
      <c r="R4884" s="894">
        <f t="shared" si="307"/>
        <v>5</v>
      </c>
    </row>
    <row r="4885" spans="1:18" s="904" customFormat="1">
      <c r="A4885" s="963"/>
      <c r="B4885" s="964"/>
      <c r="C4885" s="965"/>
      <c r="D4885" s="965"/>
      <c r="E4885" s="982" t="s">
        <v>276</v>
      </c>
      <c r="F4885" s="983"/>
      <c r="G4885" s="984"/>
      <c r="H4885" s="969"/>
      <c r="I4885" s="970"/>
      <c r="J4885" s="970"/>
      <c r="K4885" s="912" t="s">
        <v>274</v>
      </c>
      <c r="L4885" s="970"/>
      <c r="M4885" s="970"/>
      <c r="N4885" s="970"/>
      <c r="O4885" s="892">
        <f t="shared" si="304"/>
        <v>0</v>
      </c>
      <c r="P4885" s="903">
        <f t="shared" si="305"/>
        <v>1</v>
      </c>
      <c r="Q4885" s="893">
        <f t="shared" si="306"/>
        <v>5</v>
      </c>
      <c r="R4885" s="894">
        <f t="shared" si="307"/>
        <v>0</v>
      </c>
    </row>
    <row r="4886" spans="1:18">
      <c r="A4886" s="955"/>
      <c r="B4886" s="953"/>
      <c r="C4886" s="971">
        <v>745</v>
      </c>
      <c r="D4886" s="907" t="s">
        <v>12</v>
      </c>
      <c r="E4886" s="985" t="s">
        <v>5518</v>
      </c>
      <c r="F4886" s="986" t="s">
        <v>2674</v>
      </c>
      <c r="G4886" s="974"/>
      <c r="H4886" s="975">
        <v>33.18</v>
      </c>
      <c r="I4886" s="976"/>
      <c r="J4886" s="976"/>
      <c r="K4886" s="912">
        <f>VLOOKUP(E4886,[5]ĐMNC!$A$7:$F$67,4,0)</f>
        <v>240557</v>
      </c>
      <c r="L4886" s="912">
        <f>H4886*K4886</f>
        <v>7981681.2599999998</v>
      </c>
      <c r="M4886" s="912"/>
      <c r="N4886" s="912"/>
      <c r="O4886" s="892">
        <f t="shared" si="304"/>
        <v>0</v>
      </c>
      <c r="P4886" s="903">
        <f t="shared" si="305"/>
        <v>1</v>
      </c>
      <c r="Q4886" s="893">
        <f t="shared" si="306"/>
        <v>4</v>
      </c>
      <c r="R4886" s="894">
        <f t="shared" si="307"/>
        <v>0</v>
      </c>
    </row>
    <row r="4887" spans="1:18" s="904" customFormat="1">
      <c r="A4887" s="963"/>
      <c r="B4887" s="964"/>
      <c r="C4887" s="965"/>
      <c r="D4887" s="965"/>
      <c r="E4887" s="966" t="s">
        <v>3914</v>
      </c>
      <c r="F4887" s="967"/>
      <c r="G4887" s="984"/>
      <c r="H4887" s="969"/>
      <c r="I4887" s="970"/>
      <c r="J4887" s="970"/>
      <c r="K4887" s="912" t="s">
        <v>274</v>
      </c>
      <c r="L4887" s="970"/>
      <c r="M4887" s="970"/>
      <c r="N4887" s="970"/>
      <c r="O4887" s="892">
        <f t="shared" si="304"/>
        <v>0</v>
      </c>
      <c r="P4887" s="903">
        <f t="shared" si="305"/>
        <v>1</v>
      </c>
      <c r="Q4887" s="893">
        <f t="shared" si="306"/>
        <v>3</v>
      </c>
      <c r="R4887" s="894">
        <f t="shared" si="307"/>
        <v>0</v>
      </c>
    </row>
    <row r="4888" spans="1:18">
      <c r="A4888" s="955"/>
      <c r="B4888" s="953" t="s">
        <v>5610</v>
      </c>
      <c r="C4888" s="971">
        <v>823</v>
      </c>
      <c r="D4888" s="907" t="s">
        <v>93</v>
      </c>
      <c r="E4888" s="972" t="s">
        <v>5611</v>
      </c>
      <c r="F4888" s="986" t="s">
        <v>2673</v>
      </c>
      <c r="G4888" s="974"/>
      <c r="H4888" s="975">
        <v>0.2</v>
      </c>
      <c r="I4888" s="976"/>
      <c r="J4888" s="976"/>
      <c r="K4888" s="912"/>
      <c r="L4888" s="912"/>
      <c r="M4888" s="912">
        <f>VLOOKUP(B4888,MTC!$B$9:$S$933,12,0)</f>
        <v>0</v>
      </c>
      <c r="N4888" s="912">
        <f>M4888*H4888</f>
        <v>0</v>
      </c>
      <c r="O4888" s="892">
        <f t="shared" si="304"/>
        <v>0</v>
      </c>
      <c r="P4888" s="903">
        <f t="shared" si="305"/>
        <v>1</v>
      </c>
      <c r="Q4888" s="893">
        <f t="shared" si="306"/>
        <v>2</v>
      </c>
      <c r="R4888" s="894">
        <f t="shared" si="307"/>
        <v>0</v>
      </c>
    </row>
    <row r="4889" spans="1:18">
      <c r="A4889" s="955"/>
      <c r="B4889" s="914" t="s">
        <v>3974</v>
      </c>
      <c r="C4889" s="971">
        <v>817</v>
      </c>
      <c r="D4889" s="907" t="s">
        <v>93</v>
      </c>
      <c r="E4889" s="972" t="s">
        <v>5555</v>
      </c>
      <c r="F4889" s="986" t="s">
        <v>2673</v>
      </c>
      <c r="G4889" s="974"/>
      <c r="H4889" s="975">
        <v>0.3</v>
      </c>
      <c r="I4889" s="976"/>
      <c r="J4889" s="976"/>
      <c r="K4889" s="912"/>
      <c r="L4889" s="912"/>
      <c r="M4889" s="912">
        <f>VLOOKUP(B4889,MTC!$B$9:$S$933,12,0)</f>
        <v>0</v>
      </c>
      <c r="N4889" s="912">
        <f>M4889*H4889</f>
        <v>0</v>
      </c>
      <c r="O4889" s="892">
        <f t="shared" si="304"/>
        <v>0</v>
      </c>
      <c r="P4889" s="903">
        <f t="shared" si="305"/>
        <v>1</v>
      </c>
      <c r="Q4889" s="893">
        <f t="shared" si="306"/>
        <v>1</v>
      </c>
      <c r="R4889" s="894">
        <f t="shared" si="307"/>
        <v>0</v>
      </c>
    </row>
    <row r="4890" spans="1:18" s="847" customFormat="1" ht="47.25">
      <c r="A4890" s="955"/>
      <c r="B4890" s="953" t="s">
        <v>5628</v>
      </c>
      <c r="C4890" s="956"/>
      <c r="D4890" s="956"/>
      <c r="E4890" s="957" t="s">
        <v>5629</v>
      </c>
      <c r="F4890" s="958" t="s">
        <v>150</v>
      </c>
      <c r="G4890" s="959"/>
      <c r="H4890" s="960"/>
      <c r="I4890" s="961"/>
      <c r="J4890" s="891">
        <f>SUM(J4891:J4895)</f>
        <v>0</v>
      </c>
      <c r="K4890" s="891"/>
      <c r="L4890" s="891">
        <f>SUM(L4891:L4895)</f>
        <v>10543613.309999999</v>
      </c>
      <c r="M4890" s="891"/>
      <c r="N4890" s="891">
        <f>SUM(N4891:N4895)</f>
        <v>0</v>
      </c>
      <c r="O4890" s="892">
        <f t="shared" si="304"/>
        <v>1</v>
      </c>
      <c r="P4890" s="903">
        <f t="shared" si="305"/>
        <v>0</v>
      </c>
      <c r="Q4890" s="893">
        <f t="shared" si="306"/>
        <v>0</v>
      </c>
      <c r="R4890" s="894">
        <f t="shared" si="307"/>
        <v>5</v>
      </c>
    </row>
    <row r="4891" spans="1:18" s="904" customFormat="1">
      <c r="A4891" s="963"/>
      <c r="B4891" s="964"/>
      <c r="C4891" s="965"/>
      <c r="D4891" s="965"/>
      <c r="E4891" s="982" t="s">
        <v>276</v>
      </c>
      <c r="F4891" s="983"/>
      <c r="G4891" s="984"/>
      <c r="H4891" s="969"/>
      <c r="I4891" s="970"/>
      <c r="J4891" s="970"/>
      <c r="K4891" s="912" t="s">
        <v>274</v>
      </c>
      <c r="L4891" s="970"/>
      <c r="M4891" s="970"/>
      <c r="N4891" s="970"/>
      <c r="O4891" s="892">
        <f t="shared" si="304"/>
        <v>0</v>
      </c>
      <c r="P4891" s="903">
        <f t="shared" si="305"/>
        <v>1</v>
      </c>
      <c r="Q4891" s="893">
        <f t="shared" si="306"/>
        <v>5</v>
      </c>
      <c r="R4891" s="894">
        <f t="shared" si="307"/>
        <v>0</v>
      </c>
    </row>
    <row r="4892" spans="1:18">
      <c r="A4892" s="955"/>
      <c r="B4892" s="953"/>
      <c r="C4892" s="971">
        <v>745</v>
      </c>
      <c r="D4892" s="907" t="s">
        <v>12</v>
      </c>
      <c r="E4892" s="985" t="s">
        <v>5518</v>
      </c>
      <c r="F4892" s="986" t="s">
        <v>2674</v>
      </c>
      <c r="G4892" s="974"/>
      <c r="H4892" s="975">
        <v>43.83</v>
      </c>
      <c r="I4892" s="976"/>
      <c r="J4892" s="976"/>
      <c r="K4892" s="912">
        <f>VLOOKUP(E4892,[5]ĐMNC!$A$7:$F$67,4,0)</f>
        <v>240557</v>
      </c>
      <c r="L4892" s="912">
        <f>H4892*K4892</f>
        <v>10543613.309999999</v>
      </c>
      <c r="M4892" s="912"/>
      <c r="N4892" s="912"/>
      <c r="O4892" s="892">
        <f t="shared" si="304"/>
        <v>0</v>
      </c>
      <c r="P4892" s="903">
        <f t="shared" si="305"/>
        <v>1</v>
      </c>
      <c r="Q4892" s="893">
        <f t="shared" si="306"/>
        <v>4</v>
      </c>
      <c r="R4892" s="894">
        <f t="shared" si="307"/>
        <v>0</v>
      </c>
    </row>
    <row r="4893" spans="1:18" s="904" customFormat="1">
      <c r="A4893" s="963"/>
      <c r="B4893" s="964"/>
      <c r="C4893" s="965"/>
      <c r="D4893" s="965"/>
      <c r="E4893" s="966" t="s">
        <v>3914</v>
      </c>
      <c r="F4893" s="967"/>
      <c r="G4893" s="984"/>
      <c r="H4893" s="969"/>
      <c r="I4893" s="970"/>
      <c r="J4893" s="970"/>
      <c r="K4893" s="912" t="s">
        <v>274</v>
      </c>
      <c r="L4893" s="970"/>
      <c r="M4893" s="970"/>
      <c r="N4893" s="970"/>
      <c r="O4893" s="892">
        <f t="shared" si="304"/>
        <v>0</v>
      </c>
      <c r="P4893" s="903">
        <f t="shared" si="305"/>
        <v>1</v>
      </c>
      <c r="Q4893" s="893">
        <f t="shared" si="306"/>
        <v>3</v>
      </c>
      <c r="R4893" s="894">
        <f t="shared" si="307"/>
        <v>0</v>
      </c>
    </row>
    <row r="4894" spans="1:18">
      <c r="A4894" s="955"/>
      <c r="B4894" s="953" t="s">
        <v>5610</v>
      </c>
      <c r="C4894" s="971">
        <v>823</v>
      </c>
      <c r="D4894" s="907" t="s">
        <v>93</v>
      </c>
      <c r="E4894" s="972" t="s">
        <v>5611</v>
      </c>
      <c r="F4894" s="986" t="s">
        <v>2673</v>
      </c>
      <c r="G4894" s="974"/>
      <c r="H4894" s="975">
        <v>0.2</v>
      </c>
      <c r="I4894" s="976"/>
      <c r="J4894" s="976"/>
      <c r="K4894" s="912"/>
      <c r="L4894" s="912"/>
      <c r="M4894" s="912">
        <f>VLOOKUP(B4894,MTC!$B$9:$S$933,12,0)</f>
        <v>0</v>
      </c>
      <c r="N4894" s="912">
        <f>M4894*H4894</f>
        <v>0</v>
      </c>
      <c r="O4894" s="892">
        <f t="shared" si="304"/>
        <v>0</v>
      </c>
      <c r="P4894" s="903">
        <f t="shared" si="305"/>
        <v>1</v>
      </c>
      <c r="Q4894" s="893">
        <f t="shared" si="306"/>
        <v>2</v>
      </c>
      <c r="R4894" s="894">
        <f t="shared" si="307"/>
        <v>0</v>
      </c>
    </row>
    <row r="4895" spans="1:18">
      <c r="A4895" s="955"/>
      <c r="B4895" s="914" t="s">
        <v>3974</v>
      </c>
      <c r="C4895" s="971">
        <v>817</v>
      </c>
      <c r="D4895" s="907" t="s">
        <v>93</v>
      </c>
      <c r="E4895" s="972" t="s">
        <v>5555</v>
      </c>
      <c r="F4895" s="986" t="s">
        <v>2673</v>
      </c>
      <c r="G4895" s="974"/>
      <c r="H4895" s="975">
        <v>0.3</v>
      </c>
      <c r="I4895" s="976"/>
      <c r="J4895" s="976"/>
      <c r="K4895" s="912"/>
      <c r="L4895" s="912"/>
      <c r="M4895" s="912">
        <f>VLOOKUP(B4895,MTC!$B$9:$S$933,12,0)</f>
        <v>0</v>
      </c>
      <c r="N4895" s="912">
        <f>M4895*H4895</f>
        <v>0</v>
      </c>
      <c r="O4895" s="892">
        <f t="shared" ref="O4895:O4958" si="308">IF(AND(B4895&lt;&gt;"",D4895=""),1,0)</f>
        <v>0</v>
      </c>
      <c r="P4895" s="903">
        <f t="shared" si="305"/>
        <v>1</v>
      </c>
      <c r="Q4895" s="893">
        <f t="shared" si="306"/>
        <v>1</v>
      </c>
      <c r="R4895" s="894">
        <f t="shared" si="307"/>
        <v>0</v>
      </c>
    </row>
    <row r="4896" spans="1:18" s="847" customFormat="1" ht="47.25">
      <c r="A4896" s="955"/>
      <c r="B4896" s="953" t="s">
        <v>5630</v>
      </c>
      <c r="C4896" s="956"/>
      <c r="D4896" s="956"/>
      <c r="E4896" s="957" t="s">
        <v>5631</v>
      </c>
      <c r="F4896" s="958" t="s">
        <v>150</v>
      </c>
      <c r="G4896" s="959"/>
      <c r="H4896" s="960"/>
      <c r="I4896" s="961"/>
      <c r="J4896" s="891">
        <f>SUM(J4897:J4901)</f>
        <v>0</v>
      </c>
      <c r="K4896" s="891"/>
      <c r="L4896" s="891">
        <f>SUM(L4897:L4901)</f>
        <v>13928250.299999999</v>
      </c>
      <c r="M4896" s="891"/>
      <c r="N4896" s="891">
        <f>SUM(N4897:N4901)</f>
        <v>0</v>
      </c>
      <c r="O4896" s="892">
        <f t="shared" si="308"/>
        <v>1</v>
      </c>
      <c r="P4896" s="903">
        <f t="shared" si="305"/>
        <v>0</v>
      </c>
      <c r="Q4896" s="893">
        <f t="shared" si="306"/>
        <v>0</v>
      </c>
      <c r="R4896" s="894">
        <f t="shared" si="307"/>
        <v>5</v>
      </c>
    </row>
    <row r="4897" spans="1:18" s="904" customFormat="1">
      <c r="A4897" s="963"/>
      <c r="B4897" s="964"/>
      <c r="C4897" s="965"/>
      <c r="D4897" s="965"/>
      <c r="E4897" s="982" t="s">
        <v>276</v>
      </c>
      <c r="F4897" s="983"/>
      <c r="G4897" s="984"/>
      <c r="H4897" s="969"/>
      <c r="I4897" s="970"/>
      <c r="J4897" s="970"/>
      <c r="K4897" s="912" t="s">
        <v>274</v>
      </c>
      <c r="L4897" s="970"/>
      <c r="M4897" s="970"/>
      <c r="N4897" s="970"/>
      <c r="O4897" s="892">
        <f t="shared" si="308"/>
        <v>0</v>
      </c>
      <c r="P4897" s="903">
        <f t="shared" si="305"/>
        <v>1</v>
      </c>
      <c r="Q4897" s="893">
        <f t="shared" si="306"/>
        <v>5</v>
      </c>
      <c r="R4897" s="894">
        <f t="shared" si="307"/>
        <v>0</v>
      </c>
    </row>
    <row r="4898" spans="1:18">
      <c r="A4898" s="955"/>
      <c r="B4898" s="953"/>
      <c r="C4898" s="971">
        <v>745</v>
      </c>
      <c r="D4898" s="907" t="s">
        <v>12</v>
      </c>
      <c r="E4898" s="985" t="s">
        <v>5518</v>
      </c>
      <c r="F4898" s="986" t="s">
        <v>2674</v>
      </c>
      <c r="G4898" s="974"/>
      <c r="H4898" s="975">
        <v>57.9</v>
      </c>
      <c r="I4898" s="976"/>
      <c r="J4898" s="976"/>
      <c r="K4898" s="912">
        <f>VLOOKUP(E4898,[5]ĐMNC!$A$7:$F$67,4,0)</f>
        <v>240557</v>
      </c>
      <c r="L4898" s="912">
        <f>H4898*K4898</f>
        <v>13928250.299999999</v>
      </c>
      <c r="M4898" s="912"/>
      <c r="N4898" s="912"/>
      <c r="O4898" s="892">
        <f t="shared" si="308"/>
        <v>0</v>
      </c>
      <c r="P4898" s="903">
        <f t="shared" si="305"/>
        <v>1</v>
      </c>
      <c r="Q4898" s="893">
        <f t="shared" si="306"/>
        <v>4</v>
      </c>
      <c r="R4898" s="894">
        <f t="shared" si="307"/>
        <v>0</v>
      </c>
    </row>
    <row r="4899" spans="1:18" s="904" customFormat="1">
      <c r="A4899" s="963"/>
      <c r="B4899" s="964"/>
      <c r="C4899" s="965"/>
      <c r="D4899" s="965"/>
      <c r="E4899" s="966" t="s">
        <v>3914</v>
      </c>
      <c r="F4899" s="967"/>
      <c r="G4899" s="984"/>
      <c r="H4899" s="969"/>
      <c r="I4899" s="970"/>
      <c r="J4899" s="970"/>
      <c r="K4899" s="912" t="s">
        <v>274</v>
      </c>
      <c r="L4899" s="970"/>
      <c r="M4899" s="970"/>
      <c r="N4899" s="970"/>
      <c r="O4899" s="892">
        <f t="shared" si="308"/>
        <v>0</v>
      </c>
      <c r="P4899" s="903">
        <f t="shared" si="305"/>
        <v>1</v>
      </c>
      <c r="Q4899" s="893">
        <f t="shared" si="306"/>
        <v>3</v>
      </c>
      <c r="R4899" s="894">
        <f t="shared" si="307"/>
        <v>0</v>
      </c>
    </row>
    <row r="4900" spans="1:18">
      <c r="A4900" s="955"/>
      <c r="B4900" s="953" t="s">
        <v>5610</v>
      </c>
      <c r="C4900" s="971">
        <v>823</v>
      </c>
      <c r="D4900" s="907" t="s">
        <v>93</v>
      </c>
      <c r="E4900" s="972" t="s">
        <v>5611</v>
      </c>
      <c r="F4900" s="986" t="s">
        <v>2673</v>
      </c>
      <c r="G4900" s="974"/>
      <c r="H4900" s="975">
        <v>0.2</v>
      </c>
      <c r="I4900" s="976"/>
      <c r="J4900" s="976"/>
      <c r="K4900" s="912"/>
      <c r="L4900" s="912"/>
      <c r="M4900" s="912">
        <f>VLOOKUP(B4900,MTC!$B$9:$S$933,12,0)</f>
        <v>0</v>
      </c>
      <c r="N4900" s="912">
        <f>M4900*H4900</f>
        <v>0</v>
      </c>
      <c r="O4900" s="892">
        <f t="shared" si="308"/>
        <v>0</v>
      </c>
      <c r="P4900" s="903">
        <f t="shared" si="305"/>
        <v>1</v>
      </c>
      <c r="Q4900" s="893">
        <f t="shared" si="306"/>
        <v>2</v>
      </c>
      <c r="R4900" s="894">
        <f t="shared" si="307"/>
        <v>0</v>
      </c>
    </row>
    <row r="4901" spans="1:18">
      <c r="A4901" s="955"/>
      <c r="B4901" s="914" t="s">
        <v>3974</v>
      </c>
      <c r="C4901" s="971">
        <v>817</v>
      </c>
      <c r="D4901" s="907" t="s">
        <v>93</v>
      </c>
      <c r="E4901" s="972" t="s">
        <v>5555</v>
      </c>
      <c r="F4901" s="986" t="s">
        <v>2673</v>
      </c>
      <c r="G4901" s="974"/>
      <c r="H4901" s="975">
        <v>0.3</v>
      </c>
      <c r="I4901" s="976"/>
      <c r="J4901" s="976"/>
      <c r="K4901" s="912"/>
      <c r="L4901" s="912"/>
      <c r="M4901" s="912">
        <f>VLOOKUP(B4901,MTC!$B$9:$S$933,12,0)</f>
        <v>0</v>
      </c>
      <c r="N4901" s="912">
        <f>M4901*H4901</f>
        <v>0</v>
      </c>
      <c r="O4901" s="892">
        <f t="shared" si="308"/>
        <v>0</v>
      </c>
      <c r="P4901" s="903">
        <f t="shared" si="305"/>
        <v>1</v>
      </c>
      <c r="Q4901" s="893">
        <f t="shared" si="306"/>
        <v>1</v>
      </c>
      <c r="R4901" s="894">
        <f t="shared" si="307"/>
        <v>0</v>
      </c>
    </row>
    <row r="4902" spans="1:18" s="847" customFormat="1" ht="31.5">
      <c r="A4902" s="955"/>
      <c r="B4902" s="953" t="s">
        <v>5632</v>
      </c>
      <c r="C4902" s="956"/>
      <c r="D4902" s="956"/>
      <c r="E4902" s="957" t="s">
        <v>5633</v>
      </c>
      <c r="F4902" s="958" t="s">
        <v>150</v>
      </c>
      <c r="G4902" s="959"/>
      <c r="H4902" s="960"/>
      <c r="I4902" s="961"/>
      <c r="J4902" s="891">
        <f>SUM(J4903:J4907)</f>
        <v>0</v>
      </c>
      <c r="K4902" s="891"/>
      <c r="L4902" s="891">
        <f>SUM(L4903:L4907)</f>
        <v>1901675</v>
      </c>
      <c r="M4902" s="891"/>
      <c r="N4902" s="891">
        <f>SUM(N4903:N4907)</f>
        <v>0</v>
      </c>
      <c r="O4902" s="892">
        <f t="shared" si="308"/>
        <v>1</v>
      </c>
      <c r="P4902" s="903">
        <f t="shared" si="305"/>
        <v>0</v>
      </c>
      <c r="Q4902" s="893">
        <f t="shared" si="306"/>
        <v>0</v>
      </c>
      <c r="R4902" s="894">
        <f t="shared" si="307"/>
        <v>5</v>
      </c>
    </row>
    <row r="4903" spans="1:18" s="904" customFormat="1">
      <c r="A4903" s="963"/>
      <c r="B4903" s="964"/>
      <c r="C4903" s="965"/>
      <c r="D4903" s="965"/>
      <c r="E4903" s="982" t="s">
        <v>276</v>
      </c>
      <c r="F4903" s="983"/>
      <c r="G4903" s="984"/>
      <c r="H4903" s="969"/>
      <c r="I4903" s="970"/>
      <c r="J4903" s="970"/>
      <c r="K4903" s="912" t="s">
        <v>274</v>
      </c>
      <c r="L4903" s="970"/>
      <c r="M4903" s="970"/>
      <c r="N4903" s="970"/>
      <c r="O4903" s="892">
        <f t="shared" si="308"/>
        <v>0</v>
      </c>
      <c r="P4903" s="903">
        <f t="shared" si="305"/>
        <v>1</v>
      </c>
      <c r="Q4903" s="893">
        <f t="shared" si="306"/>
        <v>5</v>
      </c>
      <c r="R4903" s="894">
        <f t="shared" si="307"/>
        <v>0</v>
      </c>
    </row>
    <row r="4904" spans="1:18">
      <c r="A4904" s="955"/>
      <c r="B4904" s="953"/>
      <c r="C4904" s="971">
        <v>740</v>
      </c>
      <c r="D4904" s="907" t="s">
        <v>12</v>
      </c>
      <c r="E4904" s="985" t="s">
        <v>4008</v>
      </c>
      <c r="F4904" s="986" t="s">
        <v>2674</v>
      </c>
      <c r="G4904" s="974"/>
      <c r="H4904" s="975">
        <v>8.6</v>
      </c>
      <c r="I4904" s="976"/>
      <c r="J4904" s="976"/>
      <c r="K4904" s="912">
        <f>VLOOKUP(E4904,[5]ĐMNC!$A$7:$F$67,4,0)</f>
        <v>221125</v>
      </c>
      <c r="L4904" s="912">
        <f>H4904*K4904</f>
        <v>1901675</v>
      </c>
      <c r="M4904" s="912"/>
      <c r="N4904" s="912"/>
      <c r="O4904" s="892">
        <f t="shared" si="308"/>
        <v>0</v>
      </c>
      <c r="P4904" s="903">
        <f t="shared" ref="P4904:P4967" si="309">IF(O4904=0,1,0)</f>
        <v>1</v>
      </c>
      <c r="Q4904" s="893">
        <f t="shared" ref="Q4904:Q4967" si="310">IF(P4904=0,0,P4904+Q4905)</f>
        <v>4</v>
      </c>
      <c r="R4904" s="894">
        <f t="shared" ref="R4904:R4967" si="311">IF(Q4904=0,Q4905,0)</f>
        <v>0</v>
      </c>
    </row>
    <row r="4905" spans="1:18" s="904" customFormat="1">
      <c r="A4905" s="963"/>
      <c r="B4905" s="964"/>
      <c r="C4905" s="965"/>
      <c r="D4905" s="965"/>
      <c r="E4905" s="966" t="s">
        <v>3914</v>
      </c>
      <c r="F4905" s="967"/>
      <c r="G4905" s="984"/>
      <c r="H4905" s="969"/>
      <c r="I4905" s="970"/>
      <c r="J4905" s="970"/>
      <c r="K4905" s="912" t="s">
        <v>274</v>
      </c>
      <c r="L4905" s="970"/>
      <c r="M4905" s="970"/>
      <c r="N4905" s="970"/>
      <c r="O4905" s="892">
        <f t="shared" si="308"/>
        <v>0</v>
      </c>
      <c r="P4905" s="903">
        <f t="shared" si="309"/>
        <v>1</v>
      </c>
      <c r="Q4905" s="893">
        <f t="shared" si="310"/>
        <v>3</v>
      </c>
      <c r="R4905" s="894">
        <f t="shared" si="311"/>
        <v>0</v>
      </c>
    </row>
    <row r="4906" spans="1:18">
      <c r="A4906" s="955"/>
      <c r="B4906" s="953" t="s">
        <v>5610</v>
      </c>
      <c r="C4906" s="971">
        <v>823</v>
      </c>
      <c r="D4906" s="907" t="s">
        <v>93</v>
      </c>
      <c r="E4906" s="972" t="s">
        <v>5611</v>
      </c>
      <c r="F4906" s="986" t="s">
        <v>2673</v>
      </c>
      <c r="G4906" s="974"/>
      <c r="H4906" s="975">
        <v>0.15</v>
      </c>
      <c r="I4906" s="976"/>
      <c r="J4906" s="976"/>
      <c r="K4906" s="912"/>
      <c r="L4906" s="912"/>
      <c r="M4906" s="912">
        <f>VLOOKUP(B4906,MTC!$B$9:$S$933,12,0)</f>
        <v>0</v>
      </c>
      <c r="N4906" s="912">
        <f>M4906*H4906</f>
        <v>0</v>
      </c>
      <c r="O4906" s="892">
        <f t="shared" si="308"/>
        <v>0</v>
      </c>
      <c r="P4906" s="903">
        <f t="shared" si="309"/>
        <v>1</v>
      </c>
      <c r="Q4906" s="893">
        <f t="shared" si="310"/>
        <v>2</v>
      </c>
      <c r="R4906" s="894">
        <f t="shared" si="311"/>
        <v>0</v>
      </c>
    </row>
    <row r="4907" spans="1:18">
      <c r="A4907" s="955"/>
      <c r="B4907" s="914" t="s">
        <v>3974</v>
      </c>
      <c r="C4907" s="971">
        <v>817</v>
      </c>
      <c r="D4907" s="907" t="s">
        <v>93</v>
      </c>
      <c r="E4907" s="972" t="s">
        <v>5555</v>
      </c>
      <c r="F4907" s="986" t="s">
        <v>2673</v>
      </c>
      <c r="G4907" s="974"/>
      <c r="H4907" s="975">
        <v>0.2</v>
      </c>
      <c r="I4907" s="976"/>
      <c r="J4907" s="976"/>
      <c r="K4907" s="912"/>
      <c r="L4907" s="912"/>
      <c r="M4907" s="912">
        <f>VLOOKUP(B4907,MTC!$B$9:$S$933,12,0)</f>
        <v>0</v>
      </c>
      <c r="N4907" s="912">
        <f>M4907*H4907</f>
        <v>0</v>
      </c>
      <c r="O4907" s="892">
        <f t="shared" si="308"/>
        <v>0</v>
      </c>
      <c r="P4907" s="903">
        <f t="shared" si="309"/>
        <v>1</v>
      </c>
      <c r="Q4907" s="893">
        <f t="shared" si="310"/>
        <v>1</v>
      </c>
      <c r="R4907" s="894">
        <f t="shared" si="311"/>
        <v>0</v>
      </c>
    </row>
    <row r="4908" spans="1:18" s="847" customFormat="1" ht="31.5">
      <c r="A4908" s="955"/>
      <c r="B4908" s="953" t="s">
        <v>5634</v>
      </c>
      <c r="C4908" s="956"/>
      <c r="D4908" s="956"/>
      <c r="E4908" s="957" t="s">
        <v>5635</v>
      </c>
      <c r="F4908" s="958" t="s">
        <v>150</v>
      </c>
      <c r="G4908" s="959"/>
      <c r="H4908" s="960"/>
      <c r="I4908" s="961"/>
      <c r="J4908" s="891">
        <f>SUM(J4909:J4913)</f>
        <v>0</v>
      </c>
      <c r="K4908" s="891"/>
      <c r="L4908" s="891">
        <f>SUM(L4909:L4913)</f>
        <v>2339502.5</v>
      </c>
      <c r="M4908" s="891"/>
      <c r="N4908" s="891">
        <f>SUM(N4909:N4913)</f>
        <v>0</v>
      </c>
      <c r="O4908" s="892">
        <f t="shared" si="308"/>
        <v>1</v>
      </c>
      <c r="P4908" s="903">
        <f t="shared" si="309"/>
        <v>0</v>
      </c>
      <c r="Q4908" s="893">
        <f t="shared" si="310"/>
        <v>0</v>
      </c>
      <c r="R4908" s="894">
        <f t="shared" si="311"/>
        <v>5</v>
      </c>
    </row>
    <row r="4909" spans="1:18" s="904" customFormat="1">
      <c r="A4909" s="963"/>
      <c r="B4909" s="964"/>
      <c r="C4909" s="965"/>
      <c r="D4909" s="965"/>
      <c r="E4909" s="982" t="s">
        <v>276</v>
      </c>
      <c r="F4909" s="983"/>
      <c r="G4909" s="984"/>
      <c r="H4909" s="969"/>
      <c r="I4909" s="970"/>
      <c r="J4909" s="970"/>
      <c r="K4909" s="912" t="s">
        <v>274</v>
      </c>
      <c r="L4909" s="970"/>
      <c r="M4909" s="970"/>
      <c r="N4909" s="970"/>
      <c r="O4909" s="892">
        <f t="shared" si="308"/>
        <v>0</v>
      </c>
      <c r="P4909" s="903">
        <f t="shared" si="309"/>
        <v>1</v>
      </c>
      <c r="Q4909" s="893">
        <f t="shared" si="310"/>
        <v>5</v>
      </c>
      <c r="R4909" s="894">
        <f t="shared" si="311"/>
        <v>0</v>
      </c>
    </row>
    <row r="4910" spans="1:18">
      <c r="A4910" s="955"/>
      <c r="B4910" s="953"/>
      <c r="C4910" s="971">
        <v>740</v>
      </c>
      <c r="D4910" s="907" t="s">
        <v>12</v>
      </c>
      <c r="E4910" s="985" t="s">
        <v>4008</v>
      </c>
      <c r="F4910" s="986" t="s">
        <v>2674</v>
      </c>
      <c r="G4910" s="974"/>
      <c r="H4910" s="975">
        <v>10.58</v>
      </c>
      <c r="I4910" s="976"/>
      <c r="J4910" s="976"/>
      <c r="K4910" s="912">
        <f>VLOOKUP(E4910,[5]ĐMNC!$A$7:$F$67,4,0)</f>
        <v>221125</v>
      </c>
      <c r="L4910" s="912">
        <f>H4910*K4910</f>
        <v>2339502.5</v>
      </c>
      <c r="M4910" s="912"/>
      <c r="N4910" s="912"/>
      <c r="O4910" s="892">
        <f t="shared" si="308"/>
        <v>0</v>
      </c>
      <c r="P4910" s="903">
        <f t="shared" si="309"/>
        <v>1</v>
      </c>
      <c r="Q4910" s="893">
        <f t="shared" si="310"/>
        <v>4</v>
      </c>
      <c r="R4910" s="894">
        <f t="shared" si="311"/>
        <v>0</v>
      </c>
    </row>
    <row r="4911" spans="1:18" s="904" customFormat="1">
      <c r="A4911" s="963"/>
      <c r="B4911" s="964"/>
      <c r="C4911" s="965"/>
      <c r="D4911" s="965"/>
      <c r="E4911" s="966" t="s">
        <v>3914</v>
      </c>
      <c r="F4911" s="967"/>
      <c r="G4911" s="984"/>
      <c r="H4911" s="969"/>
      <c r="I4911" s="970"/>
      <c r="J4911" s="970"/>
      <c r="K4911" s="912" t="s">
        <v>274</v>
      </c>
      <c r="L4911" s="970"/>
      <c r="M4911" s="970"/>
      <c r="N4911" s="970"/>
      <c r="O4911" s="892">
        <f t="shared" si="308"/>
        <v>0</v>
      </c>
      <c r="P4911" s="903">
        <f t="shared" si="309"/>
        <v>1</v>
      </c>
      <c r="Q4911" s="893">
        <f t="shared" si="310"/>
        <v>3</v>
      </c>
      <c r="R4911" s="894">
        <f t="shared" si="311"/>
        <v>0</v>
      </c>
    </row>
    <row r="4912" spans="1:18">
      <c r="A4912" s="955"/>
      <c r="B4912" s="953" t="s">
        <v>5610</v>
      </c>
      <c r="C4912" s="971">
        <v>823</v>
      </c>
      <c r="D4912" s="907" t="s">
        <v>93</v>
      </c>
      <c r="E4912" s="972" t="s">
        <v>5611</v>
      </c>
      <c r="F4912" s="986" t="s">
        <v>2673</v>
      </c>
      <c r="G4912" s="974"/>
      <c r="H4912" s="975">
        <v>0.15</v>
      </c>
      <c r="I4912" s="976"/>
      <c r="J4912" s="976"/>
      <c r="K4912" s="912"/>
      <c r="L4912" s="912"/>
      <c r="M4912" s="912">
        <f>VLOOKUP(B4912,MTC!$B$9:$S$933,12,0)</f>
        <v>0</v>
      </c>
      <c r="N4912" s="912">
        <f>M4912*H4912</f>
        <v>0</v>
      </c>
      <c r="O4912" s="892">
        <f t="shared" si="308"/>
        <v>0</v>
      </c>
      <c r="P4912" s="903">
        <f t="shared" si="309"/>
        <v>1</v>
      </c>
      <c r="Q4912" s="893">
        <f t="shared" si="310"/>
        <v>2</v>
      </c>
      <c r="R4912" s="894">
        <f t="shared" si="311"/>
        <v>0</v>
      </c>
    </row>
    <row r="4913" spans="1:18">
      <c r="A4913" s="955"/>
      <c r="B4913" s="914" t="s">
        <v>3974</v>
      </c>
      <c r="C4913" s="971">
        <v>817</v>
      </c>
      <c r="D4913" s="907" t="s">
        <v>93</v>
      </c>
      <c r="E4913" s="972" t="s">
        <v>5555</v>
      </c>
      <c r="F4913" s="986" t="s">
        <v>2673</v>
      </c>
      <c r="G4913" s="974"/>
      <c r="H4913" s="975">
        <v>0.2</v>
      </c>
      <c r="I4913" s="976"/>
      <c r="J4913" s="976"/>
      <c r="K4913" s="912"/>
      <c r="L4913" s="912"/>
      <c r="M4913" s="912">
        <f>VLOOKUP(B4913,MTC!$B$9:$S$933,12,0)</f>
        <v>0</v>
      </c>
      <c r="N4913" s="912">
        <f>M4913*H4913</f>
        <v>0</v>
      </c>
      <c r="O4913" s="892">
        <f t="shared" si="308"/>
        <v>0</v>
      </c>
      <c r="P4913" s="903">
        <f t="shared" si="309"/>
        <v>1</v>
      </c>
      <c r="Q4913" s="893">
        <f t="shared" si="310"/>
        <v>1</v>
      </c>
      <c r="R4913" s="894">
        <f t="shared" si="311"/>
        <v>0</v>
      </c>
    </row>
    <row r="4914" spans="1:18" s="847" customFormat="1" ht="31.5">
      <c r="A4914" s="955"/>
      <c r="B4914" s="953" t="s">
        <v>5636</v>
      </c>
      <c r="C4914" s="956"/>
      <c r="D4914" s="956"/>
      <c r="E4914" s="957" t="s">
        <v>5637</v>
      </c>
      <c r="F4914" s="958" t="s">
        <v>150</v>
      </c>
      <c r="G4914" s="959"/>
      <c r="H4914" s="960"/>
      <c r="I4914" s="961"/>
      <c r="J4914" s="891">
        <f>SUM(J4915:J4919)</f>
        <v>0</v>
      </c>
      <c r="K4914" s="891"/>
      <c r="L4914" s="891">
        <f>SUM(L4915:L4919)</f>
        <v>2808287.5</v>
      </c>
      <c r="M4914" s="891"/>
      <c r="N4914" s="891">
        <f>SUM(N4915:N4919)</f>
        <v>0</v>
      </c>
      <c r="O4914" s="892">
        <f t="shared" si="308"/>
        <v>1</v>
      </c>
      <c r="P4914" s="903">
        <f t="shared" si="309"/>
        <v>0</v>
      </c>
      <c r="Q4914" s="893">
        <f t="shared" si="310"/>
        <v>0</v>
      </c>
      <c r="R4914" s="894">
        <f t="shared" si="311"/>
        <v>5</v>
      </c>
    </row>
    <row r="4915" spans="1:18" s="904" customFormat="1">
      <c r="A4915" s="963"/>
      <c r="B4915" s="964"/>
      <c r="C4915" s="965"/>
      <c r="D4915" s="965"/>
      <c r="E4915" s="982" t="s">
        <v>276</v>
      </c>
      <c r="F4915" s="983"/>
      <c r="G4915" s="984"/>
      <c r="H4915" s="969"/>
      <c r="I4915" s="970"/>
      <c r="J4915" s="970"/>
      <c r="K4915" s="912" t="s">
        <v>274</v>
      </c>
      <c r="L4915" s="970"/>
      <c r="M4915" s="970"/>
      <c r="N4915" s="970"/>
      <c r="O4915" s="892">
        <f t="shared" si="308"/>
        <v>0</v>
      </c>
      <c r="P4915" s="903">
        <f t="shared" si="309"/>
        <v>1</v>
      </c>
      <c r="Q4915" s="893">
        <f t="shared" si="310"/>
        <v>5</v>
      </c>
      <c r="R4915" s="894">
        <f t="shared" si="311"/>
        <v>0</v>
      </c>
    </row>
    <row r="4916" spans="1:18">
      <c r="A4916" s="955"/>
      <c r="B4916" s="953"/>
      <c r="C4916" s="971">
        <v>740</v>
      </c>
      <c r="D4916" s="907" t="s">
        <v>12</v>
      </c>
      <c r="E4916" s="985" t="s">
        <v>4008</v>
      </c>
      <c r="F4916" s="986" t="s">
        <v>2674</v>
      </c>
      <c r="G4916" s="974"/>
      <c r="H4916" s="975">
        <v>12.7</v>
      </c>
      <c r="I4916" s="976"/>
      <c r="J4916" s="976"/>
      <c r="K4916" s="912">
        <f>VLOOKUP(E4916,[5]ĐMNC!$A$7:$F$67,4,0)</f>
        <v>221125</v>
      </c>
      <c r="L4916" s="912">
        <f>H4916*K4916</f>
        <v>2808287.5</v>
      </c>
      <c r="M4916" s="912"/>
      <c r="N4916" s="912"/>
      <c r="O4916" s="892">
        <f t="shared" si="308"/>
        <v>0</v>
      </c>
      <c r="P4916" s="903">
        <f t="shared" si="309"/>
        <v>1</v>
      </c>
      <c r="Q4916" s="893">
        <f t="shared" si="310"/>
        <v>4</v>
      </c>
      <c r="R4916" s="894">
        <f t="shared" si="311"/>
        <v>0</v>
      </c>
    </row>
    <row r="4917" spans="1:18" s="904" customFormat="1">
      <c r="A4917" s="963"/>
      <c r="B4917" s="964"/>
      <c r="C4917" s="965"/>
      <c r="D4917" s="965"/>
      <c r="E4917" s="966" t="s">
        <v>3914</v>
      </c>
      <c r="F4917" s="967"/>
      <c r="G4917" s="984"/>
      <c r="H4917" s="969"/>
      <c r="I4917" s="970"/>
      <c r="J4917" s="970"/>
      <c r="K4917" s="912" t="s">
        <v>274</v>
      </c>
      <c r="L4917" s="970"/>
      <c r="M4917" s="970"/>
      <c r="N4917" s="970"/>
      <c r="O4917" s="892">
        <f t="shared" si="308"/>
        <v>0</v>
      </c>
      <c r="P4917" s="903">
        <f t="shared" si="309"/>
        <v>1</v>
      </c>
      <c r="Q4917" s="893">
        <f t="shared" si="310"/>
        <v>3</v>
      </c>
      <c r="R4917" s="894">
        <f t="shared" si="311"/>
        <v>0</v>
      </c>
    </row>
    <row r="4918" spans="1:18">
      <c r="A4918" s="955"/>
      <c r="B4918" s="953" t="s">
        <v>5610</v>
      </c>
      <c r="C4918" s="971">
        <v>823</v>
      </c>
      <c r="D4918" s="907" t="s">
        <v>93</v>
      </c>
      <c r="E4918" s="972" t="s">
        <v>5611</v>
      </c>
      <c r="F4918" s="986" t="s">
        <v>2673</v>
      </c>
      <c r="G4918" s="974"/>
      <c r="H4918" s="975">
        <v>0.15</v>
      </c>
      <c r="I4918" s="976"/>
      <c r="J4918" s="976"/>
      <c r="K4918" s="912"/>
      <c r="L4918" s="912"/>
      <c r="M4918" s="912">
        <f>VLOOKUP(B4918,MTC!$B$9:$S$933,12,0)</f>
        <v>0</v>
      </c>
      <c r="N4918" s="912">
        <f>M4918*H4918</f>
        <v>0</v>
      </c>
      <c r="O4918" s="892">
        <f t="shared" si="308"/>
        <v>0</v>
      </c>
      <c r="P4918" s="903">
        <f t="shared" si="309"/>
        <v>1</v>
      </c>
      <c r="Q4918" s="893">
        <f t="shared" si="310"/>
        <v>2</v>
      </c>
      <c r="R4918" s="894">
        <f t="shared" si="311"/>
        <v>0</v>
      </c>
    </row>
    <row r="4919" spans="1:18">
      <c r="A4919" s="955"/>
      <c r="B4919" s="914" t="s">
        <v>3974</v>
      </c>
      <c r="C4919" s="971">
        <v>817</v>
      </c>
      <c r="D4919" s="907" t="s">
        <v>93</v>
      </c>
      <c r="E4919" s="972" t="s">
        <v>5555</v>
      </c>
      <c r="F4919" s="986" t="s">
        <v>2673</v>
      </c>
      <c r="G4919" s="974"/>
      <c r="H4919" s="975">
        <v>0.2</v>
      </c>
      <c r="I4919" s="976"/>
      <c r="J4919" s="976"/>
      <c r="K4919" s="912"/>
      <c r="L4919" s="912"/>
      <c r="M4919" s="912">
        <f>VLOOKUP(B4919,MTC!$B$9:$S$933,12,0)</f>
        <v>0</v>
      </c>
      <c r="N4919" s="912">
        <f>M4919*H4919</f>
        <v>0</v>
      </c>
      <c r="O4919" s="892">
        <f t="shared" si="308"/>
        <v>0</v>
      </c>
      <c r="P4919" s="903">
        <f t="shared" si="309"/>
        <v>1</v>
      </c>
      <c r="Q4919" s="893">
        <f t="shared" si="310"/>
        <v>1</v>
      </c>
      <c r="R4919" s="894">
        <f t="shared" si="311"/>
        <v>0</v>
      </c>
    </row>
    <row r="4920" spans="1:18" s="847" customFormat="1" ht="31.5">
      <c r="A4920" s="955"/>
      <c r="B4920" s="953" t="s">
        <v>5638</v>
      </c>
      <c r="C4920" s="956"/>
      <c r="D4920" s="956"/>
      <c r="E4920" s="957" t="s">
        <v>5639</v>
      </c>
      <c r="F4920" s="958" t="s">
        <v>150</v>
      </c>
      <c r="G4920" s="959"/>
      <c r="H4920" s="960"/>
      <c r="I4920" s="961"/>
      <c r="J4920" s="891">
        <f>SUM(J4921:J4925)</f>
        <v>0</v>
      </c>
      <c r="K4920" s="891"/>
      <c r="L4920" s="891">
        <f>SUM(L4921:L4925)</f>
        <v>1791112.5</v>
      </c>
      <c r="M4920" s="891"/>
      <c r="N4920" s="891">
        <f>SUM(N4921:N4925)</f>
        <v>0</v>
      </c>
      <c r="O4920" s="892">
        <f t="shared" si="308"/>
        <v>1</v>
      </c>
      <c r="P4920" s="903">
        <f t="shared" si="309"/>
        <v>0</v>
      </c>
      <c r="Q4920" s="893">
        <f t="shared" si="310"/>
        <v>0</v>
      </c>
      <c r="R4920" s="894">
        <f t="shared" si="311"/>
        <v>5</v>
      </c>
    </row>
    <row r="4921" spans="1:18" s="904" customFormat="1">
      <c r="A4921" s="963"/>
      <c r="B4921" s="964"/>
      <c r="C4921" s="965"/>
      <c r="D4921" s="965"/>
      <c r="E4921" s="982" t="s">
        <v>276</v>
      </c>
      <c r="F4921" s="983"/>
      <c r="G4921" s="984"/>
      <c r="H4921" s="969"/>
      <c r="I4921" s="970"/>
      <c r="J4921" s="970"/>
      <c r="K4921" s="912" t="s">
        <v>274</v>
      </c>
      <c r="L4921" s="970"/>
      <c r="M4921" s="970"/>
      <c r="N4921" s="970"/>
      <c r="O4921" s="892">
        <f t="shared" si="308"/>
        <v>0</v>
      </c>
      <c r="P4921" s="903">
        <f t="shared" si="309"/>
        <v>1</v>
      </c>
      <c r="Q4921" s="893">
        <f t="shared" si="310"/>
        <v>5</v>
      </c>
      <c r="R4921" s="894">
        <f t="shared" si="311"/>
        <v>0</v>
      </c>
    </row>
    <row r="4922" spans="1:18">
      <c r="A4922" s="955"/>
      <c r="B4922" s="953"/>
      <c r="C4922" s="971">
        <v>740</v>
      </c>
      <c r="D4922" s="907" t="s">
        <v>12</v>
      </c>
      <c r="E4922" s="985" t="s">
        <v>4008</v>
      </c>
      <c r="F4922" s="986" t="s">
        <v>2674</v>
      </c>
      <c r="G4922" s="974"/>
      <c r="H4922" s="975">
        <v>8.1</v>
      </c>
      <c r="I4922" s="976"/>
      <c r="J4922" s="976"/>
      <c r="K4922" s="912">
        <f>VLOOKUP(E4922,[5]ĐMNC!$A$7:$F$67,4,0)</f>
        <v>221125</v>
      </c>
      <c r="L4922" s="912">
        <f>H4922*K4922</f>
        <v>1791112.5</v>
      </c>
      <c r="M4922" s="912"/>
      <c r="N4922" s="912"/>
      <c r="O4922" s="892">
        <f t="shared" si="308"/>
        <v>0</v>
      </c>
      <c r="P4922" s="903">
        <f t="shared" si="309"/>
        <v>1</v>
      </c>
      <c r="Q4922" s="893">
        <f t="shared" si="310"/>
        <v>4</v>
      </c>
      <c r="R4922" s="894">
        <f t="shared" si="311"/>
        <v>0</v>
      </c>
    </row>
    <row r="4923" spans="1:18" s="904" customFormat="1">
      <c r="A4923" s="963"/>
      <c r="B4923" s="964"/>
      <c r="C4923" s="965"/>
      <c r="D4923" s="965"/>
      <c r="E4923" s="966" t="s">
        <v>3914</v>
      </c>
      <c r="F4923" s="967"/>
      <c r="G4923" s="984"/>
      <c r="H4923" s="969"/>
      <c r="I4923" s="970"/>
      <c r="J4923" s="970"/>
      <c r="K4923" s="912" t="s">
        <v>274</v>
      </c>
      <c r="L4923" s="970"/>
      <c r="M4923" s="970"/>
      <c r="N4923" s="970"/>
      <c r="O4923" s="892">
        <f t="shared" si="308"/>
        <v>0</v>
      </c>
      <c r="P4923" s="903">
        <f t="shared" si="309"/>
        <v>1</v>
      </c>
      <c r="Q4923" s="893">
        <f t="shared" si="310"/>
        <v>3</v>
      </c>
      <c r="R4923" s="894">
        <f t="shared" si="311"/>
        <v>0</v>
      </c>
    </row>
    <row r="4924" spans="1:18">
      <c r="A4924" s="955"/>
      <c r="B4924" s="953" t="s">
        <v>5610</v>
      </c>
      <c r="C4924" s="971">
        <v>823</v>
      </c>
      <c r="D4924" s="907" t="s">
        <v>93</v>
      </c>
      <c r="E4924" s="972" t="s">
        <v>5611</v>
      </c>
      <c r="F4924" s="986" t="s">
        <v>2673</v>
      </c>
      <c r="G4924" s="974"/>
      <c r="H4924" s="975">
        <v>0.15</v>
      </c>
      <c r="I4924" s="976"/>
      <c r="J4924" s="976"/>
      <c r="K4924" s="912"/>
      <c r="L4924" s="912"/>
      <c r="M4924" s="912">
        <f>VLOOKUP(B4924,MTC!$B$9:$S$933,12,0)</f>
        <v>0</v>
      </c>
      <c r="N4924" s="912">
        <f>M4924*H4924</f>
        <v>0</v>
      </c>
      <c r="O4924" s="892">
        <f t="shared" si="308"/>
        <v>0</v>
      </c>
      <c r="P4924" s="903">
        <f t="shared" si="309"/>
        <v>1</v>
      </c>
      <c r="Q4924" s="893">
        <f t="shared" si="310"/>
        <v>2</v>
      </c>
      <c r="R4924" s="894">
        <f t="shared" si="311"/>
        <v>0</v>
      </c>
    </row>
    <row r="4925" spans="1:18">
      <c r="A4925" s="955"/>
      <c r="B4925" s="914" t="s">
        <v>3974</v>
      </c>
      <c r="C4925" s="971">
        <v>817</v>
      </c>
      <c r="D4925" s="907" t="s">
        <v>93</v>
      </c>
      <c r="E4925" s="972" t="s">
        <v>5555</v>
      </c>
      <c r="F4925" s="986" t="s">
        <v>2673</v>
      </c>
      <c r="G4925" s="974"/>
      <c r="H4925" s="975">
        <v>0.2</v>
      </c>
      <c r="I4925" s="976"/>
      <c r="J4925" s="976"/>
      <c r="K4925" s="912"/>
      <c r="L4925" s="912"/>
      <c r="M4925" s="912">
        <f>VLOOKUP(B4925,MTC!$B$9:$S$933,12,0)</f>
        <v>0</v>
      </c>
      <c r="N4925" s="912">
        <f>M4925*H4925</f>
        <v>0</v>
      </c>
      <c r="O4925" s="892">
        <f t="shared" si="308"/>
        <v>0</v>
      </c>
      <c r="P4925" s="903">
        <f t="shared" si="309"/>
        <v>1</v>
      </c>
      <c r="Q4925" s="893">
        <f t="shared" si="310"/>
        <v>1</v>
      </c>
      <c r="R4925" s="894">
        <f t="shared" si="311"/>
        <v>0</v>
      </c>
    </row>
    <row r="4926" spans="1:18" s="847" customFormat="1" ht="31.5">
      <c r="A4926" s="955"/>
      <c r="B4926" s="953" t="s">
        <v>5640</v>
      </c>
      <c r="C4926" s="956"/>
      <c r="D4926" s="956"/>
      <c r="E4926" s="957" t="s">
        <v>5641</v>
      </c>
      <c r="F4926" s="958" t="s">
        <v>150</v>
      </c>
      <c r="G4926" s="959"/>
      <c r="H4926" s="960"/>
      <c r="I4926" s="961"/>
      <c r="J4926" s="891">
        <f>SUM(J4927:J4931)</f>
        <v>0</v>
      </c>
      <c r="K4926" s="891"/>
      <c r="L4926" s="891">
        <f>SUM(L4927:L4931)</f>
        <v>2337291.25</v>
      </c>
      <c r="M4926" s="891"/>
      <c r="N4926" s="891">
        <f>SUM(N4927:N4931)</f>
        <v>0</v>
      </c>
      <c r="O4926" s="892">
        <f t="shared" si="308"/>
        <v>1</v>
      </c>
      <c r="P4926" s="903">
        <f t="shared" si="309"/>
        <v>0</v>
      </c>
      <c r="Q4926" s="893">
        <f t="shared" si="310"/>
        <v>0</v>
      </c>
      <c r="R4926" s="894">
        <f t="shared" si="311"/>
        <v>5</v>
      </c>
    </row>
    <row r="4927" spans="1:18" s="904" customFormat="1">
      <c r="A4927" s="963"/>
      <c r="B4927" s="964"/>
      <c r="C4927" s="965"/>
      <c r="D4927" s="965"/>
      <c r="E4927" s="982" t="s">
        <v>276</v>
      </c>
      <c r="F4927" s="983"/>
      <c r="G4927" s="984"/>
      <c r="H4927" s="969"/>
      <c r="I4927" s="970"/>
      <c r="J4927" s="970"/>
      <c r="K4927" s="912" t="s">
        <v>274</v>
      </c>
      <c r="L4927" s="970"/>
      <c r="M4927" s="970"/>
      <c r="N4927" s="970"/>
      <c r="O4927" s="892">
        <f t="shared" si="308"/>
        <v>0</v>
      </c>
      <c r="P4927" s="903">
        <f t="shared" si="309"/>
        <v>1</v>
      </c>
      <c r="Q4927" s="893">
        <f t="shared" si="310"/>
        <v>5</v>
      </c>
      <c r="R4927" s="894">
        <f t="shared" si="311"/>
        <v>0</v>
      </c>
    </row>
    <row r="4928" spans="1:18">
      <c r="A4928" s="955"/>
      <c r="B4928" s="953"/>
      <c r="C4928" s="971">
        <v>740</v>
      </c>
      <c r="D4928" s="907" t="s">
        <v>12</v>
      </c>
      <c r="E4928" s="985" t="s">
        <v>4008</v>
      </c>
      <c r="F4928" s="986" t="s">
        <v>2674</v>
      </c>
      <c r="G4928" s="974"/>
      <c r="H4928" s="975">
        <v>10.57</v>
      </c>
      <c r="I4928" s="976"/>
      <c r="J4928" s="976"/>
      <c r="K4928" s="912">
        <f>VLOOKUP(E4928,[5]ĐMNC!$A$7:$F$67,4,0)</f>
        <v>221125</v>
      </c>
      <c r="L4928" s="912">
        <f>H4928*K4928</f>
        <v>2337291.25</v>
      </c>
      <c r="M4928" s="912"/>
      <c r="N4928" s="912"/>
      <c r="O4928" s="892">
        <f t="shared" si="308"/>
        <v>0</v>
      </c>
      <c r="P4928" s="903">
        <f t="shared" si="309"/>
        <v>1</v>
      </c>
      <c r="Q4928" s="893">
        <f t="shared" si="310"/>
        <v>4</v>
      </c>
      <c r="R4928" s="894">
        <f t="shared" si="311"/>
        <v>0</v>
      </c>
    </row>
    <row r="4929" spans="1:18" s="904" customFormat="1">
      <c r="A4929" s="963"/>
      <c r="B4929" s="964"/>
      <c r="C4929" s="965"/>
      <c r="D4929" s="965"/>
      <c r="E4929" s="966" t="s">
        <v>3914</v>
      </c>
      <c r="F4929" s="967"/>
      <c r="G4929" s="984"/>
      <c r="H4929" s="969"/>
      <c r="I4929" s="970"/>
      <c r="J4929" s="970"/>
      <c r="K4929" s="912" t="s">
        <v>274</v>
      </c>
      <c r="L4929" s="970"/>
      <c r="M4929" s="970"/>
      <c r="N4929" s="970"/>
      <c r="O4929" s="892">
        <f t="shared" si="308"/>
        <v>0</v>
      </c>
      <c r="P4929" s="903">
        <f t="shared" si="309"/>
        <v>1</v>
      </c>
      <c r="Q4929" s="893">
        <f t="shared" si="310"/>
        <v>3</v>
      </c>
      <c r="R4929" s="894">
        <f t="shared" si="311"/>
        <v>0</v>
      </c>
    </row>
    <row r="4930" spans="1:18">
      <c r="A4930" s="955"/>
      <c r="B4930" s="953" t="s">
        <v>5610</v>
      </c>
      <c r="C4930" s="971">
        <v>823</v>
      </c>
      <c r="D4930" s="907" t="s">
        <v>93</v>
      </c>
      <c r="E4930" s="972" t="s">
        <v>5611</v>
      </c>
      <c r="F4930" s="986" t="s">
        <v>2673</v>
      </c>
      <c r="G4930" s="974"/>
      <c r="H4930" s="975">
        <v>0.15</v>
      </c>
      <c r="I4930" s="976"/>
      <c r="J4930" s="976"/>
      <c r="K4930" s="912"/>
      <c r="L4930" s="912"/>
      <c r="M4930" s="912">
        <f>VLOOKUP(B4930,MTC!$B$9:$S$933,12,0)</f>
        <v>0</v>
      </c>
      <c r="N4930" s="912">
        <f>M4930*H4930</f>
        <v>0</v>
      </c>
      <c r="O4930" s="892">
        <f t="shared" si="308"/>
        <v>0</v>
      </c>
      <c r="P4930" s="903">
        <f t="shared" si="309"/>
        <v>1</v>
      </c>
      <c r="Q4930" s="893">
        <f t="shared" si="310"/>
        <v>2</v>
      </c>
      <c r="R4930" s="894">
        <f t="shared" si="311"/>
        <v>0</v>
      </c>
    </row>
    <row r="4931" spans="1:18">
      <c r="A4931" s="955"/>
      <c r="B4931" s="914" t="s">
        <v>3974</v>
      </c>
      <c r="C4931" s="971">
        <v>817</v>
      </c>
      <c r="D4931" s="907" t="s">
        <v>93</v>
      </c>
      <c r="E4931" s="972" t="s">
        <v>5555</v>
      </c>
      <c r="F4931" s="986" t="s">
        <v>2673</v>
      </c>
      <c r="G4931" s="974"/>
      <c r="H4931" s="975">
        <v>0.2</v>
      </c>
      <c r="I4931" s="976"/>
      <c r="J4931" s="976"/>
      <c r="K4931" s="912"/>
      <c r="L4931" s="912"/>
      <c r="M4931" s="912">
        <f>VLOOKUP(B4931,MTC!$B$9:$S$933,12,0)</f>
        <v>0</v>
      </c>
      <c r="N4931" s="912">
        <f>M4931*H4931</f>
        <v>0</v>
      </c>
      <c r="O4931" s="892">
        <f t="shared" si="308"/>
        <v>0</v>
      </c>
      <c r="P4931" s="903">
        <f t="shared" si="309"/>
        <v>1</v>
      </c>
      <c r="Q4931" s="893">
        <f t="shared" si="310"/>
        <v>1</v>
      </c>
      <c r="R4931" s="894">
        <f t="shared" si="311"/>
        <v>0</v>
      </c>
    </row>
    <row r="4932" spans="1:18" s="847" customFormat="1" ht="31.5">
      <c r="A4932" s="955"/>
      <c r="B4932" s="953" t="s">
        <v>5642</v>
      </c>
      <c r="C4932" s="956"/>
      <c r="D4932" s="956"/>
      <c r="E4932" s="957" t="s">
        <v>5643</v>
      </c>
      <c r="F4932" s="958" t="s">
        <v>150</v>
      </c>
      <c r="G4932" s="959"/>
      <c r="H4932" s="960"/>
      <c r="I4932" s="961"/>
      <c r="J4932" s="891">
        <f>SUM(J4933:J4937)</f>
        <v>0</v>
      </c>
      <c r="K4932" s="891"/>
      <c r="L4932" s="891">
        <f>SUM(L4933:L4937)</f>
        <v>3148820</v>
      </c>
      <c r="M4932" s="891"/>
      <c r="N4932" s="891">
        <f>SUM(N4933:N4937)</f>
        <v>0</v>
      </c>
      <c r="O4932" s="892">
        <f t="shared" si="308"/>
        <v>1</v>
      </c>
      <c r="P4932" s="903">
        <f t="shared" si="309"/>
        <v>0</v>
      </c>
      <c r="Q4932" s="893">
        <f t="shared" si="310"/>
        <v>0</v>
      </c>
      <c r="R4932" s="894">
        <f t="shared" si="311"/>
        <v>5</v>
      </c>
    </row>
    <row r="4933" spans="1:18" s="904" customFormat="1">
      <c r="A4933" s="963"/>
      <c r="B4933" s="964"/>
      <c r="C4933" s="965"/>
      <c r="D4933" s="965"/>
      <c r="E4933" s="982" t="s">
        <v>276</v>
      </c>
      <c r="F4933" s="983"/>
      <c r="G4933" s="984"/>
      <c r="H4933" s="969"/>
      <c r="I4933" s="970"/>
      <c r="J4933" s="970"/>
      <c r="K4933" s="912" t="s">
        <v>274</v>
      </c>
      <c r="L4933" s="970"/>
      <c r="M4933" s="970"/>
      <c r="N4933" s="970"/>
      <c r="O4933" s="892">
        <f t="shared" si="308"/>
        <v>0</v>
      </c>
      <c r="P4933" s="903">
        <f t="shared" si="309"/>
        <v>1</v>
      </c>
      <c r="Q4933" s="893">
        <f t="shared" si="310"/>
        <v>5</v>
      </c>
      <c r="R4933" s="894">
        <f t="shared" si="311"/>
        <v>0</v>
      </c>
    </row>
    <row r="4934" spans="1:18">
      <c r="A4934" s="955"/>
      <c r="B4934" s="953"/>
      <c r="C4934" s="971">
        <v>740</v>
      </c>
      <c r="D4934" s="907" t="s">
        <v>12</v>
      </c>
      <c r="E4934" s="985" t="s">
        <v>4008</v>
      </c>
      <c r="F4934" s="986" t="s">
        <v>2674</v>
      </c>
      <c r="G4934" s="974"/>
      <c r="H4934" s="975">
        <v>14.24</v>
      </c>
      <c r="I4934" s="976"/>
      <c r="J4934" s="976"/>
      <c r="K4934" s="912">
        <f>VLOOKUP(E4934,[5]ĐMNC!$A$7:$F$67,4,0)</f>
        <v>221125</v>
      </c>
      <c r="L4934" s="912">
        <f>H4934*K4934</f>
        <v>3148820</v>
      </c>
      <c r="M4934" s="912"/>
      <c r="N4934" s="912"/>
      <c r="O4934" s="892">
        <f t="shared" si="308"/>
        <v>0</v>
      </c>
      <c r="P4934" s="903">
        <f t="shared" si="309"/>
        <v>1</v>
      </c>
      <c r="Q4934" s="893">
        <f t="shared" si="310"/>
        <v>4</v>
      </c>
      <c r="R4934" s="894">
        <f t="shared" si="311"/>
        <v>0</v>
      </c>
    </row>
    <row r="4935" spans="1:18" s="904" customFormat="1">
      <c r="A4935" s="963"/>
      <c r="B4935" s="964"/>
      <c r="C4935" s="965"/>
      <c r="D4935" s="965"/>
      <c r="E4935" s="966" t="s">
        <v>3914</v>
      </c>
      <c r="F4935" s="967"/>
      <c r="G4935" s="984"/>
      <c r="H4935" s="969"/>
      <c r="I4935" s="970"/>
      <c r="J4935" s="970"/>
      <c r="K4935" s="912" t="s">
        <v>274</v>
      </c>
      <c r="L4935" s="970"/>
      <c r="M4935" s="970"/>
      <c r="N4935" s="970"/>
      <c r="O4935" s="892">
        <f t="shared" si="308"/>
        <v>0</v>
      </c>
      <c r="P4935" s="903">
        <f t="shared" si="309"/>
        <v>1</v>
      </c>
      <c r="Q4935" s="893">
        <f t="shared" si="310"/>
        <v>3</v>
      </c>
      <c r="R4935" s="894">
        <f t="shared" si="311"/>
        <v>0</v>
      </c>
    </row>
    <row r="4936" spans="1:18">
      <c r="A4936" s="955"/>
      <c r="B4936" s="953" t="s">
        <v>5610</v>
      </c>
      <c r="C4936" s="971">
        <v>823</v>
      </c>
      <c r="D4936" s="907" t="s">
        <v>93</v>
      </c>
      <c r="E4936" s="972" t="s">
        <v>5611</v>
      </c>
      <c r="F4936" s="986" t="s">
        <v>2673</v>
      </c>
      <c r="G4936" s="974"/>
      <c r="H4936" s="975">
        <v>0.15</v>
      </c>
      <c r="I4936" s="976"/>
      <c r="J4936" s="976"/>
      <c r="K4936" s="912"/>
      <c r="L4936" s="912"/>
      <c r="M4936" s="912">
        <f>VLOOKUP(B4936,MTC!$B$9:$S$933,12,0)</f>
        <v>0</v>
      </c>
      <c r="N4936" s="912">
        <f>M4936*H4936</f>
        <v>0</v>
      </c>
      <c r="O4936" s="892">
        <f t="shared" si="308"/>
        <v>0</v>
      </c>
      <c r="P4936" s="903">
        <f t="shared" si="309"/>
        <v>1</v>
      </c>
      <c r="Q4936" s="893">
        <f t="shared" si="310"/>
        <v>2</v>
      </c>
      <c r="R4936" s="894">
        <f t="shared" si="311"/>
        <v>0</v>
      </c>
    </row>
    <row r="4937" spans="1:18">
      <c r="A4937" s="955"/>
      <c r="B4937" s="914" t="s">
        <v>3974</v>
      </c>
      <c r="C4937" s="971">
        <v>817</v>
      </c>
      <c r="D4937" s="907" t="s">
        <v>93</v>
      </c>
      <c r="E4937" s="972" t="s">
        <v>5555</v>
      </c>
      <c r="F4937" s="986" t="s">
        <v>2673</v>
      </c>
      <c r="G4937" s="974"/>
      <c r="H4937" s="975">
        <v>0.2</v>
      </c>
      <c r="I4937" s="976"/>
      <c r="J4937" s="976"/>
      <c r="K4937" s="912"/>
      <c r="L4937" s="912"/>
      <c r="M4937" s="912">
        <f>VLOOKUP(B4937,MTC!$B$9:$S$933,12,0)</f>
        <v>0</v>
      </c>
      <c r="N4937" s="912">
        <f>M4937*H4937</f>
        <v>0</v>
      </c>
      <c r="O4937" s="892">
        <f t="shared" si="308"/>
        <v>0</v>
      </c>
      <c r="P4937" s="903">
        <f t="shared" si="309"/>
        <v>1</v>
      </c>
      <c r="Q4937" s="893">
        <f t="shared" si="310"/>
        <v>1</v>
      </c>
      <c r="R4937" s="894">
        <f t="shared" si="311"/>
        <v>0</v>
      </c>
    </row>
    <row r="4938" spans="1:18" s="847" customFormat="1" ht="31.5">
      <c r="A4938" s="955"/>
      <c r="B4938" s="953" t="s">
        <v>5644</v>
      </c>
      <c r="C4938" s="956"/>
      <c r="D4938" s="956"/>
      <c r="E4938" s="957" t="s">
        <v>5645</v>
      </c>
      <c r="F4938" s="958" t="s">
        <v>150</v>
      </c>
      <c r="G4938" s="959"/>
      <c r="H4938" s="960"/>
      <c r="I4938" s="961"/>
      <c r="J4938" s="891">
        <f>SUM(J4939:J4943)</f>
        <v>0</v>
      </c>
      <c r="K4938" s="891"/>
      <c r="L4938" s="891">
        <f>SUM(L4939:L4943)</f>
        <v>4287613.75</v>
      </c>
      <c r="M4938" s="891"/>
      <c r="N4938" s="891">
        <f>SUM(N4939:N4943)</f>
        <v>0</v>
      </c>
      <c r="O4938" s="892">
        <f t="shared" si="308"/>
        <v>1</v>
      </c>
      <c r="P4938" s="903">
        <f t="shared" si="309"/>
        <v>0</v>
      </c>
      <c r="Q4938" s="893">
        <f t="shared" si="310"/>
        <v>0</v>
      </c>
      <c r="R4938" s="894">
        <f t="shared" si="311"/>
        <v>5</v>
      </c>
    </row>
    <row r="4939" spans="1:18" s="904" customFormat="1">
      <c r="A4939" s="963"/>
      <c r="B4939" s="964"/>
      <c r="C4939" s="965"/>
      <c r="D4939" s="965"/>
      <c r="E4939" s="982" t="s">
        <v>276</v>
      </c>
      <c r="F4939" s="983"/>
      <c r="G4939" s="984"/>
      <c r="H4939" s="969"/>
      <c r="I4939" s="970"/>
      <c r="J4939" s="970"/>
      <c r="K4939" s="912" t="s">
        <v>274</v>
      </c>
      <c r="L4939" s="970"/>
      <c r="M4939" s="970"/>
      <c r="N4939" s="970"/>
      <c r="O4939" s="892">
        <f t="shared" si="308"/>
        <v>0</v>
      </c>
      <c r="P4939" s="903">
        <f t="shared" si="309"/>
        <v>1</v>
      </c>
      <c r="Q4939" s="893">
        <f t="shared" si="310"/>
        <v>5</v>
      </c>
      <c r="R4939" s="894">
        <f t="shared" si="311"/>
        <v>0</v>
      </c>
    </row>
    <row r="4940" spans="1:18">
      <c r="A4940" s="955"/>
      <c r="B4940" s="953"/>
      <c r="C4940" s="971">
        <v>740</v>
      </c>
      <c r="D4940" s="907" t="s">
        <v>12</v>
      </c>
      <c r="E4940" s="985" t="s">
        <v>4008</v>
      </c>
      <c r="F4940" s="986" t="s">
        <v>2674</v>
      </c>
      <c r="G4940" s="974"/>
      <c r="H4940" s="975">
        <v>19.39</v>
      </c>
      <c r="I4940" s="976"/>
      <c r="J4940" s="976"/>
      <c r="K4940" s="912">
        <f>VLOOKUP(E4940,[5]ĐMNC!$A$7:$F$67,4,0)</f>
        <v>221125</v>
      </c>
      <c r="L4940" s="912">
        <f>H4940*K4940</f>
        <v>4287613.75</v>
      </c>
      <c r="M4940" s="912"/>
      <c r="N4940" s="912"/>
      <c r="O4940" s="892">
        <f t="shared" si="308"/>
        <v>0</v>
      </c>
      <c r="P4940" s="903">
        <f t="shared" si="309"/>
        <v>1</v>
      </c>
      <c r="Q4940" s="893">
        <f t="shared" si="310"/>
        <v>4</v>
      </c>
      <c r="R4940" s="894">
        <f t="shared" si="311"/>
        <v>0</v>
      </c>
    </row>
    <row r="4941" spans="1:18" s="904" customFormat="1">
      <c r="A4941" s="963"/>
      <c r="B4941" s="964"/>
      <c r="C4941" s="965"/>
      <c r="D4941" s="965"/>
      <c r="E4941" s="966" t="s">
        <v>3914</v>
      </c>
      <c r="F4941" s="967"/>
      <c r="G4941" s="984"/>
      <c r="H4941" s="969"/>
      <c r="I4941" s="970"/>
      <c r="J4941" s="970"/>
      <c r="K4941" s="912" t="s">
        <v>274</v>
      </c>
      <c r="L4941" s="970"/>
      <c r="M4941" s="970"/>
      <c r="N4941" s="970"/>
      <c r="O4941" s="892">
        <f t="shared" si="308"/>
        <v>0</v>
      </c>
      <c r="P4941" s="903">
        <f t="shared" si="309"/>
        <v>1</v>
      </c>
      <c r="Q4941" s="893">
        <f t="shared" si="310"/>
        <v>3</v>
      </c>
      <c r="R4941" s="894">
        <f t="shared" si="311"/>
        <v>0</v>
      </c>
    </row>
    <row r="4942" spans="1:18">
      <c r="A4942" s="955"/>
      <c r="B4942" s="953" t="s">
        <v>5610</v>
      </c>
      <c r="C4942" s="971">
        <v>823</v>
      </c>
      <c r="D4942" s="907" t="s">
        <v>93</v>
      </c>
      <c r="E4942" s="972" t="s">
        <v>5611</v>
      </c>
      <c r="F4942" s="986" t="s">
        <v>2673</v>
      </c>
      <c r="G4942" s="974"/>
      <c r="H4942" s="975">
        <v>0.15</v>
      </c>
      <c r="I4942" s="976"/>
      <c r="J4942" s="976"/>
      <c r="K4942" s="912"/>
      <c r="L4942" s="912"/>
      <c r="M4942" s="912">
        <f>VLOOKUP(B4942,MTC!$B$9:$S$933,12,0)</f>
        <v>0</v>
      </c>
      <c r="N4942" s="912">
        <f>M4942*H4942</f>
        <v>0</v>
      </c>
      <c r="O4942" s="892">
        <f t="shared" si="308"/>
        <v>0</v>
      </c>
      <c r="P4942" s="903">
        <f t="shared" si="309"/>
        <v>1</v>
      </c>
      <c r="Q4942" s="893">
        <f t="shared" si="310"/>
        <v>2</v>
      </c>
      <c r="R4942" s="894">
        <f t="shared" si="311"/>
        <v>0</v>
      </c>
    </row>
    <row r="4943" spans="1:18">
      <c r="A4943" s="955"/>
      <c r="B4943" s="914" t="s">
        <v>3974</v>
      </c>
      <c r="C4943" s="971">
        <v>817</v>
      </c>
      <c r="D4943" s="907" t="s">
        <v>93</v>
      </c>
      <c r="E4943" s="972" t="s">
        <v>5555</v>
      </c>
      <c r="F4943" s="986" t="s">
        <v>2673</v>
      </c>
      <c r="G4943" s="974"/>
      <c r="H4943" s="975">
        <v>0.2</v>
      </c>
      <c r="I4943" s="976"/>
      <c r="J4943" s="976"/>
      <c r="K4943" s="912"/>
      <c r="L4943" s="912"/>
      <c r="M4943" s="912">
        <f>VLOOKUP(B4943,MTC!$B$9:$S$933,12,0)</f>
        <v>0</v>
      </c>
      <c r="N4943" s="912">
        <f>M4943*H4943</f>
        <v>0</v>
      </c>
      <c r="O4943" s="892">
        <f t="shared" si="308"/>
        <v>0</v>
      </c>
      <c r="P4943" s="903">
        <f t="shared" si="309"/>
        <v>1</v>
      </c>
      <c r="Q4943" s="893">
        <f t="shared" si="310"/>
        <v>1</v>
      </c>
      <c r="R4943" s="894">
        <f t="shared" si="311"/>
        <v>0</v>
      </c>
    </row>
    <row r="4944" spans="1:18" s="847" customFormat="1" ht="31.5">
      <c r="A4944" s="955"/>
      <c r="B4944" s="953" t="s">
        <v>5646</v>
      </c>
      <c r="C4944" s="956"/>
      <c r="D4944" s="956"/>
      <c r="E4944" s="957" t="s">
        <v>5647</v>
      </c>
      <c r="F4944" s="958" t="s">
        <v>150</v>
      </c>
      <c r="G4944" s="959"/>
      <c r="H4944" s="960"/>
      <c r="I4944" s="961"/>
      <c r="J4944" s="891">
        <f>SUM(J4945:J4949)</f>
        <v>0</v>
      </c>
      <c r="K4944" s="891"/>
      <c r="L4944" s="891">
        <f>SUM(L4945:L4949)</f>
        <v>5239331.46</v>
      </c>
      <c r="M4944" s="891"/>
      <c r="N4944" s="891">
        <f>SUM(N4945:N4949)</f>
        <v>0</v>
      </c>
      <c r="O4944" s="892">
        <f t="shared" si="308"/>
        <v>1</v>
      </c>
      <c r="P4944" s="903">
        <f t="shared" si="309"/>
        <v>0</v>
      </c>
      <c r="Q4944" s="893">
        <f t="shared" si="310"/>
        <v>0</v>
      </c>
      <c r="R4944" s="894">
        <f t="shared" si="311"/>
        <v>5</v>
      </c>
    </row>
    <row r="4945" spans="1:18" s="904" customFormat="1">
      <c r="A4945" s="963"/>
      <c r="B4945" s="964"/>
      <c r="C4945" s="965"/>
      <c r="D4945" s="965"/>
      <c r="E4945" s="982" t="s">
        <v>276</v>
      </c>
      <c r="F4945" s="983"/>
      <c r="G4945" s="984"/>
      <c r="H4945" s="969"/>
      <c r="I4945" s="970"/>
      <c r="J4945" s="970"/>
      <c r="K4945" s="912" t="s">
        <v>274</v>
      </c>
      <c r="L4945" s="970"/>
      <c r="M4945" s="970"/>
      <c r="N4945" s="970"/>
      <c r="O4945" s="892">
        <f t="shared" si="308"/>
        <v>0</v>
      </c>
      <c r="P4945" s="903">
        <f t="shared" si="309"/>
        <v>1</v>
      </c>
      <c r="Q4945" s="893">
        <f t="shared" si="310"/>
        <v>5</v>
      </c>
      <c r="R4945" s="894">
        <f t="shared" si="311"/>
        <v>0</v>
      </c>
    </row>
    <row r="4946" spans="1:18">
      <c r="A4946" s="955"/>
      <c r="B4946" s="953"/>
      <c r="C4946" s="971">
        <v>745</v>
      </c>
      <c r="D4946" s="907" t="s">
        <v>12</v>
      </c>
      <c r="E4946" s="985" t="s">
        <v>5518</v>
      </c>
      <c r="F4946" s="986" t="s">
        <v>2674</v>
      </c>
      <c r="G4946" s="974"/>
      <c r="H4946" s="975">
        <v>21.78</v>
      </c>
      <c r="I4946" s="976"/>
      <c r="J4946" s="976"/>
      <c r="K4946" s="912">
        <f>VLOOKUP(E4946,[5]ĐMNC!$A$7:$F$67,4,0)</f>
        <v>240557</v>
      </c>
      <c r="L4946" s="912">
        <f>H4946*K4946</f>
        <v>5239331.46</v>
      </c>
      <c r="M4946" s="912"/>
      <c r="N4946" s="912"/>
      <c r="O4946" s="892">
        <f t="shared" si="308"/>
        <v>0</v>
      </c>
      <c r="P4946" s="903">
        <f t="shared" si="309"/>
        <v>1</v>
      </c>
      <c r="Q4946" s="893">
        <f t="shared" si="310"/>
        <v>4</v>
      </c>
      <c r="R4946" s="894">
        <f t="shared" si="311"/>
        <v>0</v>
      </c>
    </row>
    <row r="4947" spans="1:18" s="904" customFormat="1">
      <c r="A4947" s="963"/>
      <c r="B4947" s="964"/>
      <c r="C4947" s="965"/>
      <c r="D4947" s="965"/>
      <c r="E4947" s="966" t="s">
        <v>3914</v>
      </c>
      <c r="F4947" s="967"/>
      <c r="G4947" s="984"/>
      <c r="H4947" s="969"/>
      <c r="I4947" s="970"/>
      <c r="J4947" s="970"/>
      <c r="K4947" s="912" t="s">
        <v>274</v>
      </c>
      <c r="L4947" s="970"/>
      <c r="M4947" s="970"/>
      <c r="N4947" s="970"/>
      <c r="O4947" s="892">
        <f t="shared" si="308"/>
        <v>0</v>
      </c>
      <c r="P4947" s="903">
        <f t="shared" si="309"/>
        <v>1</v>
      </c>
      <c r="Q4947" s="893">
        <f t="shared" si="310"/>
        <v>3</v>
      </c>
      <c r="R4947" s="894">
        <f t="shared" si="311"/>
        <v>0</v>
      </c>
    </row>
    <row r="4948" spans="1:18">
      <c r="A4948" s="955"/>
      <c r="B4948" s="953" t="s">
        <v>5610</v>
      </c>
      <c r="C4948" s="971">
        <v>823</v>
      </c>
      <c r="D4948" s="907" t="s">
        <v>93</v>
      </c>
      <c r="E4948" s="972" t="s">
        <v>5611</v>
      </c>
      <c r="F4948" s="986" t="s">
        <v>2673</v>
      </c>
      <c r="G4948" s="974"/>
      <c r="H4948" s="975">
        <v>0.15</v>
      </c>
      <c r="I4948" s="976"/>
      <c r="J4948" s="976"/>
      <c r="K4948" s="912"/>
      <c r="L4948" s="912"/>
      <c r="M4948" s="912">
        <f>VLOOKUP(B4948,MTC!$B$9:$S$933,12,0)</f>
        <v>0</v>
      </c>
      <c r="N4948" s="912">
        <f>M4948*H4948</f>
        <v>0</v>
      </c>
      <c r="O4948" s="892">
        <f t="shared" si="308"/>
        <v>0</v>
      </c>
      <c r="P4948" s="903">
        <f t="shared" si="309"/>
        <v>1</v>
      </c>
      <c r="Q4948" s="893">
        <f t="shared" si="310"/>
        <v>2</v>
      </c>
      <c r="R4948" s="894">
        <f t="shared" si="311"/>
        <v>0</v>
      </c>
    </row>
    <row r="4949" spans="1:18">
      <c r="A4949" s="955"/>
      <c r="B4949" s="914" t="s">
        <v>3974</v>
      </c>
      <c r="C4949" s="971">
        <v>817</v>
      </c>
      <c r="D4949" s="907" t="s">
        <v>93</v>
      </c>
      <c r="E4949" s="972" t="s">
        <v>5555</v>
      </c>
      <c r="F4949" s="986" t="s">
        <v>2673</v>
      </c>
      <c r="G4949" s="974"/>
      <c r="H4949" s="975">
        <v>0.2</v>
      </c>
      <c r="I4949" s="976"/>
      <c r="J4949" s="976"/>
      <c r="K4949" s="912"/>
      <c r="L4949" s="912"/>
      <c r="M4949" s="912">
        <f>VLOOKUP(B4949,MTC!$B$9:$S$933,12,0)</f>
        <v>0</v>
      </c>
      <c r="N4949" s="912">
        <f>M4949*H4949</f>
        <v>0</v>
      </c>
      <c r="O4949" s="892">
        <f t="shared" si="308"/>
        <v>0</v>
      </c>
      <c r="P4949" s="903">
        <f t="shared" si="309"/>
        <v>1</v>
      </c>
      <c r="Q4949" s="893">
        <f t="shared" si="310"/>
        <v>1</v>
      </c>
      <c r="R4949" s="894">
        <f t="shared" si="311"/>
        <v>0</v>
      </c>
    </row>
    <row r="4950" spans="1:18" s="847" customFormat="1" ht="31.5">
      <c r="A4950" s="955"/>
      <c r="B4950" s="953" t="s">
        <v>5648</v>
      </c>
      <c r="C4950" s="956"/>
      <c r="D4950" s="956"/>
      <c r="E4950" s="957" t="s">
        <v>5649</v>
      </c>
      <c r="F4950" s="958" t="s">
        <v>150</v>
      </c>
      <c r="G4950" s="959"/>
      <c r="H4950" s="960"/>
      <c r="I4950" s="961"/>
      <c r="J4950" s="891">
        <f>SUM(J4951:J4955)</f>
        <v>0</v>
      </c>
      <c r="K4950" s="891"/>
      <c r="L4950" s="891">
        <f>SUM(L4951:L4955)</f>
        <v>6338676.9500000002</v>
      </c>
      <c r="M4950" s="891"/>
      <c r="N4950" s="891">
        <f>SUM(N4951:N4955)</f>
        <v>0</v>
      </c>
      <c r="O4950" s="892">
        <f t="shared" si="308"/>
        <v>1</v>
      </c>
      <c r="P4950" s="903">
        <f t="shared" si="309"/>
        <v>0</v>
      </c>
      <c r="Q4950" s="893">
        <f t="shared" si="310"/>
        <v>0</v>
      </c>
      <c r="R4950" s="894">
        <f t="shared" si="311"/>
        <v>5</v>
      </c>
    </row>
    <row r="4951" spans="1:18" s="904" customFormat="1">
      <c r="A4951" s="963"/>
      <c r="B4951" s="964"/>
      <c r="C4951" s="965"/>
      <c r="D4951" s="965"/>
      <c r="E4951" s="982" t="s">
        <v>276</v>
      </c>
      <c r="F4951" s="983"/>
      <c r="G4951" s="984"/>
      <c r="H4951" s="969"/>
      <c r="I4951" s="970"/>
      <c r="J4951" s="970"/>
      <c r="K4951" s="912" t="s">
        <v>274</v>
      </c>
      <c r="L4951" s="970"/>
      <c r="M4951" s="970"/>
      <c r="N4951" s="970"/>
      <c r="O4951" s="892">
        <f t="shared" si="308"/>
        <v>0</v>
      </c>
      <c r="P4951" s="903">
        <f t="shared" si="309"/>
        <v>1</v>
      </c>
      <c r="Q4951" s="893">
        <f t="shared" si="310"/>
        <v>5</v>
      </c>
      <c r="R4951" s="894">
        <f t="shared" si="311"/>
        <v>0</v>
      </c>
    </row>
    <row r="4952" spans="1:18">
      <c r="A4952" s="955"/>
      <c r="B4952" s="953"/>
      <c r="C4952" s="971">
        <v>745</v>
      </c>
      <c r="D4952" s="907" t="s">
        <v>12</v>
      </c>
      <c r="E4952" s="985" t="s">
        <v>5518</v>
      </c>
      <c r="F4952" s="986" t="s">
        <v>2674</v>
      </c>
      <c r="G4952" s="974"/>
      <c r="H4952" s="975">
        <v>26.35</v>
      </c>
      <c r="I4952" s="976"/>
      <c r="J4952" s="976"/>
      <c r="K4952" s="912">
        <f>VLOOKUP(E4952,[5]ĐMNC!$A$7:$F$67,4,0)</f>
        <v>240557</v>
      </c>
      <c r="L4952" s="912">
        <f>H4952*K4952</f>
        <v>6338676.9500000002</v>
      </c>
      <c r="M4952" s="912"/>
      <c r="N4952" s="912"/>
      <c r="O4952" s="892">
        <f t="shared" si="308"/>
        <v>0</v>
      </c>
      <c r="P4952" s="903">
        <f t="shared" si="309"/>
        <v>1</v>
      </c>
      <c r="Q4952" s="893">
        <f t="shared" si="310"/>
        <v>4</v>
      </c>
      <c r="R4952" s="894">
        <f t="shared" si="311"/>
        <v>0</v>
      </c>
    </row>
    <row r="4953" spans="1:18" s="904" customFormat="1">
      <c r="A4953" s="963"/>
      <c r="B4953" s="964"/>
      <c r="C4953" s="965"/>
      <c r="D4953" s="965"/>
      <c r="E4953" s="966" t="s">
        <v>3914</v>
      </c>
      <c r="F4953" s="967"/>
      <c r="G4953" s="984"/>
      <c r="H4953" s="969"/>
      <c r="I4953" s="970"/>
      <c r="J4953" s="970"/>
      <c r="K4953" s="912" t="s">
        <v>274</v>
      </c>
      <c r="L4953" s="970"/>
      <c r="M4953" s="970"/>
      <c r="N4953" s="970"/>
      <c r="O4953" s="892">
        <f t="shared" si="308"/>
        <v>0</v>
      </c>
      <c r="P4953" s="903">
        <f t="shared" si="309"/>
        <v>1</v>
      </c>
      <c r="Q4953" s="893">
        <f t="shared" si="310"/>
        <v>3</v>
      </c>
      <c r="R4953" s="894">
        <f t="shared" si="311"/>
        <v>0</v>
      </c>
    </row>
    <row r="4954" spans="1:18">
      <c r="A4954" s="955"/>
      <c r="B4954" s="953" t="s">
        <v>5610</v>
      </c>
      <c r="C4954" s="971">
        <v>823</v>
      </c>
      <c r="D4954" s="907" t="s">
        <v>93</v>
      </c>
      <c r="E4954" s="972" t="s">
        <v>5611</v>
      </c>
      <c r="F4954" s="986" t="s">
        <v>2673</v>
      </c>
      <c r="G4954" s="974"/>
      <c r="H4954" s="975">
        <v>0.15</v>
      </c>
      <c r="I4954" s="976"/>
      <c r="J4954" s="976"/>
      <c r="K4954" s="912"/>
      <c r="L4954" s="912"/>
      <c r="M4954" s="912">
        <f>VLOOKUP(B4954,MTC!$B$9:$S$933,12,0)</f>
        <v>0</v>
      </c>
      <c r="N4954" s="912">
        <f>M4954*H4954</f>
        <v>0</v>
      </c>
      <c r="O4954" s="892">
        <f t="shared" si="308"/>
        <v>0</v>
      </c>
      <c r="P4954" s="903">
        <f t="shared" si="309"/>
        <v>1</v>
      </c>
      <c r="Q4954" s="893">
        <f t="shared" si="310"/>
        <v>2</v>
      </c>
      <c r="R4954" s="894">
        <f t="shared" si="311"/>
        <v>0</v>
      </c>
    </row>
    <row r="4955" spans="1:18">
      <c r="A4955" s="955"/>
      <c r="B4955" s="914" t="s">
        <v>3974</v>
      </c>
      <c r="C4955" s="971">
        <v>817</v>
      </c>
      <c r="D4955" s="907" t="s">
        <v>93</v>
      </c>
      <c r="E4955" s="972" t="s">
        <v>5555</v>
      </c>
      <c r="F4955" s="986" t="s">
        <v>2673</v>
      </c>
      <c r="G4955" s="974"/>
      <c r="H4955" s="975">
        <v>0.2</v>
      </c>
      <c r="I4955" s="976"/>
      <c r="J4955" s="976"/>
      <c r="K4955" s="912"/>
      <c r="L4955" s="912"/>
      <c r="M4955" s="912">
        <f>VLOOKUP(B4955,MTC!$B$9:$S$933,12,0)</f>
        <v>0</v>
      </c>
      <c r="N4955" s="912">
        <f>M4955*H4955</f>
        <v>0</v>
      </c>
      <c r="O4955" s="892">
        <f t="shared" si="308"/>
        <v>0</v>
      </c>
      <c r="P4955" s="903">
        <f t="shared" si="309"/>
        <v>1</v>
      </c>
      <c r="Q4955" s="893">
        <f t="shared" si="310"/>
        <v>1</v>
      </c>
      <c r="R4955" s="894">
        <f t="shared" si="311"/>
        <v>0</v>
      </c>
    </row>
    <row r="4956" spans="1:18" s="847" customFormat="1" ht="31.5">
      <c r="A4956" s="955"/>
      <c r="B4956" s="953" t="s">
        <v>5650</v>
      </c>
      <c r="C4956" s="956"/>
      <c r="D4956" s="956"/>
      <c r="E4956" s="957" t="s">
        <v>5651</v>
      </c>
      <c r="F4956" s="958" t="s">
        <v>150</v>
      </c>
      <c r="G4956" s="959"/>
      <c r="H4956" s="960"/>
      <c r="I4956" s="961"/>
      <c r="J4956" s="891">
        <f>SUM(J4957:J4961)</f>
        <v>0</v>
      </c>
      <c r="K4956" s="891"/>
      <c r="L4956" s="891">
        <f>SUM(L4957:L4961)</f>
        <v>7481322.7000000002</v>
      </c>
      <c r="M4956" s="891"/>
      <c r="N4956" s="891">
        <f>SUM(N4957:N4961)</f>
        <v>0</v>
      </c>
      <c r="O4956" s="892">
        <f t="shared" si="308"/>
        <v>1</v>
      </c>
      <c r="P4956" s="903">
        <f t="shared" si="309"/>
        <v>0</v>
      </c>
      <c r="Q4956" s="893">
        <f t="shared" si="310"/>
        <v>0</v>
      </c>
      <c r="R4956" s="894">
        <f t="shared" si="311"/>
        <v>5</v>
      </c>
    </row>
    <row r="4957" spans="1:18" s="904" customFormat="1">
      <c r="A4957" s="963"/>
      <c r="B4957" s="964"/>
      <c r="C4957" s="965"/>
      <c r="D4957" s="965"/>
      <c r="E4957" s="982" t="s">
        <v>276</v>
      </c>
      <c r="F4957" s="983"/>
      <c r="G4957" s="984"/>
      <c r="H4957" s="969"/>
      <c r="I4957" s="970"/>
      <c r="J4957" s="970"/>
      <c r="K4957" s="912" t="s">
        <v>274</v>
      </c>
      <c r="L4957" s="970"/>
      <c r="M4957" s="970"/>
      <c r="N4957" s="970"/>
      <c r="O4957" s="892">
        <f t="shared" si="308"/>
        <v>0</v>
      </c>
      <c r="P4957" s="903">
        <f t="shared" si="309"/>
        <v>1</v>
      </c>
      <c r="Q4957" s="893">
        <f t="shared" si="310"/>
        <v>5</v>
      </c>
      <c r="R4957" s="894">
        <f t="shared" si="311"/>
        <v>0</v>
      </c>
    </row>
    <row r="4958" spans="1:18">
      <c r="A4958" s="955"/>
      <c r="B4958" s="953"/>
      <c r="C4958" s="971">
        <v>745</v>
      </c>
      <c r="D4958" s="907" t="s">
        <v>12</v>
      </c>
      <c r="E4958" s="985" t="s">
        <v>5518</v>
      </c>
      <c r="F4958" s="986" t="s">
        <v>2674</v>
      </c>
      <c r="G4958" s="974"/>
      <c r="H4958" s="975">
        <v>31.1</v>
      </c>
      <c r="I4958" s="976"/>
      <c r="J4958" s="976"/>
      <c r="K4958" s="912">
        <f>VLOOKUP(E4958,[5]ĐMNC!$A$7:$F$67,4,0)</f>
        <v>240557</v>
      </c>
      <c r="L4958" s="912">
        <f>H4958*K4958</f>
        <v>7481322.7000000002</v>
      </c>
      <c r="M4958" s="912"/>
      <c r="N4958" s="912"/>
      <c r="O4958" s="892">
        <f t="shared" si="308"/>
        <v>0</v>
      </c>
      <c r="P4958" s="903">
        <f t="shared" si="309"/>
        <v>1</v>
      </c>
      <c r="Q4958" s="893">
        <f t="shared" si="310"/>
        <v>4</v>
      </c>
      <c r="R4958" s="894">
        <f t="shared" si="311"/>
        <v>0</v>
      </c>
    </row>
    <row r="4959" spans="1:18" s="904" customFormat="1">
      <c r="A4959" s="963"/>
      <c r="B4959" s="964"/>
      <c r="C4959" s="965"/>
      <c r="D4959" s="965"/>
      <c r="E4959" s="966" t="s">
        <v>3914</v>
      </c>
      <c r="F4959" s="967"/>
      <c r="G4959" s="984"/>
      <c r="H4959" s="969"/>
      <c r="I4959" s="970"/>
      <c r="J4959" s="970"/>
      <c r="K4959" s="912" t="s">
        <v>274</v>
      </c>
      <c r="L4959" s="970"/>
      <c r="M4959" s="970"/>
      <c r="N4959" s="970"/>
      <c r="O4959" s="892">
        <f t="shared" ref="O4959:O5022" si="312">IF(AND(B4959&lt;&gt;"",D4959=""),1,0)</f>
        <v>0</v>
      </c>
      <c r="P4959" s="903">
        <f t="shared" si="309"/>
        <v>1</v>
      </c>
      <c r="Q4959" s="893">
        <f t="shared" si="310"/>
        <v>3</v>
      </c>
      <c r="R4959" s="894">
        <f t="shared" si="311"/>
        <v>0</v>
      </c>
    </row>
    <row r="4960" spans="1:18">
      <c r="A4960" s="955"/>
      <c r="B4960" s="953" t="s">
        <v>5610</v>
      </c>
      <c r="C4960" s="971">
        <v>823</v>
      </c>
      <c r="D4960" s="907" t="s">
        <v>93</v>
      </c>
      <c r="E4960" s="972" t="s">
        <v>5611</v>
      </c>
      <c r="F4960" s="986" t="s">
        <v>2673</v>
      </c>
      <c r="G4960" s="974"/>
      <c r="H4960" s="975">
        <v>0.2</v>
      </c>
      <c r="I4960" s="976"/>
      <c r="J4960" s="976"/>
      <c r="K4960" s="912"/>
      <c r="L4960" s="912"/>
      <c r="M4960" s="912">
        <f>VLOOKUP(B4960,MTC!$B$9:$S$933,12,0)</f>
        <v>0</v>
      </c>
      <c r="N4960" s="912">
        <f>M4960*H4960</f>
        <v>0</v>
      </c>
      <c r="O4960" s="892">
        <f t="shared" si="312"/>
        <v>0</v>
      </c>
      <c r="P4960" s="903">
        <f t="shared" si="309"/>
        <v>1</v>
      </c>
      <c r="Q4960" s="893">
        <f t="shared" si="310"/>
        <v>2</v>
      </c>
      <c r="R4960" s="894">
        <f t="shared" si="311"/>
        <v>0</v>
      </c>
    </row>
    <row r="4961" spans="1:18">
      <c r="A4961" s="955"/>
      <c r="B4961" s="914" t="s">
        <v>3974</v>
      </c>
      <c r="C4961" s="971">
        <v>817</v>
      </c>
      <c r="D4961" s="907" t="s">
        <v>93</v>
      </c>
      <c r="E4961" s="972" t="s">
        <v>5555</v>
      </c>
      <c r="F4961" s="986" t="s">
        <v>2673</v>
      </c>
      <c r="G4961" s="974"/>
      <c r="H4961" s="975">
        <v>0.3</v>
      </c>
      <c r="I4961" s="976"/>
      <c r="J4961" s="976"/>
      <c r="K4961" s="912"/>
      <c r="L4961" s="912"/>
      <c r="M4961" s="912">
        <f>VLOOKUP(B4961,MTC!$B$9:$S$933,12,0)</f>
        <v>0</v>
      </c>
      <c r="N4961" s="912">
        <f>M4961*H4961</f>
        <v>0</v>
      </c>
      <c r="O4961" s="892">
        <f t="shared" si="312"/>
        <v>0</v>
      </c>
      <c r="P4961" s="903">
        <f t="shared" si="309"/>
        <v>1</v>
      </c>
      <c r="Q4961" s="893">
        <f t="shared" si="310"/>
        <v>1</v>
      </c>
      <c r="R4961" s="894">
        <f t="shared" si="311"/>
        <v>0</v>
      </c>
    </row>
    <row r="4962" spans="1:18" s="847" customFormat="1" ht="31.5">
      <c r="A4962" s="955"/>
      <c r="B4962" s="953" t="s">
        <v>5652</v>
      </c>
      <c r="C4962" s="956"/>
      <c r="D4962" s="956"/>
      <c r="E4962" s="957" t="s">
        <v>5653</v>
      </c>
      <c r="F4962" s="958" t="s">
        <v>150</v>
      </c>
      <c r="G4962" s="959"/>
      <c r="H4962" s="960"/>
      <c r="I4962" s="961"/>
      <c r="J4962" s="891">
        <f>SUM(J4963:J4967)</f>
        <v>0</v>
      </c>
      <c r="K4962" s="891"/>
      <c r="L4962" s="891">
        <f>SUM(L4963:L4967)</f>
        <v>8227049.4000000004</v>
      </c>
      <c r="M4962" s="891"/>
      <c r="N4962" s="891">
        <f>SUM(N4963:N4967)</f>
        <v>0</v>
      </c>
      <c r="O4962" s="892">
        <f t="shared" si="312"/>
        <v>1</v>
      </c>
      <c r="P4962" s="903">
        <f t="shared" si="309"/>
        <v>0</v>
      </c>
      <c r="Q4962" s="893">
        <f t="shared" si="310"/>
        <v>0</v>
      </c>
      <c r="R4962" s="894">
        <f t="shared" si="311"/>
        <v>5</v>
      </c>
    </row>
    <row r="4963" spans="1:18" s="904" customFormat="1">
      <c r="A4963" s="963"/>
      <c r="B4963" s="964"/>
      <c r="C4963" s="965"/>
      <c r="D4963" s="965"/>
      <c r="E4963" s="982" t="s">
        <v>276</v>
      </c>
      <c r="F4963" s="983"/>
      <c r="G4963" s="984"/>
      <c r="H4963" s="969"/>
      <c r="I4963" s="970"/>
      <c r="J4963" s="970"/>
      <c r="K4963" s="912" t="s">
        <v>274</v>
      </c>
      <c r="L4963" s="970"/>
      <c r="M4963" s="970"/>
      <c r="N4963" s="970"/>
      <c r="O4963" s="892">
        <f t="shared" si="312"/>
        <v>0</v>
      </c>
      <c r="P4963" s="903">
        <f t="shared" si="309"/>
        <v>1</v>
      </c>
      <c r="Q4963" s="893">
        <f t="shared" si="310"/>
        <v>5</v>
      </c>
      <c r="R4963" s="894">
        <f t="shared" si="311"/>
        <v>0</v>
      </c>
    </row>
    <row r="4964" spans="1:18">
      <c r="A4964" s="955"/>
      <c r="B4964" s="953"/>
      <c r="C4964" s="971">
        <v>745</v>
      </c>
      <c r="D4964" s="907" t="s">
        <v>12</v>
      </c>
      <c r="E4964" s="985" t="s">
        <v>5518</v>
      </c>
      <c r="F4964" s="986" t="s">
        <v>2674</v>
      </c>
      <c r="G4964" s="974"/>
      <c r="H4964" s="975">
        <v>34.200000000000003</v>
      </c>
      <c r="I4964" s="976"/>
      <c r="J4964" s="976"/>
      <c r="K4964" s="912">
        <f>VLOOKUP(E4964,[5]ĐMNC!$A$7:$F$67,4,0)</f>
        <v>240557</v>
      </c>
      <c r="L4964" s="912">
        <f>H4964*K4964</f>
        <v>8227049.4000000004</v>
      </c>
      <c r="M4964" s="912"/>
      <c r="N4964" s="912"/>
      <c r="O4964" s="892">
        <f t="shared" si="312"/>
        <v>0</v>
      </c>
      <c r="P4964" s="903">
        <f t="shared" si="309"/>
        <v>1</v>
      </c>
      <c r="Q4964" s="893">
        <f t="shared" si="310"/>
        <v>4</v>
      </c>
      <c r="R4964" s="894">
        <f t="shared" si="311"/>
        <v>0</v>
      </c>
    </row>
    <row r="4965" spans="1:18" s="904" customFormat="1">
      <c r="A4965" s="963"/>
      <c r="B4965" s="964"/>
      <c r="C4965" s="965"/>
      <c r="D4965" s="965"/>
      <c r="E4965" s="966" t="s">
        <v>3914</v>
      </c>
      <c r="F4965" s="967"/>
      <c r="G4965" s="984"/>
      <c r="H4965" s="969"/>
      <c r="I4965" s="970"/>
      <c r="J4965" s="970"/>
      <c r="K4965" s="912" t="s">
        <v>274</v>
      </c>
      <c r="L4965" s="970"/>
      <c r="M4965" s="970"/>
      <c r="N4965" s="970"/>
      <c r="O4965" s="892">
        <f t="shared" si="312"/>
        <v>0</v>
      </c>
      <c r="P4965" s="903">
        <f t="shared" si="309"/>
        <v>1</v>
      </c>
      <c r="Q4965" s="893">
        <f t="shared" si="310"/>
        <v>3</v>
      </c>
      <c r="R4965" s="894">
        <f t="shared" si="311"/>
        <v>0</v>
      </c>
    </row>
    <row r="4966" spans="1:18">
      <c r="A4966" s="955"/>
      <c r="B4966" s="953" t="s">
        <v>5610</v>
      </c>
      <c r="C4966" s="971">
        <v>823</v>
      </c>
      <c r="D4966" s="907" t="s">
        <v>93</v>
      </c>
      <c r="E4966" s="972" t="s">
        <v>5611</v>
      </c>
      <c r="F4966" s="986" t="s">
        <v>2673</v>
      </c>
      <c r="G4966" s="974"/>
      <c r="H4966" s="975">
        <v>0.2</v>
      </c>
      <c r="I4966" s="976"/>
      <c r="J4966" s="976"/>
      <c r="K4966" s="912"/>
      <c r="L4966" s="912"/>
      <c r="M4966" s="912">
        <f>VLOOKUP(B4966,MTC!$B$9:$S$933,12,0)</f>
        <v>0</v>
      </c>
      <c r="N4966" s="912">
        <f>M4966*H4966</f>
        <v>0</v>
      </c>
      <c r="O4966" s="892">
        <f t="shared" si="312"/>
        <v>0</v>
      </c>
      <c r="P4966" s="903">
        <f t="shared" si="309"/>
        <v>1</v>
      </c>
      <c r="Q4966" s="893">
        <f t="shared" si="310"/>
        <v>2</v>
      </c>
      <c r="R4966" s="894">
        <f t="shared" si="311"/>
        <v>0</v>
      </c>
    </row>
    <row r="4967" spans="1:18">
      <c r="A4967" s="955"/>
      <c r="B4967" s="914" t="s">
        <v>3974</v>
      </c>
      <c r="C4967" s="971">
        <v>817</v>
      </c>
      <c r="D4967" s="907" t="s">
        <v>93</v>
      </c>
      <c r="E4967" s="972" t="s">
        <v>5555</v>
      </c>
      <c r="F4967" s="986" t="s">
        <v>2673</v>
      </c>
      <c r="G4967" s="974"/>
      <c r="H4967" s="975">
        <v>0.3</v>
      </c>
      <c r="I4967" s="976"/>
      <c r="J4967" s="976"/>
      <c r="K4967" s="912"/>
      <c r="L4967" s="912"/>
      <c r="M4967" s="912">
        <f>VLOOKUP(B4967,MTC!$B$9:$S$933,12,0)</f>
        <v>0</v>
      </c>
      <c r="N4967" s="912">
        <f>M4967*H4967</f>
        <v>0</v>
      </c>
      <c r="O4967" s="892">
        <f t="shared" si="312"/>
        <v>0</v>
      </c>
      <c r="P4967" s="903">
        <f t="shared" si="309"/>
        <v>1</v>
      </c>
      <c r="Q4967" s="893">
        <f t="shared" si="310"/>
        <v>1</v>
      </c>
      <c r="R4967" s="894">
        <f t="shared" si="311"/>
        <v>0</v>
      </c>
    </row>
    <row r="4968" spans="1:18" s="988" customFormat="1">
      <c r="A4968" s="987" t="s">
        <v>5654</v>
      </c>
      <c r="B4968" s="914" t="s">
        <v>1408</v>
      </c>
      <c r="C4968" s="915"/>
      <c r="D4968" s="915"/>
      <c r="E4968" s="916" t="s">
        <v>5655</v>
      </c>
      <c r="F4968" s="917" t="s">
        <v>150</v>
      </c>
      <c r="G4968" s="918"/>
      <c r="H4968" s="919"/>
      <c r="I4968" s="920"/>
      <c r="J4968" s="891">
        <f>SUM(J4969:J4974)</f>
        <v>12562</v>
      </c>
      <c r="K4968" s="891"/>
      <c r="L4968" s="891">
        <f>SUM(L4969:L4974)</f>
        <v>2852512.5</v>
      </c>
      <c r="M4968" s="891"/>
      <c r="N4968" s="891">
        <f>SUM(N4969:N4974)</f>
        <v>0</v>
      </c>
      <c r="O4968" s="892">
        <f t="shared" si="312"/>
        <v>1</v>
      </c>
      <c r="P4968" s="903">
        <f t="shared" ref="P4968:P5031" si="313">IF(O4968=0,1,0)</f>
        <v>0</v>
      </c>
      <c r="Q4968" s="893">
        <f t="shared" ref="Q4968:Q5031" si="314">IF(P4968=0,0,P4968+Q4969)</f>
        <v>0</v>
      </c>
      <c r="R4968" s="894">
        <f t="shared" ref="R4968:R5031" si="315">IF(Q4968=0,Q4969,0)</f>
        <v>6</v>
      </c>
    </row>
    <row r="4969" spans="1:18" s="904" customFormat="1">
      <c r="A4969" s="895"/>
      <c r="B4969" s="922"/>
      <c r="C4969" s="897"/>
      <c r="D4969" s="897"/>
      <c r="E4969" s="898" t="s">
        <v>108</v>
      </c>
      <c r="F4969" s="899"/>
      <c r="G4969" s="900"/>
      <c r="H4969" s="901"/>
      <c r="I4969" s="902"/>
      <c r="J4969" s="902"/>
      <c r="K4969" s="912" t="s">
        <v>274</v>
      </c>
      <c r="L4969" s="902"/>
      <c r="M4969" s="902"/>
      <c r="N4969" s="902"/>
      <c r="O4969" s="892">
        <f t="shared" si="312"/>
        <v>0</v>
      </c>
      <c r="P4969" s="903">
        <f t="shared" si="313"/>
        <v>1</v>
      </c>
      <c r="Q4969" s="893">
        <f t="shared" si="314"/>
        <v>6</v>
      </c>
      <c r="R4969" s="894">
        <f t="shared" si="315"/>
        <v>0</v>
      </c>
    </row>
    <row r="4970" spans="1:18">
      <c r="A4970" s="905"/>
      <c r="B4970" s="906"/>
      <c r="C4970" s="907">
        <v>66</v>
      </c>
      <c r="D4970" s="907" t="s">
        <v>279</v>
      </c>
      <c r="E4970" s="925" t="s">
        <v>2682</v>
      </c>
      <c r="F4970" s="926" t="s">
        <v>45</v>
      </c>
      <c r="G4970" s="910"/>
      <c r="H4970" s="911">
        <v>0.2</v>
      </c>
      <c r="I4970" s="912">
        <f>VLOOKUP(E4970,[3]VLP!$B$7:$K$300,10,0)</f>
        <v>5000</v>
      </c>
      <c r="J4970" s="912">
        <f>I4970*H4970</f>
        <v>1000</v>
      </c>
      <c r="K4970" s="912" t="s">
        <v>274</v>
      </c>
      <c r="L4970" s="912"/>
      <c r="M4970" s="912"/>
      <c r="N4970" s="912"/>
      <c r="O4970" s="892">
        <f t="shared" si="312"/>
        <v>0</v>
      </c>
      <c r="P4970" s="903">
        <f t="shared" si="313"/>
        <v>1</v>
      </c>
      <c r="Q4970" s="893">
        <f t="shared" si="314"/>
        <v>5</v>
      </c>
      <c r="R4970" s="894">
        <f t="shared" si="315"/>
        <v>0</v>
      </c>
    </row>
    <row r="4971" spans="1:18">
      <c r="A4971" s="905"/>
      <c r="B4971" s="906"/>
      <c r="C4971" s="907">
        <v>25</v>
      </c>
      <c r="D4971" s="907" t="s">
        <v>279</v>
      </c>
      <c r="E4971" s="925" t="s">
        <v>5656</v>
      </c>
      <c r="F4971" s="926" t="s">
        <v>2690</v>
      </c>
      <c r="G4971" s="910"/>
      <c r="H4971" s="911">
        <v>0.3</v>
      </c>
      <c r="I4971" s="912">
        <f>VLOOKUP(E4971,[3]VLP!$B$7:$K$300,10,0)</f>
        <v>5000</v>
      </c>
      <c r="J4971" s="912">
        <f>I4971*H4971</f>
        <v>1500</v>
      </c>
      <c r="K4971" s="912" t="s">
        <v>274</v>
      </c>
      <c r="L4971" s="912"/>
      <c r="M4971" s="912"/>
      <c r="N4971" s="912"/>
      <c r="O4971" s="892">
        <f t="shared" si="312"/>
        <v>0</v>
      </c>
      <c r="P4971" s="903">
        <f t="shared" si="313"/>
        <v>1</v>
      </c>
      <c r="Q4971" s="893">
        <f t="shared" si="314"/>
        <v>4</v>
      </c>
      <c r="R4971" s="894">
        <f t="shared" si="315"/>
        <v>0</v>
      </c>
    </row>
    <row r="4972" spans="1:18">
      <c r="A4972" s="905"/>
      <c r="B4972" s="906"/>
      <c r="C4972" s="907">
        <v>127</v>
      </c>
      <c r="D4972" s="907" t="s">
        <v>279</v>
      </c>
      <c r="E4972" s="925" t="s">
        <v>5657</v>
      </c>
      <c r="F4972" s="926" t="s">
        <v>45</v>
      </c>
      <c r="G4972" s="910"/>
      <c r="H4972" s="911">
        <v>0.4</v>
      </c>
      <c r="I4972" s="912">
        <f>VLOOKUP(E4972,[3]VLP!$B$7:$K$300,10,0)</f>
        <v>25155</v>
      </c>
      <c r="J4972" s="912">
        <f>I4972*H4972</f>
        <v>10062</v>
      </c>
      <c r="K4972" s="912" t="s">
        <v>274</v>
      </c>
      <c r="L4972" s="912"/>
      <c r="M4972" s="912"/>
      <c r="N4972" s="912"/>
      <c r="O4972" s="892">
        <f t="shared" si="312"/>
        <v>0</v>
      </c>
      <c r="P4972" s="903">
        <f t="shared" si="313"/>
        <v>1</v>
      </c>
      <c r="Q4972" s="893">
        <f t="shared" si="314"/>
        <v>3</v>
      </c>
      <c r="R4972" s="894">
        <f t="shared" si="315"/>
        <v>0</v>
      </c>
    </row>
    <row r="4973" spans="1:18" s="904" customFormat="1">
      <c r="A4973" s="895"/>
      <c r="B4973" s="896"/>
      <c r="C4973" s="897"/>
      <c r="D4973" s="897"/>
      <c r="E4973" s="924" t="s">
        <v>276</v>
      </c>
      <c r="F4973" s="927"/>
      <c r="G4973" s="928"/>
      <c r="H4973" s="901"/>
      <c r="I4973" s="902"/>
      <c r="J4973" s="902"/>
      <c r="K4973" s="912" t="s">
        <v>274</v>
      </c>
      <c r="L4973" s="902"/>
      <c r="M4973" s="902"/>
      <c r="N4973" s="902"/>
      <c r="O4973" s="892">
        <f t="shared" si="312"/>
        <v>0</v>
      </c>
      <c r="P4973" s="903">
        <f t="shared" si="313"/>
        <v>1</v>
      </c>
      <c r="Q4973" s="893">
        <f t="shared" si="314"/>
        <v>2</v>
      </c>
      <c r="R4973" s="894">
        <f t="shared" si="315"/>
        <v>0</v>
      </c>
    </row>
    <row r="4974" spans="1:18">
      <c r="A4974" s="905"/>
      <c r="B4974" s="906"/>
      <c r="C4974" s="907">
        <v>740</v>
      </c>
      <c r="D4974" s="907" t="s">
        <v>12</v>
      </c>
      <c r="E4974" s="908" t="s">
        <v>4008</v>
      </c>
      <c r="F4974" s="909" t="s">
        <v>2674</v>
      </c>
      <c r="G4974" s="910"/>
      <c r="H4974" s="911">
        <v>12.9</v>
      </c>
      <c r="I4974" s="912"/>
      <c r="J4974" s="912"/>
      <c r="K4974" s="912">
        <f>VLOOKUP(E4974,[5]ĐMNC!$A$7:$F$67,4,0)</f>
        <v>221125</v>
      </c>
      <c r="L4974" s="912">
        <f>H4974*K4974</f>
        <v>2852512.5</v>
      </c>
      <c r="M4974" s="912"/>
      <c r="N4974" s="912"/>
      <c r="O4974" s="892">
        <f t="shared" si="312"/>
        <v>0</v>
      </c>
      <c r="P4974" s="903">
        <f t="shared" si="313"/>
        <v>1</v>
      </c>
      <c r="Q4974" s="893">
        <f t="shared" si="314"/>
        <v>1</v>
      </c>
      <c r="R4974" s="894">
        <f t="shared" si="315"/>
        <v>0</v>
      </c>
    </row>
    <row r="4975" spans="1:18" s="847" customFormat="1">
      <c r="A4975" s="905"/>
      <c r="B4975" s="914" t="s">
        <v>1410</v>
      </c>
      <c r="C4975" s="915"/>
      <c r="D4975" s="915"/>
      <c r="E4975" s="916" t="s">
        <v>5658</v>
      </c>
      <c r="F4975" s="917" t="s">
        <v>150</v>
      </c>
      <c r="G4975" s="918"/>
      <c r="H4975" s="919"/>
      <c r="I4975" s="920"/>
      <c r="J4975" s="891">
        <f>SUM(J4976:J4981)</f>
        <v>12562</v>
      </c>
      <c r="K4975" s="891"/>
      <c r="L4975" s="891">
        <f>SUM(L4976:L4981)</f>
        <v>3878532.5</v>
      </c>
      <c r="M4975" s="891"/>
      <c r="N4975" s="891">
        <f>SUM(N4976:N4981)</f>
        <v>0</v>
      </c>
      <c r="O4975" s="892">
        <f t="shared" si="312"/>
        <v>1</v>
      </c>
      <c r="P4975" s="903">
        <f t="shared" si="313"/>
        <v>0</v>
      </c>
      <c r="Q4975" s="893">
        <f t="shared" si="314"/>
        <v>0</v>
      </c>
      <c r="R4975" s="894">
        <f t="shared" si="315"/>
        <v>6</v>
      </c>
    </row>
    <row r="4976" spans="1:18" s="904" customFormat="1">
      <c r="A4976" s="895"/>
      <c r="B4976" s="896"/>
      <c r="C4976" s="897"/>
      <c r="D4976" s="897"/>
      <c r="E4976" s="898" t="s">
        <v>108</v>
      </c>
      <c r="F4976" s="899"/>
      <c r="G4976" s="900"/>
      <c r="H4976" s="901"/>
      <c r="I4976" s="902"/>
      <c r="J4976" s="902"/>
      <c r="K4976" s="912" t="s">
        <v>274</v>
      </c>
      <c r="L4976" s="902"/>
      <c r="M4976" s="902"/>
      <c r="N4976" s="902"/>
      <c r="O4976" s="892">
        <f t="shared" si="312"/>
        <v>0</v>
      </c>
      <c r="P4976" s="903">
        <f t="shared" si="313"/>
        <v>1</v>
      </c>
      <c r="Q4976" s="893">
        <f t="shared" si="314"/>
        <v>6</v>
      </c>
      <c r="R4976" s="894">
        <f t="shared" si="315"/>
        <v>0</v>
      </c>
    </row>
    <row r="4977" spans="1:18">
      <c r="A4977" s="905"/>
      <c r="B4977" s="906"/>
      <c r="C4977" s="907">
        <v>66</v>
      </c>
      <c r="D4977" s="907" t="s">
        <v>279</v>
      </c>
      <c r="E4977" s="925" t="s">
        <v>2682</v>
      </c>
      <c r="F4977" s="926" t="s">
        <v>45</v>
      </c>
      <c r="G4977" s="910"/>
      <c r="H4977" s="911">
        <v>0.2</v>
      </c>
      <c r="I4977" s="912">
        <f>VLOOKUP(E4977,[3]VLP!$B$7:$K$300,10,0)</f>
        <v>5000</v>
      </c>
      <c r="J4977" s="912">
        <f>I4977*H4977</f>
        <v>1000</v>
      </c>
      <c r="K4977" s="912" t="s">
        <v>274</v>
      </c>
      <c r="L4977" s="912"/>
      <c r="M4977" s="912"/>
      <c r="N4977" s="912"/>
      <c r="O4977" s="892">
        <f t="shared" si="312"/>
        <v>0</v>
      </c>
      <c r="P4977" s="903">
        <f t="shared" si="313"/>
        <v>1</v>
      </c>
      <c r="Q4977" s="893">
        <f t="shared" si="314"/>
        <v>5</v>
      </c>
      <c r="R4977" s="894">
        <f t="shared" si="315"/>
        <v>0</v>
      </c>
    </row>
    <row r="4978" spans="1:18">
      <c r="A4978" s="905"/>
      <c r="B4978" s="906"/>
      <c r="C4978" s="907">
        <v>25</v>
      </c>
      <c r="D4978" s="907" t="s">
        <v>279</v>
      </c>
      <c r="E4978" s="925" t="s">
        <v>5656</v>
      </c>
      <c r="F4978" s="926" t="s">
        <v>2690</v>
      </c>
      <c r="G4978" s="910"/>
      <c r="H4978" s="911">
        <v>0.3</v>
      </c>
      <c r="I4978" s="912">
        <f>VLOOKUP(E4978,[3]VLP!$B$7:$K$300,10,0)</f>
        <v>5000</v>
      </c>
      <c r="J4978" s="912">
        <f>I4978*H4978</f>
        <v>1500</v>
      </c>
      <c r="K4978" s="912" t="s">
        <v>274</v>
      </c>
      <c r="L4978" s="912"/>
      <c r="M4978" s="912"/>
      <c r="N4978" s="912"/>
      <c r="O4978" s="892">
        <f t="shared" si="312"/>
        <v>0</v>
      </c>
      <c r="P4978" s="903">
        <f t="shared" si="313"/>
        <v>1</v>
      </c>
      <c r="Q4978" s="893">
        <f t="shared" si="314"/>
        <v>4</v>
      </c>
      <c r="R4978" s="894">
        <f t="shared" si="315"/>
        <v>0</v>
      </c>
    </row>
    <row r="4979" spans="1:18">
      <c r="A4979" s="905"/>
      <c r="B4979" s="906"/>
      <c r="C4979" s="907">
        <v>127</v>
      </c>
      <c r="D4979" s="907" t="s">
        <v>279</v>
      </c>
      <c r="E4979" s="925" t="s">
        <v>5657</v>
      </c>
      <c r="F4979" s="926" t="s">
        <v>45</v>
      </c>
      <c r="G4979" s="910"/>
      <c r="H4979" s="911">
        <v>0.4</v>
      </c>
      <c r="I4979" s="912">
        <f>VLOOKUP(E4979,[3]VLP!$B$7:$K$300,10,0)</f>
        <v>25155</v>
      </c>
      <c r="J4979" s="912">
        <f>I4979*H4979</f>
        <v>10062</v>
      </c>
      <c r="K4979" s="912" t="s">
        <v>274</v>
      </c>
      <c r="L4979" s="912"/>
      <c r="M4979" s="912"/>
      <c r="N4979" s="912"/>
      <c r="O4979" s="892">
        <f t="shared" si="312"/>
        <v>0</v>
      </c>
      <c r="P4979" s="903">
        <f t="shared" si="313"/>
        <v>1</v>
      </c>
      <c r="Q4979" s="893">
        <f t="shared" si="314"/>
        <v>3</v>
      </c>
      <c r="R4979" s="894">
        <f t="shared" si="315"/>
        <v>0</v>
      </c>
    </row>
    <row r="4980" spans="1:18" s="904" customFormat="1">
      <c r="A4980" s="895"/>
      <c r="B4980" s="896"/>
      <c r="C4980" s="897"/>
      <c r="D4980" s="897"/>
      <c r="E4980" s="924" t="s">
        <v>276</v>
      </c>
      <c r="F4980" s="927"/>
      <c r="G4980" s="928"/>
      <c r="H4980" s="901"/>
      <c r="I4980" s="902"/>
      <c r="J4980" s="902"/>
      <c r="K4980" s="912" t="s">
        <v>274</v>
      </c>
      <c r="L4980" s="902"/>
      <c r="M4980" s="902"/>
      <c r="N4980" s="902"/>
      <c r="O4980" s="892">
        <f t="shared" si="312"/>
        <v>0</v>
      </c>
      <c r="P4980" s="903">
        <f t="shared" si="313"/>
        <v>1</v>
      </c>
      <c r="Q4980" s="893">
        <f t="shared" si="314"/>
        <v>2</v>
      </c>
      <c r="R4980" s="894">
        <f t="shared" si="315"/>
        <v>0</v>
      </c>
    </row>
    <row r="4981" spans="1:18">
      <c r="A4981" s="905"/>
      <c r="B4981" s="906"/>
      <c r="C4981" s="907">
        <v>740</v>
      </c>
      <c r="D4981" s="907" t="s">
        <v>12</v>
      </c>
      <c r="E4981" s="908" t="s">
        <v>4008</v>
      </c>
      <c r="F4981" s="909" t="s">
        <v>2674</v>
      </c>
      <c r="G4981" s="910"/>
      <c r="H4981" s="911">
        <v>17.54</v>
      </c>
      <c r="I4981" s="912"/>
      <c r="J4981" s="912"/>
      <c r="K4981" s="912">
        <f>VLOOKUP(E4981,[5]ĐMNC!$A$7:$F$67,4,0)</f>
        <v>221125</v>
      </c>
      <c r="L4981" s="912">
        <f>H4981*K4981</f>
        <v>3878532.5</v>
      </c>
      <c r="M4981" s="912"/>
      <c r="N4981" s="912"/>
      <c r="O4981" s="892">
        <f t="shared" si="312"/>
        <v>0</v>
      </c>
      <c r="P4981" s="903">
        <f t="shared" si="313"/>
        <v>1</v>
      </c>
      <c r="Q4981" s="893">
        <f t="shared" si="314"/>
        <v>1</v>
      </c>
      <c r="R4981" s="894">
        <f t="shared" si="315"/>
        <v>0</v>
      </c>
    </row>
    <row r="4982" spans="1:18" s="847" customFormat="1">
      <c r="A4982" s="905"/>
      <c r="B4982" s="914" t="s">
        <v>1412</v>
      </c>
      <c r="C4982" s="915"/>
      <c r="D4982" s="915"/>
      <c r="E4982" s="916" t="s">
        <v>5659</v>
      </c>
      <c r="F4982" s="917" t="s">
        <v>150</v>
      </c>
      <c r="G4982" s="918"/>
      <c r="H4982" s="919"/>
      <c r="I4982" s="920"/>
      <c r="J4982" s="891">
        <f>SUM(J4983:J4988)</f>
        <v>12562</v>
      </c>
      <c r="K4982" s="891"/>
      <c r="L4982" s="891">
        <f>SUM(L4983:L4988)</f>
        <v>4358373.75</v>
      </c>
      <c r="M4982" s="891"/>
      <c r="N4982" s="891">
        <f>SUM(N4983:N4988)</f>
        <v>0</v>
      </c>
      <c r="O4982" s="892">
        <f t="shared" si="312"/>
        <v>1</v>
      </c>
      <c r="P4982" s="903">
        <f t="shared" si="313"/>
        <v>0</v>
      </c>
      <c r="Q4982" s="893">
        <f t="shared" si="314"/>
        <v>0</v>
      </c>
      <c r="R4982" s="894">
        <f t="shared" si="315"/>
        <v>6</v>
      </c>
    </row>
    <row r="4983" spans="1:18" s="904" customFormat="1">
      <c r="A4983" s="895"/>
      <c r="B4983" s="896"/>
      <c r="C4983" s="897"/>
      <c r="D4983" s="897"/>
      <c r="E4983" s="898" t="s">
        <v>108</v>
      </c>
      <c r="F4983" s="899"/>
      <c r="G4983" s="900"/>
      <c r="H4983" s="901"/>
      <c r="I4983" s="902"/>
      <c r="J4983" s="902"/>
      <c r="K4983" s="912" t="s">
        <v>274</v>
      </c>
      <c r="L4983" s="902"/>
      <c r="M4983" s="902"/>
      <c r="N4983" s="902"/>
      <c r="O4983" s="892">
        <f t="shared" si="312"/>
        <v>0</v>
      </c>
      <c r="P4983" s="903">
        <f t="shared" si="313"/>
        <v>1</v>
      </c>
      <c r="Q4983" s="893">
        <f t="shared" si="314"/>
        <v>6</v>
      </c>
      <c r="R4983" s="894">
        <f t="shared" si="315"/>
        <v>0</v>
      </c>
    </row>
    <row r="4984" spans="1:18">
      <c r="A4984" s="905"/>
      <c r="B4984" s="906"/>
      <c r="C4984" s="907">
        <v>66</v>
      </c>
      <c r="D4984" s="907" t="s">
        <v>279</v>
      </c>
      <c r="E4984" s="925" t="s">
        <v>2682</v>
      </c>
      <c r="F4984" s="926" t="s">
        <v>45</v>
      </c>
      <c r="G4984" s="910"/>
      <c r="H4984" s="911">
        <v>0.2</v>
      </c>
      <c r="I4984" s="912">
        <f>VLOOKUP(E4984,[3]VLP!$B$7:$K$300,10,0)</f>
        <v>5000</v>
      </c>
      <c r="J4984" s="912">
        <f>I4984*H4984</f>
        <v>1000</v>
      </c>
      <c r="K4984" s="912" t="s">
        <v>274</v>
      </c>
      <c r="L4984" s="912"/>
      <c r="M4984" s="912"/>
      <c r="N4984" s="912"/>
      <c r="O4984" s="892">
        <f t="shared" si="312"/>
        <v>0</v>
      </c>
      <c r="P4984" s="903">
        <f t="shared" si="313"/>
        <v>1</v>
      </c>
      <c r="Q4984" s="893">
        <f t="shared" si="314"/>
        <v>5</v>
      </c>
      <c r="R4984" s="894">
        <f t="shared" si="315"/>
        <v>0</v>
      </c>
    </row>
    <row r="4985" spans="1:18">
      <c r="A4985" s="905"/>
      <c r="B4985" s="906"/>
      <c r="C4985" s="907">
        <v>25</v>
      </c>
      <c r="D4985" s="907" t="s">
        <v>279</v>
      </c>
      <c r="E4985" s="925" t="s">
        <v>5656</v>
      </c>
      <c r="F4985" s="926" t="s">
        <v>2690</v>
      </c>
      <c r="G4985" s="910"/>
      <c r="H4985" s="911">
        <v>0.3</v>
      </c>
      <c r="I4985" s="912">
        <f>VLOOKUP(E4985,[3]VLP!$B$7:$K$300,10,0)</f>
        <v>5000</v>
      </c>
      <c r="J4985" s="912">
        <f>I4985*H4985</f>
        <v>1500</v>
      </c>
      <c r="K4985" s="912" t="s">
        <v>274</v>
      </c>
      <c r="L4985" s="912"/>
      <c r="M4985" s="912"/>
      <c r="N4985" s="912"/>
      <c r="O4985" s="892">
        <f t="shared" si="312"/>
        <v>0</v>
      </c>
      <c r="P4985" s="903">
        <f t="shared" si="313"/>
        <v>1</v>
      </c>
      <c r="Q4985" s="893">
        <f t="shared" si="314"/>
        <v>4</v>
      </c>
      <c r="R4985" s="894">
        <f t="shared" si="315"/>
        <v>0</v>
      </c>
    </row>
    <row r="4986" spans="1:18">
      <c r="A4986" s="905"/>
      <c r="B4986" s="906"/>
      <c r="C4986" s="907">
        <v>127</v>
      </c>
      <c r="D4986" s="907" t="s">
        <v>279</v>
      </c>
      <c r="E4986" s="925" t="s">
        <v>5657</v>
      </c>
      <c r="F4986" s="926" t="s">
        <v>45</v>
      </c>
      <c r="G4986" s="910"/>
      <c r="H4986" s="911">
        <v>0.4</v>
      </c>
      <c r="I4986" s="912">
        <f>VLOOKUP(E4986,[3]VLP!$B$7:$K$300,10,0)</f>
        <v>25155</v>
      </c>
      <c r="J4986" s="912">
        <f>I4986*H4986</f>
        <v>10062</v>
      </c>
      <c r="K4986" s="912" t="s">
        <v>274</v>
      </c>
      <c r="L4986" s="912"/>
      <c r="M4986" s="912"/>
      <c r="N4986" s="912"/>
      <c r="O4986" s="892">
        <f t="shared" si="312"/>
        <v>0</v>
      </c>
      <c r="P4986" s="903">
        <f t="shared" si="313"/>
        <v>1</v>
      </c>
      <c r="Q4986" s="893">
        <f t="shared" si="314"/>
        <v>3</v>
      </c>
      <c r="R4986" s="894">
        <f t="shared" si="315"/>
        <v>0</v>
      </c>
    </row>
    <row r="4987" spans="1:18" s="904" customFormat="1">
      <c r="A4987" s="895"/>
      <c r="B4987" s="896"/>
      <c r="C4987" s="897"/>
      <c r="D4987" s="897"/>
      <c r="E4987" s="924" t="s">
        <v>276</v>
      </c>
      <c r="F4987" s="927"/>
      <c r="G4987" s="928"/>
      <c r="H4987" s="901"/>
      <c r="I4987" s="902"/>
      <c r="J4987" s="902"/>
      <c r="K4987" s="912" t="s">
        <v>274</v>
      </c>
      <c r="L4987" s="902"/>
      <c r="M4987" s="902"/>
      <c r="N4987" s="902"/>
      <c r="O4987" s="892">
        <f t="shared" si="312"/>
        <v>0</v>
      </c>
      <c r="P4987" s="903">
        <f t="shared" si="313"/>
        <v>1</v>
      </c>
      <c r="Q4987" s="893">
        <f t="shared" si="314"/>
        <v>2</v>
      </c>
      <c r="R4987" s="894">
        <f t="shared" si="315"/>
        <v>0</v>
      </c>
    </row>
    <row r="4988" spans="1:18">
      <c r="A4988" s="905"/>
      <c r="B4988" s="906"/>
      <c r="C4988" s="907">
        <v>740</v>
      </c>
      <c r="D4988" s="907" t="s">
        <v>12</v>
      </c>
      <c r="E4988" s="908" t="s">
        <v>4008</v>
      </c>
      <c r="F4988" s="909" t="s">
        <v>2674</v>
      </c>
      <c r="G4988" s="910"/>
      <c r="H4988" s="911">
        <v>19.71</v>
      </c>
      <c r="I4988" s="912"/>
      <c r="J4988" s="912"/>
      <c r="K4988" s="912">
        <f>VLOOKUP(E4988,[5]ĐMNC!$A$7:$F$67,4,0)</f>
        <v>221125</v>
      </c>
      <c r="L4988" s="912">
        <f>H4988*K4988</f>
        <v>4358373.75</v>
      </c>
      <c r="M4988" s="912"/>
      <c r="N4988" s="912"/>
      <c r="O4988" s="892">
        <f t="shared" si="312"/>
        <v>0</v>
      </c>
      <c r="P4988" s="903">
        <f t="shared" si="313"/>
        <v>1</v>
      </c>
      <c r="Q4988" s="893">
        <f t="shared" si="314"/>
        <v>1</v>
      </c>
      <c r="R4988" s="894">
        <f t="shared" si="315"/>
        <v>0</v>
      </c>
    </row>
    <row r="4989" spans="1:18" s="847" customFormat="1">
      <c r="A4989" s="905"/>
      <c r="B4989" s="914" t="s">
        <v>1414</v>
      </c>
      <c r="C4989" s="915"/>
      <c r="D4989" s="915"/>
      <c r="E4989" s="916" t="s">
        <v>5660</v>
      </c>
      <c r="F4989" s="917" t="s">
        <v>150</v>
      </c>
      <c r="G4989" s="918"/>
      <c r="H4989" s="919"/>
      <c r="I4989" s="920"/>
      <c r="J4989" s="891">
        <f>SUM(J4990:J4995)</f>
        <v>14069.75</v>
      </c>
      <c r="K4989" s="891"/>
      <c r="L4989" s="891">
        <f>SUM(L4990:L4995)</f>
        <v>5273831.25</v>
      </c>
      <c r="M4989" s="891"/>
      <c r="N4989" s="891">
        <f>SUM(N4990:N4995)</f>
        <v>0</v>
      </c>
      <c r="O4989" s="892">
        <f t="shared" si="312"/>
        <v>1</v>
      </c>
      <c r="P4989" s="903">
        <f t="shared" si="313"/>
        <v>0</v>
      </c>
      <c r="Q4989" s="893">
        <f t="shared" si="314"/>
        <v>0</v>
      </c>
      <c r="R4989" s="894">
        <f t="shared" si="315"/>
        <v>6</v>
      </c>
    </row>
    <row r="4990" spans="1:18" s="904" customFormat="1">
      <c r="A4990" s="895"/>
      <c r="B4990" s="896"/>
      <c r="C4990" s="897"/>
      <c r="D4990" s="897"/>
      <c r="E4990" s="898" t="s">
        <v>108</v>
      </c>
      <c r="F4990" s="899"/>
      <c r="G4990" s="900"/>
      <c r="H4990" s="901"/>
      <c r="I4990" s="902"/>
      <c r="J4990" s="902"/>
      <c r="K4990" s="912" t="s">
        <v>274</v>
      </c>
      <c r="L4990" s="902"/>
      <c r="M4990" s="902"/>
      <c r="N4990" s="902"/>
      <c r="O4990" s="892">
        <f t="shared" si="312"/>
        <v>0</v>
      </c>
      <c r="P4990" s="903">
        <f t="shared" si="313"/>
        <v>1</v>
      </c>
      <c r="Q4990" s="893">
        <f t="shared" si="314"/>
        <v>6</v>
      </c>
      <c r="R4990" s="894">
        <f t="shared" si="315"/>
        <v>0</v>
      </c>
    </row>
    <row r="4991" spans="1:18">
      <c r="A4991" s="905"/>
      <c r="B4991" s="906"/>
      <c r="C4991" s="907">
        <v>66</v>
      </c>
      <c r="D4991" s="907" t="s">
        <v>279</v>
      </c>
      <c r="E4991" s="925" t="s">
        <v>2682</v>
      </c>
      <c r="F4991" s="926" t="s">
        <v>45</v>
      </c>
      <c r="G4991" s="910"/>
      <c r="H4991" s="911">
        <v>0.25</v>
      </c>
      <c r="I4991" s="912">
        <f>VLOOKUP(E4991,[3]VLP!$B$7:$K$300,10,0)</f>
        <v>5000</v>
      </c>
      <c r="J4991" s="912">
        <f>I4991*H4991</f>
        <v>1250</v>
      </c>
      <c r="K4991" s="912" t="s">
        <v>274</v>
      </c>
      <c r="L4991" s="912"/>
      <c r="M4991" s="912"/>
      <c r="N4991" s="912"/>
      <c r="O4991" s="892">
        <f t="shared" si="312"/>
        <v>0</v>
      </c>
      <c r="P4991" s="903">
        <f t="shared" si="313"/>
        <v>1</v>
      </c>
      <c r="Q4991" s="893">
        <f t="shared" si="314"/>
        <v>5</v>
      </c>
      <c r="R4991" s="894">
        <f t="shared" si="315"/>
        <v>0</v>
      </c>
    </row>
    <row r="4992" spans="1:18">
      <c r="A4992" s="905"/>
      <c r="B4992" s="906"/>
      <c r="C4992" s="907">
        <v>25</v>
      </c>
      <c r="D4992" s="907" t="s">
        <v>279</v>
      </c>
      <c r="E4992" s="925" t="s">
        <v>5656</v>
      </c>
      <c r="F4992" s="926" t="s">
        <v>2690</v>
      </c>
      <c r="G4992" s="910"/>
      <c r="H4992" s="911">
        <v>0.3</v>
      </c>
      <c r="I4992" s="912">
        <f>VLOOKUP(E4992,[3]VLP!$B$7:$K$300,10,0)</f>
        <v>5000</v>
      </c>
      <c r="J4992" s="912">
        <f>I4992*H4992</f>
        <v>1500</v>
      </c>
      <c r="K4992" s="912" t="s">
        <v>274</v>
      </c>
      <c r="L4992" s="912"/>
      <c r="M4992" s="912"/>
      <c r="N4992" s="912"/>
      <c r="O4992" s="892">
        <f t="shared" si="312"/>
        <v>0</v>
      </c>
      <c r="P4992" s="903">
        <f t="shared" si="313"/>
        <v>1</v>
      </c>
      <c r="Q4992" s="893">
        <f t="shared" si="314"/>
        <v>4</v>
      </c>
      <c r="R4992" s="894">
        <f t="shared" si="315"/>
        <v>0</v>
      </c>
    </row>
    <row r="4993" spans="1:18">
      <c r="A4993" s="905"/>
      <c r="B4993" s="906"/>
      <c r="C4993" s="907">
        <v>127</v>
      </c>
      <c r="D4993" s="907" t="s">
        <v>279</v>
      </c>
      <c r="E4993" s="925" t="s">
        <v>5657</v>
      </c>
      <c r="F4993" s="926" t="s">
        <v>45</v>
      </c>
      <c r="G4993" s="910"/>
      <c r="H4993" s="911">
        <v>0.45</v>
      </c>
      <c r="I4993" s="912">
        <f>VLOOKUP(E4993,[3]VLP!$B$7:$K$300,10,0)</f>
        <v>25155</v>
      </c>
      <c r="J4993" s="912">
        <f>I4993*H4993</f>
        <v>11319.75</v>
      </c>
      <c r="K4993" s="912" t="s">
        <v>274</v>
      </c>
      <c r="L4993" s="912"/>
      <c r="M4993" s="912"/>
      <c r="N4993" s="912"/>
      <c r="O4993" s="892">
        <f t="shared" si="312"/>
        <v>0</v>
      </c>
      <c r="P4993" s="903">
        <f t="shared" si="313"/>
        <v>1</v>
      </c>
      <c r="Q4993" s="893">
        <f t="shared" si="314"/>
        <v>3</v>
      </c>
      <c r="R4993" s="894">
        <f t="shared" si="315"/>
        <v>0</v>
      </c>
    </row>
    <row r="4994" spans="1:18" s="904" customFormat="1">
      <c r="A4994" s="895"/>
      <c r="B4994" s="896"/>
      <c r="C4994" s="897"/>
      <c r="D4994" s="897"/>
      <c r="E4994" s="924" t="s">
        <v>276</v>
      </c>
      <c r="F4994" s="927"/>
      <c r="G4994" s="928"/>
      <c r="H4994" s="901"/>
      <c r="I4994" s="902"/>
      <c r="J4994" s="902"/>
      <c r="K4994" s="912" t="s">
        <v>274</v>
      </c>
      <c r="L4994" s="902"/>
      <c r="M4994" s="902"/>
      <c r="N4994" s="902"/>
      <c r="O4994" s="892">
        <f t="shared" si="312"/>
        <v>0</v>
      </c>
      <c r="P4994" s="903">
        <f t="shared" si="313"/>
        <v>1</v>
      </c>
      <c r="Q4994" s="893">
        <f t="shared" si="314"/>
        <v>2</v>
      </c>
      <c r="R4994" s="894">
        <f t="shared" si="315"/>
        <v>0</v>
      </c>
    </row>
    <row r="4995" spans="1:18">
      <c r="A4995" s="905"/>
      <c r="B4995" s="906"/>
      <c r="C4995" s="907">
        <v>740</v>
      </c>
      <c r="D4995" s="907" t="s">
        <v>12</v>
      </c>
      <c r="E4995" s="908" t="s">
        <v>4008</v>
      </c>
      <c r="F4995" s="909" t="s">
        <v>2674</v>
      </c>
      <c r="G4995" s="910"/>
      <c r="H4995" s="911">
        <v>23.85</v>
      </c>
      <c r="I4995" s="912"/>
      <c r="J4995" s="912"/>
      <c r="K4995" s="912">
        <f>VLOOKUP(E4995,[5]ĐMNC!$A$7:$F$67,4,0)</f>
        <v>221125</v>
      </c>
      <c r="L4995" s="912">
        <f>H4995*K4995</f>
        <v>5273831.25</v>
      </c>
      <c r="M4995" s="912"/>
      <c r="N4995" s="912"/>
      <c r="O4995" s="892">
        <f t="shared" si="312"/>
        <v>0</v>
      </c>
      <c r="P4995" s="903">
        <f t="shared" si="313"/>
        <v>1</v>
      </c>
      <c r="Q4995" s="893">
        <f t="shared" si="314"/>
        <v>1</v>
      </c>
      <c r="R4995" s="894">
        <f t="shared" si="315"/>
        <v>0</v>
      </c>
    </row>
    <row r="4996" spans="1:18" s="847" customFormat="1">
      <c r="A4996" s="905"/>
      <c r="B4996" s="914" t="s">
        <v>1416</v>
      </c>
      <c r="C4996" s="915"/>
      <c r="D4996" s="915"/>
      <c r="E4996" s="916" t="s">
        <v>5661</v>
      </c>
      <c r="F4996" s="917" t="s">
        <v>150</v>
      </c>
      <c r="G4996" s="918"/>
      <c r="H4996" s="919"/>
      <c r="I4996" s="920"/>
      <c r="J4996" s="891">
        <f>SUM(J4997:J5002)</f>
        <v>14319.75</v>
      </c>
      <c r="K4996" s="891"/>
      <c r="L4996" s="891">
        <f>SUM(L4997:L5002)</f>
        <v>6224668.75</v>
      </c>
      <c r="M4996" s="891"/>
      <c r="N4996" s="891">
        <f>SUM(N4997:N5002)</f>
        <v>0</v>
      </c>
      <c r="O4996" s="892">
        <f t="shared" si="312"/>
        <v>1</v>
      </c>
      <c r="P4996" s="903">
        <f t="shared" si="313"/>
        <v>0</v>
      </c>
      <c r="Q4996" s="893">
        <f t="shared" si="314"/>
        <v>0</v>
      </c>
      <c r="R4996" s="894">
        <f t="shared" si="315"/>
        <v>6</v>
      </c>
    </row>
    <row r="4997" spans="1:18" s="904" customFormat="1">
      <c r="A4997" s="895"/>
      <c r="B4997" s="896"/>
      <c r="C4997" s="897"/>
      <c r="D4997" s="897"/>
      <c r="E4997" s="898" t="s">
        <v>108</v>
      </c>
      <c r="F4997" s="899"/>
      <c r="G4997" s="900"/>
      <c r="H4997" s="901"/>
      <c r="I4997" s="902"/>
      <c r="J4997" s="902"/>
      <c r="K4997" s="912" t="s">
        <v>274</v>
      </c>
      <c r="L4997" s="902"/>
      <c r="M4997" s="902"/>
      <c r="N4997" s="902"/>
      <c r="O4997" s="892">
        <f t="shared" si="312"/>
        <v>0</v>
      </c>
      <c r="P4997" s="903">
        <f t="shared" si="313"/>
        <v>1</v>
      </c>
      <c r="Q4997" s="893">
        <f t="shared" si="314"/>
        <v>6</v>
      </c>
      <c r="R4997" s="894">
        <f t="shared" si="315"/>
        <v>0</v>
      </c>
    </row>
    <row r="4998" spans="1:18">
      <c r="A4998" s="905"/>
      <c r="B4998" s="906"/>
      <c r="C4998" s="907">
        <v>66</v>
      </c>
      <c r="D4998" s="907" t="s">
        <v>279</v>
      </c>
      <c r="E4998" s="925" t="s">
        <v>2682</v>
      </c>
      <c r="F4998" s="926" t="s">
        <v>45</v>
      </c>
      <c r="G4998" s="910"/>
      <c r="H4998" s="911">
        <v>0.25</v>
      </c>
      <c r="I4998" s="912">
        <f>VLOOKUP(E4998,[3]VLP!$B$7:$K$300,10,0)</f>
        <v>5000</v>
      </c>
      <c r="J4998" s="912">
        <f>I4998*H4998</f>
        <v>1250</v>
      </c>
      <c r="K4998" s="912" t="s">
        <v>274</v>
      </c>
      <c r="L4998" s="912"/>
      <c r="M4998" s="912"/>
      <c r="N4998" s="912"/>
      <c r="O4998" s="892">
        <f t="shared" si="312"/>
        <v>0</v>
      </c>
      <c r="P4998" s="903">
        <f t="shared" si="313"/>
        <v>1</v>
      </c>
      <c r="Q4998" s="893">
        <f t="shared" si="314"/>
        <v>5</v>
      </c>
      <c r="R4998" s="894">
        <f t="shared" si="315"/>
        <v>0</v>
      </c>
    </row>
    <row r="4999" spans="1:18">
      <c r="A4999" s="905"/>
      <c r="B4999" s="906"/>
      <c r="C4999" s="907">
        <v>25</v>
      </c>
      <c r="D4999" s="907" t="s">
        <v>279</v>
      </c>
      <c r="E4999" s="925" t="s">
        <v>5656</v>
      </c>
      <c r="F4999" s="926" t="s">
        <v>2690</v>
      </c>
      <c r="G4999" s="910"/>
      <c r="H4999" s="911">
        <v>0.35</v>
      </c>
      <c r="I4999" s="912">
        <f>VLOOKUP(E4999,[3]VLP!$B$7:$K$300,10,0)</f>
        <v>5000</v>
      </c>
      <c r="J4999" s="912">
        <f>I4999*H4999</f>
        <v>1750</v>
      </c>
      <c r="K4999" s="912" t="s">
        <v>274</v>
      </c>
      <c r="L4999" s="912"/>
      <c r="M4999" s="912"/>
      <c r="N4999" s="912"/>
      <c r="O4999" s="892">
        <f t="shared" si="312"/>
        <v>0</v>
      </c>
      <c r="P4999" s="903">
        <f t="shared" si="313"/>
        <v>1</v>
      </c>
      <c r="Q4999" s="893">
        <f t="shared" si="314"/>
        <v>4</v>
      </c>
      <c r="R4999" s="894">
        <f t="shared" si="315"/>
        <v>0</v>
      </c>
    </row>
    <row r="5000" spans="1:18">
      <c r="A5000" s="905"/>
      <c r="B5000" s="906"/>
      <c r="C5000" s="907">
        <v>127</v>
      </c>
      <c r="D5000" s="907" t="s">
        <v>279</v>
      </c>
      <c r="E5000" s="925" t="s">
        <v>5657</v>
      </c>
      <c r="F5000" s="926" t="s">
        <v>45</v>
      </c>
      <c r="G5000" s="910"/>
      <c r="H5000" s="911">
        <v>0.45</v>
      </c>
      <c r="I5000" s="912">
        <f>VLOOKUP(E5000,[3]VLP!$B$7:$K$300,10,0)</f>
        <v>25155</v>
      </c>
      <c r="J5000" s="912">
        <f>I5000*H5000</f>
        <v>11319.75</v>
      </c>
      <c r="K5000" s="912" t="s">
        <v>274</v>
      </c>
      <c r="L5000" s="912"/>
      <c r="M5000" s="912"/>
      <c r="N5000" s="912"/>
      <c r="O5000" s="892">
        <f t="shared" si="312"/>
        <v>0</v>
      </c>
      <c r="P5000" s="903">
        <f t="shared" si="313"/>
        <v>1</v>
      </c>
      <c r="Q5000" s="893">
        <f t="shared" si="314"/>
        <v>3</v>
      </c>
      <c r="R5000" s="894">
        <f t="shared" si="315"/>
        <v>0</v>
      </c>
    </row>
    <row r="5001" spans="1:18" s="904" customFormat="1">
      <c r="A5001" s="895"/>
      <c r="B5001" s="896"/>
      <c r="C5001" s="897"/>
      <c r="D5001" s="897"/>
      <c r="E5001" s="924" t="s">
        <v>276</v>
      </c>
      <c r="F5001" s="927"/>
      <c r="G5001" s="928"/>
      <c r="H5001" s="901"/>
      <c r="I5001" s="902"/>
      <c r="J5001" s="902"/>
      <c r="K5001" s="912" t="s">
        <v>274</v>
      </c>
      <c r="L5001" s="902"/>
      <c r="M5001" s="902"/>
      <c r="N5001" s="902"/>
      <c r="O5001" s="892">
        <f t="shared" si="312"/>
        <v>0</v>
      </c>
      <c r="P5001" s="903">
        <f t="shared" si="313"/>
        <v>1</v>
      </c>
      <c r="Q5001" s="893">
        <f t="shared" si="314"/>
        <v>2</v>
      </c>
      <c r="R5001" s="894">
        <f t="shared" si="315"/>
        <v>0</v>
      </c>
    </row>
    <row r="5002" spans="1:18">
      <c r="A5002" s="905"/>
      <c r="B5002" s="906"/>
      <c r="C5002" s="907">
        <v>740</v>
      </c>
      <c r="D5002" s="907" t="s">
        <v>12</v>
      </c>
      <c r="E5002" s="908" t="s">
        <v>4008</v>
      </c>
      <c r="F5002" s="909" t="s">
        <v>2674</v>
      </c>
      <c r="G5002" s="910"/>
      <c r="H5002" s="911">
        <v>28.15</v>
      </c>
      <c r="I5002" s="912"/>
      <c r="J5002" s="912"/>
      <c r="K5002" s="912">
        <f>VLOOKUP(E5002,[5]ĐMNC!$A$7:$F$67,4,0)</f>
        <v>221125</v>
      </c>
      <c r="L5002" s="912">
        <f>H5002*K5002</f>
        <v>6224668.75</v>
      </c>
      <c r="M5002" s="912"/>
      <c r="N5002" s="912"/>
      <c r="O5002" s="892">
        <f t="shared" si="312"/>
        <v>0</v>
      </c>
      <c r="P5002" s="903">
        <f t="shared" si="313"/>
        <v>1</v>
      </c>
      <c r="Q5002" s="893">
        <f t="shared" si="314"/>
        <v>1</v>
      </c>
      <c r="R5002" s="894">
        <f t="shared" si="315"/>
        <v>0</v>
      </c>
    </row>
    <row r="5003" spans="1:18" s="847" customFormat="1">
      <c r="A5003" s="905"/>
      <c r="B5003" s="914" t="s">
        <v>148</v>
      </c>
      <c r="C5003" s="915"/>
      <c r="D5003" s="915"/>
      <c r="E5003" s="929" t="s">
        <v>5662</v>
      </c>
      <c r="F5003" s="917" t="s">
        <v>150</v>
      </c>
      <c r="G5003" s="918"/>
      <c r="H5003" s="919"/>
      <c r="I5003" s="920"/>
      <c r="J5003" s="891">
        <f>SUM(J5004:J5009)</f>
        <v>15827.5</v>
      </c>
      <c r="K5003" s="891"/>
      <c r="L5003" s="891">
        <f>SUM(L5004:L5009)</f>
        <v>8632720</v>
      </c>
      <c r="M5003" s="891"/>
      <c r="N5003" s="891">
        <f>SUM(N5004:N5009)</f>
        <v>0</v>
      </c>
      <c r="O5003" s="892">
        <f t="shared" si="312"/>
        <v>1</v>
      </c>
      <c r="P5003" s="903">
        <f t="shared" si="313"/>
        <v>0</v>
      </c>
      <c r="Q5003" s="893">
        <f t="shared" si="314"/>
        <v>0</v>
      </c>
      <c r="R5003" s="894">
        <f t="shared" si="315"/>
        <v>6</v>
      </c>
    </row>
    <row r="5004" spans="1:18" s="904" customFormat="1">
      <c r="A5004" s="895"/>
      <c r="B5004" s="896"/>
      <c r="C5004" s="897"/>
      <c r="D5004" s="897"/>
      <c r="E5004" s="898" t="s">
        <v>108</v>
      </c>
      <c r="F5004" s="899"/>
      <c r="G5004" s="900"/>
      <c r="H5004" s="901"/>
      <c r="I5004" s="902"/>
      <c r="J5004" s="902"/>
      <c r="K5004" s="912" t="s">
        <v>274</v>
      </c>
      <c r="L5004" s="902"/>
      <c r="M5004" s="902"/>
      <c r="N5004" s="902"/>
      <c r="O5004" s="892">
        <f t="shared" si="312"/>
        <v>0</v>
      </c>
      <c r="P5004" s="903">
        <f t="shared" si="313"/>
        <v>1</v>
      </c>
      <c r="Q5004" s="893">
        <f t="shared" si="314"/>
        <v>6</v>
      </c>
      <c r="R5004" s="894">
        <f t="shared" si="315"/>
        <v>0</v>
      </c>
    </row>
    <row r="5005" spans="1:18">
      <c r="A5005" s="905"/>
      <c r="B5005" s="906"/>
      <c r="C5005" s="907">
        <v>66</v>
      </c>
      <c r="D5005" s="907" t="s">
        <v>279</v>
      </c>
      <c r="E5005" s="925" t="s">
        <v>2682</v>
      </c>
      <c r="F5005" s="926" t="s">
        <v>45</v>
      </c>
      <c r="G5005" s="910"/>
      <c r="H5005" s="911">
        <v>0.3</v>
      </c>
      <c r="I5005" s="912">
        <f>VLOOKUP(E5005,[3]VLP!$B$7:$K$300,10,0)</f>
        <v>5000</v>
      </c>
      <c r="J5005" s="912">
        <f>I5005*H5005</f>
        <v>1500</v>
      </c>
      <c r="K5005" s="912" t="s">
        <v>274</v>
      </c>
      <c r="L5005" s="912"/>
      <c r="M5005" s="912"/>
      <c r="N5005" s="912"/>
      <c r="O5005" s="892">
        <f t="shared" si="312"/>
        <v>0</v>
      </c>
      <c r="P5005" s="903">
        <f t="shared" si="313"/>
        <v>1</v>
      </c>
      <c r="Q5005" s="893">
        <f t="shared" si="314"/>
        <v>5</v>
      </c>
      <c r="R5005" s="894">
        <f t="shared" si="315"/>
        <v>0</v>
      </c>
    </row>
    <row r="5006" spans="1:18">
      <c r="A5006" s="905"/>
      <c r="B5006" s="906"/>
      <c r="C5006" s="907">
        <v>25</v>
      </c>
      <c r="D5006" s="907" t="s">
        <v>279</v>
      </c>
      <c r="E5006" s="925" t="s">
        <v>5656</v>
      </c>
      <c r="F5006" s="926" t="s">
        <v>2690</v>
      </c>
      <c r="G5006" s="910"/>
      <c r="H5006" s="911">
        <v>0.35</v>
      </c>
      <c r="I5006" s="912">
        <f>VLOOKUP(E5006,[3]VLP!$B$7:$K$300,10,0)</f>
        <v>5000</v>
      </c>
      <c r="J5006" s="912">
        <f>I5006*H5006</f>
        <v>1750</v>
      </c>
      <c r="K5006" s="912" t="s">
        <v>274</v>
      </c>
      <c r="L5006" s="912"/>
      <c r="M5006" s="912"/>
      <c r="N5006" s="912"/>
      <c r="O5006" s="892">
        <f t="shared" si="312"/>
        <v>0</v>
      </c>
      <c r="P5006" s="903">
        <f t="shared" si="313"/>
        <v>1</v>
      </c>
      <c r="Q5006" s="893">
        <f t="shared" si="314"/>
        <v>4</v>
      </c>
      <c r="R5006" s="894">
        <f t="shared" si="315"/>
        <v>0</v>
      </c>
    </row>
    <row r="5007" spans="1:18">
      <c r="A5007" s="905"/>
      <c r="B5007" s="906"/>
      <c r="C5007" s="907">
        <v>127</v>
      </c>
      <c r="D5007" s="907" t="s">
        <v>279</v>
      </c>
      <c r="E5007" s="925" t="s">
        <v>5657</v>
      </c>
      <c r="F5007" s="926" t="s">
        <v>45</v>
      </c>
      <c r="G5007" s="910"/>
      <c r="H5007" s="911">
        <v>0.5</v>
      </c>
      <c r="I5007" s="912">
        <f>VLOOKUP(E5007,[3]VLP!$B$7:$K$300,10,0)</f>
        <v>25155</v>
      </c>
      <c r="J5007" s="912">
        <f>I5007*H5007</f>
        <v>12577.5</v>
      </c>
      <c r="K5007" s="912" t="s">
        <v>274</v>
      </c>
      <c r="L5007" s="912"/>
      <c r="M5007" s="912"/>
      <c r="N5007" s="912"/>
      <c r="O5007" s="892">
        <f t="shared" si="312"/>
        <v>0</v>
      </c>
      <c r="P5007" s="903">
        <f t="shared" si="313"/>
        <v>1</v>
      </c>
      <c r="Q5007" s="893">
        <f t="shared" si="314"/>
        <v>3</v>
      </c>
      <c r="R5007" s="894">
        <f t="shared" si="315"/>
        <v>0</v>
      </c>
    </row>
    <row r="5008" spans="1:18" s="904" customFormat="1">
      <c r="A5008" s="895"/>
      <c r="B5008" s="896"/>
      <c r="C5008" s="897"/>
      <c r="D5008" s="897"/>
      <c r="E5008" s="924" t="s">
        <v>276</v>
      </c>
      <c r="F5008" s="927"/>
      <c r="G5008" s="928"/>
      <c r="H5008" s="901"/>
      <c r="I5008" s="902"/>
      <c r="J5008" s="902"/>
      <c r="K5008" s="912" t="s">
        <v>274</v>
      </c>
      <c r="L5008" s="902"/>
      <c r="M5008" s="902"/>
      <c r="N5008" s="902"/>
      <c r="O5008" s="892">
        <f t="shared" si="312"/>
        <v>0</v>
      </c>
      <c r="P5008" s="903">
        <f t="shared" si="313"/>
        <v>1</v>
      </c>
      <c r="Q5008" s="893">
        <f t="shared" si="314"/>
        <v>2</v>
      </c>
      <c r="R5008" s="894">
        <f t="shared" si="315"/>
        <v>0</v>
      </c>
    </row>
    <row r="5009" spans="1:18">
      <c r="A5009" s="905"/>
      <c r="B5009" s="906"/>
      <c r="C5009" s="907">
        <v>740</v>
      </c>
      <c r="D5009" s="907" t="s">
        <v>12</v>
      </c>
      <c r="E5009" s="908" t="s">
        <v>4008</v>
      </c>
      <c r="F5009" s="909" t="s">
        <v>2674</v>
      </c>
      <c r="G5009" s="910"/>
      <c r="H5009" s="911">
        <v>39.04</v>
      </c>
      <c r="I5009" s="912"/>
      <c r="J5009" s="912"/>
      <c r="K5009" s="912">
        <f>VLOOKUP(E5009,[5]ĐMNC!$A$7:$F$67,4,0)</f>
        <v>221125</v>
      </c>
      <c r="L5009" s="912">
        <f>H5009*K5009</f>
        <v>8632720</v>
      </c>
      <c r="M5009" s="912"/>
      <c r="N5009" s="912"/>
      <c r="O5009" s="892">
        <f t="shared" si="312"/>
        <v>0</v>
      </c>
      <c r="P5009" s="903">
        <f t="shared" si="313"/>
        <v>1</v>
      </c>
      <c r="Q5009" s="893">
        <f t="shared" si="314"/>
        <v>1</v>
      </c>
      <c r="R5009" s="894">
        <f t="shared" si="315"/>
        <v>0</v>
      </c>
    </row>
    <row r="5010" spans="1:18" s="847" customFormat="1">
      <c r="A5010" s="905"/>
      <c r="B5010" s="914" t="s">
        <v>1418</v>
      </c>
      <c r="C5010" s="915"/>
      <c r="D5010" s="915"/>
      <c r="E5010" s="916" t="s">
        <v>5663</v>
      </c>
      <c r="F5010" s="917" t="s">
        <v>150</v>
      </c>
      <c r="G5010" s="918"/>
      <c r="H5010" s="919"/>
      <c r="I5010" s="920"/>
      <c r="J5010" s="891">
        <f>SUM(J5011:J5016)</f>
        <v>15827.5</v>
      </c>
      <c r="K5010" s="891"/>
      <c r="L5010" s="891">
        <f>SUM(L5011:L5016)</f>
        <v>11396782.5</v>
      </c>
      <c r="M5010" s="891"/>
      <c r="N5010" s="891">
        <f>SUM(N5011:N5016)</f>
        <v>0</v>
      </c>
      <c r="O5010" s="892">
        <f t="shared" si="312"/>
        <v>1</v>
      </c>
      <c r="P5010" s="903">
        <f t="shared" si="313"/>
        <v>0</v>
      </c>
      <c r="Q5010" s="893">
        <f t="shared" si="314"/>
        <v>0</v>
      </c>
      <c r="R5010" s="894">
        <f t="shared" si="315"/>
        <v>6</v>
      </c>
    </row>
    <row r="5011" spans="1:18" s="904" customFormat="1">
      <c r="A5011" s="895"/>
      <c r="B5011" s="896"/>
      <c r="C5011" s="897"/>
      <c r="D5011" s="897"/>
      <c r="E5011" s="898" t="s">
        <v>108</v>
      </c>
      <c r="F5011" s="899"/>
      <c r="G5011" s="900"/>
      <c r="H5011" s="901"/>
      <c r="I5011" s="902"/>
      <c r="J5011" s="902"/>
      <c r="K5011" s="912" t="s">
        <v>274</v>
      </c>
      <c r="L5011" s="902"/>
      <c r="M5011" s="902"/>
      <c r="N5011" s="902"/>
      <c r="O5011" s="892">
        <f t="shared" si="312"/>
        <v>0</v>
      </c>
      <c r="P5011" s="903">
        <f t="shared" si="313"/>
        <v>1</v>
      </c>
      <c r="Q5011" s="893">
        <f t="shared" si="314"/>
        <v>6</v>
      </c>
      <c r="R5011" s="894">
        <f t="shared" si="315"/>
        <v>0</v>
      </c>
    </row>
    <row r="5012" spans="1:18">
      <c r="A5012" s="905"/>
      <c r="B5012" s="906"/>
      <c r="C5012" s="907">
        <v>66</v>
      </c>
      <c r="D5012" s="907" t="s">
        <v>279</v>
      </c>
      <c r="E5012" s="925" t="s">
        <v>2682</v>
      </c>
      <c r="F5012" s="926" t="s">
        <v>45</v>
      </c>
      <c r="G5012" s="910"/>
      <c r="H5012" s="911">
        <v>0.3</v>
      </c>
      <c r="I5012" s="912">
        <f>VLOOKUP(E5012,[3]VLP!$B$7:$K$300,10,0)</f>
        <v>5000</v>
      </c>
      <c r="J5012" s="912">
        <f>I5012*H5012</f>
        <v>1500</v>
      </c>
      <c r="K5012" s="912" t="s">
        <v>274</v>
      </c>
      <c r="L5012" s="912"/>
      <c r="M5012" s="912"/>
      <c r="N5012" s="912"/>
      <c r="O5012" s="892">
        <f t="shared" si="312"/>
        <v>0</v>
      </c>
      <c r="P5012" s="903">
        <f t="shared" si="313"/>
        <v>1</v>
      </c>
      <c r="Q5012" s="893">
        <f t="shared" si="314"/>
        <v>5</v>
      </c>
      <c r="R5012" s="894">
        <f t="shared" si="315"/>
        <v>0</v>
      </c>
    </row>
    <row r="5013" spans="1:18">
      <c r="A5013" s="905"/>
      <c r="B5013" s="906"/>
      <c r="C5013" s="907">
        <v>25</v>
      </c>
      <c r="D5013" s="907" t="s">
        <v>279</v>
      </c>
      <c r="E5013" s="925" t="s">
        <v>5656</v>
      </c>
      <c r="F5013" s="926" t="s">
        <v>2690</v>
      </c>
      <c r="G5013" s="910"/>
      <c r="H5013" s="911">
        <v>0.35</v>
      </c>
      <c r="I5013" s="912">
        <f>VLOOKUP(E5013,[3]VLP!$B$7:$K$300,10,0)</f>
        <v>5000</v>
      </c>
      <c r="J5013" s="912">
        <f>I5013*H5013</f>
        <v>1750</v>
      </c>
      <c r="K5013" s="912" t="s">
        <v>274</v>
      </c>
      <c r="L5013" s="912"/>
      <c r="M5013" s="912"/>
      <c r="N5013" s="912"/>
      <c r="O5013" s="892">
        <f t="shared" si="312"/>
        <v>0</v>
      </c>
      <c r="P5013" s="903">
        <f t="shared" si="313"/>
        <v>1</v>
      </c>
      <c r="Q5013" s="893">
        <f t="shared" si="314"/>
        <v>4</v>
      </c>
      <c r="R5013" s="894">
        <f t="shared" si="315"/>
        <v>0</v>
      </c>
    </row>
    <row r="5014" spans="1:18">
      <c r="A5014" s="905"/>
      <c r="B5014" s="906"/>
      <c r="C5014" s="907">
        <v>127</v>
      </c>
      <c r="D5014" s="907" t="s">
        <v>279</v>
      </c>
      <c r="E5014" s="925" t="s">
        <v>5657</v>
      </c>
      <c r="F5014" s="926" t="s">
        <v>45</v>
      </c>
      <c r="G5014" s="910"/>
      <c r="H5014" s="911">
        <v>0.5</v>
      </c>
      <c r="I5014" s="912">
        <f>VLOOKUP(E5014,[3]VLP!$B$7:$K$300,10,0)</f>
        <v>25155</v>
      </c>
      <c r="J5014" s="912">
        <f>I5014*H5014</f>
        <v>12577.5</v>
      </c>
      <c r="K5014" s="912" t="s">
        <v>274</v>
      </c>
      <c r="L5014" s="912"/>
      <c r="M5014" s="912"/>
      <c r="N5014" s="912"/>
      <c r="O5014" s="892">
        <f t="shared" si="312"/>
        <v>0</v>
      </c>
      <c r="P5014" s="903">
        <f t="shared" si="313"/>
        <v>1</v>
      </c>
      <c r="Q5014" s="893">
        <f t="shared" si="314"/>
        <v>3</v>
      </c>
      <c r="R5014" s="894">
        <f t="shared" si="315"/>
        <v>0</v>
      </c>
    </row>
    <row r="5015" spans="1:18" s="904" customFormat="1">
      <c r="A5015" s="895"/>
      <c r="B5015" s="896"/>
      <c r="C5015" s="897"/>
      <c r="D5015" s="897"/>
      <c r="E5015" s="924" t="s">
        <v>276</v>
      </c>
      <c r="F5015" s="927"/>
      <c r="G5015" s="928"/>
      <c r="H5015" s="901"/>
      <c r="I5015" s="902"/>
      <c r="J5015" s="902"/>
      <c r="K5015" s="912" t="s">
        <v>274</v>
      </c>
      <c r="L5015" s="902"/>
      <c r="M5015" s="902"/>
      <c r="N5015" s="902"/>
      <c r="O5015" s="892">
        <f t="shared" si="312"/>
        <v>0</v>
      </c>
      <c r="P5015" s="903">
        <f t="shared" si="313"/>
        <v>1</v>
      </c>
      <c r="Q5015" s="893">
        <f t="shared" si="314"/>
        <v>2</v>
      </c>
      <c r="R5015" s="894">
        <f t="shared" si="315"/>
        <v>0</v>
      </c>
    </row>
    <row r="5016" spans="1:18">
      <c r="A5016" s="905"/>
      <c r="B5016" s="906"/>
      <c r="C5016" s="907">
        <v>740</v>
      </c>
      <c r="D5016" s="907" t="s">
        <v>12</v>
      </c>
      <c r="E5016" s="908" t="s">
        <v>4008</v>
      </c>
      <c r="F5016" s="909" t="s">
        <v>2674</v>
      </c>
      <c r="G5016" s="910"/>
      <c r="H5016" s="911">
        <v>51.54</v>
      </c>
      <c r="I5016" s="912"/>
      <c r="J5016" s="912"/>
      <c r="K5016" s="912">
        <f>VLOOKUP(E5016,[5]ĐMNC!$A$7:$F$67,4,0)</f>
        <v>221125</v>
      </c>
      <c r="L5016" s="912">
        <f>H5016*K5016</f>
        <v>11396782.5</v>
      </c>
      <c r="M5016" s="912"/>
      <c r="N5016" s="912"/>
      <c r="O5016" s="892">
        <f t="shared" si="312"/>
        <v>0</v>
      </c>
      <c r="P5016" s="903">
        <f t="shared" si="313"/>
        <v>1</v>
      </c>
      <c r="Q5016" s="893">
        <f t="shared" si="314"/>
        <v>1</v>
      </c>
      <c r="R5016" s="894">
        <f t="shared" si="315"/>
        <v>0</v>
      </c>
    </row>
    <row r="5017" spans="1:18" s="847" customFormat="1">
      <c r="A5017" s="905"/>
      <c r="B5017" s="914" t="s">
        <v>151</v>
      </c>
      <c r="C5017" s="915"/>
      <c r="D5017" s="915"/>
      <c r="E5017" s="916" t="s">
        <v>5664</v>
      </c>
      <c r="F5017" s="917" t="s">
        <v>150</v>
      </c>
      <c r="G5017" s="918"/>
      <c r="H5017" s="919"/>
      <c r="I5017" s="920"/>
      <c r="J5017" s="891">
        <f>SUM(J5018:J5023)</f>
        <v>15827.5</v>
      </c>
      <c r="K5017" s="891"/>
      <c r="L5017" s="891">
        <f>SUM(L5018:L5023)</f>
        <v>13676581.25</v>
      </c>
      <c r="M5017" s="891"/>
      <c r="N5017" s="891">
        <f>SUM(N5018:N5023)</f>
        <v>0</v>
      </c>
      <c r="O5017" s="892">
        <f t="shared" si="312"/>
        <v>1</v>
      </c>
      <c r="P5017" s="903">
        <f t="shared" si="313"/>
        <v>0</v>
      </c>
      <c r="Q5017" s="893">
        <f t="shared" si="314"/>
        <v>0</v>
      </c>
      <c r="R5017" s="894">
        <f t="shared" si="315"/>
        <v>6</v>
      </c>
    </row>
    <row r="5018" spans="1:18" s="904" customFormat="1">
      <c r="A5018" s="895"/>
      <c r="B5018" s="896"/>
      <c r="C5018" s="897"/>
      <c r="D5018" s="897"/>
      <c r="E5018" s="898" t="s">
        <v>108</v>
      </c>
      <c r="F5018" s="899"/>
      <c r="G5018" s="900"/>
      <c r="H5018" s="901"/>
      <c r="I5018" s="902"/>
      <c r="J5018" s="902"/>
      <c r="K5018" s="912" t="s">
        <v>274</v>
      </c>
      <c r="L5018" s="902"/>
      <c r="M5018" s="902"/>
      <c r="N5018" s="902"/>
      <c r="O5018" s="892">
        <f t="shared" si="312"/>
        <v>0</v>
      </c>
      <c r="P5018" s="903">
        <f t="shared" si="313"/>
        <v>1</v>
      </c>
      <c r="Q5018" s="893">
        <f t="shared" si="314"/>
        <v>6</v>
      </c>
      <c r="R5018" s="894">
        <f t="shared" si="315"/>
        <v>0</v>
      </c>
    </row>
    <row r="5019" spans="1:18">
      <c r="A5019" s="905"/>
      <c r="B5019" s="906"/>
      <c r="C5019" s="907">
        <v>66</v>
      </c>
      <c r="D5019" s="907" t="s">
        <v>279</v>
      </c>
      <c r="E5019" s="925" t="s">
        <v>2682</v>
      </c>
      <c r="F5019" s="926" t="s">
        <v>45</v>
      </c>
      <c r="G5019" s="910"/>
      <c r="H5019" s="911">
        <v>0.3</v>
      </c>
      <c r="I5019" s="912">
        <f>VLOOKUP(E5019,[3]VLP!$B$7:$K$300,10,0)</f>
        <v>5000</v>
      </c>
      <c r="J5019" s="912">
        <f>I5019*H5019</f>
        <v>1500</v>
      </c>
      <c r="K5019" s="912" t="s">
        <v>274</v>
      </c>
      <c r="L5019" s="912"/>
      <c r="M5019" s="912"/>
      <c r="N5019" s="912"/>
      <c r="O5019" s="892">
        <f t="shared" si="312"/>
        <v>0</v>
      </c>
      <c r="P5019" s="903">
        <f t="shared" si="313"/>
        <v>1</v>
      </c>
      <c r="Q5019" s="893">
        <f t="shared" si="314"/>
        <v>5</v>
      </c>
      <c r="R5019" s="894">
        <f t="shared" si="315"/>
        <v>0</v>
      </c>
    </row>
    <row r="5020" spans="1:18">
      <c r="A5020" s="905"/>
      <c r="B5020" s="906"/>
      <c r="C5020" s="907">
        <v>25</v>
      </c>
      <c r="D5020" s="907" t="s">
        <v>279</v>
      </c>
      <c r="E5020" s="925" t="s">
        <v>5656</v>
      </c>
      <c r="F5020" s="926" t="s">
        <v>2690</v>
      </c>
      <c r="G5020" s="910"/>
      <c r="H5020" s="911">
        <v>0.35</v>
      </c>
      <c r="I5020" s="912">
        <f>VLOOKUP(E5020,[3]VLP!$B$7:$K$300,10,0)</f>
        <v>5000</v>
      </c>
      <c r="J5020" s="912">
        <f>I5020*H5020</f>
        <v>1750</v>
      </c>
      <c r="K5020" s="912" t="s">
        <v>274</v>
      </c>
      <c r="L5020" s="912"/>
      <c r="M5020" s="912"/>
      <c r="N5020" s="912"/>
      <c r="O5020" s="892">
        <f t="shared" si="312"/>
        <v>0</v>
      </c>
      <c r="P5020" s="903">
        <f t="shared" si="313"/>
        <v>1</v>
      </c>
      <c r="Q5020" s="893">
        <f t="shared" si="314"/>
        <v>4</v>
      </c>
      <c r="R5020" s="894">
        <f t="shared" si="315"/>
        <v>0</v>
      </c>
    </row>
    <row r="5021" spans="1:18">
      <c r="A5021" s="905"/>
      <c r="B5021" s="906"/>
      <c r="C5021" s="907">
        <v>127</v>
      </c>
      <c r="D5021" s="907" t="s">
        <v>279</v>
      </c>
      <c r="E5021" s="925" t="s">
        <v>5657</v>
      </c>
      <c r="F5021" s="926" t="s">
        <v>45</v>
      </c>
      <c r="G5021" s="910"/>
      <c r="H5021" s="911">
        <v>0.5</v>
      </c>
      <c r="I5021" s="912">
        <f>VLOOKUP(E5021,[3]VLP!$B$7:$K$300,10,0)</f>
        <v>25155</v>
      </c>
      <c r="J5021" s="912">
        <f>I5021*H5021</f>
        <v>12577.5</v>
      </c>
      <c r="K5021" s="912" t="s">
        <v>274</v>
      </c>
      <c r="L5021" s="912"/>
      <c r="M5021" s="912"/>
      <c r="N5021" s="912"/>
      <c r="O5021" s="892">
        <f t="shared" si="312"/>
        <v>0</v>
      </c>
      <c r="P5021" s="903">
        <f t="shared" si="313"/>
        <v>1</v>
      </c>
      <c r="Q5021" s="893">
        <f t="shared" si="314"/>
        <v>3</v>
      </c>
      <c r="R5021" s="894">
        <f t="shared" si="315"/>
        <v>0</v>
      </c>
    </row>
    <row r="5022" spans="1:18" s="904" customFormat="1">
      <c r="A5022" s="895"/>
      <c r="B5022" s="896"/>
      <c r="C5022" s="897"/>
      <c r="D5022" s="897"/>
      <c r="E5022" s="924" t="s">
        <v>276</v>
      </c>
      <c r="F5022" s="927"/>
      <c r="G5022" s="928"/>
      <c r="H5022" s="901"/>
      <c r="I5022" s="902"/>
      <c r="J5022" s="902"/>
      <c r="K5022" s="912" t="s">
        <v>274</v>
      </c>
      <c r="L5022" s="902"/>
      <c r="M5022" s="902"/>
      <c r="N5022" s="902"/>
      <c r="O5022" s="892">
        <f t="shared" si="312"/>
        <v>0</v>
      </c>
      <c r="P5022" s="903">
        <f t="shared" si="313"/>
        <v>1</v>
      </c>
      <c r="Q5022" s="893">
        <f t="shared" si="314"/>
        <v>2</v>
      </c>
      <c r="R5022" s="894">
        <f t="shared" si="315"/>
        <v>0</v>
      </c>
    </row>
    <row r="5023" spans="1:18">
      <c r="A5023" s="905"/>
      <c r="B5023" s="906"/>
      <c r="C5023" s="907">
        <v>740</v>
      </c>
      <c r="D5023" s="907" t="s">
        <v>12</v>
      </c>
      <c r="E5023" s="908" t="s">
        <v>4008</v>
      </c>
      <c r="F5023" s="909" t="s">
        <v>2674</v>
      </c>
      <c r="G5023" s="910"/>
      <c r="H5023" s="911">
        <v>61.85</v>
      </c>
      <c r="I5023" s="912"/>
      <c r="J5023" s="912"/>
      <c r="K5023" s="912">
        <f>VLOOKUP(E5023,[5]ĐMNC!$A$7:$F$67,4,0)</f>
        <v>221125</v>
      </c>
      <c r="L5023" s="912">
        <f>H5023*K5023</f>
        <v>13676581.25</v>
      </c>
      <c r="M5023" s="912"/>
      <c r="N5023" s="912"/>
      <c r="O5023" s="892">
        <f t="shared" ref="O5023:O5086" si="316">IF(AND(B5023&lt;&gt;"",D5023=""),1,0)</f>
        <v>0</v>
      </c>
      <c r="P5023" s="903">
        <f t="shared" si="313"/>
        <v>1</v>
      </c>
      <c r="Q5023" s="893">
        <f t="shared" si="314"/>
        <v>1</v>
      </c>
      <c r="R5023" s="894">
        <f t="shared" si="315"/>
        <v>0</v>
      </c>
    </row>
    <row r="5024" spans="1:18" s="847" customFormat="1" ht="31.5">
      <c r="A5024" s="905" t="s">
        <v>5665</v>
      </c>
      <c r="B5024" s="953" t="s">
        <v>5666</v>
      </c>
      <c r="C5024" s="915"/>
      <c r="D5024" s="915"/>
      <c r="E5024" s="916" t="s">
        <v>5667</v>
      </c>
      <c r="F5024" s="917" t="s">
        <v>150</v>
      </c>
      <c r="G5024" s="918"/>
      <c r="H5024" s="919"/>
      <c r="I5024" s="920"/>
      <c r="J5024" s="891">
        <f>SUM(J5025:J5035)</f>
        <v>38160</v>
      </c>
      <c r="K5024" s="891" t="s">
        <v>274</v>
      </c>
      <c r="L5024" s="891">
        <f>SUM(L5025:L5035)</f>
        <v>3213841.52</v>
      </c>
      <c r="M5024" s="891"/>
      <c r="N5024" s="891">
        <f>SUM(N5025:N5035)</f>
        <v>40738.35</v>
      </c>
      <c r="O5024" s="892">
        <f t="shared" si="316"/>
        <v>1</v>
      </c>
      <c r="P5024" s="903">
        <f t="shared" si="313"/>
        <v>0</v>
      </c>
      <c r="Q5024" s="893">
        <f t="shared" si="314"/>
        <v>0</v>
      </c>
      <c r="R5024" s="894">
        <f t="shared" si="315"/>
        <v>11</v>
      </c>
    </row>
    <row r="5025" spans="1:18" s="904" customFormat="1">
      <c r="A5025" s="895"/>
      <c r="B5025" s="896"/>
      <c r="C5025" s="897"/>
      <c r="D5025" s="897"/>
      <c r="E5025" s="898" t="s">
        <v>108</v>
      </c>
      <c r="F5025" s="899"/>
      <c r="G5025" s="900"/>
      <c r="H5025" s="901"/>
      <c r="I5025" s="902"/>
      <c r="J5025" s="902"/>
      <c r="K5025" s="912" t="s">
        <v>274</v>
      </c>
      <c r="L5025" s="902"/>
      <c r="M5025" s="902"/>
      <c r="N5025" s="902"/>
      <c r="O5025" s="892">
        <f t="shared" si="316"/>
        <v>0</v>
      </c>
      <c r="P5025" s="903">
        <f t="shared" si="313"/>
        <v>1</v>
      </c>
      <c r="Q5025" s="893">
        <f t="shared" si="314"/>
        <v>11</v>
      </c>
      <c r="R5025" s="894">
        <f t="shared" si="315"/>
        <v>0</v>
      </c>
    </row>
    <row r="5026" spans="1:18" s="904" customFormat="1">
      <c r="A5026" s="895"/>
      <c r="B5026" s="896"/>
      <c r="C5026" s="897"/>
      <c r="D5026" s="897"/>
      <c r="E5026" s="898" t="s">
        <v>108</v>
      </c>
      <c r="F5026" s="899"/>
      <c r="G5026" s="900"/>
      <c r="H5026" s="901"/>
      <c r="I5026" s="902"/>
      <c r="J5026" s="902"/>
      <c r="K5026" s="912" t="s">
        <v>274</v>
      </c>
      <c r="L5026" s="902"/>
      <c r="M5026" s="902"/>
      <c r="N5026" s="902"/>
      <c r="O5026" s="892">
        <f t="shared" si="316"/>
        <v>0</v>
      </c>
      <c r="P5026" s="903">
        <f t="shared" si="313"/>
        <v>1</v>
      </c>
      <c r="Q5026" s="893">
        <f t="shared" si="314"/>
        <v>10</v>
      </c>
      <c r="R5026" s="894">
        <f t="shared" si="315"/>
        <v>0</v>
      </c>
    </row>
    <row r="5027" spans="1:18">
      <c r="A5027" s="905"/>
      <c r="B5027" s="906"/>
      <c r="C5027" s="907">
        <v>44</v>
      </c>
      <c r="D5027" s="907" t="s">
        <v>279</v>
      </c>
      <c r="E5027" s="925" t="s">
        <v>2681</v>
      </c>
      <c r="F5027" s="926" t="s">
        <v>45</v>
      </c>
      <c r="G5027" s="989"/>
      <c r="H5027" s="911">
        <v>0.22</v>
      </c>
      <c r="I5027" s="912">
        <f>VLOOKUP(E5027,[3]VLP!$B$7:$K$300,10,0)</f>
        <v>23000</v>
      </c>
      <c r="J5027" s="912">
        <f>I5027*H5027</f>
        <v>5060</v>
      </c>
      <c r="K5027" s="912" t="s">
        <v>274</v>
      </c>
      <c r="L5027" s="912"/>
      <c r="M5027" s="912"/>
      <c r="N5027" s="912"/>
      <c r="O5027" s="892">
        <f t="shared" si="316"/>
        <v>0</v>
      </c>
      <c r="P5027" s="903">
        <f t="shared" si="313"/>
        <v>1</v>
      </c>
      <c r="Q5027" s="893">
        <f t="shared" si="314"/>
        <v>9</v>
      </c>
      <c r="R5027" s="894">
        <f t="shared" si="315"/>
        <v>0</v>
      </c>
    </row>
    <row r="5028" spans="1:18">
      <c r="A5028" s="905"/>
      <c r="B5028" s="906"/>
      <c r="C5028" s="907">
        <v>124</v>
      </c>
      <c r="D5028" s="907" t="s">
        <v>279</v>
      </c>
      <c r="E5028" s="925" t="s">
        <v>5432</v>
      </c>
      <c r="F5028" s="926" t="s">
        <v>3272</v>
      </c>
      <c r="G5028" s="989"/>
      <c r="H5028" s="911">
        <v>0.18</v>
      </c>
      <c r="I5028" s="912">
        <f>VLOOKUP(E5028,[3]VLP!$B$7:$K$300,10,0)</f>
        <v>20000</v>
      </c>
      <c r="J5028" s="912">
        <f>I5028*H5028</f>
        <v>3600</v>
      </c>
      <c r="K5028" s="912" t="s">
        <v>274</v>
      </c>
      <c r="L5028" s="912"/>
      <c r="M5028" s="912"/>
      <c r="N5028" s="912"/>
      <c r="O5028" s="892">
        <f t="shared" si="316"/>
        <v>0</v>
      </c>
      <c r="P5028" s="903">
        <f t="shared" si="313"/>
        <v>1</v>
      </c>
      <c r="Q5028" s="893">
        <f t="shared" si="314"/>
        <v>8</v>
      </c>
      <c r="R5028" s="894">
        <f t="shared" si="315"/>
        <v>0</v>
      </c>
    </row>
    <row r="5029" spans="1:18">
      <c r="A5029" s="905"/>
      <c r="B5029" s="906"/>
      <c r="C5029" s="907">
        <v>29</v>
      </c>
      <c r="D5029" s="907" t="s">
        <v>279</v>
      </c>
      <c r="E5029" s="925" t="s">
        <v>3178</v>
      </c>
      <c r="F5029" s="926" t="s">
        <v>45</v>
      </c>
      <c r="G5029" s="910"/>
      <c r="H5029" s="911">
        <v>1.47</v>
      </c>
      <c r="I5029" s="912">
        <f>VLOOKUP(E5029,[3]VLP!$B$7:$K$300,10,0)</f>
        <v>20000</v>
      </c>
      <c r="J5029" s="912">
        <f>I5029*H5029</f>
        <v>29400</v>
      </c>
      <c r="K5029" s="912" t="s">
        <v>274</v>
      </c>
      <c r="L5029" s="912"/>
      <c r="M5029" s="912"/>
      <c r="N5029" s="912"/>
      <c r="O5029" s="892">
        <f t="shared" si="316"/>
        <v>0</v>
      </c>
      <c r="P5029" s="903">
        <f t="shared" si="313"/>
        <v>1</v>
      </c>
      <c r="Q5029" s="893">
        <f t="shared" si="314"/>
        <v>7</v>
      </c>
      <c r="R5029" s="894">
        <f t="shared" si="315"/>
        <v>0</v>
      </c>
    </row>
    <row r="5030" spans="1:18">
      <c r="A5030" s="905"/>
      <c r="B5030" s="906"/>
      <c r="C5030" s="907">
        <v>108</v>
      </c>
      <c r="D5030" s="907" t="s">
        <v>279</v>
      </c>
      <c r="E5030" s="925" t="s">
        <v>3244</v>
      </c>
      <c r="F5030" s="926" t="s">
        <v>51</v>
      </c>
      <c r="G5030" s="910"/>
      <c r="H5030" s="911">
        <v>0.02</v>
      </c>
      <c r="I5030" s="912">
        <f>VLOOKUP(E5030,[3]VLP!$B$7:$K$300,10,0)</f>
        <v>5000</v>
      </c>
      <c r="J5030" s="912">
        <f>I5030*H5030</f>
        <v>100</v>
      </c>
      <c r="K5030" s="912" t="s">
        <v>274</v>
      </c>
      <c r="L5030" s="912"/>
      <c r="M5030" s="912"/>
      <c r="N5030" s="912"/>
      <c r="O5030" s="892">
        <f t="shared" si="316"/>
        <v>0</v>
      </c>
      <c r="P5030" s="903">
        <f t="shared" si="313"/>
        <v>1</v>
      </c>
      <c r="Q5030" s="893">
        <f t="shared" si="314"/>
        <v>6</v>
      </c>
      <c r="R5030" s="894">
        <f t="shared" si="315"/>
        <v>0</v>
      </c>
    </row>
    <row r="5031" spans="1:18" s="904" customFormat="1">
      <c r="A5031" s="895"/>
      <c r="B5031" s="896"/>
      <c r="C5031" s="897"/>
      <c r="D5031" s="897"/>
      <c r="E5031" s="924" t="s">
        <v>276</v>
      </c>
      <c r="F5031" s="927"/>
      <c r="G5031" s="928"/>
      <c r="H5031" s="901"/>
      <c r="I5031" s="902"/>
      <c r="J5031" s="902"/>
      <c r="K5031" s="912" t="s">
        <v>274</v>
      </c>
      <c r="L5031" s="902"/>
      <c r="M5031" s="902"/>
      <c r="N5031" s="902"/>
      <c r="O5031" s="892">
        <f t="shared" si="316"/>
        <v>0</v>
      </c>
      <c r="P5031" s="903">
        <f t="shared" si="313"/>
        <v>1</v>
      </c>
      <c r="Q5031" s="893">
        <f t="shared" si="314"/>
        <v>5</v>
      </c>
      <c r="R5031" s="894">
        <f t="shared" si="315"/>
        <v>0</v>
      </c>
    </row>
    <row r="5032" spans="1:18">
      <c r="A5032" s="905"/>
      <c r="B5032" s="906"/>
      <c r="C5032" s="907">
        <v>745</v>
      </c>
      <c r="D5032" s="907" t="s">
        <v>12</v>
      </c>
      <c r="E5032" s="908" t="s">
        <v>5518</v>
      </c>
      <c r="F5032" s="909" t="s">
        <v>2674</v>
      </c>
      <c r="G5032" s="910"/>
      <c r="H5032" s="911">
        <v>13.36</v>
      </c>
      <c r="I5032" s="912"/>
      <c r="J5032" s="912"/>
      <c r="K5032" s="912">
        <f>VLOOKUP(E5032,[5]ĐMNC!$A$7:$F$67,4,0)</f>
        <v>240557</v>
      </c>
      <c r="L5032" s="912">
        <f>H5032*K5032</f>
        <v>3213841.52</v>
      </c>
      <c r="M5032" s="912"/>
      <c r="N5032" s="912"/>
      <c r="O5032" s="892">
        <f t="shared" si="316"/>
        <v>0</v>
      </c>
      <c r="P5032" s="903">
        <f t="shared" ref="P5032:P5095" si="317">IF(O5032=0,1,0)</f>
        <v>1</v>
      </c>
      <c r="Q5032" s="893">
        <f t="shared" ref="Q5032:Q5095" si="318">IF(P5032=0,0,P5032+Q5033)</f>
        <v>4</v>
      </c>
      <c r="R5032" s="894">
        <f t="shared" ref="R5032:R5095" si="319">IF(Q5032=0,Q5033,0)</f>
        <v>0</v>
      </c>
    </row>
    <row r="5033" spans="1:18" s="904" customFormat="1">
      <c r="A5033" s="895"/>
      <c r="B5033" s="896"/>
      <c r="C5033" s="897"/>
      <c r="D5033" s="897"/>
      <c r="E5033" s="898" t="s">
        <v>3914</v>
      </c>
      <c r="F5033" s="899"/>
      <c r="G5033" s="928"/>
      <c r="H5033" s="901"/>
      <c r="I5033" s="902"/>
      <c r="J5033" s="902"/>
      <c r="K5033" s="912" t="s">
        <v>274</v>
      </c>
      <c r="L5033" s="902"/>
      <c r="M5033" s="902"/>
      <c r="N5033" s="902"/>
      <c r="O5033" s="892">
        <f t="shared" si="316"/>
        <v>0</v>
      </c>
      <c r="P5033" s="903">
        <f t="shared" si="317"/>
        <v>1</v>
      </c>
      <c r="Q5033" s="893">
        <f t="shared" si="318"/>
        <v>3</v>
      </c>
      <c r="R5033" s="894">
        <f t="shared" si="319"/>
        <v>0</v>
      </c>
    </row>
    <row r="5034" spans="1:18">
      <c r="A5034" s="905"/>
      <c r="B5034" s="953" t="s">
        <v>5610</v>
      </c>
      <c r="C5034" s="907">
        <v>823</v>
      </c>
      <c r="D5034" s="907" t="s">
        <v>93</v>
      </c>
      <c r="E5034" s="925" t="s">
        <v>5611</v>
      </c>
      <c r="F5034" s="909" t="s">
        <v>2673</v>
      </c>
      <c r="G5034" s="910"/>
      <c r="H5034" s="911">
        <v>0.11</v>
      </c>
      <c r="I5034" s="912"/>
      <c r="J5034" s="912"/>
      <c r="K5034" s="912"/>
      <c r="L5034" s="912"/>
      <c r="M5034" s="912">
        <f>VLOOKUP(B5034,MTC!$B$9:$S$933,12,0)</f>
        <v>0</v>
      </c>
      <c r="N5034" s="912">
        <f>M5034*H5034</f>
        <v>0</v>
      </c>
      <c r="O5034" s="892">
        <f t="shared" si="316"/>
        <v>0</v>
      </c>
      <c r="P5034" s="903">
        <f t="shared" si="317"/>
        <v>1</v>
      </c>
      <c r="Q5034" s="893">
        <f t="shared" si="318"/>
        <v>2</v>
      </c>
      <c r="R5034" s="894">
        <f t="shared" si="319"/>
        <v>0</v>
      </c>
    </row>
    <row r="5035" spans="1:18">
      <c r="A5035" s="905"/>
      <c r="B5035" s="906" t="s">
        <v>5668</v>
      </c>
      <c r="C5035" s="907">
        <v>821</v>
      </c>
      <c r="D5035" s="907" t="s">
        <v>93</v>
      </c>
      <c r="E5035" s="925" t="s">
        <v>5669</v>
      </c>
      <c r="F5035" s="909" t="s">
        <v>2673</v>
      </c>
      <c r="G5035" s="910"/>
      <c r="H5035" s="911">
        <v>0.15</v>
      </c>
      <c r="I5035" s="912"/>
      <c r="J5035" s="912"/>
      <c r="K5035" s="912"/>
      <c r="L5035" s="912"/>
      <c r="M5035" s="912">
        <f>VLOOKUP(B5035,MTC!$B$9:$S$933,12,0)</f>
        <v>271589</v>
      </c>
      <c r="N5035" s="912">
        <f>M5035*H5035</f>
        <v>40738.35</v>
      </c>
      <c r="O5035" s="892">
        <f t="shared" si="316"/>
        <v>0</v>
      </c>
      <c r="P5035" s="903">
        <f t="shared" si="317"/>
        <v>1</v>
      </c>
      <c r="Q5035" s="893">
        <f t="shared" si="318"/>
        <v>1</v>
      </c>
      <c r="R5035" s="894">
        <f t="shared" si="319"/>
        <v>0</v>
      </c>
    </row>
    <row r="5036" spans="1:18" s="847" customFormat="1" ht="31.5">
      <c r="A5036" s="905"/>
      <c r="B5036" s="914" t="s">
        <v>5670</v>
      </c>
      <c r="C5036" s="915"/>
      <c r="D5036" s="915"/>
      <c r="E5036" s="916" t="s">
        <v>5671</v>
      </c>
      <c r="F5036" s="917" t="s">
        <v>150</v>
      </c>
      <c r="G5036" s="918"/>
      <c r="H5036" s="919"/>
      <c r="I5036" s="920"/>
      <c r="J5036" s="962">
        <f>SUM(J5037:J5046)</f>
        <v>52050</v>
      </c>
      <c r="K5036" s="891" t="s">
        <v>274</v>
      </c>
      <c r="L5036" s="962">
        <f>SUM(L5037:L5046)</f>
        <v>4361298.41</v>
      </c>
      <c r="M5036" s="962"/>
      <c r="N5036" s="962">
        <f>SUM(N5037:N5046)</f>
        <v>54317.8</v>
      </c>
      <c r="O5036" s="892">
        <f t="shared" si="316"/>
        <v>1</v>
      </c>
      <c r="P5036" s="903">
        <f t="shared" si="317"/>
        <v>0</v>
      </c>
      <c r="Q5036" s="893">
        <f t="shared" si="318"/>
        <v>0</v>
      </c>
      <c r="R5036" s="894">
        <f t="shared" si="319"/>
        <v>10</v>
      </c>
    </row>
    <row r="5037" spans="1:18" s="904" customFormat="1">
      <c r="A5037" s="895"/>
      <c r="B5037" s="896"/>
      <c r="C5037" s="897"/>
      <c r="D5037" s="897"/>
      <c r="E5037" s="898" t="s">
        <v>108</v>
      </c>
      <c r="F5037" s="899"/>
      <c r="G5037" s="900"/>
      <c r="H5037" s="901"/>
      <c r="I5037" s="902"/>
      <c r="J5037" s="902"/>
      <c r="K5037" s="912" t="s">
        <v>274</v>
      </c>
      <c r="L5037" s="902"/>
      <c r="M5037" s="902"/>
      <c r="N5037" s="902"/>
      <c r="O5037" s="892">
        <f t="shared" si="316"/>
        <v>0</v>
      </c>
      <c r="P5037" s="903">
        <f t="shared" si="317"/>
        <v>1</v>
      </c>
      <c r="Q5037" s="893">
        <f t="shared" si="318"/>
        <v>10</v>
      </c>
      <c r="R5037" s="894">
        <f t="shared" si="319"/>
        <v>0</v>
      </c>
    </row>
    <row r="5038" spans="1:18">
      <c r="A5038" s="905"/>
      <c r="B5038" s="906"/>
      <c r="C5038" s="907">
        <v>44</v>
      </c>
      <c r="D5038" s="907" t="s">
        <v>279</v>
      </c>
      <c r="E5038" s="925" t="s">
        <v>2681</v>
      </c>
      <c r="F5038" s="926" t="s">
        <v>45</v>
      </c>
      <c r="G5038" s="989"/>
      <c r="H5038" s="911">
        <v>0.3</v>
      </c>
      <c r="I5038" s="912">
        <f>VLOOKUP(E5038,[3]VLP!$B$7:$K$300,10,0)</f>
        <v>23000</v>
      </c>
      <c r="J5038" s="912">
        <f>I5038*H5038</f>
        <v>6900</v>
      </c>
      <c r="K5038" s="912" t="s">
        <v>274</v>
      </c>
      <c r="L5038" s="912"/>
      <c r="M5038" s="912"/>
      <c r="N5038" s="912"/>
      <c r="O5038" s="892">
        <f t="shared" si="316"/>
        <v>0</v>
      </c>
      <c r="P5038" s="903">
        <f t="shared" si="317"/>
        <v>1</v>
      </c>
      <c r="Q5038" s="893">
        <f t="shared" si="318"/>
        <v>9</v>
      </c>
      <c r="R5038" s="894">
        <f t="shared" si="319"/>
        <v>0</v>
      </c>
    </row>
    <row r="5039" spans="1:18">
      <c r="A5039" s="905"/>
      <c r="B5039" s="906"/>
      <c r="C5039" s="907">
        <v>124</v>
      </c>
      <c r="D5039" s="907" t="s">
        <v>279</v>
      </c>
      <c r="E5039" s="925" t="s">
        <v>5432</v>
      </c>
      <c r="F5039" s="926" t="s">
        <v>3272</v>
      </c>
      <c r="G5039" s="989"/>
      <c r="H5039" s="911">
        <v>0.25</v>
      </c>
      <c r="I5039" s="912">
        <f>VLOOKUP(E5039,[3]VLP!$B$7:$K$300,10,0)</f>
        <v>20000</v>
      </c>
      <c r="J5039" s="912">
        <f>I5039*H5039</f>
        <v>5000</v>
      </c>
      <c r="K5039" s="912" t="s">
        <v>274</v>
      </c>
      <c r="L5039" s="912"/>
      <c r="M5039" s="912"/>
      <c r="N5039" s="912"/>
      <c r="O5039" s="892">
        <f t="shared" si="316"/>
        <v>0</v>
      </c>
      <c r="P5039" s="903">
        <f t="shared" si="317"/>
        <v>1</v>
      </c>
      <c r="Q5039" s="893">
        <f t="shared" si="318"/>
        <v>8</v>
      </c>
      <c r="R5039" s="894">
        <f t="shared" si="319"/>
        <v>0</v>
      </c>
    </row>
    <row r="5040" spans="1:18">
      <c r="A5040" s="905"/>
      <c r="B5040" s="906"/>
      <c r="C5040" s="907">
        <v>29</v>
      </c>
      <c r="D5040" s="907" t="s">
        <v>279</v>
      </c>
      <c r="E5040" s="925" t="s">
        <v>3178</v>
      </c>
      <c r="F5040" s="926" t="s">
        <v>45</v>
      </c>
      <c r="G5040" s="910"/>
      <c r="H5040" s="911">
        <v>2</v>
      </c>
      <c r="I5040" s="912">
        <f>VLOOKUP(E5040,[3]VLP!$B$7:$K$300,10,0)</f>
        <v>20000</v>
      </c>
      <c r="J5040" s="912">
        <f>I5040*H5040</f>
        <v>40000</v>
      </c>
      <c r="K5040" s="912" t="s">
        <v>274</v>
      </c>
      <c r="L5040" s="912"/>
      <c r="M5040" s="912"/>
      <c r="N5040" s="912"/>
      <c r="O5040" s="892">
        <f t="shared" si="316"/>
        <v>0</v>
      </c>
      <c r="P5040" s="903">
        <f t="shared" si="317"/>
        <v>1</v>
      </c>
      <c r="Q5040" s="893">
        <f t="shared" si="318"/>
        <v>7</v>
      </c>
      <c r="R5040" s="894">
        <f t="shared" si="319"/>
        <v>0</v>
      </c>
    </row>
    <row r="5041" spans="1:18">
      <c r="A5041" s="905"/>
      <c r="B5041" s="906"/>
      <c r="C5041" s="907">
        <v>108</v>
      </c>
      <c r="D5041" s="907" t="s">
        <v>279</v>
      </c>
      <c r="E5041" s="925" t="s">
        <v>3244</v>
      </c>
      <c r="F5041" s="926" t="s">
        <v>51</v>
      </c>
      <c r="G5041" s="910"/>
      <c r="H5041" s="911">
        <v>0.03</v>
      </c>
      <c r="I5041" s="912">
        <f>VLOOKUP(E5041,[3]VLP!$B$7:$K$300,10,0)</f>
        <v>5000</v>
      </c>
      <c r="J5041" s="912">
        <f>I5041*H5041</f>
        <v>150</v>
      </c>
      <c r="K5041" s="912" t="s">
        <v>274</v>
      </c>
      <c r="L5041" s="912"/>
      <c r="M5041" s="912"/>
      <c r="N5041" s="912"/>
      <c r="O5041" s="892">
        <f t="shared" si="316"/>
        <v>0</v>
      </c>
      <c r="P5041" s="903">
        <f t="shared" si="317"/>
        <v>1</v>
      </c>
      <c r="Q5041" s="893">
        <f t="shared" si="318"/>
        <v>6</v>
      </c>
      <c r="R5041" s="894">
        <f t="shared" si="319"/>
        <v>0</v>
      </c>
    </row>
    <row r="5042" spans="1:18" s="904" customFormat="1">
      <c r="A5042" s="895"/>
      <c r="B5042" s="896"/>
      <c r="C5042" s="897"/>
      <c r="D5042" s="897"/>
      <c r="E5042" s="924" t="s">
        <v>276</v>
      </c>
      <c r="F5042" s="927"/>
      <c r="G5042" s="928"/>
      <c r="H5042" s="901"/>
      <c r="I5042" s="902"/>
      <c r="J5042" s="902"/>
      <c r="K5042" s="912" t="s">
        <v>274</v>
      </c>
      <c r="L5042" s="902"/>
      <c r="M5042" s="902"/>
      <c r="N5042" s="902"/>
      <c r="O5042" s="892">
        <f t="shared" si="316"/>
        <v>0</v>
      </c>
      <c r="P5042" s="903">
        <f t="shared" si="317"/>
        <v>1</v>
      </c>
      <c r="Q5042" s="893">
        <f t="shared" si="318"/>
        <v>5</v>
      </c>
      <c r="R5042" s="894">
        <f t="shared" si="319"/>
        <v>0</v>
      </c>
    </row>
    <row r="5043" spans="1:18">
      <c r="A5043" s="905"/>
      <c r="B5043" s="906"/>
      <c r="C5043" s="907">
        <v>745</v>
      </c>
      <c r="D5043" s="907" t="s">
        <v>12</v>
      </c>
      <c r="E5043" s="908" t="s">
        <v>5518</v>
      </c>
      <c r="F5043" s="909" t="s">
        <v>2674</v>
      </c>
      <c r="G5043" s="910"/>
      <c r="H5043" s="911">
        <v>18.13</v>
      </c>
      <c r="I5043" s="912"/>
      <c r="J5043" s="912"/>
      <c r="K5043" s="912">
        <f>VLOOKUP(E5043,[5]ĐMNC!$A$7:$F$67,4,0)</f>
        <v>240557</v>
      </c>
      <c r="L5043" s="912">
        <f>H5043*K5043</f>
        <v>4361298.41</v>
      </c>
      <c r="M5043" s="912"/>
      <c r="N5043" s="912"/>
      <c r="O5043" s="892">
        <f t="shared" si="316"/>
        <v>0</v>
      </c>
      <c r="P5043" s="903">
        <f t="shared" si="317"/>
        <v>1</v>
      </c>
      <c r="Q5043" s="893">
        <f t="shared" si="318"/>
        <v>4</v>
      </c>
      <c r="R5043" s="894">
        <f t="shared" si="319"/>
        <v>0</v>
      </c>
    </row>
    <row r="5044" spans="1:18" s="904" customFormat="1">
      <c r="A5044" s="895"/>
      <c r="B5044" s="896"/>
      <c r="C5044" s="897"/>
      <c r="D5044" s="897"/>
      <c r="E5044" s="898" t="s">
        <v>3914</v>
      </c>
      <c r="F5044" s="899"/>
      <c r="G5044" s="928"/>
      <c r="H5044" s="901"/>
      <c r="I5044" s="902"/>
      <c r="J5044" s="902"/>
      <c r="K5044" s="912" t="s">
        <v>274</v>
      </c>
      <c r="L5044" s="902"/>
      <c r="M5044" s="902"/>
      <c r="N5044" s="902"/>
      <c r="O5044" s="892">
        <f t="shared" si="316"/>
        <v>0</v>
      </c>
      <c r="P5044" s="903">
        <f t="shared" si="317"/>
        <v>1</v>
      </c>
      <c r="Q5044" s="893">
        <f t="shared" si="318"/>
        <v>3</v>
      </c>
      <c r="R5044" s="894">
        <f t="shared" si="319"/>
        <v>0</v>
      </c>
    </row>
    <row r="5045" spans="1:18">
      <c r="A5045" s="905"/>
      <c r="B5045" s="953" t="s">
        <v>5610</v>
      </c>
      <c r="C5045" s="907">
        <v>823</v>
      </c>
      <c r="D5045" s="907" t="s">
        <v>93</v>
      </c>
      <c r="E5045" s="925" t="s">
        <v>5611</v>
      </c>
      <c r="F5045" s="909" t="s">
        <v>2673</v>
      </c>
      <c r="G5045" s="910"/>
      <c r="H5045" s="911">
        <v>0.15</v>
      </c>
      <c r="I5045" s="912"/>
      <c r="J5045" s="912"/>
      <c r="K5045" s="912"/>
      <c r="L5045" s="912"/>
      <c r="M5045" s="912">
        <f>VLOOKUP(B5045,MTC!$B$9:$S$933,12,0)</f>
        <v>0</v>
      </c>
      <c r="N5045" s="912">
        <f>M5045*H5045</f>
        <v>0</v>
      </c>
      <c r="O5045" s="892">
        <f t="shared" si="316"/>
        <v>0</v>
      </c>
      <c r="P5045" s="903">
        <f t="shared" si="317"/>
        <v>1</v>
      </c>
      <c r="Q5045" s="893">
        <f t="shared" si="318"/>
        <v>2</v>
      </c>
      <c r="R5045" s="894">
        <f t="shared" si="319"/>
        <v>0</v>
      </c>
    </row>
    <row r="5046" spans="1:18">
      <c r="A5046" s="905"/>
      <c r="B5046" s="906" t="s">
        <v>5668</v>
      </c>
      <c r="C5046" s="907">
        <v>821</v>
      </c>
      <c r="D5046" s="907" t="s">
        <v>93</v>
      </c>
      <c r="E5046" s="925" t="s">
        <v>5669</v>
      </c>
      <c r="F5046" s="909" t="s">
        <v>2673</v>
      </c>
      <c r="G5046" s="910"/>
      <c r="H5046" s="911">
        <v>0.2</v>
      </c>
      <c r="I5046" s="912"/>
      <c r="J5046" s="912"/>
      <c r="K5046" s="912"/>
      <c r="L5046" s="912"/>
      <c r="M5046" s="912">
        <f>VLOOKUP(B5046,MTC!$B$9:$S$933,12,0)</f>
        <v>271589</v>
      </c>
      <c r="N5046" s="912">
        <f>M5046*H5046</f>
        <v>54317.8</v>
      </c>
      <c r="O5046" s="892">
        <f t="shared" si="316"/>
        <v>0</v>
      </c>
      <c r="P5046" s="903">
        <f t="shared" si="317"/>
        <v>1</v>
      </c>
      <c r="Q5046" s="893">
        <f t="shared" si="318"/>
        <v>1</v>
      </c>
      <c r="R5046" s="894">
        <f t="shared" si="319"/>
        <v>0</v>
      </c>
    </row>
    <row r="5047" spans="1:18" s="847" customFormat="1" ht="31.5">
      <c r="A5047" s="905" t="s">
        <v>5672</v>
      </c>
      <c r="B5047" s="914" t="s">
        <v>5673</v>
      </c>
      <c r="C5047" s="915"/>
      <c r="D5047" s="915"/>
      <c r="E5047" s="916" t="s">
        <v>5674</v>
      </c>
      <c r="F5047" s="917" t="s">
        <v>2337</v>
      </c>
      <c r="G5047" s="918"/>
      <c r="H5047" s="919"/>
      <c r="I5047" s="920"/>
      <c r="J5047" s="891">
        <f>SUM(J5048:J5055)</f>
        <v>230032.22999999998</v>
      </c>
      <c r="K5047" s="891"/>
      <c r="L5047" s="891">
        <f>SUM(L5048:L5055)</f>
        <v>1515509.0999999999</v>
      </c>
      <c r="M5047" s="891"/>
      <c r="N5047" s="891">
        <f>SUM(N5048:N5055)</f>
        <v>204352.80000000002</v>
      </c>
      <c r="O5047" s="892">
        <f t="shared" si="316"/>
        <v>1</v>
      </c>
      <c r="P5047" s="903">
        <f t="shared" si="317"/>
        <v>0</v>
      </c>
      <c r="Q5047" s="893">
        <f t="shared" si="318"/>
        <v>0</v>
      </c>
      <c r="R5047" s="894">
        <f t="shared" si="319"/>
        <v>8</v>
      </c>
    </row>
    <row r="5048" spans="1:18" s="904" customFormat="1">
      <c r="A5048" s="895"/>
      <c r="B5048" s="896"/>
      <c r="C5048" s="897"/>
      <c r="D5048" s="897"/>
      <c r="E5048" s="898" t="s">
        <v>108</v>
      </c>
      <c r="F5048" s="899"/>
      <c r="G5048" s="900"/>
      <c r="H5048" s="901"/>
      <c r="I5048" s="902"/>
      <c r="J5048" s="902"/>
      <c r="K5048" s="912" t="s">
        <v>274</v>
      </c>
      <c r="L5048" s="902"/>
      <c r="M5048" s="902"/>
      <c r="N5048" s="902"/>
      <c r="O5048" s="892">
        <f t="shared" si="316"/>
        <v>0</v>
      </c>
      <c r="P5048" s="903">
        <f t="shared" si="317"/>
        <v>1</v>
      </c>
      <c r="Q5048" s="893">
        <f t="shared" si="318"/>
        <v>8</v>
      </c>
      <c r="R5048" s="894">
        <f t="shared" si="319"/>
        <v>0</v>
      </c>
    </row>
    <row r="5049" spans="1:18">
      <c r="A5049" s="905"/>
      <c r="B5049" s="906"/>
      <c r="C5049" s="907">
        <v>63</v>
      </c>
      <c r="D5049" s="907" t="s">
        <v>279</v>
      </c>
      <c r="E5049" s="925" t="s">
        <v>5675</v>
      </c>
      <c r="F5049" s="926" t="s">
        <v>47</v>
      </c>
      <c r="G5049" s="910"/>
      <c r="H5049" s="911">
        <v>0.06</v>
      </c>
      <c r="I5049" s="912">
        <f>VLOOKUP(E5049,[3]VLP!$B$7:$K$300,10,0)</f>
        <v>3545455</v>
      </c>
      <c r="J5049" s="912">
        <f>I5049*H5049</f>
        <v>212727.3</v>
      </c>
      <c r="K5049" s="912" t="s">
        <v>274</v>
      </c>
      <c r="L5049" s="912"/>
      <c r="M5049" s="912"/>
      <c r="N5049" s="912"/>
      <c r="O5049" s="892">
        <f t="shared" si="316"/>
        <v>0</v>
      </c>
      <c r="P5049" s="903">
        <f t="shared" si="317"/>
        <v>1</v>
      </c>
      <c r="Q5049" s="893">
        <f t="shared" si="318"/>
        <v>7</v>
      </c>
      <c r="R5049" s="894">
        <f t="shared" si="319"/>
        <v>0</v>
      </c>
    </row>
    <row r="5050" spans="1:18">
      <c r="A5050" s="905"/>
      <c r="B5050" s="906"/>
      <c r="C5050" s="907">
        <v>119</v>
      </c>
      <c r="D5050" s="907" t="s">
        <v>279</v>
      </c>
      <c r="E5050" s="925" t="s">
        <v>3270</v>
      </c>
      <c r="F5050" s="926" t="s">
        <v>45</v>
      </c>
      <c r="G5050" s="910"/>
      <c r="H5050" s="911">
        <v>1.41</v>
      </c>
      <c r="I5050" s="912">
        <f>VLOOKUP(E5050,[3]VLP!$B$7:$K$300,10,0)</f>
        <v>12273</v>
      </c>
      <c r="J5050" s="912">
        <f>I5050*H5050</f>
        <v>17304.93</v>
      </c>
      <c r="K5050" s="912" t="s">
        <v>274</v>
      </c>
      <c r="L5050" s="912"/>
      <c r="M5050" s="912"/>
      <c r="N5050" s="912"/>
      <c r="O5050" s="892">
        <f t="shared" si="316"/>
        <v>0</v>
      </c>
      <c r="P5050" s="903">
        <f t="shared" si="317"/>
        <v>1</v>
      </c>
      <c r="Q5050" s="893">
        <f t="shared" si="318"/>
        <v>6</v>
      </c>
      <c r="R5050" s="894">
        <f t="shared" si="319"/>
        <v>0</v>
      </c>
    </row>
    <row r="5051" spans="1:18" s="904" customFormat="1">
      <c r="A5051" s="895"/>
      <c r="B5051" s="896"/>
      <c r="C5051" s="897"/>
      <c r="D5051" s="897"/>
      <c r="E5051" s="924" t="s">
        <v>276</v>
      </c>
      <c r="F5051" s="927"/>
      <c r="G5051" s="928"/>
      <c r="H5051" s="901"/>
      <c r="I5051" s="902"/>
      <c r="J5051" s="902"/>
      <c r="K5051" s="912" t="s">
        <v>274</v>
      </c>
      <c r="L5051" s="902"/>
      <c r="M5051" s="902"/>
      <c r="N5051" s="902"/>
      <c r="O5051" s="892">
        <f t="shared" si="316"/>
        <v>0</v>
      </c>
      <c r="P5051" s="903">
        <f t="shared" si="317"/>
        <v>1</v>
      </c>
      <c r="Q5051" s="893">
        <f t="shared" si="318"/>
        <v>5</v>
      </c>
      <c r="R5051" s="894">
        <f t="shared" si="319"/>
        <v>0</v>
      </c>
    </row>
    <row r="5052" spans="1:18">
      <c r="A5052" s="905"/>
      <c r="B5052" s="906"/>
      <c r="C5052" s="907">
        <v>745</v>
      </c>
      <c r="D5052" s="907" t="s">
        <v>12</v>
      </c>
      <c r="E5052" s="908" t="s">
        <v>5518</v>
      </c>
      <c r="F5052" s="909" t="s">
        <v>2674</v>
      </c>
      <c r="G5052" s="910"/>
      <c r="H5052" s="911">
        <v>6.3</v>
      </c>
      <c r="I5052" s="912"/>
      <c r="J5052" s="912"/>
      <c r="K5052" s="912">
        <f>VLOOKUP(E5052,[5]ĐMNC!$A$7:$F$67,4,0)</f>
        <v>240557</v>
      </c>
      <c r="L5052" s="912">
        <f>H5052*K5052</f>
        <v>1515509.0999999999</v>
      </c>
      <c r="M5052" s="912"/>
      <c r="N5052" s="912"/>
      <c r="O5052" s="892">
        <f t="shared" si="316"/>
        <v>0</v>
      </c>
      <c r="P5052" s="903">
        <f t="shared" si="317"/>
        <v>1</v>
      </c>
      <c r="Q5052" s="893">
        <f t="shared" si="318"/>
        <v>4</v>
      </c>
      <c r="R5052" s="894">
        <f t="shared" si="319"/>
        <v>0</v>
      </c>
    </row>
    <row r="5053" spans="1:18" s="904" customFormat="1">
      <c r="A5053" s="895"/>
      <c r="B5053" s="896"/>
      <c r="C5053" s="897"/>
      <c r="D5053" s="897"/>
      <c r="E5053" s="898" t="s">
        <v>3914</v>
      </c>
      <c r="F5053" s="899"/>
      <c r="G5053" s="928"/>
      <c r="H5053" s="901"/>
      <c r="I5053" s="902"/>
      <c r="J5053" s="902"/>
      <c r="K5053" s="912" t="s">
        <v>274</v>
      </c>
      <c r="L5053" s="902"/>
      <c r="M5053" s="902"/>
      <c r="N5053" s="902"/>
      <c r="O5053" s="892">
        <f t="shared" si="316"/>
        <v>0</v>
      </c>
      <c r="P5053" s="903">
        <f t="shared" si="317"/>
        <v>1</v>
      </c>
      <c r="Q5053" s="893">
        <f t="shared" si="318"/>
        <v>3</v>
      </c>
      <c r="R5053" s="894">
        <f t="shared" si="319"/>
        <v>0</v>
      </c>
    </row>
    <row r="5054" spans="1:18">
      <c r="A5054" s="905"/>
      <c r="B5054" s="763" t="s">
        <v>5676</v>
      </c>
      <c r="C5054" s="907">
        <v>865</v>
      </c>
      <c r="D5054" s="907" t="s">
        <v>93</v>
      </c>
      <c r="E5054" s="925" t="s">
        <v>5677</v>
      </c>
      <c r="F5054" s="909" t="s">
        <v>2673</v>
      </c>
      <c r="G5054" s="910"/>
      <c r="H5054" s="911">
        <v>0.5</v>
      </c>
      <c r="I5054" s="912"/>
      <c r="J5054" s="912"/>
      <c r="K5054" s="912"/>
      <c r="L5054" s="912"/>
      <c r="M5054" s="912">
        <f>VLOOKUP(B5054,MTC!$B$9:$S$933,12,0)</f>
        <v>0</v>
      </c>
      <c r="N5054" s="912">
        <f>M5054*H5054</f>
        <v>0</v>
      </c>
      <c r="O5054" s="892">
        <f t="shared" si="316"/>
        <v>0</v>
      </c>
      <c r="P5054" s="903">
        <f t="shared" si="317"/>
        <v>1</v>
      </c>
      <c r="Q5054" s="893">
        <f t="shared" si="318"/>
        <v>2</v>
      </c>
      <c r="R5054" s="894">
        <f t="shared" si="319"/>
        <v>0</v>
      </c>
    </row>
    <row r="5055" spans="1:18">
      <c r="A5055" s="905"/>
      <c r="B5055" s="906" t="s">
        <v>5678</v>
      </c>
      <c r="C5055" s="907">
        <v>829</v>
      </c>
      <c r="D5055" s="907" t="s">
        <v>93</v>
      </c>
      <c r="E5055" s="925" t="s">
        <v>5679</v>
      </c>
      <c r="F5055" s="909" t="s">
        <v>2673</v>
      </c>
      <c r="G5055" s="910"/>
      <c r="H5055" s="911">
        <v>0.8</v>
      </c>
      <c r="I5055" s="912"/>
      <c r="J5055" s="912"/>
      <c r="K5055" s="912"/>
      <c r="L5055" s="912"/>
      <c r="M5055" s="912">
        <f>VLOOKUP(B5055,MTC!$B$9:$S$933,12,0)</f>
        <v>255441</v>
      </c>
      <c r="N5055" s="912">
        <f>M5055*H5055</f>
        <v>204352.80000000002</v>
      </c>
      <c r="O5055" s="892">
        <f t="shared" si="316"/>
        <v>0</v>
      </c>
      <c r="P5055" s="903">
        <f t="shared" si="317"/>
        <v>1</v>
      </c>
      <c r="Q5055" s="893">
        <f t="shared" si="318"/>
        <v>1</v>
      </c>
      <c r="R5055" s="894">
        <f t="shared" si="319"/>
        <v>0</v>
      </c>
    </row>
    <row r="5056" spans="1:18" s="847" customFormat="1" ht="31.5">
      <c r="A5056" s="905"/>
      <c r="B5056" s="914" t="s">
        <v>5680</v>
      </c>
      <c r="C5056" s="915"/>
      <c r="D5056" s="915"/>
      <c r="E5056" s="916" t="s">
        <v>5681</v>
      </c>
      <c r="F5056" s="917" t="s">
        <v>2337</v>
      </c>
      <c r="G5056" s="918"/>
      <c r="H5056" s="919"/>
      <c r="I5056" s="920"/>
      <c r="J5056" s="891">
        <f>SUM(J5057:J5064)</f>
        <v>230032.22999999998</v>
      </c>
      <c r="K5056" s="891"/>
      <c r="L5056" s="891">
        <f>SUM(L5057:L5064)</f>
        <v>1744038.25</v>
      </c>
      <c r="M5056" s="891"/>
      <c r="N5056" s="891">
        <f>SUM(N5057:N5064)</f>
        <v>229896.9</v>
      </c>
      <c r="O5056" s="892">
        <f t="shared" si="316"/>
        <v>1</v>
      </c>
      <c r="P5056" s="903">
        <f t="shared" si="317"/>
        <v>0</v>
      </c>
      <c r="Q5056" s="893">
        <f t="shared" si="318"/>
        <v>0</v>
      </c>
      <c r="R5056" s="894">
        <f t="shared" si="319"/>
        <v>8</v>
      </c>
    </row>
    <row r="5057" spans="1:18" s="904" customFormat="1">
      <c r="A5057" s="895"/>
      <c r="B5057" s="896"/>
      <c r="C5057" s="897"/>
      <c r="D5057" s="897"/>
      <c r="E5057" s="898" t="s">
        <v>108</v>
      </c>
      <c r="F5057" s="899"/>
      <c r="G5057" s="900"/>
      <c r="H5057" s="901"/>
      <c r="I5057" s="902"/>
      <c r="J5057" s="902"/>
      <c r="K5057" s="912" t="s">
        <v>274</v>
      </c>
      <c r="L5057" s="902"/>
      <c r="M5057" s="902"/>
      <c r="N5057" s="902"/>
      <c r="O5057" s="892">
        <f t="shared" si="316"/>
        <v>0</v>
      </c>
      <c r="P5057" s="903">
        <f t="shared" si="317"/>
        <v>1</v>
      </c>
      <c r="Q5057" s="893">
        <f t="shared" si="318"/>
        <v>8</v>
      </c>
      <c r="R5057" s="894">
        <f t="shared" si="319"/>
        <v>0</v>
      </c>
    </row>
    <row r="5058" spans="1:18">
      <c r="A5058" s="905"/>
      <c r="B5058" s="906"/>
      <c r="C5058" s="907">
        <v>63</v>
      </c>
      <c r="D5058" s="907" t="s">
        <v>279</v>
      </c>
      <c r="E5058" s="925" t="s">
        <v>5675</v>
      </c>
      <c r="F5058" s="926" t="s">
        <v>47</v>
      </c>
      <c r="G5058" s="910"/>
      <c r="H5058" s="911">
        <v>0.06</v>
      </c>
      <c r="I5058" s="912">
        <f>VLOOKUP(E5058,[3]VLP!$B$7:$K$300,10,0)</f>
        <v>3545455</v>
      </c>
      <c r="J5058" s="912">
        <f>I5058*H5058</f>
        <v>212727.3</v>
      </c>
      <c r="K5058" s="912" t="s">
        <v>274</v>
      </c>
      <c r="L5058" s="912"/>
      <c r="M5058" s="912"/>
      <c r="N5058" s="912"/>
      <c r="O5058" s="892">
        <f t="shared" si="316"/>
        <v>0</v>
      </c>
      <c r="P5058" s="903">
        <f t="shared" si="317"/>
        <v>1</v>
      </c>
      <c r="Q5058" s="893">
        <f t="shared" si="318"/>
        <v>7</v>
      </c>
      <c r="R5058" s="894">
        <f t="shared" si="319"/>
        <v>0</v>
      </c>
    </row>
    <row r="5059" spans="1:18">
      <c r="A5059" s="905"/>
      <c r="B5059" s="906"/>
      <c r="C5059" s="907">
        <v>119</v>
      </c>
      <c r="D5059" s="907" t="s">
        <v>279</v>
      </c>
      <c r="E5059" s="925" t="s">
        <v>3270</v>
      </c>
      <c r="F5059" s="926" t="s">
        <v>45</v>
      </c>
      <c r="G5059" s="910"/>
      <c r="H5059" s="911">
        <v>1.41</v>
      </c>
      <c r="I5059" s="912">
        <f>VLOOKUP(E5059,[3]VLP!$B$7:$K$300,10,0)</f>
        <v>12273</v>
      </c>
      <c r="J5059" s="912">
        <f>I5059*H5059</f>
        <v>17304.93</v>
      </c>
      <c r="K5059" s="912" t="s">
        <v>274</v>
      </c>
      <c r="L5059" s="912"/>
      <c r="M5059" s="912"/>
      <c r="N5059" s="912"/>
      <c r="O5059" s="892">
        <f t="shared" si="316"/>
        <v>0</v>
      </c>
      <c r="P5059" s="903">
        <f t="shared" si="317"/>
        <v>1</v>
      </c>
      <c r="Q5059" s="893">
        <f t="shared" si="318"/>
        <v>6</v>
      </c>
      <c r="R5059" s="894">
        <f t="shared" si="319"/>
        <v>0</v>
      </c>
    </row>
    <row r="5060" spans="1:18" s="904" customFormat="1">
      <c r="A5060" s="895"/>
      <c r="B5060" s="896"/>
      <c r="C5060" s="897"/>
      <c r="D5060" s="897"/>
      <c r="E5060" s="924" t="s">
        <v>276</v>
      </c>
      <c r="F5060" s="927"/>
      <c r="G5060" s="928"/>
      <c r="H5060" s="901"/>
      <c r="I5060" s="902"/>
      <c r="J5060" s="902"/>
      <c r="K5060" s="912" t="s">
        <v>274</v>
      </c>
      <c r="L5060" s="902"/>
      <c r="M5060" s="902"/>
      <c r="N5060" s="902"/>
      <c r="O5060" s="892">
        <f t="shared" si="316"/>
        <v>0</v>
      </c>
      <c r="P5060" s="903">
        <f t="shared" si="317"/>
        <v>1</v>
      </c>
      <c r="Q5060" s="893">
        <f t="shared" si="318"/>
        <v>5</v>
      </c>
      <c r="R5060" s="894">
        <f t="shared" si="319"/>
        <v>0</v>
      </c>
    </row>
    <row r="5061" spans="1:18">
      <c r="A5061" s="905"/>
      <c r="B5061" s="906"/>
      <c r="C5061" s="907">
        <v>745</v>
      </c>
      <c r="D5061" s="907" t="s">
        <v>12</v>
      </c>
      <c r="E5061" s="908" t="s">
        <v>5518</v>
      </c>
      <c r="F5061" s="909" t="s">
        <v>2674</v>
      </c>
      <c r="G5061" s="910"/>
      <c r="H5061" s="911">
        <v>7.25</v>
      </c>
      <c r="I5061" s="912"/>
      <c r="J5061" s="912"/>
      <c r="K5061" s="912">
        <f>VLOOKUP(E5061,[5]ĐMNC!$A$7:$F$67,4,0)</f>
        <v>240557</v>
      </c>
      <c r="L5061" s="912">
        <f>H5061*K5061</f>
        <v>1744038.25</v>
      </c>
      <c r="M5061" s="912"/>
      <c r="N5061" s="912"/>
      <c r="O5061" s="892">
        <f t="shared" si="316"/>
        <v>0</v>
      </c>
      <c r="P5061" s="903">
        <f t="shared" si="317"/>
        <v>1</v>
      </c>
      <c r="Q5061" s="893">
        <f t="shared" si="318"/>
        <v>4</v>
      </c>
      <c r="R5061" s="894">
        <f t="shared" si="319"/>
        <v>0</v>
      </c>
    </row>
    <row r="5062" spans="1:18" s="904" customFormat="1">
      <c r="A5062" s="895"/>
      <c r="B5062" s="896"/>
      <c r="C5062" s="897"/>
      <c r="D5062" s="897"/>
      <c r="E5062" s="898" t="s">
        <v>3914</v>
      </c>
      <c r="F5062" s="899"/>
      <c r="G5062" s="928"/>
      <c r="H5062" s="901"/>
      <c r="I5062" s="902"/>
      <c r="J5062" s="902"/>
      <c r="K5062" s="912" t="s">
        <v>274</v>
      </c>
      <c r="L5062" s="902"/>
      <c r="M5062" s="902"/>
      <c r="N5062" s="902"/>
      <c r="O5062" s="892">
        <f t="shared" si="316"/>
        <v>0</v>
      </c>
      <c r="P5062" s="903">
        <f t="shared" si="317"/>
        <v>1</v>
      </c>
      <c r="Q5062" s="893">
        <f t="shared" si="318"/>
        <v>3</v>
      </c>
      <c r="R5062" s="894">
        <f t="shared" si="319"/>
        <v>0</v>
      </c>
    </row>
    <row r="5063" spans="1:18">
      <c r="A5063" s="905"/>
      <c r="B5063" s="763" t="s">
        <v>5676</v>
      </c>
      <c r="C5063" s="907">
        <v>865</v>
      </c>
      <c r="D5063" s="907" t="s">
        <v>93</v>
      </c>
      <c r="E5063" s="925" t="s">
        <v>5677</v>
      </c>
      <c r="F5063" s="909" t="s">
        <v>2673</v>
      </c>
      <c r="G5063" s="910"/>
      <c r="H5063" s="911">
        <v>0.6</v>
      </c>
      <c r="I5063" s="912"/>
      <c r="J5063" s="912"/>
      <c r="K5063" s="912"/>
      <c r="L5063" s="912"/>
      <c r="M5063" s="912">
        <f>VLOOKUP(B5063,MTC!$B$9:$S$933,12,0)</f>
        <v>0</v>
      </c>
      <c r="N5063" s="912">
        <f>M5063*H5063</f>
        <v>0</v>
      </c>
      <c r="O5063" s="892">
        <f t="shared" si="316"/>
        <v>0</v>
      </c>
      <c r="P5063" s="903">
        <f t="shared" si="317"/>
        <v>1</v>
      </c>
      <c r="Q5063" s="893">
        <f t="shared" si="318"/>
        <v>2</v>
      </c>
      <c r="R5063" s="894">
        <f t="shared" si="319"/>
        <v>0</v>
      </c>
    </row>
    <row r="5064" spans="1:18">
      <c r="A5064" s="905"/>
      <c r="B5064" s="906" t="s">
        <v>5678</v>
      </c>
      <c r="C5064" s="907">
        <v>829</v>
      </c>
      <c r="D5064" s="907" t="s">
        <v>93</v>
      </c>
      <c r="E5064" s="925" t="s">
        <v>5679</v>
      </c>
      <c r="F5064" s="909" t="s">
        <v>2673</v>
      </c>
      <c r="G5064" s="910"/>
      <c r="H5064" s="911">
        <v>0.9</v>
      </c>
      <c r="I5064" s="912"/>
      <c r="J5064" s="912"/>
      <c r="K5064" s="912"/>
      <c r="L5064" s="912"/>
      <c r="M5064" s="912">
        <f>VLOOKUP(B5064,MTC!$B$9:$S$933,12,0)</f>
        <v>255441</v>
      </c>
      <c r="N5064" s="912">
        <f>M5064*H5064</f>
        <v>229896.9</v>
      </c>
      <c r="O5064" s="892">
        <f t="shared" si="316"/>
        <v>0</v>
      </c>
      <c r="P5064" s="903">
        <f t="shared" si="317"/>
        <v>1</v>
      </c>
      <c r="Q5064" s="893">
        <f t="shared" si="318"/>
        <v>1</v>
      </c>
      <c r="R5064" s="894">
        <f t="shared" si="319"/>
        <v>0</v>
      </c>
    </row>
    <row r="5065" spans="1:18" s="847" customFormat="1" ht="31.5">
      <c r="A5065" s="905"/>
      <c r="B5065" s="914" t="s">
        <v>5682</v>
      </c>
      <c r="C5065" s="915"/>
      <c r="D5065" s="915"/>
      <c r="E5065" s="916" t="s">
        <v>5683</v>
      </c>
      <c r="F5065" s="917" t="s">
        <v>2337</v>
      </c>
      <c r="G5065" s="918"/>
      <c r="H5065" s="919"/>
      <c r="I5065" s="920"/>
      <c r="J5065" s="891">
        <f>SUM(J5066:J5073)</f>
        <v>230032.22999999998</v>
      </c>
      <c r="K5065" s="891"/>
      <c r="L5065" s="891">
        <f>SUM(L5066:L5073)</f>
        <v>1818610.92</v>
      </c>
      <c r="M5065" s="891"/>
      <c r="N5065" s="891">
        <f>SUM(N5066:N5073)</f>
        <v>255441</v>
      </c>
      <c r="O5065" s="892">
        <f t="shared" si="316"/>
        <v>1</v>
      </c>
      <c r="P5065" s="903">
        <f t="shared" si="317"/>
        <v>0</v>
      </c>
      <c r="Q5065" s="893">
        <f t="shared" si="318"/>
        <v>0</v>
      </c>
      <c r="R5065" s="894">
        <f t="shared" si="319"/>
        <v>8</v>
      </c>
    </row>
    <row r="5066" spans="1:18" s="904" customFormat="1">
      <c r="A5066" s="895"/>
      <c r="B5066" s="896"/>
      <c r="C5066" s="897"/>
      <c r="D5066" s="897"/>
      <c r="E5066" s="898" t="s">
        <v>108</v>
      </c>
      <c r="F5066" s="899"/>
      <c r="G5066" s="900"/>
      <c r="H5066" s="901"/>
      <c r="I5066" s="902"/>
      <c r="J5066" s="902"/>
      <c r="K5066" s="912" t="s">
        <v>274</v>
      </c>
      <c r="L5066" s="902"/>
      <c r="M5066" s="902"/>
      <c r="N5066" s="902"/>
      <c r="O5066" s="892">
        <f t="shared" si="316"/>
        <v>0</v>
      </c>
      <c r="P5066" s="903">
        <f t="shared" si="317"/>
        <v>1</v>
      </c>
      <c r="Q5066" s="893">
        <f t="shared" si="318"/>
        <v>8</v>
      </c>
      <c r="R5066" s="894">
        <f t="shared" si="319"/>
        <v>0</v>
      </c>
    </row>
    <row r="5067" spans="1:18">
      <c r="A5067" s="905"/>
      <c r="B5067" s="906"/>
      <c r="C5067" s="907">
        <v>63</v>
      </c>
      <c r="D5067" s="907" t="s">
        <v>279</v>
      </c>
      <c r="E5067" s="925" t="s">
        <v>5675</v>
      </c>
      <c r="F5067" s="926" t="s">
        <v>47</v>
      </c>
      <c r="G5067" s="910"/>
      <c r="H5067" s="911">
        <v>0.06</v>
      </c>
      <c r="I5067" s="912">
        <f>VLOOKUP(E5067,[3]VLP!$B$7:$K$300,10,0)</f>
        <v>3545455</v>
      </c>
      <c r="J5067" s="912">
        <f>I5067*H5067</f>
        <v>212727.3</v>
      </c>
      <c r="K5067" s="912" t="s">
        <v>274</v>
      </c>
      <c r="L5067" s="912"/>
      <c r="M5067" s="912"/>
      <c r="N5067" s="912"/>
      <c r="O5067" s="892">
        <f t="shared" si="316"/>
        <v>0</v>
      </c>
      <c r="P5067" s="903">
        <f t="shared" si="317"/>
        <v>1</v>
      </c>
      <c r="Q5067" s="893">
        <f t="shared" si="318"/>
        <v>7</v>
      </c>
      <c r="R5067" s="894">
        <f t="shared" si="319"/>
        <v>0</v>
      </c>
    </row>
    <row r="5068" spans="1:18">
      <c r="A5068" s="905"/>
      <c r="B5068" s="906"/>
      <c r="C5068" s="907">
        <v>119</v>
      </c>
      <c r="D5068" s="907" t="s">
        <v>279</v>
      </c>
      <c r="E5068" s="925" t="s">
        <v>3270</v>
      </c>
      <c r="F5068" s="926" t="s">
        <v>45</v>
      </c>
      <c r="G5068" s="910"/>
      <c r="H5068" s="911">
        <v>1.41</v>
      </c>
      <c r="I5068" s="912">
        <f>VLOOKUP(E5068,[3]VLP!$B$7:$K$300,10,0)</f>
        <v>12273</v>
      </c>
      <c r="J5068" s="912">
        <f>I5068*H5068</f>
        <v>17304.93</v>
      </c>
      <c r="K5068" s="912" t="s">
        <v>274</v>
      </c>
      <c r="L5068" s="912"/>
      <c r="M5068" s="912"/>
      <c r="N5068" s="912"/>
      <c r="O5068" s="892">
        <f t="shared" si="316"/>
        <v>0</v>
      </c>
      <c r="P5068" s="903">
        <f t="shared" si="317"/>
        <v>1</v>
      </c>
      <c r="Q5068" s="893">
        <f t="shared" si="318"/>
        <v>6</v>
      </c>
      <c r="R5068" s="894">
        <f t="shared" si="319"/>
        <v>0</v>
      </c>
    </row>
    <row r="5069" spans="1:18" s="904" customFormat="1">
      <c r="A5069" s="895"/>
      <c r="B5069" s="896"/>
      <c r="C5069" s="897"/>
      <c r="D5069" s="897"/>
      <c r="E5069" s="924" t="s">
        <v>276</v>
      </c>
      <c r="F5069" s="927"/>
      <c r="G5069" s="928"/>
      <c r="H5069" s="901"/>
      <c r="I5069" s="902"/>
      <c r="J5069" s="902"/>
      <c r="K5069" s="912" t="s">
        <v>274</v>
      </c>
      <c r="L5069" s="902"/>
      <c r="M5069" s="902"/>
      <c r="N5069" s="902"/>
      <c r="O5069" s="892">
        <f t="shared" si="316"/>
        <v>0</v>
      </c>
      <c r="P5069" s="903">
        <f t="shared" si="317"/>
        <v>1</v>
      </c>
      <c r="Q5069" s="893">
        <f t="shared" si="318"/>
        <v>5</v>
      </c>
      <c r="R5069" s="894">
        <f t="shared" si="319"/>
        <v>0</v>
      </c>
    </row>
    <row r="5070" spans="1:18">
      <c r="A5070" s="905"/>
      <c r="B5070" s="906"/>
      <c r="C5070" s="907">
        <v>745</v>
      </c>
      <c r="D5070" s="907" t="s">
        <v>12</v>
      </c>
      <c r="E5070" s="908" t="s">
        <v>5518</v>
      </c>
      <c r="F5070" s="909" t="s">
        <v>2674</v>
      </c>
      <c r="G5070" s="910"/>
      <c r="H5070" s="911">
        <v>7.56</v>
      </c>
      <c r="I5070" s="912"/>
      <c r="J5070" s="912"/>
      <c r="K5070" s="912">
        <f>VLOOKUP(E5070,[5]ĐMNC!$A$7:$F$67,4,0)</f>
        <v>240557</v>
      </c>
      <c r="L5070" s="912">
        <f>H5070*K5070</f>
        <v>1818610.92</v>
      </c>
      <c r="M5070" s="912"/>
      <c r="N5070" s="912"/>
      <c r="O5070" s="892">
        <f t="shared" si="316"/>
        <v>0</v>
      </c>
      <c r="P5070" s="903">
        <f t="shared" si="317"/>
        <v>1</v>
      </c>
      <c r="Q5070" s="893">
        <f t="shared" si="318"/>
        <v>4</v>
      </c>
      <c r="R5070" s="894">
        <f t="shared" si="319"/>
        <v>0</v>
      </c>
    </row>
    <row r="5071" spans="1:18" s="904" customFormat="1">
      <c r="A5071" s="895"/>
      <c r="B5071" s="896"/>
      <c r="C5071" s="897"/>
      <c r="D5071" s="897"/>
      <c r="E5071" s="898" t="s">
        <v>3914</v>
      </c>
      <c r="F5071" s="899"/>
      <c r="G5071" s="928"/>
      <c r="H5071" s="901"/>
      <c r="I5071" s="902"/>
      <c r="J5071" s="902"/>
      <c r="K5071" s="912" t="s">
        <v>274</v>
      </c>
      <c r="L5071" s="902"/>
      <c r="M5071" s="902"/>
      <c r="N5071" s="902"/>
      <c r="O5071" s="892">
        <f t="shared" si="316"/>
        <v>0</v>
      </c>
      <c r="P5071" s="903">
        <f t="shared" si="317"/>
        <v>1</v>
      </c>
      <c r="Q5071" s="893">
        <f t="shared" si="318"/>
        <v>3</v>
      </c>
      <c r="R5071" s="894">
        <f t="shared" si="319"/>
        <v>0</v>
      </c>
    </row>
    <row r="5072" spans="1:18">
      <c r="A5072" s="905"/>
      <c r="B5072" s="763" t="s">
        <v>5676</v>
      </c>
      <c r="C5072" s="907">
        <v>865</v>
      </c>
      <c r="D5072" s="907" t="s">
        <v>93</v>
      </c>
      <c r="E5072" s="925" t="s">
        <v>5677</v>
      </c>
      <c r="F5072" s="909" t="s">
        <v>2673</v>
      </c>
      <c r="G5072" s="910"/>
      <c r="H5072" s="911">
        <v>0.7</v>
      </c>
      <c r="I5072" s="912"/>
      <c r="J5072" s="912"/>
      <c r="K5072" s="912"/>
      <c r="L5072" s="912"/>
      <c r="M5072" s="912">
        <f>VLOOKUP(B5072,MTC!$B$9:$S$933,12,0)</f>
        <v>0</v>
      </c>
      <c r="N5072" s="912">
        <f>M5072*H5072</f>
        <v>0</v>
      </c>
      <c r="O5072" s="892">
        <f t="shared" si="316"/>
        <v>0</v>
      </c>
      <c r="P5072" s="903">
        <f t="shared" si="317"/>
        <v>1</v>
      </c>
      <c r="Q5072" s="893">
        <f t="shared" si="318"/>
        <v>2</v>
      </c>
      <c r="R5072" s="894">
        <f t="shared" si="319"/>
        <v>0</v>
      </c>
    </row>
    <row r="5073" spans="1:18">
      <c r="A5073" s="905"/>
      <c r="B5073" s="906" t="s">
        <v>5678</v>
      </c>
      <c r="C5073" s="907">
        <v>829</v>
      </c>
      <c r="D5073" s="907" t="s">
        <v>93</v>
      </c>
      <c r="E5073" s="925" t="s">
        <v>5679</v>
      </c>
      <c r="F5073" s="909" t="s">
        <v>2673</v>
      </c>
      <c r="G5073" s="910"/>
      <c r="H5073" s="911">
        <v>1</v>
      </c>
      <c r="I5073" s="912"/>
      <c r="J5073" s="912"/>
      <c r="K5073" s="912"/>
      <c r="L5073" s="912"/>
      <c r="M5073" s="912">
        <f>VLOOKUP(B5073,MTC!$B$9:$S$933,12,0)</f>
        <v>255441</v>
      </c>
      <c r="N5073" s="912">
        <f>M5073*H5073</f>
        <v>255441</v>
      </c>
      <c r="O5073" s="892">
        <f t="shared" si="316"/>
        <v>0</v>
      </c>
      <c r="P5073" s="903">
        <f t="shared" si="317"/>
        <v>1</v>
      </c>
      <c r="Q5073" s="893">
        <f t="shared" si="318"/>
        <v>1</v>
      </c>
      <c r="R5073" s="894">
        <f t="shared" si="319"/>
        <v>0</v>
      </c>
    </row>
    <row r="5074" spans="1:18" s="847" customFormat="1" ht="31.5">
      <c r="A5074" s="905"/>
      <c r="B5074" s="914" t="s">
        <v>5684</v>
      </c>
      <c r="C5074" s="915"/>
      <c r="D5074" s="915"/>
      <c r="E5074" s="916" t="s">
        <v>5685</v>
      </c>
      <c r="F5074" s="917" t="s">
        <v>2337</v>
      </c>
      <c r="G5074" s="918"/>
      <c r="H5074" s="919"/>
      <c r="I5074" s="920"/>
      <c r="J5074" s="891">
        <f>SUM(J5075:J5082)</f>
        <v>230032.22999999998</v>
      </c>
      <c r="K5074" s="891"/>
      <c r="L5074" s="891">
        <f>SUM(L5075:L5082)</f>
        <v>1895589.16</v>
      </c>
      <c r="M5074" s="891"/>
      <c r="N5074" s="891">
        <f>SUM(N5075:N5082)</f>
        <v>255441</v>
      </c>
      <c r="O5074" s="892">
        <f t="shared" si="316"/>
        <v>1</v>
      </c>
      <c r="P5074" s="903">
        <f t="shared" si="317"/>
        <v>0</v>
      </c>
      <c r="Q5074" s="893">
        <f t="shared" si="318"/>
        <v>0</v>
      </c>
      <c r="R5074" s="894">
        <f t="shared" si="319"/>
        <v>8</v>
      </c>
    </row>
    <row r="5075" spans="1:18" s="904" customFormat="1">
      <c r="A5075" s="895"/>
      <c r="B5075" s="896"/>
      <c r="C5075" s="897"/>
      <c r="D5075" s="897"/>
      <c r="E5075" s="898" t="s">
        <v>108</v>
      </c>
      <c r="F5075" s="899"/>
      <c r="G5075" s="900"/>
      <c r="H5075" s="901"/>
      <c r="I5075" s="902"/>
      <c r="J5075" s="902"/>
      <c r="K5075" s="912" t="s">
        <v>274</v>
      </c>
      <c r="L5075" s="902"/>
      <c r="M5075" s="902"/>
      <c r="N5075" s="902"/>
      <c r="O5075" s="892">
        <f t="shared" si="316"/>
        <v>0</v>
      </c>
      <c r="P5075" s="903">
        <f t="shared" si="317"/>
        <v>1</v>
      </c>
      <c r="Q5075" s="893">
        <f t="shared" si="318"/>
        <v>8</v>
      </c>
      <c r="R5075" s="894">
        <f t="shared" si="319"/>
        <v>0</v>
      </c>
    </row>
    <row r="5076" spans="1:18">
      <c r="A5076" s="905"/>
      <c r="B5076" s="906"/>
      <c r="C5076" s="907">
        <v>63</v>
      </c>
      <c r="D5076" s="907" t="s">
        <v>279</v>
      </c>
      <c r="E5076" s="925" t="s">
        <v>5675</v>
      </c>
      <c r="F5076" s="926" t="s">
        <v>47</v>
      </c>
      <c r="G5076" s="910"/>
      <c r="H5076" s="911">
        <v>0.06</v>
      </c>
      <c r="I5076" s="912">
        <f>VLOOKUP(E5076,[3]VLP!$B$7:$K$300,10,0)</f>
        <v>3545455</v>
      </c>
      <c r="J5076" s="912">
        <f>I5076*H5076</f>
        <v>212727.3</v>
      </c>
      <c r="K5076" s="912" t="s">
        <v>274</v>
      </c>
      <c r="L5076" s="912"/>
      <c r="M5076" s="912"/>
      <c r="N5076" s="912"/>
      <c r="O5076" s="892">
        <f t="shared" si="316"/>
        <v>0</v>
      </c>
      <c r="P5076" s="903">
        <f t="shared" si="317"/>
        <v>1</v>
      </c>
      <c r="Q5076" s="893">
        <f t="shared" si="318"/>
        <v>7</v>
      </c>
      <c r="R5076" s="894">
        <f t="shared" si="319"/>
        <v>0</v>
      </c>
    </row>
    <row r="5077" spans="1:18">
      <c r="A5077" s="905"/>
      <c r="B5077" s="906"/>
      <c r="C5077" s="907">
        <v>119</v>
      </c>
      <c r="D5077" s="907" t="s">
        <v>279</v>
      </c>
      <c r="E5077" s="925" t="s">
        <v>3270</v>
      </c>
      <c r="F5077" s="926" t="s">
        <v>45</v>
      </c>
      <c r="G5077" s="910"/>
      <c r="H5077" s="911">
        <v>1.41</v>
      </c>
      <c r="I5077" s="912">
        <f>VLOOKUP(E5077,[3]VLP!$B$7:$K$300,10,0)</f>
        <v>12273</v>
      </c>
      <c r="J5077" s="912">
        <f>I5077*H5077</f>
        <v>17304.93</v>
      </c>
      <c r="K5077" s="912" t="s">
        <v>274</v>
      </c>
      <c r="L5077" s="912"/>
      <c r="M5077" s="912"/>
      <c r="N5077" s="912"/>
      <c r="O5077" s="892">
        <f t="shared" si="316"/>
        <v>0</v>
      </c>
      <c r="P5077" s="903">
        <f t="shared" si="317"/>
        <v>1</v>
      </c>
      <c r="Q5077" s="893">
        <f t="shared" si="318"/>
        <v>6</v>
      </c>
      <c r="R5077" s="894">
        <f t="shared" si="319"/>
        <v>0</v>
      </c>
    </row>
    <row r="5078" spans="1:18" s="904" customFormat="1">
      <c r="A5078" s="895"/>
      <c r="B5078" s="896"/>
      <c r="C5078" s="897"/>
      <c r="D5078" s="897"/>
      <c r="E5078" s="924" t="s">
        <v>276</v>
      </c>
      <c r="F5078" s="927"/>
      <c r="G5078" s="928"/>
      <c r="H5078" s="901"/>
      <c r="I5078" s="902"/>
      <c r="J5078" s="902"/>
      <c r="K5078" s="912" t="s">
        <v>274</v>
      </c>
      <c r="L5078" s="902"/>
      <c r="M5078" s="902"/>
      <c r="N5078" s="902"/>
      <c r="O5078" s="892">
        <f t="shared" si="316"/>
        <v>0</v>
      </c>
      <c r="P5078" s="903">
        <f t="shared" si="317"/>
        <v>1</v>
      </c>
      <c r="Q5078" s="893">
        <f t="shared" si="318"/>
        <v>5</v>
      </c>
      <c r="R5078" s="894">
        <f t="shared" si="319"/>
        <v>0</v>
      </c>
    </row>
    <row r="5079" spans="1:18">
      <c r="A5079" s="905"/>
      <c r="B5079" s="906"/>
      <c r="C5079" s="907">
        <v>745</v>
      </c>
      <c r="D5079" s="907" t="s">
        <v>12</v>
      </c>
      <c r="E5079" s="908" t="s">
        <v>5518</v>
      </c>
      <c r="F5079" s="909" t="s">
        <v>2674</v>
      </c>
      <c r="G5079" s="910"/>
      <c r="H5079" s="911">
        <v>7.88</v>
      </c>
      <c r="I5079" s="912"/>
      <c r="J5079" s="912"/>
      <c r="K5079" s="912">
        <f>VLOOKUP(E5079,[5]ĐMNC!$A$7:$F$67,4,0)</f>
        <v>240557</v>
      </c>
      <c r="L5079" s="912">
        <f>H5079*K5079</f>
        <v>1895589.16</v>
      </c>
      <c r="M5079" s="912"/>
      <c r="N5079" s="912"/>
      <c r="O5079" s="892">
        <f t="shared" si="316"/>
        <v>0</v>
      </c>
      <c r="P5079" s="903">
        <f t="shared" si="317"/>
        <v>1</v>
      </c>
      <c r="Q5079" s="893">
        <f t="shared" si="318"/>
        <v>4</v>
      </c>
      <c r="R5079" s="894">
        <f t="shared" si="319"/>
        <v>0</v>
      </c>
    </row>
    <row r="5080" spans="1:18" s="904" customFormat="1">
      <c r="A5080" s="895"/>
      <c r="B5080" s="896"/>
      <c r="C5080" s="897"/>
      <c r="D5080" s="897"/>
      <c r="E5080" s="898" t="s">
        <v>3914</v>
      </c>
      <c r="F5080" s="899"/>
      <c r="G5080" s="928"/>
      <c r="H5080" s="901"/>
      <c r="I5080" s="902"/>
      <c r="J5080" s="902"/>
      <c r="K5080" s="912" t="s">
        <v>274</v>
      </c>
      <c r="L5080" s="902"/>
      <c r="M5080" s="902"/>
      <c r="N5080" s="902"/>
      <c r="O5080" s="892">
        <f t="shared" si="316"/>
        <v>0</v>
      </c>
      <c r="P5080" s="903">
        <f t="shared" si="317"/>
        <v>1</v>
      </c>
      <c r="Q5080" s="893">
        <f t="shared" si="318"/>
        <v>3</v>
      </c>
      <c r="R5080" s="894">
        <f t="shared" si="319"/>
        <v>0</v>
      </c>
    </row>
    <row r="5081" spans="1:18">
      <c r="A5081" s="905"/>
      <c r="B5081" s="763" t="s">
        <v>5676</v>
      </c>
      <c r="C5081" s="907">
        <v>865</v>
      </c>
      <c r="D5081" s="907" t="s">
        <v>93</v>
      </c>
      <c r="E5081" s="925" t="s">
        <v>5677</v>
      </c>
      <c r="F5081" s="909" t="s">
        <v>2673</v>
      </c>
      <c r="G5081" s="910"/>
      <c r="H5081" s="911">
        <v>0.7</v>
      </c>
      <c r="I5081" s="912"/>
      <c r="J5081" s="912"/>
      <c r="K5081" s="912"/>
      <c r="L5081" s="912"/>
      <c r="M5081" s="912">
        <f>VLOOKUP(B5081,MTC!$B$9:$S$933,12,0)</f>
        <v>0</v>
      </c>
      <c r="N5081" s="912">
        <f>M5081*H5081</f>
        <v>0</v>
      </c>
      <c r="O5081" s="892">
        <f t="shared" si="316"/>
        <v>0</v>
      </c>
      <c r="P5081" s="903">
        <f t="shared" si="317"/>
        <v>1</v>
      </c>
      <c r="Q5081" s="893">
        <f t="shared" si="318"/>
        <v>2</v>
      </c>
      <c r="R5081" s="894">
        <f t="shared" si="319"/>
        <v>0</v>
      </c>
    </row>
    <row r="5082" spans="1:18">
      <c r="A5082" s="905"/>
      <c r="B5082" s="906" t="s">
        <v>5678</v>
      </c>
      <c r="C5082" s="907">
        <v>829</v>
      </c>
      <c r="D5082" s="907" t="s">
        <v>93</v>
      </c>
      <c r="E5082" s="925" t="s">
        <v>5679</v>
      </c>
      <c r="F5082" s="909" t="s">
        <v>2673</v>
      </c>
      <c r="G5082" s="910"/>
      <c r="H5082" s="911">
        <v>1</v>
      </c>
      <c r="I5082" s="912"/>
      <c r="J5082" s="912"/>
      <c r="K5082" s="912"/>
      <c r="L5082" s="912"/>
      <c r="M5082" s="912">
        <f>VLOOKUP(B5082,MTC!$B$9:$S$933,12,0)</f>
        <v>255441</v>
      </c>
      <c r="N5082" s="912">
        <f>M5082*H5082</f>
        <v>255441</v>
      </c>
      <c r="O5082" s="892">
        <f t="shared" si="316"/>
        <v>0</v>
      </c>
      <c r="P5082" s="903">
        <f t="shared" si="317"/>
        <v>1</v>
      </c>
      <c r="Q5082" s="893">
        <f t="shared" si="318"/>
        <v>1</v>
      </c>
      <c r="R5082" s="894">
        <f t="shared" si="319"/>
        <v>0</v>
      </c>
    </row>
    <row r="5083" spans="1:18" s="847" customFormat="1" ht="31.5">
      <c r="A5083" s="905"/>
      <c r="B5083" s="914" t="s">
        <v>5686</v>
      </c>
      <c r="C5083" s="915"/>
      <c r="D5083" s="915"/>
      <c r="E5083" s="916" t="s">
        <v>5687</v>
      </c>
      <c r="F5083" s="917" t="s">
        <v>2337</v>
      </c>
      <c r="G5083" s="918"/>
      <c r="H5083" s="919"/>
      <c r="I5083" s="920"/>
      <c r="J5083" s="891">
        <f>SUM(J5084:J5091)</f>
        <v>230032.22999999998</v>
      </c>
      <c r="K5083" s="891"/>
      <c r="L5083" s="891">
        <f>SUM(L5084:L5091)</f>
        <v>2369486.4499999997</v>
      </c>
      <c r="M5083" s="891"/>
      <c r="N5083" s="891">
        <f>SUM(N5084:N5091)</f>
        <v>280985.10000000003</v>
      </c>
      <c r="O5083" s="892">
        <f t="shared" si="316"/>
        <v>1</v>
      </c>
      <c r="P5083" s="903">
        <f t="shared" si="317"/>
        <v>0</v>
      </c>
      <c r="Q5083" s="893">
        <f t="shared" si="318"/>
        <v>0</v>
      </c>
      <c r="R5083" s="894">
        <f t="shared" si="319"/>
        <v>8</v>
      </c>
    </row>
    <row r="5084" spans="1:18" s="904" customFormat="1">
      <c r="A5084" s="895"/>
      <c r="B5084" s="896"/>
      <c r="C5084" s="897"/>
      <c r="D5084" s="897"/>
      <c r="E5084" s="898" t="s">
        <v>108</v>
      </c>
      <c r="F5084" s="899"/>
      <c r="G5084" s="900"/>
      <c r="H5084" s="901"/>
      <c r="I5084" s="902"/>
      <c r="J5084" s="902"/>
      <c r="K5084" s="912" t="s">
        <v>274</v>
      </c>
      <c r="L5084" s="902"/>
      <c r="M5084" s="902"/>
      <c r="N5084" s="902"/>
      <c r="O5084" s="892">
        <f t="shared" si="316"/>
        <v>0</v>
      </c>
      <c r="P5084" s="903">
        <f t="shared" si="317"/>
        <v>1</v>
      </c>
      <c r="Q5084" s="893">
        <f t="shared" si="318"/>
        <v>8</v>
      </c>
      <c r="R5084" s="894">
        <f t="shared" si="319"/>
        <v>0</v>
      </c>
    </row>
    <row r="5085" spans="1:18">
      <c r="A5085" s="905"/>
      <c r="B5085" s="906"/>
      <c r="C5085" s="907">
        <v>63</v>
      </c>
      <c r="D5085" s="907" t="s">
        <v>279</v>
      </c>
      <c r="E5085" s="925" t="s">
        <v>5675</v>
      </c>
      <c r="F5085" s="926" t="s">
        <v>47</v>
      </c>
      <c r="G5085" s="910"/>
      <c r="H5085" s="911">
        <v>0.06</v>
      </c>
      <c r="I5085" s="912">
        <f>VLOOKUP(E5085,[3]VLP!$B$7:$K$300,10,0)</f>
        <v>3545455</v>
      </c>
      <c r="J5085" s="912">
        <f>I5085*H5085</f>
        <v>212727.3</v>
      </c>
      <c r="K5085" s="912" t="s">
        <v>274</v>
      </c>
      <c r="L5085" s="912"/>
      <c r="M5085" s="912"/>
      <c r="N5085" s="912"/>
      <c r="O5085" s="892">
        <f t="shared" si="316"/>
        <v>0</v>
      </c>
      <c r="P5085" s="903">
        <f t="shared" si="317"/>
        <v>1</v>
      </c>
      <c r="Q5085" s="893">
        <f t="shared" si="318"/>
        <v>7</v>
      </c>
      <c r="R5085" s="894">
        <f t="shared" si="319"/>
        <v>0</v>
      </c>
    </row>
    <row r="5086" spans="1:18">
      <c r="A5086" s="905"/>
      <c r="B5086" s="906"/>
      <c r="C5086" s="907">
        <v>119</v>
      </c>
      <c r="D5086" s="907" t="s">
        <v>279</v>
      </c>
      <c r="E5086" s="925" t="s">
        <v>3270</v>
      </c>
      <c r="F5086" s="926" t="s">
        <v>45</v>
      </c>
      <c r="G5086" s="910"/>
      <c r="H5086" s="911">
        <v>1.41</v>
      </c>
      <c r="I5086" s="912">
        <f>VLOOKUP(E5086,[3]VLP!$B$7:$K$300,10,0)</f>
        <v>12273</v>
      </c>
      <c r="J5086" s="912">
        <f>I5086*H5086</f>
        <v>17304.93</v>
      </c>
      <c r="K5086" s="912" t="s">
        <v>274</v>
      </c>
      <c r="L5086" s="912"/>
      <c r="M5086" s="912"/>
      <c r="N5086" s="912"/>
      <c r="O5086" s="892">
        <f t="shared" si="316"/>
        <v>0</v>
      </c>
      <c r="P5086" s="903">
        <f t="shared" si="317"/>
        <v>1</v>
      </c>
      <c r="Q5086" s="893">
        <f t="shared" si="318"/>
        <v>6</v>
      </c>
      <c r="R5086" s="894">
        <f t="shared" si="319"/>
        <v>0</v>
      </c>
    </row>
    <row r="5087" spans="1:18" s="904" customFormat="1">
      <c r="A5087" s="895"/>
      <c r="B5087" s="896"/>
      <c r="C5087" s="897"/>
      <c r="D5087" s="897"/>
      <c r="E5087" s="924" t="s">
        <v>276</v>
      </c>
      <c r="F5087" s="927"/>
      <c r="G5087" s="928"/>
      <c r="H5087" s="901"/>
      <c r="I5087" s="902"/>
      <c r="J5087" s="902"/>
      <c r="K5087" s="912" t="s">
        <v>274</v>
      </c>
      <c r="L5087" s="902"/>
      <c r="M5087" s="902"/>
      <c r="N5087" s="902"/>
      <c r="O5087" s="892">
        <f t="shared" ref="O5087:O5150" si="320">IF(AND(B5087&lt;&gt;"",D5087=""),1,0)</f>
        <v>0</v>
      </c>
      <c r="P5087" s="903">
        <f t="shared" si="317"/>
        <v>1</v>
      </c>
      <c r="Q5087" s="893">
        <f t="shared" si="318"/>
        <v>5</v>
      </c>
      <c r="R5087" s="894">
        <f t="shared" si="319"/>
        <v>0</v>
      </c>
    </row>
    <row r="5088" spans="1:18">
      <c r="A5088" s="905"/>
      <c r="B5088" s="906"/>
      <c r="C5088" s="907">
        <v>745</v>
      </c>
      <c r="D5088" s="907" t="s">
        <v>12</v>
      </c>
      <c r="E5088" s="908" t="s">
        <v>5518</v>
      </c>
      <c r="F5088" s="909" t="s">
        <v>2674</v>
      </c>
      <c r="G5088" s="910"/>
      <c r="H5088" s="911">
        <v>9.85</v>
      </c>
      <c r="I5088" s="912"/>
      <c r="J5088" s="912"/>
      <c r="K5088" s="912">
        <f>VLOOKUP(E5088,[5]ĐMNC!$A$7:$F$67,4,0)</f>
        <v>240557</v>
      </c>
      <c r="L5088" s="912">
        <f>H5088*K5088</f>
        <v>2369486.4499999997</v>
      </c>
      <c r="M5088" s="912"/>
      <c r="N5088" s="912"/>
      <c r="O5088" s="892">
        <f t="shared" si="320"/>
        <v>0</v>
      </c>
      <c r="P5088" s="903">
        <f t="shared" si="317"/>
        <v>1</v>
      </c>
      <c r="Q5088" s="893">
        <f t="shared" si="318"/>
        <v>4</v>
      </c>
      <c r="R5088" s="894">
        <f t="shared" si="319"/>
        <v>0</v>
      </c>
    </row>
    <row r="5089" spans="1:18" s="904" customFormat="1">
      <c r="A5089" s="895"/>
      <c r="B5089" s="896"/>
      <c r="C5089" s="897"/>
      <c r="D5089" s="897"/>
      <c r="E5089" s="898" t="s">
        <v>3914</v>
      </c>
      <c r="F5089" s="899"/>
      <c r="G5089" s="928"/>
      <c r="H5089" s="901"/>
      <c r="I5089" s="902"/>
      <c r="J5089" s="902"/>
      <c r="K5089" s="912" t="s">
        <v>274</v>
      </c>
      <c r="L5089" s="902"/>
      <c r="M5089" s="902"/>
      <c r="N5089" s="902"/>
      <c r="O5089" s="892">
        <f t="shared" si="320"/>
        <v>0</v>
      </c>
      <c r="P5089" s="903">
        <f t="shared" si="317"/>
        <v>1</v>
      </c>
      <c r="Q5089" s="893">
        <f t="shared" si="318"/>
        <v>3</v>
      </c>
      <c r="R5089" s="894">
        <f t="shared" si="319"/>
        <v>0</v>
      </c>
    </row>
    <row r="5090" spans="1:18">
      <c r="A5090" s="905"/>
      <c r="B5090" s="763" t="s">
        <v>5676</v>
      </c>
      <c r="C5090" s="907">
        <v>865</v>
      </c>
      <c r="D5090" s="907" t="s">
        <v>93</v>
      </c>
      <c r="E5090" s="925" t="s">
        <v>5677</v>
      </c>
      <c r="F5090" s="909" t="s">
        <v>2673</v>
      </c>
      <c r="G5090" s="910"/>
      <c r="H5090" s="911">
        <v>0.8</v>
      </c>
      <c r="I5090" s="912"/>
      <c r="J5090" s="912"/>
      <c r="K5090" s="912"/>
      <c r="L5090" s="912"/>
      <c r="M5090" s="912">
        <f>VLOOKUP(B5090,MTC!$B$9:$S$933,12,0)</f>
        <v>0</v>
      </c>
      <c r="N5090" s="912">
        <f>M5090*H5090</f>
        <v>0</v>
      </c>
      <c r="O5090" s="892">
        <f t="shared" si="320"/>
        <v>0</v>
      </c>
      <c r="P5090" s="903">
        <f t="shared" si="317"/>
        <v>1</v>
      </c>
      <c r="Q5090" s="893">
        <f t="shared" si="318"/>
        <v>2</v>
      </c>
      <c r="R5090" s="894">
        <f t="shared" si="319"/>
        <v>0</v>
      </c>
    </row>
    <row r="5091" spans="1:18">
      <c r="A5091" s="905"/>
      <c r="B5091" s="906" t="s">
        <v>5678</v>
      </c>
      <c r="C5091" s="907">
        <v>829</v>
      </c>
      <c r="D5091" s="907" t="s">
        <v>93</v>
      </c>
      <c r="E5091" s="925" t="s">
        <v>5679</v>
      </c>
      <c r="F5091" s="909" t="s">
        <v>2673</v>
      </c>
      <c r="G5091" s="910"/>
      <c r="H5091" s="911">
        <v>1.1000000000000001</v>
      </c>
      <c r="I5091" s="912"/>
      <c r="J5091" s="912"/>
      <c r="K5091" s="912"/>
      <c r="L5091" s="912"/>
      <c r="M5091" s="912">
        <f>VLOOKUP(B5091,MTC!$B$9:$S$933,12,0)</f>
        <v>255441</v>
      </c>
      <c r="N5091" s="912">
        <f>M5091*H5091</f>
        <v>280985.10000000003</v>
      </c>
      <c r="O5091" s="892">
        <f t="shared" si="320"/>
        <v>0</v>
      </c>
      <c r="P5091" s="903">
        <f t="shared" si="317"/>
        <v>1</v>
      </c>
      <c r="Q5091" s="893">
        <f t="shared" si="318"/>
        <v>1</v>
      </c>
      <c r="R5091" s="894">
        <f t="shared" si="319"/>
        <v>0</v>
      </c>
    </row>
    <row r="5092" spans="1:18" s="847" customFormat="1" ht="31.5">
      <c r="A5092" s="905"/>
      <c r="B5092" s="914" t="s">
        <v>5688</v>
      </c>
      <c r="C5092" s="915"/>
      <c r="D5092" s="915"/>
      <c r="E5092" s="916" t="s">
        <v>5689</v>
      </c>
      <c r="F5092" s="917" t="s">
        <v>2337</v>
      </c>
      <c r="G5092" s="918"/>
      <c r="H5092" s="919"/>
      <c r="I5092" s="920"/>
      <c r="J5092" s="891">
        <f>SUM(J5093:J5100)</f>
        <v>230032.22999999998</v>
      </c>
      <c r="K5092" s="891"/>
      <c r="L5092" s="891">
        <f>SUM(L5093:L5100)</f>
        <v>3555432.46</v>
      </c>
      <c r="M5092" s="891"/>
      <c r="N5092" s="891">
        <f>SUM(N5093:N5100)</f>
        <v>306529.2</v>
      </c>
      <c r="O5092" s="892">
        <f t="shared" si="320"/>
        <v>1</v>
      </c>
      <c r="P5092" s="903">
        <f t="shared" si="317"/>
        <v>0</v>
      </c>
      <c r="Q5092" s="893">
        <f t="shared" si="318"/>
        <v>0</v>
      </c>
      <c r="R5092" s="894">
        <f t="shared" si="319"/>
        <v>8</v>
      </c>
    </row>
    <row r="5093" spans="1:18" s="904" customFormat="1">
      <c r="A5093" s="895"/>
      <c r="B5093" s="896"/>
      <c r="C5093" s="897"/>
      <c r="D5093" s="897"/>
      <c r="E5093" s="898" t="s">
        <v>108</v>
      </c>
      <c r="F5093" s="899"/>
      <c r="G5093" s="900"/>
      <c r="H5093" s="901"/>
      <c r="I5093" s="902"/>
      <c r="J5093" s="902"/>
      <c r="K5093" s="912" t="s">
        <v>274</v>
      </c>
      <c r="L5093" s="902"/>
      <c r="M5093" s="902"/>
      <c r="N5093" s="902"/>
      <c r="O5093" s="892">
        <f t="shared" si="320"/>
        <v>0</v>
      </c>
      <c r="P5093" s="903">
        <f t="shared" si="317"/>
        <v>1</v>
      </c>
      <c r="Q5093" s="893">
        <f t="shared" si="318"/>
        <v>8</v>
      </c>
      <c r="R5093" s="894">
        <f t="shared" si="319"/>
        <v>0</v>
      </c>
    </row>
    <row r="5094" spans="1:18">
      <c r="A5094" s="905"/>
      <c r="B5094" s="906"/>
      <c r="C5094" s="907">
        <v>63</v>
      </c>
      <c r="D5094" s="907" t="s">
        <v>279</v>
      </c>
      <c r="E5094" s="925" t="s">
        <v>5675</v>
      </c>
      <c r="F5094" s="926" t="s">
        <v>47</v>
      </c>
      <c r="G5094" s="910"/>
      <c r="H5094" s="911">
        <v>0.06</v>
      </c>
      <c r="I5094" s="912">
        <f>VLOOKUP(E5094,[3]VLP!$B$7:$K$300,10,0)</f>
        <v>3545455</v>
      </c>
      <c r="J5094" s="912">
        <f>I5094*H5094</f>
        <v>212727.3</v>
      </c>
      <c r="K5094" s="912" t="s">
        <v>274</v>
      </c>
      <c r="L5094" s="912"/>
      <c r="M5094" s="912"/>
      <c r="N5094" s="912"/>
      <c r="O5094" s="892">
        <f t="shared" si="320"/>
        <v>0</v>
      </c>
      <c r="P5094" s="903">
        <f t="shared" si="317"/>
        <v>1</v>
      </c>
      <c r="Q5094" s="893">
        <f t="shared" si="318"/>
        <v>7</v>
      </c>
      <c r="R5094" s="894">
        <f t="shared" si="319"/>
        <v>0</v>
      </c>
    </row>
    <row r="5095" spans="1:18">
      <c r="A5095" s="905"/>
      <c r="B5095" s="906"/>
      <c r="C5095" s="907">
        <v>119</v>
      </c>
      <c r="D5095" s="907" t="s">
        <v>279</v>
      </c>
      <c r="E5095" s="925" t="s">
        <v>3270</v>
      </c>
      <c r="F5095" s="926" t="s">
        <v>45</v>
      </c>
      <c r="G5095" s="910"/>
      <c r="H5095" s="911">
        <v>1.41</v>
      </c>
      <c r="I5095" s="912">
        <f>VLOOKUP(E5095,[3]VLP!$B$7:$K$300,10,0)</f>
        <v>12273</v>
      </c>
      <c r="J5095" s="912">
        <f>I5095*H5095</f>
        <v>17304.93</v>
      </c>
      <c r="K5095" s="912" t="s">
        <v>274</v>
      </c>
      <c r="L5095" s="912"/>
      <c r="M5095" s="912"/>
      <c r="N5095" s="912"/>
      <c r="O5095" s="892">
        <f t="shared" si="320"/>
        <v>0</v>
      </c>
      <c r="P5095" s="903">
        <f t="shared" si="317"/>
        <v>1</v>
      </c>
      <c r="Q5095" s="893">
        <f t="shared" si="318"/>
        <v>6</v>
      </c>
      <c r="R5095" s="894">
        <f t="shared" si="319"/>
        <v>0</v>
      </c>
    </row>
    <row r="5096" spans="1:18" s="904" customFormat="1">
      <c r="A5096" s="895"/>
      <c r="B5096" s="896"/>
      <c r="C5096" s="897"/>
      <c r="D5096" s="897"/>
      <c r="E5096" s="924" t="s">
        <v>276</v>
      </c>
      <c r="F5096" s="927"/>
      <c r="G5096" s="928"/>
      <c r="H5096" s="901"/>
      <c r="I5096" s="902"/>
      <c r="J5096" s="902"/>
      <c r="K5096" s="912" t="s">
        <v>274</v>
      </c>
      <c r="L5096" s="902"/>
      <c r="M5096" s="902"/>
      <c r="N5096" s="902"/>
      <c r="O5096" s="892">
        <f t="shared" si="320"/>
        <v>0</v>
      </c>
      <c r="P5096" s="903">
        <f t="shared" ref="P5096:P5159" si="321">IF(O5096=0,1,0)</f>
        <v>1</v>
      </c>
      <c r="Q5096" s="893">
        <f t="shared" ref="Q5096:Q5159" si="322">IF(P5096=0,0,P5096+Q5097)</f>
        <v>5</v>
      </c>
      <c r="R5096" s="894">
        <f t="shared" ref="R5096:R5159" si="323">IF(Q5096=0,Q5097,0)</f>
        <v>0</v>
      </c>
    </row>
    <row r="5097" spans="1:18">
      <c r="A5097" s="905"/>
      <c r="B5097" s="906"/>
      <c r="C5097" s="907">
        <v>745</v>
      </c>
      <c r="D5097" s="907" t="s">
        <v>12</v>
      </c>
      <c r="E5097" s="908" t="s">
        <v>5518</v>
      </c>
      <c r="F5097" s="909" t="s">
        <v>2674</v>
      </c>
      <c r="G5097" s="910"/>
      <c r="H5097" s="911">
        <v>14.78</v>
      </c>
      <c r="I5097" s="912"/>
      <c r="J5097" s="912"/>
      <c r="K5097" s="912">
        <f>VLOOKUP(E5097,[5]ĐMNC!$A$7:$F$67,4,0)</f>
        <v>240557</v>
      </c>
      <c r="L5097" s="912">
        <f>H5097*K5097</f>
        <v>3555432.46</v>
      </c>
      <c r="M5097" s="912"/>
      <c r="N5097" s="912"/>
      <c r="O5097" s="892">
        <f t="shared" si="320"/>
        <v>0</v>
      </c>
      <c r="P5097" s="903">
        <f t="shared" si="321"/>
        <v>1</v>
      </c>
      <c r="Q5097" s="893">
        <f t="shared" si="322"/>
        <v>4</v>
      </c>
      <c r="R5097" s="894">
        <f t="shared" si="323"/>
        <v>0</v>
      </c>
    </row>
    <row r="5098" spans="1:18" s="904" customFormat="1">
      <c r="A5098" s="895"/>
      <c r="B5098" s="896"/>
      <c r="C5098" s="897"/>
      <c r="D5098" s="897"/>
      <c r="E5098" s="898" t="s">
        <v>3914</v>
      </c>
      <c r="F5098" s="899"/>
      <c r="G5098" s="928"/>
      <c r="H5098" s="901"/>
      <c r="I5098" s="902"/>
      <c r="J5098" s="902"/>
      <c r="K5098" s="912" t="s">
        <v>274</v>
      </c>
      <c r="L5098" s="902"/>
      <c r="M5098" s="902"/>
      <c r="N5098" s="902"/>
      <c r="O5098" s="892">
        <f t="shared" si="320"/>
        <v>0</v>
      </c>
      <c r="P5098" s="903">
        <f t="shared" si="321"/>
        <v>1</v>
      </c>
      <c r="Q5098" s="893">
        <f t="shared" si="322"/>
        <v>3</v>
      </c>
      <c r="R5098" s="894">
        <f t="shared" si="323"/>
        <v>0</v>
      </c>
    </row>
    <row r="5099" spans="1:18">
      <c r="A5099" s="905"/>
      <c r="B5099" s="763" t="s">
        <v>5676</v>
      </c>
      <c r="C5099" s="907">
        <v>865</v>
      </c>
      <c r="D5099" s="907" t="s">
        <v>93</v>
      </c>
      <c r="E5099" s="925" t="s">
        <v>5677</v>
      </c>
      <c r="F5099" s="909" t="s">
        <v>2673</v>
      </c>
      <c r="G5099" s="910"/>
      <c r="H5099" s="911">
        <v>0.9</v>
      </c>
      <c r="I5099" s="912"/>
      <c r="J5099" s="912"/>
      <c r="K5099" s="912"/>
      <c r="L5099" s="912"/>
      <c r="M5099" s="912">
        <f>VLOOKUP(B5099,MTC!$B$9:$S$933,12,0)</f>
        <v>0</v>
      </c>
      <c r="N5099" s="912">
        <f>M5099*H5099</f>
        <v>0</v>
      </c>
      <c r="O5099" s="892">
        <f t="shared" si="320"/>
        <v>0</v>
      </c>
      <c r="P5099" s="903">
        <f t="shared" si="321"/>
        <v>1</v>
      </c>
      <c r="Q5099" s="893">
        <f t="shared" si="322"/>
        <v>2</v>
      </c>
      <c r="R5099" s="894">
        <f t="shared" si="323"/>
        <v>0</v>
      </c>
    </row>
    <row r="5100" spans="1:18">
      <c r="A5100" s="905"/>
      <c r="B5100" s="906" t="s">
        <v>5678</v>
      </c>
      <c r="C5100" s="907">
        <v>829</v>
      </c>
      <c r="D5100" s="907" t="s">
        <v>93</v>
      </c>
      <c r="E5100" s="925" t="s">
        <v>5679</v>
      </c>
      <c r="F5100" s="909" t="s">
        <v>2673</v>
      </c>
      <c r="G5100" s="910"/>
      <c r="H5100" s="911">
        <v>1.2</v>
      </c>
      <c r="I5100" s="912"/>
      <c r="J5100" s="912"/>
      <c r="K5100" s="912"/>
      <c r="L5100" s="912"/>
      <c r="M5100" s="912">
        <f>VLOOKUP(B5100,MTC!$B$9:$S$933,12,0)</f>
        <v>255441</v>
      </c>
      <c r="N5100" s="912">
        <f>M5100*H5100</f>
        <v>306529.2</v>
      </c>
      <c r="O5100" s="892">
        <f t="shared" si="320"/>
        <v>0</v>
      </c>
      <c r="P5100" s="903">
        <f t="shared" si="321"/>
        <v>1</v>
      </c>
      <c r="Q5100" s="893">
        <f t="shared" si="322"/>
        <v>1</v>
      </c>
      <c r="R5100" s="894">
        <f t="shared" si="323"/>
        <v>0</v>
      </c>
    </row>
    <row r="5101" spans="1:18" s="847" customFormat="1">
      <c r="A5101" s="905" t="s">
        <v>5690</v>
      </c>
      <c r="B5101" s="914" t="s">
        <v>1494</v>
      </c>
      <c r="C5101" s="915"/>
      <c r="D5101" s="915"/>
      <c r="E5101" s="916" t="s">
        <v>5691</v>
      </c>
      <c r="F5101" s="917" t="s">
        <v>47</v>
      </c>
      <c r="G5101" s="918"/>
      <c r="H5101" s="919"/>
      <c r="I5101" s="920"/>
      <c r="J5101" s="891">
        <f>SUM(J5102:J5103)</f>
        <v>0</v>
      </c>
      <c r="K5101" s="891"/>
      <c r="L5101" s="891">
        <f>SUM(L5102:L5103)</f>
        <v>93140.5</v>
      </c>
      <c r="M5101" s="891"/>
      <c r="N5101" s="891">
        <f>SUM(N5102:N5103)</f>
        <v>0</v>
      </c>
      <c r="O5101" s="892">
        <f t="shared" si="320"/>
        <v>1</v>
      </c>
      <c r="P5101" s="903">
        <f t="shared" si="321"/>
        <v>0</v>
      </c>
      <c r="Q5101" s="893">
        <f t="shared" si="322"/>
        <v>0</v>
      </c>
      <c r="R5101" s="894">
        <f t="shared" si="323"/>
        <v>2</v>
      </c>
    </row>
    <row r="5102" spans="1:18" s="904" customFormat="1">
      <c r="A5102" s="895"/>
      <c r="B5102" s="896"/>
      <c r="C5102" s="897"/>
      <c r="D5102" s="897"/>
      <c r="E5102" s="924" t="s">
        <v>276</v>
      </c>
      <c r="F5102" s="927"/>
      <c r="G5102" s="928"/>
      <c r="H5102" s="901"/>
      <c r="I5102" s="902"/>
      <c r="J5102" s="902"/>
      <c r="K5102" s="912" t="s">
        <v>274</v>
      </c>
      <c r="L5102" s="902"/>
      <c r="M5102" s="902"/>
      <c r="N5102" s="902"/>
      <c r="O5102" s="892">
        <f t="shared" si="320"/>
        <v>0</v>
      </c>
      <c r="P5102" s="903">
        <f t="shared" si="321"/>
        <v>1</v>
      </c>
      <c r="Q5102" s="893">
        <f t="shared" si="322"/>
        <v>2</v>
      </c>
      <c r="R5102" s="894">
        <f t="shared" si="323"/>
        <v>0</v>
      </c>
    </row>
    <row r="5103" spans="1:18">
      <c r="A5103" s="905"/>
      <c r="B5103" s="906"/>
      <c r="C5103" s="907">
        <v>730</v>
      </c>
      <c r="D5103" s="907" t="s">
        <v>12</v>
      </c>
      <c r="E5103" s="908" t="s">
        <v>3921</v>
      </c>
      <c r="F5103" s="909" t="s">
        <v>2674</v>
      </c>
      <c r="G5103" s="910"/>
      <c r="H5103" s="911">
        <v>0.5</v>
      </c>
      <c r="I5103" s="912"/>
      <c r="J5103" s="912"/>
      <c r="K5103" s="912">
        <f>VLOOKUP(E5103,[5]ĐMNC!$A$7:$F$67,4,0)</f>
        <v>186281</v>
      </c>
      <c r="L5103" s="912">
        <f>H5103*K5103</f>
        <v>93140.5</v>
      </c>
      <c r="M5103" s="912"/>
      <c r="N5103" s="912"/>
      <c r="O5103" s="892">
        <f t="shared" si="320"/>
        <v>0</v>
      </c>
      <c r="P5103" s="903">
        <f t="shared" si="321"/>
        <v>1</v>
      </c>
      <c r="Q5103" s="893">
        <f t="shared" si="322"/>
        <v>1</v>
      </c>
      <c r="R5103" s="894">
        <f t="shared" si="323"/>
        <v>0</v>
      </c>
    </row>
    <row r="5104" spans="1:18" s="847" customFormat="1">
      <c r="A5104" s="905"/>
      <c r="B5104" s="914" t="s">
        <v>1496</v>
      </c>
      <c r="C5104" s="915"/>
      <c r="D5104" s="915"/>
      <c r="E5104" s="916" t="s">
        <v>5692</v>
      </c>
      <c r="F5104" s="917" t="s">
        <v>43</v>
      </c>
      <c r="G5104" s="918"/>
      <c r="H5104" s="919"/>
      <c r="I5104" s="920"/>
      <c r="J5104" s="891">
        <f>SUM(J5105:J5106)</f>
        <v>0</v>
      </c>
      <c r="K5104" s="891"/>
      <c r="L5104" s="891">
        <f>SUM(L5105:L5106)</f>
        <v>93140.5</v>
      </c>
      <c r="M5104" s="891"/>
      <c r="N5104" s="891">
        <f>SUM(N5105:N5106)</f>
        <v>0</v>
      </c>
      <c r="O5104" s="892">
        <f t="shared" si="320"/>
        <v>1</v>
      </c>
      <c r="P5104" s="903">
        <f t="shared" si="321"/>
        <v>0</v>
      </c>
      <c r="Q5104" s="893">
        <f t="shared" si="322"/>
        <v>0</v>
      </c>
      <c r="R5104" s="894">
        <f t="shared" si="323"/>
        <v>2</v>
      </c>
    </row>
    <row r="5105" spans="1:18" s="904" customFormat="1">
      <c r="A5105" s="895"/>
      <c r="B5105" s="896"/>
      <c r="C5105" s="897"/>
      <c r="D5105" s="897"/>
      <c r="E5105" s="924" t="s">
        <v>276</v>
      </c>
      <c r="F5105" s="927"/>
      <c r="G5105" s="928"/>
      <c r="H5105" s="901"/>
      <c r="I5105" s="902"/>
      <c r="J5105" s="902"/>
      <c r="K5105" s="912" t="s">
        <v>274</v>
      </c>
      <c r="L5105" s="902"/>
      <c r="M5105" s="902"/>
      <c r="N5105" s="902"/>
      <c r="O5105" s="892">
        <f t="shared" si="320"/>
        <v>0</v>
      </c>
      <c r="P5105" s="903">
        <f t="shared" si="321"/>
        <v>1</v>
      </c>
      <c r="Q5105" s="893">
        <f t="shared" si="322"/>
        <v>2</v>
      </c>
      <c r="R5105" s="894">
        <f t="shared" si="323"/>
        <v>0</v>
      </c>
    </row>
    <row r="5106" spans="1:18">
      <c r="A5106" s="905"/>
      <c r="B5106" s="906"/>
      <c r="C5106" s="907">
        <v>730</v>
      </c>
      <c r="D5106" s="907" t="s">
        <v>12</v>
      </c>
      <c r="E5106" s="908" t="s">
        <v>3921</v>
      </c>
      <c r="F5106" s="909" t="s">
        <v>2674</v>
      </c>
      <c r="G5106" s="910"/>
      <c r="H5106" s="911">
        <v>0.5</v>
      </c>
      <c r="I5106" s="912"/>
      <c r="J5106" s="912"/>
      <c r="K5106" s="912">
        <f>VLOOKUP(E5106,[5]ĐMNC!$A$7:$F$67,4,0)</f>
        <v>186281</v>
      </c>
      <c r="L5106" s="912">
        <f>H5106*K5106</f>
        <v>93140.5</v>
      </c>
      <c r="M5106" s="912"/>
      <c r="N5106" s="912"/>
      <c r="O5106" s="892">
        <f t="shared" si="320"/>
        <v>0</v>
      </c>
      <c r="P5106" s="903">
        <f t="shared" si="321"/>
        <v>1</v>
      </c>
      <c r="Q5106" s="893">
        <f t="shared" si="322"/>
        <v>1</v>
      </c>
      <c r="R5106" s="894">
        <f t="shared" si="323"/>
        <v>0</v>
      </c>
    </row>
    <row r="5107" spans="1:18" s="847" customFormat="1">
      <c r="A5107" s="905"/>
      <c r="B5107" s="914" t="s">
        <v>1498</v>
      </c>
      <c r="C5107" s="915"/>
      <c r="D5107" s="915"/>
      <c r="E5107" s="916" t="s">
        <v>5693</v>
      </c>
      <c r="F5107" s="917" t="s">
        <v>43</v>
      </c>
      <c r="G5107" s="918"/>
      <c r="H5107" s="919"/>
      <c r="I5107" s="920"/>
      <c r="J5107" s="891">
        <f>SUM(J5108:J5109)</f>
        <v>0</v>
      </c>
      <c r="K5107" s="891"/>
      <c r="L5107" s="891">
        <f>SUM(L5108:L5109)</f>
        <v>186281</v>
      </c>
      <c r="M5107" s="891"/>
      <c r="N5107" s="891">
        <f>SUM(N5108:N5109)</f>
        <v>0</v>
      </c>
      <c r="O5107" s="892">
        <f t="shared" si="320"/>
        <v>1</v>
      </c>
      <c r="P5107" s="903">
        <f t="shared" si="321"/>
        <v>0</v>
      </c>
      <c r="Q5107" s="893">
        <f t="shared" si="322"/>
        <v>0</v>
      </c>
      <c r="R5107" s="894">
        <f t="shared" si="323"/>
        <v>2</v>
      </c>
    </row>
    <row r="5108" spans="1:18" s="904" customFormat="1">
      <c r="A5108" s="895"/>
      <c r="B5108" s="896"/>
      <c r="C5108" s="897"/>
      <c r="D5108" s="897"/>
      <c r="E5108" s="924" t="s">
        <v>276</v>
      </c>
      <c r="F5108" s="927"/>
      <c r="G5108" s="928"/>
      <c r="H5108" s="901"/>
      <c r="I5108" s="902"/>
      <c r="J5108" s="902"/>
      <c r="K5108" s="912" t="s">
        <v>274</v>
      </c>
      <c r="L5108" s="902"/>
      <c r="M5108" s="902"/>
      <c r="N5108" s="902"/>
      <c r="O5108" s="892">
        <f t="shared" si="320"/>
        <v>0</v>
      </c>
      <c r="P5108" s="903">
        <f t="shared" si="321"/>
        <v>1</v>
      </c>
      <c r="Q5108" s="893">
        <f t="shared" si="322"/>
        <v>2</v>
      </c>
      <c r="R5108" s="894">
        <f t="shared" si="323"/>
        <v>0</v>
      </c>
    </row>
    <row r="5109" spans="1:18">
      <c r="A5109" s="905"/>
      <c r="B5109" s="906"/>
      <c r="C5109" s="907">
        <v>730</v>
      </c>
      <c r="D5109" s="907" t="s">
        <v>12</v>
      </c>
      <c r="E5109" s="908" t="s">
        <v>3921</v>
      </c>
      <c r="F5109" s="909" t="s">
        <v>2674</v>
      </c>
      <c r="G5109" s="910"/>
      <c r="H5109" s="911">
        <v>1</v>
      </c>
      <c r="I5109" s="912"/>
      <c r="J5109" s="912"/>
      <c r="K5109" s="912">
        <f>VLOOKUP(E5109,[5]ĐMNC!$A$7:$F$67,4,0)</f>
        <v>186281</v>
      </c>
      <c r="L5109" s="912">
        <f>H5109*K5109</f>
        <v>186281</v>
      </c>
      <c r="M5109" s="912"/>
      <c r="N5109" s="912"/>
      <c r="O5109" s="892">
        <f t="shared" si="320"/>
        <v>0</v>
      </c>
      <c r="P5109" s="903">
        <f t="shared" si="321"/>
        <v>1</v>
      </c>
      <c r="Q5109" s="893">
        <f t="shared" si="322"/>
        <v>1</v>
      </c>
      <c r="R5109" s="894">
        <f t="shared" si="323"/>
        <v>0</v>
      </c>
    </row>
    <row r="5110" spans="1:18" s="847" customFormat="1">
      <c r="A5110" s="905"/>
      <c r="B5110" s="914" t="s">
        <v>1500</v>
      </c>
      <c r="C5110" s="915"/>
      <c r="D5110" s="915"/>
      <c r="E5110" s="916" t="s">
        <v>5694</v>
      </c>
      <c r="F5110" s="917" t="s">
        <v>453</v>
      </c>
      <c r="G5110" s="918"/>
      <c r="H5110" s="919"/>
      <c r="I5110" s="920"/>
      <c r="J5110" s="891">
        <f>SUM(J5111:J5112)</f>
        <v>0</v>
      </c>
      <c r="K5110" s="891"/>
      <c r="L5110" s="891">
        <f>SUM(L5111:L5112)</f>
        <v>745124</v>
      </c>
      <c r="M5110" s="891"/>
      <c r="N5110" s="891">
        <f>SUM(N5111:N5112)</f>
        <v>0</v>
      </c>
      <c r="O5110" s="892">
        <f t="shared" si="320"/>
        <v>1</v>
      </c>
      <c r="P5110" s="903">
        <f t="shared" si="321"/>
        <v>0</v>
      </c>
      <c r="Q5110" s="893">
        <f t="shared" si="322"/>
        <v>0</v>
      </c>
      <c r="R5110" s="894">
        <f t="shared" si="323"/>
        <v>2</v>
      </c>
    </row>
    <row r="5111" spans="1:18" s="904" customFormat="1">
      <c r="A5111" s="895"/>
      <c r="B5111" s="896"/>
      <c r="C5111" s="897"/>
      <c r="D5111" s="897"/>
      <c r="E5111" s="924" t="s">
        <v>276</v>
      </c>
      <c r="F5111" s="927"/>
      <c r="G5111" s="928"/>
      <c r="H5111" s="901"/>
      <c r="I5111" s="902"/>
      <c r="J5111" s="902"/>
      <c r="K5111" s="912" t="s">
        <v>274</v>
      </c>
      <c r="L5111" s="902"/>
      <c r="M5111" s="902"/>
      <c r="N5111" s="902"/>
      <c r="O5111" s="892">
        <f t="shared" si="320"/>
        <v>0</v>
      </c>
      <c r="P5111" s="903">
        <f t="shared" si="321"/>
        <v>1</v>
      </c>
      <c r="Q5111" s="893">
        <f t="shared" si="322"/>
        <v>2</v>
      </c>
      <c r="R5111" s="894">
        <f t="shared" si="323"/>
        <v>0</v>
      </c>
    </row>
    <row r="5112" spans="1:18">
      <c r="A5112" s="905"/>
      <c r="B5112" s="906"/>
      <c r="C5112" s="907">
        <v>730</v>
      </c>
      <c r="D5112" s="907" t="s">
        <v>12</v>
      </c>
      <c r="E5112" s="908" t="s">
        <v>3921</v>
      </c>
      <c r="F5112" s="909" t="s">
        <v>2674</v>
      </c>
      <c r="G5112" s="910"/>
      <c r="H5112" s="911">
        <v>4</v>
      </c>
      <c r="I5112" s="912"/>
      <c r="J5112" s="912"/>
      <c r="K5112" s="912">
        <f>VLOOKUP(E5112,[5]ĐMNC!$A$7:$F$67,4,0)</f>
        <v>186281</v>
      </c>
      <c r="L5112" s="912">
        <f>H5112*K5112</f>
        <v>745124</v>
      </c>
      <c r="M5112" s="912"/>
      <c r="N5112" s="912"/>
      <c r="O5112" s="892">
        <f t="shared" si="320"/>
        <v>0</v>
      </c>
      <c r="P5112" s="903">
        <f t="shared" si="321"/>
        <v>1</v>
      </c>
      <c r="Q5112" s="893">
        <f t="shared" si="322"/>
        <v>1</v>
      </c>
      <c r="R5112" s="894">
        <f t="shared" si="323"/>
        <v>0</v>
      </c>
    </row>
    <row r="5113" spans="1:18" s="847" customFormat="1" ht="31.5">
      <c r="A5113" s="905"/>
      <c r="B5113" s="914" t="s">
        <v>1503</v>
      </c>
      <c r="C5113" s="915"/>
      <c r="D5113" s="915"/>
      <c r="E5113" s="916" t="s">
        <v>5695</v>
      </c>
      <c r="F5113" s="917" t="s">
        <v>1505</v>
      </c>
      <c r="G5113" s="918"/>
      <c r="H5113" s="919"/>
      <c r="I5113" s="920"/>
      <c r="J5113" s="891">
        <f>SUM(J5114:J5115)</f>
        <v>0</v>
      </c>
      <c r="K5113" s="891"/>
      <c r="L5113" s="891">
        <f>SUM(L5114:L5115)</f>
        <v>13039.670000000002</v>
      </c>
      <c r="M5113" s="891"/>
      <c r="N5113" s="891">
        <f>SUM(N5114:N5115)</f>
        <v>0</v>
      </c>
      <c r="O5113" s="892">
        <f t="shared" si="320"/>
        <v>1</v>
      </c>
      <c r="P5113" s="903">
        <f t="shared" si="321"/>
        <v>0</v>
      </c>
      <c r="Q5113" s="893">
        <f t="shared" si="322"/>
        <v>0</v>
      </c>
      <c r="R5113" s="894">
        <f t="shared" si="323"/>
        <v>2</v>
      </c>
    </row>
    <row r="5114" spans="1:18" s="904" customFormat="1">
      <c r="A5114" s="895"/>
      <c r="B5114" s="896"/>
      <c r="C5114" s="897"/>
      <c r="D5114" s="897"/>
      <c r="E5114" s="924" t="s">
        <v>276</v>
      </c>
      <c r="F5114" s="927"/>
      <c r="G5114" s="928"/>
      <c r="H5114" s="901"/>
      <c r="I5114" s="902"/>
      <c r="J5114" s="902"/>
      <c r="K5114" s="912" t="s">
        <v>274</v>
      </c>
      <c r="L5114" s="902"/>
      <c r="M5114" s="902"/>
      <c r="N5114" s="902"/>
      <c r="O5114" s="892">
        <f t="shared" si="320"/>
        <v>0</v>
      </c>
      <c r="P5114" s="903">
        <f t="shared" si="321"/>
        <v>1</v>
      </c>
      <c r="Q5114" s="893">
        <f t="shared" si="322"/>
        <v>2</v>
      </c>
      <c r="R5114" s="894">
        <f t="shared" si="323"/>
        <v>0</v>
      </c>
    </row>
    <row r="5115" spans="1:18">
      <c r="A5115" s="905"/>
      <c r="B5115" s="906"/>
      <c r="C5115" s="907">
        <v>730</v>
      </c>
      <c r="D5115" s="907" t="s">
        <v>12</v>
      </c>
      <c r="E5115" s="908" t="s">
        <v>3921</v>
      </c>
      <c r="F5115" s="909" t="s">
        <v>2674</v>
      </c>
      <c r="G5115" s="910"/>
      <c r="H5115" s="911">
        <v>7.0000000000000007E-2</v>
      </c>
      <c r="I5115" s="912"/>
      <c r="J5115" s="912"/>
      <c r="K5115" s="912">
        <f>VLOOKUP(E5115,[5]ĐMNC!$A$7:$F$67,4,0)</f>
        <v>186281</v>
      </c>
      <c r="L5115" s="912">
        <f>H5115*K5115</f>
        <v>13039.670000000002</v>
      </c>
      <c r="M5115" s="912"/>
      <c r="N5115" s="912"/>
      <c r="O5115" s="892">
        <f t="shared" si="320"/>
        <v>0</v>
      </c>
      <c r="P5115" s="903">
        <f t="shared" si="321"/>
        <v>1</v>
      </c>
      <c r="Q5115" s="893">
        <f t="shared" si="322"/>
        <v>1</v>
      </c>
      <c r="R5115" s="894">
        <f t="shared" si="323"/>
        <v>0</v>
      </c>
    </row>
    <row r="5116" spans="1:18" s="847" customFormat="1" ht="31.5">
      <c r="A5116" s="905"/>
      <c r="B5116" s="914" t="s">
        <v>1506</v>
      </c>
      <c r="C5116" s="915"/>
      <c r="D5116" s="915"/>
      <c r="E5116" s="916" t="s">
        <v>5696</v>
      </c>
      <c r="F5116" s="917" t="s">
        <v>1505</v>
      </c>
      <c r="G5116" s="918"/>
      <c r="H5116" s="919"/>
      <c r="I5116" s="920"/>
      <c r="J5116" s="891">
        <f>SUM(J5117:J5118)</f>
        <v>0</v>
      </c>
      <c r="K5116" s="891"/>
      <c r="L5116" s="891">
        <f>SUM(L5117:L5118)</f>
        <v>18628.100000000002</v>
      </c>
      <c r="M5116" s="891"/>
      <c r="N5116" s="891">
        <f>SUM(N5117:N5118)</f>
        <v>0</v>
      </c>
      <c r="O5116" s="892">
        <f t="shared" si="320"/>
        <v>1</v>
      </c>
      <c r="P5116" s="903">
        <f t="shared" si="321"/>
        <v>0</v>
      </c>
      <c r="Q5116" s="893">
        <f t="shared" si="322"/>
        <v>0</v>
      </c>
      <c r="R5116" s="894">
        <f t="shared" si="323"/>
        <v>2</v>
      </c>
    </row>
    <row r="5117" spans="1:18" s="904" customFormat="1">
      <c r="A5117" s="895"/>
      <c r="B5117" s="896"/>
      <c r="C5117" s="897"/>
      <c r="D5117" s="897"/>
      <c r="E5117" s="924" t="s">
        <v>276</v>
      </c>
      <c r="F5117" s="927"/>
      <c r="G5117" s="928"/>
      <c r="H5117" s="901"/>
      <c r="I5117" s="902"/>
      <c r="J5117" s="902"/>
      <c r="K5117" s="912" t="s">
        <v>274</v>
      </c>
      <c r="L5117" s="902"/>
      <c r="M5117" s="902"/>
      <c r="N5117" s="902"/>
      <c r="O5117" s="892">
        <f t="shared" si="320"/>
        <v>0</v>
      </c>
      <c r="P5117" s="903">
        <f t="shared" si="321"/>
        <v>1</v>
      </c>
      <c r="Q5117" s="893">
        <f t="shared" si="322"/>
        <v>2</v>
      </c>
      <c r="R5117" s="894">
        <f t="shared" si="323"/>
        <v>0</v>
      </c>
    </row>
    <row r="5118" spans="1:18">
      <c r="A5118" s="905"/>
      <c r="B5118" s="906"/>
      <c r="C5118" s="907">
        <v>730</v>
      </c>
      <c r="D5118" s="907" t="s">
        <v>12</v>
      </c>
      <c r="E5118" s="908" t="s">
        <v>3921</v>
      </c>
      <c r="F5118" s="909" t="s">
        <v>2674</v>
      </c>
      <c r="G5118" s="910"/>
      <c r="H5118" s="911">
        <v>0.1</v>
      </c>
      <c r="I5118" s="912"/>
      <c r="J5118" s="912"/>
      <c r="K5118" s="912">
        <f>VLOOKUP(E5118,[5]ĐMNC!$A$7:$F$67,4,0)</f>
        <v>186281</v>
      </c>
      <c r="L5118" s="912">
        <f>H5118*K5118</f>
        <v>18628.100000000002</v>
      </c>
      <c r="M5118" s="912"/>
      <c r="N5118" s="912"/>
      <c r="O5118" s="892">
        <f t="shared" si="320"/>
        <v>0</v>
      </c>
      <c r="P5118" s="903">
        <f t="shared" si="321"/>
        <v>1</v>
      </c>
      <c r="Q5118" s="893">
        <f t="shared" si="322"/>
        <v>1</v>
      </c>
      <c r="R5118" s="894">
        <f t="shared" si="323"/>
        <v>0</v>
      </c>
    </row>
    <row r="5119" spans="1:18" s="847" customFormat="1" ht="31.5">
      <c r="A5119" s="905"/>
      <c r="B5119" s="914" t="s">
        <v>1482</v>
      </c>
      <c r="C5119" s="915"/>
      <c r="D5119" s="915"/>
      <c r="E5119" s="916" t="s">
        <v>5697</v>
      </c>
      <c r="F5119" s="917" t="s">
        <v>43</v>
      </c>
      <c r="G5119" s="918"/>
      <c r="H5119" s="919"/>
      <c r="I5119" s="920"/>
      <c r="J5119" s="891">
        <f>SUM(J5120:J5126)</f>
        <v>341136.5</v>
      </c>
      <c r="K5119" s="891"/>
      <c r="L5119" s="891">
        <f>SUM(L5120:L5126)</f>
        <v>5499981</v>
      </c>
      <c r="M5119" s="891"/>
      <c r="N5119" s="891">
        <f>SUM(N5120:N5126)</f>
        <v>0</v>
      </c>
      <c r="O5119" s="892">
        <f t="shared" si="320"/>
        <v>1</v>
      </c>
      <c r="P5119" s="903">
        <f t="shared" si="321"/>
        <v>0</v>
      </c>
      <c r="Q5119" s="893">
        <f t="shared" si="322"/>
        <v>0</v>
      </c>
      <c r="R5119" s="894">
        <f t="shared" si="323"/>
        <v>7</v>
      </c>
    </row>
    <row r="5120" spans="1:18" s="904" customFormat="1">
      <c r="A5120" s="895"/>
      <c r="B5120" s="896"/>
      <c r="C5120" s="897"/>
      <c r="D5120" s="897"/>
      <c r="E5120" s="898" t="s">
        <v>108</v>
      </c>
      <c r="F5120" s="899"/>
      <c r="G5120" s="900"/>
      <c r="H5120" s="901"/>
      <c r="I5120" s="902"/>
      <c r="J5120" s="902"/>
      <c r="K5120" s="912" t="s">
        <v>274</v>
      </c>
      <c r="L5120" s="902"/>
      <c r="M5120" s="902"/>
      <c r="N5120" s="902"/>
      <c r="O5120" s="892">
        <f t="shared" si="320"/>
        <v>0</v>
      </c>
      <c r="P5120" s="903">
        <f t="shared" si="321"/>
        <v>1</v>
      </c>
      <c r="Q5120" s="893">
        <f t="shared" si="322"/>
        <v>7</v>
      </c>
      <c r="R5120" s="894">
        <f t="shared" si="323"/>
        <v>0</v>
      </c>
    </row>
    <row r="5121" spans="1:18">
      <c r="A5121" s="905"/>
      <c r="B5121" s="906"/>
      <c r="C5121" s="907">
        <v>55</v>
      </c>
      <c r="D5121" s="907" t="s">
        <v>279</v>
      </c>
      <c r="E5121" s="925" t="s">
        <v>3192</v>
      </c>
      <c r="F5121" s="926" t="s">
        <v>45</v>
      </c>
      <c r="G5121" s="910"/>
      <c r="H5121" s="911">
        <v>0.5</v>
      </c>
      <c r="I5121" s="912">
        <f>VLOOKUP(E5121,[3]VLP!$B$7:$K$300,10,0)</f>
        <v>2273</v>
      </c>
      <c r="J5121" s="912">
        <f>I5121*H5121</f>
        <v>1136.5</v>
      </c>
      <c r="K5121" s="912" t="s">
        <v>274</v>
      </c>
      <c r="L5121" s="912"/>
      <c r="M5121" s="912"/>
      <c r="N5121" s="912"/>
      <c r="O5121" s="892">
        <f t="shared" si="320"/>
        <v>0</v>
      </c>
      <c r="P5121" s="903">
        <f t="shared" si="321"/>
        <v>1</v>
      </c>
      <c r="Q5121" s="893">
        <f t="shared" si="322"/>
        <v>6</v>
      </c>
      <c r="R5121" s="894">
        <f t="shared" si="323"/>
        <v>0</v>
      </c>
    </row>
    <row r="5122" spans="1:18">
      <c r="A5122" s="905"/>
      <c r="B5122" s="906"/>
      <c r="C5122" s="907">
        <v>126</v>
      </c>
      <c r="D5122" s="907" t="s">
        <v>279</v>
      </c>
      <c r="E5122" s="925" t="s">
        <v>3274</v>
      </c>
      <c r="F5122" s="926" t="s">
        <v>139</v>
      </c>
      <c r="G5122" s="910"/>
      <c r="H5122" s="911">
        <v>100</v>
      </c>
      <c r="I5122" s="912">
        <f>VLOOKUP(E5122,[3]VLP!$B$7:$K$300,10,0)</f>
        <v>150</v>
      </c>
      <c r="J5122" s="912">
        <f>I5122*H5122</f>
        <v>15000</v>
      </c>
      <c r="K5122" s="912" t="s">
        <v>274</v>
      </c>
      <c r="L5122" s="912"/>
      <c r="M5122" s="912"/>
      <c r="N5122" s="912"/>
      <c r="O5122" s="892">
        <f t="shared" si="320"/>
        <v>0</v>
      </c>
      <c r="P5122" s="903">
        <f t="shared" si="321"/>
        <v>1</v>
      </c>
      <c r="Q5122" s="893">
        <f t="shared" si="322"/>
        <v>5</v>
      </c>
      <c r="R5122" s="894">
        <f t="shared" si="323"/>
        <v>0</v>
      </c>
    </row>
    <row r="5123" spans="1:18">
      <c r="A5123" s="905"/>
      <c r="B5123" s="906"/>
      <c r="C5123" s="907">
        <v>49</v>
      </c>
      <c r="D5123" s="907" t="s">
        <v>279</v>
      </c>
      <c r="E5123" s="925" t="s">
        <v>5698</v>
      </c>
      <c r="F5123" s="926" t="s">
        <v>139</v>
      </c>
      <c r="G5123" s="910"/>
      <c r="H5123" s="911">
        <v>100</v>
      </c>
      <c r="I5123" s="912">
        <f>VLOOKUP(E5123,[3]VLP!$B$7:$K$300,10,0)</f>
        <v>3000</v>
      </c>
      <c r="J5123" s="912">
        <f>I5123*H5123</f>
        <v>300000</v>
      </c>
      <c r="K5123" s="912" t="s">
        <v>274</v>
      </c>
      <c r="L5123" s="912"/>
      <c r="M5123" s="912"/>
      <c r="N5123" s="912"/>
      <c r="O5123" s="892">
        <f t="shared" si="320"/>
        <v>0</v>
      </c>
      <c r="P5123" s="903">
        <f t="shared" si="321"/>
        <v>1</v>
      </c>
      <c r="Q5123" s="893">
        <f t="shared" si="322"/>
        <v>4</v>
      </c>
      <c r="R5123" s="894">
        <f t="shared" si="323"/>
        <v>0</v>
      </c>
    </row>
    <row r="5124" spans="1:18">
      <c r="A5124" s="905"/>
      <c r="B5124" s="906"/>
      <c r="C5124" s="907">
        <v>699</v>
      </c>
      <c r="D5124" s="907" t="s">
        <v>279</v>
      </c>
      <c r="E5124" s="925" t="s">
        <v>4006</v>
      </c>
      <c r="F5124" s="926" t="s">
        <v>4007</v>
      </c>
      <c r="G5124" s="910"/>
      <c r="H5124" s="911">
        <v>5</v>
      </c>
      <c r="I5124" s="912">
        <f>VLOOKUP(E5124,[3]VLP!$B$7:$K$300,10,0)</f>
        <v>5000</v>
      </c>
      <c r="J5124" s="912">
        <f>I5124*H5124</f>
        <v>25000</v>
      </c>
      <c r="K5124" s="912" t="s">
        <v>274</v>
      </c>
      <c r="L5124" s="912"/>
      <c r="M5124" s="912"/>
      <c r="N5124" s="912"/>
      <c r="O5124" s="892">
        <f t="shared" si="320"/>
        <v>0</v>
      </c>
      <c r="P5124" s="903">
        <f t="shared" si="321"/>
        <v>1</v>
      </c>
      <c r="Q5124" s="893">
        <f t="shared" si="322"/>
        <v>3</v>
      </c>
      <c r="R5124" s="894">
        <f t="shared" si="323"/>
        <v>0</v>
      </c>
    </row>
    <row r="5125" spans="1:18" s="904" customFormat="1">
      <c r="A5125" s="895"/>
      <c r="B5125" s="896"/>
      <c r="C5125" s="897"/>
      <c r="D5125" s="897"/>
      <c r="E5125" s="924" t="s">
        <v>276</v>
      </c>
      <c r="F5125" s="927"/>
      <c r="G5125" s="928"/>
      <c r="H5125" s="901"/>
      <c r="I5125" s="902"/>
      <c r="J5125" s="902"/>
      <c r="K5125" s="912" t="s">
        <v>274</v>
      </c>
      <c r="L5125" s="902"/>
      <c r="M5125" s="902"/>
      <c r="N5125" s="902"/>
      <c r="O5125" s="892">
        <f t="shared" si="320"/>
        <v>0</v>
      </c>
      <c r="P5125" s="903">
        <f t="shared" si="321"/>
        <v>1</v>
      </c>
      <c r="Q5125" s="893">
        <f t="shared" si="322"/>
        <v>2</v>
      </c>
      <c r="R5125" s="894">
        <f t="shared" si="323"/>
        <v>0</v>
      </c>
    </row>
    <row r="5126" spans="1:18">
      <c r="A5126" s="905"/>
      <c r="B5126" s="906"/>
      <c r="C5126" s="907">
        <v>735</v>
      </c>
      <c r="D5126" s="907" t="s">
        <v>12</v>
      </c>
      <c r="E5126" s="908" t="s">
        <v>4065</v>
      </c>
      <c r="F5126" s="909" t="s">
        <v>2674</v>
      </c>
      <c r="G5126" s="910"/>
      <c r="H5126" s="911">
        <v>27</v>
      </c>
      <c r="I5126" s="912"/>
      <c r="J5126" s="912"/>
      <c r="K5126" s="912">
        <f>VLOOKUP(E5126,[5]ĐMNC!$A$7:$F$67,4,0)</f>
        <v>203703</v>
      </c>
      <c r="L5126" s="912">
        <f>H5126*K5126</f>
        <v>5499981</v>
      </c>
      <c r="M5126" s="912"/>
      <c r="N5126" s="912"/>
      <c r="O5126" s="892">
        <f t="shared" si="320"/>
        <v>0</v>
      </c>
      <c r="P5126" s="903">
        <f t="shared" si="321"/>
        <v>1</v>
      </c>
      <c r="Q5126" s="893">
        <f t="shared" si="322"/>
        <v>1</v>
      </c>
      <c r="R5126" s="894">
        <f t="shared" si="323"/>
        <v>0</v>
      </c>
    </row>
    <row r="5127" spans="1:18" s="847" customFormat="1" ht="31.5">
      <c r="A5127" s="905"/>
      <c r="B5127" s="914" t="s">
        <v>1484</v>
      </c>
      <c r="C5127" s="915"/>
      <c r="D5127" s="915"/>
      <c r="E5127" s="916" t="s">
        <v>5699</v>
      </c>
      <c r="F5127" s="917" t="s">
        <v>43</v>
      </c>
      <c r="G5127" s="918"/>
      <c r="H5127" s="919"/>
      <c r="I5127" s="920"/>
      <c r="J5127" s="891">
        <f>SUM(J5128:J5133)</f>
        <v>675000</v>
      </c>
      <c r="K5127" s="891"/>
      <c r="L5127" s="891">
        <f>SUM(L5128:L5133)</f>
        <v>6471644.3099999996</v>
      </c>
      <c r="M5127" s="891"/>
      <c r="N5127" s="891">
        <f>SUM(N5128:N5133)</f>
        <v>0</v>
      </c>
      <c r="O5127" s="892">
        <f t="shared" si="320"/>
        <v>1</v>
      </c>
      <c r="P5127" s="903">
        <f t="shared" si="321"/>
        <v>0</v>
      </c>
      <c r="Q5127" s="893">
        <f t="shared" si="322"/>
        <v>0</v>
      </c>
      <c r="R5127" s="894">
        <f t="shared" si="323"/>
        <v>6</v>
      </c>
    </row>
    <row r="5128" spans="1:18" s="904" customFormat="1">
      <c r="A5128" s="895"/>
      <c r="B5128" s="896"/>
      <c r="C5128" s="897"/>
      <c r="D5128" s="897"/>
      <c r="E5128" s="898" t="s">
        <v>108</v>
      </c>
      <c r="F5128" s="899"/>
      <c r="G5128" s="900"/>
      <c r="H5128" s="901"/>
      <c r="I5128" s="902"/>
      <c r="J5128" s="902"/>
      <c r="K5128" s="912" t="s">
        <v>274</v>
      </c>
      <c r="L5128" s="902"/>
      <c r="M5128" s="902"/>
      <c r="N5128" s="902"/>
      <c r="O5128" s="892">
        <f t="shared" si="320"/>
        <v>0</v>
      </c>
      <c r="P5128" s="903">
        <f t="shared" si="321"/>
        <v>1</v>
      </c>
      <c r="Q5128" s="893">
        <f t="shared" si="322"/>
        <v>6</v>
      </c>
      <c r="R5128" s="894">
        <f t="shared" si="323"/>
        <v>0</v>
      </c>
    </row>
    <row r="5129" spans="1:18">
      <c r="A5129" s="905"/>
      <c r="B5129" s="906"/>
      <c r="C5129" s="907">
        <v>49</v>
      </c>
      <c r="D5129" s="907" t="s">
        <v>279</v>
      </c>
      <c r="E5129" s="925" t="s">
        <v>5698</v>
      </c>
      <c r="F5129" s="926" t="s">
        <v>139</v>
      </c>
      <c r="G5129" s="910"/>
      <c r="H5129" s="911">
        <v>100</v>
      </c>
      <c r="I5129" s="912">
        <f>VLOOKUP(E5129,[3]VLP!$B$7:$K$300,10,0)</f>
        <v>3000</v>
      </c>
      <c r="J5129" s="912">
        <f>I5129*H5129</f>
        <v>300000</v>
      </c>
      <c r="K5129" s="912" t="s">
        <v>274</v>
      </c>
      <c r="L5129" s="912"/>
      <c r="M5129" s="912"/>
      <c r="N5129" s="912"/>
      <c r="O5129" s="892">
        <f t="shared" si="320"/>
        <v>0</v>
      </c>
      <c r="P5129" s="903">
        <f t="shared" si="321"/>
        <v>1</v>
      </c>
      <c r="Q5129" s="893">
        <f t="shared" si="322"/>
        <v>5</v>
      </c>
      <c r="R5129" s="894">
        <f t="shared" si="323"/>
        <v>0</v>
      </c>
    </row>
    <row r="5130" spans="1:18">
      <c r="A5130" s="905"/>
      <c r="B5130" s="906"/>
      <c r="C5130" s="907">
        <v>27</v>
      </c>
      <c r="D5130" s="907" t="s">
        <v>279</v>
      </c>
      <c r="E5130" s="925" t="s">
        <v>3155</v>
      </c>
      <c r="F5130" s="926" t="s">
        <v>2683</v>
      </c>
      <c r="G5130" s="910"/>
      <c r="H5130" s="911">
        <v>100</v>
      </c>
      <c r="I5130" s="912">
        <f>VLOOKUP(E5130,[3]VLP!$B$7:$K$300,10,0)</f>
        <v>3500</v>
      </c>
      <c r="J5130" s="912">
        <f>I5130*H5130</f>
        <v>350000</v>
      </c>
      <c r="K5130" s="912" t="s">
        <v>274</v>
      </c>
      <c r="L5130" s="912"/>
      <c r="M5130" s="912"/>
      <c r="N5130" s="912"/>
      <c r="O5130" s="892">
        <f t="shared" si="320"/>
        <v>0</v>
      </c>
      <c r="P5130" s="903">
        <f t="shared" si="321"/>
        <v>1</v>
      </c>
      <c r="Q5130" s="893">
        <f t="shared" si="322"/>
        <v>4</v>
      </c>
      <c r="R5130" s="894">
        <f t="shared" si="323"/>
        <v>0</v>
      </c>
    </row>
    <row r="5131" spans="1:18">
      <c r="A5131" s="905"/>
      <c r="B5131" s="906"/>
      <c r="C5131" s="907">
        <v>699</v>
      </c>
      <c r="D5131" s="907" t="s">
        <v>279</v>
      </c>
      <c r="E5131" s="925" t="s">
        <v>4006</v>
      </c>
      <c r="F5131" s="926" t="s">
        <v>4007</v>
      </c>
      <c r="G5131" s="910"/>
      <c r="H5131" s="911">
        <v>5</v>
      </c>
      <c r="I5131" s="912">
        <f>VLOOKUP(E5131,[3]VLP!$B$7:$K$300,10,0)</f>
        <v>5000</v>
      </c>
      <c r="J5131" s="912">
        <f>I5131*H5131</f>
        <v>25000</v>
      </c>
      <c r="K5131" s="912" t="s">
        <v>274</v>
      </c>
      <c r="L5131" s="912"/>
      <c r="M5131" s="912"/>
      <c r="N5131" s="912"/>
      <c r="O5131" s="892">
        <f t="shared" si="320"/>
        <v>0</v>
      </c>
      <c r="P5131" s="903">
        <f t="shared" si="321"/>
        <v>1</v>
      </c>
      <c r="Q5131" s="893">
        <f t="shared" si="322"/>
        <v>3</v>
      </c>
      <c r="R5131" s="894">
        <f t="shared" si="323"/>
        <v>0</v>
      </c>
    </row>
    <row r="5132" spans="1:18" s="904" customFormat="1">
      <c r="A5132" s="895"/>
      <c r="B5132" s="896"/>
      <c r="C5132" s="897"/>
      <c r="D5132" s="897"/>
      <c r="E5132" s="924" t="s">
        <v>276</v>
      </c>
      <c r="F5132" s="927"/>
      <c r="G5132" s="928"/>
      <c r="H5132" s="901"/>
      <c r="I5132" s="902"/>
      <c r="J5132" s="902"/>
      <c r="K5132" s="912" t="s">
        <v>274</v>
      </c>
      <c r="L5132" s="902"/>
      <c r="M5132" s="902"/>
      <c r="N5132" s="902"/>
      <c r="O5132" s="892">
        <f t="shared" si="320"/>
        <v>0</v>
      </c>
      <c r="P5132" s="903">
        <f t="shared" si="321"/>
        <v>1</v>
      </c>
      <c r="Q5132" s="893">
        <f t="shared" si="322"/>
        <v>2</v>
      </c>
      <c r="R5132" s="894">
        <f t="shared" si="323"/>
        <v>0</v>
      </c>
    </row>
    <row r="5133" spans="1:18">
      <c r="A5133" s="905"/>
      <c r="B5133" s="906"/>
      <c r="C5133" s="907">
        <v>735</v>
      </c>
      <c r="D5133" s="907" t="s">
        <v>12</v>
      </c>
      <c r="E5133" s="908" t="s">
        <v>4065</v>
      </c>
      <c r="F5133" s="909" t="s">
        <v>2674</v>
      </c>
      <c r="G5133" s="910"/>
      <c r="H5133" s="911">
        <v>31.77</v>
      </c>
      <c r="I5133" s="912"/>
      <c r="J5133" s="912"/>
      <c r="K5133" s="912">
        <f>VLOOKUP(E5133,[5]ĐMNC!$A$7:$F$67,4,0)</f>
        <v>203703</v>
      </c>
      <c r="L5133" s="912">
        <f>H5133*K5133</f>
        <v>6471644.3099999996</v>
      </c>
      <c r="M5133" s="912"/>
      <c r="N5133" s="912"/>
      <c r="O5133" s="892">
        <f t="shared" si="320"/>
        <v>0</v>
      </c>
      <c r="P5133" s="903">
        <f t="shared" si="321"/>
        <v>1</v>
      </c>
      <c r="Q5133" s="893">
        <f t="shared" si="322"/>
        <v>1</v>
      </c>
      <c r="R5133" s="894">
        <f t="shared" si="323"/>
        <v>0</v>
      </c>
    </row>
    <row r="5134" spans="1:18" s="847" customFormat="1" ht="31.5">
      <c r="A5134" s="905"/>
      <c r="B5134" s="914" t="s">
        <v>1486</v>
      </c>
      <c r="C5134" s="915"/>
      <c r="D5134" s="915"/>
      <c r="E5134" s="916" t="s">
        <v>5700</v>
      </c>
      <c r="F5134" s="917" t="s">
        <v>43</v>
      </c>
      <c r="G5134" s="918"/>
      <c r="H5134" s="919"/>
      <c r="I5134" s="920"/>
      <c r="J5134" s="891">
        <f>SUM(J5135:J5140)</f>
        <v>675000</v>
      </c>
      <c r="K5134" s="891"/>
      <c r="L5134" s="891">
        <f>SUM(L5135:L5140)</f>
        <v>7484048.2200000007</v>
      </c>
      <c r="M5134" s="891"/>
      <c r="N5134" s="891">
        <f>SUM(N5135:N5140)</f>
        <v>0</v>
      </c>
      <c r="O5134" s="892">
        <f t="shared" si="320"/>
        <v>1</v>
      </c>
      <c r="P5134" s="903">
        <f t="shared" si="321"/>
        <v>0</v>
      </c>
      <c r="Q5134" s="893">
        <f t="shared" si="322"/>
        <v>0</v>
      </c>
      <c r="R5134" s="894">
        <f t="shared" si="323"/>
        <v>6</v>
      </c>
    </row>
    <row r="5135" spans="1:18" s="904" customFormat="1">
      <c r="A5135" s="895"/>
      <c r="B5135" s="896"/>
      <c r="C5135" s="897"/>
      <c r="D5135" s="897"/>
      <c r="E5135" s="898" t="s">
        <v>108</v>
      </c>
      <c r="F5135" s="899"/>
      <c r="G5135" s="900"/>
      <c r="H5135" s="901"/>
      <c r="I5135" s="902"/>
      <c r="J5135" s="902"/>
      <c r="K5135" s="912" t="s">
        <v>274</v>
      </c>
      <c r="L5135" s="902"/>
      <c r="M5135" s="902"/>
      <c r="N5135" s="902"/>
      <c r="O5135" s="892">
        <f t="shared" si="320"/>
        <v>0</v>
      </c>
      <c r="P5135" s="903">
        <f t="shared" si="321"/>
        <v>1</v>
      </c>
      <c r="Q5135" s="893">
        <f t="shared" si="322"/>
        <v>6</v>
      </c>
      <c r="R5135" s="894">
        <f t="shared" si="323"/>
        <v>0</v>
      </c>
    </row>
    <row r="5136" spans="1:18">
      <c r="A5136" s="905"/>
      <c r="B5136" s="906"/>
      <c r="C5136" s="907">
        <v>49</v>
      </c>
      <c r="D5136" s="907" t="s">
        <v>279</v>
      </c>
      <c r="E5136" s="925" t="s">
        <v>5698</v>
      </c>
      <c r="F5136" s="926" t="s">
        <v>139</v>
      </c>
      <c r="G5136" s="910"/>
      <c r="H5136" s="911">
        <v>100</v>
      </c>
      <c r="I5136" s="912">
        <f>VLOOKUP(E5136,[3]VLP!$B$7:$K$300,10,0)</f>
        <v>3000</v>
      </c>
      <c r="J5136" s="912">
        <f>I5136*H5136</f>
        <v>300000</v>
      </c>
      <c r="K5136" s="912" t="s">
        <v>274</v>
      </c>
      <c r="L5136" s="912"/>
      <c r="M5136" s="912"/>
      <c r="N5136" s="912"/>
      <c r="O5136" s="892">
        <f t="shared" si="320"/>
        <v>0</v>
      </c>
      <c r="P5136" s="903">
        <f t="shared" si="321"/>
        <v>1</v>
      </c>
      <c r="Q5136" s="893">
        <f t="shared" si="322"/>
        <v>5</v>
      </c>
      <c r="R5136" s="894">
        <f t="shared" si="323"/>
        <v>0</v>
      </c>
    </row>
    <row r="5137" spans="1:18">
      <c r="A5137" s="905"/>
      <c r="B5137" s="906"/>
      <c r="C5137" s="907">
        <v>27</v>
      </c>
      <c r="D5137" s="907" t="s">
        <v>279</v>
      </c>
      <c r="E5137" s="925" t="s">
        <v>3155</v>
      </c>
      <c r="F5137" s="926" t="s">
        <v>2683</v>
      </c>
      <c r="G5137" s="910"/>
      <c r="H5137" s="911">
        <v>100</v>
      </c>
      <c r="I5137" s="912">
        <f>VLOOKUP(E5137,[3]VLP!$B$7:$K$300,10,0)</f>
        <v>3500</v>
      </c>
      <c r="J5137" s="912">
        <f>I5137*H5137</f>
        <v>350000</v>
      </c>
      <c r="K5137" s="912" t="s">
        <v>274</v>
      </c>
      <c r="L5137" s="912"/>
      <c r="M5137" s="912"/>
      <c r="N5137" s="912"/>
      <c r="O5137" s="892">
        <f t="shared" si="320"/>
        <v>0</v>
      </c>
      <c r="P5137" s="903">
        <f t="shared" si="321"/>
        <v>1</v>
      </c>
      <c r="Q5137" s="893">
        <f t="shared" si="322"/>
        <v>4</v>
      </c>
      <c r="R5137" s="894">
        <f t="shared" si="323"/>
        <v>0</v>
      </c>
    </row>
    <row r="5138" spans="1:18">
      <c r="A5138" s="905"/>
      <c r="B5138" s="906"/>
      <c r="C5138" s="907">
        <v>699</v>
      </c>
      <c r="D5138" s="907" t="s">
        <v>279</v>
      </c>
      <c r="E5138" s="925" t="s">
        <v>4006</v>
      </c>
      <c r="F5138" s="926" t="s">
        <v>4007</v>
      </c>
      <c r="G5138" s="910"/>
      <c r="H5138" s="911">
        <v>5</v>
      </c>
      <c r="I5138" s="912">
        <f>VLOOKUP(E5138,[3]VLP!$B$7:$K$300,10,0)</f>
        <v>5000</v>
      </c>
      <c r="J5138" s="912">
        <f>I5138*H5138</f>
        <v>25000</v>
      </c>
      <c r="K5138" s="912" t="s">
        <v>274</v>
      </c>
      <c r="L5138" s="912"/>
      <c r="M5138" s="912"/>
      <c r="N5138" s="912"/>
      <c r="O5138" s="892">
        <f t="shared" si="320"/>
        <v>0</v>
      </c>
      <c r="P5138" s="903">
        <f t="shared" si="321"/>
        <v>1</v>
      </c>
      <c r="Q5138" s="893">
        <f t="shared" si="322"/>
        <v>3</v>
      </c>
      <c r="R5138" s="894">
        <f t="shared" si="323"/>
        <v>0</v>
      </c>
    </row>
    <row r="5139" spans="1:18" s="904" customFormat="1">
      <c r="A5139" s="895"/>
      <c r="B5139" s="896"/>
      <c r="C5139" s="897"/>
      <c r="D5139" s="897"/>
      <c r="E5139" s="924" t="s">
        <v>276</v>
      </c>
      <c r="F5139" s="927"/>
      <c r="G5139" s="928"/>
      <c r="H5139" s="901"/>
      <c r="I5139" s="902"/>
      <c r="J5139" s="902"/>
      <c r="K5139" s="912" t="s">
        <v>274</v>
      </c>
      <c r="L5139" s="902"/>
      <c r="M5139" s="902"/>
      <c r="N5139" s="902"/>
      <c r="O5139" s="892">
        <f t="shared" si="320"/>
        <v>0</v>
      </c>
      <c r="P5139" s="903">
        <f t="shared" si="321"/>
        <v>1</v>
      </c>
      <c r="Q5139" s="893">
        <f t="shared" si="322"/>
        <v>2</v>
      </c>
      <c r="R5139" s="894">
        <f t="shared" si="323"/>
        <v>0</v>
      </c>
    </row>
    <row r="5140" spans="1:18">
      <c r="A5140" s="905"/>
      <c r="B5140" s="906"/>
      <c r="C5140" s="907">
        <v>735</v>
      </c>
      <c r="D5140" s="907" t="s">
        <v>12</v>
      </c>
      <c r="E5140" s="908" t="s">
        <v>4065</v>
      </c>
      <c r="F5140" s="909" t="s">
        <v>2674</v>
      </c>
      <c r="G5140" s="910"/>
      <c r="H5140" s="911">
        <v>36.74</v>
      </c>
      <c r="I5140" s="912"/>
      <c r="J5140" s="912"/>
      <c r="K5140" s="912">
        <f>VLOOKUP(E5140,[5]ĐMNC!$A$7:$F$67,4,0)</f>
        <v>203703</v>
      </c>
      <c r="L5140" s="912">
        <f>H5140*K5140</f>
        <v>7484048.2200000007</v>
      </c>
      <c r="M5140" s="912"/>
      <c r="N5140" s="912"/>
      <c r="O5140" s="892">
        <f t="shared" si="320"/>
        <v>0</v>
      </c>
      <c r="P5140" s="903">
        <f t="shared" si="321"/>
        <v>1</v>
      </c>
      <c r="Q5140" s="893">
        <f t="shared" si="322"/>
        <v>1</v>
      </c>
      <c r="R5140" s="894">
        <f t="shared" si="323"/>
        <v>0</v>
      </c>
    </row>
    <row r="5141" spans="1:18" s="847" customFormat="1" ht="31.5">
      <c r="A5141" s="905"/>
      <c r="B5141" s="914" t="s">
        <v>1511</v>
      </c>
      <c r="C5141" s="915"/>
      <c r="D5141" s="915"/>
      <c r="E5141" s="916" t="s">
        <v>5701</v>
      </c>
      <c r="F5141" s="917" t="s">
        <v>43</v>
      </c>
      <c r="G5141" s="918"/>
      <c r="H5141" s="919"/>
      <c r="I5141" s="920"/>
      <c r="J5141" s="891">
        <f>SUM(J5142:J5147)</f>
        <v>675000</v>
      </c>
      <c r="K5141" s="891"/>
      <c r="L5141" s="891">
        <f>SUM(L5142:L5147)</f>
        <v>8655340.4700000007</v>
      </c>
      <c r="M5141" s="891"/>
      <c r="N5141" s="891">
        <f>SUM(N5142:N5147)</f>
        <v>0</v>
      </c>
      <c r="O5141" s="892">
        <f t="shared" si="320"/>
        <v>1</v>
      </c>
      <c r="P5141" s="903">
        <f t="shared" si="321"/>
        <v>0</v>
      </c>
      <c r="Q5141" s="893">
        <f t="shared" si="322"/>
        <v>0</v>
      </c>
      <c r="R5141" s="894">
        <f t="shared" si="323"/>
        <v>6</v>
      </c>
    </row>
    <row r="5142" spans="1:18" s="904" customFormat="1">
      <c r="A5142" s="895"/>
      <c r="B5142" s="896"/>
      <c r="C5142" s="897"/>
      <c r="D5142" s="897"/>
      <c r="E5142" s="898" t="s">
        <v>108</v>
      </c>
      <c r="F5142" s="899"/>
      <c r="G5142" s="900"/>
      <c r="H5142" s="901"/>
      <c r="I5142" s="902"/>
      <c r="J5142" s="902"/>
      <c r="K5142" s="912" t="s">
        <v>274</v>
      </c>
      <c r="L5142" s="902"/>
      <c r="M5142" s="902"/>
      <c r="N5142" s="902"/>
      <c r="O5142" s="892">
        <f t="shared" si="320"/>
        <v>0</v>
      </c>
      <c r="P5142" s="903">
        <f t="shared" si="321"/>
        <v>1</v>
      </c>
      <c r="Q5142" s="893">
        <f t="shared" si="322"/>
        <v>6</v>
      </c>
      <c r="R5142" s="894">
        <f t="shared" si="323"/>
        <v>0</v>
      </c>
    </row>
    <row r="5143" spans="1:18">
      <c r="A5143" s="905"/>
      <c r="B5143" s="906"/>
      <c r="C5143" s="907">
        <v>49</v>
      </c>
      <c r="D5143" s="907" t="s">
        <v>279</v>
      </c>
      <c r="E5143" s="925" t="s">
        <v>5698</v>
      </c>
      <c r="F5143" s="926" t="s">
        <v>139</v>
      </c>
      <c r="G5143" s="910"/>
      <c r="H5143" s="911">
        <v>100</v>
      </c>
      <c r="I5143" s="912">
        <f>VLOOKUP(E5143,[3]VLP!$B$7:$K$300,10,0)</f>
        <v>3000</v>
      </c>
      <c r="J5143" s="912">
        <f>I5143*H5143</f>
        <v>300000</v>
      </c>
      <c r="K5143" s="912" t="s">
        <v>274</v>
      </c>
      <c r="L5143" s="912"/>
      <c r="M5143" s="912"/>
      <c r="N5143" s="912"/>
      <c r="O5143" s="892">
        <f t="shared" si="320"/>
        <v>0</v>
      </c>
      <c r="P5143" s="903">
        <f t="shared" si="321"/>
        <v>1</v>
      </c>
      <c r="Q5143" s="893">
        <f t="shared" si="322"/>
        <v>5</v>
      </c>
      <c r="R5143" s="894">
        <f t="shared" si="323"/>
        <v>0</v>
      </c>
    </row>
    <row r="5144" spans="1:18">
      <c r="A5144" s="905"/>
      <c r="B5144" s="906"/>
      <c r="C5144" s="907">
        <v>27</v>
      </c>
      <c r="D5144" s="907" t="s">
        <v>279</v>
      </c>
      <c r="E5144" s="925" t="s">
        <v>3155</v>
      </c>
      <c r="F5144" s="926" t="s">
        <v>2683</v>
      </c>
      <c r="G5144" s="910"/>
      <c r="H5144" s="911">
        <v>100</v>
      </c>
      <c r="I5144" s="912">
        <f>VLOOKUP(E5144,[3]VLP!$B$7:$K$300,10,0)</f>
        <v>3500</v>
      </c>
      <c r="J5144" s="912">
        <f>I5144*H5144</f>
        <v>350000</v>
      </c>
      <c r="K5144" s="912" t="s">
        <v>274</v>
      </c>
      <c r="L5144" s="912"/>
      <c r="M5144" s="912"/>
      <c r="N5144" s="912"/>
      <c r="O5144" s="892">
        <f t="shared" si="320"/>
        <v>0</v>
      </c>
      <c r="P5144" s="903">
        <f t="shared" si="321"/>
        <v>1</v>
      </c>
      <c r="Q5144" s="893">
        <f t="shared" si="322"/>
        <v>4</v>
      </c>
      <c r="R5144" s="894">
        <f t="shared" si="323"/>
        <v>0</v>
      </c>
    </row>
    <row r="5145" spans="1:18">
      <c r="A5145" s="905"/>
      <c r="B5145" s="906"/>
      <c r="C5145" s="907">
        <v>699</v>
      </c>
      <c r="D5145" s="907" t="s">
        <v>279</v>
      </c>
      <c r="E5145" s="925" t="s">
        <v>4006</v>
      </c>
      <c r="F5145" s="926" t="s">
        <v>4007</v>
      </c>
      <c r="G5145" s="910"/>
      <c r="H5145" s="911">
        <v>5</v>
      </c>
      <c r="I5145" s="912">
        <f>VLOOKUP(E5145,[3]VLP!$B$7:$K$300,10,0)</f>
        <v>5000</v>
      </c>
      <c r="J5145" s="912">
        <f>I5145*H5145</f>
        <v>25000</v>
      </c>
      <c r="K5145" s="912" t="s">
        <v>274</v>
      </c>
      <c r="L5145" s="912"/>
      <c r="M5145" s="912"/>
      <c r="N5145" s="912"/>
      <c r="O5145" s="892">
        <f t="shared" si="320"/>
        <v>0</v>
      </c>
      <c r="P5145" s="903">
        <f t="shared" si="321"/>
        <v>1</v>
      </c>
      <c r="Q5145" s="893">
        <f t="shared" si="322"/>
        <v>3</v>
      </c>
      <c r="R5145" s="894">
        <f t="shared" si="323"/>
        <v>0</v>
      </c>
    </row>
    <row r="5146" spans="1:18" s="904" customFormat="1">
      <c r="A5146" s="895"/>
      <c r="B5146" s="896"/>
      <c r="C5146" s="897"/>
      <c r="D5146" s="897"/>
      <c r="E5146" s="924" t="s">
        <v>276</v>
      </c>
      <c r="F5146" s="927"/>
      <c r="G5146" s="928"/>
      <c r="H5146" s="901"/>
      <c r="I5146" s="902"/>
      <c r="J5146" s="902"/>
      <c r="K5146" s="912" t="s">
        <v>274</v>
      </c>
      <c r="L5146" s="902"/>
      <c r="M5146" s="902"/>
      <c r="N5146" s="902"/>
      <c r="O5146" s="892">
        <f t="shared" si="320"/>
        <v>0</v>
      </c>
      <c r="P5146" s="903">
        <f t="shared" si="321"/>
        <v>1</v>
      </c>
      <c r="Q5146" s="893">
        <f t="shared" si="322"/>
        <v>2</v>
      </c>
      <c r="R5146" s="894">
        <f t="shared" si="323"/>
        <v>0</v>
      </c>
    </row>
    <row r="5147" spans="1:18">
      <c r="A5147" s="905"/>
      <c r="B5147" s="906"/>
      <c r="C5147" s="907">
        <v>735</v>
      </c>
      <c r="D5147" s="907" t="s">
        <v>12</v>
      </c>
      <c r="E5147" s="908" t="s">
        <v>4065</v>
      </c>
      <c r="F5147" s="909" t="s">
        <v>2674</v>
      </c>
      <c r="G5147" s="910"/>
      <c r="H5147" s="911">
        <v>42.49</v>
      </c>
      <c r="I5147" s="912"/>
      <c r="J5147" s="912"/>
      <c r="K5147" s="912">
        <f>VLOOKUP(E5147,[5]ĐMNC!$A$7:$F$67,4,0)</f>
        <v>203703</v>
      </c>
      <c r="L5147" s="912">
        <f>H5147*K5147</f>
        <v>8655340.4700000007</v>
      </c>
      <c r="M5147" s="912"/>
      <c r="N5147" s="912"/>
      <c r="O5147" s="892">
        <f t="shared" si="320"/>
        <v>0</v>
      </c>
      <c r="P5147" s="903">
        <f t="shared" si="321"/>
        <v>1</v>
      </c>
      <c r="Q5147" s="893">
        <f t="shared" si="322"/>
        <v>1</v>
      </c>
      <c r="R5147" s="894">
        <f t="shared" si="323"/>
        <v>0</v>
      </c>
    </row>
    <row r="5148" spans="1:18" s="847" customFormat="1" ht="31.5">
      <c r="A5148" s="905"/>
      <c r="B5148" s="914" t="s">
        <v>1513</v>
      </c>
      <c r="C5148" s="915"/>
      <c r="D5148" s="915"/>
      <c r="E5148" s="916" t="s">
        <v>5702</v>
      </c>
      <c r="F5148" s="917" t="s">
        <v>43</v>
      </c>
      <c r="G5148" s="918"/>
      <c r="H5148" s="919"/>
      <c r="I5148" s="920"/>
      <c r="J5148" s="891">
        <f>SUM(J5149:J5154)</f>
        <v>675000</v>
      </c>
      <c r="K5148" s="891"/>
      <c r="L5148" s="891">
        <f>SUM(L5149:L5154)</f>
        <v>10040520.869999999</v>
      </c>
      <c r="M5148" s="891"/>
      <c r="N5148" s="891">
        <f>SUM(N5149:N5154)</f>
        <v>0</v>
      </c>
      <c r="O5148" s="892">
        <f t="shared" si="320"/>
        <v>1</v>
      </c>
      <c r="P5148" s="903">
        <f t="shared" si="321"/>
        <v>0</v>
      </c>
      <c r="Q5148" s="893">
        <f t="shared" si="322"/>
        <v>0</v>
      </c>
      <c r="R5148" s="894">
        <f t="shared" si="323"/>
        <v>6</v>
      </c>
    </row>
    <row r="5149" spans="1:18" s="904" customFormat="1">
      <c r="A5149" s="895"/>
      <c r="B5149" s="896"/>
      <c r="C5149" s="897"/>
      <c r="D5149" s="897"/>
      <c r="E5149" s="898" t="s">
        <v>108</v>
      </c>
      <c r="F5149" s="899"/>
      <c r="G5149" s="900"/>
      <c r="H5149" s="901"/>
      <c r="I5149" s="902"/>
      <c r="J5149" s="902"/>
      <c r="K5149" s="912" t="s">
        <v>274</v>
      </c>
      <c r="L5149" s="902"/>
      <c r="M5149" s="902"/>
      <c r="N5149" s="902"/>
      <c r="O5149" s="892">
        <f t="shared" si="320"/>
        <v>0</v>
      </c>
      <c r="P5149" s="903">
        <f t="shared" si="321"/>
        <v>1</v>
      </c>
      <c r="Q5149" s="893">
        <f t="shared" si="322"/>
        <v>6</v>
      </c>
      <c r="R5149" s="894">
        <f t="shared" si="323"/>
        <v>0</v>
      </c>
    </row>
    <row r="5150" spans="1:18">
      <c r="A5150" s="905"/>
      <c r="B5150" s="906"/>
      <c r="C5150" s="907">
        <v>49</v>
      </c>
      <c r="D5150" s="907" t="s">
        <v>279</v>
      </c>
      <c r="E5150" s="925" t="s">
        <v>5698</v>
      </c>
      <c r="F5150" s="926" t="s">
        <v>139</v>
      </c>
      <c r="G5150" s="910"/>
      <c r="H5150" s="911">
        <v>100</v>
      </c>
      <c r="I5150" s="912">
        <f>VLOOKUP(E5150,[3]VLP!$B$7:$K$300,10,0)</f>
        <v>3000</v>
      </c>
      <c r="J5150" s="912">
        <f>I5150*H5150</f>
        <v>300000</v>
      </c>
      <c r="K5150" s="912" t="s">
        <v>274</v>
      </c>
      <c r="L5150" s="912"/>
      <c r="M5150" s="912"/>
      <c r="N5150" s="912"/>
      <c r="O5150" s="892">
        <f t="shared" si="320"/>
        <v>0</v>
      </c>
      <c r="P5150" s="903">
        <f t="shared" si="321"/>
        <v>1</v>
      </c>
      <c r="Q5150" s="893">
        <f t="shared" si="322"/>
        <v>5</v>
      </c>
      <c r="R5150" s="894">
        <f t="shared" si="323"/>
        <v>0</v>
      </c>
    </row>
    <row r="5151" spans="1:18">
      <c r="A5151" s="905"/>
      <c r="B5151" s="906"/>
      <c r="C5151" s="907">
        <v>27</v>
      </c>
      <c r="D5151" s="907" t="s">
        <v>279</v>
      </c>
      <c r="E5151" s="925" t="s">
        <v>3155</v>
      </c>
      <c r="F5151" s="926" t="s">
        <v>2683</v>
      </c>
      <c r="G5151" s="910"/>
      <c r="H5151" s="911">
        <v>100</v>
      </c>
      <c r="I5151" s="912">
        <f>VLOOKUP(E5151,[3]VLP!$B$7:$K$300,10,0)</f>
        <v>3500</v>
      </c>
      <c r="J5151" s="912">
        <f>I5151*H5151</f>
        <v>350000</v>
      </c>
      <c r="K5151" s="912" t="s">
        <v>274</v>
      </c>
      <c r="L5151" s="912"/>
      <c r="M5151" s="912"/>
      <c r="N5151" s="912"/>
      <c r="O5151" s="892">
        <f t="shared" ref="O5151:O5214" si="324">IF(AND(B5151&lt;&gt;"",D5151=""),1,0)</f>
        <v>0</v>
      </c>
      <c r="P5151" s="903">
        <f t="shared" si="321"/>
        <v>1</v>
      </c>
      <c r="Q5151" s="893">
        <f t="shared" si="322"/>
        <v>4</v>
      </c>
      <c r="R5151" s="894">
        <f t="shared" si="323"/>
        <v>0</v>
      </c>
    </row>
    <row r="5152" spans="1:18">
      <c r="A5152" s="905"/>
      <c r="B5152" s="906"/>
      <c r="C5152" s="907">
        <v>699</v>
      </c>
      <c r="D5152" s="907" t="s">
        <v>279</v>
      </c>
      <c r="E5152" s="925" t="s">
        <v>4006</v>
      </c>
      <c r="F5152" s="926" t="s">
        <v>4007</v>
      </c>
      <c r="G5152" s="910"/>
      <c r="H5152" s="911">
        <v>5</v>
      </c>
      <c r="I5152" s="912">
        <f>VLOOKUP(E5152,[3]VLP!$B$7:$K$300,10,0)</f>
        <v>5000</v>
      </c>
      <c r="J5152" s="912">
        <f>I5152*H5152</f>
        <v>25000</v>
      </c>
      <c r="K5152" s="912" t="s">
        <v>274</v>
      </c>
      <c r="L5152" s="912"/>
      <c r="M5152" s="912"/>
      <c r="N5152" s="912"/>
      <c r="O5152" s="892">
        <f t="shared" si="324"/>
        <v>0</v>
      </c>
      <c r="P5152" s="903">
        <f t="shared" si="321"/>
        <v>1</v>
      </c>
      <c r="Q5152" s="893">
        <f t="shared" si="322"/>
        <v>3</v>
      </c>
      <c r="R5152" s="894">
        <f t="shared" si="323"/>
        <v>0</v>
      </c>
    </row>
    <row r="5153" spans="1:18" s="904" customFormat="1">
      <c r="A5153" s="895"/>
      <c r="B5153" s="896"/>
      <c r="C5153" s="897"/>
      <c r="D5153" s="897"/>
      <c r="E5153" s="924" t="s">
        <v>276</v>
      </c>
      <c r="F5153" s="927"/>
      <c r="G5153" s="928"/>
      <c r="H5153" s="901"/>
      <c r="I5153" s="902"/>
      <c r="J5153" s="902"/>
      <c r="K5153" s="912" t="s">
        <v>274</v>
      </c>
      <c r="L5153" s="902"/>
      <c r="M5153" s="902"/>
      <c r="N5153" s="902"/>
      <c r="O5153" s="892">
        <f t="shared" si="324"/>
        <v>0</v>
      </c>
      <c r="P5153" s="903">
        <f t="shared" si="321"/>
        <v>1</v>
      </c>
      <c r="Q5153" s="893">
        <f t="shared" si="322"/>
        <v>2</v>
      </c>
      <c r="R5153" s="894">
        <f t="shared" si="323"/>
        <v>0</v>
      </c>
    </row>
    <row r="5154" spans="1:18">
      <c r="A5154" s="905"/>
      <c r="B5154" s="906"/>
      <c r="C5154" s="907">
        <v>735</v>
      </c>
      <c r="D5154" s="907" t="s">
        <v>12</v>
      </c>
      <c r="E5154" s="908" t="s">
        <v>4065</v>
      </c>
      <c r="F5154" s="909" t="s">
        <v>2674</v>
      </c>
      <c r="G5154" s="910"/>
      <c r="H5154" s="911">
        <v>49.29</v>
      </c>
      <c r="I5154" s="912"/>
      <c r="J5154" s="912"/>
      <c r="K5154" s="912">
        <f>VLOOKUP(E5154,[5]ĐMNC!$A$7:$F$67,4,0)</f>
        <v>203703</v>
      </c>
      <c r="L5154" s="912">
        <f>H5154*K5154</f>
        <v>10040520.869999999</v>
      </c>
      <c r="M5154" s="912"/>
      <c r="N5154" s="912"/>
      <c r="O5154" s="892">
        <f t="shared" si="324"/>
        <v>0</v>
      </c>
      <c r="P5154" s="903">
        <f t="shared" si="321"/>
        <v>1</v>
      </c>
      <c r="Q5154" s="893">
        <f t="shared" si="322"/>
        <v>1</v>
      </c>
      <c r="R5154" s="894">
        <f t="shared" si="323"/>
        <v>0</v>
      </c>
    </row>
    <row r="5155" spans="1:18" s="847" customFormat="1" ht="31.5">
      <c r="A5155" s="905" t="s">
        <v>5703</v>
      </c>
      <c r="B5155" s="914" t="s">
        <v>1515</v>
      </c>
      <c r="C5155" s="915"/>
      <c r="D5155" s="915"/>
      <c r="E5155" s="916" t="s">
        <v>5704</v>
      </c>
      <c r="F5155" s="917" t="s">
        <v>43</v>
      </c>
      <c r="G5155" s="918"/>
      <c r="H5155" s="919"/>
      <c r="I5155" s="920"/>
      <c r="J5155" s="891">
        <f>SUM(J5156:J5162)</f>
        <v>897913.75</v>
      </c>
      <c r="K5155" s="891"/>
      <c r="L5155" s="891">
        <f>SUM(L5156:L5162)</f>
        <v>3336655.1399999997</v>
      </c>
      <c r="M5155" s="891"/>
      <c r="N5155" s="891">
        <f>SUM(N5156:N5162)</f>
        <v>0</v>
      </c>
      <c r="O5155" s="892">
        <f t="shared" si="324"/>
        <v>1</v>
      </c>
      <c r="P5155" s="903">
        <f t="shared" si="321"/>
        <v>0</v>
      </c>
      <c r="Q5155" s="893">
        <f t="shared" si="322"/>
        <v>0</v>
      </c>
      <c r="R5155" s="894">
        <f t="shared" si="323"/>
        <v>7</v>
      </c>
    </row>
    <row r="5156" spans="1:18" s="904" customFormat="1">
      <c r="A5156" s="895"/>
      <c r="B5156" s="922"/>
      <c r="C5156" s="897"/>
      <c r="D5156" s="897"/>
      <c r="E5156" s="898" t="s">
        <v>108</v>
      </c>
      <c r="F5156" s="899"/>
      <c r="G5156" s="900"/>
      <c r="H5156" s="901"/>
      <c r="I5156" s="902"/>
      <c r="J5156" s="902"/>
      <c r="K5156" s="912" t="s">
        <v>274</v>
      </c>
      <c r="L5156" s="902"/>
      <c r="M5156" s="902"/>
      <c r="N5156" s="902"/>
      <c r="O5156" s="892">
        <f t="shared" si="324"/>
        <v>0</v>
      </c>
      <c r="P5156" s="903">
        <f t="shared" si="321"/>
        <v>1</v>
      </c>
      <c r="Q5156" s="893">
        <f t="shared" si="322"/>
        <v>7</v>
      </c>
      <c r="R5156" s="894">
        <f t="shared" si="323"/>
        <v>0</v>
      </c>
    </row>
    <row r="5157" spans="1:18">
      <c r="A5157" s="905"/>
      <c r="B5157" s="906"/>
      <c r="C5157" s="907">
        <v>110</v>
      </c>
      <c r="D5157" s="907" t="s">
        <v>279</v>
      </c>
      <c r="E5157" s="925" t="s">
        <v>4017</v>
      </c>
      <c r="F5157" s="926" t="s">
        <v>45</v>
      </c>
      <c r="G5157" s="910"/>
      <c r="H5157" s="911">
        <v>8</v>
      </c>
      <c r="I5157" s="912">
        <f>VLOOKUP(E5157,[3]VLP!$B$7:$K$300,10,0)</f>
        <v>73636</v>
      </c>
      <c r="J5157" s="912">
        <f>I5157*H5157</f>
        <v>589088</v>
      </c>
      <c r="K5157" s="912" t="s">
        <v>274</v>
      </c>
      <c r="L5157" s="912"/>
      <c r="M5157" s="912"/>
      <c r="N5157" s="912"/>
      <c r="O5157" s="892">
        <f t="shared" si="324"/>
        <v>0</v>
      </c>
      <c r="P5157" s="903">
        <f t="shared" si="321"/>
        <v>1</v>
      </c>
      <c r="Q5157" s="893">
        <f t="shared" si="322"/>
        <v>6</v>
      </c>
      <c r="R5157" s="894">
        <f t="shared" si="323"/>
        <v>0</v>
      </c>
    </row>
    <row r="5158" spans="1:18">
      <c r="A5158" s="905"/>
      <c r="B5158" s="906"/>
      <c r="C5158" s="907">
        <v>66</v>
      </c>
      <c r="D5158" s="907" t="s">
        <v>279</v>
      </c>
      <c r="E5158" s="925" t="s">
        <v>2682</v>
      </c>
      <c r="F5158" s="926" t="s">
        <v>45</v>
      </c>
      <c r="G5158" s="910"/>
      <c r="H5158" s="911">
        <v>1.5</v>
      </c>
      <c r="I5158" s="912">
        <f>VLOOKUP(E5158,[3]VLP!$B$7:$K$300,10,0)</f>
        <v>5000</v>
      </c>
      <c r="J5158" s="912">
        <f>I5158*H5158</f>
        <v>7500</v>
      </c>
      <c r="K5158" s="912" t="s">
        <v>274</v>
      </c>
      <c r="L5158" s="912"/>
      <c r="M5158" s="912"/>
      <c r="N5158" s="912"/>
      <c r="O5158" s="892">
        <f t="shared" si="324"/>
        <v>0</v>
      </c>
      <c r="P5158" s="903">
        <f t="shared" si="321"/>
        <v>1</v>
      </c>
      <c r="Q5158" s="893">
        <f t="shared" si="322"/>
        <v>5</v>
      </c>
      <c r="R5158" s="894">
        <f t="shared" si="323"/>
        <v>0</v>
      </c>
    </row>
    <row r="5159" spans="1:18">
      <c r="A5159" s="905"/>
      <c r="B5159" s="906"/>
      <c r="C5159" s="907">
        <v>128</v>
      </c>
      <c r="D5159" s="907" t="s">
        <v>279</v>
      </c>
      <c r="E5159" s="925" t="s">
        <v>5705</v>
      </c>
      <c r="F5159" s="926" t="s">
        <v>45</v>
      </c>
      <c r="G5159" s="910"/>
      <c r="H5159" s="911">
        <v>12</v>
      </c>
      <c r="I5159" s="912">
        <f>VLOOKUP(E5159,[3]VLP!$B$7:$K$300,10,0)</f>
        <v>1436</v>
      </c>
      <c r="J5159" s="912">
        <f>I5159*H5159</f>
        <v>17232</v>
      </c>
      <c r="K5159" s="912" t="s">
        <v>274</v>
      </c>
      <c r="L5159" s="912"/>
      <c r="M5159" s="912"/>
      <c r="N5159" s="912"/>
      <c r="O5159" s="892">
        <f t="shared" si="324"/>
        <v>0</v>
      </c>
      <c r="P5159" s="903">
        <f t="shared" si="321"/>
        <v>1</v>
      </c>
      <c r="Q5159" s="893">
        <f t="shared" si="322"/>
        <v>4</v>
      </c>
      <c r="R5159" s="894">
        <f t="shared" si="323"/>
        <v>0</v>
      </c>
    </row>
    <row r="5160" spans="1:18">
      <c r="A5160" s="905"/>
      <c r="B5160" s="906"/>
      <c r="C5160" s="907">
        <v>23</v>
      </c>
      <c r="D5160" s="907" t="s">
        <v>279</v>
      </c>
      <c r="E5160" s="925" t="s">
        <v>5706</v>
      </c>
      <c r="F5160" s="926" t="s">
        <v>45</v>
      </c>
      <c r="G5160" s="910"/>
      <c r="H5160" s="911">
        <v>6.25</v>
      </c>
      <c r="I5160" s="912">
        <f>VLOOKUP(E5160,[3]VLP!$B$7:$K$300,10,0)</f>
        <v>45455</v>
      </c>
      <c r="J5160" s="912">
        <f>I5160*H5160</f>
        <v>284093.75</v>
      </c>
      <c r="K5160" s="912" t="s">
        <v>274</v>
      </c>
      <c r="L5160" s="912"/>
      <c r="M5160" s="912"/>
      <c r="N5160" s="912"/>
      <c r="O5160" s="892">
        <f t="shared" si="324"/>
        <v>0</v>
      </c>
      <c r="P5160" s="903">
        <f t="shared" ref="P5160:P5223" si="325">IF(O5160=0,1,0)</f>
        <v>1</v>
      </c>
      <c r="Q5160" s="893">
        <f t="shared" ref="Q5160:Q5223" si="326">IF(P5160=0,0,P5160+Q5161)</f>
        <v>3</v>
      </c>
      <c r="R5160" s="894">
        <f t="shared" ref="R5160:R5223" si="327">IF(Q5160=0,Q5161,0)</f>
        <v>0</v>
      </c>
    </row>
    <row r="5161" spans="1:18" s="904" customFormat="1">
      <c r="A5161" s="895"/>
      <c r="B5161" s="896"/>
      <c r="C5161" s="897"/>
      <c r="D5161" s="897"/>
      <c r="E5161" s="924" t="s">
        <v>276</v>
      </c>
      <c r="F5161" s="927"/>
      <c r="G5161" s="928"/>
      <c r="H5161" s="901"/>
      <c r="I5161" s="902"/>
      <c r="J5161" s="902"/>
      <c r="K5161" s="912" t="s">
        <v>274</v>
      </c>
      <c r="L5161" s="902"/>
      <c r="M5161" s="902"/>
      <c r="N5161" s="902"/>
      <c r="O5161" s="892">
        <f t="shared" si="324"/>
        <v>0</v>
      </c>
      <c r="P5161" s="903">
        <f t="shared" si="325"/>
        <v>1</v>
      </c>
      <c r="Q5161" s="893">
        <f t="shared" si="326"/>
        <v>2</v>
      </c>
      <c r="R5161" s="894">
        <f t="shared" si="327"/>
        <v>0</v>
      </c>
    </row>
    <row r="5162" spans="1:18">
      <c r="A5162" s="905"/>
      <c r="B5162" s="906"/>
      <c r="C5162" s="907">
        <v>735</v>
      </c>
      <c r="D5162" s="907" t="s">
        <v>12</v>
      </c>
      <c r="E5162" s="908" t="s">
        <v>4065</v>
      </c>
      <c r="F5162" s="909" t="s">
        <v>2674</v>
      </c>
      <c r="G5162" s="910"/>
      <c r="H5162" s="911">
        <v>16.38</v>
      </c>
      <c r="I5162" s="912"/>
      <c r="J5162" s="912"/>
      <c r="K5162" s="912">
        <f>VLOOKUP(E5162,[5]ĐMNC!$A$7:$F$67,4,0)</f>
        <v>203703</v>
      </c>
      <c r="L5162" s="912">
        <f>H5162*K5162</f>
        <v>3336655.1399999997</v>
      </c>
      <c r="M5162" s="912"/>
      <c r="N5162" s="912"/>
      <c r="O5162" s="892">
        <f t="shared" si="324"/>
        <v>0</v>
      </c>
      <c r="P5162" s="903">
        <f t="shared" si="325"/>
        <v>1</v>
      </c>
      <c r="Q5162" s="893">
        <f t="shared" si="326"/>
        <v>1</v>
      </c>
      <c r="R5162" s="894">
        <f t="shared" si="327"/>
        <v>0</v>
      </c>
    </row>
    <row r="5163" spans="1:18" s="847" customFormat="1" ht="31.5">
      <c r="A5163" s="905"/>
      <c r="B5163" s="914" t="s">
        <v>1517</v>
      </c>
      <c r="C5163" s="915"/>
      <c r="D5163" s="915"/>
      <c r="E5163" s="916" t="s">
        <v>5707</v>
      </c>
      <c r="F5163" s="917" t="s">
        <v>43</v>
      </c>
      <c r="G5163" s="918"/>
      <c r="H5163" s="919"/>
      <c r="I5163" s="920"/>
      <c r="J5163" s="891">
        <f>SUM(J5164:J5170)</f>
        <v>1464111.25</v>
      </c>
      <c r="K5163" s="891"/>
      <c r="L5163" s="891">
        <f>SUM(L5164:L5170)</f>
        <v>4562947.1999999993</v>
      </c>
      <c r="M5163" s="891"/>
      <c r="N5163" s="891">
        <f>SUM(N5164:N5170)</f>
        <v>0</v>
      </c>
      <c r="O5163" s="892">
        <f t="shared" si="324"/>
        <v>1</v>
      </c>
      <c r="P5163" s="903">
        <f t="shared" si="325"/>
        <v>0</v>
      </c>
      <c r="Q5163" s="893">
        <f t="shared" si="326"/>
        <v>0</v>
      </c>
      <c r="R5163" s="894">
        <f t="shared" si="327"/>
        <v>7</v>
      </c>
    </row>
    <row r="5164" spans="1:18" s="904" customFormat="1">
      <c r="A5164" s="895"/>
      <c r="B5164" s="896"/>
      <c r="C5164" s="897"/>
      <c r="D5164" s="897"/>
      <c r="E5164" s="898" t="s">
        <v>108</v>
      </c>
      <c r="F5164" s="899"/>
      <c r="G5164" s="900"/>
      <c r="H5164" s="901"/>
      <c r="I5164" s="902"/>
      <c r="J5164" s="902"/>
      <c r="K5164" s="912" t="s">
        <v>274</v>
      </c>
      <c r="L5164" s="902"/>
      <c r="M5164" s="902"/>
      <c r="N5164" s="902"/>
      <c r="O5164" s="892">
        <f t="shared" si="324"/>
        <v>0</v>
      </c>
      <c r="P5164" s="903">
        <f t="shared" si="325"/>
        <v>1</v>
      </c>
      <c r="Q5164" s="893">
        <f t="shared" si="326"/>
        <v>7</v>
      </c>
      <c r="R5164" s="894">
        <f t="shared" si="327"/>
        <v>0</v>
      </c>
    </row>
    <row r="5165" spans="1:18">
      <c r="A5165" s="905"/>
      <c r="B5165" s="906"/>
      <c r="C5165" s="907">
        <v>110</v>
      </c>
      <c r="D5165" s="907" t="s">
        <v>279</v>
      </c>
      <c r="E5165" s="925" t="s">
        <v>4017</v>
      </c>
      <c r="F5165" s="926" t="s">
        <v>45</v>
      </c>
      <c r="G5165" s="910"/>
      <c r="H5165" s="911">
        <v>14</v>
      </c>
      <c r="I5165" s="912">
        <f>VLOOKUP(E5165,[3]VLP!$B$7:$K$300,10,0)</f>
        <v>73636</v>
      </c>
      <c r="J5165" s="912">
        <f>I5165*H5165</f>
        <v>1030904</v>
      </c>
      <c r="K5165" s="912" t="s">
        <v>274</v>
      </c>
      <c r="L5165" s="912"/>
      <c r="M5165" s="912"/>
      <c r="N5165" s="912"/>
      <c r="O5165" s="892">
        <f t="shared" si="324"/>
        <v>0</v>
      </c>
      <c r="P5165" s="903">
        <f t="shared" si="325"/>
        <v>1</v>
      </c>
      <c r="Q5165" s="893">
        <f t="shared" si="326"/>
        <v>6</v>
      </c>
      <c r="R5165" s="894">
        <f t="shared" si="327"/>
        <v>0</v>
      </c>
    </row>
    <row r="5166" spans="1:18">
      <c r="A5166" s="905"/>
      <c r="B5166" s="906"/>
      <c r="C5166" s="907">
        <v>66</v>
      </c>
      <c r="D5166" s="907" t="s">
        <v>279</v>
      </c>
      <c r="E5166" s="925" t="s">
        <v>2682</v>
      </c>
      <c r="F5166" s="926" t="s">
        <v>45</v>
      </c>
      <c r="G5166" s="910"/>
      <c r="H5166" s="911">
        <v>2.5</v>
      </c>
      <c r="I5166" s="912">
        <f>VLOOKUP(E5166,[3]VLP!$B$7:$K$300,10,0)</f>
        <v>5000</v>
      </c>
      <c r="J5166" s="912">
        <f>I5166*H5166</f>
        <v>12500</v>
      </c>
      <c r="K5166" s="912" t="s">
        <v>274</v>
      </c>
      <c r="L5166" s="912"/>
      <c r="M5166" s="912"/>
      <c r="N5166" s="912"/>
      <c r="O5166" s="892">
        <f t="shared" si="324"/>
        <v>0</v>
      </c>
      <c r="P5166" s="903">
        <f t="shared" si="325"/>
        <v>1</v>
      </c>
      <c r="Q5166" s="893">
        <f t="shared" si="326"/>
        <v>5</v>
      </c>
      <c r="R5166" s="894">
        <f t="shared" si="327"/>
        <v>0</v>
      </c>
    </row>
    <row r="5167" spans="1:18">
      <c r="A5167" s="905"/>
      <c r="B5167" s="906"/>
      <c r="C5167" s="907">
        <v>128</v>
      </c>
      <c r="D5167" s="907" t="s">
        <v>279</v>
      </c>
      <c r="E5167" s="925" t="s">
        <v>5705</v>
      </c>
      <c r="F5167" s="926" t="s">
        <v>45</v>
      </c>
      <c r="G5167" s="910"/>
      <c r="H5167" s="911">
        <v>16</v>
      </c>
      <c r="I5167" s="912">
        <f>VLOOKUP(E5167,[3]VLP!$B$7:$K$300,10,0)</f>
        <v>1436</v>
      </c>
      <c r="J5167" s="912">
        <f>I5167*H5167</f>
        <v>22976</v>
      </c>
      <c r="K5167" s="912" t="s">
        <v>274</v>
      </c>
      <c r="L5167" s="912"/>
      <c r="M5167" s="912"/>
      <c r="N5167" s="912"/>
      <c r="O5167" s="892">
        <f t="shared" si="324"/>
        <v>0</v>
      </c>
      <c r="P5167" s="903">
        <f t="shared" si="325"/>
        <v>1</v>
      </c>
      <c r="Q5167" s="893">
        <f t="shared" si="326"/>
        <v>4</v>
      </c>
      <c r="R5167" s="894">
        <f t="shared" si="327"/>
        <v>0</v>
      </c>
    </row>
    <row r="5168" spans="1:18">
      <c r="A5168" s="905"/>
      <c r="B5168" s="906"/>
      <c r="C5168" s="907">
        <v>23</v>
      </c>
      <c r="D5168" s="907" t="s">
        <v>279</v>
      </c>
      <c r="E5168" s="925" t="s">
        <v>5706</v>
      </c>
      <c r="F5168" s="926" t="s">
        <v>45</v>
      </c>
      <c r="G5168" s="910"/>
      <c r="H5168" s="911">
        <v>8.75</v>
      </c>
      <c r="I5168" s="912">
        <f>VLOOKUP(E5168,[3]VLP!$B$7:$K$300,10,0)</f>
        <v>45455</v>
      </c>
      <c r="J5168" s="912">
        <f>I5168*H5168</f>
        <v>397731.25</v>
      </c>
      <c r="K5168" s="912" t="s">
        <v>274</v>
      </c>
      <c r="L5168" s="912"/>
      <c r="M5168" s="912"/>
      <c r="N5168" s="912"/>
      <c r="O5168" s="892">
        <f t="shared" si="324"/>
        <v>0</v>
      </c>
      <c r="P5168" s="903">
        <f t="shared" si="325"/>
        <v>1</v>
      </c>
      <c r="Q5168" s="893">
        <f t="shared" si="326"/>
        <v>3</v>
      </c>
      <c r="R5168" s="894">
        <f t="shared" si="327"/>
        <v>0</v>
      </c>
    </row>
    <row r="5169" spans="1:18" s="904" customFormat="1">
      <c r="A5169" s="895"/>
      <c r="B5169" s="896"/>
      <c r="C5169" s="897"/>
      <c r="D5169" s="897"/>
      <c r="E5169" s="924" t="s">
        <v>276</v>
      </c>
      <c r="F5169" s="927"/>
      <c r="G5169" s="928"/>
      <c r="H5169" s="901"/>
      <c r="I5169" s="902"/>
      <c r="J5169" s="902"/>
      <c r="K5169" s="912" t="s">
        <v>274</v>
      </c>
      <c r="L5169" s="902"/>
      <c r="M5169" s="902"/>
      <c r="N5169" s="902"/>
      <c r="O5169" s="892">
        <f t="shared" si="324"/>
        <v>0</v>
      </c>
      <c r="P5169" s="903">
        <f t="shared" si="325"/>
        <v>1</v>
      </c>
      <c r="Q5169" s="893">
        <f t="shared" si="326"/>
        <v>2</v>
      </c>
      <c r="R5169" s="894">
        <f t="shared" si="327"/>
        <v>0</v>
      </c>
    </row>
    <row r="5170" spans="1:18">
      <c r="A5170" s="905"/>
      <c r="B5170" s="906"/>
      <c r="C5170" s="907">
        <v>735</v>
      </c>
      <c r="D5170" s="907" t="s">
        <v>12</v>
      </c>
      <c r="E5170" s="908" t="s">
        <v>4065</v>
      </c>
      <c r="F5170" s="909" t="s">
        <v>2674</v>
      </c>
      <c r="G5170" s="910"/>
      <c r="H5170" s="911">
        <v>22.4</v>
      </c>
      <c r="I5170" s="912"/>
      <c r="J5170" s="912"/>
      <c r="K5170" s="912">
        <f>VLOOKUP(E5170,[5]ĐMNC!$A$7:$F$67,4,0)</f>
        <v>203703</v>
      </c>
      <c r="L5170" s="912">
        <f>H5170*K5170</f>
        <v>4562947.1999999993</v>
      </c>
      <c r="M5170" s="912"/>
      <c r="N5170" s="912"/>
      <c r="O5170" s="892">
        <f t="shared" si="324"/>
        <v>0</v>
      </c>
      <c r="P5170" s="903">
        <f t="shared" si="325"/>
        <v>1</v>
      </c>
      <c r="Q5170" s="893">
        <f t="shared" si="326"/>
        <v>1</v>
      </c>
      <c r="R5170" s="894">
        <f t="shared" si="327"/>
        <v>0</v>
      </c>
    </row>
    <row r="5171" spans="1:18" s="847" customFormat="1" ht="31.5">
      <c r="A5171" s="905"/>
      <c r="B5171" s="914" t="s">
        <v>1519</v>
      </c>
      <c r="C5171" s="915"/>
      <c r="D5171" s="915"/>
      <c r="E5171" s="916" t="s">
        <v>5708</v>
      </c>
      <c r="F5171" s="917" t="s">
        <v>43</v>
      </c>
      <c r="G5171" s="918"/>
      <c r="H5171" s="919"/>
      <c r="I5171" s="920"/>
      <c r="J5171" s="891">
        <f>SUM(J5172:J5176)</f>
        <v>540818</v>
      </c>
      <c r="K5171" s="891"/>
      <c r="L5171" s="891">
        <f>SUM(L5172:L5176)</f>
        <v>7842565.5</v>
      </c>
      <c r="M5171" s="891"/>
      <c r="N5171" s="891">
        <f>SUM(N5172:N5176)</f>
        <v>0</v>
      </c>
      <c r="O5171" s="892">
        <f t="shared" si="324"/>
        <v>1</v>
      </c>
      <c r="P5171" s="903">
        <f t="shared" si="325"/>
        <v>0</v>
      </c>
      <c r="Q5171" s="893">
        <f t="shared" si="326"/>
        <v>0</v>
      </c>
      <c r="R5171" s="894">
        <f t="shared" si="327"/>
        <v>5</v>
      </c>
    </row>
    <row r="5172" spans="1:18" s="904" customFormat="1">
      <c r="A5172" s="895"/>
      <c r="B5172" s="896"/>
      <c r="C5172" s="897"/>
      <c r="D5172" s="897"/>
      <c r="E5172" s="898" t="s">
        <v>108</v>
      </c>
      <c r="F5172" s="899"/>
      <c r="G5172" s="900"/>
      <c r="H5172" s="901"/>
      <c r="I5172" s="902"/>
      <c r="J5172" s="902"/>
      <c r="K5172" s="912" t="s">
        <v>274</v>
      </c>
      <c r="L5172" s="902"/>
      <c r="M5172" s="902"/>
      <c r="N5172" s="902"/>
      <c r="O5172" s="892">
        <f t="shared" si="324"/>
        <v>0</v>
      </c>
      <c r="P5172" s="903">
        <f t="shared" si="325"/>
        <v>1</v>
      </c>
      <c r="Q5172" s="893">
        <f t="shared" si="326"/>
        <v>5</v>
      </c>
      <c r="R5172" s="894">
        <f t="shared" si="327"/>
        <v>0</v>
      </c>
    </row>
    <row r="5173" spans="1:18">
      <c r="A5173" s="905"/>
      <c r="B5173" s="906"/>
      <c r="C5173" s="907">
        <v>30</v>
      </c>
      <c r="D5173" s="907" t="s">
        <v>279</v>
      </c>
      <c r="E5173" s="925" t="s">
        <v>5709</v>
      </c>
      <c r="F5173" s="926" t="s">
        <v>47</v>
      </c>
      <c r="G5173" s="910"/>
      <c r="H5173" s="911">
        <v>0.5</v>
      </c>
      <c r="I5173" s="912">
        <f>VLOOKUP(E5173,[3]VLP!$B$7:$K$300,10,0)</f>
        <v>363636</v>
      </c>
      <c r="J5173" s="912">
        <f>I5173*H5173</f>
        <v>181818</v>
      </c>
      <c r="K5173" s="912" t="s">
        <v>274</v>
      </c>
      <c r="L5173" s="912"/>
      <c r="M5173" s="912"/>
      <c r="N5173" s="912"/>
      <c r="O5173" s="892">
        <f t="shared" si="324"/>
        <v>0</v>
      </c>
      <c r="P5173" s="903">
        <f t="shared" si="325"/>
        <v>1</v>
      </c>
      <c r="Q5173" s="893">
        <f t="shared" si="326"/>
        <v>4</v>
      </c>
      <c r="R5173" s="894">
        <f t="shared" si="327"/>
        <v>0</v>
      </c>
    </row>
    <row r="5174" spans="1:18">
      <c r="A5174" s="905"/>
      <c r="B5174" s="906"/>
      <c r="C5174" s="907">
        <v>128</v>
      </c>
      <c r="D5174" s="907" t="s">
        <v>279</v>
      </c>
      <c r="E5174" s="925" t="s">
        <v>5705</v>
      </c>
      <c r="F5174" s="926" t="s">
        <v>45</v>
      </c>
      <c r="G5174" s="910"/>
      <c r="H5174" s="911">
        <v>250</v>
      </c>
      <c r="I5174" s="912">
        <f>VLOOKUP(E5174,[3]VLP!$B$7:$K$300,10,0)</f>
        <v>1436</v>
      </c>
      <c r="J5174" s="912">
        <f>I5174*H5174</f>
        <v>359000</v>
      </c>
      <c r="K5174" s="912" t="s">
        <v>274</v>
      </c>
      <c r="L5174" s="912"/>
      <c r="M5174" s="912"/>
      <c r="N5174" s="912"/>
      <c r="O5174" s="892">
        <f t="shared" si="324"/>
        <v>0</v>
      </c>
      <c r="P5174" s="903">
        <f t="shared" si="325"/>
        <v>1</v>
      </c>
      <c r="Q5174" s="893">
        <f t="shared" si="326"/>
        <v>3</v>
      </c>
      <c r="R5174" s="894">
        <f t="shared" si="327"/>
        <v>0</v>
      </c>
    </row>
    <row r="5175" spans="1:18" s="904" customFormat="1">
      <c r="A5175" s="895"/>
      <c r="B5175" s="896"/>
      <c r="C5175" s="897"/>
      <c r="D5175" s="897"/>
      <c r="E5175" s="924" t="s">
        <v>276</v>
      </c>
      <c r="F5175" s="927"/>
      <c r="G5175" s="928"/>
      <c r="H5175" s="901"/>
      <c r="I5175" s="902"/>
      <c r="J5175" s="902"/>
      <c r="K5175" s="912" t="s">
        <v>274</v>
      </c>
      <c r="L5175" s="902"/>
      <c r="M5175" s="902"/>
      <c r="N5175" s="902"/>
      <c r="O5175" s="892">
        <f t="shared" si="324"/>
        <v>0</v>
      </c>
      <c r="P5175" s="903">
        <f t="shared" si="325"/>
        <v>1</v>
      </c>
      <c r="Q5175" s="893">
        <f t="shared" si="326"/>
        <v>2</v>
      </c>
      <c r="R5175" s="894">
        <f t="shared" si="327"/>
        <v>0</v>
      </c>
    </row>
    <row r="5176" spans="1:18">
      <c r="A5176" s="905"/>
      <c r="B5176" s="906"/>
      <c r="C5176" s="907">
        <v>735</v>
      </c>
      <c r="D5176" s="907" t="s">
        <v>12</v>
      </c>
      <c r="E5176" s="908" t="s">
        <v>4065</v>
      </c>
      <c r="F5176" s="909" t="s">
        <v>2674</v>
      </c>
      <c r="G5176" s="910"/>
      <c r="H5176" s="911">
        <v>38.5</v>
      </c>
      <c r="I5176" s="912"/>
      <c r="J5176" s="912"/>
      <c r="K5176" s="912">
        <f>VLOOKUP(E5176,[5]ĐMNC!$A$7:$F$67,4,0)</f>
        <v>203703</v>
      </c>
      <c r="L5176" s="912">
        <f>H5176*K5176</f>
        <v>7842565.5</v>
      </c>
      <c r="M5176" s="912"/>
      <c r="N5176" s="912"/>
      <c r="O5176" s="892">
        <f t="shared" si="324"/>
        <v>0</v>
      </c>
      <c r="P5176" s="903">
        <f t="shared" si="325"/>
        <v>1</v>
      </c>
      <c r="Q5176" s="893">
        <f t="shared" si="326"/>
        <v>1</v>
      </c>
      <c r="R5176" s="894">
        <f t="shared" si="327"/>
        <v>0</v>
      </c>
    </row>
    <row r="5177" spans="1:18" s="847" customFormat="1" ht="31.5">
      <c r="A5177" s="905"/>
      <c r="B5177" s="914" t="s">
        <v>1521</v>
      </c>
      <c r="C5177" s="915"/>
      <c r="D5177" s="915"/>
      <c r="E5177" s="916" t="s">
        <v>5710</v>
      </c>
      <c r="F5177" s="917" t="s">
        <v>43</v>
      </c>
      <c r="G5177" s="918"/>
      <c r="H5177" s="919"/>
      <c r="I5177" s="920"/>
      <c r="J5177" s="891">
        <f>SUM(J5178:J5182)</f>
        <v>829408.8</v>
      </c>
      <c r="K5177" s="891"/>
      <c r="L5177" s="891">
        <f>SUM(L5178:L5182)</f>
        <v>9981447</v>
      </c>
      <c r="M5177" s="891"/>
      <c r="N5177" s="891">
        <f>SUM(N5178:N5182)</f>
        <v>0</v>
      </c>
      <c r="O5177" s="892">
        <f t="shared" si="324"/>
        <v>1</v>
      </c>
      <c r="P5177" s="903">
        <f t="shared" si="325"/>
        <v>0</v>
      </c>
      <c r="Q5177" s="893">
        <f t="shared" si="326"/>
        <v>0</v>
      </c>
      <c r="R5177" s="894">
        <f t="shared" si="327"/>
        <v>5</v>
      </c>
    </row>
    <row r="5178" spans="1:18" s="904" customFormat="1">
      <c r="A5178" s="895"/>
      <c r="B5178" s="896"/>
      <c r="C5178" s="897"/>
      <c r="D5178" s="897"/>
      <c r="E5178" s="898" t="s">
        <v>108</v>
      </c>
      <c r="F5178" s="899"/>
      <c r="G5178" s="900"/>
      <c r="H5178" s="901"/>
      <c r="I5178" s="902"/>
      <c r="J5178" s="902"/>
      <c r="K5178" s="912" t="s">
        <v>274</v>
      </c>
      <c r="L5178" s="902"/>
      <c r="M5178" s="902"/>
      <c r="N5178" s="902"/>
      <c r="O5178" s="892">
        <f t="shared" si="324"/>
        <v>0</v>
      </c>
      <c r="P5178" s="903">
        <f t="shared" si="325"/>
        <v>1</v>
      </c>
      <c r="Q5178" s="893">
        <f t="shared" si="326"/>
        <v>5</v>
      </c>
      <c r="R5178" s="894">
        <f t="shared" si="327"/>
        <v>0</v>
      </c>
    </row>
    <row r="5179" spans="1:18">
      <c r="A5179" s="905"/>
      <c r="B5179" s="906"/>
      <c r="C5179" s="907">
        <v>30</v>
      </c>
      <c r="D5179" s="907" t="s">
        <v>279</v>
      </c>
      <c r="E5179" s="925" t="s">
        <v>5709</v>
      </c>
      <c r="F5179" s="926" t="s">
        <v>47</v>
      </c>
      <c r="G5179" s="910"/>
      <c r="H5179" s="911">
        <v>0.8</v>
      </c>
      <c r="I5179" s="912">
        <f>VLOOKUP(E5179,[3]VLP!$B$7:$K$300,10,0)</f>
        <v>363636</v>
      </c>
      <c r="J5179" s="912">
        <f>I5179*H5179</f>
        <v>290908.79999999999</v>
      </c>
      <c r="K5179" s="912" t="s">
        <v>274</v>
      </c>
      <c r="L5179" s="912"/>
      <c r="M5179" s="912"/>
      <c r="N5179" s="912"/>
      <c r="O5179" s="892">
        <f t="shared" si="324"/>
        <v>0</v>
      </c>
      <c r="P5179" s="903">
        <f t="shared" si="325"/>
        <v>1</v>
      </c>
      <c r="Q5179" s="893">
        <f t="shared" si="326"/>
        <v>4</v>
      </c>
      <c r="R5179" s="894">
        <f t="shared" si="327"/>
        <v>0</v>
      </c>
    </row>
    <row r="5180" spans="1:18">
      <c r="A5180" s="905"/>
      <c r="B5180" s="906"/>
      <c r="C5180" s="907">
        <v>128</v>
      </c>
      <c r="D5180" s="907" t="s">
        <v>279</v>
      </c>
      <c r="E5180" s="925" t="s">
        <v>5705</v>
      </c>
      <c r="F5180" s="926" t="s">
        <v>45</v>
      </c>
      <c r="G5180" s="910"/>
      <c r="H5180" s="911">
        <v>375</v>
      </c>
      <c r="I5180" s="912">
        <f>VLOOKUP(E5180,[3]VLP!$B$7:$K$300,10,0)</f>
        <v>1436</v>
      </c>
      <c r="J5180" s="912">
        <f>I5180*H5180</f>
        <v>538500</v>
      </c>
      <c r="K5180" s="912" t="s">
        <v>274</v>
      </c>
      <c r="L5180" s="912"/>
      <c r="M5180" s="912"/>
      <c r="N5180" s="912"/>
      <c r="O5180" s="892">
        <f t="shared" si="324"/>
        <v>0</v>
      </c>
      <c r="P5180" s="903">
        <f t="shared" si="325"/>
        <v>1</v>
      </c>
      <c r="Q5180" s="893">
        <f t="shared" si="326"/>
        <v>3</v>
      </c>
      <c r="R5180" s="894">
        <f t="shared" si="327"/>
        <v>0</v>
      </c>
    </row>
    <row r="5181" spans="1:18" s="904" customFormat="1">
      <c r="A5181" s="895"/>
      <c r="B5181" s="896"/>
      <c r="C5181" s="897"/>
      <c r="D5181" s="897"/>
      <c r="E5181" s="924" t="s">
        <v>276</v>
      </c>
      <c r="F5181" s="927"/>
      <c r="G5181" s="928"/>
      <c r="H5181" s="901"/>
      <c r="I5181" s="902"/>
      <c r="J5181" s="902"/>
      <c r="K5181" s="912" t="s">
        <v>274</v>
      </c>
      <c r="L5181" s="902"/>
      <c r="M5181" s="902"/>
      <c r="N5181" s="902"/>
      <c r="O5181" s="892">
        <f t="shared" si="324"/>
        <v>0</v>
      </c>
      <c r="P5181" s="903">
        <f t="shared" si="325"/>
        <v>1</v>
      </c>
      <c r="Q5181" s="893">
        <f t="shared" si="326"/>
        <v>2</v>
      </c>
      <c r="R5181" s="894">
        <f t="shared" si="327"/>
        <v>0</v>
      </c>
    </row>
    <row r="5182" spans="1:18">
      <c r="A5182" s="905"/>
      <c r="B5182" s="906"/>
      <c r="C5182" s="907">
        <v>735</v>
      </c>
      <c r="D5182" s="907" t="s">
        <v>12</v>
      </c>
      <c r="E5182" s="908" t="s">
        <v>4065</v>
      </c>
      <c r="F5182" s="909" t="s">
        <v>2674</v>
      </c>
      <c r="G5182" s="910"/>
      <c r="H5182" s="911">
        <v>49</v>
      </c>
      <c r="I5182" s="912"/>
      <c r="J5182" s="912"/>
      <c r="K5182" s="912">
        <f>VLOOKUP(E5182,[5]ĐMNC!$A$7:$F$67,4,0)</f>
        <v>203703</v>
      </c>
      <c r="L5182" s="912">
        <f>H5182*K5182</f>
        <v>9981447</v>
      </c>
      <c r="M5182" s="912"/>
      <c r="N5182" s="912"/>
      <c r="O5182" s="892">
        <f t="shared" si="324"/>
        <v>0</v>
      </c>
      <c r="P5182" s="903">
        <f t="shared" si="325"/>
        <v>1</v>
      </c>
      <c r="Q5182" s="893">
        <f t="shared" si="326"/>
        <v>1</v>
      </c>
      <c r="R5182" s="894">
        <f t="shared" si="327"/>
        <v>0</v>
      </c>
    </row>
    <row r="5183" spans="1:18" s="847" customFormat="1">
      <c r="A5183" s="905" t="s">
        <v>5703</v>
      </c>
      <c r="B5183" s="914" t="s">
        <v>1523</v>
      </c>
      <c r="C5183" s="915"/>
      <c r="D5183" s="915"/>
      <c r="E5183" s="916" t="s">
        <v>5711</v>
      </c>
      <c r="F5183" s="917" t="s">
        <v>43</v>
      </c>
      <c r="G5183" s="918"/>
      <c r="H5183" s="919"/>
      <c r="I5183" s="920"/>
      <c r="J5183" s="891">
        <f>SUM(J5184:J5191)</f>
        <v>499720.5</v>
      </c>
      <c r="K5183" s="891"/>
      <c r="L5183" s="891">
        <f>SUM(L5184:L5191)</f>
        <v>2037030</v>
      </c>
      <c r="M5183" s="891"/>
      <c r="N5183" s="891">
        <f>SUM(N5184:N5191)</f>
        <v>0</v>
      </c>
      <c r="O5183" s="892">
        <f t="shared" si="324"/>
        <v>1</v>
      </c>
      <c r="P5183" s="903">
        <f t="shared" si="325"/>
        <v>0</v>
      </c>
      <c r="Q5183" s="893">
        <f t="shared" si="326"/>
        <v>0</v>
      </c>
      <c r="R5183" s="894">
        <f t="shared" si="327"/>
        <v>8</v>
      </c>
    </row>
    <row r="5184" spans="1:18" s="904" customFormat="1">
      <c r="A5184" s="895"/>
      <c r="B5184" s="896"/>
      <c r="C5184" s="897"/>
      <c r="D5184" s="897"/>
      <c r="E5184" s="898" t="s">
        <v>108</v>
      </c>
      <c r="F5184" s="899"/>
      <c r="G5184" s="900"/>
      <c r="H5184" s="901"/>
      <c r="I5184" s="902"/>
      <c r="J5184" s="902"/>
      <c r="K5184" s="912" t="s">
        <v>274</v>
      </c>
      <c r="L5184" s="902"/>
      <c r="M5184" s="902"/>
      <c r="N5184" s="902"/>
      <c r="O5184" s="892">
        <f t="shared" si="324"/>
        <v>0</v>
      </c>
      <c r="P5184" s="903">
        <f t="shared" si="325"/>
        <v>1</v>
      </c>
      <c r="Q5184" s="893">
        <f t="shared" si="326"/>
        <v>8</v>
      </c>
      <c r="R5184" s="894">
        <f t="shared" si="327"/>
        <v>0</v>
      </c>
    </row>
    <row r="5185" spans="1:18">
      <c r="A5185" s="905"/>
      <c r="B5185" s="906"/>
      <c r="C5185" s="907">
        <v>1</v>
      </c>
      <c r="D5185" s="907" t="s">
        <v>279</v>
      </c>
      <c r="E5185" s="925" t="s">
        <v>3223</v>
      </c>
      <c r="F5185" s="909" t="s">
        <v>47</v>
      </c>
      <c r="G5185" s="989"/>
      <c r="H5185" s="911">
        <v>100.5</v>
      </c>
      <c r="I5185" s="912">
        <f>VLOOKUP(E5185,[3]VLP!$B$7:$K$300,10,0)</f>
        <v>3045</v>
      </c>
      <c r="J5185" s="912">
        <f>I5185*H5185</f>
        <v>306022.5</v>
      </c>
      <c r="K5185" s="912" t="s">
        <v>274</v>
      </c>
      <c r="L5185" s="912"/>
      <c r="M5185" s="912"/>
      <c r="N5185" s="912"/>
      <c r="O5185" s="892">
        <f t="shared" si="324"/>
        <v>0</v>
      </c>
      <c r="P5185" s="903">
        <f t="shared" si="325"/>
        <v>1</v>
      </c>
      <c r="Q5185" s="893">
        <f t="shared" si="326"/>
        <v>7</v>
      </c>
      <c r="R5185" s="894">
        <f t="shared" si="327"/>
        <v>0</v>
      </c>
    </row>
    <row r="5186" spans="1:18">
      <c r="A5186" s="905"/>
      <c r="B5186" s="906"/>
      <c r="C5186" s="907">
        <v>75</v>
      </c>
      <c r="D5186" s="907" t="s">
        <v>279</v>
      </c>
      <c r="E5186" s="925" t="s">
        <v>3206</v>
      </c>
      <c r="F5186" s="909" t="s">
        <v>51</v>
      </c>
      <c r="G5186" s="989"/>
      <c r="H5186" s="911">
        <v>12</v>
      </c>
      <c r="I5186" s="912">
        <f>VLOOKUP(E5186,[3]VLP!$B$7:$K$300,10,0)</f>
        <v>16000</v>
      </c>
      <c r="J5186" s="912">
        <f>I5186*H5186</f>
        <v>192000</v>
      </c>
      <c r="K5186" s="912" t="s">
        <v>274</v>
      </c>
      <c r="L5186" s="912"/>
      <c r="M5186" s="912"/>
      <c r="N5186" s="912"/>
      <c r="O5186" s="892">
        <f t="shared" si="324"/>
        <v>0</v>
      </c>
      <c r="P5186" s="903">
        <f t="shared" si="325"/>
        <v>1</v>
      </c>
      <c r="Q5186" s="893">
        <f t="shared" si="326"/>
        <v>6</v>
      </c>
      <c r="R5186" s="894">
        <f t="shared" si="327"/>
        <v>0</v>
      </c>
    </row>
    <row r="5187" spans="1:18">
      <c r="A5187" s="905"/>
      <c r="B5187" s="906"/>
      <c r="C5187" s="907">
        <v>44</v>
      </c>
      <c r="D5187" s="907" t="s">
        <v>279</v>
      </c>
      <c r="E5187" s="925" t="s">
        <v>2681</v>
      </c>
      <c r="F5187" s="926" t="s">
        <v>45</v>
      </c>
      <c r="G5187" s="910"/>
      <c r="H5187" s="911">
        <v>1.0999999999999999E-2</v>
      </c>
      <c r="I5187" s="912">
        <f>VLOOKUP(E5187,[3]VLP!$B$7:$K$300,10,0)</f>
        <v>23000</v>
      </c>
      <c r="J5187" s="912">
        <f>I5187*H5187</f>
        <v>252.99999999999997</v>
      </c>
      <c r="K5187" s="912" t="s">
        <v>274</v>
      </c>
      <c r="L5187" s="912"/>
      <c r="M5187" s="912"/>
      <c r="N5187" s="912"/>
      <c r="O5187" s="892">
        <f t="shared" si="324"/>
        <v>0</v>
      </c>
      <c r="P5187" s="903">
        <f t="shared" si="325"/>
        <v>1</v>
      </c>
      <c r="Q5187" s="893">
        <f t="shared" si="326"/>
        <v>5</v>
      </c>
      <c r="R5187" s="894">
        <f t="shared" si="327"/>
        <v>0</v>
      </c>
    </row>
    <row r="5188" spans="1:18">
      <c r="A5188" s="905"/>
      <c r="B5188" s="906"/>
      <c r="C5188" s="907">
        <v>92</v>
      </c>
      <c r="D5188" s="907" t="s">
        <v>279</v>
      </c>
      <c r="E5188" s="925" t="s">
        <v>5712</v>
      </c>
      <c r="F5188" s="926" t="s">
        <v>45</v>
      </c>
      <c r="G5188" s="910"/>
      <c r="H5188" s="911">
        <v>3.1E-2</v>
      </c>
      <c r="I5188" s="912">
        <f>VLOOKUP(E5188,[3]VLP!$B$7:$K$300,10,0)</f>
        <v>45000</v>
      </c>
      <c r="J5188" s="912">
        <f>I5188*H5188</f>
        <v>1395</v>
      </c>
      <c r="K5188" s="912" t="s">
        <v>274</v>
      </c>
      <c r="L5188" s="912"/>
      <c r="M5188" s="912"/>
      <c r="N5188" s="912"/>
      <c r="O5188" s="892">
        <f t="shared" si="324"/>
        <v>0</v>
      </c>
      <c r="P5188" s="903">
        <f t="shared" si="325"/>
        <v>1</v>
      </c>
      <c r="Q5188" s="893">
        <f t="shared" si="326"/>
        <v>4</v>
      </c>
      <c r="R5188" s="894">
        <f t="shared" si="327"/>
        <v>0</v>
      </c>
    </row>
    <row r="5189" spans="1:18">
      <c r="A5189" s="905"/>
      <c r="B5189" s="906"/>
      <c r="C5189" s="907">
        <v>699</v>
      </c>
      <c r="D5189" s="907" t="s">
        <v>279</v>
      </c>
      <c r="E5189" s="925" t="s">
        <v>4006</v>
      </c>
      <c r="F5189" s="926" t="s">
        <v>4007</v>
      </c>
      <c r="G5189" s="910"/>
      <c r="H5189" s="911">
        <v>0.01</v>
      </c>
      <c r="I5189" s="912">
        <f>VLOOKUP(E5189,[3]VLP!$B$7:$K$300,10,0)</f>
        <v>5000</v>
      </c>
      <c r="J5189" s="912">
        <f>I5189*H5189</f>
        <v>50</v>
      </c>
      <c r="K5189" s="912" t="s">
        <v>274</v>
      </c>
      <c r="L5189" s="912"/>
      <c r="M5189" s="912"/>
      <c r="N5189" s="912"/>
      <c r="O5189" s="892">
        <f t="shared" si="324"/>
        <v>0</v>
      </c>
      <c r="P5189" s="903">
        <f t="shared" si="325"/>
        <v>1</v>
      </c>
      <c r="Q5189" s="893">
        <f t="shared" si="326"/>
        <v>3</v>
      </c>
      <c r="R5189" s="894">
        <f t="shared" si="327"/>
        <v>0</v>
      </c>
    </row>
    <row r="5190" spans="1:18" s="904" customFormat="1">
      <c r="A5190" s="895"/>
      <c r="B5190" s="896"/>
      <c r="C5190" s="897"/>
      <c r="D5190" s="897"/>
      <c r="E5190" s="924" t="s">
        <v>276</v>
      </c>
      <c r="F5190" s="927"/>
      <c r="G5190" s="928"/>
      <c r="H5190" s="901"/>
      <c r="I5190" s="902"/>
      <c r="J5190" s="902"/>
      <c r="K5190" s="912" t="s">
        <v>274</v>
      </c>
      <c r="L5190" s="902"/>
      <c r="M5190" s="902"/>
      <c r="N5190" s="902"/>
      <c r="O5190" s="892">
        <f t="shared" si="324"/>
        <v>0</v>
      </c>
      <c r="P5190" s="903">
        <f t="shared" si="325"/>
        <v>1</v>
      </c>
      <c r="Q5190" s="893">
        <f t="shared" si="326"/>
        <v>2</v>
      </c>
      <c r="R5190" s="894">
        <f t="shared" si="327"/>
        <v>0</v>
      </c>
    </row>
    <row r="5191" spans="1:18">
      <c r="A5191" s="905"/>
      <c r="B5191" s="906"/>
      <c r="C5191" s="907">
        <v>735</v>
      </c>
      <c r="D5191" s="907" t="s">
        <v>12</v>
      </c>
      <c r="E5191" s="908" t="s">
        <v>4065</v>
      </c>
      <c r="F5191" s="909" t="s">
        <v>2674</v>
      </c>
      <c r="G5191" s="910"/>
      <c r="H5191" s="911">
        <v>10</v>
      </c>
      <c r="I5191" s="912"/>
      <c r="J5191" s="912"/>
      <c r="K5191" s="912">
        <f>VLOOKUP(E5191,[5]ĐMNC!$A$7:$F$67,4,0)</f>
        <v>203703</v>
      </c>
      <c r="L5191" s="912">
        <f>H5191*K5191</f>
        <v>2037030</v>
      </c>
      <c r="M5191" s="912"/>
      <c r="N5191" s="912"/>
      <c r="O5191" s="892">
        <f t="shared" si="324"/>
        <v>0</v>
      </c>
      <c r="P5191" s="903">
        <f t="shared" si="325"/>
        <v>1</v>
      </c>
      <c r="Q5191" s="893">
        <f t="shared" si="326"/>
        <v>1</v>
      </c>
      <c r="R5191" s="894">
        <f t="shared" si="327"/>
        <v>0</v>
      </c>
    </row>
    <row r="5192" spans="1:18" s="847" customFormat="1">
      <c r="A5192" s="905"/>
      <c r="B5192" s="914" t="s">
        <v>1525</v>
      </c>
      <c r="C5192" s="915"/>
      <c r="D5192" s="915"/>
      <c r="E5192" s="916" t="s">
        <v>5713</v>
      </c>
      <c r="F5192" s="917" t="s">
        <v>43</v>
      </c>
      <c r="G5192" s="918"/>
      <c r="H5192" s="919"/>
      <c r="I5192" s="920"/>
      <c r="J5192" s="891">
        <f>SUM(J5193:J5200)</f>
        <v>558935</v>
      </c>
      <c r="K5192" s="891"/>
      <c r="L5192" s="891">
        <f>SUM(L5193:L5200)</f>
        <v>2138881.5</v>
      </c>
      <c r="M5192" s="891"/>
      <c r="N5192" s="891">
        <f>SUM(N5193:N5200)</f>
        <v>0</v>
      </c>
      <c r="O5192" s="892">
        <f t="shared" si="324"/>
        <v>1</v>
      </c>
      <c r="P5192" s="903">
        <f t="shared" si="325"/>
        <v>0</v>
      </c>
      <c r="Q5192" s="893">
        <f t="shared" si="326"/>
        <v>0</v>
      </c>
      <c r="R5192" s="894">
        <f t="shared" si="327"/>
        <v>8</v>
      </c>
    </row>
    <row r="5193" spans="1:18" s="904" customFormat="1">
      <c r="A5193" s="895"/>
      <c r="B5193" s="896"/>
      <c r="C5193" s="897"/>
      <c r="D5193" s="897"/>
      <c r="E5193" s="898" t="s">
        <v>108</v>
      </c>
      <c r="F5193" s="899"/>
      <c r="G5193" s="900"/>
      <c r="H5193" s="901"/>
      <c r="I5193" s="902"/>
      <c r="J5193" s="902"/>
      <c r="K5193" s="912" t="s">
        <v>274</v>
      </c>
      <c r="L5193" s="902"/>
      <c r="M5193" s="902"/>
      <c r="N5193" s="902"/>
      <c r="O5193" s="892">
        <f t="shared" si="324"/>
        <v>0</v>
      </c>
      <c r="P5193" s="903">
        <f t="shared" si="325"/>
        <v>1</v>
      </c>
      <c r="Q5193" s="893">
        <f t="shared" si="326"/>
        <v>8</v>
      </c>
      <c r="R5193" s="894">
        <f t="shared" si="327"/>
        <v>0</v>
      </c>
    </row>
    <row r="5194" spans="1:18">
      <c r="A5194" s="905"/>
      <c r="B5194" s="906"/>
      <c r="C5194" s="907">
        <v>2</v>
      </c>
      <c r="D5194" s="907" t="s">
        <v>279</v>
      </c>
      <c r="E5194" s="925" t="s">
        <v>3224</v>
      </c>
      <c r="F5194" s="909" t="s">
        <v>47</v>
      </c>
      <c r="G5194" s="989"/>
      <c r="H5194" s="911">
        <v>100.5</v>
      </c>
      <c r="I5194" s="912">
        <f>VLOOKUP(E5194,[3]VLP!$B$7:$K$300,10,0)</f>
        <v>5300</v>
      </c>
      <c r="J5194" s="912">
        <f>I5194*H5194</f>
        <v>532650</v>
      </c>
      <c r="K5194" s="912" t="s">
        <v>274</v>
      </c>
      <c r="L5194" s="912"/>
      <c r="M5194" s="912"/>
      <c r="N5194" s="912"/>
      <c r="O5194" s="892">
        <f t="shared" si="324"/>
        <v>0</v>
      </c>
      <c r="P5194" s="903">
        <f t="shared" si="325"/>
        <v>1</v>
      </c>
      <c r="Q5194" s="893">
        <f t="shared" si="326"/>
        <v>7</v>
      </c>
      <c r="R5194" s="894">
        <f t="shared" si="327"/>
        <v>0</v>
      </c>
    </row>
    <row r="5195" spans="1:18">
      <c r="A5195" s="905"/>
      <c r="B5195" s="906"/>
      <c r="C5195" s="907">
        <v>76</v>
      </c>
      <c r="D5195" s="907" t="s">
        <v>279</v>
      </c>
      <c r="E5195" s="925" t="s">
        <v>3207</v>
      </c>
      <c r="F5195" s="909" t="s">
        <v>51</v>
      </c>
      <c r="G5195" s="989"/>
      <c r="H5195" s="911">
        <v>12</v>
      </c>
      <c r="I5195" s="912">
        <f>VLOOKUP(E5195,[3]VLP!$B$7:$K$300,10,0)</f>
        <v>2000</v>
      </c>
      <c r="J5195" s="912">
        <f>I5195*H5195</f>
        <v>24000</v>
      </c>
      <c r="K5195" s="912" t="s">
        <v>274</v>
      </c>
      <c r="L5195" s="912"/>
      <c r="M5195" s="912"/>
      <c r="N5195" s="912"/>
      <c r="O5195" s="892">
        <f t="shared" si="324"/>
        <v>0</v>
      </c>
      <c r="P5195" s="903">
        <f t="shared" si="325"/>
        <v>1</v>
      </c>
      <c r="Q5195" s="893">
        <f t="shared" si="326"/>
        <v>6</v>
      </c>
      <c r="R5195" s="894">
        <f t="shared" si="327"/>
        <v>0</v>
      </c>
    </row>
    <row r="5196" spans="1:18">
      <c r="A5196" s="905"/>
      <c r="B5196" s="906"/>
      <c r="C5196" s="907">
        <v>44</v>
      </c>
      <c r="D5196" s="907" t="s">
        <v>279</v>
      </c>
      <c r="E5196" s="925" t="s">
        <v>2681</v>
      </c>
      <c r="F5196" s="926" t="s">
        <v>45</v>
      </c>
      <c r="G5196" s="910"/>
      <c r="H5196" s="911">
        <v>1.4999999999999999E-2</v>
      </c>
      <c r="I5196" s="912">
        <f>VLOOKUP(E5196,[3]VLP!$B$7:$K$300,10,0)</f>
        <v>23000</v>
      </c>
      <c r="J5196" s="912">
        <f>I5196*H5196</f>
        <v>345</v>
      </c>
      <c r="K5196" s="912" t="s">
        <v>274</v>
      </c>
      <c r="L5196" s="912"/>
      <c r="M5196" s="912"/>
      <c r="N5196" s="912"/>
      <c r="O5196" s="892">
        <f t="shared" si="324"/>
        <v>0</v>
      </c>
      <c r="P5196" s="903">
        <f t="shared" si="325"/>
        <v>1</v>
      </c>
      <c r="Q5196" s="893">
        <f t="shared" si="326"/>
        <v>5</v>
      </c>
      <c r="R5196" s="894">
        <f t="shared" si="327"/>
        <v>0</v>
      </c>
    </row>
    <row r="5197" spans="1:18">
      <c r="A5197" s="905"/>
      <c r="B5197" s="906"/>
      <c r="C5197" s="907">
        <v>92</v>
      </c>
      <c r="D5197" s="907" t="s">
        <v>279</v>
      </c>
      <c r="E5197" s="925" t="s">
        <v>5712</v>
      </c>
      <c r="F5197" s="926" t="s">
        <v>45</v>
      </c>
      <c r="G5197" s="910"/>
      <c r="H5197" s="911">
        <v>4.2000000000000003E-2</v>
      </c>
      <c r="I5197" s="912">
        <f>VLOOKUP(E5197,[3]VLP!$B$7:$K$300,10,0)</f>
        <v>45000</v>
      </c>
      <c r="J5197" s="912">
        <f>I5197*H5197</f>
        <v>1890.0000000000002</v>
      </c>
      <c r="K5197" s="912" t="s">
        <v>274</v>
      </c>
      <c r="L5197" s="912"/>
      <c r="M5197" s="912"/>
      <c r="N5197" s="912"/>
      <c r="O5197" s="892">
        <f t="shared" si="324"/>
        <v>0</v>
      </c>
      <c r="P5197" s="903">
        <f t="shared" si="325"/>
        <v>1</v>
      </c>
      <c r="Q5197" s="893">
        <f t="shared" si="326"/>
        <v>4</v>
      </c>
      <c r="R5197" s="894">
        <f t="shared" si="327"/>
        <v>0</v>
      </c>
    </row>
    <row r="5198" spans="1:18">
      <c r="A5198" s="905"/>
      <c r="B5198" s="906"/>
      <c r="C5198" s="907">
        <v>699</v>
      </c>
      <c r="D5198" s="907" t="s">
        <v>279</v>
      </c>
      <c r="E5198" s="925" t="s">
        <v>4006</v>
      </c>
      <c r="F5198" s="926" t="s">
        <v>4007</v>
      </c>
      <c r="G5198" s="910"/>
      <c r="H5198" s="911">
        <v>0.01</v>
      </c>
      <c r="I5198" s="912">
        <f>VLOOKUP(E5198,[3]VLP!$B$7:$K$300,10,0)</f>
        <v>5000</v>
      </c>
      <c r="J5198" s="912">
        <f>I5198*H5198</f>
        <v>50</v>
      </c>
      <c r="K5198" s="912" t="s">
        <v>274</v>
      </c>
      <c r="L5198" s="912"/>
      <c r="M5198" s="912"/>
      <c r="N5198" s="912"/>
      <c r="O5198" s="892">
        <f t="shared" si="324"/>
        <v>0</v>
      </c>
      <c r="P5198" s="903">
        <f t="shared" si="325"/>
        <v>1</v>
      </c>
      <c r="Q5198" s="893">
        <f t="shared" si="326"/>
        <v>3</v>
      </c>
      <c r="R5198" s="894">
        <f t="shared" si="327"/>
        <v>0</v>
      </c>
    </row>
    <row r="5199" spans="1:18" s="904" customFormat="1">
      <c r="A5199" s="895"/>
      <c r="B5199" s="896"/>
      <c r="C5199" s="897"/>
      <c r="D5199" s="897"/>
      <c r="E5199" s="924" t="s">
        <v>276</v>
      </c>
      <c r="F5199" s="927"/>
      <c r="G5199" s="928"/>
      <c r="H5199" s="901"/>
      <c r="I5199" s="902"/>
      <c r="J5199" s="902"/>
      <c r="K5199" s="912" t="s">
        <v>274</v>
      </c>
      <c r="L5199" s="902"/>
      <c r="M5199" s="902"/>
      <c r="N5199" s="902"/>
      <c r="O5199" s="892">
        <f t="shared" si="324"/>
        <v>0</v>
      </c>
      <c r="P5199" s="903">
        <f t="shared" si="325"/>
        <v>1</v>
      </c>
      <c r="Q5199" s="893">
        <f t="shared" si="326"/>
        <v>2</v>
      </c>
      <c r="R5199" s="894">
        <f t="shared" si="327"/>
        <v>0</v>
      </c>
    </row>
    <row r="5200" spans="1:18">
      <c r="A5200" s="905"/>
      <c r="B5200" s="906"/>
      <c r="C5200" s="907">
        <v>735</v>
      </c>
      <c r="D5200" s="907" t="s">
        <v>12</v>
      </c>
      <c r="E5200" s="908" t="s">
        <v>4065</v>
      </c>
      <c r="F5200" s="909" t="s">
        <v>2674</v>
      </c>
      <c r="G5200" s="910"/>
      <c r="H5200" s="911">
        <v>10.5</v>
      </c>
      <c r="I5200" s="912"/>
      <c r="J5200" s="912"/>
      <c r="K5200" s="912">
        <f>VLOOKUP(E5200,[5]ĐMNC!$A$7:$F$67,4,0)</f>
        <v>203703</v>
      </c>
      <c r="L5200" s="912">
        <f>H5200*K5200</f>
        <v>2138881.5</v>
      </c>
      <c r="M5200" s="912"/>
      <c r="N5200" s="912"/>
      <c r="O5200" s="892">
        <f t="shared" si="324"/>
        <v>0</v>
      </c>
      <c r="P5200" s="903">
        <f t="shared" si="325"/>
        <v>1</v>
      </c>
      <c r="Q5200" s="893">
        <f t="shared" si="326"/>
        <v>1</v>
      </c>
      <c r="R5200" s="894">
        <f t="shared" si="327"/>
        <v>0</v>
      </c>
    </row>
    <row r="5201" spans="1:18" s="847" customFormat="1">
      <c r="A5201" s="905"/>
      <c r="B5201" s="914" t="s">
        <v>1527</v>
      </c>
      <c r="C5201" s="915"/>
      <c r="D5201" s="915"/>
      <c r="E5201" s="916" t="s">
        <v>5714</v>
      </c>
      <c r="F5201" s="917" t="s">
        <v>43</v>
      </c>
      <c r="G5201" s="918"/>
      <c r="H5201" s="919"/>
      <c r="I5201" s="920"/>
      <c r="J5201" s="891">
        <f>SUM(J5202:J5209)</f>
        <v>796604</v>
      </c>
      <c r="K5201" s="891"/>
      <c r="L5201" s="891">
        <f>SUM(L5202:L5209)</f>
        <v>2179622.0999999996</v>
      </c>
      <c r="M5201" s="891"/>
      <c r="N5201" s="891">
        <f>SUM(N5202:N5209)</f>
        <v>0</v>
      </c>
      <c r="O5201" s="892">
        <f t="shared" si="324"/>
        <v>1</v>
      </c>
      <c r="P5201" s="903">
        <f t="shared" si="325"/>
        <v>0</v>
      </c>
      <c r="Q5201" s="893">
        <f t="shared" si="326"/>
        <v>0</v>
      </c>
      <c r="R5201" s="894">
        <f t="shared" si="327"/>
        <v>8</v>
      </c>
    </row>
    <row r="5202" spans="1:18" s="904" customFormat="1">
      <c r="A5202" s="895"/>
      <c r="B5202" s="896"/>
      <c r="C5202" s="897"/>
      <c r="D5202" s="897"/>
      <c r="E5202" s="898" t="s">
        <v>108</v>
      </c>
      <c r="F5202" s="899"/>
      <c r="G5202" s="900"/>
      <c r="H5202" s="901"/>
      <c r="I5202" s="902"/>
      <c r="J5202" s="902"/>
      <c r="K5202" s="912" t="s">
        <v>274</v>
      </c>
      <c r="L5202" s="902"/>
      <c r="M5202" s="902"/>
      <c r="N5202" s="902"/>
      <c r="O5202" s="892">
        <f t="shared" si="324"/>
        <v>0</v>
      </c>
      <c r="P5202" s="903">
        <f t="shared" si="325"/>
        <v>1</v>
      </c>
      <c r="Q5202" s="893">
        <f t="shared" si="326"/>
        <v>8</v>
      </c>
      <c r="R5202" s="894">
        <f t="shared" si="327"/>
        <v>0</v>
      </c>
    </row>
    <row r="5203" spans="1:18">
      <c r="A5203" s="905"/>
      <c r="B5203" s="906"/>
      <c r="C5203" s="907">
        <v>3</v>
      </c>
      <c r="D5203" s="907" t="s">
        <v>279</v>
      </c>
      <c r="E5203" s="925" t="s">
        <v>5715</v>
      </c>
      <c r="F5203" s="909" t="s">
        <v>47</v>
      </c>
      <c r="G5203" s="989"/>
      <c r="H5203" s="911">
        <v>100.5</v>
      </c>
      <c r="I5203" s="912">
        <f>VLOOKUP(E5203,[3]VLP!$B$7:$K$300,10,0)</f>
        <v>7600</v>
      </c>
      <c r="J5203" s="912">
        <f>I5203*H5203</f>
        <v>763800</v>
      </c>
      <c r="K5203" s="912" t="s">
        <v>274</v>
      </c>
      <c r="L5203" s="912"/>
      <c r="M5203" s="912"/>
      <c r="N5203" s="912"/>
      <c r="O5203" s="892">
        <f t="shared" si="324"/>
        <v>0</v>
      </c>
      <c r="P5203" s="903">
        <f t="shared" si="325"/>
        <v>1</v>
      </c>
      <c r="Q5203" s="893">
        <f t="shared" si="326"/>
        <v>7</v>
      </c>
      <c r="R5203" s="894">
        <f t="shared" si="327"/>
        <v>0</v>
      </c>
    </row>
    <row r="5204" spans="1:18">
      <c r="A5204" s="905"/>
      <c r="B5204" s="906"/>
      <c r="C5204" s="907">
        <v>77</v>
      </c>
      <c r="D5204" s="907" t="s">
        <v>279</v>
      </c>
      <c r="E5204" s="925" t="s">
        <v>3208</v>
      </c>
      <c r="F5204" s="909" t="s">
        <v>51</v>
      </c>
      <c r="G5204" s="989"/>
      <c r="H5204" s="911">
        <v>12</v>
      </c>
      <c r="I5204" s="912">
        <f>VLOOKUP(E5204,[3]VLP!$B$7:$K$300,10,0)</f>
        <v>2500</v>
      </c>
      <c r="J5204" s="912">
        <f>I5204*H5204</f>
        <v>30000</v>
      </c>
      <c r="K5204" s="912" t="s">
        <v>274</v>
      </c>
      <c r="L5204" s="912"/>
      <c r="M5204" s="912"/>
      <c r="N5204" s="912"/>
      <c r="O5204" s="892">
        <f t="shared" si="324"/>
        <v>0</v>
      </c>
      <c r="P5204" s="903">
        <f t="shared" si="325"/>
        <v>1</v>
      </c>
      <c r="Q5204" s="893">
        <f t="shared" si="326"/>
        <v>6</v>
      </c>
      <c r="R5204" s="894">
        <f t="shared" si="327"/>
        <v>0</v>
      </c>
    </row>
    <row r="5205" spans="1:18">
      <c r="A5205" s="905"/>
      <c r="B5205" s="906"/>
      <c r="C5205" s="907">
        <v>44</v>
      </c>
      <c r="D5205" s="907" t="s">
        <v>279</v>
      </c>
      <c r="E5205" s="925" t="s">
        <v>2681</v>
      </c>
      <c r="F5205" s="926" t="s">
        <v>45</v>
      </c>
      <c r="G5205" s="910"/>
      <c r="H5205" s="911">
        <v>1.7999999999999999E-2</v>
      </c>
      <c r="I5205" s="912">
        <f>VLOOKUP(E5205,[3]VLP!$B$7:$K$300,10,0)</f>
        <v>23000</v>
      </c>
      <c r="J5205" s="912">
        <f>I5205*H5205</f>
        <v>413.99999999999994</v>
      </c>
      <c r="K5205" s="912" t="s">
        <v>274</v>
      </c>
      <c r="L5205" s="912"/>
      <c r="M5205" s="912"/>
      <c r="N5205" s="912"/>
      <c r="O5205" s="892">
        <f t="shared" si="324"/>
        <v>0</v>
      </c>
      <c r="P5205" s="903">
        <f t="shared" si="325"/>
        <v>1</v>
      </c>
      <c r="Q5205" s="893">
        <f t="shared" si="326"/>
        <v>5</v>
      </c>
      <c r="R5205" s="894">
        <f t="shared" si="327"/>
        <v>0</v>
      </c>
    </row>
    <row r="5206" spans="1:18">
      <c r="A5206" s="905"/>
      <c r="B5206" s="906"/>
      <c r="C5206" s="907">
        <v>92</v>
      </c>
      <c r="D5206" s="907" t="s">
        <v>279</v>
      </c>
      <c r="E5206" s="925" t="s">
        <v>5712</v>
      </c>
      <c r="F5206" s="926" t="s">
        <v>45</v>
      </c>
      <c r="G5206" s="910"/>
      <c r="H5206" s="911">
        <v>5.1999999999999998E-2</v>
      </c>
      <c r="I5206" s="912">
        <f>VLOOKUP(E5206,[3]VLP!$B$7:$K$300,10,0)</f>
        <v>45000</v>
      </c>
      <c r="J5206" s="912">
        <f>I5206*H5206</f>
        <v>2340</v>
      </c>
      <c r="K5206" s="912" t="s">
        <v>274</v>
      </c>
      <c r="L5206" s="912"/>
      <c r="M5206" s="912"/>
      <c r="N5206" s="912"/>
      <c r="O5206" s="892">
        <f t="shared" si="324"/>
        <v>0</v>
      </c>
      <c r="P5206" s="903">
        <f t="shared" si="325"/>
        <v>1</v>
      </c>
      <c r="Q5206" s="893">
        <f t="shared" si="326"/>
        <v>4</v>
      </c>
      <c r="R5206" s="894">
        <f t="shared" si="327"/>
        <v>0</v>
      </c>
    </row>
    <row r="5207" spans="1:18">
      <c r="A5207" s="905"/>
      <c r="B5207" s="906"/>
      <c r="C5207" s="907">
        <v>699</v>
      </c>
      <c r="D5207" s="907" t="s">
        <v>279</v>
      </c>
      <c r="E5207" s="925" t="s">
        <v>4006</v>
      </c>
      <c r="F5207" s="926" t="s">
        <v>4007</v>
      </c>
      <c r="G5207" s="910"/>
      <c r="H5207" s="911">
        <v>0.01</v>
      </c>
      <c r="I5207" s="912">
        <f>VLOOKUP(E5207,[3]VLP!$B$7:$K$300,10,0)</f>
        <v>5000</v>
      </c>
      <c r="J5207" s="912">
        <f>I5207*H5207</f>
        <v>50</v>
      </c>
      <c r="K5207" s="912" t="s">
        <v>274</v>
      </c>
      <c r="L5207" s="912"/>
      <c r="M5207" s="912"/>
      <c r="N5207" s="912"/>
      <c r="O5207" s="892">
        <f t="shared" si="324"/>
        <v>0</v>
      </c>
      <c r="P5207" s="903">
        <f t="shared" si="325"/>
        <v>1</v>
      </c>
      <c r="Q5207" s="893">
        <f t="shared" si="326"/>
        <v>3</v>
      </c>
      <c r="R5207" s="894">
        <f t="shared" si="327"/>
        <v>0</v>
      </c>
    </row>
    <row r="5208" spans="1:18" s="904" customFormat="1">
      <c r="A5208" s="895"/>
      <c r="B5208" s="896"/>
      <c r="C5208" s="897"/>
      <c r="D5208" s="897"/>
      <c r="E5208" s="924" t="s">
        <v>276</v>
      </c>
      <c r="F5208" s="927"/>
      <c r="G5208" s="928"/>
      <c r="H5208" s="901"/>
      <c r="I5208" s="902"/>
      <c r="J5208" s="902"/>
      <c r="K5208" s="912" t="s">
        <v>274</v>
      </c>
      <c r="L5208" s="902"/>
      <c r="M5208" s="902"/>
      <c r="N5208" s="902"/>
      <c r="O5208" s="892">
        <f t="shared" si="324"/>
        <v>0</v>
      </c>
      <c r="P5208" s="903">
        <f t="shared" si="325"/>
        <v>1</v>
      </c>
      <c r="Q5208" s="893">
        <f t="shared" si="326"/>
        <v>2</v>
      </c>
      <c r="R5208" s="894">
        <f t="shared" si="327"/>
        <v>0</v>
      </c>
    </row>
    <row r="5209" spans="1:18">
      <c r="A5209" s="905"/>
      <c r="B5209" s="906"/>
      <c r="C5209" s="907">
        <v>735</v>
      </c>
      <c r="D5209" s="907" t="s">
        <v>12</v>
      </c>
      <c r="E5209" s="908" t="s">
        <v>4065</v>
      </c>
      <c r="F5209" s="909" t="s">
        <v>2674</v>
      </c>
      <c r="G5209" s="910"/>
      <c r="H5209" s="911">
        <v>10.7</v>
      </c>
      <c r="I5209" s="912"/>
      <c r="J5209" s="912"/>
      <c r="K5209" s="912">
        <f>VLOOKUP(E5209,[5]ĐMNC!$A$7:$F$67,4,0)</f>
        <v>203703</v>
      </c>
      <c r="L5209" s="912">
        <f>H5209*K5209</f>
        <v>2179622.0999999996</v>
      </c>
      <c r="M5209" s="912"/>
      <c r="N5209" s="912"/>
      <c r="O5209" s="892">
        <f t="shared" si="324"/>
        <v>0</v>
      </c>
      <c r="P5209" s="903">
        <f t="shared" si="325"/>
        <v>1</v>
      </c>
      <c r="Q5209" s="893">
        <f t="shared" si="326"/>
        <v>1</v>
      </c>
      <c r="R5209" s="894">
        <f t="shared" si="327"/>
        <v>0</v>
      </c>
    </row>
    <row r="5210" spans="1:18" s="847" customFormat="1">
      <c r="A5210" s="905"/>
      <c r="B5210" s="914" t="s">
        <v>1529</v>
      </c>
      <c r="C5210" s="915"/>
      <c r="D5210" s="915"/>
      <c r="E5210" s="916" t="s">
        <v>5716</v>
      </c>
      <c r="F5210" s="917" t="s">
        <v>43</v>
      </c>
      <c r="G5210" s="918"/>
      <c r="H5210" s="919"/>
      <c r="I5210" s="920"/>
      <c r="J5210" s="891">
        <f>SUM(J5211:J5218)</f>
        <v>1177937</v>
      </c>
      <c r="K5210" s="891"/>
      <c r="L5210" s="891">
        <f>SUM(L5211:L5218)</f>
        <v>2240733</v>
      </c>
      <c r="M5210" s="891"/>
      <c r="N5210" s="891">
        <f>SUM(N5211:N5218)</f>
        <v>0</v>
      </c>
      <c r="O5210" s="892">
        <f t="shared" si="324"/>
        <v>1</v>
      </c>
      <c r="P5210" s="903">
        <f t="shared" si="325"/>
        <v>0</v>
      </c>
      <c r="Q5210" s="893">
        <f t="shared" si="326"/>
        <v>0</v>
      </c>
      <c r="R5210" s="894">
        <f t="shared" si="327"/>
        <v>8</v>
      </c>
    </row>
    <row r="5211" spans="1:18" s="904" customFormat="1">
      <c r="A5211" s="895"/>
      <c r="B5211" s="896"/>
      <c r="C5211" s="897"/>
      <c r="D5211" s="897"/>
      <c r="E5211" s="898" t="s">
        <v>108</v>
      </c>
      <c r="F5211" s="899"/>
      <c r="G5211" s="900"/>
      <c r="H5211" s="901"/>
      <c r="I5211" s="902"/>
      <c r="J5211" s="902"/>
      <c r="K5211" s="912" t="s">
        <v>274</v>
      </c>
      <c r="L5211" s="902"/>
      <c r="M5211" s="902"/>
      <c r="N5211" s="902"/>
      <c r="O5211" s="892">
        <f t="shared" si="324"/>
        <v>0</v>
      </c>
      <c r="P5211" s="903">
        <f t="shared" si="325"/>
        <v>1</v>
      </c>
      <c r="Q5211" s="893">
        <f t="shared" si="326"/>
        <v>8</v>
      </c>
      <c r="R5211" s="894">
        <f t="shared" si="327"/>
        <v>0</v>
      </c>
    </row>
    <row r="5212" spans="1:18">
      <c r="A5212" s="905"/>
      <c r="B5212" s="906"/>
      <c r="C5212" s="907">
        <v>4</v>
      </c>
      <c r="D5212" s="907" t="s">
        <v>279</v>
      </c>
      <c r="E5212" s="925" t="s">
        <v>5717</v>
      </c>
      <c r="F5212" s="909" t="s">
        <v>47</v>
      </c>
      <c r="G5212" s="989"/>
      <c r="H5212" s="911">
        <v>100.5</v>
      </c>
      <c r="I5212" s="912">
        <f>VLOOKUP(E5212,[3]VLP!$B$7:$K$300,10,0)</f>
        <v>11200</v>
      </c>
      <c r="J5212" s="912">
        <f>I5212*H5212</f>
        <v>1125600</v>
      </c>
      <c r="K5212" s="912" t="s">
        <v>274</v>
      </c>
      <c r="L5212" s="912"/>
      <c r="M5212" s="912"/>
      <c r="N5212" s="912"/>
      <c r="O5212" s="892">
        <f t="shared" si="324"/>
        <v>0</v>
      </c>
      <c r="P5212" s="903">
        <f t="shared" si="325"/>
        <v>1</v>
      </c>
      <c r="Q5212" s="893">
        <f t="shared" si="326"/>
        <v>7</v>
      </c>
      <c r="R5212" s="894">
        <f t="shared" si="327"/>
        <v>0</v>
      </c>
    </row>
    <row r="5213" spans="1:18">
      <c r="A5213" s="905"/>
      <c r="B5213" s="906"/>
      <c r="C5213" s="907">
        <v>78</v>
      </c>
      <c r="D5213" s="907" t="s">
        <v>279</v>
      </c>
      <c r="E5213" s="925" t="s">
        <v>3209</v>
      </c>
      <c r="F5213" s="909" t="s">
        <v>51</v>
      </c>
      <c r="G5213" s="989"/>
      <c r="H5213" s="911">
        <v>12</v>
      </c>
      <c r="I5213" s="912">
        <f>VLOOKUP(E5213,[3]VLP!$B$7:$K$300,10,0)</f>
        <v>4000</v>
      </c>
      <c r="J5213" s="912">
        <f>I5213*H5213</f>
        <v>48000</v>
      </c>
      <c r="K5213" s="912" t="s">
        <v>274</v>
      </c>
      <c r="L5213" s="912"/>
      <c r="M5213" s="912"/>
      <c r="N5213" s="912"/>
      <c r="O5213" s="892">
        <f t="shared" si="324"/>
        <v>0</v>
      </c>
      <c r="P5213" s="903">
        <f t="shared" si="325"/>
        <v>1</v>
      </c>
      <c r="Q5213" s="893">
        <f t="shared" si="326"/>
        <v>6</v>
      </c>
      <c r="R5213" s="894">
        <f t="shared" si="327"/>
        <v>0</v>
      </c>
    </row>
    <row r="5214" spans="1:18">
      <c r="A5214" s="905"/>
      <c r="B5214" s="906"/>
      <c r="C5214" s="907">
        <v>44</v>
      </c>
      <c r="D5214" s="907" t="s">
        <v>279</v>
      </c>
      <c r="E5214" s="925" t="s">
        <v>2681</v>
      </c>
      <c r="F5214" s="926" t="s">
        <v>45</v>
      </c>
      <c r="G5214" s="910"/>
      <c r="H5214" s="911">
        <v>2.4E-2</v>
      </c>
      <c r="I5214" s="912">
        <f>VLOOKUP(E5214,[3]VLP!$B$7:$K$300,10,0)</f>
        <v>23000</v>
      </c>
      <c r="J5214" s="912">
        <f>I5214*H5214</f>
        <v>552</v>
      </c>
      <c r="K5214" s="912" t="s">
        <v>274</v>
      </c>
      <c r="L5214" s="912"/>
      <c r="M5214" s="912"/>
      <c r="N5214" s="912"/>
      <c r="O5214" s="892">
        <f t="shared" si="324"/>
        <v>0</v>
      </c>
      <c r="P5214" s="903">
        <f t="shared" si="325"/>
        <v>1</v>
      </c>
      <c r="Q5214" s="893">
        <f t="shared" si="326"/>
        <v>5</v>
      </c>
      <c r="R5214" s="894">
        <f t="shared" si="327"/>
        <v>0</v>
      </c>
    </row>
    <row r="5215" spans="1:18">
      <c r="A5215" s="905"/>
      <c r="B5215" s="906"/>
      <c r="C5215" s="907">
        <v>92</v>
      </c>
      <c r="D5215" s="907" t="s">
        <v>279</v>
      </c>
      <c r="E5215" s="925" t="s">
        <v>5712</v>
      </c>
      <c r="F5215" s="926" t="s">
        <v>45</v>
      </c>
      <c r="G5215" s="910"/>
      <c r="H5215" s="911">
        <v>8.3000000000000004E-2</v>
      </c>
      <c r="I5215" s="912">
        <f>VLOOKUP(E5215,[3]VLP!$B$7:$K$300,10,0)</f>
        <v>45000</v>
      </c>
      <c r="J5215" s="912">
        <f>I5215*H5215</f>
        <v>3735</v>
      </c>
      <c r="K5215" s="912" t="s">
        <v>274</v>
      </c>
      <c r="L5215" s="912"/>
      <c r="M5215" s="912"/>
      <c r="N5215" s="912"/>
      <c r="O5215" s="892">
        <f t="shared" ref="O5215:O5278" si="328">IF(AND(B5215&lt;&gt;"",D5215=""),1,0)</f>
        <v>0</v>
      </c>
      <c r="P5215" s="903">
        <f t="shared" si="325"/>
        <v>1</v>
      </c>
      <c r="Q5215" s="893">
        <f t="shared" si="326"/>
        <v>4</v>
      </c>
      <c r="R5215" s="894">
        <f t="shared" si="327"/>
        <v>0</v>
      </c>
    </row>
    <row r="5216" spans="1:18">
      <c r="A5216" s="905"/>
      <c r="B5216" s="906"/>
      <c r="C5216" s="907">
        <v>699</v>
      </c>
      <c r="D5216" s="907" t="s">
        <v>279</v>
      </c>
      <c r="E5216" s="925" t="s">
        <v>4006</v>
      </c>
      <c r="F5216" s="926" t="s">
        <v>4007</v>
      </c>
      <c r="G5216" s="910"/>
      <c r="H5216" s="911">
        <v>0.01</v>
      </c>
      <c r="I5216" s="912">
        <f>VLOOKUP(E5216,[3]VLP!$B$7:$K$300,10,0)</f>
        <v>5000</v>
      </c>
      <c r="J5216" s="912">
        <f>I5216*H5216</f>
        <v>50</v>
      </c>
      <c r="K5216" s="912" t="s">
        <v>274</v>
      </c>
      <c r="L5216" s="912"/>
      <c r="M5216" s="912"/>
      <c r="N5216" s="912"/>
      <c r="O5216" s="892">
        <f t="shared" si="328"/>
        <v>0</v>
      </c>
      <c r="P5216" s="903">
        <f t="shared" si="325"/>
        <v>1</v>
      </c>
      <c r="Q5216" s="893">
        <f t="shared" si="326"/>
        <v>3</v>
      </c>
      <c r="R5216" s="894">
        <f t="shared" si="327"/>
        <v>0</v>
      </c>
    </row>
    <row r="5217" spans="1:18" s="904" customFormat="1">
      <c r="A5217" s="895"/>
      <c r="B5217" s="896"/>
      <c r="C5217" s="897"/>
      <c r="D5217" s="897"/>
      <c r="E5217" s="924" t="s">
        <v>276</v>
      </c>
      <c r="F5217" s="927"/>
      <c r="G5217" s="928"/>
      <c r="H5217" s="901"/>
      <c r="I5217" s="902"/>
      <c r="J5217" s="902"/>
      <c r="K5217" s="912" t="s">
        <v>274</v>
      </c>
      <c r="L5217" s="902"/>
      <c r="M5217" s="902"/>
      <c r="N5217" s="902"/>
      <c r="O5217" s="892">
        <f t="shared" si="328"/>
        <v>0</v>
      </c>
      <c r="P5217" s="903">
        <f t="shared" si="325"/>
        <v>1</v>
      </c>
      <c r="Q5217" s="893">
        <f t="shared" si="326"/>
        <v>2</v>
      </c>
      <c r="R5217" s="894">
        <f t="shared" si="327"/>
        <v>0</v>
      </c>
    </row>
    <row r="5218" spans="1:18">
      <c r="A5218" s="905"/>
      <c r="B5218" s="906"/>
      <c r="C5218" s="907">
        <v>735</v>
      </c>
      <c r="D5218" s="907" t="s">
        <v>12</v>
      </c>
      <c r="E5218" s="908" t="s">
        <v>4065</v>
      </c>
      <c r="F5218" s="909" t="s">
        <v>2674</v>
      </c>
      <c r="G5218" s="910"/>
      <c r="H5218" s="911">
        <v>11</v>
      </c>
      <c r="I5218" s="912"/>
      <c r="J5218" s="912"/>
      <c r="K5218" s="912">
        <f>VLOOKUP(E5218,[5]ĐMNC!$A$7:$F$67,4,0)</f>
        <v>203703</v>
      </c>
      <c r="L5218" s="912">
        <f>H5218*K5218</f>
        <v>2240733</v>
      </c>
      <c r="M5218" s="912"/>
      <c r="N5218" s="912"/>
      <c r="O5218" s="892">
        <f t="shared" si="328"/>
        <v>0</v>
      </c>
      <c r="P5218" s="903">
        <f t="shared" si="325"/>
        <v>1</v>
      </c>
      <c r="Q5218" s="893">
        <f t="shared" si="326"/>
        <v>1</v>
      </c>
      <c r="R5218" s="894">
        <f t="shared" si="327"/>
        <v>0</v>
      </c>
    </row>
    <row r="5219" spans="1:18" s="847" customFormat="1">
      <c r="A5219" s="905"/>
      <c r="B5219" s="914" t="s">
        <v>1531</v>
      </c>
      <c r="C5219" s="915"/>
      <c r="D5219" s="915"/>
      <c r="E5219" s="916" t="s">
        <v>5718</v>
      </c>
      <c r="F5219" s="917" t="s">
        <v>43</v>
      </c>
      <c r="G5219" s="918"/>
      <c r="H5219" s="919"/>
      <c r="I5219" s="920"/>
      <c r="J5219" s="891">
        <f>SUM(J5220:J5227)</f>
        <v>1377060.5</v>
      </c>
      <c r="K5219" s="891"/>
      <c r="L5219" s="891">
        <f>SUM(L5220:L5227)</f>
        <v>2811101.4000000004</v>
      </c>
      <c r="M5219" s="891"/>
      <c r="N5219" s="891">
        <f>SUM(N5220:N5227)</f>
        <v>0</v>
      </c>
      <c r="O5219" s="892">
        <f t="shared" si="328"/>
        <v>1</v>
      </c>
      <c r="P5219" s="903">
        <f t="shared" si="325"/>
        <v>0</v>
      </c>
      <c r="Q5219" s="893">
        <f t="shared" si="326"/>
        <v>0</v>
      </c>
      <c r="R5219" s="894">
        <f t="shared" si="327"/>
        <v>8</v>
      </c>
    </row>
    <row r="5220" spans="1:18" s="904" customFormat="1">
      <c r="A5220" s="895"/>
      <c r="B5220" s="896"/>
      <c r="C5220" s="897"/>
      <c r="D5220" s="897"/>
      <c r="E5220" s="898" t="s">
        <v>108</v>
      </c>
      <c r="F5220" s="899"/>
      <c r="G5220" s="900"/>
      <c r="H5220" s="901"/>
      <c r="I5220" s="902"/>
      <c r="J5220" s="902"/>
      <c r="K5220" s="912" t="s">
        <v>274</v>
      </c>
      <c r="L5220" s="902"/>
      <c r="M5220" s="902"/>
      <c r="N5220" s="902"/>
      <c r="O5220" s="892">
        <f t="shared" si="328"/>
        <v>0</v>
      </c>
      <c r="P5220" s="903">
        <f t="shared" si="325"/>
        <v>1</v>
      </c>
      <c r="Q5220" s="893">
        <f t="shared" si="326"/>
        <v>8</v>
      </c>
      <c r="R5220" s="894">
        <f t="shared" si="327"/>
        <v>0</v>
      </c>
    </row>
    <row r="5221" spans="1:18">
      <c r="A5221" s="905"/>
      <c r="B5221" s="906"/>
      <c r="C5221" s="907">
        <v>5</v>
      </c>
      <c r="D5221" s="907" t="s">
        <v>279</v>
      </c>
      <c r="E5221" s="925" t="s">
        <v>5719</v>
      </c>
      <c r="F5221" s="909" t="s">
        <v>47</v>
      </c>
      <c r="G5221" s="989"/>
      <c r="H5221" s="911">
        <v>100.5</v>
      </c>
      <c r="I5221" s="912">
        <f>VLOOKUP(E5221,[3]VLP!$B$7:$K$300,10,0)</f>
        <v>13045</v>
      </c>
      <c r="J5221" s="912">
        <f>I5221*H5221</f>
        <v>1311022.5</v>
      </c>
      <c r="K5221" s="912" t="s">
        <v>274</v>
      </c>
      <c r="L5221" s="912"/>
      <c r="M5221" s="912"/>
      <c r="N5221" s="912"/>
      <c r="O5221" s="892">
        <f t="shared" si="328"/>
        <v>0</v>
      </c>
      <c r="P5221" s="903">
        <f t="shared" si="325"/>
        <v>1</v>
      </c>
      <c r="Q5221" s="893">
        <f t="shared" si="326"/>
        <v>7</v>
      </c>
      <c r="R5221" s="894">
        <f t="shared" si="327"/>
        <v>0</v>
      </c>
    </row>
    <row r="5222" spans="1:18">
      <c r="A5222" s="905"/>
      <c r="B5222" s="906"/>
      <c r="C5222" s="907">
        <v>79</v>
      </c>
      <c r="D5222" s="907" t="s">
        <v>279</v>
      </c>
      <c r="E5222" s="925" t="s">
        <v>3210</v>
      </c>
      <c r="F5222" s="909" t="s">
        <v>51</v>
      </c>
      <c r="G5222" s="989"/>
      <c r="H5222" s="911">
        <v>12</v>
      </c>
      <c r="I5222" s="912">
        <f>VLOOKUP(E5222,[3]VLP!$B$7:$K$300,10,0)</f>
        <v>5100</v>
      </c>
      <c r="J5222" s="912">
        <f>I5222*H5222</f>
        <v>61200</v>
      </c>
      <c r="K5222" s="912" t="s">
        <v>274</v>
      </c>
      <c r="L5222" s="912"/>
      <c r="M5222" s="912"/>
      <c r="N5222" s="912"/>
      <c r="O5222" s="892">
        <f t="shared" si="328"/>
        <v>0</v>
      </c>
      <c r="P5222" s="903">
        <f t="shared" si="325"/>
        <v>1</v>
      </c>
      <c r="Q5222" s="893">
        <f t="shared" si="326"/>
        <v>6</v>
      </c>
      <c r="R5222" s="894">
        <f t="shared" si="327"/>
        <v>0</v>
      </c>
    </row>
    <row r="5223" spans="1:18">
      <c r="A5223" s="905"/>
      <c r="B5223" s="906"/>
      <c r="C5223" s="907">
        <v>44</v>
      </c>
      <c r="D5223" s="907" t="s">
        <v>279</v>
      </c>
      <c r="E5223" s="925" t="s">
        <v>2681</v>
      </c>
      <c r="F5223" s="926" t="s">
        <v>45</v>
      </c>
      <c r="G5223" s="910"/>
      <c r="H5223" s="911">
        <v>3.5999999999999997E-2</v>
      </c>
      <c r="I5223" s="912">
        <f>VLOOKUP(E5223,[3]VLP!$B$7:$K$300,10,0)</f>
        <v>23000</v>
      </c>
      <c r="J5223" s="912">
        <f>I5223*H5223</f>
        <v>827.99999999999989</v>
      </c>
      <c r="K5223" s="912" t="s">
        <v>274</v>
      </c>
      <c r="L5223" s="912"/>
      <c r="M5223" s="912"/>
      <c r="N5223" s="912"/>
      <c r="O5223" s="892">
        <f t="shared" si="328"/>
        <v>0</v>
      </c>
      <c r="P5223" s="903">
        <f t="shared" si="325"/>
        <v>1</v>
      </c>
      <c r="Q5223" s="893">
        <f t="shared" si="326"/>
        <v>5</v>
      </c>
      <c r="R5223" s="894">
        <f t="shared" si="327"/>
        <v>0</v>
      </c>
    </row>
    <row r="5224" spans="1:18">
      <c r="A5224" s="905"/>
      <c r="B5224" s="906"/>
      <c r="C5224" s="907">
        <v>92</v>
      </c>
      <c r="D5224" s="907" t="s">
        <v>279</v>
      </c>
      <c r="E5224" s="925" t="s">
        <v>5712</v>
      </c>
      <c r="F5224" s="926" t="s">
        <v>45</v>
      </c>
      <c r="G5224" s="910"/>
      <c r="H5224" s="911">
        <v>8.7999999999999995E-2</v>
      </c>
      <c r="I5224" s="912">
        <f>VLOOKUP(E5224,[3]VLP!$B$7:$K$300,10,0)</f>
        <v>45000</v>
      </c>
      <c r="J5224" s="912">
        <f>I5224*H5224</f>
        <v>3959.9999999999995</v>
      </c>
      <c r="K5224" s="912" t="s">
        <v>274</v>
      </c>
      <c r="L5224" s="912"/>
      <c r="M5224" s="912"/>
      <c r="N5224" s="912"/>
      <c r="O5224" s="892">
        <f t="shared" si="328"/>
        <v>0</v>
      </c>
      <c r="P5224" s="903">
        <f t="shared" ref="P5224:P5287" si="329">IF(O5224=0,1,0)</f>
        <v>1</v>
      </c>
      <c r="Q5224" s="893">
        <f t="shared" ref="Q5224:Q5287" si="330">IF(P5224=0,0,P5224+Q5225)</f>
        <v>4</v>
      </c>
      <c r="R5224" s="894">
        <f t="shared" ref="R5224:R5287" si="331">IF(Q5224=0,Q5225,0)</f>
        <v>0</v>
      </c>
    </row>
    <row r="5225" spans="1:18">
      <c r="A5225" s="905"/>
      <c r="B5225" s="906"/>
      <c r="C5225" s="907">
        <v>699</v>
      </c>
      <c r="D5225" s="907" t="s">
        <v>279</v>
      </c>
      <c r="E5225" s="925" t="s">
        <v>4006</v>
      </c>
      <c r="F5225" s="926" t="s">
        <v>4007</v>
      </c>
      <c r="G5225" s="910"/>
      <c r="H5225" s="911">
        <v>0.01</v>
      </c>
      <c r="I5225" s="912">
        <f>VLOOKUP(E5225,[3]VLP!$B$7:$K$300,10,0)</f>
        <v>5000</v>
      </c>
      <c r="J5225" s="912">
        <f>I5225*H5225</f>
        <v>50</v>
      </c>
      <c r="K5225" s="912" t="s">
        <v>274</v>
      </c>
      <c r="L5225" s="912"/>
      <c r="M5225" s="912"/>
      <c r="N5225" s="912"/>
      <c r="O5225" s="892">
        <f t="shared" si="328"/>
        <v>0</v>
      </c>
      <c r="P5225" s="903">
        <f t="shared" si="329"/>
        <v>1</v>
      </c>
      <c r="Q5225" s="893">
        <f t="shared" si="330"/>
        <v>3</v>
      </c>
      <c r="R5225" s="894">
        <f t="shared" si="331"/>
        <v>0</v>
      </c>
    </row>
    <row r="5226" spans="1:18" s="904" customFormat="1">
      <c r="A5226" s="895"/>
      <c r="B5226" s="896"/>
      <c r="C5226" s="897"/>
      <c r="D5226" s="897"/>
      <c r="E5226" s="924" t="s">
        <v>276</v>
      </c>
      <c r="F5226" s="927"/>
      <c r="G5226" s="928"/>
      <c r="H5226" s="901"/>
      <c r="I5226" s="902"/>
      <c r="J5226" s="902"/>
      <c r="K5226" s="912" t="s">
        <v>274</v>
      </c>
      <c r="L5226" s="902"/>
      <c r="M5226" s="902"/>
      <c r="N5226" s="902"/>
      <c r="O5226" s="892">
        <f t="shared" si="328"/>
        <v>0</v>
      </c>
      <c r="P5226" s="903">
        <f t="shared" si="329"/>
        <v>1</v>
      </c>
      <c r="Q5226" s="893">
        <f t="shared" si="330"/>
        <v>2</v>
      </c>
      <c r="R5226" s="894">
        <f t="shared" si="331"/>
        <v>0</v>
      </c>
    </row>
    <row r="5227" spans="1:18">
      <c r="A5227" s="905"/>
      <c r="B5227" s="906"/>
      <c r="C5227" s="907">
        <v>735</v>
      </c>
      <c r="D5227" s="907" t="s">
        <v>12</v>
      </c>
      <c r="E5227" s="908" t="s">
        <v>4065</v>
      </c>
      <c r="F5227" s="909" t="s">
        <v>2674</v>
      </c>
      <c r="G5227" s="910"/>
      <c r="H5227" s="911">
        <v>13.8</v>
      </c>
      <c r="I5227" s="912"/>
      <c r="J5227" s="912"/>
      <c r="K5227" s="912">
        <f>VLOOKUP(E5227,[5]ĐMNC!$A$7:$F$67,4,0)</f>
        <v>203703</v>
      </c>
      <c r="L5227" s="912">
        <f>H5227*K5227</f>
        <v>2811101.4000000004</v>
      </c>
      <c r="M5227" s="912"/>
      <c r="N5227" s="912"/>
      <c r="O5227" s="892">
        <f t="shared" si="328"/>
        <v>0</v>
      </c>
      <c r="P5227" s="903">
        <f t="shared" si="329"/>
        <v>1</v>
      </c>
      <c r="Q5227" s="893">
        <f t="shared" si="330"/>
        <v>1</v>
      </c>
      <c r="R5227" s="894">
        <f t="shared" si="331"/>
        <v>0</v>
      </c>
    </row>
    <row r="5228" spans="1:18" s="847" customFormat="1">
      <c r="A5228" s="905" t="s">
        <v>5720</v>
      </c>
      <c r="B5228" s="914" t="s">
        <v>1533</v>
      </c>
      <c r="C5228" s="915"/>
      <c r="D5228" s="915"/>
      <c r="E5228" s="916" t="s">
        <v>5721</v>
      </c>
      <c r="F5228" s="917" t="s">
        <v>43</v>
      </c>
      <c r="G5228" s="918"/>
      <c r="H5228" s="919"/>
      <c r="I5228" s="920"/>
      <c r="J5228" s="891">
        <f>SUM(J5229:J5236)</f>
        <v>2572016</v>
      </c>
      <c r="K5228" s="891"/>
      <c r="L5228" s="891">
        <f>SUM(L5229:L5236)</f>
        <v>2851842</v>
      </c>
      <c r="M5228" s="891"/>
      <c r="N5228" s="891">
        <f>SUM(N5229:N5236)</f>
        <v>0</v>
      </c>
      <c r="O5228" s="892">
        <f t="shared" si="328"/>
        <v>1</v>
      </c>
      <c r="P5228" s="903">
        <f t="shared" si="329"/>
        <v>0</v>
      </c>
      <c r="Q5228" s="893">
        <f t="shared" si="330"/>
        <v>0</v>
      </c>
      <c r="R5228" s="894">
        <f t="shared" si="331"/>
        <v>8</v>
      </c>
    </row>
    <row r="5229" spans="1:18" s="904" customFormat="1">
      <c r="A5229" s="895"/>
      <c r="B5229" s="922"/>
      <c r="C5229" s="897"/>
      <c r="D5229" s="897"/>
      <c r="E5229" s="898" t="s">
        <v>108</v>
      </c>
      <c r="F5229" s="899"/>
      <c r="G5229" s="900"/>
      <c r="H5229" s="901"/>
      <c r="I5229" s="902"/>
      <c r="J5229" s="902"/>
      <c r="K5229" s="912" t="s">
        <v>274</v>
      </c>
      <c r="L5229" s="902"/>
      <c r="M5229" s="902"/>
      <c r="N5229" s="902"/>
      <c r="O5229" s="892">
        <f t="shared" si="328"/>
        <v>0</v>
      </c>
      <c r="P5229" s="903">
        <f t="shared" si="329"/>
        <v>1</v>
      </c>
      <c r="Q5229" s="893">
        <f t="shared" si="330"/>
        <v>8</v>
      </c>
      <c r="R5229" s="894">
        <f t="shared" si="331"/>
        <v>0</v>
      </c>
    </row>
    <row r="5230" spans="1:18">
      <c r="A5230" s="905"/>
      <c r="B5230" s="906"/>
      <c r="C5230" s="907">
        <v>6</v>
      </c>
      <c r="D5230" s="907" t="s">
        <v>279</v>
      </c>
      <c r="E5230" s="925" t="s">
        <v>5722</v>
      </c>
      <c r="F5230" s="909" t="s">
        <v>47</v>
      </c>
      <c r="G5230" s="989"/>
      <c r="H5230" s="911">
        <v>100.5</v>
      </c>
      <c r="I5230" s="912">
        <f>VLOOKUP(E5230,[3]VLP!$B$7:$K$300,10,0)</f>
        <v>16100</v>
      </c>
      <c r="J5230" s="912">
        <f>I5230*H5230</f>
        <v>1618050</v>
      </c>
      <c r="K5230" s="912" t="s">
        <v>274</v>
      </c>
      <c r="L5230" s="912"/>
      <c r="M5230" s="912"/>
      <c r="N5230" s="912"/>
      <c r="O5230" s="892">
        <f t="shared" si="328"/>
        <v>0</v>
      </c>
      <c r="P5230" s="903">
        <f t="shared" si="329"/>
        <v>1</v>
      </c>
      <c r="Q5230" s="893">
        <f t="shared" si="330"/>
        <v>7</v>
      </c>
      <c r="R5230" s="894">
        <f t="shared" si="331"/>
        <v>0</v>
      </c>
    </row>
    <row r="5231" spans="1:18">
      <c r="A5231" s="905"/>
      <c r="B5231" s="906"/>
      <c r="C5231" s="907">
        <v>80</v>
      </c>
      <c r="D5231" s="907" t="s">
        <v>279</v>
      </c>
      <c r="E5231" s="925" t="s">
        <v>3211</v>
      </c>
      <c r="F5231" s="909" t="s">
        <v>51</v>
      </c>
      <c r="G5231" s="989"/>
      <c r="H5231" s="911">
        <v>12</v>
      </c>
      <c r="I5231" s="912">
        <f>VLOOKUP(E5231,[3]VLP!$B$7:$K$300,10,0)</f>
        <v>79000</v>
      </c>
      <c r="J5231" s="912">
        <f>I5231*H5231</f>
        <v>948000</v>
      </c>
      <c r="K5231" s="912" t="s">
        <v>274</v>
      </c>
      <c r="L5231" s="912"/>
      <c r="M5231" s="912"/>
      <c r="N5231" s="912"/>
      <c r="O5231" s="892">
        <f t="shared" si="328"/>
        <v>0</v>
      </c>
      <c r="P5231" s="903">
        <f t="shared" si="329"/>
        <v>1</v>
      </c>
      <c r="Q5231" s="893">
        <f t="shared" si="330"/>
        <v>6</v>
      </c>
      <c r="R5231" s="894">
        <f t="shared" si="331"/>
        <v>0</v>
      </c>
    </row>
    <row r="5232" spans="1:18">
      <c r="A5232" s="905"/>
      <c r="B5232" s="906"/>
      <c r="C5232" s="907">
        <v>44</v>
      </c>
      <c r="D5232" s="907" t="s">
        <v>279</v>
      </c>
      <c r="E5232" s="925" t="s">
        <v>2681</v>
      </c>
      <c r="F5232" s="926" t="s">
        <v>45</v>
      </c>
      <c r="G5232" s="910"/>
      <c r="H5232" s="911">
        <v>4.2000000000000003E-2</v>
      </c>
      <c r="I5232" s="912">
        <f>VLOOKUP(E5232,[3]VLP!$B$7:$K$300,10,0)</f>
        <v>23000</v>
      </c>
      <c r="J5232" s="912">
        <f>I5232*H5232</f>
        <v>966.00000000000011</v>
      </c>
      <c r="K5232" s="912" t="s">
        <v>274</v>
      </c>
      <c r="L5232" s="912"/>
      <c r="M5232" s="912"/>
      <c r="N5232" s="912"/>
      <c r="O5232" s="892">
        <f t="shared" si="328"/>
        <v>0</v>
      </c>
      <c r="P5232" s="903">
        <f t="shared" si="329"/>
        <v>1</v>
      </c>
      <c r="Q5232" s="893">
        <f t="shared" si="330"/>
        <v>5</v>
      </c>
      <c r="R5232" s="894">
        <f t="shared" si="331"/>
        <v>0</v>
      </c>
    </row>
    <row r="5233" spans="1:18">
      <c r="A5233" s="905"/>
      <c r="B5233" s="906"/>
      <c r="C5233" s="907">
        <v>92</v>
      </c>
      <c r="D5233" s="907" t="s">
        <v>279</v>
      </c>
      <c r="E5233" s="925" t="s">
        <v>5712</v>
      </c>
      <c r="F5233" s="926" t="s">
        <v>45</v>
      </c>
      <c r="G5233" s="910"/>
      <c r="H5233" s="911">
        <v>0.11</v>
      </c>
      <c r="I5233" s="912">
        <f>VLOOKUP(E5233,[3]VLP!$B$7:$K$300,10,0)</f>
        <v>45000</v>
      </c>
      <c r="J5233" s="912">
        <f>I5233*H5233</f>
        <v>4950</v>
      </c>
      <c r="K5233" s="912" t="s">
        <v>274</v>
      </c>
      <c r="L5233" s="912"/>
      <c r="M5233" s="912"/>
      <c r="N5233" s="912"/>
      <c r="O5233" s="892">
        <f t="shared" si="328"/>
        <v>0</v>
      </c>
      <c r="P5233" s="903">
        <f t="shared" si="329"/>
        <v>1</v>
      </c>
      <c r="Q5233" s="893">
        <f t="shared" si="330"/>
        <v>4</v>
      </c>
      <c r="R5233" s="894">
        <f t="shared" si="331"/>
        <v>0</v>
      </c>
    </row>
    <row r="5234" spans="1:18">
      <c r="A5234" s="905"/>
      <c r="B5234" s="906"/>
      <c r="C5234" s="907">
        <v>699</v>
      </c>
      <c r="D5234" s="907" t="s">
        <v>279</v>
      </c>
      <c r="E5234" s="925" t="s">
        <v>4006</v>
      </c>
      <c r="F5234" s="926" t="s">
        <v>4007</v>
      </c>
      <c r="G5234" s="910"/>
      <c r="H5234" s="911">
        <v>0.01</v>
      </c>
      <c r="I5234" s="912">
        <f>VLOOKUP(E5234,[3]VLP!$B$7:$K$300,10,0)</f>
        <v>5000</v>
      </c>
      <c r="J5234" s="912">
        <f>I5234*H5234</f>
        <v>50</v>
      </c>
      <c r="K5234" s="912" t="s">
        <v>274</v>
      </c>
      <c r="L5234" s="912"/>
      <c r="M5234" s="912"/>
      <c r="N5234" s="912"/>
      <c r="O5234" s="892">
        <f t="shared" si="328"/>
        <v>0</v>
      </c>
      <c r="P5234" s="903">
        <f t="shared" si="329"/>
        <v>1</v>
      </c>
      <c r="Q5234" s="893">
        <f t="shared" si="330"/>
        <v>3</v>
      </c>
      <c r="R5234" s="894">
        <f t="shared" si="331"/>
        <v>0</v>
      </c>
    </row>
    <row r="5235" spans="1:18" s="904" customFormat="1">
      <c r="A5235" s="895"/>
      <c r="B5235" s="896"/>
      <c r="C5235" s="897"/>
      <c r="D5235" s="897"/>
      <c r="E5235" s="924" t="s">
        <v>276</v>
      </c>
      <c r="F5235" s="927"/>
      <c r="G5235" s="928"/>
      <c r="H5235" s="901"/>
      <c r="I5235" s="902"/>
      <c r="J5235" s="902"/>
      <c r="K5235" s="912" t="s">
        <v>274</v>
      </c>
      <c r="L5235" s="902"/>
      <c r="M5235" s="902"/>
      <c r="N5235" s="902"/>
      <c r="O5235" s="892">
        <f t="shared" si="328"/>
        <v>0</v>
      </c>
      <c r="P5235" s="903">
        <f t="shared" si="329"/>
        <v>1</v>
      </c>
      <c r="Q5235" s="893">
        <f t="shared" si="330"/>
        <v>2</v>
      </c>
      <c r="R5235" s="894">
        <f t="shared" si="331"/>
        <v>0</v>
      </c>
    </row>
    <row r="5236" spans="1:18">
      <c r="A5236" s="905"/>
      <c r="B5236" s="906"/>
      <c r="C5236" s="907">
        <v>735</v>
      </c>
      <c r="D5236" s="907" t="s">
        <v>12</v>
      </c>
      <c r="E5236" s="908" t="s">
        <v>4065</v>
      </c>
      <c r="F5236" s="909" t="s">
        <v>2674</v>
      </c>
      <c r="G5236" s="910"/>
      <c r="H5236" s="911">
        <v>14</v>
      </c>
      <c r="I5236" s="912"/>
      <c r="J5236" s="912"/>
      <c r="K5236" s="912">
        <f>VLOOKUP(E5236,[5]ĐMNC!$A$7:$F$67,4,0)</f>
        <v>203703</v>
      </c>
      <c r="L5236" s="912">
        <f>H5236*K5236</f>
        <v>2851842</v>
      </c>
      <c r="M5236" s="912"/>
      <c r="N5236" s="912"/>
      <c r="O5236" s="892">
        <f t="shared" si="328"/>
        <v>0</v>
      </c>
      <c r="P5236" s="903">
        <f t="shared" si="329"/>
        <v>1</v>
      </c>
      <c r="Q5236" s="893">
        <f t="shared" si="330"/>
        <v>1</v>
      </c>
      <c r="R5236" s="894">
        <f t="shared" si="331"/>
        <v>0</v>
      </c>
    </row>
    <row r="5237" spans="1:18" s="847" customFormat="1">
      <c r="A5237" s="905"/>
      <c r="B5237" s="914" t="s">
        <v>1535</v>
      </c>
      <c r="C5237" s="915"/>
      <c r="D5237" s="915"/>
      <c r="E5237" s="916" t="s">
        <v>5723</v>
      </c>
      <c r="F5237" s="917" t="s">
        <v>43</v>
      </c>
      <c r="G5237" s="918"/>
      <c r="H5237" s="919"/>
      <c r="I5237" s="920"/>
      <c r="J5237" s="891">
        <f>SUM(J5238:J5245)</f>
        <v>2425208</v>
      </c>
      <c r="K5237" s="891"/>
      <c r="L5237" s="891">
        <f>SUM(L5238:L5245)</f>
        <v>3057582.03</v>
      </c>
      <c r="M5237" s="891"/>
      <c r="N5237" s="891">
        <f>SUM(N5238:N5245)</f>
        <v>0</v>
      </c>
      <c r="O5237" s="892">
        <f t="shared" si="328"/>
        <v>1</v>
      </c>
      <c r="P5237" s="903">
        <f t="shared" si="329"/>
        <v>0</v>
      </c>
      <c r="Q5237" s="893">
        <f t="shared" si="330"/>
        <v>0</v>
      </c>
      <c r="R5237" s="894">
        <f t="shared" si="331"/>
        <v>8</v>
      </c>
    </row>
    <row r="5238" spans="1:18" s="904" customFormat="1">
      <c r="A5238" s="895"/>
      <c r="B5238" s="896"/>
      <c r="C5238" s="897"/>
      <c r="D5238" s="897"/>
      <c r="E5238" s="898" t="s">
        <v>108</v>
      </c>
      <c r="F5238" s="899"/>
      <c r="G5238" s="900"/>
      <c r="H5238" s="901"/>
      <c r="I5238" s="902"/>
      <c r="J5238" s="902"/>
      <c r="K5238" s="912" t="s">
        <v>274</v>
      </c>
      <c r="L5238" s="902"/>
      <c r="M5238" s="902"/>
      <c r="N5238" s="902"/>
      <c r="O5238" s="892">
        <f t="shared" si="328"/>
        <v>0</v>
      </c>
      <c r="P5238" s="903">
        <f t="shared" si="329"/>
        <v>1</v>
      </c>
      <c r="Q5238" s="893">
        <f t="shared" si="330"/>
        <v>8</v>
      </c>
      <c r="R5238" s="894">
        <f t="shared" si="331"/>
        <v>0</v>
      </c>
    </row>
    <row r="5239" spans="1:18">
      <c r="A5239" s="905"/>
      <c r="B5239" s="906"/>
      <c r="C5239" s="907">
        <v>7</v>
      </c>
      <c r="D5239" s="907" t="s">
        <v>279</v>
      </c>
      <c r="E5239" s="925" t="s">
        <v>5724</v>
      </c>
      <c r="F5239" s="909" t="s">
        <v>47</v>
      </c>
      <c r="G5239" s="989"/>
      <c r="H5239" s="911">
        <v>100.5</v>
      </c>
      <c r="I5239" s="912">
        <f>VLOOKUP(E5239,[3]VLP!$B$7:$K$300,10,0)</f>
        <v>22600</v>
      </c>
      <c r="J5239" s="912">
        <f>I5239*H5239</f>
        <v>2271300</v>
      </c>
      <c r="K5239" s="912" t="s">
        <v>274</v>
      </c>
      <c r="L5239" s="912"/>
      <c r="M5239" s="912"/>
      <c r="N5239" s="912"/>
      <c r="O5239" s="892">
        <f t="shared" si="328"/>
        <v>0</v>
      </c>
      <c r="P5239" s="903">
        <f t="shared" si="329"/>
        <v>1</v>
      </c>
      <c r="Q5239" s="893">
        <f t="shared" si="330"/>
        <v>7</v>
      </c>
      <c r="R5239" s="894">
        <f t="shared" si="331"/>
        <v>0</v>
      </c>
    </row>
    <row r="5240" spans="1:18">
      <c r="A5240" s="905"/>
      <c r="B5240" s="906"/>
      <c r="C5240" s="907">
        <v>81</v>
      </c>
      <c r="D5240" s="907" t="s">
        <v>279</v>
      </c>
      <c r="E5240" s="925" t="s">
        <v>3212</v>
      </c>
      <c r="F5240" s="909" t="s">
        <v>51</v>
      </c>
      <c r="G5240" s="989"/>
      <c r="H5240" s="911">
        <v>12</v>
      </c>
      <c r="I5240" s="912">
        <f>VLOOKUP(E5240,[3]VLP!$B$7:$K$300,10,0)</f>
        <v>12200</v>
      </c>
      <c r="J5240" s="912">
        <f>I5240*H5240</f>
        <v>146400</v>
      </c>
      <c r="K5240" s="912" t="s">
        <v>274</v>
      </c>
      <c r="L5240" s="912"/>
      <c r="M5240" s="912"/>
      <c r="N5240" s="912"/>
      <c r="O5240" s="892">
        <f t="shared" si="328"/>
        <v>0</v>
      </c>
      <c r="P5240" s="903">
        <f t="shared" si="329"/>
        <v>1</v>
      </c>
      <c r="Q5240" s="893">
        <f t="shared" si="330"/>
        <v>6</v>
      </c>
      <c r="R5240" s="894">
        <f t="shared" si="331"/>
        <v>0</v>
      </c>
    </row>
    <row r="5241" spans="1:18">
      <c r="A5241" s="905"/>
      <c r="B5241" s="906"/>
      <c r="C5241" s="907">
        <v>44</v>
      </c>
      <c r="D5241" s="907" t="s">
        <v>279</v>
      </c>
      <c r="E5241" s="925" t="s">
        <v>2681</v>
      </c>
      <c r="F5241" s="926" t="s">
        <v>45</v>
      </c>
      <c r="G5241" s="910"/>
      <c r="H5241" s="911">
        <v>6.6000000000000003E-2</v>
      </c>
      <c r="I5241" s="912">
        <f>VLOOKUP(E5241,[3]VLP!$B$7:$K$300,10,0)</f>
        <v>23000</v>
      </c>
      <c r="J5241" s="912">
        <f>I5241*H5241</f>
        <v>1518</v>
      </c>
      <c r="K5241" s="912" t="s">
        <v>274</v>
      </c>
      <c r="L5241" s="912"/>
      <c r="M5241" s="912"/>
      <c r="N5241" s="912"/>
      <c r="O5241" s="892">
        <f t="shared" si="328"/>
        <v>0</v>
      </c>
      <c r="P5241" s="903">
        <f t="shared" si="329"/>
        <v>1</v>
      </c>
      <c r="Q5241" s="893">
        <f t="shared" si="330"/>
        <v>5</v>
      </c>
      <c r="R5241" s="894">
        <f t="shared" si="331"/>
        <v>0</v>
      </c>
    </row>
    <row r="5242" spans="1:18">
      <c r="A5242" s="905"/>
      <c r="B5242" s="906"/>
      <c r="C5242" s="907">
        <v>92</v>
      </c>
      <c r="D5242" s="907" t="s">
        <v>279</v>
      </c>
      <c r="E5242" s="925" t="s">
        <v>5712</v>
      </c>
      <c r="F5242" s="926" t="s">
        <v>45</v>
      </c>
      <c r="G5242" s="910"/>
      <c r="H5242" s="911">
        <v>0.13200000000000001</v>
      </c>
      <c r="I5242" s="912">
        <f>VLOOKUP(E5242,[3]VLP!$B$7:$K$300,10,0)</f>
        <v>45000</v>
      </c>
      <c r="J5242" s="912">
        <f>I5242*H5242</f>
        <v>5940</v>
      </c>
      <c r="K5242" s="912" t="s">
        <v>274</v>
      </c>
      <c r="L5242" s="912"/>
      <c r="M5242" s="912"/>
      <c r="N5242" s="912"/>
      <c r="O5242" s="892">
        <f t="shared" si="328"/>
        <v>0</v>
      </c>
      <c r="P5242" s="903">
        <f t="shared" si="329"/>
        <v>1</v>
      </c>
      <c r="Q5242" s="893">
        <f t="shared" si="330"/>
        <v>4</v>
      </c>
      <c r="R5242" s="894">
        <f t="shared" si="331"/>
        <v>0</v>
      </c>
    </row>
    <row r="5243" spans="1:18">
      <c r="A5243" s="905"/>
      <c r="B5243" s="906"/>
      <c r="C5243" s="907">
        <v>699</v>
      </c>
      <c r="D5243" s="907" t="s">
        <v>279</v>
      </c>
      <c r="E5243" s="925" t="s">
        <v>4006</v>
      </c>
      <c r="F5243" s="926" t="s">
        <v>4007</v>
      </c>
      <c r="G5243" s="910"/>
      <c r="H5243" s="911">
        <v>0.01</v>
      </c>
      <c r="I5243" s="912">
        <f>VLOOKUP(E5243,[3]VLP!$B$7:$K$300,10,0)</f>
        <v>5000</v>
      </c>
      <c r="J5243" s="912">
        <f>I5243*H5243</f>
        <v>50</v>
      </c>
      <c r="K5243" s="912" t="s">
        <v>274</v>
      </c>
      <c r="L5243" s="912"/>
      <c r="M5243" s="912"/>
      <c r="N5243" s="912"/>
      <c r="O5243" s="892">
        <f t="shared" si="328"/>
        <v>0</v>
      </c>
      <c r="P5243" s="903">
        <f t="shared" si="329"/>
        <v>1</v>
      </c>
      <c r="Q5243" s="893">
        <f t="shared" si="330"/>
        <v>3</v>
      </c>
      <c r="R5243" s="894">
        <f t="shared" si="331"/>
        <v>0</v>
      </c>
    </row>
    <row r="5244" spans="1:18" s="904" customFormat="1">
      <c r="A5244" s="895"/>
      <c r="B5244" s="896"/>
      <c r="C5244" s="897"/>
      <c r="D5244" s="897"/>
      <c r="E5244" s="924" t="s">
        <v>276</v>
      </c>
      <c r="F5244" s="927"/>
      <c r="G5244" s="928"/>
      <c r="H5244" s="901"/>
      <c r="I5244" s="902"/>
      <c r="J5244" s="902"/>
      <c r="K5244" s="912" t="s">
        <v>274</v>
      </c>
      <c r="L5244" s="902"/>
      <c r="M5244" s="902"/>
      <c r="N5244" s="902"/>
      <c r="O5244" s="892">
        <f t="shared" si="328"/>
        <v>0</v>
      </c>
      <c r="P5244" s="903">
        <f t="shared" si="329"/>
        <v>1</v>
      </c>
      <c r="Q5244" s="893">
        <f t="shared" si="330"/>
        <v>2</v>
      </c>
      <c r="R5244" s="894">
        <f t="shared" si="331"/>
        <v>0</v>
      </c>
    </row>
    <row r="5245" spans="1:18">
      <c r="A5245" s="905"/>
      <c r="B5245" s="906"/>
      <c r="C5245" s="907">
        <v>735</v>
      </c>
      <c r="D5245" s="907" t="s">
        <v>12</v>
      </c>
      <c r="E5245" s="908" t="s">
        <v>4065</v>
      </c>
      <c r="F5245" s="909" t="s">
        <v>2674</v>
      </c>
      <c r="G5245" s="910"/>
      <c r="H5245" s="911">
        <v>15.01</v>
      </c>
      <c r="I5245" s="912"/>
      <c r="J5245" s="912"/>
      <c r="K5245" s="912">
        <f>VLOOKUP(E5245,[5]ĐMNC!$A$7:$F$67,4,0)</f>
        <v>203703</v>
      </c>
      <c r="L5245" s="912">
        <f>H5245*K5245</f>
        <v>3057582.03</v>
      </c>
      <c r="M5245" s="912"/>
      <c r="N5245" s="912"/>
      <c r="O5245" s="892">
        <f t="shared" si="328"/>
        <v>0</v>
      </c>
      <c r="P5245" s="903">
        <f t="shared" si="329"/>
        <v>1</v>
      </c>
      <c r="Q5245" s="893">
        <f t="shared" si="330"/>
        <v>1</v>
      </c>
      <c r="R5245" s="894">
        <f t="shared" si="331"/>
        <v>0</v>
      </c>
    </row>
    <row r="5246" spans="1:18" s="847" customFormat="1">
      <c r="A5246" s="905"/>
      <c r="B5246" s="914" t="s">
        <v>1537</v>
      </c>
      <c r="C5246" s="915"/>
      <c r="D5246" s="915"/>
      <c r="E5246" s="916" t="s">
        <v>5725</v>
      </c>
      <c r="F5246" s="917" t="s">
        <v>43</v>
      </c>
      <c r="G5246" s="918"/>
      <c r="H5246" s="919"/>
      <c r="I5246" s="920"/>
      <c r="J5246" s="891">
        <f>SUM(J5247:J5254)</f>
        <v>3666188</v>
      </c>
      <c r="K5246" s="891"/>
      <c r="L5246" s="891">
        <f>SUM(L5247:L5254)</f>
        <v>3467025.06</v>
      </c>
      <c r="M5246" s="891"/>
      <c r="N5246" s="891">
        <f>SUM(N5247:N5254)</f>
        <v>0</v>
      </c>
      <c r="O5246" s="892">
        <f t="shared" si="328"/>
        <v>1</v>
      </c>
      <c r="P5246" s="903">
        <f t="shared" si="329"/>
        <v>0</v>
      </c>
      <c r="Q5246" s="893">
        <f t="shared" si="330"/>
        <v>0</v>
      </c>
      <c r="R5246" s="894">
        <f t="shared" si="331"/>
        <v>8</v>
      </c>
    </row>
    <row r="5247" spans="1:18" s="904" customFormat="1">
      <c r="A5247" s="895"/>
      <c r="B5247" s="896"/>
      <c r="C5247" s="897"/>
      <c r="D5247" s="897"/>
      <c r="E5247" s="898" t="s">
        <v>108</v>
      </c>
      <c r="F5247" s="899"/>
      <c r="G5247" s="900"/>
      <c r="H5247" s="901"/>
      <c r="I5247" s="902"/>
      <c r="J5247" s="902"/>
      <c r="K5247" s="912" t="s">
        <v>274</v>
      </c>
      <c r="L5247" s="902"/>
      <c r="M5247" s="902"/>
      <c r="N5247" s="902"/>
      <c r="O5247" s="892">
        <f t="shared" si="328"/>
        <v>0</v>
      </c>
      <c r="P5247" s="903">
        <f t="shared" si="329"/>
        <v>1</v>
      </c>
      <c r="Q5247" s="893">
        <f t="shared" si="330"/>
        <v>8</v>
      </c>
      <c r="R5247" s="894">
        <f t="shared" si="331"/>
        <v>0</v>
      </c>
    </row>
    <row r="5248" spans="1:18">
      <c r="A5248" s="905"/>
      <c r="B5248" s="906"/>
      <c r="C5248" s="907">
        <v>8</v>
      </c>
      <c r="D5248" s="907" t="s">
        <v>279</v>
      </c>
      <c r="E5248" s="925" t="s">
        <v>5726</v>
      </c>
      <c r="F5248" s="909" t="s">
        <v>47</v>
      </c>
      <c r="G5248" s="989"/>
      <c r="H5248" s="911">
        <v>100.5</v>
      </c>
      <c r="I5248" s="912">
        <f>VLOOKUP(E5248,[3]VLP!$B$7:$K$300,10,0)</f>
        <v>34500</v>
      </c>
      <c r="J5248" s="912">
        <f>I5248*H5248</f>
        <v>3467250</v>
      </c>
      <c r="K5248" s="912" t="s">
        <v>274</v>
      </c>
      <c r="L5248" s="912"/>
      <c r="M5248" s="912"/>
      <c r="N5248" s="912"/>
      <c r="O5248" s="892">
        <f t="shared" si="328"/>
        <v>0</v>
      </c>
      <c r="P5248" s="903">
        <f t="shared" si="329"/>
        <v>1</v>
      </c>
      <c r="Q5248" s="893">
        <f t="shared" si="330"/>
        <v>7</v>
      </c>
      <c r="R5248" s="894">
        <f t="shared" si="331"/>
        <v>0</v>
      </c>
    </row>
    <row r="5249" spans="1:18">
      <c r="A5249" s="905"/>
      <c r="B5249" s="906"/>
      <c r="C5249" s="907">
        <v>82</v>
      </c>
      <c r="D5249" s="907" t="s">
        <v>279</v>
      </c>
      <c r="E5249" s="925" t="s">
        <v>3213</v>
      </c>
      <c r="F5249" s="909" t="s">
        <v>51</v>
      </c>
      <c r="G5249" s="989"/>
      <c r="H5249" s="911">
        <v>12</v>
      </c>
      <c r="I5249" s="912">
        <f>VLOOKUP(E5249,[3]VLP!$B$7:$K$300,10,0)</f>
        <v>15800</v>
      </c>
      <c r="J5249" s="912">
        <f>I5249*H5249</f>
        <v>189600</v>
      </c>
      <c r="K5249" s="912" t="s">
        <v>274</v>
      </c>
      <c r="L5249" s="912"/>
      <c r="M5249" s="912"/>
      <c r="N5249" s="912"/>
      <c r="O5249" s="892">
        <f t="shared" si="328"/>
        <v>0</v>
      </c>
      <c r="P5249" s="903">
        <f t="shared" si="329"/>
        <v>1</v>
      </c>
      <c r="Q5249" s="893">
        <f t="shared" si="330"/>
        <v>6</v>
      </c>
      <c r="R5249" s="894">
        <f t="shared" si="331"/>
        <v>0</v>
      </c>
    </row>
    <row r="5250" spans="1:18">
      <c r="A5250" s="905"/>
      <c r="B5250" s="906"/>
      <c r="C5250" s="907">
        <v>44</v>
      </c>
      <c r="D5250" s="907" t="s">
        <v>279</v>
      </c>
      <c r="E5250" s="925" t="s">
        <v>2681</v>
      </c>
      <c r="F5250" s="926" t="s">
        <v>45</v>
      </c>
      <c r="G5250" s="910"/>
      <c r="H5250" s="911">
        <v>8.1000000000000003E-2</v>
      </c>
      <c r="I5250" s="912">
        <f>VLOOKUP(E5250,[3]VLP!$B$7:$K$300,10,0)</f>
        <v>23000</v>
      </c>
      <c r="J5250" s="912">
        <f>I5250*H5250</f>
        <v>1863</v>
      </c>
      <c r="K5250" s="912" t="s">
        <v>274</v>
      </c>
      <c r="L5250" s="912"/>
      <c r="M5250" s="912"/>
      <c r="N5250" s="912"/>
      <c r="O5250" s="892">
        <f t="shared" si="328"/>
        <v>0</v>
      </c>
      <c r="P5250" s="903">
        <f t="shared" si="329"/>
        <v>1</v>
      </c>
      <c r="Q5250" s="893">
        <f t="shared" si="330"/>
        <v>5</v>
      </c>
      <c r="R5250" s="894">
        <f t="shared" si="331"/>
        <v>0</v>
      </c>
    </row>
    <row r="5251" spans="1:18">
      <c r="A5251" s="905"/>
      <c r="B5251" s="906"/>
      <c r="C5251" s="907">
        <v>92</v>
      </c>
      <c r="D5251" s="907" t="s">
        <v>279</v>
      </c>
      <c r="E5251" s="925" t="s">
        <v>5712</v>
      </c>
      <c r="F5251" s="926" t="s">
        <v>45</v>
      </c>
      <c r="G5251" s="910"/>
      <c r="H5251" s="911">
        <v>0.16500000000000001</v>
      </c>
      <c r="I5251" s="912">
        <f>VLOOKUP(E5251,[3]VLP!$B$7:$K$300,10,0)</f>
        <v>45000</v>
      </c>
      <c r="J5251" s="912">
        <f>I5251*H5251</f>
        <v>7425</v>
      </c>
      <c r="K5251" s="912" t="s">
        <v>274</v>
      </c>
      <c r="L5251" s="912"/>
      <c r="M5251" s="912"/>
      <c r="N5251" s="912"/>
      <c r="O5251" s="892">
        <f t="shared" si="328"/>
        <v>0</v>
      </c>
      <c r="P5251" s="903">
        <f t="shared" si="329"/>
        <v>1</v>
      </c>
      <c r="Q5251" s="893">
        <f t="shared" si="330"/>
        <v>4</v>
      </c>
      <c r="R5251" s="894">
        <f t="shared" si="331"/>
        <v>0</v>
      </c>
    </row>
    <row r="5252" spans="1:18">
      <c r="A5252" s="905"/>
      <c r="B5252" s="906"/>
      <c r="C5252" s="907">
        <v>699</v>
      </c>
      <c r="D5252" s="907" t="s">
        <v>279</v>
      </c>
      <c r="E5252" s="925" t="s">
        <v>4006</v>
      </c>
      <c r="F5252" s="926" t="s">
        <v>4007</v>
      </c>
      <c r="G5252" s="910"/>
      <c r="H5252" s="911">
        <v>0.01</v>
      </c>
      <c r="I5252" s="912">
        <f>VLOOKUP(E5252,[3]VLP!$B$7:$K$300,10,0)</f>
        <v>5000</v>
      </c>
      <c r="J5252" s="912">
        <f>I5252*H5252</f>
        <v>50</v>
      </c>
      <c r="K5252" s="912" t="s">
        <v>274</v>
      </c>
      <c r="L5252" s="912"/>
      <c r="M5252" s="912"/>
      <c r="N5252" s="912"/>
      <c r="O5252" s="892">
        <f t="shared" si="328"/>
        <v>0</v>
      </c>
      <c r="P5252" s="903">
        <f t="shared" si="329"/>
        <v>1</v>
      </c>
      <c r="Q5252" s="893">
        <f t="shared" si="330"/>
        <v>3</v>
      </c>
      <c r="R5252" s="894">
        <f t="shared" si="331"/>
        <v>0</v>
      </c>
    </row>
    <row r="5253" spans="1:18" s="904" customFormat="1">
      <c r="A5253" s="895"/>
      <c r="B5253" s="896"/>
      <c r="C5253" s="897"/>
      <c r="D5253" s="897"/>
      <c r="E5253" s="924" t="s">
        <v>276</v>
      </c>
      <c r="F5253" s="927"/>
      <c r="G5253" s="928"/>
      <c r="H5253" s="901"/>
      <c r="I5253" s="902"/>
      <c r="J5253" s="902"/>
      <c r="K5253" s="912" t="s">
        <v>274</v>
      </c>
      <c r="L5253" s="902"/>
      <c r="M5253" s="902"/>
      <c r="N5253" s="902"/>
      <c r="O5253" s="892">
        <f t="shared" si="328"/>
        <v>0</v>
      </c>
      <c r="P5253" s="903">
        <f t="shared" si="329"/>
        <v>1</v>
      </c>
      <c r="Q5253" s="893">
        <f t="shared" si="330"/>
        <v>2</v>
      </c>
      <c r="R5253" s="894">
        <f t="shared" si="331"/>
        <v>0</v>
      </c>
    </row>
    <row r="5254" spans="1:18">
      <c r="A5254" s="905"/>
      <c r="B5254" s="906"/>
      <c r="C5254" s="907">
        <v>735</v>
      </c>
      <c r="D5254" s="907" t="s">
        <v>12</v>
      </c>
      <c r="E5254" s="908" t="s">
        <v>4065</v>
      </c>
      <c r="F5254" s="909" t="s">
        <v>2674</v>
      </c>
      <c r="G5254" s="910"/>
      <c r="H5254" s="911">
        <v>17.02</v>
      </c>
      <c r="I5254" s="912"/>
      <c r="J5254" s="912"/>
      <c r="K5254" s="912">
        <f>VLOOKUP(E5254,[5]ĐMNC!$A$7:$F$67,4,0)</f>
        <v>203703</v>
      </c>
      <c r="L5254" s="912">
        <f>H5254*K5254</f>
        <v>3467025.06</v>
      </c>
      <c r="M5254" s="912"/>
      <c r="N5254" s="912"/>
      <c r="O5254" s="892">
        <f t="shared" si="328"/>
        <v>0</v>
      </c>
      <c r="P5254" s="903">
        <f t="shared" si="329"/>
        <v>1</v>
      </c>
      <c r="Q5254" s="893">
        <f t="shared" si="330"/>
        <v>1</v>
      </c>
      <c r="R5254" s="894">
        <f t="shared" si="331"/>
        <v>0</v>
      </c>
    </row>
    <row r="5255" spans="1:18" s="847" customFormat="1">
      <c r="A5255" s="905"/>
      <c r="B5255" s="914" t="s">
        <v>1539</v>
      </c>
      <c r="C5255" s="915"/>
      <c r="D5255" s="915"/>
      <c r="E5255" s="916" t="s">
        <v>5727</v>
      </c>
      <c r="F5255" s="917" t="s">
        <v>43</v>
      </c>
      <c r="G5255" s="918"/>
      <c r="H5255" s="919"/>
      <c r="I5255" s="920"/>
      <c r="J5255" s="891">
        <f>SUM(J5256:J5263)</f>
        <v>3617528</v>
      </c>
      <c r="K5255" s="891"/>
      <c r="L5255" s="891">
        <f>SUM(L5256:L5263)</f>
        <v>4061837.8200000003</v>
      </c>
      <c r="M5255" s="891"/>
      <c r="N5255" s="891">
        <f>SUM(N5256:N5263)</f>
        <v>0</v>
      </c>
      <c r="O5255" s="892">
        <f t="shared" si="328"/>
        <v>1</v>
      </c>
      <c r="P5255" s="903">
        <f t="shared" si="329"/>
        <v>0</v>
      </c>
      <c r="Q5255" s="893">
        <f t="shared" si="330"/>
        <v>0</v>
      </c>
      <c r="R5255" s="894">
        <f t="shared" si="331"/>
        <v>8</v>
      </c>
    </row>
    <row r="5256" spans="1:18" s="904" customFormat="1">
      <c r="A5256" s="895"/>
      <c r="B5256" s="896"/>
      <c r="C5256" s="897"/>
      <c r="D5256" s="897"/>
      <c r="E5256" s="898" t="s">
        <v>108</v>
      </c>
      <c r="F5256" s="899"/>
      <c r="G5256" s="900"/>
      <c r="H5256" s="901"/>
      <c r="I5256" s="902"/>
      <c r="J5256" s="902"/>
      <c r="K5256" s="912" t="s">
        <v>274</v>
      </c>
      <c r="L5256" s="902"/>
      <c r="M5256" s="902"/>
      <c r="N5256" s="902"/>
      <c r="O5256" s="892">
        <f t="shared" si="328"/>
        <v>0</v>
      </c>
      <c r="P5256" s="903">
        <f t="shared" si="329"/>
        <v>1</v>
      </c>
      <c r="Q5256" s="893">
        <f t="shared" si="330"/>
        <v>8</v>
      </c>
      <c r="R5256" s="894">
        <f t="shared" si="331"/>
        <v>0</v>
      </c>
    </row>
    <row r="5257" spans="1:18">
      <c r="A5257" s="905"/>
      <c r="B5257" s="906"/>
      <c r="C5257" s="907">
        <v>9</v>
      </c>
      <c r="D5257" s="907" t="s">
        <v>279</v>
      </c>
      <c r="E5257" s="925" t="s">
        <v>3230</v>
      </c>
      <c r="F5257" s="909" t="s">
        <v>49</v>
      </c>
      <c r="G5257" s="989"/>
      <c r="H5257" s="911">
        <v>100.5</v>
      </c>
      <c r="I5257" s="912">
        <f>VLOOKUP(E5257,[3]VLP!$B$7:$K$300,10,0)</f>
        <v>32900</v>
      </c>
      <c r="J5257" s="912">
        <f>I5257*H5257</f>
        <v>3306450</v>
      </c>
      <c r="K5257" s="912" t="s">
        <v>274</v>
      </c>
      <c r="L5257" s="912"/>
      <c r="M5257" s="912"/>
      <c r="N5257" s="912"/>
      <c r="O5257" s="892">
        <f t="shared" si="328"/>
        <v>0</v>
      </c>
      <c r="P5257" s="903">
        <f t="shared" si="329"/>
        <v>1</v>
      </c>
      <c r="Q5257" s="893">
        <f t="shared" si="330"/>
        <v>7</v>
      </c>
      <c r="R5257" s="894">
        <f t="shared" si="331"/>
        <v>0</v>
      </c>
    </row>
    <row r="5258" spans="1:18">
      <c r="A5258" s="905"/>
      <c r="B5258" s="906"/>
      <c r="C5258" s="907">
        <v>83</v>
      </c>
      <c r="D5258" s="907" t="s">
        <v>279</v>
      </c>
      <c r="E5258" s="925" t="s">
        <v>3214</v>
      </c>
      <c r="F5258" s="909" t="s">
        <v>51</v>
      </c>
      <c r="G5258" s="989"/>
      <c r="H5258" s="911">
        <v>12</v>
      </c>
      <c r="I5258" s="912">
        <f>VLOOKUP(E5258,[3]VLP!$B$7:$K$300,10,0)</f>
        <v>25000</v>
      </c>
      <c r="J5258" s="912">
        <f>I5258*H5258</f>
        <v>300000</v>
      </c>
      <c r="K5258" s="912" t="s">
        <v>274</v>
      </c>
      <c r="L5258" s="912"/>
      <c r="M5258" s="912"/>
      <c r="N5258" s="912"/>
      <c r="O5258" s="892">
        <f t="shared" si="328"/>
        <v>0</v>
      </c>
      <c r="P5258" s="903">
        <f t="shared" si="329"/>
        <v>1</v>
      </c>
      <c r="Q5258" s="893">
        <f t="shared" si="330"/>
        <v>6</v>
      </c>
      <c r="R5258" s="894">
        <f t="shared" si="331"/>
        <v>0</v>
      </c>
    </row>
    <row r="5259" spans="1:18">
      <c r="A5259" s="905"/>
      <c r="B5259" s="906"/>
      <c r="C5259" s="907">
        <v>44</v>
      </c>
      <c r="D5259" s="907" t="s">
        <v>279</v>
      </c>
      <c r="E5259" s="925" t="s">
        <v>2681</v>
      </c>
      <c r="F5259" s="926" t="s">
        <v>45</v>
      </c>
      <c r="G5259" s="910"/>
      <c r="H5259" s="911">
        <v>9.6000000000000002E-2</v>
      </c>
      <c r="I5259" s="912">
        <f>VLOOKUP(E5259,[3]VLP!$B$7:$K$300,10,0)</f>
        <v>23000</v>
      </c>
      <c r="J5259" s="912">
        <f>I5259*H5259</f>
        <v>2208</v>
      </c>
      <c r="K5259" s="912" t="s">
        <v>274</v>
      </c>
      <c r="L5259" s="912"/>
      <c r="M5259" s="912"/>
      <c r="N5259" s="912"/>
      <c r="O5259" s="892">
        <f t="shared" si="328"/>
        <v>0</v>
      </c>
      <c r="P5259" s="903">
        <f t="shared" si="329"/>
        <v>1</v>
      </c>
      <c r="Q5259" s="893">
        <f t="shared" si="330"/>
        <v>5</v>
      </c>
      <c r="R5259" s="894">
        <f t="shared" si="331"/>
        <v>0</v>
      </c>
    </row>
    <row r="5260" spans="1:18">
      <c r="A5260" s="905"/>
      <c r="B5260" s="906"/>
      <c r="C5260" s="907">
        <v>92</v>
      </c>
      <c r="D5260" s="907" t="s">
        <v>279</v>
      </c>
      <c r="E5260" s="925" t="s">
        <v>5712</v>
      </c>
      <c r="F5260" s="926" t="s">
        <v>45</v>
      </c>
      <c r="G5260" s="910"/>
      <c r="H5260" s="911">
        <v>0.19600000000000001</v>
      </c>
      <c r="I5260" s="912">
        <f>VLOOKUP(E5260,[3]VLP!$B$7:$K$300,10,0)</f>
        <v>45000</v>
      </c>
      <c r="J5260" s="912">
        <f>I5260*H5260</f>
        <v>8820</v>
      </c>
      <c r="K5260" s="912" t="s">
        <v>274</v>
      </c>
      <c r="L5260" s="912"/>
      <c r="M5260" s="912"/>
      <c r="N5260" s="912"/>
      <c r="O5260" s="892">
        <f t="shared" si="328"/>
        <v>0</v>
      </c>
      <c r="P5260" s="903">
        <f t="shared" si="329"/>
        <v>1</v>
      </c>
      <c r="Q5260" s="893">
        <f t="shared" si="330"/>
        <v>4</v>
      </c>
      <c r="R5260" s="894">
        <f t="shared" si="331"/>
        <v>0</v>
      </c>
    </row>
    <row r="5261" spans="1:18">
      <c r="A5261" s="905"/>
      <c r="B5261" s="906"/>
      <c r="C5261" s="907">
        <v>699</v>
      </c>
      <c r="D5261" s="907" t="s">
        <v>279</v>
      </c>
      <c r="E5261" s="925" t="s">
        <v>4006</v>
      </c>
      <c r="F5261" s="926" t="s">
        <v>4007</v>
      </c>
      <c r="G5261" s="910"/>
      <c r="H5261" s="911">
        <v>0.01</v>
      </c>
      <c r="I5261" s="912">
        <f>VLOOKUP(E5261,[3]VLP!$B$7:$K$300,10,0)</f>
        <v>5000</v>
      </c>
      <c r="J5261" s="912">
        <f>I5261*H5261</f>
        <v>50</v>
      </c>
      <c r="K5261" s="912" t="s">
        <v>274</v>
      </c>
      <c r="L5261" s="912"/>
      <c r="M5261" s="912"/>
      <c r="N5261" s="912"/>
      <c r="O5261" s="892">
        <f t="shared" si="328"/>
        <v>0</v>
      </c>
      <c r="P5261" s="903">
        <f t="shared" si="329"/>
        <v>1</v>
      </c>
      <c r="Q5261" s="893">
        <f t="shared" si="330"/>
        <v>3</v>
      </c>
      <c r="R5261" s="894">
        <f t="shared" si="331"/>
        <v>0</v>
      </c>
    </row>
    <row r="5262" spans="1:18" s="904" customFormat="1">
      <c r="A5262" s="895"/>
      <c r="B5262" s="896"/>
      <c r="C5262" s="897"/>
      <c r="D5262" s="897"/>
      <c r="E5262" s="924" t="s">
        <v>276</v>
      </c>
      <c r="F5262" s="927"/>
      <c r="G5262" s="928"/>
      <c r="H5262" s="901"/>
      <c r="I5262" s="902"/>
      <c r="J5262" s="902"/>
      <c r="K5262" s="912" t="s">
        <v>274</v>
      </c>
      <c r="L5262" s="902"/>
      <c r="M5262" s="902"/>
      <c r="N5262" s="902"/>
      <c r="O5262" s="892">
        <f t="shared" si="328"/>
        <v>0</v>
      </c>
      <c r="P5262" s="903">
        <f t="shared" si="329"/>
        <v>1</v>
      </c>
      <c r="Q5262" s="893">
        <f t="shared" si="330"/>
        <v>2</v>
      </c>
      <c r="R5262" s="894">
        <f t="shared" si="331"/>
        <v>0</v>
      </c>
    </row>
    <row r="5263" spans="1:18">
      <c r="A5263" s="905"/>
      <c r="B5263" s="906"/>
      <c r="C5263" s="907">
        <v>735</v>
      </c>
      <c r="D5263" s="907" t="s">
        <v>12</v>
      </c>
      <c r="E5263" s="908" t="s">
        <v>4065</v>
      </c>
      <c r="F5263" s="909" t="s">
        <v>2674</v>
      </c>
      <c r="G5263" s="910"/>
      <c r="H5263" s="911">
        <v>19.940000000000001</v>
      </c>
      <c r="I5263" s="912"/>
      <c r="J5263" s="912"/>
      <c r="K5263" s="912">
        <f>VLOOKUP(E5263,[5]ĐMNC!$A$7:$F$67,4,0)</f>
        <v>203703</v>
      </c>
      <c r="L5263" s="912">
        <f>H5263*K5263</f>
        <v>4061837.8200000003</v>
      </c>
      <c r="M5263" s="912"/>
      <c r="N5263" s="912"/>
      <c r="O5263" s="892">
        <f t="shared" si="328"/>
        <v>0</v>
      </c>
      <c r="P5263" s="903">
        <f t="shared" si="329"/>
        <v>1</v>
      </c>
      <c r="Q5263" s="893">
        <f t="shared" si="330"/>
        <v>1</v>
      </c>
      <c r="R5263" s="894">
        <f t="shared" si="331"/>
        <v>0</v>
      </c>
    </row>
    <row r="5264" spans="1:18" s="847" customFormat="1">
      <c r="A5264" s="905"/>
      <c r="B5264" s="914" t="s">
        <v>1541</v>
      </c>
      <c r="C5264" s="915"/>
      <c r="D5264" s="915"/>
      <c r="E5264" s="916" t="s">
        <v>5728</v>
      </c>
      <c r="F5264" s="917" t="s">
        <v>43</v>
      </c>
      <c r="G5264" s="918"/>
      <c r="H5264" s="919"/>
      <c r="I5264" s="920"/>
      <c r="J5264" s="891">
        <f>SUM(J5265:J5272)</f>
        <v>6296510</v>
      </c>
      <c r="K5264" s="891"/>
      <c r="L5264" s="891">
        <f>SUM(L5265:L5272)</f>
        <v>4334799.84</v>
      </c>
      <c r="M5264" s="891"/>
      <c r="N5264" s="891">
        <f>SUM(N5265:N5272)</f>
        <v>0</v>
      </c>
      <c r="O5264" s="892">
        <f t="shared" si="328"/>
        <v>1</v>
      </c>
      <c r="P5264" s="903">
        <f t="shared" si="329"/>
        <v>0</v>
      </c>
      <c r="Q5264" s="893">
        <f t="shared" si="330"/>
        <v>0</v>
      </c>
      <c r="R5264" s="894">
        <f t="shared" si="331"/>
        <v>8</v>
      </c>
    </row>
    <row r="5265" spans="1:18" s="904" customFormat="1">
      <c r="A5265" s="895"/>
      <c r="B5265" s="896"/>
      <c r="C5265" s="897"/>
      <c r="D5265" s="897"/>
      <c r="E5265" s="898" t="s">
        <v>108</v>
      </c>
      <c r="F5265" s="899"/>
      <c r="G5265" s="900"/>
      <c r="H5265" s="901"/>
      <c r="I5265" s="902"/>
      <c r="J5265" s="902"/>
      <c r="K5265" s="912" t="s">
        <v>274</v>
      </c>
      <c r="L5265" s="902"/>
      <c r="M5265" s="902"/>
      <c r="N5265" s="902"/>
      <c r="O5265" s="892">
        <f t="shared" si="328"/>
        <v>0</v>
      </c>
      <c r="P5265" s="903">
        <f t="shared" si="329"/>
        <v>1</v>
      </c>
      <c r="Q5265" s="893">
        <f t="shared" si="330"/>
        <v>8</v>
      </c>
      <c r="R5265" s="894">
        <f t="shared" si="331"/>
        <v>0</v>
      </c>
    </row>
    <row r="5266" spans="1:18">
      <c r="A5266" s="905"/>
      <c r="B5266" s="906"/>
      <c r="C5266" s="907">
        <v>10</v>
      </c>
      <c r="D5266" s="907" t="s">
        <v>279</v>
      </c>
      <c r="E5266" s="925" t="s">
        <v>3231</v>
      </c>
      <c r="F5266" s="909" t="s">
        <v>47</v>
      </c>
      <c r="G5266" s="989"/>
      <c r="H5266" s="911">
        <v>100.5</v>
      </c>
      <c r="I5266" s="912">
        <f>VLOOKUP(E5266,[3]VLP!$B$7:$K$300,10,0)</f>
        <v>56400</v>
      </c>
      <c r="J5266" s="912">
        <f>I5266*H5266</f>
        <v>5668200</v>
      </c>
      <c r="K5266" s="912" t="s">
        <v>274</v>
      </c>
      <c r="L5266" s="912"/>
      <c r="M5266" s="912"/>
      <c r="N5266" s="912"/>
      <c r="O5266" s="892">
        <f t="shared" si="328"/>
        <v>0</v>
      </c>
      <c r="P5266" s="903">
        <f t="shared" si="329"/>
        <v>1</v>
      </c>
      <c r="Q5266" s="893">
        <f t="shared" si="330"/>
        <v>7</v>
      </c>
      <c r="R5266" s="894">
        <f t="shared" si="331"/>
        <v>0</v>
      </c>
    </row>
    <row r="5267" spans="1:18">
      <c r="A5267" s="905"/>
      <c r="B5267" s="906"/>
      <c r="C5267" s="907">
        <v>84</v>
      </c>
      <c r="D5267" s="907" t="s">
        <v>279</v>
      </c>
      <c r="E5267" s="925" t="s">
        <v>3215</v>
      </c>
      <c r="F5267" s="909" t="s">
        <v>51</v>
      </c>
      <c r="G5267" s="989"/>
      <c r="H5267" s="911">
        <v>12</v>
      </c>
      <c r="I5267" s="912">
        <f>VLOOKUP(E5267,[3]VLP!$B$7:$K$300,10,0)</f>
        <v>51300</v>
      </c>
      <c r="J5267" s="912">
        <f>I5267*H5267</f>
        <v>615600</v>
      </c>
      <c r="K5267" s="912" t="s">
        <v>274</v>
      </c>
      <c r="L5267" s="912"/>
      <c r="M5267" s="912"/>
      <c r="N5267" s="912"/>
      <c r="O5267" s="892">
        <f t="shared" si="328"/>
        <v>0</v>
      </c>
      <c r="P5267" s="903">
        <f t="shared" si="329"/>
        <v>1</v>
      </c>
      <c r="Q5267" s="893">
        <f t="shared" si="330"/>
        <v>6</v>
      </c>
      <c r="R5267" s="894">
        <f t="shared" si="331"/>
        <v>0</v>
      </c>
    </row>
    <row r="5268" spans="1:18">
      <c r="A5268" s="905"/>
      <c r="B5268" s="906"/>
      <c r="C5268" s="907">
        <v>44</v>
      </c>
      <c r="D5268" s="907" t="s">
        <v>279</v>
      </c>
      <c r="E5268" s="925" t="s">
        <v>2681</v>
      </c>
      <c r="F5268" s="926" t="s">
        <v>45</v>
      </c>
      <c r="G5268" s="910"/>
      <c r="H5268" s="911">
        <v>0.12</v>
      </c>
      <c r="I5268" s="912">
        <f>VLOOKUP(E5268,[3]VLP!$B$7:$K$300,10,0)</f>
        <v>23000</v>
      </c>
      <c r="J5268" s="912">
        <f>I5268*H5268</f>
        <v>2760</v>
      </c>
      <c r="K5268" s="912" t="s">
        <v>274</v>
      </c>
      <c r="L5268" s="912"/>
      <c r="M5268" s="912"/>
      <c r="N5268" s="912"/>
      <c r="O5268" s="892">
        <f t="shared" si="328"/>
        <v>0</v>
      </c>
      <c r="P5268" s="903">
        <f t="shared" si="329"/>
        <v>1</v>
      </c>
      <c r="Q5268" s="893">
        <f t="shared" si="330"/>
        <v>5</v>
      </c>
      <c r="R5268" s="894">
        <f t="shared" si="331"/>
        <v>0</v>
      </c>
    </row>
    <row r="5269" spans="1:18">
      <c r="A5269" s="905"/>
      <c r="B5269" s="906"/>
      <c r="C5269" s="907">
        <v>92</v>
      </c>
      <c r="D5269" s="907" t="s">
        <v>279</v>
      </c>
      <c r="E5269" s="925" t="s">
        <v>5712</v>
      </c>
      <c r="F5269" s="926" t="s">
        <v>45</v>
      </c>
      <c r="G5269" s="910"/>
      <c r="H5269" s="911">
        <v>0.22</v>
      </c>
      <c r="I5269" s="912">
        <f>VLOOKUP(E5269,[3]VLP!$B$7:$K$300,10,0)</f>
        <v>45000</v>
      </c>
      <c r="J5269" s="912">
        <f>I5269*H5269</f>
        <v>9900</v>
      </c>
      <c r="K5269" s="912" t="s">
        <v>274</v>
      </c>
      <c r="L5269" s="912"/>
      <c r="M5269" s="912"/>
      <c r="N5269" s="912"/>
      <c r="O5269" s="892">
        <f t="shared" si="328"/>
        <v>0</v>
      </c>
      <c r="P5269" s="903">
        <f t="shared" si="329"/>
        <v>1</v>
      </c>
      <c r="Q5269" s="893">
        <f t="shared" si="330"/>
        <v>4</v>
      </c>
      <c r="R5269" s="894">
        <f t="shared" si="331"/>
        <v>0</v>
      </c>
    </row>
    <row r="5270" spans="1:18">
      <c r="A5270" s="905"/>
      <c r="B5270" s="906"/>
      <c r="C5270" s="907">
        <v>699</v>
      </c>
      <c r="D5270" s="907" t="s">
        <v>279</v>
      </c>
      <c r="E5270" s="925" t="s">
        <v>4006</v>
      </c>
      <c r="F5270" s="926" t="s">
        <v>4007</v>
      </c>
      <c r="G5270" s="910"/>
      <c r="H5270" s="911">
        <v>0.01</v>
      </c>
      <c r="I5270" s="912">
        <f>VLOOKUP(E5270,[3]VLP!$B$7:$K$300,10,0)</f>
        <v>5000</v>
      </c>
      <c r="J5270" s="912">
        <f>I5270*H5270</f>
        <v>50</v>
      </c>
      <c r="K5270" s="912" t="s">
        <v>274</v>
      </c>
      <c r="L5270" s="912"/>
      <c r="M5270" s="912"/>
      <c r="N5270" s="912"/>
      <c r="O5270" s="892">
        <f t="shared" si="328"/>
        <v>0</v>
      </c>
      <c r="P5270" s="903">
        <f t="shared" si="329"/>
        <v>1</v>
      </c>
      <c r="Q5270" s="893">
        <f t="shared" si="330"/>
        <v>3</v>
      </c>
      <c r="R5270" s="894">
        <f t="shared" si="331"/>
        <v>0</v>
      </c>
    </row>
    <row r="5271" spans="1:18" s="904" customFormat="1">
      <c r="A5271" s="895"/>
      <c r="B5271" s="896"/>
      <c r="C5271" s="897"/>
      <c r="D5271" s="897"/>
      <c r="E5271" s="924" t="s">
        <v>276</v>
      </c>
      <c r="F5271" s="927"/>
      <c r="G5271" s="928"/>
      <c r="H5271" s="901"/>
      <c r="I5271" s="902"/>
      <c r="J5271" s="902"/>
      <c r="K5271" s="912" t="s">
        <v>274</v>
      </c>
      <c r="L5271" s="902"/>
      <c r="M5271" s="902"/>
      <c r="N5271" s="902"/>
      <c r="O5271" s="892">
        <f t="shared" si="328"/>
        <v>0</v>
      </c>
      <c r="P5271" s="903">
        <f t="shared" si="329"/>
        <v>1</v>
      </c>
      <c r="Q5271" s="893">
        <f t="shared" si="330"/>
        <v>2</v>
      </c>
      <c r="R5271" s="894">
        <f t="shared" si="331"/>
        <v>0</v>
      </c>
    </row>
    <row r="5272" spans="1:18">
      <c r="A5272" s="905"/>
      <c r="B5272" s="914"/>
      <c r="C5272" s="907">
        <v>735</v>
      </c>
      <c r="D5272" s="907" t="s">
        <v>12</v>
      </c>
      <c r="E5272" s="908" t="s">
        <v>4065</v>
      </c>
      <c r="F5272" s="909" t="s">
        <v>2674</v>
      </c>
      <c r="G5272" s="910"/>
      <c r="H5272" s="911">
        <v>21.28</v>
      </c>
      <c r="I5272" s="912"/>
      <c r="J5272" s="912"/>
      <c r="K5272" s="912">
        <f>VLOOKUP(E5272,[5]ĐMNC!$A$7:$F$67,4,0)</f>
        <v>203703</v>
      </c>
      <c r="L5272" s="912">
        <f>H5272*K5272</f>
        <v>4334799.84</v>
      </c>
      <c r="M5272" s="912"/>
      <c r="N5272" s="912"/>
      <c r="O5272" s="892">
        <f t="shared" si="328"/>
        <v>0</v>
      </c>
      <c r="P5272" s="903">
        <f t="shared" si="329"/>
        <v>1</v>
      </c>
      <c r="Q5272" s="893">
        <f t="shared" si="330"/>
        <v>1</v>
      </c>
      <c r="R5272" s="894">
        <f t="shared" si="331"/>
        <v>0</v>
      </c>
    </row>
    <row r="5273" spans="1:18" s="847" customFormat="1">
      <c r="A5273" s="905"/>
      <c r="B5273" s="914" t="s">
        <v>1543</v>
      </c>
      <c r="C5273" s="915"/>
      <c r="D5273" s="915"/>
      <c r="E5273" s="916" t="s">
        <v>5729</v>
      </c>
      <c r="F5273" s="917" t="s">
        <v>43</v>
      </c>
      <c r="G5273" s="918"/>
      <c r="H5273" s="919"/>
      <c r="I5273" s="920"/>
      <c r="J5273" s="891">
        <f>SUM(J5274:J5281)</f>
        <v>7714736</v>
      </c>
      <c r="K5273" s="891"/>
      <c r="L5273" s="891">
        <f>SUM(L5274:L5281)</f>
        <v>4768687.2300000004</v>
      </c>
      <c r="M5273" s="891"/>
      <c r="N5273" s="891">
        <f>SUM(N5274:N5281)</f>
        <v>0</v>
      </c>
      <c r="O5273" s="892">
        <f t="shared" si="328"/>
        <v>1</v>
      </c>
      <c r="P5273" s="903">
        <f t="shared" si="329"/>
        <v>0</v>
      </c>
      <c r="Q5273" s="893">
        <f t="shared" si="330"/>
        <v>0</v>
      </c>
      <c r="R5273" s="894">
        <f t="shared" si="331"/>
        <v>8</v>
      </c>
    </row>
    <row r="5274" spans="1:18" s="904" customFormat="1">
      <c r="A5274" s="895"/>
      <c r="B5274" s="896"/>
      <c r="C5274" s="897"/>
      <c r="D5274" s="897"/>
      <c r="E5274" s="898" t="s">
        <v>108</v>
      </c>
      <c r="F5274" s="899"/>
      <c r="G5274" s="900"/>
      <c r="H5274" s="901"/>
      <c r="I5274" s="902"/>
      <c r="J5274" s="902"/>
      <c r="K5274" s="912" t="s">
        <v>274</v>
      </c>
      <c r="L5274" s="902"/>
      <c r="M5274" s="902"/>
      <c r="N5274" s="902"/>
      <c r="O5274" s="892">
        <f t="shared" si="328"/>
        <v>0</v>
      </c>
      <c r="P5274" s="903">
        <f t="shared" si="329"/>
        <v>1</v>
      </c>
      <c r="Q5274" s="893">
        <f t="shared" si="330"/>
        <v>8</v>
      </c>
      <c r="R5274" s="894">
        <f t="shared" si="331"/>
        <v>0</v>
      </c>
    </row>
    <row r="5275" spans="1:18">
      <c r="A5275" s="905"/>
      <c r="B5275" s="906"/>
      <c r="C5275" s="907">
        <v>11</v>
      </c>
      <c r="D5275" s="907" t="s">
        <v>279</v>
      </c>
      <c r="E5275" s="925" t="s">
        <v>3232</v>
      </c>
      <c r="F5275" s="909" t="s">
        <v>47</v>
      </c>
      <c r="G5275" s="989"/>
      <c r="H5275" s="911">
        <v>100.5</v>
      </c>
      <c r="I5275" s="912">
        <f>VLOOKUP(E5275,[3]VLP!$B$7:$K$300,10,0)</f>
        <v>70500</v>
      </c>
      <c r="J5275" s="912">
        <f>I5275*H5275</f>
        <v>7085250</v>
      </c>
      <c r="K5275" s="912" t="s">
        <v>274</v>
      </c>
      <c r="L5275" s="912"/>
      <c r="M5275" s="912"/>
      <c r="N5275" s="912"/>
      <c r="O5275" s="892">
        <f t="shared" si="328"/>
        <v>0</v>
      </c>
      <c r="P5275" s="903">
        <f t="shared" si="329"/>
        <v>1</v>
      </c>
      <c r="Q5275" s="893">
        <f t="shared" si="330"/>
        <v>7</v>
      </c>
      <c r="R5275" s="894">
        <f t="shared" si="331"/>
        <v>0</v>
      </c>
    </row>
    <row r="5276" spans="1:18">
      <c r="A5276" s="905"/>
      <c r="B5276" s="906"/>
      <c r="C5276" s="907">
        <v>85</v>
      </c>
      <c r="D5276" s="907" t="s">
        <v>279</v>
      </c>
      <c r="E5276" s="925" t="s">
        <v>3216</v>
      </c>
      <c r="F5276" s="909" t="s">
        <v>51</v>
      </c>
      <c r="G5276" s="989"/>
      <c r="H5276" s="911">
        <v>12</v>
      </c>
      <c r="I5276" s="912">
        <f>VLOOKUP(E5276,[3]VLP!$B$7:$K$300,10,0)</f>
        <v>51300</v>
      </c>
      <c r="J5276" s="912">
        <f>I5276*H5276</f>
        <v>615600</v>
      </c>
      <c r="K5276" s="912" t="s">
        <v>274</v>
      </c>
      <c r="L5276" s="912"/>
      <c r="M5276" s="912"/>
      <c r="N5276" s="912"/>
      <c r="O5276" s="892">
        <f t="shared" si="328"/>
        <v>0</v>
      </c>
      <c r="P5276" s="903">
        <f t="shared" si="329"/>
        <v>1</v>
      </c>
      <c r="Q5276" s="893">
        <f t="shared" si="330"/>
        <v>6</v>
      </c>
      <c r="R5276" s="894">
        <f t="shared" si="331"/>
        <v>0</v>
      </c>
    </row>
    <row r="5277" spans="1:18">
      <c r="A5277" s="905"/>
      <c r="B5277" s="906"/>
      <c r="C5277" s="907">
        <v>44</v>
      </c>
      <c r="D5277" s="907" t="s">
        <v>279</v>
      </c>
      <c r="E5277" s="925" t="s">
        <v>2681</v>
      </c>
      <c r="F5277" s="926" t="s">
        <v>45</v>
      </c>
      <c r="G5277" s="910"/>
      <c r="H5277" s="911">
        <v>0.13200000000000001</v>
      </c>
      <c r="I5277" s="912">
        <f>VLOOKUP(E5277,[3]VLP!$B$7:$K$300,10,0)</f>
        <v>23000</v>
      </c>
      <c r="J5277" s="912">
        <f>I5277*H5277</f>
        <v>3036</v>
      </c>
      <c r="K5277" s="912" t="s">
        <v>274</v>
      </c>
      <c r="L5277" s="912"/>
      <c r="M5277" s="912"/>
      <c r="N5277" s="912"/>
      <c r="O5277" s="892">
        <f t="shared" si="328"/>
        <v>0</v>
      </c>
      <c r="P5277" s="903">
        <f t="shared" si="329"/>
        <v>1</v>
      </c>
      <c r="Q5277" s="893">
        <f t="shared" si="330"/>
        <v>5</v>
      </c>
      <c r="R5277" s="894">
        <f t="shared" si="331"/>
        <v>0</v>
      </c>
    </row>
    <row r="5278" spans="1:18">
      <c r="A5278" s="905"/>
      <c r="B5278" s="906"/>
      <c r="C5278" s="907">
        <v>92</v>
      </c>
      <c r="D5278" s="907" t="s">
        <v>279</v>
      </c>
      <c r="E5278" s="925" t="s">
        <v>5712</v>
      </c>
      <c r="F5278" s="926" t="s">
        <v>45</v>
      </c>
      <c r="G5278" s="910"/>
      <c r="H5278" s="911">
        <v>0.24</v>
      </c>
      <c r="I5278" s="912">
        <f>VLOOKUP(E5278,[3]VLP!$B$7:$K$300,10,0)</f>
        <v>45000</v>
      </c>
      <c r="J5278" s="912">
        <f>I5278*H5278</f>
        <v>10800</v>
      </c>
      <c r="K5278" s="912" t="s">
        <v>274</v>
      </c>
      <c r="L5278" s="912"/>
      <c r="M5278" s="912"/>
      <c r="N5278" s="912"/>
      <c r="O5278" s="892">
        <f t="shared" si="328"/>
        <v>0</v>
      </c>
      <c r="P5278" s="903">
        <f t="shared" si="329"/>
        <v>1</v>
      </c>
      <c r="Q5278" s="893">
        <f t="shared" si="330"/>
        <v>4</v>
      </c>
      <c r="R5278" s="894">
        <f t="shared" si="331"/>
        <v>0</v>
      </c>
    </row>
    <row r="5279" spans="1:18">
      <c r="A5279" s="905"/>
      <c r="B5279" s="906"/>
      <c r="C5279" s="907">
        <v>699</v>
      </c>
      <c r="D5279" s="907" t="s">
        <v>279</v>
      </c>
      <c r="E5279" s="925" t="s">
        <v>4006</v>
      </c>
      <c r="F5279" s="926" t="s">
        <v>4007</v>
      </c>
      <c r="G5279" s="910"/>
      <c r="H5279" s="911">
        <v>0.01</v>
      </c>
      <c r="I5279" s="912">
        <f>VLOOKUP(E5279,[3]VLP!$B$7:$K$300,10,0)</f>
        <v>5000</v>
      </c>
      <c r="J5279" s="912">
        <f>I5279*H5279</f>
        <v>50</v>
      </c>
      <c r="K5279" s="912" t="s">
        <v>274</v>
      </c>
      <c r="L5279" s="912"/>
      <c r="M5279" s="912"/>
      <c r="N5279" s="912"/>
      <c r="O5279" s="892">
        <f t="shared" ref="O5279:O5342" si="332">IF(AND(B5279&lt;&gt;"",D5279=""),1,0)</f>
        <v>0</v>
      </c>
      <c r="P5279" s="903">
        <f t="shared" si="329"/>
        <v>1</v>
      </c>
      <c r="Q5279" s="893">
        <f t="shared" si="330"/>
        <v>3</v>
      </c>
      <c r="R5279" s="894">
        <f t="shared" si="331"/>
        <v>0</v>
      </c>
    </row>
    <row r="5280" spans="1:18" s="904" customFormat="1">
      <c r="A5280" s="895"/>
      <c r="B5280" s="896"/>
      <c r="C5280" s="897"/>
      <c r="D5280" s="897"/>
      <c r="E5280" s="924" t="s">
        <v>276</v>
      </c>
      <c r="F5280" s="927"/>
      <c r="G5280" s="928"/>
      <c r="H5280" s="901"/>
      <c r="I5280" s="902"/>
      <c r="J5280" s="902"/>
      <c r="K5280" s="912" t="s">
        <v>274</v>
      </c>
      <c r="L5280" s="902"/>
      <c r="M5280" s="902"/>
      <c r="N5280" s="902"/>
      <c r="O5280" s="892">
        <f t="shared" si="332"/>
        <v>0</v>
      </c>
      <c r="P5280" s="903">
        <f t="shared" si="329"/>
        <v>1</v>
      </c>
      <c r="Q5280" s="893">
        <f t="shared" si="330"/>
        <v>2</v>
      </c>
      <c r="R5280" s="894">
        <f t="shared" si="331"/>
        <v>0</v>
      </c>
    </row>
    <row r="5281" spans="1:18">
      <c r="A5281" s="905"/>
      <c r="B5281" s="906"/>
      <c r="C5281" s="907">
        <v>735</v>
      </c>
      <c r="D5281" s="907" t="s">
        <v>12</v>
      </c>
      <c r="E5281" s="908" t="s">
        <v>4065</v>
      </c>
      <c r="F5281" s="909" t="s">
        <v>2674</v>
      </c>
      <c r="G5281" s="910"/>
      <c r="H5281" s="911">
        <v>23.41</v>
      </c>
      <c r="I5281" s="912"/>
      <c r="J5281" s="912"/>
      <c r="K5281" s="912">
        <f>VLOOKUP(E5281,[5]ĐMNC!$A$7:$F$67,4,0)</f>
        <v>203703</v>
      </c>
      <c r="L5281" s="912">
        <f>H5281*K5281</f>
        <v>4768687.2300000004</v>
      </c>
      <c r="M5281" s="912"/>
      <c r="N5281" s="912"/>
      <c r="O5281" s="892">
        <f t="shared" si="332"/>
        <v>0</v>
      </c>
      <c r="P5281" s="903">
        <f t="shared" si="329"/>
        <v>1</v>
      </c>
      <c r="Q5281" s="893">
        <f t="shared" si="330"/>
        <v>1</v>
      </c>
      <c r="R5281" s="894">
        <f t="shared" si="331"/>
        <v>0</v>
      </c>
    </row>
    <row r="5282" spans="1:18" s="847" customFormat="1">
      <c r="A5282" s="905"/>
      <c r="B5282" s="914" t="s">
        <v>1545</v>
      </c>
      <c r="C5282" s="915"/>
      <c r="D5282" s="915"/>
      <c r="E5282" s="916" t="s">
        <v>5730</v>
      </c>
      <c r="F5282" s="917" t="s">
        <v>43</v>
      </c>
      <c r="G5282" s="918"/>
      <c r="H5282" s="919"/>
      <c r="I5282" s="920"/>
      <c r="J5282" s="891">
        <f>SUM(J5283:J5290)</f>
        <v>12002090</v>
      </c>
      <c r="K5282" s="891"/>
      <c r="L5282" s="891">
        <f>SUM(L5283:L5290)</f>
        <v>5852387.1900000004</v>
      </c>
      <c r="M5282" s="891"/>
      <c r="N5282" s="891">
        <f>SUM(N5283:N5290)</f>
        <v>0</v>
      </c>
      <c r="O5282" s="892">
        <f t="shared" si="332"/>
        <v>1</v>
      </c>
      <c r="P5282" s="903">
        <f t="shared" si="329"/>
        <v>0</v>
      </c>
      <c r="Q5282" s="893">
        <f t="shared" si="330"/>
        <v>0</v>
      </c>
      <c r="R5282" s="894">
        <f t="shared" si="331"/>
        <v>8</v>
      </c>
    </row>
    <row r="5283" spans="1:18" s="904" customFormat="1">
      <c r="A5283" s="895"/>
      <c r="B5283" s="896"/>
      <c r="C5283" s="897"/>
      <c r="D5283" s="897"/>
      <c r="E5283" s="898" t="s">
        <v>108</v>
      </c>
      <c r="F5283" s="899"/>
      <c r="G5283" s="900"/>
      <c r="H5283" s="901"/>
      <c r="I5283" s="902"/>
      <c r="J5283" s="902"/>
      <c r="K5283" s="912" t="s">
        <v>274</v>
      </c>
      <c r="L5283" s="902"/>
      <c r="M5283" s="902"/>
      <c r="N5283" s="902"/>
      <c r="O5283" s="892">
        <f t="shared" si="332"/>
        <v>0</v>
      </c>
      <c r="P5283" s="903">
        <f t="shared" si="329"/>
        <v>1</v>
      </c>
      <c r="Q5283" s="893">
        <f t="shared" si="330"/>
        <v>8</v>
      </c>
      <c r="R5283" s="894">
        <f t="shared" si="331"/>
        <v>0</v>
      </c>
    </row>
    <row r="5284" spans="1:18">
      <c r="A5284" s="905"/>
      <c r="B5284" s="906"/>
      <c r="C5284" s="907">
        <v>12</v>
      </c>
      <c r="D5284" s="907" t="s">
        <v>279</v>
      </c>
      <c r="E5284" s="925" t="s">
        <v>3233</v>
      </c>
      <c r="F5284" s="909" t="s">
        <v>47</v>
      </c>
      <c r="G5284" s="989"/>
      <c r="H5284" s="911">
        <v>100.5</v>
      </c>
      <c r="I5284" s="912">
        <f>VLOOKUP(E5284,[3]VLP!$B$7:$K$300,10,0)</f>
        <v>109300</v>
      </c>
      <c r="J5284" s="912">
        <f>I5284*H5284</f>
        <v>10984650</v>
      </c>
      <c r="K5284" s="912" t="s">
        <v>274</v>
      </c>
      <c r="L5284" s="912"/>
      <c r="M5284" s="912"/>
      <c r="N5284" s="912"/>
      <c r="O5284" s="892">
        <f t="shared" si="332"/>
        <v>0</v>
      </c>
      <c r="P5284" s="903">
        <f t="shared" si="329"/>
        <v>1</v>
      </c>
      <c r="Q5284" s="893">
        <f t="shared" si="330"/>
        <v>7</v>
      </c>
      <c r="R5284" s="894">
        <f t="shared" si="331"/>
        <v>0</v>
      </c>
    </row>
    <row r="5285" spans="1:18">
      <c r="A5285" s="905"/>
      <c r="B5285" s="906"/>
      <c r="C5285" s="907">
        <v>86</v>
      </c>
      <c r="D5285" s="907" t="s">
        <v>279</v>
      </c>
      <c r="E5285" s="925" t="s">
        <v>3217</v>
      </c>
      <c r="F5285" s="909" t="s">
        <v>51</v>
      </c>
      <c r="G5285" s="989"/>
      <c r="H5285" s="911">
        <v>12</v>
      </c>
      <c r="I5285" s="912">
        <f>VLOOKUP(E5285,[3]VLP!$B$7:$K$300,10,0)</f>
        <v>83200</v>
      </c>
      <c r="J5285" s="912">
        <f>I5285*H5285</f>
        <v>998400</v>
      </c>
      <c r="K5285" s="912" t="s">
        <v>274</v>
      </c>
      <c r="L5285" s="912"/>
      <c r="M5285" s="912"/>
      <c r="N5285" s="912"/>
      <c r="O5285" s="892">
        <f t="shared" si="332"/>
        <v>0</v>
      </c>
      <c r="P5285" s="903">
        <f t="shared" si="329"/>
        <v>1</v>
      </c>
      <c r="Q5285" s="893">
        <f t="shared" si="330"/>
        <v>6</v>
      </c>
      <c r="R5285" s="894">
        <f t="shared" si="331"/>
        <v>0</v>
      </c>
    </row>
    <row r="5286" spans="1:18">
      <c r="A5286" s="905"/>
      <c r="B5286" s="906"/>
      <c r="C5286" s="907">
        <v>44</v>
      </c>
      <c r="D5286" s="907" t="s">
        <v>279</v>
      </c>
      <c r="E5286" s="925" t="s">
        <v>2681</v>
      </c>
      <c r="F5286" s="926" t="s">
        <v>45</v>
      </c>
      <c r="G5286" s="910"/>
      <c r="H5286" s="911">
        <v>0.18</v>
      </c>
      <c r="I5286" s="912">
        <f>VLOOKUP(E5286,[3]VLP!$B$7:$K$300,10,0)</f>
        <v>23000</v>
      </c>
      <c r="J5286" s="912">
        <f>I5286*H5286</f>
        <v>4140</v>
      </c>
      <c r="K5286" s="912" t="s">
        <v>274</v>
      </c>
      <c r="L5286" s="912"/>
      <c r="M5286" s="912"/>
      <c r="N5286" s="912"/>
      <c r="O5286" s="892">
        <f t="shared" si="332"/>
        <v>0</v>
      </c>
      <c r="P5286" s="903">
        <f t="shared" si="329"/>
        <v>1</v>
      </c>
      <c r="Q5286" s="893">
        <f t="shared" si="330"/>
        <v>5</v>
      </c>
      <c r="R5286" s="894">
        <f t="shared" si="331"/>
        <v>0</v>
      </c>
    </row>
    <row r="5287" spans="1:18">
      <c r="A5287" s="905"/>
      <c r="B5287" s="906"/>
      <c r="C5287" s="907">
        <v>92</v>
      </c>
      <c r="D5287" s="907" t="s">
        <v>279</v>
      </c>
      <c r="E5287" s="925" t="s">
        <v>5712</v>
      </c>
      <c r="F5287" s="926" t="s">
        <v>45</v>
      </c>
      <c r="G5287" s="910"/>
      <c r="H5287" s="911">
        <v>0.33</v>
      </c>
      <c r="I5287" s="912">
        <f>VLOOKUP(E5287,[3]VLP!$B$7:$K$300,10,0)</f>
        <v>45000</v>
      </c>
      <c r="J5287" s="912">
        <f>I5287*H5287</f>
        <v>14850</v>
      </c>
      <c r="K5287" s="912" t="s">
        <v>274</v>
      </c>
      <c r="L5287" s="912"/>
      <c r="M5287" s="912"/>
      <c r="N5287" s="912"/>
      <c r="O5287" s="892">
        <f t="shared" si="332"/>
        <v>0</v>
      </c>
      <c r="P5287" s="903">
        <f t="shared" si="329"/>
        <v>1</v>
      </c>
      <c r="Q5287" s="893">
        <f t="shared" si="330"/>
        <v>4</v>
      </c>
      <c r="R5287" s="894">
        <f t="shared" si="331"/>
        <v>0</v>
      </c>
    </row>
    <row r="5288" spans="1:18">
      <c r="A5288" s="905"/>
      <c r="B5288" s="906"/>
      <c r="C5288" s="907">
        <v>699</v>
      </c>
      <c r="D5288" s="907" t="s">
        <v>279</v>
      </c>
      <c r="E5288" s="925" t="s">
        <v>4006</v>
      </c>
      <c r="F5288" s="926" t="s">
        <v>4007</v>
      </c>
      <c r="G5288" s="910"/>
      <c r="H5288" s="911">
        <v>0.01</v>
      </c>
      <c r="I5288" s="912">
        <f>VLOOKUP(E5288,[3]VLP!$B$7:$K$300,10,0)</f>
        <v>5000</v>
      </c>
      <c r="J5288" s="912">
        <f>I5288*H5288</f>
        <v>50</v>
      </c>
      <c r="K5288" s="912" t="s">
        <v>274</v>
      </c>
      <c r="L5288" s="912"/>
      <c r="M5288" s="912"/>
      <c r="N5288" s="912"/>
      <c r="O5288" s="892">
        <f t="shared" si="332"/>
        <v>0</v>
      </c>
      <c r="P5288" s="903">
        <f t="shared" ref="P5288:P5351" si="333">IF(O5288=0,1,0)</f>
        <v>1</v>
      </c>
      <c r="Q5288" s="893">
        <f t="shared" ref="Q5288:Q5351" si="334">IF(P5288=0,0,P5288+Q5289)</f>
        <v>3</v>
      </c>
      <c r="R5288" s="894">
        <f t="shared" ref="R5288:R5351" si="335">IF(Q5288=0,Q5289,0)</f>
        <v>0</v>
      </c>
    </row>
    <row r="5289" spans="1:18" s="904" customFormat="1">
      <c r="A5289" s="895"/>
      <c r="B5289" s="896"/>
      <c r="C5289" s="897"/>
      <c r="D5289" s="897"/>
      <c r="E5289" s="924" t="s">
        <v>276</v>
      </c>
      <c r="F5289" s="927"/>
      <c r="G5289" s="928"/>
      <c r="H5289" s="901"/>
      <c r="I5289" s="902"/>
      <c r="J5289" s="902"/>
      <c r="K5289" s="912" t="s">
        <v>274</v>
      </c>
      <c r="L5289" s="902"/>
      <c r="M5289" s="902"/>
      <c r="N5289" s="902"/>
      <c r="O5289" s="892">
        <f t="shared" si="332"/>
        <v>0</v>
      </c>
      <c r="P5289" s="903">
        <f t="shared" si="333"/>
        <v>1</v>
      </c>
      <c r="Q5289" s="893">
        <f t="shared" si="334"/>
        <v>2</v>
      </c>
      <c r="R5289" s="894">
        <f t="shared" si="335"/>
        <v>0</v>
      </c>
    </row>
    <row r="5290" spans="1:18">
      <c r="A5290" s="905"/>
      <c r="B5290" s="906"/>
      <c r="C5290" s="907">
        <v>735</v>
      </c>
      <c r="D5290" s="907" t="s">
        <v>12</v>
      </c>
      <c r="E5290" s="908" t="s">
        <v>4065</v>
      </c>
      <c r="F5290" s="909" t="s">
        <v>2674</v>
      </c>
      <c r="G5290" s="910"/>
      <c r="H5290" s="911">
        <v>28.73</v>
      </c>
      <c r="I5290" s="912"/>
      <c r="J5290" s="912"/>
      <c r="K5290" s="912">
        <f>VLOOKUP(E5290,[5]ĐMNC!$A$7:$F$67,4,0)</f>
        <v>203703</v>
      </c>
      <c r="L5290" s="912">
        <f>H5290*K5290</f>
        <v>5852387.1900000004</v>
      </c>
      <c r="M5290" s="912"/>
      <c r="N5290" s="912"/>
      <c r="O5290" s="892">
        <f t="shared" si="332"/>
        <v>0</v>
      </c>
      <c r="P5290" s="903">
        <f t="shared" si="333"/>
        <v>1</v>
      </c>
      <c r="Q5290" s="893">
        <f t="shared" si="334"/>
        <v>1</v>
      </c>
      <c r="R5290" s="894">
        <f t="shared" si="335"/>
        <v>0</v>
      </c>
    </row>
    <row r="5291" spans="1:18" s="847" customFormat="1">
      <c r="A5291" s="905"/>
      <c r="B5291" s="914" t="s">
        <v>1547</v>
      </c>
      <c r="C5291" s="915"/>
      <c r="D5291" s="915"/>
      <c r="E5291" s="916" t="s">
        <v>5731</v>
      </c>
      <c r="F5291" s="917" t="s">
        <v>43</v>
      </c>
      <c r="G5291" s="918"/>
      <c r="H5291" s="919"/>
      <c r="I5291" s="920"/>
      <c r="J5291" s="891">
        <f>SUM(J5292:J5299)</f>
        <v>27646070</v>
      </c>
      <c r="K5291" s="891"/>
      <c r="L5291" s="891">
        <f>SUM(L5292:L5299)</f>
        <v>7803861.9300000006</v>
      </c>
      <c r="M5291" s="891"/>
      <c r="N5291" s="891">
        <f>SUM(N5292:N5299)</f>
        <v>0</v>
      </c>
      <c r="O5291" s="892">
        <f t="shared" si="332"/>
        <v>1</v>
      </c>
      <c r="P5291" s="903">
        <f t="shared" si="333"/>
        <v>0</v>
      </c>
      <c r="Q5291" s="893">
        <f t="shared" si="334"/>
        <v>0</v>
      </c>
      <c r="R5291" s="894">
        <f t="shared" si="335"/>
        <v>8</v>
      </c>
    </row>
    <row r="5292" spans="1:18" s="904" customFormat="1">
      <c r="A5292" s="895"/>
      <c r="B5292" s="896"/>
      <c r="C5292" s="897"/>
      <c r="D5292" s="897"/>
      <c r="E5292" s="898" t="s">
        <v>108</v>
      </c>
      <c r="F5292" s="899"/>
      <c r="G5292" s="900"/>
      <c r="H5292" s="901"/>
      <c r="I5292" s="902"/>
      <c r="J5292" s="902"/>
      <c r="K5292" s="912" t="s">
        <v>274</v>
      </c>
      <c r="L5292" s="902"/>
      <c r="M5292" s="902"/>
      <c r="N5292" s="902"/>
      <c r="O5292" s="892">
        <f t="shared" si="332"/>
        <v>0</v>
      </c>
      <c r="P5292" s="903">
        <f t="shared" si="333"/>
        <v>1</v>
      </c>
      <c r="Q5292" s="893">
        <f t="shared" si="334"/>
        <v>8</v>
      </c>
      <c r="R5292" s="894">
        <f t="shared" si="335"/>
        <v>0</v>
      </c>
    </row>
    <row r="5293" spans="1:18">
      <c r="A5293" s="905"/>
      <c r="B5293" s="906"/>
      <c r="C5293" s="907">
        <v>13</v>
      </c>
      <c r="D5293" s="907" t="s">
        <v>279</v>
      </c>
      <c r="E5293" s="925" t="s">
        <v>3234</v>
      </c>
      <c r="F5293" s="909" t="s">
        <v>47</v>
      </c>
      <c r="G5293" s="989"/>
      <c r="H5293" s="911">
        <v>100.5</v>
      </c>
      <c r="I5293" s="912">
        <f>VLOOKUP(E5293,[3]VLP!$B$7:$K$300,10,0)</f>
        <v>259000</v>
      </c>
      <c r="J5293" s="912">
        <f>I5293*H5293</f>
        <v>26029500</v>
      </c>
      <c r="K5293" s="912" t="s">
        <v>274</v>
      </c>
      <c r="L5293" s="912"/>
      <c r="M5293" s="912"/>
      <c r="N5293" s="912"/>
      <c r="O5293" s="892">
        <f t="shared" si="332"/>
        <v>0</v>
      </c>
      <c r="P5293" s="903">
        <f t="shared" si="333"/>
        <v>1</v>
      </c>
      <c r="Q5293" s="893">
        <f t="shared" si="334"/>
        <v>7</v>
      </c>
      <c r="R5293" s="894">
        <f t="shared" si="335"/>
        <v>0</v>
      </c>
    </row>
    <row r="5294" spans="1:18">
      <c r="A5294" s="905"/>
      <c r="B5294" s="906"/>
      <c r="C5294" s="907">
        <v>87</v>
      </c>
      <c r="D5294" s="907" t="s">
        <v>279</v>
      </c>
      <c r="E5294" s="925" t="s">
        <v>3218</v>
      </c>
      <c r="F5294" s="909" t="s">
        <v>51</v>
      </c>
      <c r="G5294" s="989"/>
      <c r="H5294" s="911">
        <v>12</v>
      </c>
      <c r="I5294" s="912">
        <f>VLOOKUP(E5294,[3]VLP!$B$7:$K$300,10,0)</f>
        <v>132600</v>
      </c>
      <c r="J5294" s="912">
        <f>I5294*H5294</f>
        <v>1591200</v>
      </c>
      <c r="K5294" s="912" t="s">
        <v>274</v>
      </c>
      <c r="L5294" s="912"/>
      <c r="M5294" s="912"/>
      <c r="N5294" s="912"/>
      <c r="O5294" s="892">
        <f t="shared" si="332"/>
        <v>0</v>
      </c>
      <c r="P5294" s="903">
        <f t="shared" si="333"/>
        <v>1</v>
      </c>
      <c r="Q5294" s="893">
        <f t="shared" si="334"/>
        <v>6</v>
      </c>
      <c r="R5294" s="894">
        <f t="shared" si="335"/>
        <v>0</v>
      </c>
    </row>
    <row r="5295" spans="1:18">
      <c r="A5295" s="905"/>
      <c r="B5295" s="906"/>
      <c r="C5295" s="907">
        <v>44</v>
      </c>
      <c r="D5295" s="907" t="s">
        <v>279</v>
      </c>
      <c r="E5295" s="925" t="s">
        <v>2681</v>
      </c>
      <c r="F5295" s="926" t="s">
        <v>45</v>
      </c>
      <c r="G5295" s="910"/>
      <c r="H5295" s="911">
        <v>0.24</v>
      </c>
      <c r="I5295" s="912">
        <f>VLOOKUP(E5295,[3]VLP!$B$7:$K$300,10,0)</f>
        <v>23000</v>
      </c>
      <c r="J5295" s="912">
        <f>I5295*H5295</f>
        <v>5520</v>
      </c>
      <c r="K5295" s="912" t="s">
        <v>274</v>
      </c>
      <c r="L5295" s="912"/>
      <c r="M5295" s="912"/>
      <c r="N5295" s="912"/>
      <c r="O5295" s="892">
        <f t="shared" si="332"/>
        <v>0</v>
      </c>
      <c r="P5295" s="903">
        <f t="shared" si="333"/>
        <v>1</v>
      </c>
      <c r="Q5295" s="893">
        <f t="shared" si="334"/>
        <v>5</v>
      </c>
      <c r="R5295" s="894">
        <f t="shared" si="335"/>
        <v>0</v>
      </c>
    </row>
    <row r="5296" spans="1:18">
      <c r="A5296" s="905"/>
      <c r="B5296" s="906"/>
      <c r="C5296" s="907">
        <v>92</v>
      </c>
      <c r="D5296" s="907" t="s">
        <v>279</v>
      </c>
      <c r="E5296" s="925" t="s">
        <v>5712</v>
      </c>
      <c r="F5296" s="926" t="s">
        <v>45</v>
      </c>
      <c r="G5296" s="910"/>
      <c r="H5296" s="911">
        <v>0.44</v>
      </c>
      <c r="I5296" s="912">
        <f>VLOOKUP(E5296,[3]VLP!$B$7:$K$300,10,0)</f>
        <v>45000</v>
      </c>
      <c r="J5296" s="912">
        <f>I5296*H5296</f>
        <v>19800</v>
      </c>
      <c r="K5296" s="912" t="s">
        <v>274</v>
      </c>
      <c r="L5296" s="912"/>
      <c r="M5296" s="912"/>
      <c r="N5296" s="912"/>
      <c r="O5296" s="892">
        <f t="shared" si="332"/>
        <v>0</v>
      </c>
      <c r="P5296" s="903">
        <f t="shared" si="333"/>
        <v>1</v>
      </c>
      <c r="Q5296" s="893">
        <f t="shared" si="334"/>
        <v>4</v>
      </c>
      <c r="R5296" s="894">
        <f t="shared" si="335"/>
        <v>0</v>
      </c>
    </row>
    <row r="5297" spans="1:18">
      <c r="A5297" s="905"/>
      <c r="B5297" s="906"/>
      <c r="C5297" s="907">
        <v>699</v>
      </c>
      <c r="D5297" s="907" t="s">
        <v>279</v>
      </c>
      <c r="E5297" s="925" t="s">
        <v>4006</v>
      </c>
      <c r="F5297" s="926" t="s">
        <v>4007</v>
      </c>
      <c r="G5297" s="910"/>
      <c r="H5297" s="911">
        <v>0.01</v>
      </c>
      <c r="I5297" s="912">
        <f>VLOOKUP(E5297,[3]VLP!$B$7:$K$300,10,0)</f>
        <v>5000</v>
      </c>
      <c r="J5297" s="912">
        <f>I5297*H5297</f>
        <v>50</v>
      </c>
      <c r="K5297" s="912" t="s">
        <v>274</v>
      </c>
      <c r="L5297" s="912"/>
      <c r="M5297" s="912"/>
      <c r="N5297" s="912"/>
      <c r="O5297" s="892">
        <f t="shared" si="332"/>
        <v>0</v>
      </c>
      <c r="P5297" s="903">
        <f t="shared" si="333"/>
        <v>1</v>
      </c>
      <c r="Q5297" s="893">
        <f t="shared" si="334"/>
        <v>3</v>
      </c>
      <c r="R5297" s="894">
        <f t="shared" si="335"/>
        <v>0</v>
      </c>
    </row>
    <row r="5298" spans="1:18" s="904" customFormat="1">
      <c r="A5298" s="895"/>
      <c r="B5298" s="896"/>
      <c r="C5298" s="897"/>
      <c r="D5298" s="897"/>
      <c r="E5298" s="924" t="s">
        <v>276</v>
      </c>
      <c r="F5298" s="927"/>
      <c r="G5298" s="928"/>
      <c r="H5298" s="901"/>
      <c r="I5298" s="902"/>
      <c r="J5298" s="902"/>
      <c r="K5298" s="912" t="s">
        <v>274</v>
      </c>
      <c r="L5298" s="902"/>
      <c r="M5298" s="902"/>
      <c r="N5298" s="902"/>
      <c r="O5298" s="892">
        <f t="shared" si="332"/>
        <v>0</v>
      </c>
      <c r="P5298" s="903">
        <f t="shared" si="333"/>
        <v>1</v>
      </c>
      <c r="Q5298" s="893">
        <f t="shared" si="334"/>
        <v>2</v>
      </c>
      <c r="R5298" s="894">
        <f t="shared" si="335"/>
        <v>0</v>
      </c>
    </row>
    <row r="5299" spans="1:18">
      <c r="A5299" s="905"/>
      <c r="B5299" s="906"/>
      <c r="C5299" s="907">
        <v>735</v>
      </c>
      <c r="D5299" s="907" t="s">
        <v>12</v>
      </c>
      <c r="E5299" s="908" t="s">
        <v>4065</v>
      </c>
      <c r="F5299" s="909" t="s">
        <v>2674</v>
      </c>
      <c r="G5299" s="910"/>
      <c r="H5299" s="911">
        <v>38.31</v>
      </c>
      <c r="I5299" s="912"/>
      <c r="J5299" s="912"/>
      <c r="K5299" s="912">
        <f>VLOOKUP(E5299,[5]ĐMNC!$A$7:$F$67,4,0)</f>
        <v>203703</v>
      </c>
      <c r="L5299" s="912">
        <f>H5299*K5299</f>
        <v>7803861.9300000006</v>
      </c>
      <c r="M5299" s="912"/>
      <c r="N5299" s="912"/>
      <c r="O5299" s="892">
        <f t="shared" si="332"/>
        <v>0</v>
      </c>
      <c r="P5299" s="903">
        <f t="shared" si="333"/>
        <v>1</v>
      </c>
      <c r="Q5299" s="893">
        <f t="shared" si="334"/>
        <v>1</v>
      </c>
      <c r="R5299" s="894">
        <f t="shared" si="335"/>
        <v>0</v>
      </c>
    </row>
    <row r="5300" spans="1:18" s="847" customFormat="1">
      <c r="A5300" s="905"/>
      <c r="B5300" s="914" t="s">
        <v>1549</v>
      </c>
      <c r="C5300" s="915"/>
      <c r="D5300" s="915"/>
      <c r="E5300" s="916" t="s">
        <v>5732</v>
      </c>
      <c r="F5300" s="917" t="s">
        <v>43</v>
      </c>
      <c r="G5300" s="918"/>
      <c r="H5300" s="919"/>
      <c r="I5300" s="920"/>
      <c r="J5300" s="891">
        <f>SUM(J5301:J5308)</f>
        <v>30976700</v>
      </c>
      <c r="K5300" s="891"/>
      <c r="L5300" s="891">
        <f>SUM(L5301:L5308)</f>
        <v>9755336.6699999999</v>
      </c>
      <c r="M5300" s="891"/>
      <c r="N5300" s="891">
        <f>SUM(N5301:N5308)</f>
        <v>0</v>
      </c>
      <c r="O5300" s="892">
        <f t="shared" si="332"/>
        <v>1</v>
      </c>
      <c r="P5300" s="903">
        <f t="shared" si="333"/>
        <v>0</v>
      </c>
      <c r="Q5300" s="893">
        <f t="shared" si="334"/>
        <v>0</v>
      </c>
      <c r="R5300" s="894">
        <f t="shared" si="335"/>
        <v>8</v>
      </c>
    </row>
    <row r="5301" spans="1:18" s="904" customFormat="1">
      <c r="A5301" s="895"/>
      <c r="B5301" s="896"/>
      <c r="C5301" s="897"/>
      <c r="D5301" s="897"/>
      <c r="E5301" s="898" t="s">
        <v>108</v>
      </c>
      <c r="F5301" s="899"/>
      <c r="G5301" s="900"/>
      <c r="H5301" s="901"/>
      <c r="I5301" s="902"/>
      <c r="J5301" s="902"/>
      <c r="K5301" s="912" t="s">
        <v>274</v>
      </c>
      <c r="L5301" s="902"/>
      <c r="M5301" s="902"/>
      <c r="N5301" s="902"/>
      <c r="O5301" s="892">
        <f t="shared" si="332"/>
        <v>0</v>
      </c>
      <c r="P5301" s="903">
        <f t="shared" si="333"/>
        <v>1</v>
      </c>
      <c r="Q5301" s="893">
        <f t="shared" si="334"/>
        <v>8</v>
      </c>
      <c r="R5301" s="894">
        <f t="shared" si="335"/>
        <v>0</v>
      </c>
    </row>
    <row r="5302" spans="1:18">
      <c r="A5302" s="905"/>
      <c r="B5302" s="906"/>
      <c r="C5302" s="907">
        <v>14</v>
      </c>
      <c r="D5302" s="907" t="s">
        <v>279</v>
      </c>
      <c r="E5302" s="925" t="s">
        <v>5733</v>
      </c>
      <c r="F5302" s="909" t="s">
        <v>47</v>
      </c>
      <c r="G5302" s="989"/>
      <c r="H5302" s="911">
        <v>100.5</v>
      </c>
      <c r="I5302" s="912">
        <f>VLOOKUP(E5302,[3]VLP!$B$7:$K$300,10,0)</f>
        <v>290000</v>
      </c>
      <c r="J5302" s="912">
        <f>I5302*H5302</f>
        <v>29145000</v>
      </c>
      <c r="K5302" s="912" t="s">
        <v>274</v>
      </c>
      <c r="L5302" s="912"/>
      <c r="M5302" s="912"/>
      <c r="N5302" s="912"/>
      <c r="O5302" s="892">
        <f t="shared" si="332"/>
        <v>0</v>
      </c>
      <c r="P5302" s="903">
        <f t="shared" si="333"/>
        <v>1</v>
      </c>
      <c r="Q5302" s="893">
        <f t="shared" si="334"/>
        <v>7</v>
      </c>
      <c r="R5302" s="894">
        <f t="shared" si="335"/>
        <v>0</v>
      </c>
    </row>
    <row r="5303" spans="1:18">
      <c r="A5303" s="905"/>
      <c r="B5303" s="906"/>
      <c r="C5303" s="907">
        <v>88</v>
      </c>
      <c r="D5303" s="907" t="s">
        <v>279</v>
      </c>
      <c r="E5303" s="925" t="s">
        <v>3219</v>
      </c>
      <c r="F5303" s="909" t="s">
        <v>51</v>
      </c>
      <c r="G5303" s="989"/>
      <c r="H5303" s="911">
        <v>12</v>
      </c>
      <c r="I5303" s="912">
        <f>VLOOKUP(E5303,[3]VLP!$B$7:$K$300,10,0)</f>
        <v>150000</v>
      </c>
      <c r="J5303" s="912">
        <f>I5303*H5303</f>
        <v>1800000</v>
      </c>
      <c r="K5303" s="912" t="s">
        <v>274</v>
      </c>
      <c r="L5303" s="912"/>
      <c r="M5303" s="912"/>
      <c r="N5303" s="912"/>
      <c r="O5303" s="892">
        <f t="shared" si="332"/>
        <v>0</v>
      </c>
      <c r="P5303" s="903">
        <f t="shared" si="333"/>
        <v>1</v>
      </c>
      <c r="Q5303" s="893">
        <f t="shared" si="334"/>
        <v>6</v>
      </c>
      <c r="R5303" s="894">
        <f t="shared" si="335"/>
        <v>0</v>
      </c>
    </row>
    <row r="5304" spans="1:18">
      <c r="A5304" s="905"/>
      <c r="B5304" s="906"/>
      <c r="C5304" s="907">
        <v>44</v>
      </c>
      <c r="D5304" s="907" t="s">
        <v>279</v>
      </c>
      <c r="E5304" s="925" t="s">
        <v>2681</v>
      </c>
      <c r="F5304" s="926" t="s">
        <v>45</v>
      </c>
      <c r="G5304" s="910"/>
      <c r="H5304" s="911">
        <v>0.3</v>
      </c>
      <c r="I5304" s="912">
        <f>VLOOKUP(E5304,[3]VLP!$B$7:$K$300,10,0)</f>
        <v>23000</v>
      </c>
      <c r="J5304" s="912">
        <f>I5304*H5304</f>
        <v>6900</v>
      </c>
      <c r="K5304" s="912" t="s">
        <v>274</v>
      </c>
      <c r="L5304" s="912"/>
      <c r="M5304" s="912"/>
      <c r="N5304" s="912"/>
      <c r="O5304" s="892">
        <f t="shared" si="332"/>
        <v>0</v>
      </c>
      <c r="P5304" s="903">
        <f t="shared" si="333"/>
        <v>1</v>
      </c>
      <c r="Q5304" s="893">
        <f t="shared" si="334"/>
        <v>5</v>
      </c>
      <c r="R5304" s="894">
        <f t="shared" si="335"/>
        <v>0</v>
      </c>
    </row>
    <row r="5305" spans="1:18">
      <c r="A5305" s="905"/>
      <c r="B5305" s="906"/>
      <c r="C5305" s="907">
        <v>92</v>
      </c>
      <c r="D5305" s="907" t="s">
        <v>279</v>
      </c>
      <c r="E5305" s="925" t="s">
        <v>5712</v>
      </c>
      <c r="F5305" s="926" t="s">
        <v>45</v>
      </c>
      <c r="G5305" s="910"/>
      <c r="H5305" s="911">
        <v>0.55000000000000004</v>
      </c>
      <c r="I5305" s="912">
        <f>VLOOKUP(E5305,[3]VLP!$B$7:$K$300,10,0)</f>
        <v>45000</v>
      </c>
      <c r="J5305" s="912">
        <f>I5305*H5305</f>
        <v>24750.000000000004</v>
      </c>
      <c r="K5305" s="912" t="s">
        <v>274</v>
      </c>
      <c r="L5305" s="912"/>
      <c r="M5305" s="912"/>
      <c r="N5305" s="912"/>
      <c r="O5305" s="892">
        <f t="shared" si="332"/>
        <v>0</v>
      </c>
      <c r="P5305" s="903">
        <f t="shared" si="333"/>
        <v>1</v>
      </c>
      <c r="Q5305" s="893">
        <f t="shared" si="334"/>
        <v>4</v>
      </c>
      <c r="R5305" s="894">
        <f t="shared" si="335"/>
        <v>0</v>
      </c>
    </row>
    <row r="5306" spans="1:18">
      <c r="A5306" s="905"/>
      <c r="B5306" s="906"/>
      <c r="C5306" s="907">
        <v>699</v>
      </c>
      <c r="D5306" s="907" t="s">
        <v>279</v>
      </c>
      <c r="E5306" s="925" t="s">
        <v>4006</v>
      </c>
      <c r="F5306" s="926" t="s">
        <v>4007</v>
      </c>
      <c r="G5306" s="910"/>
      <c r="H5306" s="911">
        <v>0.01</v>
      </c>
      <c r="I5306" s="912">
        <f>VLOOKUP(E5306,[3]VLP!$B$7:$K$300,10,0)</f>
        <v>5000</v>
      </c>
      <c r="J5306" s="912">
        <f>I5306*H5306</f>
        <v>50</v>
      </c>
      <c r="K5306" s="912" t="s">
        <v>274</v>
      </c>
      <c r="L5306" s="912"/>
      <c r="M5306" s="912"/>
      <c r="N5306" s="912"/>
      <c r="O5306" s="892">
        <f t="shared" si="332"/>
        <v>0</v>
      </c>
      <c r="P5306" s="903">
        <f t="shared" si="333"/>
        <v>1</v>
      </c>
      <c r="Q5306" s="893">
        <f t="shared" si="334"/>
        <v>3</v>
      </c>
      <c r="R5306" s="894">
        <f t="shared" si="335"/>
        <v>0</v>
      </c>
    </row>
    <row r="5307" spans="1:18" s="904" customFormat="1">
      <c r="A5307" s="895"/>
      <c r="B5307" s="896"/>
      <c r="C5307" s="897"/>
      <c r="D5307" s="897"/>
      <c r="E5307" s="924" t="s">
        <v>276</v>
      </c>
      <c r="F5307" s="927"/>
      <c r="G5307" s="928"/>
      <c r="H5307" s="901"/>
      <c r="I5307" s="902"/>
      <c r="J5307" s="902"/>
      <c r="K5307" s="912" t="s">
        <v>274</v>
      </c>
      <c r="L5307" s="902"/>
      <c r="M5307" s="902"/>
      <c r="N5307" s="902"/>
      <c r="O5307" s="892">
        <f t="shared" si="332"/>
        <v>0</v>
      </c>
      <c r="P5307" s="903">
        <f t="shared" si="333"/>
        <v>1</v>
      </c>
      <c r="Q5307" s="893">
        <f t="shared" si="334"/>
        <v>2</v>
      </c>
      <c r="R5307" s="894">
        <f t="shared" si="335"/>
        <v>0</v>
      </c>
    </row>
    <row r="5308" spans="1:18">
      <c r="A5308" s="905"/>
      <c r="B5308" s="906"/>
      <c r="C5308" s="907">
        <v>735</v>
      </c>
      <c r="D5308" s="907" t="s">
        <v>12</v>
      </c>
      <c r="E5308" s="908" t="s">
        <v>4065</v>
      </c>
      <c r="F5308" s="909" t="s">
        <v>2674</v>
      </c>
      <c r="G5308" s="910"/>
      <c r="H5308" s="911">
        <v>47.89</v>
      </c>
      <c r="I5308" s="912"/>
      <c r="J5308" s="912"/>
      <c r="K5308" s="912">
        <f>VLOOKUP(E5308,[5]ĐMNC!$A$7:$F$67,4,0)</f>
        <v>203703</v>
      </c>
      <c r="L5308" s="912">
        <f>H5308*K5308</f>
        <v>9755336.6699999999</v>
      </c>
      <c r="M5308" s="912"/>
      <c r="N5308" s="912"/>
      <c r="O5308" s="892">
        <f t="shared" si="332"/>
        <v>0</v>
      </c>
      <c r="P5308" s="903">
        <f t="shared" si="333"/>
        <v>1</v>
      </c>
      <c r="Q5308" s="893">
        <f t="shared" si="334"/>
        <v>1</v>
      </c>
      <c r="R5308" s="894">
        <f t="shared" si="335"/>
        <v>0</v>
      </c>
    </row>
    <row r="5309" spans="1:18" s="847" customFormat="1" ht="31.5">
      <c r="A5309" s="905" t="s">
        <v>5734</v>
      </c>
      <c r="B5309" s="914" t="s">
        <v>1551</v>
      </c>
      <c r="C5309" s="915"/>
      <c r="D5309" s="915"/>
      <c r="E5309" s="916" t="s">
        <v>5735</v>
      </c>
      <c r="F5309" s="917" t="s">
        <v>43</v>
      </c>
      <c r="G5309" s="918"/>
      <c r="H5309" s="919"/>
      <c r="I5309" s="920"/>
      <c r="J5309" s="891">
        <f>SUM(J5310:J5315)</f>
        <v>18600</v>
      </c>
      <c r="K5309" s="891"/>
      <c r="L5309" s="891">
        <f>SUM(L5310:L5315)</f>
        <v>393602.5</v>
      </c>
      <c r="M5309" s="891"/>
      <c r="N5309" s="891">
        <f>SUM(N5310:N5315)</f>
        <v>0</v>
      </c>
      <c r="O5309" s="892">
        <f t="shared" si="332"/>
        <v>1</v>
      </c>
      <c r="P5309" s="903">
        <f t="shared" si="333"/>
        <v>0</v>
      </c>
      <c r="Q5309" s="893">
        <f t="shared" si="334"/>
        <v>0</v>
      </c>
      <c r="R5309" s="894">
        <f t="shared" si="335"/>
        <v>6</v>
      </c>
    </row>
    <row r="5310" spans="1:18" s="904" customFormat="1">
      <c r="A5310" s="895"/>
      <c r="B5310" s="896"/>
      <c r="C5310" s="897"/>
      <c r="D5310" s="897"/>
      <c r="E5310" s="898" t="s">
        <v>108</v>
      </c>
      <c r="F5310" s="899"/>
      <c r="G5310" s="900"/>
      <c r="H5310" s="901"/>
      <c r="I5310" s="902"/>
      <c r="J5310" s="902"/>
      <c r="K5310" s="912" t="s">
        <v>274</v>
      </c>
      <c r="L5310" s="902"/>
      <c r="M5310" s="902"/>
      <c r="N5310" s="902"/>
      <c r="O5310" s="892">
        <f t="shared" si="332"/>
        <v>0</v>
      </c>
      <c r="P5310" s="903">
        <f t="shared" si="333"/>
        <v>1</v>
      </c>
      <c r="Q5310" s="893">
        <f t="shared" si="334"/>
        <v>6</v>
      </c>
      <c r="R5310" s="894">
        <f t="shared" si="335"/>
        <v>0</v>
      </c>
    </row>
    <row r="5311" spans="1:18">
      <c r="A5311" s="905"/>
      <c r="B5311" s="906"/>
      <c r="C5311" s="907">
        <v>25</v>
      </c>
      <c r="D5311" s="907" t="s">
        <v>279</v>
      </c>
      <c r="E5311" s="925" t="s">
        <v>5656</v>
      </c>
      <c r="F5311" s="926" t="s">
        <v>2690</v>
      </c>
      <c r="G5311" s="910"/>
      <c r="H5311" s="911">
        <v>0.2</v>
      </c>
      <c r="I5311" s="912">
        <f>VLOOKUP(E5311,[3]VLP!$B$7:$K$300,10,0)</f>
        <v>5000</v>
      </c>
      <c r="J5311" s="912">
        <f>I5311*H5311</f>
        <v>1000</v>
      </c>
      <c r="K5311" s="912" t="s">
        <v>274</v>
      </c>
      <c r="L5311" s="912"/>
      <c r="M5311" s="912"/>
      <c r="N5311" s="912"/>
      <c r="O5311" s="892">
        <f t="shared" si="332"/>
        <v>0</v>
      </c>
      <c r="P5311" s="903">
        <f t="shared" si="333"/>
        <v>1</v>
      </c>
      <c r="Q5311" s="893">
        <f t="shared" si="334"/>
        <v>5</v>
      </c>
      <c r="R5311" s="894">
        <f t="shared" si="335"/>
        <v>0</v>
      </c>
    </row>
    <row r="5312" spans="1:18">
      <c r="A5312" s="905"/>
      <c r="B5312" s="906"/>
      <c r="C5312" s="907">
        <v>66</v>
      </c>
      <c r="D5312" s="907" t="s">
        <v>279</v>
      </c>
      <c r="E5312" s="925" t="s">
        <v>2682</v>
      </c>
      <c r="F5312" s="926" t="s">
        <v>45</v>
      </c>
      <c r="G5312" s="910"/>
      <c r="H5312" s="911">
        <v>0.3</v>
      </c>
      <c r="I5312" s="912">
        <f>VLOOKUP(E5312,[3]VLP!$B$7:$K$300,10,0)</f>
        <v>5000</v>
      </c>
      <c r="J5312" s="912">
        <f>I5312*H5312</f>
        <v>1500</v>
      </c>
      <c r="K5312" s="912" t="s">
        <v>274</v>
      </c>
      <c r="L5312" s="912"/>
      <c r="M5312" s="912"/>
      <c r="N5312" s="912"/>
      <c r="O5312" s="892">
        <f t="shared" si="332"/>
        <v>0</v>
      </c>
      <c r="P5312" s="903">
        <f t="shared" si="333"/>
        <v>1</v>
      </c>
      <c r="Q5312" s="893">
        <f t="shared" si="334"/>
        <v>4</v>
      </c>
      <c r="R5312" s="894">
        <f t="shared" si="335"/>
        <v>0</v>
      </c>
    </row>
    <row r="5313" spans="1:18">
      <c r="A5313" s="905"/>
      <c r="B5313" s="906"/>
      <c r="C5313" s="907">
        <v>44</v>
      </c>
      <c r="D5313" s="907" t="s">
        <v>279</v>
      </c>
      <c r="E5313" s="925" t="s">
        <v>2681</v>
      </c>
      <c r="F5313" s="926" t="s">
        <v>45</v>
      </c>
      <c r="G5313" s="910"/>
      <c r="H5313" s="911">
        <v>0.7</v>
      </c>
      <c r="I5313" s="912">
        <f>VLOOKUP(E5313,[3]VLP!$B$7:$K$300,10,0)</f>
        <v>23000</v>
      </c>
      <c r="J5313" s="912">
        <f>I5313*H5313</f>
        <v>16099.999999999998</v>
      </c>
      <c r="K5313" s="912" t="s">
        <v>274</v>
      </c>
      <c r="L5313" s="912"/>
      <c r="M5313" s="912"/>
      <c r="N5313" s="912"/>
      <c r="O5313" s="892">
        <f t="shared" si="332"/>
        <v>0</v>
      </c>
      <c r="P5313" s="903">
        <f t="shared" si="333"/>
        <v>1</v>
      </c>
      <c r="Q5313" s="893">
        <f t="shared" si="334"/>
        <v>3</v>
      </c>
      <c r="R5313" s="894">
        <f t="shared" si="335"/>
        <v>0</v>
      </c>
    </row>
    <row r="5314" spans="1:18" s="904" customFormat="1">
      <c r="A5314" s="895"/>
      <c r="B5314" s="896"/>
      <c r="C5314" s="897"/>
      <c r="D5314" s="897"/>
      <c r="E5314" s="924" t="s">
        <v>276</v>
      </c>
      <c r="F5314" s="927"/>
      <c r="G5314" s="928"/>
      <c r="H5314" s="901"/>
      <c r="I5314" s="902"/>
      <c r="J5314" s="902"/>
      <c r="K5314" s="912" t="s">
        <v>274</v>
      </c>
      <c r="L5314" s="902"/>
      <c r="M5314" s="902"/>
      <c r="N5314" s="902"/>
      <c r="O5314" s="892">
        <f t="shared" si="332"/>
        <v>0</v>
      </c>
      <c r="P5314" s="903">
        <f t="shared" si="333"/>
        <v>1</v>
      </c>
      <c r="Q5314" s="893">
        <f t="shared" si="334"/>
        <v>2</v>
      </c>
      <c r="R5314" s="894">
        <f t="shared" si="335"/>
        <v>0</v>
      </c>
    </row>
    <row r="5315" spans="1:18">
      <c r="A5315" s="905"/>
      <c r="B5315" s="906"/>
      <c r="C5315" s="907">
        <v>740</v>
      </c>
      <c r="D5315" s="907" t="s">
        <v>12</v>
      </c>
      <c r="E5315" s="908" t="s">
        <v>4008</v>
      </c>
      <c r="F5315" s="909" t="s">
        <v>2674</v>
      </c>
      <c r="G5315" s="910"/>
      <c r="H5315" s="911">
        <v>1.78</v>
      </c>
      <c r="I5315" s="912"/>
      <c r="J5315" s="912"/>
      <c r="K5315" s="912">
        <f>VLOOKUP(E5315,[5]ĐMNC!$A$7:$F$67,4,0)</f>
        <v>221125</v>
      </c>
      <c r="L5315" s="912">
        <f>H5315*K5315</f>
        <v>393602.5</v>
      </c>
      <c r="M5315" s="912"/>
      <c r="N5315" s="912"/>
      <c r="O5315" s="892">
        <f t="shared" si="332"/>
        <v>0</v>
      </c>
      <c r="P5315" s="903">
        <f t="shared" si="333"/>
        <v>1</v>
      </c>
      <c r="Q5315" s="893">
        <f t="shared" si="334"/>
        <v>1</v>
      </c>
      <c r="R5315" s="894">
        <f t="shared" si="335"/>
        <v>0</v>
      </c>
    </row>
    <row r="5316" spans="1:18" s="847" customFormat="1" ht="31.5">
      <c r="A5316" s="905"/>
      <c r="B5316" s="914" t="s">
        <v>1553</v>
      </c>
      <c r="C5316" s="915"/>
      <c r="D5316" s="915"/>
      <c r="E5316" s="916" t="s">
        <v>5736</v>
      </c>
      <c r="F5316" s="917" t="s">
        <v>43</v>
      </c>
      <c r="G5316" s="918"/>
      <c r="H5316" s="919"/>
      <c r="I5316" s="920"/>
      <c r="J5316" s="891">
        <f>SUM(J5317:J5322)</f>
        <v>18600</v>
      </c>
      <c r="K5316" s="891"/>
      <c r="L5316" s="891">
        <f>SUM(L5317:L5322)</f>
        <v>457728.74999999994</v>
      </c>
      <c r="M5316" s="891"/>
      <c r="N5316" s="891">
        <f>SUM(N5317:N5322)</f>
        <v>0</v>
      </c>
      <c r="O5316" s="892">
        <f t="shared" si="332"/>
        <v>1</v>
      </c>
      <c r="P5316" s="903">
        <f t="shared" si="333"/>
        <v>0</v>
      </c>
      <c r="Q5316" s="893">
        <f t="shared" si="334"/>
        <v>0</v>
      </c>
      <c r="R5316" s="894">
        <f t="shared" si="335"/>
        <v>6</v>
      </c>
    </row>
    <row r="5317" spans="1:18" s="904" customFormat="1">
      <c r="A5317" s="895"/>
      <c r="B5317" s="896"/>
      <c r="C5317" s="897"/>
      <c r="D5317" s="897"/>
      <c r="E5317" s="898" t="s">
        <v>108</v>
      </c>
      <c r="F5317" s="899"/>
      <c r="G5317" s="900"/>
      <c r="H5317" s="901"/>
      <c r="I5317" s="902"/>
      <c r="J5317" s="902"/>
      <c r="K5317" s="912" t="s">
        <v>274</v>
      </c>
      <c r="L5317" s="902"/>
      <c r="M5317" s="902"/>
      <c r="N5317" s="902"/>
      <c r="O5317" s="892">
        <f t="shared" si="332"/>
        <v>0</v>
      </c>
      <c r="P5317" s="903">
        <f t="shared" si="333"/>
        <v>1</v>
      </c>
      <c r="Q5317" s="893">
        <f t="shared" si="334"/>
        <v>6</v>
      </c>
      <c r="R5317" s="894">
        <f t="shared" si="335"/>
        <v>0</v>
      </c>
    </row>
    <row r="5318" spans="1:18">
      <c r="A5318" s="905"/>
      <c r="B5318" s="906"/>
      <c r="C5318" s="907">
        <v>25</v>
      </c>
      <c r="D5318" s="907" t="s">
        <v>279</v>
      </c>
      <c r="E5318" s="925" t="s">
        <v>5656</v>
      </c>
      <c r="F5318" s="926" t="s">
        <v>2690</v>
      </c>
      <c r="G5318" s="910"/>
      <c r="H5318" s="911">
        <v>0.2</v>
      </c>
      <c r="I5318" s="912">
        <f>VLOOKUP(E5318,[3]VLP!$B$7:$K$300,10,0)</f>
        <v>5000</v>
      </c>
      <c r="J5318" s="912">
        <f>I5318*H5318</f>
        <v>1000</v>
      </c>
      <c r="K5318" s="912" t="s">
        <v>274</v>
      </c>
      <c r="L5318" s="912"/>
      <c r="M5318" s="912"/>
      <c r="N5318" s="912"/>
      <c r="O5318" s="892">
        <f t="shared" si="332"/>
        <v>0</v>
      </c>
      <c r="P5318" s="903">
        <f t="shared" si="333"/>
        <v>1</v>
      </c>
      <c r="Q5318" s="893">
        <f t="shared" si="334"/>
        <v>5</v>
      </c>
      <c r="R5318" s="894">
        <f t="shared" si="335"/>
        <v>0</v>
      </c>
    </row>
    <row r="5319" spans="1:18">
      <c r="A5319" s="905"/>
      <c r="B5319" s="906"/>
      <c r="C5319" s="907">
        <v>66</v>
      </c>
      <c r="D5319" s="907" t="s">
        <v>279</v>
      </c>
      <c r="E5319" s="925" t="s">
        <v>2682</v>
      </c>
      <c r="F5319" s="926" t="s">
        <v>45</v>
      </c>
      <c r="G5319" s="910"/>
      <c r="H5319" s="911">
        <v>0.3</v>
      </c>
      <c r="I5319" s="912">
        <f>VLOOKUP(E5319,[3]VLP!$B$7:$K$300,10,0)</f>
        <v>5000</v>
      </c>
      <c r="J5319" s="912">
        <f>I5319*H5319</f>
        <v>1500</v>
      </c>
      <c r="K5319" s="912" t="s">
        <v>274</v>
      </c>
      <c r="L5319" s="912"/>
      <c r="M5319" s="912"/>
      <c r="N5319" s="912"/>
      <c r="O5319" s="892">
        <f t="shared" si="332"/>
        <v>0</v>
      </c>
      <c r="P5319" s="903">
        <f t="shared" si="333"/>
        <v>1</v>
      </c>
      <c r="Q5319" s="893">
        <f t="shared" si="334"/>
        <v>4</v>
      </c>
      <c r="R5319" s="894">
        <f t="shared" si="335"/>
        <v>0</v>
      </c>
    </row>
    <row r="5320" spans="1:18">
      <c r="A5320" s="905"/>
      <c r="B5320" s="906"/>
      <c r="C5320" s="907">
        <v>44</v>
      </c>
      <c r="D5320" s="907" t="s">
        <v>279</v>
      </c>
      <c r="E5320" s="925" t="s">
        <v>2681</v>
      </c>
      <c r="F5320" s="926" t="s">
        <v>45</v>
      </c>
      <c r="G5320" s="910"/>
      <c r="H5320" s="911">
        <v>0.7</v>
      </c>
      <c r="I5320" s="912">
        <f>VLOOKUP(E5320,[3]VLP!$B$7:$K$300,10,0)</f>
        <v>23000</v>
      </c>
      <c r="J5320" s="912">
        <f>I5320*H5320</f>
        <v>16099.999999999998</v>
      </c>
      <c r="K5320" s="912" t="s">
        <v>274</v>
      </c>
      <c r="L5320" s="912"/>
      <c r="M5320" s="912"/>
      <c r="N5320" s="912"/>
      <c r="O5320" s="892">
        <f t="shared" si="332"/>
        <v>0</v>
      </c>
      <c r="P5320" s="903">
        <f t="shared" si="333"/>
        <v>1</v>
      </c>
      <c r="Q5320" s="893">
        <f t="shared" si="334"/>
        <v>3</v>
      </c>
      <c r="R5320" s="894">
        <f t="shared" si="335"/>
        <v>0</v>
      </c>
    </row>
    <row r="5321" spans="1:18" s="904" customFormat="1">
      <c r="A5321" s="895"/>
      <c r="B5321" s="896"/>
      <c r="C5321" s="897"/>
      <c r="D5321" s="897"/>
      <c r="E5321" s="924" t="s">
        <v>276</v>
      </c>
      <c r="F5321" s="927"/>
      <c r="G5321" s="928"/>
      <c r="H5321" s="901"/>
      <c r="I5321" s="902"/>
      <c r="J5321" s="902"/>
      <c r="K5321" s="912" t="s">
        <v>274</v>
      </c>
      <c r="L5321" s="902"/>
      <c r="M5321" s="902"/>
      <c r="N5321" s="902"/>
      <c r="O5321" s="892">
        <f t="shared" si="332"/>
        <v>0</v>
      </c>
      <c r="P5321" s="903">
        <f t="shared" si="333"/>
        <v>1</v>
      </c>
      <c r="Q5321" s="893">
        <f t="shared" si="334"/>
        <v>2</v>
      </c>
      <c r="R5321" s="894">
        <f t="shared" si="335"/>
        <v>0</v>
      </c>
    </row>
    <row r="5322" spans="1:18">
      <c r="A5322" s="905"/>
      <c r="B5322" s="906"/>
      <c r="C5322" s="907">
        <v>740</v>
      </c>
      <c r="D5322" s="907" t="s">
        <v>12</v>
      </c>
      <c r="E5322" s="908" t="s">
        <v>4008</v>
      </c>
      <c r="F5322" s="909" t="s">
        <v>2674</v>
      </c>
      <c r="G5322" s="910"/>
      <c r="H5322" s="911">
        <v>2.0699999999999998</v>
      </c>
      <c r="I5322" s="912"/>
      <c r="J5322" s="912"/>
      <c r="K5322" s="912">
        <f>VLOOKUP(E5322,[5]ĐMNC!$A$7:$F$67,4,0)</f>
        <v>221125</v>
      </c>
      <c r="L5322" s="912">
        <f>H5322*K5322</f>
        <v>457728.74999999994</v>
      </c>
      <c r="M5322" s="912"/>
      <c r="N5322" s="912"/>
      <c r="O5322" s="892">
        <f t="shared" si="332"/>
        <v>0</v>
      </c>
      <c r="P5322" s="903">
        <f t="shared" si="333"/>
        <v>1</v>
      </c>
      <c r="Q5322" s="893">
        <f t="shared" si="334"/>
        <v>1</v>
      </c>
      <c r="R5322" s="894">
        <f t="shared" si="335"/>
        <v>0</v>
      </c>
    </row>
    <row r="5323" spans="1:18" s="847" customFormat="1" ht="31.5">
      <c r="A5323" s="905"/>
      <c r="B5323" s="914" t="s">
        <v>1555</v>
      </c>
      <c r="C5323" s="915"/>
      <c r="D5323" s="915"/>
      <c r="E5323" s="916" t="s">
        <v>5737</v>
      </c>
      <c r="F5323" s="917" t="s">
        <v>43</v>
      </c>
      <c r="G5323" s="918"/>
      <c r="H5323" s="919"/>
      <c r="I5323" s="920"/>
      <c r="J5323" s="891">
        <f>SUM(J5324:J5329)</f>
        <v>18600</v>
      </c>
      <c r="K5323" s="891"/>
      <c r="L5323" s="891">
        <f>SUM(L5324:L5329)</f>
        <v>608093.75</v>
      </c>
      <c r="M5323" s="891"/>
      <c r="N5323" s="891">
        <f>SUM(N5324:N5329)</f>
        <v>0</v>
      </c>
      <c r="O5323" s="892">
        <f t="shared" si="332"/>
        <v>1</v>
      </c>
      <c r="P5323" s="903">
        <f t="shared" si="333"/>
        <v>0</v>
      </c>
      <c r="Q5323" s="893">
        <f t="shared" si="334"/>
        <v>0</v>
      </c>
      <c r="R5323" s="894">
        <f t="shared" si="335"/>
        <v>6</v>
      </c>
    </row>
    <row r="5324" spans="1:18" s="904" customFormat="1">
      <c r="A5324" s="895"/>
      <c r="B5324" s="896"/>
      <c r="C5324" s="897"/>
      <c r="D5324" s="897"/>
      <c r="E5324" s="898" t="s">
        <v>108</v>
      </c>
      <c r="F5324" s="899"/>
      <c r="G5324" s="900"/>
      <c r="H5324" s="901"/>
      <c r="I5324" s="902"/>
      <c r="J5324" s="902"/>
      <c r="K5324" s="912" t="s">
        <v>274</v>
      </c>
      <c r="L5324" s="902"/>
      <c r="M5324" s="902"/>
      <c r="N5324" s="902"/>
      <c r="O5324" s="892">
        <f t="shared" si="332"/>
        <v>0</v>
      </c>
      <c r="P5324" s="903">
        <f t="shared" si="333"/>
        <v>1</v>
      </c>
      <c r="Q5324" s="893">
        <f t="shared" si="334"/>
        <v>6</v>
      </c>
      <c r="R5324" s="894">
        <f t="shared" si="335"/>
        <v>0</v>
      </c>
    </row>
    <row r="5325" spans="1:18">
      <c r="A5325" s="905"/>
      <c r="B5325" s="906"/>
      <c r="C5325" s="907">
        <v>25</v>
      </c>
      <c r="D5325" s="907" t="s">
        <v>279</v>
      </c>
      <c r="E5325" s="925" t="s">
        <v>5656</v>
      </c>
      <c r="F5325" s="926" t="s">
        <v>2690</v>
      </c>
      <c r="G5325" s="910"/>
      <c r="H5325" s="911">
        <v>0.2</v>
      </c>
      <c r="I5325" s="912">
        <f>VLOOKUP(E5325,[3]VLP!$B$7:$K$300,10,0)</f>
        <v>5000</v>
      </c>
      <c r="J5325" s="912">
        <f>I5325*H5325</f>
        <v>1000</v>
      </c>
      <c r="K5325" s="912" t="s">
        <v>274</v>
      </c>
      <c r="L5325" s="912"/>
      <c r="M5325" s="912"/>
      <c r="N5325" s="912"/>
      <c r="O5325" s="892">
        <f t="shared" si="332"/>
        <v>0</v>
      </c>
      <c r="P5325" s="903">
        <f t="shared" si="333"/>
        <v>1</v>
      </c>
      <c r="Q5325" s="893">
        <f t="shared" si="334"/>
        <v>5</v>
      </c>
      <c r="R5325" s="894">
        <f t="shared" si="335"/>
        <v>0</v>
      </c>
    </row>
    <row r="5326" spans="1:18">
      <c r="A5326" s="905"/>
      <c r="B5326" s="906"/>
      <c r="C5326" s="907">
        <v>66</v>
      </c>
      <c r="D5326" s="907" t="s">
        <v>279</v>
      </c>
      <c r="E5326" s="925" t="s">
        <v>2682</v>
      </c>
      <c r="F5326" s="926" t="s">
        <v>45</v>
      </c>
      <c r="G5326" s="910"/>
      <c r="H5326" s="911">
        <v>0.3</v>
      </c>
      <c r="I5326" s="912">
        <f>VLOOKUP(E5326,[3]VLP!$B$7:$K$300,10,0)</f>
        <v>5000</v>
      </c>
      <c r="J5326" s="912">
        <f>I5326*H5326</f>
        <v>1500</v>
      </c>
      <c r="K5326" s="912" t="s">
        <v>274</v>
      </c>
      <c r="L5326" s="912"/>
      <c r="M5326" s="912"/>
      <c r="N5326" s="912"/>
      <c r="O5326" s="892">
        <f t="shared" si="332"/>
        <v>0</v>
      </c>
      <c r="P5326" s="903">
        <f t="shared" si="333"/>
        <v>1</v>
      </c>
      <c r="Q5326" s="893">
        <f t="shared" si="334"/>
        <v>4</v>
      </c>
      <c r="R5326" s="894">
        <f t="shared" si="335"/>
        <v>0</v>
      </c>
    </row>
    <row r="5327" spans="1:18">
      <c r="A5327" s="905"/>
      <c r="B5327" s="906"/>
      <c r="C5327" s="907">
        <v>44</v>
      </c>
      <c r="D5327" s="907" t="s">
        <v>279</v>
      </c>
      <c r="E5327" s="925" t="s">
        <v>2681</v>
      </c>
      <c r="F5327" s="926" t="s">
        <v>45</v>
      </c>
      <c r="G5327" s="910"/>
      <c r="H5327" s="911">
        <v>0.7</v>
      </c>
      <c r="I5327" s="912">
        <f>VLOOKUP(E5327,[3]VLP!$B$7:$K$300,10,0)</f>
        <v>23000</v>
      </c>
      <c r="J5327" s="912">
        <f>I5327*H5327</f>
        <v>16099.999999999998</v>
      </c>
      <c r="K5327" s="912" t="s">
        <v>274</v>
      </c>
      <c r="L5327" s="912"/>
      <c r="M5327" s="912"/>
      <c r="N5327" s="912"/>
      <c r="O5327" s="892">
        <f t="shared" si="332"/>
        <v>0</v>
      </c>
      <c r="P5327" s="903">
        <f t="shared" si="333"/>
        <v>1</v>
      </c>
      <c r="Q5327" s="893">
        <f t="shared" si="334"/>
        <v>3</v>
      </c>
      <c r="R5327" s="894">
        <f t="shared" si="335"/>
        <v>0</v>
      </c>
    </row>
    <row r="5328" spans="1:18" s="904" customFormat="1">
      <c r="A5328" s="895"/>
      <c r="B5328" s="896"/>
      <c r="C5328" s="897"/>
      <c r="D5328" s="897"/>
      <c r="E5328" s="924" t="s">
        <v>276</v>
      </c>
      <c r="F5328" s="927"/>
      <c r="G5328" s="928"/>
      <c r="H5328" s="901"/>
      <c r="I5328" s="902"/>
      <c r="J5328" s="902"/>
      <c r="K5328" s="912" t="s">
        <v>274</v>
      </c>
      <c r="L5328" s="902"/>
      <c r="M5328" s="902"/>
      <c r="N5328" s="902"/>
      <c r="O5328" s="892">
        <f t="shared" si="332"/>
        <v>0</v>
      </c>
      <c r="P5328" s="903">
        <f t="shared" si="333"/>
        <v>1</v>
      </c>
      <c r="Q5328" s="893">
        <f t="shared" si="334"/>
        <v>2</v>
      </c>
      <c r="R5328" s="894">
        <f t="shared" si="335"/>
        <v>0</v>
      </c>
    </row>
    <row r="5329" spans="1:18">
      <c r="A5329" s="905"/>
      <c r="B5329" s="906"/>
      <c r="C5329" s="907">
        <v>740</v>
      </c>
      <c r="D5329" s="907" t="s">
        <v>12</v>
      </c>
      <c r="E5329" s="908" t="s">
        <v>4008</v>
      </c>
      <c r="F5329" s="909" t="s">
        <v>2674</v>
      </c>
      <c r="G5329" s="910"/>
      <c r="H5329" s="911">
        <v>2.75</v>
      </c>
      <c r="I5329" s="912"/>
      <c r="J5329" s="912"/>
      <c r="K5329" s="912">
        <f>VLOOKUP(E5329,[5]ĐMNC!$A$7:$F$67,4,0)</f>
        <v>221125</v>
      </c>
      <c r="L5329" s="912">
        <f>H5329*K5329</f>
        <v>608093.75</v>
      </c>
      <c r="M5329" s="912"/>
      <c r="N5329" s="912"/>
      <c r="O5329" s="892">
        <f t="shared" si="332"/>
        <v>0</v>
      </c>
      <c r="P5329" s="903">
        <f t="shared" si="333"/>
        <v>1</v>
      </c>
      <c r="Q5329" s="893">
        <f t="shared" si="334"/>
        <v>1</v>
      </c>
      <c r="R5329" s="894">
        <f t="shared" si="335"/>
        <v>0</v>
      </c>
    </row>
    <row r="5330" spans="1:18" s="847" customFormat="1" ht="31.5">
      <c r="A5330" s="905"/>
      <c r="B5330" s="914" t="s">
        <v>1557</v>
      </c>
      <c r="C5330" s="915"/>
      <c r="D5330" s="915"/>
      <c r="E5330" s="916" t="s">
        <v>5738</v>
      </c>
      <c r="F5330" s="917" t="s">
        <v>43</v>
      </c>
      <c r="G5330" s="918"/>
      <c r="H5330" s="919"/>
      <c r="I5330" s="920"/>
      <c r="J5330" s="891">
        <f>SUM(J5331:J5336)</f>
        <v>21900</v>
      </c>
      <c r="K5330" s="891"/>
      <c r="L5330" s="891">
        <f>SUM(L5331:L5336)</f>
        <v>791627.5</v>
      </c>
      <c r="M5330" s="891"/>
      <c r="N5330" s="891">
        <f>SUM(N5331:N5336)</f>
        <v>0</v>
      </c>
      <c r="O5330" s="892">
        <f t="shared" si="332"/>
        <v>1</v>
      </c>
      <c r="P5330" s="903">
        <f t="shared" si="333"/>
        <v>0</v>
      </c>
      <c r="Q5330" s="893">
        <f t="shared" si="334"/>
        <v>0</v>
      </c>
      <c r="R5330" s="894">
        <f t="shared" si="335"/>
        <v>6</v>
      </c>
    </row>
    <row r="5331" spans="1:18" s="904" customFormat="1">
      <c r="A5331" s="895"/>
      <c r="B5331" s="896"/>
      <c r="C5331" s="897"/>
      <c r="D5331" s="897"/>
      <c r="E5331" s="898" t="s">
        <v>108</v>
      </c>
      <c r="F5331" s="899"/>
      <c r="G5331" s="900"/>
      <c r="H5331" s="901"/>
      <c r="I5331" s="902"/>
      <c r="J5331" s="902"/>
      <c r="K5331" s="912" t="s">
        <v>274</v>
      </c>
      <c r="L5331" s="902"/>
      <c r="M5331" s="902"/>
      <c r="N5331" s="902"/>
      <c r="O5331" s="892">
        <f t="shared" si="332"/>
        <v>0</v>
      </c>
      <c r="P5331" s="903">
        <f t="shared" si="333"/>
        <v>1</v>
      </c>
      <c r="Q5331" s="893">
        <f t="shared" si="334"/>
        <v>6</v>
      </c>
      <c r="R5331" s="894">
        <f t="shared" si="335"/>
        <v>0</v>
      </c>
    </row>
    <row r="5332" spans="1:18">
      <c r="A5332" s="905"/>
      <c r="B5332" s="906"/>
      <c r="C5332" s="907">
        <v>25</v>
      </c>
      <c r="D5332" s="907" t="s">
        <v>279</v>
      </c>
      <c r="E5332" s="925" t="s">
        <v>5656</v>
      </c>
      <c r="F5332" s="926" t="s">
        <v>2690</v>
      </c>
      <c r="G5332" s="910"/>
      <c r="H5332" s="911">
        <v>0.3</v>
      </c>
      <c r="I5332" s="912">
        <f>VLOOKUP(E5332,[3]VLP!$B$7:$K$300,10,0)</f>
        <v>5000</v>
      </c>
      <c r="J5332" s="912">
        <f>I5332*H5332</f>
        <v>1500</v>
      </c>
      <c r="K5332" s="912" t="s">
        <v>274</v>
      </c>
      <c r="L5332" s="912"/>
      <c r="M5332" s="912"/>
      <c r="N5332" s="912"/>
      <c r="O5332" s="892">
        <f t="shared" si="332"/>
        <v>0</v>
      </c>
      <c r="P5332" s="903">
        <f t="shared" si="333"/>
        <v>1</v>
      </c>
      <c r="Q5332" s="893">
        <f t="shared" si="334"/>
        <v>5</v>
      </c>
      <c r="R5332" s="894">
        <f t="shared" si="335"/>
        <v>0</v>
      </c>
    </row>
    <row r="5333" spans="1:18">
      <c r="A5333" s="905"/>
      <c r="B5333" s="906"/>
      <c r="C5333" s="907">
        <v>66</v>
      </c>
      <c r="D5333" s="907" t="s">
        <v>279</v>
      </c>
      <c r="E5333" s="925" t="s">
        <v>2682</v>
      </c>
      <c r="F5333" s="926" t="s">
        <v>45</v>
      </c>
      <c r="G5333" s="910"/>
      <c r="H5333" s="911">
        <v>0.4</v>
      </c>
      <c r="I5333" s="912">
        <f>VLOOKUP(E5333,[3]VLP!$B$7:$K$300,10,0)</f>
        <v>5000</v>
      </c>
      <c r="J5333" s="912">
        <f>I5333*H5333</f>
        <v>2000</v>
      </c>
      <c r="K5333" s="912" t="s">
        <v>274</v>
      </c>
      <c r="L5333" s="912"/>
      <c r="M5333" s="912"/>
      <c r="N5333" s="912"/>
      <c r="O5333" s="892">
        <f t="shared" si="332"/>
        <v>0</v>
      </c>
      <c r="P5333" s="903">
        <f t="shared" si="333"/>
        <v>1</v>
      </c>
      <c r="Q5333" s="893">
        <f t="shared" si="334"/>
        <v>4</v>
      </c>
      <c r="R5333" s="894">
        <f t="shared" si="335"/>
        <v>0</v>
      </c>
    </row>
    <row r="5334" spans="1:18">
      <c r="A5334" s="905"/>
      <c r="B5334" s="906"/>
      <c r="C5334" s="907">
        <v>44</v>
      </c>
      <c r="D5334" s="907" t="s">
        <v>279</v>
      </c>
      <c r="E5334" s="925" t="s">
        <v>2681</v>
      </c>
      <c r="F5334" s="926" t="s">
        <v>45</v>
      </c>
      <c r="G5334" s="910"/>
      <c r="H5334" s="911">
        <v>0.8</v>
      </c>
      <c r="I5334" s="912">
        <f>VLOOKUP(E5334,[3]VLP!$B$7:$K$300,10,0)</f>
        <v>23000</v>
      </c>
      <c r="J5334" s="912">
        <f>I5334*H5334</f>
        <v>18400</v>
      </c>
      <c r="K5334" s="912" t="s">
        <v>274</v>
      </c>
      <c r="L5334" s="912"/>
      <c r="M5334" s="912"/>
      <c r="N5334" s="912"/>
      <c r="O5334" s="892">
        <f t="shared" si="332"/>
        <v>0</v>
      </c>
      <c r="P5334" s="903">
        <f t="shared" si="333"/>
        <v>1</v>
      </c>
      <c r="Q5334" s="893">
        <f t="shared" si="334"/>
        <v>3</v>
      </c>
      <c r="R5334" s="894">
        <f t="shared" si="335"/>
        <v>0</v>
      </c>
    </row>
    <row r="5335" spans="1:18" s="904" customFormat="1">
      <c r="A5335" s="895"/>
      <c r="B5335" s="896"/>
      <c r="C5335" s="897"/>
      <c r="D5335" s="897"/>
      <c r="E5335" s="924" t="s">
        <v>276</v>
      </c>
      <c r="F5335" s="927"/>
      <c r="G5335" s="928"/>
      <c r="H5335" s="901"/>
      <c r="I5335" s="902"/>
      <c r="J5335" s="902"/>
      <c r="K5335" s="912" t="s">
        <v>274</v>
      </c>
      <c r="L5335" s="902"/>
      <c r="M5335" s="902"/>
      <c r="N5335" s="902"/>
      <c r="O5335" s="892">
        <f t="shared" si="332"/>
        <v>0</v>
      </c>
      <c r="P5335" s="903">
        <f t="shared" si="333"/>
        <v>1</v>
      </c>
      <c r="Q5335" s="893">
        <f t="shared" si="334"/>
        <v>2</v>
      </c>
      <c r="R5335" s="894">
        <f t="shared" si="335"/>
        <v>0</v>
      </c>
    </row>
    <row r="5336" spans="1:18">
      <c r="A5336" s="905"/>
      <c r="B5336" s="906"/>
      <c r="C5336" s="907">
        <v>740</v>
      </c>
      <c r="D5336" s="907" t="s">
        <v>12</v>
      </c>
      <c r="E5336" s="908" t="s">
        <v>4008</v>
      </c>
      <c r="F5336" s="909" t="s">
        <v>2674</v>
      </c>
      <c r="G5336" s="910"/>
      <c r="H5336" s="911">
        <v>3.58</v>
      </c>
      <c r="I5336" s="912"/>
      <c r="J5336" s="912"/>
      <c r="K5336" s="912">
        <f>VLOOKUP(E5336,[5]ĐMNC!$A$7:$F$67,4,0)</f>
        <v>221125</v>
      </c>
      <c r="L5336" s="912">
        <f>H5336*K5336</f>
        <v>791627.5</v>
      </c>
      <c r="M5336" s="912"/>
      <c r="N5336" s="912"/>
      <c r="O5336" s="892">
        <f t="shared" si="332"/>
        <v>0</v>
      </c>
      <c r="P5336" s="903">
        <f t="shared" si="333"/>
        <v>1</v>
      </c>
      <c r="Q5336" s="893">
        <f t="shared" si="334"/>
        <v>1</v>
      </c>
      <c r="R5336" s="894">
        <f t="shared" si="335"/>
        <v>0</v>
      </c>
    </row>
    <row r="5337" spans="1:18" s="847" customFormat="1" ht="31.5">
      <c r="A5337" s="905"/>
      <c r="B5337" s="914" t="s">
        <v>1559</v>
      </c>
      <c r="C5337" s="915"/>
      <c r="D5337" s="915"/>
      <c r="E5337" s="916" t="s">
        <v>5739</v>
      </c>
      <c r="F5337" s="917" t="s">
        <v>43</v>
      </c>
      <c r="G5337" s="918"/>
      <c r="H5337" s="919"/>
      <c r="I5337" s="920"/>
      <c r="J5337" s="891">
        <f>SUM(J5338:J5343)</f>
        <v>21900</v>
      </c>
      <c r="K5337" s="891"/>
      <c r="L5337" s="891">
        <f>SUM(L5338:L5343)</f>
        <v>1003907.5</v>
      </c>
      <c r="M5337" s="891"/>
      <c r="N5337" s="891">
        <f>SUM(N5338:N5343)</f>
        <v>0</v>
      </c>
      <c r="O5337" s="892">
        <f t="shared" si="332"/>
        <v>1</v>
      </c>
      <c r="P5337" s="903">
        <f t="shared" si="333"/>
        <v>0</v>
      </c>
      <c r="Q5337" s="893">
        <f t="shared" si="334"/>
        <v>0</v>
      </c>
      <c r="R5337" s="894">
        <f t="shared" si="335"/>
        <v>6</v>
      </c>
    </row>
    <row r="5338" spans="1:18" s="904" customFormat="1">
      <c r="A5338" s="895"/>
      <c r="B5338" s="896"/>
      <c r="C5338" s="897"/>
      <c r="D5338" s="897"/>
      <c r="E5338" s="898" t="s">
        <v>108</v>
      </c>
      <c r="F5338" s="899"/>
      <c r="G5338" s="900"/>
      <c r="H5338" s="901"/>
      <c r="I5338" s="902"/>
      <c r="J5338" s="902"/>
      <c r="K5338" s="912" t="s">
        <v>274</v>
      </c>
      <c r="L5338" s="902"/>
      <c r="M5338" s="902"/>
      <c r="N5338" s="902"/>
      <c r="O5338" s="892">
        <f t="shared" si="332"/>
        <v>0</v>
      </c>
      <c r="P5338" s="903">
        <f t="shared" si="333"/>
        <v>1</v>
      </c>
      <c r="Q5338" s="893">
        <f t="shared" si="334"/>
        <v>6</v>
      </c>
      <c r="R5338" s="894">
        <f t="shared" si="335"/>
        <v>0</v>
      </c>
    </row>
    <row r="5339" spans="1:18">
      <c r="A5339" s="905"/>
      <c r="B5339" s="906"/>
      <c r="C5339" s="907">
        <v>25</v>
      </c>
      <c r="D5339" s="907" t="s">
        <v>279</v>
      </c>
      <c r="E5339" s="925" t="s">
        <v>5656</v>
      </c>
      <c r="F5339" s="926" t="s">
        <v>2690</v>
      </c>
      <c r="G5339" s="910"/>
      <c r="H5339" s="911">
        <v>0.3</v>
      </c>
      <c r="I5339" s="912">
        <f>VLOOKUP(E5339,[3]VLP!$B$7:$K$300,10,0)</f>
        <v>5000</v>
      </c>
      <c r="J5339" s="912">
        <f>I5339*H5339</f>
        <v>1500</v>
      </c>
      <c r="K5339" s="912" t="s">
        <v>274</v>
      </c>
      <c r="L5339" s="912"/>
      <c r="M5339" s="912"/>
      <c r="N5339" s="912"/>
      <c r="O5339" s="892">
        <f t="shared" si="332"/>
        <v>0</v>
      </c>
      <c r="P5339" s="903">
        <f t="shared" si="333"/>
        <v>1</v>
      </c>
      <c r="Q5339" s="893">
        <f t="shared" si="334"/>
        <v>5</v>
      </c>
      <c r="R5339" s="894">
        <f t="shared" si="335"/>
        <v>0</v>
      </c>
    </row>
    <row r="5340" spans="1:18">
      <c r="A5340" s="905"/>
      <c r="B5340" s="906"/>
      <c r="C5340" s="907">
        <v>66</v>
      </c>
      <c r="D5340" s="907" t="s">
        <v>279</v>
      </c>
      <c r="E5340" s="925" t="s">
        <v>2682</v>
      </c>
      <c r="F5340" s="926" t="s">
        <v>45</v>
      </c>
      <c r="G5340" s="910"/>
      <c r="H5340" s="911">
        <v>0.4</v>
      </c>
      <c r="I5340" s="912">
        <f>VLOOKUP(E5340,[3]VLP!$B$7:$K$300,10,0)</f>
        <v>5000</v>
      </c>
      <c r="J5340" s="912">
        <f>I5340*H5340</f>
        <v>2000</v>
      </c>
      <c r="K5340" s="912" t="s">
        <v>274</v>
      </c>
      <c r="L5340" s="912"/>
      <c r="M5340" s="912"/>
      <c r="N5340" s="912"/>
      <c r="O5340" s="892">
        <f t="shared" si="332"/>
        <v>0</v>
      </c>
      <c r="P5340" s="903">
        <f t="shared" si="333"/>
        <v>1</v>
      </c>
      <c r="Q5340" s="893">
        <f t="shared" si="334"/>
        <v>4</v>
      </c>
      <c r="R5340" s="894">
        <f t="shared" si="335"/>
        <v>0</v>
      </c>
    </row>
    <row r="5341" spans="1:18">
      <c r="A5341" s="905"/>
      <c r="B5341" s="906"/>
      <c r="C5341" s="907">
        <v>44</v>
      </c>
      <c r="D5341" s="907" t="s">
        <v>279</v>
      </c>
      <c r="E5341" s="925" t="s">
        <v>2681</v>
      </c>
      <c r="F5341" s="926" t="s">
        <v>45</v>
      </c>
      <c r="G5341" s="910"/>
      <c r="H5341" s="911">
        <v>0.8</v>
      </c>
      <c r="I5341" s="912">
        <f>VLOOKUP(E5341,[3]VLP!$B$7:$K$300,10,0)</f>
        <v>23000</v>
      </c>
      <c r="J5341" s="912">
        <f>I5341*H5341</f>
        <v>18400</v>
      </c>
      <c r="K5341" s="912" t="s">
        <v>274</v>
      </c>
      <c r="L5341" s="912"/>
      <c r="M5341" s="912"/>
      <c r="N5341" s="912"/>
      <c r="O5341" s="892">
        <f t="shared" si="332"/>
        <v>0</v>
      </c>
      <c r="P5341" s="903">
        <f t="shared" si="333"/>
        <v>1</v>
      </c>
      <c r="Q5341" s="893">
        <f t="shared" si="334"/>
        <v>3</v>
      </c>
      <c r="R5341" s="894">
        <f t="shared" si="335"/>
        <v>0</v>
      </c>
    </row>
    <row r="5342" spans="1:18" s="904" customFormat="1">
      <c r="A5342" s="895"/>
      <c r="B5342" s="896"/>
      <c r="C5342" s="897"/>
      <c r="D5342" s="897"/>
      <c r="E5342" s="924" t="s">
        <v>276</v>
      </c>
      <c r="F5342" s="927"/>
      <c r="G5342" s="928"/>
      <c r="H5342" s="901"/>
      <c r="I5342" s="902"/>
      <c r="J5342" s="902"/>
      <c r="K5342" s="912" t="s">
        <v>274</v>
      </c>
      <c r="L5342" s="902"/>
      <c r="M5342" s="902"/>
      <c r="N5342" s="902"/>
      <c r="O5342" s="892">
        <f t="shared" si="332"/>
        <v>0</v>
      </c>
      <c r="P5342" s="903">
        <f t="shared" si="333"/>
        <v>1</v>
      </c>
      <c r="Q5342" s="893">
        <f t="shared" si="334"/>
        <v>2</v>
      </c>
      <c r="R5342" s="894">
        <f t="shared" si="335"/>
        <v>0</v>
      </c>
    </row>
    <row r="5343" spans="1:18">
      <c r="A5343" s="905"/>
      <c r="B5343" s="906"/>
      <c r="C5343" s="907">
        <v>740</v>
      </c>
      <c r="D5343" s="907" t="s">
        <v>12</v>
      </c>
      <c r="E5343" s="908" t="s">
        <v>4008</v>
      </c>
      <c r="F5343" s="909" t="s">
        <v>2674</v>
      </c>
      <c r="G5343" s="910"/>
      <c r="H5343" s="911">
        <v>4.54</v>
      </c>
      <c r="I5343" s="912"/>
      <c r="J5343" s="912"/>
      <c r="K5343" s="912">
        <f>VLOOKUP(E5343,[5]ĐMNC!$A$7:$F$67,4,0)</f>
        <v>221125</v>
      </c>
      <c r="L5343" s="912">
        <f>H5343*K5343</f>
        <v>1003907.5</v>
      </c>
      <c r="M5343" s="912"/>
      <c r="N5343" s="912"/>
      <c r="O5343" s="892">
        <f t="shared" ref="O5343:O5406" si="336">IF(AND(B5343&lt;&gt;"",D5343=""),1,0)</f>
        <v>0</v>
      </c>
      <c r="P5343" s="903">
        <f t="shared" si="333"/>
        <v>1</v>
      </c>
      <c r="Q5343" s="893">
        <f t="shared" si="334"/>
        <v>1</v>
      </c>
      <c r="R5343" s="894">
        <f t="shared" si="335"/>
        <v>0</v>
      </c>
    </row>
    <row r="5344" spans="1:18" s="847" customFormat="1" ht="31.5">
      <c r="A5344" s="905" t="s">
        <v>5740</v>
      </c>
      <c r="B5344" s="914" t="s">
        <v>1561</v>
      </c>
      <c r="C5344" s="915"/>
      <c r="D5344" s="915"/>
      <c r="E5344" s="916" t="s">
        <v>5741</v>
      </c>
      <c r="F5344" s="917" t="s">
        <v>43</v>
      </c>
      <c r="G5344" s="918"/>
      <c r="H5344" s="919"/>
      <c r="I5344" s="920"/>
      <c r="J5344" s="891">
        <f>SUM(J5345:J5350)</f>
        <v>25200</v>
      </c>
      <c r="K5344" s="891"/>
      <c r="L5344" s="891">
        <f>SUM(L5345:L5350)</f>
        <v>1278102.5</v>
      </c>
      <c r="M5344" s="891"/>
      <c r="N5344" s="891">
        <f>SUM(N5345:N5350)</f>
        <v>0</v>
      </c>
      <c r="O5344" s="892">
        <f t="shared" si="336"/>
        <v>1</v>
      </c>
      <c r="P5344" s="903">
        <f t="shared" si="333"/>
        <v>0</v>
      </c>
      <c r="Q5344" s="893">
        <f t="shared" si="334"/>
        <v>0</v>
      </c>
      <c r="R5344" s="894">
        <f t="shared" si="335"/>
        <v>6</v>
      </c>
    </row>
    <row r="5345" spans="1:18" s="904" customFormat="1">
      <c r="A5345" s="895"/>
      <c r="B5345" s="896"/>
      <c r="C5345" s="897"/>
      <c r="D5345" s="897"/>
      <c r="E5345" s="898" t="s">
        <v>108</v>
      </c>
      <c r="F5345" s="899"/>
      <c r="G5345" s="900"/>
      <c r="H5345" s="901"/>
      <c r="I5345" s="902"/>
      <c r="J5345" s="902"/>
      <c r="K5345" s="912" t="s">
        <v>274</v>
      </c>
      <c r="L5345" s="902"/>
      <c r="M5345" s="902"/>
      <c r="N5345" s="902"/>
      <c r="O5345" s="892">
        <f t="shared" si="336"/>
        <v>0</v>
      </c>
      <c r="P5345" s="903">
        <f t="shared" si="333"/>
        <v>1</v>
      </c>
      <c r="Q5345" s="893">
        <f t="shared" si="334"/>
        <v>6</v>
      </c>
      <c r="R5345" s="894">
        <f t="shared" si="335"/>
        <v>0</v>
      </c>
    </row>
    <row r="5346" spans="1:18">
      <c r="A5346" s="905"/>
      <c r="B5346" s="906"/>
      <c r="C5346" s="907">
        <v>25</v>
      </c>
      <c r="D5346" s="907" t="s">
        <v>279</v>
      </c>
      <c r="E5346" s="925" t="s">
        <v>5656</v>
      </c>
      <c r="F5346" s="926" t="s">
        <v>2690</v>
      </c>
      <c r="G5346" s="910"/>
      <c r="H5346" s="911">
        <v>0.4</v>
      </c>
      <c r="I5346" s="912">
        <f>VLOOKUP(E5346,[3]VLP!$B$7:$K$300,10,0)</f>
        <v>5000</v>
      </c>
      <c r="J5346" s="912">
        <f>I5346*H5346</f>
        <v>2000</v>
      </c>
      <c r="K5346" s="912" t="s">
        <v>274</v>
      </c>
      <c r="L5346" s="912"/>
      <c r="M5346" s="912"/>
      <c r="N5346" s="912"/>
      <c r="O5346" s="892">
        <f t="shared" si="336"/>
        <v>0</v>
      </c>
      <c r="P5346" s="903">
        <f t="shared" si="333"/>
        <v>1</v>
      </c>
      <c r="Q5346" s="893">
        <f t="shared" si="334"/>
        <v>5</v>
      </c>
      <c r="R5346" s="894">
        <f t="shared" si="335"/>
        <v>0</v>
      </c>
    </row>
    <row r="5347" spans="1:18">
      <c r="A5347" s="905"/>
      <c r="B5347" s="906"/>
      <c r="C5347" s="907">
        <v>66</v>
      </c>
      <c r="D5347" s="907" t="s">
        <v>279</v>
      </c>
      <c r="E5347" s="925" t="s">
        <v>2682</v>
      </c>
      <c r="F5347" s="926" t="s">
        <v>45</v>
      </c>
      <c r="G5347" s="910"/>
      <c r="H5347" s="911">
        <v>0.5</v>
      </c>
      <c r="I5347" s="912">
        <f>VLOOKUP(E5347,[3]VLP!$B$7:$K$300,10,0)</f>
        <v>5000</v>
      </c>
      <c r="J5347" s="912">
        <f>I5347*H5347</f>
        <v>2500</v>
      </c>
      <c r="K5347" s="912" t="s">
        <v>274</v>
      </c>
      <c r="L5347" s="912"/>
      <c r="M5347" s="912"/>
      <c r="N5347" s="912"/>
      <c r="O5347" s="892">
        <f t="shared" si="336"/>
        <v>0</v>
      </c>
      <c r="P5347" s="903">
        <f t="shared" si="333"/>
        <v>1</v>
      </c>
      <c r="Q5347" s="893">
        <f t="shared" si="334"/>
        <v>4</v>
      </c>
      <c r="R5347" s="894">
        <f t="shared" si="335"/>
        <v>0</v>
      </c>
    </row>
    <row r="5348" spans="1:18">
      <c r="A5348" s="905"/>
      <c r="B5348" s="906"/>
      <c r="C5348" s="907">
        <v>44</v>
      </c>
      <c r="D5348" s="907" t="s">
        <v>279</v>
      </c>
      <c r="E5348" s="925" t="s">
        <v>2681</v>
      </c>
      <c r="F5348" s="926" t="s">
        <v>45</v>
      </c>
      <c r="G5348" s="910"/>
      <c r="H5348" s="911">
        <v>0.9</v>
      </c>
      <c r="I5348" s="912">
        <f>VLOOKUP(E5348,[3]VLP!$B$7:$K$300,10,0)</f>
        <v>23000</v>
      </c>
      <c r="J5348" s="912">
        <f>I5348*H5348</f>
        <v>20700</v>
      </c>
      <c r="K5348" s="912" t="s">
        <v>274</v>
      </c>
      <c r="L5348" s="912"/>
      <c r="M5348" s="912"/>
      <c r="N5348" s="912"/>
      <c r="O5348" s="892">
        <f t="shared" si="336"/>
        <v>0</v>
      </c>
      <c r="P5348" s="903">
        <f t="shared" si="333"/>
        <v>1</v>
      </c>
      <c r="Q5348" s="893">
        <f t="shared" si="334"/>
        <v>3</v>
      </c>
      <c r="R5348" s="894">
        <f t="shared" si="335"/>
        <v>0</v>
      </c>
    </row>
    <row r="5349" spans="1:18" s="904" customFormat="1">
      <c r="A5349" s="895"/>
      <c r="B5349" s="896"/>
      <c r="C5349" s="897"/>
      <c r="D5349" s="897"/>
      <c r="E5349" s="924" t="s">
        <v>276</v>
      </c>
      <c r="F5349" s="927"/>
      <c r="G5349" s="928"/>
      <c r="H5349" s="901"/>
      <c r="I5349" s="902"/>
      <c r="J5349" s="902"/>
      <c r="K5349" s="912" t="s">
        <v>274</v>
      </c>
      <c r="L5349" s="902"/>
      <c r="M5349" s="902"/>
      <c r="N5349" s="902"/>
      <c r="O5349" s="892">
        <f t="shared" si="336"/>
        <v>0</v>
      </c>
      <c r="P5349" s="903">
        <f t="shared" si="333"/>
        <v>1</v>
      </c>
      <c r="Q5349" s="893">
        <f t="shared" si="334"/>
        <v>2</v>
      </c>
      <c r="R5349" s="894">
        <f t="shared" si="335"/>
        <v>0</v>
      </c>
    </row>
    <row r="5350" spans="1:18">
      <c r="A5350" s="905"/>
      <c r="B5350" s="906"/>
      <c r="C5350" s="907">
        <v>740</v>
      </c>
      <c r="D5350" s="907" t="s">
        <v>12</v>
      </c>
      <c r="E5350" s="908" t="s">
        <v>4008</v>
      </c>
      <c r="F5350" s="909" t="s">
        <v>2674</v>
      </c>
      <c r="G5350" s="910"/>
      <c r="H5350" s="911">
        <v>5.78</v>
      </c>
      <c r="I5350" s="912"/>
      <c r="J5350" s="912"/>
      <c r="K5350" s="912">
        <f>VLOOKUP(E5350,[5]ĐMNC!$A$7:$F$67,4,0)</f>
        <v>221125</v>
      </c>
      <c r="L5350" s="912">
        <f>H5350*K5350</f>
        <v>1278102.5</v>
      </c>
      <c r="M5350" s="912"/>
      <c r="N5350" s="912"/>
      <c r="O5350" s="892">
        <f t="shared" si="336"/>
        <v>0</v>
      </c>
      <c r="P5350" s="903">
        <f t="shared" si="333"/>
        <v>1</v>
      </c>
      <c r="Q5350" s="893">
        <f t="shared" si="334"/>
        <v>1</v>
      </c>
      <c r="R5350" s="894">
        <f t="shared" si="335"/>
        <v>0</v>
      </c>
    </row>
    <row r="5351" spans="1:18" s="847" customFormat="1" ht="31.5">
      <c r="A5351" s="905"/>
      <c r="B5351" s="914" t="s">
        <v>1563</v>
      </c>
      <c r="C5351" s="915"/>
      <c r="D5351" s="915"/>
      <c r="E5351" s="916" t="s">
        <v>5742</v>
      </c>
      <c r="F5351" s="917" t="s">
        <v>43</v>
      </c>
      <c r="G5351" s="918"/>
      <c r="H5351" s="919"/>
      <c r="I5351" s="920"/>
      <c r="J5351" s="891">
        <f>SUM(J5352:J5357)</f>
        <v>25200</v>
      </c>
      <c r="K5351" s="891"/>
      <c r="L5351" s="891">
        <f>SUM(L5352:L5357)</f>
        <v>1605367.5</v>
      </c>
      <c r="M5351" s="891"/>
      <c r="N5351" s="891">
        <f>SUM(N5352:N5357)</f>
        <v>0</v>
      </c>
      <c r="O5351" s="892">
        <f t="shared" si="336"/>
        <v>1</v>
      </c>
      <c r="P5351" s="903">
        <f t="shared" si="333"/>
        <v>0</v>
      </c>
      <c r="Q5351" s="893">
        <f t="shared" si="334"/>
        <v>0</v>
      </c>
      <c r="R5351" s="894">
        <f t="shared" si="335"/>
        <v>6</v>
      </c>
    </row>
    <row r="5352" spans="1:18" s="904" customFormat="1">
      <c r="A5352" s="895"/>
      <c r="B5352" s="896"/>
      <c r="C5352" s="897"/>
      <c r="D5352" s="897"/>
      <c r="E5352" s="898" t="s">
        <v>108</v>
      </c>
      <c r="F5352" s="899"/>
      <c r="G5352" s="900"/>
      <c r="H5352" s="901"/>
      <c r="I5352" s="902"/>
      <c r="J5352" s="902"/>
      <c r="K5352" s="912" t="s">
        <v>274</v>
      </c>
      <c r="L5352" s="902"/>
      <c r="M5352" s="902"/>
      <c r="N5352" s="902"/>
      <c r="O5352" s="892">
        <f t="shared" si="336"/>
        <v>0</v>
      </c>
      <c r="P5352" s="903">
        <f t="shared" ref="P5352:P5415" si="337">IF(O5352=0,1,0)</f>
        <v>1</v>
      </c>
      <c r="Q5352" s="893">
        <f t="shared" ref="Q5352:Q5415" si="338">IF(P5352=0,0,P5352+Q5353)</f>
        <v>6</v>
      </c>
      <c r="R5352" s="894">
        <f t="shared" ref="R5352:R5415" si="339">IF(Q5352=0,Q5353,0)</f>
        <v>0</v>
      </c>
    </row>
    <row r="5353" spans="1:18">
      <c r="A5353" s="905"/>
      <c r="B5353" s="906"/>
      <c r="C5353" s="907">
        <v>25</v>
      </c>
      <c r="D5353" s="907" t="s">
        <v>279</v>
      </c>
      <c r="E5353" s="925" t="s">
        <v>5656</v>
      </c>
      <c r="F5353" s="926" t="s">
        <v>2690</v>
      </c>
      <c r="G5353" s="910"/>
      <c r="H5353" s="911">
        <v>0.4</v>
      </c>
      <c r="I5353" s="912">
        <f>VLOOKUP(E5353,[3]VLP!$B$7:$K$300,10,0)</f>
        <v>5000</v>
      </c>
      <c r="J5353" s="912">
        <f>I5353*H5353</f>
        <v>2000</v>
      </c>
      <c r="K5353" s="912" t="s">
        <v>274</v>
      </c>
      <c r="L5353" s="912"/>
      <c r="M5353" s="912"/>
      <c r="N5353" s="912"/>
      <c r="O5353" s="892">
        <f t="shared" si="336"/>
        <v>0</v>
      </c>
      <c r="P5353" s="903">
        <f t="shared" si="337"/>
        <v>1</v>
      </c>
      <c r="Q5353" s="893">
        <f t="shared" si="338"/>
        <v>5</v>
      </c>
      <c r="R5353" s="894">
        <f t="shared" si="339"/>
        <v>0</v>
      </c>
    </row>
    <row r="5354" spans="1:18">
      <c r="A5354" s="905"/>
      <c r="B5354" s="906"/>
      <c r="C5354" s="907">
        <v>66</v>
      </c>
      <c r="D5354" s="907" t="s">
        <v>279</v>
      </c>
      <c r="E5354" s="925" t="s">
        <v>2682</v>
      </c>
      <c r="F5354" s="926" t="s">
        <v>45</v>
      </c>
      <c r="G5354" s="910"/>
      <c r="H5354" s="911">
        <v>0.5</v>
      </c>
      <c r="I5354" s="912">
        <f>VLOOKUP(E5354,[3]VLP!$B$7:$K$300,10,0)</f>
        <v>5000</v>
      </c>
      <c r="J5354" s="912">
        <f>I5354*H5354</f>
        <v>2500</v>
      </c>
      <c r="K5354" s="912" t="s">
        <v>274</v>
      </c>
      <c r="L5354" s="912"/>
      <c r="M5354" s="912"/>
      <c r="N5354" s="912"/>
      <c r="O5354" s="892">
        <f t="shared" si="336"/>
        <v>0</v>
      </c>
      <c r="P5354" s="903">
        <f t="shared" si="337"/>
        <v>1</v>
      </c>
      <c r="Q5354" s="893">
        <f t="shared" si="338"/>
        <v>4</v>
      </c>
      <c r="R5354" s="894">
        <f t="shared" si="339"/>
        <v>0</v>
      </c>
    </row>
    <row r="5355" spans="1:18">
      <c r="A5355" s="905"/>
      <c r="B5355" s="906"/>
      <c r="C5355" s="907">
        <v>44</v>
      </c>
      <c r="D5355" s="907" t="s">
        <v>279</v>
      </c>
      <c r="E5355" s="925" t="s">
        <v>2681</v>
      </c>
      <c r="F5355" s="926" t="s">
        <v>45</v>
      </c>
      <c r="G5355" s="910"/>
      <c r="H5355" s="911">
        <v>0.9</v>
      </c>
      <c r="I5355" s="912">
        <f>VLOOKUP(E5355,[3]VLP!$B$7:$K$300,10,0)</f>
        <v>23000</v>
      </c>
      <c r="J5355" s="912">
        <f>I5355*H5355</f>
        <v>20700</v>
      </c>
      <c r="K5355" s="912" t="s">
        <v>274</v>
      </c>
      <c r="L5355" s="912"/>
      <c r="M5355" s="912"/>
      <c r="N5355" s="912"/>
      <c r="O5355" s="892">
        <f t="shared" si="336"/>
        <v>0</v>
      </c>
      <c r="P5355" s="903">
        <f t="shared" si="337"/>
        <v>1</v>
      </c>
      <c r="Q5355" s="893">
        <f t="shared" si="338"/>
        <v>3</v>
      </c>
      <c r="R5355" s="894">
        <f t="shared" si="339"/>
        <v>0</v>
      </c>
    </row>
    <row r="5356" spans="1:18" s="904" customFormat="1">
      <c r="A5356" s="895"/>
      <c r="B5356" s="896"/>
      <c r="C5356" s="897"/>
      <c r="D5356" s="897"/>
      <c r="E5356" s="924" t="s">
        <v>276</v>
      </c>
      <c r="F5356" s="927"/>
      <c r="G5356" s="928"/>
      <c r="H5356" s="901"/>
      <c r="I5356" s="902"/>
      <c r="J5356" s="902"/>
      <c r="K5356" s="912" t="s">
        <v>274</v>
      </c>
      <c r="L5356" s="902"/>
      <c r="M5356" s="902"/>
      <c r="N5356" s="902"/>
      <c r="O5356" s="892">
        <f t="shared" si="336"/>
        <v>0</v>
      </c>
      <c r="P5356" s="903">
        <f t="shared" si="337"/>
        <v>1</v>
      </c>
      <c r="Q5356" s="893">
        <f t="shared" si="338"/>
        <v>2</v>
      </c>
      <c r="R5356" s="894">
        <f t="shared" si="339"/>
        <v>0</v>
      </c>
    </row>
    <row r="5357" spans="1:18">
      <c r="A5357" s="905"/>
      <c r="B5357" s="906"/>
      <c r="C5357" s="907">
        <v>740</v>
      </c>
      <c r="D5357" s="907" t="s">
        <v>12</v>
      </c>
      <c r="E5357" s="908" t="s">
        <v>4008</v>
      </c>
      <c r="F5357" s="909" t="s">
        <v>2674</v>
      </c>
      <c r="G5357" s="910"/>
      <c r="H5357" s="911">
        <v>7.26</v>
      </c>
      <c r="I5357" s="912"/>
      <c r="J5357" s="912"/>
      <c r="K5357" s="912">
        <f>VLOOKUP(E5357,[5]ĐMNC!$A$7:$F$67,4,0)</f>
        <v>221125</v>
      </c>
      <c r="L5357" s="912">
        <f>H5357*K5357</f>
        <v>1605367.5</v>
      </c>
      <c r="M5357" s="912"/>
      <c r="N5357" s="912"/>
      <c r="O5357" s="892">
        <f t="shared" si="336"/>
        <v>0</v>
      </c>
      <c r="P5357" s="903">
        <f t="shared" si="337"/>
        <v>1</v>
      </c>
      <c r="Q5357" s="893">
        <f t="shared" si="338"/>
        <v>1</v>
      </c>
      <c r="R5357" s="894">
        <f t="shared" si="339"/>
        <v>0</v>
      </c>
    </row>
    <row r="5358" spans="1:18" s="847" customFormat="1" ht="31.5">
      <c r="A5358" s="905"/>
      <c r="B5358" s="914" t="s">
        <v>1565</v>
      </c>
      <c r="C5358" s="915"/>
      <c r="D5358" s="915"/>
      <c r="E5358" s="916" t="s">
        <v>5743</v>
      </c>
      <c r="F5358" s="917" t="s">
        <v>43</v>
      </c>
      <c r="G5358" s="918"/>
      <c r="H5358" s="919"/>
      <c r="I5358" s="920"/>
      <c r="J5358" s="891">
        <f>SUM(J5359:J5364)</f>
        <v>28000</v>
      </c>
      <c r="K5358" s="891"/>
      <c r="L5358" s="891">
        <f>SUM(L5359:L5364)</f>
        <v>2109532.5</v>
      </c>
      <c r="M5358" s="891"/>
      <c r="N5358" s="891">
        <f>SUM(N5359:N5364)</f>
        <v>0</v>
      </c>
      <c r="O5358" s="892">
        <f t="shared" si="336"/>
        <v>1</v>
      </c>
      <c r="P5358" s="903">
        <f t="shared" si="337"/>
        <v>0</v>
      </c>
      <c r="Q5358" s="893">
        <f t="shared" si="338"/>
        <v>0</v>
      </c>
      <c r="R5358" s="894">
        <f t="shared" si="339"/>
        <v>6</v>
      </c>
    </row>
    <row r="5359" spans="1:18" s="904" customFormat="1">
      <c r="A5359" s="895"/>
      <c r="B5359" s="896"/>
      <c r="C5359" s="897"/>
      <c r="D5359" s="897"/>
      <c r="E5359" s="898" t="s">
        <v>108</v>
      </c>
      <c r="F5359" s="899"/>
      <c r="G5359" s="900"/>
      <c r="H5359" s="901"/>
      <c r="I5359" s="902"/>
      <c r="J5359" s="902"/>
      <c r="K5359" s="912" t="s">
        <v>274</v>
      </c>
      <c r="L5359" s="902"/>
      <c r="M5359" s="902"/>
      <c r="N5359" s="902"/>
      <c r="O5359" s="892">
        <f t="shared" si="336"/>
        <v>0</v>
      </c>
      <c r="P5359" s="903">
        <f t="shared" si="337"/>
        <v>1</v>
      </c>
      <c r="Q5359" s="893">
        <f t="shared" si="338"/>
        <v>6</v>
      </c>
      <c r="R5359" s="894">
        <f t="shared" si="339"/>
        <v>0</v>
      </c>
    </row>
    <row r="5360" spans="1:18">
      <c r="A5360" s="905"/>
      <c r="B5360" s="906"/>
      <c r="C5360" s="907">
        <v>25</v>
      </c>
      <c r="D5360" s="907" t="s">
        <v>279</v>
      </c>
      <c r="E5360" s="925" t="s">
        <v>5656</v>
      </c>
      <c r="F5360" s="926" t="s">
        <v>2690</v>
      </c>
      <c r="G5360" s="910"/>
      <c r="H5360" s="911">
        <v>0.4</v>
      </c>
      <c r="I5360" s="912">
        <f>VLOOKUP(E5360,[3]VLP!$B$7:$K$300,10,0)</f>
        <v>5000</v>
      </c>
      <c r="J5360" s="912">
        <f>I5360*H5360</f>
        <v>2000</v>
      </c>
      <c r="K5360" s="912" t="s">
        <v>274</v>
      </c>
      <c r="L5360" s="912"/>
      <c r="M5360" s="912"/>
      <c r="N5360" s="912"/>
      <c r="O5360" s="892">
        <f t="shared" si="336"/>
        <v>0</v>
      </c>
      <c r="P5360" s="903">
        <f t="shared" si="337"/>
        <v>1</v>
      </c>
      <c r="Q5360" s="893">
        <f t="shared" si="338"/>
        <v>5</v>
      </c>
      <c r="R5360" s="894">
        <f t="shared" si="339"/>
        <v>0</v>
      </c>
    </row>
    <row r="5361" spans="1:18">
      <c r="A5361" s="905"/>
      <c r="B5361" s="906"/>
      <c r="C5361" s="907">
        <v>66</v>
      </c>
      <c r="D5361" s="907" t="s">
        <v>279</v>
      </c>
      <c r="E5361" s="925" t="s">
        <v>2682</v>
      </c>
      <c r="F5361" s="926" t="s">
        <v>45</v>
      </c>
      <c r="G5361" s="910"/>
      <c r="H5361" s="911">
        <v>0.6</v>
      </c>
      <c r="I5361" s="912">
        <f>VLOOKUP(E5361,[3]VLP!$B$7:$K$300,10,0)</f>
        <v>5000</v>
      </c>
      <c r="J5361" s="912">
        <f>I5361*H5361</f>
        <v>3000</v>
      </c>
      <c r="K5361" s="912" t="s">
        <v>274</v>
      </c>
      <c r="L5361" s="912"/>
      <c r="M5361" s="912"/>
      <c r="N5361" s="912"/>
      <c r="O5361" s="892">
        <f t="shared" si="336"/>
        <v>0</v>
      </c>
      <c r="P5361" s="903">
        <f t="shared" si="337"/>
        <v>1</v>
      </c>
      <c r="Q5361" s="893">
        <f t="shared" si="338"/>
        <v>4</v>
      </c>
      <c r="R5361" s="894">
        <f t="shared" si="339"/>
        <v>0</v>
      </c>
    </row>
    <row r="5362" spans="1:18">
      <c r="A5362" s="905"/>
      <c r="B5362" s="906"/>
      <c r="C5362" s="907">
        <v>44</v>
      </c>
      <c r="D5362" s="907" t="s">
        <v>279</v>
      </c>
      <c r="E5362" s="925" t="s">
        <v>2681</v>
      </c>
      <c r="F5362" s="926" t="s">
        <v>45</v>
      </c>
      <c r="G5362" s="910"/>
      <c r="H5362" s="911">
        <v>1</v>
      </c>
      <c r="I5362" s="912">
        <f>VLOOKUP(E5362,[3]VLP!$B$7:$K$300,10,0)</f>
        <v>23000</v>
      </c>
      <c r="J5362" s="912">
        <f>I5362*H5362</f>
        <v>23000</v>
      </c>
      <c r="K5362" s="912" t="s">
        <v>274</v>
      </c>
      <c r="L5362" s="912"/>
      <c r="M5362" s="912"/>
      <c r="N5362" s="912"/>
      <c r="O5362" s="892">
        <f t="shared" si="336"/>
        <v>0</v>
      </c>
      <c r="P5362" s="903">
        <f t="shared" si="337"/>
        <v>1</v>
      </c>
      <c r="Q5362" s="893">
        <f t="shared" si="338"/>
        <v>3</v>
      </c>
      <c r="R5362" s="894">
        <f t="shared" si="339"/>
        <v>0</v>
      </c>
    </row>
    <row r="5363" spans="1:18" s="904" customFormat="1">
      <c r="A5363" s="895"/>
      <c r="B5363" s="896"/>
      <c r="C5363" s="897"/>
      <c r="D5363" s="897"/>
      <c r="E5363" s="924" t="s">
        <v>276</v>
      </c>
      <c r="F5363" s="927"/>
      <c r="G5363" s="928"/>
      <c r="H5363" s="901"/>
      <c r="I5363" s="902"/>
      <c r="J5363" s="902"/>
      <c r="K5363" s="912" t="s">
        <v>274</v>
      </c>
      <c r="L5363" s="902"/>
      <c r="M5363" s="902"/>
      <c r="N5363" s="902"/>
      <c r="O5363" s="892">
        <f t="shared" si="336"/>
        <v>0</v>
      </c>
      <c r="P5363" s="903">
        <f t="shared" si="337"/>
        <v>1</v>
      </c>
      <c r="Q5363" s="893">
        <f t="shared" si="338"/>
        <v>2</v>
      </c>
      <c r="R5363" s="894">
        <f t="shared" si="339"/>
        <v>0</v>
      </c>
    </row>
    <row r="5364" spans="1:18">
      <c r="A5364" s="905"/>
      <c r="B5364" s="906"/>
      <c r="C5364" s="907">
        <v>740</v>
      </c>
      <c r="D5364" s="907" t="s">
        <v>12</v>
      </c>
      <c r="E5364" s="908" t="s">
        <v>4008</v>
      </c>
      <c r="F5364" s="909" t="s">
        <v>2674</v>
      </c>
      <c r="G5364" s="910"/>
      <c r="H5364" s="911">
        <v>9.5399999999999991</v>
      </c>
      <c r="I5364" s="912"/>
      <c r="J5364" s="912"/>
      <c r="K5364" s="912">
        <f>VLOOKUP(E5364,[5]ĐMNC!$A$7:$F$67,4,0)</f>
        <v>221125</v>
      </c>
      <c r="L5364" s="912">
        <f>H5364*K5364</f>
        <v>2109532.5</v>
      </c>
      <c r="M5364" s="912"/>
      <c r="N5364" s="912"/>
      <c r="O5364" s="892">
        <f t="shared" si="336"/>
        <v>0</v>
      </c>
      <c r="P5364" s="903">
        <f t="shared" si="337"/>
        <v>1</v>
      </c>
      <c r="Q5364" s="893">
        <f t="shared" si="338"/>
        <v>1</v>
      </c>
      <c r="R5364" s="894">
        <f t="shared" si="339"/>
        <v>0</v>
      </c>
    </row>
    <row r="5365" spans="1:18" s="847" customFormat="1" ht="31.5">
      <c r="A5365" s="905"/>
      <c r="B5365" s="914" t="s">
        <v>1567</v>
      </c>
      <c r="C5365" s="915"/>
      <c r="D5365" s="915"/>
      <c r="E5365" s="916" t="s">
        <v>5744</v>
      </c>
      <c r="F5365" s="917" t="s">
        <v>43</v>
      </c>
      <c r="G5365" s="918"/>
      <c r="H5365" s="919"/>
      <c r="I5365" s="920"/>
      <c r="J5365" s="891">
        <f>SUM(J5366:J5371)</f>
        <v>28000</v>
      </c>
      <c r="K5365" s="891"/>
      <c r="L5365" s="891">
        <f>SUM(L5366:L5371)</f>
        <v>2631387.5</v>
      </c>
      <c r="M5365" s="891"/>
      <c r="N5365" s="891">
        <f>SUM(N5366:N5371)</f>
        <v>0</v>
      </c>
      <c r="O5365" s="892">
        <f t="shared" si="336"/>
        <v>1</v>
      </c>
      <c r="P5365" s="903">
        <f t="shared" si="337"/>
        <v>0</v>
      </c>
      <c r="Q5365" s="893">
        <f t="shared" si="338"/>
        <v>0</v>
      </c>
      <c r="R5365" s="894">
        <f t="shared" si="339"/>
        <v>6</v>
      </c>
    </row>
    <row r="5366" spans="1:18" s="904" customFormat="1">
      <c r="A5366" s="895"/>
      <c r="B5366" s="896"/>
      <c r="C5366" s="897"/>
      <c r="D5366" s="897"/>
      <c r="E5366" s="898" t="s">
        <v>108</v>
      </c>
      <c r="F5366" s="899"/>
      <c r="G5366" s="900"/>
      <c r="H5366" s="901"/>
      <c r="I5366" s="902"/>
      <c r="J5366" s="902"/>
      <c r="K5366" s="912" t="s">
        <v>274</v>
      </c>
      <c r="L5366" s="902"/>
      <c r="M5366" s="902"/>
      <c r="N5366" s="902"/>
      <c r="O5366" s="892">
        <f t="shared" si="336"/>
        <v>0</v>
      </c>
      <c r="P5366" s="903">
        <f t="shared" si="337"/>
        <v>1</v>
      </c>
      <c r="Q5366" s="893">
        <f t="shared" si="338"/>
        <v>6</v>
      </c>
      <c r="R5366" s="894">
        <f t="shared" si="339"/>
        <v>0</v>
      </c>
    </row>
    <row r="5367" spans="1:18">
      <c r="A5367" s="905"/>
      <c r="B5367" s="906"/>
      <c r="C5367" s="907">
        <v>25</v>
      </c>
      <c r="D5367" s="907" t="s">
        <v>279</v>
      </c>
      <c r="E5367" s="925" t="s">
        <v>5656</v>
      </c>
      <c r="F5367" s="926" t="s">
        <v>2690</v>
      </c>
      <c r="G5367" s="910"/>
      <c r="H5367" s="911">
        <v>0.4</v>
      </c>
      <c r="I5367" s="912">
        <f>VLOOKUP(E5367,[3]VLP!$B$7:$K$300,10,0)</f>
        <v>5000</v>
      </c>
      <c r="J5367" s="912">
        <f>I5367*H5367</f>
        <v>2000</v>
      </c>
      <c r="K5367" s="912" t="s">
        <v>274</v>
      </c>
      <c r="L5367" s="912"/>
      <c r="M5367" s="912"/>
      <c r="N5367" s="912"/>
      <c r="O5367" s="892">
        <f t="shared" si="336"/>
        <v>0</v>
      </c>
      <c r="P5367" s="903">
        <f t="shared" si="337"/>
        <v>1</v>
      </c>
      <c r="Q5367" s="893">
        <f t="shared" si="338"/>
        <v>5</v>
      </c>
      <c r="R5367" s="894">
        <f t="shared" si="339"/>
        <v>0</v>
      </c>
    </row>
    <row r="5368" spans="1:18">
      <c r="A5368" s="905"/>
      <c r="B5368" s="906"/>
      <c r="C5368" s="907">
        <v>66</v>
      </c>
      <c r="D5368" s="907" t="s">
        <v>279</v>
      </c>
      <c r="E5368" s="925" t="s">
        <v>2682</v>
      </c>
      <c r="F5368" s="926" t="s">
        <v>45</v>
      </c>
      <c r="G5368" s="910"/>
      <c r="H5368" s="911">
        <v>0.6</v>
      </c>
      <c r="I5368" s="912">
        <f>VLOOKUP(E5368,[3]VLP!$B$7:$K$300,10,0)</f>
        <v>5000</v>
      </c>
      <c r="J5368" s="912">
        <f>I5368*H5368</f>
        <v>3000</v>
      </c>
      <c r="K5368" s="912" t="s">
        <v>274</v>
      </c>
      <c r="L5368" s="912"/>
      <c r="M5368" s="912"/>
      <c r="N5368" s="912"/>
      <c r="O5368" s="892">
        <f t="shared" si="336"/>
        <v>0</v>
      </c>
      <c r="P5368" s="903">
        <f t="shared" si="337"/>
        <v>1</v>
      </c>
      <c r="Q5368" s="893">
        <f t="shared" si="338"/>
        <v>4</v>
      </c>
      <c r="R5368" s="894">
        <f t="shared" si="339"/>
        <v>0</v>
      </c>
    </row>
    <row r="5369" spans="1:18">
      <c r="A5369" s="905"/>
      <c r="B5369" s="906"/>
      <c r="C5369" s="907">
        <v>44</v>
      </c>
      <c r="D5369" s="907" t="s">
        <v>279</v>
      </c>
      <c r="E5369" s="925" t="s">
        <v>2681</v>
      </c>
      <c r="F5369" s="926" t="s">
        <v>45</v>
      </c>
      <c r="G5369" s="910"/>
      <c r="H5369" s="911">
        <v>1</v>
      </c>
      <c r="I5369" s="912">
        <f>VLOOKUP(E5369,[3]VLP!$B$7:$K$300,10,0)</f>
        <v>23000</v>
      </c>
      <c r="J5369" s="912">
        <f>I5369*H5369</f>
        <v>23000</v>
      </c>
      <c r="K5369" s="912" t="s">
        <v>274</v>
      </c>
      <c r="L5369" s="912"/>
      <c r="M5369" s="912"/>
      <c r="N5369" s="912"/>
      <c r="O5369" s="892">
        <f t="shared" si="336"/>
        <v>0</v>
      </c>
      <c r="P5369" s="903">
        <f t="shared" si="337"/>
        <v>1</v>
      </c>
      <c r="Q5369" s="893">
        <f t="shared" si="338"/>
        <v>3</v>
      </c>
      <c r="R5369" s="894">
        <f t="shared" si="339"/>
        <v>0</v>
      </c>
    </row>
    <row r="5370" spans="1:18" s="904" customFormat="1">
      <c r="A5370" s="895"/>
      <c r="B5370" s="896"/>
      <c r="C5370" s="897"/>
      <c r="D5370" s="897"/>
      <c r="E5370" s="924" t="s">
        <v>276</v>
      </c>
      <c r="F5370" s="927"/>
      <c r="G5370" s="928"/>
      <c r="H5370" s="901"/>
      <c r="I5370" s="902"/>
      <c r="J5370" s="902"/>
      <c r="K5370" s="912" t="s">
        <v>274</v>
      </c>
      <c r="L5370" s="902"/>
      <c r="M5370" s="902"/>
      <c r="N5370" s="902"/>
      <c r="O5370" s="892">
        <f t="shared" si="336"/>
        <v>0</v>
      </c>
      <c r="P5370" s="903">
        <f t="shared" si="337"/>
        <v>1</v>
      </c>
      <c r="Q5370" s="893">
        <f t="shared" si="338"/>
        <v>2</v>
      </c>
      <c r="R5370" s="894">
        <f t="shared" si="339"/>
        <v>0</v>
      </c>
    </row>
    <row r="5371" spans="1:18">
      <c r="A5371" s="905"/>
      <c r="B5371" s="906"/>
      <c r="C5371" s="907">
        <v>740</v>
      </c>
      <c r="D5371" s="907" t="s">
        <v>12</v>
      </c>
      <c r="E5371" s="908" t="s">
        <v>4008</v>
      </c>
      <c r="F5371" s="909" t="s">
        <v>2674</v>
      </c>
      <c r="G5371" s="910"/>
      <c r="H5371" s="911">
        <v>11.9</v>
      </c>
      <c r="I5371" s="912"/>
      <c r="J5371" s="912"/>
      <c r="K5371" s="912">
        <f>VLOOKUP(E5371,[5]ĐMNC!$A$7:$F$67,4,0)</f>
        <v>221125</v>
      </c>
      <c r="L5371" s="912">
        <f>H5371*K5371</f>
        <v>2631387.5</v>
      </c>
      <c r="M5371" s="912"/>
      <c r="N5371" s="912"/>
      <c r="O5371" s="892">
        <f t="shared" si="336"/>
        <v>0</v>
      </c>
      <c r="P5371" s="903">
        <f t="shared" si="337"/>
        <v>1</v>
      </c>
      <c r="Q5371" s="893">
        <f t="shared" si="338"/>
        <v>1</v>
      </c>
      <c r="R5371" s="894">
        <f t="shared" si="339"/>
        <v>0</v>
      </c>
    </row>
    <row r="5372" spans="1:18" s="847" customFormat="1" ht="31.5">
      <c r="A5372" s="905"/>
      <c r="B5372" s="914" t="s">
        <v>1569</v>
      </c>
      <c r="C5372" s="915"/>
      <c r="D5372" s="915"/>
      <c r="E5372" s="916" t="s">
        <v>5745</v>
      </c>
      <c r="F5372" s="917" t="s">
        <v>43</v>
      </c>
      <c r="G5372" s="918"/>
      <c r="H5372" s="919"/>
      <c r="I5372" s="920"/>
      <c r="J5372" s="891">
        <f>SUM(J5373:J5378)</f>
        <v>33600</v>
      </c>
      <c r="K5372" s="891"/>
      <c r="L5372" s="891">
        <f>SUM(L5373:L5378)</f>
        <v>2949807.5</v>
      </c>
      <c r="M5372" s="891"/>
      <c r="N5372" s="891">
        <f>SUM(N5373:N5378)</f>
        <v>0</v>
      </c>
      <c r="O5372" s="892">
        <f t="shared" si="336"/>
        <v>1</v>
      </c>
      <c r="P5372" s="903">
        <f t="shared" si="337"/>
        <v>0</v>
      </c>
      <c r="Q5372" s="893">
        <f t="shared" si="338"/>
        <v>0</v>
      </c>
      <c r="R5372" s="894">
        <f t="shared" si="339"/>
        <v>6</v>
      </c>
    </row>
    <row r="5373" spans="1:18" s="904" customFormat="1">
      <c r="A5373" s="895"/>
      <c r="B5373" s="896"/>
      <c r="C5373" s="897"/>
      <c r="D5373" s="897"/>
      <c r="E5373" s="898" t="s">
        <v>108</v>
      </c>
      <c r="F5373" s="899"/>
      <c r="G5373" s="900"/>
      <c r="H5373" s="901"/>
      <c r="I5373" s="902"/>
      <c r="J5373" s="902"/>
      <c r="K5373" s="912" t="s">
        <v>274</v>
      </c>
      <c r="L5373" s="902"/>
      <c r="M5373" s="902"/>
      <c r="N5373" s="902"/>
      <c r="O5373" s="892">
        <f t="shared" si="336"/>
        <v>0</v>
      </c>
      <c r="P5373" s="903">
        <f t="shared" si="337"/>
        <v>1</v>
      </c>
      <c r="Q5373" s="893">
        <f t="shared" si="338"/>
        <v>6</v>
      </c>
      <c r="R5373" s="894">
        <f t="shared" si="339"/>
        <v>0</v>
      </c>
    </row>
    <row r="5374" spans="1:18">
      <c r="A5374" s="905"/>
      <c r="B5374" s="906"/>
      <c r="C5374" s="907">
        <v>25</v>
      </c>
      <c r="D5374" s="907" t="s">
        <v>279</v>
      </c>
      <c r="E5374" s="925" t="s">
        <v>5656</v>
      </c>
      <c r="F5374" s="926" t="s">
        <v>2690</v>
      </c>
      <c r="G5374" s="910"/>
      <c r="H5374" s="911">
        <v>0.4</v>
      </c>
      <c r="I5374" s="912">
        <f>VLOOKUP(E5374,[3]VLP!$B$7:$K$300,10,0)</f>
        <v>5000</v>
      </c>
      <c r="J5374" s="912">
        <f>I5374*H5374</f>
        <v>2000</v>
      </c>
      <c r="K5374" s="912" t="s">
        <v>274</v>
      </c>
      <c r="L5374" s="912"/>
      <c r="M5374" s="912"/>
      <c r="N5374" s="912"/>
      <c r="O5374" s="892">
        <f t="shared" si="336"/>
        <v>0</v>
      </c>
      <c r="P5374" s="903">
        <f t="shared" si="337"/>
        <v>1</v>
      </c>
      <c r="Q5374" s="893">
        <f t="shared" si="338"/>
        <v>5</v>
      </c>
      <c r="R5374" s="894">
        <f t="shared" si="339"/>
        <v>0</v>
      </c>
    </row>
    <row r="5375" spans="1:18">
      <c r="A5375" s="905"/>
      <c r="B5375" s="906"/>
      <c r="C5375" s="907">
        <v>66</v>
      </c>
      <c r="D5375" s="907" t="s">
        <v>279</v>
      </c>
      <c r="E5375" s="925" t="s">
        <v>2682</v>
      </c>
      <c r="F5375" s="926" t="s">
        <v>45</v>
      </c>
      <c r="G5375" s="910"/>
      <c r="H5375" s="911">
        <v>0.8</v>
      </c>
      <c r="I5375" s="912">
        <f>VLOOKUP(E5375,[3]VLP!$B$7:$K$300,10,0)</f>
        <v>5000</v>
      </c>
      <c r="J5375" s="912">
        <f>I5375*H5375</f>
        <v>4000</v>
      </c>
      <c r="K5375" s="912" t="s">
        <v>274</v>
      </c>
      <c r="L5375" s="912"/>
      <c r="M5375" s="912"/>
      <c r="N5375" s="912"/>
      <c r="O5375" s="892">
        <f t="shared" si="336"/>
        <v>0</v>
      </c>
      <c r="P5375" s="903">
        <f t="shared" si="337"/>
        <v>1</v>
      </c>
      <c r="Q5375" s="893">
        <f t="shared" si="338"/>
        <v>4</v>
      </c>
      <c r="R5375" s="894">
        <f t="shared" si="339"/>
        <v>0</v>
      </c>
    </row>
    <row r="5376" spans="1:18">
      <c r="A5376" s="905"/>
      <c r="B5376" s="906"/>
      <c r="C5376" s="907">
        <v>44</v>
      </c>
      <c r="D5376" s="907" t="s">
        <v>279</v>
      </c>
      <c r="E5376" s="925" t="s">
        <v>2681</v>
      </c>
      <c r="F5376" s="926" t="s">
        <v>45</v>
      </c>
      <c r="G5376" s="910"/>
      <c r="H5376" s="911">
        <v>1.2</v>
      </c>
      <c r="I5376" s="912">
        <f>VLOOKUP(E5376,[3]VLP!$B$7:$K$300,10,0)</f>
        <v>23000</v>
      </c>
      <c r="J5376" s="912">
        <f>I5376*H5376</f>
        <v>27600</v>
      </c>
      <c r="K5376" s="912" t="s">
        <v>274</v>
      </c>
      <c r="L5376" s="912"/>
      <c r="M5376" s="912"/>
      <c r="N5376" s="912"/>
      <c r="O5376" s="892">
        <f t="shared" si="336"/>
        <v>0</v>
      </c>
      <c r="P5376" s="903">
        <f t="shared" si="337"/>
        <v>1</v>
      </c>
      <c r="Q5376" s="893">
        <f t="shared" si="338"/>
        <v>3</v>
      </c>
      <c r="R5376" s="894">
        <f t="shared" si="339"/>
        <v>0</v>
      </c>
    </row>
    <row r="5377" spans="1:18" s="904" customFormat="1">
      <c r="A5377" s="895"/>
      <c r="B5377" s="896"/>
      <c r="C5377" s="897"/>
      <c r="D5377" s="897"/>
      <c r="E5377" s="924" t="s">
        <v>276</v>
      </c>
      <c r="F5377" s="927"/>
      <c r="G5377" s="928"/>
      <c r="H5377" s="901"/>
      <c r="I5377" s="902"/>
      <c r="J5377" s="902"/>
      <c r="K5377" s="912" t="s">
        <v>274</v>
      </c>
      <c r="L5377" s="902"/>
      <c r="M5377" s="902"/>
      <c r="N5377" s="902"/>
      <c r="O5377" s="892">
        <f t="shared" si="336"/>
        <v>0</v>
      </c>
      <c r="P5377" s="903">
        <f t="shared" si="337"/>
        <v>1</v>
      </c>
      <c r="Q5377" s="893">
        <f t="shared" si="338"/>
        <v>2</v>
      </c>
      <c r="R5377" s="894">
        <f t="shared" si="339"/>
        <v>0</v>
      </c>
    </row>
    <row r="5378" spans="1:18">
      <c r="A5378" s="905"/>
      <c r="B5378" s="906"/>
      <c r="C5378" s="907">
        <v>740</v>
      </c>
      <c r="D5378" s="907" t="s">
        <v>12</v>
      </c>
      <c r="E5378" s="908" t="s">
        <v>4008</v>
      </c>
      <c r="F5378" s="909" t="s">
        <v>2674</v>
      </c>
      <c r="G5378" s="910"/>
      <c r="H5378" s="911">
        <v>13.34</v>
      </c>
      <c r="I5378" s="912"/>
      <c r="J5378" s="912"/>
      <c r="K5378" s="912">
        <f>VLOOKUP(E5378,[5]ĐMNC!$A$7:$F$67,4,0)</f>
        <v>221125</v>
      </c>
      <c r="L5378" s="912">
        <f>H5378*K5378</f>
        <v>2949807.5</v>
      </c>
      <c r="M5378" s="912"/>
      <c r="N5378" s="912"/>
      <c r="O5378" s="892">
        <f t="shared" si="336"/>
        <v>0</v>
      </c>
      <c r="P5378" s="903">
        <f t="shared" si="337"/>
        <v>1</v>
      </c>
      <c r="Q5378" s="893">
        <f t="shared" si="338"/>
        <v>1</v>
      </c>
      <c r="R5378" s="894">
        <f t="shared" si="339"/>
        <v>0</v>
      </c>
    </row>
    <row r="5379" spans="1:18" s="847" customFormat="1" ht="31.5">
      <c r="A5379" s="905"/>
      <c r="B5379" s="914" t="s">
        <v>1571</v>
      </c>
      <c r="C5379" s="915"/>
      <c r="D5379" s="915"/>
      <c r="E5379" s="916" t="s">
        <v>5746</v>
      </c>
      <c r="F5379" s="917" t="s">
        <v>43</v>
      </c>
      <c r="G5379" s="918"/>
      <c r="H5379" s="919"/>
      <c r="I5379" s="920"/>
      <c r="J5379" s="891">
        <f>SUM(J5380:J5385)</f>
        <v>34100</v>
      </c>
      <c r="K5379" s="891"/>
      <c r="L5379" s="891">
        <f>SUM(L5380:L5385)</f>
        <v>3832096.2499999995</v>
      </c>
      <c r="M5379" s="891"/>
      <c r="N5379" s="891">
        <f>SUM(N5380:N5385)</f>
        <v>0</v>
      </c>
      <c r="O5379" s="892">
        <f t="shared" si="336"/>
        <v>1</v>
      </c>
      <c r="P5379" s="903">
        <f t="shared" si="337"/>
        <v>0</v>
      </c>
      <c r="Q5379" s="893">
        <f t="shared" si="338"/>
        <v>0</v>
      </c>
      <c r="R5379" s="894">
        <f t="shared" si="339"/>
        <v>6</v>
      </c>
    </row>
    <row r="5380" spans="1:18" s="904" customFormat="1">
      <c r="A5380" s="895"/>
      <c r="B5380" s="896"/>
      <c r="C5380" s="897"/>
      <c r="D5380" s="897"/>
      <c r="E5380" s="898" t="s">
        <v>108</v>
      </c>
      <c r="F5380" s="899"/>
      <c r="G5380" s="900"/>
      <c r="H5380" s="901"/>
      <c r="I5380" s="902"/>
      <c r="J5380" s="902"/>
      <c r="K5380" s="912" t="s">
        <v>274</v>
      </c>
      <c r="L5380" s="902"/>
      <c r="M5380" s="902"/>
      <c r="N5380" s="902"/>
      <c r="O5380" s="892">
        <f t="shared" si="336"/>
        <v>0</v>
      </c>
      <c r="P5380" s="903">
        <f t="shared" si="337"/>
        <v>1</v>
      </c>
      <c r="Q5380" s="893">
        <f t="shared" si="338"/>
        <v>6</v>
      </c>
      <c r="R5380" s="894">
        <f t="shared" si="339"/>
        <v>0</v>
      </c>
    </row>
    <row r="5381" spans="1:18">
      <c r="A5381" s="905"/>
      <c r="B5381" s="906"/>
      <c r="C5381" s="907">
        <v>25</v>
      </c>
      <c r="D5381" s="907" t="s">
        <v>279</v>
      </c>
      <c r="E5381" s="925" t="s">
        <v>5656</v>
      </c>
      <c r="F5381" s="926" t="s">
        <v>2690</v>
      </c>
      <c r="G5381" s="910"/>
      <c r="H5381" s="911">
        <v>0.5</v>
      </c>
      <c r="I5381" s="912">
        <f>VLOOKUP(E5381,[3]VLP!$B$7:$K$300,10,0)</f>
        <v>5000</v>
      </c>
      <c r="J5381" s="912">
        <f>I5381*H5381</f>
        <v>2500</v>
      </c>
      <c r="K5381" s="912" t="s">
        <v>274</v>
      </c>
      <c r="L5381" s="912"/>
      <c r="M5381" s="912"/>
      <c r="N5381" s="912"/>
      <c r="O5381" s="892">
        <f t="shared" si="336"/>
        <v>0</v>
      </c>
      <c r="P5381" s="903">
        <f t="shared" si="337"/>
        <v>1</v>
      </c>
      <c r="Q5381" s="893">
        <f t="shared" si="338"/>
        <v>5</v>
      </c>
      <c r="R5381" s="894">
        <f t="shared" si="339"/>
        <v>0</v>
      </c>
    </row>
    <row r="5382" spans="1:18">
      <c r="A5382" s="905"/>
      <c r="B5382" s="906"/>
      <c r="C5382" s="907">
        <v>66</v>
      </c>
      <c r="D5382" s="907" t="s">
        <v>279</v>
      </c>
      <c r="E5382" s="925" t="s">
        <v>2682</v>
      </c>
      <c r="F5382" s="926" t="s">
        <v>45</v>
      </c>
      <c r="G5382" s="910"/>
      <c r="H5382" s="911">
        <v>0.8</v>
      </c>
      <c r="I5382" s="912">
        <f>VLOOKUP(E5382,[3]VLP!$B$7:$K$300,10,0)</f>
        <v>5000</v>
      </c>
      <c r="J5382" s="912">
        <f>I5382*H5382</f>
        <v>4000</v>
      </c>
      <c r="K5382" s="912" t="s">
        <v>274</v>
      </c>
      <c r="L5382" s="912"/>
      <c r="M5382" s="912"/>
      <c r="N5382" s="912"/>
      <c r="O5382" s="892">
        <f t="shared" si="336"/>
        <v>0</v>
      </c>
      <c r="P5382" s="903">
        <f t="shared" si="337"/>
        <v>1</v>
      </c>
      <c r="Q5382" s="893">
        <f t="shared" si="338"/>
        <v>4</v>
      </c>
      <c r="R5382" s="894">
        <f t="shared" si="339"/>
        <v>0</v>
      </c>
    </row>
    <row r="5383" spans="1:18">
      <c r="A5383" s="905"/>
      <c r="B5383" s="906"/>
      <c r="C5383" s="907">
        <v>44</v>
      </c>
      <c r="D5383" s="907" t="s">
        <v>279</v>
      </c>
      <c r="E5383" s="925" t="s">
        <v>2681</v>
      </c>
      <c r="F5383" s="926" t="s">
        <v>45</v>
      </c>
      <c r="G5383" s="910"/>
      <c r="H5383" s="911">
        <v>1.2</v>
      </c>
      <c r="I5383" s="912">
        <f>VLOOKUP(E5383,[3]VLP!$B$7:$K$300,10,0)</f>
        <v>23000</v>
      </c>
      <c r="J5383" s="912">
        <f>I5383*H5383</f>
        <v>27600</v>
      </c>
      <c r="K5383" s="912" t="s">
        <v>274</v>
      </c>
      <c r="L5383" s="912"/>
      <c r="M5383" s="912"/>
      <c r="N5383" s="912"/>
      <c r="O5383" s="892">
        <f t="shared" si="336"/>
        <v>0</v>
      </c>
      <c r="P5383" s="903">
        <f t="shared" si="337"/>
        <v>1</v>
      </c>
      <c r="Q5383" s="893">
        <f t="shared" si="338"/>
        <v>3</v>
      </c>
      <c r="R5383" s="894">
        <f t="shared" si="339"/>
        <v>0</v>
      </c>
    </row>
    <row r="5384" spans="1:18" s="904" customFormat="1">
      <c r="A5384" s="895"/>
      <c r="B5384" s="896"/>
      <c r="C5384" s="897"/>
      <c r="D5384" s="897"/>
      <c r="E5384" s="924" t="s">
        <v>276</v>
      </c>
      <c r="F5384" s="927"/>
      <c r="G5384" s="928"/>
      <c r="H5384" s="901"/>
      <c r="I5384" s="902"/>
      <c r="J5384" s="902"/>
      <c r="K5384" s="912" t="s">
        <v>274</v>
      </c>
      <c r="L5384" s="902"/>
      <c r="M5384" s="902"/>
      <c r="N5384" s="902"/>
      <c r="O5384" s="892">
        <f t="shared" si="336"/>
        <v>0</v>
      </c>
      <c r="P5384" s="903">
        <f t="shared" si="337"/>
        <v>1</v>
      </c>
      <c r="Q5384" s="893">
        <f t="shared" si="338"/>
        <v>2</v>
      </c>
      <c r="R5384" s="894">
        <f t="shared" si="339"/>
        <v>0</v>
      </c>
    </row>
    <row r="5385" spans="1:18">
      <c r="A5385" s="905"/>
      <c r="B5385" s="906"/>
      <c r="C5385" s="907">
        <v>740</v>
      </c>
      <c r="D5385" s="907" t="s">
        <v>12</v>
      </c>
      <c r="E5385" s="908" t="s">
        <v>4008</v>
      </c>
      <c r="F5385" s="909" t="s">
        <v>2674</v>
      </c>
      <c r="G5385" s="910"/>
      <c r="H5385" s="911">
        <v>17.329999999999998</v>
      </c>
      <c r="I5385" s="912"/>
      <c r="J5385" s="912"/>
      <c r="K5385" s="912">
        <f>VLOOKUP(E5385,[5]ĐMNC!$A$7:$F$67,4,0)</f>
        <v>221125</v>
      </c>
      <c r="L5385" s="912">
        <f>H5385*K5385</f>
        <v>3832096.2499999995</v>
      </c>
      <c r="M5385" s="912"/>
      <c r="N5385" s="912"/>
      <c r="O5385" s="892">
        <f t="shared" si="336"/>
        <v>0</v>
      </c>
      <c r="P5385" s="903">
        <f t="shared" si="337"/>
        <v>1</v>
      </c>
      <c r="Q5385" s="893">
        <f t="shared" si="338"/>
        <v>1</v>
      </c>
      <c r="R5385" s="894">
        <f t="shared" si="339"/>
        <v>0</v>
      </c>
    </row>
    <row r="5386" spans="1:18" s="847" customFormat="1" ht="31.5">
      <c r="A5386" s="905"/>
      <c r="B5386" s="914" t="s">
        <v>1573</v>
      </c>
      <c r="C5386" s="915"/>
      <c r="D5386" s="915"/>
      <c r="E5386" s="916" t="s">
        <v>5747</v>
      </c>
      <c r="F5386" s="917" t="s">
        <v>43</v>
      </c>
      <c r="G5386" s="918"/>
      <c r="H5386" s="919"/>
      <c r="I5386" s="920"/>
      <c r="J5386" s="891">
        <f>SUM(J5387:J5392)</f>
        <v>34100</v>
      </c>
      <c r="K5386" s="891"/>
      <c r="L5386" s="891">
        <f>SUM(L5387:L5392)</f>
        <v>5107987.5</v>
      </c>
      <c r="M5386" s="891"/>
      <c r="N5386" s="891">
        <f>SUM(N5387:N5392)</f>
        <v>0</v>
      </c>
      <c r="O5386" s="892">
        <f t="shared" si="336"/>
        <v>1</v>
      </c>
      <c r="P5386" s="903">
        <f t="shared" si="337"/>
        <v>0</v>
      </c>
      <c r="Q5386" s="893">
        <f t="shared" si="338"/>
        <v>0</v>
      </c>
      <c r="R5386" s="894">
        <f t="shared" si="339"/>
        <v>6</v>
      </c>
    </row>
    <row r="5387" spans="1:18" s="904" customFormat="1">
      <c r="A5387" s="895"/>
      <c r="B5387" s="896"/>
      <c r="C5387" s="897"/>
      <c r="D5387" s="897"/>
      <c r="E5387" s="898" t="s">
        <v>108</v>
      </c>
      <c r="F5387" s="899"/>
      <c r="G5387" s="900"/>
      <c r="H5387" s="901"/>
      <c r="I5387" s="902"/>
      <c r="J5387" s="902"/>
      <c r="K5387" s="912" t="s">
        <v>274</v>
      </c>
      <c r="L5387" s="902"/>
      <c r="M5387" s="902"/>
      <c r="N5387" s="902"/>
      <c r="O5387" s="892">
        <f t="shared" si="336"/>
        <v>0</v>
      </c>
      <c r="P5387" s="903">
        <f t="shared" si="337"/>
        <v>1</v>
      </c>
      <c r="Q5387" s="893">
        <f t="shared" si="338"/>
        <v>6</v>
      </c>
      <c r="R5387" s="894">
        <f t="shared" si="339"/>
        <v>0</v>
      </c>
    </row>
    <row r="5388" spans="1:18">
      <c r="A5388" s="905"/>
      <c r="B5388" s="906"/>
      <c r="C5388" s="907">
        <v>25</v>
      </c>
      <c r="D5388" s="907" t="s">
        <v>279</v>
      </c>
      <c r="E5388" s="925" t="s">
        <v>5656</v>
      </c>
      <c r="F5388" s="926" t="s">
        <v>2690</v>
      </c>
      <c r="G5388" s="910"/>
      <c r="H5388" s="911">
        <v>0.5</v>
      </c>
      <c r="I5388" s="912">
        <f>VLOOKUP(E5388,[3]VLP!$B$7:$K$300,10,0)</f>
        <v>5000</v>
      </c>
      <c r="J5388" s="912">
        <f>I5388*H5388</f>
        <v>2500</v>
      </c>
      <c r="K5388" s="912" t="s">
        <v>274</v>
      </c>
      <c r="L5388" s="912"/>
      <c r="M5388" s="912"/>
      <c r="N5388" s="912"/>
      <c r="O5388" s="892">
        <f t="shared" si="336"/>
        <v>0</v>
      </c>
      <c r="P5388" s="903">
        <f t="shared" si="337"/>
        <v>1</v>
      </c>
      <c r="Q5388" s="893">
        <f t="shared" si="338"/>
        <v>5</v>
      </c>
      <c r="R5388" s="894">
        <f t="shared" si="339"/>
        <v>0</v>
      </c>
    </row>
    <row r="5389" spans="1:18">
      <c r="A5389" s="905"/>
      <c r="B5389" s="906"/>
      <c r="C5389" s="907">
        <v>66</v>
      </c>
      <c r="D5389" s="907" t="s">
        <v>279</v>
      </c>
      <c r="E5389" s="925" t="s">
        <v>2682</v>
      </c>
      <c r="F5389" s="926" t="s">
        <v>45</v>
      </c>
      <c r="G5389" s="910"/>
      <c r="H5389" s="911">
        <v>0.8</v>
      </c>
      <c r="I5389" s="912">
        <f>VLOOKUP(E5389,[3]VLP!$B$7:$K$300,10,0)</f>
        <v>5000</v>
      </c>
      <c r="J5389" s="912">
        <f>I5389*H5389</f>
        <v>4000</v>
      </c>
      <c r="K5389" s="912" t="s">
        <v>274</v>
      </c>
      <c r="L5389" s="912"/>
      <c r="M5389" s="912"/>
      <c r="N5389" s="912"/>
      <c r="O5389" s="892">
        <f t="shared" si="336"/>
        <v>0</v>
      </c>
      <c r="P5389" s="903">
        <f t="shared" si="337"/>
        <v>1</v>
      </c>
      <c r="Q5389" s="893">
        <f t="shared" si="338"/>
        <v>4</v>
      </c>
      <c r="R5389" s="894">
        <f t="shared" si="339"/>
        <v>0</v>
      </c>
    </row>
    <row r="5390" spans="1:18">
      <c r="A5390" s="905"/>
      <c r="B5390" s="906"/>
      <c r="C5390" s="907">
        <v>44</v>
      </c>
      <c r="D5390" s="907" t="s">
        <v>279</v>
      </c>
      <c r="E5390" s="925" t="s">
        <v>2681</v>
      </c>
      <c r="F5390" s="926" t="s">
        <v>45</v>
      </c>
      <c r="G5390" s="910"/>
      <c r="H5390" s="911">
        <v>1.2</v>
      </c>
      <c r="I5390" s="912">
        <f>VLOOKUP(E5390,[3]VLP!$B$7:$K$300,10,0)</f>
        <v>23000</v>
      </c>
      <c r="J5390" s="912">
        <f>I5390*H5390</f>
        <v>27600</v>
      </c>
      <c r="K5390" s="912" t="s">
        <v>274</v>
      </c>
      <c r="L5390" s="912"/>
      <c r="M5390" s="912"/>
      <c r="N5390" s="912"/>
      <c r="O5390" s="892">
        <f t="shared" si="336"/>
        <v>0</v>
      </c>
      <c r="P5390" s="903">
        <f t="shared" si="337"/>
        <v>1</v>
      </c>
      <c r="Q5390" s="893">
        <f t="shared" si="338"/>
        <v>3</v>
      </c>
      <c r="R5390" s="894">
        <f t="shared" si="339"/>
        <v>0</v>
      </c>
    </row>
    <row r="5391" spans="1:18" s="904" customFormat="1">
      <c r="A5391" s="895"/>
      <c r="B5391" s="896"/>
      <c r="C5391" s="897"/>
      <c r="D5391" s="897"/>
      <c r="E5391" s="924" t="s">
        <v>276</v>
      </c>
      <c r="F5391" s="927"/>
      <c r="G5391" s="928"/>
      <c r="H5391" s="901"/>
      <c r="I5391" s="902"/>
      <c r="J5391" s="902"/>
      <c r="K5391" s="912" t="s">
        <v>274</v>
      </c>
      <c r="L5391" s="902"/>
      <c r="M5391" s="902"/>
      <c r="N5391" s="902"/>
      <c r="O5391" s="892">
        <f t="shared" si="336"/>
        <v>0</v>
      </c>
      <c r="P5391" s="903">
        <f t="shared" si="337"/>
        <v>1</v>
      </c>
      <c r="Q5391" s="893">
        <f t="shared" si="338"/>
        <v>2</v>
      </c>
      <c r="R5391" s="894">
        <f t="shared" si="339"/>
        <v>0</v>
      </c>
    </row>
    <row r="5392" spans="1:18">
      <c r="A5392" s="905"/>
      <c r="B5392" s="906"/>
      <c r="C5392" s="907">
        <v>740</v>
      </c>
      <c r="D5392" s="907" t="s">
        <v>12</v>
      </c>
      <c r="E5392" s="908" t="s">
        <v>4008</v>
      </c>
      <c r="F5392" s="909" t="s">
        <v>2674</v>
      </c>
      <c r="G5392" s="910"/>
      <c r="H5392" s="911">
        <v>23.1</v>
      </c>
      <c r="I5392" s="912"/>
      <c r="J5392" s="912"/>
      <c r="K5392" s="912">
        <f>VLOOKUP(E5392,[5]ĐMNC!$A$7:$F$67,4,0)</f>
        <v>221125</v>
      </c>
      <c r="L5392" s="912">
        <f>H5392*K5392</f>
        <v>5107987.5</v>
      </c>
      <c r="M5392" s="912"/>
      <c r="N5392" s="912"/>
      <c r="O5392" s="892">
        <f t="shared" si="336"/>
        <v>0</v>
      </c>
      <c r="P5392" s="903">
        <f t="shared" si="337"/>
        <v>1</v>
      </c>
      <c r="Q5392" s="893">
        <f t="shared" si="338"/>
        <v>1</v>
      </c>
      <c r="R5392" s="894">
        <f t="shared" si="339"/>
        <v>0</v>
      </c>
    </row>
    <row r="5393" spans="1:18" s="847" customFormat="1" ht="31.5">
      <c r="A5393" s="905"/>
      <c r="B5393" s="914" t="s">
        <v>1575</v>
      </c>
      <c r="C5393" s="915"/>
      <c r="D5393" s="915"/>
      <c r="E5393" s="916" t="s">
        <v>5748</v>
      </c>
      <c r="F5393" s="917" t="s">
        <v>43</v>
      </c>
      <c r="G5393" s="918"/>
      <c r="H5393" s="919"/>
      <c r="I5393" s="920"/>
      <c r="J5393" s="891">
        <f>SUM(J5394:J5399)</f>
        <v>39700</v>
      </c>
      <c r="K5393" s="891"/>
      <c r="L5393" s="891">
        <f>SUM(L5394:L5399)</f>
        <v>6810650</v>
      </c>
      <c r="M5393" s="891"/>
      <c r="N5393" s="891">
        <f>SUM(N5394:N5399)</f>
        <v>0</v>
      </c>
      <c r="O5393" s="892">
        <f t="shared" si="336"/>
        <v>1</v>
      </c>
      <c r="P5393" s="903">
        <f t="shared" si="337"/>
        <v>0</v>
      </c>
      <c r="Q5393" s="893">
        <f t="shared" si="338"/>
        <v>0</v>
      </c>
      <c r="R5393" s="894">
        <f t="shared" si="339"/>
        <v>6</v>
      </c>
    </row>
    <row r="5394" spans="1:18" s="904" customFormat="1">
      <c r="A5394" s="895"/>
      <c r="B5394" s="896"/>
      <c r="C5394" s="897"/>
      <c r="D5394" s="897"/>
      <c r="E5394" s="898" t="s">
        <v>108</v>
      </c>
      <c r="F5394" s="899"/>
      <c r="G5394" s="900"/>
      <c r="H5394" s="901"/>
      <c r="I5394" s="902"/>
      <c r="J5394" s="902"/>
      <c r="K5394" s="912" t="s">
        <v>274</v>
      </c>
      <c r="L5394" s="902"/>
      <c r="M5394" s="902"/>
      <c r="N5394" s="902"/>
      <c r="O5394" s="892">
        <f t="shared" si="336"/>
        <v>0</v>
      </c>
      <c r="P5394" s="903">
        <f t="shared" si="337"/>
        <v>1</v>
      </c>
      <c r="Q5394" s="893">
        <f t="shared" si="338"/>
        <v>6</v>
      </c>
      <c r="R5394" s="894">
        <f t="shared" si="339"/>
        <v>0</v>
      </c>
    </row>
    <row r="5395" spans="1:18">
      <c r="A5395" s="905"/>
      <c r="B5395" s="906"/>
      <c r="C5395" s="907">
        <v>25</v>
      </c>
      <c r="D5395" s="907" t="s">
        <v>279</v>
      </c>
      <c r="E5395" s="925" t="s">
        <v>5656</v>
      </c>
      <c r="F5395" s="926" t="s">
        <v>2690</v>
      </c>
      <c r="G5395" s="910"/>
      <c r="H5395" s="911">
        <v>0.5</v>
      </c>
      <c r="I5395" s="912">
        <f>VLOOKUP(E5395,[3]VLP!$B$7:$K$300,10,0)</f>
        <v>5000</v>
      </c>
      <c r="J5395" s="912">
        <f>I5395*H5395</f>
        <v>2500</v>
      </c>
      <c r="K5395" s="912" t="s">
        <v>274</v>
      </c>
      <c r="L5395" s="912"/>
      <c r="M5395" s="912"/>
      <c r="N5395" s="912"/>
      <c r="O5395" s="892">
        <f t="shared" si="336"/>
        <v>0</v>
      </c>
      <c r="P5395" s="903">
        <f t="shared" si="337"/>
        <v>1</v>
      </c>
      <c r="Q5395" s="893">
        <f t="shared" si="338"/>
        <v>5</v>
      </c>
      <c r="R5395" s="894">
        <f t="shared" si="339"/>
        <v>0</v>
      </c>
    </row>
    <row r="5396" spans="1:18">
      <c r="A5396" s="905"/>
      <c r="B5396" s="906"/>
      <c r="C5396" s="907">
        <v>66</v>
      </c>
      <c r="D5396" s="907" t="s">
        <v>279</v>
      </c>
      <c r="E5396" s="925" t="s">
        <v>2682</v>
      </c>
      <c r="F5396" s="926" t="s">
        <v>45</v>
      </c>
      <c r="G5396" s="910"/>
      <c r="H5396" s="911">
        <v>1</v>
      </c>
      <c r="I5396" s="912">
        <f>VLOOKUP(E5396,[3]VLP!$B$7:$K$300,10,0)</f>
        <v>5000</v>
      </c>
      <c r="J5396" s="912">
        <f>I5396*H5396</f>
        <v>5000</v>
      </c>
      <c r="K5396" s="912" t="s">
        <v>274</v>
      </c>
      <c r="L5396" s="912"/>
      <c r="M5396" s="912"/>
      <c r="N5396" s="912"/>
      <c r="O5396" s="892">
        <f t="shared" si="336"/>
        <v>0</v>
      </c>
      <c r="P5396" s="903">
        <f t="shared" si="337"/>
        <v>1</v>
      </c>
      <c r="Q5396" s="893">
        <f t="shared" si="338"/>
        <v>4</v>
      </c>
      <c r="R5396" s="894">
        <f t="shared" si="339"/>
        <v>0</v>
      </c>
    </row>
    <row r="5397" spans="1:18">
      <c r="A5397" s="905"/>
      <c r="B5397" s="906"/>
      <c r="C5397" s="907">
        <v>44</v>
      </c>
      <c r="D5397" s="907" t="s">
        <v>279</v>
      </c>
      <c r="E5397" s="925" t="s">
        <v>2681</v>
      </c>
      <c r="F5397" s="926" t="s">
        <v>45</v>
      </c>
      <c r="G5397" s="910"/>
      <c r="H5397" s="911">
        <v>1.4</v>
      </c>
      <c r="I5397" s="912">
        <f>VLOOKUP(E5397,[3]VLP!$B$7:$K$300,10,0)</f>
        <v>23000</v>
      </c>
      <c r="J5397" s="912">
        <f>I5397*H5397</f>
        <v>32199.999999999996</v>
      </c>
      <c r="K5397" s="912" t="s">
        <v>274</v>
      </c>
      <c r="L5397" s="912"/>
      <c r="M5397" s="912"/>
      <c r="N5397" s="912"/>
      <c r="O5397" s="892">
        <f t="shared" si="336"/>
        <v>0</v>
      </c>
      <c r="P5397" s="903">
        <f t="shared" si="337"/>
        <v>1</v>
      </c>
      <c r="Q5397" s="893">
        <f t="shared" si="338"/>
        <v>3</v>
      </c>
      <c r="R5397" s="894">
        <f t="shared" si="339"/>
        <v>0</v>
      </c>
    </row>
    <row r="5398" spans="1:18" s="904" customFormat="1">
      <c r="A5398" s="895"/>
      <c r="B5398" s="896"/>
      <c r="C5398" s="897"/>
      <c r="D5398" s="897"/>
      <c r="E5398" s="924" t="s">
        <v>276</v>
      </c>
      <c r="F5398" s="927"/>
      <c r="G5398" s="928"/>
      <c r="H5398" s="901"/>
      <c r="I5398" s="902"/>
      <c r="J5398" s="902"/>
      <c r="K5398" s="912" t="s">
        <v>274</v>
      </c>
      <c r="L5398" s="902"/>
      <c r="M5398" s="902"/>
      <c r="N5398" s="902"/>
      <c r="O5398" s="892">
        <f t="shared" si="336"/>
        <v>0</v>
      </c>
      <c r="P5398" s="903">
        <f t="shared" si="337"/>
        <v>1</v>
      </c>
      <c r="Q5398" s="893">
        <f t="shared" si="338"/>
        <v>2</v>
      </c>
      <c r="R5398" s="894">
        <f t="shared" si="339"/>
        <v>0</v>
      </c>
    </row>
    <row r="5399" spans="1:18">
      <c r="A5399" s="905"/>
      <c r="B5399" s="906"/>
      <c r="C5399" s="907">
        <v>740</v>
      </c>
      <c r="D5399" s="907" t="s">
        <v>12</v>
      </c>
      <c r="E5399" s="908" t="s">
        <v>4008</v>
      </c>
      <c r="F5399" s="909" t="s">
        <v>2674</v>
      </c>
      <c r="G5399" s="910"/>
      <c r="H5399" s="911">
        <v>30.8</v>
      </c>
      <c r="I5399" s="912"/>
      <c r="J5399" s="912"/>
      <c r="K5399" s="912">
        <f>VLOOKUP(E5399,[5]ĐMNC!$A$7:$F$67,4,0)</f>
        <v>221125</v>
      </c>
      <c r="L5399" s="912">
        <f>H5399*K5399</f>
        <v>6810650</v>
      </c>
      <c r="M5399" s="912"/>
      <c r="N5399" s="912"/>
      <c r="O5399" s="892">
        <f t="shared" si="336"/>
        <v>0</v>
      </c>
      <c r="P5399" s="903">
        <f t="shared" si="337"/>
        <v>1</v>
      </c>
      <c r="Q5399" s="893">
        <f t="shared" si="338"/>
        <v>1</v>
      </c>
      <c r="R5399" s="894">
        <f t="shared" si="339"/>
        <v>0</v>
      </c>
    </row>
    <row r="5400" spans="1:18" s="847" customFormat="1" ht="31.5">
      <c r="A5400" s="905"/>
      <c r="B5400" s="914" t="s">
        <v>1577</v>
      </c>
      <c r="C5400" s="915"/>
      <c r="D5400" s="915"/>
      <c r="E5400" s="916" t="s">
        <v>5749</v>
      </c>
      <c r="F5400" s="917" t="s">
        <v>43</v>
      </c>
      <c r="G5400" s="918"/>
      <c r="H5400" s="919"/>
      <c r="I5400" s="920"/>
      <c r="J5400" s="891">
        <f>SUM(J5401:J5406)</f>
        <v>42500</v>
      </c>
      <c r="K5400" s="891"/>
      <c r="L5400" s="891">
        <f>SUM(L5401:L5406)</f>
        <v>8851633.75</v>
      </c>
      <c r="M5400" s="891"/>
      <c r="N5400" s="891">
        <f>SUM(N5401:N5406)</f>
        <v>0</v>
      </c>
      <c r="O5400" s="892">
        <f t="shared" si="336"/>
        <v>1</v>
      </c>
      <c r="P5400" s="903">
        <f t="shared" si="337"/>
        <v>0</v>
      </c>
      <c r="Q5400" s="893">
        <f t="shared" si="338"/>
        <v>0</v>
      </c>
      <c r="R5400" s="894">
        <f t="shared" si="339"/>
        <v>6</v>
      </c>
    </row>
    <row r="5401" spans="1:18" s="904" customFormat="1">
      <c r="A5401" s="895"/>
      <c r="B5401" s="896"/>
      <c r="C5401" s="897"/>
      <c r="D5401" s="897"/>
      <c r="E5401" s="898" t="s">
        <v>108</v>
      </c>
      <c r="F5401" s="899"/>
      <c r="G5401" s="900"/>
      <c r="H5401" s="901"/>
      <c r="I5401" s="902"/>
      <c r="J5401" s="902"/>
      <c r="K5401" s="912" t="s">
        <v>274</v>
      </c>
      <c r="L5401" s="902"/>
      <c r="M5401" s="902"/>
      <c r="N5401" s="902"/>
      <c r="O5401" s="892">
        <f t="shared" si="336"/>
        <v>0</v>
      </c>
      <c r="P5401" s="903">
        <f t="shared" si="337"/>
        <v>1</v>
      </c>
      <c r="Q5401" s="893">
        <f t="shared" si="338"/>
        <v>6</v>
      </c>
      <c r="R5401" s="894">
        <f t="shared" si="339"/>
        <v>0</v>
      </c>
    </row>
    <row r="5402" spans="1:18">
      <c r="A5402" s="905"/>
      <c r="B5402" s="906"/>
      <c r="C5402" s="907">
        <v>25</v>
      </c>
      <c r="D5402" s="907" t="s">
        <v>279</v>
      </c>
      <c r="E5402" s="925" t="s">
        <v>5656</v>
      </c>
      <c r="F5402" s="926" t="s">
        <v>2690</v>
      </c>
      <c r="G5402" s="910"/>
      <c r="H5402" s="911">
        <v>0.6</v>
      </c>
      <c r="I5402" s="912">
        <f>VLOOKUP(E5402,[3]VLP!$B$7:$K$300,10,0)</f>
        <v>5000</v>
      </c>
      <c r="J5402" s="912">
        <f>I5402*H5402</f>
        <v>3000</v>
      </c>
      <c r="K5402" s="912" t="s">
        <v>274</v>
      </c>
      <c r="L5402" s="912"/>
      <c r="M5402" s="912"/>
      <c r="N5402" s="912"/>
      <c r="O5402" s="892">
        <f t="shared" si="336"/>
        <v>0</v>
      </c>
      <c r="P5402" s="903">
        <f t="shared" si="337"/>
        <v>1</v>
      </c>
      <c r="Q5402" s="893">
        <f t="shared" si="338"/>
        <v>5</v>
      </c>
      <c r="R5402" s="894">
        <f t="shared" si="339"/>
        <v>0</v>
      </c>
    </row>
    <row r="5403" spans="1:18">
      <c r="A5403" s="905"/>
      <c r="B5403" s="906"/>
      <c r="C5403" s="907">
        <v>66</v>
      </c>
      <c r="D5403" s="907" t="s">
        <v>279</v>
      </c>
      <c r="E5403" s="925" t="s">
        <v>2682</v>
      </c>
      <c r="F5403" s="926" t="s">
        <v>45</v>
      </c>
      <c r="G5403" s="910"/>
      <c r="H5403" s="911">
        <v>1</v>
      </c>
      <c r="I5403" s="912">
        <f>VLOOKUP(E5403,[3]VLP!$B$7:$K$300,10,0)</f>
        <v>5000</v>
      </c>
      <c r="J5403" s="912">
        <f>I5403*H5403</f>
        <v>5000</v>
      </c>
      <c r="K5403" s="912" t="s">
        <v>274</v>
      </c>
      <c r="L5403" s="912"/>
      <c r="M5403" s="912"/>
      <c r="N5403" s="912"/>
      <c r="O5403" s="892">
        <f t="shared" si="336"/>
        <v>0</v>
      </c>
      <c r="P5403" s="903">
        <f t="shared" si="337"/>
        <v>1</v>
      </c>
      <c r="Q5403" s="893">
        <f t="shared" si="338"/>
        <v>4</v>
      </c>
      <c r="R5403" s="894">
        <f t="shared" si="339"/>
        <v>0</v>
      </c>
    </row>
    <row r="5404" spans="1:18">
      <c r="A5404" s="905"/>
      <c r="B5404" s="906"/>
      <c r="C5404" s="907">
        <v>44</v>
      </c>
      <c r="D5404" s="907" t="s">
        <v>279</v>
      </c>
      <c r="E5404" s="925" t="s">
        <v>2681</v>
      </c>
      <c r="F5404" s="926" t="s">
        <v>45</v>
      </c>
      <c r="G5404" s="910"/>
      <c r="H5404" s="911">
        <v>1.5</v>
      </c>
      <c r="I5404" s="912">
        <f>VLOOKUP(E5404,[3]VLP!$B$7:$K$300,10,0)</f>
        <v>23000</v>
      </c>
      <c r="J5404" s="912">
        <f>I5404*H5404</f>
        <v>34500</v>
      </c>
      <c r="K5404" s="912" t="s">
        <v>274</v>
      </c>
      <c r="L5404" s="912"/>
      <c r="M5404" s="912"/>
      <c r="N5404" s="912"/>
      <c r="O5404" s="892">
        <f t="shared" si="336"/>
        <v>0</v>
      </c>
      <c r="P5404" s="903">
        <f t="shared" si="337"/>
        <v>1</v>
      </c>
      <c r="Q5404" s="893">
        <f t="shared" si="338"/>
        <v>3</v>
      </c>
      <c r="R5404" s="894">
        <f t="shared" si="339"/>
        <v>0</v>
      </c>
    </row>
    <row r="5405" spans="1:18" s="904" customFormat="1">
      <c r="A5405" s="895"/>
      <c r="B5405" s="896"/>
      <c r="C5405" s="897"/>
      <c r="D5405" s="897"/>
      <c r="E5405" s="924" t="s">
        <v>276</v>
      </c>
      <c r="F5405" s="927"/>
      <c r="G5405" s="928"/>
      <c r="H5405" s="901"/>
      <c r="I5405" s="902"/>
      <c r="J5405" s="902"/>
      <c r="K5405" s="912" t="s">
        <v>274</v>
      </c>
      <c r="L5405" s="902"/>
      <c r="M5405" s="902"/>
      <c r="N5405" s="902"/>
      <c r="O5405" s="892">
        <f t="shared" si="336"/>
        <v>0</v>
      </c>
      <c r="P5405" s="903">
        <f t="shared" si="337"/>
        <v>1</v>
      </c>
      <c r="Q5405" s="893">
        <f t="shared" si="338"/>
        <v>2</v>
      </c>
      <c r="R5405" s="894">
        <f t="shared" si="339"/>
        <v>0</v>
      </c>
    </row>
    <row r="5406" spans="1:18">
      <c r="A5406" s="905"/>
      <c r="B5406" s="906"/>
      <c r="C5406" s="907">
        <v>740</v>
      </c>
      <c r="D5406" s="907" t="s">
        <v>12</v>
      </c>
      <c r="E5406" s="908" t="s">
        <v>4008</v>
      </c>
      <c r="F5406" s="909" t="s">
        <v>2674</v>
      </c>
      <c r="G5406" s="910"/>
      <c r="H5406" s="911">
        <v>40.03</v>
      </c>
      <c r="I5406" s="912"/>
      <c r="J5406" s="912"/>
      <c r="K5406" s="912">
        <f>VLOOKUP(E5406,[5]ĐMNC!$A$7:$F$67,4,0)</f>
        <v>221125</v>
      </c>
      <c r="L5406" s="912">
        <f>H5406*K5406</f>
        <v>8851633.75</v>
      </c>
      <c r="M5406" s="912"/>
      <c r="N5406" s="912"/>
      <c r="O5406" s="892">
        <f t="shared" si="336"/>
        <v>0</v>
      </c>
      <c r="P5406" s="903">
        <f t="shared" si="337"/>
        <v>1</v>
      </c>
      <c r="Q5406" s="893">
        <f t="shared" si="338"/>
        <v>1</v>
      </c>
      <c r="R5406" s="894">
        <f t="shared" si="339"/>
        <v>0</v>
      </c>
    </row>
    <row r="5407" spans="1:18" s="847" customFormat="1" ht="31.5">
      <c r="A5407" s="905"/>
      <c r="B5407" s="914" t="s">
        <v>1579</v>
      </c>
      <c r="C5407" s="915"/>
      <c r="D5407" s="915"/>
      <c r="E5407" s="916" t="s">
        <v>5750</v>
      </c>
      <c r="F5407" s="917" t="s">
        <v>43</v>
      </c>
      <c r="G5407" s="918"/>
      <c r="H5407" s="919"/>
      <c r="I5407" s="920"/>
      <c r="J5407" s="891">
        <f>SUM(J5408:J5413)</f>
        <v>44800</v>
      </c>
      <c r="K5407" s="891"/>
      <c r="L5407" s="891">
        <f>SUM(L5408:L5413)</f>
        <v>11505133.75</v>
      </c>
      <c r="M5407" s="891"/>
      <c r="N5407" s="891">
        <f>SUM(N5408:N5413)</f>
        <v>0</v>
      </c>
      <c r="O5407" s="892">
        <f t="shared" ref="O5407:O5470" si="340">IF(AND(B5407&lt;&gt;"",D5407=""),1,0)</f>
        <v>1</v>
      </c>
      <c r="P5407" s="903">
        <f t="shared" si="337"/>
        <v>0</v>
      </c>
      <c r="Q5407" s="893">
        <f t="shared" si="338"/>
        <v>0</v>
      </c>
      <c r="R5407" s="894">
        <f t="shared" si="339"/>
        <v>6</v>
      </c>
    </row>
    <row r="5408" spans="1:18" s="904" customFormat="1">
      <c r="A5408" s="895"/>
      <c r="B5408" s="896"/>
      <c r="C5408" s="897"/>
      <c r="D5408" s="897"/>
      <c r="E5408" s="898" t="s">
        <v>108</v>
      </c>
      <c r="F5408" s="899"/>
      <c r="G5408" s="900"/>
      <c r="H5408" s="901"/>
      <c r="I5408" s="902"/>
      <c r="J5408" s="902"/>
      <c r="K5408" s="912" t="s">
        <v>274</v>
      </c>
      <c r="L5408" s="902"/>
      <c r="M5408" s="902"/>
      <c r="N5408" s="902"/>
      <c r="O5408" s="892">
        <f t="shared" si="340"/>
        <v>0</v>
      </c>
      <c r="P5408" s="903">
        <f t="shared" si="337"/>
        <v>1</v>
      </c>
      <c r="Q5408" s="893">
        <f t="shared" si="338"/>
        <v>6</v>
      </c>
      <c r="R5408" s="894">
        <f t="shared" si="339"/>
        <v>0</v>
      </c>
    </row>
    <row r="5409" spans="1:18">
      <c r="A5409" s="905"/>
      <c r="B5409" s="906"/>
      <c r="C5409" s="907">
        <v>25</v>
      </c>
      <c r="D5409" s="907" t="s">
        <v>279</v>
      </c>
      <c r="E5409" s="925" t="s">
        <v>5656</v>
      </c>
      <c r="F5409" s="926" t="s">
        <v>2690</v>
      </c>
      <c r="G5409" s="910"/>
      <c r="H5409" s="911">
        <v>0.6</v>
      </c>
      <c r="I5409" s="912">
        <f>VLOOKUP(E5409,[3]VLP!$B$7:$K$300,10,0)</f>
        <v>5000</v>
      </c>
      <c r="J5409" s="912">
        <f>I5409*H5409</f>
        <v>3000</v>
      </c>
      <c r="K5409" s="912" t="s">
        <v>274</v>
      </c>
      <c r="L5409" s="912"/>
      <c r="M5409" s="912"/>
      <c r="N5409" s="912"/>
      <c r="O5409" s="892">
        <f t="shared" si="340"/>
        <v>0</v>
      </c>
      <c r="P5409" s="903">
        <f t="shared" si="337"/>
        <v>1</v>
      </c>
      <c r="Q5409" s="893">
        <f t="shared" si="338"/>
        <v>5</v>
      </c>
      <c r="R5409" s="894">
        <f t="shared" si="339"/>
        <v>0</v>
      </c>
    </row>
    <row r="5410" spans="1:18">
      <c r="A5410" s="905"/>
      <c r="B5410" s="906"/>
      <c r="C5410" s="907">
        <v>66</v>
      </c>
      <c r="D5410" s="907" t="s">
        <v>279</v>
      </c>
      <c r="E5410" s="925" t="s">
        <v>2682</v>
      </c>
      <c r="F5410" s="926" t="s">
        <v>45</v>
      </c>
      <c r="G5410" s="910"/>
      <c r="H5410" s="911">
        <v>1</v>
      </c>
      <c r="I5410" s="912">
        <f>VLOOKUP(E5410,[3]VLP!$B$7:$K$300,10,0)</f>
        <v>5000</v>
      </c>
      <c r="J5410" s="912">
        <f>I5410*H5410</f>
        <v>5000</v>
      </c>
      <c r="K5410" s="912" t="s">
        <v>274</v>
      </c>
      <c r="L5410" s="912"/>
      <c r="M5410" s="912"/>
      <c r="N5410" s="912"/>
      <c r="O5410" s="892">
        <f t="shared" si="340"/>
        <v>0</v>
      </c>
      <c r="P5410" s="903">
        <f t="shared" si="337"/>
        <v>1</v>
      </c>
      <c r="Q5410" s="893">
        <f t="shared" si="338"/>
        <v>4</v>
      </c>
      <c r="R5410" s="894">
        <f t="shared" si="339"/>
        <v>0</v>
      </c>
    </row>
    <row r="5411" spans="1:18">
      <c r="A5411" s="905"/>
      <c r="B5411" s="906"/>
      <c r="C5411" s="907">
        <v>44</v>
      </c>
      <c r="D5411" s="907" t="s">
        <v>279</v>
      </c>
      <c r="E5411" s="925" t="s">
        <v>2681</v>
      </c>
      <c r="F5411" s="926" t="s">
        <v>45</v>
      </c>
      <c r="G5411" s="910"/>
      <c r="H5411" s="911">
        <v>1.6</v>
      </c>
      <c r="I5411" s="912">
        <f>VLOOKUP(E5411,[3]VLP!$B$7:$K$300,10,0)</f>
        <v>23000</v>
      </c>
      <c r="J5411" s="912">
        <f>I5411*H5411</f>
        <v>36800</v>
      </c>
      <c r="K5411" s="912" t="s">
        <v>274</v>
      </c>
      <c r="L5411" s="912"/>
      <c r="M5411" s="912"/>
      <c r="N5411" s="912"/>
      <c r="O5411" s="892">
        <f t="shared" si="340"/>
        <v>0</v>
      </c>
      <c r="P5411" s="903">
        <f t="shared" si="337"/>
        <v>1</v>
      </c>
      <c r="Q5411" s="893">
        <f t="shared" si="338"/>
        <v>3</v>
      </c>
      <c r="R5411" s="894">
        <f t="shared" si="339"/>
        <v>0</v>
      </c>
    </row>
    <row r="5412" spans="1:18" s="904" customFormat="1">
      <c r="A5412" s="895"/>
      <c r="B5412" s="896"/>
      <c r="C5412" s="897"/>
      <c r="D5412" s="897"/>
      <c r="E5412" s="924" t="s">
        <v>276</v>
      </c>
      <c r="F5412" s="927"/>
      <c r="G5412" s="928"/>
      <c r="H5412" s="901"/>
      <c r="I5412" s="902"/>
      <c r="J5412" s="902"/>
      <c r="K5412" s="912" t="s">
        <v>274</v>
      </c>
      <c r="L5412" s="902"/>
      <c r="M5412" s="902"/>
      <c r="N5412" s="902"/>
      <c r="O5412" s="892">
        <f t="shared" si="340"/>
        <v>0</v>
      </c>
      <c r="P5412" s="903">
        <f t="shared" si="337"/>
        <v>1</v>
      </c>
      <c r="Q5412" s="893">
        <f t="shared" si="338"/>
        <v>2</v>
      </c>
      <c r="R5412" s="894">
        <f t="shared" si="339"/>
        <v>0</v>
      </c>
    </row>
    <row r="5413" spans="1:18">
      <c r="A5413" s="905"/>
      <c r="B5413" s="906"/>
      <c r="C5413" s="907">
        <v>740</v>
      </c>
      <c r="D5413" s="907" t="s">
        <v>12</v>
      </c>
      <c r="E5413" s="908" t="s">
        <v>4008</v>
      </c>
      <c r="F5413" s="909" t="s">
        <v>2674</v>
      </c>
      <c r="G5413" s="910"/>
      <c r="H5413" s="911">
        <v>52.03</v>
      </c>
      <c r="I5413" s="912"/>
      <c r="J5413" s="912"/>
      <c r="K5413" s="912">
        <f>VLOOKUP(E5413,[5]ĐMNC!$A$7:$F$67,4,0)</f>
        <v>221125</v>
      </c>
      <c r="L5413" s="912">
        <f>H5413*K5413</f>
        <v>11505133.75</v>
      </c>
      <c r="M5413" s="912"/>
      <c r="N5413" s="912"/>
      <c r="O5413" s="892">
        <f t="shared" si="340"/>
        <v>0</v>
      </c>
      <c r="P5413" s="903">
        <f t="shared" si="337"/>
        <v>1</v>
      </c>
      <c r="Q5413" s="893">
        <f t="shared" si="338"/>
        <v>1</v>
      </c>
      <c r="R5413" s="894">
        <f t="shared" si="339"/>
        <v>0</v>
      </c>
    </row>
    <row r="5414" spans="1:18" s="847" customFormat="1" ht="31.5">
      <c r="A5414" s="905" t="s">
        <v>5740</v>
      </c>
      <c r="B5414" s="914" t="s">
        <v>5751</v>
      </c>
      <c r="C5414" s="915"/>
      <c r="D5414" s="915"/>
      <c r="E5414" s="916" t="s">
        <v>5752</v>
      </c>
      <c r="F5414" s="917" t="s">
        <v>43</v>
      </c>
      <c r="G5414" s="918"/>
      <c r="H5414" s="919"/>
      <c r="I5414" s="920"/>
      <c r="J5414" s="891">
        <f>SUM(J5415:J5421)</f>
        <v>42600</v>
      </c>
      <c r="K5414" s="891"/>
      <c r="L5414" s="891">
        <f>SUM(L5415:L5421)</f>
        <v>548390</v>
      </c>
      <c r="M5414" s="891"/>
      <c r="N5414" s="891">
        <f>SUM(N5415:N5421)</f>
        <v>0</v>
      </c>
      <c r="O5414" s="892">
        <f t="shared" si="340"/>
        <v>1</v>
      </c>
      <c r="P5414" s="903">
        <f t="shared" si="337"/>
        <v>0</v>
      </c>
      <c r="Q5414" s="893">
        <f t="shared" si="338"/>
        <v>0</v>
      </c>
      <c r="R5414" s="894">
        <f t="shared" si="339"/>
        <v>7</v>
      </c>
    </row>
    <row r="5415" spans="1:18" s="904" customFormat="1">
      <c r="A5415" s="895"/>
      <c r="B5415" s="896"/>
      <c r="C5415" s="897"/>
      <c r="D5415" s="897"/>
      <c r="E5415" s="898" t="s">
        <v>108</v>
      </c>
      <c r="F5415" s="899"/>
      <c r="G5415" s="900"/>
      <c r="H5415" s="901"/>
      <c r="I5415" s="902"/>
      <c r="J5415" s="902"/>
      <c r="K5415" s="912" t="s">
        <v>274</v>
      </c>
      <c r="L5415" s="902"/>
      <c r="M5415" s="902"/>
      <c r="N5415" s="902"/>
      <c r="O5415" s="892">
        <f t="shared" si="340"/>
        <v>0</v>
      </c>
      <c r="P5415" s="903">
        <f t="shared" si="337"/>
        <v>1</v>
      </c>
      <c r="Q5415" s="893">
        <f t="shared" si="338"/>
        <v>7</v>
      </c>
      <c r="R5415" s="894">
        <f t="shared" si="339"/>
        <v>0</v>
      </c>
    </row>
    <row r="5416" spans="1:18">
      <c r="A5416" s="905"/>
      <c r="B5416" s="906"/>
      <c r="C5416" s="907">
        <v>25</v>
      </c>
      <c r="D5416" s="907" t="s">
        <v>279</v>
      </c>
      <c r="E5416" s="925" t="s">
        <v>5656</v>
      </c>
      <c r="F5416" s="926" t="s">
        <v>2690</v>
      </c>
      <c r="G5416" s="910"/>
      <c r="H5416" s="911">
        <v>0.2</v>
      </c>
      <c r="I5416" s="912">
        <f>VLOOKUP(E5416,[3]VLP!$B$7:$K$300,10,0)</f>
        <v>5000</v>
      </c>
      <c r="J5416" s="912">
        <f>I5416*H5416</f>
        <v>1000</v>
      </c>
      <c r="K5416" s="912" t="s">
        <v>274</v>
      </c>
      <c r="L5416" s="912"/>
      <c r="M5416" s="912"/>
      <c r="N5416" s="912"/>
      <c r="O5416" s="892">
        <f t="shared" si="340"/>
        <v>0</v>
      </c>
      <c r="P5416" s="903">
        <f t="shared" ref="P5416:P5479" si="341">IF(O5416=0,1,0)</f>
        <v>1</v>
      </c>
      <c r="Q5416" s="893">
        <f t="shared" ref="Q5416:Q5479" si="342">IF(P5416=0,0,P5416+Q5417)</f>
        <v>6</v>
      </c>
      <c r="R5416" s="894">
        <f t="shared" ref="R5416:R5479" si="343">IF(Q5416=0,Q5417,0)</f>
        <v>0</v>
      </c>
    </row>
    <row r="5417" spans="1:18">
      <c r="A5417" s="905"/>
      <c r="B5417" s="906"/>
      <c r="C5417" s="907">
        <v>66</v>
      </c>
      <c r="D5417" s="907" t="s">
        <v>279</v>
      </c>
      <c r="E5417" s="925" t="s">
        <v>2682</v>
      </c>
      <c r="F5417" s="926" t="s">
        <v>45</v>
      </c>
      <c r="G5417" s="910"/>
      <c r="H5417" s="911">
        <v>0.3</v>
      </c>
      <c r="I5417" s="912">
        <f>VLOOKUP(E5417,[3]VLP!$B$7:$K$300,10,0)</f>
        <v>5000</v>
      </c>
      <c r="J5417" s="912">
        <f>I5417*H5417</f>
        <v>1500</v>
      </c>
      <c r="K5417" s="912" t="s">
        <v>274</v>
      </c>
      <c r="L5417" s="912"/>
      <c r="M5417" s="912"/>
      <c r="N5417" s="912"/>
      <c r="O5417" s="892">
        <f t="shared" si="340"/>
        <v>0</v>
      </c>
      <c r="P5417" s="903">
        <f t="shared" si="341"/>
        <v>1</v>
      </c>
      <c r="Q5417" s="893">
        <f t="shared" si="342"/>
        <v>5</v>
      </c>
      <c r="R5417" s="894">
        <f t="shared" si="343"/>
        <v>0</v>
      </c>
    </row>
    <row r="5418" spans="1:18">
      <c r="A5418" s="905"/>
      <c r="B5418" s="906"/>
      <c r="C5418" s="907">
        <v>44</v>
      </c>
      <c r="D5418" s="907" t="s">
        <v>279</v>
      </c>
      <c r="E5418" s="925" t="s">
        <v>2681</v>
      </c>
      <c r="F5418" s="926" t="s">
        <v>45</v>
      </c>
      <c r="G5418" s="910"/>
      <c r="H5418" s="911">
        <v>0.7</v>
      </c>
      <c r="I5418" s="912">
        <f>VLOOKUP(E5418,[3]VLP!$B$7:$K$300,10,0)</f>
        <v>23000</v>
      </c>
      <c r="J5418" s="912">
        <f>I5418*H5418</f>
        <v>16099.999999999998</v>
      </c>
      <c r="K5418" s="912" t="s">
        <v>274</v>
      </c>
      <c r="L5418" s="912"/>
      <c r="M5418" s="912"/>
      <c r="N5418" s="912"/>
      <c r="O5418" s="892">
        <f t="shared" si="340"/>
        <v>0</v>
      </c>
      <c r="P5418" s="903">
        <f t="shared" si="341"/>
        <v>1</v>
      </c>
      <c r="Q5418" s="893">
        <f t="shared" si="342"/>
        <v>4</v>
      </c>
      <c r="R5418" s="894">
        <f t="shared" si="343"/>
        <v>0</v>
      </c>
    </row>
    <row r="5419" spans="1:18">
      <c r="A5419" s="905"/>
      <c r="B5419" s="906"/>
      <c r="C5419" s="907">
        <v>49</v>
      </c>
      <c r="D5419" s="907" t="s">
        <v>279</v>
      </c>
      <c r="E5419" s="925" t="s">
        <v>5698</v>
      </c>
      <c r="F5419" s="926" t="s">
        <v>139</v>
      </c>
      <c r="G5419" s="910"/>
      <c r="H5419" s="911">
        <v>8</v>
      </c>
      <c r="I5419" s="912">
        <f>VLOOKUP(E5419,[3]VLP!$B$7:$K$300,10,0)</f>
        <v>3000</v>
      </c>
      <c r="J5419" s="912">
        <f>I5419*H5419</f>
        <v>24000</v>
      </c>
      <c r="K5419" s="912" t="s">
        <v>274</v>
      </c>
      <c r="L5419" s="912"/>
      <c r="M5419" s="912"/>
      <c r="N5419" s="912"/>
      <c r="O5419" s="892">
        <f t="shared" si="340"/>
        <v>0</v>
      </c>
      <c r="P5419" s="903">
        <f t="shared" si="341"/>
        <v>1</v>
      </c>
      <c r="Q5419" s="893">
        <f t="shared" si="342"/>
        <v>3</v>
      </c>
      <c r="R5419" s="894">
        <f t="shared" si="343"/>
        <v>0</v>
      </c>
    </row>
    <row r="5420" spans="1:18" s="904" customFormat="1">
      <c r="A5420" s="895"/>
      <c r="B5420" s="896"/>
      <c r="C5420" s="897"/>
      <c r="D5420" s="897"/>
      <c r="E5420" s="924" t="s">
        <v>276</v>
      </c>
      <c r="F5420" s="927"/>
      <c r="G5420" s="928"/>
      <c r="H5420" s="901"/>
      <c r="I5420" s="902"/>
      <c r="J5420" s="902"/>
      <c r="K5420" s="912" t="s">
        <v>274</v>
      </c>
      <c r="L5420" s="902"/>
      <c r="M5420" s="902"/>
      <c r="N5420" s="902"/>
      <c r="O5420" s="892">
        <f t="shared" si="340"/>
        <v>0</v>
      </c>
      <c r="P5420" s="903">
        <f t="shared" si="341"/>
        <v>1</v>
      </c>
      <c r="Q5420" s="893">
        <f t="shared" si="342"/>
        <v>2</v>
      </c>
      <c r="R5420" s="894">
        <f t="shared" si="343"/>
        <v>0</v>
      </c>
    </row>
    <row r="5421" spans="1:18">
      <c r="A5421" s="905"/>
      <c r="B5421" s="906"/>
      <c r="C5421" s="907">
        <v>740</v>
      </c>
      <c r="D5421" s="907" t="s">
        <v>12</v>
      </c>
      <c r="E5421" s="908" t="s">
        <v>4008</v>
      </c>
      <c r="F5421" s="909" t="s">
        <v>2674</v>
      </c>
      <c r="G5421" s="910"/>
      <c r="H5421" s="911">
        <v>2.48</v>
      </c>
      <c r="I5421" s="912"/>
      <c r="J5421" s="912"/>
      <c r="K5421" s="912">
        <f>VLOOKUP(E5421,[5]ĐMNC!$A$7:$F$67,4,0)</f>
        <v>221125</v>
      </c>
      <c r="L5421" s="912">
        <f>H5421*K5421</f>
        <v>548390</v>
      </c>
      <c r="M5421" s="912"/>
      <c r="N5421" s="912"/>
      <c r="O5421" s="892">
        <f t="shared" si="340"/>
        <v>0</v>
      </c>
      <c r="P5421" s="903">
        <f t="shared" si="341"/>
        <v>1</v>
      </c>
      <c r="Q5421" s="893">
        <f t="shared" si="342"/>
        <v>1</v>
      </c>
      <c r="R5421" s="894">
        <f t="shared" si="343"/>
        <v>0</v>
      </c>
    </row>
    <row r="5422" spans="1:18" s="847" customFormat="1" ht="31.5">
      <c r="A5422" s="905"/>
      <c r="B5422" s="914" t="s">
        <v>5753</v>
      </c>
      <c r="C5422" s="915"/>
      <c r="D5422" s="915"/>
      <c r="E5422" s="916" t="s">
        <v>5754</v>
      </c>
      <c r="F5422" s="917" t="s">
        <v>43</v>
      </c>
      <c r="G5422" s="918"/>
      <c r="H5422" s="919"/>
      <c r="I5422" s="920"/>
      <c r="J5422" s="891">
        <f>SUM(J5423:J5429)</f>
        <v>42600</v>
      </c>
      <c r="K5422" s="891"/>
      <c r="L5422" s="891">
        <f>SUM(L5423:L5429)</f>
        <v>608093.75</v>
      </c>
      <c r="M5422" s="891"/>
      <c r="N5422" s="891">
        <f>SUM(N5423:N5429)</f>
        <v>0</v>
      </c>
      <c r="O5422" s="892">
        <f t="shared" si="340"/>
        <v>1</v>
      </c>
      <c r="P5422" s="903">
        <f t="shared" si="341"/>
        <v>0</v>
      </c>
      <c r="Q5422" s="893">
        <f t="shared" si="342"/>
        <v>0</v>
      </c>
      <c r="R5422" s="894">
        <f t="shared" si="343"/>
        <v>7</v>
      </c>
    </row>
    <row r="5423" spans="1:18" s="904" customFormat="1">
      <c r="A5423" s="895"/>
      <c r="B5423" s="896"/>
      <c r="C5423" s="897"/>
      <c r="D5423" s="897"/>
      <c r="E5423" s="898" t="s">
        <v>108</v>
      </c>
      <c r="F5423" s="899"/>
      <c r="G5423" s="900"/>
      <c r="H5423" s="901"/>
      <c r="I5423" s="902"/>
      <c r="J5423" s="902"/>
      <c r="K5423" s="912" t="s">
        <v>274</v>
      </c>
      <c r="L5423" s="902"/>
      <c r="M5423" s="902"/>
      <c r="N5423" s="902"/>
      <c r="O5423" s="892">
        <f t="shared" si="340"/>
        <v>0</v>
      </c>
      <c r="P5423" s="903">
        <f t="shared" si="341"/>
        <v>1</v>
      </c>
      <c r="Q5423" s="893">
        <f t="shared" si="342"/>
        <v>7</v>
      </c>
      <c r="R5423" s="894">
        <f t="shared" si="343"/>
        <v>0</v>
      </c>
    </row>
    <row r="5424" spans="1:18">
      <c r="A5424" s="905"/>
      <c r="B5424" s="906"/>
      <c r="C5424" s="907">
        <v>25</v>
      </c>
      <c r="D5424" s="907" t="s">
        <v>279</v>
      </c>
      <c r="E5424" s="925" t="s">
        <v>5656</v>
      </c>
      <c r="F5424" s="926" t="s">
        <v>2690</v>
      </c>
      <c r="G5424" s="910"/>
      <c r="H5424" s="911">
        <v>0.2</v>
      </c>
      <c r="I5424" s="912">
        <f>VLOOKUP(E5424,[3]VLP!$B$7:$K$300,10,0)</f>
        <v>5000</v>
      </c>
      <c r="J5424" s="912">
        <f>I5424*H5424</f>
        <v>1000</v>
      </c>
      <c r="K5424" s="912" t="s">
        <v>274</v>
      </c>
      <c r="L5424" s="912"/>
      <c r="M5424" s="912"/>
      <c r="N5424" s="912"/>
      <c r="O5424" s="892">
        <f t="shared" si="340"/>
        <v>0</v>
      </c>
      <c r="P5424" s="903">
        <f t="shared" si="341"/>
        <v>1</v>
      </c>
      <c r="Q5424" s="893">
        <f t="shared" si="342"/>
        <v>6</v>
      </c>
      <c r="R5424" s="894">
        <f t="shared" si="343"/>
        <v>0</v>
      </c>
    </row>
    <row r="5425" spans="1:18">
      <c r="A5425" s="905"/>
      <c r="B5425" s="906"/>
      <c r="C5425" s="907">
        <v>66</v>
      </c>
      <c r="D5425" s="907" t="s">
        <v>279</v>
      </c>
      <c r="E5425" s="925" t="s">
        <v>2682</v>
      </c>
      <c r="F5425" s="926" t="s">
        <v>45</v>
      </c>
      <c r="G5425" s="910"/>
      <c r="H5425" s="911">
        <v>0.3</v>
      </c>
      <c r="I5425" s="912">
        <f>VLOOKUP(E5425,[3]VLP!$B$7:$K$300,10,0)</f>
        <v>5000</v>
      </c>
      <c r="J5425" s="912">
        <f>I5425*H5425</f>
        <v>1500</v>
      </c>
      <c r="K5425" s="912" t="s">
        <v>274</v>
      </c>
      <c r="L5425" s="912"/>
      <c r="M5425" s="912"/>
      <c r="N5425" s="912"/>
      <c r="O5425" s="892">
        <f t="shared" si="340"/>
        <v>0</v>
      </c>
      <c r="P5425" s="903">
        <f t="shared" si="341"/>
        <v>1</v>
      </c>
      <c r="Q5425" s="893">
        <f t="shared" si="342"/>
        <v>5</v>
      </c>
      <c r="R5425" s="894">
        <f t="shared" si="343"/>
        <v>0</v>
      </c>
    </row>
    <row r="5426" spans="1:18">
      <c r="A5426" s="905"/>
      <c r="B5426" s="906"/>
      <c r="C5426" s="907">
        <v>44</v>
      </c>
      <c r="D5426" s="907" t="s">
        <v>279</v>
      </c>
      <c r="E5426" s="925" t="s">
        <v>2681</v>
      </c>
      <c r="F5426" s="926" t="s">
        <v>45</v>
      </c>
      <c r="G5426" s="910"/>
      <c r="H5426" s="911">
        <v>0.7</v>
      </c>
      <c r="I5426" s="912">
        <f>VLOOKUP(E5426,[3]VLP!$B$7:$K$300,10,0)</f>
        <v>23000</v>
      </c>
      <c r="J5426" s="912">
        <f>I5426*H5426</f>
        <v>16099.999999999998</v>
      </c>
      <c r="K5426" s="912" t="s">
        <v>274</v>
      </c>
      <c r="L5426" s="912"/>
      <c r="M5426" s="912"/>
      <c r="N5426" s="912"/>
      <c r="O5426" s="892">
        <f t="shared" si="340"/>
        <v>0</v>
      </c>
      <c r="P5426" s="903">
        <f t="shared" si="341"/>
        <v>1</v>
      </c>
      <c r="Q5426" s="893">
        <f t="shared" si="342"/>
        <v>4</v>
      </c>
      <c r="R5426" s="894">
        <f t="shared" si="343"/>
        <v>0</v>
      </c>
    </row>
    <row r="5427" spans="1:18">
      <c r="A5427" s="905"/>
      <c r="B5427" s="906"/>
      <c r="C5427" s="907">
        <v>49</v>
      </c>
      <c r="D5427" s="907" t="s">
        <v>279</v>
      </c>
      <c r="E5427" s="925" t="s">
        <v>5698</v>
      </c>
      <c r="F5427" s="926" t="s">
        <v>139</v>
      </c>
      <c r="G5427" s="910"/>
      <c r="H5427" s="911">
        <v>8</v>
      </c>
      <c r="I5427" s="912">
        <f>VLOOKUP(E5427,[3]VLP!$B$7:$K$300,10,0)</f>
        <v>3000</v>
      </c>
      <c r="J5427" s="912">
        <f>I5427*H5427</f>
        <v>24000</v>
      </c>
      <c r="K5427" s="912" t="s">
        <v>274</v>
      </c>
      <c r="L5427" s="912"/>
      <c r="M5427" s="912"/>
      <c r="N5427" s="912"/>
      <c r="O5427" s="892">
        <f t="shared" si="340"/>
        <v>0</v>
      </c>
      <c r="P5427" s="903">
        <f t="shared" si="341"/>
        <v>1</v>
      </c>
      <c r="Q5427" s="893">
        <f t="shared" si="342"/>
        <v>3</v>
      </c>
      <c r="R5427" s="894">
        <f t="shared" si="343"/>
        <v>0</v>
      </c>
    </row>
    <row r="5428" spans="1:18" s="904" customFormat="1">
      <c r="A5428" s="895"/>
      <c r="B5428" s="896"/>
      <c r="C5428" s="897"/>
      <c r="D5428" s="897"/>
      <c r="E5428" s="924" t="s">
        <v>276</v>
      </c>
      <c r="F5428" s="927"/>
      <c r="G5428" s="928"/>
      <c r="H5428" s="901"/>
      <c r="I5428" s="902"/>
      <c r="J5428" s="902"/>
      <c r="K5428" s="912" t="s">
        <v>274</v>
      </c>
      <c r="L5428" s="902"/>
      <c r="M5428" s="902"/>
      <c r="N5428" s="902"/>
      <c r="O5428" s="892">
        <f t="shared" si="340"/>
        <v>0</v>
      </c>
      <c r="P5428" s="903">
        <f t="shared" si="341"/>
        <v>1</v>
      </c>
      <c r="Q5428" s="893">
        <f t="shared" si="342"/>
        <v>2</v>
      </c>
      <c r="R5428" s="894">
        <f t="shared" si="343"/>
        <v>0</v>
      </c>
    </row>
    <row r="5429" spans="1:18">
      <c r="A5429" s="905"/>
      <c r="B5429" s="906"/>
      <c r="C5429" s="907">
        <v>740</v>
      </c>
      <c r="D5429" s="907" t="s">
        <v>12</v>
      </c>
      <c r="E5429" s="908" t="s">
        <v>4008</v>
      </c>
      <c r="F5429" s="909" t="s">
        <v>2674</v>
      </c>
      <c r="G5429" s="910"/>
      <c r="H5429" s="911">
        <v>2.75</v>
      </c>
      <c r="I5429" s="912"/>
      <c r="J5429" s="912"/>
      <c r="K5429" s="912">
        <f>VLOOKUP(E5429,[5]ĐMNC!$A$7:$F$67,4,0)</f>
        <v>221125</v>
      </c>
      <c r="L5429" s="912">
        <f>H5429*K5429</f>
        <v>608093.75</v>
      </c>
      <c r="M5429" s="912"/>
      <c r="N5429" s="912"/>
      <c r="O5429" s="892">
        <f t="shared" si="340"/>
        <v>0</v>
      </c>
      <c r="P5429" s="903">
        <f t="shared" si="341"/>
        <v>1</v>
      </c>
      <c r="Q5429" s="893">
        <f t="shared" si="342"/>
        <v>1</v>
      </c>
      <c r="R5429" s="894">
        <f t="shared" si="343"/>
        <v>0</v>
      </c>
    </row>
    <row r="5430" spans="1:18" s="847" customFormat="1" ht="31.5">
      <c r="A5430" s="905"/>
      <c r="B5430" s="914" t="s">
        <v>5755</v>
      </c>
      <c r="C5430" s="915"/>
      <c r="D5430" s="915"/>
      <c r="E5430" s="916" t="s">
        <v>5756</v>
      </c>
      <c r="F5430" s="917" t="s">
        <v>43</v>
      </c>
      <c r="G5430" s="918"/>
      <c r="H5430" s="919"/>
      <c r="I5430" s="920"/>
      <c r="J5430" s="891">
        <f>SUM(J5431:J5437)</f>
        <v>42600</v>
      </c>
      <c r="K5430" s="891"/>
      <c r="L5430" s="891">
        <f>SUM(L5431:L5437)</f>
        <v>791627.5</v>
      </c>
      <c r="M5430" s="891"/>
      <c r="N5430" s="891">
        <f>SUM(N5431:N5437)</f>
        <v>0</v>
      </c>
      <c r="O5430" s="892">
        <f t="shared" si="340"/>
        <v>1</v>
      </c>
      <c r="P5430" s="903">
        <f t="shared" si="341"/>
        <v>0</v>
      </c>
      <c r="Q5430" s="893">
        <f t="shared" si="342"/>
        <v>0</v>
      </c>
      <c r="R5430" s="894">
        <f t="shared" si="343"/>
        <v>7</v>
      </c>
    </row>
    <row r="5431" spans="1:18" s="904" customFormat="1">
      <c r="A5431" s="895"/>
      <c r="B5431" s="896"/>
      <c r="C5431" s="897"/>
      <c r="D5431" s="897"/>
      <c r="E5431" s="898" t="s">
        <v>108</v>
      </c>
      <c r="F5431" s="899"/>
      <c r="G5431" s="900"/>
      <c r="H5431" s="901"/>
      <c r="I5431" s="902"/>
      <c r="J5431" s="902"/>
      <c r="K5431" s="912" t="s">
        <v>274</v>
      </c>
      <c r="L5431" s="902"/>
      <c r="M5431" s="902"/>
      <c r="N5431" s="902"/>
      <c r="O5431" s="892">
        <f t="shared" si="340"/>
        <v>0</v>
      </c>
      <c r="P5431" s="903">
        <f t="shared" si="341"/>
        <v>1</v>
      </c>
      <c r="Q5431" s="893">
        <f t="shared" si="342"/>
        <v>7</v>
      </c>
      <c r="R5431" s="894">
        <f t="shared" si="343"/>
        <v>0</v>
      </c>
    </row>
    <row r="5432" spans="1:18">
      <c r="A5432" s="905"/>
      <c r="B5432" s="906"/>
      <c r="C5432" s="907">
        <v>25</v>
      </c>
      <c r="D5432" s="907" t="s">
        <v>279</v>
      </c>
      <c r="E5432" s="925" t="s">
        <v>5656</v>
      </c>
      <c r="F5432" s="926" t="s">
        <v>2690</v>
      </c>
      <c r="G5432" s="910"/>
      <c r="H5432" s="911">
        <v>0.2</v>
      </c>
      <c r="I5432" s="912">
        <f>VLOOKUP(E5432,[3]VLP!$B$7:$K$300,10,0)</f>
        <v>5000</v>
      </c>
      <c r="J5432" s="912">
        <f>I5432*H5432</f>
        <v>1000</v>
      </c>
      <c r="K5432" s="912" t="s">
        <v>274</v>
      </c>
      <c r="L5432" s="912"/>
      <c r="M5432" s="912"/>
      <c r="N5432" s="912"/>
      <c r="O5432" s="892">
        <f t="shared" si="340"/>
        <v>0</v>
      </c>
      <c r="P5432" s="903">
        <f t="shared" si="341"/>
        <v>1</v>
      </c>
      <c r="Q5432" s="893">
        <f t="shared" si="342"/>
        <v>6</v>
      </c>
      <c r="R5432" s="894">
        <f t="shared" si="343"/>
        <v>0</v>
      </c>
    </row>
    <row r="5433" spans="1:18">
      <c r="A5433" s="905"/>
      <c r="B5433" s="906"/>
      <c r="C5433" s="907">
        <v>66</v>
      </c>
      <c r="D5433" s="907" t="s">
        <v>279</v>
      </c>
      <c r="E5433" s="925" t="s">
        <v>2682</v>
      </c>
      <c r="F5433" s="926" t="s">
        <v>45</v>
      </c>
      <c r="G5433" s="910"/>
      <c r="H5433" s="911">
        <v>0.3</v>
      </c>
      <c r="I5433" s="912">
        <f>VLOOKUP(E5433,[3]VLP!$B$7:$K$300,10,0)</f>
        <v>5000</v>
      </c>
      <c r="J5433" s="912">
        <f>I5433*H5433</f>
        <v>1500</v>
      </c>
      <c r="K5433" s="912" t="s">
        <v>274</v>
      </c>
      <c r="L5433" s="912"/>
      <c r="M5433" s="912"/>
      <c r="N5433" s="912"/>
      <c r="O5433" s="892">
        <f t="shared" si="340"/>
        <v>0</v>
      </c>
      <c r="P5433" s="903">
        <f t="shared" si="341"/>
        <v>1</v>
      </c>
      <c r="Q5433" s="893">
        <f t="shared" si="342"/>
        <v>5</v>
      </c>
      <c r="R5433" s="894">
        <f t="shared" si="343"/>
        <v>0</v>
      </c>
    </row>
    <row r="5434" spans="1:18">
      <c r="A5434" s="905"/>
      <c r="B5434" s="906"/>
      <c r="C5434" s="907">
        <v>44</v>
      </c>
      <c r="D5434" s="907" t="s">
        <v>279</v>
      </c>
      <c r="E5434" s="925" t="s">
        <v>2681</v>
      </c>
      <c r="F5434" s="926" t="s">
        <v>45</v>
      </c>
      <c r="G5434" s="910"/>
      <c r="H5434" s="911">
        <v>0.7</v>
      </c>
      <c r="I5434" s="912">
        <f>VLOOKUP(E5434,[3]VLP!$B$7:$K$300,10,0)</f>
        <v>23000</v>
      </c>
      <c r="J5434" s="912">
        <f>I5434*H5434</f>
        <v>16099.999999999998</v>
      </c>
      <c r="K5434" s="912" t="s">
        <v>274</v>
      </c>
      <c r="L5434" s="912"/>
      <c r="M5434" s="912"/>
      <c r="N5434" s="912"/>
      <c r="O5434" s="892">
        <f t="shared" si="340"/>
        <v>0</v>
      </c>
      <c r="P5434" s="903">
        <f t="shared" si="341"/>
        <v>1</v>
      </c>
      <c r="Q5434" s="893">
        <f t="shared" si="342"/>
        <v>4</v>
      </c>
      <c r="R5434" s="894">
        <f t="shared" si="343"/>
        <v>0</v>
      </c>
    </row>
    <row r="5435" spans="1:18">
      <c r="A5435" s="905"/>
      <c r="B5435" s="906"/>
      <c r="C5435" s="907">
        <v>49</v>
      </c>
      <c r="D5435" s="907" t="s">
        <v>279</v>
      </c>
      <c r="E5435" s="925" t="s">
        <v>5698</v>
      </c>
      <c r="F5435" s="926" t="s">
        <v>139</v>
      </c>
      <c r="G5435" s="910"/>
      <c r="H5435" s="911">
        <v>8</v>
      </c>
      <c r="I5435" s="912">
        <f>VLOOKUP(E5435,[3]VLP!$B$7:$K$300,10,0)</f>
        <v>3000</v>
      </c>
      <c r="J5435" s="912">
        <f>I5435*H5435</f>
        <v>24000</v>
      </c>
      <c r="K5435" s="912" t="s">
        <v>274</v>
      </c>
      <c r="L5435" s="912"/>
      <c r="M5435" s="912"/>
      <c r="N5435" s="912"/>
      <c r="O5435" s="892">
        <f t="shared" si="340"/>
        <v>0</v>
      </c>
      <c r="P5435" s="903">
        <f t="shared" si="341"/>
        <v>1</v>
      </c>
      <c r="Q5435" s="893">
        <f t="shared" si="342"/>
        <v>3</v>
      </c>
      <c r="R5435" s="894">
        <f t="shared" si="343"/>
        <v>0</v>
      </c>
    </row>
    <row r="5436" spans="1:18" s="904" customFormat="1">
      <c r="A5436" s="895"/>
      <c r="B5436" s="896"/>
      <c r="C5436" s="897"/>
      <c r="D5436" s="897"/>
      <c r="E5436" s="924" t="s">
        <v>276</v>
      </c>
      <c r="F5436" s="927"/>
      <c r="G5436" s="928"/>
      <c r="H5436" s="901"/>
      <c r="I5436" s="902"/>
      <c r="J5436" s="902"/>
      <c r="K5436" s="912" t="s">
        <v>274</v>
      </c>
      <c r="L5436" s="902"/>
      <c r="M5436" s="902"/>
      <c r="N5436" s="902"/>
      <c r="O5436" s="892">
        <f t="shared" si="340"/>
        <v>0</v>
      </c>
      <c r="P5436" s="903">
        <f t="shared" si="341"/>
        <v>1</v>
      </c>
      <c r="Q5436" s="893">
        <f t="shared" si="342"/>
        <v>2</v>
      </c>
      <c r="R5436" s="894">
        <f t="shared" si="343"/>
        <v>0</v>
      </c>
    </row>
    <row r="5437" spans="1:18">
      <c r="A5437" s="905"/>
      <c r="B5437" s="906"/>
      <c r="C5437" s="907">
        <v>740</v>
      </c>
      <c r="D5437" s="907" t="s">
        <v>12</v>
      </c>
      <c r="E5437" s="908" t="s">
        <v>4008</v>
      </c>
      <c r="F5437" s="909" t="s">
        <v>2674</v>
      </c>
      <c r="G5437" s="910"/>
      <c r="H5437" s="911">
        <v>3.58</v>
      </c>
      <c r="I5437" s="912"/>
      <c r="J5437" s="912"/>
      <c r="K5437" s="912">
        <f>VLOOKUP(E5437,[5]ĐMNC!$A$7:$F$67,4,0)</f>
        <v>221125</v>
      </c>
      <c r="L5437" s="912">
        <f>H5437*K5437</f>
        <v>791627.5</v>
      </c>
      <c r="M5437" s="912"/>
      <c r="N5437" s="912"/>
      <c r="O5437" s="892">
        <f t="shared" si="340"/>
        <v>0</v>
      </c>
      <c r="P5437" s="903">
        <f t="shared" si="341"/>
        <v>1</v>
      </c>
      <c r="Q5437" s="893">
        <f t="shared" si="342"/>
        <v>1</v>
      </c>
      <c r="R5437" s="894">
        <f t="shared" si="343"/>
        <v>0</v>
      </c>
    </row>
    <row r="5438" spans="1:18" s="847" customFormat="1" ht="31.5">
      <c r="A5438" s="905"/>
      <c r="B5438" s="914" t="s">
        <v>5757</v>
      </c>
      <c r="C5438" s="915"/>
      <c r="D5438" s="915"/>
      <c r="E5438" s="916" t="s">
        <v>5758</v>
      </c>
      <c r="F5438" s="917" t="s">
        <v>43</v>
      </c>
      <c r="G5438" s="918"/>
      <c r="H5438" s="919"/>
      <c r="I5438" s="920"/>
      <c r="J5438" s="891">
        <f>SUM(J5439:J5445)</f>
        <v>45900</v>
      </c>
      <c r="K5438" s="891"/>
      <c r="L5438" s="891">
        <f>SUM(L5439:L5445)</f>
        <v>1034864.9999999999</v>
      </c>
      <c r="M5438" s="891"/>
      <c r="N5438" s="891">
        <f>SUM(N5439:N5445)</f>
        <v>0</v>
      </c>
      <c r="O5438" s="892">
        <f t="shared" si="340"/>
        <v>1</v>
      </c>
      <c r="P5438" s="903">
        <f t="shared" si="341"/>
        <v>0</v>
      </c>
      <c r="Q5438" s="893">
        <f t="shared" si="342"/>
        <v>0</v>
      </c>
      <c r="R5438" s="894">
        <f t="shared" si="343"/>
        <v>7</v>
      </c>
    </row>
    <row r="5439" spans="1:18" s="904" customFormat="1">
      <c r="A5439" s="895"/>
      <c r="B5439" s="896"/>
      <c r="C5439" s="897"/>
      <c r="D5439" s="897"/>
      <c r="E5439" s="898" t="s">
        <v>108</v>
      </c>
      <c r="F5439" s="899"/>
      <c r="G5439" s="900"/>
      <c r="H5439" s="901"/>
      <c r="I5439" s="902"/>
      <c r="J5439" s="902"/>
      <c r="K5439" s="912" t="s">
        <v>274</v>
      </c>
      <c r="L5439" s="902"/>
      <c r="M5439" s="902"/>
      <c r="N5439" s="902"/>
      <c r="O5439" s="892">
        <f t="shared" si="340"/>
        <v>0</v>
      </c>
      <c r="P5439" s="903">
        <f t="shared" si="341"/>
        <v>1</v>
      </c>
      <c r="Q5439" s="893">
        <f t="shared" si="342"/>
        <v>7</v>
      </c>
      <c r="R5439" s="894">
        <f t="shared" si="343"/>
        <v>0</v>
      </c>
    </row>
    <row r="5440" spans="1:18">
      <c r="A5440" s="905"/>
      <c r="B5440" s="906"/>
      <c r="C5440" s="907">
        <v>25</v>
      </c>
      <c r="D5440" s="907" t="s">
        <v>279</v>
      </c>
      <c r="E5440" s="925" t="s">
        <v>5656</v>
      </c>
      <c r="F5440" s="926" t="s">
        <v>2690</v>
      </c>
      <c r="G5440" s="910"/>
      <c r="H5440" s="911">
        <v>0.3</v>
      </c>
      <c r="I5440" s="912">
        <f>VLOOKUP(E5440,[3]VLP!$B$7:$K$300,10,0)</f>
        <v>5000</v>
      </c>
      <c r="J5440" s="912">
        <f>I5440*H5440</f>
        <v>1500</v>
      </c>
      <c r="K5440" s="912" t="s">
        <v>274</v>
      </c>
      <c r="L5440" s="912"/>
      <c r="M5440" s="912"/>
      <c r="N5440" s="912"/>
      <c r="O5440" s="892">
        <f t="shared" si="340"/>
        <v>0</v>
      </c>
      <c r="P5440" s="903">
        <f t="shared" si="341"/>
        <v>1</v>
      </c>
      <c r="Q5440" s="893">
        <f t="shared" si="342"/>
        <v>6</v>
      </c>
      <c r="R5440" s="894">
        <f t="shared" si="343"/>
        <v>0</v>
      </c>
    </row>
    <row r="5441" spans="1:18">
      <c r="A5441" s="905"/>
      <c r="B5441" s="906"/>
      <c r="C5441" s="907">
        <v>66</v>
      </c>
      <c r="D5441" s="907" t="s">
        <v>279</v>
      </c>
      <c r="E5441" s="925" t="s">
        <v>2682</v>
      </c>
      <c r="F5441" s="926" t="s">
        <v>45</v>
      </c>
      <c r="G5441" s="910"/>
      <c r="H5441" s="911">
        <v>0.4</v>
      </c>
      <c r="I5441" s="912">
        <f>VLOOKUP(E5441,[3]VLP!$B$7:$K$300,10,0)</f>
        <v>5000</v>
      </c>
      <c r="J5441" s="912">
        <f>I5441*H5441</f>
        <v>2000</v>
      </c>
      <c r="K5441" s="912" t="s">
        <v>274</v>
      </c>
      <c r="L5441" s="912"/>
      <c r="M5441" s="912"/>
      <c r="N5441" s="912"/>
      <c r="O5441" s="892">
        <f t="shared" si="340"/>
        <v>0</v>
      </c>
      <c r="P5441" s="903">
        <f t="shared" si="341"/>
        <v>1</v>
      </c>
      <c r="Q5441" s="893">
        <f t="shared" si="342"/>
        <v>5</v>
      </c>
      <c r="R5441" s="894">
        <f t="shared" si="343"/>
        <v>0</v>
      </c>
    </row>
    <row r="5442" spans="1:18">
      <c r="A5442" s="905"/>
      <c r="B5442" s="906"/>
      <c r="C5442" s="907">
        <v>44</v>
      </c>
      <c r="D5442" s="907" t="s">
        <v>279</v>
      </c>
      <c r="E5442" s="925" t="s">
        <v>2681</v>
      </c>
      <c r="F5442" s="926" t="s">
        <v>45</v>
      </c>
      <c r="G5442" s="910"/>
      <c r="H5442" s="911">
        <v>0.8</v>
      </c>
      <c r="I5442" s="912">
        <f>VLOOKUP(E5442,[3]VLP!$B$7:$K$300,10,0)</f>
        <v>23000</v>
      </c>
      <c r="J5442" s="912">
        <f>I5442*H5442</f>
        <v>18400</v>
      </c>
      <c r="K5442" s="912" t="s">
        <v>274</v>
      </c>
      <c r="L5442" s="912"/>
      <c r="M5442" s="912"/>
      <c r="N5442" s="912"/>
      <c r="O5442" s="892">
        <f t="shared" si="340"/>
        <v>0</v>
      </c>
      <c r="P5442" s="903">
        <f t="shared" si="341"/>
        <v>1</v>
      </c>
      <c r="Q5442" s="893">
        <f t="shared" si="342"/>
        <v>4</v>
      </c>
      <c r="R5442" s="894">
        <f t="shared" si="343"/>
        <v>0</v>
      </c>
    </row>
    <row r="5443" spans="1:18">
      <c r="A5443" s="905"/>
      <c r="B5443" s="906"/>
      <c r="C5443" s="907">
        <v>49</v>
      </c>
      <c r="D5443" s="907" t="s">
        <v>279</v>
      </c>
      <c r="E5443" s="925" t="s">
        <v>5698</v>
      </c>
      <c r="F5443" s="926" t="s">
        <v>139</v>
      </c>
      <c r="G5443" s="910"/>
      <c r="H5443" s="911">
        <v>8</v>
      </c>
      <c r="I5443" s="912">
        <f>VLOOKUP(E5443,[3]VLP!$B$7:$K$300,10,0)</f>
        <v>3000</v>
      </c>
      <c r="J5443" s="912">
        <f>I5443*H5443</f>
        <v>24000</v>
      </c>
      <c r="K5443" s="912" t="s">
        <v>274</v>
      </c>
      <c r="L5443" s="912"/>
      <c r="M5443" s="912"/>
      <c r="N5443" s="912"/>
      <c r="O5443" s="892">
        <f t="shared" si="340"/>
        <v>0</v>
      </c>
      <c r="P5443" s="903">
        <f t="shared" si="341"/>
        <v>1</v>
      </c>
      <c r="Q5443" s="893">
        <f t="shared" si="342"/>
        <v>3</v>
      </c>
      <c r="R5443" s="894">
        <f t="shared" si="343"/>
        <v>0</v>
      </c>
    </row>
    <row r="5444" spans="1:18" s="904" customFormat="1">
      <c r="A5444" s="895"/>
      <c r="B5444" s="896"/>
      <c r="C5444" s="897"/>
      <c r="D5444" s="897"/>
      <c r="E5444" s="924" t="s">
        <v>276</v>
      </c>
      <c r="F5444" s="927"/>
      <c r="G5444" s="928"/>
      <c r="H5444" s="901"/>
      <c r="I5444" s="902"/>
      <c r="J5444" s="902"/>
      <c r="K5444" s="912" t="s">
        <v>274</v>
      </c>
      <c r="L5444" s="902"/>
      <c r="M5444" s="902"/>
      <c r="N5444" s="902"/>
      <c r="O5444" s="892">
        <f t="shared" si="340"/>
        <v>0</v>
      </c>
      <c r="P5444" s="903">
        <f t="shared" si="341"/>
        <v>1</v>
      </c>
      <c r="Q5444" s="893">
        <f t="shared" si="342"/>
        <v>2</v>
      </c>
      <c r="R5444" s="894">
        <f t="shared" si="343"/>
        <v>0</v>
      </c>
    </row>
    <row r="5445" spans="1:18">
      <c r="A5445" s="905"/>
      <c r="B5445" s="906"/>
      <c r="C5445" s="907">
        <v>740</v>
      </c>
      <c r="D5445" s="907" t="s">
        <v>12</v>
      </c>
      <c r="E5445" s="908" t="s">
        <v>4008</v>
      </c>
      <c r="F5445" s="909" t="s">
        <v>2674</v>
      </c>
      <c r="G5445" s="910"/>
      <c r="H5445" s="911">
        <v>4.68</v>
      </c>
      <c r="I5445" s="912"/>
      <c r="J5445" s="912"/>
      <c r="K5445" s="912">
        <f>VLOOKUP(E5445,[5]ĐMNC!$A$7:$F$67,4,0)</f>
        <v>221125</v>
      </c>
      <c r="L5445" s="912">
        <f>H5445*K5445</f>
        <v>1034864.9999999999</v>
      </c>
      <c r="M5445" s="912"/>
      <c r="N5445" s="912"/>
      <c r="O5445" s="892">
        <f t="shared" si="340"/>
        <v>0</v>
      </c>
      <c r="P5445" s="903">
        <f t="shared" si="341"/>
        <v>1</v>
      </c>
      <c r="Q5445" s="893">
        <f t="shared" si="342"/>
        <v>1</v>
      </c>
      <c r="R5445" s="894">
        <f t="shared" si="343"/>
        <v>0</v>
      </c>
    </row>
    <row r="5446" spans="1:18" s="847" customFormat="1" ht="31.5">
      <c r="A5446" s="905"/>
      <c r="B5446" s="914" t="s">
        <v>5759</v>
      </c>
      <c r="C5446" s="915"/>
      <c r="D5446" s="915"/>
      <c r="E5446" s="916" t="s">
        <v>5760</v>
      </c>
      <c r="F5446" s="917" t="s">
        <v>43</v>
      </c>
      <c r="G5446" s="918"/>
      <c r="H5446" s="919"/>
      <c r="I5446" s="920"/>
      <c r="J5446" s="891">
        <f>SUM(J5447:J5453)</f>
        <v>51900</v>
      </c>
      <c r="K5446" s="891"/>
      <c r="L5446" s="891">
        <f>SUM(L5447:L5453)</f>
        <v>1216187.5</v>
      </c>
      <c r="M5446" s="891"/>
      <c r="N5446" s="891">
        <f>SUM(N5447:N5453)</f>
        <v>0</v>
      </c>
      <c r="O5446" s="892">
        <f t="shared" si="340"/>
        <v>1</v>
      </c>
      <c r="P5446" s="903">
        <f t="shared" si="341"/>
        <v>0</v>
      </c>
      <c r="Q5446" s="893">
        <f t="shared" si="342"/>
        <v>0</v>
      </c>
      <c r="R5446" s="894">
        <f t="shared" si="343"/>
        <v>7</v>
      </c>
    </row>
    <row r="5447" spans="1:18" s="904" customFormat="1">
      <c r="A5447" s="895"/>
      <c r="B5447" s="896"/>
      <c r="C5447" s="897"/>
      <c r="D5447" s="897"/>
      <c r="E5447" s="898" t="s">
        <v>108</v>
      </c>
      <c r="F5447" s="899"/>
      <c r="G5447" s="900"/>
      <c r="H5447" s="901"/>
      <c r="I5447" s="902"/>
      <c r="J5447" s="902"/>
      <c r="K5447" s="912" t="s">
        <v>274</v>
      </c>
      <c r="L5447" s="902"/>
      <c r="M5447" s="902"/>
      <c r="N5447" s="902"/>
      <c r="O5447" s="892">
        <f t="shared" si="340"/>
        <v>0</v>
      </c>
      <c r="P5447" s="903">
        <f t="shared" si="341"/>
        <v>1</v>
      </c>
      <c r="Q5447" s="893">
        <f t="shared" si="342"/>
        <v>7</v>
      </c>
      <c r="R5447" s="894">
        <f t="shared" si="343"/>
        <v>0</v>
      </c>
    </row>
    <row r="5448" spans="1:18">
      <c r="A5448" s="905"/>
      <c r="B5448" s="906"/>
      <c r="C5448" s="907">
        <v>25</v>
      </c>
      <c r="D5448" s="907" t="s">
        <v>279</v>
      </c>
      <c r="E5448" s="925" t="s">
        <v>5656</v>
      </c>
      <c r="F5448" s="926" t="s">
        <v>2690</v>
      </c>
      <c r="G5448" s="910"/>
      <c r="H5448" s="911">
        <v>0.3</v>
      </c>
      <c r="I5448" s="912">
        <f>VLOOKUP(E5448,[3]VLP!$B$7:$K$300,10,0)</f>
        <v>5000</v>
      </c>
      <c r="J5448" s="912">
        <f>I5448*H5448</f>
        <v>1500</v>
      </c>
      <c r="K5448" s="912" t="s">
        <v>274</v>
      </c>
      <c r="L5448" s="912"/>
      <c r="M5448" s="912"/>
      <c r="N5448" s="912"/>
      <c r="O5448" s="892">
        <f t="shared" si="340"/>
        <v>0</v>
      </c>
      <c r="P5448" s="903">
        <f t="shared" si="341"/>
        <v>1</v>
      </c>
      <c r="Q5448" s="893">
        <f t="shared" si="342"/>
        <v>6</v>
      </c>
      <c r="R5448" s="894">
        <f t="shared" si="343"/>
        <v>0</v>
      </c>
    </row>
    <row r="5449" spans="1:18">
      <c r="A5449" s="905"/>
      <c r="B5449" s="906"/>
      <c r="C5449" s="907">
        <v>66</v>
      </c>
      <c r="D5449" s="907" t="s">
        <v>279</v>
      </c>
      <c r="E5449" s="925" t="s">
        <v>2682</v>
      </c>
      <c r="F5449" s="926" t="s">
        <v>45</v>
      </c>
      <c r="G5449" s="910"/>
      <c r="H5449" s="911">
        <v>0.4</v>
      </c>
      <c r="I5449" s="912">
        <f>VLOOKUP(E5449,[3]VLP!$B$7:$K$300,10,0)</f>
        <v>5000</v>
      </c>
      <c r="J5449" s="912">
        <f>I5449*H5449</f>
        <v>2000</v>
      </c>
      <c r="K5449" s="912" t="s">
        <v>274</v>
      </c>
      <c r="L5449" s="912"/>
      <c r="M5449" s="912"/>
      <c r="N5449" s="912"/>
      <c r="O5449" s="892">
        <f t="shared" si="340"/>
        <v>0</v>
      </c>
      <c r="P5449" s="903">
        <f t="shared" si="341"/>
        <v>1</v>
      </c>
      <c r="Q5449" s="893">
        <f t="shared" si="342"/>
        <v>5</v>
      </c>
      <c r="R5449" s="894">
        <f t="shared" si="343"/>
        <v>0</v>
      </c>
    </row>
    <row r="5450" spans="1:18">
      <c r="A5450" s="905"/>
      <c r="B5450" s="906"/>
      <c r="C5450" s="907">
        <v>44</v>
      </c>
      <c r="D5450" s="907" t="s">
        <v>279</v>
      </c>
      <c r="E5450" s="925" t="s">
        <v>2681</v>
      </c>
      <c r="F5450" s="926" t="s">
        <v>45</v>
      </c>
      <c r="G5450" s="910"/>
      <c r="H5450" s="911">
        <v>0.8</v>
      </c>
      <c r="I5450" s="912">
        <f>VLOOKUP(E5450,[3]VLP!$B$7:$K$300,10,0)</f>
        <v>23000</v>
      </c>
      <c r="J5450" s="912">
        <f>I5450*H5450</f>
        <v>18400</v>
      </c>
      <c r="K5450" s="912" t="s">
        <v>274</v>
      </c>
      <c r="L5450" s="912"/>
      <c r="M5450" s="912"/>
      <c r="N5450" s="912"/>
      <c r="O5450" s="892">
        <f t="shared" si="340"/>
        <v>0</v>
      </c>
      <c r="P5450" s="903">
        <f t="shared" si="341"/>
        <v>1</v>
      </c>
      <c r="Q5450" s="893">
        <f t="shared" si="342"/>
        <v>4</v>
      </c>
      <c r="R5450" s="894">
        <f t="shared" si="343"/>
        <v>0</v>
      </c>
    </row>
    <row r="5451" spans="1:18">
      <c r="A5451" s="905"/>
      <c r="B5451" s="906"/>
      <c r="C5451" s="907">
        <v>49</v>
      </c>
      <c r="D5451" s="907" t="s">
        <v>279</v>
      </c>
      <c r="E5451" s="925" t="s">
        <v>5698</v>
      </c>
      <c r="F5451" s="926" t="s">
        <v>139</v>
      </c>
      <c r="G5451" s="910"/>
      <c r="H5451" s="911">
        <v>10</v>
      </c>
      <c r="I5451" s="912">
        <f>VLOOKUP(E5451,[3]VLP!$B$7:$K$300,10,0)</f>
        <v>3000</v>
      </c>
      <c r="J5451" s="912">
        <f>I5451*H5451</f>
        <v>30000</v>
      </c>
      <c r="K5451" s="912" t="s">
        <v>274</v>
      </c>
      <c r="L5451" s="912"/>
      <c r="M5451" s="912"/>
      <c r="N5451" s="912"/>
      <c r="O5451" s="892">
        <f t="shared" si="340"/>
        <v>0</v>
      </c>
      <c r="P5451" s="903">
        <f t="shared" si="341"/>
        <v>1</v>
      </c>
      <c r="Q5451" s="893">
        <f t="shared" si="342"/>
        <v>3</v>
      </c>
      <c r="R5451" s="894">
        <f t="shared" si="343"/>
        <v>0</v>
      </c>
    </row>
    <row r="5452" spans="1:18" s="904" customFormat="1">
      <c r="A5452" s="895"/>
      <c r="B5452" s="896"/>
      <c r="C5452" s="897"/>
      <c r="D5452" s="897"/>
      <c r="E5452" s="924" t="s">
        <v>276</v>
      </c>
      <c r="F5452" s="927"/>
      <c r="G5452" s="928"/>
      <c r="H5452" s="901"/>
      <c r="I5452" s="902"/>
      <c r="J5452" s="902"/>
      <c r="K5452" s="912" t="s">
        <v>274</v>
      </c>
      <c r="L5452" s="902"/>
      <c r="M5452" s="902"/>
      <c r="N5452" s="902"/>
      <c r="O5452" s="892">
        <f t="shared" si="340"/>
        <v>0</v>
      </c>
      <c r="P5452" s="903">
        <f t="shared" si="341"/>
        <v>1</v>
      </c>
      <c r="Q5452" s="893">
        <f t="shared" si="342"/>
        <v>2</v>
      </c>
      <c r="R5452" s="894">
        <f t="shared" si="343"/>
        <v>0</v>
      </c>
    </row>
    <row r="5453" spans="1:18">
      <c r="A5453" s="905"/>
      <c r="B5453" s="906"/>
      <c r="C5453" s="907">
        <v>740</v>
      </c>
      <c r="D5453" s="907" t="s">
        <v>12</v>
      </c>
      <c r="E5453" s="908" t="s">
        <v>4008</v>
      </c>
      <c r="F5453" s="909" t="s">
        <v>2674</v>
      </c>
      <c r="G5453" s="910"/>
      <c r="H5453" s="911">
        <v>5.5</v>
      </c>
      <c r="I5453" s="912"/>
      <c r="J5453" s="912"/>
      <c r="K5453" s="912">
        <f>VLOOKUP(E5453,[5]ĐMNC!$A$7:$F$67,4,0)</f>
        <v>221125</v>
      </c>
      <c r="L5453" s="912">
        <f>H5453*K5453</f>
        <v>1216187.5</v>
      </c>
      <c r="M5453" s="912"/>
      <c r="N5453" s="912"/>
      <c r="O5453" s="892">
        <f t="shared" si="340"/>
        <v>0</v>
      </c>
      <c r="P5453" s="903">
        <f t="shared" si="341"/>
        <v>1</v>
      </c>
      <c r="Q5453" s="893">
        <f t="shared" si="342"/>
        <v>1</v>
      </c>
      <c r="R5453" s="894">
        <f t="shared" si="343"/>
        <v>0</v>
      </c>
    </row>
    <row r="5454" spans="1:18" s="847" customFormat="1" ht="31.5">
      <c r="A5454" s="905" t="s">
        <v>5761</v>
      </c>
      <c r="B5454" s="914" t="s">
        <v>5762</v>
      </c>
      <c r="C5454" s="915"/>
      <c r="D5454" s="915"/>
      <c r="E5454" s="916" t="s">
        <v>5763</v>
      </c>
      <c r="F5454" s="917" t="s">
        <v>43</v>
      </c>
      <c r="G5454" s="918"/>
      <c r="H5454" s="919"/>
      <c r="I5454" s="920"/>
      <c r="J5454" s="891">
        <f>SUM(J5455:J5461)</f>
        <v>55200</v>
      </c>
      <c r="K5454" s="891"/>
      <c r="L5454" s="891">
        <f>SUM(L5455:L5461)</f>
        <v>1521340</v>
      </c>
      <c r="M5454" s="891"/>
      <c r="N5454" s="891">
        <f>SUM(N5455:N5461)</f>
        <v>0</v>
      </c>
      <c r="O5454" s="892">
        <f t="shared" si="340"/>
        <v>1</v>
      </c>
      <c r="P5454" s="903">
        <f t="shared" si="341"/>
        <v>0</v>
      </c>
      <c r="Q5454" s="893">
        <f t="shared" si="342"/>
        <v>0</v>
      </c>
      <c r="R5454" s="894">
        <f t="shared" si="343"/>
        <v>7</v>
      </c>
    </row>
    <row r="5455" spans="1:18" s="904" customFormat="1">
      <c r="A5455" s="895"/>
      <c r="B5455" s="896"/>
      <c r="C5455" s="897"/>
      <c r="D5455" s="897"/>
      <c r="E5455" s="898" t="s">
        <v>108</v>
      </c>
      <c r="F5455" s="899"/>
      <c r="G5455" s="900"/>
      <c r="H5455" s="901"/>
      <c r="I5455" s="902"/>
      <c r="J5455" s="902"/>
      <c r="K5455" s="912" t="s">
        <v>274</v>
      </c>
      <c r="L5455" s="902"/>
      <c r="M5455" s="902"/>
      <c r="N5455" s="902"/>
      <c r="O5455" s="892">
        <f t="shared" si="340"/>
        <v>0</v>
      </c>
      <c r="P5455" s="903">
        <f t="shared" si="341"/>
        <v>1</v>
      </c>
      <c r="Q5455" s="893">
        <f t="shared" si="342"/>
        <v>7</v>
      </c>
      <c r="R5455" s="894">
        <f t="shared" si="343"/>
        <v>0</v>
      </c>
    </row>
    <row r="5456" spans="1:18">
      <c r="A5456" s="905"/>
      <c r="B5456" s="906"/>
      <c r="C5456" s="907">
        <v>25</v>
      </c>
      <c r="D5456" s="907" t="s">
        <v>279</v>
      </c>
      <c r="E5456" s="925" t="s">
        <v>5656</v>
      </c>
      <c r="F5456" s="926" t="s">
        <v>2690</v>
      </c>
      <c r="G5456" s="910"/>
      <c r="H5456" s="911">
        <v>0.4</v>
      </c>
      <c r="I5456" s="912">
        <f>VLOOKUP(E5456,[3]VLP!$B$7:$K$300,10,0)</f>
        <v>5000</v>
      </c>
      <c r="J5456" s="912">
        <f>I5456*H5456</f>
        <v>2000</v>
      </c>
      <c r="K5456" s="912" t="s">
        <v>274</v>
      </c>
      <c r="L5456" s="912"/>
      <c r="M5456" s="912"/>
      <c r="N5456" s="912"/>
      <c r="O5456" s="892">
        <f t="shared" si="340"/>
        <v>0</v>
      </c>
      <c r="P5456" s="903">
        <f t="shared" si="341"/>
        <v>1</v>
      </c>
      <c r="Q5456" s="893">
        <f t="shared" si="342"/>
        <v>6</v>
      </c>
      <c r="R5456" s="894">
        <f t="shared" si="343"/>
        <v>0</v>
      </c>
    </row>
    <row r="5457" spans="1:18">
      <c r="A5457" s="905"/>
      <c r="B5457" s="906"/>
      <c r="C5457" s="907">
        <v>66</v>
      </c>
      <c r="D5457" s="907" t="s">
        <v>279</v>
      </c>
      <c r="E5457" s="925" t="s">
        <v>2682</v>
      </c>
      <c r="F5457" s="926" t="s">
        <v>45</v>
      </c>
      <c r="G5457" s="910"/>
      <c r="H5457" s="911">
        <v>0.5</v>
      </c>
      <c r="I5457" s="912">
        <f>VLOOKUP(E5457,[3]VLP!$B$7:$K$300,10,0)</f>
        <v>5000</v>
      </c>
      <c r="J5457" s="912">
        <f>I5457*H5457</f>
        <v>2500</v>
      </c>
      <c r="K5457" s="912" t="s">
        <v>274</v>
      </c>
      <c r="L5457" s="912"/>
      <c r="M5457" s="912"/>
      <c r="N5457" s="912"/>
      <c r="O5457" s="892">
        <f t="shared" si="340"/>
        <v>0</v>
      </c>
      <c r="P5457" s="903">
        <f t="shared" si="341"/>
        <v>1</v>
      </c>
      <c r="Q5457" s="893">
        <f t="shared" si="342"/>
        <v>5</v>
      </c>
      <c r="R5457" s="894">
        <f t="shared" si="343"/>
        <v>0</v>
      </c>
    </row>
    <row r="5458" spans="1:18">
      <c r="A5458" s="905"/>
      <c r="B5458" s="906"/>
      <c r="C5458" s="907">
        <v>44</v>
      </c>
      <c r="D5458" s="907" t="s">
        <v>279</v>
      </c>
      <c r="E5458" s="925" t="s">
        <v>2681</v>
      </c>
      <c r="F5458" s="926" t="s">
        <v>45</v>
      </c>
      <c r="G5458" s="910"/>
      <c r="H5458" s="911">
        <v>0.9</v>
      </c>
      <c r="I5458" s="912">
        <f>VLOOKUP(E5458,[3]VLP!$B$7:$K$300,10,0)</f>
        <v>23000</v>
      </c>
      <c r="J5458" s="912">
        <f>I5458*H5458</f>
        <v>20700</v>
      </c>
      <c r="K5458" s="912" t="s">
        <v>274</v>
      </c>
      <c r="L5458" s="912"/>
      <c r="M5458" s="912"/>
      <c r="N5458" s="912"/>
      <c r="O5458" s="892">
        <f t="shared" si="340"/>
        <v>0</v>
      </c>
      <c r="P5458" s="903">
        <f t="shared" si="341"/>
        <v>1</v>
      </c>
      <c r="Q5458" s="893">
        <f t="shared" si="342"/>
        <v>4</v>
      </c>
      <c r="R5458" s="894">
        <f t="shared" si="343"/>
        <v>0</v>
      </c>
    </row>
    <row r="5459" spans="1:18">
      <c r="A5459" s="905"/>
      <c r="B5459" s="906"/>
      <c r="C5459" s="907">
        <v>49</v>
      </c>
      <c r="D5459" s="907" t="s">
        <v>279</v>
      </c>
      <c r="E5459" s="925" t="s">
        <v>5698</v>
      </c>
      <c r="F5459" s="926" t="s">
        <v>139</v>
      </c>
      <c r="G5459" s="910"/>
      <c r="H5459" s="911">
        <v>10</v>
      </c>
      <c r="I5459" s="912">
        <f>VLOOKUP(E5459,[3]VLP!$B$7:$K$300,10,0)</f>
        <v>3000</v>
      </c>
      <c r="J5459" s="912">
        <f>I5459*H5459</f>
        <v>30000</v>
      </c>
      <c r="K5459" s="912" t="s">
        <v>274</v>
      </c>
      <c r="L5459" s="912"/>
      <c r="M5459" s="912"/>
      <c r="N5459" s="912"/>
      <c r="O5459" s="892">
        <f t="shared" si="340"/>
        <v>0</v>
      </c>
      <c r="P5459" s="903">
        <f t="shared" si="341"/>
        <v>1</v>
      </c>
      <c r="Q5459" s="893">
        <f t="shared" si="342"/>
        <v>3</v>
      </c>
      <c r="R5459" s="894">
        <f t="shared" si="343"/>
        <v>0</v>
      </c>
    </row>
    <row r="5460" spans="1:18" s="904" customFormat="1">
      <c r="A5460" s="895"/>
      <c r="B5460" s="896"/>
      <c r="C5460" s="897"/>
      <c r="D5460" s="897"/>
      <c r="E5460" s="924" t="s">
        <v>276</v>
      </c>
      <c r="F5460" s="927"/>
      <c r="G5460" s="928"/>
      <c r="H5460" s="901"/>
      <c r="I5460" s="902"/>
      <c r="J5460" s="902"/>
      <c r="K5460" s="912" t="s">
        <v>274</v>
      </c>
      <c r="L5460" s="902"/>
      <c r="M5460" s="902"/>
      <c r="N5460" s="902"/>
      <c r="O5460" s="892">
        <f t="shared" si="340"/>
        <v>0</v>
      </c>
      <c r="P5460" s="903">
        <f t="shared" si="341"/>
        <v>1</v>
      </c>
      <c r="Q5460" s="893">
        <f t="shared" si="342"/>
        <v>2</v>
      </c>
      <c r="R5460" s="894">
        <f t="shared" si="343"/>
        <v>0</v>
      </c>
    </row>
    <row r="5461" spans="1:18">
      <c r="A5461" s="905"/>
      <c r="B5461" s="906"/>
      <c r="C5461" s="907">
        <v>740</v>
      </c>
      <c r="D5461" s="907" t="s">
        <v>12</v>
      </c>
      <c r="E5461" s="908" t="s">
        <v>4008</v>
      </c>
      <c r="F5461" s="909" t="s">
        <v>2674</v>
      </c>
      <c r="G5461" s="910"/>
      <c r="H5461" s="911">
        <v>6.88</v>
      </c>
      <c r="I5461" s="912"/>
      <c r="J5461" s="912"/>
      <c r="K5461" s="912">
        <f>VLOOKUP(E5461,[5]ĐMNC!$A$7:$F$67,4,0)</f>
        <v>221125</v>
      </c>
      <c r="L5461" s="912">
        <f>H5461*K5461</f>
        <v>1521340</v>
      </c>
      <c r="M5461" s="912"/>
      <c r="N5461" s="912"/>
      <c r="O5461" s="892">
        <f t="shared" si="340"/>
        <v>0</v>
      </c>
      <c r="P5461" s="903">
        <f t="shared" si="341"/>
        <v>1</v>
      </c>
      <c r="Q5461" s="893">
        <f t="shared" si="342"/>
        <v>1</v>
      </c>
      <c r="R5461" s="894">
        <f t="shared" si="343"/>
        <v>0</v>
      </c>
    </row>
    <row r="5462" spans="1:18" s="847" customFormat="1" ht="31.5">
      <c r="A5462" s="905"/>
      <c r="B5462" s="914" t="s">
        <v>5764</v>
      </c>
      <c r="C5462" s="915"/>
      <c r="D5462" s="915"/>
      <c r="E5462" s="916" t="s">
        <v>5765</v>
      </c>
      <c r="F5462" s="917" t="s">
        <v>43</v>
      </c>
      <c r="G5462" s="918"/>
      <c r="H5462" s="919"/>
      <c r="I5462" s="920"/>
      <c r="J5462" s="891">
        <f>SUM(J5463:J5469)</f>
        <v>55200</v>
      </c>
      <c r="K5462" s="891"/>
      <c r="L5462" s="891">
        <f>SUM(L5463:L5469)</f>
        <v>1886196.2499999998</v>
      </c>
      <c r="M5462" s="891"/>
      <c r="N5462" s="891">
        <f>SUM(N5463:N5469)</f>
        <v>0</v>
      </c>
      <c r="O5462" s="892">
        <f t="shared" si="340"/>
        <v>1</v>
      </c>
      <c r="P5462" s="903">
        <f t="shared" si="341"/>
        <v>0</v>
      </c>
      <c r="Q5462" s="893">
        <f t="shared" si="342"/>
        <v>0</v>
      </c>
      <c r="R5462" s="894">
        <f t="shared" si="343"/>
        <v>7</v>
      </c>
    </row>
    <row r="5463" spans="1:18" s="904" customFormat="1">
      <c r="A5463" s="895"/>
      <c r="B5463" s="896"/>
      <c r="C5463" s="897"/>
      <c r="D5463" s="897"/>
      <c r="E5463" s="898" t="s">
        <v>108</v>
      </c>
      <c r="F5463" s="899"/>
      <c r="G5463" s="900"/>
      <c r="H5463" s="901"/>
      <c r="I5463" s="902"/>
      <c r="J5463" s="902"/>
      <c r="K5463" s="912" t="s">
        <v>274</v>
      </c>
      <c r="L5463" s="902"/>
      <c r="M5463" s="902"/>
      <c r="N5463" s="902"/>
      <c r="O5463" s="892">
        <f t="shared" si="340"/>
        <v>0</v>
      </c>
      <c r="P5463" s="903">
        <f t="shared" si="341"/>
        <v>1</v>
      </c>
      <c r="Q5463" s="893">
        <f t="shared" si="342"/>
        <v>7</v>
      </c>
      <c r="R5463" s="894">
        <f t="shared" si="343"/>
        <v>0</v>
      </c>
    </row>
    <row r="5464" spans="1:18">
      <c r="A5464" s="905"/>
      <c r="B5464" s="906"/>
      <c r="C5464" s="907">
        <v>25</v>
      </c>
      <c r="D5464" s="907" t="s">
        <v>279</v>
      </c>
      <c r="E5464" s="925" t="s">
        <v>5656</v>
      </c>
      <c r="F5464" s="926" t="s">
        <v>2690</v>
      </c>
      <c r="G5464" s="910"/>
      <c r="H5464" s="911">
        <v>0.4</v>
      </c>
      <c r="I5464" s="912">
        <f>VLOOKUP(E5464,[3]VLP!$B$7:$K$300,10,0)</f>
        <v>5000</v>
      </c>
      <c r="J5464" s="912">
        <f>I5464*H5464</f>
        <v>2000</v>
      </c>
      <c r="K5464" s="912" t="s">
        <v>274</v>
      </c>
      <c r="L5464" s="912"/>
      <c r="M5464" s="912"/>
      <c r="N5464" s="912"/>
      <c r="O5464" s="892">
        <f t="shared" si="340"/>
        <v>0</v>
      </c>
      <c r="P5464" s="903">
        <f t="shared" si="341"/>
        <v>1</v>
      </c>
      <c r="Q5464" s="893">
        <f t="shared" si="342"/>
        <v>6</v>
      </c>
      <c r="R5464" s="894">
        <f t="shared" si="343"/>
        <v>0</v>
      </c>
    </row>
    <row r="5465" spans="1:18">
      <c r="A5465" s="905"/>
      <c r="B5465" s="906"/>
      <c r="C5465" s="907">
        <v>66</v>
      </c>
      <c r="D5465" s="907" t="s">
        <v>279</v>
      </c>
      <c r="E5465" s="925" t="s">
        <v>2682</v>
      </c>
      <c r="F5465" s="926" t="s">
        <v>45</v>
      </c>
      <c r="G5465" s="910"/>
      <c r="H5465" s="911">
        <v>0.5</v>
      </c>
      <c r="I5465" s="912">
        <f>VLOOKUP(E5465,[3]VLP!$B$7:$K$300,10,0)</f>
        <v>5000</v>
      </c>
      <c r="J5465" s="912">
        <f>I5465*H5465</f>
        <v>2500</v>
      </c>
      <c r="K5465" s="912" t="s">
        <v>274</v>
      </c>
      <c r="L5465" s="912"/>
      <c r="M5465" s="912"/>
      <c r="N5465" s="912"/>
      <c r="O5465" s="892">
        <f t="shared" si="340"/>
        <v>0</v>
      </c>
      <c r="P5465" s="903">
        <f t="shared" si="341"/>
        <v>1</v>
      </c>
      <c r="Q5465" s="893">
        <f t="shared" si="342"/>
        <v>5</v>
      </c>
      <c r="R5465" s="894">
        <f t="shared" si="343"/>
        <v>0</v>
      </c>
    </row>
    <row r="5466" spans="1:18">
      <c r="A5466" s="905"/>
      <c r="B5466" s="906"/>
      <c r="C5466" s="907">
        <v>44</v>
      </c>
      <c r="D5466" s="907" t="s">
        <v>279</v>
      </c>
      <c r="E5466" s="925" t="s">
        <v>2681</v>
      </c>
      <c r="F5466" s="926" t="s">
        <v>45</v>
      </c>
      <c r="G5466" s="910"/>
      <c r="H5466" s="911">
        <v>0.9</v>
      </c>
      <c r="I5466" s="912">
        <f>VLOOKUP(E5466,[3]VLP!$B$7:$K$300,10,0)</f>
        <v>23000</v>
      </c>
      <c r="J5466" s="912">
        <f>I5466*H5466</f>
        <v>20700</v>
      </c>
      <c r="K5466" s="912" t="s">
        <v>274</v>
      </c>
      <c r="L5466" s="912"/>
      <c r="M5466" s="912"/>
      <c r="N5466" s="912"/>
      <c r="O5466" s="892">
        <f t="shared" si="340"/>
        <v>0</v>
      </c>
      <c r="P5466" s="903">
        <f t="shared" si="341"/>
        <v>1</v>
      </c>
      <c r="Q5466" s="893">
        <f t="shared" si="342"/>
        <v>4</v>
      </c>
      <c r="R5466" s="894">
        <f t="shared" si="343"/>
        <v>0</v>
      </c>
    </row>
    <row r="5467" spans="1:18">
      <c r="A5467" s="905"/>
      <c r="B5467" s="906"/>
      <c r="C5467" s="907">
        <v>49</v>
      </c>
      <c r="D5467" s="907" t="s">
        <v>279</v>
      </c>
      <c r="E5467" s="925" t="s">
        <v>5698</v>
      </c>
      <c r="F5467" s="926" t="s">
        <v>139</v>
      </c>
      <c r="G5467" s="910"/>
      <c r="H5467" s="911">
        <v>10</v>
      </c>
      <c r="I5467" s="912">
        <f>VLOOKUP(E5467,[3]VLP!$B$7:$K$300,10,0)</f>
        <v>3000</v>
      </c>
      <c r="J5467" s="912">
        <f>I5467*H5467</f>
        <v>30000</v>
      </c>
      <c r="K5467" s="912" t="s">
        <v>274</v>
      </c>
      <c r="L5467" s="912"/>
      <c r="M5467" s="912"/>
      <c r="N5467" s="912"/>
      <c r="O5467" s="892">
        <f t="shared" si="340"/>
        <v>0</v>
      </c>
      <c r="P5467" s="903">
        <f t="shared" si="341"/>
        <v>1</v>
      </c>
      <c r="Q5467" s="893">
        <f t="shared" si="342"/>
        <v>3</v>
      </c>
      <c r="R5467" s="894">
        <f t="shared" si="343"/>
        <v>0</v>
      </c>
    </row>
    <row r="5468" spans="1:18" s="904" customFormat="1">
      <c r="A5468" s="895"/>
      <c r="B5468" s="896"/>
      <c r="C5468" s="897"/>
      <c r="D5468" s="897"/>
      <c r="E5468" s="924" t="s">
        <v>276</v>
      </c>
      <c r="F5468" s="927"/>
      <c r="G5468" s="928"/>
      <c r="H5468" s="901"/>
      <c r="I5468" s="902"/>
      <c r="J5468" s="902"/>
      <c r="K5468" s="912" t="s">
        <v>274</v>
      </c>
      <c r="L5468" s="902"/>
      <c r="M5468" s="902"/>
      <c r="N5468" s="902"/>
      <c r="O5468" s="892">
        <f t="shared" si="340"/>
        <v>0</v>
      </c>
      <c r="P5468" s="903">
        <f t="shared" si="341"/>
        <v>1</v>
      </c>
      <c r="Q5468" s="893">
        <f t="shared" si="342"/>
        <v>2</v>
      </c>
      <c r="R5468" s="894">
        <f t="shared" si="343"/>
        <v>0</v>
      </c>
    </row>
    <row r="5469" spans="1:18">
      <c r="A5469" s="905"/>
      <c r="B5469" s="906"/>
      <c r="C5469" s="907">
        <v>740</v>
      </c>
      <c r="D5469" s="907" t="s">
        <v>12</v>
      </c>
      <c r="E5469" s="908" t="s">
        <v>4008</v>
      </c>
      <c r="F5469" s="909" t="s">
        <v>2674</v>
      </c>
      <c r="G5469" s="910"/>
      <c r="H5469" s="911">
        <v>8.5299999999999994</v>
      </c>
      <c r="I5469" s="912"/>
      <c r="J5469" s="912"/>
      <c r="K5469" s="912">
        <f>VLOOKUP(E5469,[5]ĐMNC!$A$7:$F$67,4,0)</f>
        <v>221125</v>
      </c>
      <c r="L5469" s="912">
        <f>H5469*K5469</f>
        <v>1886196.2499999998</v>
      </c>
      <c r="M5469" s="912"/>
      <c r="N5469" s="912"/>
      <c r="O5469" s="892">
        <f t="shared" si="340"/>
        <v>0</v>
      </c>
      <c r="P5469" s="903">
        <f t="shared" si="341"/>
        <v>1</v>
      </c>
      <c r="Q5469" s="893">
        <f t="shared" si="342"/>
        <v>1</v>
      </c>
      <c r="R5469" s="894">
        <f t="shared" si="343"/>
        <v>0</v>
      </c>
    </row>
    <row r="5470" spans="1:18" s="847" customFormat="1" ht="31.5">
      <c r="A5470" s="905"/>
      <c r="B5470" s="914" t="s">
        <v>5766</v>
      </c>
      <c r="C5470" s="915"/>
      <c r="D5470" s="915"/>
      <c r="E5470" s="916" t="s">
        <v>5767</v>
      </c>
      <c r="F5470" s="917" t="s">
        <v>43</v>
      </c>
      <c r="G5470" s="918"/>
      <c r="H5470" s="919"/>
      <c r="I5470" s="920"/>
      <c r="J5470" s="891">
        <f>SUM(J5471:J5477)</f>
        <v>58000</v>
      </c>
      <c r="K5470" s="891"/>
      <c r="L5470" s="891">
        <f>SUM(L5471:L5477)</f>
        <v>2282010</v>
      </c>
      <c r="M5470" s="891"/>
      <c r="N5470" s="891">
        <f>SUM(N5471:N5477)</f>
        <v>0</v>
      </c>
      <c r="O5470" s="892">
        <f t="shared" si="340"/>
        <v>1</v>
      </c>
      <c r="P5470" s="903">
        <f t="shared" si="341"/>
        <v>0</v>
      </c>
      <c r="Q5470" s="893">
        <f t="shared" si="342"/>
        <v>0</v>
      </c>
      <c r="R5470" s="894">
        <f t="shared" si="343"/>
        <v>7</v>
      </c>
    </row>
    <row r="5471" spans="1:18" s="904" customFormat="1">
      <c r="A5471" s="895"/>
      <c r="B5471" s="896"/>
      <c r="C5471" s="897"/>
      <c r="D5471" s="897"/>
      <c r="E5471" s="898" t="s">
        <v>108</v>
      </c>
      <c r="F5471" s="899"/>
      <c r="G5471" s="900"/>
      <c r="H5471" s="901"/>
      <c r="I5471" s="902"/>
      <c r="J5471" s="902"/>
      <c r="K5471" s="912" t="s">
        <v>274</v>
      </c>
      <c r="L5471" s="902"/>
      <c r="M5471" s="902"/>
      <c r="N5471" s="902"/>
      <c r="O5471" s="892">
        <f t="shared" ref="O5471:O5534" si="344">IF(AND(B5471&lt;&gt;"",D5471=""),1,0)</f>
        <v>0</v>
      </c>
      <c r="P5471" s="903">
        <f t="shared" si="341"/>
        <v>1</v>
      </c>
      <c r="Q5471" s="893">
        <f t="shared" si="342"/>
        <v>7</v>
      </c>
      <c r="R5471" s="894">
        <f t="shared" si="343"/>
        <v>0</v>
      </c>
    </row>
    <row r="5472" spans="1:18">
      <c r="A5472" s="905"/>
      <c r="B5472" s="906"/>
      <c r="C5472" s="907">
        <v>25</v>
      </c>
      <c r="D5472" s="907" t="s">
        <v>279</v>
      </c>
      <c r="E5472" s="925" t="s">
        <v>5656</v>
      </c>
      <c r="F5472" s="926" t="s">
        <v>2690</v>
      </c>
      <c r="G5472" s="910"/>
      <c r="H5472" s="911">
        <v>0.4</v>
      </c>
      <c r="I5472" s="912">
        <f>VLOOKUP(E5472,[3]VLP!$B$7:$K$300,10,0)</f>
        <v>5000</v>
      </c>
      <c r="J5472" s="912">
        <f>I5472*H5472</f>
        <v>2000</v>
      </c>
      <c r="K5472" s="912" t="s">
        <v>274</v>
      </c>
      <c r="L5472" s="912"/>
      <c r="M5472" s="912"/>
      <c r="N5472" s="912"/>
      <c r="O5472" s="892">
        <f t="shared" si="344"/>
        <v>0</v>
      </c>
      <c r="P5472" s="903">
        <f t="shared" si="341"/>
        <v>1</v>
      </c>
      <c r="Q5472" s="893">
        <f t="shared" si="342"/>
        <v>6</v>
      </c>
      <c r="R5472" s="894">
        <f t="shared" si="343"/>
        <v>0</v>
      </c>
    </row>
    <row r="5473" spans="1:18">
      <c r="A5473" s="905"/>
      <c r="B5473" s="906"/>
      <c r="C5473" s="907">
        <v>66</v>
      </c>
      <c r="D5473" s="907" t="s">
        <v>279</v>
      </c>
      <c r="E5473" s="925" t="s">
        <v>2682</v>
      </c>
      <c r="F5473" s="926" t="s">
        <v>45</v>
      </c>
      <c r="G5473" s="910"/>
      <c r="H5473" s="911">
        <v>0.6</v>
      </c>
      <c r="I5473" s="912">
        <f>VLOOKUP(E5473,[3]VLP!$B$7:$K$300,10,0)</f>
        <v>5000</v>
      </c>
      <c r="J5473" s="912">
        <f>I5473*H5473</f>
        <v>3000</v>
      </c>
      <c r="K5473" s="912" t="s">
        <v>274</v>
      </c>
      <c r="L5473" s="912"/>
      <c r="M5473" s="912"/>
      <c r="N5473" s="912"/>
      <c r="O5473" s="892">
        <f t="shared" si="344"/>
        <v>0</v>
      </c>
      <c r="P5473" s="903">
        <f t="shared" si="341"/>
        <v>1</v>
      </c>
      <c r="Q5473" s="893">
        <f t="shared" si="342"/>
        <v>5</v>
      </c>
      <c r="R5473" s="894">
        <f t="shared" si="343"/>
        <v>0</v>
      </c>
    </row>
    <row r="5474" spans="1:18">
      <c r="A5474" s="905"/>
      <c r="B5474" s="906"/>
      <c r="C5474" s="907">
        <v>44</v>
      </c>
      <c r="D5474" s="907" t="s">
        <v>279</v>
      </c>
      <c r="E5474" s="925" t="s">
        <v>2681</v>
      </c>
      <c r="F5474" s="926" t="s">
        <v>45</v>
      </c>
      <c r="G5474" s="910"/>
      <c r="H5474" s="911">
        <v>1</v>
      </c>
      <c r="I5474" s="912">
        <f>VLOOKUP(E5474,[3]VLP!$B$7:$K$300,10,0)</f>
        <v>23000</v>
      </c>
      <c r="J5474" s="912">
        <f>I5474*H5474</f>
        <v>23000</v>
      </c>
      <c r="K5474" s="912" t="s">
        <v>274</v>
      </c>
      <c r="L5474" s="912"/>
      <c r="M5474" s="912"/>
      <c r="N5474" s="912"/>
      <c r="O5474" s="892">
        <f t="shared" si="344"/>
        <v>0</v>
      </c>
      <c r="P5474" s="903">
        <f t="shared" si="341"/>
        <v>1</v>
      </c>
      <c r="Q5474" s="893">
        <f t="shared" si="342"/>
        <v>4</v>
      </c>
      <c r="R5474" s="894">
        <f t="shared" si="343"/>
        <v>0</v>
      </c>
    </row>
    <row r="5475" spans="1:18">
      <c r="A5475" s="905"/>
      <c r="B5475" s="906"/>
      <c r="C5475" s="907">
        <v>49</v>
      </c>
      <c r="D5475" s="907" t="s">
        <v>279</v>
      </c>
      <c r="E5475" s="925" t="s">
        <v>5698</v>
      </c>
      <c r="F5475" s="926" t="s">
        <v>139</v>
      </c>
      <c r="G5475" s="910"/>
      <c r="H5475" s="911">
        <v>10</v>
      </c>
      <c r="I5475" s="912">
        <f>VLOOKUP(E5475,[3]VLP!$B$7:$K$300,10,0)</f>
        <v>3000</v>
      </c>
      <c r="J5475" s="912">
        <f>I5475*H5475</f>
        <v>30000</v>
      </c>
      <c r="K5475" s="912" t="s">
        <v>274</v>
      </c>
      <c r="L5475" s="912"/>
      <c r="M5475" s="912"/>
      <c r="N5475" s="912"/>
      <c r="O5475" s="892">
        <f t="shared" si="344"/>
        <v>0</v>
      </c>
      <c r="P5475" s="903">
        <f t="shared" si="341"/>
        <v>1</v>
      </c>
      <c r="Q5475" s="893">
        <f t="shared" si="342"/>
        <v>3</v>
      </c>
      <c r="R5475" s="894">
        <f t="shared" si="343"/>
        <v>0</v>
      </c>
    </row>
    <row r="5476" spans="1:18" s="904" customFormat="1">
      <c r="A5476" s="895"/>
      <c r="B5476" s="896"/>
      <c r="C5476" s="897"/>
      <c r="D5476" s="897"/>
      <c r="E5476" s="924" t="s">
        <v>276</v>
      </c>
      <c r="F5476" s="927"/>
      <c r="G5476" s="928"/>
      <c r="H5476" s="901"/>
      <c r="I5476" s="902"/>
      <c r="J5476" s="902"/>
      <c r="K5476" s="912" t="s">
        <v>274</v>
      </c>
      <c r="L5476" s="902"/>
      <c r="M5476" s="902"/>
      <c r="N5476" s="902"/>
      <c r="O5476" s="892">
        <f t="shared" si="344"/>
        <v>0</v>
      </c>
      <c r="P5476" s="903">
        <f t="shared" si="341"/>
        <v>1</v>
      </c>
      <c r="Q5476" s="893">
        <f t="shared" si="342"/>
        <v>2</v>
      </c>
      <c r="R5476" s="894">
        <f t="shared" si="343"/>
        <v>0</v>
      </c>
    </row>
    <row r="5477" spans="1:18">
      <c r="A5477" s="905"/>
      <c r="B5477" s="906"/>
      <c r="C5477" s="907">
        <v>740</v>
      </c>
      <c r="D5477" s="907" t="s">
        <v>12</v>
      </c>
      <c r="E5477" s="908" t="s">
        <v>4008</v>
      </c>
      <c r="F5477" s="909" t="s">
        <v>2674</v>
      </c>
      <c r="G5477" s="910"/>
      <c r="H5477" s="911">
        <v>10.32</v>
      </c>
      <c r="I5477" s="912"/>
      <c r="J5477" s="912"/>
      <c r="K5477" s="912">
        <f>VLOOKUP(E5477,[5]ĐMNC!$A$7:$F$67,4,0)</f>
        <v>221125</v>
      </c>
      <c r="L5477" s="912">
        <f>H5477*K5477</f>
        <v>2282010</v>
      </c>
      <c r="M5477" s="912"/>
      <c r="N5477" s="912"/>
      <c r="O5477" s="892">
        <f t="shared" si="344"/>
        <v>0</v>
      </c>
      <c r="P5477" s="903">
        <f t="shared" si="341"/>
        <v>1</v>
      </c>
      <c r="Q5477" s="893">
        <f t="shared" si="342"/>
        <v>1</v>
      </c>
      <c r="R5477" s="894">
        <f t="shared" si="343"/>
        <v>0</v>
      </c>
    </row>
    <row r="5478" spans="1:18" s="847" customFormat="1" ht="31.5">
      <c r="A5478" s="905"/>
      <c r="B5478" s="914" t="s">
        <v>5768</v>
      </c>
      <c r="C5478" s="915"/>
      <c r="D5478" s="915"/>
      <c r="E5478" s="916" t="s">
        <v>5769</v>
      </c>
      <c r="F5478" s="917" t="s">
        <v>43</v>
      </c>
      <c r="G5478" s="918"/>
      <c r="H5478" s="919"/>
      <c r="I5478" s="920"/>
      <c r="J5478" s="891">
        <f>SUM(J5479:J5485)</f>
        <v>58000</v>
      </c>
      <c r="K5478" s="891"/>
      <c r="L5478" s="891">
        <f>SUM(L5479:L5485)</f>
        <v>2646866.25</v>
      </c>
      <c r="M5478" s="891"/>
      <c r="N5478" s="891">
        <f>SUM(N5479:N5485)</f>
        <v>0</v>
      </c>
      <c r="O5478" s="892">
        <f t="shared" si="344"/>
        <v>1</v>
      </c>
      <c r="P5478" s="903">
        <f t="shared" si="341"/>
        <v>0</v>
      </c>
      <c r="Q5478" s="893">
        <f t="shared" si="342"/>
        <v>0</v>
      </c>
      <c r="R5478" s="894">
        <f t="shared" si="343"/>
        <v>7</v>
      </c>
    </row>
    <row r="5479" spans="1:18" s="904" customFormat="1">
      <c r="A5479" s="895"/>
      <c r="B5479" s="896"/>
      <c r="C5479" s="897"/>
      <c r="D5479" s="897"/>
      <c r="E5479" s="898" t="s">
        <v>108</v>
      </c>
      <c r="F5479" s="899"/>
      <c r="G5479" s="900"/>
      <c r="H5479" s="901"/>
      <c r="I5479" s="902"/>
      <c r="J5479" s="902"/>
      <c r="K5479" s="912" t="s">
        <v>274</v>
      </c>
      <c r="L5479" s="902"/>
      <c r="M5479" s="902"/>
      <c r="N5479" s="902"/>
      <c r="O5479" s="892">
        <f t="shared" si="344"/>
        <v>0</v>
      </c>
      <c r="P5479" s="903">
        <f t="shared" si="341"/>
        <v>1</v>
      </c>
      <c r="Q5479" s="893">
        <f t="shared" si="342"/>
        <v>7</v>
      </c>
      <c r="R5479" s="894">
        <f t="shared" si="343"/>
        <v>0</v>
      </c>
    </row>
    <row r="5480" spans="1:18">
      <c r="A5480" s="905"/>
      <c r="B5480" s="906"/>
      <c r="C5480" s="907">
        <v>25</v>
      </c>
      <c r="D5480" s="907" t="s">
        <v>279</v>
      </c>
      <c r="E5480" s="925" t="s">
        <v>5656</v>
      </c>
      <c r="F5480" s="926" t="s">
        <v>2690</v>
      </c>
      <c r="G5480" s="910"/>
      <c r="H5480" s="911">
        <v>0.4</v>
      </c>
      <c r="I5480" s="912">
        <f>VLOOKUP(E5480,[3]VLP!$B$7:$K$300,10,0)</f>
        <v>5000</v>
      </c>
      <c r="J5480" s="912">
        <f>I5480*H5480</f>
        <v>2000</v>
      </c>
      <c r="K5480" s="912" t="s">
        <v>274</v>
      </c>
      <c r="L5480" s="912"/>
      <c r="M5480" s="912"/>
      <c r="N5480" s="912"/>
      <c r="O5480" s="892">
        <f t="shared" si="344"/>
        <v>0</v>
      </c>
      <c r="P5480" s="903">
        <f t="shared" ref="P5480:P5543" si="345">IF(O5480=0,1,0)</f>
        <v>1</v>
      </c>
      <c r="Q5480" s="893">
        <f t="shared" ref="Q5480:Q5543" si="346">IF(P5480=0,0,P5480+Q5481)</f>
        <v>6</v>
      </c>
      <c r="R5480" s="894">
        <f t="shared" ref="R5480:R5543" si="347">IF(Q5480=0,Q5481,0)</f>
        <v>0</v>
      </c>
    </row>
    <row r="5481" spans="1:18">
      <c r="A5481" s="905"/>
      <c r="B5481" s="906"/>
      <c r="C5481" s="907">
        <v>66</v>
      </c>
      <c r="D5481" s="907" t="s">
        <v>279</v>
      </c>
      <c r="E5481" s="925" t="s">
        <v>2682</v>
      </c>
      <c r="F5481" s="926" t="s">
        <v>45</v>
      </c>
      <c r="G5481" s="910"/>
      <c r="H5481" s="911">
        <v>0.6</v>
      </c>
      <c r="I5481" s="912">
        <f>VLOOKUP(E5481,[3]VLP!$B$7:$K$300,10,0)</f>
        <v>5000</v>
      </c>
      <c r="J5481" s="912">
        <f>I5481*H5481</f>
        <v>3000</v>
      </c>
      <c r="K5481" s="912" t="s">
        <v>274</v>
      </c>
      <c r="L5481" s="912"/>
      <c r="M5481" s="912"/>
      <c r="N5481" s="912"/>
      <c r="O5481" s="892">
        <f t="shared" si="344"/>
        <v>0</v>
      </c>
      <c r="P5481" s="903">
        <f t="shared" si="345"/>
        <v>1</v>
      </c>
      <c r="Q5481" s="893">
        <f t="shared" si="346"/>
        <v>5</v>
      </c>
      <c r="R5481" s="894">
        <f t="shared" si="347"/>
        <v>0</v>
      </c>
    </row>
    <row r="5482" spans="1:18">
      <c r="A5482" s="905"/>
      <c r="B5482" s="906"/>
      <c r="C5482" s="907">
        <v>44</v>
      </c>
      <c r="D5482" s="907" t="s">
        <v>279</v>
      </c>
      <c r="E5482" s="925" t="s">
        <v>2681</v>
      </c>
      <c r="F5482" s="926" t="s">
        <v>45</v>
      </c>
      <c r="G5482" s="910"/>
      <c r="H5482" s="911">
        <v>1</v>
      </c>
      <c r="I5482" s="912">
        <f>VLOOKUP(E5482,[3]VLP!$B$7:$K$300,10,0)</f>
        <v>23000</v>
      </c>
      <c r="J5482" s="912">
        <f>I5482*H5482</f>
        <v>23000</v>
      </c>
      <c r="K5482" s="912" t="s">
        <v>274</v>
      </c>
      <c r="L5482" s="912"/>
      <c r="M5482" s="912"/>
      <c r="N5482" s="912"/>
      <c r="O5482" s="892">
        <f t="shared" si="344"/>
        <v>0</v>
      </c>
      <c r="P5482" s="903">
        <f t="shared" si="345"/>
        <v>1</v>
      </c>
      <c r="Q5482" s="893">
        <f t="shared" si="346"/>
        <v>4</v>
      </c>
      <c r="R5482" s="894">
        <f t="shared" si="347"/>
        <v>0</v>
      </c>
    </row>
    <row r="5483" spans="1:18">
      <c r="A5483" s="905"/>
      <c r="B5483" s="906"/>
      <c r="C5483" s="907">
        <v>49</v>
      </c>
      <c r="D5483" s="907" t="s">
        <v>279</v>
      </c>
      <c r="E5483" s="925" t="s">
        <v>5698</v>
      </c>
      <c r="F5483" s="926" t="s">
        <v>139</v>
      </c>
      <c r="G5483" s="910"/>
      <c r="H5483" s="911">
        <v>10</v>
      </c>
      <c r="I5483" s="912">
        <f>VLOOKUP(E5483,[3]VLP!$B$7:$K$300,10,0)</f>
        <v>3000</v>
      </c>
      <c r="J5483" s="912">
        <f>I5483*H5483</f>
        <v>30000</v>
      </c>
      <c r="K5483" s="912" t="s">
        <v>274</v>
      </c>
      <c r="L5483" s="912"/>
      <c r="M5483" s="912"/>
      <c r="N5483" s="912"/>
      <c r="O5483" s="892">
        <f t="shared" si="344"/>
        <v>0</v>
      </c>
      <c r="P5483" s="903">
        <f t="shared" si="345"/>
        <v>1</v>
      </c>
      <c r="Q5483" s="893">
        <f t="shared" si="346"/>
        <v>3</v>
      </c>
      <c r="R5483" s="894">
        <f t="shared" si="347"/>
        <v>0</v>
      </c>
    </row>
    <row r="5484" spans="1:18" s="904" customFormat="1">
      <c r="A5484" s="895"/>
      <c r="B5484" s="896"/>
      <c r="C5484" s="897"/>
      <c r="D5484" s="897"/>
      <c r="E5484" s="924" t="s">
        <v>276</v>
      </c>
      <c r="F5484" s="927"/>
      <c r="G5484" s="928"/>
      <c r="H5484" s="901"/>
      <c r="I5484" s="902"/>
      <c r="J5484" s="902"/>
      <c r="K5484" s="912" t="s">
        <v>274</v>
      </c>
      <c r="L5484" s="902"/>
      <c r="M5484" s="902"/>
      <c r="N5484" s="902"/>
      <c r="O5484" s="892">
        <f t="shared" si="344"/>
        <v>0</v>
      </c>
      <c r="P5484" s="903">
        <f t="shared" si="345"/>
        <v>1</v>
      </c>
      <c r="Q5484" s="893">
        <f t="shared" si="346"/>
        <v>2</v>
      </c>
      <c r="R5484" s="894">
        <f t="shared" si="347"/>
        <v>0</v>
      </c>
    </row>
    <row r="5485" spans="1:18">
      <c r="A5485" s="905"/>
      <c r="B5485" s="906"/>
      <c r="C5485" s="907">
        <v>740</v>
      </c>
      <c r="D5485" s="907" t="s">
        <v>12</v>
      </c>
      <c r="E5485" s="908" t="s">
        <v>4008</v>
      </c>
      <c r="F5485" s="909" t="s">
        <v>2674</v>
      </c>
      <c r="G5485" s="910"/>
      <c r="H5485" s="911">
        <v>11.97</v>
      </c>
      <c r="I5485" s="912"/>
      <c r="J5485" s="912"/>
      <c r="K5485" s="912">
        <f>VLOOKUP(E5485,[5]ĐMNC!$A$7:$F$67,4,0)</f>
        <v>221125</v>
      </c>
      <c r="L5485" s="912">
        <f>H5485*K5485</f>
        <v>2646866.25</v>
      </c>
      <c r="M5485" s="912"/>
      <c r="N5485" s="912"/>
      <c r="O5485" s="892">
        <f t="shared" si="344"/>
        <v>0</v>
      </c>
      <c r="P5485" s="903">
        <f t="shared" si="345"/>
        <v>1</v>
      </c>
      <c r="Q5485" s="893">
        <f t="shared" si="346"/>
        <v>1</v>
      </c>
      <c r="R5485" s="894">
        <f t="shared" si="347"/>
        <v>0</v>
      </c>
    </row>
    <row r="5486" spans="1:18" s="847" customFormat="1" ht="31.5">
      <c r="A5486" s="905"/>
      <c r="B5486" s="914" t="s">
        <v>1569</v>
      </c>
      <c r="C5486" s="915"/>
      <c r="D5486" s="915"/>
      <c r="E5486" s="916" t="s">
        <v>5770</v>
      </c>
      <c r="F5486" s="917" t="s">
        <v>43</v>
      </c>
      <c r="G5486" s="918"/>
      <c r="H5486" s="919"/>
      <c r="I5486" s="920"/>
      <c r="J5486" s="891">
        <f>SUM(J5487:J5493)</f>
        <v>63600</v>
      </c>
      <c r="K5486" s="891"/>
      <c r="L5486" s="891">
        <f>SUM(L5487:L5493)</f>
        <v>3345621.25</v>
      </c>
      <c r="M5486" s="891"/>
      <c r="N5486" s="891">
        <f>SUM(N5487:N5493)</f>
        <v>0</v>
      </c>
      <c r="O5486" s="892">
        <f t="shared" si="344"/>
        <v>1</v>
      </c>
      <c r="P5486" s="903">
        <f t="shared" si="345"/>
        <v>0</v>
      </c>
      <c r="Q5486" s="893">
        <f t="shared" si="346"/>
        <v>0</v>
      </c>
      <c r="R5486" s="894">
        <f t="shared" si="347"/>
        <v>7</v>
      </c>
    </row>
    <row r="5487" spans="1:18" s="904" customFormat="1">
      <c r="A5487" s="895"/>
      <c r="B5487" s="896"/>
      <c r="C5487" s="897"/>
      <c r="D5487" s="897"/>
      <c r="E5487" s="898" t="s">
        <v>108</v>
      </c>
      <c r="F5487" s="899"/>
      <c r="G5487" s="900"/>
      <c r="H5487" s="901"/>
      <c r="I5487" s="902"/>
      <c r="J5487" s="902"/>
      <c r="K5487" s="912" t="s">
        <v>274</v>
      </c>
      <c r="L5487" s="902"/>
      <c r="M5487" s="902"/>
      <c r="N5487" s="902"/>
      <c r="O5487" s="892">
        <f t="shared" si="344"/>
        <v>0</v>
      </c>
      <c r="P5487" s="903">
        <f t="shared" si="345"/>
        <v>1</v>
      </c>
      <c r="Q5487" s="893">
        <f t="shared" si="346"/>
        <v>7</v>
      </c>
      <c r="R5487" s="894">
        <f t="shared" si="347"/>
        <v>0</v>
      </c>
    </row>
    <row r="5488" spans="1:18">
      <c r="A5488" s="905"/>
      <c r="B5488" s="906"/>
      <c r="C5488" s="907">
        <v>25</v>
      </c>
      <c r="D5488" s="907" t="s">
        <v>279</v>
      </c>
      <c r="E5488" s="925" t="s">
        <v>5656</v>
      </c>
      <c r="F5488" s="926" t="s">
        <v>2690</v>
      </c>
      <c r="G5488" s="910"/>
      <c r="H5488" s="911">
        <v>0.4</v>
      </c>
      <c r="I5488" s="912">
        <f>VLOOKUP(E5488,[3]VLP!$B$7:$K$300,10,0)</f>
        <v>5000</v>
      </c>
      <c r="J5488" s="912">
        <f>I5488*H5488</f>
        <v>2000</v>
      </c>
      <c r="K5488" s="912" t="s">
        <v>274</v>
      </c>
      <c r="L5488" s="912"/>
      <c r="M5488" s="912"/>
      <c r="N5488" s="912"/>
      <c r="O5488" s="892">
        <f t="shared" si="344"/>
        <v>0</v>
      </c>
      <c r="P5488" s="903">
        <f t="shared" si="345"/>
        <v>1</v>
      </c>
      <c r="Q5488" s="893">
        <f t="shared" si="346"/>
        <v>6</v>
      </c>
      <c r="R5488" s="894">
        <f t="shared" si="347"/>
        <v>0</v>
      </c>
    </row>
    <row r="5489" spans="1:18">
      <c r="A5489" s="905"/>
      <c r="B5489" s="906"/>
      <c r="C5489" s="907">
        <v>66</v>
      </c>
      <c r="D5489" s="907" t="s">
        <v>279</v>
      </c>
      <c r="E5489" s="925" t="s">
        <v>2682</v>
      </c>
      <c r="F5489" s="926" t="s">
        <v>45</v>
      </c>
      <c r="G5489" s="910"/>
      <c r="H5489" s="911">
        <v>0.8</v>
      </c>
      <c r="I5489" s="912">
        <f>VLOOKUP(E5489,[3]VLP!$B$7:$K$300,10,0)</f>
        <v>5000</v>
      </c>
      <c r="J5489" s="912">
        <f>I5489*H5489</f>
        <v>4000</v>
      </c>
      <c r="K5489" s="912" t="s">
        <v>274</v>
      </c>
      <c r="L5489" s="912"/>
      <c r="M5489" s="912"/>
      <c r="N5489" s="912"/>
      <c r="O5489" s="892">
        <f t="shared" si="344"/>
        <v>0</v>
      </c>
      <c r="P5489" s="903">
        <f t="shared" si="345"/>
        <v>1</v>
      </c>
      <c r="Q5489" s="893">
        <f t="shared" si="346"/>
        <v>5</v>
      </c>
      <c r="R5489" s="894">
        <f t="shared" si="347"/>
        <v>0</v>
      </c>
    </row>
    <row r="5490" spans="1:18">
      <c r="A5490" s="905"/>
      <c r="B5490" s="906"/>
      <c r="C5490" s="907">
        <v>44</v>
      </c>
      <c r="D5490" s="907" t="s">
        <v>279</v>
      </c>
      <c r="E5490" s="925" t="s">
        <v>2681</v>
      </c>
      <c r="F5490" s="926" t="s">
        <v>45</v>
      </c>
      <c r="G5490" s="910"/>
      <c r="H5490" s="911">
        <v>1.2</v>
      </c>
      <c r="I5490" s="912">
        <f>VLOOKUP(E5490,[3]VLP!$B$7:$K$300,10,0)</f>
        <v>23000</v>
      </c>
      <c r="J5490" s="912">
        <f>I5490*H5490</f>
        <v>27600</v>
      </c>
      <c r="K5490" s="912" t="s">
        <v>274</v>
      </c>
      <c r="L5490" s="912"/>
      <c r="M5490" s="912"/>
      <c r="N5490" s="912"/>
      <c r="O5490" s="892">
        <f t="shared" si="344"/>
        <v>0</v>
      </c>
      <c r="P5490" s="903">
        <f t="shared" si="345"/>
        <v>1</v>
      </c>
      <c r="Q5490" s="893">
        <f t="shared" si="346"/>
        <v>4</v>
      </c>
      <c r="R5490" s="894">
        <f t="shared" si="347"/>
        <v>0</v>
      </c>
    </row>
    <row r="5491" spans="1:18">
      <c r="A5491" s="905"/>
      <c r="B5491" s="906"/>
      <c r="C5491" s="907">
        <v>49</v>
      </c>
      <c r="D5491" s="907" t="s">
        <v>279</v>
      </c>
      <c r="E5491" s="925" t="s">
        <v>5698</v>
      </c>
      <c r="F5491" s="926" t="s">
        <v>139</v>
      </c>
      <c r="G5491" s="910"/>
      <c r="H5491" s="911">
        <v>10</v>
      </c>
      <c r="I5491" s="912">
        <f>VLOOKUP(E5491,[3]VLP!$B$7:$K$300,10,0)</f>
        <v>3000</v>
      </c>
      <c r="J5491" s="912">
        <f>I5491*H5491</f>
        <v>30000</v>
      </c>
      <c r="K5491" s="912" t="s">
        <v>274</v>
      </c>
      <c r="L5491" s="912"/>
      <c r="M5491" s="912"/>
      <c r="N5491" s="912"/>
      <c r="O5491" s="892">
        <f t="shared" si="344"/>
        <v>0</v>
      </c>
      <c r="P5491" s="903">
        <f t="shared" si="345"/>
        <v>1</v>
      </c>
      <c r="Q5491" s="893">
        <f t="shared" si="346"/>
        <v>3</v>
      </c>
      <c r="R5491" s="894">
        <f t="shared" si="347"/>
        <v>0</v>
      </c>
    </row>
    <row r="5492" spans="1:18" s="904" customFormat="1">
      <c r="A5492" s="895"/>
      <c r="B5492" s="896"/>
      <c r="C5492" s="897"/>
      <c r="D5492" s="897"/>
      <c r="E5492" s="924" t="s">
        <v>276</v>
      </c>
      <c r="F5492" s="927"/>
      <c r="G5492" s="928"/>
      <c r="H5492" s="901"/>
      <c r="I5492" s="902"/>
      <c r="J5492" s="902"/>
      <c r="K5492" s="912" t="s">
        <v>274</v>
      </c>
      <c r="L5492" s="902"/>
      <c r="M5492" s="902"/>
      <c r="N5492" s="902"/>
      <c r="O5492" s="892">
        <f t="shared" si="344"/>
        <v>0</v>
      </c>
      <c r="P5492" s="903">
        <f t="shared" si="345"/>
        <v>1</v>
      </c>
      <c r="Q5492" s="893">
        <f t="shared" si="346"/>
        <v>2</v>
      </c>
      <c r="R5492" s="894">
        <f t="shared" si="347"/>
        <v>0</v>
      </c>
    </row>
    <row r="5493" spans="1:18">
      <c r="A5493" s="905"/>
      <c r="B5493" s="906"/>
      <c r="C5493" s="907">
        <v>740</v>
      </c>
      <c r="D5493" s="907" t="s">
        <v>12</v>
      </c>
      <c r="E5493" s="908" t="s">
        <v>4008</v>
      </c>
      <c r="F5493" s="909" t="s">
        <v>2674</v>
      </c>
      <c r="G5493" s="910"/>
      <c r="H5493" s="911">
        <v>15.13</v>
      </c>
      <c r="I5493" s="912"/>
      <c r="J5493" s="912"/>
      <c r="K5493" s="912">
        <f>VLOOKUP(E5493,[5]ĐMNC!$A$7:$F$67,4,0)</f>
        <v>221125</v>
      </c>
      <c r="L5493" s="912">
        <f>H5493*K5493</f>
        <v>3345621.25</v>
      </c>
      <c r="M5493" s="912"/>
      <c r="N5493" s="912"/>
      <c r="O5493" s="892">
        <f t="shared" si="344"/>
        <v>0</v>
      </c>
      <c r="P5493" s="903">
        <f t="shared" si="345"/>
        <v>1</v>
      </c>
      <c r="Q5493" s="893">
        <f t="shared" si="346"/>
        <v>1</v>
      </c>
      <c r="R5493" s="894">
        <f t="shared" si="347"/>
        <v>0</v>
      </c>
    </row>
    <row r="5494" spans="1:18" s="847" customFormat="1" ht="31.5">
      <c r="A5494" s="905"/>
      <c r="B5494" s="914" t="s">
        <v>1571</v>
      </c>
      <c r="C5494" s="915"/>
      <c r="D5494" s="915"/>
      <c r="E5494" s="916" t="s">
        <v>5771</v>
      </c>
      <c r="F5494" s="917" t="s">
        <v>43</v>
      </c>
      <c r="G5494" s="918"/>
      <c r="H5494" s="919"/>
      <c r="I5494" s="920"/>
      <c r="J5494" s="891">
        <f>SUM(J5495:J5501)</f>
        <v>70100</v>
      </c>
      <c r="K5494" s="891"/>
      <c r="L5494" s="891">
        <f>SUM(L5495:L5501)</f>
        <v>4256656.25</v>
      </c>
      <c r="M5494" s="891"/>
      <c r="N5494" s="891">
        <f>SUM(N5495:N5501)</f>
        <v>0</v>
      </c>
      <c r="O5494" s="892">
        <f t="shared" si="344"/>
        <v>1</v>
      </c>
      <c r="P5494" s="903">
        <f t="shared" si="345"/>
        <v>0</v>
      </c>
      <c r="Q5494" s="893">
        <f t="shared" si="346"/>
        <v>0</v>
      </c>
      <c r="R5494" s="894">
        <f t="shared" si="347"/>
        <v>7</v>
      </c>
    </row>
    <row r="5495" spans="1:18" s="904" customFormat="1">
      <c r="A5495" s="895"/>
      <c r="B5495" s="896"/>
      <c r="C5495" s="897"/>
      <c r="D5495" s="897"/>
      <c r="E5495" s="898" t="s">
        <v>108</v>
      </c>
      <c r="F5495" s="899"/>
      <c r="G5495" s="900"/>
      <c r="H5495" s="901"/>
      <c r="I5495" s="902"/>
      <c r="J5495" s="902"/>
      <c r="K5495" s="912" t="s">
        <v>274</v>
      </c>
      <c r="L5495" s="902"/>
      <c r="M5495" s="902"/>
      <c r="N5495" s="902"/>
      <c r="O5495" s="892">
        <f t="shared" si="344"/>
        <v>0</v>
      </c>
      <c r="P5495" s="903">
        <f t="shared" si="345"/>
        <v>1</v>
      </c>
      <c r="Q5495" s="893">
        <f t="shared" si="346"/>
        <v>7</v>
      </c>
      <c r="R5495" s="894">
        <f t="shared" si="347"/>
        <v>0</v>
      </c>
    </row>
    <row r="5496" spans="1:18">
      <c r="A5496" s="905"/>
      <c r="B5496" s="906"/>
      <c r="C5496" s="907">
        <v>25</v>
      </c>
      <c r="D5496" s="907" t="s">
        <v>279</v>
      </c>
      <c r="E5496" s="925" t="s">
        <v>5656</v>
      </c>
      <c r="F5496" s="926" t="s">
        <v>2690</v>
      </c>
      <c r="G5496" s="910"/>
      <c r="H5496" s="911">
        <v>0.5</v>
      </c>
      <c r="I5496" s="912">
        <f>VLOOKUP(E5496,[3]VLP!$B$7:$K$300,10,0)</f>
        <v>5000</v>
      </c>
      <c r="J5496" s="912">
        <f>I5496*H5496</f>
        <v>2500</v>
      </c>
      <c r="K5496" s="912" t="s">
        <v>274</v>
      </c>
      <c r="L5496" s="912"/>
      <c r="M5496" s="912"/>
      <c r="N5496" s="912"/>
      <c r="O5496" s="892">
        <f t="shared" si="344"/>
        <v>0</v>
      </c>
      <c r="P5496" s="903">
        <f t="shared" si="345"/>
        <v>1</v>
      </c>
      <c r="Q5496" s="893">
        <f t="shared" si="346"/>
        <v>6</v>
      </c>
      <c r="R5496" s="894">
        <f t="shared" si="347"/>
        <v>0</v>
      </c>
    </row>
    <row r="5497" spans="1:18">
      <c r="A5497" s="905"/>
      <c r="B5497" s="906"/>
      <c r="C5497" s="907">
        <v>66</v>
      </c>
      <c r="D5497" s="907" t="s">
        <v>279</v>
      </c>
      <c r="E5497" s="925" t="s">
        <v>2682</v>
      </c>
      <c r="F5497" s="926" t="s">
        <v>45</v>
      </c>
      <c r="G5497" s="910"/>
      <c r="H5497" s="911">
        <v>0.8</v>
      </c>
      <c r="I5497" s="912">
        <f>VLOOKUP(E5497,[3]VLP!$B$7:$K$300,10,0)</f>
        <v>5000</v>
      </c>
      <c r="J5497" s="912">
        <f>I5497*H5497</f>
        <v>4000</v>
      </c>
      <c r="K5497" s="912" t="s">
        <v>274</v>
      </c>
      <c r="L5497" s="912"/>
      <c r="M5497" s="912"/>
      <c r="N5497" s="912"/>
      <c r="O5497" s="892">
        <f t="shared" si="344"/>
        <v>0</v>
      </c>
      <c r="P5497" s="903">
        <f t="shared" si="345"/>
        <v>1</v>
      </c>
      <c r="Q5497" s="893">
        <f t="shared" si="346"/>
        <v>5</v>
      </c>
      <c r="R5497" s="894">
        <f t="shared" si="347"/>
        <v>0</v>
      </c>
    </row>
    <row r="5498" spans="1:18">
      <c r="A5498" s="905"/>
      <c r="B5498" s="906"/>
      <c r="C5498" s="907">
        <v>44</v>
      </c>
      <c r="D5498" s="907" t="s">
        <v>279</v>
      </c>
      <c r="E5498" s="925" t="s">
        <v>2681</v>
      </c>
      <c r="F5498" s="926" t="s">
        <v>45</v>
      </c>
      <c r="G5498" s="910"/>
      <c r="H5498" s="911">
        <v>1.2</v>
      </c>
      <c r="I5498" s="912">
        <f>VLOOKUP(E5498,[3]VLP!$B$7:$K$300,10,0)</f>
        <v>23000</v>
      </c>
      <c r="J5498" s="912">
        <f>I5498*H5498</f>
        <v>27600</v>
      </c>
      <c r="K5498" s="912" t="s">
        <v>274</v>
      </c>
      <c r="L5498" s="912"/>
      <c r="M5498" s="912"/>
      <c r="N5498" s="912"/>
      <c r="O5498" s="892">
        <f t="shared" si="344"/>
        <v>0</v>
      </c>
      <c r="P5498" s="903">
        <f t="shared" si="345"/>
        <v>1</v>
      </c>
      <c r="Q5498" s="893">
        <f t="shared" si="346"/>
        <v>4</v>
      </c>
      <c r="R5498" s="894">
        <f t="shared" si="347"/>
        <v>0</v>
      </c>
    </row>
    <row r="5499" spans="1:18">
      <c r="A5499" s="905"/>
      <c r="B5499" s="906"/>
      <c r="C5499" s="907">
        <v>49</v>
      </c>
      <c r="D5499" s="907" t="s">
        <v>279</v>
      </c>
      <c r="E5499" s="925" t="s">
        <v>5698</v>
      </c>
      <c r="F5499" s="926" t="s">
        <v>139</v>
      </c>
      <c r="G5499" s="910"/>
      <c r="H5499" s="911">
        <v>12</v>
      </c>
      <c r="I5499" s="912">
        <f>VLOOKUP(E5499,[3]VLP!$B$7:$K$300,10,0)</f>
        <v>3000</v>
      </c>
      <c r="J5499" s="912">
        <f>I5499*H5499</f>
        <v>36000</v>
      </c>
      <c r="K5499" s="912" t="s">
        <v>274</v>
      </c>
      <c r="L5499" s="912"/>
      <c r="M5499" s="912"/>
      <c r="N5499" s="912"/>
      <c r="O5499" s="892">
        <f t="shared" si="344"/>
        <v>0</v>
      </c>
      <c r="P5499" s="903">
        <f t="shared" si="345"/>
        <v>1</v>
      </c>
      <c r="Q5499" s="893">
        <f t="shared" si="346"/>
        <v>3</v>
      </c>
      <c r="R5499" s="894">
        <f t="shared" si="347"/>
        <v>0</v>
      </c>
    </row>
    <row r="5500" spans="1:18" s="904" customFormat="1">
      <c r="A5500" s="895"/>
      <c r="B5500" s="896"/>
      <c r="C5500" s="897"/>
      <c r="D5500" s="897"/>
      <c r="E5500" s="924" t="s">
        <v>276</v>
      </c>
      <c r="F5500" s="927"/>
      <c r="G5500" s="928"/>
      <c r="H5500" s="901"/>
      <c r="I5500" s="902"/>
      <c r="J5500" s="902"/>
      <c r="K5500" s="912" t="s">
        <v>274</v>
      </c>
      <c r="L5500" s="902"/>
      <c r="M5500" s="902"/>
      <c r="N5500" s="902"/>
      <c r="O5500" s="892">
        <f t="shared" si="344"/>
        <v>0</v>
      </c>
      <c r="P5500" s="903">
        <f t="shared" si="345"/>
        <v>1</v>
      </c>
      <c r="Q5500" s="893">
        <f t="shared" si="346"/>
        <v>2</v>
      </c>
      <c r="R5500" s="894">
        <f t="shared" si="347"/>
        <v>0</v>
      </c>
    </row>
    <row r="5501" spans="1:18">
      <c r="A5501" s="905"/>
      <c r="B5501" s="906"/>
      <c r="C5501" s="907">
        <v>740</v>
      </c>
      <c r="D5501" s="907" t="s">
        <v>12</v>
      </c>
      <c r="E5501" s="908" t="s">
        <v>4008</v>
      </c>
      <c r="F5501" s="909" t="s">
        <v>2674</v>
      </c>
      <c r="G5501" s="910"/>
      <c r="H5501" s="911">
        <v>19.25</v>
      </c>
      <c r="I5501" s="912"/>
      <c r="J5501" s="912"/>
      <c r="K5501" s="912">
        <f>VLOOKUP(E5501,[5]ĐMNC!$A$7:$F$67,4,0)</f>
        <v>221125</v>
      </c>
      <c r="L5501" s="912">
        <f>H5501*K5501</f>
        <v>4256656.25</v>
      </c>
      <c r="M5501" s="912"/>
      <c r="N5501" s="912"/>
      <c r="O5501" s="892">
        <f t="shared" si="344"/>
        <v>0</v>
      </c>
      <c r="P5501" s="903">
        <f t="shared" si="345"/>
        <v>1</v>
      </c>
      <c r="Q5501" s="893">
        <f t="shared" si="346"/>
        <v>1</v>
      </c>
      <c r="R5501" s="894">
        <f t="shared" si="347"/>
        <v>0</v>
      </c>
    </row>
    <row r="5502" spans="1:18" s="847" customFormat="1" ht="31.5">
      <c r="A5502" s="905"/>
      <c r="B5502" s="914" t="s">
        <v>1573</v>
      </c>
      <c r="C5502" s="915"/>
      <c r="D5502" s="915"/>
      <c r="E5502" s="916" t="s">
        <v>5772</v>
      </c>
      <c r="F5502" s="917" t="s">
        <v>43</v>
      </c>
      <c r="G5502" s="918"/>
      <c r="H5502" s="919"/>
      <c r="I5502" s="920"/>
      <c r="J5502" s="891">
        <f>SUM(J5503:J5509)</f>
        <v>70100</v>
      </c>
      <c r="K5502" s="891"/>
      <c r="L5502" s="891">
        <f>SUM(L5503:L5509)</f>
        <v>5656377.5</v>
      </c>
      <c r="M5502" s="891"/>
      <c r="N5502" s="891">
        <f>SUM(N5503:N5509)</f>
        <v>0</v>
      </c>
      <c r="O5502" s="892">
        <f t="shared" si="344"/>
        <v>1</v>
      </c>
      <c r="P5502" s="903">
        <f t="shared" si="345"/>
        <v>0</v>
      </c>
      <c r="Q5502" s="893">
        <f t="shared" si="346"/>
        <v>0</v>
      </c>
      <c r="R5502" s="894">
        <f t="shared" si="347"/>
        <v>7</v>
      </c>
    </row>
    <row r="5503" spans="1:18" s="904" customFormat="1">
      <c r="A5503" s="895"/>
      <c r="B5503" s="896"/>
      <c r="C5503" s="897"/>
      <c r="D5503" s="897"/>
      <c r="E5503" s="898" t="s">
        <v>108</v>
      </c>
      <c r="F5503" s="899"/>
      <c r="G5503" s="900"/>
      <c r="H5503" s="901"/>
      <c r="I5503" s="902"/>
      <c r="J5503" s="902"/>
      <c r="K5503" s="912" t="s">
        <v>274</v>
      </c>
      <c r="L5503" s="902"/>
      <c r="M5503" s="902"/>
      <c r="N5503" s="902"/>
      <c r="O5503" s="892">
        <f t="shared" si="344"/>
        <v>0</v>
      </c>
      <c r="P5503" s="903">
        <f t="shared" si="345"/>
        <v>1</v>
      </c>
      <c r="Q5503" s="893">
        <f t="shared" si="346"/>
        <v>7</v>
      </c>
      <c r="R5503" s="894">
        <f t="shared" si="347"/>
        <v>0</v>
      </c>
    </row>
    <row r="5504" spans="1:18">
      <c r="A5504" s="905"/>
      <c r="B5504" s="906"/>
      <c r="C5504" s="907">
        <v>25</v>
      </c>
      <c r="D5504" s="907" t="s">
        <v>279</v>
      </c>
      <c r="E5504" s="925" t="s">
        <v>5656</v>
      </c>
      <c r="F5504" s="926" t="s">
        <v>2690</v>
      </c>
      <c r="G5504" s="910"/>
      <c r="H5504" s="911">
        <v>0.5</v>
      </c>
      <c r="I5504" s="912">
        <f>VLOOKUP(E5504,[3]VLP!$B$7:$K$300,10,0)</f>
        <v>5000</v>
      </c>
      <c r="J5504" s="912">
        <f>I5504*H5504</f>
        <v>2500</v>
      </c>
      <c r="K5504" s="912" t="s">
        <v>274</v>
      </c>
      <c r="L5504" s="912"/>
      <c r="M5504" s="912"/>
      <c r="N5504" s="912"/>
      <c r="O5504" s="892">
        <f t="shared" si="344"/>
        <v>0</v>
      </c>
      <c r="P5504" s="903">
        <f t="shared" si="345"/>
        <v>1</v>
      </c>
      <c r="Q5504" s="893">
        <f t="shared" si="346"/>
        <v>6</v>
      </c>
      <c r="R5504" s="894">
        <f t="shared" si="347"/>
        <v>0</v>
      </c>
    </row>
    <row r="5505" spans="1:18">
      <c r="A5505" s="905"/>
      <c r="B5505" s="906"/>
      <c r="C5505" s="907">
        <v>66</v>
      </c>
      <c r="D5505" s="907" t="s">
        <v>279</v>
      </c>
      <c r="E5505" s="925" t="s">
        <v>2682</v>
      </c>
      <c r="F5505" s="926" t="s">
        <v>45</v>
      </c>
      <c r="G5505" s="910"/>
      <c r="H5505" s="911">
        <v>0.8</v>
      </c>
      <c r="I5505" s="912">
        <f>VLOOKUP(E5505,[3]VLP!$B$7:$K$300,10,0)</f>
        <v>5000</v>
      </c>
      <c r="J5505" s="912">
        <f>I5505*H5505</f>
        <v>4000</v>
      </c>
      <c r="K5505" s="912" t="s">
        <v>274</v>
      </c>
      <c r="L5505" s="912"/>
      <c r="M5505" s="912"/>
      <c r="N5505" s="912"/>
      <c r="O5505" s="892">
        <f t="shared" si="344"/>
        <v>0</v>
      </c>
      <c r="P5505" s="903">
        <f t="shared" si="345"/>
        <v>1</v>
      </c>
      <c r="Q5505" s="893">
        <f t="shared" si="346"/>
        <v>5</v>
      </c>
      <c r="R5505" s="894">
        <f t="shared" si="347"/>
        <v>0</v>
      </c>
    </row>
    <row r="5506" spans="1:18">
      <c r="A5506" s="905"/>
      <c r="B5506" s="906"/>
      <c r="C5506" s="907">
        <v>44</v>
      </c>
      <c r="D5506" s="907" t="s">
        <v>279</v>
      </c>
      <c r="E5506" s="925" t="s">
        <v>2681</v>
      </c>
      <c r="F5506" s="926" t="s">
        <v>45</v>
      </c>
      <c r="G5506" s="910"/>
      <c r="H5506" s="911">
        <v>1.2</v>
      </c>
      <c r="I5506" s="912">
        <f>VLOOKUP(E5506,[3]VLP!$B$7:$K$300,10,0)</f>
        <v>23000</v>
      </c>
      <c r="J5506" s="912">
        <f>I5506*H5506</f>
        <v>27600</v>
      </c>
      <c r="K5506" s="912" t="s">
        <v>274</v>
      </c>
      <c r="L5506" s="912"/>
      <c r="M5506" s="912"/>
      <c r="N5506" s="912"/>
      <c r="O5506" s="892">
        <f t="shared" si="344"/>
        <v>0</v>
      </c>
      <c r="P5506" s="903">
        <f t="shared" si="345"/>
        <v>1</v>
      </c>
      <c r="Q5506" s="893">
        <f t="shared" si="346"/>
        <v>4</v>
      </c>
      <c r="R5506" s="894">
        <f t="shared" si="347"/>
        <v>0</v>
      </c>
    </row>
    <row r="5507" spans="1:18">
      <c r="A5507" s="905"/>
      <c r="B5507" s="906"/>
      <c r="C5507" s="907">
        <v>49</v>
      </c>
      <c r="D5507" s="907" t="s">
        <v>279</v>
      </c>
      <c r="E5507" s="925" t="s">
        <v>5698</v>
      </c>
      <c r="F5507" s="926" t="s">
        <v>139</v>
      </c>
      <c r="G5507" s="910"/>
      <c r="H5507" s="911">
        <v>12</v>
      </c>
      <c r="I5507" s="912">
        <f>VLOOKUP(E5507,[3]VLP!$B$7:$K$300,10,0)</f>
        <v>3000</v>
      </c>
      <c r="J5507" s="912">
        <f>I5507*H5507</f>
        <v>36000</v>
      </c>
      <c r="K5507" s="912" t="s">
        <v>274</v>
      </c>
      <c r="L5507" s="912"/>
      <c r="M5507" s="912"/>
      <c r="N5507" s="912"/>
      <c r="O5507" s="892">
        <f t="shared" si="344"/>
        <v>0</v>
      </c>
      <c r="P5507" s="903">
        <f t="shared" si="345"/>
        <v>1</v>
      </c>
      <c r="Q5507" s="893">
        <f t="shared" si="346"/>
        <v>3</v>
      </c>
      <c r="R5507" s="894">
        <f t="shared" si="347"/>
        <v>0</v>
      </c>
    </row>
    <row r="5508" spans="1:18" s="904" customFormat="1">
      <c r="A5508" s="895"/>
      <c r="B5508" s="896"/>
      <c r="C5508" s="897"/>
      <c r="D5508" s="897"/>
      <c r="E5508" s="924" t="s">
        <v>276</v>
      </c>
      <c r="F5508" s="927"/>
      <c r="G5508" s="928"/>
      <c r="H5508" s="901"/>
      <c r="I5508" s="902"/>
      <c r="J5508" s="902"/>
      <c r="K5508" s="912" t="s">
        <v>274</v>
      </c>
      <c r="L5508" s="902"/>
      <c r="M5508" s="902"/>
      <c r="N5508" s="902"/>
      <c r="O5508" s="892">
        <f t="shared" si="344"/>
        <v>0</v>
      </c>
      <c r="P5508" s="903">
        <f t="shared" si="345"/>
        <v>1</v>
      </c>
      <c r="Q5508" s="893">
        <f t="shared" si="346"/>
        <v>2</v>
      </c>
      <c r="R5508" s="894">
        <f t="shared" si="347"/>
        <v>0</v>
      </c>
    </row>
    <row r="5509" spans="1:18">
      <c r="A5509" s="905"/>
      <c r="B5509" s="906"/>
      <c r="C5509" s="907">
        <v>740</v>
      </c>
      <c r="D5509" s="907" t="s">
        <v>12</v>
      </c>
      <c r="E5509" s="908" t="s">
        <v>4008</v>
      </c>
      <c r="F5509" s="909" t="s">
        <v>2674</v>
      </c>
      <c r="G5509" s="910"/>
      <c r="H5509" s="911">
        <v>25.58</v>
      </c>
      <c r="I5509" s="912"/>
      <c r="J5509" s="912"/>
      <c r="K5509" s="912">
        <f>VLOOKUP(E5509,[5]ĐMNC!$A$7:$F$67,4,0)</f>
        <v>221125</v>
      </c>
      <c r="L5509" s="912">
        <f>H5509*K5509</f>
        <v>5656377.5</v>
      </c>
      <c r="M5509" s="912"/>
      <c r="N5509" s="912"/>
      <c r="O5509" s="892">
        <f t="shared" si="344"/>
        <v>0</v>
      </c>
      <c r="P5509" s="903">
        <f t="shared" si="345"/>
        <v>1</v>
      </c>
      <c r="Q5509" s="893">
        <f t="shared" si="346"/>
        <v>1</v>
      </c>
      <c r="R5509" s="894">
        <f t="shared" si="347"/>
        <v>0</v>
      </c>
    </row>
    <row r="5510" spans="1:18" s="847" customFormat="1" ht="31.5">
      <c r="A5510" s="905"/>
      <c r="B5510" s="914" t="s">
        <v>1575</v>
      </c>
      <c r="C5510" s="915"/>
      <c r="D5510" s="915"/>
      <c r="E5510" s="916" t="s">
        <v>5773</v>
      </c>
      <c r="F5510" s="917" t="s">
        <v>43</v>
      </c>
      <c r="G5510" s="918"/>
      <c r="H5510" s="919"/>
      <c r="I5510" s="920"/>
      <c r="J5510" s="891">
        <f>SUM(J5511:J5517)</f>
        <v>75700</v>
      </c>
      <c r="K5510" s="891"/>
      <c r="L5510" s="891">
        <f>SUM(L5511:L5517)</f>
        <v>7513827.4999999991</v>
      </c>
      <c r="M5510" s="891"/>
      <c r="N5510" s="891">
        <f>SUM(N5511:N5517)</f>
        <v>0</v>
      </c>
      <c r="O5510" s="892">
        <f t="shared" si="344"/>
        <v>1</v>
      </c>
      <c r="P5510" s="903">
        <f t="shared" si="345"/>
        <v>0</v>
      </c>
      <c r="Q5510" s="893">
        <f t="shared" si="346"/>
        <v>0</v>
      </c>
      <c r="R5510" s="894">
        <f t="shared" si="347"/>
        <v>7</v>
      </c>
    </row>
    <row r="5511" spans="1:18" s="904" customFormat="1">
      <c r="A5511" s="895"/>
      <c r="B5511" s="896"/>
      <c r="C5511" s="897"/>
      <c r="D5511" s="897"/>
      <c r="E5511" s="898" t="s">
        <v>108</v>
      </c>
      <c r="F5511" s="899"/>
      <c r="G5511" s="900"/>
      <c r="H5511" s="901"/>
      <c r="I5511" s="902"/>
      <c r="J5511" s="902"/>
      <c r="K5511" s="912" t="s">
        <v>274</v>
      </c>
      <c r="L5511" s="902"/>
      <c r="M5511" s="902"/>
      <c r="N5511" s="902"/>
      <c r="O5511" s="892">
        <f t="shared" si="344"/>
        <v>0</v>
      </c>
      <c r="P5511" s="903">
        <f t="shared" si="345"/>
        <v>1</v>
      </c>
      <c r="Q5511" s="893">
        <f t="shared" si="346"/>
        <v>7</v>
      </c>
      <c r="R5511" s="894">
        <f t="shared" si="347"/>
        <v>0</v>
      </c>
    </row>
    <row r="5512" spans="1:18">
      <c r="A5512" s="905"/>
      <c r="B5512" s="906"/>
      <c r="C5512" s="907">
        <v>25</v>
      </c>
      <c r="D5512" s="907" t="s">
        <v>279</v>
      </c>
      <c r="E5512" s="925" t="s">
        <v>5656</v>
      </c>
      <c r="F5512" s="926" t="s">
        <v>2690</v>
      </c>
      <c r="G5512" s="910"/>
      <c r="H5512" s="911">
        <v>0.5</v>
      </c>
      <c r="I5512" s="912">
        <f>VLOOKUP(E5512,[3]VLP!$B$7:$K$300,10,0)</f>
        <v>5000</v>
      </c>
      <c r="J5512" s="912">
        <f>I5512*H5512</f>
        <v>2500</v>
      </c>
      <c r="K5512" s="912" t="s">
        <v>274</v>
      </c>
      <c r="L5512" s="912"/>
      <c r="M5512" s="912"/>
      <c r="N5512" s="912"/>
      <c r="O5512" s="892">
        <f t="shared" si="344"/>
        <v>0</v>
      </c>
      <c r="P5512" s="903">
        <f t="shared" si="345"/>
        <v>1</v>
      </c>
      <c r="Q5512" s="893">
        <f t="shared" si="346"/>
        <v>6</v>
      </c>
      <c r="R5512" s="894">
        <f t="shared" si="347"/>
        <v>0</v>
      </c>
    </row>
    <row r="5513" spans="1:18">
      <c r="A5513" s="905"/>
      <c r="B5513" s="906"/>
      <c r="C5513" s="907">
        <v>66</v>
      </c>
      <c r="D5513" s="907" t="s">
        <v>279</v>
      </c>
      <c r="E5513" s="925" t="s">
        <v>2682</v>
      </c>
      <c r="F5513" s="926" t="s">
        <v>45</v>
      </c>
      <c r="G5513" s="910"/>
      <c r="H5513" s="911">
        <v>1</v>
      </c>
      <c r="I5513" s="912">
        <f>VLOOKUP(E5513,[3]VLP!$B$7:$K$300,10,0)</f>
        <v>5000</v>
      </c>
      <c r="J5513" s="912">
        <f>I5513*H5513</f>
        <v>5000</v>
      </c>
      <c r="K5513" s="912" t="s">
        <v>274</v>
      </c>
      <c r="L5513" s="912"/>
      <c r="M5513" s="912"/>
      <c r="N5513" s="912"/>
      <c r="O5513" s="892">
        <f t="shared" si="344"/>
        <v>0</v>
      </c>
      <c r="P5513" s="903">
        <f t="shared" si="345"/>
        <v>1</v>
      </c>
      <c r="Q5513" s="893">
        <f t="shared" si="346"/>
        <v>5</v>
      </c>
      <c r="R5513" s="894">
        <f t="shared" si="347"/>
        <v>0</v>
      </c>
    </row>
    <row r="5514" spans="1:18">
      <c r="A5514" s="905"/>
      <c r="B5514" s="906"/>
      <c r="C5514" s="907">
        <v>44</v>
      </c>
      <c r="D5514" s="907" t="s">
        <v>279</v>
      </c>
      <c r="E5514" s="925" t="s">
        <v>2681</v>
      </c>
      <c r="F5514" s="926" t="s">
        <v>45</v>
      </c>
      <c r="G5514" s="910"/>
      <c r="H5514" s="911">
        <v>1.4</v>
      </c>
      <c r="I5514" s="912">
        <f>VLOOKUP(E5514,[3]VLP!$B$7:$K$300,10,0)</f>
        <v>23000</v>
      </c>
      <c r="J5514" s="912">
        <f>I5514*H5514</f>
        <v>32199.999999999996</v>
      </c>
      <c r="K5514" s="912" t="s">
        <v>274</v>
      </c>
      <c r="L5514" s="912"/>
      <c r="M5514" s="912"/>
      <c r="N5514" s="912"/>
      <c r="O5514" s="892">
        <f t="shared" si="344"/>
        <v>0</v>
      </c>
      <c r="P5514" s="903">
        <f t="shared" si="345"/>
        <v>1</v>
      </c>
      <c r="Q5514" s="893">
        <f t="shared" si="346"/>
        <v>4</v>
      </c>
      <c r="R5514" s="894">
        <f t="shared" si="347"/>
        <v>0</v>
      </c>
    </row>
    <row r="5515" spans="1:18">
      <c r="A5515" s="905"/>
      <c r="B5515" s="906"/>
      <c r="C5515" s="907">
        <v>49</v>
      </c>
      <c r="D5515" s="907" t="s">
        <v>279</v>
      </c>
      <c r="E5515" s="925" t="s">
        <v>5698</v>
      </c>
      <c r="F5515" s="926" t="s">
        <v>139</v>
      </c>
      <c r="G5515" s="910"/>
      <c r="H5515" s="911">
        <v>12</v>
      </c>
      <c r="I5515" s="912">
        <f>VLOOKUP(E5515,[3]VLP!$B$7:$K$300,10,0)</f>
        <v>3000</v>
      </c>
      <c r="J5515" s="912">
        <f>I5515*H5515</f>
        <v>36000</v>
      </c>
      <c r="K5515" s="912" t="s">
        <v>274</v>
      </c>
      <c r="L5515" s="912"/>
      <c r="M5515" s="912"/>
      <c r="N5515" s="912"/>
      <c r="O5515" s="892">
        <f t="shared" si="344"/>
        <v>0</v>
      </c>
      <c r="P5515" s="903">
        <f t="shared" si="345"/>
        <v>1</v>
      </c>
      <c r="Q5515" s="893">
        <f t="shared" si="346"/>
        <v>3</v>
      </c>
      <c r="R5515" s="894">
        <f t="shared" si="347"/>
        <v>0</v>
      </c>
    </row>
    <row r="5516" spans="1:18" s="904" customFormat="1">
      <c r="A5516" s="895"/>
      <c r="B5516" s="896"/>
      <c r="C5516" s="897"/>
      <c r="D5516" s="897"/>
      <c r="E5516" s="924" t="s">
        <v>276</v>
      </c>
      <c r="F5516" s="927"/>
      <c r="G5516" s="928"/>
      <c r="H5516" s="901"/>
      <c r="I5516" s="902"/>
      <c r="J5516" s="902"/>
      <c r="K5516" s="912" t="s">
        <v>274</v>
      </c>
      <c r="L5516" s="902"/>
      <c r="M5516" s="902"/>
      <c r="N5516" s="902"/>
      <c r="O5516" s="892">
        <f t="shared" si="344"/>
        <v>0</v>
      </c>
      <c r="P5516" s="903">
        <f t="shared" si="345"/>
        <v>1</v>
      </c>
      <c r="Q5516" s="893">
        <f t="shared" si="346"/>
        <v>2</v>
      </c>
      <c r="R5516" s="894">
        <f t="shared" si="347"/>
        <v>0</v>
      </c>
    </row>
    <row r="5517" spans="1:18">
      <c r="A5517" s="905"/>
      <c r="B5517" s="906"/>
      <c r="C5517" s="907">
        <v>740</v>
      </c>
      <c r="D5517" s="907" t="s">
        <v>12</v>
      </c>
      <c r="E5517" s="908" t="s">
        <v>4008</v>
      </c>
      <c r="F5517" s="909" t="s">
        <v>2674</v>
      </c>
      <c r="G5517" s="910"/>
      <c r="H5517" s="911">
        <v>33.979999999999997</v>
      </c>
      <c r="I5517" s="912"/>
      <c r="J5517" s="912"/>
      <c r="K5517" s="912">
        <f>VLOOKUP(E5517,[5]ĐMNC!$A$7:$F$67,4,0)</f>
        <v>221125</v>
      </c>
      <c r="L5517" s="912">
        <f>H5517*K5517</f>
        <v>7513827.4999999991</v>
      </c>
      <c r="M5517" s="912"/>
      <c r="N5517" s="912"/>
      <c r="O5517" s="892">
        <f t="shared" si="344"/>
        <v>0</v>
      </c>
      <c r="P5517" s="903">
        <f t="shared" si="345"/>
        <v>1</v>
      </c>
      <c r="Q5517" s="893">
        <f t="shared" si="346"/>
        <v>1</v>
      </c>
      <c r="R5517" s="894">
        <f t="shared" si="347"/>
        <v>0</v>
      </c>
    </row>
    <row r="5518" spans="1:18" s="847" customFormat="1" ht="31.5">
      <c r="A5518" s="905"/>
      <c r="B5518" s="914" t="s">
        <v>1577</v>
      </c>
      <c r="C5518" s="915"/>
      <c r="D5518" s="915"/>
      <c r="E5518" s="916" t="s">
        <v>5774</v>
      </c>
      <c r="F5518" s="917" t="s">
        <v>43</v>
      </c>
      <c r="G5518" s="918"/>
      <c r="H5518" s="919"/>
      <c r="I5518" s="920"/>
      <c r="J5518" s="891">
        <f>SUM(J5519:J5525)</f>
        <v>78500</v>
      </c>
      <c r="K5518" s="891"/>
      <c r="L5518" s="891">
        <f>SUM(L5519:L5525)</f>
        <v>9769302.5</v>
      </c>
      <c r="M5518" s="891"/>
      <c r="N5518" s="891">
        <f>SUM(N5519:N5525)</f>
        <v>0</v>
      </c>
      <c r="O5518" s="892">
        <f t="shared" si="344"/>
        <v>1</v>
      </c>
      <c r="P5518" s="903">
        <f t="shared" si="345"/>
        <v>0</v>
      </c>
      <c r="Q5518" s="893">
        <f t="shared" si="346"/>
        <v>0</v>
      </c>
      <c r="R5518" s="894">
        <f t="shared" si="347"/>
        <v>7</v>
      </c>
    </row>
    <row r="5519" spans="1:18" s="904" customFormat="1">
      <c r="A5519" s="895"/>
      <c r="B5519" s="896"/>
      <c r="C5519" s="897"/>
      <c r="D5519" s="897"/>
      <c r="E5519" s="898" t="s">
        <v>108</v>
      </c>
      <c r="F5519" s="899"/>
      <c r="G5519" s="900"/>
      <c r="H5519" s="901"/>
      <c r="I5519" s="902"/>
      <c r="J5519" s="902"/>
      <c r="K5519" s="912" t="s">
        <v>274</v>
      </c>
      <c r="L5519" s="902"/>
      <c r="M5519" s="902"/>
      <c r="N5519" s="902"/>
      <c r="O5519" s="892">
        <f t="shared" si="344"/>
        <v>0</v>
      </c>
      <c r="P5519" s="903">
        <f t="shared" si="345"/>
        <v>1</v>
      </c>
      <c r="Q5519" s="893">
        <f t="shared" si="346"/>
        <v>7</v>
      </c>
      <c r="R5519" s="894">
        <f t="shared" si="347"/>
        <v>0</v>
      </c>
    </row>
    <row r="5520" spans="1:18">
      <c r="A5520" s="905"/>
      <c r="B5520" s="906"/>
      <c r="C5520" s="907">
        <v>25</v>
      </c>
      <c r="D5520" s="907" t="s">
        <v>279</v>
      </c>
      <c r="E5520" s="925" t="s">
        <v>5656</v>
      </c>
      <c r="F5520" s="926" t="s">
        <v>2690</v>
      </c>
      <c r="G5520" s="910"/>
      <c r="H5520" s="911">
        <v>0.6</v>
      </c>
      <c r="I5520" s="912">
        <f>VLOOKUP(E5520,[3]VLP!$B$7:$K$300,10,0)</f>
        <v>5000</v>
      </c>
      <c r="J5520" s="912">
        <f>I5520*H5520</f>
        <v>3000</v>
      </c>
      <c r="K5520" s="912" t="s">
        <v>274</v>
      </c>
      <c r="L5520" s="912"/>
      <c r="M5520" s="912"/>
      <c r="N5520" s="912"/>
      <c r="O5520" s="892">
        <f t="shared" si="344"/>
        <v>0</v>
      </c>
      <c r="P5520" s="903">
        <f t="shared" si="345"/>
        <v>1</v>
      </c>
      <c r="Q5520" s="893">
        <f t="shared" si="346"/>
        <v>6</v>
      </c>
      <c r="R5520" s="894">
        <f t="shared" si="347"/>
        <v>0</v>
      </c>
    </row>
    <row r="5521" spans="1:18">
      <c r="A5521" s="905"/>
      <c r="B5521" s="906"/>
      <c r="C5521" s="907">
        <v>66</v>
      </c>
      <c r="D5521" s="907" t="s">
        <v>279</v>
      </c>
      <c r="E5521" s="925" t="s">
        <v>2682</v>
      </c>
      <c r="F5521" s="926" t="s">
        <v>45</v>
      </c>
      <c r="G5521" s="910"/>
      <c r="H5521" s="911">
        <v>1</v>
      </c>
      <c r="I5521" s="912">
        <f>VLOOKUP(E5521,[3]VLP!$B$7:$K$300,10,0)</f>
        <v>5000</v>
      </c>
      <c r="J5521" s="912">
        <f>I5521*H5521</f>
        <v>5000</v>
      </c>
      <c r="K5521" s="912" t="s">
        <v>274</v>
      </c>
      <c r="L5521" s="912"/>
      <c r="M5521" s="912"/>
      <c r="N5521" s="912"/>
      <c r="O5521" s="892">
        <f t="shared" si="344"/>
        <v>0</v>
      </c>
      <c r="P5521" s="903">
        <f t="shared" si="345"/>
        <v>1</v>
      </c>
      <c r="Q5521" s="893">
        <f t="shared" si="346"/>
        <v>5</v>
      </c>
      <c r="R5521" s="894">
        <f t="shared" si="347"/>
        <v>0</v>
      </c>
    </row>
    <row r="5522" spans="1:18">
      <c r="A5522" s="905"/>
      <c r="B5522" s="906"/>
      <c r="C5522" s="907">
        <v>44</v>
      </c>
      <c r="D5522" s="907" t="s">
        <v>279</v>
      </c>
      <c r="E5522" s="925" t="s">
        <v>2681</v>
      </c>
      <c r="F5522" s="926" t="s">
        <v>45</v>
      </c>
      <c r="G5522" s="910"/>
      <c r="H5522" s="911">
        <v>1.5</v>
      </c>
      <c r="I5522" s="912">
        <f>VLOOKUP(E5522,[3]VLP!$B$7:$K$300,10,0)</f>
        <v>23000</v>
      </c>
      <c r="J5522" s="912">
        <f>I5522*H5522</f>
        <v>34500</v>
      </c>
      <c r="K5522" s="912" t="s">
        <v>274</v>
      </c>
      <c r="L5522" s="912"/>
      <c r="M5522" s="912"/>
      <c r="N5522" s="912"/>
      <c r="O5522" s="892">
        <f t="shared" si="344"/>
        <v>0</v>
      </c>
      <c r="P5522" s="903">
        <f t="shared" si="345"/>
        <v>1</v>
      </c>
      <c r="Q5522" s="893">
        <f t="shared" si="346"/>
        <v>4</v>
      </c>
      <c r="R5522" s="894">
        <f t="shared" si="347"/>
        <v>0</v>
      </c>
    </row>
    <row r="5523" spans="1:18">
      <c r="A5523" s="905"/>
      <c r="B5523" s="906"/>
      <c r="C5523" s="907">
        <v>49</v>
      </c>
      <c r="D5523" s="907" t="s">
        <v>279</v>
      </c>
      <c r="E5523" s="925" t="s">
        <v>5698</v>
      </c>
      <c r="F5523" s="926" t="s">
        <v>139</v>
      </c>
      <c r="G5523" s="910"/>
      <c r="H5523" s="911">
        <v>12</v>
      </c>
      <c r="I5523" s="912">
        <f>VLOOKUP(E5523,[3]VLP!$B$7:$K$300,10,0)</f>
        <v>3000</v>
      </c>
      <c r="J5523" s="912">
        <f>I5523*H5523</f>
        <v>36000</v>
      </c>
      <c r="K5523" s="912" t="s">
        <v>274</v>
      </c>
      <c r="L5523" s="912"/>
      <c r="M5523" s="912"/>
      <c r="N5523" s="912"/>
      <c r="O5523" s="892">
        <f t="shared" si="344"/>
        <v>0</v>
      </c>
      <c r="P5523" s="903">
        <f t="shared" si="345"/>
        <v>1</v>
      </c>
      <c r="Q5523" s="893">
        <f t="shared" si="346"/>
        <v>3</v>
      </c>
      <c r="R5523" s="894">
        <f t="shared" si="347"/>
        <v>0</v>
      </c>
    </row>
    <row r="5524" spans="1:18" s="904" customFormat="1">
      <c r="A5524" s="895"/>
      <c r="B5524" s="896"/>
      <c r="C5524" s="897"/>
      <c r="D5524" s="897"/>
      <c r="E5524" s="924" t="s">
        <v>276</v>
      </c>
      <c r="F5524" s="927"/>
      <c r="G5524" s="928"/>
      <c r="H5524" s="901"/>
      <c r="I5524" s="902"/>
      <c r="J5524" s="902"/>
      <c r="K5524" s="912" t="s">
        <v>274</v>
      </c>
      <c r="L5524" s="902"/>
      <c r="M5524" s="902"/>
      <c r="N5524" s="902"/>
      <c r="O5524" s="892">
        <f t="shared" si="344"/>
        <v>0</v>
      </c>
      <c r="P5524" s="903">
        <f t="shared" si="345"/>
        <v>1</v>
      </c>
      <c r="Q5524" s="893">
        <f t="shared" si="346"/>
        <v>2</v>
      </c>
      <c r="R5524" s="894">
        <f t="shared" si="347"/>
        <v>0</v>
      </c>
    </row>
    <row r="5525" spans="1:18">
      <c r="A5525" s="905"/>
      <c r="B5525" s="906"/>
      <c r="C5525" s="907">
        <v>740</v>
      </c>
      <c r="D5525" s="907" t="s">
        <v>12</v>
      </c>
      <c r="E5525" s="908" t="s">
        <v>4008</v>
      </c>
      <c r="F5525" s="909" t="s">
        <v>2674</v>
      </c>
      <c r="G5525" s="910"/>
      <c r="H5525" s="911">
        <v>44.18</v>
      </c>
      <c r="I5525" s="912"/>
      <c r="J5525" s="912"/>
      <c r="K5525" s="912">
        <f>VLOOKUP(E5525,[5]ĐMNC!$A$7:$F$67,4,0)</f>
        <v>221125</v>
      </c>
      <c r="L5525" s="912">
        <f>H5525*K5525</f>
        <v>9769302.5</v>
      </c>
      <c r="M5525" s="912"/>
      <c r="N5525" s="912"/>
      <c r="O5525" s="892">
        <f t="shared" si="344"/>
        <v>0</v>
      </c>
      <c r="P5525" s="903">
        <f t="shared" si="345"/>
        <v>1</v>
      </c>
      <c r="Q5525" s="893">
        <f t="shared" si="346"/>
        <v>1</v>
      </c>
      <c r="R5525" s="894">
        <f t="shared" si="347"/>
        <v>0</v>
      </c>
    </row>
    <row r="5526" spans="1:18" s="847" customFormat="1" ht="31.5">
      <c r="A5526" s="905"/>
      <c r="B5526" s="914" t="s">
        <v>1579</v>
      </c>
      <c r="C5526" s="915"/>
      <c r="D5526" s="915"/>
      <c r="E5526" s="916" t="s">
        <v>5775</v>
      </c>
      <c r="F5526" s="917" t="s">
        <v>43</v>
      </c>
      <c r="G5526" s="918"/>
      <c r="H5526" s="919"/>
      <c r="I5526" s="920"/>
      <c r="J5526" s="891">
        <f>SUM(J5527:J5533)</f>
        <v>80800</v>
      </c>
      <c r="K5526" s="891"/>
      <c r="L5526" s="891">
        <f>SUM(L5527:L5533)</f>
        <v>12212733.75</v>
      </c>
      <c r="M5526" s="891"/>
      <c r="N5526" s="891">
        <f>SUM(N5527:N5533)</f>
        <v>0</v>
      </c>
      <c r="O5526" s="892">
        <f t="shared" si="344"/>
        <v>1</v>
      </c>
      <c r="P5526" s="903">
        <f t="shared" si="345"/>
        <v>0</v>
      </c>
      <c r="Q5526" s="893">
        <f t="shared" si="346"/>
        <v>0</v>
      </c>
      <c r="R5526" s="894">
        <f t="shared" si="347"/>
        <v>7</v>
      </c>
    </row>
    <row r="5527" spans="1:18" s="904" customFormat="1">
      <c r="A5527" s="895"/>
      <c r="B5527" s="896"/>
      <c r="C5527" s="897"/>
      <c r="D5527" s="897"/>
      <c r="E5527" s="898" t="s">
        <v>108</v>
      </c>
      <c r="F5527" s="899"/>
      <c r="G5527" s="900"/>
      <c r="H5527" s="901"/>
      <c r="I5527" s="902"/>
      <c r="J5527" s="902"/>
      <c r="K5527" s="912" t="s">
        <v>274</v>
      </c>
      <c r="L5527" s="902"/>
      <c r="M5527" s="902"/>
      <c r="N5527" s="902"/>
      <c r="O5527" s="892">
        <f t="shared" si="344"/>
        <v>0</v>
      </c>
      <c r="P5527" s="903">
        <f t="shared" si="345"/>
        <v>1</v>
      </c>
      <c r="Q5527" s="893">
        <f t="shared" si="346"/>
        <v>7</v>
      </c>
      <c r="R5527" s="894">
        <f t="shared" si="347"/>
        <v>0</v>
      </c>
    </row>
    <row r="5528" spans="1:18">
      <c r="A5528" s="905"/>
      <c r="B5528" s="906"/>
      <c r="C5528" s="907">
        <v>25</v>
      </c>
      <c r="D5528" s="907" t="s">
        <v>279</v>
      </c>
      <c r="E5528" s="925" t="s">
        <v>5656</v>
      </c>
      <c r="F5528" s="926" t="s">
        <v>2690</v>
      </c>
      <c r="G5528" s="910"/>
      <c r="H5528" s="911">
        <v>0.6</v>
      </c>
      <c r="I5528" s="912">
        <f>VLOOKUP(E5528,[3]VLP!$B$7:$K$300,10,0)</f>
        <v>5000</v>
      </c>
      <c r="J5528" s="912">
        <f>I5528*H5528</f>
        <v>3000</v>
      </c>
      <c r="K5528" s="912" t="s">
        <v>274</v>
      </c>
      <c r="L5528" s="912"/>
      <c r="M5528" s="912"/>
      <c r="N5528" s="912"/>
      <c r="O5528" s="892">
        <f t="shared" si="344"/>
        <v>0</v>
      </c>
      <c r="P5528" s="903">
        <f t="shared" si="345"/>
        <v>1</v>
      </c>
      <c r="Q5528" s="893">
        <f t="shared" si="346"/>
        <v>6</v>
      </c>
      <c r="R5528" s="894">
        <f t="shared" si="347"/>
        <v>0</v>
      </c>
    </row>
    <row r="5529" spans="1:18">
      <c r="A5529" s="905"/>
      <c r="B5529" s="906"/>
      <c r="C5529" s="907">
        <v>66</v>
      </c>
      <c r="D5529" s="907" t="s">
        <v>279</v>
      </c>
      <c r="E5529" s="925" t="s">
        <v>2682</v>
      </c>
      <c r="F5529" s="926" t="s">
        <v>45</v>
      </c>
      <c r="G5529" s="910"/>
      <c r="H5529" s="911">
        <v>1</v>
      </c>
      <c r="I5529" s="912">
        <f>VLOOKUP(E5529,[3]VLP!$B$7:$K$300,10,0)</f>
        <v>5000</v>
      </c>
      <c r="J5529" s="912">
        <f>I5529*H5529</f>
        <v>5000</v>
      </c>
      <c r="K5529" s="912" t="s">
        <v>274</v>
      </c>
      <c r="L5529" s="912"/>
      <c r="M5529" s="912"/>
      <c r="N5529" s="912"/>
      <c r="O5529" s="892">
        <f t="shared" si="344"/>
        <v>0</v>
      </c>
      <c r="P5529" s="903">
        <f t="shared" si="345"/>
        <v>1</v>
      </c>
      <c r="Q5529" s="893">
        <f t="shared" si="346"/>
        <v>5</v>
      </c>
      <c r="R5529" s="894">
        <f t="shared" si="347"/>
        <v>0</v>
      </c>
    </row>
    <row r="5530" spans="1:18">
      <c r="A5530" s="905"/>
      <c r="B5530" s="906"/>
      <c r="C5530" s="907">
        <v>44</v>
      </c>
      <c r="D5530" s="907" t="s">
        <v>279</v>
      </c>
      <c r="E5530" s="925" t="s">
        <v>2681</v>
      </c>
      <c r="F5530" s="926" t="s">
        <v>45</v>
      </c>
      <c r="G5530" s="910"/>
      <c r="H5530" s="911">
        <v>1.6</v>
      </c>
      <c r="I5530" s="912">
        <f>VLOOKUP(E5530,[3]VLP!$B$7:$K$300,10,0)</f>
        <v>23000</v>
      </c>
      <c r="J5530" s="912">
        <f>I5530*H5530</f>
        <v>36800</v>
      </c>
      <c r="K5530" s="912" t="s">
        <v>274</v>
      </c>
      <c r="L5530" s="912"/>
      <c r="M5530" s="912"/>
      <c r="N5530" s="912"/>
      <c r="O5530" s="892">
        <f t="shared" si="344"/>
        <v>0</v>
      </c>
      <c r="P5530" s="903">
        <f t="shared" si="345"/>
        <v>1</v>
      </c>
      <c r="Q5530" s="893">
        <f t="shared" si="346"/>
        <v>4</v>
      </c>
      <c r="R5530" s="894">
        <f t="shared" si="347"/>
        <v>0</v>
      </c>
    </row>
    <row r="5531" spans="1:18">
      <c r="A5531" s="905"/>
      <c r="B5531" s="906"/>
      <c r="C5531" s="907">
        <v>49</v>
      </c>
      <c r="D5531" s="907" t="s">
        <v>279</v>
      </c>
      <c r="E5531" s="925" t="s">
        <v>5698</v>
      </c>
      <c r="F5531" s="926" t="s">
        <v>139</v>
      </c>
      <c r="G5531" s="910"/>
      <c r="H5531" s="911">
        <v>12</v>
      </c>
      <c r="I5531" s="912">
        <f>VLOOKUP(E5531,[3]VLP!$B$7:$K$300,10,0)</f>
        <v>3000</v>
      </c>
      <c r="J5531" s="912">
        <f>I5531*H5531</f>
        <v>36000</v>
      </c>
      <c r="K5531" s="912" t="s">
        <v>274</v>
      </c>
      <c r="L5531" s="912"/>
      <c r="M5531" s="912"/>
      <c r="N5531" s="912"/>
      <c r="O5531" s="892">
        <f t="shared" si="344"/>
        <v>0</v>
      </c>
      <c r="P5531" s="903">
        <f t="shared" si="345"/>
        <v>1</v>
      </c>
      <c r="Q5531" s="893">
        <f t="shared" si="346"/>
        <v>3</v>
      </c>
      <c r="R5531" s="894">
        <f t="shared" si="347"/>
        <v>0</v>
      </c>
    </row>
    <row r="5532" spans="1:18" s="904" customFormat="1">
      <c r="A5532" s="895"/>
      <c r="B5532" s="896"/>
      <c r="C5532" s="897"/>
      <c r="D5532" s="897"/>
      <c r="E5532" s="924" t="s">
        <v>276</v>
      </c>
      <c r="F5532" s="927"/>
      <c r="G5532" s="928"/>
      <c r="H5532" s="901"/>
      <c r="I5532" s="902"/>
      <c r="J5532" s="902"/>
      <c r="K5532" s="912" t="s">
        <v>274</v>
      </c>
      <c r="L5532" s="902"/>
      <c r="M5532" s="902"/>
      <c r="N5532" s="902"/>
      <c r="O5532" s="892">
        <f t="shared" si="344"/>
        <v>0</v>
      </c>
      <c r="P5532" s="903">
        <f t="shared" si="345"/>
        <v>1</v>
      </c>
      <c r="Q5532" s="893">
        <f t="shared" si="346"/>
        <v>2</v>
      </c>
      <c r="R5532" s="894">
        <f t="shared" si="347"/>
        <v>0</v>
      </c>
    </row>
    <row r="5533" spans="1:18">
      <c r="A5533" s="905"/>
      <c r="B5533" s="906"/>
      <c r="C5533" s="907">
        <v>740</v>
      </c>
      <c r="D5533" s="907" t="s">
        <v>12</v>
      </c>
      <c r="E5533" s="908" t="s">
        <v>4008</v>
      </c>
      <c r="F5533" s="909" t="s">
        <v>2674</v>
      </c>
      <c r="G5533" s="910"/>
      <c r="H5533" s="911">
        <v>55.23</v>
      </c>
      <c r="I5533" s="912"/>
      <c r="J5533" s="912"/>
      <c r="K5533" s="912">
        <f>VLOOKUP(E5533,[5]ĐMNC!$A$7:$F$67,4,0)</f>
        <v>221125</v>
      </c>
      <c r="L5533" s="912">
        <f>H5533*K5533</f>
        <v>12212733.75</v>
      </c>
      <c r="M5533" s="912"/>
      <c r="N5533" s="912"/>
      <c r="O5533" s="892">
        <f t="shared" si="344"/>
        <v>0</v>
      </c>
      <c r="P5533" s="903">
        <f t="shared" si="345"/>
        <v>1</v>
      </c>
      <c r="Q5533" s="893">
        <f t="shared" si="346"/>
        <v>1</v>
      </c>
      <c r="R5533" s="894">
        <f t="shared" si="347"/>
        <v>0</v>
      </c>
    </row>
    <row r="5534" spans="1:18" s="847" customFormat="1">
      <c r="A5534" s="905" t="s">
        <v>5776</v>
      </c>
      <c r="B5534" s="914" t="s">
        <v>5777</v>
      </c>
      <c r="C5534" s="915"/>
      <c r="D5534" s="915"/>
      <c r="E5534" s="916" t="s">
        <v>5778</v>
      </c>
      <c r="F5534" s="917" t="s">
        <v>43</v>
      </c>
      <c r="G5534" s="918"/>
      <c r="H5534" s="919"/>
      <c r="I5534" s="920"/>
      <c r="J5534" s="891">
        <f>SUM(J5535:J5542)</f>
        <v>318600</v>
      </c>
      <c r="K5534" s="891"/>
      <c r="L5534" s="891">
        <f>SUM(L5535:L5542)</f>
        <v>822585</v>
      </c>
      <c r="M5534" s="891"/>
      <c r="N5534" s="891">
        <f>SUM(N5535:N5542)</f>
        <v>0</v>
      </c>
      <c r="O5534" s="892">
        <f t="shared" si="344"/>
        <v>1</v>
      </c>
      <c r="P5534" s="903">
        <f t="shared" si="345"/>
        <v>0</v>
      </c>
      <c r="Q5534" s="893">
        <f t="shared" si="346"/>
        <v>0</v>
      </c>
      <c r="R5534" s="894">
        <f t="shared" si="347"/>
        <v>8</v>
      </c>
    </row>
    <row r="5535" spans="1:18" s="904" customFormat="1">
      <c r="A5535" s="895"/>
      <c r="B5535" s="922"/>
      <c r="C5535" s="897"/>
      <c r="D5535" s="897"/>
      <c r="E5535" s="898" t="s">
        <v>108</v>
      </c>
      <c r="F5535" s="899"/>
      <c r="G5535" s="900"/>
      <c r="H5535" s="901"/>
      <c r="I5535" s="902"/>
      <c r="J5535" s="902"/>
      <c r="K5535" s="912" t="s">
        <v>274</v>
      </c>
      <c r="L5535" s="902"/>
      <c r="M5535" s="902"/>
      <c r="N5535" s="902"/>
      <c r="O5535" s="892">
        <f t="shared" ref="O5535:O5598" si="348">IF(AND(B5535&lt;&gt;"",D5535=""),1,0)</f>
        <v>0</v>
      </c>
      <c r="P5535" s="903">
        <f t="shared" si="345"/>
        <v>1</v>
      </c>
      <c r="Q5535" s="893">
        <f t="shared" si="346"/>
        <v>8</v>
      </c>
      <c r="R5535" s="894">
        <f t="shared" si="347"/>
        <v>0</v>
      </c>
    </row>
    <row r="5536" spans="1:18">
      <c r="A5536" s="905"/>
      <c r="B5536" s="906"/>
      <c r="C5536" s="907">
        <v>25</v>
      </c>
      <c r="D5536" s="907" t="s">
        <v>279</v>
      </c>
      <c r="E5536" s="925" t="s">
        <v>5656</v>
      </c>
      <c r="F5536" s="926" t="s">
        <v>2690</v>
      </c>
      <c r="G5536" s="910"/>
      <c r="H5536" s="911">
        <v>0.2</v>
      </c>
      <c r="I5536" s="912">
        <f>VLOOKUP(E5536,[3]VLP!$B$7:$K$300,10,0)</f>
        <v>5000</v>
      </c>
      <c r="J5536" s="912">
        <f>I5536*H5536</f>
        <v>1000</v>
      </c>
      <c r="K5536" s="912" t="s">
        <v>274</v>
      </c>
      <c r="L5536" s="912"/>
      <c r="M5536" s="912"/>
      <c r="N5536" s="912"/>
      <c r="O5536" s="892">
        <f t="shared" si="348"/>
        <v>0</v>
      </c>
      <c r="P5536" s="903">
        <f t="shared" si="345"/>
        <v>1</v>
      </c>
      <c r="Q5536" s="893">
        <f t="shared" si="346"/>
        <v>7</v>
      </c>
      <c r="R5536" s="894">
        <f t="shared" si="347"/>
        <v>0</v>
      </c>
    </row>
    <row r="5537" spans="1:18">
      <c r="A5537" s="905"/>
      <c r="B5537" s="906"/>
      <c r="C5537" s="907">
        <v>66</v>
      </c>
      <c r="D5537" s="907" t="s">
        <v>279</v>
      </c>
      <c r="E5537" s="925" t="s">
        <v>2682</v>
      </c>
      <c r="F5537" s="926" t="s">
        <v>45</v>
      </c>
      <c r="G5537" s="910"/>
      <c r="H5537" s="911">
        <v>0.3</v>
      </c>
      <c r="I5537" s="912">
        <f>VLOOKUP(E5537,[3]VLP!$B$7:$K$300,10,0)</f>
        <v>5000</v>
      </c>
      <c r="J5537" s="912">
        <f>I5537*H5537</f>
        <v>1500</v>
      </c>
      <c r="K5537" s="912" t="s">
        <v>274</v>
      </c>
      <c r="L5537" s="912"/>
      <c r="M5537" s="912"/>
      <c r="N5537" s="912"/>
      <c r="O5537" s="892">
        <f t="shared" si="348"/>
        <v>0</v>
      </c>
      <c r="P5537" s="903">
        <f t="shared" si="345"/>
        <v>1</v>
      </c>
      <c r="Q5537" s="893">
        <f t="shared" si="346"/>
        <v>6</v>
      </c>
      <c r="R5537" s="894">
        <f t="shared" si="347"/>
        <v>0</v>
      </c>
    </row>
    <row r="5538" spans="1:18">
      <c r="A5538" s="905"/>
      <c r="B5538" s="906"/>
      <c r="C5538" s="907">
        <v>44</v>
      </c>
      <c r="D5538" s="907" t="s">
        <v>279</v>
      </c>
      <c r="E5538" s="925" t="s">
        <v>2681</v>
      </c>
      <c r="F5538" s="926" t="s">
        <v>45</v>
      </c>
      <c r="G5538" s="910"/>
      <c r="H5538" s="911">
        <v>0.7</v>
      </c>
      <c r="I5538" s="912">
        <f>VLOOKUP(E5538,[3]VLP!$B$7:$K$300,10,0)</f>
        <v>23000</v>
      </c>
      <c r="J5538" s="912">
        <f>I5538*H5538</f>
        <v>16099.999999999998</v>
      </c>
      <c r="K5538" s="912" t="s">
        <v>274</v>
      </c>
      <c r="L5538" s="912"/>
      <c r="M5538" s="912"/>
      <c r="N5538" s="912"/>
      <c r="O5538" s="892">
        <f t="shared" si="348"/>
        <v>0</v>
      </c>
      <c r="P5538" s="903">
        <f t="shared" si="345"/>
        <v>1</v>
      </c>
      <c r="Q5538" s="893">
        <f t="shared" si="346"/>
        <v>5</v>
      </c>
      <c r="R5538" s="894">
        <f t="shared" si="347"/>
        <v>0</v>
      </c>
    </row>
    <row r="5539" spans="1:18">
      <c r="A5539" s="905"/>
      <c r="B5539" s="906"/>
      <c r="C5539" s="907">
        <v>49</v>
      </c>
      <c r="D5539" s="907" t="s">
        <v>279</v>
      </c>
      <c r="E5539" s="925" t="s">
        <v>5698</v>
      </c>
      <c r="F5539" s="926" t="s">
        <v>139</v>
      </c>
      <c r="G5539" s="910"/>
      <c r="H5539" s="911">
        <v>100</v>
      </c>
      <c r="I5539" s="912">
        <f>VLOOKUP(E5539,[3]VLP!$B$7:$K$300,10,0)</f>
        <v>3000</v>
      </c>
      <c r="J5539" s="912">
        <f>I5539*H5539</f>
        <v>300000</v>
      </c>
      <c r="K5539" s="912" t="s">
        <v>274</v>
      </c>
      <c r="L5539" s="912"/>
      <c r="M5539" s="912"/>
      <c r="N5539" s="912"/>
      <c r="O5539" s="892">
        <f t="shared" si="348"/>
        <v>0</v>
      </c>
      <c r="P5539" s="903">
        <f t="shared" si="345"/>
        <v>1</v>
      </c>
      <c r="Q5539" s="893">
        <f t="shared" si="346"/>
        <v>4</v>
      </c>
      <c r="R5539" s="894">
        <f t="shared" si="347"/>
        <v>0</v>
      </c>
    </row>
    <row r="5540" spans="1:18">
      <c r="A5540" s="905"/>
      <c r="B5540" s="906"/>
      <c r="C5540" s="990"/>
      <c r="D5540" s="990"/>
      <c r="E5540" s="925" t="s">
        <v>5779</v>
      </c>
      <c r="F5540" s="926" t="s">
        <v>49</v>
      </c>
      <c r="G5540" s="910"/>
      <c r="H5540" s="911">
        <v>103</v>
      </c>
      <c r="I5540" s="912"/>
      <c r="J5540" s="912"/>
      <c r="K5540" s="912" t="s">
        <v>274</v>
      </c>
      <c r="L5540" s="912"/>
      <c r="M5540" s="912"/>
      <c r="N5540" s="912"/>
      <c r="O5540" s="892">
        <f t="shared" si="348"/>
        <v>0</v>
      </c>
      <c r="P5540" s="903">
        <f t="shared" si="345"/>
        <v>1</v>
      </c>
      <c r="Q5540" s="893">
        <f t="shared" si="346"/>
        <v>3</v>
      </c>
      <c r="R5540" s="894">
        <f t="shared" si="347"/>
        <v>0</v>
      </c>
    </row>
    <row r="5541" spans="1:18" s="904" customFormat="1">
      <c r="A5541" s="895"/>
      <c r="B5541" s="896"/>
      <c r="C5541" s="897"/>
      <c r="D5541" s="897"/>
      <c r="E5541" s="924" t="s">
        <v>276</v>
      </c>
      <c r="F5541" s="927"/>
      <c r="G5541" s="928"/>
      <c r="H5541" s="901"/>
      <c r="I5541" s="902"/>
      <c r="J5541" s="902"/>
      <c r="K5541" s="912" t="s">
        <v>274</v>
      </c>
      <c r="L5541" s="902"/>
      <c r="M5541" s="902"/>
      <c r="N5541" s="902"/>
      <c r="O5541" s="892">
        <f t="shared" si="348"/>
        <v>0</v>
      </c>
      <c r="P5541" s="903">
        <f t="shared" si="345"/>
        <v>1</v>
      </c>
      <c r="Q5541" s="893">
        <f t="shared" si="346"/>
        <v>2</v>
      </c>
      <c r="R5541" s="894">
        <f t="shared" si="347"/>
        <v>0</v>
      </c>
    </row>
    <row r="5542" spans="1:18">
      <c r="A5542" s="905"/>
      <c r="B5542" s="906"/>
      <c r="C5542" s="907">
        <v>740</v>
      </c>
      <c r="D5542" s="907" t="s">
        <v>12</v>
      </c>
      <c r="E5542" s="908" t="s">
        <v>4008</v>
      </c>
      <c r="F5542" s="909" t="s">
        <v>2674</v>
      </c>
      <c r="G5542" s="910"/>
      <c r="H5542" s="911">
        <v>3.72</v>
      </c>
      <c r="I5542" s="912"/>
      <c r="J5542" s="912"/>
      <c r="K5542" s="912">
        <f>VLOOKUP(E5542,[5]ĐMNC!$A$7:$F$67,4,0)</f>
        <v>221125</v>
      </c>
      <c r="L5542" s="912">
        <f>H5542*K5542</f>
        <v>822585</v>
      </c>
      <c r="M5542" s="912"/>
      <c r="N5542" s="912"/>
      <c r="O5542" s="892">
        <f t="shared" si="348"/>
        <v>0</v>
      </c>
      <c r="P5542" s="903">
        <f t="shared" si="345"/>
        <v>1</v>
      </c>
      <c r="Q5542" s="893">
        <f t="shared" si="346"/>
        <v>1</v>
      </c>
      <c r="R5542" s="894">
        <f t="shared" si="347"/>
        <v>0</v>
      </c>
    </row>
    <row r="5543" spans="1:18" s="847" customFormat="1">
      <c r="A5543" s="905"/>
      <c r="B5543" s="914" t="s">
        <v>5780</v>
      </c>
      <c r="C5543" s="915"/>
      <c r="D5543" s="915"/>
      <c r="E5543" s="916" t="s">
        <v>5781</v>
      </c>
      <c r="F5543" s="917" t="s">
        <v>43</v>
      </c>
      <c r="G5543" s="918"/>
      <c r="H5543" s="919"/>
      <c r="I5543" s="920"/>
      <c r="J5543" s="891">
        <f>SUM(J5544:J5551)</f>
        <v>318600</v>
      </c>
      <c r="K5543" s="891"/>
      <c r="L5543" s="891">
        <f>SUM(L5544:L5551)</f>
        <v>913246.25</v>
      </c>
      <c r="M5543" s="891"/>
      <c r="N5543" s="891">
        <f>SUM(N5544:N5551)</f>
        <v>0</v>
      </c>
      <c r="O5543" s="892">
        <f t="shared" si="348"/>
        <v>1</v>
      </c>
      <c r="P5543" s="903">
        <f t="shared" si="345"/>
        <v>0</v>
      </c>
      <c r="Q5543" s="893">
        <f t="shared" si="346"/>
        <v>0</v>
      </c>
      <c r="R5543" s="894">
        <f t="shared" si="347"/>
        <v>8</v>
      </c>
    </row>
    <row r="5544" spans="1:18" s="904" customFormat="1">
      <c r="A5544" s="895"/>
      <c r="B5544" s="896"/>
      <c r="C5544" s="897"/>
      <c r="D5544" s="897"/>
      <c r="E5544" s="898" t="s">
        <v>108</v>
      </c>
      <c r="F5544" s="899"/>
      <c r="G5544" s="900"/>
      <c r="H5544" s="901"/>
      <c r="I5544" s="902"/>
      <c r="J5544" s="902"/>
      <c r="K5544" s="912" t="s">
        <v>274</v>
      </c>
      <c r="L5544" s="902"/>
      <c r="M5544" s="902"/>
      <c r="N5544" s="902"/>
      <c r="O5544" s="892">
        <f t="shared" si="348"/>
        <v>0</v>
      </c>
      <c r="P5544" s="903">
        <f t="shared" ref="P5544:P5607" si="349">IF(O5544=0,1,0)</f>
        <v>1</v>
      </c>
      <c r="Q5544" s="893">
        <f t="shared" ref="Q5544:Q5607" si="350">IF(P5544=0,0,P5544+Q5545)</f>
        <v>8</v>
      </c>
      <c r="R5544" s="894">
        <f t="shared" ref="R5544:R5607" si="351">IF(Q5544=0,Q5545,0)</f>
        <v>0</v>
      </c>
    </row>
    <row r="5545" spans="1:18">
      <c r="A5545" s="905"/>
      <c r="B5545" s="906"/>
      <c r="C5545" s="907">
        <v>25</v>
      </c>
      <c r="D5545" s="907" t="s">
        <v>279</v>
      </c>
      <c r="E5545" s="925" t="s">
        <v>5656</v>
      </c>
      <c r="F5545" s="926" t="s">
        <v>2690</v>
      </c>
      <c r="G5545" s="910"/>
      <c r="H5545" s="911">
        <v>0.2</v>
      </c>
      <c r="I5545" s="912">
        <f>VLOOKUP(E5545,[3]VLP!$B$7:$K$300,10,0)</f>
        <v>5000</v>
      </c>
      <c r="J5545" s="912">
        <f>I5545*H5545</f>
        <v>1000</v>
      </c>
      <c r="K5545" s="912" t="s">
        <v>274</v>
      </c>
      <c r="L5545" s="912"/>
      <c r="M5545" s="912"/>
      <c r="N5545" s="912"/>
      <c r="O5545" s="892">
        <f t="shared" si="348"/>
        <v>0</v>
      </c>
      <c r="P5545" s="903">
        <f t="shared" si="349"/>
        <v>1</v>
      </c>
      <c r="Q5545" s="893">
        <f t="shared" si="350"/>
        <v>7</v>
      </c>
      <c r="R5545" s="894">
        <f t="shared" si="351"/>
        <v>0</v>
      </c>
    </row>
    <row r="5546" spans="1:18">
      <c r="A5546" s="905"/>
      <c r="B5546" s="906"/>
      <c r="C5546" s="907">
        <v>66</v>
      </c>
      <c r="D5546" s="907" t="s">
        <v>279</v>
      </c>
      <c r="E5546" s="925" t="s">
        <v>2682</v>
      </c>
      <c r="F5546" s="926" t="s">
        <v>45</v>
      </c>
      <c r="G5546" s="910"/>
      <c r="H5546" s="911">
        <v>0.3</v>
      </c>
      <c r="I5546" s="912">
        <f>VLOOKUP(E5546,[3]VLP!$B$7:$K$300,10,0)</f>
        <v>5000</v>
      </c>
      <c r="J5546" s="912">
        <f>I5546*H5546</f>
        <v>1500</v>
      </c>
      <c r="K5546" s="912" t="s">
        <v>274</v>
      </c>
      <c r="L5546" s="912"/>
      <c r="M5546" s="912"/>
      <c r="N5546" s="912"/>
      <c r="O5546" s="892">
        <f t="shared" si="348"/>
        <v>0</v>
      </c>
      <c r="P5546" s="903">
        <f t="shared" si="349"/>
        <v>1</v>
      </c>
      <c r="Q5546" s="893">
        <f t="shared" si="350"/>
        <v>6</v>
      </c>
      <c r="R5546" s="894">
        <f t="shared" si="351"/>
        <v>0</v>
      </c>
    </row>
    <row r="5547" spans="1:18">
      <c r="A5547" s="905"/>
      <c r="B5547" s="906"/>
      <c r="C5547" s="907">
        <v>44</v>
      </c>
      <c r="D5547" s="907" t="s">
        <v>279</v>
      </c>
      <c r="E5547" s="925" t="s">
        <v>2681</v>
      </c>
      <c r="F5547" s="926" t="s">
        <v>45</v>
      </c>
      <c r="G5547" s="910"/>
      <c r="H5547" s="911">
        <v>0.7</v>
      </c>
      <c r="I5547" s="912">
        <f>VLOOKUP(E5547,[3]VLP!$B$7:$K$300,10,0)</f>
        <v>23000</v>
      </c>
      <c r="J5547" s="912">
        <f>I5547*H5547</f>
        <v>16099.999999999998</v>
      </c>
      <c r="K5547" s="912" t="s">
        <v>274</v>
      </c>
      <c r="L5547" s="912"/>
      <c r="M5547" s="912"/>
      <c r="N5547" s="912"/>
      <c r="O5547" s="892">
        <f t="shared" si="348"/>
        <v>0</v>
      </c>
      <c r="P5547" s="903">
        <f t="shared" si="349"/>
        <v>1</v>
      </c>
      <c r="Q5547" s="893">
        <f t="shared" si="350"/>
        <v>5</v>
      </c>
      <c r="R5547" s="894">
        <f t="shared" si="351"/>
        <v>0</v>
      </c>
    </row>
    <row r="5548" spans="1:18">
      <c r="A5548" s="905"/>
      <c r="B5548" s="906"/>
      <c r="C5548" s="907">
        <v>49</v>
      </c>
      <c r="D5548" s="907" t="s">
        <v>279</v>
      </c>
      <c r="E5548" s="925" t="s">
        <v>5698</v>
      </c>
      <c r="F5548" s="926" t="s">
        <v>139</v>
      </c>
      <c r="G5548" s="910"/>
      <c r="H5548" s="911">
        <v>100</v>
      </c>
      <c r="I5548" s="912">
        <f>VLOOKUP(E5548,[3]VLP!$B$7:$K$300,10,0)</f>
        <v>3000</v>
      </c>
      <c r="J5548" s="912">
        <f>I5548*H5548</f>
        <v>300000</v>
      </c>
      <c r="K5548" s="912" t="s">
        <v>274</v>
      </c>
      <c r="L5548" s="912"/>
      <c r="M5548" s="912"/>
      <c r="N5548" s="912"/>
      <c r="O5548" s="892">
        <f t="shared" si="348"/>
        <v>0</v>
      </c>
      <c r="P5548" s="903">
        <f t="shared" si="349"/>
        <v>1</v>
      </c>
      <c r="Q5548" s="893">
        <f t="shared" si="350"/>
        <v>4</v>
      </c>
      <c r="R5548" s="894">
        <f t="shared" si="351"/>
        <v>0</v>
      </c>
    </row>
    <row r="5549" spans="1:18">
      <c r="A5549" s="905"/>
      <c r="B5549" s="906"/>
      <c r="C5549" s="990"/>
      <c r="D5549" s="990"/>
      <c r="E5549" s="925" t="s">
        <v>5779</v>
      </c>
      <c r="F5549" s="926" t="s">
        <v>49</v>
      </c>
      <c r="G5549" s="910"/>
      <c r="H5549" s="911">
        <v>103</v>
      </c>
      <c r="I5549" s="912"/>
      <c r="J5549" s="912"/>
      <c r="K5549" s="912" t="s">
        <v>274</v>
      </c>
      <c r="L5549" s="912"/>
      <c r="M5549" s="912"/>
      <c r="N5549" s="912"/>
      <c r="O5549" s="892">
        <f t="shared" si="348"/>
        <v>0</v>
      </c>
      <c r="P5549" s="903">
        <f t="shared" si="349"/>
        <v>1</v>
      </c>
      <c r="Q5549" s="893">
        <f t="shared" si="350"/>
        <v>3</v>
      </c>
      <c r="R5549" s="894">
        <f t="shared" si="351"/>
        <v>0</v>
      </c>
    </row>
    <row r="5550" spans="1:18" s="904" customFormat="1">
      <c r="A5550" s="895"/>
      <c r="B5550" s="896"/>
      <c r="C5550" s="897"/>
      <c r="D5550" s="897"/>
      <c r="E5550" s="924" t="s">
        <v>276</v>
      </c>
      <c r="F5550" s="927"/>
      <c r="G5550" s="928"/>
      <c r="H5550" s="901"/>
      <c r="I5550" s="902"/>
      <c r="J5550" s="902"/>
      <c r="K5550" s="912" t="s">
        <v>274</v>
      </c>
      <c r="L5550" s="902"/>
      <c r="M5550" s="902"/>
      <c r="N5550" s="902"/>
      <c r="O5550" s="892">
        <f t="shared" si="348"/>
        <v>0</v>
      </c>
      <c r="P5550" s="903">
        <f t="shared" si="349"/>
        <v>1</v>
      </c>
      <c r="Q5550" s="893">
        <f t="shared" si="350"/>
        <v>2</v>
      </c>
      <c r="R5550" s="894">
        <f t="shared" si="351"/>
        <v>0</v>
      </c>
    </row>
    <row r="5551" spans="1:18">
      <c r="A5551" s="905"/>
      <c r="B5551" s="906"/>
      <c r="C5551" s="907">
        <v>740</v>
      </c>
      <c r="D5551" s="907" t="s">
        <v>12</v>
      </c>
      <c r="E5551" s="908" t="s">
        <v>4008</v>
      </c>
      <c r="F5551" s="909" t="s">
        <v>2674</v>
      </c>
      <c r="G5551" s="910"/>
      <c r="H5551" s="911">
        <v>4.13</v>
      </c>
      <c r="I5551" s="912"/>
      <c r="J5551" s="912"/>
      <c r="K5551" s="912">
        <f>VLOOKUP(E5551,[5]ĐMNC!$A$7:$F$67,4,0)</f>
        <v>221125</v>
      </c>
      <c r="L5551" s="912">
        <f>H5551*K5551</f>
        <v>913246.25</v>
      </c>
      <c r="M5551" s="912"/>
      <c r="N5551" s="912"/>
      <c r="O5551" s="892">
        <f t="shared" si="348"/>
        <v>0</v>
      </c>
      <c r="P5551" s="903">
        <f t="shared" si="349"/>
        <v>1</v>
      </c>
      <c r="Q5551" s="893">
        <f t="shared" si="350"/>
        <v>1</v>
      </c>
      <c r="R5551" s="894">
        <f t="shared" si="351"/>
        <v>0</v>
      </c>
    </row>
    <row r="5552" spans="1:18" s="847" customFormat="1">
      <c r="A5552" s="905"/>
      <c r="B5552" s="914" t="s">
        <v>5782</v>
      </c>
      <c r="C5552" s="915"/>
      <c r="D5552" s="915"/>
      <c r="E5552" s="916" t="s">
        <v>5783</v>
      </c>
      <c r="F5552" s="917" t="s">
        <v>43</v>
      </c>
      <c r="G5552" s="918"/>
      <c r="H5552" s="919"/>
      <c r="I5552" s="920"/>
      <c r="J5552" s="891">
        <f>SUM(J5553:J5560)</f>
        <v>319100</v>
      </c>
      <c r="K5552" s="891"/>
      <c r="L5552" s="891">
        <f>SUM(L5553:L5560)</f>
        <v>1156483.75</v>
      </c>
      <c r="M5552" s="891"/>
      <c r="N5552" s="891">
        <f>SUM(N5553:N5560)</f>
        <v>0</v>
      </c>
      <c r="O5552" s="892">
        <f t="shared" si="348"/>
        <v>1</v>
      </c>
      <c r="P5552" s="903">
        <f t="shared" si="349"/>
        <v>0</v>
      </c>
      <c r="Q5552" s="893">
        <f t="shared" si="350"/>
        <v>0</v>
      </c>
      <c r="R5552" s="894">
        <f t="shared" si="351"/>
        <v>8</v>
      </c>
    </row>
    <row r="5553" spans="1:18" s="904" customFormat="1">
      <c r="A5553" s="895"/>
      <c r="B5553" s="896"/>
      <c r="C5553" s="897"/>
      <c r="D5553" s="897"/>
      <c r="E5553" s="898" t="s">
        <v>108</v>
      </c>
      <c r="F5553" s="899"/>
      <c r="G5553" s="900"/>
      <c r="H5553" s="901"/>
      <c r="I5553" s="902"/>
      <c r="J5553" s="902"/>
      <c r="K5553" s="912" t="s">
        <v>274</v>
      </c>
      <c r="L5553" s="902"/>
      <c r="M5553" s="902"/>
      <c r="N5553" s="902"/>
      <c r="O5553" s="892">
        <f t="shared" si="348"/>
        <v>0</v>
      </c>
      <c r="P5553" s="903">
        <f t="shared" si="349"/>
        <v>1</v>
      </c>
      <c r="Q5553" s="893">
        <f t="shared" si="350"/>
        <v>8</v>
      </c>
      <c r="R5553" s="894">
        <f t="shared" si="351"/>
        <v>0</v>
      </c>
    </row>
    <row r="5554" spans="1:18">
      <c r="A5554" s="905"/>
      <c r="B5554" s="906"/>
      <c r="C5554" s="907">
        <v>25</v>
      </c>
      <c r="D5554" s="907" t="s">
        <v>279</v>
      </c>
      <c r="E5554" s="925" t="s">
        <v>5656</v>
      </c>
      <c r="F5554" s="926" t="s">
        <v>2690</v>
      </c>
      <c r="G5554" s="910"/>
      <c r="H5554" s="911">
        <v>0.3</v>
      </c>
      <c r="I5554" s="912">
        <f>VLOOKUP(E5554,[3]VLP!$B$7:$K$300,10,0)</f>
        <v>5000</v>
      </c>
      <c r="J5554" s="912">
        <f>I5554*H5554</f>
        <v>1500</v>
      </c>
      <c r="K5554" s="912" t="s">
        <v>274</v>
      </c>
      <c r="L5554" s="912"/>
      <c r="M5554" s="912"/>
      <c r="N5554" s="912"/>
      <c r="O5554" s="892">
        <f t="shared" si="348"/>
        <v>0</v>
      </c>
      <c r="P5554" s="903">
        <f t="shared" si="349"/>
        <v>1</v>
      </c>
      <c r="Q5554" s="893">
        <f t="shared" si="350"/>
        <v>7</v>
      </c>
      <c r="R5554" s="894">
        <f t="shared" si="351"/>
        <v>0</v>
      </c>
    </row>
    <row r="5555" spans="1:18">
      <c r="A5555" s="905"/>
      <c r="B5555" s="906"/>
      <c r="C5555" s="907">
        <v>66</v>
      </c>
      <c r="D5555" s="907" t="s">
        <v>279</v>
      </c>
      <c r="E5555" s="925" t="s">
        <v>2682</v>
      </c>
      <c r="F5555" s="926" t="s">
        <v>45</v>
      </c>
      <c r="G5555" s="910"/>
      <c r="H5555" s="911">
        <v>0.3</v>
      </c>
      <c r="I5555" s="912">
        <f>VLOOKUP(E5555,[3]VLP!$B$7:$K$300,10,0)</f>
        <v>5000</v>
      </c>
      <c r="J5555" s="912">
        <f>I5555*H5555</f>
        <v>1500</v>
      </c>
      <c r="K5555" s="912" t="s">
        <v>274</v>
      </c>
      <c r="L5555" s="912"/>
      <c r="M5555" s="912"/>
      <c r="N5555" s="912"/>
      <c r="O5555" s="892">
        <f t="shared" si="348"/>
        <v>0</v>
      </c>
      <c r="P5555" s="903">
        <f t="shared" si="349"/>
        <v>1</v>
      </c>
      <c r="Q5555" s="893">
        <f t="shared" si="350"/>
        <v>6</v>
      </c>
      <c r="R5555" s="894">
        <f t="shared" si="351"/>
        <v>0</v>
      </c>
    </row>
    <row r="5556" spans="1:18">
      <c r="A5556" s="905"/>
      <c r="B5556" s="906"/>
      <c r="C5556" s="907">
        <v>44</v>
      </c>
      <c r="D5556" s="907" t="s">
        <v>279</v>
      </c>
      <c r="E5556" s="925" t="s">
        <v>2681</v>
      </c>
      <c r="F5556" s="926" t="s">
        <v>45</v>
      </c>
      <c r="G5556" s="910"/>
      <c r="H5556" s="911">
        <v>0.7</v>
      </c>
      <c r="I5556" s="912">
        <f>VLOOKUP(E5556,[3]VLP!$B$7:$K$300,10,0)</f>
        <v>23000</v>
      </c>
      <c r="J5556" s="912">
        <f>I5556*H5556</f>
        <v>16099.999999999998</v>
      </c>
      <c r="K5556" s="912" t="s">
        <v>274</v>
      </c>
      <c r="L5556" s="912"/>
      <c r="M5556" s="912"/>
      <c r="N5556" s="912"/>
      <c r="O5556" s="892">
        <f t="shared" si="348"/>
        <v>0</v>
      </c>
      <c r="P5556" s="903">
        <f t="shared" si="349"/>
        <v>1</v>
      </c>
      <c r="Q5556" s="893">
        <f t="shared" si="350"/>
        <v>5</v>
      </c>
      <c r="R5556" s="894">
        <f t="shared" si="351"/>
        <v>0</v>
      </c>
    </row>
    <row r="5557" spans="1:18">
      <c r="A5557" s="905"/>
      <c r="B5557" s="906"/>
      <c r="C5557" s="907">
        <v>49</v>
      </c>
      <c r="D5557" s="907" t="s">
        <v>279</v>
      </c>
      <c r="E5557" s="925" t="s">
        <v>5698</v>
      </c>
      <c r="F5557" s="926" t="s">
        <v>139</v>
      </c>
      <c r="G5557" s="910"/>
      <c r="H5557" s="911">
        <v>100</v>
      </c>
      <c r="I5557" s="912">
        <f>VLOOKUP(E5557,[3]VLP!$B$7:$K$300,10,0)</f>
        <v>3000</v>
      </c>
      <c r="J5557" s="912">
        <f>I5557*H5557</f>
        <v>300000</v>
      </c>
      <c r="K5557" s="912" t="s">
        <v>274</v>
      </c>
      <c r="L5557" s="912"/>
      <c r="M5557" s="912"/>
      <c r="N5557" s="912"/>
      <c r="O5557" s="892">
        <f t="shared" si="348"/>
        <v>0</v>
      </c>
      <c r="P5557" s="903">
        <f t="shared" si="349"/>
        <v>1</v>
      </c>
      <c r="Q5557" s="893">
        <f t="shared" si="350"/>
        <v>4</v>
      </c>
      <c r="R5557" s="894">
        <f t="shared" si="351"/>
        <v>0</v>
      </c>
    </row>
    <row r="5558" spans="1:18">
      <c r="A5558" s="905"/>
      <c r="B5558" s="906"/>
      <c r="C5558" s="990"/>
      <c r="D5558" s="990"/>
      <c r="E5558" s="925" t="s">
        <v>5779</v>
      </c>
      <c r="F5558" s="926" t="s">
        <v>49</v>
      </c>
      <c r="G5558" s="910"/>
      <c r="H5558" s="911">
        <v>103</v>
      </c>
      <c r="I5558" s="912"/>
      <c r="J5558" s="912"/>
      <c r="K5558" s="912" t="s">
        <v>274</v>
      </c>
      <c r="L5558" s="912"/>
      <c r="M5558" s="912"/>
      <c r="N5558" s="912"/>
      <c r="O5558" s="892">
        <f t="shared" si="348"/>
        <v>0</v>
      </c>
      <c r="P5558" s="903">
        <f t="shared" si="349"/>
        <v>1</v>
      </c>
      <c r="Q5558" s="893">
        <f t="shared" si="350"/>
        <v>3</v>
      </c>
      <c r="R5558" s="894">
        <f t="shared" si="351"/>
        <v>0</v>
      </c>
    </row>
    <row r="5559" spans="1:18" s="904" customFormat="1">
      <c r="A5559" s="895"/>
      <c r="B5559" s="896"/>
      <c r="C5559" s="897"/>
      <c r="D5559" s="897"/>
      <c r="E5559" s="924" t="s">
        <v>276</v>
      </c>
      <c r="F5559" s="927"/>
      <c r="G5559" s="928"/>
      <c r="H5559" s="901"/>
      <c r="I5559" s="902"/>
      <c r="J5559" s="902"/>
      <c r="K5559" s="912" t="s">
        <v>274</v>
      </c>
      <c r="L5559" s="902"/>
      <c r="M5559" s="902"/>
      <c r="N5559" s="902"/>
      <c r="O5559" s="892">
        <f t="shared" si="348"/>
        <v>0</v>
      </c>
      <c r="P5559" s="903">
        <f t="shared" si="349"/>
        <v>1</v>
      </c>
      <c r="Q5559" s="893">
        <f t="shared" si="350"/>
        <v>2</v>
      </c>
      <c r="R5559" s="894">
        <f t="shared" si="351"/>
        <v>0</v>
      </c>
    </row>
    <row r="5560" spans="1:18">
      <c r="A5560" s="905"/>
      <c r="B5560" s="906"/>
      <c r="C5560" s="907">
        <v>740</v>
      </c>
      <c r="D5560" s="907" t="s">
        <v>12</v>
      </c>
      <c r="E5560" s="908" t="s">
        <v>4008</v>
      </c>
      <c r="F5560" s="909" t="s">
        <v>2674</v>
      </c>
      <c r="G5560" s="910"/>
      <c r="H5560" s="911">
        <v>5.23</v>
      </c>
      <c r="I5560" s="912"/>
      <c r="J5560" s="912"/>
      <c r="K5560" s="912">
        <f>VLOOKUP(E5560,[5]ĐMNC!$A$7:$F$67,4,0)</f>
        <v>221125</v>
      </c>
      <c r="L5560" s="912">
        <f>H5560*K5560</f>
        <v>1156483.75</v>
      </c>
      <c r="M5560" s="912"/>
      <c r="N5560" s="912"/>
      <c r="O5560" s="892">
        <f t="shared" si="348"/>
        <v>0</v>
      </c>
      <c r="P5560" s="903">
        <f t="shared" si="349"/>
        <v>1</v>
      </c>
      <c r="Q5560" s="893">
        <f t="shared" si="350"/>
        <v>1</v>
      </c>
      <c r="R5560" s="894">
        <f t="shared" si="351"/>
        <v>0</v>
      </c>
    </row>
    <row r="5561" spans="1:18" s="847" customFormat="1">
      <c r="A5561" s="905"/>
      <c r="B5561" s="914" t="s">
        <v>5784</v>
      </c>
      <c r="C5561" s="915"/>
      <c r="D5561" s="915"/>
      <c r="E5561" s="916" t="s">
        <v>5785</v>
      </c>
      <c r="F5561" s="917" t="s">
        <v>43</v>
      </c>
      <c r="G5561" s="918"/>
      <c r="H5561" s="919"/>
      <c r="I5561" s="920"/>
      <c r="J5561" s="891">
        <f>SUM(J5562:J5569)</f>
        <v>659431</v>
      </c>
      <c r="K5561" s="891"/>
      <c r="L5561" s="891">
        <f>SUM(L5562:L5569)</f>
        <v>1550086.25</v>
      </c>
      <c r="M5561" s="891"/>
      <c r="N5561" s="891">
        <f>SUM(N5562:N5569)</f>
        <v>0</v>
      </c>
      <c r="O5561" s="892">
        <f t="shared" si="348"/>
        <v>1</v>
      </c>
      <c r="P5561" s="903">
        <f t="shared" si="349"/>
        <v>0</v>
      </c>
      <c r="Q5561" s="893">
        <f t="shared" si="350"/>
        <v>0</v>
      </c>
      <c r="R5561" s="894">
        <f t="shared" si="351"/>
        <v>8</v>
      </c>
    </row>
    <row r="5562" spans="1:18" s="904" customFormat="1">
      <c r="A5562" s="895"/>
      <c r="B5562" s="896"/>
      <c r="C5562" s="897"/>
      <c r="D5562" s="897"/>
      <c r="E5562" s="898" t="s">
        <v>108</v>
      </c>
      <c r="F5562" s="899"/>
      <c r="G5562" s="900"/>
      <c r="H5562" s="901"/>
      <c r="I5562" s="902"/>
      <c r="J5562" s="902"/>
      <c r="K5562" s="912" t="s">
        <v>274</v>
      </c>
      <c r="L5562" s="902"/>
      <c r="M5562" s="902"/>
      <c r="N5562" s="902"/>
      <c r="O5562" s="892">
        <f t="shared" si="348"/>
        <v>0</v>
      </c>
      <c r="P5562" s="903">
        <f t="shared" si="349"/>
        <v>1</v>
      </c>
      <c r="Q5562" s="893">
        <f t="shared" si="350"/>
        <v>8</v>
      </c>
      <c r="R5562" s="894">
        <f t="shared" si="351"/>
        <v>0</v>
      </c>
    </row>
    <row r="5563" spans="1:18">
      <c r="A5563" s="905"/>
      <c r="B5563" s="906"/>
      <c r="C5563" s="907">
        <v>25</v>
      </c>
      <c r="D5563" s="907" t="s">
        <v>279</v>
      </c>
      <c r="E5563" s="925" t="s">
        <v>5656</v>
      </c>
      <c r="F5563" s="926" t="s">
        <v>2690</v>
      </c>
      <c r="G5563" s="910"/>
      <c r="H5563" s="911">
        <v>0.3</v>
      </c>
      <c r="I5563" s="912">
        <f>VLOOKUP(E5563,[3]VLP!$B$7:$K$300,10,0)</f>
        <v>5000</v>
      </c>
      <c r="J5563" s="912">
        <f>I5563*H5563</f>
        <v>1500</v>
      </c>
      <c r="K5563" s="912" t="s">
        <v>274</v>
      </c>
      <c r="L5563" s="912"/>
      <c r="M5563" s="912"/>
      <c r="N5563" s="912"/>
      <c r="O5563" s="892">
        <f t="shared" si="348"/>
        <v>0</v>
      </c>
      <c r="P5563" s="903">
        <f t="shared" si="349"/>
        <v>1</v>
      </c>
      <c r="Q5563" s="893">
        <f t="shared" si="350"/>
        <v>7</v>
      </c>
      <c r="R5563" s="894">
        <f t="shared" si="351"/>
        <v>0</v>
      </c>
    </row>
    <row r="5564" spans="1:18">
      <c r="A5564" s="905"/>
      <c r="B5564" s="906"/>
      <c r="C5564" s="907">
        <v>66</v>
      </c>
      <c r="D5564" s="907" t="s">
        <v>279</v>
      </c>
      <c r="E5564" s="925" t="s">
        <v>2682</v>
      </c>
      <c r="F5564" s="926" t="s">
        <v>45</v>
      </c>
      <c r="G5564" s="910"/>
      <c r="H5564" s="911">
        <v>0.4</v>
      </c>
      <c r="I5564" s="912">
        <f>VLOOKUP(E5564,[3]VLP!$B$7:$K$300,10,0)</f>
        <v>5000</v>
      </c>
      <c r="J5564" s="912">
        <f>I5564*H5564</f>
        <v>2000</v>
      </c>
      <c r="K5564" s="912" t="s">
        <v>274</v>
      </c>
      <c r="L5564" s="912"/>
      <c r="M5564" s="912"/>
      <c r="N5564" s="912"/>
      <c r="O5564" s="892">
        <f t="shared" si="348"/>
        <v>0</v>
      </c>
      <c r="P5564" s="903">
        <f t="shared" si="349"/>
        <v>1</v>
      </c>
      <c r="Q5564" s="893">
        <f t="shared" si="350"/>
        <v>6</v>
      </c>
      <c r="R5564" s="894">
        <f t="shared" si="351"/>
        <v>0</v>
      </c>
    </row>
    <row r="5565" spans="1:18">
      <c r="A5565" s="905"/>
      <c r="B5565" s="906"/>
      <c r="C5565" s="907">
        <v>44</v>
      </c>
      <c r="D5565" s="907" t="s">
        <v>279</v>
      </c>
      <c r="E5565" s="925" t="s">
        <v>2681</v>
      </c>
      <c r="F5565" s="926" t="s">
        <v>45</v>
      </c>
      <c r="G5565" s="910"/>
      <c r="H5565" s="911">
        <v>0.8</v>
      </c>
      <c r="I5565" s="912">
        <f>VLOOKUP(E5565,[3]VLP!$B$7:$K$300,10,0)</f>
        <v>23000</v>
      </c>
      <c r="J5565" s="912">
        <f>I5565*H5565</f>
        <v>18400</v>
      </c>
      <c r="K5565" s="912" t="s">
        <v>274</v>
      </c>
      <c r="L5565" s="912"/>
      <c r="M5565" s="912"/>
      <c r="N5565" s="912"/>
      <c r="O5565" s="892">
        <f t="shared" si="348"/>
        <v>0</v>
      </c>
      <c r="P5565" s="903">
        <f t="shared" si="349"/>
        <v>1</v>
      </c>
      <c r="Q5565" s="893">
        <f t="shared" si="350"/>
        <v>5</v>
      </c>
      <c r="R5565" s="894">
        <f t="shared" si="351"/>
        <v>0</v>
      </c>
    </row>
    <row r="5566" spans="1:18">
      <c r="A5566" s="905"/>
      <c r="B5566" s="906"/>
      <c r="C5566" s="907">
        <v>49</v>
      </c>
      <c r="D5566" s="907" t="s">
        <v>279</v>
      </c>
      <c r="E5566" s="925" t="s">
        <v>5698</v>
      </c>
      <c r="F5566" s="926" t="s">
        <v>139</v>
      </c>
      <c r="G5566" s="910"/>
      <c r="H5566" s="911">
        <v>100</v>
      </c>
      <c r="I5566" s="912">
        <f>VLOOKUP(E5566,[3]VLP!$B$7:$K$300,10,0)</f>
        <v>3000</v>
      </c>
      <c r="J5566" s="912">
        <f>I5566*H5566</f>
        <v>300000</v>
      </c>
      <c r="K5566" s="912" t="s">
        <v>274</v>
      </c>
      <c r="L5566" s="912"/>
      <c r="M5566" s="912"/>
      <c r="N5566" s="912"/>
      <c r="O5566" s="892">
        <f t="shared" si="348"/>
        <v>0</v>
      </c>
      <c r="P5566" s="903">
        <f t="shared" si="349"/>
        <v>1</v>
      </c>
      <c r="Q5566" s="893">
        <f t="shared" si="350"/>
        <v>4</v>
      </c>
      <c r="R5566" s="894">
        <f t="shared" si="351"/>
        <v>0</v>
      </c>
    </row>
    <row r="5567" spans="1:18">
      <c r="A5567" s="905"/>
      <c r="B5567" s="906"/>
      <c r="C5567" s="907">
        <v>57</v>
      </c>
      <c r="D5567" s="907" t="s">
        <v>279</v>
      </c>
      <c r="E5567" s="925" t="s">
        <v>3193</v>
      </c>
      <c r="F5567" s="926" t="s">
        <v>49</v>
      </c>
      <c r="G5567" s="910"/>
      <c r="H5567" s="911">
        <v>103</v>
      </c>
      <c r="I5567" s="912">
        <f>VLOOKUP(E5567,[3]VLP!$B$7:$K$300,10,0)</f>
        <v>3277</v>
      </c>
      <c r="J5567" s="912">
        <f>I5567*H5567</f>
        <v>337531</v>
      </c>
      <c r="K5567" s="912" t="s">
        <v>274</v>
      </c>
      <c r="L5567" s="912"/>
      <c r="M5567" s="912"/>
      <c r="N5567" s="912"/>
      <c r="O5567" s="892">
        <f t="shared" si="348"/>
        <v>0</v>
      </c>
      <c r="P5567" s="903">
        <f t="shared" si="349"/>
        <v>1</v>
      </c>
      <c r="Q5567" s="893">
        <f t="shared" si="350"/>
        <v>3</v>
      </c>
      <c r="R5567" s="894">
        <f t="shared" si="351"/>
        <v>0</v>
      </c>
    </row>
    <row r="5568" spans="1:18" s="904" customFormat="1">
      <c r="A5568" s="895"/>
      <c r="B5568" s="896"/>
      <c r="C5568" s="897"/>
      <c r="D5568" s="897"/>
      <c r="E5568" s="924" t="s">
        <v>276</v>
      </c>
      <c r="F5568" s="927"/>
      <c r="G5568" s="928"/>
      <c r="H5568" s="901"/>
      <c r="I5568" s="902"/>
      <c r="J5568" s="902"/>
      <c r="K5568" s="912" t="s">
        <v>274</v>
      </c>
      <c r="L5568" s="902"/>
      <c r="M5568" s="902"/>
      <c r="N5568" s="902"/>
      <c r="O5568" s="892">
        <f t="shared" si="348"/>
        <v>0</v>
      </c>
      <c r="P5568" s="903">
        <f t="shared" si="349"/>
        <v>1</v>
      </c>
      <c r="Q5568" s="893">
        <f t="shared" si="350"/>
        <v>2</v>
      </c>
      <c r="R5568" s="894">
        <f t="shared" si="351"/>
        <v>0</v>
      </c>
    </row>
    <row r="5569" spans="1:18">
      <c r="A5569" s="905"/>
      <c r="B5569" s="906"/>
      <c r="C5569" s="907">
        <v>740</v>
      </c>
      <c r="D5569" s="907" t="s">
        <v>12</v>
      </c>
      <c r="E5569" s="908" t="s">
        <v>4008</v>
      </c>
      <c r="F5569" s="909" t="s">
        <v>2674</v>
      </c>
      <c r="G5569" s="910"/>
      <c r="H5569" s="911">
        <v>7.01</v>
      </c>
      <c r="I5569" s="912"/>
      <c r="J5569" s="912"/>
      <c r="K5569" s="912">
        <f>VLOOKUP(E5569,[5]ĐMNC!$A$7:$F$67,4,0)</f>
        <v>221125</v>
      </c>
      <c r="L5569" s="912">
        <f>H5569*K5569</f>
        <v>1550086.25</v>
      </c>
      <c r="M5569" s="912"/>
      <c r="N5569" s="912"/>
      <c r="O5569" s="892">
        <f t="shared" si="348"/>
        <v>0</v>
      </c>
      <c r="P5569" s="903">
        <f t="shared" si="349"/>
        <v>1</v>
      </c>
      <c r="Q5569" s="893">
        <f t="shared" si="350"/>
        <v>1</v>
      </c>
      <c r="R5569" s="894">
        <f t="shared" si="351"/>
        <v>0</v>
      </c>
    </row>
    <row r="5570" spans="1:18" s="847" customFormat="1">
      <c r="A5570" s="905"/>
      <c r="B5570" s="914" t="s">
        <v>5786</v>
      </c>
      <c r="C5570" s="915"/>
      <c r="D5570" s="915"/>
      <c r="E5570" s="916" t="s">
        <v>5787</v>
      </c>
      <c r="F5570" s="917" t="s">
        <v>43</v>
      </c>
      <c r="G5570" s="918"/>
      <c r="H5570" s="919"/>
      <c r="I5570" s="920"/>
      <c r="J5570" s="891">
        <f>SUM(J5571:J5578)</f>
        <v>659931</v>
      </c>
      <c r="K5570" s="891"/>
      <c r="L5570" s="891">
        <f>SUM(L5571:L5578)</f>
        <v>1945900.0000000002</v>
      </c>
      <c r="M5570" s="891"/>
      <c r="N5570" s="891">
        <f>SUM(N5571:N5578)</f>
        <v>0</v>
      </c>
      <c r="O5570" s="892">
        <f t="shared" si="348"/>
        <v>1</v>
      </c>
      <c r="P5570" s="903">
        <f t="shared" si="349"/>
        <v>0</v>
      </c>
      <c r="Q5570" s="893">
        <f t="shared" si="350"/>
        <v>0</v>
      </c>
      <c r="R5570" s="894">
        <f t="shared" si="351"/>
        <v>8</v>
      </c>
    </row>
    <row r="5571" spans="1:18" s="904" customFormat="1">
      <c r="A5571" s="895"/>
      <c r="B5571" s="896"/>
      <c r="C5571" s="897"/>
      <c r="D5571" s="897"/>
      <c r="E5571" s="898" t="s">
        <v>108</v>
      </c>
      <c r="F5571" s="899"/>
      <c r="G5571" s="900"/>
      <c r="H5571" s="901"/>
      <c r="I5571" s="902"/>
      <c r="J5571" s="902"/>
      <c r="K5571" s="912" t="s">
        <v>274</v>
      </c>
      <c r="L5571" s="902"/>
      <c r="M5571" s="902"/>
      <c r="N5571" s="902"/>
      <c r="O5571" s="892">
        <f t="shared" si="348"/>
        <v>0</v>
      </c>
      <c r="P5571" s="903">
        <f t="shared" si="349"/>
        <v>1</v>
      </c>
      <c r="Q5571" s="893">
        <f t="shared" si="350"/>
        <v>8</v>
      </c>
      <c r="R5571" s="894">
        <f t="shared" si="351"/>
        <v>0</v>
      </c>
    </row>
    <row r="5572" spans="1:18">
      <c r="A5572" s="905"/>
      <c r="B5572" s="906"/>
      <c r="C5572" s="907">
        <v>25</v>
      </c>
      <c r="D5572" s="907" t="s">
        <v>279</v>
      </c>
      <c r="E5572" s="925" t="s">
        <v>5656</v>
      </c>
      <c r="F5572" s="926" t="s">
        <v>2690</v>
      </c>
      <c r="G5572" s="910"/>
      <c r="H5572" s="911">
        <v>0.4</v>
      </c>
      <c r="I5572" s="912">
        <f>VLOOKUP(E5572,[3]VLP!$B$7:$K$300,10,0)</f>
        <v>5000</v>
      </c>
      <c r="J5572" s="912">
        <f>I5572*H5572</f>
        <v>2000</v>
      </c>
      <c r="K5572" s="912" t="s">
        <v>274</v>
      </c>
      <c r="L5572" s="912"/>
      <c r="M5572" s="912"/>
      <c r="N5572" s="912"/>
      <c r="O5572" s="892">
        <f t="shared" si="348"/>
        <v>0</v>
      </c>
      <c r="P5572" s="903">
        <f t="shared" si="349"/>
        <v>1</v>
      </c>
      <c r="Q5572" s="893">
        <f t="shared" si="350"/>
        <v>7</v>
      </c>
      <c r="R5572" s="894">
        <f t="shared" si="351"/>
        <v>0</v>
      </c>
    </row>
    <row r="5573" spans="1:18">
      <c r="A5573" s="905"/>
      <c r="B5573" s="906"/>
      <c r="C5573" s="907">
        <v>66</v>
      </c>
      <c r="D5573" s="907" t="s">
        <v>279</v>
      </c>
      <c r="E5573" s="925" t="s">
        <v>2682</v>
      </c>
      <c r="F5573" s="926" t="s">
        <v>45</v>
      </c>
      <c r="G5573" s="910"/>
      <c r="H5573" s="911">
        <v>0.4</v>
      </c>
      <c r="I5573" s="912">
        <f>VLOOKUP(E5573,[3]VLP!$B$7:$K$300,10,0)</f>
        <v>5000</v>
      </c>
      <c r="J5573" s="912">
        <f>I5573*H5573</f>
        <v>2000</v>
      </c>
      <c r="K5573" s="912" t="s">
        <v>274</v>
      </c>
      <c r="L5573" s="912"/>
      <c r="M5573" s="912"/>
      <c r="N5573" s="912"/>
      <c r="O5573" s="892">
        <f t="shared" si="348"/>
        <v>0</v>
      </c>
      <c r="P5573" s="903">
        <f t="shared" si="349"/>
        <v>1</v>
      </c>
      <c r="Q5573" s="893">
        <f t="shared" si="350"/>
        <v>6</v>
      </c>
      <c r="R5573" s="894">
        <f t="shared" si="351"/>
        <v>0</v>
      </c>
    </row>
    <row r="5574" spans="1:18">
      <c r="A5574" s="905"/>
      <c r="B5574" s="906"/>
      <c r="C5574" s="907">
        <v>44</v>
      </c>
      <c r="D5574" s="907" t="s">
        <v>279</v>
      </c>
      <c r="E5574" s="925" t="s">
        <v>2681</v>
      </c>
      <c r="F5574" s="926" t="s">
        <v>45</v>
      </c>
      <c r="G5574" s="910"/>
      <c r="H5574" s="911">
        <v>0.8</v>
      </c>
      <c r="I5574" s="912">
        <f>VLOOKUP(E5574,[3]VLP!$B$7:$K$300,10,0)</f>
        <v>23000</v>
      </c>
      <c r="J5574" s="912">
        <f>I5574*H5574</f>
        <v>18400</v>
      </c>
      <c r="K5574" s="912" t="s">
        <v>274</v>
      </c>
      <c r="L5574" s="912"/>
      <c r="M5574" s="912"/>
      <c r="N5574" s="912"/>
      <c r="O5574" s="892">
        <f t="shared" si="348"/>
        <v>0</v>
      </c>
      <c r="P5574" s="903">
        <f t="shared" si="349"/>
        <v>1</v>
      </c>
      <c r="Q5574" s="893">
        <f t="shared" si="350"/>
        <v>5</v>
      </c>
      <c r="R5574" s="894">
        <f t="shared" si="351"/>
        <v>0</v>
      </c>
    </row>
    <row r="5575" spans="1:18">
      <c r="A5575" s="905"/>
      <c r="B5575" s="906"/>
      <c r="C5575" s="907">
        <v>49</v>
      </c>
      <c r="D5575" s="907" t="s">
        <v>279</v>
      </c>
      <c r="E5575" s="925" t="s">
        <v>5698</v>
      </c>
      <c r="F5575" s="926" t="s">
        <v>139</v>
      </c>
      <c r="G5575" s="910"/>
      <c r="H5575" s="911">
        <v>100</v>
      </c>
      <c r="I5575" s="912">
        <f>VLOOKUP(E5575,[3]VLP!$B$7:$K$300,10,0)</f>
        <v>3000</v>
      </c>
      <c r="J5575" s="912">
        <f>I5575*H5575</f>
        <v>300000</v>
      </c>
      <c r="K5575" s="912" t="s">
        <v>274</v>
      </c>
      <c r="L5575" s="912"/>
      <c r="M5575" s="912"/>
      <c r="N5575" s="912"/>
      <c r="O5575" s="892">
        <f t="shared" si="348"/>
        <v>0</v>
      </c>
      <c r="P5575" s="903">
        <f t="shared" si="349"/>
        <v>1</v>
      </c>
      <c r="Q5575" s="893">
        <f t="shared" si="350"/>
        <v>4</v>
      </c>
      <c r="R5575" s="894">
        <f t="shared" si="351"/>
        <v>0</v>
      </c>
    </row>
    <row r="5576" spans="1:18">
      <c r="A5576" s="905"/>
      <c r="B5576" s="906"/>
      <c r="C5576" s="907">
        <v>57</v>
      </c>
      <c r="D5576" s="907" t="s">
        <v>279</v>
      </c>
      <c r="E5576" s="925" t="s">
        <v>3193</v>
      </c>
      <c r="F5576" s="926" t="s">
        <v>49</v>
      </c>
      <c r="G5576" s="910"/>
      <c r="H5576" s="911">
        <v>103</v>
      </c>
      <c r="I5576" s="912">
        <f>VLOOKUP(E5576,[3]VLP!$B$7:$K$300,10,0)</f>
        <v>3277</v>
      </c>
      <c r="J5576" s="912">
        <f>I5576*H5576</f>
        <v>337531</v>
      </c>
      <c r="K5576" s="912" t="s">
        <v>274</v>
      </c>
      <c r="L5576" s="912"/>
      <c r="M5576" s="912"/>
      <c r="N5576" s="912"/>
      <c r="O5576" s="892">
        <f t="shared" si="348"/>
        <v>0</v>
      </c>
      <c r="P5576" s="903">
        <f t="shared" si="349"/>
        <v>1</v>
      </c>
      <c r="Q5576" s="893">
        <f t="shared" si="350"/>
        <v>3</v>
      </c>
      <c r="R5576" s="894">
        <f t="shared" si="351"/>
        <v>0</v>
      </c>
    </row>
    <row r="5577" spans="1:18" s="904" customFormat="1">
      <c r="A5577" s="895"/>
      <c r="B5577" s="896"/>
      <c r="C5577" s="897"/>
      <c r="D5577" s="897"/>
      <c r="E5577" s="924" t="s">
        <v>276</v>
      </c>
      <c r="F5577" s="927"/>
      <c r="G5577" s="928"/>
      <c r="H5577" s="901"/>
      <c r="I5577" s="902"/>
      <c r="J5577" s="902"/>
      <c r="K5577" s="912" t="s">
        <v>274</v>
      </c>
      <c r="L5577" s="902"/>
      <c r="M5577" s="902"/>
      <c r="N5577" s="902"/>
      <c r="O5577" s="892">
        <f t="shared" si="348"/>
        <v>0</v>
      </c>
      <c r="P5577" s="903">
        <f t="shared" si="349"/>
        <v>1</v>
      </c>
      <c r="Q5577" s="893">
        <f t="shared" si="350"/>
        <v>2</v>
      </c>
      <c r="R5577" s="894">
        <f t="shared" si="351"/>
        <v>0</v>
      </c>
    </row>
    <row r="5578" spans="1:18">
      <c r="A5578" s="905"/>
      <c r="B5578" s="906"/>
      <c r="C5578" s="907">
        <v>740</v>
      </c>
      <c r="D5578" s="907" t="s">
        <v>12</v>
      </c>
      <c r="E5578" s="908" t="s">
        <v>4008</v>
      </c>
      <c r="F5578" s="909" t="s">
        <v>2674</v>
      </c>
      <c r="G5578" s="910"/>
      <c r="H5578" s="911">
        <v>8.8000000000000007</v>
      </c>
      <c r="I5578" s="912"/>
      <c r="J5578" s="912"/>
      <c r="K5578" s="912">
        <f>VLOOKUP(E5578,[5]ĐMNC!$A$7:$F$67,4,0)</f>
        <v>221125</v>
      </c>
      <c r="L5578" s="912">
        <f>H5578*K5578</f>
        <v>1945900.0000000002</v>
      </c>
      <c r="M5578" s="912"/>
      <c r="N5578" s="912"/>
      <c r="O5578" s="892">
        <f t="shared" si="348"/>
        <v>0</v>
      </c>
      <c r="P5578" s="903">
        <f t="shared" si="349"/>
        <v>1</v>
      </c>
      <c r="Q5578" s="893">
        <f t="shared" si="350"/>
        <v>1</v>
      </c>
      <c r="R5578" s="894">
        <f t="shared" si="351"/>
        <v>0</v>
      </c>
    </row>
    <row r="5579" spans="1:18" s="847" customFormat="1">
      <c r="A5579" s="905"/>
      <c r="B5579" s="914" t="s">
        <v>5788</v>
      </c>
      <c r="C5579" s="915"/>
      <c r="D5579" s="915"/>
      <c r="E5579" s="916" t="s">
        <v>5789</v>
      </c>
      <c r="F5579" s="917" t="s">
        <v>43</v>
      </c>
      <c r="G5579" s="918"/>
      <c r="H5579" s="919"/>
      <c r="I5579" s="920"/>
      <c r="J5579" s="962">
        <f>SUM(J5580:J5588)</f>
        <v>560629.80000000005</v>
      </c>
      <c r="K5579" s="891" t="s">
        <v>274</v>
      </c>
      <c r="L5579" s="962">
        <f>SUM(L5580:L5588)</f>
        <v>2465543.75</v>
      </c>
      <c r="M5579" s="962"/>
      <c r="N5579" s="962">
        <f>SUM(N5580:N5588)</f>
        <v>0</v>
      </c>
      <c r="O5579" s="892">
        <f t="shared" si="348"/>
        <v>1</v>
      </c>
      <c r="P5579" s="903">
        <f t="shared" si="349"/>
        <v>0</v>
      </c>
      <c r="Q5579" s="893">
        <f t="shared" si="350"/>
        <v>0</v>
      </c>
      <c r="R5579" s="894">
        <f t="shared" si="351"/>
        <v>9</v>
      </c>
    </row>
    <row r="5580" spans="1:18" s="904" customFormat="1">
      <c r="A5580" s="895"/>
      <c r="B5580" s="896"/>
      <c r="C5580" s="897"/>
      <c r="D5580" s="897"/>
      <c r="E5580" s="898" t="s">
        <v>108</v>
      </c>
      <c r="F5580" s="899"/>
      <c r="G5580" s="900"/>
      <c r="H5580" s="901"/>
      <c r="I5580" s="902"/>
      <c r="J5580" s="902"/>
      <c r="K5580" s="912" t="s">
        <v>274</v>
      </c>
      <c r="L5580" s="902"/>
      <c r="M5580" s="902"/>
      <c r="N5580" s="902"/>
      <c r="O5580" s="892">
        <f t="shared" si="348"/>
        <v>0</v>
      </c>
      <c r="P5580" s="903">
        <f t="shared" si="349"/>
        <v>1</v>
      </c>
      <c r="Q5580" s="893">
        <f t="shared" si="350"/>
        <v>9</v>
      </c>
      <c r="R5580" s="894">
        <f t="shared" si="351"/>
        <v>0</v>
      </c>
    </row>
    <row r="5581" spans="1:18">
      <c r="A5581" s="905"/>
      <c r="B5581" s="906"/>
      <c r="C5581" s="907">
        <v>25</v>
      </c>
      <c r="D5581" s="907" t="s">
        <v>279</v>
      </c>
      <c r="E5581" s="925" t="s">
        <v>5656</v>
      </c>
      <c r="F5581" s="926" t="s">
        <v>2690</v>
      </c>
      <c r="G5581" s="910"/>
      <c r="H5581" s="911">
        <v>0.4</v>
      </c>
      <c r="I5581" s="912">
        <f>VLOOKUP(E5581,[3]VLP!$B$7:$K$300,10,0)</f>
        <v>5000</v>
      </c>
      <c r="J5581" s="912">
        <f t="shared" ref="J5581:J5586" si="352">I5581*H5581</f>
        <v>2000</v>
      </c>
      <c r="K5581" s="912" t="s">
        <v>274</v>
      </c>
      <c r="L5581" s="912"/>
      <c r="M5581" s="912"/>
      <c r="N5581" s="912"/>
      <c r="O5581" s="892">
        <f t="shared" si="348"/>
        <v>0</v>
      </c>
      <c r="P5581" s="903">
        <f t="shared" si="349"/>
        <v>1</v>
      </c>
      <c r="Q5581" s="893">
        <f t="shared" si="350"/>
        <v>8</v>
      </c>
      <c r="R5581" s="894">
        <f t="shared" si="351"/>
        <v>0</v>
      </c>
    </row>
    <row r="5582" spans="1:18">
      <c r="A5582" s="905"/>
      <c r="B5582" s="906"/>
      <c r="C5582" s="907">
        <v>66</v>
      </c>
      <c r="D5582" s="907" t="s">
        <v>279</v>
      </c>
      <c r="E5582" s="925" t="s">
        <v>2682</v>
      </c>
      <c r="F5582" s="926" t="s">
        <v>45</v>
      </c>
      <c r="G5582" s="910"/>
      <c r="H5582" s="911">
        <v>0.5</v>
      </c>
      <c r="I5582" s="912">
        <f>VLOOKUP(E5582,[3]VLP!$B$7:$K$300,10,0)</f>
        <v>5000</v>
      </c>
      <c r="J5582" s="912">
        <f t="shared" si="352"/>
        <v>2500</v>
      </c>
      <c r="K5582" s="912" t="s">
        <v>274</v>
      </c>
      <c r="L5582" s="912"/>
      <c r="M5582" s="912"/>
      <c r="N5582" s="912"/>
      <c r="O5582" s="892">
        <f t="shared" si="348"/>
        <v>0</v>
      </c>
      <c r="P5582" s="903">
        <f t="shared" si="349"/>
        <v>1</v>
      </c>
      <c r="Q5582" s="893">
        <f t="shared" si="350"/>
        <v>7</v>
      </c>
      <c r="R5582" s="894">
        <f t="shared" si="351"/>
        <v>0</v>
      </c>
    </row>
    <row r="5583" spans="1:18">
      <c r="A5583" s="905"/>
      <c r="B5583" s="906"/>
      <c r="C5583" s="907">
        <v>44</v>
      </c>
      <c r="D5583" s="907" t="s">
        <v>279</v>
      </c>
      <c r="E5583" s="925" t="s">
        <v>2681</v>
      </c>
      <c r="F5583" s="926" t="s">
        <v>45</v>
      </c>
      <c r="G5583" s="910"/>
      <c r="H5583" s="911">
        <v>0.9</v>
      </c>
      <c r="I5583" s="912">
        <f>VLOOKUP(E5583,[3]VLP!$B$7:$K$300,10,0)</f>
        <v>23000</v>
      </c>
      <c r="J5583" s="912">
        <f t="shared" si="352"/>
        <v>20700</v>
      </c>
      <c r="K5583" s="912" t="s">
        <v>274</v>
      </c>
      <c r="L5583" s="912"/>
      <c r="M5583" s="912"/>
      <c r="N5583" s="912"/>
      <c r="O5583" s="892">
        <f t="shared" si="348"/>
        <v>0</v>
      </c>
      <c r="P5583" s="903">
        <f t="shared" si="349"/>
        <v>1</v>
      </c>
      <c r="Q5583" s="893">
        <f t="shared" si="350"/>
        <v>6</v>
      </c>
      <c r="R5583" s="894">
        <f t="shared" si="351"/>
        <v>0</v>
      </c>
    </row>
    <row r="5584" spans="1:18">
      <c r="A5584" s="905"/>
      <c r="B5584" s="906"/>
      <c r="C5584" s="907">
        <v>49</v>
      </c>
      <c r="D5584" s="907" t="s">
        <v>279</v>
      </c>
      <c r="E5584" s="925" t="s">
        <v>5698</v>
      </c>
      <c r="F5584" s="926" t="s">
        <v>139</v>
      </c>
      <c r="G5584" s="910"/>
      <c r="H5584" s="911">
        <v>100</v>
      </c>
      <c r="I5584" s="912">
        <f>VLOOKUP(E5584,[3]VLP!$B$7:$K$300,10,0)</f>
        <v>3000</v>
      </c>
      <c r="J5584" s="912">
        <f t="shared" si="352"/>
        <v>300000</v>
      </c>
      <c r="K5584" s="912" t="s">
        <v>274</v>
      </c>
      <c r="L5584" s="912"/>
      <c r="M5584" s="912"/>
      <c r="N5584" s="912"/>
      <c r="O5584" s="892">
        <f t="shared" si="348"/>
        <v>0</v>
      </c>
      <c r="P5584" s="903">
        <f t="shared" si="349"/>
        <v>1</v>
      </c>
      <c r="Q5584" s="893">
        <f t="shared" si="350"/>
        <v>5</v>
      </c>
      <c r="R5584" s="894">
        <f t="shared" si="351"/>
        <v>0</v>
      </c>
    </row>
    <row r="5585" spans="1:18">
      <c r="A5585" s="905"/>
      <c r="B5585" s="906"/>
      <c r="C5585" s="907">
        <v>56</v>
      </c>
      <c r="D5585" s="907" t="s">
        <v>279</v>
      </c>
      <c r="E5585" s="925" t="s">
        <v>3192</v>
      </c>
      <c r="F5585" s="926" t="s">
        <v>49</v>
      </c>
      <c r="G5585" s="910"/>
      <c r="H5585" s="911">
        <v>103</v>
      </c>
      <c r="I5585" s="912">
        <f>VLOOKUP(E5585,[3]VLP!$B$7:$K$300,10,0)</f>
        <v>2273</v>
      </c>
      <c r="J5585" s="912">
        <f t="shared" si="352"/>
        <v>234119</v>
      </c>
      <c r="K5585" s="912" t="s">
        <v>274</v>
      </c>
      <c r="L5585" s="912"/>
      <c r="M5585" s="912"/>
      <c r="N5585" s="912"/>
      <c r="O5585" s="892">
        <f t="shared" si="348"/>
        <v>0</v>
      </c>
      <c r="P5585" s="903">
        <f t="shared" si="349"/>
        <v>1</v>
      </c>
      <c r="Q5585" s="893">
        <f t="shared" si="350"/>
        <v>4</v>
      </c>
      <c r="R5585" s="894">
        <f t="shared" si="351"/>
        <v>0</v>
      </c>
    </row>
    <row r="5586" spans="1:18">
      <c r="A5586" s="905"/>
      <c r="B5586" s="906"/>
      <c r="C5586" s="907">
        <v>57</v>
      </c>
      <c r="D5586" s="907" t="s">
        <v>279</v>
      </c>
      <c r="E5586" s="925" t="s">
        <v>3193</v>
      </c>
      <c r="F5586" s="926" t="s">
        <v>49</v>
      </c>
      <c r="G5586" s="910"/>
      <c r="H5586" s="911">
        <v>0.4</v>
      </c>
      <c r="I5586" s="912">
        <f>VLOOKUP(E5586,[3]VLP!$B$7:$K$300,10,0)</f>
        <v>3277</v>
      </c>
      <c r="J5586" s="912">
        <f t="shared" si="352"/>
        <v>1310.8000000000002</v>
      </c>
      <c r="K5586" s="912" t="s">
        <v>274</v>
      </c>
      <c r="L5586" s="912"/>
      <c r="M5586" s="912"/>
      <c r="N5586" s="912"/>
      <c r="O5586" s="892">
        <f t="shared" si="348"/>
        <v>0</v>
      </c>
      <c r="P5586" s="903">
        <f t="shared" si="349"/>
        <v>1</v>
      </c>
      <c r="Q5586" s="893">
        <f t="shared" si="350"/>
        <v>3</v>
      </c>
      <c r="R5586" s="894">
        <f t="shared" si="351"/>
        <v>0</v>
      </c>
    </row>
    <row r="5587" spans="1:18" s="904" customFormat="1">
      <c r="A5587" s="895"/>
      <c r="B5587" s="896"/>
      <c r="C5587" s="897"/>
      <c r="D5587" s="897"/>
      <c r="E5587" s="924" t="s">
        <v>276</v>
      </c>
      <c r="F5587" s="927"/>
      <c r="G5587" s="928"/>
      <c r="H5587" s="901"/>
      <c r="I5587" s="902"/>
      <c r="J5587" s="902"/>
      <c r="K5587" s="912" t="s">
        <v>274</v>
      </c>
      <c r="L5587" s="902"/>
      <c r="M5587" s="902"/>
      <c r="N5587" s="902"/>
      <c r="O5587" s="892">
        <f t="shared" si="348"/>
        <v>0</v>
      </c>
      <c r="P5587" s="903">
        <f t="shared" si="349"/>
        <v>1</v>
      </c>
      <c r="Q5587" s="893">
        <f t="shared" si="350"/>
        <v>2</v>
      </c>
      <c r="R5587" s="894">
        <f t="shared" si="351"/>
        <v>0</v>
      </c>
    </row>
    <row r="5588" spans="1:18">
      <c r="A5588" s="905"/>
      <c r="B5588" s="906"/>
      <c r="C5588" s="907">
        <v>740</v>
      </c>
      <c r="D5588" s="907" t="s">
        <v>12</v>
      </c>
      <c r="E5588" s="908" t="s">
        <v>4008</v>
      </c>
      <c r="F5588" s="909" t="s">
        <v>2674</v>
      </c>
      <c r="G5588" s="910"/>
      <c r="H5588" s="911">
        <v>11.15</v>
      </c>
      <c r="I5588" s="912"/>
      <c r="J5588" s="912"/>
      <c r="K5588" s="912">
        <f>VLOOKUP(E5588,[5]ĐMNC!$A$7:$F$67,4,0)</f>
        <v>221125</v>
      </c>
      <c r="L5588" s="912">
        <f>H5588*K5588</f>
        <v>2465543.75</v>
      </c>
      <c r="M5588" s="912"/>
      <c r="N5588" s="912"/>
      <c r="O5588" s="892">
        <f t="shared" si="348"/>
        <v>0</v>
      </c>
      <c r="P5588" s="903">
        <f t="shared" si="349"/>
        <v>1</v>
      </c>
      <c r="Q5588" s="893">
        <f t="shared" si="350"/>
        <v>1</v>
      </c>
      <c r="R5588" s="894">
        <f t="shared" si="351"/>
        <v>0</v>
      </c>
    </row>
    <row r="5589" spans="1:18" s="847" customFormat="1">
      <c r="A5589" s="905"/>
      <c r="B5589" s="914" t="s">
        <v>5790</v>
      </c>
      <c r="C5589" s="915"/>
      <c r="D5589" s="915"/>
      <c r="E5589" s="916" t="s">
        <v>5791</v>
      </c>
      <c r="F5589" s="917" t="s">
        <v>43</v>
      </c>
      <c r="G5589" s="918"/>
      <c r="H5589" s="919"/>
      <c r="I5589" s="920"/>
      <c r="J5589" s="962">
        <f>SUM(J5590:J5598)</f>
        <v>560629.80000000005</v>
      </c>
      <c r="K5589" s="891" t="s">
        <v>274</v>
      </c>
      <c r="L5589" s="962">
        <f>SUM(L5590:L5598)</f>
        <v>3648562.5</v>
      </c>
      <c r="M5589" s="962"/>
      <c r="N5589" s="962">
        <f>SUM(N5590:N5598)</f>
        <v>0</v>
      </c>
      <c r="O5589" s="892">
        <f t="shared" si="348"/>
        <v>1</v>
      </c>
      <c r="P5589" s="903">
        <f t="shared" si="349"/>
        <v>0</v>
      </c>
      <c r="Q5589" s="893">
        <f t="shared" si="350"/>
        <v>0</v>
      </c>
      <c r="R5589" s="894">
        <f t="shared" si="351"/>
        <v>9</v>
      </c>
    </row>
    <row r="5590" spans="1:18" s="904" customFormat="1">
      <c r="A5590" s="895"/>
      <c r="B5590" s="896"/>
      <c r="C5590" s="897"/>
      <c r="D5590" s="897"/>
      <c r="E5590" s="898" t="s">
        <v>108</v>
      </c>
      <c r="F5590" s="899"/>
      <c r="G5590" s="900"/>
      <c r="H5590" s="901"/>
      <c r="I5590" s="902"/>
      <c r="J5590" s="902"/>
      <c r="K5590" s="912" t="s">
        <v>274</v>
      </c>
      <c r="L5590" s="902"/>
      <c r="M5590" s="902"/>
      <c r="N5590" s="902"/>
      <c r="O5590" s="892">
        <f t="shared" si="348"/>
        <v>0</v>
      </c>
      <c r="P5590" s="903">
        <f t="shared" si="349"/>
        <v>1</v>
      </c>
      <c r="Q5590" s="893">
        <f t="shared" si="350"/>
        <v>9</v>
      </c>
      <c r="R5590" s="894">
        <f t="shared" si="351"/>
        <v>0</v>
      </c>
    </row>
    <row r="5591" spans="1:18">
      <c r="A5591" s="905"/>
      <c r="B5591" s="906"/>
      <c r="C5591" s="907">
        <v>25</v>
      </c>
      <c r="D5591" s="907" t="s">
        <v>279</v>
      </c>
      <c r="E5591" s="925" t="s">
        <v>5656</v>
      </c>
      <c r="F5591" s="926" t="s">
        <v>2690</v>
      </c>
      <c r="G5591" s="910"/>
      <c r="H5591" s="911">
        <v>0.4</v>
      </c>
      <c r="I5591" s="912">
        <f>VLOOKUP(E5591,[3]VLP!$B$7:$K$300,10,0)</f>
        <v>5000</v>
      </c>
      <c r="J5591" s="912">
        <f t="shared" ref="J5591:J5596" si="353">I5591*H5591</f>
        <v>2000</v>
      </c>
      <c r="K5591" s="912" t="s">
        <v>274</v>
      </c>
      <c r="L5591" s="912"/>
      <c r="M5591" s="912"/>
      <c r="N5591" s="912"/>
      <c r="O5591" s="892">
        <f t="shared" si="348"/>
        <v>0</v>
      </c>
      <c r="P5591" s="903">
        <f t="shared" si="349"/>
        <v>1</v>
      </c>
      <c r="Q5591" s="893">
        <f t="shared" si="350"/>
        <v>8</v>
      </c>
      <c r="R5591" s="894">
        <f t="shared" si="351"/>
        <v>0</v>
      </c>
    </row>
    <row r="5592" spans="1:18">
      <c r="A5592" s="905"/>
      <c r="B5592" s="906"/>
      <c r="C5592" s="907">
        <v>66</v>
      </c>
      <c r="D5592" s="907" t="s">
        <v>279</v>
      </c>
      <c r="E5592" s="925" t="s">
        <v>2682</v>
      </c>
      <c r="F5592" s="926" t="s">
        <v>45</v>
      </c>
      <c r="G5592" s="910"/>
      <c r="H5592" s="911">
        <v>0.5</v>
      </c>
      <c r="I5592" s="912">
        <f>VLOOKUP(E5592,[3]VLP!$B$7:$K$300,10,0)</f>
        <v>5000</v>
      </c>
      <c r="J5592" s="912">
        <f t="shared" si="353"/>
        <v>2500</v>
      </c>
      <c r="K5592" s="912" t="s">
        <v>274</v>
      </c>
      <c r="L5592" s="912"/>
      <c r="M5592" s="912"/>
      <c r="N5592" s="912"/>
      <c r="O5592" s="892">
        <f t="shared" si="348"/>
        <v>0</v>
      </c>
      <c r="P5592" s="903">
        <f t="shared" si="349"/>
        <v>1</v>
      </c>
      <c r="Q5592" s="893">
        <f t="shared" si="350"/>
        <v>7</v>
      </c>
      <c r="R5592" s="894">
        <f t="shared" si="351"/>
        <v>0</v>
      </c>
    </row>
    <row r="5593" spans="1:18">
      <c r="A5593" s="905"/>
      <c r="B5593" s="906"/>
      <c r="C5593" s="907">
        <v>44</v>
      </c>
      <c r="D5593" s="907" t="s">
        <v>279</v>
      </c>
      <c r="E5593" s="925" t="s">
        <v>2681</v>
      </c>
      <c r="F5593" s="926" t="s">
        <v>45</v>
      </c>
      <c r="G5593" s="910"/>
      <c r="H5593" s="911">
        <v>0.9</v>
      </c>
      <c r="I5593" s="912">
        <f>VLOOKUP(E5593,[3]VLP!$B$7:$K$300,10,0)</f>
        <v>23000</v>
      </c>
      <c r="J5593" s="912">
        <f t="shared" si="353"/>
        <v>20700</v>
      </c>
      <c r="K5593" s="912" t="s">
        <v>274</v>
      </c>
      <c r="L5593" s="912"/>
      <c r="M5593" s="912"/>
      <c r="N5593" s="912"/>
      <c r="O5593" s="892">
        <f t="shared" si="348"/>
        <v>0</v>
      </c>
      <c r="P5593" s="903">
        <f t="shared" si="349"/>
        <v>1</v>
      </c>
      <c r="Q5593" s="893">
        <f t="shared" si="350"/>
        <v>6</v>
      </c>
      <c r="R5593" s="894">
        <f t="shared" si="351"/>
        <v>0</v>
      </c>
    </row>
    <row r="5594" spans="1:18">
      <c r="A5594" s="905"/>
      <c r="B5594" s="906"/>
      <c r="C5594" s="907">
        <v>49</v>
      </c>
      <c r="D5594" s="907" t="s">
        <v>279</v>
      </c>
      <c r="E5594" s="925" t="s">
        <v>5698</v>
      </c>
      <c r="F5594" s="926" t="s">
        <v>139</v>
      </c>
      <c r="G5594" s="910"/>
      <c r="H5594" s="911">
        <v>100</v>
      </c>
      <c r="I5594" s="912">
        <f>VLOOKUP(E5594,[3]VLP!$B$7:$K$300,10,0)</f>
        <v>3000</v>
      </c>
      <c r="J5594" s="912">
        <f t="shared" si="353"/>
        <v>300000</v>
      </c>
      <c r="K5594" s="912" t="s">
        <v>274</v>
      </c>
      <c r="L5594" s="912"/>
      <c r="M5594" s="912"/>
      <c r="N5594" s="912"/>
      <c r="O5594" s="892">
        <f t="shared" si="348"/>
        <v>0</v>
      </c>
      <c r="P5594" s="903">
        <f t="shared" si="349"/>
        <v>1</v>
      </c>
      <c r="Q5594" s="893">
        <f t="shared" si="350"/>
        <v>5</v>
      </c>
      <c r="R5594" s="894">
        <f t="shared" si="351"/>
        <v>0</v>
      </c>
    </row>
    <row r="5595" spans="1:18">
      <c r="A5595" s="905"/>
      <c r="B5595" s="906"/>
      <c r="C5595" s="907">
        <v>56</v>
      </c>
      <c r="D5595" s="907" t="s">
        <v>279</v>
      </c>
      <c r="E5595" s="925" t="s">
        <v>3192</v>
      </c>
      <c r="F5595" s="926" t="s">
        <v>49</v>
      </c>
      <c r="G5595" s="910"/>
      <c r="H5595" s="911">
        <v>103</v>
      </c>
      <c r="I5595" s="912">
        <f>VLOOKUP(E5595,[3]VLP!$B$7:$K$300,10,0)</f>
        <v>2273</v>
      </c>
      <c r="J5595" s="912">
        <f t="shared" si="353"/>
        <v>234119</v>
      </c>
      <c r="K5595" s="912" t="s">
        <v>274</v>
      </c>
      <c r="L5595" s="912"/>
      <c r="M5595" s="912"/>
      <c r="N5595" s="912"/>
      <c r="O5595" s="892">
        <f t="shared" si="348"/>
        <v>0</v>
      </c>
      <c r="P5595" s="903">
        <f t="shared" si="349"/>
        <v>1</v>
      </c>
      <c r="Q5595" s="893">
        <f t="shared" si="350"/>
        <v>4</v>
      </c>
      <c r="R5595" s="894">
        <f t="shared" si="351"/>
        <v>0</v>
      </c>
    </row>
    <row r="5596" spans="1:18">
      <c r="A5596" s="905"/>
      <c r="B5596" s="906"/>
      <c r="C5596" s="907">
        <v>57</v>
      </c>
      <c r="D5596" s="907" t="s">
        <v>279</v>
      </c>
      <c r="E5596" s="925" t="s">
        <v>3193</v>
      </c>
      <c r="F5596" s="926" t="s">
        <v>49</v>
      </c>
      <c r="G5596" s="910"/>
      <c r="H5596" s="911">
        <v>0.4</v>
      </c>
      <c r="I5596" s="912">
        <f>VLOOKUP(E5596,[3]VLP!$B$7:$K$300,10,0)</f>
        <v>3277</v>
      </c>
      <c r="J5596" s="912">
        <f t="shared" si="353"/>
        <v>1310.8000000000002</v>
      </c>
      <c r="K5596" s="912" t="s">
        <v>274</v>
      </c>
      <c r="L5596" s="912"/>
      <c r="M5596" s="912"/>
      <c r="N5596" s="912"/>
      <c r="O5596" s="892">
        <f t="shared" si="348"/>
        <v>0</v>
      </c>
      <c r="P5596" s="903">
        <f t="shared" si="349"/>
        <v>1</v>
      </c>
      <c r="Q5596" s="893">
        <f t="shared" si="350"/>
        <v>3</v>
      </c>
      <c r="R5596" s="894">
        <f t="shared" si="351"/>
        <v>0</v>
      </c>
    </row>
    <row r="5597" spans="1:18" s="904" customFormat="1">
      <c r="A5597" s="895"/>
      <c r="B5597" s="896"/>
      <c r="C5597" s="897"/>
      <c r="D5597" s="897"/>
      <c r="E5597" s="924" t="s">
        <v>276</v>
      </c>
      <c r="F5597" s="927"/>
      <c r="G5597" s="928"/>
      <c r="H5597" s="901"/>
      <c r="I5597" s="902"/>
      <c r="J5597" s="902"/>
      <c r="K5597" s="912" t="s">
        <v>274</v>
      </c>
      <c r="L5597" s="902"/>
      <c r="M5597" s="902"/>
      <c r="N5597" s="902"/>
      <c r="O5597" s="892">
        <f t="shared" si="348"/>
        <v>0</v>
      </c>
      <c r="P5597" s="903">
        <f t="shared" si="349"/>
        <v>1</v>
      </c>
      <c r="Q5597" s="893">
        <f t="shared" si="350"/>
        <v>2</v>
      </c>
      <c r="R5597" s="894">
        <f t="shared" si="351"/>
        <v>0</v>
      </c>
    </row>
    <row r="5598" spans="1:18">
      <c r="A5598" s="905"/>
      <c r="B5598" s="906"/>
      <c r="C5598" s="907">
        <v>740</v>
      </c>
      <c r="D5598" s="907" t="s">
        <v>12</v>
      </c>
      <c r="E5598" s="908" t="s">
        <v>4008</v>
      </c>
      <c r="F5598" s="909" t="s">
        <v>2674</v>
      </c>
      <c r="G5598" s="910"/>
      <c r="H5598" s="911">
        <v>16.5</v>
      </c>
      <c r="I5598" s="912"/>
      <c r="J5598" s="912"/>
      <c r="K5598" s="912">
        <f>VLOOKUP(E5598,[5]ĐMNC!$A$7:$F$67,4,0)</f>
        <v>221125</v>
      </c>
      <c r="L5598" s="912">
        <f>H5598*K5598</f>
        <v>3648562.5</v>
      </c>
      <c r="M5598" s="912"/>
      <c r="N5598" s="912"/>
      <c r="O5598" s="892">
        <f t="shared" si="348"/>
        <v>0</v>
      </c>
      <c r="P5598" s="903">
        <f t="shared" si="349"/>
        <v>1</v>
      </c>
      <c r="Q5598" s="893">
        <f t="shared" si="350"/>
        <v>1</v>
      </c>
      <c r="R5598" s="894">
        <f t="shared" si="351"/>
        <v>0</v>
      </c>
    </row>
    <row r="5599" spans="1:18" s="847" customFormat="1">
      <c r="A5599" s="905"/>
      <c r="B5599" s="914" t="s">
        <v>5792</v>
      </c>
      <c r="C5599" s="915"/>
      <c r="D5599" s="915"/>
      <c r="E5599" s="916" t="s">
        <v>5793</v>
      </c>
      <c r="F5599" s="917" t="s">
        <v>43</v>
      </c>
      <c r="G5599" s="918"/>
      <c r="H5599" s="919"/>
      <c r="I5599" s="920"/>
      <c r="J5599" s="962">
        <f>SUM(J5600:J5608)</f>
        <v>564257.5</v>
      </c>
      <c r="K5599" s="891" t="s">
        <v>274</v>
      </c>
      <c r="L5599" s="962">
        <f>SUM(L5600:L5608)</f>
        <v>4256656.25</v>
      </c>
      <c r="M5599" s="962"/>
      <c r="N5599" s="962">
        <f>SUM(N5600:N5608)</f>
        <v>0</v>
      </c>
      <c r="O5599" s="892">
        <f t="shared" ref="O5599:O5662" si="354">IF(AND(B5599&lt;&gt;"",D5599=""),1,0)</f>
        <v>1</v>
      </c>
      <c r="P5599" s="903">
        <f t="shared" si="349"/>
        <v>0</v>
      </c>
      <c r="Q5599" s="893">
        <f t="shared" si="350"/>
        <v>0</v>
      </c>
      <c r="R5599" s="894">
        <f t="shared" si="351"/>
        <v>9</v>
      </c>
    </row>
    <row r="5600" spans="1:18" s="904" customFormat="1">
      <c r="A5600" s="895"/>
      <c r="B5600" s="896"/>
      <c r="C5600" s="897"/>
      <c r="D5600" s="897"/>
      <c r="E5600" s="898" t="s">
        <v>108</v>
      </c>
      <c r="F5600" s="899"/>
      <c r="G5600" s="900"/>
      <c r="H5600" s="901"/>
      <c r="I5600" s="902"/>
      <c r="J5600" s="902"/>
      <c r="K5600" s="912" t="s">
        <v>274</v>
      </c>
      <c r="L5600" s="902"/>
      <c r="M5600" s="902"/>
      <c r="N5600" s="902"/>
      <c r="O5600" s="892">
        <f t="shared" si="354"/>
        <v>0</v>
      </c>
      <c r="P5600" s="903">
        <f t="shared" si="349"/>
        <v>1</v>
      </c>
      <c r="Q5600" s="893">
        <f t="shared" si="350"/>
        <v>9</v>
      </c>
      <c r="R5600" s="894">
        <f t="shared" si="351"/>
        <v>0</v>
      </c>
    </row>
    <row r="5601" spans="1:18">
      <c r="A5601" s="905"/>
      <c r="B5601" s="906"/>
      <c r="C5601" s="907">
        <v>25</v>
      </c>
      <c r="D5601" s="907" t="s">
        <v>279</v>
      </c>
      <c r="E5601" s="925" t="s">
        <v>5656</v>
      </c>
      <c r="F5601" s="926" t="s">
        <v>2690</v>
      </c>
      <c r="G5601" s="910"/>
      <c r="H5601" s="911">
        <v>0.5</v>
      </c>
      <c r="I5601" s="912">
        <f>VLOOKUP(E5601,[3]VLP!$B$7:$K$300,10,0)</f>
        <v>5000</v>
      </c>
      <c r="J5601" s="912">
        <f t="shared" ref="J5601:J5606" si="355">I5601*H5601</f>
        <v>2500</v>
      </c>
      <c r="K5601" s="912" t="s">
        <v>274</v>
      </c>
      <c r="L5601" s="912"/>
      <c r="M5601" s="912"/>
      <c r="N5601" s="912"/>
      <c r="O5601" s="892">
        <f t="shared" si="354"/>
        <v>0</v>
      </c>
      <c r="P5601" s="903">
        <f t="shared" si="349"/>
        <v>1</v>
      </c>
      <c r="Q5601" s="893">
        <f t="shared" si="350"/>
        <v>8</v>
      </c>
      <c r="R5601" s="894">
        <f t="shared" si="351"/>
        <v>0</v>
      </c>
    </row>
    <row r="5602" spans="1:18">
      <c r="A5602" s="905"/>
      <c r="B5602" s="906"/>
      <c r="C5602" s="907">
        <v>66</v>
      </c>
      <c r="D5602" s="907" t="s">
        <v>279</v>
      </c>
      <c r="E5602" s="925" t="s">
        <v>2682</v>
      </c>
      <c r="F5602" s="926" t="s">
        <v>45</v>
      </c>
      <c r="G5602" s="910"/>
      <c r="H5602" s="911">
        <v>0.6</v>
      </c>
      <c r="I5602" s="912">
        <f>VLOOKUP(E5602,[3]VLP!$B$7:$K$300,10,0)</f>
        <v>5000</v>
      </c>
      <c r="J5602" s="912">
        <f t="shared" si="355"/>
        <v>3000</v>
      </c>
      <c r="K5602" s="912" t="s">
        <v>274</v>
      </c>
      <c r="L5602" s="912"/>
      <c r="M5602" s="912"/>
      <c r="N5602" s="912"/>
      <c r="O5602" s="892">
        <f t="shared" si="354"/>
        <v>0</v>
      </c>
      <c r="P5602" s="903">
        <f t="shared" si="349"/>
        <v>1</v>
      </c>
      <c r="Q5602" s="893">
        <f t="shared" si="350"/>
        <v>7</v>
      </c>
      <c r="R5602" s="894">
        <f t="shared" si="351"/>
        <v>0</v>
      </c>
    </row>
    <row r="5603" spans="1:18">
      <c r="A5603" s="905"/>
      <c r="B5603" s="906"/>
      <c r="C5603" s="907">
        <v>44</v>
      </c>
      <c r="D5603" s="907" t="s">
        <v>279</v>
      </c>
      <c r="E5603" s="925" t="s">
        <v>2681</v>
      </c>
      <c r="F5603" s="926" t="s">
        <v>45</v>
      </c>
      <c r="G5603" s="910"/>
      <c r="H5603" s="911">
        <v>1</v>
      </c>
      <c r="I5603" s="912">
        <f>VLOOKUP(E5603,[3]VLP!$B$7:$K$300,10,0)</f>
        <v>23000</v>
      </c>
      <c r="J5603" s="912">
        <f t="shared" si="355"/>
        <v>23000</v>
      </c>
      <c r="K5603" s="912" t="s">
        <v>274</v>
      </c>
      <c r="L5603" s="912"/>
      <c r="M5603" s="912"/>
      <c r="N5603" s="912"/>
      <c r="O5603" s="892">
        <f t="shared" si="354"/>
        <v>0</v>
      </c>
      <c r="P5603" s="903">
        <f t="shared" si="349"/>
        <v>1</v>
      </c>
      <c r="Q5603" s="893">
        <f t="shared" si="350"/>
        <v>6</v>
      </c>
      <c r="R5603" s="894">
        <f t="shared" si="351"/>
        <v>0</v>
      </c>
    </row>
    <row r="5604" spans="1:18">
      <c r="A5604" s="905"/>
      <c r="B5604" s="906"/>
      <c r="C5604" s="907">
        <v>49</v>
      </c>
      <c r="D5604" s="907" t="s">
        <v>279</v>
      </c>
      <c r="E5604" s="925" t="s">
        <v>5698</v>
      </c>
      <c r="F5604" s="926" t="s">
        <v>139</v>
      </c>
      <c r="G5604" s="910"/>
      <c r="H5604" s="911">
        <v>100</v>
      </c>
      <c r="I5604" s="912">
        <f>VLOOKUP(E5604,[3]VLP!$B$7:$K$300,10,0)</f>
        <v>3000</v>
      </c>
      <c r="J5604" s="912">
        <f t="shared" si="355"/>
        <v>300000</v>
      </c>
      <c r="K5604" s="912" t="s">
        <v>274</v>
      </c>
      <c r="L5604" s="912"/>
      <c r="M5604" s="912"/>
      <c r="N5604" s="912"/>
      <c r="O5604" s="892">
        <f t="shared" si="354"/>
        <v>0</v>
      </c>
      <c r="P5604" s="903">
        <f t="shared" si="349"/>
        <v>1</v>
      </c>
      <c r="Q5604" s="893">
        <f t="shared" si="350"/>
        <v>5</v>
      </c>
      <c r="R5604" s="894">
        <f t="shared" si="351"/>
        <v>0</v>
      </c>
    </row>
    <row r="5605" spans="1:18">
      <c r="A5605" s="905"/>
      <c r="B5605" s="906"/>
      <c r="C5605" s="907">
        <v>56</v>
      </c>
      <c r="D5605" s="907" t="s">
        <v>279</v>
      </c>
      <c r="E5605" s="925" t="s">
        <v>3192</v>
      </c>
      <c r="F5605" s="926" t="s">
        <v>49</v>
      </c>
      <c r="G5605" s="910"/>
      <c r="H5605" s="911">
        <v>103</v>
      </c>
      <c r="I5605" s="912">
        <f>VLOOKUP(E5605,[3]VLP!$B$7:$K$300,10,0)</f>
        <v>2273</v>
      </c>
      <c r="J5605" s="912">
        <f t="shared" si="355"/>
        <v>234119</v>
      </c>
      <c r="K5605" s="912" t="s">
        <v>274</v>
      </c>
      <c r="L5605" s="912"/>
      <c r="M5605" s="912"/>
      <c r="N5605" s="912"/>
      <c r="O5605" s="892">
        <f t="shared" si="354"/>
        <v>0</v>
      </c>
      <c r="P5605" s="903">
        <f t="shared" si="349"/>
        <v>1</v>
      </c>
      <c r="Q5605" s="893">
        <f t="shared" si="350"/>
        <v>4</v>
      </c>
      <c r="R5605" s="894">
        <f t="shared" si="351"/>
        <v>0</v>
      </c>
    </row>
    <row r="5606" spans="1:18">
      <c r="A5606" s="905"/>
      <c r="B5606" s="906"/>
      <c r="C5606" s="907">
        <v>57</v>
      </c>
      <c r="D5606" s="907" t="s">
        <v>279</v>
      </c>
      <c r="E5606" s="925" t="s">
        <v>3193</v>
      </c>
      <c r="F5606" s="926" t="s">
        <v>49</v>
      </c>
      <c r="G5606" s="910"/>
      <c r="H5606" s="911">
        <v>0.5</v>
      </c>
      <c r="I5606" s="912">
        <f>VLOOKUP(E5606,[3]VLP!$B$7:$K$300,10,0)</f>
        <v>3277</v>
      </c>
      <c r="J5606" s="912">
        <f t="shared" si="355"/>
        <v>1638.5</v>
      </c>
      <c r="K5606" s="912" t="s">
        <v>274</v>
      </c>
      <c r="L5606" s="912"/>
      <c r="M5606" s="912"/>
      <c r="N5606" s="912"/>
      <c r="O5606" s="892">
        <f t="shared" si="354"/>
        <v>0</v>
      </c>
      <c r="P5606" s="903">
        <f t="shared" si="349"/>
        <v>1</v>
      </c>
      <c r="Q5606" s="893">
        <f t="shared" si="350"/>
        <v>3</v>
      </c>
      <c r="R5606" s="894">
        <f t="shared" si="351"/>
        <v>0</v>
      </c>
    </row>
    <row r="5607" spans="1:18" s="904" customFormat="1">
      <c r="A5607" s="895"/>
      <c r="B5607" s="896"/>
      <c r="C5607" s="897"/>
      <c r="D5607" s="897"/>
      <c r="E5607" s="924" t="s">
        <v>276</v>
      </c>
      <c r="F5607" s="927"/>
      <c r="G5607" s="928"/>
      <c r="H5607" s="901"/>
      <c r="I5607" s="902"/>
      <c r="J5607" s="902"/>
      <c r="K5607" s="912" t="s">
        <v>274</v>
      </c>
      <c r="L5607" s="902"/>
      <c r="M5607" s="902"/>
      <c r="N5607" s="902"/>
      <c r="O5607" s="892">
        <f t="shared" si="354"/>
        <v>0</v>
      </c>
      <c r="P5607" s="903">
        <f t="shared" si="349"/>
        <v>1</v>
      </c>
      <c r="Q5607" s="893">
        <f t="shared" si="350"/>
        <v>2</v>
      </c>
      <c r="R5607" s="894">
        <f t="shared" si="351"/>
        <v>0</v>
      </c>
    </row>
    <row r="5608" spans="1:18">
      <c r="A5608" s="905"/>
      <c r="B5608" s="906"/>
      <c r="C5608" s="907">
        <v>740</v>
      </c>
      <c r="D5608" s="907" t="s">
        <v>12</v>
      </c>
      <c r="E5608" s="908" t="s">
        <v>4008</v>
      </c>
      <c r="F5608" s="909" t="s">
        <v>2674</v>
      </c>
      <c r="G5608" s="910"/>
      <c r="H5608" s="911">
        <v>19.25</v>
      </c>
      <c r="I5608" s="912"/>
      <c r="J5608" s="912"/>
      <c r="K5608" s="912">
        <f>VLOOKUP(E5608,[5]ĐMNC!$A$7:$F$67,4,0)</f>
        <v>221125</v>
      </c>
      <c r="L5608" s="912">
        <f>H5608*K5608</f>
        <v>4256656.25</v>
      </c>
      <c r="M5608" s="912"/>
      <c r="N5608" s="912"/>
      <c r="O5608" s="892">
        <f t="shared" si="354"/>
        <v>0</v>
      </c>
      <c r="P5608" s="903">
        <f t="shared" ref="P5608:P5671" si="356">IF(O5608=0,1,0)</f>
        <v>1</v>
      </c>
      <c r="Q5608" s="893">
        <f t="shared" ref="Q5608:Q5671" si="357">IF(P5608=0,0,P5608+Q5609)</f>
        <v>1</v>
      </c>
      <c r="R5608" s="894">
        <f t="shared" ref="R5608:R5671" si="358">IF(Q5608=0,Q5609,0)</f>
        <v>0</v>
      </c>
    </row>
    <row r="5609" spans="1:18" s="847" customFormat="1">
      <c r="A5609" s="905"/>
      <c r="B5609" s="914" t="s">
        <v>5794</v>
      </c>
      <c r="C5609" s="915"/>
      <c r="D5609" s="915"/>
      <c r="E5609" s="916" t="s">
        <v>5795</v>
      </c>
      <c r="F5609" s="917" t="s">
        <v>43</v>
      </c>
      <c r="G5609" s="918"/>
      <c r="H5609" s="919"/>
      <c r="I5609" s="920"/>
      <c r="J5609" s="891">
        <f>SUM(J5610:J5617)</f>
        <v>561757.5</v>
      </c>
      <c r="K5609" s="891"/>
      <c r="L5609" s="891">
        <f>SUM(L5610:L5617)</f>
        <v>4864750</v>
      </c>
      <c r="M5609" s="891"/>
      <c r="N5609" s="891">
        <f>SUM(N5610:N5617)</f>
        <v>0</v>
      </c>
      <c r="O5609" s="892">
        <f t="shared" si="354"/>
        <v>1</v>
      </c>
      <c r="P5609" s="903">
        <f t="shared" si="356"/>
        <v>0</v>
      </c>
      <c r="Q5609" s="893">
        <f t="shared" si="357"/>
        <v>0</v>
      </c>
      <c r="R5609" s="894">
        <f t="shared" si="358"/>
        <v>8</v>
      </c>
    </row>
    <row r="5610" spans="1:18" s="904" customFormat="1">
      <c r="A5610" s="895"/>
      <c r="B5610" s="896"/>
      <c r="C5610" s="897"/>
      <c r="D5610" s="897"/>
      <c r="E5610" s="898" t="s">
        <v>108</v>
      </c>
      <c r="F5610" s="899"/>
      <c r="G5610" s="900"/>
      <c r="H5610" s="901"/>
      <c r="I5610" s="902"/>
      <c r="J5610" s="902"/>
      <c r="K5610" s="912" t="s">
        <v>274</v>
      </c>
      <c r="L5610" s="902"/>
      <c r="M5610" s="902"/>
      <c r="N5610" s="902"/>
      <c r="O5610" s="892">
        <f t="shared" si="354"/>
        <v>0</v>
      </c>
      <c r="P5610" s="903">
        <f t="shared" si="356"/>
        <v>1</v>
      </c>
      <c r="Q5610" s="893">
        <f t="shared" si="357"/>
        <v>8</v>
      </c>
      <c r="R5610" s="894">
        <f t="shared" si="358"/>
        <v>0</v>
      </c>
    </row>
    <row r="5611" spans="1:18">
      <c r="A5611" s="905"/>
      <c r="B5611" s="906"/>
      <c r="C5611" s="907">
        <v>66</v>
      </c>
      <c r="D5611" s="907" t="s">
        <v>279</v>
      </c>
      <c r="E5611" s="925" t="s">
        <v>2682</v>
      </c>
      <c r="F5611" s="926" t="s">
        <v>45</v>
      </c>
      <c r="G5611" s="910"/>
      <c r="H5611" s="911">
        <v>0.6</v>
      </c>
      <c r="I5611" s="912">
        <f>VLOOKUP(E5611,[3]VLP!$B$7:$K$300,10,0)</f>
        <v>5000</v>
      </c>
      <c r="J5611" s="912">
        <f>I5611*H5611</f>
        <v>3000</v>
      </c>
      <c r="K5611" s="912" t="s">
        <v>274</v>
      </c>
      <c r="L5611" s="912"/>
      <c r="M5611" s="912"/>
      <c r="N5611" s="912"/>
      <c r="O5611" s="892">
        <f t="shared" si="354"/>
        <v>0</v>
      </c>
      <c r="P5611" s="903">
        <f t="shared" si="356"/>
        <v>1</v>
      </c>
      <c r="Q5611" s="893">
        <f t="shared" si="357"/>
        <v>7</v>
      </c>
      <c r="R5611" s="894">
        <f t="shared" si="358"/>
        <v>0</v>
      </c>
    </row>
    <row r="5612" spans="1:18">
      <c r="A5612" s="905"/>
      <c r="B5612" s="906"/>
      <c r="C5612" s="907">
        <v>44</v>
      </c>
      <c r="D5612" s="907" t="s">
        <v>279</v>
      </c>
      <c r="E5612" s="925" t="s">
        <v>2681</v>
      </c>
      <c r="F5612" s="926" t="s">
        <v>45</v>
      </c>
      <c r="G5612" s="910"/>
      <c r="H5612" s="911">
        <v>1</v>
      </c>
      <c r="I5612" s="912">
        <f>VLOOKUP(E5612,[3]VLP!$B$7:$K$300,10,0)</f>
        <v>23000</v>
      </c>
      <c r="J5612" s="912">
        <f>I5612*H5612</f>
        <v>23000</v>
      </c>
      <c r="K5612" s="912" t="s">
        <v>274</v>
      </c>
      <c r="L5612" s="912"/>
      <c r="M5612" s="912"/>
      <c r="N5612" s="912"/>
      <c r="O5612" s="892">
        <f t="shared" si="354"/>
        <v>0</v>
      </c>
      <c r="P5612" s="903">
        <f t="shared" si="356"/>
        <v>1</v>
      </c>
      <c r="Q5612" s="893">
        <f t="shared" si="357"/>
        <v>6</v>
      </c>
      <c r="R5612" s="894">
        <f t="shared" si="358"/>
        <v>0</v>
      </c>
    </row>
    <row r="5613" spans="1:18">
      <c r="A5613" s="905"/>
      <c r="B5613" s="906"/>
      <c r="C5613" s="907">
        <v>49</v>
      </c>
      <c r="D5613" s="907" t="s">
        <v>279</v>
      </c>
      <c r="E5613" s="925" t="s">
        <v>5698</v>
      </c>
      <c r="F5613" s="926" t="s">
        <v>139</v>
      </c>
      <c r="G5613" s="910"/>
      <c r="H5613" s="911">
        <v>100</v>
      </c>
      <c r="I5613" s="912">
        <f>VLOOKUP(E5613,[3]VLP!$B$7:$K$300,10,0)</f>
        <v>3000</v>
      </c>
      <c r="J5613" s="912">
        <f>I5613*H5613</f>
        <v>300000</v>
      </c>
      <c r="K5613" s="912" t="s">
        <v>274</v>
      </c>
      <c r="L5613" s="912"/>
      <c r="M5613" s="912"/>
      <c r="N5613" s="912"/>
      <c r="O5613" s="892">
        <f t="shared" si="354"/>
        <v>0</v>
      </c>
      <c r="P5613" s="903">
        <f t="shared" si="356"/>
        <v>1</v>
      </c>
      <c r="Q5613" s="893">
        <f t="shared" si="357"/>
        <v>5</v>
      </c>
      <c r="R5613" s="894">
        <f t="shared" si="358"/>
        <v>0</v>
      </c>
    </row>
    <row r="5614" spans="1:18">
      <c r="A5614" s="905"/>
      <c r="B5614" s="906"/>
      <c r="C5614" s="907">
        <v>56</v>
      </c>
      <c r="D5614" s="907" t="s">
        <v>279</v>
      </c>
      <c r="E5614" s="925" t="s">
        <v>3192</v>
      </c>
      <c r="F5614" s="926" t="s">
        <v>49</v>
      </c>
      <c r="G5614" s="910"/>
      <c r="H5614" s="911">
        <v>103</v>
      </c>
      <c r="I5614" s="912">
        <f>VLOOKUP(E5614,[3]VLP!$B$7:$K$300,10,0)</f>
        <v>2273</v>
      </c>
      <c r="J5614" s="912">
        <f>I5614*H5614</f>
        <v>234119</v>
      </c>
      <c r="K5614" s="912" t="s">
        <v>274</v>
      </c>
      <c r="L5614" s="912"/>
      <c r="M5614" s="912"/>
      <c r="N5614" s="912"/>
      <c r="O5614" s="892">
        <f t="shared" si="354"/>
        <v>0</v>
      </c>
      <c r="P5614" s="903">
        <f t="shared" si="356"/>
        <v>1</v>
      </c>
      <c r="Q5614" s="893">
        <f t="shared" si="357"/>
        <v>4</v>
      </c>
      <c r="R5614" s="894">
        <f t="shared" si="358"/>
        <v>0</v>
      </c>
    </row>
    <row r="5615" spans="1:18">
      <c r="A5615" s="905"/>
      <c r="B5615" s="906"/>
      <c r="C5615" s="907">
        <v>57</v>
      </c>
      <c r="D5615" s="907" t="s">
        <v>279</v>
      </c>
      <c r="E5615" s="925" t="s">
        <v>3193</v>
      </c>
      <c r="F5615" s="926" t="s">
        <v>49</v>
      </c>
      <c r="G5615" s="910"/>
      <c r="H5615" s="911">
        <v>0.5</v>
      </c>
      <c r="I5615" s="912">
        <f>VLOOKUP(E5615,[3]VLP!$B$7:$K$300,10,0)</f>
        <v>3277</v>
      </c>
      <c r="J5615" s="912">
        <f>I5615*H5615</f>
        <v>1638.5</v>
      </c>
      <c r="K5615" s="912" t="s">
        <v>274</v>
      </c>
      <c r="L5615" s="912"/>
      <c r="M5615" s="912"/>
      <c r="N5615" s="912"/>
      <c r="O5615" s="892">
        <f t="shared" si="354"/>
        <v>0</v>
      </c>
      <c r="P5615" s="903">
        <f t="shared" si="356"/>
        <v>1</v>
      </c>
      <c r="Q5615" s="893">
        <f t="shared" si="357"/>
        <v>3</v>
      </c>
      <c r="R5615" s="894">
        <f t="shared" si="358"/>
        <v>0</v>
      </c>
    </row>
    <row r="5616" spans="1:18" s="904" customFormat="1">
      <c r="A5616" s="895"/>
      <c r="B5616" s="896"/>
      <c r="C5616" s="897"/>
      <c r="D5616" s="897"/>
      <c r="E5616" s="924" t="s">
        <v>276</v>
      </c>
      <c r="F5616" s="927"/>
      <c r="G5616" s="928"/>
      <c r="H5616" s="901"/>
      <c r="I5616" s="902"/>
      <c r="J5616" s="902"/>
      <c r="K5616" s="912" t="s">
        <v>274</v>
      </c>
      <c r="L5616" s="902"/>
      <c r="M5616" s="902"/>
      <c r="N5616" s="902"/>
      <c r="O5616" s="892">
        <f t="shared" si="354"/>
        <v>0</v>
      </c>
      <c r="P5616" s="903">
        <f t="shared" si="356"/>
        <v>1</v>
      </c>
      <c r="Q5616" s="893">
        <f t="shared" si="357"/>
        <v>2</v>
      </c>
      <c r="R5616" s="894">
        <f t="shared" si="358"/>
        <v>0</v>
      </c>
    </row>
    <row r="5617" spans="1:18">
      <c r="A5617" s="905"/>
      <c r="B5617" s="906"/>
      <c r="C5617" s="907">
        <v>740</v>
      </c>
      <c r="D5617" s="907" t="s">
        <v>12</v>
      </c>
      <c r="E5617" s="908" t="s">
        <v>4008</v>
      </c>
      <c r="F5617" s="909" t="s">
        <v>2674</v>
      </c>
      <c r="G5617" s="910"/>
      <c r="H5617" s="911">
        <v>22</v>
      </c>
      <c r="I5617" s="912"/>
      <c r="J5617" s="912"/>
      <c r="K5617" s="912">
        <f>VLOOKUP(E5617,[5]ĐMNC!$A$7:$F$67,4,0)</f>
        <v>221125</v>
      </c>
      <c r="L5617" s="912">
        <f>H5617*K5617</f>
        <v>4864750</v>
      </c>
      <c r="M5617" s="912"/>
      <c r="N5617" s="912"/>
      <c r="O5617" s="892">
        <f t="shared" si="354"/>
        <v>0</v>
      </c>
      <c r="P5617" s="903">
        <f t="shared" si="356"/>
        <v>1</v>
      </c>
      <c r="Q5617" s="893">
        <f t="shared" si="357"/>
        <v>1</v>
      </c>
      <c r="R5617" s="894">
        <f t="shared" si="358"/>
        <v>0</v>
      </c>
    </row>
    <row r="5618" spans="1:18" s="847" customFormat="1">
      <c r="A5618" s="905"/>
      <c r="B5618" s="914" t="s">
        <v>186</v>
      </c>
      <c r="C5618" s="915"/>
      <c r="D5618" s="915"/>
      <c r="E5618" s="916" t="s">
        <v>5796</v>
      </c>
      <c r="F5618" s="917" t="s">
        <v>43</v>
      </c>
      <c r="G5618" s="918"/>
      <c r="H5618" s="919"/>
      <c r="I5618" s="920"/>
      <c r="J5618" s="891">
        <f>SUM(J5619:J5624)</f>
        <v>31107</v>
      </c>
      <c r="K5618" s="891"/>
      <c r="L5618" s="891">
        <f>SUM(L5619:L5624)</f>
        <v>639051.25</v>
      </c>
      <c r="M5618" s="891"/>
      <c r="N5618" s="891">
        <f>SUM(N5619:N5624)</f>
        <v>0</v>
      </c>
      <c r="O5618" s="892">
        <f t="shared" si="354"/>
        <v>1</v>
      </c>
      <c r="P5618" s="903">
        <f t="shared" si="356"/>
        <v>0</v>
      </c>
      <c r="Q5618" s="893">
        <f t="shared" si="357"/>
        <v>0</v>
      </c>
      <c r="R5618" s="894">
        <f t="shared" si="358"/>
        <v>6</v>
      </c>
    </row>
    <row r="5619" spans="1:18" s="904" customFormat="1">
      <c r="A5619" s="895"/>
      <c r="B5619" s="896"/>
      <c r="C5619" s="897"/>
      <c r="D5619" s="897"/>
      <c r="E5619" s="898" t="s">
        <v>108</v>
      </c>
      <c r="F5619" s="899"/>
      <c r="G5619" s="900"/>
      <c r="H5619" s="901"/>
      <c r="I5619" s="902"/>
      <c r="J5619" s="902"/>
      <c r="K5619" s="912" t="s">
        <v>274</v>
      </c>
      <c r="L5619" s="902"/>
      <c r="M5619" s="902"/>
      <c r="N5619" s="902"/>
      <c r="O5619" s="892">
        <f t="shared" si="354"/>
        <v>0</v>
      </c>
      <c r="P5619" s="903">
        <f t="shared" si="356"/>
        <v>1</v>
      </c>
      <c r="Q5619" s="893">
        <f t="shared" si="357"/>
        <v>6</v>
      </c>
      <c r="R5619" s="894">
        <f t="shared" si="358"/>
        <v>0</v>
      </c>
    </row>
    <row r="5620" spans="1:18">
      <c r="A5620" s="905"/>
      <c r="B5620" s="906"/>
      <c r="C5620" s="907">
        <v>25</v>
      </c>
      <c r="D5620" s="907" t="s">
        <v>279</v>
      </c>
      <c r="E5620" s="925" t="s">
        <v>5656</v>
      </c>
      <c r="F5620" s="926" t="s">
        <v>2690</v>
      </c>
      <c r="G5620" s="910"/>
      <c r="H5620" s="911">
        <v>0.2</v>
      </c>
      <c r="I5620" s="912">
        <f>VLOOKUP(E5620,[3]VLP!$B$7:$K$300,10,0)</f>
        <v>5000</v>
      </c>
      <c r="J5620" s="912">
        <f>I5620*H5620</f>
        <v>1000</v>
      </c>
      <c r="K5620" s="912" t="s">
        <v>274</v>
      </c>
      <c r="L5620" s="912"/>
      <c r="M5620" s="912"/>
      <c r="N5620" s="912"/>
      <c r="O5620" s="892">
        <f t="shared" si="354"/>
        <v>0</v>
      </c>
      <c r="P5620" s="903">
        <f t="shared" si="356"/>
        <v>1</v>
      </c>
      <c r="Q5620" s="893">
        <f t="shared" si="357"/>
        <v>5</v>
      </c>
      <c r="R5620" s="894">
        <f t="shared" si="358"/>
        <v>0</v>
      </c>
    </row>
    <row r="5621" spans="1:18">
      <c r="A5621" s="905"/>
      <c r="B5621" s="906"/>
      <c r="C5621" s="907">
        <v>66</v>
      </c>
      <c r="D5621" s="907" t="s">
        <v>279</v>
      </c>
      <c r="E5621" s="925" t="s">
        <v>2682</v>
      </c>
      <c r="F5621" s="926" t="s">
        <v>45</v>
      </c>
      <c r="G5621" s="910"/>
      <c r="H5621" s="911">
        <v>0.3</v>
      </c>
      <c r="I5621" s="912">
        <f>VLOOKUP(E5621,[3]VLP!$B$7:$K$300,10,0)</f>
        <v>5000</v>
      </c>
      <c r="J5621" s="912">
        <f>I5621*H5621</f>
        <v>1500</v>
      </c>
      <c r="K5621" s="912" t="s">
        <v>274</v>
      </c>
      <c r="L5621" s="912"/>
      <c r="M5621" s="912"/>
      <c r="N5621" s="912"/>
      <c r="O5621" s="892">
        <f t="shared" si="354"/>
        <v>0</v>
      </c>
      <c r="P5621" s="903">
        <f t="shared" si="356"/>
        <v>1</v>
      </c>
      <c r="Q5621" s="893">
        <f t="shared" si="357"/>
        <v>4</v>
      </c>
      <c r="R5621" s="894">
        <f t="shared" si="358"/>
        <v>0</v>
      </c>
    </row>
    <row r="5622" spans="1:18">
      <c r="A5622" s="905"/>
      <c r="B5622" s="906"/>
      <c r="C5622" s="907">
        <v>44</v>
      </c>
      <c r="D5622" s="907" t="s">
        <v>279</v>
      </c>
      <c r="E5622" s="925" t="s">
        <v>2681</v>
      </c>
      <c r="F5622" s="926" t="s">
        <v>45</v>
      </c>
      <c r="G5622" s="910"/>
      <c r="H5622" s="911">
        <v>0.7</v>
      </c>
      <c r="I5622" s="912">
        <f>VLOOKUP(E5622,[3]VLP!$B$7:$K$300,10,0)</f>
        <v>23000</v>
      </c>
      <c r="J5622" s="912">
        <f>I5622*H5622</f>
        <v>16099.999999999998</v>
      </c>
      <c r="K5622" s="912" t="s">
        <v>274</v>
      </c>
      <c r="L5622" s="912"/>
      <c r="M5622" s="912"/>
      <c r="N5622" s="912"/>
      <c r="O5622" s="892">
        <f t="shared" si="354"/>
        <v>0</v>
      </c>
      <c r="P5622" s="903">
        <f t="shared" si="356"/>
        <v>1</v>
      </c>
      <c r="Q5622" s="893">
        <f t="shared" si="357"/>
        <v>3</v>
      </c>
      <c r="R5622" s="894">
        <f t="shared" si="358"/>
        <v>0</v>
      </c>
    </row>
    <row r="5623" spans="1:18">
      <c r="A5623" s="905"/>
      <c r="B5623" s="906"/>
      <c r="C5623" s="907">
        <v>53</v>
      </c>
      <c r="D5623" s="907" t="s">
        <v>279</v>
      </c>
      <c r="E5623" s="925" t="s">
        <v>3191</v>
      </c>
      <c r="F5623" s="926" t="s">
        <v>49</v>
      </c>
      <c r="G5623" s="910"/>
      <c r="H5623" s="911">
        <v>11</v>
      </c>
      <c r="I5623" s="912">
        <f>VLOOKUP(E5623,[3]VLP!$B$7:$K$300,10,0)</f>
        <v>1137</v>
      </c>
      <c r="J5623" s="912">
        <f>I5623*H5623</f>
        <v>12507</v>
      </c>
      <c r="K5623" s="912" t="s">
        <v>274</v>
      </c>
      <c r="L5623" s="912"/>
      <c r="M5623" s="912"/>
      <c r="N5623" s="912"/>
      <c r="O5623" s="892">
        <f t="shared" si="354"/>
        <v>0</v>
      </c>
      <c r="P5623" s="903">
        <f t="shared" si="356"/>
        <v>1</v>
      </c>
      <c r="Q5623" s="893">
        <f t="shared" si="357"/>
        <v>2</v>
      </c>
      <c r="R5623" s="894">
        <f t="shared" si="358"/>
        <v>0</v>
      </c>
    </row>
    <row r="5624" spans="1:18">
      <c r="A5624" s="905"/>
      <c r="B5624" s="906"/>
      <c r="C5624" s="907">
        <v>740</v>
      </c>
      <c r="D5624" s="907" t="s">
        <v>12</v>
      </c>
      <c r="E5624" s="908" t="s">
        <v>4008</v>
      </c>
      <c r="F5624" s="909" t="s">
        <v>2674</v>
      </c>
      <c r="G5624" s="910"/>
      <c r="H5624" s="911">
        <v>2.89</v>
      </c>
      <c r="I5624" s="912"/>
      <c r="J5624" s="912"/>
      <c r="K5624" s="912">
        <f>VLOOKUP(E5624,[5]ĐMNC!$A$7:$F$67,4,0)</f>
        <v>221125</v>
      </c>
      <c r="L5624" s="912">
        <f>H5624*K5624</f>
        <v>639051.25</v>
      </c>
      <c r="M5624" s="912"/>
      <c r="N5624" s="912"/>
      <c r="O5624" s="892">
        <f t="shared" si="354"/>
        <v>0</v>
      </c>
      <c r="P5624" s="903">
        <f t="shared" si="356"/>
        <v>1</v>
      </c>
      <c r="Q5624" s="893">
        <f t="shared" si="357"/>
        <v>1</v>
      </c>
      <c r="R5624" s="894">
        <f t="shared" si="358"/>
        <v>0</v>
      </c>
    </row>
    <row r="5625" spans="1:18" s="847" customFormat="1">
      <c r="A5625" s="905"/>
      <c r="B5625" s="914" t="s">
        <v>183</v>
      </c>
      <c r="C5625" s="915"/>
      <c r="D5625" s="915"/>
      <c r="E5625" s="916" t="s">
        <v>5797</v>
      </c>
      <c r="F5625" s="917" t="s">
        <v>43</v>
      </c>
      <c r="G5625" s="918"/>
      <c r="H5625" s="919"/>
      <c r="I5625" s="920"/>
      <c r="J5625" s="891">
        <f>SUM(J5626:J5631)</f>
        <v>31107</v>
      </c>
      <c r="K5625" s="891"/>
      <c r="L5625" s="891">
        <f>SUM(L5626:L5631)</f>
        <v>729712.5</v>
      </c>
      <c r="M5625" s="891"/>
      <c r="N5625" s="891">
        <f>SUM(N5626:N5631)</f>
        <v>0</v>
      </c>
      <c r="O5625" s="892">
        <f t="shared" si="354"/>
        <v>1</v>
      </c>
      <c r="P5625" s="903">
        <f t="shared" si="356"/>
        <v>0</v>
      </c>
      <c r="Q5625" s="893">
        <f t="shared" si="357"/>
        <v>0</v>
      </c>
      <c r="R5625" s="894">
        <f t="shared" si="358"/>
        <v>6</v>
      </c>
    </row>
    <row r="5626" spans="1:18" s="904" customFormat="1">
      <c r="A5626" s="895"/>
      <c r="B5626" s="896"/>
      <c r="C5626" s="897"/>
      <c r="D5626" s="897"/>
      <c r="E5626" s="898" t="s">
        <v>108</v>
      </c>
      <c r="F5626" s="899"/>
      <c r="G5626" s="900"/>
      <c r="H5626" s="901"/>
      <c r="I5626" s="902"/>
      <c r="J5626" s="902"/>
      <c r="K5626" s="912" t="s">
        <v>274</v>
      </c>
      <c r="L5626" s="902"/>
      <c r="M5626" s="902"/>
      <c r="N5626" s="902"/>
      <c r="O5626" s="892">
        <f t="shared" si="354"/>
        <v>0</v>
      </c>
      <c r="P5626" s="903">
        <f t="shared" si="356"/>
        <v>1</v>
      </c>
      <c r="Q5626" s="893">
        <f t="shared" si="357"/>
        <v>6</v>
      </c>
      <c r="R5626" s="894">
        <f t="shared" si="358"/>
        <v>0</v>
      </c>
    </row>
    <row r="5627" spans="1:18">
      <c r="A5627" s="905"/>
      <c r="B5627" s="906"/>
      <c r="C5627" s="907">
        <v>25</v>
      </c>
      <c r="D5627" s="907" t="s">
        <v>279</v>
      </c>
      <c r="E5627" s="925" t="s">
        <v>5656</v>
      </c>
      <c r="F5627" s="926" t="s">
        <v>2690</v>
      </c>
      <c r="G5627" s="910"/>
      <c r="H5627" s="911">
        <v>0.2</v>
      </c>
      <c r="I5627" s="912">
        <f>VLOOKUP(E5627,[3]VLP!$B$7:$K$300,10,0)</f>
        <v>5000</v>
      </c>
      <c r="J5627" s="912">
        <f>I5627*H5627</f>
        <v>1000</v>
      </c>
      <c r="K5627" s="912" t="s">
        <v>274</v>
      </c>
      <c r="L5627" s="912"/>
      <c r="M5627" s="912"/>
      <c r="N5627" s="912"/>
      <c r="O5627" s="892">
        <f t="shared" si="354"/>
        <v>0</v>
      </c>
      <c r="P5627" s="903">
        <f t="shared" si="356"/>
        <v>1</v>
      </c>
      <c r="Q5627" s="893">
        <f t="shared" si="357"/>
        <v>5</v>
      </c>
      <c r="R5627" s="894">
        <f t="shared" si="358"/>
        <v>0</v>
      </c>
    </row>
    <row r="5628" spans="1:18">
      <c r="A5628" s="905"/>
      <c r="B5628" s="906"/>
      <c r="C5628" s="907">
        <v>66</v>
      </c>
      <c r="D5628" s="907" t="s">
        <v>279</v>
      </c>
      <c r="E5628" s="925" t="s">
        <v>2682</v>
      </c>
      <c r="F5628" s="926" t="s">
        <v>45</v>
      </c>
      <c r="G5628" s="910"/>
      <c r="H5628" s="911">
        <v>0.3</v>
      </c>
      <c r="I5628" s="912">
        <f>VLOOKUP(E5628,[3]VLP!$B$7:$K$300,10,0)</f>
        <v>5000</v>
      </c>
      <c r="J5628" s="912">
        <f>I5628*H5628</f>
        <v>1500</v>
      </c>
      <c r="K5628" s="912" t="s">
        <v>274</v>
      </c>
      <c r="L5628" s="912"/>
      <c r="M5628" s="912"/>
      <c r="N5628" s="912"/>
      <c r="O5628" s="892">
        <f t="shared" si="354"/>
        <v>0</v>
      </c>
      <c r="P5628" s="903">
        <f t="shared" si="356"/>
        <v>1</v>
      </c>
      <c r="Q5628" s="893">
        <f t="shared" si="357"/>
        <v>4</v>
      </c>
      <c r="R5628" s="894">
        <f t="shared" si="358"/>
        <v>0</v>
      </c>
    </row>
    <row r="5629" spans="1:18">
      <c r="A5629" s="905"/>
      <c r="B5629" s="906"/>
      <c r="C5629" s="907">
        <v>44</v>
      </c>
      <c r="D5629" s="907" t="s">
        <v>279</v>
      </c>
      <c r="E5629" s="925" t="s">
        <v>2681</v>
      </c>
      <c r="F5629" s="926" t="s">
        <v>45</v>
      </c>
      <c r="G5629" s="910"/>
      <c r="H5629" s="911">
        <v>0.7</v>
      </c>
      <c r="I5629" s="912">
        <f>VLOOKUP(E5629,[3]VLP!$B$7:$K$300,10,0)</f>
        <v>23000</v>
      </c>
      <c r="J5629" s="912">
        <f>I5629*H5629</f>
        <v>16099.999999999998</v>
      </c>
      <c r="K5629" s="912" t="s">
        <v>274</v>
      </c>
      <c r="L5629" s="912"/>
      <c r="M5629" s="912"/>
      <c r="N5629" s="912"/>
      <c r="O5629" s="892">
        <f t="shared" si="354"/>
        <v>0</v>
      </c>
      <c r="P5629" s="903">
        <f t="shared" si="356"/>
        <v>1</v>
      </c>
      <c r="Q5629" s="893">
        <f t="shared" si="357"/>
        <v>3</v>
      </c>
      <c r="R5629" s="894">
        <f t="shared" si="358"/>
        <v>0</v>
      </c>
    </row>
    <row r="5630" spans="1:18">
      <c r="A5630" s="905"/>
      <c r="B5630" s="906"/>
      <c r="C5630" s="907">
        <v>53</v>
      </c>
      <c r="D5630" s="907" t="s">
        <v>279</v>
      </c>
      <c r="E5630" s="925" t="s">
        <v>3191</v>
      </c>
      <c r="F5630" s="926" t="s">
        <v>49</v>
      </c>
      <c r="G5630" s="910"/>
      <c r="H5630" s="911">
        <v>11</v>
      </c>
      <c r="I5630" s="912">
        <f>VLOOKUP(E5630,[3]VLP!$B$7:$K$300,10,0)</f>
        <v>1137</v>
      </c>
      <c r="J5630" s="912">
        <f>I5630*H5630</f>
        <v>12507</v>
      </c>
      <c r="K5630" s="912" t="s">
        <v>274</v>
      </c>
      <c r="L5630" s="912"/>
      <c r="M5630" s="912"/>
      <c r="N5630" s="912"/>
      <c r="O5630" s="892">
        <f t="shared" si="354"/>
        <v>0</v>
      </c>
      <c r="P5630" s="903">
        <f t="shared" si="356"/>
        <v>1</v>
      </c>
      <c r="Q5630" s="893">
        <f t="shared" si="357"/>
        <v>2</v>
      </c>
      <c r="R5630" s="894">
        <f t="shared" si="358"/>
        <v>0</v>
      </c>
    </row>
    <row r="5631" spans="1:18">
      <c r="A5631" s="905"/>
      <c r="B5631" s="906"/>
      <c r="C5631" s="907">
        <v>740</v>
      </c>
      <c r="D5631" s="907" t="s">
        <v>12</v>
      </c>
      <c r="E5631" s="908" t="s">
        <v>4008</v>
      </c>
      <c r="F5631" s="909" t="s">
        <v>2674</v>
      </c>
      <c r="G5631" s="910"/>
      <c r="H5631" s="911">
        <v>3.3</v>
      </c>
      <c r="I5631" s="912"/>
      <c r="J5631" s="912"/>
      <c r="K5631" s="912">
        <f>VLOOKUP(E5631,[5]ĐMNC!$A$7:$F$67,4,0)</f>
        <v>221125</v>
      </c>
      <c r="L5631" s="912">
        <f>H5631*K5631</f>
        <v>729712.5</v>
      </c>
      <c r="M5631" s="912"/>
      <c r="N5631" s="912"/>
      <c r="O5631" s="892">
        <f t="shared" si="354"/>
        <v>0</v>
      </c>
      <c r="P5631" s="903">
        <f t="shared" si="356"/>
        <v>1</v>
      </c>
      <c r="Q5631" s="893">
        <f t="shared" si="357"/>
        <v>1</v>
      </c>
      <c r="R5631" s="894">
        <f t="shared" si="358"/>
        <v>0</v>
      </c>
    </row>
    <row r="5632" spans="1:18" s="847" customFormat="1">
      <c r="A5632" s="905"/>
      <c r="B5632" s="914" t="s">
        <v>2243</v>
      </c>
      <c r="C5632" s="915"/>
      <c r="D5632" s="915"/>
      <c r="E5632" s="916" t="s">
        <v>5798</v>
      </c>
      <c r="F5632" s="917" t="s">
        <v>43</v>
      </c>
      <c r="G5632" s="918"/>
      <c r="H5632" s="919"/>
      <c r="I5632" s="920"/>
      <c r="J5632" s="891">
        <f>SUM(J5633:J5638)</f>
        <v>31107</v>
      </c>
      <c r="K5632" s="891"/>
      <c r="L5632" s="891">
        <f>SUM(L5633:L5638)</f>
        <v>913246.25</v>
      </c>
      <c r="M5632" s="891"/>
      <c r="N5632" s="891">
        <f>SUM(N5633:N5638)</f>
        <v>0</v>
      </c>
      <c r="O5632" s="892">
        <f t="shared" si="354"/>
        <v>1</v>
      </c>
      <c r="P5632" s="903">
        <f t="shared" si="356"/>
        <v>0</v>
      </c>
      <c r="Q5632" s="893">
        <f t="shared" si="357"/>
        <v>0</v>
      </c>
      <c r="R5632" s="894">
        <f t="shared" si="358"/>
        <v>6</v>
      </c>
    </row>
    <row r="5633" spans="1:18" s="904" customFormat="1">
      <c r="A5633" s="895"/>
      <c r="B5633" s="896"/>
      <c r="C5633" s="897"/>
      <c r="D5633" s="897"/>
      <c r="E5633" s="898" t="s">
        <v>108</v>
      </c>
      <c r="F5633" s="899"/>
      <c r="G5633" s="900"/>
      <c r="H5633" s="901"/>
      <c r="I5633" s="902"/>
      <c r="J5633" s="902"/>
      <c r="K5633" s="912" t="s">
        <v>274</v>
      </c>
      <c r="L5633" s="902"/>
      <c r="M5633" s="902"/>
      <c r="N5633" s="902"/>
      <c r="O5633" s="892">
        <f t="shared" si="354"/>
        <v>0</v>
      </c>
      <c r="P5633" s="903">
        <f t="shared" si="356"/>
        <v>1</v>
      </c>
      <c r="Q5633" s="893">
        <f t="shared" si="357"/>
        <v>6</v>
      </c>
      <c r="R5633" s="894">
        <f t="shared" si="358"/>
        <v>0</v>
      </c>
    </row>
    <row r="5634" spans="1:18">
      <c r="A5634" s="905"/>
      <c r="B5634" s="906"/>
      <c r="C5634" s="907">
        <v>25</v>
      </c>
      <c r="D5634" s="907" t="s">
        <v>279</v>
      </c>
      <c r="E5634" s="925" t="s">
        <v>5656</v>
      </c>
      <c r="F5634" s="926" t="s">
        <v>2690</v>
      </c>
      <c r="G5634" s="910"/>
      <c r="H5634" s="911">
        <v>0.2</v>
      </c>
      <c r="I5634" s="912">
        <f>VLOOKUP(E5634,[3]VLP!$B$7:$K$300,10,0)</f>
        <v>5000</v>
      </c>
      <c r="J5634" s="912">
        <f>I5634*H5634</f>
        <v>1000</v>
      </c>
      <c r="K5634" s="912" t="s">
        <v>274</v>
      </c>
      <c r="L5634" s="912"/>
      <c r="M5634" s="912"/>
      <c r="N5634" s="912"/>
      <c r="O5634" s="892">
        <f t="shared" si="354"/>
        <v>0</v>
      </c>
      <c r="P5634" s="903">
        <f t="shared" si="356"/>
        <v>1</v>
      </c>
      <c r="Q5634" s="893">
        <f t="shared" si="357"/>
        <v>5</v>
      </c>
      <c r="R5634" s="894">
        <f t="shared" si="358"/>
        <v>0</v>
      </c>
    </row>
    <row r="5635" spans="1:18">
      <c r="A5635" s="905"/>
      <c r="B5635" s="906"/>
      <c r="C5635" s="907">
        <v>66</v>
      </c>
      <c r="D5635" s="907" t="s">
        <v>279</v>
      </c>
      <c r="E5635" s="925" t="s">
        <v>2682</v>
      </c>
      <c r="F5635" s="926" t="s">
        <v>45</v>
      </c>
      <c r="G5635" s="910"/>
      <c r="H5635" s="911">
        <v>0.3</v>
      </c>
      <c r="I5635" s="912">
        <f>VLOOKUP(E5635,[3]VLP!$B$7:$K$300,10,0)</f>
        <v>5000</v>
      </c>
      <c r="J5635" s="912">
        <f>I5635*H5635</f>
        <v>1500</v>
      </c>
      <c r="K5635" s="912" t="s">
        <v>274</v>
      </c>
      <c r="L5635" s="912"/>
      <c r="M5635" s="912"/>
      <c r="N5635" s="912"/>
      <c r="O5635" s="892">
        <f t="shared" si="354"/>
        <v>0</v>
      </c>
      <c r="P5635" s="903">
        <f t="shared" si="356"/>
        <v>1</v>
      </c>
      <c r="Q5635" s="893">
        <f t="shared" si="357"/>
        <v>4</v>
      </c>
      <c r="R5635" s="894">
        <f t="shared" si="358"/>
        <v>0</v>
      </c>
    </row>
    <row r="5636" spans="1:18">
      <c r="A5636" s="905"/>
      <c r="B5636" s="906"/>
      <c r="C5636" s="907">
        <v>44</v>
      </c>
      <c r="D5636" s="907" t="s">
        <v>279</v>
      </c>
      <c r="E5636" s="925" t="s">
        <v>2681</v>
      </c>
      <c r="F5636" s="926" t="s">
        <v>45</v>
      </c>
      <c r="G5636" s="910"/>
      <c r="H5636" s="911">
        <v>0.7</v>
      </c>
      <c r="I5636" s="912">
        <f>VLOOKUP(E5636,[3]VLP!$B$7:$K$300,10,0)</f>
        <v>23000</v>
      </c>
      <c r="J5636" s="912">
        <f>I5636*H5636</f>
        <v>16099.999999999998</v>
      </c>
      <c r="K5636" s="912" t="s">
        <v>274</v>
      </c>
      <c r="L5636" s="912"/>
      <c r="M5636" s="912"/>
      <c r="N5636" s="912"/>
      <c r="O5636" s="892">
        <f t="shared" si="354"/>
        <v>0</v>
      </c>
      <c r="P5636" s="903">
        <f t="shared" si="356"/>
        <v>1</v>
      </c>
      <c r="Q5636" s="893">
        <f t="shared" si="357"/>
        <v>3</v>
      </c>
      <c r="R5636" s="894">
        <f t="shared" si="358"/>
        <v>0</v>
      </c>
    </row>
    <row r="5637" spans="1:18">
      <c r="A5637" s="905"/>
      <c r="B5637" s="906"/>
      <c r="C5637" s="907">
        <v>53</v>
      </c>
      <c r="D5637" s="907" t="s">
        <v>279</v>
      </c>
      <c r="E5637" s="925" t="s">
        <v>3191</v>
      </c>
      <c r="F5637" s="926" t="s">
        <v>49</v>
      </c>
      <c r="G5637" s="910"/>
      <c r="H5637" s="911">
        <v>11</v>
      </c>
      <c r="I5637" s="912">
        <f>VLOOKUP(E5637,[3]VLP!$B$7:$K$300,10,0)</f>
        <v>1137</v>
      </c>
      <c r="J5637" s="912">
        <f>I5637*H5637</f>
        <v>12507</v>
      </c>
      <c r="K5637" s="912" t="s">
        <v>274</v>
      </c>
      <c r="L5637" s="912"/>
      <c r="M5637" s="912"/>
      <c r="N5637" s="912"/>
      <c r="O5637" s="892">
        <f t="shared" si="354"/>
        <v>0</v>
      </c>
      <c r="P5637" s="903">
        <f t="shared" si="356"/>
        <v>1</v>
      </c>
      <c r="Q5637" s="893">
        <f t="shared" si="357"/>
        <v>2</v>
      </c>
      <c r="R5637" s="894">
        <f t="shared" si="358"/>
        <v>0</v>
      </c>
    </row>
    <row r="5638" spans="1:18">
      <c r="A5638" s="905"/>
      <c r="B5638" s="906"/>
      <c r="C5638" s="907">
        <v>740</v>
      </c>
      <c r="D5638" s="907" t="s">
        <v>12</v>
      </c>
      <c r="E5638" s="908" t="s">
        <v>4008</v>
      </c>
      <c r="F5638" s="909" t="s">
        <v>2674</v>
      </c>
      <c r="G5638" s="910"/>
      <c r="H5638" s="911">
        <v>4.13</v>
      </c>
      <c r="I5638" s="912"/>
      <c r="J5638" s="912"/>
      <c r="K5638" s="912">
        <f>VLOOKUP(E5638,[5]ĐMNC!$A$7:$F$67,4,0)</f>
        <v>221125</v>
      </c>
      <c r="L5638" s="912">
        <f>H5638*K5638</f>
        <v>913246.25</v>
      </c>
      <c r="M5638" s="912"/>
      <c r="N5638" s="912"/>
      <c r="O5638" s="892">
        <f t="shared" si="354"/>
        <v>0</v>
      </c>
      <c r="P5638" s="903">
        <f t="shared" si="356"/>
        <v>1</v>
      </c>
      <c r="Q5638" s="893">
        <f t="shared" si="357"/>
        <v>1</v>
      </c>
      <c r="R5638" s="894">
        <f t="shared" si="358"/>
        <v>0</v>
      </c>
    </row>
    <row r="5639" spans="1:18" s="847" customFormat="1">
      <c r="A5639" s="905"/>
      <c r="B5639" s="914" t="s">
        <v>5799</v>
      </c>
      <c r="C5639" s="915"/>
      <c r="D5639" s="915"/>
      <c r="E5639" s="916" t="s">
        <v>5800</v>
      </c>
      <c r="F5639" s="917" t="s">
        <v>43</v>
      </c>
      <c r="G5639" s="918"/>
      <c r="H5639" s="919"/>
      <c r="I5639" s="920"/>
      <c r="J5639" s="891">
        <f>SUM(J5640:J5645)</f>
        <v>34407</v>
      </c>
      <c r="K5639" s="891"/>
      <c r="L5639" s="891">
        <f>SUM(L5640:L5645)</f>
        <v>1216187.5</v>
      </c>
      <c r="M5639" s="891"/>
      <c r="N5639" s="891">
        <f>SUM(N5640:N5645)</f>
        <v>0</v>
      </c>
      <c r="O5639" s="892">
        <f t="shared" si="354"/>
        <v>1</v>
      </c>
      <c r="P5639" s="903">
        <f t="shared" si="356"/>
        <v>0</v>
      </c>
      <c r="Q5639" s="893">
        <f t="shared" si="357"/>
        <v>0</v>
      </c>
      <c r="R5639" s="894">
        <f t="shared" si="358"/>
        <v>6</v>
      </c>
    </row>
    <row r="5640" spans="1:18" s="904" customFormat="1">
      <c r="A5640" s="895"/>
      <c r="B5640" s="896"/>
      <c r="C5640" s="897"/>
      <c r="D5640" s="897"/>
      <c r="E5640" s="898" t="s">
        <v>108</v>
      </c>
      <c r="F5640" s="899"/>
      <c r="G5640" s="900"/>
      <c r="H5640" s="901"/>
      <c r="I5640" s="902"/>
      <c r="J5640" s="902"/>
      <c r="K5640" s="912" t="s">
        <v>274</v>
      </c>
      <c r="L5640" s="902"/>
      <c r="M5640" s="902"/>
      <c r="N5640" s="902"/>
      <c r="O5640" s="892">
        <f t="shared" si="354"/>
        <v>0</v>
      </c>
      <c r="P5640" s="903">
        <f t="shared" si="356"/>
        <v>1</v>
      </c>
      <c r="Q5640" s="893">
        <f t="shared" si="357"/>
        <v>6</v>
      </c>
      <c r="R5640" s="894">
        <f t="shared" si="358"/>
        <v>0</v>
      </c>
    </row>
    <row r="5641" spans="1:18">
      <c r="A5641" s="905"/>
      <c r="B5641" s="906"/>
      <c r="C5641" s="907">
        <v>25</v>
      </c>
      <c r="D5641" s="907" t="s">
        <v>279</v>
      </c>
      <c r="E5641" s="925" t="s">
        <v>5656</v>
      </c>
      <c r="F5641" s="926" t="s">
        <v>2690</v>
      </c>
      <c r="G5641" s="910"/>
      <c r="H5641" s="911">
        <v>0.3</v>
      </c>
      <c r="I5641" s="912">
        <f>VLOOKUP(E5641,[3]VLP!$B$7:$K$300,10,0)</f>
        <v>5000</v>
      </c>
      <c r="J5641" s="912">
        <f>I5641*H5641</f>
        <v>1500</v>
      </c>
      <c r="K5641" s="912" t="s">
        <v>274</v>
      </c>
      <c r="L5641" s="912"/>
      <c r="M5641" s="912"/>
      <c r="N5641" s="912"/>
      <c r="O5641" s="892">
        <f t="shared" si="354"/>
        <v>0</v>
      </c>
      <c r="P5641" s="903">
        <f t="shared" si="356"/>
        <v>1</v>
      </c>
      <c r="Q5641" s="893">
        <f t="shared" si="357"/>
        <v>5</v>
      </c>
      <c r="R5641" s="894">
        <f t="shared" si="358"/>
        <v>0</v>
      </c>
    </row>
    <row r="5642" spans="1:18">
      <c r="A5642" s="905"/>
      <c r="B5642" s="906"/>
      <c r="C5642" s="907">
        <v>66</v>
      </c>
      <c r="D5642" s="907" t="s">
        <v>279</v>
      </c>
      <c r="E5642" s="925" t="s">
        <v>2682</v>
      </c>
      <c r="F5642" s="926" t="s">
        <v>45</v>
      </c>
      <c r="G5642" s="910"/>
      <c r="H5642" s="911">
        <v>0.4</v>
      </c>
      <c r="I5642" s="912">
        <f>VLOOKUP(E5642,[3]VLP!$B$7:$K$300,10,0)</f>
        <v>5000</v>
      </c>
      <c r="J5642" s="912">
        <f>I5642*H5642</f>
        <v>2000</v>
      </c>
      <c r="K5642" s="912" t="s">
        <v>274</v>
      </c>
      <c r="L5642" s="912"/>
      <c r="M5642" s="912"/>
      <c r="N5642" s="912"/>
      <c r="O5642" s="892">
        <f t="shared" si="354"/>
        <v>0</v>
      </c>
      <c r="P5642" s="903">
        <f t="shared" si="356"/>
        <v>1</v>
      </c>
      <c r="Q5642" s="893">
        <f t="shared" si="357"/>
        <v>4</v>
      </c>
      <c r="R5642" s="894">
        <f t="shared" si="358"/>
        <v>0</v>
      </c>
    </row>
    <row r="5643" spans="1:18">
      <c r="A5643" s="905"/>
      <c r="B5643" s="906"/>
      <c r="C5643" s="907">
        <v>44</v>
      </c>
      <c r="D5643" s="907" t="s">
        <v>279</v>
      </c>
      <c r="E5643" s="925" t="s">
        <v>2681</v>
      </c>
      <c r="F5643" s="926" t="s">
        <v>45</v>
      </c>
      <c r="G5643" s="910"/>
      <c r="H5643" s="911">
        <v>0.8</v>
      </c>
      <c r="I5643" s="912">
        <f>VLOOKUP(E5643,[3]VLP!$B$7:$K$300,10,0)</f>
        <v>23000</v>
      </c>
      <c r="J5643" s="912">
        <f>I5643*H5643</f>
        <v>18400</v>
      </c>
      <c r="K5643" s="912" t="s">
        <v>274</v>
      </c>
      <c r="L5643" s="912"/>
      <c r="M5643" s="912"/>
      <c r="N5643" s="912"/>
      <c r="O5643" s="892">
        <f t="shared" si="354"/>
        <v>0</v>
      </c>
      <c r="P5643" s="903">
        <f t="shared" si="356"/>
        <v>1</v>
      </c>
      <c r="Q5643" s="893">
        <f t="shared" si="357"/>
        <v>3</v>
      </c>
      <c r="R5643" s="894">
        <f t="shared" si="358"/>
        <v>0</v>
      </c>
    </row>
    <row r="5644" spans="1:18">
      <c r="A5644" s="905"/>
      <c r="B5644" s="906"/>
      <c r="C5644" s="907">
        <v>53</v>
      </c>
      <c r="D5644" s="907" t="s">
        <v>279</v>
      </c>
      <c r="E5644" s="925" t="s">
        <v>3191</v>
      </c>
      <c r="F5644" s="926" t="s">
        <v>49</v>
      </c>
      <c r="G5644" s="910"/>
      <c r="H5644" s="911">
        <v>11</v>
      </c>
      <c r="I5644" s="912">
        <f>VLOOKUP(E5644,[3]VLP!$B$7:$K$300,10,0)</f>
        <v>1137</v>
      </c>
      <c r="J5644" s="912">
        <f>I5644*H5644</f>
        <v>12507</v>
      </c>
      <c r="K5644" s="912" t="s">
        <v>274</v>
      </c>
      <c r="L5644" s="912"/>
      <c r="M5644" s="912"/>
      <c r="N5644" s="912"/>
      <c r="O5644" s="892">
        <f t="shared" si="354"/>
        <v>0</v>
      </c>
      <c r="P5644" s="903">
        <f t="shared" si="356"/>
        <v>1</v>
      </c>
      <c r="Q5644" s="893">
        <f t="shared" si="357"/>
        <v>2</v>
      </c>
      <c r="R5644" s="894">
        <f t="shared" si="358"/>
        <v>0</v>
      </c>
    </row>
    <row r="5645" spans="1:18">
      <c r="A5645" s="905"/>
      <c r="B5645" s="906"/>
      <c r="C5645" s="907">
        <v>740</v>
      </c>
      <c r="D5645" s="907" t="s">
        <v>12</v>
      </c>
      <c r="E5645" s="908" t="s">
        <v>4008</v>
      </c>
      <c r="F5645" s="909" t="s">
        <v>2674</v>
      </c>
      <c r="G5645" s="910"/>
      <c r="H5645" s="911">
        <v>5.5</v>
      </c>
      <c r="I5645" s="912"/>
      <c r="J5645" s="912"/>
      <c r="K5645" s="912">
        <f>VLOOKUP(E5645,[5]ĐMNC!$A$7:$F$67,4,0)</f>
        <v>221125</v>
      </c>
      <c r="L5645" s="912">
        <f>H5645*K5645</f>
        <v>1216187.5</v>
      </c>
      <c r="M5645" s="912"/>
      <c r="N5645" s="912"/>
      <c r="O5645" s="892">
        <f t="shared" si="354"/>
        <v>0</v>
      </c>
      <c r="P5645" s="903">
        <f t="shared" si="356"/>
        <v>1</v>
      </c>
      <c r="Q5645" s="893">
        <f t="shared" si="357"/>
        <v>1</v>
      </c>
      <c r="R5645" s="894">
        <f t="shared" si="358"/>
        <v>0</v>
      </c>
    </row>
    <row r="5646" spans="1:18" s="847" customFormat="1">
      <c r="A5646" s="905"/>
      <c r="B5646" s="914" t="s">
        <v>5801</v>
      </c>
      <c r="C5646" s="915"/>
      <c r="D5646" s="915"/>
      <c r="E5646" s="916" t="s">
        <v>5802</v>
      </c>
      <c r="F5646" s="917" t="s">
        <v>43</v>
      </c>
      <c r="G5646" s="918"/>
      <c r="H5646" s="919"/>
      <c r="I5646" s="920"/>
      <c r="J5646" s="891">
        <f>SUM(J5647:J5652)</f>
        <v>34407</v>
      </c>
      <c r="K5646" s="891"/>
      <c r="L5646" s="891">
        <f>SUM(L5647:L5652)</f>
        <v>1550086.25</v>
      </c>
      <c r="M5646" s="891"/>
      <c r="N5646" s="891">
        <f>SUM(N5647:N5652)</f>
        <v>0</v>
      </c>
      <c r="O5646" s="892">
        <f t="shared" si="354"/>
        <v>1</v>
      </c>
      <c r="P5646" s="903">
        <f t="shared" si="356"/>
        <v>0</v>
      </c>
      <c r="Q5646" s="893">
        <f t="shared" si="357"/>
        <v>0</v>
      </c>
      <c r="R5646" s="894">
        <f t="shared" si="358"/>
        <v>6</v>
      </c>
    </row>
    <row r="5647" spans="1:18" s="904" customFormat="1">
      <c r="A5647" s="895"/>
      <c r="B5647" s="896"/>
      <c r="C5647" s="897"/>
      <c r="D5647" s="897"/>
      <c r="E5647" s="898" t="s">
        <v>108</v>
      </c>
      <c r="F5647" s="899"/>
      <c r="G5647" s="900"/>
      <c r="H5647" s="901"/>
      <c r="I5647" s="902"/>
      <c r="J5647" s="902"/>
      <c r="K5647" s="912" t="s">
        <v>274</v>
      </c>
      <c r="L5647" s="902"/>
      <c r="M5647" s="902"/>
      <c r="N5647" s="902"/>
      <c r="O5647" s="892">
        <f t="shared" si="354"/>
        <v>0</v>
      </c>
      <c r="P5647" s="903">
        <f t="shared" si="356"/>
        <v>1</v>
      </c>
      <c r="Q5647" s="893">
        <f t="shared" si="357"/>
        <v>6</v>
      </c>
      <c r="R5647" s="894">
        <f t="shared" si="358"/>
        <v>0</v>
      </c>
    </row>
    <row r="5648" spans="1:18">
      <c r="A5648" s="905"/>
      <c r="B5648" s="906"/>
      <c r="C5648" s="907">
        <v>25</v>
      </c>
      <c r="D5648" s="907" t="s">
        <v>279</v>
      </c>
      <c r="E5648" s="925" t="s">
        <v>5656</v>
      </c>
      <c r="F5648" s="926" t="s">
        <v>2690</v>
      </c>
      <c r="G5648" s="910"/>
      <c r="H5648" s="911">
        <v>0.3</v>
      </c>
      <c r="I5648" s="912">
        <f>VLOOKUP(E5648,[3]VLP!$B$7:$K$300,10,0)</f>
        <v>5000</v>
      </c>
      <c r="J5648" s="912">
        <f>I5648*H5648</f>
        <v>1500</v>
      </c>
      <c r="K5648" s="912" t="s">
        <v>274</v>
      </c>
      <c r="L5648" s="912"/>
      <c r="M5648" s="912"/>
      <c r="N5648" s="912"/>
      <c r="O5648" s="892">
        <f t="shared" si="354"/>
        <v>0</v>
      </c>
      <c r="P5648" s="903">
        <f t="shared" si="356"/>
        <v>1</v>
      </c>
      <c r="Q5648" s="893">
        <f t="shared" si="357"/>
        <v>5</v>
      </c>
      <c r="R5648" s="894">
        <f t="shared" si="358"/>
        <v>0</v>
      </c>
    </row>
    <row r="5649" spans="1:18">
      <c r="A5649" s="905"/>
      <c r="B5649" s="906"/>
      <c r="C5649" s="907">
        <v>66</v>
      </c>
      <c r="D5649" s="907" t="s">
        <v>279</v>
      </c>
      <c r="E5649" s="925" t="s">
        <v>2682</v>
      </c>
      <c r="F5649" s="926" t="s">
        <v>45</v>
      </c>
      <c r="G5649" s="910"/>
      <c r="H5649" s="911">
        <v>0.4</v>
      </c>
      <c r="I5649" s="912">
        <f>VLOOKUP(E5649,[3]VLP!$B$7:$K$300,10,0)</f>
        <v>5000</v>
      </c>
      <c r="J5649" s="912">
        <f>I5649*H5649</f>
        <v>2000</v>
      </c>
      <c r="K5649" s="912" t="s">
        <v>274</v>
      </c>
      <c r="L5649" s="912"/>
      <c r="M5649" s="912"/>
      <c r="N5649" s="912"/>
      <c r="O5649" s="892">
        <f t="shared" si="354"/>
        <v>0</v>
      </c>
      <c r="P5649" s="903">
        <f t="shared" si="356"/>
        <v>1</v>
      </c>
      <c r="Q5649" s="893">
        <f t="shared" si="357"/>
        <v>4</v>
      </c>
      <c r="R5649" s="894">
        <f t="shared" si="358"/>
        <v>0</v>
      </c>
    </row>
    <row r="5650" spans="1:18">
      <c r="A5650" s="905"/>
      <c r="B5650" s="906"/>
      <c r="C5650" s="907">
        <v>44</v>
      </c>
      <c r="D5650" s="907" t="s">
        <v>279</v>
      </c>
      <c r="E5650" s="925" t="s">
        <v>2681</v>
      </c>
      <c r="F5650" s="926" t="s">
        <v>45</v>
      </c>
      <c r="G5650" s="910"/>
      <c r="H5650" s="911">
        <v>0.8</v>
      </c>
      <c r="I5650" s="912">
        <f>VLOOKUP(E5650,[3]VLP!$B$7:$K$300,10,0)</f>
        <v>23000</v>
      </c>
      <c r="J5650" s="912">
        <f>I5650*H5650</f>
        <v>18400</v>
      </c>
      <c r="K5650" s="912" t="s">
        <v>274</v>
      </c>
      <c r="L5650" s="912"/>
      <c r="M5650" s="912"/>
      <c r="N5650" s="912"/>
      <c r="O5650" s="892">
        <f t="shared" si="354"/>
        <v>0</v>
      </c>
      <c r="P5650" s="903">
        <f t="shared" si="356"/>
        <v>1</v>
      </c>
      <c r="Q5650" s="893">
        <f t="shared" si="357"/>
        <v>3</v>
      </c>
      <c r="R5650" s="894">
        <f t="shared" si="358"/>
        <v>0</v>
      </c>
    </row>
    <row r="5651" spans="1:18">
      <c r="A5651" s="905"/>
      <c r="B5651" s="906"/>
      <c r="C5651" s="907">
        <v>53</v>
      </c>
      <c r="D5651" s="907" t="s">
        <v>279</v>
      </c>
      <c r="E5651" s="925" t="s">
        <v>3191</v>
      </c>
      <c r="F5651" s="926" t="s">
        <v>49</v>
      </c>
      <c r="G5651" s="910"/>
      <c r="H5651" s="911">
        <v>11</v>
      </c>
      <c r="I5651" s="912">
        <f>VLOOKUP(E5651,[3]VLP!$B$7:$K$300,10,0)</f>
        <v>1137</v>
      </c>
      <c r="J5651" s="912">
        <f>I5651*H5651</f>
        <v>12507</v>
      </c>
      <c r="K5651" s="912" t="s">
        <v>274</v>
      </c>
      <c r="L5651" s="912"/>
      <c r="M5651" s="912"/>
      <c r="N5651" s="912"/>
      <c r="O5651" s="892">
        <f t="shared" si="354"/>
        <v>0</v>
      </c>
      <c r="P5651" s="903">
        <f t="shared" si="356"/>
        <v>1</v>
      </c>
      <c r="Q5651" s="893">
        <f t="shared" si="357"/>
        <v>2</v>
      </c>
      <c r="R5651" s="894">
        <f t="shared" si="358"/>
        <v>0</v>
      </c>
    </row>
    <row r="5652" spans="1:18">
      <c r="A5652" s="905"/>
      <c r="B5652" s="906"/>
      <c r="C5652" s="907">
        <v>740</v>
      </c>
      <c r="D5652" s="907" t="s">
        <v>12</v>
      </c>
      <c r="E5652" s="908" t="s">
        <v>4008</v>
      </c>
      <c r="F5652" s="909" t="s">
        <v>2674</v>
      </c>
      <c r="G5652" s="910"/>
      <c r="H5652" s="911">
        <v>7.01</v>
      </c>
      <c r="I5652" s="912"/>
      <c r="J5652" s="912"/>
      <c r="K5652" s="912">
        <f>VLOOKUP(E5652,[5]ĐMNC!$A$7:$F$67,4,0)</f>
        <v>221125</v>
      </c>
      <c r="L5652" s="912">
        <f>H5652*K5652</f>
        <v>1550086.25</v>
      </c>
      <c r="M5652" s="912"/>
      <c r="N5652" s="912"/>
      <c r="O5652" s="892">
        <f t="shared" si="354"/>
        <v>0</v>
      </c>
      <c r="P5652" s="903">
        <f t="shared" si="356"/>
        <v>1</v>
      </c>
      <c r="Q5652" s="893">
        <f t="shared" si="357"/>
        <v>1</v>
      </c>
      <c r="R5652" s="894">
        <f t="shared" si="358"/>
        <v>0</v>
      </c>
    </row>
    <row r="5653" spans="1:18" s="847" customFormat="1">
      <c r="A5653" s="905"/>
      <c r="B5653" s="914" t="s">
        <v>5803</v>
      </c>
      <c r="C5653" s="915"/>
      <c r="D5653" s="915"/>
      <c r="E5653" s="916" t="s">
        <v>5804</v>
      </c>
      <c r="F5653" s="917" t="s">
        <v>43</v>
      </c>
      <c r="G5653" s="918"/>
      <c r="H5653" s="919"/>
      <c r="I5653" s="920"/>
      <c r="J5653" s="891">
        <f>SUM(J5654:J5659)</f>
        <v>50203</v>
      </c>
      <c r="K5653" s="891"/>
      <c r="L5653" s="891">
        <f>SUM(L5654:L5659)</f>
        <v>2007815</v>
      </c>
      <c r="M5653" s="891"/>
      <c r="N5653" s="891">
        <f>SUM(N5654:N5659)</f>
        <v>0</v>
      </c>
      <c r="O5653" s="892">
        <f t="shared" si="354"/>
        <v>1</v>
      </c>
      <c r="P5653" s="903">
        <f t="shared" si="356"/>
        <v>0</v>
      </c>
      <c r="Q5653" s="893">
        <f t="shared" si="357"/>
        <v>0</v>
      </c>
      <c r="R5653" s="894">
        <f t="shared" si="358"/>
        <v>6</v>
      </c>
    </row>
    <row r="5654" spans="1:18" s="904" customFormat="1">
      <c r="A5654" s="895"/>
      <c r="B5654" s="896"/>
      <c r="C5654" s="897"/>
      <c r="D5654" s="897"/>
      <c r="E5654" s="898" t="s">
        <v>108</v>
      </c>
      <c r="F5654" s="899"/>
      <c r="G5654" s="900"/>
      <c r="H5654" s="901"/>
      <c r="I5654" s="902"/>
      <c r="J5654" s="902"/>
      <c r="K5654" s="912" t="s">
        <v>274</v>
      </c>
      <c r="L5654" s="902"/>
      <c r="M5654" s="902"/>
      <c r="N5654" s="902"/>
      <c r="O5654" s="892">
        <f t="shared" si="354"/>
        <v>0</v>
      </c>
      <c r="P5654" s="903">
        <f t="shared" si="356"/>
        <v>1</v>
      </c>
      <c r="Q5654" s="893">
        <f t="shared" si="357"/>
        <v>6</v>
      </c>
      <c r="R5654" s="894">
        <f t="shared" si="358"/>
        <v>0</v>
      </c>
    </row>
    <row r="5655" spans="1:18">
      <c r="A5655" s="905"/>
      <c r="B5655" s="906"/>
      <c r="C5655" s="907">
        <v>25</v>
      </c>
      <c r="D5655" s="907" t="s">
        <v>279</v>
      </c>
      <c r="E5655" s="925" t="s">
        <v>5656</v>
      </c>
      <c r="F5655" s="926" t="s">
        <v>2690</v>
      </c>
      <c r="G5655" s="910"/>
      <c r="H5655" s="911">
        <v>0.4</v>
      </c>
      <c r="I5655" s="912">
        <f>VLOOKUP(E5655,[3]VLP!$B$7:$K$300,10,0)</f>
        <v>5000</v>
      </c>
      <c r="J5655" s="912">
        <f>I5655*H5655</f>
        <v>2000</v>
      </c>
      <c r="K5655" s="912" t="s">
        <v>274</v>
      </c>
      <c r="L5655" s="912"/>
      <c r="M5655" s="912"/>
      <c r="N5655" s="912"/>
      <c r="O5655" s="892">
        <f t="shared" si="354"/>
        <v>0</v>
      </c>
      <c r="P5655" s="903">
        <f t="shared" si="356"/>
        <v>1</v>
      </c>
      <c r="Q5655" s="893">
        <f t="shared" si="357"/>
        <v>5</v>
      </c>
      <c r="R5655" s="894">
        <f t="shared" si="358"/>
        <v>0</v>
      </c>
    </row>
    <row r="5656" spans="1:18">
      <c r="A5656" s="905"/>
      <c r="B5656" s="906"/>
      <c r="C5656" s="907">
        <v>66</v>
      </c>
      <c r="D5656" s="907" t="s">
        <v>279</v>
      </c>
      <c r="E5656" s="925" t="s">
        <v>2682</v>
      </c>
      <c r="F5656" s="926" t="s">
        <v>45</v>
      </c>
      <c r="G5656" s="910"/>
      <c r="H5656" s="911">
        <v>0.5</v>
      </c>
      <c r="I5656" s="912">
        <f>VLOOKUP(E5656,[3]VLP!$B$7:$K$300,10,0)</f>
        <v>5000</v>
      </c>
      <c r="J5656" s="912">
        <f>I5656*H5656</f>
        <v>2500</v>
      </c>
      <c r="K5656" s="912" t="s">
        <v>274</v>
      </c>
      <c r="L5656" s="912"/>
      <c r="M5656" s="912"/>
      <c r="N5656" s="912"/>
      <c r="O5656" s="892">
        <f t="shared" si="354"/>
        <v>0</v>
      </c>
      <c r="P5656" s="903">
        <f t="shared" si="356"/>
        <v>1</v>
      </c>
      <c r="Q5656" s="893">
        <f t="shared" si="357"/>
        <v>4</v>
      </c>
      <c r="R5656" s="894">
        <f t="shared" si="358"/>
        <v>0</v>
      </c>
    </row>
    <row r="5657" spans="1:18">
      <c r="A5657" s="905"/>
      <c r="B5657" s="906"/>
      <c r="C5657" s="907">
        <v>44</v>
      </c>
      <c r="D5657" s="907" t="s">
        <v>279</v>
      </c>
      <c r="E5657" s="925" t="s">
        <v>2681</v>
      </c>
      <c r="F5657" s="926" t="s">
        <v>45</v>
      </c>
      <c r="G5657" s="910"/>
      <c r="H5657" s="911">
        <v>0.9</v>
      </c>
      <c r="I5657" s="912">
        <f>VLOOKUP(E5657,[3]VLP!$B$7:$K$300,10,0)</f>
        <v>23000</v>
      </c>
      <c r="J5657" s="912">
        <f>I5657*H5657</f>
        <v>20700</v>
      </c>
      <c r="K5657" s="912" t="s">
        <v>274</v>
      </c>
      <c r="L5657" s="912"/>
      <c r="M5657" s="912"/>
      <c r="N5657" s="912"/>
      <c r="O5657" s="892">
        <f t="shared" si="354"/>
        <v>0</v>
      </c>
      <c r="P5657" s="903">
        <f t="shared" si="356"/>
        <v>1</v>
      </c>
      <c r="Q5657" s="893">
        <f t="shared" si="357"/>
        <v>3</v>
      </c>
      <c r="R5657" s="894">
        <f t="shared" si="358"/>
        <v>0</v>
      </c>
    </row>
    <row r="5658" spans="1:18">
      <c r="A5658" s="905"/>
      <c r="B5658" s="906"/>
      <c r="C5658" s="907">
        <v>56</v>
      </c>
      <c r="D5658" s="907" t="s">
        <v>279</v>
      </c>
      <c r="E5658" s="925" t="s">
        <v>3192</v>
      </c>
      <c r="F5658" s="926" t="s">
        <v>49</v>
      </c>
      <c r="G5658" s="910"/>
      <c r="H5658" s="911">
        <v>11</v>
      </c>
      <c r="I5658" s="912">
        <f>VLOOKUP(E5658,[3]VLP!$B$7:$K$300,10,0)</f>
        <v>2273</v>
      </c>
      <c r="J5658" s="912">
        <f>I5658*H5658</f>
        <v>25003</v>
      </c>
      <c r="K5658" s="912" t="s">
        <v>274</v>
      </c>
      <c r="L5658" s="912"/>
      <c r="M5658" s="912"/>
      <c r="N5658" s="912"/>
      <c r="O5658" s="892">
        <f t="shared" si="354"/>
        <v>0</v>
      </c>
      <c r="P5658" s="903">
        <f t="shared" si="356"/>
        <v>1</v>
      </c>
      <c r="Q5658" s="893">
        <f t="shared" si="357"/>
        <v>2</v>
      </c>
      <c r="R5658" s="894">
        <f t="shared" si="358"/>
        <v>0</v>
      </c>
    </row>
    <row r="5659" spans="1:18">
      <c r="A5659" s="905"/>
      <c r="B5659" s="906"/>
      <c r="C5659" s="907">
        <v>740</v>
      </c>
      <c r="D5659" s="907" t="s">
        <v>12</v>
      </c>
      <c r="E5659" s="908" t="s">
        <v>4008</v>
      </c>
      <c r="F5659" s="909" t="s">
        <v>2674</v>
      </c>
      <c r="G5659" s="910"/>
      <c r="H5659" s="911">
        <v>9.08</v>
      </c>
      <c r="I5659" s="912"/>
      <c r="J5659" s="912"/>
      <c r="K5659" s="912">
        <f>VLOOKUP(E5659,[5]ĐMNC!$A$7:$F$67,4,0)</f>
        <v>221125</v>
      </c>
      <c r="L5659" s="912">
        <f>H5659*K5659</f>
        <v>2007815</v>
      </c>
      <c r="M5659" s="912"/>
      <c r="N5659" s="912"/>
      <c r="O5659" s="892">
        <f t="shared" si="354"/>
        <v>0</v>
      </c>
      <c r="P5659" s="903">
        <f t="shared" si="356"/>
        <v>1</v>
      </c>
      <c r="Q5659" s="893">
        <f t="shared" si="357"/>
        <v>1</v>
      </c>
      <c r="R5659" s="894">
        <f t="shared" si="358"/>
        <v>0</v>
      </c>
    </row>
    <row r="5660" spans="1:18" s="847" customFormat="1">
      <c r="A5660" s="905"/>
      <c r="B5660" s="914" t="s">
        <v>5805</v>
      </c>
      <c r="C5660" s="915"/>
      <c r="D5660" s="915"/>
      <c r="E5660" s="916" t="s">
        <v>5806</v>
      </c>
      <c r="F5660" s="917" t="s">
        <v>43</v>
      </c>
      <c r="G5660" s="918"/>
      <c r="H5660" s="919"/>
      <c r="I5660" s="920"/>
      <c r="J5660" s="891">
        <f>SUM(J5661:J5666)</f>
        <v>50203</v>
      </c>
      <c r="K5660" s="891"/>
      <c r="L5660" s="891">
        <f>SUM(L5661:L5666)</f>
        <v>2463332.5</v>
      </c>
      <c r="M5660" s="891"/>
      <c r="N5660" s="891">
        <f>SUM(N5661:N5666)</f>
        <v>0</v>
      </c>
      <c r="O5660" s="892">
        <f t="shared" si="354"/>
        <v>1</v>
      </c>
      <c r="P5660" s="903">
        <f t="shared" si="356"/>
        <v>0</v>
      </c>
      <c r="Q5660" s="893">
        <f t="shared" si="357"/>
        <v>0</v>
      </c>
      <c r="R5660" s="894">
        <f t="shared" si="358"/>
        <v>6</v>
      </c>
    </row>
    <row r="5661" spans="1:18" s="904" customFormat="1">
      <c r="A5661" s="895"/>
      <c r="B5661" s="896"/>
      <c r="C5661" s="897"/>
      <c r="D5661" s="897"/>
      <c r="E5661" s="898" t="s">
        <v>108</v>
      </c>
      <c r="F5661" s="899"/>
      <c r="G5661" s="900"/>
      <c r="H5661" s="901"/>
      <c r="I5661" s="902"/>
      <c r="J5661" s="902"/>
      <c r="K5661" s="912" t="s">
        <v>274</v>
      </c>
      <c r="L5661" s="902"/>
      <c r="M5661" s="902"/>
      <c r="N5661" s="902"/>
      <c r="O5661" s="892">
        <f t="shared" si="354"/>
        <v>0</v>
      </c>
      <c r="P5661" s="903">
        <f t="shared" si="356"/>
        <v>1</v>
      </c>
      <c r="Q5661" s="893">
        <f t="shared" si="357"/>
        <v>6</v>
      </c>
      <c r="R5661" s="894">
        <f t="shared" si="358"/>
        <v>0</v>
      </c>
    </row>
    <row r="5662" spans="1:18">
      <c r="A5662" s="905"/>
      <c r="B5662" s="906"/>
      <c r="C5662" s="907">
        <v>25</v>
      </c>
      <c r="D5662" s="907" t="s">
        <v>279</v>
      </c>
      <c r="E5662" s="925" t="s">
        <v>5656</v>
      </c>
      <c r="F5662" s="926" t="s">
        <v>2690</v>
      </c>
      <c r="G5662" s="910"/>
      <c r="H5662" s="911">
        <v>0.4</v>
      </c>
      <c r="I5662" s="912">
        <f>VLOOKUP(E5662,[3]VLP!$B$7:$K$300,10,0)</f>
        <v>5000</v>
      </c>
      <c r="J5662" s="912">
        <f>I5662*H5662</f>
        <v>2000</v>
      </c>
      <c r="K5662" s="912" t="s">
        <v>274</v>
      </c>
      <c r="L5662" s="912"/>
      <c r="M5662" s="912"/>
      <c r="N5662" s="912"/>
      <c r="O5662" s="892">
        <f t="shared" si="354"/>
        <v>0</v>
      </c>
      <c r="P5662" s="903">
        <f t="shared" si="356"/>
        <v>1</v>
      </c>
      <c r="Q5662" s="893">
        <f t="shared" si="357"/>
        <v>5</v>
      </c>
      <c r="R5662" s="894">
        <f t="shared" si="358"/>
        <v>0</v>
      </c>
    </row>
    <row r="5663" spans="1:18">
      <c r="A5663" s="905"/>
      <c r="B5663" s="906"/>
      <c r="C5663" s="907">
        <v>66</v>
      </c>
      <c r="D5663" s="907" t="s">
        <v>279</v>
      </c>
      <c r="E5663" s="925" t="s">
        <v>2682</v>
      </c>
      <c r="F5663" s="926" t="s">
        <v>45</v>
      </c>
      <c r="G5663" s="910"/>
      <c r="H5663" s="911">
        <v>0.5</v>
      </c>
      <c r="I5663" s="912">
        <f>VLOOKUP(E5663,[3]VLP!$B$7:$K$300,10,0)</f>
        <v>5000</v>
      </c>
      <c r="J5663" s="912">
        <f>I5663*H5663</f>
        <v>2500</v>
      </c>
      <c r="K5663" s="912" t="s">
        <v>274</v>
      </c>
      <c r="L5663" s="912"/>
      <c r="M5663" s="912"/>
      <c r="N5663" s="912"/>
      <c r="O5663" s="892">
        <f t="shared" ref="O5663:O5726" si="359">IF(AND(B5663&lt;&gt;"",D5663=""),1,0)</f>
        <v>0</v>
      </c>
      <c r="P5663" s="903">
        <f t="shared" si="356"/>
        <v>1</v>
      </c>
      <c r="Q5663" s="893">
        <f t="shared" si="357"/>
        <v>4</v>
      </c>
      <c r="R5663" s="894">
        <f t="shared" si="358"/>
        <v>0</v>
      </c>
    </row>
    <row r="5664" spans="1:18">
      <c r="A5664" s="905"/>
      <c r="B5664" s="906"/>
      <c r="C5664" s="907">
        <v>44</v>
      </c>
      <c r="D5664" s="907" t="s">
        <v>279</v>
      </c>
      <c r="E5664" s="925" t="s">
        <v>2681</v>
      </c>
      <c r="F5664" s="926" t="s">
        <v>45</v>
      </c>
      <c r="G5664" s="910"/>
      <c r="H5664" s="911">
        <v>0.9</v>
      </c>
      <c r="I5664" s="912">
        <f>VLOOKUP(E5664,[3]VLP!$B$7:$K$300,10,0)</f>
        <v>23000</v>
      </c>
      <c r="J5664" s="912">
        <f>I5664*H5664</f>
        <v>20700</v>
      </c>
      <c r="K5664" s="912" t="s">
        <v>274</v>
      </c>
      <c r="L5664" s="912"/>
      <c r="M5664" s="912"/>
      <c r="N5664" s="912"/>
      <c r="O5664" s="892">
        <f t="shared" si="359"/>
        <v>0</v>
      </c>
      <c r="P5664" s="903">
        <f t="shared" si="356"/>
        <v>1</v>
      </c>
      <c r="Q5664" s="893">
        <f t="shared" si="357"/>
        <v>3</v>
      </c>
      <c r="R5664" s="894">
        <f t="shared" si="358"/>
        <v>0</v>
      </c>
    </row>
    <row r="5665" spans="1:18">
      <c r="A5665" s="905"/>
      <c r="B5665" s="906"/>
      <c r="C5665" s="907">
        <v>56</v>
      </c>
      <c r="D5665" s="907" t="s">
        <v>279</v>
      </c>
      <c r="E5665" s="925" t="s">
        <v>3192</v>
      </c>
      <c r="F5665" s="926" t="s">
        <v>49</v>
      </c>
      <c r="G5665" s="910"/>
      <c r="H5665" s="911">
        <v>11</v>
      </c>
      <c r="I5665" s="912">
        <f>VLOOKUP(E5665,[3]VLP!$B$7:$K$300,10,0)</f>
        <v>2273</v>
      </c>
      <c r="J5665" s="912">
        <f>I5665*H5665</f>
        <v>25003</v>
      </c>
      <c r="K5665" s="912" t="s">
        <v>274</v>
      </c>
      <c r="L5665" s="912"/>
      <c r="M5665" s="912"/>
      <c r="N5665" s="912"/>
      <c r="O5665" s="892">
        <f t="shared" si="359"/>
        <v>0</v>
      </c>
      <c r="P5665" s="903">
        <f t="shared" si="356"/>
        <v>1</v>
      </c>
      <c r="Q5665" s="893">
        <f t="shared" si="357"/>
        <v>2</v>
      </c>
      <c r="R5665" s="894">
        <f t="shared" si="358"/>
        <v>0</v>
      </c>
    </row>
    <row r="5666" spans="1:18">
      <c r="A5666" s="905"/>
      <c r="B5666" s="906"/>
      <c r="C5666" s="907">
        <v>740</v>
      </c>
      <c r="D5666" s="907" t="s">
        <v>12</v>
      </c>
      <c r="E5666" s="908" t="s">
        <v>4008</v>
      </c>
      <c r="F5666" s="909" t="s">
        <v>2674</v>
      </c>
      <c r="G5666" s="910"/>
      <c r="H5666" s="911">
        <v>11.14</v>
      </c>
      <c r="I5666" s="912"/>
      <c r="J5666" s="912"/>
      <c r="K5666" s="912">
        <f>VLOOKUP(E5666,[5]ĐMNC!$A$7:$F$67,4,0)</f>
        <v>221125</v>
      </c>
      <c r="L5666" s="912">
        <f>H5666*K5666</f>
        <v>2463332.5</v>
      </c>
      <c r="M5666" s="912"/>
      <c r="N5666" s="912"/>
      <c r="O5666" s="892">
        <f t="shared" si="359"/>
        <v>0</v>
      </c>
      <c r="P5666" s="903">
        <f t="shared" si="356"/>
        <v>1</v>
      </c>
      <c r="Q5666" s="893">
        <f t="shared" si="357"/>
        <v>1</v>
      </c>
      <c r="R5666" s="894">
        <f t="shared" si="358"/>
        <v>0</v>
      </c>
    </row>
    <row r="5667" spans="1:18" s="847" customFormat="1">
      <c r="A5667" s="905"/>
      <c r="B5667" s="914" t="s">
        <v>3529</v>
      </c>
      <c r="C5667" s="915"/>
      <c r="D5667" s="915"/>
      <c r="E5667" s="916" t="s">
        <v>5807</v>
      </c>
      <c r="F5667" s="917" t="s">
        <v>43</v>
      </c>
      <c r="G5667" s="918"/>
      <c r="H5667" s="919"/>
      <c r="I5667" s="920"/>
      <c r="J5667" s="891">
        <f>SUM(J5668:J5673)</f>
        <v>53003</v>
      </c>
      <c r="K5667" s="891"/>
      <c r="L5667" s="891">
        <f>SUM(L5668:L5673)</f>
        <v>2980765</v>
      </c>
      <c r="M5667" s="891"/>
      <c r="N5667" s="891">
        <f>SUM(N5668:N5673)</f>
        <v>0</v>
      </c>
      <c r="O5667" s="892">
        <f t="shared" si="359"/>
        <v>1</v>
      </c>
      <c r="P5667" s="903">
        <f t="shared" si="356"/>
        <v>0</v>
      </c>
      <c r="Q5667" s="893">
        <f t="shared" si="357"/>
        <v>0</v>
      </c>
      <c r="R5667" s="894">
        <f t="shared" si="358"/>
        <v>6</v>
      </c>
    </row>
    <row r="5668" spans="1:18" s="904" customFormat="1">
      <c r="A5668" s="895"/>
      <c r="B5668" s="896"/>
      <c r="C5668" s="897"/>
      <c r="D5668" s="897"/>
      <c r="E5668" s="898" t="s">
        <v>108</v>
      </c>
      <c r="F5668" s="899"/>
      <c r="G5668" s="900"/>
      <c r="H5668" s="901"/>
      <c r="I5668" s="902"/>
      <c r="J5668" s="902"/>
      <c r="K5668" s="912" t="s">
        <v>274</v>
      </c>
      <c r="L5668" s="902"/>
      <c r="M5668" s="902"/>
      <c r="N5668" s="902"/>
      <c r="O5668" s="892">
        <f t="shared" si="359"/>
        <v>0</v>
      </c>
      <c r="P5668" s="903">
        <f t="shared" si="356"/>
        <v>1</v>
      </c>
      <c r="Q5668" s="893">
        <f t="shared" si="357"/>
        <v>6</v>
      </c>
      <c r="R5668" s="894">
        <f t="shared" si="358"/>
        <v>0</v>
      </c>
    </row>
    <row r="5669" spans="1:18">
      <c r="A5669" s="905"/>
      <c r="B5669" s="906"/>
      <c r="C5669" s="907">
        <v>25</v>
      </c>
      <c r="D5669" s="907" t="s">
        <v>279</v>
      </c>
      <c r="E5669" s="925" t="s">
        <v>5656</v>
      </c>
      <c r="F5669" s="926" t="s">
        <v>2690</v>
      </c>
      <c r="G5669" s="910"/>
      <c r="H5669" s="911">
        <v>0.4</v>
      </c>
      <c r="I5669" s="912">
        <f>VLOOKUP(E5669,[3]VLP!$B$7:$K$300,10,0)</f>
        <v>5000</v>
      </c>
      <c r="J5669" s="912">
        <f>I5669*H5669</f>
        <v>2000</v>
      </c>
      <c r="K5669" s="912" t="s">
        <v>274</v>
      </c>
      <c r="L5669" s="912"/>
      <c r="M5669" s="912"/>
      <c r="N5669" s="912"/>
      <c r="O5669" s="892">
        <f t="shared" si="359"/>
        <v>0</v>
      </c>
      <c r="P5669" s="903">
        <f t="shared" si="356"/>
        <v>1</v>
      </c>
      <c r="Q5669" s="893">
        <f t="shared" si="357"/>
        <v>5</v>
      </c>
      <c r="R5669" s="894">
        <f t="shared" si="358"/>
        <v>0</v>
      </c>
    </row>
    <row r="5670" spans="1:18">
      <c r="A5670" s="905"/>
      <c r="B5670" s="906"/>
      <c r="C5670" s="907">
        <v>66</v>
      </c>
      <c r="D5670" s="907" t="s">
        <v>279</v>
      </c>
      <c r="E5670" s="925" t="s">
        <v>2682</v>
      </c>
      <c r="F5670" s="926" t="s">
        <v>45</v>
      </c>
      <c r="G5670" s="910"/>
      <c r="H5670" s="911">
        <v>0.6</v>
      </c>
      <c r="I5670" s="912">
        <f>VLOOKUP(E5670,[3]VLP!$B$7:$K$300,10,0)</f>
        <v>5000</v>
      </c>
      <c r="J5670" s="912">
        <f>I5670*H5670</f>
        <v>3000</v>
      </c>
      <c r="K5670" s="912" t="s">
        <v>274</v>
      </c>
      <c r="L5670" s="912"/>
      <c r="M5670" s="912"/>
      <c r="N5670" s="912"/>
      <c r="O5670" s="892">
        <f t="shared" si="359"/>
        <v>0</v>
      </c>
      <c r="P5670" s="903">
        <f t="shared" si="356"/>
        <v>1</v>
      </c>
      <c r="Q5670" s="893">
        <f t="shared" si="357"/>
        <v>4</v>
      </c>
      <c r="R5670" s="894">
        <f t="shared" si="358"/>
        <v>0</v>
      </c>
    </row>
    <row r="5671" spans="1:18">
      <c r="A5671" s="905"/>
      <c r="B5671" s="906"/>
      <c r="C5671" s="907">
        <v>44</v>
      </c>
      <c r="D5671" s="907" t="s">
        <v>279</v>
      </c>
      <c r="E5671" s="925" t="s">
        <v>2681</v>
      </c>
      <c r="F5671" s="926" t="s">
        <v>45</v>
      </c>
      <c r="G5671" s="910"/>
      <c r="H5671" s="911">
        <v>1</v>
      </c>
      <c r="I5671" s="912">
        <f>VLOOKUP(E5671,[3]VLP!$B$7:$K$300,10,0)</f>
        <v>23000</v>
      </c>
      <c r="J5671" s="912">
        <f>I5671*H5671</f>
        <v>23000</v>
      </c>
      <c r="K5671" s="912" t="s">
        <v>274</v>
      </c>
      <c r="L5671" s="912"/>
      <c r="M5671" s="912"/>
      <c r="N5671" s="912"/>
      <c r="O5671" s="892">
        <f t="shared" si="359"/>
        <v>0</v>
      </c>
      <c r="P5671" s="903">
        <f t="shared" si="356"/>
        <v>1</v>
      </c>
      <c r="Q5671" s="893">
        <f t="shared" si="357"/>
        <v>3</v>
      </c>
      <c r="R5671" s="894">
        <f t="shared" si="358"/>
        <v>0</v>
      </c>
    </row>
    <row r="5672" spans="1:18">
      <c r="A5672" s="905"/>
      <c r="B5672" s="906"/>
      <c r="C5672" s="907">
        <v>56</v>
      </c>
      <c r="D5672" s="907" t="s">
        <v>279</v>
      </c>
      <c r="E5672" s="925" t="s">
        <v>3192</v>
      </c>
      <c r="F5672" s="926" t="s">
        <v>49</v>
      </c>
      <c r="G5672" s="910"/>
      <c r="H5672" s="911">
        <v>11</v>
      </c>
      <c r="I5672" s="912">
        <f>VLOOKUP(E5672,[3]VLP!$B$7:$K$300,10,0)</f>
        <v>2273</v>
      </c>
      <c r="J5672" s="912">
        <f>I5672*H5672</f>
        <v>25003</v>
      </c>
      <c r="K5672" s="912" t="s">
        <v>274</v>
      </c>
      <c r="L5672" s="912"/>
      <c r="M5672" s="912"/>
      <c r="N5672" s="912"/>
      <c r="O5672" s="892">
        <f t="shared" si="359"/>
        <v>0</v>
      </c>
      <c r="P5672" s="903">
        <f t="shared" ref="P5672:P5735" si="360">IF(O5672=0,1,0)</f>
        <v>1</v>
      </c>
      <c r="Q5672" s="893">
        <f t="shared" ref="Q5672:Q5735" si="361">IF(P5672=0,0,P5672+Q5673)</f>
        <v>2</v>
      </c>
      <c r="R5672" s="894">
        <f t="shared" ref="R5672:R5735" si="362">IF(Q5672=0,Q5673,0)</f>
        <v>0</v>
      </c>
    </row>
    <row r="5673" spans="1:18">
      <c r="A5673" s="905"/>
      <c r="B5673" s="906"/>
      <c r="C5673" s="907">
        <v>740</v>
      </c>
      <c r="D5673" s="907" t="s">
        <v>12</v>
      </c>
      <c r="E5673" s="908" t="s">
        <v>4008</v>
      </c>
      <c r="F5673" s="909" t="s">
        <v>2674</v>
      </c>
      <c r="G5673" s="910"/>
      <c r="H5673" s="911">
        <v>13.48</v>
      </c>
      <c r="I5673" s="912"/>
      <c r="J5673" s="912"/>
      <c r="K5673" s="912">
        <f>VLOOKUP(E5673,[5]ĐMNC!$A$7:$F$67,4,0)</f>
        <v>221125</v>
      </c>
      <c r="L5673" s="912">
        <f>H5673*K5673</f>
        <v>2980765</v>
      </c>
      <c r="M5673" s="912"/>
      <c r="N5673" s="912"/>
      <c r="O5673" s="892">
        <f t="shared" si="359"/>
        <v>0</v>
      </c>
      <c r="P5673" s="903">
        <f t="shared" si="360"/>
        <v>1</v>
      </c>
      <c r="Q5673" s="893">
        <f t="shared" si="361"/>
        <v>1</v>
      </c>
      <c r="R5673" s="894">
        <f t="shared" si="362"/>
        <v>0</v>
      </c>
    </row>
    <row r="5674" spans="1:18" s="847" customFormat="1">
      <c r="A5674" s="905"/>
      <c r="B5674" s="914" t="s">
        <v>5808</v>
      </c>
      <c r="C5674" s="915"/>
      <c r="D5674" s="915"/>
      <c r="E5674" s="916" t="s">
        <v>5809</v>
      </c>
      <c r="F5674" s="917" t="s">
        <v>43</v>
      </c>
      <c r="G5674" s="918"/>
      <c r="H5674" s="919"/>
      <c r="I5674" s="920"/>
      <c r="J5674" s="891">
        <f>SUM(J5675:J5680)</f>
        <v>53003</v>
      </c>
      <c r="K5674" s="891"/>
      <c r="L5674" s="891">
        <f>SUM(L5675:L5680)</f>
        <v>3467240</v>
      </c>
      <c r="M5674" s="891"/>
      <c r="N5674" s="891">
        <f>SUM(N5675:N5680)</f>
        <v>0</v>
      </c>
      <c r="O5674" s="892">
        <f t="shared" si="359"/>
        <v>1</v>
      </c>
      <c r="P5674" s="903">
        <f t="shared" si="360"/>
        <v>0</v>
      </c>
      <c r="Q5674" s="893">
        <f t="shared" si="361"/>
        <v>0</v>
      </c>
      <c r="R5674" s="894">
        <f t="shared" si="362"/>
        <v>6</v>
      </c>
    </row>
    <row r="5675" spans="1:18" s="904" customFormat="1">
      <c r="A5675" s="895"/>
      <c r="B5675" s="896"/>
      <c r="C5675" s="897"/>
      <c r="D5675" s="897"/>
      <c r="E5675" s="898" t="s">
        <v>108</v>
      </c>
      <c r="F5675" s="899"/>
      <c r="G5675" s="900"/>
      <c r="H5675" s="901"/>
      <c r="I5675" s="902"/>
      <c r="J5675" s="902"/>
      <c r="K5675" s="912" t="s">
        <v>274</v>
      </c>
      <c r="L5675" s="902"/>
      <c r="M5675" s="902"/>
      <c r="N5675" s="902"/>
      <c r="O5675" s="892">
        <f t="shared" si="359"/>
        <v>0</v>
      </c>
      <c r="P5675" s="903">
        <f t="shared" si="360"/>
        <v>1</v>
      </c>
      <c r="Q5675" s="893">
        <f t="shared" si="361"/>
        <v>6</v>
      </c>
      <c r="R5675" s="894">
        <f t="shared" si="362"/>
        <v>0</v>
      </c>
    </row>
    <row r="5676" spans="1:18">
      <c r="A5676" s="905"/>
      <c r="B5676" s="906"/>
      <c r="C5676" s="907">
        <v>25</v>
      </c>
      <c r="D5676" s="907" t="s">
        <v>279</v>
      </c>
      <c r="E5676" s="925" t="s">
        <v>5656</v>
      </c>
      <c r="F5676" s="926" t="s">
        <v>2690</v>
      </c>
      <c r="G5676" s="910"/>
      <c r="H5676" s="911">
        <v>0.4</v>
      </c>
      <c r="I5676" s="912">
        <f>VLOOKUP(E5676,[3]VLP!$B$7:$K$300,10,0)</f>
        <v>5000</v>
      </c>
      <c r="J5676" s="912">
        <f>I5676*H5676</f>
        <v>2000</v>
      </c>
      <c r="K5676" s="912" t="s">
        <v>274</v>
      </c>
      <c r="L5676" s="912"/>
      <c r="M5676" s="912"/>
      <c r="N5676" s="912"/>
      <c r="O5676" s="892">
        <f t="shared" si="359"/>
        <v>0</v>
      </c>
      <c r="P5676" s="903">
        <f t="shared" si="360"/>
        <v>1</v>
      </c>
      <c r="Q5676" s="893">
        <f t="shared" si="361"/>
        <v>5</v>
      </c>
      <c r="R5676" s="894">
        <f t="shared" si="362"/>
        <v>0</v>
      </c>
    </row>
    <row r="5677" spans="1:18">
      <c r="A5677" s="905"/>
      <c r="B5677" s="906"/>
      <c r="C5677" s="907">
        <v>66</v>
      </c>
      <c r="D5677" s="907" t="s">
        <v>279</v>
      </c>
      <c r="E5677" s="925" t="s">
        <v>2682</v>
      </c>
      <c r="F5677" s="926" t="s">
        <v>45</v>
      </c>
      <c r="G5677" s="910"/>
      <c r="H5677" s="911">
        <v>0.6</v>
      </c>
      <c r="I5677" s="912">
        <f>VLOOKUP(E5677,[3]VLP!$B$7:$K$300,10,0)</f>
        <v>5000</v>
      </c>
      <c r="J5677" s="912">
        <f>I5677*H5677</f>
        <v>3000</v>
      </c>
      <c r="K5677" s="912" t="s">
        <v>274</v>
      </c>
      <c r="L5677" s="912"/>
      <c r="M5677" s="912"/>
      <c r="N5677" s="912"/>
      <c r="O5677" s="892">
        <f t="shared" si="359"/>
        <v>0</v>
      </c>
      <c r="P5677" s="903">
        <f t="shared" si="360"/>
        <v>1</v>
      </c>
      <c r="Q5677" s="893">
        <f t="shared" si="361"/>
        <v>4</v>
      </c>
      <c r="R5677" s="894">
        <f t="shared" si="362"/>
        <v>0</v>
      </c>
    </row>
    <row r="5678" spans="1:18">
      <c r="A5678" s="905"/>
      <c r="B5678" s="906"/>
      <c r="C5678" s="907">
        <v>44</v>
      </c>
      <c r="D5678" s="907" t="s">
        <v>279</v>
      </c>
      <c r="E5678" s="925" t="s">
        <v>2681</v>
      </c>
      <c r="F5678" s="926" t="s">
        <v>45</v>
      </c>
      <c r="G5678" s="910"/>
      <c r="H5678" s="911">
        <v>1</v>
      </c>
      <c r="I5678" s="912">
        <f>VLOOKUP(E5678,[3]VLP!$B$7:$K$300,10,0)</f>
        <v>23000</v>
      </c>
      <c r="J5678" s="912">
        <f>I5678*H5678</f>
        <v>23000</v>
      </c>
      <c r="K5678" s="912" t="s">
        <v>274</v>
      </c>
      <c r="L5678" s="912"/>
      <c r="M5678" s="912"/>
      <c r="N5678" s="912"/>
      <c r="O5678" s="892">
        <f t="shared" si="359"/>
        <v>0</v>
      </c>
      <c r="P5678" s="903">
        <f t="shared" si="360"/>
        <v>1</v>
      </c>
      <c r="Q5678" s="893">
        <f t="shared" si="361"/>
        <v>3</v>
      </c>
      <c r="R5678" s="894">
        <f t="shared" si="362"/>
        <v>0</v>
      </c>
    </row>
    <row r="5679" spans="1:18">
      <c r="A5679" s="905"/>
      <c r="B5679" s="906"/>
      <c r="C5679" s="907">
        <v>56</v>
      </c>
      <c r="D5679" s="907" t="s">
        <v>279</v>
      </c>
      <c r="E5679" s="925" t="s">
        <v>3192</v>
      </c>
      <c r="F5679" s="926" t="s">
        <v>49</v>
      </c>
      <c r="G5679" s="910"/>
      <c r="H5679" s="911">
        <v>11</v>
      </c>
      <c r="I5679" s="912">
        <f>VLOOKUP(E5679,[3]VLP!$B$7:$K$300,10,0)</f>
        <v>2273</v>
      </c>
      <c r="J5679" s="912">
        <f>I5679*H5679</f>
        <v>25003</v>
      </c>
      <c r="K5679" s="912" t="s">
        <v>274</v>
      </c>
      <c r="L5679" s="912"/>
      <c r="M5679" s="912"/>
      <c r="N5679" s="912"/>
      <c r="O5679" s="892">
        <f t="shared" si="359"/>
        <v>0</v>
      </c>
      <c r="P5679" s="903">
        <f t="shared" si="360"/>
        <v>1</v>
      </c>
      <c r="Q5679" s="893">
        <f t="shared" si="361"/>
        <v>2</v>
      </c>
      <c r="R5679" s="894">
        <f t="shared" si="362"/>
        <v>0</v>
      </c>
    </row>
    <row r="5680" spans="1:18">
      <c r="A5680" s="905"/>
      <c r="B5680" s="906"/>
      <c r="C5680" s="907">
        <v>740</v>
      </c>
      <c r="D5680" s="907" t="s">
        <v>12</v>
      </c>
      <c r="E5680" s="908" t="s">
        <v>4008</v>
      </c>
      <c r="F5680" s="909" t="s">
        <v>2674</v>
      </c>
      <c r="G5680" s="910"/>
      <c r="H5680" s="911">
        <v>15.68</v>
      </c>
      <c r="I5680" s="912"/>
      <c r="J5680" s="912"/>
      <c r="K5680" s="912">
        <f>VLOOKUP(E5680,[5]ĐMNC!$A$7:$F$67,4,0)</f>
        <v>221125</v>
      </c>
      <c r="L5680" s="912">
        <f>H5680*K5680</f>
        <v>3467240</v>
      </c>
      <c r="M5680" s="912"/>
      <c r="N5680" s="912"/>
      <c r="O5680" s="892">
        <f t="shared" si="359"/>
        <v>0</v>
      </c>
      <c r="P5680" s="903">
        <f t="shared" si="360"/>
        <v>1</v>
      </c>
      <c r="Q5680" s="893">
        <f t="shared" si="361"/>
        <v>1</v>
      </c>
      <c r="R5680" s="894">
        <f t="shared" si="362"/>
        <v>0</v>
      </c>
    </row>
    <row r="5681" spans="1:18" s="847" customFormat="1">
      <c r="A5681" s="905"/>
      <c r="B5681" s="914" t="s">
        <v>1569</v>
      </c>
      <c r="C5681" s="915"/>
      <c r="D5681" s="915"/>
      <c r="E5681" s="916" t="s">
        <v>5810</v>
      </c>
      <c r="F5681" s="917" t="s">
        <v>43</v>
      </c>
      <c r="G5681" s="918"/>
      <c r="H5681" s="919"/>
      <c r="I5681" s="920"/>
      <c r="J5681" s="891">
        <f>SUM(J5682:J5687)</f>
        <v>58603</v>
      </c>
      <c r="K5681" s="891"/>
      <c r="L5681" s="891">
        <f>SUM(L5682:L5687)</f>
        <v>4440190</v>
      </c>
      <c r="M5681" s="891"/>
      <c r="N5681" s="891">
        <f>SUM(N5682:N5687)</f>
        <v>0</v>
      </c>
      <c r="O5681" s="892">
        <f t="shared" si="359"/>
        <v>1</v>
      </c>
      <c r="P5681" s="903">
        <f t="shared" si="360"/>
        <v>0</v>
      </c>
      <c r="Q5681" s="893">
        <f t="shared" si="361"/>
        <v>0</v>
      </c>
      <c r="R5681" s="894">
        <f t="shared" si="362"/>
        <v>6</v>
      </c>
    </row>
    <row r="5682" spans="1:18" s="904" customFormat="1">
      <c r="A5682" s="895"/>
      <c r="B5682" s="896"/>
      <c r="C5682" s="897"/>
      <c r="D5682" s="897"/>
      <c r="E5682" s="898" t="s">
        <v>108</v>
      </c>
      <c r="F5682" s="899"/>
      <c r="G5682" s="900"/>
      <c r="H5682" s="901"/>
      <c r="I5682" s="902"/>
      <c r="J5682" s="902"/>
      <c r="K5682" s="912" t="s">
        <v>274</v>
      </c>
      <c r="L5682" s="902"/>
      <c r="M5682" s="902"/>
      <c r="N5682" s="902"/>
      <c r="O5682" s="892">
        <f t="shared" si="359"/>
        <v>0</v>
      </c>
      <c r="P5682" s="903">
        <f t="shared" si="360"/>
        <v>1</v>
      </c>
      <c r="Q5682" s="893">
        <f t="shared" si="361"/>
        <v>6</v>
      </c>
      <c r="R5682" s="894">
        <f t="shared" si="362"/>
        <v>0</v>
      </c>
    </row>
    <row r="5683" spans="1:18">
      <c r="A5683" s="905"/>
      <c r="B5683" s="914"/>
      <c r="C5683" s="907">
        <v>25</v>
      </c>
      <c r="D5683" s="907" t="s">
        <v>279</v>
      </c>
      <c r="E5683" s="925" t="s">
        <v>5656</v>
      </c>
      <c r="F5683" s="926" t="s">
        <v>2690</v>
      </c>
      <c r="G5683" s="910"/>
      <c r="H5683" s="911">
        <v>0.4</v>
      </c>
      <c r="I5683" s="912">
        <f>VLOOKUP(E5683,[3]VLP!$B$7:$K$300,10,0)</f>
        <v>5000</v>
      </c>
      <c r="J5683" s="912">
        <f>I5683*H5683</f>
        <v>2000</v>
      </c>
      <c r="K5683" s="912" t="s">
        <v>274</v>
      </c>
      <c r="L5683" s="912"/>
      <c r="M5683" s="912"/>
      <c r="N5683" s="912"/>
      <c r="O5683" s="892">
        <f t="shared" si="359"/>
        <v>0</v>
      </c>
      <c r="P5683" s="903">
        <f t="shared" si="360"/>
        <v>1</v>
      </c>
      <c r="Q5683" s="893">
        <f t="shared" si="361"/>
        <v>5</v>
      </c>
      <c r="R5683" s="894">
        <f t="shared" si="362"/>
        <v>0</v>
      </c>
    </row>
    <row r="5684" spans="1:18">
      <c r="A5684" s="905"/>
      <c r="B5684" s="906"/>
      <c r="C5684" s="907">
        <v>66</v>
      </c>
      <c r="D5684" s="907" t="s">
        <v>279</v>
      </c>
      <c r="E5684" s="925" t="s">
        <v>2682</v>
      </c>
      <c r="F5684" s="926" t="s">
        <v>45</v>
      </c>
      <c r="G5684" s="910"/>
      <c r="H5684" s="911">
        <v>0.8</v>
      </c>
      <c r="I5684" s="912">
        <f>VLOOKUP(E5684,[3]VLP!$B$7:$K$300,10,0)</f>
        <v>5000</v>
      </c>
      <c r="J5684" s="912">
        <f>I5684*H5684</f>
        <v>4000</v>
      </c>
      <c r="K5684" s="912" t="s">
        <v>274</v>
      </c>
      <c r="L5684" s="912"/>
      <c r="M5684" s="912"/>
      <c r="N5684" s="912"/>
      <c r="O5684" s="892">
        <f t="shared" si="359"/>
        <v>0</v>
      </c>
      <c r="P5684" s="903">
        <f t="shared" si="360"/>
        <v>1</v>
      </c>
      <c r="Q5684" s="893">
        <f t="shared" si="361"/>
        <v>4</v>
      </c>
      <c r="R5684" s="894">
        <f t="shared" si="362"/>
        <v>0</v>
      </c>
    </row>
    <row r="5685" spans="1:18">
      <c r="A5685" s="905"/>
      <c r="B5685" s="906"/>
      <c r="C5685" s="907">
        <v>44</v>
      </c>
      <c r="D5685" s="907" t="s">
        <v>279</v>
      </c>
      <c r="E5685" s="925" t="s">
        <v>2681</v>
      </c>
      <c r="F5685" s="926" t="s">
        <v>45</v>
      </c>
      <c r="G5685" s="910"/>
      <c r="H5685" s="911">
        <v>1.2</v>
      </c>
      <c r="I5685" s="912">
        <f>VLOOKUP(E5685,[3]VLP!$B$7:$K$300,10,0)</f>
        <v>23000</v>
      </c>
      <c r="J5685" s="912">
        <f>I5685*H5685</f>
        <v>27600</v>
      </c>
      <c r="K5685" s="912" t="s">
        <v>274</v>
      </c>
      <c r="L5685" s="912"/>
      <c r="M5685" s="912"/>
      <c r="N5685" s="912"/>
      <c r="O5685" s="892">
        <f t="shared" si="359"/>
        <v>0</v>
      </c>
      <c r="P5685" s="903">
        <f t="shared" si="360"/>
        <v>1</v>
      </c>
      <c r="Q5685" s="893">
        <f t="shared" si="361"/>
        <v>3</v>
      </c>
      <c r="R5685" s="894">
        <f t="shared" si="362"/>
        <v>0</v>
      </c>
    </row>
    <row r="5686" spans="1:18">
      <c r="A5686" s="905"/>
      <c r="B5686" s="906"/>
      <c r="C5686" s="907">
        <v>56</v>
      </c>
      <c r="D5686" s="907" t="s">
        <v>279</v>
      </c>
      <c r="E5686" s="925" t="s">
        <v>3192</v>
      </c>
      <c r="F5686" s="926" t="s">
        <v>49</v>
      </c>
      <c r="G5686" s="910"/>
      <c r="H5686" s="911">
        <v>11</v>
      </c>
      <c r="I5686" s="912">
        <f>VLOOKUP(E5686,[3]VLP!$B$7:$K$300,10,0)</f>
        <v>2273</v>
      </c>
      <c r="J5686" s="912">
        <f>I5686*H5686</f>
        <v>25003</v>
      </c>
      <c r="K5686" s="912" t="s">
        <v>274</v>
      </c>
      <c r="L5686" s="912"/>
      <c r="M5686" s="912"/>
      <c r="N5686" s="912"/>
      <c r="O5686" s="892">
        <f t="shared" si="359"/>
        <v>0</v>
      </c>
      <c r="P5686" s="903">
        <f t="shared" si="360"/>
        <v>1</v>
      </c>
      <c r="Q5686" s="893">
        <f t="shared" si="361"/>
        <v>2</v>
      </c>
      <c r="R5686" s="894">
        <f t="shared" si="362"/>
        <v>0</v>
      </c>
    </row>
    <row r="5687" spans="1:18">
      <c r="A5687" s="905"/>
      <c r="B5687" s="906"/>
      <c r="C5687" s="907">
        <v>740</v>
      </c>
      <c r="D5687" s="907" t="s">
        <v>12</v>
      </c>
      <c r="E5687" s="908" t="s">
        <v>4008</v>
      </c>
      <c r="F5687" s="909" t="s">
        <v>2674</v>
      </c>
      <c r="G5687" s="910"/>
      <c r="H5687" s="911">
        <v>20.079999999999998</v>
      </c>
      <c r="I5687" s="912"/>
      <c r="J5687" s="912"/>
      <c r="K5687" s="912">
        <f>VLOOKUP(E5687,[5]ĐMNC!$A$7:$F$67,4,0)</f>
        <v>221125</v>
      </c>
      <c r="L5687" s="912">
        <f>H5687*K5687</f>
        <v>4440190</v>
      </c>
      <c r="M5687" s="912"/>
      <c r="N5687" s="912"/>
      <c r="O5687" s="892">
        <f t="shared" si="359"/>
        <v>0</v>
      </c>
      <c r="P5687" s="903">
        <f t="shared" si="360"/>
        <v>1</v>
      </c>
      <c r="Q5687" s="893">
        <f t="shared" si="361"/>
        <v>1</v>
      </c>
      <c r="R5687" s="894">
        <f t="shared" si="362"/>
        <v>0</v>
      </c>
    </row>
    <row r="5688" spans="1:18" s="847" customFormat="1">
      <c r="A5688" s="905" t="s">
        <v>5811</v>
      </c>
      <c r="B5688" s="914" t="s">
        <v>1571</v>
      </c>
      <c r="C5688" s="915"/>
      <c r="D5688" s="915"/>
      <c r="E5688" s="916" t="s">
        <v>5812</v>
      </c>
      <c r="F5688" s="917" t="s">
        <v>43</v>
      </c>
      <c r="G5688" s="918"/>
      <c r="H5688" s="919"/>
      <c r="I5688" s="920"/>
      <c r="J5688" s="891">
        <f>SUM(J5689:J5694)</f>
        <v>59103</v>
      </c>
      <c r="K5688" s="891"/>
      <c r="L5688" s="891">
        <f>SUM(L5689:L5694)</f>
        <v>6202556.25</v>
      </c>
      <c r="M5688" s="891"/>
      <c r="N5688" s="891">
        <f>SUM(N5689:N5694)</f>
        <v>0</v>
      </c>
      <c r="O5688" s="892">
        <f t="shared" si="359"/>
        <v>1</v>
      </c>
      <c r="P5688" s="903">
        <f t="shared" si="360"/>
        <v>0</v>
      </c>
      <c r="Q5688" s="893">
        <f t="shared" si="361"/>
        <v>0</v>
      </c>
      <c r="R5688" s="894">
        <f t="shared" si="362"/>
        <v>6</v>
      </c>
    </row>
    <row r="5689" spans="1:18" s="904" customFormat="1">
      <c r="A5689" s="895"/>
      <c r="B5689" s="896"/>
      <c r="C5689" s="897"/>
      <c r="D5689" s="897"/>
      <c r="E5689" s="898" t="s">
        <v>108</v>
      </c>
      <c r="F5689" s="899"/>
      <c r="G5689" s="900"/>
      <c r="H5689" s="901"/>
      <c r="I5689" s="902"/>
      <c r="J5689" s="902"/>
      <c r="K5689" s="912" t="s">
        <v>274</v>
      </c>
      <c r="L5689" s="902"/>
      <c r="M5689" s="902"/>
      <c r="N5689" s="902"/>
      <c r="O5689" s="892">
        <f t="shared" si="359"/>
        <v>0</v>
      </c>
      <c r="P5689" s="903">
        <f t="shared" si="360"/>
        <v>1</v>
      </c>
      <c r="Q5689" s="893">
        <f t="shared" si="361"/>
        <v>6</v>
      </c>
      <c r="R5689" s="894">
        <f t="shared" si="362"/>
        <v>0</v>
      </c>
    </row>
    <row r="5690" spans="1:18">
      <c r="A5690" s="905"/>
      <c r="B5690" s="906"/>
      <c r="C5690" s="907">
        <v>25</v>
      </c>
      <c r="D5690" s="907" t="s">
        <v>279</v>
      </c>
      <c r="E5690" s="925" t="s">
        <v>5656</v>
      </c>
      <c r="F5690" s="926" t="s">
        <v>2690</v>
      </c>
      <c r="G5690" s="910"/>
      <c r="H5690" s="911">
        <v>0.5</v>
      </c>
      <c r="I5690" s="912">
        <f>VLOOKUP(E5690,[3]VLP!$B$7:$K$300,10,0)</f>
        <v>5000</v>
      </c>
      <c r="J5690" s="912">
        <f>I5690*H5690</f>
        <v>2500</v>
      </c>
      <c r="K5690" s="912" t="s">
        <v>274</v>
      </c>
      <c r="L5690" s="912"/>
      <c r="M5690" s="912"/>
      <c r="N5690" s="912"/>
      <c r="O5690" s="892">
        <f t="shared" si="359"/>
        <v>0</v>
      </c>
      <c r="P5690" s="903">
        <f t="shared" si="360"/>
        <v>1</v>
      </c>
      <c r="Q5690" s="893">
        <f t="shared" si="361"/>
        <v>5</v>
      </c>
      <c r="R5690" s="894">
        <f t="shared" si="362"/>
        <v>0</v>
      </c>
    </row>
    <row r="5691" spans="1:18">
      <c r="A5691" s="905"/>
      <c r="B5691" s="906"/>
      <c r="C5691" s="907">
        <v>66</v>
      </c>
      <c r="D5691" s="907" t="s">
        <v>279</v>
      </c>
      <c r="E5691" s="925" t="s">
        <v>2682</v>
      </c>
      <c r="F5691" s="926" t="s">
        <v>45</v>
      </c>
      <c r="G5691" s="910"/>
      <c r="H5691" s="911">
        <v>0.8</v>
      </c>
      <c r="I5691" s="912">
        <f>VLOOKUP(E5691,[3]VLP!$B$7:$K$300,10,0)</f>
        <v>5000</v>
      </c>
      <c r="J5691" s="912">
        <f>I5691*H5691</f>
        <v>4000</v>
      </c>
      <c r="K5691" s="912" t="s">
        <v>274</v>
      </c>
      <c r="L5691" s="912"/>
      <c r="M5691" s="912"/>
      <c r="N5691" s="912"/>
      <c r="O5691" s="892">
        <f t="shared" si="359"/>
        <v>0</v>
      </c>
      <c r="P5691" s="903">
        <f t="shared" si="360"/>
        <v>1</v>
      </c>
      <c r="Q5691" s="893">
        <f t="shared" si="361"/>
        <v>4</v>
      </c>
      <c r="R5691" s="894">
        <f t="shared" si="362"/>
        <v>0</v>
      </c>
    </row>
    <row r="5692" spans="1:18">
      <c r="A5692" s="905"/>
      <c r="B5692" s="906"/>
      <c r="C5692" s="907">
        <v>44</v>
      </c>
      <c r="D5692" s="907" t="s">
        <v>279</v>
      </c>
      <c r="E5692" s="925" t="s">
        <v>2681</v>
      </c>
      <c r="F5692" s="926" t="s">
        <v>45</v>
      </c>
      <c r="G5692" s="910"/>
      <c r="H5692" s="911">
        <v>1.2</v>
      </c>
      <c r="I5692" s="912">
        <f>VLOOKUP(E5692,[3]VLP!$B$7:$K$300,10,0)</f>
        <v>23000</v>
      </c>
      <c r="J5692" s="912">
        <f>I5692*H5692</f>
        <v>27600</v>
      </c>
      <c r="K5692" s="912" t="s">
        <v>274</v>
      </c>
      <c r="L5692" s="912"/>
      <c r="M5692" s="912"/>
      <c r="N5692" s="912"/>
      <c r="O5692" s="892">
        <f t="shared" si="359"/>
        <v>0</v>
      </c>
      <c r="P5692" s="903">
        <f t="shared" si="360"/>
        <v>1</v>
      </c>
      <c r="Q5692" s="893">
        <f t="shared" si="361"/>
        <v>3</v>
      </c>
      <c r="R5692" s="894">
        <f t="shared" si="362"/>
        <v>0</v>
      </c>
    </row>
    <row r="5693" spans="1:18">
      <c r="A5693" s="905"/>
      <c r="B5693" s="906"/>
      <c r="C5693" s="907">
        <v>56</v>
      </c>
      <c r="D5693" s="907" t="s">
        <v>279</v>
      </c>
      <c r="E5693" s="925" t="s">
        <v>3192</v>
      </c>
      <c r="F5693" s="926" t="s">
        <v>49</v>
      </c>
      <c r="G5693" s="910"/>
      <c r="H5693" s="911">
        <v>11</v>
      </c>
      <c r="I5693" s="912">
        <f>VLOOKUP(E5693,[3]VLP!$B$7:$K$300,10,0)</f>
        <v>2273</v>
      </c>
      <c r="J5693" s="912">
        <f>I5693*H5693</f>
        <v>25003</v>
      </c>
      <c r="K5693" s="912" t="s">
        <v>274</v>
      </c>
      <c r="L5693" s="912"/>
      <c r="M5693" s="912"/>
      <c r="N5693" s="912"/>
      <c r="O5693" s="892">
        <f t="shared" si="359"/>
        <v>0</v>
      </c>
      <c r="P5693" s="903">
        <f t="shared" si="360"/>
        <v>1</v>
      </c>
      <c r="Q5693" s="893">
        <f t="shared" si="361"/>
        <v>2</v>
      </c>
      <c r="R5693" s="894">
        <f t="shared" si="362"/>
        <v>0</v>
      </c>
    </row>
    <row r="5694" spans="1:18">
      <c r="A5694" s="905"/>
      <c r="B5694" s="906"/>
      <c r="C5694" s="907">
        <v>740</v>
      </c>
      <c r="D5694" s="907" t="s">
        <v>12</v>
      </c>
      <c r="E5694" s="908" t="s">
        <v>4008</v>
      </c>
      <c r="F5694" s="909" t="s">
        <v>2674</v>
      </c>
      <c r="G5694" s="910"/>
      <c r="H5694" s="911">
        <v>28.05</v>
      </c>
      <c r="I5694" s="912"/>
      <c r="J5694" s="912"/>
      <c r="K5694" s="912">
        <f>VLOOKUP(E5694,[5]ĐMNC!$A$7:$F$67,4,0)</f>
        <v>221125</v>
      </c>
      <c r="L5694" s="912">
        <f>H5694*K5694</f>
        <v>6202556.25</v>
      </c>
      <c r="M5694" s="912"/>
      <c r="N5694" s="912"/>
      <c r="O5694" s="892">
        <f t="shared" si="359"/>
        <v>0</v>
      </c>
      <c r="P5694" s="903">
        <f t="shared" si="360"/>
        <v>1</v>
      </c>
      <c r="Q5694" s="893">
        <f t="shared" si="361"/>
        <v>1</v>
      </c>
      <c r="R5694" s="894">
        <f t="shared" si="362"/>
        <v>0</v>
      </c>
    </row>
    <row r="5695" spans="1:18" s="847" customFormat="1">
      <c r="A5695" s="905"/>
      <c r="B5695" s="914" t="s">
        <v>1573</v>
      </c>
      <c r="C5695" s="915"/>
      <c r="D5695" s="915"/>
      <c r="E5695" s="916" t="s">
        <v>5813</v>
      </c>
      <c r="F5695" s="917" t="s">
        <v>43</v>
      </c>
      <c r="G5695" s="918"/>
      <c r="H5695" s="919"/>
      <c r="I5695" s="920"/>
      <c r="J5695" s="891">
        <f>SUM(J5696:J5701)</f>
        <v>59103</v>
      </c>
      <c r="K5695" s="891"/>
      <c r="L5695" s="891">
        <f>SUM(L5696:L5701)</f>
        <v>7661981.25</v>
      </c>
      <c r="M5695" s="891"/>
      <c r="N5695" s="891">
        <f>SUM(N5696:N5701)</f>
        <v>0</v>
      </c>
      <c r="O5695" s="892">
        <f t="shared" si="359"/>
        <v>1</v>
      </c>
      <c r="P5695" s="903">
        <f t="shared" si="360"/>
        <v>0</v>
      </c>
      <c r="Q5695" s="893">
        <f t="shared" si="361"/>
        <v>0</v>
      </c>
      <c r="R5695" s="894">
        <f t="shared" si="362"/>
        <v>6</v>
      </c>
    </row>
    <row r="5696" spans="1:18" s="904" customFormat="1">
      <c r="A5696" s="895"/>
      <c r="B5696" s="896"/>
      <c r="C5696" s="897"/>
      <c r="D5696" s="897"/>
      <c r="E5696" s="898" t="s">
        <v>108</v>
      </c>
      <c r="F5696" s="899"/>
      <c r="G5696" s="900"/>
      <c r="H5696" s="901"/>
      <c r="I5696" s="902"/>
      <c r="J5696" s="902"/>
      <c r="K5696" s="912" t="s">
        <v>274</v>
      </c>
      <c r="L5696" s="902"/>
      <c r="M5696" s="902"/>
      <c r="N5696" s="902"/>
      <c r="O5696" s="892">
        <f t="shared" si="359"/>
        <v>0</v>
      </c>
      <c r="P5696" s="903">
        <f t="shared" si="360"/>
        <v>1</v>
      </c>
      <c r="Q5696" s="893">
        <f t="shared" si="361"/>
        <v>6</v>
      </c>
      <c r="R5696" s="894">
        <f t="shared" si="362"/>
        <v>0</v>
      </c>
    </row>
    <row r="5697" spans="1:18">
      <c r="A5697" s="905"/>
      <c r="B5697" s="906"/>
      <c r="C5697" s="907">
        <v>25</v>
      </c>
      <c r="D5697" s="907" t="s">
        <v>279</v>
      </c>
      <c r="E5697" s="925" t="s">
        <v>5656</v>
      </c>
      <c r="F5697" s="926" t="s">
        <v>2690</v>
      </c>
      <c r="G5697" s="910"/>
      <c r="H5697" s="911">
        <v>0.5</v>
      </c>
      <c r="I5697" s="912">
        <f>VLOOKUP(E5697,[3]VLP!$B$7:$K$300,10,0)</f>
        <v>5000</v>
      </c>
      <c r="J5697" s="912">
        <f>I5697*H5697</f>
        <v>2500</v>
      </c>
      <c r="K5697" s="912" t="s">
        <v>274</v>
      </c>
      <c r="L5697" s="912"/>
      <c r="M5697" s="912"/>
      <c r="N5697" s="912"/>
      <c r="O5697" s="892">
        <f t="shared" si="359"/>
        <v>0</v>
      </c>
      <c r="P5697" s="903">
        <f t="shared" si="360"/>
        <v>1</v>
      </c>
      <c r="Q5697" s="893">
        <f t="shared" si="361"/>
        <v>5</v>
      </c>
      <c r="R5697" s="894">
        <f t="shared" si="362"/>
        <v>0</v>
      </c>
    </row>
    <row r="5698" spans="1:18">
      <c r="A5698" s="905"/>
      <c r="B5698" s="906"/>
      <c r="C5698" s="907">
        <v>66</v>
      </c>
      <c r="D5698" s="907" t="s">
        <v>279</v>
      </c>
      <c r="E5698" s="925" t="s">
        <v>2682</v>
      </c>
      <c r="F5698" s="926" t="s">
        <v>45</v>
      </c>
      <c r="G5698" s="910"/>
      <c r="H5698" s="911">
        <v>0.8</v>
      </c>
      <c r="I5698" s="912">
        <f>VLOOKUP(E5698,[3]VLP!$B$7:$K$300,10,0)</f>
        <v>5000</v>
      </c>
      <c r="J5698" s="912">
        <f>I5698*H5698</f>
        <v>4000</v>
      </c>
      <c r="K5698" s="912" t="s">
        <v>274</v>
      </c>
      <c r="L5698" s="912"/>
      <c r="M5698" s="912"/>
      <c r="N5698" s="912"/>
      <c r="O5698" s="892">
        <f t="shared" si="359"/>
        <v>0</v>
      </c>
      <c r="P5698" s="903">
        <f t="shared" si="360"/>
        <v>1</v>
      </c>
      <c r="Q5698" s="893">
        <f t="shared" si="361"/>
        <v>4</v>
      </c>
      <c r="R5698" s="894">
        <f t="shared" si="362"/>
        <v>0</v>
      </c>
    </row>
    <row r="5699" spans="1:18">
      <c r="A5699" s="905"/>
      <c r="B5699" s="906"/>
      <c r="C5699" s="907">
        <v>44</v>
      </c>
      <c r="D5699" s="907" t="s">
        <v>279</v>
      </c>
      <c r="E5699" s="925" t="s">
        <v>2681</v>
      </c>
      <c r="F5699" s="926" t="s">
        <v>45</v>
      </c>
      <c r="G5699" s="910"/>
      <c r="H5699" s="911">
        <v>1.2</v>
      </c>
      <c r="I5699" s="912">
        <f>VLOOKUP(E5699,[3]VLP!$B$7:$K$300,10,0)</f>
        <v>23000</v>
      </c>
      <c r="J5699" s="912">
        <f>I5699*H5699</f>
        <v>27600</v>
      </c>
      <c r="K5699" s="912" t="s">
        <v>274</v>
      </c>
      <c r="L5699" s="912"/>
      <c r="M5699" s="912"/>
      <c r="N5699" s="912"/>
      <c r="O5699" s="892">
        <f t="shared" si="359"/>
        <v>0</v>
      </c>
      <c r="P5699" s="903">
        <f t="shared" si="360"/>
        <v>1</v>
      </c>
      <c r="Q5699" s="893">
        <f t="shared" si="361"/>
        <v>3</v>
      </c>
      <c r="R5699" s="894">
        <f t="shared" si="362"/>
        <v>0</v>
      </c>
    </row>
    <row r="5700" spans="1:18">
      <c r="A5700" s="905"/>
      <c r="B5700" s="906"/>
      <c r="C5700" s="907">
        <v>56</v>
      </c>
      <c r="D5700" s="907" t="s">
        <v>279</v>
      </c>
      <c r="E5700" s="925" t="s">
        <v>3192</v>
      </c>
      <c r="F5700" s="926" t="s">
        <v>49</v>
      </c>
      <c r="G5700" s="910"/>
      <c r="H5700" s="911">
        <v>11</v>
      </c>
      <c r="I5700" s="912">
        <f>VLOOKUP(E5700,[3]VLP!$B$7:$K$300,10,0)</f>
        <v>2273</v>
      </c>
      <c r="J5700" s="912">
        <f>I5700*H5700</f>
        <v>25003</v>
      </c>
      <c r="K5700" s="912" t="s">
        <v>274</v>
      </c>
      <c r="L5700" s="912"/>
      <c r="M5700" s="912"/>
      <c r="N5700" s="912"/>
      <c r="O5700" s="892">
        <f t="shared" si="359"/>
        <v>0</v>
      </c>
      <c r="P5700" s="903">
        <f t="shared" si="360"/>
        <v>1</v>
      </c>
      <c r="Q5700" s="893">
        <f t="shared" si="361"/>
        <v>2</v>
      </c>
      <c r="R5700" s="894">
        <f t="shared" si="362"/>
        <v>0</v>
      </c>
    </row>
    <row r="5701" spans="1:18">
      <c r="A5701" s="905"/>
      <c r="B5701" s="906"/>
      <c r="C5701" s="907">
        <v>740</v>
      </c>
      <c r="D5701" s="907" t="s">
        <v>12</v>
      </c>
      <c r="E5701" s="908" t="s">
        <v>4008</v>
      </c>
      <c r="F5701" s="909" t="s">
        <v>2674</v>
      </c>
      <c r="G5701" s="910"/>
      <c r="H5701" s="911">
        <v>34.65</v>
      </c>
      <c r="I5701" s="912"/>
      <c r="J5701" s="912"/>
      <c r="K5701" s="912">
        <f>VLOOKUP(E5701,[5]ĐMNC!$A$7:$F$67,4,0)</f>
        <v>221125</v>
      </c>
      <c r="L5701" s="912">
        <f>H5701*K5701</f>
        <v>7661981.25</v>
      </c>
      <c r="M5701" s="912"/>
      <c r="N5701" s="912"/>
      <c r="O5701" s="892">
        <f t="shared" si="359"/>
        <v>0</v>
      </c>
      <c r="P5701" s="903">
        <f t="shared" si="360"/>
        <v>1</v>
      </c>
      <c r="Q5701" s="893">
        <f t="shared" si="361"/>
        <v>1</v>
      </c>
      <c r="R5701" s="894">
        <f t="shared" si="362"/>
        <v>0</v>
      </c>
    </row>
    <row r="5702" spans="1:18" s="847" customFormat="1">
      <c r="A5702" s="905"/>
      <c r="B5702" s="914" t="s">
        <v>1575</v>
      </c>
      <c r="C5702" s="915"/>
      <c r="D5702" s="915"/>
      <c r="E5702" s="916" t="s">
        <v>5814</v>
      </c>
      <c r="F5702" s="917" t="s">
        <v>43</v>
      </c>
      <c r="G5702" s="918"/>
      <c r="H5702" s="919"/>
      <c r="I5702" s="920"/>
      <c r="J5702" s="891">
        <f>SUM(J5703:J5708)</f>
        <v>64703</v>
      </c>
      <c r="K5702" s="891"/>
      <c r="L5702" s="891">
        <f>SUM(L5703:L5708)</f>
        <v>9461938.75</v>
      </c>
      <c r="M5702" s="891"/>
      <c r="N5702" s="891">
        <f>SUM(N5703:N5708)</f>
        <v>0</v>
      </c>
      <c r="O5702" s="892">
        <f t="shared" si="359"/>
        <v>1</v>
      </c>
      <c r="P5702" s="903">
        <f t="shared" si="360"/>
        <v>0</v>
      </c>
      <c r="Q5702" s="893">
        <f t="shared" si="361"/>
        <v>0</v>
      </c>
      <c r="R5702" s="894">
        <f t="shared" si="362"/>
        <v>6</v>
      </c>
    </row>
    <row r="5703" spans="1:18" s="904" customFormat="1">
      <c r="A5703" s="895"/>
      <c r="B5703" s="896"/>
      <c r="C5703" s="897"/>
      <c r="D5703" s="897"/>
      <c r="E5703" s="898" t="s">
        <v>108</v>
      </c>
      <c r="F5703" s="899"/>
      <c r="G5703" s="900"/>
      <c r="H5703" s="901"/>
      <c r="I5703" s="902"/>
      <c r="J5703" s="902"/>
      <c r="K5703" s="912" t="s">
        <v>274</v>
      </c>
      <c r="L5703" s="902"/>
      <c r="M5703" s="902"/>
      <c r="N5703" s="902"/>
      <c r="O5703" s="892">
        <f t="shared" si="359"/>
        <v>0</v>
      </c>
      <c r="P5703" s="903">
        <f t="shared" si="360"/>
        <v>1</v>
      </c>
      <c r="Q5703" s="893">
        <f t="shared" si="361"/>
        <v>6</v>
      </c>
      <c r="R5703" s="894">
        <f t="shared" si="362"/>
        <v>0</v>
      </c>
    </row>
    <row r="5704" spans="1:18">
      <c r="A5704" s="905"/>
      <c r="B5704" s="906"/>
      <c r="C5704" s="907">
        <v>25</v>
      </c>
      <c r="D5704" s="907" t="s">
        <v>279</v>
      </c>
      <c r="E5704" s="925" t="s">
        <v>5656</v>
      </c>
      <c r="F5704" s="926" t="s">
        <v>2690</v>
      </c>
      <c r="G5704" s="910"/>
      <c r="H5704" s="911">
        <v>0.5</v>
      </c>
      <c r="I5704" s="912">
        <f>VLOOKUP(E5704,[3]VLP!$B$7:$K$300,10,0)</f>
        <v>5000</v>
      </c>
      <c r="J5704" s="912">
        <f>I5704*H5704</f>
        <v>2500</v>
      </c>
      <c r="K5704" s="912" t="s">
        <v>274</v>
      </c>
      <c r="L5704" s="912"/>
      <c r="M5704" s="912"/>
      <c r="N5704" s="912"/>
      <c r="O5704" s="892">
        <f t="shared" si="359"/>
        <v>0</v>
      </c>
      <c r="P5704" s="903">
        <f t="shared" si="360"/>
        <v>1</v>
      </c>
      <c r="Q5704" s="893">
        <f t="shared" si="361"/>
        <v>5</v>
      </c>
      <c r="R5704" s="894">
        <f t="shared" si="362"/>
        <v>0</v>
      </c>
    </row>
    <row r="5705" spans="1:18">
      <c r="A5705" s="905"/>
      <c r="B5705" s="906"/>
      <c r="C5705" s="907">
        <v>66</v>
      </c>
      <c r="D5705" s="907" t="s">
        <v>279</v>
      </c>
      <c r="E5705" s="925" t="s">
        <v>2682</v>
      </c>
      <c r="F5705" s="926" t="s">
        <v>45</v>
      </c>
      <c r="G5705" s="910"/>
      <c r="H5705" s="911">
        <v>1</v>
      </c>
      <c r="I5705" s="912">
        <f>VLOOKUP(E5705,[3]VLP!$B$7:$K$300,10,0)</f>
        <v>5000</v>
      </c>
      <c r="J5705" s="912">
        <f>I5705*H5705</f>
        <v>5000</v>
      </c>
      <c r="K5705" s="912" t="s">
        <v>274</v>
      </c>
      <c r="L5705" s="912"/>
      <c r="M5705" s="912"/>
      <c r="N5705" s="912"/>
      <c r="O5705" s="892">
        <f t="shared" si="359"/>
        <v>0</v>
      </c>
      <c r="P5705" s="903">
        <f t="shared" si="360"/>
        <v>1</v>
      </c>
      <c r="Q5705" s="893">
        <f t="shared" si="361"/>
        <v>4</v>
      </c>
      <c r="R5705" s="894">
        <f t="shared" si="362"/>
        <v>0</v>
      </c>
    </row>
    <row r="5706" spans="1:18">
      <c r="A5706" s="905"/>
      <c r="B5706" s="906"/>
      <c r="C5706" s="907">
        <v>44</v>
      </c>
      <c r="D5706" s="907" t="s">
        <v>279</v>
      </c>
      <c r="E5706" s="925" t="s">
        <v>2681</v>
      </c>
      <c r="F5706" s="926" t="s">
        <v>45</v>
      </c>
      <c r="G5706" s="910"/>
      <c r="H5706" s="911">
        <v>1.4</v>
      </c>
      <c r="I5706" s="912">
        <f>VLOOKUP(E5706,[3]VLP!$B$7:$K$300,10,0)</f>
        <v>23000</v>
      </c>
      <c r="J5706" s="912">
        <f>I5706*H5706</f>
        <v>32199.999999999996</v>
      </c>
      <c r="K5706" s="912" t="s">
        <v>274</v>
      </c>
      <c r="L5706" s="912"/>
      <c r="M5706" s="912"/>
      <c r="N5706" s="912"/>
      <c r="O5706" s="892">
        <f t="shared" si="359"/>
        <v>0</v>
      </c>
      <c r="P5706" s="903">
        <f t="shared" si="360"/>
        <v>1</v>
      </c>
      <c r="Q5706" s="893">
        <f t="shared" si="361"/>
        <v>3</v>
      </c>
      <c r="R5706" s="894">
        <f t="shared" si="362"/>
        <v>0</v>
      </c>
    </row>
    <row r="5707" spans="1:18">
      <c r="A5707" s="905"/>
      <c r="B5707" s="906"/>
      <c r="C5707" s="907">
        <v>56</v>
      </c>
      <c r="D5707" s="907" t="s">
        <v>279</v>
      </c>
      <c r="E5707" s="925" t="s">
        <v>3192</v>
      </c>
      <c r="F5707" s="926" t="s">
        <v>49</v>
      </c>
      <c r="G5707" s="910"/>
      <c r="H5707" s="911">
        <v>11</v>
      </c>
      <c r="I5707" s="912">
        <f>VLOOKUP(E5707,[3]VLP!$B$7:$K$300,10,0)</f>
        <v>2273</v>
      </c>
      <c r="J5707" s="912">
        <f>I5707*H5707</f>
        <v>25003</v>
      </c>
      <c r="K5707" s="912" t="s">
        <v>274</v>
      </c>
      <c r="L5707" s="912"/>
      <c r="M5707" s="912"/>
      <c r="N5707" s="912"/>
      <c r="O5707" s="892">
        <f t="shared" si="359"/>
        <v>0</v>
      </c>
      <c r="P5707" s="903">
        <f t="shared" si="360"/>
        <v>1</v>
      </c>
      <c r="Q5707" s="893">
        <f t="shared" si="361"/>
        <v>2</v>
      </c>
      <c r="R5707" s="894">
        <f t="shared" si="362"/>
        <v>0</v>
      </c>
    </row>
    <row r="5708" spans="1:18">
      <c r="A5708" s="905"/>
      <c r="B5708" s="906"/>
      <c r="C5708" s="907">
        <v>740</v>
      </c>
      <c r="D5708" s="907" t="s">
        <v>12</v>
      </c>
      <c r="E5708" s="908" t="s">
        <v>4008</v>
      </c>
      <c r="F5708" s="909" t="s">
        <v>2674</v>
      </c>
      <c r="G5708" s="910"/>
      <c r="H5708" s="911">
        <v>42.79</v>
      </c>
      <c r="I5708" s="912"/>
      <c r="J5708" s="912"/>
      <c r="K5708" s="912">
        <f>VLOOKUP(E5708,[5]ĐMNC!$A$7:$F$67,4,0)</f>
        <v>221125</v>
      </c>
      <c r="L5708" s="912">
        <f>H5708*K5708</f>
        <v>9461938.75</v>
      </c>
      <c r="M5708" s="912"/>
      <c r="N5708" s="912"/>
      <c r="O5708" s="892">
        <f t="shared" si="359"/>
        <v>0</v>
      </c>
      <c r="P5708" s="903">
        <f t="shared" si="360"/>
        <v>1</v>
      </c>
      <c r="Q5708" s="893">
        <f t="shared" si="361"/>
        <v>1</v>
      </c>
      <c r="R5708" s="894">
        <f t="shared" si="362"/>
        <v>0</v>
      </c>
    </row>
    <row r="5709" spans="1:18" s="847" customFormat="1">
      <c r="A5709" s="905"/>
      <c r="B5709" s="914" t="s">
        <v>1577</v>
      </c>
      <c r="C5709" s="915"/>
      <c r="D5709" s="915"/>
      <c r="E5709" s="916" t="s">
        <v>5815</v>
      </c>
      <c r="F5709" s="917" t="s">
        <v>43</v>
      </c>
      <c r="G5709" s="918"/>
      <c r="H5709" s="919"/>
      <c r="I5709" s="920"/>
      <c r="J5709" s="891">
        <f>SUM(J5710:J5715)</f>
        <v>67503</v>
      </c>
      <c r="K5709" s="891"/>
      <c r="L5709" s="891">
        <f>SUM(L5710:L5715)</f>
        <v>11651076.25</v>
      </c>
      <c r="M5709" s="891"/>
      <c r="N5709" s="891">
        <f>SUM(N5710:N5715)</f>
        <v>0</v>
      </c>
      <c r="O5709" s="892">
        <f t="shared" si="359"/>
        <v>1</v>
      </c>
      <c r="P5709" s="903">
        <f t="shared" si="360"/>
        <v>0</v>
      </c>
      <c r="Q5709" s="893">
        <f t="shared" si="361"/>
        <v>0</v>
      </c>
      <c r="R5709" s="894">
        <f t="shared" si="362"/>
        <v>6</v>
      </c>
    </row>
    <row r="5710" spans="1:18" s="904" customFormat="1">
      <c r="A5710" s="895"/>
      <c r="B5710" s="896"/>
      <c r="C5710" s="897"/>
      <c r="D5710" s="897"/>
      <c r="E5710" s="898" t="s">
        <v>108</v>
      </c>
      <c r="F5710" s="899"/>
      <c r="G5710" s="900"/>
      <c r="H5710" s="901"/>
      <c r="I5710" s="902"/>
      <c r="J5710" s="902"/>
      <c r="K5710" s="912" t="s">
        <v>274</v>
      </c>
      <c r="L5710" s="902"/>
      <c r="M5710" s="902"/>
      <c r="N5710" s="902"/>
      <c r="O5710" s="892">
        <f t="shared" si="359"/>
        <v>0</v>
      </c>
      <c r="P5710" s="903">
        <f t="shared" si="360"/>
        <v>1</v>
      </c>
      <c r="Q5710" s="893">
        <f t="shared" si="361"/>
        <v>6</v>
      </c>
      <c r="R5710" s="894">
        <f t="shared" si="362"/>
        <v>0</v>
      </c>
    </row>
    <row r="5711" spans="1:18">
      <c r="A5711" s="905"/>
      <c r="B5711" s="906"/>
      <c r="C5711" s="907">
        <v>25</v>
      </c>
      <c r="D5711" s="907" t="s">
        <v>279</v>
      </c>
      <c r="E5711" s="925" t="s">
        <v>5656</v>
      </c>
      <c r="F5711" s="926" t="s">
        <v>2690</v>
      </c>
      <c r="G5711" s="910"/>
      <c r="H5711" s="911">
        <v>0.6</v>
      </c>
      <c r="I5711" s="912">
        <f>VLOOKUP(E5711,[3]VLP!$B$7:$K$300,10,0)</f>
        <v>5000</v>
      </c>
      <c r="J5711" s="912">
        <f>I5711*H5711</f>
        <v>3000</v>
      </c>
      <c r="K5711" s="912" t="s">
        <v>274</v>
      </c>
      <c r="L5711" s="912"/>
      <c r="M5711" s="912"/>
      <c r="N5711" s="912"/>
      <c r="O5711" s="892">
        <f t="shared" si="359"/>
        <v>0</v>
      </c>
      <c r="P5711" s="903">
        <f t="shared" si="360"/>
        <v>1</v>
      </c>
      <c r="Q5711" s="893">
        <f t="shared" si="361"/>
        <v>5</v>
      </c>
      <c r="R5711" s="894">
        <f t="shared" si="362"/>
        <v>0</v>
      </c>
    </row>
    <row r="5712" spans="1:18">
      <c r="A5712" s="905"/>
      <c r="B5712" s="906"/>
      <c r="C5712" s="907">
        <v>66</v>
      </c>
      <c r="D5712" s="907" t="s">
        <v>279</v>
      </c>
      <c r="E5712" s="925" t="s">
        <v>2682</v>
      </c>
      <c r="F5712" s="926" t="s">
        <v>45</v>
      </c>
      <c r="G5712" s="910"/>
      <c r="H5712" s="911">
        <v>1</v>
      </c>
      <c r="I5712" s="912">
        <f>VLOOKUP(E5712,[3]VLP!$B$7:$K$300,10,0)</f>
        <v>5000</v>
      </c>
      <c r="J5712" s="912">
        <f>I5712*H5712</f>
        <v>5000</v>
      </c>
      <c r="K5712" s="912" t="s">
        <v>274</v>
      </c>
      <c r="L5712" s="912"/>
      <c r="M5712" s="912"/>
      <c r="N5712" s="912"/>
      <c r="O5712" s="892">
        <f t="shared" si="359"/>
        <v>0</v>
      </c>
      <c r="P5712" s="903">
        <f t="shared" si="360"/>
        <v>1</v>
      </c>
      <c r="Q5712" s="893">
        <f t="shared" si="361"/>
        <v>4</v>
      </c>
      <c r="R5712" s="894">
        <f t="shared" si="362"/>
        <v>0</v>
      </c>
    </row>
    <row r="5713" spans="1:18">
      <c r="A5713" s="905"/>
      <c r="B5713" s="906"/>
      <c r="C5713" s="907">
        <v>44</v>
      </c>
      <c r="D5713" s="907" t="s">
        <v>279</v>
      </c>
      <c r="E5713" s="925" t="s">
        <v>2681</v>
      </c>
      <c r="F5713" s="926" t="s">
        <v>45</v>
      </c>
      <c r="G5713" s="910"/>
      <c r="H5713" s="911">
        <v>1.5</v>
      </c>
      <c r="I5713" s="912">
        <f>VLOOKUP(E5713,[3]VLP!$B$7:$K$300,10,0)</f>
        <v>23000</v>
      </c>
      <c r="J5713" s="912">
        <f>I5713*H5713</f>
        <v>34500</v>
      </c>
      <c r="K5713" s="912" t="s">
        <v>274</v>
      </c>
      <c r="L5713" s="912"/>
      <c r="M5713" s="912"/>
      <c r="N5713" s="912"/>
      <c r="O5713" s="892">
        <f t="shared" si="359"/>
        <v>0</v>
      </c>
      <c r="P5713" s="903">
        <f t="shared" si="360"/>
        <v>1</v>
      </c>
      <c r="Q5713" s="893">
        <f t="shared" si="361"/>
        <v>3</v>
      </c>
      <c r="R5713" s="894">
        <f t="shared" si="362"/>
        <v>0</v>
      </c>
    </row>
    <row r="5714" spans="1:18">
      <c r="A5714" s="905"/>
      <c r="B5714" s="906"/>
      <c r="C5714" s="907">
        <v>56</v>
      </c>
      <c r="D5714" s="907" t="s">
        <v>279</v>
      </c>
      <c r="E5714" s="925" t="s">
        <v>3192</v>
      </c>
      <c r="F5714" s="926" t="s">
        <v>49</v>
      </c>
      <c r="G5714" s="910"/>
      <c r="H5714" s="911">
        <v>11</v>
      </c>
      <c r="I5714" s="912">
        <f>VLOOKUP(E5714,[3]VLP!$B$7:$K$300,10,0)</f>
        <v>2273</v>
      </c>
      <c r="J5714" s="912">
        <f>I5714*H5714</f>
        <v>25003</v>
      </c>
      <c r="K5714" s="912" t="s">
        <v>274</v>
      </c>
      <c r="L5714" s="912"/>
      <c r="M5714" s="912"/>
      <c r="N5714" s="912"/>
      <c r="O5714" s="892">
        <f t="shared" si="359"/>
        <v>0</v>
      </c>
      <c r="P5714" s="903">
        <f t="shared" si="360"/>
        <v>1</v>
      </c>
      <c r="Q5714" s="893">
        <f t="shared" si="361"/>
        <v>2</v>
      </c>
      <c r="R5714" s="894">
        <f t="shared" si="362"/>
        <v>0</v>
      </c>
    </row>
    <row r="5715" spans="1:18">
      <c r="A5715" s="905"/>
      <c r="B5715" s="906"/>
      <c r="C5715" s="907">
        <v>740</v>
      </c>
      <c r="D5715" s="907" t="s">
        <v>12</v>
      </c>
      <c r="E5715" s="908" t="s">
        <v>4008</v>
      </c>
      <c r="F5715" s="909" t="s">
        <v>2674</v>
      </c>
      <c r="G5715" s="910"/>
      <c r="H5715" s="911">
        <v>52.69</v>
      </c>
      <c r="I5715" s="912"/>
      <c r="J5715" s="912"/>
      <c r="K5715" s="912">
        <f>VLOOKUP(E5715,[5]ĐMNC!$A$7:$F$67,4,0)</f>
        <v>221125</v>
      </c>
      <c r="L5715" s="912">
        <f>H5715*K5715</f>
        <v>11651076.25</v>
      </c>
      <c r="M5715" s="912"/>
      <c r="N5715" s="912"/>
      <c r="O5715" s="892">
        <f t="shared" si="359"/>
        <v>0</v>
      </c>
      <c r="P5715" s="903">
        <f t="shared" si="360"/>
        <v>1</v>
      </c>
      <c r="Q5715" s="893">
        <f t="shared" si="361"/>
        <v>1</v>
      </c>
      <c r="R5715" s="894">
        <f t="shared" si="362"/>
        <v>0</v>
      </c>
    </row>
    <row r="5716" spans="1:18" s="847" customFormat="1">
      <c r="A5716" s="905"/>
      <c r="B5716" s="914" t="s">
        <v>1579</v>
      </c>
      <c r="C5716" s="915"/>
      <c r="D5716" s="915"/>
      <c r="E5716" s="916" t="s">
        <v>5816</v>
      </c>
      <c r="F5716" s="917" t="s">
        <v>43</v>
      </c>
      <c r="G5716" s="918"/>
      <c r="H5716" s="919"/>
      <c r="I5716" s="920"/>
      <c r="J5716" s="891">
        <f>SUM(J5717:J5722)</f>
        <v>69803</v>
      </c>
      <c r="K5716" s="891"/>
      <c r="L5716" s="891">
        <f>SUM(L5717:L5722)</f>
        <v>13961832.5</v>
      </c>
      <c r="M5716" s="891"/>
      <c r="N5716" s="891">
        <f>SUM(N5717:N5722)</f>
        <v>0</v>
      </c>
      <c r="O5716" s="892">
        <f t="shared" si="359"/>
        <v>1</v>
      </c>
      <c r="P5716" s="903">
        <f t="shared" si="360"/>
        <v>0</v>
      </c>
      <c r="Q5716" s="893">
        <f t="shared" si="361"/>
        <v>0</v>
      </c>
      <c r="R5716" s="894">
        <f t="shared" si="362"/>
        <v>6</v>
      </c>
    </row>
    <row r="5717" spans="1:18" s="904" customFormat="1">
      <c r="A5717" s="895"/>
      <c r="B5717" s="896"/>
      <c r="C5717" s="897"/>
      <c r="D5717" s="897"/>
      <c r="E5717" s="898" t="s">
        <v>108</v>
      </c>
      <c r="F5717" s="899"/>
      <c r="G5717" s="900"/>
      <c r="H5717" s="901"/>
      <c r="I5717" s="902"/>
      <c r="J5717" s="902"/>
      <c r="K5717" s="912" t="s">
        <v>274</v>
      </c>
      <c r="L5717" s="902"/>
      <c r="M5717" s="902"/>
      <c r="N5717" s="902"/>
      <c r="O5717" s="892">
        <f t="shared" si="359"/>
        <v>0</v>
      </c>
      <c r="P5717" s="903">
        <f t="shared" si="360"/>
        <v>1</v>
      </c>
      <c r="Q5717" s="893">
        <f t="shared" si="361"/>
        <v>6</v>
      </c>
      <c r="R5717" s="894">
        <f t="shared" si="362"/>
        <v>0</v>
      </c>
    </row>
    <row r="5718" spans="1:18">
      <c r="A5718" s="905"/>
      <c r="B5718" s="906"/>
      <c r="C5718" s="907">
        <v>25</v>
      </c>
      <c r="D5718" s="907" t="s">
        <v>279</v>
      </c>
      <c r="E5718" s="925" t="s">
        <v>5656</v>
      </c>
      <c r="F5718" s="926" t="s">
        <v>2690</v>
      </c>
      <c r="G5718" s="910"/>
      <c r="H5718" s="911">
        <v>0.6</v>
      </c>
      <c r="I5718" s="912">
        <f>VLOOKUP(E5718,[3]VLP!$B$7:$K$300,10,0)</f>
        <v>5000</v>
      </c>
      <c r="J5718" s="912">
        <f>I5718*H5718</f>
        <v>3000</v>
      </c>
      <c r="K5718" s="912" t="s">
        <v>274</v>
      </c>
      <c r="L5718" s="912"/>
      <c r="M5718" s="912"/>
      <c r="N5718" s="912"/>
      <c r="O5718" s="892">
        <f t="shared" si="359"/>
        <v>0</v>
      </c>
      <c r="P5718" s="903">
        <f t="shared" si="360"/>
        <v>1</v>
      </c>
      <c r="Q5718" s="893">
        <f t="shared" si="361"/>
        <v>5</v>
      </c>
      <c r="R5718" s="894">
        <f t="shared" si="362"/>
        <v>0</v>
      </c>
    </row>
    <row r="5719" spans="1:18">
      <c r="A5719" s="905"/>
      <c r="B5719" s="906"/>
      <c r="C5719" s="907">
        <v>66</v>
      </c>
      <c r="D5719" s="907" t="s">
        <v>279</v>
      </c>
      <c r="E5719" s="925" t="s">
        <v>2682</v>
      </c>
      <c r="F5719" s="926" t="s">
        <v>45</v>
      </c>
      <c r="G5719" s="910"/>
      <c r="H5719" s="911">
        <v>1</v>
      </c>
      <c r="I5719" s="912">
        <f>VLOOKUP(E5719,[3]VLP!$B$7:$K$300,10,0)</f>
        <v>5000</v>
      </c>
      <c r="J5719" s="912">
        <f>I5719*H5719</f>
        <v>5000</v>
      </c>
      <c r="K5719" s="912" t="s">
        <v>274</v>
      </c>
      <c r="L5719" s="912"/>
      <c r="M5719" s="912"/>
      <c r="N5719" s="912"/>
      <c r="O5719" s="892">
        <f t="shared" si="359"/>
        <v>0</v>
      </c>
      <c r="P5719" s="903">
        <f t="shared" si="360"/>
        <v>1</v>
      </c>
      <c r="Q5719" s="893">
        <f t="shared" si="361"/>
        <v>4</v>
      </c>
      <c r="R5719" s="894">
        <f t="shared" si="362"/>
        <v>0</v>
      </c>
    </row>
    <row r="5720" spans="1:18">
      <c r="A5720" s="905"/>
      <c r="B5720" s="906"/>
      <c r="C5720" s="907">
        <v>44</v>
      </c>
      <c r="D5720" s="907" t="s">
        <v>279</v>
      </c>
      <c r="E5720" s="925" t="s">
        <v>2681</v>
      </c>
      <c r="F5720" s="926" t="s">
        <v>45</v>
      </c>
      <c r="G5720" s="910"/>
      <c r="H5720" s="911">
        <v>1.6</v>
      </c>
      <c r="I5720" s="912">
        <f>VLOOKUP(E5720,[3]VLP!$B$7:$K$300,10,0)</f>
        <v>23000</v>
      </c>
      <c r="J5720" s="912">
        <f>I5720*H5720</f>
        <v>36800</v>
      </c>
      <c r="K5720" s="912" t="s">
        <v>274</v>
      </c>
      <c r="L5720" s="912"/>
      <c r="M5720" s="912"/>
      <c r="N5720" s="912"/>
      <c r="O5720" s="892">
        <f t="shared" si="359"/>
        <v>0</v>
      </c>
      <c r="P5720" s="903">
        <f t="shared" si="360"/>
        <v>1</v>
      </c>
      <c r="Q5720" s="893">
        <f t="shared" si="361"/>
        <v>3</v>
      </c>
      <c r="R5720" s="894">
        <f t="shared" si="362"/>
        <v>0</v>
      </c>
    </row>
    <row r="5721" spans="1:18">
      <c r="A5721" s="905"/>
      <c r="B5721" s="906"/>
      <c r="C5721" s="907">
        <v>56</v>
      </c>
      <c r="D5721" s="907" t="s">
        <v>279</v>
      </c>
      <c r="E5721" s="925" t="s">
        <v>3192</v>
      </c>
      <c r="F5721" s="926" t="s">
        <v>49</v>
      </c>
      <c r="G5721" s="910"/>
      <c r="H5721" s="911">
        <v>11</v>
      </c>
      <c r="I5721" s="912">
        <f>VLOOKUP(E5721,[3]VLP!$B$7:$K$300,10,0)</f>
        <v>2273</v>
      </c>
      <c r="J5721" s="912">
        <f>I5721*H5721</f>
        <v>25003</v>
      </c>
      <c r="K5721" s="912" t="s">
        <v>274</v>
      </c>
      <c r="L5721" s="912"/>
      <c r="M5721" s="912"/>
      <c r="N5721" s="912"/>
      <c r="O5721" s="892">
        <f t="shared" si="359"/>
        <v>0</v>
      </c>
      <c r="P5721" s="903">
        <f t="shared" si="360"/>
        <v>1</v>
      </c>
      <c r="Q5721" s="893">
        <f t="shared" si="361"/>
        <v>2</v>
      </c>
      <c r="R5721" s="894">
        <f t="shared" si="362"/>
        <v>0</v>
      </c>
    </row>
    <row r="5722" spans="1:18">
      <c r="A5722" s="905"/>
      <c r="B5722" s="906"/>
      <c r="C5722" s="907">
        <v>740</v>
      </c>
      <c r="D5722" s="907" t="s">
        <v>12</v>
      </c>
      <c r="E5722" s="908" t="s">
        <v>4008</v>
      </c>
      <c r="F5722" s="909" t="s">
        <v>2674</v>
      </c>
      <c r="G5722" s="910"/>
      <c r="H5722" s="911">
        <v>63.14</v>
      </c>
      <c r="I5722" s="912"/>
      <c r="J5722" s="912"/>
      <c r="K5722" s="912">
        <f>VLOOKUP(E5722,[5]ĐMNC!$A$7:$F$67,4,0)</f>
        <v>221125</v>
      </c>
      <c r="L5722" s="912">
        <f>H5722*K5722</f>
        <v>13961832.5</v>
      </c>
      <c r="M5722" s="912"/>
      <c r="N5722" s="912"/>
      <c r="O5722" s="892">
        <f t="shared" si="359"/>
        <v>0</v>
      </c>
      <c r="P5722" s="903">
        <f t="shared" si="360"/>
        <v>1</v>
      </c>
      <c r="Q5722" s="893">
        <f t="shared" si="361"/>
        <v>1</v>
      </c>
      <c r="R5722" s="894">
        <f t="shared" si="362"/>
        <v>0</v>
      </c>
    </row>
    <row r="5723" spans="1:18" s="847" customFormat="1" ht="31.5">
      <c r="A5723" s="905" t="s">
        <v>5817</v>
      </c>
      <c r="B5723" s="914" t="s">
        <v>5818</v>
      </c>
      <c r="C5723" s="915"/>
      <c r="D5723" s="915"/>
      <c r="E5723" s="916" t="s">
        <v>5819</v>
      </c>
      <c r="F5723" s="917" t="s">
        <v>2271</v>
      </c>
      <c r="G5723" s="918"/>
      <c r="H5723" s="919"/>
      <c r="I5723" s="920"/>
      <c r="J5723" s="891">
        <f>SUM(J5724:J5729)</f>
        <v>32700</v>
      </c>
      <c r="K5723" s="891"/>
      <c r="L5723" s="891">
        <f>SUM(L5724:L5729)</f>
        <v>190040.03</v>
      </c>
      <c r="M5723" s="891"/>
      <c r="N5723" s="891">
        <f>SUM(N5724:N5729)</f>
        <v>0</v>
      </c>
      <c r="O5723" s="892">
        <f t="shared" si="359"/>
        <v>1</v>
      </c>
      <c r="P5723" s="903">
        <f t="shared" si="360"/>
        <v>0</v>
      </c>
      <c r="Q5723" s="893">
        <f t="shared" si="361"/>
        <v>0</v>
      </c>
      <c r="R5723" s="894">
        <f t="shared" si="362"/>
        <v>6</v>
      </c>
    </row>
    <row r="5724" spans="1:18" s="904" customFormat="1">
      <c r="A5724" s="895"/>
      <c r="B5724" s="896"/>
      <c r="C5724" s="897"/>
      <c r="D5724" s="897"/>
      <c r="E5724" s="898" t="s">
        <v>108</v>
      </c>
      <c r="F5724" s="899"/>
      <c r="G5724" s="900"/>
      <c r="H5724" s="901"/>
      <c r="I5724" s="902"/>
      <c r="J5724" s="902"/>
      <c r="K5724" s="912" t="s">
        <v>274</v>
      </c>
      <c r="L5724" s="902"/>
      <c r="M5724" s="902"/>
      <c r="N5724" s="902"/>
      <c r="O5724" s="892">
        <f t="shared" si="359"/>
        <v>0</v>
      </c>
      <c r="P5724" s="903">
        <f t="shared" si="360"/>
        <v>1</v>
      </c>
      <c r="Q5724" s="893">
        <f t="shared" si="361"/>
        <v>6</v>
      </c>
      <c r="R5724" s="894">
        <f t="shared" si="362"/>
        <v>0</v>
      </c>
    </row>
    <row r="5725" spans="1:18">
      <c r="A5725" s="905"/>
      <c r="B5725" s="906"/>
      <c r="C5725" s="907">
        <v>44</v>
      </c>
      <c r="D5725" s="907" t="s">
        <v>279</v>
      </c>
      <c r="E5725" s="925" t="s">
        <v>2681</v>
      </c>
      <c r="F5725" s="926" t="s">
        <v>45</v>
      </c>
      <c r="G5725" s="910"/>
      <c r="H5725" s="911">
        <v>0.3</v>
      </c>
      <c r="I5725" s="912">
        <f>VLOOKUP(E5725,[3]VLP!$B$7:$K$300,10,0)</f>
        <v>23000</v>
      </c>
      <c r="J5725" s="912">
        <f>I5725*H5725</f>
        <v>6900</v>
      </c>
      <c r="K5725" s="912" t="s">
        <v>274</v>
      </c>
      <c r="L5725" s="912"/>
      <c r="M5725" s="912"/>
      <c r="N5725" s="912"/>
      <c r="O5725" s="892">
        <f t="shared" si="359"/>
        <v>0</v>
      </c>
      <c r="P5725" s="903">
        <f t="shared" si="360"/>
        <v>1</v>
      </c>
      <c r="Q5725" s="893">
        <f t="shared" si="361"/>
        <v>5</v>
      </c>
      <c r="R5725" s="894">
        <f t="shared" si="362"/>
        <v>0</v>
      </c>
    </row>
    <row r="5726" spans="1:18">
      <c r="A5726" s="905"/>
      <c r="B5726" s="906"/>
      <c r="C5726" s="907">
        <v>66</v>
      </c>
      <c r="D5726" s="907" t="s">
        <v>279</v>
      </c>
      <c r="E5726" s="925" t="s">
        <v>2682</v>
      </c>
      <c r="F5726" s="926" t="s">
        <v>45</v>
      </c>
      <c r="G5726" s="910"/>
      <c r="H5726" s="911">
        <v>0.16</v>
      </c>
      <c r="I5726" s="912">
        <f>VLOOKUP(E5726,[3]VLP!$B$7:$K$300,10,0)</f>
        <v>5000</v>
      </c>
      <c r="J5726" s="912">
        <f>I5726*H5726</f>
        <v>800</v>
      </c>
      <c r="K5726" s="912" t="s">
        <v>274</v>
      </c>
      <c r="L5726" s="912"/>
      <c r="M5726" s="912"/>
      <c r="N5726" s="912"/>
      <c r="O5726" s="892">
        <f t="shared" si="359"/>
        <v>0</v>
      </c>
      <c r="P5726" s="903">
        <f t="shared" si="360"/>
        <v>1</v>
      </c>
      <c r="Q5726" s="893">
        <f t="shared" si="361"/>
        <v>4</v>
      </c>
      <c r="R5726" s="894">
        <f t="shared" si="362"/>
        <v>0</v>
      </c>
    </row>
    <row r="5727" spans="1:18">
      <c r="A5727" s="905"/>
      <c r="B5727" s="906"/>
      <c r="C5727" s="907">
        <v>699</v>
      </c>
      <c r="D5727" s="907" t="s">
        <v>279</v>
      </c>
      <c r="E5727" s="925" t="s">
        <v>4006</v>
      </c>
      <c r="F5727" s="926" t="s">
        <v>4007</v>
      </c>
      <c r="G5727" s="910"/>
      <c r="H5727" s="911">
        <v>5</v>
      </c>
      <c r="I5727" s="912">
        <f>VLOOKUP(E5727,[3]VLP!$B$7:$K$300,10,0)</f>
        <v>5000</v>
      </c>
      <c r="J5727" s="912">
        <f>I5727*H5727</f>
        <v>25000</v>
      </c>
      <c r="K5727" s="912" t="s">
        <v>274</v>
      </c>
      <c r="L5727" s="912"/>
      <c r="M5727" s="912"/>
      <c r="N5727" s="912"/>
      <c r="O5727" s="892">
        <f t="shared" ref="O5727:O5790" si="363">IF(AND(B5727&lt;&gt;"",D5727=""),1,0)</f>
        <v>0</v>
      </c>
      <c r="P5727" s="903">
        <f t="shared" si="360"/>
        <v>1</v>
      </c>
      <c r="Q5727" s="893">
        <f t="shared" si="361"/>
        <v>3</v>
      </c>
      <c r="R5727" s="894">
        <f t="shared" si="362"/>
        <v>0</v>
      </c>
    </row>
    <row r="5728" spans="1:18" s="904" customFormat="1">
      <c r="A5728" s="895"/>
      <c r="B5728" s="896"/>
      <c r="C5728" s="897"/>
      <c r="D5728" s="897"/>
      <c r="E5728" s="924" t="s">
        <v>276</v>
      </c>
      <c r="F5728" s="927"/>
      <c r="G5728" s="928"/>
      <c r="H5728" s="901"/>
      <c r="I5728" s="902"/>
      <c r="J5728" s="902"/>
      <c r="K5728" s="912" t="s">
        <v>274</v>
      </c>
      <c r="L5728" s="902"/>
      <c r="M5728" s="902"/>
      <c r="N5728" s="902"/>
      <c r="O5728" s="892">
        <f t="shared" si="363"/>
        <v>0</v>
      </c>
      <c r="P5728" s="903">
        <f t="shared" si="360"/>
        <v>1</v>
      </c>
      <c r="Q5728" s="893">
        <f t="shared" si="361"/>
        <v>2</v>
      </c>
      <c r="R5728" s="894">
        <f t="shared" si="362"/>
        <v>0</v>
      </c>
    </row>
    <row r="5729" spans="1:18">
      <c r="A5729" s="905"/>
      <c r="B5729" s="906"/>
      <c r="C5729" s="907">
        <v>745</v>
      </c>
      <c r="D5729" s="907" t="s">
        <v>12</v>
      </c>
      <c r="E5729" s="908" t="s">
        <v>5518</v>
      </c>
      <c r="F5729" s="909" t="s">
        <v>2674</v>
      </c>
      <c r="G5729" s="910"/>
      <c r="H5729" s="911">
        <v>0.79</v>
      </c>
      <c r="I5729" s="912"/>
      <c r="J5729" s="912"/>
      <c r="K5729" s="912">
        <f>VLOOKUP(E5729,[5]ĐMNC!$A$7:$F$67,4,0)</f>
        <v>240557</v>
      </c>
      <c r="L5729" s="912">
        <f>H5729*K5729</f>
        <v>190040.03</v>
      </c>
      <c r="M5729" s="912"/>
      <c r="N5729" s="912"/>
      <c r="O5729" s="892">
        <f t="shared" si="363"/>
        <v>0</v>
      </c>
      <c r="P5729" s="903">
        <f t="shared" si="360"/>
        <v>1</v>
      </c>
      <c r="Q5729" s="893">
        <f t="shared" si="361"/>
        <v>1</v>
      </c>
      <c r="R5729" s="894">
        <f t="shared" si="362"/>
        <v>0</v>
      </c>
    </row>
    <row r="5730" spans="1:18" s="847" customFormat="1" ht="31.5">
      <c r="A5730" s="905"/>
      <c r="B5730" s="914" t="s">
        <v>5820</v>
      </c>
      <c r="C5730" s="915"/>
      <c r="D5730" s="915"/>
      <c r="E5730" s="916" t="s">
        <v>5821</v>
      </c>
      <c r="F5730" s="917" t="s">
        <v>2271</v>
      </c>
      <c r="G5730" s="918"/>
      <c r="H5730" s="919"/>
      <c r="I5730" s="920"/>
      <c r="J5730" s="891">
        <f>SUM(J5731:J5736)</f>
        <v>32700</v>
      </c>
      <c r="K5730" s="891"/>
      <c r="L5730" s="891">
        <f>SUM(L5731:L5736)</f>
        <v>218906.87</v>
      </c>
      <c r="M5730" s="891"/>
      <c r="N5730" s="891">
        <f>SUM(N5731:N5736)</f>
        <v>0</v>
      </c>
      <c r="O5730" s="892">
        <f t="shared" si="363"/>
        <v>1</v>
      </c>
      <c r="P5730" s="903">
        <f t="shared" si="360"/>
        <v>0</v>
      </c>
      <c r="Q5730" s="893">
        <f t="shared" si="361"/>
        <v>0</v>
      </c>
      <c r="R5730" s="894">
        <f t="shared" si="362"/>
        <v>6</v>
      </c>
    </row>
    <row r="5731" spans="1:18" s="904" customFormat="1">
      <c r="A5731" s="895"/>
      <c r="B5731" s="896"/>
      <c r="C5731" s="897"/>
      <c r="D5731" s="897"/>
      <c r="E5731" s="898" t="s">
        <v>108</v>
      </c>
      <c r="F5731" s="899"/>
      <c r="G5731" s="900"/>
      <c r="H5731" s="901"/>
      <c r="I5731" s="902"/>
      <c r="J5731" s="902"/>
      <c r="K5731" s="912" t="s">
        <v>274</v>
      </c>
      <c r="L5731" s="902"/>
      <c r="M5731" s="902"/>
      <c r="N5731" s="902"/>
      <c r="O5731" s="892">
        <f t="shared" si="363"/>
        <v>0</v>
      </c>
      <c r="P5731" s="903">
        <f t="shared" si="360"/>
        <v>1</v>
      </c>
      <c r="Q5731" s="893">
        <f t="shared" si="361"/>
        <v>6</v>
      </c>
      <c r="R5731" s="894">
        <f t="shared" si="362"/>
        <v>0</v>
      </c>
    </row>
    <row r="5732" spans="1:18">
      <c r="A5732" s="905"/>
      <c r="B5732" s="906"/>
      <c r="C5732" s="907">
        <v>44</v>
      </c>
      <c r="D5732" s="907" t="s">
        <v>279</v>
      </c>
      <c r="E5732" s="925" t="s">
        <v>2681</v>
      </c>
      <c r="F5732" s="926" t="s">
        <v>45</v>
      </c>
      <c r="G5732" s="910"/>
      <c r="H5732" s="911">
        <v>0.3</v>
      </c>
      <c r="I5732" s="912">
        <f>VLOOKUP(E5732,[3]VLP!$B$7:$K$300,10,0)</f>
        <v>23000</v>
      </c>
      <c r="J5732" s="912">
        <f>I5732*H5732</f>
        <v>6900</v>
      </c>
      <c r="K5732" s="912" t="s">
        <v>274</v>
      </c>
      <c r="L5732" s="912"/>
      <c r="M5732" s="912"/>
      <c r="N5732" s="912"/>
      <c r="O5732" s="892">
        <f t="shared" si="363"/>
        <v>0</v>
      </c>
      <c r="P5732" s="903">
        <f t="shared" si="360"/>
        <v>1</v>
      </c>
      <c r="Q5732" s="893">
        <f t="shared" si="361"/>
        <v>5</v>
      </c>
      <c r="R5732" s="894">
        <f t="shared" si="362"/>
        <v>0</v>
      </c>
    </row>
    <row r="5733" spans="1:18">
      <c r="A5733" s="905"/>
      <c r="B5733" s="906"/>
      <c r="C5733" s="907">
        <v>66</v>
      </c>
      <c r="D5733" s="907" t="s">
        <v>279</v>
      </c>
      <c r="E5733" s="925" t="s">
        <v>2682</v>
      </c>
      <c r="F5733" s="926" t="s">
        <v>45</v>
      </c>
      <c r="G5733" s="910"/>
      <c r="H5733" s="911">
        <v>0.16</v>
      </c>
      <c r="I5733" s="912">
        <f>VLOOKUP(E5733,[3]VLP!$B$7:$K$300,10,0)</f>
        <v>5000</v>
      </c>
      <c r="J5733" s="912">
        <f>I5733*H5733</f>
        <v>800</v>
      </c>
      <c r="K5733" s="912" t="s">
        <v>274</v>
      </c>
      <c r="L5733" s="912"/>
      <c r="M5733" s="912"/>
      <c r="N5733" s="912"/>
      <c r="O5733" s="892">
        <f t="shared" si="363"/>
        <v>0</v>
      </c>
      <c r="P5733" s="903">
        <f t="shared" si="360"/>
        <v>1</v>
      </c>
      <c r="Q5733" s="893">
        <f t="shared" si="361"/>
        <v>4</v>
      </c>
      <c r="R5733" s="894">
        <f t="shared" si="362"/>
        <v>0</v>
      </c>
    </row>
    <row r="5734" spans="1:18">
      <c r="A5734" s="905"/>
      <c r="B5734" s="906"/>
      <c r="C5734" s="907">
        <v>699</v>
      </c>
      <c r="D5734" s="907" t="s">
        <v>279</v>
      </c>
      <c r="E5734" s="925" t="s">
        <v>4006</v>
      </c>
      <c r="F5734" s="926" t="s">
        <v>4007</v>
      </c>
      <c r="G5734" s="910"/>
      <c r="H5734" s="911">
        <v>5</v>
      </c>
      <c r="I5734" s="912">
        <f>VLOOKUP(E5734,[3]VLP!$B$7:$K$300,10,0)</f>
        <v>5000</v>
      </c>
      <c r="J5734" s="912">
        <f>I5734*H5734</f>
        <v>25000</v>
      </c>
      <c r="K5734" s="912" t="s">
        <v>274</v>
      </c>
      <c r="L5734" s="912"/>
      <c r="M5734" s="912"/>
      <c r="N5734" s="912"/>
      <c r="O5734" s="892">
        <f t="shared" si="363"/>
        <v>0</v>
      </c>
      <c r="P5734" s="903">
        <f t="shared" si="360"/>
        <v>1</v>
      </c>
      <c r="Q5734" s="893">
        <f t="shared" si="361"/>
        <v>3</v>
      </c>
      <c r="R5734" s="894">
        <f t="shared" si="362"/>
        <v>0</v>
      </c>
    </row>
    <row r="5735" spans="1:18" s="904" customFormat="1">
      <c r="A5735" s="895"/>
      <c r="B5735" s="896"/>
      <c r="C5735" s="897"/>
      <c r="D5735" s="897"/>
      <c r="E5735" s="924" t="s">
        <v>276</v>
      </c>
      <c r="F5735" s="927"/>
      <c r="G5735" s="928"/>
      <c r="H5735" s="901"/>
      <c r="I5735" s="902"/>
      <c r="J5735" s="902"/>
      <c r="K5735" s="912" t="s">
        <v>274</v>
      </c>
      <c r="L5735" s="902"/>
      <c r="M5735" s="902"/>
      <c r="N5735" s="902"/>
      <c r="O5735" s="892">
        <f t="shared" si="363"/>
        <v>0</v>
      </c>
      <c r="P5735" s="903">
        <f t="shared" si="360"/>
        <v>1</v>
      </c>
      <c r="Q5735" s="893">
        <f t="shared" si="361"/>
        <v>2</v>
      </c>
      <c r="R5735" s="894">
        <f t="shared" si="362"/>
        <v>0</v>
      </c>
    </row>
    <row r="5736" spans="1:18">
      <c r="A5736" s="905"/>
      <c r="B5736" s="906"/>
      <c r="C5736" s="907">
        <v>745</v>
      </c>
      <c r="D5736" s="907" t="s">
        <v>12</v>
      </c>
      <c r="E5736" s="908" t="s">
        <v>5518</v>
      </c>
      <c r="F5736" s="909" t="s">
        <v>2674</v>
      </c>
      <c r="G5736" s="910"/>
      <c r="H5736" s="911">
        <v>0.91</v>
      </c>
      <c r="I5736" s="912"/>
      <c r="J5736" s="912"/>
      <c r="K5736" s="912">
        <f>VLOOKUP(E5736,[5]ĐMNC!$A$7:$F$67,4,0)</f>
        <v>240557</v>
      </c>
      <c r="L5736" s="912">
        <f>H5736*K5736</f>
        <v>218906.87</v>
      </c>
      <c r="M5736" s="912"/>
      <c r="N5736" s="912"/>
      <c r="O5736" s="892">
        <f t="shared" si="363"/>
        <v>0</v>
      </c>
      <c r="P5736" s="903">
        <f t="shared" ref="P5736:P5799" si="364">IF(O5736=0,1,0)</f>
        <v>1</v>
      </c>
      <c r="Q5736" s="893">
        <f t="shared" ref="Q5736:Q5799" si="365">IF(P5736=0,0,P5736+Q5737)</f>
        <v>1</v>
      </c>
      <c r="R5736" s="894">
        <f t="shared" ref="R5736:R5799" si="366">IF(Q5736=0,Q5737,0)</f>
        <v>0</v>
      </c>
    </row>
    <row r="5737" spans="1:18" s="847" customFormat="1" ht="31.5">
      <c r="A5737" s="905"/>
      <c r="B5737" s="914" t="s">
        <v>5822</v>
      </c>
      <c r="C5737" s="915"/>
      <c r="D5737" s="915"/>
      <c r="E5737" s="916" t="s">
        <v>5823</v>
      </c>
      <c r="F5737" s="917" t="s">
        <v>2271</v>
      </c>
      <c r="G5737" s="918"/>
      <c r="H5737" s="919"/>
      <c r="I5737" s="920"/>
      <c r="J5737" s="891">
        <f>SUM(J5738:J5743)</f>
        <v>32900</v>
      </c>
      <c r="K5737" s="891"/>
      <c r="L5737" s="891">
        <f>SUM(L5738:L5743)</f>
        <v>259801.56000000003</v>
      </c>
      <c r="M5737" s="891"/>
      <c r="N5737" s="891">
        <f>SUM(N5738:N5743)</f>
        <v>0</v>
      </c>
      <c r="O5737" s="892">
        <f t="shared" si="363"/>
        <v>1</v>
      </c>
      <c r="P5737" s="903">
        <f t="shared" si="364"/>
        <v>0</v>
      </c>
      <c r="Q5737" s="893">
        <f t="shared" si="365"/>
        <v>0</v>
      </c>
      <c r="R5737" s="894">
        <f t="shared" si="366"/>
        <v>6</v>
      </c>
    </row>
    <row r="5738" spans="1:18" s="904" customFormat="1">
      <c r="A5738" s="895"/>
      <c r="B5738" s="896"/>
      <c r="C5738" s="897"/>
      <c r="D5738" s="897"/>
      <c r="E5738" s="898" t="s">
        <v>108</v>
      </c>
      <c r="F5738" s="899"/>
      <c r="G5738" s="900"/>
      <c r="H5738" s="901"/>
      <c r="I5738" s="902"/>
      <c r="J5738" s="902"/>
      <c r="K5738" s="912" t="s">
        <v>274</v>
      </c>
      <c r="L5738" s="902"/>
      <c r="M5738" s="902"/>
      <c r="N5738" s="902"/>
      <c r="O5738" s="892">
        <f t="shared" si="363"/>
        <v>0</v>
      </c>
      <c r="P5738" s="903">
        <f t="shared" si="364"/>
        <v>1</v>
      </c>
      <c r="Q5738" s="893">
        <f t="shared" si="365"/>
        <v>6</v>
      </c>
      <c r="R5738" s="894">
        <f t="shared" si="366"/>
        <v>0</v>
      </c>
    </row>
    <row r="5739" spans="1:18">
      <c r="A5739" s="905"/>
      <c r="B5739" s="906"/>
      <c r="C5739" s="907">
        <v>44</v>
      </c>
      <c r="D5739" s="907" t="s">
        <v>279</v>
      </c>
      <c r="E5739" s="925" t="s">
        <v>2681</v>
      </c>
      <c r="F5739" s="926" t="s">
        <v>45</v>
      </c>
      <c r="G5739" s="910"/>
      <c r="H5739" s="911">
        <v>0.3</v>
      </c>
      <c r="I5739" s="912">
        <f>VLOOKUP(E5739,[3]VLP!$B$7:$K$300,10,0)</f>
        <v>23000</v>
      </c>
      <c r="J5739" s="912">
        <f>I5739*H5739</f>
        <v>6900</v>
      </c>
      <c r="K5739" s="912" t="s">
        <v>274</v>
      </c>
      <c r="L5739" s="912"/>
      <c r="M5739" s="912"/>
      <c r="N5739" s="912"/>
      <c r="O5739" s="892">
        <f t="shared" si="363"/>
        <v>0</v>
      </c>
      <c r="P5739" s="903">
        <f t="shared" si="364"/>
        <v>1</v>
      </c>
      <c r="Q5739" s="893">
        <f t="shared" si="365"/>
        <v>5</v>
      </c>
      <c r="R5739" s="894">
        <f t="shared" si="366"/>
        <v>0</v>
      </c>
    </row>
    <row r="5740" spans="1:18">
      <c r="A5740" s="905"/>
      <c r="B5740" s="906"/>
      <c r="C5740" s="907">
        <v>66</v>
      </c>
      <c r="D5740" s="907" t="s">
        <v>279</v>
      </c>
      <c r="E5740" s="925" t="s">
        <v>2682</v>
      </c>
      <c r="F5740" s="926" t="s">
        <v>45</v>
      </c>
      <c r="G5740" s="910"/>
      <c r="H5740" s="911">
        <v>0.2</v>
      </c>
      <c r="I5740" s="912">
        <f>VLOOKUP(E5740,[3]VLP!$B$7:$K$300,10,0)</f>
        <v>5000</v>
      </c>
      <c r="J5740" s="912">
        <f>I5740*H5740</f>
        <v>1000</v>
      </c>
      <c r="K5740" s="912" t="s">
        <v>274</v>
      </c>
      <c r="L5740" s="912"/>
      <c r="M5740" s="912"/>
      <c r="N5740" s="912"/>
      <c r="O5740" s="892">
        <f t="shared" si="363"/>
        <v>0</v>
      </c>
      <c r="P5740" s="903">
        <f t="shared" si="364"/>
        <v>1</v>
      </c>
      <c r="Q5740" s="893">
        <f t="shared" si="365"/>
        <v>4</v>
      </c>
      <c r="R5740" s="894">
        <f t="shared" si="366"/>
        <v>0</v>
      </c>
    </row>
    <row r="5741" spans="1:18">
      <c r="A5741" s="905"/>
      <c r="B5741" s="906"/>
      <c r="C5741" s="907">
        <v>699</v>
      </c>
      <c r="D5741" s="907" t="s">
        <v>279</v>
      </c>
      <c r="E5741" s="925" t="s">
        <v>4006</v>
      </c>
      <c r="F5741" s="926" t="s">
        <v>4007</v>
      </c>
      <c r="G5741" s="910"/>
      <c r="H5741" s="911">
        <v>5</v>
      </c>
      <c r="I5741" s="912">
        <f>VLOOKUP(E5741,[3]VLP!$B$7:$K$300,10,0)</f>
        <v>5000</v>
      </c>
      <c r="J5741" s="912">
        <f>I5741*H5741</f>
        <v>25000</v>
      </c>
      <c r="K5741" s="912" t="s">
        <v>274</v>
      </c>
      <c r="L5741" s="912"/>
      <c r="M5741" s="912"/>
      <c r="N5741" s="912"/>
      <c r="O5741" s="892">
        <f t="shared" si="363"/>
        <v>0</v>
      </c>
      <c r="P5741" s="903">
        <f t="shared" si="364"/>
        <v>1</v>
      </c>
      <c r="Q5741" s="893">
        <f t="shared" si="365"/>
        <v>3</v>
      </c>
      <c r="R5741" s="894">
        <f t="shared" si="366"/>
        <v>0</v>
      </c>
    </row>
    <row r="5742" spans="1:18" s="904" customFormat="1">
      <c r="A5742" s="895"/>
      <c r="B5742" s="896"/>
      <c r="C5742" s="897"/>
      <c r="D5742" s="897"/>
      <c r="E5742" s="924" t="s">
        <v>276</v>
      </c>
      <c r="F5742" s="927"/>
      <c r="G5742" s="928"/>
      <c r="H5742" s="901"/>
      <c r="I5742" s="902"/>
      <c r="J5742" s="902"/>
      <c r="K5742" s="912" t="s">
        <v>274</v>
      </c>
      <c r="L5742" s="902"/>
      <c r="M5742" s="902"/>
      <c r="N5742" s="902"/>
      <c r="O5742" s="892">
        <f t="shared" si="363"/>
        <v>0</v>
      </c>
      <c r="P5742" s="903">
        <f t="shared" si="364"/>
        <v>1</v>
      </c>
      <c r="Q5742" s="893">
        <f t="shared" si="365"/>
        <v>2</v>
      </c>
      <c r="R5742" s="894">
        <f t="shared" si="366"/>
        <v>0</v>
      </c>
    </row>
    <row r="5743" spans="1:18">
      <c r="A5743" s="905"/>
      <c r="B5743" s="906"/>
      <c r="C5743" s="907">
        <v>745</v>
      </c>
      <c r="D5743" s="907" t="s">
        <v>12</v>
      </c>
      <c r="E5743" s="908" t="s">
        <v>5518</v>
      </c>
      <c r="F5743" s="909" t="s">
        <v>2674</v>
      </c>
      <c r="G5743" s="910"/>
      <c r="H5743" s="911">
        <v>1.08</v>
      </c>
      <c r="I5743" s="912"/>
      <c r="J5743" s="912"/>
      <c r="K5743" s="912">
        <f>VLOOKUP(E5743,[5]ĐMNC!$A$7:$F$67,4,0)</f>
        <v>240557</v>
      </c>
      <c r="L5743" s="912">
        <f>H5743*K5743</f>
        <v>259801.56000000003</v>
      </c>
      <c r="M5743" s="912"/>
      <c r="N5743" s="912"/>
      <c r="O5743" s="892">
        <f t="shared" si="363"/>
        <v>0</v>
      </c>
      <c r="P5743" s="903">
        <f t="shared" si="364"/>
        <v>1</v>
      </c>
      <c r="Q5743" s="893">
        <f t="shared" si="365"/>
        <v>1</v>
      </c>
      <c r="R5743" s="894">
        <f t="shared" si="366"/>
        <v>0</v>
      </c>
    </row>
    <row r="5744" spans="1:18" s="847" customFormat="1" ht="31.5">
      <c r="A5744" s="905"/>
      <c r="B5744" s="914" t="s">
        <v>3522</v>
      </c>
      <c r="C5744" s="915"/>
      <c r="D5744" s="915"/>
      <c r="E5744" s="916" t="s">
        <v>5824</v>
      </c>
      <c r="F5744" s="917" t="s">
        <v>2271</v>
      </c>
      <c r="G5744" s="918"/>
      <c r="H5744" s="919"/>
      <c r="I5744" s="920"/>
      <c r="J5744" s="891">
        <f>SUM(J5745:J5750)</f>
        <v>35200</v>
      </c>
      <c r="K5744" s="891"/>
      <c r="L5744" s="891">
        <f>SUM(L5745:L5750)</f>
        <v>274234.98</v>
      </c>
      <c r="M5744" s="891"/>
      <c r="N5744" s="891">
        <f>SUM(N5745:N5750)</f>
        <v>0</v>
      </c>
      <c r="O5744" s="892">
        <f t="shared" si="363"/>
        <v>1</v>
      </c>
      <c r="P5744" s="903">
        <f t="shared" si="364"/>
        <v>0</v>
      </c>
      <c r="Q5744" s="893">
        <f t="shared" si="365"/>
        <v>0</v>
      </c>
      <c r="R5744" s="894">
        <f t="shared" si="366"/>
        <v>6</v>
      </c>
    </row>
    <row r="5745" spans="1:18" s="904" customFormat="1">
      <c r="A5745" s="895"/>
      <c r="B5745" s="896"/>
      <c r="C5745" s="897"/>
      <c r="D5745" s="897"/>
      <c r="E5745" s="898" t="s">
        <v>108</v>
      </c>
      <c r="F5745" s="899"/>
      <c r="G5745" s="900"/>
      <c r="H5745" s="901"/>
      <c r="I5745" s="902"/>
      <c r="J5745" s="902"/>
      <c r="K5745" s="912" t="s">
        <v>274</v>
      </c>
      <c r="L5745" s="902"/>
      <c r="M5745" s="902"/>
      <c r="N5745" s="902"/>
      <c r="O5745" s="892">
        <f t="shared" si="363"/>
        <v>0</v>
      </c>
      <c r="P5745" s="903">
        <f t="shared" si="364"/>
        <v>1</v>
      </c>
      <c r="Q5745" s="893">
        <f t="shared" si="365"/>
        <v>6</v>
      </c>
      <c r="R5745" s="894">
        <f t="shared" si="366"/>
        <v>0</v>
      </c>
    </row>
    <row r="5746" spans="1:18">
      <c r="A5746" s="905"/>
      <c r="B5746" s="906"/>
      <c r="C5746" s="907">
        <v>44</v>
      </c>
      <c r="D5746" s="907" t="s">
        <v>279</v>
      </c>
      <c r="E5746" s="925" t="s">
        <v>2681</v>
      </c>
      <c r="F5746" s="926" t="s">
        <v>45</v>
      </c>
      <c r="G5746" s="910"/>
      <c r="H5746" s="911">
        <v>0.4</v>
      </c>
      <c r="I5746" s="912">
        <f>VLOOKUP(E5746,[3]VLP!$B$7:$K$300,10,0)</f>
        <v>23000</v>
      </c>
      <c r="J5746" s="912">
        <f>I5746*H5746</f>
        <v>9200</v>
      </c>
      <c r="K5746" s="912" t="s">
        <v>274</v>
      </c>
      <c r="L5746" s="912"/>
      <c r="M5746" s="912"/>
      <c r="N5746" s="912"/>
      <c r="O5746" s="892">
        <f t="shared" si="363"/>
        <v>0</v>
      </c>
      <c r="P5746" s="903">
        <f t="shared" si="364"/>
        <v>1</v>
      </c>
      <c r="Q5746" s="893">
        <f t="shared" si="365"/>
        <v>5</v>
      </c>
      <c r="R5746" s="894">
        <f t="shared" si="366"/>
        <v>0</v>
      </c>
    </row>
    <row r="5747" spans="1:18">
      <c r="A5747" s="905"/>
      <c r="B5747" s="906"/>
      <c r="C5747" s="907">
        <v>66</v>
      </c>
      <c r="D5747" s="907" t="s">
        <v>279</v>
      </c>
      <c r="E5747" s="925" t="s">
        <v>2682</v>
      </c>
      <c r="F5747" s="926" t="s">
        <v>45</v>
      </c>
      <c r="G5747" s="910"/>
      <c r="H5747" s="911">
        <v>0.2</v>
      </c>
      <c r="I5747" s="912">
        <f>VLOOKUP(E5747,[3]VLP!$B$7:$K$300,10,0)</f>
        <v>5000</v>
      </c>
      <c r="J5747" s="912">
        <f>I5747*H5747</f>
        <v>1000</v>
      </c>
      <c r="K5747" s="912" t="s">
        <v>274</v>
      </c>
      <c r="L5747" s="912"/>
      <c r="M5747" s="912"/>
      <c r="N5747" s="912"/>
      <c r="O5747" s="892">
        <f t="shared" si="363"/>
        <v>0</v>
      </c>
      <c r="P5747" s="903">
        <f t="shared" si="364"/>
        <v>1</v>
      </c>
      <c r="Q5747" s="893">
        <f t="shared" si="365"/>
        <v>4</v>
      </c>
      <c r="R5747" s="894">
        <f t="shared" si="366"/>
        <v>0</v>
      </c>
    </row>
    <row r="5748" spans="1:18">
      <c r="A5748" s="905"/>
      <c r="B5748" s="906"/>
      <c r="C5748" s="907">
        <v>699</v>
      </c>
      <c r="D5748" s="907" t="s">
        <v>279</v>
      </c>
      <c r="E5748" s="925" t="s">
        <v>4006</v>
      </c>
      <c r="F5748" s="926" t="s">
        <v>4007</v>
      </c>
      <c r="G5748" s="910"/>
      <c r="H5748" s="911">
        <v>5</v>
      </c>
      <c r="I5748" s="912">
        <f>VLOOKUP(E5748,[3]VLP!$B$7:$K$300,10,0)</f>
        <v>5000</v>
      </c>
      <c r="J5748" s="912">
        <f>I5748*H5748</f>
        <v>25000</v>
      </c>
      <c r="K5748" s="912" t="s">
        <v>274</v>
      </c>
      <c r="L5748" s="912"/>
      <c r="M5748" s="912"/>
      <c r="N5748" s="912"/>
      <c r="O5748" s="892">
        <f t="shared" si="363"/>
        <v>0</v>
      </c>
      <c r="P5748" s="903">
        <f t="shared" si="364"/>
        <v>1</v>
      </c>
      <c r="Q5748" s="893">
        <f t="shared" si="365"/>
        <v>3</v>
      </c>
      <c r="R5748" s="894">
        <f t="shared" si="366"/>
        <v>0</v>
      </c>
    </row>
    <row r="5749" spans="1:18" s="904" customFormat="1">
      <c r="A5749" s="895"/>
      <c r="B5749" s="896"/>
      <c r="C5749" s="897"/>
      <c r="D5749" s="897"/>
      <c r="E5749" s="924" t="s">
        <v>276</v>
      </c>
      <c r="F5749" s="927"/>
      <c r="G5749" s="928"/>
      <c r="H5749" s="901"/>
      <c r="I5749" s="902"/>
      <c r="J5749" s="902"/>
      <c r="K5749" s="912" t="s">
        <v>274</v>
      </c>
      <c r="L5749" s="902"/>
      <c r="M5749" s="902"/>
      <c r="N5749" s="902"/>
      <c r="O5749" s="892">
        <f t="shared" si="363"/>
        <v>0</v>
      </c>
      <c r="P5749" s="903">
        <f t="shared" si="364"/>
        <v>1</v>
      </c>
      <c r="Q5749" s="893">
        <f t="shared" si="365"/>
        <v>2</v>
      </c>
      <c r="R5749" s="894">
        <f t="shared" si="366"/>
        <v>0</v>
      </c>
    </row>
    <row r="5750" spans="1:18">
      <c r="A5750" s="905"/>
      <c r="B5750" s="906"/>
      <c r="C5750" s="907">
        <v>745</v>
      </c>
      <c r="D5750" s="907" t="s">
        <v>12</v>
      </c>
      <c r="E5750" s="908" t="s">
        <v>5518</v>
      </c>
      <c r="F5750" s="909" t="s">
        <v>2674</v>
      </c>
      <c r="G5750" s="910"/>
      <c r="H5750" s="911">
        <v>1.1399999999999999</v>
      </c>
      <c r="I5750" s="912"/>
      <c r="J5750" s="912"/>
      <c r="K5750" s="912">
        <f>VLOOKUP(E5750,[5]ĐMNC!$A$7:$F$67,4,0)</f>
        <v>240557</v>
      </c>
      <c r="L5750" s="912">
        <f>H5750*K5750</f>
        <v>274234.98</v>
      </c>
      <c r="M5750" s="912"/>
      <c r="N5750" s="912"/>
      <c r="O5750" s="892">
        <f t="shared" si="363"/>
        <v>0</v>
      </c>
      <c r="P5750" s="903">
        <f t="shared" si="364"/>
        <v>1</v>
      </c>
      <c r="Q5750" s="893">
        <f t="shared" si="365"/>
        <v>1</v>
      </c>
      <c r="R5750" s="894">
        <f t="shared" si="366"/>
        <v>0</v>
      </c>
    </row>
    <row r="5751" spans="1:18" s="847" customFormat="1" ht="31.5">
      <c r="A5751" s="905" t="s">
        <v>5825</v>
      </c>
      <c r="B5751" s="914" t="s">
        <v>5826</v>
      </c>
      <c r="C5751" s="915"/>
      <c r="D5751" s="915"/>
      <c r="E5751" s="916" t="s">
        <v>5827</v>
      </c>
      <c r="F5751" s="917" t="s">
        <v>2271</v>
      </c>
      <c r="G5751" s="918"/>
      <c r="H5751" s="919"/>
      <c r="I5751" s="920"/>
      <c r="J5751" s="891">
        <f>SUM(J5752:J5757)</f>
        <v>35400</v>
      </c>
      <c r="K5751" s="891"/>
      <c r="L5751" s="891">
        <f>SUM(L5752:L5757)</f>
        <v>307912.96000000002</v>
      </c>
      <c r="M5751" s="891"/>
      <c r="N5751" s="891">
        <f>SUM(N5752:N5757)</f>
        <v>0</v>
      </c>
      <c r="O5751" s="892">
        <f t="shared" si="363"/>
        <v>1</v>
      </c>
      <c r="P5751" s="903">
        <f t="shared" si="364"/>
        <v>0</v>
      </c>
      <c r="Q5751" s="893">
        <f t="shared" si="365"/>
        <v>0</v>
      </c>
      <c r="R5751" s="894">
        <f t="shared" si="366"/>
        <v>6</v>
      </c>
    </row>
    <row r="5752" spans="1:18" s="904" customFormat="1">
      <c r="A5752" s="895"/>
      <c r="B5752" s="896"/>
      <c r="C5752" s="897"/>
      <c r="D5752" s="897"/>
      <c r="E5752" s="898" t="s">
        <v>108</v>
      </c>
      <c r="F5752" s="899"/>
      <c r="G5752" s="900"/>
      <c r="H5752" s="901"/>
      <c r="I5752" s="902"/>
      <c r="J5752" s="902"/>
      <c r="K5752" s="912" t="s">
        <v>274</v>
      </c>
      <c r="L5752" s="902"/>
      <c r="M5752" s="902"/>
      <c r="N5752" s="902"/>
      <c r="O5752" s="892">
        <f t="shared" si="363"/>
        <v>0</v>
      </c>
      <c r="P5752" s="903">
        <f t="shared" si="364"/>
        <v>1</v>
      </c>
      <c r="Q5752" s="893">
        <f t="shared" si="365"/>
        <v>6</v>
      </c>
      <c r="R5752" s="894">
        <f t="shared" si="366"/>
        <v>0</v>
      </c>
    </row>
    <row r="5753" spans="1:18">
      <c r="A5753" s="905"/>
      <c r="B5753" s="906"/>
      <c r="C5753" s="907">
        <v>44</v>
      </c>
      <c r="D5753" s="907" t="s">
        <v>279</v>
      </c>
      <c r="E5753" s="925" t="s">
        <v>2681</v>
      </c>
      <c r="F5753" s="926" t="s">
        <v>45</v>
      </c>
      <c r="G5753" s="910"/>
      <c r="H5753" s="911">
        <v>0.4</v>
      </c>
      <c r="I5753" s="912">
        <f>VLOOKUP(E5753,[3]VLP!$B$7:$K$300,10,0)</f>
        <v>23000</v>
      </c>
      <c r="J5753" s="912">
        <f>I5753*H5753</f>
        <v>9200</v>
      </c>
      <c r="K5753" s="912" t="s">
        <v>274</v>
      </c>
      <c r="L5753" s="912"/>
      <c r="M5753" s="912"/>
      <c r="N5753" s="912"/>
      <c r="O5753" s="892">
        <f t="shared" si="363"/>
        <v>0</v>
      </c>
      <c r="P5753" s="903">
        <f t="shared" si="364"/>
        <v>1</v>
      </c>
      <c r="Q5753" s="893">
        <f t="shared" si="365"/>
        <v>5</v>
      </c>
      <c r="R5753" s="894">
        <f t="shared" si="366"/>
        <v>0</v>
      </c>
    </row>
    <row r="5754" spans="1:18">
      <c r="A5754" s="905"/>
      <c r="B5754" s="906"/>
      <c r="C5754" s="907">
        <v>66</v>
      </c>
      <c r="D5754" s="907" t="s">
        <v>279</v>
      </c>
      <c r="E5754" s="925" t="s">
        <v>2682</v>
      </c>
      <c r="F5754" s="926" t="s">
        <v>45</v>
      </c>
      <c r="G5754" s="910"/>
      <c r="H5754" s="911">
        <v>0.24</v>
      </c>
      <c r="I5754" s="912">
        <f>VLOOKUP(E5754,[3]VLP!$B$7:$K$300,10,0)</f>
        <v>5000</v>
      </c>
      <c r="J5754" s="912">
        <f>I5754*H5754</f>
        <v>1200</v>
      </c>
      <c r="K5754" s="912" t="s">
        <v>274</v>
      </c>
      <c r="L5754" s="912"/>
      <c r="M5754" s="912"/>
      <c r="N5754" s="912"/>
      <c r="O5754" s="892">
        <f t="shared" si="363"/>
        <v>0</v>
      </c>
      <c r="P5754" s="903">
        <f t="shared" si="364"/>
        <v>1</v>
      </c>
      <c r="Q5754" s="893">
        <f t="shared" si="365"/>
        <v>4</v>
      </c>
      <c r="R5754" s="894">
        <f t="shared" si="366"/>
        <v>0</v>
      </c>
    </row>
    <row r="5755" spans="1:18">
      <c r="A5755" s="905"/>
      <c r="B5755" s="906"/>
      <c r="C5755" s="907">
        <v>699</v>
      </c>
      <c r="D5755" s="907" t="s">
        <v>279</v>
      </c>
      <c r="E5755" s="925" t="s">
        <v>4006</v>
      </c>
      <c r="F5755" s="926" t="s">
        <v>4007</v>
      </c>
      <c r="G5755" s="910"/>
      <c r="H5755" s="911">
        <v>5</v>
      </c>
      <c r="I5755" s="912">
        <f>VLOOKUP(E5755,[3]VLP!$B$7:$K$300,10,0)</f>
        <v>5000</v>
      </c>
      <c r="J5755" s="912">
        <f>I5755*H5755</f>
        <v>25000</v>
      </c>
      <c r="K5755" s="912" t="s">
        <v>274</v>
      </c>
      <c r="L5755" s="912"/>
      <c r="M5755" s="912"/>
      <c r="N5755" s="912"/>
      <c r="O5755" s="892">
        <f t="shared" si="363"/>
        <v>0</v>
      </c>
      <c r="P5755" s="903">
        <f t="shared" si="364"/>
        <v>1</v>
      </c>
      <c r="Q5755" s="893">
        <f t="shared" si="365"/>
        <v>3</v>
      </c>
      <c r="R5755" s="894">
        <f t="shared" si="366"/>
        <v>0</v>
      </c>
    </row>
    <row r="5756" spans="1:18" s="904" customFormat="1">
      <c r="A5756" s="895"/>
      <c r="B5756" s="896"/>
      <c r="C5756" s="897"/>
      <c r="D5756" s="897"/>
      <c r="E5756" s="924" t="s">
        <v>276</v>
      </c>
      <c r="F5756" s="927"/>
      <c r="G5756" s="928"/>
      <c r="H5756" s="901"/>
      <c r="I5756" s="902"/>
      <c r="J5756" s="902"/>
      <c r="K5756" s="912" t="s">
        <v>274</v>
      </c>
      <c r="L5756" s="902"/>
      <c r="M5756" s="902"/>
      <c r="N5756" s="902"/>
      <c r="O5756" s="892">
        <f t="shared" si="363"/>
        <v>0</v>
      </c>
      <c r="P5756" s="903">
        <f t="shared" si="364"/>
        <v>1</v>
      </c>
      <c r="Q5756" s="893">
        <f t="shared" si="365"/>
        <v>2</v>
      </c>
      <c r="R5756" s="894">
        <f t="shared" si="366"/>
        <v>0</v>
      </c>
    </row>
    <row r="5757" spans="1:18">
      <c r="A5757" s="905"/>
      <c r="B5757" s="906"/>
      <c r="C5757" s="907">
        <v>745</v>
      </c>
      <c r="D5757" s="907" t="s">
        <v>12</v>
      </c>
      <c r="E5757" s="908" t="s">
        <v>5518</v>
      </c>
      <c r="F5757" s="909" t="s">
        <v>2674</v>
      </c>
      <c r="G5757" s="910"/>
      <c r="H5757" s="911">
        <v>1.28</v>
      </c>
      <c r="I5757" s="912"/>
      <c r="J5757" s="912"/>
      <c r="K5757" s="912">
        <f>VLOOKUP(E5757,[5]ĐMNC!$A$7:$F$67,4,0)</f>
        <v>240557</v>
      </c>
      <c r="L5757" s="912">
        <f>H5757*K5757</f>
        <v>307912.96000000002</v>
      </c>
      <c r="M5757" s="912"/>
      <c r="N5757" s="912"/>
      <c r="O5757" s="892">
        <f t="shared" si="363"/>
        <v>0</v>
      </c>
      <c r="P5757" s="903">
        <f t="shared" si="364"/>
        <v>1</v>
      </c>
      <c r="Q5757" s="893">
        <f t="shared" si="365"/>
        <v>1</v>
      </c>
      <c r="R5757" s="894">
        <f t="shared" si="366"/>
        <v>0</v>
      </c>
    </row>
    <row r="5758" spans="1:18" s="847" customFormat="1" ht="31.5">
      <c r="A5758" s="905"/>
      <c r="B5758" s="914" t="s">
        <v>5828</v>
      </c>
      <c r="C5758" s="915"/>
      <c r="D5758" s="915"/>
      <c r="E5758" s="916" t="s">
        <v>5829</v>
      </c>
      <c r="F5758" s="917" t="s">
        <v>2271</v>
      </c>
      <c r="G5758" s="918"/>
      <c r="H5758" s="919"/>
      <c r="I5758" s="920"/>
      <c r="J5758" s="891">
        <f>SUM(J5759:J5764)</f>
        <v>35400</v>
      </c>
      <c r="K5758" s="891"/>
      <c r="L5758" s="891">
        <f>SUM(L5759:L5764)</f>
        <v>346402.07999999996</v>
      </c>
      <c r="M5758" s="891"/>
      <c r="N5758" s="891">
        <f>SUM(N5759:N5764)</f>
        <v>0</v>
      </c>
      <c r="O5758" s="892">
        <f t="shared" si="363"/>
        <v>1</v>
      </c>
      <c r="P5758" s="903">
        <f t="shared" si="364"/>
        <v>0</v>
      </c>
      <c r="Q5758" s="893">
        <f t="shared" si="365"/>
        <v>0</v>
      </c>
      <c r="R5758" s="894">
        <f t="shared" si="366"/>
        <v>6</v>
      </c>
    </row>
    <row r="5759" spans="1:18" s="904" customFormat="1">
      <c r="A5759" s="895"/>
      <c r="B5759" s="896"/>
      <c r="C5759" s="897"/>
      <c r="D5759" s="897"/>
      <c r="E5759" s="898" t="s">
        <v>108</v>
      </c>
      <c r="F5759" s="899"/>
      <c r="G5759" s="900"/>
      <c r="H5759" s="901"/>
      <c r="I5759" s="902"/>
      <c r="J5759" s="902"/>
      <c r="K5759" s="912" t="s">
        <v>274</v>
      </c>
      <c r="L5759" s="902"/>
      <c r="M5759" s="902"/>
      <c r="N5759" s="902"/>
      <c r="O5759" s="892">
        <f t="shared" si="363"/>
        <v>0</v>
      </c>
      <c r="P5759" s="903">
        <f t="shared" si="364"/>
        <v>1</v>
      </c>
      <c r="Q5759" s="893">
        <f t="shared" si="365"/>
        <v>6</v>
      </c>
      <c r="R5759" s="894">
        <f t="shared" si="366"/>
        <v>0</v>
      </c>
    </row>
    <row r="5760" spans="1:18">
      <c r="A5760" s="905"/>
      <c r="B5760" s="906"/>
      <c r="C5760" s="907">
        <v>44</v>
      </c>
      <c r="D5760" s="907" t="s">
        <v>279</v>
      </c>
      <c r="E5760" s="925" t="s">
        <v>2681</v>
      </c>
      <c r="F5760" s="926" t="s">
        <v>45</v>
      </c>
      <c r="G5760" s="910"/>
      <c r="H5760" s="911">
        <v>0.4</v>
      </c>
      <c r="I5760" s="912">
        <f>VLOOKUP(E5760,[3]VLP!$B$7:$K$300,10,0)</f>
        <v>23000</v>
      </c>
      <c r="J5760" s="912">
        <f>I5760*H5760</f>
        <v>9200</v>
      </c>
      <c r="K5760" s="912" t="s">
        <v>274</v>
      </c>
      <c r="L5760" s="912"/>
      <c r="M5760" s="912"/>
      <c r="N5760" s="912"/>
      <c r="O5760" s="892">
        <f t="shared" si="363"/>
        <v>0</v>
      </c>
      <c r="P5760" s="903">
        <f t="shared" si="364"/>
        <v>1</v>
      </c>
      <c r="Q5760" s="893">
        <f t="shared" si="365"/>
        <v>5</v>
      </c>
      <c r="R5760" s="894">
        <f t="shared" si="366"/>
        <v>0</v>
      </c>
    </row>
    <row r="5761" spans="1:18">
      <c r="A5761" s="905"/>
      <c r="B5761" s="906"/>
      <c r="C5761" s="907">
        <v>66</v>
      </c>
      <c r="D5761" s="907" t="s">
        <v>279</v>
      </c>
      <c r="E5761" s="925" t="s">
        <v>2682</v>
      </c>
      <c r="F5761" s="926" t="s">
        <v>45</v>
      </c>
      <c r="G5761" s="910"/>
      <c r="H5761" s="911">
        <v>0.24</v>
      </c>
      <c r="I5761" s="912">
        <f>VLOOKUP(E5761,[3]VLP!$B$7:$K$300,10,0)</f>
        <v>5000</v>
      </c>
      <c r="J5761" s="912">
        <f>I5761*H5761</f>
        <v>1200</v>
      </c>
      <c r="K5761" s="912" t="s">
        <v>274</v>
      </c>
      <c r="L5761" s="912"/>
      <c r="M5761" s="912"/>
      <c r="N5761" s="912"/>
      <c r="O5761" s="892">
        <f t="shared" si="363"/>
        <v>0</v>
      </c>
      <c r="P5761" s="903">
        <f t="shared" si="364"/>
        <v>1</v>
      </c>
      <c r="Q5761" s="893">
        <f t="shared" si="365"/>
        <v>4</v>
      </c>
      <c r="R5761" s="894">
        <f t="shared" si="366"/>
        <v>0</v>
      </c>
    </row>
    <row r="5762" spans="1:18">
      <c r="A5762" s="905"/>
      <c r="B5762" s="906"/>
      <c r="C5762" s="907">
        <v>699</v>
      </c>
      <c r="D5762" s="907" t="s">
        <v>279</v>
      </c>
      <c r="E5762" s="925" t="s">
        <v>4006</v>
      </c>
      <c r="F5762" s="926" t="s">
        <v>4007</v>
      </c>
      <c r="G5762" s="910"/>
      <c r="H5762" s="911">
        <v>5</v>
      </c>
      <c r="I5762" s="912">
        <f>VLOOKUP(E5762,[3]VLP!$B$7:$K$300,10,0)</f>
        <v>5000</v>
      </c>
      <c r="J5762" s="912">
        <f>I5762*H5762</f>
        <v>25000</v>
      </c>
      <c r="K5762" s="912" t="s">
        <v>274</v>
      </c>
      <c r="L5762" s="912"/>
      <c r="M5762" s="912"/>
      <c r="N5762" s="912"/>
      <c r="O5762" s="892">
        <f t="shared" si="363"/>
        <v>0</v>
      </c>
      <c r="P5762" s="903">
        <f t="shared" si="364"/>
        <v>1</v>
      </c>
      <c r="Q5762" s="893">
        <f t="shared" si="365"/>
        <v>3</v>
      </c>
      <c r="R5762" s="894">
        <f t="shared" si="366"/>
        <v>0</v>
      </c>
    </row>
    <row r="5763" spans="1:18" s="904" customFormat="1">
      <c r="A5763" s="895"/>
      <c r="B5763" s="896"/>
      <c r="C5763" s="897"/>
      <c r="D5763" s="897"/>
      <c r="E5763" s="924" t="s">
        <v>276</v>
      </c>
      <c r="F5763" s="927"/>
      <c r="G5763" s="928"/>
      <c r="H5763" s="901"/>
      <c r="I5763" s="902"/>
      <c r="J5763" s="902"/>
      <c r="K5763" s="912" t="s">
        <v>274</v>
      </c>
      <c r="L5763" s="902"/>
      <c r="M5763" s="902"/>
      <c r="N5763" s="902"/>
      <c r="O5763" s="892">
        <f t="shared" si="363"/>
        <v>0</v>
      </c>
      <c r="P5763" s="903">
        <f t="shared" si="364"/>
        <v>1</v>
      </c>
      <c r="Q5763" s="893">
        <f t="shared" si="365"/>
        <v>2</v>
      </c>
      <c r="R5763" s="894">
        <f t="shared" si="366"/>
        <v>0</v>
      </c>
    </row>
    <row r="5764" spans="1:18">
      <c r="A5764" s="905"/>
      <c r="B5764" s="906"/>
      <c r="C5764" s="907">
        <v>745</v>
      </c>
      <c r="D5764" s="907" t="s">
        <v>12</v>
      </c>
      <c r="E5764" s="908" t="s">
        <v>5518</v>
      </c>
      <c r="F5764" s="909" t="s">
        <v>2674</v>
      </c>
      <c r="G5764" s="910"/>
      <c r="H5764" s="911">
        <v>1.44</v>
      </c>
      <c r="I5764" s="912"/>
      <c r="J5764" s="912"/>
      <c r="K5764" s="912">
        <f>VLOOKUP(E5764,[5]ĐMNC!$A$7:$F$67,4,0)</f>
        <v>240557</v>
      </c>
      <c r="L5764" s="912">
        <f>H5764*K5764</f>
        <v>346402.07999999996</v>
      </c>
      <c r="M5764" s="912"/>
      <c r="N5764" s="912"/>
      <c r="O5764" s="892">
        <f t="shared" si="363"/>
        <v>0</v>
      </c>
      <c r="P5764" s="903">
        <f t="shared" si="364"/>
        <v>1</v>
      </c>
      <c r="Q5764" s="893">
        <f t="shared" si="365"/>
        <v>1</v>
      </c>
      <c r="R5764" s="894">
        <f t="shared" si="366"/>
        <v>0</v>
      </c>
    </row>
    <row r="5765" spans="1:18" s="847" customFormat="1" ht="31.5">
      <c r="A5765" s="905"/>
      <c r="B5765" s="914" t="s">
        <v>5830</v>
      </c>
      <c r="C5765" s="915"/>
      <c r="D5765" s="915"/>
      <c r="E5765" s="916" t="s">
        <v>5831</v>
      </c>
      <c r="F5765" s="917" t="s">
        <v>2271</v>
      </c>
      <c r="G5765" s="918"/>
      <c r="H5765" s="919"/>
      <c r="I5765" s="920"/>
      <c r="J5765" s="891">
        <f>SUM(J5766:J5771)</f>
        <v>37950</v>
      </c>
      <c r="K5765" s="891"/>
      <c r="L5765" s="891">
        <f>SUM(L5766:L5771)</f>
        <v>416163.61</v>
      </c>
      <c r="M5765" s="891"/>
      <c r="N5765" s="891">
        <f>SUM(N5766:N5771)</f>
        <v>0</v>
      </c>
      <c r="O5765" s="892">
        <f t="shared" si="363"/>
        <v>1</v>
      </c>
      <c r="P5765" s="903">
        <f t="shared" si="364"/>
        <v>0</v>
      </c>
      <c r="Q5765" s="893">
        <f t="shared" si="365"/>
        <v>0</v>
      </c>
      <c r="R5765" s="894">
        <f t="shared" si="366"/>
        <v>6</v>
      </c>
    </row>
    <row r="5766" spans="1:18" s="904" customFormat="1">
      <c r="A5766" s="895"/>
      <c r="B5766" s="896"/>
      <c r="C5766" s="897"/>
      <c r="D5766" s="897"/>
      <c r="E5766" s="898" t="s">
        <v>108</v>
      </c>
      <c r="F5766" s="899"/>
      <c r="G5766" s="900"/>
      <c r="H5766" s="901"/>
      <c r="I5766" s="902"/>
      <c r="J5766" s="902"/>
      <c r="K5766" s="912" t="s">
        <v>274</v>
      </c>
      <c r="L5766" s="902"/>
      <c r="M5766" s="902"/>
      <c r="N5766" s="902"/>
      <c r="O5766" s="892">
        <f t="shared" si="363"/>
        <v>0</v>
      </c>
      <c r="P5766" s="903">
        <f t="shared" si="364"/>
        <v>1</v>
      </c>
      <c r="Q5766" s="893">
        <f t="shared" si="365"/>
        <v>6</v>
      </c>
      <c r="R5766" s="894">
        <f t="shared" si="366"/>
        <v>0</v>
      </c>
    </row>
    <row r="5767" spans="1:18">
      <c r="A5767" s="905"/>
      <c r="B5767" s="906"/>
      <c r="C5767" s="907">
        <v>44</v>
      </c>
      <c r="D5767" s="907" t="s">
        <v>279</v>
      </c>
      <c r="E5767" s="925" t="s">
        <v>2681</v>
      </c>
      <c r="F5767" s="926" t="s">
        <v>45</v>
      </c>
      <c r="G5767" s="910"/>
      <c r="H5767" s="911">
        <v>0.5</v>
      </c>
      <c r="I5767" s="912">
        <f>VLOOKUP(E5767,[3]VLP!$B$7:$K$300,10,0)</f>
        <v>23000</v>
      </c>
      <c r="J5767" s="912">
        <f>I5767*H5767</f>
        <v>11500</v>
      </c>
      <c r="K5767" s="912" t="s">
        <v>274</v>
      </c>
      <c r="L5767" s="912"/>
      <c r="M5767" s="912"/>
      <c r="N5767" s="912"/>
      <c r="O5767" s="892">
        <f t="shared" si="363"/>
        <v>0</v>
      </c>
      <c r="P5767" s="903">
        <f t="shared" si="364"/>
        <v>1</v>
      </c>
      <c r="Q5767" s="893">
        <f t="shared" si="365"/>
        <v>5</v>
      </c>
      <c r="R5767" s="894">
        <f t="shared" si="366"/>
        <v>0</v>
      </c>
    </row>
    <row r="5768" spans="1:18">
      <c r="A5768" s="905"/>
      <c r="B5768" s="906"/>
      <c r="C5768" s="907">
        <v>66</v>
      </c>
      <c r="D5768" s="907" t="s">
        <v>279</v>
      </c>
      <c r="E5768" s="925" t="s">
        <v>2682</v>
      </c>
      <c r="F5768" s="926" t="s">
        <v>45</v>
      </c>
      <c r="G5768" s="910"/>
      <c r="H5768" s="911">
        <v>0.28999999999999998</v>
      </c>
      <c r="I5768" s="912">
        <f>VLOOKUP(E5768,[3]VLP!$B$7:$K$300,10,0)</f>
        <v>5000</v>
      </c>
      <c r="J5768" s="912">
        <f>I5768*H5768</f>
        <v>1450</v>
      </c>
      <c r="K5768" s="912" t="s">
        <v>274</v>
      </c>
      <c r="L5768" s="912"/>
      <c r="M5768" s="912"/>
      <c r="N5768" s="912"/>
      <c r="O5768" s="892">
        <f t="shared" si="363"/>
        <v>0</v>
      </c>
      <c r="P5768" s="903">
        <f t="shared" si="364"/>
        <v>1</v>
      </c>
      <c r="Q5768" s="893">
        <f t="shared" si="365"/>
        <v>4</v>
      </c>
      <c r="R5768" s="894">
        <f t="shared" si="366"/>
        <v>0</v>
      </c>
    </row>
    <row r="5769" spans="1:18">
      <c r="A5769" s="905"/>
      <c r="B5769" s="906"/>
      <c r="C5769" s="907">
        <v>699</v>
      </c>
      <c r="D5769" s="907" t="s">
        <v>279</v>
      </c>
      <c r="E5769" s="925" t="s">
        <v>4006</v>
      </c>
      <c r="F5769" s="926" t="s">
        <v>4007</v>
      </c>
      <c r="G5769" s="910"/>
      <c r="H5769" s="911">
        <v>5</v>
      </c>
      <c r="I5769" s="912">
        <f>VLOOKUP(E5769,[3]VLP!$B$7:$K$300,10,0)</f>
        <v>5000</v>
      </c>
      <c r="J5769" s="912">
        <f>I5769*H5769</f>
        <v>25000</v>
      </c>
      <c r="K5769" s="912" t="s">
        <v>274</v>
      </c>
      <c r="L5769" s="912"/>
      <c r="M5769" s="912"/>
      <c r="N5769" s="912"/>
      <c r="O5769" s="892">
        <f t="shared" si="363"/>
        <v>0</v>
      </c>
      <c r="P5769" s="903">
        <f t="shared" si="364"/>
        <v>1</v>
      </c>
      <c r="Q5769" s="893">
        <f t="shared" si="365"/>
        <v>3</v>
      </c>
      <c r="R5769" s="894">
        <f t="shared" si="366"/>
        <v>0</v>
      </c>
    </row>
    <row r="5770" spans="1:18" s="904" customFormat="1">
      <c r="A5770" s="895"/>
      <c r="B5770" s="896"/>
      <c r="C5770" s="897"/>
      <c r="D5770" s="897"/>
      <c r="E5770" s="924" t="s">
        <v>276</v>
      </c>
      <c r="F5770" s="927"/>
      <c r="G5770" s="928"/>
      <c r="H5770" s="901"/>
      <c r="I5770" s="902"/>
      <c r="J5770" s="902"/>
      <c r="K5770" s="912" t="s">
        <v>274</v>
      </c>
      <c r="L5770" s="902"/>
      <c r="M5770" s="902"/>
      <c r="N5770" s="902"/>
      <c r="O5770" s="892">
        <f t="shared" si="363"/>
        <v>0</v>
      </c>
      <c r="P5770" s="903">
        <f t="shared" si="364"/>
        <v>1</v>
      </c>
      <c r="Q5770" s="893">
        <f t="shared" si="365"/>
        <v>2</v>
      </c>
      <c r="R5770" s="894">
        <f t="shared" si="366"/>
        <v>0</v>
      </c>
    </row>
    <row r="5771" spans="1:18">
      <c r="A5771" s="905"/>
      <c r="B5771" s="906"/>
      <c r="C5771" s="907">
        <v>745</v>
      </c>
      <c r="D5771" s="907" t="s">
        <v>12</v>
      </c>
      <c r="E5771" s="908" t="s">
        <v>5518</v>
      </c>
      <c r="F5771" s="909" t="s">
        <v>2674</v>
      </c>
      <c r="G5771" s="910"/>
      <c r="H5771" s="911">
        <v>1.73</v>
      </c>
      <c r="I5771" s="912"/>
      <c r="J5771" s="912"/>
      <c r="K5771" s="912">
        <f>VLOOKUP(E5771,[5]ĐMNC!$A$7:$F$67,4,0)</f>
        <v>240557</v>
      </c>
      <c r="L5771" s="912">
        <f>H5771*K5771</f>
        <v>416163.61</v>
      </c>
      <c r="M5771" s="912"/>
      <c r="N5771" s="912"/>
      <c r="O5771" s="892">
        <f t="shared" si="363"/>
        <v>0</v>
      </c>
      <c r="P5771" s="903">
        <f t="shared" si="364"/>
        <v>1</v>
      </c>
      <c r="Q5771" s="893">
        <f t="shared" si="365"/>
        <v>1</v>
      </c>
      <c r="R5771" s="894">
        <f t="shared" si="366"/>
        <v>0</v>
      </c>
    </row>
    <row r="5772" spans="1:18" s="847" customFormat="1" ht="35.25" customHeight="1">
      <c r="A5772" s="905" t="s">
        <v>5817</v>
      </c>
      <c r="B5772" s="914" t="s">
        <v>5832</v>
      </c>
      <c r="C5772" s="915"/>
      <c r="D5772" s="915"/>
      <c r="E5772" s="916" t="s">
        <v>5833</v>
      </c>
      <c r="F5772" s="917" t="s">
        <v>5834</v>
      </c>
      <c r="G5772" s="944"/>
      <c r="H5772" s="919"/>
      <c r="I5772" s="920"/>
      <c r="J5772" s="891">
        <f>SUM(J5773:J5784)</f>
        <v>171992</v>
      </c>
      <c r="K5772" s="891"/>
      <c r="L5772" s="891">
        <f>SUM(L5773:L5784)</f>
        <v>343996.51</v>
      </c>
      <c r="M5772" s="891"/>
      <c r="N5772" s="891">
        <f>SUM(N5773:N5784)</f>
        <v>0</v>
      </c>
      <c r="O5772" s="892">
        <f t="shared" si="363"/>
        <v>1</v>
      </c>
      <c r="P5772" s="903">
        <f t="shared" si="364"/>
        <v>0</v>
      </c>
      <c r="Q5772" s="893">
        <f t="shared" si="365"/>
        <v>0</v>
      </c>
      <c r="R5772" s="894">
        <f t="shared" si="366"/>
        <v>12</v>
      </c>
    </row>
    <row r="5773" spans="1:18" s="904" customFormat="1">
      <c r="A5773" s="895"/>
      <c r="B5773" s="896"/>
      <c r="C5773" s="897"/>
      <c r="D5773" s="897"/>
      <c r="E5773" s="898" t="s">
        <v>108</v>
      </c>
      <c r="F5773" s="899"/>
      <c r="G5773" s="928"/>
      <c r="H5773" s="901"/>
      <c r="I5773" s="902"/>
      <c r="J5773" s="902"/>
      <c r="K5773" s="912" t="s">
        <v>274</v>
      </c>
      <c r="L5773" s="902"/>
      <c r="M5773" s="902"/>
      <c r="N5773" s="902"/>
      <c r="O5773" s="892">
        <f t="shared" si="363"/>
        <v>0</v>
      </c>
      <c r="P5773" s="903">
        <f t="shared" si="364"/>
        <v>1</v>
      </c>
      <c r="Q5773" s="893">
        <f t="shared" si="365"/>
        <v>12</v>
      </c>
      <c r="R5773" s="894">
        <f t="shared" si="366"/>
        <v>0</v>
      </c>
    </row>
    <row r="5774" spans="1:18">
      <c r="A5774" s="905"/>
      <c r="B5774" s="906"/>
      <c r="C5774" s="907">
        <v>101</v>
      </c>
      <c r="D5774" s="907" t="s">
        <v>279</v>
      </c>
      <c r="E5774" s="925" t="s">
        <v>5835</v>
      </c>
      <c r="F5774" s="909" t="s">
        <v>51</v>
      </c>
      <c r="G5774" s="910"/>
      <c r="H5774" s="911">
        <v>1</v>
      </c>
      <c r="I5774" s="912">
        <f>VLOOKUP(E5774,[3]VLP!$B$7:$K$300,10,0)</f>
        <v>10140</v>
      </c>
      <c r="J5774" s="912">
        <f t="shared" ref="J5774:J5782" si="367">I5774*H5774</f>
        <v>10140</v>
      </c>
      <c r="K5774" s="912" t="s">
        <v>274</v>
      </c>
      <c r="L5774" s="912"/>
      <c r="M5774" s="912"/>
      <c r="N5774" s="912"/>
      <c r="O5774" s="892">
        <f t="shared" si="363"/>
        <v>0</v>
      </c>
      <c r="P5774" s="903">
        <f t="shared" si="364"/>
        <v>1</v>
      </c>
      <c r="Q5774" s="893">
        <f t="shared" si="365"/>
        <v>11</v>
      </c>
      <c r="R5774" s="894">
        <f t="shared" si="366"/>
        <v>0</v>
      </c>
    </row>
    <row r="5775" spans="1:18">
      <c r="A5775" s="905"/>
      <c r="B5775" s="906"/>
      <c r="C5775" s="907">
        <v>49</v>
      </c>
      <c r="D5775" s="907" t="s">
        <v>279</v>
      </c>
      <c r="E5775" s="925" t="s">
        <v>5698</v>
      </c>
      <c r="F5775" s="909" t="s">
        <v>139</v>
      </c>
      <c r="G5775" s="910"/>
      <c r="H5775" s="911">
        <v>2</v>
      </c>
      <c r="I5775" s="912">
        <f>VLOOKUP(E5775,[3]VLP!$B$7:$K$300,10,0)</f>
        <v>3000</v>
      </c>
      <c r="J5775" s="912">
        <f t="shared" si="367"/>
        <v>6000</v>
      </c>
      <c r="K5775" s="912" t="s">
        <v>274</v>
      </c>
      <c r="L5775" s="912"/>
      <c r="M5775" s="912"/>
      <c r="N5775" s="912"/>
      <c r="O5775" s="892">
        <f t="shared" si="363"/>
        <v>0</v>
      </c>
      <c r="P5775" s="903">
        <f t="shared" si="364"/>
        <v>1</v>
      </c>
      <c r="Q5775" s="893">
        <f t="shared" si="365"/>
        <v>10</v>
      </c>
      <c r="R5775" s="894">
        <f t="shared" si="366"/>
        <v>0</v>
      </c>
    </row>
    <row r="5776" spans="1:18">
      <c r="A5776" s="905"/>
      <c r="B5776" s="906"/>
      <c r="C5776" s="907">
        <v>50</v>
      </c>
      <c r="D5776" s="907" t="s">
        <v>279</v>
      </c>
      <c r="E5776" s="925" t="s">
        <v>5836</v>
      </c>
      <c r="F5776" s="909" t="s">
        <v>49</v>
      </c>
      <c r="G5776" s="910"/>
      <c r="H5776" s="911">
        <v>1</v>
      </c>
      <c r="I5776" s="912">
        <f>VLOOKUP(E5776,[3]VLP!$B$7:$K$300,10,0)</f>
        <v>85790</v>
      </c>
      <c r="J5776" s="912">
        <f t="shared" si="367"/>
        <v>85790</v>
      </c>
      <c r="K5776" s="912" t="s">
        <v>274</v>
      </c>
      <c r="L5776" s="912"/>
      <c r="M5776" s="912"/>
      <c r="N5776" s="912"/>
      <c r="O5776" s="892">
        <f t="shared" si="363"/>
        <v>0</v>
      </c>
      <c r="P5776" s="903">
        <f t="shared" si="364"/>
        <v>1</v>
      </c>
      <c r="Q5776" s="893">
        <f t="shared" si="365"/>
        <v>9</v>
      </c>
      <c r="R5776" s="894">
        <f t="shared" si="366"/>
        <v>0</v>
      </c>
    </row>
    <row r="5777" spans="1:18">
      <c r="A5777" s="905"/>
      <c r="B5777" s="906"/>
      <c r="C5777" s="907">
        <v>46</v>
      </c>
      <c r="D5777" s="907" t="s">
        <v>279</v>
      </c>
      <c r="E5777" s="925" t="s">
        <v>3179</v>
      </c>
      <c r="F5777" s="909" t="s">
        <v>45</v>
      </c>
      <c r="G5777" s="910"/>
      <c r="H5777" s="911">
        <v>1</v>
      </c>
      <c r="I5777" s="912">
        <f>VLOOKUP(E5777,[3]VLP!$B$7:$K$300,10,0)</f>
        <v>20500</v>
      </c>
      <c r="J5777" s="912">
        <f t="shared" si="367"/>
        <v>20500</v>
      </c>
      <c r="K5777" s="912" t="s">
        <v>274</v>
      </c>
      <c r="L5777" s="912"/>
      <c r="M5777" s="912"/>
      <c r="N5777" s="912"/>
      <c r="O5777" s="892">
        <f t="shared" si="363"/>
        <v>0</v>
      </c>
      <c r="P5777" s="903">
        <f t="shared" si="364"/>
        <v>1</v>
      </c>
      <c r="Q5777" s="893">
        <f t="shared" si="365"/>
        <v>8</v>
      </c>
      <c r="R5777" s="894">
        <f t="shared" si="366"/>
        <v>0</v>
      </c>
    </row>
    <row r="5778" spans="1:18">
      <c r="A5778" s="905"/>
      <c r="B5778" s="906"/>
      <c r="C5778" s="907">
        <v>25</v>
      </c>
      <c r="D5778" s="907" t="s">
        <v>279</v>
      </c>
      <c r="E5778" s="925" t="s">
        <v>5656</v>
      </c>
      <c r="F5778" s="926" t="s">
        <v>2690</v>
      </c>
      <c r="G5778" s="910"/>
      <c r="H5778" s="911">
        <v>0.4</v>
      </c>
      <c r="I5778" s="912">
        <f>VLOOKUP(E5778,[3]VLP!$B$7:$K$300,10,0)</f>
        <v>5000</v>
      </c>
      <c r="J5778" s="912">
        <f t="shared" si="367"/>
        <v>2000</v>
      </c>
      <c r="K5778" s="912" t="s">
        <v>274</v>
      </c>
      <c r="L5778" s="912"/>
      <c r="M5778" s="912"/>
      <c r="N5778" s="912"/>
      <c r="O5778" s="892">
        <f t="shared" si="363"/>
        <v>0</v>
      </c>
      <c r="P5778" s="903">
        <f t="shared" si="364"/>
        <v>1</v>
      </c>
      <c r="Q5778" s="893">
        <f t="shared" si="365"/>
        <v>7</v>
      </c>
      <c r="R5778" s="894">
        <f t="shared" si="366"/>
        <v>0</v>
      </c>
    </row>
    <row r="5779" spans="1:18">
      <c r="A5779" s="905"/>
      <c r="B5779" s="906"/>
      <c r="C5779" s="907">
        <v>127</v>
      </c>
      <c r="D5779" s="907" t="s">
        <v>279</v>
      </c>
      <c r="E5779" s="925" t="s">
        <v>5657</v>
      </c>
      <c r="F5779" s="909" t="s">
        <v>45</v>
      </c>
      <c r="G5779" s="910"/>
      <c r="H5779" s="911">
        <v>0.4</v>
      </c>
      <c r="I5779" s="912">
        <f>VLOOKUP(E5779,[3]VLP!$B$7:$K$300,10,0)</f>
        <v>25155</v>
      </c>
      <c r="J5779" s="912">
        <f t="shared" si="367"/>
        <v>10062</v>
      </c>
      <c r="K5779" s="912" t="s">
        <v>274</v>
      </c>
      <c r="L5779" s="912"/>
      <c r="M5779" s="912"/>
      <c r="N5779" s="912"/>
      <c r="O5779" s="892">
        <f t="shared" si="363"/>
        <v>0</v>
      </c>
      <c r="P5779" s="903">
        <f t="shared" si="364"/>
        <v>1</v>
      </c>
      <c r="Q5779" s="893">
        <f t="shared" si="365"/>
        <v>6</v>
      </c>
      <c r="R5779" s="894">
        <f t="shared" si="366"/>
        <v>0</v>
      </c>
    </row>
    <row r="5780" spans="1:18">
      <c r="A5780" s="905"/>
      <c r="B5780" s="906"/>
      <c r="C5780" s="907">
        <v>44</v>
      </c>
      <c r="D5780" s="907" t="s">
        <v>279</v>
      </c>
      <c r="E5780" s="925" t="s">
        <v>2681</v>
      </c>
      <c r="F5780" s="926" t="s">
        <v>45</v>
      </c>
      <c r="G5780" s="910"/>
      <c r="H5780" s="911">
        <v>0.5</v>
      </c>
      <c r="I5780" s="912">
        <f>VLOOKUP(E5780,[3]VLP!$B$7:$K$300,10,0)</f>
        <v>23000</v>
      </c>
      <c r="J5780" s="912">
        <f t="shared" si="367"/>
        <v>11500</v>
      </c>
      <c r="K5780" s="912" t="s">
        <v>274</v>
      </c>
      <c r="L5780" s="912"/>
      <c r="M5780" s="912"/>
      <c r="N5780" s="912"/>
      <c r="O5780" s="892">
        <f t="shared" si="363"/>
        <v>0</v>
      </c>
      <c r="P5780" s="903">
        <f t="shared" si="364"/>
        <v>1</v>
      </c>
      <c r="Q5780" s="893">
        <f t="shared" si="365"/>
        <v>5</v>
      </c>
      <c r="R5780" s="894">
        <f t="shared" si="366"/>
        <v>0</v>
      </c>
    </row>
    <row r="5781" spans="1:18">
      <c r="A5781" s="905"/>
      <c r="B5781" s="906"/>
      <c r="C5781" s="907">
        <v>66</v>
      </c>
      <c r="D5781" s="907" t="s">
        <v>279</v>
      </c>
      <c r="E5781" s="925" t="s">
        <v>2682</v>
      </c>
      <c r="F5781" s="926" t="s">
        <v>45</v>
      </c>
      <c r="G5781" s="910"/>
      <c r="H5781" s="911">
        <v>0.2</v>
      </c>
      <c r="I5781" s="912">
        <f>VLOOKUP(E5781,[3]VLP!$B$7:$K$300,10,0)</f>
        <v>5000</v>
      </c>
      <c r="J5781" s="912">
        <f t="shared" si="367"/>
        <v>1000</v>
      </c>
      <c r="K5781" s="912" t="s">
        <v>274</v>
      </c>
      <c r="L5781" s="912"/>
      <c r="M5781" s="912"/>
      <c r="N5781" s="912"/>
      <c r="O5781" s="892">
        <f t="shared" si="363"/>
        <v>0</v>
      </c>
      <c r="P5781" s="903">
        <f t="shared" si="364"/>
        <v>1</v>
      </c>
      <c r="Q5781" s="893">
        <f t="shared" si="365"/>
        <v>4</v>
      </c>
      <c r="R5781" s="894">
        <f t="shared" si="366"/>
        <v>0</v>
      </c>
    </row>
    <row r="5782" spans="1:18">
      <c r="A5782" s="905"/>
      <c r="B5782" s="906"/>
      <c r="C5782" s="907">
        <v>699</v>
      </c>
      <c r="D5782" s="907" t="s">
        <v>279</v>
      </c>
      <c r="E5782" s="925" t="s">
        <v>4006</v>
      </c>
      <c r="F5782" s="926" t="s">
        <v>4007</v>
      </c>
      <c r="G5782" s="910"/>
      <c r="H5782" s="911">
        <v>5</v>
      </c>
      <c r="I5782" s="912">
        <f>VLOOKUP(E5782,[3]VLP!$B$7:$K$300,10,0)</f>
        <v>5000</v>
      </c>
      <c r="J5782" s="912">
        <f t="shared" si="367"/>
        <v>25000</v>
      </c>
      <c r="K5782" s="912" t="s">
        <v>274</v>
      </c>
      <c r="L5782" s="912"/>
      <c r="M5782" s="912"/>
      <c r="N5782" s="912"/>
      <c r="O5782" s="892">
        <f t="shared" si="363"/>
        <v>0</v>
      </c>
      <c r="P5782" s="903">
        <f t="shared" si="364"/>
        <v>1</v>
      </c>
      <c r="Q5782" s="893">
        <f t="shared" si="365"/>
        <v>3</v>
      </c>
      <c r="R5782" s="894">
        <f t="shared" si="366"/>
        <v>0</v>
      </c>
    </row>
    <row r="5783" spans="1:18" s="904" customFormat="1">
      <c r="A5783" s="895"/>
      <c r="B5783" s="896"/>
      <c r="C5783" s="897"/>
      <c r="D5783" s="897"/>
      <c r="E5783" s="924" t="s">
        <v>276</v>
      </c>
      <c r="F5783" s="927"/>
      <c r="G5783" s="928"/>
      <c r="H5783" s="901"/>
      <c r="I5783" s="902"/>
      <c r="J5783" s="902"/>
      <c r="K5783" s="912" t="s">
        <v>274</v>
      </c>
      <c r="L5783" s="902"/>
      <c r="M5783" s="902"/>
      <c r="N5783" s="902"/>
      <c r="O5783" s="892">
        <f t="shared" si="363"/>
        <v>0</v>
      </c>
      <c r="P5783" s="903">
        <f t="shared" si="364"/>
        <v>1</v>
      </c>
      <c r="Q5783" s="893">
        <f t="shared" si="365"/>
        <v>2</v>
      </c>
      <c r="R5783" s="894">
        <f t="shared" si="366"/>
        <v>0</v>
      </c>
    </row>
    <row r="5784" spans="1:18">
      <c r="A5784" s="905"/>
      <c r="B5784" s="906"/>
      <c r="C5784" s="907">
        <v>745</v>
      </c>
      <c r="D5784" s="907" t="s">
        <v>12</v>
      </c>
      <c r="E5784" s="908" t="s">
        <v>5518</v>
      </c>
      <c r="F5784" s="909" t="s">
        <v>2674</v>
      </c>
      <c r="G5784" s="910"/>
      <c r="H5784" s="911">
        <v>1.43</v>
      </c>
      <c r="I5784" s="912"/>
      <c r="J5784" s="912"/>
      <c r="K5784" s="912">
        <f>VLOOKUP(E5784,[5]ĐMNC!$A$7:$F$67,4,0)</f>
        <v>240557</v>
      </c>
      <c r="L5784" s="912">
        <f>H5784*K5784</f>
        <v>343996.51</v>
      </c>
      <c r="M5784" s="912"/>
      <c r="N5784" s="912"/>
      <c r="O5784" s="892">
        <f t="shared" si="363"/>
        <v>0</v>
      </c>
      <c r="P5784" s="903">
        <f t="shared" si="364"/>
        <v>1</v>
      </c>
      <c r="Q5784" s="893">
        <f t="shared" si="365"/>
        <v>1</v>
      </c>
      <c r="R5784" s="894">
        <f t="shared" si="366"/>
        <v>0</v>
      </c>
    </row>
    <row r="5785" spans="1:18" s="847" customFormat="1" ht="35.25" customHeight="1">
      <c r="A5785" s="905"/>
      <c r="B5785" s="914" t="s">
        <v>5837</v>
      </c>
      <c r="C5785" s="915"/>
      <c r="D5785" s="915"/>
      <c r="E5785" s="916" t="s">
        <v>5838</v>
      </c>
      <c r="F5785" s="917" t="s">
        <v>5834</v>
      </c>
      <c r="G5785" s="944"/>
      <c r="H5785" s="919"/>
      <c r="I5785" s="920"/>
      <c r="J5785" s="891">
        <f>SUM(J5786:J5797)</f>
        <v>187672</v>
      </c>
      <c r="K5785" s="891"/>
      <c r="L5785" s="891">
        <f>SUM(L5786:L5797)</f>
        <v>399324.62</v>
      </c>
      <c r="M5785" s="891"/>
      <c r="N5785" s="891">
        <f>SUM(N5786:N5797)</f>
        <v>0</v>
      </c>
      <c r="O5785" s="892">
        <f t="shared" si="363"/>
        <v>1</v>
      </c>
      <c r="P5785" s="903">
        <f t="shared" si="364"/>
        <v>0</v>
      </c>
      <c r="Q5785" s="893">
        <f t="shared" si="365"/>
        <v>0</v>
      </c>
      <c r="R5785" s="894">
        <f t="shared" si="366"/>
        <v>12</v>
      </c>
    </row>
    <row r="5786" spans="1:18" s="904" customFormat="1">
      <c r="A5786" s="895"/>
      <c r="B5786" s="896"/>
      <c r="C5786" s="897"/>
      <c r="D5786" s="897"/>
      <c r="E5786" s="898" t="s">
        <v>108</v>
      </c>
      <c r="F5786" s="899"/>
      <c r="G5786" s="928"/>
      <c r="H5786" s="901"/>
      <c r="I5786" s="902"/>
      <c r="J5786" s="902"/>
      <c r="K5786" s="912" t="s">
        <v>274</v>
      </c>
      <c r="L5786" s="902"/>
      <c r="M5786" s="902"/>
      <c r="N5786" s="902"/>
      <c r="O5786" s="892">
        <f t="shared" si="363"/>
        <v>0</v>
      </c>
      <c r="P5786" s="903">
        <f t="shared" si="364"/>
        <v>1</v>
      </c>
      <c r="Q5786" s="893">
        <f t="shared" si="365"/>
        <v>12</v>
      </c>
      <c r="R5786" s="894">
        <f t="shared" si="366"/>
        <v>0</v>
      </c>
    </row>
    <row r="5787" spans="1:18">
      <c r="A5787" s="905"/>
      <c r="B5787" s="906"/>
      <c r="C5787" s="907">
        <v>102</v>
      </c>
      <c r="D5787" s="907" t="s">
        <v>279</v>
      </c>
      <c r="E5787" s="925" t="s">
        <v>5839</v>
      </c>
      <c r="F5787" s="909" t="s">
        <v>51</v>
      </c>
      <c r="G5787" s="910"/>
      <c r="H5787" s="911">
        <v>1</v>
      </c>
      <c r="I5787" s="912">
        <f>VLOOKUP(E5787,[3]VLP!$B$7:$K$300,10,0)</f>
        <v>13520</v>
      </c>
      <c r="J5787" s="912">
        <f t="shared" ref="J5787:J5795" si="368">I5787*H5787</f>
        <v>13520</v>
      </c>
      <c r="K5787" s="912" t="s">
        <v>274</v>
      </c>
      <c r="L5787" s="912"/>
      <c r="M5787" s="912"/>
      <c r="N5787" s="912"/>
      <c r="O5787" s="892">
        <f t="shared" si="363"/>
        <v>0</v>
      </c>
      <c r="P5787" s="903">
        <f t="shared" si="364"/>
        <v>1</v>
      </c>
      <c r="Q5787" s="893">
        <f t="shared" si="365"/>
        <v>11</v>
      </c>
      <c r="R5787" s="894">
        <f t="shared" si="366"/>
        <v>0</v>
      </c>
    </row>
    <row r="5788" spans="1:18">
      <c r="A5788" s="905"/>
      <c r="B5788" s="906"/>
      <c r="C5788" s="907">
        <v>49</v>
      </c>
      <c r="D5788" s="907" t="s">
        <v>279</v>
      </c>
      <c r="E5788" s="925" t="s">
        <v>5698</v>
      </c>
      <c r="F5788" s="909" t="s">
        <v>139</v>
      </c>
      <c r="G5788" s="910"/>
      <c r="H5788" s="911">
        <v>2</v>
      </c>
      <c r="I5788" s="912">
        <f>VLOOKUP(E5788,[3]VLP!$B$7:$K$300,10,0)</f>
        <v>3000</v>
      </c>
      <c r="J5788" s="912">
        <f t="shared" si="368"/>
        <v>6000</v>
      </c>
      <c r="K5788" s="912" t="s">
        <v>274</v>
      </c>
      <c r="L5788" s="912"/>
      <c r="M5788" s="912"/>
      <c r="N5788" s="912"/>
      <c r="O5788" s="892">
        <f t="shared" si="363"/>
        <v>0</v>
      </c>
      <c r="P5788" s="903">
        <f t="shared" si="364"/>
        <v>1</v>
      </c>
      <c r="Q5788" s="893">
        <f t="shared" si="365"/>
        <v>10</v>
      </c>
      <c r="R5788" s="894">
        <f t="shared" si="366"/>
        <v>0</v>
      </c>
    </row>
    <row r="5789" spans="1:18">
      <c r="A5789" s="905"/>
      <c r="B5789" s="906"/>
      <c r="C5789" s="907">
        <v>50</v>
      </c>
      <c r="D5789" s="907" t="s">
        <v>279</v>
      </c>
      <c r="E5789" s="925" t="s">
        <v>5836</v>
      </c>
      <c r="F5789" s="909" t="s">
        <v>49</v>
      </c>
      <c r="G5789" s="910"/>
      <c r="H5789" s="911">
        <v>1</v>
      </c>
      <c r="I5789" s="912">
        <f>VLOOKUP(E5789,[3]VLP!$B$7:$K$300,10,0)</f>
        <v>85790</v>
      </c>
      <c r="J5789" s="912">
        <f t="shared" si="368"/>
        <v>85790</v>
      </c>
      <c r="K5789" s="912" t="s">
        <v>274</v>
      </c>
      <c r="L5789" s="912"/>
      <c r="M5789" s="912"/>
      <c r="N5789" s="912"/>
      <c r="O5789" s="892">
        <f t="shared" si="363"/>
        <v>0</v>
      </c>
      <c r="P5789" s="903">
        <f t="shared" si="364"/>
        <v>1</v>
      </c>
      <c r="Q5789" s="893">
        <f t="shared" si="365"/>
        <v>9</v>
      </c>
      <c r="R5789" s="894">
        <f t="shared" si="366"/>
        <v>0</v>
      </c>
    </row>
    <row r="5790" spans="1:18">
      <c r="A5790" s="905"/>
      <c r="B5790" s="906"/>
      <c r="C5790" s="907">
        <v>46</v>
      </c>
      <c r="D5790" s="907" t="s">
        <v>279</v>
      </c>
      <c r="E5790" s="925" t="s">
        <v>3179</v>
      </c>
      <c r="F5790" s="909" t="s">
        <v>45</v>
      </c>
      <c r="G5790" s="910"/>
      <c r="H5790" s="911">
        <v>1.6</v>
      </c>
      <c r="I5790" s="912">
        <f>VLOOKUP(E5790,[3]VLP!$B$7:$K$300,10,0)</f>
        <v>20500</v>
      </c>
      <c r="J5790" s="912">
        <f t="shared" si="368"/>
        <v>32800</v>
      </c>
      <c r="K5790" s="912" t="s">
        <v>274</v>
      </c>
      <c r="L5790" s="912"/>
      <c r="M5790" s="912"/>
      <c r="N5790" s="912"/>
      <c r="O5790" s="892">
        <f t="shared" si="363"/>
        <v>0</v>
      </c>
      <c r="P5790" s="903">
        <f t="shared" si="364"/>
        <v>1</v>
      </c>
      <c r="Q5790" s="893">
        <f t="shared" si="365"/>
        <v>8</v>
      </c>
      <c r="R5790" s="894">
        <f t="shared" si="366"/>
        <v>0</v>
      </c>
    </row>
    <row r="5791" spans="1:18">
      <c r="A5791" s="905"/>
      <c r="B5791" s="906"/>
      <c r="C5791" s="907">
        <v>25</v>
      </c>
      <c r="D5791" s="907" t="s">
        <v>279</v>
      </c>
      <c r="E5791" s="925" t="s">
        <v>5656</v>
      </c>
      <c r="F5791" s="926" t="s">
        <v>2690</v>
      </c>
      <c r="G5791" s="910"/>
      <c r="H5791" s="911">
        <v>0.4</v>
      </c>
      <c r="I5791" s="912">
        <f>VLOOKUP(E5791,[3]VLP!$B$7:$K$300,10,0)</f>
        <v>5000</v>
      </c>
      <c r="J5791" s="912">
        <f t="shared" si="368"/>
        <v>2000</v>
      </c>
      <c r="K5791" s="912" t="s">
        <v>274</v>
      </c>
      <c r="L5791" s="912"/>
      <c r="M5791" s="912"/>
      <c r="N5791" s="912"/>
      <c r="O5791" s="892">
        <f t="shared" ref="O5791:O5854" si="369">IF(AND(B5791&lt;&gt;"",D5791=""),1,0)</f>
        <v>0</v>
      </c>
      <c r="P5791" s="903">
        <f t="shared" si="364"/>
        <v>1</v>
      </c>
      <c r="Q5791" s="893">
        <f t="shared" si="365"/>
        <v>7</v>
      </c>
      <c r="R5791" s="894">
        <f t="shared" si="366"/>
        <v>0</v>
      </c>
    </row>
    <row r="5792" spans="1:18">
      <c r="A5792" s="905"/>
      <c r="B5792" s="906"/>
      <c r="C5792" s="907">
        <v>127</v>
      </c>
      <c r="D5792" s="907" t="s">
        <v>279</v>
      </c>
      <c r="E5792" s="925" t="s">
        <v>5657</v>
      </c>
      <c r="F5792" s="909" t="s">
        <v>45</v>
      </c>
      <c r="G5792" s="910"/>
      <c r="H5792" s="911">
        <v>0.4</v>
      </c>
      <c r="I5792" s="912">
        <f>VLOOKUP(E5792,[3]VLP!$B$7:$K$300,10,0)</f>
        <v>25155</v>
      </c>
      <c r="J5792" s="912">
        <f t="shared" si="368"/>
        <v>10062</v>
      </c>
      <c r="K5792" s="912" t="s">
        <v>274</v>
      </c>
      <c r="L5792" s="912"/>
      <c r="M5792" s="912"/>
      <c r="N5792" s="912"/>
      <c r="O5792" s="892">
        <f t="shared" si="369"/>
        <v>0</v>
      </c>
      <c r="P5792" s="903">
        <f t="shared" si="364"/>
        <v>1</v>
      </c>
      <c r="Q5792" s="893">
        <f t="shared" si="365"/>
        <v>6</v>
      </c>
      <c r="R5792" s="894">
        <f t="shared" si="366"/>
        <v>0</v>
      </c>
    </row>
    <row r="5793" spans="1:18">
      <c r="A5793" s="905"/>
      <c r="B5793" s="906"/>
      <c r="C5793" s="907">
        <v>44</v>
      </c>
      <c r="D5793" s="907" t="s">
        <v>279</v>
      </c>
      <c r="E5793" s="925" t="s">
        <v>2681</v>
      </c>
      <c r="F5793" s="926" t="s">
        <v>45</v>
      </c>
      <c r="G5793" s="910"/>
      <c r="H5793" s="911">
        <v>0.5</v>
      </c>
      <c r="I5793" s="912">
        <f>VLOOKUP(E5793,[3]VLP!$B$7:$K$300,10,0)</f>
        <v>23000</v>
      </c>
      <c r="J5793" s="912">
        <f t="shared" si="368"/>
        <v>11500</v>
      </c>
      <c r="K5793" s="912" t="s">
        <v>274</v>
      </c>
      <c r="L5793" s="912"/>
      <c r="M5793" s="912"/>
      <c r="N5793" s="912"/>
      <c r="O5793" s="892">
        <f t="shared" si="369"/>
        <v>0</v>
      </c>
      <c r="P5793" s="903">
        <f t="shared" si="364"/>
        <v>1</v>
      </c>
      <c r="Q5793" s="893">
        <f t="shared" si="365"/>
        <v>5</v>
      </c>
      <c r="R5793" s="894">
        <f t="shared" si="366"/>
        <v>0</v>
      </c>
    </row>
    <row r="5794" spans="1:18">
      <c r="A5794" s="905"/>
      <c r="B5794" s="906"/>
      <c r="C5794" s="907">
        <v>66</v>
      </c>
      <c r="D5794" s="907" t="s">
        <v>279</v>
      </c>
      <c r="E5794" s="925" t="s">
        <v>2682</v>
      </c>
      <c r="F5794" s="926" t="s">
        <v>45</v>
      </c>
      <c r="G5794" s="910"/>
      <c r="H5794" s="911">
        <v>0.2</v>
      </c>
      <c r="I5794" s="912">
        <f>VLOOKUP(E5794,[3]VLP!$B$7:$K$300,10,0)</f>
        <v>5000</v>
      </c>
      <c r="J5794" s="912">
        <f t="shared" si="368"/>
        <v>1000</v>
      </c>
      <c r="K5794" s="912" t="s">
        <v>274</v>
      </c>
      <c r="L5794" s="912"/>
      <c r="M5794" s="912"/>
      <c r="N5794" s="912"/>
      <c r="O5794" s="892">
        <f t="shared" si="369"/>
        <v>0</v>
      </c>
      <c r="P5794" s="903">
        <f t="shared" si="364"/>
        <v>1</v>
      </c>
      <c r="Q5794" s="893">
        <f t="shared" si="365"/>
        <v>4</v>
      </c>
      <c r="R5794" s="894">
        <f t="shared" si="366"/>
        <v>0</v>
      </c>
    </row>
    <row r="5795" spans="1:18">
      <c r="A5795" s="905"/>
      <c r="B5795" s="906"/>
      <c r="C5795" s="907">
        <v>699</v>
      </c>
      <c r="D5795" s="907" t="s">
        <v>279</v>
      </c>
      <c r="E5795" s="925" t="s">
        <v>4006</v>
      </c>
      <c r="F5795" s="926" t="s">
        <v>4007</v>
      </c>
      <c r="G5795" s="910"/>
      <c r="H5795" s="911">
        <v>5</v>
      </c>
      <c r="I5795" s="912">
        <f>VLOOKUP(E5795,[3]VLP!$B$7:$K$300,10,0)</f>
        <v>5000</v>
      </c>
      <c r="J5795" s="912">
        <f t="shared" si="368"/>
        <v>25000</v>
      </c>
      <c r="K5795" s="912" t="s">
        <v>274</v>
      </c>
      <c r="L5795" s="912"/>
      <c r="M5795" s="912"/>
      <c r="N5795" s="912"/>
      <c r="O5795" s="892">
        <f t="shared" si="369"/>
        <v>0</v>
      </c>
      <c r="P5795" s="903">
        <f t="shared" si="364"/>
        <v>1</v>
      </c>
      <c r="Q5795" s="893">
        <f t="shared" si="365"/>
        <v>3</v>
      </c>
      <c r="R5795" s="894">
        <f t="shared" si="366"/>
        <v>0</v>
      </c>
    </row>
    <row r="5796" spans="1:18" s="904" customFormat="1">
      <c r="A5796" s="895"/>
      <c r="B5796" s="896"/>
      <c r="C5796" s="897"/>
      <c r="D5796" s="897"/>
      <c r="E5796" s="924" t="s">
        <v>276</v>
      </c>
      <c r="F5796" s="927"/>
      <c r="G5796" s="928"/>
      <c r="H5796" s="901"/>
      <c r="I5796" s="902"/>
      <c r="J5796" s="902"/>
      <c r="K5796" s="912" t="s">
        <v>274</v>
      </c>
      <c r="L5796" s="902"/>
      <c r="M5796" s="902"/>
      <c r="N5796" s="902"/>
      <c r="O5796" s="892">
        <f t="shared" si="369"/>
        <v>0</v>
      </c>
      <c r="P5796" s="903">
        <f t="shared" si="364"/>
        <v>1</v>
      </c>
      <c r="Q5796" s="893">
        <f t="shared" si="365"/>
        <v>2</v>
      </c>
      <c r="R5796" s="894">
        <f t="shared" si="366"/>
        <v>0</v>
      </c>
    </row>
    <row r="5797" spans="1:18">
      <c r="A5797" s="905"/>
      <c r="B5797" s="906"/>
      <c r="C5797" s="907">
        <v>745</v>
      </c>
      <c r="D5797" s="907" t="s">
        <v>12</v>
      </c>
      <c r="E5797" s="908" t="s">
        <v>5518</v>
      </c>
      <c r="F5797" s="909" t="s">
        <v>2674</v>
      </c>
      <c r="G5797" s="910"/>
      <c r="H5797" s="911">
        <v>1.66</v>
      </c>
      <c r="I5797" s="912"/>
      <c r="J5797" s="912"/>
      <c r="K5797" s="912">
        <f>VLOOKUP(E5797,[5]ĐMNC!$A$7:$F$67,4,0)</f>
        <v>240557</v>
      </c>
      <c r="L5797" s="912">
        <f>H5797*K5797</f>
        <v>399324.62</v>
      </c>
      <c r="M5797" s="912"/>
      <c r="N5797" s="912"/>
      <c r="O5797" s="892">
        <f t="shared" si="369"/>
        <v>0</v>
      </c>
      <c r="P5797" s="903">
        <f t="shared" si="364"/>
        <v>1</v>
      </c>
      <c r="Q5797" s="893">
        <f t="shared" si="365"/>
        <v>1</v>
      </c>
      <c r="R5797" s="894">
        <f t="shared" si="366"/>
        <v>0</v>
      </c>
    </row>
    <row r="5798" spans="1:18" s="847" customFormat="1" ht="35.25" customHeight="1">
      <c r="A5798" s="905"/>
      <c r="B5798" s="914" t="s">
        <v>5840</v>
      </c>
      <c r="C5798" s="915"/>
      <c r="D5798" s="915"/>
      <c r="E5798" s="916" t="s">
        <v>5841</v>
      </c>
      <c r="F5798" s="917" t="s">
        <v>5834</v>
      </c>
      <c r="G5798" s="944"/>
      <c r="H5798" s="919"/>
      <c r="I5798" s="920"/>
      <c r="J5798" s="891">
        <f>SUM(J5799:J5810)</f>
        <v>192522</v>
      </c>
      <c r="K5798" s="891"/>
      <c r="L5798" s="891">
        <f>SUM(L5799:L5810)</f>
        <v>514791.98000000004</v>
      </c>
      <c r="M5798" s="891"/>
      <c r="N5798" s="891">
        <f>SUM(N5799:N5810)</f>
        <v>0</v>
      </c>
      <c r="O5798" s="892">
        <f t="shared" si="369"/>
        <v>1</v>
      </c>
      <c r="P5798" s="903">
        <f t="shared" si="364"/>
        <v>0</v>
      </c>
      <c r="Q5798" s="893">
        <f t="shared" si="365"/>
        <v>0</v>
      </c>
      <c r="R5798" s="894">
        <f t="shared" si="366"/>
        <v>12</v>
      </c>
    </row>
    <row r="5799" spans="1:18" s="904" customFormat="1">
      <c r="A5799" s="895"/>
      <c r="B5799" s="896"/>
      <c r="C5799" s="897"/>
      <c r="D5799" s="897"/>
      <c r="E5799" s="898" t="s">
        <v>108</v>
      </c>
      <c r="F5799" s="899"/>
      <c r="G5799" s="928"/>
      <c r="H5799" s="901"/>
      <c r="I5799" s="902"/>
      <c r="J5799" s="902"/>
      <c r="K5799" s="912" t="s">
        <v>274</v>
      </c>
      <c r="L5799" s="902"/>
      <c r="M5799" s="902"/>
      <c r="N5799" s="902"/>
      <c r="O5799" s="892">
        <f t="shared" si="369"/>
        <v>0</v>
      </c>
      <c r="P5799" s="903">
        <f t="shared" si="364"/>
        <v>1</v>
      </c>
      <c r="Q5799" s="893">
        <f t="shared" si="365"/>
        <v>12</v>
      </c>
      <c r="R5799" s="894">
        <f t="shared" si="366"/>
        <v>0</v>
      </c>
    </row>
    <row r="5800" spans="1:18">
      <c r="A5800" s="905"/>
      <c r="B5800" s="906"/>
      <c r="C5800" s="907">
        <v>103</v>
      </c>
      <c r="D5800" s="907" t="s">
        <v>279</v>
      </c>
      <c r="E5800" s="925" t="s">
        <v>5842</v>
      </c>
      <c r="F5800" s="909" t="s">
        <v>51</v>
      </c>
      <c r="G5800" s="910"/>
      <c r="H5800" s="911">
        <v>1</v>
      </c>
      <c r="I5800" s="912">
        <f>VLOOKUP(E5800,[3]VLP!$B$7:$K$300,10,0)</f>
        <v>13520</v>
      </c>
      <c r="J5800" s="912">
        <f t="shared" ref="J5800:J5808" si="370">I5800*H5800</f>
        <v>13520</v>
      </c>
      <c r="K5800" s="912" t="s">
        <v>274</v>
      </c>
      <c r="L5800" s="912"/>
      <c r="M5800" s="912"/>
      <c r="N5800" s="912"/>
      <c r="O5800" s="892">
        <f t="shared" si="369"/>
        <v>0</v>
      </c>
      <c r="P5800" s="903">
        <f t="shared" ref="P5800:P5863" si="371">IF(O5800=0,1,0)</f>
        <v>1</v>
      </c>
      <c r="Q5800" s="893">
        <f t="shared" ref="Q5800:Q5863" si="372">IF(P5800=0,0,P5800+Q5801)</f>
        <v>11</v>
      </c>
      <c r="R5800" s="894">
        <f t="shared" ref="R5800:R5863" si="373">IF(Q5800=0,Q5801,0)</f>
        <v>0</v>
      </c>
    </row>
    <row r="5801" spans="1:18">
      <c r="A5801" s="905"/>
      <c r="B5801" s="906"/>
      <c r="C5801" s="907">
        <v>49</v>
      </c>
      <c r="D5801" s="907" t="s">
        <v>279</v>
      </c>
      <c r="E5801" s="925" t="s">
        <v>5698</v>
      </c>
      <c r="F5801" s="909" t="s">
        <v>139</v>
      </c>
      <c r="G5801" s="910"/>
      <c r="H5801" s="911">
        <v>2</v>
      </c>
      <c r="I5801" s="912">
        <f>VLOOKUP(E5801,[3]VLP!$B$7:$K$300,10,0)</f>
        <v>3000</v>
      </c>
      <c r="J5801" s="912">
        <f t="shared" si="370"/>
        <v>6000</v>
      </c>
      <c r="K5801" s="912" t="s">
        <v>274</v>
      </c>
      <c r="L5801" s="912"/>
      <c r="M5801" s="912"/>
      <c r="N5801" s="912"/>
      <c r="O5801" s="892">
        <f t="shared" si="369"/>
        <v>0</v>
      </c>
      <c r="P5801" s="903">
        <f t="shared" si="371"/>
        <v>1</v>
      </c>
      <c r="Q5801" s="893">
        <f t="shared" si="372"/>
        <v>10</v>
      </c>
      <c r="R5801" s="894">
        <f t="shared" si="373"/>
        <v>0</v>
      </c>
    </row>
    <row r="5802" spans="1:18">
      <c r="A5802" s="905"/>
      <c r="B5802" s="906"/>
      <c r="C5802" s="907">
        <v>50</v>
      </c>
      <c r="D5802" s="907" t="s">
        <v>279</v>
      </c>
      <c r="E5802" s="925" t="s">
        <v>5836</v>
      </c>
      <c r="F5802" s="909" t="s">
        <v>49</v>
      </c>
      <c r="G5802" s="910"/>
      <c r="H5802" s="911">
        <v>1</v>
      </c>
      <c r="I5802" s="912">
        <f>VLOOKUP(E5802,[3]VLP!$B$7:$K$300,10,0)</f>
        <v>85790</v>
      </c>
      <c r="J5802" s="912">
        <f t="shared" si="370"/>
        <v>85790</v>
      </c>
      <c r="K5802" s="912" t="s">
        <v>274</v>
      </c>
      <c r="L5802" s="912"/>
      <c r="M5802" s="912"/>
      <c r="N5802" s="912"/>
      <c r="O5802" s="892">
        <f t="shared" si="369"/>
        <v>0</v>
      </c>
      <c r="P5802" s="903">
        <f t="shared" si="371"/>
        <v>1</v>
      </c>
      <c r="Q5802" s="893">
        <f t="shared" si="372"/>
        <v>9</v>
      </c>
      <c r="R5802" s="894">
        <f t="shared" si="373"/>
        <v>0</v>
      </c>
    </row>
    <row r="5803" spans="1:18">
      <c r="A5803" s="905"/>
      <c r="B5803" s="906"/>
      <c r="C5803" s="907">
        <v>46</v>
      </c>
      <c r="D5803" s="907" t="s">
        <v>279</v>
      </c>
      <c r="E5803" s="925" t="s">
        <v>3179</v>
      </c>
      <c r="F5803" s="909" t="s">
        <v>45</v>
      </c>
      <c r="G5803" s="910"/>
      <c r="H5803" s="911">
        <v>1.8</v>
      </c>
      <c r="I5803" s="912">
        <f>VLOOKUP(E5803,[3]VLP!$B$7:$K$300,10,0)</f>
        <v>20500</v>
      </c>
      <c r="J5803" s="912">
        <f t="shared" si="370"/>
        <v>36900</v>
      </c>
      <c r="K5803" s="912" t="s">
        <v>274</v>
      </c>
      <c r="L5803" s="912"/>
      <c r="M5803" s="912"/>
      <c r="N5803" s="912"/>
      <c r="O5803" s="892">
        <f t="shared" si="369"/>
        <v>0</v>
      </c>
      <c r="P5803" s="903">
        <f t="shared" si="371"/>
        <v>1</v>
      </c>
      <c r="Q5803" s="893">
        <f t="shared" si="372"/>
        <v>8</v>
      </c>
      <c r="R5803" s="894">
        <f t="shared" si="373"/>
        <v>0</v>
      </c>
    </row>
    <row r="5804" spans="1:18">
      <c r="A5804" s="905"/>
      <c r="B5804" s="906"/>
      <c r="C5804" s="907">
        <v>25</v>
      </c>
      <c r="D5804" s="907" t="s">
        <v>279</v>
      </c>
      <c r="E5804" s="925" t="s">
        <v>5656</v>
      </c>
      <c r="F5804" s="926" t="s">
        <v>2690</v>
      </c>
      <c r="G5804" s="910"/>
      <c r="H5804" s="911">
        <v>0.5</v>
      </c>
      <c r="I5804" s="912">
        <f>VLOOKUP(E5804,[3]VLP!$B$7:$K$300,10,0)</f>
        <v>5000</v>
      </c>
      <c r="J5804" s="912">
        <f t="shared" si="370"/>
        <v>2500</v>
      </c>
      <c r="K5804" s="912" t="s">
        <v>274</v>
      </c>
      <c r="L5804" s="912"/>
      <c r="M5804" s="912"/>
      <c r="N5804" s="912"/>
      <c r="O5804" s="892">
        <f t="shared" si="369"/>
        <v>0</v>
      </c>
      <c r="P5804" s="903">
        <f t="shared" si="371"/>
        <v>1</v>
      </c>
      <c r="Q5804" s="893">
        <f t="shared" si="372"/>
        <v>7</v>
      </c>
      <c r="R5804" s="894">
        <f t="shared" si="373"/>
        <v>0</v>
      </c>
    </row>
    <row r="5805" spans="1:18">
      <c r="A5805" s="905"/>
      <c r="B5805" s="906"/>
      <c r="C5805" s="907">
        <v>127</v>
      </c>
      <c r="D5805" s="907" t="s">
        <v>279</v>
      </c>
      <c r="E5805" s="925" t="s">
        <v>5657</v>
      </c>
      <c r="F5805" s="909" t="s">
        <v>45</v>
      </c>
      <c r="G5805" s="910"/>
      <c r="H5805" s="911">
        <v>0.4</v>
      </c>
      <c r="I5805" s="912">
        <f>VLOOKUP(E5805,[3]VLP!$B$7:$K$300,10,0)</f>
        <v>25155</v>
      </c>
      <c r="J5805" s="912">
        <f t="shared" si="370"/>
        <v>10062</v>
      </c>
      <c r="K5805" s="912" t="s">
        <v>274</v>
      </c>
      <c r="L5805" s="912"/>
      <c r="M5805" s="912"/>
      <c r="N5805" s="912"/>
      <c r="O5805" s="892">
        <f t="shared" si="369"/>
        <v>0</v>
      </c>
      <c r="P5805" s="903">
        <f t="shared" si="371"/>
        <v>1</v>
      </c>
      <c r="Q5805" s="893">
        <f t="shared" si="372"/>
        <v>6</v>
      </c>
      <c r="R5805" s="894">
        <f t="shared" si="373"/>
        <v>0</v>
      </c>
    </row>
    <row r="5806" spans="1:18">
      <c r="A5806" s="905"/>
      <c r="B5806" s="906"/>
      <c r="C5806" s="907">
        <v>44</v>
      </c>
      <c r="D5806" s="907" t="s">
        <v>279</v>
      </c>
      <c r="E5806" s="925" t="s">
        <v>2681</v>
      </c>
      <c r="F5806" s="926" t="s">
        <v>45</v>
      </c>
      <c r="G5806" s="910"/>
      <c r="H5806" s="911">
        <v>0.5</v>
      </c>
      <c r="I5806" s="912">
        <f>VLOOKUP(E5806,[3]VLP!$B$7:$K$300,10,0)</f>
        <v>23000</v>
      </c>
      <c r="J5806" s="912">
        <f t="shared" si="370"/>
        <v>11500</v>
      </c>
      <c r="K5806" s="912" t="s">
        <v>274</v>
      </c>
      <c r="L5806" s="912"/>
      <c r="M5806" s="912"/>
      <c r="N5806" s="912"/>
      <c r="O5806" s="892">
        <f t="shared" si="369"/>
        <v>0</v>
      </c>
      <c r="P5806" s="903">
        <f t="shared" si="371"/>
        <v>1</v>
      </c>
      <c r="Q5806" s="893">
        <f t="shared" si="372"/>
        <v>5</v>
      </c>
      <c r="R5806" s="894">
        <f t="shared" si="373"/>
        <v>0</v>
      </c>
    </row>
    <row r="5807" spans="1:18">
      <c r="A5807" s="905"/>
      <c r="B5807" s="906"/>
      <c r="C5807" s="907">
        <v>66</v>
      </c>
      <c r="D5807" s="907" t="s">
        <v>279</v>
      </c>
      <c r="E5807" s="925" t="s">
        <v>2682</v>
      </c>
      <c r="F5807" s="926" t="s">
        <v>45</v>
      </c>
      <c r="G5807" s="910"/>
      <c r="H5807" s="911">
        <v>0.25</v>
      </c>
      <c r="I5807" s="912">
        <f>VLOOKUP(E5807,[3]VLP!$B$7:$K$300,10,0)</f>
        <v>5000</v>
      </c>
      <c r="J5807" s="912">
        <f t="shared" si="370"/>
        <v>1250</v>
      </c>
      <c r="K5807" s="912" t="s">
        <v>274</v>
      </c>
      <c r="L5807" s="912"/>
      <c r="M5807" s="912"/>
      <c r="N5807" s="912"/>
      <c r="O5807" s="892">
        <f t="shared" si="369"/>
        <v>0</v>
      </c>
      <c r="P5807" s="903">
        <f t="shared" si="371"/>
        <v>1</v>
      </c>
      <c r="Q5807" s="893">
        <f t="shared" si="372"/>
        <v>4</v>
      </c>
      <c r="R5807" s="894">
        <f t="shared" si="373"/>
        <v>0</v>
      </c>
    </row>
    <row r="5808" spans="1:18">
      <c r="A5808" s="905"/>
      <c r="B5808" s="906"/>
      <c r="C5808" s="907">
        <v>699</v>
      </c>
      <c r="D5808" s="907" t="s">
        <v>279</v>
      </c>
      <c r="E5808" s="925" t="s">
        <v>4006</v>
      </c>
      <c r="F5808" s="926" t="s">
        <v>4007</v>
      </c>
      <c r="G5808" s="910"/>
      <c r="H5808" s="911">
        <v>5</v>
      </c>
      <c r="I5808" s="912">
        <f>VLOOKUP(E5808,[3]VLP!$B$7:$K$300,10,0)</f>
        <v>5000</v>
      </c>
      <c r="J5808" s="912">
        <f t="shared" si="370"/>
        <v>25000</v>
      </c>
      <c r="K5808" s="912" t="s">
        <v>274</v>
      </c>
      <c r="L5808" s="912"/>
      <c r="M5808" s="912"/>
      <c r="N5808" s="912"/>
      <c r="O5808" s="892">
        <f t="shared" si="369"/>
        <v>0</v>
      </c>
      <c r="P5808" s="903">
        <f t="shared" si="371"/>
        <v>1</v>
      </c>
      <c r="Q5808" s="893">
        <f t="shared" si="372"/>
        <v>3</v>
      </c>
      <c r="R5808" s="894">
        <f t="shared" si="373"/>
        <v>0</v>
      </c>
    </row>
    <row r="5809" spans="1:18" s="904" customFormat="1">
      <c r="A5809" s="895"/>
      <c r="B5809" s="896"/>
      <c r="C5809" s="897"/>
      <c r="D5809" s="897"/>
      <c r="E5809" s="924" t="s">
        <v>276</v>
      </c>
      <c r="F5809" s="927"/>
      <c r="G5809" s="928"/>
      <c r="H5809" s="901"/>
      <c r="I5809" s="902"/>
      <c r="J5809" s="902"/>
      <c r="K5809" s="912" t="s">
        <v>274</v>
      </c>
      <c r="L5809" s="902"/>
      <c r="M5809" s="902"/>
      <c r="N5809" s="902"/>
      <c r="O5809" s="892">
        <f t="shared" si="369"/>
        <v>0</v>
      </c>
      <c r="P5809" s="903">
        <f t="shared" si="371"/>
        <v>1</v>
      </c>
      <c r="Q5809" s="893">
        <f t="shared" si="372"/>
        <v>2</v>
      </c>
      <c r="R5809" s="894">
        <f t="shared" si="373"/>
        <v>0</v>
      </c>
    </row>
    <row r="5810" spans="1:18">
      <c r="A5810" s="905"/>
      <c r="B5810" s="906"/>
      <c r="C5810" s="907">
        <v>745</v>
      </c>
      <c r="D5810" s="907" t="s">
        <v>12</v>
      </c>
      <c r="E5810" s="908" t="s">
        <v>5518</v>
      </c>
      <c r="F5810" s="909" t="s">
        <v>2674</v>
      </c>
      <c r="G5810" s="910"/>
      <c r="H5810" s="911">
        <v>2.14</v>
      </c>
      <c r="I5810" s="912"/>
      <c r="J5810" s="912"/>
      <c r="K5810" s="912">
        <f>VLOOKUP(E5810,[5]ĐMNC!$A$7:$F$67,4,0)</f>
        <v>240557</v>
      </c>
      <c r="L5810" s="912">
        <f>H5810*K5810</f>
        <v>514791.98000000004</v>
      </c>
      <c r="M5810" s="912"/>
      <c r="N5810" s="912"/>
      <c r="O5810" s="892">
        <f t="shared" si="369"/>
        <v>0</v>
      </c>
      <c r="P5810" s="903">
        <f t="shared" si="371"/>
        <v>1</v>
      </c>
      <c r="Q5810" s="893">
        <f t="shared" si="372"/>
        <v>1</v>
      </c>
      <c r="R5810" s="894">
        <f t="shared" si="373"/>
        <v>0</v>
      </c>
    </row>
    <row r="5811" spans="1:18" s="847" customFormat="1" ht="35.25" customHeight="1">
      <c r="A5811" s="905"/>
      <c r="B5811" s="914" t="s">
        <v>5843</v>
      </c>
      <c r="C5811" s="915"/>
      <c r="D5811" s="915"/>
      <c r="E5811" s="916" t="s">
        <v>5844</v>
      </c>
      <c r="F5811" s="917" t="s">
        <v>5834</v>
      </c>
      <c r="G5811" s="944"/>
      <c r="H5811" s="919"/>
      <c r="I5811" s="920"/>
      <c r="J5811" s="891">
        <f>SUM(J5812:J5823)</f>
        <v>205432</v>
      </c>
      <c r="K5811" s="891"/>
      <c r="L5811" s="891">
        <f>SUM(L5812:L5823)</f>
        <v>627853.77</v>
      </c>
      <c r="M5811" s="891"/>
      <c r="N5811" s="891">
        <f>SUM(N5812:N5823)</f>
        <v>0</v>
      </c>
      <c r="O5811" s="892">
        <f t="shared" si="369"/>
        <v>1</v>
      </c>
      <c r="P5811" s="903">
        <f t="shared" si="371"/>
        <v>0</v>
      </c>
      <c r="Q5811" s="893">
        <f t="shared" si="372"/>
        <v>0</v>
      </c>
      <c r="R5811" s="894">
        <f t="shared" si="373"/>
        <v>12</v>
      </c>
    </row>
    <row r="5812" spans="1:18" s="904" customFormat="1">
      <c r="A5812" s="895"/>
      <c r="B5812" s="896"/>
      <c r="C5812" s="897"/>
      <c r="D5812" s="897"/>
      <c r="E5812" s="898" t="s">
        <v>108</v>
      </c>
      <c r="F5812" s="899"/>
      <c r="G5812" s="928"/>
      <c r="H5812" s="901"/>
      <c r="I5812" s="902"/>
      <c r="J5812" s="902"/>
      <c r="K5812" s="912" t="s">
        <v>274</v>
      </c>
      <c r="L5812" s="902"/>
      <c r="M5812" s="902"/>
      <c r="N5812" s="902"/>
      <c r="O5812" s="892">
        <f t="shared" si="369"/>
        <v>0</v>
      </c>
      <c r="P5812" s="903">
        <f t="shared" si="371"/>
        <v>1</v>
      </c>
      <c r="Q5812" s="893">
        <f t="shared" si="372"/>
        <v>12</v>
      </c>
      <c r="R5812" s="894">
        <f t="shared" si="373"/>
        <v>0</v>
      </c>
    </row>
    <row r="5813" spans="1:18">
      <c r="A5813" s="905"/>
      <c r="B5813" s="906"/>
      <c r="C5813" s="907">
        <v>104</v>
      </c>
      <c r="D5813" s="907" t="s">
        <v>279</v>
      </c>
      <c r="E5813" s="925" t="s">
        <v>5845</v>
      </c>
      <c r="F5813" s="909" t="s">
        <v>51</v>
      </c>
      <c r="G5813" s="910"/>
      <c r="H5813" s="911">
        <v>1</v>
      </c>
      <c r="I5813" s="912">
        <f>VLOOKUP(E5813,[3]VLP!$B$7:$K$300,10,0)</f>
        <v>20280</v>
      </c>
      <c r="J5813" s="912">
        <f t="shared" ref="J5813:J5821" si="374">I5813*H5813</f>
        <v>20280</v>
      </c>
      <c r="K5813" s="912" t="s">
        <v>274</v>
      </c>
      <c r="L5813" s="912"/>
      <c r="M5813" s="912"/>
      <c r="N5813" s="912"/>
      <c r="O5813" s="892">
        <f t="shared" si="369"/>
        <v>0</v>
      </c>
      <c r="P5813" s="903">
        <f t="shared" si="371"/>
        <v>1</v>
      </c>
      <c r="Q5813" s="893">
        <f t="shared" si="372"/>
        <v>11</v>
      </c>
      <c r="R5813" s="894">
        <f t="shared" si="373"/>
        <v>0</v>
      </c>
    </row>
    <row r="5814" spans="1:18">
      <c r="A5814" s="905"/>
      <c r="B5814" s="906"/>
      <c r="C5814" s="907">
        <v>49</v>
      </c>
      <c r="D5814" s="907" t="s">
        <v>279</v>
      </c>
      <c r="E5814" s="925" t="s">
        <v>5698</v>
      </c>
      <c r="F5814" s="909" t="s">
        <v>139</v>
      </c>
      <c r="G5814" s="910"/>
      <c r="H5814" s="911">
        <v>2</v>
      </c>
      <c r="I5814" s="912">
        <f>VLOOKUP(E5814,[3]VLP!$B$7:$K$300,10,0)</f>
        <v>3000</v>
      </c>
      <c r="J5814" s="912">
        <f t="shared" si="374"/>
        <v>6000</v>
      </c>
      <c r="K5814" s="912" t="s">
        <v>274</v>
      </c>
      <c r="L5814" s="912"/>
      <c r="M5814" s="912"/>
      <c r="N5814" s="912"/>
      <c r="O5814" s="892">
        <f t="shared" si="369"/>
        <v>0</v>
      </c>
      <c r="P5814" s="903">
        <f t="shared" si="371"/>
        <v>1</v>
      </c>
      <c r="Q5814" s="893">
        <f t="shared" si="372"/>
        <v>10</v>
      </c>
      <c r="R5814" s="894">
        <f t="shared" si="373"/>
        <v>0</v>
      </c>
    </row>
    <row r="5815" spans="1:18">
      <c r="A5815" s="905"/>
      <c r="B5815" s="906"/>
      <c r="C5815" s="907">
        <v>50</v>
      </c>
      <c r="D5815" s="907" t="s">
        <v>279</v>
      </c>
      <c r="E5815" s="925" t="s">
        <v>5836</v>
      </c>
      <c r="F5815" s="909" t="s">
        <v>49</v>
      </c>
      <c r="G5815" s="910"/>
      <c r="H5815" s="911">
        <v>1</v>
      </c>
      <c r="I5815" s="912">
        <f>VLOOKUP(E5815,[3]VLP!$B$7:$K$300,10,0)</f>
        <v>85790</v>
      </c>
      <c r="J5815" s="912">
        <f t="shared" si="374"/>
        <v>85790</v>
      </c>
      <c r="K5815" s="912" t="s">
        <v>274</v>
      </c>
      <c r="L5815" s="912"/>
      <c r="M5815" s="912"/>
      <c r="N5815" s="912"/>
      <c r="O5815" s="892">
        <f t="shared" si="369"/>
        <v>0</v>
      </c>
      <c r="P5815" s="903">
        <f t="shared" si="371"/>
        <v>1</v>
      </c>
      <c r="Q5815" s="893">
        <f t="shared" si="372"/>
        <v>9</v>
      </c>
      <c r="R5815" s="894">
        <f t="shared" si="373"/>
        <v>0</v>
      </c>
    </row>
    <row r="5816" spans="1:18">
      <c r="A5816" s="905"/>
      <c r="B5816" s="906"/>
      <c r="C5816" s="907">
        <v>46</v>
      </c>
      <c r="D5816" s="907" t="s">
        <v>279</v>
      </c>
      <c r="E5816" s="925" t="s">
        <v>3179</v>
      </c>
      <c r="F5816" s="909" t="s">
        <v>45</v>
      </c>
      <c r="G5816" s="910"/>
      <c r="H5816" s="911">
        <v>2.1</v>
      </c>
      <c r="I5816" s="912">
        <f>VLOOKUP(E5816,[3]VLP!$B$7:$K$300,10,0)</f>
        <v>20500</v>
      </c>
      <c r="J5816" s="912">
        <f t="shared" si="374"/>
        <v>43050</v>
      </c>
      <c r="K5816" s="912" t="s">
        <v>274</v>
      </c>
      <c r="L5816" s="912"/>
      <c r="M5816" s="912"/>
      <c r="N5816" s="912"/>
      <c r="O5816" s="892">
        <f t="shared" si="369"/>
        <v>0</v>
      </c>
      <c r="P5816" s="903">
        <f t="shared" si="371"/>
        <v>1</v>
      </c>
      <c r="Q5816" s="893">
        <f t="shared" si="372"/>
        <v>8</v>
      </c>
      <c r="R5816" s="894">
        <f t="shared" si="373"/>
        <v>0</v>
      </c>
    </row>
    <row r="5817" spans="1:18">
      <c r="A5817" s="905"/>
      <c r="B5817" s="906"/>
      <c r="C5817" s="907">
        <v>25</v>
      </c>
      <c r="D5817" s="907" t="s">
        <v>279</v>
      </c>
      <c r="E5817" s="925" t="s">
        <v>5656</v>
      </c>
      <c r="F5817" s="926" t="s">
        <v>2690</v>
      </c>
      <c r="G5817" s="910"/>
      <c r="H5817" s="911">
        <v>0.5</v>
      </c>
      <c r="I5817" s="912">
        <f>VLOOKUP(E5817,[3]VLP!$B$7:$K$300,10,0)</f>
        <v>5000</v>
      </c>
      <c r="J5817" s="912">
        <f t="shared" si="374"/>
        <v>2500</v>
      </c>
      <c r="K5817" s="912" t="s">
        <v>274</v>
      </c>
      <c r="L5817" s="912"/>
      <c r="M5817" s="912"/>
      <c r="N5817" s="912"/>
      <c r="O5817" s="892">
        <f t="shared" si="369"/>
        <v>0</v>
      </c>
      <c r="P5817" s="903">
        <f t="shared" si="371"/>
        <v>1</v>
      </c>
      <c r="Q5817" s="893">
        <f t="shared" si="372"/>
        <v>7</v>
      </c>
      <c r="R5817" s="894">
        <f t="shared" si="373"/>
        <v>0</v>
      </c>
    </row>
    <row r="5818" spans="1:18">
      <c r="A5818" s="905"/>
      <c r="B5818" s="906"/>
      <c r="C5818" s="907">
        <v>127</v>
      </c>
      <c r="D5818" s="907" t="s">
        <v>279</v>
      </c>
      <c r="E5818" s="925" t="s">
        <v>5657</v>
      </c>
      <c r="F5818" s="909" t="s">
        <v>45</v>
      </c>
      <c r="G5818" s="910"/>
      <c r="H5818" s="911">
        <v>0.4</v>
      </c>
      <c r="I5818" s="912">
        <f>VLOOKUP(E5818,[3]VLP!$B$7:$K$300,10,0)</f>
        <v>25155</v>
      </c>
      <c r="J5818" s="912">
        <f t="shared" si="374"/>
        <v>10062</v>
      </c>
      <c r="K5818" s="912" t="s">
        <v>274</v>
      </c>
      <c r="L5818" s="912"/>
      <c r="M5818" s="912"/>
      <c r="N5818" s="912"/>
      <c r="O5818" s="892">
        <f t="shared" si="369"/>
        <v>0</v>
      </c>
      <c r="P5818" s="903">
        <f t="shared" si="371"/>
        <v>1</v>
      </c>
      <c r="Q5818" s="893">
        <f t="shared" si="372"/>
        <v>6</v>
      </c>
      <c r="R5818" s="894">
        <f t="shared" si="373"/>
        <v>0</v>
      </c>
    </row>
    <row r="5819" spans="1:18">
      <c r="A5819" s="905"/>
      <c r="B5819" s="906"/>
      <c r="C5819" s="907">
        <v>44</v>
      </c>
      <c r="D5819" s="907" t="s">
        <v>279</v>
      </c>
      <c r="E5819" s="925" t="s">
        <v>2681</v>
      </c>
      <c r="F5819" s="926" t="s">
        <v>45</v>
      </c>
      <c r="G5819" s="910"/>
      <c r="H5819" s="911">
        <v>0.5</v>
      </c>
      <c r="I5819" s="912">
        <f>VLOOKUP(E5819,[3]VLP!$B$7:$K$300,10,0)</f>
        <v>23000</v>
      </c>
      <c r="J5819" s="912">
        <f t="shared" si="374"/>
        <v>11500</v>
      </c>
      <c r="K5819" s="912" t="s">
        <v>274</v>
      </c>
      <c r="L5819" s="912"/>
      <c r="M5819" s="912"/>
      <c r="N5819" s="912"/>
      <c r="O5819" s="892">
        <f t="shared" si="369"/>
        <v>0</v>
      </c>
      <c r="P5819" s="903">
        <f t="shared" si="371"/>
        <v>1</v>
      </c>
      <c r="Q5819" s="893">
        <f t="shared" si="372"/>
        <v>5</v>
      </c>
      <c r="R5819" s="894">
        <f t="shared" si="373"/>
        <v>0</v>
      </c>
    </row>
    <row r="5820" spans="1:18">
      <c r="A5820" s="905"/>
      <c r="B5820" s="906"/>
      <c r="C5820" s="907">
        <v>66</v>
      </c>
      <c r="D5820" s="907" t="s">
        <v>279</v>
      </c>
      <c r="E5820" s="925" t="s">
        <v>2682</v>
      </c>
      <c r="F5820" s="926" t="s">
        <v>45</v>
      </c>
      <c r="G5820" s="910"/>
      <c r="H5820" s="911">
        <v>0.25</v>
      </c>
      <c r="I5820" s="912">
        <f>VLOOKUP(E5820,[3]VLP!$B$7:$K$300,10,0)</f>
        <v>5000</v>
      </c>
      <c r="J5820" s="912">
        <f t="shared" si="374"/>
        <v>1250</v>
      </c>
      <c r="K5820" s="912" t="s">
        <v>274</v>
      </c>
      <c r="L5820" s="912"/>
      <c r="M5820" s="912"/>
      <c r="N5820" s="912"/>
      <c r="O5820" s="892">
        <f t="shared" si="369"/>
        <v>0</v>
      </c>
      <c r="P5820" s="903">
        <f t="shared" si="371"/>
        <v>1</v>
      </c>
      <c r="Q5820" s="893">
        <f t="shared" si="372"/>
        <v>4</v>
      </c>
      <c r="R5820" s="894">
        <f t="shared" si="373"/>
        <v>0</v>
      </c>
    </row>
    <row r="5821" spans="1:18">
      <c r="A5821" s="905"/>
      <c r="B5821" s="906"/>
      <c r="C5821" s="907">
        <v>699</v>
      </c>
      <c r="D5821" s="907" t="s">
        <v>279</v>
      </c>
      <c r="E5821" s="925" t="s">
        <v>4006</v>
      </c>
      <c r="F5821" s="926" t="s">
        <v>4007</v>
      </c>
      <c r="G5821" s="910"/>
      <c r="H5821" s="911">
        <v>5</v>
      </c>
      <c r="I5821" s="912">
        <f>VLOOKUP(E5821,[3]VLP!$B$7:$K$300,10,0)</f>
        <v>5000</v>
      </c>
      <c r="J5821" s="912">
        <f t="shared" si="374"/>
        <v>25000</v>
      </c>
      <c r="K5821" s="912" t="s">
        <v>274</v>
      </c>
      <c r="L5821" s="912"/>
      <c r="M5821" s="912"/>
      <c r="N5821" s="912"/>
      <c r="O5821" s="892">
        <f t="shared" si="369"/>
        <v>0</v>
      </c>
      <c r="P5821" s="903">
        <f t="shared" si="371"/>
        <v>1</v>
      </c>
      <c r="Q5821" s="893">
        <f t="shared" si="372"/>
        <v>3</v>
      </c>
      <c r="R5821" s="894">
        <f t="shared" si="373"/>
        <v>0</v>
      </c>
    </row>
    <row r="5822" spans="1:18" s="904" customFormat="1">
      <c r="A5822" s="895"/>
      <c r="B5822" s="896"/>
      <c r="C5822" s="897"/>
      <c r="D5822" s="897"/>
      <c r="E5822" s="924" t="s">
        <v>276</v>
      </c>
      <c r="F5822" s="927"/>
      <c r="G5822" s="928"/>
      <c r="H5822" s="901"/>
      <c r="I5822" s="902"/>
      <c r="J5822" s="902"/>
      <c r="K5822" s="912" t="s">
        <v>274</v>
      </c>
      <c r="L5822" s="902"/>
      <c r="M5822" s="902"/>
      <c r="N5822" s="902"/>
      <c r="O5822" s="892">
        <f t="shared" si="369"/>
        <v>0</v>
      </c>
      <c r="P5822" s="903">
        <f t="shared" si="371"/>
        <v>1</v>
      </c>
      <c r="Q5822" s="893">
        <f t="shared" si="372"/>
        <v>2</v>
      </c>
      <c r="R5822" s="894">
        <f t="shared" si="373"/>
        <v>0</v>
      </c>
    </row>
    <row r="5823" spans="1:18">
      <c r="A5823" s="905"/>
      <c r="B5823" s="906"/>
      <c r="C5823" s="907">
        <v>745</v>
      </c>
      <c r="D5823" s="907" t="s">
        <v>12</v>
      </c>
      <c r="E5823" s="908" t="s">
        <v>5518</v>
      </c>
      <c r="F5823" s="909" t="s">
        <v>2674</v>
      </c>
      <c r="G5823" s="910"/>
      <c r="H5823" s="911">
        <v>2.61</v>
      </c>
      <c r="I5823" s="912"/>
      <c r="J5823" s="912"/>
      <c r="K5823" s="912">
        <f>VLOOKUP(E5823,[5]ĐMNC!$A$7:$F$67,4,0)</f>
        <v>240557</v>
      </c>
      <c r="L5823" s="912">
        <f>H5823*K5823</f>
        <v>627853.77</v>
      </c>
      <c r="M5823" s="912"/>
      <c r="N5823" s="912"/>
      <c r="O5823" s="892">
        <f t="shared" si="369"/>
        <v>0</v>
      </c>
      <c r="P5823" s="903">
        <f t="shared" si="371"/>
        <v>1</v>
      </c>
      <c r="Q5823" s="893">
        <f t="shared" si="372"/>
        <v>1</v>
      </c>
      <c r="R5823" s="894">
        <f t="shared" si="373"/>
        <v>0</v>
      </c>
    </row>
    <row r="5824" spans="1:18" s="847" customFormat="1" ht="35.25" customHeight="1">
      <c r="A5824" s="905" t="s">
        <v>5825</v>
      </c>
      <c r="B5824" s="914" t="s">
        <v>5846</v>
      </c>
      <c r="C5824" s="915"/>
      <c r="D5824" s="915"/>
      <c r="E5824" s="916" t="s">
        <v>5847</v>
      </c>
      <c r="F5824" s="917" t="s">
        <v>5834</v>
      </c>
      <c r="G5824" s="944"/>
      <c r="H5824" s="919"/>
      <c r="I5824" s="920"/>
      <c r="J5824" s="891">
        <f>SUM(J5825:J5836)</f>
        <v>223912</v>
      </c>
      <c r="K5824" s="891"/>
      <c r="L5824" s="891">
        <f>SUM(L5825:L5836)</f>
        <v>685587.45000000007</v>
      </c>
      <c r="M5824" s="891"/>
      <c r="N5824" s="891">
        <f>SUM(N5825:N5836)</f>
        <v>0</v>
      </c>
      <c r="O5824" s="892">
        <f t="shared" si="369"/>
        <v>1</v>
      </c>
      <c r="P5824" s="903">
        <f t="shared" si="371"/>
        <v>0</v>
      </c>
      <c r="Q5824" s="893">
        <f t="shared" si="372"/>
        <v>0</v>
      </c>
      <c r="R5824" s="894">
        <f t="shared" si="373"/>
        <v>12</v>
      </c>
    </row>
    <row r="5825" spans="1:18" s="904" customFormat="1">
      <c r="A5825" s="895"/>
      <c r="B5825" s="896"/>
      <c r="C5825" s="897"/>
      <c r="D5825" s="897"/>
      <c r="E5825" s="898" t="s">
        <v>108</v>
      </c>
      <c r="F5825" s="899"/>
      <c r="G5825" s="928"/>
      <c r="H5825" s="901"/>
      <c r="I5825" s="902"/>
      <c r="J5825" s="902"/>
      <c r="K5825" s="912" t="s">
        <v>274</v>
      </c>
      <c r="L5825" s="902"/>
      <c r="M5825" s="902"/>
      <c r="N5825" s="902"/>
      <c r="O5825" s="892">
        <f t="shared" si="369"/>
        <v>0</v>
      </c>
      <c r="P5825" s="903">
        <f t="shared" si="371"/>
        <v>1</v>
      </c>
      <c r="Q5825" s="893">
        <f t="shared" si="372"/>
        <v>12</v>
      </c>
      <c r="R5825" s="894">
        <f t="shared" si="373"/>
        <v>0</v>
      </c>
    </row>
    <row r="5826" spans="1:18">
      <c r="A5826" s="905"/>
      <c r="B5826" s="906"/>
      <c r="C5826" s="907">
        <v>105</v>
      </c>
      <c r="D5826" s="907" t="s">
        <v>279</v>
      </c>
      <c r="E5826" s="925" t="s">
        <v>5848</v>
      </c>
      <c r="F5826" s="909" t="s">
        <v>51</v>
      </c>
      <c r="G5826" s="910"/>
      <c r="H5826" s="911">
        <v>1</v>
      </c>
      <c r="I5826" s="912">
        <f>VLOOKUP(E5826,[3]VLP!$B$7:$K$300,10,0)</f>
        <v>23660</v>
      </c>
      <c r="J5826" s="912">
        <f t="shared" ref="J5826:J5834" si="375">I5826*H5826</f>
        <v>23660</v>
      </c>
      <c r="K5826" s="912" t="s">
        <v>274</v>
      </c>
      <c r="L5826" s="912"/>
      <c r="M5826" s="912"/>
      <c r="N5826" s="912"/>
      <c r="O5826" s="892">
        <f t="shared" si="369"/>
        <v>0</v>
      </c>
      <c r="P5826" s="903">
        <f t="shared" si="371"/>
        <v>1</v>
      </c>
      <c r="Q5826" s="893">
        <f t="shared" si="372"/>
        <v>11</v>
      </c>
      <c r="R5826" s="894">
        <f t="shared" si="373"/>
        <v>0</v>
      </c>
    </row>
    <row r="5827" spans="1:18">
      <c r="A5827" s="905"/>
      <c r="B5827" s="906"/>
      <c r="C5827" s="907">
        <v>49</v>
      </c>
      <c r="D5827" s="907" t="s">
        <v>279</v>
      </c>
      <c r="E5827" s="925" t="s">
        <v>5698</v>
      </c>
      <c r="F5827" s="909" t="s">
        <v>139</v>
      </c>
      <c r="G5827" s="910"/>
      <c r="H5827" s="911">
        <v>2</v>
      </c>
      <c r="I5827" s="912">
        <f>VLOOKUP(E5827,[3]VLP!$B$7:$K$300,10,0)</f>
        <v>3000</v>
      </c>
      <c r="J5827" s="912">
        <f t="shared" si="375"/>
        <v>6000</v>
      </c>
      <c r="K5827" s="912" t="s">
        <v>274</v>
      </c>
      <c r="L5827" s="912"/>
      <c r="M5827" s="912"/>
      <c r="N5827" s="912"/>
      <c r="O5827" s="892">
        <f t="shared" si="369"/>
        <v>0</v>
      </c>
      <c r="P5827" s="903">
        <f t="shared" si="371"/>
        <v>1</v>
      </c>
      <c r="Q5827" s="893">
        <f t="shared" si="372"/>
        <v>10</v>
      </c>
      <c r="R5827" s="894">
        <f t="shared" si="373"/>
        <v>0</v>
      </c>
    </row>
    <row r="5828" spans="1:18">
      <c r="A5828" s="905"/>
      <c r="B5828" s="906"/>
      <c r="C5828" s="907">
        <v>50</v>
      </c>
      <c r="D5828" s="907" t="s">
        <v>279</v>
      </c>
      <c r="E5828" s="925" t="s">
        <v>5836</v>
      </c>
      <c r="F5828" s="909" t="s">
        <v>49</v>
      </c>
      <c r="G5828" s="910"/>
      <c r="H5828" s="911">
        <v>1</v>
      </c>
      <c r="I5828" s="912">
        <f>VLOOKUP(E5828,[3]VLP!$B$7:$K$300,10,0)</f>
        <v>85790</v>
      </c>
      <c r="J5828" s="912">
        <f t="shared" si="375"/>
        <v>85790</v>
      </c>
      <c r="K5828" s="912" t="s">
        <v>274</v>
      </c>
      <c r="L5828" s="912"/>
      <c r="M5828" s="912"/>
      <c r="N5828" s="912"/>
      <c r="O5828" s="892">
        <f t="shared" si="369"/>
        <v>0</v>
      </c>
      <c r="P5828" s="903">
        <f t="shared" si="371"/>
        <v>1</v>
      </c>
      <c r="Q5828" s="893">
        <f t="shared" si="372"/>
        <v>9</v>
      </c>
      <c r="R5828" s="894">
        <f t="shared" si="373"/>
        <v>0</v>
      </c>
    </row>
    <row r="5829" spans="1:18">
      <c r="A5829" s="905"/>
      <c r="B5829" s="906"/>
      <c r="C5829" s="907">
        <v>46</v>
      </c>
      <c r="D5829" s="907" t="s">
        <v>279</v>
      </c>
      <c r="E5829" s="925" t="s">
        <v>3179</v>
      </c>
      <c r="F5829" s="909" t="s">
        <v>45</v>
      </c>
      <c r="G5829" s="910"/>
      <c r="H5829" s="911">
        <v>2.8</v>
      </c>
      <c r="I5829" s="912">
        <f>VLOOKUP(E5829,[3]VLP!$B$7:$K$300,10,0)</f>
        <v>20500</v>
      </c>
      <c r="J5829" s="912">
        <f t="shared" si="375"/>
        <v>57399.999999999993</v>
      </c>
      <c r="K5829" s="912" t="s">
        <v>274</v>
      </c>
      <c r="L5829" s="912"/>
      <c r="M5829" s="912"/>
      <c r="N5829" s="912"/>
      <c r="O5829" s="892">
        <f t="shared" si="369"/>
        <v>0</v>
      </c>
      <c r="P5829" s="903">
        <f t="shared" si="371"/>
        <v>1</v>
      </c>
      <c r="Q5829" s="893">
        <f t="shared" si="372"/>
        <v>8</v>
      </c>
      <c r="R5829" s="894">
        <f t="shared" si="373"/>
        <v>0</v>
      </c>
    </row>
    <row r="5830" spans="1:18">
      <c r="A5830" s="905"/>
      <c r="B5830" s="906"/>
      <c r="C5830" s="907">
        <v>25</v>
      </c>
      <c r="D5830" s="907" t="s">
        <v>279</v>
      </c>
      <c r="E5830" s="925" t="s">
        <v>5656</v>
      </c>
      <c r="F5830" s="926" t="s">
        <v>2690</v>
      </c>
      <c r="G5830" s="910"/>
      <c r="H5830" s="911">
        <v>0.6</v>
      </c>
      <c r="I5830" s="912">
        <f>VLOOKUP(E5830,[3]VLP!$B$7:$K$300,10,0)</f>
        <v>5000</v>
      </c>
      <c r="J5830" s="912">
        <f t="shared" si="375"/>
        <v>3000</v>
      </c>
      <c r="K5830" s="912" t="s">
        <v>274</v>
      </c>
      <c r="L5830" s="912"/>
      <c r="M5830" s="912"/>
      <c r="N5830" s="912"/>
      <c r="O5830" s="892">
        <f t="shared" si="369"/>
        <v>0</v>
      </c>
      <c r="P5830" s="903">
        <f t="shared" si="371"/>
        <v>1</v>
      </c>
      <c r="Q5830" s="893">
        <f t="shared" si="372"/>
        <v>7</v>
      </c>
      <c r="R5830" s="894">
        <f t="shared" si="373"/>
        <v>0</v>
      </c>
    </row>
    <row r="5831" spans="1:18">
      <c r="A5831" s="905"/>
      <c r="B5831" s="906"/>
      <c r="C5831" s="907">
        <v>127</v>
      </c>
      <c r="D5831" s="907" t="s">
        <v>279</v>
      </c>
      <c r="E5831" s="925" t="s">
        <v>5657</v>
      </c>
      <c r="F5831" s="909" t="s">
        <v>45</v>
      </c>
      <c r="G5831" s="910"/>
      <c r="H5831" s="911">
        <v>0.4</v>
      </c>
      <c r="I5831" s="912">
        <f>VLOOKUP(E5831,[3]VLP!$B$7:$K$300,10,0)</f>
        <v>25155</v>
      </c>
      <c r="J5831" s="912">
        <f t="shared" si="375"/>
        <v>10062</v>
      </c>
      <c r="K5831" s="912" t="s">
        <v>274</v>
      </c>
      <c r="L5831" s="912"/>
      <c r="M5831" s="912"/>
      <c r="N5831" s="912"/>
      <c r="O5831" s="892">
        <f t="shared" si="369"/>
        <v>0</v>
      </c>
      <c r="P5831" s="903">
        <f t="shared" si="371"/>
        <v>1</v>
      </c>
      <c r="Q5831" s="893">
        <f t="shared" si="372"/>
        <v>6</v>
      </c>
      <c r="R5831" s="894">
        <f t="shared" si="373"/>
        <v>0</v>
      </c>
    </row>
    <row r="5832" spans="1:18">
      <c r="A5832" s="905"/>
      <c r="B5832" s="906"/>
      <c r="C5832" s="907">
        <v>44</v>
      </c>
      <c r="D5832" s="907" t="s">
        <v>279</v>
      </c>
      <c r="E5832" s="925" t="s">
        <v>2681</v>
      </c>
      <c r="F5832" s="926" t="s">
        <v>45</v>
      </c>
      <c r="G5832" s="910"/>
      <c r="H5832" s="911">
        <v>0.5</v>
      </c>
      <c r="I5832" s="912">
        <f>VLOOKUP(E5832,[3]VLP!$B$7:$K$300,10,0)</f>
        <v>23000</v>
      </c>
      <c r="J5832" s="912">
        <f t="shared" si="375"/>
        <v>11500</v>
      </c>
      <c r="K5832" s="912" t="s">
        <v>274</v>
      </c>
      <c r="L5832" s="912"/>
      <c r="M5832" s="912"/>
      <c r="N5832" s="912"/>
      <c r="O5832" s="892">
        <f t="shared" si="369"/>
        <v>0</v>
      </c>
      <c r="P5832" s="903">
        <f t="shared" si="371"/>
        <v>1</v>
      </c>
      <c r="Q5832" s="893">
        <f t="shared" si="372"/>
        <v>5</v>
      </c>
      <c r="R5832" s="894">
        <f t="shared" si="373"/>
        <v>0</v>
      </c>
    </row>
    <row r="5833" spans="1:18">
      <c r="A5833" s="905"/>
      <c r="B5833" s="906"/>
      <c r="C5833" s="907">
        <v>66</v>
      </c>
      <c r="D5833" s="907" t="s">
        <v>279</v>
      </c>
      <c r="E5833" s="925" t="s">
        <v>2682</v>
      </c>
      <c r="F5833" s="926" t="s">
        <v>45</v>
      </c>
      <c r="G5833" s="910"/>
      <c r="H5833" s="911">
        <v>0.3</v>
      </c>
      <c r="I5833" s="912">
        <f>VLOOKUP(E5833,[3]VLP!$B$7:$K$300,10,0)</f>
        <v>5000</v>
      </c>
      <c r="J5833" s="912">
        <f t="shared" si="375"/>
        <v>1500</v>
      </c>
      <c r="K5833" s="912" t="s">
        <v>274</v>
      </c>
      <c r="L5833" s="912"/>
      <c r="M5833" s="912"/>
      <c r="N5833" s="912"/>
      <c r="O5833" s="892">
        <f t="shared" si="369"/>
        <v>0</v>
      </c>
      <c r="P5833" s="903">
        <f t="shared" si="371"/>
        <v>1</v>
      </c>
      <c r="Q5833" s="893">
        <f t="shared" si="372"/>
        <v>4</v>
      </c>
      <c r="R5833" s="894">
        <f t="shared" si="373"/>
        <v>0</v>
      </c>
    </row>
    <row r="5834" spans="1:18">
      <c r="A5834" s="905"/>
      <c r="B5834" s="906"/>
      <c r="C5834" s="907">
        <v>699</v>
      </c>
      <c r="D5834" s="907" t="s">
        <v>279</v>
      </c>
      <c r="E5834" s="925" t="s">
        <v>4006</v>
      </c>
      <c r="F5834" s="926" t="s">
        <v>4007</v>
      </c>
      <c r="G5834" s="910"/>
      <c r="H5834" s="911">
        <v>5</v>
      </c>
      <c r="I5834" s="912">
        <f>VLOOKUP(E5834,[3]VLP!$B$7:$K$300,10,0)</f>
        <v>5000</v>
      </c>
      <c r="J5834" s="912">
        <f t="shared" si="375"/>
        <v>25000</v>
      </c>
      <c r="K5834" s="912" t="s">
        <v>274</v>
      </c>
      <c r="L5834" s="912"/>
      <c r="M5834" s="912"/>
      <c r="N5834" s="912"/>
      <c r="O5834" s="892">
        <f t="shared" si="369"/>
        <v>0</v>
      </c>
      <c r="P5834" s="903">
        <f t="shared" si="371"/>
        <v>1</v>
      </c>
      <c r="Q5834" s="893">
        <f t="shared" si="372"/>
        <v>3</v>
      </c>
      <c r="R5834" s="894">
        <f t="shared" si="373"/>
        <v>0</v>
      </c>
    </row>
    <row r="5835" spans="1:18" s="904" customFormat="1">
      <c r="A5835" s="895"/>
      <c r="B5835" s="896"/>
      <c r="C5835" s="897"/>
      <c r="D5835" s="897"/>
      <c r="E5835" s="924" t="s">
        <v>276</v>
      </c>
      <c r="F5835" s="927"/>
      <c r="G5835" s="928"/>
      <c r="H5835" s="901"/>
      <c r="I5835" s="902"/>
      <c r="J5835" s="902"/>
      <c r="K5835" s="912" t="s">
        <v>274</v>
      </c>
      <c r="L5835" s="902"/>
      <c r="M5835" s="902"/>
      <c r="N5835" s="902"/>
      <c r="O5835" s="892">
        <f t="shared" si="369"/>
        <v>0</v>
      </c>
      <c r="P5835" s="903">
        <f t="shared" si="371"/>
        <v>1</v>
      </c>
      <c r="Q5835" s="893">
        <f t="shared" si="372"/>
        <v>2</v>
      </c>
      <c r="R5835" s="894">
        <f t="shared" si="373"/>
        <v>0</v>
      </c>
    </row>
    <row r="5836" spans="1:18">
      <c r="A5836" s="905"/>
      <c r="B5836" s="906"/>
      <c r="C5836" s="907">
        <v>745</v>
      </c>
      <c r="D5836" s="907" t="s">
        <v>12</v>
      </c>
      <c r="E5836" s="908" t="s">
        <v>5518</v>
      </c>
      <c r="F5836" s="909" t="s">
        <v>2674</v>
      </c>
      <c r="G5836" s="910"/>
      <c r="H5836" s="911">
        <v>2.85</v>
      </c>
      <c r="I5836" s="912"/>
      <c r="J5836" s="912"/>
      <c r="K5836" s="912">
        <f>VLOOKUP(E5836,[5]ĐMNC!$A$7:$F$67,4,0)</f>
        <v>240557</v>
      </c>
      <c r="L5836" s="912">
        <f>H5836*K5836</f>
        <v>685587.45000000007</v>
      </c>
      <c r="M5836" s="912"/>
      <c r="N5836" s="912"/>
      <c r="O5836" s="892">
        <f t="shared" si="369"/>
        <v>0</v>
      </c>
      <c r="P5836" s="903">
        <f t="shared" si="371"/>
        <v>1</v>
      </c>
      <c r="Q5836" s="893">
        <f t="shared" si="372"/>
        <v>1</v>
      </c>
      <c r="R5836" s="894">
        <f t="shared" si="373"/>
        <v>0</v>
      </c>
    </row>
    <row r="5837" spans="1:18" s="847" customFormat="1" ht="35.25" customHeight="1">
      <c r="A5837" s="905"/>
      <c r="B5837" s="914" t="s">
        <v>5849</v>
      </c>
      <c r="C5837" s="915"/>
      <c r="D5837" s="915"/>
      <c r="E5837" s="916" t="s">
        <v>5850</v>
      </c>
      <c r="F5837" s="917" t="s">
        <v>5834</v>
      </c>
      <c r="G5837" s="944"/>
      <c r="H5837" s="919"/>
      <c r="I5837" s="920"/>
      <c r="J5837" s="891">
        <f>SUM(J5838:J5849)</f>
        <v>249012</v>
      </c>
      <c r="K5837" s="891"/>
      <c r="L5837" s="891">
        <f>SUM(L5838:L5849)</f>
        <v>822704.94</v>
      </c>
      <c r="M5837" s="891"/>
      <c r="N5837" s="891">
        <f>SUM(N5838:N5849)</f>
        <v>0</v>
      </c>
      <c r="O5837" s="892">
        <f t="shared" si="369"/>
        <v>1</v>
      </c>
      <c r="P5837" s="903">
        <f t="shared" si="371"/>
        <v>0</v>
      </c>
      <c r="Q5837" s="893">
        <f t="shared" si="372"/>
        <v>0</v>
      </c>
      <c r="R5837" s="894">
        <f t="shared" si="373"/>
        <v>12</v>
      </c>
    </row>
    <row r="5838" spans="1:18" s="904" customFormat="1">
      <c r="A5838" s="895"/>
      <c r="B5838" s="896"/>
      <c r="C5838" s="897"/>
      <c r="D5838" s="897"/>
      <c r="E5838" s="898" t="s">
        <v>108</v>
      </c>
      <c r="F5838" s="899"/>
      <c r="G5838" s="928"/>
      <c r="H5838" s="901"/>
      <c r="I5838" s="902"/>
      <c r="J5838" s="902"/>
      <c r="K5838" s="912" t="s">
        <v>274</v>
      </c>
      <c r="L5838" s="902"/>
      <c r="M5838" s="902"/>
      <c r="N5838" s="902"/>
      <c r="O5838" s="892">
        <f t="shared" si="369"/>
        <v>0</v>
      </c>
      <c r="P5838" s="903">
        <f t="shared" si="371"/>
        <v>1</v>
      </c>
      <c r="Q5838" s="893">
        <f t="shared" si="372"/>
        <v>12</v>
      </c>
      <c r="R5838" s="894">
        <f t="shared" si="373"/>
        <v>0</v>
      </c>
    </row>
    <row r="5839" spans="1:18">
      <c r="A5839" s="905"/>
      <c r="B5839" s="906"/>
      <c r="C5839" s="907">
        <v>106</v>
      </c>
      <c r="D5839" s="907" t="s">
        <v>279</v>
      </c>
      <c r="E5839" s="925" t="s">
        <v>5851</v>
      </c>
      <c r="F5839" s="909" t="s">
        <v>51</v>
      </c>
      <c r="G5839" s="910"/>
      <c r="H5839" s="911">
        <v>1</v>
      </c>
      <c r="I5839" s="912">
        <f>VLOOKUP(E5839,[3]VLP!$B$7:$K$300,10,0)</f>
        <v>40560</v>
      </c>
      <c r="J5839" s="912">
        <f t="shared" ref="J5839:J5847" si="376">I5839*H5839</f>
        <v>40560</v>
      </c>
      <c r="K5839" s="912" t="s">
        <v>274</v>
      </c>
      <c r="L5839" s="912"/>
      <c r="M5839" s="912"/>
      <c r="N5839" s="912"/>
      <c r="O5839" s="892">
        <f t="shared" si="369"/>
        <v>0</v>
      </c>
      <c r="P5839" s="903">
        <f t="shared" si="371"/>
        <v>1</v>
      </c>
      <c r="Q5839" s="893">
        <f t="shared" si="372"/>
        <v>11</v>
      </c>
      <c r="R5839" s="894">
        <f t="shared" si="373"/>
        <v>0</v>
      </c>
    </row>
    <row r="5840" spans="1:18">
      <c r="A5840" s="905"/>
      <c r="B5840" s="906"/>
      <c r="C5840" s="907">
        <v>49</v>
      </c>
      <c r="D5840" s="907" t="s">
        <v>279</v>
      </c>
      <c r="E5840" s="925" t="s">
        <v>5698</v>
      </c>
      <c r="F5840" s="909" t="s">
        <v>139</v>
      </c>
      <c r="G5840" s="910"/>
      <c r="H5840" s="911">
        <v>2</v>
      </c>
      <c r="I5840" s="912">
        <f>VLOOKUP(E5840,[3]VLP!$B$7:$K$300,10,0)</f>
        <v>3000</v>
      </c>
      <c r="J5840" s="912">
        <f t="shared" si="376"/>
        <v>6000</v>
      </c>
      <c r="K5840" s="912" t="s">
        <v>274</v>
      </c>
      <c r="L5840" s="912"/>
      <c r="M5840" s="912"/>
      <c r="N5840" s="912"/>
      <c r="O5840" s="892">
        <f t="shared" si="369"/>
        <v>0</v>
      </c>
      <c r="P5840" s="903">
        <f t="shared" si="371"/>
        <v>1</v>
      </c>
      <c r="Q5840" s="893">
        <f t="shared" si="372"/>
        <v>10</v>
      </c>
      <c r="R5840" s="894">
        <f t="shared" si="373"/>
        <v>0</v>
      </c>
    </row>
    <row r="5841" spans="1:18">
      <c r="A5841" s="905"/>
      <c r="B5841" s="906"/>
      <c r="C5841" s="907">
        <v>50</v>
      </c>
      <c r="D5841" s="907" t="s">
        <v>279</v>
      </c>
      <c r="E5841" s="925" t="s">
        <v>5836</v>
      </c>
      <c r="F5841" s="909" t="s">
        <v>49</v>
      </c>
      <c r="G5841" s="910"/>
      <c r="H5841" s="911">
        <v>1</v>
      </c>
      <c r="I5841" s="912">
        <f>VLOOKUP(E5841,[3]VLP!$B$7:$K$300,10,0)</f>
        <v>85790</v>
      </c>
      <c r="J5841" s="912">
        <f t="shared" si="376"/>
        <v>85790</v>
      </c>
      <c r="K5841" s="912" t="s">
        <v>274</v>
      </c>
      <c r="L5841" s="912"/>
      <c r="M5841" s="912"/>
      <c r="N5841" s="912"/>
      <c r="O5841" s="892">
        <f t="shared" si="369"/>
        <v>0</v>
      </c>
      <c r="P5841" s="903">
        <f t="shared" si="371"/>
        <v>1</v>
      </c>
      <c r="Q5841" s="893">
        <f t="shared" si="372"/>
        <v>9</v>
      </c>
      <c r="R5841" s="894">
        <f t="shared" si="373"/>
        <v>0</v>
      </c>
    </row>
    <row r="5842" spans="1:18">
      <c r="A5842" s="905"/>
      <c r="B5842" s="906"/>
      <c r="C5842" s="907">
        <v>46</v>
      </c>
      <c r="D5842" s="907" t="s">
        <v>279</v>
      </c>
      <c r="E5842" s="925" t="s">
        <v>3179</v>
      </c>
      <c r="F5842" s="909" t="s">
        <v>45</v>
      </c>
      <c r="G5842" s="910"/>
      <c r="H5842" s="911">
        <v>3.2</v>
      </c>
      <c r="I5842" s="912">
        <f>VLOOKUP(E5842,[3]VLP!$B$7:$K$300,10,0)</f>
        <v>20500</v>
      </c>
      <c r="J5842" s="912">
        <f t="shared" si="376"/>
        <v>65600</v>
      </c>
      <c r="K5842" s="912" t="s">
        <v>274</v>
      </c>
      <c r="L5842" s="912"/>
      <c r="M5842" s="912"/>
      <c r="N5842" s="912"/>
      <c r="O5842" s="892">
        <f t="shared" si="369"/>
        <v>0</v>
      </c>
      <c r="P5842" s="903">
        <f t="shared" si="371"/>
        <v>1</v>
      </c>
      <c r="Q5842" s="893">
        <f t="shared" si="372"/>
        <v>8</v>
      </c>
      <c r="R5842" s="894">
        <f t="shared" si="373"/>
        <v>0</v>
      </c>
    </row>
    <row r="5843" spans="1:18">
      <c r="A5843" s="905"/>
      <c r="B5843" s="906"/>
      <c r="C5843" s="907">
        <v>25</v>
      </c>
      <c r="D5843" s="907" t="s">
        <v>279</v>
      </c>
      <c r="E5843" s="925" t="s">
        <v>5656</v>
      </c>
      <c r="F5843" s="926" t="s">
        <v>2690</v>
      </c>
      <c r="G5843" s="910"/>
      <c r="H5843" s="911">
        <v>0.6</v>
      </c>
      <c r="I5843" s="912">
        <f>VLOOKUP(E5843,[3]VLP!$B$7:$K$300,10,0)</f>
        <v>5000</v>
      </c>
      <c r="J5843" s="912">
        <f t="shared" si="376"/>
        <v>3000</v>
      </c>
      <c r="K5843" s="912" t="s">
        <v>274</v>
      </c>
      <c r="L5843" s="912"/>
      <c r="M5843" s="912"/>
      <c r="N5843" s="912"/>
      <c r="O5843" s="892">
        <f t="shared" si="369"/>
        <v>0</v>
      </c>
      <c r="P5843" s="903">
        <f t="shared" si="371"/>
        <v>1</v>
      </c>
      <c r="Q5843" s="893">
        <f t="shared" si="372"/>
        <v>7</v>
      </c>
      <c r="R5843" s="894">
        <f t="shared" si="373"/>
        <v>0</v>
      </c>
    </row>
    <row r="5844" spans="1:18">
      <c r="A5844" s="905"/>
      <c r="B5844" s="906"/>
      <c r="C5844" s="907">
        <v>127</v>
      </c>
      <c r="D5844" s="907" t="s">
        <v>279</v>
      </c>
      <c r="E5844" s="925" t="s">
        <v>5657</v>
      </c>
      <c r="F5844" s="909" t="s">
        <v>45</v>
      </c>
      <c r="G5844" s="910"/>
      <c r="H5844" s="911">
        <v>0.4</v>
      </c>
      <c r="I5844" s="912">
        <f>VLOOKUP(E5844,[3]VLP!$B$7:$K$300,10,0)</f>
        <v>25155</v>
      </c>
      <c r="J5844" s="912">
        <f t="shared" si="376"/>
        <v>10062</v>
      </c>
      <c r="K5844" s="912" t="s">
        <v>274</v>
      </c>
      <c r="L5844" s="912"/>
      <c r="M5844" s="912"/>
      <c r="N5844" s="912"/>
      <c r="O5844" s="892">
        <f t="shared" si="369"/>
        <v>0</v>
      </c>
      <c r="P5844" s="903">
        <f t="shared" si="371"/>
        <v>1</v>
      </c>
      <c r="Q5844" s="893">
        <f t="shared" si="372"/>
        <v>6</v>
      </c>
      <c r="R5844" s="894">
        <f t="shared" si="373"/>
        <v>0</v>
      </c>
    </row>
    <row r="5845" spans="1:18">
      <c r="A5845" s="905"/>
      <c r="B5845" s="906"/>
      <c r="C5845" s="907">
        <v>44</v>
      </c>
      <c r="D5845" s="907" t="s">
        <v>279</v>
      </c>
      <c r="E5845" s="925" t="s">
        <v>2681</v>
      </c>
      <c r="F5845" s="926" t="s">
        <v>45</v>
      </c>
      <c r="G5845" s="910"/>
      <c r="H5845" s="911">
        <v>0.5</v>
      </c>
      <c r="I5845" s="912">
        <f>VLOOKUP(E5845,[3]VLP!$B$7:$K$300,10,0)</f>
        <v>23000</v>
      </c>
      <c r="J5845" s="912">
        <f t="shared" si="376"/>
        <v>11500</v>
      </c>
      <c r="K5845" s="912" t="s">
        <v>274</v>
      </c>
      <c r="L5845" s="912"/>
      <c r="M5845" s="912"/>
      <c r="N5845" s="912"/>
      <c r="O5845" s="892">
        <f t="shared" si="369"/>
        <v>0</v>
      </c>
      <c r="P5845" s="903">
        <f t="shared" si="371"/>
        <v>1</v>
      </c>
      <c r="Q5845" s="893">
        <f t="shared" si="372"/>
        <v>5</v>
      </c>
      <c r="R5845" s="894">
        <f t="shared" si="373"/>
        <v>0</v>
      </c>
    </row>
    <row r="5846" spans="1:18">
      <c r="A5846" s="905"/>
      <c r="B5846" s="906"/>
      <c r="C5846" s="907">
        <v>66</v>
      </c>
      <c r="D5846" s="907" t="s">
        <v>279</v>
      </c>
      <c r="E5846" s="925" t="s">
        <v>2682</v>
      </c>
      <c r="F5846" s="926" t="s">
        <v>45</v>
      </c>
      <c r="G5846" s="910"/>
      <c r="H5846" s="911">
        <v>0.3</v>
      </c>
      <c r="I5846" s="912">
        <f>VLOOKUP(E5846,[3]VLP!$B$7:$K$300,10,0)</f>
        <v>5000</v>
      </c>
      <c r="J5846" s="912">
        <f t="shared" si="376"/>
        <v>1500</v>
      </c>
      <c r="K5846" s="912" t="s">
        <v>274</v>
      </c>
      <c r="L5846" s="912"/>
      <c r="M5846" s="912"/>
      <c r="N5846" s="912"/>
      <c r="O5846" s="892">
        <f t="shared" si="369"/>
        <v>0</v>
      </c>
      <c r="P5846" s="903">
        <f t="shared" si="371"/>
        <v>1</v>
      </c>
      <c r="Q5846" s="893">
        <f t="shared" si="372"/>
        <v>4</v>
      </c>
      <c r="R5846" s="894">
        <f t="shared" si="373"/>
        <v>0</v>
      </c>
    </row>
    <row r="5847" spans="1:18">
      <c r="A5847" s="905"/>
      <c r="B5847" s="906"/>
      <c r="C5847" s="907">
        <v>699</v>
      </c>
      <c r="D5847" s="907" t="s">
        <v>279</v>
      </c>
      <c r="E5847" s="925" t="s">
        <v>4006</v>
      </c>
      <c r="F5847" s="926" t="s">
        <v>4007</v>
      </c>
      <c r="G5847" s="910"/>
      <c r="H5847" s="911">
        <v>5</v>
      </c>
      <c r="I5847" s="912">
        <f>VLOOKUP(E5847,[3]VLP!$B$7:$K$300,10,0)</f>
        <v>5000</v>
      </c>
      <c r="J5847" s="912">
        <f t="shared" si="376"/>
        <v>25000</v>
      </c>
      <c r="K5847" s="912" t="s">
        <v>274</v>
      </c>
      <c r="L5847" s="912"/>
      <c r="M5847" s="912"/>
      <c r="N5847" s="912"/>
      <c r="O5847" s="892">
        <f t="shared" si="369"/>
        <v>0</v>
      </c>
      <c r="P5847" s="903">
        <f t="shared" si="371"/>
        <v>1</v>
      </c>
      <c r="Q5847" s="893">
        <f t="shared" si="372"/>
        <v>3</v>
      </c>
      <c r="R5847" s="894">
        <f t="shared" si="373"/>
        <v>0</v>
      </c>
    </row>
    <row r="5848" spans="1:18" s="904" customFormat="1">
      <c r="A5848" s="895"/>
      <c r="B5848" s="896"/>
      <c r="C5848" s="897"/>
      <c r="D5848" s="897"/>
      <c r="E5848" s="924" t="s">
        <v>276</v>
      </c>
      <c r="F5848" s="927"/>
      <c r="G5848" s="928"/>
      <c r="H5848" s="901"/>
      <c r="I5848" s="902"/>
      <c r="J5848" s="902"/>
      <c r="K5848" s="912" t="s">
        <v>274</v>
      </c>
      <c r="L5848" s="902"/>
      <c r="M5848" s="902"/>
      <c r="N5848" s="902"/>
      <c r="O5848" s="892">
        <f t="shared" si="369"/>
        <v>0</v>
      </c>
      <c r="P5848" s="903">
        <f t="shared" si="371"/>
        <v>1</v>
      </c>
      <c r="Q5848" s="893">
        <f t="shared" si="372"/>
        <v>2</v>
      </c>
      <c r="R5848" s="894">
        <f t="shared" si="373"/>
        <v>0</v>
      </c>
    </row>
    <row r="5849" spans="1:18">
      <c r="A5849" s="905"/>
      <c r="B5849" s="906"/>
      <c r="C5849" s="907">
        <v>745</v>
      </c>
      <c r="D5849" s="907" t="s">
        <v>12</v>
      </c>
      <c r="E5849" s="908" t="s">
        <v>5518</v>
      </c>
      <c r="F5849" s="909" t="s">
        <v>2674</v>
      </c>
      <c r="G5849" s="910"/>
      <c r="H5849" s="911">
        <v>3.42</v>
      </c>
      <c r="I5849" s="912"/>
      <c r="J5849" s="912"/>
      <c r="K5849" s="912">
        <f>VLOOKUP(E5849,[5]ĐMNC!$A$7:$F$67,4,0)</f>
        <v>240557</v>
      </c>
      <c r="L5849" s="912">
        <f>H5849*K5849</f>
        <v>822704.94</v>
      </c>
      <c r="M5849" s="912"/>
      <c r="N5849" s="912"/>
      <c r="O5849" s="892">
        <f t="shared" si="369"/>
        <v>0</v>
      </c>
      <c r="P5849" s="903">
        <f t="shared" si="371"/>
        <v>1</v>
      </c>
      <c r="Q5849" s="893">
        <f t="shared" si="372"/>
        <v>1</v>
      </c>
      <c r="R5849" s="894">
        <f t="shared" si="373"/>
        <v>0</v>
      </c>
    </row>
    <row r="5850" spans="1:18" s="847" customFormat="1" ht="35.25" customHeight="1">
      <c r="A5850" s="905"/>
      <c r="B5850" s="914" t="s">
        <v>5852</v>
      </c>
      <c r="C5850" s="915"/>
      <c r="D5850" s="915"/>
      <c r="E5850" s="916" t="s">
        <v>5853</v>
      </c>
      <c r="F5850" s="917" t="s">
        <v>5834</v>
      </c>
      <c r="G5850" s="944"/>
      <c r="H5850" s="919"/>
      <c r="I5850" s="920"/>
      <c r="J5850" s="891">
        <f>SUM(J5851:J5862)</f>
        <v>267344.40000000002</v>
      </c>
      <c r="K5850" s="891"/>
      <c r="L5850" s="891">
        <f>SUM(L5851:L5862)</f>
        <v>986283.7</v>
      </c>
      <c r="M5850" s="891"/>
      <c r="N5850" s="891">
        <f>SUM(N5851:N5862)</f>
        <v>0</v>
      </c>
      <c r="O5850" s="892">
        <f t="shared" si="369"/>
        <v>1</v>
      </c>
      <c r="P5850" s="903">
        <f t="shared" si="371"/>
        <v>0</v>
      </c>
      <c r="Q5850" s="893">
        <f t="shared" si="372"/>
        <v>0</v>
      </c>
      <c r="R5850" s="894">
        <f t="shared" si="373"/>
        <v>12</v>
      </c>
    </row>
    <row r="5851" spans="1:18" s="904" customFormat="1">
      <c r="A5851" s="895"/>
      <c r="B5851" s="896"/>
      <c r="C5851" s="897"/>
      <c r="D5851" s="897"/>
      <c r="E5851" s="898" t="s">
        <v>108</v>
      </c>
      <c r="F5851" s="899"/>
      <c r="G5851" s="928"/>
      <c r="H5851" s="901"/>
      <c r="I5851" s="902"/>
      <c r="J5851" s="902"/>
      <c r="K5851" s="912" t="s">
        <v>274</v>
      </c>
      <c r="L5851" s="902"/>
      <c r="M5851" s="902"/>
      <c r="N5851" s="902"/>
      <c r="O5851" s="892">
        <f t="shared" si="369"/>
        <v>0</v>
      </c>
      <c r="P5851" s="903">
        <f t="shared" si="371"/>
        <v>1</v>
      </c>
      <c r="Q5851" s="893">
        <f t="shared" si="372"/>
        <v>12</v>
      </c>
      <c r="R5851" s="894">
        <f t="shared" si="373"/>
        <v>0</v>
      </c>
    </row>
    <row r="5852" spans="1:18">
      <c r="A5852" s="905"/>
      <c r="B5852" s="906"/>
      <c r="C5852" s="907">
        <v>107</v>
      </c>
      <c r="D5852" s="907" t="s">
        <v>279</v>
      </c>
      <c r="E5852" s="925" t="s">
        <v>5854</v>
      </c>
      <c r="F5852" s="909" t="s">
        <v>51</v>
      </c>
      <c r="G5852" s="910"/>
      <c r="H5852" s="911">
        <v>1</v>
      </c>
      <c r="I5852" s="912">
        <f>VLOOKUP(E5852,[3]VLP!$B$7:$K$300,10,0)</f>
        <v>40560</v>
      </c>
      <c r="J5852" s="912">
        <f t="shared" ref="J5852:J5860" si="377">I5852*H5852</f>
        <v>40560</v>
      </c>
      <c r="K5852" s="912" t="s">
        <v>274</v>
      </c>
      <c r="L5852" s="912"/>
      <c r="M5852" s="912"/>
      <c r="N5852" s="912"/>
      <c r="O5852" s="892">
        <f t="shared" si="369"/>
        <v>0</v>
      </c>
      <c r="P5852" s="903">
        <f t="shared" si="371"/>
        <v>1</v>
      </c>
      <c r="Q5852" s="893">
        <f t="shared" si="372"/>
        <v>11</v>
      </c>
      <c r="R5852" s="894">
        <f t="shared" si="373"/>
        <v>0</v>
      </c>
    </row>
    <row r="5853" spans="1:18">
      <c r="A5853" s="905"/>
      <c r="B5853" s="906"/>
      <c r="C5853" s="907">
        <v>49</v>
      </c>
      <c r="D5853" s="907" t="s">
        <v>279</v>
      </c>
      <c r="E5853" s="925" t="s">
        <v>5698</v>
      </c>
      <c r="F5853" s="909" t="s">
        <v>139</v>
      </c>
      <c r="G5853" s="910"/>
      <c r="H5853" s="911">
        <v>2</v>
      </c>
      <c r="I5853" s="912">
        <f>VLOOKUP(E5853,[3]VLP!$B$7:$K$300,10,0)</f>
        <v>3000</v>
      </c>
      <c r="J5853" s="912">
        <f t="shared" si="377"/>
        <v>6000</v>
      </c>
      <c r="K5853" s="912" t="s">
        <v>274</v>
      </c>
      <c r="L5853" s="912"/>
      <c r="M5853" s="912"/>
      <c r="N5853" s="912"/>
      <c r="O5853" s="892">
        <f t="shared" si="369"/>
        <v>0</v>
      </c>
      <c r="P5853" s="903">
        <f t="shared" si="371"/>
        <v>1</v>
      </c>
      <c r="Q5853" s="893">
        <f t="shared" si="372"/>
        <v>10</v>
      </c>
      <c r="R5853" s="894">
        <f t="shared" si="373"/>
        <v>0</v>
      </c>
    </row>
    <row r="5854" spans="1:18">
      <c r="A5854" s="905"/>
      <c r="B5854" s="906"/>
      <c r="C5854" s="907">
        <v>50</v>
      </c>
      <c r="D5854" s="907" t="s">
        <v>279</v>
      </c>
      <c r="E5854" s="925" t="s">
        <v>5836</v>
      </c>
      <c r="F5854" s="909" t="s">
        <v>49</v>
      </c>
      <c r="G5854" s="910"/>
      <c r="H5854" s="911">
        <v>1</v>
      </c>
      <c r="I5854" s="912">
        <f>VLOOKUP(E5854,[3]VLP!$B$7:$K$300,10,0)</f>
        <v>85790</v>
      </c>
      <c r="J5854" s="912">
        <f t="shared" si="377"/>
        <v>85790</v>
      </c>
      <c r="K5854" s="912" t="s">
        <v>274</v>
      </c>
      <c r="L5854" s="912"/>
      <c r="M5854" s="912"/>
      <c r="N5854" s="912"/>
      <c r="O5854" s="892">
        <f t="shared" si="369"/>
        <v>0</v>
      </c>
      <c r="P5854" s="903">
        <f t="shared" si="371"/>
        <v>1</v>
      </c>
      <c r="Q5854" s="893">
        <f t="shared" si="372"/>
        <v>9</v>
      </c>
      <c r="R5854" s="894">
        <f t="shared" si="373"/>
        <v>0</v>
      </c>
    </row>
    <row r="5855" spans="1:18">
      <c r="A5855" s="905"/>
      <c r="B5855" s="906"/>
      <c r="C5855" s="907">
        <v>46</v>
      </c>
      <c r="D5855" s="907" t="s">
        <v>279</v>
      </c>
      <c r="E5855" s="925" t="s">
        <v>3179</v>
      </c>
      <c r="F5855" s="909" t="s">
        <v>45</v>
      </c>
      <c r="G5855" s="910"/>
      <c r="H5855" s="911">
        <v>3.84</v>
      </c>
      <c r="I5855" s="912">
        <f>VLOOKUP(E5855,[3]VLP!$B$7:$K$300,10,0)</f>
        <v>20500</v>
      </c>
      <c r="J5855" s="912">
        <f t="shared" si="377"/>
        <v>78720</v>
      </c>
      <c r="K5855" s="912" t="s">
        <v>274</v>
      </c>
      <c r="L5855" s="912"/>
      <c r="M5855" s="912"/>
      <c r="N5855" s="912"/>
      <c r="O5855" s="892">
        <f t="shared" ref="O5855:O5918" si="378">IF(AND(B5855&lt;&gt;"",D5855=""),1,0)</f>
        <v>0</v>
      </c>
      <c r="P5855" s="903">
        <f t="shared" si="371"/>
        <v>1</v>
      </c>
      <c r="Q5855" s="893">
        <f t="shared" si="372"/>
        <v>8</v>
      </c>
      <c r="R5855" s="894">
        <f t="shared" si="373"/>
        <v>0</v>
      </c>
    </row>
    <row r="5856" spans="1:18">
      <c r="A5856" s="905"/>
      <c r="B5856" s="906"/>
      <c r="C5856" s="907">
        <v>25</v>
      </c>
      <c r="D5856" s="907" t="s">
        <v>279</v>
      </c>
      <c r="E5856" s="925" t="s">
        <v>5656</v>
      </c>
      <c r="F5856" s="926" t="s">
        <v>2690</v>
      </c>
      <c r="G5856" s="910"/>
      <c r="H5856" s="911">
        <v>0.72</v>
      </c>
      <c r="I5856" s="912">
        <f>VLOOKUP(E5856,[3]VLP!$B$7:$K$300,10,0)</f>
        <v>5000</v>
      </c>
      <c r="J5856" s="912">
        <f t="shared" si="377"/>
        <v>3600</v>
      </c>
      <c r="K5856" s="912" t="s">
        <v>274</v>
      </c>
      <c r="L5856" s="912"/>
      <c r="M5856" s="912"/>
      <c r="N5856" s="912"/>
      <c r="O5856" s="892">
        <f t="shared" si="378"/>
        <v>0</v>
      </c>
      <c r="P5856" s="903">
        <f t="shared" si="371"/>
        <v>1</v>
      </c>
      <c r="Q5856" s="893">
        <f t="shared" si="372"/>
        <v>7</v>
      </c>
      <c r="R5856" s="894">
        <f t="shared" si="373"/>
        <v>0</v>
      </c>
    </row>
    <row r="5857" spans="1:18">
      <c r="A5857" s="905"/>
      <c r="B5857" s="906"/>
      <c r="C5857" s="907">
        <v>127</v>
      </c>
      <c r="D5857" s="907" t="s">
        <v>279</v>
      </c>
      <c r="E5857" s="925" t="s">
        <v>5657</v>
      </c>
      <c r="F5857" s="909" t="s">
        <v>45</v>
      </c>
      <c r="G5857" s="910"/>
      <c r="H5857" s="911">
        <v>0.48</v>
      </c>
      <c r="I5857" s="912">
        <f>VLOOKUP(E5857,[3]VLP!$B$7:$K$300,10,0)</f>
        <v>25155</v>
      </c>
      <c r="J5857" s="912">
        <f t="shared" si="377"/>
        <v>12074.4</v>
      </c>
      <c r="K5857" s="912" t="s">
        <v>274</v>
      </c>
      <c r="L5857" s="912"/>
      <c r="M5857" s="912"/>
      <c r="N5857" s="912"/>
      <c r="O5857" s="892">
        <f t="shared" si="378"/>
        <v>0</v>
      </c>
      <c r="P5857" s="903">
        <f t="shared" si="371"/>
        <v>1</v>
      </c>
      <c r="Q5857" s="893">
        <f t="shared" si="372"/>
        <v>6</v>
      </c>
      <c r="R5857" s="894">
        <f t="shared" si="373"/>
        <v>0</v>
      </c>
    </row>
    <row r="5858" spans="1:18">
      <c r="A5858" s="905"/>
      <c r="B5858" s="906"/>
      <c r="C5858" s="907">
        <v>44</v>
      </c>
      <c r="D5858" s="907" t="s">
        <v>279</v>
      </c>
      <c r="E5858" s="925" t="s">
        <v>2681</v>
      </c>
      <c r="F5858" s="926" t="s">
        <v>45</v>
      </c>
      <c r="G5858" s="910"/>
      <c r="H5858" s="911">
        <v>0.6</v>
      </c>
      <c r="I5858" s="912">
        <f>VLOOKUP(E5858,[3]VLP!$B$7:$K$300,10,0)</f>
        <v>23000</v>
      </c>
      <c r="J5858" s="912">
        <f t="shared" si="377"/>
        <v>13800</v>
      </c>
      <c r="K5858" s="912" t="s">
        <v>274</v>
      </c>
      <c r="L5858" s="912"/>
      <c r="M5858" s="912"/>
      <c r="N5858" s="912"/>
      <c r="O5858" s="892">
        <f t="shared" si="378"/>
        <v>0</v>
      </c>
      <c r="P5858" s="903">
        <f t="shared" si="371"/>
        <v>1</v>
      </c>
      <c r="Q5858" s="893">
        <f t="shared" si="372"/>
        <v>5</v>
      </c>
      <c r="R5858" s="894">
        <f t="shared" si="373"/>
        <v>0</v>
      </c>
    </row>
    <row r="5859" spans="1:18">
      <c r="A5859" s="905"/>
      <c r="B5859" s="906"/>
      <c r="C5859" s="907">
        <v>66</v>
      </c>
      <c r="D5859" s="907" t="s">
        <v>279</v>
      </c>
      <c r="E5859" s="925" t="s">
        <v>2682</v>
      </c>
      <c r="F5859" s="926" t="s">
        <v>45</v>
      </c>
      <c r="G5859" s="910"/>
      <c r="H5859" s="911">
        <v>0.36</v>
      </c>
      <c r="I5859" s="912">
        <f>VLOOKUP(E5859,[3]VLP!$B$7:$K$300,10,0)</f>
        <v>5000</v>
      </c>
      <c r="J5859" s="912">
        <f t="shared" si="377"/>
        <v>1800</v>
      </c>
      <c r="K5859" s="912" t="s">
        <v>274</v>
      </c>
      <c r="L5859" s="912"/>
      <c r="M5859" s="912"/>
      <c r="N5859" s="912"/>
      <c r="O5859" s="892">
        <f t="shared" si="378"/>
        <v>0</v>
      </c>
      <c r="P5859" s="903">
        <f t="shared" si="371"/>
        <v>1</v>
      </c>
      <c r="Q5859" s="893">
        <f t="shared" si="372"/>
        <v>4</v>
      </c>
      <c r="R5859" s="894">
        <f t="shared" si="373"/>
        <v>0</v>
      </c>
    </row>
    <row r="5860" spans="1:18">
      <c r="A5860" s="905"/>
      <c r="B5860" s="906"/>
      <c r="C5860" s="907">
        <v>699</v>
      </c>
      <c r="D5860" s="907" t="s">
        <v>279</v>
      </c>
      <c r="E5860" s="925" t="s">
        <v>4006</v>
      </c>
      <c r="F5860" s="926" t="s">
        <v>4007</v>
      </c>
      <c r="G5860" s="910"/>
      <c r="H5860" s="911">
        <v>5</v>
      </c>
      <c r="I5860" s="912">
        <f>VLOOKUP(E5860,[3]VLP!$B$7:$K$300,10,0)</f>
        <v>5000</v>
      </c>
      <c r="J5860" s="912">
        <f t="shared" si="377"/>
        <v>25000</v>
      </c>
      <c r="K5860" s="912" t="s">
        <v>274</v>
      </c>
      <c r="L5860" s="912"/>
      <c r="M5860" s="912"/>
      <c r="N5860" s="912"/>
      <c r="O5860" s="892">
        <f t="shared" si="378"/>
        <v>0</v>
      </c>
      <c r="P5860" s="903">
        <f t="shared" si="371"/>
        <v>1</v>
      </c>
      <c r="Q5860" s="893">
        <f t="shared" si="372"/>
        <v>3</v>
      </c>
      <c r="R5860" s="894">
        <f t="shared" si="373"/>
        <v>0</v>
      </c>
    </row>
    <row r="5861" spans="1:18" s="904" customFormat="1">
      <c r="A5861" s="895"/>
      <c r="B5861" s="896"/>
      <c r="C5861" s="897"/>
      <c r="D5861" s="897"/>
      <c r="E5861" s="924" t="s">
        <v>276</v>
      </c>
      <c r="F5861" s="927"/>
      <c r="G5861" s="928"/>
      <c r="H5861" s="901"/>
      <c r="I5861" s="902"/>
      <c r="J5861" s="902"/>
      <c r="K5861" s="912" t="s">
        <v>274</v>
      </c>
      <c r="L5861" s="902"/>
      <c r="M5861" s="902"/>
      <c r="N5861" s="902"/>
      <c r="O5861" s="892">
        <f t="shared" si="378"/>
        <v>0</v>
      </c>
      <c r="P5861" s="903">
        <f t="shared" si="371"/>
        <v>1</v>
      </c>
      <c r="Q5861" s="893">
        <f t="shared" si="372"/>
        <v>2</v>
      </c>
      <c r="R5861" s="894">
        <f t="shared" si="373"/>
        <v>0</v>
      </c>
    </row>
    <row r="5862" spans="1:18">
      <c r="A5862" s="905"/>
      <c r="B5862" s="906"/>
      <c r="C5862" s="907">
        <v>745</v>
      </c>
      <c r="D5862" s="907" t="s">
        <v>12</v>
      </c>
      <c r="E5862" s="908" t="s">
        <v>5518</v>
      </c>
      <c r="F5862" s="909" t="s">
        <v>2674</v>
      </c>
      <c r="G5862" s="910"/>
      <c r="H5862" s="911">
        <v>4.0999999999999996</v>
      </c>
      <c r="I5862" s="912"/>
      <c r="J5862" s="912"/>
      <c r="K5862" s="912">
        <f>VLOOKUP(E5862,[5]ĐMNC!$A$7:$F$67,4,0)</f>
        <v>240557</v>
      </c>
      <c r="L5862" s="912">
        <f>H5862*K5862</f>
        <v>986283.7</v>
      </c>
      <c r="M5862" s="912"/>
      <c r="N5862" s="912"/>
      <c r="O5862" s="892">
        <f t="shared" si="378"/>
        <v>0</v>
      </c>
      <c r="P5862" s="903">
        <f t="shared" si="371"/>
        <v>1</v>
      </c>
      <c r="Q5862" s="893">
        <f t="shared" si="372"/>
        <v>1</v>
      </c>
      <c r="R5862" s="894">
        <f t="shared" si="373"/>
        <v>0</v>
      </c>
    </row>
    <row r="5863" spans="1:18" s="847" customFormat="1" ht="35.25" customHeight="1">
      <c r="A5863" s="905" t="s">
        <v>5817</v>
      </c>
      <c r="B5863" s="914" t="s">
        <v>5855</v>
      </c>
      <c r="C5863" s="915"/>
      <c r="D5863" s="915"/>
      <c r="E5863" s="916" t="s">
        <v>5856</v>
      </c>
      <c r="F5863" s="917" t="s">
        <v>5834</v>
      </c>
      <c r="G5863" s="944"/>
      <c r="H5863" s="919"/>
      <c r="I5863" s="920"/>
      <c r="J5863" s="891">
        <f>SUM(J5864:J5875)</f>
        <v>182132</v>
      </c>
      <c r="K5863" s="891"/>
      <c r="L5863" s="891">
        <f>SUM(L5864:L5875)</f>
        <v>685587.45000000007</v>
      </c>
      <c r="M5863" s="891"/>
      <c r="N5863" s="891">
        <f>SUM(N5864:N5875)</f>
        <v>0</v>
      </c>
      <c r="O5863" s="892">
        <f t="shared" si="378"/>
        <v>1</v>
      </c>
      <c r="P5863" s="903">
        <f t="shared" si="371"/>
        <v>0</v>
      </c>
      <c r="Q5863" s="893">
        <f t="shared" si="372"/>
        <v>0</v>
      </c>
      <c r="R5863" s="894">
        <f t="shared" si="373"/>
        <v>12</v>
      </c>
    </row>
    <row r="5864" spans="1:18" s="904" customFormat="1">
      <c r="A5864" s="895"/>
      <c r="B5864" s="896"/>
      <c r="C5864" s="897"/>
      <c r="D5864" s="897"/>
      <c r="E5864" s="898" t="s">
        <v>108</v>
      </c>
      <c r="F5864" s="899"/>
      <c r="G5864" s="928"/>
      <c r="H5864" s="901"/>
      <c r="I5864" s="902"/>
      <c r="J5864" s="902"/>
      <c r="K5864" s="912" t="s">
        <v>274</v>
      </c>
      <c r="L5864" s="902"/>
      <c r="M5864" s="902"/>
      <c r="N5864" s="902"/>
      <c r="O5864" s="892">
        <f t="shared" si="378"/>
        <v>0</v>
      </c>
      <c r="P5864" s="903">
        <f t="shared" ref="P5864:P5927" si="379">IF(O5864=0,1,0)</f>
        <v>1</v>
      </c>
      <c r="Q5864" s="893">
        <f t="shared" ref="Q5864:Q5927" si="380">IF(P5864=0,0,P5864+Q5865)</f>
        <v>12</v>
      </c>
      <c r="R5864" s="894">
        <f t="shared" ref="R5864:R5927" si="381">IF(Q5864=0,Q5865,0)</f>
        <v>0</v>
      </c>
    </row>
    <row r="5865" spans="1:18">
      <c r="A5865" s="905"/>
      <c r="B5865" s="906"/>
      <c r="C5865" s="907">
        <v>94</v>
      </c>
      <c r="D5865" s="907" t="s">
        <v>279</v>
      </c>
      <c r="E5865" s="925" t="s">
        <v>5857</v>
      </c>
      <c r="F5865" s="909" t="s">
        <v>51</v>
      </c>
      <c r="G5865" s="910"/>
      <c r="H5865" s="911">
        <v>1</v>
      </c>
      <c r="I5865" s="912">
        <f>VLOOKUP(E5865,[3]VLP!$B$7:$K$300,10,0)</f>
        <v>20280</v>
      </c>
      <c r="J5865" s="912">
        <f t="shared" ref="J5865:J5873" si="382">I5865*H5865</f>
        <v>20280</v>
      </c>
      <c r="K5865" s="912" t="s">
        <v>274</v>
      </c>
      <c r="L5865" s="912"/>
      <c r="M5865" s="912"/>
      <c r="N5865" s="912"/>
      <c r="O5865" s="892">
        <f t="shared" si="378"/>
        <v>0</v>
      </c>
      <c r="P5865" s="903">
        <f t="shared" si="379"/>
        <v>1</v>
      </c>
      <c r="Q5865" s="893">
        <f t="shared" si="380"/>
        <v>11</v>
      </c>
      <c r="R5865" s="894">
        <f t="shared" si="381"/>
        <v>0</v>
      </c>
    </row>
    <row r="5866" spans="1:18">
      <c r="A5866" s="905"/>
      <c r="B5866" s="906"/>
      <c r="C5866" s="907">
        <v>49</v>
      </c>
      <c r="D5866" s="907" t="s">
        <v>279</v>
      </c>
      <c r="E5866" s="925" t="s">
        <v>5698</v>
      </c>
      <c r="F5866" s="909" t="s">
        <v>139</v>
      </c>
      <c r="G5866" s="910"/>
      <c r="H5866" s="911">
        <v>2</v>
      </c>
      <c r="I5866" s="912">
        <f>VLOOKUP(E5866,[3]VLP!$B$7:$K$300,10,0)</f>
        <v>3000</v>
      </c>
      <c r="J5866" s="912">
        <f t="shared" si="382"/>
        <v>6000</v>
      </c>
      <c r="K5866" s="912" t="s">
        <v>274</v>
      </c>
      <c r="L5866" s="912"/>
      <c r="M5866" s="912"/>
      <c r="N5866" s="912"/>
      <c r="O5866" s="892">
        <f t="shared" si="378"/>
        <v>0</v>
      </c>
      <c r="P5866" s="903">
        <f t="shared" si="379"/>
        <v>1</v>
      </c>
      <c r="Q5866" s="893">
        <f t="shared" si="380"/>
        <v>10</v>
      </c>
      <c r="R5866" s="894">
        <f t="shared" si="381"/>
        <v>0</v>
      </c>
    </row>
    <row r="5867" spans="1:18">
      <c r="A5867" s="905"/>
      <c r="B5867" s="906"/>
      <c r="C5867" s="907">
        <v>50</v>
      </c>
      <c r="D5867" s="907" t="s">
        <v>279</v>
      </c>
      <c r="E5867" s="925" t="s">
        <v>5836</v>
      </c>
      <c r="F5867" s="909" t="s">
        <v>49</v>
      </c>
      <c r="G5867" s="910"/>
      <c r="H5867" s="911">
        <v>1</v>
      </c>
      <c r="I5867" s="912">
        <f>VLOOKUP(E5867,[3]VLP!$B$7:$K$300,10,0)</f>
        <v>85790</v>
      </c>
      <c r="J5867" s="912">
        <f t="shared" si="382"/>
        <v>85790</v>
      </c>
      <c r="K5867" s="912" t="s">
        <v>274</v>
      </c>
      <c r="L5867" s="912"/>
      <c r="M5867" s="912"/>
      <c r="N5867" s="912"/>
      <c r="O5867" s="892">
        <f t="shared" si="378"/>
        <v>0</v>
      </c>
      <c r="P5867" s="903">
        <f t="shared" si="379"/>
        <v>1</v>
      </c>
      <c r="Q5867" s="893">
        <f t="shared" si="380"/>
        <v>9</v>
      </c>
      <c r="R5867" s="894">
        <f t="shared" si="381"/>
        <v>0</v>
      </c>
    </row>
    <row r="5868" spans="1:18">
      <c r="A5868" s="905"/>
      <c r="B5868" s="906"/>
      <c r="C5868" s="907">
        <v>46</v>
      </c>
      <c r="D5868" s="907" t="s">
        <v>279</v>
      </c>
      <c r="E5868" s="925" t="s">
        <v>3179</v>
      </c>
      <c r="F5868" s="909" t="s">
        <v>45</v>
      </c>
      <c r="G5868" s="910"/>
      <c r="H5868" s="911">
        <v>1</v>
      </c>
      <c r="I5868" s="912">
        <f>VLOOKUP(E5868,[3]VLP!$B$7:$K$300,10,0)</f>
        <v>20500</v>
      </c>
      <c r="J5868" s="912">
        <f t="shared" si="382"/>
        <v>20500</v>
      </c>
      <c r="K5868" s="912" t="s">
        <v>274</v>
      </c>
      <c r="L5868" s="912"/>
      <c r="M5868" s="912"/>
      <c r="N5868" s="912"/>
      <c r="O5868" s="892">
        <f t="shared" si="378"/>
        <v>0</v>
      </c>
      <c r="P5868" s="903">
        <f t="shared" si="379"/>
        <v>1</v>
      </c>
      <c r="Q5868" s="893">
        <f t="shared" si="380"/>
        <v>8</v>
      </c>
      <c r="R5868" s="894">
        <f t="shared" si="381"/>
        <v>0</v>
      </c>
    </row>
    <row r="5869" spans="1:18">
      <c r="A5869" s="905"/>
      <c r="B5869" s="906"/>
      <c r="C5869" s="907">
        <v>25</v>
      </c>
      <c r="D5869" s="907" t="s">
        <v>279</v>
      </c>
      <c r="E5869" s="925" t="s">
        <v>5656</v>
      </c>
      <c r="F5869" s="926" t="s">
        <v>2690</v>
      </c>
      <c r="G5869" s="910"/>
      <c r="H5869" s="911">
        <v>0.4</v>
      </c>
      <c r="I5869" s="912">
        <f>VLOOKUP(E5869,[3]VLP!$B$7:$K$300,10,0)</f>
        <v>5000</v>
      </c>
      <c r="J5869" s="912">
        <f t="shared" si="382"/>
        <v>2000</v>
      </c>
      <c r="K5869" s="912" t="s">
        <v>274</v>
      </c>
      <c r="L5869" s="912"/>
      <c r="M5869" s="912"/>
      <c r="N5869" s="912"/>
      <c r="O5869" s="892">
        <f t="shared" si="378"/>
        <v>0</v>
      </c>
      <c r="P5869" s="903">
        <f t="shared" si="379"/>
        <v>1</v>
      </c>
      <c r="Q5869" s="893">
        <f t="shared" si="380"/>
        <v>7</v>
      </c>
      <c r="R5869" s="894">
        <f t="shared" si="381"/>
        <v>0</v>
      </c>
    </row>
    <row r="5870" spans="1:18">
      <c r="A5870" s="905"/>
      <c r="B5870" s="906"/>
      <c r="C5870" s="907">
        <v>127</v>
      </c>
      <c r="D5870" s="907" t="s">
        <v>279</v>
      </c>
      <c r="E5870" s="925" t="s">
        <v>5657</v>
      </c>
      <c r="F5870" s="909" t="s">
        <v>45</v>
      </c>
      <c r="G5870" s="910"/>
      <c r="H5870" s="911">
        <v>0.4</v>
      </c>
      <c r="I5870" s="912">
        <f>VLOOKUP(E5870,[3]VLP!$B$7:$K$300,10,0)</f>
        <v>25155</v>
      </c>
      <c r="J5870" s="912">
        <f t="shared" si="382"/>
        <v>10062</v>
      </c>
      <c r="K5870" s="912" t="s">
        <v>274</v>
      </c>
      <c r="L5870" s="912"/>
      <c r="M5870" s="912"/>
      <c r="N5870" s="912"/>
      <c r="O5870" s="892">
        <f t="shared" si="378"/>
        <v>0</v>
      </c>
      <c r="P5870" s="903">
        <f t="shared" si="379"/>
        <v>1</v>
      </c>
      <c r="Q5870" s="893">
        <f t="shared" si="380"/>
        <v>6</v>
      </c>
      <c r="R5870" s="894">
        <f t="shared" si="381"/>
        <v>0</v>
      </c>
    </row>
    <row r="5871" spans="1:18">
      <c r="A5871" s="905"/>
      <c r="B5871" s="906"/>
      <c r="C5871" s="907">
        <v>44</v>
      </c>
      <c r="D5871" s="907" t="s">
        <v>279</v>
      </c>
      <c r="E5871" s="925" t="s">
        <v>2681</v>
      </c>
      <c r="F5871" s="926" t="s">
        <v>45</v>
      </c>
      <c r="G5871" s="910"/>
      <c r="H5871" s="911">
        <v>0.5</v>
      </c>
      <c r="I5871" s="912">
        <f>VLOOKUP(E5871,[3]VLP!$B$7:$K$300,10,0)</f>
        <v>23000</v>
      </c>
      <c r="J5871" s="912">
        <f t="shared" si="382"/>
        <v>11500</v>
      </c>
      <c r="K5871" s="912" t="s">
        <v>274</v>
      </c>
      <c r="L5871" s="912"/>
      <c r="M5871" s="912"/>
      <c r="N5871" s="912"/>
      <c r="O5871" s="892">
        <f t="shared" si="378"/>
        <v>0</v>
      </c>
      <c r="P5871" s="903">
        <f t="shared" si="379"/>
        <v>1</v>
      </c>
      <c r="Q5871" s="893">
        <f t="shared" si="380"/>
        <v>5</v>
      </c>
      <c r="R5871" s="894">
        <f t="shared" si="381"/>
        <v>0</v>
      </c>
    </row>
    <row r="5872" spans="1:18">
      <c r="A5872" s="905"/>
      <c r="B5872" s="906"/>
      <c r="C5872" s="907">
        <v>66</v>
      </c>
      <c r="D5872" s="907" t="s">
        <v>279</v>
      </c>
      <c r="E5872" s="925" t="s">
        <v>2682</v>
      </c>
      <c r="F5872" s="926" t="s">
        <v>45</v>
      </c>
      <c r="G5872" s="910"/>
      <c r="H5872" s="911">
        <v>0.2</v>
      </c>
      <c r="I5872" s="912">
        <f>VLOOKUP(E5872,[3]VLP!$B$7:$K$300,10,0)</f>
        <v>5000</v>
      </c>
      <c r="J5872" s="912">
        <f t="shared" si="382"/>
        <v>1000</v>
      </c>
      <c r="K5872" s="912" t="s">
        <v>274</v>
      </c>
      <c r="L5872" s="912"/>
      <c r="M5872" s="912"/>
      <c r="N5872" s="912"/>
      <c r="O5872" s="892">
        <f t="shared" si="378"/>
        <v>0</v>
      </c>
      <c r="P5872" s="903">
        <f t="shared" si="379"/>
        <v>1</v>
      </c>
      <c r="Q5872" s="893">
        <f t="shared" si="380"/>
        <v>4</v>
      </c>
      <c r="R5872" s="894">
        <f t="shared" si="381"/>
        <v>0</v>
      </c>
    </row>
    <row r="5873" spans="1:18">
      <c r="A5873" s="905"/>
      <c r="B5873" s="906"/>
      <c r="C5873" s="907">
        <v>699</v>
      </c>
      <c r="D5873" s="907" t="s">
        <v>279</v>
      </c>
      <c r="E5873" s="925" t="s">
        <v>4006</v>
      </c>
      <c r="F5873" s="926" t="s">
        <v>4007</v>
      </c>
      <c r="G5873" s="910"/>
      <c r="H5873" s="911">
        <v>5</v>
      </c>
      <c r="I5873" s="912">
        <f>VLOOKUP(E5873,[3]VLP!$B$7:$K$300,10,0)</f>
        <v>5000</v>
      </c>
      <c r="J5873" s="912">
        <f t="shared" si="382"/>
        <v>25000</v>
      </c>
      <c r="K5873" s="912" t="s">
        <v>274</v>
      </c>
      <c r="L5873" s="912"/>
      <c r="M5873" s="912"/>
      <c r="N5873" s="912"/>
      <c r="O5873" s="892">
        <f t="shared" si="378"/>
        <v>0</v>
      </c>
      <c r="P5873" s="903">
        <f t="shared" si="379"/>
        <v>1</v>
      </c>
      <c r="Q5873" s="893">
        <f t="shared" si="380"/>
        <v>3</v>
      </c>
      <c r="R5873" s="894">
        <f t="shared" si="381"/>
        <v>0</v>
      </c>
    </row>
    <row r="5874" spans="1:18" s="904" customFormat="1">
      <c r="A5874" s="895"/>
      <c r="B5874" s="896"/>
      <c r="C5874" s="897"/>
      <c r="D5874" s="897"/>
      <c r="E5874" s="924" t="s">
        <v>276</v>
      </c>
      <c r="F5874" s="927"/>
      <c r="G5874" s="928"/>
      <c r="H5874" s="901"/>
      <c r="I5874" s="902"/>
      <c r="J5874" s="902"/>
      <c r="K5874" s="912" t="s">
        <v>274</v>
      </c>
      <c r="L5874" s="902"/>
      <c r="M5874" s="902"/>
      <c r="N5874" s="902"/>
      <c r="O5874" s="892">
        <f t="shared" si="378"/>
        <v>0</v>
      </c>
      <c r="P5874" s="903">
        <f t="shared" si="379"/>
        <v>1</v>
      </c>
      <c r="Q5874" s="893">
        <f t="shared" si="380"/>
        <v>2</v>
      </c>
      <c r="R5874" s="894">
        <f t="shared" si="381"/>
        <v>0</v>
      </c>
    </row>
    <row r="5875" spans="1:18">
      <c r="A5875" s="905"/>
      <c r="B5875" s="906"/>
      <c r="C5875" s="907">
        <v>745</v>
      </c>
      <c r="D5875" s="907" t="s">
        <v>12</v>
      </c>
      <c r="E5875" s="908" t="s">
        <v>5518</v>
      </c>
      <c r="F5875" s="909" t="s">
        <v>2674</v>
      </c>
      <c r="G5875" s="910"/>
      <c r="H5875" s="911">
        <v>2.85</v>
      </c>
      <c r="I5875" s="912"/>
      <c r="J5875" s="912"/>
      <c r="K5875" s="912">
        <f>VLOOKUP(E5875,[5]ĐMNC!$A$7:$F$67,4,0)</f>
        <v>240557</v>
      </c>
      <c r="L5875" s="912">
        <f>H5875*K5875</f>
        <v>685587.45000000007</v>
      </c>
      <c r="M5875" s="912"/>
      <c r="N5875" s="912"/>
      <c r="O5875" s="892">
        <f t="shared" si="378"/>
        <v>0</v>
      </c>
      <c r="P5875" s="903">
        <f t="shared" si="379"/>
        <v>1</v>
      </c>
      <c r="Q5875" s="893">
        <f t="shared" si="380"/>
        <v>1</v>
      </c>
      <c r="R5875" s="894">
        <f t="shared" si="381"/>
        <v>0</v>
      </c>
    </row>
    <row r="5876" spans="1:18" s="847" customFormat="1" ht="35.25" customHeight="1">
      <c r="A5876" s="905"/>
      <c r="B5876" s="914" t="s">
        <v>5858</v>
      </c>
      <c r="C5876" s="915"/>
      <c r="D5876" s="915"/>
      <c r="E5876" s="916" t="s">
        <v>5859</v>
      </c>
      <c r="F5876" s="917" t="s">
        <v>5834</v>
      </c>
      <c r="G5876" s="944"/>
      <c r="H5876" s="919"/>
      <c r="I5876" s="920"/>
      <c r="J5876" s="891">
        <f>SUM(J5877:J5888)</f>
        <v>201192</v>
      </c>
      <c r="K5876" s="891"/>
      <c r="L5876" s="891">
        <f>SUM(L5877:L5888)</f>
        <v>772187.97</v>
      </c>
      <c r="M5876" s="891"/>
      <c r="N5876" s="891">
        <f>SUM(N5877:N5888)</f>
        <v>0</v>
      </c>
      <c r="O5876" s="892">
        <f t="shared" si="378"/>
        <v>1</v>
      </c>
      <c r="P5876" s="903">
        <f t="shared" si="379"/>
        <v>0</v>
      </c>
      <c r="Q5876" s="893">
        <f t="shared" si="380"/>
        <v>0</v>
      </c>
      <c r="R5876" s="894">
        <f t="shared" si="381"/>
        <v>12</v>
      </c>
    </row>
    <row r="5877" spans="1:18" s="904" customFormat="1">
      <c r="A5877" s="895"/>
      <c r="B5877" s="896"/>
      <c r="C5877" s="897"/>
      <c r="D5877" s="897"/>
      <c r="E5877" s="898" t="s">
        <v>108</v>
      </c>
      <c r="F5877" s="899"/>
      <c r="G5877" s="928"/>
      <c r="H5877" s="901"/>
      <c r="I5877" s="902"/>
      <c r="J5877" s="902"/>
      <c r="K5877" s="912" t="s">
        <v>274</v>
      </c>
      <c r="L5877" s="902"/>
      <c r="M5877" s="902"/>
      <c r="N5877" s="902"/>
      <c r="O5877" s="892">
        <f t="shared" si="378"/>
        <v>0</v>
      </c>
      <c r="P5877" s="903">
        <f t="shared" si="379"/>
        <v>1</v>
      </c>
      <c r="Q5877" s="893">
        <f t="shared" si="380"/>
        <v>12</v>
      </c>
      <c r="R5877" s="894">
        <f t="shared" si="381"/>
        <v>0</v>
      </c>
    </row>
    <row r="5878" spans="1:18">
      <c r="A5878" s="905"/>
      <c r="B5878" s="906"/>
      <c r="C5878" s="907">
        <v>95</v>
      </c>
      <c r="D5878" s="907" t="s">
        <v>279</v>
      </c>
      <c r="E5878" s="925" t="s">
        <v>5860</v>
      </c>
      <c r="F5878" s="909" t="s">
        <v>51</v>
      </c>
      <c r="G5878" s="910"/>
      <c r="H5878" s="911">
        <v>1</v>
      </c>
      <c r="I5878" s="912">
        <f>VLOOKUP(E5878,[3]VLP!$B$7:$K$300,10,0)</f>
        <v>27040</v>
      </c>
      <c r="J5878" s="912">
        <f t="shared" ref="J5878:J5886" si="383">I5878*H5878</f>
        <v>27040</v>
      </c>
      <c r="K5878" s="912" t="s">
        <v>274</v>
      </c>
      <c r="L5878" s="912"/>
      <c r="M5878" s="912"/>
      <c r="N5878" s="912"/>
      <c r="O5878" s="892">
        <f t="shared" si="378"/>
        <v>0</v>
      </c>
      <c r="P5878" s="903">
        <f t="shared" si="379"/>
        <v>1</v>
      </c>
      <c r="Q5878" s="893">
        <f t="shared" si="380"/>
        <v>11</v>
      </c>
      <c r="R5878" s="894">
        <f t="shared" si="381"/>
        <v>0</v>
      </c>
    </row>
    <row r="5879" spans="1:18">
      <c r="A5879" s="905"/>
      <c r="B5879" s="906"/>
      <c r="C5879" s="907">
        <v>49</v>
      </c>
      <c r="D5879" s="907" t="s">
        <v>279</v>
      </c>
      <c r="E5879" s="925" t="s">
        <v>5698</v>
      </c>
      <c r="F5879" s="909" t="s">
        <v>139</v>
      </c>
      <c r="G5879" s="910"/>
      <c r="H5879" s="911">
        <v>2</v>
      </c>
      <c r="I5879" s="912">
        <f>VLOOKUP(E5879,[3]VLP!$B$7:$K$300,10,0)</f>
        <v>3000</v>
      </c>
      <c r="J5879" s="912">
        <f t="shared" si="383"/>
        <v>6000</v>
      </c>
      <c r="K5879" s="912" t="s">
        <v>274</v>
      </c>
      <c r="L5879" s="912"/>
      <c r="M5879" s="912"/>
      <c r="N5879" s="912"/>
      <c r="O5879" s="892">
        <f t="shared" si="378"/>
        <v>0</v>
      </c>
      <c r="P5879" s="903">
        <f t="shared" si="379"/>
        <v>1</v>
      </c>
      <c r="Q5879" s="893">
        <f t="shared" si="380"/>
        <v>10</v>
      </c>
      <c r="R5879" s="894">
        <f t="shared" si="381"/>
        <v>0</v>
      </c>
    </row>
    <row r="5880" spans="1:18">
      <c r="A5880" s="905"/>
      <c r="B5880" s="906"/>
      <c r="C5880" s="907">
        <v>50</v>
      </c>
      <c r="D5880" s="907" t="s">
        <v>279</v>
      </c>
      <c r="E5880" s="925" t="s">
        <v>5836</v>
      </c>
      <c r="F5880" s="909" t="s">
        <v>49</v>
      </c>
      <c r="G5880" s="910"/>
      <c r="H5880" s="911">
        <v>1</v>
      </c>
      <c r="I5880" s="912">
        <f>VLOOKUP(E5880,[3]VLP!$B$7:$K$300,10,0)</f>
        <v>85790</v>
      </c>
      <c r="J5880" s="912">
        <f t="shared" si="383"/>
        <v>85790</v>
      </c>
      <c r="K5880" s="912" t="s">
        <v>274</v>
      </c>
      <c r="L5880" s="912"/>
      <c r="M5880" s="912"/>
      <c r="N5880" s="912"/>
      <c r="O5880" s="892">
        <f t="shared" si="378"/>
        <v>0</v>
      </c>
      <c r="P5880" s="903">
        <f t="shared" si="379"/>
        <v>1</v>
      </c>
      <c r="Q5880" s="893">
        <f t="shared" si="380"/>
        <v>9</v>
      </c>
      <c r="R5880" s="894">
        <f t="shared" si="381"/>
        <v>0</v>
      </c>
    </row>
    <row r="5881" spans="1:18">
      <c r="A5881" s="905"/>
      <c r="B5881" s="906"/>
      <c r="C5881" s="907">
        <v>46</v>
      </c>
      <c r="D5881" s="907" t="s">
        <v>279</v>
      </c>
      <c r="E5881" s="925" t="s">
        <v>3179</v>
      </c>
      <c r="F5881" s="909" t="s">
        <v>45</v>
      </c>
      <c r="G5881" s="910"/>
      <c r="H5881" s="911">
        <v>1.6</v>
      </c>
      <c r="I5881" s="912">
        <f>VLOOKUP(E5881,[3]VLP!$B$7:$K$300,10,0)</f>
        <v>20500</v>
      </c>
      <c r="J5881" s="912">
        <f t="shared" si="383"/>
        <v>32800</v>
      </c>
      <c r="K5881" s="912" t="s">
        <v>274</v>
      </c>
      <c r="L5881" s="912"/>
      <c r="M5881" s="912"/>
      <c r="N5881" s="912"/>
      <c r="O5881" s="892">
        <f t="shared" si="378"/>
        <v>0</v>
      </c>
      <c r="P5881" s="903">
        <f t="shared" si="379"/>
        <v>1</v>
      </c>
      <c r="Q5881" s="893">
        <f t="shared" si="380"/>
        <v>8</v>
      </c>
      <c r="R5881" s="894">
        <f t="shared" si="381"/>
        <v>0</v>
      </c>
    </row>
    <row r="5882" spans="1:18">
      <c r="A5882" s="905"/>
      <c r="B5882" s="906"/>
      <c r="C5882" s="907">
        <v>25</v>
      </c>
      <c r="D5882" s="907" t="s">
        <v>279</v>
      </c>
      <c r="E5882" s="925" t="s">
        <v>5656</v>
      </c>
      <c r="F5882" s="926" t="s">
        <v>2690</v>
      </c>
      <c r="G5882" s="910"/>
      <c r="H5882" s="911">
        <v>0.4</v>
      </c>
      <c r="I5882" s="912">
        <f>VLOOKUP(E5882,[3]VLP!$B$7:$K$300,10,0)</f>
        <v>5000</v>
      </c>
      <c r="J5882" s="912">
        <f t="shared" si="383"/>
        <v>2000</v>
      </c>
      <c r="K5882" s="912" t="s">
        <v>274</v>
      </c>
      <c r="L5882" s="912"/>
      <c r="M5882" s="912"/>
      <c r="N5882" s="912"/>
      <c r="O5882" s="892">
        <f t="shared" si="378"/>
        <v>0</v>
      </c>
      <c r="P5882" s="903">
        <f t="shared" si="379"/>
        <v>1</v>
      </c>
      <c r="Q5882" s="893">
        <f t="shared" si="380"/>
        <v>7</v>
      </c>
      <c r="R5882" s="894">
        <f t="shared" si="381"/>
        <v>0</v>
      </c>
    </row>
    <row r="5883" spans="1:18">
      <c r="A5883" s="905"/>
      <c r="B5883" s="906"/>
      <c r="C5883" s="907">
        <v>127</v>
      </c>
      <c r="D5883" s="907" t="s">
        <v>279</v>
      </c>
      <c r="E5883" s="925" t="s">
        <v>5657</v>
      </c>
      <c r="F5883" s="909" t="s">
        <v>45</v>
      </c>
      <c r="G5883" s="910"/>
      <c r="H5883" s="911">
        <v>0.4</v>
      </c>
      <c r="I5883" s="912">
        <f>VLOOKUP(E5883,[3]VLP!$B$7:$K$300,10,0)</f>
        <v>25155</v>
      </c>
      <c r="J5883" s="912">
        <f t="shared" si="383"/>
        <v>10062</v>
      </c>
      <c r="K5883" s="912" t="s">
        <v>274</v>
      </c>
      <c r="L5883" s="912"/>
      <c r="M5883" s="912"/>
      <c r="N5883" s="912"/>
      <c r="O5883" s="892">
        <f t="shared" si="378"/>
        <v>0</v>
      </c>
      <c r="P5883" s="903">
        <f t="shared" si="379"/>
        <v>1</v>
      </c>
      <c r="Q5883" s="893">
        <f t="shared" si="380"/>
        <v>6</v>
      </c>
      <c r="R5883" s="894">
        <f t="shared" si="381"/>
        <v>0</v>
      </c>
    </row>
    <row r="5884" spans="1:18">
      <c r="A5884" s="905"/>
      <c r="B5884" s="906"/>
      <c r="C5884" s="907">
        <v>44</v>
      </c>
      <c r="D5884" s="907" t="s">
        <v>279</v>
      </c>
      <c r="E5884" s="925" t="s">
        <v>2681</v>
      </c>
      <c r="F5884" s="926" t="s">
        <v>45</v>
      </c>
      <c r="G5884" s="910"/>
      <c r="H5884" s="911">
        <v>0.5</v>
      </c>
      <c r="I5884" s="912">
        <f>VLOOKUP(E5884,[3]VLP!$B$7:$K$300,10,0)</f>
        <v>23000</v>
      </c>
      <c r="J5884" s="912">
        <f t="shared" si="383"/>
        <v>11500</v>
      </c>
      <c r="K5884" s="912" t="s">
        <v>274</v>
      </c>
      <c r="L5884" s="912"/>
      <c r="M5884" s="912"/>
      <c r="N5884" s="912"/>
      <c r="O5884" s="892">
        <f t="shared" si="378"/>
        <v>0</v>
      </c>
      <c r="P5884" s="903">
        <f t="shared" si="379"/>
        <v>1</v>
      </c>
      <c r="Q5884" s="893">
        <f t="shared" si="380"/>
        <v>5</v>
      </c>
      <c r="R5884" s="894">
        <f t="shared" si="381"/>
        <v>0</v>
      </c>
    </row>
    <row r="5885" spans="1:18">
      <c r="A5885" s="905"/>
      <c r="B5885" s="906"/>
      <c r="C5885" s="907">
        <v>66</v>
      </c>
      <c r="D5885" s="907" t="s">
        <v>279</v>
      </c>
      <c r="E5885" s="925" t="s">
        <v>2682</v>
      </c>
      <c r="F5885" s="926" t="s">
        <v>45</v>
      </c>
      <c r="G5885" s="910"/>
      <c r="H5885" s="911">
        <v>0.2</v>
      </c>
      <c r="I5885" s="912">
        <f>VLOOKUP(E5885,[3]VLP!$B$7:$K$300,10,0)</f>
        <v>5000</v>
      </c>
      <c r="J5885" s="912">
        <f t="shared" si="383"/>
        <v>1000</v>
      </c>
      <c r="K5885" s="912" t="s">
        <v>274</v>
      </c>
      <c r="L5885" s="912"/>
      <c r="M5885" s="912"/>
      <c r="N5885" s="912"/>
      <c r="O5885" s="892">
        <f t="shared" si="378"/>
        <v>0</v>
      </c>
      <c r="P5885" s="903">
        <f t="shared" si="379"/>
        <v>1</v>
      </c>
      <c r="Q5885" s="893">
        <f t="shared" si="380"/>
        <v>4</v>
      </c>
      <c r="R5885" s="894">
        <f t="shared" si="381"/>
        <v>0</v>
      </c>
    </row>
    <row r="5886" spans="1:18">
      <c r="A5886" s="905"/>
      <c r="B5886" s="906"/>
      <c r="C5886" s="907">
        <v>699</v>
      </c>
      <c r="D5886" s="907" t="s">
        <v>279</v>
      </c>
      <c r="E5886" s="925" t="s">
        <v>4006</v>
      </c>
      <c r="F5886" s="926" t="s">
        <v>4007</v>
      </c>
      <c r="G5886" s="910"/>
      <c r="H5886" s="911">
        <v>5</v>
      </c>
      <c r="I5886" s="912">
        <f>VLOOKUP(E5886,[3]VLP!$B$7:$K$300,10,0)</f>
        <v>5000</v>
      </c>
      <c r="J5886" s="912">
        <f t="shared" si="383"/>
        <v>25000</v>
      </c>
      <c r="K5886" s="912" t="s">
        <v>274</v>
      </c>
      <c r="L5886" s="912"/>
      <c r="M5886" s="912"/>
      <c r="N5886" s="912"/>
      <c r="O5886" s="892">
        <f t="shared" si="378"/>
        <v>0</v>
      </c>
      <c r="P5886" s="903">
        <f t="shared" si="379"/>
        <v>1</v>
      </c>
      <c r="Q5886" s="893">
        <f t="shared" si="380"/>
        <v>3</v>
      </c>
      <c r="R5886" s="894">
        <f t="shared" si="381"/>
        <v>0</v>
      </c>
    </row>
    <row r="5887" spans="1:18" s="904" customFormat="1">
      <c r="A5887" s="895"/>
      <c r="B5887" s="896"/>
      <c r="C5887" s="897"/>
      <c r="D5887" s="897"/>
      <c r="E5887" s="924" t="s">
        <v>276</v>
      </c>
      <c r="F5887" s="927"/>
      <c r="G5887" s="928"/>
      <c r="H5887" s="901"/>
      <c r="I5887" s="902"/>
      <c r="J5887" s="902"/>
      <c r="K5887" s="912" t="s">
        <v>274</v>
      </c>
      <c r="L5887" s="902"/>
      <c r="M5887" s="902"/>
      <c r="N5887" s="902"/>
      <c r="O5887" s="892">
        <f t="shared" si="378"/>
        <v>0</v>
      </c>
      <c r="P5887" s="903">
        <f t="shared" si="379"/>
        <v>1</v>
      </c>
      <c r="Q5887" s="893">
        <f t="shared" si="380"/>
        <v>2</v>
      </c>
      <c r="R5887" s="894">
        <f t="shared" si="381"/>
        <v>0</v>
      </c>
    </row>
    <row r="5888" spans="1:18">
      <c r="A5888" s="905"/>
      <c r="B5888" s="906"/>
      <c r="C5888" s="907">
        <v>745</v>
      </c>
      <c r="D5888" s="907" t="s">
        <v>12</v>
      </c>
      <c r="E5888" s="908" t="s">
        <v>5518</v>
      </c>
      <c r="F5888" s="909" t="s">
        <v>2674</v>
      </c>
      <c r="G5888" s="910"/>
      <c r="H5888" s="911">
        <v>3.21</v>
      </c>
      <c r="I5888" s="912"/>
      <c r="J5888" s="912"/>
      <c r="K5888" s="912">
        <f>VLOOKUP(E5888,[5]ĐMNC!$A$7:$F$67,4,0)</f>
        <v>240557</v>
      </c>
      <c r="L5888" s="912">
        <f>H5888*K5888</f>
        <v>772187.97</v>
      </c>
      <c r="M5888" s="912"/>
      <c r="N5888" s="912"/>
      <c r="O5888" s="892">
        <f t="shared" si="378"/>
        <v>0</v>
      </c>
      <c r="P5888" s="903">
        <f t="shared" si="379"/>
        <v>1</v>
      </c>
      <c r="Q5888" s="893">
        <f t="shared" si="380"/>
        <v>1</v>
      </c>
      <c r="R5888" s="894">
        <f t="shared" si="381"/>
        <v>0</v>
      </c>
    </row>
    <row r="5889" spans="1:18" s="847" customFormat="1" ht="35.25" customHeight="1">
      <c r="A5889" s="905"/>
      <c r="B5889" s="914" t="s">
        <v>5861</v>
      </c>
      <c r="C5889" s="915"/>
      <c r="D5889" s="915"/>
      <c r="E5889" s="916" t="s">
        <v>5862</v>
      </c>
      <c r="F5889" s="917" t="s">
        <v>5834</v>
      </c>
      <c r="G5889" s="944"/>
      <c r="H5889" s="919"/>
      <c r="I5889" s="920"/>
      <c r="J5889" s="891">
        <f>SUM(J5890:J5901)</f>
        <v>206042</v>
      </c>
      <c r="K5889" s="891"/>
      <c r="L5889" s="891">
        <f>SUM(L5890:L5901)</f>
        <v>856382.92</v>
      </c>
      <c r="M5889" s="891"/>
      <c r="N5889" s="891">
        <f>SUM(N5890:N5901)</f>
        <v>0</v>
      </c>
      <c r="O5889" s="892">
        <f t="shared" si="378"/>
        <v>1</v>
      </c>
      <c r="P5889" s="903">
        <f t="shared" si="379"/>
        <v>0</v>
      </c>
      <c r="Q5889" s="893">
        <f t="shared" si="380"/>
        <v>0</v>
      </c>
      <c r="R5889" s="894">
        <f t="shared" si="381"/>
        <v>12</v>
      </c>
    </row>
    <row r="5890" spans="1:18" s="904" customFormat="1">
      <c r="A5890" s="895"/>
      <c r="B5890" s="896"/>
      <c r="C5890" s="897"/>
      <c r="D5890" s="897"/>
      <c r="E5890" s="898" t="s">
        <v>108</v>
      </c>
      <c r="F5890" s="899"/>
      <c r="G5890" s="928"/>
      <c r="H5890" s="901"/>
      <c r="I5890" s="902"/>
      <c r="J5890" s="902"/>
      <c r="K5890" s="912" t="s">
        <v>274</v>
      </c>
      <c r="L5890" s="902"/>
      <c r="M5890" s="902"/>
      <c r="N5890" s="902"/>
      <c r="O5890" s="892">
        <f t="shared" si="378"/>
        <v>0</v>
      </c>
      <c r="P5890" s="903">
        <f t="shared" si="379"/>
        <v>1</v>
      </c>
      <c r="Q5890" s="893">
        <f t="shared" si="380"/>
        <v>12</v>
      </c>
      <c r="R5890" s="894">
        <f t="shared" si="381"/>
        <v>0</v>
      </c>
    </row>
    <row r="5891" spans="1:18">
      <c r="A5891" s="905"/>
      <c r="B5891" s="906"/>
      <c r="C5891" s="907">
        <v>96</v>
      </c>
      <c r="D5891" s="907" t="s">
        <v>279</v>
      </c>
      <c r="E5891" s="925" t="s">
        <v>5863</v>
      </c>
      <c r="F5891" s="909" t="s">
        <v>51</v>
      </c>
      <c r="G5891" s="910"/>
      <c r="H5891" s="911">
        <v>1</v>
      </c>
      <c r="I5891" s="912">
        <f>VLOOKUP(E5891,[3]VLP!$B$7:$K$300,10,0)</f>
        <v>27040</v>
      </c>
      <c r="J5891" s="912">
        <f t="shared" ref="J5891:J5899" si="384">I5891*H5891</f>
        <v>27040</v>
      </c>
      <c r="K5891" s="912" t="s">
        <v>274</v>
      </c>
      <c r="L5891" s="912"/>
      <c r="M5891" s="912"/>
      <c r="N5891" s="912"/>
      <c r="O5891" s="892">
        <f t="shared" si="378"/>
        <v>0</v>
      </c>
      <c r="P5891" s="903">
        <f t="shared" si="379"/>
        <v>1</v>
      </c>
      <c r="Q5891" s="893">
        <f t="shared" si="380"/>
        <v>11</v>
      </c>
      <c r="R5891" s="894">
        <f t="shared" si="381"/>
        <v>0</v>
      </c>
    </row>
    <row r="5892" spans="1:18">
      <c r="A5892" s="905"/>
      <c r="B5892" s="906"/>
      <c r="C5892" s="907">
        <v>49</v>
      </c>
      <c r="D5892" s="907" t="s">
        <v>279</v>
      </c>
      <c r="E5892" s="925" t="s">
        <v>5698</v>
      </c>
      <c r="F5892" s="909" t="s">
        <v>139</v>
      </c>
      <c r="G5892" s="910"/>
      <c r="H5892" s="911">
        <v>2</v>
      </c>
      <c r="I5892" s="912">
        <f>VLOOKUP(E5892,[3]VLP!$B$7:$K$300,10,0)</f>
        <v>3000</v>
      </c>
      <c r="J5892" s="912">
        <f t="shared" si="384"/>
        <v>6000</v>
      </c>
      <c r="K5892" s="912" t="s">
        <v>274</v>
      </c>
      <c r="L5892" s="912"/>
      <c r="M5892" s="912"/>
      <c r="N5892" s="912"/>
      <c r="O5892" s="892">
        <f t="shared" si="378"/>
        <v>0</v>
      </c>
      <c r="P5892" s="903">
        <f t="shared" si="379"/>
        <v>1</v>
      </c>
      <c r="Q5892" s="893">
        <f t="shared" si="380"/>
        <v>10</v>
      </c>
      <c r="R5892" s="894">
        <f t="shared" si="381"/>
        <v>0</v>
      </c>
    </row>
    <row r="5893" spans="1:18">
      <c r="A5893" s="905"/>
      <c r="B5893" s="906"/>
      <c r="C5893" s="907">
        <v>50</v>
      </c>
      <c r="D5893" s="907" t="s">
        <v>279</v>
      </c>
      <c r="E5893" s="925" t="s">
        <v>5836</v>
      </c>
      <c r="F5893" s="909" t="s">
        <v>49</v>
      </c>
      <c r="G5893" s="910"/>
      <c r="H5893" s="911">
        <v>1</v>
      </c>
      <c r="I5893" s="912">
        <f>VLOOKUP(E5893,[3]VLP!$B$7:$K$300,10,0)</f>
        <v>85790</v>
      </c>
      <c r="J5893" s="912">
        <f t="shared" si="384"/>
        <v>85790</v>
      </c>
      <c r="K5893" s="912" t="s">
        <v>274</v>
      </c>
      <c r="L5893" s="912"/>
      <c r="M5893" s="912"/>
      <c r="N5893" s="912"/>
      <c r="O5893" s="892">
        <f t="shared" si="378"/>
        <v>0</v>
      </c>
      <c r="P5893" s="903">
        <f t="shared" si="379"/>
        <v>1</v>
      </c>
      <c r="Q5893" s="893">
        <f t="shared" si="380"/>
        <v>9</v>
      </c>
      <c r="R5893" s="894">
        <f t="shared" si="381"/>
        <v>0</v>
      </c>
    </row>
    <row r="5894" spans="1:18">
      <c r="A5894" s="905"/>
      <c r="B5894" s="906"/>
      <c r="C5894" s="907">
        <v>46</v>
      </c>
      <c r="D5894" s="907" t="s">
        <v>279</v>
      </c>
      <c r="E5894" s="925" t="s">
        <v>3179</v>
      </c>
      <c r="F5894" s="909" t="s">
        <v>45</v>
      </c>
      <c r="G5894" s="910"/>
      <c r="H5894" s="911">
        <v>1.8</v>
      </c>
      <c r="I5894" s="912">
        <f>VLOOKUP(E5894,[3]VLP!$B$7:$K$300,10,0)</f>
        <v>20500</v>
      </c>
      <c r="J5894" s="912">
        <f t="shared" si="384"/>
        <v>36900</v>
      </c>
      <c r="K5894" s="912" t="s">
        <v>274</v>
      </c>
      <c r="L5894" s="912"/>
      <c r="M5894" s="912"/>
      <c r="N5894" s="912"/>
      <c r="O5894" s="892">
        <f t="shared" si="378"/>
        <v>0</v>
      </c>
      <c r="P5894" s="903">
        <f t="shared" si="379"/>
        <v>1</v>
      </c>
      <c r="Q5894" s="893">
        <f t="shared" si="380"/>
        <v>8</v>
      </c>
      <c r="R5894" s="894">
        <f t="shared" si="381"/>
        <v>0</v>
      </c>
    </row>
    <row r="5895" spans="1:18">
      <c r="A5895" s="905"/>
      <c r="B5895" s="906"/>
      <c r="C5895" s="907">
        <v>25</v>
      </c>
      <c r="D5895" s="907" t="s">
        <v>279</v>
      </c>
      <c r="E5895" s="925" t="s">
        <v>5656</v>
      </c>
      <c r="F5895" s="926" t="s">
        <v>2690</v>
      </c>
      <c r="G5895" s="910"/>
      <c r="H5895" s="911">
        <v>0.5</v>
      </c>
      <c r="I5895" s="912">
        <f>VLOOKUP(E5895,[3]VLP!$B$7:$K$300,10,0)</f>
        <v>5000</v>
      </c>
      <c r="J5895" s="912">
        <f t="shared" si="384"/>
        <v>2500</v>
      </c>
      <c r="K5895" s="912" t="s">
        <v>274</v>
      </c>
      <c r="L5895" s="912"/>
      <c r="M5895" s="912"/>
      <c r="N5895" s="912"/>
      <c r="O5895" s="892">
        <f t="shared" si="378"/>
        <v>0</v>
      </c>
      <c r="P5895" s="903">
        <f t="shared" si="379"/>
        <v>1</v>
      </c>
      <c r="Q5895" s="893">
        <f t="shared" si="380"/>
        <v>7</v>
      </c>
      <c r="R5895" s="894">
        <f t="shared" si="381"/>
        <v>0</v>
      </c>
    </row>
    <row r="5896" spans="1:18">
      <c r="A5896" s="905"/>
      <c r="B5896" s="906"/>
      <c r="C5896" s="907">
        <v>127</v>
      </c>
      <c r="D5896" s="907" t="s">
        <v>279</v>
      </c>
      <c r="E5896" s="925" t="s">
        <v>5657</v>
      </c>
      <c r="F5896" s="909" t="s">
        <v>45</v>
      </c>
      <c r="G5896" s="910"/>
      <c r="H5896" s="911">
        <v>0.4</v>
      </c>
      <c r="I5896" s="912">
        <f>VLOOKUP(E5896,[3]VLP!$B$7:$K$300,10,0)</f>
        <v>25155</v>
      </c>
      <c r="J5896" s="912">
        <f t="shared" si="384"/>
        <v>10062</v>
      </c>
      <c r="K5896" s="912" t="s">
        <v>274</v>
      </c>
      <c r="L5896" s="912"/>
      <c r="M5896" s="912"/>
      <c r="N5896" s="912"/>
      <c r="O5896" s="892">
        <f t="shared" si="378"/>
        <v>0</v>
      </c>
      <c r="P5896" s="903">
        <f t="shared" si="379"/>
        <v>1</v>
      </c>
      <c r="Q5896" s="893">
        <f t="shared" si="380"/>
        <v>6</v>
      </c>
      <c r="R5896" s="894">
        <f t="shared" si="381"/>
        <v>0</v>
      </c>
    </row>
    <row r="5897" spans="1:18">
      <c r="A5897" s="905"/>
      <c r="B5897" s="906"/>
      <c r="C5897" s="907">
        <v>44</v>
      </c>
      <c r="D5897" s="907" t="s">
        <v>279</v>
      </c>
      <c r="E5897" s="925" t="s">
        <v>2681</v>
      </c>
      <c r="F5897" s="926" t="s">
        <v>45</v>
      </c>
      <c r="G5897" s="910"/>
      <c r="H5897" s="911">
        <v>0.5</v>
      </c>
      <c r="I5897" s="912">
        <f>VLOOKUP(E5897,[3]VLP!$B$7:$K$300,10,0)</f>
        <v>23000</v>
      </c>
      <c r="J5897" s="912">
        <f t="shared" si="384"/>
        <v>11500</v>
      </c>
      <c r="K5897" s="912" t="s">
        <v>274</v>
      </c>
      <c r="L5897" s="912"/>
      <c r="M5897" s="912"/>
      <c r="N5897" s="912"/>
      <c r="O5897" s="892">
        <f t="shared" si="378"/>
        <v>0</v>
      </c>
      <c r="P5897" s="903">
        <f t="shared" si="379"/>
        <v>1</v>
      </c>
      <c r="Q5897" s="893">
        <f t="shared" si="380"/>
        <v>5</v>
      </c>
      <c r="R5897" s="894">
        <f t="shared" si="381"/>
        <v>0</v>
      </c>
    </row>
    <row r="5898" spans="1:18">
      <c r="A5898" s="905"/>
      <c r="B5898" s="906"/>
      <c r="C5898" s="907">
        <v>66</v>
      </c>
      <c r="D5898" s="907" t="s">
        <v>279</v>
      </c>
      <c r="E5898" s="925" t="s">
        <v>2682</v>
      </c>
      <c r="F5898" s="926" t="s">
        <v>45</v>
      </c>
      <c r="G5898" s="910"/>
      <c r="H5898" s="911">
        <v>0.25</v>
      </c>
      <c r="I5898" s="912">
        <f>VLOOKUP(E5898,[3]VLP!$B$7:$K$300,10,0)</f>
        <v>5000</v>
      </c>
      <c r="J5898" s="912">
        <f t="shared" si="384"/>
        <v>1250</v>
      </c>
      <c r="K5898" s="912" t="s">
        <v>274</v>
      </c>
      <c r="L5898" s="912"/>
      <c r="M5898" s="912"/>
      <c r="N5898" s="912"/>
      <c r="O5898" s="892">
        <f t="shared" si="378"/>
        <v>0</v>
      </c>
      <c r="P5898" s="903">
        <f t="shared" si="379"/>
        <v>1</v>
      </c>
      <c r="Q5898" s="893">
        <f t="shared" si="380"/>
        <v>4</v>
      </c>
      <c r="R5898" s="894">
        <f t="shared" si="381"/>
        <v>0</v>
      </c>
    </row>
    <row r="5899" spans="1:18">
      <c r="A5899" s="905"/>
      <c r="B5899" s="906"/>
      <c r="C5899" s="907">
        <v>699</v>
      </c>
      <c r="D5899" s="907" t="s">
        <v>279</v>
      </c>
      <c r="E5899" s="925" t="s">
        <v>4006</v>
      </c>
      <c r="F5899" s="926" t="s">
        <v>4007</v>
      </c>
      <c r="G5899" s="910"/>
      <c r="H5899" s="911">
        <v>5</v>
      </c>
      <c r="I5899" s="912">
        <f>VLOOKUP(E5899,[3]VLP!$B$7:$K$300,10,0)</f>
        <v>5000</v>
      </c>
      <c r="J5899" s="912">
        <f t="shared" si="384"/>
        <v>25000</v>
      </c>
      <c r="K5899" s="912" t="s">
        <v>274</v>
      </c>
      <c r="L5899" s="912"/>
      <c r="M5899" s="912"/>
      <c r="N5899" s="912"/>
      <c r="O5899" s="892">
        <f t="shared" si="378"/>
        <v>0</v>
      </c>
      <c r="P5899" s="903">
        <f t="shared" si="379"/>
        <v>1</v>
      </c>
      <c r="Q5899" s="893">
        <f t="shared" si="380"/>
        <v>3</v>
      </c>
      <c r="R5899" s="894">
        <f t="shared" si="381"/>
        <v>0</v>
      </c>
    </row>
    <row r="5900" spans="1:18" s="904" customFormat="1">
      <c r="A5900" s="895"/>
      <c r="B5900" s="896"/>
      <c r="C5900" s="897"/>
      <c r="D5900" s="897"/>
      <c r="E5900" s="924" t="s">
        <v>276</v>
      </c>
      <c r="F5900" s="927"/>
      <c r="G5900" s="928"/>
      <c r="H5900" s="901"/>
      <c r="I5900" s="902"/>
      <c r="J5900" s="902"/>
      <c r="K5900" s="912" t="s">
        <v>274</v>
      </c>
      <c r="L5900" s="902"/>
      <c r="M5900" s="902"/>
      <c r="N5900" s="902"/>
      <c r="O5900" s="892">
        <f t="shared" si="378"/>
        <v>0</v>
      </c>
      <c r="P5900" s="903">
        <f t="shared" si="379"/>
        <v>1</v>
      </c>
      <c r="Q5900" s="893">
        <f t="shared" si="380"/>
        <v>2</v>
      </c>
      <c r="R5900" s="894">
        <f t="shared" si="381"/>
        <v>0</v>
      </c>
    </row>
    <row r="5901" spans="1:18">
      <c r="A5901" s="905"/>
      <c r="B5901" s="906"/>
      <c r="C5901" s="907">
        <v>745</v>
      </c>
      <c r="D5901" s="907" t="s">
        <v>12</v>
      </c>
      <c r="E5901" s="908" t="s">
        <v>5518</v>
      </c>
      <c r="F5901" s="909" t="s">
        <v>2674</v>
      </c>
      <c r="G5901" s="910"/>
      <c r="H5901" s="911">
        <v>3.56</v>
      </c>
      <c r="I5901" s="912"/>
      <c r="J5901" s="912"/>
      <c r="K5901" s="912">
        <f>VLOOKUP(E5901,[5]ĐMNC!$A$7:$F$67,4,0)</f>
        <v>240557</v>
      </c>
      <c r="L5901" s="912">
        <f>H5901*K5901</f>
        <v>856382.92</v>
      </c>
      <c r="M5901" s="912"/>
      <c r="N5901" s="912"/>
      <c r="O5901" s="892">
        <f t="shared" si="378"/>
        <v>0</v>
      </c>
      <c r="P5901" s="903">
        <f t="shared" si="379"/>
        <v>1</v>
      </c>
      <c r="Q5901" s="893">
        <f t="shared" si="380"/>
        <v>1</v>
      </c>
      <c r="R5901" s="894">
        <f t="shared" si="381"/>
        <v>0</v>
      </c>
    </row>
    <row r="5902" spans="1:18" s="847" customFormat="1" ht="35.25" customHeight="1">
      <c r="A5902" s="905"/>
      <c r="B5902" s="914" t="s">
        <v>5864</v>
      </c>
      <c r="C5902" s="915"/>
      <c r="D5902" s="915"/>
      <c r="E5902" s="916" t="s">
        <v>5865</v>
      </c>
      <c r="F5902" s="917" t="s">
        <v>5834</v>
      </c>
      <c r="G5902" s="944"/>
      <c r="H5902" s="919"/>
      <c r="I5902" s="920"/>
      <c r="J5902" s="891">
        <f>SUM(J5903:J5914)</f>
        <v>225712</v>
      </c>
      <c r="K5902" s="891"/>
      <c r="L5902" s="891">
        <f>SUM(L5903:L5914)</f>
        <v>942983.44</v>
      </c>
      <c r="M5902" s="891"/>
      <c r="N5902" s="891">
        <f>SUM(N5903:N5914)</f>
        <v>0</v>
      </c>
      <c r="O5902" s="892">
        <f t="shared" si="378"/>
        <v>1</v>
      </c>
      <c r="P5902" s="903">
        <f t="shared" si="379"/>
        <v>0</v>
      </c>
      <c r="Q5902" s="893">
        <f t="shared" si="380"/>
        <v>0</v>
      </c>
      <c r="R5902" s="894">
        <f t="shared" si="381"/>
        <v>12</v>
      </c>
    </row>
    <row r="5903" spans="1:18" s="904" customFormat="1">
      <c r="A5903" s="895"/>
      <c r="B5903" s="896"/>
      <c r="C5903" s="897"/>
      <c r="D5903" s="897"/>
      <c r="E5903" s="898" t="s">
        <v>108</v>
      </c>
      <c r="F5903" s="899"/>
      <c r="G5903" s="928"/>
      <c r="H5903" s="901"/>
      <c r="I5903" s="902"/>
      <c r="J5903" s="902"/>
      <c r="K5903" s="912" t="s">
        <v>274</v>
      </c>
      <c r="L5903" s="902"/>
      <c r="M5903" s="902"/>
      <c r="N5903" s="902"/>
      <c r="O5903" s="892">
        <f t="shared" si="378"/>
        <v>0</v>
      </c>
      <c r="P5903" s="903">
        <f t="shared" si="379"/>
        <v>1</v>
      </c>
      <c r="Q5903" s="893">
        <f t="shared" si="380"/>
        <v>12</v>
      </c>
      <c r="R5903" s="894">
        <f t="shared" si="381"/>
        <v>0</v>
      </c>
    </row>
    <row r="5904" spans="1:18">
      <c r="A5904" s="905"/>
      <c r="B5904" s="906"/>
      <c r="C5904" s="907">
        <v>97</v>
      </c>
      <c r="D5904" s="907" t="s">
        <v>279</v>
      </c>
      <c r="E5904" s="925" t="s">
        <v>5866</v>
      </c>
      <c r="F5904" s="909" t="s">
        <v>51</v>
      </c>
      <c r="G5904" s="910"/>
      <c r="H5904" s="911">
        <v>1</v>
      </c>
      <c r="I5904" s="912">
        <f>VLOOKUP(E5904,[3]VLP!$B$7:$K$300,10,0)</f>
        <v>40560</v>
      </c>
      <c r="J5904" s="912">
        <f t="shared" ref="J5904:J5912" si="385">I5904*H5904</f>
        <v>40560</v>
      </c>
      <c r="K5904" s="912" t="s">
        <v>274</v>
      </c>
      <c r="L5904" s="912"/>
      <c r="M5904" s="912"/>
      <c r="N5904" s="912"/>
      <c r="O5904" s="892">
        <f t="shared" si="378"/>
        <v>0</v>
      </c>
      <c r="P5904" s="903">
        <f t="shared" si="379"/>
        <v>1</v>
      </c>
      <c r="Q5904" s="893">
        <f t="shared" si="380"/>
        <v>11</v>
      </c>
      <c r="R5904" s="894">
        <f t="shared" si="381"/>
        <v>0</v>
      </c>
    </row>
    <row r="5905" spans="1:18">
      <c r="A5905" s="905"/>
      <c r="B5905" s="906"/>
      <c r="C5905" s="907">
        <v>49</v>
      </c>
      <c r="D5905" s="907" t="s">
        <v>279</v>
      </c>
      <c r="E5905" s="925" t="s">
        <v>5698</v>
      </c>
      <c r="F5905" s="909" t="s">
        <v>139</v>
      </c>
      <c r="G5905" s="910"/>
      <c r="H5905" s="911">
        <v>2</v>
      </c>
      <c r="I5905" s="912">
        <f>VLOOKUP(E5905,[3]VLP!$B$7:$K$300,10,0)</f>
        <v>3000</v>
      </c>
      <c r="J5905" s="912">
        <f t="shared" si="385"/>
        <v>6000</v>
      </c>
      <c r="K5905" s="912" t="s">
        <v>274</v>
      </c>
      <c r="L5905" s="912"/>
      <c r="M5905" s="912"/>
      <c r="N5905" s="912"/>
      <c r="O5905" s="892">
        <f t="shared" si="378"/>
        <v>0</v>
      </c>
      <c r="P5905" s="903">
        <f t="shared" si="379"/>
        <v>1</v>
      </c>
      <c r="Q5905" s="893">
        <f t="shared" si="380"/>
        <v>10</v>
      </c>
      <c r="R5905" s="894">
        <f t="shared" si="381"/>
        <v>0</v>
      </c>
    </row>
    <row r="5906" spans="1:18">
      <c r="A5906" s="905"/>
      <c r="B5906" s="906"/>
      <c r="C5906" s="907">
        <v>50</v>
      </c>
      <c r="D5906" s="907" t="s">
        <v>279</v>
      </c>
      <c r="E5906" s="925" t="s">
        <v>5836</v>
      </c>
      <c r="F5906" s="909" t="s">
        <v>49</v>
      </c>
      <c r="G5906" s="910"/>
      <c r="H5906" s="911">
        <v>1</v>
      </c>
      <c r="I5906" s="912">
        <f>VLOOKUP(E5906,[3]VLP!$B$7:$K$300,10,0)</f>
        <v>85790</v>
      </c>
      <c r="J5906" s="912">
        <f t="shared" si="385"/>
        <v>85790</v>
      </c>
      <c r="K5906" s="912" t="s">
        <v>274</v>
      </c>
      <c r="L5906" s="912"/>
      <c r="M5906" s="912"/>
      <c r="N5906" s="912"/>
      <c r="O5906" s="892">
        <f t="shared" si="378"/>
        <v>0</v>
      </c>
      <c r="P5906" s="903">
        <f t="shared" si="379"/>
        <v>1</v>
      </c>
      <c r="Q5906" s="893">
        <f t="shared" si="380"/>
        <v>9</v>
      </c>
      <c r="R5906" s="894">
        <f t="shared" si="381"/>
        <v>0</v>
      </c>
    </row>
    <row r="5907" spans="1:18">
      <c r="A5907" s="905"/>
      <c r="B5907" s="906"/>
      <c r="C5907" s="907">
        <v>46</v>
      </c>
      <c r="D5907" s="907" t="s">
        <v>279</v>
      </c>
      <c r="E5907" s="925" t="s">
        <v>3179</v>
      </c>
      <c r="F5907" s="909" t="s">
        <v>45</v>
      </c>
      <c r="G5907" s="910"/>
      <c r="H5907" s="911">
        <v>2.1</v>
      </c>
      <c r="I5907" s="912">
        <f>VLOOKUP(E5907,[3]VLP!$B$7:$K$300,10,0)</f>
        <v>20500</v>
      </c>
      <c r="J5907" s="912">
        <f t="shared" si="385"/>
        <v>43050</v>
      </c>
      <c r="K5907" s="912" t="s">
        <v>274</v>
      </c>
      <c r="L5907" s="912"/>
      <c r="M5907" s="912"/>
      <c r="N5907" s="912"/>
      <c r="O5907" s="892">
        <f t="shared" si="378"/>
        <v>0</v>
      </c>
      <c r="P5907" s="903">
        <f t="shared" si="379"/>
        <v>1</v>
      </c>
      <c r="Q5907" s="893">
        <f t="shared" si="380"/>
        <v>8</v>
      </c>
      <c r="R5907" s="894">
        <f t="shared" si="381"/>
        <v>0</v>
      </c>
    </row>
    <row r="5908" spans="1:18">
      <c r="A5908" s="905"/>
      <c r="B5908" s="906"/>
      <c r="C5908" s="907">
        <v>25</v>
      </c>
      <c r="D5908" s="907" t="s">
        <v>279</v>
      </c>
      <c r="E5908" s="925" t="s">
        <v>5656</v>
      </c>
      <c r="F5908" s="926" t="s">
        <v>2690</v>
      </c>
      <c r="G5908" s="910"/>
      <c r="H5908" s="911">
        <v>0.5</v>
      </c>
      <c r="I5908" s="912">
        <f>VLOOKUP(E5908,[3]VLP!$B$7:$K$300,10,0)</f>
        <v>5000</v>
      </c>
      <c r="J5908" s="912">
        <f t="shared" si="385"/>
        <v>2500</v>
      </c>
      <c r="K5908" s="912" t="s">
        <v>274</v>
      </c>
      <c r="L5908" s="912"/>
      <c r="M5908" s="912"/>
      <c r="N5908" s="912"/>
      <c r="O5908" s="892">
        <f t="shared" si="378"/>
        <v>0</v>
      </c>
      <c r="P5908" s="903">
        <f t="shared" si="379"/>
        <v>1</v>
      </c>
      <c r="Q5908" s="893">
        <f t="shared" si="380"/>
        <v>7</v>
      </c>
      <c r="R5908" s="894">
        <f t="shared" si="381"/>
        <v>0</v>
      </c>
    </row>
    <row r="5909" spans="1:18">
      <c r="A5909" s="905"/>
      <c r="B5909" s="906"/>
      <c r="C5909" s="907">
        <v>127</v>
      </c>
      <c r="D5909" s="907" t="s">
        <v>279</v>
      </c>
      <c r="E5909" s="925" t="s">
        <v>5657</v>
      </c>
      <c r="F5909" s="909" t="s">
        <v>45</v>
      </c>
      <c r="G5909" s="910"/>
      <c r="H5909" s="911">
        <v>0.4</v>
      </c>
      <c r="I5909" s="912">
        <f>VLOOKUP(E5909,[3]VLP!$B$7:$K$300,10,0)</f>
        <v>25155</v>
      </c>
      <c r="J5909" s="912">
        <f t="shared" si="385"/>
        <v>10062</v>
      </c>
      <c r="K5909" s="912" t="s">
        <v>274</v>
      </c>
      <c r="L5909" s="912"/>
      <c r="M5909" s="912"/>
      <c r="N5909" s="912"/>
      <c r="O5909" s="892">
        <f t="shared" si="378"/>
        <v>0</v>
      </c>
      <c r="P5909" s="903">
        <f t="shared" si="379"/>
        <v>1</v>
      </c>
      <c r="Q5909" s="893">
        <f t="shared" si="380"/>
        <v>6</v>
      </c>
      <c r="R5909" s="894">
        <f t="shared" si="381"/>
        <v>0</v>
      </c>
    </row>
    <row r="5910" spans="1:18">
      <c r="A5910" s="905"/>
      <c r="B5910" s="906"/>
      <c r="C5910" s="907">
        <v>44</v>
      </c>
      <c r="D5910" s="907" t="s">
        <v>279</v>
      </c>
      <c r="E5910" s="925" t="s">
        <v>2681</v>
      </c>
      <c r="F5910" s="926" t="s">
        <v>45</v>
      </c>
      <c r="G5910" s="910"/>
      <c r="H5910" s="911">
        <v>0.5</v>
      </c>
      <c r="I5910" s="912">
        <f>VLOOKUP(E5910,[3]VLP!$B$7:$K$300,10,0)</f>
        <v>23000</v>
      </c>
      <c r="J5910" s="912">
        <f t="shared" si="385"/>
        <v>11500</v>
      </c>
      <c r="K5910" s="912" t="s">
        <v>274</v>
      </c>
      <c r="L5910" s="912"/>
      <c r="M5910" s="912"/>
      <c r="N5910" s="912"/>
      <c r="O5910" s="892">
        <f t="shared" si="378"/>
        <v>0</v>
      </c>
      <c r="P5910" s="903">
        <f t="shared" si="379"/>
        <v>1</v>
      </c>
      <c r="Q5910" s="893">
        <f t="shared" si="380"/>
        <v>5</v>
      </c>
      <c r="R5910" s="894">
        <f t="shared" si="381"/>
        <v>0</v>
      </c>
    </row>
    <row r="5911" spans="1:18">
      <c r="A5911" s="905"/>
      <c r="B5911" s="906"/>
      <c r="C5911" s="907">
        <v>66</v>
      </c>
      <c r="D5911" s="907" t="s">
        <v>279</v>
      </c>
      <c r="E5911" s="925" t="s">
        <v>2682</v>
      </c>
      <c r="F5911" s="926" t="s">
        <v>45</v>
      </c>
      <c r="G5911" s="910"/>
      <c r="H5911" s="911">
        <v>0.25</v>
      </c>
      <c r="I5911" s="912">
        <f>VLOOKUP(E5911,[3]VLP!$B$7:$K$300,10,0)</f>
        <v>5000</v>
      </c>
      <c r="J5911" s="912">
        <f t="shared" si="385"/>
        <v>1250</v>
      </c>
      <c r="K5911" s="912" t="s">
        <v>274</v>
      </c>
      <c r="L5911" s="912"/>
      <c r="M5911" s="912"/>
      <c r="N5911" s="912"/>
      <c r="O5911" s="892">
        <f t="shared" si="378"/>
        <v>0</v>
      </c>
      <c r="P5911" s="903">
        <f t="shared" si="379"/>
        <v>1</v>
      </c>
      <c r="Q5911" s="893">
        <f t="shared" si="380"/>
        <v>4</v>
      </c>
      <c r="R5911" s="894">
        <f t="shared" si="381"/>
        <v>0</v>
      </c>
    </row>
    <row r="5912" spans="1:18">
      <c r="A5912" s="905"/>
      <c r="B5912" s="906"/>
      <c r="C5912" s="907">
        <v>699</v>
      </c>
      <c r="D5912" s="907" t="s">
        <v>279</v>
      </c>
      <c r="E5912" s="925" t="s">
        <v>4006</v>
      </c>
      <c r="F5912" s="926" t="s">
        <v>4007</v>
      </c>
      <c r="G5912" s="910"/>
      <c r="H5912" s="911">
        <v>5</v>
      </c>
      <c r="I5912" s="912">
        <f>VLOOKUP(E5912,[3]VLP!$B$7:$K$300,10,0)</f>
        <v>5000</v>
      </c>
      <c r="J5912" s="912">
        <f t="shared" si="385"/>
        <v>25000</v>
      </c>
      <c r="K5912" s="912" t="s">
        <v>274</v>
      </c>
      <c r="L5912" s="912"/>
      <c r="M5912" s="912"/>
      <c r="N5912" s="912"/>
      <c r="O5912" s="892">
        <f t="shared" si="378"/>
        <v>0</v>
      </c>
      <c r="P5912" s="903">
        <f t="shared" si="379"/>
        <v>1</v>
      </c>
      <c r="Q5912" s="893">
        <f t="shared" si="380"/>
        <v>3</v>
      </c>
      <c r="R5912" s="894">
        <f t="shared" si="381"/>
        <v>0</v>
      </c>
    </row>
    <row r="5913" spans="1:18" s="904" customFormat="1">
      <c r="A5913" s="895"/>
      <c r="B5913" s="896"/>
      <c r="C5913" s="897"/>
      <c r="D5913" s="897"/>
      <c r="E5913" s="924" t="s">
        <v>276</v>
      </c>
      <c r="F5913" s="927"/>
      <c r="G5913" s="928"/>
      <c r="H5913" s="901"/>
      <c r="I5913" s="902"/>
      <c r="J5913" s="902"/>
      <c r="K5913" s="912" t="s">
        <v>274</v>
      </c>
      <c r="L5913" s="902"/>
      <c r="M5913" s="902"/>
      <c r="N5913" s="902"/>
      <c r="O5913" s="892">
        <f t="shared" si="378"/>
        <v>0</v>
      </c>
      <c r="P5913" s="903">
        <f t="shared" si="379"/>
        <v>1</v>
      </c>
      <c r="Q5913" s="893">
        <f t="shared" si="380"/>
        <v>2</v>
      </c>
      <c r="R5913" s="894">
        <f t="shared" si="381"/>
        <v>0</v>
      </c>
    </row>
    <row r="5914" spans="1:18">
      <c r="A5914" s="905"/>
      <c r="B5914" s="906"/>
      <c r="C5914" s="907">
        <v>745</v>
      </c>
      <c r="D5914" s="907" t="s">
        <v>12</v>
      </c>
      <c r="E5914" s="908" t="s">
        <v>5518</v>
      </c>
      <c r="F5914" s="909" t="s">
        <v>2674</v>
      </c>
      <c r="G5914" s="910"/>
      <c r="H5914" s="911">
        <v>3.92</v>
      </c>
      <c r="I5914" s="912"/>
      <c r="J5914" s="912"/>
      <c r="K5914" s="912">
        <f>VLOOKUP(E5914,[5]ĐMNC!$A$7:$F$67,4,0)</f>
        <v>240557</v>
      </c>
      <c r="L5914" s="912">
        <f>H5914*K5914</f>
        <v>942983.44</v>
      </c>
      <c r="M5914" s="912"/>
      <c r="N5914" s="912"/>
      <c r="O5914" s="892">
        <f t="shared" si="378"/>
        <v>0</v>
      </c>
      <c r="P5914" s="903">
        <f t="shared" si="379"/>
        <v>1</v>
      </c>
      <c r="Q5914" s="893">
        <f t="shared" si="380"/>
        <v>1</v>
      </c>
      <c r="R5914" s="894">
        <f t="shared" si="381"/>
        <v>0</v>
      </c>
    </row>
    <row r="5915" spans="1:18" s="847" customFormat="1" ht="35.25" customHeight="1">
      <c r="A5915" s="905" t="s">
        <v>5825</v>
      </c>
      <c r="B5915" s="914" t="s">
        <v>5867</v>
      </c>
      <c r="C5915" s="915"/>
      <c r="D5915" s="915"/>
      <c r="E5915" s="916" t="s">
        <v>5868</v>
      </c>
      <c r="F5915" s="917" t="s">
        <v>5834</v>
      </c>
      <c r="G5915" s="944"/>
      <c r="H5915" s="919"/>
      <c r="I5915" s="920"/>
      <c r="J5915" s="891">
        <f>SUM(J5916:J5927)</f>
        <v>247572</v>
      </c>
      <c r="K5915" s="891"/>
      <c r="L5915" s="891">
        <f>SUM(L5916:L5927)</f>
        <v>1029583.9600000001</v>
      </c>
      <c r="M5915" s="891"/>
      <c r="N5915" s="891">
        <f>SUM(N5916:N5927)</f>
        <v>0</v>
      </c>
      <c r="O5915" s="892">
        <f t="shared" si="378"/>
        <v>1</v>
      </c>
      <c r="P5915" s="903">
        <f t="shared" si="379"/>
        <v>0</v>
      </c>
      <c r="Q5915" s="893">
        <f t="shared" si="380"/>
        <v>0</v>
      </c>
      <c r="R5915" s="894">
        <f t="shared" si="381"/>
        <v>12</v>
      </c>
    </row>
    <row r="5916" spans="1:18" s="904" customFormat="1">
      <c r="A5916" s="895"/>
      <c r="B5916" s="922"/>
      <c r="C5916" s="897"/>
      <c r="D5916" s="897"/>
      <c r="E5916" s="898" t="s">
        <v>108</v>
      </c>
      <c r="F5916" s="899"/>
      <c r="G5916" s="928"/>
      <c r="H5916" s="901"/>
      <c r="I5916" s="902"/>
      <c r="J5916" s="902"/>
      <c r="K5916" s="912" t="s">
        <v>274</v>
      </c>
      <c r="L5916" s="902"/>
      <c r="M5916" s="902"/>
      <c r="N5916" s="902"/>
      <c r="O5916" s="892">
        <f t="shared" si="378"/>
        <v>0</v>
      </c>
      <c r="P5916" s="903">
        <f t="shared" si="379"/>
        <v>1</v>
      </c>
      <c r="Q5916" s="893">
        <f t="shared" si="380"/>
        <v>12</v>
      </c>
      <c r="R5916" s="894">
        <f t="shared" si="381"/>
        <v>0</v>
      </c>
    </row>
    <row r="5917" spans="1:18">
      <c r="A5917" s="905"/>
      <c r="B5917" s="906"/>
      <c r="C5917" s="907">
        <v>98</v>
      </c>
      <c r="D5917" s="907" t="s">
        <v>279</v>
      </c>
      <c r="E5917" s="925" t="s">
        <v>5869</v>
      </c>
      <c r="F5917" s="909" t="s">
        <v>51</v>
      </c>
      <c r="G5917" s="910"/>
      <c r="H5917" s="911">
        <v>1</v>
      </c>
      <c r="I5917" s="912">
        <f>VLOOKUP(E5917,[3]VLP!$B$7:$K$300,10,0)</f>
        <v>47320</v>
      </c>
      <c r="J5917" s="912">
        <f t="shared" ref="J5917:J5925" si="386">I5917*H5917</f>
        <v>47320</v>
      </c>
      <c r="K5917" s="912" t="s">
        <v>274</v>
      </c>
      <c r="L5917" s="912"/>
      <c r="M5917" s="912"/>
      <c r="N5917" s="912"/>
      <c r="O5917" s="892">
        <f t="shared" si="378"/>
        <v>0</v>
      </c>
      <c r="P5917" s="903">
        <f t="shared" si="379"/>
        <v>1</v>
      </c>
      <c r="Q5917" s="893">
        <f t="shared" si="380"/>
        <v>11</v>
      </c>
      <c r="R5917" s="894">
        <f t="shared" si="381"/>
        <v>0</v>
      </c>
    </row>
    <row r="5918" spans="1:18">
      <c r="A5918" s="905"/>
      <c r="B5918" s="906"/>
      <c r="C5918" s="907">
        <v>49</v>
      </c>
      <c r="D5918" s="907" t="s">
        <v>279</v>
      </c>
      <c r="E5918" s="925" t="s">
        <v>5698</v>
      </c>
      <c r="F5918" s="909" t="s">
        <v>139</v>
      </c>
      <c r="G5918" s="910"/>
      <c r="H5918" s="911">
        <v>2</v>
      </c>
      <c r="I5918" s="912">
        <f>VLOOKUP(E5918,[3]VLP!$B$7:$K$300,10,0)</f>
        <v>3000</v>
      </c>
      <c r="J5918" s="912">
        <f t="shared" si="386"/>
        <v>6000</v>
      </c>
      <c r="K5918" s="912" t="s">
        <v>274</v>
      </c>
      <c r="L5918" s="912"/>
      <c r="M5918" s="912"/>
      <c r="N5918" s="912"/>
      <c r="O5918" s="892">
        <f t="shared" si="378"/>
        <v>0</v>
      </c>
      <c r="P5918" s="903">
        <f t="shared" si="379"/>
        <v>1</v>
      </c>
      <c r="Q5918" s="893">
        <f t="shared" si="380"/>
        <v>10</v>
      </c>
      <c r="R5918" s="894">
        <f t="shared" si="381"/>
        <v>0</v>
      </c>
    </row>
    <row r="5919" spans="1:18">
      <c r="A5919" s="905"/>
      <c r="B5919" s="906"/>
      <c r="C5919" s="907">
        <v>50</v>
      </c>
      <c r="D5919" s="907" t="s">
        <v>279</v>
      </c>
      <c r="E5919" s="925" t="s">
        <v>5836</v>
      </c>
      <c r="F5919" s="909" t="s">
        <v>49</v>
      </c>
      <c r="G5919" s="910"/>
      <c r="H5919" s="911">
        <v>1</v>
      </c>
      <c r="I5919" s="912">
        <f>VLOOKUP(E5919,[3]VLP!$B$7:$K$300,10,0)</f>
        <v>85790</v>
      </c>
      <c r="J5919" s="912">
        <f t="shared" si="386"/>
        <v>85790</v>
      </c>
      <c r="K5919" s="912" t="s">
        <v>274</v>
      </c>
      <c r="L5919" s="912"/>
      <c r="M5919" s="912"/>
      <c r="N5919" s="912"/>
      <c r="O5919" s="892">
        <f t="shared" ref="O5919:O5982" si="387">IF(AND(B5919&lt;&gt;"",D5919=""),1,0)</f>
        <v>0</v>
      </c>
      <c r="P5919" s="903">
        <f t="shared" si="379"/>
        <v>1</v>
      </c>
      <c r="Q5919" s="893">
        <f t="shared" si="380"/>
        <v>9</v>
      </c>
      <c r="R5919" s="894">
        <f t="shared" si="381"/>
        <v>0</v>
      </c>
    </row>
    <row r="5920" spans="1:18">
      <c r="A5920" s="905"/>
      <c r="B5920" s="906"/>
      <c r="C5920" s="907">
        <v>46</v>
      </c>
      <c r="D5920" s="907" t="s">
        <v>279</v>
      </c>
      <c r="E5920" s="925" t="s">
        <v>3179</v>
      </c>
      <c r="F5920" s="909" t="s">
        <v>45</v>
      </c>
      <c r="G5920" s="910"/>
      <c r="H5920" s="911">
        <v>2.8</v>
      </c>
      <c r="I5920" s="912">
        <f>VLOOKUP(E5920,[3]VLP!$B$7:$K$300,10,0)</f>
        <v>20500</v>
      </c>
      <c r="J5920" s="912">
        <f t="shared" si="386"/>
        <v>57399.999999999993</v>
      </c>
      <c r="K5920" s="912" t="s">
        <v>274</v>
      </c>
      <c r="L5920" s="912"/>
      <c r="M5920" s="912"/>
      <c r="N5920" s="912"/>
      <c r="O5920" s="892">
        <f t="shared" si="387"/>
        <v>0</v>
      </c>
      <c r="P5920" s="903">
        <f t="shared" si="379"/>
        <v>1</v>
      </c>
      <c r="Q5920" s="893">
        <f t="shared" si="380"/>
        <v>8</v>
      </c>
      <c r="R5920" s="894">
        <f t="shared" si="381"/>
        <v>0</v>
      </c>
    </row>
    <row r="5921" spans="1:18">
      <c r="A5921" s="905"/>
      <c r="B5921" s="906"/>
      <c r="C5921" s="907">
        <v>25</v>
      </c>
      <c r="D5921" s="907" t="s">
        <v>279</v>
      </c>
      <c r="E5921" s="925" t="s">
        <v>5656</v>
      </c>
      <c r="F5921" s="926" t="s">
        <v>2690</v>
      </c>
      <c r="G5921" s="910"/>
      <c r="H5921" s="911">
        <v>0.6</v>
      </c>
      <c r="I5921" s="912">
        <f>VLOOKUP(E5921,[3]VLP!$B$7:$K$300,10,0)</f>
        <v>5000</v>
      </c>
      <c r="J5921" s="912">
        <f t="shared" si="386"/>
        <v>3000</v>
      </c>
      <c r="K5921" s="912" t="s">
        <v>274</v>
      </c>
      <c r="L5921" s="912"/>
      <c r="M5921" s="912"/>
      <c r="N5921" s="912"/>
      <c r="O5921" s="892">
        <f t="shared" si="387"/>
        <v>0</v>
      </c>
      <c r="P5921" s="903">
        <f t="shared" si="379"/>
        <v>1</v>
      </c>
      <c r="Q5921" s="893">
        <f t="shared" si="380"/>
        <v>7</v>
      </c>
      <c r="R5921" s="894">
        <f t="shared" si="381"/>
        <v>0</v>
      </c>
    </row>
    <row r="5922" spans="1:18">
      <c r="A5922" s="905"/>
      <c r="B5922" s="906"/>
      <c r="C5922" s="907">
        <v>127</v>
      </c>
      <c r="D5922" s="907" t="s">
        <v>279</v>
      </c>
      <c r="E5922" s="925" t="s">
        <v>5657</v>
      </c>
      <c r="F5922" s="909" t="s">
        <v>45</v>
      </c>
      <c r="G5922" s="910"/>
      <c r="H5922" s="911">
        <v>0.4</v>
      </c>
      <c r="I5922" s="912">
        <f>VLOOKUP(E5922,[3]VLP!$B$7:$K$300,10,0)</f>
        <v>25155</v>
      </c>
      <c r="J5922" s="912">
        <f t="shared" si="386"/>
        <v>10062</v>
      </c>
      <c r="K5922" s="912" t="s">
        <v>274</v>
      </c>
      <c r="L5922" s="912"/>
      <c r="M5922" s="912"/>
      <c r="N5922" s="912"/>
      <c r="O5922" s="892">
        <f t="shared" si="387"/>
        <v>0</v>
      </c>
      <c r="P5922" s="903">
        <f t="shared" si="379"/>
        <v>1</v>
      </c>
      <c r="Q5922" s="893">
        <f t="shared" si="380"/>
        <v>6</v>
      </c>
      <c r="R5922" s="894">
        <f t="shared" si="381"/>
        <v>0</v>
      </c>
    </row>
    <row r="5923" spans="1:18">
      <c r="A5923" s="905"/>
      <c r="B5923" s="906"/>
      <c r="C5923" s="907">
        <v>44</v>
      </c>
      <c r="D5923" s="907" t="s">
        <v>279</v>
      </c>
      <c r="E5923" s="925" t="s">
        <v>2681</v>
      </c>
      <c r="F5923" s="926" t="s">
        <v>45</v>
      </c>
      <c r="G5923" s="910"/>
      <c r="H5923" s="911">
        <v>0.5</v>
      </c>
      <c r="I5923" s="912">
        <f>VLOOKUP(E5923,[3]VLP!$B$7:$K$300,10,0)</f>
        <v>23000</v>
      </c>
      <c r="J5923" s="912">
        <f t="shared" si="386"/>
        <v>11500</v>
      </c>
      <c r="K5923" s="912" t="s">
        <v>274</v>
      </c>
      <c r="L5923" s="912"/>
      <c r="M5923" s="912"/>
      <c r="N5923" s="912"/>
      <c r="O5923" s="892">
        <f t="shared" si="387"/>
        <v>0</v>
      </c>
      <c r="P5923" s="903">
        <f t="shared" si="379"/>
        <v>1</v>
      </c>
      <c r="Q5923" s="893">
        <f t="shared" si="380"/>
        <v>5</v>
      </c>
      <c r="R5923" s="894">
        <f t="shared" si="381"/>
        <v>0</v>
      </c>
    </row>
    <row r="5924" spans="1:18">
      <c r="A5924" s="905"/>
      <c r="B5924" s="906"/>
      <c r="C5924" s="907">
        <v>66</v>
      </c>
      <c r="D5924" s="907" t="s">
        <v>279</v>
      </c>
      <c r="E5924" s="925" t="s">
        <v>2682</v>
      </c>
      <c r="F5924" s="926" t="s">
        <v>45</v>
      </c>
      <c r="G5924" s="910"/>
      <c r="H5924" s="911">
        <v>0.3</v>
      </c>
      <c r="I5924" s="912">
        <f>VLOOKUP(E5924,[3]VLP!$B$7:$K$300,10,0)</f>
        <v>5000</v>
      </c>
      <c r="J5924" s="912">
        <f t="shared" si="386"/>
        <v>1500</v>
      </c>
      <c r="K5924" s="912" t="s">
        <v>274</v>
      </c>
      <c r="L5924" s="912"/>
      <c r="M5924" s="912"/>
      <c r="N5924" s="912"/>
      <c r="O5924" s="892">
        <f t="shared" si="387"/>
        <v>0</v>
      </c>
      <c r="P5924" s="903">
        <f t="shared" si="379"/>
        <v>1</v>
      </c>
      <c r="Q5924" s="893">
        <f t="shared" si="380"/>
        <v>4</v>
      </c>
      <c r="R5924" s="894">
        <f t="shared" si="381"/>
        <v>0</v>
      </c>
    </row>
    <row r="5925" spans="1:18">
      <c r="A5925" s="905"/>
      <c r="B5925" s="906"/>
      <c r="C5925" s="907">
        <v>699</v>
      </c>
      <c r="D5925" s="907" t="s">
        <v>279</v>
      </c>
      <c r="E5925" s="925" t="s">
        <v>4006</v>
      </c>
      <c r="F5925" s="926" t="s">
        <v>4007</v>
      </c>
      <c r="G5925" s="910"/>
      <c r="H5925" s="911">
        <v>5</v>
      </c>
      <c r="I5925" s="912">
        <f>VLOOKUP(E5925,[3]VLP!$B$7:$K$300,10,0)</f>
        <v>5000</v>
      </c>
      <c r="J5925" s="912">
        <f t="shared" si="386"/>
        <v>25000</v>
      </c>
      <c r="K5925" s="912" t="s">
        <v>274</v>
      </c>
      <c r="L5925" s="912"/>
      <c r="M5925" s="912"/>
      <c r="N5925" s="912"/>
      <c r="O5925" s="892">
        <f t="shared" si="387"/>
        <v>0</v>
      </c>
      <c r="P5925" s="903">
        <f t="shared" si="379"/>
        <v>1</v>
      </c>
      <c r="Q5925" s="893">
        <f t="shared" si="380"/>
        <v>3</v>
      </c>
      <c r="R5925" s="894">
        <f t="shared" si="381"/>
        <v>0</v>
      </c>
    </row>
    <row r="5926" spans="1:18" s="904" customFormat="1">
      <c r="A5926" s="895"/>
      <c r="B5926" s="896"/>
      <c r="C5926" s="897"/>
      <c r="D5926" s="897"/>
      <c r="E5926" s="924" t="s">
        <v>276</v>
      </c>
      <c r="F5926" s="927"/>
      <c r="G5926" s="928"/>
      <c r="H5926" s="901"/>
      <c r="I5926" s="902"/>
      <c r="J5926" s="902"/>
      <c r="K5926" s="912" t="s">
        <v>274</v>
      </c>
      <c r="L5926" s="902"/>
      <c r="M5926" s="902"/>
      <c r="N5926" s="902"/>
      <c r="O5926" s="892">
        <f t="shared" si="387"/>
        <v>0</v>
      </c>
      <c r="P5926" s="903">
        <f t="shared" si="379"/>
        <v>1</v>
      </c>
      <c r="Q5926" s="893">
        <f t="shared" si="380"/>
        <v>2</v>
      </c>
      <c r="R5926" s="894">
        <f t="shared" si="381"/>
        <v>0</v>
      </c>
    </row>
    <row r="5927" spans="1:18">
      <c r="A5927" s="905"/>
      <c r="B5927" s="906"/>
      <c r="C5927" s="907">
        <v>745</v>
      </c>
      <c r="D5927" s="907" t="s">
        <v>12</v>
      </c>
      <c r="E5927" s="908" t="s">
        <v>5518</v>
      </c>
      <c r="F5927" s="909" t="s">
        <v>2674</v>
      </c>
      <c r="G5927" s="910"/>
      <c r="H5927" s="911">
        <v>4.28</v>
      </c>
      <c r="I5927" s="912"/>
      <c r="J5927" s="912"/>
      <c r="K5927" s="912">
        <f>VLOOKUP(E5927,[5]ĐMNC!$A$7:$F$67,4,0)</f>
        <v>240557</v>
      </c>
      <c r="L5927" s="912">
        <f>H5927*K5927</f>
        <v>1029583.9600000001</v>
      </c>
      <c r="M5927" s="912"/>
      <c r="N5927" s="912"/>
      <c r="O5927" s="892">
        <f t="shared" si="387"/>
        <v>0</v>
      </c>
      <c r="P5927" s="903">
        <f t="shared" si="379"/>
        <v>1</v>
      </c>
      <c r="Q5927" s="893">
        <f t="shared" si="380"/>
        <v>1</v>
      </c>
      <c r="R5927" s="894">
        <f t="shared" si="381"/>
        <v>0</v>
      </c>
    </row>
    <row r="5928" spans="1:18" s="847" customFormat="1" ht="35.25" customHeight="1">
      <c r="A5928" s="905"/>
      <c r="B5928" s="914" t="s">
        <v>5870</v>
      </c>
      <c r="C5928" s="915"/>
      <c r="D5928" s="915"/>
      <c r="E5928" s="916" t="s">
        <v>5871</v>
      </c>
      <c r="F5928" s="917" t="s">
        <v>5834</v>
      </c>
      <c r="G5928" s="944"/>
      <c r="H5928" s="919"/>
      <c r="I5928" s="920"/>
      <c r="J5928" s="891">
        <f>SUM(J5929:J5940)</f>
        <v>289572</v>
      </c>
      <c r="K5928" s="891"/>
      <c r="L5928" s="891">
        <f>SUM(L5929:L5940)</f>
        <v>1096939.92</v>
      </c>
      <c r="M5928" s="891"/>
      <c r="N5928" s="891">
        <f>SUM(N5929:N5940)</f>
        <v>0</v>
      </c>
      <c r="O5928" s="892">
        <f t="shared" si="387"/>
        <v>1</v>
      </c>
      <c r="P5928" s="903">
        <f t="shared" ref="P5928:P5991" si="388">IF(O5928=0,1,0)</f>
        <v>0</v>
      </c>
      <c r="Q5928" s="893">
        <f t="shared" ref="Q5928:Q5991" si="389">IF(P5928=0,0,P5928+Q5929)</f>
        <v>0</v>
      </c>
      <c r="R5928" s="894">
        <f t="shared" ref="R5928:R5991" si="390">IF(Q5928=0,Q5929,0)</f>
        <v>12</v>
      </c>
    </row>
    <row r="5929" spans="1:18" s="904" customFormat="1">
      <c r="A5929" s="895"/>
      <c r="B5929" s="896"/>
      <c r="C5929" s="897"/>
      <c r="D5929" s="897"/>
      <c r="E5929" s="898" t="s">
        <v>108</v>
      </c>
      <c r="F5929" s="899"/>
      <c r="G5929" s="928"/>
      <c r="H5929" s="901"/>
      <c r="I5929" s="902"/>
      <c r="J5929" s="902"/>
      <c r="K5929" s="912" t="s">
        <v>274</v>
      </c>
      <c r="L5929" s="902"/>
      <c r="M5929" s="902"/>
      <c r="N5929" s="902"/>
      <c r="O5929" s="892">
        <f t="shared" si="387"/>
        <v>0</v>
      </c>
      <c r="P5929" s="903">
        <f t="shared" si="388"/>
        <v>1</v>
      </c>
      <c r="Q5929" s="893">
        <f t="shared" si="389"/>
        <v>12</v>
      </c>
      <c r="R5929" s="894">
        <f t="shared" si="390"/>
        <v>0</v>
      </c>
    </row>
    <row r="5930" spans="1:18">
      <c r="A5930" s="905"/>
      <c r="B5930" s="906"/>
      <c r="C5930" s="907">
        <v>99</v>
      </c>
      <c r="D5930" s="907" t="s">
        <v>279</v>
      </c>
      <c r="E5930" s="925" t="s">
        <v>5872</v>
      </c>
      <c r="F5930" s="909" t="s">
        <v>51</v>
      </c>
      <c r="G5930" s="910"/>
      <c r="H5930" s="911">
        <v>1</v>
      </c>
      <c r="I5930" s="912">
        <f>VLOOKUP(E5930,[3]VLP!$B$7:$K$300,10,0)</f>
        <v>81120</v>
      </c>
      <c r="J5930" s="912">
        <f t="shared" ref="J5930:J5938" si="391">I5930*H5930</f>
        <v>81120</v>
      </c>
      <c r="K5930" s="912" t="s">
        <v>274</v>
      </c>
      <c r="L5930" s="912"/>
      <c r="M5930" s="912"/>
      <c r="N5930" s="912"/>
      <c r="O5930" s="892">
        <f t="shared" si="387"/>
        <v>0</v>
      </c>
      <c r="P5930" s="903">
        <f t="shared" si="388"/>
        <v>1</v>
      </c>
      <c r="Q5930" s="893">
        <f t="shared" si="389"/>
        <v>11</v>
      </c>
      <c r="R5930" s="894">
        <f t="shared" si="390"/>
        <v>0</v>
      </c>
    </row>
    <row r="5931" spans="1:18">
      <c r="A5931" s="905"/>
      <c r="B5931" s="906"/>
      <c r="C5931" s="907">
        <v>49</v>
      </c>
      <c r="D5931" s="907" t="s">
        <v>279</v>
      </c>
      <c r="E5931" s="925" t="s">
        <v>5698</v>
      </c>
      <c r="F5931" s="909" t="s">
        <v>139</v>
      </c>
      <c r="G5931" s="910"/>
      <c r="H5931" s="911">
        <v>2</v>
      </c>
      <c r="I5931" s="912">
        <f>VLOOKUP(E5931,[3]VLP!$B$7:$K$300,10,0)</f>
        <v>3000</v>
      </c>
      <c r="J5931" s="912">
        <f t="shared" si="391"/>
        <v>6000</v>
      </c>
      <c r="K5931" s="912" t="s">
        <v>274</v>
      </c>
      <c r="L5931" s="912"/>
      <c r="M5931" s="912"/>
      <c r="N5931" s="912"/>
      <c r="O5931" s="892">
        <f t="shared" si="387"/>
        <v>0</v>
      </c>
      <c r="P5931" s="903">
        <f t="shared" si="388"/>
        <v>1</v>
      </c>
      <c r="Q5931" s="893">
        <f t="shared" si="389"/>
        <v>10</v>
      </c>
      <c r="R5931" s="894">
        <f t="shared" si="390"/>
        <v>0</v>
      </c>
    </row>
    <row r="5932" spans="1:18">
      <c r="A5932" s="905"/>
      <c r="B5932" s="906"/>
      <c r="C5932" s="907">
        <v>50</v>
      </c>
      <c r="D5932" s="907" t="s">
        <v>279</v>
      </c>
      <c r="E5932" s="925" t="s">
        <v>5836</v>
      </c>
      <c r="F5932" s="909" t="s">
        <v>49</v>
      </c>
      <c r="G5932" s="910"/>
      <c r="H5932" s="911">
        <v>1</v>
      </c>
      <c r="I5932" s="912">
        <f>VLOOKUP(E5932,[3]VLP!$B$7:$K$300,10,0)</f>
        <v>85790</v>
      </c>
      <c r="J5932" s="912">
        <f t="shared" si="391"/>
        <v>85790</v>
      </c>
      <c r="K5932" s="912" t="s">
        <v>274</v>
      </c>
      <c r="L5932" s="912"/>
      <c r="M5932" s="912"/>
      <c r="N5932" s="912"/>
      <c r="O5932" s="892">
        <f t="shared" si="387"/>
        <v>0</v>
      </c>
      <c r="P5932" s="903">
        <f t="shared" si="388"/>
        <v>1</v>
      </c>
      <c r="Q5932" s="893">
        <f t="shared" si="389"/>
        <v>9</v>
      </c>
      <c r="R5932" s="894">
        <f t="shared" si="390"/>
        <v>0</v>
      </c>
    </row>
    <row r="5933" spans="1:18">
      <c r="A5933" s="905"/>
      <c r="B5933" s="906"/>
      <c r="C5933" s="907">
        <v>46</v>
      </c>
      <c r="D5933" s="907" t="s">
        <v>279</v>
      </c>
      <c r="E5933" s="925" t="s">
        <v>3179</v>
      </c>
      <c r="F5933" s="909" t="s">
        <v>45</v>
      </c>
      <c r="G5933" s="910"/>
      <c r="H5933" s="911">
        <v>3.2</v>
      </c>
      <c r="I5933" s="912">
        <f>VLOOKUP(E5933,[3]VLP!$B$7:$K$300,10,0)</f>
        <v>20500</v>
      </c>
      <c r="J5933" s="912">
        <f t="shared" si="391"/>
        <v>65600</v>
      </c>
      <c r="K5933" s="912" t="s">
        <v>274</v>
      </c>
      <c r="L5933" s="912"/>
      <c r="M5933" s="912"/>
      <c r="N5933" s="912"/>
      <c r="O5933" s="892">
        <f t="shared" si="387"/>
        <v>0</v>
      </c>
      <c r="P5933" s="903">
        <f t="shared" si="388"/>
        <v>1</v>
      </c>
      <c r="Q5933" s="893">
        <f t="shared" si="389"/>
        <v>8</v>
      </c>
      <c r="R5933" s="894">
        <f t="shared" si="390"/>
        <v>0</v>
      </c>
    </row>
    <row r="5934" spans="1:18">
      <c r="A5934" s="905"/>
      <c r="B5934" s="906"/>
      <c r="C5934" s="907">
        <v>25</v>
      </c>
      <c r="D5934" s="907" t="s">
        <v>279</v>
      </c>
      <c r="E5934" s="925" t="s">
        <v>5656</v>
      </c>
      <c r="F5934" s="926" t="s">
        <v>2690</v>
      </c>
      <c r="G5934" s="910"/>
      <c r="H5934" s="911">
        <v>0.6</v>
      </c>
      <c r="I5934" s="912">
        <f>VLOOKUP(E5934,[3]VLP!$B$7:$K$300,10,0)</f>
        <v>5000</v>
      </c>
      <c r="J5934" s="912">
        <f t="shared" si="391"/>
        <v>3000</v>
      </c>
      <c r="K5934" s="912" t="s">
        <v>274</v>
      </c>
      <c r="L5934" s="912"/>
      <c r="M5934" s="912"/>
      <c r="N5934" s="912"/>
      <c r="O5934" s="892">
        <f t="shared" si="387"/>
        <v>0</v>
      </c>
      <c r="P5934" s="903">
        <f t="shared" si="388"/>
        <v>1</v>
      </c>
      <c r="Q5934" s="893">
        <f t="shared" si="389"/>
        <v>7</v>
      </c>
      <c r="R5934" s="894">
        <f t="shared" si="390"/>
        <v>0</v>
      </c>
    </row>
    <row r="5935" spans="1:18">
      <c r="A5935" s="905"/>
      <c r="B5935" s="906"/>
      <c r="C5935" s="907">
        <v>127</v>
      </c>
      <c r="D5935" s="907" t="s">
        <v>279</v>
      </c>
      <c r="E5935" s="925" t="s">
        <v>5657</v>
      </c>
      <c r="F5935" s="909" t="s">
        <v>45</v>
      </c>
      <c r="G5935" s="910"/>
      <c r="H5935" s="911">
        <v>0.4</v>
      </c>
      <c r="I5935" s="912">
        <f>VLOOKUP(E5935,[3]VLP!$B$7:$K$300,10,0)</f>
        <v>25155</v>
      </c>
      <c r="J5935" s="912">
        <f t="shared" si="391"/>
        <v>10062</v>
      </c>
      <c r="K5935" s="912" t="s">
        <v>274</v>
      </c>
      <c r="L5935" s="912"/>
      <c r="M5935" s="912"/>
      <c r="N5935" s="912"/>
      <c r="O5935" s="892">
        <f t="shared" si="387"/>
        <v>0</v>
      </c>
      <c r="P5935" s="903">
        <f t="shared" si="388"/>
        <v>1</v>
      </c>
      <c r="Q5935" s="893">
        <f t="shared" si="389"/>
        <v>6</v>
      </c>
      <c r="R5935" s="894">
        <f t="shared" si="390"/>
        <v>0</v>
      </c>
    </row>
    <row r="5936" spans="1:18">
      <c r="A5936" s="905"/>
      <c r="B5936" s="906"/>
      <c r="C5936" s="907">
        <v>44</v>
      </c>
      <c r="D5936" s="907" t="s">
        <v>279</v>
      </c>
      <c r="E5936" s="925" t="s">
        <v>2681</v>
      </c>
      <c r="F5936" s="926" t="s">
        <v>45</v>
      </c>
      <c r="G5936" s="910"/>
      <c r="H5936" s="911">
        <v>0.5</v>
      </c>
      <c r="I5936" s="912">
        <f>VLOOKUP(E5936,[3]VLP!$B$7:$K$300,10,0)</f>
        <v>23000</v>
      </c>
      <c r="J5936" s="912">
        <f t="shared" si="391"/>
        <v>11500</v>
      </c>
      <c r="K5936" s="912" t="s">
        <v>274</v>
      </c>
      <c r="L5936" s="912"/>
      <c r="M5936" s="912"/>
      <c r="N5936" s="912"/>
      <c r="O5936" s="892">
        <f t="shared" si="387"/>
        <v>0</v>
      </c>
      <c r="P5936" s="903">
        <f t="shared" si="388"/>
        <v>1</v>
      </c>
      <c r="Q5936" s="893">
        <f t="shared" si="389"/>
        <v>5</v>
      </c>
      <c r="R5936" s="894">
        <f t="shared" si="390"/>
        <v>0</v>
      </c>
    </row>
    <row r="5937" spans="1:18">
      <c r="A5937" s="905"/>
      <c r="B5937" s="906"/>
      <c r="C5937" s="907">
        <v>66</v>
      </c>
      <c r="D5937" s="907" t="s">
        <v>279</v>
      </c>
      <c r="E5937" s="925" t="s">
        <v>2682</v>
      </c>
      <c r="F5937" s="926" t="s">
        <v>45</v>
      </c>
      <c r="G5937" s="910"/>
      <c r="H5937" s="911">
        <v>0.3</v>
      </c>
      <c r="I5937" s="912">
        <f>VLOOKUP(E5937,[3]VLP!$B$7:$K$300,10,0)</f>
        <v>5000</v>
      </c>
      <c r="J5937" s="912">
        <f t="shared" si="391"/>
        <v>1500</v>
      </c>
      <c r="K5937" s="912" t="s">
        <v>274</v>
      </c>
      <c r="L5937" s="912"/>
      <c r="M5937" s="912"/>
      <c r="N5937" s="912"/>
      <c r="O5937" s="892">
        <f t="shared" si="387"/>
        <v>0</v>
      </c>
      <c r="P5937" s="903">
        <f t="shared" si="388"/>
        <v>1</v>
      </c>
      <c r="Q5937" s="893">
        <f t="shared" si="389"/>
        <v>4</v>
      </c>
      <c r="R5937" s="894">
        <f t="shared" si="390"/>
        <v>0</v>
      </c>
    </row>
    <row r="5938" spans="1:18">
      <c r="A5938" s="905"/>
      <c r="B5938" s="906"/>
      <c r="C5938" s="907">
        <v>699</v>
      </c>
      <c r="D5938" s="907" t="s">
        <v>279</v>
      </c>
      <c r="E5938" s="925" t="s">
        <v>4006</v>
      </c>
      <c r="F5938" s="926" t="s">
        <v>4007</v>
      </c>
      <c r="G5938" s="910"/>
      <c r="H5938" s="911">
        <v>5</v>
      </c>
      <c r="I5938" s="912">
        <f>VLOOKUP(E5938,[3]VLP!$B$7:$K$300,10,0)</f>
        <v>5000</v>
      </c>
      <c r="J5938" s="912">
        <f t="shared" si="391"/>
        <v>25000</v>
      </c>
      <c r="K5938" s="912" t="s">
        <v>274</v>
      </c>
      <c r="L5938" s="912"/>
      <c r="M5938" s="912"/>
      <c r="N5938" s="912"/>
      <c r="O5938" s="892">
        <f t="shared" si="387"/>
        <v>0</v>
      </c>
      <c r="P5938" s="903">
        <f t="shared" si="388"/>
        <v>1</v>
      </c>
      <c r="Q5938" s="893">
        <f t="shared" si="389"/>
        <v>3</v>
      </c>
      <c r="R5938" s="894">
        <f t="shared" si="390"/>
        <v>0</v>
      </c>
    </row>
    <row r="5939" spans="1:18" s="904" customFormat="1">
      <c r="A5939" s="895"/>
      <c r="B5939" s="896"/>
      <c r="C5939" s="897"/>
      <c r="D5939" s="897"/>
      <c r="E5939" s="924" t="s">
        <v>276</v>
      </c>
      <c r="F5939" s="927"/>
      <c r="G5939" s="928"/>
      <c r="H5939" s="901"/>
      <c r="I5939" s="902"/>
      <c r="J5939" s="902"/>
      <c r="K5939" s="912" t="s">
        <v>274</v>
      </c>
      <c r="L5939" s="902"/>
      <c r="M5939" s="902"/>
      <c r="N5939" s="902"/>
      <c r="O5939" s="892">
        <f t="shared" si="387"/>
        <v>0</v>
      </c>
      <c r="P5939" s="903">
        <f t="shared" si="388"/>
        <v>1</v>
      </c>
      <c r="Q5939" s="893">
        <f t="shared" si="389"/>
        <v>2</v>
      </c>
      <c r="R5939" s="894">
        <f t="shared" si="390"/>
        <v>0</v>
      </c>
    </row>
    <row r="5940" spans="1:18">
      <c r="A5940" s="905"/>
      <c r="B5940" s="906"/>
      <c r="C5940" s="907">
        <v>745</v>
      </c>
      <c r="D5940" s="907" t="s">
        <v>12</v>
      </c>
      <c r="E5940" s="908" t="s">
        <v>5518</v>
      </c>
      <c r="F5940" s="909" t="s">
        <v>2674</v>
      </c>
      <c r="G5940" s="910"/>
      <c r="H5940" s="911">
        <v>4.5599999999999996</v>
      </c>
      <c r="I5940" s="912"/>
      <c r="J5940" s="912"/>
      <c r="K5940" s="912">
        <f>VLOOKUP(E5940,[5]ĐMNC!$A$7:$F$67,4,0)</f>
        <v>240557</v>
      </c>
      <c r="L5940" s="912">
        <f>H5940*K5940</f>
        <v>1096939.92</v>
      </c>
      <c r="M5940" s="912"/>
      <c r="N5940" s="912"/>
      <c r="O5940" s="892">
        <f t="shared" si="387"/>
        <v>0</v>
      </c>
      <c r="P5940" s="903">
        <f t="shared" si="388"/>
        <v>1</v>
      </c>
      <c r="Q5940" s="893">
        <f t="shared" si="389"/>
        <v>1</v>
      </c>
      <c r="R5940" s="894">
        <f t="shared" si="390"/>
        <v>0</v>
      </c>
    </row>
    <row r="5941" spans="1:18" s="847" customFormat="1" ht="35.25" customHeight="1">
      <c r="A5941" s="905"/>
      <c r="B5941" s="914" t="s">
        <v>5873</v>
      </c>
      <c r="C5941" s="915"/>
      <c r="D5941" s="915"/>
      <c r="E5941" s="916" t="s">
        <v>5874</v>
      </c>
      <c r="F5941" s="917" t="s">
        <v>5834</v>
      </c>
      <c r="G5941" s="944"/>
      <c r="H5941" s="919"/>
      <c r="I5941" s="920"/>
      <c r="J5941" s="891">
        <f>SUM(J5942:J5953)</f>
        <v>307904.40000000002</v>
      </c>
      <c r="K5941" s="891"/>
      <c r="L5941" s="891">
        <f>SUM(L5942:L5953)</f>
        <v>1315846.79</v>
      </c>
      <c r="M5941" s="891"/>
      <c r="N5941" s="891">
        <f>SUM(N5942:N5953)</f>
        <v>0</v>
      </c>
      <c r="O5941" s="892">
        <f t="shared" si="387"/>
        <v>1</v>
      </c>
      <c r="P5941" s="903">
        <f t="shared" si="388"/>
        <v>0</v>
      </c>
      <c r="Q5941" s="893">
        <f t="shared" si="389"/>
        <v>0</v>
      </c>
      <c r="R5941" s="894">
        <f t="shared" si="390"/>
        <v>12</v>
      </c>
    </row>
    <row r="5942" spans="1:18" s="904" customFormat="1">
      <c r="A5942" s="895"/>
      <c r="B5942" s="896"/>
      <c r="C5942" s="897"/>
      <c r="D5942" s="897"/>
      <c r="E5942" s="898" t="s">
        <v>108</v>
      </c>
      <c r="F5942" s="899"/>
      <c r="G5942" s="928"/>
      <c r="H5942" s="901"/>
      <c r="I5942" s="902"/>
      <c r="J5942" s="902"/>
      <c r="K5942" s="912" t="s">
        <v>274</v>
      </c>
      <c r="L5942" s="902"/>
      <c r="M5942" s="902"/>
      <c r="N5942" s="902"/>
      <c r="O5942" s="892">
        <f t="shared" si="387"/>
        <v>0</v>
      </c>
      <c r="P5942" s="903">
        <f t="shared" si="388"/>
        <v>1</v>
      </c>
      <c r="Q5942" s="893">
        <f t="shared" si="389"/>
        <v>12</v>
      </c>
      <c r="R5942" s="894">
        <f t="shared" si="390"/>
        <v>0</v>
      </c>
    </row>
    <row r="5943" spans="1:18">
      <c r="A5943" s="905"/>
      <c r="B5943" s="906"/>
      <c r="C5943" s="907">
        <v>100</v>
      </c>
      <c r="D5943" s="907" t="s">
        <v>279</v>
      </c>
      <c r="E5943" s="925" t="s">
        <v>5875</v>
      </c>
      <c r="F5943" s="909" t="s">
        <v>51</v>
      </c>
      <c r="G5943" s="910"/>
      <c r="H5943" s="911">
        <v>1</v>
      </c>
      <c r="I5943" s="912">
        <f>VLOOKUP(E5943,[3]VLP!$B$7:$K$300,10,0)</f>
        <v>81120</v>
      </c>
      <c r="J5943" s="912">
        <f t="shared" ref="J5943:J5951" si="392">I5943*H5943</f>
        <v>81120</v>
      </c>
      <c r="K5943" s="912" t="s">
        <v>274</v>
      </c>
      <c r="L5943" s="912"/>
      <c r="M5943" s="912"/>
      <c r="N5943" s="912"/>
      <c r="O5943" s="892">
        <f t="shared" si="387"/>
        <v>0</v>
      </c>
      <c r="P5943" s="903">
        <f t="shared" si="388"/>
        <v>1</v>
      </c>
      <c r="Q5943" s="893">
        <f t="shared" si="389"/>
        <v>11</v>
      </c>
      <c r="R5943" s="894">
        <f t="shared" si="390"/>
        <v>0</v>
      </c>
    </row>
    <row r="5944" spans="1:18">
      <c r="A5944" s="905"/>
      <c r="B5944" s="906"/>
      <c r="C5944" s="907">
        <v>49</v>
      </c>
      <c r="D5944" s="907" t="s">
        <v>279</v>
      </c>
      <c r="E5944" s="925" t="s">
        <v>5698</v>
      </c>
      <c r="F5944" s="909" t="s">
        <v>139</v>
      </c>
      <c r="G5944" s="910"/>
      <c r="H5944" s="911">
        <v>2</v>
      </c>
      <c r="I5944" s="912">
        <f>VLOOKUP(E5944,[3]VLP!$B$7:$K$300,10,0)</f>
        <v>3000</v>
      </c>
      <c r="J5944" s="912">
        <f t="shared" si="392"/>
        <v>6000</v>
      </c>
      <c r="K5944" s="912" t="s">
        <v>274</v>
      </c>
      <c r="L5944" s="912"/>
      <c r="M5944" s="912"/>
      <c r="N5944" s="912"/>
      <c r="O5944" s="892">
        <f t="shared" si="387"/>
        <v>0</v>
      </c>
      <c r="P5944" s="903">
        <f t="shared" si="388"/>
        <v>1</v>
      </c>
      <c r="Q5944" s="893">
        <f t="shared" si="389"/>
        <v>10</v>
      </c>
      <c r="R5944" s="894">
        <f t="shared" si="390"/>
        <v>0</v>
      </c>
    </row>
    <row r="5945" spans="1:18">
      <c r="A5945" s="905"/>
      <c r="B5945" s="906"/>
      <c r="C5945" s="907">
        <v>50</v>
      </c>
      <c r="D5945" s="907" t="s">
        <v>279</v>
      </c>
      <c r="E5945" s="925" t="s">
        <v>5836</v>
      </c>
      <c r="F5945" s="909" t="s">
        <v>49</v>
      </c>
      <c r="G5945" s="910"/>
      <c r="H5945" s="911">
        <v>1</v>
      </c>
      <c r="I5945" s="912">
        <f>VLOOKUP(E5945,[3]VLP!$B$7:$K$300,10,0)</f>
        <v>85790</v>
      </c>
      <c r="J5945" s="912">
        <f t="shared" si="392"/>
        <v>85790</v>
      </c>
      <c r="K5945" s="912" t="s">
        <v>274</v>
      </c>
      <c r="L5945" s="912"/>
      <c r="M5945" s="912"/>
      <c r="N5945" s="912"/>
      <c r="O5945" s="892">
        <f t="shared" si="387"/>
        <v>0</v>
      </c>
      <c r="P5945" s="903">
        <f t="shared" si="388"/>
        <v>1</v>
      </c>
      <c r="Q5945" s="893">
        <f t="shared" si="389"/>
        <v>9</v>
      </c>
      <c r="R5945" s="894">
        <f t="shared" si="390"/>
        <v>0</v>
      </c>
    </row>
    <row r="5946" spans="1:18">
      <c r="A5946" s="905"/>
      <c r="B5946" s="906"/>
      <c r="C5946" s="907">
        <v>46</v>
      </c>
      <c r="D5946" s="907" t="s">
        <v>279</v>
      </c>
      <c r="E5946" s="925" t="s">
        <v>3179</v>
      </c>
      <c r="F5946" s="909" t="s">
        <v>45</v>
      </c>
      <c r="G5946" s="910"/>
      <c r="H5946" s="911">
        <v>3.84</v>
      </c>
      <c r="I5946" s="912">
        <f>VLOOKUP(E5946,[3]VLP!$B$7:$K$300,10,0)</f>
        <v>20500</v>
      </c>
      <c r="J5946" s="912">
        <f t="shared" si="392"/>
        <v>78720</v>
      </c>
      <c r="K5946" s="912" t="s">
        <v>274</v>
      </c>
      <c r="L5946" s="912"/>
      <c r="M5946" s="912"/>
      <c r="N5946" s="912"/>
      <c r="O5946" s="892">
        <f t="shared" si="387"/>
        <v>0</v>
      </c>
      <c r="P5946" s="903">
        <f t="shared" si="388"/>
        <v>1</v>
      </c>
      <c r="Q5946" s="893">
        <f t="shared" si="389"/>
        <v>8</v>
      </c>
      <c r="R5946" s="894">
        <f t="shared" si="390"/>
        <v>0</v>
      </c>
    </row>
    <row r="5947" spans="1:18">
      <c r="A5947" s="905"/>
      <c r="B5947" s="906"/>
      <c r="C5947" s="907">
        <v>25</v>
      </c>
      <c r="D5947" s="907" t="s">
        <v>279</v>
      </c>
      <c r="E5947" s="925" t="s">
        <v>5656</v>
      </c>
      <c r="F5947" s="926" t="s">
        <v>2690</v>
      </c>
      <c r="G5947" s="910"/>
      <c r="H5947" s="911">
        <v>0.72</v>
      </c>
      <c r="I5947" s="912">
        <f>VLOOKUP(E5947,[3]VLP!$B$7:$K$300,10,0)</f>
        <v>5000</v>
      </c>
      <c r="J5947" s="912">
        <f t="shared" si="392"/>
        <v>3600</v>
      </c>
      <c r="K5947" s="912" t="s">
        <v>274</v>
      </c>
      <c r="L5947" s="912"/>
      <c r="M5947" s="912"/>
      <c r="N5947" s="912"/>
      <c r="O5947" s="892">
        <f t="shared" si="387"/>
        <v>0</v>
      </c>
      <c r="P5947" s="903">
        <f t="shared" si="388"/>
        <v>1</v>
      </c>
      <c r="Q5947" s="893">
        <f t="shared" si="389"/>
        <v>7</v>
      </c>
      <c r="R5947" s="894">
        <f t="shared" si="390"/>
        <v>0</v>
      </c>
    </row>
    <row r="5948" spans="1:18">
      <c r="A5948" s="905"/>
      <c r="B5948" s="906"/>
      <c r="C5948" s="907">
        <v>127</v>
      </c>
      <c r="D5948" s="907" t="s">
        <v>279</v>
      </c>
      <c r="E5948" s="925" t="s">
        <v>5657</v>
      </c>
      <c r="F5948" s="909" t="s">
        <v>45</v>
      </c>
      <c r="G5948" s="910"/>
      <c r="H5948" s="911">
        <v>0.48</v>
      </c>
      <c r="I5948" s="912">
        <f>VLOOKUP(E5948,[3]VLP!$B$7:$K$300,10,0)</f>
        <v>25155</v>
      </c>
      <c r="J5948" s="912">
        <f t="shared" si="392"/>
        <v>12074.4</v>
      </c>
      <c r="K5948" s="912" t="s">
        <v>274</v>
      </c>
      <c r="L5948" s="912"/>
      <c r="M5948" s="912"/>
      <c r="N5948" s="912"/>
      <c r="O5948" s="892">
        <f t="shared" si="387"/>
        <v>0</v>
      </c>
      <c r="P5948" s="903">
        <f t="shared" si="388"/>
        <v>1</v>
      </c>
      <c r="Q5948" s="893">
        <f t="shared" si="389"/>
        <v>6</v>
      </c>
      <c r="R5948" s="894">
        <f t="shared" si="390"/>
        <v>0</v>
      </c>
    </row>
    <row r="5949" spans="1:18">
      <c r="A5949" s="905"/>
      <c r="B5949" s="906"/>
      <c r="C5949" s="907">
        <v>44</v>
      </c>
      <c r="D5949" s="907" t="s">
        <v>279</v>
      </c>
      <c r="E5949" s="925" t="s">
        <v>2681</v>
      </c>
      <c r="F5949" s="926" t="s">
        <v>45</v>
      </c>
      <c r="G5949" s="910"/>
      <c r="H5949" s="911">
        <v>0.6</v>
      </c>
      <c r="I5949" s="912">
        <f>VLOOKUP(E5949,[3]VLP!$B$7:$K$300,10,0)</f>
        <v>23000</v>
      </c>
      <c r="J5949" s="912">
        <f t="shared" si="392"/>
        <v>13800</v>
      </c>
      <c r="K5949" s="912" t="s">
        <v>274</v>
      </c>
      <c r="L5949" s="912"/>
      <c r="M5949" s="912"/>
      <c r="N5949" s="912"/>
      <c r="O5949" s="892">
        <f t="shared" si="387"/>
        <v>0</v>
      </c>
      <c r="P5949" s="903">
        <f t="shared" si="388"/>
        <v>1</v>
      </c>
      <c r="Q5949" s="893">
        <f t="shared" si="389"/>
        <v>5</v>
      </c>
      <c r="R5949" s="894">
        <f t="shared" si="390"/>
        <v>0</v>
      </c>
    </row>
    <row r="5950" spans="1:18">
      <c r="A5950" s="905"/>
      <c r="B5950" s="906"/>
      <c r="C5950" s="907">
        <v>66</v>
      </c>
      <c r="D5950" s="907" t="s">
        <v>279</v>
      </c>
      <c r="E5950" s="925" t="s">
        <v>2682</v>
      </c>
      <c r="F5950" s="926" t="s">
        <v>45</v>
      </c>
      <c r="G5950" s="910"/>
      <c r="H5950" s="911">
        <v>0.36</v>
      </c>
      <c r="I5950" s="912">
        <f>VLOOKUP(E5950,[3]VLP!$B$7:$K$300,10,0)</f>
        <v>5000</v>
      </c>
      <c r="J5950" s="912">
        <f t="shared" si="392"/>
        <v>1800</v>
      </c>
      <c r="K5950" s="912" t="s">
        <v>274</v>
      </c>
      <c r="L5950" s="912"/>
      <c r="M5950" s="912"/>
      <c r="N5950" s="912"/>
      <c r="O5950" s="892">
        <f t="shared" si="387"/>
        <v>0</v>
      </c>
      <c r="P5950" s="903">
        <f t="shared" si="388"/>
        <v>1</v>
      </c>
      <c r="Q5950" s="893">
        <f t="shared" si="389"/>
        <v>4</v>
      </c>
      <c r="R5950" s="894">
        <f t="shared" si="390"/>
        <v>0</v>
      </c>
    </row>
    <row r="5951" spans="1:18">
      <c r="A5951" s="905"/>
      <c r="B5951" s="906"/>
      <c r="C5951" s="907">
        <v>699</v>
      </c>
      <c r="D5951" s="907" t="s">
        <v>279</v>
      </c>
      <c r="E5951" s="925" t="s">
        <v>4006</v>
      </c>
      <c r="F5951" s="926" t="s">
        <v>4007</v>
      </c>
      <c r="G5951" s="910"/>
      <c r="H5951" s="911">
        <v>5</v>
      </c>
      <c r="I5951" s="912">
        <f>VLOOKUP(E5951,[3]VLP!$B$7:$K$300,10,0)</f>
        <v>5000</v>
      </c>
      <c r="J5951" s="912">
        <f t="shared" si="392"/>
        <v>25000</v>
      </c>
      <c r="K5951" s="912" t="s">
        <v>274</v>
      </c>
      <c r="L5951" s="912"/>
      <c r="M5951" s="912"/>
      <c r="N5951" s="912"/>
      <c r="O5951" s="892">
        <f t="shared" si="387"/>
        <v>0</v>
      </c>
      <c r="P5951" s="903">
        <f t="shared" si="388"/>
        <v>1</v>
      </c>
      <c r="Q5951" s="893">
        <f t="shared" si="389"/>
        <v>3</v>
      </c>
      <c r="R5951" s="894">
        <f t="shared" si="390"/>
        <v>0</v>
      </c>
    </row>
    <row r="5952" spans="1:18" s="904" customFormat="1">
      <c r="A5952" s="895"/>
      <c r="B5952" s="896"/>
      <c r="C5952" s="897"/>
      <c r="D5952" s="897"/>
      <c r="E5952" s="924" t="s">
        <v>276</v>
      </c>
      <c r="F5952" s="927"/>
      <c r="G5952" s="928"/>
      <c r="H5952" s="901"/>
      <c r="I5952" s="902"/>
      <c r="J5952" s="902"/>
      <c r="K5952" s="912" t="s">
        <v>274</v>
      </c>
      <c r="L5952" s="902"/>
      <c r="M5952" s="902"/>
      <c r="N5952" s="902"/>
      <c r="O5952" s="892">
        <f t="shared" si="387"/>
        <v>0</v>
      </c>
      <c r="P5952" s="903">
        <f t="shared" si="388"/>
        <v>1</v>
      </c>
      <c r="Q5952" s="893">
        <f t="shared" si="389"/>
        <v>2</v>
      </c>
      <c r="R5952" s="894">
        <f t="shared" si="390"/>
        <v>0</v>
      </c>
    </row>
    <row r="5953" spans="1:18">
      <c r="A5953" s="905"/>
      <c r="B5953" s="906"/>
      <c r="C5953" s="907">
        <v>745</v>
      </c>
      <c r="D5953" s="907" t="s">
        <v>12</v>
      </c>
      <c r="E5953" s="908" t="s">
        <v>5518</v>
      </c>
      <c r="F5953" s="909" t="s">
        <v>2674</v>
      </c>
      <c r="G5953" s="910"/>
      <c r="H5953" s="911">
        <v>5.47</v>
      </c>
      <c r="I5953" s="912"/>
      <c r="J5953" s="912"/>
      <c r="K5953" s="912">
        <f>VLOOKUP(E5953,[5]ĐMNC!$A$7:$F$67,4,0)</f>
        <v>240557</v>
      </c>
      <c r="L5953" s="912">
        <f>H5953*K5953</f>
        <v>1315846.79</v>
      </c>
      <c r="M5953" s="912"/>
      <c r="N5953" s="912"/>
      <c r="O5953" s="892">
        <f t="shared" si="387"/>
        <v>0</v>
      </c>
      <c r="P5953" s="903">
        <f t="shared" si="388"/>
        <v>1</v>
      </c>
      <c r="Q5953" s="893">
        <f t="shared" si="389"/>
        <v>1</v>
      </c>
      <c r="R5953" s="894">
        <f t="shared" si="390"/>
        <v>0</v>
      </c>
    </row>
    <row r="5954" spans="1:18" s="847" customFormat="1" ht="31.5">
      <c r="A5954" s="905" t="s">
        <v>5876</v>
      </c>
      <c r="B5954" s="914" t="s">
        <v>1597</v>
      </c>
      <c r="C5954" s="915"/>
      <c r="D5954" s="915"/>
      <c r="E5954" s="916" t="s">
        <v>5877</v>
      </c>
      <c r="F5954" s="917" t="s">
        <v>2271</v>
      </c>
      <c r="G5954" s="918"/>
      <c r="H5954" s="919"/>
      <c r="I5954" s="920"/>
      <c r="J5954" s="891">
        <f>SUM(J5955:J5960)</f>
        <v>32700</v>
      </c>
      <c r="K5954" s="891"/>
      <c r="L5954" s="891">
        <f>SUM(L5955:L5960)</f>
        <v>218906.87</v>
      </c>
      <c r="M5954" s="891"/>
      <c r="N5954" s="891">
        <f>SUM(N5955:N5960)</f>
        <v>0</v>
      </c>
      <c r="O5954" s="892">
        <f t="shared" si="387"/>
        <v>1</v>
      </c>
      <c r="P5954" s="903">
        <f t="shared" si="388"/>
        <v>0</v>
      </c>
      <c r="Q5954" s="893">
        <f t="shared" si="389"/>
        <v>0</v>
      </c>
      <c r="R5954" s="894">
        <f t="shared" si="390"/>
        <v>6</v>
      </c>
    </row>
    <row r="5955" spans="1:18" s="904" customFormat="1">
      <c r="A5955" s="895"/>
      <c r="B5955" s="922"/>
      <c r="C5955" s="897"/>
      <c r="D5955" s="897"/>
      <c r="E5955" s="898" t="s">
        <v>108</v>
      </c>
      <c r="F5955" s="899"/>
      <c r="G5955" s="928"/>
      <c r="H5955" s="901"/>
      <c r="I5955" s="902"/>
      <c r="J5955" s="902"/>
      <c r="K5955" s="912" t="s">
        <v>274</v>
      </c>
      <c r="L5955" s="902"/>
      <c r="M5955" s="902"/>
      <c r="N5955" s="902"/>
      <c r="O5955" s="892">
        <f t="shared" si="387"/>
        <v>0</v>
      </c>
      <c r="P5955" s="903">
        <f t="shared" si="388"/>
        <v>1</v>
      </c>
      <c r="Q5955" s="893">
        <f t="shared" si="389"/>
        <v>6</v>
      </c>
      <c r="R5955" s="894">
        <f t="shared" si="390"/>
        <v>0</v>
      </c>
    </row>
    <row r="5956" spans="1:18">
      <c r="A5956" s="905"/>
      <c r="B5956" s="906"/>
      <c r="C5956" s="907">
        <v>44</v>
      </c>
      <c r="D5956" s="907" t="s">
        <v>279</v>
      </c>
      <c r="E5956" s="925" t="s">
        <v>2681</v>
      </c>
      <c r="F5956" s="926" t="s">
        <v>45</v>
      </c>
      <c r="G5956" s="910"/>
      <c r="H5956" s="911">
        <v>0.3</v>
      </c>
      <c r="I5956" s="912">
        <f>VLOOKUP(E5956,[3]VLP!$B$7:$K$300,10,0)</f>
        <v>23000</v>
      </c>
      <c r="J5956" s="912">
        <f>I5956*H5956</f>
        <v>6900</v>
      </c>
      <c r="K5956" s="912" t="s">
        <v>274</v>
      </c>
      <c r="L5956" s="912"/>
      <c r="M5956" s="912"/>
      <c r="N5956" s="912"/>
      <c r="O5956" s="892">
        <f t="shared" si="387"/>
        <v>0</v>
      </c>
      <c r="P5956" s="903">
        <f t="shared" si="388"/>
        <v>1</v>
      </c>
      <c r="Q5956" s="893">
        <f t="shared" si="389"/>
        <v>5</v>
      </c>
      <c r="R5956" s="894">
        <f t="shared" si="390"/>
        <v>0</v>
      </c>
    </row>
    <row r="5957" spans="1:18">
      <c r="A5957" s="905"/>
      <c r="B5957" s="906"/>
      <c r="C5957" s="907">
        <v>66</v>
      </c>
      <c r="D5957" s="907" t="s">
        <v>279</v>
      </c>
      <c r="E5957" s="925" t="s">
        <v>2682</v>
      </c>
      <c r="F5957" s="926" t="s">
        <v>45</v>
      </c>
      <c r="G5957" s="910"/>
      <c r="H5957" s="911">
        <v>0.16</v>
      </c>
      <c r="I5957" s="912">
        <f>VLOOKUP(E5957,[3]VLP!$B$7:$K$300,10,0)</f>
        <v>5000</v>
      </c>
      <c r="J5957" s="912">
        <f>I5957*H5957</f>
        <v>800</v>
      </c>
      <c r="K5957" s="912" t="s">
        <v>274</v>
      </c>
      <c r="L5957" s="912"/>
      <c r="M5957" s="912"/>
      <c r="N5957" s="912"/>
      <c r="O5957" s="892">
        <f t="shared" si="387"/>
        <v>0</v>
      </c>
      <c r="P5957" s="903">
        <f t="shared" si="388"/>
        <v>1</v>
      </c>
      <c r="Q5957" s="893">
        <f t="shared" si="389"/>
        <v>4</v>
      </c>
      <c r="R5957" s="894">
        <f t="shared" si="390"/>
        <v>0</v>
      </c>
    </row>
    <row r="5958" spans="1:18">
      <c r="A5958" s="905"/>
      <c r="B5958" s="906"/>
      <c r="C5958" s="907">
        <v>699</v>
      </c>
      <c r="D5958" s="907" t="s">
        <v>279</v>
      </c>
      <c r="E5958" s="925" t="s">
        <v>4006</v>
      </c>
      <c r="F5958" s="926" t="s">
        <v>4007</v>
      </c>
      <c r="G5958" s="910"/>
      <c r="H5958" s="911">
        <v>5</v>
      </c>
      <c r="I5958" s="912">
        <f>VLOOKUP(E5958,[3]VLP!$B$7:$K$300,10,0)</f>
        <v>5000</v>
      </c>
      <c r="J5958" s="912">
        <f>I5958*H5958</f>
        <v>25000</v>
      </c>
      <c r="K5958" s="912" t="s">
        <v>274</v>
      </c>
      <c r="L5958" s="912"/>
      <c r="M5958" s="912"/>
      <c r="N5958" s="912"/>
      <c r="O5958" s="892">
        <f t="shared" si="387"/>
        <v>0</v>
      </c>
      <c r="P5958" s="903">
        <f t="shared" si="388"/>
        <v>1</v>
      </c>
      <c r="Q5958" s="893">
        <f t="shared" si="389"/>
        <v>3</v>
      </c>
      <c r="R5958" s="894">
        <f t="shared" si="390"/>
        <v>0</v>
      </c>
    </row>
    <row r="5959" spans="1:18" s="904" customFormat="1">
      <c r="A5959" s="895"/>
      <c r="B5959" s="896"/>
      <c r="C5959" s="897"/>
      <c r="D5959" s="897"/>
      <c r="E5959" s="924" t="s">
        <v>276</v>
      </c>
      <c r="F5959" s="927"/>
      <c r="G5959" s="928"/>
      <c r="H5959" s="901"/>
      <c r="I5959" s="902"/>
      <c r="J5959" s="902"/>
      <c r="K5959" s="912" t="s">
        <v>274</v>
      </c>
      <c r="L5959" s="902"/>
      <c r="M5959" s="902"/>
      <c r="N5959" s="902"/>
      <c r="O5959" s="892">
        <f t="shared" si="387"/>
        <v>0</v>
      </c>
      <c r="P5959" s="903">
        <f t="shared" si="388"/>
        <v>1</v>
      </c>
      <c r="Q5959" s="893">
        <f t="shared" si="389"/>
        <v>2</v>
      </c>
      <c r="R5959" s="894">
        <f t="shared" si="390"/>
        <v>0</v>
      </c>
    </row>
    <row r="5960" spans="1:18">
      <c r="A5960" s="905"/>
      <c r="B5960" s="906"/>
      <c r="C5960" s="907">
        <v>745</v>
      </c>
      <c r="D5960" s="907" t="s">
        <v>12</v>
      </c>
      <c r="E5960" s="908" t="s">
        <v>5518</v>
      </c>
      <c r="F5960" s="909" t="s">
        <v>2674</v>
      </c>
      <c r="G5960" s="910"/>
      <c r="H5960" s="911">
        <v>0.91</v>
      </c>
      <c r="I5960" s="912"/>
      <c r="J5960" s="912"/>
      <c r="K5960" s="912">
        <f>VLOOKUP(E5960,[5]ĐMNC!$A$7:$F$67,4,0)</f>
        <v>240557</v>
      </c>
      <c r="L5960" s="912">
        <f>H5960*K5960</f>
        <v>218906.87</v>
      </c>
      <c r="M5960" s="912"/>
      <c r="N5960" s="912"/>
      <c r="O5960" s="892">
        <f t="shared" si="387"/>
        <v>0</v>
      </c>
      <c r="P5960" s="903">
        <f t="shared" si="388"/>
        <v>1</v>
      </c>
      <c r="Q5960" s="893">
        <f t="shared" si="389"/>
        <v>1</v>
      </c>
      <c r="R5960" s="894">
        <f t="shared" si="390"/>
        <v>0</v>
      </c>
    </row>
    <row r="5961" spans="1:18" s="847" customFormat="1" ht="31.5">
      <c r="A5961" s="905"/>
      <c r="B5961" s="914" t="s">
        <v>1599</v>
      </c>
      <c r="C5961" s="915"/>
      <c r="D5961" s="915"/>
      <c r="E5961" s="916" t="s">
        <v>5878</v>
      </c>
      <c r="F5961" s="917" t="s">
        <v>2271</v>
      </c>
      <c r="G5961" s="918"/>
      <c r="H5961" s="919"/>
      <c r="I5961" s="920"/>
      <c r="J5961" s="891">
        <f>SUM(J5962:J5967)</f>
        <v>32700</v>
      </c>
      <c r="K5961" s="891"/>
      <c r="L5961" s="891">
        <f>SUM(L5962:L5967)</f>
        <v>242962.57</v>
      </c>
      <c r="M5961" s="891"/>
      <c r="N5961" s="891">
        <f>SUM(N5962:N5967)</f>
        <v>0</v>
      </c>
      <c r="O5961" s="892">
        <f t="shared" si="387"/>
        <v>1</v>
      </c>
      <c r="P5961" s="903">
        <f t="shared" si="388"/>
        <v>0</v>
      </c>
      <c r="Q5961" s="893">
        <f t="shared" si="389"/>
        <v>0</v>
      </c>
      <c r="R5961" s="894">
        <f t="shared" si="390"/>
        <v>6</v>
      </c>
    </row>
    <row r="5962" spans="1:18" s="904" customFormat="1">
      <c r="A5962" s="895"/>
      <c r="B5962" s="896"/>
      <c r="C5962" s="897"/>
      <c r="D5962" s="897"/>
      <c r="E5962" s="898" t="s">
        <v>108</v>
      </c>
      <c r="F5962" s="899"/>
      <c r="G5962" s="928"/>
      <c r="H5962" s="901"/>
      <c r="I5962" s="902"/>
      <c r="J5962" s="902"/>
      <c r="K5962" s="912" t="s">
        <v>274</v>
      </c>
      <c r="L5962" s="902"/>
      <c r="M5962" s="902"/>
      <c r="N5962" s="902"/>
      <c r="O5962" s="892">
        <f t="shared" si="387"/>
        <v>0</v>
      </c>
      <c r="P5962" s="903">
        <f t="shared" si="388"/>
        <v>1</v>
      </c>
      <c r="Q5962" s="893">
        <f t="shared" si="389"/>
        <v>6</v>
      </c>
      <c r="R5962" s="894">
        <f t="shared" si="390"/>
        <v>0</v>
      </c>
    </row>
    <row r="5963" spans="1:18">
      <c r="A5963" s="905"/>
      <c r="B5963" s="906"/>
      <c r="C5963" s="907">
        <v>44</v>
      </c>
      <c r="D5963" s="907" t="s">
        <v>279</v>
      </c>
      <c r="E5963" s="925" t="s">
        <v>2681</v>
      </c>
      <c r="F5963" s="926" t="s">
        <v>45</v>
      </c>
      <c r="G5963" s="910"/>
      <c r="H5963" s="911">
        <v>0.3</v>
      </c>
      <c r="I5963" s="912">
        <f>VLOOKUP(E5963,[3]VLP!$B$7:$K$300,10,0)</f>
        <v>23000</v>
      </c>
      <c r="J5963" s="912">
        <f>I5963*H5963</f>
        <v>6900</v>
      </c>
      <c r="K5963" s="912" t="s">
        <v>274</v>
      </c>
      <c r="L5963" s="912"/>
      <c r="M5963" s="912"/>
      <c r="N5963" s="912"/>
      <c r="O5963" s="892">
        <f t="shared" si="387"/>
        <v>0</v>
      </c>
      <c r="P5963" s="903">
        <f t="shared" si="388"/>
        <v>1</v>
      </c>
      <c r="Q5963" s="893">
        <f t="shared" si="389"/>
        <v>5</v>
      </c>
      <c r="R5963" s="894">
        <f t="shared" si="390"/>
        <v>0</v>
      </c>
    </row>
    <row r="5964" spans="1:18">
      <c r="A5964" s="905"/>
      <c r="B5964" s="906"/>
      <c r="C5964" s="907">
        <v>66</v>
      </c>
      <c r="D5964" s="907" t="s">
        <v>279</v>
      </c>
      <c r="E5964" s="925" t="s">
        <v>2682</v>
      </c>
      <c r="F5964" s="926" t="s">
        <v>45</v>
      </c>
      <c r="G5964" s="910"/>
      <c r="H5964" s="911">
        <v>0.16</v>
      </c>
      <c r="I5964" s="912">
        <f>VLOOKUP(E5964,[3]VLP!$B$7:$K$300,10,0)</f>
        <v>5000</v>
      </c>
      <c r="J5964" s="912">
        <f>I5964*H5964</f>
        <v>800</v>
      </c>
      <c r="K5964" s="912" t="s">
        <v>274</v>
      </c>
      <c r="L5964" s="912"/>
      <c r="M5964" s="912"/>
      <c r="N5964" s="912"/>
      <c r="O5964" s="892">
        <f t="shared" si="387"/>
        <v>0</v>
      </c>
      <c r="P5964" s="903">
        <f t="shared" si="388"/>
        <v>1</v>
      </c>
      <c r="Q5964" s="893">
        <f t="shared" si="389"/>
        <v>4</v>
      </c>
      <c r="R5964" s="894">
        <f t="shared" si="390"/>
        <v>0</v>
      </c>
    </row>
    <row r="5965" spans="1:18">
      <c r="A5965" s="905"/>
      <c r="B5965" s="906"/>
      <c r="C5965" s="907">
        <v>699</v>
      </c>
      <c r="D5965" s="907" t="s">
        <v>279</v>
      </c>
      <c r="E5965" s="925" t="s">
        <v>4006</v>
      </c>
      <c r="F5965" s="926" t="s">
        <v>4007</v>
      </c>
      <c r="G5965" s="910"/>
      <c r="H5965" s="911">
        <v>5</v>
      </c>
      <c r="I5965" s="912">
        <f>VLOOKUP(E5965,[3]VLP!$B$7:$K$300,10,0)</f>
        <v>5000</v>
      </c>
      <c r="J5965" s="912">
        <f>I5965*H5965</f>
        <v>25000</v>
      </c>
      <c r="K5965" s="912" t="s">
        <v>274</v>
      </c>
      <c r="L5965" s="912"/>
      <c r="M5965" s="912"/>
      <c r="N5965" s="912"/>
      <c r="O5965" s="892">
        <f t="shared" si="387"/>
        <v>0</v>
      </c>
      <c r="P5965" s="903">
        <f t="shared" si="388"/>
        <v>1</v>
      </c>
      <c r="Q5965" s="893">
        <f t="shared" si="389"/>
        <v>3</v>
      </c>
      <c r="R5965" s="894">
        <f t="shared" si="390"/>
        <v>0</v>
      </c>
    </row>
    <row r="5966" spans="1:18" s="904" customFormat="1">
      <c r="A5966" s="895"/>
      <c r="B5966" s="896"/>
      <c r="C5966" s="897"/>
      <c r="D5966" s="897"/>
      <c r="E5966" s="924" t="s">
        <v>276</v>
      </c>
      <c r="F5966" s="927"/>
      <c r="G5966" s="928"/>
      <c r="H5966" s="901"/>
      <c r="I5966" s="902"/>
      <c r="J5966" s="902"/>
      <c r="K5966" s="912" t="s">
        <v>274</v>
      </c>
      <c r="L5966" s="902"/>
      <c r="M5966" s="902"/>
      <c r="N5966" s="902"/>
      <c r="O5966" s="892">
        <f t="shared" si="387"/>
        <v>0</v>
      </c>
      <c r="P5966" s="903">
        <f t="shared" si="388"/>
        <v>1</v>
      </c>
      <c r="Q5966" s="893">
        <f t="shared" si="389"/>
        <v>2</v>
      </c>
      <c r="R5966" s="894">
        <f t="shared" si="390"/>
        <v>0</v>
      </c>
    </row>
    <row r="5967" spans="1:18">
      <c r="A5967" s="905"/>
      <c r="B5967" s="906"/>
      <c r="C5967" s="907">
        <v>745</v>
      </c>
      <c r="D5967" s="907" t="s">
        <v>12</v>
      </c>
      <c r="E5967" s="908" t="s">
        <v>5518</v>
      </c>
      <c r="F5967" s="909" t="s">
        <v>2674</v>
      </c>
      <c r="G5967" s="910"/>
      <c r="H5967" s="911">
        <v>1.01</v>
      </c>
      <c r="I5967" s="912"/>
      <c r="J5967" s="912"/>
      <c r="K5967" s="912">
        <f>VLOOKUP(E5967,[5]ĐMNC!$A$7:$F$67,4,0)</f>
        <v>240557</v>
      </c>
      <c r="L5967" s="912">
        <f>H5967*K5967</f>
        <v>242962.57</v>
      </c>
      <c r="M5967" s="912"/>
      <c r="N5967" s="912"/>
      <c r="O5967" s="892">
        <f t="shared" si="387"/>
        <v>0</v>
      </c>
      <c r="P5967" s="903">
        <f t="shared" si="388"/>
        <v>1</v>
      </c>
      <c r="Q5967" s="893">
        <f t="shared" si="389"/>
        <v>1</v>
      </c>
      <c r="R5967" s="894">
        <f t="shared" si="390"/>
        <v>0</v>
      </c>
    </row>
    <row r="5968" spans="1:18" s="847" customFormat="1" ht="31.5">
      <c r="A5968" s="905"/>
      <c r="B5968" s="914" t="s">
        <v>1601</v>
      </c>
      <c r="C5968" s="915"/>
      <c r="D5968" s="915"/>
      <c r="E5968" s="916" t="s">
        <v>5879</v>
      </c>
      <c r="F5968" s="917" t="s">
        <v>2271</v>
      </c>
      <c r="G5968" s="918"/>
      <c r="H5968" s="919"/>
      <c r="I5968" s="920"/>
      <c r="J5968" s="891">
        <f>SUM(J5969:J5974)</f>
        <v>35200</v>
      </c>
      <c r="K5968" s="891"/>
      <c r="L5968" s="891">
        <f>SUM(L5969:L5974)</f>
        <v>269423.84000000003</v>
      </c>
      <c r="M5968" s="891"/>
      <c r="N5968" s="891">
        <f>SUM(N5969:N5974)</f>
        <v>0</v>
      </c>
      <c r="O5968" s="892">
        <f t="shared" si="387"/>
        <v>1</v>
      </c>
      <c r="P5968" s="903">
        <f t="shared" si="388"/>
        <v>0</v>
      </c>
      <c r="Q5968" s="893">
        <f t="shared" si="389"/>
        <v>0</v>
      </c>
      <c r="R5968" s="894">
        <f t="shared" si="390"/>
        <v>6</v>
      </c>
    </row>
    <row r="5969" spans="1:18" s="904" customFormat="1">
      <c r="A5969" s="895"/>
      <c r="B5969" s="896"/>
      <c r="C5969" s="897"/>
      <c r="D5969" s="897"/>
      <c r="E5969" s="898" t="s">
        <v>108</v>
      </c>
      <c r="F5969" s="899"/>
      <c r="G5969" s="928"/>
      <c r="H5969" s="901"/>
      <c r="I5969" s="902"/>
      <c r="J5969" s="902"/>
      <c r="K5969" s="912" t="s">
        <v>274</v>
      </c>
      <c r="L5969" s="902"/>
      <c r="M5969" s="902"/>
      <c r="N5969" s="902"/>
      <c r="O5969" s="892">
        <f t="shared" si="387"/>
        <v>0</v>
      </c>
      <c r="P5969" s="903">
        <f t="shared" si="388"/>
        <v>1</v>
      </c>
      <c r="Q5969" s="893">
        <f t="shared" si="389"/>
        <v>6</v>
      </c>
      <c r="R5969" s="894">
        <f t="shared" si="390"/>
        <v>0</v>
      </c>
    </row>
    <row r="5970" spans="1:18">
      <c r="A5970" s="905"/>
      <c r="B5970" s="906"/>
      <c r="C5970" s="907">
        <v>44</v>
      </c>
      <c r="D5970" s="907" t="s">
        <v>279</v>
      </c>
      <c r="E5970" s="925" t="s">
        <v>2681</v>
      </c>
      <c r="F5970" s="926" t="s">
        <v>45</v>
      </c>
      <c r="G5970" s="910"/>
      <c r="H5970" s="911">
        <v>0.4</v>
      </c>
      <c r="I5970" s="912">
        <f>VLOOKUP(E5970,[3]VLP!$B$7:$K$300,10,0)</f>
        <v>23000</v>
      </c>
      <c r="J5970" s="912">
        <f>I5970*H5970</f>
        <v>9200</v>
      </c>
      <c r="K5970" s="912" t="s">
        <v>274</v>
      </c>
      <c r="L5970" s="912"/>
      <c r="M5970" s="912"/>
      <c r="N5970" s="912"/>
      <c r="O5970" s="892">
        <f t="shared" si="387"/>
        <v>0</v>
      </c>
      <c r="P5970" s="903">
        <f t="shared" si="388"/>
        <v>1</v>
      </c>
      <c r="Q5970" s="893">
        <f t="shared" si="389"/>
        <v>5</v>
      </c>
      <c r="R5970" s="894">
        <f t="shared" si="390"/>
        <v>0</v>
      </c>
    </row>
    <row r="5971" spans="1:18">
      <c r="A5971" s="905"/>
      <c r="B5971" s="906"/>
      <c r="C5971" s="907">
        <v>66</v>
      </c>
      <c r="D5971" s="907" t="s">
        <v>279</v>
      </c>
      <c r="E5971" s="925" t="s">
        <v>2682</v>
      </c>
      <c r="F5971" s="926" t="s">
        <v>45</v>
      </c>
      <c r="G5971" s="910"/>
      <c r="H5971" s="911">
        <v>0.2</v>
      </c>
      <c r="I5971" s="912">
        <f>VLOOKUP(E5971,[3]VLP!$B$7:$K$300,10,0)</f>
        <v>5000</v>
      </c>
      <c r="J5971" s="912">
        <f>I5971*H5971</f>
        <v>1000</v>
      </c>
      <c r="K5971" s="912" t="s">
        <v>274</v>
      </c>
      <c r="L5971" s="912"/>
      <c r="M5971" s="912"/>
      <c r="N5971" s="912"/>
      <c r="O5971" s="892">
        <f t="shared" si="387"/>
        <v>0</v>
      </c>
      <c r="P5971" s="903">
        <f t="shared" si="388"/>
        <v>1</v>
      </c>
      <c r="Q5971" s="893">
        <f t="shared" si="389"/>
        <v>4</v>
      </c>
      <c r="R5971" s="894">
        <f t="shared" si="390"/>
        <v>0</v>
      </c>
    </row>
    <row r="5972" spans="1:18">
      <c r="A5972" s="905"/>
      <c r="B5972" s="906"/>
      <c r="C5972" s="907">
        <v>699</v>
      </c>
      <c r="D5972" s="907" t="s">
        <v>279</v>
      </c>
      <c r="E5972" s="925" t="s">
        <v>4006</v>
      </c>
      <c r="F5972" s="926" t="s">
        <v>4007</v>
      </c>
      <c r="G5972" s="910"/>
      <c r="H5972" s="911">
        <v>5</v>
      </c>
      <c r="I5972" s="912">
        <f>VLOOKUP(E5972,[3]VLP!$B$7:$K$300,10,0)</f>
        <v>5000</v>
      </c>
      <c r="J5972" s="912">
        <f>I5972*H5972</f>
        <v>25000</v>
      </c>
      <c r="K5972" s="912" t="s">
        <v>274</v>
      </c>
      <c r="L5972" s="912"/>
      <c r="M5972" s="912"/>
      <c r="N5972" s="912"/>
      <c r="O5972" s="892">
        <f t="shared" si="387"/>
        <v>0</v>
      </c>
      <c r="P5972" s="903">
        <f t="shared" si="388"/>
        <v>1</v>
      </c>
      <c r="Q5972" s="893">
        <f t="shared" si="389"/>
        <v>3</v>
      </c>
      <c r="R5972" s="894">
        <f t="shared" si="390"/>
        <v>0</v>
      </c>
    </row>
    <row r="5973" spans="1:18" s="904" customFormat="1">
      <c r="A5973" s="895"/>
      <c r="B5973" s="896"/>
      <c r="C5973" s="897"/>
      <c r="D5973" s="897"/>
      <c r="E5973" s="924" t="s">
        <v>276</v>
      </c>
      <c r="F5973" s="927"/>
      <c r="G5973" s="928"/>
      <c r="H5973" s="901"/>
      <c r="I5973" s="902"/>
      <c r="J5973" s="902"/>
      <c r="K5973" s="912" t="s">
        <v>274</v>
      </c>
      <c r="L5973" s="902"/>
      <c r="M5973" s="902"/>
      <c r="N5973" s="902"/>
      <c r="O5973" s="892">
        <f t="shared" si="387"/>
        <v>0</v>
      </c>
      <c r="P5973" s="903">
        <f t="shared" si="388"/>
        <v>1</v>
      </c>
      <c r="Q5973" s="893">
        <f t="shared" si="389"/>
        <v>2</v>
      </c>
      <c r="R5973" s="894">
        <f t="shared" si="390"/>
        <v>0</v>
      </c>
    </row>
    <row r="5974" spans="1:18">
      <c r="A5974" s="905"/>
      <c r="B5974" s="906"/>
      <c r="C5974" s="907">
        <v>745</v>
      </c>
      <c r="D5974" s="907" t="s">
        <v>12</v>
      </c>
      <c r="E5974" s="908" t="s">
        <v>5518</v>
      </c>
      <c r="F5974" s="909" t="s">
        <v>2674</v>
      </c>
      <c r="G5974" s="910"/>
      <c r="H5974" s="911">
        <v>1.1200000000000001</v>
      </c>
      <c r="I5974" s="912"/>
      <c r="J5974" s="912"/>
      <c r="K5974" s="912">
        <f>VLOOKUP(E5974,[5]ĐMNC!$A$7:$F$67,4,0)</f>
        <v>240557</v>
      </c>
      <c r="L5974" s="912">
        <f>H5974*K5974</f>
        <v>269423.84000000003</v>
      </c>
      <c r="M5974" s="912"/>
      <c r="N5974" s="912"/>
      <c r="O5974" s="892">
        <f t="shared" si="387"/>
        <v>0</v>
      </c>
      <c r="P5974" s="903">
        <f t="shared" si="388"/>
        <v>1</v>
      </c>
      <c r="Q5974" s="893">
        <f t="shared" si="389"/>
        <v>1</v>
      </c>
      <c r="R5974" s="894">
        <f t="shared" si="390"/>
        <v>0</v>
      </c>
    </row>
    <row r="5975" spans="1:18" s="847" customFormat="1" ht="31.5">
      <c r="A5975" s="905"/>
      <c r="B5975" s="914" t="s">
        <v>1603</v>
      </c>
      <c r="C5975" s="915"/>
      <c r="D5975" s="915"/>
      <c r="E5975" s="916" t="s">
        <v>5880</v>
      </c>
      <c r="F5975" s="917" t="s">
        <v>2271</v>
      </c>
      <c r="G5975" s="918"/>
      <c r="H5975" s="919"/>
      <c r="I5975" s="920"/>
      <c r="J5975" s="891">
        <f>SUM(J5976:J5981)</f>
        <v>35200</v>
      </c>
      <c r="K5975" s="891"/>
      <c r="L5975" s="891">
        <f>SUM(L5976:L5981)</f>
        <v>315129.67000000004</v>
      </c>
      <c r="M5975" s="891"/>
      <c r="N5975" s="891">
        <f>SUM(N5976:N5981)</f>
        <v>0</v>
      </c>
      <c r="O5975" s="892">
        <f t="shared" si="387"/>
        <v>1</v>
      </c>
      <c r="P5975" s="903">
        <f t="shared" si="388"/>
        <v>0</v>
      </c>
      <c r="Q5975" s="893">
        <f t="shared" si="389"/>
        <v>0</v>
      </c>
      <c r="R5975" s="894">
        <f t="shared" si="390"/>
        <v>6</v>
      </c>
    </row>
    <row r="5976" spans="1:18" s="904" customFormat="1">
      <c r="A5976" s="895"/>
      <c r="B5976" s="896"/>
      <c r="C5976" s="897"/>
      <c r="D5976" s="897"/>
      <c r="E5976" s="898" t="s">
        <v>108</v>
      </c>
      <c r="F5976" s="899"/>
      <c r="G5976" s="928"/>
      <c r="H5976" s="901"/>
      <c r="I5976" s="902"/>
      <c r="J5976" s="902"/>
      <c r="K5976" s="912" t="s">
        <v>274</v>
      </c>
      <c r="L5976" s="902"/>
      <c r="M5976" s="902"/>
      <c r="N5976" s="902"/>
      <c r="O5976" s="892">
        <f t="shared" si="387"/>
        <v>0</v>
      </c>
      <c r="P5976" s="903">
        <f t="shared" si="388"/>
        <v>1</v>
      </c>
      <c r="Q5976" s="893">
        <f t="shared" si="389"/>
        <v>6</v>
      </c>
      <c r="R5976" s="894">
        <f t="shared" si="390"/>
        <v>0</v>
      </c>
    </row>
    <row r="5977" spans="1:18">
      <c r="A5977" s="905"/>
      <c r="B5977" s="906"/>
      <c r="C5977" s="907">
        <v>44</v>
      </c>
      <c r="D5977" s="907" t="s">
        <v>279</v>
      </c>
      <c r="E5977" s="925" t="s">
        <v>2681</v>
      </c>
      <c r="F5977" s="926" t="s">
        <v>45</v>
      </c>
      <c r="G5977" s="910"/>
      <c r="H5977" s="911">
        <v>0.4</v>
      </c>
      <c r="I5977" s="912">
        <f>VLOOKUP(E5977,[3]VLP!$B$7:$K$300,10,0)</f>
        <v>23000</v>
      </c>
      <c r="J5977" s="912">
        <f>I5977*H5977</f>
        <v>9200</v>
      </c>
      <c r="K5977" s="912" t="s">
        <v>274</v>
      </c>
      <c r="L5977" s="912"/>
      <c r="M5977" s="912"/>
      <c r="N5977" s="912"/>
      <c r="O5977" s="892">
        <f t="shared" si="387"/>
        <v>0</v>
      </c>
      <c r="P5977" s="903">
        <f t="shared" si="388"/>
        <v>1</v>
      </c>
      <c r="Q5977" s="893">
        <f t="shared" si="389"/>
        <v>5</v>
      </c>
      <c r="R5977" s="894">
        <f t="shared" si="390"/>
        <v>0</v>
      </c>
    </row>
    <row r="5978" spans="1:18">
      <c r="A5978" s="905"/>
      <c r="B5978" s="906"/>
      <c r="C5978" s="907">
        <v>66</v>
      </c>
      <c r="D5978" s="907" t="s">
        <v>279</v>
      </c>
      <c r="E5978" s="925" t="s">
        <v>2682</v>
      </c>
      <c r="F5978" s="926" t="s">
        <v>45</v>
      </c>
      <c r="G5978" s="910"/>
      <c r="H5978" s="911">
        <v>0.2</v>
      </c>
      <c r="I5978" s="912">
        <f>VLOOKUP(E5978,[3]VLP!$B$7:$K$300,10,0)</f>
        <v>5000</v>
      </c>
      <c r="J5978" s="912">
        <f>I5978*H5978</f>
        <v>1000</v>
      </c>
      <c r="K5978" s="912" t="s">
        <v>274</v>
      </c>
      <c r="L5978" s="912"/>
      <c r="M5978" s="912"/>
      <c r="N5978" s="912"/>
      <c r="O5978" s="892">
        <f t="shared" si="387"/>
        <v>0</v>
      </c>
      <c r="P5978" s="903">
        <f t="shared" si="388"/>
        <v>1</v>
      </c>
      <c r="Q5978" s="893">
        <f t="shared" si="389"/>
        <v>4</v>
      </c>
      <c r="R5978" s="894">
        <f t="shared" si="390"/>
        <v>0</v>
      </c>
    </row>
    <row r="5979" spans="1:18">
      <c r="A5979" s="905"/>
      <c r="B5979" s="906"/>
      <c r="C5979" s="907">
        <v>699</v>
      </c>
      <c r="D5979" s="907" t="s">
        <v>279</v>
      </c>
      <c r="E5979" s="925" t="s">
        <v>4006</v>
      </c>
      <c r="F5979" s="926" t="s">
        <v>4007</v>
      </c>
      <c r="G5979" s="910"/>
      <c r="H5979" s="911">
        <v>5</v>
      </c>
      <c r="I5979" s="912">
        <f>VLOOKUP(E5979,[3]VLP!$B$7:$K$300,10,0)</f>
        <v>5000</v>
      </c>
      <c r="J5979" s="912">
        <f>I5979*H5979</f>
        <v>25000</v>
      </c>
      <c r="K5979" s="912" t="s">
        <v>274</v>
      </c>
      <c r="L5979" s="912"/>
      <c r="M5979" s="912"/>
      <c r="N5979" s="912"/>
      <c r="O5979" s="892">
        <f t="shared" si="387"/>
        <v>0</v>
      </c>
      <c r="P5979" s="903">
        <f t="shared" si="388"/>
        <v>1</v>
      </c>
      <c r="Q5979" s="893">
        <f t="shared" si="389"/>
        <v>3</v>
      </c>
      <c r="R5979" s="894">
        <f t="shared" si="390"/>
        <v>0</v>
      </c>
    </row>
    <row r="5980" spans="1:18" s="904" customFormat="1">
      <c r="A5980" s="895"/>
      <c r="B5980" s="896"/>
      <c r="C5980" s="897"/>
      <c r="D5980" s="897"/>
      <c r="E5980" s="924" t="s">
        <v>276</v>
      </c>
      <c r="F5980" s="927"/>
      <c r="G5980" s="928"/>
      <c r="H5980" s="901"/>
      <c r="I5980" s="902"/>
      <c r="J5980" s="902"/>
      <c r="K5980" s="912" t="s">
        <v>274</v>
      </c>
      <c r="L5980" s="902"/>
      <c r="M5980" s="902"/>
      <c r="N5980" s="902"/>
      <c r="O5980" s="892">
        <f t="shared" si="387"/>
        <v>0</v>
      </c>
      <c r="P5980" s="903">
        <f t="shared" si="388"/>
        <v>1</v>
      </c>
      <c r="Q5980" s="893">
        <f t="shared" si="389"/>
        <v>2</v>
      </c>
      <c r="R5980" s="894">
        <f t="shared" si="390"/>
        <v>0</v>
      </c>
    </row>
    <row r="5981" spans="1:18">
      <c r="A5981" s="905"/>
      <c r="B5981" s="906"/>
      <c r="C5981" s="907">
        <v>745</v>
      </c>
      <c r="D5981" s="907" t="s">
        <v>12</v>
      </c>
      <c r="E5981" s="908" t="s">
        <v>5518</v>
      </c>
      <c r="F5981" s="909" t="s">
        <v>2674</v>
      </c>
      <c r="G5981" s="910"/>
      <c r="H5981" s="911">
        <v>1.31</v>
      </c>
      <c r="I5981" s="912"/>
      <c r="J5981" s="912"/>
      <c r="K5981" s="912">
        <f>VLOOKUP(E5981,[5]ĐMNC!$A$7:$F$67,4,0)</f>
        <v>240557</v>
      </c>
      <c r="L5981" s="912">
        <f>H5981*K5981</f>
        <v>315129.67000000004</v>
      </c>
      <c r="M5981" s="912"/>
      <c r="N5981" s="912"/>
      <c r="O5981" s="892">
        <f t="shared" si="387"/>
        <v>0</v>
      </c>
      <c r="P5981" s="903">
        <f t="shared" si="388"/>
        <v>1</v>
      </c>
      <c r="Q5981" s="893">
        <f t="shared" si="389"/>
        <v>1</v>
      </c>
      <c r="R5981" s="894">
        <f t="shared" si="390"/>
        <v>0</v>
      </c>
    </row>
    <row r="5982" spans="1:18" s="847" customFormat="1" ht="31.5">
      <c r="A5982" s="905" t="s">
        <v>5881</v>
      </c>
      <c r="B5982" s="914" t="s">
        <v>1605</v>
      </c>
      <c r="C5982" s="915"/>
      <c r="D5982" s="915"/>
      <c r="E5982" s="916" t="s">
        <v>5882</v>
      </c>
      <c r="F5982" s="917" t="s">
        <v>2271</v>
      </c>
      <c r="G5982" s="918"/>
      <c r="H5982" s="919"/>
      <c r="I5982" s="920"/>
      <c r="J5982" s="891">
        <f>SUM(J5983:J5988)</f>
        <v>37700</v>
      </c>
      <c r="K5982" s="891"/>
      <c r="L5982" s="891">
        <f>SUM(L5983:L5988)</f>
        <v>334374.23</v>
      </c>
      <c r="M5982" s="891"/>
      <c r="N5982" s="891">
        <f>SUM(N5983:N5988)</f>
        <v>0</v>
      </c>
      <c r="O5982" s="892">
        <f t="shared" si="387"/>
        <v>1</v>
      </c>
      <c r="P5982" s="903">
        <f t="shared" si="388"/>
        <v>0</v>
      </c>
      <c r="Q5982" s="893">
        <f t="shared" si="389"/>
        <v>0</v>
      </c>
      <c r="R5982" s="894">
        <f t="shared" si="390"/>
        <v>6</v>
      </c>
    </row>
    <row r="5983" spans="1:18" s="904" customFormat="1">
      <c r="A5983" s="895"/>
      <c r="B5983" s="896"/>
      <c r="C5983" s="897"/>
      <c r="D5983" s="897"/>
      <c r="E5983" s="898" t="s">
        <v>108</v>
      </c>
      <c r="F5983" s="899"/>
      <c r="G5983" s="928"/>
      <c r="H5983" s="901"/>
      <c r="I5983" s="902"/>
      <c r="J5983" s="902"/>
      <c r="K5983" s="912" t="s">
        <v>274</v>
      </c>
      <c r="L5983" s="902"/>
      <c r="M5983" s="902"/>
      <c r="N5983" s="902"/>
      <c r="O5983" s="892">
        <f t="shared" ref="O5983:O6046" si="393">IF(AND(B5983&lt;&gt;"",D5983=""),1,0)</f>
        <v>0</v>
      </c>
      <c r="P5983" s="903">
        <f t="shared" si="388"/>
        <v>1</v>
      </c>
      <c r="Q5983" s="893">
        <f t="shared" si="389"/>
        <v>6</v>
      </c>
      <c r="R5983" s="894">
        <f t="shared" si="390"/>
        <v>0</v>
      </c>
    </row>
    <row r="5984" spans="1:18">
      <c r="A5984" s="905"/>
      <c r="B5984" s="906"/>
      <c r="C5984" s="907">
        <v>44</v>
      </c>
      <c r="D5984" s="907" t="s">
        <v>279</v>
      </c>
      <c r="E5984" s="925" t="s">
        <v>2681</v>
      </c>
      <c r="F5984" s="926" t="s">
        <v>45</v>
      </c>
      <c r="G5984" s="910"/>
      <c r="H5984" s="911">
        <v>0.5</v>
      </c>
      <c r="I5984" s="912">
        <f>VLOOKUP(E5984,[3]VLP!$B$7:$K$300,10,0)</f>
        <v>23000</v>
      </c>
      <c r="J5984" s="912">
        <f>I5984*H5984</f>
        <v>11500</v>
      </c>
      <c r="K5984" s="912" t="s">
        <v>274</v>
      </c>
      <c r="L5984" s="912"/>
      <c r="M5984" s="912"/>
      <c r="N5984" s="912"/>
      <c r="O5984" s="892">
        <f t="shared" si="393"/>
        <v>0</v>
      </c>
      <c r="P5984" s="903">
        <f t="shared" si="388"/>
        <v>1</v>
      </c>
      <c r="Q5984" s="893">
        <f t="shared" si="389"/>
        <v>5</v>
      </c>
      <c r="R5984" s="894">
        <f t="shared" si="390"/>
        <v>0</v>
      </c>
    </row>
    <row r="5985" spans="1:18">
      <c r="A5985" s="905"/>
      <c r="B5985" s="906"/>
      <c r="C5985" s="907">
        <v>66</v>
      </c>
      <c r="D5985" s="907" t="s">
        <v>279</v>
      </c>
      <c r="E5985" s="925" t="s">
        <v>2682</v>
      </c>
      <c r="F5985" s="926" t="s">
        <v>45</v>
      </c>
      <c r="G5985" s="910"/>
      <c r="H5985" s="911">
        <v>0.24</v>
      </c>
      <c r="I5985" s="912">
        <f>VLOOKUP(E5985,[3]VLP!$B$7:$K$300,10,0)</f>
        <v>5000</v>
      </c>
      <c r="J5985" s="912">
        <f>I5985*H5985</f>
        <v>1200</v>
      </c>
      <c r="K5985" s="912" t="s">
        <v>274</v>
      </c>
      <c r="L5985" s="912"/>
      <c r="M5985" s="912"/>
      <c r="N5985" s="912"/>
      <c r="O5985" s="892">
        <f t="shared" si="393"/>
        <v>0</v>
      </c>
      <c r="P5985" s="903">
        <f t="shared" si="388"/>
        <v>1</v>
      </c>
      <c r="Q5985" s="893">
        <f t="shared" si="389"/>
        <v>4</v>
      </c>
      <c r="R5985" s="894">
        <f t="shared" si="390"/>
        <v>0</v>
      </c>
    </row>
    <row r="5986" spans="1:18">
      <c r="A5986" s="905"/>
      <c r="B5986" s="906"/>
      <c r="C5986" s="907">
        <v>699</v>
      </c>
      <c r="D5986" s="907" t="s">
        <v>279</v>
      </c>
      <c r="E5986" s="925" t="s">
        <v>4006</v>
      </c>
      <c r="F5986" s="926" t="s">
        <v>4007</v>
      </c>
      <c r="G5986" s="910"/>
      <c r="H5986" s="911">
        <v>5</v>
      </c>
      <c r="I5986" s="912">
        <f>VLOOKUP(E5986,[3]VLP!$B$7:$K$300,10,0)</f>
        <v>5000</v>
      </c>
      <c r="J5986" s="912">
        <f>I5986*H5986</f>
        <v>25000</v>
      </c>
      <c r="K5986" s="912" t="s">
        <v>274</v>
      </c>
      <c r="L5986" s="912"/>
      <c r="M5986" s="912"/>
      <c r="N5986" s="912"/>
      <c r="O5986" s="892">
        <f t="shared" si="393"/>
        <v>0</v>
      </c>
      <c r="P5986" s="903">
        <f t="shared" si="388"/>
        <v>1</v>
      </c>
      <c r="Q5986" s="893">
        <f t="shared" si="389"/>
        <v>3</v>
      </c>
      <c r="R5986" s="894">
        <f t="shared" si="390"/>
        <v>0</v>
      </c>
    </row>
    <row r="5987" spans="1:18" s="904" customFormat="1">
      <c r="A5987" s="895"/>
      <c r="B5987" s="896"/>
      <c r="C5987" s="897"/>
      <c r="D5987" s="897"/>
      <c r="E5987" s="924" t="s">
        <v>276</v>
      </c>
      <c r="F5987" s="927"/>
      <c r="G5987" s="928"/>
      <c r="H5987" s="901"/>
      <c r="I5987" s="902"/>
      <c r="J5987" s="902"/>
      <c r="K5987" s="912" t="s">
        <v>274</v>
      </c>
      <c r="L5987" s="902"/>
      <c r="M5987" s="902"/>
      <c r="N5987" s="902"/>
      <c r="O5987" s="892">
        <f t="shared" si="393"/>
        <v>0</v>
      </c>
      <c r="P5987" s="903">
        <f t="shared" si="388"/>
        <v>1</v>
      </c>
      <c r="Q5987" s="893">
        <f t="shared" si="389"/>
        <v>2</v>
      </c>
      <c r="R5987" s="894">
        <f t="shared" si="390"/>
        <v>0</v>
      </c>
    </row>
    <row r="5988" spans="1:18">
      <c r="A5988" s="905"/>
      <c r="B5988" s="906"/>
      <c r="C5988" s="907">
        <v>745</v>
      </c>
      <c r="D5988" s="907" t="s">
        <v>12</v>
      </c>
      <c r="E5988" s="908" t="s">
        <v>5518</v>
      </c>
      <c r="F5988" s="909" t="s">
        <v>2674</v>
      </c>
      <c r="G5988" s="910"/>
      <c r="H5988" s="911">
        <v>1.39</v>
      </c>
      <c r="I5988" s="912"/>
      <c r="J5988" s="912"/>
      <c r="K5988" s="912">
        <f>VLOOKUP(E5988,[5]ĐMNC!$A$7:$F$67,4,0)</f>
        <v>240557</v>
      </c>
      <c r="L5988" s="912">
        <f>H5988*K5988</f>
        <v>334374.23</v>
      </c>
      <c r="M5988" s="912"/>
      <c r="N5988" s="912"/>
      <c r="O5988" s="892">
        <f t="shared" si="393"/>
        <v>0</v>
      </c>
      <c r="P5988" s="903">
        <f t="shared" si="388"/>
        <v>1</v>
      </c>
      <c r="Q5988" s="893">
        <f t="shared" si="389"/>
        <v>1</v>
      </c>
      <c r="R5988" s="894">
        <f t="shared" si="390"/>
        <v>0</v>
      </c>
    </row>
    <row r="5989" spans="1:18" s="847" customFormat="1" ht="31.5">
      <c r="A5989" s="905"/>
      <c r="B5989" s="914" t="s">
        <v>1607</v>
      </c>
      <c r="C5989" s="915"/>
      <c r="D5989" s="915"/>
      <c r="E5989" s="916" t="s">
        <v>5883</v>
      </c>
      <c r="F5989" s="917" t="s">
        <v>2271</v>
      </c>
      <c r="G5989" s="918"/>
      <c r="H5989" s="919"/>
      <c r="I5989" s="920"/>
      <c r="J5989" s="891">
        <f>SUM(J5990:J5995)</f>
        <v>37700</v>
      </c>
      <c r="K5989" s="891"/>
      <c r="L5989" s="891">
        <f>SUM(L5990:L5995)</f>
        <v>435408.17000000004</v>
      </c>
      <c r="M5989" s="891"/>
      <c r="N5989" s="891">
        <f>SUM(N5990:N5995)</f>
        <v>0</v>
      </c>
      <c r="O5989" s="892">
        <f t="shared" si="393"/>
        <v>1</v>
      </c>
      <c r="P5989" s="903">
        <f t="shared" si="388"/>
        <v>0</v>
      </c>
      <c r="Q5989" s="893">
        <f t="shared" si="389"/>
        <v>0</v>
      </c>
      <c r="R5989" s="894">
        <f t="shared" si="390"/>
        <v>6</v>
      </c>
    </row>
    <row r="5990" spans="1:18" s="904" customFormat="1">
      <c r="A5990" s="895"/>
      <c r="B5990" s="896"/>
      <c r="C5990" s="897"/>
      <c r="D5990" s="897"/>
      <c r="E5990" s="898" t="s">
        <v>108</v>
      </c>
      <c r="F5990" s="899"/>
      <c r="G5990" s="928"/>
      <c r="H5990" s="901"/>
      <c r="I5990" s="902"/>
      <c r="J5990" s="902"/>
      <c r="K5990" s="912" t="s">
        <v>274</v>
      </c>
      <c r="L5990" s="902"/>
      <c r="M5990" s="902"/>
      <c r="N5990" s="902"/>
      <c r="O5990" s="892">
        <f t="shared" si="393"/>
        <v>0</v>
      </c>
      <c r="P5990" s="903">
        <f t="shared" si="388"/>
        <v>1</v>
      </c>
      <c r="Q5990" s="893">
        <f t="shared" si="389"/>
        <v>6</v>
      </c>
      <c r="R5990" s="894">
        <f t="shared" si="390"/>
        <v>0</v>
      </c>
    </row>
    <row r="5991" spans="1:18">
      <c r="A5991" s="905"/>
      <c r="B5991" s="906"/>
      <c r="C5991" s="907">
        <v>44</v>
      </c>
      <c r="D5991" s="907" t="s">
        <v>279</v>
      </c>
      <c r="E5991" s="925" t="s">
        <v>2681</v>
      </c>
      <c r="F5991" s="926" t="s">
        <v>45</v>
      </c>
      <c r="G5991" s="910"/>
      <c r="H5991" s="911">
        <v>0.5</v>
      </c>
      <c r="I5991" s="912">
        <f>VLOOKUP(E5991,[3]VLP!$B$7:$K$300,10,0)</f>
        <v>23000</v>
      </c>
      <c r="J5991" s="912">
        <f>I5991*H5991</f>
        <v>11500</v>
      </c>
      <c r="K5991" s="912" t="s">
        <v>274</v>
      </c>
      <c r="L5991" s="912"/>
      <c r="M5991" s="912"/>
      <c r="N5991" s="912"/>
      <c r="O5991" s="892">
        <f t="shared" si="393"/>
        <v>0</v>
      </c>
      <c r="P5991" s="903">
        <f t="shared" si="388"/>
        <v>1</v>
      </c>
      <c r="Q5991" s="893">
        <f t="shared" si="389"/>
        <v>5</v>
      </c>
      <c r="R5991" s="894">
        <f t="shared" si="390"/>
        <v>0</v>
      </c>
    </row>
    <row r="5992" spans="1:18">
      <c r="A5992" s="905"/>
      <c r="B5992" s="906"/>
      <c r="C5992" s="907">
        <v>66</v>
      </c>
      <c r="D5992" s="907" t="s">
        <v>279</v>
      </c>
      <c r="E5992" s="925" t="s">
        <v>2682</v>
      </c>
      <c r="F5992" s="926" t="s">
        <v>45</v>
      </c>
      <c r="G5992" s="910"/>
      <c r="H5992" s="911">
        <v>0.24</v>
      </c>
      <c r="I5992" s="912">
        <f>VLOOKUP(E5992,[3]VLP!$B$7:$K$300,10,0)</f>
        <v>5000</v>
      </c>
      <c r="J5992" s="912">
        <f>I5992*H5992</f>
        <v>1200</v>
      </c>
      <c r="K5992" s="912" t="s">
        <v>274</v>
      </c>
      <c r="L5992" s="912"/>
      <c r="M5992" s="912"/>
      <c r="N5992" s="912"/>
      <c r="O5992" s="892">
        <f t="shared" si="393"/>
        <v>0</v>
      </c>
      <c r="P5992" s="903">
        <f t="shared" ref="P5992:P6055" si="394">IF(O5992=0,1,0)</f>
        <v>1</v>
      </c>
      <c r="Q5992" s="893">
        <f t="shared" ref="Q5992:Q6055" si="395">IF(P5992=0,0,P5992+Q5993)</f>
        <v>4</v>
      </c>
      <c r="R5992" s="894">
        <f t="shared" ref="R5992:R6055" si="396">IF(Q5992=0,Q5993,0)</f>
        <v>0</v>
      </c>
    </row>
    <row r="5993" spans="1:18">
      <c r="A5993" s="905"/>
      <c r="B5993" s="906"/>
      <c r="C5993" s="907">
        <v>699</v>
      </c>
      <c r="D5993" s="907" t="s">
        <v>279</v>
      </c>
      <c r="E5993" s="925" t="s">
        <v>4006</v>
      </c>
      <c r="F5993" s="926" t="s">
        <v>4007</v>
      </c>
      <c r="G5993" s="910"/>
      <c r="H5993" s="911">
        <v>5</v>
      </c>
      <c r="I5993" s="912">
        <f>VLOOKUP(E5993,[3]VLP!$B$7:$K$300,10,0)</f>
        <v>5000</v>
      </c>
      <c r="J5993" s="912">
        <f>I5993*H5993</f>
        <v>25000</v>
      </c>
      <c r="K5993" s="912" t="s">
        <v>274</v>
      </c>
      <c r="L5993" s="912"/>
      <c r="M5993" s="912"/>
      <c r="N5993" s="912"/>
      <c r="O5993" s="892">
        <f t="shared" si="393"/>
        <v>0</v>
      </c>
      <c r="P5993" s="903">
        <f t="shared" si="394"/>
        <v>1</v>
      </c>
      <c r="Q5993" s="893">
        <f t="shared" si="395"/>
        <v>3</v>
      </c>
      <c r="R5993" s="894">
        <f t="shared" si="396"/>
        <v>0</v>
      </c>
    </row>
    <row r="5994" spans="1:18" s="904" customFormat="1">
      <c r="A5994" s="895"/>
      <c r="B5994" s="896"/>
      <c r="C5994" s="897"/>
      <c r="D5994" s="897"/>
      <c r="E5994" s="924" t="s">
        <v>276</v>
      </c>
      <c r="F5994" s="927"/>
      <c r="G5994" s="928"/>
      <c r="H5994" s="901"/>
      <c r="I5994" s="902"/>
      <c r="J5994" s="902"/>
      <c r="K5994" s="912" t="s">
        <v>274</v>
      </c>
      <c r="L5994" s="902"/>
      <c r="M5994" s="902"/>
      <c r="N5994" s="902"/>
      <c r="O5994" s="892">
        <f t="shared" si="393"/>
        <v>0</v>
      </c>
      <c r="P5994" s="903">
        <f t="shared" si="394"/>
        <v>1</v>
      </c>
      <c r="Q5994" s="893">
        <f t="shared" si="395"/>
        <v>2</v>
      </c>
      <c r="R5994" s="894">
        <f t="shared" si="396"/>
        <v>0</v>
      </c>
    </row>
    <row r="5995" spans="1:18">
      <c r="A5995" s="905"/>
      <c r="B5995" s="906"/>
      <c r="C5995" s="907">
        <v>745</v>
      </c>
      <c r="D5995" s="907" t="s">
        <v>12</v>
      </c>
      <c r="E5995" s="908" t="s">
        <v>5518</v>
      </c>
      <c r="F5995" s="909" t="s">
        <v>2674</v>
      </c>
      <c r="G5995" s="910"/>
      <c r="H5995" s="911">
        <v>1.81</v>
      </c>
      <c r="I5995" s="912"/>
      <c r="J5995" s="912"/>
      <c r="K5995" s="912">
        <f>VLOOKUP(E5995,[5]ĐMNC!$A$7:$F$67,4,0)</f>
        <v>240557</v>
      </c>
      <c r="L5995" s="912">
        <f>H5995*K5995</f>
        <v>435408.17000000004</v>
      </c>
      <c r="M5995" s="912"/>
      <c r="N5995" s="912"/>
      <c r="O5995" s="892">
        <f t="shared" si="393"/>
        <v>0</v>
      </c>
      <c r="P5995" s="903">
        <f t="shared" si="394"/>
        <v>1</v>
      </c>
      <c r="Q5995" s="893">
        <f t="shared" si="395"/>
        <v>1</v>
      </c>
      <c r="R5995" s="894">
        <f t="shared" si="396"/>
        <v>0</v>
      </c>
    </row>
    <row r="5996" spans="1:18" s="847" customFormat="1" ht="31.5">
      <c r="A5996" s="905"/>
      <c r="B5996" s="914" t="s">
        <v>1609</v>
      </c>
      <c r="C5996" s="915"/>
      <c r="D5996" s="915"/>
      <c r="E5996" s="916" t="s">
        <v>5884</v>
      </c>
      <c r="F5996" s="917" t="s">
        <v>2271</v>
      </c>
      <c r="G5996" s="918"/>
      <c r="H5996" s="919"/>
      <c r="I5996" s="920"/>
      <c r="J5996" s="891">
        <f>SUM(J5997:J6002)</f>
        <v>40250</v>
      </c>
      <c r="K5996" s="891"/>
      <c r="L5996" s="891">
        <f>SUM(L5997:L6002)</f>
        <v>522008.69</v>
      </c>
      <c r="M5996" s="891"/>
      <c r="N5996" s="891">
        <f>SUM(N5997:N6002)</f>
        <v>0</v>
      </c>
      <c r="O5996" s="892">
        <f t="shared" si="393"/>
        <v>1</v>
      </c>
      <c r="P5996" s="903">
        <f t="shared" si="394"/>
        <v>0</v>
      </c>
      <c r="Q5996" s="893">
        <f t="shared" si="395"/>
        <v>0</v>
      </c>
      <c r="R5996" s="894">
        <f t="shared" si="396"/>
        <v>6</v>
      </c>
    </row>
    <row r="5997" spans="1:18" s="904" customFormat="1">
      <c r="A5997" s="895"/>
      <c r="B5997" s="896"/>
      <c r="C5997" s="897"/>
      <c r="D5997" s="897"/>
      <c r="E5997" s="898" t="s">
        <v>108</v>
      </c>
      <c r="F5997" s="899"/>
      <c r="G5997" s="928"/>
      <c r="H5997" s="901"/>
      <c r="I5997" s="902"/>
      <c r="J5997" s="902"/>
      <c r="K5997" s="912" t="s">
        <v>274</v>
      </c>
      <c r="L5997" s="902"/>
      <c r="M5997" s="902"/>
      <c r="N5997" s="902"/>
      <c r="O5997" s="892">
        <f t="shared" si="393"/>
        <v>0</v>
      </c>
      <c r="P5997" s="903">
        <f t="shared" si="394"/>
        <v>1</v>
      </c>
      <c r="Q5997" s="893">
        <f t="shared" si="395"/>
        <v>6</v>
      </c>
      <c r="R5997" s="894">
        <f t="shared" si="396"/>
        <v>0</v>
      </c>
    </row>
    <row r="5998" spans="1:18">
      <c r="A5998" s="905"/>
      <c r="B5998" s="906"/>
      <c r="C5998" s="907">
        <v>44</v>
      </c>
      <c r="D5998" s="907" t="s">
        <v>279</v>
      </c>
      <c r="E5998" s="925" t="s">
        <v>2681</v>
      </c>
      <c r="F5998" s="926" t="s">
        <v>45</v>
      </c>
      <c r="G5998" s="910"/>
      <c r="H5998" s="911">
        <v>0.6</v>
      </c>
      <c r="I5998" s="912">
        <f>VLOOKUP(E5998,[3]VLP!$B$7:$K$300,10,0)</f>
        <v>23000</v>
      </c>
      <c r="J5998" s="912">
        <f>I5998*H5998</f>
        <v>13800</v>
      </c>
      <c r="K5998" s="912" t="s">
        <v>274</v>
      </c>
      <c r="L5998" s="912"/>
      <c r="M5998" s="912"/>
      <c r="N5998" s="912"/>
      <c r="O5998" s="892">
        <f t="shared" si="393"/>
        <v>0</v>
      </c>
      <c r="P5998" s="903">
        <f t="shared" si="394"/>
        <v>1</v>
      </c>
      <c r="Q5998" s="893">
        <f t="shared" si="395"/>
        <v>5</v>
      </c>
      <c r="R5998" s="894">
        <f t="shared" si="396"/>
        <v>0</v>
      </c>
    </row>
    <row r="5999" spans="1:18">
      <c r="A5999" s="905"/>
      <c r="B5999" s="906"/>
      <c r="C5999" s="907">
        <v>66</v>
      </c>
      <c r="D5999" s="907" t="s">
        <v>279</v>
      </c>
      <c r="E5999" s="925" t="s">
        <v>2682</v>
      </c>
      <c r="F5999" s="926" t="s">
        <v>45</v>
      </c>
      <c r="G5999" s="910"/>
      <c r="H5999" s="911">
        <v>0.28999999999999998</v>
      </c>
      <c r="I5999" s="912">
        <f>VLOOKUP(E5999,[3]VLP!$B$7:$K$300,10,0)</f>
        <v>5000</v>
      </c>
      <c r="J5999" s="912">
        <f>I5999*H5999</f>
        <v>1450</v>
      </c>
      <c r="K5999" s="912" t="s">
        <v>274</v>
      </c>
      <c r="L5999" s="912"/>
      <c r="M5999" s="912"/>
      <c r="N5999" s="912"/>
      <c r="O5999" s="892">
        <f t="shared" si="393"/>
        <v>0</v>
      </c>
      <c r="P5999" s="903">
        <f t="shared" si="394"/>
        <v>1</v>
      </c>
      <c r="Q5999" s="893">
        <f t="shared" si="395"/>
        <v>4</v>
      </c>
      <c r="R5999" s="894">
        <f t="shared" si="396"/>
        <v>0</v>
      </c>
    </row>
    <row r="6000" spans="1:18">
      <c r="A6000" s="905"/>
      <c r="B6000" s="906"/>
      <c r="C6000" s="907">
        <v>699</v>
      </c>
      <c r="D6000" s="907" t="s">
        <v>279</v>
      </c>
      <c r="E6000" s="925" t="s">
        <v>4006</v>
      </c>
      <c r="F6000" s="926" t="s">
        <v>4007</v>
      </c>
      <c r="G6000" s="910"/>
      <c r="H6000" s="911">
        <v>5</v>
      </c>
      <c r="I6000" s="912">
        <f>VLOOKUP(E6000,[3]VLP!$B$7:$K$300,10,0)</f>
        <v>5000</v>
      </c>
      <c r="J6000" s="912">
        <f>I6000*H6000</f>
        <v>25000</v>
      </c>
      <c r="K6000" s="912" t="s">
        <v>274</v>
      </c>
      <c r="L6000" s="912"/>
      <c r="M6000" s="912"/>
      <c r="N6000" s="912"/>
      <c r="O6000" s="892">
        <f t="shared" si="393"/>
        <v>0</v>
      </c>
      <c r="P6000" s="903">
        <f t="shared" si="394"/>
        <v>1</v>
      </c>
      <c r="Q6000" s="893">
        <f t="shared" si="395"/>
        <v>3</v>
      </c>
      <c r="R6000" s="894">
        <f t="shared" si="396"/>
        <v>0</v>
      </c>
    </row>
    <row r="6001" spans="1:18" s="904" customFormat="1">
      <c r="A6001" s="895"/>
      <c r="B6001" s="896"/>
      <c r="C6001" s="897"/>
      <c r="D6001" s="897"/>
      <c r="E6001" s="924" t="s">
        <v>276</v>
      </c>
      <c r="F6001" s="927"/>
      <c r="G6001" s="928"/>
      <c r="H6001" s="901"/>
      <c r="I6001" s="902"/>
      <c r="J6001" s="902"/>
      <c r="K6001" s="912" t="s">
        <v>274</v>
      </c>
      <c r="L6001" s="902"/>
      <c r="M6001" s="902"/>
      <c r="N6001" s="902"/>
      <c r="O6001" s="892">
        <f t="shared" si="393"/>
        <v>0</v>
      </c>
      <c r="P6001" s="903">
        <f t="shared" si="394"/>
        <v>1</v>
      </c>
      <c r="Q6001" s="893">
        <f t="shared" si="395"/>
        <v>2</v>
      </c>
      <c r="R6001" s="894">
        <f t="shared" si="396"/>
        <v>0</v>
      </c>
    </row>
    <row r="6002" spans="1:18">
      <c r="A6002" s="905"/>
      <c r="B6002" s="906"/>
      <c r="C6002" s="907">
        <v>745</v>
      </c>
      <c r="D6002" s="907" t="s">
        <v>12</v>
      </c>
      <c r="E6002" s="908" t="s">
        <v>5518</v>
      </c>
      <c r="F6002" s="909" t="s">
        <v>2674</v>
      </c>
      <c r="G6002" s="910"/>
      <c r="H6002" s="911">
        <v>2.17</v>
      </c>
      <c r="I6002" s="912"/>
      <c r="J6002" s="912"/>
      <c r="K6002" s="912">
        <f>VLOOKUP(E6002,[5]ĐMNC!$A$7:$F$67,4,0)</f>
        <v>240557</v>
      </c>
      <c r="L6002" s="912">
        <f>H6002*K6002</f>
        <v>522008.69</v>
      </c>
      <c r="M6002" s="912"/>
      <c r="N6002" s="912"/>
      <c r="O6002" s="892">
        <f t="shared" si="393"/>
        <v>0</v>
      </c>
      <c r="P6002" s="903">
        <f t="shared" si="394"/>
        <v>1</v>
      </c>
      <c r="Q6002" s="893">
        <f t="shared" si="395"/>
        <v>1</v>
      </c>
      <c r="R6002" s="894">
        <f t="shared" si="396"/>
        <v>0</v>
      </c>
    </row>
    <row r="6003" spans="1:18" s="847" customFormat="1" ht="31.5">
      <c r="A6003" s="905" t="s">
        <v>5876</v>
      </c>
      <c r="B6003" s="914" t="s">
        <v>5885</v>
      </c>
      <c r="C6003" s="915"/>
      <c r="D6003" s="915"/>
      <c r="E6003" s="916" t="s">
        <v>5886</v>
      </c>
      <c r="F6003" s="917" t="s">
        <v>2271</v>
      </c>
      <c r="G6003" s="918"/>
      <c r="H6003" s="919"/>
      <c r="I6003" s="920"/>
      <c r="J6003" s="891">
        <f>SUM(J6004:J6009)</f>
        <v>32700</v>
      </c>
      <c r="K6003" s="891"/>
      <c r="L6003" s="891">
        <f>SUM(L6004:L6009)</f>
        <v>343996.51</v>
      </c>
      <c r="M6003" s="891"/>
      <c r="N6003" s="891">
        <f>SUM(N6004:N6009)</f>
        <v>0</v>
      </c>
      <c r="O6003" s="892">
        <f t="shared" si="393"/>
        <v>1</v>
      </c>
      <c r="P6003" s="903">
        <f t="shared" si="394"/>
        <v>0</v>
      </c>
      <c r="Q6003" s="893">
        <f t="shared" si="395"/>
        <v>0</v>
      </c>
      <c r="R6003" s="894">
        <f t="shared" si="396"/>
        <v>6</v>
      </c>
    </row>
    <row r="6004" spans="1:18" s="904" customFormat="1">
      <c r="A6004" s="895"/>
      <c r="B6004" s="896"/>
      <c r="C6004" s="897"/>
      <c r="D6004" s="897"/>
      <c r="E6004" s="898" t="s">
        <v>108</v>
      </c>
      <c r="F6004" s="899"/>
      <c r="G6004" s="928"/>
      <c r="H6004" s="901"/>
      <c r="I6004" s="902"/>
      <c r="J6004" s="902"/>
      <c r="K6004" s="912" t="s">
        <v>274</v>
      </c>
      <c r="L6004" s="902"/>
      <c r="M6004" s="902"/>
      <c r="N6004" s="902"/>
      <c r="O6004" s="892">
        <f t="shared" si="393"/>
        <v>0</v>
      </c>
      <c r="P6004" s="903">
        <f t="shared" si="394"/>
        <v>1</v>
      </c>
      <c r="Q6004" s="893">
        <f t="shared" si="395"/>
        <v>6</v>
      </c>
      <c r="R6004" s="894">
        <f t="shared" si="396"/>
        <v>0</v>
      </c>
    </row>
    <row r="6005" spans="1:18">
      <c r="A6005" s="905"/>
      <c r="B6005" s="906"/>
      <c r="C6005" s="907">
        <v>44</v>
      </c>
      <c r="D6005" s="907" t="s">
        <v>279</v>
      </c>
      <c r="E6005" s="925" t="s">
        <v>2681</v>
      </c>
      <c r="F6005" s="926" t="s">
        <v>45</v>
      </c>
      <c r="G6005" s="910"/>
      <c r="H6005" s="911">
        <v>0.3</v>
      </c>
      <c r="I6005" s="912">
        <f>VLOOKUP(E6005,[3]VLP!$B$7:$K$300,10,0)</f>
        <v>23000</v>
      </c>
      <c r="J6005" s="912">
        <f>I6005*H6005</f>
        <v>6900</v>
      </c>
      <c r="K6005" s="912" t="s">
        <v>274</v>
      </c>
      <c r="L6005" s="912"/>
      <c r="M6005" s="912"/>
      <c r="N6005" s="912"/>
      <c r="O6005" s="892">
        <f t="shared" si="393"/>
        <v>0</v>
      </c>
      <c r="P6005" s="903">
        <f t="shared" si="394"/>
        <v>1</v>
      </c>
      <c r="Q6005" s="893">
        <f t="shared" si="395"/>
        <v>5</v>
      </c>
      <c r="R6005" s="894">
        <f t="shared" si="396"/>
        <v>0</v>
      </c>
    </row>
    <row r="6006" spans="1:18">
      <c r="A6006" s="905"/>
      <c r="B6006" s="906"/>
      <c r="C6006" s="907">
        <v>66</v>
      </c>
      <c r="D6006" s="907" t="s">
        <v>279</v>
      </c>
      <c r="E6006" s="925" t="s">
        <v>2682</v>
      </c>
      <c r="F6006" s="926" t="s">
        <v>45</v>
      </c>
      <c r="G6006" s="910"/>
      <c r="H6006" s="911">
        <v>0.16</v>
      </c>
      <c r="I6006" s="912">
        <f>VLOOKUP(E6006,[3]VLP!$B$7:$K$300,10,0)</f>
        <v>5000</v>
      </c>
      <c r="J6006" s="912">
        <f>I6006*H6006</f>
        <v>800</v>
      </c>
      <c r="K6006" s="912" t="s">
        <v>274</v>
      </c>
      <c r="L6006" s="912"/>
      <c r="M6006" s="912"/>
      <c r="N6006" s="912"/>
      <c r="O6006" s="892">
        <f t="shared" si="393"/>
        <v>0</v>
      </c>
      <c r="P6006" s="903">
        <f t="shared" si="394"/>
        <v>1</v>
      </c>
      <c r="Q6006" s="893">
        <f t="shared" si="395"/>
        <v>4</v>
      </c>
      <c r="R6006" s="894">
        <f t="shared" si="396"/>
        <v>0</v>
      </c>
    </row>
    <row r="6007" spans="1:18">
      <c r="A6007" s="905"/>
      <c r="B6007" s="906"/>
      <c r="C6007" s="907">
        <v>699</v>
      </c>
      <c r="D6007" s="907" t="s">
        <v>279</v>
      </c>
      <c r="E6007" s="925" t="s">
        <v>4006</v>
      </c>
      <c r="F6007" s="926" t="s">
        <v>4007</v>
      </c>
      <c r="G6007" s="910"/>
      <c r="H6007" s="911">
        <v>5</v>
      </c>
      <c r="I6007" s="912">
        <f>VLOOKUP(E6007,[3]VLP!$B$7:$K$300,10,0)</f>
        <v>5000</v>
      </c>
      <c r="J6007" s="912">
        <f>I6007*H6007</f>
        <v>25000</v>
      </c>
      <c r="K6007" s="912" t="s">
        <v>274</v>
      </c>
      <c r="L6007" s="912"/>
      <c r="M6007" s="912"/>
      <c r="N6007" s="912"/>
      <c r="O6007" s="892">
        <f t="shared" si="393"/>
        <v>0</v>
      </c>
      <c r="P6007" s="903">
        <f t="shared" si="394"/>
        <v>1</v>
      </c>
      <c r="Q6007" s="893">
        <f t="shared" si="395"/>
        <v>3</v>
      </c>
      <c r="R6007" s="894">
        <f t="shared" si="396"/>
        <v>0</v>
      </c>
    </row>
    <row r="6008" spans="1:18" s="904" customFormat="1">
      <c r="A6008" s="895"/>
      <c r="B6008" s="896"/>
      <c r="C6008" s="897"/>
      <c r="D6008" s="897"/>
      <c r="E6008" s="924" t="s">
        <v>276</v>
      </c>
      <c r="F6008" s="927"/>
      <c r="G6008" s="928"/>
      <c r="H6008" s="901"/>
      <c r="I6008" s="902"/>
      <c r="J6008" s="902"/>
      <c r="K6008" s="912" t="s">
        <v>274</v>
      </c>
      <c r="L6008" s="902"/>
      <c r="M6008" s="902"/>
      <c r="N6008" s="902"/>
      <c r="O6008" s="892">
        <f t="shared" si="393"/>
        <v>0</v>
      </c>
      <c r="P6008" s="903">
        <f t="shared" si="394"/>
        <v>1</v>
      </c>
      <c r="Q6008" s="893">
        <f t="shared" si="395"/>
        <v>2</v>
      </c>
      <c r="R6008" s="894">
        <f t="shared" si="396"/>
        <v>0</v>
      </c>
    </row>
    <row r="6009" spans="1:18">
      <c r="A6009" s="905"/>
      <c r="B6009" s="906"/>
      <c r="C6009" s="907">
        <v>745</v>
      </c>
      <c r="D6009" s="907" t="s">
        <v>12</v>
      </c>
      <c r="E6009" s="908" t="s">
        <v>5518</v>
      </c>
      <c r="F6009" s="909" t="s">
        <v>2674</v>
      </c>
      <c r="G6009" s="910"/>
      <c r="H6009" s="911">
        <v>1.43</v>
      </c>
      <c r="I6009" s="912"/>
      <c r="J6009" s="912"/>
      <c r="K6009" s="912">
        <f>VLOOKUP(E6009,[5]ĐMNC!$A$7:$F$67,4,0)</f>
        <v>240557</v>
      </c>
      <c r="L6009" s="912">
        <f>H6009*K6009</f>
        <v>343996.51</v>
      </c>
      <c r="M6009" s="912"/>
      <c r="N6009" s="912"/>
      <c r="O6009" s="892">
        <f t="shared" si="393"/>
        <v>0</v>
      </c>
      <c r="P6009" s="903">
        <f t="shared" si="394"/>
        <v>1</v>
      </c>
      <c r="Q6009" s="893">
        <f t="shared" si="395"/>
        <v>1</v>
      </c>
      <c r="R6009" s="894">
        <f t="shared" si="396"/>
        <v>0</v>
      </c>
    </row>
    <row r="6010" spans="1:18" s="847" customFormat="1" ht="31.5">
      <c r="A6010" s="905"/>
      <c r="B6010" s="914" t="s">
        <v>5887</v>
      </c>
      <c r="C6010" s="915"/>
      <c r="D6010" s="915"/>
      <c r="E6010" s="916" t="s">
        <v>5888</v>
      </c>
      <c r="F6010" s="917" t="s">
        <v>2271</v>
      </c>
      <c r="G6010" s="918"/>
      <c r="H6010" s="919"/>
      <c r="I6010" s="920"/>
      <c r="J6010" s="891">
        <f>SUM(J6011:J6016)</f>
        <v>32700</v>
      </c>
      <c r="K6010" s="891"/>
      <c r="L6010" s="891">
        <f>SUM(L6011:L6016)</f>
        <v>380080.06</v>
      </c>
      <c r="M6010" s="891"/>
      <c r="N6010" s="891">
        <f>SUM(N6011:N6016)</f>
        <v>0</v>
      </c>
      <c r="O6010" s="892">
        <f t="shared" si="393"/>
        <v>1</v>
      </c>
      <c r="P6010" s="903">
        <f t="shared" si="394"/>
        <v>0</v>
      </c>
      <c r="Q6010" s="893">
        <f t="shared" si="395"/>
        <v>0</v>
      </c>
      <c r="R6010" s="894">
        <f t="shared" si="396"/>
        <v>6</v>
      </c>
    </row>
    <row r="6011" spans="1:18" s="904" customFormat="1">
      <c r="A6011" s="895"/>
      <c r="B6011" s="896"/>
      <c r="C6011" s="897"/>
      <c r="D6011" s="897"/>
      <c r="E6011" s="898" t="s">
        <v>108</v>
      </c>
      <c r="F6011" s="899"/>
      <c r="G6011" s="928"/>
      <c r="H6011" s="901"/>
      <c r="I6011" s="902"/>
      <c r="J6011" s="902"/>
      <c r="K6011" s="912" t="s">
        <v>274</v>
      </c>
      <c r="L6011" s="902"/>
      <c r="M6011" s="902"/>
      <c r="N6011" s="902"/>
      <c r="O6011" s="892">
        <f t="shared" si="393"/>
        <v>0</v>
      </c>
      <c r="P6011" s="903">
        <f t="shared" si="394"/>
        <v>1</v>
      </c>
      <c r="Q6011" s="893">
        <f t="shared" si="395"/>
        <v>6</v>
      </c>
      <c r="R6011" s="894">
        <f t="shared" si="396"/>
        <v>0</v>
      </c>
    </row>
    <row r="6012" spans="1:18">
      <c r="A6012" s="905"/>
      <c r="B6012" s="906"/>
      <c r="C6012" s="907">
        <v>44</v>
      </c>
      <c r="D6012" s="907" t="s">
        <v>279</v>
      </c>
      <c r="E6012" s="925" t="s">
        <v>2681</v>
      </c>
      <c r="F6012" s="926" t="s">
        <v>45</v>
      </c>
      <c r="G6012" s="910"/>
      <c r="H6012" s="911">
        <v>0.3</v>
      </c>
      <c r="I6012" s="912">
        <f>VLOOKUP(E6012,[3]VLP!$B$7:$K$300,10,0)</f>
        <v>23000</v>
      </c>
      <c r="J6012" s="912">
        <f>I6012*H6012</f>
        <v>6900</v>
      </c>
      <c r="K6012" s="912" t="s">
        <v>274</v>
      </c>
      <c r="L6012" s="912"/>
      <c r="M6012" s="912"/>
      <c r="N6012" s="912"/>
      <c r="O6012" s="892">
        <f t="shared" si="393"/>
        <v>0</v>
      </c>
      <c r="P6012" s="903">
        <f t="shared" si="394"/>
        <v>1</v>
      </c>
      <c r="Q6012" s="893">
        <f t="shared" si="395"/>
        <v>5</v>
      </c>
      <c r="R6012" s="894">
        <f t="shared" si="396"/>
        <v>0</v>
      </c>
    </row>
    <row r="6013" spans="1:18">
      <c r="A6013" s="905"/>
      <c r="B6013" s="906"/>
      <c r="C6013" s="907">
        <v>66</v>
      </c>
      <c r="D6013" s="907" t="s">
        <v>279</v>
      </c>
      <c r="E6013" s="925" t="s">
        <v>2682</v>
      </c>
      <c r="F6013" s="926" t="s">
        <v>45</v>
      </c>
      <c r="G6013" s="910"/>
      <c r="H6013" s="911">
        <v>0.16</v>
      </c>
      <c r="I6013" s="912">
        <f>VLOOKUP(E6013,[3]VLP!$B$7:$K$300,10,0)</f>
        <v>5000</v>
      </c>
      <c r="J6013" s="912">
        <f>I6013*H6013</f>
        <v>800</v>
      </c>
      <c r="K6013" s="912" t="s">
        <v>274</v>
      </c>
      <c r="L6013" s="912"/>
      <c r="M6013" s="912"/>
      <c r="N6013" s="912"/>
      <c r="O6013" s="892">
        <f t="shared" si="393"/>
        <v>0</v>
      </c>
      <c r="P6013" s="903">
        <f t="shared" si="394"/>
        <v>1</v>
      </c>
      <c r="Q6013" s="893">
        <f t="shared" si="395"/>
        <v>4</v>
      </c>
      <c r="R6013" s="894">
        <f t="shared" si="396"/>
        <v>0</v>
      </c>
    </row>
    <row r="6014" spans="1:18">
      <c r="A6014" s="905"/>
      <c r="B6014" s="906"/>
      <c r="C6014" s="907">
        <v>699</v>
      </c>
      <c r="D6014" s="907" t="s">
        <v>279</v>
      </c>
      <c r="E6014" s="925" t="s">
        <v>4006</v>
      </c>
      <c r="F6014" s="926" t="s">
        <v>4007</v>
      </c>
      <c r="G6014" s="910"/>
      <c r="H6014" s="911">
        <v>5</v>
      </c>
      <c r="I6014" s="912">
        <f>VLOOKUP(E6014,[3]VLP!$B$7:$K$300,10,0)</f>
        <v>5000</v>
      </c>
      <c r="J6014" s="912">
        <f>I6014*H6014</f>
        <v>25000</v>
      </c>
      <c r="K6014" s="912" t="s">
        <v>274</v>
      </c>
      <c r="L6014" s="912"/>
      <c r="M6014" s="912"/>
      <c r="N6014" s="912"/>
      <c r="O6014" s="892">
        <f t="shared" si="393"/>
        <v>0</v>
      </c>
      <c r="P6014" s="903">
        <f t="shared" si="394"/>
        <v>1</v>
      </c>
      <c r="Q6014" s="893">
        <f t="shared" si="395"/>
        <v>3</v>
      </c>
      <c r="R6014" s="894">
        <f t="shared" si="396"/>
        <v>0</v>
      </c>
    </row>
    <row r="6015" spans="1:18" s="904" customFormat="1">
      <c r="A6015" s="895"/>
      <c r="B6015" s="896"/>
      <c r="C6015" s="897"/>
      <c r="D6015" s="897"/>
      <c r="E6015" s="924" t="s">
        <v>276</v>
      </c>
      <c r="F6015" s="927"/>
      <c r="G6015" s="928"/>
      <c r="H6015" s="901"/>
      <c r="I6015" s="902"/>
      <c r="J6015" s="902"/>
      <c r="K6015" s="912" t="s">
        <v>274</v>
      </c>
      <c r="L6015" s="902"/>
      <c r="M6015" s="902"/>
      <c r="N6015" s="902"/>
      <c r="O6015" s="892">
        <f t="shared" si="393"/>
        <v>0</v>
      </c>
      <c r="P6015" s="903">
        <f t="shared" si="394"/>
        <v>1</v>
      </c>
      <c r="Q6015" s="893">
        <f t="shared" si="395"/>
        <v>2</v>
      </c>
      <c r="R6015" s="894">
        <f t="shared" si="396"/>
        <v>0</v>
      </c>
    </row>
    <row r="6016" spans="1:18">
      <c r="A6016" s="905"/>
      <c r="B6016" s="906"/>
      <c r="C6016" s="907">
        <v>745</v>
      </c>
      <c r="D6016" s="907" t="s">
        <v>12</v>
      </c>
      <c r="E6016" s="908" t="s">
        <v>5518</v>
      </c>
      <c r="F6016" s="909" t="s">
        <v>2674</v>
      </c>
      <c r="G6016" s="910"/>
      <c r="H6016" s="911">
        <v>1.58</v>
      </c>
      <c r="I6016" s="912"/>
      <c r="J6016" s="912"/>
      <c r="K6016" s="912">
        <f>VLOOKUP(E6016,[5]ĐMNC!$A$7:$F$67,4,0)</f>
        <v>240557</v>
      </c>
      <c r="L6016" s="912">
        <f>H6016*K6016</f>
        <v>380080.06</v>
      </c>
      <c r="M6016" s="912"/>
      <c r="N6016" s="912"/>
      <c r="O6016" s="892">
        <f t="shared" si="393"/>
        <v>0</v>
      </c>
      <c r="P6016" s="903">
        <f t="shared" si="394"/>
        <v>1</v>
      </c>
      <c r="Q6016" s="893">
        <f t="shared" si="395"/>
        <v>1</v>
      </c>
      <c r="R6016" s="894">
        <f t="shared" si="396"/>
        <v>0</v>
      </c>
    </row>
    <row r="6017" spans="1:18" s="847" customFormat="1" ht="31.5">
      <c r="A6017" s="905"/>
      <c r="B6017" s="914" t="s">
        <v>5889</v>
      </c>
      <c r="C6017" s="915"/>
      <c r="D6017" s="915"/>
      <c r="E6017" s="916" t="s">
        <v>5890</v>
      </c>
      <c r="F6017" s="917" t="s">
        <v>2271</v>
      </c>
      <c r="G6017" s="918"/>
      <c r="H6017" s="919"/>
      <c r="I6017" s="920"/>
      <c r="J6017" s="891">
        <f>SUM(J6018:J6023)</f>
        <v>35200</v>
      </c>
      <c r="K6017" s="891"/>
      <c r="L6017" s="891">
        <f>SUM(L6018:L6023)</f>
        <v>420974.75</v>
      </c>
      <c r="M6017" s="891"/>
      <c r="N6017" s="891">
        <f>SUM(N6018:N6023)</f>
        <v>0</v>
      </c>
      <c r="O6017" s="892">
        <f t="shared" si="393"/>
        <v>1</v>
      </c>
      <c r="P6017" s="903">
        <f t="shared" si="394"/>
        <v>0</v>
      </c>
      <c r="Q6017" s="893">
        <f t="shared" si="395"/>
        <v>0</v>
      </c>
      <c r="R6017" s="894">
        <f t="shared" si="396"/>
        <v>6</v>
      </c>
    </row>
    <row r="6018" spans="1:18" s="904" customFormat="1">
      <c r="A6018" s="895"/>
      <c r="B6018" s="896"/>
      <c r="C6018" s="897"/>
      <c r="D6018" s="897"/>
      <c r="E6018" s="898" t="s">
        <v>108</v>
      </c>
      <c r="F6018" s="899"/>
      <c r="G6018" s="928"/>
      <c r="H6018" s="901"/>
      <c r="I6018" s="902"/>
      <c r="J6018" s="902"/>
      <c r="K6018" s="912" t="s">
        <v>274</v>
      </c>
      <c r="L6018" s="902"/>
      <c r="M6018" s="902"/>
      <c r="N6018" s="902"/>
      <c r="O6018" s="892">
        <f t="shared" si="393"/>
        <v>0</v>
      </c>
      <c r="P6018" s="903">
        <f t="shared" si="394"/>
        <v>1</v>
      </c>
      <c r="Q6018" s="893">
        <f t="shared" si="395"/>
        <v>6</v>
      </c>
      <c r="R6018" s="894">
        <f t="shared" si="396"/>
        <v>0</v>
      </c>
    </row>
    <row r="6019" spans="1:18">
      <c r="A6019" s="905"/>
      <c r="B6019" s="906"/>
      <c r="C6019" s="907">
        <v>44</v>
      </c>
      <c r="D6019" s="907" t="s">
        <v>279</v>
      </c>
      <c r="E6019" s="925" t="s">
        <v>2681</v>
      </c>
      <c r="F6019" s="926" t="s">
        <v>45</v>
      </c>
      <c r="G6019" s="910"/>
      <c r="H6019" s="911">
        <v>0.4</v>
      </c>
      <c r="I6019" s="912">
        <f>VLOOKUP(E6019,[3]VLP!$B$7:$K$300,10,0)</f>
        <v>23000</v>
      </c>
      <c r="J6019" s="912">
        <f>I6019*H6019</f>
        <v>9200</v>
      </c>
      <c r="K6019" s="912" t="s">
        <v>274</v>
      </c>
      <c r="L6019" s="912"/>
      <c r="M6019" s="912"/>
      <c r="N6019" s="912"/>
      <c r="O6019" s="892">
        <f t="shared" si="393"/>
        <v>0</v>
      </c>
      <c r="P6019" s="903">
        <f t="shared" si="394"/>
        <v>1</v>
      </c>
      <c r="Q6019" s="893">
        <f t="shared" si="395"/>
        <v>5</v>
      </c>
      <c r="R6019" s="894">
        <f t="shared" si="396"/>
        <v>0</v>
      </c>
    </row>
    <row r="6020" spans="1:18">
      <c r="A6020" s="905"/>
      <c r="B6020" s="906"/>
      <c r="C6020" s="907">
        <v>66</v>
      </c>
      <c r="D6020" s="907" t="s">
        <v>279</v>
      </c>
      <c r="E6020" s="925" t="s">
        <v>2682</v>
      </c>
      <c r="F6020" s="926" t="s">
        <v>45</v>
      </c>
      <c r="G6020" s="910"/>
      <c r="H6020" s="911">
        <v>0.2</v>
      </c>
      <c r="I6020" s="912">
        <f>VLOOKUP(E6020,[3]VLP!$B$7:$K$300,10,0)</f>
        <v>5000</v>
      </c>
      <c r="J6020" s="912">
        <f>I6020*H6020</f>
        <v>1000</v>
      </c>
      <c r="K6020" s="912" t="s">
        <v>274</v>
      </c>
      <c r="L6020" s="912"/>
      <c r="M6020" s="912"/>
      <c r="N6020" s="912"/>
      <c r="O6020" s="892">
        <f t="shared" si="393"/>
        <v>0</v>
      </c>
      <c r="P6020" s="903">
        <f t="shared" si="394"/>
        <v>1</v>
      </c>
      <c r="Q6020" s="893">
        <f t="shared" si="395"/>
        <v>4</v>
      </c>
      <c r="R6020" s="894">
        <f t="shared" si="396"/>
        <v>0</v>
      </c>
    </row>
    <row r="6021" spans="1:18">
      <c r="A6021" s="905"/>
      <c r="B6021" s="906"/>
      <c r="C6021" s="907">
        <v>699</v>
      </c>
      <c r="D6021" s="907" t="s">
        <v>279</v>
      </c>
      <c r="E6021" s="925" t="s">
        <v>4006</v>
      </c>
      <c r="F6021" s="926" t="s">
        <v>4007</v>
      </c>
      <c r="G6021" s="910"/>
      <c r="H6021" s="911">
        <v>5</v>
      </c>
      <c r="I6021" s="912">
        <f>VLOOKUP(E6021,[3]VLP!$B$7:$K$300,10,0)</f>
        <v>5000</v>
      </c>
      <c r="J6021" s="912">
        <f>I6021*H6021</f>
        <v>25000</v>
      </c>
      <c r="K6021" s="912" t="s">
        <v>274</v>
      </c>
      <c r="L6021" s="912"/>
      <c r="M6021" s="912"/>
      <c r="N6021" s="912"/>
      <c r="O6021" s="892">
        <f t="shared" si="393"/>
        <v>0</v>
      </c>
      <c r="P6021" s="903">
        <f t="shared" si="394"/>
        <v>1</v>
      </c>
      <c r="Q6021" s="893">
        <f t="shared" si="395"/>
        <v>3</v>
      </c>
      <c r="R6021" s="894">
        <f t="shared" si="396"/>
        <v>0</v>
      </c>
    </row>
    <row r="6022" spans="1:18" s="904" customFormat="1">
      <c r="A6022" s="895"/>
      <c r="B6022" s="896"/>
      <c r="C6022" s="897"/>
      <c r="D6022" s="897"/>
      <c r="E6022" s="924" t="s">
        <v>276</v>
      </c>
      <c r="F6022" s="927"/>
      <c r="G6022" s="928"/>
      <c r="H6022" s="901"/>
      <c r="I6022" s="902"/>
      <c r="J6022" s="902"/>
      <c r="K6022" s="912" t="s">
        <v>274</v>
      </c>
      <c r="L6022" s="902"/>
      <c r="M6022" s="902"/>
      <c r="N6022" s="902"/>
      <c r="O6022" s="892">
        <f t="shared" si="393"/>
        <v>0</v>
      </c>
      <c r="P6022" s="903">
        <f t="shared" si="394"/>
        <v>1</v>
      </c>
      <c r="Q6022" s="893">
        <f t="shared" si="395"/>
        <v>2</v>
      </c>
      <c r="R6022" s="894">
        <f t="shared" si="396"/>
        <v>0</v>
      </c>
    </row>
    <row r="6023" spans="1:18">
      <c r="A6023" s="905"/>
      <c r="B6023" s="906"/>
      <c r="C6023" s="907">
        <v>745</v>
      </c>
      <c r="D6023" s="907" t="s">
        <v>12</v>
      </c>
      <c r="E6023" s="908" t="s">
        <v>5518</v>
      </c>
      <c r="F6023" s="909" t="s">
        <v>2674</v>
      </c>
      <c r="G6023" s="910"/>
      <c r="H6023" s="911">
        <v>1.75</v>
      </c>
      <c r="I6023" s="912"/>
      <c r="J6023" s="912"/>
      <c r="K6023" s="912">
        <f>VLOOKUP(E6023,[5]ĐMNC!$A$7:$F$67,4,0)</f>
        <v>240557</v>
      </c>
      <c r="L6023" s="912">
        <f>H6023*K6023</f>
        <v>420974.75</v>
      </c>
      <c r="M6023" s="912"/>
      <c r="N6023" s="912"/>
      <c r="O6023" s="892">
        <f t="shared" si="393"/>
        <v>0</v>
      </c>
      <c r="P6023" s="903">
        <f t="shared" si="394"/>
        <v>1</v>
      </c>
      <c r="Q6023" s="893">
        <f t="shared" si="395"/>
        <v>1</v>
      </c>
      <c r="R6023" s="894">
        <f t="shared" si="396"/>
        <v>0</v>
      </c>
    </row>
    <row r="6024" spans="1:18" s="847" customFormat="1" ht="31.5">
      <c r="A6024" s="905"/>
      <c r="B6024" s="914" t="s">
        <v>5891</v>
      </c>
      <c r="C6024" s="915"/>
      <c r="D6024" s="915"/>
      <c r="E6024" s="916" t="s">
        <v>5892</v>
      </c>
      <c r="F6024" s="917" t="s">
        <v>2271</v>
      </c>
      <c r="G6024" s="918"/>
      <c r="H6024" s="919"/>
      <c r="I6024" s="920"/>
      <c r="J6024" s="891">
        <f>SUM(J6025:J6030)</f>
        <v>35200</v>
      </c>
      <c r="K6024" s="891"/>
      <c r="L6024" s="891">
        <f>SUM(L6025:L6030)</f>
        <v>461869.44</v>
      </c>
      <c r="M6024" s="891"/>
      <c r="N6024" s="891">
        <f>SUM(N6025:N6030)</f>
        <v>0</v>
      </c>
      <c r="O6024" s="892">
        <f t="shared" si="393"/>
        <v>1</v>
      </c>
      <c r="P6024" s="903">
        <f t="shared" si="394"/>
        <v>0</v>
      </c>
      <c r="Q6024" s="893">
        <f t="shared" si="395"/>
        <v>0</v>
      </c>
      <c r="R6024" s="894">
        <f t="shared" si="396"/>
        <v>6</v>
      </c>
    </row>
    <row r="6025" spans="1:18" s="904" customFormat="1">
      <c r="A6025" s="895"/>
      <c r="B6025" s="896"/>
      <c r="C6025" s="897"/>
      <c r="D6025" s="897"/>
      <c r="E6025" s="898" t="s">
        <v>108</v>
      </c>
      <c r="F6025" s="899"/>
      <c r="G6025" s="928"/>
      <c r="H6025" s="901"/>
      <c r="I6025" s="902"/>
      <c r="J6025" s="902"/>
      <c r="K6025" s="912" t="s">
        <v>274</v>
      </c>
      <c r="L6025" s="902"/>
      <c r="M6025" s="902"/>
      <c r="N6025" s="902"/>
      <c r="O6025" s="892">
        <f t="shared" si="393"/>
        <v>0</v>
      </c>
      <c r="P6025" s="903">
        <f t="shared" si="394"/>
        <v>1</v>
      </c>
      <c r="Q6025" s="893">
        <f t="shared" si="395"/>
        <v>6</v>
      </c>
      <c r="R6025" s="894">
        <f t="shared" si="396"/>
        <v>0</v>
      </c>
    </row>
    <row r="6026" spans="1:18">
      <c r="A6026" s="905"/>
      <c r="B6026" s="906"/>
      <c r="C6026" s="907">
        <v>44</v>
      </c>
      <c r="D6026" s="907" t="s">
        <v>279</v>
      </c>
      <c r="E6026" s="925" t="s">
        <v>2681</v>
      </c>
      <c r="F6026" s="926" t="s">
        <v>45</v>
      </c>
      <c r="G6026" s="910"/>
      <c r="H6026" s="911">
        <v>0.4</v>
      </c>
      <c r="I6026" s="912">
        <f>VLOOKUP(E6026,[3]VLP!$B$7:$K$300,10,0)</f>
        <v>23000</v>
      </c>
      <c r="J6026" s="912">
        <f>I6026*H6026</f>
        <v>9200</v>
      </c>
      <c r="K6026" s="912" t="s">
        <v>274</v>
      </c>
      <c r="L6026" s="912"/>
      <c r="M6026" s="912"/>
      <c r="N6026" s="912"/>
      <c r="O6026" s="892">
        <f t="shared" si="393"/>
        <v>0</v>
      </c>
      <c r="P6026" s="903">
        <f t="shared" si="394"/>
        <v>1</v>
      </c>
      <c r="Q6026" s="893">
        <f t="shared" si="395"/>
        <v>5</v>
      </c>
      <c r="R6026" s="894">
        <f t="shared" si="396"/>
        <v>0</v>
      </c>
    </row>
    <row r="6027" spans="1:18">
      <c r="A6027" s="905"/>
      <c r="B6027" s="906"/>
      <c r="C6027" s="907">
        <v>66</v>
      </c>
      <c r="D6027" s="907" t="s">
        <v>279</v>
      </c>
      <c r="E6027" s="925" t="s">
        <v>2682</v>
      </c>
      <c r="F6027" s="926" t="s">
        <v>45</v>
      </c>
      <c r="G6027" s="910"/>
      <c r="H6027" s="911">
        <v>0.2</v>
      </c>
      <c r="I6027" s="912">
        <f>VLOOKUP(E6027,[3]VLP!$B$7:$K$300,10,0)</f>
        <v>5000</v>
      </c>
      <c r="J6027" s="912">
        <f>I6027*H6027</f>
        <v>1000</v>
      </c>
      <c r="K6027" s="912" t="s">
        <v>274</v>
      </c>
      <c r="L6027" s="912"/>
      <c r="M6027" s="912"/>
      <c r="N6027" s="912"/>
      <c r="O6027" s="892">
        <f t="shared" si="393"/>
        <v>0</v>
      </c>
      <c r="P6027" s="903">
        <f t="shared" si="394"/>
        <v>1</v>
      </c>
      <c r="Q6027" s="893">
        <f t="shared" si="395"/>
        <v>4</v>
      </c>
      <c r="R6027" s="894">
        <f t="shared" si="396"/>
        <v>0</v>
      </c>
    </row>
    <row r="6028" spans="1:18">
      <c r="A6028" s="905"/>
      <c r="B6028" s="906"/>
      <c r="C6028" s="907">
        <v>699</v>
      </c>
      <c r="D6028" s="907" t="s">
        <v>279</v>
      </c>
      <c r="E6028" s="925" t="s">
        <v>4006</v>
      </c>
      <c r="F6028" s="926" t="s">
        <v>4007</v>
      </c>
      <c r="G6028" s="910"/>
      <c r="H6028" s="911">
        <v>5</v>
      </c>
      <c r="I6028" s="912">
        <f>VLOOKUP(E6028,[3]VLP!$B$7:$K$300,10,0)</f>
        <v>5000</v>
      </c>
      <c r="J6028" s="912">
        <f>I6028*H6028</f>
        <v>25000</v>
      </c>
      <c r="K6028" s="912" t="s">
        <v>274</v>
      </c>
      <c r="L6028" s="912"/>
      <c r="M6028" s="912"/>
      <c r="N6028" s="912"/>
      <c r="O6028" s="892">
        <f t="shared" si="393"/>
        <v>0</v>
      </c>
      <c r="P6028" s="903">
        <f t="shared" si="394"/>
        <v>1</v>
      </c>
      <c r="Q6028" s="893">
        <f t="shared" si="395"/>
        <v>3</v>
      </c>
      <c r="R6028" s="894">
        <f t="shared" si="396"/>
        <v>0</v>
      </c>
    </row>
    <row r="6029" spans="1:18" s="904" customFormat="1">
      <c r="A6029" s="895"/>
      <c r="B6029" s="896"/>
      <c r="C6029" s="897"/>
      <c r="D6029" s="897"/>
      <c r="E6029" s="924" t="s">
        <v>276</v>
      </c>
      <c r="F6029" s="927"/>
      <c r="G6029" s="928"/>
      <c r="H6029" s="901"/>
      <c r="I6029" s="902"/>
      <c r="J6029" s="902"/>
      <c r="K6029" s="912" t="s">
        <v>274</v>
      </c>
      <c r="L6029" s="902"/>
      <c r="M6029" s="902"/>
      <c r="N6029" s="902"/>
      <c r="O6029" s="892">
        <f t="shared" si="393"/>
        <v>0</v>
      </c>
      <c r="P6029" s="903">
        <f t="shared" si="394"/>
        <v>1</v>
      </c>
      <c r="Q6029" s="893">
        <f t="shared" si="395"/>
        <v>2</v>
      </c>
      <c r="R6029" s="894">
        <f t="shared" si="396"/>
        <v>0</v>
      </c>
    </row>
    <row r="6030" spans="1:18">
      <c r="A6030" s="905"/>
      <c r="B6030" s="906"/>
      <c r="C6030" s="907">
        <v>745</v>
      </c>
      <c r="D6030" s="907" t="s">
        <v>12</v>
      </c>
      <c r="E6030" s="908" t="s">
        <v>5518</v>
      </c>
      <c r="F6030" s="909" t="s">
        <v>2674</v>
      </c>
      <c r="G6030" s="910"/>
      <c r="H6030" s="911">
        <v>1.92</v>
      </c>
      <c r="I6030" s="912"/>
      <c r="J6030" s="912"/>
      <c r="K6030" s="912">
        <f>VLOOKUP(E6030,[5]ĐMNC!$A$7:$F$67,4,0)</f>
        <v>240557</v>
      </c>
      <c r="L6030" s="912">
        <f>H6030*K6030</f>
        <v>461869.44</v>
      </c>
      <c r="M6030" s="912"/>
      <c r="N6030" s="912"/>
      <c r="O6030" s="892">
        <f t="shared" si="393"/>
        <v>0</v>
      </c>
      <c r="P6030" s="903">
        <f t="shared" si="394"/>
        <v>1</v>
      </c>
      <c r="Q6030" s="893">
        <f t="shared" si="395"/>
        <v>1</v>
      </c>
      <c r="R6030" s="894">
        <f t="shared" si="396"/>
        <v>0</v>
      </c>
    </row>
    <row r="6031" spans="1:18" s="847" customFormat="1" ht="31.5">
      <c r="A6031" s="905" t="s">
        <v>5881</v>
      </c>
      <c r="B6031" s="914" t="s">
        <v>5893</v>
      </c>
      <c r="C6031" s="915"/>
      <c r="D6031" s="915"/>
      <c r="E6031" s="916" t="s">
        <v>5894</v>
      </c>
      <c r="F6031" s="917" t="s">
        <v>2271</v>
      </c>
      <c r="G6031" s="918"/>
      <c r="H6031" s="919"/>
      <c r="I6031" s="920"/>
      <c r="J6031" s="891">
        <f>SUM(J6032:J6037)</f>
        <v>37700</v>
      </c>
      <c r="K6031" s="891"/>
      <c r="L6031" s="891">
        <f>SUM(L6032:L6037)</f>
        <v>517197.55</v>
      </c>
      <c r="M6031" s="891"/>
      <c r="N6031" s="891">
        <f>SUM(N6032:N6037)</f>
        <v>0</v>
      </c>
      <c r="O6031" s="892">
        <f t="shared" si="393"/>
        <v>1</v>
      </c>
      <c r="P6031" s="903">
        <f t="shared" si="394"/>
        <v>0</v>
      </c>
      <c r="Q6031" s="893">
        <f t="shared" si="395"/>
        <v>0</v>
      </c>
      <c r="R6031" s="894">
        <f t="shared" si="396"/>
        <v>6</v>
      </c>
    </row>
    <row r="6032" spans="1:18" s="904" customFormat="1">
      <c r="A6032" s="895"/>
      <c r="B6032" s="896"/>
      <c r="C6032" s="897"/>
      <c r="D6032" s="897"/>
      <c r="E6032" s="898" t="s">
        <v>108</v>
      </c>
      <c r="F6032" s="899"/>
      <c r="G6032" s="928"/>
      <c r="H6032" s="901"/>
      <c r="I6032" s="902"/>
      <c r="J6032" s="902"/>
      <c r="K6032" s="912" t="s">
        <v>274</v>
      </c>
      <c r="L6032" s="902"/>
      <c r="M6032" s="902"/>
      <c r="N6032" s="902"/>
      <c r="O6032" s="892">
        <f t="shared" si="393"/>
        <v>0</v>
      </c>
      <c r="P6032" s="903">
        <f t="shared" si="394"/>
        <v>1</v>
      </c>
      <c r="Q6032" s="893">
        <f t="shared" si="395"/>
        <v>6</v>
      </c>
      <c r="R6032" s="894">
        <f t="shared" si="396"/>
        <v>0</v>
      </c>
    </row>
    <row r="6033" spans="1:18">
      <c r="A6033" s="905"/>
      <c r="B6033" s="906"/>
      <c r="C6033" s="907">
        <v>44</v>
      </c>
      <c r="D6033" s="907" t="s">
        <v>279</v>
      </c>
      <c r="E6033" s="925" t="s">
        <v>2681</v>
      </c>
      <c r="F6033" s="926" t="s">
        <v>45</v>
      </c>
      <c r="G6033" s="910"/>
      <c r="H6033" s="911">
        <v>0.5</v>
      </c>
      <c r="I6033" s="912">
        <f>VLOOKUP(E6033,[3]VLP!$B$7:$K$300,10,0)</f>
        <v>23000</v>
      </c>
      <c r="J6033" s="912">
        <f>I6033*H6033</f>
        <v>11500</v>
      </c>
      <c r="K6033" s="912" t="s">
        <v>274</v>
      </c>
      <c r="L6033" s="912"/>
      <c r="M6033" s="912"/>
      <c r="N6033" s="912"/>
      <c r="O6033" s="892">
        <f t="shared" si="393"/>
        <v>0</v>
      </c>
      <c r="P6033" s="903">
        <f t="shared" si="394"/>
        <v>1</v>
      </c>
      <c r="Q6033" s="893">
        <f t="shared" si="395"/>
        <v>5</v>
      </c>
      <c r="R6033" s="894">
        <f t="shared" si="396"/>
        <v>0</v>
      </c>
    </row>
    <row r="6034" spans="1:18">
      <c r="A6034" s="905"/>
      <c r="B6034" s="906"/>
      <c r="C6034" s="907">
        <v>66</v>
      </c>
      <c r="D6034" s="907" t="s">
        <v>279</v>
      </c>
      <c r="E6034" s="925" t="s">
        <v>2682</v>
      </c>
      <c r="F6034" s="926" t="s">
        <v>45</v>
      </c>
      <c r="G6034" s="910"/>
      <c r="H6034" s="911">
        <v>0.24</v>
      </c>
      <c r="I6034" s="912">
        <f>VLOOKUP(E6034,[3]VLP!$B$7:$K$300,10,0)</f>
        <v>5000</v>
      </c>
      <c r="J6034" s="912">
        <f>I6034*H6034</f>
        <v>1200</v>
      </c>
      <c r="K6034" s="912" t="s">
        <v>274</v>
      </c>
      <c r="L6034" s="912"/>
      <c r="M6034" s="912"/>
      <c r="N6034" s="912"/>
      <c r="O6034" s="892">
        <f t="shared" si="393"/>
        <v>0</v>
      </c>
      <c r="P6034" s="903">
        <f t="shared" si="394"/>
        <v>1</v>
      </c>
      <c r="Q6034" s="893">
        <f t="shared" si="395"/>
        <v>4</v>
      </c>
      <c r="R6034" s="894">
        <f t="shared" si="396"/>
        <v>0</v>
      </c>
    </row>
    <row r="6035" spans="1:18">
      <c r="A6035" s="905"/>
      <c r="B6035" s="906"/>
      <c r="C6035" s="907">
        <v>699</v>
      </c>
      <c r="D6035" s="907" t="s">
        <v>279</v>
      </c>
      <c r="E6035" s="925" t="s">
        <v>4006</v>
      </c>
      <c r="F6035" s="926" t="s">
        <v>4007</v>
      </c>
      <c r="G6035" s="910"/>
      <c r="H6035" s="911">
        <v>5</v>
      </c>
      <c r="I6035" s="912">
        <f>VLOOKUP(E6035,[3]VLP!$B$7:$K$300,10,0)</f>
        <v>5000</v>
      </c>
      <c r="J6035" s="912">
        <f>I6035*H6035</f>
        <v>25000</v>
      </c>
      <c r="K6035" s="912" t="s">
        <v>274</v>
      </c>
      <c r="L6035" s="912"/>
      <c r="M6035" s="912"/>
      <c r="N6035" s="912"/>
      <c r="O6035" s="892">
        <f t="shared" si="393"/>
        <v>0</v>
      </c>
      <c r="P6035" s="903">
        <f t="shared" si="394"/>
        <v>1</v>
      </c>
      <c r="Q6035" s="893">
        <f t="shared" si="395"/>
        <v>3</v>
      </c>
      <c r="R6035" s="894">
        <f t="shared" si="396"/>
        <v>0</v>
      </c>
    </row>
    <row r="6036" spans="1:18" s="904" customFormat="1">
      <c r="A6036" s="895"/>
      <c r="B6036" s="896"/>
      <c r="C6036" s="897"/>
      <c r="D6036" s="897"/>
      <c r="E6036" s="924" t="s">
        <v>276</v>
      </c>
      <c r="F6036" s="927"/>
      <c r="G6036" s="928"/>
      <c r="H6036" s="901"/>
      <c r="I6036" s="902"/>
      <c r="J6036" s="902"/>
      <c r="K6036" s="912" t="s">
        <v>274</v>
      </c>
      <c r="L6036" s="902"/>
      <c r="M6036" s="902"/>
      <c r="N6036" s="902"/>
      <c r="O6036" s="892">
        <f t="shared" si="393"/>
        <v>0</v>
      </c>
      <c r="P6036" s="903">
        <f t="shared" si="394"/>
        <v>1</v>
      </c>
      <c r="Q6036" s="893">
        <f t="shared" si="395"/>
        <v>2</v>
      </c>
      <c r="R6036" s="894">
        <f t="shared" si="396"/>
        <v>0</v>
      </c>
    </row>
    <row r="6037" spans="1:18">
      <c r="A6037" s="905"/>
      <c r="B6037" s="906"/>
      <c r="C6037" s="907">
        <v>745</v>
      </c>
      <c r="D6037" s="907" t="s">
        <v>12</v>
      </c>
      <c r="E6037" s="908" t="s">
        <v>5518</v>
      </c>
      <c r="F6037" s="909" t="s">
        <v>2674</v>
      </c>
      <c r="G6037" s="910"/>
      <c r="H6037" s="911">
        <v>2.15</v>
      </c>
      <c r="I6037" s="912"/>
      <c r="J6037" s="912"/>
      <c r="K6037" s="912">
        <f>VLOOKUP(E6037,[5]ĐMNC!$A$7:$F$67,4,0)</f>
        <v>240557</v>
      </c>
      <c r="L6037" s="912">
        <f>H6037*K6037</f>
        <v>517197.55</v>
      </c>
      <c r="M6037" s="912"/>
      <c r="N6037" s="912"/>
      <c r="O6037" s="892">
        <f t="shared" si="393"/>
        <v>0</v>
      </c>
      <c r="P6037" s="903">
        <f t="shared" si="394"/>
        <v>1</v>
      </c>
      <c r="Q6037" s="893">
        <f t="shared" si="395"/>
        <v>1</v>
      </c>
      <c r="R6037" s="894">
        <f t="shared" si="396"/>
        <v>0</v>
      </c>
    </row>
    <row r="6038" spans="1:18" s="847" customFormat="1" ht="31.5">
      <c r="A6038" s="905"/>
      <c r="B6038" s="914" t="s">
        <v>5895</v>
      </c>
      <c r="C6038" s="915"/>
      <c r="D6038" s="915"/>
      <c r="E6038" s="916" t="s">
        <v>5896</v>
      </c>
      <c r="F6038" s="917" t="s">
        <v>2271</v>
      </c>
      <c r="G6038" s="918"/>
      <c r="H6038" s="919"/>
      <c r="I6038" s="920"/>
      <c r="J6038" s="891">
        <f>SUM(J6039:J6044)</f>
        <v>37700</v>
      </c>
      <c r="K6038" s="891"/>
      <c r="L6038" s="891">
        <f>SUM(L6039:L6044)</f>
        <v>668748.46</v>
      </c>
      <c r="M6038" s="891"/>
      <c r="N6038" s="891">
        <f>SUM(N6039:N6044)</f>
        <v>0</v>
      </c>
      <c r="O6038" s="892">
        <f t="shared" si="393"/>
        <v>1</v>
      </c>
      <c r="P6038" s="903">
        <f t="shared" si="394"/>
        <v>0</v>
      </c>
      <c r="Q6038" s="893">
        <f t="shared" si="395"/>
        <v>0</v>
      </c>
      <c r="R6038" s="894">
        <f t="shared" si="396"/>
        <v>6</v>
      </c>
    </row>
    <row r="6039" spans="1:18" s="904" customFormat="1">
      <c r="A6039" s="895"/>
      <c r="B6039" s="896"/>
      <c r="C6039" s="897"/>
      <c r="D6039" s="897"/>
      <c r="E6039" s="898" t="s">
        <v>108</v>
      </c>
      <c r="F6039" s="899"/>
      <c r="G6039" s="928"/>
      <c r="H6039" s="901"/>
      <c r="I6039" s="902"/>
      <c r="J6039" s="902"/>
      <c r="K6039" s="912" t="s">
        <v>274</v>
      </c>
      <c r="L6039" s="902"/>
      <c r="M6039" s="902"/>
      <c r="N6039" s="902"/>
      <c r="O6039" s="892">
        <f t="shared" si="393"/>
        <v>0</v>
      </c>
      <c r="P6039" s="903">
        <f t="shared" si="394"/>
        <v>1</v>
      </c>
      <c r="Q6039" s="893">
        <f t="shared" si="395"/>
        <v>6</v>
      </c>
      <c r="R6039" s="894">
        <f t="shared" si="396"/>
        <v>0</v>
      </c>
    </row>
    <row r="6040" spans="1:18">
      <c r="A6040" s="905"/>
      <c r="B6040" s="906"/>
      <c r="C6040" s="907">
        <v>44</v>
      </c>
      <c r="D6040" s="907" t="s">
        <v>279</v>
      </c>
      <c r="E6040" s="925" t="s">
        <v>2681</v>
      </c>
      <c r="F6040" s="926" t="s">
        <v>45</v>
      </c>
      <c r="G6040" s="910"/>
      <c r="H6040" s="911">
        <v>0.5</v>
      </c>
      <c r="I6040" s="912">
        <f>VLOOKUP(E6040,[3]VLP!$B$7:$K$300,10,0)</f>
        <v>23000</v>
      </c>
      <c r="J6040" s="912">
        <f>I6040*H6040</f>
        <v>11500</v>
      </c>
      <c r="K6040" s="912" t="s">
        <v>274</v>
      </c>
      <c r="L6040" s="912"/>
      <c r="M6040" s="912"/>
      <c r="N6040" s="912"/>
      <c r="O6040" s="892">
        <f t="shared" si="393"/>
        <v>0</v>
      </c>
      <c r="P6040" s="903">
        <f t="shared" si="394"/>
        <v>1</v>
      </c>
      <c r="Q6040" s="893">
        <f t="shared" si="395"/>
        <v>5</v>
      </c>
      <c r="R6040" s="894">
        <f t="shared" si="396"/>
        <v>0</v>
      </c>
    </row>
    <row r="6041" spans="1:18">
      <c r="A6041" s="905"/>
      <c r="B6041" s="906"/>
      <c r="C6041" s="907">
        <v>66</v>
      </c>
      <c r="D6041" s="907" t="s">
        <v>279</v>
      </c>
      <c r="E6041" s="925" t="s">
        <v>2682</v>
      </c>
      <c r="F6041" s="926" t="s">
        <v>45</v>
      </c>
      <c r="G6041" s="910"/>
      <c r="H6041" s="911">
        <v>0.24</v>
      </c>
      <c r="I6041" s="912">
        <f>VLOOKUP(E6041,[3]VLP!$B$7:$K$300,10,0)</f>
        <v>5000</v>
      </c>
      <c r="J6041" s="912">
        <f>I6041*H6041</f>
        <v>1200</v>
      </c>
      <c r="K6041" s="912" t="s">
        <v>274</v>
      </c>
      <c r="L6041" s="912"/>
      <c r="M6041" s="912"/>
      <c r="N6041" s="912"/>
      <c r="O6041" s="892">
        <f t="shared" si="393"/>
        <v>0</v>
      </c>
      <c r="P6041" s="903">
        <f t="shared" si="394"/>
        <v>1</v>
      </c>
      <c r="Q6041" s="893">
        <f t="shared" si="395"/>
        <v>4</v>
      </c>
      <c r="R6041" s="894">
        <f t="shared" si="396"/>
        <v>0</v>
      </c>
    </row>
    <row r="6042" spans="1:18">
      <c r="A6042" s="905"/>
      <c r="B6042" s="906"/>
      <c r="C6042" s="907">
        <v>699</v>
      </c>
      <c r="D6042" s="907" t="s">
        <v>279</v>
      </c>
      <c r="E6042" s="925" t="s">
        <v>4006</v>
      </c>
      <c r="F6042" s="926" t="s">
        <v>4007</v>
      </c>
      <c r="G6042" s="910"/>
      <c r="H6042" s="911">
        <v>5</v>
      </c>
      <c r="I6042" s="912">
        <f>VLOOKUP(E6042,[3]VLP!$B$7:$K$300,10,0)</f>
        <v>5000</v>
      </c>
      <c r="J6042" s="912">
        <f>I6042*H6042</f>
        <v>25000</v>
      </c>
      <c r="K6042" s="912" t="s">
        <v>274</v>
      </c>
      <c r="L6042" s="912"/>
      <c r="M6042" s="912"/>
      <c r="N6042" s="912"/>
      <c r="O6042" s="892">
        <f t="shared" si="393"/>
        <v>0</v>
      </c>
      <c r="P6042" s="903">
        <f t="shared" si="394"/>
        <v>1</v>
      </c>
      <c r="Q6042" s="893">
        <f t="shared" si="395"/>
        <v>3</v>
      </c>
      <c r="R6042" s="894">
        <f t="shared" si="396"/>
        <v>0</v>
      </c>
    </row>
    <row r="6043" spans="1:18" s="904" customFormat="1">
      <c r="A6043" s="895"/>
      <c r="B6043" s="896"/>
      <c r="C6043" s="897"/>
      <c r="D6043" s="897"/>
      <c r="E6043" s="924" t="s">
        <v>276</v>
      </c>
      <c r="F6043" s="927"/>
      <c r="G6043" s="928"/>
      <c r="H6043" s="901"/>
      <c r="I6043" s="902"/>
      <c r="J6043" s="902"/>
      <c r="K6043" s="912" t="s">
        <v>274</v>
      </c>
      <c r="L6043" s="902"/>
      <c r="M6043" s="902"/>
      <c r="N6043" s="902"/>
      <c r="O6043" s="892">
        <f t="shared" si="393"/>
        <v>0</v>
      </c>
      <c r="P6043" s="903">
        <f t="shared" si="394"/>
        <v>1</v>
      </c>
      <c r="Q6043" s="893">
        <f t="shared" si="395"/>
        <v>2</v>
      </c>
      <c r="R6043" s="894">
        <f t="shared" si="396"/>
        <v>0</v>
      </c>
    </row>
    <row r="6044" spans="1:18">
      <c r="A6044" s="905"/>
      <c r="B6044" s="906"/>
      <c r="C6044" s="907">
        <v>745</v>
      </c>
      <c r="D6044" s="907" t="s">
        <v>12</v>
      </c>
      <c r="E6044" s="908" t="s">
        <v>5518</v>
      </c>
      <c r="F6044" s="909" t="s">
        <v>2674</v>
      </c>
      <c r="G6044" s="910"/>
      <c r="H6044" s="911">
        <v>2.78</v>
      </c>
      <c r="I6044" s="912"/>
      <c r="J6044" s="912"/>
      <c r="K6044" s="912">
        <f>VLOOKUP(E6044,[5]ĐMNC!$A$7:$F$67,4,0)</f>
        <v>240557</v>
      </c>
      <c r="L6044" s="912">
        <f>H6044*K6044</f>
        <v>668748.46</v>
      </c>
      <c r="M6044" s="912"/>
      <c r="N6044" s="912"/>
      <c r="O6044" s="892">
        <f t="shared" si="393"/>
        <v>0</v>
      </c>
      <c r="P6044" s="903">
        <f t="shared" si="394"/>
        <v>1</v>
      </c>
      <c r="Q6044" s="893">
        <f t="shared" si="395"/>
        <v>1</v>
      </c>
      <c r="R6044" s="894">
        <f t="shared" si="396"/>
        <v>0</v>
      </c>
    </row>
    <row r="6045" spans="1:18" s="847" customFormat="1" ht="31.5">
      <c r="A6045" s="905"/>
      <c r="B6045" s="914" t="s">
        <v>5897</v>
      </c>
      <c r="C6045" s="915"/>
      <c r="D6045" s="915"/>
      <c r="E6045" s="916" t="s">
        <v>5898</v>
      </c>
      <c r="F6045" s="917" t="s">
        <v>2271</v>
      </c>
      <c r="G6045" s="918"/>
      <c r="H6045" s="919"/>
      <c r="I6045" s="920"/>
      <c r="J6045" s="891">
        <f>SUM(J6046:J6051)</f>
        <v>40250</v>
      </c>
      <c r="K6045" s="891"/>
      <c r="L6045" s="891">
        <f>SUM(L6046:L6051)</f>
        <v>803460.38</v>
      </c>
      <c r="M6045" s="891"/>
      <c r="N6045" s="891">
        <f>SUM(N6046:N6051)</f>
        <v>0</v>
      </c>
      <c r="O6045" s="892">
        <f t="shared" si="393"/>
        <v>1</v>
      </c>
      <c r="P6045" s="903">
        <f t="shared" si="394"/>
        <v>0</v>
      </c>
      <c r="Q6045" s="893">
        <f t="shared" si="395"/>
        <v>0</v>
      </c>
      <c r="R6045" s="894">
        <f t="shared" si="396"/>
        <v>6</v>
      </c>
    </row>
    <row r="6046" spans="1:18" s="904" customFormat="1">
      <c r="A6046" s="895"/>
      <c r="B6046" s="896"/>
      <c r="C6046" s="897"/>
      <c r="D6046" s="897"/>
      <c r="E6046" s="898" t="s">
        <v>108</v>
      </c>
      <c r="F6046" s="899"/>
      <c r="G6046" s="928"/>
      <c r="H6046" s="901"/>
      <c r="I6046" s="902"/>
      <c r="J6046" s="902"/>
      <c r="K6046" s="912" t="s">
        <v>274</v>
      </c>
      <c r="L6046" s="902"/>
      <c r="M6046" s="902"/>
      <c r="N6046" s="902"/>
      <c r="O6046" s="892">
        <f t="shared" si="393"/>
        <v>0</v>
      </c>
      <c r="P6046" s="903">
        <f t="shared" si="394"/>
        <v>1</v>
      </c>
      <c r="Q6046" s="893">
        <f t="shared" si="395"/>
        <v>6</v>
      </c>
      <c r="R6046" s="894">
        <f t="shared" si="396"/>
        <v>0</v>
      </c>
    </row>
    <row r="6047" spans="1:18">
      <c r="A6047" s="905"/>
      <c r="B6047" s="906"/>
      <c r="C6047" s="907">
        <v>44</v>
      </c>
      <c r="D6047" s="907" t="s">
        <v>279</v>
      </c>
      <c r="E6047" s="925" t="s">
        <v>2681</v>
      </c>
      <c r="F6047" s="926" t="s">
        <v>45</v>
      </c>
      <c r="G6047" s="910"/>
      <c r="H6047" s="911">
        <v>0.6</v>
      </c>
      <c r="I6047" s="912">
        <f>VLOOKUP(E6047,[3]VLP!$B$7:$K$300,10,0)</f>
        <v>23000</v>
      </c>
      <c r="J6047" s="912">
        <f>I6047*H6047</f>
        <v>13800</v>
      </c>
      <c r="K6047" s="912" t="s">
        <v>274</v>
      </c>
      <c r="L6047" s="912"/>
      <c r="M6047" s="912"/>
      <c r="N6047" s="912"/>
      <c r="O6047" s="892">
        <f t="shared" ref="O6047:O6110" si="397">IF(AND(B6047&lt;&gt;"",D6047=""),1,0)</f>
        <v>0</v>
      </c>
      <c r="P6047" s="903">
        <f t="shared" si="394"/>
        <v>1</v>
      </c>
      <c r="Q6047" s="893">
        <f t="shared" si="395"/>
        <v>5</v>
      </c>
      <c r="R6047" s="894">
        <f t="shared" si="396"/>
        <v>0</v>
      </c>
    </row>
    <row r="6048" spans="1:18">
      <c r="A6048" s="905"/>
      <c r="B6048" s="906"/>
      <c r="C6048" s="907">
        <v>66</v>
      </c>
      <c r="D6048" s="907" t="s">
        <v>279</v>
      </c>
      <c r="E6048" s="925" t="s">
        <v>2682</v>
      </c>
      <c r="F6048" s="926" t="s">
        <v>45</v>
      </c>
      <c r="G6048" s="910"/>
      <c r="H6048" s="911">
        <v>0.28999999999999998</v>
      </c>
      <c r="I6048" s="912">
        <f>VLOOKUP(E6048,[3]VLP!$B$7:$K$300,10,0)</f>
        <v>5000</v>
      </c>
      <c r="J6048" s="912">
        <f>I6048*H6048</f>
        <v>1450</v>
      </c>
      <c r="K6048" s="912" t="s">
        <v>274</v>
      </c>
      <c r="L6048" s="912"/>
      <c r="M6048" s="912"/>
      <c r="N6048" s="912"/>
      <c r="O6048" s="892">
        <f t="shared" si="397"/>
        <v>0</v>
      </c>
      <c r="P6048" s="903">
        <f t="shared" si="394"/>
        <v>1</v>
      </c>
      <c r="Q6048" s="893">
        <f t="shared" si="395"/>
        <v>4</v>
      </c>
      <c r="R6048" s="894">
        <f t="shared" si="396"/>
        <v>0</v>
      </c>
    </row>
    <row r="6049" spans="1:18">
      <c r="A6049" s="905"/>
      <c r="B6049" s="906"/>
      <c r="C6049" s="907">
        <v>699</v>
      </c>
      <c r="D6049" s="907" t="s">
        <v>279</v>
      </c>
      <c r="E6049" s="925" t="s">
        <v>4006</v>
      </c>
      <c r="F6049" s="926" t="s">
        <v>4007</v>
      </c>
      <c r="G6049" s="910"/>
      <c r="H6049" s="911">
        <v>5</v>
      </c>
      <c r="I6049" s="912">
        <f>VLOOKUP(E6049,[3]VLP!$B$7:$K$300,10,0)</f>
        <v>5000</v>
      </c>
      <c r="J6049" s="912">
        <f>I6049*H6049</f>
        <v>25000</v>
      </c>
      <c r="K6049" s="912" t="s">
        <v>274</v>
      </c>
      <c r="L6049" s="912"/>
      <c r="M6049" s="912"/>
      <c r="N6049" s="912"/>
      <c r="O6049" s="892">
        <f t="shared" si="397"/>
        <v>0</v>
      </c>
      <c r="P6049" s="903">
        <f t="shared" si="394"/>
        <v>1</v>
      </c>
      <c r="Q6049" s="893">
        <f t="shared" si="395"/>
        <v>3</v>
      </c>
      <c r="R6049" s="894">
        <f t="shared" si="396"/>
        <v>0</v>
      </c>
    </row>
    <row r="6050" spans="1:18" s="904" customFormat="1">
      <c r="A6050" s="895"/>
      <c r="B6050" s="896"/>
      <c r="C6050" s="897"/>
      <c r="D6050" s="897"/>
      <c r="E6050" s="924" t="s">
        <v>276</v>
      </c>
      <c r="F6050" s="927"/>
      <c r="G6050" s="928"/>
      <c r="H6050" s="901"/>
      <c r="I6050" s="902"/>
      <c r="J6050" s="902"/>
      <c r="K6050" s="912" t="s">
        <v>274</v>
      </c>
      <c r="L6050" s="902"/>
      <c r="M6050" s="902"/>
      <c r="N6050" s="902"/>
      <c r="O6050" s="892">
        <f t="shared" si="397"/>
        <v>0</v>
      </c>
      <c r="P6050" s="903">
        <f t="shared" si="394"/>
        <v>1</v>
      </c>
      <c r="Q6050" s="893">
        <f t="shared" si="395"/>
        <v>2</v>
      </c>
      <c r="R6050" s="894">
        <f t="shared" si="396"/>
        <v>0</v>
      </c>
    </row>
    <row r="6051" spans="1:18">
      <c r="A6051" s="905"/>
      <c r="B6051" s="906"/>
      <c r="C6051" s="907">
        <v>745</v>
      </c>
      <c r="D6051" s="907" t="s">
        <v>12</v>
      </c>
      <c r="E6051" s="908" t="s">
        <v>5518</v>
      </c>
      <c r="F6051" s="909" t="s">
        <v>2674</v>
      </c>
      <c r="G6051" s="910"/>
      <c r="H6051" s="911">
        <v>3.34</v>
      </c>
      <c r="I6051" s="912"/>
      <c r="J6051" s="912"/>
      <c r="K6051" s="912">
        <f>VLOOKUP(E6051,[5]ĐMNC!$A$7:$F$67,4,0)</f>
        <v>240557</v>
      </c>
      <c r="L6051" s="912">
        <f>H6051*K6051</f>
        <v>803460.38</v>
      </c>
      <c r="M6051" s="912"/>
      <c r="N6051" s="912"/>
      <c r="O6051" s="892">
        <f t="shared" si="397"/>
        <v>0</v>
      </c>
      <c r="P6051" s="903">
        <f t="shared" si="394"/>
        <v>1</v>
      </c>
      <c r="Q6051" s="893">
        <f t="shared" si="395"/>
        <v>1</v>
      </c>
      <c r="R6051" s="894">
        <f t="shared" si="396"/>
        <v>0</v>
      </c>
    </row>
    <row r="6052" spans="1:18" s="847" customFormat="1" ht="35.25" customHeight="1">
      <c r="A6052" s="905" t="s">
        <v>5876</v>
      </c>
      <c r="B6052" s="914" t="s">
        <v>5899</v>
      </c>
      <c r="C6052" s="915"/>
      <c r="D6052" s="915"/>
      <c r="E6052" s="916" t="s">
        <v>5900</v>
      </c>
      <c r="F6052" s="917" t="s">
        <v>5834</v>
      </c>
      <c r="G6052" s="944"/>
      <c r="H6052" s="919"/>
      <c r="I6052" s="920"/>
      <c r="J6052" s="891">
        <f>SUM(J6053:J6064)</f>
        <v>189807.5</v>
      </c>
      <c r="K6052" s="891"/>
      <c r="L6052" s="891">
        <f>SUM(L6053:L6064)</f>
        <v>372863.35000000003</v>
      </c>
      <c r="M6052" s="891"/>
      <c r="N6052" s="891">
        <f>SUM(N6053:N6064)</f>
        <v>0</v>
      </c>
      <c r="O6052" s="892">
        <f t="shared" si="397"/>
        <v>1</v>
      </c>
      <c r="P6052" s="903">
        <f t="shared" si="394"/>
        <v>0</v>
      </c>
      <c r="Q6052" s="893">
        <f t="shared" si="395"/>
        <v>0</v>
      </c>
      <c r="R6052" s="894">
        <f t="shared" si="396"/>
        <v>12</v>
      </c>
    </row>
    <row r="6053" spans="1:18" s="904" customFormat="1">
      <c r="A6053" s="895"/>
      <c r="B6053" s="896"/>
      <c r="C6053" s="897"/>
      <c r="D6053" s="897"/>
      <c r="E6053" s="898" t="s">
        <v>108</v>
      </c>
      <c r="F6053" s="899"/>
      <c r="G6053" s="928"/>
      <c r="H6053" s="901"/>
      <c r="I6053" s="902"/>
      <c r="J6053" s="902"/>
      <c r="K6053" s="912" t="s">
        <v>274</v>
      </c>
      <c r="L6053" s="902"/>
      <c r="M6053" s="902"/>
      <c r="N6053" s="902"/>
      <c r="O6053" s="892">
        <f t="shared" si="397"/>
        <v>0</v>
      </c>
      <c r="P6053" s="903">
        <f t="shared" si="394"/>
        <v>1</v>
      </c>
      <c r="Q6053" s="893">
        <f t="shared" si="395"/>
        <v>12</v>
      </c>
      <c r="R6053" s="894">
        <f t="shared" si="396"/>
        <v>0</v>
      </c>
    </row>
    <row r="6054" spans="1:18">
      <c r="A6054" s="905"/>
      <c r="B6054" s="906"/>
      <c r="C6054" s="907">
        <v>101</v>
      </c>
      <c r="D6054" s="907" t="s">
        <v>279</v>
      </c>
      <c r="E6054" s="925" t="s">
        <v>5835</v>
      </c>
      <c r="F6054" s="909" t="s">
        <v>51</v>
      </c>
      <c r="G6054" s="910"/>
      <c r="H6054" s="911">
        <v>1</v>
      </c>
      <c r="I6054" s="912">
        <f>VLOOKUP(E6054,[3]VLP!$B$7:$K$300,10,0)</f>
        <v>10140</v>
      </c>
      <c r="J6054" s="912">
        <f t="shared" ref="J6054:J6062" si="398">I6054*H6054</f>
        <v>10140</v>
      </c>
      <c r="K6054" s="912" t="s">
        <v>274</v>
      </c>
      <c r="L6054" s="912"/>
      <c r="M6054" s="912"/>
      <c r="N6054" s="912"/>
      <c r="O6054" s="892">
        <f t="shared" si="397"/>
        <v>0</v>
      </c>
      <c r="P6054" s="903">
        <f t="shared" si="394"/>
        <v>1</v>
      </c>
      <c r="Q6054" s="893">
        <f t="shared" si="395"/>
        <v>11</v>
      </c>
      <c r="R6054" s="894">
        <f t="shared" si="396"/>
        <v>0</v>
      </c>
    </row>
    <row r="6055" spans="1:18">
      <c r="A6055" s="905"/>
      <c r="B6055" s="906"/>
      <c r="C6055" s="907">
        <v>49</v>
      </c>
      <c r="D6055" s="907" t="s">
        <v>279</v>
      </c>
      <c r="E6055" s="925" t="s">
        <v>5698</v>
      </c>
      <c r="F6055" s="909" t="s">
        <v>139</v>
      </c>
      <c r="G6055" s="910"/>
      <c r="H6055" s="911">
        <v>2</v>
      </c>
      <c r="I6055" s="912">
        <f>VLOOKUP(E6055,[3]VLP!$B$7:$K$300,10,0)</f>
        <v>3000</v>
      </c>
      <c r="J6055" s="912">
        <f t="shared" si="398"/>
        <v>6000</v>
      </c>
      <c r="K6055" s="912" t="s">
        <v>274</v>
      </c>
      <c r="L6055" s="912"/>
      <c r="M6055" s="912"/>
      <c r="N6055" s="912"/>
      <c r="O6055" s="892">
        <f t="shared" si="397"/>
        <v>0</v>
      </c>
      <c r="P6055" s="903">
        <f t="shared" si="394"/>
        <v>1</v>
      </c>
      <c r="Q6055" s="893">
        <f t="shared" si="395"/>
        <v>10</v>
      </c>
      <c r="R6055" s="894">
        <f t="shared" si="396"/>
        <v>0</v>
      </c>
    </row>
    <row r="6056" spans="1:18">
      <c r="A6056" s="905"/>
      <c r="B6056" s="906"/>
      <c r="C6056" s="907">
        <v>50</v>
      </c>
      <c r="D6056" s="907" t="s">
        <v>279</v>
      </c>
      <c r="E6056" s="925" t="s">
        <v>5836</v>
      </c>
      <c r="F6056" s="909" t="s">
        <v>49</v>
      </c>
      <c r="G6056" s="910"/>
      <c r="H6056" s="911">
        <v>1</v>
      </c>
      <c r="I6056" s="912">
        <f>VLOOKUP(E6056,[3]VLP!$B$7:$K$300,10,0)</f>
        <v>85790</v>
      </c>
      <c r="J6056" s="912">
        <f t="shared" si="398"/>
        <v>85790</v>
      </c>
      <c r="K6056" s="912" t="s">
        <v>274</v>
      </c>
      <c r="L6056" s="912"/>
      <c r="M6056" s="912"/>
      <c r="N6056" s="912"/>
      <c r="O6056" s="892">
        <f t="shared" si="397"/>
        <v>0</v>
      </c>
      <c r="P6056" s="903">
        <f t="shared" ref="P6056:P6119" si="399">IF(O6056=0,1,0)</f>
        <v>1</v>
      </c>
      <c r="Q6056" s="893">
        <f t="shared" ref="Q6056:Q6119" si="400">IF(P6056=0,0,P6056+Q6057)</f>
        <v>9</v>
      </c>
      <c r="R6056" s="894">
        <f t="shared" ref="R6056:R6119" si="401">IF(Q6056=0,Q6057,0)</f>
        <v>0</v>
      </c>
    </row>
    <row r="6057" spans="1:18">
      <c r="A6057" s="905"/>
      <c r="B6057" s="906"/>
      <c r="C6057" s="907">
        <v>46</v>
      </c>
      <c r="D6057" s="907" t="s">
        <v>279</v>
      </c>
      <c r="E6057" s="925" t="s">
        <v>3179</v>
      </c>
      <c r="F6057" s="909" t="s">
        <v>45</v>
      </c>
      <c r="G6057" s="910"/>
      <c r="H6057" s="911">
        <v>1.6</v>
      </c>
      <c r="I6057" s="912">
        <f>VLOOKUP(E6057,[3]VLP!$B$7:$K$300,10,0)</f>
        <v>20500</v>
      </c>
      <c r="J6057" s="912">
        <f t="shared" si="398"/>
        <v>32800</v>
      </c>
      <c r="K6057" s="912" t="s">
        <v>274</v>
      </c>
      <c r="L6057" s="912"/>
      <c r="M6057" s="912"/>
      <c r="N6057" s="912"/>
      <c r="O6057" s="892">
        <f t="shared" si="397"/>
        <v>0</v>
      </c>
      <c r="P6057" s="903">
        <f t="shared" si="399"/>
        <v>1</v>
      </c>
      <c r="Q6057" s="893">
        <f t="shared" si="400"/>
        <v>8</v>
      </c>
      <c r="R6057" s="894">
        <f t="shared" si="401"/>
        <v>0</v>
      </c>
    </row>
    <row r="6058" spans="1:18">
      <c r="A6058" s="905"/>
      <c r="B6058" s="906"/>
      <c r="C6058" s="907">
        <v>25</v>
      </c>
      <c r="D6058" s="907" t="s">
        <v>279</v>
      </c>
      <c r="E6058" s="925" t="s">
        <v>5656</v>
      </c>
      <c r="F6058" s="926" t="s">
        <v>2690</v>
      </c>
      <c r="G6058" s="910"/>
      <c r="H6058" s="911">
        <v>1</v>
      </c>
      <c r="I6058" s="912">
        <f>VLOOKUP(E6058,[3]VLP!$B$7:$K$300,10,0)</f>
        <v>5000</v>
      </c>
      <c r="J6058" s="912">
        <f t="shared" si="398"/>
        <v>5000</v>
      </c>
      <c r="K6058" s="912" t="s">
        <v>274</v>
      </c>
      <c r="L6058" s="912"/>
      <c r="M6058" s="912"/>
      <c r="N6058" s="912"/>
      <c r="O6058" s="892">
        <f t="shared" si="397"/>
        <v>0</v>
      </c>
      <c r="P6058" s="903">
        <f t="shared" si="399"/>
        <v>1</v>
      </c>
      <c r="Q6058" s="893">
        <f t="shared" si="400"/>
        <v>7</v>
      </c>
      <c r="R6058" s="894">
        <f t="shared" si="401"/>
        <v>0</v>
      </c>
    </row>
    <row r="6059" spans="1:18">
      <c r="A6059" s="905"/>
      <c r="B6059" s="906"/>
      <c r="C6059" s="907">
        <v>127</v>
      </c>
      <c r="D6059" s="907" t="s">
        <v>279</v>
      </c>
      <c r="E6059" s="925" t="s">
        <v>5657</v>
      </c>
      <c r="F6059" s="909" t="s">
        <v>45</v>
      </c>
      <c r="G6059" s="910"/>
      <c r="H6059" s="911">
        <v>0.5</v>
      </c>
      <c r="I6059" s="912">
        <f>VLOOKUP(E6059,[3]VLP!$B$7:$K$300,10,0)</f>
        <v>25155</v>
      </c>
      <c r="J6059" s="912">
        <f t="shared" si="398"/>
        <v>12577.5</v>
      </c>
      <c r="K6059" s="912" t="s">
        <v>274</v>
      </c>
      <c r="L6059" s="912"/>
      <c r="M6059" s="912"/>
      <c r="N6059" s="912"/>
      <c r="O6059" s="892">
        <f t="shared" si="397"/>
        <v>0</v>
      </c>
      <c r="P6059" s="903">
        <f t="shared" si="399"/>
        <v>1</v>
      </c>
      <c r="Q6059" s="893">
        <f t="shared" si="400"/>
        <v>6</v>
      </c>
      <c r="R6059" s="894">
        <f t="shared" si="401"/>
        <v>0</v>
      </c>
    </row>
    <row r="6060" spans="1:18">
      <c r="A6060" s="905"/>
      <c r="B6060" s="906"/>
      <c r="C6060" s="907">
        <v>44</v>
      </c>
      <c r="D6060" s="907" t="s">
        <v>279</v>
      </c>
      <c r="E6060" s="925" t="s">
        <v>2681</v>
      </c>
      <c r="F6060" s="926" t="s">
        <v>45</v>
      </c>
      <c r="G6060" s="910"/>
      <c r="H6060" s="911">
        <v>0.5</v>
      </c>
      <c r="I6060" s="912">
        <f>VLOOKUP(E6060,[3]VLP!$B$7:$K$300,10,0)</f>
        <v>23000</v>
      </c>
      <c r="J6060" s="912">
        <f t="shared" si="398"/>
        <v>11500</v>
      </c>
      <c r="K6060" s="912" t="s">
        <v>274</v>
      </c>
      <c r="L6060" s="912"/>
      <c r="M6060" s="912"/>
      <c r="N6060" s="912"/>
      <c r="O6060" s="892">
        <f t="shared" si="397"/>
        <v>0</v>
      </c>
      <c r="P6060" s="903">
        <f t="shared" si="399"/>
        <v>1</v>
      </c>
      <c r="Q6060" s="893">
        <f t="shared" si="400"/>
        <v>5</v>
      </c>
      <c r="R6060" s="894">
        <f t="shared" si="401"/>
        <v>0</v>
      </c>
    </row>
    <row r="6061" spans="1:18">
      <c r="A6061" s="905"/>
      <c r="B6061" s="906"/>
      <c r="C6061" s="907">
        <v>66</v>
      </c>
      <c r="D6061" s="907" t="s">
        <v>279</v>
      </c>
      <c r="E6061" s="925" t="s">
        <v>2682</v>
      </c>
      <c r="F6061" s="926" t="s">
        <v>45</v>
      </c>
      <c r="G6061" s="910"/>
      <c r="H6061" s="911">
        <v>0.2</v>
      </c>
      <c r="I6061" s="912">
        <f>VLOOKUP(E6061,[3]VLP!$B$7:$K$300,10,0)</f>
        <v>5000</v>
      </c>
      <c r="J6061" s="912">
        <f t="shared" si="398"/>
        <v>1000</v>
      </c>
      <c r="K6061" s="912" t="s">
        <v>274</v>
      </c>
      <c r="L6061" s="912"/>
      <c r="M6061" s="912"/>
      <c r="N6061" s="912"/>
      <c r="O6061" s="892">
        <f t="shared" si="397"/>
        <v>0</v>
      </c>
      <c r="P6061" s="903">
        <f t="shared" si="399"/>
        <v>1</v>
      </c>
      <c r="Q6061" s="893">
        <f t="shared" si="400"/>
        <v>4</v>
      </c>
      <c r="R6061" s="894">
        <f t="shared" si="401"/>
        <v>0</v>
      </c>
    </row>
    <row r="6062" spans="1:18">
      <c r="A6062" s="905"/>
      <c r="B6062" s="906"/>
      <c r="C6062" s="907">
        <v>699</v>
      </c>
      <c r="D6062" s="907" t="s">
        <v>279</v>
      </c>
      <c r="E6062" s="925" t="s">
        <v>4006</v>
      </c>
      <c r="F6062" s="926" t="s">
        <v>4007</v>
      </c>
      <c r="G6062" s="910"/>
      <c r="H6062" s="911">
        <v>5</v>
      </c>
      <c r="I6062" s="912">
        <f>VLOOKUP(E6062,[3]VLP!$B$7:$K$300,10,0)</f>
        <v>5000</v>
      </c>
      <c r="J6062" s="912">
        <f t="shared" si="398"/>
        <v>25000</v>
      </c>
      <c r="K6062" s="912" t="s">
        <v>274</v>
      </c>
      <c r="L6062" s="912"/>
      <c r="M6062" s="912"/>
      <c r="N6062" s="912"/>
      <c r="O6062" s="892">
        <f t="shared" si="397"/>
        <v>0</v>
      </c>
      <c r="P6062" s="903">
        <f t="shared" si="399"/>
        <v>1</v>
      </c>
      <c r="Q6062" s="893">
        <f t="shared" si="400"/>
        <v>3</v>
      </c>
      <c r="R6062" s="894">
        <f t="shared" si="401"/>
        <v>0</v>
      </c>
    </row>
    <row r="6063" spans="1:18" s="904" customFormat="1">
      <c r="A6063" s="895"/>
      <c r="B6063" s="896"/>
      <c r="C6063" s="897"/>
      <c r="D6063" s="897"/>
      <c r="E6063" s="924" t="s">
        <v>276</v>
      </c>
      <c r="F6063" s="927"/>
      <c r="G6063" s="928"/>
      <c r="H6063" s="901"/>
      <c r="I6063" s="902"/>
      <c r="J6063" s="902"/>
      <c r="K6063" s="912" t="s">
        <v>274</v>
      </c>
      <c r="L6063" s="902"/>
      <c r="M6063" s="902"/>
      <c r="N6063" s="902"/>
      <c r="O6063" s="892">
        <f t="shared" si="397"/>
        <v>0</v>
      </c>
      <c r="P6063" s="903">
        <f t="shared" si="399"/>
        <v>1</v>
      </c>
      <c r="Q6063" s="893">
        <f t="shared" si="400"/>
        <v>2</v>
      </c>
      <c r="R6063" s="894">
        <f t="shared" si="401"/>
        <v>0</v>
      </c>
    </row>
    <row r="6064" spans="1:18">
      <c r="A6064" s="905"/>
      <c r="B6064" s="906"/>
      <c r="C6064" s="907">
        <v>745</v>
      </c>
      <c r="D6064" s="907" t="s">
        <v>12</v>
      </c>
      <c r="E6064" s="908" t="s">
        <v>5518</v>
      </c>
      <c r="F6064" s="909" t="s">
        <v>2674</v>
      </c>
      <c r="G6064" s="910"/>
      <c r="H6064" s="911">
        <v>1.55</v>
      </c>
      <c r="I6064" s="912"/>
      <c r="J6064" s="912"/>
      <c r="K6064" s="912">
        <f>VLOOKUP(E6064,[5]ĐMNC!$A$7:$F$67,4,0)</f>
        <v>240557</v>
      </c>
      <c r="L6064" s="912">
        <f>H6064*K6064</f>
        <v>372863.35000000003</v>
      </c>
      <c r="M6064" s="912"/>
      <c r="N6064" s="912"/>
      <c r="O6064" s="892">
        <f t="shared" si="397"/>
        <v>0</v>
      </c>
      <c r="P6064" s="903">
        <f t="shared" si="399"/>
        <v>1</v>
      </c>
      <c r="Q6064" s="893">
        <f t="shared" si="400"/>
        <v>1</v>
      </c>
      <c r="R6064" s="894">
        <f t="shared" si="401"/>
        <v>0</v>
      </c>
    </row>
    <row r="6065" spans="1:18" s="847" customFormat="1" ht="35.25" customHeight="1">
      <c r="A6065" s="905"/>
      <c r="B6065" s="914" t="s">
        <v>5901</v>
      </c>
      <c r="C6065" s="915"/>
      <c r="D6065" s="915"/>
      <c r="E6065" s="916" t="s">
        <v>5902</v>
      </c>
      <c r="F6065" s="917" t="s">
        <v>5834</v>
      </c>
      <c r="G6065" s="944"/>
      <c r="H6065" s="919"/>
      <c r="I6065" s="920"/>
      <c r="J6065" s="891">
        <f>SUM(J6066:J6077)</f>
        <v>203437.5</v>
      </c>
      <c r="K6065" s="891"/>
      <c r="L6065" s="891">
        <f>SUM(L6066:L6077)</f>
        <v>430597.03</v>
      </c>
      <c r="M6065" s="891"/>
      <c r="N6065" s="891">
        <f>SUM(N6066:N6077)</f>
        <v>0</v>
      </c>
      <c r="O6065" s="892">
        <f t="shared" si="397"/>
        <v>1</v>
      </c>
      <c r="P6065" s="903">
        <f t="shared" si="399"/>
        <v>0</v>
      </c>
      <c r="Q6065" s="893">
        <f t="shared" si="400"/>
        <v>0</v>
      </c>
      <c r="R6065" s="894">
        <f t="shared" si="401"/>
        <v>12</v>
      </c>
    </row>
    <row r="6066" spans="1:18" s="904" customFormat="1">
      <c r="A6066" s="895"/>
      <c r="B6066" s="896"/>
      <c r="C6066" s="897"/>
      <c r="D6066" s="897"/>
      <c r="E6066" s="898" t="s">
        <v>108</v>
      </c>
      <c r="F6066" s="899"/>
      <c r="G6066" s="928"/>
      <c r="H6066" s="901"/>
      <c r="I6066" s="902"/>
      <c r="J6066" s="902"/>
      <c r="K6066" s="912" t="s">
        <v>274</v>
      </c>
      <c r="L6066" s="902"/>
      <c r="M6066" s="902"/>
      <c r="N6066" s="902"/>
      <c r="O6066" s="892">
        <f t="shared" si="397"/>
        <v>0</v>
      </c>
      <c r="P6066" s="903">
        <f t="shared" si="399"/>
        <v>1</v>
      </c>
      <c r="Q6066" s="893">
        <f t="shared" si="400"/>
        <v>12</v>
      </c>
      <c r="R6066" s="894">
        <f t="shared" si="401"/>
        <v>0</v>
      </c>
    </row>
    <row r="6067" spans="1:18">
      <c r="A6067" s="905"/>
      <c r="B6067" s="906"/>
      <c r="C6067" s="907">
        <v>102</v>
      </c>
      <c r="D6067" s="907" t="s">
        <v>279</v>
      </c>
      <c r="E6067" s="925" t="s">
        <v>5839</v>
      </c>
      <c r="F6067" s="909" t="s">
        <v>51</v>
      </c>
      <c r="G6067" s="910"/>
      <c r="H6067" s="911">
        <v>1</v>
      </c>
      <c r="I6067" s="912">
        <f>VLOOKUP(E6067,[3]VLP!$B$7:$K$300,10,0)</f>
        <v>13520</v>
      </c>
      <c r="J6067" s="912">
        <f t="shared" ref="J6067:J6075" si="402">I6067*H6067</f>
        <v>13520</v>
      </c>
      <c r="K6067" s="912" t="s">
        <v>274</v>
      </c>
      <c r="L6067" s="912"/>
      <c r="M6067" s="912"/>
      <c r="N6067" s="912"/>
      <c r="O6067" s="892">
        <f t="shared" si="397"/>
        <v>0</v>
      </c>
      <c r="P6067" s="903">
        <f t="shared" si="399"/>
        <v>1</v>
      </c>
      <c r="Q6067" s="893">
        <f t="shared" si="400"/>
        <v>11</v>
      </c>
      <c r="R6067" s="894">
        <f t="shared" si="401"/>
        <v>0</v>
      </c>
    </row>
    <row r="6068" spans="1:18">
      <c r="A6068" s="905"/>
      <c r="B6068" s="906"/>
      <c r="C6068" s="907">
        <v>49</v>
      </c>
      <c r="D6068" s="907" t="s">
        <v>279</v>
      </c>
      <c r="E6068" s="925" t="s">
        <v>5698</v>
      </c>
      <c r="F6068" s="909" t="s">
        <v>139</v>
      </c>
      <c r="G6068" s="910"/>
      <c r="H6068" s="911">
        <v>2</v>
      </c>
      <c r="I6068" s="912">
        <f>VLOOKUP(E6068,[3]VLP!$B$7:$K$300,10,0)</f>
        <v>3000</v>
      </c>
      <c r="J6068" s="912">
        <f t="shared" si="402"/>
        <v>6000</v>
      </c>
      <c r="K6068" s="912" t="s">
        <v>274</v>
      </c>
      <c r="L6068" s="912"/>
      <c r="M6068" s="912"/>
      <c r="N6068" s="912"/>
      <c r="O6068" s="892">
        <f t="shared" si="397"/>
        <v>0</v>
      </c>
      <c r="P6068" s="903">
        <f t="shared" si="399"/>
        <v>1</v>
      </c>
      <c r="Q6068" s="893">
        <f t="shared" si="400"/>
        <v>10</v>
      </c>
      <c r="R6068" s="894">
        <f t="shared" si="401"/>
        <v>0</v>
      </c>
    </row>
    <row r="6069" spans="1:18">
      <c r="A6069" s="905"/>
      <c r="B6069" s="906"/>
      <c r="C6069" s="907">
        <v>50</v>
      </c>
      <c r="D6069" s="907" t="s">
        <v>279</v>
      </c>
      <c r="E6069" s="925" t="s">
        <v>5836</v>
      </c>
      <c r="F6069" s="909" t="s">
        <v>49</v>
      </c>
      <c r="G6069" s="910"/>
      <c r="H6069" s="911">
        <v>1</v>
      </c>
      <c r="I6069" s="912">
        <f>VLOOKUP(E6069,[3]VLP!$B$7:$K$300,10,0)</f>
        <v>85790</v>
      </c>
      <c r="J6069" s="912">
        <f t="shared" si="402"/>
        <v>85790</v>
      </c>
      <c r="K6069" s="912" t="s">
        <v>274</v>
      </c>
      <c r="L6069" s="912"/>
      <c r="M6069" s="912"/>
      <c r="N6069" s="912"/>
      <c r="O6069" s="892">
        <f t="shared" si="397"/>
        <v>0</v>
      </c>
      <c r="P6069" s="903">
        <f t="shared" si="399"/>
        <v>1</v>
      </c>
      <c r="Q6069" s="893">
        <f t="shared" si="400"/>
        <v>9</v>
      </c>
      <c r="R6069" s="894">
        <f t="shared" si="401"/>
        <v>0</v>
      </c>
    </row>
    <row r="6070" spans="1:18">
      <c r="A6070" s="905"/>
      <c r="B6070" s="906"/>
      <c r="C6070" s="907">
        <v>46</v>
      </c>
      <c r="D6070" s="907" t="s">
        <v>279</v>
      </c>
      <c r="E6070" s="925" t="s">
        <v>3179</v>
      </c>
      <c r="F6070" s="909" t="s">
        <v>45</v>
      </c>
      <c r="G6070" s="910"/>
      <c r="H6070" s="911">
        <v>2.1</v>
      </c>
      <c r="I6070" s="912">
        <f>VLOOKUP(E6070,[3]VLP!$B$7:$K$300,10,0)</f>
        <v>20500</v>
      </c>
      <c r="J6070" s="912">
        <f t="shared" si="402"/>
        <v>43050</v>
      </c>
      <c r="K6070" s="912" t="s">
        <v>274</v>
      </c>
      <c r="L6070" s="912"/>
      <c r="M6070" s="912"/>
      <c r="N6070" s="912"/>
      <c r="O6070" s="892">
        <f t="shared" si="397"/>
        <v>0</v>
      </c>
      <c r="P6070" s="903">
        <f t="shared" si="399"/>
        <v>1</v>
      </c>
      <c r="Q6070" s="893">
        <f t="shared" si="400"/>
        <v>8</v>
      </c>
      <c r="R6070" s="894">
        <f t="shared" si="401"/>
        <v>0</v>
      </c>
    </row>
    <row r="6071" spans="1:18">
      <c r="A6071" s="905"/>
      <c r="B6071" s="906"/>
      <c r="C6071" s="907">
        <v>25</v>
      </c>
      <c r="D6071" s="907" t="s">
        <v>279</v>
      </c>
      <c r="E6071" s="925" t="s">
        <v>5656</v>
      </c>
      <c r="F6071" s="926" t="s">
        <v>2690</v>
      </c>
      <c r="G6071" s="910"/>
      <c r="H6071" s="911">
        <v>1</v>
      </c>
      <c r="I6071" s="912">
        <f>VLOOKUP(E6071,[3]VLP!$B$7:$K$300,10,0)</f>
        <v>5000</v>
      </c>
      <c r="J6071" s="912">
        <f t="shared" si="402"/>
        <v>5000</v>
      </c>
      <c r="K6071" s="912" t="s">
        <v>274</v>
      </c>
      <c r="L6071" s="912"/>
      <c r="M6071" s="912"/>
      <c r="N6071" s="912"/>
      <c r="O6071" s="892">
        <f t="shared" si="397"/>
        <v>0</v>
      </c>
      <c r="P6071" s="903">
        <f t="shared" si="399"/>
        <v>1</v>
      </c>
      <c r="Q6071" s="893">
        <f t="shared" si="400"/>
        <v>7</v>
      </c>
      <c r="R6071" s="894">
        <f t="shared" si="401"/>
        <v>0</v>
      </c>
    </row>
    <row r="6072" spans="1:18">
      <c r="A6072" s="905"/>
      <c r="B6072" s="906"/>
      <c r="C6072" s="907">
        <v>127</v>
      </c>
      <c r="D6072" s="907" t="s">
        <v>279</v>
      </c>
      <c r="E6072" s="925" t="s">
        <v>5657</v>
      </c>
      <c r="F6072" s="909" t="s">
        <v>45</v>
      </c>
      <c r="G6072" s="910"/>
      <c r="H6072" s="911">
        <v>0.5</v>
      </c>
      <c r="I6072" s="912">
        <f>VLOOKUP(E6072,[3]VLP!$B$7:$K$300,10,0)</f>
        <v>25155</v>
      </c>
      <c r="J6072" s="912">
        <f t="shared" si="402"/>
        <v>12577.5</v>
      </c>
      <c r="K6072" s="912" t="s">
        <v>274</v>
      </c>
      <c r="L6072" s="912"/>
      <c r="M6072" s="912"/>
      <c r="N6072" s="912"/>
      <c r="O6072" s="892">
        <f t="shared" si="397"/>
        <v>0</v>
      </c>
      <c r="P6072" s="903">
        <f t="shared" si="399"/>
        <v>1</v>
      </c>
      <c r="Q6072" s="893">
        <f t="shared" si="400"/>
        <v>6</v>
      </c>
      <c r="R6072" s="894">
        <f t="shared" si="401"/>
        <v>0</v>
      </c>
    </row>
    <row r="6073" spans="1:18">
      <c r="A6073" s="905"/>
      <c r="B6073" s="906"/>
      <c r="C6073" s="907">
        <v>44</v>
      </c>
      <c r="D6073" s="907" t="s">
        <v>279</v>
      </c>
      <c r="E6073" s="925" t="s">
        <v>2681</v>
      </c>
      <c r="F6073" s="926" t="s">
        <v>45</v>
      </c>
      <c r="G6073" s="910"/>
      <c r="H6073" s="911">
        <v>0.5</v>
      </c>
      <c r="I6073" s="912">
        <f>VLOOKUP(E6073,[3]VLP!$B$7:$K$300,10,0)</f>
        <v>23000</v>
      </c>
      <c r="J6073" s="912">
        <f t="shared" si="402"/>
        <v>11500</v>
      </c>
      <c r="K6073" s="912" t="s">
        <v>274</v>
      </c>
      <c r="L6073" s="912"/>
      <c r="M6073" s="912"/>
      <c r="N6073" s="912"/>
      <c r="O6073" s="892">
        <f t="shared" si="397"/>
        <v>0</v>
      </c>
      <c r="P6073" s="903">
        <f t="shared" si="399"/>
        <v>1</v>
      </c>
      <c r="Q6073" s="893">
        <f t="shared" si="400"/>
        <v>5</v>
      </c>
      <c r="R6073" s="894">
        <f t="shared" si="401"/>
        <v>0</v>
      </c>
    </row>
    <row r="6074" spans="1:18">
      <c r="A6074" s="905"/>
      <c r="B6074" s="906"/>
      <c r="C6074" s="907">
        <v>66</v>
      </c>
      <c r="D6074" s="907" t="s">
        <v>279</v>
      </c>
      <c r="E6074" s="925" t="s">
        <v>2682</v>
      </c>
      <c r="F6074" s="926" t="s">
        <v>45</v>
      </c>
      <c r="G6074" s="910"/>
      <c r="H6074" s="911">
        <v>0.2</v>
      </c>
      <c r="I6074" s="912">
        <f>VLOOKUP(E6074,[3]VLP!$B$7:$K$300,10,0)</f>
        <v>5000</v>
      </c>
      <c r="J6074" s="912">
        <f t="shared" si="402"/>
        <v>1000</v>
      </c>
      <c r="K6074" s="912" t="s">
        <v>274</v>
      </c>
      <c r="L6074" s="912"/>
      <c r="M6074" s="912"/>
      <c r="N6074" s="912"/>
      <c r="O6074" s="892">
        <f t="shared" si="397"/>
        <v>0</v>
      </c>
      <c r="P6074" s="903">
        <f t="shared" si="399"/>
        <v>1</v>
      </c>
      <c r="Q6074" s="893">
        <f t="shared" si="400"/>
        <v>4</v>
      </c>
      <c r="R6074" s="894">
        <f t="shared" si="401"/>
        <v>0</v>
      </c>
    </row>
    <row r="6075" spans="1:18">
      <c r="A6075" s="905"/>
      <c r="B6075" s="906"/>
      <c r="C6075" s="907">
        <v>699</v>
      </c>
      <c r="D6075" s="907" t="s">
        <v>279</v>
      </c>
      <c r="E6075" s="925" t="s">
        <v>4006</v>
      </c>
      <c r="F6075" s="926" t="s">
        <v>4007</v>
      </c>
      <c r="G6075" s="910"/>
      <c r="H6075" s="911">
        <v>5</v>
      </c>
      <c r="I6075" s="912">
        <f>VLOOKUP(E6075,[3]VLP!$B$7:$K$300,10,0)</f>
        <v>5000</v>
      </c>
      <c r="J6075" s="912">
        <f t="shared" si="402"/>
        <v>25000</v>
      </c>
      <c r="K6075" s="912" t="s">
        <v>274</v>
      </c>
      <c r="L6075" s="912"/>
      <c r="M6075" s="912"/>
      <c r="N6075" s="912"/>
      <c r="O6075" s="892">
        <f t="shared" si="397"/>
        <v>0</v>
      </c>
      <c r="P6075" s="903">
        <f t="shared" si="399"/>
        <v>1</v>
      </c>
      <c r="Q6075" s="893">
        <f t="shared" si="400"/>
        <v>3</v>
      </c>
      <c r="R6075" s="894">
        <f t="shared" si="401"/>
        <v>0</v>
      </c>
    </row>
    <row r="6076" spans="1:18" s="904" customFormat="1">
      <c r="A6076" s="895"/>
      <c r="B6076" s="896"/>
      <c r="C6076" s="897"/>
      <c r="D6076" s="897"/>
      <c r="E6076" s="924" t="s">
        <v>276</v>
      </c>
      <c r="F6076" s="927"/>
      <c r="G6076" s="928"/>
      <c r="H6076" s="901"/>
      <c r="I6076" s="902"/>
      <c r="J6076" s="902"/>
      <c r="K6076" s="912" t="s">
        <v>274</v>
      </c>
      <c r="L6076" s="902"/>
      <c r="M6076" s="902"/>
      <c r="N6076" s="902"/>
      <c r="O6076" s="892">
        <f t="shared" si="397"/>
        <v>0</v>
      </c>
      <c r="P6076" s="903">
        <f t="shared" si="399"/>
        <v>1</v>
      </c>
      <c r="Q6076" s="893">
        <f t="shared" si="400"/>
        <v>2</v>
      </c>
      <c r="R6076" s="894">
        <f t="shared" si="401"/>
        <v>0</v>
      </c>
    </row>
    <row r="6077" spans="1:18">
      <c r="A6077" s="905"/>
      <c r="B6077" s="906"/>
      <c r="C6077" s="907">
        <v>745</v>
      </c>
      <c r="D6077" s="907" t="s">
        <v>12</v>
      </c>
      <c r="E6077" s="908" t="s">
        <v>5518</v>
      </c>
      <c r="F6077" s="909" t="s">
        <v>2674</v>
      </c>
      <c r="G6077" s="910"/>
      <c r="H6077" s="911">
        <v>1.79</v>
      </c>
      <c r="I6077" s="912"/>
      <c r="J6077" s="912"/>
      <c r="K6077" s="912">
        <f>VLOOKUP(E6077,[5]ĐMNC!$A$7:$F$67,4,0)</f>
        <v>240557</v>
      </c>
      <c r="L6077" s="912">
        <f>H6077*K6077</f>
        <v>430597.03</v>
      </c>
      <c r="M6077" s="912"/>
      <c r="N6077" s="912"/>
      <c r="O6077" s="892">
        <f t="shared" si="397"/>
        <v>0</v>
      </c>
      <c r="P6077" s="903">
        <f t="shared" si="399"/>
        <v>1</v>
      </c>
      <c r="Q6077" s="893">
        <f t="shared" si="400"/>
        <v>1</v>
      </c>
      <c r="R6077" s="894">
        <f t="shared" si="401"/>
        <v>0</v>
      </c>
    </row>
    <row r="6078" spans="1:18" s="847" customFormat="1" ht="35.25" customHeight="1">
      <c r="A6078" s="905"/>
      <c r="B6078" s="914" t="s">
        <v>5903</v>
      </c>
      <c r="C6078" s="915"/>
      <c r="D6078" s="915"/>
      <c r="E6078" s="916" t="s">
        <v>5904</v>
      </c>
      <c r="F6078" s="917" t="s">
        <v>5834</v>
      </c>
      <c r="G6078" s="944"/>
      <c r="H6078" s="919"/>
      <c r="I6078" s="920"/>
      <c r="J6078" s="891">
        <f>SUM(J6079:J6090)</f>
        <v>209837.5</v>
      </c>
      <c r="K6078" s="891"/>
      <c r="L6078" s="891">
        <f>SUM(L6079:L6090)</f>
        <v>572525.65999999992</v>
      </c>
      <c r="M6078" s="891"/>
      <c r="N6078" s="891">
        <f>SUM(N6079:N6090)</f>
        <v>0</v>
      </c>
      <c r="O6078" s="892">
        <f t="shared" si="397"/>
        <v>1</v>
      </c>
      <c r="P6078" s="903">
        <f t="shared" si="399"/>
        <v>0</v>
      </c>
      <c r="Q6078" s="893">
        <f t="shared" si="400"/>
        <v>0</v>
      </c>
      <c r="R6078" s="894">
        <f t="shared" si="401"/>
        <v>12</v>
      </c>
    </row>
    <row r="6079" spans="1:18" s="904" customFormat="1">
      <c r="A6079" s="895"/>
      <c r="B6079" s="896"/>
      <c r="C6079" s="897"/>
      <c r="D6079" s="897"/>
      <c r="E6079" s="898" t="s">
        <v>108</v>
      </c>
      <c r="F6079" s="899"/>
      <c r="G6079" s="928"/>
      <c r="H6079" s="901"/>
      <c r="I6079" s="902"/>
      <c r="J6079" s="902"/>
      <c r="K6079" s="912" t="s">
        <v>274</v>
      </c>
      <c r="L6079" s="902"/>
      <c r="M6079" s="902"/>
      <c r="N6079" s="902"/>
      <c r="O6079" s="892">
        <f t="shared" si="397"/>
        <v>0</v>
      </c>
      <c r="P6079" s="903">
        <f t="shared" si="399"/>
        <v>1</v>
      </c>
      <c r="Q6079" s="893">
        <f t="shared" si="400"/>
        <v>12</v>
      </c>
      <c r="R6079" s="894">
        <f t="shared" si="401"/>
        <v>0</v>
      </c>
    </row>
    <row r="6080" spans="1:18">
      <c r="A6080" s="905"/>
      <c r="B6080" s="906"/>
      <c r="C6080" s="907">
        <v>103</v>
      </c>
      <c r="D6080" s="907" t="s">
        <v>279</v>
      </c>
      <c r="E6080" s="925" t="s">
        <v>5842</v>
      </c>
      <c r="F6080" s="909" t="s">
        <v>51</v>
      </c>
      <c r="G6080" s="910"/>
      <c r="H6080" s="911">
        <v>1</v>
      </c>
      <c r="I6080" s="912">
        <f>VLOOKUP(E6080,[3]VLP!$B$7:$K$300,10,0)</f>
        <v>13520</v>
      </c>
      <c r="J6080" s="912">
        <f t="shared" ref="J6080:J6088" si="403">I6080*H6080</f>
        <v>13520</v>
      </c>
      <c r="K6080" s="912" t="s">
        <v>274</v>
      </c>
      <c r="L6080" s="912"/>
      <c r="M6080" s="912"/>
      <c r="N6080" s="912"/>
      <c r="O6080" s="892">
        <f t="shared" si="397"/>
        <v>0</v>
      </c>
      <c r="P6080" s="903">
        <f t="shared" si="399"/>
        <v>1</v>
      </c>
      <c r="Q6080" s="893">
        <f t="shared" si="400"/>
        <v>11</v>
      </c>
      <c r="R6080" s="894">
        <f t="shared" si="401"/>
        <v>0</v>
      </c>
    </row>
    <row r="6081" spans="1:18">
      <c r="A6081" s="905"/>
      <c r="B6081" s="906"/>
      <c r="C6081" s="907">
        <v>49</v>
      </c>
      <c r="D6081" s="907" t="s">
        <v>279</v>
      </c>
      <c r="E6081" s="925" t="s">
        <v>5698</v>
      </c>
      <c r="F6081" s="909" t="s">
        <v>139</v>
      </c>
      <c r="G6081" s="910"/>
      <c r="H6081" s="911">
        <v>2</v>
      </c>
      <c r="I6081" s="912">
        <f>VLOOKUP(E6081,[3]VLP!$B$7:$K$300,10,0)</f>
        <v>3000</v>
      </c>
      <c r="J6081" s="912">
        <f t="shared" si="403"/>
        <v>6000</v>
      </c>
      <c r="K6081" s="912" t="s">
        <v>274</v>
      </c>
      <c r="L6081" s="912"/>
      <c r="M6081" s="912"/>
      <c r="N6081" s="912"/>
      <c r="O6081" s="892">
        <f t="shared" si="397"/>
        <v>0</v>
      </c>
      <c r="P6081" s="903">
        <f t="shared" si="399"/>
        <v>1</v>
      </c>
      <c r="Q6081" s="893">
        <f t="shared" si="400"/>
        <v>10</v>
      </c>
      <c r="R6081" s="894">
        <f t="shared" si="401"/>
        <v>0</v>
      </c>
    </row>
    <row r="6082" spans="1:18">
      <c r="A6082" s="905"/>
      <c r="B6082" s="906"/>
      <c r="C6082" s="907">
        <v>50</v>
      </c>
      <c r="D6082" s="907" t="s">
        <v>279</v>
      </c>
      <c r="E6082" s="925" t="s">
        <v>5836</v>
      </c>
      <c r="F6082" s="909" t="s">
        <v>49</v>
      </c>
      <c r="G6082" s="910"/>
      <c r="H6082" s="911">
        <v>1</v>
      </c>
      <c r="I6082" s="912">
        <f>VLOOKUP(E6082,[3]VLP!$B$7:$K$300,10,0)</f>
        <v>85790</v>
      </c>
      <c r="J6082" s="912">
        <f t="shared" si="403"/>
        <v>85790</v>
      </c>
      <c r="K6082" s="912" t="s">
        <v>274</v>
      </c>
      <c r="L6082" s="912"/>
      <c r="M6082" s="912"/>
      <c r="N6082" s="912"/>
      <c r="O6082" s="892">
        <f t="shared" si="397"/>
        <v>0</v>
      </c>
      <c r="P6082" s="903">
        <f t="shared" si="399"/>
        <v>1</v>
      </c>
      <c r="Q6082" s="893">
        <f t="shared" si="400"/>
        <v>9</v>
      </c>
      <c r="R6082" s="894">
        <f t="shared" si="401"/>
        <v>0</v>
      </c>
    </row>
    <row r="6083" spans="1:18">
      <c r="A6083" s="905"/>
      <c r="B6083" s="906"/>
      <c r="C6083" s="907">
        <v>46</v>
      </c>
      <c r="D6083" s="907" t="s">
        <v>279</v>
      </c>
      <c r="E6083" s="925" t="s">
        <v>3179</v>
      </c>
      <c r="F6083" s="909" t="s">
        <v>45</v>
      </c>
      <c r="G6083" s="910"/>
      <c r="H6083" s="911">
        <v>2.4</v>
      </c>
      <c r="I6083" s="912">
        <f>VLOOKUP(E6083,[3]VLP!$B$7:$K$300,10,0)</f>
        <v>20500</v>
      </c>
      <c r="J6083" s="912">
        <f t="shared" si="403"/>
        <v>49200</v>
      </c>
      <c r="K6083" s="912" t="s">
        <v>274</v>
      </c>
      <c r="L6083" s="912"/>
      <c r="M6083" s="912"/>
      <c r="N6083" s="912"/>
      <c r="O6083" s="892">
        <f t="shared" si="397"/>
        <v>0</v>
      </c>
      <c r="P6083" s="903">
        <f t="shared" si="399"/>
        <v>1</v>
      </c>
      <c r="Q6083" s="893">
        <f t="shared" si="400"/>
        <v>8</v>
      </c>
      <c r="R6083" s="894">
        <f t="shared" si="401"/>
        <v>0</v>
      </c>
    </row>
    <row r="6084" spans="1:18">
      <c r="A6084" s="905"/>
      <c r="B6084" s="906"/>
      <c r="C6084" s="907">
        <v>25</v>
      </c>
      <c r="D6084" s="907" t="s">
        <v>279</v>
      </c>
      <c r="E6084" s="925" t="s">
        <v>5656</v>
      </c>
      <c r="F6084" s="926" t="s">
        <v>2690</v>
      </c>
      <c r="G6084" s="910"/>
      <c r="H6084" s="911">
        <v>1</v>
      </c>
      <c r="I6084" s="912">
        <f>VLOOKUP(E6084,[3]VLP!$B$7:$K$300,10,0)</f>
        <v>5000</v>
      </c>
      <c r="J6084" s="912">
        <f t="shared" si="403"/>
        <v>5000</v>
      </c>
      <c r="K6084" s="912" t="s">
        <v>274</v>
      </c>
      <c r="L6084" s="912"/>
      <c r="M6084" s="912"/>
      <c r="N6084" s="912"/>
      <c r="O6084" s="892">
        <f t="shared" si="397"/>
        <v>0</v>
      </c>
      <c r="P6084" s="903">
        <f t="shared" si="399"/>
        <v>1</v>
      </c>
      <c r="Q6084" s="893">
        <f t="shared" si="400"/>
        <v>7</v>
      </c>
      <c r="R6084" s="894">
        <f t="shared" si="401"/>
        <v>0</v>
      </c>
    </row>
    <row r="6085" spans="1:18">
      <c r="A6085" s="905"/>
      <c r="B6085" s="906"/>
      <c r="C6085" s="907">
        <v>127</v>
      </c>
      <c r="D6085" s="907" t="s">
        <v>279</v>
      </c>
      <c r="E6085" s="925" t="s">
        <v>5657</v>
      </c>
      <c r="F6085" s="909" t="s">
        <v>45</v>
      </c>
      <c r="G6085" s="910"/>
      <c r="H6085" s="911">
        <v>0.5</v>
      </c>
      <c r="I6085" s="912">
        <f>VLOOKUP(E6085,[3]VLP!$B$7:$K$300,10,0)</f>
        <v>25155</v>
      </c>
      <c r="J6085" s="912">
        <f t="shared" si="403"/>
        <v>12577.5</v>
      </c>
      <c r="K6085" s="912" t="s">
        <v>274</v>
      </c>
      <c r="L6085" s="912"/>
      <c r="M6085" s="912"/>
      <c r="N6085" s="912"/>
      <c r="O6085" s="892">
        <f t="shared" si="397"/>
        <v>0</v>
      </c>
      <c r="P6085" s="903">
        <f t="shared" si="399"/>
        <v>1</v>
      </c>
      <c r="Q6085" s="893">
        <f t="shared" si="400"/>
        <v>6</v>
      </c>
      <c r="R6085" s="894">
        <f t="shared" si="401"/>
        <v>0</v>
      </c>
    </row>
    <row r="6086" spans="1:18">
      <c r="A6086" s="905"/>
      <c r="B6086" s="906"/>
      <c r="C6086" s="907">
        <v>44</v>
      </c>
      <c r="D6086" s="907" t="s">
        <v>279</v>
      </c>
      <c r="E6086" s="925" t="s">
        <v>2681</v>
      </c>
      <c r="F6086" s="926" t="s">
        <v>45</v>
      </c>
      <c r="G6086" s="910"/>
      <c r="H6086" s="911">
        <v>0.5</v>
      </c>
      <c r="I6086" s="912">
        <f>VLOOKUP(E6086,[3]VLP!$B$7:$K$300,10,0)</f>
        <v>23000</v>
      </c>
      <c r="J6086" s="912">
        <f t="shared" si="403"/>
        <v>11500</v>
      </c>
      <c r="K6086" s="912" t="s">
        <v>274</v>
      </c>
      <c r="L6086" s="912"/>
      <c r="M6086" s="912"/>
      <c r="N6086" s="912"/>
      <c r="O6086" s="892">
        <f t="shared" si="397"/>
        <v>0</v>
      </c>
      <c r="P6086" s="903">
        <f t="shared" si="399"/>
        <v>1</v>
      </c>
      <c r="Q6086" s="893">
        <f t="shared" si="400"/>
        <v>5</v>
      </c>
      <c r="R6086" s="894">
        <f t="shared" si="401"/>
        <v>0</v>
      </c>
    </row>
    <row r="6087" spans="1:18">
      <c r="A6087" s="905"/>
      <c r="B6087" s="906"/>
      <c r="C6087" s="907">
        <v>66</v>
      </c>
      <c r="D6087" s="907" t="s">
        <v>279</v>
      </c>
      <c r="E6087" s="925" t="s">
        <v>2682</v>
      </c>
      <c r="F6087" s="926" t="s">
        <v>45</v>
      </c>
      <c r="G6087" s="910"/>
      <c r="H6087" s="911">
        <v>0.25</v>
      </c>
      <c r="I6087" s="912">
        <f>VLOOKUP(E6087,[3]VLP!$B$7:$K$300,10,0)</f>
        <v>5000</v>
      </c>
      <c r="J6087" s="912">
        <f t="shared" si="403"/>
        <v>1250</v>
      </c>
      <c r="K6087" s="912" t="s">
        <v>274</v>
      </c>
      <c r="L6087" s="912"/>
      <c r="M6087" s="912"/>
      <c r="N6087" s="912"/>
      <c r="O6087" s="892">
        <f t="shared" si="397"/>
        <v>0</v>
      </c>
      <c r="P6087" s="903">
        <f t="shared" si="399"/>
        <v>1</v>
      </c>
      <c r="Q6087" s="893">
        <f t="shared" si="400"/>
        <v>4</v>
      </c>
      <c r="R6087" s="894">
        <f t="shared" si="401"/>
        <v>0</v>
      </c>
    </row>
    <row r="6088" spans="1:18">
      <c r="A6088" s="905"/>
      <c r="B6088" s="906"/>
      <c r="C6088" s="907">
        <v>699</v>
      </c>
      <c r="D6088" s="907" t="s">
        <v>279</v>
      </c>
      <c r="E6088" s="925" t="s">
        <v>4006</v>
      </c>
      <c r="F6088" s="926" t="s">
        <v>4007</v>
      </c>
      <c r="G6088" s="910"/>
      <c r="H6088" s="911">
        <v>5</v>
      </c>
      <c r="I6088" s="912">
        <f>VLOOKUP(E6088,[3]VLP!$B$7:$K$300,10,0)</f>
        <v>5000</v>
      </c>
      <c r="J6088" s="912">
        <f t="shared" si="403"/>
        <v>25000</v>
      </c>
      <c r="K6088" s="912" t="s">
        <v>274</v>
      </c>
      <c r="L6088" s="912"/>
      <c r="M6088" s="912"/>
      <c r="N6088" s="912"/>
      <c r="O6088" s="892">
        <f t="shared" si="397"/>
        <v>0</v>
      </c>
      <c r="P6088" s="903">
        <f t="shared" si="399"/>
        <v>1</v>
      </c>
      <c r="Q6088" s="893">
        <f t="shared" si="400"/>
        <v>3</v>
      </c>
      <c r="R6088" s="894">
        <f t="shared" si="401"/>
        <v>0</v>
      </c>
    </row>
    <row r="6089" spans="1:18" s="904" customFormat="1">
      <c r="A6089" s="895"/>
      <c r="B6089" s="896"/>
      <c r="C6089" s="897"/>
      <c r="D6089" s="897"/>
      <c r="E6089" s="924" t="s">
        <v>276</v>
      </c>
      <c r="F6089" s="927"/>
      <c r="G6089" s="928"/>
      <c r="H6089" s="901"/>
      <c r="I6089" s="902"/>
      <c r="J6089" s="902"/>
      <c r="K6089" s="912" t="s">
        <v>274</v>
      </c>
      <c r="L6089" s="902"/>
      <c r="M6089" s="902"/>
      <c r="N6089" s="902"/>
      <c r="O6089" s="892">
        <f t="shared" si="397"/>
        <v>0</v>
      </c>
      <c r="P6089" s="903">
        <f t="shared" si="399"/>
        <v>1</v>
      </c>
      <c r="Q6089" s="893">
        <f t="shared" si="400"/>
        <v>2</v>
      </c>
      <c r="R6089" s="894">
        <f t="shared" si="401"/>
        <v>0</v>
      </c>
    </row>
    <row r="6090" spans="1:18">
      <c r="A6090" s="905"/>
      <c r="B6090" s="906"/>
      <c r="C6090" s="907">
        <v>745</v>
      </c>
      <c r="D6090" s="907" t="s">
        <v>12</v>
      </c>
      <c r="E6090" s="908" t="s">
        <v>5518</v>
      </c>
      <c r="F6090" s="909" t="s">
        <v>2674</v>
      </c>
      <c r="G6090" s="910"/>
      <c r="H6090" s="911">
        <v>2.38</v>
      </c>
      <c r="I6090" s="912"/>
      <c r="J6090" s="912"/>
      <c r="K6090" s="912">
        <f>VLOOKUP(E6090,[5]ĐMNC!$A$7:$F$67,4,0)</f>
        <v>240557</v>
      </c>
      <c r="L6090" s="912">
        <f>H6090*K6090</f>
        <v>572525.65999999992</v>
      </c>
      <c r="M6090" s="912"/>
      <c r="N6090" s="912"/>
      <c r="O6090" s="892">
        <f t="shared" si="397"/>
        <v>0</v>
      </c>
      <c r="P6090" s="903">
        <f t="shared" si="399"/>
        <v>1</v>
      </c>
      <c r="Q6090" s="893">
        <f t="shared" si="400"/>
        <v>1</v>
      </c>
      <c r="R6090" s="894">
        <f t="shared" si="401"/>
        <v>0</v>
      </c>
    </row>
    <row r="6091" spans="1:18" s="847" customFormat="1" ht="35.25" customHeight="1">
      <c r="A6091" s="905"/>
      <c r="B6091" s="914" t="s">
        <v>5905</v>
      </c>
      <c r="C6091" s="915"/>
      <c r="D6091" s="915"/>
      <c r="E6091" s="916" t="s">
        <v>5906</v>
      </c>
      <c r="F6091" s="917" t="s">
        <v>5834</v>
      </c>
      <c r="G6091" s="944"/>
      <c r="H6091" s="919"/>
      <c r="I6091" s="920"/>
      <c r="J6091" s="891">
        <f>SUM(J6092:J6103)</f>
        <v>229597.5</v>
      </c>
      <c r="K6091" s="891"/>
      <c r="L6091" s="891">
        <f>SUM(L6092:L6103)</f>
        <v>685587.45000000007</v>
      </c>
      <c r="M6091" s="891"/>
      <c r="N6091" s="891">
        <f>SUM(N6092:N6103)</f>
        <v>0</v>
      </c>
      <c r="O6091" s="892">
        <f t="shared" si="397"/>
        <v>1</v>
      </c>
      <c r="P6091" s="903">
        <f t="shared" si="399"/>
        <v>0</v>
      </c>
      <c r="Q6091" s="893">
        <f t="shared" si="400"/>
        <v>0</v>
      </c>
      <c r="R6091" s="894">
        <f t="shared" si="401"/>
        <v>12</v>
      </c>
    </row>
    <row r="6092" spans="1:18" s="904" customFormat="1">
      <c r="A6092" s="895"/>
      <c r="B6092" s="896"/>
      <c r="C6092" s="897"/>
      <c r="D6092" s="897"/>
      <c r="E6092" s="898" t="s">
        <v>108</v>
      </c>
      <c r="F6092" s="899"/>
      <c r="G6092" s="928"/>
      <c r="H6092" s="901"/>
      <c r="I6092" s="902"/>
      <c r="J6092" s="902"/>
      <c r="K6092" s="912" t="s">
        <v>274</v>
      </c>
      <c r="L6092" s="902"/>
      <c r="M6092" s="902"/>
      <c r="N6092" s="902"/>
      <c r="O6092" s="892">
        <f t="shared" si="397"/>
        <v>0</v>
      </c>
      <c r="P6092" s="903">
        <f t="shared" si="399"/>
        <v>1</v>
      </c>
      <c r="Q6092" s="893">
        <f t="shared" si="400"/>
        <v>12</v>
      </c>
      <c r="R6092" s="894">
        <f t="shared" si="401"/>
        <v>0</v>
      </c>
    </row>
    <row r="6093" spans="1:18">
      <c r="A6093" s="905"/>
      <c r="B6093" s="906"/>
      <c r="C6093" s="907">
        <v>104</v>
      </c>
      <c r="D6093" s="907" t="s">
        <v>279</v>
      </c>
      <c r="E6093" s="925" t="s">
        <v>5845</v>
      </c>
      <c r="F6093" s="909" t="s">
        <v>51</v>
      </c>
      <c r="G6093" s="910"/>
      <c r="H6093" s="911">
        <v>1</v>
      </c>
      <c r="I6093" s="912">
        <f>VLOOKUP(E6093,[3]VLP!$B$7:$K$300,10,0)</f>
        <v>20280</v>
      </c>
      <c r="J6093" s="912">
        <f t="shared" ref="J6093:J6101" si="404">I6093*H6093</f>
        <v>20280</v>
      </c>
      <c r="K6093" s="912" t="s">
        <v>274</v>
      </c>
      <c r="L6093" s="912"/>
      <c r="M6093" s="912"/>
      <c r="N6093" s="912"/>
      <c r="O6093" s="892">
        <f t="shared" si="397"/>
        <v>0</v>
      </c>
      <c r="P6093" s="903">
        <f t="shared" si="399"/>
        <v>1</v>
      </c>
      <c r="Q6093" s="893">
        <f t="shared" si="400"/>
        <v>11</v>
      </c>
      <c r="R6093" s="894">
        <f t="shared" si="401"/>
        <v>0</v>
      </c>
    </row>
    <row r="6094" spans="1:18">
      <c r="A6094" s="905"/>
      <c r="B6094" s="906"/>
      <c r="C6094" s="907">
        <v>49</v>
      </c>
      <c r="D6094" s="907" t="s">
        <v>279</v>
      </c>
      <c r="E6094" s="925" t="s">
        <v>5698</v>
      </c>
      <c r="F6094" s="909" t="s">
        <v>139</v>
      </c>
      <c r="G6094" s="910"/>
      <c r="H6094" s="911">
        <v>2</v>
      </c>
      <c r="I6094" s="912">
        <f>VLOOKUP(E6094,[3]VLP!$B$7:$K$300,10,0)</f>
        <v>3000</v>
      </c>
      <c r="J6094" s="912">
        <f t="shared" si="404"/>
        <v>6000</v>
      </c>
      <c r="K6094" s="912" t="s">
        <v>274</v>
      </c>
      <c r="L6094" s="912"/>
      <c r="M6094" s="912"/>
      <c r="N6094" s="912"/>
      <c r="O6094" s="892">
        <f t="shared" si="397"/>
        <v>0</v>
      </c>
      <c r="P6094" s="903">
        <f t="shared" si="399"/>
        <v>1</v>
      </c>
      <c r="Q6094" s="893">
        <f t="shared" si="400"/>
        <v>10</v>
      </c>
      <c r="R6094" s="894">
        <f t="shared" si="401"/>
        <v>0</v>
      </c>
    </row>
    <row r="6095" spans="1:18">
      <c r="A6095" s="905"/>
      <c r="B6095" s="906"/>
      <c r="C6095" s="907">
        <v>50</v>
      </c>
      <c r="D6095" s="907" t="s">
        <v>279</v>
      </c>
      <c r="E6095" s="925" t="s">
        <v>5836</v>
      </c>
      <c r="F6095" s="909" t="s">
        <v>49</v>
      </c>
      <c r="G6095" s="910"/>
      <c r="H6095" s="911">
        <v>1</v>
      </c>
      <c r="I6095" s="912">
        <f>VLOOKUP(E6095,[3]VLP!$B$7:$K$300,10,0)</f>
        <v>85790</v>
      </c>
      <c r="J6095" s="912">
        <f t="shared" si="404"/>
        <v>85790</v>
      </c>
      <c r="K6095" s="912" t="s">
        <v>274</v>
      </c>
      <c r="L6095" s="912"/>
      <c r="M6095" s="912"/>
      <c r="N6095" s="912"/>
      <c r="O6095" s="892">
        <f t="shared" si="397"/>
        <v>0</v>
      </c>
      <c r="P6095" s="903">
        <f t="shared" si="399"/>
        <v>1</v>
      </c>
      <c r="Q6095" s="893">
        <f t="shared" si="400"/>
        <v>9</v>
      </c>
      <c r="R6095" s="894">
        <f t="shared" si="401"/>
        <v>0</v>
      </c>
    </row>
    <row r="6096" spans="1:18">
      <c r="A6096" s="905"/>
      <c r="B6096" s="906"/>
      <c r="C6096" s="907">
        <v>46</v>
      </c>
      <c r="D6096" s="907" t="s">
        <v>279</v>
      </c>
      <c r="E6096" s="925" t="s">
        <v>3179</v>
      </c>
      <c r="F6096" s="909" t="s">
        <v>45</v>
      </c>
      <c r="G6096" s="910"/>
      <c r="H6096" s="911">
        <v>2.8</v>
      </c>
      <c r="I6096" s="912">
        <f>VLOOKUP(E6096,[3]VLP!$B$7:$K$300,10,0)</f>
        <v>20500</v>
      </c>
      <c r="J6096" s="912">
        <f t="shared" si="404"/>
        <v>57399.999999999993</v>
      </c>
      <c r="K6096" s="912" t="s">
        <v>274</v>
      </c>
      <c r="L6096" s="912"/>
      <c r="M6096" s="912"/>
      <c r="N6096" s="912"/>
      <c r="O6096" s="892">
        <f t="shared" si="397"/>
        <v>0</v>
      </c>
      <c r="P6096" s="903">
        <f t="shared" si="399"/>
        <v>1</v>
      </c>
      <c r="Q6096" s="893">
        <f t="shared" si="400"/>
        <v>8</v>
      </c>
      <c r="R6096" s="894">
        <f t="shared" si="401"/>
        <v>0</v>
      </c>
    </row>
    <row r="6097" spans="1:18">
      <c r="A6097" s="905"/>
      <c r="B6097" s="906"/>
      <c r="C6097" s="907">
        <v>25</v>
      </c>
      <c r="D6097" s="907" t="s">
        <v>279</v>
      </c>
      <c r="E6097" s="925" t="s">
        <v>5656</v>
      </c>
      <c r="F6097" s="926" t="s">
        <v>2690</v>
      </c>
      <c r="G6097" s="910"/>
      <c r="H6097" s="911">
        <v>1.5</v>
      </c>
      <c r="I6097" s="912">
        <f>VLOOKUP(E6097,[3]VLP!$B$7:$K$300,10,0)</f>
        <v>5000</v>
      </c>
      <c r="J6097" s="912">
        <f t="shared" si="404"/>
        <v>7500</v>
      </c>
      <c r="K6097" s="912" t="s">
        <v>274</v>
      </c>
      <c r="L6097" s="912"/>
      <c r="M6097" s="912"/>
      <c r="N6097" s="912"/>
      <c r="O6097" s="892">
        <f t="shared" si="397"/>
        <v>0</v>
      </c>
      <c r="P6097" s="903">
        <f t="shared" si="399"/>
        <v>1</v>
      </c>
      <c r="Q6097" s="893">
        <f t="shared" si="400"/>
        <v>7</v>
      </c>
      <c r="R6097" s="894">
        <f t="shared" si="401"/>
        <v>0</v>
      </c>
    </row>
    <row r="6098" spans="1:18">
      <c r="A6098" s="905"/>
      <c r="B6098" s="906"/>
      <c r="C6098" s="907">
        <v>127</v>
      </c>
      <c r="D6098" s="907" t="s">
        <v>279</v>
      </c>
      <c r="E6098" s="925" t="s">
        <v>5657</v>
      </c>
      <c r="F6098" s="909" t="s">
        <v>45</v>
      </c>
      <c r="G6098" s="910"/>
      <c r="H6098" s="911">
        <v>0.5</v>
      </c>
      <c r="I6098" s="912">
        <f>VLOOKUP(E6098,[3]VLP!$B$7:$K$300,10,0)</f>
        <v>25155</v>
      </c>
      <c r="J6098" s="912">
        <f t="shared" si="404"/>
        <v>12577.5</v>
      </c>
      <c r="K6098" s="912" t="s">
        <v>274</v>
      </c>
      <c r="L6098" s="912"/>
      <c r="M6098" s="912"/>
      <c r="N6098" s="912"/>
      <c r="O6098" s="892">
        <f t="shared" si="397"/>
        <v>0</v>
      </c>
      <c r="P6098" s="903">
        <f t="shared" si="399"/>
        <v>1</v>
      </c>
      <c r="Q6098" s="893">
        <f t="shared" si="400"/>
        <v>6</v>
      </c>
      <c r="R6098" s="894">
        <f t="shared" si="401"/>
        <v>0</v>
      </c>
    </row>
    <row r="6099" spans="1:18">
      <c r="A6099" s="905"/>
      <c r="B6099" s="906"/>
      <c r="C6099" s="907">
        <v>44</v>
      </c>
      <c r="D6099" s="907" t="s">
        <v>279</v>
      </c>
      <c r="E6099" s="925" t="s">
        <v>2681</v>
      </c>
      <c r="F6099" s="926" t="s">
        <v>45</v>
      </c>
      <c r="G6099" s="910"/>
      <c r="H6099" s="911">
        <v>0.6</v>
      </c>
      <c r="I6099" s="912">
        <f>VLOOKUP(E6099,[3]VLP!$B$7:$K$300,10,0)</f>
        <v>23000</v>
      </c>
      <c r="J6099" s="912">
        <f t="shared" si="404"/>
        <v>13800</v>
      </c>
      <c r="K6099" s="912" t="s">
        <v>274</v>
      </c>
      <c r="L6099" s="912"/>
      <c r="M6099" s="912"/>
      <c r="N6099" s="912"/>
      <c r="O6099" s="892">
        <f t="shared" si="397"/>
        <v>0</v>
      </c>
      <c r="P6099" s="903">
        <f t="shared" si="399"/>
        <v>1</v>
      </c>
      <c r="Q6099" s="893">
        <f t="shared" si="400"/>
        <v>5</v>
      </c>
      <c r="R6099" s="894">
        <f t="shared" si="401"/>
        <v>0</v>
      </c>
    </row>
    <row r="6100" spans="1:18">
      <c r="A6100" s="905"/>
      <c r="B6100" s="906"/>
      <c r="C6100" s="907">
        <v>66</v>
      </c>
      <c r="D6100" s="907" t="s">
        <v>279</v>
      </c>
      <c r="E6100" s="925" t="s">
        <v>2682</v>
      </c>
      <c r="F6100" s="926" t="s">
        <v>45</v>
      </c>
      <c r="G6100" s="910"/>
      <c r="H6100" s="911">
        <v>0.25</v>
      </c>
      <c r="I6100" s="912">
        <f>VLOOKUP(E6100,[3]VLP!$B$7:$K$300,10,0)</f>
        <v>5000</v>
      </c>
      <c r="J6100" s="912">
        <f t="shared" si="404"/>
        <v>1250</v>
      </c>
      <c r="K6100" s="912" t="s">
        <v>274</v>
      </c>
      <c r="L6100" s="912"/>
      <c r="M6100" s="912"/>
      <c r="N6100" s="912"/>
      <c r="O6100" s="892">
        <f t="shared" si="397"/>
        <v>0</v>
      </c>
      <c r="P6100" s="903">
        <f t="shared" si="399"/>
        <v>1</v>
      </c>
      <c r="Q6100" s="893">
        <f t="shared" si="400"/>
        <v>4</v>
      </c>
      <c r="R6100" s="894">
        <f t="shared" si="401"/>
        <v>0</v>
      </c>
    </row>
    <row r="6101" spans="1:18">
      <c r="A6101" s="905"/>
      <c r="B6101" s="906"/>
      <c r="C6101" s="907">
        <v>699</v>
      </c>
      <c r="D6101" s="907" t="s">
        <v>279</v>
      </c>
      <c r="E6101" s="925" t="s">
        <v>4006</v>
      </c>
      <c r="F6101" s="926" t="s">
        <v>4007</v>
      </c>
      <c r="G6101" s="910"/>
      <c r="H6101" s="911">
        <v>5</v>
      </c>
      <c r="I6101" s="912">
        <f>VLOOKUP(E6101,[3]VLP!$B$7:$K$300,10,0)</f>
        <v>5000</v>
      </c>
      <c r="J6101" s="912">
        <f t="shared" si="404"/>
        <v>25000</v>
      </c>
      <c r="K6101" s="912" t="s">
        <v>274</v>
      </c>
      <c r="L6101" s="912"/>
      <c r="M6101" s="912"/>
      <c r="N6101" s="912"/>
      <c r="O6101" s="892">
        <f t="shared" si="397"/>
        <v>0</v>
      </c>
      <c r="P6101" s="903">
        <f t="shared" si="399"/>
        <v>1</v>
      </c>
      <c r="Q6101" s="893">
        <f t="shared" si="400"/>
        <v>3</v>
      </c>
      <c r="R6101" s="894">
        <f t="shared" si="401"/>
        <v>0</v>
      </c>
    </row>
    <row r="6102" spans="1:18" s="904" customFormat="1">
      <c r="A6102" s="895"/>
      <c r="B6102" s="896"/>
      <c r="C6102" s="897"/>
      <c r="D6102" s="897"/>
      <c r="E6102" s="924" t="s">
        <v>276</v>
      </c>
      <c r="F6102" s="927"/>
      <c r="G6102" s="928"/>
      <c r="H6102" s="901"/>
      <c r="I6102" s="902"/>
      <c r="J6102" s="902"/>
      <c r="K6102" s="912" t="s">
        <v>274</v>
      </c>
      <c r="L6102" s="902"/>
      <c r="M6102" s="902"/>
      <c r="N6102" s="902"/>
      <c r="O6102" s="892">
        <f t="shared" si="397"/>
        <v>0</v>
      </c>
      <c r="P6102" s="903">
        <f t="shared" si="399"/>
        <v>1</v>
      </c>
      <c r="Q6102" s="893">
        <f t="shared" si="400"/>
        <v>2</v>
      </c>
      <c r="R6102" s="894">
        <f t="shared" si="401"/>
        <v>0</v>
      </c>
    </row>
    <row r="6103" spans="1:18">
      <c r="A6103" s="905"/>
      <c r="B6103" s="906"/>
      <c r="C6103" s="907">
        <v>745</v>
      </c>
      <c r="D6103" s="907" t="s">
        <v>12</v>
      </c>
      <c r="E6103" s="908" t="s">
        <v>5518</v>
      </c>
      <c r="F6103" s="909" t="s">
        <v>2674</v>
      </c>
      <c r="G6103" s="910"/>
      <c r="H6103" s="911">
        <v>2.85</v>
      </c>
      <c r="I6103" s="912"/>
      <c r="J6103" s="912"/>
      <c r="K6103" s="912">
        <f>VLOOKUP(E6103,[5]ĐMNC!$A$7:$F$67,4,0)</f>
        <v>240557</v>
      </c>
      <c r="L6103" s="912">
        <f>H6103*K6103</f>
        <v>685587.45000000007</v>
      </c>
      <c r="M6103" s="912"/>
      <c r="N6103" s="912"/>
      <c r="O6103" s="892">
        <f t="shared" si="397"/>
        <v>0</v>
      </c>
      <c r="P6103" s="903">
        <f t="shared" si="399"/>
        <v>1</v>
      </c>
      <c r="Q6103" s="893">
        <f t="shared" si="400"/>
        <v>1</v>
      </c>
      <c r="R6103" s="894">
        <f t="shared" si="401"/>
        <v>0</v>
      </c>
    </row>
    <row r="6104" spans="1:18" s="847" customFormat="1" ht="35.25" customHeight="1">
      <c r="A6104" s="905" t="s">
        <v>5881</v>
      </c>
      <c r="B6104" s="914" t="s">
        <v>5907</v>
      </c>
      <c r="C6104" s="915"/>
      <c r="D6104" s="915"/>
      <c r="E6104" s="916" t="s">
        <v>5908</v>
      </c>
      <c r="F6104" s="917" t="s">
        <v>5834</v>
      </c>
      <c r="G6104" s="944"/>
      <c r="H6104" s="919"/>
      <c r="I6104" s="920"/>
      <c r="J6104" s="891">
        <f>SUM(J6105:J6116)</f>
        <v>247577.5</v>
      </c>
      <c r="K6104" s="891"/>
      <c r="L6104" s="891">
        <f>SUM(L6105:L6116)</f>
        <v>743321.13</v>
      </c>
      <c r="M6104" s="891"/>
      <c r="N6104" s="891">
        <f>SUM(N6105:N6116)</f>
        <v>0</v>
      </c>
      <c r="O6104" s="892">
        <f t="shared" si="397"/>
        <v>1</v>
      </c>
      <c r="P6104" s="903">
        <f t="shared" si="399"/>
        <v>0</v>
      </c>
      <c r="Q6104" s="893">
        <f t="shared" si="400"/>
        <v>0</v>
      </c>
      <c r="R6104" s="894">
        <f t="shared" si="401"/>
        <v>12</v>
      </c>
    </row>
    <row r="6105" spans="1:18" s="904" customFormat="1">
      <c r="A6105" s="895"/>
      <c r="B6105" s="922"/>
      <c r="C6105" s="897"/>
      <c r="D6105" s="897"/>
      <c r="E6105" s="898" t="s">
        <v>108</v>
      </c>
      <c r="F6105" s="899"/>
      <c r="G6105" s="928"/>
      <c r="H6105" s="901"/>
      <c r="I6105" s="902"/>
      <c r="J6105" s="902"/>
      <c r="K6105" s="912" t="s">
        <v>274</v>
      </c>
      <c r="L6105" s="902"/>
      <c r="M6105" s="902"/>
      <c r="N6105" s="902"/>
      <c r="O6105" s="892">
        <f t="shared" si="397"/>
        <v>0</v>
      </c>
      <c r="P6105" s="903">
        <f t="shared" si="399"/>
        <v>1</v>
      </c>
      <c r="Q6105" s="893">
        <f t="shared" si="400"/>
        <v>12</v>
      </c>
      <c r="R6105" s="894">
        <f t="shared" si="401"/>
        <v>0</v>
      </c>
    </row>
    <row r="6106" spans="1:18">
      <c r="A6106" s="905"/>
      <c r="B6106" s="906"/>
      <c r="C6106" s="907">
        <v>105</v>
      </c>
      <c r="D6106" s="907" t="s">
        <v>279</v>
      </c>
      <c r="E6106" s="925" t="s">
        <v>5848</v>
      </c>
      <c r="F6106" s="909" t="s">
        <v>51</v>
      </c>
      <c r="G6106" s="910"/>
      <c r="H6106" s="911">
        <v>1</v>
      </c>
      <c r="I6106" s="912">
        <f>VLOOKUP(E6106,[3]VLP!$B$7:$K$300,10,0)</f>
        <v>23660</v>
      </c>
      <c r="J6106" s="912">
        <f t="shared" ref="J6106:J6114" si="405">I6106*H6106</f>
        <v>23660</v>
      </c>
      <c r="K6106" s="912" t="s">
        <v>274</v>
      </c>
      <c r="L6106" s="912"/>
      <c r="M6106" s="912"/>
      <c r="N6106" s="912"/>
      <c r="O6106" s="892">
        <f t="shared" si="397"/>
        <v>0</v>
      </c>
      <c r="P6106" s="903">
        <f t="shared" si="399"/>
        <v>1</v>
      </c>
      <c r="Q6106" s="893">
        <f t="shared" si="400"/>
        <v>11</v>
      </c>
      <c r="R6106" s="894">
        <f t="shared" si="401"/>
        <v>0</v>
      </c>
    </row>
    <row r="6107" spans="1:18">
      <c r="A6107" s="905"/>
      <c r="B6107" s="906"/>
      <c r="C6107" s="907">
        <v>49</v>
      </c>
      <c r="D6107" s="907" t="s">
        <v>279</v>
      </c>
      <c r="E6107" s="925" t="s">
        <v>5698</v>
      </c>
      <c r="F6107" s="909" t="s">
        <v>139</v>
      </c>
      <c r="G6107" s="910"/>
      <c r="H6107" s="911">
        <v>2</v>
      </c>
      <c r="I6107" s="912">
        <f>VLOOKUP(E6107,[3]VLP!$B$7:$K$300,10,0)</f>
        <v>3000</v>
      </c>
      <c r="J6107" s="912">
        <f t="shared" si="405"/>
        <v>6000</v>
      </c>
      <c r="K6107" s="912" t="s">
        <v>274</v>
      </c>
      <c r="L6107" s="912"/>
      <c r="M6107" s="912"/>
      <c r="N6107" s="912"/>
      <c r="O6107" s="892">
        <f t="shared" si="397"/>
        <v>0</v>
      </c>
      <c r="P6107" s="903">
        <f t="shared" si="399"/>
        <v>1</v>
      </c>
      <c r="Q6107" s="893">
        <f t="shared" si="400"/>
        <v>10</v>
      </c>
      <c r="R6107" s="894">
        <f t="shared" si="401"/>
        <v>0</v>
      </c>
    </row>
    <row r="6108" spans="1:18">
      <c r="A6108" s="905"/>
      <c r="B6108" s="906"/>
      <c r="C6108" s="907">
        <v>50</v>
      </c>
      <c r="D6108" s="907" t="s">
        <v>279</v>
      </c>
      <c r="E6108" s="925" t="s">
        <v>5836</v>
      </c>
      <c r="F6108" s="909" t="s">
        <v>49</v>
      </c>
      <c r="G6108" s="910"/>
      <c r="H6108" s="911">
        <v>1</v>
      </c>
      <c r="I6108" s="912">
        <f>VLOOKUP(E6108,[3]VLP!$B$7:$K$300,10,0)</f>
        <v>85790</v>
      </c>
      <c r="J6108" s="912">
        <f t="shared" si="405"/>
        <v>85790</v>
      </c>
      <c r="K6108" s="912" t="s">
        <v>274</v>
      </c>
      <c r="L6108" s="912"/>
      <c r="M6108" s="912"/>
      <c r="N6108" s="912"/>
      <c r="O6108" s="892">
        <f t="shared" si="397"/>
        <v>0</v>
      </c>
      <c r="P6108" s="903">
        <f t="shared" si="399"/>
        <v>1</v>
      </c>
      <c r="Q6108" s="893">
        <f t="shared" si="400"/>
        <v>9</v>
      </c>
      <c r="R6108" s="894">
        <f t="shared" si="401"/>
        <v>0</v>
      </c>
    </row>
    <row r="6109" spans="1:18">
      <c r="A6109" s="905"/>
      <c r="B6109" s="906"/>
      <c r="C6109" s="907">
        <v>46</v>
      </c>
      <c r="D6109" s="907" t="s">
        <v>279</v>
      </c>
      <c r="E6109" s="925" t="s">
        <v>3179</v>
      </c>
      <c r="F6109" s="909" t="s">
        <v>45</v>
      </c>
      <c r="G6109" s="910"/>
      <c r="H6109" s="911">
        <v>3.5</v>
      </c>
      <c r="I6109" s="912">
        <f>VLOOKUP(E6109,[3]VLP!$B$7:$K$300,10,0)</f>
        <v>20500</v>
      </c>
      <c r="J6109" s="912">
        <f t="shared" si="405"/>
        <v>71750</v>
      </c>
      <c r="K6109" s="912" t="s">
        <v>274</v>
      </c>
      <c r="L6109" s="912"/>
      <c r="M6109" s="912"/>
      <c r="N6109" s="912"/>
      <c r="O6109" s="892">
        <f t="shared" si="397"/>
        <v>0</v>
      </c>
      <c r="P6109" s="903">
        <f t="shared" si="399"/>
        <v>1</v>
      </c>
      <c r="Q6109" s="893">
        <f t="shared" si="400"/>
        <v>8</v>
      </c>
      <c r="R6109" s="894">
        <f t="shared" si="401"/>
        <v>0</v>
      </c>
    </row>
    <row r="6110" spans="1:18">
      <c r="A6110" s="905"/>
      <c r="B6110" s="906"/>
      <c r="C6110" s="907">
        <v>25</v>
      </c>
      <c r="D6110" s="907" t="s">
        <v>279</v>
      </c>
      <c r="E6110" s="925" t="s">
        <v>5656</v>
      </c>
      <c r="F6110" s="926" t="s">
        <v>2690</v>
      </c>
      <c r="G6110" s="910"/>
      <c r="H6110" s="911">
        <v>1.5</v>
      </c>
      <c r="I6110" s="912">
        <f>VLOOKUP(E6110,[3]VLP!$B$7:$K$300,10,0)</f>
        <v>5000</v>
      </c>
      <c r="J6110" s="912">
        <f t="shared" si="405"/>
        <v>7500</v>
      </c>
      <c r="K6110" s="912" t="s">
        <v>274</v>
      </c>
      <c r="L6110" s="912"/>
      <c r="M6110" s="912"/>
      <c r="N6110" s="912"/>
      <c r="O6110" s="892">
        <f t="shared" si="397"/>
        <v>0</v>
      </c>
      <c r="P6110" s="903">
        <f t="shared" si="399"/>
        <v>1</v>
      </c>
      <c r="Q6110" s="893">
        <f t="shared" si="400"/>
        <v>7</v>
      </c>
      <c r="R6110" s="894">
        <f t="shared" si="401"/>
        <v>0</v>
      </c>
    </row>
    <row r="6111" spans="1:18">
      <c r="A6111" s="905"/>
      <c r="B6111" s="906"/>
      <c r="C6111" s="907">
        <v>127</v>
      </c>
      <c r="D6111" s="907" t="s">
        <v>279</v>
      </c>
      <c r="E6111" s="925" t="s">
        <v>5657</v>
      </c>
      <c r="F6111" s="909" t="s">
        <v>45</v>
      </c>
      <c r="G6111" s="910"/>
      <c r="H6111" s="911">
        <v>0.5</v>
      </c>
      <c r="I6111" s="912">
        <f>VLOOKUP(E6111,[3]VLP!$B$7:$K$300,10,0)</f>
        <v>25155</v>
      </c>
      <c r="J6111" s="912">
        <f t="shared" si="405"/>
        <v>12577.5</v>
      </c>
      <c r="K6111" s="912" t="s">
        <v>274</v>
      </c>
      <c r="L6111" s="912"/>
      <c r="M6111" s="912"/>
      <c r="N6111" s="912"/>
      <c r="O6111" s="892">
        <f t="shared" ref="O6111:O6174" si="406">IF(AND(B6111&lt;&gt;"",D6111=""),1,0)</f>
        <v>0</v>
      </c>
      <c r="P6111" s="903">
        <f t="shared" si="399"/>
        <v>1</v>
      </c>
      <c r="Q6111" s="893">
        <f t="shared" si="400"/>
        <v>6</v>
      </c>
      <c r="R6111" s="894">
        <f t="shared" si="401"/>
        <v>0</v>
      </c>
    </row>
    <row r="6112" spans="1:18">
      <c r="A6112" s="905"/>
      <c r="B6112" s="906"/>
      <c r="C6112" s="907">
        <v>44</v>
      </c>
      <c r="D6112" s="907" t="s">
        <v>279</v>
      </c>
      <c r="E6112" s="925" t="s">
        <v>2681</v>
      </c>
      <c r="F6112" s="926" t="s">
        <v>45</v>
      </c>
      <c r="G6112" s="910"/>
      <c r="H6112" s="911">
        <v>0.6</v>
      </c>
      <c r="I6112" s="912">
        <f>VLOOKUP(E6112,[3]VLP!$B$7:$K$300,10,0)</f>
        <v>23000</v>
      </c>
      <c r="J6112" s="912">
        <f t="shared" si="405"/>
        <v>13800</v>
      </c>
      <c r="K6112" s="912" t="s">
        <v>274</v>
      </c>
      <c r="L6112" s="912"/>
      <c r="M6112" s="912"/>
      <c r="N6112" s="912"/>
      <c r="O6112" s="892">
        <f t="shared" si="406"/>
        <v>0</v>
      </c>
      <c r="P6112" s="903">
        <f t="shared" si="399"/>
        <v>1</v>
      </c>
      <c r="Q6112" s="893">
        <f t="shared" si="400"/>
        <v>5</v>
      </c>
      <c r="R6112" s="894">
        <f t="shared" si="401"/>
        <v>0</v>
      </c>
    </row>
    <row r="6113" spans="1:18">
      <c r="A6113" s="905"/>
      <c r="B6113" s="906"/>
      <c r="C6113" s="907">
        <v>66</v>
      </c>
      <c r="D6113" s="907" t="s">
        <v>279</v>
      </c>
      <c r="E6113" s="925" t="s">
        <v>2682</v>
      </c>
      <c r="F6113" s="926" t="s">
        <v>45</v>
      </c>
      <c r="G6113" s="910"/>
      <c r="H6113" s="911">
        <v>0.3</v>
      </c>
      <c r="I6113" s="912">
        <f>VLOOKUP(E6113,[3]VLP!$B$7:$K$300,10,0)</f>
        <v>5000</v>
      </c>
      <c r="J6113" s="912">
        <f t="shared" si="405"/>
        <v>1500</v>
      </c>
      <c r="K6113" s="912" t="s">
        <v>274</v>
      </c>
      <c r="L6113" s="912"/>
      <c r="M6113" s="912"/>
      <c r="N6113" s="912"/>
      <c r="O6113" s="892">
        <f t="shared" si="406"/>
        <v>0</v>
      </c>
      <c r="P6113" s="903">
        <f t="shared" si="399"/>
        <v>1</v>
      </c>
      <c r="Q6113" s="893">
        <f t="shared" si="400"/>
        <v>4</v>
      </c>
      <c r="R6113" s="894">
        <f t="shared" si="401"/>
        <v>0</v>
      </c>
    </row>
    <row r="6114" spans="1:18">
      <c r="A6114" s="905"/>
      <c r="B6114" s="906"/>
      <c r="C6114" s="907">
        <v>699</v>
      </c>
      <c r="D6114" s="907" t="s">
        <v>279</v>
      </c>
      <c r="E6114" s="925" t="s">
        <v>4006</v>
      </c>
      <c r="F6114" s="926" t="s">
        <v>4007</v>
      </c>
      <c r="G6114" s="910"/>
      <c r="H6114" s="911">
        <v>5</v>
      </c>
      <c r="I6114" s="912">
        <f>VLOOKUP(E6114,[3]VLP!$B$7:$K$300,10,0)</f>
        <v>5000</v>
      </c>
      <c r="J6114" s="912">
        <f t="shared" si="405"/>
        <v>25000</v>
      </c>
      <c r="K6114" s="912" t="s">
        <v>274</v>
      </c>
      <c r="L6114" s="912"/>
      <c r="M6114" s="912"/>
      <c r="N6114" s="912"/>
      <c r="O6114" s="892">
        <f t="shared" si="406"/>
        <v>0</v>
      </c>
      <c r="P6114" s="903">
        <f t="shared" si="399"/>
        <v>1</v>
      </c>
      <c r="Q6114" s="893">
        <f t="shared" si="400"/>
        <v>3</v>
      </c>
      <c r="R6114" s="894">
        <f t="shared" si="401"/>
        <v>0</v>
      </c>
    </row>
    <row r="6115" spans="1:18" s="904" customFormat="1">
      <c r="A6115" s="895"/>
      <c r="B6115" s="896"/>
      <c r="C6115" s="897"/>
      <c r="D6115" s="897"/>
      <c r="E6115" s="924" t="s">
        <v>276</v>
      </c>
      <c r="F6115" s="927"/>
      <c r="G6115" s="928"/>
      <c r="H6115" s="901"/>
      <c r="I6115" s="902"/>
      <c r="J6115" s="902"/>
      <c r="K6115" s="912" t="s">
        <v>274</v>
      </c>
      <c r="L6115" s="902"/>
      <c r="M6115" s="902"/>
      <c r="N6115" s="902"/>
      <c r="O6115" s="892">
        <f t="shared" si="406"/>
        <v>0</v>
      </c>
      <c r="P6115" s="903">
        <f t="shared" si="399"/>
        <v>1</v>
      </c>
      <c r="Q6115" s="893">
        <f t="shared" si="400"/>
        <v>2</v>
      </c>
      <c r="R6115" s="894">
        <f t="shared" si="401"/>
        <v>0</v>
      </c>
    </row>
    <row r="6116" spans="1:18">
      <c r="A6116" s="905"/>
      <c r="B6116" s="906"/>
      <c r="C6116" s="907">
        <v>745</v>
      </c>
      <c r="D6116" s="907" t="s">
        <v>12</v>
      </c>
      <c r="E6116" s="908" t="s">
        <v>5518</v>
      </c>
      <c r="F6116" s="909" t="s">
        <v>2674</v>
      </c>
      <c r="G6116" s="910"/>
      <c r="H6116" s="911">
        <v>3.09</v>
      </c>
      <c r="I6116" s="912"/>
      <c r="J6116" s="912"/>
      <c r="K6116" s="912">
        <f>VLOOKUP(E6116,[5]ĐMNC!$A$7:$F$67,4,0)</f>
        <v>240557</v>
      </c>
      <c r="L6116" s="912">
        <f>H6116*K6116</f>
        <v>743321.13</v>
      </c>
      <c r="M6116" s="912"/>
      <c r="N6116" s="912"/>
      <c r="O6116" s="892">
        <f t="shared" si="406"/>
        <v>0</v>
      </c>
      <c r="P6116" s="903">
        <f t="shared" si="399"/>
        <v>1</v>
      </c>
      <c r="Q6116" s="893">
        <f t="shared" si="400"/>
        <v>1</v>
      </c>
      <c r="R6116" s="894">
        <f t="shared" si="401"/>
        <v>0</v>
      </c>
    </row>
    <row r="6117" spans="1:18" s="847" customFormat="1" ht="35.25" customHeight="1">
      <c r="A6117" s="905"/>
      <c r="B6117" s="914" t="s">
        <v>5909</v>
      </c>
      <c r="C6117" s="915"/>
      <c r="D6117" s="915"/>
      <c r="E6117" s="916" t="s">
        <v>5910</v>
      </c>
      <c r="F6117" s="917" t="s">
        <v>5834</v>
      </c>
      <c r="G6117" s="944"/>
      <c r="H6117" s="919"/>
      <c r="I6117" s="920"/>
      <c r="J6117" s="891">
        <f>SUM(J6118:J6129)</f>
        <v>274727.5</v>
      </c>
      <c r="K6117" s="891"/>
      <c r="L6117" s="891">
        <f>SUM(L6118:L6129)</f>
        <v>829921.65</v>
      </c>
      <c r="M6117" s="891"/>
      <c r="N6117" s="891">
        <f>SUM(N6118:N6129)</f>
        <v>0</v>
      </c>
      <c r="O6117" s="892">
        <f t="shared" si="406"/>
        <v>1</v>
      </c>
      <c r="P6117" s="903">
        <f t="shared" si="399"/>
        <v>0</v>
      </c>
      <c r="Q6117" s="893">
        <f t="shared" si="400"/>
        <v>0</v>
      </c>
      <c r="R6117" s="894">
        <f t="shared" si="401"/>
        <v>12</v>
      </c>
    </row>
    <row r="6118" spans="1:18" s="904" customFormat="1">
      <c r="A6118" s="895"/>
      <c r="B6118" s="896"/>
      <c r="C6118" s="897"/>
      <c r="D6118" s="897"/>
      <c r="E6118" s="898" t="s">
        <v>108</v>
      </c>
      <c r="F6118" s="899"/>
      <c r="G6118" s="928"/>
      <c r="H6118" s="901"/>
      <c r="I6118" s="902"/>
      <c r="J6118" s="902"/>
      <c r="K6118" s="912" t="s">
        <v>274</v>
      </c>
      <c r="L6118" s="902"/>
      <c r="M6118" s="902"/>
      <c r="N6118" s="902"/>
      <c r="O6118" s="892">
        <f t="shared" si="406"/>
        <v>0</v>
      </c>
      <c r="P6118" s="903">
        <f t="shared" si="399"/>
        <v>1</v>
      </c>
      <c r="Q6118" s="893">
        <f t="shared" si="400"/>
        <v>12</v>
      </c>
      <c r="R6118" s="894">
        <f t="shared" si="401"/>
        <v>0</v>
      </c>
    </row>
    <row r="6119" spans="1:18">
      <c r="A6119" s="905"/>
      <c r="B6119" s="906"/>
      <c r="C6119" s="907">
        <v>106</v>
      </c>
      <c r="D6119" s="907" t="s">
        <v>279</v>
      </c>
      <c r="E6119" s="925" t="s">
        <v>5851</v>
      </c>
      <c r="F6119" s="909" t="s">
        <v>51</v>
      </c>
      <c r="G6119" s="910"/>
      <c r="H6119" s="911">
        <v>1</v>
      </c>
      <c r="I6119" s="912">
        <f>VLOOKUP(E6119,[3]VLP!$B$7:$K$300,10,0)</f>
        <v>40560</v>
      </c>
      <c r="J6119" s="912">
        <f t="shared" ref="J6119:J6127" si="407">I6119*H6119</f>
        <v>40560</v>
      </c>
      <c r="K6119" s="912" t="s">
        <v>274</v>
      </c>
      <c r="L6119" s="912"/>
      <c r="M6119" s="912"/>
      <c r="N6119" s="912"/>
      <c r="O6119" s="892">
        <f t="shared" si="406"/>
        <v>0</v>
      </c>
      <c r="P6119" s="903">
        <f t="shared" si="399"/>
        <v>1</v>
      </c>
      <c r="Q6119" s="893">
        <f t="shared" si="400"/>
        <v>11</v>
      </c>
      <c r="R6119" s="894">
        <f t="shared" si="401"/>
        <v>0</v>
      </c>
    </row>
    <row r="6120" spans="1:18">
      <c r="A6120" s="905"/>
      <c r="B6120" s="906"/>
      <c r="C6120" s="907">
        <v>49</v>
      </c>
      <c r="D6120" s="907" t="s">
        <v>279</v>
      </c>
      <c r="E6120" s="925" t="s">
        <v>5698</v>
      </c>
      <c r="F6120" s="909" t="s">
        <v>139</v>
      </c>
      <c r="G6120" s="910"/>
      <c r="H6120" s="911">
        <v>2</v>
      </c>
      <c r="I6120" s="912">
        <f>VLOOKUP(E6120,[3]VLP!$B$7:$K$300,10,0)</f>
        <v>3000</v>
      </c>
      <c r="J6120" s="912">
        <f t="shared" si="407"/>
        <v>6000</v>
      </c>
      <c r="K6120" s="912" t="s">
        <v>274</v>
      </c>
      <c r="L6120" s="912"/>
      <c r="M6120" s="912"/>
      <c r="N6120" s="912"/>
      <c r="O6120" s="892">
        <f t="shared" si="406"/>
        <v>0</v>
      </c>
      <c r="P6120" s="903">
        <f t="shared" ref="P6120:P6183" si="408">IF(O6120=0,1,0)</f>
        <v>1</v>
      </c>
      <c r="Q6120" s="893">
        <f t="shared" ref="Q6120:Q6183" si="409">IF(P6120=0,0,P6120+Q6121)</f>
        <v>10</v>
      </c>
      <c r="R6120" s="894">
        <f t="shared" ref="R6120:R6183" si="410">IF(Q6120=0,Q6121,0)</f>
        <v>0</v>
      </c>
    </row>
    <row r="6121" spans="1:18">
      <c r="A6121" s="905"/>
      <c r="B6121" s="906"/>
      <c r="C6121" s="907">
        <v>50</v>
      </c>
      <c r="D6121" s="907" t="s">
        <v>279</v>
      </c>
      <c r="E6121" s="925" t="s">
        <v>5836</v>
      </c>
      <c r="F6121" s="909" t="s">
        <v>49</v>
      </c>
      <c r="G6121" s="910"/>
      <c r="H6121" s="911">
        <v>1</v>
      </c>
      <c r="I6121" s="912">
        <f>VLOOKUP(E6121,[3]VLP!$B$7:$K$300,10,0)</f>
        <v>85790</v>
      </c>
      <c r="J6121" s="912">
        <f t="shared" si="407"/>
        <v>85790</v>
      </c>
      <c r="K6121" s="912" t="s">
        <v>274</v>
      </c>
      <c r="L6121" s="912"/>
      <c r="M6121" s="912"/>
      <c r="N6121" s="912"/>
      <c r="O6121" s="892">
        <f t="shared" si="406"/>
        <v>0</v>
      </c>
      <c r="P6121" s="903">
        <f t="shared" si="408"/>
        <v>1</v>
      </c>
      <c r="Q6121" s="893">
        <f t="shared" si="409"/>
        <v>9</v>
      </c>
      <c r="R6121" s="894">
        <f t="shared" si="410"/>
        <v>0</v>
      </c>
    </row>
    <row r="6122" spans="1:18">
      <c r="A6122" s="905"/>
      <c r="B6122" s="906"/>
      <c r="C6122" s="907">
        <v>46</v>
      </c>
      <c r="D6122" s="907" t="s">
        <v>279</v>
      </c>
      <c r="E6122" s="925" t="s">
        <v>3179</v>
      </c>
      <c r="F6122" s="909" t="s">
        <v>45</v>
      </c>
      <c r="G6122" s="910"/>
      <c r="H6122" s="911">
        <v>4</v>
      </c>
      <c r="I6122" s="912">
        <f>VLOOKUP(E6122,[3]VLP!$B$7:$K$300,10,0)</f>
        <v>20500</v>
      </c>
      <c r="J6122" s="912">
        <f t="shared" si="407"/>
        <v>82000</v>
      </c>
      <c r="K6122" s="912" t="s">
        <v>274</v>
      </c>
      <c r="L6122" s="912"/>
      <c r="M6122" s="912"/>
      <c r="N6122" s="912"/>
      <c r="O6122" s="892">
        <f t="shared" si="406"/>
        <v>0</v>
      </c>
      <c r="P6122" s="903">
        <f t="shared" si="408"/>
        <v>1</v>
      </c>
      <c r="Q6122" s="893">
        <f t="shared" si="409"/>
        <v>8</v>
      </c>
      <c r="R6122" s="894">
        <f t="shared" si="410"/>
        <v>0</v>
      </c>
    </row>
    <row r="6123" spans="1:18">
      <c r="A6123" s="905"/>
      <c r="B6123" s="906"/>
      <c r="C6123" s="907">
        <v>25</v>
      </c>
      <c r="D6123" s="907" t="s">
        <v>279</v>
      </c>
      <c r="E6123" s="925" t="s">
        <v>5656</v>
      </c>
      <c r="F6123" s="926" t="s">
        <v>2690</v>
      </c>
      <c r="G6123" s="910"/>
      <c r="H6123" s="911">
        <v>1.5</v>
      </c>
      <c r="I6123" s="912">
        <f>VLOOKUP(E6123,[3]VLP!$B$7:$K$300,10,0)</f>
        <v>5000</v>
      </c>
      <c r="J6123" s="912">
        <f t="shared" si="407"/>
        <v>7500</v>
      </c>
      <c r="K6123" s="912" t="s">
        <v>274</v>
      </c>
      <c r="L6123" s="912"/>
      <c r="M6123" s="912"/>
      <c r="N6123" s="912"/>
      <c r="O6123" s="892">
        <f t="shared" si="406"/>
        <v>0</v>
      </c>
      <c r="P6123" s="903">
        <f t="shared" si="408"/>
        <v>1</v>
      </c>
      <c r="Q6123" s="893">
        <f t="shared" si="409"/>
        <v>7</v>
      </c>
      <c r="R6123" s="894">
        <f t="shared" si="410"/>
        <v>0</v>
      </c>
    </row>
    <row r="6124" spans="1:18">
      <c r="A6124" s="905"/>
      <c r="B6124" s="906"/>
      <c r="C6124" s="907">
        <v>127</v>
      </c>
      <c r="D6124" s="907" t="s">
        <v>279</v>
      </c>
      <c r="E6124" s="925" t="s">
        <v>5657</v>
      </c>
      <c r="F6124" s="909" t="s">
        <v>45</v>
      </c>
      <c r="G6124" s="910"/>
      <c r="H6124" s="911">
        <v>0.5</v>
      </c>
      <c r="I6124" s="912">
        <f>VLOOKUP(E6124,[3]VLP!$B$7:$K$300,10,0)</f>
        <v>25155</v>
      </c>
      <c r="J6124" s="912">
        <f t="shared" si="407"/>
        <v>12577.5</v>
      </c>
      <c r="K6124" s="912" t="s">
        <v>274</v>
      </c>
      <c r="L6124" s="912"/>
      <c r="M6124" s="912"/>
      <c r="N6124" s="912"/>
      <c r="O6124" s="892">
        <f t="shared" si="406"/>
        <v>0</v>
      </c>
      <c r="P6124" s="903">
        <f t="shared" si="408"/>
        <v>1</v>
      </c>
      <c r="Q6124" s="893">
        <f t="shared" si="409"/>
        <v>6</v>
      </c>
      <c r="R6124" s="894">
        <f t="shared" si="410"/>
        <v>0</v>
      </c>
    </row>
    <row r="6125" spans="1:18">
      <c r="A6125" s="905"/>
      <c r="B6125" s="906"/>
      <c r="C6125" s="907">
        <v>44</v>
      </c>
      <c r="D6125" s="907" t="s">
        <v>279</v>
      </c>
      <c r="E6125" s="925" t="s">
        <v>2681</v>
      </c>
      <c r="F6125" s="926" t="s">
        <v>45</v>
      </c>
      <c r="G6125" s="910"/>
      <c r="H6125" s="911">
        <v>0.6</v>
      </c>
      <c r="I6125" s="912">
        <f>VLOOKUP(E6125,[3]VLP!$B$7:$K$300,10,0)</f>
        <v>23000</v>
      </c>
      <c r="J6125" s="912">
        <f t="shared" si="407"/>
        <v>13800</v>
      </c>
      <c r="K6125" s="912" t="s">
        <v>274</v>
      </c>
      <c r="L6125" s="912"/>
      <c r="M6125" s="912"/>
      <c r="N6125" s="912"/>
      <c r="O6125" s="892">
        <f t="shared" si="406"/>
        <v>0</v>
      </c>
      <c r="P6125" s="903">
        <f t="shared" si="408"/>
        <v>1</v>
      </c>
      <c r="Q6125" s="893">
        <f t="shared" si="409"/>
        <v>5</v>
      </c>
      <c r="R6125" s="894">
        <f t="shared" si="410"/>
        <v>0</v>
      </c>
    </row>
    <row r="6126" spans="1:18">
      <c r="A6126" s="905"/>
      <c r="B6126" s="906"/>
      <c r="C6126" s="907">
        <v>66</v>
      </c>
      <c r="D6126" s="907" t="s">
        <v>279</v>
      </c>
      <c r="E6126" s="925" t="s">
        <v>2682</v>
      </c>
      <c r="F6126" s="926" t="s">
        <v>45</v>
      </c>
      <c r="G6126" s="910"/>
      <c r="H6126" s="911">
        <v>0.3</v>
      </c>
      <c r="I6126" s="912">
        <f>VLOOKUP(E6126,[3]VLP!$B$7:$K$300,10,0)</f>
        <v>5000</v>
      </c>
      <c r="J6126" s="912">
        <f t="shared" si="407"/>
        <v>1500</v>
      </c>
      <c r="K6126" s="912" t="s">
        <v>274</v>
      </c>
      <c r="L6126" s="912"/>
      <c r="M6126" s="912"/>
      <c r="N6126" s="912"/>
      <c r="O6126" s="892">
        <f t="shared" si="406"/>
        <v>0</v>
      </c>
      <c r="P6126" s="903">
        <f t="shared" si="408"/>
        <v>1</v>
      </c>
      <c r="Q6126" s="893">
        <f t="shared" si="409"/>
        <v>4</v>
      </c>
      <c r="R6126" s="894">
        <f t="shared" si="410"/>
        <v>0</v>
      </c>
    </row>
    <row r="6127" spans="1:18">
      <c r="A6127" s="905"/>
      <c r="B6127" s="906"/>
      <c r="C6127" s="907">
        <v>699</v>
      </c>
      <c r="D6127" s="907" t="s">
        <v>279</v>
      </c>
      <c r="E6127" s="925" t="s">
        <v>4006</v>
      </c>
      <c r="F6127" s="926" t="s">
        <v>4007</v>
      </c>
      <c r="G6127" s="910"/>
      <c r="H6127" s="911">
        <v>5</v>
      </c>
      <c r="I6127" s="912">
        <f>VLOOKUP(E6127,[3]VLP!$B$7:$K$300,10,0)</f>
        <v>5000</v>
      </c>
      <c r="J6127" s="912">
        <f t="shared" si="407"/>
        <v>25000</v>
      </c>
      <c r="K6127" s="912" t="s">
        <v>274</v>
      </c>
      <c r="L6127" s="912"/>
      <c r="M6127" s="912"/>
      <c r="N6127" s="912"/>
      <c r="O6127" s="892">
        <f t="shared" si="406"/>
        <v>0</v>
      </c>
      <c r="P6127" s="903">
        <f t="shared" si="408"/>
        <v>1</v>
      </c>
      <c r="Q6127" s="893">
        <f t="shared" si="409"/>
        <v>3</v>
      </c>
      <c r="R6127" s="894">
        <f t="shared" si="410"/>
        <v>0</v>
      </c>
    </row>
    <row r="6128" spans="1:18" s="904" customFormat="1">
      <c r="A6128" s="895"/>
      <c r="B6128" s="896"/>
      <c r="C6128" s="897"/>
      <c r="D6128" s="897"/>
      <c r="E6128" s="924" t="s">
        <v>276</v>
      </c>
      <c r="F6128" s="927"/>
      <c r="G6128" s="928"/>
      <c r="H6128" s="901"/>
      <c r="I6128" s="902"/>
      <c r="J6128" s="902"/>
      <c r="K6128" s="912" t="s">
        <v>274</v>
      </c>
      <c r="L6128" s="902"/>
      <c r="M6128" s="902"/>
      <c r="N6128" s="902"/>
      <c r="O6128" s="892">
        <f t="shared" si="406"/>
        <v>0</v>
      </c>
      <c r="P6128" s="903">
        <f t="shared" si="408"/>
        <v>1</v>
      </c>
      <c r="Q6128" s="893">
        <f t="shared" si="409"/>
        <v>2</v>
      </c>
      <c r="R6128" s="894">
        <f t="shared" si="410"/>
        <v>0</v>
      </c>
    </row>
    <row r="6129" spans="1:18">
      <c r="A6129" s="905"/>
      <c r="B6129" s="906"/>
      <c r="C6129" s="907">
        <v>745</v>
      </c>
      <c r="D6129" s="907" t="s">
        <v>12</v>
      </c>
      <c r="E6129" s="908" t="s">
        <v>5518</v>
      </c>
      <c r="F6129" s="909" t="s">
        <v>2674</v>
      </c>
      <c r="G6129" s="910"/>
      <c r="H6129" s="911">
        <v>3.45</v>
      </c>
      <c r="I6129" s="912"/>
      <c r="J6129" s="912"/>
      <c r="K6129" s="912">
        <f>VLOOKUP(E6129,[5]ĐMNC!$A$7:$F$67,4,0)</f>
        <v>240557</v>
      </c>
      <c r="L6129" s="912">
        <f>H6129*K6129</f>
        <v>829921.65</v>
      </c>
      <c r="M6129" s="912"/>
      <c r="N6129" s="912"/>
      <c r="O6129" s="892">
        <f t="shared" si="406"/>
        <v>0</v>
      </c>
      <c r="P6129" s="903">
        <f t="shared" si="408"/>
        <v>1</v>
      </c>
      <c r="Q6129" s="893">
        <f t="shared" si="409"/>
        <v>1</v>
      </c>
      <c r="R6129" s="894">
        <f t="shared" si="410"/>
        <v>0</v>
      </c>
    </row>
    <row r="6130" spans="1:18" s="847" customFormat="1" ht="35.25" customHeight="1">
      <c r="A6130" s="905"/>
      <c r="B6130" s="914" t="s">
        <v>5911</v>
      </c>
      <c r="C6130" s="915"/>
      <c r="D6130" s="915"/>
      <c r="E6130" s="916" t="s">
        <v>5912</v>
      </c>
      <c r="F6130" s="917" t="s">
        <v>5834</v>
      </c>
      <c r="G6130" s="944"/>
      <c r="H6130" s="919"/>
      <c r="I6130" s="920"/>
      <c r="J6130" s="891">
        <f>SUM(J6131:J6142)</f>
        <v>298203</v>
      </c>
      <c r="K6130" s="891"/>
      <c r="L6130" s="891">
        <f>SUM(L6131:L6142)</f>
        <v>995905.97999999986</v>
      </c>
      <c r="M6130" s="891"/>
      <c r="N6130" s="891">
        <f>SUM(N6131:N6142)</f>
        <v>0</v>
      </c>
      <c r="O6130" s="892">
        <f t="shared" si="406"/>
        <v>1</v>
      </c>
      <c r="P6130" s="903">
        <f t="shared" si="408"/>
        <v>0</v>
      </c>
      <c r="Q6130" s="893">
        <f t="shared" si="409"/>
        <v>0</v>
      </c>
      <c r="R6130" s="894">
        <f t="shared" si="410"/>
        <v>12</v>
      </c>
    </row>
    <row r="6131" spans="1:18" s="904" customFormat="1">
      <c r="A6131" s="895"/>
      <c r="B6131" s="896"/>
      <c r="C6131" s="897"/>
      <c r="D6131" s="897"/>
      <c r="E6131" s="898" t="s">
        <v>108</v>
      </c>
      <c r="F6131" s="899"/>
      <c r="G6131" s="928"/>
      <c r="H6131" s="901"/>
      <c r="I6131" s="902"/>
      <c r="J6131" s="902"/>
      <c r="K6131" s="912" t="s">
        <v>274</v>
      </c>
      <c r="L6131" s="902"/>
      <c r="M6131" s="902"/>
      <c r="N6131" s="902"/>
      <c r="O6131" s="892">
        <f t="shared" si="406"/>
        <v>0</v>
      </c>
      <c r="P6131" s="903">
        <f t="shared" si="408"/>
        <v>1</v>
      </c>
      <c r="Q6131" s="893">
        <f t="shared" si="409"/>
        <v>12</v>
      </c>
      <c r="R6131" s="894">
        <f t="shared" si="410"/>
        <v>0</v>
      </c>
    </row>
    <row r="6132" spans="1:18">
      <c r="A6132" s="905"/>
      <c r="B6132" s="906"/>
      <c r="C6132" s="907">
        <v>107</v>
      </c>
      <c r="D6132" s="907" t="s">
        <v>279</v>
      </c>
      <c r="E6132" s="925" t="s">
        <v>5854</v>
      </c>
      <c r="F6132" s="909" t="s">
        <v>51</v>
      </c>
      <c r="G6132" s="910"/>
      <c r="H6132" s="911">
        <v>1</v>
      </c>
      <c r="I6132" s="912">
        <f>VLOOKUP(E6132,[3]VLP!$B$7:$K$300,10,0)</f>
        <v>40560</v>
      </c>
      <c r="J6132" s="912">
        <f t="shared" ref="J6132:J6140" si="411">I6132*H6132</f>
        <v>40560</v>
      </c>
      <c r="K6132" s="912" t="s">
        <v>274</v>
      </c>
      <c r="L6132" s="912"/>
      <c r="M6132" s="912"/>
      <c r="N6132" s="912"/>
      <c r="O6132" s="892">
        <f t="shared" si="406"/>
        <v>0</v>
      </c>
      <c r="P6132" s="903">
        <f t="shared" si="408"/>
        <v>1</v>
      </c>
      <c r="Q6132" s="893">
        <f t="shared" si="409"/>
        <v>11</v>
      </c>
      <c r="R6132" s="894">
        <f t="shared" si="410"/>
        <v>0</v>
      </c>
    </row>
    <row r="6133" spans="1:18">
      <c r="A6133" s="905"/>
      <c r="B6133" s="906"/>
      <c r="C6133" s="907">
        <v>49</v>
      </c>
      <c r="D6133" s="907" t="s">
        <v>279</v>
      </c>
      <c r="E6133" s="925" t="s">
        <v>5698</v>
      </c>
      <c r="F6133" s="909" t="s">
        <v>139</v>
      </c>
      <c r="G6133" s="910"/>
      <c r="H6133" s="911">
        <v>2</v>
      </c>
      <c r="I6133" s="912">
        <f>VLOOKUP(E6133,[3]VLP!$B$7:$K$300,10,0)</f>
        <v>3000</v>
      </c>
      <c r="J6133" s="912">
        <f t="shared" si="411"/>
        <v>6000</v>
      </c>
      <c r="K6133" s="912" t="s">
        <v>274</v>
      </c>
      <c r="L6133" s="912"/>
      <c r="M6133" s="912"/>
      <c r="N6133" s="912"/>
      <c r="O6133" s="892">
        <f t="shared" si="406"/>
        <v>0</v>
      </c>
      <c r="P6133" s="903">
        <f t="shared" si="408"/>
        <v>1</v>
      </c>
      <c r="Q6133" s="893">
        <f t="shared" si="409"/>
        <v>10</v>
      </c>
      <c r="R6133" s="894">
        <f t="shared" si="410"/>
        <v>0</v>
      </c>
    </row>
    <row r="6134" spans="1:18">
      <c r="A6134" s="905"/>
      <c r="B6134" s="906"/>
      <c r="C6134" s="907">
        <v>50</v>
      </c>
      <c r="D6134" s="907" t="s">
        <v>279</v>
      </c>
      <c r="E6134" s="925" t="s">
        <v>5836</v>
      </c>
      <c r="F6134" s="909" t="s">
        <v>49</v>
      </c>
      <c r="G6134" s="910"/>
      <c r="H6134" s="911">
        <v>1</v>
      </c>
      <c r="I6134" s="912">
        <f>VLOOKUP(E6134,[3]VLP!$B$7:$K$300,10,0)</f>
        <v>85790</v>
      </c>
      <c r="J6134" s="912">
        <f t="shared" si="411"/>
        <v>85790</v>
      </c>
      <c r="K6134" s="912" t="s">
        <v>274</v>
      </c>
      <c r="L6134" s="912"/>
      <c r="M6134" s="912"/>
      <c r="N6134" s="912"/>
      <c r="O6134" s="892">
        <f t="shared" si="406"/>
        <v>0</v>
      </c>
      <c r="P6134" s="903">
        <f t="shared" si="408"/>
        <v>1</v>
      </c>
      <c r="Q6134" s="893">
        <f t="shared" si="409"/>
        <v>9</v>
      </c>
      <c r="R6134" s="894">
        <f t="shared" si="410"/>
        <v>0</v>
      </c>
    </row>
    <row r="6135" spans="1:18">
      <c r="A6135" s="905"/>
      <c r="B6135" s="906"/>
      <c r="C6135" s="907">
        <v>46</v>
      </c>
      <c r="D6135" s="907" t="s">
        <v>279</v>
      </c>
      <c r="E6135" s="925" t="s">
        <v>3179</v>
      </c>
      <c r="F6135" s="909" t="s">
        <v>45</v>
      </c>
      <c r="G6135" s="910"/>
      <c r="H6135" s="911">
        <v>4.8</v>
      </c>
      <c r="I6135" s="912">
        <f>VLOOKUP(E6135,[3]VLP!$B$7:$K$300,10,0)</f>
        <v>20500</v>
      </c>
      <c r="J6135" s="912">
        <f t="shared" si="411"/>
        <v>98400</v>
      </c>
      <c r="K6135" s="912" t="s">
        <v>274</v>
      </c>
      <c r="L6135" s="912"/>
      <c r="M6135" s="912"/>
      <c r="N6135" s="912"/>
      <c r="O6135" s="892">
        <f t="shared" si="406"/>
        <v>0</v>
      </c>
      <c r="P6135" s="903">
        <f t="shared" si="408"/>
        <v>1</v>
      </c>
      <c r="Q6135" s="893">
        <f t="shared" si="409"/>
        <v>8</v>
      </c>
      <c r="R6135" s="894">
        <f t="shared" si="410"/>
        <v>0</v>
      </c>
    </row>
    <row r="6136" spans="1:18">
      <c r="A6136" s="905"/>
      <c r="B6136" s="906"/>
      <c r="C6136" s="907">
        <v>25</v>
      </c>
      <c r="D6136" s="907" t="s">
        <v>279</v>
      </c>
      <c r="E6136" s="925" t="s">
        <v>5656</v>
      </c>
      <c r="F6136" s="926" t="s">
        <v>2690</v>
      </c>
      <c r="G6136" s="910"/>
      <c r="H6136" s="911">
        <v>1.8</v>
      </c>
      <c r="I6136" s="912">
        <f>VLOOKUP(E6136,[3]VLP!$B$7:$K$300,10,0)</f>
        <v>5000</v>
      </c>
      <c r="J6136" s="912">
        <f t="shared" si="411"/>
        <v>9000</v>
      </c>
      <c r="K6136" s="912" t="s">
        <v>274</v>
      </c>
      <c r="L6136" s="912"/>
      <c r="M6136" s="912"/>
      <c r="N6136" s="912"/>
      <c r="O6136" s="892">
        <f t="shared" si="406"/>
        <v>0</v>
      </c>
      <c r="P6136" s="903">
        <f t="shared" si="408"/>
        <v>1</v>
      </c>
      <c r="Q6136" s="893">
        <f t="shared" si="409"/>
        <v>7</v>
      </c>
      <c r="R6136" s="894">
        <f t="shared" si="410"/>
        <v>0</v>
      </c>
    </row>
    <row r="6137" spans="1:18">
      <c r="A6137" s="905"/>
      <c r="B6137" s="906"/>
      <c r="C6137" s="907">
        <v>127</v>
      </c>
      <c r="D6137" s="907" t="s">
        <v>279</v>
      </c>
      <c r="E6137" s="925" t="s">
        <v>5657</v>
      </c>
      <c r="F6137" s="909" t="s">
        <v>45</v>
      </c>
      <c r="G6137" s="910"/>
      <c r="H6137" s="911">
        <v>0.6</v>
      </c>
      <c r="I6137" s="912">
        <f>VLOOKUP(E6137,[3]VLP!$B$7:$K$300,10,0)</f>
        <v>25155</v>
      </c>
      <c r="J6137" s="912">
        <f t="shared" si="411"/>
        <v>15093</v>
      </c>
      <c r="K6137" s="912" t="s">
        <v>274</v>
      </c>
      <c r="L6137" s="912"/>
      <c r="M6137" s="912"/>
      <c r="N6137" s="912"/>
      <c r="O6137" s="892">
        <f t="shared" si="406"/>
        <v>0</v>
      </c>
      <c r="P6137" s="903">
        <f t="shared" si="408"/>
        <v>1</v>
      </c>
      <c r="Q6137" s="893">
        <f t="shared" si="409"/>
        <v>6</v>
      </c>
      <c r="R6137" s="894">
        <f t="shared" si="410"/>
        <v>0</v>
      </c>
    </row>
    <row r="6138" spans="1:18">
      <c r="A6138" s="905"/>
      <c r="B6138" s="906"/>
      <c r="C6138" s="907">
        <v>44</v>
      </c>
      <c r="D6138" s="907" t="s">
        <v>279</v>
      </c>
      <c r="E6138" s="925" t="s">
        <v>2681</v>
      </c>
      <c r="F6138" s="926" t="s">
        <v>45</v>
      </c>
      <c r="G6138" s="910"/>
      <c r="H6138" s="911">
        <v>0.72</v>
      </c>
      <c r="I6138" s="912">
        <f>VLOOKUP(E6138,[3]VLP!$B$7:$K$300,10,0)</f>
        <v>23000</v>
      </c>
      <c r="J6138" s="912">
        <f t="shared" si="411"/>
        <v>16560</v>
      </c>
      <c r="K6138" s="912" t="s">
        <v>274</v>
      </c>
      <c r="L6138" s="912"/>
      <c r="M6138" s="912"/>
      <c r="N6138" s="912"/>
      <c r="O6138" s="892">
        <f t="shared" si="406"/>
        <v>0</v>
      </c>
      <c r="P6138" s="903">
        <f t="shared" si="408"/>
        <v>1</v>
      </c>
      <c r="Q6138" s="893">
        <f t="shared" si="409"/>
        <v>5</v>
      </c>
      <c r="R6138" s="894">
        <f t="shared" si="410"/>
        <v>0</v>
      </c>
    </row>
    <row r="6139" spans="1:18">
      <c r="A6139" s="905"/>
      <c r="B6139" s="906"/>
      <c r="C6139" s="907">
        <v>66</v>
      </c>
      <c r="D6139" s="907" t="s">
        <v>279</v>
      </c>
      <c r="E6139" s="925" t="s">
        <v>2682</v>
      </c>
      <c r="F6139" s="926" t="s">
        <v>45</v>
      </c>
      <c r="G6139" s="910"/>
      <c r="H6139" s="911">
        <v>0.36</v>
      </c>
      <c r="I6139" s="912">
        <f>VLOOKUP(E6139,[3]VLP!$B$7:$K$300,10,0)</f>
        <v>5000</v>
      </c>
      <c r="J6139" s="912">
        <f t="shared" si="411"/>
        <v>1800</v>
      </c>
      <c r="K6139" s="912" t="s">
        <v>274</v>
      </c>
      <c r="L6139" s="912"/>
      <c r="M6139" s="912"/>
      <c r="N6139" s="912"/>
      <c r="O6139" s="892">
        <f t="shared" si="406"/>
        <v>0</v>
      </c>
      <c r="P6139" s="903">
        <f t="shared" si="408"/>
        <v>1</v>
      </c>
      <c r="Q6139" s="893">
        <f t="shared" si="409"/>
        <v>4</v>
      </c>
      <c r="R6139" s="894">
        <f t="shared" si="410"/>
        <v>0</v>
      </c>
    </row>
    <row r="6140" spans="1:18">
      <c r="A6140" s="905"/>
      <c r="B6140" s="906"/>
      <c r="C6140" s="907">
        <v>699</v>
      </c>
      <c r="D6140" s="907" t="s">
        <v>279</v>
      </c>
      <c r="E6140" s="925" t="s">
        <v>4006</v>
      </c>
      <c r="F6140" s="926" t="s">
        <v>4007</v>
      </c>
      <c r="G6140" s="910"/>
      <c r="H6140" s="911">
        <v>5</v>
      </c>
      <c r="I6140" s="912">
        <f>VLOOKUP(E6140,[3]VLP!$B$7:$K$300,10,0)</f>
        <v>5000</v>
      </c>
      <c r="J6140" s="912">
        <f t="shared" si="411"/>
        <v>25000</v>
      </c>
      <c r="K6140" s="912" t="s">
        <v>274</v>
      </c>
      <c r="L6140" s="912"/>
      <c r="M6140" s="912"/>
      <c r="N6140" s="912"/>
      <c r="O6140" s="892">
        <f t="shared" si="406"/>
        <v>0</v>
      </c>
      <c r="P6140" s="903">
        <f t="shared" si="408"/>
        <v>1</v>
      </c>
      <c r="Q6140" s="893">
        <f t="shared" si="409"/>
        <v>3</v>
      </c>
      <c r="R6140" s="894">
        <f t="shared" si="410"/>
        <v>0</v>
      </c>
    </row>
    <row r="6141" spans="1:18" s="904" customFormat="1">
      <c r="A6141" s="895"/>
      <c r="B6141" s="896"/>
      <c r="C6141" s="897"/>
      <c r="D6141" s="897"/>
      <c r="E6141" s="924" t="s">
        <v>276</v>
      </c>
      <c r="F6141" s="927"/>
      <c r="G6141" s="928"/>
      <c r="H6141" s="901"/>
      <c r="I6141" s="902"/>
      <c r="J6141" s="902"/>
      <c r="K6141" s="912" t="s">
        <v>274</v>
      </c>
      <c r="L6141" s="902"/>
      <c r="M6141" s="902"/>
      <c r="N6141" s="902"/>
      <c r="O6141" s="892">
        <f t="shared" si="406"/>
        <v>0</v>
      </c>
      <c r="P6141" s="903">
        <f t="shared" si="408"/>
        <v>1</v>
      </c>
      <c r="Q6141" s="893">
        <f t="shared" si="409"/>
        <v>2</v>
      </c>
      <c r="R6141" s="894">
        <f t="shared" si="410"/>
        <v>0</v>
      </c>
    </row>
    <row r="6142" spans="1:18">
      <c r="A6142" s="905"/>
      <c r="B6142" s="906"/>
      <c r="C6142" s="907">
        <v>745</v>
      </c>
      <c r="D6142" s="907" t="s">
        <v>12</v>
      </c>
      <c r="E6142" s="908" t="s">
        <v>5518</v>
      </c>
      <c r="F6142" s="909" t="s">
        <v>2674</v>
      </c>
      <c r="G6142" s="910"/>
      <c r="H6142" s="911">
        <v>4.1399999999999997</v>
      </c>
      <c r="I6142" s="912"/>
      <c r="J6142" s="912"/>
      <c r="K6142" s="912">
        <f>VLOOKUP(E6142,[5]ĐMNC!$A$7:$F$67,4,0)</f>
        <v>240557</v>
      </c>
      <c r="L6142" s="912">
        <f>H6142*K6142</f>
        <v>995905.97999999986</v>
      </c>
      <c r="M6142" s="912"/>
      <c r="N6142" s="912"/>
      <c r="O6142" s="892">
        <f t="shared" si="406"/>
        <v>0</v>
      </c>
      <c r="P6142" s="903">
        <f t="shared" si="408"/>
        <v>1</v>
      </c>
      <c r="Q6142" s="893">
        <f t="shared" si="409"/>
        <v>1</v>
      </c>
      <c r="R6142" s="894">
        <f t="shared" si="410"/>
        <v>0</v>
      </c>
    </row>
    <row r="6143" spans="1:18" s="847" customFormat="1" ht="35.25" customHeight="1">
      <c r="A6143" s="905" t="s">
        <v>5876</v>
      </c>
      <c r="B6143" s="914" t="s">
        <v>5913</v>
      </c>
      <c r="C6143" s="915"/>
      <c r="D6143" s="915"/>
      <c r="E6143" s="916" t="s">
        <v>5914</v>
      </c>
      <c r="F6143" s="917" t="s">
        <v>5834</v>
      </c>
      <c r="G6143" s="944"/>
      <c r="H6143" s="919"/>
      <c r="I6143" s="920"/>
      <c r="J6143" s="891">
        <f>SUM(J6144:J6155)</f>
        <v>189807.5</v>
      </c>
      <c r="K6143" s="891"/>
      <c r="L6143" s="891">
        <f>SUM(L6144:L6155)</f>
        <v>485925.14</v>
      </c>
      <c r="M6143" s="891"/>
      <c r="N6143" s="891">
        <f>SUM(N6144:N6155)</f>
        <v>0</v>
      </c>
      <c r="O6143" s="892">
        <f t="shared" si="406"/>
        <v>1</v>
      </c>
      <c r="P6143" s="903">
        <f t="shared" si="408"/>
        <v>0</v>
      </c>
      <c r="Q6143" s="893">
        <f t="shared" si="409"/>
        <v>0</v>
      </c>
      <c r="R6143" s="894">
        <f t="shared" si="410"/>
        <v>12</v>
      </c>
    </row>
    <row r="6144" spans="1:18" s="904" customFormat="1">
      <c r="A6144" s="895"/>
      <c r="B6144" s="896"/>
      <c r="C6144" s="897"/>
      <c r="D6144" s="897"/>
      <c r="E6144" s="898" t="s">
        <v>108</v>
      </c>
      <c r="F6144" s="899"/>
      <c r="G6144" s="928"/>
      <c r="H6144" s="901"/>
      <c r="I6144" s="902"/>
      <c r="J6144" s="902"/>
      <c r="K6144" s="912" t="s">
        <v>274</v>
      </c>
      <c r="L6144" s="902"/>
      <c r="M6144" s="902"/>
      <c r="N6144" s="902"/>
      <c r="O6144" s="892">
        <f t="shared" si="406"/>
        <v>0</v>
      </c>
      <c r="P6144" s="903">
        <f t="shared" si="408"/>
        <v>1</v>
      </c>
      <c r="Q6144" s="893">
        <f t="shared" si="409"/>
        <v>12</v>
      </c>
      <c r="R6144" s="894">
        <f t="shared" si="410"/>
        <v>0</v>
      </c>
    </row>
    <row r="6145" spans="1:18">
      <c r="A6145" s="905"/>
      <c r="B6145" s="906"/>
      <c r="C6145" s="907">
        <v>101</v>
      </c>
      <c r="D6145" s="907" t="s">
        <v>279</v>
      </c>
      <c r="E6145" s="925" t="s">
        <v>5835</v>
      </c>
      <c r="F6145" s="909" t="s">
        <v>51</v>
      </c>
      <c r="G6145" s="910"/>
      <c r="H6145" s="911">
        <v>1</v>
      </c>
      <c r="I6145" s="912">
        <f>VLOOKUP(E6145,[3]VLP!$B$7:$K$300,10,0)</f>
        <v>10140</v>
      </c>
      <c r="J6145" s="912">
        <f t="shared" ref="J6145:J6153" si="412">I6145*H6145</f>
        <v>10140</v>
      </c>
      <c r="K6145" s="912" t="s">
        <v>274</v>
      </c>
      <c r="L6145" s="912"/>
      <c r="M6145" s="912"/>
      <c r="N6145" s="912"/>
      <c r="O6145" s="892">
        <f t="shared" si="406"/>
        <v>0</v>
      </c>
      <c r="P6145" s="903">
        <f t="shared" si="408"/>
        <v>1</v>
      </c>
      <c r="Q6145" s="893">
        <f t="shared" si="409"/>
        <v>11</v>
      </c>
      <c r="R6145" s="894">
        <f t="shared" si="410"/>
        <v>0</v>
      </c>
    </row>
    <row r="6146" spans="1:18">
      <c r="A6146" s="905"/>
      <c r="B6146" s="906"/>
      <c r="C6146" s="907">
        <v>49</v>
      </c>
      <c r="D6146" s="907" t="s">
        <v>279</v>
      </c>
      <c r="E6146" s="925" t="s">
        <v>5698</v>
      </c>
      <c r="F6146" s="909" t="s">
        <v>139</v>
      </c>
      <c r="G6146" s="910"/>
      <c r="H6146" s="911">
        <v>2</v>
      </c>
      <c r="I6146" s="912">
        <f>VLOOKUP(E6146,[3]VLP!$B$7:$K$300,10,0)</f>
        <v>3000</v>
      </c>
      <c r="J6146" s="912">
        <f t="shared" si="412"/>
        <v>6000</v>
      </c>
      <c r="K6146" s="912" t="s">
        <v>274</v>
      </c>
      <c r="L6146" s="912"/>
      <c r="M6146" s="912"/>
      <c r="N6146" s="912"/>
      <c r="O6146" s="892">
        <f t="shared" si="406"/>
        <v>0</v>
      </c>
      <c r="P6146" s="903">
        <f t="shared" si="408"/>
        <v>1</v>
      </c>
      <c r="Q6146" s="893">
        <f t="shared" si="409"/>
        <v>10</v>
      </c>
      <c r="R6146" s="894">
        <f t="shared" si="410"/>
        <v>0</v>
      </c>
    </row>
    <row r="6147" spans="1:18">
      <c r="A6147" s="905"/>
      <c r="B6147" s="906"/>
      <c r="C6147" s="907">
        <v>50</v>
      </c>
      <c r="D6147" s="907" t="s">
        <v>279</v>
      </c>
      <c r="E6147" s="925" t="s">
        <v>5836</v>
      </c>
      <c r="F6147" s="909" t="s">
        <v>49</v>
      </c>
      <c r="G6147" s="910"/>
      <c r="H6147" s="911">
        <v>1</v>
      </c>
      <c r="I6147" s="912">
        <f>VLOOKUP(E6147,[3]VLP!$B$7:$K$300,10,0)</f>
        <v>85790</v>
      </c>
      <c r="J6147" s="912">
        <f t="shared" si="412"/>
        <v>85790</v>
      </c>
      <c r="K6147" s="912" t="s">
        <v>274</v>
      </c>
      <c r="L6147" s="912"/>
      <c r="M6147" s="912"/>
      <c r="N6147" s="912"/>
      <c r="O6147" s="892">
        <f t="shared" si="406"/>
        <v>0</v>
      </c>
      <c r="P6147" s="903">
        <f t="shared" si="408"/>
        <v>1</v>
      </c>
      <c r="Q6147" s="893">
        <f t="shared" si="409"/>
        <v>9</v>
      </c>
      <c r="R6147" s="894">
        <f t="shared" si="410"/>
        <v>0</v>
      </c>
    </row>
    <row r="6148" spans="1:18">
      <c r="A6148" s="905"/>
      <c r="B6148" s="906"/>
      <c r="C6148" s="907">
        <v>46</v>
      </c>
      <c r="D6148" s="907" t="s">
        <v>279</v>
      </c>
      <c r="E6148" s="925" t="s">
        <v>3179</v>
      </c>
      <c r="F6148" s="909" t="s">
        <v>45</v>
      </c>
      <c r="G6148" s="910"/>
      <c r="H6148" s="911">
        <v>1.6</v>
      </c>
      <c r="I6148" s="912">
        <f>VLOOKUP(E6148,[3]VLP!$B$7:$K$300,10,0)</f>
        <v>20500</v>
      </c>
      <c r="J6148" s="912">
        <f t="shared" si="412"/>
        <v>32800</v>
      </c>
      <c r="K6148" s="912" t="s">
        <v>274</v>
      </c>
      <c r="L6148" s="912"/>
      <c r="M6148" s="912"/>
      <c r="N6148" s="912"/>
      <c r="O6148" s="892">
        <f t="shared" si="406"/>
        <v>0</v>
      </c>
      <c r="P6148" s="903">
        <f t="shared" si="408"/>
        <v>1</v>
      </c>
      <c r="Q6148" s="893">
        <f t="shared" si="409"/>
        <v>8</v>
      </c>
      <c r="R6148" s="894">
        <f t="shared" si="410"/>
        <v>0</v>
      </c>
    </row>
    <row r="6149" spans="1:18">
      <c r="A6149" s="905"/>
      <c r="B6149" s="906"/>
      <c r="C6149" s="907">
        <v>25</v>
      </c>
      <c r="D6149" s="907" t="s">
        <v>279</v>
      </c>
      <c r="E6149" s="925" t="s">
        <v>5656</v>
      </c>
      <c r="F6149" s="926" t="s">
        <v>2690</v>
      </c>
      <c r="G6149" s="910"/>
      <c r="H6149" s="911">
        <v>1</v>
      </c>
      <c r="I6149" s="912">
        <f>VLOOKUP(E6149,[3]VLP!$B$7:$K$300,10,0)</f>
        <v>5000</v>
      </c>
      <c r="J6149" s="912">
        <f t="shared" si="412"/>
        <v>5000</v>
      </c>
      <c r="K6149" s="912" t="s">
        <v>274</v>
      </c>
      <c r="L6149" s="912"/>
      <c r="M6149" s="912"/>
      <c r="N6149" s="912"/>
      <c r="O6149" s="892">
        <f t="shared" si="406"/>
        <v>0</v>
      </c>
      <c r="P6149" s="903">
        <f t="shared" si="408"/>
        <v>1</v>
      </c>
      <c r="Q6149" s="893">
        <f t="shared" si="409"/>
        <v>7</v>
      </c>
      <c r="R6149" s="894">
        <f t="shared" si="410"/>
        <v>0</v>
      </c>
    </row>
    <row r="6150" spans="1:18">
      <c r="A6150" s="905"/>
      <c r="B6150" s="906"/>
      <c r="C6150" s="907">
        <v>127</v>
      </c>
      <c r="D6150" s="907" t="s">
        <v>279</v>
      </c>
      <c r="E6150" s="925" t="s">
        <v>5657</v>
      </c>
      <c r="F6150" s="909" t="s">
        <v>45</v>
      </c>
      <c r="G6150" s="910"/>
      <c r="H6150" s="911">
        <v>0.5</v>
      </c>
      <c r="I6150" s="912">
        <f>VLOOKUP(E6150,[3]VLP!$B$7:$K$300,10,0)</f>
        <v>25155</v>
      </c>
      <c r="J6150" s="912">
        <f t="shared" si="412"/>
        <v>12577.5</v>
      </c>
      <c r="K6150" s="912" t="s">
        <v>274</v>
      </c>
      <c r="L6150" s="912"/>
      <c r="M6150" s="912"/>
      <c r="N6150" s="912"/>
      <c r="O6150" s="892">
        <f t="shared" si="406"/>
        <v>0</v>
      </c>
      <c r="P6150" s="903">
        <f t="shared" si="408"/>
        <v>1</v>
      </c>
      <c r="Q6150" s="893">
        <f t="shared" si="409"/>
        <v>6</v>
      </c>
      <c r="R6150" s="894">
        <f t="shared" si="410"/>
        <v>0</v>
      </c>
    </row>
    <row r="6151" spans="1:18">
      <c r="A6151" s="905"/>
      <c r="B6151" s="906"/>
      <c r="C6151" s="907">
        <v>44</v>
      </c>
      <c r="D6151" s="907" t="s">
        <v>279</v>
      </c>
      <c r="E6151" s="925" t="s">
        <v>2681</v>
      </c>
      <c r="F6151" s="926" t="s">
        <v>45</v>
      </c>
      <c r="G6151" s="910"/>
      <c r="H6151" s="911">
        <v>0.5</v>
      </c>
      <c r="I6151" s="912">
        <f>VLOOKUP(E6151,[3]VLP!$B$7:$K$300,10,0)</f>
        <v>23000</v>
      </c>
      <c r="J6151" s="912">
        <f t="shared" si="412"/>
        <v>11500</v>
      </c>
      <c r="K6151" s="912" t="s">
        <v>274</v>
      </c>
      <c r="L6151" s="912"/>
      <c r="M6151" s="912"/>
      <c r="N6151" s="912"/>
      <c r="O6151" s="892">
        <f t="shared" si="406"/>
        <v>0</v>
      </c>
      <c r="P6151" s="903">
        <f t="shared" si="408"/>
        <v>1</v>
      </c>
      <c r="Q6151" s="893">
        <f t="shared" si="409"/>
        <v>5</v>
      </c>
      <c r="R6151" s="894">
        <f t="shared" si="410"/>
        <v>0</v>
      </c>
    </row>
    <row r="6152" spans="1:18">
      <c r="A6152" s="905"/>
      <c r="B6152" s="906"/>
      <c r="C6152" s="907">
        <v>66</v>
      </c>
      <c r="D6152" s="907" t="s">
        <v>279</v>
      </c>
      <c r="E6152" s="925" t="s">
        <v>2682</v>
      </c>
      <c r="F6152" s="926" t="s">
        <v>45</v>
      </c>
      <c r="G6152" s="910"/>
      <c r="H6152" s="911">
        <v>0.2</v>
      </c>
      <c r="I6152" s="912">
        <f>VLOOKUP(E6152,[3]VLP!$B$7:$K$300,10,0)</f>
        <v>5000</v>
      </c>
      <c r="J6152" s="912">
        <f t="shared" si="412"/>
        <v>1000</v>
      </c>
      <c r="K6152" s="912" t="s">
        <v>274</v>
      </c>
      <c r="L6152" s="912"/>
      <c r="M6152" s="912"/>
      <c r="N6152" s="912"/>
      <c r="O6152" s="892">
        <f t="shared" si="406"/>
        <v>0</v>
      </c>
      <c r="P6152" s="903">
        <f t="shared" si="408"/>
        <v>1</v>
      </c>
      <c r="Q6152" s="893">
        <f t="shared" si="409"/>
        <v>4</v>
      </c>
      <c r="R6152" s="894">
        <f t="shared" si="410"/>
        <v>0</v>
      </c>
    </row>
    <row r="6153" spans="1:18">
      <c r="A6153" s="905"/>
      <c r="B6153" s="906"/>
      <c r="C6153" s="907">
        <v>699</v>
      </c>
      <c r="D6153" s="907" t="s">
        <v>279</v>
      </c>
      <c r="E6153" s="925" t="s">
        <v>4006</v>
      </c>
      <c r="F6153" s="926" t="s">
        <v>4007</v>
      </c>
      <c r="G6153" s="910"/>
      <c r="H6153" s="911">
        <v>5</v>
      </c>
      <c r="I6153" s="912">
        <f>VLOOKUP(E6153,[3]VLP!$B$7:$K$300,10,0)</f>
        <v>5000</v>
      </c>
      <c r="J6153" s="912">
        <f t="shared" si="412"/>
        <v>25000</v>
      </c>
      <c r="K6153" s="912" t="s">
        <v>274</v>
      </c>
      <c r="L6153" s="912"/>
      <c r="M6153" s="912"/>
      <c r="N6153" s="912"/>
      <c r="O6153" s="892">
        <f t="shared" si="406"/>
        <v>0</v>
      </c>
      <c r="P6153" s="903">
        <f t="shared" si="408"/>
        <v>1</v>
      </c>
      <c r="Q6153" s="893">
        <f t="shared" si="409"/>
        <v>3</v>
      </c>
      <c r="R6153" s="894">
        <f t="shared" si="410"/>
        <v>0</v>
      </c>
    </row>
    <row r="6154" spans="1:18" s="904" customFormat="1">
      <c r="A6154" s="895"/>
      <c r="B6154" s="896"/>
      <c r="C6154" s="897"/>
      <c r="D6154" s="897"/>
      <c r="E6154" s="924" t="s">
        <v>276</v>
      </c>
      <c r="F6154" s="927"/>
      <c r="G6154" s="928"/>
      <c r="H6154" s="901"/>
      <c r="I6154" s="902"/>
      <c r="J6154" s="902"/>
      <c r="K6154" s="912" t="s">
        <v>274</v>
      </c>
      <c r="L6154" s="902"/>
      <c r="M6154" s="902"/>
      <c r="N6154" s="902"/>
      <c r="O6154" s="892">
        <f t="shared" si="406"/>
        <v>0</v>
      </c>
      <c r="P6154" s="903">
        <f t="shared" si="408"/>
        <v>1</v>
      </c>
      <c r="Q6154" s="893">
        <f t="shared" si="409"/>
        <v>2</v>
      </c>
      <c r="R6154" s="894">
        <f t="shared" si="410"/>
        <v>0</v>
      </c>
    </row>
    <row r="6155" spans="1:18">
      <c r="A6155" s="905"/>
      <c r="B6155" s="906"/>
      <c r="C6155" s="907">
        <v>745</v>
      </c>
      <c r="D6155" s="907" t="s">
        <v>12</v>
      </c>
      <c r="E6155" s="908" t="s">
        <v>5518</v>
      </c>
      <c r="F6155" s="909" t="s">
        <v>2674</v>
      </c>
      <c r="G6155" s="910"/>
      <c r="H6155" s="911">
        <v>2.02</v>
      </c>
      <c r="I6155" s="912"/>
      <c r="J6155" s="912"/>
      <c r="K6155" s="912">
        <f>VLOOKUP(E6155,[5]ĐMNC!$A$7:$F$67,4,0)</f>
        <v>240557</v>
      </c>
      <c r="L6155" s="912">
        <f>H6155*K6155</f>
        <v>485925.14</v>
      </c>
      <c r="M6155" s="912"/>
      <c r="N6155" s="912"/>
      <c r="O6155" s="892">
        <f t="shared" si="406"/>
        <v>0</v>
      </c>
      <c r="P6155" s="903">
        <f t="shared" si="408"/>
        <v>1</v>
      </c>
      <c r="Q6155" s="893">
        <f t="shared" si="409"/>
        <v>1</v>
      </c>
      <c r="R6155" s="894">
        <f t="shared" si="410"/>
        <v>0</v>
      </c>
    </row>
    <row r="6156" spans="1:18" s="847" customFormat="1" ht="35.25" customHeight="1">
      <c r="A6156" s="905"/>
      <c r="B6156" s="914" t="s">
        <v>5915</v>
      </c>
      <c r="C6156" s="915"/>
      <c r="D6156" s="915"/>
      <c r="E6156" s="916" t="s">
        <v>5916</v>
      </c>
      <c r="F6156" s="917" t="s">
        <v>5834</v>
      </c>
      <c r="G6156" s="944"/>
      <c r="H6156" s="919"/>
      <c r="I6156" s="920"/>
      <c r="J6156" s="891">
        <f>SUM(J6157:J6168)</f>
        <v>203437.5</v>
      </c>
      <c r="K6156" s="891"/>
      <c r="L6156" s="891">
        <f>SUM(L6157:L6168)</f>
        <v>543658.81999999995</v>
      </c>
      <c r="M6156" s="891"/>
      <c r="N6156" s="891">
        <f>SUM(N6157:N6168)</f>
        <v>0</v>
      </c>
      <c r="O6156" s="892">
        <f t="shared" si="406"/>
        <v>1</v>
      </c>
      <c r="P6156" s="903">
        <f t="shared" si="408"/>
        <v>0</v>
      </c>
      <c r="Q6156" s="893">
        <f t="shared" si="409"/>
        <v>0</v>
      </c>
      <c r="R6156" s="894">
        <f t="shared" si="410"/>
        <v>12</v>
      </c>
    </row>
    <row r="6157" spans="1:18" s="904" customFormat="1">
      <c r="A6157" s="895"/>
      <c r="B6157" s="896"/>
      <c r="C6157" s="897"/>
      <c r="D6157" s="897"/>
      <c r="E6157" s="898" t="s">
        <v>108</v>
      </c>
      <c r="F6157" s="899"/>
      <c r="G6157" s="928"/>
      <c r="H6157" s="901"/>
      <c r="I6157" s="902"/>
      <c r="J6157" s="902"/>
      <c r="K6157" s="912" t="s">
        <v>274</v>
      </c>
      <c r="L6157" s="902"/>
      <c r="M6157" s="902"/>
      <c r="N6157" s="902"/>
      <c r="O6157" s="892">
        <f t="shared" si="406"/>
        <v>0</v>
      </c>
      <c r="P6157" s="903">
        <f t="shared" si="408"/>
        <v>1</v>
      </c>
      <c r="Q6157" s="893">
        <f t="shared" si="409"/>
        <v>12</v>
      </c>
      <c r="R6157" s="894">
        <f t="shared" si="410"/>
        <v>0</v>
      </c>
    </row>
    <row r="6158" spans="1:18">
      <c r="A6158" s="905"/>
      <c r="B6158" s="906"/>
      <c r="C6158" s="907">
        <v>102</v>
      </c>
      <c r="D6158" s="907" t="s">
        <v>279</v>
      </c>
      <c r="E6158" s="925" t="s">
        <v>5839</v>
      </c>
      <c r="F6158" s="909" t="s">
        <v>51</v>
      </c>
      <c r="G6158" s="910"/>
      <c r="H6158" s="911">
        <v>1</v>
      </c>
      <c r="I6158" s="912">
        <f>VLOOKUP(E6158,[3]VLP!$B$7:$K$300,10,0)</f>
        <v>13520</v>
      </c>
      <c r="J6158" s="912">
        <f t="shared" ref="J6158:J6166" si="413">I6158*H6158</f>
        <v>13520</v>
      </c>
      <c r="K6158" s="912" t="s">
        <v>274</v>
      </c>
      <c r="L6158" s="912"/>
      <c r="M6158" s="912"/>
      <c r="N6158" s="912"/>
      <c r="O6158" s="892">
        <f t="shared" si="406"/>
        <v>0</v>
      </c>
      <c r="P6158" s="903">
        <f t="shared" si="408"/>
        <v>1</v>
      </c>
      <c r="Q6158" s="893">
        <f t="shared" si="409"/>
        <v>11</v>
      </c>
      <c r="R6158" s="894">
        <f t="shared" si="410"/>
        <v>0</v>
      </c>
    </row>
    <row r="6159" spans="1:18">
      <c r="A6159" s="905"/>
      <c r="B6159" s="906"/>
      <c r="C6159" s="907">
        <v>49</v>
      </c>
      <c r="D6159" s="907" t="s">
        <v>279</v>
      </c>
      <c r="E6159" s="925" t="s">
        <v>5698</v>
      </c>
      <c r="F6159" s="909" t="s">
        <v>139</v>
      </c>
      <c r="G6159" s="910"/>
      <c r="H6159" s="911">
        <v>2</v>
      </c>
      <c r="I6159" s="912">
        <f>VLOOKUP(E6159,[3]VLP!$B$7:$K$300,10,0)</f>
        <v>3000</v>
      </c>
      <c r="J6159" s="912">
        <f t="shared" si="413"/>
        <v>6000</v>
      </c>
      <c r="K6159" s="912" t="s">
        <v>274</v>
      </c>
      <c r="L6159" s="912"/>
      <c r="M6159" s="912"/>
      <c r="N6159" s="912"/>
      <c r="O6159" s="892">
        <f t="shared" si="406"/>
        <v>0</v>
      </c>
      <c r="P6159" s="903">
        <f t="shared" si="408"/>
        <v>1</v>
      </c>
      <c r="Q6159" s="893">
        <f t="shared" si="409"/>
        <v>10</v>
      </c>
      <c r="R6159" s="894">
        <f t="shared" si="410"/>
        <v>0</v>
      </c>
    </row>
    <row r="6160" spans="1:18">
      <c r="A6160" s="905"/>
      <c r="B6160" s="906"/>
      <c r="C6160" s="907">
        <v>50</v>
      </c>
      <c r="D6160" s="907" t="s">
        <v>279</v>
      </c>
      <c r="E6160" s="925" t="s">
        <v>5836</v>
      </c>
      <c r="F6160" s="909" t="s">
        <v>49</v>
      </c>
      <c r="G6160" s="910"/>
      <c r="H6160" s="911">
        <v>1</v>
      </c>
      <c r="I6160" s="912">
        <f>VLOOKUP(E6160,[3]VLP!$B$7:$K$300,10,0)</f>
        <v>85790</v>
      </c>
      <c r="J6160" s="912">
        <f t="shared" si="413"/>
        <v>85790</v>
      </c>
      <c r="K6160" s="912" t="s">
        <v>274</v>
      </c>
      <c r="L6160" s="912"/>
      <c r="M6160" s="912"/>
      <c r="N6160" s="912"/>
      <c r="O6160" s="892">
        <f t="shared" si="406"/>
        <v>0</v>
      </c>
      <c r="P6160" s="903">
        <f t="shared" si="408"/>
        <v>1</v>
      </c>
      <c r="Q6160" s="893">
        <f t="shared" si="409"/>
        <v>9</v>
      </c>
      <c r="R6160" s="894">
        <f t="shared" si="410"/>
        <v>0</v>
      </c>
    </row>
    <row r="6161" spans="1:18">
      <c r="A6161" s="905"/>
      <c r="B6161" s="906"/>
      <c r="C6161" s="907">
        <v>46</v>
      </c>
      <c r="D6161" s="907" t="s">
        <v>279</v>
      </c>
      <c r="E6161" s="925" t="s">
        <v>3179</v>
      </c>
      <c r="F6161" s="909" t="s">
        <v>45</v>
      </c>
      <c r="G6161" s="910"/>
      <c r="H6161" s="911">
        <v>2.1</v>
      </c>
      <c r="I6161" s="912">
        <f>VLOOKUP(E6161,[3]VLP!$B$7:$K$300,10,0)</f>
        <v>20500</v>
      </c>
      <c r="J6161" s="912">
        <f t="shared" si="413"/>
        <v>43050</v>
      </c>
      <c r="K6161" s="912" t="s">
        <v>274</v>
      </c>
      <c r="L6161" s="912"/>
      <c r="M6161" s="912"/>
      <c r="N6161" s="912"/>
      <c r="O6161" s="892">
        <f t="shared" si="406"/>
        <v>0</v>
      </c>
      <c r="P6161" s="903">
        <f t="shared" si="408"/>
        <v>1</v>
      </c>
      <c r="Q6161" s="893">
        <f t="shared" si="409"/>
        <v>8</v>
      </c>
      <c r="R6161" s="894">
        <f t="shared" si="410"/>
        <v>0</v>
      </c>
    </row>
    <row r="6162" spans="1:18">
      <c r="A6162" s="905"/>
      <c r="B6162" s="906"/>
      <c r="C6162" s="907">
        <v>25</v>
      </c>
      <c r="D6162" s="907" t="s">
        <v>279</v>
      </c>
      <c r="E6162" s="925" t="s">
        <v>5656</v>
      </c>
      <c r="F6162" s="926" t="s">
        <v>2690</v>
      </c>
      <c r="G6162" s="910"/>
      <c r="H6162" s="911">
        <v>1</v>
      </c>
      <c r="I6162" s="912">
        <f>VLOOKUP(E6162,[3]VLP!$B$7:$K$300,10,0)</f>
        <v>5000</v>
      </c>
      <c r="J6162" s="912">
        <f t="shared" si="413"/>
        <v>5000</v>
      </c>
      <c r="K6162" s="912" t="s">
        <v>274</v>
      </c>
      <c r="L6162" s="912"/>
      <c r="M6162" s="912"/>
      <c r="N6162" s="912"/>
      <c r="O6162" s="892">
        <f t="shared" si="406"/>
        <v>0</v>
      </c>
      <c r="P6162" s="903">
        <f t="shared" si="408"/>
        <v>1</v>
      </c>
      <c r="Q6162" s="893">
        <f t="shared" si="409"/>
        <v>7</v>
      </c>
      <c r="R6162" s="894">
        <f t="shared" si="410"/>
        <v>0</v>
      </c>
    </row>
    <row r="6163" spans="1:18">
      <c r="A6163" s="905"/>
      <c r="B6163" s="906"/>
      <c r="C6163" s="907">
        <v>127</v>
      </c>
      <c r="D6163" s="907" t="s">
        <v>279</v>
      </c>
      <c r="E6163" s="925" t="s">
        <v>5657</v>
      </c>
      <c r="F6163" s="909" t="s">
        <v>45</v>
      </c>
      <c r="G6163" s="910"/>
      <c r="H6163" s="911">
        <v>0.5</v>
      </c>
      <c r="I6163" s="912">
        <f>VLOOKUP(E6163,[3]VLP!$B$7:$K$300,10,0)</f>
        <v>25155</v>
      </c>
      <c r="J6163" s="912">
        <f t="shared" si="413"/>
        <v>12577.5</v>
      </c>
      <c r="K6163" s="912" t="s">
        <v>274</v>
      </c>
      <c r="L6163" s="912"/>
      <c r="M6163" s="912"/>
      <c r="N6163" s="912"/>
      <c r="O6163" s="892">
        <f t="shared" si="406"/>
        <v>0</v>
      </c>
      <c r="P6163" s="903">
        <f t="shared" si="408"/>
        <v>1</v>
      </c>
      <c r="Q6163" s="893">
        <f t="shared" si="409"/>
        <v>6</v>
      </c>
      <c r="R6163" s="894">
        <f t="shared" si="410"/>
        <v>0</v>
      </c>
    </row>
    <row r="6164" spans="1:18">
      <c r="A6164" s="905"/>
      <c r="B6164" s="906"/>
      <c r="C6164" s="907">
        <v>44</v>
      </c>
      <c r="D6164" s="907" t="s">
        <v>279</v>
      </c>
      <c r="E6164" s="925" t="s">
        <v>2681</v>
      </c>
      <c r="F6164" s="926" t="s">
        <v>45</v>
      </c>
      <c r="G6164" s="910"/>
      <c r="H6164" s="911">
        <v>0.5</v>
      </c>
      <c r="I6164" s="912">
        <f>VLOOKUP(E6164,[3]VLP!$B$7:$K$300,10,0)</f>
        <v>23000</v>
      </c>
      <c r="J6164" s="912">
        <f t="shared" si="413"/>
        <v>11500</v>
      </c>
      <c r="K6164" s="912" t="s">
        <v>274</v>
      </c>
      <c r="L6164" s="912"/>
      <c r="M6164" s="912"/>
      <c r="N6164" s="912"/>
      <c r="O6164" s="892">
        <f t="shared" si="406"/>
        <v>0</v>
      </c>
      <c r="P6164" s="903">
        <f t="shared" si="408"/>
        <v>1</v>
      </c>
      <c r="Q6164" s="893">
        <f t="shared" si="409"/>
        <v>5</v>
      </c>
      <c r="R6164" s="894">
        <f t="shared" si="410"/>
        <v>0</v>
      </c>
    </row>
    <row r="6165" spans="1:18">
      <c r="A6165" s="905"/>
      <c r="B6165" s="906"/>
      <c r="C6165" s="907">
        <v>66</v>
      </c>
      <c r="D6165" s="907" t="s">
        <v>279</v>
      </c>
      <c r="E6165" s="925" t="s">
        <v>2682</v>
      </c>
      <c r="F6165" s="926" t="s">
        <v>45</v>
      </c>
      <c r="G6165" s="910"/>
      <c r="H6165" s="911">
        <v>0.2</v>
      </c>
      <c r="I6165" s="912">
        <f>VLOOKUP(E6165,[3]VLP!$B$7:$K$300,10,0)</f>
        <v>5000</v>
      </c>
      <c r="J6165" s="912">
        <f t="shared" si="413"/>
        <v>1000</v>
      </c>
      <c r="K6165" s="912" t="s">
        <v>274</v>
      </c>
      <c r="L6165" s="912"/>
      <c r="M6165" s="912"/>
      <c r="N6165" s="912"/>
      <c r="O6165" s="892">
        <f t="shared" si="406"/>
        <v>0</v>
      </c>
      <c r="P6165" s="903">
        <f t="shared" si="408"/>
        <v>1</v>
      </c>
      <c r="Q6165" s="893">
        <f t="shared" si="409"/>
        <v>4</v>
      </c>
      <c r="R6165" s="894">
        <f t="shared" si="410"/>
        <v>0</v>
      </c>
    </row>
    <row r="6166" spans="1:18">
      <c r="A6166" s="905"/>
      <c r="B6166" s="906"/>
      <c r="C6166" s="907">
        <v>699</v>
      </c>
      <c r="D6166" s="907" t="s">
        <v>279</v>
      </c>
      <c r="E6166" s="925" t="s">
        <v>4006</v>
      </c>
      <c r="F6166" s="926" t="s">
        <v>4007</v>
      </c>
      <c r="G6166" s="910"/>
      <c r="H6166" s="911">
        <v>5</v>
      </c>
      <c r="I6166" s="912">
        <f>VLOOKUP(E6166,[3]VLP!$B$7:$K$300,10,0)</f>
        <v>5000</v>
      </c>
      <c r="J6166" s="912">
        <f t="shared" si="413"/>
        <v>25000</v>
      </c>
      <c r="K6166" s="912" t="s">
        <v>274</v>
      </c>
      <c r="L6166" s="912"/>
      <c r="M6166" s="912"/>
      <c r="N6166" s="912"/>
      <c r="O6166" s="892">
        <f t="shared" si="406"/>
        <v>0</v>
      </c>
      <c r="P6166" s="903">
        <f t="shared" si="408"/>
        <v>1</v>
      </c>
      <c r="Q6166" s="893">
        <f t="shared" si="409"/>
        <v>3</v>
      </c>
      <c r="R6166" s="894">
        <f t="shared" si="410"/>
        <v>0</v>
      </c>
    </row>
    <row r="6167" spans="1:18" s="904" customFormat="1">
      <c r="A6167" s="895"/>
      <c r="B6167" s="896"/>
      <c r="C6167" s="897"/>
      <c r="D6167" s="897"/>
      <c r="E6167" s="924" t="s">
        <v>276</v>
      </c>
      <c r="F6167" s="927"/>
      <c r="G6167" s="928"/>
      <c r="H6167" s="901"/>
      <c r="I6167" s="902"/>
      <c r="J6167" s="902"/>
      <c r="K6167" s="912" t="s">
        <v>274</v>
      </c>
      <c r="L6167" s="902"/>
      <c r="M6167" s="902"/>
      <c r="N6167" s="902"/>
      <c r="O6167" s="892">
        <f t="shared" si="406"/>
        <v>0</v>
      </c>
      <c r="P6167" s="903">
        <f t="shared" si="408"/>
        <v>1</v>
      </c>
      <c r="Q6167" s="893">
        <f t="shared" si="409"/>
        <v>2</v>
      </c>
      <c r="R6167" s="894">
        <f t="shared" si="410"/>
        <v>0</v>
      </c>
    </row>
    <row r="6168" spans="1:18">
      <c r="A6168" s="905"/>
      <c r="B6168" s="906"/>
      <c r="C6168" s="907">
        <v>745</v>
      </c>
      <c r="D6168" s="907" t="s">
        <v>12</v>
      </c>
      <c r="E6168" s="908" t="s">
        <v>5518</v>
      </c>
      <c r="F6168" s="909" t="s">
        <v>2674</v>
      </c>
      <c r="G6168" s="910"/>
      <c r="H6168" s="911">
        <v>2.2599999999999998</v>
      </c>
      <c r="I6168" s="912"/>
      <c r="J6168" s="912"/>
      <c r="K6168" s="912">
        <f>VLOOKUP(E6168,[5]ĐMNC!$A$7:$F$67,4,0)</f>
        <v>240557</v>
      </c>
      <c r="L6168" s="912">
        <f>H6168*K6168</f>
        <v>543658.81999999995</v>
      </c>
      <c r="M6168" s="912"/>
      <c r="N6168" s="912"/>
      <c r="O6168" s="892">
        <f t="shared" si="406"/>
        <v>0</v>
      </c>
      <c r="P6168" s="903">
        <f t="shared" si="408"/>
        <v>1</v>
      </c>
      <c r="Q6168" s="893">
        <f t="shared" si="409"/>
        <v>1</v>
      </c>
      <c r="R6168" s="894">
        <f t="shared" si="410"/>
        <v>0</v>
      </c>
    </row>
    <row r="6169" spans="1:18" s="847" customFormat="1" ht="35.25" customHeight="1">
      <c r="A6169" s="905"/>
      <c r="B6169" s="914" t="s">
        <v>5917</v>
      </c>
      <c r="C6169" s="915"/>
      <c r="D6169" s="915"/>
      <c r="E6169" s="916" t="s">
        <v>5918</v>
      </c>
      <c r="F6169" s="917" t="s">
        <v>5834</v>
      </c>
      <c r="G6169" s="944"/>
      <c r="H6169" s="919"/>
      <c r="I6169" s="920"/>
      <c r="J6169" s="891">
        <f>SUM(J6170:J6181)</f>
        <v>209837.5</v>
      </c>
      <c r="K6169" s="891"/>
      <c r="L6169" s="891">
        <f>SUM(L6170:L6181)</f>
        <v>685587.45000000007</v>
      </c>
      <c r="M6169" s="891"/>
      <c r="N6169" s="891">
        <f>SUM(N6170:N6181)</f>
        <v>0</v>
      </c>
      <c r="O6169" s="892">
        <f t="shared" si="406"/>
        <v>1</v>
      </c>
      <c r="P6169" s="903">
        <f t="shared" si="408"/>
        <v>0</v>
      </c>
      <c r="Q6169" s="893">
        <f t="shared" si="409"/>
        <v>0</v>
      </c>
      <c r="R6169" s="894">
        <f t="shared" si="410"/>
        <v>12</v>
      </c>
    </row>
    <row r="6170" spans="1:18" s="904" customFormat="1">
      <c r="A6170" s="895"/>
      <c r="B6170" s="896"/>
      <c r="C6170" s="897"/>
      <c r="D6170" s="897"/>
      <c r="E6170" s="898" t="s">
        <v>108</v>
      </c>
      <c r="F6170" s="899"/>
      <c r="G6170" s="928"/>
      <c r="H6170" s="901"/>
      <c r="I6170" s="902"/>
      <c r="J6170" s="902"/>
      <c r="K6170" s="912" t="s">
        <v>274</v>
      </c>
      <c r="L6170" s="902"/>
      <c r="M6170" s="902"/>
      <c r="N6170" s="902"/>
      <c r="O6170" s="892">
        <f t="shared" si="406"/>
        <v>0</v>
      </c>
      <c r="P6170" s="903">
        <f t="shared" si="408"/>
        <v>1</v>
      </c>
      <c r="Q6170" s="893">
        <f t="shared" si="409"/>
        <v>12</v>
      </c>
      <c r="R6170" s="894">
        <f t="shared" si="410"/>
        <v>0</v>
      </c>
    </row>
    <row r="6171" spans="1:18">
      <c r="A6171" s="905"/>
      <c r="B6171" s="906"/>
      <c r="C6171" s="907">
        <v>103</v>
      </c>
      <c r="D6171" s="907" t="s">
        <v>279</v>
      </c>
      <c r="E6171" s="925" t="s">
        <v>5842</v>
      </c>
      <c r="F6171" s="909" t="s">
        <v>51</v>
      </c>
      <c r="G6171" s="910"/>
      <c r="H6171" s="911">
        <v>1</v>
      </c>
      <c r="I6171" s="912">
        <f>VLOOKUP(E6171,[3]VLP!$B$7:$K$300,10,0)</f>
        <v>13520</v>
      </c>
      <c r="J6171" s="912">
        <f t="shared" ref="J6171:J6179" si="414">I6171*H6171</f>
        <v>13520</v>
      </c>
      <c r="K6171" s="912" t="s">
        <v>274</v>
      </c>
      <c r="L6171" s="912"/>
      <c r="M6171" s="912"/>
      <c r="N6171" s="912"/>
      <c r="O6171" s="892">
        <f t="shared" si="406"/>
        <v>0</v>
      </c>
      <c r="P6171" s="903">
        <f t="shared" si="408"/>
        <v>1</v>
      </c>
      <c r="Q6171" s="893">
        <f t="shared" si="409"/>
        <v>11</v>
      </c>
      <c r="R6171" s="894">
        <f t="shared" si="410"/>
        <v>0</v>
      </c>
    </row>
    <row r="6172" spans="1:18">
      <c r="A6172" s="905"/>
      <c r="B6172" s="906"/>
      <c r="C6172" s="907">
        <v>49</v>
      </c>
      <c r="D6172" s="907" t="s">
        <v>279</v>
      </c>
      <c r="E6172" s="925" t="s">
        <v>5698</v>
      </c>
      <c r="F6172" s="909" t="s">
        <v>139</v>
      </c>
      <c r="G6172" s="910"/>
      <c r="H6172" s="911">
        <v>2</v>
      </c>
      <c r="I6172" s="912">
        <f>VLOOKUP(E6172,[3]VLP!$B$7:$K$300,10,0)</f>
        <v>3000</v>
      </c>
      <c r="J6172" s="912">
        <f t="shared" si="414"/>
        <v>6000</v>
      </c>
      <c r="K6172" s="912" t="s">
        <v>274</v>
      </c>
      <c r="L6172" s="912"/>
      <c r="M6172" s="912"/>
      <c r="N6172" s="912"/>
      <c r="O6172" s="892">
        <f t="shared" si="406"/>
        <v>0</v>
      </c>
      <c r="P6172" s="903">
        <f t="shared" si="408"/>
        <v>1</v>
      </c>
      <c r="Q6172" s="893">
        <f t="shared" si="409"/>
        <v>10</v>
      </c>
      <c r="R6172" s="894">
        <f t="shared" si="410"/>
        <v>0</v>
      </c>
    </row>
    <row r="6173" spans="1:18">
      <c r="A6173" s="905"/>
      <c r="B6173" s="906"/>
      <c r="C6173" s="907">
        <v>50</v>
      </c>
      <c r="D6173" s="907" t="s">
        <v>279</v>
      </c>
      <c r="E6173" s="925" t="s">
        <v>5836</v>
      </c>
      <c r="F6173" s="909" t="s">
        <v>49</v>
      </c>
      <c r="G6173" s="910"/>
      <c r="H6173" s="911">
        <v>1</v>
      </c>
      <c r="I6173" s="912">
        <f>VLOOKUP(E6173,[3]VLP!$B$7:$K$300,10,0)</f>
        <v>85790</v>
      </c>
      <c r="J6173" s="912">
        <f t="shared" si="414"/>
        <v>85790</v>
      </c>
      <c r="K6173" s="912" t="s">
        <v>274</v>
      </c>
      <c r="L6173" s="912"/>
      <c r="M6173" s="912"/>
      <c r="N6173" s="912"/>
      <c r="O6173" s="892">
        <f t="shared" si="406"/>
        <v>0</v>
      </c>
      <c r="P6173" s="903">
        <f t="shared" si="408"/>
        <v>1</v>
      </c>
      <c r="Q6173" s="893">
        <f t="shared" si="409"/>
        <v>9</v>
      </c>
      <c r="R6173" s="894">
        <f t="shared" si="410"/>
        <v>0</v>
      </c>
    </row>
    <row r="6174" spans="1:18">
      <c r="A6174" s="905"/>
      <c r="B6174" s="906"/>
      <c r="C6174" s="907">
        <v>46</v>
      </c>
      <c r="D6174" s="907" t="s">
        <v>279</v>
      </c>
      <c r="E6174" s="925" t="s">
        <v>3179</v>
      </c>
      <c r="F6174" s="909" t="s">
        <v>45</v>
      </c>
      <c r="G6174" s="910"/>
      <c r="H6174" s="911">
        <v>2.4</v>
      </c>
      <c r="I6174" s="912">
        <f>VLOOKUP(E6174,[3]VLP!$B$7:$K$300,10,0)</f>
        <v>20500</v>
      </c>
      <c r="J6174" s="912">
        <f t="shared" si="414"/>
        <v>49200</v>
      </c>
      <c r="K6174" s="912" t="s">
        <v>274</v>
      </c>
      <c r="L6174" s="912"/>
      <c r="M6174" s="912"/>
      <c r="N6174" s="912"/>
      <c r="O6174" s="892">
        <f t="shared" si="406"/>
        <v>0</v>
      </c>
      <c r="P6174" s="903">
        <f t="shared" si="408"/>
        <v>1</v>
      </c>
      <c r="Q6174" s="893">
        <f t="shared" si="409"/>
        <v>8</v>
      </c>
      <c r="R6174" s="894">
        <f t="shared" si="410"/>
        <v>0</v>
      </c>
    </row>
    <row r="6175" spans="1:18">
      <c r="A6175" s="905"/>
      <c r="B6175" s="906"/>
      <c r="C6175" s="907">
        <v>25</v>
      </c>
      <c r="D6175" s="907" t="s">
        <v>279</v>
      </c>
      <c r="E6175" s="925" t="s">
        <v>5656</v>
      </c>
      <c r="F6175" s="926" t="s">
        <v>2690</v>
      </c>
      <c r="G6175" s="910"/>
      <c r="H6175" s="911">
        <v>1</v>
      </c>
      <c r="I6175" s="912">
        <f>VLOOKUP(E6175,[3]VLP!$B$7:$K$300,10,0)</f>
        <v>5000</v>
      </c>
      <c r="J6175" s="912">
        <f t="shared" si="414"/>
        <v>5000</v>
      </c>
      <c r="K6175" s="912" t="s">
        <v>274</v>
      </c>
      <c r="L6175" s="912"/>
      <c r="M6175" s="912"/>
      <c r="N6175" s="912"/>
      <c r="O6175" s="892">
        <f t="shared" ref="O6175:O6238" si="415">IF(AND(B6175&lt;&gt;"",D6175=""),1,0)</f>
        <v>0</v>
      </c>
      <c r="P6175" s="903">
        <f t="shared" si="408"/>
        <v>1</v>
      </c>
      <c r="Q6175" s="893">
        <f t="shared" si="409"/>
        <v>7</v>
      </c>
      <c r="R6175" s="894">
        <f t="shared" si="410"/>
        <v>0</v>
      </c>
    </row>
    <row r="6176" spans="1:18">
      <c r="A6176" s="905"/>
      <c r="B6176" s="906"/>
      <c r="C6176" s="907">
        <v>127</v>
      </c>
      <c r="D6176" s="907" t="s">
        <v>279</v>
      </c>
      <c r="E6176" s="925" t="s">
        <v>5657</v>
      </c>
      <c r="F6176" s="909" t="s">
        <v>45</v>
      </c>
      <c r="G6176" s="910"/>
      <c r="H6176" s="911">
        <v>0.5</v>
      </c>
      <c r="I6176" s="912">
        <f>VLOOKUP(E6176,[3]VLP!$B$7:$K$300,10,0)</f>
        <v>25155</v>
      </c>
      <c r="J6176" s="912">
        <f t="shared" si="414"/>
        <v>12577.5</v>
      </c>
      <c r="K6176" s="912" t="s">
        <v>274</v>
      </c>
      <c r="L6176" s="912"/>
      <c r="M6176" s="912"/>
      <c r="N6176" s="912"/>
      <c r="O6176" s="892">
        <f t="shared" si="415"/>
        <v>0</v>
      </c>
      <c r="P6176" s="903">
        <f t="shared" si="408"/>
        <v>1</v>
      </c>
      <c r="Q6176" s="893">
        <f t="shared" si="409"/>
        <v>6</v>
      </c>
      <c r="R6176" s="894">
        <f t="shared" si="410"/>
        <v>0</v>
      </c>
    </row>
    <row r="6177" spans="1:18">
      <c r="A6177" s="905"/>
      <c r="B6177" s="906"/>
      <c r="C6177" s="907">
        <v>44</v>
      </c>
      <c r="D6177" s="907" t="s">
        <v>279</v>
      </c>
      <c r="E6177" s="925" t="s">
        <v>2681</v>
      </c>
      <c r="F6177" s="926" t="s">
        <v>45</v>
      </c>
      <c r="G6177" s="910"/>
      <c r="H6177" s="911">
        <v>0.5</v>
      </c>
      <c r="I6177" s="912">
        <f>VLOOKUP(E6177,[3]VLP!$B$7:$K$300,10,0)</f>
        <v>23000</v>
      </c>
      <c r="J6177" s="912">
        <f t="shared" si="414"/>
        <v>11500</v>
      </c>
      <c r="K6177" s="912" t="s">
        <v>274</v>
      </c>
      <c r="L6177" s="912"/>
      <c r="M6177" s="912"/>
      <c r="N6177" s="912"/>
      <c r="O6177" s="892">
        <f t="shared" si="415"/>
        <v>0</v>
      </c>
      <c r="P6177" s="903">
        <f t="shared" si="408"/>
        <v>1</v>
      </c>
      <c r="Q6177" s="893">
        <f t="shared" si="409"/>
        <v>5</v>
      </c>
      <c r="R6177" s="894">
        <f t="shared" si="410"/>
        <v>0</v>
      </c>
    </row>
    <row r="6178" spans="1:18">
      <c r="A6178" s="905"/>
      <c r="B6178" s="906"/>
      <c r="C6178" s="907">
        <v>66</v>
      </c>
      <c r="D6178" s="907" t="s">
        <v>279</v>
      </c>
      <c r="E6178" s="925" t="s">
        <v>2682</v>
      </c>
      <c r="F6178" s="926" t="s">
        <v>45</v>
      </c>
      <c r="G6178" s="910"/>
      <c r="H6178" s="911">
        <v>0.25</v>
      </c>
      <c r="I6178" s="912">
        <f>VLOOKUP(E6178,[3]VLP!$B$7:$K$300,10,0)</f>
        <v>5000</v>
      </c>
      <c r="J6178" s="912">
        <f t="shared" si="414"/>
        <v>1250</v>
      </c>
      <c r="K6178" s="912" t="s">
        <v>274</v>
      </c>
      <c r="L6178" s="912"/>
      <c r="M6178" s="912"/>
      <c r="N6178" s="912"/>
      <c r="O6178" s="892">
        <f t="shared" si="415"/>
        <v>0</v>
      </c>
      <c r="P6178" s="903">
        <f t="shared" si="408"/>
        <v>1</v>
      </c>
      <c r="Q6178" s="893">
        <f t="shared" si="409"/>
        <v>4</v>
      </c>
      <c r="R6178" s="894">
        <f t="shared" si="410"/>
        <v>0</v>
      </c>
    </row>
    <row r="6179" spans="1:18">
      <c r="A6179" s="905"/>
      <c r="B6179" s="906"/>
      <c r="C6179" s="907">
        <v>699</v>
      </c>
      <c r="D6179" s="907" t="s">
        <v>279</v>
      </c>
      <c r="E6179" s="925" t="s">
        <v>4006</v>
      </c>
      <c r="F6179" s="926" t="s">
        <v>4007</v>
      </c>
      <c r="G6179" s="910"/>
      <c r="H6179" s="911">
        <v>5</v>
      </c>
      <c r="I6179" s="912">
        <f>VLOOKUP(E6179,[3]VLP!$B$7:$K$300,10,0)</f>
        <v>5000</v>
      </c>
      <c r="J6179" s="912">
        <f t="shared" si="414"/>
        <v>25000</v>
      </c>
      <c r="K6179" s="912" t="s">
        <v>274</v>
      </c>
      <c r="L6179" s="912"/>
      <c r="M6179" s="912"/>
      <c r="N6179" s="912"/>
      <c r="O6179" s="892">
        <f t="shared" si="415"/>
        <v>0</v>
      </c>
      <c r="P6179" s="903">
        <f t="shared" si="408"/>
        <v>1</v>
      </c>
      <c r="Q6179" s="893">
        <f t="shared" si="409"/>
        <v>3</v>
      </c>
      <c r="R6179" s="894">
        <f t="shared" si="410"/>
        <v>0</v>
      </c>
    </row>
    <row r="6180" spans="1:18" s="904" customFormat="1">
      <c r="A6180" s="895"/>
      <c r="B6180" s="896"/>
      <c r="C6180" s="897"/>
      <c r="D6180" s="897"/>
      <c r="E6180" s="924" t="s">
        <v>276</v>
      </c>
      <c r="F6180" s="927"/>
      <c r="G6180" s="928"/>
      <c r="H6180" s="901"/>
      <c r="I6180" s="902"/>
      <c r="J6180" s="902"/>
      <c r="K6180" s="912" t="s">
        <v>274</v>
      </c>
      <c r="L6180" s="902"/>
      <c r="M6180" s="902"/>
      <c r="N6180" s="902"/>
      <c r="O6180" s="892">
        <f t="shared" si="415"/>
        <v>0</v>
      </c>
      <c r="P6180" s="903">
        <f t="shared" si="408"/>
        <v>1</v>
      </c>
      <c r="Q6180" s="893">
        <f t="shared" si="409"/>
        <v>2</v>
      </c>
      <c r="R6180" s="894">
        <f t="shared" si="410"/>
        <v>0</v>
      </c>
    </row>
    <row r="6181" spans="1:18">
      <c r="A6181" s="905"/>
      <c r="B6181" s="906"/>
      <c r="C6181" s="907">
        <v>745</v>
      </c>
      <c r="D6181" s="907" t="s">
        <v>12</v>
      </c>
      <c r="E6181" s="908" t="s">
        <v>5518</v>
      </c>
      <c r="F6181" s="909" t="s">
        <v>2674</v>
      </c>
      <c r="G6181" s="910"/>
      <c r="H6181" s="911">
        <v>2.85</v>
      </c>
      <c r="I6181" s="912"/>
      <c r="J6181" s="912"/>
      <c r="K6181" s="912">
        <f>VLOOKUP(E6181,[5]ĐMNC!$A$7:$F$67,4,0)</f>
        <v>240557</v>
      </c>
      <c r="L6181" s="912">
        <f>H6181*K6181</f>
        <v>685587.45000000007</v>
      </c>
      <c r="M6181" s="912"/>
      <c r="N6181" s="912"/>
      <c r="O6181" s="892">
        <f t="shared" si="415"/>
        <v>0</v>
      </c>
      <c r="P6181" s="903">
        <f t="shared" si="408"/>
        <v>1</v>
      </c>
      <c r="Q6181" s="893">
        <f t="shared" si="409"/>
        <v>1</v>
      </c>
      <c r="R6181" s="894">
        <f t="shared" si="410"/>
        <v>0</v>
      </c>
    </row>
    <row r="6182" spans="1:18" s="847" customFormat="1" ht="35.25" customHeight="1">
      <c r="A6182" s="905"/>
      <c r="B6182" s="914" t="s">
        <v>5919</v>
      </c>
      <c r="C6182" s="915"/>
      <c r="D6182" s="915"/>
      <c r="E6182" s="916" t="s">
        <v>5920</v>
      </c>
      <c r="F6182" s="917" t="s">
        <v>5834</v>
      </c>
      <c r="G6182" s="944"/>
      <c r="H6182" s="919"/>
      <c r="I6182" s="920"/>
      <c r="J6182" s="891">
        <f>SUM(J6183:J6194)</f>
        <v>229597.5</v>
      </c>
      <c r="K6182" s="891"/>
      <c r="L6182" s="891">
        <f>SUM(L6183:L6194)</f>
        <v>829921.65</v>
      </c>
      <c r="M6182" s="891"/>
      <c r="N6182" s="891">
        <f>SUM(N6183:N6194)</f>
        <v>0</v>
      </c>
      <c r="O6182" s="892">
        <f t="shared" si="415"/>
        <v>1</v>
      </c>
      <c r="P6182" s="903">
        <f t="shared" si="408"/>
        <v>0</v>
      </c>
      <c r="Q6182" s="893">
        <f t="shared" si="409"/>
        <v>0</v>
      </c>
      <c r="R6182" s="894">
        <f t="shared" si="410"/>
        <v>12</v>
      </c>
    </row>
    <row r="6183" spans="1:18" s="904" customFormat="1">
      <c r="A6183" s="895"/>
      <c r="B6183" s="896"/>
      <c r="C6183" s="897"/>
      <c r="D6183" s="897"/>
      <c r="E6183" s="898" t="s">
        <v>108</v>
      </c>
      <c r="F6183" s="899"/>
      <c r="G6183" s="928"/>
      <c r="H6183" s="901"/>
      <c r="I6183" s="902"/>
      <c r="J6183" s="902"/>
      <c r="K6183" s="912" t="s">
        <v>274</v>
      </c>
      <c r="L6183" s="902"/>
      <c r="M6183" s="902"/>
      <c r="N6183" s="902"/>
      <c r="O6183" s="892">
        <f t="shared" si="415"/>
        <v>0</v>
      </c>
      <c r="P6183" s="903">
        <f t="shared" si="408"/>
        <v>1</v>
      </c>
      <c r="Q6183" s="893">
        <f t="shared" si="409"/>
        <v>12</v>
      </c>
      <c r="R6183" s="894">
        <f t="shared" si="410"/>
        <v>0</v>
      </c>
    </row>
    <row r="6184" spans="1:18">
      <c r="A6184" s="905"/>
      <c r="B6184" s="906"/>
      <c r="C6184" s="907">
        <v>104</v>
      </c>
      <c r="D6184" s="907" t="s">
        <v>279</v>
      </c>
      <c r="E6184" s="925" t="s">
        <v>5845</v>
      </c>
      <c r="F6184" s="909" t="s">
        <v>51</v>
      </c>
      <c r="G6184" s="910"/>
      <c r="H6184" s="911">
        <v>1</v>
      </c>
      <c r="I6184" s="912">
        <f>VLOOKUP(E6184,[3]VLP!$B$7:$K$300,10,0)</f>
        <v>20280</v>
      </c>
      <c r="J6184" s="912">
        <f t="shared" ref="J6184:J6192" si="416">I6184*H6184</f>
        <v>20280</v>
      </c>
      <c r="K6184" s="912" t="s">
        <v>274</v>
      </c>
      <c r="L6184" s="912"/>
      <c r="M6184" s="912"/>
      <c r="N6184" s="912"/>
      <c r="O6184" s="892">
        <f t="shared" si="415"/>
        <v>0</v>
      </c>
      <c r="P6184" s="903">
        <f t="shared" ref="P6184:P6247" si="417">IF(O6184=0,1,0)</f>
        <v>1</v>
      </c>
      <c r="Q6184" s="893">
        <f t="shared" ref="Q6184:Q6247" si="418">IF(P6184=0,0,P6184+Q6185)</f>
        <v>11</v>
      </c>
      <c r="R6184" s="894">
        <f t="shared" ref="R6184:R6247" si="419">IF(Q6184=0,Q6185,0)</f>
        <v>0</v>
      </c>
    </row>
    <row r="6185" spans="1:18">
      <c r="A6185" s="905"/>
      <c r="B6185" s="906"/>
      <c r="C6185" s="907">
        <v>49</v>
      </c>
      <c r="D6185" s="907" t="s">
        <v>279</v>
      </c>
      <c r="E6185" s="925" t="s">
        <v>5698</v>
      </c>
      <c r="F6185" s="909" t="s">
        <v>139</v>
      </c>
      <c r="G6185" s="910"/>
      <c r="H6185" s="911">
        <v>2</v>
      </c>
      <c r="I6185" s="912">
        <f>VLOOKUP(E6185,[3]VLP!$B$7:$K$300,10,0)</f>
        <v>3000</v>
      </c>
      <c r="J6185" s="912">
        <f t="shared" si="416"/>
        <v>6000</v>
      </c>
      <c r="K6185" s="912" t="s">
        <v>274</v>
      </c>
      <c r="L6185" s="912"/>
      <c r="M6185" s="912"/>
      <c r="N6185" s="912"/>
      <c r="O6185" s="892">
        <f t="shared" si="415"/>
        <v>0</v>
      </c>
      <c r="P6185" s="903">
        <f t="shared" si="417"/>
        <v>1</v>
      </c>
      <c r="Q6185" s="893">
        <f t="shared" si="418"/>
        <v>10</v>
      </c>
      <c r="R6185" s="894">
        <f t="shared" si="419"/>
        <v>0</v>
      </c>
    </row>
    <row r="6186" spans="1:18">
      <c r="A6186" s="905"/>
      <c r="B6186" s="906"/>
      <c r="C6186" s="907">
        <v>50</v>
      </c>
      <c r="D6186" s="907" t="s">
        <v>279</v>
      </c>
      <c r="E6186" s="925" t="s">
        <v>5836</v>
      </c>
      <c r="F6186" s="909" t="s">
        <v>49</v>
      </c>
      <c r="G6186" s="910"/>
      <c r="H6186" s="911">
        <v>1</v>
      </c>
      <c r="I6186" s="912">
        <f>VLOOKUP(E6186,[3]VLP!$B$7:$K$300,10,0)</f>
        <v>85790</v>
      </c>
      <c r="J6186" s="912">
        <f t="shared" si="416"/>
        <v>85790</v>
      </c>
      <c r="K6186" s="912" t="s">
        <v>274</v>
      </c>
      <c r="L6186" s="912"/>
      <c r="M6186" s="912"/>
      <c r="N6186" s="912"/>
      <c r="O6186" s="892">
        <f t="shared" si="415"/>
        <v>0</v>
      </c>
      <c r="P6186" s="903">
        <f t="shared" si="417"/>
        <v>1</v>
      </c>
      <c r="Q6186" s="893">
        <f t="shared" si="418"/>
        <v>9</v>
      </c>
      <c r="R6186" s="894">
        <f t="shared" si="419"/>
        <v>0</v>
      </c>
    </row>
    <row r="6187" spans="1:18">
      <c r="A6187" s="905"/>
      <c r="B6187" s="906"/>
      <c r="C6187" s="907">
        <v>46</v>
      </c>
      <c r="D6187" s="907" t="s">
        <v>279</v>
      </c>
      <c r="E6187" s="925" t="s">
        <v>3179</v>
      </c>
      <c r="F6187" s="909" t="s">
        <v>45</v>
      </c>
      <c r="G6187" s="910"/>
      <c r="H6187" s="911">
        <v>2.8</v>
      </c>
      <c r="I6187" s="912">
        <f>VLOOKUP(E6187,[3]VLP!$B$7:$K$300,10,0)</f>
        <v>20500</v>
      </c>
      <c r="J6187" s="912">
        <f t="shared" si="416"/>
        <v>57399.999999999993</v>
      </c>
      <c r="K6187" s="912" t="s">
        <v>274</v>
      </c>
      <c r="L6187" s="912"/>
      <c r="M6187" s="912"/>
      <c r="N6187" s="912"/>
      <c r="O6187" s="892">
        <f t="shared" si="415"/>
        <v>0</v>
      </c>
      <c r="P6187" s="903">
        <f t="shared" si="417"/>
        <v>1</v>
      </c>
      <c r="Q6187" s="893">
        <f t="shared" si="418"/>
        <v>8</v>
      </c>
      <c r="R6187" s="894">
        <f t="shared" si="419"/>
        <v>0</v>
      </c>
    </row>
    <row r="6188" spans="1:18">
      <c r="A6188" s="905"/>
      <c r="B6188" s="906"/>
      <c r="C6188" s="907">
        <v>25</v>
      </c>
      <c r="D6188" s="907" t="s">
        <v>279</v>
      </c>
      <c r="E6188" s="925" t="s">
        <v>5656</v>
      </c>
      <c r="F6188" s="926" t="s">
        <v>2690</v>
      </c>
      <c r="G6188" s="910"/>
      <c r="H6188" s="911">
        <v>1.5</v>
      </c>
      <c r="I6188" s="912">
        <f>VLOOKUP(E6188,[3]VLP!$B$7:$K$300,10,0)</f>
        <v>5000</v>
      </c>
      <c r="J6188" s="912">
        <f t="shared" si="416"/>
        <v>7500</v>
      </c>
      <c r="K6188" s="912" t="s">
        <v>274</v>
      </c>
      <c r="L6188" s="912"/>
      <c r="M6188" s="912"/>
      <c r="N6188" s="912"/>
      <c r="O6188" s="892">
        <f t="shared" si="415"/>
        <v>0</v>
      </c>
      <c r="P6188" s="903">
        <f t="shared" si="417"/>
        <v>1</v>
      </c>
      <c r="Q6188" s="893">
        <f t="shared" si="418"/>
        <v>7</v>
      </c>
      <c r="R6188" s="894">
        <f t="shared" si="419"/>
        <v>0</v>
      </c>
    </row>
    <row r="6189" spans="1:18">
      <c r="A6189" s="905"/>
      <c r="B6189" s="906"/>
      <c r="C6189" s="907">
        <v>127</v>
      </c>
      <c r="D6189" s="907" t="s">
        <v>279</v>
      </c>
      <c r="E6189" s="925" t="s">
        <v>5657</v>
      </c>
      <c r="F6189" s="909" t="s">
        <v>45</v>
      </c>
      <c r="G6189" s="910"/>
      <c r="H6189" s="911">
        <v>0.5</v>
      </c>
      <c r="I6189" s="912">
        <f>VLOOKUP(E6189,[3]VLP!$B$7:$K$300,10,0)</f>
        <v>25155</v>
      </c>
      <c r="J6189" s="912">
        <f t="shared" si="416"/>
        <v>12577.5</v>
      </c>
      <c r="K6189" s="912" t="s">
        <v>274</v>
      </c>
      <c r="L6189" s="912"/>
      <c r="M6189" s="912"/>
      <c r="N6189" s="912"/>
      <c r="O6189" s="892">
        <f t="shared" si="415"/>
        <v>0</v>
      </c>
      <c r="P6189" s="903">
        <f t="shared" si="417"/>
        <v>1</v>
      </c>
      <c r="Q6189" s="893">
        <f t="shared" si="418"/>
        <v>6</v>
      </c>
      <c r="R6189" s="894">
        <f t="shared" si="419"/>
        <v>0</v>
      </c>
    </row>
    <row r="6190" spans="1:18">
      <c r="A6190" s="905"/>
      <c r="B6190" s="906"/>
      <c r="C6190" s="907">
        <v>44</v>
      </c>
      <c r="D6190" s="907" t="s">
        <v>279</v>
      </c>
      <c r="E6190" s="925" t="s">
        <v>2681</v>
      </c>
      <c r="F6190" s="926" t="s">
        <v>45</v>
      </c>
      <c r="G6190" s="910"/>
      <c r="H6190" s="911">
        <v>0.6</v>
      </c>
      <c r="I6190" s="912">
        <f>VLOOKUP(E6190,[3]VLP!$B$7:$K$300,10,0)</f>
        <v>23000</v>
      </c>
      <c r="J6190" s="912">
        <f t="shared" si="416"/>
        <v>13800</v>
      </c>
      <c r="K6190" s="912" t="s">
        <v>274</v>
      </c>
      <c r="L6190" s="912"/>
      <c r="M6190" s="912"/>
      <c r="N6190" s="912"/>
      <c r="O6190" s="892">
        <f t="shared" si="415"/>
        <v>0</v>
      </c>
      <c r="P6190" s="903">
        <f t="shared" si="417"/>
        <v>1</v>
      </c>
      <c r="Q6190" s="893">
        <f t="shared" si="418"/>
        <v>5</v>
      </c>
      <c r="R6190" s="894">
        <f t="shared" si="419"/>
        <v>0</v>
      </c>
    </row>
    <row r="6191" spans="1:18">
      <c r="A6191" s="905"/>
      <c r="B6191" s="906"/>
      <c r="C6191" s="907">
        <v>66</v>
      </c>
      <c r="D6191" s="907" t="s">
        <v>279</v>
      </c>
      <c r="E6191" s="925" t="s">
        <v>2682</v>
      </c>
      <c r="F6191" s="926" t="s">
        <v>45</v>
      </c>
      <c r="G6191" s="910"/>
      <c r="H6191" s="911">
        <v>0.25</v>
      </c>
      <c r="I6191" s="912">
        <f>VLOOKUP(E6191,[3]VLP!$B$7:$K$300,10,0)</f>
        <v>5000</v>
      </c>
      <c r="J6191" s="912">
        <f t="shared" si="416"/>
        <v>1250</v>
      </c>
      <c r="K6191" s="912" t="s">
        <v>274</v>
      </c>
      <c r="L6191" s="912"/>
      <c r="M6191" s="912"/>
      <c r="N6191" s="912"/>
      <c r="O6191" s="892">
        <f t="shared" si="415"/>
        <v>0</v>
      </c>
      <c r="P6191" s="903">
        <f t="shared" si="417"/>
        <v>1</v>
      </c>
      <c r="Q6191" s="893">
        <f t="shared" si="418"/>
        <v>4</v>
      </c>
      <c r="R6191" s="894">
        <f t="shared" si="419"/>
        <v>0</v>
      </c>
    </row>
    <row r="6192" spans="1:18">
      <c r="A6192" s="905"/>
      <c r="B6192" s="906"/>
      <c r="C6192" s="907">
        <v>699</v>
      </c>
      <c r="D6192" s="907" t="s">
        <v>279</v>
      </c>
      <c r="E6192" s="925" t="s">
        <v>4006</v>
      </c>
      <c r="F6192" s="926" t="s">
        <v>4007</v>
      </c>
      <c r="G6192" s="910"/>
      <c r="H6192" s="911">
        <v>5</v>
      </c>
      <c r="I6192" s="912">
        <f>VLOOKUP(E6192,[3]VLP!$B$7:$K$300,10,0)</f>
        <v>5000</v>
      </c>
      <c r="J6192" s="912">
        <f t="shared" si="416"/>
        <v>25000</v>
      </c>
      <c r="K6192" s="912" t="s">
        <v>274</v>
      </c>
      <c r="L6192" s="912"/>
      <c r="M6192" s="912"/>
      <c r="N6192" s="912"/>
      <c r="O6192" s="892">
        <f t="shared" si="415"/>
        <v>0</v>
      </c>
      <c r="P6192" s="903">
        <f t="shared" si="417"/>
        <v>1</v>
      </c>
      <c r="Q6192" s="893">
        <f t="shared" si="418"/>
        <v>3</v>
      </c>
      <c r="R6192" s="894">
        <f t="shared" si="419"/>
        <v>0</v>
      </c>
    </row>
    <row r="6193" spans="1:18" s="904" customFormat="1">
      <c r="A6193" s="895"/>
      <c r="B6193" s="896"/>
      <c r="C6193" s="897"/>
      <c r="D6193" s="897"/>
      <c r="E6193" s="924" t="s">
        <v>276</v>
      </c>
      <c r="F6193" s="927"/>
      <c r="G6193" s="928"/>
      <c r="H6193" s="901"/>
      <c r="I6193" s="902"/>
      <c r="J6193" s="902"/>
      <c r="K6193" s="912" t="s">
        <v>274</v>
      </c>
      <c r="L6193" s="902"/>
      <c r="M6193" s="902"/>
      <c r="N6193" s="902"/>
      <c r="O6193" s="892">
        <f t="shared" si="415"/>
        <v>0</v>
      </c>
      <c r="P6193" s="903">
        <f t="shared" si="417"/>
        <v>1</v>
      </c>
      <c r="Q6193" s="893">
        <f t="shared" si="418"/>
        <v>2</v>
      </c>
      <c r="R6193" s="894">
        <f t="shared" si="419"/>
        <v>0</v>
      </c>
    </row>
    <row r="6194" spans="1:18">
      <c r="A6194" s="905"/>
      <c r="B6194" s="906"/>
      <c r="C6194" s="907">
        <v>745</v>
      </c>
      <c r="D6194" s="907" t="s">
        <v>12</v>
      </c>
      <c r="E6194" s="908" t="s">
        <v>5518</v>
      </c>
      <c r="F6194" s="909" t="s">
        <v>2674</v>
      </c>
      <c r="G6194" s="910"/>
      <c r="H6194" s="911">
        <v>3.45</v>
      </c>
      <c r="I6194" s="912"/>
      <c r="J6194" s="912"/>
      <c r="K6194" s="912">
        <f>VLOOKUP(E6194,[5]ĐMNC!$A$7:$F$67,4,0)</f>
        <v>240557</v>
      </c>
      <c r="L6194" s="912">
        <f>H6194*K6194</f>
        <v>829921.65</v>
      </c>
      <c r="M6194" s="912"/>
      <c r="N6194" s="912"/>
      <c r="O6194" s="892">
        <f t="shared" si="415"/>
        <v>0</v>
      </c>
      <c r="P6194" s="903">
        <f t="shared" si="417"/>
        <v>1</v>
      </c>
      <c r="Q6194" s="893">
        <f t="shared" si="418"/>
        <v>1</v>
      </c>
      <c r="R6194" s="894">
        <f t="shared" si="419"/>
        <v>0</v>
      </c>
    </row>
    <row r="6195" spans="1:18" s="847" customFormat="1" ht="35.25" customHeight="1">
      <c r="A6195" s="905" t="s">
        <v>5881</v>
      </c>
      <c r="B6195" s="914" t="s">
        <v>5921</v>
      </c>
      <c r="C6195" s="915"/>
      <c r="D6195" s="915"/>
      <c r="E6195" s="916" t="s">
        <v>5922</v>
      </c>
      <c r="F6195" s="917" t="s">
        <v>5834</v>
      </c>
      <c r="G6195" s="944"/>
      <c r="H6195" s="919"/>
      <c r="I6195" s="920"/>
      <c r="J6195" s="891">
        <f>SUM(J6196:J6207)</f>
        <v>247577.5</v>
      </c>
      <c r="K6195" s="891"/>
      <c r="L6195" s="891">
        <f>SUM(L6196:L6207)</f>
        <v>914116.6</v>
      </c>
      <c r="M6195" s="891"/>
      <c r="N6195" s="891">
        <f>SUM(N6196:N6207)</f>
        <v>0</v>
      </c>
      <c r="O6195" s="892">
        <f t="shared" si="415"/>
        <v>1</v>
      </c>
      <c r="P6195" s="903">
        <f t="shared" si="417"/>
        <v>0</v>
      </c>
      <c r="Q6195" s="893">
        <f t="shared" si="418"/>
        <v>0</v>
      </c>
      <c r="R6195" s="894">
        <f t="shared" si="419"/>
        <v>12</v>
      </c>
    </row>
    <row r="6196" spans="1:18" s="904" customFormat="1">
      <c r="A6196" s="895"/>
      <c r="B6196" s="896"/>
      <c r="C6196" s="897"/>
      <c r="D6196" s="897"/>
      <c r="E6196" s="898" t="s">
        <v>108</v>
      </c>
      <c r="F6196" s="899"/>
      <c r="G6196" s="928"/>
      <c r="H6196" s="901"/>
      <c r="I6196" s="902"/>
      <c r="J6196" s="902"/>
      <c r="K6196" s="912" t="s">
        <v>274</v>
      </c>
      <c r="L6196" s="902"/>
      <c r="M6196" s="902"/>
      <c r="N6196" s="902"/>
      <c r="O6196" s="892">
        <f t="shared" si="415"/>
        <v>0</v>
      </c>
      <c r="P6196" s="903">
        <f t="shared" si="417"/>
        <v>1</v>
      </c>
      <c r="Q6196" s="893">
        <f t="shared" si="418"/>
        <v>12</v>
      </c>
      <c r="R6196" s="894">
        <f t="shared" si="419"/>
        <v>0</v>
      </c>
    </row>
    <row r="6197" spans="1:18">
      <c r="A6197" s="905"/>
      <c r="B6197" s="906"/>
      <c r="C6197" s="907">
        <v>105</v>
      </c>
      <c r="D6197" s="907" t="s">
        <v>279</v>
      </c>
      <c r="E6197" s="925" t="s">
        <v>5848</v>
      </c>
      <c r="F6197" s="909" t="s">
        <v>51</v>
      </c>
      <c r="G6197" s="910"/>
      <c r="H6197" s="911">
        <v>1</v>
      </c>
      <c r="I6197" s="912">
        <f>VLOOKUP(E6197,[3]VLP!$B$7:$K$300,10,0)</f>
        <v>23660</v>
      </c>
      <c r="J6197" s="912">
        <f t="shared" ref="J6197:J6205" si="420">I6197*H6197</f>
        <v>23660</v>
      </c>
      <c r="K6197" s="912" t="s">
        <v>274</v>
      </c>
      <c r="L6197" s="912"/>
      <c r="M6197" s="912"/>
      <c r="N6197" s="912"/>
      <c r="O6197" s="892">
        <f t="shared" si="415"/>
        <v>0</v>
      </c>
      <c r="P6197" s="903">
        <f t="shared" si="417"/>
        <v>1</v>
      </c>
      <c r="Q6197" s="893">
        <f t="shared" si="418"/>
        <v>11</v>
      </c>
      <c r="R6197" s="894">
        <f t="shared" si="419"/>
        <v>0</v>
      </c>
    </row>
    <row r="6198" spans="1:18">
      <c r="A6198" s="905"/>
      <c r="B6198" s="906"/>
      <c r="C6198" s="907">
        <v>49</v>
      </c>
      <c r="D6198" s="907" t="s">
        <v>279</v>
      </c>
      <c r="E6198" s="925" t="s">
        <v>5698</v>
      </c>
      <c r="F6198" s="909" t="s">
        <v>139</v>
      </c>
      <c r="G6198" s="910"/>
      <c r="H6198" s="911">
        <v>2</v>
      </c>
      <c r="I6198" s="912">
        <f>VLOOKUP(E6198,[3]VLP!$B$7:$K$300,10,0)</f>
        <v>3000</v>
      </c>
      <c r="J6198" s="912">
        <f t="shared" si="420"/>
        <v>6000</v>
      </c>
      <c r="K6198" s="912" t="s">
        <v>274</v>
      </c>
      <c r="L6198" s="912"/>
      <c r="M6198" s="912"/>
      <c r="N6198" s="912"/>
      <c r="O6198" s="892">
        <f t="shared" si="415"/>
        <v>0</v>
      </c>
      <c r="P6198" s="903">
        <f t="shared" si="417"/>
        <v>1</v>
      </c>
      <c r="Q6198" s="893">
        <f t="shared" si="418"/>
        <v>10</v>
      </c>
      <c r="R6198" s="894">
        <f t="shared" si="419"/>
        <v>0</v>
      </c>
    </row>
    <row r="6199" spans="1:18">
      <c r="A6199" s="905"/>
      <c r="B6199" s="906"/>
      <c r="C6199" s="907">
        <v>50</v>
      </c>
      <c r="D6199" s="907" t="s">
        <v>279</v>
      </c>
      <c r="E6199" s="925" t="s">
        <v>5836</v>
      </c>
      <c r="F6199" s="909" t="s">
        <v>49</v>
      </c>
      <c r="G6199" s="910"/>
      <c r="H6199" s="911">
        <v>1</v>
      </c>
      <c r="I6199" s="912">
        <f>VLOOKUP(E6199,[3]VLP!$B$7:$K$300,10,0)</f>
        <v>85790</v>
      </c>
      <c r="J6199" s="912">
        <f t="shared" si="420"/>
        <v>85790</v>
      </c>
      <c r="K6199" s="912" t="s">
        <v>274</v>
      </c>
      <c r="L6199" s="912"/>
      <c r="M6199" s="912"/>
      <c r="N6199" s="912"/>
      <c r="O6199" s="892">
        <f t="shared" si="415"/>
        <v>0</v>
      </c>
      <c r="P6199" s="903">
        <f t="shared" si="417"/>
        <v>1</v>
      </c>
      <c r="Q6199" s="893">
        <f t="shared" si="418"/>
        <v>9</v>
      </c>
      <c r="R6199" s="894">
        <f t="shared" si="419"/>
        <v>0</v>
      </c>
    </row>
    <row r="6200" spans="1:18">
      <c r="A6200" s="905"/>
      <c r="B6200" s="906"/>
      <c r="C6200" s="907">
        <v>46</v>
      </c>
      <c r="D6200" s="907" t="s">
        <v>279</v>
      </c>
      <c r="E6200" s="925" t="s">
        <v>3179</v>
      </c>
      <c r="F6200" s="909" t="s">
        <v>45</v>
      </c>
      <c r="G6200" s="910"/>
      <c r="H6200" s="911">
        <v>3.5</v>
      </c>
      <c r="I6200" s="912">
        <f>VLOOKUP(E6200,[3]VLP!$B$7:$K$300,10,0)</f>
        <v>20500</v>
      </c>
      <c r="J6200" s="912">
        <f t="shared" si="420"/>
        <v>71750</v>
      </c>
      <c r="K6200" s="912" t="s">
        <v>274</v>
      </c>
      <c r="L6200" s="912"/>
      <c r="M6200" s="912"/>
      <c r="N6200" s="912"/>
      <c r="O6200" s="892">
        <f t="shared" si="415"/>
        <v>0</v>
      </c>
      <c r="P6200" s="903">
        <f t="shared" si="417"/>
        <v>1</v>
      </c>
      <c r="Q6200" s="893">
        <f t="shared" si="418"/>
        <v>8</v>
      </c>
      <c r="R6200" s="894">
        <f t="shared" si="419"/>
        <v>0</v>
      </c>
    </row>
    <row r="6201" spans="1:18">
      <c r="A6201" s="905"/>
      <c r="B6201" s="906"/>
      <c r="C6201" s="907">
        <v>25</v>
      </c>
      <c r="D6201" s="907" t="s">
        <v>279</v>
      </c>
      <c r="E6201" s="925" t="s">
        <v>5656</v>
      </c>
      <c r="F6201" s="926" t="s">
        <v>2690</v>
      </c>
      <c r="G6201" s="910"/>
      <c r="H6201" s="911">
        <v>1.5</v>
      </c>
      <c r="I6201" s="912">
        <f>VLOOKUP(E6201,[3]VLP!$B$7:$K$300,10,0)</f>
        <v>5000</v>
      </c>
      <c r="J6201" s="912">
        <f t="shared" si="420"/>
        <v>7500</v>
      </c>
      <c r="K6201" s="912" t="s">
        <v>274</v>
      </c>
      <c r="L6201" s="912"/>
      <c r="M6201" s="912"/>
      <c r="N6201" s="912"/>
      <c r="O6201" s="892">
        <f t="shared" si="415"/>
        <v>0</v>
      </c>
      <c r="P6201" s="903">
        <f t="shared" si="417"/>
        <v>1</v>
      </c>
      <c r="Q6201" s="893">
        <f t="shared" si="418"/>
        <v>7</v>
      </c>
      <c r="R6201" s="894">
        <f t="shared" si="419"/>
        <v>0</v>
      </c>
    </row>
    <row r="6202" spans="1:18">
      <c r="A6202" s="905"/>
      <c r="B6202" s="906"/>
      <c r="C6202" s="907">
        <v>127</v>
      </c>
      <c r="D6202" s="907" t="s">
        <v>279</v>
      </c>
      <c r="E6202" s="925" t="s">
        <v>5657</v>
      </c>
      <c r="F6202" s="909" t="s">
        <v>45</v>
      </c>
      <c r="G6202" s="910"/>
      <c r="H6202" s="911">
        <v>0.5</v>
      </c>
      <c r="I6202" s="912">
        <f>VLOOKUP(E6202,[3]VLP!$B$7:$K$300,10,0)</f>
        <v>25155</v>
      </c>
      <c r="J6202" s="912">
        <f t="shared" si="420"/>
        <v>12577.5</v>
      </c>
      <c r="K6202" s="912" t="s">
        <v>274</v>
      </c>
      <c r="L6202" s="912"/>
      <c r="M6202" s="912"/>
      <c r="N6202" s="912"/>
      <c r="O6202" s="892">
        <f t="shared" si="415"/>
        <v>0</v>
      </c>
      <c r="P6202" s="903">
        <f t="shared" si="417"/>
        <v>1</v>
      </c>
      <c r="Q6202" s="893">
        <f t="shared" si="418"/>
        <v>6</v>
      </c>
      <c r="R6202" s="894">
        <f t="shared" si="419"/>
        <v>0</v>
      </c>
    </row>
    <row r="6203" spans="1:18">
      <c r="A6203" s="905"/>
      <c r="B6203" s="906"/>
      <c r="C6203" s="907">
        <v>44</v>
      </c>
      <c r="D6203" s="907" t="s">
        <v>279</v>
      </c>
      <c r="E6203" s="925" t="s">
        <v>2681</v>
      </c>
      <c r="F6203" s="926" t="s">
        <v>45</v>
      </c>
      <c r="G6203" s="910"/>
      <c r="H6203" s="911">
        <v>0.6</v>
      </c>
      <c r="I6203" s="912">
        <f>VLOOKUP(E6203,[3]VLP!$B$7:$K$300,10,0)</f>
        <v>23000</v>
      </c>
      <c r="J6203" s="912">
        <f t="shared" si="420"/>
        <v>13800</v>
      </c>
      <c r="K6203" s="912" t="s">
        <v>274</v>
      </c>
      <c r="L6203" s="912"/>
      <c r="M6203" s="912"/>
      <c r="N6203" s="912"/>
      <c r="O6203" s="892">
        <f t="shared" si="415"/>
        <v>0</v>
      </c>
      <c r="P6203" s="903">
        <f t="shared" si="417"/>
        <v>1</v>
      </c>
      <c r="Q6203" s="893">
        <f t="shared" si="418"/>
        <v>5</v>
      </c>
      <c r="R6203" s="894">
        <f t="shared" si="419"/>
        <v>0</v>
      </c>
    </row>
    <row r="6204" spans="1:18">
      <c r="A6204" s="905"/>
      <c r="B6204" s="906"/>
      <c r="C6204" s="907">
        <v>66</v>
      </c>
      <c r="D6204" s="907" t="s">
        <v>279</v>
      </c>
      <c r="E6204" s="925" t="s">
        <v>2682</v>
      </c>
      <c r="F6204" s="926" t="s">
        <v>45</v>
      </c>
      <c r="G6204" s="910"/>
      <c r="H6204" s="911">
        <v>0.3</v>
      </c>
      <c r="I6204" s="912">
        <f>VLOOKUP(E6204,[3]VLP!$B$7:$K$300,10,0)</f>
        <v>5000</v>
      </c>
      <c r="J6204" s="912">
        <f t="shared" si="420"/>
        <v>1500</v>
      </c>
      <c r="K6204" s="912" t="s">
        <v>274</v>
      </c>
      <c r="L6204" s="912"/>
      <c r="M6204" s="912"/>
      <c r="N6204" s="912"/>
      <c r="O6204" s="892">
        <f t="shared" si="415"/>
        <v>0</v>
      </c>
      <c r="P6204" s="903">
        <f t="shared" si="417"/>
        <v>1</v>
      </c>
      <c r="Q6204" s="893">
        <f t="shared" si="418"/>
        <v>4</v>
      </c>
      <c r="R6204" s="894">
        <f t="shared" si="419"/>
        <v>0</v>
      </c>
    </row>
    <row r="6205" spans="1:18">
      <c r="A6205" s="905"/>
      <c r="B6205" s="906"/>
      <c r="C6205" s="907">
        <v>699</v>
      </c>
      <c r="D6205" s="907" t="s">
        <v>279</v>
      </c>
      <c r="E6205" s="925" t="s">
        <v>4006</v>
      </c>
      <c r="F6205" s="926" t="s">
        <v>4007</v>
      </c>
      <c r="G6205" s="910"/>
      <c r="H6205" s="911">
        <v>5</v>
      </c>
      <c r="I6205" s="912">
        <f>VLOOKUP(E6205,[3]VLP!$B$7:$K$300,10,0)</f>
        <v>5000</v>
      </c>
      <c r="J6205" s="912">
        <f t="shared" si="420"/>
        <v>25000</v>
      </c>
      <c r="K6205" s="912" t="s">
        <v>274</v>
      </c>
      <c r="L6205" s="912"/>
      <c r="M6205" s="912"/>
      <c r="N6205" s="912"/>
      <c r="O6205" s="892">
        <f t="shared" si="415"/>
        <v>0</v>
      </c>
      <c r="P6205" s="903">
        <f t="shared" si="417"/>
        <v>1</v>
      </c>
      <c r="Q6205" s="893">
        <f t="shared" si="418"/>
        <v>3</v>
      </c>
      <c r="R6205" s="894">
        <f t="shared" si="419"/>
        <v>0</v>
      </c>
    </row>
    <row r="6206" spans="1:18" s="904" customFormat="1">
      <c r="A6206" s="895"/>
      <c r="B6206" s="896"/>
      <c r="C6206" s="897"/>
      <c r="D6206" s="897"/>
      <c r="E6206" s="924" t="s">
        <v>276</v>
      </c>
      <c r="F6206" s="927"/>
      <c r="G6206" s="928"/>
      <c r="H6206" s="901"/>
      <c r="I6206" s="902"/>
      <c r="J6206" s="902"/>
      <c r="K6206" s="912" t="s">
        <v>274</v>
      </c>
      <c r="L6206" s="902"/>
      <c r="M6206" s="902"/>
      <c r="N6206" s="902"/>
      <c r="O6206" s="892">
        <f t="shared" si="415"/>
        <v>0</v>
      </c>
      <c r="P6206" s="903">
        <f t="shared" si="417"/>
        <v>1</v>
      </c>
      <c r="Q6206" s="893">
        <f t="shared" si="418"/>
        <v>2</v>
      </c>
      <c r="R6206" s="894">
        <f t="shared" si="419"/>
        <v>0</v>
      </c>
    </row>
    <row r="6207" spans="1:18">
      <c r="A6207" s="905"/>
      <c r="B6207" s="906"/>
      <c r="C6207" s="907">
        <v>745</v>
      </c>
      <c r="D6207" s="907" t="s">
        <v>12</v>
      </c>
      <c r="E6207" s="908" t="s">
        <v>5518</v>
      </c>
      <c r="F6207" s="909" t="s">
        <v>2674</v>
      </c>
      <c r="G6207" s="910"/>
      <c r="H6207" s="911">
        <v>3.8</v>
      </c>
      <c r="I6207" s="912"/>
      <c r="J6207" s="912"/>
      <c r="K6207" s="912">
        <f>VLOOKUP(E6207,[5]ĐMNC!$A$7:$F$67,4,0)</f>
        <v>240557</v>
      </c>
      <c r="L6207" s="912">
        <f>H6207*K6207</f>
        <v>914116.6</v>
      </c>
      <c r="M6207" s="912"/>
      <c r="N6207" s="912"/>
      <c r="O6207" s="892">
        <f t="shared" si="415"/>
        <v>0</v>
      </c>
      <c r="P6207" s="903">
        <f t="shared" si="417"/>
        <v>1</v>
      </c>
      <c r="Q6207" s="893">
        <f t="shared" si="418"/>
        <v>1</v>
      </c>
      <c r="R6207" s="894">
        <f t="shared" si="419"/>
        <v>0</v>
      </c>
    </row>
    <row r="6208" spans="1:18" s="847" customFormat="1" ht="35.25" customHeight="1">
      <c r="A6208" s="905"/>
      <c r="B6208" s="914" t="s">
        <v>5923</v>
      </c>
      <c r="C6208" s="915"/>
      <c r="D6208" s="915"/>
      <c r="E6208" s="916" t="s">
        <v>5924</v>
      </c>
      <c r="F6208" s="917" t="s">
        <v>5834</v>
      </c>
      <c r="G6208" s="944"/>
      <c r="H6208" s="919"/>
      <c r="I6208" s="920"/>
      <c r="J6208" s="891">
        <f>SUM(J6209:J6220)</f>
        <v>274727.5</v>
      </c>
      <c r="K6208" s="891"/>
      <c r="L6208" s="891">
        <f>SUM(L6209:L6220)</f>
        <v>1007933.8300000001</v>
      </c>
      <c r="M6208" s="891"/>
      <c r="N6208" s="891">
        <f>SUM(N6209:N6220)</f>
        <v>0</v>
      </c>
      <c r="O6208" s="892">
        <f t="shared" si="415"/>
        <v>1</v>
      </c>
      <c r="P6208" s="903">
        <f t="shared" si="417"/>
        <v>0</v>
      </c>
      <c r="Q6208" s="893">
        <f t="shared" si="418"/>
        <v>0</v>
      </c>
      <c r="R6208" s="894">
        <f t="shared" si="419"/>
        <v>12</v>
      </c>
    </row>
    <row r="6209" spans="1:18" s="904" customFormat="1">
      <c r="A6209" s="895"/>
      <c r="B6209" s="896"/>
      <c r="C6209" s="897"/>
      <c r="D6209" s="897"/>
      <c r="E6209" s="898" t="s">
        <v>108</v>
      </c>
      <c r="F6209" s="899"/>
      <c r="G6209" s="928"/>
      <c r="H6209" s="901"/>
      <c r="I6209" s="902"/>
      <c r="J6209" s="902"/>
      <c r="K6209" s="912" t="s">
        <v>274</v>
      </c>
      <c r="L6209" s="902"/>
      <c r="M6209" s="902"/>
      <c r="N6209" s="902"/>
      <c r="O6209" s="892">
        <f t="shared" si="415"/>
        <v>0</v>
      </c>
      <c r="P6209" s="903">
        <f t="shared" si="417"/>
        <v>1</v>
      </c>
      <c r="Q6209" s="893">
        <f t="shared" si="418"/>
        <v>12</v>
      </c>
      <c r="R6209" s="894">
        <f t="shared" si="419"/>
        <v>0</v>
      </c>
    </row>
    <row r="6210" spans="1:18">
      <c r="A6210" s="905"/>
      <c r="B6210" s="906"/>
      <c r="C6210" s="907">
        <v>106</v>
      </c>
      <c r="D6210" s="907" t="s">
        <v>279</v>
      </c>
      <c r="E6210" s="925" t="s">
        <v>5851</v>
      </c>
      <c r="F6210" s="909" t="s">
        <v>51</v>
      </c>
      <c r="G6210" s="910"/>
      <c r="H6210" s="911">
        <v>1</v>
      </c>
      <c r="I6210" s="912">
        <f>VLOOKUP(E6210,[3]VLP!$B$7:$K$300,10,0)</f>
        <v>40560</v>
      </c>
      <c r="J6210" s="912">
        <f t="shared" ref="J6210:J6218" si="421">I6210*H6210</f>
        <v>40560</v>
      </c>
      <c r="K6210" s="912" t="s">
        <v>274</v>
      </c>
      <c r="L6210" s="912"/>
      <c r="M6210" s="912"/>
      <c r="N6210" s="912"/>
      <c r="O6210" s="892">
        <f t="shared" si="415"/>
        <v>0</v>
      </c>
      <c r="P6210" s="903">
        <f t="shared" si="417"/>
        <v>1</v>
      </c>
      <c r="Q6210" s="893">
        <f t="shared" si="418"/>
        <v>11</v>
      </c>
      <c r="R6210" s="894">
        <f t="shared" si="419"/>
        <v>0</v>
      </c>
    </row>
    <row r="6211" spans="1:18">
      <c r="A6211" s="905"/>
      <c r="B6211" s="906"/>
      <c r="C6211" s="907">
        <v>49</v>
      </c>
      <c r="D6211" s="907" t="s">
        <v>279</v>
      </c>
      <c r="E6211" s="925" t="s">
        <v>5698</v>
      </c>
      <c r="F6211" s="909" t="s">
        <v>139</v>
      </c>
      <c r="G6211" s="910"/>
      <c r="H6211" s="911">
        <v>2</v>
      </c>
      <c r="I6211" s="912">
        <f>VLOOKUP(E6211,[3]VLP!$B$7:$K$300,10,0)</f>
        <v>3000</v>
      </c>
      <c r="J6211" s="912">
        <f t="shared" si="421"/>
        <v>6000</v>
      </c>
      <c r="K6211" s="912" t="s">
        <v>274</v>
      </c>
      <c r="L6211" s="912"/>
      <c r="M6211" s="912"/>
      <c r="N6211" s="912"/>
      <c r="O6211" s="892">
        <f t="shared" si="415"/>
        <v>0</v>
      </c>
      <c r="P6211" s="903">
        <f t="shared" si="417"/>
        <v>1</v>
      </c>
      <c r="Q6211" s="893">
        <f t="shared" si="418"/>
        <v>10</v>
      </c>
      <c r="R6211" s="894">
        <f t="shared" si="419"/>
        <v>0</v>
      </c>
    </row>
    <row r="6212" spans="1:18">
      <c r="A6212" s="905"/>
      <c r="B6212" s="906"/>
      <c r="C6212" s="907">
        <v>50</v>
      </c>
      <c r="D6212" s="907" t="s">
        <v>279</v>
      </c>
      <c r="E6212" s="925" t="s">
        <v>5836</v>
      </c>
      <c r="F6212" s="909" t="s">
        <v>49</v>
      </c>
      <c r="G6212" s="910"/>
      <c r="H6212" s="911">
        <v>1</v>
      </c>
      <c r="I6212" s="912">
        <f>VLOOKUP(E6212,[3]VLP!$B$7:$K$300,10,0)</f>
        <v>85790</v>
      </c>
      <c r="J6212" s="912">
        <f t="shared" si="421"/>
        <v>85790</v>
      </c>
      <c r="K6212" s="912" t="s">
        <v>274</v>
      </c>
      <c r="L6212" s="912"/>
      <c r="M6212" s="912"/>
      <c r="N6212" s="912"/>
      <c r="O6212" s="892">
        <f t="shared" si="415"/>
        <v>0</v>
      </c>
      <c r="P6212" s="903">
        <f t="shared" si="417"/>
        <v>1</v>
      </c>
      <c r="Q6212" s="893">
        <f t="shared" si="418"/>
        <v>9</v>
      </c>
      <c r="R6212" s="894">
        <f t="shared" si="419"/>
        <v>0</v>
      </c>
    </row>
    <row r="6213" spans="1:18">
      <c r="A6213" s="905"/>
      <c r="B6213" s="906"/>
      <c r="C6213" s="907">
        <v>46</v>
      </c>
      <c r="D6213" s="907" t="s">
        <v>279</v>
      </c>
      <c r="E6213" s="925" t="s">
        <v>3179</v>
      </c>
      <c r="F6213" s="909" t="s">
        <v>45</v>
      </c>
      <c r="G6213" s="910"/>
      <c r="H6213" s="911">
        <v>4</v>
      </c>
      <c r="I6213" s="912">
        <f>VLOOKUP(E6213,[3]VLP!$B$7:$K$300,10,0)</f>
        <v>20500</v>
      </c>
      <c r="J6213" s="912">
        <f t="shared" si="421"/>
        <v>82000</v>
      </c>
      <c r="K6213" s="912" t="s">
        <v>274</v>
      </c>
      <c r="L6213" s="912"/>
      <c r="M6213" s="912"/>
      <c r="N6213" s="912"/>
      <c r="O6213" s="892">
        <f t="shared" si="415"/>
        <v>0</v>
      </c>
      <c r="P6213" s="903">
        <f t="shared" si="417"/>
        <v>1</v>
      </c>
      <c r="Q6213" s="893">
        <f t="shared" si="418"/>
        <v>8</v>
      </c>
      <c r="R6213" s="894">
        <f t="shared" si="419"/>
        <v>0</v>
      </c>
    </row>
    <row r="6214" spans="1:18">
      <c r="A6214" s="905"/>
      <c r="B6214" s="906"/>
      <c r="C6214" s="907">
        <v>25</v>
      </c>
      <c r="D6214" s="907" t="s">
        <v>279</v>
      </c>
      <c r="E6214" s="925" t="s">
        <v>5656</v>
      </c>
      <c r="F6214" s="926" t="s">
        <v>2690</v>
      </c>
      <c r="G6214" s="910"/>
      <c r="H6214" s="911">
        <v>1.5</v>
      </c>
      <c r="I6214" s="912">
        <f>VLOOKUP(E6214,[3]VLP!$B$7:$K$300,10,0)</f>
        <v>5000</v>
      </c>
      <c r="J6214" s="912">
        <f t="shared" si="421"/>
        <v>7500</v>
      </c>
      <c r="K6214" s="912" t="s">
        <v>274</v>
      </c>
      <c r="L6214" s="912"/>
      <c r="M6214" s="912"/>
      <c r="N6214" s="912"/>
      <c r="O6214" s="892">
        <f t="shared" si="415"/>
        <v>0</v>
      </c>
      <c r="P6214" s="903">
        <f t="shared" si="417"/>
        <v>1</v>
      </c>
      <c r="Q6214" s="893">
        <f t="shared" si="418"/>
        <v>7</v>
      </c>
      <c r="R6214" s="894">
        <f t="shared" si="419"/>
        <v>0</v>
      </c>
    </row>
    <row r="6215" spans="1:18">
      <c r="A6215" s="905"/>
      <c r="B6215" s="906"/>
      <c r="C6215" s="907">
        <v>127</v>
      </c>
      <c r="D6215" s="907" t="s">
        <v>279</v>
      </c>
      <c r="E6215" s="925" t="s">
        <v>5657</v>
      </c>
      <c r="F6215" s="909" t="s">
        <v>45</v>
      </c>
      <c r="G6215" s="910"/>
      <c r="H6215" s="911">
        <v>0.5</v>
      </c>
      <c r="I6215" s="912">
        <f>VLOOKUP(E6215,[3]VLP!$B$7:$K$300,10,0)</f>
        <v>25155</v>
      </c>
      <c r="J6215" s="912">
        <f t="shared" si="421"/>
        <v>12577.5</v>
      </c>
      <c r="K6215" s="912" t="s">
        <v>274</v>
      </c>
      <c r="L6215" s="912"/>
      <c r="M6215" s="912"/>
      <c r="N6215" s="912"/>
      <c r="O6215" s="892">
        <f t="shared" si="415"/>
        <v>0</v>
      </c>
      <c r="P6215" s="903">
        <f t="shared" si="417"/>
        <v>1</v>
      </c>
      <c r="Q6215" s="893">
        <f t="shared" si="418"/>
        <v>6</v>
      </c>
      <c r="R6215" s="894">
        <f t="shared" si="419"/>
        <v>0</v>
      </c>
    </row>
    <row r="6216" spans="1:18">
      <c r="A6216" s="905"/>
      <c r="B6216" s="906"/>
      <c r="C6216" s="907">
        <v>44</v>
      </c>
      <c r="D6216" s="907" t="s">
        <v>279</v>
      </c>
      <c r="E6216" s="925" t="s">
        <v>2681</v>
      </c>
      <c r="F6216" s="926" t="s">
        <v>45</v>
      </c>
      <c r="G6216" s="910"/>
      <c r="H6216" s="911">
        <v>0.6</v>
      </c>
      <c r="I6216" s="912">
        <f>VLOOKUP(E6216,[3]VLP!$B$7:$K$300,10,0)</f>
        <v>23000</v>
      </c>
      <c r="J6216" s="912">
        <f t="shared" si="421"/>
        <v>13800</v>
      </c>
      <c r="K6216" s="912" t="s">
        <v>274</v>
      </c>
      <c r="L6216" s="912"/>
      <c r="M6216" s="912"/>
      <c r="N6216" s="912"/>
      <c r="O6216" s="892">
        <f t="shared" si="415"/>
        <v>0</v>
      </c>
      <c r="P6216" s="903">
        <f t="shared" si="417"/>
        <v>1</v>
      </c>
      <c r="Q6216" s="893">
        <f t="shared" si="418"/>
        <v>5</v>
      </c>
      <c r="R6216" s="894">
        <f t="shared" si="419"/>
        <v>0</v>
      </c>
    </row>
    <row r="6217" spans="1:18">
      <c r="A6217" s="905"/>
      <c r="B6217" s="906"/>
      <c r="C6217" s="907">
        <v>66</v>
      </c>
      <c r="D6217" s="907" t="s">
        <v>279</v>
      </c>
      <c r="E6217" s="925" t="s">
        <v>2682</v>
      </c>
      <c r="F6217" s="926" t="s">
        <v>45</v>
      </c>
      <c r="G6217" s="910"/>
      <c r="H6217" s="911">
        <v>0.3</v>
      </c>
      <c r="I6217" s="912">
        <f>VLOOKUP(E6217,[3]VLP!$B$7:$K$300,10,0)</f>
        <v>5000</v>
      </c>
      <c r="J6217" s="912">
        <f t="shared" si="421"/>
        <v>1500</v>
      </c>
      <c r="K6217" s="912" t="s">
        <v>274</v>
      </c>
      <c r="L6217" s="912"/>
      <c r="M6217" s="912"/>
      <c r="N6217" s="912"/>
      <c r="O6217" s="892">
        <f t="shared" si="415"/>
        <v>0</v>
      </c>
      <c r="P6217" s="903">
        <f t="shared" si="417"/>
        <v>1</v>
      </c>
      <c r="Q6217" s="893">
        <f t="shared" si="418"/>
        <v>4</v>
      </c>
      <c r="R6217" s="894">
        <f t="shared" si="419"/>
        <v>0</v>
      </c>
    </row>
    <row r="6218" spans="1:18">
      <c r="A6218" s="905"/>
      <c r="B6218" s="906"/>
      <c r="C6218" s="907">
        <v>699</v>
      </c>
      <c r="D6218" s="907" t="s">
        <v>279</v>
      </c>
      <c r="E6218" s="925" t="s">
        <v>4006</v>
      </c>
      <c r="F6218" s="926" t="s">
        <v>4007</v>
      </c>
      <c r="G6218" s="910"/>
      <c r="H6218" s="911">
        <v>5</v>
      </c>
      <c r="I6218" s="912">
        <f>VLOOKUP(E6218,[3]VLP!$B$7:$K$300,10,0)</f>
        <v>5000</v>
      </c>
      <c r="J6218" s="912">
        <f t="shared" si="421"/>
        <v>25000</v>
      </c>
      <c r="K6218" s="912" t="s">
        <v>274</v>
      </c>
      <c r="L6218" s="912"/>
      <c r="M6218" s="912"/>
      <c r="N6218" s="912"/>
      <c r="O6218" s="892">
        <f t="shared" si="415"/>
        <v>0</v>
      </c>
      <c r="P6218" s="903">
        <f t="shared" si="417"/>
        <v>1</v>
      </c>
      <c r="Q6218" s="893">
        <f t="shared" si="418"/>
        <v>3</v>
      </c>
      <c r="R6218" s="894">
        <f t="shared" si="419"/>
        <v>0</v>
      </c>
    </row>
    <row r="6219" spans="1:18" s="904" customFormat="1">
      <c r="A6219" s="895"/>
      <c r="B6219" s="896"/>
      <c r="C6219" s="897"/>
      <c r="D6219" s="897"/>
      <c r="E6219" s="924" t="s">
        <v>276</v>
      </c>
      <c r="F6219" s="927"/>
      <c r="G6219" s="928"/>
      <c r="H6219" s="901"/>
      <c r="I6219" s="902"/>
      <c r="J6219" s="902"/>
      <c r="K6219" s="912" t="s">
        <v>274</v>
      </c>
      <c r="L6219" s="902"/>
      <c r="M6219" s="902"/>
      <c r="N6219" s="902"/>
      <c r="O6219" s="892">
        <f t="shared" si="415"/>
        <v>0</v>
      </c>
      <c r="P6219" s="903">
        <f t="shared" si="417"/>
        <v>1</v>
      </c>
      <c r="Q6219" s="893">
        <f t="shared" si="418"/>
        <v>2</v>
      </c>
      <c r="R6219" s="894">
        <f t="shared" si="419"/>
        <v>0</v>
      </c>
    </row>
    <row r="6220" spans="1:18">
      <c r="A6220" s="905"/>
      <c r="B6220" s="906"/>
      <c r="C6220" s="907">
        <v>745</v>
      </c>
      <c r="D6220" s="907" t="s">
        <v>12</v>
      </c>
      <c r="E6220" s="908" t="s">
        <v>5518</v>
      </c>
      <c r="F6220" s="909" t="s">
        <v>2674</v>
      </c>
      <c r="G6220" s="910"/>
      <c r="H6220" s="911">
        <v>4.1900000000000004</v>
      </c>
      <c r="I6220" s="912"/>
      <c r="J6220" s="912"/>
      <c r="K6220" s="912">
        <f>VLOOKUP(E6220,[5]ĐMNC!$A$7:$F$67,4,0)</f>
        <v>240557</v>
      </c>
      <c r="L6220" s="912">
        <f>H6220*K6220</f>
        <v>1007933.8300000001</v>
      </c>
      <c r="M6220" s="912"/>
      <c r="N6220" s="912"/>
      <c r="O6220" s="892">
        <f t="shared" si="415"/>
        <v>0</v>
      </c>
      <c r="P6220" s="903">
        <f t="shared" si="417"/>
        <v>1</v>
      </c>
      <c r="Q6220" s="893">
        <f t="shared" si="418"/>
        <v>1</v>
      </c>
      <c r="R6220" s="894">
        <f t="shared" si="419"/>
        <v>0</v>
      </c>
    </row>
    <row r="6221" spans="1:18" s="847" customFormat="1" ht="35.25" customHeight="1">
      <c r="A6221" s="905"/>
      <c r="B6221" s="914" t="s">
        <v>5925</v>
      </c>
      <c r="C6221" s="915"/>
      <c r="D6221" s="915"/>
      <c r="E6221" s="916" t="s">
        <v>5926</v>
      </c>
      <c r="F6221" s="917" t="s">
        <v>5834</v>
      </c>
      <c r="G6221" s="944"/>
      <c r="H6221" s="919"/>
      <c r="I6221" s="920"/>
      <c r="J6221" s="891">
        <f>SUM(J6222:J6233)</f>
        <v>298203</v>
      </c>
      <c r="K6221" s="891"/>
      <c r="L6221" s="891">
        <f>SUM(L6222:L6233)</f>
        <v>1210001.71</v>
      </c>
      <c r="M6221" s="891"/>
      <c r="N6221" s="891">
        <f>SUM(N6222:N6233)</f>
        <v>0</v>
      </c>
      <c r="O6221" s="892">
        <f t="shared" si="415"/>
        <v>1</v>
      </c>
      <c r="P6221" s="903">
        <f t="shared" si="417"/>
        <v>0</v>
      </c>
      <c r="Q6221" s="893">
        <f t="shared" si="418"/>
        <v>0</v>
      </c>
      <c r="R6221" s="894">
        <f t="shared" si="419"/>
        <v>12</v>
      </c>
    </row>
    <row r="6222" spans="1:18" s="904" customFormat="1">
      <c r="A6222" s="895"/>
      <c r="B6222" s="896"/>
      <c r="C6222" s="897"/>
      <c r="D6222" s="897"/>
      <c r="E6222" s="898" t="s">
        <v>108</v>
      </c>
      <c r="F6222" s="899"/>
      <c r="G6222" s="928"/>
      <c r="H6222" s="901"/>
      <c r="I6222" s="902"/>
      <c r="J6222" s="902"/>
      <c r="K6222" s="912" t="s">
        <v>274</v>
      </c>
      <c r="L6222" s="902"/>
      <c r="M6222" s="902"/>
      <c r="N6222" s="902"/>
      <c r="O6222" s="892">
        <f t="shared" si="415"/>
        <v>0</v>
      </c>
      <c r="P6222" s="903">
        <f t="shared" si="417"/>
        <v>1</v>
      </c>
      <c r="Q6222" s="893">
        <f t="shared" si="418"/>
        <v>12</v>
      </c>
      <c r="R6222" s="894">
        <f t="shared" si="419"/>
        <v>0</v>
      </c>
    </row>
    <row r="6223" spans="1:18">
      <c r="A6223" s="905"/>
      <c r="B6223" s="906"/>
      <c r="C6223" s="907">
        <v>107</v>
      </c>
      <c r="D6223" s="907" t="s">
        <v>279</v>
      </c>
      <c r="E6223" s="925" t="s">
        <v>5854</v>
      </c>
      <c r="F6223" s="909" t="s">
        <v>51</v>
      </c>
      <c r="G6223" s="910"/>
      <c r="H6223" s="911">
        <v>1</v>
      </c>
      <c r="I6223" s="912">
        <f>VLOOKUP(E6223,[3]VLP!$B$7:$K$300,10,0)</f>
        <v>40560</v>
      </c>
      <c r="J6223" s="912">
        <f t="shared" ref="J6223:J6231" si="422">I6223*H6223</f>
        <v>40560</v>
      </c>
      <c r="K6223" s="912" t="s">
        <v>274</v>
      </c>
      <c r="L6223" s="912"/>
      <c r="M6223" s="912"/>
      <c r="N6223" s="912"/>
      <c r="O6223" s="892">
        <f t="shared" si="415"/>
        <v>0</v>
      </c>
      <c r="P6223" s="903">
        <f t="shared" si="417"/>
        <v>1</v>
      </c>
      <c r="Q6223" s="893">
        <f t="shared" si="418"/>
        <v>11</v>
      </c>
      <c r="R6223" s="894">
        <f t="shared" si="419"/>
        <v>0</v>
      </c>
    </row>
    <row r="6224" spans="1:18">
      <c r="A6224" s="905"/>
      <c r="B6224" s="906"/>
      <c r="C6224" s="907">
        <v>49</v>
      </c>
      <c r="D6224" s="907" t="s">
        <v>279</v>
      </c>
      <c r="E6224" s="925" t="s">
        <v>5698</v>
      </c>
      <c r="F6224" s="909" t="s">
        <v>139</v>
      </c>
      <c r="G6224" s="910"/>
      <c r="H6224" s="911">
        <v>2</v>
      </c>
      <c r="I6224" s="912">
        <f>VLOOKUP(E6224,[3]VLP!$B$7:$K$300,10,0)</f>
        <v>3000</v>
      </c>
      <c r="J6224" s="912">
        <f t="shared" si="422"/>
        <v>6000</v>
      </c>
      <c r="K6224" s="912" t="s">
        <v>274</v>
      </c>
      <c r="L6224" s="912"/>
      <c r="M6224" s="912"/>
      <c r="N6224" s="912"/>
      <c r="O6224" s="892">
        <f t="shared" si="415"/>
        <v>0</v>
      </c>
      <c r="P6224" s="903">
        <f t="shared" si="417"/>
        <v>1</v>
      </c>
      <c r="Q6224" s="893">
        <f t="shared" si="418"/>
        <v>10</v>
      </c>
      <c r="R6224" s="894">
        <f t="shared" si="419"/>
        <v>0</v>
      </c>
    </row>
    <row r="6225" spans="1:18">
      <c r="A6225" s="905"/>
      <c r="B6225" s="906"/>
      <c r="C6225" s="907">
        <v>50</v>
      </c>
      <c r="D6225" s="907" t="s">
        <v>279</v>
      </c>
      <c r="E6225" s="925" t="s">
        <v>5836</v>
      </c>
      <c r="F6225" s="909" t="s">
        <v>49</v>
      </c>
      <c r="G6225" s="910"/>
      <c r="H6225" s="911">
        <v>1</v>
      </c>
      <c r="I6225" s="912">
        <f>VLOOKUP(E6225,[3]VLP!$B$7:$K$300,10,0)</f>
        <v>85790</v>
      </c>
      <c r="J6225" s="912">
        <f t="shared" si="422"/>
        <v>85790</v>
      </c>
      <c r="K6225" s="912" t="s">
        <v>274</v>
      </c>
      <c r="L6225" s="912"/>
      <c r="M6225" s="912"/>
      <c r="N6225" s="912"/>
      <c r="O6225" s="892">
        <f t="shared" si="415"/>
        <v>0</v>
      </c>
      <c r="P6225" s="903">
        <f t="shared" si="417"/>
        <v>1</v>
      </c>
      <c r="Q6225" s="893">
        <f t="shared" si="418"/>
        <v>9</v>
      </c>
      <c r="R6225" s="894">
        <f t="shared" si="419"/>
        <v>0</v>
      </c>
    </row>
    <row r="6226" spans="1:18">
      <c r="A6226" s="905"/>
      <c r="B6226" s="906"/>
      <c r="C6226" s="907">
        <v>46</v>
      </c>
      <c r="D6226" s="907" t="s">
        <v>279</v>
      </c>
      <c r="E6226" s="925" t="s">
        <v>3179</v>
      </c>
      <c r="F6226" s="909" t="s">
        <v>45</v>
      </c>
      <c r="G6226" s="910"/>
      <c r="H6226" s="911">
        <v>4.8</v>
      </c>
      <c r="I6226" s="912">
        <f>VLOOKUP(E6226,[3]VLP!$B$7:$K$300,10,0)</f>
        <v>20500</v>
      </c>
      <c r="J6226" s="912">
        <f t="shared" si="422"/>
        <v>98400</v>
      </c>
      <c r="K6226" s="912" t="s">
        <v>274</v>
      </c>
      <c r="L6226" s="912"/>
      <c r="M6226" s="912"/>
      <c r="N6226" s="912"/>
      <c r="O6226" s="892">
        <f t="shared" si="415"/>
        <v>0</v>
      </c>
      <c r="P6226" s="903">
        <f t="shared" si="417"/>
        <v>1</v>
      </c>
      <c r="Q6226" s="893">
        <f t="shared" si="418"/>
        <v>8</v>
      </c>
      <c r="R6226" s="894">
        <f t="shared" si="419"/>
        <v>0</v>
      </c>
    </row>
    <row r="6227" spans="1:18">
      <c r="A6227" s="905"/>
      <c r="B6227" s="906"/>
      <c r="C6227" s="907">
        <v>25</v>
      </c>
      <c r="D6227" s="907" t="s">
        <v>279</v>
      </c>
      <c r="E6227" s="925" t="s">
        <v>5656</v>
      </c>
      <c r="F6227" s="926" t="s">
        <v>2690</v>
      </c>
      <c r="G6227" s="910"/>
      <c r="H6227" s="911">
        <v>1.8</v>
      </c>
      <c r="I6227" s="912">
        <f>VLOOKUP(E6227,[3]VLP!$B$7:$K$300,10,0)</f>
        <v>5000</v>
      </c>
      <c r="J6227" s="912">
        <f t="shared" si="422"/>
        <v>9000</v>
      </c>
      <c r="K6227" s="912" t="s">
        <v>274</v>
      </c>
      <c r="L6227" s="912"/>
      <c r="M6227" s="912"/>
      <c r="N6227" s="912"/>
      <c r="O6227" s="892">
        <f t="shared" si="415"/>
        <v>0</v>
      </c>
      <c r="P6227" s="903">
        <f t="shared" si="417"/>
        <v>1</v>
      </c>
      <c r="Q6227" s="893">
        <f t="shared" si="418"/>
        <v>7</v>
      </c>
      <c r="R6227" s="894">
        <f t="shared" si="419"/>
        <v>0</v>
      </c>
    </row>
    <row r="6228" spans="1:18">
      <c r="A6228" s="905"/>
      <c r="B6228" s="906"/>
      <c r="C6228" s="907">
        <v>127</v>
      </c>
      <c r="D6228" s="907" t="s">
        <v>279</v>
      </c>
      <c r="E6228" s="925" t="s">
        <v>5657</v>
      </c>
      <c r="F6228" s="909" t="s">
        <v>45</v>
      </c>
      <c r="G6228" s="910"/>
      <c r="H6228" s="911">
        <v>0.6</v>
      </c>
      <c r="I6228" s="912">
        <f>VLOOKUP(E6228,[3]VLP!$B$7:$K$300,10,0)</f>
        <v>25155</v>
      </c>
      <c r="J6228" s="912">
        <f t="shared" si="422"/>
        <v>15093</v>
      </c>
      <c r="K6228" s="912" t="s">
        <v>274</v>
      </c>
      <c r="L6228" s="912"/>
      <c r="M6228" s="912"/>
      <c r="N6228" s="912"/>
      <c r="O6228" s="892">
        <f t="shared" si="415"/>
        <v>0</v>
      </c>
      <c r="P6228" s="903">
        <f t="shared" si="417"/>
        <v>1</v>
      </c>
      <c r="Q6228" s="893">
        <f t="shared" si="418"/>
        <v>6</v>
      </c>
      <c r="R6228" s="894">
        <f t="shared" si="419"/>
        <v>0</v>
      </c>
    </row>
    <row r="6229" spans="1:18">
      <c r="A6229" s="905"/>
      <c r="B6229" s="906"/>
      <c r="C6229" s="907">
        <v>44</v>
      </c>
      <c r="D6229" s="907" t="s">
        <v>279</v>
      </c>
      <c r="E6229" s="925" t="s">
        <v>2681</v>
      </c>
      <c r="F6229" s="926" t="s">
        <v>45</v>
      </c>
      <c r="G6229" s="910"/>
      <c r="H6229" s="911">
        <v>0.72</v>
      </c>
      <c r="I6229" s="912">
        <f>VLOOKUP(E6229,[3]VLP!$B$7:$K$300,10,0)</f>
        <v>23000</v>
      </c>
      <c r="J6229" s="912">
        <f t="shared" si="422"/>
        <v>16560</v>
      </c>
      <c r="K6229" s="912" t="s">
        <v>274</v>
      </c>
      <c r="L6229" s="912"/>
      <c r="M6229" s="912"/>
      <c r="N6229" s="912"/>
      <c r="O6229" s="892">
        <f t="shared" si="415"/>
        <v>0</v>
      </c>
      <c r="P6229" s="903">
        <f t="shared" si="417"/>
        <v>1</v>
      </c>
      <c r="Q6229" s="893">
        <f t="shared" si="418"/>
        <v>5</v>
      </c>
      <c r="R6229" s="894">
        <f t="shared" si="419"/>
        <v>0</v>
      </c>
    </row>
    <row r="6230" spans="1:18">
      <c r="A6230" s="905"/>
      <c r="B6230" s="906"/>
      <c r="C6230" s="907">
        <v>66</v>
      </c>
      <c r="D6230" s="907" t="s">
        <v>279</v>
      </c>
      <c r="E6230" s="925" t="s">
        <v>2682</v>
      </c>
      <c r="F6230" s="926" t="s">
        <v>45</v>
      </c>
      <c r="G6230" s="910"/>
      <c r="H6230" s="911">
        <v>0.36</v>
      </c>
      <c r="I6230" s="912">
        <f>VLOOKUP(E6230,[3]VLP!$B$7:$K$300,10,0)</f>
        <v>5000</v>
      </c>
      <c r="J6230" s="912">
        <f t="shared" si="422"/>
        <v>1800</v>
      </c>
      <c r="K6230" s="912" t="s">
        <v>274</v>
      </c>
      <c r="L6230" s="912"/>
      <c r="M6230" s="912"/>
      <c r="N6230" s="912"/>
      <c r="O6230" s="892">
        <f t="shared" si="415"/>
        <v>0</v>
      </c>
      <c r="P6230" s="903">
        <f t="shared" si="417"/>
        <v>1</v>
      </c>
      <c r="Q6230" s="893">
        <f t="shared" si="418"/>
        <v>4</v>
      </c>
      <c r="R6230" s="894">
        <f t="shared" si="419"/>
        <v>0</v>
      </c>
    </row>
    <row r="6231" spans="1:18">
      <c r="A6231" s="905"/>
      <c r="B6231" s="906"/>
      <c r="C6231" s="907">
        <v>699</v>
      </c>
      <c r="D6231" s="907" t="s">
        <v>279</v>
      </c>
      <c r="E6231" s="925" t="s">
        <v>4006</v>
      </c>
      <c r="F6231" s="926" t="s">
        <v>4007</v>
      </c>
      <c r="G6231" s="910"/>
      <c r="H6231" s="911">
        <v>5</v>
      </c>
      <c r="I6231" s="912">
        <f>VLOOKUP(E6231,[3]VLP!$B$7:$K$300,10,0)</f>
        <v>5000</v>
      </c>
      <c r="J6231" s="912">
        <f t="shared" si="422"/>
        <v>25000</v>
      </c>
      <c r="K6231" s="912" t="s">
        <v>274</v>
      </c>
      <c r="L6231" s="912"/>
      <c r="M6231" s="912"/>
      <c r="N6231" s="912"/>
      <c r="O6231" s="892">
        <f t="shared" si="415"/>
        <v>0</v>
      </c>
      <c r="P6231" s="903">
        <f t="shared" si="417"/>
        <v>1</v>
      </c>
      <c r="Q6231" s="893">
        <f t="shared" si="418"/>
        <v>3</v>
      </c>
      <c r="R6231" s="894">
        <f t="shared" si="419"/>
        <v>0</v>
      </c>
    </row>
    <row r="6232" spans="1:18" s="904" customFormat="1">
      <c r="A6232" s="895"/>
      <c r="B6232" s="896"/>
      <c r="C6232" s="897"/>
      <c r="D6232" s="897"/>
      <c r="E6232" s="924" t="s">
        <v>276</v>
      </c>
      <c r="F6232" s="927"/>
      <c r="G6232" s="928"/>
      <c r="H6232" s="901"/>
      <c r="I6232" s="902"/>
      <c r="J6232" s="902"/>
      <c r="K6232" s="912" t="s">
        <v>274</v>
      </c>
      <c r="L6232" s="902"/>
      <c r="M6232" s="902"/>
      <c r="N6232" s="902"/>
      <c r="O6232" s="892">
        <f t="shared" si="415"/>
        <v>0</v>
      </c>
      <c r="P6232" s="903">
        <f t="shared" si="417"/>
        <v>1</v>
      </c>
      <c r="Q6232" s="893">
        <f t="shared" si="418"/>
        <v>2</v>
      </c>
      <c r="R6232" s="894">
        <f t="shared" si="419"/>
        <v>0</v>
      </c>
    </row>
    <row r="6233" spans="1:18">
      <c r="A6233" s="905"/>
      <c r="B6233" s="906"/>
      <c r="C6233" s="907">
        <v>745</v>
      </c>
      <c r="D6233" s="907" t="s">
        <v>12</v>
      </c>
      <c r="E6233" s="908" t="s">
        <v>5518</v>
      </c>
      <c r="F6233" s="909" t="s">
        <v>2674</v>
      </c>
      <c r="G6233" s="910"/>
      <c r="H6233" s="911">
        <v>5.03</v>
      </c>
      <c r="I6233" s="912"/>
      <c r="J6233" s="912"/>
      <c r="K6233" s="912">
        <f>VLOOKUP(E6233,[5]ĐMNC!$A$7:$F$67,4,0)</f>
        <v>240557</v>
      </c>
      <c r="L6233" s="912">
        <f>H6233*K6233</f>
        <v>1210001.71</v>
      </c>
      <c r="M6233" s="912"/>
      <c r="N6233" s="912"/>
      <c r="O6233" s="892">
        <f t="shared" si="415"/>
        <v>0</v>
      </c>
      <c r="P6233" s="903">
        <f t="shared" si="417"/>
        <v>1</v>
      </c>
      <c r="Q6233" s="893">
        <f t="shared" si="418"/>
        <v>1</v>
      </c>
      <c r="R6233" s="894">
        <f t="shared" si="419"/>
        <v>0</v>
      </c>
    </row>
    <row r="6234" spans="1:18" s="847" customFormat="1" ht="35.25" customHeight="1">
      <c r="A6234" s="905" t="s">
        <v>5876</v>
      </c>
      <c r="B6234" s="914" t="s">
        <v>5927</v>
      </c>
      <c r="C6234" s="915"/>
      <c r="D6234" s="915"/>
      <c r="E6234" s="916" t="s">
        <v>5928</v>
      </c>
      <c r="F6234" s="917" t="s">
        <v>5834</v>
      </c>
      <c r="G6234" s="944"/>
      <c r="H6234" s="919"/>
      <c r="I6234" s="920"/>
      <c r="J6234" s="891">
        <f>SUM(J6235:J6246)</f>
        <v>199947.5</v>
      </c>
      <c r="K6234" s="891"/>
      <c r="L6234" s="891">
        <f>SUM(L6235:L6246)</f>
        <v>743321.13</v>
      </c>
      <c r="M6234" s="891"/>
      <c r="N6234" s="891">
        <f>SUM(N6235:N6246)</f>
        <v>0</v>
      </c>
      <c r="O6234" s="892">
        <f t="shared" si="415"/>
        <v>1</v>
      </c>
      <c r="P6234" s="903">
        <f t="shared" si="417"/>
        <v>0</v>
      </c>
      <c r="Q6234" s="893">
        <f t="shared" si="418"/>
        <v>0</v>
      </c>
      <c r="R6234" s="894">
        <f t="shared" si="419"/>
        <v>12</v>
      </c>
    </row>
    <row r="6235" spans="1:18" s="904" customFormat="1">
      <c r="A6235" s="895"/>
      <c r="B6235" s="896"/>
      <c r="C6235" s="897"/>
      <c r="D6235" s="897"/>
      <c r="E6235" s="898" t="s">
        <v>108</v>
      </c>
      <c r="F6235" s="899"/>
      <c r="G6235" s="928"/>
      <c r="H6235" s="901"/>
      <c r="I6235" s="902"/>
      <c r="J6235" s="902"/>
      <c r="K6235" s="912" t="s">
        <v>274</v>
      </c>
      <c r="L6235" s="902"/>
      <c r="M6235" s="902"/>
      <c r="N6235" s="902"/>
      <c r="O6235" s="892">
        <f t="shared" si="415"/>
        <v>0</v>
      </c>
      <c r="P6235" s="903">
        <f t="shared" si="417"/>
        <v>1</v>
      </c>
      <c r="Q6235" s="893">
        <f t="shared" si="418"/>
        <v>12</v>
      </c>
      <c r="R6235" s="894">
        <f t="shared" si="419"/>
        <v>0</v>
      </c>
    </row>
    <row r="6236" spans="1:18">
      <c r="A6236" s="905"/>
      <c r="B6236" s="906"/>
      <c r="C6236" s="907">
        <v>94</v>
      </c>
      <c r="D6236" s="907" t="s">
        <v>279</v>
      </c>
      <c r="E6236" s="925" t="s">
        <v>5857</v>
      </c>
      <c r="F6236" s="909" t="s">
        <v>51</v>
      </c>
      <c r="G6236" s="910"/>
      <c r="H6236" s="911">
        <v>1</v>
      </c>
      <c r="I6236" s="912">
        <f>VLOOKUP(E6236,[3]VLP!$B$7:$K$300,10,0)</f>
        <v>20280</v>
      </c>
      <c r="J6236" s="912">
        <f t="shared" ref="J6236:J6244" si="423">I6236*H6236</f>
        <v>20280</v>
      </c>
      <c r="K6236" s="912" t="s">
        <v>274</v>
      </c>
      <c r="L6236" s="912"/>
      <c r="M6236" s="912"/>
      <c r="N6236" s="912"/>
      <c r="O6236" s="892">
        <f t="shared" si="415"/>
        <v>0</v>
      </c>
      <c r="P6236" s="903">
        <f t="shared" si="417"/>
        <v>1</v>
      </c>
      <c r="Q6236" s="893">
        <f t="shared" si="418"/>
        <v>11</v>
      </c>
      <c r="R6236" s="894">
        <f t="shared" si="419"/>
        <v>0</v>
      </c>
    </row>
    <row r="6237" spans="1:18">
      <c r="A6237" s="905"/>
      <c r="B6237" s="906"/>
      <c r="C6237" s="907">
        <v>49</v>
      </c>
      <c r="D6237" s="907" t="s">
        <v>279</v>
      </c>
      <c r="E6237" s="925" t="s">
        <v>5698</v>
      </c>
      <c r="F6237" s="909" t="s">
        <v>139</v>
      </c>
      <c r="G6237" s="910"/>
      <c r="H6237" s="911">
        <v>2</v>
      </c>
      <c r="I6237" s="912">
        <f>VLOOKUP(E6237,[3]VLP!$B$7:$K$300,10,0)</f>
        <v>3000</v>
      </c>
      <c r="J6237" s="912">
        <f t="shared" si="423"/>
        <v>6000</v>
      </c>
      <c r="K6237" s="912" t="s">
        <v>274</v>
      </c>
      <c r="L6237" s="912"/>
      <c r="M6237" s="912"/>
      <c r="N6237" s="912"/>
      <c r="O6237" s="892">
        <f t="shared" si="415"/>
        <v>0</v>
      </c>
      <c r="P6237" s="903">
        <f t="shared" si="417"/>
        <v>1</v>
      </c>
      <c r="Q6237" s="893">
        <f t="shared" si="418"/>
        <v>10</v>
      </c>
      <c r="R6237" s="894">
        <f t="shared" si="419"/>
        <v>0</v>
      </c>
    </row>
    <row r="6238" spans="1:18">
      <c r="A6238" s="905"/>
      <c r="B6238" s="906"/>
      <c r="C6238" s="907">
        <v>50</v>
      </c>
      <c r="D6238" s="907" t="s">
        <v>279</v>
      </c>
      <c r="E6238" s="925" t="s">
        <v>5836</v>
      </c>
      <c r="F6238" s="909" t="s">
        <v>49</v>
      </c>
      <c r="G6238" s="910"/>
      <c r="H6238" s="911">
        <v>1</v>
      </c>
      <c r="I6238" s="912">
        <f>VLOOKUP(E6238,[3]VLP!$B$7:$K$300,10,0)</f>
        <v>85790</v>
      </c>
      <c r="J6238" s="912">
        <f t="shared" si="423"/>
        <v>85790</v>
      </c>
      <c r="K6238" s="912" t="s">
        <v>274</v>
      </c>
      <c r="L6238" s="912"/>
      <c r="M6238" s="912"/>
      <c r="N6238" s="912"/>
      <c r="O6238" s="892">
        <f t="shared" si="415"/>
        <v>0</v>
      </c>
      <c r="P6238" s="903">
        <f t="shared" si="417"/>
        <v>1</v>
      </c>
      <c r="Q6238" s="893">
        <f t="shared" si="418"/>
        <v>9</v>
      </c>
      <c r="R6238" s="894">
        <f t="shared" si="419"/>
        <v>0</v>
      </c>
    </row>
    <row r="6239" spans="1:18">
      <c r="A6239" s="905"/>
      <c r="B6239" s="906"/>
      <c r="C6239" s="907">
        <v>46</v>
      </c>
      <c r="D6239" s="907" t="s">
        <v>279</v>
      </c>
      <c r="E6239" s="925" t="s">
        <v>3179</v>
      </c>
      <c r="F6239" s="909" t="s">
        <v>45</v>
      </c>
      <c r="G6239" s="910"/>
      <c r="H6239" s="911">
        <v>1.6</v>
      </c>
      <c r="I6239" s="912">
        <f>VLOOKUP(E6239,[3]VLP!$B$7:$K$300,10,0)</f>
        <v>20500</v>
      </c>
      <c r="J6239" s="912">
        <f t="shared" si="423"/>
        <v>32800</v>
      </c>
      <c r="K6239" s="912" t="s">
        <v>274</v>
      </c>
      <c r="L6239" s="912"/>
      <c r="M6239" s="912"/>
      <c r="N6239" s="912"/>
      <c r="O6239" s="892">
        <f t="shared" ref="O6239:O6302" si="424">IF(AND(B6239&lt;&gt;"",D6239=""),1,0)</f>
        <v>0</v>
      </c>
      <c r="P6239" s="903">
        <f t="shared" si="417"/>
        <v>1</v>
      </c>
      <c r="Q6239" s="893">
        <f t="shared" si="418"/>
        <v>8</v>
      </c>
      <c r="R6239" s="894">
        <f t="shared" si="419"/>
        <v>0</v>
      </c>
    </row>
    <row r="6240" spans="1:18">
      <c r="A6240" s="905"/>
      <c r="B6240" s="906"/>
      <c r="C6240" s="907">
        <v>25</v>
      </c>
      <c r="D6240" s="907" t="s">
        <v>279</v>
      </c>
      <c r="E6240" s="925" t="s">
        <v>5656</v>
      </c>
      <c r="F6240" s="926" t="s">
        <v>2690</v>
      </c>
      <c r="G6240" s="910"/>
      <c r="H6240" s="911">
        <v>1</v>
      </c>
      <c r="I6240" s="912">
        <f>VLOOKUP(E6240,[3]VLP!$B$7:$K$300,10,0)</f>
        <v>5000</v>
      </c>
      <c r="J6240" s="912">
        <f t="shared" si="423"/>
        <v>5000</v>
      </c>
      <c r="K6240" s="912" t="s">
        <v>274</v>
      </c>
      <c r="L6240" s="912"/>
      <c r="M6240" s="912"/>
      <c r="N6240" s="912"/>
      <c r="O6240" s="892">
        <f t="shared" si="424"/>
        <v>0</v>
      </c>
      <c r="P6240" s="903">
        <f t="shared" si="417"/>
        <v>1</v>
      </c>
      <c r="Q6240" s="893">
        <f t="shared" si="418"/>
        <v>7</v>
      </c>
      <c r="R6240" s="894">
        <f t="shared" si="419"/>
        <v>0</v>
      </c>
    </row>
    <row r="6241" spans="1:18">
      <c r="A6241" s="905"/>
      <c r="B6241" s="906"/>
      <c r="C6241" s="907">
        <v>127</v>
      </c>
      <c r="D6241" s="907" t="s">
        <v>279</v>
      </c>
      <c r="E6241" s="925" t="s">
        <v>5657</v>
      </c>
      <c r="F6241" s="909" t="s">
        <v>45</v>
      </c>
      <c r="G6241" s="910"/>
      <c r="H6241" s="911">
        <v>0.5</v>
      </c>
      <c r="I6241" s="912">
        <f>VLOOKUP(E6241,[3]VLP!$B$7:$K$300,10,0)</f>
        <v>25155</v>
      </c>
      <c r="J6241" s="912">
        <f t="shared" si="423"/>
        <v>12577.5</v>
      </c>
      <c r="K6241" s="912" t="s">
        <v>274</v>
      </c>
      <c r="L6241" s="912"/>
      <c r="M6241" s="912"/>
      <c r="N6241" s="912"/>
      <c r="O6241" s="892">
        <f t="shared" si="424"/>
        <v>0</v>
      </c>
      <c r="P6241" s="903">
        <f t="shared" si="417"/>
        <v>1</v>
      </c>
      <c r="Q6241" s="893">
        <f t="shared" si="418"/>
        <v>6</v>
      </c>
      <c r="R6241" s="894">
        <f t="shared" si="419"/>
        <v>0</v>
      </c>
    </row>
    <row r="6242" spans="1:18">
      <c r="A6242" s="905"/>
      <c r="B6242" s="906"/>
      <c r="C6242" s="907">
        <v>44</v>
      </c>
      <c r="D6242" s="907" t="s">
        <v>279</v>
      </c>
      <c r="E6242" s="925" t="s">
        <v>2681</v>
      </c>
      <c r="F6242" s="926" t="s">
        <v>45</v>
      </c>
      <c r="G6242" s="910"/>
      <c r="H6242" s="911">
        <v>0.5</v>
      </c>
      <c r="I6242" s="912">
        <f>VLOOKUP(E6242,[3]VLP!$B$7:$K$300,10,0)</f>
        <v>23000</v>
      </c>
      <c r="J6242" s="912">
        <f t="shared" si="423"/>
        <v>11500</v>
      </c>
      <c r="K6242" s="912" t="s">
        <v>274</v>
      </c>
      <c r="L6242" s="912"/>
      <c r="M6242" s="912"/>
      <c r="N6242" s="912"/>
      <c r="O6242" s="892">
        <f t="shared" si="424"/>
        <v>0</v>
      </c>
      <c r="P6242" s="903">
        <f t="shared" si="417"/>
        <v>1</v>
      </c>
      <c r="Q6242" s="893">
        <f t="shared" si="418"/>
        <v>5</v>
      </c>
      <c r="R6242" s="894">
        <f t="shared" si="419"/>
        <v>0</v>
      </c>
    </row>
    <row r="6243" spans="1:18">
      <c r="A6243" s="905"/>
      <c r="B6243" s="906"/>
      <c r="C6243" s="907">
        <v>66</v>
      </c>
      <c r="D6243" s="907" t="s">
        <v>279</v>
      </c>
      <c r="E6243" s="925" t="s">
        <v>2682</v>
      </c>
      <c r="F6243" s="926" t="s">
        <v>45</v>
      </c>
      <c r="G6243" s="910"/>
      <c r="H6243" s="911">
        <v>0.2</v>
      </c>
      <c r="I6243" s="912">
        <f>VLOOKUP(E6243,[3]VLP!$B$7:$K$300,10,0)</f>
        <v>5000</v>
      </c>
      <c r="J6243" s="912">
        <f t="shared" si="423"/>
        <v>1000</v>
      </c>
      <c r="K6243" s="912" t="s">
        <v>274</v>
      </c>
      <c r="L6243" s="912"/>
      <c r="M6243" s="912"/>
      <c r="N6243" s="912"/>
      <c r="O6243" s="892">
        <f t="shared" si="424"/>
        <v>0</v>
      </c>
      <c r="P6243" s="903">
        <f t="shared" si="417"/>
        <v>1</v>
      </c>
      <c r="Q6243" s="893">
        <f t="shared" si="418"/>
        <v>4</v>
      </c>
      <c r="R6243" s="894">
        <f t="shared" si="419"/>
        <v>0</v>
      </c>
    </row>
    <row r="6244" spans="1:18">
      <c r="A6244" s="905"/>
      <c r="B6244" s="906"/>
      <c r="C6244" s="907">
        <v>699</v>
      </c>
      <c r="D6244" s="907" t="s">
        <v>279</v>
      </c>
      <c r="E6244" s="925" t="s">
        <v>4006</v>
      </c>
      <c r="F6244" s="926" t="s">
        <v>4007</v>
      </c>
      <c r="G6244" s="910"/>
      <c r="H6244" s="911">
        <v>5</v>
      </c>
      <c r="I6244" s="912">
        <f>VLOOKUP(E6244,[3]VLP!$B$7:$K$300,10,0)</f>
        <v>5000</v>
      </c>
      <c r="J6244" s="912">
        <f t="shared" si="423"/>
        <v>25000</v>
      </c>
      <c r="K6244" s="912" t="s">
        <v>274</v>
      </c>
      <c r="L6244" s="912"/>
      <c r="M6244" s="912"/>
      <c r="N6244" s="912"/>
      <c r="O6244" s="892">
        <f t="shared" si="424"/>
        <v>0</v>
      </c>
      <c r="P6244" s="903">
        <f t="shared" si="417"/>
        <v>1</v>
      </c>
      <c r="Q6244" s="893">
        <f t="shared" si="418"/>
        <v>3</v>
      </c>
      <c r="R6244" s="894">
        <f t="shared" si="419"/>
        <v>0</v>
      </c>
    </row>
    <row r="6245" spans="1:18" s="904" customFormat="1">
      <c r="A6245" s="895"/>
      <c r="B6245" s="896"/>
      <c r="C6245" s="897"/>
      <c r="D6245" s="897"/>
      <c r="E6245" s="924" t="s">
        <v>276</v>
      </c>
      <c r="F6245" s="927"/>
      <c r="G6245" s="928"/>
      <c r="H6245" s="901"/>
      <c r="I6245" s="902"/>
      <c r="J6245" s="902"/>
      <c r="K6245" s="912" t="s">
        <v>274</v>
      </c>
      <c r="L6245" s="902"/>
      <c r="M6245" s="902"/>
      <c r="N6245" s="902"/>
      <c r="O6245" s="892">
        <f t="shared" si="424"/>
        <v>0</v>
      </c>
      <c r="P6245" s="903">
        <f t="shared" si="417"/>
        <v>1</v>
      </c>
      <c r="Q6245" s="893">
        <f t="shared" si="418"/>
        <v>2</v>
      </c>
      <c r="R6245" s="894">
        <f t="shared" si="419"/>
        <v>0</v>
      </c>
    </row>
    <row r="6246" spans="1:18">
      <c r="A6246" s="905"/>
      <c r="B6246" s="906"/>
      <c r="C6246" s="907">
        <v>745</v>
      </c>
      <c r="D6246" s="907" t="s">
        <v>12</v>
      </c>
      <c r="E6246" s="908" t="s">
        <v>5518</v>
      </c>
      <c r="F6246" s="909" t="s">
        <v>2674</v>
      </c>
      <c r="G6246" s="910"/>
      <c r="H6246" s="911">
        <v>3.09</v>
      </c>
      <c r="I6246" s="912"/>
      <c r="J6246" s="912"/>
      <c r="K6246" s="912">
        <f>VLOOKUP(E6246,[5]ĐMNC!$A$7:$F$67,4,0)</f>
        <v>240557</v>
      </c>
      <c r="L6246" s="912">
        <f>H6246*K6246</f>
        <v>743321.13</v>
      </c>
      <c r="M6246" s="912"/>
      <c r="N6246" s="912"/>
      <c r="O6246" s="892">
        <f t="shared" si="424"/>
        <v>0</v>
      </c>
      <c r="P6246" s="903">
        <f t="shared" si="417"/>
        <v>1</v>
      </c>
      <c r="Q6246" s="893">
        <f t="shared" si="418"/>
        <v>1</v>
      </c>
      <c r="R6246" s="894">
        <f t="shared" si="419"/>
        <v>0</v>
      </c>
    </row>
    <row r="6247" spans="1:18" s="847" customFormat="1" ht="35.25" customHeight="1">
      <c r="A6247" s="905"/>
      <c r="B6247" s="914" t="s">
        <v>5929</v>
      </c>
      <c r="C6247" s="915"/>
      <c r="D6247" s="915"/>
      <c r="E6247" s="916" t="s">
        <v>5930</v>
      </c>
      <c r="F6247" s="917" t="s">
        <v>5834</v>
      </c>
      <c r="G6247" s="944"/>
      <c r="H6247" s="919"/>
      <c r="I6247" s="920"/>
      <c r="J6247" s="891">
        <f>SUM(J6248:J6259)</f>
        <v>216957.5</v>
      </c>
      <c r="K6247" s="891"/>
      <c r="L6247" s="891">
        <f>SUM(L6248:L6259)</f>
        <v>829921.65</v>
      </c>
      <c r="M6247" s="891"/>
      <c r="N6247" s="891">
        <f>SUM(N6248:N6259)</f>
        <v>0</v>
      </c>
      <c r="O6247" s="892">
        <f t="shared" si="424"/>
        <v>1</v>
      </c>
      <c r="P6247" s="903">
        <f t="shared" si="417"/>
        <v>0</v>
      </c>
      <c r="Q6247" s="893">
        <f t="shared" si="418"/>
        <v>0</v>
      </c>
      <c r="R6247" s="894">
        <f t="shared" si="419"/>
        <v>12</v>
      </c>
    </row>
    <row r="6248" spans="1:18" s="904" customFormat="1">
      <c r="A6248" s="895"/>
      <c r="B6248" s="896"/>
      <c r="C6248" s="897"/>
      <c r="D6248" s="897"/>
      <c r="E6248" s="898" t="s">
        <v>108</v>
      </c>
      <c r="F6248" s="899"/>
      <c r="G6248" s="928"/>
      <c r="H6248" s="901"/>
      <c r="I6248" s="902"/>
      <c r="J6248" s="902"/>
      <c r="K6248" s="912" t="s">
        <v>274</v>
      </c>
      <c r="L6248" s="902"/>
      <c r="M6248" s="902"/>
      <c r="N6248" s="902"/>
      <c r="O6248" s="892">
        <f t="shared" si="424"/>
        <v>0</v>
      </c>
      <c r="P6248" s="903">
        <f t="shared" ref="P6248:P6311" si="425">IF(O6248=0,1,0)</f>
        <v>1</v>
      </c>
      <c r="Q6248" s="893">
        <f t="shared" ref="Q6248:Q6311" si="426">IF(P6248=0,0,P6248+Q6249)</f>
        <v>12</v>
      </c>
      <c r="R6248" s="894">
        <f t="shared" ref="R6248:R6311" si="427">IF(Q6248=0,Q6249,0)</f>
        <v>0</v>
      </c>
    </row>
    <row r="6249" spans="1:18">
      <c r="A6249" s="905"/>
      <c r="B6249" s="906"/>
      <c r="C6249" s="907">
        <v>95</v>
      </c>
      <c r="D6249" s="907" t="s">
        <v>279</v>
      </c>
      <c r="E6249" s="925" t="s">
        <v>5860</v>
      </c>
      <c r="F6249" s="909" t="s">
        <v>51</v>
      </c>
      <c r="G6249" s="910"/>
      <c r="H6249" s="911">
        <v>1</v>
      </c>
      <c r="I6249" s="912">
        <f>VLOOKUP(E6249,[3]VLP!$B$7:$K$300,10,0)</f>
        <v>27040</v>
      </c>
      <c r="J6249" s="912">
        <f t="shared" ref="J6249:J6257" si="428">I6249*H6249</f>
        <v>27040</v>
      </c>
      <c r="K6249" s="912" t="s">
        <v>274</v>
      </c>
      <c r="L6249" s="912"/>
      <c r="M6249" s="912"/>
      <c r="N6249" s="912"/>
      <c r="O6249" s="892">
        <f t="shared" si="424"/>
        <v>0</v>
      </c>
      <c r="P6249" s="903">
        <f t="shared" si="425"/>
        <v>1</v>
      </c>
      <c r="Q6249" s="893">
        <f t="shared" si="426"/>
        <v>11</v>
      </c>
      <c r="R6249" s="894">
        <f t="shared" si="427"/>
        <v>0</v>
      </c>
    </row>
    <row r="6250" spans="1:18">
      <c r="A6250" s="905"/>
      <c r="B6250" s="906"/>
      <c r="C6250" s="907">
        <v>49</v>
      </c>
      <c r="D6250" s="907" t="s">
        <v>279</v>
      </c>
      <c r="E6250" s="925" t="s">
        <v>5698</v>
      </c>
      <c r="F6250" s="909" t="s">
        <v>139</v>
      </c>
      <c r="G6250" s="910"/>
      <c r="H6250" s="911">
        <v>2</v>
      </c>
      <c r="I6250" s="912">
        <f>VLOOKUP(E6250,[3]VLP!$B$7:$K$300,10,0)</f>
        <v>3000</v>
      </c>
      <c r="J6250" s="912">
        <f t="shared" si="428"/>
        <v>6000</v>
      </c>
      <c r="K6250" s="912" t="s">
        <v>274</v>
      </c>
      <c r="L6250" s="912"/>
      <c r="M6250" s="912"/>
      <c r="N6250" s="912"/>
      <c r="O6250" s="892">
        <f t="shared" si="424"/>
        <v>0</v>
      </c>
      <c r="P6250" s="903">
        <f t="shared" si="425"/>
        <v>1</v>
      </c>
      <c r="Q6250" s="893">
        <f t="shared" si="426"/>
        <v>10</v>
      </c>
      <c r="R6250" s="894">
        <f t="shared" si="427"/>
        <v>0</v>
      </c>
    </row>
    <row r="6251" spans="1:18">
      <c r="A6251" s="905"/>
      <c r="B6251" s="906"/>
      <c r="C6251" s="907">
        <v>50</v>
      </c>
      <c r="D6251" s="907" t="s">
        <v>279</v>
      </c>
      <c r="E6251" s="925" t="s">
        <v>5836</v>
      </c>
      <c r="F6251" s="909" t="s">
        <v>49</v>
      </c>
      <c r="G6251" s="910"/>
      <c r="H6251" s="911">
        <v>1</v>
      </c>
      <c r="I6251" s="912">
        <f>VLOOKUP(E6251,[3]VLP!$B$7:$K$300,10,0)</f>
        <v>85790</v>
      </c>
      <c r="J6251" s="912">
        <f t="shared" si="428"/>
        <v>85790</v>
      </c>
      <c r="K6251" s="912" t="s">
        <v>274</v>
      </c>
      <c r="L6251" s="912"/>
      <c r="M6251" s="912"/>
      <c r="N6251" s="912"/>
      <c r="O6251" s="892">
        <f t="shared" si="424"/>
        <v>0</v>
      </c>
      <c r="P6251" s="903">
        <f t="shared" si="425"/>
        <v>1</v>
      </c>
      <c r="Q6251" s="893">
        <f t="shared" si="426"/>
        <v>9</v>
      </c>
      <c r="R6251" s="894">
        <f t="shared" si="427"/>
        <v>0</v>
      </c>
    </row>
    <row r="6252" spans="1:18">
      <c r="A6252" s="905"/>
      <c r="B6252" s="906"/>
      <c r="C6252" s="907">
        <v>46</v>
      </c>
      <c r="D6252" s="907" t="s">
        <v>279</v>
      </c>
      <c r="E6252" s="925" t="s">
        <v>3179</v>
      </c>
      <c r="F6252" s="909" t="s">
        <v>45</v>
      </c>
      <c r="G6252" s="910"/>
      <c r="H6252" s="911">
        <v>2.1</v>
      </c>
      <c r="I6252" s="912">
        <f>VLOOKUP(E6252,[3]VLP!$B$7:$K$300,10,0)</f>
        <v>20500</v>
      </c>
      <c r="J6252" s="912">
        <f t="shared" si="428"/>
        <v>43050</v>
      </c>
      <c r="K6252" s="912" t="s">
        <v>274</v>
      </c>
      <c r="L6252" s="912"/>
      <c r="M6252" s="912"/>
      <c r="N6252" s="912"/>
      <c r="O6252" s="892">
        <f t="shared" si="424"/>
        <v>0</v>
      </c>
      <c r="P6252" s="903">
        <f t="shared" si="425"/>
        <v>1</v>
      </c>
      <c r="Q6252" s="893">
        <f t="shared" si="426"/>
        <v>8</v>
      </c>
      <c r="R6252" s="894">
        <f t="shared" si="427"/>
        <v>0</v>
      </c>
    </row>
    <row r="6253" spans="1:18">
      <c r="A6253" s="905"/>
      <c r="B6253" s="906"/>
      <c r="C6253" s="907">
        <v>25</v>
      </c>
      <c r="D6253" s="907" t="s">
        <v>279</v>
      </c>
      <c r="E6253" s="925" t="s">
        <v>5656</v>
      </c>
      <c r="F6253" s="926" t="s">
        <v>2690</v>
      </c>
      <c r="G6253" s="910"/>
      <c r="H6253" s="911">
        <v>1</v>
      </c>
      <c r="I6253" s="912">
        <f>VLOOKUP(E6253,[3]VLP!$B$7:$K$300,10,0)</f>
        <v>5000</v>
      </c>
      <c r="J6253" s="912">
        <f t="shared" si="428"/>
        <v>5000</v>
      </c>
      <c r="K6253" s="912" t="s">
        <v>274</v>
      </c>
      <c r="L6253" s="912"/>
      <c r="M6253" s="912"/>
      <c r="N6253" s="912"/>
      <c r="O6253" s="892">
        <f t="shared" si="424"/>
        <v>0</v>
      </c>
      <c r="P6253" s="903">
        <f t="shared" si="425"/>
        <v>1</v>
      </c>
      <c r="Q6253" s="893">
        <f t="shared" si="426"/>
        <v>7</v>
      </c>
      <c r="R6253" s="894">
        <f t="shared" si="427"/>
        <v>0</v>
      </c>
    </row>
    <row r="6254" spans="1:18">
      <c r="A6254" s="905"/>
      <c r="B6254" s="906"/>
      <c r="C6254" s="907">
        <v>127</v>
      </c>
      <c r="D6254" s="907" t="s">
        <v>279</v>
      </c>
      <c r="E6254" s="925" t="s">
        <v>5657</v>
      </c>
      <c r="F6254" s="909" t="s">
        <v>45</v>
      </c>
      <c r="G6254" s="910"/>
      <c r="H6254" s="911">
        <v>0.5</v>
      </c>
      <c r="I6254" s="912">
        <f>VLOOKUP(E6254,[3]VLP!$B$7:$K$300,10,0)</f>
        <v>25155</v>
      </c>
      <c r="J6254" s="912">
        <f t="shared" si="428"/>
        <v>12577.5</v>
      </c>
      <c r="K6254" s="912" t="s">
        <v>274</v>
      </c>
      <c r="L6254" s="912"/>
      <c r="M6254" s="912"/>
      <c r="N6254" s="912"/>
      <c r="O6254" s="892">
        <f t="shared" si="424"/>
        <v>0</v>
      </c>
      <c r="P6254" s="903">
        <f t="shared" si="425"/>
        <v>1</v>
      </c>
      <c r="Q6254" s="893">
        <f t="shared" si="426"/>
        <v>6</v>
      </c>
      <c r="R6254" s="894">
        <f t="shared" si="427"/>
        <v>0</v>
      </c>
    </row>
    <row r="6255" spans="1:18">
      <c r="A6255" s="905"/>
      <c r="B6255" s="906"/>
      <c r="C6255" s="907">
        <v>44</v>
      </c>
      <c r="D6255" s="907" t="s">
        <v>279</v>
      </c>
      <c r="E6255" s="925" t="s">
        <v>2681</v>
      </c>
      <c r="F6255" s="926" t="s">
        <v>45</v>
      </c>
      <c r="G6255" s="910"/>
      <c r="H6255" s="911">
        <v>0.5</v>
      </c>
      <c r="I6255" s="912">
        <f>VLOOKUP(E6255,[3]VLP!$B$7:$K$300,10,0)</f>
        <v>23000</v>
      </c>
      <c r="J6255" s="912">
        <f t="shared" si="428"/>
        <v>11500</v>
      </c>
      <c r="K6255" s="912" t="s">
        <v>274</v>
      </c>
      <c r="L6255" s="912"/>
      <c r="M6255" s="912"/>
      <c r="N6255" s="912"/>
      <c r="O6255" s="892">
        <f t="shared" si="424"/>
        <v>0</v>
      </c>
      <c r="P6255" s="903">
        <f t="shared" si="425"/>
        <v>1</v>
      </c>
      <c r="Q6255" s="893">
        <f t="shared" si="426"/>
        <v>5</v>
      </c>
      <c r="R6255" s="894">
        <f t="shared" si="427"/>
        <v>0</v>
      </c>
    </row>
    <row r="6256" spans="1:18">
      <c r="A6256" s="905"/>
      <c r="B6256" s="906"/>
      <c r="C6256" s="907">
        <v>66</v>
      </c>
      <c r="D6256" s="907" t="s">
        <v>279</v>
      </c>
      <c r="E6256" s="925" t="s">
        <v>2682</v>
      </c>
      <c r="F6256" s="926" t="s">
        <v>45</v>
      </c>
      <c r="G6256" s="910"/>
      <c r="H6256" s="911">
        <v>0.2</v>
      </c>
      <c r="I6256" s="912">
        <f>VLOOKUP(E6256,[3]VLP!$B$7:$K$300,10,0)</f>
        <v>5000</v>
      </c>
      <c r="J6256" s="912">
        <f t="shared" si="428"/>
        <v>1000</v>
      </c>
      <c r="K6256" s="912" t="s">
        <v>274</v>
      </c>
      <c r="L6256" s="912"/>
      <c r="M6256" s="912"/>
      <c r="N6256" s="912"/>
      <c r="O6256" s="892">
        <f t="shared" si="424"/>
        <v>0</v>
      </c>
      <c r="P6256" s="903">
        <f t="shared" si="425"/>
        <v>1</v>
      </c>
      <c r="Q6256" s="893">
        <f t="shared" si="426"/>
        <v>4</v>
      </c>
      <c r="R6256" s="894">
        <f t="shared" si="427"/>
        <v>0</v>
      </c>
    </row>
    <row r="6257" spans="1:18">
      <c r="A6257" s="905"/>
      <c r="B6257" s="906"/>
      <c r="C6257" s="907">
        <v>699</v>
      </c>
      <c r="D6257" s="907" t="s">
        <v>279</v>
      </c>
      <c r="E6257" s="925" t="s">
        <v>4006</v>
      </c>
      <c r="F6257" s="926" t="s">
        <v>4007</v>
      </c>
      <c r="G6257" s="910"/>
      <c r="H6257" s="911">
        <v>5</v>
      </c>
      <c r="I6257" s="912">
        <f>VLOOKUP(E6257,[3]VLP!$B$7:$K$300,10,0)</f>
        <v>5000</v>
      </c>
      <c r="J6257" s="912">
        <f t="shared" si="428"/>
        <v>25000</v>
      </c>
      <c r="K6257" s="912" t="s">
        <v>274</v>
      </c>
      <c r="L6257" s="912"/>
      <c r="M6257" s="912"/>
      <c r="N6257" s="912"/>
      <c r="O6257" s="892">
        <f t="shared" si="424"/>
        <v>0</v>
      </c>
      <c r="P6257" s="903">
        <f t="shared" si="425"/>
        <v>1</v>
      </c>
      <c r="Q6257" s="893">
        <f t="shared" si="426"/>
        <v>3</v>
      </c>
      <c r="R6257" s="894">
        <f t="shared" si="427"/>
        <v>0</v>
      </c>
    </row>
    <row r="6258" spans="1:18" s="904" customFormat="1">
      <c r="A6258" s="895"/>
      <c r="B6258" s="896"/>
      <c r="C6258" s="897"/>
      <c r="D6258" s="897"/>
      <c r="E6258" s="924" t="s">
        <v>276</v>
      </c>
      <c r="F6258" s="927"/>
      <c r="G6258" s="928"/>
      <c r="H6258" s="901"/>
      <c r="I6258" s="902"/>
      <c r="J6258" s="902"/>
      <c r="K6258" s="912" t="s">
        <v>274</v>
      </c>
      <c r="L6258" s="902"/>
      <c r="M6258" s="902"/>
      <c r="N6258" s="902"/>
      <c r="O6258" s="892">
        <f t="shared" si="424"/>
        <v>0</v>
      </c>
      <c r="P6258" s="903">
        <f t="shared" si="425"/>
        <v>1</v>
      </c>
      <c r="Q6258" s="893">
        <f t="shared" si="426"/>
        <v>2</v>
      </c>
      <c r="R6258" s="894">
        <f t="shared" si="427"/>
        <v>0</v>
      </c>
    </row>
    <row r="6259" spans="1:18">
      <c r="A6259" s="905"/>
      <c r="B6259" s="906"/>
      <c r="C6259" s="907">
        <v>745</v>
      </c>
      <c r="D6259" s="907" t="s">
        <v>12</v>
      </c>
      <c r="E6259" s="908" t="s">
        <v>5518</v>
      </c>
      <c r="F6259" s="909" t="s">
        <v>2674</v>
      </c>
      <c r="G6259" s="910"/>
      <c r="H6259" s="911">
        <v>3.45</v>
      </c>
      <c r="I6259" s="912"/>
      <c r="J6259" s="912"/>
      <c r="K6259" s="912">
        <f>VLOOKUP(E6259,[5]ĐMNC!$A$7:$F$67,4,0)</f>
        <v>240557</v>
      </c>
      <c r="L6259" s="912">
        <f>H6259*K6259</f>
        <v>829921.65</v>
      </c>
      <c r="M6259" s="912"/>
      <c r="N6259" s="912"/>
      <c r="O6259" s="892">
        <f t="shared" si="424"/>
        <v>0</v>
      </c>
      <c r="P6259" s="903">
        <f t="shared" si="425"/>
        <v>1</v>
      </c>
      <c r="Q6259" s="893">
        <f t="shared" si="426"/>
        <v>1</v>
      </c>
      <c r="R6259" s="894">
        <f t="shared" si="427"/>
        <v>0</v>
      </c>
    </row>
    <row r="6260" spans="1:18" s="847" customFormat="1" ht="35.25" customHeight="1">
      <c r="A6260" s="905"/>
      <c r="B6260" s="914" t="s">
        <v>5931</v>
      </c>
      <c r="C6260" s="915"/>
      <c r="D6260" s="915"/>
      <c r="E6260" s="916" t="s">
        <v>5932</v>
      </c>
      <c r="F6260" s="917" t="s">
        <v>5834</v>
      </c>
      <c r="G6260" s="944"/>
      <c r="H6260" s="919"/>
      <c r="I6260" s="920"/>
      <c r="J6260" s="891">
        <f>SUM(J6261:J6272)</f>
        <v>223357.5</v>
      </c>
      <c r="K6260" s="891"/>
      <c r="L6260" s="891">
        <f>SUM(L6261:L6272)</f>
        <v>914116.6</v>
      </c>
      <c r="M6260" s="891"/>
      <c r="N6260" s="891">
        <f>SUM(N6261:N6272)</f>
        <v>0</v>
      </c>
      <c r="O6260" s="892">
        <f t="shared" si="424"/>
        <v>1</v>
      </c>
      <c r="P6260" s="903">
        <f t="shared" si="425"/>
        <v>0</v>
      </c>
      <c r="Q6260" s="893">
        <f t="shared" si="426"/>
        <v>0</v>
      </c>
      <c r="R6260" s="894">
        <f t="shared" si="427"/>
        <v>12</v>
      </c>
    </row>
    <row r="6261" spans="1:18" s="904" customFormat="1">
      <c r="A6261" s="895"/>
      <c r="B6261" s="896"/>
      <c r="C6261" s="897"/>
      <c r="D6261" s="897"/>
      <c r="E6261" s="898" t="s">
        <v>108</v>
      </c>
      <c r="F6261" s="899"/>
      <c r="G6261" s="928"/>
      <c r="H6261" s="901"/>
      <c r="I6261" s="902"/>
      <c r="J6261" s="902"/>
      <c r="K6261" s="912" t="s">
        <v>274</v>
      </c>
      <c r="L6261" s="902"/>
      <c r="M6261" s="902"/>
      <c r="N6261" s="902"/>
      <c r="O6261" s="892">
        <f t="shared" si="424"/>
        <v>0</v>
      </c>
      <c r="P6261" s="903">
        <f t="shared" si="425"/>
        <v>1</v>
      </c>
      <c r="Q6261" s="893">
        <f t="shared" si="426"/>
        <v>12</v>
      </c>
      <c r="R6261" s="894">
        <f t="shared" si="427"/>
        <v>0</v>
      </c>
    </row>
    <row r="6262" spans="1:18">
      <c r="A6262" s="905"/>
      <c r="B6262" s="906"/>
      <c r="C6262" s="907">
        <v>96</v>
      </c>
      <c r="D6262" s="907" t="s">
        <v>279</v>
      </c>
      <c r="E6262" s="925" t="s">
        <v>5863</v>
      </c>
      <c r="F6262" s="909" t="s">
        <v>51</v>
      </c>
      <c r="G6262" s="910"/>
      <c r="H6262" s="911">
        <v>1</v>
      </c>
      <c r="I6262" s="912">
        <f>VLOOKUP(E6262,[3]VLP!$B$7:$K$300,10,0)</f>
        <v>27040</v>
      </c>
      <c r="J6262" s="912">
        <f t="shared" ref="J6262:J6270" si="429">I6262*H6262</f>
        <v>27040</v>
      </c>
      <c r="K6262" s="912" t="s">
        <v>274</v>
      </c>
      <c r="L6262" s="912"/>
      <c r="M6262" s="912"/>
      <c r="N6262" s="912"/>
      <c r="O6262" s="892">
        <f t="shared" si="424"/>
        <v>0</v>
      </c>
      <c r="P6262" s="903">
        <f t="shared" si="425"/>
        <v>1</v>
      </c>
      <c r="Q6262" s="893">
        <f t="shared" si="426"/>
        <v>11</v>
      </c>
      <c r="R6262" s="894">
        <f t="shared" si="427"/>
        <v>0</v>
      </c>
    </row>
    <row r="6263" spans="1:18">
      <c r="A6263" s="905"/>
      <c r="B6263" s="906"/>
      <c r="C6263" s="907">
        <v>49</v>
      </c>
      <c r="D6263" s="907" t="s">
        <v>279</v>
      </c>
      <c r="E6263" s="925" t="s">
        <v>5698</v>
      </c>
      <c r="F6263" s="909" t="s">
        <v>139</v>
      </c>
      <c r="G6263" s="910"/>
      <c r="H6263" s="911">
        <v>2</v>
      </c>
      <c r="I6263" s="912">
        <f>VLOOKUP(E6263,[3]VLP!$B$7:$K$300,10,0)</f>
        <v>3000</v>
      </c>
      <c r="J6263" s="912">
        <f t="shared" si="429"/>
        <v>6000</v>
      </c>
      <c r="K6263" s="912" t="s">
        <v>274</v>
      </c>
      <c r="L6263" s="912"/>
      <c r="M6263" s="912"/>
      <c r="N6263" s="912"/>
      <c r="O6263" s="892">
        <f t="shared" si="424"/>
        <v>0</v>
      </c>
      <c r="P6263" s="903">
        <f t="shared" si="425"/>
        <v>1</v>
      </c>
      <c r="Q6263" s="893">
        <f t="shared" si="426"/>
        <v>10</v>
      </c>
      <c r="R6263" s="894">
        <f t="shared" si="427"/>
        <v>0</v>
      </c>
    </row>
    <row r="6264" spans="1:18">
      <c r="A6264" s="905"/>
      <c r="B6264" s="906"/>
      <c r="C6264" s="907">
        <v>50</v>
      </c>
      <c r="D6264" s="907" t="s">
        <v>279</v>
      </c>
      <c r="E6264" s="925" t="s">
        <v>5836</v>
      </c>
      <c r="F6264" s="909" t="s">
        <v>49</v>
      </c>
      <c r="G6264" s="910"/>
      <c r="H6264" s="911">
        <v>1</v>
      </c>
      <c r="I6264" s="912">
        <f>VLOOKUP(E6264,[3]VLP!$B$7:$K$300,10,0)</f>
        <v>85790</v>
      </c>
      <c r="J6264" s="912">
        <f t="shared" si="429"/>
        <v>85790</v>
      </c>
      <c r="K6264" s="912" t="s">
        <v>274</v>
      </c>
      <c r="L6264" s="912"/>
      <c r="M6264" s="912"/>
      <c r="N6264" s="912"/>
      <c r="O6264" s="892">
        <f t="shared" si="424"/>
        <v>0</v>
      </c>
      <c r="P6264" s="903">
        <f t="shared" si="425"/>
        <v>1</v>
      </c>
      <c r="Q6264" s="893">
        <f t="shared" si="426"/>
        <v>9</v>
      </c>
      <c r="R6264" s="894">
        <f t="shared" si="427"/>
        <v>0</v>
      </c>
    </row>
    <row r="6265" spans="1:18">
      <c r="A6265" s="905"/>
      <c r="B6265" s="906"/>
      <c r="C6265" s="907">
        <v>46</v>
      </c>
      <c r="D6265" s="907" t="s">
        <v>279</v>
      </c>
      <c r="E6265" s="925" t="s">
        <v>3179</v>
      </c>
      <c r="F6265" s="909" t="s">
        <v>45</v>
      </c>
      <c r="G6265" s="910"/>
      <c r="H6265" s="911">
        <v>2.4</v>
      </c>
      <c r="I6265" s="912">
        <f>VLOOKUP(E6265,[3]VLP!$B$7:$K$300,10,0)</f>
        <v>20500</v>
      </c>
      <c r="J6265" s="912">
        <f t="shared" si="429"/>
        <v>49200</v>
      </c>
      <c r="K6265" s="912" t="s">
        <v>274</v>
      </c>
      <c r="L6265" s="912"/>
      <c r="M6265" s="912"/>
      <c r="N6265" s="912"/>
      <c r="O6265" s="892">
        <f t="shared" si="424"/>
        <v>0</v>
      </c>
      <c r="P6265" s="903">
        <f t="shared" si="425"/>
        <v>1</v>
      </c>
      <c r="Q6265" s="893">
        <f t="shared" si="426"/>
        <v>8</v>
      </c>
      <c r="R6265" s="894">
        <f t="shared" si="427"/>
        <v>0</v>
      </c>
    </row>
    <row r="6266" spans="1:18">
      <c r="A6266" s="905"/>
      <c r="B6266" s="906"/>
      <c r="C6266" s="907">
        <v>25</v>
      </c>
      <c r="D6266" s="907" t="s">
        <v>279</v>
      </c>
      <c r="E6266" s="925" t="s">
        <v>5656</v>
      </c>
      <c r="F6266" s="926" t="s">
        <v>2690</v>
      </c>
      <c r="G6266" s="910"/>
      <c r="H6266" s="911">
        <v>1</v>
      </c>
      <c r="I6266" s="912">
        <f>VLOOKUP(E6266,[3]VLP!$B$7:$K$300,10,0)</f>
        <v>5000</v>
      </c>
      <c r="J6266" s="912">
        <f t="shared" si="429"/>
        <v>5000</v>
      </c>
      <c r="K6266" s="912" t="s">
        <v>274</v>
      </c>
      <c r="L6266" s="912"/>
      <c r="M6266" s="912"/>
      <c r="N6266" s="912"/>
      <c r="O6266" s="892">
        <f t="shared" si="424"/>
        <v>0</v>
      </c>
      <c r="P6266" s="903">
        <f t="shared" si="425"/>
        <v>1</v>
      </c>
      <c r="Q6266" s="893">
        <f t="shared" si="426"/>
        <v>7</v>
      </c>
      <c r="R6266" s="894">
        <f t="shared" si="427"/>
        <v>0</v>
      </c>
    </row>
    <row r="6267" spans="1:18">
      <c r="A6267" s="905"/>
      <c r="B6267" s="906"/>
      <c r="C6267" s="907">
        <v>127</v>
      </c>
      <c r="D6267" s="907" t="s">
        <v>279</v>
      </c>
      <c r="E6267" s="925" t="s">
        <v>5657</v>
      </c>
      <c r="F6267" s="909" t="s">
        <v>45</v>
      </c>
      <c r="G6267" s="910"/>
      <c r="H6267" s="911">
        <v>0.5</v>
      </c>
      <c r="I6267" s="912">
        <f>VLOOKUP(E6267,[3]VLP!$B$7:$K$300,10,0)</f>
        <v>25155</v>
      </c>
      <c r="J6267" s="912">
        <f t="shared" si="429"/>
        <v>12577.5</v>
      </c>
      <c r="K6267" s="912" t="s">
        <v>274</v>
      </c>
      <c r="L6267" s="912"/>
      <c r="M6267" s="912"/>
      <c r="N6267" s="912"/>
      <c r="O6267" s="892">
        <f t="shared" si="424"/>
        <v>0</v>
      </c>
      <c r="P6267" s="903">
        <f t="shared" si="425"/>
        <v>1</v>
      </c>
      <c r="Q6267" s="893">
        <f t="shared" si="426"/>
        <v>6</v>
      </c>
      <c r="R6267" s="894">
        <f t="shared" si="427"/>
        <v>0</v>
      </c>
    </row>
    <row r="6268" spans="1:18">
      <c r="A6268" s="905"/>
      <c r="B6268" s="906"/>
      <c r="C6268" s="907">
        <v>44</v>
      </c>
      <c r="D6268" s="907" t="s">
        <v>279</v>
      </c>
      <c r="E6268" s="925" t="s">
        <v>2681</v>
      </c>
      <c r="F6268" s="926" t="s">
        <v>45</v>
      </c>
      <c r="G6268" s="910"/>
      <c r="H6268" s="911">
        <v>0.5</v>
      </c>
      <c r="I6268" s="912">
        <f>VLOOKUP(E6268,[3]VLP!$B$7:$K$300,10,0)</f>
        <v>23000</v>
      </c>
      <c r="J6268" s="912">
        <f t="shared" si="429"/>
        <v>11500</v>
      </c>
      <c r="K6268" s="912" t="s">
        <v>274</v>
      </c>
      <c r="L6268" s="912"/>
      <c r="M6268" s="912"/>
      <c r="N6268" s="912"/>
      <c r="O6268" s="892">
        <f t="shared" si="424"/>
        <v>0</v>
      </c>
      <c r="P6268" s="903">
        <f t="shared" si="425"/>
        <v>1</v>
      </c>
      <c r="Q6268" s="893">
        <f t="shared" si="426"/>
        <v>5</v>
      </c>
      <c r="R6268" s="894">
        <f t="shared" si="427"/>
        <v>0</v>
      </c>
    </row>
    <row r="6269" spans="1:18">
      <c r="A6269" s="905"/>
      <c r="B6269" s="906"/>
      <c r="C6269" s="907">
        <v>66</v>
      </c>
      <c r="D6269" s="907" t="s">
        <v>279</v>
      </c>
      <c r="E6269" s="925" t="s">
        <v>2682</v>
      </c>
      <c r="F6269" s="926" t="s">
        <v>45</v>
      </c>
      <c r="G6269" s="910"/>
      <c r="H6269" s="911">
        <v>0.25</v>
      </c>
      <c r="I6269" s="912">
        <f>VLOOKUP(E6269,[3]VLP!$B$7:$K$300,10,0)</f>
        <v>5000</v>
      </c>
      <c r="J6269" s="912">
        <f t="shared" si="429"/>
        <v>1250</v>
      </c>
      <c r="K6269" s="912" t="s">
        <v>274</v>
      </c>
      <c r="L6269" s="912"/>
      <c r="M6269" s="912"/>
      <c r="N6269" s="912"/>
      <c r="O6269" s="892">
        <f t="shared" si="424"/>
        <v>0</v>
      </c>
      <c r="P6269" s="903">
        <f t="shared" si="425"/>
        <v>1</v>
      </c>
      <c r="Q6269" s="893">
        <f t="shared" si="426"/>
        <v>4</v>
      </c>
      <c r="R6269" s="894">
        <f t="shared" si="427"/>
        <v>0</v>
      </c>
    </row>
    <row r="6270" spans="1:18">
      <c r="A6270" s="905"/>
      <c r="B6270" s="906"/>
      <c r="C6270" s="907">
        <v>699</v>
      </c>
      <c r="D6270" s="907" t="s">
        <v>279</v>
      </c>
      <c r="E6270" s="925" t="s">
        <v>4006</v>
      </c>
      <c r="F6270" s="926" t="s">
        <v>4007</v>
      </c>
      <c r="G6270" s="910"/>
      <c r="H6270" s="911">
        <v>5</v>
      </c>
      <c r="I6270" s="912">
        <f>VLOOKUP(E6270,[3]VLP!$B$7:$K$300,10,0)</f>
        <v>5000</v>
      </c>
      <c r="J6270" s="912">
        <f t="shared" si="429"/>
        <v>25000</v>
      </c>
      <c r="K6270" s="912" t="s">
        <v>274</v>
      </c>
      <c r="L6270" s="912"/>
      <c r="M6270" s="912"/>
      <c r="N6270" s="912"/>
      <c r="O6270" s="892">
        <f t="shared" si="424"/>
        <v>0</v>
      </c>
      <c r="P6270" s="903">
        <f t="shared" si="425"/>
        <v>1</v>
      </c>
      <c r="Q6270" s="893">
        <f t="shared" si="426"/>
        <v>3</v>
      </c>
      <c r="R6270" s="894">
        <f t="shared" si="427"/>
        <v>0</v>
      </c>
    </row>
    <row r="6271" spans="1:18" s="904" customFormat="1">
      <c r="A6271" s="895"/>
      <c r="B6271" s="896"/>
      <c r="C6271" s="897"/>
      <c r="D6271" s="897"/>
      <c r="E6271" s="924" t="s">
        <v>276</v>
      </c>
      <c r="F6271" s="927"/>
      <c r="G6271" s="928"/>
      <c r="H6271" s="901"/>
      <c r="I6271" s="902"/>
      <c r="J6271" s="902"/>
      <c r="K6271" s="912" t="s">
        <v>274</v>
      </c>
      <c r="L6271" s="902"/>
      <c r="M6271" s="902"/>
      <c r="N6271" s="902"/>
      <c r="O6271" s="892">
        <f t="shared" si="424"/>
        <v>0</v>
      </c>
      <c r="P6271" s="903">
        <f t="shared" si="425"/>
        <v>1</v>
      </c>
      <c r="Q6271" s="893">
        <f t="shared" si="426"/>
        <v>2</v>
      </c>
      <c r="R6271" s="894">
        <f t="shared" si="427"/>
        <v>0</v>
      </c>
    </row>
    <row r="6272" spans="1:18">
      <c r="A6272" s="905"/>
      <c r="B6272" s="906"/>
      <c r="C6272" s="907">
        <v>745</v>
      </c>
      <c r="D6272" s="907" t="s">
        <v>12</v>
      </c>
      <c r="E6272" s="908" t="s">
        <v>5518</v>
      </c>
      <c r="F6272" s="909" t="s">
        <v>2674</v>
      </c>
      <c r="G6272" s="910"/>
      <c r="H6272" s="911">
        <v>3.8</v>
      </c>
      <c r="I6272" s="912"/>
      <c r="J6272" s="912"/>
      <c r="K6272" s="912">
        <f>VLOOKUP(E6272,[5]ĐMNC!$A$7:$F$67,4,0)</f>
        <v>240557</v>
      </c>
      <c r="L6272" s="912">
        <f>H6272*K6272</f>
        <v>914116.6</v>
      </c>
      <c r="M6272" s="912"/>
      <c r="N6272" s="912"/>
      <c r="O6272" s="892">
        <f t="shared" si="424"/>
        <v>0</v>
      </c>
      <c r="P6272" s="903">
        <f t="shared" si="425"/>
        <v>1</v>
      </c>
      <c r="Q6272" s="893">
        <f t="shared" si="426"/>
        <v>1</v>
      </c>
      <c r="R6272" s="894">
        <f t="shared" si="427"/>
        <v>0</v>
      </c>
    </row>
    <row r="6273" spans="1:18" s="847" customFormat="1" ht="35.25" customHeight="1">
      <c r="A6273" s="905"/>
      <c r="B6273" s="914" t="s">
        <v>5933</v>
      </c>
      <c r="C6273" s="915"/>
      <c r="D6273" s="915"/>
      <c r="E6273" s="916" t="s">
        <v>5934</v>
      </c>
      <c r="F6273" s="917" t="s">
        <v>5834</v>
      </c>
      <c r="G6273" s="944"/>
      <c r="H6273" s="919"/>
      <c r="I6273" s="920"/>
      <c r="J6273" s="891">
        <f>SUM(J6274:J6285)</f>
        <v>249877.5</v>
      </c>
      <c r="K6273" s="891"/>
      <c r="L6273" s="891">
        <f>SUM(L6274:L6285)</f>
        <v>1000717.12</v>
      </c>
      <c r="M6273" s="891"/>
      <c r="N6273" s="891">
        <f>SUM(N6274:N6285)</f>
        <v>0</v>
      </c>
      <c r="O6273" s="892">
        <f t="shared" si="424"/>
        <v>1</v>
      </c>
      <c r="P6273" s="903">
        <f t="shared" si="425"/>
        <v>0</v>
      </c>
      <c r="Q6273" s="893">
        <f t="shared" si="426"/>
        <v>0</v>
      </c>
      <c r="R6273" s="894">
        <f t="shared" si="427"/>
        <v>12</v>
      </c>
    </row>
    <row r="6274" spans="1:18" s="904" customFormat="1">
      <c r="A6274" s="895"/>
      <c r="B6274" s="896"/>
      <c r="C6274" s="897"/>
      <c r="D6274" s="897"/>
      <c r="E6274" s="898" t="s">
        <v>108</v>
      </c>
      <c r="F6274" s="899"/>
      <c r="G6274" s="928"/>
      <c r="H6274" s="901"/>
      <c r="I6274" s="902"/>
      <c r="J6274" s="902"/>
      <c r="K6274" s="912" t="s">
        <v>274</v>
      </c>
      <c r="L6274" s="902"/>
      <c r="M6274" s="902"/>
      <c r="N6274" s="902"/>
      <c r="O6274" s="892">
        <f t="shared" si="424"/>
        <v>0</v>
      </c>
      <c r="P6274" s="903">
        <f t="shared" si="425"/>
        <v>1</v>
      </c>
      <c r="Q6274" s="893">
        <f t="shared" si="426"/>
        <v>12</v>
      </c>
      <c r="R6274" s="894">
        <f t="shared" si="427"/>
        <v>0</v>
      </c>
    </row>
    <row r="6275" spans="1:18">
      <c r="A6275" s="905"/>
      <c r="B6275" s="906"/>
      <c r="C6275" s="907">
        <v>97</v>
      </c>
      <c r="D6275" s="907" t="s">
        <v>279</v>
      </c>
      <c r="E6275" s="925" t="s">
        <v>5866</v>
      </c>
      <c r="F6275" s="909" t="s">
        <v>51</v>
      </c>
      <c r="G6275" s="910"/>
      <c r="H6275" s="911">
        <v>1</v>
      </c>
      <c r="I6275" s="912">
        <f>VLOOKUP(E6275,[3]VLP!$B$7:$K$300,10,0)</f>
        <v>40560</v>
      </c>
      <c r="J6275" s="912">
        <f t="shared" ref="J6275:J6283" si="430">I6275*H6275</f>
        <v>40560</v>
      </c>
      <c r="K6275" s="912" t="s">
        <v>274</v>
      </c>
      <c r="L6275" s="912"/>
      <c r="M6275" s="912"/>
      <c r="N6275" s="912"/>
      <c r="O6275" s="892">
        <f t="shared" si="424"/>
        <v>0</v>
      </c>
      <c r="P6275" s="903">
        <f t="shared" si="425"/>
        <v>1</v>
      </c>
      <c r="Q6275" s="893">
        <f t="shared" si="426"/>
        <v>11</v>
      </c>
      <c r="R6275" s="894">
        <f t="shared" si="427"/>
        <v>0</v>
      </c>
    </row>
    <row r="6276" spans="1:18">
      <c r="A6276" s="905"/>
      <c r="B6276" s="906"/>
      <c r="C6276" s="907">
        <v>49</v>
      </c>
      <c r="D6276" s="907" t="s">
        <v>279</v>
      </c>
      <c r="E6276" s="925" t="s">
        <v>5698</v>
      </c>
      <c r="F6276" s="909" t="s">
        <v>139</v>
      </c>
      <c r="G6276" s="910"/>
      <c r="H6276" s="911">
        <v>2</v>
      </c>
      <c r="I6276" s="912">
        <f>VLOOKUP(E6276,[3]VLP!$B$7:$K$300,10,0)</f>
        <v>3000</v>
      </c>
      <c r="J6276" s="912">
        <f t="shared" si="430"/>
        <v>6000</v>
      </c>
      <c r="K6276" s="912" t="s">
        <v>274</v>
      </c>
      <c r="L6276" s="912"/>
      <c r="M6276" s="912"/>
      <c r="N6276" s="912"/>
      <c r="O6276" s="892">
        <f t="shared" si="424"/>
        <v>0</v>
      </c>
      <c r="P6276" s="903">
        <f t="shared" si="425"/>
        <v>1</v>
      </c>
      <c r="Q6276" s="893">
        <f t="shared" si="426"/>
        <v>10</v>
      </c>
      <c r="R6276" s="894">
        <f t="shared" si="427"/>
        <v>0</v>
      </c>
    </row>
    <row r="6277" spans="1:18">
      <c r="A6277" s="905"/>
      <c r="B6277" s="906"/>
      <c r="C6277" s="907">
        <v>50</v>
      </c>
      <c r="D6277" s="907" t="s">
        <v>279</v>
      </c>
      <c r="E6277" s="925" t="s">
        <v>5836</v>
      </c>
      <c r="F6277" s="909" t="s">
        <v>49</v>
      </c>
      <c r="G6277" s="910"/>
      <c r="H6277" s="911">
        <v>1</v>
      </c>
      <c r="I6277" s="912">
        <f>VLOOKUP(E6277,[3]VLP!$B$7:$K$300,10,0)</f>
        <v>85790</v>
      </c>
      <c r="J6277" s="912">
        <f t="shared" si="430"/>
        <v>85790</v>
      </c>
      <c r="K6277" s="912" t="s">
        <v>274</v>
      </c>
      <c r="L6277" s="912"/>
      <c r="M6277" s="912"/>
      <c r="N6277" s="912"/>
      <c r="O6277" s="892">
        <f t="shared" si="424"/>
        <v>0</v>
      </c>
      <c r="P6277" s="903">
        <f t="shared" si="425"/>
        <v>1</v>
      </c>
      <c r="Q6277" s="893">
        <f t="shared" si="426"/>
        <v>9</v>
      </c>
      <c r="R6277" s="894">
        <f t="shared" si="427"/>
        <v>0</v>
      </c>
    </row>
    <row r="6278" spans="1:18">
      <c r="A6278" s="905"/>
      <c r="B6278" s="906"/>
      <c r="C6278" s="907">
        <v>46</v>
      </c>
      <c r="D6278" s="907" t="s">
        <v>279</v>
      </c>
      <c r="E6278" s="925" t="s">
        <v>3179</v>
      </c>
      <c r="F6278" s="909" t="s">
        <v>45</v>
      </c>
      <c r="G6278" s="910"/>
      <c r="H6278" s="911">
        <v>2.8</v>
      </c>
      <c r="I6278" s="912">
        <f>VLOOKUP(E6278,[3]VLP!$B$7:$K$300,10,0)</f>
        <v>20500</v>
      </c>
      <c r="J6278" s="912">
        <f t="shared" si="430"/>
        <v>57399.999999999993</v>
      </c>
      <c r="K6278" s="912" t="s">
        <v>274</v>
      </c>
      <c r="L6278" s="912"/>
      <c r="M6278" s="912"/>
      <c r="N6278" s="912"/>
      <c r="O6278" s="892">
        <f t="shared" si="424"/>
        <v>0</v>
      </c>
      <c r="P6278" s="903">
        <f t="shared" si="425"/>
        <v>1</v>
      </c>
      <c r="Q6278" s="893">
        <f t="shared" si="426"/>
        <v>8</v>
      </c>
      <c r="R6278" s="894">
        <f t="shared" si="427"/>
        <v>0</v>
      </c>
    </row>
    <row r="6279" spans="1:18">
      <c r="A6279" s="905"/>
      <c r="B6279" s="906"/>
      <c r="C6279" s="907">
        <v>25</v>
      </c>
      <c r="D6279" s="907" t="s">
        <v>279</v>
      </c>
      <c r="E6279" s="925" t="s">
        <v>5656</v>
      </c>
      <c r="F6279" s="926" t="s">
        <v>2690</v>
      </c>
      <c r="G6279" s="910"/>
      <c r="H6279" s="911">
        <v>1.5</v>
      </c>
      <c r="I6279" s="912">
        <f>VLOOKUP(E6279,[3]VLP!$B$7:$K$300,10,0)</f>
        <v>5000</v>
      </c>
      <c r="J6279" s="912">
        <f t="shared" si="430"/>
        <v>7500</v>
      </c>
      <c r="K6279" s="912" t="s">
        <v>274</v>
      </c>
      <c r="L6279" s="912"/>
      <c r="M6279" s="912"/>
      <c r="N6279" s="912"/>
      <c r="O6279" s="892">
        <f t="shared" si="424"/>
        <v>0</v>
      </c>
      <c r="P6279" s="903">
        <f t="shared" si="425"/>
        <v>1</v>
      </c>
      <c r="Q6279" s="893">
        <f t="shared" si="426"/>
        <v>7</v>
      </c>
      <c r="R6279" s="894">
        <f t="shared" si="427"/>
        <v>0</v>
      </c>
    </row>
    <row r="6280" spans="1:18">
      <c r="A6280" s="905"/>
      <c r="B6280" s="906"/>
      <c r="C6280" s="907">
        <v>127</v>
      </c>
      <c r="D6280" s="907" t="s">
        <v>279</v>
      </c>
      <c r="E6280" s="925" t="s">
        <v>5657</v>
      </c>
      <c r="F6280" s="909" t="s">
        <v>45</v>
      </c>
      <c r="G6280" s="910"/>
      <c r="H6280" s="911">
        <v>0.5</v>
      </c>
      <c r="I6280" s="912">
        <f>VLOOKUP(E6280,[3]VLP!$B$7:$K$300,10,0)</f>
        <v>25155</v>
      </c>
      <c r="J6280" s="912">
        <f t="shared" si="430"/>
        <v>12577.5</v>
      </c>
      <c r="K6280" s="912" t="s">
        <v>274</v>
      </c>
      <c r="L6280" s="912"/>
      <c r="M6280" s="912"/>
      <c r="N6280" s="912"/>
      <c r="O6280" s="892">
        <f t="shared" si="424"/>
        <v>0</v>
      </c>
      <c r="P6280" s="903">
        <f t="shared" si="425"/>
        <v>1</v>
      </c>
      <c r="Q6280" s="893">
        <f t="shared" si="426"/>
        <v>6</v>
      </c>
      <c r="R6280" s="894">
        <f t="shared" si="427"/>
        <v>0</v>
      </c>
    </row>
    <row r="6281" spans="1:18">
      <c r="A6281" s="905"/>
      <c r="B6281" s="906"/>
      <c r="C6281" s="907">
        <v>44</v>
      </c>
      <c r="D6281" s="907" t="s">
        <v>279</v>
      </c>
      <c r="E6281" s="925" t="s">
        <v>2681</v>
      </c>
      <c r="F6281" s="926" t="s">
        <v>45</v>
      </c>
      <c r="G6281" s="910"/>
      <c r="H6281" s="911">
        <v>0.6</v>
      </c>
      <c r="I6281" s="912">
        <f>VLOOKUP(E6281,[3]VLP!$B$7:$K$300,10,0)</f>
        <v>23000</v>
      </c>
      <c r="J6281" s="912">
        <f t="shared" si="430"/>
        <v>13800</v>
      </c>
      <c r="K6281" s="912" t="s">
        <v>274</v>
      </c>
      <c r="L6281" s="912"/>
      <c r="M6281" s="912"/>
      <c r="N6281" s="912"/>
      <c r="O6281" s="892">
        <f t="shared" si="424"/>
        <v>0</v>
      </c>
      <c r="P6281" s="903">
        <f t="shared" si="425"/>
        <v>1</v>
      </c>
      <c r="Q6281" s="893">
        <f t="shared" si="426"/>
        <v>5</v>
      </c>
      <c r="R6281" s="894">
        <f t="shared" si="427"/>
        <v>0</v>
      </c>
    </row>
    <row r="6282" spans="1:18">
      <c r="A6282" s="905"/>
      <c r="B6282" s="906"/>
      <c r="C6282" s="907">
        <v>66</v>
      </c>
      <c r="D6282" s="907" t="s">
        <v>279</v>
      </c>
      <c r="E6282" s="925" t="s">
        <v>2682</v>
      </c>
      <c r="F6282" s="926" t="s">
        <v>45</v>
      </c>
      <c r="G6282" s="910"/>
      <c r="H6282" s="911">
        <v>0.25</v>
      </c>
      <c r="I6282" s="912">
        <f>VLOOKUP(E6282,[3]VLP!$B$7:$K$300,10,0)</f>
        <v>5000</v>
      </c>
      <c r="J6282" s="912">
        <f t="shared" si="430"/>
        <v>1250</v>
      </c>
      <c r="K6282" s="912" t="s">
        <v>274</v>
      </c>
      <c r="L6282" s="912"/>
      <c r="M6282" s="912"/>
      <c r="N6282" s="912"/>
      <c r="O6282" s="892">
        <f t="shared" si="424"/>
        <v>0</v>
      </c>
      <c r="P6282" s="903">
        <f t="shared" si="425"/>
        <v>1</v>
      </c>
      <c r="Q6282" s="893">
        <f t="shared" si="426"/>
        <v>4</v>
      </c>
      <c r="R6282" s="894">
        <f t="shared" si="427"/>
        <v>0</v>
      </c>
    </row>
    <row r="6283" spans="1:18">
      <c r="A6283" s="905"/>
      <c r="B6283" s="906"/>
      <c r="C6283" s="907">
        <v>699</v>
      </c>
      <c r="D6283" s="907" t="s">
        <v>279</v>
      </c>
      <c r="E6283" s="925" t="s">
        <v>4006</v>
      </c>
      <c r="F6283" s="926" t="s">
        <v>4007</v>
      </c>
      <c r="G6283" s="910"/>
      <c r="H6283" s="911">
        <v>5</v>
      </c>
      <c r="I6283" s="912">
        <f>VLOOKUP(E6283,[3]VLP!$B$7:$K$300,10,0)</f>
        <v>5000</v>
      </c>
      <c r="J6283" s="912">
        <f t="shared" si="430"/>
        <v>25000</v>
      </c>
      <c r="K6283" s="912" t="s">
        <v>274</v>
      </c>
      <c r="L6283" s="912"/>
      <c r="M6283" s="912"/>
      <c r="N6283" s="912"/>
      <c r="O6283" s="892">
        <f t="shared" si="424"/>
        <v>0</v>
      </c>
      <c r="P6283" s="903">
        <f t="shared" si="425"/>
        <v>1</v>
      </c>
      <c r="Q6283" s="893">
        <f t="shared" si="426"/>
        <v>3</v>
      </c>
      <c r="R6283" s="894">
        <f t="shared" si="427"/>
        <v>0</v>
      </c>
    </row>
    <row r="6284" spans="1:18" s="904" customFormat="1">
      <c r="A6284" s="895"/>
      <c r="B6284" s="896"/>
      <c r="C6284" s="897"/>
      <c r="D6284" s="897"/>
      <c r="E6284" s="924" t="s">
        <v>276</v>
      </c>
      <c r="F6284" s="927"/>
      <c r="G6284" s="928"/>
      <c r="H6284" s="901"/>
      <c r="I6284" s="902"/>
      <c r="J6284" s="902"/>
      <c r="K6284" s="912" t="s">
        <v>274</v>
      </c>
      <c r="L6284" s="902"/>
      <c r="M6284" s="902"/>
      <c r="N6284" s="902"/>
      <c r="O6284" s="892">
        <f t="shared" si="424"/>
        <v>0</v>
      </c>
      <c r="P6284" s="903">
        <f t="shared" si="425"/>
        <v>1</v>
      </c>
      <c r="Q6284" s="893">
        <f t="shared" si="426"/>
        <v>2</v>
      </c>
      <c r="R6284" s="894">
        <f t="shared" si="427"/>
        <v>0</v>
      </c>
    </row>
    <row r="6285" spans="1:18">
      <c r="A6285" s="905"/>
      <c r="B6285" s="906"/>
      <c r="C6285" s="907">
        <v>745</v>
      </c>
      <c r="D6285" s="907" t="s">
        <v>12</v>
      </c>
      <c r="E6285" s="908" t="s">
        <v>5518</v>
      </c>
      <c r="F6285" s="909" t="s">
        <v>2674</v>
      </c>
      <c r="G6285" s="910"/>
      <c r="H6285" s="911">
        <v>4.16</v>
      </c>
      <c r="I6285" s="912"/>
      <c r="J6285" s="912"/>
      <c r="K6285" s="912">
        <f>VLOOKUP(E6285,[5]ĐMNC!$A$7:$F$67,4,0)</f>
        <v>240557</v>
      </c>
      <c r="L6285" s="912">
        <f>H6285*K6285</f>
        <v>1000717.12</v>
      </c>
      <c r="M6285" s="912"/>
      <c r="N6285" s="912"/>
      <c r="O6285" s="892">
        <f t="shared" si="424"/>
        <v>0</v>
      </c>
      <c r="P6285" s="903">
        <f t="shared" si="425"/>
        <v>1</v>
      </c>
      <c r="Q6285" s="893">
        <f t="shared" si="426"/>
        <v>1</v>
      </c>
      <c r="R6285" s="894">
        <f t="shared" si="427"/>
        <v>0</v>
      </c>
    </row>
    <row r="6286" spans="1:18" s="847" customFormat="1" ht="35.25" customHeight="1">
      <c r="A6286" s="905" t="s">
        <v>5881</v>
      </c>
      <c r="B6286" s="914" t="s">
        <v>5935</v>
      </c>
      <c r="C6286" s="915"/>
      <c r="D6286" s="915"/>
      <c r="E6286" s="916" t="s">
        <v>5936</v>
      </c>
      <c r="F6286" s="917" t="s">
        <v>5834</v>
      </c>
      <c r="G6286" s="944"/>
      <c r="H6286" s="919"/>
      <c r="I6286" s="920"/>
      <c r="J6286" s="891">
        <f>SUM(J6287:J6298)</f>
        <v>271237.5</v>
      </c>
      <c r="K6286" s="891"/>
      <c r="L6286" s="891">
        <f>SUM(L6287:L6298)</f>
        <v>1116184.48</v>
      </c>
      <c r="M6286" s="891"/>
      <c r="N6286" s="891">
        <f>SUM(N6287:N6298)</f>
        <v>0</v>
      </c>
      <c r="O6286" s="892">
        <f t="shared" si="424"/>
        <v>1</v>
      </c>
      <c r="P6286" s="903">
        <f t="shared" si="425"/>
        <v>0</v>
      </c>
      <c r="Q6286" s="893">
        <f t="shared" si="426"/>
        <v>0</v>
      </c>
      <c r="R6286" s="894">
        <f t="shared" si="427"/>
        <v>12</v>
      </c>
    </row>
    <row r="6287" spans="1:18" s="904" customFormat="1">
      <c r="A6287" s="895"/>
      <c r="B6287" s="896"/>
      <c r="C6287" s="897"/>
      <c r="D6287" s="897"/>
      <c r="E6287" s="898" t="s">
        <v>108</v>
      </c>
      <c r="F6287" s="899"/>
      <c r="G6287" s="928"/>
      <c r="H6287" s="901"/>
      <c r="I6287" s="902"/>
      <c r="J6287" s="902"/>
      <c r="K6287" s="912" t="s">
        <v>274</v>
      </c>
      <c r="L6287" s="902"/>
      <c r="M6287" s="902"/>
      <c r="N6287" s="902"/>
      <c r="O6287" s="892">
        <f t="shared" si="424"/>
        <v>0</v>
      </c>
      <c r="P6287" s="903">
        <f t="shared" si="425"/>
        <v>1</v>
      </c>
      <c r="Q6287" s="893">
        <f t="shared" si="426"/>
        <v>12</v>
      </c>
      <c r="R6287" s="894">
        <f t="shared" si="427"/>
        <v>0</v>
      </c>
    </row>
    <row r="6288" spans="1:18">
      <c r="A6288" s="905"/>
      <c r="B6288" s="906"/>
      <c r="C6288" s="907">
        <v>98</v>
      </c>
      <c r="D6288" s="907" t="s">
        <v>279</v>
      </c>
      <c r="E6288" s="925" t="s">
        <v>5869</v>
      </c>
      <c r="F6288" s="909" t="s">
        <v>51</v>
      </c>
      <c r="G6288" s="910"/>
      <c r="H6288" s="911">
        <v>1</v>
      </c>
      <c r="I6288" s="912">
        <f>VLOOKUP(E6288,[3]VLP!$B$7:$K$300,10,0)</f>
        <v>47320</v>
      </c>
      <c r="J6288" s="912">
        <f t="shared" ref="J6288:J6296" si="431">I6288*H6288</f>
        <v>47320</v>
      </c>
      <c r="K6288" s="912" t="s">
        <v>274</v>
      </c>
      <c r="L6288" s="912"/>
      <c r="M6288" s="912"/>
      <c r="N6288" s="912"/>
      <c r="O6288" s="892">
        <f t="shared" si="424"/>
        <v>0</v>
      </c>
      <c r="P6288" s="903">
        <f t="shared" si="425"/>
        <v>1</v>
      </c>
      <c r="Q6288" s="893">
        <f t="shared" si="426"/>
        <v>11</v>
      </c>
      <c r="R6288" s="894">
        <f t="shared" si="427"/>
        <v>0</v>
      </c>
    </row>
    <row r="6289" spans="1:18">
      <c r="A6289" s="905"/>
      <c r="B6289" s="906"/>
      <c r="C6289" s="907">
        <v>49</v>
      </c>
      <c r="D6289" s="907" t="s">
        <v>279</v>
      </c>
      <c r="E6289" s="925" t="s">
        <v>5698</v>
      </c>
      <c r="F6289" s="909" t="s">
        <v>139</v>
      </c>
      <c r="G6289" s="910"/>
      <c r="H6289" s="911">
        <v>2</v>
      </c>
      <c r="I6289" s="912">
        <f>VLOOKUP(E6289,[3]VLP!$B$7:$K$300,10,0)</f>
        <v>3000</v>
      </c>
      <c r="J6289" s="912">
        <f t="shared" si="431"/>
        <v>6000</v>
      </c>
      <c r="K6289" s="912" t="s">
        <v>274</v>
      </c>
      <c r="L6289" s="912"/>
      <c r="M6289" s="912"/>
      <c r="N6289" s="912"/>
      <c r="O6289" s="892">
        <f t="shared" si="424"/>
        <v>0</v>
      </c>
      <c r="P6289" s="903">
        <f t="shared" si="425"/>
        <v>1</v>
      </c>
      <c r="Q6289" s="893">
        <f t="shared" si="426"/>
        <v>10</v>
      </c>
      <c r="R6289" s="894">
        <f t="shared" si="427"/>
        <v>0</v>
      </c>
    </row>
    <row r="6290" spans="1:18">
      <c r="A6290" s="905"/>
      <c r="B6290" s="906"/>
      <c r="C6290" s="907">
        <v>50</v>
      </c>
      <c r="D6290" s="907" t="s">
        <v>279</v>
      </c>
      <c r="E6290" s="925" t="s">
        <v>5836</v>
      </c>
      <c r="F6290" s="909" t="s">
        <v>49</v>
      </c>
      <c r="G6290" s="910"/>
      <c r="H6290" s="911">
        <v>1</v>
      </c>
      <c r="I6290" s="912">
        <f>VLOOKUP(E6290,[3]VLP!$B$7:$K$300,10,0)</f>
        <v>85790</v>
      </c>
      <c r="J6290" s="912">
        <f t="shared" si="431"/>
        <v>85790</v>
      </c>
      <c r="K6290" s="912" t="s">
        <v>274</v>
      </c>
      <c r="L6290" s="912"/>
      <c r="M6290" s="912"/>
      <c r="N6290" s="912"/>
      <c r="O6290" s="892">
        <f t="shared" si="424"/>
        <v>0</v>
      </c>
      <c r="P6290" s="903">
        <f t="shared" si="425"/>
        <v>1</v>
      </c>
      <c r="Q6290" s="893">
        <f t="shared" si="426"/>
        <v>9</v>
      </c>
      <c r="R6290" s="894">
        <f t="shared" si="427"/>
        <v>0</v>
      </c>
    </row>
    <row r="6291" spans="1:18">
      <c r="A6291" s="905"/>
      <c r="B6291" s="906"/>
      <c r="C6291" s="907">
        <v>46</v>
      </c>
      <c r="D6291" s="907" t="s">
        <v>279</v>
      </c>
      <c r="E6291" s="925" t="s">
        <v>3179</v>
      </c>
      <c r="F6291" s="909" t="s">
        <v>45</v>
      </c>
      <c r="G6291" s="910"/>
      <c r="H6291" s="911">
        <v>3.5</v>
      </c>
      <c r="I6291" s="912">
        <f>VLOOKUP(E6291,[3]VLP!$B$7:$K$300,10,0)</f>
        <v>20500</v>
      </c>
      <c r="J6291" s="912">
        <f t="shared" si="431"/>
        <v>71750</v>
      </c>
      <c r="K6291" s="912" t="s">
        <v>274</v>
      </c>
      <c r="L6291" s="912"/>
      <c r="M6291" s="912"/>
      <c r="N6291" s="912"/>
      <c r="O6291" s="892">
        <f t="shared" si="424"/>
        <v>0</v>
      </c>
      <c r="P6291" s="903">
        <f t="shared" si="425"/>
        <v>1</v>
      </c>
      <c r="Q6291" s="893">
        <f t="shared" si="426"/>
        <v>8</v>
      </c>
      <c r="R6291" s="894">
        <f t="shared" si="427"/>
        <v>0</v>
      </c>
    </row>
    <row r="6292" spans="1:18">
      <c r="A6292" s="905"/>
      <c r="B6292" s="906"/>
      <c r="C6292" s="907">
        <v>25</v>
      </c>
      <c r="D6292" s="907" t="s">
        <v>279</v>
      </c>
      <c r="E6292" s="925" t="s">
        <v>5656</v>
      </c>
      <c r="F6292" s="926" t="s">
        <v>2690</v>
      </c>
      <c r="G6292" s="910"/>
      <c r="H6292" s="911">
        <v>1.5</v>
      </c>
      <c r="I6292" s="912">
        <f>VLOOKUP(E6292,[3]VLP!$B$7:$K$300,10,0)</f>
        <v>5000</v>
      </c>
      <c r="J6292" s="912">
        <f t="shared" si="431"/>
        <v>7500</v>
      </c>
      <c r="K6292" s="912" t="s">
        <v>274</v>
      </c>
      <c r="L6292" s="912"/>
      <c r="M6292" s="912"/>
      <c r="N6292" s="912"/>
      <c r="O6292" s="892">
        <f t="shared" si="424"/>
        <v>0</v>
      </c>
      <c r="P6292" s="903">
        <f t="shared" si="425"/>
        <v>1</v>
      </c>
      <c r="Q6292" s="893">
        <f t="shared" si="426"/>
        <v>7</v>
      </c>
      <c r="R6292" s="894">
        <f t="shared" si="427"/>
        <v>0</v>
      </c>
    </row>
    <row r="6293" spans="1:18">
      <c r="A6293" s="905"/>
      <c r="B6293" s="906"/>
      <c r="C6293" s="907">
        <v>127</v>
      </c>
      <c r="D6293" s="907" t="s">
        <v>279</v>
      </c>
      <c r="E6293" s="925" t="s">
        <v>5657</v>
      </c>
      <c r="F6293" s="909" t="s">
        <v>45</v>
      </c>
      <c r="G6293" s="910"/>
      <c r="H6293" s="911">
        <v>0.5</v>
      </c>
      <c r="I6293" s="912">
        <f>VLOOKUP(E6293,[3]VLP!$B$7:$K$300,10,0)</f>
        <v>25155</v>
      </c>
      <c r="J6293" s="912">
        <f t="shared" si="431"/>
        <v>12577.5</v>
      </c>
      <c r="K6293" s="912" t="s">
        <v>274</v>
      </c>
      <c r="L6293" s="912"/>
      <c r="M6293" s="912"/>
      <c r="N6293" s="912"/>
      <c r="O6293" s="892">
        <f t="shared" si="424"/>
        <v>0</v>
      </c>
      <c r="P6293" s="903">
        <f t="shared" si="425"/>
        <v>1</v>
      </c>
      <c r="Q6293" s="893">
        <f t="shared" si="426"/>
        <v>6</v>
      </c>
      <c r="R6293" s="894">
        <f t="shared" si="427"/>
        <v>0</v>
      </c>
    </row>
    <row r="6294" spans="1:18">
      <c r="A6294" s="905"/>
      <c r="B6294" s="906"/>
      <c r="C6294" s="907">
        <v>44</v>
      </c>
      <c r="D6294" s="907" t="s">
        <v>279</v>
      </c>
      <c r="E6294" s="925" t="s">
        <v>2681</v>
      </c>
      <c r="F6294" s="926" t="s">
        <v>45</v>
      </c>
      <c r="G6294" s="910"/>
      <c r="H6294" s="911">
        <v>0.6</v>
      </c>
      <c r="I6294" s="912">
        <f>VLOOKUP(E6294,[3]VLP!$B$7:$K$300,10,0)</f>
        <v>23000</v>
      </c>
      <c r="J6294" s="912">
        <f t="shared" si="431"/>
        <v>13800</v>
      </c>
      <c r="K6294" s="912" t="s">
        <v>274</v>
      </c>
      <c r="L6294" s="912"/>
      <c r="M6294" s="912"/>
      <c r="N6294" s="912"/>
      <c r="O6294" s="892">
        <f t="shared" si="424"/>
        <v>0</v>
      </c>
      <c r="P6294" s="903">
        <f t="shared" si="425"/>
        <v>1</v>
      </c>
      <c r="Q6294" s="893">
        <f t="shared" si="426"/>
        <v>5</v>
      </c>
      <c r="R6294" s="894">
        <f t="shared" si="427"/>
        <v>0</v>
      </c>
    </row>
    <row r="6295" spans="1:18">
      <c r="A6295" s="905"/>
      <c r="B6295" s="906"/>
      <c r="C6295" s="907">
        <v>66</v>
      </c>
      <c r="D6295" s="907" t="s">
        <v>279</v>
      </c>
      <c r="E6295" s="925" t="s">
        <v>2682</v>
      </c>
      <c r="F6295" s="926" t="s">
        <v>45</v>
      </c>
      <c r="G6295" s="910"/>
      <c r="H6295" s="911">
        <v>0.3</v>
      </c>
      <c r="I6295" s="912">
        <f>VLOOKUP(E6295,[3]VLP!$B$7:$K$300,10,0)</f>
        <v>5000</v>
      </c>
      <c r="J6295" s="912">
        <f t="shared" si="431"/>
        <v>1500</v>
      </c>
      <c r="K6295" s="912" t="s">
        <v>274</v>
      </c>
      <c r="L6295" s="912"/>
      <c r="M6295" s="912"/>
      <c r="N6295" s="912"/>
      <c r="O6295" s="892">
        <f t="shared" si="424"/>
        <v>0</v>
      </c>
      <c r="P6295" s="903">
        <f t="shared" si="425"/>
        <v>1</v>
      </c>
      <c r="Q6295" s="893">
        <f t="shared" si="426"/>
        <v>4</v>
      </c>
      <c r="R6295" s="894">
        <f t="shared" si="427"/>
        <v>0</v>
      </c>
    </row>
    <row r="6296" spans="1:18">
      <c r="A6296" s="905"/>
      <c r="B6296" s="906"/>
      <c r="C6296" s="907">
        <v>699</v>
      </c>
      <c r="D6296" s="907" t="s">
        <v>279</v>
      </c>
      <c r="E6296" s="925" t="s">
        <v>4006</v>
      </c>
      <c r="F6296" s="926" t="s">
        <v>4007</v>
      </c>
      <c r="G6296" s="910"/>
      <c r="H6296" s="911">
        <v>5</v>
      </c>
      <c r="I6296" s="912">
        <f>VLOOKUP(E6296,[3]VLP!$B$7:$K$300,10,0)</f>
        <v>5000</v>
      </c>
      <c r="J6296" s="912">
        <f t="shared" si="431"/>
        <v>25000</v>
      </c>
      <c r="K6296" s="912" t="s">
        <v>274</v>
      </c>
      <c r="L6296" s="912"/>
      <c r="M6296" s="912"/>
      <c r="N6296" s="912"/>
      <c r="O6296" s="892">
        <f t="shared" si="424"/>
        <v>0</v>
      </c>
      <c r="P6296" s="903">
        <f t="shared" si="425"/>
        <v>1</v>
      </c>
      <c r="Q6296" s="893">
        <f t="shared" si="426"/>
        <v>3</v>
      </c>
      <c r="R6296" s="894">
        <f t="shared" si="427"/>
        <v>0</v>
      </c>
    </row>
    <row r="6297" spans="1:18" s="904" customFormat="1">
      <c r="A6297" s="895"/>
      <c r="B6297" s="896"/>
      <c r="C6297" s="897"/>
      <c r="D6297" s="897"/>
      <c r="E6297" s="924" t="s">
        <v>276</v>
      </c>
      <c r="F6297" s="927"/>
      <c r="G6297" s="928"/>
      <c r="H6297" s="901"/>
      <c r="I6297" s="902"/>
      <c r="J6297" s="902"/>
      <c r="K6297" s="912" t="s">
        <v>274</v>
      </c>
      <c r="L6297" s="902"/>
      <c r="M6297" s="902"/>
      <c r="N6297" s="902"/>
      <c r="O6297" s="892">
        <f t="shared" si="424"/>
        <v>0</v>
      </c>
      <c r="P6297" s="903">
        <f t="shared" si="425"/>
        <v>1</v>
      </c>
      <c r="Q6297" s="893">
        <f t="shared" si="426"/>
        <v>2</v>
      </c>
      <c r="R6297" s="894">
        <f t="shared" si="427"/>
        <v>0</v>
      </c>
    </row>
    <row r="6298" spans="1:18">
      <c r="A6298" s="905"/>
      <c r="B6298" s="906"/>
      <c r="C6298" s="907">
        <v>745</v>
      </c>
      <c r="D6298" s="907" t="s">
        <v>12</v>
      </c>
      <c r="E6298" s="908" t="s">
        <v>5518</v>
      </c>
      <c r="F6298" s="909" t="s">
        <v>2674</v>
      </c>
      <c r="G6298" s="910"/>
      <c r="H6298" s="911">
        <v>4.6399999999999997</v>
      </c>
      <c r="I6298" s="912"/>
      <c r="J6298" s="912"/>
      <c r="K6298" s="912">
        <f>VLOOKUP(E6298,[5]ĐMNC!$A$7:$F$67,4,0)</f>
        <v>240557</v>
      </c>
      <c r="L6298" s="912">
        <f>H6298*K6298</f>
        <v>1116184.48</v>
      </c>
      <c r="M6298" s="912"/>
      <c r="N6298" s="912"/>
      <c r="O6298" s="892">
        <f t="shared" si="424"/>
        <v>0</v>
      </c>
      <c r="P6298" s="903">
        <f t="shared" si="425"/>
        <v>1</v>
      </c>
      <c r="Q6298" s="893">
        <f t="shared" si="426"/>
        <v>1</v>
      </c>
      <c r="R6298" s="894">
        <f t="shared" si="427"/>
        <v>0</v>
      </c>
    </row>
    <row r="6299" spans="1:18" s="847" customFormat="1" ht="35.25" customHeight="1">
      <c r="A6299" s="905"/>
      <c r="B6299" s="914" t="s">
        <v>5937</v>
      </c>
      <c r="C6299" s="915"/>
      <c r="D6299" s="915"/>
      <c r="E6299" s="916" t="s">
        <v>5938</v>
      </c>
      <c r="F6299" s="917" t="s">
        <v>5834</v>
      </c>
      <c r="G6299" s="944"/>
      <c r="H6299" s="919"/>
      <c r="I6299" s="920"/>
      <c r="J6299" s="891">
        <f>SUM(J6300:J6311)</f>
        <v>315287.5</v>
      </c>
      <c r="K6299" s="891"/>
      <c r="L6299" s="891">
        <f>SUM(L6300:L6311)</f>
        <v>1229246.27</v>
      </c>
      <c r="M6299" s="891"/>
      <c r="N6299" s="891">
        <f>SUM(N6300:N6311)</f>
        <v>0</v>
      </c>
      <c r="O6299" s="892">
        <f t="shared" si="424"/>
        <v>1</v>
      </c>
      <c r="P6299" s="903">
        <f t="shared" si="425"/>
        <v>0</v>
      </c>
      <c r="Q6299" s="893">
        <f t="shared" si="426"/>
        <v>0</v>
      </c>
      <c r="R6299" s="894">
        <f t="shared" si="427"/>
        <v>12</v>
      </c>
    </row>
    <row r="6300" spans="1:18" s="904" customFormat="1">
      <c r="A6300" s="895"/>
      <c r="B6300" s="896"/>
      <c r="C6300" s="897"/>
      <c r="D6300" s="897"/>
      <c r="E6300" s="898" t="s">
        <v>108</v>
      </c>
      <c r="F6300" s="899"/>
      <c r="G6300" s="928"/>
      <c r="H6300" s="901"/>
      <c r="I6300" s="902"/>
      <c r="J6300" s="902"/>
      <c r="K6300" s="912" t="s">
        <v>274</v>
      </c>
      <c r="L6300" s="902"/>
      <c r="M6300" s="902"/>
      <c r="N6300" s="902"/>
      <c r="O6300" s="892">
        <f t="shared" si="424"/>
        <v>0</v>
      </c>
      <c r="P6300" s="903">
        <f t="shared" si="425"/>
        <v>1</v>
      </c>
      <c r="Q6300" s="893">
        <f t="shared" si="426"/>
        <v>12</v>
      </c>
      <c r="R6300" s="894">
        <f t="shared" si="427"/>
        <v>0</v>
      </c>
    </row>
    <row r="6301" spans="1:18">
      <c r="A6301" s="905"/>
      <c r="B6301" s="906"/>
      <c r="C6301" s="907">
        <v>99</v>
      </c>
      <c r="D6301" s="907" t="s">
        <v>279</v>
      </c>
      <c r="E6301" s="925" t="s">
        <v>5872</v>
      </c>
      <c r="F6301" s="909" t="s">
        <v>51</v>
      </c>
      <c r="G6301" s="910"/>
      <c r="H6301" s="911">
        <v>1</v>
      </c>
      <c r="I6301" s="912">
        <f>VLOOKUP(E6301,[3]VLP!$B$7:$K$300,10,0)</f>
        <v>81120</v>
      </c>
      <c r="J6301" s="912">
        <f t="shared" ref="J6301:J6309" si="432">I6301*H6301</f>
        <v>81120</v>
      </c>
      <c r="K6301" s="912" t="s">
        <v>274</v>
      </c>
      <c r="L6301" s="912"/>
      <c r="M6301" s="912"/>
      <c r="N6301" s="912"/>
      <c r="O6301" s="892">
        <f t="shared" si="424"/>
        <v>0</v>
      </c>
      <c r="P6301" s="903">
        <f t="shared" si="425"/>
        <v>1</v>
      </c>
      <c r="Q6301" s="893">
        <f t="shared" si="426"/>
        <v>11</v>
      </c>
      <c r="R6301" s="894">
        <f t="shared" si="427"/>
        <v>0</v>
      </c>
    </row>
    <row r="6302" spans="1:18">
      <c r="A6302" s="905"/>
      <c r="B6302" s="906"/>
      <c r="C6302" s="907">
        <v>49</v>
      </c>
      <c r="D6302" s="907" t="s">
        <v>279</v>
      </c>
      <c r="E6302" s="925" t="s">
        <v>5698</v>
      </c>
      <c r="F6302" s="909" t="s">
        <v>139</v>
      </c>
      <c r="G6302" s="910"/>
      <c r="H6302" s="911">
        <v>2</v>
      </c>
      <c r="I6302" s="912">
        <f>VLOOKUP(E6302,[3]VLP!$B$7:$K$300,10,0)</f>
        <v>3000</v>
      </c>
      <c r="J6302" s="912">
        <f t="shared" si="432"/>
        <v>6000</v>
      </c>
      <c r="K6302" s="912" t="s">
        <v>274</v>
      </c>
      <c r="L6302" s="912"/>
      <c r="M6302" s="912"/>
      <c r="N6302" s="912"/>
      <c r="O6302" s="892">
        <f t="shared" si="424"/>
        <v>0</v>
      </c>
      <c r="P6302" s="903">
        <f t="shared" si="425"/>
        <v>1</v>
      </c>
      <c r="Q6302" s="893">
        <f t="shared" si="426"/>
        <v>10</v>
      </c>
      <c r="R6302" s="894">
        <f t="shared" si="427"/>
        <v>0</v>
      </c>
    </row>
    <row r="6303" spans="1:18">
      <c r="A6303" s="905"/>
      <c r="B6303" s="906"/>
      <c r="C6303" s="907">
        <v>50</v>
      </c>
      <c r="D6303" s="907" t="s">
        <v>279</v>
      </c>
      <c r="E6303" s="925" t="s">
        <v>5836</v>
      </c>
      <c r="F6303" s="909" t="s">
        <v>49</v>
      </c>
      <c r="G6303" s="910"/>
      <c r="H6303" s="911">
        <v>1</v>
      </c>
      <c r="I6303" s="912">
        <f>VLOOKUP(E6303,[3]VLP!$B$7:$K$300,10,0)</f>
        <v>85790</v>
      </c>
      <c r="J6303" s="912">
        <f t="shared" si="432"/>
        <v>85790</v>
      </c>
      <c r="K6303" s="912" t="s">
        <v>274</v>
      </c>
      <c r="L6303" s="912"/>
      <c r="M6303" s="912"/>
      <c r="N6303" s="912"/>
      <c r="O6303" s="892">
        <f t="shared" ref="O6303:O6366" si="433">IF(AND(B6303&lt;&gt;"",D6303=""),1,0)</f>
        <v>0</v>
      </c>
      <c r="P6303" s="903">
        <f t="shared" si="425"/>
        <v>1</v>
      </c>
      <c r="Q6303" s="893">
        <f t="shared" si="426"/>
        <v>9</v>
      </c>
      <c r="R6303" s="894">
        <f t="shared" si="427"/>
        <v>0</v>
      </c>
    </row>
    <row r="6304" spans="1:18">
      <c r="A6304" s="905"/>
      <c r="B6304" s="906"/>
      <c r="C6304" s="907">
        <v>46</v>
      </c>
      <c r="D6304" s="907" t="s">
        <v>279</v>
      </c>
      <c r="E6304" s="925" t="s">
        <v>3179</v>
      </c>
      <c r="F6304" s="909" t="s">
        <v>45</v>
      </c>
      <c r="G6304" s="910"/>
      <c r="H6304" s="911">
        <v>4</v>
      </c>
      <c r="I6304" s="912">
        <f>VLOOKUP(E6304,[3]VLP!$B$7:$K$300,10,0)</f>
        <v>20500</v>
      </c>
      <c r="J6304" s="912">
        <f t="shared" si="432"/>
        <v>82000</v>
      </c>
      <c r="K6304" s="912" t="s">
        <v>274</v>
      </c>
      <c r="L6304" s="912"/>
      <c r="M6304" s="912"/>
      <c r="N6304" s="912"/>
      <c r="O6304" s="892">
        <f t="shared" si="433"/>
        <v>0</v>
      </c>
      <c r="P6304" s="903">
        <f t="shared" si="425"/>
        <v>1</v>
      </c>
      <c r="Q6304" s="893">
        <f t="shared" si="426"/>
        <v>8</v>
      </c>
      <c r="R6304" s="894">
        <f t="shared" si="427"/>
        <v>0</v>
      </c>
    </row>
    <row r="6305" spans="1:18">
      <c r="A6305" s="905"/>
      <c r="B6305" s="906"/>
      <c r="C6305" s="907">
        <v>25</v>
      </c>
      <c r="D6305" s="907" t="s">
        <v>279</v>
      </c>
      <c r="E6305" s="925" t="s">
        <v>5656</v>
      </c>
      <c r="F6305" s="926" t="s">
        <v>2690</v>
      </c>
      <c r="G6305" s="910"/>
      <c r="H6305" s="911">
        <v>1.5</v>
      </c>
      <c r="I6305" s="912">
        <f>VLOOKUP(E6305,[3]VLP!$B$7:$K$300,10,0)</f>
        <v>5000</v>
      </c>
      <c r="J6305" s="912">
        <f t="shared" si="432"/>
        <v>7500</v>
      </c>
      <c r="K6305" s="912" t="s">
        <v>274</v>
      </c>
      <c r="L6305" s="912"/>
      <c r="M6305" s="912"/>
      <c r="N6305" s="912"/>
      <c r="O6305" s="892">
        <f t="shared" si="433"/>
        <v>0</v>
      </c>
      <c r="P6305" s="903">
        <f t="shared" si="425"/>
        <v>1</v>
      </c>
      <c r="Q6305" s="893">
        <f t="shared" si="426"/>
        <v>7</v>
      </c>
      <c r="R6305" s="894">
        <f t="shared" si="427"/>
        <v>0</v>
      </c>
    </row>
    <row r="6306" spans="1:18">
      <c r="A6306" s="905"/>
      <c r="B6306" s="906"/>
      <c r="C6306" s="907">
        <v>127</v>
      </c>
      <c r="D6306" s="907" t="s">
        <v>279</v>
      </c>
      <c r="E6306" s="925" t="s">
        <v>5657</v>
      </c>
      <c r="F6306" s="909" t="s">
        <v>45</v>
      </c>
      <c r="G6306" s="910"/>
      <c r="H6306" s="911">
        <v>0.5</v>
      </c>
      <c r="I6306" s="912">
        <f>VLOOKUP(E6306,[3]VLP!$B$7:$K$300,10,0)</f>
        <v>25155</v>
      </c>
      <c r="J6306" s="912">
        <f t="shared" si="432"/>
        <v>12577.5</v>
      </c>
      <c r="K6306" s="912" t="s">
        <v>274</v>
      </c>
      <c r="L6306" s="912"/>
      <c r="M6306" s="912"/>
      <c r="N6306" s="912"/>
      <c r="O6306" s="892">
        <f t="shared" si="433"/>
        <v>0</v>
      </c>
      <c r="P6306" s="903">
        <f t="shared" si="425"/>
        <v>1</v>
      </c>
      <c r="Q6306" s="893">
        <f t="shared" si="426"/>
        <v>6</v>
      </c>
      <c r="R6306" s="894">
        <f t="shared" si="427"/>
        <v>0</v>
      </c>
    </row>
    <row r="6307" spans="1:18">
      <c r="A6307" s="905"/>
      <c r="B6307" s="906"/>
      <c r="C6307" s="907">
        <v>44</v>
      </c>
      <c r="D6307" s="907" t="s">
        <v>279</v>
      </c>
      <c r="E6307" s="925" t="s">
        <v>2681</v>
      </c>
      <c r="F6307" s="926" t="s">
        <v>45</v>
      </c>
      <c r="G6307" s="910"/>
      <c r="H6307" s="911">
        <v>0.6</v>
      </c>
      <c r="I6307" s="912">
        <f>VLOOKUP(E6307,[3]VLP!$B$7:$K$300,10,0)</f>
        <v>23000</v>
      </c>
      <c r="J6307" s="912">
        <f t="shared" si="432"/>
        <v>13800</v>
      </c>
      <c r="K6307" s="912" t="s">
        <v>274</v>
      </c>
      <c r="L6307" s="912"/>
      <c r="M6307" s="912"/>
      <c r="N6307" s="912"/>
      <c r="O6307" s="892">
        <f t="shared" si="433"/>
        <v>0</v>
      </c>
      <c r="P6307" s="903">
        <f t="shared" si="425"/>
        <v>1</v>
      </c>
      <c r="Q6307" s="893">
        <f t="shared" si="426"/>
        <v>5</v>
      </c>
      <c r="R6307" s="894">
        <f t="shared" si="427"/>
        <v>0</v>
      </c>
    </row>
    <row r="6308" spans="1:18">
      <c r="A6308" s="905"/>
      <c r="B6308" s="906"/>
      <c r="C6308" s="907">
        <v>66</v>
      </c>
      <c r="D6308" s="907" t="s">
        <v>279</v>
      </c>
      <c r="E6308" s="925" t="s">
        <v>2682</v>
      </c>
      <c r="F6308" s="926" t="s">
        <v>45</v>
      </c>
      <c r="G6308" s="910"/>
      <c r="H6308" s="911">
        <v>0.3</v>
      </c>
      <c r="I6308" s="912">
        <f>VLOOKUP(E6308,[3]VLP!$B$7:$K$300,10,0)</f>
        <v>5000</v>
      </c>
      <c r="J6308" s="912">
        <f t="shared" si="432"/>
        <v>1500</v>
      </c>
      <c r="K6308" s="912" t="s">
        <v>274</v>
      </c>
      <c r="L6308" s="912"/>
      <c r="M6308" s="912"/>
      <c r="N6308" s="912"/>
      <c r="O6308" s="892">
        <f t="shared" si="433"/>
        <v>0</v>
      </c>
      <c r="P6308" s="903">
        <f t="shared" si="425"/>
        <v>1</v>
      </c>
      <c r="Q6308" s="893">
        <f t="shared" si="426"/>
        <v>4</v>
      </c>
      <c r="R6308" s="894">
        <f t="shared" si="427"/>
        <v>0</v>
      </c>
    </row>
    <row r="6309" spans="1:18">
      <c r="A6309" s="905"/>
      <c r="B6309" s="906"/>
      <c r="C6309" s="907">
        <v>699</v>
      </c>
      <c r="D6309" s="907" t="s">
        <v>279</v>
      </c>
      <c r="E6309" s="925" t="s">
        <v>4006</v>
      </c>
      <c r="F6309" s="926" t="s">
        <v>4007</v>
      </c>
      <c r="G6309" s="910"/>
      <c r="H6309" s="911">
        <v>5</v>
      </c>
      <c r="I6309" s="912">
        <f>VLOOKUP(E6309,[3]VLP!$B$7:$K$300,10,0)</f>
        <v>5000</v>
      </c>
      <c r="J6309" s="912">
        <f t="shared" si="432"/>
        <v>25000</v>
      </c>
      <c r="K6309" s="912" t="s">
        <v>274</v>
      </c>
      <c r="L6309" s="912"/>
      <c r="M6309" s="912"/>
      <c r="N6309" s="912"/>
      <c r="O6309" s="892">
        <f t="shared" si="433"/>
        <v>0</v>
      </c>
      <c r="P6309" s="903">
        <f t="shared" si="425"/>
        <v>1</v>
      </c>
      <c r="Q6309" s="893">
        <f t="shared" si="426"/>
        <v>3</v>
      </c>
      <c r="R6309" s="894">
        <f t="shared" si="427"/>
        <v>0</v>
      </c>
    </row>
    <row r="6310" spans="1:18" s="904" customFormat="1">
      <c r="A6310" s="895"/>
      <c r="B6310" s="896"/>
      <c r="C6310" s="897"/>
      <c r="D6310" s="897"/>
      <c r="E6310" s="924" t="s">
        <v>276</v>
      </c>
      <c r="F6310" s="927"/>
      <c r="G6310" s="928"/>
      <c r="H6310" s="901"/>
      <c r="I6310" s="902"/>
      <c r="J6310" s="902"/>
      <c r="K6310" s="912" t="s">
        <v>274</v>
      </c>
      <c r="L6310" s="902"/>
      <c r="M6310" s="902"/>
      <c r="N6310" s="902"/>
      <c r="O6310" s="892">
        <f t="shared" si="433"/>
        <v>0</v>
      </c>
      <c r="P6310" s="903">
        <f t="shared" si="425"/>
        <v>1</v>
      </c>
      <c r="Q6310" s="893">
        <f t="shared" si="426"/>
        <v>2</v>
      </c>
      <c r="R6310" s="894">
        <f t="shared" si="427"/>
        <v>0</v>
      </c>
    </row>
    <row r="6311" spans="1:18">
      <c r="A6311" s="905"/>
      <c r="B6311" s="906"/>
      <c r="C6311" s="907">
        <v>745</v>
      </c>
      <c r="D6311" s="907" t="s">
        <v>12</v>
      </c>
      <c r="E6311" s="908" t="s">
        <v>5518</v>
      </c>
      <c r="F6311" s="909" t="s">
        <v>2674</v>
      </c>
      <c r="G6311" s="910"/>
      <c r="H6311" s="911">
        <v>5.1100000000000003</v>
      </c>
      <c r="I6311" s="912"/>
      <c r="J6311" s="912"/>
      <c r="K6311" s="912">
        <f>VLOOKUP(E6311,[5]ĐMNC!$A$7:$F$67,4,0)</f>
        <v>240557</v>
      </c>
      <c r="L6311" s="912">
        <f>H6311*K6311</f>
        <v>1229246.27</v>
      </c>
      <c r="M6311" s="912"/>
      <c r="N6311" s="912"/>
      <c r="O6311" s="892">
        <f t="shared" si="433"/>
        <v>0</v>
      </c>
      <c r="P6311" s="903">
        <f t="shared" si="425"/>
        <v>1</v>
      </c>
      <c r="Q6311" s="893">
        <f t="shared" si="426"/>
        <v>1</v>
      </c>
      <c r="R6311" s="894">
        <f t="shared" si="427"/>
        <v>0</v>
      </c>
    </row>
    <row r="6312" spans="1:18" s="847" customFormat="1" ht="35.25" customHeight="1">
      <c r="A6312" s="905"/>
      <c r="B6312" s="914" t="s">
        <v>5939</v>
      </c>
      <c r="C6312" s="915"/>
      <c r="D6312" s="915"/>
      <c r="E6312" s="916" t="s">
        <v>5940</v>
      </c>
      <c r="F6312" s="917" t="s">
        <v>5834</v>
      </c>
      <c r="G6312" s="944"/>
      <c r="H6312" s="919"/>
      <c r="I6312" s="920"/>
      <c r="J6312" s="891">
        <f>SUM(J6313:J6324)</f>
        <v>338763</v>
      </c>
      <c r="K6312" s="891"/>
      <c r="L6312" s="891">
        <f>SUM(L6313:L6324)</f>
        <v>1474614.41</v>
      </c>
      <c r="M6312" s="891"/>
      <c r="N6312" s="891">
        <f>SUM(N6313:N6324)</f>
        <v>0</v>
      </c>
      <c r="O6312" s="892">
        <f t="shared" si="433"/>
        <v>1</v>
      </c>
      <c r="P6312" s="903">
        <f t="shared" ref="P6312:P6375" si="434">IF(O6312=0,1,0)</f>
        <v>0</v>
      </c>
      <c r="Q6312" s="893">
        <f t="shared" ref="Q6312:Q6375" si="435">IF(P6312=0,0,P6312+Q6313)</f>
        <v>0</v>
      </c>
      <c r="R6312" s="894">
        <f t="shared" ref="R6312:R6375" si="436">IF(Q6312=0,Q6313,0)</f>
        <v>12</v>
      </c>
    </row>
    <row r="6313" spans="1:18" s="904" customFormat="1">
      <c r="A6313" s="895"/>
      <c r="B6313" s="896"/>
      <c r="C6313" s="897"/>
      <c r="D6313" s="897"/>
      <c r="E6313" s="898" t="s">
        <v>108</v>
      </c>
      <c r="F6313" s="899"/>
      <c r="G6313" s="928"/>
      <c r="H6313" s="901"/>
      <c r="I6313" s="902"/>
      <c r="J6313" s="902"/>
      <c r="K6313" s="912" t="s">
        <v>274</v>
      </c>
      <c r="L6313" s="902"/>
      <c r="M6313" s="902"/>
      <c r="N6313" s="902"/>
      <c r="O6313" s="892">
        <f t="shared" si="433"/>
        <v>0</v>
      </c>
      <c r="P6313" s="903">
        <f t="shared" si="434"/>
        <v>1</v>
      </c>
      <c r="Q6313" s="893">
        <f t="shared" si="435"/>
        <v>12</v>
      </c>
      <c r="R6313" s="894">
        <f t="shared" si="436"/>
        <v>0</v>
      </c>
    </row>
    <row r="6314" spans="1:18">
      <c r="A6314" s="905"/>
      <c r="B6314" s="906"/>
      <c r="C6314" s="907">
        <v>100</v>
      </c>
      <c r="D6314" s="907" t="s">
        <v>279</v>
      </c>
      <c r="E6314" s="925" t="s">
        <v>5875</v>
      </c>
      <c r="F6314" s="909" t="s">
        <v>51</v>
      </c>
      <c r="G6314" s="910"/>
      <c r="H6314" s="911">
        <v>1</v>
      </c>
      <c r="I6314" s="912">
        <f>VLOOKUP(E6314,[3]VLP!$B$7:$K$300,10,0)</f>
        <v>81120</v>
      </c>
      <c r="J6314" s="912">
        <f t="shared" ref="J6314:J6322" si="437">I6314*H6314</f>
        <v>81120</v>
      </c>
      <c r="K6314" s="912" t="s">
        <v>274</v>
      </c>
      <c r="L6314" s="912"/>
      <c r="M6314" s="912"/>
      <c r="N6314" s="912"/>
      <c r="O6314" s="892">
        <f t="shared" si="433"/>
        <v>0</v>
      </c>
      <c r="P6314" s="903">
        <f t="shared" si="434"/>
        <v>1</v>
      </c>
      <c r="Q6314" s="893">
        <f t="shared" si="435"/>
        <v>11</v>
      </c>
      <c r="R6314" s="894">
        <f t="shared" si="436"/>
        <v>0</v>
      </c>
    </row>
    <row r="6315" spans="1:18">
      <c r="A6315" s="905"/>
      <c r="B6315" s="906"/>
      <c r="C6315" s="907">
        <v>49</v>
      </c>
      <c r="D6315" s="907" t="s">
        <v>279</v>
      </c>
      <c r="E6315" s="925" t="s">
        <v>5698</v>
      </c>
      <c r="F6315" s="909" t="s">
        <v>139</v>
      </c>
      <c r="G6315" s="910"/>
      <c r="H6315" s="911">
        <v>2</v>
      </c>
      <c r="I6315" s="912">
        <f>VLOOKUP(E6315,[3]VLP!$B$7:$K$300,10,0)</f>
        <v>3000</v>
      </c>
      <c r="J6315" s="912">
        <f t="shared" si="437"/>
        <v>6000</v>
      </c>
      <c r="K6315" s="912" t="s">
        <v>274</v>
      </c>
      <c r="L6315" s="912"/>
      <c r="M6315" s="912"/>
      <c r="N6315" s="912"/>
      <c r="O6315" s="892">
        <f t="shared" si="433"/>
        <v>0</v>
      </c>
      <c r="P6315" s="903">
        <f t="shared" si="434"/>
        <v>1</v>
      </c>
      <c r="Q6315" s="893">
        <f t="shared" si="435"/>
        <v>10</v>
      </c>
      <c r="R6315" s="894">
        <f t="shared" si="436"/>
        <v>0</v>
      </c>
    </row>
    <row r="6316" spans="1:18">
      <c r="A6316" s="905"/>
      <c r="B6316" s="906"/>
      <c r="C6316" s="907">
        <v>50</v>
      </c>
      <c r="D6316" s="907" t="s">
        <v>279</v>
      </c>
      <c r="E6316" s="925" t="s">
        <v>5836</v>
      </c>
      <c r="F6316" s="909" t="s">
        <v>49</v>
      </c>
      <c r="G6316" s="910"/>
      <c r="H6316" s="911">
        <v>1</v>
      </c>
      <c r="I6316" s="912">
        <f>VLOOKUP(E6316,[3]VLP!$B$7:$K$300,10,0)</f>
        <v>85790</v>
      </c>
      <c r="J6316" s="912">
        <f t="shared" si="437"/>
        <v>85790</v>
      </c>
      <c r="K6316" s="912" t="s">
        <v>274</v>
      </c>
      <c r="L6316" s="912"/>
      <c r="M6316" s="912"/>
      <c r="N6316" s="912"/>
      <c r="O6316" s="892">
        <f t="shared" si="433"/>
        <v>0</v>
      </c>
      <c r="P6316" s="903">
        <f t="shared" si="434"/>
        <v>1</v>
      </c>
      <c r="Q6316" s="893">
        <f t="shared" si="435"/>
        <v>9</v>
      </c>
      <c r="R6316" s="894">
        <f t="shared" si="436"/>
        <v>0</v>
      </c>
    </row>
    <row r="6317" spans="1:18">
      <c r="A6317" s="905"/>
      <c r="B6317" s="906"/>
      <c r="C6317" s="907">
        <v>46</v>
      </c>
      <c r="D6317" s="907" t="s">
        <v>279</v>
      </c>
      <c r="E6317" s="925" t="s">
        <v>3179</v>
      </c>
      <c r="F6317" s="909" t="s">
        <v>45</v>
      </c>
      <c r="G6317" s="910"/>
      <c r="H6317" s="911">
        <v>4.8</v>
      </c>
      <c r="I6317" s="912">
        <f>VLOOKUP(E6317,[3]VLP!$B$7:$K$300,10,0)</f>
        <v>20500</v>
      </c>
      <c r="J6317" s="912">
        <f t="shared" si="437"/>
        <v>98400</v>
      </c>
      <c r="K6317" s="912" t="s">
        <v>274</v>
      </c>
      <c r="L6317" s="912"/>
      <c r="M6317" s="912"/>
      <c r="N6317" s="912"/>
      <c r="O6317" s="892">
        <f t="shared" si="433"/>
        <v>0</v>
      </c>
      <c r="P6317" s="903">
        <f t="shared" si="434"/>
        <v>1</v>
      </c>
      <c r="Q6317" s="893">
        <f t="shared" si="435"/>
        <v>8</v>
      </c>
      <c r="R6317" s="894">
        <f t="shared" si="436"/>
        <v>0</v>
      </c>
    </row>
    <row r="6318" spans="1:18">
      <c r="A6318" s="905"/>
      <c r="B6318" s="906"/>
      <c r="C6318" s="907">
        <v>25</v>
      </c>
      <c r="D6318" s="907" t="s">
        <v>279</v>
      </c>
      <c r="E6318" s="925" t="s">
        <v>5656</v>
      </c>
      <c r="F6318" s="926" t="s">
        <v>2690</v>
      </c>
      <c r="G6318" s="910"/>
      <c r="H6318" s="911">
        <v>1.8</v>
      </c>
      <c r="I6318" s="912">
        <f>VLOOKUP(E6318,[3]VLP!$B$7:$K$300,10,0)</f>
        <v>5000</v>
      </c>
      <c r="J6318" s="912">
        <f t="shared" si="437"/>
        <v>9000</v>
      </c>
      <c r="K6318" s="912" t="s">
        <v>274</v>
      </c>
      <c r="L6318" s="912"/>
      <c r="M6318" s="912"/>
      <c r="N6318" s="912"/>
      <c r="O6318" s="892">
        <f t="shared" si="433"/>
        <v>0</v>
      </c>
      <c r="P6318" s="903">
        <f t="shared" si="434"/>
        <v>1</v>
      </c>
      <c r="Q6318" s="893">
        <f t="shared" si="435"/>
        <v>7</v>
      </c>
      <c r="R6318" s="894">
        <f t="shared" si="436"/>
        <v>0</v>
      </c>
    </row>
    <row r="6319" spans="1:18">
      <c r="A6319" s="905"/>
      <c r="B6319" s="906"/>
      <c r="C6319" s="907">
        <v>127</v>
      </c>
      <c r="D6319" s="907" t="s">
        <v>279</v>
      </c>
      <c r="E6319" s="925" t="s">
        <v>5657</v>
      </c>
      <c r="F6319" s="909" t="s">
        <v>45</v>
      </c>
      <c r="G6319" s="910"/>
      <c r="H6319" s="911">
        <v>0.6</v>
      </c>
      <c r="I6319" s="912">
        <f>VLOOKUP(E6319,[3]VLP!$B$7:$K$300,10,0)</f>
        <v>25155</v>
      </c>
      <c r="J6319" s="912">
        <f t="shared" si="437"/>
        <v>15093</v>
      </c>
      <c r="K6319" s="912" t="s">
        <v>274</v>
      </c>
      <c r="L6319" s="912"/>
      <c r="M6319" s="912"/>
      <c r="N6319" s="912"/>
      <c r="O6319" s="892">
        <f t="shared" si="433"/>
        <v>0</v>
      </c>
      <c r="P6319" s="903">
        <f t="shared" si="434"/>
        <v>1</v>
      </c>
      <c r="Q6319" s="893">
        <f t="shared" si="435"/>
        <v>6</v>
      </c>
      <c r="R6319" s="894">
        <f t="shared" si="436"/>
        <v>0</v>
      </c>
    </row>
    <row r="6320" spans="1:18">
      <c r="A6320" s="905"/>
      <c r="B6320" s="906"/>
      <c r="C6320" s="907">
        <v>44</v>
      </c>
      <c r="D6320" s="907" t="s">
        <v>279</v>
      </c>
      <c r="E6320" s="925" t="s">
        <v>2681</v>
      </c>
      <c r="F6320" s="926" t="s">
        <v>45</v>
      </c>
      <c r="G6320" s="910"/>
      <c r="H6320" s="911">
        <v>0.72</v>
      </c>
      <c r="I6320" s="912">
        <f>VLOOKUP(E6320,[3]VLP!$B$7:$K$300,10,0)</f>
        <v>23000</v>
      </c>
      <c r="J6320" s="912">
        <f t="shared" si="437"/>
        <v>16560</v>
      </c>
      <c r="K6320" s="912" t="s">
        <v>274</v>
      </c>
      <c r="L6320" s="912"/>
      <c r="M6320" s="912"/>
      <c r="N6320" s="912"/>
      <c r="O6320" s="892">
        <f t="shared" si="433"/>
        <v>0</v>
      </c>
      <c r="P6320" s="903">
        <f t="shared" si="434"/>
        <v>1</v>
      </c>
      <c r="Q6320" s="893">
        <f t="shared" si="435"/>
        <v>5</v>
      </c>
      <c r="R6320" s="894">
        <f t="shared" si="436"/>
        <v>0</v>
      </c>
    </row>
    <row r="6321" spans="1:18">
      <c r="A6321" s="905"/>
      <c r="B6321" s="906"/>
      <c r="C6321" s="907">
        <v>66</v>
      </c>
      <c r="D6321" s="907" t="s">
        <v>279</v>
      </c>
      <c r="E6321" s="925" t="s">
        <v>2682</v>
      </c>
      <c r="F6321" s="926" t="s">
        <v>45</v>
      </c>
      <c r="G6321" s="910"/>
      <c r="H6321" s="911">
        <v>0.36</v>
      </c>
      <c r="I6321" s="912">
        <f>VLOOKUP(E6321,[3]VLP!$B$7:$K$300,10,0)</f>
        <v>5000</v>
      </c>
      <c r="J6321" s="912">
        <f t="shared" si="437"/>
        <v>1800</v>
      </c>
      <c r="K6321" s="912" t="s">
        <v>274</v>
      </c>
      <c r="L6321" s="912"/>
      <c r="M6321" s="912"/>
      <c r="N6321" s="912"/>
      <c r="O6321" s="892">
        <f t="shared" si="433"/>
        <v>0</v>
      </c>
      <c r="P6321" s="903">
        <f t="shared" si="434"/>
        <v>1</v>
      </c>
      <c r="Q6321" s="893">
        <f t="shared" si="435"/>
        <v>4</v>
      </c>
      <c r="R6321" s="894">
        <f t="shared" si="436"/>
        <v>0</v>
      </c>
    </row>
    <row r="6322" spans="1:18">
      <c r="A6322" s="905"/>
      <c r="B6322" s="906"/>
      <c r="C6322" s="907">
        <v>699</v>
      </c>
      <c r="D6322" s="907" t="s">
        <v>279</v>
      </c>
      <c r="E6322" s="925" t="s">
        <v>4006</v>
      </c>
      <c r="F6322" s="926" t="s">
        <v>4007</v>
      </c>
      <c r="G6322" s="910"/>
      <c r="H6322" s="911">
        <v>5</v>
      </c>
      <c r="I6322" s="912">
        <f>VLOOKUP(E6322,[3]VLP!$B$7:$K$300,10,0)</f>
        <v>5000</v>
      </c>
      <c r="J6322" s="912">
        <f t="shared" si="437"/>
        <v>25000</v>
      </c>
      <c r="K6322" s="912" t="s">
        <v>274</v>
      </c>
      <c r="L6322" s="912"/>
      <c r="M6322" s="912"/>
      <c r="N6322" s="912"/>
      <c r="O6322" s="892">
        <f t="shared" si="433"/>
        <v>0</v>
      </c>
      <c r="P6322" s="903">
        <f t="shared" si="434"/>
        <v>1</v>
      </c>
      <c r="Q6322" s="893">
        <f t="shared" si="435"/>
        <v>3</v>
      </c>
      <c r="R6322" s="894">
        <f t="shared" si="436"/>
        <v>0</v>
      </c>
    </row>
    <row r="6323" spans="1:18" s="904" customFormat="1">
      <c r="A6323" s="895"/>
      <c r="B6323" s="896"/>
      <c r="C6323" s="897"/>
      <c r="D6323" s="897"/>
      <c r="E6323" s="924" t="s">
        <v>276</v>
      </c>
      <c r="F6323" s="927"/>
      <c r="G6323" s="928"/>
      <c r="H6323" s="901"/>
      <c r="I6323" s="902"/>
      <c r="J6323" s="902"/>
      <c r="K6323" s="912" t="s">
        <v>274</v>
      </c>
      <c r="L6323" s="902"/>
      <c r="M6323" s="902"/>
      <c r="N6323" s="902"/>
      <c r="O6323" s="892">
        <f t="shared" si="433"/>
        <v>0</v>
      </c>
      <c r="P6323" s="903">
        <f t="shared" si="434"/>
        <v>1</v>
      </c>
      <c r="Q6323" s="893">
        <f t="shared" si="435"/>
        <v>2</v>
      </c>
      <c r="R6323" s="894">
        <f t="shared" si="436"/>
        <v>0</v>
      </c>
    </row>
    <row r="6324" spans="1:18">
      <c r="A6324" s="905"/>
      <c r="B6324" s="906"/>
      <c r="C6324" s="907">
        <v>745</v>
      </c>
      <c r="D6324" s="907" t="s">
        <v>12</v>
      </c>
      <c r="E6324" s="908" t="s">
        <v>5518</v>
      </c>
      <c r="F6324" s="909" t="s">
        <v>2674</v>
      </c>
      <c r="G6324" s="910"/>
      <c r="H6324" s="911">
        <v>6.13</v>
      </c>
      <c r="I6324" s="912"/>
      <c r="J6324" s="912"/>
      <c r="K6324" s="912">
        <f>VLOOKUP(E6324,[5]ĐMNC!$A$7:$F$67,4,0)</f>
        <v>240557</v>
      </c>
      <c r="L6324" s="912">
        <f>H6324*K6324</f>
        <v>1474614.41</v>
      </c>
      <c r="M6324" s="912"/>
      <c r="N6324" s="912"/>
      <c r="O6324" s="892">
        <f t="shared" si="433"/>
        <v>0</v>
      </c>
      <c r="P6324" s="903">
        <f t="shared" si="434"/>
        <v>1</v>
      </c>
      <c r="Q6324" s="893">
        <f t="shared" si="435"/>
        <v>1</v>
      </c>
      <c r="R6324" s="894">
        <f t="shared" si="436"/>
        <v>0</v>
      </c>
    </row>
    <row r="6325" spans="1:18" s="847" customFormat="1" ht="35.25" customHeight="1">
      <c r="A6325" s="905" t="s">
        <v>5876</v>
      </c>
      <c r="B6325" s="914" t="s">
        <v>5941</v>
      </c>
      <c r="C6325" s="915"/>
      <c r="D6325" s="915"/>
      <c r="E6325" s="916" t="s">
        <v>5942</v>
      </c>
      <c r="F6325" s="917" t="s">
        <v>5834</v>
      </c>
      <c r="G6325" s="944"/>
      <c r="H6325" s="919"/>
      <c r="I6325" s="920"/>
      <c r="J6325" s="891">
        <f>SUM(J6326:J6337)</f>
        <v>199947.5</v>
      </c>
      <c r="K6325" s="891"/>
      <c r="L6325" s="891">
        <f>SUM(L6326:L6337)</f>
        <v>914116.6</v>
      </c>
      <c r="M6325" s="891"/>
      <c r="N6325" s="891">
        <f>SUM(N6326:N6337)</f>
        <v>0</v>
      </c>
      <c r="O6325" s="892">
        <f t="shared" si="433"/>
        <v>1</v>
      </c>
      <c r="P6325" s="903">
        <f t="shared" si="434"/>
        <v>0</v>
      </c>
      <c r="Q6325" s="893">
        <f t="shared" si="435"/>
        <v>0</v>
      </c>
      <c r="R6325" s="894">
        <f t="shared" si="436"/>
        <v>12</v>
      </c>
    </row>
    <row r="6326" spans="1:18" s="904" customFormat="1">
      <c r="A6326" s="895"/>
      <c r="B6326" s="896"/>
      <c r="C6326" s="897"/>
      <c r="D6326" s="897"/>
      <c r="E6326" s="898" t="s">
        <v>108</v>
      </c>
      <c r="F6326" s="899"/>
      <c r="G6326" s="928"/>
      <c r="H6326" s="901"/>
      <c r="I6326" s="902"/>
      <c r="J6326" s="902"/>
      <c r="K6326" s="912" t="s">
        <v>274</v>
      </c>
      <c r="L6326" s="902"/>
      <c r="M6326" s="902"/>
      <c r="N6326" s="902"/>
      <c r="O6326" s="892">
        <f t="shared" si="433"/>
        <v>0</v>
      </c>
      <c r="P6326" s="903">
        <f t="shared" si="434"/>
        <v>1</v>
      </c>
      <c r="Q6326" s="893">
        <f t="shared" si="435"/>
        <v>12</v>
      </c>
      <c r="R6326" s="894">
        <f t="shared" si="436"/>
        <v>0</v>
      </c>
    </row>
    <row r="6327" spans="1:18">
      <c r="A6327" s="905"/>
      <c r="B6327" s="906"/>
      <c r="C6327" s="907">
        <v>94</v>
      </c>
      <c r="D6327" s="907" t="s">
        <v>279</v>
      </c>
      <c r="E6327" s="925" t="s">
        <v>5857</v>
      </c>
      <c r="F6327" s="909" t="s">
        <v>51</v>
      </c>
      <c r="G6327" s="910"/>
      <c r="H6327" s="911">
        <v>1</v>
      </c>
      <c r="I6327" s="912">
        <f>VLOOKUP(E6327,[3]VLP!$B$7:$K$300,10,0)</f>
        <v>20280</v>
      </c>
      <c r="J6327" s="912">
        <f t="shared" ref="J6327:J6335" si="438">I6327*H6327</f>
        <v>20280</v>
      </c>
      <c r="K6327" s="912" t="s">
        <v>274</v>
      </c>
      <c r="L6327" s="912"/>
      <c r="M6327" s="912"/>
      <c r="N6327" s="912"/>
      <c r="O6327" s="892">
        <f t="shared" si="433"/>
        <v>0</v>
      </c>
      <c r="P6327" s="903">
        <f t="shared" si="434"/>
        <v>1</v>
      </c>
      <c r="Q6327" s="893">
        <f t="shared" si="435"/>
        <v>11</v>
      </c>
      <c r="R6327" s="894">
        <f t="shared" si="436"/>
        <v>0</v>
      </c>
    </row>
    <row r="6328" spans="1:18">
      <c r="A6328" s="905"/>
      <c r="B6328" s="906"/>
      <c r="C6328" s="907">
        <v>49</v>
      </c>
      <c r="D6328" s="907" t="s">
        <v>279</v>
      </c>
      <c r="E6328" s="925" t="s">
        <v>5698</v>
      </c>
      <c r="F6328" s="909" t="s">
        <v>139</v>
      </c>
      <c r="G6328" s="910"/>
      <c r="H6328" s="911">
        <v>2</v>
      </c>
      <c r="I6328" s="912">
        <f>VLOOKUP(E6328,[3]VLP!$B$7:$K$300,10,0)</f>
        <v>3000</v>
      </c>
      <c r="J6328" s="912">
        <f t="shared" si="438"/>
        <v>6000</v>
      </c>
      <c r="K6328" s="912" t="s">
        <v>274</v>
      </c>
      <c r="L6328" s="912"/>
      <c r="M6328" s="912"/>
      <c r="N6328" s="912"/>
      <c r="O6328" s="892">
        <f t="shared" si="433"/>
        <v>0</v>
      </c>
      <c r="P6328" s="903">
        <f t="shared" si="434"/>
        <v>1</v>
      </c>
      <c r="Q6328" s="893">
        <f t="shared" si="435"/>
        <v>10</v>
      </c>
      <c r="R6328" s="894">
        <f t="shared" si="436"/>
        <v>0</v>
      </c>
    </row>
    <row r="6329" spans="1:18">
      <c r="A6329" s="905"/>
      <c r="B6329" s="906"/>
      <c r="C6329" s="907">
        <v>50</v>
      </c>
      <c r="D6329" s="907" t="s">
        <v>279</v>
      </c>
      <c r="E6329" s="925" t="s">
        <v>5836</v>
      </c>
      <c r="F6329" s="909" t="s">
        <v>49</v>
      </c>
      <c r="G6329" s="910"/>
      <c r="H6329" s="911">
        <v>1</v>
      </c>
      <c r="I6329" s="912">
        <f>VLOOKUP(E6329,[3]VLP!$B$7:$K$300,10,0)</f>
        <v>85790</v>
      </c>
      <c r="J6329" s="912">
        <f t="shared" si="438"/>
        <v>85790</v>
      </c>
      <c r="K6329" s="912" t="s">
        <v>274</v>
      </c>
      <c r="L6329" s="912"/>
      <c r="M6329" s="912"/>
      <c r="N6329" s="912"/>
      <c r="O6329" s="892">
        <f t="shared" si="433"/>
        <v>0</v>
      </c>
      <c r="P6329" s="903">
        <f t="shared" si="434"/>
        <v>1</v>
      </c>
      <c r="Q6329" s="893">
        <f t="shared" si="435"/>
        <v>9</v>
      </c>
      <c r="R6329" s="894">
        <f t="shared" si="436"/>
        <v>0</v>
      </c>
    </row>
    <row r="6330" spans="1:18">
      <c r="A6330" s="905"/>
      <c r="B6330" s="906"/>
      <c r="C6330" s="907">
        <v>46</v>
      </c>
      <c r="D6330" s="907" t="s">
        <v>279</v>
      </c>
      <c r="E6330" s="925" t="s">
        <v>3179</v>
      </c>
      <c r="F6330" s="909" t="s">
        <v>45</v>
      </c>
      <c r="G6330" s="910"/>
      <c r="H6330" s="911">
        <v>1.6</v>
      </c>
      <c r="I6330" s="912">
        <f>VLOOKUP(E6330,[3]VLP!$B$7:$K$300,10,0)</f>
        <v>20500</v>
      </c>
      <c r="J6330" s="912">
        <f t="shared" si="438"/>
        <v>32800</v>
      </c>
      <c r="K6330" s="912" t="s">
        <v>274</v>
      </c>
      <c r="L6330" s="912"/>
      <c r="M6330" s="912"/>
      <c r="N6330" s="912"/>
      <c r="O6330" s="892">
        <f t="shared" si="433"/>
        <v>0</v>
      </c>
      <c r="P6330" s="903">
        <f t="shared" si="434"/>
        <v>1</v>
      </c>
      <c r="Q6330" s="893">
        <f t="shared" si="435"/>
        <v>8</v>
      </c>
      <c r="R6330" s="894">
        <f t="shared" si="436"/>
        <v>0</v>
      </c>
    </row>
    <row r="6331" spans="1:18">
      <c r="A6331" s="905"/>
      <c r="B6331" s="906"/>
      <c r="C6331" s="907">
        <v>25</v>
      </c>
      <c r="D6331" s="907" t="s">
        <v>279</v>
      </c>
      <c r="E6331" s="925" t="s">
        <v>5656</v>
      </c>
      <c r="F6331" s="926" t="s">
        <v>2690</v>
      </c>
      <c r="G6331" s="910"/>
      <c r="H6331" s="911">
        <v>1</v>
      </c>
      <c r="I6331" s="912">
        <f>VLOOKUP(E6331,[3]VLP!$B$7:$K$300,10,0)</f>
        <v>5000</v>
      </c>
      <c r="J6331" s="912">
        <f t="shared" si="438"/>
        <v>5000</v>
      </c>
      <c r="K6331" s="912" t="s">
        <v>274</v>
      </c>
      <c r="L6331" s="912"/>
      <c r="M6331" s="912"/>
      <c r="N6331" s="912"/>
      <c r="O6331" s="892">
        <f t="shared" si="433"/>
        <v>0</v>
      </c>
      <c r="P6331" s="903">
        <f t="shared" si="434"/>
        <v>1</v>
      </c>
      <c r="Q6331" s="893">
        <f t="shared" si="435"/>
        <v>7</v>
      </c>
      <c r="R6331" s="894">
        <f t="shared" si="436"/>
        <v>0</v>
      </c>
    </row>
    <row r="6332" spans="1:18">
      <c r="A6332" s="905"/>
      <c r="B6332" s="906"/>
      <c r="C6332" s="907">
        <v>127</v>
      </c>
      <c r="D6332" s="907" t="s">
        <v>279</v>
      </c>
      <c r="E6332" s="925" t="s">
        <v>5657</v>
      </c>
      <c r="F6332" s="909" t="s">
        <v>45</v>
      </c>
      <c r="G6332" s="910"/>
      <c r="H6332" s="911">
        <v>0.5</v>
      </c>
      <c r="I6332" s="912">
        <f>VLOOKUP(E6332,[3]VLP!$B$7:$K$300,10,0)</f>
        <v>25155</v>
      </c>
      <c r="J6332" s="912">
        <f t="shared" si="438"/>
        <v>12577.5</v>
      </c>
      <c r="K6332" s="912" t="s">
        <v>274</v>
      </c>
      <c r="L6332" s="912"/>
      <c r="M6332" s="912"/>
      <c r="N6332" s="912"/>
      <c r="O6332" s="892">
        <f t="shared" si="433"/>
        <v>0</v>
      </c>
      <c r="P6332" s="903">
        <f t="shared" si="434"/>
        <v>1</v>
      </c>
      <c r="Q6332" s="893">
        <f t="shared" si="435"/>
        <v>6</v>
      </c>
      <c r="R6332" s="894">
        <f t="shared" si="436"/>
        <v>0</v>
      </c>
    </row>
    <row r="6333" spans="1:18">
      <c r="A6333" s="905"/>
      <c r="B6333" s="906"/>
      <c r="C6333" s="907">
        <v>44</v>
      </c>
      <c r="D6333" s="907" t="s">
        <v>279</v>
      </c>
      <c r="E6333" s="925" t="s">
        <v>2681</v>
      </c>
      <c r="F6333" s="926" t="s">
        <v>45</v>
      </c>
      <c r="G6333" s="910"/>
      <c r="H6333" s="911">
        <v>0.5</v>
      </c>
      <c r="I6333" s="912">
        <f>VLOOKUP(E6333,[3]VLP!$B$7:$K$300,10,0)</f>
        <v>23000</v>
      </c>
      <c r="J6333" s="912">
        <f t="shared" si="438"/>
        <v>11500</v>
      </c>
      <c r="K6333" s="912" t="s">
        <v>274</v>
      </c>
      <c r="L6333" s="912"/>
      <c r="M6333" s="912"/>
      <c r="N6333" s="912"/>
      <c r="O6333" s="892">
        <f t="shared" si="433"/>
        <v>0</v>
      </c>
      <c r="P6333" s="903">
        <f t="shared" si="434"/>
        <v>1</v>
      </c>
      <c r="Q6333" s="893">
        <f t="shared" si="435"/>
        <v>5</v>
      </c>
      <c r="R6333" s="894">
        <f t="shared" si="436"/>
        <v>0</v>
      </c>
    </row>
    <row r="6334" spans="1:18">
      <c r="A6334" s="905"/>
      <c r="B6334" s="906"/>
      <c r="C6334" s="907">
        <v>66</v>
      </c>
      <c r="D6334" s="907" t="s">
        <v>279</v>
      </c>
      <c r="E6334" s="925" t="s">
        <v>2682</v>
      </c>
      <c r="F6334" s="926" t="s">
        <v>45</v>
      </c>
      <c r="G6334" s="910"/>
      <c r="H6334" s="911">
        <v>0.2</v>
      </c>
      <c r="I6334" s="912">
        <f>VLOOKUP(E6334,[3]VLP!$B$7:$K$300,10,0)</f>
        <v>5000</v>
      </c>
      <c r="J6334" s="912">
        <f t="shared" si="438"/>
        <v>1000</v>
      </c>
      <c r="K6334" s="912" t="s">
        <v>274</v>
      </c>
      <c r="L6334" s="912"/>
      <c r="M6334" s="912"/>
      <c r="N6334" s="912"/>
      <c r="O6334" s="892">
        <f t="shared" si="433"/>
        <v>0</v>
      </c>
      <c r="P6334" s="903">
        <f t="shared" si="434"/>
        <v>1</v>
      </c>
      <c r="Q6334" s="893">
        <f t="shared" si="435"/>
        <v>4</v>
      </c>
      <c r="R6334" s="894">
        <f t="shared" si="436"/>
        <v>0</v>
      </c>
    </row>
    <row r="6335" spans="1:18">
      <c r="A6335" s="905"/>
      <c r="B6335" s="906"/>
      <c r="C6335" s="907">
        <v>699</v>
      </c>
      <c r="D6335" s="907" t="s">
        <v>279</v>
      </c>
      <c r="E6335" s="925" t="s">
        <v>4006</v>
      </c>
      <c r="F6335" s="926" t="s">
        <v>4007</v>
      </c>
      <c r="G6335" s="910"/>
      <c r="H6335" s="911">
        <v>5</v>
      </c>
      <c r="I6335" s="912">
        <f>VLOOKUP(E6335,[3]VLP!$B$7:$K$300,10,0)</f>
        <v>5000</v>
      </c>
      <c r="J6335" s="912">
        <f t="shared" si="438"/>
        <v>25000</v>
      </c>
      <c r="K6335" s="912" t="s">
        <v>274</v>
      </c>
      <c r="L6335" s="912"/>
      <c r="M6335" s="912"/>
      <c r="N6335" s="912"/>
      <c r="O6335" s="892">
        <f t="shared" si="433"/>
        <v>0</v>
      </c>
      <c r="P6335" s="903">
        <f t="shared" si="434"/>
        <v>1</v>
      </c>
      <c r="Q6335" s="893">
        <f t="shared" si="435"/>
        <v>3</v>
      </c>
      <c r="R6335" s="894">
        <f t="shared" si="436"/>
        <v>0</v>
      </c>
    </row>
    <row r="6336" spans="1:18" s="904" customFormat="1">
      <c r="A6336" s="895"/>
      <c r="B6336" s="896"/>
      <c r="C6336" s="897"/>
      <c r="D6336" s="897"/>
      <c r="E6336" s="924" t="s">
        <v>276</v>
      </c>
      <c r="F6336" s="927"/>
      <c r="G6336" s="928"/>
      <c r="H6336" s="901"/>
      <c r="I6336" s="902"/>
      <c r="J6336" s="902"/>
      <c r="K6336" s="912" t="s">
        <v>274</v>
      </c>
      <c r="L6336" s="902"/>
      <c r="M6336" s="902"/>
      <c r="N6336" s="902"/>
      <c r="O6336" s="892">
        <f t="shared" si="433"/>
        <v>0</v>
      </c>
      <c r="P6336" s="903">
        <f t="shared" si="434"/>
        <v>1</v>
      </c>
      <c r="Q6336" s="893">
        <f t="shared" si="435"/>
        <v>2</v>
      </c>
      <c r="R6336" s="894">
        <f t="shared" si="436"/>
        <v>0</v>
      </c>
    </row>
    <row r="6337" spans="1:18">
      <c r="A6337" s="905"/>
      <c r="B6337" s="906"/>
      <c r="C6337" s="907">
        <v>745</v>
      </c>
      <c r="D6337" s="907" t="s">
        <v>12</v>
      </c>
      <c r="E6337" s="908" t="s">
        <v>5518</v>
      </c>
      <c r="F6337" s="909" t="s">
        <v>2674</v>
      </c>
      <c r="G6337" s="910"/>
      <c r="H6337" s="911">
        <v>3.8</v>
      </c>
      <c r="I6337" s="912"/>
      <c r="J6337" s="912"/>
      <c r="K6337" s="912">
        <f>VLOOKUP(E6337,[5]ĐMNC!$A$7:$F$67,4,0)</f>
        <v>240557</v>
      </c>
      <c r="L6337" s="912">
        <f>H6337*K6337</f>
        <v>914116.6</v>
      </c>
      <c r="M6337" s="912"/>
      <c r="N6337" s="912"/>
      <c r="O6337" s="892">
        <f t="shared" si="433"/>
        <v>0</v>
      </c>
      <c r="P6337" s="903">
        <f t="shared" si="434"/>
        <v>1</v>
      </c>
      <c r="Q6337" s="893">
        <f t="shared" si="435"/>
        <v>1</v>
      </c>
      <c r="R6337" s="894">
        <f t="shared" si="436"/>
        <v>0</v>
      </c>
    </row>
    <row r="6338" spans="1:18" s="847" customFormat="1" ht="35.25" customHeight="1">
      <c r="A6338" s="905"/>
      <c r="B6338" s="914" t="s">
        <v>5943</v>
      </c>
      <c r="C6338" s="915"/>
      <c r="D6338" s="915"/>
      <c r="E6338" s="916" t="s">
        <v>5944</v>
      </c>
      <c r="F6338" s="917" t="s">
        <v>5834</v>
      </c>
      <c r="G6338" s="944"/>
      <c r="H6338" s="919"/>
      <c r="I6338" s="920"/>
      <c r="J6338" s="891">
        <f>SUM(J6339:J6350)</f>
        <v>216957.5</v>
      </c>
      <c r="K6338" s="891"/>
      <c r="L6338" s="891">
        <f>SUM(L6339:L6350)</f>
        <v>1000717.12</v>
      </c>
      <c r="M6338" s="891"/>
      <c r="N6338" s="891">
        <f>SUM(N6339:N6350)</f>
        <v>0</v>
      </c>
      <c r="O6338" s="892">
        <f t="shared" si="433"/>
        <v>1</v>
      </c>
      <c r="P6338" s="903">
        <f t="shared" si="434"/>
        <v>0</v>
      </c>
      <c r="Q6338" s="893">
        <f t="shared" si="435"/>
        <v>0</v>
      </c>
      <c r="R6338" s="894">
        <f t="shared" si="436"/>
        <v>12</v>
      </c>
    </row>
    <row r="6339" spans="1:18" s="904" customFormat="1">
      <c r="A6339" s="895"/>
      <c r="B6339" s="896"/>
      <c r="C6339" s="897"/>
      <c r="D6339" s="897"/>
      <c r="E6339" s="898" t="s">
        <v>108</v>
      </c>
      <c r="F6339" s="899"/>
      <c r="G6339" s="928"/>
      <c r="H6339" s="901"/>
      <c r="I6339" s="902"/>
      <c r="J6339" s="902"/>
      <c r="K6339" s="912" t="s">
        <v>274</v>
      </c>
      <c r="L6339" s="902"/>
      <c r="M6339" s="902"/>
      <c r="N6339" s="902"/>
      <c r="O6339" s="892">
        <f t="shared" si="433"/>
        <v>0</v>
      </c>
      <c r="P6339" s="903">
        <f t="shared" si="434"/>
        <v>1</v>
      </c>
      <c r="Q6339" s="893">
        <f t="shared" si="435"/>
        <v>12</v>
      </c>
      <c r="R6339" s="894">
        <f t="shared" si="436"/>
        <v>0</v>
      </c>
    </row>
    <row r="6340" spans="1:18">
      <c r="A6340" s="905"/>
      <c r="B6340" s="906"/>
      <c r="C6340" s="907">
        <v>95</v>
      </c>
      <c r="D6340" s="907" t="s">
        <v>279</v>
      </c>
      <c r="E6340" s="925" t="s">
        <v>5860</v>
      </c>
      <c r="F6340" s="909" t="s">
        <v>51</v>
      </c>
      <c r="G6340" s="910"/>
      <c r="H6340" s="911">
        <v>1</v>
      </c>
      <c r="I6340" s="912">
        <f>VLOOKUP(E6340,[3]VLP!$B$7:$K$300,10,0)</f>
        <v>27040</v>
      </c>
      <c r="J6340" s="912">
        <f t="shared" ref="J6340:J6348" si="439">I6340*H6340</f>
        <v>27040</v>
      </c>
      <c r="K6340" s="912" t="s">
        <v>274</v>
      </c>
      <c r="L6340" s="912"/>
      <c r="M6340" s="912"/>
      <c r="N6340" s="912"/>
      <c r="O6340" s="892">
        <f t="shared" si="433"/>
        <v>0</v>
      </c>
      <c r="P6340" s="903">
        <f t="shared" si="434"/>
        <v>1</v>
      </c>
      <c r="Q6340" s="893">
        <f t="shared" si="435"/>
        <v>11</v>
      </c>
      <c r="R6340" s="894">
        <f t="shared" si="436"/>
        <v>0</v>
      </c>
    </row>
    <row r="6341" spans="1:18">
      <c r="A6341" s="905"/>
      <c r="B6341" s="906"/>
      <c r="C6341" s="907">
        <v>49</v>
      </c>
      <c r="D6341" s="907" t="s">
        <v>279</v>
      </c>
      <c r="E6341" s="925" t="s">
        <v>5698</v>
      </c>
      <c r="F6341" s="909" t="s">
        <v>139</v>
      </c>
      <c r="G6341" s="910"/>
      <c r="H6341" s="911">
        <v>2</v>
      </c>
      <c r="I6341" s="912">
        <f>VLOOKUP(E6341,[3]VLP!$B$7:$K$300,10,0)</f>
        <v>3000</v>
      </c>
      <c r="J6341" s="912">
        <f t="shared" si="439"/>
        <v>6000</v>
      </c>
      <c r="K6341" s="912" t="s">
        <v>274</v>
      </c>
      <c r="L6341" s="912"/>
      <c r="M6341" s="912"/>
      <c r="N6341" s="912"/>
      <c r="O6341" s="892">
        <f t="shared" si="433"/>
        <v>0</v>
      </c>
      <c r="P6341" s="903">
        <f t="shared" si="434"/>
        <v>1</v>
      </c>
      <c r="Q6341" s="893">
        <f t="shared" si="435"/>
        <v>10</v>
      </c>
      <c r="R6341" s="894">
        <f t="shared" si="436"/>
        <v>0</v>
      </c>
    </row>
    <row r="6342" spans="1:18">
      <c r="A6342" s="905"/>
      <c r="B6342" s="906"/>
      <c r="C6342" s="907">
        <v>50</v>
      </c>
      <c r="D6342" s="907" t="s">
        <v>279</v>
      </c>
      <c r="E6342" s="925" t="s">
        <v>5836</v>
      </c>
      <c r="F6342" s="909" t="s">
        <v>49</v>
      </c>
      <c r="G6342" s="910"/>
      <c r="H6342" s="911">
        <v>1</v>
      </c>
      <c r="I6342" s="912">
        <f>VLOOKUP(E6342,[3]VLP!$B$7:$K$300,10,0)</f>
        <v>85790</v>
      </c>
      <c r="J6342" s="912">
        <f t="shared" si="439"/>
        <v>85790</v>
      </c>
      <c r="K6342" s="912" t="s">
        <v>274</v>
      </c>
      <c r="L6342" s="912"/>
      <c r="M6342" s="912"/>
      <c r="N6342" s="912"/>
      <c r="O6342" s="892">
        <f t="shared" si="433"/>
        <v>0</v>
      </c>
      <c r="P6342" s="903">
        <f t="shared" si="434"/>
        <v>1</v>
      </c>
      <c r="Q6342" s="893">
        <f t="shared" si="435"/>
        <v>9</v>
      </c>
      <c r="R6342" s="894">
        <f t="shared" si="436"/>
        <v>0</v>
      </c>
    </row>
    <row r="6343" spans="1:18">
      <c r="A6343" s="905"/>
      <c r="B6343" s="906"/>
      <c r="C6343" s="907">
        <v>46</v>
      </c>
      <c r="D6343" s="907" t="s">
        <v>279</v>
      </c>
      <c r="E6343" s="925" t="s">
        <v>3179</v>
      </c>
      <c r="F6343" s="909" t="s">
        <v>45</v>
      </c>
      <c r="G6343" s="910"/>
      <c r="H6343" s="911">
        <v>2.1</v>
      </c>
      <c r="I6343" s="912">
        <f>VLOOKUP(E6343,[3]VLP!$B$7:$K$300,10,0)</f>
        <v>20500</v>
      </c>
      <c r="J6343" s="912">
        <f t="shared" si="439"/>
        <v>43050</v>
      </c>
      <c r="K6343" s="912" t="s">
        <v>274</v>
      </c>
      <c r="L6343" s="912"/>
      <c r="M6343" s="912"/>
      <c r="N6343" s="912"/>
      <c r="O6343" s="892">
        <f t="shared" si="433"/>
        <v>0</v>
      </c>
      <c r="P6343" s="903">
        <f t="shared" si="434"/>
        <v>1</v>
      </c>
      <c r="Q6343" s="893">
        <f t="shared" si="435"/>
        <v>8</v>
      </c>
      <c r="R6343" s="894">
        <f t="shared" si="436"/>
        <v>0</v>
      </c>
    </row>
    <row r="6344" spans="1:18">
      <c r="A6344" s="905"/>
      <c r="B6344" s="906"/>
      <c r="C6344" s="907">
        <v>25</v>
      </c>
      <c r="D6344" s="907" t="s">
        <v>279</v>
      </c>
      <c r="E6344" s="925" t="s">
        <v>5656</v>
      </c>
      <c r="F6344" s="926" t="s">
        <v>2690</v>
      </c>
      <c r="G6344" s="910"/>
      <c r="H6344" s="911">
        <v>1</v>
      </c>
      <c r="I6344" s="912">
        <f>VLOOKUP(E6344,[3]VLP!$B$7:$K$300,10,0)</f>
        <v>5000</v>
      </c>
      <c r="J6344" s="912">
        <f t="shared" si="439"/>
        <v>5000</v>
      </c>
      <c r="K6344" s="912" t="s">
        <v>274</v>
      </c>
      <c r="L6344" s="912"/>
      <c r="M6344" s="912"/>
      <c r="N6344" s="912"/>
      <c r="O6344" s="892">
        <f t="shared" si="433"/>
        <v>0</v>
      </c>
      <c r="P6344" s="903">
        <f t="shared" si="434"/>
        <v>1</v>
      </c>
      <c r="Q6344" s="893">
        <f t="shared" si="435"/>
        <v>7</v>
      </c>
      <c r="R6344" s="894">
        <f t="shared" si="436"/>
        <v>0</v>
      </c>
    </row>
    <row r="6345" spans="1:18">
      <c r="A6345" s="905"/>
      <c r="B6345" s="906"/>
      <c r="C6345" s="907">
        <v>127</v>
      </c>
      <c r="D6345" s="907" t="s">
        <v>279</v>
      </c>
      <c r="E6345" s="925" t="s">
        <v>5657</v>
      </c>
      <c r="F6345" s="909" t="s">
        <v>45</v>
      </c>
      <c r="G6345" s="910"/>
      <c r="H6345" s="911">
        <v>0.5</v>
      </c>
      <c r="I6345" s="912">
        <f>VLOOKUP(E6345,[3]VLP!$B$7:$K$300,10,0)</f>
        <v>25155</v>
      </c>
      <c r="J6345" s="912">
        <f t="shared" si="439"/>
        <v>12577.5</v>
      </c>
      <c r="K6345" s="912" t="s">
        <v>274</v>
      </c>
      <c r="L6345" s="912"/>
      <c r="M6345" s="912"/>
      <c r="N6345" s="912"/>
      <c r="O6345" s="892">
        <f t="shared" si="433"/>
        <v>0</v>
      </c>
      <c r="P6345" s="903">
        <f t="shared" si="434"/>
        <v>1</v>
      </c>
      <c r="Q6345" s="893">
        <f t="shared" si="435"/>
        <v>6</v>
      </c>
      <c r="R6345" s="894">
        <f t="shared" si="436"/>
        <v>0</v>
      </c>
    </row>
    <row r="6346" spans="1:18">
      <c r="A6346" s="905"/>
      <c r="B6346" s="906"/>
      <c r="C6346" s="907">
        <v>44</v>
      </c>
      <c r="D6346" s="907" t="s">
        <v>279</v>
      </c>
      <c r="E6346" s="925" t="s">
        <v>2681</v>
      </c>
      <c r="F6346" s="926" t="s">
        <v>45</v>
      </c>
      <c r="G6346" s="910"/>
      <c r="H6346" s="911">
        <v>0.5</v>
      </c>
      <c r="I6346" s="912">
        <f>VLOOKUP(E6346,[3]VLP!$B$7:$K$300,10,0)</f>
        <v>23000</v>
      </c>
      <c r="J6346" s="912">
        <f t="shared" si="439"/>
        <v>11500</v>
      </c>
      <c r="K6346" s="912" t="s">
        <v>274</v>
      </c>
      <c r="L6346" s="912"/>
      <c r="M6346" s="912"/>
      <c r="N6346" s="912"/>
      <c r="O6346" s="892">
        <f t="shared" si="433"/>
        <v>0</v>
      </c>
      <c r="P6346" s="903">
        <f t="shared" si="434"/>
        <v>1</v>
      </c>
      <c r="Q6346" s="893">
        <f t="shared" si="435"/>
        <v>5</v>
      </c>
      <c r="R6346" s="894">
        <f t="shared" si="436"/>
        <v>0</v>
      </c>
    </row>
    <row r="6347" spans="1:18">
      <c r="A6347" s="905"/>
      <c r="B6347" s="906"/>
      <c r="C6347" s="907">
        <v>66</v>
      </c>
      <c r="D6347" s="907" t="s">
        <v>279</v>
      </c>
      <c r="E6347" s="925" t="s">
        <v>2682</v>
      </c>
      <c r="F6347" s="926" t="s">
        <v>45</v>
      </c>
      <c r="G6347" s="910"/>
      <c r="H6347" s="911">
        <v>0.2</v>
      </c>
      <c r="I6347" s="912">
        <f>VLOOKUP(E6347,[3]VLP!$B$7:$K$300,10,0)</f>
        <v>5000</v>
      </c>
      <c r="J6347" s="912">
        <f t="shared" si="439"/>
        <v>1000</v>
      </c>
      <c r="K6347" s="912" t="s">
        <v>274</v>
      </c>
      <c r="L6347" s="912"/>
      <c r="M6347" s="912"/>
      <c r="N6347" s="912"/>
      <c r="O6347" s="892">
        <f t="shared" si="433"/>
        <v>0</v>
      </c>
      <c r="P6347" s="903">
        <f t="shared" si="434"/>
        <v>1</v>
      </c>
      <c r="Q6347" s="893">
        <f t="shared" si="435"/>
        <v>4</v>
      </c>
      <c r="R6347" s="894">
        <f t="shared" si="436"/>
        <v>0</v>
      </c>
    </row>
    <row r="6348" spans="1:18">
      <c r="A6348" s="905"/>
      <c r="B6348" s="906"/>
      <c r="C6348" s="907">
        <v>699</v>
      </c>
      <c r="D6348" s="907" t="s">
        <v>279</v>
      </c>
      <c r="E6348" s="925" t="s">
        <v>4006</v>
      </c>
      <c r="F6348" s="926" t="s">
        <v>4007</v>
      </c>
      <c r="G6348" s="910"/>
      <c r="H6348" s="911">
        <v>5</v>
      </c>
      <c r="I6348" s="912">
        <f>VLOOKUP(E6348,[3]VLP!$B$7:$K$300,10,0)</f>
        <v>5000</v>
      </c>
      <c r="J6348" s="912">
        <f t="shared" si="439"/>
        <v>25000</v>
      </c>
      <c r="K6348" s="912" t="s">
        <v>274</v>
      </c>
      <c r="L6348" s="912"/>
      <c r="M6348" s="912"/>
      <c r="N6348" s="912"/>
      <c r="O6348" s="892">
        <f t="shared" si="433"/>
        <v>0</v>
      </c>
      <c r="P6348" s="903">
        <f t="shared" si="434"/>
        <v>1</v>
      </c>
      <c r="Q6348" s="893">
        <f t="shared" si="435"/>
        <v>3</v>
      </c>
      <c r="R6348" s="894">
        <f t="shared" si="436"/>
        <v>0</v>
      </c>
    </row>
    <row r="6349" spans="1:18" s="904" customFormat="1">
      <c r="A6349" s="895"/>
      <c r="B6349" s="896"/>
      <c r="C6349" s="897"/>
      <c r="D6349" s="897"/>
      <c r="E6349" s="924" t="s">
        <v>276</v>
      </c>
      <c r="F6349" s="927"/>
      <c r="G6349" s="928"/>
      <c r="H6349" s="901"/>
      <c r="I6349" s="902"/>
      <c r="J6349" s="902"/>
      <c r="K6349" s="912" t="s">
        <v>274</v>
      </c>
      <c r="L6349" s="902"/>
      <c r="M6349" s="902"/>
      <c r="N6349" s="902"/>
      <c r="O6349" s="892">
        <f t="shared" si="433"/>
        <v>0</v>
      </c>
      <c r="P6349" s="903">
        <f t="shared" si="434"/>
        <v>1</v>
      </c>
      <c r="Q6349" s="893">
        <f t="shared" si="435"/>
        <v>2</v>
      </c>
      <c r="R6349" s="894">
        <f t="shared" si="436"/>
        <v>0</v>
      </c>
    </row>
    <row r="6350" spans="1:18">
      <c r="A6350" s="905"/>
      <c r="B6350" s="906"/>
      <c r="C6350" s="907">
        <v>745</v>
      </c>
      <c r="D6350" s="907" t="s">
        <v>12</v>
      </c>
      <c r="E6350" s="908" t="s">
        <v>5518</v>
      </c>
      <c r="F6350" s="909" t="s">
        <v>2674</v>
      </c>
      <c r="G6350" s="910"/>
      <c r="H6350" s="911">
        <v>4.16</v>
      </c>
      <c r="I6350" s="912"/>
      <c r="J6350" s="912"/>
      <c r="K6350" s="912">
        <f>VLOOKUP(E6350,[5]ĐMNC!$A$7:$F$67,4,0)</f>
        <v>240557</v>
      </c>
      <c r="L6350" s="912">
        <f>H6350*K6350</f>
        <v>1000717.12</v>
      </c>
      <c r="M6350" s="912"/>
      <c r="N6350" s="912"/>
      <c r="O6350" s="892">
        <f t="shared" si="433"/>
        <v>0</v>
      </c>
      <c r="P6350" s="903">
        <f t="shared" si="434"/>
        <v>1</v>
      </c>
      <c r="Q6350" s="893">
        <f t="shared" si="435"/>
        <v>1</v>
      </c>
      <c r="R6350" s="894">
        <f t="shared" si="436"/>
        <v>0</v>
      </c>
    </row>
    <row r="6351" spans="1:18" s="847" customFormat="1" ht="35.25" customHeight="1">
      <c r="A6351" s="905"/>
      <c r="B6351" s="914" t="s">
        <v>5945</v>
      </c>
      <c r="C6351" s="915"/>
      <c r="D6351" s="915"/>
      <c r="E6351" s="916" t="s">
        <v>5946</v>
      </c>
      <c r="F6351" s="917" t="s">
        <v>5834</v>
      </c>
      <c r="G6351" s="944"/>
      <c r="H6351" s="919"/>
      <c r="I6351" s="920"/>
      <c r="J6351" s="891">
        <f>SUM(J6352:J6363)</f>
        <v>223357.5</v>
      </c>
      <c r="K6351" s="891"/>
      <c r="L6351" s="891">
        <f>SUM(L6352:L6363)</f>
        <v>1116184.48</v>
      </c>
      <c r="M6351" s="891"/>
      <c r="N6351" s="891">
        <f>SUM(N6352:N6363)</f>
        <v>0</v>
      </c>
      <c r="O6351" s="892">
        <f t="shared" si="433"/>
        <v>1</v>
      </c>
      <c r="P6351" s="903">
        <f t="shared" si="434"/>
        <v>0</v>
      </c>
      <c r="Q6351" s="893">
        <f t="shared" si="435"/>
        <v>0</v>
      </c>
      <c r="R6351" s="894">
        <f t="shared" si="436"/>
        <v>12</v>
      </c>
    </row>
    <row r="6352" spans="1:18" s="904" customFormat="1">
      <c r="A6352" s="895"/>
      <c r="B6352" s="896"/>
      <c r="C6352" s="897"/>
      <c r="D6352" s="897"/>
      <c r="E6352" s="898" t="s">
        <v>108</v>
      </c>
      <c r="F6352" s="899"/>
      <c r="G6352" s="928"/>
      <c r="H6352" s="901"/>
      <c r="I6352" s="902"/>
      <c r="J6352" s="902"/>
      <c r="K6352" s="912" t="s">
        <v>274</v>
      </c>
      <c r="L6352" s="902"/>
      <c r="M6352" s="902"/>
      <c r="N6352" s="902"/>
      <c r="O6352" s="892">
        <f t="shared" si="433"/>
        <v>0</v>
      </c>
      <c r="P6352" s="903">
        <f t="shared" si="434"/>
        <v>1</v>
      </c>
      <c r="Q6352" s="893">
        <f t="shared" si="435"/>
        <v>12</v>
      </c>
      <c r="R6352" s="894">
        <f t="shared" si="436"/>
        <v>0</v>
      </c>
    </row>
    <row r="6353" spans="1:18">
      <c r="A6353" s="905"/>
      <c r="B6353" s="906"/>
      <c r="C6353" s="907">
        <v>96</v>
      </c>
      <c r="D6353" s="907" t="s">
        <v>279</v>
      </c>
      <c r="E6353" s="925" t="s">
        <v>5863</v>
      </c>
      <c r="F6353" s="909" t="s">
        <v>51</v>
      </c>
      <c r="G6353" s="910"/>
      <c r="H6353" s="911">
        <v>1</v>
      </c>
      <c r="I6353" s="912">
        <f>VLOOKUP(E6353,[3]VLP!$B$7:$K$300,10,0)</f>
        <v>27040</v>
      </c>
      <c r="J6353" s="912">
        <f t="shared" ref="J6353:J6361" si="440">I6353*H6353</f>
        <v>27040</v>
      </c>
      <c r="K6353" s="912" t="s">
        <v>274</v>
      </c>
      <c r="L6353" s="912"/>
      <c r="M6353" s="912"/>
      <c r="N6353" s="912"/>
      <c r="O6353" s="892">
        <f t="shared" si="433"/>
        <v>0</v>
      </c>
      <c r="P6353" s="903">
        <f t="shared" si="434"/>
        <v>1</v>
      </c>
      <c r="Q6353" s="893">
        <f t="shared" si="435"/>
        <v>11</v>
      </c>
      <c r="R6353" s="894">
        <f t="shared" si="436"/>
        <v>0</v>
      </c>
    </row>
    <row r="6354" spans="1:18">
      <c r="A6354" s="905"/>
      <c r="B6354" s="906"/>
      <c r="C6354" s="907">
        <v>49</v>
      </c>
      <c r="D6354" s="907" t="s">
        <v>279</v>
      </c>
      <c r="E6354" s="925" t="s">
        <v>5698</v>
      </c>
      <c r="F6354" s="909" t="s">
        <v>139</v>
      </c>
      <c r="G6354" s="910"/>
      <c r="H6354" s="911">
        <v>2</v>
      </c>
      <c r="I6354" s="912">
        <f>VLOOKUP(E6354,[3]VLP!$B$7:$K$300,10,0)</f>
        <v>3000</v>
      </c>
      <c r="J6354" s="912">
        <f t="shared" si="440"/>
        <v>6000</v>
      </c>
      <c r="K6354" s="912" t="s">
        <v>274</v>
      </c>
      <c r="L6354" s="912"/>
      <c r="M6354" s="912"/>
      <c r="N6354" s="912"/>
      <c r="O6354" s="892">
        <f t="shared" si="433"/>
        <v>0</v>
      </c>
      <c r="P6354" s="903">
        <f t="shared" si="434"/>
        <v>1</v>
      </c>
      <c r="Q6354" s="893">
        <f t="shared" si="435"/>
        <v>10</v>
      </c>
      <c r="R6354" s="894">
        <f t="shared" si="436"/>
        <v>0</v>
      </c>
    </row>
    <row r="6355" spans="1:18">
      <c r="A6355" s="905"/>
      <c r="B6355" s="906"/>
      <c r="C6355" s="907">
        <v>50</v>
      </c>
      <c r="D6355" s="907" t="s">
        <v>279</v>
      </c>
      <c r="E6355" s="925" t="s">
        <v>5836</v>
      </c>
      <c r="F6355" s="909" t="s">
        <v>49</v>
      </c>
      <c r="G6355" s="910"/>
      <c r="H6355" s="911">
        <v>1</v>
      </c>
      <c r="I6355" s="912">
        <f>VLOOKUP(E6355,[3]VLP!$B$7:$K$300,10,0)</f>
        <v>85790</v>
      </c>
      <c r="J6355" s="912">
        <f t="shared" si="440"/>
        <v>85790</v>
      </c>
      <c r="K6355" s="912" t="s">
        <v>274</v>
      </c>
      <c r="L6355" s="912"/>
      <c r="M6355" s="912"/>
      <c r="N6355" s="912"/>
      <c r="O6355" s="892">
        <f t="shared" si="433"/>
        <v>0</v>
      </c>
      <c r="P6355" s="903">
        <f t="shared" si="434"/>
        <v>1</v>
      </c>
      <c r="Q6355" s="893">
        <f t="shared" si="435"/>
        <v>9</v>
      </c>
      <c r="R6355" s="894">
        <f t="shared" si="436"/>
        <v>0</v>
      </c>
    </row>
    <row r="6356" spans="1:18">
      <c r="A6356" s="905"/>
      <c r="B6356" s="906"/>
      <c r="C6356" s="907">
        <v>46</v>
      </c>
      <c r="D6356" s="907" t="s">
        <v>279</v>
      </c>
      <c r="E6356" s="925" t="s">
        <v>3179</v>
      </c>
      <c r="F6356" s="909" t="s">
        <v>45</v>
      </c>
      <c r="G6356" s="910"/>
      <c r="H6356" s="911">
        <v>2.4</v>
      </c>
      <c r="I6356" s="912">
        <f>VLOOKUP(E6356,[3]VLP!$B$7:$K$300,10,0)</f>
        <v>20500</v>
      </c>
      <c r="J6356" s="912">
        <f t="shared" si="440"/>
        <v>49200</v>
      </c>
      <c r="K6356" s="912" t="s">
        <v>274</v>
      </c>
      <c r="L6356" s="912"/>
      <c r="M6356" s="912"/>
      <c r="N6356" s="912"/>
      <c r="O6356" s="892">
        <f t="shared" si="433"/>
        <v>0</v>
      </c>
      <c r="P6356" s="903">
        <f t="shared" si="434"/>
        <v>1</v>
      </c>
      <c r="Q6356" s="893">
        <f t="shared" si="435"/>
        <v>8</v>
      </c>
      <c r="R6356" s="894">
        <f t="shared" si="436"/>
        <v>0</v>
      </c>
    </row>
    <row r="6357" spans="1:18">
      <c r="A6357" s="905"/>
      <c r="B6357" s="906"/>
      <c r="C6357" s="907">
        <v>25</v>
      </c>
      <c r="D6357" s="907" t="s">
        <v>279</v>
      </c>
      <c r="E6357" s="925" t="s">
        <v>5656</v>
      </c>
      <c r="F6357" s="926" t="s">
        <v>2690</v>
      </c>
      <c r="G6357" s="910"/>
      <c r="H6357" s="911">
        <v>1</v>
      </c>
      <c r="I6357" s="912">
        <f>VLOOKUP(E6357,[3]VLP!$B$7:$K$300,10,0)</f>
        <v>5000</v>
      </c>
      <c r="J6357" s="912">
        <f t="shared" si="440"/>
        <v>5000</v>
      </c>
      <c r="K6357" s="912" t="s">
        <v>274</v>
      </c>
      <c r="L6357" s="912"/>
      <c r="M6357" s="912"/>
      <c r="N6357" s="912"/>
      <c r="O6357" s="892">
        <f t="shared" si="433"/>
        <v>0</v>
      </c>
      <c r="P6357" s="903">
        <f t="shared" si="434"/>
        <v>1</v>
      </c>
      <c r="Q6357" s="893">
        <f t="shared" si="435"/>
        <v>7</v>
      </c>
      <c r="R6357" s="894">
        <f t="shared" si="436"/>
        <v>0</v>
      </c>
    </row>
    <row r="6358" spans="1:18">
      <c r="A6358" s="905"/>
      <c r="B6358" s="906"/>
      <c r="C6358" s="907">
        <v>127</v>
      </c>
      <c r="D6358" s="907" t="s">
        <v>279</v>
      </c>
      <c r="E6358" s="925" t="s">
        <v>5657</v>
      </c>
      <c r="F6358" s="909" t="s">
        <v>45</v>
      </c>
      <c r="G6358" s="910"/>
      <c r="H6358" s="911">
        <v>0.5</v>
      </c>
      <c r="I6358" s="912">
        <f>VLOOKUP(E6358,[3]VLP!$B$7:$K$300,10,0)</f>
        <v>25155</v>
      </c>
      <c r="J6358" s="912">
        <f t="shared" si="440"/>
        <v>12577.5</v>
      </c>
      <c r="K6358" s="912" t="s">
        <v>274</v>
      </c>
      <c r="L6358" s="912"/>
      <c r="M6358" s="912"/>
      <c r="N6358" s="912"/>
      <c r="O6358" s="892">
        <f t="shared" si="433"/>
        <v>0</v>
      </c>
      <c r="P6358" s="903">
        <f t="shared" si="434"/>
        <v>1</v>
      </c>
      <c r="Q6358" s="893">
        <f t="shared" si="435"/>
        <v>6</v>
      </c>
      <c r="R6358" s="894">
        <f t="shared" si="436"/>
        <v>0</v>
      </c>
    </row>
    <row r="6359" spans="1:18">
      <c r="A6359" s="905"/>
      <c r="B6359" s="906"/>
      <c r="C6359" s="907">
        <v>44</v>
      </c>
      <c r="D6359" s="907" t="s">
        <v>279</v>
      </c>
      <c r="E6359" s="925" t="s">
        <v>2681</v>
      </c>
      <c r="F6359" s="926" t="s">
        <v>45</v>
      </c>
      <c r="G6359" s="910"/>
      <c r="H6359" s="911">
        <v>0.5</v>
      </c>
      <c r="I6359" s="912">
        <f>VLOOKUP(E6359,[3]VLP!$B$7:$K$300,10,0)</f>
        <v>23000</v>
      </c>
      <c r="J6359" s="912">
        <f t="shared" si="440"/>
        <v>11500</v>
      </c>
      <c r="K6359" s="912" t="s">
        <v>274</v>
      </c>
      <c r="L6359" s="912"/>
      <c r="M6359" s="912"/>
      <c r="N6359" s="912"/>
      <c r="O6359" s="892">
        <f t="shared" si="433"/>
        <v>0</v>
      </c>
      <c r="P6359" s="903">
        <f t="shared" si="434"/>
        <v>1</v>
      </c>
      <c r="Q6359" s="893">
        <f t="shared" si="435"/>
        <v>5</v>
      </c>
      <c r="R6359" s="894">
        <f t="shared" si="436"/>
        <v>0</v>
      </c>
    </row>
    <row r="6360" spans="1:18">
      <c r="A6360" s="905"/>
      <c r="B6360" s="906"/>
      <c r="C6360" s="907">
        <v>66</v>
      </c>
      <c r="D6360" s="907" t="s">
        <v>279</v>
      </c>
      <c r="E6360" s="925" t="s">
        <v>2682</v>
      </c>
      <c r="F6360" s="926" t="s">
        <v>45</v>
      </c>
      <c r="G6360" s="910"/>
      <c r="H6360" s="911">
        <v>0.25</v>
      </c>
      <c r="I6360" s="912">
        <f>VLOOKUP(E6360,[3]VLP!$B$7:$K$300,10,0)</f>
        <v>5000</v>
      </c>
      <c r="J6360" s="912">
        <f t="shared" si="440"/>
        <v>1250</v>
      </c>
      <c r="K6360" s="912" t="s">
        <v>274</v>
      </c>
      <c r="L6360" s="912"/>
      <c r="M6360" s="912"/>
      <c r="N6360" s="912"/>
      <c r="O6360" s="892">
        <f t="shared" si="433"/>
        <v>0</v>
      </c>
      <c r="P6360" s="903">
        <f t="shared" si="434"/>
        <v>1</v>
      </c>
      <c r="Q6360" s="893">
        <f t="shared" si="435"/>
        <v>4</v>
      </c>
      <c r="R6360" s="894">
        <f t="shared" si="436"/>
        <v>0</v>
      </c>
    </row>
    <row r="6361" spans="1:18">
      <c r="A6361" s="905"/>
      <c r="B6361" s="906"/>
      <c r="C6361" s="907">
        <v>699</v>
      </c>
      <c r="D6361" s="907" t="s">
        <v>279</v>
      </c>
      <c r="E6361" s="925" t="s">
        <v>4006</v>
      </c>
      <c r="F6361" s="926" t="s">
        <v>4007</v>
      </c>
      <c r="G6361" s="910"/>
      <c r="H6361" s="911">
        <v>5</v>
      </c>
      <c r="I6361" s="912">
        <f>VLOOKUP(E6361,[3]VLP!$B$7:$K$300,10,0)</f>
        <v>5000</v>
      </c>
      <c r="J6361" s="912">
        <f t="shared" si="440"/>
        <v>25000</v>
      </c>
      <c r="K6361" s="912" t="s">
        <v>274</v>
      </c>
      <c r="L6361" s="912"/>
      <c r="M6361" s="912"/>
      <c r="N6361" s="912"/>
      <c r="O6361" s="892">
        <f t="shared" si="433"/>
        <v>0</v>
      </c>
      <c r="P6361" s="903">
        <f t="shared" si="434"/>
        <v>1</v>
      </c>
      <c r="Q6361" s="893">
        <f t="shared" si="435"/>
        <v>3</v>
      </c>
      <c r="R6361" s="894">
        <f t="shared" si="436"/>
        <v>0</v>
      </c>
    </row>
    <row r="6362" spans="1:18" s="904" customFormat="1">
      <c r="A6362" s="895"/>
      <c r="B6362" s="896"/>
      <c r="C6362" s="897"/>
      <c r="D6362" s="897"/>
      <c r="E6362" s="924" t="s">
        <v>276</v>
      </c>
      <c r="F6362" s="927"/>
      <c r="G6362" s="928"/>
      <c r="H6362" s="901"/>
      <c r="I6362" s="902"/>
      <c r="J6362" s="902"/>
      <c r="K6362" s="912" t="s">
        <v>274</v>
      </c>
      <c r="L6362" s="902"/>
      <c r="M6362" s="902"/>
      <c r="N6362" s="902"/>
      <c r="O6362" s="892">
        <f t="shared" si="433"/>
        <v>0</v>
      </c>
      <c r="P6362" s="903">
        <f t="shared" si="434"/>
        <v>1</v>
      </c>
      <c r="Q6362" s="893">
        <f t="shared" si="435"/>
        <v>2</v>
      </c>
      <c r="R6362" s="894">
        <f t="shared" si="436"/>
        <v>0</v>
      </c>
    </row>
    <row r="6363" spans="1:18">
      <c r="A6363" s="905"/>
      <c r="B6363" s="906"/>
      <c r="C6363" s="907">
        <v>745</v>
      </c>
      <c r="D6363" s="907" t="s">
        <v>12</v>
      </c>
      <c r="E6363" s="908" t="s">
        <v>5518</v>
      </c>
      <c r="F6363" s="909" t="s">
        <v>2674</v>
      </c>
      <c r="G6363" s="910"/>
      <c r="H6363" s="911">
        <v>4.6399999999999997</v>
      </c>
      <c r="I6363" s="912"/>
      <c r="J6363" s="912"/>
      <c r="K6363" s="912">
        <f>VLOOKUP(E6363,[5]ĐMNC!$A$7:$F$67,4,0)</f>
        <v>240557</v>
      </c>
      <c r="L6363" s="912">
        <f>H6363*K6363</f>
        <v>1116184.48</v>
      </c>
      <c r="M6363" s="912"/>
      <c r="N6363" s="912"/>
      <c r="O6363" s="892">
        <f t="shared" si="433"/>
        <v>0</v>
      </c>
      <c r="P6363" s="903">
        <f t="shared" si="434"/>
        <v>1</v>
      </c>
      <c r="Q6363" s="893">
        <f t="shared" si="435"/>
        <v>1</v>
      </c>
      <c r="R6363" s="894">
        <f t="shared" si="436"/>
        <v>0</v>
      </c>
    </row>
    <row r="6364" spans="1:18" s="847" customFormat="1" ht="35.25" customHeight="1">
      <c r="A6364" s="905"/>
      <c r="B6364" s="914" t="s">
        <v>5947</v>
      </c>
      <c r="C6364" s="915"/>
      <c r="D6364" s="915"/>
      <c r="E6364" s="916" t="s">
        <v>5948</v>
      </c>
      <c r="F6364" s="917" t="s">
        <v>5834</v>
      </c>
      <c r="G6364" s="944"/>
      <c r="H6364" s="919"/>
      <c r="I6364" s="920"/>
      <c r="J6364" s="891">
        <f>SUM(J6365:J6376)</f>
        <v>249877.5</v>
      </c>
      <c r="K6364" s="891"/>
      <c r="L6364" s="891">
        <f>SUM(L6365:L6376)</f>
        <v>1229246.27</v>
      </c>
      <c r="M6364" s="891"/>
      <c r="N6364" s="891">
        <f>SUM(N6365:N6376)</f>
        <v>0</v>
      </c>
      <c r="O6364" s="892">
        <f t="shared" si="433"/>
        <v>1</v>
      </c>
      <c r="P6364" s="903">
        <f t="shared" si="434"/>
        <v>0</v>
      </c>
      <c r="Q6364" s="893">
        <f t="shared" si="435"/>
        <v>0</v>
      </c>
      <c r="R6364" s="894">
        <f t="shared" si="436"/>
        <v>12</v>
      </c>
    </row>
    <row r="6365" spans="1:18" s="904" customFormat="1">
      <c r="A6365" s="895"/>
      <c r="B6365" s="896"/>
      <c r="C6365" s="897"/>
      <c r="D6365" s="897"/>
      <c r="E6365" s="898" t="s">
        <v>108</v>
      </c>
      <c r="F6365" s="899"/>
      <c r="G6365" s="928"/>
      <c r="H6365" s="901"/>
      <c r="I6365" s="902"/>
      <c r="J6365" s="902"/>
      <c r="K6365" s="912" t="s">
        <v>274</v>
      </c>
      <c r="L6365" s="902"/>
      <c r="M6365" s="902"/>
      <c r="N6365" s="902"/>
      <c r="O6365" s="892">
        <f t="shared" si="433"/>
        <v>0</v>
      </c>
      <c r="P6365" s="903">
        <f t="shared" si="434"/>
        <v>1</v>
      </c>
      <c r="Q6365" s="893">
        <f t="shared" si="435"/>
        <v>12</v>
      </c>
      <c r="R6365" s="894">
        <f t="shared" si="436"/>
        <v>0</v>
      </c>
    </row>
    <row r="6366" spans="1:18">
      <c r="A6366" s="905"/>
      <c r="B6366" s="906"/>
      <c r="C6366" s="907">
        <v>97</v>
      </c>
      <c r="D6366" s="907" t="s">
        <v>279</v>
      </c>
      <c r="E6366" s="925" t="s">
        <v>5866</v>
      </c>
      <c r="F6366" s="909" t="s">
        <v>51</v>
      </c>
      <c r="G6366" s="910"/>
      <c r="H6366" s="911">
        <v>1</v>
      </c>
      <c r="I6366" s="912">
        <f>VLOOKUP(E6366,[3]VLP!$B$7:$K$300,10,0)</f>
        <v>40560</v>
      </c>
      <c r="J6366" s="912">
        <f t="shared" ref="J6366:J6374" si="441">I6366*H6366</f>
        <v>40560</v>
      </c>
      <c r="K6366" s="912" t="s">
        <v>274</v>
      </c>
      <c r="L6366" s="912"/>
      <c r="M6366" s="912"/>
      <c r="N6366" s="912"/>
      <c r="O6366" s="892">
        <f t="shared" si="433"/>
        <v>0</v>
      </c>
      <c r="P6366" s="903">
        <f t="shared" si="434"/>
        <v>1</v>
      </c>
      <c r="Q6366" s="893">
        <f t="shared" si="435"/>
        <v>11</v>
      </c>
      <c r="R6366" s="894">
        <f t="shared" si="436"/>
        <v>0</v>
      </c>
    </row>
    <row r="6367" spans="1:18">
      <c r="A6367" s="905"/>
      <c r="B6367" s="906"/>
      <c r="C6367" s="907">
        <v>49</v>
      </c>
      <c r="D6367" s="907" t="s">
        <v>279</v>
      </c>
      <c r="E6367" s="925" t="s">
        <v>5698</v>
      </c>
      <c r="F6367" s="909" t="s">
        <v>139</v>
      </c>
      <c r="G6367" s="910"/>
      <c r="H6367" s="911">
        <v>2</v>
      </c>
      <c r="I6367" s="912">
        <f>VLOOKUP(E6367,[3]VLP!$B$7:$K$300,10,0)</f>
        <v>3000</v>
      </c>
      <c r="J6367" s="912">
        <f t="shared" si="441"/>
        <v>6000</v>
      </c>
      <c r="K6367" s="912" t="s">
        <v>274</v>
      </c>
      <c r="L6367" s="912"/>
      <c r="M6367" s="912"/>
      <c r="N6367" s="912"/>
      <c r="O6367" s="892">
        <f t="shared" ref="O6367:O6430" si="442">IF(AND(B6367&lt;&gt;"",D6367=""),1,0)</f>
        <v>0</v>
      </c>
      <c r="P6367" s="903">
        <f t="shared" si="434"/>
        <v>1</v>
      </c>
      <c r="Q6367" s="893">
        <f t="shared" si="435"/>
        <v>10</v>
      </c>
      <c r="R6367" s="894">
        <f t="shared" si="436"/>
        <v>0</v>
      </c>
    </row>
    <row r="6368" spans="1:18">
      <c r="A6368" s="905"/>
      <c r="B6368" s="906"/>
      <c r="C6368" s="907">
        <v>50</v>
      </c>
      <c r="D6368" s="907" t="s">
        <v>279</v>
      </c>
      <c r="E6368" s="925" t="s">
        <v>5836</v>
      </c>
      <c r="F6368" s="909" t="s">
        <v>49</v>
      </c>
      <c r="G6368" s="910"/>
      <c r="H6368" s="911">
        <v>1</v>
      </c>
      <c r="I6368" s="912">
        <f>VLOOKUP(E6368,[3]VLP!$B$7:$K$300,10,0)</f>
        <v>85790</v>
      </c>
      <c r="J6368" s="912">
        <f t="shared" si="441"/>
        <v>85790</v>
      </c>
      <c r="K6368" s="912" t="s">
        <v>274</v>
      </c>
      <c r="L6368" s="912"/>
      <c r="M6368" s="912"/>
      <c r="N6368" s="912"/>
      <c r="O6368" s="892">
        <f t="shared" si="442"/>
        <v>0</v>
      </c>
      <c r="P6368" s="903">
        <f t="shared" si="434"/>
        <v>1</v>
      </c>
      <c r="Q6368" s="893">
        <f t="shared" si="435"/>
        <v>9</v>
      </c>
      <c r="R6368" s="894">
        <f t="shared" si="436"/>
        <v>0</v>
      </c>
    </row>
    <row r="6369" spans="1:18">
      <c r="A6369" s="905"/>
      <c r="B6369" s="906"/>
      <c r="C6369" s="907">
        <v>46</v>
      </c>
      <c r="D6369" s="907" t="s">
        <v>279</v>
      </c>
      <c r="E6369" s="925" t="s">
        <v>3179</v>
      </c>
      <c r="F6369" s="909" t="s">
        <v>45</v>
      </c>
      <c r="G6369" s="910"/>
      <c r="H6369" s="911">
        <v>2.8</v>
      </c>
      <c r="I6369" s="912">
        <f>VLOOKUP(E6369,[3]VLP!$B$7:$K$300,10,0)</f>
        <v>20500</v>
      </c>
      <c r="J6369" s="912">
        <f t="shared" si="441"/>
        <v>57399.999999999993</v>
      </c>
      <c r="K6369" s="912" t="s">
        <v>274</v>
      </c>
      <c r="L6369" s="912"/>
      <c r="M6369" s="912"/>
      <c r="N6369" s="912"/>
      <c r="O6369" s="892">
        <f t="shared" si="442"/>
        <v>0</v>
      </c>
      <c r="P6369" s="903">
        <f t="shared" si="434"/>
        <v>1</v>
      </c>
      <c r="Q6369" s="893">
        <f t="shared" si="435"/>
        <v>8</v>
      </c>
      <c r="R6369" s="894">
        <f t="shared" si="436"/>
        <v>0</v>
      </c>
    </row>
    <row r="6370" spans="1:18">
      <c r="A6370" s="905"/>
      <c r="B6370" s="906"/>
      <c r="C6370" s="907">
        <v>25</v>
      </c>
      <c r="D6370" s="907" t="s">
        <v>279</v>
      </c>
      <c r="E6370" s="925" t="s">
        <v>5656</v>
      </c>
      <c r="F6370" s="926" t="s">
        <v>2690</v>
      </c>
      <c r="G6370" s="910"/>
      <c r="H6370" s="911">
        <v>1.5</v>
      </c>
      <c r="I6370" s="912">
        <f>VLOOKUP(E6370,[3]VLP!$B$7:$K$300,10,0)</f>
        <v>5000</v>
      </c>
      <c r="J6370" s="912">
        <f t="shared" si="441"/>
        <v>7500</v>
      </c>
      <c r="K6370" s="912" t="s">
        <v>274</v>
      </c>
      <c r="L6370" s="912"/>
      <c r="M6370" s="912"/>
      <c r="N6370" s="912"/>
      <c r="O6370" s="892">
        <f t="shared" si="442"/>
        <v>0</v>
      </c>
      <c r="P6370" s="903">
        <f t="shared" si="434"/>
        <v>1</v>
      </c>
      <c r="Q6370" s="893">
        <f t="shared" si="435"/>
        <v>7</v>
      </c>
      <c r="R6370" s="894">
        <f t="shared" si="436"/>
        <v>0</v>
      </c>
    </row>
    <row r="6371" spans="1:18">
      <c r="A6371" s="905"/>
      <c r="B6371" s="906"/>
      <c r="C6371" s="907">
        <v>127</v>
      </c>
      <c r="D6371" s="907" t="s">
        <v>279</v>
      </c>
      <c r="E6371" s="925" t="s">
        <v>5657</v>
      </c>
      <c r="F6371" s="909" t="s">
        <v>45</v>
      </c>
      <c r="G6371" s="910"/>
      <c r="H6371" s="911">
        <v>0.5</v>
      </c>
      <c r="I6371" s="912">
        <f>VLOOKUP(E6371,[3]VLP!$B$7:$K$300,10,0)</f>
        <v>25155</v>
      </c>
      <c r="J6371" s="912">
        <f t="shared" si="441"/>
        <v>12577.5</v>
      </c>
      <c r="K6371" s="912" t="s">
        <v>274</v>
      </c>
      <c r="L6371" s="912"/>
      <c r="M6371" s="912"/>
      <c r="N6371" s="912"/>
      <c r="O6371" s="892">
        <f t="shared" si="442"/>
        <v>0</v>
      </c>
      <c r="P6371" s="903">
        <f t="shared" si="434"/>
        <v>1</v>
      </c>
      <c r="Q6371" s="893">
        <f t="shared" si="435"/>
        <v>6</v>
      </c>
      <c r="R6371" s="894">
        <f t="shared" si="436"/>
        <v>0</v>
      </c>
    </row>
    <row r="6372" spans="1:18">
      <c r="A6372" s="905"/>
      <c r="B6372" s="906"/>
      <c r="C6372" s="907">
        <v>44</v>
      </c>
      <c r="D6372" s="907" t="s">
        <v>279</v>
      </c>
      <c r="E6372" s="925" t="s">
        <v>2681</v>
      </c>
      <c r="F6372" s="926" t="s">
        <v>45</v>
      </c>
      <c r="G6372" s="910"/>
      <c r="H6372" s="911">
        <v>0.6</v>
      </c>
      <c r="I6372" s="912">
        <f>VLOOKUP(E6372,[3]VLP!$B$7:$K$300,10,0)</f>
        <v>23000</v>
      </c>
      <c r="J6372" s="912">
        <f t="shared" si="441"/>
        <v>13800</v>
      </c>
      <c r="K6372" s="912" t="s">
        <v>274</v>
      </c>
      <c r="L6372" s="912"/>
      <c r="M6372" s="912"/>
      <c r="N6372" s="912"/>
      <c r="O6372" s="892">
        <f t="shared" si="442"/>
        <v>0</v>
      </c>
      <c r="P6372" s="903">
        <f t="shared" si="434"/>
        <v>1</v>
      </c>
      <c r="Q6372" s="893">
        <f t="shared" si="435"/>
        <v>5</v>
      </c>
      <c r="R6372" s="894">
        <f t="shared" si="436"/>
        <v>0</v>
      </c>
    </row>
    <row r="6373" spans="1:18">
      <c r="A6373" s="905"/>
      <c r="B6373" s="906"/>
      <c r="C6373" s="907">
        <v>66</v>
      </c>
      <c r="D6373" s="907" t="s">
        <v>279</v>
      </c>
      <c r="E6373" s="925" t="s">
        <v>2682</v>
      </c>
      <c r="F6373" s="926" t="s">
        <v>45</v>
      </c>
      <c r="G6373" s="910"/>
      <c r="H6373" s="911">
        <v>0.25</v>
      </c>
      <c r="I6373" s="912">
        <f>VLOOKUP(E6373,[3]VLP!$B$7:$K$300,10,0)</f>
        <v>5000</v>
      </c>
      <c r="J6373" s="912">
        <f t="shared" si="441"/>
        <v>1250</v>
      </c>
      <c r="K6373" s="912" t="s">
        <v>274</v>
      </c>
      <c r="L6373" s="912"/>
      <c r="M6373" s="912"/>
      <c r="N6373" s="912"/>
      <c r="O6373" s="892">
        <f t="shared" si="442"/>
        <v>0</v>
      </c>
      <c r="P6373" s="903">
        <f t="shared" si="434"/>
        <v>1</v>
      </c>
      <c r="Q6373" s="893">
        <f t="shared" si="435"/>
        <v>4</v>
      </c>
      <c r="R6373" s="894">
        <f t="shared" si="436"/>
        <v>0</v>
      </c>
    </row>
    <row r="6374" spans="1:18">
      <c r="A6374" s="905"/>
      <c r="B6374" s="906"/>
      <c r="C6374" s="907">
        <v>699</v>
      </c>
      <c r="D6374" s="907" t="s">
        <v>279</v>
      </c>
      <c r="E6374" s="925" t="s">
        <v>4006</v>
      </c>
      <c r="F6374" s="926" t="s">
        <v>4007</v>
      </c>
      <c r="G6374" s="910"/>
      <c r="H6374" s="911">
        <v>5</v>
      </c>
      <c r="I6374" s="912">
        <f>VLOOKUP(E6374,[3]VLP!$B$7:$K$300,10,0)</f>
        <v>5000</v>
      </c>
      <c r="J6374" s="912">
        <f t="shared" si="441"/>
        <v>25000</v>
      </c>
      <c r="K6374" s="912" t="s">
        <v>274</v>
      </c>
      <c r="L6374" s="912"/>
      <c r="M6374" s="912"/>
      <c r="N6374" s="912"/>
      <c r="O6374" s="892">
        <f t="shared" si="442"/>
        <v>0</v>
      </c>
      <c r="P6374" s="903">
        <f t="shared" si="434"/>
        <v>1</v>
      </c>
      <c r="Q6374" s="893">
        <f t="shared" si="435"/>
        <v>3</v>
      </c>
      <c r="R6374" s="894">
        <f t="shared" si="436"/>
        <v>0</v>
      </c>
    </row>
    <row r="6375" spans="1:18" s="904" customFormat="1">
      <c r="A6375" s="895"/>
      <c r="B6375" s="896"/>
      <c r="C6375" s="897"/>
      <c r="D6375" s="897"/>
      <c r="E6375" s="924" t="s">
        <v>276</v>
      </c>
      <c r="F6375" s="927"/>
      <c r="G6375" s="928"/>
      <c r="H6375" s="901"/>
      <c r="I6375" s="902"/>
      <c r="J6375" s="902"/>
      <c r="K6375" s="912" t="s">
        <v>274</v>
      </c>
      <c r="L6375" s="902"/>
      <c r="M6375" s="902"/>
      <c r="N6375" s="902"/>
      <c r="O6375" s="892">
        <f t="shared" si="442"/>
        <v>0</v>
      </c>
      <c r="P6375" s="903">
        <f t="shared" si="434"/>
        <v>1</v>
      </c>
      <c r="Q6375" s="893">
        <f t="shared" si="435"/>
        <v>2</v>
      </c>
      <c r="R6375" s="894">
        <f t="shared" si="436"/>
        <v>0</v>
      </c>
    </row>
    <row r="6376" spans="1:18">
      <c r="A6376" s="905"/>
      <c r="B6376" s="906"/>
      <c r="C6376" s="907">
        <v>745</v>
      </c>
      <c r="D6376" s="907" t="s">
        <v>12</v>
      </c>
      <c r="E6376" s="908" t="s">
        <v>5518</v>
      </c>
      <c r="F6376" s="909" t="s">
        <v>2674</v>
      </c>
      <c r="G6376" s="910"/>
      <c r="H6376" s="911">
        <v>5.1100000000000003</v>
      </c>
      <c r="I6376" s="912"/>
      <c r="J6376" s="912"/>
      <c r="K6376" s="912">
        <f>VLOOKUP(E6376,[5]ĐMNC!$A$7:$F$67,4,0)</f>
        <v>240557</v>
      </c>
      <c r="L6376" s="912">
        <f>H6376*K6376</f>
        <v>1229246.27</v>
      </c>
      <c r="M6376" s="912"/>
      <c r="N6376" s="912"/>
      <c r="O6376" s="892">
        <f t="shared" si="442"/>
        <v>0</v>
      </c>
      <c r="P6376" s="903">
        <f t="shared" ref="P6376:P6439" si="443">IF(O6376=0,1,0)</f>
        <v>1</v>
      </c>
      <c r="Q6376" s="893">
        <f t="shared" ref="Q6376:Q6439" si="444">IF(P6376=0,0,P6376+Q6377)</f>
        <v>1</v>
      </c>
      <c r="R6376" s="894">
        <f t="shared" ref="R6376:R6439" si="445">IF(Q6376=0,Q6377,0)</f>
        <v>0</v>
      </c>
    </row>
    <row r="6377" spans="1:18" s="847" customFormat="1" ht="35.25" customHeight="1">
      <c r="A6377" s="905" t="s">
        <v>5881</v>
      </c>
      <c r="B6377" s="914" t="s">
        <v>5949</v>
      </c>
      <c r="C6377" s="915"/>
      <c r="D6377" s="915"/>
      <c r="E6377" s="916" t="s">
        <v>5950</v>
      </c>
      <c r="F6377" s="917" t="s">
        <v>5834</v>
      </c>
      <c r="G6377" s="944"/>
      <c r="H6377" s="919"/>
      <c r="I6377" s="920"/>
      <c r="J6377" s="891">
        <f>SUM(J6378:J6389)</f>
        <v>271237.5</v>
      </c>
      <c r="K6377" s="891"/>
      <c r="L6377" s="891">
        <f>SUM(L6378:L6389)</f>
        <v>1344713.63</v>
      </c>
      <c r="M6377" s="891"/>
      <c r="N6377" s="891">
        <f>SUM(N6378:N6389)</f>
        <v>0</v>
      </c>
      <c r="O6377" s="892">
        <f t="shared" si="442"/>
        <v>1</v>
      </c>
      <c r="P6377" s="903">
        <f t="shared" si="443"/>
        <v>0</v>
      </c>
      <c r="Q6377" s="893">
        <f t="shared" si="444"/>
        <v>0</v>
      </c>
      <c r="R6377" s="894">
        <f t="shared" si="445"/>
        <v>12</v>
      </c>
    </row>
    <row r="6378" spans="1:18" s="904" customFormat="1">
      <c r="A6378" s="895"/>
      <c r="B6378" s="896"/>
      <c r="C6378" s="897"/>
      <c r="D6378" s="897"/>
      <c r="E6378" s="898" t="s">
        <v>108</v>
      </c>
      <c r="F6378" s="899"/>
      <c r="G6378" s="928"/>
      <c r="H6378" s="901"/>
      <c r="I6378" s="902"/>
      <c r="J6378" s="902"/>
      <c r="K6378" s="912" t="s">
        <v>274</v>
      </c>
      <c r="L6378" s="902"/>
      <c r="M6378" s="902"/>
      <c r="N6378" s="902"/>
      <c r="O6378" s="892">
        <f t="shared" si="442"/>
        <v>0</v>
      </c>
      <c r="P6378" s="903">
        <f t="shared" si="443"/>
        <v>1</v>
      </c>
      <c r="Q6378" s="893">
        <f t="shared" si="444"/>
        <v>12</v>
      </c>
      <c r="R6378" s="894">
        <f t="shared" si="445"/>
        <v>0</v>
      </c>
    </row>
    <row r="6379" spans="1:18">
      <c r="A6379" s="905"/>
      <c r="B6379" s="906"/>
      <c r="C6379" s="907">
        <v>98</v>
      </c>
      <c r="D6379" s="907" t="s">
        <v>279</v>
      </c>
      <c r="E6379" s="925" t="s">
        <v>5869</v>
      </c>
      <c r="F6379" s="909" t="s">
        <v>51</v>
      </c>
      <c r="G6379" s="910"/>
      <c r="H6379" s="911">
        <v>1</v>
      </c>
      <c r="I6379" s="912">
        <f>VLOOKUP(E6379,[3]VLP!$B$7:$K$300,10,0)</f>
        <v>47320</v>
      </c>
      <c r="J6379" s="912">
        <f t="shared" ref="J6379:J6387" si="446">I6379*H6379</f>
        <v>47320</v>
      </c>
      <c r="K6379" s="912" t="s">
        <v>274</v>
      </c>
      <c r="L6379" s="912"/>
      <c r="M6379" s="912"/>
      <c r="N6379" s="912"/>
      <c r="O6379" s="892">
        <f t="shared" si="442"/>
        <v>0</v>
      </c>
      <c r="P6379" s="903">
        <f t="shared" si="443"/>
        <v>1</v>
      </c>
      <c r="Q6379" s="893">
        <f t="shared" si="444"/>
        <v>11</v>
      </c>
      <c r="R6379" s="894">
        <f t="shared" si="445"/>
        <v>0</v>
      </c>
    </row>
    <row r="6380" spans="1:18">
      <c r="A6380" s="905"/>
      <c r="B6380" s="906"/>
      <c r="C6380" s="907">
        <v>49</v>
      </c>
      <c r="D6380" s="907" t="s">
        <v>279</v>
      </c>
      <c r="E6380" s="925" t="s">
        <v>5698</v>
      </c>
      <c r="F6380" s="909" t="s">
        <v>139</v>
      </c>
      <c r="G6380" s="910"/>
      <c r="H6380" s="911">
        <v>2</v>
      </c>
      <c r="I6380" s="912">
        <f>VLOOKUP(E6380,[3]VLP!$B$7:$K$300,10,0)</f>
        <v>3000</v>
      </c>
      <c r="J6380" s="912">
        <f t="shared" si="446"/>
        <v>6000</v>
      </c>
      <c r="K6380" s="912" t="s">
        <v>274</v>
      </c>
      <c r="L6380" s="912"/>
      <c r="M6380" s="912"/>
      <c r="N6380" s="912"/>
      <c r="O6380" s="892">
        <f t="shared" si="442"/>
        <v>0</v>
      </c>
      <c r="P6380" s="903">
        <f t="shared" si="443"/>
        <v>1</v>
      </c>
      <c r="Q6380" s="893">
        <f t="shared" si="444"/>
        <v>10</v>
      </c>
      <c r="R6380" s="894">
        <f t="shared" si="445"/>
        <v>0</v>
      </c>
    </row>
    <row r="6381" spans="1:18">
      <c r="A6381" s="905"/>
      <c r="B6381" s="906"/>
      <c r="C6381" s="907">
        <v>50</v>
      </c>
      <c r="D6381" s="907" t="s">
        <v>279</v>
      </c>
      <c r="E6381" s="925" t="s">
        <v>5836</v>
      </c>
      <c r="F6381" s="909" t="s">
        <v>49</v>
      </c>
      <c r="G6381" s="910"/>
      <c r="H6381" s="911">
        <v>1</v>
      </c>
      <c r="I6381" s="912">
        <f>VLOOKUP(E6381,[3]VLP!$B$7:$K$300,10,0)</f>
        <v>85790</v>
      </c>
      <c r="J6381" s="912">
        <f t="shared" si="446"/>
        <v>85790</v>
      </c>
      <c r="K6381" s="912" t="s">
        <v>274</v>
      </c>
      <c r="L6381" s="912"/>
      <c r="M6381" s="912"/>
      <c r="N6381" s="912"/>
      <c r="O6381" s="892">
        <f t="shared" si="442"/>
        <v>0</v>
      </c>
      <c r="P6381" s="903">
        <f t="shared" si="443"/>
        <v>1</v>
      </c>
      <c r="Q6381" s="893">
        <f t="shared" si="444"/>
        <v>9</v>
      </c>
      <c r="R6381" s="894">
        <f t="shared" si="445"/>
        <v>0</v>
      </c>
    </row>
    <row r="6382" spans="1:18">
      <c r="A6382" s="905"/>
      <c r="B6382" s="906"/>
      <c r="C6382" s="907">
        <v>46</v>
      </c>
      <c r="D6382" s="907" t="s">
        <v>279</v>
      </c>
      <c r="E6382" s="925" t="s">
        <v>3179</v>
      </c>
      <c r="F6382" s="909" t="s">
        <v>45</v>
      </c>
      <c r="G6382" s="910"/>
      <c r="H6382" s="911">
        <v>3.5</v>
      </c>
      <c r="I6382" s="912">
        <f>VLOOKUP(E6382,[3]VLP!$B$7:$K$300,10,0)</f>
        <v>20500</v>
      </c>
      <c r="J6382" s="912">
        <f t="shared" si="446"/>
        <v>71750</v>
      </c>
      <c r="K6382" s="912" t="s">
        <v>274</v>
      </c>
      <c r="L6382" s="912"/>
      <c r="M6382" s="912"/>
      <c r="N6382" s="912"/>
      <c r="O6382" s="892">
        <f t="shared" si="442"/>
        <v>0</v>
      </c>
      <c r="P6382" s="903">
        <f t="shared" si="443"/>
        <v>1</v>
      </c>
      <c r="Q6382" s="893">
        <f t="shared" si="444"/>
        <v>8</v>
      </c>
      <c r="R6382" s="894">
        <f t="shared" si="445"/>
        <v>0</v>
      </c>
    </row>
    <row r="6383" spans="1:18">
      <c r="A6383" s="905"/>
      <c r="B6383" s="906"/>
      <c r="C6383" s="907">
        <v>25</v>
      </c>
      <c r="D6383" s="907" t="s">
        <v>279</v>
      </c>
      <c r="E6383" s="925" t="s">
        <v>5656</v>
      </c>
      <c r="F6383" s="926" t="s">
        <v>2690</v>
      </c>
      <c r="G6383" s="910"/>
      <c r="H6383" s="911">
        <v>1.5</v>
      </c>
      <c r="I6383" s="912">
        <f>VLOOKUP(E6383,[3]VLP!$B$7:$K$300,10,0)</f>
        <v>5000</v>
      </c>
      <c r="J6383" s="912">
        <f t="shared" si="446"/>
        <v>7500</v>
      </c>
      <c r="K6383" s="912" t="s">
        <v>274</v>
      </c>
      <c r="L6383" s="912"/>
      <c r="M6383" s="912"/>
      <c r="N6383" s="912"/>
      <c r="O6383" s="892">
        <f t="shared" si="442"/>
        <v>0</v>
      </c>
      <c r="P6383" s="903">
        <f t="shared" si="443"/>
        <v>1</v>
      </c>
      <c r="Q6383" s="893">
        <f t="shared" si="444"/>
        <v>7</v>
      </c>
      <c r="R6383" s="894">
        <f t="shared" si="445"/>
        <v>0</v>
      </c>
    </row>
    <row r="6384" spans="1:18">
      <c r="A6384" s="905"/>
      <c r="B6384" s="906"/>
      <c r="C6384" s="907">
        <v>127</v>
      </c>
      <c r="D6384" s="907" t="s">
        <v>279</v>
      </c>
      <c r="E6384" s="925" t="s">
        <v>5657</v>
      </c>
      <c r="F6384" s="909" t="s">
        <v>45</v>
      </c>
      <c r="G6384" s="910"/>
      <c r="H6384" s="911">
        <v>0.5</v>
      </c>
      <c r="I6384" s="912">
        <f>VLOOKUP(E6384,[3]VLP!$B$7:$K$300,10,0)</f>
        <v>25155</v>
      </c>
      <c r="J6384" s="912">
        <f t="shared" si="446"/>
        <v>12577.5</v>
      </c>
      <c r="K6384" s="912" t="s">
        <v>274</v>
      </c>
      <c r="L6384" s="912"/>
      <c r="M6384" s="912"/>
      <c r="N6384" s="912"/>
      <c r="O6384" s="892">
        <f t="shared" si="442"/>
        <v>0</v>
      </c>
      <c r="P6384" s="903">
        <f t="shared" si="443"/>
        <v>1</v>
      </c>
      <c r="Q6384" s="893">
        <f t="shared" si="444"/>
        <v>6</v>
      </c>
      <c r="R6384" s="894">
        <f t="shared" si="445"/>
        <v>0</v>
      </c>
    </row>
    <row r="6385" spans="1:18">
      <c r="A6385" s="905"/>
      <c r="B6385" s="906"/>
      <c r="C6385" s="907">
        <v>44</v>
      </c>
      <c r="D6385" s="907" t="s">
        <v>279</v>
      </c>
      <c r="E6385" s="925" t="s">
        <v>2681</v>
      </c>
      <c r="F6385" s="926" t="s">
        <v>45</v>
      </c>
      <c r="G6385" s="910"/>
      <c r="H6385" s="911">
        <v>0.6</v>
      </c>
      <c r="I6385" s="912">
        <f>VLOOKUP(E6385,[3]VLP!$B$7:$K$300,10,0)</f>
        <v>23000</v>
      </c>
      <c r="J6385" s="912">
        <f t="shared" si="446"/>
        <v>13800</v>
      </c>
      <c r="K6385" s="912" t="s">
        <v>274</v>
      </c>
      <c r="L6385" s="912"/>
      <c r="M6385" s="912"/>
      <c r="N6385" s="912"/>
      <c r="O6385" s="892">
        <f t="shared" si="442"/>
        <v>0</v>
      </c>
      <c r="P6385" s="903">
        <f t="shared" si="443"/>
        <v>1</v>
      </c>
      <c r="Q6385" s="893">
        <f t="shared" si="444"/>
        <v>5</v>
      </c>
      <c r="R6385" s="894">
        <f t="shared" si="445"/>
        <v>0</v>
      </c>
    </row>
    <row r="6386" spans="1:18">
      <c r="A6386" s="905"/>
      <c r="B6386" s="906"/>
      <c r="C6386" s="907">
        <v>66</v>
      </c>
      <c r="D6386" s="907" t="s">
        <v>279</v>
      </c>
      <c r="E6386" s="925" t="s">
        <v>2682</v>
      </c>
      <c r="F6386" s="926" t="s">
        <v>45</v>
      </c>
      <c r="G6386" s="910"/>
      <c r="H6386" s="911">
        <v>0.3</v>
      </c>
      <c r="I6386" s="912">
        <f>VLOOKUP(E6386,[3]VLP!$B$7:$K$300,10,0)</f>
        <v>5000</v>
      </c>
      <c r="J6386" s="912">
        <f t="shared" si="446"/>
        <v>1500</v>
      </c>
      <c r="K6386" s="912" t="s">
        <v>274</v>
      </c>
      <c r="L6386" s="912"/>
      <c r="M6386" s="912"/>
      <c r="N6386" s="912"/>
      <c r="O6386" s="892">
        <f t="shared" si="442"/>
        <v>0</v>
      </c>
      <c r="P6386" s="903">
        <f t="shared" si="443"/>
        <v>1</v>
      </c>
      <c r="Q6386" s="893">
        <f t="shared" si="444"/>
        <v>4</v>
      </c>
      <c r="R6386" s="894">
        <f t="shared" si="445"/>
        <v>0</v>
      </c>
    </row>
    <row r="6387" spans="1:18">
      <c r="A6387" s="905"/>
      <c r="B6387" s="906"/>
      <c r="C6387" s="907">
        <v>699</v>
      </c>
      <c r="D6387" s="907" t="s">
        <v>279</v>
      </c>
      <c r="E6387" s="925" t="s">
        <v>4006</v>
      </c>
      <c r="F6387" s="926" t="s">
        <v>4007</v>
      </c>
      <c r="G6387" s="910"/>
      <c r="H6387" s="911">
        <v>5</v>
      </c>
      <c r="I6387" s="912">
        <f>VLOOKUP(E6387,[3]VLP!$B$7:$K$300,10,0)</f>
        <v>5000</v>
      </c>
      <c r="J6387" s="912">
        <f t="shared" si="446"/>
        <v>25000</v>
      </c>
      <c r="K6387" s="912" t="s">
        <v>274</v>
      </c>
      <c r="L6387" s="912"/>
      <c r="M6387" s="912"/>
      <c r="N6387" s="912"/>
      <c r="O6387" s="892">
        <f t="shared" si="442"/>
        <v>0</v>
      </c>
      <c r="P6387" s="903">
        <f t="shared" si="443"/>
        <v>1</v>
      </c>
      <c r="Q6387" s="893">
        <f t="shared" si="444"/>
        <v>3</v>
      </c>
      <c r="R6387" s="894">
        <f t="shared" si="445"/>
        <v>0</v>
      </c>
    </row>
    <row r="6388" spans="1:18" s="904" customFormat="1">
      <c r="A6388" s="895"/>
      <c r="B6388" s="896"/>
      <c r="C6388" s="897"/>
      <c r="D6388" s="897"/>
      <c r="E6388" s="924" t="s">
        <v>276</v>
      </c>
      <c r="F6388" s="927"/>
      <c r="G6388" s="928"/>
      <c r="H6388" s="901"/>
      <c r="I6388" s="902"/>
      <c r="J6388" s="902"/>
      <c r="K6388" s="912" t="s">
        <v>274</v>
      </c>
      <c r="L6388" s="902"/>
      <c r="M6388" s="902"/>
      <c r="N6388" s="902"/>
      <c r="O6388" s="892">
        <f t="shared" si="442"/>
        <v>0</v>
      </c>
      <c r="P6388" s="903">
        <f t="shared" si="443"/>
        <v>1</v>
      </c>
      <c r="Q6388" s="893">
        <f t="shared" si="444"/>
        <v>2</v>
      </c>
      <c r="R6388" s="894">
        <f t="shared" si="445"/>
        <v>0</v>
      </c>
    </row>
    <row r="6389" spans="1:18">
      <c r="A6389" s="905"/>
      <c r="B6389" s="906"/>
      <c r="C6389" s="907">
        <v>745</v>
      </c>
      <c r="D6389" s="907" t="s">
        <v>12</v>
      </c>
      <c r="E6389" s="908" t="s">
        <v>5518</v>
      </c>
      <c r="F6389" s="909" t="s">
        <v>2674</v>
      </c>
      <c r="G6389" s="910"/>
      <c r="H6389" s="911">
        <v>5.59</v>
      </c>
      <c r="I6389" s="912"/>
      <c r="J6389" s="912"/>
      <c r="K6389" s="912">
        <f>VLOOKUP(E6389,[5]ĐMNC!$A$7:$F$67,4,0)</f>
        <v>240557</v>
      </c>
      <c r="L6389" s="912">
        <f>H6389*K6389</f>
        <v>1344713.63</v>
      </c>
      <c r="M6389" s="912"/>
      <c r="N6389" s="912"/>
      <c r="O6389" s="892">
        <f t="shared" si="442"/>
        <v>0</v>
      </c>
      <c r="P6389" s="903">
        <f t="shared" si="443"/>
        <v>1</v>
      </c>
      <c r="Q6389" s="893">
        <f t="shared" si="444"/>
        <v>1</v>
      </c>
      <c r="R6389" s="894">
        <f t="shared" si="445"/>
        <v>0</v>
      </c>
    </row>
    <row r="6390" spans="1:18" s="847" customFormat="1" ht="35.25" customHeight="1">
      <c r="A6390" s="905"/>
      <c r="B6390" s="914" t="s">
        <v>5951</v>
      </c>
      <c r="C6390" s="915"/>
      <c r="D6390" s="915"/>
      <c r="E6390" s="916" t="s">
        <v>5952</v>
      </c>
      <c r="F6390" s="917" t="s">
        <v>5834</v>
      </c>
      <c r="G6390" s="944"/>
      <c r="H6390" s="919"/>
      <c r="I6390" s="920"/>
      <c r="J6390" s="891">
        <f>SUM(J6391:J6402)</f>
        <v>315287.5</v>
      </c>
      <c r="K6390" s="891"/>
      <c r="L6390" s="891">
        <f>SUM(L6391:L6402)</f>
        <v>1477019.98</v>
      </c>
      <c r="M6390" s="891"/>
      <c r="N6390" s="891">
        <f>SUM(N6391:N6402)</f>
        <v>0</v>
      </c>
      <c r="O6390" s="892">
        <f t="shared" si="442"/>
        <v>1</v>
      </c>
      <c r="P6390" s="903">
        <f t="shared" si="443"/>
        <v>0</v>
      </c>
      <c r="Q6390" s="893">
        <f t="shared" si="444"/>
        <v>0</v>
      </c>
      <c r="R6390" s="894">
        <f t="shared" si="445"/>
        <v>12</v>
      </c>
    </row>
    <row r="6391" spans="1:18" s="904" customFormat="1">
      <c r="A6391" s="895"/>
      <c r="B6391" s="896"/>
      <c r="C6391" s="897"/>
      <c r="D6391" s="897"/>
      <c r="E6391" s="898" t="s">
        <v>108</v>
      </c>
      <c r="F6391" s="899"/>
      <c r="G6391" s="928"/>
      <c r="H6391" s="901"/>
      <c r="I6391" s="902"/>
      <c r="J6391" s="902"/>
      <c r="K6391" s="912" t="s">
        <v>274</v>
      </c>
      <c r="L6391" s="902"/>
      <c r="M6391" s="902"/>
      <c r="N6391" s="902"/>
      <c r="O6391" s="892">
        <f t="shared" si="442"/>
        <v>0</v>
      </c>
      <c r="P6391" s="903">
        <f t="shared" si="443"/>
        <v>1</v>
      </c>
      <c r="Q6391" s="893">
        <f t="shared" si="444"/>
        <v>12</v>
      </c>
      <c r="R6391" s="894">
        <f t="shared" si="445"/>
        <v>0</v>
      </c>
    </row>
    <row r="6392" spans="1:18">
      <c r="A6392" s="905"/>
      <c r="B6392" s="906"/>
      <c r="C6392" s="907">
        <v>99</v>
      </c>
      <c r="D6392" s="907" t="s">
        <v>279</v>
      </c>
      <c r="E6392" s="925" t="s">
        <v>5872</v>
      </c>
      <c r="F6392" s="909" t="s">
        <v>51</v>
      </c>
      <c r="G6392" s="910"/>
      <c r="H6392" s="911">
        <v>1</v>
      </c>
      <c r="I6392" s="912">
        <f>VLOOKUP(E6392,[3]VLP!$B$7:$K$300,10,0)</f>
        <v>81120</v>
      </c>
      <c r="J6392" s="912">
        <f t="shared" ref="J6392:J6400" si="447">I6392*H6392</f>
        <v>81120</v>
      </c>
      <c r="K6392" s="912" t="s">
        <v>274</v>
      </c>
      <c r="L6392" s="912"/>
      <c r="M6392" s="912"/>
      <c r="N6392" s="912"/>
      <c r="O6392" s="892">
        <f t="shared" si="442"/>
        <v>0</v>
      </c>
      <c r="P6392" s="903">
        <f t="shared" si="443"/>
        <v>1</v>
      </c>
      <c r="Q6392" s="893">
        <f t="shared" si="444"/>
        <v>11</v>
      </c>
      <c r="R6392" s="894">
        <f t="shared" si="445"/>
        <v>0</v>
      </c>
    </row>
    <row r="6393" spans="1:18">
      <c r="A6393" s="905"/>
      <c r="B6393" s="906"/>
      <c r="C6393" s="907">
        <v>49</v>
      </c>
      <c r="D6393" s="907" t="s">
        <v>279</v>
      </c>
      <c r="E6393" s="925" t="s">
        <v>5698</v>
      </c>
      <c r="F6393" s="909" t="s">
        <v>139</v>
      </c>
      <c r="G6393" s="910"/>
      <c r="H6393" s="911">
        <v>2</v>
      </c>
      <c r="I6393" s="912">
        <f>VLOOKUP(E6393,[3]VLP!$B$7:$K$300,10,0)</f>
        <v>3000</v>
      </c>
      <c r="J6393" s="912">
        <f t="shared" si="447"/>
        <v>6000</v>
      </c>
      <c r="K6393" s="912" t="s">
        <v>274</v>
      </c>
      <c r="L6393" s="912"/>
      <c r="M6393" s="912"/>
      <c r="N6393" s="912"/>
      <c r="O6393" s="892">
        <f t="shared" si="442"/>
        <v>0</v>
      </c>
      <c r="P6393" s="903">
        <f t="shared" si="443"/>
        <v>1</v>
      </c>
      <c r="Q6393" s="893">
        <f t="shared" si="444"/>
        <v>10</v>
      </c>
      <c r="R6393" s="894">
        <f t="shared" si="445"/>
        <v>0</v>
      </c>
    </row>
    <row r="6394" spans="1:18">
      <c r="A6394" s="905"/>
      <c r="B6394" s="906"/>
      <c r="C6394" s="907">
        <v>50</v>
      </c>
      <c r="D6394" s="907" t="s">
        <v>279</v>
      </c>
      <c r="E6394" s="925" t="s">
        <v>5836</v>
      </c>
      <c r="F6394" s="909" t="s">
        <v>49</v>
      </c>
      <c r="G6394" s="910"/>
      <c r="H6394" s="911">
        <v>1</v>
      </c>
      <c r="I6394" s="912">
        <f>VLOOKUP(E6394,[3]VLP!$B$7:$K$300,10,0)</f>
        <v>85790</v>
      </c>
      <c r="J6394" s="912">
        <f t="shared" si="447"/>
        <v>85790</v>
      </c>
      <c r="K6394" s="912" t="s">
        <v>274</v>
      </c>
      <c r="L6394" s="912"/>
      <c r="M6394" s="912"/>
      <c r="N6394" s="912"/>
      <c r="O6394" s="892">
        <f t="shared" si="442"/>
        <v>0</v>
      </c>
      <c r="P6394" s="903">
        <f t="shared" si="443"/>
        <v>1</v>
      </c>
      <c r="Q6394" s="893">
        <f t="shared" si="444"/>
        <v>9</v>
      </c>
      <c r="R6394" s="894">
        <f t="shared" si="445"/>
        <v>0</v>
      </c>
    </row>
    <row r="6395" spans="1:18">
      <c r="A6395" s="905"/>
      <c r="B6395" s="906"/>
      <c r="C6395" s="907">
        <v>46</v>
      </c>
      <c r="D6395" s="907" t="s">
        <v>279</v>
      </c>
      <c r="E6395" s="925" t="s">
        <v>3179</v>
      </c>
      <c r="F6395" s="909" t="s">
        <v>45</v>
      </c>
      <c r="G6395" s="910"/>
      <c r="H6395" s="911">
        <v>4</v>
      </c>
      <c r="I6395" s="912">
        <f>VLOOKUP(E6395,[3]VLP!$B$7:$K$300,10,0)</f>
        <v>20500</v>
      </c>
      <c r="J6395" s="912">
        <f t="shared" si="447"/>
        <v>82000</v>
      </c>
      <c r="K6395" s="912" t="s">
        <v>274</v>
      </c>
      <c r="L6395" s="912"/>
      <c r="M6395" s="912"/>
      <c r="N6395" s="912"/>
      <c r="O6395" s="892">
        <f t="shared" si="442"/>
        <v>0</v>
      </c>
      <c r="P6395" s="903">
        <f t="shared" si="443"/>
        <v>1</v>
      </c>
      <c r="Q6395" s="893">
        <f t="shared" si="444"/>
        <v>8</v>
      </c>
      <c r="R6395" s="894">
        <f t="shared" si="445"/>
        <v>0</v>
      </c>
    </row>
    <row r="6396" spans="1:18">
      <c r="A6396" s="905"/>
      <c r="B6396" s="906"/>
      <c r="C6396" s="907">
        <v>25</v>
      </c>
      <c r="D6396" s="907" t="s">
        <v>279</v>
      </c>
      <c r="E6396" s="925" t="s">
        <v>5656</v>
      </c>
      <c r="F6396" s="926" t="s">
        <v>2690</v>
      </c>
      <c r="G6396" s="910"/>
      <c r="H6396" s="911">
        <v>1.5</v>
      </c>
      <c r="I6396" s="912">
        <f>VLOOKUP(E6396,[3]VLP!$B$7:$K$300,10,0)</f>
        <v>5000</v>
      </c>
      <c r="J6396" s="912">
        <f t="shared" si="447"/>
        <v>7500</v>
      </c>
      <c r="K6396" s="912" t="s">
        <v>274</v>
      </c>
      <c r="L6396" s="912"/>
      <c r="M6396" s="912"/>
      <c r="N6396" s="912"/>
      <c r="O6396" s="892">
        <f t="shared" si="442"/>
        <v>0</v>
      </c>
      <c r="P6396" s="903">
        <f t="shared" si="443"/>
        <v>1</v>
      </c>
      <c r="Q6396" s="893">
        <f t="shared" si="444"/>
        <v>7</v>
      </c>
      <c r="R6396" s="894">
        <f t="shared" si="445"/>
        <v>0</v>
      </c>
    </row>
    <row r="6397" spans="1:18">
      <c r="A6397" s="905"/>
      <c r="B6397" s="906"/>
      <c r="C6397" s="907">
        <v>127</v>
      </c>
      <c r="D6397" s="907" t="s">
        <v>279</v>
      </c>
      <c r="E6397" s="925" t="s">
        <v>5657</v>
      </c>
      <c r="F6397" s="909" t="s">
        <v>45</v>
      </c>
      <c r="G6397" s="910"/>
      <c r="H6397" s="911">
        <v>0.5</v>
      </c>
      <c r="I6397" s="912">
        <f>VLOOKUP(E6397,[3]VLP!$B$7:$K$300,10,0)</f>
        <v>25155</v>
      </c>
      <c r="J6397" s="912">
        <f t="shared" si="447"/>
        <v>12577.5</v>
      </c>
      <c r="K6397" s="912" t="s">
        <v>274</v>
      </c>
      <c r="L6397" s="912"/>
      <c r="M6397" s="912"/>
      <c r="N6397" s="912"/>
      <c r="O6397" s="892">
        <f t="shared" si="442"/>
        <v>0</v>
      </c>
      <c r="P6397" s="903">
        <f t="shared" si="443"/>
        <v>1</v>
      </c>
      <c r="Q6397" s="893">
        <f t="shared" si="444"/>
        <v>6</v>
      </c>
      <c r="R6397" s="894">
        <f t="shared" si="445"/>
        <v>0</v>
      </c>
    </row>
    <row r="6398" spans="1:18">
      <c r="A6398" s="905"/>
      <c r="B6398" s="906"/>
      <c r="C6398" s="907">
        <v>44</v>
      </c>
      <c r="D6398" s="907" t="s">
        <v>279</v>
      </c>
      <c r="E6398" s="925" t="s">
        <v>2681</v>
      </c>
      <c r="F6398" s="926" t="s">
        <v>45</v>
      </c>
      <c r="G6398" s="910"/>
      <c r="H6398" s="911">
        <v>0.6</v>
      </c>
      <c r="I6398" s="912">
        <f>VLOOKUP(E6398,[3]VLP!$B$7:$K$300,10,0)</f>
        <v>23000</v>
      </c>
      <c r="J6398" s="912">
        <f t="shared" si="447"/>
        <v>13800</v>
      </c>
      <c r="K6398" s="912" t="s">
        <v>274</v>
      </c>
      <c r="L6398" s="912"/>
      <c r="M6398" s="912"/>
      <c r="N6398" s="912"/>
      <c r="O6398" s="892">
        <f t="shared" si="442"/>
        <v>0</v>
      </c>
      <c r="P6398" s="903">
        <f t="shared" si="443"/>
        <v>1</v>
      </c>
      <c r="Q6398" s="893">
        <f t="shared" si="444"/>
        <v>5</v>
      </c>
      <c r="R6398" s="894">
        <f t="shared" si="445"/>
        <v>0</v>
      </c>
    </row>
    <row r="6399" spans="1:18">
      <c r="A6399" s="905"/>
      <c r="B6399" s="906"/>
      <c r="C6399" s="907">
        <v>66</v>
      </c>
      <c r="D6399" s="907" t="s">
        <v>279</v>
      </c>
      <c r="E6399" s="925" t="s">
        <v>2682</v>
      </c>
      <c r="F6399" s="926" t="s">
        <v>45</v>
      </c>
      <c r="G6399" s="910"/>
      <c r="H6399" s="911">
        <v>0.3</v>
      </c>
      <c r="I6399" s="912">
        <f>VLOOKUP(E6399,[3]VLP!$B$7:$K$300,10,0)</f>
        <v>5000</v>
      </c>
      <c r="J6399" s="912">
        <f t="shared" si="447"/>
        <v>1500</v>
      </c>
      <c r="K6399" s="912" t="s">
        <v>274</v>
      </c>
      <c r="L6399" s="912"/>
      <c r="M6399" s="912"/>
      <c r="N6399" s="912"/>
      <c r="O6399" s="892">
        <f t="shared" si="442"/>
        <v>0</v>
      </c>
      <c r="P6399" s="903">
        <f t="shared" si="443"/>
        <v>1</v>
      </c>
      <c r="Q6399" s="893">
        <f t="shared" si="444"/>
        <v>4</v>
      </c>
      <c r="R6399" s="894">
        <f t="shared" si="445"/>
        <v>0</v>
      </c>
    </row>
    <row r="6400" spans="1:18">
      <c r="A6400" s="905"/>
      <c r="B6400" s="906"/>
      <c r="C6400" s="907">
        <v>699</v>
      </c>
      <c r="D6400" s="907" t="s">
        <v>279</v>
      </c>
      <c r="E6400" s="925" t="s">
        <v>4006</v>
      </c>
      <c r="F6400" s="926" t="s">
        <v>4007</v>
      </c>
      <c r="G6400" s="910"/>
      <c r="H6400" s="911">
        <v>5</v>
      </c>
      <c r="I6400" s="912">
        <f>VLOOKUP(E6400,[3]VLP!$B$7:$K$300,10,0)</f>
        <v>5000</v>
      </c>
      <c r="J6400" s="912">
        <f t="shared" si="447"/>
        <v>25000</v>
      </c>
      <c r="K6400" s="912" t="s">
        <v>274</v>
      </c>
      <c r="L6400" s="912"/>
      <c r="M6400" s="912"/>
      <c r="N6400" s="912"/>
      <c r="O6400" s="892">
        <f t="shared" si="442"/>
        <v>0</v>
      </c>
      <c r="P6400" s="903">
        <f t="shared" si="443"/>
        <v>1</v>
      </c>
      <c r="Q6400" s="893">
        <f t="shared" si="444"/>
        <v>3</v>
      </c>
      <c r="R6400" s="894">
        <f t="shared" si="445"/>
        <v>0</v>
      </c>
    </row>
    <row r="6401" spans="1:18" s="904" customFormat="1">
      <c r="A6401" s="895"/>
      <c r="B6401" s="896"/>
      <c r="C6401" s="897"/>
      <c r="D6401" s="897"/>
      <c r="E6401" s="924" t="s">
        <v>276</v>
      </c>
      <c r="F6401" s="927"/>
      <c r="G6401" s="928"/>
      <c r="H6401" s="901"/>
      <c r="I6401" s="902"/>
      <c r="J6401" s="902"/>
      <c r="K6401" s="912" t="s">
        <v>274</v>
      </c>
      <c r="L6401" s="902"/>
      <c r="M6401" s="902"/>
      <c r="N6401" s="902"/>
      <c r="O6401" s="892">
        <f t="shared" si="442"/>
        <v>0</v>
      </c>
      <c r="P6401" s="903">
        <f t="shared" si="443"/>
        <v>1</v>
      </c>
      <c r="Q6401" s="893">
        <f t="shared" si="444"/>
        <v>2</v>
      </c>
      <c r="R6401" s="894">
        <f t="shared" si="445"/>
        <v>0</v>
      </c>
    </row>
    <row r="6402" spans="1:18">
      <c r="A6402" s="905"/>
      <c r="B6402" s="906"/>
      <c r="C6402" s="907">
        <v>745</v>
      </c>
      <c r="D6402" s="907" t="s">
        <v>12</v>
      </c>
      <c r="E6402" s="908" t="s">
        <v>5518</v>
      </c>
      <c r="F6402" s="909" t="s">
        <v>2674</v>
      </c>
      <c r="G6402" s="910"/>
      <c r="H6402" s="911">
        <v>6.14</v>
      </c>
      <c r="I6402" s="912"/>
      <c r="J6402" s="912"/>
      <c r="K6402" s="912">
        <f>VLOOKUP(E6402,[5]ĐMNC!$A$7:$F$67,4,0)</f>
        <v>240557</v>
      </c>
      <c r="L6402" s="912">
        <f>H6402*K6402</f>
        <v>1477019.98</v>
      </c>
      <c r="M6402" s="912"/>
      <c r="N6402" s="912"/>
      <c r="O6402" s="892">
        <f t="shared" si="442"/>
        <v>0</v>
      </c>
      <c r="P6402" s="903">
        <f t="shared" si="443"/>
        <v>1</v>
      </c>
      <c r="Q6402" s="893">
        <f t="shared" si="444"/>
        <v>1</v>
      </c>
      <c r="R6402" s="894">
        <f t="shared" si="445"/>
        <v>0</v>
      </c>
    </row>
    <row r="6403" spans="1:18" s="847" customFormat="1" ht="35.25" customHeight="1">
      <c r="A6403" s="905"/>
      <c r="B6403" s="914" t="s">
        <v>5953</v>
      </c>
      <c r="C6403" s="915"/>
      <c r="D6403" s="915"/>
      <c r="E6403" s="916" t="s">
        <v>5954</v>
      </c>
      <c r="F6403" s="917" t="s">
        <v>5834</v>
      </c>
      <c r="G6403" s="944"/>
      <c r="H6403" s="919"/>
      <c r="I6403" s="920"/>
      <c r="J6403" s="891">
        <f>SUM(J6404:J6415)</f>
        <v>338763</v>
      </c>
      <c r="K6403" s="891"/>
      <c r="L6403" s="891">
        <f>SUM(L6404:L6415)</f>
        <v>1770499.52</v>
      </c>
      <c r="M6403" s="891"/>
      <c r="N6403" s="891">
        <f>SUM(N6404:N6415)</f>
        <v>0</v>
      </c>
      <c r="O6403" s="892">
        <f t="shared" si="442"/>
        <v>1</v>
      </c>
      <c r="P6403" s="903">
        <f t="shared" si="443"/>
        <v>0</v>
      </c>
      <c r="Q6403" s="893">
        <f t="shared" si="444"/>
        <v>0</v>
      </c>
      <c r="R6403" s="894">
        <f t="shared" si="445"/>
        <v>12</v>
      </c>
    </row>
    <row r="6404" spans="1:18" s="904" customFormat="1">
      <c r="A6404" s="895"/>
      <c r="B6404" s="896"/>
      <c r="C6404" s="897"/>
      <c r="D6404" s="897"/>
      <c r="E6404" s="898" t="s">
        <v>108</v>
      </c>
      <c r="F6404" s="899"/>
      <c r="G6404" s="928"/>
      <c r="H6404" s="901"/>
      <c r="I6404" s="902"/>
      <c r="J6404" s="902"/>
      <c r="K6404" s="912" t="s">
        <v>274</v>
      </c>
      <c r="L6404" s="902"/>
      <c r="M6404" s="902"/>
      <c r="N6404" s="902"/>
      <c r="O6404" s="892">
        <f t="shared" si="442"/>
        <v>0</v>
      </c>
      <c r="P6404" s="903">
        <f t="shared" si="443"/>
        <v>1</v>
      </c>
      <c r="Q6404" s="893">
        <f t="shared" si="444"/>
        <v>12</v>
      </c>
      <c r="R6404" s="894">
        <f t="shared" si="445"/>
        <v>0</v>
      </c>
    </row>
    <row r="6405" spans="1:18">
      <c r="A6405" s="905"/>
      <c r="B6405" s="906"/>
      <c r="C6405" s="907">
        <v>100</v>
      </c>
      <c r="D6405" s="907" t="s">
        <v>279</v>
      </c>
      <c r="E6405" s="925" t="s">
        <v>5875</v>
      </c>
      <c r="F6405" s="909" t="s">
        <v>51</v>
      </c>
      <c r="G6405" s="910"/>
      <c r="H6405" s="911">
        <v>1</v>
      </c>
      <c r="I6405" s="912">
        <f>VLOOKUP(E6405,[3]VLP!$B$7:$K$300,10,0)</f>
        <v>81120</v>
      </c>
      <c r="J6405" s="912">
        <f t="shared" ref="J6405:J6413" si="448">I6405*H6405</f>
        <v>81120</v>
      </c>
      <c r="K6405" s="912" t="s">
        <v>274</v>
      </c>
      <c r="L6405" s="912"/>
      <c r="M6405" s="912"/>
      <c r="N6405" s="912"/>
      <c r="O6405" s="892">
        <f t="shared" si="442"/>
        <v>0</v>
      </c>
      <c r="P6405" s="903">
        <f t="shared" si="443"/>
        <v>1</v>
      </c>
      <c r="Q6405" s="893">
        <f t="shared" si="444"/>
        <v>11</v>
      </c>
      <c r="R6405" s="894">
        <f t="shared" si="445"/>
        <v>0</v>
      </c>
    </row>
    <row r="6406" spans="1:18">
      <c r="A6406" s="905"/>
      <c r="B6406" s="906"/>
      <c r="C6406" s="907">
        <v>49</v>
      </c>
      <c r="D6406" s="907" t="s">
        <v>279</v>
      </c>
      <c r="E6406" s="925" t="s">
        <v>5698</v>
      </c>
      <c r="F6406" s="909" t="s">
        <v>139</v>
      </c>
      <c r="G6406" s="910"/>
      <c r="H6406" s="911">
        <v>2</v>
      </c>
      <c r="I6406" s="912">
        <f>VLOOKUP(E6406,[3]VLP!$B$7:$K$300,10,0)</f>
        <v>3000</v>
      </c>
      <c r="J6406" s="912">
        <f t="shared" si="448"/>
        <v>6000</v>
      </c>
      <c r="K6406" s="912" t="s">
        <v>274</v>
      </c>
      <c r="L6406" s="912"/>
      <c r="M6406" s="912"/>
      <c r="N6406" s="912"/>
      <c r="O6406" s="892">
        <f t="shared" si="442"/>
        <v>0</v>
      </c>
      <c r="P6406" s="903">
        <f t="shared" si="443"/>
        <v>1</v>
      </c>
      <c r="Q6406" s="893">
        <f t="shared" si="444"/>
        <v>10</v>
      </c>
      <c r="R6406" s="894">
        <f t="shared" si="445"/>
        <v>0</v>
      </c>
    </row>
    <row r="6407" spans="1:18">
      <c r="A6407" s="905"/>
      <c r="B6407" s="906"/>
      <c r="C6407" s="907">
        <v>50</v>
      </c>
      <c r="D6407" s="907" t="s">
        <v>279</v>
      </c>
      <c r="E6407" s="925" t="s">
        <v>5836</v>
      </c>
      <c r="F6407" s="909" t="s">
        <v>49</v>
      </c>
      <c r="G6407" s="910"/>
      <c r="H6407" s="911">
        <v>1</v>
      </c>
      <c r="I6407" s="912">
        <f>VLOOKUP(E6407,[3]VLP!$B$7:$K$300,10,0)</f>
        <v>85790</v>
      </c>
      <c r="J6407" s="912">
        <f t="shared" si="448"/>
        <v>85790</v>
      </c>
      <c r="K6407" s="912" t="s">
        <v>274</v>
      </c>
      <c r="L6407" s="912"/>
      <c r="M6407" s="912"/>
      <c r="N6407" s="912"/>
      <c r="O6407" s="892">
        <f t="shared" si="442"/>
        <v>0</v>
      </c>
      <c r="P6407" s="903">
        <f t="shared" si="443"/>
        <v>1</v>
      </c>
      <c r="Q6407" s="893">
        <f t="shared" si="444"/>
        <v>9</v>
      </c>
      <c r="R6407" s="894">
        <f t="shared" si="445"/>
        <v>0</v>
      </c>
    </row>
    <row r="6408" spans="1:18">
      <c r="A6408" s="905"/>
      <c r="B6408" s="906"/>
      <c r="C6408" s="907">
        <v>46</v>
      </c>
      <c r="D6408" s="907" t="s">
        <v>279</v>
      </c>
      <c r="E6408" s="925" t="s">
        <v>3179</v>
      </c>
      <c r="F6408" s="909" t="s">
        <v>45</v>
      </c>
      <c r="G6408" s="910"/>
      <c r="H6408" s="911">
        <v>4.8</v>
      </c>
      <c r="I6408" s="912">
        <f>VLOOKUP(E6408,[3]VLP!$B$7:$K$300,10,0)</f>
        <v>20500</v>
      </c>
      <c r="J6408" s="912">
        <f t="shared" si="448"/>
        <v>98400</v>
      </c>
      <c r="K6408" s="912" t="s">
        <v>274</v>
      </c>
      <c r="L6408" s="912"/>
      <c r="M6408" s="912"/>
      <c r="N6408" s="912"/>
      <c r="O6408" s="892">
        <f t="shared" si="442"/>
        <v>0</v>
      </c>
      <c r="P6408" s="903">
        <f t="shared" si="443"/>
        <v>1</v>
      </c>
      <c r="Q6408" s="893">
        <f t="shared" si="444"/>
        <v>8</v>
      </c>
      <c r="R6408" s="894">
        <f t="shared" si="445"/>
        <v>0</v>
      </c>
    </row>
    <row r="6409" spans="1:18">
      <c r="A6409" s="905"/>
      <c r="B6409" s="906"/>
      <c r="C6409" s="907">
        <v>25</v>
      </c>
      <c r="D6409" s="907" t="s">
        <v>279</v>
      </c>
      <c r="E6409" s="925" t="s">
        <v>5656</v>
      </c>
      <c r="F6409" s="926" t="s">
        <v>2690</v>
      </c>
      <c r="G6409" s="910"/>
      <c r="H6409" s="911">
        <v>1.8</v>
      </c>
      <c r="I6409" s="912">
        <f>VLOOKUP(E6409,[3]VLP!$B$7:$K$300,10,0)</f>
        <v>5000</v>
      </c>
      <c r="J6409" s="912">
        <f t="shared" si="448"/>
        <v>9000</v>
      </c>
      <c r="K6409" s="912" t="s">
        <v>274</v>
      </c>
      <c r="L6409" s="912"/>
      <c r="M6409" s="912"/>
      <c r="N6409" s="912"/>
      <c r="O6409" s="892">
        <f t="shared" si="442"/>
        <v>0</v>
      </c>
      <c r="P6409" s="903">
        <f t="shared" si="443"/>
        <v>1</v>
      </c>
      <c r="Q6409" s="893">
        <f t="shared" si="444"/>
        <v>7</v>
      </c>
      <c r="R6409" s="894">
        <f t="shared" si="445"/>
        <v>0</v>
      </c>
    </row>
    <row r="6410" spans="1:18">
      <c r="A6410" s="905"/>
      <c r="B6410" s="906"/>
      <c r="C6410" s="907">
        <v>127</v>
      </c>
      <c r="D6410" s="907" t="s">
        <v>279</v>
      </c>
      <c r="E6410" s="925" t="s">
        <v>5657</v>
      </c>
      <c r="F6410" s="909" t="s">
        <v>45</v>
      </c>
      <c r="G6410" s="910"/>
      <c r="H6410" s="911">
        <v>0.6</v>
      </c>
      <c r="I6410" s="912">
        <f>VLOOKUP(E6410,[3]VLP!$B$7:$K$300,10,0)</f>
        <v>25155</v>
      </c>
      <c r="J6410" s="912">
        <f t="shared" si="448"/>
        <v>15093</v>
      </c>
      <c r="K6410" s="912" t="s">
        <v>274</v>
      </c>
      <c r="L6410" s="912"/>
      <c r="M6410" s="912"/>
      <c r="N6410" s="912"/>
      <c r="O6410" s="892">
        <f t="shared" si="442"/>
        <v>0</v>
      </c>
      <c r="P6410" s="903">
        <f t="shared" si="443"/>
        <v>1</v>
      </c>
      <c r="Q6410" s="893">
        <f t="shared" si="444"/>
        <v>6</v>
      </c>
      <c r="R6410" s="894">
        <f t="shared" si="445"/>
        <v>0</v>
      </c>
    </row>
    <row r="6411" spans="1:18">
      <c r="A6411" s="905"/>
      <c r="B6411" s="906"/>
      <c r="C6411" s="907">
        <v>44</v>
      </c>
      <c r="D6411" s="907" t="s">
        <v>279</v>
      </c>
      <c r="E6411" s="925" t="s">
        <v>2681</v>
      </c>
      <c r="F6411" s="926" t="s">
        <v>45</v>
      </c>
      <c r="G6411" s="910"/>
      <c r="H6411" s="911">
        <v>0.72</v>
      </c>
      <c r="I6411" s="912">
        <f>VLOOKUP(E6411,[3]VLP!$B$7:$K$300,10,0)</f>
        <v>23000</v>
      </c>
      <c r="J6411" s="912">
        <f t="shared" si="448"/>
        <v>16560</v>
      </c>
      <c r="K6411" s="912" t="s">
        <v>274</v>
      </c>
      <c r="L6411" s="912"/>
      <c r="M6411" s="912"/>
      <c r="N6411" s="912"/>
      <c r="O6411" s="892">
        <f t="shared" si="442"/>
        <v>0</v>
      </c>
      <c r="P6411" s="903">
        <f t="shared" si="443"/>
        <v>1</v>
      </c>
      <c r="Q6411" s="893">
        <f t="shared" si="444"/>
        <v>5</v>
      </c>
      <c r="R6411" s="894">
        <f t="shared" si="445"/>
        <v>0</v>
      </c>
    </row>
    <row r="6412" spans="1:18">
      <c r="A6412" s="905"/>
      <c r="B6412" s="906"/>
      <c r="C6412" s="907">
        <v>66</v>
      </c>
      <c r="D6412" s="907" t="s">
        <v>279</v>
      </c>
      <c r="E6412" s="925" t="s">
        <v>2682</v>
      </c>
      <c r="F6412" s="926" t="s">
        <v>45</v>
      </c>
      <c r="G6412" s="910"/>
      <c r="H6412" s="911">
        <v>0.36</v>
      </c>
      <c r="I6412" s="912">
        <f>VLOOKUP(E6412,[3]VLP!$B$7:$K$300,10,0)</f>
        <v>5000</v>
      </c>
      <c r="J6412" s="912">
        <f t="shared" si="448"/>
        <v>1800</v>
      </c>
      <c r="K6412" s="912" t="s">
        <v>274</v>
      </c>
      <c r="L6412" s="912"/>
      <c r="M6412" s="912"/>
      <c r="N6412" s="912"/>
      <c r="O6412" s="892">
        <f t="shared" si="442"/>
        <v>0</v>
      </c>
      <c r="P6412" s="903">
        <f t="shared" si="443"/>
        <v>1</v>
      </c>
      <c r="Q6412" s="893">
        <f t="shared" si="444"/>
        <v>4</v>
      </c>
      <c r="R6412" s="894">
        <f t="shared" si="445"/>
        <v>0</v>
      </c>
    </row>
    <row r="6413" spans="1:18">
      <c r="A6413" s="905"/>
      <c r="B6413" s="906"/>
      <c r="C6413" s="907">
        <v>699</v>
      </c>
      <c r="D6413" s="907" t="s">
        <v>279</v>
      </c>
      <c r="E6413" s="925" t="s">
        <v>4006</v>
      </c>
      <c r="F6413" s="926" t="s">
        <v>4007</v>
      </c>
      <c r="G6413" s="910"/>
      <c r="H6413" s="911">
        <v>5</v>
      </c>
      <c r="I6413" s="912">
        <f>VLOOKUP(E6413,[3]VLP!$B$7:$K$300,10,0)</f>
        <v>5000</v>
      </c>
      <c r="J6413" s="912">
        <f t="shared" si="448"/>
        <v>25000</v>
      </c>
      <c r="K6413" s="912" t="s">
        <v>274</v>
      </c>
      <c r="L6413" s="912"/>
      <c r="M6413" s="912"/>
      <c r="N6413" s="912"/>
      <c r="O6413" s="892">
        <f t="shared" si="442"/>
        <v>0</v>
      </c>
      <c r="P6413" s="903">
        <f t="shared" si="443"/>
        <v>1</v>
      </c>
      <c r="Q6413" s="893">
        <f t="shared" si="444"/>
        <v>3</v>
      </c>
      <c r="R6413" s="894">
        <f t="shared" si="445"/>
        <v>0</v>
      </c>
    </row>
    <row r="6414" spans="1:18" s="904" customFormat="1">
      <c r="A6414" s="895"/>
      <c r="B6414" s="896"/>
      <c r="C6414" s="897"/>
      <c r="D6414" s="897"/>
      <c r="E6414" s="924" t="s">
        <v>276</v>
      </c>
      <c r="F6414" s="927"/>
      <c r="G6414" s="928"/>
      <c r="H6414" s="901"/>
      <c r="I6414" s="902"/>
      <c r="J6414" s="902"/>
      <c r="K6414" s="912" t="s">
        <v>274</v>
      </c>
      <c r="L6414" s="902"/>
      <c r="M6414" s="902"/>
      <c r="N6414" s="902"/>
      <c r="O6414" s="892">
        <f t="shared" si="442"/>
        <v>0</v>
      </c>
      <c r="P6414" s="903">
        <f t="shared" si="443"/>
        <v>1</v>
      </c>
      <c r="Q6414" s="893">
        <f t="shared" si="444"/>
        <v>2</v>
      </c>
      <c r="R6414" s="894">
        <f t="shared" si="445"/>
        <v>0</v>
      </c>
    </row>
    <row r="6415" spans="1:18">
      <c r="A6415" s="905"/>
      <c r="B6415" s="906"/>
      <c r="C6415" s="907">
        <v>745</v>
      </c>
      <c r="D6415" s="907" t="s">
        <v>12</v>
      </c>
      <c r="E6415" s="908" t="s">
        <v>5518</v>
      </c>
      <c r="F6415" s="909" t="s">
        <v>2674</v>
      </c>
      <c r="G6415" s="910"/>
      <c r="H6415" s="911">
        <v>7.36</v>
      </c>
      <c r="I6415" s="912"/>
      <c r="J6415" s="912"/>
      <c r="K6415" s="912">
        <f>VLOOKUP(E6415,[5]ĐMNC!$A$7:$F$67,4,0)</f>
        <v>240557</v>
      </c>
      <c r="L6415" s="912">
        <f>H6415*K6415</f>
        <v>1770499.52</v>
      </c>
      <c r="M6415" s="912"/>
      <c r="N6415" s="912"/>
      <c r="O6415" s="892">
        <f t="shared" si="442"/>
        <v>0</v>
      </c>
      <c r="P6415" s="903">
        <f t="shared" si="443"/>
        <v>1</v>
      </c>
      <c r="Q6415" s="893">
        <f t="shared" si="444"/>
        <v>1</v>
      </c>
      <c r="R6415" s="894">
        <f t="shared" si="445"/>
        <v>0</v>
      </c>
    </row>
    <row r="6416" spans="1:18" s="847" customFormat="1" ht="31.5">
      <c r="A6416" s="905" t="s">
        <v>5955</v>
      </c>
      <c r="B6416" s="914" t="s">
        <v>1621</v>
      </c>
      <c r="C6416" s="915"/>
      <c r="D6416" s="915"/>
      <c r="E6416" s="916" t="s">
        <v>5956</v>
      </c>
      <c r="F6416" s="917" t="s">
        <v>2271</v>
      </c>
      <c r="G6416" s="918"/>
      <c r="H6416" s="919"/>
      <c r="I6416" s="920"/>
      <c r="J6416" s="891">
        <f>SUM(J6417:J6422)</f>
        <v>39600</v>
      </c>
      <c r="K6416" s="891"/>
      <c r="L6416" s="891">
        <f>SUM(L6417:L6422)</f>
        <v>445030.45</v>
      </c>
      <c r="M6416" s="891"/>
      <c r="N6416" s="891">
        <f>SUM(N6417:N6422)</f>
        <v>0</v>
      </c>
      <c r="O6416" s="892">
        <f t="shared" si="442"/>
        <v>1</v>
      </c>
      <c r="P6416" s="903">
        <f t="shared" si="443"/>
        <v>0</v>
      </c>
      <c r="Q6416" s="893">
        <f t="shared" si="444"/>
        <v>0</v>
      </c>
      <c r="R6416" s="894">
        <f t="shared" si="445"/>
        <v>6</v>
      </c>
    </row>
    <row r="6417" spans="1:18" s="904" customFormat="1">
      <c r="A6417" s="895"/>
      <c r="B6417" s="922"/>
      <c r="C6417" s="897"/>
      <c r="D6417" s="897"/>
      <c r="E6417" s="898" t="s">
        <v>108</v>
      </c>
      <c r="F6417" s="899"/>
      <c r="G6417" s="928"/>
      <c r="H6417" s="901"/>
      <c r="I6417" s="902"/>
      <c r="J6417" s="902"/>
      <c r="K6417" s="912" t="s">
        <v>274</v>
      </c>
      <c r="L6417" s="902"/>
      <c r="M6417" s="902"/>
      <c r="N6417" s="902"/>
      <c r="O6417" s="892">
        <f t="shared" si="442"/>
        <v>0</v>
      </c>
      <c r="P6417" s="903">
        <f t="shared" si="443"/>
        <v>1</v>
      </c>
      <c r="Q6417" s="893">
        <f t="shared" si="444"/>
        <v>6</v>
      </c>
      <c r="R6417" s="894">
        <f t="shared" si="445"/>
        <v>0</v>
      </c>
    </row>
    <row r="6418" spans="1:18">
      <c r="A6418" s="905"/>
      <c r="B6418" s="906"/>
      <c r="C6418" s="907">
        <v>44</v>
      </c>
      <c r="D6418" s="907" t="s">
        <v>279</v>
      </c>
      <c r="E6418" s="925" t="s">
        <v>2681</v>
      </c>
      <c r="F6418" s="926" t="s">
        <v>45</v>
      </c>
      <c r="G6418" s="910"/>
      <c r="H6418" s="911">
        <v>0.6</v>
      </c>
      <c r="I6418" s="912">
        <f>VLOOKUP(E6418,[3]VLP!$B$7:$K$300,10,0)</f>
        <v>23000</v>
      </c>
      <c r="J6418" s="912">
        <f>I6418*H6418</f>
        <v>13800</v>
      </c>
      <c r="K6418" s="912" t="s">
        <v>274</v>
      </c>
      <c r="L6418" s="912"/>
      <c r="M6418" s="912"/>
      <c r="N6418" s="912"/>
      <c r="O6418" s="892">
        <f t="shared" si="442"/>
        <v>0</v>
      </c>
      <c r="P6418" s="903">
        <f t="shared" si="443"/>
        <v>1</v>
      </c>
      <c r="Q6418" s="893">
        <f t="shared" si="444"/>
        <v>5</v>
      </c>
      <c r="R6418" s="894">
        <f t="shared" si="445"/>
        <v>0</v>
      </c>
    </row>
    <row r="6419" spans="1:18">
      <c r="A6419" s="905"/>
      <c r="B6419" s="906"/>
      <c r="C6419" s="907">
        <v>66</v>
      </c>
      <c r="D6419" s="907" t="s">
        <v>279</v>
      </c>
      <c r="E6419" s="925" t="s">
        <v>2682</v>
      </c>
      <c r="F6419" s="926" t="s">
        <v>45</v>
      </c>
      <c r="G6419" s="910"/>
      <c r="H6419" s="911">
        <v>0.16</v>
      </c>
      <c r="I6419" s="912">
        <f>VLOOKUP(E6419,[3]VLP!$B$7:$K$300,10,0)</f>
        <v>5000</v>
      </c>
      <c r="J6419" s="912">
        <f>I6419*H6419</f>
        <v>800</v>
      </c>
      <c r="K6419" s="912" t="s">
        <v>274</v>
      </c>
      <c r="L6419" s="912"/>
      <c r="M6419" s="912"/>
      <c r="N6419" s="912"/>
      <c r="O6419" s="892">
        <f t="shared" si="442"/>
        <v>0</v>
      </c>
      <c r="P6419" s="903">
        <f t="shared" si="443"/>
        <v>1</v>
      </c>
      <c r="Q6419" s="893">
        <f t="shared" si="444"/>
        <v>4</v>
      </c>
      <c r="R6419" s="894">
        <f t="shared" si="445"/>
        <v>0</v>
      </c>
    </row>
    <row r="6420" spans="1:18">
      <c r="A6420" s="905"/>
      <c r="B6420" s="906"/>
      <c r="C6420" s="907">
        <v>699</v>
      </c>
      <c r="D6420" s="907" t="s">
        <v>279</v>
      </c>
      <c r="E6420" s="925" t="s">
        <v>4006</v>
      </c>
      <c r="F6420" s="926" t="s">
        <v>4007</v>
      </c>
      <c r="G6420" s="910"/>
      <c r="H6420" s="911">
        <v>5</v>
      </c>
      <c r="I6420" s="912">
        <f>VLOOKUP(E6420,[3]VLP!$B$7:$K$300,10,0)</f>
        <v>5000</v>
      </c>
      <c r="J6420" s="912">
        <f>I6420*H6420</f>
        <v>25000</v>
      </c>
      <c r="K6420" s="912" t="s">
        <v>274</v>
      </c>
      <c r="L6420" s="912"/>
      <c r="M6420" s="912"/>
      <c r="N6420" s="912"/>
      <c r="O6420" s="892">
        <f t="shared" si="442"/>
        <v>0</v>
      </c>
      <c r="P6420" s="903">
        <f t="shared" si="443"/>
        <v>1</v>
      </c>
      <c r="Q6420" s="893">
        <f t="shared" si="444"/>
        <v>3</v>
      </c>
      <c r="R6420" s="894">
        <f t="shared" si="445"/>
        <v>0</v>
      </c>
    </row>
    <row r="6421" spans="1:18" s="904" customFormat="1">
      <c r="A6421" s="895"/>
      <c r="B6421" s="896"/>
      <c r="C6421" s="897"/>
      <c r="D6421" s="897"/>
      <c r="E6421" s="924" t="s">
        <v>276</v>
      </c>
      <c r="F6421" s="927"/>
      <c r="G6421" s="928"/>
      <c r="H6421" s="901"/>
      <c r="I6421" s="902"/>
      <c r="J6421" s="902"/>
      <c r="K6421" s="912" t="s">
        <v>274</v>
      </c>
      <c r="L6421" s="902"/>
      <c r="M6421" s="902"/>
      <c r="N6421" s="902"/>
      <c r="O6421" s="892">
        <f t="shared" si="442"/>
        <v>0</v>
      </c>
      <c r="P6421" s="903">
        <f t="shared" si="443"/>
        <v>1</v>
      </c>
      <c r="Q6421" s="893">
        <f t="shared" si="444"/>
        <v>2</v>
      </c>
      <c r="R6421" s="894">
        <f t="shared" si="445"/>
        <v>0</v>
      </c>
    </row>
    <row r="6422" spans="1:18">
      <c r="A6422" s="905"/>
      <c r="B6422" s="906"/>
      <c r="C6422" s="907">
        <v>745</v>
      </c>
      <c r="D6422" s="907" t="s">
        <v>12</v>
      </c>
      <c r="E6422" s="908" t="s">
        <v>5518</v>
      </c>
      <c r="F6422" s="909" t="s">
        <v>2674</v>
      </c>
      <c r="G6422" s="910"/>
      <c r="H6422" s="911">
        <v>1.85</v>
      </c>
      <c r="I6422" s="912"/>
      <c r="J6422" s="912"/>
      <c r="K6422" s="912">
        <f>VLOOKUP(E6422,[5]ĐMNC!$A$7:$F$67,4,0)</f>
        <v>240557</v>
      </c>
      <c r="L6422" s="912">
        <f>H6422*K6422</f>
        <v>445030.45</v>
      </c>
      <c r="M6422" s="912"/>
      <c r="N6422" s="912"/>
      <c r="O6422" s="892">
        <f t="shared" si="442"/>
        <v>0</v>
      </c>
      <c r="P6422" s="903">
        <f t="shared" si="443"/>
        <v>1</v>
      </c>
      <c r="Q6422" s="893">
        <f t="shared" si="444"/>
        <v>1</v>
      </c>
      <c r="R6422" s="894">
        <f t="shared" si="445"/>
        <v>0</v>
      </c>
    </row>
    <row r="6423" spans="1:18" s="847" customFormat="1" ht="31.5">
      <c r="A6423" s="905"/>
      <c r="B6423" s="914" t="s">
        <v>1623</v>
      </c>
      <c r="C6423" s="915"/>
      <c r="D6423" s="915"/>
      <c r="E6423" s="916" t="s">
        <v>5957</v>
      </c>
      <c r="F6423" s="917" t="s">
        <v>2271</v>
      </c>
      <c r="G6423" s="918"/>
      <c r="H6423" s="919"/>
      <c r="I6423" s="920"/>
      <c r="J6423" s="891">
        <f>SUM(J6424:J6429)</f>
        <v>39600</v>
      </c>
      <c r="K6423" s="891"/>
      <c r="L6423" s="891">
        <f>SUM(L6424:L6429)</f>
        <v>493141.85</v>
      </c>
      <c r="M6423" s="891"/>
      <c r="N6423" s="891">
        <f>SUM(N6424:N6429)</f>
        <v>0</v>
      </c>
      <c r="O6423" s="892">
        <f t="shared" si="442"/>
        <v>1</v>
      </c>
      <c r="P6423" s="903">
        <f t="shared" si="443"/>
        <v>0</v>
      </c>
      <c r="Q6423" s="893">
        <f t="shared" si="444"/>
        <v>0</v>
      </c>
      <c r="R6423" s="894">
        <f t="shared" si="445"/>
        <v>6</v>
      </c>
    </row>
    <row r="6424" spans="1:18" s="904" customFormat="1">
      <c r="A6424" s="895"/>
      <c r="B6424" s="896"/>
      <c r="C6424" s="897"/>
      <c r="D6424" s="897"/>
      <c r="E6424" s="898" t="s">
        <v>108</v>
      </c>
      <c r="F6424" s="899"/>
      <c r="G6424" s="928"/>
      <c r="H6424" s="901"/>
      <c r="I6424" s="902"/>
      <c r="J6424" s="902"/>
      <c r="K6424" s="912" t="s">
        <v>274</v>
      </c>
      <c r="L6424" s="902"/>
      <c r="M6424" s="902"/>
      <c r="N6424" s="902"/>
      <c r="O6424" s="892">
        <f t="shared" si="442"/>
        <v>0</v>
      </c>
      <c r="P6424" s="903">
        <f t="shared" si="443"/>
        <v>1</v>
      </c>
      <c r="Q6424" s="893">
        <f t="shared" si="444"/>
        <v>6</v>
      </c>
      <c r="R6424" s="894">
        <f t="shared" si="445"/>
        <v>0</v>
      </c>
    </row>
    <row r="6425" spans="1:18">
      <c r="A6425" s="905"/>
      <c r="B6425" s="906"/>
      <c r="C6425" s="907">
        <v>44</v>
      </c>
      <c r="D6425" s="907" t="s">
        <v>279</v>
      </c>
      <c r="E6425" s="925" t="s">
        <v>2681</v>
      </c>
      <c r="F6425" s="926" t="s">
        <v>45</v>
      </c>
      <c r="G6425" s="910"/>
      <c r="H6425" s="911">
        <v>0.6</v>
      </c>
      <c r="I6425" s="912">
        <f>VLOOKUP(E6425,[3]VLP!$B$7:$K$300,10,0)</f>
        <v>23000</v>
      </c>
      <c r="J6425" s="912">
        <f>I6425*H6425</f>
        <v>13800</v>
      </c>
      <c r="K6425" s="912" t="s">
        <v>274</v>
      </c>
      <c r="L6425" s="912"/>
      <c r="M6425" s="912"/>
      <c r="N6425" s="912"/>
      <c r="O6425" s="892">
        <f t="shared" si="442"/>
        <v>0</v>
      </c>
      <c r="P6425" s="903">
        <f t="shared" si="443"/>
        <v>1</v>
      </c>
      <c r="Q6425" s="893">
        <f t="shared" si="444"/>
        <v>5</v>
      </c>
      <c r="R6425" s="894">
        <f t="shared" si="445"/>
        <v>0</v>
      </c>
    </row>
    <row r="6426" spans="1:18">
      <c r="A6426" s="905"/>
      <c r="B6426" s="906"/>
      <c r="C6426" s="907">
        <v>66</v>
      </c>
      <c r="D6426" s="907" t="s">
        <v>279</v>
      </c>
      <c r="E6426" s="925" t="s">
        <v>2682</v>
      </c>
      <c r="F6426" s="926" t="s">
        <v>45</v>
      </c>
      <c r="G6426" s="910"/>
      <c r="H6426" s="911">
        <v>0.16</v>
      </c>
      <c r="I6426" s="912">
        <f>VLOOKUP(E6426,[3]VLP!$B$7:$K$300,10,0)</f>
        <v>5000</v>
      </c>
      <c r="J6426" s="912">
        <f>I6426*H6426</f>
        <v>800</v>
      </c>
      <c r="K6426" s="912" t="s">
        <v>274</v>
      </c>
      <c r="L6426" s="912"/>
      <c r="M6426" s="912"/>
      <c r="N6426" s="912"/>
      <c r="O6426" s="892">
        <f t="shared" si="442"/>
        <v>0</v>
      </c>
      <c r="P6426" s="903">
        <f t="shared" si="443"/>
        <v>1</v>
      </c>
      <c r="Q6426" s="893">
        <f t="shared" si="444"/>
        <v>4</v>
      </c>
      <c r="R6426" s="894">
        <f t="shared" si="445"/>
        <v>0</v>
      </c>
    </row>
    <row r="6427" spans="1:18">
      <c r="A6427" s="905"/>
      <c r="B6427" s="906"/>
      <c r="C6427" s="907">
        <v>699</v>
      </c>
      <c r="D6427" s="907" t="s">
        <v>279</v>
      </c>
      <c r="E6427" s="925" t="s">
        <v>4006</v>
      </c>
      <c r="F6427" s="926" t="s">
        <v>4007</v>
      </c>
      <c r="G6427" s="910"/>
      <c r="H6427" s="911">
        <v>5</v>
      </c>
      <c r="I6427" s="912">
        <f>VLOOKUP(E6427,[3]VLP!$B$7:$K$300,10,0)</f>
        <v>5000</v>
      </c>
      <c r="J6427" s="912">
        <f>I6427*H6427</f>
        <v>25000</v>
      </c>
      <c r="K6427" s="912" t="s">
        <v>274</v>
      </c>
      <c r="L6427" s="912"/>
      <c r="M6427" s="912"/>
      <c r="N6427" s="912"/>
      <c r="O6427" s="892">
        <f t="shared" si="442"/>
        <v>0</v>
      </c>
      <c r="P6427" s="903">
        <f t="shared" si="443"/>
        <v>1</v>
      </c>
      <c r="Q6427" s="893">
        <f t="shared" si="444"/>
        <v>3</v>
      </c>
      <c r="R6427" s="894">
        <f t="shared" si="445"/>
        <v>0</v>
      </c>
    </row>
    <row r="6428" spans="1:18" s="904" customFormat="1">
      <c r="A6428" s="895"/>
      <c r="B6428" s="896"/>
      <c r="C6428" s="897"/>
      <c r="D6428" s="897"/>
      <c r="E6428" s="924" t="s">
        <v>276</v>
      </c>
      <c r="F6428" s="927"/>
      <c r="G6428" s="928"/>
      <c r="H6428" s="901"/>
      <c r="I6428" s="902"/>
      <c r="J6428" s="902"/>
      <c r="K6428" s="912" t="s">
        <v>274</v>
      </c>
      <c r="L6428" s="902"/>
      <c r="M6428" s="902"/>
      <c r="N6428" s="902"/>
      <c r="O6428" s="892">
        <f t="shared" si="442"/>
        <v>0</v>
      </c>
      <c r="P6428" s="903">
        <f t="shared" si="443"/>
        <v>1</v>
      </c>
      <c r="Q6428" s="893">
        <f t="shared" si="444"/>
        <v>2</v>
      </c>
      <c r="R6428" s="894">
        <f t="shared" si="445"/>
        <v>0</v>
      </c>
    </row>
    <row r="6429" spans="1:18">
      <c r="A6429" s="905"/>
      <c r="B6429" s="906"/>
      <c r="C6429" s="907">
        <v>745</v>
      </c>
      <c r="D6429" s="907" t="s">
        <v>12</v>
      </c>
      <c r="E6429" s="908" t="s">
        <v>5518</v>
      </c>
      <c r="F6429" s="909" t="s">
        <v>2674</v>
      </c>
      <c r="G6429" s="910"/>
      <c r="H6429" s="911">
        <v>2.0499999999999998</v>
      </c>
      <c r="I6429" s="912"/>
      <c r="J6429" s="912"/>
      <c r="K6429" s="912">
        <f>VLOOKUP(E6429,[5]ĐMNC!$A$7:$F$67,4,0)</f>
        <v>240557</v>
      </c>
      <c r="L6429" s="912">
        <f>H6429*K6429</f>
        <v>493141.85</v>
      </c>
      <c r="M6429" s="912"/>
      <c r="N6429" s="912"/>
      <c r="O6429" s="892">
        <f t="shared" si="442"/>
        <v>0</v>
      </c>
      <c r="P6429" s="903">
        <f t="shared" si="443"/>
        <v>1</v>
      </c>
      <c r="Q6429" s="893">
        <f t="shared" si="444"/>
        <v>1</v>
      </c>
      <c r="R6429" s="894">
        <f t="shared" si="445"/>
        <v>0</v>
      </c>
    </row>
    <row r="6430" spans="1:18" s="847" customFormat="1" ht="31.5">
      <c r="A6430" s="905"/>
      <c r="B6430" s="914" t="s">
        <v>1625</v>
      </c>
      <c r="C6430" s="915"/>
      <c r="D6430" s="915"/>
      <c r="E6430" s="916" t="s">
        <v>5958</v>
      </c>
      <c r="F6430" s="917" t="s">
        <v>2271</v>
      </c>
      <c r="G6430" s="918"/>
      <c r="H6430" s="919"/>
      <c r="I6430" s="920"/>
      <c r="J6430" s="891">
        <f>SUM(J6431:J6436)</f>
        <v>39800</v>
      </c>
      <c r="K6430" s="891"/>
      <c r="L6430" s="891">
        <f>SUM(L6431:L6436)</f>
        <v>546064.39</v>
      </c>
      <c r="M6430" s="891"/>
      <c r="N6430" s="891">
        <f>SUM(N6431:N6436)</f>
        <v>0</v>
      </c>
      <c r="O6430" s="892">
        <f t="shared" si="442"/>
        <v>1</v>
      </c>
      <c r="P6430" s="903">
        <f t="shared" si="443"/>
        <v>0</v>
      </c>
      <c r="Q6430" s="893">
        <f t="shared" si="444"/>
        <v>0</v>
      </c>
      <c r="R6430" s="894">
        <f t="shared" si="445"/>
        <v>6</v>
      </c>
    </row>
    <row r="6431" spans="1:18" s="904" customFormat="1">
      <c r="A6431" s="895"/>
      <c r="B6431" s="896"/>
      <c r="C6431" s="897"/>
      <c r="D6431" s="897"/>
      <c r="E6431" s="898" t="s">
        <v>108</v>
      </c>
      <c r="F6431" s="899"/>
      <c r="G6431" s="928"/>
      <c r="H6431" s="901"/>
      <c r="I6431" s="902"/>
      <c r="J6431" s="902"/>
      <c r="K6431" s="912" t="s">
        <v>274</v>
      </c>
      <c r="L6431" s="902"/>
      <c r="M6431" s="902"/>
      <c r="N6431" s="902"/>
      <c r="O6431" s="892">
        <f t="shared" ref="O6431:O6494" si="449">IF(AND(B6431&lt;&gt;"",D6431=""),1,0)</f>
        <v>0</v>
      </c>
      <c r="P6431" s="903">
        <f t="shared" si="443"/>
        <v>1</v>
      </c>
      <c r="Q6431" s="893">
        <f t="shared" si="444"/>
        <v>6</v>
      </c>
      <c r="R6431" s="894">
        <f t="shared" si="445"/>
        <v>0</v>
      </c>
    </row>
    <row r="6432" spans="1:18">
      <c r="A6432" s="905"/>
      <c r="B6432" s="906"/>
      <c r="C6432" s="907">
        <v>44</v>
      </c>
      <c r="D6432" s="907" t="s">
        <v>279</v>
      </c>
      <c r="E6432" s="925" t="s">
        <v>2681</v>
      </c>
      <c r="F6432" s="926" t="s">
        <v>45</v>
      </c>
      <c r="G6432" s="910"/>
      <c r="H6432" s="911">
        <v>0.6</v>
      </c>
      <c r="I6432" s="912">
        <f>VLOOKUP(E6432,[3]VLP!$B$7:$K$300,10,0)</f>
        <v>23000</v>
      </c>
      <c r="J6432" s="912">
        <f>I6432*H6432</f>
        <v>13800</v>
      </c>
      <c r="K6432" s="912" t="s">
        <v>274</v>
      </c>
      <c r="L6432" s="912"/>
      <c r="M6432" s="912"/>
      <c r="N6432" s="912"/>
      <c r="O6432" s="892">
        <f t="shared" si="449"/>
        <v>0</v>
      </c>
      <c r="P6432" s="903">
        <f t="shared" si="443"/>
        <v>1</v>
      </c>
      <c r="Q6432" s="893">
        <f t="shared" si="444"/>
        <v>5</v>
      </c>
      <c r="R6432" s="894">
        <f t="shared" si="445"/>
        <v>0</v>
      </c>
    </row>
    <row r="6433" spans="1:18">
      <c r="A6433" s="905"/>
      <c r="B6433" s="906"/>
      <c r="C6433" s="907">
        <v>66</v>
      </c>
      <c r="D6433" s="907" t="s">
        <v>279</v>
      </c>
      <c r="E6433" s="925" t="s">
        <v>2682</v>
      </c>
      <c r="F6433" s="926" t="s">
        <v>45</v>
      </c>
      <c r="G6433" s="910"/>
      <c r="H6433" s="911">
        <v>0.2</v>
      </c>
      <c r="I6433" s="912">
        <f>VLOOKUP(E6433,[3]VLP!$B$7:$K$300,10,0)</f>
        <v>5000</v>
      </c>
      <c r="J6433" s="912">
        <f>I6433*H6433</f>
        <v>1000</v>
      </c>
      <c r="K6433" s="912" t="s">
        <v>274</v>
      </c>
      <c r="L6433" s="912"/>
      <c r="M6433" s="912"/>
      <c r="N6433" s="912"/>
      <c r="O6433" s="892">
        <f t="shared" si="449"/>
        <v>0</v>
      </c>
      <c r="P6433" s="903">
        <f t="shared" si="443"/>
        <v>1</v>
      </c>
      <c r="Q6433" s="893">
        <f t="shared" si="444"/>
        <v>4</v>
      </c>
      <c r="R6433" s="894">
        <f t="shared" si="445"/>
        <v>0</v>
      </c>
    </row>
    <row r="6434" spans="1:18">
      <c r="A6434" s="905"/>
      <c r="B6434" s="906"/>
      <c r="C6434" s="907">
        <v>699</v>
      </c>
      <c r="D6434" s="907" t="s">
        <v>279</v>
      </c>
      <c r="E6434" s="925" t="s">
        <v>4006</v>
      </c>
      <c r="F6434" s="926" t="s">
        <v>4007</v>
      </c>
      <c r="G6434" s="910"/>
      <c r="H6434" s="911">
        <v>5</v>
      </c>
      <c r="I6434" s="912">
        <f>VLOOKUP(E6434,[3]VLP!$B$7:$K$300,10,0)</f>
        <v>5000</v>
      </c>
      <c r="J6434" s="912">
        <f>I6434*H6434</f>
        <v>25000</v>
      </c>
      <c r="K6434" s="912" t="s">
        <v>274</v>
      </c>
      <c r="L6434" s="912"/>
      <c r="M6434" s="912"/>
      <c r="N6434" s="912"/>
      <c r="O6434" s="892">
        <f t="shared" si="449"/>
        <v>0</v>
      </c>
      <c r="P6434" s="903">
        <f t="shared" si="443"/>
        <v>1</v>
      </c>
      <c r="Q6434" s="893">
        <f t="shared" si="444"/>
        <v>3</v>
      </c>
      <c r="R6434" s="894">
        <f t="shared" si="445"/>
        <v>0</v>
      </c>
    </row>
    <row r="6435" spans="1:18" s="904" customFormat="1">
      <c r="A6435" s="895"/>
      <c r="B6435" s="896"/>
      <c r="C6435" s="897"/>
      <c r="D6435" s="897"/>
      <c r="E6435" s="924" t="s">
        <v>276</v>
      </c>
      <c r="F6435" s="927"/>
      <c r="G6435" s="928"/>
      <c r="H6435" s="901"/>
      <c r="I6435" s="902"/>
      <c r="J6435" s="902"/>
      <c r="K6435" s="912" t="s">
        <v>274</v>
      </c>
      <c r="L6435" s="902"/>
      <c r="M6435" s="902"/>
      <c r="N6435" s="902"/>
      <c r="O6435" s="892">
        <f t="shared" si="449"/>
        <v>0</v>
      </c>
      <c r="P6435" s="903">
        <f t="shared" si="443"/>
        <v>1</v>
      </c>
      <c r="Q6435" s="893">
        <f t="shared" si="444"/>
        <v>2</v>
      </c>
      <c r="R6435" s="894">
        <f t="shared" si="445"/>
        <v>0</v>
      </c>
    </row>
    <row r="6436" spans="1:18">
      <c r="A6436" s="905"/>
      <c r="B6436" s="906"/>
      <c r="C6436" s="907">
        <v>745</v>
      </c>
      <c r="D6436" s="907" t="s">
        <v>12</v>
      </c>
      <c r="E6436" s="908" t="s">
        <v>5518</v>
      </c>
      <c r="F6436" s="909" t="s">
        <v>2674</v>
      </c>
      <c r="G6436" s="910"/>
      <c r="H6436" s="911">
        <v>2.27</v>
      </c>
      <c r="I6436" s="912"/>
      <c r="J6436" s="912"/>
      <c r="K6436" s="912">
        <f>VLOOKUP(E6436,[5]ĐMNC!$A$7:$F$67,4,0)</f>
        <v>240557</v>
      </c>
      <c r="L6436" s="912">
        <f>H6436*K6436</f>
        <v>546064.39</v>
      </c>
      <c r="M6436" s="912"/>
      <c r="N6436" s="912"/>
      <c r="O6436" s="892">
        <f t="shared" si="449"/>
        <v>0</v>
      </c>
      <c r="P6436" s="903">
        <f t="shared" si="443"/>
        <v>1</v>
      </c>
      <c r="Q6436" s="893">
        <f t="shared" si="444"/>
        <v>1</v>
      </c>
      <c r="R6436" s="894">
        <f t="shared" si="445"/>
        <v>0</v>
      </c>
    </row>
    <row r="6437" spans="1:18" s="847" customFormat="1" ht="31.5">
      <c r="A6437" s="905"/>
      <c r="B6437" s="914" t="s">
        <v>1627</v>
      </c>
      <c r="C6437" s="915"/>
      <c r="D6437" s="915"/>
      <c r="E6437" s="916" t="s">
        <v>5959</v>
      </c>
      <c r="F6437" s="917" t="s">
        <v>2271</v>
      </c>
      <c r="G6437" s="918"/>
      <c r="H6437" s="919"/>
      <c r="I6437" s="920"/>
      <c r="J6437" s="891">
        <f>SUM(J6438:J6443)</f>
        <v>42100</v>
      </c>
      <c r="K6437" s="891"/>
      <c r="L6437" s="891">
        <f>SUM(L6438:L6443)</f>
        <v>601392.5</v>
      </c>
      <c r="M6437" s="891"/>
      <c r="N6437" s="891">
        <f>SUM(N6438:N6443)</f>
        <v>0</v>
      </c>
      <c r="O6437" s="892">
        <f t="shared" si="449"/>
        <v>1</v>
      </c>
      <c r="P6437" s="903">
        <f t="shared" si="443"/>
        <v>0</v>
      </c>
      <c r="Q6437" s="893">
        <f t="shared" si="444"/>
        <v>0</v>
      </c>
      <c r="R6437" s="894">
        <f t="shared" si="445"/>
        <v>6</v>
      </c>
    </row>
    <row r="6438" spans="1:18" s="904" customFormat="1">
      <c r="A6438" s="895"/>
      <c r="B6438" s="896"/>
      <c r="C6438" s="897"/>
      <c r="D6438" s="897"/>
      <c r="E6438" s="898" t="s">
        <v>108</v>
      </c>
      <c r="F6438" s="899"/>
      <c r="G6438" s="928"/>
      <c r="H6438" s="901"/>
      <c r="I6438" s="902"/>
      <c r="J6438" s="902"/>
      <c r="K6438" s="912" t="s">
        <v>274</v>
      </c>
      <c r="L6438" s="902"/>
      <c r="M6438" s="902"/>
      <c r="N6438" s="902"/>
      <c r="O6438" s="892">
        <f t="shared" si="449"/>
        <v>0</v>
      </c>
      <c r="P6438" s="903">
        <f t="shared" si="443"/>
        <v>1</v>
      </c>
      <c r="Q6438" s="893">
        <f t="shared" si="444"/>
        <v>6</v>
      </c>
      <c r="R6438" s="894">
        <f t="shared" si="445"/>
        <v>0</v>
      </c>
    </row>
    <row r="6439" spans="1:18">
      <c r="A6439" s="905"/>
      <c r="B6439" s="906"/>
      <c r="C6439" s="907">
        <v>44</v>
      </c>
      <c r="D6439" s="907" t="s">
        <v>279</v>
      </c>
      <c r="E6439" s="925" t="s">
        <v>2681</v>
      </c>
      <c r="F6439" s="926" t="s">
        <v>45</v>
      </c>
      <c r="G6439" s="910"/>
      <c r="H6439" s="911">
        <v>0.7</v>
      </c>
      <c r="I6439" s="912">
        <f>VLOOKUP(E6439,[3]VLP!$B$7:$K$300,10,0)</f>
        <v>23000</v>
      </c>
      <c r="J6439" s="912">
        <f>I6439*H6439</f>
        <v>16099.999999999998</v>
      </c>
      <c r="K6439" s="912" t="s">
        <v>274</v>
      </c>
      <c r="L6439" s="912"/>
      <c r="M6439" s="912"/>
      <c r="N6439" s="912"/>
      <c r="O6439" s="892">
        <f t="shared" si="449"/>
        <v>0</v>
      </c>
      <c r="P6439" s="903">
        <f t="shared" si="443"/>
        <v>1</v>
      </c>
      <c r="Q6439" s="893">
        <f t="shared" si="444"/>
        <v>5</v>
      </c>
      <c r="R6439" s="894">
        <f t="shared" si="445"/>
        <v>0</v>
      </c>
    </row>
    <row r="6440" spans="1:18">
      <c r="A6440" s="905"/>
      <c r="B6440" s="906"/>
      <c r="C6440" s="907">
        <v>66</v>
      </c>
      <c r="D6440" s="907" t="s">
        <v>279</v>
      </c>
      <c r="E6440" s="925" t="s">
        <v>2682</v>
      </c>
      <c r="F6440" s="926" t="s">
        <v>45</v>
      </c>
      <c r="G6440" s="910"/>
      <c r="H6440" s="911">
        <v>0.2</v>
      </c>
      <c r="I6440" s="912">
        <f>VLOOKUP(E6440,[3]VLP!$B$7:$K$300,10,0)</f>
        <v>5000</v>
      </c>
      <c r="J6440" s="912">
        <f>I6440*H6440</f>
        <v>1000</v>
      </c>
      <c r="K6440" s="912" t="s">
        <v>274</v>
      </c>
      <c r="L6440" s="912"/>
      <c r="M6440" s="912"/>
      <c r="N6440" s="912"/>
      <c r="O6440" s="892">
        <f t="shared" si="449"/>
        <v>0</v>
      </c>
      <c r="P6440" s="903">
        <f t="shared" ref="P6440:P6503" si="450">IF(O6440=0,1,0)</f>
        <v>1</v>
      </c>
      <c r="Q6440" s="893">
        <f t="shared" ref="Q6440:Q6503" si="451">IF(P6440=0,0,P6440+Q6441)</f>
        <v>4</v>
      </c>
      <c r="R6440" s="894">
        <f t="shared" ref="R6440:R6503" si="452">IF(Q6440=0,Q6441,0)</f>
        <v>0</v>
      </c>
    </row>
    <row r="6441" spans="1:18">
      <c r="A6441" s="905"/>
      <c r="B6441" s="906"/>
      <c r="C6441" s="907">
        <v>699</v>
      </c>
      <c r="D6441" s="907" t="s">
        <v>279</v>
      </c>
      <c r="E6441" s="925" t="s">
        <v>4006</v>
      </c>
      <c r="F6441" s="926" t="s">
        <v>4007</v>
      </c>
      <c r="G6441" s="910"/>
      <c r="H6441" s="911">
        <v>5</v>
      </c>
      <c r="I6441" s="912">
        <f>VLOOKUP(E6441,[3]VLP!$B$7:$K$300,10,0)</f>
        <v>5000</v>
      </c>
      <c r="J6441" s="912">
        <f>I6441*H6441</f>
        <v>25000</v>
      </c>
      <c r="K6441" s="912" t="s">
        <v>274</v>
      </c>
      <c r="L6441" s="912"/>
      <c r="M6441" s="912"/>
      <c r="N6441" s="912"/>
      <c r="O6441" s="892">
        <f t="shared" si="449"/>
        <v>0</v>
      </c>
      <c r="P6441" s="903">
        <f t="shared" si="450"/>
        <v>1</v>
      </c>
      <c r="Q6441" s="893">
        <f t="shared" si="451"/>
        <v>3</v>
      </c>
      <c r="R6441" s="894">
        <f t="shared" si="452"/>
        <v>0</v>
      </c>
    </row>
    <row r="6442" spans="1:18" s="904" customFormat="1">
      <c r="A6442" s="895"/>
      <c r="B6442" s="896"/>
      <c r="C6442" s="897"/>
      <c r="D6442" s="897"/>
      <c r="E6442" s="924" t="s">
        <v>276</v>
      </c>
      <c r="F6442" s="927"/>
      <c r="G6442" s="928"/>
      <c r="H6442" s="901"/>
      <c r="I6442" s="902"/>
      <c r="J6442" s="902"/>
      <c r="K6442" s="912" t="s">
        <v>274</v>
      </c>
      <c r="L6442" s="902"/>
      <c r="M6442" s="902"/>
      <c r="N6442" s="902"/>
      <c r="O6442" s="892">
        <f t="shared" si="449"/>
        <v>0</v>
      </c>
      <c r="P6442" s="903">
        <f t="shared" si="450"/>
        <v>1</v>
      </c>
      <c r="Q6442" s="893">
        <f t="shared" si="451"/>
        <v>2</v>
      </c>
      <c r="R6442" s="894">
        <f t="shared" si="452"/>
        <v>0</v>
      </c>
    </row>
    <row r="6443" spans="1:18">
      <c r="A6443" s="905"/>
      <c r="B6443" s="906"/>
      <c r="C6443" s="907">
        <v>745</v>
      </c>
      <c r="D6443" s="907" t="s">
        <v>12</v>
      </c>
      <c r="E6443" s="908" t="s">
        <v>5518</v>
      </c>
      <c r="F6443" s="909" t="s">
        <v>2674</v>
      </c>
      <c r="G6443" s="910"/>
      <c r="H6443" s="911">
        <v>2.5</v>
      </c>
      <c r="I6443" s="912"/>
      <c r="J6443" s="912"/>
      <c r="K6443" s="912">
        <f>VLOOKUP(E6443,[5]ĐMNC!$A$7:$F$67,4,0)</f>
        <v>240557</v>
      </c>
      <c r="L6443" s="912">
        <f>H6443*K6443</f>
        <v>601392.5</v>
      </c>
      <c r="M6443" s="912"/>
      <c r="N6443" s="912"/>
      <c r="O6443" s="892">
        <f t="shared" si="449"/>
        <v>0</v>
      </c>
      <c r="P6443" s="903">
        <f t="shared" si="450"/>
        <v>1</v>
      </c>
      <c r="Q6443" s="893">
        <f t="shared" si="451"/>
        <v>1</v>
      </c>
      <c r="R6443" s="894">
        <f t="shared" si="452"/>
        <v>0</v>
      </c>
    </row>
    <row r="6444" spans="1:18" s="847" customFormat="1" ht="31.5">
      <c r="A6444" s="905" t="s">
        <v>5960</v>
      </c>
      <c r="B6444" s="914" t="s">
        <v>5961</v>
      </c>
      <c r="C6444" s="915"/>
      <c r="D6444" s="915"/>
      <c r="E6444" s="916" t="s">
        <v>5962</v>
      </c>
      <c r="F6444" s="917" t="s">
        <v>2271</v>
      </c>
      <c r="G6444" s="918"/>
      <c r="H6444" s="919"/>
      <c r="I6444" s="920"/>
      <c r="J6444" s="891">
        <f>SUM(J6445:J6450)</f>
        <v>42300</v>
      </c>
      <c r="K6444" s="891"/>
      <c r="L6444" s="891">
        <f>SUM(L6445:L6450)</f>
        <v>671154.03</v>
      </c>
      <c r="M6444" s="891"/>
      <c r="N6444" s="891">
        <f>SUM(N6445:N6450)</f>
        <v>0</v>
      </c>
      <c r="O6444" s="892">
        <f t="shared" si="449"/>
        <v>1</v>
      </c>
      <c r="P6444" s="903">
        <f t="shared" si="450"/>
        <v>0</v>
      </c>
      <c r="Q6444" s="893">
        <f t="shared" si="451"/>
        <v>0</v>
      </c>
      <c r="R6444" s="894">
        <f t="shared" si="452"/>
        <v>6</v>
      </c>
    </row>
    <row r="6445" spans="1:18" s="904" customFormat="1">
      <c r="A6445" s="895"/>
      <c r="B6445" s="896"/>
      <c r="C6445" s="897"/>
      <c r="D6445" s="897"/>
      <c r="E6445" s="898" t="s">
        <v>108</v>
      </c>
      <c r="F6445" s="899"/>
      <c r="G6445" s="928"/>
      <c r="H6445" s="901"/>
      <c r="I6445" s="902"/>
      <c r="J6445" s="902"/>
      <c r="K6445" s="912" t="s">
        <v>274</v>
      </c>
      <c r="L6445" s="902"/>
      <c r="M6445" s="902"/>
      <c r="N6445" s="902"/>
      <c r="O6445" s="892">
        <f t="shared" si="449"/>
        <v>0</v>
      </c>
      <c r="P6445" s="903">
        <f t="shared" si="450"/>
        <v>1</v>
      </c>
      <c r="Q6445" s="893">
        <f t="shared" si="451"/>
        <v>6</v>
      </c>
      <c r="R6445" s="894">
        <f t="shared" si="452"/>
        <v>0</v>
      </c>
    </row>
    <row r="6446" spans="1:18">
      <c r="A6446" s="905"/>
      <c r="B6446" s="906"/>
      <c r="C6446" s="907">
        <v>44</v>
      </c>
      <c r="D6446" s="907" t="s">
        <v>279</v>
      </c>
      <c r="E6446" s="925" t="s">
        <v>2681</v>
      </c>
      <c r="F6446" s="926" t="s">
        <v>45</v>
      </c>
      <c r="G6446" s="910"/>
      <c r="H6446" s="911">
        <v>0.7</v>
      </c>
      <c r="I6446" s="912">
        <f>VLOOKUP(E6446,[3]VLP!$B$7:$K$300,10,0)</f>
        <v>23000</v>
      </c>
      <c r="J6446" s="912">
        <f>I6446*H6446</f>
        <v>16099.999999999998</v>
      </c>
      <c r="K6446" s="912" t="s">
        <v>274</v>
      </c>
      <c r="L6446" s="912"/>
      <c r="M6446" s="912"/>
      <c r="N6446" s="912"/>
      <c r="O6446" s="892">
        <f t="shared" si="449"/>
        <v>0</v>
      </c>
      <c r="P6446" s="903">
        <f t="shared" si="450"/>
        <v>1</v>
      </c>
      <c r="Q6446" s="893">
        <f t="shared" si="451"/>
        <v>5</v>
      </c>
      <c r="R6446" s="894">
        <f t="shared" si="452"/>
        <v>0</v>
      </c>
    </row>
    <row r="6447" spans="1:18">
      <c r="A6447" s="905"/>
      <c r="B6447" s="906"/>
      <c r="C6447" s="907">
        <v>66</v>
      </c>
      <c r="D6447" s="907" t="s">
        <v>279</v>
      </c>
      <c r="E6447" s="925" t="s">
        <v>2682</v>
      </c>
      <c r="F6447" s="926" t="s">
        <v>45</v>
      </c>
      <c r="G6447" s="910"/>
      <c r="H6447" s="911">
        <v>0.24</v>
      </c>
      <c r="I6447" s="912">
        <f>VLOOKUP(E6447,[3]VLP!$B$7:$K$300,10,0)</f>
        <v>5000</v>
      </c>
      <c r="J6447" s="912">
        <f>I6447*H6447</f>
        <v>1200</v>
      </c>
      <c r="K6447" s="912" t="s">
        <v>274</v>
      </c>
      <c r="L6447" s="912"/>
      <c r="M6447" s="912"/>
      <c r="N6447" s="912"/>
      <c r="O6447" s="892">
        <f t="shared" si="449"/>
        <v>0</v>
      </c>
      <c r="P6447" s="903">
        <f t="shared" si="450"/>
        <v>1</v>
      </c>
      <c r="Q6447" s="893">
        <f t="shared" si="451"/>
        <v>4</v>
      </c>
      <c r="R6447" s="894">
        <f t="shared" si="452"/>
        <v>0</v>
      </c>
    </row>
    <row r="6448" spans="1:18">
      <c r="A6448" s="905"/>
      <c r="B6448" s="906"/>
      <c r="C6448" s="907">
        <v>699</v>
      </c>
      <c r="D6448" s="907" t="s">
        <v>279</v>
      </c>
      <c r="E6448" s="925" t="s">
        <v>4006</v>
      </c>
      <c r="F6448" s="926" t="s">
        <v>4007</v>
      </c>
      <c r="G6448" s="910"/>
      <c r="H6448" s="911">
        <v>5</v>
      </c>
      <c r="I6448" s="912">
        <f>VLOOKUP(E6448,[3]VLP!$B$7:$K$300,10,0)</f>
        <v>5000</v>
      </c>
      <c r="J6448" s="912">
        <f>I6448*H6448</f>
        <v>25000</v>
      </c>
      <c r="K6448" s="912" t="s">
        <v>274</v>
      </c>
      <c r="L6448" s="912"/>
      <c r="M6448" s="912"/>
      <c r="N6448" s="912"/>
      <c r="O6448" s="892">
        <f t="shared" si="449"/>
        <v>0</v>
      </c>
      <c r="P6448" s="903">
        <f t="shared" si="450"/>
        <v>1</v>
      </c>
      <c r="Q6448" s="893">
        <f t="shared" si="451"/>
        <v>3</v>
      </c>
      <c r="R6448" s="894">
        <f t="shared" si="452"/>
        <v>0</v>
      </c>
    </row>
    <row r="6449" spans="1:18" s="904" customFormat="1">
      <c r="A6449" s="895"/>
      <c r="B6449" s="896"/>
      <c r="C6449" s="897"/>
      <c r="D6449" s="897"/>
      <c r="E6449" s="924" t="s">
        <v>276</v>
      </c>
      <c r="F6449" s="927"/>
      <c r="G6449" s="928"/>
      <c r="H6449" s="901"/>
      <c r="I6449" s="902"/>
      <c r="J6449" s="902"/>
      <c r="K6449" s="912" t="s">
        <v>274</v>
      </c>
      <c r="L6449" s="902"/>
      <c r="M6449" s="902"/>
      <c r="N6449" s="902"/>
      <c r="O6449" s="892">
        <f t="shared" si="449"/>
        <v>0</v>
      </c>
      <c r="P6449" s="903">
        <f t="shared" si="450"/>
        <v>1</v>
      </c>
      <c r="Q6449" s="893">
        <f t="shared" si="451"/>
        <v>2</v>
      </c>
      <c r="R6449" s="894">
        <f t="shared" si="452"/>
        <v>0</v>
      </c>
    </row>
    <row r="6450" spans="1:18">
      <c r="A6450" s="905"/>
      <c r="B6450" s="906"/>
      <c r="C6450" s="907">
        <v>745</v>
      </c>
      <c r="D6450" s="907" t="s">
        <v>12</v>
      </c>
      <c r="E6450" s="908" t="s">
        <v>5518</v>
      </c>
      <c r="F6450" s="909" t="s">
        <v>2674</v>
      </c>
      <c r="G6450" s="910"/>
      <c r="H6450" s="911">
        <v>2.79</v>
      </c>
      <c r="I6450" s="912"/>
      <c r="J6450" s="912"/>
      <c r="K6450" s="912">
        <f>VLOOKUP(E6450,[5]ĐMNC!$A$7:$F$67,4,0)</f>
        <v>240557</v>
      </c>
      <c r="L6450" s="912">
        <f>H6450*K6450</f>
        <v>671154.03</v>
      </c>
      <c r="M6450" s="912"/>
      <c r="N6450" s="912"/>
      <c r="O6450" s="892">
        <f t="shared" si="449"/>
        <v>0</v>
      </c>
      <c r="P6450" s="903">
        <f t="shared" si="450"/>
        <v>1</v>
      </c>
      <c r="Q6450" s="893">
        <f t="shared" si="451"/>
        <v>1</v>
      </c>
      <c r="R6450" s="894">
        <f t="shared" si="452"/>
        <v>0</v>
      </c>
    </row>
    <row r="6451" spans="1:18" s="847" customFormat="1" ht="31.5">
      <c r="A6451" s="905"/>
      <c r="B6451" s="914" t="s">
        <v>5963</v>
      </c>
      <c r="C6451" s="915"/>
      <c r="D6451" s="915"/>
      <c r="E6451" s="916" t="s">
        <v>5964</v>
      </c>
      <c r="F6451" s="917" t="s">
        <v>2271</v>
      </c>
      <c r="G6451" s="918"/>
      <c r="H6451" s="919"/>
      <c r="I6451" s="920"/>
      <c r="J6451" s="891">
        <f>SUM(J6452:J6457)</f>
        <v>42300</v>
      </c>
      <c r="K6451" s="891"/>
      <c r="L6451" s="891">
        <f>SUM(L6452:L6457)</f>
        <v>870816.34000000008</v>
      </c>
      <c r="M6451" s="891"/>
      <c r="N6451" s="891">
        <f>SUM(N6452:N6457)</f>
        <v>0</v>
      </c>
      <c r="O6451" s="892">
        <f t="shared" si="449"/>
        <v>1</v>
      </c>
      <c r="P6451" s="903">
        <f t="shared" si="450"/>
        <v>0</v>
      </c>
      <c r="Q6451" s="893">
        <f t="shared" si="451"/>
        <v>0</v>
      </c>
      <c r="R6451" s="894">
        <f t="shared" si="452"/>
        <v>6</v>
      </c>
    </row>
    <row r="6452" spans="1:18" s="904" customFormat="1">
      <c r="A6452" s="895"/>
      <c r="B6452" s="896"/>
      <c r="C6452" s="897"/>
      <c r="D6452" s="897"/>
      <c r="E6452" s="898" t="s">
        <v>108</v>
      </c>
      <c r="F6452" s="899"/>
      <c r="G6452" s="928"/>
      <c r="H6452" s="901"/>
      <c r="I6452" s="902"/>
      <c r="J6452" s="902"/>
      <c r="K6452" s="912" t="s">
        <v>274</v>
      </c>
      <c r="L6452" s="902"/>
      <c r="M6452" s="902"/>
      <c r="N6452" s="902"/>
      <c r="O6452" s="892">
        <f t="shared" si="449"/>
        <v>0</v>
      </c>
      <c r="P6452" s="903">
        <f t="shared" si="450"/>
        <v>1</v>
      </c>
      <c r="Q6452" s="893">
        <f t="shared" si="451"/>
        <v>6</v>
      </c>
      <c r="R6452" s="894">
        <f t="shared" si="452"/>
        <v>0</v>
      </c>
    </row>
    <row r="6453" spans="1:18">
      <c r="A6453" s="905"/>
      <c r="B6453" s="906"/>
      <c r="C6453" s="907">
        <v>44</v>
      </c>
      <c r="D6453" s="907" t="s">
        <v>279</v>
      </c>
      <c r="E6453" s="925" t="s">
        <v>2681</v>
      </c>
      <c r="F6453" s="926" t="s">
        <v>45</v>
      </c>
      <c r="G6453" s="910"/>
      <c r="H6453" s="911">
        <v>0.7</v>
      </c>
      <c r="I6453" s="912">
        <f>VLOOKUP(E6453,[3]VLP!$B$7:$K$300,10,0)</f>
        <v>23000</v>
      </c>
      <c r="J6453" s="912">
        <f>I6453*H6453</f>
        <v>16099.999999999998</v>
      </c>
      <c r="K6453" s="912" t="s">
        <v>274</v>
      </c>
      <c r="L6453" s="912"/>
      <c r="M6453" s="912"/>
      <c r="N6453" s="912"/>
      <c r="O6453" s="892">
        <f t="shared" si="449"/>
        <v>0</v>
      </c>
      <c r="P6453" s="903">
        <f t="shared" si="450"/>
        <v>1</v>
      </c>
      <c r="Q6453" s="893">
        <f t="shared" si="451"/>
        <v>5</v>
      </c>
      <c r="R6453" s="894">
        <f t="shared" si="452"/>
        <v>0</v>
      </c>
    </row>
    <row r="6454" spans="1:18">
      <c r="A6454" s="905"/>
      <c r="B6454" s="906"/>
      <c r="C6454" s="907">
        <v>66</v>
      </c>
      <c r="D6454" s="907" t="s">
        <v>279</v>
      </c>
      <c r="E6454" s="925" t="s">
        <v>2682</v>
      </c>
      <c r="F6454" s="926" t="s">
        <v>45</v>
      </c>
      <c r="G6454" s="910"/>
      <c r="H6454" s="911">
        <v>0.24</v>
      </c>
      <c r="I6454" s="912">
        <f>VLOOKUP(E6454,[3]VLP!$B$7:$K$300,10,0)</f>
        <v>5000</v>
      </c>
      <c r="J6454" s="912">
        <f>I6454*H6454</f>
        <v>1200</v>
      </c>
      <c r="K6454" s="912" t="s">
        <v>274</v>
      </c>
      <c r="L6454" s="912"/>
      <c r="M6454" s="912"/>
      <c r="N6454" s="912"/>
      <c r="O6454" s="892">
        <f t="shared" si="449"/>
        <v>0</v>
      </c>
      <c r="P6454" s="903">
        <f t="shared" si="450"/>
        <v>1</v>
      </c>
      <c r="Q6454" s="893">
        <f t="shared" si="451"/>
        <v>4</v>
      </c>
      <c r="R6454" s="894">
        <f t="shared" si="452"/>
        <v>0</v>
      </c>
    </row>
    <row r="6455" spans="1:18">
      <c r="A6455" s="905"/>
      <c r="B6455" s="906"/>
      <c r="C6455" s="907">
        <v>699</v>
      </c>
      <c r="D6455" s="907" t="s">
        <v>279</v>
      </c>
      <c r="E6455" s="925" t="s">
        <v>4006</v>
      </c>
      <c r="F6455" s="926" t="s">
        <v>4007</v>
      </c>
      <c r="G6455" s="910"/>
      <c r="H6455" s="911">
        <v>5</v>
      </c>
      <c r="I6455" s="912">
        <f>VLOOKUP(E6455,[3]VLP!$B$7:$K$300,10,0)</f>
        <v>5000</v>
      </c>
      <c r="J6455" s="912">
        <f>I6455*H6455</f>
        <v>25000</v>
      </c>
      <c r="K6455" s="912" t="s">
        <v>274</v>
      </c>
      <c r="L6455" s="912"/>
      <c r="M6455" s="912"/>
      <c r="N6455" s="912"/>
      <c r="O6455" s="892">
        <f t="shared" si="449"/>
        <v>0</v>
      </c>
      <c r="P6455" s="903">
        <f t="shared" si="450"/>
        <v>1</v>
      </c>
      <c r="Q6455" s="893">
        <f t="shared" si="451"/>
        <v>3</v>
      </c>
      <c r="R6455" s="894">
        <f t="shared" si="452"/>
        <v>0</v>
      </c>
    </row>
    <row r="6456" spans="1:18" s="904" customFormat="1">
      <c r="A6456" s="895"/>
      <c r="B6456" s="896"/>
      <c r="C6456" s="897"/>
      <c r="D6456" s="897"/>
      <c r="E6456" s="924" t="s">
        <v>276</v>
      </c>
      <c r="F6456" s="927"/>
      <c r="G6456" s="928"/>
      <c r="H6456" s="901"/>
      <c r="I6456" s="902"/>
      <c r="J6456" s="902"/>
      <c r="K6456" s="912" t="s">
        <v>274</v>
      </c>
      <c r="L6456" s="902"/>
      <c r="M6456" s="902"/>
      <c r="N6456" s="902"/>
      <c r="O6456" s="892">
        <f t="shared" si="449"/>
        <v>0</v>
      </c>
      <c r="P6456" s="903">
        <f t="shared" si="450"/>
        <v>1</v>
      </c>
      <c r="Q6456" s="893">
        <f t="shared" si="451"/>
        <v>2</v>
      </c>
      <c r="R6456" s="894">
        <f t="shared" si="452"/>
        <v>0</v>
      </c>
    </row>
    <row r="6457" spans="1:18">
      <c r="A6457" s="905"/>
      <c r="B6457" s="906"/>
      <c r="C6457" s="907">
        <v>745</v>
      </c>
      <c r="D6457" s="907" t="s">
        <v>12</v>
      </c>
      <c r="E6457" s="908" t="s">
        <v>5518</v>
      </c>
      <c r="F6457" s="909" t="s">
        <v>2674</v>
      </c>
      <c r="G6457" s="910"/>
      <c r="H6457" s="911">
        <v>3.62</v>
      </c>
      <c r="I6457" s="912"/>
      <c r="J6457" s="912"/>
      <c r="K6457" s="912">
        <f>VLOOKUP(E6457,[5]ĐMNC!$A$7:$F$67,4,0)</f>
        <v>240557</v>
      </c>
      <c r="L6457" s="912">
        <f>H6457*K6457</f>
        <v>870816.34000000008</v>
      </c>
      <c r="M6457" s="912"/>
      <c r="N6457" s="912"/>
      <c r="O6457" s="892">
        <f t="shared" si="449"/>
        <v>0</v>
      </c>
      <c r="P6457" s="903">
        <f t="shared" si="450"/>
        <v>1</v>
      </c>
      <c r="Q6457" s="893">
        <f t="shared" si="451"/>
        <v>1</v>
      </c>
      <c r="R6457" s="894">
        <f t="shared" si="452"/>
        <v>0</v>
      </c>
    </row>
    <row r="6458" spans="1:18" s="847" customFormat="1" ht="31.5">
      <c r="A6458" s="905"/>
      <c r="B6458" s="914" t="s">
        <v>5965</v>
      </c>
      <c r="C6458" s="915"/>
      <c r="D6458" s="915"/>
      <c r="E6458" s="916" t="s">
        <v>5966</v>
      </c>
      <c r="F6458" s="917" t="s">
        <v>2271</v>
      </c>
      <c r="G6458" s="918"/>
      <c r="H6458" s="919"/>
      <c r="I6458" s="920"/>
      <c r="J6458" s="891">
        <f>SUM(J6459:J6464)</f>
        <v>45770</v>
      </c>
      <c r="K6458" s="891"/>
      <c r="L6458" s="891">
        <f>SUM(L6459:L6464)</f>
        <v>1044017.38</v>
      </c>
      <c r="M6458" s="891"/>
      <c r="N6458" s="891">
        <f>SUM(N6459:N6464)</f>
        <v>0</v>
      </c>
      <c r="O6458" s="892">
        <f t="shared" si="449"/>
        <v>1</v>
      </c>
      <c r="P6458" s="903">
        <f t="shared" si="450"/>
        <v>0</v>
      </c>
      <c r="Q6458" s="893">
        <f t="shared" si="451"/>
        <v>0</v>
      </c>
      <c r="R6458" s="894">
        <f t="shared" si="452"/>
        <v>6</v>
      </c>
    </row>
    <row r="6459" spans="1:18" s="904" customFormat="1">
      <c r="A6459" s="895"/>
      <c r="B6459" s="896"/>
      <c r="C6459" s="897"/>
      <c r="D6459" s="897"/>
      <c r="E6459" s="898" t="s">
        <v>108</v>
      </c>
      <c r="F6459" s="899"/>
      <c r="G6459" s="928"/>
      <c r="H6459" s="901"/>
      <c r="I6459" s="902"/>
      <c r="J6459" s="902"/>
      <c r="K6459" s="912" t="s">
        <v>274</v>
      </c>
      <c r="L6459" s="902"/>
      <c r="M6459" s="902"/>
      <c r="N6459" s="902"/>
      <c r="O6459" s="892">
        <f t="shared" si="449"/>
        <v>0</v>
      </c>
      <c r="P6459" s="903">
        <f t="shared" si="450"/>
        <v>1</v>
      </c>
      <c r="Q6459" s="893">
        <f t="shared" si="451"/>
        <v>6</v>
      </c>
      <c r="R6459" s="894">
        <f t="shared" si="452"/>
        <v>0</v>
      </c>
    </row>
    <row r="6460" spans="1:18">
      <c r="A6460" s="905"/>
      <c r="B6460" s="906"/>
      <c r="C6460" s="907">
        <v>44</v>
      </c>
      <c r="D6460" s="907" t="s">
        <v>279</v>
      </c>
      <c r="E6460" s="925" t="s">
        <v>2681</v>
      </c>
      <c r="F6460" s="926" t="s">
        <v>45</v>
      </c>
      <c r="G6460" s="910"/>
      <c r="H6460" s="911">
        <v>0.84</v>
      </c>
      <c r="I6460" s="912">
        <f>VLOOKUP(E6460,[3]VLP!$B$7:$K$300,10,0)</f>
        <v>23000</v>
      </c>
      <c r="J6460" s="912">
        <f>I6460*H6460</f>
        <v>19320</v>
      </c>
      <c r="K6460" s="912" t="s">
        <v>274</v>
      </c>
      <c r="L6460" s="912"/>
      <c r="M6460" s="912"/>
      <c r="N6460" s="912"/>
      <c r="O6460" s="892">
        <f t="shared" si="449"/>
        <v>0</v>
      </c>
      <c r="P6460" s="903">
        <f t="shared" si="450"/>
        <v>1</v>
      </c>
      <c r="Q6460" s="893">
        <f t="shared" si="451"/>
        <v>5</v>
      </c>
      <c r="R6460" s="894">
        <f t="shared" si="452"/>
        <v>0</v>
      </c>
    </row>
    <row r="6461" spans="1:18">
      <c r="A6461" s="905"/>
      <c r="B6461" s="906"/>
      <c r="C6461" s="907">
        <v>66</v>
      </c>
      <c r="D6461" s="907" t="s">
        <v>279</v>
      </c>
      <c r="E6461" s="925" t="s">
        <v>2682</v>
      </c>
      <c r="F6461" s="926" t="s">
        <v>45</v>
      </c>
      <c r="G6461" s="910"/>
      <c r="H6461" s="911">
        <v>0.28999999999999998</v>
      </c>
      <c r="I6461" s="912">
        <f>VLOOKUP(E6461,[3]VLP!$B$7:$K$300,10,0)</f>
        <v>5000</v>
      </c>
      <c r="J6461" s="912">
        <f>I6461*H6461</f>
        <v>1450</v>
      </c>
      <c r="K6461" s="912" t="s">
        <v>274</v>
      </c>
      <c r="L6461" s="912"/>
      <c r="M6461" s="912"/>
      <c r="N6461" s="912"/>
      <c r="O6461" s="892">
        <f t="shared" si="449"/>
        <v>0</v>
      </c>
      <c r="P6461" s="903">
        <f t="shared" si="450"/>
        <v>1</v>
      </c>
      <c r="Q6461" s="893">
        <f t="shared" si="451"/>
        <v>4</v>
      </c>
      <c r="R6461" s="894">
        <f t="shared" si="452"/>
        <v>0</v>
      </c>
    </row>
    <row r="6462" spans="1:18">
      <c r="A6462" s="905"/>
      <c r="B6462" s="906"/>
      <c r="C6462" s="907">
        <v>699</v>
      </c>
      <c r="D6462" s="907" t="s">
        <v>279</v>
      </c>
      <c r="E6462" s="925" t="s">
        <v>4006</v>
      </c>
      <c r="F6462" s="926" t="s">
        <v>4007</v>
      </c>
      <c r="G6462" s="910"/>
      <c r="H6462" s="911">
        <v>5</v>
      </c>
      <c r="I6462" s="912">
        <f>VLOOKUP(E6462,[3]VLP!$B$7:$K$300,10,0)</f>
        <v>5000</v>
      </c>
      <c r="J6462" s="912">
        <f>I6462*H6462</f>
        <v>25000</v>
      </c>
      <c r="K6462" s="912" t="s">
        <v>274</v>
      </c>
      <c r="L6462" s="912"/>
      <c r="M6462" s="912"/>
      <c r="N6462" s="912"/>
      <c r="O6462" s="892">
        <f t="shared" si="449"/>
        <v>0</v>
      </c>
      <c r="P6462" s="903">
        <f t="shared" si="450"/>
        <v>1</v>
      </c>
      <c r="Q6462" s="893">
        <f t="shared" si="451"/>
        <v>3</v>
      </c>
      <c r="R6462" s="894">
        <f t="shared" si="452"/>
        <v>0</v>
      </c>
    </row>
    <row r="6463" spans="1:18" s="904" customFormat="1">
      <c r="A6463" s="895"/>
      <c r="B6463" s="896"/>
      <c r="C6463" s="897"/>
      <c r="D6463" s="897"/>
      <c r="E6463" s="924" t="s">
        <v>276</v>
      </c>
      <c r="F6463" s="927"/>
      <c r="G6463" s="928"/>
      <c r="H6463" s="901"/>
      <c r="I6463" s="902"/>
      <c r="J6463" s="902"/>
      <c r="K6463" s="912" t="s">
        <v>274</v>
      </c>
      <c r="L6463" s="902"/>
      <c r="M6463" s="902"/>
      <c r="N6463" s="902"/>
      <c r="O6463" s="892">
        <f t="shared" si="449"/>
        <v>0</v>
      </c>
      <c r="P6463" s="903">
        <f t="shared" si="450"/>
        <v>1</v>
      </c>
      <c r="Q6463" s="893">
        <f t="shared" si="451"/>
        <v>2</v>
      </c>
      <c r="R6463" s="894">
        <f t="shared" si="452"/>
        <v>0</v>
      </c>
    </row>
    <row r="6464" spans="1:18">
      <c r="A6464" s="905"/>
      <c r="B6464" s="906"/>
      <c r="C6464" s="907">
        <v>745</v>
      </c>
      <c r="D6464" s="907" t="s">
        <v>12</v>
      </c>
      <c r="E6464" s="908" t="s">
        <v>5518</v>
      </c>
      <c r="F6464" s="909" t="s">
        <v>2674</v>
      </c>
      <c r="G6464" s="910"/>
      <c r="H6464" s="911">
        <v>4.34</v>
      </c>
      <c r="I6464" s="912"/>
      <c r="J6464" s="912"/>
      <c r="K6464" s="912">
        <f>VLOOKUP(E6464,[5]ĐMNC!$A$7:$F$67,4,0)</f>
        <v>240557</v>
      </c>
      <c r="L6464" s="912">
        <f>H6464*K6464</f>
        <v>1044017.38</v>
      </c>
      <c r="M6464" s="912"/>
      <c r="N6464" s="912"/>
      <c r="O6464" s="892">
        <f t="shared" si="449"/>
        <v>0</v>
      </c>
      <c r="P6464" s="903">
        <f t="shared" si="450"/>
        <v>1</v>
      </c>
      <c r="Q6464" s="893">
        <f t="shared" si="451"/>
        <v>1</v>
      </c>
      <c r="R6464" s="894">
        <f t="shared" si="452"/>
        <v>0</v>
      </c>
    </row>
    <row r="6465" spans="1:18" s="847" customFormat="1" ht="31.5">
      <c r="A6465" s="905" t="s">
        <v>5955</v>
      </c>
      <c r="B6465" s="914" t="s">
        <v>5967</v>
      </c>
      <c r="C6465" s="915"/>
      <c r="D6465" s="915"/>
      <c r="E6465" s="916" t="s">
        <v>5968</v>
      </c>
      <c r="F6465" s="917" t="s">
        <v>2271</v>
      </c>
      <c r="G6465" s="918"/>
      <c r="H6465" s="919"/>
      <c r="I6465" s="920"/>
      <c r="J6465" s="891">
        <f>SUM(J6466:J6471)</f>
        <v>39600</v>
      </c>
      <c r="K6465" s="891"/>
      <c r="L6465" s="891">
        <f>SUM(L6466:L6471)</f>
        <v>579742.37</v>
      </c>
      <c r="M6465" s="891"/>
      <c r="N6465" s="891">
        <f>SUM(N6466:N6471)</f>
        <v>0</v>
      </c>
      <c r="O6465" s="892">
        <f t="shared" si="449"/>
        <v>1</v>
      </c>
      <c r="P6465" s="903">
        <f t="shared" si="450"/>
        <v>0</v>
      </c>
      <c r="Q6465" s="893">
        <f t="shared" si="451"/>
        <v>0</v>
      </c>
      <c r="R6465" s="894">
        <f t="shared" si="452"/>
        <v>6</v>
      </c>
    </row>
    <row r="6466" spans="1:18" s="904" customFormat="1">
      <c r="A6466" s="895"/>
      <c r="B6466" s="896"/>
      <c r="C6466" s="897"/>
      <c r="D6466" s="897"/>
      <c r="E6466" s="898" t="s">
        <v>108</v>
      </c>
      <c r="F6466" s="899"/>
      <c r="G6466" s="928"/>
      <c r="H6466" s="901"/>
      <c r="I6466" s="902"/>
      <c r="J6466" s="902"/>
      <c r="K6466" s="912" t="s">
        <v>274</v>
      </c>
      <c r="L6466" s="902"/>
      <c r="M6466" s="902"/>
      <c r="N6466" s="902"/>
      <c r="O6466" s="892">
        <f t="shared" si="449"/>
        <v>0</v>
      </c>
      <c r="P6466" s="903">
        <f t="shared" si="450"/>
        <v>1</v>
      </c>
      <c r="Q6466" s="893">
        <f t="shared" si="451"/>
        <v>6</v>
      </c>
      <c r="R6466" s="894">
        <f t="shared" si="452"/>
        <v>0</v>
      </c>
    </row>
    <row r="6467" spans="1:18">
      <c r="A6467" s="905"/>
      <c r="B6467" s="906"/>
      <c r="C6467" s="907">
        <v>44</v>
      </c>
      <c r="D6467" s="907" t="s">
        <v>279</v>
      </c>
      <c r="E6467" s="925" t="s">
        <v>2681</v>
      </c>
      <c r="F6467" s="926" t="s">
        <v>45</v>
      </c>
      <c r="G6467" s="910"/>
      <c r="H6467" s="911">
        <v>0.6</v>
      </c>
      <c r="I6467" s="912">
        <f>VLOOKUP(E6467,[3]VLP!$B$7:$K$300,10,0)</f>
        <v>23000</v>
      </c>
      <c r="J6467" s="912">
        <f>I6467*H6467</f>
        <v>13800</v>
      </c>
      <c r="K6467" s="912" t="s">
        <v>274</v>
      </c>
      <c r="L6467" s="912"/>
      <c r="M6467" s="912"/>
      <c r="N6467" s="912"/>
      <c r="O6467" s="892">
        <f t="shared" si="449"/>
        <v>0</v>
      </c>
      <c r="P6467" s="903">
        <f t="shared" si="450"/>
        <v>1</v>
      </c>
      <c r="Q6467" s="893">
        <f t="shared" si="451"/>
        <v>5</v>
      </c>
      <c r="R6467" s="894">
        <f t="shared" si="452"/>
        <v>0</v>
      </c>
    </row>
    <row r="6468" spans="1:18">
      <c r="A6468" s="905"/>
      <c r="B6468" s="906"/>
      <c r="C6468" s="907">
        <v>66</v>
      </c>
      <c r="D6468" s="907" t="s">
        <v>279</v>
      </c>
      <c r="E6468" s="925" t="s">
        <v>2682</v>
      </c>
      <c r="F6468" s="926" t="s">
        <v>45</v>
      </c>
      <c r="G6468" s="910"/>
      <c r="H6468" s="911">
        <v>0.16</v>
      </c>
      <c r="I6468" s="912">
        <f>VLOOKUP(E6468,[3]VLP!$B$7:$K$300,10,0)</f>
        <v>5000</v>
      </c>
      <c r="J6468" s="912">
        <f>I6468*H6468</f>
        <v>800</v>
      </c>
      <c r="K6468" s="912" t="s">
        <v>274</v>
      </c>
      <c r="L6468" s="912"/>
      <c r="M6468" s="912"/>
      <c r="N6468" s="912"/>
      <c r="O6468" s="892">
        <f t="shared" si="449"/>
        <v>0</v>
      </c>
      <c r="P6468" s="903">
        <f t="shared" si="450"/>
        <v>1</v>
      </c>
      <c r="Q6468" s="893">
        <f t="shared" si="451"/>
        <v>4</v>
      </c>
      <c r="R6468" s="894">
        <f t="shared" si="452"/>
        <v>0</v>
      </c>
    </row>
    <row r="6469" spans="1:18">
      <c r="A6469" s="905"/>
      <c r="B6469" s="906"/>
      <c r="C6469" s="907">
        <v>699</v>
      </c>
      <c r="D6469" s="907" t="s">
        <v>279</v>
      </c>
      <c r="E6469" s="925" t="s">
        <v>4006</v>
      </c>
      <c r="F6469" s="926" t="s">
        <v>4007</v>
      </c>
      <c r="G6469" s="910"/>
      <c r="H6469" s="911">
        <v>5</v>
      </c>
      <c r="I6469" s="912">
        <f>VLOOKUP(E6469,[3]VLP!$B$7:$K$300,10,0)</f>
        <v>5000</v>
      </c>
      <c r="J6469" s="912">
        <f>I6469*H6469</f>
        <v>25000</v>
      </c>
      <c r="K6469" s="912" t="s">
        <v>274</v>
      </c>
      <c r="L6469" s="912"/>
      <c r="M6469" s="912"/>
      <c r="N6469" s="912"/>
      <c r="O6469" s="892">
        <f t="shared" si="449"/>
        <v>0</v>
      </c>
      <c r="P6469" s="903">
        <f t="shared" si="450"/>
        <v>1</v>
      </c>
      <c r="Q6469" s="893">
        <f t="shared" si="451"/>
        <v>3</v>
      </c>
      <c r="R6469" s="894">
        <f t="shared" si="452"/>
        <v>0</v>
      </c>
    </row>
    <row r="6470" spans="1:18" s="904" customFormat="1">
      <c r="A6470" s="895"/>
      <c r="B6470" s="896"/>
      <c r="C6470" s="897"/>
      <c r="D6470" s="897"/>
      <c r="E6470" s="924" t="s">
        <v>276</v>
      </c>
      <c r="F6470" s="927"/>
      <c r="G6470" s="928"/>
      <c r="H6470" s="901"/>
      <c r="I6470" s="902"/>
      <c r="J6470" s="902"/>
      <c r="K6470" s="912" t="s">
        <v>274</v>
      </c>
      <c r="L6470" s="902"/>
      <c r="M6470" s="902"/>
      <c r="N6470" s="902"/>
      <c r="O6470" s="892">
        <f t="shared" si="449"/>
        <v>0</v>
      </c>
      <c r="P6470" s="903">
        <f t="shared" si="450"/>
        <v>1</v>
      </c>
      <c r="Q6470" s="893">
        <f t="shared" si="451"/>
        <v>2</v>
      </c>
      <c r="R6470" s="894">
        <f t="shared" si="452"/>
        <v>0</v>
      </c>
    </row>
    <row r="6471" spans="1:18">
      <c r="A6471" s="905"/>
      <c r="B6471" s="906"/>
      <c r="C6471" s="907">
        <v>745</v>
      </c>
      <c r="D6471" s="907" t="s">
        <v>12</v>
      </c>
      <c r="E6471" s="908" t="s">
        <v>5518</v>
      </c>
      <c r="F6471" s="909" t="s">
        <v>2674</v>
      </c>
      <c r="G6471" s="910"/>
      <c r="H6471" s="911">
        <v>2.41</v>
      </c>
      <c r="I6471" s="912"/>
      <c r="J6471" s="912"/>
      <c r="K6471" s="912">
        <f>VLOOKUP(E6471,[5]ĐMNC!$A$7:$F$67,4,0)</f>
        <v>240557</v>
      </c>
      <c r="L6471" s="912">
        <f>H6471*K6471</f>
        <v>579742.37</v>
      </c>
      <c r="M6471" s="912"/>
      <c r="N6471" s="912"/>
      <c r="O6471" s="892">
        <f t="shared" si="449"/>
        <v>0</v>
      </c>
      <c r="P6471" s="903">
        <f t="shared" si="450"/>
        <v>1</v>
      </c>
      <c r="Q6471" s="893">
        <f t="shared" si="451"/>
        <v>1</v>
      </c>
      <c r="R6471" s="894">
        <f t="shared" si="452"/>
        <v>0</v>
      </c>
    </row>
    <row r="6472" spans="1:18" s="847" customFormat="1" ht="31.5">
      <c r="A6472" s="905"/>
      <c r="B6472" s="914" t="s">
        <v>5969</v>
      </c>
      <c r="C6472" s="915"/>
      <c r="D6472" s="915"/>
      <c r="E6472" s="916" t="s">
        <v>5970</v>
      </c>
      <c r="F6472" s="917" t="s">
        <v>2271</v>
      </c>
      <c r="G6472" s="918"/>
      <c r="H6472" s="919"/>
      <c r="I6472" s="920"/>
      <c r="J6472" s="891">
        <f>SUM(J6473:J6478)</f>
        <v>39600</v>
      </c>
      <c r="K6472" s="891"/>
      <c r="L6472" s="891">
        <f>SUM(L6473:L6478)</f>
        <v>642287.18999999994</v>
      </c>
      <c r="M6472" s="891"/>
      <c r="N6472" s="891">
        <f>SUM(N6473:N6478)</f>
        <v>0</v>
      </c>
      <c r="O6472" s="892">
        <f t="shared" si="449"/>
        <v>1</v>
      </c>
      <c r="P6472" s="903">
        <f t="shared" si="450"/>
        <v>0</v>
      </c>
      <c r="Q6472" s="893">
        <f t="shared" si="451"/>
        <v>0</v>
      </c>
      <c r="R6472" s="894">
        <f t="shared" si="452"/>
        <v>6</v>
      </c>
    </row>
    <row r="6473" spans="1:18" s="904" customFormat="1">
      <c r="A6473" s="895"/>
      <c r="B6473" s="896"/>
      <c r="C6473" s="897"/>
      <c r="D6473" s="897"/>
      <c r="E6473" s="898" t="s">
        <v>108</v>
      </c>
      <c r="F6473" s="899"/>
      <c r="G6473" s="928"/>
      <c r="H6473" s="901"/>
      <c r="I6473" s="902"/>
      <c r="J6473" s="902"/>
      <c r="K6473" s="912" t="s">
        <v>274</v>
      </c>
      <c r="L6473" s="902"/>
      <c r="M6473" s="902"/>
      <c r="N6473" s="902"/>
      <c r="O6473" s="892">
        <f t="shared" si="449"/>
        <v>0</v>
      </c>
      <c r="P6473" s="903">
        <f t="shared" si="450"/>
        <v>1</v>
      </c>
      <c r="Q6473" s="893">
        <f t="shared" si="451"/>
        <v>6</v>
      </c>
      <c r="R6473" s="894">
        <f t="shared" si="452"/>
        <v>0</v>
      </c>
    </row>
    <row r="6474" spans="1:18">
      <c r="A6474" s="905"/>
      <c r="B6474" s="906"/>
      <c r="C6474" s="907">
        <v>44</v>
      </c>
      <c r="D6474" s="907" t="s">
        <v>279</v>
      </c>
      <c r="E6474" s="925" t="s">
        <v>2681</v>
      </c>
      <c r="F6474" s="926" t="s">
        <v>45</v>
      </c>
      <c r="G6474" s="910"/>
      <c r="H6474" s="911">
        <v>0.6</v>
      </c>
      <c r="I6474" s="912">
        <f>VLOOKUP(E6474,[3]VLP!$B$7:$K$300,10,0)</f>
        <v>23000</v>
      </c>
      <c r="J6474" s="912">
        <f>I6474*H6474</f>
        <v>13800</v>
      </c>
      <c r="K6474" s="912" t="s">
        <v>274</v>
      </c>
      <c r="L6474" s="912"/>
      <c r="M6474" s="912"/>
      <c r="N6474" s="912"/>
      <c r="O6474" s="892">
        <f t="shared" si="449"/>
        <v>0</v>
      </c>
      <c r="P6474" s="903">
        <f t="shared" si="450"/>
        <v>1</v>
      </c>
      <c r="Q6474" s="893">
        <f t="shared" si="451"/>
        <v>5</v>
      </c>
      <c r="R6474" s="894">
        <f t="shared" si="452"/>
        <v>0</v>
      </c>
    </row>
    <row r="6475" spans="1:18">
      <c r="A6475" s="905"/>
      <c r="B6475" s="906"/>
      <c r="C6475" s="907">
        <v>66</v>
      </c>
      <c r="D6475" s="907" t="s">
        <v>279</v>
      </c>
      <c r="E6475" s="925" t="s">
        <v>2682</v>
      </c>
      <c r="F6475" s="926" t="s">
        <v>45</v>
      </c>
      <c r="G6475" s="910"/>
      <c r="H6475" s="911">
        <v>0.16</v>
      </c>
      <c r="I6475" s="912">
        <f>VLOOKUP(E6475,[3]VLP!$B$7:$K$300,10,0)</f>
        <v>5000</v>
      </c>
      <c r="J6475" s="912">
        <f>I6475*H6475</f>
        <v>800</v>
      </c>
      <c r="K6475" s="912" t="s">
        <v>274</v>
      </c>
      <c r="L6475" s="912"/>
      <c r="M6475" s="912"/>
      <c r="N6475" s="912"/>
      <c r="O6475" s="892">
        <f t="shared" si="449"/>
        <v>0</v>
      </c>
      <c r="P6475" s="903">
        <f t="shared" si="450"/>
        <v>1</v>
      </c>
      <c r="Q6475" s="893">
        <f t="shared" si="451"/>
        <v>4</v>
      </c>
      <c r="R6475" s="894">
        <f t="shared" si="452"/>
        <v>0</v>
      </c>
    </row>
    <row r="6476" spans="1:18">
      <c r="A6476" s="905"/>
      <c r="B6476" s="906"/>
      <c r="C6476" s="907">
        <v>699</v>
      </c>
      <c r="D6476" s="907" t="s">
        <v>279</v>
      </c>
      <c r="E6476" s="925" t="s">
        <v>4006</v>
      </c>
      <c r="F6476" s="926" t="s">
        <v>4007</v>
      </c>
      <c r="G6476" s="910"/>
      <c r="H6476" s="911">
        <v>5</v>
      </c>
      <c r="I6476" s="912">
        <f>VLOOKUP(E6476,[3]VLP!$B$7:$K$300,10,0)</f>
        <v>5000</v>
      </c>
      <c r="J6476" s="912">
        <f>I6476*H6476</f>
        <v>25000</v>
      </c>
      <c r="K6476" s="912" t="s">
        <v>274</v>
      </c>
      <c r="L6476" s="912"/>
      <c r="M6476" s="912"/>
      <c r="N6476" s="912"/>
      <c r="O6476" s="892">
        <f t="shared" si="449"/>
        <v>0</v>
      </c>
      <c r="P6476" s="903">
        <f t="shared" si="450"/>
        <v>1</v>
      </c>
      <c r="Q6476" s="893">
        <f t="shared" si="451"/>
        <v>3</v>
      </c>
      <c r="R6476" s="894">
        <f t="shared" si="452"/>
        <v>0</v>
      </c>
    </row>
    <row r="6477" spans="1:18" s="904" customFormat="1">
      <c r="A6477" s="895"/>
      <c r="B6477" s="896"/>
      <c r="C6477" s="897"/>
      <c r="D6477" s="897"/>
      <c r="E6477" s="924" t="s">
        <v>276</v>
      </c>
      <c r="F6477" s="927"/>
      <c r="G6477" s="928"/>
      <c r="H6477" s="901"/>
      <c r="I6477" s="902"/>
      <c r="J6477" s="902"/>
      <c r="K6477" s="912" t="s">
        <v>274</v>
      </c>
      <c r="L6477" s="902"/>
      <c r="M6477" s="902"/>
      <c r="N6477" s="902"/>
      <c r="O6477" s="892">
        <f t="shared" si="449"/>
        <v>0</v>
      </c>
      <c r="P6477" s="903">
        <f t="shared" si="450"/>
        <v>1</v>
      </c>
      <c r="Q6477" s="893">
        <f t="shared" si="451"/>
        <v>2</v>
      </c>
      <c r="R6477" s="894">
        <f t="shared" si="452"/>
        <v>0</v>
      </c>
    </row>
    <row r="6478" spans="1:18">
      <c r="A6478" s="905"/>
      <c r="B6478" s="906"/>
      <c r="C6478" s="907">
        <v>745</v>
      </c>
      <c r="D6478" s="907" t="s">
        <v>12</v>
      </c>
      <c r="E6478" s="908" t="s">
        <v>5518</v>
      </c>
      <c r="F6478" s="909" t="s">
        <v>2674</v>
      </c>
      <c r="G6478" s="910"/>
      <c r="H6478" s="911">
        <v>2.67</v>
      </c>
      <c r="I6478" s="912"/>
      <c r="J6478" s="912"/>
      <c r="K6478" s="912">
        <f>VLOOKUP(E6478,[5]ĐMNC!$A$7:$F$67,4,0)</f>
        <v>240557</v>
      </c>
      <c r="L6478" s="912">
        <f>H6478*K6478</f>
        <v>642287.18999999994</v>
      </c>
      <c r="M6478" s="912"/>
      <c r="N6478" s="912"/>
      <c r="O6478" s="892">
        <f t="shared" si="449"/>
        <v>0</v>
      </c>
      <c r="P6478" s="903">
        <f t="shared" si="450"/>
        <v>1</v>
      </c>
      <c r="Q6478" s="893">
        <f t="shared" si="451"/>
        <v>1</v>
      </c>
      <c r="R6478" s="894">
        <f t="shared" si="452"/>
        <v>0</v>
      </c>
    </row>
    <row r="6479" spans="1:18" s="847" customFormat="1" ht="31.5">
      <c r="A6479" s="905"/>
      <c r="B6479" s="914" t="s">
        <v>5971</v>
      </c>
      <c r="C6479" s="915"/>
      <c r="D6479" s="915"/>
      <c r="E6479" s="916" t="s">
        <v>5972</v>
      </c>
      <c r="F6479" s="917" t="s">
        <v>2271</v>
      </c>
      <c r="G6479" s="918"/>
      <c r="H6479" s="919"/>
      <c r="I6479" s="920"/>
      <c r="J6479" s="891">
        <f>SUM(J6480:J6485)</f>
        <v>39800</v>
      </c>
      <c r="K6479" s="891"/>
      <c r="L6479" s="891">
        <f>SUM(L6480:L6485)</f>
        <v>709643.15</v>
      </c>
      <c r="M6479" s="891"/>
      <c r="N6479" s="891">
        <f>SUM(N6480:N6485)</f>
        <v>0</v>
      </c>
      <c r="O6479" s="892">
        <f t="shared" si="449"/>
        <v>1</v>
      </c>
      <c r="P6479" s="903">
        <f t="shared" si="450"/>
        <v>0</v>
      </c>
      <c r="Q6479" s="893">
        <f t="shared" si="451"/>
        <v>0</v>
      </c>
      <c r="R6479" s="894">
        <f t="shared" si="452"/>
        <v>6</v>
      </c>
    </row>
    <row r="6480" spans="1:18" s="904" customFormat="1">
      <c r="A6480" s="895"/>
      <c r="B6480" s="896"/>
      <c r="C6480" s="897"/>
      <c r="D6480" s="897"/>
      <c r="E6480" s="898" t="s">
        <v>108</v>
      </c>
      <c r="F6480" s="899"/>
      <c r="G6480" s="928"/>
      <c r="H6480" s="901"/>
      <c r="I6480" s="902"/>
      <c r="J6480" s="902"/>
      <c r="K6480" s="912" t="s">
        <v>274</v>
      </c>
      <c r="L6480" s="902"/>
      <c r="M6480" s="902"/>
      <c r="N6480" s="902"/>
      <c r="O6480" s="892">
        <f t="shared" si="449"/>
        <v>0</v>
      </c>
      <c r="P6480" s="903">
        <f t="shared" si="450"/>
        <v>1</v>
      </c>
      <c r="Q6480" s="893">
        <f t="shared" si="451"/>
        <v>6</v>
      </c>
      <c r="R6480" s="894">
        <f t="shared" si="452"/>
        <v>0</v>
      </c>
    </row>
    <row r="6481" spans="1:18">
      <c r="A6481" s="905"/>
      <c r="B6481" s="906"/>
      <c r="C6481" s="907">
        <v>44</v>
      </c>
      <c r="D6481" s="907" t="s">
        <v>279</v>
      </c>
      <c r="E6481" s="925" t="s">
        <v>2681</v>
      </c>
      <c r="F6481" s="926" t="s">
        <v>45</v>
      </c>
      <c r="G6481" s="910"/>
      <c r="H6481" s="911">
        <v>0.6</v>
      </c>
      <c r="I6481" s="912">
        <f>VLOOKUP(E6481,[3]VLP!$B$7:$K$300,10,0)</f>
        <v>23000</v>
      </c>
      <c r="J6481" s="912">
        <f>I6481*H6481</f>
        <v>13800</v>
      </c>
      <c r="K6481" s="912" t="s">
        <v>274</v>
      </c>
      <c r="L6481" s="912"/>
      <c r="M6481" s="912"/>
      <c r="N6481" s="912"/>
      <c r="O6481" s="892">
        <f t="shared" si="449"/>
        <v>0</v>
      </c>
      <c r="P6481" s="903">
        <f t="shared" si="450"/>
        <v>1</v>
      </c>
      <c r="Q6481" s="893">
        <f t="shared" si="451"/>
        <v>5</v>
      </c>
      <c r="R6481" s="894">
        <f t="shared" si="452"/>
        <v>0</v>
      </c>
    </row>
    <row r="6482" spans="1:18">
      <c r="A6482" s="905"/>
      <c r="B6482" s="906"/>
      <c r="C6482" s="907">
        <v>66</v>
      </c>
      <c r="D6482" s="907" t="s">
        <v>279</v>
      </c>
      <c r="E6482" s="925" t="s">
        <v>2682</v>
      </c>
      <c r="F6482" s="926" t="s">
        <v>45</v>
      </c>
      <c r="G6482" s="910"/>
      <c r="H6482" s="911">
        <v>0.2</v>
      </c>
      <c r="I6482" s="912">
        <f>VLOOKUP(E6482,[3]VLP!$B$7:$K$300,10,0)</f>
        <v>5000</v>
      </c>
      <c r="J6482" s="912">
        <f>I6482*H6482</f>
        <v>1000</v>
      </c>
      <c r="K6482" s="912" t="s">
        <v>274</v>
      </c>
      <c r="L6482" s="912"/>
      <c r="M6482" s="912"/>
      <c r="N6482" s="912"/>
      <c r="O6482" s="892">
        <f t="shared" si="449"/>
        <v>0</v>
      </c>
      <c r="P6482" s="903">
        <f t="shared" si="450"/>
        <v>1</v>
      </c>
      <c r="Q6482" s="893">
        <f t="shared" si="451"/>
        <v>4</v>
      </c>
      <c r="R6482" s="894">
        <f t="shared" si="452"/>
        <v>0</v>
      </c>
    </row>
    <row r="6483" spans="1:18">
      <c r="A6483" s="905"/>
      <c r="B6483" s="906"/>
      <c r="C6483" s="907">
        <v>699</v>
      </c>
      <c r="D6483" s="907" t="s">
        <v>279</v>
      </c>
      <c r="E6483" s="925" t="s">
        <v>4006</v>
      </c>
      <c r="F6483" s="926" t="s">
        <v>4007</v>
      </c>
      <c r="G6483" s="910"/>
      <c r="H6483" s="911">
        <v>5</v>
      </c>
      <c r="I6483" s="912">
        <f>VLOOKUP(E6483,[3]VLP!$B$7:$K$300,10,0)</f>
        <v>5000</v>
      </c>
      <c r="J6483" s="912">
        <f>I6483*H6483</f>
        <v>25000</v>
      </c>
      <c r="K6483" s="912" t="s">
        <v>274</v>
      </c>
      <c r="L6483" s="912"/>
      <c r="M6483" s="912"/>
      <c r="N6483" s="912"/>
      <c r="O6483" s="892">
        <f t="shared" si="449"/>
        <v>0</v>
      </c>
      <c r="P6483" s="903">
        <f t="shared" si="450"/>
        <v>1</v>
      </c>
      <c r="Q6483" s="893">
        <f t="shared" si="451"/>
        <v>3</v>
      </c>
      <c r="R6483" s="894">
        <f t="shared" si="452"/>
        <v>0</v>
      </c>
    </row>
    <row r="6484" spans="1:18" s="904" customFormat="1">
      <c r="A6484" s="895"/>
      <c r="B6484" s="896"/>
      <c r="C6484" s="897"/>
      <c r="D6484" s="897"/>
      <c r="E6484" s="924" t="s">
        <v>276</v>
      </c>
      <c r="F6484" s="927"/>
      <c r="G6484" s="928"/>
      <c r="H6484" s="901"/>
      <c r="I6484" s="902"/>
      <c r="J6484" s="902"/>
      <c r="K6484" s="912" t="s">
        <v>274</v>
      </c>
      <c r="L6484" s="902"/>
      <c r="M6484" s="902"/>
      <c r="N6484" s="902"/>
      <c r="O6484" s="892">
        <f t="shared" si="449"/>
        <v>0</v>
      </c>
      <c r="P6484" s="903">
        <f t="shared" si="450"/>
        <v>1</v>
      </c>
      <c r="Q6484" s="893">
        <f t="shared" si="451"/>
        <v>2</v>
      </c>
      <c r="R6484" s="894">
        <f t="shared" si="452"/>
        <v>0</v>
      </c>
    </row>
    <row r="6485" spans="1:18">
      <c r="A6485" s="905"/>
      <c r="B6485" s="906"/>
      <c r="C6485" s="907">
        <v>745</v>
      </c>
      <c r="D6485" s="907" t="s">
        <v>12</v>
      </c>
      <c r="E6485" s="908" t="s">
        <v>5518</v>
      </c>
      <c r="F6485" s="909" t="s">
        <v>2674</v>
      </c>
      <c r="G6485" s="910"/>
      <c r="H6485" s="911">
        <v>2.95</v>
      </c>
      <c r="I6485" s="912"/>
      <c r="J6485" s="912"/>
      <c r="K6485" s="912">
        <f>VLOOKUP(E6485,[5]ĐMNC!$A$7:$F$67,4,0)</f>
        <v>240557</v>
      </c>
      <c r="L6485" s="912">
        <f>H6485*K6485</f>
        <v>709643.15</v>
      </c>
      <c r="M6485" s="912"/>
      <c r="N6485" s="912"/>
      <c r="O6485" s="892">
        <f t="shared" si="449"/>
        <v>0</v>
      </c>
      <c r="P6485" s="903">
        <f t="shared" si="450"/>
        <v>1</v>
      </c>
      <c r="Q6485" s="893">
        <f t="shared" si="451"/>
        <v>1</v>
      </c>
      <c r="R6485" s="894">
        <f t="shared" si="452"/>
        <v>0</v>
      </c>
    </row>
    <row r="6486" spans="1:18" s="847" customFormat="1" ht="31.5">
      <c r="A6486" s="905"/>
      <c r="B6486" s="914" t="s">
        <v>5973</v>
      </c>
      <c r="C6486" s="915"/>
      <c r="D6486" s="915"/>
      <c r="E6486" s="916" t="s">
        <v>5974</v>
      </c>
      <c r="F6486" s="917" t="s">
        <v>2271</v>
      </c>
      <c r="G6486" s="918"/>
      <c r="H6486" s="919"/>
      <c r="I6486" s="920"/>
      <c r="J6486" s="891">
        <f>SUM(J6487:J6492)</f>
        <v>42100</v>
      </c>
      <c r="K6486" s="891"/>
      <c r="L6486" s="891">
        <f>SUM(L6487:L6492)</f>
        <v>779404.68</v>
      </c>
      <c r="M6486" s="891"/>
      <c r="N6486" s="891">
        <f>SUM(N6487:N6492)</f>
        <v>0</v>
      </c>
      <c r="O6486" s="892">
        <f t="shared" si="449"/>
        <v>1</v>
      </c>
      <c r="P6486" s="903">
        <f t="shared" si="450"/>
        <v>0</v>
      </c>
      <c r="Q6486" s="893">
        <f t="shared" si="451"/>
        <v>0</v>
      </c>
      <c r="R6486" s="894">
        <f t="shared" si="452"/>
        <v>6</v>
      </c>
    </row>
    <row r="6487" spans="1:18" s="904" customFormat="1">
      <c r="A6487" s="895"/>
      <c r="B6487" s="896"/>
      <c r="C6487" s="897"/>
      <c r="D6487" s="897"/>
      <c r="E6487" s="898" t="s">
        <v>108</v>
      </c>
      <c r="F6487" s="899"/>
      <c r="G6487" s="928"/>
      <c r="H6487" s="901"/>
      <c r="I6487" s="902"/>
      <c r="J6487" s="902"/>
      <c r="K6487" s="912" t="s">
        <v>274</v>
      </c>
      <c r="L6487" s="902"/>
      <c r="M6487" s="902"/>
      <c r="N6487" s="902"/>
      <c r="O6487" s="892">
        <f t="shared" si="449"/>
        <v>0</v>
      </c>
      <c r="P6487" s="903">
        <f t="shared" si="450"/>
        <v>1</v>
      </c>
      <c r="Q6487" s="893">
        <f t="shared" si="451"/>
        <v>6</v>
      </c>
      <c r="R6487" s="894">
        <f t="shared" si="452"/>
        <v>0</v>
      </c>
    </row>
    <row r="6488" spans="1:18">
      <c r="A6488" s="905"/>
      <c r="B6488" s="906"/>
      <c r="C6488" s="907">
        <v>44</v>
      </c>
      <c r="D6488" s="907" t="s">
        <v>279</v>
      </c>
      <c r="E6488" s="925" t="s">
        <v>2681</v>
      </c>
      <c r="F6488" s="926" t="s">
        <v>45</v>
      </c>
      <c r="G6488" s="910"/>
      <c r="H6488" s="911">
        <v>0.7</v>
      </c>
      <c r="I6488" s="912">
        <f>VLOOKUP(E6488,[3]VLP!$B$7:$K$300,10,0)</f>
        <v>23000</v>
      </c>
      <c r="J6488" s="912">
        <f>I6488*H6488</f>
        <v>16099.999999999998</v>
      </c>
      <c r="K6488" s="912" t="s">
        <v>274</v>
      </c>
      <c r="L6488" s="912"/>
      <c r="M6488" s="912"/>
      <c r="N6488" s="912"/>
      <c r="O6488" s="892">
        <f t="shared" si="449"/>
        <v>0</v>
      </c>
      <c r="P6488" s="903">
        <f t="shared" si="450"/>
        <v>1</v>
      </c>
      <c r="Q6488" s="893">
        <f t="shared" si="451"/>
        <v>5</v>
      </c>
      <c r="R6488" s="894">
        <f t="shared" si="452"/>
        <v>0</v>
      </c>
    </row>
    <row r="6489" spans="1:18">
      <c r="A6489" s="905"/>
      <c r="B6489" s="906"/>
      <c r="C6489" s="907">
        <v>66</v>
      </c>
      <c r="D6489" s="907" t="s">
        <v>279</v>
      </c>
      <c r="E6489" s="925" t="s">
        <v>2682</v>
      </c>
      <c r="F6489" s="926" t="s">
        <v>45</v>
      </c>
      <c r="G6489" s="910"/>
      <c r="H6489" s="911">
        <v>0.2</v>
      </c>
      <c r="I6489" s="912">
        <f>VLOOKUP(E6489,[3]VLP!$B$7:$K$300,10,0)</f>
        <v>5000</v>
      </c>
      <c r="J6489" s="912">
        <f>I6489*H6489</f>
        <v>1000</v>
      </c>
      <c r="K6489" s="912" t="s">
        <v>274</v>
      </c>
      <c r="L6489" s="912"/>
      <c r="M6489" s="912"/>
      <c r="N6489" s="912"/>
      <c r="O6489" s="892">
        <f t="shared" si="449"/>
        <v>0</v>
      </c>
      <c r="P6489" s="903">
        <f t="shared" si="450"/>
        <v>1</v>
      </c>
      <c r="Q6489" s="893">
        <f t="shared" si="451"/>
        <v>4</v>
      </c>
      <c r="R6489" s="894">
        <f t="shared" si="452"/>
        <v>0</v>
      </c>
    </row>
    <row r="6490" spans="1:18">
      <c r="A6490" s="905"/>
      <c r="B6490" s="906"/>
      <c r="C6490" s="907">
        <v>699</v>
      </c>
      <c r="D6490" s="907" t="s">
        <v>279</v>
      </c>
      <c r="E6490" s="925" t="s">
        <v>4006</v>
      </c>
      <c r="F6490" s="926" t="s">
        <v>4007</v>
      </c>
      <c r="G6490" s="910"/>
      <c r="H6490" s="911">
        <v>5</v>
      </c>
      <c r="I6490" s="912">
        <f>VLOOKUP(E6490,[3]VLP!$B$7:$K$300,10,0)</f>
        <v>5000</v>
      </c>
      <c r="J6490" s="912">
        <f>I6490*H6490</f>
        <v>25000</v>
      </c>
      <c r="K6490" s="912" t="s">
        <v>274</v>
      </c>
      <c r="L6490" s="912"/>
      <c r="M6490" s="912"/>
      <c r="N6490" s="912"/>
      <c r="O6490" s="892">
        <f t="shared" si="449"/>
        <v>0</v>
      </c>
      <c r="P6490" s="903">
        <f t="shared" si="450"/>
        <v>1</v>
      </c>
      <c r="Q6490" s="893">
        <f t="shared" si="451"/>
        <v>3</v>
      </c>
      <c r="R6490" s="894">
        <f t="shared" si="452"/>
        <v>0</v>
      </c>
    </row>
    <row r="6491" spans="1:18" s="904" customFormat="1">
      <c r="A6491" s="895"/>
      <c r="B6491" s="896"/>
      <c r="C6491" s="897"/>
      <c r="D6491" s="897"/>
      <c r="E6491" s="924" t="s">
        <v>276</v>
      </c>
      <c r="F6491" s="927"/>
      <c r="G6491" s="928"/>
      <c r="H6491" s="901"/>
      <c r="I6491" s="902"/>
      <c r="J6491" s="902"/>
      <c r="K6491" s="912" t="s">
        <v>274</v>
      </c>
      <c r="L6491" s="902"/>
      <c r="M6491" s="902"/>
      <c r="N6491" s="902"/>
      <c r="O6491" s="892">
        <f t="shared" si="449"/>
        <v>0</v>
      </c>
      <c r="P6491" s="903">
        <f t="shared" si="450"/>
        <v>1</v>
      </c>
      <c r="Q6491" s="893">
        <f t="shared" si="451"/>
        <v>2</v>
      </c>
      <c r="R6491" s="894">
        <f t="shared" si="452"/>
        <v>0</v>
      </c>
    </row>
    <row r="6492" spans="1:18">
      <c r="A6492" s="905"/>
      <c r="B6492" s="906"/>
      <c r="C6492" s="907">
        <v>745</v>
      </c>
      <c r="D6492" s="907" t="s">
        <v>12</v>
      </c>
      <c r="E6492" s="908" t="s">
        <v>5518</v>
      </c>
      <c r="F6492" s="909" t="s">
        <v>2674</v>
      </c>
      <c r="G6492" s="910"/>
      <c r="H6492" s="911">
        <v>3.24</v>
      </c>
      <c r="I6492" s="912"/>
      <c r="J6492" s="912"/>
      <c r="K6492" s="912">
        <f>VLOOKUP(E6492,[5]ĐMNC!$A$7:$F$67,4,0)</f>
        <v>240557</v>
      </c>
      <c r="L6492" s="912">
        <f>H6492*K6492</f>
        <v>779404.68</v>
      </c>
      <c r="M6492" s="912"/>
      <c r="N6492" s="912"/>
      <c r="O6492" s="892">
        <f t="shared" si="449"/>
        <v>0</v>
      </c>
      <c r="P6492" s="903">
        <f t="shared" si="450"/>
        <v>1</v>
      </c>
      <c r="Q6492" s="893">
        <f t="shared" si="451"/>
        <v>1</v>
      </c>
      <c r="R6492" s="894">
        <f t="shared" si="452"/>
        <v>0</v>
      </c>
    </row>
    <row r="6493" spans="1:18" s="847" customFormat="1" ht="31.5">
      <c r="A6493" s="905" t="s">
        <v>5960</v>
      </c>
      <c r="B6493" s="914" t="s">
        <v>5975</v>
      </c>
      <c r="C6493" s="915"/>
      <c r="D6493" s="915"/>
      <c r="E6493" s="916" t="s">
        <v>5976</v>
      </c>
      <c r="F6493" s="917" t="s">
        <v>2271</v>
      </c>
      <c r="G6493" s="918"/>
      <c r="H6493" s="919"/>
      <c r="I6493" s="920"/>
      <c r="J6493" s="891">
        <f>SUM(J6494:J6499)</f>
        <v>42300</v>
      </c>
      <c r="K6493" s="891"/>
      <c r="L6493" s="891">
        <f>SUM(L6494:L6499)</f>
        <v>873221.90999999992</v>
      </c>
      <c r="M6493" s="891"/>
      <c r="N6493" s="891">
        <f>SUM(N6494:N6499)</f>
        <v>0</v>
      </c>
      <c r="O6493" s="892">
        <f t="shared" si="449"/>
        <v>1</v>
      </c>
      <c r="P6493" s="903">
        <f t="shared" si="450"/>
        <v>0</v>
      </c>
      <c r="Q6493" s="893">
        <f t="shared" si="451"/>
        <v>0</v>
      </c>
      <c r="R6493" s="894">
        <f t="shared" si="452"/>
        <v>6</v>
      </c>
    </row>
    <row r="6494" spans="1:18" s="904" customFormat="1">
      <c r="A6494" s="895"/>
      <c r="B6494" s="896"/>
      <c r="C6494" s="897"/>
      <c r="D6494" s="897"/>
      <c r="E6494" s="898" t="s">
        <v>108</v>
      </c>
      <c r="F6494" s="899"/>
      <c r="G6494" s="928"/>
      <c r="H6494" s="901"/>
      <c r="I6494" s="902"/>
      <c r="J6494" s="902"/>
      <c r="K6494" s="912" t="s">
        <v>274</v>
      </c>
      <c r="L6494" s="902"/>
      <c r="M6494" s="902"/>
      <c r="N6494" s="902"/>
      <c r="O6494" s="892">
        <f t="shared" si="449"/>
        <v>0</v>
      </c>
      <c r="P6494" s="903">
        <f t="shared" si="450"/>
        <v>1</v>
      </c>
      <c r="Q6494" s="893">
        <f t="shared" si="451"/>
        <v>6</v>
      </c>
      <c r="R6494" s="894">
        <f t="shared" si="452"/>
        <v>0</v>
      </c>
    </row>
    <row r="6495" spans="1:18">
      <c r="A6495" s="905"/>
      <c r="B6495" s="906"/>
      <c r="C6495" s="907">
        <v>44</v>
      </c>
      <c r="D6495" s="907" t="s">
        <v>279</v>
      </c>
      <c r="E6495" s="925" t="s">
        <v>2681</v>
      </c>
      <c r="F6495" s="926" t="s">
        <v>45</v>
      </c>
      <c r="G6495" s="910"/>
      <c r="H6495" s="911">
        <v>0.7</v>
      </c>
      <c r="I6495" s="912">
        <f>VLOOKUP(E6495,[3]VLP!$B$7:$K$300,10,0)</f>
        <v>23000</v>
      </c>
      <c r="J6495" s="912">
        <f>I6495*H6495</f>
        <v>16099.999999999998</v>
      </c>
      <c r="K6495" s="912" t="s">
        <v>274</v>
      </c>
      <c r="L6495" s="912"/>
      <c r="M6495" s="912"/>
      <c r="N6495" s="912"/>
      <c r="O6495" s="892">
        <f t="shared" ref="O6495:O6558" si="453">IF(AND(B6495&lt;&gt;"",D6495=""),1,0)</f>
        <v>0</v>
      </c>
      <c r="P6495" s="903">
        <f t="shared" si="450"/>
        <v>1</v>
      </c>
      <c r="Q6495" s="893">
        <f t="shared" si="451"/>
        <v>5</v>
      </c>
      <c r="R6495" s="894">
        <f t="shared" si="452"/>
        <v>0</v>
      </c>
    </row>
    <row r="6496" spans="1:18">
      <c r="A6496" s="905"/>
      <c r="B6496" s="906"/>
      <c r="C6496" s="907">
        <v>66</v>
      </c>
      <c r="D6496" s="907" t="s">
        <v>279</v>
      </c>
      <c r="E6496" s="925" t="s">
        <v>2682</v>
      </c>
      <c r="F6496" s="926" t="s">
        <v>45</v>
      </c>
      <c r="G6496" s="910"/>
      <c r="H6496" s="911">
        <v>0.24</v>
      </c>
      <c r="I6496" s="912">
        <f>VLOOKUP(E6496,[3]VLP!$B$7:$K$300,10,0)</f>
        <v>5000</v>
      </c>
      <c r="J6496" s="912">
        <f>I6496*H6496</f>
        <v>1200</v>
      </c>
      <c r="K6496" s="912" t="s">
        <v>274</v>
      </c>
      <c r="L6496" s="912"/>
      <c r="M6496" s="912"/>
      <c r="N6496" s="912"/>
      <c r="O6496" s="892">
        <f t="shared" si="453"/>
        <v>0</v>
      </c>
      <c r="P6496" s="903">
        <f t="shared" si="450"/>
        <v>1</v>
      </c>
      <c r="Q6496" s="893">
        <f t="shared" si="451"/>
        <v>4</v>
      </c>
      <c r="R6496" s="894">
        <f t="shared" si="452"/>
        <v>0</v>
      </c>
    </row>
    <row r="6497" spans="1:18">
      <c r="A6497" s="905"/>
      <c r="B6497" s="906"/>
      <c r="C6497" s="907">
        <v>699</v>
      </c>
      <c r="D6497" s="907" t="s">
        <v>279</v>
      </c>
      <c r="E6497" s="925" t="s">
        <v>4006</v>
      </c>
      <c r="F6497" s="926" t="s">
        <v>4007</v>
      </c>
      <c r="G6497" s="910"/>
      <c r="H6497" s="911">
        <v>5</v>
      </c>
      <c r="I6497" s="912">
        <f>VLOOKUP(E6497,[3]VLP!$B$7:$K$300,10,0)</f>
        <v>5000</v>
      </c>
      <c r="J6497" s="912">
        <f>I6497*H6497</f>
        <v>25000</v>
      </c>
      <c r="K6497" s="912" t="s">
        <v>274</v>
      </c>
      <c r="L6497" s="912"/>
      <c r="M6497" s="912"/>
      <c r="N6497" s="912"/>
      <c r="O6497" s="892">
        <f t="shared" si="453"/>
        <v>0</v>
      </c>
      <c r="P6497" s="903">
        <f t="shared" si="450"/>
        <v>1</v>
      </c>
      <c r="Q6497" s="893">
        <f t="shared" si="451"/>
        <v>3</v>
      </c>
      <c r="R6497" s="894">
        <f t="shared" si="452"/>
        <v>0</v>
      </c>
    </row>
    <row r="6498" spans="1:18" s="904" customFormat="1">
      <c r="A6498" s="895"/>
      <c r="B6498" s="896"/>
      <c r="C6498" s="897"/>
      <c r="D6498" s="897"/>
      <c r="E6498" s="924" t="s">
        <v>276</v>
      </c>
      <c r="F6498" s="927"/>
      <c r="G6498" s="928"/>
      <c r="H6498" s="901"/>
      <c r="I6498" s="902"/>
      <c r="J6498" s="902"/>
      <c r="K6498" s="912" t="s">
        <v>274</v>
      </c>
      <c r="L6498" s="902"/>
      <c r="M6498" s="902"/>
      <c r="N6498" s="902"/>
      <c r="O6498" s="892">
        <f t="shared" si="453"/>
        <v>0</v>
      </c>
      <c r="P6498" s="903">
        <f t="shared" si="450"/>
        <v>1</v>
      </c>
      <c r="Q6498" s="893">
        <f t="shared" si="451"/>
        <v>2</v>
      </c>
      <c r="R6498" s="894">
        <f t="shared" si="452"/>
        <v>0</v>
      </c>
    </row>
    <row r="6499" spans="1:18">
      <c r="A6499" s="905"/>
      <c r="B6499" s="906"/>
      <c r="C6499" s="907">
        <v>745</v>
      </c>
      <c r="D6499" s="907" t="s">
        <v>12</v>
      </c>
      <c r="E6499" s="908" t="s">
        <v>5518</v>
      </c>
      <c r="F6499" s="909" t="s">
        <v>2674</v>
      </c>
      <c r="G6499" s="910"/>
      <c r="H6499" s="911">
        <v>3.63</v>
      </c>
      <c r="I6499" s="912"/>
      <c r="J6499" s="912"/>
      <c r="K6499" s="912">
        <f>VLOOKUP(E6499,[5]ĐMNC!$A$7:$F$67,4,0)</f>
        <v>240557</v>
      </c>
      <c r="L6499" s="912">
        <f>H6499*K6499</f>
        <v>873221.90999999992</v>
      </c>
      <c r="M6499" s="912"/>
      <c r="N6499" s="912"/>
      <c r="O6499" s="892">
        <f t="shared" si="453"/>
        <v>0</v>
      </c>
      <c r="P6499" s="903">
        <f t="shared" si="450"/>
        <v>1</v>
      </c>
      <c r="Q6499" s="893">
        <f t="shared" si="451"/>
        <v>1</v>
      </c>
      <c r="R6499" s="894">
        <f t="shared" si="452"/>
        <v>0</v>
      </c>
    </row>
    <row r="6500" spans="1:18" s="847" customFormat="1" ht="31.5">
      <c r="A6500" s="905"/>
      <c r="B6500" s="914" t="s">
        <v>5977</v>
      </c>
      <c r="C6500" s="915"/>
      <c r="D6500" s="915"/>
      <c r="E6500" s="916" t="s">
        <v>5978</v>
      </c>
      <c r="F6500" s="917" t="s">
        <v>2271</v>
      </c>
      <c r="G6500" s="918"/>
      <c r="H6500" s="919"/>
      <c r="I6500" s="920"/>
      <c r="J6500" s="891">
        <f>SUM(J6501:J6506)</f>
        <v>42300</v>
      </c>
      <c r="K6500" s="891"/>
      <c r="L6500" s="891">
        <f>SUM(L6501:L6506)</f>
        <v>1130617.9000000001</v>
      </c>
      <c r="M6500" s="891"/>
      <c r="N6500" s="891">
        <f>SUM(N6501:N6506)</f>
        <v>0</v>
      </c>
      <c r="O6500" s="892">
        <f t="shared" si="453"/>
        <v>1</v>
      </c>
      <c r="P6500" s="903">
        <f t="shared" si="450"/>
        <v>0</v>
      </c>
      <c r="Q6500" s="893">
        <f t="shared" si="451"/>
        <v>0</v>
      </c>
      <c r="R6500" s="894">
        <f t="shared" si="452"/>
        <v>6</v>
      </c>
    </row>
    <row r="6501" spans="1:18" s="904" customFormat="1">
      <c r="A6501" s="895"/>
      <c r="B6501" s="896"/>
      <c r="C6501" s="897"/>
      <c r="D6501" s="897"/>
      <c r="E6501" s="898" t="s">
        <v>108</v>
      </c>
      <c r="F6501" s="899"/>
      <c r="G6501" s="928"/>
      <c r="H6501" s="901"/>
      <c r="I6501" s="902"/>
      <c r="J6501" s="902"/>
      <c r="K6501" s="912" t="s">
        <v>274</v>
      </c>
      <c r="L6501" s="902"/>
      <c r="M6501" s="902"/>
      <c r="N6501" s="902"/>
      <c r="O6501" s="892">
        <f t="shared" si="453"/>
        <v>0</v>
      </c>
      <c r="P6501" s="903">
        <f t="shared" si="450"/>
        <v>1</v>
      </c>
      <c r="Q6501" s="893">
        <f t="shared" si="451"/>
        <v>6</v>
      </c>
      <c r="R6501" s="894">
        <f t="shared" si="452"/>
        <v>0</v>
      </c>
    </row>
    <row r="6502" spans="1:18">
      <c r="A6502" s="905"/>
      <c r="B6502" s="906"/>
      <c r="C6502" s="907">
        <v>44</v>
      </c>
      <c r="D6502" s="907" t="s">
        <v>279</v>
      </c>
      <c r="E6502" s="925" t="s">
        <v>2681</v>
      </c>
      <c r="F6502" s="926" t="s">
        <v>45</v>
      </c>
      <c r="G6502" s="910"/>
      <c r="H6502" s="911">
        <v>0.7</v>
      </c>
      <c r="I6502" s="912">
        <f>VLOOKUP(E6502,[3]VLP!$B$7:$K$300,10,0)</f>
        <v>23000</v>
      </c>
      <c r="J6502" s="912">
        <f>I6502*H6502</f>
        <v>16099.999999999998</v>
      </c>
      <c r="K6502" s="912" t="s">
        <v>274</v>
      </c>
      <c r="L6502" s="912"/>
      <c r="M6502" s="912"/>
      <c r="N6502" s="912"/>
      <c r="O6502" s="892">
        <f t="shared" si="453"/>
        <v>0</v>
      </c>
      <c r="P6502" s="903">
        <f t="shared" si="450"/>
        <v>1</v>
      </c>
      <c r="Q6502" s="893">
        <f t="shared" si="451"/>
        <v>5</v>
      </c>
      <c r="R6502" s="894">
        <f t="shared" si="452"/>
        <v>0</v>
      </c>
    </row>
    <row r="6503" spans="1:18">
      <c r="A6503" s="905"/>
      <c r="B6503" s="906"/>
      <c r="C6503" s="907">
        <v>66</v>
      </c>
      <c r="D6503" s="907" t="s">
        <v>279</v>
      </c>
      <c r="E6503" s="925" t="s">
        <v>2682</v>
      </c>
      <c r="F6503" s="926" t="s">
        <v>45</v>
      </c>
      <c r="G6503" s="910"/>
      <c r="H6503" s="911">
        <v>0.24</v>
      </c>
      <c r="I6503" s="912">
        <f>VLOOKUP(E6503,[3]VLP!$B$7:$K$300,10,0)</f>
        <v>5000</v>
      </c>
      <c r="J6503" s="912">
        <f>I6503*H6503</f>
        <v>1200</v>
      </c>
      <c r="K6503" s="912" t="s">
        <v>274</v>
      </c>
      <c r="L6503" s="912"/>
      <c r="M6503" s="912"/>
      <c r="N6503" s="912"/>
      <c r="O6503" s="892">
        <f t="shared" si="453"/>
        <v>0</v>
      </c>
      <c r="P6503" s="903">
        <f t="shared" si="450"/>
        <v>1</v>
      </c>
      <c r="Q6503" s="893">
        <f t="shared" si="451"/>
        <v>4</v>
      </c>
      <c r="R6503" s="894">
        <f t="shared" si="452"/>
        <v>0</v>
      </c>
    </row>
    <row r="6504" spans="1:18">
      <c r="A6504" s="905"/>
      <c r="B6504" s="906"/>
      <c r="C6504" s="907">
        <v>699</v>
      </c>
      <c r="D6504" s="907" t="s">
        <v>279</v>
      </c>
      <c r="E6504" s="925" t="s">
        <v>4006</v>
      </c>
      <c r="F6504" s="926" t="s">
        <v>4007</v>
      </c>
      <c r="G6504" s="910"/>
      <c r="H6504" s="911">
        <v>5</v>
      </c>
      <c r="I6504" s="912">
        <f>VLOOKUP(E6504,[3]VLP!$B$7:$K$300,10,0)</f>
        <v>5000</v>
      </c>
      <c r="J6504" s="912">
        <f>I6504*H6504</f>
        <v>25000</v>
      </c>
      <c r="K6504" s="912" t="s">
        <v>274</v>
      </c>
      <c r="L6504" s="912"/>
      <c r="M6504" s="912"/>
      <c r="N6504" s="912"/>
      <c r="O6504" s="892">
        <f t="shared" si="453"/>
        <v>0</v>
      </c>
      <c r="P6504" s="903">
        <f t="shared" ref="P6504:P6567" si="454">IF(O6504=0,1,0)</f>
        <v>1</v>
      </c>
      <c r="Q6504" s="893">
        <f t="shared" ref="Q6504:Q6567" si="455">IF(P6504=0,0,P6504+Q6505)</f>
        <v>3</v>
      </c>
      <c r="R6504" s="894">
        <f t="shared" ref="R6504:R6567" si="456">IF(Q6504=0,Q6505,0)</f>
        <v>0</v>
      </c>
    </row>
    <row r="6505" spans="1:18" s="904" customFormat="1">
      <c r="A6505" s="895"/>
      <c r="B6505" s="896"/>
      <c r="C6505" s="897"/>
      <c r="D6505" s="897"/>
      <c r="E6505" s="924" t="s">
        <v>276</v>
      </c>
      <c r="F6505" s="927"/>
      <c r="G6505" s="928"/>
      <c r="H6505" s="901"/>
      <c r="I6505" s="902"/>
      <c r="J6505" s="902"/>
      <c r="K6505" s="912" t="s">
        <v>274</v>
      </c>
      <c r="L6505" s="902"/>
      <c r="M6505" s="902"/>
      <c r="N6505" s="902"/>
      <c r="O6505" s="892">
        <f t="shared" si="453"/>
        <v>0</v>
      </c>
      <c r="P6505" s="903">
        <f t="shared" si="454"/>
        <v>1</v>
      </c>
      <c r="Q6505" s="893">
        <f t="shared" si="455"/>
        <v>2</v>
      </c>
      <c r="R6505" s="894">
        <f t="shared" si="456"/>
        <v>0</v>
      </c>
    </row>
    <row r="6506" spans="1:18">
      <c r="A6506" s="905"/>
      <c r="B6506" s="906"/>
      <c r="C6506" s="907">
        <v>745</v>
      </c>
      <c r="D6506" s="907" t="s">
        <v>12</v>
      </c>
      <c r="E6506" s="908" t="s">
        <v>5518</v>
      </c>
      <c r="F6506" s="909" t="s">
        <v>2674</v>
      </c>
      <c r="G6506" s="910"/>
      <c r="H6506" s="911">
        <v>4.7</v>
      </c>
      <c r="I6506" s="912"/>
      <c r="J6506" s="912"/>
      <c r="K6506" s="912">
        <f>VLOOKUP(E6506,[5]ĐMNC!$A$7:$F$67,4,0)</f>
        <v>240557</v>
      </c>
      <c r="L6506" s="912">
        <f>H6506*K6506</f>
        <v>1130617.9000000001</v>
      </c>
      <c r="M6506" s="912"/>
      <c r="N6506" s="912"/>
      <c r="O6506" s="892">
        <f t="shared" si="453"/>
        <v>0</v>
      </c>
      <c r="P6506" s="903">
        <f t="shared" si="454"/>
        <v>1</v>
      </c>
      <c r="Q6506" s="893">
        <f t="shared" si="455"/>
        <v>1</v>
      </c>
      <c r="R6506" s="894">
        <f t="shared" si="456"/>
        <v>0</v>
      </c>
    </row>
    <row r="6507" spans="1:18" s="847" customFormat="1" ht="31.5">
      <c r="A6507" s="905"/>
      <c r="B6507" s="914" t="s">
        <v>5979</v>
      </c>
      <c r="C6507" s="915"/>
      <c r="D6507" s="915"/>
      <c r="E6507" s="916" t="s">
        <v>5980</v>
      </c>
      <c r="F6507" s="917" t="s">
        <v>2271</v>
      </c>
      <c r="G6507" s="918"/>
      <c r="H6507" s="919"/>
      <c r="I6507" s="920"/>
      <c r="J6507" s="891">
        <f>SUM(J6508:J6513)</f>
        <v>45770</v>
      </c>
      <c r="K6507" s="891"/>
      <c r="L6507" s="891">
        <f>SUM(L6508:L6513)</f>
        <v>1356741.48</v>
      </c>
      <c r="M6507" s="891"/>
      <c r="N6507" s="891">
        <f>SUM(N6508:N6513)</f>
        <v>0</v>
      </c>
      <c r="O6507" s="892">
        <f t="shared" si="453"/>
        <v>1</v>
      </c>
      <c r="P6507" s="903">
        <f t="shared" si="454"/>
        <v>0</v>
      </c>
      <c r="Q6507" s="893">
        <f t="shared" si="455"/>
        <v>0</v>
      </c>
      <c r="R6507" s="894">
        <f t="shared" si="456"/>
        <v>6</v>
      </c>
    </row>
    <row r="6508" spans="1:18" s="904" customFormat="1">
      <c r="A6508" s="895"/>
      <c r="B6508" s="896"/>
      <c r="C6508" s="897"/>
      <c r="D6508" s="897"/>
      <c r="E6508" s="898" t="s">
        <v>108</v>
      </c>
      <c r="F6508" s="899"/>
      <c r="G6508" s="928"/>
      <c r="H6508" s="901"/>
      <c r="I6508" s="902"/>
      <c r="J6508" s="902"/>
      <c r="K6508" s="912" t="s">
        <v>274</v>
      </c>
      <c r="L6508" s="902"/>
      <c r="M6508" s="902"/>
      <c r="N6508" s="902"/>
      <c r="O6508" s="892">
        <f t="shared" si="453"/>
        <v>0</v>
      </c>
      <c r="P6508" s="903">
        <f t="shared" si="454"/>
        <v>1</v>
      </c>
      <c r="Q6508" s="893">
        <f t="shared" si="455"/>
        <v>6</v>
      </c>
      <c r="R6508" s="894">
        <f t="shared" si="456"/>
        <v>0</v>
      </c>
    </row>
    <row r="6509" spans="1:18">
      <c r="A6509" s="905"/>
      <c r="B6509" s="906"/>
      <c r="C6509" s="907">
        <v>44</v>
      </c>
      <c r="D6509" s="907" t="s">
        <v>279</v>
      </c>
      <c r="E6509" s="925" t="s">
        <v>2681</v>
      </c>
      <c r="F6509" s="926" t="s">
        <v>45</v>
      </c>
      <c r="G6509" s="910"/>
      <c r="H6509" s="911">
        <v>0.84</v>
      </c>
      <c r="I6509" s="912">
        <f>VLOOKUP(E6509,[3]VLP!$B$7:$K$300,10,0)</f>
        <v>23000</v>
      </c>
      <c r="J6509" s="912">
        <f>I6509*H6509</f>
        <v>19320</v>
      </c>
      <c r="K6509" s="912" t="s">
        <v>274</v>
      </c>
      <c r="L6509" s="912"/>
      <c r="M6509" s="912"/>
      <c r="N6509" s="912"/>
      <c r="O6509" s="892">
        <f t="shared" si="453"/>
        <v>0</v>
      </c>
      <c r="P6509" s="903">
        <f t="shared" si="454"/>
        <v>1</v>
      </c>
      <c r="Q6509" s="893">
        <f t="shared" si="455"/>
        <v>5</v>
      </c>
      <c r="R6509" s="894">
        <f t="shared" si="456"/>
        <v>0</v>
      </c>
    </row>
    <row r="6510" spans="1:18">
      <c r="A6510" s="905"/>
      <c r="B6510" s="906"/>
      <c r="C6510" s="907">
        <v>66</v>
      </c>
      <c r="D6510" s="907" t="s">
        <v>279</v>
      </c>
      <c r="E6510" s="925" t="s">
        <v>2682</v>
      </c>
      <c r="F6510" s="926" t="s">
        <v>45</v>
      </c>
      <c r="G6510" s="910"/>
      <c r="H6510" s="911">
        <v>0.28999999999999998</v>
      </c>
      <c r="I6510" s="912">
        <f>VLOOKUP(E6510,[3]VLP!$B$7:$K$300,10,0)</f>
        <v>5000</v>
      </c>
      <c r="J6510" s="912">
        <f>I6510*H6510</f>
        <v>1450</v>
      </c>
      <c r="K6510" s="912" t="s">
        <v>274</v>
      </c>
      <c r="L6510" s="912"/>
      <c r="M6510" s="912"/>
      <c r="N6510" s="912"/>
      <c r="O6510" s="892">
        <f t="shared" si="453"/>
        <v>0</v>
      </c>
      <c r="P6510" s="903">
        <f t="shared" si="454"/>
        <v>1</v>
      </c>
      <c r="Q6510" s="893">
        <f t="shared" si="455"/>
        <v>4</v>
      </c>
      <c r="R6510" s="894">
        <f t="shared" si="456"/>
        <v>0</v>
      </c>
    </row>
    <row r="6511" spans="1:18">
      <c r="A6511" s="905"/>
      <c r="B6511" s="906"/>
      <c r="C6511" s="907">
        <v>699</v>
      </c>
      <c r="D6511" s="907" t="s">
        <v>279</v>
      </c>
      <c r="E6511" s="925" t="s">
        <v>4006</v>
      </c>
      <c r="F6511" s="926" t="s">
        <v>4007</v>
      </c>
      <c r="G6511" s="910"/>
      <c r="H6511" s="911">
        <v>5</v>
      </c>
      <c r="I6511" s="912">
        <f>VLOOKUP(E6511,[3]VLP!$B$7:$K$300,10,0)</f>
        <v>5000</v>
      </c>
      <c r="J6511" s="912">
        <f>I6511*H6511</f>
        <v>25000</v>
      </c>
      <c r="K6511" s="912" t="s">
        <v>274</v>
      </c>
      <c r="L6511" s="912"/>
      <c r="M6511" s="912"/>
      <c r="N6511" s="912"/>
      <c r="O6511" s="892">
        <f t="shared" si="453"/>
        <v>0</v>
      </c>
      <c r="P6511" s="903">
        <f t="shared" si="454"/>
        <v>1</v>
      </c>
      <c r="Q6511" s="893">
        <f t="shared" si="455"/>
        <v>3</v>
      </c>
      <c r="R6511" s="894">
        <f t="shared" si="456"/>
        <v>0</v>
      </c>
    </row>
    <row r="6512" spans="1:18" s="904" customFormat="1">
      <c r="A6512" s="895"/>
      <c r="B6512" s="896"/>
      <c r="C6512" s="897"/>
      <c r="D6512" s="897"/>
      <c r="E6512" s="924" t="s">
        <v>276</v>
      </c>
      <c r="F6512" s="927"/>
      <c r="G6512" s="928"/>
      <c r="H6512" s="901"/>
      <c r="I6512" s="902"/>
      <c r="J6512" s="902"/>
      <c r="K6512" s="912" t="s">
        <v>274</v>
      </c>
      <c r="L6512" s="902"/>
      <c r="M6512" s="902"/>
      <c r="N6512" s="902"/>
      <c r="O6512" s="892">
        <f t="shared" si="453"/>
        <v>0</v>
      </c>
      <c r="P6512" s="903">
        <f t="shared" si="454"/>
        <v>1</v>
      </c>
      <c r="Q6512" s="893">
        <f t="shared" si="455"/>
        <v>2</v>
      </c>
      <c r="R6512" s="894">
        <f t="shared" si="456"/>
        <v>0</v>
      </c>
    </row>
    <row r="6513" spans="1:18">
      <c r="A6513" s="905"/>
      <c r="B6513" s="906"/>
      <c r="C6513" s="907">
        <v>745</v>
      </c>
      <c r="D6513" s="907" t="s">
        <v>12</v>
      </c>
      <c r="E6513" s="908" t="s">
        <v>5518</v>
      </c>
      <c r="F6513" s="909" t="s">
        <v>2674</v>
      </c>
      <c r="G6513" s="910"/>
      <c r="H6513" s="911">
        <v>5.64</v>
      </c>
      <c r="I6513" s="912"/>
      <c r="J6513" s="912"/>
      <c r="K6513" s="912">
        <f>VLOOKUP(E6513,[5]ĐMNC!$A$7:$F$67,4,0)</f>
        <v>240557</v>
      </c>
      <c r="L6513" s="912">
        <f>H6513*K6513</f>
        <v>1356741.48</v>
      </c>
      <c r="M6513" s="912"/>
      <c r="N6513" s="912"/>
      <c r="O6513" s="892">
        <f t="shared" si="453"/>
        <v>0</v>
      </c>
      <c r="P6513" s="903">
        <f t="shared" si="454"/>
        <v>1</v>
      </c>
      <c r="Q6513" s="893">
        <f t="shared" si="455"/>
        <v>1</v>
      </c>
      <c r="R6513" s="894">
        <f t="shared" si="456"/>
        <v>0</v>
      </c>
    </row>
    <row r="6514" spans="1:18" s="847" customFormat="1" ht="35.25" customHeight="1">
      <c r="A6514" s="905" t="s">
        <v>5955</v>
      </c>
      <c r="B6514" s="914" t="s">
        <v>5981</v>
      </c>
      <c r="C6514" s="915"/>
      <c r="D6514" s="915"/>
      <c r="E6514" s="916" t="s">
        <v>5982</v>
      </c>
      <c r="F6514" s="917" t="s">
        <v>5834</v>
      </c>
      <c r="G6514" s="944"/>
      <c r="H6514" s="919"/>
      <c r="I6514" s="920"/>
      <c r="J6514" s="891">
        <f>SUM(J6515:J6528)</f>
        <v>533277.5</v>
      </c>
      <c r="K6514" s="891" t="s">
        <v>274</v>
      </c>
      <c r="L6514" s="891">
        <f>SUM(L6515:L6528)</f>
        <v>695209.73</v>
      </c>
      <c r="M6514" s="891"/>
      <c r="N6514" s="891">
        <f>SUM(N6515:N6528)</f>
        <v>0</v>
      </c>
      <c r="O6514" s="892">
        <f t="shared" si="453"/>
        <v>1</v>
      </c>
      <c r="P6514" s="903">
        <f t="shared" si="454"/>
        <v>0</v>
      </c>
      <c r="Q6514" s="893">
        <f t="shared" si="455"/>
        <v>0</v>
      </c>
      <c r="R6514" s="894">
        <f t="shared" si="456"/>
        <v>14</v>
      </c>
    </row>
    <row r="6515" spans="1:18" s="904" customFormat="1">
      <c r="A6515" s="895"/>
      <c r="B6515" s="922"/>
      <c r="C6515" s="897"/>
      <c r="D6515" s="897"/>
      <c r="E6515" s="898" t="s">
        <v>108</v>
      </c>
      <c r="F6515" s="899"/>
      <c r="G6515" s="928"/>
      <c r="H6515" s="901"/>
      <c r="I6515" s="902"/>
      <c r="J6515" s="902"/>
      <c r="K6515" s="912" t="s">
        <v>274</v>
      </c>
      <c r="L6515" s="902"/>
      <c r="M6515" s="902"/>
      <c r="N6515" s="902"/>
      <c r="O6515" s="892">
        <f t="shared" si="453"/>
        <v>0</v>
      </c>
      <c r="P6515" s="903">
        <f t="shared" si="454"/>
        <v>1</v>
      </c>
      <c r="Q6515" s="893">
        <f t="shared" si="455"/>
        <v>14</v>
      </c>
      <c r="R6515" s="894">
        <f t="shared" si="456"/>
        <v>0</v>
      </c>
    </row>
    <row r="6516" spans="1:18">
      <c r="A6516" s="905"/>
      <c r="B6516" s="906"/>
      <c r="C6516" s="907">
        <v>101</v>
      </c>
      <c r="D6516" s="907" t="s">
        <v>279</v>
      </c>
      <c r="E6516" s="925" t="s">
        <v>5835</v>
      </c>
      <c r="F6516" s="909" t="s">
        <v>51</v>
      </c>
      <c r="G6516" s="910"/>
      <c r="H6516" s="911">
        <v>1</v>
      </c>
      <c r="I6516" s="912">
        <f>VLOOKUP(E6516,[3]VLP!$B$7:$K$300,10,0)</f>
        <v>10140</v>
      </c>
      <c r="J6516" s="912">
        <f t="shared" ref="J6516:J6526" si="457">I6516*H6516</f>
        <v>10140</v>
      </c>
      <c r="K6516" s="912" t="s">
        <v>274</v>
      </c>
      <c r="L6516" s="912"/>
      <c r="M6516" s="912"/>
      <c r="N6516" s="912"/>
      <c r="O6516" s="892">
        <f t="shared" si="453"/>
        <v>0</v>
      </c>
      <c r="P6516" s="903">
        <f t="shared" si="454"/>
        <v>1</v>
      </c>
      <c r="Q6516" s="893">
        <f t="shared" si="455"/>
        <v>13</v>
      </c>
      <c r="R6516" s="894">
        <f t="shared" si="456"/>
        <v>0</v>
      </c>
    </row>
    <row r="6517" spans="1:18">
      <c r="A6517" s="905"/>
      <c r="B6517" s="906"/>
      <c r="C6517" s="907">
        <v>49</v>
      </c>
      <c r="D6517" s="907" t="s">
        <v>279</v>
      </c>
      <c r="E6517" s="925" t="s">
        <v>5698</v>
      </c>
      <c r="F6517" s="909" t="s">
        <v>139</v>
      </c>
      <c r="G6517" s="910"/>
      <c r="H6517" s="911">
        <v>2</v>
      </c>
      <c r="I6517" s="912">
        <f>VLOOKUP(E6517,[3]VLP!$B$7:$K$300,10,0)</f>
        <v>3000</v>
      </c>
      <c r="J6517" s="912">
        <f t="shared" si="457"/>
        <v>6000</v>
      </c>
      <c r="K6517" s="912" t="s">
        <v>274</v>
      </c>
      <c r="L6517" s="912"/>
      <c r="M6517" s="912"/>
      <c r="N6517" s="912"/>
      <c r="O6517" s="892">
        <f t="shared" si="453"/>
        <v>0</v>
      </c>
      <c r="P6517" s="903">
        <f t="shared" si="454"/>
        <v>1</v>
      </c>
      <c r="Q6517" s="893">
        <f t="shared" si="455"/>
        <v>12</v>
      </c>
      <c r="R6517" s="894">
        <f t="shared" si="456"/>
        <v>0</v>
      </c>
    </row>
    <row r="6518" spans="1:18">
      <c r="A6518" s="905"/>
      <c r="B6518" s="906"/>
      <c r="C6518" s="907">
        <v>50</v>
      </c>
      <c r="D6518" s="907" t="s">
        <v>279</v>
      </c>
      <c r="E6518" s="925" t="s">
        <v>5836</v>
      </c>
      <c r="F6518" s="909" t="s">
        <v>49</v>
      </c>
      <c r="G6518" s="910"/>
      <c r="H6518" s="911">
        <v>4</v>
      </c>
      <c r="I6518" s="912">
        <f>VLOOKUP(E6518,[3]VLP!$B$7:$K$300,10,0)</f>
        <v>85790</v>
      </c>
      <c r="J6518" s="912">
        <f t="shared" si="457"/>
        <v>343160</v>
      </c>
      <c r="K6518" s="912" t="s">
        <v>274</v>
      </c>
      <c r="L6518" s="912"/>
      <c r="M6518" s="912"/>
      <c r="N6518" s="912"/>
      <c r="O6518" s="892">
        <f t="shared" si="453"/>
        <v>0</v>
      </c>
      <c r="P6518" s="903">
        <f t="shared" si="454"/>
        <v>1</v>
      </c>
      <c r="Q6518" s="893">
        <f t="shared" si="455"/>
        <v>11</v>
      </c>
      <c r="R6518" s="894">
        <f t="shared" si="456"/>
        <v>0</v>
      </c>
    </row>
    <row r="6519" spans="1:18">
      <c r="A6519" s="905"/>
      <c r="B6519" s="906"/>
      <c r="C6519" s="907">
        <v>46</v>
      </c>
      <c r="D6519" s="907" t="s">
        <v>279</v>
      </c>
      <c r="E6519" s="925" t="s">
        <v>3179</v>
      </c>
      <c r="F6519" s="909" t="s">
        <v>45</v>
      </c>
      <c r="G6519" s="910"/>
      <c r="H6519" s="911">
        <v>5</v>
      </c>
      <c r="I6519" s="912">
        <f>VLOOKUP(E6519,[3]VLP!$B$7:$K$300,10,0)</f>
        <v>20500</v>
      </c>
      <c r="J6519" s="912">
        <f t="shared" si="457"/>
        <v>102500</v>
      </c>
      <c r="K6519" s="912" t="s">
        <v>274</v>
      </c>
      <c r="L6519" s="912"/>
      <c r="M6519" s="912"/>
      <c r="N6519" s="912"/>
      <c r="O6519" s="892">
        <f t="shared" si="453"/>
        <v>0</v>
      </c>
      <c r="P6519" s="903">
        <f t="shared" si="454"/>
        <v>1</v>
      </c>
      <c r="Q6519" s="893">
        <f t="shared" si="455"/>
        <v>10</v>
      </c>
      <c r="R6519" s="894">
        <f t="shared" si="456"/>
        <v>0</v>
      </c>
    </row>
    <row r="6520" spans="1:18">
      <c r="A6520" s="905"/>
      <c r="B6520" s="906"/>
      <c r="C6520" s="907">
        <v>25</v>
      </c>
      <c r="D6520" s="907" t="s">
        <v>279</v>
      </c>
      <c r="E6520" s="925" t="s">
        <v>5656</v>
      </c>
      <c r="F6520" s="926" t="s">
        <v>2690</v>
      </c>
      <c r="G6520" s="910"/>
      <c r="H6520" s="911">
        <v>1</v>
      </c>
      <c r="I6520" s="912">
        <f>VLOOKUP(E6520,[3]VLP!$B$7:$K$300,10,0)</f>
        <v>5000</v>
      </c>
      <c r="J6520" s="912">
        <f t="shared" si="457"/>
        <v>5000</v>
      </c>
      <c r="K6520" s="912" t="s">
        <v>274</v>
      </c>
      <c r="L6520" s="912"/>
      <c r="M6520" s="912"/>
      <c r="N6520" s="912"/>
      <c r="O6520" s="892">
        <f t="shared" si="453"/>
        <v>0</v>
      </c>
      <c r="P6520" s="903">
        <f t="shared" si="454"/>
        <v>1</v>
      </c>
      <c r="Q6520" s="893">
        <f t="shared" si="455"/>
        <v>9</v>
      </c>
      <c r="R6520" s="894">
        <f t="shared" si="456"/>
        <v>0</v>
      </c>
    </row>
    <row r="6521" spans="1:18">
      <c r="A6521" s="905"/>
      <c r="B6521" s="906"/>
      <c r="C6521" s="907">
        <v>127</v>
      </c>
      <c r="D6521" s="907" t="s">
        <v>279</v>
      </c>
      <c r="E6521" s="925" t="s">
        <v>5657</v>
      </c>
      <c r="F6521" s="909" t="s">
        <v>45</v>
      </c>
      <c r="G6521" s="910"/>
      <c r="H6521" s="911">
        <v>0.5</v>
      </c>
      <c r="I6521" s="912">
        <f>VLOOKUP(E6521,[3]VLP!$B$7:$K$300,10,0)</f>
        <v>25155</v>
      </c>
      <c r="J6521" s="912">
        <f t="shared" si="457"/>
        <v>12577.5</v>
      </c>
      <c r="K6521" s="912" t="s">
        <v>274</v>
      </c>
      <c r="L6521" s="912"/>
      <c r="M6521" s="912"/>
      <c r="N6521" s="912"/>
      <c r="O6521" s="892">
        <f t="shared" si="453"/>
        <v>0</v>
      </c>
      <c r="P6521" s="903">
        <f t="shared" si="454"/>
        <v>1</v>
      </c>
      <c r="Q6521" s="893">
        <f t="shared" si="455"/>
        <v>8</v>
      </c>
      <c r="R6521" s="894">
        <f t="shared" si="456"/>
        <v>0</v>
      </c>
    </row>
    <row r="6522" spans="1:18">
      <c r="A6522" s="905"/>
      <c r="B6522" s="906"/>
      <c r="C6522" s="907">
        <v>44</v>
      </c>
      <c r="D6522" s="907" t="s">
        <v>279</v>
      </c>
      <c r="E6522" s="925" t="s">
        <v>2681</v>
      </c>
      <c r="F6522" s="926" t="s">
        <v>45</v>
      </c>
      <c r="G6522" s="910"/>
      <c r="H6522" s="911">
        <v>0.6</v>
      </c>
      <c r="I6522" s="912">
        <f>VLOOKUP(E6522,[3]VLP!$B$7:$K$300,10,0)</f>
        <v>23000</v>
      </c>
      <c r="J6522" s="912">
        <f t="shared" si="457"/>
        <v>13800</v>
      </c>
      <c r="K6522" s="912" t="s">
        <v>274</v>
      </c>
      <c r="L6522" s="912"/>
      <c r="M6522" s="912"/>
      <c r="N6522" s="912"/>
      <c r="O6522" s="892">
        <f t="shared" si="453"/>
        <v>0</v>
      </c>
      <c r="P6522" s="903">
        <f t="shared" si="454"/>
        <v>1</v>
      </c>
      <c r="Q6522" s="893">
        <f t="shared" si="455"/>
        <v>7</v>
      </c>
      <c r="R6522" s="894">
        <f t="shared" si="456"/>
        <v>0</v>
      </c>
    </row>
    <row r="6523" spans="1:18">
      <c r="A6523" s="905"/>
      <c r="B6523" s="906"/>
      <c r="C6523" s="907">
        <v>66</v>
      </c>
      <c r="D6523" s="907" t="s">
        <v>279</v>
      </c>
      <c r="E6523" s="925" t="s">
        <v>2682</v>
      </c>
      <c r="F6523" s="926" t="s">
        <v>45</v>
      </c>
      <c r="G6523" s="910"/>
      <c r="H6523" s="911">
        <v>0.2</v>
      </c>
      <c r="I6523" s="912">
        <f>VLOOKUP(E6523,[3]VLP!$B$7:$K$300,10,0)</f>
        <v>5000</v>
      </c>
      <c r="J6523" s="912">
        <f t="shared" si="457"/>
        <v>1000</v>
      </c>
      <c r="K6523" s="912" t="s">
        <v>274</v>
      </c>
      <c r="L6523" s="912"/>
      <c r="M6523" s="912"/>
      <c r="N6523" s="912"/>
      <c r="O6523" s="892">
        <f t="shared" si="453"/>
        <v>0</v>
      </c>
      <c r="P6523" s="903">
        <f t="shared" si="454"/>
        <v>1</v>
      </c>
      <c r="Q6523" s="893">
        <f t="shared" si="455"/>
        <v>6</v>
      </c>
      <c r="R6523" s="894">
        <f t="shared" si="456"/>
        <v>0</v>
      </c>
    </row>
    <row r="6524" spans="1:18">
      <c r="A6524" s="905"/>
      <c r="B6524" s="906"/>
      <c r="C6524" s="907">
        <v>65</v>
      </c>
      <c r="D6524" s="907" t="s">
        <v>279</v>
      </c>
      <c r="E6524" s="925" t="s">
        <v>5983</v>
      </c>
      <c r="F6524" s="926" t="s">
        <v>3144</v>
      </c>
      <c r="G6524" s="910"/>
      <c r="H6524" s="911">
        <v>1</v>
      </c>
      <c r="I6524" s="912">
        <f>VLOOKUP(E6524,[3]VLP!$B$7:$K$300,10,0)</f>
        <v>14000</v>
      </c>
      <c r="J6524" s="912">
        <f t="shared" si="457"/>
        <v>14000</v>
      </c>
      <c r="K6524" s="912" t="s">
        <v>274</v>
      </c>
      <c r="L6524" s="912"/>
      <c r="M6524" s="912"/>
      <c r="N6524" s="912"/>
      <c r="O6524" s="892">
        <f t="shared" si="453"/>
        <v>0</v>
      </c>
      <c r="P6524" s="903">
        <f t="shared" si="454"/>
        <v>1</v>
      </c>
      <c r="Q6524" s="893">
        <f t="shared" si="455"/>
        <v>5</v>
      </c>
      <c r="R6524" s="894">
        <f t="shared" si="456"/>
        <v>0</v>
      </c>
    </row>
    <row r="6525" spans="1:18">
      <c r="A6525" s="905"/>
      <c r="B6525" s="906"/>
      <c r="C6525" s="907">
        <v>89</v>
      </c>
      <c r="D6525" s="907" t="s">
        <v>279</v>
      </c>
      <c r="E6525" s="925" t="s">
        <v>5984</v>
      </c>
      <c r="F6525" s="926" t="s">
        <v>45</v>
      </c>
      <c r="G6525" s="910"/>
      <c r="H6525" s="911">
        <v>0.1</v>
      </c>
      <c r="I6525" s="912">
        <f>VLOOKUP(E6525,[3]VLP!$B$7:$K$300,10,0)</f>
        <v>1000</v>
      </c>
      <c r="J6525" s="912">
        <f t="shared" si="457"/>
        <v>100</v>
      </c>
      <c r="K6525" s="912" t="s">
        <v>274</v>
      </c>
      <c r="L6525" s="912"/>
      <c r="M6525" s="912"/>
      <c r="N6525" s="912"/>
      <c r="O6525" s="892">
        <f t="shared" si="453"/>
        <v>0</v>
      </c>
      <c r="P6525" s="903">
        <f t="shared" si="454"/>
        <v>1</v>
      </c>
      <c r="Q6525" s="893">
        <f t="shared" si="455"/>
        <v>4</v>
      </c>
      <c r="R6525" s="894">
        <f t="shared" si="456"/>
        <v>0</v>
      </c>
    </row>
    <row r="6526" spans="1:18">
      <c r="A6526" s="905"/>
      <c r="B6526" s="906"/>
      <c r="C6526" s="907">
        <v>699</v>
      </c>
      <c r="D6526" s="907" t="s">
        <v>279</v>
      </c>
      <c r="E6526" s="925" t="s">
        <v>4006</v>
      </c>
      <c r="F6526" s="926" t="s">
        <v>4007</v>
      </c>
      <c r="G6526" s="910"/>
      <c r="H6526" s="911">
        <v>5</v>
      </c>
      <c r="I6526" s="912">
        <f>VLOOKUP(E6526,[3]VLP!$B$7:$K$300,10,0)</f>
        <v>5000</v>
      </c>
      <c r="J6526" s="912">
        <f t="shared" si="457"/>
        <v>25000</v>
      </c>
      <c r="K6526" s="912" t="s">
        <v>274</v>
      </c>
      <c r="L6526" s="912"/>
      <c r="M6526" s="912"/>
      <c r="N6526" s="912"/>
      <c r="O6526" s="892">
        <f t="shared" si="453"/>
        <v>0</v>
      </c>
      <c r="P6526" s="903">
        <f t="shared" si="454"/>
        <v>1</v>
      </c>
      <c r="Q6526" s="893">
        <f t="shared" si="455"/>
        <v>3</v>
      </c>
      <c r="R6526" s="894">
        <f t="shared" si="456"/>
        <v>0</v>
      </c>
    </row>
    <row r="6527" spans="1:18" s="904" customFormat="1">
      <c r="A6527" s="895"/>
      <c r="B6527" s="896"/>
      <c r="C6527" s="897"/>
      <c r="D6527" s="897"/>
      <c r="E6527" s="924" t="s">
        <v>276</v>
      </c>
      <c r="F6527" s="927"/>
      <c r="G6527" s="928"/>
      <c r="H6527" s="901"/>
      <c r="I6527" s="902"/>
      <c r="J6527" s="902"/>
      <c r="K6527" s="912" t="s">
        <v>274</v>
      </c>
      <c r="L6527" s="902"/>
      <c r="M6527" s="902"/>
      <c r="N6527" s="902"/>
      <c r="O6527" s="892">
        <f t="shared" si="453"/>
        <v>0</v>
      </c>
      <c r="P6527" s="903">
        <f t="shared" si="454"/>
        <v>1</v>
      </c>
      <c r="Q6527" s="893">
        <f t="shared" si="455"/>
        <v>2</v>
      </c>
      <c r="R6527" s="894">
        <f t="shared" si="456"/>
        <v>0</v>
      </c>
    </row>
    <row r="6528" spans="1:18">
      <c r="A6528" s="905"/>
      <c r="B6528" s="906"/>
      <c r="C6528" s="907">
        <v>745</v>
      </c>
      <c r="D6528" s="907" t="s">
        <v>12</v>
      </c>
      <c r="E6528" s="908" t="s">
        <v>5518</v>
      </c>
      <c r="F6528" s="909" t="s">
        <v>2674</v>
      </c>
      <c r="G6528" s="910"/>
      <c r="H6528" s="911">
        <v>2.89</v>
      </c>
      <c r="I6528" s="912"/>
      <c r="J6528" s="912"/>
      <c r="K6528" s="912">
        <f>VLOOKUP(E6528,[5]ĐMNC!$A$7:$F$67,4,0)</f>
        <v>240557</v>
      </c>
      <c r="L6528" s="912">
        <f>H6528*K6528</f>
        <v>695209.73</v>
      </c>
      <c r="M6528" s="912"/>
      <c r="N6528" s="912"/>
      <c r="O6528" s="892">
        <f t="shared" si="453"/>
        <v>0</v>
      </c>
      <c r="P6528" s="903">
        <f t="shared" si="454"/>
        <v>1</v>
      </c>
      <c r="Q6528" s="893">
        <f t="shared" si="455"/>
        <v>1</v>
      </c>
      <c r="R6528" s="894">
        <f t="shared" si="456"/>
        <v>0</v>
      </c>
    </row>
    <row r="6529" spans="1:18" s="847" customFormat="1" ht="35.25" customHeight="1">
      <c r="A6529" s="905"/>
      <c r="B6529" s="914" t="s">
        <v>5985</v>
      </c>
      <c r="C6529" s="915"/>
      <c r="D6529" s="915"/>
      <c r="E6529" s="916" t="s">
        <v>5986</v>
      </c>
      <c r="F6529" s="917" t="s">
        <v>5834</v>
      </c>
      <c r="G6529" s="944"/>
      <c r="H6529" s="919"/>
      <c r="I6529" s="920"/>
      <c r="J6529" s="891">
        <f>SUM(J6530:J6543)</f>
        <v>536657.5</v>
      </c>
      <c r="K6529" s="891" t="s">
        <v>274</v>
      </c>
      <c r="L6529" s="891">
        <f>SUM(L6530:L6543)</f>
        <v>868410.77</v>
      </c>
      <c r="M6529" s="891"/>
      <c r="N6529" s="891">
        <f>SUM(N6530:N6543)</f>
        <v>0</v>
      </c>
      <c r="O6529" s="892">
        <f t="shared" si="453"/>
        <v>1</v>
      </c>
      <c r="P6529" s="903">
        <f t="shared" si="454"/>
        <v>0</v>
      </c>
      <c r="Q6529" s="893">
        <f t="shared" si="455"/>
        <v>0</v>
      </c>
      <c r="R6529" s="894">
        <f t="shared" si="456"/>
        <v>14</v>
      </c>
    </row>
    <row r="6530" spans="1:18" s="904" customFormat="1">
      <c r="A6530" s="895"/>
      <c r="B6530" s="896"/>
      <c r="C6530" s="897"/>
      <c r="D6530" s="897"/>
      <c r="E6530" s="898" t="s">
        <v>108</v>
      </c>
      <c r="F6530" s="899"/>
      <c r="G6530" s="928"/>
      <c r="H6530" s="901"/>
      <c r="I6530" s="902"/>
      <c r="J6530" s="902"/>
      <c r="K6530" s="912" t="s">
        <v>274</v>
      </c>
      <c r="L6530" s="902"/>
      <c r="M6530" s="902"/>
      <c r="N6530" s="902"/>
      <c r="O6530" s="892">
        <f t="shared" si="453"/>
        <v>0</v>
      </c>
      <c r="P6530" s="903">
        <f t="shared" si="454"/>
        <v>1</v>
      </c>
      <c r="Q6530" s="893">
        <f t="shared" si="455"/>
        <v>14</v>
      </c>
      <c r="R6530" s="894">
        <f t="shared" si="456"/>
        <v>0</v>
      </c>
    </row>
    <row r="6531" spans="1:18">
      <c r="A6531" s="905"/>
      <c r="B6531" s="906"/>
      <c r="C6531" s="907">
        <v>102</v>
      </c>
      <c r="D6531" s="907" t="s">
        <v>279</v>
      </c>
      <c r="E6531" s="925" t="s">
        <v>5839</v>
      </c>
      <c r="F6531" s="909" t="s">
        <v>51</v>
      </c>
      <c r="G6531" s="910"/>
      <c r="H6531" s="911">
        <v>1</v>
      </c>
      <c r="I6531" s="912">
        <f>VLOOKUP(E6531,[3]VLP!$B$7:$K$300,10,0)</f>
        <v>13520</v>
      </c>
      <c r="J6531" s="912">
        <f t="shared" ref="J6531:J6541" si="458">I6531*H6531</f>
        <v>13520</v>
      </c>
      <c r="K6531" s="912" t="s">
        <v>274</v>
      </c>
      <c r="L6531" s="912"/>
      <c r="M6531" s="912"/>
      <c r="N6531" s="912"/>
      <c r="O6531" s="892">
        <f t="shared" si="453"/>
        <v>0</v>
      </c>
      <c r="P6531" s="903">
        <f t="shared" si="454"/>
        <v>1</v>
      </c>
      <c r="Q6531" s="893">
        <f t="shared" si="455"/>
        <v>13</v>
      </c>
      <c r="R6531" s="894">
        <f t="shared" si="456"/>
        <v>0</v>
      </c>
    </row>
    <row r="6532" spans="1:18">
      <c r="A6532" s="905"/>
      <c r="B6532" s="906"/>
      <c r="C6532" s="907">
        <v>49</v>
      </c>
      <c r="D6532" s="907" t="s">
        <v>279</v>
      </c>
      <c r="E6532" s="925" t="s">
        <v>5698</v>
      </c>
      <c r="F6532" s="909" t="s">
        <v>139</v>
      </c>
      <c r="G6532" s="910"/>
      <c r="H6532" s="911">
        <v>2</v>
      </c>
      <c r="I6532" s="912">
        <f>VLOOKUP(E6532,[3]VLP!$B$7:$K$300,10,0)</f>
        <v>3000</v>
      </c>
      <c r="J6532" s="912">
        <f t="shared" si="458"/>
        <v>6000</v>
      </c>
      <c r="K6532" s="912" t="s">
        <v>274</v>
      </c>
      <c r="L6532" s="912"/>
      <c r="M6532" s="912"/>
      <c r="N6532" s="912"/>
      <c r="O6532" s="892">
        <f t="shared" si="453"/>
        <v>0</v>
      </c>
      <c r="P6532" s="903">
        <f t="shared" si="454"/>
        <v>1</v>
      </c>
      <c r="Q6532" s="893">
        <f t="shared" si="455"/>
        <v>12</v>
      </c>
      <c r="R6532" s="894">
        <f t="shared" si="456"/>
        <v>0</v>
      </c>
    </row>
    <row r="6533" spans="1:18">
      <c r="A6533" s="905"/>
      <c r="B6533" s="906"/>
      <c r="C6533" s="907">
        <v>50</v>
      </c>
      <c r="D6533" s="907" t="s">
        <v>279</v>
      </c>
      <c r="E6533" s="925" t="s">
        <v>5836</v>
      </c>
      <c r="F6533" s="909" t="s">
        <v>49</v>
      </c>
      <c r="G6533" s="910"/>
      <c r="H6533" s="911">
        <v>4</v>
      </c>
      <c r="I6533" s="912">
        <f>VLOOKUP(E6533,[3]VLP!$B$7:$K$300,10,0)</f>
        <v>85790</v>
      </c>
      <c r="J6533" s="912">
        <f t="shared" si="458"/>
        <v>343160</v>
      </c>
      <c r="K6533" s="912" t="s">
        <v>274</v>
      </c>
      <c r="L6533" s="912"/>
      <c r="M6533" s="912"/>
      <c r="N6533" s="912"/>
      <c r="O6533" s="892">
        <f t="shared" si="453"/>
        <v>0</v>
      </c>
      <c r="P6533" s="903">
        <f t="shared" si="454"/>
        <v>1</v>
      </c>
      <c r="Q6533" s="893">
        <f t="shared" si="455"/>
        <v>11</v>
      </c>
      <c r="R6533" s="894">
        <f t="shared" si="456"/>
        <v>0</v>
      </c>
    </row>
    <row r="6534" spans="1:18">
      <c r="A6534" s="905"/>
      <c r="B6534" s="906"/>
      <c r="C6534" s="907">
        <v>46</v>
      </c>
      <c r="D6534" s="907" t="s">
        <v>279</v>
      </c>
      <c r="E6534" s="925" t="s">
        <v>3179</v>
      </c>
      <c r="F6534" s="909" t="s">
        <v>45</v>
      </c>
      <c r="G6534" s="910"/>
      <c r="H6534" s="911">
        <v>5</v>
      </c>
      <c r="I6534" s="912">
        <f>VLOOKUP(E6534,[3]VLP!$B$7:$K$300,10,0)</f>
        <v>20500</v>
      </c>
      <c r="J6534" s="912">
        <f t="shared" si="458"/>
        <v>102500</v>
      </c>
      <c r="K6534" s="912" t="s">
        <v>274</v>
      </c>
      <c r="L6534" s="912"/>
      <c r="M6534" s="912"/>
      <c r="N6534" s="912"/>
      <c r="O6534" s="892">
        <f t="shared" si="453"/>
        <v>0</v>
      </c>
      <c r="P6534" s="903">
        <f t="shared" si="454"/>
        <v>1</v>
      </c>
      <c r="Q6534" s="893">
        <f t="shared" si="455"/>
        <v>10</v>
      </c>
      <c r="R6534" s="894">
        <f t="shared" si="456"/>
        <v>0</v>
      </c>
    </row>
    <row r="6535" spans="1:18">
      <c r="A6535" s="905"/>
      <c r="B6535" s="906"/>
      <c r="C6535" s="907">
        <v>25</v>
      </c>
      <c r="D6535" s="907" t="s">
        <v>279</v>
      </c>
      <c r="E6535" s="925" t="s">
        <v>5656</v>
      </c>
      <c r="F6535" s="926" t="s">
        <v>2690</v>
      </c>
      <c r="G6535" s="910"/>
      <c r="H6535" s="911">
        <v>1</v>
      </c>
      <c r="I6535" s="912">
        <f>VLOOKUP(E6535,[3]VLP!$B$7:$K$300,10,0)</f>
        <v>5000</v>
      </c>
      <c r="J6535" s="912">
        <f t="shared" si="458"/>
        <v>5000</v>
      </c>
      <c r="K6535" s="912" t="s">
        <v>274</v>
      </c>
      <c r="L6535" s="912"/>
      <c r="M6535" s="912"/>
      <c r="N6535" s="912"/>
      <c r="O6535" s="892">
        <f t="shared" si="453"/>
        <v>0</v>
      </c>
      <c r="P6535" s="903">
        <f t="shared" si="454"/>
        <v>1</v>
      </c>
      <c r="Q6535" s="893">
        <f t="shared" si="455"/>
        <v>9</v>
      </c>
      <c r="R6535" s="894">
        <f t="shared" si="456"/>
        <v>0</v>
      </c>
    </row>
    <row r="6536" spans="1:18">
      <c r="A6536" s="905"/>
      <c r="B6536" s="906"/>
      <c r="C6536" s="907">
        <v>127</v>
      </c>
      <c r="D6536" s="907" t="s">
        <v>279</v>
      </c>
      <c r="E6536" s="925" t="s">
        <v>5657</v>
      </c>
      <c r="F6536" s="909" t="s">
        <v>45</v>
      </c>
      <c r="G6536" s="910"/>
      <c r="H6536" s="911">
        <v>0.5</v>
      </c>
      <c r="I6536" s="912">
        <f>VLOOKUP(E6536,[3]VLP!$B$7:$K$300,10,0)</f>
        <v>25155</v>
      </c>
      <c r="J6536" s="912">
        <f t="shared" si="458"/>
        <v>12577.5</v>
      </c>
      <c r="K6536" s="912" t="s">
        <v>274</v>
      </c>
      <c r="L6536" s="912"/>
      <c r="M6536" s="912"/>
      <c r="N6536" s="912"/>
      <c r="O6536" s="892">
        <f t="shared" si="453"/>
        <v>0</v>
      </c>
      <c r="P6536" s="903">
        <f t="shared" si="454"/>
        <v>1</v>
      </c>
      <c r="Q6536" s="893">
        <f t="shared" si="455"/>
        <v>8</v>
      </c>
      <c r="R6536" s="894">
        <f t="shared" si="456"/>
        <v>0</v>
      </c>
    </row>
    <row r="6537" spans="1:18">
      <c r="A6537" s="905"/>
      <c r="B6537" s="906"/>
      <c r="C6537" s="907">
        <v>44</v>
      </c>
      <c r="D6537" s="907" t="s">
        <v>279</v>
      </c>
      <c r="E6537" s="925" t="s">
        <v>2681</v>
      </c>
      <c r="F6537" s="926" t="s">
        <v>45</v>
      </c>
      <c r="G6537" s="910"/>
      <c r="H6537" s="911">
        <v>0.6</v>
      </c>
      <c r="I6537" s="912">
        <f>VLOOKUP(E6537,[3]VLP!$B$7:$K$300,10,0)</f>
        <v>23000</v>
      </c>
      <c r="J6537" s="912">
        <f t="shared" si="458"/>
        <v>13800</v>
      </c>
      <c r="K6537" s="912" t="s">
        <v>274</v>
      </c>
      <c r="L6537" s="912"/>
      <c r="M6537" s="912"/>
      <c r="N6537" s="912"/>
      <c r="O6537" s="892">
        <f t="shared" si="453"/>
        <v>0</v>
      </c>
      <c r="P6537" s="903">
        <f t="shared" si="454"/>
        <v>1</v>
      </c>
      <c r="Q6537" s="893">
        <f t="shared" si="455"/>
        <v>7</v>
      </c>
      <c r="R6537" s="894">
        <f t="shared" si="456"/>
        <v>0</v>
      </c>
    </row>
    <row r="6538" spans="1:18">
      <c r="A6538" s="905"/>
      <c r="B6538" s="906"/>
      <c r="C6538" s="907">
        <v>66</v>
      </c>
      <c r="D6538" s="907" t="s">
        <v>279</v>
      </c>
      <c r="E6538" s="925" t="s">
        <v>2682</v>
      </c>
      <c r="F6538" s="926" t="s">
        <v>45</v>
      </c>
      <c r="G6538" s="910"/>
      <c r="H6538" s="911">
        <v>0.2</v>
      </c>
      <c r="I6538" s="912">
        <f>VLOOKUP(E6538,[3]VLP!$B$7:$K$300,10,0)</f>
        <v>5000</v>
      </c>
      <c r="J6538" s="912">
        <f t="shared" si="458"/>
        <v>1000</v>
      </c>
      <c r="K6538" s="912" t="s">
        <v>274</v>
      </c>
      <c r="L6538" s="912"/>
      <c r="M6538" s="912"/>
      <c r="N6538" s="912"/>
      <c r="O6538" s="892">
        <f t="shared" si="453"/>
        <v>0</v>
      </c>
      <c r="P6538" s="903">
        <f t="shared" si="454"/>
        <v>1</v>
      </c>
      <c r="Q6538" s="893">
        <f t="shared" si="455"/>
        <v>6</v>
      </c>
      <c r="R6538" s="894">
        <f t="shared" si="456"/>
        <v>0</v>
      </c>
    </row>
    <row r="6539" spans="1:18">
      <c r="A6539" s="905"/>
      <c r="B6539" s="906"/>
      <c r="C6539" s="907">
        <v>65</v>
      </c>
      <c r="D6539" s="907" t="s">
        <v>279</v>
      </c>
      <c r="E6539" s="925" t="s">
        <v>5983</v>
      </c>
      <c r="F6539" s="926" t="s">
        <v>3144</v>
      </c>
      <c r="G6539" s="910"/>
      <c r="H6539" s="911">
        <v>1</v>
      </c>
      <c r="I6539" s="912">
        <f>VLOOKUP(E6539,[3]VLP!$B$7:$K$300,10,0)</f>
        <v>14000</v>
      </c>
      <c r="J6539" s="912">
        <f t="shared" si="458"/>
        <v>14000</v>
      </c>
      <c r="K6539" s="912" t="s">
        <v>274</v>
      </c>
      <c r="L6539" s="912"/>
      <c r="M6539" s="912"/>
      <c r="N6539" s="912"/>
      <c r="O6539" s="892">
        <f t="shared" si="453"/>
        <v>0</v>
      </c>
      <c r="P6539" s="903">
        <f t="shared" si="454"/>
        <v>1</v>
      </c>
      <c r="Q6539" s="893">
        <f t="shared" si="455"/>
        <v>5</v>
      </c>
      <c r="R6539" s="894">
        <f t="shared" si="456"/>
        <v>0</v>
      </c>
    </row>
    <row r="6540" spans="1:18">
      <c r="A6540" s="905"/>
      <c r="B6540" s="906"/>
      <c r="C6540" s="907">
        <v>89</v>
      </c>
      <c r="D6540" s="907" t="s">
        <v>279</v>
      </c>
      <c r="E6540" s="925" t="s">
        <v>5984</v>
      </c>
      <c r="F6540" s="926" t="s">
        <v>45</v>
      </c>
      <c r="G6540" s="910"/>
      <c r="H6540" s="911">
        <v>0.1</v>
      </c>
      <c r="I6540" s="912">
        <f>VLOOKUP(E6540,[3]VLP!$B$7:$K$300,10,0)</f>
        <v>1000</v>
      </c>
      <c r="J6540" s="912">
        <f t="shared" si="458"/>
        <v>100</v>
      </c>
      <c r="K6540" s="912" t="s">
        <v>274</v>
      </c>
      <c r="L6540" s="912"/>
      <c r="M6540" s="912"/>
      <c r="N6540" s="912"/>
      <c r="O6540" s="892">
        <f t="shared" si="453"/>
        <v>0</v>
      </c>
      <c r="P6540" s="903">
        <f t="shared" si="454"/>
        <v>1</v>
      </c>
      <c r="Q6540" s="893">
        <f t="shared" si="455"/>
        <v>4</v>
      </c>
      <c r="R6540" s="894">
        <f t="shared" si="456"/>
        <v>0</v>
      </c>
    </row>
    <row r="6541" spans="1:18">
      <c r="A6541" s="905"/>
      <c r="B6541" s="906"/>
      <c r="C6541" s="907">
        <v>699</v>
      </c>
      <c r="D6541" s="907" t="s">
        <v>279</v>
      </c>
      <c r="E6541" s="925" t="s">
        <v>4006</v>
      </c>
      <c r="F6541" s="926" t="s">
        <v>4007</v>
      </c>
      <c r="G6541" s="910"/>
      <c r="H6541" s="911">
        <v>5</v>
      </c>
      <c r="I6541" s="912">
        <f>VLOOKUP(E6541,[3]VLP!$B$7:$K$300,10,0)</f>
        <v>5000</v>
      </c>
      <c r="J6541" s="912">
        <f t="shared" si="458"/>
        <v>25000</v>
      </c>
      <c r="K6541" s="912" t="s">
        <v>274</v>
      </c>
      <c r="L6541" s="912"/>
      <c r="M6541" s="912"/>
      <c r="N6541" s="912"/>
      <c r="O6541" s="892">
        <f t="shared" si="453"/>
        <v>0</v>
      </c>
      <c r="P6541" s="903">
        <f t="shared" si="454"/>
        <v>1</v>
      </c>
      <c r="Q6541" s="893">
        <f t="shared" si="455"/>
        <v>3</v>
      </c>
      <c r="R6541" s="894">
        <f t="shared" si="456"/>
        <v>0</v>
      </c>
    </row>
    <row r="6542" spans="1:18" s="904" customFormat="1">
      <c r="A6542" s="895"/>
      <c r="B6542" s="896"/>
      <c r="C6542" s="897"/>
      <c r="D6542" s="897"/>
      <c r="E6542" s="924" t="s">
        <v>276</v>
      </c>
      <c r="F6542" s="927"/>
      <c r="G6542" s="928"/>
      <c r="H6542" s="901"/>
      <c r="I6542" s="902"/>
      <c r="J6542" s="902"/>
      <c r="K6542" s="912" t="s">
        <v>274</v>
      </c>
      <c r="L6542" s="902"/>
      <c r="M6542" s="902"/>
      <c r="N6542" s="902"/>
      <c r="O6542" s="892">
        <f t="shared" si="453"/>
        <v>0</v>
      </c>
      <c r="P6542" s="903">
        <f t="shared" si="454"/>
        <v>1</v>
      </c>
      <c r="Q6542" s="893">
        <f t="shared" si="455"/>
        <v>2</v>
      </c>
      <c r="R6542" s="894">
        <f t="shared" si="456"/>
        <v>0</v>
      </c>
    </row>
    <row r="6543" spans="1:18">
      <c r="A6543" s="905"/>
      <c r="B6543" s="906"/>
      <c r="C6543" s="907">
        <v>745</v>
      </c>
      <c r="D6543" s="907" t="s">
        <v>12</v>
      </c>
      <c r="E6543" s="908" t="s">
        <v>5518</v>
      </c>
      <c r="F6543" s="909" t="s">
        <v>2674</v>
      </c>
      <c r="G6543" s="910"/>
      <c r="H6543" s="911">
        <v>3.61</v>
      </c>
      <c r="I6543" s="912"/>
      <c r="J6543" s="912"/>
      <c r="K6543" s="912">
        <f>VLOOKUP(E6543,[5]ĐMNC!$A$7:$F$67,4,0)</f>
        <v>240557</v>
      </c>
      <c r="L6543" s="912">
        <f>H6543*K6543</f>
        <v>868410.77</v>
      </c>
      <c r="M6543" s="912"/>
      <c r="N6543" s="912"/>
      <c r="O6543" s="892">
        <f t="shared" si="453"/>
        <v>0</v>
      </c>
      <c r="P6543" s="903">
        <f t="shared" si="454"/>
        <v>1</v>
      </c>
      <c r="Q6543" s="893">
        <f t="shared" si="455"/>
        <v>1</v>
      </c>
      <c r="R6543" s="894">
        <f t="shared" si="456"/>
        <v>0</v>
      </c>
    </row>
    <row r="6544" spans="1:18" s="847" customFormat="1" ht="35.25" customHeight="1">
      <c r="A6544" s="905"/>
      <c r="B6544" s="914" t="s">
        <v>5987</v>
      </c>
      <c r="C6544" s="915"/>
      <c r="D6544" s="915"/>
      <c r="E6544" s="916" t="s">
        <v>5988</v>
      </c>
      <c r="F6544" s="917" t="s">
        <v>5834</v>
      </c>
      <c r="G6544" s="944"/>
      <c r="H6544" s="919"/>
      <c r="I6544" s="920"/>
      <c r="J6544" s="891">
        <f>SUM(J6545:J6558)</f>
        <v>536907.5</v>
      </c>
      <c r="K6544" s="891" t="s">
        <v>274</v>
      </c>
      <c r="L6544" s="891">
        <f>SUM(L6545:L6558)</f>
        <v>1041611.81</v>
      </c>
      <c r="M6544" s="891"/>
      <c r="N6544" s="891">
        <f>SUM(N6545:N6558)</f>
        <v>0</v>
      </c>
      <c r="O6544" s="892">
        <f t="shared" si="453"/>
        <v>1</v>
      </c>
      <c r="P6544" s="903">
        <f t="shared" si="454"/>
        <v>0</v>
      </c>
      <c r="Q6544" s="893">
        <f t="shared" si="455"/>
        <v>0</v>
      </c>
      <c r="R6544" s="894">
        <f t="shared" si="456"/>
        <v>14</v>
      </c>
    </row>
    <row r="6545" spans="1:18" s="904" customFormat="1">
      <c r="A6545" s="895"/>
      <c r="B6545" s="896"/>
      <c r="C6545" s="897"/>
      <c r="D6545" s="897"/>
      <c r="E6545" s="898" t="s">
        <v>108</v>
      </c>
      <c r="F6545" s="899"/>
      <c r="G6545" s="928"/>
      <c r="H6545" s="901"/>
      <c r="I6545" s="902"/>
      <c r="J6545" s="902"/>
      <c r="K6545" s="912" t="s">
        <v>274</v>
      </c>
      <c r="L6545" s="902"/>
      <c r="M6545" s="902"/>
      <c r="N6545" s="902"/>
      <c r="O6545" s="892">
        <f t="shared" si="453"/>
        <v>0</v>
      </c>
      <c r="P6545" s="903">
        <f t="shared" si="454"/>
        <v>1</v>
      </c>
      <c r="Q6545" s="893">
        <f t="shared" si="455"/>
        <v>14</v>
      </c>
      <c r="R6545" s="894">
        <f t="shared" si="456"/>
        <v>0</v>
      </c>
    </row>
    <row r="6546" spans="1:18">
      <c r="A6546" s="905"/>
      <c r="B6546" s="906"/>
      <c r="C6546" s="907">
        <v>103</v>
      </c>
      <c r="D6546" s="907" t="s">
        <v>279</v>
      </c>
      <c r="E6546" s="925" t="s">
        <v>5842</v>
      </c>
      <c r="F6546" s="909" t="s">
        <v>51</v>
      </c>
      <c r="G6546" s="910"/>
      <c r="H6546" s="911">
        <v>1</v>
      </c>
      <c r="I6546" s="912">
        <f>VLOOKUP(E6546,[3]VLP!$B$7:$K$300,10,0)</f>
        <v>13520</v>
      </c>
      <c r="J6546" s="912">
        <f t="shared" ref="J6546:J6556" si="459">I6546*H6546</f>
        <v>13520</v>
      </c>
      <c r="K6546" s="912" t="s">
        <v>274</v>
      </c>
      <c r="L6546" s="912"/>
      <c r="M6546" s="912"/>
      <c r="N6546" s="912"/>
      <c r="O6546" s="892">
        <f t="shared" si="453"/>
        <v>0</v>
      </c>
      <c r="P6546" s="903">
        <f t="shared" si="454"/>
        <v>1</v>
      </c>
      <c r="Q6546" s="893">
        <f t="shared" si="455"/>
        <v>13</v>
      </c>
      <c r="R6546" s="894">
        <f t="shared" si="456"/>
        <v>0</v>
      </c>
    </row>
    <row r="6547" spans="1:18">
      <c r="A6547" s="905"/>
      <c r="B6547" s="906"/>
      <c r="C6547" s="907">
        <v>49</v>
      </c>
      <c r="D6547" s="907" t="s">
        <v>279</v>
      </c>
      <c r="E6547" s="925" t="s">
        <v>5698</v>
      </c>
      <c r="F6547" s="909" t="s">
        <v>139</v>
      </c>
      <c r="G6547" s="910"/>
      <c r="H6547" s="911">
        <v>2</v>
      </c>
      <c r="I6547" s="912">
        <f>VLOOKUP(E6547,[3]VLP!$B$7:$K$300,10,0)</f>
        <v>3000</v>
      </c>
      <c r="J6547" s="912">
        <f t="shared" si="459"/>
        <v>6000</v>
      </c>
      <c r="K6547" s="912" t="s">
        <v>274</v>
      </c>
      <c r="L6547" s="912"/>
      <c r="M6547" s="912"/>
      <c r="N6547" s="912"/>
      <c r="O6547" s="892">
        <f t="shared" si="453"/>
        <v>0</v>
      </c>
      <c r="P6547" s="903">
        <f t="shared" si="454"/>
        <v>1</v>
      </c>
      <c r="Q6547" s="893">
        <f t="shared" si="455"/>
        <v>12</v>
      </c>
      <c r="R6547" s="894">
        <f t="shared" si="456"/>
        <v>0</v>
      </c>
    </row>
    <row r="6548" spans="1:18">
      <c r="A6548" s="905"/>
      <c r="B6548" s="906"/>
      <c r="C6548" s="907">
        <v>50</v>
      </c>
      <c r="D6548" s="907" t="s">
        <v>279</v>
      </c>
      <c r="E6548" s="925" t="s">
        <v>5836</v>
      </c>
      <c r="F6548" s="909" t="s">
        <v>49</v>
      </c>
      <c r="G6548" s="910"/>
      <c r="H6548" s="911">
        <v>4</v>
      </c>
      <c r="I6548" s="912">
        <f>VLOOKUP(E6548,[3]VLP!$B$7:$K$300,10,0)</f>
        <v>85790</v>
      </c>
      <c r="J6548" s="912">
        <f t="shared" si="459"/>
        <v>343160</v>
      </c>
      <c r="K6548" s="912" t="s">
        <v>274</v>
      </c>
      <c r="L6548" s="912"/>
      <c r="M6548" s="912"/>
      <c r="N6548" s="912"/>
      <c r="O6548" s="892">
        <f t="shared" si="453"/>
        <v>0</v>
      </c>
      <c r="P6548" s="903">
        <f t="shared" si="454"/>
        <v>1</v>
      </c>
      <c r="Q6548" s="893">
        <f t="shared" si="455"/>
        <v>11</v>
      </c>
      <c r="R6548" s="894">
        <f t="shared" si="456"/>
        <v>0</v>
      </c>
    </row>
    <row r="6549" spans="1:18">
      <c r="A6549" s="905"/>
      <c r="B6549" s="906"/>
      <c r="C6549" s="907">
        <v>46</v>
      </c>
      <c r="D6549" s="907" t="s">
        <v>279</v>
      </c>
      <c r="E6549" s="925" t="s">
        <v>3179</v>
      </c>
      <c r="F6549" s="909" t="s">
        <v>45</v>
      </c>
      <c r="G6549" s="910"/>
      <c r="H6549" s="911">
        <v>5</v>
      </c>
      <c r="I6549" s="912">
        <f>VLOOKUP(E6549,[3]VLP!$B$7:$K$300,10,0)</f>
        <v>20500</v>
      </c>
      <c r="J6549" s="912">
        <f t="shared" si="459"/>
        <v>102500</v>
      </c>
      <c r="K6549" s="912" t="s">
        <v>274</v>
      </c>
      <c r="L6549" s="912"/>
      <c r="M6549" s="912"/>
      <c r="N6549" s="912"/>
      <c r="O6549" s="892">
        <f t="shared" si="453"/>
        <v>0</v>
      </c>
      <c r="P6549" s="903">
        <f t="shared" si="454"/>
        <v>1</v>
      </c>
      <c r="Q6549" s="893">
        <f t="shared" si="455"/>
        <v>10</v>
      </c>
      <c r="R6549" s="894">
        <f t="shared" si="456"/>
        <v>0</v>
      </c>
    </row>
    <row r="6550" spans="1:18">
      <c r="A6550" s="905"/>
      <c r="B6550" s="906"/>
      <c r="C6550" s="907">
        <v>25</v>
      </c>
      <c r="D6550" s="907" t="s">
        <v>279</v>
      </c>
      <c r="E6550" s="925" t="s">
        <v>5656</v>
      </c>
      <c r="F6550" s="926" t="s">
        <v>2690</v>
      </c>
      <c r="G6550" s="910"/>
      <c r="H6550" s="911">
        <v>1</v>
      </c>
      <c r="I6550" s="912">
        <f>VLOOKUP(E6550,[3]VLP!$B$7:$K$300,10,0)</f>
        <v>5000</v>
      </c>
      <c r="J6550" s="912">
        <f t="shared" si="459"/>
        <v>5000</v>
      </c>
      <c r="K6550" s="912" t="s">
        <v>274</v>
      </c>
      <c r="L6550" s="912"/>
      <c r="M6550" s="912"/>
      <c r="N6550" s="912"/>
      <c r="O6550" s="892">
        <f t="shared" si="453"/>
        <v>0</v>
      </c>
      <c r="P6550" s="903">
        <f t="shared" si="454"/>
        <v>1</v>
      </c>
      <c r="Q6550" s="893">
        <f t="shared" si="455"/>
        <v>9</v>
      </c>
      <c r="R6550" s="894">
        <f t="shared" si="456"/>
        <v>0</v>
      </c>
    </row>
    <row r="6551" spans="1:18">
      <c r="A6551" s="905"/>
      <c r="B6551" s="906"/>
      <c r="C6551" s="907">
        <v>127</v>
      </c>
      <c r="D6551" s="907" t="s">
        <v>279</v>
      </c>
      <c r="E6551" s="925" t="s">
        <v>5657</v>
      </c>
      <c r="F6551" s="909" t="s">
        <v>45</v>
      </c>
      <c r="G6551" s="910"/>
      <c r="H6551" s="911">
        <v>0.5</v>
      </c>
      <c r="I6551" s="912">
        <f>VLOOKUP(E6551,[3]VLP!$B$7:$K$300,10,0)</f>
        <v>25155</v>
      </c>
      <c r="J6551" s="912">
        <f t="shared" si="459"/>
        <v>12577.5</v>
      </c>
      <c r="K6551" s="912" t="s">
        <v>274</v>
      </c>
      <c r="L6551" s="912"/>
      <c r="M6551" s="912"/>
      <c r="N6551" s="912"/>
      <c r="O6551" s="892">
        <f t="shared" si="453"/>
        <v>0</v>
      </c>
      <c r="P6551" s="903">
        <f t="shared" si="454"/>
        <v>1</v>
      </c>
      <c r="Q6551" s="893">
        <f t="shared" si="455"/>
        <v>8</v>
      </c>
      <c r="R6551" s="894">
        <f t="shared" si="456"/>
        <v>0</v>
      </c>
    </row>
    <row r="6552" spans="1:18">
      <c r="A6552" s="905"/>
      <c r="B6552" s="906"/>
      <c r="C6552" s="907">
        <v>44</v>
      </c>
      <c r="D6552" s="907" t="s">
        <v>279</v>
      </c>
      <c r="E6552" s="925" t="s">
        <v>2681</v>
      </c>
      <c r="F6552" s="926" t="s">
        <v>45</v>
      </c>
      <c r="G6552" s="910"/>
      <c r="H6552" s="911">
        <v>0.6</v>
      </c>
      <c r="I6552" s="912">
        <f>VLOOKUP(E6552,[3]VLP!$B$7:$K$300,10,0)</f>
        <v>23000</v>
      </c>
      <c r="J6552" s="912">
        <f t="shared" si="459"/>
        <v>13800</v>
      </c>
      <c r="K6552" s="912" t="s">
        <v>274</v>
      </c>
      <c r="L6552" s="912"/>
      <c r="M6552" s="912"/>
      <c r="N6552" s="912"/>
      <c r="O6552" s="892">
        <f t="shared" si="453"/>
        <v>0</v>
      </c>
      <c r="P6552" s="903">
        <f t="shared" si="454"/>
        <v>1</v>
      </c>
      <c r="Q6552" s="893">
        <f t="shared" si="455"/>
        <v>7</v>
      </c>
      <c r="R6552" s="894">
        <f t="shared" si="456"/>
        <v>0</v>
      </c>
    </row>
    <row r="6553" spans="1:18">
      <c r="A6553" s="905"/>
      <c r="B6553" s="906"/>
      <c r="C6553" s="907">
        <v>66</v>
      </c>
      <c r="D6553" s="907" t="s">
        <v>279</v>
      </c>
      <c r="E6553" s="925" t="s">
        <v>2682</v>
      </c>
      <c r="F6553" s="926" t="s">
        <v>45</v>
      </c>
      <c r="G6553" s="910"/>
      <c r="H6553" s="911">
        <v>0.25</v>
      </c>
      <c r="I6553" s="912">
        <f>VLOOKUP(E6553,[3]VLP!$B$7:$K$300,10,0)</f>
        <v>5000</v>
      </c>
      <c r="J6553" s="912">
        <f t="shared" si="459"/>
        <v>1250</v>
      </c>
      <c r="K6553" s="912" t="s">
        <v>274</v>
      </c>
      <c r="L6553" s="912"/>
      <c r="M6553" s="912"/>
      <c r="N6553" s="912"/>
      <c r="O6553" s="892">
        <f t="shared" si="453"/>
        <v>0</v>
      </c>
      <c r="P6553" s="903">
        <f t="shared" si="454"/>
        <v>1</v>
      </c>
      <c r="Q6553" s="893">
        <f t="shared" si="455"/>
        <v>6</v>
      </c>
      <c r="R6553" s="894">
        <f t="shared" si="456"/>
        <v>0</v>
      </c>
    </row>
    <row r="6554" spans="1:18">
      <c r="A6554" s="905"/>
      <c r="B6554" s="906"/>
      <c r="C6554" s="907">
        <v>65</v>
      </c>
      <c r="D6554" s="907" t="s">
        <v>279</v>
      </c>
      <c r="E6554" s="925" t="s">
        <v>5983</v>
      </c>
      <c r="F6554" s="926" t="s">
        <v>3144</v>
      </c>
      <c r="G6554" s="910"/>
      <c r="H6554" s="911">
        <v>1</v>
      </c>
      <c r="I6554" s="912">
        <f>VLOOKUP(E6554,[3]VLP!$B$7:$K$300,10,0)</f>
        <v>14000</v>
      </c>
      <c r="J6554" s="912">
        <f t="shared" si="459"/>
        <v>14000</v>
      </c>
      <c r="K6554" s="912" t="s">
        <v>274</v>
      </c>
      <c r="L6554" s="912"/>
      <c r="M6554" s="912"/>
      <c r="N6554" s="912"/>
      <c r="O6554" s="892">
        <f t="shared" si="453"/>
        <v>0</v>
      </c>
      <c r="P6554" s="903">
        <f t="shared" si="454"/>
        <v>1</v>
      </c>
      <c r="Q6554" s="893">
        <f t="shared" si="455"/>
        <v>5</v>
      </c>
      <c r="R6554" s="894">
        <f t="shared" si="456"/>
        <v>0</v>
      </c>
    </row>
    <row r="6555" spans="1:18">
      <c r="A6555" s="905"/>
      <c r="B6555" s="906"/>
      <c r="C6555" s="907">
        <v>89</v>
      </c>
      <c r="D6555" s="907" t="s">
        <v>279</v>
      </c>
      <c r="E6555" s="925" t="s">
        <v>5984</v>
      </c>
      <c r="F6555" s="926" t="s">
        <v>45</v>
      </c>
      <c r="G6555" s="910"/>
      <c r="H6555" s="911">
        <v>0.1</v>
      </c>
      <c r="I6555" s="912">
        <f>VLOOKUP(E6555,[3]VLP!$B$7:$K$300,10,0)</f>
        <v>1000</v>
      </c>
      <c r="J6555" s="912">
        <f t="shared" si="459"/>
        <v>100</v>
      </c>
      <c r="K6555" s="912" t="s">
        <v>274</v>
      </c>
      <c r="L6555" s="912"/>
      <c r="M6555" s="912"/>
      <c r="N6555" s="912"/>
      <c r="O6555" s="892">
        <f t="shared" si="453"/>
        <v>0</v>
      </c>
      <c r="P6555" s="903">
        <f t="shared" si="454"/>
        <v>1</v>
      </c>
      <c r="Q6555" s="893">
        <f t="shared" si="455"/>
        <v>4</v>
      </c>
      <c r="R6555" s="894">
        <f t="shared" si="456"/>
        <v>0</v>
      </c>
    </row>
    <row r="6556" spans="1:18">
      <c r="A6556" s="905"/>
      <c r="B6556" s="906"/>
      <c r="C6556" s="907">
        <v>699</v>
      </c>
      <c r="D6556" s="907" t="s">
        <v>279</v>
      </c>
      <c r="E6556" s="925" t="s">
        <v>4006</v>
      </c>
      <c r="F6556" s="926" t="s">
        <v>4007</v>
      </c>
      <c r="G6556" s="910"/>
      <c r="H6556" s="911">
        <v>5</v>
      </c>
      <c r="I6556" s="912">
        <f>VLOOKUP(E6556,[3]VLP!$B$7:$K$300,10,0)</f>
        <v>5000</v>
      </c>
      <c r="J6556" s="912">
        <f t="shared" si="459"/>
        <v>25000</v>
      </c>
      <c r="K6556" s="912" t="s">
        <v>274</v>
      </c>
      <c r="L6556" s="912"/>
      <c r="M6556" s="912"/>
      <c r="N6556" s="912"/>
      <c r="O6556" s="892">
        <f t="shared" si="453"/>
        <v>0</v>
      </c>
      <c r="P6556" s="903">
        <f t="shared" si="454"/>
        <v>1</v>
      </c>
      <c r="Q6556" s="893">
        <f t="shared" si="455"/>
        <v>3</v>
      </c>
      <c r="R6556" s="894">
        <f t="shared" si="456"/>
        <v>0</v>
      </c>
    </row>
    <row r="6557" spans="1:18" s="904" customFormat="1">
      <c r="A6557" s="895"/>
      <c r="B6557" s="896"/>
      <c r="C6557" s="897"/>
      <c r="D6557" s="897"/>
      <c r="E6557" s="924" t="s">
        <v>276</v>
      </c>
      <c r="F6557" s="927"/>
      <c r="G6557" s="928"/>
      <c r="H6557" s="901"/>
      <c r="I6557" s="902"/>
      <c r="J6557" s="902"/>
      <c r="K6557" s="912" t="s">
        <v>274</v>
      </c>
      <c r="L6557" s="902"/>
      <c r="M6557" s="902"/>
      <c r="N6557" s="902"/>
      <c r="O6557" s="892">
        <f t="shared" si="453"/>
        <v>0</v>
      </c>
      <c r="P6557" s="903">
        <f t="shared" si="454"/>
        <v>1</v>
      </c>
      <c r="Q6557" s="893">
        <f t="shared" si="455"/>
        <v>2</v>
      </c>
      <c r="R6557" s="894">
        <f t="shared" si="456"/>
        <v>0</v>
      </c>
    </row>
    <row r="6558" spans="1:18">
      <c r="A6558" s="905"/>
      <c r="B6558" s="906"/>
      <c r="C6558" s="907">
        <v>745</v>
      </c>
      <c r="D6558" s="907" t="s">
        <v>12</v>
      </c>
      <c r="E6558" s="908" t="s">
        <v>5518</v>
      </c>
      <c r="F6558" s="909" t="s">
        <v>2674</v>
      </c>
      <c r="G6558" s="910"/>
      <c r="H6558" s="911">
        <v>4.33</v>
      </c>
      <c r="I6558" s="912"/>
      <c r="J6558" s="912"/>
      <c r="K6558" s="912">
        <f>VLOOKUP(E6558,[5]ĐMNC!$A$7:$F$67,4,0)</f>
        <v>240557</v>
      </c>
      <c r="L6558" s="912">
        <f>H6558*K6558</f>
        <v>1041611.81</v>
      </c>
      <c r="M6558" s="912"/>
      <c r="N6558" s="912"/>
      <c r="O6558" s="892">
        <f t="shared" si="453"/>
        <v>0</v>
      </c>
      <c r="P6558" s="903">
        <f t="shared" si="454"/>
        <v>1</v>
      </c>
      <c r="Q6558" s="893">
        <f t="shared" si="455"/>
        <v>1</v>
      </c>
      <c r="R6558" s="894">
        <f t="shared" si="456"/>
        <v>0</v>
      </c>
    </row>
    <row r="6559" spans="1:18" s="847" customFormat="1" ht="35.25" customHeight="1">
      <c r="A6559" s="905"/>
      <c r="B6559" s="914" t="s">
        <v>5989</v>
      </c>
      <c r="C6559" s="915"/>
      <c r="D6559" s="915"/>
      <c r="E6559" s="916" t="s">
        <v>5990</v>
      </c>
      <c r="F6559" s="917" t="s">
        <v>5834</v>
      </c>
      <c r="G6559" s="944"/>
      <c r="H6559" s="919"/>
      <c r="I6559" s="920"/>
      <c r="J6559" s="891">
        <f>SUM(J6560:J6573)</f>
        <v>569477.5</v>
      </c>
      <c r="K6559" s="891" t="s">
        <v>274</v>
      </c>
      <c r="L6559" s="891">
        <f>SUM(L6560:L6573)</f>
        <v>1197973.8600000001</v>
      </c>
      <c r="M6559" s="891"/>
      <c r="N6559" s="891">
        <f>SUM(N6560:N6573)</f>
        <v>0</v>
      </c>
      <c r="O6559" s="892">
        <f t="shared" ref="O6559:O6622" si="460">IF(AND(B6559&lt;&gt;"",D6559=""),1,0)</f>
        <v>1</v>
      </c>
      <c r="P6559" s="903">
        <f t="shared" si="454"/>
        <v>0</v>
      </c>
      <c r="Q6559" s="893">
        <f t="shared" si="455"/>
        <v>0</v>
      </c>
      <c r="R6559" s="894">
        <f t="shared" si="456"/>
        <v>14</v>
      </c>
    </row>
    <row r="6560" spans="1:18" s="904" customFormat="1">
      <c r="A6560" s="895"/>
      <c r="B6560" s="896"/>
      <c r="C6560" s="897"/>
      <c r="D6560" s="897"/>
      <c r="E6560" s="898" t="s">
        <v>108</v>
      </c>
      <c r="F6560" s="899"/>
      <c r="G6560" s="928"/>
      <c r="H6560" s="901"/>
      <c r="I6560" s="902"/>
      <c r="J6560" s="902"/>
      <c r="K6560" s="912" t="s">
        <v>274</v>
      </c>
      <c r="L6560" s="902"/>
      <c r="M6560" s="902"/>
      <c r="N6560" s="902"/>
      <c r="O6560" s="892">
        <f t="shared" si="460"/>
        <v>0</v>
      </c>
      <c r="P6560" s="903">
        <f t="shared" si="454"/>
        <v>1</v>
      </c>
      <c r="Q6560" s="893">
        <f t="shared" si="455"/>
        <v>14</v>
      </c>
      <c r="R6560" s="894">
        <f t="shared" si="456"/>
        <v>0</v>
      </c>
    </row>
    <row r="6561" spans="1:18">
      <c r="A6561" s="905"/>
      <c r="B6561" s="906"/>
      <c r="C6561" s="907">
        <v>104</v>
      </c>
      <c r="D6561" s="907" t="s">
        <v>279</v>
      </c>
      <c r="E6561" s="925" t="s">
        <v>5845</v>
      </c>
      <c r="F6561" s="909" t="s">
        <v>51</v>
      </c>
      <c r="G6561" s="910"/>
      <c r="H6561" s="911">
        <v>1</v>
      </c>
      <c r="I6561" s="912">
        <f>VLOOKUP(E6561,[3]VLP!$B$7:$K$300,10,0)</f>
        <v>20280</v>
      </c>
      <c r="J6561" s="912">
        <f t="shared" ref="J6561:J6571" si="461">I6561*H6561</f>
        <v>20280</v>
      </c>
      <c r="K6561" s="912" t="s">
        <v>274</v>
      </c>
      <c r="L6561" s="912"/>
      <c r="M6561" s="912"/>
      <c r="N6561" s="912"/>
      <c r="O6561" s="892">
        <f t="shared" si="460"/>
        <v>0</v>
      </c>
      <c r="P6561" s="903">
        <f t="shared" si="454"/>
        <v>1</v>
      </c>
      <c r="Q6561" s="893">
        <f t="shared" si="455"/>
        <v>13</v>
      </c>
      <c r="R6561" s="894">
        <f t="shared" si="456"/>
        <v>0</v>
      </c>
    </row>
    <row r="6562" spans="1:18">
      <c r="A6562" s="905"/>
      <c r="B6562" s="906"/>
      <c r="C6562" s="907">
        <v>49</v>
      </c>
      <c r="D6562" s="907" t="s">
        <v>279</v>
      </c>
      <c r="E6562" s="925" t="s">
        <v>5698</v>
      </c>
      <c r="F6562" s="909" t="s">
        <v>139</v>
      </c>
      <c r="G6562" s="910"/>
      <c r="H6562" s="911">
        <v>2</v>
      </c>
      <c r="I6562" s="912">
        <f>VLOOKUP(E6562,[3]VLP!$B$7:$K$300,10,0)</f>
        <v>3000</v>
      </c>
      <c r="J6562" s="912">
        <f t="shared" si="461"/>
        <v>6000</v>
      </c>
      <c r="K6562" s="912" t="s">
        <v>274</v>
      </c>
      <c r="L6562" s="912"/>
      <c r="M6562" s="912"/>
      <c r="N6562" s="912"/>
      <c r="O6562" s="892">
        <f t="shared" si="460"/>
        <v>0</v>
      </c>
      <c r="P6562" s="903">
        <f t="shared" si="454"/>
        <v>1</v>
      </c>
      <c r="Q6562" s="893">
        <f t="shared" si="455"/>
        <v>12</v>
      </c>
      <c r="R6562" s="894">
        <f t="shared" si="456"/>
        <v>0</v>
      </c>
    </row>
    <row r="6563" spans="1:18">
      <c r="A6563" s="905"/>
      <c r="B6563" s="906"/>
      <c r="C6563" s="907">
        <v>50</v>
      </c>
      <c r="D6563" s="907" t="s">
        <v>279</v>
      </c>
      <c r="E6563" s="925" t="s">
        <v>5836</v>
      </c>
      <c r="F6563" s="909" t="s">
        <v>49</v>
      </c>
      <c r="G6563" s="910"/>
      <c r="H6563" s="911">
        <v>4</v>
      </c>
      <c r="I6563" s="912">
        <f>VLOOKUP(E6563,[3]VLP!$B$7:$K$300,10,0)</f>
        <v>85790</v>
      </c>
      <c r="J6563" s="912">
        <f t="shared" si="461"/>
        <v>343160</v>
      </c>
      <c r="K6563" s="912" t="s">
        <v>274</v>
      </c>
      <c r="L6563" s="912"/>
      <c r="M6563" s="912"/>
      <c r="N6563" s="912"/>
      <c r="O6563" s="892">
        <f t="shared" si="460"/>
        <v>0</v>
      </c>
      <c r="P6563" s="903">
        <f t="shared" si="454"/>
        <v>1</v>
      </c>
      <c r="Q6563" s="893">
        <f t="shared" si="455"/>
        <v>11</v>
      </c>
      <c r="R6563" s="894">
        <f t="shared" si="456"/>
        <v>0</v>
      </c>
    </row>
    <row r="6564" spans="1:18">
      <c r="A6564" s="905"/>
      <c r="B6564" s="906"/>
      <c r="C6564" s="907">
        <v>46</v>
      </c>
      <c r="D6564" s="907" t="s">
        <v>279</v>
      </c>
      <c r="E6564" s="925" t="s">
        <v>3179</v>
      </c>
      <c r="F6564" s="909" t="s">
        <v>45</v>
      </c>
      <c r="G6564" s="910"/>
      <c r="H6564" s="911">
        <v>6</v>
      </c>
      <c r="I6564" s="912">
        <f>VLOOKUP(E6564,[3]VLP!$B$7:$K$300,10,0)</f>
        <v>20500</v>
      </c>
      <c r="J6564" s="912">
        <f t="shared" si="461"/>
        <v>123000</v>
      </c>
      <c r="K6564" s="912" t="s">
        <v>274</v>
      </c>
      <c r="L6564" s="912"/>
      <c r="M6564" s="912"/>
      <c r="N6564" s="912"/>
      <c r="O6564" s="892">
        <f t="shared" si="460"/>
        <v>0</v>
      </c>
      <c r="P6564" s="903">
        <f t="shared" si="454"/>
        <v>1</v>
      </c>
      <c r="Q6564" s="893">
        <f t="shared" si="455"/>
        <v>10</v>
      </c>
      <c r="R6564" s="894">
        <f t="shared" si="456"/>
        <v>0</v>
      </c>
    </row>
    <row r="6565" spans="1:18">
      <c r="A6565" s="905"/>
      <c r="B6565" s="906"/>
      <c r="C6565" s="907">
        <v>25</v>
      </c>
      <c r="D6565" s="907" t="s">
        <v>279</v>
      </c>
      <c r="E6565" s="925" t="s">
        <v>5656</v>
      </c>
      <c r="F6565" s="926" t="s">
        <v>2690</v>
      </c>
      <c r="G6565" s="910"/>
      <c r="H6565" s="911">
        <v>1.5</v>
      </c>
      <c r="I6565" s="912">
        <f>VLOOKUP(E6565,[3]VLP!$B$7:$K$300,10,0)</f>
        <v>5000</v>
      </c>
      <c r="J6565" s="912">
        <f t="shared" si="461"/>
        <v>7500</v>
      </c>
      <c r="K6565" s="912" t="s">
        <v>274</v>
      </c>
      <c r="L6565" s="912"/>
      <c r="M6565" s="912"/>
      <c r="N6565" s="912"/>
      <c r="O6565" s="892">
        <f t="shared" si="460"/>
        <v>0</v>
      </c>
      <c r="P6565" s="903">
        <f t="shared" si="454"/>
        <v>1</v>
      </c>
      <c r="Q6565" s="893">
        <f t="shared" si="455"/>
        <v>9</v>
      </c>
      <c r="R6565" s="894">
        <f t="shared" si="456"/>
        <v>0</v>
      </c>
    </row>
    <row r="6566" spans="1:18">
      <c r="A6566" s="905"/>
      <c r="B6566" s="906"/>
      <c r="C6566" s="907">
        <v>127</v>
      </c>
      <c r="D6566" s="907" t="s">
        <v>279</v>
      </c>
      <c r="E6566" s="925" t="s">
        <v>5657</v>
      </c>
      <c r="F6566" s="909" t="s">
        <v>45</v>
      </c>
      <c r="G6566" s="910"/>
      <c r="H6566" s="911">
        <v>0.5</v>
      </c>
      <c r="I6566" s="912">
        <f>VLOOKUP(E6566,[3]VLP!$B$7:$K$300,10,0)</f>
        <v>25155</v>
      </c>
      <c r="J6566" s="912">
        <f t="shared" si="461"/>
        <v>12577.5</v>
      </c>
      <c r="K6566" s="912" t="s">
        <v>274</v>
      </c>
      <c r="L6566" s="912"/>
      <c r="M6566" s="912"/>
      <c r="N6566" s="912"/>
      <c r="O6566" s="892">
        <f t="shared" si="460"/>
        <v>0</v>
      </c>
      <c r="P6566" s="903">
        <f t="shared" si="454"/>
        <v>1</v>
      </c>
      <c r="Q6566" s="893">
        <f t="shared" si="455"/>
        <v>8</v>
      </c>
      <c r="R6566" s="894">
        <f t="shared" si="456"/>
        <v>0</v>
      </c>
    </row>
    <row r="6567" spans="1:18">
      <c r="A6567" s="905"/>
      <c r="B6567" s="906"/>
      <c r="C6567" s="907">
        <v>44</v>
      </c>
      <c r="D6567" s="907" t="s">
        <v>279</v>
      </c>
      <c r="E6567" s="925" t="s">
        <v>2681</v>
      </c>
      <c r="F6567" s="926" t="s">
        <v>45</v>
      </c>
      <c r="G6567" s="910"/>
      <c r="H6567" s="911">
        <v>0.72</v>
      </c>
      <c r="I6567" s="912">
        <f>VLOOKUP(E6567,[3]VLP!$B$7:$K$300,10,0)</f>
        <v>23000</v>
      </c>
      <c r="J6567" s="912">
        <f t="shared" si="461"/>
        <v>16560</v>
      </c>
      <c r="K6567" s="912" t="s">
        <v>274</v>
      </c>
      <c r="L6567" s="912"/>
      <c r="M6567" s="912"/>
      <c r="N6567" s="912"/>
      <c r="O6567" s="892">
        <f t="shared" si="460"/>
        <v>0</v>
      </c>
      <c r="P6567" s="903">
        <f t="shared" si="454"/>
        <v>1</v>
      </c>
      <c r="Q6567" s="893">
        <f t="shared" si="455"/>
        <v>7</v>
      </c>
      <c r="R6567" s="894">
        <f t="shared" si="456"/>
        <v>0</v>
      </c>
    </row>
    <row r="6568" spans="1:18">
      <c r="A6568" s="905"/>
      <c r="B6568" s="906"/>
      <c r="C6568" s="907">
        <v>66</v>
      </c>
      <c r="D6568" s="907" t="s">
        <v>279</v>
      </c>
      <c r="E6568" s="925" t="s">
        <v>2682</v>
      </c>
      <c r="F6568" s="926" t="s">
        <v>45</v>
      </c>
      <c r="G6568" s="910"/>
      <c r="H6568" s="911">
        <v>0.25</v>
      </c>
      <c r="I6568" s="912">
        <f>VLOOKUP(E6568,[3]VLP!$B$7:$K$300,10,0)</f>
        <v>5000</v>
      </c>
      <c r="J6568" s="912">
        <f t="shared" si="461"/>
        <v>1250</v>
      </c>
      <c r="K6568" s="912" t="s">
        <v>274</v>
      </c>
      <c r="L6568" s="912"/>
      <c r="M6568" s="912"/>
      <c r="N6568" s="912"/>
      <c r="O6568" s="892">
        <f t="shared" si="460"/>
        <v>0</v>
      </c>
      <c r="P6568" s="903">
        <f t="shared" ref="P6568:P6631" si="462">IF(O6568=0,1,0)</f>
        <v>1</v>
      </c>
      <c r="Q6568" s="893">
        <f t="shared" ref="Q6568:Q6631" si="463">IF(P6568=0,0,P6568+Q6569)</f>
        <v>6</v>
      </c>
      <c r="R6568" s="894">
        <f t="shared" ref="R6568:R6631" si="464">IF(Q6568=0,Q6569,0)</f>
        <v>0</v>
      </c>
    </row>
    <row r="6569" spans="1:18">
      <c r="A6569" s="905"/>
      <c r="B6569" s="906"/>
      <c r="C6569" s="907">
        <v>65</v>
      </c>
      <c r="D6569" s="907" t="s">
        <v>279</v>
      </c>
      <c r="E6569" s="925" t="s">
        <v>5983</v>
      </c>
      <c r="F6569" s="926" t="s">
        <v>3144</v>
      </c>
      <c r="G6569" s="910"/>
      <c r="H6569" s="911">
        <v>1</v>
      </c>
      <c r="I6569" s="912">
        <f>VLOOKUP(E6569,[3]VLP!$B$7:$K$300,10,0)</f>
        <v>14000</v>
      </c>
      <c r="J6569" s="912">
        <f t="shared" si="461"/>
        <v>14000</v>
      </c>
      <c r="K6569" s="912" t="s">
        <v>274</v>
      </c>
      <c r="L6569" s="912"/>
      <c r="M6569" s="912"/>
      <c r="N6569" s="912"/>
      <c r="O6569" s="892">
        <f t="shared" si="460"/>
        <v>0</v>
      </c>
      <c r="P6569" s="903">
        <f t="shared" si="462"/>
        <v>1</v>
      </c>
      <c r="Q6569" s="893">
        <f t="shared" si="463"/>
        <v>5</v>
      </c>
      <c r="R6569" s="894">
        <f t="shared" si="464"/>
        <v>0</v>
      </c>
    </row>
    <row r="6570" spans="1:18">
      <c r="A6570" s="905"/>
      <c r="B6570" s="906"/>
      <c r="C6570" s="907">
        <v>89</v>
      </c>
      <c r="D6570" s="907" t="s">
        <v>279</v>
      </c>
      <c r="E6570" s="925" t="s">
        <v>5984</v>
      </c>
      <c r="F6570" s="926" t="s">
        <v>45</v>
      </c>
      <c r="G6570" s="910"/>
      <c r="H6570" s="911">
        <v>0.15</v>
      </c>
      <c r="I6570" s="912">
        <f>VLOOKUP(E6570,[3]VLP!$B$7:$K$300,10,0)</f>
        <v>1000</v>
      </c>
      <c r="J6570" s="912">
        <f t="shared" si="461"/>
        <v>150</v>
      </c>
      <c r="K6570" s="912" t="s">
        <v>274</v>
      </c>
      <c r="L6570" s="912"/>
      <c r="M6570" s="912"/>
      <c r="N6570" s="912"/>
      <c r="O6570" s="892">
        <f t="shared" si="460"/>
        <v>0</v>
      </c>
      <c r="P6570" s="903">
        <f t="shared" si="462"/>
        <v>1</v>
      </c>
      <c r="Q6570" s="893">
        <f t="shared" si="463"/>
        <v>4</v>
      </c>
      <c r="R6570" s="894">
        <f t="shared" si="464"/>
        <v>0</v>
      </c>
    </row>
    <row r="6571" spans="1:18">
      <c r="A6571" s="905"/>
      <c r="B6571" s="906"/>
      <c r="C6571" s="907">
        <v>699</v>
      </c>
      <c r="D6571" s="907" t="s">
        <v>279</v>
      </c>
      <c r="E6571" s="925" t="s">
        <v>4006</v>
      </c>
      <c r="F6571" s="926" t="s">
        <v>4007</v>
      </c>
      <c r="G6571" s="910"/>
      <c r="H6571" s="911">
        <v>5</v>
      </c>
      <c r="I6571" s="912">
        <f>VLOOKUP(E6571,[3]VLP!$B$7:$K$300,10,0)</f>
        <v>5000</v>
      </c>
      <c r="J6571" s="912">
        <f t="shared" si="461"/>
        <v>25000</v>
      </c>
      <c r="K6571" s="912" t="s">
        <v>274</v>
      </c>
      <c r="L6571" s="912"/>
      <c r="M6571" s="912"/>
      <c r="N6571" s="912"/>
      <c r="O6571" s="892">
        <f t="shared" si="460"/>
        <v>0</v>
      </c>
      <c r="P6571" s="903">
        <f t="shared" si="462"/>
        <v>1</v>
      </c>
      <c r="Q6571" s="893">
        <f t="shared" si="463"/>
        <v>3</v>
      </c>
      <c r="R6571" s="894">
        <f t="shared" si="464"/>
        <v>0</v>
      </c>
    </row>
    <row r="6572" spans="1:18" s="904" customFormat="1">
      <c r="A6572" s="895"/>
      <c r="B6572" s="896"/>
      <c r="C6572" s="897"/>
      <c r="D6572" s="897"/>
      <c r="E6572" s="924" t="s">
        <v>276</v>
      </c>
      <c r="F6572" s="927"/>
      <c r="G6572" s="928"/>
      <c r="H6572" s="901"/>
      <c r="I6572" s="902"/>
      <c r="J6572" s="902"/>
      <c r="K6572" s="912" t="s">
        <v>274</v>
      </c>
      <c r="L6572" s="902"/>
      <c r="M6572" s="902"/>
      <c r="N6572" s="902"/>
      <c r="O6572" s="892">
        <f t="shared" si="460"/>
        <v>0</v>
      </c>
      <c r="P6572" s="903">
        <f t="shared" si="462"/>
        <v>1</v>
      </c>
      <c r="Q6572" s="893">
        <f t="shared" si="463"/>
        <v>2</v>
      </c>
      <c r="R6572" s="894">
        <f t="shared" si="464"/>
        <v>0</v>
      </c>
    </row>
    <row r="6573" spans="1:18">
      <c r="A6573" s="905"/>
      <c r="B6573" s="906"/>
      <c r="C6573" s="907">
        <v>745</v>
      </c>
      <c r="D6573" s="907" t="s">
        <v>12</v>
      </c>
      <c r="E6573" s="908" t="s">
        <v>5518</v>
      </c>
      <c r="F6573" s="909" t="s">
        <v>2674</v>
      </c>
      <c r="G6573" s="910"/>
      <c r="H6573" s="911">
        <v>4.9800000000000004</v>
      </c>
      <c r="I6573" s="912"/>
      <c r="J6573" s="912"/>
      <c r="K6573" s="912">
        <f>VLOOKUP(E6573,[5]ĐMNC!$A$7:$F$67,4,0)</f>
        <v>240557</v>
      </c>
      <c r="L6573" s="912">
        <f>H6573*K6573</f>
        <v>1197973.8600000001</v>
      </c>
      <c r="M6573" s="912"/>
      <c r="N6573" s="912"/>
      <c r="O6573" s="892">
        <f t="shared" si="460"/>
        <v>0</v>
      </c>
      <c r="P6573" s="903">
        <f t="shared" si="462"/>
        <v>1</v>
      </c>
      <c r="Q6573" s="893">
        <f t="shared" si="463"/>
        <v>1</v>
      </c>
      <c r="R6573" s="894">
        <f t="shared" si="464"/>
        <v>0</v>
      </c>
    </row>
    <row r="6574" spans="1:18" s="847" customFormat="1" ht="35.25" customHeight="1">
      <c r="A6574" s="905" t="s">
        <v>5960</v>
      </c>
      <c r="B6574" s="914" t="s">
        <v>5991</v>
      </c>
      <c r="C6574" s="915"/>
      <c r="D6574" s="915"/>
      <c r="E6574" s="916" t="s">
        <v>5992</v>
      </c>
      <c r="F6574" s="917" t="s">
        <v>5834</v>
      </c>
      <c r="G6574" s="944"/>
      <c r="H6574" s="919"/>
      <c r="I6574" s="920"/>
      <c r="J6574" s="891">
        <f>SUM(J6575:J6588)</f>
        <v>573107.5</v>
      </c>
      <c r="K6574" s="891" t="s">
        <v>274</v>
      </c>
      <c r="L6574" s="891">
        <f>SUM(L6575:L6588)</f>
        <v>1339902.49</v>
      </c>
      <c r="M6574" s="891"/>
      <c r="N6574" s="891">
        <f>SUM(N6575:N6588)</f>
        <v>0</v>
      </c>
      <c r="O6574" s="892">
        <f t="shared" si="460"/>
        <v>1</v>
      </c>
      <c r="P6574" s="903">
        <f t="shared" si="462"/>
        <v>0</v>
      </c>
      <c r="Q6574" s="893">
        <f t="shared" si="463"/>
        <v>0</v>
      </c>
      <c r="R6574" s="894">
        <f t="shared" si="464"/>
        <v>14</v>
      </c>
    </row>
    <row r="6575" spans="1:18" s="904" customFormat="1">
      <c r="A6575" s="895"/>
      <c r="B6575" s="896"/>
      <c r="C6575" s="897"/>
      <c r="D6575" s="897"/>
      <c r="E6575" s="898" t="s">
        <v>108</v>
      </c>
      <c r="F6575" s="899"/>
      <c r="G6575" s="928"/>
      <c r="H6575" s="901"/>
      <c r="I6575" s="902"/>
      <c r="J6575" s="902"/>
      <c r="K6575" s="912" t="s">
        <v>274</v>
      </c>
      <c r="L6575" s="902"/>
      <c r="M6575" s="902"/>
      <c r="N6575" s="902"/>
      <c r="O6575" s="892">
        <f t="shared" si="460"/>
        <v>0</v>
      </c>
      <c r="P6575" s="903">
        <f t="shared" si="462"/>
        <v>1</v>
      </c>
      <c r="Q6575" s="893">
        <f t="shared" si="463"/>
        <v>14</v>
      </c>
      <c r="R6575" s="894">
        <f t="shared" si="464"/>
        <v>0</v>
      </c>
    </row>
    <row r="6576" spans="1:18">
      <c r="A6576" s="905"/>
      <c r="B6576" s="906"/>
      <c r="C6576" s="907">
        <v>105</v>
      </c>
      <c r="D6576" s="907" t="s">
        <v>279</v>
      </c>
      <c r="E6576" s="925" t="s">
        <v>5848</v>
      </c>
      <c r="F6576" s="909" t="s">
        <v>51</v>
      </c>
      <c r="G6576" s="910"/>
      <c r="H6576" s="911">
        <v>1</v>
      </c>
      <c r="I6576" s="912">
        <f>VLOOKUP(E6576,[3]VLP!$B$7:$K$300,10,0)</f>
        <v>23660</v>
      </c>
      <c r="J6576" s="912">
        <f t="shared" ref="J6576:J6586" si="465">I6576*H6576</f>
        <v>23660</v>
      </c>
      <c r="K6576" s="912" t="s">
        <v>274</v>
      </c>
      <c r="L6576" s="912"/>
      <c r="M6576" s="912"/>
      <c r="N6576" s="912"/>
      <c r="O6576" s="892">
        <f t="shared" si="460"/>
        <v>0</v>
      </c>
      <c r="P6576" s="903">
        <f t="shared" si="462"/>
        <v>1</v>
      </c>
      <c r="Q6576" s="893">
        <f t="shared" si="463"/>
        <v>13</v>
      </c>
      <c r="R6576" s="894">
        <f t="shared" si="464"/>
        <v>0</v>
      </c>
    </row>
    <row r="6577" spans="1:18">
      <c r="A6577" s="905"/>
      <c r="B6577" s="906"/>
      <c r="C6577" s="907">
        <v>49</v>
      </c>
      <c r="D6577" s="907" t="s">
        <v>279</v>
      </c>
      <c r="E6577" s="925" t="s">
        <v>5698</v>
      </c>
      <c r="F6577" s="909" t="s">
        <v>139</v>
      </c>
      <c r="G6577" s="910"/>
      <c r="H6577" s="911">
        <v>2</v>
      </c>
      <c r="I6577" s="912">
        <f>VLOOKUP(E6577,[3]VLP!$B$7:$K$300,10,0)</f>
        <v>3000</v>
      </c>
      <c r="J6577" s="912">
        <f t="shared" si="465"/>
        <v>6000</v>
      </c>
      <c r="K6577" s="912" t="s">
        <v>274</v>
      </c>
      <c r="L6577" s="912"/>
      <c r="M6577" s="912"/>
      <c r="N6577" s="912"/>
      <c r="O6577" s="892">
        <f t="shared" si="460"/>
        <v>0</v>
      </c>
      <c r="P6577" s="903">
        <f t="shared" si="462"/>
        <v>1</v>
      </c>
      <c r="Q6577" s="893">
        <f t="shared" si="463"/>
        <v>12</v>
      </c>
      <c r="R6577" s="894">
        <f t="shared" si="464"/>
        <v>0</v>
      </c>
    </row>
    <row r="6578" spans="1:18">
      <c r="A6578" s="905"/>
      <c r="B6578" s="906"/>
      <c r="C6578" s="907">
        <v>50</v>
      </c>
      <c r="D6578" s="907" t="s">
        <v>279</v>
      </c>
      <c r="E6578" s="925" t="s">
        <v>5836</v>
      </c>
      <c r="F6578" s="909" t="s">
        <v>49</v>
      </c>
      <c r="G6578" s="910"/>
      <c r="H6578" s="911">
        <v>4</v>
      </c>
      <c r="I6578" s="912">
        <f>VLOOKUP(E6578,[3]VLP!$B$7:$K$300,10,0)</f>
        <v>85790</v>
      </c>
      <c r="J6578" s="912">
        <f t="shared" si="465"/>
        <v>343160</v>
      </c>
      <c r="K6578" s="912" t="s">
        <v>274</v>
      </c>
      <c r="L6578" s="912"/>
      <c r="M6578" s="912"/>
      <c r="N6578" s="912"/>
      <c r="O6578" s="892">
        <f t="shared" si="460"/>
        <v>0</v>
      </c>
      <c r="P6578" s="903">
        <f t="shared" si="462"/>
        <v>1</v>
      </c>
      <c r="Q6578" s="893">
        <f t="shared" si="463"/>
        <v>11</v>
      </c>
      <c r="R6578" s="894">
        <f t="shared" si="464"/>
        <v>0</v>
      </c>
    </row>
    <row r="6579" spans="1:18">
      <c r="A6579" s="905"/>
      <c r="B6579" s="906"/>
      <c r="C6579" s="907">
        <v>46</v>
      </c>
      <c r="D6579" s="907" t="s">
        <v>279</v>
      </c>
      <c r="E6579" s="925" t="s">
        <v>3179</v>
      </c>
      <c r="F6579" s="909" t="s">
        <v>45</v>
      </c>
      <c r="G6579" s="910"/>
      <c r="H6579" s="911">
        <v>6</v>
      </c>
      <c r="I6579" s="912">
        <f>VLOOKUP(E6579,[3]VLP!$B$7:$K$300,10,0)</f>
        <v>20500</v>
      </c>
      <c r="J6579" s="912">
        <f t="shared" si="465"/>
        <v>123000</v>
      </c>
      <c r="K6579" s="912" t="s">
        <v>274</v>
      </c>
      <c r="L6579" s="912"/>
      <c r="M6579" s="912"/>
      <c r="N6579" s="912"/>
      <c r="O6579" s="892">
        <f t="shared" si="460"/>
        <v>0</v>
      </c>
      <c r="P6579" s="903">
        <f t="shared" si="462"/>
        <v>1</v>
      </c>
      <c r="Q6579" s="893">
        <f t="shared" si="463"/>
        <v>10</v>
      </c>
      <c r="R6579" s="894">
        <f t="shared" si="464"/>
        <v>0</v>
      </c>
    </row>
    <row r="6580" spans="1:18">
      <c r="A6580" s="905"/>
      <c r="B6580" s="906"/>
      <c r="C6580" s="907">
        <v>25</v>
      </c>
      <c r="D6580" s="907" t="s">
        <v>279</v>
      </c>
      <c r="E6580" s="925" t="s">
        <v>5656</v>
      </c>
      <c r="F6580" s="926" t="s">
        <v>2690</v>
      </c>
      <c r="G6580" s="910"/>
      <c r="H6580" s="911">
        <v>1.5</v>
      </c>
      <c r="I6580" s="912">
        <f>VLOOKUP(E6580,[3]VLP!$B$7:$K$300,10,0)</f>
        <v>5000</v>
      </c>
      <c r="J6580" s="912">
        <f t="shared" si="465"/>
        <v>7500</v>
      </c>
      <c r="K6580" s="912" t="s">
        <v>274</v>
      </c>
      <c r="L6580" s="912"/>
      <c r="M6580" s="912"/>
      <c r="N6580" s="912"/>
      <c r="O6580" s="892">
        <f t="shared" si="460"/>
        <v>0</v>
      </c>
      <c r="P6580" s="903">
        <f t="shared" si="462"/>
        <v>1</v>
      </c>
      <c r="Q6580" s="893">
        <f t="shared" si="463"/>
        <v>9</v>
      </c>
      <c r="R6580" s="894">
        <f t="shared" si="464"/>
        <v>0</v>
      </c>
    </row>
    <row r="6581" spans="1:18">
      <c r="A6581" s="905"/>
      <c r="B6581" s="906"/>
      <c r="C6581" s="907">
        <v>127</v>
      </c>
      <c r="D6581" s="907" t="s">
        <v>279</v>
      </c>
      <c r="E6581" s="925" t="s">
        <v>5657</v>
      </c>
      <c r="F6581" s="909" t="s">
        <v>45</v>
      </c>
      <c r="G6581" s="910"/>
      <c r="H6581" s="911">
        <v>0.5</v>
      </c>
      <c r="I6581" s="912">
        <f>VLOOKUP(E6581,[3]VLP!$B$7:$K$300,10,0)</f>
        <v>25155</v>
      </c>
      <c r="J6581" s="912">
        <f t="shared" si="465"/>
        <v>12577.5</v>
      </c>
      <c r="K6581" s="912" t="s">
        <v>274</v>
      </c>
      <c r="L6581" s="912"/>
      <c r="M6581" s="912"/>
      <c r="N6581" s="912"/>
      <c r="O6581" s="892">
        <f t="shared" si="460"/>
        <v>0</v>
      </c>
      <c r="P6581" s="903">
        <f t="shared" si="462"/>
        <v>1</v>
      </c>
      <c r="Q6581" s="893">
        <f t="shared" si="463"/>
        <v>8</v>
      </c>
      <c r="R6581" s="894">
        <f t="shared" si="464"/>
        <v>0</v>
      </c>
    </row>
    <row r="6582" spans="1:18">
      <c r="A6582" s="905"/>
      <c r="B6582" s="906"/>
      <c r="C6582" s="907">
        <v>44</v>
      </c>
      <c r="D6582" s="907" t="s">
        <v>279</v>
      </c>
      <c r="E6582" s="925" t="s">
        <v>2681</v>
      </c>
      <c r="F6582" s="926" t="s">
        <v>45</v>
      </c>
      <c r="G6582" s="910"/>
      <c r="H6582" s="911">
        <v>0.72</v>
      </c>
      <c r="I6582" s="912">
        <f>VLOOKUP(E6582,[3]VLP!$B$7:$K$300,10,0)</f>
        <v>23000</v>
      </c>
      <c r="J6582" s="912">
        <f t="shared" si="465"/>
        <v>16560</v>
      </c>
      <c r="K6582" s="912" t="s">
        <v>274</v>
      </c>
      <c r="L6582" s="912"/>
      <c r="M6582" s="912"/>
      <c r="N6582" s="912"/>
      <c r="O6582" s="892">
        <f t="shared" si="460"/>
        <v>0</v>
      </c>
      <c r="P6582" s="903">
        <f t="shared" si="462"/>
        <v>1</v>
      </c>
      <c r="Q6582" s="893">
        <f t="shared" si="463"/>
        <v>7</v>
      </c>
      <c r="R6582" s="894">
        <f t="shared" si="464"/>
        <v>0</v>
      </c>
    </row>
    <row r="6583" spans="1:18">
      <c r="A6583" s="905"/>
      <c r="B6583" s="906"/>
      <c r="C6583" s="907">
        <v>66</v>
      </c>
      <c r="D6583" s="907" t="s">
        <v>279</v>
      </c>
      <c r="E6583" s="925" t="s">
        <v>2682</v>
      </c>
      <c r="F6583" s="926" t="s">
        <v>45</v>
      </c>
      <c r="G6583" s="910"/>
      <c r="H6583" s="911">
        <v>0.3</v>
      </c>
      <c r="I6583" s="912">
        <f>VLOOKUP(E6583,[3]VLP!$B$7:$K$300,10,0)</f>
        <v>5000</v>
      </c>
      <c r="J6583" s="912">
        <f t="shared" si="465"/>
        <v>1500</v>
      </c>
      <c r="K6583" s="912" t="s">
        <v>274</v>
      </c>
      <c r="L6583" s="912"/>
      <c r="M6583" s="912"/>
      <c r="N6583" s="912"/>
      <c r="O6583" s="892">
        <f t="shared" si="460"/>
        <v>0</v>
      </c>
      <c r="P6583" s="903">
        <f t="shared" si="462"/>
        <v>1</v>
      </c>
      <c r="Q6583" s="893">
        <f t="shared" si="463"/>
        <v>6</v>
      </c>
      <c r="R6583" s="894">
        <f t="shared" si="464"/>
        <v>0</v>
      </c>
    </row>
    <row r="6584" spans="1:18">
      <c r="A6584" s="905"/>
      <c r="B6584" s="906"/>
      <c r="C6584" s="907">
        <v>65</v>
      </c>
      <c r="D6584" s="907" t="s">
        <v>279</v>
      </c>
      <c r="E6584" s="925" t="s">
        <v>5983</v>
      </c>
      <c r="F6584" s="926" t="s">
        <v>3144</v>
      </c>
      <c r="G6584" s="910"/>
      <c r="H6584" s="911">
        <v>1</v>
      </c>
      <c r="I6584" s="912">
        <f>VLOOKUP(E6584,[3]VLP!$B$7:$K$300,10,0)</f>
        <v>14000</v>
      </c>
      <c r="J6584" s="912">
        <f t="shared" si="465"/>
        <v>14000</v>
      </c>
      <c r="K6584" s="912" t="s">
        <v>274</v>
      </c>
      <c r="L6584" s="912"/>
      <c r="M6584" s="912"/>
      <c r="N6584" s="912"/>
      <c r="O6584" s="892">
        <f t="shared" si="460"/>
        <v>0</v>
      </c>
      <c r="P6584" s="903">
        <f t="shared" si="462"/>
        <v>1</v>
      </c>
      <c r="Q6584" s="893">
        <f t="shared" si="463"/>
        <v>5</v>
      </c>
      <c r="R6584" s="894">
        <f t="shared" si="464"/>
        <v>0</v>
      </c>
    </row>
    <row r="6585" spans="1:18">
      <c r="A6585" s="905"/>
      <c r="B6585" s="906"/>
      <c r="C6585" s="907">
        <v>89</v>
      </c>
      <c r="D6585" s="907" t="s">
        <v>279</v>
      </c>
      <c r="E6585" s="925" t="s">
        <v>5984</v>
      </c>
      <c r="F6585" s="926" t="s">
        <v>45</v>
      </c>
      <c r="G6585" s="910"/>
      <c r="H6585" s="911">
        <v>0.15</v>
      </c>
      <c r="I6585" s="912">
        <f>VLOOKUP(E6585,[3]VLP!$B$7:$K$300,10,0)</f>
        <v>1000</v>
      </c>
      <c r="J6585" s="912">
        <f t="shared" si="465"/>
        <v>150</v>
      </c>
      <c r="K6585" s="912" t="s">
        <v>274</v>
      </c>
      <c r="L6585" s="912"/>
      <c r="M6585" s="912"/>
      <c r="N6585" s="912"/>
      <c r="O6585" s="892">
        <f t="shared" si="460"/>
        <v>0</v>
      </c>
      <c r="P6585" s="903">
        <f t="shared" si="462"/>
        <v>1</v>
      </c>
      <c r="Q6585" s="893">
        <f t="shared" si="463"/>
        <v>4</v>
      </c>
      <c r="R6585" s="894">
        <f t="shared" si="464"/>
        <v>0</v>
      </c>
    </row>
    <row r="6586" spans="1:18">
      <c r="A6586" s="905"/>
      <c r="B6586" s="906"/>
      <c r="C6586" s="907">
        <v>699</v>
      </c>
      <c r="D6586" s="907" t="s">
        <v>279</v>
      </c>
      <c r="E6586" s="925" t="s">
        <v>4006</v>
      </c>
      <c r="F6586" s="926" t="s">
        <v>4007</v>
      </c>
      <c r="G6586" s="910"/>
      <c r="H6586" s="911">
        <v>5</v>
      </c>
      <c r="I6586" s="912">
        <f>VLOOKUP(E6586,[3]VLP!$B$7:$K$300,10,0)</f>
        <v>5000</v>
      </c>
      <c r="J6586" s="912">
        <f t="shared" si="465"/>
        <v>25000</v>
      </c>
      <c r="K6586" s="912" t="s">
        <v>274</v>
      </c>
      <c r="L6586" s="912"/>
      <c r="M6586" s="912"/>
      <c r="N6586" s="912"/>
      <c r="O6586" s="892">
        <f t="shared" si="460"/>
        <v>0</v>
      </c>
      <c r="P6586" s="903">
        <f t="shared" si="462"/>
        <v>1</v>
      </c>
      <c r="Q6586" s="893">
        <f t="shared" si="463"/>
        <v>3</v>
      </c>
      <c r="R6586" s="894">
        <f t="shared" si="464"/>
        <v>0</v>
      </c>
    </row>
    <row r="6587" spans="1:18" s="904" customFormat="1">
      <c r="A6587" s="895"/>
      <c r="B6587" s="896"/>
      <c r="C6587" s="897"/>
      <c r="D6587" s="897"/>
      <c r="E6587" s="924" t="s">
        <v>276</v>
      </c>
      <c r="F6587" s="927"/>
      <c r="G6587" s="928"/>
      <c r="H6587" s="901"/>
      <c r="I6587" s="902"/>
      <c r="J6587" s="902"/>
      <c r="K6587" s="912" t="s">
        <v>274</v>
      </c>
      <c r="L6587" s="902"/>
      <c r="M6587" s="902"/>
      <c r="N6587" s="902"/>
      <c r="O6587" s="892">
        <f t="shared" si="460"/>
        <v>0</v>
      </c>
      <c r="P6587" s="903">
        <f t="shared" si="462"/>
        <v>1</v>
      </c>
      <c r="Q6587" s="893">
        <f t="shared" si="463"/>
        <v>2</v>
      </c>
      <c r="R6587" s="894">
        <f t="shared" si="464"/>
        <v>0</v>
      </c>
    </row>
    <row r="6588" spans="1:18">
      <c r="A6588" s="905"/>
      <c r="B6588" s="906"/>
      <c r="C6588" s="907">
        <v>745</v>
      </c>
      <c r="D6588" s="907" t="s">
        <v>12</v>
      </c>
      <c r="E6588" s="908" t="s">
        <v>5518</v>
      </c>
      <c r="F6588" s="909" t="s">
        <v>2674</v>
      </c>
      <c r="G6588" s="910"/>
      <c r="H6588" s="911">
        <v>5.57</v>
      </c>
      <c r="I6588" s="912"/>
      <c r="J6588" s="912"/>
      <c r="K6588" s="912">
        <f>VLOOKUP(E6588,[5]ĐMNC!$A$7:$F$67,4,0)</f>
        <v>240557</v>
      </c>
      <c r="L6588" s="912">
        <f>H6588*K6588</f>
        <v>1339902.49</v>
      </c>
      <c r="M6588" s="912"/>
      <c r="N6588" s="912"/>
      <c r="O6588" s="892">
        <f t="shared" si="460"/>
        <v>0</v>
      </c>
      <c r="P6588" s="903">
        <f t="shared" si="462"/>
        <v>1</v>
      </c>
      <c r="Q6588" s="893">
        <f t="shared" si="463"/>
        <v>1</v>
      </c>
      <c r="R6588" s="894">
        <f t="shared" si="464"/>
        <v>0</v>
      </c>
    </row>
    <row r="6589" spans="1:18" s="847" customFormat="1" ht="35.25" customHeight="1">
      <c r="A6589" s="905"/>
      <c r="B6589" s="914" t="s">
        <v>5993</v>
      </c>
      <c r="C6589" s="915"/>
      <c r="D6589" s="915"/>
      <c r="E6589" s="916" t="s">
        <v>5994</v>
      </c>
      <c r="F6589" s="917" t="s">
        <v>5834</v>
      </c>
      <c r="G6589" s="944"/>
      <c r="H6589" s="919"/>
      <c r="I6589" s="920"/>
      <c r="J6589" s="891">
        <f>SUM(J6590:J6603)</f>
        <v>590007.5</v>
      </c>
      <c r="K6589" s="891" t="s">
        <v>274</v>
      </c>
      <c r="L6589" s="891">
        <f>SUM(L6590:L6603)</f>
        <v>1457775.42</v>
      </c>
      <c r="M6589" s="891"/>
      <c r="N6589" s="891">
        <f>SUM(N6590:N6603)</f>
        <v>0</v>
      </c>
      <c r="O6589" s="892">
        <f t="shared" si="460"/>
        <v>1</v>
      </c>
      <c r="P6589" s="903">
        <f t="shared" si="462"/>
        <v>0</v>
      </c>
      <c r="Q6589" s="893">
        <f t="shared" si="463"/>
        <v>0</v>
      </c>
      <c r="R6589" s="894">
        <f t="shared" si="464"/>
        <v>14</v>
      </c>
    </row>
    <row r="6590" spans="1:18" s="904" customFormat="1">
      <c r="A6590" s="895"/>
      <c r="B6590" s="896"/>
      <c r="C6590" s="897"/>
      <c r="D6590" s="897"/>
      <c r="E6590" s="898" t="s">
        <v>108</v>
      </c>
      <c r="F6590" s="899"/>
      <c r="G6590" s="928"/>
      <c r="H6590" s="901"/>
      <c r="I6590" s="902"/>
      <c r="J6590" s="902"/>
      <c r="K6590" s="912" t="s">
        <v>274</v>
      </c>
      <c r="L6590" s="902"/>
      <c r="M6590" s="902"/>
      <c r="N6590" s="902"/>
      <c r="O6590" s="892">
        <f t="shared" si="460"/>
        <v>0</v>
      </c>
      <c r="P6590" s="903">
        <f t="shared" si="462"/>
        <v>1</v>
      </c>
      <c r="Q6590" s="893">
        <f t="shared" si="463"/>
        <v>14</v>
      </c>
      <c r="R6590" s="894">
        <f t="shared" si="464"/>
        <v>0</v>
      </c>
    </row>
    <row r="6591" spans="1:18">
      <c r="A6591" s="905"/>
      <c r="B6591" s="906"/>
      <c r="C6591" s="907">
        <v>106</v>
      </c>
      <c r="D6591" s="907" t="s">
        <v>279</v>
      </c>
      <c r="E6591" s="925" t="s">
        <v>5851</v>
      </c>
      <c r="F6591" s="909" t="s">
        <v>51</v>
      </c>
      <c r="G6591" s="910"/>
      <c r="H6591" s="911">
        <v>1</v>
      </c>
      <c r="I6591" s="912">
        <f>VLOOKUP(E6591,[3]VLP!$B$7:$K$300,10,0)</f>
        <v>40560</v>
      </c>
      <c r="J6591" s="912">
        <f t="shared" ref="J6591:J6601" si="466">I6591*H6591</f>
        <v>40560</v>
      </c>
      <c r="K6591" s="912" t="s">
        <v>274</v>
      </c>
      <c r="L6591" s="912"/>
      <c r="M6591" s="912"/>
      <c r="N6591" s="912"/>
      <c r="O6591" s="892">
        <f t="shared" si="460"/>
        <v>0</v>
      </c>
      <c r="P6591" s="903">
        <f t="shared" si="462"/>
        <v>1</v>
      </c>
      <c r="Q6591" s="893">
        <f t="shared" si="463"/>
        <v>13</v>
      </c>
      <c r="R6591" s="894">
        <f t="shared" si="464"/>
        <v>0</v>
      </c>
    </row>
    <row r="6592" spans="1:18">
      <c r="A6592" s="905"/>
      <c r="B6592" s="906"/>
      <c r="C6592" s="907">
        <v>49</v>
      </c>
      <c r="D6592" s="907" t="s">
        <v>279</v>
      </c>
      <c r="E6592" s="925" t="s">
        <v>5698</v>
      </c>
      <c r="F6592" s="909" t="s">
        <v>139</v>
      </c>
      <c r="G6592" s="910"/>
      <c r="H6592" s="911">
        <v>2</v>
      </c>
      <c r="I6592" s="912">
        <f>VLOOKUP(E6592,[3]VLP!$B$7:$K$300,10,0)</f>
        <v>3000</v>
      </c>
      <c r="J6592" s="912">
        <f t="shared" si="466"/>
        <v>6000</v>
      </c>
      <c r="K6592" s="912" t="s">
        <v>274</v>
      </c>
      <c r="L6592" s="912"/>
      <c r="M6592" s="912"/>
      <c r="N6592" s="912"/>
      <c r="O6592" s="892">
        <f t="shared" si="460"/>
        <v>0</v>
      </c>
      <c r="P6592" s="903">
        <f t="shared" si="462"/>
        <v>1</v>
      </c>
      <c r="Q6592" s="893">
        <f t="shared" si="463"/>
        <v>12</v>
      </c>
      <c r="R6592" s="894">
        <f t="shared" si="464"/>
        <v>0</v>
      </c>
    </row>
    <row r="6593" spans="1:18">
      <c r="A6593" s="905"/>
      <c r="B6593" s="906"/>
      <c r="C6593" s="907">
        <v>50</v>
      </c>
      <c r="D6593" s="907" t="s">
        <v>279</v>
      </c>
      <c r="E6593" s="925" t="s">
        <v>5836</v>
      </c>
      <c r="F6593" s="909" t="s">
        <v>49</v>
      </c>
      <c r="G6593" s="910"/>
      <c r="H6593" s="911">
        <v>4</v>
      </c>
      <c r="I6593" s="912">
        <f>VLOOKUP(E6593,[3]VLP!$B$7:$K$300,10,0)</f>
        <v>85790</v>
      </c>
      <c r="J6593" s="912">
        <f t="shared" si="466"/>
        <v>343160</v>
      </c>
      <c r="K6593" s="912" t="s">
        <v>274</v>
      </c>
      <c r="L6593" s="912"/>
      <c r="M6593" s="912"/>
      <c r="N6593" s="912"/>
      <c r="O6593" s="892">
        <f t="shared" si="460"/>
        <v>0</v>
      </c>
      <c r="P6593" s="903">
        <f t="shared" si="462"/>
        <v>1</v>
      </c>
      <c r="Q6593" s="893">
        <f t="shared" si="463"/>
        <v>11</v>
      </c>
      <c r="R6593" s="894">
        <f t="shared" si="464"/>
        <v>0</v>
      </c>
    </row>
    <row r="6594" spans="1:18">
      <c r="A6594" s="905"/>
      <c r="B6594" s="906"/>
      <c r="C6594" s="907">
        <v>46</v>
      </c>
      <c r="D6594" s="907" t="s">
        <v>279</v>
      </c>
      <c r="E6594" s="925" t="s">
        <v>3179</v>
      </c>
      <c r="F6594" s="909" t="s">
        <v>45</v>
      </c>
      <c r="G6594" s="910"/>
      <c r="H6594" s="911">
        <v>6</v>
      </c>
      <c r="I6594" s="912">
        <f>VLOOKUP(E6594,[3]VLP!$B$7:$K$300,10,0)</f>
        <v>20500</v>
      </c>
      <c r="J6594" s="912">
        <f t="shared" si="466"/>
        <v>123000</v>
      </c>
      <c r="K6594" s="912" t="s">
        <v>274</v>
      </c>
      <c r="L6594" s="912"/>
      <c r="M6594" s="912"/>
      <c r="N6594" s="912"/>
      <c r="O6594" s="892">
        <f t="shared" si="460"/>
        <v>0</v>
      </c>
      <c r="P6594" s="903">
        <f t="shared" si="462"/>
        <v>1</v>
      </c>
      <c r="Q6594" s="893">
        <f t="shared" si="463"/>
        <v>10</v>
      </c>
      <c r="R6594" s="894">
        <f t="shared" si="464"/>
        <v>0</v>
      </c>
    </row>
    <row r="6595" spans="1:18">
      <c r="A6595" s="905"/>
      <c r="B6595" s="906"/>
      <c r="C6595" s="907">
        <v>25</v>
      </c>
      <c r="D6595" s="907" t="s">
        <v>279</v>
      </c>
      <c r="E6595" s="925" t="s">
        <v>5656</v>
      </c>
      <c r="F6595" s="926" t="s">
        <v>2690</v>
      </c>
      <c r="G6595" s="910"/>
      <c r="H6595" s="911">
        <v>1.5</v>
      </c>
      <c r="I6595" s="912">
        <f>VLOOKUP(E6595,[3]VLP!$B$7:$K$300,10,0)</f>
        <v>5000</v>
      </c>
      <c r="J6595" s="912">
        <f t="shared" si="466"/>
        <v>7500</v>
      </c>
      <c r="K6595" s="912" t="s">
        <v>274</v>
      </c>
      <c r="L6595" s="912"/>
      <c r="M6595" s="912"/>
      <c r="N6595" s="912"/>
      <c r="O6595" s="892">
        <f t="shared" si="460"/>
        <v>0</v>
      </c>
      <c r="P6595" s="903">
        <f t="shared" si="462"/>
        <v>1</v>
      </c>
      <c r="Q6595" s="893">
        <f t="shared" si="463"/>
        <v>9</v>
      </c>
      <c r="R6595" s="894">
        <f t="shared" si="464"/>
        <v>0</v>
      </c>
    </row>
    <row r="6596" spans="1:18">
      <c r="A6596" s="905"/>
      <c r="B6596" s="906"/>
      <c r="C6596" s="907">
        <v>127</v>
      </c>
      <c r="D6596" s="907" t="s">
        <v>279</v>
      </c>
      <c r="E6596" s="925" t="s">
        <v>5657</v>
      </c>
      <c r="F6596" s="909" t="s">
        <v>45</v>
      </c>
      <c r="G6596" s="910"/>
      <c r="H6596" s="911">
        <v>0.5</v>
      </c>
      <c r="I6596" s="912">
        <f>VLOOKUP(E6596,[3]VLP!$B$7:$K$300,10,0)</f>
        <v>25155</v>
      </c>
      <c r="J6596" s="912">
        <f t="shared" si="466"/>
        <v>12577.5</v>
      </c>
      <c r="K6596" s="912" t="s">
        <v>274</v>
      </c>
      <c r="L6596" s="912"/>
      <c r="M6596" s="912"/>
      <c r="N6596" s="912"/>
      <c r="O6596" s="892">
        <f t="shared" si="460"/>
        <v>0</v>
      </c>
      <c r="P6596" s="903">
        <f t="shared" si="462"/>
        <v>1</v>
      </c>
      <c r="Q6596" s="893">
        <f t="shared" si="463"/>
        <v>8</v>
      </c>
      <c r="R6596" s="894">
        <f t="shared" si="464"/>
        <v>0</v>
      </c>
    </row>
    <row r="6597" spans="1:18">
      <c r="A6597" s="905"/>
      <c r="B6597" s="906"/>
      <c r="C6597" s="907">
        <v>44</v>
      </c>
      <c r="D6597" s="907" t="s">
        <v>279</v>
      </c>
      <c r="E6597" s="925" t="s">
        <v>2681</v>
      </c>
      <c r="F6597" s="926" t="s">
        <v>45</v>
      </c>
      <c r="G6597" s="910"/>
      <c r="H6597" s="911">
        <v>0.72</v>
      </c>
      <c r="I6597" s="912">
        <f>VLOOKUP(E6597,[3]VLP!$B$7:$K$300,10,0)</f>
        <v>23000</v>
      </c>
      <c r="J6597" s="912">
        <f t="shared" si="466"/>
        <v>16560</v>
      </c>
      <c r="K6597" s="912" t="s">
        <v>274</v>
      </c>
      <c r="L6597" s="912"/>
      <c r="M6597" s="912"/>
      <c r="N6597" s="912"/>
      <c r="O6597" s="892">
        <f t="shared" si="460"/>
        <v>0</v>
      </c>
      <c r="P6597" s="903">
        <f t="shared" si="462"/>
        <v>1</v>
      </c>
      <c r="Q6597" s="893">
        <f t="shared" si="463"/>
        <v>7</v>
      </c>
      <c r="R6597" s="894">
        <f t="shared" si="464"/>
        <v>0</v>
      </c>
    </row>
    <row r="6598" spans="1:18">
      <c r="A6598" s="905"/>
      <c r="B6598" s="906"/>
      <c r="C6598" s="907">
        <v>66</v>
      </c>
      <c r="D6598" s="907" t="s">
        <v>279</v>
      </c>
      <c r="E6598" s="925" t="s">
        <v>2682</v>
      </c>
      <c r="F6598" s="926" t="s">
        <v>45</v>
      </c>
      <c r="G6598" s="910"/>
      <c r="H6598" s="911">
        <v>0.3</v>
      </c>
      <c r="I6598" s="912">
        <f>VLOOKUP(E6598,[3]VLP!$B$7:$K$300,10,0)</f>
        <v>5000</v>
      </c>
      <c r="J6598" s="912">
        <f t="shared" si="466"/>
        <v>1500</v>
      </c>
      <c r="K6598" s="912" t="s">
        <v>274</v>
      </c>
      <c r="L6598" s="912"/>
      <c r="M6598" s="912"/>
      <c r="N6598" s="912"/>
      <c r="O6598" s="892">
        <f t="shared" si="460"/>
        <v>0</v>
      </c>
      <c r="P6598" s="903">
        <f t="shared" si="462"/>
        <v>1</v>
      </c>
      <c r="Q6598" s="893">
        <f t="shared" si="463"/>
        <v>6</v>
      </c>
      <c r="R6598" s="894">
        <f t="shared" si="464"/>
        <v>0</v>
      </c>
    </row>
    <row r="6599" spans="1:18">
      <c r="A6599" s="905"/>
      <c r="B6599" s="906"/>
      <c r="C6599" s="907">
        <v>65</v>
      </c>
      <c r="D6599" s="907" t="s">
        <v>279</v>
      </c>
      <c r="E6599" s="925" t="s">
        <v>5983</v>
      </c>
      <c r="F6599" s="926" t="s">
        <v>3144</v>
      </c>
      <c r="G6599" s="910"/>
      <c r="H6599" s="911">
        <v>1</v>
      </c>
      <c r="I6599" s="912">
        <f>VLOOKUP(E6599,[3]VLP!$B$7:$K$300,10,0)</f>
        <v>14000</v>
      </c>
      <c r="J6599" s="912">
        <f t="shared" si="466"/>
        <v>14000</v>
      </c>
      <c r="K6599" s="912" t="s">
        <v>274</v>
      </c>
      <c r="L6599" s="912"/>
      <c r="M6599" s="912"/>
      <c r="N6599" s="912"/>
      <c r="O6599" s="892">
        <f t="shared" si="460"/>
        <v>0</v>
      </c>
      <c r="P6599" s="903">
        <f t="shared" si="462"/>
        <v>1</v>
      </c>
      <c r="Q6599" s="893">
        <f t="shared" si="463"/>
        <v>5</v>
      </c>
      <c r="R6599" s="894">
        <f t="shared" si="464"/>
        <v>0</v>
      </c>
    </row>
    <row r="6600" spans="1:18">
      <c r="A6600" s="905"/>
      <c r="B6600" s="906"/>
      <c r="C6600" s="907">
        <v>89</v>
      </c>
      <c r="D6600" s="907" t="s">
        <v>279</v>
      </c>
      <c r="E6600" s="925" t="s">
        <v>5984</v>
      </c>
      <c r="F6600" s="926" t="s">
        <v>45</v>
      </c>
      <c r="G6600" s="910"/>
      <c r="H6600" s="911">
        <v>0.15</v>
      </c>
      <c r="I6600" s="912">
        <f>VLOOKUP(E6600,[3]VLP!$B$7:$K$300,10,0)</f>
        <v>1000</v>
      </c>
      <c r="J6600" s="912">
        <f t="shared" si="466"/>
        <v>150</v>
      </c>
      <c r="K6600" s="912" t="s">
        <v>274</v>
      </c>
      <c r="L6600" s="912"/>
      <c r="M6600" s="912"/>
      <c r="N6600" s="912"/>
      <c r="O6600" s="892">
        <f t="shared" si="460"/>
        <v>0</v>
      </c>
      <c r="P6600" s="903">
        <f t="shared" si="462"/>
        <v>1</v>
      </c>
      <c r="Q6600" s="893">
        <f t="shared" si="463"/>
        <v>4</v>
      </c>
      <c r="R6600" s="894">
        <f t="shared" si="464"/>
        <v>0</v>
      </c>
    </row>
    <row r="6601" spans="1:18">
      <c r="A6601" s="905"/>
      <c r="B6601" s="906"/>
      <c r="C6601" s="907">
        <v>699</v>
      </c>
      <c r="D6601" s="907" t="s">
        <v>279</v>
      </c>
      <c r="E6601" s="925" t="s">
        <v>4006</v>
      </c>
      <c r="F6601" s="926" t="s">
        <v>4007</v>
      </c>
      <c r="G6601" s="910"/>
      <c r="H6601" s="911">
        <v>5</v>
      </c>
      <c r="I6601" s="912">
        <f>VLOOKUP(E6601,[3]VLP!$B$7:$K$300,10,0)</f>
        <v>5000</v>
      </c>
      <c r="J6601" s="912">
        <f t="shared" si="466"/>
        <v>25000</v>
      </c>
      <c r="K6601" s="912" t="s">
        <v>274</v>
      </c>
      <c r="L6601" s="912"/>
      <c r="M6601" s="912"/>
      <c r="N6601" s="912"/>
      <c r="O6601" s="892">
        <f t="shared" si="460"/>
        <v>0</v>
      </c>
      <c r="P6601" s="903">
        <f t="shared" si="462"/>
        <v>1</v>
      </c>
      <c r="Q6601" s="893">
        <f t="shared" si="463"/>
        <v>3</v>
      </c>
      <c r="R6601" s="894">
        <f t="shared" si="464"/>
        <v>0</v>
      </c>
    </row>
    <row r="6602" spans="1:18" s="904" customFormat="1">
      <c r="A6602" s="895"/>
      <c r="B6602" s="896"/>
      <c r="C6602" s="897"/>
      <c r="D6602" s="897"/>
      <c r="E6602" s="924" t="s">
        <v>276</v>
      </c>
      <c r="F6602" s="927"/>
      <c r="G6602" s="928"/>
      <c r="H6602" s="901"/>
      <c r="I6602" s="902"/>
      <c r="J6602" s="902"/>
      <c r="K6602" s="912" t="s">
        <v>274</v>
      </c>
      <c r="L6602" s="902"/>
      <c r="M6602" s="902"/>
      <c r="N6602" s="902"/>
      <c r="O6602" s="892">
        <f t="shared" si="460"/>
        <v>0</v>
      </c>
      <c r="P6602" s="903">
        <f t="shared" si="462"/>
        <v>1</v>
      </c>
      <c r="Q6602" s="893">
        <f t="shared" si="463"/>
        <v>2</v>
      </c>
      <c r="R6602" s="894">
        <f t="shared" si="464"/>
        <v>0</v>
      </c>
    </row>
    <row r="6603" spans="1:18">
      <c r="A6603" s="905"/>
      <c r="B6603" s="906"/>
      <c r="C6603" s="907">
        <v>745</v>
      </c>
      <c r="D6603" s="907" t="s">
        <v>12</v>
      </c>
      <c r="E6603" s="908" t="s">
        <v>5518</v>
      </c>
      <c r="F6603" s="909" t="s">
        <v>2674</v>
      </c>
      <c r="G6603" s="910"/>
      <c r="H6603" s="911">
        <v>6.06</v>
      </c>
      <c r="I6603" s="912"/>
      <c r="J6603" s="912"/>
      <c r="K6603" s="912">
        <f>VLOOKUP(E6603,[5]ĐMNC!$A$7:$F$67,4,0)</f>
        <v>240557</v>
      </c>
      <c r="L6603" s="912">
        <f>H6603*K6603</f>
        <v>1457775.42</v>
      </c>
      <c r="M6603" s="912"/>
      <c r="N6603" s="912"/>
      <c r="O6603" s="892">
        <f t="shared" si="460"/>
        <v>0</v>
      </c>
      <c r="P6603" s="903">
        <f t="shared" si="462"/>
        <v>1</v>
      </c>
      <c r="Q6603" s="893">
        <f t="shared" si="463"/>
        <v>1</v>
      </c>
      <c r="R6603" s="894">
        <f t="shared" si="464"/>
        <v>0</v>
      </c>
    </row>
    <row r="6604" spans="1:18" s="847" customFormat="1" ht="35.25" customHeight="1">
      <c r="A6604" s="905"/>
      <c r="B6604" s="914" t="s">
        <v>5995</v>
      </c>
      <c r="C6604" s="915"/>
      <c r="D6604" s="915"/>
      <c r="E6604" s="916" t="s">
        <v>5996</v>
      </c>
      <c r="F6604" s="917" t="s">
        <v>5834</v>
      </c>
      <c r="G6604" s="944"/>
      <c r="H6604" s="919"/>
      <c r="I6604" s="920"/>
      <c r="J6604" s="891">
        <f>SUM(J6605:J6618)</f>
        <v>624973</v>
      </c>
      <c r="K6604" s="891" t="s">
        <v>274</v>
      </c>
      <c r="L6604" s="891">
        <f>SUM(L6605:L6618)</f>
        <v>1748849.39</v>
      </c>
      <c r="M6604" s="891"/>
      <c r="N6604" s="891">
        <f>SUM(N6605:N6618)</f>
        <v>0</v>
      </c>
      <c r="O6604" s="892">
        <f t="shared" si="460"/>
        <v>1</v>
      </c>
      <c r="P6604" s="903">
        <f t="shared" si="462"/>
        <v>0</v>
      </c>
      <c r="Q6604" s="893">
        <f t="shared" si="463"/>
        <v>0</v>
      </c>
      <c r="R6604" s="894">
        <f t="shared" si="464"/>
        <v>14</v>
      </c>
    </row>
    <row r="6605" spans="1:18" s="904" customFormat="1">
      <c r="A6605" s="895"/>
      <c r="B6605" s="896"/>
      <c r="C6605" s="897"/>
      <c r="D6605" s="897"/>
      <c r="E6605" s="898" t="s">
        <v>108</v>
      </c>
      <c r="F6605" s="899"/>
      <c r="G6605" s="928"/>
      <c r="H6605" s="901"/>
      <c r="I6605" s="902"/>
      <c r="J6605" s="902"/>
      <c r="K6605" s="912" t="s">
        <v>274</v>
      </c>
      <c r="L6605" s="902"/>
      <c r="M6605" s="902"/>
      <c r="N6605" s="902"/>
      <c r="O6605" s="892">
        <f t="shared" si="460"/>
        <v>0</v>
      </c>
      <c r="P6605" s="903">
        <f t="shared" si="462"/>
        <v>1</v>
      </c>
      <c r="Q6605" s="893">
        <f t="shared" si="463"/>
        <v>14</v>
      </c>
      <c r="R6605" s="894">
        <f t="shared" si="464"/>
        <v>0</v>
      </c>
    </row>
    <row r="6606" spans="1:18">
      <c r="A6606" s="905"/>
      <c r="B6606" s="906"/>
      <c r="C6606" s="907">
        <v>107</v>
      </c>
      <c r="D6606" s="907" t="s">
        <v>279</v>
      </c>
      <c r="E6606" s="925" t="s">
        <v>5854</v>
      </c>
      <c r="F6606" s="909" t="s">
        <v>51</v>
      </c>
      <c r="G6606" s="910"/>
      <c r="H6606" s="911">
        <v>1</v>
      </c>
      <c r="I6606" s="912">
        <f>VLOOKUP(E6606,[3]VLP!$B$7:$K$300,10,0)</f>
        <v>40560</v>
      </c>
      <c r="J6606" s="912">
        <f t="shared" ref="J6606:J6616" si="467">I6606*H6606</f>
        <v>40560</v>
      </c>
      <c r="K6606" s="912" t="s">
        <v>274</v>
      </c>
      <c r="L6606" s="912"/>
      <c r="M6606" s="912"/>
      <c r="N6606" s="912"/>
      <c r="O6606" s="892">
        <f t="shared" si="460"/>
        <v>0</v>
      </c>
      <c r="P6606" s="903">
        <f t="shared" si="462"/>
        <v>1</v>
      </c>
      <c r="Q6606" s="893">
        <f t="shared" si="463"/>
        <v>13</v>
      </c>
      <c r="R6606" s="894">
        <f t="shared" si="464"/>
        <v>0</v>
      </c>
    </row>
    <row r="6607" spans="1:18">
      <c r="A6607" s="905"/>
      <c r="B6607" s="906"/>
      <c r="C6607" s="907">
        <v>49</v>
      </c>
      <c r="D6607" s="907" t="s">
        <v>279</v>
      </c>
      <c r="E6607" s="925" t="s">
        <v>5698</v>
      </c>
      <c r="F6607" s="909" t="s">
        <v>139</v>
      </c>
      <c r="G6607" s="910"/>
      <c r="H6607" s="911">
        <v>2</v>
      </c>
      <c r="I6607" s="912">
        <f>VLOOKUP(E6607,[3]VLP!$B$7:$K$300,10,0)</f>
        <v>3000</v>
      </c>
      <c r="J6607" s="912">
        <f t="shared" si="467"/>
        <v>6000</v>
      </c>
      <c r="K6607" s="912" t="s">
        <v>274</v>
      </c>
      <c r="L6607" s="912"/>
      <c r="M6607" s="912"/>
      <c r="N6607" s="912"/>
      <c r="O6607" s="892">
        <f t="shared" si="460"/>
        <v>0</v>
      </c>
      <c r="P6607" s="903">
        <f t="shared" si="462"/>
        <v>1</v>
      </c>
      <c r="Q6607" s="893">
        <f t="shared" si="463"/>
        <v>12</v>
      </c>
      <c r="R6607" s="894">
        <f t="shared" si="464"/>
        <v>0</v>
      </c>
    </row>
    <row r="6608" spans="1:18">
      <c r="A6608" s="905"/>
      <c r="B6608" s="906"/>
      <c r="C6608" s="907">
        <v>50</v>
      </c>
      <c r="D6608" s="907" t="s">
        <v>279</v>
      </c>
      <c r="E6608" s="925" t="s">
        <v>5836</v>
      </c>
      <c r="F6608" s="909" t="s">
        <v>49</v>
      </c>
      <c r="G6608" s="910"/>
      <c r="H6608" s="911">
        <v>4</v>
      </c>
      <c r="I6608" s="912">
        <f>VLOOKUP(E6608,[3]VLP!$B$7:$K$300,10,0)</f>
        <v>85790</v>
      </c>
      <c r="J6608" s="912">
        <f t="shared" si="467"/>
        <v>343160</v>
      </c>
      <c r="K6608" s="912" t="s">
        <v>274</v>
      </c>
      <c r="L6608" s="912"/>
      <c r="M6608" s="912"/>
      <c r="N6608" s="912"/>
      <c r="O6608" s="892">
        <f t="shared" si="460"/>
        <v>0</v>
      </c>
      <c r="P6608" s="903">
        <f t="shared" si="462"/>
        <v>1</v>
      </c>
      <c r="Q6608" s="893">
        <f t="shared" si="463"/>
        <v>11</v>
      </c>
      <c r="R6608" s="894">
        <f t="shared" si="464"/>
        <v>0</v>
      </c>
    </row>
    <row r="6609" spans="1:18">
      <c r="A6609" s="905"/>
      <c r="B6609" s="906"/>
      <c r="C6609" s="907">
        <v>46</v>
      </c>
      <c r="D6609" s="907" t="s">
        <v>279</v>
      </c>
      <c r="E6609" s="925" t="s">
        <v>3179</v>
      </c>
      <c r="F6609" s="909" t="s">
        <v>45</v>
      </c>
      <c r="G6609" s="910"/>
      <c r="H6609" s="911">
        <v>7.2</v>
      </c>
      <c r="I6609" s="912">
        <f>VLOOKUP(E6609,[3]VLP!$B$7:$K$300,10,0)</f>
        <v>20500</v>
      </c>
      <c r="J6609" s="912">
        <f t="shared" si="467"/>
        <v>147600</v>
      </c>
      <c r="K6609" s="912" t="s">
        <v>274</v>
      </c>
      <c r="L6609" s="912"/>
      <c r="M6609" s="912"/>
      <c r="N6609" s="912"/>
      <c r="O6609" s="892">
        <f t="shared" si="460"/>
        <v>0</v>
      </c>
      <c r="P6609" s="903">
        <f t="shared" si="462"/>
        <v>1</v>
      </c>
      <c r="Q6609" s="893">
        <f t="shared" si="463"/>
        <v>10</v>
      </c>
      <c r="R6609" s="894">
        <f t="shared" si="464"/>
        <v>0</v>
      </c>
    </row>
    <row r="6610" spans="1:18">
      <c r="A6610" s="905"/>
      <c r="B6610" s="906"/>
      <c r="C6610" s="907">
        <v>25</v>
      </c>
      <c r="D6610" s="907" t="s">
        <v>279</v>
      </c>
      <c r="E6610" s="925" t="s">
        <v>5656</v>
      </c>
      <c r="F6610" s="926" t="s">
        <v>2690</v>
      </c>
      <c r="G6610" s="910"/>
      <c r="H6610" s="911">
        <v>1.8</v>
      </c>
      <c r="I6610" s="912">
        <f>VLOOKUP(E6610,[3]VLP!$B$7:$K$300,10,0)</f>
        <v>5000</v>
      </c>
      <c r="J6610" s="912">
        <f t="shared" si="467"/>
        <v>9000</v>
      </c>
      <c r="K6610" s="912" t="s">
        <v>274</v>
      </c>
      <c r="L6610" s="912"/>
      <c r="M6610" s="912"/>
      <c r="N6610" s="912"/>
      <c r="O6610" s="892">
        <f t="shared" si="460"/>
        <v>0</v>
      </c>
      <c r="P6610" s="903">
        <f t="shared" si="462"/>
        <v>1</v>
      </c>
      <c r="Q6610" s="893">
        <f t="shared" si="463"/>
        <v>9</v>
      </c>
      <c r="R6610" s="894">
        <f t="shared" si="464"/>
        <v>0</v>
      </c>
    </row>
    <row r="6611" spans="1:18">
      <c r="A6611" s="905"/>
      <c r="B6611" s="906"/>
      <c r="C6611" s="907">
        <v>127</v>
      </c>
      <c r="D6611" s="907" t="s">
        <v>279</v>
      </c>
      <c r="E6611" s="925" t="s">
        <v>5657</v>
      </c>
      <c r="F6611" s="909" t="s">
        <v>45</v>
      </c>
      <c r="G6611" s="910"/>
      <c r="H6611" s="911">
        <v>0.6</v>
      </c>
      <c r="I6611" s="912">
        <f>VLOOKUP(E6611,[3]VLP!$B$7:$K$300,10,0)</f>
        <v>25155</v>
      </c>
      <c r="J6611" s="912">
        <f t="shared" si="467"/>
        <v>15093</v>
      </c>
      <c r="K6611" s="912" t="s">
        <v>274</v>
      </c>
      <c r="L6611" s="912"/>
      <c r="M6611" s="912"/>
      <c r="N6611" s="912"/>
      <c r="O6611" s="892">
        <f t="shared" si="460"/>
        <v>0</v>
      </c>
      <c r="P6611" s="903">
        <f t="shared" si="462"/>
        <v>1</v>
      </c>
      <c r="Q6611" s="893">
        <f t="shared" si="463"/>
        <v>8</v>
      </c>
      <c r="R6611" s="894">
        <f t="shared" si="464"/>
        <v>0</v>
      </c>
    </row>
    <row r="6612" spans="1:18">
      <c r="A6612" s="905"/>
      <c r="B6612" s="906"/>
      <c r="C6612" s="907">
        <v>44</v>
      </c>
      <c r="D6612" s="907" t="s">
        <v>279</v>
      </c>
      <c r="E6612" s="925" t="s">
        <v>2681</v>
      </c>
      <c r="F6612" s="926" t="s">
        <v>45</v>
      </c>
      <c r="G6612" s="910"/>
      <c r="H6612" s="911">
        <v>0.86</v>
      </c>
      <c r="I6612" s="912">
        <f>VLOOKUP(E6612,[3]VLP!$B$7:$K$300,10,0)</f>
        <v>23000</v>
      </c>
      <c r="J6612" s="912">
        <f t="shared" si="467"/>
        <v>19780</v>
      </c>
      <c r="K6612" s="912" t="s">
        <v>274</v>
      </c>
      <c r="L6612" s="912"/>
      <c r="M6612" s="912"/>
      <c r="N6612" s="912"/>
      <c r="O6612" s="892">
        <f t="shared" si="460"/>
        <v>0</v>
      </c>
      <c r="P6612" s="903">
        <f t="shared" si="462"/>
        <v>1</v>
      </c>
      <c r="Q6612" s="893">
        <f t="shared" si="463"/>
        <v>7</v>
      </c>
      <c r="R6612" s="894">
        <f t="shared" si="464"/>
        <v>0</v>
      </c>
    </row>
    <row r="6613" spans="1:18">
      <c r="A6613" s="905"/>
      <c r="B6613" s="906"/>
      <c r="C6613" s="907">
        <v>66</v>
      </c>
      <c r="D6613" s="907" t="s">
        <v>279</v>
      </c>
      <c r="E6613" s="925" t="s">
        <v>2682</v>
      </c>
      <c r="F6613" s="926" t="s">
        <v>45</v>
      </c>
      <c r="G6613" s="910"/>
      <c r="H6613" s="911">
        <v>0.36</v>
      </c>
      <c r="I6613" s="912">
        <f>VLOOKUP(E6613,[3]VLP!$B$7:$K$300,10,0)</f>
        <v>5000</v>
      </c>
      <c r="J6613" s="912">
        <f t="shared" si="467"/>
        <v>1800</v>
      </c>
      <c r="K6613" s="912" t="s">
        <v>274</v>
      </c>
      <c r="L6613" s="912"/>
      <c r="M6613" s="912"/>
      <c r="N6613" s="912"/>
      <c r="O6613" s="892">
        <f t="shared" si="460"/>
        <v>0</v>
      </c>
      <c r="P6613" s="903">
        <f t="shared" si="462"/>
        <v>1</v>
      </c>
      <c r="Q6613" s="893">
        <f t="shared" si="463"/>
        <v>6</v>
      </c>
      <c r="R6613" s="894">
        <f t="shared" si="464"/>
        <v>0</v>
      </c>
    </row>
    <row r="6614" spans="1:18">
      <c r="A6614" s="905"/>
      <c r="B6614" s="906"/>
      <c r="C6614" s="907">
        <v>65</v>
      </c>
      <c r="D6614" s="907" t="s">
        <v>279</v>
      </c>
      <c r="E6614" s="925" t="s">
        <v>5983</v>
      </c>
      <c r="F6614" s="926" t="s">
        <v>3144</v>
      </c>
      <c r="G6614" s="910"/>
      <c r="H6614" s="911">
        <v>1.2</v>
      </c>
      <c r="I6614" s="912">
        <f>VLOOKUP(E6614,[3]VLP!$B$7:$K$300,10,0)</f>
        <v>14000</v>
      </c>
      <c r="J6614" s="912">
        <f t="shared" si="467"/>
        <v>16800</v>
      </c>
      <c r="K6614" s="912" t="s">
        <v>274</v>
      </c>
      <c r="L6614" s="912"/>
      <c r="M6614" s="912"/>
      <c r="N6614" s="912"/>
      <c r="O6614" s="892">
        <f t="shared" si="460"/>
        <v>0</v>
      </c>
      <c r="P6614" s="903">
        <f t="shared" si="462"/>
        <v>1</v>
      </c>
      <c r="Q6614" s="893">
        <f t="shared" si="463"/>
        <v>5</v>
      </c>
      <c r="R6614" s="894">
        <f t="shared" si="464"/>
        <v>0</v>
      </c>
    </row>
    <row r="6615" spans="1:18">
      <c r="A6615" s="905"/>
      <c r="B6615" s="906"/>
      <c r="C6615" s="907">
        <v>89</v>
      </c>
      <c r="D6615" s="907" t="s">
        <v>279</v>
      </c>
      <c r="E6615" s="925" t="s">
        <v>5984</v>
      </c>
      <c r="F6615" s="926" t="s">
        <v>45</v>
      </c>
      <c r="G6615" s="910"/>
      <c r="H6615" s="911">
        <v>0.18</v>
      </c>
      <c r="I6615" s="912">
        <f>VLOOKUP(E6615,[3]VLP!$B$7:$K$300,10,0)</f>
        <v>1000</v>
      </c>
      <c r="J6615" s="912">
        <f t="shared" si="467"/>
        <v>180</v>
      </c>
      <c r="K6615" s="912" t="s">
        <v>274</v>
      </c>
      <c r="L6615" s="912"/>
      <c r="M6615" s="912"/>
      <c r="N6615" s="912"/>
      <c r="O6615" s="892">
        <f t="shared" si="460"/>
        <v>0</v>
      </c>
      <c r="P6615" s="903">
        <f t="shared" si="462"/>
        <v>1</v>
      </c>
      <c r="Q6615" s="893">
        <f t="shared" si="463"/>
        <v>4</v>
      </c>
      <c r="R6615" s="894">
        <f t="shared" si="464"/>
        <v>0</v>
      </c>
    </row>
    <row r="6616" spans="1:18">
      <c r="A6616" s="905"/>
      <c r="B6616" s="906"/>
      <c r="C6616" s="907">
        <v>699</v>
      </c>
      <c r="D6616" s="907" t="s">
        <v>279</v>
      </c>
      <c r="E6616" s="925" t="s">
        <v>4006</v>
      </c>
      <c r="F6616" s="926" t="s">
        <v>4007</v>
      </c>
      <c r="G6616" s="910"/>
      <c r="H6616" s="911">
        <v>5</v>
      </c>
      <c r="I6616" s="912">
        <f>VLOOKUP(E6616,[3]VLP!$B$7:$K$300,10,0)</f>
        <v>5000</v>
      </c>
      <c r="J6616" s="912">
        <f t="shared" si="467"/>
        <v>25000</v>
      </c>
      <c r="K6616" s="912" t="s">
        <v>274</v>
      </c>
      <c r="L6616" s="912"/>
      <c r="M6616" s="912"/>
      <c r="N6616" s="912"/>
      <c r="O6616" s="892">
        <f t="shared" si="460"/>
        <v>0</v>
      </c>
      <c r="P6616" s="903">
        <f t="shared" si="462"/>
        <v>1</v>
      </c>
      <c r="Q6616" s="893">
        <f t="shared" si="463"/>
        <v>3</v>
      </c>
      <c r="R6616" s="894">
        <f t="shared" si="464"/>
        <v>0</v>
      </c>
    </row>
    <row r="6617" spans="1:18" s="904" customFormat="1">
      <c r="A6617" s="895"/>
      <c r="B6617" s="896"/>
      <c r="C6617" s="897"/>
      <c r="D6617" s="897"/>
      <c r="E6617" s="924" t="s">
        <v>276</v>
      </c>
      <c r="F6617" s="927"/>
      <c r="G6617" s="928"/>
      <c r="H6617" s="901"/>
      <c r="I6617" s="902"/>
      <c r="J6617" s="902"/>
      <c r="K6617" s="912" t="s">
        <v>274</v>
      </c>
      <c r="L6617" s="902"/>
      <c r="M6617" s="902"/>
      <c r="N6617" s="902"/>
      <c r="O6617" s="892">
        <f t="shared" si="460"/>
        <v>0</v>
      </c>
      <c r="P6617" s="903">
        <f t="shared" si="462"/>
        <v>1</v>
      </c>
      <c r="Q6617" s="893">
        <f t="shared" si="463"/>
        <v>2</v>
      </c>
      <c r="R6617" s="894">
        <f t="shared" si="464"/>
        <v>0</v>
      </c>
    </row>
    <row r="6618" spans="1:18">
      <c r="A6618" s="905"/>
      <c r="B6618" s="906"/>
      <c r="C6618" s="907">
        <v>745</v>
      </c>
      <c r="D6618" s="907" t="s">
        <v>12</v>
      </c>
      <c r="E6618" s="908" t="s">
        <v>5518</v>
      </c>
      <c r="F6618" s="909" t="s">
        <v>2674</v>
      </c>
      <c r="G6618" s="910"/>
      <c r="H6618" s="911">
        <v>7.27</v>
      </c>
      <c r="I6618" s="912"/>
      <c r="J6618" s="912"/>
      <c r="K6618" s="912">
        <f>VLOOKUP(E6618,[5]ĐMNC!$A$7:$F$67,4,0)</f>
        <v>240557</v>
      </c>
      <c r="L6618" s="912">
        <f>H6618*K6618</f>
        <v>1748849.39</v>
      </c>
      <c r="M6618" s="912"/>
      <c r="N6618" s="912"/>
      <c r="O6618" s="892">
        <f t="shared" si="460"/>
        <v>0</v>
      </c>
      <c r="P6618" s="903">
        <f t="shared" si="462"/>
        <v>1</v>
      </c>
      <c r="Q6618" s="893">
        <f t="shared" si="463"/>
        <v>1</v>
      </c>
      <c r="R6618" s="894">
        <f t="shared" si="464"/>
        <v>0</v>
      </c>
    </row>
    <row r="6619" spans="1:18" s="847" customFormat="1" ht="35.25" customHeight="1">
      <c r="A6619" s="905" t="s">
        <v>5955</v>
      </c>
      <c r="B6619" s="914" t="s">
        <v>5997</v>
      </c>
      <c r="C6619" s="915"/>
      <c r="D6619" s="915"/>
      <c r="E6619" s="916" t="s">
        <v>5998</v>
      </c>
      <c r="F6619" s="917" t="s">
        <v>5834</v>
      </c>
      <c r="G6619" s="944"/>
      <c r="H6619" s="919"/>
      <c r="I6619" s="920"/>
      <c r="J6619" s="891">
        <f>SUM(J6620:J6633)</f>
        <v>533277.5</v>
      </c>
      <c r="K6619" s="891" t="s">
        <v>274</v>
      </c>
      <c r="L6619" s="891">
        <f>SUM(L6620:L6633)</f>
        <v>834732.79</v>
      </c>
      <c r="M6619" s="891"/>
      <c r="N6619" s="891">
        <f>SUM(N6620:N6633)</f>
        <v>0</v>
      </c>
      <c r="O6619" s="892">
        <f t="shared" si="460"/>
        <v>1</v>
      </c>
      <c r="P6619" s="903">
        <f t="shared" si="462"/>
        <v>0</v>
      </c>
      <c r="Q6619" s="893">
        <f t="shared" si="463"/>
        <v>0</v>
      </c>
      <c r="R6619" s="894">
        <f t="shared" si="464"/>
        <v>14</v>
      </c>
    </row>
    <row r="6620" spans="1:18" s="904" customFormat="1">
      <c r="A6620" s="895"/>
      <c r="B6620" s="896"/>
      <c r="C6620" s="897"/>
      <c r="D6620" s="897"/>
      <c r="E6620" s="898" t="s">
        <v>108</v>
      </c>
      <c r="F6620" s="899"/>
      <c r="G6620" s="928"/>
      <c r="H6620" s="901"/>
      <c r="I6620" s="902"/>
      <c r="J6620" s="902"/>
      <c r="K6620" s="912" t="s">
        <v>274</v>
      </c>
      <c r="L6620" s="902"/>
      <c r="M6620" s="902"/>
      <c r="N6620" s="902"/>
      <c r="O6620" s="892">
        <f t="shared" si="460"/>
        <v>0</v>
      </c>
      <c r="P6620" s="903">
        <f t="shared" si="462"/>
        <v>1</v>
      </c>
      <c r="Q6620" s="893">
        <f t="shared" si="463"/>
        <v>14</v>
      </c>
      <c r="R6620" s="894">
        <f t="shared" si="464"/>
        <v>0</v>
      </c>
    </row>
    <row r="6621" spans="1:18">
      <c r="A6621" s="905"/>
      <c r="B6621" s="906"/>
      <c r="C6621" s="907">
        <v>101</v>
      </c>
      <c r="D6621" s="907" t="s">
        <v>279</v>
      </c>
      <c r="E6621" s="925" t="s">
        <v>5835</v>
      </c>
      <c r="F6621" s="909" t="s">
        <v>51</v>
      </c>
      <c r="G6621" s="910"/>
      <c r="H6621" s="911">
        <v>1</v>
      </c>
      <c r="I6621" s="912">
        <f>VLOOKUP(E6621,[3]VLP!$B$7:$K$300,10,0)</f>
        <v>10140</v>
      </c>
      <c r="J6621" s="912">
        <f t="shared" ref="J6621:J6631" si="468">I6621*H6621</f>
        <v>10140</v>
      </c>
      <c r="K6621" s="912" t="s">
        <v>274</v>
      </c>
      <c r="L6621" s="912"/>
      <c r="M6621" s="912"/>
      <c r="N6621" s="912"/>
      <c r="O6621" s="892">
        <f t="shared" si="460"/>
        <v>0</v>
      </c>
      <c r="P6621" s="903">
        <f t="shared" si="462"/>
        <v>1</v>
      </c>
      <c r="Q6621" s="893">
        <f t="shared" si="463"/>
        <v>13</v>
      </c>
      <c r="R6621" s="894">
        <f t="shared" si="464"/>
        <v>0</v>
      </c>
    </row>
    <row r="6622" spans="1:18">
      <c r="A6622" s="905"/>
      <c r="B6622" s="906"/>
      <c r="C6622" s="907">
        <v>49</v>
      </c>
      <c r="D6622" s="907" t="s">
        <v>279</v>
      </c>
      <c r="E6622" s="925" t="s">
        <v>5698</v>
      </c>
      <c r="F6622" s="909" t="s">
        <v>139</v>
      </c>
      <c r="G6622" s="910"/>
      <c r="H6622" s="911">
        <v>2</v>
      </c>
      <c r="I6622" s="912">
        <f>VLOOKUP(E6622,[3]VLP!$B$7:$K$300,10,0)</f>
        <v>3000</v>
      </c>
      <c r="J6622" s="912">
        <f t="shared" si="468"/>
        <v>6000</v>
      </c>
      <c r="K6622" s="912" t="s">
        <v>274</v>
      </c>
      <c r="L6622" s="912"/>
      <c r="M6622" s="912"/>
      <c r="N6622" s="912"/>
      <c r="O6622" s="892">
        <f t="shared" si="460"/>
        <v>0</v>
      </c>
      <c r="P6622" s="903">
        <f t="shared" si="462"/>
        <v>1</v>
      </c>
      <c r="Q6622" s="893">
        <f t="shared" si="463"/>
        <v>12</v>
      </c>
      <c r="R6622" s="894">
        <f t="shared" si="464"/>
        <v>0</v>
      </c>
    </row>
    <row r="6623" spans="1:18">
      <c r="A6623" s="905"/>
      <c r="B6623" s="906"/>
      <c r="C6623" s="907">
        <v>50</v>
      </c>
      <c r="D6623" s="907" t="s">
        <v>279</v>
      </c>
      <c r="E6623" s="925" t="s">
        <v>5836</v>
      </c>
      <c r="F6623" s="909" t="s">
        <v>49</v>
      </c>
      <c r="G6623" s="910"/>
      <c r="H6623" s="911">
        <v>4</v>
      </c>
      <c r="I6623" s="912">
        <f>VLOOKUP(E6623,[3]VLP!$B$7:$K$300,10,0)</f>
        <v>85790</v>
      </c>
      <c r="J6623" s="912">
        <f t="shared" si="468"/>
        <v>343160</v>
      </c>
      <c r="K6623" s="912" t="s">
        <v>274</v>
      </c>
      <c r="L6623" s="912"/>
      <c r="M6623" s="912"/>
      <c r="N6623" s="912"/>
      <c r="O6623" s="892">
        <f t="shared" ref="O6623:O6686" si="469">IF(AND(B6623&lt;&gt;"",D6623=""),1,0)</f>
        <v>0</v>
      </c>
      <c r="P6623" s="903">
        <f t="shared" si="462"/>
        <v>1</v>
      </c>
      <c r="Q6623" s="893">
        <f t="shared" si="463"/>
        <v>11</v>
      </c>
      <c r="R6623" s="894">
        <f t="shared" si="464"/>
        <v>0</v>
      </c>
    </row>
    <row r="6624" spans="1:18">
      <c r="A6624" s="905"/>
      <c r="B6624" s="906"/>
      <c r="C6624" s="907">
        <v>46</v>
      </c>
      <c r="D6624" s="907" t="s">
        <v>279</v>
      </c>
      <c r="E6624" s="925" t="s">
        <v>3179</v>
      </c>
      <c r="F6624" s="909" t="s">
        <v>45</v>
      </c>
      <c r="G6624" s="910"/>
      <c r="H6624" s="911">
        <v>5</v>
      </c>
      <c r="I6624" s="912">
        <f>VLOOKUP(E6624,[3]VLP!$B$7:$K$300,10,0)</f>
        <v>20500</v>
      </c>
      <c r="J6624" s="912">
        <f t="shared" si="468"/>
        <v>102500</v>
      </c>
      <c r="K6624" s="912" t="s">
        <v>274</v>
      </c>
      <c r="L6624" s="912"/>
      <c r="M6624" s="912"/>
      <c r="N6624" s="912"/>
      <c r="O6624" s="892">
        <f t="shared" si="469"/>
        <v>0</v>
      </c>
      <c r="P6624" s="903">
        <f t="shared" si="462"/>
        <v>1</v>
      </c>
      <c r="Q6624" s="893">
        <f t="shared" si="463"/>
        <v>10</v>
      </c>
      <c r="R6624" s="894">
        <f t="shared" si="464"/>
        <v>0</v>
      </c>
    </row>
    <row r="6625" spans="1:18">
      <c r="A6625" s="905"/>
      <c r="B6625" s="906"/>
      <c r="C6625" s="907">
        <v>25</v>
      </c>
      <c r="D6625" s="907" t="s">
        <v>279</v>
      </c>
      <c r="E6625" s="925" t="s">
        <v>5656</v>
      </c>
      <c r="F6625" s="926" t="s">
        <v>2690</v>
      </c>
      <c r="G6625" s="910"/>
      <c r="H6625" s="911">
        <v>1</v>
      </c>
      <c r="I6625" s="912">
        <f>VLOOKUP(E6625,[3]VLP!$B$7:$K$300,10,0)</f>
        <v>5000</v>
      </c>
      <c r="J6625" s="912">
        <f t="shared" si="468"/>
        <v>5000</v>
      </c>
      <c r="K6625" s="912" t="s">
        <v>274</v>
      </c>
      <c r="L6625" s="912"/>
      <c r="M6625" s="912"/>
      <c r="N6625" s="912"/>
      <c r="O6625" s="892">
        <f t="shared" si="469"/>
        <v>0</v>
      </c>
      <c r="P6625" s="903">
        <f t="shared" si="462"/>
        <v>1</v>
      </c>
      <c r="Q6625" s="893">
        <f t="shared" si="463"/>
        <v>9</v>
      </c>
      <c r="R6625" s="894">
        <f t="shared" si="464"/>
        <v>0</v>
      </c>
    </row>
    <row r="6626" spans="1:18">
      <c r="A6626" s="905"/>
      <c r="B6626" s="906"/>
      <c r="C6626" s="907">
        <v>127</v>
      </c>
      <c r="D6626" s="907" t="s">
        <v>279</v>
      </c>
      <c r="E6626" s="925" t="s">
        <v>5657</v>
      </c>
      <c r="F6626" s="909" t="s">
        <v>45</v>
      </c>
      <c r="G6626" s="910"/>
      <c r="H6626" s="911">
        <v>0.5</v>
      </c>
      <c r="I6626" s="912">
        <f>VLOOKUP(E6626,[3]VLP!$B$7:$K$300,10,0)</f>
        <v>25155</v>
      </c>
      <c r="J6626" s="912">
        <f t="shared" si="468"/>
        <v>12577.5</v>
      </c>
      <c r="K6626" s="912" t="s">
        <v>274</v>
      </c>
      <c r="L6626" s="912"/>
      <c r="M6626" s="912"/>
      <c r="N6626" s="912"/>
      <c r="O6626" s="892">
        <f t="shared" si="469"/>
        <v>0</v>
      </c>
      <c r="P6626" s="903">
        <f t="shared" si="462"/>
        <v>1</v>
      </c>
      <c r="Q6626" s="893">
        <f t="shared" si="463"/>
        <v>8</v>
      </c>
      <c r="R6626" s="894">
        <f t="shared" si="464"/>
        <v>0</v>
      </c>
    </row>
    <row r="6627" spans="1:18">
      <c r="A6627" s="905"/>
      <c r="B6627" s="906"/>
      <c r="C6627" s="907">
        <v>44</v>
      </c>
      <c r="D6627" s="907" t="s">
        <v>279</v>
      </c>
      <c r="E6627" s="925" t="s">
        <v>2681</v>
      </c>
      <c r="F6627" s="926" t="s">
        <v>45</v>
      </c>
      <c r="G6627" s="910"/>
      <c r="H6627" s="911">
        <v>0.6</v>
      </c>
      <c r="I6627" s="912">
        <f>VLOOKUP(E6627,[3]VLP!$B$7:$K$300,10,0)</f>
        <v>23000</v>
      </c>
      <c r="J6627" s="912">
        <f t="shared" si="468"/>
        <v>13800</v>
      </c>
      <c r="K6627" s="912" t="s">
        <v>274</v>
      </c>
      <c r="L6627" s="912"/>
      <c r="M6627" s="912"/>
      <c r="N6627" s="912"/>
      <c r="O6627" s="892">
        <f t="shared" si="469"/>
        <v>0</v>
      </c>
      <c r="P6627" s="903">
        <f t="shared" si="462"/>
        <v>1</v>
      </c>
      <c r="Q6627" s="893">
        <f t="shared" si="463"/>
        <v>7</v>
      </c>
      <c r="R6627" s="894">
        <f t="shared" si="464"/>
        <v>0</v>
      </c>
    </row>
    <row r="6628" spans="1:18">
      <c r="A6628" s="905"/>
      <c r="B6628" s="906"/>
      <c r="C6628" s="907">
        <v>66</v>
      </c>
      <c r="D6628" s="907" t="s">
        <v>279</v>
      </c>
      <c r="E6628" s="925" t="s">
        <v>2682</v>
      </c>
      <c r="F6628" s="926" t="s">
        <v>45</v>
      </c>
      <c r="G6628" s="910"/>
      <c r="H6628" s="911">
        <v>0.2</v>
      </c>
      <c r="I6628" s="912">
        <f>VLOOKUP(E6628,[3]VLP!$B$7:$K$300,10,0)</f>
        <v>5000</v>
      </c>
      <c r="J6628" s="912">
        <f t="shared" si="468"/>
        <v>1000</v>
      </c>
      <c r="K6628" s="912" t="s">
        <v>274</v>
      </c>
      <c r="L6628" s="912"/>
      <c r="M6628" s="912"/>
      <c r="N6628" s="912"/>
      <c r="O6628" s="892">
        <f t="shared" si="469"/>
        <v>0</v>
      </c>
      <c r="P6628" s="903">
        <f t="shared" si="462"/>
        <v>1</v>
      </c>
      <c r="Q6628" s="893">
        <f t="shared" si="463"/>
        <v>6</v>
      </c>
      <c r="R6628" s="894">
        <f t="shared" si="464"/>
        <v>0</v>
      </c>
    </row>
    <row r="6629" spans="1:18">
      <c r="A6629" s="905"/>
      <c r="B6629" s="906"/>
      <c r="C6629" s="907">
        <v>65</v>
      </c>
      <c r="D6629" s="907" t="s">
        <v>279</v>
      </c>
      <c r="E6629" s="925" t="s">
        <v>5983</v>
      </c>
      <c r="F6629" s="926" t="s">
        <v>3144</v>
      </c>
      <c r="G6629" s="910"/>
      <c r="H6629" s="911">
        <v>1</v>
      </c>
      <c r="I6629" s="912">
        <f>VLOOKUP(E6629,[3]VLP!$B$7:$K$300,10,0)</f>
        <v>14000</v>
      </c>
      <c r="J6629" s="912">
        <f t="shared" si="468"/>
        <v>14000</v>
      </c>
      <c r="K6629" s="912" t="s">
        <v>274</v>
      </c>
      <c r="L6629" s="912"/>
      <c r="M6629" s="912"/>
      <c r="N6629" s="912"/>
      <c r="O6629" s="892">
        <f t="shared" si="469"/>
        <v>0</v>
      </c>
      <c r="P6629" s="903">
        <f t="shared" si="462"/>
        <v>1</v>
      </c>
      <c r="Q6629" s="893">
        <f t="shared" si="463"/>
        <v>5</v>
      </c>
      <c r="R6629" s="894">
        <f t="shared" si="464"/>
        <v>0</v>
      </c>
    </row>
    <row r="6630" spans="1:18">
      <c r="A6630" s="905"/>
      <c r="B6630" s="906"/>
      <c r="C6630" s="907">
        <v>89</v>
      </c>
      <c r="D6630" s="907" t="s">
        <v>279</v>
      </c>
      <c r="E6630" s="925" t="s">
        <v>5984</v>
      </c>
      <c r="F6630" s="926" t="s">
        <v>45</v>
      </c>
      <c r="G6630" s="910"/>
      <c r="H6630" s="911">
        <v>0.1</v>
      </c>
      <c r="I6630" s="912">
        <f>VLOOKUP(E6630,[3]VLP!$B$7:$K$300,10,0)</f>
        <v>1000</v>
      </c>
      <c r="J6630" s="912">
        <f t="shared" si="468"/>
        <v>100</v>
      </c>
      <c r="K6630" s="912" t="s">
        <v>274</v>
      </c>
      <c r="L6630" s="912"/>
      <c r="M6630" s="912"/>
      <c r="N6630" s="912"/>
      <c r="O6630" s="892">
        <f t="shared" si="469"/>
        <v>0</v>
      </c>
      <c r="P6630" s="903">
        <f t="shared" si="462"/>
        <v>1</v>
      </c>
      <c r="Q6630" s="893">
        <f t="shared" si="463"/>
        <v>4</v>
      </c>
      <c r="R6630" s="894">
        <f t="shared" si="464"/>
        <v>0</v>
      </c>
    </row>
    <row r="6631" spans="1:18">
      <c r="A6631" s="905"/>
      <c r="B6631" s="906"/>
      <c r="C6631" s="907">
        <v>699</v>
      </c>
      <c r="D6631" s="907" t="s">
        <v>279</v>
      </c>
      <c r="E6631" s="925" t="s">
        <v>4006</v>
      </c>
      <c r="F6631" s="926" t="s">
        <v>4007</v>
      </c>
      <c r="G6631" s="910"/>
      <c r="H6631" s="911">
        <v>5</v>
      </c>
      <c r="I6631" s="912">
        <f>VLOOKUP(E6631,[3]VLP!$B$7:$K$300,10,0)</f>
        <v>5000</v>
      </c>
      <c r="J6631" s="912">
        <f t="shared" si="468"/>
        <v>25000</v>
      </c>
      <c r="K6631" s="912" t="s">
        <v>274</v>
      </c>
      <c r="L6631" s="912"/>
      <c r="M6631" s="912"/>
      <c r="N6631" s="912"/>
      <c r="O6631" s="892">
        <f t="shared" si="469"/>
        <v>0</v>
      </c>
      <c r="P6631" s="903">
        <f t="shared" si="462"/>
        <v>1</v>
      </c>
      <c r="Q6631" s="893">
        <f t="shared" si="463"/>
        <v>3</v>
      </c>
      <c r="R6631" s="894">
        <f t="shared" si="464"/>
        <v>0</v>
      </c>
    </row>
    <row r="6632" spans="1:18" s="904" customFormat="1">
      <c r="A6632" s="895"/>
      <c r="B6632" s="896"/>
      <c r="C6632" s="897"/>
      <c r="D6632" s="897"/>
      <c r="E6632" s="924" t="s">
        <v>276</v>
      </c>
      <c r="F6632" s="927"/>
      <c r="G6632" s="928"/>
      <c r="H6632" s="901"/>
      <c r="I6632" s="902"/>
      <c r="J6632" s="902"/>
      <c r="K6632" s="912" t="s">
        <v>274</v>
      </c>
      <c r="L6632" s="902"/>
      <c r="M6632" s="902"/>
      <c r="N6632" s="902"/>
      <c r="O6632" s="892">
        <f t="shared" si="469"/>
        <v>0</v>
      </c>
      <c r="P6632" s="903">
        <f t="shared" ref="P6632:P6695" si="470">IF(O6632=0,1,0)</f>
        <v>1</v>
      </c>
      <c r="Q6632" s="893">
        <f t="shared" ref="Q6632:Q6695" si="471">IF(P6632=0,0,P6632+Q6633)</f>
        <v>2</v>
      </c>
      <c r="R6632" s="894">
        <f t="shared" ref="R6632:R6695" si="472">IF(Q6632=0,Q6633,0)</f>
        <v>0</v>
      </c>
    </row>
    <row r="6633" spans="1:18">
      <c r="A6633" s="905"/>
      <c r="B6633" s="906"/>
      <c r="C6633" s="907">
        <v>745</v>
      </c>
      <c r="D6633" s="907" t="s">
        <v>12</v>
      </c>
      <c r="E6633" s="908" t="s">
        <v>5518</v>
      </c>
      <c r="F6633" s="909" t="s">
        <v>2674</v>
      </c>
      <c r="G6633" s="910"/>
      <c r="H6633" s="911">
        <v>3.47</v>
      </c>
      <c r="I6633" s="912"/>
      <c r="J6633" s="912"/>
      <c r="K6633" s="912">
        <f>VLOOKUP(E6633,[5]ĐMNC!$A$7:$F$67,4,0)</f>
        <v>240557</v>
      </c>
      <c r="L6633" s="912">
        <f>H6633*K6633</f>
        <v>834732.79</v>
      </c>
      <c r="M6633" s="912"/>
      <c r="N6633" s="912"/>
      <c r="O6633" s="892">
        <f t="shared" si="469"/>
        <v>0</v>
      </c>
      <c r="P6633" s="903">
        <f t="shared" si="470"/>
        <v>1</v>
      </c>
      <c r="Q6633" s="893">
        <f t="shared" si="471"/>
        <v>1</v>
      </c>
      <c r="R6633" s="894">
        <f t="shared" si="472"/>
        <v>0</v>
      </c>
    </row>
    <row r="6634" spans="1:18" s="847" customFormat="1" ht="35.25" customHeight="1">
      <c r="A6634" s="905"/>
      <c r="B6634" s="914" t="s">
        <v>5999</v>
      </c>
      <c r="C6634" s="915"/>
      <c r="D6634" s="915"/>
      <c r="E6634" s="916" t="s">
        <v>6000</v>
      </c>
      <c r="F6634" s="917" t="s">
        <v>5834</v>
      </c>
      <c r="G6634" s="944"/>
      <c r="H6634" s="919"/>
      <c r="I6634" s="920"/>
      <c r="J6634" s="891">
        <f>SUM(J6635:J6648)</f>
        <v>536657.5</v>
      </c>
      <c r="K6634" s="891" t="s">
        <v>274</v>
      </c>
      <c r="L6634" s="891">
        <f>SUM(L6635:L6648)</f>
        <v>1041611.81</v>
      </c>
      <c r="M6634" s="891"/>
      <c r="N6634" s="891">
        <f>SUM(N6635:N6648)</f>
        <v>0</v>
      </c>
      <c r="O6634" s="892">
        <f t="shared" si="469"/>
        <v>1</v>
      </c>
      <c r="P6634" s="903">
        <f t="shared" si="470"/>
        <v>0</v>
      </c>
      <c r="Q6634" s="893">
        <f t="shared" si="471"/>
        <v>0</v>
      </c>
      <c r="R6634" s="894">
        <f t="shared" si="472"/>
        <v>14</v>
      </c>
    </row>
    <row r="6635" spans="1:18" s="904" customFormat="1">
      <c r="A6635" s="895"/>
      <c r="B6635" s="896"/>
      <c r="C6635" s="897"/>
      <c r="D6635" s="897"/>
      <c r="E6635" s="898" t="s">
        <v>108</v>
      </c>
      <c r="F6635" s="899"/>
      <c r="G6635" s="928"/>
      <c r="H6635" s="901"/>
      <c r="I6635" s="902"/>
      <c r="J6635" s="902"/>
      <c r="K6635" s="912" t="s">
        <v>274</v>
      </c>
      <c r="L6635" s="902"/>
      <c r="M6635" s="902"/>
      <c r="N6635" s="902"/>
      <c r="O6635" s="892">
        <f t="shared" si="469"/>
        <v>0</v>
      </c>
      <c r="P6635" s="903">
        <f t="shared" si="470"/>
        <v>1</v>
      </c>
      <c r="Q6635" s="893">
        <f t="shared" si="471"/>
        <v>14</v>
      </c>
      <c r="R6635" s="894">
        <f t="shared" si="472"/>
        <v>0</v>
      </c>
    </row>
    <row r="6636" spans="1:18">
      <c r="A6636" s="905"/>
      <c r="B6636" s="906"/>
      <c r="C6636" s="907">
        <v>102</v>
      </c>
      <c r="D6636" s="907" t="s">
        <v>279</v>
      </c>
      <c r="E6636" s="925" t="s">
        <v>5839</v>
      </c>
      <c r="F6636" s="909" t="s">
        <v>51</v>
      </c>
      <c r="G6636" s="910"/>
      <c r="H6636" s="911">
        <v>1</v>
      </c>
      <c r="I6636" s="912">
        <f>VLOOKUP(E6636,[3]VLP!$B$7:$K$300,10,0)</f>
        <v>13520</v>
      </c>
      <c r="J6636" s="912">
        <f t="shared" ref="J6636:J6646" si="473">I6636*H6636</f>
        <v>13520</v>
      </c>
      <c r="K6636" s="912" t="s">
        <v>274</v>
      </c>
      <c r="L6636" s="912"/>
      <c r="M6636" s="912"/>
      <c r="N6636" s="912"/>
      <c r="O6636" s="892">
        <f t="shared" si="469"/>
        <v>0</v>
      </c>
      <c r="P6636" s="903">
        <f t="shared" si="470"/>
        <v>1</v>
      </c>
      <c r="Q6636" s="893">
        <f t="shared" si="471"/>
        <v>13</v>
      </c>
      <c r="R6636" s="894">
        <f t="shared" si="472"/>
        <v>0</v>
      </c>
    </row>
    <row r="6637" spans="1:18">
      <c r="A6637" s="905"/>
      <c r="B6637" s="906"/>
      <c r="C6637" s="907">
        <v>49</v>
      </c>
      <c r="D6637" s="907" t="s">
        <v>279</v>
      </c>
      <c r="E6637" s="925" t="s">
        <v>5698</v>
      </c>
      <c r="F6637" s="909" t="s">
        <v>139</v>
      </c>
      <c r="G6637" s="910"/>
      <c r="H6637" s="911">
        <v>2</v>
      </c>
      <c r="I6637" s="912">
        <f>VLOOKUP(E6637,[3]VLP!$B$7:$K$300,10,0)</f>
        <v>3000</v>
      </c>
      <c r="J6637" s="912">
        <f t="shared" si="473"/>
        <v>6000</v>
      </c>
      <c r="K6637" s="912" t="s">
        <v>274</v>
      </c>
      <c r="L6637" s="912"/>
      <c r="M6637" s="912"/>
      <c r="N6637" s="912"/>
      <c r="O6637" s="892">
        <f t="shared" si="469"/>
        <v>0</v>
      </c>
      <c r="P6637" s="903">
        <f t="shared" si="470"/>
        <v>1</v>
      </c>
      <c r="Q6637" s="893">
        <f t="shared" si="471"/>
        <v>12</v>
      </c>
      <c r="R6637" s="894">
        <f t="shared" si="472"/>
        <v>0</v>
      </c>
    </row>
    <row r="6638" spans="1:18">
      <c r="A6638" s="905"/>
      <c r="B6638" s="906"/>
      <c r="C6638" s="907">
        <v>50</v>
      </c>
      <c r="D6638" s="907" t="s">
        <v>279</v>
      </c>
      <c r="E6638" s="925" t="s">
        <v>5836</v>
      </c>
      <c r="F6638" s="909" t="s">
        <v>49</v>
      </c>
      <c r="G6638" s="910"/>
      <c r="H6638" s="911">
        <v>4</v>
      </c>
      <c r="I6638" s="912">
        <f>VLOOKUP(E6638,[3]VLP!$B$7:$K$300,10,0)</f>
        <v>85790</v>
      </c>
      <c r="J6638" s="912">
        <f t="shared" si="473"/>
        <v>343160</v>
      </c>
      <c r="K6638" s="912" t="s">
        <v>274</v>
      </c>
      <c r="L6638" s="912"/>
      <c r="M6638" s="912"/>
      <c r="N6638" s="912"/>
      <c r="O6638" s="892">
        <f t="shared" si="469"/>
        <v>0</v>
      </c>
      <c r="P6638" s="903">
        <f t="shared" si="470"/>
        <v>1</v>
      </c>
      <c r="Q6638" s="893">
        <f t="shared" si="471"/>
        <v>11</v>
      </c>
      <c r="R6638" s="894">
        <f t="shared" si="472"/>
        <v>0</v>
      </c>
    </row>
    <row r="6639" spans="1:18">
      <c r="A6639" s="905"/>
      <c r="B6639" s="906"/>
      <c r="C6639" s="907">
        <v>46</v>
      </c>
      <c r="D6639" s="907" t="s">
        <v>279</v>
      </c>
      <c r="E6639" s="925" t="s">
        <v>3179</v>
      </c>
      <c r="F6639" s="909" t="s">
        <v>45</v>
      </c>
      <c r="G6639" s="910"/>
      <c r="H6639" s="911">
        <v>5</v>
      </c>
      <c r="I6639" s="912">
        <f>VLOOKUP(E6639,[3]VLP!$B$7:$K$300,10,0)</f>
        <v>20500</v>
      </c>
      <c r="J6639" s="912">
        <f t="shared" si="473"/>
        <v>102500</v>
      </c>
      <c r="K6639" s="912" t="s">
        <v>274</v>
      </c>
      <c r="L6639" s="912"/>
      <c r="M6639" s="912"/>
      <c r="N6639" s="912"/>
      <c r="O6639" s="892">
        <f t="shared" si="469"/>
        <v>0</v>
      </c>
      <c r="P6639" s="903">
        <f t="shared" si="470"/>
        <v>1</v>
      </c>
      <c r="Q6639" s="893">
        <f t="shared" si="471"/>
        <v>10</v>
      </c>
      <c r="R6639" s="894">
        <f t="shared" si="472"/>
        <v>0</v>
      </c>
    </row>
    <row r="6640" spans="1:18">
      <c r="A6640" s="905"/>
      <c r="B6640" s="906"/>
      <c r="C6640" s="907">
        <v>25</v>
      </c>
      <c r="D6640" s="907" t="s">
        <v>279</v>
      </c>
      <c r="E6640" s="925" t="s">
        <v>5656</v>
      </c>
      <c r="F6640" s="926" t="s">
        <v>2690</v>
      </c>
      <c r="G6640" s="910"/>
      <c r="H6640" s="911">
        <v>1</v>
      </c>
      <c r="I6640" s="912">
        <f>VLOOKUP(E6640,[3]VLP!$B$7:$K$300,10,0)</f>
        <v>5000</v>
      </c>
      <c r="J6640" s="912">
        <f t="shared" si="473"/>
        <v>5000</v>
      </c>
      <c r="K6640" s="912" t="s">
        <v>274</v>
      </c>
      <c r="L6640" s="912"/>
      <c r="M6640" s="912"/>
      <c r="N6640" s="912"/>
      <c r="O6640" s="892">
        <f t="shared" si="469"/>
        <v>0</v>
      </c>
      <c r="P6640" s="903">
        <f t="shared" si="470"/>
        <v>1</v>
      </c>
      <c r="Q6640" s="893">
        <f t="shared" si="471"/>
        <v>9</v>
      </c>
      <c r="R6640" s="894">
        <f t="shared" si="472"/>
        <v>0</v>
      </c>
    </row>
    <row r="6641" spans="1:18">
      <c r="A6641" s="905"/>
      <c r="B6641" s="906"/>
      <c r="C6641" s="907">
        <v>127</v>
      </c>
      <c r="D6641" s="907" t="s">
        <v>279</v>
      </c>
      <c r="E6641" s="925" t="s">
        <v>5657</v>
      </c>
      <c r="F6641" s="909" t="s">
        <v>45</v>
      </c>
      <c r="G6641" s="910"/>
      <c r="H6641" s="911">
        <v>0.5</v>
      </c>
      <c r="I6641" s="912">
        <f>VLOOKUP(E6641,[3]VLP!$B$7:$K$300,10,0)</f>
        <v>25155</v>
      </c>
      <c r="J6641" s="912">
        <f t="shared" si="473"/>
        <v>12577.5</v>
      </c>
      <c r="K6641" s="912" t="s">
        <v>274</v>
      </c>
      <c r="L6641" s="912"/>
      <c r="M6641" s="912"/>
      <c r="N6641" s="912"/>
      <c r="O6641" s="892">
        <f t="shared" si="469"/>
        <v>0</v>
      </c>
      <c r="P6641" s="903">
        <f t="shared" si="470"/>
        <v>1</v>
      </c>
      <c r="Q6641" s="893">
        <f t="shared" si="471"/>
        <v>8</v>
      </c>
      <c r="R6641" s="894">
        <f t="shared" si="472"/>
        <v>0</v>
      </c>
    </row>
    <row r="6642" spans="1:18">
      <c r="A6642" s="905"/>
      <c r="B6642" s="906"/>
      <c r="C6642" s="907">
        <v>44</v>
      </c>
      <c r="D6642" s="907" t="s">
        <v>279</v>
      </c>
      <c r="E6642" s="925" t="s">
        <v>2681</v>
      </c>
      <c r="F6642" s="926" t="s">
        <v>45</v>
      </c>
      <c r="G6642" s="910"/>
      <c r="H6642" s="911">
        <v>0.6</v>
      </c>
      <c r="I6642" s="912">
        <f>VLOOKUP(E6642,[3]VLP!$B$7:$K$300,10,0)</f>
        <v>23000</v>
      </c>
      <c r="J6642" s="912">
        <f t="shared" si="473"/>
        <v>13800</v>
      </c>
      <c r="K6642" s="912" t="s">
        <v>274</v>
      </c>
      <c r="L6642" s="912"/>
      <c r="M6642" s="912"/>
      <c r="N6642" s="912"/>
      <c r="O6642" s="892">
        <f t="shared" si="469"/>
        <v>0</v>
      </c>
      <c r="P6642" s="903">
        <f t="shared" si="470"/>
        <v>1</v>
      </c>
      <c r="Q6642" s="893">
        <f t="shared" si="471"/>
        <v>7</v>
      </c>
      <c r="R6642" s="894">
        <f t="shared" si="472"/>
        <v>0</v>
      </c>
    </row>
    <row r="6643" spans="1:18">
      <c r="A6643" s="905"/>
      <c r="B6643" s="906"/>
      <c r="C6643" s="907">
        <v>66</v>
      </c>
      <c r="D6643" s="907" t="s">
        <v>279</v>
      </c>
      <c r="E6643" s="925" t="s">
        <v>2682</v>
      </c>
      <c r="F6643" s="926" t="s">
        <v>45</v>
      </c>
      <c r="G6643" s="910"/>
      <c r="H6643" s="911">
        <v>0.2</v>
      </c>
      <c r="I6643" s="912">
        <f>VLOOKUP(E6643,[3]VLP!$B$7:$K$300,10,0)</f>
        <v>5000</v>
      </c>
      <c r="J6643" s="912">
        <f t="shared" si="473"/>
        <v>1000</v>
      </c>
      <c r="K6643" s="912" t="s">
        <v>274</v>
      </c>
      <c r="L6643" s="912"/>
      <c r="M6643" s="912"/>
      <c r="N6643" s="912"/>
      <c r="O6643" s="892">
        <f t="shared" si="469"/>
        <v>0</v>
      </c>
      <c r="P6643" s="903">
        <f t="shared" si="470"/>
        <v>1</v>
      </c>
      <c r="Q6643" s="893">
        <f t="shared" si="471"/>
        <v>6</v>
      </c>
      <c r="R6643" s="894">
        <f t="shared" si="472"/>
        <v>0</v>
      </c>
    </row>
    <row r="6644" spans="1:18">
      <c r="A6644" s="905"/>
      <c r="B6644" s="906"/>
      <c r="C6644" s="907">
        <v>65</v>
      </c>
      <c r="D6644" s="907" t="s">
        <v>279</v>
      </c>
      <c r="E6644" s="925" t="s">
        <v>5983</v>
      </c>
      <c r="F6644" s="926" t="s">
        <v>3144</v>
      </c>
      <c r="G6644" s="910"/>
      <c r="H6644" s="911">
        <v>1</v>
      </c>
      <c r="I6644" s="912">
        <f>VLOOKUP(E6644,[3]VLP!$B$7:$K$300,10,0)</f>
        <v>14000</v>
      </c>
      <c r="J6644" s="912">
        <f t="shared" si="473"/>
        <v>14000</v>
      </c>
      <c r="K6644" s="912" t="s">
        <v>274</v>
      </c>
      <c r="L6644" s="912"/>
      <c r="M6644" s="912"/>
      <c r="N6644" s="912"/>
      <c r="O6644" s="892">
        <f t="shared" si="469"/>
        <v>0</v>
      </c>
      <c r="P6644" s="903">
        <f t="shared" si="470"/>
        <v>1</v>
      </c>
      <c r="Q6644" s="893">
        <f t="shared" si="471"/>
        <v>5</v>
      </c>
      <c r="R6644" s="894">
        <f t="shared" si="472"/>
        <v>0</v>
      </c>
    </row>
    <row r="6645" spans="1:18">
      <c r="A6645" s="905"/>
      <c r="B6645" s="906"/>
      <c r="C6645" s="907">
        <v>89</v>
      </c>
      <c r="D6645" s="907" t="s">
        <v>279</v>
      </c>
      <c r="E6645" s="925" t="s">
        <v>5984</v>
      </c>
      <c r="F6645" s="926" t="s">
        <v>45</v>
      </c>
      <c r="G6645" s="910"/>
      <c r="H6645" s="911">
        <v>0.1</v>
      </c>
      <c r="I6645" s="912">
        <f>VLOOKUP(E6645,[3]VLP!$B$7:$K$300,10,0)</f>
        <v>1000</v>
      </c>
      <c r="J6645" s="912">
        <f t="shared" si="473"/>
        <v>100</v>
      </c>
      <c r="K6645" s="912" t="s">
        <v>274</v>
      </c>
      <c r="L6645" s="912"/>
      <c r="M6645" s="912"/>
      <c r="N6645" s="912"/>
      <c r="O6645" s="892">
        <f t="shared" si="469"/>
        <v>0</v>
      </c>
      <c r="P6645" s="903">
        <f t="shared" si="470"/>
        <v>1</v>
      </c>
      <c r="Q6645" s="893">
        <f t="shared" si="471"/>
        <v>4</v>
      </c>
      <c r="R6645" s="894">
        <f t="shared" si="472"/>
        <v>0</v>
      </c>
    </row>
    <row r="6646" spans="1:18">
      <c r="A6646" s="905"/>
      <c r="B6646" s="906"/>
      <c r="C6646" s="907">
        <v>699</v>
      </c>
      <c r="D6646" s="907" t="s">
        <v>279</v>
      </c>
      <c r="E6646" s="925" t="s">
        <v>4006</v>
      </c>
      <c r="F6646" s="926" t="s">
        <v>4007</v>
      </c>
      <c r="G6646" s="910"/>
      <c r="H6646" s="911">
        <v>5</v>
      </c>
      <c r="I6646" s="912">
        <f>VLOOKUP(E6646,[3]VLP!$B$7:$K$300,10,0)</f>
        <v>5000</v>
      </c>
      <c r="J6646" s="912">
        <f t="shared" si="473"/>
        <v>25000</v>
      </c>
      <c r="K6646" s="912" t="s">
        <v>274</v>
      </c>
      <c r="L6646" s="912"/>
      <c r="M6646" s="912"/>
      <c r="N6646" s="912"/>
      <c r="O6646" s="892">
        <f t="shared" si="469"/>
        <v>0</v>
      </c>
      <c r="P6646" s="903">
        <f t="shared" si="470"/>
        <v>1</v>
      </c>
      <c r="Q6646" s="893">
        <f t="shared" si="471"/>
        <v>3</v>
      </c>
      <c r="R6646" s="894">
        <f t="shared" si="472"/>
        <v>0</v>
      </c>
    </row>
    <row r="6647" spans="1:18" s="904" customFormat="1">
      <c r="A6647" s="895"/>
      <c r="B6647" s="896"/>
      <c r="C6647" s="897"/>
      <c r="D6647" s="897"/>
      <c r="E6647" s="924" t="s">
        <v>276</v>
      </c>
      <c r="F6647" s="927"/>
      <c r="G6647" s="928"/>
      <c r="H6647" s="901"/>
      <c r="I6647" s="902"/>
      <c r="J6647" s="902"/>
      <c r="K6647" s="912" t="s">
        <v>274</v>
      </c>
      <c r="L6647" s="902"/>
      <c r="M6647" s="902"/>
      <c r="N6647" s="902"/>
      <c r="O6647" s="892">
        <f t="shared" si="469"/>
        <v>0</v>
      </c>
      <c r="P6647" s="903">
        <f t="shared" si="470"/>
        <v>1</v>
      </c>
      <c r="Q6647" s="893">
        <f t="shared" si="471"/>
        <v>2</v>
      </c>
      <c r="R6647" s="894">
        <f t="shared" si="472"/>
        <v>0</v>
      </c>
    </row>
    <row r="6648" spans="1:18">
      <c r="A6648" s="905"/>
      <c r="B6648" s="906"/>
      <c r="C6648" s="907">
        <v>745</v>
      </c>
      <c r="D6648" s="907" t="s">
        <v>12</v>
      </c>
      <c r="E6648" s="908" t="s">
        <v>5518</v>
      </c>
      <c r="F6648" s="909" t="s">
        <v>2674</v>
      </c>
      <c r="G6648" s="910"/>
      <c r="H6648" s="911">
        <v>4.33</v>
      </c>
      <c r="I6648" s="912"/>
      <c r="J6648" s="912"/>
      <c r="K6648" s="912">
        <f>VLOOKUP(E6648,[5]ĐMNC!$A$7:$F$67,4,0)</f>
        <v>240557</v>
      </c>
      <c r="L6648" s="912">
        <f>H6648*K6648</f>
        <v>1041611.81</v>
      </c>
      <c r="M6648" s="912"/>
      <c r="N6648" s="912"/>
      <c r="O6648" s="892">
        <f t="shared" si="469"/>
        <v>0</v>
      </c>
      <c r="P6648" s="903">
        <f t="shared" si="470"/>
        <v>1</v>
      </c>
      <c r="Q6648" s="893">
        <f t="shared" si="471"/>
        <v>1</v>
      </c>
      <c r="R6648" s="894">
        <f t="shared" si="472"/>
        <v>0</v>
      </c>
    </row>
    <row r="6649" spans="1:18" s="847" customFormat="1" ht="35.25" customHeight="1">
      <c r="A6649" s="905"/>
      <c r="B6649" s="914" t="s">
        <v>6001</v>
      </c>
      <c r="C6649" s="915"/>
      <c r="D6649" s="915"/>
      <c r="E6649" s="916" t="s">
        <v>6002</v>
      </c>
      <c r="F6649" s="917" t="s">
        <v>5834</v>
      </c>
      <c r="G6649" s="944"/>
      <c r="H6649" s="919"/>
      <c r="I6649" s="920"/>
      <c r="J6649" s="891">
        <f>SUM(J6650:J6663)</f>
        <v>536907.5</v>
      </c>
      <c r="K6649" s="891" t="s">
        <v>274</v>
      </c>
      <c r="L6649" s="891">
        <f>SUM(L6650:L6663)</f>
        <v>1250896.4000000001</v>
      </c>
      <c r="M6649" s="891"/>
      <c r="N6649" s="891">
        <f>SUM(N6650:N6663)</f>
        <v>0</v>
      </c>
      <c r="O6649" s="892">
        <f t="shared" si="469"/>
        <v>1</v>
      </c>
      <c r="P6649" s="903">
        <f t="shared" si="470"/>
        <v>0</v>
      </c>
      <c r="Q6649" s="893">
        <f t="shared" si="471"/>
        <v>0</v>
      </c>
      <c r="R6649" s="894">
        <f t="shared" si="472"/>
        <v>14</v>
      </c>
    </row>
    <row r="6650" spans="1:18" s="904" customFormat="1">
      <c r="A6650" s="895"/>
      <c r="B6650" s="896"/>
      <c r="C6650" s="897"/>
      <c r="D6650" s="897"/>
      <c r="E6650" s="898" t="s">
        <v>108</v>
      </c>
      <c r="F6650" s="899"/>
      <c r="G6650" s="928"/>
      <c r="H6650" s="901"/>
      <c r="I6650" s="902"/>
      <c r="J6650" s="902"/>
      <c r="K6650" s="912" t="s">
        <v>274</v>
      </c>
      <c r="L6650" s="902"/>
      <c r="M6650" s="902"/>
      <c r="N6650" s="902"/>
      <c r="O6650" s="892">
        <f t="shared" si="469"/>
        <v>0</v>
      </c>
      <c r="P6650" s="903">
        <f t="shared" si="470"/>
        <v>1</v>
      </c>
      <c r="Q6650" s="893">
        <f t="shared" si="471"/>
        <v>14</v>
      </c>
      <c r="R6650" s="894">
        <f t="shared" si="472"/>
        <v>0</v>
      </c>
    </row>
    <row r="6651" spans="1:18">
      <c r="A6651" s="905"/>
      <c r="B6651" s="906"/>
      <c r="C6651" s="907">
        <v>103</v>
      </c>
      <c r="D6651" s="907" t="s">
        <v>279</v>
      </c>
      <c r="E6651" s="925" t="s">
        <v>5842</v>
      </c>
      <c r="F6651" s="909" t="s">
        <v>51</v>
      </c>
      <c r="G6651" s="910"/>
      <c r="H6651" s="911">
        <v>1</v>
      </c>
      <c r="I6651" s="912">
        <f>VLOOKUP(E6651,[3]VLP!$B$7:$K$300,10,0)</f>
        <v>13520</v>
      </c>
      <c r="J6651" s="912">
        <f t="shared" ref="J6651:J6661" si="474">I6651*H6651</f>
        <v>13520</v>
      </c>
      <c r="K6651" s="912" t="s">
        <v>274</v>
      </c>
      <c r="L6651" s="912"/>
      <c r="M6651" s="912"/>
      <c r="N6651" s="912"/>
      <c r="O6651" s="892">
        <f t="shared" si="469"/>
        <v>0</v>
      </c>
      <c r="P6651" s="903">
        <f t="shared" si="470"/>
        <v>1</v>
      </c>
      <c r="Q6651" s="893">
        <f t="shared" si="471"/>
        <v>13</v>
      </c>
      <c r="R6651" s="894">
        <f t="shared" si="472"/>
        <v>0</v>
      </c>
    </row>
    <row r="6652" spans="1:18">
      <c r="A6652" s="905"/>
      <c r="B6652" s="906"/>
      <c r="C6652" s="907">
        <v>49</v>
      </c>
      <c r="D6652" s="907" t="s">
        <v>279</v>
      </c>
      <c r="E6652" s="925" t="s">
        <v>5698</v>
      </c>
      <c r="F6652" s="909" t="s">
        <v>139</v>
      </c>
      <c r="G6652" s="910"/>
      <c r="H6652" s="911">
        <v>2</v>
      </c>
      <c r="I6652" s="912">
        <f>VLOOKUP(E6652,[3]VLP!$B$7:$K$300,10,0)</f>
        <v>3000</v>
      </c>
      <c r="J6652" s="912">
        <f t="shared" si="474"/>
        <v>6000</v>
      </c>
      <c r="K6652" s="912" t="s">
        <v>274</v>
      </c>
      <c r="L6652" s="912"/>
      <c r="M6652" s="912"/>
      <c r="N6652" s="912"/>
      <c r="O6652" s="892">
        <f t="shared" si="469"/>
        <v>0</v>
      </c>
      <c r="P6652" s="903">
        <f t="shared" si="470"/>
        <v>1</v>
      </c>
      <c r="Q6652" s="893">
        <f t="shared" si="471"/>
        <v>12</v>
      </c>
      <c r="R6652" s="894">
        <f t="shared" si="472"/>
        <v>0</v>
      </c>
    </row>
    <row r="6653" spans="1:18">
      <c r="A6653" s="905"/>
      <c r="B6653" s="906"/>
      <c r="C6653" s="907">
        <v>50</v>
      </c>
      <c r="D6653" s="907" t="s">
        <v>279</v>
      </c>
      <c r="E6653" s="925" t="s">
        <v>5836</v>
      </c>
      <c r="F6653" s="909" t="s">
        <v>49</v>
      </c>
      <c r="G6653" s="910"/>
      <c r="H6653" s="911">
        <v>4</v>
      </c>
      <c r="I6653" s="912">
        <f>VLOOKUP(E6653,[3]VLP!$B$7:$K$300,10,0)</f>
        <v>85790</v>
      </c>
      <c r="J6653" s="912">
        <f t="shared" si="474"/>
        <v>343160</v>
      </c>
      <c r="K6653" s="912" t="s">
        <v>274</v>
      </c>
      <c r="L6653" s="912"/>
      <c r="M6653" s="912"/>
      <c r="N6653" s="912"/>
      <c r="O6653" s="892">
        <f t="shared" si="469"/>
        <v>0</v>
      </c>
      <c r="P6653" s="903">
        <f t="shared" si="470"/>
        <v>1</v>
      </c>
      <c r="Q6653" s="893">
        <f t="shared" si="471"/>
        <v>11</v>
      </c>
      <c r="R6653" s="894">
        <f t="shared" si="472"/>
        <v>0</v>
      </c>
    </row>
    <row r="6654" spans="1:18">
      <c r="A6654" s="905"/>
      <c r="B6654" s="906"/>
      <c r="C6654" s="907">
        <v>46</v>
      </c>
      <c r="D6654" s="907" t="s">
        <v>279</v>
      </c>
      <c r="E6654" s="925" t="s">
        <v>3179</v>
      </c>
      <c r="F6654" s="909" t="s">
        <v>45</v>
      </c>
      <c r="G6654" s="910"/>
      <c r="H6654" s="911">
        <v>5</v>
      </c>
      <c r="I6654" s="912">
        <f>VLOOKUP(E6654,[3]VLP!$B$7:$K$300,10,0)</f>
        <v>20500</v>
      </c>
      <c r="J6654" s="912">
        <f t="shared" si="474"/>
        <v>102500</v>
      </c>
      <c r="K6654" s="912" t="s">
        <v>274</v>
      </c>
      <c r="L6654" s="912"/>
      <c r="M6654" s="912"/>
      <c r="N6654" s="912"/>
      <c r="O6654" s="892">
        <f t="shared" si="469"/>
        <v>0</v>
      </c>
      <c r="P6654" s="903">
        <f t="shared" si="470"/>
        <v>1</v>
      </c>
      <c r="Q6654" s="893">
        <f t="shared" si="471"/>
        <v>10</v>
      </c>
      <c r="R6654" s="894">
        <f t="shared" si="472"/>
        <v>0</v>
      </c>
    </row>
    <row r="6655" spans="1:18">
      <c r="A6655" s="905"/>
      <c r="B6655" s="906"/>
      <c r="C6655" s="907">
        <v>25</v>
      </c>
      <c r="D6655" s="907" t="s">
        <v>279</v>
      </c>
      <c r="E6655" s="925" t="s">
        <v>5656</v>
      </c>
      <c r="F6655" s="926" t="s">
        <v>2690</v>
      </c>
      <c r="G6655" s="910"/>
      <c r="H6655" s="911">
        <v>1</v>
      </c>
      <c r="I6655" s="912">
        <f>VLOOKUP(E6655,[3]VLP!$B$7:$K$300,10,0)</f>
        <v>5000</v>
      </c>
      <c r="J6655" s="912">
        <f t="shared" si="474"/>
        <v>5000</v>
      </c>
      <c r="K6655" s="912" t="s">
        <v>274</v>
      </c>
      <c r="L6655" s="912"/>
      <c r="M6655" s="912"/>
      <c r="N6655" s="912"/>
      <c r="O6655" s="892">
        <f t="shared" si="469"/>
        <v>0</v>
      </c>
      <c r="P6655" s="903">
        <f t="shared" si="470"/>
        <v>1</v>
      </c>
      <c r="Q6655" s="893">
        <f t="shared" si="471"/>
        <v>9</v>
      </c>
      <c r="R6655" s="894">
        <f t="shared" si="472"/>
        <v>0</v>
      </c>
    </row>
    <row r="6656" spans="1:18">
      <c r="A6656" s="905"/>
      <c r="B6656" s="906"/>
      <c r="C6656" s="907">
        <v>127</v>
      </c>
      <c r="D6656" s="907" t="s">
        <v>279</v>
      </c>
      <c r="E6656" s="925" t="s">
        <v>5657</v>
      </c>
      <c r="F6656" s="909" t="s">
        <v>45</v>
      </c>
      <c r="G6656" s="910"/>
      <c r="H6656" s="911">
        <v>0.5</v>
      </c>
      <c r="I6656" s="912">
        <f>VLOOKUP(E6656,[3]VLP!$B$7:$K$300,10,0)</f>
        <v>25155</v>
      </c>
      <c r="J6656" s="912">
        <f t="shared" si="474"/>
        <v>12577.5</v>
      </c>
      <c r="K6656" s="912" t="s">
        <v>274</v>
      </c>
      <c r="L6656" s="912"/>
      <c r="M6656" s="912"/>
      <c r="N6656" s="912"/>
      <c r="O6656" s="892">
        <f t="shared" si="469"/>
        <v>0</v>
      </c>
      <c r="P6656" s="903">
        <f t="shared" si="470"/>
        <v>1</v>
      </c>
      <c r="Q6656" s="893">
        <f t="shared" si="471"/>
        <v>8</v>
      </c>
      <c r="R6656" s="894">
        <f t="shared" si="472"/>
        <v>0</v>
      </c>
    </row>
    <row r="6657" spans="1:18">
      <c r="A6657" s="905"/>
      <c r="B6657" s="906"/>
      <c r="C6657" s="907">
        <v>44</v>
      </c>
      <c r="D6657" s="907" t="s">
        <v>279</v>
      </c>
      <c r="E6657" s="925" t="s">
        <v>2681</v>
      </c>
      <c r="F6657" s="926" t="s">
        <v>45</v>
      </c>
      <c r="G6657" s="910"/>
      <c r="H6657" s="911">
        <v>0.6</v>
      </c>
      <c r="I6657" s="912">
        <f>VLOOKUP(E6657,[3]VLP!$B$7:$K$300,10,0)</f>
        <v>23000</v>
      </c>
      <c r="J6657" s="912">
        <f t="shared" si="474"/>
        <v>13800</v>
      </c>
      <c r="K6657" s="912" t="s">
        <v>274</v>
      </c>
      <c r="L6657" s="912"/>
      <c r="M6657" s="912"/>
      <c r="N6657" s="912"/>
      <c r="O6657" s="892">
        <f t="shared" si="469"/>
        <v>0</v>
      </c>
      <c r="P6657" s="903">
        <f t="shared" si="470"/>
        <v>1</v>
      </c>
      <c r="Q6657" s="893">
        <f t="shared" si="471"/>
        <v>7</v>
      </c>
      <c r="R6657" s="894">
        <f t="shared" si="472"/>
        <v>0</v>
      </c>
    </row>
    <row r="6658" spans="1:18">
      <c r="A6658" s="905"/>
      <c r="B6658" s="906"/>
      <c r="C6658" s="907">
        <v>66</v>
      </c>
      <c r="D6658" s="907" t="s">
        <v>279</v>
      </c>
      <c r="E6658" s="925" t="s">
        <v>2682</v>
      </c>
      <c r="F6658" s="926" t="s">
        <v>45</v>
      </c>
      <c r="G6658" s="910"/>
      <c r="H6658" s="911">
        <v>0.25</v>
      </c>
      <c r="I6658" s="912">
        <f>VLOOKUP(E6658,[3]VLP!$B$7:$K$300,10,0)</f>
        <v>5000</v>
      </c>
      <c r="J6658" s="912">
        <f t="shared" si="474"/>
        <v>1250</v>
      </c>
      <c r="K6658" s="912" t="s">
        <v>274</v>
      </c>
      <c r="L6658" s="912"/>
      <c r="M6658" s="912"/>
      <c r="N6658" s="912"/>
      <c r="O6658" s="892">
        <f t="shared" si="469"/>
        <v>0</v>
      </c>
      <c r="P6658" s="903">
        <f t="shared" si="470"/>
        <v>1</v>
      </c>
      <c r="Q6658" s="893">
        <f t="shared" si="471"/>
        <v>6</v>
      </c>
      <c r="R6658" s="894">
        <f t="shared" si="472"/>
        <v>0</v>
      </c>
    </row>
    <row r="6659" spans="1:18">
      <c r="A6659" s="905"/>
      <c r="B6659" s="906"/>
      <c r="C6659" s="907">
        <v>65</v>
      </c>
      <c r="D6659" s="907" t="s">
        <v>279</v>
      </c>
      <c r="E6659" s="925" t="s">
        <v>5983</v>
      </c>
      <c r="F6659" s="926" t="s">
        <v>3144</v>
      </c>
      <c r="G6659" s="910"/>
      <c r="H6659" s="911">
        <v>1</v>
      </c>
      <c r="I6659" s="912">
        <f>VLOOKUP(E6659,[3]VLP!$B$7:$K$300,10,0)</f>
        <v>14000</v>
      </c>
      <c r="J6659" s="912">
        <f t="shared" si="474"/>
        <v>14000</v>
      </c>
      <c r="K6659" s="912" t="s">
        <v>274</v>
      </c>
      <c r="L6659" s="912"/>
      <c r="M6659" s="912"/>
      <c r="N6659" s="912"/>
      <c r="O6659" s="892">
        <f t="shared" si="469"/>
        <v>0</v>
      </c>
      <c r="P6659" s="903">
        <f t="shared" si="470"/>
        <v>1</v>
      </c>
      <c r="Q6659" s="893">
        <f t="shared" si="471"/>
        <v>5</v>
      </c>
      <c r="R6659" s="894">
        <f t="shared" si="472"/>
        <v>0</v>
      </c>
    </row>
    <row r="6660" spans="1:18">
      <c r="A6660" s="905"/>
      <c r="B6660" s="906"/>
      <c r="C6660" s="907">
        <v>89</v>
      </c>
      <c r="D6660" s="907" t="s">
        <v>279</v>
      </c>
      <c r="E6660" s="925" t="s">
        <v>5984</v>
      </c>
      <c r="F6660" s="926" t="s">
        <v>45</v>
      </c>
      <c r="G6660" s="910"/>
      <c r="H6660" s="911">
        <v>0.1</v>
      </c>
      <c r="I6660" s="912">
        <f>VLOOKUP(E6660,[3]VLP!$B$7:$K$300,10,0)</f>
        <v>1000</v>
      </c>
      <c r="J6660" s="912">
        <f t="shared" si="474"/>
        <v>100</v>
      </c>
      <c r="K6660" s="912" t="s">
        <v>274</v>
      </c>
      <c r="L6660" s="912"/>
      <c r="M6660" s="912"/>
      <c r="N6660" s="912"/>
      <c r="O6660" s="892">
        <f t="shared" si="469"/>
        <v>0</v>
      </c>
      <c r="P6660" s="903">
        <f t="shared" si="470"/>
        <v>1</v>
      </c>
      <c r="Q6660" s="893">
        <f t="shared" si="471"/>
        <v>4</v>
      </c>
      <c r="R6660" s="894">
        <f t="shared" si="472"/>
        <v>0</v>
      </c>
    </row>
    <row r="6661" spans="1:18">
      <c r="A6661" s="905"/>
      <c r="B6661" s="906"/>
      <c r="C6661" s="907">
        <v>699</v>
      </c>
      <c r="D6661" s="907" t="s">
        <v>279</v>
      </c>
      <c r="E6661" s="925" t="s">
        <v>4006</v>
      </c>
      <c r="F6661" s="926" t="s">
        <v>4007</v>
      </c>
      <c r="G6661" s="910"/>
      <c r="H6661" s="911">
        <v>5</v>
      </c>
      <c r="I6661" s="912">
        <f>VLOOKUP(E6661,[3]VLP!$B$7:$K$300,10,0)</f>
        <v>5000</v>
      </c>
      <c r="J6661" s="912">
        <f t="shared" si="474"/>
        <v>25000</v>
      </c>
      <c r="K6661" s="912" t="s">
        <v>274</v>
      </c>
      <c r="L6661" s="912"/>
      <c r="M6661" s="912"/>
      <c r="N6661" s="912"/>
      <c r="O6661" s="892">
        <f t="shared" si="469"/>
        <v>0</v>
      </c>
      <c r="P6661" s="903">
        <f t="shared" si="470"/>
        <v>1</v>
      </c>
      <c r="Q6661" s="893">
        <f t="shared" si="471"/>
        <v>3</v>
      </c>
      <c r="R6661" s="894">
        <f t="shared" si="472"/>
        <v>0</v>
      </c>
    </row>
    <row r="6662" spans="1:18" s="904" customFormat="1">
      <c r="A6662" s="895"/>
      <c r="B6662" s="896"/>
      <c r="C6662" s="897"/>
      <c r="D6662" s="897"/>
      <c r="E6662" s="924" t="s">
        <v>276</v>
      </c>
      <c r="F6662" s="927"/>
      <c r="G6662" s="928"/>
      <c r="H6662" s="901"/>
      <c r="I6662" s="902"/>
      <c r="J6662" s="902"/>
      <c r="K6662" s="912" t="s">
        <v>274</v>
      </c>
      <c r="L6662" s="902"/>
      <c r="M6662" s="902"/>
      <c r="N6662" s="902"/>
      <c r="O6662" s="892">
        <f t="shared" si="469"/>
        <v>0</v>
      </c>
      <c r="P6662" s="903">
        <f t="shared" si="470"/>
        <v>1</v>
      </c>
      <c r="Q6662" s="893">
        <f t="shared" si="471"/>
        <v>2</v>
      </c>
      <c r="R6662" s="894">
        <f t="shared" si="472"/>
        <v>0</v>
      </c>
    </row>
    <row r="6663" spans="1:18">
      <c r="A6663" s="905"/>
      <c r="B6663" s="906"/>
      <c r="C6663" s="907">
        <v>745</v>
      </c>
      <c r="D6663" s="907" t="s">
        <v>12</v>
      </c>
      <c r="E6663" s="908" t="s">
        <v>5518</v>
      </c>
      <c r="F6663" s="909" t="s">
        <v>2674</v>
      </c>
      <c r="G6663" s="910"/>
      <c r="H6663" s="911">
        <v>5.2</v>
      </c>
      <c r="I6663" s="912"/>
      <c r="J6663" s="912"/>
      <c r="K6663" s="912">
        <f>VLOOKUP(E6663,[5]ĐMNC!$A$7:$F$67,4,0)</f>
        <v>240557</v>
      </c>
      <c r="L6663" s="912">
        <f>H6663*K6663</f>
        <v>1250896.4000000001</v>
      </c>
      <c r="M6663" s="912"/>
      <c r="N6663" s="912"/>
      <c r="O6663" s="892">
        <f t="shared" si="469"/>
        <v>0</v>
      </c>
      <c r="P6663" s="903">
        <f t="shared" si="470"/>
        <v>1</v>
      </c>
      <c r="Q6663" s="893">
        <f t="shared" si="471"/>
        <v>1</v>
      </c>
      <c r="R6663" s="894">
        <f t="shared" si="472"/>
        <v>0</v>
      </c>
    </row>
    <row r="6664" spans="1:18" s="847" customFormat="1" ht="35.25" customHeight="1">
      <c r="A6664" s="905"/>
      <c r="B6664" s="914" t="s">
        <v>6003</v>
      </c>
      <c r="C6664" s="915"/>
      <c r="D6664" s="915"/>
      <c r="E6664" s="916" t="s">
        <v>6004</v>
      </c>
      <c r="F6664" s="917" t="s">
        <v>5834</v>
      </c>
      <c r="G6664" s="944"/>
      <c r="H6664" s="919"/>
      <c r="I6664" s="920"/>
      <c r="J6664" s="891">
        <f>SUM(J6665:J6678)</f>
        <v>569477.5</v>
      </c>
      <c r="K6664" s="891" t="s">
        <v>274</v>
      </c>
      <c r="L6664" s="891">
        <f>SUM(L6665:L6678)</f>
        <v>1438530.86</v>
      </c>
      <c r="M6664" s="891"/>
      <c r="N6664" s="891">
        <f>SUM(N6665:N6678)</f>
        <v>0</v>
      </c>
      <c r="O6664" s="892">
        <f t="shared" si="469"/>
        <v>1</v>
      </c>
      <c r="P6664" s="903">
        <f t="shared" si="470"/>
        <v>0</v>
      </c>
      <c r="Q6664" s="893">
        <f t="shared" si="471"/>
        <v>0</v>
      </c>
      <c r="R6664" s="894">
        <f t="shared" si="472"/>
        <v>14</v>
      </c>
    </row>
    <row r="6665" spans="1:18" s="904" customFormat="1">
      <c r="A6665" s="895"/>
      <c r="B6665" s="896"/>
      <c r="C6665" s="897"/>
      <c r="D6665" s="897"/>
      <c r="E6665" s="898" t="s">
        <v>108</v>
      </c>
      <c r="F6665" s="899"/>
      <c r="G6665" s="928"/>
      <c r="H6665" s="901"/>
      <c r="I6665" s="902"/>
      <c r="J6665" s="902"/>
      <c r="K6665" s="912" t="s">
        <v>274</v>
      </c>
      <c r="L6665" s="902"/>
      <c r="M6665" s="902"/>
      <c r="N6665" s="902"/>
      <c r="O6665" s="892">
        <f t="shared" si="469"/>
        <v>0</v>
      </c>
      <c r="P6665" s="903">
        <f t="shared" si="470"/>
        <v>1</v>
      </c>
      <c r="Q6665" s="893">
        <f t="shared" si="471"/>
        <v>14</v>
      </c>
      <c r="R6665" s="894">
        <f t="shared" si="472"/>
        <v>0</v>
      </c>
    </row>
    <row r="6666" spans="1:18">
      <c r="A6666" s="905"/>
      <c r="B6666" s="906"/>
      <c r="C6666" s="907">
        <v>104</v>
      </c>
      <c r="D6666" s="907" t="s">
        <v>279</v>
      </c>
      <c r="E6666" s="925" t="s">
        <v>5845</v>
      </c>
      <c r="F6666" s="909" t="s">
        <v>51</v>
      </c>
      <c r="G6666" s="910"/>
      <c r="H6666" s="911">
        <v>1</v>
      </c>
      <c r="I6666" s="912">
        <f>VLOOKUP(E6666,[3]VLP!$B$7:$K$300,10,0)</f>
        <v>20280</v>
      </c>
      <c r="J6666" s="912">
        <f t="shared" ref="J6666:J6676" si="475">I6666*H6666</f>
        <v>20280</v>
      </c>
      <c r="K6666" s="912" t="s">
        <v>274</v>
      </c>
      <c r="L6666" s="912"/>
      <c r="M6666" s="912"/>
      <c r="N6666" s="912"/>
      <c r="O6666" s="892">
        <f t="shared" si="469"/>
        <v>0</v>
      </c>
      <c r="P6666" s="903">
        <f t="shared" si="470"/>
        <v>1</v>
      </c>
      <c r="Q6666" s="893">
        <f t="shared" si="471"/>
        <v>13</v>
      </c>
      <c r="R6666" s="894">
        <f t="shared" si="472"/>
        <v>0</v>
      </c>
    </row>
    <row r="6667" spans="1:18">
      <c r="A6667" s="905"/>
      <c r="B6667" s="906"/>
      <c r="C6667" s="907">
        <v>49</v>
      </c>
      <c r="D6667" s="907" t="s">
        <v>279</v>
      </c>
      <c r="E6667" s="925" t="s">
        <v>5698</v>
      </c>
      <c r="F6667" s="909" t="s">
        <v>139</v>
      </c>
      <c r="G6667" s="910"/>
      <c r="H6667" s="911">
        <v>2</v>
      </c>
      <c r="I6667" s="912">
        <f>VLOOKUP(E6667,[3]VLP!$B$7:$K$300,10,0)</f>
        <v>3000</v>
      </c>
      <c r="J6667" s="912">
        <f t="shared" si="475"/>
        <v>6000</v>
      </c>
      <c r="K6667" s="912" t="s">
        <v>274</v>
      </c>
      <c r="L6667" s="912"/>
      <c r="M6667" s="912"/>
      <c r="N6667" s="912"/>
      <c r="O6667" s="892">
        <f t="shared" si="469"/>
        <v>0</v>
      </c>
      <c r="P6667" s="903">
        <f t="shared" si="470"/>
        <v>1</v>
      </c>
      <c r="Q6667" s="893">
        <f t="shared" si="471"/>
        <v>12</v>
      </c>
      <c r="R6667" s="894">
        <f t="shared" si="472"/>
        <v>0</v>
      </c>
    </row>
    <row r="6668" spans="1:18">
      <c r="A6668" s="905"/>
      <c r="B6668" s="906"/>
      <c r="C6668" s="907">
        <v>50</v>
      </c>
      <c r="D6668" s="907" t="s">
        <v>279</v>
      </c>
      <c r="E6668" s="925" t="s">
        <v>5836</v>
      </c>
      <c r="F6668" s="909" t="s">
        <v>49</v>
      </c>
      <c r="G6668" s="910"/>
      <c r="H6668" s="911">
        <v>4</v>
      </c>
      <c r="I6668" s="912">
        <f>VLOOKUP(E6668,[3]VLP!$B$7:$K$300,10,0)</f>
        <v>85790</v>
      </c>
      <c r="J6668" s="912">
        <f t="shared" si="475"/>
        <v>343160</v>
      </c>
      <c r="K6668" s="912" t="s">
        <v>274</v>
      </c>
      <c r="L6668" s="912"/>
      <c r="M6668" s="912"/>
      <c r="N6668" s="912"/>
      <c r="O6668" s="892">
        <f t="shared" si="469"/>
        <v>0</v>
      </c>
      <c r="P6668" s="903">
        <f t="shared" si="470"/>
        <v>1</v>
      </c>
      <c r="Q6668" s="893">
        <f t="shared" si="471"/>
        <v>11</v>
      </c>
      <c r="R6668" s="894">
        <f t="shared" si="472"/>
        <v>0</v>
      </c>
    </row>
    <row r="6669" spans="1:18">
      <c r="A6669" s="905"/>
      <c r="B6669" s="906"/>
      <c r="C6669" s="907">
        <v>46</v>
      </c>
      <c r="D6669" s="907" t="s">
        <v>279</v>
      </c>
      <c r="E6669" s="925" t="s">
        <v>3179</v>
      </c>
      <c r="F6669" s="909" t="s">
        <v>45</v>
      </c>
      <c r="G6669" s="910"/>
      <c r="H6669" s="911">
        <v>6</v>
      </c>
      <c r="I6669" s="912">
        <f>VLOOKUP(E6669,[3]VLP!$B$7:$K$300,10,0)</f>
        <v>20500</v>
      </c>
      <c r="J6669" s="912">
        <f t="shared" si="475"/>
        <v>123000</v>
      </c>
      <c r="K6669" s="912" t="s">
        <v>274</v>
      </c>
      <c r="L6669" s="912"/>
      <c r="M6669" s="912"/>
      <c r="N6669" s="912"/>
      <c r="O6669" s="892">
        <f t="shared" si="469"/>
        <v>0</v>
      </c>
      <c r="P6669" s="903">
        <f t="shared" si="470"/>
        <v>1</v>
      </c>
      <c r="Q6669" s="893">
        <f t="shared" si="471"/>
        <v>10</v>
      </c>
      <c r="R6669" s="894">
        <f t="shared" si="472"/>
        <v>0</v>
      </c>
    </row>
    <row r="6670" spans="1:18">
      <c r="A6670" s="905"/>
      <c r="B6670" s="906"/>
      <c r="C6670" s="907">
        <v>25</v>
      </c>
      <c r="D6670" s="907" t="s">
        <v>279</v>
      </c>
      <c r="E6670" s="925" t="s">
        <v>5656</v>
      </c>
      <c r="F6670" s="926" t="s">
        <v>2690</v>
      </c>
      <c r="G6670" s="910"/>
      <c r="H6670" s="911">
        <v>1.5</v>
      </c>
      <c r="I6670" s="912">
        <f>VLOOKUP(E6670,[3]VLP!$B$7:$K$300,10,0)</f>
        <v>5000</v>
      </c>
      <c r="J6670" s="912">
        <f t="shared" si="475"/>
        <v>7500</v>
      </c>
      <c r="K6670" s="912" t="s">
        <v>274</v>
      </c>
      <c r="L6670" s="912"/>
      <c r="M6670" s="912"/>
      <c r="N6670" s="912"/>
      <c r="O6670" s="892">
        <f t="shared" si="469"/>
        <v>0</v>
      </c>
      <c r="P6670" s="903">
        <f t="shared" si="470"/>
        <v>1</v>
      </c>
      <c r="Q6670" s="893">
        <f t="shared" si="471"/>
        <v>9</v>
      </c>
      <c r="R6670" s="894">
        <f t="shared" si="472"/>
        <v>0</v>
      </c>
    </row>
    <row r="6671" spans="1:18">
      <c r="A6671" s="905"/>
      <c r="B6671" s="906"/>
      <c r="C6671" s="907">
        <v>127</v>
      </c>
      <c r="D6671" s="907" t="s">
        <v>279</v>
      </c>
      <c r="E6671" s="925" t="s">
        <v>5657</v>
      </c>
      <c r="F6671" s="909" t="s">
        <v>45</v>
      </c>
      <c r="G6671" s="910"/>
      <c r="H6671" s="911">
        <v>0.5</v>
      </c>
      <c r="I6671" s="912">
        <f>VLOOKUP(E6671,[3]VLP!$B$7:$K$300,10,0)</f>
        <v>25155</v>
      </c>
      <c r="J6671" s="912">
        <f t="shared" si="475"/>
        <v>12577.5</v>
      </c>
      <c r="K6671" s="912" t="s">
        <v>274</v>
      </c>
      <c r="L6671" s="912"/>
      <c r="M6671" s="912"/>
      <c r="N6671" s="912"/>
      <c r="O6671" s="892">
        <f t="shared" si="469"/>
        <v>0</v>
      </c>
      <c r="P6671" s="903">
        <f t="shared" si="470"/>
        <v>1</v>
      </c>
      <c r="Q6671" s="893">
        <f t="shared" si="471"/>
        <v>8</v>
      </c>
      <c r="R6671" s="894">
        <f t="shared" si="472"/>
        <v>0</v>
      </c>
    </row>
    <row r="6672" spans="1:18">
      <c r="A6672" s="905"/>
      <c r="B6672" s="906"/>
      <c r="C6672" s="907">
        <v>44</v>
      </c>
      <c r="D6672" s="907" t="s">
        <v>279</v>
      </c>
      <c r="E6672" s="925" t="s">
        <v>2681</v>
      </c>
      <c r="F6672" s="926" t="s">
        <v>45</v>
      </c>
      <c r="G6672" s="910"/>
      <c r="H6672" s="911">
        <v>0.72</v>
      </c>
      <c r="I6672" s="912">
        <f>VLOOKUP(E6672,[3]VLP!$B$7:$K$300,10,0)</f>
        <v>23000</v>
      </c>
      <c r="J6672" s="912">
        <f t="shared" si="475"/>
        <v>16560</v>
      </c>
      <c r="K6672" s="912" t="s">
        <v>274</v>
      </c>
      <c r="L6672" s="912"/>
      <c r="M6672" s="912"/>
      <c r="N6672" s="912"/>
      <c r="O6672" s="892">
        <f t="shared" si="469"/>
        <v>0</v>
      </c>
      <c r="P6672" s="903">
        <f t="shared" si="470"/>
        <v>1</v>
      </c>
      <c r="Q6672" s="893">
        <f t="shared" si="471"/>
        <v>7</v>
      </c>
      <c r="R6672" s="894">
        <f t="shared" si="472"/>
        <v>0</v>
      </c>
    </row>
    <row r="6673" spans="1:18">
      <c r="A6673" s="905"/>
      <c r="B6673" s="906"/>
      <c r="C6673" s="907">
        <v>66</v>
      </c>
      <c r="D6673" s="907" t="s">
        <v>279</v>
      </c>
      <c r="E6673" s="925" t="s">
        <v>2682</v>
      </c>
      <c r="F6673" s="926" t="s">
        <v>45</v>
      </c>
      <c r="G6673" s="910"/>
      <c r="H6673" s="911">
        <v>0.25</v>
      </c>
      <c r="I6673" s="912">
        <f>VLOOKUP(E6673,[3]VLP!$B$7:$K$300,10,0)</f>
        <v>5000</v>
      </c>
      <c r="J6673" s="912">
        <f t="shared" si="475"/>
        <v>1250</v>
      </c>
      <c r="K6673" s="912" t="s">
        <v>274</v>
      </c>
      <c r="L6673" s="912"/>
      <c r="M6673" s="912"/>
      <c r="N6673" s="912"/>
      <c r="O6673" s="892">
        <f t="shared" si="469"/>
        <v>0</v>
      </c>
      <c r="P6673" s="903">
        <f t="shared" si="470"/>
        <v>1</v>
      </c>
      <c r="Q6673" s="893">
        <f t="shared" si="471"/>
        <v>6</v>
      </c>
      <c r="R6673" s="894">
        <f t="shared" si="472"/>
        <v>0</v>
      </c>
    </row>
    <row r="6674" spans="1:18">
      <c r="A6674" s="905"/>
      <c r="B6674" s="906"/>
      <c r="C6674" s="907">
        <v>65</v>
      </c>
      <c r="D6674" s="907" t="s">
        <v>279</v>
      </c>
      <c r="E6674" s="925" t="s">
        <v>5983</v>
      </c>
      <c r="F6674" s="926" t="s">
        <v>3144</v>
      </c>
      <c r="G6674" s="910"/>
      <c r="H6674" s="911">
        <v>1</v>
      </c>
      <c r="I6674" s="912">
        <f>VLOOKUP(E6674,[3]VLP!$B$7:$K$300,10,0)</f>
        <v>14000</v>
      </c>
      <c r="J6674" s="912">
        <f t="shared" si="475"/>
        <v>14000</v>
      </c>
      <c r="K6674" s="912" t="s">
        <v>274</v>
      </c>
      <c r="L6674" s="912"/>
      <c r="M6674" s="912"/>
      <c r="N6674" s="912"/>
      <c r="O6674" s="892">
        <f t="shared" si="469"/>
        <v>0</v>
      </c>
      <c r="P6674" s="903">
        <f t="shared" si="470"/>
        <v>1</v>
      </c>
      <c r="Q6674" s="893">
        <f t="shared" si="471"/>
        <v>5</v>
      </c>
      <c r="R6674" s="894">
        <f t="shared" si="472"/>
        <v>0</v>
      </c>
    </row>
    <row r="6675" spans="1:18">
      <c r="A6675" s="905"/>
      <c r="B6675" s="906"/>
      <c r="C6675" s="907">
        <v>89</v>
      </c>
      <c r="D6675" s="907" t="s">
        <v>279</v>
      </c>
      <c r="E6675" s="925" t="s">
        <v>5984</v>
      </c>
      <c r="F6675" s="926" t="s">
        <v>45</v>
      </c>
      <c r="G6675" s="910"/>
      <c r="H6675" s="911">
        <v>0.15</v>
      </c>
      <c r="I6675" s="912">
        <f>VLOOKUP(E6675,[3]VLP!$B$7:$K$300,10,0)</f>
        <v>1000</v>
      </c>
      <c r="J6675" s="912">
        <f t="shared" si="475"/>
        <v>150</v>
      </c>
      <c r="K6675" s="912" t="s">
        <v>274</v>
      </c>
      <c r="L6675" s="912"/>
      <c r="M6675" s="912"/>
      <c r="N6675" s="912"/>
      <c r="O6675" s="892">
        <f t="shared" si="469"/>
        <v>0</v>
      </c>
      <c r="P6675" s="903">
        <f t="shared" si="470"/>
        <v>1</v>
      </c>
      <c r="Q6675" s="893">
        <f t="shared" si="471"/>
        <v>4</v>
      </c>
      <c r="R6675" s="894">
        <f t="shared" si="472"/>
        <v>0</v>
      </c>
    </row>
    <row r="6676" spans="1:18">
      <c r="A6676" s="905"/>
      <c r="B6676" s="906"/>
      <c r="C6676" s="907">
        <v>699</v>
      </c>
      <c r="D6676" s="907" t="s">
        <v>279</v>
      </c>
      <c r="E6676" s="925" t="s">
        <v>4006</v>
      </c>
      <c r="F6676" s="926" t="s">
        <v>4007</v>
      </c>
      <c r="G6676" s="910"/>
      <c r="H6676" s="911">
        <v>5</v>
      </c>
      <c r="I6676" s="912">
        <f>VLOOKUP(E6676,[3]VLP!$B$7:$K$300,10,0)</f>
        <v>5000</v>
      </c>
      <c r="J6676" s="912">
        <f t="shared" si="475"/>
        <v>25000</v>
      </c>
      <c r="K6676" s="912" t="s">
        <v>274</v>
      </c>
      <c r="L6676" s="912"/>
      <c r="M6676" s="912"/>
      <c r="N6676" s="912"/>
      <c r="O6676" s="892">
        <f t="shared" si="469"/>
        <v>0</v>
      </c>
      <c r="P6676" s="903">
        <f t="shared" si="470"/>
        <v>1</v>
      </c>
      <c r="Q6676" s="893">
        <f t="shared" si="471"/>
        <v>3</v>
      </c>
      <c r="R6676" s="894">
        <f t="shared" si="472"/>
        <v>0</v>
      </c>
    </row>
    <row r="6677" spans="1:18" s="904" customFormat="1">
      <c r="A6677" s="895"/>
      <c r="B6677" s="896"/>
      <c r="C6677" s="897"/>
      <c r="D6677" s="897"/>
      <c r="E6677" s="924" t="s">
        <v>276</v>
      </c>
      <c r="F6677" s="927"/>
      <c r="G6677" s="928"/>
      <c r="H6677" s="901"/>
      <c r="I6677" s="902"/>
      <c r="J6677" s="902"/>
      <c r="K6677" s="912" t="s">
        <v>274</v>
      </c>
      <c r="L6677" s="902"/>
      <c r="M6677" s="902"/>
      <c r="N6677" s="902"/>
      <c r="O6677" s="892">
        <f t="shared" si="469"/>
        <v>0</v>
      </c>
      <c r="P6677" s="903">
        <f t="shared" si="470"/>
        <v>1</v>
      </c>
      <c r="Q6677" s="893">
        <f t="shared" si="471"/>
        <v>2</v>
      </c>
      <c r="R6677" s="894">
        <f t="shared" si="472"/>
        <v>0</v>
      </c>
    </row>
    <row r="6678" spans="1:18">
      <c r="A6678" s="905"/>
      <c r="B6678" s="906"/>
      <c r="C6678" s="907">
        <v>745</v>
      </c>
      <c r="D6678" s="907" t="s">
        <v>12</v>
      </c>
      <c r="E6678" s="908" t="s">
        <v>5518</v>
      </c>
      <c r="F6678" s="909" t="s">
        <v>2674</v>
      </c>
      <c r="G6678" s="910"/>
      <c r="H6678" s="911">
        <v>5.98</v>
      </c>
      <c r="I6678" s="912"/>
      <c r="J6678" s="912"/>
      <c r="K6678" s="912">
        <f>VLOOKUP(E6678,[5]ĐMNC!$A$7:$F$67,4,0)</f>
        <v>240557</v>
      </c>
      <c r="L6678" s="912">
        <f>H6678*K6678</f>
        <v>1438530.86</v>
      </c>
      <c r="M6678" s="912"/>
      <c r="N6678" s="912"/>
      <c r="O6678" s="892">
        <f t="shared" si="469"/>
        <v>0</v>
      </c>
      <c r="P6678" s="903">
        <f t="shared" si="470"/>
        <v>1</v>
      </c>
      <c r="Q6678" s="893">
        <f t="shared" si="471"/>
        <v>1</v>
      </c>
      <c r="R6678" s="894">
        <f t="shared" si="472"/>
        <v>0</v>
      </c>
    </row>
    <row r="6679" spans="1:18" s="847" customFormat="1" ht="35.25" customHeight="1">
      <c r="A6679" s="905" t="s">
        <v>5960</v>
      </c>
      <c r="B6679" s="914" t="s">
        <v>6005</v>
      </c>
      <c r="C6679" s="915"/>
      <c r="D6679" s="915"/>
      <c r="E6679" s="916" t="s">
        <v>6006</v>
      </c>
      <c r="F6679" s="917" t="s">
        <v>5834</v>
      </c>
      <c r="G6679" s="944"/>
      <c r="H6679" s="919"/>
      <c r="I6679" s="920"/>
      <c r="J6679" s="891">
        <f>SUM(J6680:J6693)</f>
        <v>573107.5</v>
      </c>
      <c r="K6679" s="891" t="s">
        <v>274</v>
      </c>
      <c r="L6679" s="891">
        <f>SUM(L6680:L6693)</f>
        <v>1606920.76</v>
      </c>
      <c r="M6679" s="891"/>
      <c r="N6679" s="891">
        <f>SUM(N6680:N6693)</f>
        <v>0</v>
      </c>
      <c r="O6679" s="892">
        <f t="shared" si="469"/>
        <v>1</v>
      </c>
      <c r="P6679" s="903">
        <f t="shared" si="470"/>
        <v>0</v>
      </c>
      <c r="Q6679" s="893">
        <f t="shared" si="471"/>
        <v>0</v>
      </c>
      <c r="R6679" s="894">
        <f t="shared" si="472"/>
        <v>14</v>
      </c>
    </row>
    <row r="6680" spans="1:18" s="904" customFormat="1">
      <c r="A6680" s="895"/>
      <c r="B6680" s="896"/>
      <c r="C6680" s="897"/>
      <c r="D6680" s="897"/>
      <c r="E6680" s="898" t="s">
        <v>108</v>
      </c>
      <c r="F6680" s="899"/>
      <c r="G6680" s="928"/>
      <c r="H6680" s="901"/>
      <c r="I6680" s="902"/>
      <c r="J6680" s="902"/>
      <c r="K6680" s="912" t="s">
        <v>274</v>
      </c>
      <c r="L6680" s="902"/>
      <c r="M6680" s="902"/>
      <c r="N6680" s="902"/>
      <c r="O6680" s="892">
        <f t="shared" si="469"/>
        <v>0</v>
      </c>
      <c r="P6680" s="903">
        <f t="shared" si="470"/>
        <v>1</v>
      </c>
      <c r="Q6680" s="893">
        <f t="shared" si="471"/>
        <v>14</v>
      </c>
      <c r="R6680" s="894">
        <f t="shared" si="472"/>
        <v>0</v>
      </c>
    </row>
    <row r="6681" spans="1:18">
      <c r="A6681" s="905"/>
      <c r="B6681" s="906"/>
      <c r="C6681" s="907">
        <v>105</v>
      </c>
      <c r="D6681" s="907" t="s">
        <v>279</v>
      </c>
      <c r="E6681" s="925" t="s">
        <v>5848</v>
      </c>
      <c r="F6681" s="909" t="s">
        <v>51</v>
      </c>
      <c r="G6681" s="910"/>
      <c r="H6681" s="911">
        <v>1</v>
      </c>
      <c r="I6681" s="912">
        <f>VLOOKUP(E6681,[3]VLP!$B$7:$K$300,10,0)</f>
        <v>23660</v>
      </c>
      <c r="J6681" s="912">
        <f t="shared" ref="J6681:J6691" si="476">I6681*H6681</f>
        <v>23660</v>
      </c>
      <c r="K6681" s="912" t="s">
        <v>274</v>
      </c>
      <c r="L6681" s="912"/>
      <c r="M6681" s="912"/>
      <c r="N6681" s="912"/>
      <c r="O6681" s="892">
        <f t="shared" si="469"/>
        <v>0</v>
      </c>
      <c r="P6681" s="903">
        <f t="shared" si="470"/>
        <v>1</v>
      </c>
      <c r="Q6681" s="893">
        <f t="shared" si="471"/>
        <v>13</v>
      </c>
      <c r="R6681" s="894">
        <f t="shared" si="472"/>
        <v>0</v>
      </c>
    </row>
    <row r="6682" spans="1:18">
      <c r="A6682" s="905"/>
      <c r="B6682" s="906"/>
      <c r="C6682" s="907">
        <v>49</v>
      </c>
      <c r="D6682" s="907" t="s">
        <v>279</v>
      </c>
      <c r="E6682" s="925" t="s">
        <v>5698</v>
      </c>
      <c r="F6682" s="909" t="s">
        <v>139</v>
      </c>
      <c r="G6682" s="910"/>
      <c r="H6682" s="911">
        <v>2</v>
      </c>
      <c r="I6682" s="912">
        <f>VLOOKUP(E6682,[3]VLP!$B$7:$K$300,10,0)</f>
        <v>3000</v>
      </c>
      <c r="J6682" s="912">
        <f t="shared" si="476"/>
        <v>6000</v>
      </c>
      <c r="K6682" s="912" t="s">
        <v>274</v>
      </c>
      <c r="L6682" s="912"/>
      <c r="M6682" s="912"/>
      <c r="N6682" s="912"/>
      <c r="O6682" s="892">
        <f t="shared" si="469"/>
        <v>0</v>
      </c>
      <c r="P6682" s="903">
        <f t="shared" si="470"/>
        <v>1</v>
      </c>
      <c r="Q6682" s="893">
        <f t="shared" si="471"/>
        <v>12</v>
      </c>
      <c r="R6682" s="894">
        <f t="shared" si="472"/>
        <v>0</v>
      </c>
    </row>
    <row r="6683" spans="1:18">
      <c r="A6683" s="905"/>
      <c r="B6683" s="906"/>
      <c r="C6683" s="907">
        <v>50</v>
      </c>
      <c r="D6683" s="907" t="s">
        <v>279</v>
      </c>
      <c r="E6683" s="925" t="s">
        <v>5836</v>
      </c>
      <c r="F6683" s="909" t="s">
        <v>49</v>
      </c>
      <c r="G6683" s="910"/>
      <c r="H6683" s="911">
        <v>4</v>
      </c>
      <c r="I6683" s="912">
        <f>VLOOKUP(E6683,[3]VLP!$B$7:$K$300,10,0)</f>
        <v>85790</v>
      </c>
      <c r="J6683" s="912">
        <f t="shared" si="476"/>
        <v>343160</v>
      </c>
      <c r="K6683" s="912" t="s">
        <v>274</v>
      </c>
      <c r="L6683" s="912"/>
      <c r="M6683" s="912"/>
      <c r="N6683" s="912"/>
      <c r="O6683" s="892">
        <f t="shared" si="469"/>
        <v>0</v>
      </c>
      <c r="P6683" s="903">
        <f t="shared" si="470"/>
        <v>1</v>
      </c>
      <c r="Q6683" s="893">
        <f t="shared" si="471"/>
        <v>11</v>
      </c>
      <c r="R6683" s="894">
        <f t="shared" si="472"/>
        <v>0</v>
      </c>
    </row>
    <row r="6684" spans="1:18">
      <c r="A6684" s="905"/>
      <c r="B6684" s="906"/>
      <c r="C6684" s="907">
        <v>46</v>
      </c>
      <c r="D6684" s="907" t="s">
        <v>279</v>
      </c>
      <c r="E6684" s="925" t="s">
        <v>3179</v>
      </c>
      <c r="F6684" s="909" t="s">
        <v>45</v>
      </c>
      <c r="G6684" s="910"/>
      <c r="H6684" s="911">
        <v>6</v>
      </c>
      <c r="I6684" s="912">
        <f>VLOOKUP(E6684,[3]VLP!$B$7:$K$300,10,0)</f>
        <v>20500</v>
      </c>
      <c r="J6684" s="912">
        <f t="shared" si="476"/>
        <v>123000</v>
      </c>
      <c r="K6684" s="912" t="s">
        <v>274</v>
      </c>
      <c r="L6684" s="912"/>
      <c r="M6684" s="912"/>
      <c r="N6684" s="912"/>
      <c r="O6684" s="892">
        <f t="shared" si="469"/>
        <v>0</v>
      </c>
      <c r="P6684" s="903">
        <f t="shared" si="470"/>
        <v>1</v>
      </c>
      <c r="Q6684" s="893">
        <f t="shared" si="471"/>
        <v>10</v>
      </c>
      <c r="R6684" s="894">
        <f t="shared" si="472"/>
        <v>0</v>
      </c>
    </row>
    <row r="6685" spans="1:18">
      <c r="A6685" s="905"/>
      <c r="B6685" s="906"/>
      <c r="C6685" s="907">
        <v>25</v>
      </c>
      <c r="D6685" s="907" t="s">
        <v>279</v>
      </c>
      <c r="E6685" s="925" t="s">
        <v>5656</v>
      </c>
      <c r="F6685" s="926" t="s">
        <v>2690</v>
      </c>
      <c r="G6685" s="910"/>
      <c r="H6685" s="911">
        <v>1.5</v>
      </c>
      <c r="I6685" s="912">
        <f>VLOOKUP(E6685,[3]VLP!$B$7:$K$300,10,0)</f>
        <v>5000</v>
      </c>
      <c r="J6685" s="912">
        <f t="shared" si="476"/>
        <v>7500</v>
      </c>
      <c r="K6685" s="912" t="s">
        <v>274</v>
      </c>
      <c r="L6685" s="912"/>
      <c r="M6685" s="912"/>
      <c r="N6685" s="912"/>
      <c r="O6685" s="892">
        <f t="shared" si="469"/>
        <v>0</v>
      </c>
      <c r="P6685" s="903">
        <f t="shared" si="470"/>
        <v>1</v>
      </c>
      <c r="Q6685" s="893">
        <f t="shared" si="471"/>
        <v>9</v>
      </c>
      <c r="R6685" s="894">
        <f t="shared" si="472"/>
        <v>0</v>
      </c>
    </row>
    <row r="6686" spans="1:18">
      <c r="A6686" s="905"/>
      <c r="B6686" s="906"/>
      <c r="C6686" s="907">
        <v>127</v>
      </c>
      <c r="D6686" s="907" t="s">
        <v>279</v>
      </c>
      <c r="E6686" s="925" t="s">
        <v>5657</v>
      </c>
      <c r="F6686" s="909" t="s">
        <v>45</v>
      </c>
      <c r="G6686" s="910"/>
      <c r="H6686" s="911">
        <v>0.5</v>
      </c>
      <c r="I6686" s="912">
        <f>VLOOKUP(E6686,[3]VLP!$B$7:$K$300,10,0)</f>
        <v>25155</v>
      </c>
      <c r="J6686" s="912">
        <f t="shared" si="476"/>
        <v>12577.5</v>
      </c>
      <c r="K6686" s="912" t="s">
        <v>274</v>
      </c>
      <c r="L6686" s="912"/>
      <c r="M6686" s="912"/>
      <c r="N6686" s="912"/>
      <c r="O6686" s="892">
        <f t="shared" si="469"/>
        <v>0</v>
      </c>
      <c r="P6686" s="903">
        <f t="shared" si="470"/>
        <v>1</v>
      </c>
      <c r="Q6686" s="893">
        <f t="shared" si="471"/>
        <v>8</v>
      </c>
      <c r="R6686" s="894">
        <f t="shared" si="472"/>
        <v>0</v>
      </c>
    </row>
    <row r="6687" spans="1:18">
      <c r="A6687" s="905"/>
      <c r="B6687" s="906"/>
      <c r="C6687" s="907">
        <v>44</v>
      </c>
      <c r="D6687" s="907" t="s">
        <v>279</v>
      </c>
      <c r="E6687" s="925" t="s">
        <v>2681</v>
      </c>
      <c r="F6687" s="926" t="s">
        <v>45</v>
      </c>
      <c r="G6687" s="910"/>
      <c r="H6687" s="911">
        <v>0.72</v>
      </c>
      <c r="I6687" s="912">
        <f>VLOOKUP(E6687,[3]VLP!$B$7:$K$300,10,0)</f>
        <v>23000</v>
      </c>
      <c r="J6687" s="912">
        <f t="shared" si="476"/>
        <v>16560</v>
      </c>
      <c r="K6687" s="912" t="s">
        <v>274</v>
      </c>
      <c r="L6687" s="912"/>
      <c r="M6687" s="912"/>
      <c r="N6687" s="912"/>
      <c r="O6687" s="892">
        <f t="shared" ref="O6687:O6750" si="477">IF(AND(B6687&lt;&gt;"",D6687=""),1,0)</f>
        <v>0</v>
      </c>
      <c r="P6687" s="903">
        <f t="shared" si="470"/>
        <v>1</v>
      </c>
      <c r="Q6687" s="893">
        <f t="shared" si="471"/>
        <v>7</v>
      </c>
      <c r="R6687" s="894">
        <f t="shared" si="472"/>
        <v>0</v>
      </c>
    </row>
    <row r="6688" spans="1:18">
      <c r="A6688" s="905"/>
      <c r="B6688" s="906"/>
      <c r="C6688" s="907">
        <v>66</v>
      </c>
      <c r="D6688" s="907" t="s">
        <v>279</v>
      </c>
      <c r="E6688" s="925" t="s">
        <v>2682</v>
      </c>
      <c r="F6688" s="926" t="s">
        <v>45</v>
      </c>
      <c r="G6688" s="910"/>
      <c r="H6688" s="911">
        <v>0.3</v>
      </c>
      <c r="I6688" s="912">
        <f>VLOOKUP(E6688,[3]VLP!$B$7:$K$300,10,0)</f>
        <v>5000</v>
      </c>
      <c r="J6688" s="912">
        <f t="shared" si="476"/>
        <v>1500</v>
      </c>
      <c r="K6688" s="912" t="s">
        <v>274</v>
      </c>
      <c r="L6688" s="912"/>
      <c r="M6688" s="912"/>
      <c r="N6688" s="912"/>
      <c r="O6688" s="892">
        <f t="shared" si="477"/>
        <v>0</v>
      </c>
      <c r="P6688" s="903">
        <f t="shared" si="470"/>
        <v>1</v>
      </c>
      <c r="Q6688" s="893">
        <f t="shared" si="471"/>
        <v>6</v>
      </c>
      <c r="R6688" s="894">
        <f t="shared" si="472"/>
        <v>0</v>
      </c>
    </row>
    <row r="6689" spans="1:18">
      <c r="A6689" s="905"/>
      <c r="B6689" s="906"/>
      <c r="C6689" s="907">
        <v>65</v>
      </c>
      <c r="D6689" s="907" t="s">
        <v>279</v>
      </c>
      <c r="E6689" s="925" t="s">
        <v>5983</v>
      </c>
      <c r="F6689" s="926" t="s">
        <v>3144</v>
      </c>
      <c r="G6689" s="910"/>
      <c r="H6689" s="911">
        <v>1</v>
      </c>
      <c r="I6689" s="912">
        <f>VLOOKUP(E6689,[3]VLP!$B$7:$K$300,10,0)</f>
        <v>14000</v>
      </c>
      <c r="J6689" s="912">
        <f t="shared" si="476"/>
        <v>14000</v>
      </c>
      <c r="K6689" s="912" t="s">
        <v>274</v>
      </c>
      <c r="L6689" s="912"/>
      <c r="M6689" s="912"/>
      <c r="N6689" s="912"/>
      <c r="O6689" s="892">
        <f t="shared" si="477"/>
        <v>0</v>
      </c>
      <c r="P6689" s="903">
        <f t="shared" si="470"/>
        <v>1</v>
      </c>
      <c r="Q6689" s="893">
        <f t="shared" si="471"/>
        <v>5</v>
      </c>
      <c r="R6689" s="894">
        <f t="shared" si="472"/>
        <v>0</v>
      </c>
    </row>
    <row r="6690" spans="1:18">
      <c r="A6690" s="905"/>
      <c r="B6690" s="906"/>
      <c r="C6690" s="907">
        <v>89</v>
      </c>
      <c r="D6690" s="907" t="s">
        <v>279</v>
      </c>
      <c r="E6690" s="925" t="s">
        <v>5984</v>
      </c>
      <c r="F6690" s="926" t="s">
        <v>45</v>
      </c>
      <c r="G6690" s="910"/>
      <c r="H6690" s="911">
        <v>0.15</v>
      </c>
      <c r="I6690" s="912">
        <f>VLOOKUP(E6690,[3]VLP!$B$7:$K$300,10,0)</f>
        <v>1000</v>
      </c>
      <c r="J6690" s="912">
        <f t="shared" si="476"/>
        <v>150</v>
      </c>
      <c r="K6690" s="912" t="s">
        <v>274</v>
      </c>
      <c r="L6690" s="912"/>
      <c r="M6690" s="912"/>
      <c r="N6690" s="912"/>
      <c r="O6690" s="892">
        <f t="shared" si="477"/>
        <v>0</v>
      </c>
      <c r="P6690" s="903">
        <f t="shared" si="470"/>
        <v>1</v>
      </c>
      <c r="Q6690" s="893">
        <f t="shared" si="471"/>
        <v>4</v>
      </c>
      <c r="R6690" s="894">
        <f t="shared" si="472"/>
        <v>0</v>
      </c>
    </row>
    <row r="6691" spans="1:18">
      <c r="A6691" s="905"/>
      <c r="B6691" s="906"/>
      <c r="C6691" s="907">
        <v>699</v>
      </c>
      <c r="D6691" s="907" t="s">
        <v>279</v>
      </c>
      <c r="E6691" s="925" t="s">
        <v>4006</v>
      </c>
      <c r="F6691" s="926" t="s">
        <v>4007</v>
      </c>
      <c r="G6691" s="910"/>
      <c r="H6691" s="911">
        <v>5</v>
      </c>
      <c r="I6691" s="912">
        <f>VLOOKUP(E6691,[3]VLP!$B$7:$K$300,10,0)</f>
        <v>5000</v>
      </c>
      <c r="J6691" s="912">
        <f t="shared" si="476"/>
        <v>25000</v>
      </c>
      <c r="K6691" s="912" t="s">
        <v>274</v>
      </c>
      <c r="L6691" s="912"/>
      <c r="M6691" s="912"/>
      <c r="N6691" s="912"/>
      <c r="O6691" s="892">
        <f t="shared" si="477"/>
        <v>0</v>
      </c>
      <c r="P6691" s="903">
        <f t="shared" si="470"/>
        <v>1</v>
      </c>
      <c r="Q6691" s="893">
        <f t="shared" si="471"/>
        <v>3</v>
      </c>
      <c r="R6691" s="894">
        <f t="shared" si="472"/>
        <v>0</v>
      </c>
    </row>
    <row r="6692" spans="1:18" s="904" customFormat="1">
      <c r="A6692" s="895"/>
      <c r="B6692" s="896"/>
      <c r="C6692" s="897"/>
      <c r="D6692" s="897"/>
      <c r="E6692" s="924" t="s">
        <v>276</v>
      </c>
      <c r="F6692" s="927"/>
      <c r="G6692" s="928"/>
      <c r="H6692" s="901"/>
      <c r="I6692" s="902"/>
      <c r="J6692" s="902"/>
      <c r="K6692" s="912" t="s">
        <v>274</v>
      </c>
      <c r="L6692" s="902"/>
      <c r="M6692" s="902"/>
      <c r="N6692" s="902"/>
      <c r="O6692" s="892">
        <f t="shared" si="477"/>
        <v>0</v>
      </c>
      <c r="P6692" s="903">
        <f t="shared" si="470"/>
        <v>1</v>
      </c>
      <c r="Q6692" s="893">
        <f t="shared" si="471"/>
        <v>2</v>
      </c>
      <c r="R6692" s="894">
        <f t="shared" si="472"/>
        <v>0</v>
      </c>
    </row>
    <row r="6693" spans="1:18">
      <c r="A6693" s="905"/>
      <c r="B6693" s="906"/>
      <c r="C6693" s="907">
        <v>745</v>
      </c>
      <c r="D6693" s="907" t="s">
        <v>12</v>
      </c>
      <c r="E6693" s="908" t="s">
        <v>5518</v>
      </c>
      <c r="F6693" s="909" t="s">
        <v>2674</v>
      </c>
      <c r="G6693" s="910"/>
      <c r="H6693" s="911">
        <v>6.68</v>
      </c>
      <c r="I6693" s="912"/>
      <c r="J6693" s="912"/>
      <c r="K6693" s="912">
        <f>VLOOKUP(E6693,[5]ĐMNC!$A$7:$F$67,4,0)</f>
        <v>240557</v>
      </c>
      <c r="L6693" s="912">
        <f>H6693*K6693</f>
        <v>1606920.76</v>
      </c>
      <c r="M6693" s="912"/>
      <c r="N6693" s="912"/>
      <c r="O6693" s="892">
        <f t="shared" si="477"/>
        <v>0</v>
      </c>
      <c r="P6693" s="903">
        <f t="shared" si="470"/>
        <v>1</v>
      </c>
      <c r="Q6693" s="893">
        <f t="shared" si="471"/>
        <v>1</v>
      </c>
      <c r="R6693" s="894">
        <f t="shared" si="472"/>
        <v>0</v>
      </c>
    </row>
    <row r="6694" spans="1:18" s="847" customFormat="1" ht="35.25" customHeight="1">
      <c r="A6694" s="905"/>
      <c r="B6694" s="914" t="s">
        <v>6007</v>
      </c>
      <c r="C6694" s="915"/>
      <c r="D6694" s="915"/>
      <c r="E6694" s="916" t="s">
        <v>6008</v>
      </c>
      <c r="F6694" s="917" t="s">
        <v>5834</v>
      </c>
      <c r="G6694" s="944"/>
      <c r="H6694" s="919"/>
      <c r="I6694" s="920"/>
      <c r="J6694" s="891">
        <f>SUM(J6695:J6708)</f>
        <v>590007.5</v>
      </c>
      <c r="K6694" s="891" t="s">
        <v>274</v>
      </c>
      <c r="L6694" s="891">
        <f>SUM(L6695:L6708)</f>
        <v>1751254.96</v>
      </c>
      <c r="M6694" s="891"/>
      <c r="N6694" s="891">
        <f>SUM(N6695:N6708)</f>
        <v>0</v>
      </c>
      <c r="O6694" s="892">
        <f t="shared" si="477"/>
        <v>1</v>
      </c>
      <c r="P6694" s="903">
        <f t="shared" si="470"/>
        <v>0</v>
      </c>
      <c r="Q6694" s="893">
        <f t="shared" si="471"/>
        <v>0</v>
      </c>
      <c r="R6694" s="894">
        <f t="shared" si="472"/>
        <v>14</v>
      </c>
    </row>
    <row r="6695" spans="1:18" s="904" customFormat="1">
      <c r="A6695" s="895"/>
      <c r="B6695" s="896"/>
      <c r="C6695" s="897"/>
      <c r="D6695" s="897"/>
      <c r="E6695" s="898" t="s">
        <v>108</v>
      </c>
      <c r="F6695" s="899"/>
      <c r="G6695" s="928"/>
      <c r="H6695" s="901"/>
      <c r="I6695" s="902"/>
      <c r="J6695" s="902"/>
      <c r="K6695" s="912" t="s">
        <v>274</v>
      </c>
      <c r="L6695" s="902"/>
      <c r="M6695" s="902"/>
      <c r="N6695" s="902"/>
      <c r="O6695" s="892">
        <f t="shared" si="477"/>
        <v>0</v>
      </c>
      <c r="P6695" s="903">
        <f t="shared" si="470"/>
        <v>1</v>
      </c>
      <c r="Q6695" s="893">
        <f t="shared" si="471"/>
        <v>14</v>
      </c>
      <c r="R6695" s="894">
        <f t="shared" si="472"/>
        <v>0</v>
      </c>
    </row>
    <row r="6696" spans="1:18">
      <c r="A6696" s="905"/>
      <c r="B6696" s="906"/>
      <c r="C6696" s="907">
        <v>106</v>
      </c>
      <c r="D6696" s="907" t="s">
        <v>279</v>
      </c>
      <c r="E6696" s="925" t="s">
        <v>5851</v>
      </c>
      <c r="F6696" s="909" t="s">
        <v>51</v>
      </c>
      <c r="G6696" s="910"/>
      <c r="H6696" s="911">
        <v>1</v>
      </c>
      <c r="I6696" s="912">
        <f>VLOOKUP(E6696,[3]VLP!$B$7:$K$300,10,0)</f>
        <v>40560</v>
      </c>
      <c r="J6696" s="912">
        <f t="shared" ref="J6696:J6706" si="478">I6696*H6696</f>
        <v>40560</v>
      </c>
      <c r="K6696" s="912" t="s">
        <v>274</v>
      </c>
      <c r="L6696" s="912"/>
      <c r="M6696" s="912"/>
      <c r="N6696" s="912"/>
      <c r="O6696" s="892">
        <f t="shared" si="477"/>
        <v>0</v>
      </c>
      <c r="P6696" s="903">
        <f t="shared" ref="P6696:P6759" si="479">IF(O6696=0,1,0)</f>
        <v>1</v>
      </c>
      <c r="Q6696" s="893">
        <f t="shared" ref="Q6696:Q6759" si="480">IF(P6696=0,0,P6696+Q6697)</f>
        <v>13</v>
      </c>
      <c r="R6696" s="894">
        <f t="shared" ref="R6696:R6759" si="481">IF(Q6696=0,Q6697,0)</f>
        <v>0</v>
      </c>
    </row>
    <row r="6697" spans="1:18">
      <c r="A6697" s="905"/>
      <c r="B6697" s="906"/>
      <c r="C6697" s="907">
        <v>49</v>
      </c>
      <c r="D6697" s="907" t="s">
        <v>279</v>
      </c>
      <c r="E6697" s="925" t="s">
        <v>5698</v>
      </c>
      <c r="F6697" s="909" t="s">
        <v>139</v>
      </c>
      <c r="G6697" s="910"/>
      <c r="H6697" s="911">
        <v>2</v>
      </c>
      <c r="I6697" s="912">
        <f>VLOOKUP(E6697,[3]VLP!$B$7:$K$300,10,0)</f>
        <v>3000</v>
      </c>
      <c r="J6697" s="912">
        <f t="shared" si="478"/>
        <v>6000</v>
      </c>
      <c r="K6697" s="912" t="s">
        <v>274</v>
      </c>
      <c r="L6697" s="912"/>
      <c r="M6697" s="912"/>
      <c r="N6697" s="912"/>
      <c r="O6697" s="892">
        <f t="shared" si="477"/>
        <v>0</v>
      </c>
      <c r="P6697" s="903">
        <f t="shared" si="479"/>
        <v>1</v>
      </c>
      <c r="Q6697" s="893">
        <f t="shared" si="480"/>
        <v>12</v>
      </c>
      <c r="R6697" s="894">
        <f t="shared" si="481"/>
        <v>0</v>
      </c>
    </row>
    <row r="6698" spans="1:18">
      <c r="A6698" s="905"/>
      <c r="B6698" s="906"/>
      <c r="C6698" s="907">
        <v>50</v>
      </c>
      <c r="D6698" s="907" t="s">
        <v>279</v>
      </c>
      <c r="E6698" s="925" t="s">
        <v>5836</v>
      </c>
      <c r="F6698" s="909" t="s">
        <v>49</v>
      </c>
      <c r="G6698" s="910"/>
      <c r="H6698" s="911">
        <v>4</v>
      </c>
      <c r="I6698" s="912">
        <f>VLOOKUP(E6698,[3]VLP!$B$7:$K$300,10,0)</f>
        <v>85790</v>
      </c>
      <c r="J6698" s="912">
        <f t="shared" si="478"/>
        <v>343160</v>
      </c>
      <c r="K6698" s="912" t="s">
        <v>274</v>
      </c>
      <c r="L6698" s="912"/>
      <c r="M6698" s="912"/>
      <c r="N6698" s="912"/>
      <c r="O6698" s="892">
        <f t="shared" si="477"/>
        <v>0</v>
      </c>
      <c r="P6698" s="903">
        <f t="shared" si="479"/>
        <v>1</v>
      </c>
      <c r="Q6698" s="893">
        <f t="shared" si="480"/>
        <v>11</v>
      </c>
      <c r="R6698" s="894">
        <f t="shared" si="481"/>
        <v>0</v>
      </c>
    </row>
    <row r="6699" spans="1:18">
      <c r="A6699" s="905"/>
      <c r="B6699" s="906"/>
      <c r="C6699" s="907">
        <v>46</v>
      </c>
      <c r="D6699" s="907" t="s">
        <v>279</v>
      </c>
      <c r="E6699" s="925" t="s">
        <v>3179</v>
      </c>
      <c r="F6699" s="909" t="s">
        <v>45</v>
      </c>
      <c r="G6699" s="910"/>
      <c r="H6699" s="911">
        <v>6</v>
      </c>
      <c r="I6699" s="912">
        <f>VLOOKUP(E6699,[3]VLP!$B$7:$K$300,10,0)</f>
        <v>20500</v>
      </c>
      <c r="J6699" s="912">
        <f t="shared" si="478"/>
        <v>123000</v>
      </c>
      <c r="K6699" s="912" t="s">
        <v>274</v>
      </c>
      <c r="L6699" s="912"/>
      <c r="M6699" s="912"/>
      <c r="N6699" s="912"/>
      <c r="O6699" s="892">
        <f t="shared" si="477"/>
        <v>0</v>
      </c>
      <c r="P6699" s="903">
        <f t="shared" si="479"/>
        <v>1</v>
      </c>
      <c r="Q6699" s="893">
        <f t="shared" si="480"/>
        <v>10</v>
      </c>
      <c r="R6699" s="894">
        <f t="shared" si="481"/>
        <v>0</v>
      </c>
    </row>
    <row r="6700" spans="1:18">
      <c r="A6700" s="905"/>
      <c r="B6700" s="906"/>
      <c r="C6700" s="907">
        <v>25</v>
      </c>
      <c r="D6700" s="907" t="s">
        <v>279</v>
      </c>
      <c r="E6700" s="925" t="s">
        <v>5656</v>
      </c>
      <c r="F6700" s="926" t="s">
        <v>2690</v>
      </c>
      <c r="G6700" s="910"/>
      <c r="H6700" s="911">
        <v>1.5</v>
      </c>
      <c r="I6700" s="912">
        <f>VLOOKUP(E6700,[3]VLP!$B$7:$K$300,10,0)</f>
        <v>5000</v>
      </c>
      <c r="J6700" s="912">
        <f t="shared" si="478"/>
        <v>7500</v>
      </c>
      <c r="K6700" s="912" t="s">
        <v>274</v>
      </c>
      <c r="L6700" s="912"/>
      <c r="M6700" s="912"/>
      <c r="N6700" s="912"/>
      <c r="O6700" s="892">
        <f t="shared" si="477"/>
        <v>0</v>
      </c>
      <c r="P6700" s="903">
        <f t="shared" si="479"/>
        <v>1</v>
      </c>
      <c r="Q6700" s="893">
        <f t="shared" si="480"/>
        <v>9</v>
      </c>
      <c r="R6700" s="894">
        <f t="shared" si="481"/>
        <v>0</v>
      </c>
    </row>
    <row r="6701" spans="1:18">
      <c r="A6701" s="905"/>
      <c r="B6701" s="906"/>
      <c r="C6701" s="907">
        <v>127</v>
      </c>
      <c r="D6701" s="907" t="s">
        <v>279</v>
      </c>
      <c r="E6701" s="925" t="s">
        <v>5657</v>
      </c>
      <c r="F6701" s="909" t="s">
        <v>45</v>
      </c>
      <c r="G6701" s="910"/>
      <c r="H6701" s="911">
        <v>0.5</v>
      </c>
      <c r="I6701" s="912">
        <f>VLOOKUP(E6701,[3]VLP!$B$7:$K$300,10,0)</f>
        <v>25155</v>
      </c>
      <c r="J6701" s="912">
        <f t="shared" si="478"/>
        <v>12577.5</v>
      </c>
      <c r="K6701" s="912" t="s">
        <v>274</v>
      </c>
      <c r="L6701" s="912"/>
      <c r="M6701" s="912"/>
      <c r="N6701" s="912"/>
      <c r="O6701" s="892">
        <f t="shared" si="477"/>
        <v>0</v>
      </c>
      <c r="P6701" s="903">
        <f t="shared" si="479"/>
        <v>1</v>
      </c>
      <c r="Q6701" s="893">
        <f t="shared" si="480"/>
        <v>8</v>
      </c>
      <c r="R6701" s="894">
        <f t="shared" si="481"/>
        <v>0</v>
      </c>
    </row>
    <row r="6702" spans="1:18">
      <c r="A6702" s="905"/>
      <c r="B6702" s="906"/>
      <c r="C6702" s="907">
        <v>44</v>
      </c>
      <c r="D6702" s="907" t="s">
        <v>279</v>
      </c>
      <c r="E6702" s="925" t="s">
        <v>2681</v>
      </c>
      <c r="F6702" s="926" t="s">
        <v>45</v>
      </c>
      <c r="G6702" s="910"/>
      <c r="H6702" s="911">
        <v>0.72</v>
      </c>
      <c r="I6702" s="912">
        <f>VLOOKUP(E6702,[3]VLP!$B$7:$K$300,10,0)</f>
        <v>23000</v>
      </c>
      <c r="J6702" s="912">
        <f t="shared" si="478"/>
        <v>16560</v>
      </c>
      <c r="K6702" s="912" t="s">
        <v>274</v>
      </c>
      <c r="L6702" s="912"/>
      <c r="M6702" s="912"/>
      <c r="N6702" s="912"/>
      <c r="O6702" s="892">
        <f t="shared" si="477"/>
        <v>0</v>
      </c>
      <c r="P6702" s="903">
        <f t="shared" si="479"/>
        <v>1</v>
      </c>
      <c r="Q6702" s="893">
        <f t="shared" si="480"/>
        <v>7</v>
      </c>
      <c r="R6702" s="894">
        <f t="shared" si="481"/>
        <v>0</v>
      </c>
    </row>
    <row r="6703" spans="1:18">
      <c r="A6703" s="905"/>
      <c r="B6703" s="906"/>
      <c r="C6703" s="907">
        <v>66</v>
      </c>
      <c r="D6703" s="907" t="s">
        <v>279</v>
      </c>
      <c r="E6703" s="925" t="s">
        <v>2682</v>
      </c>
      <c r="F6703" s="926" t="s">
        <v>45</v>
      </c>
      <c r="G6703" s="910"/>
      <c r="H6703" s="911">
        <v>0.3</v>
      </c>
      <c r="I6703" s="912">
        <f>VLOOKUP(E6703,[3]VLP!$B$7:$K$300,10,0)</f>
        <v>5000</v>
      </c>
      <c r="J6703" s="912">
        <f t="shared" si="478"/>
        <v>1500</v>
      </c>
      <c r="K6703" s="912" t="s">
        <v>274</v>
      </c>
      <c r="L6703" s="912"/>
      <c r="M6703" s="912"/>
      <c r="N6703" s="912"/>
      <c r="O6703" s="892">
        <f t="shared" si="477"/>
        <v>0</v>
      </c>
      <c r="P6703" s="903">
        <f t="shared" si="479"/>
        <v>1</v>
      </c>
      <c r="Q6703" s="893">
        <f t="shared" si="480"/>
        <v>6</v>
      </c>
      <c r="R6703" s="894">
        <f t="shared" si="481"/>
        <v>0</v>
      </c>
    </row>
    <row r="6704" spans="1:18">
      <c r="A6704" s="905"/>
      <c r="B6704" s="906"/>
      <c r="C6704" s="907">
        <v>65</v>
      </c>
      <c r="D6704" s="907" t="s">
        <v>279</v>
      </c>
      <c r="E6704" s="925" t="s">
        <v>5983</v>
      </c>
      <c r="F6704" s="926" t="s">
        <v>3144</v>
      </c>
      <c r="G6704" s="910"/>
      <c r="H6704" s="911">
        <v>1</v>
      </c>
      <c r="I6704" s="912">
        <f>VLOOKUP(E6704,[3]VLP!$B$7:$K$300,10,0)</f>
        <v>14000</v>
      </c>
      <c r="J6704" s="912">
        <f t="shared" si="478"/>
        <v>14000</v>
      </c>
      <c r="K6704" s="912" t="s">
        <v>274</v>
      </c>
      <c r="L6704" s="912"/>
      <c r="M6704" s="912"/>
      <c r="N6704" s="912"/>
      <c r="O6704" s="892">
        <f t="shared" si="477"/>
        <v>0</v>
      </c>
      <c r="P6704" s="903">
        <f t="shared" si="479"/>
        <v>1</v>
      </c>
      <c r="Q6704" s="893">
        <f t="shared" si="480"/>
        <v>5</v>
      </c>
      <c r="R6704" s="894">
        <f t="shared" si="481"/>
        <v>0</v>
      </c>
    </row>
    <row r="6705" spans="1:18">
      <c r="A6705" s="905"/>
      <c r="B6705" s="906"/>
      <c r="C6705" s="907">
        <v>89</v>
      </c>
      <c r="D6705" s="907" t="s">
        <v>279</v>
      </c>
      <c r="E6705" s="925" t="s">
        <v>5984</v>
      </c>
      <c r="F6705" s="926" t="s">
        <v>45</v>
      </c>
      <c r="G6705" s="910"/>
      <c r="H6705" s="911">
        <v>0.15</v>
      </c>
      <c r="I6705" s="912">
        <f>VLOOKUP(E6705,[3]VLP!$B$7:$K$300,10,0)</f>
        <v>1000</v>
      </c>
      <c r="J6705" s="912">
        <f t="shared" si="478"/>
        <v>150</v>
      </c>
      <c r="K6705" s="912" t="s">
        <v>274</v>
      </c>
      <c r="L6705" s="912"/>
      <c r="M6705" s="912"/>
      <c r="N6705" s="912"/>
      <c r="O6705" s="892">
        <f t="shared" si="477"/>
        <v>0</v>
      </c>
      <c r="P6705" s="903">
        <f t="shared" si="479"/>
        <v>1</v>
      </c>
      <c r="Q6705" s="893">
        <f t="shared" si="480"/>
        <v>4</v>
      </c>
      <c r="R6705" s="894">
        <f t="shared" si="481"/>
        <v>0</v>
      </c>
    </row>
    <row r="6706" spans="1:18">
      <c r="A6706" s="905"/>
      <c r="B6706" s="906"/>
      <c r="C6706" s="907">
        <v>699</v>
      </c>
      <c r="D6706" s="907" t="s">
        <v>279</v>
      </c>
      <c r="E6706" s="925" t="s">
        <v>4006</v>
      </c>
      <c r="F6706" s="926" t="s">
        <v>4007</v>
      </c>
      <c r="G6706" s="910"/>
      <c r="H6706" s="911">
        <v>5</v>
      </c>
      <c r="I6706" s="912">
        <f>VLOOKUP(E6706,[3]VLP!$B$7:$K$300,10,0)</f>
        <v>5000</v>
      </c>
      <c r="J6706" s="912">
        <f t="shared" si="478"/>
        <v>25000</v>
      </c>
      <c r="K6706" s="912" t="s">
        <v>274</v>
      </c>
      <c r="L6706" s="912"/>
      <c r="M6706" s="912"/>
      <c r="N6706" s="912"/>
      <c r="O6706" s="892">
        <f t="shared" si="477"/>
        <v>0</v>
      </c>
      <c r="P6706" s="903">
        <f t="shared" si="479"/>
        <v>1</v>
      </c>
      <c r="Q6706" s="893">
        <f t="shared" si="480"/>
        <v>3</v>
      </c>
      <c r="R6706" s="894">
        <f t="shared" si="481"/>
        <v>0</v>
      </c>
    </row>
    <row r="6707" spans="1:18" s="904" customFormat="1">
      <c r="A6707" s="895"/>
      <c r="B6707" s="896"/>
      <c r="C6707" s="897"/>
      <c r="D6707" s="897"/>
      <c r="E6707" s="924" t="s">
        <v>276</v>
      </c>
      <c r="F6707" s="927"/>
      <c r="G6707" s="928"/>
      <c r="H6707" s="901"/>
      <c r="I6707" s="902"/>
      <c r="J6707" s="902"/>
      <c r="K6707" s="912" t="s">
        <v>274</v>
      </c>
      <c r="L6707" s="902"/>
      <c r="M6707" s="902"/>
      <c r="N6707" s="902"/>
      <c r="O6707" s="892">
        <f t="shared" si="477"/>
        <v>0</v>
      </c>
      <c r="P6707" s="903">
        <f t="shared" si="479"/>
        <v>1</v>
      </c>
      <c r="Q6707" s="893">
        <f t="shared" si="480"/>
        <v>2</v>
      </c>
      <c r="R6707" s="894">
        <f t="shared" si="481"/>
        <v>0</v>
      </c>
    </row>
    <row r="6708" spans="1:18">
      <c r="A6708" s="905"/>
      <c r="B6708" s="906"/>
      <c r="C6708" s="907">
        <v>745</v>
      </c>
      <c r="D6708" s="907" t="s">
        <v>12</v>
      </c>
      <c r="E6708" s="908" t="s">
        <v>5518</v>
      </c>
      <c r="F6708" s="909" t="s">
        <v>2674</v>
      </c>
      <c r="G6708" s="910"/>
      <c r="H6708" s="911">
        <v>7.28</v>
      </c>
      <c r="I6708" s="912"/>
      <c r="J6708" s="912"/>
      <c r="K6708" s="912">
        <f>VLOOKUP(E6708,[5]ĐMNC!$A$7:$F$67,4,0)</f>
        <v>240557</v>
      </c>
      <c r="L6708" s="912">
        <f>H6708*K6708</f>
        <v>1751254.96</v>
      </c>
      <c r="M6708" s="912"/>
      <c r="N6708" s="912"/>
      <c r="O6708" s="892">
        <f t="shared" si="477"/>
        <v>0</v>
      </c>
      <c r="P6708" s="903">
        <f t="shared" si="479"/>
        <v>1</v>
      </c>
      <c r="Q6708" s="893">
        <f t="shared" si="480"/>
        <v>1</v>
      </c>
      <c r="R6708" s="894">
        <f t="shared" si="481"/>
        <v>0</v>
      </c>
    </row>
    <row r="6709" spans="1:18" s="847" customFormat="1" ht="35.25" customHeight="1">
      <c r="A6709" s="905"/>
      <c r="B6709" s="914" t="s">
        <v>6009</v>
      </c>
      <c r="C6709" s="915"/>
      <c r="D6709" s="915"/>
      <c r="E6709" s="916" t="s">
        <v>6010</v>
      </c>
      <c r="F6709" s="917" t="s">
        <v>5834</v>
      </c>
      <c r="G6709" s="944"/>
      <c r="H6709" s="919"/>
      <c r="I6709" s="920"/>
      <c r="J6709" s="891">
        <f>SUM(J6710:J6723)</f>
        <v>624973</v>
      </c>
      <c r="K6709" s="891" t="s">
        <v>274</v>
      </c>
      <c r="L6709" s="891">
        <f>SUM(L6710:L6723)</f>
        <v>2100062.6100000003</v>
      </c>
      <c r="M6709" s="891"/>
      <c r="N6709" s="891">
        <f>SUM(N6710:N6723)</f>
        <v>0</v>
      </c>
      <c r="O6709" s="892">
        <f t="shared" si="477"/>
        <v>1</v>
      </c>
      <c r="P6709" s="903">
        <f t="shared" si="479"/>
        <v>0</v>
      </c>
      <c r="Q6709" s="893">
        <f t="shared" si="480"/>
        <v>0</v>
      </c>
      <c r="R6709" s="894">
        <f t="shared" si="481"/>
        <v>14</v>
      </c>
    </row>
    <row r="6710" spans="1:18" s="904" customFormat="1">
      <c r="A6710" s="895"/>
      <c r="B6710" s="896"/>
      <c r="C6710" s="897"/>
      <c r="D6710" s="897"/>
      <c r="E6710" s="898" t="s">
        <v>108</v>
      </c>
      <c r="F6710" s="899"/>
      <c r="G6710" s="928"/>
      <c r="H6710" s="901"/>
      <c r="I6710" s="902"/>
      <c r="J6710" s="902"/>
      <c r="K6710" s="912" t="s">
        <v>274</v>
      </c>
      <c r="L6710" s="902"/>
      <c r="M6710" s="902"/>
      <c r="N6710" s="902"/>
      <c r="O6710" s="892">
        <f t="shared" si="477"/>
        <v>0</v>
      </c>
      <c r="P6710" s="903">
        <f t="shared" si="479"/>
        <v>1</v>
      </c>
      <c r="Q6710" s="893">
        <f t="shared" si="480"/>
        <v>14</v>
      </c>
      <c r="R6710" s="894">
        <f t="shared" si="481"/>
        <v>0</v>
      </c>
    </row>
    <row r="6711" spans="1:18">
      <c r="A6711" s="905"/>
      <c r="B6711" s="906"/>
      <c r="C6711" s="907">
        <v>107</v>
      </c>
      <c r="D6711" s="907" t="s">
        <v>279</v>
      </c>
      <c r="E6711" s="925" t="s">
        <v>5854</v>
      </c>
      <c r="F6711" s="909" t="s">
        <v>51</v>
      </c>
      <c r="G6711" s="910"/>
      <c r="H6711" s="911">
        <v>1</v>
      </c>
      <c r="I6711" s="912">
        <f>VLOOKUP(E6711,[3]VLP!$B$7:$K$300,10,0)</f>
        <v>40560</v>
      </c>
      <c r="J6711" s="912">
        <f t="shared" ref="J6711:J6721" si="482">I6711*H6711</f>
        <v>40560</v>
      </c>
      <c r="K6711" s="912" t="s">
        <v>274</v>
      </c>
      <c r="L6711" s="912"/>
      <c r="M6711" s="912"/>
      <c r="N6711" s="912"/>
      <c r="O6711" s="892">
        <f t="shared" si="477"/>
        <v>0</v>
      </c>
      <c r="P6711" s="903">
        <f t="shared" si="479"/>
        <v>1</v>
      </c>
      <c r="Q6711" s="893">
        <f t="shared" si="480"/>
        <v>13</v>
      </c>
      <c r="R6711" s="894">
        <f t="shared" si="481"/>
        <v>0</v>
      </c>
    </row>
    <row r="6712" spans="1:18">
      <c r="A6712" s="905"/>
      <c r="B6712" s="906"/>
      <c r="C6712" s="907">
        <v>49</v>
      </c>
      <c r="D6712" s="907" t="s">
        <v>279</v>
      </c>
      <c r="E6712" s="925" t="s">
        <v>5698</v>
      </c>
      <c r="F6712" s="909" t="s">
        <v>139</v>
      </c>
      <c r="G6712" s="910"/>
      <c r="H6712" s="911">
        <v>2</v>
      </c>
      <c r="I6712" s="912">
        <f>VLOOKUP(E6712,[3]VLP!$B$7:$K$300,10,0)</f>
        <v>3000</v>
      </c>
      <c r="J6712" s="912">
        <f t="shared" si="482"/>
        <v>6000</v>
      </c>
      <c r="K6712" s="912" t="s">
        <v>274</v>
      </c>
      <c r="L6712" s="912"/>
      <c r="M6712" s="912"/>
      <c r="N6712" s="912"/>
      <c r="O6712" s="892">
        <f t="shared" si="477"/>
        <v>0</v>
      </c>
      <c r="P6712" s="903">
        <f t="shared" si="479"/>
        <v>1</v>
      </c>
      <c r="Q6712" s="893">
        <f t="shared" si="480"/>
        <v>12</v>
      </c>
      <c r="R6712" s="894">
        <f t="shared" si="481"/>
        <v>0</v>
      </c>
    </row>
    <row r="6713" spans="1:18">
      <c r="A6713" s="905"/>
      <c r="B6713" s="906"/>
      <c r="C6713" s="907">
        <v>50</v>
      </c>
      <c r="D6713" s="907" t="s">
        <v>279</v>
      </c>
      <c r="E6713" s="925" t="s">
        <v>5836</v>
      </c>
      <c r="F6713" s="909" t="s">
        <v>49</v>
      </c>
      <c r="G6713" s="910"/>
      <c r="H6713" s="911">
        <v>4</v>
      </c>
      <c r="I6713" s="912">
        <f>VLOOKUP(E6713,[3]VLP!$B$7:$K$300,10,0)</f>
        <v>85790</v>
      </c>
      <c r="J6713" s="912">
        <f t="shared" si="482"/>
        <v>343160</v>
      </c>
      <c r="K6713" s="912" t="s">
        <v>274</v>
      </c>
      <c r="L6713" s="912"/>
      <c r="M6713" s="912"/>
      <c r="N6713" s="912"/>
      <c r="O6713" s="892">
        <f t="shared" si="477"/>
        <v>0</v>
      </c>
      <c r="P6713" s="903">
        <f t="shared" si="479"/>
        <v>1</v>
      </c>
      <c r="Q6713" s="893">
        <f t="shared" si="480"/>
        <v>11</v>
      </c>
      <c r="R6713" s="894">
        <f t="shared" si="481"/>
        <v>0</v>
      </c>
    </row>
    <row r="6714" spans="1:18">
      <c r="A6714" s="905"/>
      <c r="B6714" s="906"/>
      <c r="C6714" s="907">
        <v>46</v>
      </c>
      <c r="D6714" s="907" t="s">
        <v>279</v>
      </c>
      <c r="E6714" s="925" t="s">
        <v>3179</v>
      </c>
      <c r="F6714" s="909" t="s">
        <v>45</v>
      </c>
      <c r="G6714" s="910"/>
      <c r="H6714" s="911">
        <v>7.2</v>
      </c>
      <c r="I6714" s="912">
        <f>VLOOKUP(E6714,[3]VLP!$B$7:$K$300,10,0)</f>
        <v>20500</v>
      </c>
      <c r="J6714" s="912">
        <f t="shared" si="482"/>
        <v>147600</v>
      </c>
      <c r="K6714" s="912" t="s">
        <v>274</v>
      </c>
      <c r="L6714" s="912"/>
      <c r="M6714" s="912"/>
      <c r="N6714" s="912"/>
      <c r="O6714" s="892">
        <f t="shared" si="477"/>
        <v>0</v>
      </c>
      <c r="P6714" s="903">
        <f t="shared" si="479"/>
        <v>1</v>
      </c>
      <c r="Q6714" s="893">
        <f t="shared" si="480"/>
        <v>10</v>
      </c>
      <c r="R6714" s="894">
        <f t="shared" si="481"/>
        <v>0</v>
      </c>
    </row>
    <row r="6715" spans="1:18">
      <c r="A6715" s="905"/>
      <c r="B6715" s="906"/>
      <c r="C6715" s="907">
        <v>25</v>
      </c>
      <c r="D6715" s="907" t="s">
        <v>279</v>
      </c>
      <c r="E6715" s="925" t="s">
        <v>5656</v>
      </c>
      <c r="F6715" s="926" t="s">
        <v>2690</v>
      </c>
      <c r="G6715" s="910"/>
      <c r="H6715" s="911">
        <v>1.8</v>
      </c>
      <c r="I6715" s="912">
        <f>VLOOKUP(E6715,[3]VLP!$B$7:$K$300,10,0)</f>
        <v>5000</v>
      </c>
      <c r="J6715" s="912">
        <f t="shared" si="482"/>
        <v>9000</v>
      </c>
      <c r="K6715" s="912" t="s">
        <v>274</v>
      </c>
      <c r="L6715" s="912"/>
      <c r="M6715" s="912"/>
      <c r="N6715" s="912"/>
      <c r="O6715" s="892">
        <f t="shared" si="477"/>
        <v>0</v>
      </c>
      <c r="P6715" s="903">
        <f t="shared" si="479"/>
        <v>1</v>
      </c>
      <c r="Q6715" s="893">
        <f t="shared" si="480"/>
        <v>9</v>
      </c>
      <c r="R6715" s="894">
        <f t="shared" si="481"/>
        <v>0</v>
      </c>
    </row>
    <row r="6716" spans="1:18">
      <c r="A6716" s="905"/>
      <c r="B6716" s="906"/>
      <c r="C6716" s="907">
        <v>127</v>
      </c>
      <c r="D6716" s="907" t="s">
        <v>279</v>
      </c>
      <c r="E6716" s="925" t="s">
        <v>5657</v>
      </c>
      <c r="F6716" s="909" t="s">
        <v>45</v>
      </c>
      <c r="G6716" s="910"/>
      <c r="H6716" s="911">
        <v>0.6</v>
      </c>
      <c r="I6716" s="912">
        <f>VLOOKUP(E6716,[3]VLP!$B$7:$K$300,10,0)</f>
        <v>25155</v>
      </c>
      <c r="J6716" s="912">
        <f t="shared" si="482"/>
        <v>15093</v>
      </c>
      <c r="K6716" s="912" t="s">
        <v>274</v>
      </c>
      <c r="L6716" s="912"/>
      <c r="M6716" s="912"/>
      <c r="N6716" s="912"/>
      <c r="O6716" s="892">
        <f t="shared" si="477"/>
        <v>0</v>
      </c>
      <c r="P6716" s="903">
        <f t="shared" si="479"/>
        <v>1</v>
      </c>
      <c r="Q6716" s="893">
        <f t="shared" si="480"/>
        <v>8</v>
      </c>
      <c r="R6716" s="894">
        <f t="shared" si="481"/>
        <v>0</v>
      </c>
    </row>
    <row r="6717" spans="1:18">
      <c r="A6717" s="905"/>
      <c r="B6717" s="906"/>
      <c r="C6717" s="907">
        <v>44</v>
      </c>
      <c r="D6717" s="907" t="s">
        <v>279</v>
      </c>
      <c r="E6717" s="925" t="s">
        <v>2681</v>
      </c>
      <c r="F6717" s="926" t="s">
        <v>45</v>
      </c>
      <c r="G6717" s="910"/>
      <c r="H6717" s="911">
        <v>0.86</v>
      </c>
      <c r="I6717" s="912">
        <f>VLOOKUP(E6717,[3]VLP!$B$7:$K$300,10,0)</f>
        <v>23000</v>
      </c>
      <c r="J6717" s="912">
        <f t="shared" si="482"/>
        <v>19780</v>
      </c>
      <c r="K6717" s="912" t="s">
        <v>274</v>
      </c>
      <c r="L6717" s="912"/>
      <c r="M6717" s="912"/>
      <c r="N6717" s="912"/>
      <c r="O6717" s="892">
        <f t="shared" si="477"/>
        <v>0</v>
      </c>
      <c r="P6717" s="903">
        <f t="shared" si="479"/>
        <v>1</v>
      </c>
      <c r="Q6717" s="893">
        <f t="shared" si="480"/>
        <v>7</v>
      </c>
      <c r="R6717" s="894">
        <f t="shared" si="481"/>
        <v>0</v>
      </c>
    </row>
    <row r="6718" spans="1:18">
      <c r="A6718" s="905"/>
      <c r="B6718" s="906"/>
      <c r="C6718" s="907">
        <v>66</v>
      </c>
      <c r="D6718" s="907" t="s">
        <v>279</v>
      </c>
      <c r="E6718" s="925" t="s">
        <v>2682</v>
      </c>
      <c r="F6718" s="926" t="s">
        <v>45</v>
      </c>
      <c r="G6718" s="910"/>
      <c r="H6718" s="911">
        <v>0.36</v>
      </c>
      <c r="I6718" s="912">
        <f>VLOOKUP(E6718,[3]VLP!$B$7:$K$300,10,0)</f>
        <v>5000</v>
      </c>
      <c r="J6718" s="912">
        <f t="shared" si="482"/>
        <v>1800</v>
      </c>
      <c r="K6718" s="912" t="s">
        <v>274</v>
      </c>
      <c r="L6718" s="912"/>
      <c r="M6718" s="912"/>
      <c r="N6718" s="912"/>
      <c r="O6718" s="892">
        <f t="shared" si="477"/>
        <v>0</v>
      </c>
      <c r="P6718" s="903">
        <f t="shared" si="479"/>
        <v>1</v>
      </c>
      <c r="Q6718" s="893">
        <f t="shared" si="480"/>
        <v>6</v>
      </c>
      <c r="R6718" s="894">
        <f t="shared" si="481"/>
        <v>0</v>
      </c>
    </row>
    <row r="6719" spans="1:18">
      <c r="A6719" s="905"/>
      <c r="B6719" s="906"/>
      <c r="C6719" s="907">
        <v>65</v>
      </c>
      <c r="D6719" s="907" t="s">
        <v>279</v>
      </c>
      <c r="E6719" s="925" t="s">
        <v>5983</v>
      </c>
      <c r="F6719" s="926" t="s">
        <v>3144</v>
      </c>
      <c r="G6719" s="910"/>
      <c r="H6719" s="911">
        <v>1.2</v>
      </c>
      <c r="I6719" s="912">
        <f>VLOOKUP(E6719,[3]VLP!$B$7:$K$300,10,0)</f>
        <v>14000</v>
      </c>
      <c r="J6719" s="912">
        <f t="shared" si="482"/>
        <v>16800</v>
      </c>
      <c r="K6719" s="912" t="s">
        <v>274</v>
      </c>
      <c r="L6719" s="912"/>
      <c r="M6719" s="912"/>
      <c r="N6719" s="912"/>
      <c r="O6719" s="892">
        <f t="shared" si="477"/>
        <v>0</v>
      </c>
      <c r="P6719" s="903">
        <f t="shared" si="479"/>
        <v>1</v>
      </c>
      <c r="Q6719" s="893">
        <f t="shared" si="480"/>
        <v>5</v>
      </c>
      <c r="R6719" s="894">
        <f t="shared" si="481"/>
        <v>0</v>
      </c>
    </row>
    <row r="6720" spans="1:18">
      <c r="A6720" s="905"/>
      <c r="B6720" s="906"/>
      <c r="C6720" s="907">
        <v>89</v>
      </c>
      <c r="D6720" s="907" t="s">
        <v>279</v>
      </c>
      <c r="E6720" s="925" t="s">
        <v>5984</v>
      </c>
      <c r="F6720" s="926" t="s">
        <v>45</v>
      </c>
      <c r="G6720" s="910"/>
      <c r="H6720" s="911">
        <v>0.18</v>
      </c>
      <c r="I6720" s="912">
        <f>VLOOKUP(E6720,[3]VLP!$B$7:$K$300,10,0)</f>
        <v>1000</v>
      </c>
      <c r="J6720" s="912">
        <f t="shared" si="482"/>
        <v>180</v>
      </c>
      <c r="K6720" s="912" t="s">
        <v>274</v>
      </c>
      <c r="L6720" s="912"/>
      <c r="M6720" s="912"/>
      <c r="N6720" s="912"/>
      <c r="O6720" s="892">
        <f t="shared" si="477"/>
        <v>0</v>
      </c>
      <c r="P6720" s="903">
        <f t="shared" si="479"/>
        <v>1</v>
      </c>
      <c r="Q6720" s="893">
        <f t="shared" si="480"/>
        <v>4</v>
      </c>
      <c r="R6720" s="894">
        <f t="shared" si="481"/>
        <v>0</v>
      </c>
    </row>
    <row r="6721" spans="1:18">
      <c r="A6721" s="905"/>
      <c r="B6721" s="906"/>
      <c r="C6721" s="907">
        <v>699</v>
      </c>
      <c r="D6721" s="907" t="s">
        <v>279</v>
      </c>
      <c r="E6721" s="925" t="s">
        <v>4006</v>
      </c>
      <c r="F6721" s="926" t="s">
        <v>4007</v>
      </c>
      <c r="G6721" s="910"/>
      <c r="H6721" s="911">
        <v>5</v>
      </c>
      <c r="I6721" s="912">
        <f>VLOOKUP(E6721,[3]VLP!$B$7:$K$300,10,0)</f>
        <v>5000</v>
      </c>
      <c r="J6721" s="912">
        <f t="shared" si="482"/>
        <v>25000</v>
      </c>
      <c r="K6721" s="912" t="s">
        <v>274</v>
      </c>
      <c r="L6721" s="912"/>
      <c r="M6721" s="912"/>
      <c r="N6721" s="912"/>
      <c r="O6721" s="892">
        <f t="shared" si="477"/>
        <v>0</v>
      </c>
      <c r="P6721" s="903">
        <f t="shared" si="479"/>
        <v>1</v>
      </c>
      <c r="Q6721" s="893">
        <f t="shared" si="480"/>
        <v>3</v>
      </c>
      <c r="R6721" s="894">
        <f t="shared" si="481"/>
        <v>0</v>
      </c>
    </row>
    <row r="6722" spans="1:18" s="904" customFormat="1">
      <c r="A6722" s="895"/>
      <c r="B6722" s="896"/>
      <c r="C6722" s="897"/>
      <c r="D6722" s="897"/>
      <c r="E6722" s="924" t="s">
        <v>276</v>
      </c>
      <c r="F6722" s="927"/>
      <c r="G6722" s="928"/>
      <c r="H6722" s="901"/>
      <c r="I6722" s="902"/>
      <c r="J6722" s="902"/>
      <c r="K6722" s="912" t="s">
        <v>274</v>
      </c>
      <c r="L6722" s="902"/>
      <c r="M6722" s="902"/>
      <c r="N6722" s="902"/>
      <c r="O6722" s="892">
        <f t="shared" si="477"/>
        <v>0</v>
      </c>
      <c r="P6722" s="903">
        <f t="shared" si="479"/>
        <v>1</v>
      </c>
      <c r="Q6722" s="893">
        <f t="shared" si="480"/>
        <v>2</v>
      </c>
      <c r="R6722" s="894">
        <f t="shared" si="481"/>
        <v>0</v>
      </c>
    </row>
    <row r="6723" spans="1:18">
      <c r="A6723" s="905"/>
      <c r="B6723" s="906"/>
      <c r="C6723" s="907">
        <v>745</v>
      </c>
      <c r="D6723" s="907" t="s">
        <v>12</v>
      </c>
      <c r="E6723" s="908" t="s">
        <v>5518</v>
      </c>
      <c r="F6723" s="909" t="s">
        <v>2674</v>
      </c>
      <c r="G6723" s="910"/>
      <c r="H6723" s="911">
        <v>8.73</v>
      </c>
      <c r="I6723" s="912"/>
      <c r="J6723" s="912"/>
      <c r="K6723" s="912">
        <f>VLOOKUP(E6723,[5]ĐMNC!$A$7:$F$67,4,0)</f>
        <v>240557</v>
      </c>
      <c r="L6723" s="912">
        <f>H6723*K6723</f>
        <v>2100062.6100000003</v>
      </c>
      <c r="M6723" s="912"/>
      <c r="N6723" s="912"/>
      <c r="O6723" s="892">
        <f t="shared" si="477"/>
        <v>0</v>
      </c>
      <c r="P6723" s="903">
        <f t="shared" si="479"/>
        <v>1</v>
      </c>
      <c r="Q6723" s="893">
        <f t="shared" si="480"/>
        <v>1</v>
      </c>
      <c r="R6723" s="894">
        <f t="shared" si="481"/>
        <v>0</v>
      </c>
    </row>
    <row r="6724" spans="1:18" s="847" customFormat="1" ht="35.25" customHeight="1">
      <c r="A6724" s="905" t="s">
        <v>5955</v>
      </c>
      <c r="B6724" s="914" t="s">
        <v>6011</v>
      </c>
      <c r="C6724" s="915"/>
      <c r="D6724" s="915"/>
      <c r="E6724" s="916" t="s">
        <v>6012</v>
      </c>
      <c r="F6724" s="917" t="s">
        <v>5834</v>
      </c>
      <c r="G6724" s="944"/>
      <c r="H6724" s="919"/>
      <c r="I6724" s="920"/>
      <c r="J6724" s="891">
        <f>SUM(J6725:J6738)</f>
        <v>543417.5</v>
      </c>
      <c r="K6724" s="891" t="s">
        <v>274</v>
      </c>
      <c r="L6724" s="891">
        <f>SUM(L6725:L6738)</f>
        <v>1301413.3700000001</v>
      </c>
      <c r="M6724" s="891"/>
      <c r="N6724" s="891">
        <f>SUM(N6725:N6738)</f>
        <v>0</v>
      </c>
      <c r="O6724" s="892">
        <f t="shared" si="477"/>
        <v>1</v>
      </c>
      <c r="P6724" s="903">
        <f t="shared" si="479"/>
        <v>0</v>
      </c>
      <c r="Q6724" s="893">
        <f t="shared" si="480"/>
        <v>0</v>
      </c>
      <c r="R6724" s="894">
        <f t="shared" si="481"/>
        <v>14</v>
      </c>
    </row>
    <row r="6725" spans="1:18" s="904" customFormat="1">
      <c r="A6725" s="895"/>
      <c r="B6725" s="922"/>
      <c r="C6725" s="897"/>
      <c r="D6725" s="897"/>
      <c r="E6725" s="898" t="s">
        <v>108</v>
      </c>
      <c r="F6725" s="899"/>
      <c r="G6725" s="928"/>
      <c r="H6725" s="901"/>
      <c r="I6725" s="902"/>
      <c r="J6725" s="902"/>
      <c r="K6725" s="912" t="s">
        <v>274</v>
      </c>
      <c r="L6725" s="902"/>
      <c r="M6725" s="902"/>
      <c r="N6725" s="902"/>
      <c r="O6725" s="892">
        <f t="shared" si="477"/>
        <v>0</v>
      </c>
      <c r="P6725" s="903">
        <f t="shared" si="479"/>
        <v>1</v>
      </c>
      <c r="Q6725" s="893">
        <f t="shared" si="480"/>
        <v>14</v>
      </c>
      <c r="R6725" s="894">
        <f t="shared" si="481"/>
        <v>0</v>
      </c>
    </row>
    <row r="6726" spans="1:18">
      <c r="A6726" s="905"/>
      <c r="B6726" s="906"/>
      <c r="C6726" s="907">
        <v>94</v>
      </c>
      <c r="D6726" s="907" t="s">
        <v>279</v>
      </c>
      <c r="E6726" s="925" t="s">
        <v>5857</v>
      </c>
      <c r="F6726" s="909" t="s">
        <v>51</v>
      </c>
      <c r="G6726" s="910"/>
      <c r="H6726" s="911">
        <v>1</v>
      </c>
      <c r="I6726" s="912">
        <f>VLOOKUP(E6726,[3]VLP!$B$7:$K$300,10,0)</f>
        <v>20280</v>
      </c>
      <c r="J6726" s="912">
        <f t="shared" ref="J6726:J6736" si="483">I6726*H6726</f>
        <v>20280</v>
      </c>
      <c r="K6726" s="912" t="s">
        <v>274</v>
      </c>
      <c r="L6726" s="912"/>
      <c r="M6726" s="912"/>
      <c r="N6726" s="912"/>
      <c r="O6726" s="892">
        <f t="shared" si="477"/>
        <v>0</v>
      </c>
      <c r="P6726" s="903">
        <f t="shared" si="479"/>
        <v>1</v>
      </c>
      <c r="Q6726" s="893">
        <f t="shared" si="480"/>
        <v>13</v>
      </c>
      <c r="R6726" s="894">
        <f t="shared" si="481"/>
        <v>0</v>
      </c>
    </row>
    <row r="6727" spans="1:18">
      <c r="A6727" s="905"/>
      <c r="B6727" s="906"/>
      <c r="C6727" s="907">
        <v>49</v>
      </c>
      <c r="D6727" s="907" t="s">
        <v>279</v>
      </c>
      <c r="E6727" s="925" t="s">
        <v>5698</v>
      </c>
      <c r="F6727" s="909" t="s">
        <v>139</v>
      </c>
      <c r="G6727" s="910"/>
      <c r="H6727" s="911">
        <v>2</v>
      </c>
      <c r="I6727" s="912">
        <f>VLOOKUP(E6727,[3]VLP!$B$7:$K$300,10,0)</f>
        <v>3000</v>
      </c>
      <c r="J6727" s="912">
        <f t="shared" si="483"/>
        <v>6000</v>
      </c>
      <c r="K6727" s="912" t="s">
        <v>274</v>
      </c>
      <c r="L6727" s="912"/>
      <c r="M6727" s="912"/>
      <c r="N6727" s="912"/>
      <c r="O6727" s="892">
        <f t="shared" si="477"/>
        <v>0</v>
      </c>
      <c r="P6727" s="903">
        <f t="shared" si="479"/>
        <v>1</v>
      </c>
      <c r="Q6727" s="893">
        <f t="shared" si="480"/>
        <v>12</v>
      </c>
      <c r="R6727" s="894">
        <f t="shared" si="481"/>
        <v>0</v>
      </c>
    </row>
    <row r="6728" spans="1:18">
      <c r="A6728" s="905"/>
      <c r="B6728" s="906"/>
      <c r="C6728" s="907">
        <v>50</v>
      </c>
      <c r="D6728" s="907" t="s">
        <v>279</v>
      </c>
      <c r="E6728" s="925" t="s">
        <v>5836</v>
      </c>
      <c r="F6728" s="909" t="s">
        <v>49</v>
      </c>
      <c r="G6728" s="910"/>
      <c r="H6728" s="911">
        <v>4</v>
      </c>
      <c r="I6728" s="912">
        <f>VLOOKUP(E6728,[3]VLP!$B$7:$K$300,10,0)</f>
        <v>85790</v>
      </c>
      <c r="J6728" s="912">
        <f t="shared" si="483"/>
        <v>343160</v>
      </c>
      <c r="K6728" s="912" t="s">
        <v>274</v>
      </c>
      <c r="L6728" s="912"/>
      <c r="M6728" s="912"/>
      <c r="N6728" s="912"/>
      <c r="O6728" s="892">
        <f t="shared" si="477"/>
        <v>0</v>
      </c>
      <c r="P6728" s="903">
        <f t="shared" si="479"/>
        <v>1</v>
      </c>
      <c r="Q6728" s="893">
        <f t="shared" si="480"/>
        <v>11</v>
      </c>
      <c r="R6728" s="894">
        <f t="shared" si="481"/>
        <v>0</v>
      </c>
    </row>
    <row r="6729" spans="1:18">
      <c r="A6729" s="905"/>
      <c r="B6729" s="906"/>
      <c r="C6729" s="907">
        <v>46</v>
      </c>
      <c r="D6729" s="907" t="s">
        <v>279</v>
      </c>
      <c r="E6729" s="925" t="s">
        <v>3179</v>
      </c>
      <c r="F6729" s="909" t="s">
        <v>45</v>
      </c>
      <c r="G6729" s="910"/>
      <c r="H6729" s="911">
        <v>5</v>
      </c>
      <c r="I6729" s="912">
        <f>VLOOKUP(E6729,[3]VLP!$B$7:$K$300,10,0)</f>
        <v>20500</v>
      </c>
      <c r="J6729" s="912">
        <f t="shared" si="483"/>
        <v>102500</v>
      </c>
      <c r="K6729" s="912" t="s">
        <v>274</v>
      </c>
      <c r="L6729" s="912"/>
      <c r="M6729" s="912"/>
      <c r="N6729" s="912"/>
      <c r="O6729" s="892">
        <f t="shared" si="477"/>
        <v>0</v>
      </c>
      <c r="P6729" s="903">
        <f t="shared" si="479"/>
        <v>1</v>
      </c>
      <c r="Q6729" s="893">
        <f t="shared" si="480"/>
        <v>10</v>
      </c>
      <c r="R6729" s="894">
        <f t="shared" si="481"/>
        <v>0</v>
      </c>
    </row>
    <row r="6730" spans="1:18">
      <c r="A6730" s="905"/>
      <c r="B6730" s="906"/>
      <c r="C6730" s="907">
        <v>25</v>
      </c>
      <c r="D6730" s="907" t="s">
        <v>279</v>
      </c>
      <c r="E6730" s="925" t="s">
        <v>5656</v>
      </c>
      <c r="F6730" s="926" t="s">
        <v>2690</v>
      </c>
      <c r="G6730" s="910"/>
      <c r="H6730" s="911">
        <v>1</v>
      </c>
      <c r="I6730" s="912">
        <f>VLOOKUP(E6730,[3]VLP!$B$7:$K$300,10,0)</f>
        <v>5000</v>
      </c>
      <c r="J6730" s="912">
        <f t="shared" si="483"/>
        <v>5000</v>
      </c>
      <c r="K6730" s="912" t="s">
        <v>274</v>
      </c>
      <c r="L6730" s="912"/>
      <c r="M6730" s="912"/>
      <c r="N6730" s="912"/>
      <c r="O6730" s="892">
        <f t="shared" si="477"/>
        <v>0</v>
      </c>
      <c r="P6730" s="903">
        <f t="shared" si="479"/>
        <v>1</v>
      </c>
      <c r="Q6730" s="893">
        <f t="shared" si="480"/>
        <v>9</v>
      </c>
      <c r="R6730" s="894">
        <f t="shared" si="481"/>
        <v>0</v>
      </c>
    </row>
    <row r="6731" spans="1:18">
      <c r="A6731" s="905"/>
      <c r="B6731" s="906"/>
      <c r="C6731" s="907">
        <v>127</v>
      </c>
      <c r="D6731" s="907" t="s">
        <v>279</v>
      </c>
      <c r="E6731" s="925" t="s">
        <v>5657</v>
      </c>
      <c r="F6731" s="909" t="s">
        <v>45</v>
      </c>
      <c r="G6731" s="910"/>
      <c r="H6731" s="911">
        <v>0.5</v>
      </c>
      <c r="I6731" s="912">
        <f>VLOOKUP(E6731,[3]VLP!$B$7:$K$300,10,0)</f>
        <v>25155</v>
      </c>
      <c r="J6731" s="912">
        <f t="shared" si="483"/>
        <v>12577.5</v>
      </c>
      <c r="K6731" s="912" t="s">
        <v>274</v>
      </c>
      <c r="L6731" s="912"/>
      <c r="M6731" s="912"/>
      <c r="N6731" s="912"/>
      <c r="O6731" s="892">
        <f t="shared" si="477"/>
        <v>0</v>
      </c>
      <c r="P6731" s="903">
        <f t="shared" si="479"/>
        <v>1</v>
      </c>
      <c r="Q6731" s="893">
        <f t="shared" si="480"/>
        <v>8</v>
      </c>
      <c r="R6731" s="894">
        <f t="shared" si="481"/>
        <v>0</v>
      </c>
    </row>
    <row r="6732" spans="1:18">
      <c r="A6732" s="905"/>
      <c r="B6732" s="906"/>
      <c r="C6732" s="907">
        <v>44</v>
      </c>
      <c r="D6732" s="907" t="s">
        <v>279</v>
      </c>
      <c r="E6732" s="925" t="s">
        <v>2681</v>
      </c>
      <c r="F6732" s="926" t="s">
        <v>45</v>
      </c>
      <c r="G6732" s="910"/>
      <c r="H6732" s="911">
        <v>0.6</v>
      </c>
      <c r="I6732" s="912">
        <f>VLOOKUP(E6732,[3]VLP!$B$7:$K$300,10,0)</f>
        <v>23000</v>
      </c>
      <c r="J6732" s="912">
        <f t="shared" si="483"/>
        <v>13800</v>
      </c>
      <c r="K6732" s="912" t="s">
        <v>274</v>
      </c>
      <c r="L6732" s="912"/>
      <c r="M6732" s="912"/>
      <c r="N6732" s="912"/>
      <c r="O6732" s="892">
        <f t="shared" si="477"/>
        <v>0</v>
      </c>
      <c r="P6732" s="903">
        <f t="shared" si="479"/>
        <v>1</v>
      </c>
      <c r="Q6732" s="893">
        <f t="shared" si="480"/>
        <v>7</v>
      </c>
      <c r="R6732" s="894">
        <f t="shared" si="481"/>
        <v>0</v>
      </c>
    </row>
    <row r="6733" spans="1:18">
      <c r="A6733" s="905"/>
      <c r="B6733" s="906"/>
      <c r="C6733" s="907">
        <v>66</v>
      </c>
      <c r="D6733" s="907" t="s">
        <v>279</v>
      </c>
      <c r="E6733" s="925" t="s">
        <v>2682</v>
      </c>
      <c r="F6733" s="926" t="s">
        <v>45</v>
      </c>
      <c r="G6733" s="910"/>
      <c r="H6733" s="911">
        <v>0.2</v>
      </c>
      <c r="I6733" s="912">
        <f>VLOOKUP(E6733,[3]VLP!$B$7:$K$300,10,0)</f>
        <v>5000</v>
      </c>
      <c r="J6733" s="912">
        <f t="shared" si="483"/>
        <v>1000</v>
      </c>
      <c r="K6733" s="912" t="s">
        <v>274</v>
      </c>
      <c r="L6733" s="912"/>
      <c r="M6733" s="912"/>
      <c r="N6733" s="912"/>
      <c r="O6733" s="892">
        <f t="shared" si="477"/>
        <v>0</v>
      </c>
      <c r="P6733" s="903">
        <f t="shared" si="479"/>
        <v>1</v>
      </c>
      <c r="Q6733" s="893">
        <f t="shared" si="480"/>
        <v>6</v>
      </c>
      <c r="R6733" s="894">
        <f t="shared" si="481"/>
        <v>0</v>
      </c>
    </row>
    <row r="6734" spans="1:18">
      <c r="A6734" s="905"/>
      <c r="B6734" s="906"/>
      <c r="C6734" s="907">
        <v>65</v>
      </c>
      <c r="D6734" s="907" t="s">
        <v>279</v>
      </c>
      <c r="E6734" s="925" t="s">
        <v>5983</v>
      </c>
      <c r="F6734" s="926" t="s">
        <v>3144</v>
      </c>
      <c r="G6734" s="910"/>
      <c r="H6734" s="911">
        <v>1</v>
      </c>
      <c r="I6734" s="912">
        <f>VLOOKUP(E6734,[3]VLP!$B$7:$K$300,10,0)</f>
        <v>14000</v>
      </c>
      <c r="J6734" s="912">
        <f t="shared" si="483"/>
        <v>14000</v>
      </c>
      <c r="K6734" s="912" t="s">
        <v>274</v>
      </c>
      <c r="L6734" s="912"/>
      <c r="M6734" s="912"/>
      <c r="N6734" s="912"/>
      <c r="O6734" s="892">
        <f t="shared" si="477"/>
        <v>0</v>
      </c>
      <c r="P6734" s="903">
        <f t="shared" si="479"/>
        <v>1</v>
      </c>
      <c r="Q6734" s="893">
        <f t="shared" si="480"/>
        <v>5</v>
      </c>
      <c r="R6734" s="894">
        <f t="shared" si="481"/>
        <v>0</v>
      </c>
    </row>
    <row r="6735" spans="1:18">
      <c r="A6735" s="905"/>
      <c r="B6735" s="906"/>
      <c r="C6735" s="907">
        <v>89</v>
      </c>
      <c r="D6735" s="907" t="s">
        <v>279</v>
      </c>
      <c r="E6735" s="925" t="s">
        <v>5984</v>
      </c>
      <c r="F6735" s="926" t="s">
        <v>45</v>
      </c>
      <c r="G6735" s="910"/>
      <c r="H6735" s="911">
        <v>0.1</v>
      </c>
      <c r="I6735" s="912">
        <f>VLOOKUP(E6735,[3]VLP!$B$7:$K$300,10,0)</f>
        <v>1000</v>
      </c>
      <c r="J6735" s="912">
        <f t="shared" si="483"/>
        <v>100</v>
      </c>
      <c r="K6735" s="912" t="s">
        <v>274</v>
      </c>
      <c r="L6735" s="912"/>
      <c r="M6735" s="912"/>
      <c r="N6735" s="912"/>
      <c r="O6735" s="892">
        <f t="shared" si="477"/>
        <v>0</v>
      </c>
      <c r="P6735" s="903">
        <f t="shared" si="479"/>
        <v>1</v>
      </c>
      <c r="Q6735" s="893">
        <f t="shared" si="480"/>
        <v>4</v>
      </c>
      <c r="R6735" s="894">
        <f t="shared" si="481"/>
        <v>0</v>
      </c>
    </row>
    <row r="6736" spans="1:18">
      <c r="A6736" s="905"/>
      <c r="B6736" s="906"/>
      <c r="C6736" s="907">
        <v>699</v>
      </c>
      <c r="D6736" s="907" t="s">
        <v>279</v>
      </c>
      <c r="E6736" s="925" t="s">
        <v>4006</v>
      </c>
      <c r="F6736" s="926" t="s">
        <v>4007</v>
      </c>
      <c r="G6736" s="910"/>
      <c r="H6736" s="911">
        <v>5</v>
      </c>
      <c r="I6736" s="912">
        <f>VLOOKUP(E6736,[3]VLP!$B$7:$K$300,10,0)</f>
        <v>5000</v>
      </c>
      <c r="J6736" s="912">
        <f t="shared" si="483"/>
        <v>25000</v>
      </c>
      <c r="K6736" s="912" t="s">
        <v>274</v>
      </c>
      <c r="L6736" s="912"/>
      <c r="M6736" s="912"/>
      <c r="N6736" s="912"/>
      <c r="O6736" s="892">
        <f t="shared" si="477"/>
        <v>0</v>
      </c>
      <c r="P6736" s="903">
        <f t="shared" si="479"/>
        <v>1</v>
      </c>
      <c r="Q6736" s="893">
        <f t="shared" si="480"/>
        <v>3</v>
      </c>
      <c r="R6736" s="894">
        <f t="shared" si="481"/>
        <v>0</v>
      </c>
    </row>
    <row r="6737" spans="1:18" s="904" customFormat="1">
      <c r="A6737" s="895"/>
      <c r="B6737" s="896"/>
      <c r="C6737" s="897"/>
      <c r="D6737" s="897"/>
      <c r="E6737" s="924" t="s">
        <v>276</v>
      </c>
      <c r="F6737" s="927"/>
      <c r="G6737" s="928"/>
      <c r="H6737" s="901"/>
      <c r="I6737" s="902"/>
      <c r="J6737" s="902"/>
      <c r="K6737" s="912" t="s">
        <v>274</v>
      </c>
      <c r="L6737" s="902"/>
      <c r="M6737" s="902"/>
      <c r="N6737" s="902"/>
      <c r="O6737" s="892">
        <f t="shared" si="477"/>
        <v>0</v>
      </c>
      <c r="P6737" s="903">
        <f t="shared" si="479"/>
        <v>1</v>
      </c>
      <c r="Q6737" s="893">
        <f t="shared" si="480"/>
        <v>2</v>
      </c>
      <c r="R6737" s="894">
        <f t="shared" si="481"/>
        <v>0</v>
      </c>
    </row>
    <row r="6738" spans="1:18">
      <c r="A6738" s="905"/>
      <c r="B6738" s="906"/>
      <c r="C6738" s="907">
        <v>745</v>
      </c>
      <c r="D6738" s="907" t="s">
        <v>12</v>
      </c>
      <c r="E6738" s="908" t="s">
        <v>5518</v>
      </c>
      <c r="F6738" s="909" t="s">
        <v>2674</v>
      </c>
      <c r="G6738" s="910"/>
      <c r="H6738" s="911">
        <v>5.41</v>
      </c>
      <c r="I6738" s="912"/>
      <c r="J6738" s="912"/>
      <c r="K6738" s="912">
        <f>VLOOKUP(E6738,[5]ĐMNC!$A$7:$F$67,4,0)</f>
        <v>240557</v>
      </c>
      <c r="L6738" s="912">
        <f>H6738*K6738</f>
        <v>1301413.3700000001</v>
      </c>
      <c r="M6738" s="912"/>
      <c r="N6738" s="912"/>
      <c r="O6738" s="892">
        <f t="shared" si="477"/>
        <v>0</v>
      </c>
      <c r="P6738" s="903">
        <f t="shared" si="479"/>
        <v>1</v>
      </c>
      <c r="Q6738" s="893">
        <f t="shared" si="480"/>
        <v>1</v>
      </c>
      <c r="R6738" s="894">
        <f t="shared" si="481"/>
        <v>0</v>
      </c>
    </row>
    <row r="6739" spans="1:18" s="847" customFormat="1" ht="35.25" customHeight="1">
      <c r="A6739" s="905"/>
      <c r="B6739" s="914" t="s">
        <v>6013</v>
      </c>
      <c r="C6739" s="915"/>
      <c r="D6739" s="915"/>
      <c r="E6739" s="916" t="s">
        <v>6014</v>
      </c>
      <c r="F6739" s="917" t="s">
        <v>5834</v>
      </c>
      <c r="G6739" s="944"/>
      <c r="H6739" s="919"/>
      <c r="I6739" s="920"/>
      <c r="J6739" s="891">
        <f>SUM(J6740:J6753)</f>
        <v>550177.5</v>
      </c>
      <c r="K6739" s="891" t="s">
        <v>274</v>
      </c>
      <c r="L6739" s="891">
        <f>SUM(L6740:L6753)</f>
        <v>1448153.14</v>
      </c>
      <c r="M6739" s="891"/>
      <c r="N6739" s="891">
        <f>SUM(N6740:N6753)</f>
        <v>0</v>
      </c>
      <c r="O6739" s="892">
        <f t="shared" si="477"/>
        <v>1</v>
      </c>
      <c r="P6739" s="903">
        <f t="shared" si="479"/>
        <v>0</v>
      </c>
      <c r="Q6739" s="893">
        <f t="shared" si="480"/>
        <v>0</v>
      </c>
      <c r="R6739" s="894">
        <f t="shared" si="481"/>
        <v>14</v>
      </c>
    </row>
    <row r="6740" spans="1:18" s="904" customFormat="1">
      <c r="A6740" s="895"/>
      <c r="B6740" s="896"/>
      <c r="C6740" s="897"/>
      <c r="D6740" s="897"/>
      <c r="E6740" s="898" t="s">
        <v>108</v>
      </c>
      <c r="F6740" s="899"/>
      <c r="G6740" s="928"/>
      <c r="H6740" s="901"/>
      <c r="I6740" s="902"/>
      <c r="J6740" s="902"/>
      <c r="K6740" s="912" t="s">
        <v>274</v>
      </c>
      <c r="L6740" s="902"/>
      <c r="M6740" s="902"/>
      <c r="N6740" s="902"/>
      <c r="O6740" s="892">
        <f t="shared" si="477"/>
        <v>0</v>
      </c>
      <c r="P6740" s="903">
        <f t="shared" si="479"/>
        <v>1</v>
      </c>
      <c r="Q6740" s="893">
        <f t="shared" si="480"/>
        <v>14</v>
      </c>
      <c r="R6740" s="894">
        <f t="shared" si="481"/>
        <v>0</v>
      </c>
    </row>
    <row r="6741" spans="1:18">
      <c r="A6741" s="905"/>
      <c r="B6741" s="906"/>
      <c r="C6741" s="907">
        <v>95</v>
      </c>
      <c r="D6741" s="907" t="s">
        <v>279</v>
      </c>
      <c r="E6741" s="925" t="s">
        <v>5860</v>
      </c>
      <c r="F6741" s="909" t="s">
        <v>51</v>
      </c>
      <c r="G6741" s="910"/>
      <c r="H6741" s="911">
        <v>1</v>
      </c>
      <c r="I6741" s="912">
        <f>VLOOKUP(E6741,[3]VLP!$B$7:$K$300,10,0)</f>
        <v>27040</v>
      </c>
      <c r="J6741" s="912">
        <f t="shared" ref="J6741:J6751" si="484">I6741*H6741</f>
        <v>27040</v>
      </c>
      <c r="K6741" s="912" t="s">
        <v>274</v>
      </c>
      <c r="L6741" s="912"/>
      <c r="M6741" s="912"/>
      <c r="N6741" s="912"/>
      <c r="O6741" s="892">
        <f t="shared" si="477"/>
        <v>0</v>
      </c>
      <c r="P6741" s="903">
        <f t="shared" si="479"/>
        <v>1</v>
      </c>
      <c r="Q6741" s="893">
        <f t="shared" si="480"/>
        <v>13</v>
      </c>
      <c r="R6741" s="894">
        <f t="shared" si="481"/>
        <v>0</v>
      </c>
    </row>
    <row r="6742" spans="1:18">
      <c r="A6742" s="905"/>
      <c r="B6742" s="906"/>
      <c r="C6742" s="907">
        <v>49</v>
      </c>
      <c r="D6742" s="907" t="s">
        <v>279</v>
      </c>
      <c r="E6742" s="925" t="s">
        <v>5698</v>
      </c>
      <c r="F6742" s="909" t="s">
        <v>139</v>
      </c>
      <c r="G6742" s="910"/>
      <c r="H6742" s="911">
        <v>2</v>
      </c>
      <c r="I6742" s="912">
        <f>VLOOKUP(E6742,[3]VLP!$B$7:$K$300,10,0)</f>
        <v>3000</v>
      </c>
      <c r="J6742" s="912">
        <f t="shared" si="484"/>
        <v>6000</v>
      </c>
      <c r="K6742" s="912" t="s">
        <v>274</v>
      </c>
      <c r="L6742" s="912"/>
      <c r="M6742" s="912"/>
      <c r="N6742" s="912"/>
      <c r="O6742" s="892">
        <f t="shared" si="477"/>
        <v>0</v>
      </c>
      <c r="P6742" s="903">
        <f t="shared" si="479"/>
        <v>1</v>
      </c>
      <c r="Q6742" s="893">
        <f t="shared" si="480"/>
        <v>12</v>
      </c>
      <c r="R6742" s="894">
        <f t="shared" si="481"/>
        <v>0</v>
      </c>
    </row>
    <row r="6743" spans="1:18">
      <c r="A6743" s="905"/>
      <c r="B6743" s="906"/>
      <c r="C6743" s="907">
        <v>50</v>
      </c>
      <c r="D6743" s="907" t="s">
        <v>279</v>
      </c>
      <c r="E6743" s="925" t="s">
        <v>5836</v>
      </c>
      <c r="F6743" s="909" t="s">
        <v>49</v>
      </c>
      <c r="G6743" s="910"/>
      <c r="H6743" s="911">
        <v>4</v>
      </c>
      <c r="I6743" s="912">
        <f>VLOOKUP(E6743,[3]VLP!$B$7:$K$300,10,0)</f>
        <v>85790</v>
      </c>
      <c r="J6743" s="912">
        <f t="shared" si="484"/>
        <v>343160</v>
      </c>
      <c r="K6743" s="912" t="s">
        <v>274</v>
      </c>
      <c r="L6743" s="912"/>
      <c r="M6743" s="912"/>
      <c r="N6743" s="912"/>
      <c r="O6743" s="892">
        <f t="shared" si="477"/>
        <v>0</v>
      </c>
      <c r="P6743" s="903">
        <f t="shared" si="479"/>
        <v>1</v>
      </c>
      <c r="Q6743" s="893">
        <f t="shared" si="480"/>
        <v>11</v>
      </c>
      <c r="R6743" s="894">
        <f t="shared" si="481"/>
        <v>0</v>
      </c>
    </row>
    <row r="6744" spans="1:18">
      <c r="A6744" s="905"/>
      <c r="B6744" s="906"/>
      <c r="C6744" s="907">
        <v>46</v>
      </c>
      <c r="D6744" s="907" t="s">
        <v>279</v>
      </c>
      <c r="E6744" s="925" t="s">
        <v>3179</v>
      </c>
      <c r="F6744" s="909" t="s">
        <v>45</v>
      </c>
      <c r="G6744" s="910"/>
      <c r="H6744" s="911">
        <v>5</v>
      </c>
      <c r="I6744" s="912">
        <f>VLOOKUP(E6744,[3]VLP!$B$7:$K$300,10,0)</f>
        <v>20500</v>
      </c>
      <c r="J6744" s="912">
        <f t="shared" si="484"/>
        <v>102500</v>
      </c>
      <c r="K6744" s="912" t="s">
        <v>274</v>
      </c>
      <c r="L6744" s="912"/>
      <c r="M6744" s="912"/>
      <c r="N6744" s="912"/>
      <c r="O6744" s="892">
        <f t="shared" si="477"/>
        <v>0</v>
      </c>
      <c r="P6744" s="903">
        <f t="shared" si="479"/>
        <v>1</v>
      </c>
      <c r="Q6744" s="893">
        <f t="shared" si="480"/>
        <v>10</v>
      </c>
      <c r="R6744" s="894">
        <f t="shared" si="481"/>
        <v>0</v>
      </c>
    </row>
    <row r="6745" spans="1:18">
      <c r="A6745" s="905"/>
      <c r="B6745" s="906"/>
      <c r="C6745" s="907">
        <v>25</v>
      </c>
      <c r="D6745" s="907" t="s">
        <v>279</v>
      </c>
      <c r="E6745" s="925" t="s">
        <v>5656</v>
      </c>
      <c r="F6745" s="926" t="s">
        <v>2690</v>
      </c>
      <c r="G6745" s="910"/>
      <c r="H6745" s="911">
        <v>1</v>
      </c>
      <c r="I6745" s="912">
        <f>VLOOKUP(E6745,[3]VLP!$B$7:$K$300,10,0)</f>
        <v>5000</v>
      </c>
      <c r="J6745" s="912">
        <f t="shared" si="484"/>
        <v>5000</v>
      </c>
      <c r="K6745" s="912" t="s">
        <v>274</v>
      </c>
      <c r="L6745" s="912"/>
      <c r="M6745" s="912"/>
      <c r="N6745" s="912"/>
      <c r="O6745" s="892">
        <f t="shared" si="477"/>
        <v>0</v>
      </c>
      <c r="P6745" s="903">
        <f t="shared" si="479"/>
        <v>1</v>
      </c>
      <c r="Q6745" s="893">
        <f t="shared" si="480"/>
        <v>9</v>
      </c>
      <c r="R6745" s="894">
        <f t="shared" si="481"/>
        <v>0</v>
      </c>
    </row>
    <row r="6746" spans="1:18">
      <c r="A6746" s="905"/>
      <c r="B6746" s="906"/>
      <c r="C6746" s="907">
        <v>127</v>
      </c>
      <c r="D6746" s="907" t="s">
        <v>279</v>
      </c>
      <c r="E6746" s="925" t="s">
        <v>5657</v>
      </c>
      <c r="F6746" s="909" t="s">
        <v>45</v>
      </c>
      <c r="G6746" s="910"/>
      <c r="H6746" s="911">
        <v>0.5</v>
      </c>
      <c r="I6746" s="912">
        <f>VLOOKUP(E6746,[3]VLP!$B$7:$K$300,10,0)</f>
        <v>25155</v>
      </c>
      <c r="J6746" s="912">
        <f t="shared" si="484"/>
        <v>12577.5</v>
      </c>
      <c r="K6746" s="912" t="s">
        <v>274</v>
      </c>
      <c r="L6746" s="912"/>
      <c r="M6746" s="912"/>
      <c r="N6746" s="912"/>
      <c r="O6746" s="892">
        <f t="shared" si="477"/>
        <v>0</v>
      </c>
      <c r="P6746" s="903">
        <f t="shared" si="479"/>
        <v>1</v>
      </c>
      <c r="Q6746" s="893">
        <f t="shared" si="480"/>
        <v>8</v>
      </c>
      <c r="R6746" s="894">
        <f t="shared" si="481"/>
        <v>0</v>
      </c>
    </row>
    <row r="6747" spans="1:18">
      <c r="A6747" s="905"/>
      <c r="B6747" s="906"/>
      <c r="C6747" s="907">
        <v>44</v>
      </c>
      <c r="D6747" s="907" t="s">
        <v>279</v>
      </c>
      <c r="E6747" s="925" t="s">
        <v>2681</v>
      </c>
      <c r="F6747" s="926" t="s">
        <v>45</v>
      </c>
      <c r="G6747" s="910"/>
      <c r="H6747" s="911">
        <v>0.6</v>
      </c>
      <c r="I6747" s="912">
        <f>VLOOKUP(E6747,[3]VLP!$B$7:$K$300,10,0)</f>
        <v>23000</v>
      </c>
      <c r="J6747" s="912">
        <f t="shared" si="484"/>
        <v>13800</v>
      </c>
      <c r="K6747" s="912" t="s">
        <v>274</v>
      </c>
      <c r="L6747" s="912"/>
      <c r="M6747" s="912"/>
      <c r="N6747" s="912"/>
      <c r="O6747" s="892">
        <f t="shared" si="477"/>
        <v>0</v>
      </c>
      <c r="P6747" s="903">
        <f t="shared" si="479"/>
        <v>1</v>
      </c>
      <c r="Q6747" s="893">
        <f t="shared" si="480"/>
        <v>7</v>
      </c>
      <c r="R6747" s="894">
        <f t="shared" si="481"/>
        <v>0</v>
      </c>
    </row>
    <row r="6748" spans="1:18">
      <c r="A6748" s="905"/>
      <c r="B6748" s="906"/>
      <c r="C6748" s="907">
        <v>66</v>
      </c>
      <c r="D6748" s="907" t="s">
        <v>279</v>
      </c>
      <c r="E6748" s="925" t="s">
        <v>2682</v>
      </c>
      <c r="F6748" s="926" t="s">
        <v>45</v>
      </c>
      <c r="G6748" s="910"/>
      <c r="H6748" s="911">
        <v>0.2</v>
      </c>
      <c r="I6748" s="912">
        <f>VLOOKUP(E6748,[3]VLP!$B$7:$K$300,10,0)</f>
        <v>5000</v>
      </c>
      <c r="J6748" s="912">
        <f t="shared" si="484"/>
        <v>1000</v>
      </c>
      <c r="K6748" s="912" t="s">
        <v>274</v>
      </c>
      <c r="L6748" s="912"/>
      <c r="M6748" s="912"/>
      <c r="N6748" s="912"/>
      <c r="O6748" s="892">
        <f t="shared" si="477"/>
        <v>0</v>
      </c>
      <c r="P6748" s="903">
        <f t="shared" si="479"/>
        <v>1</v>
      </c>
      <c r="Q6748" s="893">
        <f t="shared" si="480"/>
        <v>6</v>
      </c>
      <c r="R6748" s="894">
        <f t="shared" si="481"/>
        <v>0</v>
      </c>
    </row>
    <row r="6749" spans="1:18">
      <c r="A6749" s="905"/>
      <c r="B6749" s="906"/>
      <c r="C6749" s="907">
        <v>65</v>
      </c>
      <c r="D6749" s="907" t="s">
        <v>279</v>
      </c>
      <c r="E6749" s="925" t="s">
        <v>5983</v>
      </c>
      <c r="F6749" s="926" t="s">
        <v>3144</v>
      </c>
      <c r="G6749" s="910"/>
      <c r="H6749" s="911">
        <v>1</v>
      </c>
      <c r="I6749" s="912">
        <f>VLOOKUP(E6749,[3]VLP!$B$7:$K$300,10,0)</f>
        <v>14000</v>
      </c>
      <c r="J6749" s="912">
        <f t="shared" si="484"/>
        <v>14000</v>
      </c>
      <c r="K6749" s="912" t="s">
        <v>274</v>
      </c>
      <c r="L6749" s="912"/>
      <c r="M6749" s="912"/>
      <c r="N6749" s="912"/>
      <c r="O6749" s="892">
        <f t="shared" si="477"/>
        <v>0</v>
      </c>
      <c r="P6749" s="903">
        <f t="shared" si="479"/>
        <v>1</v>
      </c>
      <c r="Q6749" s="893">
        <f t="shared" si="480"/>
        <v>5</v>
      </c>
      <c r="R6749" s="894">
        <f t="shared" si="481"/>
        <v>0</v>
      </c>
    </row>
    <row r="6750" spans="1:18">
      <c r="A6750" s="905"/>
      <c r="B6750" s="906"/>
      <c r="C6750" s="907">
        <v>89</v>
      </c>
      <c r="D6750" s="907" t="s">
        <v>279</v>
      </c>
      <c r="E6750" s="925" t="s">
        <v>5984</v>
      </c>
      <c r="F6750" s="926" t="s">
        <v>45</v>
      </c>
      <c r="G6750" s="910"/>
      <c r="H6750" s="911">
        <v>0.1</v>
      </c>
      <c r="I6750" s="912">
        <f>VLOOKUP(E6750,[3]VLP!$B$7:$K$300,10,0)</f>
        <v>1000</v>
      </c>
      <c r="J6750" s="912">
        <f t="shared" si="484"/>
        <v>100</v>
      </c>
      <c r="K6750" s="912" t="s">
        <v>274</v>
      </c>
      <c r="L6750" s="912"/>
      <c r="M6750" s="912"/>
      <c r="N6750" s="912"/>
      <c r="O6750" s="892">
        <f t="shared" si="477"/>
        <v>0</v>
      </c>
      <c r="P6750" s="903">
        <f t="shared" si="479"/>
        <v>1</v>
      </c>
      <c r="Q6750" s="893">
        <f t="shared" si="480"/>
        <v>4</v>
      </c>
      <c r="R6750" s="894">
        <f t="shared" si="481"/>
        <v>0</v>
      </c>
    </row>
    <row r="6751" spans="1:18">
      <c r="A6751" s="905"/>
      <c r="B6751" s="906"/>
      <c r="C6751" s="907">
        <v>699</v>
      </c>
      <c r="D6751" s="907" t="s">
        <v>279</v>
      </c>
      <c r="E6751" s="925" t="s">
        <v>4006</v>
      </c>
      <c r="F6751" s="926" t="s">
        <v>4007</v>
      </c>
      <c r="G6751" s="910"/>
      <c r="H6751" s="911">
        <v>5</v>
      </c>
      <c r="I6751" s="912">
        <f>VLOOKUP(E6751,[3]VLP!$B$7:$K$300,10,0)</f>
        <v>5000</v>
      </c>
      <c r="J6751" s="912">
        <f t="shared" si="484"/>
        <v>25000</v>
      </c>
      <c r="K6751" s="912" t="s">
        <v>274</v>
      </c>
      <c r="L6751" s="912"/>
      <c r="M6751" s="912"/>
      <c r="N6751" s="912"/>
      <c r="O6751" s="892">
        <f t="shared" ref="O6751:O6814" si="485">IF(AND(B6751&lt;&gt;"",D6751=""),1,0)</f>
        <v>0</v>
      </c>
      <c r="P6751" s="903">
        <f t="shared" si="479"/>
        <v>1</v>
      </c>
      <c r="Q6751" s="893">
        <f t="shared" si="480"/>
        <v>3</v>
      </c>
      <c r="R6751" s="894">
        <f t="shared" si="481"/>
        <v>0</v>
      </c>
    </row>
    <row r="6752" spans="1:18" s="904" customFormat="1">
      <c r="A6752" s="895"/>
      <c r="B6752" s="896"/>
      <c r="C6752" s="897"/>
      <c r="D6752" s="897"/>
      <c r="E6752" s="924" t="s">
        <v>276</v>
      </c>
      <c r="F6752" s="927"/>
      <c r="G6752" s="928"/>
      <c r="H6752" s="901"/>
      <c r="I6752" s="902"/>
      <c r="J6752" s="902"/>
      <c r="K6752" s="912" t="s">
        <v>274</v>
      </c>
      <c r="L6752" s="902"/>
      <c r="M6752" s="902"/>
      <c r="N6752" s="902"/>
      <c r="O6752" s="892">
        <f t="shared" si="485"/>
        <v>0</v>
      </c>
      <c r="P6752" s="903">
        <f t="shared" si="479"/>
        <v>1</v>
      </c>
      <c r="Q6752" s="893">
        <f t="shared" si="480"/>
        <v>2</v>
      </c>
      <c r="R6752" s="894">
        <f t="shared" si="481"/>
        <v>0</v>
      </c>
    </row>
    <row r="6753" spans="1:18">
      <c r="A6753" s="905"/>
      <c r="B6753" s="906"/>
      <c r="C6753" s="907">
        <v>745</v>
      </c>
      <c r="D6753" s="907" t="s">
        <v>12</v>
      </c>
      <c r="E6753" s="908" t="s">
        <v>5518</v>
      </c>
      <c r="F6753" s="909" t="s">
        <v>2674</v>
      </c>
      <c r="G6753" s="910"/>
      <c r="H6753" s="911">
        <v>6.02</v>
      </c>
      <c r="I6753" s="912"/>
      <c r="J6753" s="912"/>
      <c r="K6753" s="912">
        <f>VLOOKUP(E6753,[5]ĐMNC!$A$7:$F$67,4,0)</f>
        <v>240557</v>
      </c>
      <c r="L6753" s="912">
        <f>H6753*K6753</f>
        <v>1448153.14</v>
      </c>
      <c r="M6753" s="912"/>
      <c r="N6753" s="912"/>
      <c r="O6753" s="892">
        <f t="shared" si="485"/>
        <v>0</v>
      </c>
      <c r="P6753" s="903">
        <f t="shared" si="479"/>
        <v>1</v>
      </c>
      <c r="Q6753" s="893">
        <f t="shared" si="480"/>
        <v>1</v>
      </c>
      <c r="R6753" s="894">
        <f t="shared" si="481"/>
        <v>0</v>
      </c>
    </row>
    <row r="6754" spans="1:18" s="847" customFormat="1" ht="35.25" customHeight="1">
      <c r="A6754" s="905"/>
      <c r="B6754" s="914" t="s">
        <v>6015</v>
      </c>
      <c r="C6754" s="915"/>
      <c r="D6754" s="915"/>
      <c r="E6754" s="916" t="s">
        <v>6016</v>
      </c>
      <c r="F6754" s="917" t="s">
        <v>5834</v>
      </c>
      <c r="G6754" s="944"/>
      <c r="H6754" s="919"/>
      <c r="I6754" s="920"/>
      <c r="J6754" s="891">
        <f>SUM(J6755:J6768)</f>
        <v>550427.5</v>
      </c>
      <c r="K6754" s="891" t="s">
        <v>274</v>
      </c>
      <c r="L6754" s="891">
        <f>SUM(L6755:L6768)</f>
        <v>1599704.05</v>
      </c>
      <c r="M6754" s="891"/>
      <c r="N6754" s="891">
        <f>SUM(N6755:N6768)</f>
        <v>0</v>
      </c>
      <c r="O6754" s="892">
        <f t="shared" si="485"/>
        <v>1</v>
      </c>
      <c r="P6754" s="903">
        <f t="shared" si="479"/>
        <v>0</v>
      </c>
      <c r="Q6754" s="893">
        <f t="shared" si="480"/>
        <v>0</v>
      </c>
      <c r="R6754" s="894">
        <f t="shared" si="481"/>
        <v>14</v>
      </c>
    </row>
    <row r="6755" spans="1:18" s="904" customFormat="1">
      <c r="A6755" s="895"/>
      <c r="B6755" s="896"/>
      <c r="C6755" s="897"/>
      <c r="D6755" s="897"/>
      <c r="E6755" s="898" t="s">
        <v>108</v>
      </c>
      <c r="F6755" s="899"/>
      <c r="G6755" s="928"/>
      <c r="H6755" s="901"/>
      <c r="I6755" s="902"/>
      <c r="J6755" s="902"/>
      <c r="K6755" s="912" t="s">
        <v>274</v>
      </c>
      <c r="L6755" s="902"/>
      <c r="M6755" s="902"/>
      <c r="N6755" s="902"/>
      <c r="O6755" s="892">
        <f t="shared" si="485"/>
        <v>0</v>
      </c>
      <c r="P6755" s="903">
        <f t="shared" si="479"/>
        <v>1</v>
      </c>
      <c r="Q6755" s="893">
        <f t="shared" si="480"/>
        <v>14</v>
      </c>
      <c r="R6755" s="894">
        <f t="shared" si="481"/>
        <v>0</v>
      </c>
    </row>
    <row r="6756" spans="1:18">
      <c r="A6756" s="905"/>
      <c r="B6756" s="906"/>
      <c r="C6756" s="907">
        <v>96</v>
      </c>
      <c r="D6756" s="907" t="s">
        <v>279</v>
      </c>
      <c r="E6756" s="925" t="s">
        <v>5863</v>
      </c>
      <c r="F6756" s="909" t="s">
        <v>51</v>
      </c>
      <c r="G6756" s="910"/>
      <c r="H6756" s="911">
        <v>1</v>
      </c>
      <c r="I6756" s="912">
        <f>VLOOKUP(E6756,[3]VLP!$B$7:$K$300,10,0)</f>
        <v>27040</v>
      </c>
      <c r="J6756" s="912">
        <f t="shared" ref="J6756:J6766" si="486">I6756*H6756</f>
        <v>27040</v>
      </c>
      <c r="K6756" s="912" t="s">
        <v>274</v>
      </c>
      <c r="L6756" s="912"/>
      <c r="M6756" s="912"/>
      <c r="N6756" s="912"/>
      <c r="O6756" s="892">
        <f t="shared" si="485"/>
        <v>0</v>
      </c>
      <c r="P6756" s="903">
        <f t="shared" si="479"/>
        <v>1</v>
      </c>
      <c r="Q6756" s="893">
        <f t="shared" si="480"/>
        <v>13</v>
      </c>
      <c r="R6756" s="894">
        <f t="shared" si="481"/>
        <v>0</v>
      </c>
    </row>
    <row r="6757" spans="1:18">
      <c r="A6757" s="905"/>
      <c r="B6757" s="906"/>
      <c r="C6757" s="907">
        <v>49</v>
      </c>
      <c r="D6757" s="907" t="s">
        <v>279</v>
      </c>
      <c r="E6757" s="925" t="s">
        <v>5698</v>
      </c>
      <c r="F6757" s="909" t="s">
        <v>139</v>
      </c>
      <c r="G6757" s="910"/>
      <c r="H6757" s="911">
        <v>2</v>
      </c>
      <c r="I6757" s="912">
        <f>VLOOKUP(E6757,[3]VLP!$B$7:$K$300,10,0)</f>
        <v>3000</v>
      </c>
      <c r="J6757" s="912">
        <f t="shared" si="486"/>
        <v>6000</v>
      </c>
      <c r="K6757" s="912" t="s">
        <v>274</v>
      </c>
      <c r="L6757" s="912"/>
      <c r="M6757" s="912"/>
      <c r="N6757" s="912"/>
      <c r="O6757" s="892">
        <f t="shared" si="485"/>
        <v>0</v>
      </c>
      <c r="P6757" s="903">
        <f t="shared" si="479"/>
        <v>1</v>
      </c>
      <c r="Q6757" s="893">
        <f t="shared" si="480"/>
        <v>12</v>
      </c>
      <c r="R6757" s="894">
        <f t="shared" si="481"/>
        <v>0</v>
      </c>
    </row>
    <row r="6758" spans="1:18">
      <c r="A6758" s="905"/>
      <c r="B6758" s="906"/>
      <c r="C6758" s="907">
        <v>50</v>
      </c>
      <c r="D6758" s="907" t="s">
        <v>279</v>
      </c>
      <c r="E6758" s="925" t="s">
        <v>5836</v>
      </c>
      <c r="F6758" s="909" t="s">
        <v>49</v>
      </c>
      <c r="G6758" s="910"/>
      <c r="H6758" s="911">
        <v>4</v>
      </c>
      <c r="I6758" s="912">
        <f>VLOOKUP(E6758,[3]VLP!$B$7:$K$300,10,0)</f>
        <v>85790</v>
      </c>
      <c r="J6758" s="912">
        <f t="shared" si="486"/>
        <v>343160</v>
      </c>
      <c r="K6758" s="912" t="s">
        <v>274</v>
      </c>
      <c r="L6758" s="912"/>
      <c r="M6758" s="912"/>
      <c r="N6758" s="912"/>
      <c r="O6758" s="892">
        <f t="shared" si="485"/>
        <v>0</v>
      </c>
      <c r="P6758" s="903">
        <f t="shared" si="479"/>
        <v>1</v>
      </c>
      <c r="Q6758" s="893">
        <f t="shared" si="480"/>
        <v>11</v>
      </c>
      <c r="R6758" s="894">
        <f t="shared" si="481"/>
        <v>0</v>
      </c>
    </row>
    <row r="6759" spans="1:18">
      <c r="A6759" s="905"/>
      <c r="B6759" s="906"/>
      <c r="C6759" s="907">
        <v>46</v>
      </c>
      <c r="D6759" s="907" t="s">
        <v>279</v>
      </c>
      <c r="E6759" s="925" t="s">
        <v>3179</v>
      </c>
      <c r="F6759" s="909" t="s">
        <v>45</v>
      </c>
      <c r="G6759" s="910"/>
      <c r="H6759" s="911">
        <v>5</v>
      </c>
      <c r="I6759" s="912">
        <f>VLOOKUP(E6759,[3]VLP!$B$7:$K$300,10,0)</f>
        <v>20500</v>
      </c>
      <c r="J6759" s="912">
        <f t="shared" si="486"/>
        <v>102500</v>
      </c>
      <c r="K6759" s="912" t="s">
        <v>274</v>
      </c>
      <c r="L6759" s="912"/>
      <c r="M6759" s="912"/>
      <c r="N6759" s="912"/>
      <c r="O6759" s="892">
        <f t="shared" si="485"/>
        <v>0</v>
      </c>
      <c r="P6759" s="903">
        <f t="shared" si="479"/>
        <v>1</v>
      </c>
      <c r="Q6759" s="893">
        <f t="shared" si="480"/>
        <v>10</v>
      </c>
      <c r="R6759" s="894">
        <f t="shared" si="481"/>
        <v>0</v>
      </c>
    </row>
    <row r="6760" spans="1:18">
      <c r="A6760" s="905"/>
      <c r="B6760" s="906"/>
      <c r="C6760" s="907">
        <v>25</v>
      </c>
      <c r="D6760" s="907" t="s">
        <v>279</v>
      </c>
      <c r="E6760" s="925" t="s">
        <v>5656</v>
      </c>
      <c r="F6760" s="926" t="s">
        <v>2690</v>
      </c>
      <c r="G6760" s="910"/>
      <c r="H6760" s="911">
        <v>1</v>
      </c>
      <c r="I6760" s="912">
        <f>VLOOKUP(E6760,[3]VLP!$B$7:$K$300,10,0)</f>
        <v>5000</v>
      </c>
      <c r="J6760" s="912">
        <f t="shared" si="486"/>
        <v>5000</v>
      </c>
      <c r="K6760" s="912" t="s">
        <v>274</v>
      </c>
      <c r="L6760" s="912"/>
      <c r="M6760" s="912"/>
      <c r="N6760" s="912"/>
      <c r="O6760" s="892">
        <f t="shared" si="485"/>
        <v>0</v>
      </c>
      <c r="P6760" s="903">
        <f t="shared" ref="P6760:P6823" si="487">IF(O6760=0,1,0)</f>
        <v>1</v>
      </c>
      <c r="Q6760" s="893">
        <f t="shared" ref="Q6760:Q6823" si="488">IF(P6760=0,0,P6760+Q6761)</f>
        <v>9</v>
      </c>
      <c r="R6760" s="894">
        <f t="shared" ref="R6760:R6823" si="489">IF(Q6760=0,Q6761,0)</f>
        <v>0</v>
      </c>
    </row>
    <row r="6761" spans="1:18">
      <c r="A6761" s="905"/>
      <c r="B6761" s="906"/>
      <c r="C6761" s="907">
        <v>127</v>
      </c>
      <c r="D6761" s="907" t="s">
        <v>279</v>
      </c>
      <c r="E6761" s="925" t="s">
        <v>5657</v>
      </c>
      <c r="F6761" s="909" t="s">
        <v>45</v>
      </c>
      <c r="G6761" s="910"/>
      <c r="H6761" s="911">
        <v>0.5</v>
      </c>
      <c r="I6761" s="912">
        <f>VLOOKUP(E6761,[3]VLP!$B$7:$K$300,10,0)</f>
        <v>25155</v>
      </c>
      <c r="J6761" s="912">
        <f t="shared" si="486"/>
        <v>12577.5</v>
      </c>
      <c r="K6761" s="912" t="s">
        <v>274</v>
      </c>
      <c r="L6761" s="912"/>
      <c r="M6761" s="912"/>
      <c r="N6761" s="912"/>
      <c r="O6761" s="892">
        <f t="shared" si="485"/>
        <v>0</v>
      </c>
      <c r="P6761" s="903">
        <f t="shared" si="487"/>
        <v>1</v>
      </c>
      <c r="Q6761" s="893">
        <f t="shared" si="488"/>
        <v>8</v>
      </c>
      <c r="R6761" s="894">
        <f t="shared" si="489"/>
        <v>0</v>
      </c>
    </row>
    <row r="6762" spans="1:18">
      <c r="A6762" s="905"/>
      <c r="B6762" s="906"/>
      <c r="C6762" s="907">
        <v>44</v>
      </c>
      <c r="D6762" s="907" t="s">
        <v>279</v>
      </c>
      <c r="E6762" s="925" t="s">
        <v>2681</v>
      </c>
      <c r="F6762" s="926" t="s">
        <v>45</v>
      </c>
      <c r="G6762" s="910"/>
      <c r="H6762" s="911">
        <v>0.6</v>
      </c>
      <c r="I6762" s="912">
        <f>VLOOKUP(E6762,[3]VLP!$B$7:$K$300,10,0)</f>
        <v>23000</v>
      </c>
      <c r="J6762" s="912">
        <f t="shared" si="486"/>
        <v>13800</v>
      </c>
      <c r="K6762" s="912" t="s">
        <v>274</v>
      </c>
      <c r="L6762" s="912"/>
      <c r="M6762" s="912"/>
      <c r="N6762" s="912"/>
      <c r="O6762" s="892">
        <f t="shared" si="485"/>
        <v>0</v>
      </c>
      <c r="P6762" s="903">
        <f t="shared" si="487"/>
        <v>1</v>
      </c>
      <c r="Q6762" s="893">
        <f t="shared" si="488"/>
        <v>7</v>
      </c>
      <c r="R6762" s="894">
        <f t="shared" si="489"/>
        <v>0</v>
      </c>
    </row>
    <row r="6763" spans="1:18">
      <c r="A6763" s="905"/>
      <c r="B6763" s="906"/>
      <c r="C6763" s="907">
        <v>66</v>
      </c>
      <c r="D6763" s="907" t="s">
        <v>279</v>
      </c>
      <c r="E6763" s="925" t="s">
        <v>2682</v>
      </c>
      <c r="F6763" s="926" t="s">
        <v>45</v>
      </c>
      <c r="G6763" s="910"/>
      <c r="H6763" s="911">
        <v>0.25</v>
      </c>
      <c r="I6763" s="912">
        <f>VLOOKUP(E6763,[3]VLP!$B$7:$K$300,10,0)</f>
        <v>5000</v>
      </c>
      <c r="J6763" s="912">
        <f t="shared" si="486"/>
        <v>1250</v>
      </c>
      <c r="K6763" s="912" t="s">
        <v>274</v>
      </c>
      <c r="L6763" s="912"/>
      <c r="M6763" s="912"/>
      <c r="N6763" s="912"/>
      <c r="O6763" s="892">
        <f t="shared" si="485"/>
        <v>0</v>
      </c>
      <c r="P6763" s="903">
        <f t="shared" si="487"/>
        <v>1</v>
      </c>
      <c r="Q6763" s="893">
        <f t="shared" si="488"/>
        <v>6</v>
      </c>
      <c r="R6763" s="894">
        <f t="shared" si="489"/>
        <v>0</v>
      </c>
    </row>
    <row r="6764" spans="1:18">
      <c r="A6764" s="905"/>
      <c r="B6764" s="906"/>
      <c r="C6764" s="907">
        <v>65</v>
      </c>
      <c r="D6764" s="907" t="s">
        <v>279</v>
      </c>
      <c r="E6764" s="925" t="s">
        <v>5983</v>
      </c>
      <c r="F6764" s="926" t="s">
        <v>3144</v>
      </c>
      <c r="G6764" s="910"/>
      <c r="H6764" s="911">
        <v>1</v>
      </c>
      <c r="I6764" s="912">
        <f>VLOOKUP(E6764,[3]VLP!$B$7:$K$300,10,0)</f>
        <v>14000</v>
      </c>
      <c r="J6764" s="912">
        <f t="shared" si="486"/>
        <v>14000</v>
      </c>
      <c r="K6764" s="912" t="s">
        <v>274</v>
      </c>
      <c r="L6764" s="912"/>
      <c r="M6764" s="912"/>
      <c r="N6764" s="912"/>
      <c r="O6764" s="892">
        <f t="shared" si="485"/>
        <v>0</v>
      </c>
      <c r="P6764" s="903">
        <f t="shared" si="487"/>
        <v>1</v>
      </c>
      <c r="Q6764" s="893">
        <f t="shared" si="488"/>
        <v>5</v>
      </c>
      <c r="R6764" s="894">
        <f t="shared" si="489"/>
        <v>0</v>
      </c>
    </row>
    <row r="6765" spans="1:18">
      <c r="A6765" s="905"/>
      <c r="B6765" s="906"/>
      <c r="C6765" s="907">
        <v>89</v>
      </c>
      <c r="D6765" s="907" t="s">
        <v>279</v>
      </c>
      <c r="E6765" s="925" t="s">
        <v>5984</v>
      </c>
      <c r="F6765" s="926" t="s">
        <v>45</v>
      </c>
      <c r="G6765" s="910"/>
      <c r="H6765" s="911">
        <v>0.1</v>
      </c>
      <c r="I6765" s="912">
        <f>VLOOKUP(E6765,[3]VLP!$B$7:$K$300,10,0)</f>
        <v>1000</v>
      </c>
      <c r="J6765" s="912">
        <f t="shared" si="486"/>
        <v>100</v>
      </c>
      <c r="K6765" s="912" t="s">
        <v>274</v>
      </c>
      <c r="L6765" s="912"/>
      <c r="M6765" s="912"/>
      <c r="N6765" s="912"/>
      <c r="O6765" s="892">
        <f t="shared" si="485"/>
        <v>0</v>
      </c>
      <c r="P6765" s="903">
        <f t="shared" si="487"/>
        <v>1</v>
      </c>
      <c r="Q6765" s="893">
        <f t="shared" si="488"/>
        <v>4</v>
      </c>
      <c r="R6765" s="894">
        <f t="shared" si="489"/>
        <v>0</v>
      </c>
    </row>
    <row r="6766" spans="1:18">
      <c r="A6766" s="905"/>
      <c r="B6766" s="906"/>
      <c r="C6766" s="907">
        <v>699</v>
      </c>
      <c r="D6766" s="907" t="s">
        <v>279</v>
      </c>
      <c r="E6766" s="925" t="s">
        <v>4006</v>
      </c>
      <c r="F6766" s="926" t="s">
        <v>4007</v>
      </c>
      <c r="G6766" s="910"/>
      <c r="H6766" s="911">
        <v>5</v>
      </c>
      <c r="I6766" s="912">
        <f>VLOOKUP(E6766,[3]VLP!$B$7:$K$300,10,0)</f>
        <v>5000</v>
      </c>
      <c r="J6766" s="912">
        <f t="shared" si="486"/>
        <v>25000</v>
      </c>
      <c r="K6766" s="912" t="s">
        <v>274</v>
      </c>
      <c r="L6766" s="912"/>
      <c r="M6766" s="912"/>
      <c r="N6766" s="912"/>
      <c r="O6766" s="892">
        <f t="shared" si="485"/>
        <v>0</v>
      </c>
      <c r="P6766" s="903">
        <f t="shared" si="487"/>
        <v>1</v>
      </c>
      <c r="Q6766" s="893">
        <f t="shared" si="488"/>
        <v>3</v>
      </c>
      <c r="R6766" s="894">
        <f t="shared" si="489"/>
        <v>0</v>
      </c>
    </row>
    <row r="6767" spans="1:18" s="904" customFormat="1">
      <c r="A6767" s="895"/>
      <c r="B6767" s="896"/>
      <c r="C6767" s="897"/>
      <c r="D6767" s="897"/>
      <c r="E6767" s="924" t="s">
        <v>276</v>
      </c>
      <c r="F6767" s="927"/>
      <c r="G6767" s="928"/>
      <c r="H6767" s="901"/>
      <c r="I6767" s="902"/>
      <c r="J6767" s="902"/>
      <c r="K6767" s="912" t="s">
        <v>274</v>
      </c>
      <c r="L6767" s="902"/>
      <c r="M6767" s="902"/>
      <c r="N6767" s="902"/>
      <c r="O6767" s="892">
        <f t="shared" si="485"/>
        <v>0</v>
      </c>
      <c r="P6767" s="903">
        <f t="shared" si="487"/>
        <v>1</v>
      </c>
      <c r="Q6767" s="893">
        <f t="shared" si="488"/>
        <v>2</v>
      </c>
      <c r="R6767" s="894">
        <f t="shared" si="489"/>
        <v>0</v>
      </c>
    </row>
    <row r="6768" spans="1:18">
      <c r="A6768" s="905"/>
      <c r="B6768" s="906"/>
      <c r="C6768" s="907">
        <v>745</v>
      </c>
      <c r="D6768" s="907" t="s">
        <v>12</v>
      </c>
      <c r="E6768" s="908" t="s">
        <v>5518</v>
      </c>
      <c r="F6768" s="909" t="s">
        <v>2674</v>
      </c>
      <c r="G6768" s="910"/>
      <c r="H6768" s="911">
        <v>6.65</v>
      </c>
      <c r="I6768" s="912"/>
      <c r="J6768" s="912"/>
      <c r="K6768" s="912">
        <f>VLOOKUP(E6768,[5]ĐMNC!$A$7:$F$67,4,0)</f>
        <v>240557</v>
      </c>
      <c r="L6768" s="912">
        <f>H6768*K6768</f>
        <v>1599704.05</v>
      </c>
      <c r="M6768" s="912"/>
      <c r="N6768" s="912"/>
      <c r="O6768" s="892">
        <f t="shared" si="485"/>
        <v>0</v>
      </c>
      <c r="P6768" s="903">
        <f t="shared" si="487"/>
        <v>1</v>
      </c>
      <c r="Q6768" s="893">
        <f t="shared" si="488"/>
        <v>1</v>
      </c>
      <c r="R6768" s="894">
        <f t="shared" si="489"/>
        <v>0</v>
      </c>
    </row>
    <row r="6769" spans="1:18" s="847" customFormat="1" ht="35.25" customHeight="1">
      <c r="A6769" s="905"/>
      <c r="B6769" s="914" t="s">
        <v>6017</v>
      </c>
      <c r="C6769" s="915"/>
      <c r="D6769" s="915"/>
      <c r="E6769" s="916" t="s">
        <v>6018</v>
      </c>
      <c r="F6769" s="917" t="s">
        <v>5834</v>
      </c>
      <c r="G6769" s="944"/>
      <c r="H6769" s="919"/>
      <c r="I6769" s="920"/>
      <c r="J6769" s="891">
        <f>SUM(J6770:J6783)</f>
        <v>589757.5</v>
      </c>
      <c r="K6769" s="891" t="s">
        <v>274</v>
      </c>
      <c r="L6769" s="891">
        <f>SUM(L6770:L6783)</f>
        <v>1746443.8199999998</v>
      </c>
      <c r="M6769" s="891"/>
      <c r="N6769" s="891">
        <f>SUM(N6770:N6783)</f>
        <v>0</v>
      </c>
      <c r="O6769" s="892">
        <f t="shared" si="485"/>
        <v>1</v>
      </c>
      <c r="P6769" s="903">
        <f t="shared" si="487"/>
        <v>0</v>
      </c>
      <c r="Q6769" s="893">
        <f t="shared" si="488"/>
        <v>0</v>
      </c>
      <c r="R6769" s="894">
        <f t="shared" si="489"/>
        <v>14</v>
      </c>
    </row>
    <row r="6770" spans="1:18" s="904" customFormat="1">
      <c r="A6770" s="895"/>
      <c r="B6770" s="896"/>
      <c r="C6770" s="897"/>
      <c r="D6770" s="897"/>
      <c r="E6770" s="898" t="s">
        <v>108</v>
      </c>
      <c r="F6770" s="899"/>
      <c r="G6770" s="928"/>
      <c r="H6770" s="901"/>
      <c r="I6770" s="902"/>
      <c r="J6770" s="902"/>
      <c r="K6770" s="912" t="s">
        <v>274</v>
      </c>
      <c r="L6770" s="902"/>
      <c r="M6770" s="902"/>
      <c r="N6770" s="902"/>
      <c r="O6770" s="892">
        <f t="shared" si="485"/>
        <v>0</v>
      </c>
      <c r="P6770" s="903">
        <f t="shared" si="487"/>
        <v>1</v>
      </c>
      <c r="Q6770" s="893">
        <f t="shared" si="488"/>
        <v>14</v>
      </c>
      <c r="R6770" s="894">
        <f t="shared" si="489"/>
        <v>0</v>
      </c>
    </row>
    <row r="6771" spans="1:18">
      <c r="A6771" s="905"/>
      <c r="B6771" s="906"/>
      <c r="C6771" s="907">
        <v>97</v>
      </c>
      <c r="D6771" s="907" t="s">
        <v>279</v>
      </c>
      <c r="E6771" s="925" t="s">
        <v>5866</v>
      </c>
      <c r="F6771" s="909" t="s">
        <v>51</v>
      </c>
      <c r="G6771" s="910"/>
      <c r="H6771" s="911">
        <v>1</v>
      </c>
      <c r="I6771" s="912">
        <f>VLOOKUP(E6771,[3]VLP!$B$7:$K$300,10,0)</f>
        <v>40560</v>
      </c>
      <c r="J6771" s="912">
        <f t="shared" ref="J6771:J6781" si="490">I6771*H6771</f>
        <v>40560</v>
      </c>
      <c r="K6771" s="912" t="s">
        <v>274</v>
      </c>
      <c r="L6771" s="912"/>
      <c r="M6771" s="912"/>
      <c r="N6771" s="912"/>
      <c r="O6771" s="892">
        <f t="shared" si="485"/>
        <v>0</v>
      </c>
      <c r="P6771" s="903">
        <f t="shared" si="487"/>
        <v>1</v>
      </c>
      <c r="Q6771" s="893">
        <f t="shared" si="488"/>
        <v>13</v>
      </c>
      <c r="R6771" s="894">
        <f t="shared" si="489"/>
        <v>0</v>
      </c>
    </row>
    <row r="6772" spans="1:18">
      <c r="A6772" s="905"/>
      <c r="B6772" s="906"/>
      <c r="C6772" s="907">
        <v>49</v>
      </c>
      <c r="D6772" s="907" t="s">
        <v>279</v>
      </c>
      <c r="E6772" s="925" t="s">
        <v>5698</v>
      </c>
      <c r="F6772" s="909" t="s">
        <v>139</v>
      </c>
      <c r="G6772" s="910"/>
      <c r="H6772" s="911">
        <v>2</v>
      </c>
      <c r="I6772" s="912">
        <f>VLOOKUP(E6772,[3]VLP!$B$7:$K$300,10,0)</f>
        <v>3000</v>
      </c>
      <c r="J6772" s="912">
        <f t="shared" si="490"/>
        <v>6000</v>
      </c>
      <c r="K6772" s="912" t="s">
        <v>274</v>
      </c>
      <c r="L6772" s="912"/>
      <c r="M6772" s="912"/>
      <c r="N6772" s="912"/>
      <c r="O6772" s="892">
        <f t="shared" si="485"/>
        <v>0</v>
      </c>
      <c r="P6772" s="903">
        <f t="shared" si="487"/>
        <v>1</v>
      </c>
      <c r="Q6772" s="893">
        <f t="shared" si="488"/>
        <v>12</v>
      </c>
      <c r="R6772" s="894">
        <f t="shared" si="489"/>
        <v>0</v>
      </c>
    </row>
    <row r="6773" spans="1:18">
      <c r="A6773" s="905"/>
      <c r="B6773" s="906"/>
      <c r="C6773" s="907">
        <v>50</v>
      </c>
      <c r="D6773" s="907" t="s">
        <v>279</v>
      </c>
      <c r="E6773" s="925" t="s">
        <v>5836</v>
      </c>
      <c r="F6773" s="909" t="s">
        <v>49</v>
      </c>
      <c r="G6773" s="910"/>
      <c r="H6773" s="911">
        <v>4</v>
      </c>
      <c r="I6773" s="912">
        <f>VLOOKUP(E6773,[3]VLP!$B$7:$K$300,10,0)</f>
        <v>85790</v>
      </c>
      <c r="J6773" s="912">
        <f t="shared" si="490"/>
        <v>343160</v>
      </c>
      <c r="K6773" s="912" t="s">
        <v>274</v>
      </c>
      <c r="L6773" s="912"/>
      <c r="M6773" s="912"/>
      <c r="N6773" s="912"/>
      <c r="O6773" s="892">
        <f t="shared" si="485"/>
        <v>0</v>
      </c>
      <c r="P6773" s="903">
        <f t="shared" si="487"/>
        <v>1</v>
      </c>
      <c r="Q6773" s="893">
        <f t="shared" si="488"/>
        <v>11</v>
      </c>
      <c r="R6773" s="894">
        <f t="shared" si="489"/>
        <v>0</v>
      </c>
    </row>
    <row r="6774" spans="1:18">
      <c r="A6774" s="905"/>
      <c r="B6774" s="906"/>
      <c r="C6774" s="907">
        <v>46</v>
      </c>
      <c r="D6774" s="907" t="s">
        <v>279</v>
      </c>
      <c r="E6774" s="925" t="s">
        <v>3179</v>
      </c>
      <c r="F6774" s="909" t="s">
        <v>45</v>
      </c>
      <c r="G6774" s="910"/>
      <c r="H6774" s="911">
        <v>6</v>
      </c>
      <c r="I6774" s="912">
        <f>VLOOKUP(E6774,[3]VLP!$B$7:$K$300,10,0)</f>
        <v>20500</v>
      </c>
      <c r="J6774" s="912">
        <f t="shared" si="490"/>
        <v>123000</v>
      </c>
      <c r="K6774" s="912" t="s">
        <v>274</v>
      </c>
      <c r="L6774" s="912"/>
      <c r="M6774" s="912"/>
      <c r="N6774" s="912"/>
      <c r="O6774" s="892">
        <f t="shared" si="485"/>
        <v>0</v>
      </c>
      <c r="P6774" s="903">
        <f t="shared" si="487"/>
        <v>1</v>
      </c>
      <c r="Q6774" s="893">
        <f t="shared" si="488"/>
        <v>10</v>
      </c>
      <c r="R6774" s="894">
        <f t="shared" si="489"/>
        <v>0</v>
      </c>
    </row>
    <row r="6775" spans="1:18">
      <c r="A6775" s="905"/>
      <c r="B6775" s="906"/>
      <c r="C6775" s="907">
        <v>25</v>
      </c>
      <c r="D6775" s="907" t="s">
        <v>279</v>
      </c>
      <c r="E6775" s="925" t="s">
        <v>5656</v>
      </c>
      <c r="F6775" s="926" t="s">
        <v>2690</v>
      </c>
      <c r="G6775" s="910"/>
      <c r="H6775" s="911">
        <v>1.5</v>
      </c>
      <c r="I6775" s="912">
        <f>VLOOKUP(E6775,[3]VLP!$B$7:$K$300,10,0)</f>
        <v>5000</v>
      </c>
      <c r="J6775" s="912">
        <f t="shared" si="490"/>
        <v>7500</v>
      </c>
      <c r="K6775" s="912" t="s">
        <v>274</v>
      </c>
      <c r="L6775" s="912"/>
      <c r="M6775" s="912"/>
      <c r="N6775" s="912"/>
      <c r="O6775" s="892">
        <f t="shared" si="485"/>
        <v>0</v>
      </c>
      <c r="P6775" s="903">
        <f t="shared" si="487"/>
        <v>1</v>
      </c>
      <c r="Q6775" s="893">
        <f t="shared" si="488"/>
        <v>9</v>
      </c>
      <c r="R6775" s="894">
        <f t="shared" si="489"/>
        <v>0</v>
      </c>
    </row>
    <row r="6776" spans="1:18">
      <c r="A6776" s="905"/>
      <c r="B6776" s="906"/>
      <c r="C6776" s="907">
        <v>127</v>
      </c>
      <c r="D6776" s="907" t="s">
        <v>279</v>
      </c>
      <c r="E6776" s="925" t="s">
        <v>5657</v>
      </c>
      <c r="F6776" s="909" t="s">
        <v>45</v>
      </c>
      <c r="G6776" s="910"/>
      <c r="H6776" s="911">
        <v>0.5</v>
      </c>
      <c r="I6776" s="912">
        <f>VLOOKUP(E6776,[3]VLP!$B$7:$K$300,10,0)</f>
        <v>25155</v>
      </c>
      <c r="J6776" s="912">
        <f t="shared" si="490"/>
        <v>12577.5</v>
      </c>
      <c r="K6776" s="912" t="s">
        <v>274</v>
      </c>
      <c r="L6776" s="912"/>
      <c r="M6776" s="912"/>
      <c r="N6776" s="912"/>
      <c r="O6776" s="892">
        <f t="shared" si="485"/>
        <v>0</v>
      </c>
      <c r="P6776" s="903">
        <f t="shared" si="487"/>
        <v>1</v>
      </c>
      <c r="Q6776" s="893">
        <f t="shared" si="488"/>
        <v>8</v>
      </c>
      <c r="R6776" s="894">
        <f t="shared" si="489"/>
        <v>0</v>
      </c>
    </row>
    <row r="6777" spans="1:18">
      <c r="A6777" s="905"/>
      <c r="B6777" s="906"/>
      <c r="C6777" s="907">
        <v>44</v>
      </c>
      <c r="D6777" s="907" t="s">
        <v>279</v>
      </c>
      <c r="E6777" s="925" t="s">
        <v>2681</v>
      </c>
      <c r="F6777" s="926" t="s">
        <v>45</v>
      </c>
      <c r="G6777" s="910"/>
      <c r="H6777" s="911">
        <v>0.72</v>
      </c>
      <c r="I6777" s="912">
        <f>VLOOKUP(E6777,[3]VLP!$B$7:$K$300,10,0)</f>
        <v>23000</v>
      </c>
      <c r="J6777" s="912">
        <f t="shared" si="490"/>
        <v>16560</v>
      </c>
      <c r="K6777" s="912" t="s">
        <v>274</v>
      </c>
      <c r="L6777" s="912"/>
      <c r="M6777" s="912"/>
      <c r="N6777" s="912"/>
      <c r="O6777" s="892">
        <f t="shared" si="485"/>
        <v>0</v>
      </c>
      <c r="P6777" s="903">
        <f t="shared" si="487"/>
        <v>1</v>
      </c>
      <c r="Q6777" s="893">
        <f t="shared" si="488"/>
        <v>7</v>
      </c>
      <c r="R6777" s="894">
        <f t="shared" si="489"/>
        <v>0</v>
      </c>
    </row>
    <row r="6778" spans="1:18">
      <c r="A6778" s="905"/>
      <c r="B6778" s="906"/>
      <c r="C6778" s="907">
        <v>66</v>
      </c>
      <c r="D6778" s="907" t="s">
        <v>279</v>
      </c>
      <c r="E6778" s="925" t="s">
        <v>2682</v>
      </c>
      <c r="F6778" s="926" t="s">
        <v>45</v>
      </c>
      <c r="G6778" s="910"/>
      <c r="H6778" s="911">
        <v>0.25</v>
      </c>
      <c r="I6778" s="912">
        <f>VLOOKUP(E6778,[3]VLP!$B$7:$K$300,10,0)</f>
        <v>5000</v>
      </c>
      <c r="J6778" s="912">
        <f t="shared" si="490"/>
        <v>1250</v>
      </c>
      <c r="K6778" s="912" t="s">
        <v>274</v>
      </c>
      <c r="L6778" s="912"/>
      <c r="M6778" s="912"/>
      <c r="N6778" s="912"/>
      <c r="O6778" s="892">
        <f t="shared" si="485"/>
        <v>0</v>
      </c>
      <c r="P6778" s="903">
        <f t="shared" si="487"/>
        <v>1</v>
      </c>
      <c r="Q6778" s="893">
        <f t="shared" si="488"/>
        <v>6</v>
      </c>
      <c r="R6778" s="894">
        <f t="shared" si="489"/>
        <v>0</v>
      </c>
    </row>
    <row r="6779" spans="1:18">
      <c r="A6779" s="905"/>
      <c r="B6779" s="906"/>
      <c r="C6779" s="907">
        <v>65</v>
      </c>
      <c r="D6779" s="907" t="s">
        <v>279</v>
      </c>
      <c r="E6779" s="925" t="s">
        <v>5983</v>
      </c>
      <c r="F6779" s="926" t="s">
        <v>3144</v>
      </c>
      <c r="G6779" s="910"/>
      <c r="H6779" s="911">
        <v>1</v>
      </c>
      <c r="I6779" s="912">
        <f>VLOOKUP(E6779,[3]VLP!$B$7:$K$300,10,0)</f>
        <v>14000</v>
      </c>
      <c r="J6779" s="912">
        <f t="shared" si="490"/>
        <v>14000</v>
      </c>
      <c r="K6779" s="912" t="s">
        <v>274</v>
      </c>
      <c r="L6779" s="912"/>
      <c r="M6779" s="912"/>
      <c r="N6779" s="912"/>
      <c r="O6779" s="892">
        <f t="shared" si="485"/>
        <v>0</v>
      </c>
      <c r="P6779" s="903">
        <f t="shared" si="487"/>
        <v>1</v>
      </c>
      <c r="Q6779" s="893">
        <f t="shared" si="488"/>
        <v>5</v>
      </c>
      <c r="R6779" s="894">
        <f t="shared" si="489"/>
        <v>0</v>
      </c>
    </row>
    <row r="6780" spans="1:18">
      <c r="A6780" s="905"/>
      <c r="B6780" s="906"/>
      <c r="C6780" s="907">
        <v>89</v>
      </c>
      <c r="D6780" s="907" t="s">
        <v>279</v>
      </c>
      <c r="E6780" s="925" t="s">
        <v>5984</v>
      </c>
      <c r="F6780" s="926" t="s">
        <v>45</v>
      </c>
      <c r="G6780" s="910"/>
      <c r="H6780" s="911">
        <v>0.15</v>
      </c>
      <c r="I6780" s="912">
        <f>VLOOKUP(E6780,[3]VLP!$B$7:$K$300,10,0)</f>
        <v>1000</v>
      </c>
      <c r="J6780" s="912">
        <f t="shared" si="490"/>
        <v>150</v>
      </c>
      <c r="K6780" s="912" t="s">
        <v>274</v>
      </c>
      <c r="L6780" s="912"/>
      <c r="M6780" s="912"/>
      <c r="N6780" s="912"/>
      <c r="O6780" s="892">
        <f t="shared" si="485"/>
        <v>0</v>
      </c>
      <c r="P6780" s="903">
        <f t="shared" si="487"/>
        <v>1</v>
      </c>
      <c r="Q6780" s="893">
        <f t="shared" si="488"/>
        <v>4</v>
      </c>
      <c r="R6780" s="894">
        <f t="shared" si="489"/>
        <v>0</v>
      </c>
    </row>
    <row r="6781" spans="1:18">
      <c r="A6781" s="905"/>
      <c r="B6781" s="906"/>
      <c r="C6781" s="907">
        <v>699</v>
      </c>
      <c r="D6781" s="907" t="s">
        <v>279</v>
      </c>
      <c r="E6781" s="925" t="s">
        <v>4006</v>
      </c>
      <c r="F6781" s="926" t="s">
        <v>4007</v>
      </c>
      <c r="G6781" s="910"/>
      <c r="H6781" s="911">
        <v>5</v>
      </c>
      <c r="I6781" s="912">
        <f>VLOOKUP(E6781,[3]VLP!$B$7:$K$300,10,0)</f>
        <v>5000</v>
      </c>
      <c r="J6781" s="912">
        <f t="shared" si="490"/>
        <v>25000</v>
      </c>
      <c r="K6781" s="912" t="s">
        <v>274</v>
      </c>
      <c r="L6781" s="912"/>
      <c r="M6781" s="912"/>
      <c r="N6781" s="912"/>
      <c r="O6781" s="892">
        <f t="shared" si="485"/>
        <v>0</v>
      </c>
      <c r="P6781" s="903">
        <f t="shared" si="487"/>
        <v>1</v>
      </c>
      <c r="Q6781" s="893">
        <f t="shared" si="488"/>
        <v>3</v>
      </c>
      <c r="R6781" s="894">
        <f t="shared" si="489"/>
        <v>0</v>
      </c>
    </row>
    <row r="6782" spans="1:18" s="904" customFormat="1">
      <c r="A6782" s="895"/>
      <c r="B6782" s="896"/>
      <c r="C6782" s="897"/>
      <c r="D6782" s="897"/>
      <c r="E6782" s="924" t="s">
        <v>276</v>
      </c>
      <c r="F6782" s="927"/>
      <c r="G6782" s="928"/>
      <c r="H6782" s="901"/>
      <c r="I6782" s="902"/>
      <c r="J6782" s="902"/>
      <c r="K6782" s="912" t="s">
        <v>274</v>
      </c>
      <c r="L6782" s="902"/>
      <c r="M6782" s="902"/>
      <c r="N6782" s="902"/>
      <c r="O6782" s="892">
        <f t="shared" si="485"/>
        <v>0</v>
      </c>
      <c r="P6782" s="903">
        <f t="shared" si="487"/>
        <v>1</v>
      </c>
      <c r="Q6782" s="893">
        <f t="shared" si="488"/>
        <v>2</v>
      </c>
      <c r="R6782" s="894">
        <f t="shared" si="489"/>
        <v>0</v>
      </c>
    </row>
    <row r="6783" spans="1:18">
      <c r="A6783" s="905"/>
      <c r="B6783" s="906"/>
      <c r="C6783" s="907">
        <v>745</v>
      </c>
      <c r="D6783" s="907" t="s">
        <v>12</v>
      </c>
      <c r="E6783" s="908" t="s">
        <v>5518</v>
      </c>
      <c r="F6783" s="909" t="s">
        <v>2674</v>
      </c>
      <c r="G6783" s="910"/>
      <c r="H6783" s="911">
        <v>7.26</v>
      </c>
      <c r="I6783" s="912"/>
      <c r="J6783" s="912"/>
      <c r="K6783" s="912">
        <f>VLOOKUP(E6783,[5]ĐMNC!$A$7:$F$67,4,0)</f>
        <v>240557</v>
      </c>
      <c r="L6783" s="912">
        <f>H6783*K6783</f>
        <v>1746443.8199999998</v>
      </c>
      <c r="M6783" s="912"/>
      <c r="N6783" s="912"/>
      <c r="O6783" s="892">
        <f t="shared" si="485"/>
        <v>0</v>
      </c>
      <c r="P6783" s="903">
        <f t="shared" si="487"/>
        <v>1</v>
      </c>
      <c r="Q6783" s="893">
        <f t="shared" si="488"/>
        <v>1</v>
      </c>
      <c r="R6783" s="894">
        <f t="shared" si="489"/>
        <v>0</v>
      </c>
    </row>
    <row r="6784" spans="1:18" s="847" customFormat="1" ht="35.25" customHeight="1">
      <c r="A6784" s="905" t="s">
        <v>5960</v>
      </c>
      <c r="B6784" s="914" t="s">
        <v>6019</v>
      </c>
      <c r="C6784" s="915"/>
      <c r="D6784" s="915"/>
      <c r="E6784" s="916" t="s">
        <v>6020</v>
      </c>
      <c r="F6784" s="917" t="s">
        <v>5834</v>
      </c>
      <c r="G6784" s="944"/>
      <c r="H6784" s="919"/>
      <c r="I6784" s="920"/>
      <c r="J6784" s="891">
        <f>SUM(J6785:J6798)</f>
        <v>596767.5</v>
      </c>
      <c r="K6784" s="891" t="s">
        <v>274</v>
      </c>
      <c r="L6784" s="891">
        <f>SUM(L6785:L6798)</f>
        <v>2066384.63</v>
      </c>
      <c r="M6784" s="891"/>
      <c r="N6784" s="891">
        <f>SUM(N6785:N6798)</f>
        <v>0</v>
      </c>
      <c r="O6784" s="892">
        <f t="shared" si="485"/>
        <v>1</v>
      </c>
      <c r="P6784" s="903">
        <f t="shared" si="487"/>
        <v>0</v>
      </c>
      <c r="Q6784" s="893">
        <f t="shared" si="488"/>
        <v>0</v>
      </c>
      <c r="R6784" s="894">
        <f t="shared" si="489"/>
        <v>14</v>
      </c>
    </row>
    <row r="6785" spans="1:18" s="904" customFormat="1">
      <c r="A6785" s="895"/>
      <c r="B6785" s="896"/>
      <c r="C6785" s="897"/>
      <c r="D6785" s="897"/>
      <c r="E6785" s="898" t="s">
        <v>108</v>
      </c>
      <c r="F6785" s="899"/>
      <c r="G6785" s="928"/>
      <c r="H6785" s="901"/>
      <c r="I6785" s="902"/>
      <c r="J6785" s="902"/>
      <c r="K6785" s="912" t="s">
        <v>274</v>
      </c>
      <c r="L6785" s="902"/>
      <c r="M6785" s="902"/>
      <c r="N6785" s="902"/>
      <c r="O6785" s="892">
        <f t="shared" si="485"/>
        <v>0</v>
      </c>
      <c r="P6785" s="903">
        <f t="shared" si="487"/>
        <v>1</v>
      </c>
      <c r="Q6785" s="893">
        <f t="shared" si="488"/>
        <v>14</v>
      </c>
      <c r="R6785" s="894">
        <f t="shared" si="489"/>
        <v>0</v>
      </c>
    </row>
    <row r="6786" spans="1:18">
      <c r="A6786" s="905"/>
      <c r="B6786" s="906"/>
      <c r="C6786" s="907">
        <v>98</v>
      </c>
      <c r="D6786" s="907" t="s">
        <v>279</v>
      </c>
      <c r="E6786" s="925" t="s">
        <v>5869</v>
      </c>
      <c r="F6786" s="909" t="s">
        <v>51</v>
      </c>
      <c r="G6786" s="910"/>
      <c r="H6786" s="911">
        <v>1</v>
      </c>
      <c r="I6786" s="912">
        <f>VLOOKUP(E6786,[3]VLP!$B$7:$K$300,10,0)</f>
        <v>47320</v>
      </c>
      <c r="J6786" s="912">
        <f t="shared" ref="J6786:J6796" si="491">I6786*H6786</f>
        <v>47320</v>
      </c>
      <c r="K6786" s="912" t="s">
        <v>274</v>
      </c>
      <c r="L6786" s="912"/>
      <c r="M6786" s="912"/>
      <c r="N6786" s="912"/>
      <c r="O6786" s="892">
        <f t="shared" si="485"/>
        <v>0</v>
      </c>
      <c r="P6786" s="903">
        <f t="shared" si="487"/>
        <v>1</v>
      </c>
      <c r="Q6786" s="893">
        <f t="shared" si="488"/>
        <v>13</v>
      </c>
      <c r="R6786" s="894">
        <f t="shared" si="489"/>
        <v>0</v>
      </c>
    </row>
    <row r="6787" spans="1:18">
      <c r="A6787" s="905"/>
      <c r="B6787" s="906"/>
      <c r="C6787" s="907">
        <v>49</v>
      </c>
      <c r="D6787" s="907" t="s">
        <v>279</v>
      </c>
      <c r="E6787" s="925" t="s">
        <v>5698</v>
      </c>
      <c r="F6787" s="909" t="s">
        <v>139</v>
      </c>
      <c r="G6787" s="910"/>
      <c r="H6787" s="911">
        <v>2</v>
      </c>
      <c r="I6787" s="912">
        <f>VLOOKUP(E6787,[3]VLP!$B$7:$K$300,10,0)</f>
        <v>3000</v>
      </c>
      <c r="J6787" s="912">
        <f t="shared" si="491"/>
        <v>6000</v>
      </c>
      <c r="K6787" s="912" t="s">
        <v>274</v>
      </c>
      <c r="L6787" s="912"/>
      <c r="M6787" s="912"/>
      <c r="N6787" s="912"/>
      <c r="O6787" s="892">
        <f t="shared" si="485"/>
        <v>0</v>
      </c>
      <c r="P6787" s="903">
        <f t="shared" si="487"/>
        <v>1</v>
      </c>
      <c r="Q6787" s="893">
        <f t="shared" si="488"/>
        <v>12</v>
      </c>
      <c r="R6787" s="894">
        <f t="shared" si="489"/>
        <v>0</v>
      </c>
    </row>
    <row r="6788" spans="1:18">
      <c r="A6788" s="905"/>
      <c r="B6788" s="906"/>
      <c r="C6788" s="907">
        <v>50</v>
      </c>
      <c r="D6788" s="907" t="s">
        <v>279</v>
      </c>
      <c r="E6788" s="925" t="s">
        <v>5836</v>
      </c>
      <c r="F6788" s="909" t="s">
        <v>49</v>
      </c>
      <c r="G6788" s="910"/>
      <c r="H6788" s="911">
        <v>4</v>
      </c>
      <c r="I6788" s="912">
        <f>VLOOKUP(E6788,[3]VLP!$B$7:$K$300,10,0)</f>
        <v>85790</v>
      </c>
      <c r="J6788" s="912">
        <f t="shared" si="491"/>
        <v>343160</v>
      </c>
      <c r="K6788" s="912" t="s">
        <v>274</v>
      </c>
      <c r="L6788" s="912"/>
      <c r="M6788" s="912"/>
      <c r="N6788" s="912"/>
      <c r="O6788" s="892">
        <f t="shared" si="485"/>
        <v>0</v>
      </c>
      <c r="P6788" s="903">
        <f t="shared" si="487"/>
        <v>1</v>
      </c>
      <c r="Q6788" s="893">
        <f t="shared" si="488"/>
        <v>11</v>
      </c>
      <c r="R6788" s="894">
        <f t="shared" si="489"/>
        <v>0</v>
      </c>
    </row>
    <row r="6789" spans="1:18">
      <c r="A6789" s="905"/>
      <c r="B6789" s="906"/>
      <c r="C6789" s="907">
        <v>46</v>
      </c>
      <c r="D6789" s="907" t="s">
        <v>279</v>
      </c>
      <c r="E6789" s="925" t="s">
        <v>3179</v>
      </c>
      <c r="F6789" s="909" t="s">
        <v>45</v>
      </c>
      <c r="G6789" s="910"/>
      <c r="H6789" s="911">
        <v>6</v>
      </c>
      <c r="I6789" s="912">
        <f>VLOOKUP(E6789,[3]VLP!$B$7:$K$300,10,0)</f>
        <v>20500</v>
      </c>
      <c r="J6789" s="912">
        <f t="shared" si="491"/>
        <v>123000</v>
      </c>
      <c r="K6789" s="912" t="s">
        <v>274</v>
      </c>
      <c r="L6789" s="912"/>
      <c r="M6789" s="912"/>
      <c r="N6789" s="912"/>
      <c r="O6789" s="892">
        <f t="shared" si="485"/>
        <v>0</v>
      </c>
      <c r="P6789" s="903">
        <f t="shared" si="487"/>
        <v>1</v>
      </c>
      <c r="Q6789" s="893">
        <f t="shared" si="488"/>
        <v>10</v>
      </c>
      <c r="R6789" s="894">
        <f t="shared" si="489"/>
        <v>0</v>
      </c>
    </row>
    <row r="6790" spans="1:18">
      <c r="A6790" s="905"/>
      <c r="B6790" s="906"/>
      <c r="C6790" s="907">
        <v>25</v>
      </c>
      <c r="D6790" s="907" t="s">
        <v>279</v>
      </c>
      <c r="E6790" s="925" t="s">
        <v>5656</v>
      </c>
      <c r="F6790" s="926" t="s">
        <v>2690</v>
      </c>
      <c r="G6790" s="910"/>
      <c r="H6790" s="911">
        <v>1.5</v>
      </c>
      <c r="I6790" s="912">
        <f>VLOOKUP(E6790,[3]VLP!$B$7:$K$300,10,0)</f>
        <v>5000</v>
      </c>
      <c r="J6790" s="912">
        <f t="shared" si="491"/>
        <v>7500</v>
      </c>
      <c r="K6790" s="912" t="s">
        <v>274</v>
      </c>
      <c r="L6790" s="912"/>
      <c r="M6790" s="912"/>
      <c r="N6790" s="912"/>
      <c r="O6790" s="892">
        <f t="shared" si="485"/>
        <v>0</v>
      </c>
      <c r="P6790" s="903">
        <f t="shared" si="487"/>
        <v>1</v>
      </c>
      <c r="Q6790" s="893">
        <f t="shared" si="488"/>
        <v>9</v>
      </c>
      <c r="R6790" s="894">
        <f t="shared" si="489"/>
        <v>0</v>
      </c>
    </row>
    <row r="6791" spans="1:18">
      <c r="A6791" s="905"/>
      <c r="B6791" s="906"/>
      <c r="C6791" s="907">
        <v>127</v>
      </c>
      <c r="D6791" s="907" t="s">
        <v>279</v>
      </c>
      <c r="E6791" s="925" t="s">
        <v>5657</v>
      </c>
      <c r="F6791" s="909" t="s">
        <v>45</v>
      </c>
      <c r="G6791" s="910"/>
      <c r="H6791" s="911">
        <v>0.5</v>
      </c>
      <c r="I6791" s="912">
        <f>VLOOKUP(E6791,[3]VLP!$B$7:$K$300,10,0)</f>
        <v>25155</v>
      </c>
      <c r="J6791" s="912">
        <f t="shared" si="491"/>
        <v>12577.5</v>
      </c>
      <c r="K6791" s="912" t="s">
        <v>274</v>
      </c>
      <c r="L6791" s="912"/>
      <c r="M6791" s="912"/>
      <c r="N6791" s="912"/>
      <c r="O6791" s="892">
        <f t="shared" si="485"/>
        <v>0</v>
      </c>
      <c r="P6791" s="903">
        <f t="shared" si="487"/>
        <v>1</v>
      </c>
      <c r="Q6791" s="893">
        <f t="shared" si="488"/>
        <v>8</v>
      </c>
      <c r="R6791" s="894">
        <f t="shared" si="489"/>
        <v>0</v>
      </c>
    </row>
    <row r="6792" spans="1:18">
      <c r="A6792" s="905"/>
      <c r="B6792" s="906"/>
      <c r="C6792" s="907">
        <v>44</v>
      </c>
      <c r="D6792" s="907" t="s">
        <v>279</v>
      </c>
      <c r="E6792" s="925" t="s">
        <v>2681</v>
      </c>
      <c r="F6792" s="926" t="s">
        <v>45</v>
      </c>
      <c r="G6792" s="910"/>
      <c r="H6792" s="911">
        <v>0.72</v>
      </c>
      <c r="I6792" s="912">
        <f>VLOOKUP(E6792,[3]VLP!$B$7:$K$300,10,0)</f>
        <v>23000</v>
      </c>
      <c r="J6792" s="912">
        <f t="shared" si="491"/>
        <v>16560</v>
      </c>
      <c r="K6792" s="912" t="s">
        <v>274</v>
      </c>
      <c r="L6792" s="912"/>
      <c r="M6792" s="912"/>
      <c r="N6792" s="912"/>
      <c r="O6792" s="892">
        <f t="shared" si="485"/>
        <v>0</v>
      </c>
      <c r="P6792" s="903">
        <f t="shared" si="487"/>
        <v>1</v>
      </c>
      <c r="Q6792" s="893">
        <f t="shared" si="488"/>
        <v>7</v>
      </c>
      <c r="R6792" s="894">
        <f t="shared" si="489"/>
        <v>0</v>
      </c>
    </row>
    <row r="6793" spans="1:18">
      <c r="A6793" s="905"/>
      <c r="B6793" s="906"/>
      <c r="C6793" s="907">
        <v>66</v>
      </c>
      <c r="D6793" s="907" t="s">
        <v>279</v>
      </c>
      <c r="E6793" s="925" t="s">
        <v>2682</v>
      </c>
      <c r="F6793" s="926" t="s">
        <v>45</v>
      </c>
      <c r="G6793" s="910"/>
      <c r="H6793" s="911">
        <v>0.3</v>
      </c>
      <c r="I6793" s="912">
        <f>VLOOKUP(E6793,[3]VLP!$B$7:$K$300,10,0)</f>
        <v>5000</v>
      </c>
      <c r="J6793" s="912">
        <f t="shared" si="491"/>
        <v>1500</v>
      </c>
      <c r="K6793" s="912" t="s">
        <v>274</v>
      </c>
      <c r="L6793" s="912"/>
      <c r="M6793" s="912"/>
      <c r="N6793" s="912"/>
      <c r="O6793" s="892">
        <f t="shared" si="485"/>
        <v>0</v>
      </c>
      <c r="P6793" s="903">
        <f t="shared" si="487"/>
        <v>1</v>
      </c>
      <c r="Q6793" s="893">
        <f t="shared" si="488"/>
        <v>6</v>
      </c>
      <c r="R6793" s="894">
        <f t="shared" si="489"/>
        <v>0</v>
      </c>
    </row>
    <row r="6794" spans="1:18">
      <c r="A6794" s="905"/>
      <c r="B6794" s="906"/>
      <c r="C6794" s="907">
        <v>65</v>
      </c>
      <c r="D6794" s="907" t="s">
        <v>279</v>
      </c>
      <c r="E6794" s="925" t="s">
        <v>5983</v>
      </c>
      <c r="F6794" s="926" t="s">
        <v>3144</v>
      </c>
      <c r="G6794" s="910"/>
      <c r="H6794" s="911">
        <v>1</v>
      </c>
      <c r="I6794" s="912">
        <f>VLOOKUP(E6794,[3]VLP!$B$7:$K$300,10,0)</f>
        <v>14000</v>
      </c>
      <c r="J6794" s="912">
        <f t="shared" si="491"/>
        <v>14000</v>
      </c>
      <c r="K6794" s="912" t="s">
        <v>274</v>
      </c>
      <c r="L6794" s="912"/>
      <c r="M6794" s="912"/>
      <c r="N6794" s="912"/>
      <c r="O6794" s="892">
        <f t="shared" si="485"/>
        <v>0</v>
      </c>
      <c r="P6794" s="903">
        <f t="shared" si="487"/>
        <v>1</v>
      </c>
      <c r="Q6794" s="893">
        <f t="shared" si="488"/>
        <v>5</v>
      </c>
      <c r="R6794" s="894">
        <f t="shared" si="489"/>
        <v>0</v>
      </c>
    </row>
    <row r="6795" spans="1:18">
      <c r="A6795" s="905"/>
      <c r="B6795" s="906"/>
      <c r="C6795" s="907">
        <v>89</v>
      </c>
      <c r="D6795" s="907" t="s">
        <v>279</v>
      </c>
      <c r="E6795" s="925" t="s">
        <v>5984</v>
      </c>
      <c r="F6795" s="926" t="s">
        <v>45</v>
      </c>
      <c r="G6795" s="910"/>
      <c r="H6795" s="911">
        <v>0.15</v>
      </c>
      <c r="I6795" s="912">
        <f>VLOOKUP(E6795,[3]VLP!$B$7:$K$300,10,0)</f>
        <v>1000</v>
      </c>
      <c r="J6795" s="912">
        <f t="shared" si="491"/>
        <v>150</v>
      </c>
      <c r="K6795" s="912" t="s">
        <v>274</v>
      </c>
      <c r="L6795" s="912"/>
      <c r="M6795" s="912"/>
      <c r="N6795" s="912"/>
      <c r="O6795" s="892">
        <f t="shared" si="485"/>
        <v>0</v>
      </c>
      <c r="P6795" s="903">
        <f t="shared" si="487"/>
        <v>1</v>
      </c>
      <c r="Q6795" s="893">
        <f t="shared" si="488"/>
        <v>4</v>
      </c>
      <c r="R6795" s="894">
        <f t="shared" si="489"/>
        <v>0</v>
      </c>
    </row>
    <row r="6796" spans="1:18">
      <c r="A6796" s="905"/>
      <c r="B6796" s="906"/>
      <c r="C6796" s="907">
        <v>699</v>
      </c>
      <c r="D6796" s="907" t="s">
        <v>279</v>
      </c>
      <c r="E6796" s="925" t="s">
        <v>4006</v>
      </c>
      <c r="F6796" s="926" t="s">
        <v>4007</v>
      </c>
      <c r="G6796" s="910"/>
      <c r="H6796" s="911">
        <v>5</v>
      </c>
      <c r="I6796" s="912">
        <f>VLOOKUP(E6796,[3]VLP!$B$7:$K$300,10,0)</f>
        <v>5000</v>
      </c>
      <c r="J6796" s="912">
        <f t="shared" si="491"/>
        <v>25000</v>
      </c>
      <c r="K6796" s="912" t="s">
        <v>274</v>
      </c>
      <c r="L6796" s="912"/>
      <c r="M6796" s="912"/>
      <c r="N6796" s="912"/>
      <c r="O6796" s="892">
        <f t="shared" si="485"/>
        <v>0</v>
      </c>
      <c r="P6796" s="903">
        <f t="shared" si="487"/>
        <v>1</v>
      </c>
      <c r="Q6796" s="893">
        <f t="shared" si="488"/>
        <v>3</v>
      </c>
      <c r="R6796" s="894">
        <f t="shared" si="489"/>
        <v>0</v>
      </c>
    </row>
    <row r="6797" spans="1:18" s="904" customFormat="1">
      <c r="A6797" s="895"/>
      <c r="B6797" s="896"/>
      <c r="C6797" s="897"/>
      <c r="D6797" s="897"/>
      <c r="E6797" s="924" t="s">
        <v>276</v>
      </c>
      <c r="F6797" s="927"/>
      <c r="G6797" s="928"/>
      <c r="H6797" s="901"/>
      <c r="I6797" s="902"/>
      <c r="J6797" s="902"/>
      <c r="K6797" s="912" t="s">
        <v>274</v>
      </c>
      <c r="L6797" s="902"/>
      <c r="M6797" s="902"/>
      <c r="N6797" s="902"/>
      <c r="O6797" s="892">
        <f t="shared" si="485"/>
        <v>0</v>
      </c>
      <c r="P6797" s="903">
        <f t="shared" si="487"/>
        <v>1</v>
      </c>
      <c r="Q6797" s="893">
        <f t="shared" si="488"/>
        <v>2</v>
      </c>
      <c r="R6797" s="894">
        <f t="shared" si="489"/>
        <v>0</v>
      </c>
    </row>
    <row r="6798" spans="1:18">
      <c r="A6798" s="905"/>
      <c r="B6798" s="906"/>
      <c r="C6798" s="907">
        <v>745</v>
      </c>
      <c r="D6798" s="907" t="s">
        <v>12</v>
      </c>
      <c r="E6798" s="908" t="s">
        <v>5518</v>
      </c>
      <c r="F6798" s="909" t="s">
        <v>2674</v>
      </c>
      <c r="G6798" s="910"/>
      <c r="H6798" s="911">
        <v>8.59</v>
      </c>
      <c r="I6798" s="912"/>
      <c r="J6798" s="912"/>
      <c r="K6798" s="912">
        <f>VLOOKUP(E6798,[5]ĐMNC!$A$7:$F$67,4,0)</f>
        <v>240557</v>
      </c>
      <c r="L6798" s="912">
        <f>H6798*K6798</f>
        <v>2066384.63</v>
      </c>
      <c r="M6798" s="912"/>
      <c r="N6798" s="912"/>
      <c r="O6798" s="892">
        <f t="shared" si="485"/>
        <v>0</v>
      </c>
      <c r="P6798" s="903">
        <f t="shared" si="487"/>
        <v>1</v>
      </c>
      <c r="Q6798" s="893">
        <f t="shared" si="488"/>
        <v>1</v>
      </c>
      <c r="R6798" s="894">
        <f t="shared" si="489"/>
        <v>0</v>
      </c>
    </row>
    <row r="6799" spans="1:18" s="847" customFormat="1" ht="35.25" customHeight="1">
      <c r="A6799" s="905"/>
      <c r="B6799" s="914" t="s">
        <v>6021</v>
      </c>
      <c r="C6799" s="915"/>
      <c r="D6799" s="915"/>
      <c r="E6799" s="916" t="s">
        <v>6022</v>
      </c>
      <c r="F6799" s="917" t="s">
        <v>5834</v>
      </c>
      <c r="G6799" s="944"/>
      <c r="H6799" s="919"/>
      <c r="I6799" s="920"/>
      <c r="J6799" s="891">
        <f>SUM(J6800:J6813)</f>
        <v>630567.5</v>
      </c>
      <c r="K6799" s="891" t="s">
        <v>274</v>
      </c>
      <c r="L6799" s="891">
        <f>SUM(L6800:L6813)</f>
        <v>2109684.8899999997</v>
      </c>
      <c r="M6799" s="891"/>
      <c r="N6799" s="891">
        <f>SUM(N6800:N6813)</f>
        <v>0</v>
      </c>
      <c r="O6799" s="892">
        <f t="shared" si="485"/>
        <v>1</v>
      </c>
      <c r="P6799" s="903">
        <f t="shared" si="487"/>
        <v>0</v>
      </c>
      <c r="Q6799" s="893">
        <f t="shared" si="488"/>
        <v>0</v>
      </c>
      <c r="R6799" s="894">
        <f t="shared" si="489"/>
        <v>14</v>
      </c>
    </row>
    <row r="6800" spans="1:18" s="904" customFormat="1">
      <c r="A6800" s="895"/>
      <c r="B6800" s="896"/>
      <c r="C6800" s="897"/>
      <c r="D6800" s="897"/>
      <c r="E6800" s="898" t="s">
        <v>108</v>
      </c>
      <c r="F6800" s="899"/>
      <c r="G6800" s="928"/>
      <c r="H6800" s="901"/>
      <c r="I6800" s="902"/>
      <c r="J6800" s="902"/>
      <c r="K6800" s="912" t="s">
        <v>274</v>
      </c>
      <c r="L6800" s="902"/>
      <c r="M6800" s="902"/>
      <c r="N6800" s="902"/>
      <c r="O6800" s="892">
        <f t="shared" si="485"/>
        <v>0</v>
      </c>
      <c r="P6800" s="903">
        <f t="shared" si="487"/>
        <v>1</v>
      </c>
      <c r="Q6800" s="893">
        <f t="shared" si="488"/>
        <v>14</v>
      </c>
      <c r="R6800" s="894">
        <f t="shared" si="489"/>
        <v>0</v>
      </c>
    </row>
    <row r="6801" spans="1:18">
      <c r="A6801" s="905"/>
      <c r="B6801" s="906"/>
      <c r="C6801" s="907">
        <v>99</v>
      </c>
      <c r="D6801" s="907" t="s">
        <v>279</v>
      </c>
      <c r="E6801" s="925" t="s">
        <v>5872</v>
      </c>
      <c r="F6801" s="909" t="s">
        <v>51</v>
      </c>
      <c r="G6801" s="910"/>
      <c r="H6801" s="911">
        <v>1</v>
      </c>
      <c r="I6801" s="912">
        <f>VLOOKUP(E6801,[3]VLP!$B$7:$K$300,10,0)</f>
        <v>81120</v>
      </c>
      <c r="J6801" s="912">
        <f t="shared" ref="J6801:J6811" si="492">I6801*H6801</f>
        <v>81120</v>
      </c>
      <c r="K6801" s="912" t="s">
        <v>274</v>
      </c>
      <c r="L6801" s="912"/>
      <c r="M6801" s="912"/>
      <c r="N6801" s="912"/>
      <c r="O6801" s="892">
        <f t="shared" si="485"/>
        <v>0</v>
      </c>
      <c r="P6801" s="903">
        <f t="shared" si="487"/>
        <v>1</v>
      </c>
      <c r="Q6801" s="893">
        <f t="shared" si="488"/>
        <v>13</v>
      </c>
      <c r="R6801" s="894">
        <f t="shared" si="489"/>
        <v>0</v>
      </c>
    </row>
    <row r="6802" spans="1:18">
      <c r="A6802" s="905"/>
      <c r="B6802" s="906"/>
      <c r="C6802" s="907">
        <v>49</v>
      </c>
      <c r="D6802" s="907" t="s">
        <v>279</v>
      </c>
      <c r="E6802" s="925" t="s">
        <v>5698</v>
      </c>
      <c r="F6802" s="909" t="s">
        <v>139</v>
      </c>
      <c r="G6802" s="910"/>
      <c r="H6802" s="911">
        <v>2</v>
      </c>
      <c r="I6802" s="912">
        <f>VLOOKUP(E6802,[3]VLP!$B$7:$K$300,10,0)</f>
        <v>3000</v>
      </c>
      <c r="J6802" s="912">
        <f t="shared" si="492"/>
        <v>6000</v>
      </c>
      <c r="K6802" s="912" t="s">
        <v>274</v>
      </c>
      <c r="L6802" s="912"/>
      <c r="M6802" s="912"/>
      <c r="N6802" s="912"/>
      <c r="O6802" s="892">
        <f t="shared" si="485"/>
        <v>0</v>
      </c>
      <c r="P6802" s="903">
        <f t="shared" si="487"/>
        <v>1</v>
      </c>
      <c r="Q6802" s="893">
        <f t="shared" si="488"/>
        <v>12</v>
      </c>
      <c r="R6802" s="894">
        <f t="shared" si="489"/>
        <v>0</v>
      </c>
    </row>
    <row r="6803" spans="1:18">
      <c r="A6803" s="905"/>
      <c r="B6803" s="906"/>
      <c r="C6803" s="907">
        <v>50</v>
      </c>
      <c r="D6803" s="907" t="s">
        <v>279</v>
      </c>
      <c r="E6803" s="925" t="s">
        <v>5836</v>
      </c>
      <c r="F6803" s="909" t="s">
        <v>49</v>
      </c>
      <c r="G6803" s="910"/>
      <c r="H6803" s="911">
        <v>4</v>
      </c>
      <c r="I6803" s="912">
        <f>VLOOKUP(E6803,[3]VLP!$B$7:$K$300,10,0)</f>
        <v>85790</v>
      </c>
      <c r="J6803" s="912">
        <f t="shared" si="492"/>
        <v>343160</v>
      </c>
      <c r="K6803" s="912" t="s">
        <v>274</v>
      </c>
      <c r="L6803" s="912"/>
      <c r="M6803" s="912"/>
      <c r="N6803" s="912"/>
      <c r="O6803" s="892">
        <f t="shared" si="485"/>
        <v>0</v>
      </c>
      <c r="P6803" s="903">
        <f t="shared" si="487"/>
        <v>1</v>
      </c>
      <c r="Q6803" s="893">
        <f t="shared" si="488"/>
        <v>11</v>
      </c>
      <c r="R6803" s="894">
        <f t="shared" si="489"/>
        <v>0</v>
      </c>
    </row>
    <row r="6804" spans="1:18">
      <c r="A6804" s="905"/>
      <c r="B6804" s="906"/>
      <c r="C6804" s="907">
        <v>46</v>
      </c>
      <c r="D6804" s="907" t="s">
        <v>279</v>
      </c>
      <c r="E6804" s="925" t="s">
        <v>3179</v>
      </c>
      <c r="F6804" s="909" t="s">
        <v>45</v>
      </c>
      <c r="G6804" s="910"/>
      <c r="H6804" s="911">
        <v>6</v>
      </c>
      <c r="I6804" s="912">
        <f>VLOOKUP(E6804,[3]VLP!$B$7:$K$300,10,0)</f>
        <v>20500</v>
      </c>
      <c r="J6804" s="912">
        <f t="shared" si="492"/>
        <v>123000</v>
      </c>
      <c r="K6804" s="912" t="s">
        <v>274</v>
      </c>
      <c r="L6804" s="912"/>
      <c r="M6804" s="912"/>
      <c r="N6804" s="912"/>
      <c r="O6804" s="892">
        <f t="shared" si="485"/>
        <v>0</v>
      </c>
      <c r="P6804" s="903">
        <f t="shared" si="487"/>
        <v>1</v>
      </c>
      <c r="Q6804" s="893">
        <f t="shared" si="488"/>
        <v>10</v>
      </c>
      <c r="R6804" s="894">
        <f t="shared" si="489"/>
        <v>0</v>
      </c>
    </row>
    <row r="6805" spans="1:18">
      <c r="A6805" s="905"/>
      <c r="B6805" s="906"/>
      <c r="C6805" s="907">
        <v>25</v>
      </c>
      <c r="D6805" s="907" t="s">
        <v>279</v>
      </c>
      <c r="E6805" s="925" t="s">
        <v>5656</v>
      </c>
      <c r="F6805" s="926" t="s">
        <v>2690</v>
      </c>
      <c r="G6805" s="910"/>
      <c r="H6805" s="911">
        <v>1.5</v>
      </c>
      <c r="I6805" s="912">
        <f>VLOOKUP(E6805,[3]VLP!$B$7:$K$300,10,0)</f>
        <v>5000</v>
      </c>
      <c r="J6805" s="912">
        <f t="shared" si="492"/>
        <v>7500</v>
      </c>
      <c r="K6805" s="912" t="s">
        <v>274</v>
      </c>
      <c r="L6805" s="912"/>
      <c r="M6805" s="912"/>
      <c r="N6805" s="912"/>
      <c r="O6805" s="892">
        <f t="shared" si="485"/>
        <v>0</v>
      </c>
      <c r="P6805" s="903">
        <f t="shared" si="487"/>
        <v>1</v>
      </c>
      <c r="Q6805" s="893">
        <f t="shared" si="488"/>
        <v>9</v>
      </c>
      <c r="R6805" s="894">
        <f t="shared" si="489"/>
        <v>0</v>
      </c>
    </row>
    <row r="6806" spans="1:18">
      <c r="A6806" s="905"/>
      <c r="B6806" s="906"/>
      <c r="C6806" s="907">
        <v>127</v>
      </c>
      <c r="D6806" s="907" t="s">
        <v>279</v>
      </c>
      <c r="E6806" s="925" t="s">
        <v>5657</v>
      </c>
      <c r="F6806" s="909" t="s">
        <v>45</v>
      </c>
      <c r="G6806" s="910"/>
      <c r="H6806" s="911">
        <v>0.5</v>
      </c>
      <c r="I6806" s="912">
        <f>VLOOKUP(E6806,[3]VLP!$B$7:$K$300,10,0)</f>
        <v>25155</v>
      </c>
      <c r="J6806" s="912">
        <f t="shared" si="492"/>
        <v>12577.5</v>
      </c>
      <c r="K6806" s="912" t="s">
        <v>274</v>
      </c>
      <c r="L6806" s="912"/>
      <c r="M6806" s="912"/>
      <c r="N6806" s="912"/>
      <c r="O6806" s="892">
        <f t="shared" si="485"/>
        <v>0</v>
      </c>
      <c r="P6806" s="903">
        <f t="shared" si="487"/>
        <v>1</v>
      </c>
      <c r="Q6806" s="893">
        <f t="shared" si="488"/>
        <v>8</v>
      </c>
      <c r="R6806" s="894">
        <f t="shared" si="489"/>
        <v>0</v>
      </c>
    </row>
    <row r="6807" spans="1:18">
      <c r="A6807" s="905"/>
      <c r="B6807" s="906"/>
      <c r="C6807" s="907">
        <v>44</v>
      </c>
      <c r="D6807" s="907" t="s">
        <v>279</v>
      </c>
      <c r="E6807" s="925" t="s">
        <v>2681</v>
      </c>
      <c r="F6807" s="926" t="s">
        <v>45</v>
      </c>
      <c r="G6807" s="910"/>
      <c r="H6807" s="911">
        <v>0.72</v>
      </c>
      <c r="I6807" s="912">
        <f>VLOOKUP(E6807,[3]VLP!$B$7:$K$300,10,0)</f>
        <v>23000</v>
      </c>
      <c r="J6807" s="912">
        <f t="shared" si="492"/>
        <v>16560</v>
      </c>
      <c r="K6807" s="912" t="s">
        <v>274</v>
      </c>
      <c r="L6807" s="912"/>
      <c r="M6807" s="912"/>
      <c r="N6807" s="912"/>
      <c r="O6807" s="892">
        <f t="shared" si="485"/>
        <v>0</v>
      </c>
      <c r="P6807" s="903">
        <f t="shared" si="487"/>
        <v>1</v>
      </c>
      <c r="Q6807" s="893">
        <f t="shared" si="488"/>
        <v>7</v>
      </c>
      <c r="R6807" s="894">
        <f t="shared" si="489"/>
        <v>0</v>
      </c>
    </row>
    <row r="6808" spans="1:18">
      <c r="A6808" s="905"/>
      <c r="B6808" s="906"/>
      <c r="C6808" s="907">
        <v>66</v>
      </c>
      <c r="D6808" s="907" t="s">
        <v>279</v>
      </c>
      <c r="E6808" s="925" t="s">
        <v>2682</v>
      </c>
      <c r="F6808" s="926" t="s">
        <v>45</v>
      </c>
      <c r="G6808" s="910"/>
      <c r="H6808" s="911">
        <v>0.3</v>
      </c>
      <c r="I6808" s="912">
        <f>VLOOKUP(E6808,[3]VLP!$B$7:$K$300,10,0)</f>
        <v>5000</v>
      </c>
      <c r="J6808" s="912">
        <f t="shared" si="492"/>
        <v>1500</v>
      </c>
      <c r="K6808" s="912" t="s">
        <v>274</v>
      </c>
      <c r="L6808" s="912"/>
      <c r="M6808" s="912"/>
      <c r="N6808" s="912"/>
      <c r="O6808" s="892">
        <f t="shared" si="485"/>
        <v>0</v>
      </c>
      <c r="P6808" s="903">
        <f t="shared" si="487"/>
        <v>1</v>
      </c>
      <c r="Q6808" s="893">
        <f t="shared" si="488"/>
        <v>6</v>
      </c>
      <c r="R6808" s="894">
        <f t="shared" si="489"/>
        <v>0</v>
      </c>
    </row>
    <row r="6809" spans="1:18">
      <c r="A6809" s="905"/>
      <c r="B6809" s="906"/>
      <c r="C6809" s="907">
        <v>65</v>
      </c>
      <c r="D6809" s="907" t="s">
        <v>279</v>
      </c>
      <c r="E6809" s="925" t="s">
        <v>5983</v>
      </c>
      <c r="F6809" s="926" t="s">
        <v>3144</v>
      </c>
      <c r="G6809" s="910"/>
      <c r="H6809" s="911">
        <v>1</v>
      </c>
      <c r="I6809" s="912">
        <f>VLOOKUP(E6809,[3]VLP!$B$7:$K$300,10,0)</f>
        <v>14000</v>
      </c>
      <c r="J6809" s="912">
        <f t="shared" si="492"/>
        <v>14000</v>
      </c>
      <c r="K6809" s="912" t="s">
        <v>274</v>
      </c>
      <c r="L6809" s="912"/>
      <c r="M6809" s="912"/>
      <c r="N6809" s="912"/>
      <c r="O6809" s="892">
        <f t="shared" si="485"/>
        <v>0</v>
      </c>
      <c r="P6809" s="903">
        <f t="shared" si="487"/>
        <v>1</v>
      </c>
      <c r="Q6809" s="893">
        <f t="shared" si="488"/>
        <v>5</v>
      </c>
      <c r="R6809" s="894">
        <f t="shared" si="489"/>
        <v>0</v>
      </c>
    </row>
    <row r="6810" spans="1:18">
      <c r="A6810" s="905"/>
      <c r="B6810" s="906"/>
      <c r="C6810" s="907">
        <v>89</v>
      </c>
      <c r="D6810" s="907" t="s">
        <v>279</v>
      </c>
      <c r="E6810" s="925" t="s">
        <v>5984</v>
      </c>
      <c r="F6810" s="926" t="s">
        <v>45</v>
      </c>
      <c r="G6810" s="910"/>
      <c r="H6810" s="911">
        <v>0.15</v>
      </c>
      <c r="I6810" s="912">
        <f>VLOOKUP(E6810,[3]VLP!$B$7:$K$300,10,0)</f>
        <v>1000</v>
      </c>
      <c r="J6810" s="912">
        <f t="shared" si="492"/>
        <v>150</v>
      </c>
      <c r="K6810" s="912" t="s">
        <v>274</v>
      </c>
      <c r="L6810" s="912"/>
      <c r="M6810" s="912"/>
      <c r="N6810" s="912"/>
      <c r="O6810" s="892">
        <f t="shared" si="485"/>
        <v>0</v>
      </c>
      <c r="P6810" s="903">
        <f t="shared" si="487"/>
        <v>1</v>
      </c>
      <c r="Q6810" s="893">
        <f t="shared" si="488"/>
        <v>4</v>
      </c>
      <c r="R6810" s="894">
        <f t="shared" si="489"/>
        <v>0</v>
      </c>
    </row>
    <row r="6811" spans="1:18">
      <c r="A6811" s="905"/>
      <c r="B6811" s="906"/>
      <c r="C6811" s="907">
        <v>699</v>
      </c>
      <c r="D6811" s="907" t="s">
        <v>279</v>
      </c>
      <c r="E6811" s="925" t="s">
        <v>4006</v>
      </c>
      <c r="F6811" s="926" t="s">
        <v>4007</v>
      </c>
      <c r="G6811" s="910"/>
      <c r="H6811" s="911">
        <v>5</v>
      </c>
      <c r="I6811" s="912">
        <f>VLOOKUP(E6811,[3]VLP!$B$7:$K$300,10,0)</f>
        <v>5000</v>
      </c>
      <c r="J6811" s="912">
        <f t="shared" si="492"/>
        <v>25000</v>
      </c>
      <c r="K6811" s="912" t="s">
        <v>274</v>
      </c>
      <c r="L6811" s="912"/>
      <c r="M6811" s="912"/>
      <c r="N6811" s="912"/>
      <c r="O6811" s="892">
        <f t="shared" si="485"/>
        <v>0</v>
      </c>
      <c r="P6811" s="903">
        <f t="shared" si="487"/>
        <v>1</v>
      </c>
      <c r="Q6811" s="893">
        <f t="shared" si="488"/>
        <v>3</v>
      </c>
      <c r="R6811" s="894">
        <f t="shared" si="489"/>
        <v>0</v>
      </c>
    </row>
    <row r="6812" spans="1:18" s="904" customFormat="1">
      <c r="A6812" s="895"/>
      <c r="B6812" s="896"/>
      <c r="C6812" s="897"/>
      <c r="D6812" s="897"/>
      <c r="E6812" s="924" t="s">
        <v>276</v>
      </c>
      <c r="F6812" s="927"/>
      <c r="G6812" s="928"/>
      <c r="H6812" s="901"/>
      <c r="I6812" s="902"/>
      <c r="J6812" s="902"/>
      <c r="K6812" s="912" t="s">
        <v>274</v>
      </c>
      <c r="L6812" s="902"/>
      <c r="M6812" s="902"/>
      <c r="N6812" s="902"/>
      <c r="O6812" s="892">
        <f t="shared" si="485"/>
        <v>0</v>
      </c>
      <c r="P6812" s="903">
        <f t="shared" si="487"/>
        <v>1</v>
      </c>
      <c r="Q6812" s="893">
        <f t="shared" si="488"/>
        <v>2</v>
      </c>
      <c r="R6812" s="894">
        <f t="shared" si="489"/>
        <v>0</v>
      </c>
    </row>
    <row r="6813" spans="1:18">
      <c r="A6813" s="905"/>
      <c r="B6813" s="906"/>
      <c r="C6813" s="907">
        <v>745</v>
      </c>
      <c r="D6813" s="907" t="s">
        <v>12</v>
      </c>
      <c r="E6813" s="908" t="s">
        <v>5518</v>
      </c>
      <c r="F6813" s="909" t="s">
        <v>2674</v>
      </c>
      <c r="G6813" s="910"/>
      <c r="H6813" s="911">
        <v>8.77</v>
      </c>
      <c r="I6813" s="912"/>
      <c r="J6813" s="912"/>
      <c r="K6813" s="912">
        <f>VLOOKUP(E6813,[5]ĐMNC!$A$7:$F$67,4,0)</f>
        <v>240557</v>
      </c>
      <c r="L6813" s="912">
        <f>H6813*K6813</f>
        <v>2109684.8899999997</v>
      </c>
      <c r="M6813" s="912"/>
      <c r="N6813" s="912"/>
      <c r="O6813" s="892">
        <f t="shared" si="485"/>
        <v>0</v>
      </c>
      <c r="P6813" s="903">
        <f t="shared" si="487"/>
        <v>1</v>
      </c>
      <c r="Q6813" s="893">
        <f t="shared" si="488"/>
        <v>1</v>
      </c>
      <c r="R6813" s="894">
        <f t="shared" si="489"/>
        <v>0</v>
      </c>
    </row>
    <row r="6814" spans="1:18" s="847" customFormat="1" ht="35.25" customHeight="1">
      <c r="A6814" s="905"/>
      <c r="B6814" s="914" t="s">
        <v>6023</v>
      </c>
      <c r="C6814" s="915"/>
      <c r="D6814" s="915"/>
      <c r="E6814" s="916" t="s">
        <v>6024</v>
      </c>
      <c r="F6814" s="917" t="s">
        <v>5834</v>
      </c>
      <c r="G6814" s="944"/>
      <c r="H6814" s="919"/>
      <c r="I6814" s="920"/>
      <c r="J6814" s="891">
        <f>SUM(J6815:J6828)</f>
        <v>665533</v>
      </c>
      <c r="K6814" s="891" t="s">
        <v>274</v>
      </c>
      <c r="L6814" s="891">
        <f>SUM(L6815:L6828)</f>
        <v>2530659.6399999997</v>
      </c>
      <c r="M6814" s="891"/>
      <c r="N6814" s="891">
        <f>SUM(N6815:N6828)</f>
        <v>0</v>
      </c>
      <c r="O6814" s="892">
        <f t="shared" si="485"/>
        <v>1</v>
      </c>
      <c r="P6814" s="903">
        <f t="shared" si="487"/>
        <v>0</v>
      </c>
      <c r="Q6814" s="893">
        <f t="shared" si="488"/>
        <v>0</v>
      </c>
      <c r="R6814" s="894">
        <f t="shared" si="489"/>
        <v>14</v>
      </c>
    </row>
    <row r="6815" spans="1:18" s="904" customFormat="1">
      <c r="A6815" s="895"/>
      <c r="B6815" s="896"/>
      <c r="C6815" s="897"/>
      <c r="D6815" s="897"/>
      <c r="E6815" s="898" t="s">
        <v>108</v>
      </c>
      <c r="F6815" s="899"/>
      <c r="G6815" s="928"/>
      <c r="H6815" s="901"/>
      <c r="I6815" s="902"/>
      <c r="J6815" s="902"/>
      <c r="K6815" s="912" t="s">
        <v>274</v>
      </c>
      <c r="L6815" s="902"/>
      <c r="M6815" s="902"/>
      <c r="N6815" s="902"/>
      <c r="O6815" s="892">
        <f t="shared" ref="O6815:O6878" si="493">IF(AND(B6815&lt;&gt;"",D6815=""),1,0)</f>
        <v>0</v>
      </c>
      <c r="P6815" s="903">
        <f t="shared" si="487"/>
        <v>1</v>
      </c>
      <c r="Q6815" s="893">
        <f t="shared" si="488"/>
        <v>14</v>
      </c>
      <c r="R6815" s="894">
        <f t="shared" si="489"/>
        <v>0</v>
      </c>
    </row>
    <row r="6816" spans="1:18">
      <c r="A6816" s="905"/>
      <c r="B6816" s="906"/>
      <c r="C6816" s="907">
        <v>100</v>
      </c>
      <c r="D6816" s="907" t="s">
        <v>279</v>
      </c>
      <c r="E6816" s="925" t="s">
        <v>5875</v>
      </c>
      <c r="F6816" s="909" t="s">
        <v>51</v>
      </c>
      <c r="G6816" s="910"/>
      <c r="H6816" s="911">
        <v>1</v>
      </c>
      <c r="I6816" s="912">
        <f>VLOOKUP(E6816,[3]VLP!$B$7:$K$300,10,0)</f>
        <v>81120</v>
      </c>
      <c r="J6816" s="912">
        <f t="shared" ref="J6816:J6826" si="494">I6816*H6816</f>
        <v>81120</v>
      </c>
      <c r="K6816" s="912" t="s">
        <v>274</v>
      </c>
      <c r="L6816" s="912"/>
      <c r="M6816" s="912"/>
      <c r="N6816" s="912"/>
      <c r="O6816" s="892">
        <f t="shared" si="493"/>
        <v>0</v>
      </c>
      <c r="P6816" s="903">
        <f t="shared" si="487"/>
        <v>1</v>
      </c>
      <c r="Q6816" s="893">
        <f t="shared" si="488"/>
        <v>13</v>
      </c>
      <c r="R6816" s="894">
        <f t="shared" si="489"/>
        <v>0</v>
      </c>
    </row>
    <row r="6817" spans="1:18">
      <c r="A6817" s="905"/>
      <c r="B6817" s="906"/>
      <c r="C6817" s="907">
        <v>49</v>
      </c>
      <c r="D6817" s="907" t="s">
        <v>279</v>
      </c>
      <c r="E6817" s="925" t="s">
        <v>5698</v>
      </c>
      <c r="F6817" s="909" t="s">
        <v>139</v>
      </c>
      <c r="G6817" s="910"/>
      <c r="H6817" s="911">
        <v>2</v>
      </c>
      <c r="I6817" s="912">
        <f>VLOOKUP(E6817,[3]VLP!$B$7:$K$300,10,0)</f>
        <v>3000</v>
      </c>
      <c r="J6817" s="912">
        <f t="shared" si="494"/>
        <v>6000</v>
      </c>
      <c r="K6817" s="912" t="s">
        <v>274</v>
      </c>
      <c r="L6817" s="912"/>
      <c r="M6817" s="912"/>
      <c r="N6817" s="912"/>
      <c r="O6817" s="892">
        <f t="shared" si="493"/>
        <v>0</v>
      </c>
      <c r="P6817" s="903">
        <f t="shared" si="487"/>
        <v>1</v>
      </c>
      <c r="Q6817" s="893">
        <f t="shared" si="488"/>
        <v>12</v>
      </c>
      <c r="R6817" s="894">
        <f t="shared" si="489"/>
        <v>0</v>
      </c>
    </row>
    <row r="6818" spans="1:18">
      <c r="A6818" s="905"/>
      <c r="B6818" s="906"/>
      <c r="C6818" s="907">
        <v>50</v>
      </c>
      <c r="D6818" s="907" t="s">
        <v>279</v>
      </c>
      <c r="E6818" s="925" t="s">
        <v>5836</v>
      </c>
      <c r="F6818" s="909" t="s">
        <v>49</v>
      </c>
      <c r="G6818" s="910"/>
      <c r="H6818" s="911">
        <v>4</v>
      </c>
      <c r="I6818" s="912">
        <f>VLOOKUP(E6818,[3]VLP!$B$7:$K$300,10,0)</f>
        <v>85790</v>
      </c>
      <c r="J6818" s="912">
        <f t="shared" si="494"/>
        <v>343160</v>
      </c>
      <c r="K6818" s="912" t="s">
        <v>274</v>
      </c>
      <c r="L6818" s="912"/>
      <c r="M6818" s="912"/>
      <c r="N6818" s="912"/>
      <c r="O6818" s="892">
        <f t="shared" si="493"/>
        <v>0</v>
      </c>
      <c r="P6818" s="903">
        <f t="shared" si="487"/>
        <v>1</v>
      </c>
      <c r="Q6818" s="893">
        <f t="shared" si="488"/>
        <v>11</v>
      </c>
      <c r="R6818" s="894">
        <f t="shared" si="489"/>
        <v>0</v>
      </c>
    </row>
    <row r="6819" spans="1:18">
      <c r="A6819" s="905"/>
      <c r="B6819" s="906"/>
      <c r="C6819" s="907">
        <v>46</v>
      </c>
      <c r="D6819" s="907" t="s">
        <v>279</v>
      </c>
      <c r="E6819" s="925" t="s">
        <v>3179</v>
      </c>
      <c r="F6819" s="909" t="s">
        <v>45</v>
      </c>
      <c r="G6819" s="910"/>
      <c r="H6819" s="911">
        <v>7.2</v>
      </c>
      <c r="I6819" s="912">
        <f>VLOOKUP(E6819,[3]VLP!$B$7:$K$300,10,0)</f>
        <v>20500</v>
      </c>
      <c r="J6819" s="912">
        <f t="shared" si="494"/>
        <v>147600</v>
      </c>
      <c r="K6819" s="912" t="s">
        <v>274</v>
      </c>
      <c r="L6819" s="912"/>
      <c r="M6819" s="912"/>
      <c r="N6819" s="912"/>
      <c r="O6819" s="892">
        <f t="shared" si="493"/>
        <v>0</v>
      </c>
      <c r="P6819" s="903">
        <f t="shared" si="487"/>
        <v>1</v>
      </c>
      <c r="Q6819" s="893">
        <f t="shared" si="488"/>
        <v>10</v>
      </c>
      <c r="R6819" s="894">
        <f t="shared" si="489"/>
        <v>0</v>
      </c>
    </row>
    <row r="6820" spans="1:18">
      <c r="A6820" s="905"/>
      <c r="B6820" s="906"/>
      <c r="C6820" s="907">
        <v>25</v>
      </c>
      <c r="D6820" s="907" t="s">
        <v>279</v>
      </c>
      <c r="E6820" s="925" t="s">
        <v>5656</v>
      </c>
      <c r="F6820" s="926" t="s">
        <v>2690</v>
      </c>
      <c r="G6820" s="910"/>
      <c r="H6820" s="911">
        <v>1.8</v>
      </c>
      <c r="I6820" s="912">
        <f>VLOOKUP(E6820,[3]VLP!$B$7:$K$300,10,0)</f>
        <v>5000</v>
      </c>
      <c r="J6820" s="912">
        <f t="shared" si="494"/>
        <v>9000</v>
      </c>
      <c r="K6820" s="912" t="s">
        <v>274</v>
      </c>
      <c r="L6820" s="912"/>
      <c r="M6820" s="912"/>
      <c r="N6820" s="912"/>
      <c r="O6820" s="892">
        <f t="shared" si="493"/>
        <v>0</v>
      </c>
      <c r="P6820" s="903">
        <f t="shared" si="487"/>
        <v>1</v>
      </c>
      <c r="Q6820" s="893">
        <f t="shared" si="488"/>
        <v>9</v>
      </c>
      <c r="R6820" s="894">
        <f t="shared" si="489"/>
        <v>0</v>
      </c>
    </row>
    <row r="6821" spans="1:18">
      <c r="A6821" s="905"/>
      <c r="B6821" s="906"/>
      <c r="C6821" s="907">
        <v>127</v>
      </c>
      <c r="D6821" s="907" t="s">
        <v>279</v>
      </c>
      <c r="E6821" s="925" t="s">
        <v>5657</v>
      </c>
      <c r="F6821" s="909" t="s">
        <v>45</v>
      </c>
      <c r="G6821" s="910"/>
      <c r="H6821" s="911">
        <v>0.6</v>
      </c>
      <c r="I6821" s="912">
        <f>VLOOKUP(E6821,[3]VLP!$B$7:$K$300,10,0)</f>
        <v>25155</v>
      </c>
      <c r="J6821" s="912">
        <f t="shared" si="494"/>
        <v>15093</v>
      </c>
      <c r="K6821" s="912" t="s">
        <v>274</v>
      </c>
      <c r="L6821" s="912"/>
      <c r="M6821" s="912"/>
      <c r="N6821" s="912"/>
      <c r="O6821" s="892">
        <f t="shared" si="493"/>
        <v>0</v>
      </c>
      <c r="P6821" s="903">
        <f t="shared" si="487"/>
        <v>1</v>
      </c>
      <c r="Q6821" s="893">
        <f t="shared" si="488"/>
        <v>8</v>
      </c>
      <c r="R6821" s="894">
        <f t="shared" si="489"/>
        <v>0</v>
      </c>
    </row>
    <row r="6822" spans="1:18">
      <c r="A6822" s="905"/>
      <c r="B6822" s="906"/>
      <c r="C6822" s="907">
        <v>44</v>
      </c>
      <c r="D6822" s="907" t="s">
        <v>279</v>
      </c>
      <c r="E6822" s="925" t="s">
        <v>2681</v>
      </c>
      <c r="F6822" s="926" t="s">
        <v>45</v>
      </c>
      <c r="G6822" s="910"/>
      <c r="H6822" s="911">
        <v>0.86</v>
      </c>
      <c r="I6822" s="912">
        <f>VLOOKUP(E6822,[3]VLP!$B$7:$K$300,10,0)</f>
        <v>23000</v>
      </c>
      <c r="J6822" s="912">
        <f t="shared" si="494"/>
        <v>19780</v>
      </c>
      <c r="K6822" s="912" t="s">
        <v>274</v>
      </c>
      <c r="L6822" s="912"/>
      <c r="M6822" s="912"/>
      <c r="N6822" s="912"/>
      <c r="O6822" s="892">
        <f t="shared" si="493"/>
        <v>0</v>
      </c>
      <c r="P6822" s="903">
        <f t="shared" si="487"/>
        <v>1</v>
      </c>
      <c r="Q6822" s="893">
        <f t="shared" si="488"/>
        <v>7</v>
      </c>
      <c r="R6822" s="894">
        <f t="shared" si="489"/>
        <v>0</v>
      </c>
    </row>
    <row r="6823" spans="1:18">
      <c r="A6823" s="905"/>
      <c r="B6823" s="906"/>
      <c r="C6823" s="907">
        <v>66</v>
      </c>
      <c r="D6823" s="907" t="s">
        <v>279</v>
      </c>
      <c r="E6823" s="925" t="s">
        <v>2682</v>
      </c>
      <c r="F6823" s="926" t="s">
        <v>45</v>
      </c>
      <c r="G6823" s="910"/>
      <c r="H6823" s="911">
        <v>0.36</v>
      </c>
      <c r="I6823" s="912">
        <f>VLOOKUP(E6823,[3]VLP!$B$7:$K$300,10,0)</f>
        <v>5000</v>
      </c>
      <c r="J6823" s="912">
        <f t="shared" si="494"/>
        <v>1800</v>
      </c>
      <c r="K6823" s="912" t="s">
        <v>274</v>
      </c>
      <c r="L6823" s="912"/>
      <c r="M6823" s="912"/>
      <c r="N6823" s="912"/>
      <c r="O6823" s="892">
        <f t="shared" si="493"/>
        <v>0</v>
      </c>
      <c r="P6823" s="903">
        <f t="shared" si="487"/>
        <v>1</v>
      </c>
      <c r="Q6823" s="893">
        <f t="shared" si="488"/>
        <v>6</v>
      </c>
      <c r="R6823" s="894">
        <f t="shared" si="489"/>
        <v>0</v>
      </c>
    </row>
    <row r="6824" spans="1:18">
      <c r="A6824" s="905"/>
      <c r="B6824" s="906"/>
      <c r="C6824" s="907">
        <v>65</v>
      </c>
      <c r="D6824" s="907" t="s">
        <v>279</v>
      </c>
      <c r="E6824" s="925" t="s">
        <v>5983</v>
      </c>
      <c r="F6824" s="926" t="s">
        <v>3144</v>
      </c>
      <c r="G6824" s="910"/>
      <c r="H6824" s="911">
        <v>1.2</v>
      </c>
      <c r="I6824" s="912">
        <f>VLOOKUP(E6824,[3]VLP!$B$7:$K$300,10,0)</f>
        <v>14000</v>
      </c>
      <c r="J6824" s="912">
        <f t="shared" si="494"/>
        <v>16800</v>
      </c>
      <c r="K6824" s="912" t="s">
        <v>274</v>
      </c>
      <c r="L6824" s="912"/>
      <c r="M6824" s="912"/>
      <c r="N6824" s="912"/>
      <c r="O6824" s="892">
        <f t="shared" si="493"/>
        <v>0</v>
      </c>
      <c r="P6824" s="903">
        <f t="shared" ref="P6824:P6887" si="495">IF(O6824=0,1,0)</f>
        <v>1</v>
      </c>
      <c r="Q6824" s="893">
        <f t="shared" ref="Q6824:Q6887" si="496">IF(P6824=0,0,P6824+Q6825)</f>
        <v>5</v>
      </c>
      <c r="R6824" s="894">
        <f t="shared" ref="R6824:R6887" si="497">IF(Q6824=0,Q6825,0)</f>
        <v>0</v>
      </c>
    </row>
    <row r="6825" spans="1:18">
      <c r="A6825" s="905"/>
      <c r="B6825" s="906"/>
      <c r="C6825" s="907">
        <v>89</v>
      </c>
      <c r="D6825" s="907" t="s">
        <v>279</v>
      </c>
      <c r="E6825" s="925" t="s">
        <v>5984</v>
      </c>
      <c r="F6825" s="926" t="s">
        <v>45</v>
      </c>
      <c r="G6825" s="910"/>
      <c r="H6825" s="911">
        <v>0.18</v>
      </c>
      <c r="I6825" s="912">
        <f>VLOOKUP(E6825,[3]VLP!$B$7:$K$300,10,0)</f>
        <v>1000</v>
      </c>
      <c r="J6825" s="912">
        <f t="shared" si="494"/>
        <v>180</v>
      </c>
      <c r="K6825" s="912" t="s">
        <v>274</v>
      </c>
      <c r="L6825" s="912"/>
      <c r="M6825" s="912"/>
      <c r="N6825" s="912"/>
      <c r="O6825" s="892">
        <f t="shared" si="493"/>
        <v>0</v>
      </c>
      <c r="P6825" s="903">
        <f t="shared" si="495"/>
        <v>1</v>
      </c>
      <c r="Q6825" s="893">
        <f t="shared" si="496"/>
        <v>4</v>
      </c>
      <c r="R6825" s="894">
        <f t="shared" si="497"/>
        <v>0</v>
      </c>
    </row>
    <row r="6826" spans="1:18">
      <c r="A6826" s="905"/>
      <c r="B6826" s="906"/>
      <c r="C6826" s="907">
        <v>699</v>
      </c>
      <c r="D6826" s="907" t="s">
        <v>279</v>
      </c>
      <c r="E6826" s="925" t="s">
        <v>4006</v>
      </c>
      <c r="F6826" s="926" t="s">
        <v>4007</v>
      </c>
      <c r="G6826" s="910"/>
      <c r="H6826" s="911">
        <v>5</v>
      </c>
      <c r="I6826" s="912">
        <f>VLOOKUP(E6826,[3]VLP!$B$7:$K$300,10,0)</f>
        <v>5000</v>
      </c>
      <c r="J6826" s="912">
        <f t="shared" si="494"/>
        <v>25000</v>
      </c>
      <c r="K6826" s="912" t="s">
        <v>274</v>
      </c>
      <c r="L6826" s="912"/>
      <c r="M6826" s="912"/>
      <c r="N6826" s="912"/>
      <c r="O6826" s="892">
        <f t="shared" si="493"/>
        <v>0</v>
      </c>
      <c r="P6826" s="903">
        <f t="shared" si="495"/>
        <v>1</v>
      </c>
      <c r="Q6826" s="893">
        <f t="shared" si="496"/>
        <v>3</v>
      </c>
      <c r="R6826" s="894">
        <f t="shared" si="497"/>
        <v>0</v>
      </c>
    </row>
    <row r="6827" spans="1:18" s="904" customFormat="1">
      <c r="A6827" s="895"/>
      <c r="B6827" s="896"/>
      <c r="C6827" s="897"/>
      <c r="D6827" s="897"/>
      <c r="E6827" s="924" t="s">
        <v>276</v>
      </c>
      <c r="F6827" s="927"/>
      <c r="G6827" s="928"/>
      <c r="H6827" s="901"/>
      <c r="I6827" s="902"/>
      <c r="J6827" s="902"/>
      <c r="K6827" s="912" t="s">
        <v>274</v>
      </c>
      <c r="L6827" s="902"/>
      <c r="M6827" s="902"/>
      <c r="N6827" s="902"/>
      <c r="O6827" s="892">
        <f t="shared" si="493"/>
        <v>0</v>
      </c>
      <c r="P6827" s="903">
        <f t="shared" si="495"/>
        <v>1</v>
      </c>
      <c r="Q6827" s="893">
        <f t="shared" si="496"/>
        <v>2</v>
      </c>
      <c r="R6827" s="894">
        <f t="shared" si="497"/>
        <v>0</v>
      </c>
    </row>
    <row r="6828" spans="1:18">
      <c r="A6828" s="905"/>
      <c r="B6828" s="906"/>
      <c r="C6828" s="907">
        <v>745</v>
      </c>
      <c r="D6828" s="907" t="s">
        <v>12</v>
      </c>
      <c r="E6828" s="908" t="s">
        <v>5518</v>
      </c>
      <c r="F6828" s="909" t="s">
        <v>2674</v>
      </c>
      <c r="G6828" s="910"/>
      <c r="H6828" s="911">
        <v>10.52</v>
      </c>
      <c r="I6828" s="912"/>
      <c r="J6828" s="912"/>
      <c r="K6828" s="912">
        <f>VLOOKUP(E6828,[5]ĐMNC!$A$7:$F$67,4,0)</f>
        <v>240557</v>
      </c>
      <c r="L6828" s="912">
        <f>H6828*K6828</f>
        <v>2530659.6399999997</v>
      </c>
      <c r="M6828" s="912"/>
      <c r="N6828" s="912"/>
      <c r="O6828" s="892">
        <f t="shared" si="493"/>
        <v>0</v>
      </c>
      <c r="P6828" s="903">
        <f t="shared" si="495"/>
        <v>1</v>
      </c>
      <c r="Q6828" s="893">
        <f t="shared" si="496"/>
        <v>1</v>
      </c>
      <c r="R6828" s="894">
        <f t="shared" si="497"/>
        <v>0</v>
      </c>
    </row>
    <row r="6829" spans="1:18" s="847" customFormat="1" ht="35.25" customHeight="1">
      <c r="A6829" s="905" t="s">
        <v>5955</v>
      </c>
      <c r="B6829" s="914" t="s">
        <v>6025</v>
      </c>
      <c r="C6829" s="915"/>
      <c r="D6829" s="915"/>
      <c r="E6829" s="916" t="s">
        <v>6026</v>
      </c>
      <c r="F6829" s="917" t="s">
        <v>5834</v>
      </c>
      <c r="G6829" s="944"/>
      <c r="H6829" s="919"/>
      <c r="I6829" s="920"/>
      <c r="J6829" s="891">
        <f>SUM(J6830:J6843)</f>
        <v>543417.5</v>
      </c>
      <c r="K6829" s="891" t="s">
        <v>274</v>
      </c>
      <c r="L6829" s="891">
        <f>SUM(L6830:L6843)</f>
        <v>1691115.71</v>
      </c>
      <c r="M6829" s="891"/>
      <c r="N6829" s="891">
        <f>SUM(N6830:N6843)</f>
        <v>0</v>
      </c>
      <c r="O6829" s="892">
        <f t="shared" si="493"/>
        <v>1</v>
      </c>
      <c r="P6829" s="903">
        <f t="shared" si="495"/>
        <v>0</v>
      </c>
      <c r="Q6829" s="893">
        <f t="shared" si="496"/>
        <v>0</v>
      </c>
      <c r="R6829" s="894">
        <f t="shared" si="497"/>
        <v>14</v>
      </c>
    </row>
    <row r="6830" spans="1:18" s="904" customFormat="1">
      <c r="A6830" s="895"/>
      <c r="B6830" s="896"/>
      <c r="C6830" s="897"/>
      <c r="D6830" s="897"/>
      <c r="E6830" s="898" t="s">
        <v>108</v>
      </c>
      <c r="F6830" s="899"/>
      <c r="G6830" s="928"/>
      <c r="H6830" s="901"/>
      <c r="I6830" s="902"/>
      <c r="J6830" s="902"/>
      <c r="K6830" s="912" t="s">
        <v>274</v>
      </c>
      <c r="L6830" s="902"/>
      <c r="M6830" s="902"/>
      <c r="N6830" s="902"/>
      <c r="O6830" s="892">
        <f t="shared" si="493"/>
        <v>0</v>
      </c>
      <c r="P6830" s="903">
        <f t="shared" si="495"/>
        <v>1</v>
      </c>
      <c r="Q6830" s="893">
        <f t="shared" si="496"/>
        <v>14</v>
      </c>
      <c r="R6830" s="894">
        <f t="shared" si="497"/>
        <v>0</v>
      </c>
    </row>
    <row r="6831" spans="1:18">
      <c r="A6831" s="905"/>
      <c r="B6831" s="906"/>
      <c r="C6831" s="907">
        <v>94</v>
      </c>
      <c r="D6831" s="907" t="s">
        <v>279</v>
      </c>
      <c r="E6831" s="925" t="s">
        <v>5857</v>
      </c>
      <c r="F6831" s="909" t="s">
        <v>51</v>
      </c>
      <c r="G6831" s="910"/>
      <c r="H6831" s="911">
        <v>1</v>
      </c>
      <c r="I6831" s="912">
        <f>VLOOKUP(E6831,[3]VLP!$B$7:$K$300,10,0)</f>
        <v>20280</v>
      </c>
      <c r="J6831" s="912">
        <f t="shared" ref="J6831:J6841" si="498">I6831*H6831</f>
        <v>20280</v>
      </c>
      <c r="K6831" s="912" t="s">
        <v>274</v>
      </c>
      <c r="L6831" s="912"/>
      <c r="M6831" s="912"/>
      <c r="N6831" s="912"/>
      <c r="O6831" s="892">
        <f t="shared" si="493"/>
        <v>0</v>
      </c>
      <c r="P6831" s="903">
        <f t="shared" si="495"/>
        <v>1</v>
      </c>
      <c r="Q6831" s="893">
        <f t="shared" si="496"/>
        <v>13</v>
      </c>
      <c r="R6831" s="894">
        <f t="shared" si="497"/>
        <v>0</v>
      </c>
    </row>
    <row r="6832" spans="1:18">
      <c r="A6832" s="905"/>
      <c r="B6832" s="906"/>
      <c r="C6832" s="907">
        <v>49</v>
      </c>
      <c r="D6832" s="907" t="s">
        <v>279</v>
      </c>
      <c r="E6832" s="925" t="s">
        <v>5698</v>
      </c>
      <c r="F6832" s="909" t="s">
        <v>139</v>
      </c>
      <c r="G6832" s="910"/>
      <c r="H6832" s="911">
        <v>2</v>
      </c>
      <c r="I6832" s="912">
        <f>VLOOKUP(E6832,[3]VLP!$B$7:$K$300,10,0)</f>
        <v>3000</v>
      </c>
      <c r="J6832" s="912">
        <f t="shared" si="498"/>
        <v>6000</v>
      </c>
      <c r="K6832" s="912" t="s">
        <v>274</v>
      </c>
      <c r="L6832" s="912"/>
      <c r="M6832" s="912"/>
      <c r="N6832" s="912"/>
      <c r="O6832" s="892">
        <f t="shared" si="493"/>
        <v>0</v>
      </c>
      <c r="P6832" s="903">
        <f t="shared" si="495"/>
        <v>1</v>
      </c>
      <c r="Q6832" s="893">
        <f t="shared" si="496"/>
        <v>12</v>
      </c>
      <c r="R6832" s="894">
        <f t="shared" si="497"/>
        <v>0</v>
      </c>
    </row>
    <row r="6833" spans="1:18">
      <c r="A6833" s="905"/>
      <c r="B6833" s="906"/>
      <c r="C6833" s="907">
        <v>50</v>
      </c>
      <c r="D6833" s="907" t="s">
        <v>279</v>
      </c>
      <c r="E6833" s="925" t="s">
        <v>5836</v>
      </c>
      <c r="F6833" s="909" t="s">
        <v>49</v>
      </c>
      <c r="G6833" s="910"/>
      <c r="H6833" s="911">
        <v>4</v>
      </c>
      <c r="I6833" s="912">
        <f>VLOOKUP(E6833,[3]VLP!$B$7:$K$300,10,0)</f>
        <v>85790</v>
      </c>
      <c r="J6833" s="912">
        <f t="shared" si="498"/>
        <v>343160</v>
      </c>
      <c r="K6833" s="912" t="s">
        <v>274</v>
      </c>
      <c r="L6833" s="912"/>
      <c r="M6833" s="912"/>
      <c r="N6833" s="912"/>
      <c r="O6833" s="892">
        <f t="shared" si="493"/>
        <v>0</v>
      </c>
      <c r="P6833" s="903">
        <f t="shared" si="495"/>
        <v>1</v>
      </c>
      <c r="Q6833" s="893">
        <f t="shared" si="496"/>
        <v>11</v>
      </c>
      <c r="R6833" s="894">
        <f t="shared" si="497"/>
        <v>0</v>
      </c>
    </row>
    <row r="6834" spans="1:18">
      <c r="A6834" s="905"/>
      <c r="B6834" s="906"/>
      <c r="C6834" s="907">
        <v>46</v>
      </c>
      <c r="D6834" s="907" t="s">
        <v>279</v>
      </c>
      <c r="E6834" s="925" t="s">
        <v>3179</v>
      </c>
      <c r="F6834" s="909" t="s">
        <v>45</v>
      </c>
      <c r="G6834" s="910"/>
      <c r="H6834" s="911">
        <v>5</v>
      </c>
      <c r="I6834" s="912">
        <f>VLOOKUP(E6834,[3]VLP!$B$7:$K$300,10,0)</f>
        <v>20500</v>
      </c>
      <c r="J6834" s="912">
        <f t="shared" si="498"/>
        <v>102500</v>
      </c>
      <c r="K6834" s="912" t="s">
        <v>274</v>
      </c>
      <c r="L6834" s="912"/>
      <c r="M6834" s="912"/>
      <c r="N6834" s="912"/>
      <c r="O6834" s="892">
        <f t="shared" si="493"/>
        <v>0</v>
      </c>
      <c r="P6834" s="903">
        <f t="shared" si="495"/>
        <v>1</v>
      </c>
      <c r="Q6834" s="893">
        <f t="shared" si="496"/>
        <v>10</v>
      </c>
      <c r="R6834" s="894">
        <f t="shared" si="497"/>
        <v>0</v>
      </c>
    </row>
    <row r="6835" spans="1:18">
      <c r="A6835" s="905"/>
      <c r="B6835" s="906"/>
      <c r="C6835" s="907">
        <v>25</v>
      </c>
      <c r="D6835" s="907" t="s">
        <v>279</v>
      </c>
      <c r="E6835" s="925" t="s">
        <v>5656</v>
      </c>
      <c r="F6835" s="926" t="s">
        <v>2690</v>
      </c>
      <c r="G6835" s="910"/>
      <c r="H6835" s="911">
        <v>1</v>
      </c>
      <c r="I6835" s="912">
        <f>VLOOKUP(E6835,[3]VLP!$B$7:$K$300,10,0)</f>
        <v>5000</v>
      </c>
      <c r="J6835" s="912">
        <f t="shared" si="498"/>
        <v>5000</v>
      </c>
      <c r="K6835" s="912" t="s">
        <v>274</v>
      </c>
      <c r="L6835" s="912"/>
      <c r="M6835" s="912"/>
      <c r="N6835" s="912"/>
      <c r="O6835" s="892">
        <f t="shared" si="493"/>
        <v>0</v>
      </c>
      <c r="P6835" s="903">
        <f t="shared" si="495"/>
        <v>1</v>
      </c>
      <c r="Q6835" s="893">
        <f t="shared" si="496"/>
        <v>9</v>
      </c>
      <c r="R6835" s="894">
        <f t="shared" si="497"/>
        <v>0</v>
      </c>
    </row>
    <row r="6836" spans="1:18">
      <c r="A6836" s="905"/>
      <c r="B6836" s="906"/>
      <c r="C6836" s="907">
        <v>127</v>
      </c>
      <c r="D6836" s="907" t="s">
        <v>279</v>
      </c>
      <c r="E6836" s="925" t="s">
        <v>5657</v>
      </c>
      <c r="F6836" s="909" t="s">
        <v>45</v>
      </c>
      <c r="G6836" s="910"/>
      <c r="H6836" s="911">
        <v>0.5</v>
      </c>
      <c r="I6836" s="912">
        <f>VLOOKUP(E6836,[3]VLP!$B$7:$K$300,10,0)</f>
        <v>25155</v>
      </c>
      <c r="J6836" s="912">
        <f t="shared" si="498"/>
        <v>12577.5</v>
      </c>
      <c r="K6836" s="912" t="s">
        <v>274</v>
      </c>
      <c r="L6836" s="912"/>
      <c r="M6836" s="912"/>
      <c r="N6836" s="912"/>
      <c r="O6836" s="892">
        <f t="shared" si="493"/>
        <v>0</v>
      </c>
      <c r="P6836" s="903">
        <f t="shared" si="495"/>
        <v>1</v>
      </c>
      <c r="Q6836" s="893">
        <f t="shared" si="496"/>
        <v>8</v>
      </c>
      <c r="R6836" s="894">
        <f t="shared" si="497"/>
        <v>0</v>
      </c>
    </row>
    <row r="6837" spans="1:18">
      <c r="A6837" s="905"/>
      <c r="B6837" s="906"/>
      <c r="C6837" s="907">
        <v>44</v>
      </c>
      <c r="D6837" s="907" t="s">
        <v>279</v>
      </c>
      <c r="E6837" s="925" t="s">
        <v>2681</v>
      </c>
      <c r="F6837" s="926" t="s">
        <v>45</v>
      </c>
      <c r="G6837" s="910"/>
      <c r="H6837" s="911">
        <v>0.6</v>
      </c>
      <c r="I6837" s="912">
        <f>VLOOKUP(E6837,[3]VLP!$B$7:$K$300,10,0)</f>
        <v>23000</v>
      </c>
      <c r="J6837" s="912">
        <f t="shared" si="498"/>
        <v>13800</v>
      </c>
      <c r="K6837" s="912" t="s">
        <v>274</v>
      </c>
      <c r="L6837" s="912"/>
      <c r="M6837" s="912"/>
      <c r="N6837" s="912"/>
      <c r="O6837" s="892">
        <f t="shared" si="493"/>
        <v>0</v>
      </c>
      <c r="P6837" s="903">
        <f t="shared" si="495"/>
        <v>1</v>
      </c>
      <c r="Q6837" s="893">
        <f t="shared" si="496"/>
        <v>7</v>
      </c>
      <c r="R6837" s="894">
        <f t="shared" si="497"/>
        <v>0</v>
      </c>
    </row>
    <row r="6838" spans="1:18">
      <c r="A6838" s="905"/>
      <c r="B6838" s="906"/>
      <c r="C6838" s="907">
        <v>66</v>
      </c>
      <c r="D6838" s="907" t="s">
        <v>279</v>
      </c>
      <c r="E6838" s="925" t="s">
        <v>2682</v>
      </c>
      <c r="F6838" s="926" t="s">
        <v>45</v>
      </c>
      <c r="G6838" s="910"/>
      <c r="H6838" s="911">
        <v>0.2</v>
      </c>
      <c r="I6838" s="912">
        <f>VLOOKUP(E6838,[3]VLP!$B$7:$K$300,10,0)</f>
        <v>5000</v>
      </c>
      <c r="J6838" s="912">
        <f t="shared" si="498"/>
        <v>1000</v>
      </c>
      <c r="K6838" s="912" t="s">
        <v>274</v>
      </c>
      <c r="L6838" s="912"/>
      <c r="M6838" s="912"/>
      <c r="N6838" s="912"/>
      <c r="O6838" s="892">
        <f t="shared" si="493"/>
        <v>0</v>
      </c>
      <c r="P6838" s="903">
        <f t="shared" si="495"/>
        <v>1</v>
      </c>
      <c r="Q6838" s="893">
        <f t="shared" si="496"/>
        <v>6</v>
      </c>
      <c r="R6838" s="894">
        <f t="shared" si="497"/>
        <v>0</v>
      </c>
    </row>
    <row r="6839" spans="1:18">
      <c r="A6839" s="905"/>
      <c r="B6839" s="906"/>
      <c r="C6839" s="907">
        <v>65</v>
      </c>
      <c r="D6839" s="907" t="s">
        <v>279</v>
      </c>
      <c r="E6839" s="925" t="s">
        <v>5983</v>
      </c>
      <c r="F6839" s="926" t="s">
        <v>3144</v>
      </c>
      <c r="G6839" s="910"/>
      <c r="H6839" s="911">
        <v>1</v>
      </c>
      <c r="I6839" s="912">
        <f>VLOOKUP(E6839,[3]VLP!$B$7:$K$300,10,0)</f>
        <v>14000</v>
      </c>
      <c r="J6839" s="912">
        <f t="shared" si="498"/>
        <v>14000</v>
      </c>
      <c r="K6839" s="912" t="s">
        <v>274</v>
      </c>
      <c r="L6839" s="912"/>
      <c r="M6839" s="912"/>
      <c r="N6839" s="912"/>
      <c r="O6839" s="892">
        <f t="shared" si="493"/>
        <v>0</v>
      </c>
      <c r="P6839" s="903">
        <f t="shared" si="495"/>
        <v>1</v>
      </c>
      <c r="Q6839" s="893">
        <f t="shared" si="496"/>
        <v>5</v>
      </c>
      <c r="R6839" s="894">
        <f t="shared" si="497"/>
        <v>0</v>
      </c>
    </row>
    <row r="6840" spans="1:18">
      <c r="A6840" s="905"/>
      <c r="B6840" s="906"/>
      <c r="C6840" s="907">
        <v>89</v>
      </c>
      <c r="D6840" s="907" t="s">
        <v>279</v>
      </c>
      <c r="E6840" s="925" t="s">
        <v>5984</v>
      </c>
      <c r="F6840" s="926" t="s">
        <v>45</v>
      </c>
      <c r="G6840" s="910"/>
      <c r="H6840" s="911">
        <v>0.1</v>
      </c>
      <c r="I6840" s="912">
        <f>VLOOKUP(E6840,[3]VLP!$B$7:$K$300,10,0)</f>
        <v>1000</v>
      </c>
      <c r="J6840" s="912">
        <f t="shared" si="498"/>
        <v>100</v>
      </c>
      <c r="K6840" s="912" t="s">
        <v>274</v>
      </c>
      <c r="L6840" s="912"/>
      <c r="M6840" s="912"/>
      <c r="N6840" s="912"/>
      <c r="O6840" s="892">
        <f t="shared" si="493"/>
        <v>0</v>
      </c>
      <c r="P6840" s="903">
        <f t="shared" si="495"/>
        <v>1</v>
      </c>
      <c r="Q6840" s="893">
        <f t="shared" si="496"/>
        <v>4</v>
      </c>
      <c r="R6840" s="894">
        <f t="shared" si="497"/>
        <v>0</v>
      </c>
    </row>
    <row r="6841" spans="1:18">
      <c r="A6841" s="905"/>
      <c r="B6841" s="906"/>
      <c r="C6841" s="907">
        <v>699</v>
      </c>
      <c r="D6841" s="907" t="s">
        <v>279</v>
      </c>
      <c r="E6841" s="925" t="s">
        <v>4006</v>
      </c>
      <c r="F6841" s="926" t="s">
        <v>4007</v>
      </c>
      <c r="G6841" s="910"/>
      <c r="H6841" s="911">
        <v>5</v>
      </c>
      <c r="I6841" s="912">
        <f>VLOOKUP(E6841,[3]VLP!$B$7:$K$300,10,0)</f>
        <v>5000</v>
      </c>
      <c r="J6841" s="912">
        <f t="shared" si="498"/>
        <v>25000</v>
      </c>
      <c r="K6841" s="912" t="s">
        <v>274</v>
      </c>
      <c r="L6841" s="912"/>
      <c r="M6841" s="912"/>
      <c r="N6841" s="912"/>
      <c r="O6841" s="892">
        <f t="shared" si="493"/>
        <v>0</v>
      </c>
      <c r="P6841" s="903">
        <f t="shared" si="495"/>
        <v>1</v>
      </c>
      <c r="Q6841" s="893">
        <f t="shared" si="496"/>
        <v>3</v>
      </c>
      <c r="R6841" s="894">
        <f t="shared" si="497"/>
        <v>0</v>
      </c>
    </row>
    <row r="6842" spans="1:18" s="904" customFormat="1">
      <c r="A6842" s="895"/>
      <c r="B6842" s="896"/>
      <c r="C6842" s="897"/>
      <c r="D6842" s="897"/>
      <c r="E6842" s="924" t="s">
        <v>276</v>
      </c>
      <c r="F6842" s="927"/>
      <c r="G6842" s="928"/>
      <c r="H6842" s="901"/>
      <c r="I6842" s="902"/>
      <c r="J6842" s="902"/>
      <c r="K6842" s="912" t="s">
        <v>274</v>
      </c>
      <c r="L6842" s="902"/>
      <c r="M6842" s="902"/>
      <c r="N6842" s="902"/>
      <c r="O6842" s="892">
        <f t="shared" si="493"/>
        <v>0</v>
      </c>
      <c r="P6842" s="903">
        <f t="shared" si="495"/>
        <v>1</v>
      </c>
      <c r="Q6842" s="893">
        <f t="shared" si="496"/>
        <v>2</v>
      </c>
      <c r="R6842" s="894">
        <f t="shared" si="497"/>
        <v>0</v>
      </c>
    </row>
    <row r="6843" spans="1:18">
      <c r="A6843" s="905"/>
      <c r="B6843" s="906"/>
      <c r="C6843" s="907">
        <v>745</v>
      </c>
      <c r="D6843" s="907" t="s">
        <v>12</v>
      </c>
      <c r="E6843" s="908" t="s">
        <v>5518</v>
      </c>
      <c r="F6843" s="909" t="s">
        <v>2674</v>
      </c>
      <c r="G6843" s="910"/>
      <c r="H6843" s="911">
        <v>7.03</v>
      </c>
      <c r="I6843" s="912"/>
      <c r="J6843" s="912"/>
      <c r="K6843" s="912">
        <f>VLOOKUP(E6843,[5]ĐMNC!$A$7:$F$67,4,0)</f>
        <v>240557</v>
      </c>
      <c r="L6843" s="912">
        <f>H6843*K6843</f>
        <v>1691115.71</v>
      </c>
      <c r="M6843" s="912"/>
      <c r="N6843" s="912"/>
      <c r="O6843" s="892">
        <f t="shared" si="493"/>
        <v>0</v>
      </c>
      <c r="P6843" s="903">
        <f t="shared" si="495"/>
        <v>1</v>
      </c>
      <c r="Q6843" s="893">
        <f t="shared" si="496"/>
        <v>1</v>
      </c>
      <c r="R6843" s="894">
        <f t="shared" si="497"/>
        <v>0</v>
      </c>
    </row>
    <row r="6844" spans="1:18" s="847" customFormat="1" ht="35.25" customHeight="1">
      <c r="A6844" s="905"/>
      <c r="B6844" s="914" t="s">
        <v>6027</v>
      </c>
      <c r="C6844" s="915"/>
      <c r="D6844" s="915"/>
      <c r="E6844" s="916" t="s">
        <v>6028</v>
      </c>
      <c r="F6844" s="917" t="s">
        <v>5834</v>
      </c>
      <c r="G6844" s="944"/>
      <c r="H6844" s="919"/>
      <c r="I6844" s="920"/>
      <c r="J6844" s="891">
        <f>SUM(J6845:J6858)</f>
        <v>550177.5</v>
      </c>
      <c r="K6844" s="891" t="s">
        <v>274</v>
      </c>
      <c r="L6844" s="891">
        <f>SUM(L6845:L6858)</f>
        <v>1883561.31</v>
      </c>
      <c r="M6844" s="891"/>
      <c r="N6844" s="891">
        <f>SUM(N6845:N6858)</f>
        <v>0</v>
      </c>
      <c r="O6844" s="892">
        <f t="shared" si="493"/>
        <v>1</v>
      </c>
      <c r="P6844" s="903">
        <f t="shared" si="495"/>
        <v>0</v>
      </c>
      <c r="Q6844" s="893">
        <f t="shared" si="496"/>
        <v>0</v>
      </c>
      <c r="R6844" s="894">
        <f t="shared" si="497"/>
        <v>14</v>
      </c>
    </row>
    <row r="6845" spans="1:18" s="904" customFormat="1">
      <c r="A6845" s="895"/>
      <c r="B6845" s="896"/>
      <c r="C6845" s="897"/>
      <c r="D6845" s="897"/>
      <c r="E6845" s="898" t="s">
        <v>108</v>
      </c>
      <c r="F6845" s="899"/>
      <c r="G6845" s="928"/>
      <c r="H6845" s="901"/>
      <c r="I6845" s="902"/>
      <c r="J6845" s="902"/>
      <c r="K6845" s="912" t="s">
        <v>274</v>
      </c>
      <c r="L6845" s="902"/>
      <c r="M6845" s="902"/>
      <c r="N6845" s="902"/>
      <c r="O6845" s="892">
        <f t="shared" si="493"/>
        <v>0</v>
      </c>
      <c r="P6845" s="903">
        <f t="shared" si="495"/>
        <v>1</v>
      </c>
      <c r="Q6845" s="893">
        <f t="shared" si="496"/>
        <v>14</v>
      </c>
      <c r="R6845" s="894">
        <f t="shared" si="497"/>
        <v>0</v>
      </c>
    </row>
    <row r="6846" spans="1:18">
      <c r="A6846" s="905"/>
      <c r="B6846" s="906"/>
      <c r="C6846" s="907">
        <v>95</v>
      </c>
      <c r="D6846" s="907" t="s">
        <v>279</v>
      </c>
      <c r="E6846" s="925" t="s">
        <v>5860</v>
      </c>
      <c r="F6846" s="909" t="s">
        <v>51</v>
      </c>
      <c r="G6846" s="910"/>
      <c r="H6846" s="911">
        <v>1</v>
      </c>
      <c r="I6846" s="912">
        <f>VLOOKUP(E6846,[3]VLP!$B$7:$K$300,10,0)</f>
        <v>27040</v>
      </c>
      <c r="J6846" s="912">
        <f t="shared" ref="J6846:J6856" si="499">I6846*H6846</f>
        <v>27040</v>
      </c>
      <c r="K6846" s="912" t="s">
        <v>274</v>
      </c>
      <c r="L6846" s="912"/>
      <c r="M6846" s="912"/>
      <c r="N6846" s="912"/>
      <c r="O6846" s="892">
        <f t="shared" si="493"/>
        <v>0</v>
      </c>
      <c r="P6846" s="903">
        <f t="shared" si="495"/>
        <v>1</v>
      </c>
      <c r="Q6846" s="893">
        <f t="shared" si="496"/>
        <v>13</v>
      </c>
      <c r="R6846" s="894">
        <f t="shared" si="497"/>
        <v>0</v>
      </c>
    </row>
    <row r="6847" spans="1:18">
      <c r="A6847" s="905"/>
      <c r="B6847" s="906"/>
      <c r="C6847" s="907">
        <v>49</v>
      </c>
      <c r="D6847" s="907" t="s">
        <v>279</v>
      </c>
      <c r="E6847" s="925" t="s">
        <v>5698</v>
      </c>
      <c r="F6847" s="909" t="s">
        <v>139</v>
      </c>
      <c r="G6847" s="910"/>
      <c r="H6847" s="911">
        <v>2</v>
      </c>
      <c r="I6847" s="912">
        <f>VLOOKUP(E6847,[3]VLP!$B$7:$K$300,10,0)</f>
        <v>3000</v>
      </c>
      <c r="J6847" s="912">
        <f t="shared" si="499"/>
        <v>6000</v>
      </c>
      <c r="K6847" s="912" t="s">
        <v>274</v>
      </c>
      <c r="L6847" s="912"/>
      <c r="M6847" s="912"/>
      <c r="N6847" s="912"/>
      <c r="O6847" s="892">
        <f t="shared" si="493"/>
        <v>0</v>
      </c>
      <c r="P6847" s="903">
        <f t="shared" si="495"/>
        <v>1</v>
      </c>
      <c r="Q6847" s="893">
        <f t="shared" si="496"/>
        <v>12</v>
      </c>
      <c r="R6847" s="894">
        <f t="shared" si="497"/>
        <v>0</v>
      </c>
    </row>
    <row r="6848" spans="1:18">
      <c r="A6848" s="905"/>
      <c r="B6848" s="906"/>
      <c r="C6848" s="907">
        <v>50</v>
      </c>
      <c r="D6848" s="907" t="s">
        <v>279</v>
      </c>
      <c r="E6848" s="925" t="s">
        <v>5836</v>
      </c>
      <c r="F6848" s="909" t="s">
        <v>49</v>
      </c>
      <c r="G6848" s="910"/>
      <c r="H6848" s="911">
        <v>4</v>
      </c>
      <c r="I6848" s="912">
        <f>VLOOKUP(E6848,[3]VLP!$B$7:$K$300,10,0)</f>
        <v>85790</v>
      </c>
      <c r="J6848" s="912">
        <f t="shared" si="499"/>
        <v>343160</v>
      </c>
      <c r="K6848" s="912" t="s">
        <v>274</v>
      </c>
      <c r="L6848" s="912"/>
      <c r="M6848" s="912"/>
      <c r="N6848" s="912"/>
      <c r="O6848" s="892">
        <f t="shared" si="493"/>
        <v>0</v>
      </c>
      <c r="P6848" s="903">
        <f t="shared" si="495"/>
        <v>1</v>
      </c>
      <c r="Q6848" s="893">
        <f t="shared" si="496"/>
        <v>11</v>
      </c>
      <c r="R6848" s="894">
        <f t="shared" si="497"/>
        <v>0</v>
      </c>
    </row>
    <row r="6849" spans="1:18">
      <c r="A6849" s="905"/>
      <c r="B6849" s="906"/>
      <c r="C6849" s="907">
        <v>46</v>
      </c>
      <c r="D6849" s="907" t="s">
        <v>279</v>
      </c>
      <c r="E6849" s="925" t="s">
        <v>3179</v>
      </c>
      <c r="F6849" s="909" t="s">
        <v>45</v>
      </c>
      <c r="G6849" s="910"/>
      <c r="H6849" s="911">
        <v>5</v>
      </c>
      <c r="I6849" s="912">
        <f>VLOOKUP(E6849,[3]VLP!$B$7:$K$300,10,0)</f>
        <v>20500</v>
      </c>
      <c r="J6849" s="912">
        <f t="shared" si="499"/>
        <v>102500</v>
      </c>
      <c r="K6849" s="912" t="s">
        <v>274</v>
      </c>
      <c r="L6849" s="912"/>
      <c r="M6849" s="912"/>
      <c r="N6849" s="912"/>
      <c r="O6849" s="892">
        <f t="shared" si="493"/>
        <v>0</v>
      </c>
      <c r="P6849" s="903">
        <f t="shared" si="495"/>
        <v>1</v>
      </c>
      <c r="Q6849" s="893">
        <f t="shared" si="496"/>
        <v>10</v>
      </c>
      <c r="R6849" s="894">
        <f t="shared" si="497"/>
        <v>0</v>
      </c>
    </row>
    <row r="6850" spans="1:18">
      <c r="A6850" s="905"/>
      <c r="B6850" s="906"/>
      <c r="C6850" s="907">
        <v>25</v>
      </c>
      <c r="D6850" s="907" t="s">
        <v>279</v>
      </c>
      <c r="E6850" s="925" t="s">
        <v>5656</v>
      </c>
      <c r="F6850" s="926" t="s">
        <v>2690</v>
      </c>
      <c r="G6850" s="910"/>
      <c r="H6850" s="911">
        <v>1</v>
      </c>
      <c r="I6850" s="912">
        <f>VLOOKUP(E6850,[3]VLP!$B$7:$K$300,10,0)</f>
        <v>5000</v>
      </c>
      <c r="J6850" s="912">
        <f t="shared" si="499"/>
        <v>5000</v>
      </c>
      <c r="K6850" s="912" t="s">
        <v>274</v>
      </c>
      <c r="L6850" s="912"/>
      <c r="M6850" s="912"/>
      <c r="N6850" s="912"/>
      <c r="O6850" s="892">
        <f t="shared" si="493"/>
        <v>0</v>
      </c>
      <c r="P6850" s="903">
        <f t="shared" si="495"/>
        <v>1</v>
      </c>
      <c r="Q6850" s="893">
        <f t="shared" si="496"/>
        <v>9</v>
      </c>
      <c r="R6850" s="894">
        <f t="shared" si="497"/>
        <v>0</v>
      </c>
    </row>
    <row r="6851" spans="1:18">
      <c r="A6851" s="905"/>
      <c r="B6851" s="906"/>
      <c r="C6851" s="907">
        <v>127</v>
      </c>
      <c r="D6851" s="907" t="s">
        <v>279</v>
      </c>
      <c r="E6851" s="925" t="s">
        <v>5657</v>
      </c>
      <c r="F6851" s="909" t="s">
        <v>45</v>
      </c>
      <c r="G6851" s="910"/>
      <c r="H6851" s="911">
        <v>0.5</v>
      </c>
      <c r="I6851" s="912">
        <f>VLOOKUP(E6851,[3]VLP!$B$7:$K$300,10,0)</f>
        <v>25155</v>
      </c>
      <c r="J6851" s="912">
        <f t="shared" si="499"/>
        <v>12577.5</v>
      </c>
      <c r="K6851" s="912" t="s">
        <v>274</v>
      </c>
      <c r="L6851" s="912"/>
      <c r="M6851" s="912"/>
      <c r="N6851" s="912"/>
      <c r="O6851" s="892">
        <f t="shared" si="493"/>
        <v>0</v>
      </c>
      <c r="P6851" s="903">
        <f t="shared" si="495"/>
        <v>1</v>
      </c>
      <c r="Q6851" s="893">
        <f t="shared" si="496"/>
        <v>8</v>
      </c>
      <c r="R6851" s="894">
        <f t="shared" si="497"/>
        <v>0</v>
      </c>
    </row>
    <row r="6852" spans="1:18">
      <c r="A6852" s="905"/>
      <c r="B6852" s="906"/>
      <c r="C6852" s="907">
        <v>44</v>
      </c>
      <c r="D6852" s="907" t="s">
        <v>279</v>
      </c>
      <c r="E6852" s="925" t="s">
        <v>2681</v>
      </c>
      <c r="F6852" s="926" t="s">
        <v>45</v>
      </c>
      <c r="G6852" s="910"/>
      <c r="H6852" s="911">
        <v>0.6</v>
      </c>
      <c r="I6852" s="912">
        <f>VLOOKUP(E6852,[3]VLP!$B$7:$K$300,10,0)</f>
        <v>23000</v>
      </c>
      <c r="J6852" s="912">
        <f t="shared" si="499"/>
        <v>13800</v>
      </c>
      <c r="K6852" s="912" t="s">
        <v>274</v>
      </c>
      <c r="L6852" s="912"/>
      <c r="M6852" s="912"/>
      <c r="N6852" s="912"/>
      <c r="O6852" s="892">
        <f t="shared" si="493"/>
        <v>0</v>
      </c>
      <c r="P6852" s="903">
        <f t="shared" si="495"/>
        <v>1</v>
      </c>
      <c r="Q6852" s="893">
        <f t="shared" si="496"/>
        <v>7</v>
      </c>
      <c r="R6852" s="894">
        <f t="shared" si="497"/>
        <v>0</v>
      </c>
    </row>
    <row r="6853" spans="1:18">
      <c r="A6853" s="905"/>
      <c r="B6853" s="906"/>
      <c r="C6853" s="907">
        <v>66</v>
      </c>
      <c r="D6853" s="907" t="s">
        <v>279</v>
      </c>
      <c r="E6853" s="925" t="s">
        <v>2682</v>
      </c>
      <c r="F6853" s="926" t="s">
        <v>45</v>
      </c>
      <c r="G6853" s="910"/>
      <c r="H6853" s="911">
        <v>0.2</v>
      </c>
      <c r="I6853" s="912">
        <f>VLOOKUP(E6853,[3]VLP!$B$7:$K$300,10,0)</f>
        <v>5000</v>
      </c>
      <c r="J6853" s="912">
        <f t="shared" si="499"/>
        <v>1000</v>
      </c>
      <c r="K6853" s="912" t="s">
        <v>274</v>
      </c>
      <c r="L6853" s="912"/>
      <c r="M6853" s="912"/>
      <c r="N6853" s="912"/>
      <c r="O6853" s="892">
        <f t="shared" si="493"/>
        <v>0</v>
      </c>
      <c r="P6853" s="903">
        <f t="shared" si="495"/>
        <v>1</v>
      </c>
      <c r="Q6853" s="893">
        <f t="shared" si="496"/>
        <v>6</v>
      </c>
      <c r="R6853" s="894">
        <f t="shared" si="497"/>
        <v>0</v>
      </c>
    </row>
    <row r="6854" spans="1:18">
      <c r="A6854" s="905"/>
      <c r="B6854" s="906"/>
      <c r="C6854" s="907">
        <v>65</v>
      </c>
      <c r="D6854" s="907" t="s">
        <v>279</v>
      </c>
      <c r="E6854" s="925" t="s">
        <v>5983</v>
      </c>
      <c r="F6854" s="926" t="s">
        <v>3144</v>
      </c>
      <c r="G6854" s="910"/>
      <c r="H6854" s="911">
        <v>1</v>
      </c>
      <c r="I6854" s="912">
        <f>VLOOKUP(E6854,[3]VLP!$B$7:$K$300,10,0)</f>
        <v>14000</v>
      </c>
      <c r="J6854" s="912">
        <f t="shared" si="499"/>
        <v>14000</v>
      </c>
      <c r="K6854" s="912" t="s">
        <v>274</v>
      </c>
      <c r="L6854" s="912"/>
      <c r="M6854" s="912"/>
      <c r="N6854" s="912"/>
      <c r="O6854" s="892">
        <f t="shared" si="493"/>
        <v>0</v>
      </c>
      <c r="P6854" s="903">
        <f t="shared" si="495"/>
        <v>1</v>
      </c>
      <c r="Q6854" s="893">
        <f t="shared" si="496"/>
        <v>5</v>
      </c>
      <c r="R6854" s="894">
        <f t="shared" si="497"/>
        <v>0</v>
      </c>
    </row>
    <row r="6855" spans="1:18">
      <c r="A6855" s="905"/>
      <c r="B6855" s="906"/>
      <c r="C6855" s="907">
        <v>89</v>
      </c>
      <c r="D6855" s="907" t="s">
        <v>279</v>
      </c>
      <c r="E6855" s="925" t="s">
        <v>5984</v>
      </c>
      <c r="F6855" s="926" t="s">
        <v>45</v>
      </c>
      <c r="G6855" s="910"/>
      <c r="H6855" s="911">
        <v>0.1</v>
      </c>
      <c r="I6855" s="912">
        <f>VLOOKUP(E6855,[3]VLP!$B$7:$K$300,10,0)</f>
        <v>1000</v>
      </c>
      <c r="J6855" s="912">
        <f t="shared" si="499"/>
        <v>100</v>
      </c>
      <c r="K6855" s="912" t="s">
        <v>274</v>
      </c>
      <c r="L6855" s="912"/>
      <c r="M6855" s="912"/>
      <c r="N6855" s="912"/>
      <c r="O6855" s="892">
        <f t="shared" si="493"/>
        <v>0</v>
      </c>
      <c r="P6855" s="903">
        <f t="shared" si="495"/>
        <v>1</v>
      </c>
      <c r="Q6855" s="893">
        <f t="shared" si="496"/>
        <v>4</v>
      </c>
      <c r="R6855" s="894">
        <f t="shared" si="497"/>
        <v>0</v>
      </c>
    </row>
    <row r="6856" spans="1:18">
      <c r="A6856" s="905"/>
      <c r="B6856" s="906"/>
      <c r="C6856" s="907">
        <v>699</v>
      </c>
      <c r="D6856" s="907" t="s">
        <v>279</v>
      </c>
      <c r="E6856" s="925" t="s">
        <v>4006</v>
      </c>
      <c r="F6856" s="926" t="s">
        <v>4007</v>
      </c>
      <c r="G6856" s="910"/>
      <c r="H6856" s="911">
        <v>5</v>
      </c>
      <c r="I6856" s="912">
        <f>VLOOKUP(E6856,[3]VLP!$B$7:$K$300,10,0)</f>
        <v>5000</v>
      </c>
      <c r="J6856" s="912">
        <f t="shared" si="499"/>
        <v>25000</v>
      </c>
      <c r="K6856" s="912" t="s">
        <v>274</v>
      </c>
      <c r="L6856" s="912"/>
      <c r="M6856" s="912"/>
      <c r="N6856" s="912"/>
      <c r="O6856" s="892">
        <f t="shared" si="493"/>
        <v>0</v>
      </c>
      <c r="P6856" s="903">
        <f t="shared" si="495"/>
        <v>1</v>
      </c>
      <c r="Q6856" s="893">
        <f t="shared" si="496"/>
        <v>3</v>
      </c>
      <c r="R6856" s="894">
        <f t="shared" si="497"/>
        <v>0</v>
      </c>
    </row>
    <row r="6857" spans="1:18" s="904" customFormat="1">
      <c r="A6857" s="895"/>
      <c r="B6857" s="896"/>
      <c r="C6857" s="897"/>
      <c r="D6857" s="897"/>
      <c r="E6857" s="924" t="s">
        <v>276</v>
      </c>
      <c r="F6857" s="927"/>
      <c r="G6857" s="928"/>
      <c r="H6857" s="901"/>
      <c r="I6857" s="902"/>
      <c r="J6857" s="902"/>
      <c r="K6857" s="912" t="s">
        <v>274</v>
      </c>
      <c r="L6857" s="902"/>
      <c r="M6857" s="902"/>
      <c r="N6857" s="902"/>
      <c r="O6857" s="892">
        <f t="shared" si="493"/>
        <v>0</v>
      </c>
      <c r="P6857" s="903">
        <f t="shared" si="495"/>
        <v>1</v>
      </c>
      <c r="Q6857" s="893">
        <f t="shared" si="496"/>
        <v>2</v>
      </c>
      <c r="R6857" s="894">
        <f t="shared" si="497"/>
        <v>0</v>
      </c>
    </row>
    <row r="6858" spans="1:18">
      <c r="A6858" s="905"/>
      <c r="B6858" s="906"/>
      <c r="C6858" s="907">
        <v>745</v>
      </c>
      <c r="D6858" s="907" t="s">
        <v>12</v>
      </c>
      <c r="E6858" s="908" t="s">
        <v>5518</v>
      </c>
      <c r="F6858" s="909" t="s">
        <v>2674</v>
      </c>
      <c r="G6858" s="910"/>
      <c r="H6858" s="911">
        <v>7.83</v>
      </c>
      <c r="I6858" s="912"/>
      <c r="J6858" s="912"/>
      <c r="K6858" s="912">
        <f>VLOOKUP(E6858,[5]ĐMNC!$A$7:$F$67,4,0)</f>
        <v>240557</v>
      </c>
      <c r="L6858" s="912">
        <f>H6858*K6858</f>
        <v>1883561.31</v>
      </c>
      <c r="M6858" s="912"/>
      <c r="N6858" s="912"/>
      <c r="O6858" s="892">
        <f t="shared" si="493"/>
        <v>0</v>
      </c>
      <c r="P6858" s="903">
        <f t="shared" si="495"/>
        <v>1</v>
      </c>
      <c r="Q6858" s="893">
        <f t="shared" si="496"/>
        <v>1</v>
      </c>
      <c r="R6858" s="894">
        <f t="shared" si="497"/>
        <v>0</v>
      </c>
    </row>
    <row r="6859" spans="1:18" s="847" customFormat="1" ht="35.25" customHeight="1">
      <c r="A6859" s="905"/>
      <c r="B6859" s="914" t="s">
        <v>6029</v>
      </c>
      <c r="C6859" s="915"/>
      <c r="D6859" s="915"/>
      <c r="E6859" s="916" t="s">
        <v>6030</v>
      </c>
      <c r="F6859" s="917" t="s">
        <v>5834</v>
      </c>
      <c r="G6859" s="944"/>
      <c r="H6859" s="919"/>
      <c r="I6859" s="920"/>
      <c r="J6859" s="891">
        <f>SUM(J6860:J6873)</f>
        <v>550427.5</v>
      </c>
      <c r="K6859" s="891" t="s">
        <v>274</v>
      </c>
      <c r="L6859" s="891">
        <f>SUM(L6860:L6873)</f>
        <v>2080818.05</v>
      </c>
      <c r="M6859" s="891"/>
      <c r="N6859" s="891">
        <f>SUM(N6860:N6873)</f>
        <v>0</v>
      </c>
      <c r="O6859" s="892">
        <f t="shared" si="493"/>
        <v>1</v>
      </c>
      <c r="P6859" s="903">
        <f t="shared" si="495"/>
        <v>0</v>
      </c>
      <c r="Q6859" s="893">
        <f t="shared" si="496"/>
        <v>0</v>
      </c>
      <c r="R6859" s="894">
        <f t="shared" si="497"/>
        <v>14</v>
      </c>
    </row>
    <row r="6860" spans="1:18" s="904" customFormat="1">
      <c r="A6860" s="895"/>
      <c r="B6860" s="896"/>
      <c r="C6860" s="897"/>
      <c r="D6860" s="897"/>
      <c r="E6860" s="898" t="s">
        <v>108</v>
      </c>
      <c r="F6860" s="899"/>
      <c r="G6860" s="928"/>
      <c r="H6860" s="901"/>
      <c r="I6860" s="902"/>
      <c r="J6860" s="902"/>
      <c r="K6860" s="912" t="s">
        <v>274</v>
      </c>
      <c r="L6860" s="902"/>
      <c r="M6860" s="902"/>
      <c r="N6860" s="902"/>
      <c r="O6860" s="892">
        <f t="shared" si="493"/>
        <v>0</v>
      </c>
      <c r="P6860" s="903">
        <f t="shared" si="495"/>
        <v>1</v>
      </c>
      <c r="Q6860" s="893">
        <f t="shared" si="496"/>
        <v>14</v>
      </c>
      <c r="R6860" s="894">
        <f t="shared" si="497"/>
        <v>0</v>
      </c>
    </row>
    <row r="6861" spans="1:18">
      <c r="A6861" s="905"/>
      <c r="B6861" s="906"/>
      <c r="C6861" s="907">
        <v>96</v>
      </c>
      <c r="D6861" s="907" t="s">
        <v>279</v>
      </c>
      <c r="E6861" s="925" t="s">
        <v>5863</v>
      </c>
      <c r="F6861" s="909" t="s">
        <v>51</v>
      </c>
      <c r="G6861" s="910"/>
      <c r="H6861" s="911">
        <v>1</v>
      </c>
      <c r="I6861" s="912">
        <f>VLOOKUP(E6861,[3]VLP!$B$7:$K$300,10,0)</f>
        <v>27040</v>
      </c>
      <c r="J6861" s="912">
        <f t="shared" ref="J6861:J6871" si="500">I6861*H6861</f>
        <v>27040</v>
      </c>
      <c r="K6861" s="912" t="s">
        <v>274</v>
      </c>
      <c r="L6861" s="912"/>
      <c r="M6861" s="912"/>
      <c r="N6861" s="912"/>
      <c r="O6861" s="892">
        <f t="shared" si="493"/>
        <v>0</v>
      </c>
      <c r="P6861" s="903">
        <f t="shared" si="495"/>
        <v>1</v>
      </c>
      <c r="Q6861" s="893">
        <f t="shared" si="496"/>
        <v>13</v>
      </c>
      <c r="R6861" s="894">
        <f t="shared" si="497"/>
        <v>0</v>
      </c>
    </row>
    <row r="6862" spans="1:18">
      <c r="A6862" s="905"/>
      <c r="B6862" s="906"/>
      <c r="C6862" s="907">
        <v>49</v>
      </c>
      <c r="D6862" s="907" t="s">
        <v>279</v>
      </c>
      <c r="E6862" s="925" t="s">
        <v>5698</v>
      </c>
      <c r="F6862" s="909" t="s">
        <v>139</v>
      </c>
      <c r="G6862" s="910"/>
      <c r="H6862" s="911">
        <v>2</v>
      </c>
      <c r="I6862" s="912">
        <f>VLOOKUP(E6862,[3]VLP!$B$7:$K$300,10,0)</f>
        <v>3000</v>
      </c>
      <c r="J6862" s="912">
        <f t="shared" si="500"/>
        <v>6000</v>
      </c>
      <c r="K6862" s="912" t="s">
        <v>274</v>
      </c>
      <c r="L6862" s="912"/>
      <c r="M6862" s="912"/>
      <c r="N6862" s="912"/>
      <c r="O6862" s="892">
        <f t="shared" si="493"/>
        <v>0</v>
      </c>
      <c r="P6862" s="903">
        <f t="shared" si="495"/>
        <v>1</v>
      </c>
      <c r="Q6862" s="893">
        <f t="shared" si="496"/>
        <v>12</v>
      </c>
      <c r="R6862" s="894">
        <f t="shared" si="497"/>
        <v>0</v>
      </c>
    </row>
    <row r="6863" spans="1:18">
      <c r="A6863" s="905"/>
      <c r="B6863" s="906"/>
      <c r="C6863" s="907">
        <v>50</v>
      </c>
      <c r="D6863" s="907" t="s">
        <v>279</v>
      </c>
      <c r="E6863" s="925" t="s">
        <v>5836</v>
      </c>
      <c r="F6863" s="909" t="s">
        <v>49</v>
      </c>
      <c r="G6863" s="910"/>
      <c r="H6863" s="911">
        <v>4</v>
      </c>
      <c r="I6863" s="912">
        <f>VLOOKUP(E6863,[3]VLP!$B$7:$K$300,10,0)</f>
        <v>85790</v>
      </c>
      <c r="J6863" s="912">
        <f t="shared" si="500"/>
        <v>343160</v>
      </c>
      <c r="K6863" s="912" t="s">
        <v>274</v>
      </c>
      <c r="L6863" s="912"/>
      <c r="M6863" s="912"/>
      <c r="N6863" s="912"/>
      <c r="O6863" s="892">
        <f t="shared" si="493"/>
        <v>0</v>
      </c>
      <c r="P6863" s="903">
        <f t="shared" si="495"/>
        <v>1</v>
      </c>
      <c r="Q6863" s="893">
        <f t="shared" si="496"/>
        <v>11</v>
      </c>
      <c r="R6863" s="894">
        <f t="shared" si="497"/>
        <v>0</v>
      </c>
    </row>
    <row r="6864" spans="1:18">
      <c r="A6864" s="905"/>
      <c r="B6864" s="906"/>
      <c r="C6864" s="907">
        <v>46</v>
      </c>
      <c r="D6864" s="907" t="s">
        <v>279</v>
      </c>
      <c r="E6864" s="925" t="s">
        <v>3179</v>
      </c>
      <c r="F6864" s="909" t="s">
        <v>45</v>
      </c>
      <c r="G6864" s="910"/>
      <c r="H6864" s="911">
        <v>5</v>
      </c>
      <c r="I6864" s="912">
        <f>VLOOKUP(E6864,[3]VLP!$B$7:$K$300,10,0)</f>
        <v>20500</v>
      </c>
      <c r="J6864" s="912">
        <f t="shared" si="500"/>
        <v>102500</v>
      </c>
      <c r="K6864" s="912" t="s">
        <v>274</v>
      </c>
      <c r="L6864" s="912"/>
      <c r="M6864" s="912"/>
      <c r="N6864" s="912"/>
      <c r="O6864" s="892">
        <f t="shared" si="493"/>
        <v>0</v>
      </c>
      <c r="P6864" s="903">
        <f t="shared" si="495"/>
        <v>1</v>
      </c>
      <c r="Q6864" s="893">
        <f t="shared" si="496"/>
        <v>10</v>
      </c>
      <c r="R6864" s="894">
        <f t="shared" si="497"/>
        <v>0</v>
      </c>
    </row>
    <row r="6865" spans="1:18">
      <c r="A6865" s="905"/>
      <c r="B6865" s="906"/>
      <c r="C6865" s="907">
        <v>25</v>
      </c>
      <c r="D6865" s="907" t="s">
        <v>279</v>
      </c>
      <c r="E6865" s="925" t="s">
        <v>5656</v>
      </c>
      <c r="F6865" s="926" t="s">
        <v>2690</v>
      </c>
      <c r="G6865" s="910"/>
      <c r="H6865" s="911">
        <v>1</v>
      </c>
      <c r="I6865" s="912">
        <f>VLOOKUP(E6865,[3]VLP!$B$7:$K$300,10,0)</f>
        <v>5000</v>
      </c>
      <c r="J6865" s="912">
        <f t="shared" si="500"/>
        <v>5000</v>
      </c>
      <c r="K6865" s="912" t="s">
        <v>274</v>
      </c>
      <c r="L6865" s="912"/>
      <c r="M6865" s="912"/>
      <c r="N6865" s="912"/>
      <c r="O6865" s="892">
        <f t="shared" si="493"/>
        <v>0</v>
      </c>
      <c r="P6865" s="903">
        <f t="shared" si="495"/>
        <v>1</v>
      </c>
      <c r="Q6865" s="893">
        <f t="shared" si="496"/>
        <v>9</v>
      </c>
      <c r="R6865" s="894">
        <f t="shared" si="497"/>
        <v>0</v>
      </c>
    </row>
    <row r="6866" spans="1:18">
      <c r="A6866" s="905"/>
      <c r="B6866" s="906"/>
      <c r="C6866" s="907">
        <v>127</v>
      </c>
      <c r="D6866" s="907" t="s">
        <v>279</v>
      </c>
      <c r="E6866" s="925" t="s">
        <v>5657</v>
      </c>
      <c r="F6866" s="909" t="s">
        <v>45</v>
      </c>
      <c r="G6866" s="910"/>
      <c r="H6866" s="911">
        <v>0.5</v>
      </c>
      <c r="I6866" s="912">
        <f>VLOOKUP(E6866,[3]VLP!$B$7:$K$300,10,0)</f>
        <v>25155</v>
      </c>
      <c r="J6866" s="912">
        <f t="shared" si="500"/>
        <v>12577.5</v>
      </c>
      <c r="K6866" s="912" t="s">
        <v>274</v>
      </c>
      <c r="L6866" s="912"/>
      <c r="M6866" s="912"/>
      <c r="N6866" s="912"/>
      <c r="O6866" s="892">
        <f t="shared" si="493"/>
        <v>0</v>
      </c>
      <c r="P6866" s="903">
        <f t="shared" si="495"/>
        <v>1</v>
      </c>
      <c r="Q6866" s="893">
        <f t="shared" si="496"/>
        <v>8</v>
      </c>
      <c r="R6866" s="894">
        <f t="shared" si="497"/>
        <v>0</v>
      </c>
    </row>
    <row r="6867" spans="1:18">
      <c r="A6867" s="905"/>
      <c r="B6867" s="906"/>
      <c r="C6867" s="907">
        <v>44</v>
      </c>
      <c r="D6867" s="907" t="s">
        <v>279</v>
      </c>
      <c r="E6867" s="925" t="s">
        <v>2681</v>
      </c>
      <c r="F6867" s="926" t="s">
        <v>45</v>
      </c>
      <c r="G6867" s="910"/>
      <c r="H6867" s="911">
        <v>0.6</v>
      </c>
      <c r="I6867" s="912">
        <f>VLOOKUP(E6867,[3]VLP!$B$7:$K$300,10,0)</f>
        <v>23000</v>
      </c>
      <c r="J6867" s="912">
        <f t="shared" si="500"/>
        <v>13800</v>
      </c>
      <c r="K6867" s="912" t="s">
        <v>274</v>
      </c>
      <c r="L6867" s="912"/>
      <c r="M6867" s="912"/>
      <c r="N6867" s="912"/>
      <c r="O6867" s="892">
        <f t="shared" si="493"/>
        <v>0</v>
      </c>
      <c r="P6867" s="903">
        <f t="shared" si="495"/>
        <v>1</v>
      </c>
      <c r="Q6867" s="893">
        <f t="shared" si="496"/>
        <v>7</v>
      </c>
      <c r="R6867" s="894">
        <f t="shared" si="497"/>
        <v>0</v>
      </c>
    </row>
    <row r="6868" spans="1:18">
      <c r="A6868" s="905"/>
      <c r="B6868" s="906"/>
      <c r="C6868" s="907">
        <v>66</v>
      </c>
      <c r="D6868" s="907" t="s">
        <v>279</v>
      </c>
      <c r="E6868" s="925" t="s">
        <v>2682</v>
      </c>
      <c r="F6868" s="926" t="s">
        <v>45</v>
      </c>
      <c r="G6868" s="910"/>
      <c r="H6868" s="911">
        <v>0.25</v>
      </c>
      <c r="I6868" s="912">
        <f>VLOOKUP(E6868,[3]VLP!$B$7:$K$300,10,0)</f>
        <v>5000</v>
      </c>
      <c r="J6868" s="912">
        <f t="shared" si="500"/>
        <v>1250</v>
      </c>
      <c r="K6868" s="912" t="s">
        <v>274</v>
      </c>
      <c r="L6868" s="912"/>
      <c r="M6868" s="912"/>
      <c r="N6868" s="912"/>
      <c r="O6868" s="892">
        <f t="shared" si="493"/>
        <v>0</v>
      </c>
      <c r="P6868" s="903">
        <f t="shared" si="495"/>
        <v>1</v>
      </c>
      <c r="Q6868" s="893">
        <f t="shared" si="496"/>
        <v>6</v>
      </c>
      <c r="R6868" s="894">
        <f t="shared" si="497"/>
        <v>0</v>
      </c>
    </row>
    <row r="6869" spans="1:18">
      <c r="A6869" s="905"/>
      <c r="B6869" s="906"/>
      <c r="C6869" s="907">
        <v>65</v>
      </c>
      <c r="D6869" s="907" t="s">
        <v>279</v>
      </c>
      <c r="E6869" s="925" t="s">
        <v>5983</v>
      </c>
      <c r="F6869" s="926" t="s">
        <v>3144</v>
      </c>
      <c r="G6869" s="910"/>
      <c r="H6869" s="911">
        <v>1</v>
      </c>
      <c r="I6869" s="912">
        <f>VLOOKUP(E6869,[3]VLP!$B$7:$K$300,10,0)</f>
        <v>14000</v>
      </c>
      <c r="J6869" s="912">
        <f t="shared" si="500"/>
        <v>14000</v>
      </c>
      <c r="K6869" s="912" t="s">
        <v>274</v>
      </c>
      <c r="L6869" s="912"/>
      <c r="M6869" s="912"/>
      <c r="N6869" s="912"/>
      <c r="O6869" s="892">
        <f t="shared" si="493"/>
        <v>0</v>
      </c>
      <c r="P6869" s="903">
        <f t="shared" si="495"/>
        <v>1</v>
      </c>
      <c r="Q6869" s="893">
        <f t="shared" si="496"/>
        <v>5</v>
      </c>
      <c r="R6869" s="894">
        <f t="shared" si="497"/>
        <v>0</v>
      </c>
    </row>
    <row r="6870" spans="1:18">
      <c r="A6870" s="905"/>
      <c r="B6870" s="906"/>
      <c r="C6870" s="907">
        <v>89</v>
      </c>
      <c r="D6870" s="907" t="s">
        <v>279</v>
      </c>
      <c r="E6870" s="925" t="s">
        <v>5984</v>
      </c>
      <c r="F6870" s="926" t="s">
        <v>45</v>
      </c>
      <c r="G6870" s="910"/>
      <c r="H6870" s="911">
        <v>0.1</v>
      </c>
      <c r="I6870" s="912">
        <f>VLOOKUP(E6870,[3]VLP!$B$7:$K$300,10,0)</f>
        <v>1000</v>
      </c>
      <c r="J6870" s="912">
        <f t="shared" si="500"/>
        <v>100</v>
      </c>
      <c r="K6870" s="912" t="s">
        <v>274</v>
      </c>
      <c r="L6870" s="912"/>
      <c r="M6870" s="912"/>
      <c r="N6870" s="912"/>
      <c r="O6870" s="892">
        <f t="shared" si="493"/>
        <v>0</v>
      </c>
      <c r="P6870" s="903">
        <f t="shared" si="495"/>
        <v>1</v>
      </c>
      <c r="Q6870" s="893">
        <f t="shared" si="496"/>
        <v>4</v>
      </c>
      <c r="R6870" s="894">
        <f t="shared" si="497"/>
        <v>0</v>
      </c>
    </row>
    <row r="6871" spans="1:18">
      <c r="A6871" s="905"/>
      <c r="B6871" s="906"/>
      <c r="C6871" s="907">
        <v>699</v>
      </c>
      <c r="D6871" s="907" t="s">
        <v>279</v>
      </c>
      <c r="E6871" s="925" t="s">
        <v>4006</v>
      </c>
      <c r="F6871" s="926" t="s">
        <v>4007</v>
      </c>
      <c r="G6871" s="910"/>
      <c r="H6871" s="911">
        <v>5</v>
      </c>
      <c r="I6871" s="912">
        <f>VLOOKUP(E6871,[3]VLP!$B$7:$K$300,10,0)</f>
        <v>5000</v>
      </c>
      <c r="J6871" s="912">
        <f t="shared" si="500"/>
        <v>25000</v>
      </c>
      <c r="K6871" s="912" t="s">
        <v>274</v>
      </c>
      <c r="L6871" s="912"/>
      <c r="M6871" s="912"/>
      <c r="N6871" s="912"/>
      <c r="O6871" s="892">
        <f t="shared" si="493"/>
        <v>0</v>
      </c>
      <c r="P6871" s="903">
        <f t="shared" si="495"/>
        <v>1</v>
      </c>
      <c r="Q6871" s="893">
        <f t="shared" si="496"/>
        <v>3</v>
      </c>
      <c r="R6871" s="894">
        <f t="shared" si="497"/>
        <v>0</v>
      </c>
    </row>
    <row r="6872" spans="1:18" s="904" customFormat="1">
      <c r="A6872" s="895"/>
      <c r="B6872" s="896"/>
      <c r="C6872" s="897"/>
      <c r="D6872" s="897"/>
      <c r="E6872" s="924" t="s">
        <v>276</v>
      </c>
      <c r="F6872" s="927"/>
      <c r="G6872" s="928"/>
      <c r="H6872" s="901"/>
      <c r="I6872" s="902"/>
      <c r="J6872" s="902"/>
      <c r="K6872" s="912" t="s">
        <v>274</v>
      </c>
      <c r="L6872" s="902"/>
      <c r="M6872" s="902"/>
      <c r="N6872" s="902"/>
      <c r="O6872" s="892">
        <f t="shared" si="493"/>
        <v>0</v>
      </c>
      <c r="P6872" s="903">
        <f t="shared" si="495"/>
        <v>1</v>
      </c>
      <c r="Q6872" s="893">
        <f t="shared" si="496"/>
        <v>2</v>
      </c>
      <c r="R6872" s="894">
        <f t="shared" si="497"/>
        <v>0</v>
      </c>
    </row>
    <row r="6873" spans="1:18">
      <c r="A6873" s="905"/>
      <c r="B6873" s="906"/>
      <c r="C6873" s="907">
        <v>745</v>
      </c>
      <c r="D6873" s="907" t="s">
        <v>12</v>
      </c>
      <c r="E6873" s="908" t="s">
        <v>5518</v>
      </c>
      <c r="F6873" s="909" t="s">
        <v>2674</v>
      </c>
      <c r="G6873" s="910"/>
      <c r="H6873" s="911">
        <v>8.65</v>
      </c>
      <c r="I6873" s="912"/>
      <c r="J6873" s="912"/>
      <c r="K6873" s="912">
        <f>VLOOKUP(E6873,[5]ĐMNC!$A$7:$F$67,4,0)</f>
        <v>240557</v>
      </c>
      <c r="L6873" s="912">
        <f>H6873*K6873</f>
        <v>2080818.05</v>
      </c>
      <c r="M6873" s="912"/>
      <c r="N6873" s="912"/>
      <c r="O6873" s="892">
        <f t="shared" si="493"/>
        <v>0</v>
      </c>
      <c r="P6873" s="903">
        <f t="shared" si="495"/>
        <v>1</v>
      </c>
      <c r="Q6873" s="893">
        <f t="shared" si="496"/>
        <v>1</v>
      </c>
      <c r="R6873" s="894">
        <f t="shared" si="497"/>
        <v>0</v>
      </c>
    </row>
    <row r="6874" spans="1:18" s="847" customFormat="1" ht="35.25" customHeight="1">
      <c r="A6874" s="905"/>
      <c r="B6874" s="914" t="s">
        <v>6031</v>
      </c>
      <c r="C6874" s="915"/>
      <c r="D6874" s="915"/>
      <c r="E6874" s="916" t="s">
        <v>6032</v>
      </c>
      <c r="F6874" s="917" t="s">
        <v>5834</v>
      </c>
      <c r="G6874" s="944"/>
      <c r="H6874" s="919"/>
      <c r="I6874" s="920"/>
      <c r="J6874" s="891">
        <f>SUM(J6875:J6888)</f>
        <v>589757.5</v>
      </c>
      <c r="K6874" s="891" t="s">
        <v>274</v>
      </c>
      <c r="L6874" s="891">
        <f>SUM(L6875:L6888)</f>
        <v>2268452.5099999998</v>
      </c>
      <c r="M6874" s="891"/>
      <c r="N6874" s="891">
        <f>SUM(N6875:N6888)</f>
        <v>0</v>
      </c>
      <c r="O6874" s="892">
        <f t="shared" si="493"/>
        <v>1</v>
      </c>
      <c r="P6874" s="903">
        <f t="shared" si="495"/>
        <v>0</v>
      </c>
      <c r="Q6874" s="893">
        <f t="shared" si="496"/>
        <v>0</v>
      </c>
      <c r="R6874" s="894">
        <f t="shared" si="497"/>
        <v>14</v>
      </c>
    </row>
    <row r="6875" spans="1:18" s="904" customFormat="1">
      <c r="A6875" s="895"/>
      <c r="B6875" s="896"/>
      <c r="C6875" s="897"/>
      <c r="D6875" s="897"/>
      <c r="E6875" s="898" t="s">
        <v>108</v>
      </c>
      <c r="F6875" s="899"/>
      <c r="G6875" s="928"/>
      <c r="H6875" s="901"/>
      <c r="I6875" s="902"/>
      <c r="J6875" s="902"/>
      <c r="K6875" s="912" t="s">
        <v>274</v>
      </c>
      <c r="L6875" s="902"/>
      <c r="M6875" s="902"/>
      <c r="N6875" s="902"/>
      <c r="O6875" s="892">
        <f t="shared" si="493"/>
        <v>0</v>
      </c>
      <c r="P6875" s="903">
        <f t="shared" si="495"/>
        <v>1</v>
      </c>
      <c r="Q6875" s="893">
        <f t="shared" si="496"/>
        <v>14</v>
      </c>
      <c r="R6875" s="894">
        <f t="shared" si="497"/>
        <v>0</v>
      </c>
    </row>
    <row r="6876" spans="1:18">
      <c r="A6876" s="905"/>
      <c r="B6876" s="906"/>
      <c r="C6876" s="907">
        <v>97</v>
      </c>
      <c r="D6876" s="907" t="s">
        <v>279</v>
      </c>
      <c r="E6876" s="925" t="s">
        <v>5866</v>
      </c>
      <c r="F6876" s="909" t="s">
        <v>51</v>
      </c>
      <c r="G6876" s="910"/>
      <c r="H6876" s="911">
        <v>1</v>
      </c>
      <c r="I6876" s="912">
        <f>VLOOKUP(E6876,[3]VLP!$B$7:$K$300,10,0)</f>
        <v>40560</v>
      </c>
      <c r="J6876" s="912">
        <f t="shared" ref="J6876:J6886" si="501">I6876*H6876</f>
        <v>40560</v>
      </c>
      <c r="K6876" s="912" t="s">
        <v>274</v>
      </c>
      <c r="L6876" s="912"/>
      <c r="M6876" s="912"/>
      <c r="N6876" s="912"/>
      <c r="O6876" s="892">
        <f t="shared" si="493"/>
        <v>0</v>
      </c>
      <c r="P6876" s="903">
        <f t="shared" si="495"/>
        <v>1</v>
      </c>
      <c r="Q6876" s="893">
        <f t="shared" si="496"/>
        <v>13</v>
      </c>
      <c r="R6876" s="894">
        <f t="shared" si="497"/>
        <v>0</v>
      </c>
    </row>
    <row r="6877" spans="1:18">
      <c r="A6877" s="905"/>
      <c r="B6877" s="906"/>
      <c r="C6877" s="907">
        <v>49</v>
      </c>
      <c r="D6877" s="907" t="s">
        <v>279</v>
      </c>
      <c r="E6877" s="925" t="s">
        <v>5698</v>
      </c>
      <c r="F6877" s="909" t="s">
        <v>139</v>
      </c>
      <c r="G6877" s="910"/>
      <c r="H6877" s="911">
        <v>2</v>
      </c>
      <c r="I6877" s="912">
        <f>VLOOKUP(E6877,[3]VLP!$B$7:$K$300,10,0)</f>
        <v>3000</v>
      </c>
      <c r="J6877" s="912">
        <f t="shared" si="501"/>
        <v>6000</v>
      </c>
      <c r="K6877" s="912" t="s">
        <v>274</v>
      </c>
      <c r="L6877" s="912"/>
      <c r="M6877" s="912"/>
      <c r="N6877" s="912"/>
      <c r="O6877" s="892">
        <f t="shared" si="493"/>
        <v>0</v>
      </c>
      <c r="P6877" s="903">
        <f t="shared" si="495"/>
        <v>1</v>
      </c>
      <c r="Q6877" s="893">
        <f t="shared" si="496"/>
        <v>12</v>
      </c>
      <c r="R6877" s="894">
        <f t="shared" si="497"/>
        <v>0</v>
      </c>
    </row>
    <row r="6878" spans="1:18">
      <c r="A6878" s="905"/>
      <c r="B6878" s="906"/>
      <c r="C6878" s="907">
        <v>50</v>
      </c>
      <c r="D6878" s="907" t="s">
        <v>279</v>
      </c>
      <c r="E6878" s="925" t="s">
        <v>5836</v>
      </c>
      <c r="F6878" s="909" t="s">
        <v>49</v>
      </c>
      <c r="G6878" s="910"/>
      <c r="H6878" s="911">
        <v>4</v>
      </c>
      <c r="I6878" s="912">
        <f>VLOOKUP(E6878,[3]VLP!$B$7:$K$300,10,0)</f>
        <v>85790</v>
      </c>
      <c r="J6878" s="912">
        <f t="shared" si="501"/>
        <v>343160</v>
      </c>
      <c r="K6878" s="912" t="s">
        <v>274</v>
      </c>
      <c r="L6878" s="912"/>
      <c r="M6878" s="912"/>
      <c r="N6878" s="912"/>
      <c r="O6878" s="892">
        <f t="shared" si="493"/>
        <v>0</v>
      </c>
      <c r="P6878" s="903">
        <f t="shared" si="495"/>
        <v>1</v>
      </c>
      <c r="Q6878" s="893">
        <f t="shared" si="496"/>
        <v>11</v>
      </c>
      <c r="R6878" s="894">
        <f t="shared" si="497"/>
        <v>0</v>
      </c>
    </row>
    <row r="6879" spans="1:18">
      <c r="A6879" s="905"/>
      <c r="B6879" s="906"/>
      <c r="C6879" s="907">
        <v>46</v>
      </c>
      <c r="D6879" s="907" t="s">
        <v>279</v>
      </c>
      <c r="E6879" s="925" t="s">
        <v>3179</v>
      </c>
      <c r="F6879" s="909" t="s">
        <v>45</v>
      </c>
      <c r="G6879" s="910"/>
      <c r="H6879" s="911">
        <v>6</v>
      </c>
      <c r="I6879" s="912">
        <f>VLOOKUP(E6879,[3]VLP!$B$7:$K$300,10,0)</f>
        <v>20500</v>
      </c>
      <c r="J6879" s="912">
        <f t="shared" si="501"/>
        <v>123000</v>
      </c>
      <c r="K6879" s="912" t="s">
        <v>274</v>
      </c>
      <c r="L6879" s="912"/>
      <c r="M6879" s="912"/>
      <c r="N6879" s="912"/>
      <c r="O6879" s="892">
        <f t="shared" ref="O6879:O6942" si="502">IF(AND(B6879&lt;&gt;"",D6879=""),1,0)</f>
        <v>0</v>
      </c>
      <c r="P6879" s="903">
        <f t="shared" si="495"/>
        <v>1</v>
      </c>
      <c r="Q6879" s="893">
        <f t="shared" si="496"/>
        <v>10</v>
      </c>
      <c r="R6879" s="894">
        <f t="shared" si="497"/>
        <v>0</v>
      </c>
    </row>
    <row r="6880" spans="1:18">
      <c r="A6880" s="905"/>
      <c r="B6880" s="906"/>
      <c r="C6880" s="907">
        <v>25</v>
      </c>
      <c r="D6880" s="907" t="s">
        <v>279</v>
      </c>
      <c r="E6880" s="925" t="s">
        <v>5656</v>
      </c>
      <c r="F6880" s="926" t="s">
        <v>2690</v>
      </c>
      <c r="G6880" s="910"/>
      <c r="H6880" s="911">
        <v>1.5</v>
      </c>
      <c r="I6880" s="912">
        <f>VLOOKUP(E6880,[3]VLP!$B$7:$K$300,10,0)</f>
        <v>5000</v>
      </c>
      <c r="J6880" s="912">
        <f t="shared" si="501"/>
        <v>7500</v>
      </c>
      <c r="K6880" s="912" t="s">
        <v>274</v>
      </c>
      <c r="L6880" s="912"/>
      <c r="M6880" s="912"/>
      <c r="N6880" s="912"/>
      <c r="O6880" s="892">
        <f t="shared" si="502"/>
        <v>0</v>
      </c>
      <c r="P6880" s="903">
        <f t="shared" si="495"/>
        <v>1</v>
      </c>
      <c r="Q6880" s="893">
        <f t="shared" si="496"/>
        <v>9</v>
      </c>
      <c r="R6880" s="894">
        <f t="shared" si="497"/>
        <v>0</v>
      </c>
    </row>
    <row r="6881" spans="1:18">
      <c r="A6881" s="905"/>
      <c r="B6881" s="906"/>
      <c r="C6881" s="907">
        <v>127</v>
      </c>
      <c r="D6881" s="907" t="s">
        <v>279</v>
      </c>
      <c r="E6881" s="925" t="s">
        <v>5657</v>
      </c>
      <c r="F6881" s="909" t="s">
        <v>45</v>
      </c>
      <c r="G6881" s="910"/>
      <c r="H6881" s="911">
        <v>0.5</v>
      </c>
      <c r="I6881" s="912">
        <f>VLOOKUP(E6881,[3]VLP!$B$7:$K$300,10,0)</f>
        <v>25155</v>
      </c>
      <c r="J6881" s="912">
        <f t="shared" si="501"/>
        <v>12577.5</v>
      </c>
      <c r="K6881" s="912" t="s">
        <v>274</v>
      </c>
      <c r="L6881" s="912"/>
      <c r="M6881" s="912"/>
      <c r="N6881" s="912"/>
      <c r="O6881" s="892">
        <f t="shared" si="502"/>
        <v>0</v>
      </c>
      <c r="P6881" s="903">
        <f t="shared" si="495"/>
        <v>1</v>
      </c>
      <c r="Q6881" s="893">
        <f t="shared" si="496"/>
        <v>8</v>
      </c>
      <c r="R6881" s="894">
        <f t="shared" si="497"/>
        <v>0</v>
      </c>
    </row>
    <row r="6882" spans="1:18">
      <c r="A6882" s="905"/>
      <c r="B6882" s="906"/>
      <c r="C6882" s="907">
        <v>44</v>
      </c>
      <c r="D6882" s="907" t="s">
        <v>279</v>
      </c>
      <c r="E6882" s="925" t="s">
        <v>2681</v>
      </c>
      <c r="F6882" s="926" t="s">
        <v>45</v>
      </c>
      <c r="G6882" s="910"/>
      <c r="H6882" s="911">
        <v>0.72</v>
      </c>
      <c r="I6882" s="912">
        <f>VLOOKUP(E6882,[3]VLP!$B$7:$K$300,10,0)</f>
        <v>23000</v>
      </c>
      <c r="J6882" s="912">
        <f t="shared" si="501"/>
        <v>16560</v>
      </c>
      <c r="K6882" s="912" t="s">
        <v>274</v>
      </c>
      <c r="L6882" s="912"/>
      <c r="M6882" s="912"/>
      <c r="N6882" s="912"/>
      <c r="O6882" s="892">
        <f t="shared" si="502"/>
        <v>0</v>
      </c>
      <c r="P6882" s="903">
        <f t="shared" si="495"/>
        <v>1</v>
      </c>
      <c r="Q6882" s="893">
        <f t="shared" si="496"/>
        <v>7</v>
      </c>
      <c r="R6882" s="894">
        <f t="shared" si="497"/>
        <v>0</v>
      </c>
    </row>
    <row r="6883" spans="1:18">
      <c r="A6883" s="905"/>
      <c r="B6883" s="906"/>
      <c r="C6883" s="907">
        <v>66</v>
      </c>
      <c r="D6883" s="907" t="s">
        <v>279</v>
      </c>
      <c r="E6883" s="925" t="s">
        <v>2682</v>
      </c>
      <c r="F6883" s="926" t="s">
        <v>45</v>
      </c>
      <c r="G6883" s="910"/>
      <c r="H6883" s="911">
        <v>0.25</v>
      </c>
      <c r="I6883" s="912">
        <f>VLOOKUP(E6883,[3]VLP!$B$7:$K$300,10,0)</f>
        <v>5000</v>
      </c>
      <c r="J6883" s="912">
        <f t="shared" si="501"/>
        <v>1250</v>
      </c>
      <c r="K6883" s="912" t="s">
        <v>274</v>
      </c>
      <c r="L6883" s="912"/>
      <c r="M6883" s="912"/>
      <c r="N6883" s="912"/>
      <c r="O6883" s="892">
        <f t="shared" si="502"/>
        <v>0</v>
      </c>
      <c r="P6883" s="903">
        <f t="shared" si="495"/>
        <v>1</v>
      </c>
      <c r="Q6883" s="893">
        <f t="shared" si="496"/>
        <v>6</v>
      </c>
      <c r="R6883" s="894">
        <f t="shared" si="497"/>
        <v>0</v>
      </c>
    </row>
    <row r="6884" spans="1:18">
      <c r="A6884" s="905"/>
      <c r="B6884" s="906"/>
      <c r="C6884" s="907">
        <v>65</v>
      </c>
      <c r="D6884" s="907" t="s">
        <v>279</v>
      </c>
      <c r="E6884" s="925" t="s">
        <v>5983</v>
      </c>
      <c r="F6884" s="926" t="s">
        <v>3144</v>
      </c>
      <c r="G6884" s="910"/>
      <c r="H6884" s="911">
        <v>1</v>
      </c>
      <c r="I6884" s="912">
        <f>VLOOKUP(E6884,[3]VLP!$B$7:$K$300,10,0)</f>
        <v>14000</v>
      </c>
      <c r="J6884" s="912">
        <f t="shared" si="501"/>
        <v>14000</v>
      </c>
      <c r="K6884" s="912" t="s">
        <v>274</v>
      </c>
      <c r="L6884" s="912"/>
      <c r="M6884" s="912"/>
      <c r="N6884" s="912"/>
      <c r="O6884" s="892">
        <f t="shared" si="502"/>
        <v>0</v>
      </c>
      <c r="P6884" s="903">
        <f t="shared" si="495"/>
        <v>1</v>
      </c>
      <c r="Q6884" s="893">
        <f t="shared" si="496"/>
        <v>5</v>
      </c>
      <c r="R6884" s="894">
        <f t="shared" si="497"/>
        <v>0</v>
      </c>
    </row>
    <row r="6885" spans="1:18">
      <c r="A6885" s="905"/>
      <c r="B6885" s="906"/>
      <c r="C6885" s="907">
        <v>89</v>
      </c>
      <c r="D6885" s="907" t="s">
        <v>279</v>
      </c>
      <c r="E6885" s="925" t="s">
        <v>5984</v>
      </c>
      <c r="F6885" s="926" t="s">
        <v>45</v>
      </c>
      <c r="G6885" s="910"/>
      <c r="H6885" s="911">
        <v>0.15</v>
      </c>
      <c r="I6885" s="912">
        <f>VLOOKUP(E6885,[3]VLP!$B$7:$K$300,10,0)</f>
        <v>1000</v>
      </c>
      <c r="J6885" s="912">
        <f t="shared" si="501"/>
        <v>150</v>
      </c>
      <c r="K6885" s="912" t="s">
        <v>274</v>
      </c>
      <c r="L6885" s="912"/>
      <c r="M6885" s="912"/>
      <c r="N6885" s="912"/>
      <c r="O6885" s="892">
        <f t="shared" si="502"/>
        <v>0</v>
      </c>
      <c r="P6885" s="903">
        <f t="shared" si="495"/>
        <v>1</v>
      </c>
      <c r="Q6885" s="893">
        <f t="shared" si="496"/>
        <v>4</v>
      </c>
      <c r="R6885" s="894">
        <f t="shared" si="497"/>
        <v>0</v>
      </c>
    </row>
    <row r="6886" spans="1:18">
      <c r="A6886" s="905"/>
      <c r="B6886" s="906"/>
      <c r="C6886" s="907">
        <v>699</v>
      </c>
      <c r="D6886" s="907" t="s">
        <v>279</v>
      </c>
      <c r="E6886" s="925" t="s">
        <v>4006</v>
      </c>
      <c r="F6886" s="926" t="s">
        <v>4007</v>
      </c>
      <c r="G6886" s="910"/>
      <c r="H6886" s="911">
        <v>5</v>
      </c>
      <c r="I6886" s="912">
        <f>VLOOKUP(E6886,[3]VLP!$B$7:$K$300,10,0)</f>
        <v>5000</v>
      </c>
      <c r="J6886" s="912">
        <f t="shared" si="501"/>
        <v>25000</v>
      </c>
      <c r="K6886" s="912" t="s">
        <v>274</v>
      </c>
      <c r="L6886" s="912"/>
      <c r="M6886" s="912"/>
      <c r="N6886" s="912"/>
      <c r="O6886" s="892">
        <f t="shared" si="502"/>
        <v>0</v>
      </c>
      <c r="P6886" s="903">
        <f t="shared" si="495"/>
        <v>1</v>
      </c>
      <c r="Q6886" s="893">
        <f t="shared" si="496"/>
        <v>3</v>
      </c>
      <c r="R6886" s="894">
        <f t="shared" si="497"/>
        <v>0</v>
      </c>
    </row>
    <row r="6887" spans="1:18" s="904" customFormat="1">
      <c r="A6887" s="895"/>
      <c r="B6887" s="896"/>
      <c r="C6887" s="897"/>
      <c r="D6887" s="897"/>
      <c r="E6887" s="924" t="s">
        <v>276</v>
      </c>
      <c r="F6887" s="927"/>
      <c r="G6887" s="928"/>
      <c r="H6887" s="901"/>
      <c r="I6887" s="902"/>
      <c r="J6887" s="902"/>
      <c r="K6887" s="912" t="s">
        <v>274</v>
      </c>
      <c r="L6887" s="902"/>
      <c r="M6887" s="902"/>
      <c r="N6887" s="902"/>
      <c r="O6887" s="892">
        <f t="shared" si="502"/>
        <v>0</v>
      </c>
      <c r="P6887" s="903">
        <f t="shared" si="495"/>
        <v>1</v>
      </c>
      <c r="Q6887" s="893">
        <f t="shared" si="496"/>
        <v>2</v>
      </c>
      <c r="R6887" s="894">
        <f t="shared" si="497"/>
        <v>0</v>
      </c>
    </row>
    <row r="6888" spans="1:18">
      <c r="A6888" s="905"/>
      <c r="B6888" s="906"/>
      <c r="C6888" s="907">
        <v>745</v>
      </c>
      <c r="D6888" s="907" t="s">
        <v>12</v>
      </c>
      <c r="E6888" s="908" t="s">
        <v>5518</v>
      </c>
      <c r="F6888" s="909" t="s">
        <v>2674</v>
      </c>
      <c r="G6888" s="910"/>
      <c r="H6888" s="911">
        <v>9.43</v>
      </c>
      <c r="I6888" s="912"/>
      <c r="J6888" s="912"/>
      <c r="K6888" s="912">
        <f>VLOOKUP(E6888,[5]ĐMNC!$A$7:$F$67,4,0)</f>
        <v>240557</v>
      </c>
      <c r="L6888" s="912">
        <f>H6888*K6888</f>
        <v>2268452.5099999998</v>
      </c>
      <c r="M6888" s="912"/>
      <c r="N6888" s="912"/>
      <c r="O6888" s="892">
        <f t="shared" si="502"/>
        <v>0</v>
      </c>
      <c r="P6888" s="903">
        <f t="shared" ref="P6888:P6951" si="503">IF(O6888=0,1,0)</f>
        <v>1</v>
      </c>
      <c r="Q6888" s="893">
        <f t="shared" ref="Q6888:Q6951" si="504">IF(P6888=0,0,P6888+Q6889)</f>
        <v>1</v>
      </c>
      <c r="R6888" s="894">
        <f t="shared" ref="R6888:R6951" si="505">IF(Q6888=0,Q6889,0)</f>
        <v>0</v>
      </c>
    </row>
    <row r="6889" spans="1:18" s="847" customFormat="1" ht="35.25" customHeight="1">
      <c r="A6889" s="905" t="s">
        <v>5960</v>
      </c>
      <c r="B6889" s="914" t="s">
        <v>6033</v>
      </c>
      <c r="C6889" s="915"/>
      <c r="D6889" s="915"/>
      <c r="E6889" s="916" t="s">
        <v>6034</v>
      </c>
      <c r="F6889" s="917" t="s">
        <v>5834</v>
      </c>
      <c r="G6889" s="944"/>
      <c r="H6889" s="919"/>
      <c r="I6889" s="920"/>
      <c r="J6889" s="891">
        <f>SUM(J6890:J6903)</f>
        <v>596767.5</v>
      </c>
      <c r="K6889" s="891" t="s">
        <v>274</v>
      </c>
      <c r="L6889" s="891">
        <f>SUM(L6890:L6903)</f>
        <v>2684616.12</v>
      </c>
      <c r="M6889" s="891"/>
      <c r="N6889" s="891">
        <f>SUM(N6890:N6903)</f>
        <v>0</v>
      </c>
      <c r="O6889" s="892">
        <f t="shared" si="502"/>
        <v>1</v>
      </c>
      <c r="P6889" s="903">
        <f t="shared" si="503"/>
        <v>0</v>
      </c>
      <c r="Q6889" s="893">
        <f t="shared" si="504"/>
        <v>0</v>
      </c>
      <c r="R6889" s="894">
        <f t="shared" si="505"/>
        <v>14</v>
      </c>
    </row>
    <row r="6890" spans="1:18" s="904" customFormat="1">
      <c r="A6890" s="895"/>
      <c r="B6890" s="896"/>
      <c r="C6890" s="897"/>
      <c r="D6890" s="897"/>
      <c r="E6890" s="898" t="s">
        <v>108</v>
      </c>
      <c r="F6890" s="899"/>
      <c r="G6890" s="928"/>
      <c r="H6890" s="901"/>
      <c r="I6890" s="902"/>
      <c r="J6890" s="902"/>
      <c r="K6890" s="912" t="s">
        <v>274</v>
      </c>
      <c r="L6890" s="902"/>
      <c r="M6890" s="902"/>
      <c r="N6890" s="902"/>
      <c r="O6890" s="892">
        <f t="shared" si="502"/>
        <v>0</v>
      </c>
      <c r="P6890" s="903">
        <f t="shared" si="503"/>
        <v>1</v>
      </c>
      <c r="Q6890" s="893">
        <f t="shared" si="504"/>
        <v>14</v>
      </c>
      <c r="R6890" s="894">
        <f t="shared" si="505"/>
        <v>0</v>
      </c>
    </row>
    <row r="6891" spans="1:18">
      <c r="A6891" s="905"/>
      <c r="B6891" s="906"/>
      <c r="C6891" s="907">
        <v>98</v>
      </c>
      <c r="D6891" s="907" t="s">
        <v>279</v>
      </c>
      <c r="E6891" s="925" t="s">
        <v>5869</v>
      </c>
      <c r="F6891" s="909" t="s">
        <v>51</v>
      </c>
      <c r="G6891" s="910"/>
      <c r="H6891" s="911">
        <v>1</v>
      </c>
      <c r="I6891" s="912">
        <f>VLOOKUP(E6891,[3]VLP!$B$7:$K$300,10,0)</f>
        <v>47320</v>
      </c>
      <c r="J6891" s="912">
        <f t="shared" ref="J6891:J6901" si="506">I6891*H6891</f>
        <v>47320</v>
      </c>
      <c r="K6891" s="912" t="s">
        <v>274</v>
      </c>
      <c r="L6891" s="912"/>
      <c r="M6891" s="912"/>
      <c r="N6891" s="912"/>
      <c r="O6891" s="892">
        <f t="shared" si="502"/>
        <v>0</v>
      </c>
      <c r="P6891" s="903">
        <f t="shared" si="503"/>
        <v>1</v>
      </c>
      <c r="Q6891" s="893">
        <f t="shared" si="504"/>
        <v>13</v>
      </c>
      <c r="R6891" s="894">
        <f t="shared" si="505"/>
        <v>0</v>
      </c>
    </row>
    <row r="6892" spans="1:18">
      <c r="A6892" s="905"/>
      <c r="B6892" s="906"/>
      <c r="C6892" s="907">
        <v>49</v>
      </c>
      <c r="D6892" s="907" t="s">
        <v>279</v>
      </c>
      <c r="E6892" s="925" t="s">
        <v>5698</v>
      </c>
      <c r="F6892" s="909" t="s">
        <v>139</v>
      </c>
      <c r="G6892" s="910"/>
      <c r="H6892" s="911">
        <v>2</v>
      </c>
      <c r="I6892" s="912">
        <f>VLOOKUP(E6892,[3]VLP!$B$7:$K$300,10,0)</f>
        <v>3000</v>
      </c>
      <c r="J6892" s="912">
        <f t="shared" si="506"/>
        <v>6000</v>
      </c>
      <c r="K6892" s="912" t="s">
        <v>274</v>
      </c>
      <c r="L6892" s="912"/>
      <c r="M6892" s="912"/>
      <c r="N6892" s="912"/>
      <c r="O6892" s="892">
        <f t="shared" si="502"/>
        <v>0</v>
      </c>
      <c r="P6892" s="903">
        <f t="shared" si="503"/>
        <v>1</v>
      </c>
      <c r="Q6892" s="893">
        <f t="shared" si="504"/>
        <v>12</v>
      </c>
      <c r="R6892" s="894">
        <f t="shared" si="505"/>
        <v>0</v>
      </c>
    </row>
    <row r="6893" spans="1:18">
      <c r="A6893" s="905"/>
      <c r="B6893" s="906"/>
      <c r="C6893" s="907">
        <v>50</v>
      </c>
      <c r="D6893" s="907" t="s">
        <v>279</v>
      </c>
      <c r="E6893" s="925" t="s">
        <v>5836</v>
      </c>
      <c r="F6893" s="909" t="s">
        <v>49</v>
      </c>
      <c r="G6893" s="910"/>
      <c r="H6893" s="911">
        <v>4</v>
      </c>
      <c r="I6893" s="912">
        <f>VLOOKUP(E6893,[3]VLP!$B$7:$K$300,10,0)</f>
        <v>85790</v>
      </c>
      <c r="J6893" s="912">
        <f t="shared" si="506"/>
        <v>343160</v>
      </c>
      <c r="K6893" s="912" t="s">
        <v>274</v>
      </c>
      <c r="L6893" s="912"/>
      <c r="M6893" s="912"/>
      <c r="N6893" s="912"/>
      <c r="O6893" s="892">
        <f t="shared" si="502"/>
        <v>0</v>
      </c>
      <c r="P6893" s="903">
        <f t="shared" si="503"/>
        <v>1</v>
      </c>
      <c r="Q6893" s="893">
        <f t="shared" si="504"/>
        <v>11</v>
      </c>
      <c r="R6893" s="894">
        <f t="shared" si="505"/>
        <v>0</v>
      </c>
    </row>
    <row r="6894" spans="1:18">
      <c r="A6894" s="905"/>
      <c r="B6894" s="906"/>
      <c r="C6894" s="907">
        <v>46</v>
      </c>
      <c r="D6894" s="907" t="s">
        <v>279</v>
      </c>
      <c r="E6894" s="925" t="s">
        <v>3179</v>
      </c>
      <c r="F6894" s="909" t="s">
        <v>45</v>
      </c>
      <c r="G6894" s="910"/>
      <c r="H6894" s="911">
        <v>6</v>
      </c>
      <c r="I6894" s="912">
        <f>VLOOKUP(E6894,[3]VLP!$B$7:$K$300,10,0)</f>
        <v>20500</v>
      </c>
      <c r="J6894" s="912">
        <f t="shared" si="506"/>
        <v>123000</v>
      </c>
      <c r="K6894" s="912" t="s">
        <v>274</v>
      </c>
      <c r="L6894" s="912"/>
      <c r="M6894" s="912"/>
      <c r="N6894" s="912"/>
      <c r="O6894" s="892">
        <f t="shared" si="502"/>
        <v>0</v>
      </c>
      <c r="P6894" s="903">
        <f t="shared" si="503"/>
        <v>1</v>
      </c>
      <c r="Q6894" s="893">
        <f t="shared" si="504"/>
        <v>10</v>
      </c>
      <c r="R6894" s="894">
        <f t="shared" si="505"/>
        <v>0</v>
      </c>
    </row>
    <row r="6895" spans="1:18">
      <c r="A6895" s="905"/>
      <c r="B6895" s="906"/>
      <c r="C6895" s="907">
        <v>25</v>
      </c>
      <c r="D6895" s="907" t="s">
        <v>279</v>
      </c>
      <c r="E6895" s="925" t="s">
        <v>5656</v>
      </c>
      <c r="F6895" s="926" t="s">
        <v>2690</v>
      </c>
      <c r="G6895" s="910"/>
      <c r="H6895" s="911">
        <v>1.5</v>
      </c>
      <c r="I6895" s="912">
        <f>VLOOKUP(E6895,[3]VLP!$B$7:$K$300,10,0)</f>
        <v>5000</v>
      </c>
      <c r="J6895" s="912">
        <f t="shared" si="506"/>
        <v>7500</v>
      </c>
      <c r="K6895" s="912" t="s">
        <v>274</v>
      </c>
      <c r="L6895" s="912"/>
      <c r="M6895" s="912"/>
      <c r="N6895" s="912"/>
      <c r="O6895" s="892">
        <f t="shared" si="502"/>
        <v>0</v>
      </c>
      <c r="P6895" s="903">
        <f t="shared" si="503"/>
        <v>1</v>
      </c>
      <c r="Q6895" s="893">
        <f t="shared" si="504"/>
        <v>9</v>
      </c>
      <c r="R6895" s="894">
        <f t="shared" si="505"/>
        <v>0</v>
      </c>
    </row>
    <row r="6896" spans="1:18">
      <c r="A6896" s="905"/>
      <c r="B6896" s="906"/>
      <c r="C6896" s="907">
        <v>127</v>
      </c>
      <c r="D6896" s="907" t="s">
        <v>279</v>
      </c>
      <c r="E6896" s="925" t="s">
        <v>5657</v>
      </c>
      <c r="F6896" s="909" t="s">
        <v>45</v>
      </c>
      <c r="G6896" s="910"/>
      <c r="H6896" s="911">
        <v>0.5</v>
      </c>
      <c r="I6896" s="912">
        <f>VLOOKUP(E6896,[3]VLP!$B$7:$K$300,10,0)</f>
        <v>25155</v>
      </c>
      <c r="J6896" s="912">
        <f t="shared" si="506"/>
        <v>12577.5</v>
      </c>
      <c r="K6896" s="912" t="s">
        <v>274</v>
      </c>
      <c r="L6896" s="912"/>
      <c r="M6896" s="912"/>
      <c r="N6896" s="912"/>
      <c r="O6896" s="892">
        <f t="shared" si="502"/>
        <v>0</v>
      </c>
      <c r="P6896" s="903">
        <f t="shared" si="503"/>
        <v>1</v>
      </c>
      <c r="Q6896" s="893">
        <f t="shared" si="504"/>
        <v>8</v>
      </c>
      <c r="R6896" s="894">
        <f t="shared" si="505"/>
        <v>0</v>
      </c>
    </row>
    <row r="6897" spans="1:18">
      <c r="A6897" s="905"/>
      <c r="B6897" s="906"/>
      <c r="C6897" s="907">
        <v>44</v>
      </c>
      <c r="D6897" s="907" t="s">
        <v>279</v>
      </c>
      <c r="E6897" s="925" t="s">
        <v>2681</v>
      </c>
      <c r="F6897" s="926" t="s">
        <v>45</v>
      </c>
      <c r="G6897" s="910"/>
      <c r="H6897" s="911">
        <v>0.72</v>
      </c>
      <c r="I6897" s="912">
        <f>VLOOKUP(E6897,[3]VLP!$B$7:$K$300,10,0)</f>
        <v>23000</v>
      </c>
      <c r="J6897" s="912">
        <f t="shared" si="506"/>
        <v>16560</v>
      </c>
      <c r="K6897" s="912" t="s">
        <v>274</v>
      </c>
      <c r="L6897" s="912"/>
      <c r="M6897" s="912"/>
      <c r="N6897" s="912"/>
      <c r="O6897" s="892">
        <f t="shared" si="502"/>
        <v>0</v>
      </c>
      <c r="P6897" s="903">
        <f t="shared" si="503"/>
        <v>1</v>
      </c>
      <c r="Q6897" s="893">
        <f t="shared" si="504"/>
        <v>7</v>
      </c>
      <c r="R6897" s="894">
        <f t="shared" si="505"/>
        <v>0</v>
      </c>
    </row>
    <row r="6898" spans="1:18">
      <c r="A6898" s="905"/>
      <c r="B6898" s="906"/>
      <c r="C6898" s="907">
        <v>66</v>
      </c>
      <c r="D6898" s="907" t="s">
        <v>279</v>
      </c>
      <c r="E6898" s="925" t="s">
        <v>2682</v>
      </c>
      <c r="F6898" s="926" t="s">
        <v>45</v>
      </c>
      <c r="G6898" s="910"/>
      <c r="H6898" s="911">
        <v>0.3</v>
      </c>
      <c r="I6898" s="912">
        <f>VLOOKUP(E6898,[3]VLP!$B$7:$K$300,10,0)</f>
        <v>5000</v>
      </c>
      <c r="J6898" s="912">
        <f t="shared" si="506"/>
        <v>1500</v>
      </c>
      <c r="K6898" s="912" t="s">
        <v>274</v>
      </c>
      <c r="L6898" s="912"/>
      <c r="M6898" s="912"/>
      <c r="N6898" s="912"/>
      <c r="O6898" s="892">
        <f t="shared" si="502"/>
        <v>0</v>
      </c>
      <c r="P6898" s="903">
        <f t="shared" si="503"/>
        <v>1</v>
      </c>
      <c r="Q6898" s="893">
        <f t="shared" si="504"/>
        <v>6</v>
      </c>
      <c r="R6898" s="894">
        <f t="shared" si="505"/>
        <v>0</v>
      </c>
    </row>
    <row r="6899" spans="1:18">
      <c r="A6899" s="905"/>
      <c r="B6899" s="906"/>
      <c r="C6899" s="907">
        <v>65</v>
      </c>
      <c r="D6899" s="907" t="s">
        <v>279</v>
      </c>
      <c r="E6899" s="925" t="s">
        <v>5983</v>
      </c>
      <c r="F6899" s="926" t="s">
        <v>3144</v>
      </c>
      <c r="G6899" s="910"/>
      <c r="H6899" s="911">
        <v>1</v>
      </c>
      <c r="I6899" s="912">
        <f>VLOOKUP(E6899,[3]VLP!$B$7:$K$300,10,0)</f>
        <v>14000</v>
      </c>
      <c r="J6899" s="912">
        <f t="shared" si="506"/>
        <v>14000</v>
      </c>
      <c r="K6899" s="912" t="s">
        <v>274</v>
      </c>
      <c r="L6899" s="912"/>
      <c r="M6899" s="912"/>
      <c r="N6899" s="912"/>
      <c r="O6899" s="892">
        <f t="shared" si="502"/>
        <v>0</v>
      </c>
      <c r="P6899" s="903">
        <f t="shared" si="503"/>
        <v>1</v>
      </c>
      <c r="Q6899" s="893">
        <f t="shared" si="504"/>
        <v>5</v>
      </c>
      <c r="R6899" s="894">
        <f t="shared" si="505"/>
        <v>0</v>
      </c>
    </row>
    <row r="6900" spans="1:18">
      <c r="A6900" s="905"/>
      <c r="B6900" s="906"/>
      <c r="C6900" s="907">
        <v>89</v>
      </c>
      <c r="D6900" s="907" t="s">
        <v>279</v>
      </c>
      <c r="E6900" s="925" t="s">
        <v>5984</v>
      </c>
      <c r="F6900" s="926" t="s">
        <v>45</v>
      </c>
      <c r="G6900" s="910"/>
      <c r="H6900" s="911">
        <v>0.15</v>
      </c>
      <c r="I6900" s="912">
        <f>VLOOKUP(E6900,[3]VLP!$B$7:$K$300,10,0)</f>
        <v>1000</v>
      </c>
      <c r="J6900" s="912">
        <f t="shared" si="506"/>
        <v>150</v>
      </c>
      <c r="K6900" s="912" t="s">
        <v>274</v>
      </c>
      <c r="L6900" s="912"/>
      <c r="M6900" s="912"/>
      <c r="N6900" s="912"/>
      <c r="O6900" s="892">
        <f t="shared" si="502"/>
        <v>0</v>
      </c>
      <c r="P6900" s="903">
        <f t="shared" si="503"/>
        <v>1</v>
      </c>
      <c r="Q6900" s="893">
        <f t="shared" si="504"/>
        <v>4</v>
      </c>
      <c r="R6900" s="894">
        <f t="shared" si="505"/>
        <v>0</v>
      </c>
    </row>
    <row r="6901" spans="1:18">
      <c r="A6901" s="905"/>
      <c r="B6901" s="906"/>
      <c r="C6901" s="907">
        <v>699</v>
      </c>
      <c r="D6901" s="907" t="s">
        <v>279</v>
      </c>
      <c r="E6901" s="925" t="s">
        <v>4006</v>
      </c>
      <c r="F6901" s="926" t="s">
        <v>4007</v>
      </c>
      <c r="G6901" s="910"/>
      <c r="H6901" s="911">
        <v>5</v>
      </c>
      <c r="I6901" s="912">
        <f>VLOOKUP(E6901,[3]VLP!$B$7:$K$300,10,0)</f>
        <v>5000</v>
      </c>
      <c r="J6901" s="912">
        <f t="shared" si="506"/>
        <v>25000</v>
      </c>
      <c r="K6901" s="912" t="s">
        <v>274</v>
      </c>
      <c r="L6901" s="912"/>
      <c r="M6901" s="912"/>
      <c r="N6901" s="912"/>
      <c r="O6901" s="892">
        <f t="shared" si="502"/>
        <v>0</v>
      </c>
      <c r="P6901" s="903">
        <f t="shared" si="503"/>
        <v>1</v>
      </c>
      <c r="Q6901" s="893">
        <f t="shared" si="504"/>
        <v>3</v>
      </c>
      <c r="R6901" s="894">
        <f t="shared" si="505"/>
        <v>0</v>
      </c>
    </row>
    <row r="6902" spans="1:18" s="904" customFormat="1">
      <c r="A6902" s="895"/>
      <c r="B6902" s="896"/>
      <c r="C6902" s="897"/>
      <c r="D6902" s="897"/>
      <c r="E6902" s="924" t="s">
        <v>276</v>
      </c>
      <c r="F6902" s="927"/>
      <c r="G6902" s="928"/>
      <c r="H6902" s="901"/>
      <c r="I6902" s="902"/>
      <c r="J6902" s="902"/>
      <c r="K6902" s="912" t="s">
        <v>274</v>
      </c>
      <c r="L6902" s="902"/>
      <c r="M6902" s="902"/>
      <c r="N6902" s="902"/>
      <c r="O6902" s="892">
        <f t="shared" si="502"/>
        <v>0</v>
      </c>
      <c r="P6902" s="903">
        <f t="shared" si="503"/>
        <v>1</v>
      </c>
      <c r="Q6902" s="893">
        <f t="shared" si="504"/>
        <v>2</v>
      </c>
      <c r="R6902" s="894">
        <f t="shared" si="505"/>
        <v>0</v>
      </c>
    </row>
    <row r="6903" spans="1:18">
      <c r="A6903" s="905"/>
      <c r="B6903" s="906"/>
      <c r="C6903" s="907">
        <v>745</v>
      </c>
      <c r="D6903" s="907" t="s">
        <v>12</v>
      </c>
      <c r="E6903" s="908" t="s">
        <v>5518</v>
      </c>
      <c r="F6903" s="909" t="s">
        <v>2674</v>
      </c>
      <c r="G6903" s="910"/>
      <c r="H6903" s="911">
        <v>11.16</v>
      </c>
      <c r="I6903" s="912"/>
      <c r="J6903" s="912"/>
      <c r="K6903" s="912">
        <f>VLOOKUP(E6903,[5]ĐMNC!$A$7:$F$67,4,0)</f>
        <v>240557</v>
      </c>
      <c r="L6903" s="912">
        <f>H6903*K6903</f>
        <v>2684616.12</v>
      </c>
      <c r="M6903" s="912"/>
      <c r="N6903" s="912"/>
      <c r="O6903" s="892">
        <f t="shared" si="502"/>
        <v>0</v>
      </c>
      <c r="P6903" s="903">
        <f t="shared" si="503"/>
        <v>1</v>
      </c>
      <c r="Q6903" s="893">
        <f t="shared" si="504"/>
        <v>1</v>
      </c>
      <c r="R6903" s="894">
        <f t="shared" si="505"/>
        <v>0</v>
      </c>
    </row>
    <row r="6904" spans="1:18" s="847" customFormat="1" ht="35.25" customHeight="1">
      <c r="A6904" s="905"/>
      <c r="B6904" s="914" t="s">
        <v>6035</v>
      </c>
      <c r="C6904" s="915"/>
      <c r="D6904" s="915"/>
      <c r="E6904" s="916" t="s">
        <v>6036</v>
      </c>
      <c r="F6904" s="917" t="s">
        <v>5834</v>
      </c>
      <c r="G6904" s="944"/>
      <c r="H6904" s="919"/>
      <c r="I6904" s="920"/>
      <c r="J6904" s="891">
        <f>SUM(J6905:J6918)</f>
        <v>630567.5</v>
      </c>
      <c r="K6904" s="891" t="s">
        <v>274</v>
      </c>
      <c r="L6904" s="891">
        <f>SUM(L6905:L6918)</f>
        <v>2742349.8000000003</v>
      </c>
      <c r="M6904" s="891"/>
      <c r="N6904" s="891">
        <f>SUM(N6905:N6918)</f>
        <v>0</v>
      </c>
      <c r="O6904" s="892">
        <f t="shared" si="502"/>
        <v>1</v>
      </c>
      <c r="P6904" s="903">
        <f t="shared" si="503"/>
        <v>0</v>
      </c>
      <c r="Q6904" s="893">
        <f t="shared" si="504"/>
        <v>0</v>
      </c>
      <c r="R6904" s="894">
        <f t="shared" si="505"/>
        <v>14</v>
      </c>
    </row>
    <row r="6905" spans="1:18" s="904" customFormat="1">
      <c r="A6905" s="895"/>
      <c r="B6905" s="896"/>
      <c r="C6905" s="897"/>
      <c r="D6905" s="897"/>
      <c r="E6905" s="898" t="s">
        <v>108</v>
      </c>
      <c r="F6905" s="899"/>
      <c r="G6905" s="928"/>
      <c r="H6905" s="901"/>
      <c r="I6905" s="902"/>
      <c r="J6905" s="902"/>
      <c r="K6905" s="912" t="s">
        <v>274</v>
      </c>
      <c r="L6905" s="902"/>
      <c r="M6905" s="902"/>
      <c r="N6905" s="902"/>
      <c r="O6905" s="892">
        <f t="shared" si="502"/>
        <v>0</v>
      </c>
      <c r="P6905" s="903">
        <f t="shared" si="503"/>
        <v>1</v>
      </c>
      <c r="Q6905" s="893">
        <f t="shared" si="504"/>
        <v>14</v>
      </c>
      <c r="R6905" s="894">
        <f t="shared" si="505"/>
        <v>0</v>
      </c>
    </row>
    <row r="6906" spans="1:18">
      <c r="A6906" s="905"/>
      <c r="B6906" s="906"/>
      <c r="C6906" s="907">
        <v>99</v>
      </c>
      <c r="D6906" s="907" t="s">
        <v>279</v>
      </c>
      <c r="E6906" s="925" t="s">
        <v>5872</v>
      </c>
      <c r="F6906" s="909" t="s">
        <v>51</v>
      </c>
      <c r="G6906" s="910"/>
      <c r="H6906" s="911">
        <v>1</v>
      </c>
      <c r="I6906" s="912">
        <f>VLOOKUP(E6906,[3]VLP!$B$7:$K$300,10,0)</f>
        <v>81120</v>
      </c>
      <c r="J6906" s="912">
        <f t="shared" ref="J6906:J6916" si="507">I6906*H6906</f>
        <v>81120</v>
      </c>
      <c r="K6906" s="912" t="s">
        <v>274</v>
      </c>
      <c r="L6906" s="912"/>
      <c r="M6906" s="912"/>
      <c r="N6906" s="912"/>
      <c r="O6906" s="892">
        <f t="shared" si="502"/>
        <v>0</v>
      </c>
      <c r="P6906" s="903">
        <f t="shared" si="503"/>
        <v>1</v>
      </c>
      <c r="Q6906" s="893">
        <f t="shared" si="504"/>
        <v>13</v>
      </c>
      <c r="R6906" s="894">
        <f t="shared" si="505"/>
        <v>0</v>
      </c>
    </row>
    <row r="6907" spans="1:18">
      <c r="A6907" s="905"/>
      <c r="B6907" s="906"/>
      <c r="C6907" s="907">
        <v>49</v>
      </c>
      <c r="D6907" s="907" t="s">
        <v>279</v>
      </c>
      <c r="E6907" s="925" t="s">
        <v>5698</v>
      </c>
      <c r="F6907" s="909" t="s">
        <v>139</v>
      </c>
      <c r="G6907" s="910"/>
      <c r="H6907" s="911">
        <v>2</v>
      </c>
      <c r="I6907" s="912">
        <f>VLOOKUP(E6907,[3]VLP!$B$7:$K$300,10,0)</f>
        <v>3000</v>
      </c>
      <c r="J6907" s="912">
        <f t="shared" si="507"/>
        <v>6000</v>
      </c>
      <c r="K6907" s="912" t="s">
        <v>274</v>
      </c>
      <c r="L6907" s="912"/>
      <c r="M6907" s="912"/>
      <c r="N6907" s="912"/>
      <c r="O6907" s="892">
        <f t="shared" si="502"/>
        <v>0</v>
      </c>
      <c r="P6907" s="903">
        <f t="shared" si="503"/>
        <v>1</v>
      </c>
      <c r="Q6907" s="893">
        <f t="shared" si="504"/>
        <v>12</v>
      </c>
      <c r="R6907" s="894">
        <f t="shared" si="505"/>
        <v>0</v>
      </c>
    </row>
    <row r="6908" spans="1:18">
      <c r="A6908" s="905"/>
      <c r="B6908" s="906"/>
      <c r="C6908" s="907">
        <v>50</v>
      </c>
      <c r="D6908" s="907" t="s">
        <v>279</v>
      </c>
      <c r="E6908" s="925" t="s">
        <v>5836</v>
      </c>
      <c r="F6908" s="909" t="s">
        <v>49</v>
      </c>
      <c r="G6908" s="910"/>
      <c r="H6908" s="911">
        <v>4</v>
      </c>
      <c r="I6908" s="912">
        <f>VLOOKUP(E6908,[3]VLP!$B$7:$K$300,10,0)</f>
        <v>85790</v>
      </c>
      <c r="J6908" s="912">
        <f t="shared" si="507"/>
        <v>343160</v>
      </c>
      <c r="K6908" s="912" t="s">
        <v>274</v>
      </c>
      <c r="L6908" s="912"/>
      <c r="M6908" s="912"/>
      <c r="N6908" s="912"/>
      <c r="O6908" s="892">
        <f t="shared" si="502"/>
        <v>0</v>
      </c>
      <c r="P6908" s="903">
        <f t="shared" si="503"/>
        <v>1</v>
      </c>
      <c r="Q6908" s="893">
        <f t="shared" si="504"/>
        <v>11</v>
      </c>
      <c r="R6908" s="894">
        <f t="shared" si="505"/>
        <v>0</v>
      </c>
    </row>
    <row r="6909" spans="1:18">
      <c r="A6909" s="905"/>
      <c r="B6909" s="906"/>
      <c r="C6909" s="907">
        <v>46</v>
      </c>
      <c r="D6909" s="907" t="s">
        <v>279</v>
      </c>
      <c r="E6909" s="925" t="s">
        <v>3179</v>
      </c>
      <c r="F6909" s="909" t="s">
        <v>45</v>
      </c>
      <c r="G6909" s="910"/>
      <c r="H6909" s="911">
        <v>6</v>
      </c>
      <c r="I6909" s="912">
        <f>VLOOKUP(E6909,[3]VLP!$B$7:$K$300,10,0)</f>
        <v>20500</v>
      </c>
      <c r="J6909" s="912">
        <f t="shared" si="507"/>
        <v>123000</v>
      </c>
      <c r="K6909" s="912" t="s">
        <v>274</v>
      </c>
      <c r="L6909" s="912"/>
      <c r="M6909" s="912"/>
      <c r="N6909" s="912"/>
      <c r="O6909" s="892">
        <f t="shared" si="502"/>
        <v>0</v>
      </c>
      <c r="P6909" s="903">
        <f t="shared" si="503"/>
        <v>1</v>
      </c>
      <c r="Q6909" s="893">
        <f t="shared" si="504"/>
        <v>10</v>
      </c>
      <c r="R6909" s="894">
        <f t="shared" si="505"/>
        <v>0</v>
      </c>
    </row>
    <row r="6910" spans="1:18">
      <c r="A6910" s="905"/>
      <c r="B6910" s="906"/>
      <c r="C6910" s="907">
        <v>25</v>
      </c>
      <c r="D6910" s="907" t="s">
        <v>279</v>
      </c>
      <c r="E6910" s="925" t="s">
        <v>5656</v>
      </c>
      <c r="F6910" s="926" t="s">
        <v>2690</v>
      </c>
      <c r="G6910" s="910"/>
      <c r="H6910" s="911">
        <v>1.5</v>
      </c>
      <c r="I6910" s="912">
        <f>VLOOKUP(E6910,[3]VLP!$B$7:$K$300,10,0)</f>
        <v>5000</v>
      </c>
      <c r="J6910" s="912">
        <f t="shared" si="507"/>
        <v>7500</v>
      </c>
      <c r="K6910" s="912" t="s">
        <v>274</v>
      </c>
      <c r="L6910" s="912"/>
      <c r="M6910" s="912"/>
      <c r="N6910" s="912"/>
      <c r="O6910" s="892">
        <f t="shared" si="502"/>
        <v>0</v>
      </c>
      <c r="P6910" s="903">
        <f t="shared" si="503"/>
        <v>1</v>
      </c>
      <c r="Q6910" s="893">
        <f t="shared" si="504"/>
        <v>9</v>
      </c>
      <c r="R6910" s="894">
        <f t="shared" si="505"/>
        <v>0</v>
      </c>
    </row>
    <row r="6911" spans="1:18">
      <c r="A6911" s="905"/>
      <c r="B6911" s="906"/>
      <c r="C6911" s="907">
        <v>127</v>
      </c>
      <c r="D6911" s="907" t="s">
        <v>279</v>
      </c>
      <c r="E6911" s="925" t="s">
        <v>5657</v>
      </c>
      <c r="F6911" s="909" t="s">
        <v>45</v>
      </c>
      <c r="G6911" s="910"/>
      <c r="H6911" s="911">
        <v>0.5</v>
      </c>
      <c r="I6911" s="912">
        <f>VLOOKUP(E6911,[3]VLP!$B$7:$K$300,10,0)</f>
        <v>25155</v>
      </c>
      <c r="J6911" s="912">
        <f t="shared" si="507"/>
        <v>12577.5</v>
      </c>
      <c r="K6911" s="912" t="s">
        <v>274</v>
      </c>
      <c r="L6911" s="912"/>
      <c r="M6911" s="912"/>
      <c r="N6911" s="912"/>
      <c r="O6911" s="892">
        <f t="shared" si="502"/>
        <v>0</v>
      </c>
      <c r="P6911" s="903">
        <f t="shared" si="503"/>
        <v>1</v>
      </c>
      <c r="Q6911" s="893">
        <f t="shared" si="504"/>
        <v>8</v>
      </c>
      <c r="R6911" s="894">
        <f t="shared" si="505"/>
        <v>0</v>
      </c>
    </row>
    <row r="6912" spans="1:18">
      <c r="A6912" s="905"/>
      <c r="B6912" s="906"/>
      <c r="C6912" s="907">
        <v>44</v>
      </c>
      <c r="D6912" s="907" t="s">
        <v>279</v>
      </c>
      <c r="E6912" s="925" t="s">
        <v>2681</v>
      </c>
      <c r="F6912" s="926" t="s">
        <v>45</v>
      </c>
      <c r="G6912" s="910"/>
      <c r="H6912" s="911">
        <v>0.72</v>
      </c>
      <c r="I6912" s="912">
        <f>VLOOKUP(E6912,[3]VLP!$B$7:$K$300,10,0)</f>
        <v>23000</v>
      </c>
      <c r="J6912" s="912">
        <f t="shared" si="507"/>
        <v>16560</v>
      </c>
      <c r="K6912" s="912" t="s">
        <v>274</v>
      </c>
      <c r="L6912" s="912"/>
      <c r="M6912" s="912"/>
      <c r="N6912" s="912"/>
      <c r="O6912" s="892">
        <f t="shared" si="502"/>
        <v>0</v>
      </c>
      <c r="P6912" s="903">
        <f t="shared" si="503"/>
        <v>1</v>
      </c>
      <c r="Q6912" s="893">
        <f t="shared" si="504"/>
        <v>7</v>
      </c>
      <c r="R6912" s="894">
        <f t="shared" si="505"/>
        <v>0</v>
      </c>
    </row>
    <row r="6913" spans="1:18">
      <c r="A6913" s="905"/>
      <c r="B6913" s="906"/>
      <c r="C6913" s="907">
        <v>66</v>
      </c>
      <c r="D6913" s="907" t="s">
        <v>279</v>
      </c>
      <c r="E6913" s="925" t="s">
        <v>2682</v>
      </c>
      <c r="F6913" s="926" t="s">
        <v>45</v>
      </c>
      <c r="G6913" s="910"/>
      <c r="H6913" s="911">
        <v>0.3</v>
      </c>
      <c r="I6913" s="912">
        <f>VLOOKUP(E6913,[3]VLP!$B$7:$K$300,10,0)</f>
        <v>5000</v>
      </c>
      <c r="J6913" s="912">
        <f t="shared" si="507"/>
        <v>1500</v>
      </c>
      <c r="K6913" s="912" t="s">
        <v>274</v>
      </c>
      <c r="L6913" s="912"/>
      <c r="M6913" s="912"/>
      <c r="N6913" s="912"/>
      <c r="O6913" s="892">
        <f t="shared" si="502"/>
        <v>0</v>
      </c>
      <c r="P6913" s="903">
        <f t="shared" si="503"/>
        <v>1</v>
      </c>
      <c r="Q6913" s="893">
        <f t="shared" si="504"/>
        <v>6</v>
      </c>
      <c r="R6913" s="894">
        <f t="shared" si="505"/>
        <v>0</v>
      </c>
    </row>
    <row r="6914" spans="1:18">
      <c r="A6914" s="905"/>
      <c r="B6914" s="906"/>
      <c r="C6914" s="907">
        <v>65</v>
      </c>
      <c r="D6914" s="907" t="s">
        <v>279</v>
      </c>
      <c r="E6914" s="925" t="s">
        <v>5983</v>
      </c>
      <c r="F6914" s="926" t="s">
        <v>3144</v>
      </c>
      <c r="G6914" s="910"/>
      <c r="H6914" s="911">
        <v>1</v>
      </c>
      <c r="I6914" s="912">
        <f>VLOOKUP(E6914,[3]VLP!$B$7:$K$300,10,0)</f>
        <v>14000</v>
      </c>
      <c r="J6914" s="912">
        <f t="shared" si="507"/>
        <v>14000</v>
      </c>
      <c r="K6914" s="912" t="s">
        <v>274</v>
      </c>
      <c r="L6914" s="912"/>
      <c r="M6914" s="912"/>
      <c r="N6914" s="912"/>
      <c r="O6914" s="892">
        <f t="shared" si="502"/>
        <v>0</v>
      </c>
      <c r="P6914" s="903">
        <f t="shared" si="503"/>
        <v>1</v>
      </c>
      <c r="Q6914" s="893">
        <f t="shared" si="504"/>
        <v>5</v>
      </c>
      <c r="R6914" s="894">
        <f t="shared" si="505"/>
        <v>0</v>
      </c>
    </row>
    <row r="6915" spans="1:18">
      <c r="A6915" s="905"/>
      <c r="B6915" s="906"/>
      <c r="C6915" s="907">
        <v>89</v>
      </c>
      <c r="D6915" s="907" t="s">
        <v>279</v>
      </c>
      <c r="E6915" s="925" t="s">
        <v>5984</v>
      </c>
      <c r="F6915" s="926" t="s">
        <v>45</v>
      </c>
      <c r="G6915" s="910"/>
      <c r="H6915" s="911">
        <v>0.15</v>
      </c>
      <c r="I6915" s="912">
        <f>VLOOKUP(E6915,[3]VLP!$B$7:$K$300,10,0)</f>
        <v>1000</v>
      </c>
      <c r="J6915" s="912">
        <f t="shared" si="507"/>
        <v>150</v>
      </c>
      <c r="K6915" s="912" t="s">
        <v>274</v>
      </c>
      <c r="L6915" s="912"/>
      <c r="M6915" s="912"/>
      <c r="N6915" s="912"/>
      <c r="O6915" s="892">
        <f t="shared" si="502"/>
        <v>0</v>
      </c>
      <c r="P6915" s="903">
        <f t="shared" si="503"/>
        <v>1</v>
      </c>
      <c r="Q6915" s="893">
        <f t="shared" si="504"/>
        <v>4</v>
      </c>
      <c r="R6915" s="894">
        <f t="shared" si="505"/>
        <v>0</v>
      </c>
    </row>
    <row r="6916" spans="1:18">
      <c r="A6916" s="905"/>
      <c r="B6916" s="906"/>
      <c r="C6916" s="907">
        <v>699</v>
      </c>
      <c r="D6916" s="907" t="s">
        <v>279</v>
      </c>
      <c r="E6916" s="925" t="s">
        <v>4006</v>
      </c>
      <c r="F6916" s="926" t="s">
        <v>4007</v>
      </c>
      <c r="G6916" s="910"/>
      <c r="H6916" s="911">
        <v>5</v>
      </c>
      <c r="I6916" s="912">
        <f>VLOOKUP(E6916,[3]VLP!$B$7:$K$300,10,0)</f>
        <v>5000</v>
      </c>
      <c r="J6916" s="912">
        <f t="shared" si="507"/>
        <v>25000</v>
      </c>
      <c r="K6916" s="912" t="s">
        <v>274</v>
      </c>
      <c r="L6916" s="912"/>
      <c r="M6916" s="912"/>
      <c r="N6916" s="912"/>
      <c r="O6916" s="892">
        <f t="shared" si="502"/>
        <v>0</v>
      </c>
      <c r="P6916" s="903">
        <f t="shared" si="503"/>
        <v>1</v>
      </c>
      <c r="Q6916" s="893">
        <f t="shared" si="504"/>
        <v>3</v>
      </c>
      <c r="R6916" s="894">
        <f t="shared" si="505"/>
        <v>0</v>
      </c>
    </row>
    <row r="6917" spans="1:18" s="904" customFormat="1">
      <c r="A6917" s="895"/>
      <c r="B6917" s="896"/>
      <c r="C6917" s="897"/>
      <c r="D6917" s="897"/>
      <c r="E6917" s="924" t="s">
        <v>276</v>
      </c>
      <c r="F6917" s="927"/>
      <c r="G6917" s="928"/>
      <c r="H6917" s="901"/>
      <c r="I6917" s="902"/>
      <c r="J6917" s="902"/>
      <c r="K6917" s="912" t="s">
        <v>274</v>
      </c>
      <c r="L6917" s="902"/>
      <c r="M6917" s="902"/>
      <c r="N6917" s="902"/>
      <c r="O6917" s="892">
        <f t="shared" si="502"/>
        <v>0</v>
      </c>
      <c r="P6917" s="903">
        <f t="shared" si="503"/>
        <v>1</v>
      </c>
      <c r="Q6917" s="893">
        <f t="shared" si="504"/>
        <v>2</v>
      </c>
      <c r="R6917" s="894">
        <f t="shared" si="505"/>
        <v>0</v>
      </c>
    </row>
    <row r="6918" spans="1:18">
      <c r="A6918" s="905"/>
      <c r="B6918" s="906"/>
      <c r="C6918" s="907">
        <v>745</v>
      </c>
      <c r="D6918" s="907" t="s">
        <v>12</v>
      </c>
      <c r="E6918" s="908" t="s">
        <v>5518</v>
      </c>
      <c r="F6918" s="909" t="s">
        <v>2674</v>
      </c>
      <c r="G6918" s="910"/>
      <c r="H6918" s="911">
        <v>11.4</v>
      </c>
      <c r="I6918" s="912"/>
      <c r="J6918" s="912"/>
      <c r="K6918" s="912">
        <f>VLOOKUP(E6918,[5]ĐMNC!$A$7:$F$67,4,0)</f>
        <v>240557</v>
      </c>
      <c r="L6918" s="912">
        <f>H6918*K6918</f>
        <v>2742349.8000000003</v>
      </c>
      <c r="M6918" s="912"/>
      <c r="N6918" s="912"/>
      <c r="O6918" s="892">
        <f t="shared" si="502"/>
        <v>0</v>
      </c>
      <c r="P6918" s="903">
        <f t="shared" si="503"/>
        <v>1</v>
      </c>
      <c r="Q6918" s="893">
        <f t="shared" si="504"/>
        <v>1</v>
      </c>
      <c r="R6918" s="894">
        <f t="shared" si="505"/>
        <v>0</v>
      </c>
    </row>
    <row r="6919" spans="1:18" s="847" customFormat="1" ht="35.25" customHeight="1">
      <c r="A6919" s="905"/>
      <c r="B6919" s="914" t="s">
        <v>6037</v>
      </c>
      <c r="C6919" s="915"/>
      <c r="D6919" s="915"/>
      <c r="E6919" s="916" t="s">
        <v>6038</v>
      </c>
      <c r="F6919" s="917" t="s">
        <v>5834</v>
      </c>
      <c r="G6919" s="944"/>
      <c r="H6919" s="919"/>
      <c r="I6919" s="920"/>
      <c r="J6919" s="891">
        <f>SUM(J6920:J6933)</f>
        <v>665533</v>
      </c>
      <c r="K6919" s="891" t="s">
        <v>274</v>
      </c>
      <c r="L6919" s="891">
        <f>SUM(L6920:L6933)</f>
        <v>3290819.76</v>
      </c>
      <c r="M6919" s="891"/>
      <c r="N6919" s="891">
        <f>SUM(N6920:N6933)</f>
        <v>0</v>
      </c>
      <c r="O6919" s="892">
        <f t="shared" si="502"/>
        <v>1</v>
      </c>
      <c r="P6919" s="903">
        <f t="shared" si="503"/>
        <v>0</v>
      </c>
      <c r="Q6919" s="893">
        <f t="shared" si="504"/>
        <v>0</v>
      </c>
      <c r="R6919" s="894">
        <f t="shared" si="505"/>
        <v>14</v>
      </c>
    </row>
    <row r="6920" spans="1:18" s="904" customFormat="1">
      <c r="A6920" s="895"/>
      <c r="B6920" s="896"/>
      <c r="C6920" s="897"/>
      <c r="D6920" s="897"/>
      <c r="E6920" s="898" t="s">
        <v>108</v>
      </c>
      <c r="F6920" s="899"/>
      <c r="G6920" s="928"/>
      <c r="H6920" s="901"/>
      <c r="I6920" s="902"/>
      <c r="J6920" s="902"/>
      <c r="K6920" s="912" t="s">
        <v>274</v>
      </c>
      <c r="L6920" s="902"/>
      <c r="M6920" s="902"/>
      <c r="N6920" s="902"/>
      <c r="O6920" s="892">
        <f t="shared" si="502"/>
        <v>0</v>
      </c>
      <c r="P6920" s="903">
        <f t="shared" si="503"/>
        <v>1</v>
      </c>
      <c r="Q6920" s="893">
        <f t="shared" si="504"/>
        <v>14</v>
      </c>
      <c r="R6920" s="894">
        <f t="shared" si="505"/>
        <v>0</v>
      </c>
    </row>
    <row r="6921" spans="1:18">
      <c r="A6921" s="905"/>
      <c r="B6921" s="906"/>
      <c r="C6921" s="907">
        <v>100</v>
      </c>
      <c r="D6921" s="907" t="s">
        <v>279</v>
      </c>
      <c r="E6921" s="925" t="s">
        <v>5875</v>
      </c>
      <c r="F6921" s="909" t="s">
        <v>51</v>
      </c>
      <c r="G6921" s="910"/>
      <c r="H6921" s="911">
        <v>1</v>
      </c>
      <c r="I6921" s="912">
        <f>VLOOKUP(E6921,[3]VLP!$B$7:$K$300,10,0)</f>
        <v>81120</v>
      </c>
      <c r="J6921" s="912">
        <f t="shared" ref="J6921:J6931" si="508">I6921*H6921</f>
        <v>81120</v>
      </c>
      <c r="K6921" s="912" t="s">
        <v>274</v>
      </c>
      <c r="L6921" s="912"/>
      <c r="M6921" s="912"/>
      <c r="N6921" s="912"/>
      <c r="O6921" s="892">
        <f t="shared" si="502"/>
        <v>0</v>
      </c>
      <c r="P6921" s="903">
        <f t="shared" si="503"/>
        <v>1</v>
      </c>
      <c r="Q6921" s="893">
        <f t="shared" si="504"/>
        <v>13</v>
      </c>
      <c r="R6921" s="894">
        <f t="shared" si="505"/>
        <v>0</v>
      </c>
    </row>
    <row r="6922" spans="1:18">
      <c r="A6922" s="905"/>
      <c r="B6922" s="906"/>
      <c r="C6922" s="907">
        <v>49</v>
      </c>
      <c r="D6922" s="907" t="s">
        <v>279</v>
      </c>
      <c r="E6922" s="925" t="s">
        <v>5698</v>
      </c>
      <c r="F6922" s="909" t="s">
        <v>139</v>
      </c>
      <c r="G6922" s="910"/>
      <c r="H6922" s="911">
        <v>2</v>
      </c>
      <c r="I6922" s="912">
        <f>VLOOKUP(E6922,[3]VLP!$B$7:$K$300,10,0)</f>
        <v>3000</v>
      </c>
      <c r="J6922" s="912">
        <f t="shared" si="508"/>
        <v>6000</v>
      </c>
      <c r="K6922" s="912" t="s">
        <v>274</v>
      </c>
      <c r="L6922" s="912"/>
      <c r="M6922" s="912"/>
      <c r="N6922" s="912"/>
      <c r="O6922" s="892">
        <f t="shared" si="502"/>
        <v>0</v>
      </c>
      <c r="P6922" s="903">
        <f t="shared" si="503"/>
        <v>1</v>
      </c>
      <c r="Q6922" s="893">
        <f t="shared" si="504"/>
        <v>12</v>
      </c>
      <c r="R6922" s="894">
        <f t="shared" si="505"/>
        <v>0</v>
      </c>
    </row>
    <row r="6923" spans="1:18">
      <c r="A6923" s="905"/>
      <c r="B6923" s="906"/>
      <c r="C6923" s="907">
        <v>50</v>
      </c>
      <c r="D6923" s="907" t="s">
        <v>279</v>
      </c>
      <c r="E6923" s="925" t="s">
        <v>5836</v>
      </c>
      <c r="F6923" s="909" t="s">
        <v>49</v>
      </c>
      <c r="G6923" s="910"/>
      <c r="H6923" s="911">
        <v>4</v>
      </c>
      <c r="I6923" s="912">
        <f>VLOOKUP(E6923,[3]VLP!$B$7:$K$300,10,0)</f>
        <v>85790</v>
      </c>
      <c r="J6923" s="912">
        <f t="shared" si="508"/>
        <v>343160</v>
      </c>
      <c r="K6923" s="912" t="s">
        <v>274</v>
      </c>
      <c r="L6923" s="912"/>
      <c r="M6923" s="912"/>
      <c r="N6923" s="912"/>
      <c r="O6923" s="892">
        <f t="shared" si="502"/>
        <v>0</v>
      </c>
      <c r="P6923" s="903">
        <f t="shared" si="503"/>
        <v>1</v>
      </c>
      <c r="Q6923" s="893">
        <f t="shared" si="504"/>
        <v>11</v>
      </c>
      <c r="R6923" s="894">
        <f t="shared" si="505"/>
        <v>0</v>
      </c>
    </row>
    <row r="6924" spans="1:18">
      <c r="A6924" s="905"/>
      <c r="B6924" s="906"/>
      <c r="C6924" s="907">
        <v>46</v>
      </c>
      <c r="D6924" s="907" t="s">
        <v>279</v>
      </c>
      <c r="E6924" s="925" t="s">
        <v>3179</v>
      </c>
      <c r="F6924" s="909" t="s">
        <v>45</v>
      </c>
      <c r="G6924" s="910"/>
      <c r="H6924" s="911">
        <v>7.2</v>
      </c>
      <c r="I6924" s="912">
        <f>VLOOKUP(E6924,[3]VLP!$B$7:$K$300,10,0)</f>
        <v>20500</v>
      </c>
      <c r="J6924" s="912">
        <f t="shared" si="508"/>
        <v>147600</v>
      </c>
      <c r="K6924" s="912" t="s">
        <v>274</v>
      </c>
      <c r="L6924" s="912"/>
      <c r="M6924" s="912"/>
      <c r="N6924" s="912"/>
      <c r="O6924" s="892">
        <f t="shared" si="502"/>
        <v>0</v>
      </c>
      <c r="P6924" s="903">
        <f t="shared" si="503"/>
        <v>1</v>
      </c>
      <c r="Q6924" s="893">
        <f t="shared" si="504"/>
        <v>10</v>
      </c>
      <c r="R6924" s="894">
        <f t="shared" si="505"/>
        <v>0</v>
      </c>
    </row>
    <row r="6925" spans="1:18">
      <c r="A6925" s="905"/>
      <c r="B6925" s="906"/>
      <c r="C6925" s="907">
        <v>25</v>
      </c>
      <c r="D6925" s="907" t="s">
        <v>279</v>
      </c>
      <c r="E6925" s="925" t="s">
        <v>5656</v>
      </c>
      <c r="F6925" s="926" t="s">
        <v>2690</v>
      </c>
      <c r="G6925" s="910"/>
      <c r="H6925" s="911">
        <v>1.8</v>
      </c>
      <c r="I6925" s="912">
        <f>VLOOKUP(E6925,[3]VLP!$B$7:$K$300,10,0)</f>
        <v>5000</v>
      </c>
      <c r="J6925" s="912">
        <f t="shared" si="508"/>
        <v>9000</v>
      </c>
      <c r="K6925" s="912" t="s">
        <v>274</v>
      </c>
      <c r="L6925" s="912"/>
      <c r="M6925" s="912"/>
      <c r="N6925" s="912"/>
      <c r="O6925" s="892">
        <f t="shared" si="502"/>
        <v>0</v>
      </c>
      <c r="P6925" s="903">
        <f t="shared" si="503"/>
        <v>1</v>
      </c>
      <c r="Q6925" s="893">
        <f t="shared" si="504"/>
        <v>9</v>
      </c>
      <c r="R6925" s="894">
        <f t="shared" si="505"/>
        <v>0</v>
      </c>
    </row>
    <row r="6926" spans="1:18">
      <c r="A6926" s="905"/>
      <c r="B6926" s="906"/>
      <c r="C6926" s="907">
        <v>127</v>
      </c>
      <c r="D6926" s="907" t="s">
        <v>279</v>
      </c>
      <c r="E6926" s="925" t="s">
        <v>5657</v>
      </c>
      <c r="F6926" s="909" t="s">
        <v>45</v>
      </c>
      <c r="G6926" s="910"/>
      <c r="H6926" s="911">
        <v>0.6</v>
      </c>
      <c r="I6926" s="912">
        <f>VLOOKUP(E6926,[3]VLP!$B$7:$K$300,10,0)</f>
        <v>25155</v>
      </c>
      <c r="J6926" s="912">
        <f t="shared" si="508"/>
        <v>15093</v>
      </c>
      <c r="K6926" s="912" t="s">
        <v>274</v>
      </c>
      <c r="L6926" s="912"/>
      <c r="M6926" s="912"/>
      <c r="N6926" s="912"/>
      <c r="O6926" s="892">
        <f t="shared" si="502"/>
        <v>0</v>
      </c>
      <c r="P6926" s="903">
        <f t="shared" si="503"/>
        <v>1</v>
      </c>
      <c r="Q6926" s="893">
        <f t="shared" si="504"/>
        <v>8</v>
      </c>
      <c r="R6926" s="894">
        <f t="shared" si="505"/>
        <v>0</v>
      </c>
    </row>
    <row r="6927" spans="1:18">
      <c r="A6927" s="905"/>
      <c r="B6927" s="906"/>
      <c r="C6927" s="907">
        <v>44</v>
      </c>
      <c r="D6927" s="907" t="s">
        <v>279</v>
      </c>
      <c r="E6927" s="925" t="s">
        <v>2681</v>
      </c>
      <c r="F6927" s="926" t="s">
        <v>45</v>
      </c>
      <c r="G6927" s="910"/>
      <c r="H6927" s="911">
        <v>0.86</v>
      </c>
      <c r="I6927" s="912">
        <f>VLOOKUP(E6927,[3]VLP!$B$7:$K$300,10,0)</f>
        <v>23000</v>
      </c>
      <c r="J6927" s="912">
        <f t="shared" si="508"/>
        <v>19780</v>
      </c>
      <c r="K6927" s="912" t="s">
        <v>274</v>
      </c>
      <c r="L6927" s="912"/>
      <c r="M6927" s="912"/>
      <c r="N6927" s="912"/>
      <c r="O6927" s="892">
        <f t="shared" si="502"/>
        <v>0</v>
      </c>
      <c r="P6927" s="903">
        <f t="shared" si="503"/>
        <v>1</v>
      </c>
      <c r="Q6927" s="893">
        <f t="shared" si="504"/>
        <v>7</v>
      </c>
      <c r="R6927" s="894">
        <f t="shared" si="505"/>
        <v>0</v>
      </c>
    </row>
    <row r="6928" spans="1:18">
      <c r="A6928" s="905"/>
      <c r="B6928" s="906"/>
      <c r="C6928" s="907">
        <v>66</v>
      </c>
      <c r="D6928" s="907" t="s">
        <v>279</v>
      </c>
      <c r="E6928" s="925" t="s">
        <v>2682</v>
      </c>
      <c r="F6928" s="926" t="s">
        <v>45</v>
      </c>
      <c r="G6928" s="910"/>
      <c r="H6928" s="911">
        <v>0.36</v>
      </c>
      <c r="I6928" s="912">
        <f>VLOOKUP(E6928,[3]VLP!$B$7:$K$300,10,0)</f>
        <v>5000</v>
      </c>
      <c r="J6928" s="912">
        <f t="shared" si="508"/>
        <v>1800</v>
      </c>
      <c r="K6928" s="912" t="s">
        <v>274</v>
      </c>
      <c r="L6928" s="912"/>
      <c r="M6928" s="912"/>
      <c r="N6928" s="912"/>
      <c r="O6928" s="892">
        <f t="shared" si="502"/>
        <v>0</v>
      </c>
      <c r="P6928" s="903">
        <f t="shared" si="503"/>
        <v>1</v>
      </c>
      <c r="Q6928" s="893">
        <f t="shared" si="504"/>
        <v>6</v>
      </c>
      <c r="R6928" s="894">
        <f t="shared" si="505"/>
        <v>0</v>
      </c>
    </row>
    <row r="6929" spans="1:18">
      <c r="A6929" s="905"/>
      <c r="B6929" s="906"/>
      <c r="C6929" s="907">
        <v>65</v>
      </c>
      <c r="D6929" s="907" t="s">
        <v>279</v>
      </c>
      <c r="E6929" s="925" t="s">
        <v>5983</v>
      </c>
      <c r="F6929" s="926" t="s">
        <v>3144</v>
      </c>
      <c r="G6929" s="910"/>
      <c r="H6929" s="911">
        <v>1.2</v>
      </c>
      <c r="I6929" s="912">
        <f>VLOOKUP(E6929,[3]VLP!$B$7:$K$300,10,0)</f>
        <v>14000</v>
      </c>
      <c r="J6929" s="912">
        <f t="shared" si="508"/>
        <v>16800</v>
      </c>
      <c r="K6929" s="912" t="s">
        <v>274</v>
      </c>
      <c r="L6929" s="912"/>
      <c r="M6929" s="912"/>
      <c r="N6929" s="912"/>
      <c r="O6929" s="892">
        <f t="shared" si="502"/>
        <v>0</v>
      </c>
      <c r="P6929" s="903">
        <f t="shared" si="503"/>
        <v>1</v>
      </c>
      <c r="Q6929" s="893">
        <f t="shared" si="504"/>
        <v>5</v>
      </c>
      <c r="R6929" s="894">
        <f t="shared" si="505"/>
        <v>0</v>
      </c>
    </row>
    <row r="6930" spans="1:18">
      <c r="A6930" s="905"/>
      <c r="B6930" s="906"/>
      <c r="C6930" s="907">
        <v>89</v>
      </c>
      <c r="D6930" s="907" t="s">
        <v>279</v>
      </c>
      <c r="E6930" s="925" t="s">
        <v>5984</v>
      </c>
      <c r="F6930" s="926" t="s">
        <v>45</v>
      </c>
      <c r="G6930" s="910"/>
      <c r="H6930" s="911">
        <v>0.18</v>
      </c>
      <c r="I6930" s="912">
        <f>VLOOKUP(E6930,[3]VLP!$B$7:$K$300,10,0)</f>
        <v>1000</v>
      </c>
      <c r="J6930" s="912">
        <f t="shared" si="508"/>
        <v>180</v>
      </c>
      <c r="K6930" s="912" t="s">
        <v>274</v>
      </c>
      <c r="L6930" s="912"/>
      <c r="M6930" s="912"/>
      <c r="N6930" s="912"/>
      <c r="O6930" s="892">
        <f t="shared" si="502"/>
        <v>0</v>
      </c>
      <c r="P6930" s="903">
        <f t="shared" si="503"/>
        <v>1</v>
      </c>
      <c r="Q6930" s="893">
        <f t="shared" si="504"/>
        <v>4</v>
      </c>
      <c r="R6930" s="894">
        <f t="shared" si="505"/>
        <v>0</v>
      </c>
    </row>
    <row r="6931" spans="1:18">
      <c r="A6931" s="905"/>
      <c r="B6931" s="906"/>
      <c r="C6931" s="907">
        <v>699</v>
      </c>
      <c r="D6931" s="907" t="s">
        <v>279</v>
      </c>
      <c r="E6931" s="925" t="s">
        <v>4006</v>
      </c>
      <c r="F6931" s="926" t="s">
        <v>4007</v>
      </c>
      <c r="G6931" s="910"/>
      <c r="H6931" s="911">
        <v>5</v>
      </c>
      <c r="I6931" s="912">
        <f>VLOOKUP(E6931,[3]VLP!$B$7:$K$300,10,0)</f>
        <v>5000</v>
      </c>
      <c r="J6931" s="912">
        <f t="shared" si="508"/>
        <v>25000</v>
      </c>
      <c r="K6931" s="912" t="s">
        <v>274</v>
      </c>
      <c r="L6931" s="912"/>
      <c r="M6931" s="912"/>
      <c r="N6931" s="912"/>
      <c r="O6931" s="892">
        <f t="shared" si="502"/>
        <v>0</v>
      </c>
      <c r="P6931" s="903">
        <f t="shared" si="503"/>
        <v>1</v>
      </c>
      <c r="Q6931" s="893">
        <f t="shared" si="504"/>
        <v>3</v>
      </c>
      <c r="R6931" s="894">
        <f t="shared" si="505"/>
        <v>0</v>
      </c>
    </row>
    <row r="6932" spans="1:18" s="904" customFormat="1">
      <c r="A6932" s="895"/>
      <c r="B6932" s="896"/>
      <c r="C6932" s="897"/>
      <c r="D6932" s="897"/>
      <c r="E6932" s="924" t="s">
        <v>276</v>
      </c>
      <c r="F6932" s="927"/>
      <c r="G6932" s="928"/>
      <c r="H6932" s="901"/>
      <c r="I6932" s="902"/>
      <c r="J6932" s="902"/>
      <c r="K6932" s="912" t="s">
        <v>274</v>
      </c>
      <c r="L6932" s="902"/>
      <c r="M6932" s="902"/>
      <c r="N6932" s="902"/>
      <c r="O6932" s="892">
        <f t="shared" si="502"/>
        <v>0</v>
      </c>
      <c r="P6932" s="903">
        <f t="shared" si="503"/>
        <v>1</v>
      </c>
      <c r="Q6932" s="893">
        <f t="shared" si="504"/>
        <v>2</v>
      </c>
      <c r="R6932" s="894">
        <f t="shared" si="505"/>
        <v>0</v>
      </c>
    </row>
    <row r="6933" spans="1:18">
      <c r="A6933" s="905"/>
      <c r="B6933" s="906"/>
      <c r="C6933" s="907">
        <v>745</v>
      </c>
      <c r="D6933" s="907" t="s">
        <v>12</v>
      </c>
      <c r="E6933" s="908" t="s">
        <v>5518</v>
      </c>
      <c r="F6933" s="909" t="s">
        <v>2674</v>
      </c>
      <c r="G6933" s="910"/>
      <c r="H6933" s="911">
        <v>13.68</v>
      </c>
      <c r="I6933" s="912"/>
      <c r="J6933" s="912"/>
      <c r="K6933" s="912">
        <f>VLOOKUP(E6933,[5]ĐMNC!$A$7:$F$67,4,0)</f>
        <v>240557</v>
      </c>
      <c r="L6933" s="912">
        <f>H6933*K6933</f>
        <v>3290819.76</v>
      </c>
      <c r="M6933" s="912"/>
      <c r="N6933" s="912"/>
      <c r="O6933" s="892">
        <f t="shared" si="502"/>
        <v>0</v>
      </c>
      <c r="P6933" s="903">
        <f t="shared" si="503"/>
        <v>1</v>
      </c>
      <c r="Q6933" s="893">
        <f t="shared" si="504"/>
        <v>1</v>
      </c>
      <c r="R6933" s="894">
        <f t="shared" si="505"/>
        <v>0</v>
      </c>
    </row>
    <row r="6934" spans="1:18" s="847" customFormat="1" ht="31.5">
      <c r="A6934" s="905" t="s">
        <v>6039</v>
      </c>
      <c r="B6934" s="914" t="s">
        <v>1645</v>
      </c>
      <c r="C6934" s="915"/>
      <c r="D6934" s="915"/>
      <c r="E6934" s="916" t="s">
        <v>6040</v>
      </c>
      <c r="F6934" s="917" t="s">
        <v>2271</v>
      </c>
      <c r="G6934" s="918"/>
      <c r="H6934" s="919"/>
      <c r="I6934" s="920"/>
      <c r="J6934" s="891">
        <f>SUM(J6935:J6940)</f>
        <v>50000</v>
      </c>
      <c r="K6934" s="891"/>
      <c r="L6934" s="891">
        <f>SUM(L6935:L6940)</f>
        <v>1763282.81</v>
      </c>
      <c r="M6934" s="891"/>
      <c r="N6934" s="891">
        <f>SUM(N6935:N6940)</f>
        <v>0</v>
      </c>
      <c r="O6934" s="892">
        <f t="shared" si="502"/>
        <v>1</v>
      </c>
      <c r="P6934" s="903">
        <f t="shared" si="503"/>
        <v>0</v>
      </c>
      <c r="Q6934" s="893">
        <f t="shared" si="504"/>
        <v>0</v>
      </c>
      <c r="R6934" s="894">
        <f t="shared" si="505"/>
        <v>6</v>
      </c>
    </row>
    <row r="6935" spans="1:18" s="904" customFormat="1">
      <c r="A6935" s="895"/>
      <c r="B6935" s="922"/>
      <c r="C6935" s="897"/>
      <c r="D6935" s="897"/>
      <c r="E6935" s="898" t="s">
        <v>108</v>
      </c>
      <c r="F6935" s="899"/>
      <c r="G6935" s="928"/>
      <c r="H6935" s="901"/>
      <c r="I6935" s="902"/>
      <c r="J6935" s="902"/>
      <c r="K6935" s="912" t="s">
        <v>274</v>
      </c>
      <c r="L6935" s="902"/>
      <c r="M6935" s="902"/>
      <c r="N6935" s="902"/>
      <c r="O6935" s="892">
        <f t="shared" si="502"/>
        <v>0</v>
      </c>
      <c r="P6935" s="903">
        <f t="shared" si="503"/>
        <v>1</v>
      </c>
      <c r="Q6935" s="893">
        <f t="shared" si="504"/>
        <v>6</v>
      </c>
      <c r="R6935" s="894">
        <f t="shared" si="505"/>
        <v>0</v>
      </c>
    </row>
    <row r="6936" spans="1:18">
      <c r="A6936" s="905"/>
      <c r="B6936" s="906"/>
      <c r="C6936" s="907">
        <v>44</v>
      </c>
      <c r="D6936" s="907" t="s">
        <v>279</v>
      </c>
      <c r="E6936" s="925" t="s">
        <v>2681</v>
      </c>
      <c r="F6936" s="926" t="s">
        <v>45</v>
      </c>
      <c r="G6936" s="910"/>
      <c r="H6936" s="911">
        <v>1</v>
      </c>
      <c r="I6936" s="912">
        <f>VLOOKUP(E6936,[3]VLP!$B$7:$K$300,10,0)</f>
        <v>23000</v>
      </c>
      <c r="J6936" s="912">
        <f>I6936*H6936</f>
        <v>23000</v>
      </c>
      <c r="K6936" s="912" t="s">
        <v>274</v>
      </c>
      <c r="L6936" s="912"/>
      <c r="M6936" s="912"/>
      <c r="N6936" s="912"/>
      <c r="O6936" s="892">
        <f t="shared" si="502"/>
        <v>0</v>
      </c>
      <c r="P6936" s="903">
        <f t="shared" si="503"/>
        <v>1</v>
      </c>
      <c r="Q6936" s="893">
        <f t="shared" si="504"/>
        <v>5</v>
      </c>
      <c r="R6936" s="894">
        <f t="shared" si="505"/>
        <v>0</v>
      </c>
    </row>
    <row r="6937" spans="1:18">
      <c r="A6937" s="905"/>
      <c r="B6937" s="906"/>
      <c r="C6937" s="907">
        <v>66</v>
      </c>
      <c r="D6937" s="907" t="s">
        <v>279</v>
      </c>
      <c r="E6937" s="925" t="s">
        <v>2682</v>
      </c>
      <c r="F6937" s="926" t="s">
        <v>45</v>
      </c>
      <c r="G6937" s="910"/>
      <c r="H6937" s="911">
        <v>0.4</v>
      </c>
      <c r="I6937" s="912">
        <f>VLOOKUP(E6937,[3]VLP!$B$7:$K$300,10,0)</f>
        <v>5000</v>
      </c>
      <c r="J6937" s="912">
        <f>I6937*H6937</f>
        <v>2000</v>
      </c>
      <c r="K6937" s="912" t="s">
        <v>274</v>
      </c>
      <c r="L6937" s="912"/>
      <c r="M6937" s="912"/>
      <c r="N6937" s="912"/>
      <c r="O6937" s="892">
        <f t="shared" si="502"/>
        <v>0</v>
      </c>
      <c r="P6937" s="903">
        <f t="shared" si="503"/>
        <v>1</v>
      </c>
      <c r="Q6937" s="893">
        <f t="shared" si="504"/>
        <v>4</v>
      </c>
      <c r="R6937" s="894">
        <f t="shared" si="505"/>
        <v>0</v>
      </c>
    </row>
    <row r="6938" spans="1:18">
      <c r="A6938" s="905"/>
      <c r="B6938" s="906"/>
      <c r="C6938" s="907">
        <v>699</v>
      </c>
      <c r="D6938" s="907" t="s">
        <v>279</v>
      </c>
      <c r="E6938" s="925" t="s">
        <v>4006</v>
      </c>
      <c r="F6938" s="926" t="s">
        <v>4007</v>
      </c>
      <c r="G6938" s="910"/>
      <c r="H6938" s="911">
        <v>5</v>
      </c>
      <c r="I6938" s="912">
        <f>VLOOKUP(E6938,[3]VLP!$B$7:$K$300,10,0)</f>
        <v>5000</v>
      </c>
      <c r="J6938" s="912">
        <f>I6938*H6938</f>
        <v>25000</v>
      </c>
      <c r="K6938" s="912" t="s">
        <v>274</v>
      </c>
      <c r="L6938" s="912"/>
      <c r="M6938" s="912"/>
      <c r="N6938" s="912"/>
      <c r="O6938" s="892">
        <f t="shared" si="502"/>
        <v>0</v>
      </c>
      <c r="P6938" s="903">
        <f t="shared" si="503"/>
        <v>1</v>
      </c>
      <c r="Q6938" s="893">
        <f t="shared" si="504"/>
        <v>3</v>
      </c>
      <c r="R6938" s="894">
        <f t="shared" si="505"/>
        <v>0</v>
      </c>
    </row>
    <row r="6939" spans="1:18" s="904" customFormat="1">
      <c r="A6939" s="895"/>
      <c r="B6939" s="896"/>
      <c r="C6939" s="897"/>
      <c r="D6939" s="897"/>
      <c r="E6939" s="924" t="s">
        <v>276</v>
      </c>
      <c r="F6939" s="927"/>
      <c r="G6939" s="928"/>
      <c r="H6939" s="901"/>
      <c r="I6939" s="902"/>
      <c r="J6939" s="902"/>
      <c r="K6939" s="912" t="s">
        <v>274</v>
      </c>
      <c r="L6939" s="902"/>
      <c r="M6939" s="902"/>
      <c r="N6939" s="902"/>
      <c r="O6939" s="892">
        <f t="shared" si="502"/>
        <v>0</v>
      </c>
      <c r="P6939" s="903">
        <f t="shared" si="503"/>
        <v>1</v>
      </c>
      <c r="Q6939" s="893">
        <f t="shared" si="504"/>
        <v>2</v>
      </c>
      <c r="R6939" s="894">
        <f t="shared" si="505"/>
        <v>0</v>
      </c>
    </row>
    <row r="6940" spans="1:18">
      <c r="A6940" s="905"/>
      <c r="B6940" s="906"/>
      <c r="C6940" s="907">
        <v>745</v>
      </c>
      <c r="D6940" s="907" t="s">
        <v>12</v>
      </c>
      <c r="E6940" s="908" t="s">
        <v>5518</v>
      </c>
      <c r="F6940" s="909" t="s">
        <v>2674</v>
      </c>
      <c r="G6940" s="910"/>
      <c r="H6940" s="911">
        <v>7.33</v>
      </c>
      <c r="I6940" s="912"/>
      <c r="J6940" s="912"/>
      <c r="K6940" s="912">
        <f>VLOOKUP(E6940,[5]ĐMNC!$A$7:$F$67,4,0)</f>
        <v>240557</v>
      </c>
      <c r="L6940" s="912">
        <f>H6940*K6940</f>
        <v>1763282.81</v>
      </c>
      <c r="M6940" s="912"/>
      <c r="N6940" s="912"/>
      <c r="O6940" s="892">
        <f t="shared" si="502"/>
        <v>0</v>
      </c>
      <c r="P6940" s="903">
        <f t="shared" si="503"/>
        <v>1</v>
      </c>
      <c r="Q6940" s="893">
        <f t="shared" si="504"/>
        <v>1</v>
      </c>
      <c r="R6940" s="894">
        <f t="shared" si="505"/>
        <v>0</v>
      </c>
    </row>
    <row r="6941" spans="1:18" s="847" customFormat="1" ht="31.5">
      <c r="A6941" s="905"/>
      <c r="B6941" s="914" t="s">
        <v>1647</v>
      </c>
      <c r="C6941" s="915"/>
      <c r="D6941" s="915"/>
      <c r="E6941" s="916" t="s">
        <v>6041</v>
      </c>
      <c r="F6941" s="917" t="s">
        <v>2271</v>
      </c>
      <c r="G6941" s="918"/>
      <c r="H6941" s="919"/>
      <c r="I6941" s="920"/>
      <c r="J6941" s="891">
        <f>SUM(J6942:J6947)</f>
        <v>50000</v>
      </c>
      <c r="K6941" s="891"/>
      <c r="L6941" s="891">
        <f>SUM(L6942:L6947)</f>
        <v>1938889.4200000002</v>
      </c>
      <c r="M6941" s="891"/>
      <c r="N6941" s="891">
        <f>SUM(N6942:N6947)</f>
        <v>0</v>
      </c>
      <c r="O6941" s="892">
        <f t="shared" si="502"/>
        <v>1</v>
      </c>
      <c r="P6941" s="903">
        <f t="shared" si="503"/>
        <v>0</v>
      </c>
      <c r="Q6941" s="893">
        <f t="shared" si="504"/>
        <v>0</v>
      </c>
      <c r="R6941" s="894">
        <f t="shared" si="505"/>
        <v>6</v>
      </c>
    </row>
    <row r="6942" spans="1:18" s="904" customFormat="1">
      <c r="A6942" s="895"/>
      <c r="B6942" s="896"/>
      <c r="C6942" s="897"/>
      <c r="D6942" s="897"/>
      <c r="E6942" s="898" t="s">
        <v>108</v>
      </c>
      <c r="F6942" s="899"/>
      <c r="G6942" s="928"/>
      <c r="H6942" s="901"/>
      <c r="I6942" s="902"/>
      <c r="J6942" s="902"/>
      <c r="K6942" s="912" t="s">
        <v>274</v>
      </c>
      <c r="L6942" s="902"/>
      <c r="M6942" s="902"/>
      <c r="N6942" s="902"/>
      <c r="O6942" s="892">
        <f t="shared" si="502"/>
        <v>0</v>
      </c>
      <c r="P6942" s="903">
        <f t="shared" si="503"/>
        <v>1</v>
      </c>
      <c r="Q6942" s="893">
        <f t="shared" si="504"/>
        <v>6</v>
      </c>
      <c r="R6942" s="894">
        <f t="shared" si="505"/>
        <v>0</v>
      </c>
    </row>
    <row r="6943" spans="1:18">
      <c r="A6943" s="905"/>
      <c r="B6943" s="906"/>
      <c r="C6943" s="907">
        <v>44</v>
      </c>
      <c r="D6943" s="907" t="s">
        <v>279</v>
      </c>
      <c r="E6943" s="925" t="s">
        <v>2681</v>
      </c>
      <c r="F6943" s="926" t="s">
        <v>45</v>
      </c>
      <c r="G6943" s="910"/>
      <c r="H6943" s="911">
        <v>1</v>
      </c>
      <c r="I6943" s="912">
        <f>VLOOKUP(E6943,[3]VLP!$B$7:$K$300,10,0)</f>
        <v>23000</v>
      </c>
      <c r="J6943" s="912">
        <f>I6943*H6943</f>
        <v>23000</v>
      </c>
      <c r="K6943" s="912" t="s">
        <v>274</v>
      </c>
      <c r="L6943" s="912"/>
      <c r="M6943" s="912"/>
      <c r="N6943" s="912"/>
      <c r="O6943" s="892">
        <f t="shared" ref="O6943:O7006" si="509">IF(AND(B6943&lt;&gt;"",D6943=""),1,0)</f>
        <v>0</v>
      </c>
      <c r="P6943" s="903">
        <f t="shared" si="503"/>
        <v>1</v>
      </c>
      <c r="Q6943" s="893">
        <f t="shared" si="504"/>
        <v>5</v>
      </c>
      <c r="R6943" s="894">
        <f t="shared" si="505"/>
        <v>0</v>
      </c>
    </row>
    <row r="6944" spans="1:18">
      <c r="A6944" s="905"/>
      <c r="B6944" s="906"/>
      <c r="C6944" s="907">
        <v>66</v>
      </c>
      <c r="D6944" s="907" t="s">
        <v>279</v>
      </c>
      <c r="E6944" s="925" t="s">
        <v>2682</v>
      </c>
      <c r="F6944" s="926" t="s">
        <v>45</v>
      </c>
      <c r="G6944" s="910"/>
      <c r="H6944" s="911">
        <v>0.4</v>
      </c>
      <c r="I6944" s="912">
        <f>VLOOKUP(E6944,[3]VLP!$B$7:$K$300,10,0)</f>
        <v>5000</v>
      </c>
      <c r="J6944" s="912">
        <f>I6944*H6944</f>
        <v>2000</v>
      </c>
      <c r="K6944" s="912" t="s">
        <v>274</v>
      </c>
      <c r="L6944" s="912"/>
      <c r="M6944" s="912"/>
      <c r="N6944" s="912"/>
      <c r="O6944" s="892">
        <f t="shared" si="509"/>
        <v>0</v>
      </c>
      <c r="P6944" s="903">
        <f t="shared" si="503"/>
        <v>1</v>
      </c>
      <c r="Q6944" s="893">
        <f t="shared" si="504"/>
        <v>4</v>
      </c>
      <c r="R6944" s="894">
        <f t="shared" si="505"/>
        <v>0</v>
      </c>
    </row>
    <row r="6945" spans="1:18">
      <c r="A6945" s="905"/>
      <c r="B6945" s="906"/>
      <c r="C6945" s="907">
        <v>699</v>
      </c>
      <c r="D6945" s="907" t="s">
        <v>279</v>
      </c>
      <c r="E6945" s="925" t="s">
        <v>4006</v>
      </c>
      <c r="F6945" s="926" t="s">
        <v>4007</v>
      </c>
      <c r="G6945" s="910"/>
      <c r="H6945" s="911">
        <v>5</v>
      </c>
      <c r="I6945" s="912">
        <f>VLOOKUP(E6945,[3]VLP!$B$7:$K$300,10,0)</f>
        <v>5000</v>
      </c>
      <c r="J6945" s="912">
        <f>I6945*H6945</f>
        <v>25000</v>
      </c>
      <c r="K6945" s="912" t="s">
        <v>274</v>
      </c>
      <c r="L6945" s="912"/>
      <c r="M6945" s="912"/>
      <c r="N6945" s="912"/>
      <c r="O6945" s="892">
        <f t="shared" si="509"/>
        <v>0</v>
      </c>
      <c r="P6945" s="903">
        <f t="shared" si="503"/>
        <v>1</v>
      </c>
      <c r="Q6945" s="893">
        <f t="shared" si="504"/>
        <v>3</v>
      </c>
      <c r="R6945" s="894">
        <f t="shared" si="505"/>
        <v>0</v>
      </c>
    </row>
    <row r="6946" spans="1:18" s="904" customFormat="1">
      <c r="A6946" s="895"/>
      <c r="B6946" s="896"/>
      <c r="C6946" s="897"/>
      <c r="D6946" s="897"/>
      <c r="E6946" s="924" t="s">
        <v>276</v>
      </c>
      <c r="F6946" s="927"/>
      <c r="G6946" s="928"/>
      <c r="H6946" s="901"/>
      <c r="I6946" s="902"/>
      <c r="J6946" s="902"/>
      <c r="K6946" s="912" t="s">
        <v>274</v>
      </c>
      <c r="L6946" s="902"/>
      <c r="M6946" s="902"/>
      <c r="N6946" s="902"/>
      <c r="O6946" s="892">
        <f t="shared" si="509"/>
        <v>0</v>
      </c>
      <c r="P6946" s="903">
        <f t="shared" si="503"/>
        <v>1</v>
      </c>
      <c r="Q6946" s="893">
        <f t="shared" si="504"/>
        <v>2</v>
      </c>
      <c r="R6946" s="894">
        <f t="shared" si="505"/>
        <v>0</v>
      </c>
    </row>
    <row r="6947" spans="1:18">
      <c r="A6947" s="905"/>
      <c r="B6947" s="906"/>
      <c r="C6947" s="907">
        <v>745</v>
      </c>
      <c r="D6947" s="907" t="s">
        <v>12</v>
      </c>
      <c r="E6947" s="908" t="s">
        <v>5518</v>
      </c>
      <c r="F6947" s="909" t="s">
        <v>2674</v>
      </c>
      <c r="G6947" s="910"/>
      <c r="H6947" s="911">
        <v>8.06</v>
      </c>
      <c r="I6947" s="912"/>
      <c r="J6947" s="912"/>
      <c r="K6947" s="912">
        <f>VLOOKUP(E6947,[5]ĐMNC!$A$7:$F$67,4,0)</f>
        <v>240557</v>
      </c>
      <c r="L6947" s="912">
        <f>H6947*K6947</f>
        <v>1938889.4200000002</v>
      </c>
      <c r="M6947" s="912"/>
      <c r="N6947" s="912"/>
      <c r="O6947" s="892">
        <f t="shared" si="509"/>
        <v>0</v>
      </c>
      <c r="P6947" s="903">
        <f t="shared" si="503"/>
        <v>1</v>
      </c>
      <c r="Q6947" s="893">
        <f t="shared" si="504"/>
        <v>1</v>
      </c>
      <c r="R6947" s="894">
        <f t="shared" si="505"/>
        <v>0</v>
      </c>
    </row>
    <row r="6948" spans="1:18" s="847" customFormat="1" ht="31.5">
      <c r="A6948" s="905"/>
      <c r="B6948" s="914" t="s">
        <v>1649</v>
      </c>
      <c r="C6948" s="915"/>
      <c r="D6948" s="915"/>
      <c r="E6948" s="916" t="s">
        <v>6042</v>
      </c>
      <c r="F6948" s="917" t="s">
        <v>2271</v>
      </c>
      <c r="G6948" s="918"/>
      <c r="H6948" s="919"/>
      <c r="I6948" s="920"/>
      <c r="J6948" s="891">
        <f>SUM(J6949:J6954)</f>
        <v>54600</v>
      </c>
      <c r="K6948" s="891"/>
      <c r="L6948" s="891">
        <f>SUM(L6949:L6954)</f>
        <v>2131335.02</v>
      </c>
      <c r="M6948" s="891"/>
      <c r="N6948" s="891">
        <f>SUM(N6949:N6954)</f>
        <v>0</v>
      </c>
      <c r="O6948" s="892">
        <f t="shared" si="509"/>
        <v>1</v>
      </c>
      <c r="P6948" s="903">
        <f t="shared" si="503"/>
        <v>0</v>
      </c>
      <c r="Q6948" s="893">
        <f t="shared" si="504"/>
        <v>0</v>
      </c>
      <c r="R6948" s="894">
        <f t="shared" si="505"/>
        <v>6</v>
      </c>
    </row>
    <row r="6949" spans="1:18" s="904" customFormat="1">
      <c r="A6949" s="895"/>
      <c r="B6949" s="896"/>
      <c r="C6949" s="897"/>
      <c r="D6949" s="897"/>
      <c r="E6949" s="898" t="s">
        <v>108</v>
      </c>
      <c r="F6949" s="899"/>
      <c r="G6949" s="928"/>
      <c r="H6949" s="901"/>
      <c r="I6949" s="902"/>
      <c r="J6949" s="902"/>
      <c r="K6949" s="912" t="s">
        <v>274</v>
      </c>
      <c r="L6949" s="902"/>
      <c r="M6949" s="902"/>
      <c r="N6949" s="902"/>
      <c r="O6949" s="892">
        <f t="shared" si="509"/>
        <v>0</v>
      </c>
      <c r="P6949" s="903">
        <f t="shared" si="503"/>
        <v>1</v>
      </c>
      <c r="Q6949" s="893">
        <f t="shared" si="504"/>
        <v>6</v>
      </c>
      <c r="R6949" s="894">
        <f t="shared" si="505"/>
        <v>0</v>
      </c>
    </row>
    <row r="6950" spans="1:18">
      <c r="A6950" s="905"/>
      <c r="B6950" s="906"/>
      <c r="C6950" s="907">
        <v>44</v>
      </c>
      <c r="D6950" s="907" t="s">
        <v>279</v>
      </c>
      <c r="E6950" s="925" t="s">
        <v>2681</v>
      </c>
      <c r="F6950" s="926" t="s">
        <v>45</v>
      </c>
      <c r="G6950" s="910"/>
      <c r="H6950" s="911">
        <v>1.2</v>
      </c>
      <c r="I6950" s="912">
        <f>VLOOKUP(E6950,[3]VLP!$B$7:$K$300,10,0)</f>
        <v>23000</v>
      </c>
      <c r="J6950" s="912">
        <f>I6950*H6950</f>
        <v>27600</v>
      </c>
      <c r="K6950" s="912" t="s">
        <v>274</v>
      </c>
      <c r="L6950" s="912"/>
      <c r="M6950" s="912"/>
      <c r="N6950" s="912"/>
      <c r="O6950" s="892">
        <f t="shared" si="509"/>
        <v>0</v>
      </c>
      <c r="P6950" s="903">
        <f t="shared" si="503"/>
        <v>1</v>
      </c>
      <c r="Q6950" s="893">
        <f t="shared" si="504"/>
        <v>5</v>
      </c>
      <c r="R6950" s="894">
        <f t="shared" si="505"/>
        <v>0</v>
      </c>
    </row>
    <row r="6951" spans="1:18">
      <c r="A6951" s="905"/>
      <c r="B6951" s="906"/>
      <c r="C6951" s="907">
        <v>66</v>
      </c>
      <c r="D6951" s="907" t="s">
        <v>279</v>
      </c>
      <c r="E6951" s="925" t="s">
        <v>2682</v>
      </c>
      <c r="F6951" s="926" t="s">
        <v>45</v>
      </c>
      <c r="G6951" s="910"/>
      <c r="H6951" s="911">
        <v>0.4</v>
      </c>
      <c r="I6951" s="912">
        <f>VLOOKUP(E6951,[3]VLP!$B$7:$K$300,10,0)</f>
        <v>5000</v>
      </c>
      <c r="J6951" s="912">
        <f>I6951*H6951</f>
        <v>2000</v>
      </c>
      <c r="K6951" s="912" t="s">
        <v>274</v>
      </c>
      <c r="L6951" s="912"/>
      <c r="M6951" s="912"/>
      <c r="N6951" s="912"/>
      <c r="O6951" s="892">
        <f t="shared" si="509"/>
        <v>0</v>
      </c>
      <c r="P6951" s="903">
        <f t="shared" si="503"/>
        <v>1</v>
      </c>
      <c r="Q6951" s="893">
        <f t="shared" si="504"/>
        <v>4</v>
      </c>
      <c r="R6951" s="894">
        <f t="shared" si="505"/>
        <v>0</v>
      </c>
    </row>
    <row r="6952" spans="1:18">
      <c r="A6952" s="905"/>
      <c r="B6952" s="906"/>
      <c r="C6952" s="907">
        <v>699</v>
      </c>
      <c r="D6952" s="907" t="s">
        <v>279</v>
      </c>
      <c r="E6952" s="925" t="s">
        <v>4006</v>
      </c>
      <c r="F6952" s="926" t="s">
        <v>4007</v>
      </c>
      <c r="G6952" s="910"/>
      <c r="H6952" s="911">
        <v>5</v>
      </c>
      <c r="I6952" s="912">
        <f>VLOOKUP(E6952,[3]VLP!$B$7:$K$300,10,0)</f>
        <v>5000</v>
      </c>
      <c r="J6952" s="912">
        <f>I6952*H6952</f>
        <v>25000</v>
      </c>
      <c r="K6952" s="912" t="s">
        <v>274</v>
      </c>
      <c r="L6952" s="912"/>
      <c r="M6952" s="912"/>
      <c r="N6952" s="912"/>
      <c r="O6952" s="892">
        <f t="shared" si="509"/>
        <v>0</v>
      </c>
      <c r="P6952" s="903">
        <f t="shared" ref="P6952:P7015" si="510">IF(O6952=0,1,0)</f>
        <v>1</v>
      </c>
      <c r="Q6952" s="893">
        <f t="shared" ref="Q6952:Q7015" si="511">IF(P6952=0,0,P6952+Q6953)</f>
        <v>3</v>
      </c>
      <c r="R6952" s="894">
        <f t="shared" ref="R6952:R7015" si="512">IF(Q6952=0,Q6953,0)</f>
        <v>0</v>
      </c>
    </row>
    <row r="6953" spans="1:18" s="904" customFormat="1">
      <c r="A6953" s="895"/>
      <c r="B6953" s="896"/>
      <c r="C6953" s="897"/>
      <c r="D6953" s="897"/>
      <c r="E6953" s="924" t="s">
        <v>276</v>
      </c>
      <c r="F6953" s="927"/>
      <c r="G6953" s="928"/>
      <c r="H6953" s="901"/>
      <c r="I6953" s="902"/>
      <c r="J6953" s="902"/>
      <c r="K6953" s="912" t="s">
        <v>274</v>
      </c>
      <c r="L6953" s="902"/>
      <c r="M6953" s="902"/>
      <c r="N6953" s="902"/>
      <c r="O6953" s="892">
        <f t="shared" si="509"/>
        <v>0</v>
      </c>
      <c r="P6953" s="903">
        <f t="shared" si="510"/>
        <v>1</v>
      </c>
      <c r="Q6953" s="893">
        <f t="shared" si="511"/>
        <v>2</v>
      </c>
      <c r="R6953" s="894">
        <f t="shared" si="512"/>
        <v>0</v>
      </c>
    </row>
    <row r="6954" spans="1:18">
      <c r="A6954" s="905"/>
      <c r="B6954" s="906"/>
      <c r="C6954" s="907">
        <v>745</v>
      </c>
      <c r="D6954" s="907" t="s">
        <v>12</v>
      </c>
      <c r="E6954" s="908" t="s">
        <v>5518</v>
      </c>
      <c r="F6954" s="909" t="s">
        <v>2674</v>
      </c>
      <c r="G6954" s="910"/>
      <c r="H6954" s="911">
        <v>8.86</v>
      </c>
      <c r="I6954" s="912"/>
      <c r="J6954" s="912"/>
      <c r="K6954" s="912">
        <f>VLOOKUP(E6954,[5]ĐMNC!$A$7:$F$67,4,0)</f>
        <v>240557</v>
      </c>
      <c r="L6954" s="912">
        <f>H6954*K6954</f>
        <v>2131335.02</v>
      </c>
      <c r="M6954" s="912"/>
      <c r="N6954" s="912"/>
      <c r="O6954" s="892">
        <f t="shared" si="509"/>
        <v>0</v>
      </c>
      <c r="P6954" s="903">
        <f t="shared" si="510"/>
        <v>1</v>
      </c>
      <c r="Q6954" s="893">
        <f t="shared" si="511"/>
        <v>1</v>
      </c>
      <c r="R6954" s="894">
        <f t="shared" si="512"/>
        <v>0</v>
      </c>
    </row>
    <row r="6955" spans="1:18" s="847" customFormat="1" ht="31.5">
      <c r="A6955" s="905"/>
      <c r="B6955" s="914" t="s">
        <v>1651</v>
      </c>
      <c r="C6955" s="915"/>
      <c r="D6955" s="915"/>
      <c r="E6955" s="916" t="s">
        <v>6043</v>
      </c>
      <c r="F6955" s="917" t="s">
        <v>2271</v>
      </c>
      <c r="G6955" s="918"/>
      <c r="H6955" s="919"/>
      <c r="I6955" s="920"/>
      <c r="J6955" s="891">
        <f>SUM(J6956:J6961)</f>
        <v>56600</v>
      </c>
      <c r="K6955" s="891"/>
      <c r="L6955" s="891">
        <f>SUM(L6956:L6961)</f>
        <v>2338214.04</v>
      </c>
      <c r="M6955" s="891"/>
      <c r="N6955" s="891">
        <f>SUM(N6956:N6961)</f>
        <v>0</v>
      </c>
      <c r="O6955" s="892">
        <f t="shared" si="509"/>
        <v>1</v>
      </c>
      <c r="P6955" s="903">
        <f t="shared" si="510"/>
        <v>0</v>
      </c>
      <c r="Q6955" s="893">
        <f t="shared" si="511"/>
        <v>0</v>
      </c>
      <c r="R6955" s="894">
        <f t="shared" si="512"/>
        <v>6</v>
      </c>
    </row>
    <row r="6956" spans="1:18" s="904" customFormat="1">
      <c r="A6956" s="895"/>
      <c r="B6956" s="896"/>
      <c r="C6956" s="897"/>
      <c r="D6956" s="897"/>
      <c r="E6956" s="898" t="s">
        <v>108</v>
      </c>
      <c r="F6956" s="899"/>
      <c r="G6956" s="928"/>
      <c r="H6956" s="901"/>
      <c r="I6956" s="902"/>
      <c r="J6956" s="902"/>
      <c r="K6956" s="912" t="s">
        <v>274</v>
      </c>
      <c r="L6956" s="902"/>
      <c r="M6956" s="902"/>
      <c r="N6956" s="902"/>
      <c r="O6956" s="892">
        <f t="shared" si="509"/>
        <v>0</v>
      </c>
      <c r="P6956" s="903">
        <f t="shared" si="510"/>
        <v>1</v>
      </c>
      <c r="Q6956" s="893">
        <f t="shared" si="511"/>
        <v>6</v>
      </c>
      <c r="R6956" s="894">
        <f t="shared" si="512"/>
        <v>0</v>
      </c>
    </row>
    <row r="6957" spans="1:18">
      <c r="A6957" s="905"/>
      <c r="B6957" s="906"/>
      <c r="C6957" s="907">
        <v>44</v>
      </c>
      <c r="D6957" s="907" t="s">
        <v>279</v>
      </c>
      <c r="E6957" s="925" t="s">
        <v>2681</v>
      </c>
      <c r="F6957" s="926" t="s">
        <v>45</v>
      </c>
      <c r="G6957" s="910"/>
      <c r="H6957" s="911">
        <v>1.2</v>
      </c>
      <c r="I6957" s="912">
        <f>VLOOKUP(E6957,[3]VLP!$B$7:$K$300,10,0)</f>
        <v>23000</v>
      </c>
      <c r="J6957" s="912">
        <f>I6957*H6957</f>
        <v>27600</v>
      </c>
      <c r="K6957" s="912" t="s">
        <v>274</v>
      </c>
      <c r="L6957" s="912"/>
      <c r="M6957" s="912"/>
      <c r="N6957" s="912"/>
      <c r="O6957" s="892">
        <f t="shared" si="509"/>
        <v>0</v>
      </c>
      <c r="P6957" s="903">
        <f t="shared" si="510"/>
        <v>1</v>
      </c>
      <c r="Q6957" s="893">
        <f t="shared" si="511"/>
        <v>5</v>
      </c>
      <c r="R6957" s="894">
        <f t="shared" si="512"/>
        <v>0</v>
      </c>
    </row>
    <row r="6958" spans="1:18">
      <c r="A6958" s="905"/>
      <c r="B6958" s="906"/>
      <c r="C6958" s="907">
        <v>66</v>
      </c>
      <c r="D6958" s="907" t="s">
        <v>279</v>
      </c>
      <c r="E6958" s="925" t="s">
        <v>2682</v>
      </c>
      <c r="F6958" s="926" t="s">
        <v>45</v>
      </c>
      <c r="G6958" s="910"/>
      <c r="H6958" s="911">
        <v>0.8</v>
      </c>
      <c r="I6958" s="912">
        <f>VLOOKUP(E6958,[3]VLP!$B$7:$K$300,10,0)</f>
        <v>5000</v>
      </c>
      <c r="J6958" s="912">
        <f>I6958*H6958</f>
        <v>4000</v>
      </c>
      <c r="K6958" s="912" t="s">
        <v>274</v>
      </c>
      <c r="L6958" s="912"/>
      <c r="M6958" s="912"/>
      <c r="N6958" s="912"/>
      <c r="O6958" s="892">
        <f t="shared" si="509"/>
        <v>0</v>
      </c>
      <c r="P6958" s="903">
        <f t="shared" si="510"/>
        <v>1</v>
      </c>
      <c r="Q6958" s="893">
        <f t="shared" si="511"/>
        <v>4</v>
      </c>
      <c r="R6958" s="894">
        <f t="shared" si="512"/>
        <v>0</v>
      </c>
    </row>
    <row r="6959" spans="1:18">
      <c r="A6959" s="905"/>
      <c r="B6959" s="906"/>
      <c r="C6959" s="907">
        <v>699</v>
      </c>
      <c r="D6959" s="907" t="s">
        <v>279</v>
      </c>
      <c r="E6959" s="925" t="s">
        <v>4006</v>
      </c>
      <c r="F6959" s="926" t="s">
        <v>4007</v>
      </c>
      <c r="G6959" s="910"/>
      <c r="H6959" s="911">
        <v>5</v>
      </c>
      <c r="I6959" s="912">
        <f>VLOOKUP(E6959,[3]VLP!$B$7:$K$300,10,0)</f>
        <v>5000</v>
      </c>
      <c r="J6959" s="912">
        <f>I6959*H6959</f>
        <v>25000</v>
      </c>
      <c r="K6959" s="912" t="s">
        <v>274</v>
      </c>
      <c r="L6959" s="912"/>
      <c r="M6959" s="912"/>
      <c r="N6959" s="912"/>
      <c r="O6959" s="892">
        <f t="shared" si="509"/>
        <v>0</v>
      </c>
      <c r="P6959" s="903">
        <f t="shared" si="510"/>
        <v>1</v>
      </c>
      <c r="Q6959" s="893">
        <f t="shared" si="511"/>
        <v>3</v>
      </c>
      <c r="R6959" s="894">
        <f t="shared" si="512"/>
        <v>0</v>
      </c>
    </row>
    <row r="6960" spans="1:18" s="904" customFormat="1">
      <c r="A6960" s="895"/>
      <c r="B6960" s="896"/>
      <c r="C6960" s="897"/>
      <c r="D6960" s="897"/>
      <c r="E6960" s="924" t="s">
        <v>276</v>
      </c>
      <c r="F6960" s="927"/>
      <c r="G6960" s="928"/>
      <c r="H6960" s="901"/>
      <c r="I6960" s="902"/>
      <c r="J6960" s="902"/>
      <c r="K6960" s="912" t="s">
        <v>274</v>
      </c>
      <c r="L6960" s="902"/>
      <c r="M6960" s="902"/>
      <c r="N6960" s="902"/>
      <c r="O6960" s="892">
        <f t="shared" si="509"/>
        <v>0</v>
      </c>
      <c r="P6960" s="903">
        <f t="shared" si="510"/>
        <v>1</v>
      </c>
      <c r="Q6960" s="893">
        <f t="shared" si="511"/>
        <v>2</v>
      </c>
      <c r="R6960" s="894">
        <f t="shared" si="512"/>
        <v>0</v>
      </c>
    </row>
    <row r="6961" spans="1:18">
      <c r="A6961" s="905"/>
      <c r="B6961" s="906"/>
      <c r="C6961" s="907">
        <v>745</v>
      </c>
      <c r="D6961" s="907" t="s">
        <v>12</v>
      </c>
      <c r="E6961" s="908" t="s">
        <v>5518</v>
      </c>
      <c r="F6961" s="909" t="s">
        <v>2674</v>
      </c>
      <c r="G6961" s="910"/>
      <c r="H6961" s="911">
        <v>9.7200000000000006</v>
      </c>
      <c r="I6961" s="912"/>
      <c r="J6961" s="912"/>
      <c r="K6961" s="912">
        <f>VLOOKUP(E6961,[5]ĐMNC!$A$7:$F$67,4,0)</f>
        <v>240557</v>
      </c>
      <c r="L6961" s="912">
        <f>H6961*K6961</f>
        <v>2338214.04</v>
      </c>
      <c r="M6961" s="912"/>
      <c r="N6961" s="912"/>
      <c r="O6961" s="892">
        <f t="shared" si="509"/>
        <v>0</v>
      </c>
      <c r="P6961" s="903">
        <f t="shared" si="510"/>
        <v>1</v>
      </c>
      <c r="Q6961" s="893">
        <f t="shared" si="511"/>
        <v>1</v>
      </c>
      <c r="R6961" s="894">
        <f t="shared" si="512"/>
        <v>0</v>
      </c>
    </row>
    <row r="6962" spans="1:18" s="847" customFormat="1" ht="31.5">
      <c r="A6962" s="905" t="s">
        <v>6044</v>
      </c>
      <c r="B6962" s="914" t="s">
        <v>1653</v>
      </c>
      <c r="C6962" s="915"/>
      <c r="D6962" s="915"/>
      <c r="E6962" s="916" t="s">
        <v>6045</v>
      </c>
      <c r="F6962" s="917" t="s">
        <v>2271</v>
      </c>
      <c r="G6962" s="918"/>
      <c r="H6962" s="919"/>
      <c r="I6962" s="920"/>
      <c r="J6962" s="891">
        <f>SUM(J6963:J6968)</f>
        <v>61200</v>
      </c>
      <c r="K6962" s="891"/>
      <c r="L6962" s="891">
        <f>SUM(L6963:L6968)</f>
        <v>2619665.73</v>
      </c>
      <c r="M6962" s="891"/>
      <c r="N6962" s="891">
        <f>SUM(N6963:N6968)</f>
        <v>0</v>
      </c>
      <c r="O6962" s="892">
        <f t="shared" si="509"/>
        <v>1</v>
      </c>
      <c r="P6962" s="903">
        <f t="shared" si="510"/>
        <v>0</v>
      </c>
      <c r="Q6962" s="893">
        <f t="shared" si="511"/>
        <v>0</v>
      </c>
      <c r="R6962" s="894">
        <f t="shared" si="512"/>
        <v>6</v>
      </c>
    </row>
    <row r="6963" spans="1:18" s="904" customFormat="1">
      <c r="A6963" s="895"/>
      <c r="B6963" s="896"/>
      <c r="C6963" s="897"/>
      <c r="D6963" s="897"/>
      <c r="E6963" s="898" t="s">
        <v>108</v>
      </c>
      <c r="F6963" s="899"/>
      <c r="G6963" s="928"/>
      <c r="H6963" s="901"/>
      <c r="I6963" s="902"/>
      <c r="J6963" s="902"/>
      <c r="K6963" s="912" t="s">
        <v>274</v>
      </c>
      <c r="L6963" s="902"/>
      <c r="M6963" s="902"/>
      <c r="N6963" s="902"/>
      <c r="O6963" s="892">
        <f t="shared" si="509"/>
        <v>0</v>
      </c>
      <c r="P6963" s="903">
        <f t="shared" si="510"/>
        <v>1</v>
      </c>
      <c r="Q6963" s="893">
        <f t="shared" si="511"/>
        <v>6</v>
      </c>
      <c r="R6963" s="894">
        <f t="shared" si="512"/>
        <v>0</v>
      </c>
    </row>
    <row r="6964" spans="1:18">
      <c r="A6964" s="905"/>
      <c r="B6964" s="906"/>
      <c r="C6964" s="907">
        <v>44</v>
      </c>
      <c r="D6964" s="907" t="s">
        <v>279</v>
      </c>
      <c r="E6964" s="925" t="s">
        <v>2681</v>
      </c>
      <c r="F6964" s="926" t="s">
        <v>45</v>
      </c>
      <c r="G6964" s="910"/>
      <c r="H6964" s="911">
        <v>1.4</v>
      </c>
      <c r="I6964" s="912">
        <f>VLOOKUP(E6964,[3]VLP!$B$7:$K$300,10,0)</f>
        <v>23000</v>
      </c>
      <c r="J6964" s="912">
        <f>I6964*H6964</f>
        <v>32199.999999999996</v>
      </c>
      <c r="K6964" s="912" t="s">
        <v>274</v>
      </c>
      <c r="L6964" s="912"/>
      <c r="M6964" s="912"/>
      <c r="N6964" s="912"/>
      <c r="O6964" s="892">
        <f t="shared" si="509"/>
        <v>0</v>
      </c>
      <c r="P6964" s="903">
        <f t="shared" si="510"/>
        <v>1</v>
      </c>
      <c r="Q6964" s="893">
        <f t="shared" si="511"/>
        <v>5</v>
      </c>
      <c r="R6964" s="894">
        <f t="shared" si="512"/>
        <v>0</v>
      </c>
    </row>
    <row r="6965" spans="1:18">
      <c r="A6965" s="905"/>
      <c r="B6965" s="906"/>
      <c r="C6965" s="907">
        <v>66</v>
      </c>
      <c r="D6965" s="907" t="s">
        <v>279</v>
      </c>
      <c r="E6965" s="925" t="s">
        <v>2682</v>
      </c>
      <c r="F6965" s="926" t="s">
        <v>45</v>
      </c>
      <c r="G6965" s="910"/>
      <c r="H6965" s="911">
        <v>0.8</v>
      </c>
      <c r="I6965" s="912">
        <f>VLOOKUP(E6965,[3]VLP!$B$7:$K$300,10,0)</f>
        <v>5000</v>
      </c>
      <c r="J6965" s="912">
        <f>I6965*H6965</f>
        <v>4000</v>
      </c>
      <c r="K6965" s="912" t="s">
        <v>274</v>
      </c>
      <c r="L6965" s="912"/>
      <c r="M6965" s="912"/>
      <c r="N6965" s="912"/>
      <c r="O6965" s="892">
        <f t="shared" si="509"/>
        <v>0</v>
      </c>
      <c r="P6965" s="903">
        <f t="shared" si="510"/>
        <v>1</v>
      </c>
      <c r="Q6965" s="893">
        <f t="shared" si="511"/>
        <v>4</v>
      </c>
      <c r="R6965" s="894">
        <f t="shared" si="512"/>
        <v>0</v>
      </c>
    </row>
    <row r="6966" spans="1:18">
      <c r="A6966" s="905"/>
      <c r="B6966" s="906"/>
      <c r="C6966" s="907">
        <v>699</v>
      </c>
      <c r="D6966" s="907" t="s">
        <v>279</v>
      </c>
      <c r="E6966" s="925" t="s">
        <v>4006</v>
      </c>
      <c r="F6966" s="926" t="s">
        <v>4007</v>
      </c>
      <c r="G6966" s="910"/>
      <c r="H6966" s="911">
        <v>5</v>
      </c>
      <c r="I6966" s="912">
        <f>VLOOKUP(E6966,[3]VLP!$B$7:$K$300,10,0)</f>
        <v>5000</v>
      </c>
      <c r="J6966" s="912">
        <f>I6966*H6966</f>
        <v>25000</v>
      </c>
      <c r="K6966" s="912" t="s">
        <v>274</v>
      </c>
      <c r="L6966" s="912"/>
      <c r="M6966" s="912"/>
      <c r="N6966" s="912"/>
      <c r="O6966" s="892">
        <f t="shared" si="509"/>
        <v>0</v>
      </c>
      <c r="P6966" s="903">
        <f t="shared" si="510"/>
        <v>1</v>
      </c>
      <c r="Q6966" s="893">
        <f t="shared" si="511"/>
        <v>3</v>
      </c>
      <c r="R6966" s="894">
        <f t="shared" si="512"/>
        <v>0</v>
      </c>
    </row>
    <row r="6967" spans="1:18" s="904" customFormat="1">
      <c r="A6967" s="895"/>
      <c r="B6967" s="896"/>
      <c r="C6967" s="897"/>
      <c r="D6967" s="897"/>
      <c r="E6967" s="924" t="s">
        <v>276</v>
      </c>
      <c r="F6967" s="927"/>
      <c r="G6967" s="928"/>
      <c r="H6967" s="901"/>
      <c r="I6967" s="902"/>
      <c r="J6967" s="902"/>
      <c r="K6967" s="912" t="s">
        <v>274</v>
      </c>
      <c r="L6967" s="902"/>
      <c r="M6967" s="902"/>
      <c r="N6967" s="902"/>
      <c r="O6967" s="892">
        <f t="shared" si="509"/>
        <v>0</v>
      </c>
      <c r="P6967" s="903">
        <f t="shared" si="510"/>
        <v>1</v>
      </c>
      <c r="Q6967" s="893">
        <f t="shared" si="511"/>
        <v>2</v>
      </c>
      <c r="R6967" s="894">
        <f t="shared" si="512"/>
        <v>0</v>
      </c>
    </row>
    <row r="6968" spans="1:18">
      <c r="A6968" s="905"/>
      <c r="B6968" s="906"/>
      <c r="C6968" s="907">
        <v>745</v>
      </c>
      <c r="D6968" s="907" t="s">
        <v>12</v>
      </c>
      <c r="E6968" s="908" t="s">
        <v>5518</v>
      </c>
      <c r="F6968" s="909" t="s">
        <v>2674</v>
      </c>
      <c r="G6968" s="910"/>
      <c r="H6968" s="911">
        <v>10.89</v>
      </c>
      <c r="I6968" s="912"/>
      <c r="J6968" s="912"/>
      <c r="K6968" s="912">
        <f>VLOOKUP(E6968,[5]ĐMNC!$A$7:$F$67,4,0)</f>
        <v>240557</v>
      </c>
      <c r="L6968" s="912">
        <f>H6968*K6968</f>
        <v>2619665.73</v>
      </c>
      <c r="M6968" s="912"/>
      <c r="N6968" s="912"/>
      <c r="O6968" s="892">
        <f t="shared" si="509"/>
        <v>0</v>
      </c>
      <c r="P6968" s="903">
        <f t="shared" si="510"/>
        <v>1</v>
      </c>
      <c r="Q6968" s="893">
        <f t="shared" si="511"/>
        <v>1</v>
      </c>
      <c r="R6968" s="894">
        <f t="shared" si="512"/>
        <v>0</v>
      </c>
    </row>
    <row r="6969" spans="1:18" s="847" customFormat="1" ht="31.5">
      <c r="A6969" s="905"/>
      <c r="B6969" s="914" t="s">
        <v>1655</v>
      </c>
      <c r="C6969" s="915"/>
      <c r="D6969" s="915"/>
      <c r="E6969" s="916" t="s">
        <v>6046</v>
      </c>
      <c r="F6969" s="917" t="s">
        <v>2271</v>
      </c>
      <c r="G6969" s="918"/>
      <c r="H6969" s="919"/>
      <c r="I6969" s="920"/>
      <c r="J6969" s="891">
        <f>SUM(J6970:J6975)</f>
        <v>61200</v>
      </c>
      <c r="K6969" s="891"/>
      <c r="L6969" s="891">
        <f>SUM(L6970:L6975)</f>
        <v>3394259.27</v>
      </c>
      <c r="M6969" s="891"/>
      <c r="N6969" s="891">
        <f>SUM(N6970:N6975)</f>
        <v>0</v>
      </c>
      <c r="O6969" s="892">
        <f t="shared" si="509"/>
        <v>1</v>
      </c>
      <c r="P6969" s="903">
        <f t="shared" si="510"/>
        <v>0</v>
      </c>
      <c r="Q6969" s="893">
        <f t="shared" si="511"/>
        <v>0</v>
      </c>
      <c r="R6969" s="894">
        <f t="shared" si="512"/>
        <v>6</v>
      </c>
    </row>
    <row r="6970" spans="1:18" s="904" customFormat="1">
      <c r="A6970" s="895"/>
      <c r="B6970" s="896"/>
      <c r="C6970" s="897"/>
      <c r="D6970" s="897"/>
      <c r="E6970" s="898" t="s">
        <v>108</v>
      </c>
      <c r="F6970" s="899"/>
      <c r="G6970" s="928"/>
      <c r="H6970" s="901"/>
      <c r="I6970" s="902"/>
      <c r="J6970" s="902"/>
      <c r="K6970" s="912" t="s">
        <v>274</v>
      </c>
      <c r="L6970" s="902"/>
      <c r="M6970" s="902"/>
      <c r="N6970" s="902"/>
      <c r="O6970" s="892">
        <f t="shared" si="509"/>
        <v>0</v>
      </c>
      <c r="P6970" s="903">
        <f t="shared" si="510"/>
        <v>1</v>
      </c>
      <c r="Q6970" s="893">
        <f t="shared" si="511"/>
        <v>6</v>
      </c>
      <c r="R6970" s="894">
        <f t="shared" si="512"/>
        <v>0</v>
      </c>
    </row>
    <row r="6971" spans="1:18">
      <c r="A6971" s="905"/>
      <c r="B6971" s="906"/>
      <c r="C6971" s="907">
        <v>44</v>
      </c>
      <c r="D6971" s="907" t="s">
        <v>279</v>
      </c>
      <c r="E6971" s="925" t="s">
        <v>2681</v>
      </c>
      <c r="F6971" s="926" t="s">
        <v>45</v>
      </c>
      <c r="G6971" s="910"/>
      <c r="H6971" s="911">
        <v>1.4</v>
      </c>
      <c r="I6971" s="912">
        <f>VLOOKUP(E6971,[3]VLP!$B$7:$K$300,10,0)</f>
        <v>23000</v>
      </c>
      <c r="J6971" s="912">
        <f>I6971*H6971</f>
        <v>32199.999999999996</v>
      </c>
      <c r="K6971" s="912" t="s">
        <v>274</v>
      </c>
      <c r="L6971" s="912"/>
      <c r="M6971" s="912"/>
      <c r="N6971" s="912"/>
      <c r="O6971" s="892">
        <f t="shared" si="509"/>
        <v>0</v>
      </c>
      <c r="P6971" s="903">
        <f t="shared" si="510"/>
        <v>1</v>
      </c>
      <c r="Q6971" s="893">
        <f t="shared" si="511"/>
        <v>5</v>
      </c>
      <c r="R6971" s="894">
        <f t="shared" si="512"/>
        <v>0</v>
      </c>
    </row>
    <row r="6972" spans="1:18">
      <c r="A6972" s="905"/>
      <c r="B6972" s="906"/>
      <c r="C6972" s="907">
        <v>66</v>
      </c>
      <c r="D6972" s="907" t="s">
        <v>279</v>
      </c>
      <c r="E6972" s="925" t="s">
        <v>2682</v>
      </c>
      <c r="F6972" s="926" t="s">
        <v>45</v>
      </c>
      <c r="G6972" s="910"/>
      <c r="H6972" s="911">
        <v>0.8</v>
      </c>
      <c r="I6972" s="912">
        <f>VLOOKUP(E6972,[3]VLP!$B$7:$K$300,10,0)</f>
        <v>5000</v>
      </c>
      <c r="J6972" s="912">
        <f>I6972*H6972</f>
        <v>4000</v>
      </c>
      <c r="K6972" s="912" t="s">
        <v>274</v>
      </c>
      <c r="L6972" s="912"/>
      <c r="M6972" s="912"/>
      <c r="N6972" s="912"/>
      <c r="O6972" s="892">
        <f t="shared" si="509"/>
        <v>0</v>
      </c>
      <c r="P6972" s="903">
        <f t="shared" si="510"/>
        <v>1</v>
      </c>
      <c r="Q6972" s="893">
        <f t="shared" si="511"/>
        <v>4</v>
      </c>
      <c r="R6972" s="894">
        <f t="shared" si="512"/>
        <v>0</v>
      </c>
    </row>
    <row r="6973" spans="1:18">
      <c r="A6973" s="905"/>
      <c r="B6973" s="906"/>
      <c r="C6973" s="907">
        <v>699</v>
      </c>
      <c r="D6973" s="907" t="s">
        <v>279</v>
      </c>
      <c r="E6973" s="925" t="s">
        <v>4006</v>
      </c>
      <c r="F6973" s="926" t="s">
        <v>4007</v>
      </c>
      <c r="G6973" s="910"/>
      <c r="H6973" s="911">
        <v>5</v>
      </c>
      <c r="I6973" s="912">
        <f>VLOOKUP(E6973,[3]VLP!$B$7:$K$300,10,0)</f>
        <v>5000</v>
      </c>
      <c r="J6973" s="912">
        <f>I6973*H6973</f>
        <v>25000</v>
      </c>
      <c r="K6973" s="912" t="s">
        <v>274</v>
      </c>
      <c r="L6973" s="912"/>
      <c r="M6973" s="912"/>
      <c r="N6973" s="912"/>
      <c r="O6973" s="892">
        <f t="shared" si="509"/>
        <v>0</v>
      </c>
      <c r="P6973" s="903">
        <f t="shared" si="510"/>
        <v>1</v>
      </c>
      <c r="Q6973" s="893">
        <f t="shared" si="511"/>
        <v>3</v>
      </c>
      <c r="R6973" s="894">
        <f t="shared" si="512"/>
        <v>0</v>
      </c>
    </row>
    <row r="6974" spans="1:18" s="904" customFormat="1">
      <c r="A6974" s="895"/>
      <c r="B6974" s="896"/>
      <c r="C6974" s="897"/>
      <c r="D6974" s="897"/>
      <c r="E6974" s="924" t="s">
        <v>276</v>
      </c>
      <c r="F6974" s="927"/>
      <c r="G6974" s="928"/>
      <c r="H6974" s="901"/>
      <c r="I6974" s="902"/>
      <c r="J6974" s="902"/>
      <c r="K6974" s="912" t="s">
        <v>274</v>
      </c>
      <c r="L6974" s="902"/>
      <c r="M6974" s="902"/>
      <c r="N6974" s="902"/>
      <c r="O6974" s="892">
        <f t="shared" si="509"/>
        <v>0</v>
      </c>
      <c r="P6974" s="903">
        <f t="shared" si="510"/>
        <v>1</v>
      </c>
      <c r="Q6974" s="893">
        <f t="shared" si="511"/>
        <v>2</v>
      </c>
      <c r="R6974" s="894">
        <f t="shared" si="512"/>
        <v>0</v>
      </c>
    </row>
    <row r="6975" spans="1:18">
      <c r="A6975" s="905"/>
      <c r="B6975" s="906"/>
      <c r="C6975" s="907">
        <v>745</v>
      </c>
      <c r="D6975" s="907" t="s">
        <v>12</v>
      </c>
      <c r="E6975" s="908" t="s">
        <v>5518</v>
      </c>
      <c r="F6975" s="909" t="s">
        <v>2674</v>
      </c>
      <c r="G6975" s="910"/>
      <c r="H6975" s="911">
        <v>14.11</v>
      </c>
      <c r="I6975" s="912"/>
      <c r="J6975" s="912"/>
      <c r="K6975" s="912">
        <f>VLOOKUP(E6975,[5]ĐMNC!$A$7:$F$67,4,0)</f>
        <v>240557</v>
      </c>
      <c r="L6975" s="912">
        <f>H6975*K6975</f>
        <v>3394259.27</v>
      </c>
      <c r="M6975" s="912"/>
      <c r="N6975" s="912"/>
      <c r="O6975" s="892">
        <f t="shared" si="509"/>
        <v>0</v>
      </c>
      <c r="P6975" s="903">
        <f t="shared" si="510"/>
        <v>1</v>
      </c>
      <c r="Q6975" s="893">
        <f t="shared" si="511"/>
        <v>1</v>
      </c>
      <c r="R6975" s="894">
        <f t="shared" si="512"/>
        <v>0</v>
      </c>
    </row>
    <row r="6976" spans="1:18" s="847" customFormat="1" ht="31.5">
      <c r="A6976" s="905"/>
      <c r="B6976" s="914" t="s">
        <v>1657</v>
      </c>
      <c r="C6976" s="915"/>
      <c r="D6976" s="915"/>
      <c r="E6976" s="916" t="s">
        <v>6047</v>
      </c>
      <c r="F6976" s="917" t="s">
        <v>2271</v>
      </c>
      <c r="G6976" s="918"/>
      <c r="H6976" s="919"/>
      <c r="I6976" s="920"/>
      <c r="J6976" s="891">
        <f>SUM(J6977:J6982)</f>
        <v>68440</v>
      </c>
      <c r="K6976" s="891"/>
      <c r="L6976" s="891">
        <f>SUM(L6977:L6982)</f>
        <v>4072630.01</v>
      </c>
      <c r="M6976" s="891"/>
      <c r="N6976" s="891">
        <f>SUM(N6977:N6982)</f>
        <v>0</v>
      </c>
      <c r="O6976" s="892">
        <f t="shared" si="509"/>
        <v>1</v>
      </c>
      <c r="P6976" s="903">
        <f t="shared" si="510"/>
        <v>0</v>
      </c>
      <c r="Q6976" s="893">
        <f t="shared" si="511"/>
        <v>0</v>
      </c>
      <c r="R6976" s="894">
        <f t="shared" si="512"/>
        <v>6</v>
      </c>
    </row>
    <row r="6977" spans="1:18" s="904" customFormat="1">
      <c r="A6977" s="895"/>
      <c r="B6977" s="896"/>
      <c r="C6977" s="897"/>
      <c r="D6977" s="897"/>
      <c r="E6977" s="898" t="s">
        <v>108</v>
      </c>
      <c r="F6977" s="899"/>
      <c r="G6977" s="928"/>
      <c r="H6977" s="901"/>
      <c r="I6977" s="902"/>
      <c r="J6977" s="902"/>
      <c r="K6977" s="912" t="s">
        <v>274</v>
      </c>
      <c r="L6977" s="902"/>
      <c r="M6977" s="902"/>
      <c r="N6977" s="902"/>
      <c r="O6977" s="892">
        <f t="shared" si="509"/>
        <v>0</v>
      </c>
      <c r="P6977" s="903">
        <f t="shared" si="510"/>
        <v>1</v>
      </c>
      <c r="Q6977" s="893">
        <f t="shared" si="511"/>
        <v>6</v>
      </c>
      <c r="R6977" s="894">
        <f t="shared" si="512"/>
        <v>0</v>
      </c>
    </row>
    <row r="6978" spans="1:18">
      <c r="A6978" s="905"/>
      <c r="B6978" s="906"/>
      <c r="C6978" s="907">
        <v>44</v>
      </c>
      <c r="D6978" s="907" t="s">
        <v>279</v>
      </c>
      <c r="E6978" s="925" t="s">
        <v>2681</v>
      </c>
      <c r="F6978" s="926" t="s">
        <v>45</v>
      </c>
      <c r="G6978" s="910"/>
      <c r="H6978" s="911">
        <v>1.68</v>
      </c>
      <c r="I6978" s="912">
        <f>VLOOKUP(E6978,[3]VLP!$B$7:$K$300,10,0)</f>
        <v>23000</v>
      </c>
      <c r="J6978" s="912">
        <f>I6978*H6978</f>
        <v>38640</v>
      </c>
      <c r="K6978" s="912" t="s">
        <v>274</v>
      </c>
      <c r="L6978" s="912"/>
      <c r="M6978" s="912"/>
      <c r="N6978" s="912"/>
      <c r="O6978" s="892">
        <f t="shared" si="509"/>
        <v>0</v>
      </c>
      <c r="P6978" s="903">
        <f t="shared" si="510"/>
        <v>1</v>
      </c>
      <c r="Q6978" s="893">
        <f t="shared" si="511"/>
        <v>5</v>
      </c>
      <c r="R6978" s="894">
        <f t="shared" si="512"/>
        <v>0</v>
      </c>
    </row>
    <row r="6979" spans="1:18">
      <c r="A6979" s="905"/>
      <c r="B6979" s="906"/>
      <c r="C6979" s="907">
        <v>66</v>
      </c>
      <c r="D6979" s="907" t="s">
        <v>279</v>
      </c>
      <c r="E6979" s="925" t="s">
        <v>2682</v>
      </c>
      <c r="F6979" s="926" t="s">
        <v>45</v>
      </c>
      <c r="G6979" s="910"/>
      <c r="H6979" s="911">
        <v>0.96</v>
      </c>
      <c r="I6979" s="912">
        <f>VLOOKUP(E6979,[3]VLP!$B$7:$K$300,10,0)</f>
        <v>5000</v>
      </c>
      <c r="J6979" s="912">
        <f>I6979*H6979</f>
        <v>4800</v>
      </c>
      <c r="K6979" s="912" t="s">
        <v>274</v>
      </c>
      <c r="L6979" s="912"/>
      <c r="M6979" s="912"/>
      <c r="N6979" s="912"/>
      <c r="O6979" s="892">
        <f t="shared" si="509"/>
        <v>0</v>
      </c>
      <c r="P6979" s="903">
        <f t="shared" si="510"/>
        <v>1</v>
      </c>
      <c r="Q6979" s="893">
        <f t="shared" si="511"/>
        <v>4</v>
      </c>
      <c r="R6979" s="894">
        <f t="shared" si="512"/>
        <v>0</v>
      </c>
    </row>
    <row r="6980" spans="1:18">
      <c r="A6980" s="905"/>
      <c r="B6980" s="906"/>
      <c r="C6980" s="907">
        <v>699</v>
      </c>
      <c r="D6980" s="907" t="s">
        <v>279</v>
      </c>
      <c r="E6980" s="925" t="s">
        <v>4006</v>
      </c>
      <c r="F6980" s="926" t="s">
        <v>4007</v>
      </c>
      <c r="G6980" s="910"/>
      <c r="H6980" s="911">
        <v>5</v>
      </c>
      <c r="I6980" s="912">
        <f>VLOOKUP(E6980,[3]VLP!$B$7:$K$300,10,0)</f>
        <v>5000</v>
      </c>
      <c r="J6980" s="912">
        <f>I6980*H6980</f>
        <v>25000</v>
      </c>
      <c r="K6980" s="912" t="s">
        <v>274</v>
      </c>
      <c r="L6980" s="912"/>
      <c r="M6980" s="912"/>
      <c r="N6980" s="912"/>
      <c r="O6980" s="892">
        <f t="shared" si="509"/>
        <v>0</v>
      </c>
      <c r="P6980" s="903">
        <f t="shared" si="510"/>
        <v>1</v>
      </c>
      <c r="Q6980" s="893">
        <f t="shared" si="511"/>
        <v>3</v>
      </c>
      <c r="R6980" s="894">
        <f t="shared" si="512"/>
        <v>0</v>
      </c>
    </row>
    <row r="6981" spans="1:18" s="904" customFormat="1">
      <c r="A6981" s="895"/>
      <c r="B6981" s="896"/>
      <c r="C6981" s="897"/>
      <c r="D6981" s="897"/>
      <c r="E6981" s="924" t="s">
        <v>276</v>
      </c>
      <c r="F6981" s="927"/>
      <c r="G6981" s="928"/>
      <c r="H6981" s="901"/>
      <c r="I6981" s="902"/>
      <c r="J6981" s="902"/>
      <c r="K6981" s="912" t="s">
        <v>274</v>
      </c>
      <c r="L6981" s="902"/>
      <c r="M6981" s="902"/>
      <c r="N6981" s="902"/>
      <c r="O6981" s="892">
        <f t="shared" si="509"/>
        <v>0</v>
      </c>
      <c r="P6981" s="903">
        <f t="shared" si="510"/>
        <v>1</v>
      </c>
      <c r="Q6981" s="893">
        <f t="shared" si="511"/>
        <v>2</v>
      </c>
      <c r="R6981" s="894">
        <f t="shared" si="512"/>
        <v>0</v>
      </c>
    </row>
    <row r="6982" spans="1:18">
      <c r="A6982" s="905"/>
      <c r="B6982" s="906"/>
      <c r="C6982" s="907">
        <v>745</v>
      </c>
      <c r="D6982" s="907" t="s">
        <v>12</v>
      </c>
      <c r="E6982" s="908" t="s">
        <v>5518</v>
      </c>
      <c r="F6982" s="909" t="s">
        <v>2674</v>
      </c>
      <c r="G6982" s="910"/>
      <c r="H6982" s="911">
        <v>16.93</v>
      </c>
      <c r="I6982" s="912"/>
      <c r="J6982" s="912"/>
      <c r="K6982" s="912">
        <f>VLOOKUP(E6982,[5]ĐMNC!$A$7:$F$67,4,0)</f>
        <v>240557</v>
      </c>
      <c r="L6982" s="912">
        <f>H6982*K6982</f>
        <v>4072630.01</v>
      </c>
      <c r="M6982" s="912"/>
      <c r="N6982" s="912"/>
      <c r="O6982" s="892">
        <f t="shared" si="509"/>
        <v>0</v>
      </c>
      <c r="P6982" s="903">
        <f t="shared" si="510"/>
        <v>1</v>
      </c>
      <c r="Q6982" s="893">
        <f t="shared" si="511"/>
        <v>1</v>
      </c>
      <c r="R6982" s="894">
        <f t="shared" si="512"/>
        <v>0</v>
      </c>
    </row>
    <row r="6983" spans="1:18" s="847" customFormat="1" ht="31.5">
      <c r="A6983" s="905" t="s">
        <v>6039</v>
      </c>
      <c r="B6983" s="914" t="s">
        <v>6048</v>
      </c>
      <c r="C6983" s="915"/>
      <c r="D6983" s="915"/>
      <c r="E6983" s="916" t="s">
        <v>6049</v>
      </c>
      <c r="F6983" s="917" t="s">
        <v>2271</v>
      </c>
      <c r="G6983" s="918"/>
      <c r="H6983" s="919"/>
      <c r="I6983" s="920"/>
      <c r="J6983" s="891">
        <f>SUM(J6984:J6989)</f>
        <v>50000</v>
      </c>
      <c r="K6983" s="891"/>
      <c r="L6983" s="891">
        <f>SUM(L6984:L6989)</f>
        <v>2290102.6399999997</v>
      </c>
      <c r="M6983" s="891"/>
      <c r="N6983" s="891">
        <f>SUM(N6984:N6989)</f>
        <v>0</v>
      </c>
      <c r="O6983" s="892">
        <f t="shared" si="509"/>
        <v>1</v>
      </c>
      <c r="P6983" s="903">
        <f t="shared" si="510"/>
        <v>0</v>
      </c>
      <c r="Q6983" s="893">
        <f t="shared" si="511"/>
        <v>0</v>
      </c>
      <c r="R6983" s="894">
        <f t="shared" si="512"/>
        <v>6</v>
      </c>
    </row>
    <row r="6984" spans="1:18" s="904" customFormat="1">
      <c r="A6984" s="895"/>
      <c r="B6984" s="922"/>
      <c r="C6984" s="897"/>
      <c r="D6984" s="897"/>
      <c r="E6984" s="898" t="s">
        <v>108</v>
      </c>
      <c r="F6984" s="899"/>
      <c r="G6984" s="928"/>
      <c r="H6984" s="901"/>
      <c r="I6984" s="902"/>
      <c r="J6984" s="902"/>
      <c r="K6984" s="912" t="s">
        <v>274</v>
      </c>
      <c r="L6984" s="902"/>
      <c r="M6984" s="902"/>
      <c r="N6984" s="902"/>
      <c r="O6984" s="892">
        <f t="shared" si="509"/>
        <v>0</v>
      </c>
      <c r="P6984" s="903">
        <f t="shared" si="510"/>
        <v>1</v>
      </c>
      <c r="Q6984" s="893">
        <f t="shared" si="511"/>
        <v>6</v>
      </c>
      <c r="R6984" s="894">
        <f t="shared" si="512"/>
        <v>0</v>
      </c>
    </row>
    <row r="6985" spans="1:18">
      <c r="A6985" s="905"/>
      <c r="B6985" s="906"/>
      <c r="C6985" s="907">
        <v>44</v>
      </c>
      <c r="D6985" s="907" t="s">
        <v>279</v>
      </c>
      <c r="E6985" s="925" t="s">
        <v>2681</v>
      </c>
      <c r="F6985" s="926" t="s">
        <v>45</v>
      </c>
      <c r="G6985" s="910"/>
      <c r="H6985" s="911">
        <v>1</v>
      </c>
      <c r="I6985" s="912">
        <f>VLOOKUP(E6985,[3]VLP!$B$7:$K$300,10,0)</f>
        <v>23000</v>
      </c>
      <c r="J6985" s="912">
        <f>I6985*H6985</f>
        <v>23000</v>
      </c>
      <c r="K6985" s="912" t="s">
        <v>274</v>
      </c>
      <c r="L6985" s="912"/>
      <c r="M6985" s="912"/>
      <c r="N6985" s="912"/>
      <c r="O6985" s="892">
        <f t="shared" si="509"/>
        <v>0</v>
      </c>
      <c r="P6985" s="903">
        <f t="shared" si="510"/>
        <v>1</v>
      </c>
      <c r="Q6985" s="893">
        <f t="shared" si="511"/>
        <v>5</v>
      </c>
      <c r="R6985" s="894">
        <f t="shared" si="512"/>
        <v>0</v>
      </c>
    </row>
    <row r="6986" spans="1:18">
      <c r="A6986" s="905"/>
      <c r="B6986" s="906"/>
      <c r="C6986" s="907">
        <v>66</v>
      </c>
      <c r="D6986" s="907" t="s">
        <v>279</v>
      </c>
      <c r="E6986" s="925" t="s">
        <v>2682</v>
      </c>
      <c r="F6986" s="926" t="s">
        <v>45</v>
      </c>
      <c r="G6986" s="910"/>
      <c r="H6986" s="911">
        <v>0.4</v>
      </c>
      <c r="I6986" s="912">
        <f>VLOOKUP(E6986,[3]VLP!$B$7:$K$300,10,0)</f>
        <v>5000</v>
      </c>
      <c r="J6986" s="912">
        <f>I6986*H6986</f>
        <v>2000</v>
      </c>
      <c r="K6986" s="912" t="s">
        <v>274</v>
      </c>
      <c r="L6986" s="912"/>
      <c r="M6986" s="912"/>
      <c r="N6986" s="912"/>
      <c r="O6986" s="892">
        <f t="shared" si="509"/>
        <v>0</v>
      </c>
      <c r="P6986" s="903">
        <f t="shared" si="510"/>
        <v>1</v>
      </c>
      <c r="Q6986" s="893">
        <f t="shared" si="511"/>
        <v>4</v>
      </c>
      <c r="R6986" s="894">
        <f t="shared" si="512"/>
        <v>0</v>
      </c>
    </row>
    <row r="6987" spans="1:18">
      <c r="A6987" s="905"/>
      <c r="B6987" s="906"/>
      <c r="C6987" s="907">
        <v>699</v>
      </c>
      <c r="D6987" s="907" t="s">
        <v>279</v>
      </c>
      <c r="E6987" s="925" t="s">
        <v>4006</v>
      </c>
      <c r="F6987" s="926" t="s">
        <v>4007</v>
      </c>
      <c r="G6987" s="910"/>
      <c r="H6987" s="911">
        <v>5</v>
      </c>
      <c r="I6987" s="912">
        <f>VLOOKUP(E6987,[3]VLP!$B$7:$K$300,10,0)</f>
        <v>5000</v>
      </c>
      <c r="J6987" s="912">
        <f>I6987*H6987</f>
        <v>25000</v>
      </c>
      <c r="K6987" s="912" t="s">
        <v>274</v>
      </c>
      <c r="L6987" s="912"/>
      <c r="M6987" s="912"/>
      <c r="N6987" s="912"/>
      <c r="O6987" s="892">
        <f t="shared" si="509"/>
        <v>0</v>
      </c>
      <c r="P6987" s="903">
        <f t="shared" si="510"/>
        <v>1</v>
      </c>
      <c r="Q6987" s="893">
        <f t="shared" si="511"/>
        <v>3</v>
      </c>
      <c r="R6987" s="894">
        <f t="shared" si="512"/>
        <v>0</v>
      </c>
    </row>
    <row r="6988" spans="1:18" s="904" customFormat="1">
      <c r="A6988" s="895"/>
      <c r="B6988" s="896"/>
      <c r="C6988" s="897"/>
      <c r="D6988" s="897"/>
      <c r="E6988" s="924" t="s">
        <v>276</v>
      </c>
      <c r="F6988" s="927"/>
      <c r="G6988" s="928"/>
      <c r="H6988" s="901"/>
      <c r="I6988" s="902"/>
      <c r="J6988" s="902"/>
      <c r="K6988" s="912" t="s">
        <v>274</v>
      </c>
      <c r="L6988" s="902"/>
      <c r="M6988" s="902"/>
      <c r="N6988" s="902"/>
      <c r="O6988" s="892">
        <f t="shared" si="509"/>
        <v>0</v>
      </c>
      <c r="P6988" s="903">
        <f t="shared" si="510"/>
        <v>1</v>
      </c>
      <c r="Q6988" s="893">
        <f t="shared" si="511"/>
        <v>2</v>
      </c>
      <c r="R6988" s="894">
        <f t="shared" si="512"/>
        <v>0</v>
      </c>
    </row>
    <row r="6989" spans="1:18">
      <c r="A6989" s="905"/>
      <c r="B6989" s="906"/>
      <c r="C6989" s="907">
        <v>745</v>
      </c>
      <c r="D6989" s="907" t="s">
        <v>12</v>
      </c>
      <c r="E6989" s="908" t="s">
        <v>5518</v>
      </c>
      <c r="F6989" s="909" t="s">
        <v>2674</v>
      </c>
      <c r="G6989" s="910"/>
      <c r="H6989" s="911">
        <v>9.52</v>
      </c>
      <c r="I6989" s="912"/>
      <c r="J6989" s="912"/>
      <c r="K6989" s="912">
        <f>VLOOKUP(E6989,[5]ĐMNC!$A$7:$F$67,4,0)</f>
        <v>240557</v>
      </c>
      <c r="L6989" s="912">
        <f>H6989*K6989</f>
        <v>2290102.6399999997</v>
      </c>
      <c r="M6989" s="912"/>
      <c r="N6989" s="912"/>
      <c r="O6989" s="892">
        <f t="shared" si="509"/>
        <v>0</v>
      </c>
      <c r="P6989" s="903">
        <f t="shared" si="510"/>
        <v>1</v>
      </c>
      <c r="Q6989" s="893">
        <f t="shared" si="511"/>
        <v>1</v>
      </c>
      <c r="R6989" s="894">
        <f t="shared" si="512"/>
        <v>0</v>
      </c>
    </row>
    <row r="6990" spans="1:18" s="847" customFormat="1" ht="31.5">
      <c r="A6990" s="905"/>
      <c r="B6990" s="914" t="s">
        <v>6050</v>
      </c>
      <c r="C6990" s="915"/>
      <c r="D6990" s="915"/>
      <c r="E6990" s="916" t="s">
        <v>6051</v>
      </c>
      <c r="F6990" s="917" t="s">
        <v>2271</v>
      </c>
      <c r="G6990" s="918"/>
      <c r="H6990" s="919"/>
      <c r="I6990" s="920"/>
      <c r="J6990" s="891">
        <f>SUM(J6991:J6996)</f>
        <v>50000</v>
      </c>
      <c r="K6990" s="891"/>
      <c r="L6990" s="891">
        <f>SUM(L6991:L6996)</f>
        <v>2521037.3600000003</v>
      </c>
      <c r="M6990" s="891"/>
      <c r="N6990" s="891">
        <f>SUM(N6991:N6996)</f>
        <v>0</v>
      </c>
      <c r="O6990" s="892">
        <f t="shared" si="509"/>
        <v>1</v>
      </c>
      <c r="P6990" s="903">
        <f t="shared" si="510"/>
        <v>0</v>
      </c>
      <c r="Q6990" s="893">
        <f t="shared" si="511"/>
        <v>0</v>
      </c>
      <c r="R6990" s="894">
        <f t="shared" si="512"/>
        <v>6</v>
      </c>
    </row>
    <row r="6991" spans="1:18" s="904" customFormat="1">
      <c r="A6991" s="895"/>
      <c r="B6991" s="896"/>
      <c r="C6991" s="897"/>
      <c r="D6991" s="897"/>
      <c r="E6991" s="898" t="s">
        <v>108</v>
      </c>
      <c r="F6991" s="899"/>
      <c r="G6991" s="928"/>
      <c r="H6991" s="901"/>
      <c r="I6991" s="902"/>
      <c r="J6991" s="902"/>
      <c r="K6991" s="912" t="s">
        <v>274</v>
      </c>
      <c r="L6991" s="902"/>
      <c r="M6991" s="902"/>
      <c r="N6991" s="902"/>
      <c r="O6991" s="892">
        <f t="shared" si="509"/>
        <v>0</v>
      </c>
      <c r="P6991" s="903">
        <f t="shared" si="510"/>
        <v>1</v>
      </c>
      <c r="Q6991" s="893">
        <f t="shared" si="511"/>
        <v>6</v>
      </c>
      <c r="R6991" s="894">
        <f t="shared" si="512"/>
        <v>0</v>
      </c>
    </row>
    <row r="6992" spans="1:18">
      <c r="A6992" s="905"/>
      <c r="B6992" s="906"/>
      <c r="C6992" s="907">
        <v>44</v>
      </c>
      <c r="D6992" s="907" t="s">
        <v>279</v>
      </c>
      <c r="E6992" s="925" t="s">
        <v>2681</v>
      </c>
      <c r="F6992" s="926" t="s">
        <v>45</v>
      </c>
      <c r="G6992" s="910"/>
      <c r="H6992" s="911">
        <v>1</v>
      </c>
      <c r="I6992" s="912">
        <f>VLOOKUP(E6992,[3]VLP!$B$7:$K$300,10,0)</f>
        <v>23000</v>
      </c>
      <c r="J6992" s="912">
        <f>I6992*H6992</f>
        <v>23000</v>
      </c>
      <c r="K6992" s="912" t="s">
        <v>274</v>
      </c>
      <c r="L6992" s="912"/>
      <c r="M6992" s="912"/>
      <c r="N6992" s="912"/>
      <c r="O6992" s="892">
        <f t="shared" si="509"/>
        <v>0</v>
      </c>
      <c r="P6992" s="903">
        <f t="shared" si="510"/>
        <v>1</v>
      </c>
      <c r="Q6992" s="893">
        <f t="shared" si="511"/>
        <v>5</v>
      </c>
      <c r="R6992" s="894">
        <f t="shared" si="512"/>
        <v>0</v>
      </c>
    </row>
    <row r="6993" spans="1:18">
      <c r="A6993" s="905"/>
      <c r="B6993" s="906"/>
      <c r="C6993" s="907">
        <v>66</v>
      </c>
      <c r="D6993" s="907" t="s">
        <v>279</v>
      </c>
      <c r="E6993" s="925" t="s">
        <v>2682</v>
      </c>
      <c r="F6993" s="926" t="s">
        <v>45</v>
      </c>
      <c r="G6993" s="910"/>
      <c r="H6993" s="911">
        <v>0.4</v>
      </c>
      <c r="I6993" s="912">
        <f>VLOOKUP(E6993,[3]VLP!$B$7:$K$300,10,0)</f>
        <v>5000</v>
      </c>
      <c r="J6993" s="912">
        <f>I6993*H6993</f>
        <v>2000</v>
      </c>
      <c r="K6993" s="912" t="s">
        <v>274</v>
      </c>
      <c r="L6993" s="912"/>
      <c r="M6993" s="912"/>
      <c r="N6993" s="912"/>
      <c r="O6993" s="892">
        <f t="shared" si="509"/>
        <v>0</v>
      </c>
      <c r="P6993" s="903">
        <f t="shared" si="510"/>
        <v>1</v>
      </c>
      <c r="Q6993" s="893">
        <f t="shared" si="511"/>
        <v>4</v>
      </c>
      <c r="R6993" s="894">
        <f t="shared" si="512"/>
        <v>0</v>
      </c>
    </row>
    <row r="6994" spans="1:18">
      <c r="A6994" s="905"/>
      <c r="B6994" s="906"/>
      <c r="C6994" s="907">
        <v>699</v>
      </c>
      <c r="D6994" s="907" t="s">
        <v>279</v>
      </c>
      <c r="E6994" s="925" t="s">
        <v>4006</v>
      </c>
      <c r="F6994" s="926" t="s">
        <v>4007</v>
      </c>
      <c r="G6994" s="910"/>
      <c r="H6994" s="911">
        <v>5</v>
      </c>
      <c r="I6994" s="912">
        <f>VLOOKUP(E6994,[3]VLP!$B$7:$K$300,10,0)</f>
        <v>5000</v>
      </c>
      <c r="J6994" s="912">
        <f>I6994*H6994</f>
        <v>25000</v>
      </c>
      <c r="K6994" s="912" t="s">
        <v>274</v>
      </c>
      <c r="L6994" s="912"/>
      <c r="M6994" s="912"/>
      <c r="N6994" s="912"/>
      <c r="O6994" s="892">
        <f t="shared" si="509"/>
        <v>0</v>
      </c>
      <c r="P6994" s="903">
        <f t="shared" si="510"/>
        <v>1</v>
      </c>
      <c r="Q6994" s="893">
        <f t="shared" si="511"/>
        <v>3</v>
      </c>
      <c r="R6994" s="894">
        <f t="shared" si="512"/>
        <v>0</v>
      </c>
    </row>
    <row r="6995" spans="1:18" s="904" customFormat="1">
      <c r="A6995" s="895"/>
      <c r="B6995" s="896"/>
      <c r="C6995" s="897"/>
      <c r="D6995" s="897"/>
      <c r="E6995" s="924" t="s">
        <v>276</v>
      </c>
      <c r="F6995" s="927"/>
      <c r="G6995" s="928"/>
      <c r="H6995" s="901"/>
      <c r="I6995" s="902"/>
      <c r="J6995" s="902"/>
      <c r="K6995" s="912" t="s">
        <v>274</v>
      </c>
      <c r="L6995" s="902"/>
      <c r="M6995" s="902"/>
      <c r="N6995" s="902"/>
      <c r="O6995" s="892">
        <f t="shared" si="509"/>
        <v>0</v>
      </c>
      <c r="P6995" s="903">
        <f t="shared" si="510"/>
        <v>1</v>
      </c>
      <c r="Q6995" s="893">
        <f t="shared" si="511"/>
        <v>2</v>
      </c>
      <c r="R6995" s="894">
        <f t="shared" si="512"/>
        <v>0</v>
      </c>
    </row>
    <row r="6996" spans="1:18">
      <c r="A6996" s="905"/>
      <c r="B6996" s="906"/>
      <c r="C6996" s="907">
        <v>745</v>
      </c>
      <c r="D6996" s="907" t="s">
        <v>12</v>
      </c>
      <c r="E6996" s="908" t="s">
        <v>5518</v>
      </c>
      <c r="F6996" s="909" t="s">
        <v>2674</v>
      </c>
      <c r="G6996" s="910"/>
      <c r="H6996" s="911">
        <v>10.48</v>
      </c>
      <c r="I6996" s="912"/>
      <c r="J6996" s="912"/>
      <c r="K6996" s="912">
        <f>VLOOKUP(E6996,[5]ĐMNC!$A$7:$F$67,4,0)</f>
        <v>240557</v>
      </c>
      <c r="L6996" s="912">
        <f>H6996*K6996</f>
        <v>2521037.3600000003</v>
      </c>
      <c r="M6996" s="912"/>
      <c r="N6996" s="912"/>
      <c r="O6996" s="892">
        <f t="shared" si="509"/>
        <v>0</v>
      </c>
      <c r="P6996" s="903">
        <f t="shared" si="510"/>
        <v>1</v>
      </c>
      <c r="Q6996" s="893">
        <f t="shared" si="511"/>
        <v>1</v>
      </c>
      <c r="R6996" s="894">
        <f t="shared" si="512"/>
        <v>0</v>
      </c>
    </row>
    <row r="6997" spans="1:18" s="847" customFormat="1" ht="31.5">
      <c r="A6997" s="905"/>
      <c r="B6997" s="914" t="s">
        <v>6052</v>
      </c>
      <c r="C6997" s="915"/>
      <c r="D6997" s="915"/>
      <c r="E6997" s="916" t="s">
        <v>6053</v>
      </c>
      <c r="F6997" s="917" t="s">
        <v>2271</v>
      </c>
      <c r="G6997" s="918"/>
      <c r="H6997" s="919"/>
      <c r="I6997" s="920"/>
      <c r="J6997" s="891">
        <f>SUM(J6998:J7003)</f>
        <v>54600</v>
      </c>
      <c r="K6997" s="891"/>
      <c r="L6997" s="891">
        <f>SUM(L6998:L7003)</f>
        <v>2771216.6399999997</v>
      </c>
      <c r="M6997" s="891"/>
      <c r="N6997" s="891">
        <f>SUM(N6998:N7003)</f>
        <v>0</v>
      </c>
      <c r="O6997" s="892">
        <f t="shared" si="509"/>
        <v>1</v>
      </c>
      <c r="P6997" s="903">
        <f t="shared" si="510"/>
        <v>0</v>
      </c>
      <c r="Q6997" s="893">
        <f t="shared" si="511"/>
        <v>0</v>
      </c>
      <c r="R6997" s="894">
        <f t="shared" si="512"/>
        <v>6</v>
      </c>
    </row>
    <row r="6998" spans="1:18" s="904" customFormat="1">
      <c r="A6998" s="895"/>
      <c r="B6998" s="896"/>
      <c r="C6998" s="897"/>
      <c r="D6998" s="897"/>
      <c r="E6998" s="898" t="s">
        <v>108</v>
      </c>
      <c r="F6998" s="899"/>
      <c r="G6998" s="928"/>
      <c r="H6998" s="901"/>
      <c r="I6998" s="902"/>
      <c r="J6998" s="902"/>
      <c r="K6998" s="912" t="s">
        <v>274</v>
      </c>
      <c r="L6998" s="902"/>
      <c r="M6998" s="902"/>
      <c r="N6998" s="902"/>
      <c r="O6998" s="892">
        <f t="shared" si="509"/>
        <v>0</v>
      </c>
      <c r="P6998" s="903">
        <f t="shared" si="510"/>
        <v>1</v>
      </c>
      <c r="Q6998" s="893">
        <f t="shared" si="511"/>
        <v>6</v>
      </c>
      <c r="R6998" s="894">
        <f t="shared" si="512"/>
        <v>0</v>
      </c>
    </row>
    <row r="6999" spans="1:18">
      <c r="A6999" s="905"/>
      <c r="B6999" s="906"/>
      <c r="C6999" s="907">
        <v>44</v>
      </c>
      <c r="D6999" s="907" t="s">
        <v>279</v>
      </c>
      <c r="E6999" s="925" t="s">
        <v>2681</v>
      </c>
      <c r="F6999" s="926" t="s">
        <v>45</v>
      </c>
      <c r="G6999" s="910"/>
      <c r="H6999" s="911">
        <v>1.2</v>
      </c>
      <c r="I6999" s="912">
        <f>VLOOKUP(E6999,[3]VLP!$B$7:$K$300,10,0)</f>
        <v>23000</v>
      </c>
      <c r="J6999" s="912">
        <f>I6999*H6999</f>
        <v>27600</v>
      </c>
      <c r="K6999" s="912" t="s">
        <v>274</v>
      </c>
      <c r="L6999" s="912"/>
      <c r="M6999" s="912"/>
      <c r="N6999" s="912"/>
      <c r="O6999" s="892">
        <f t="shared" si="509"/>
        <v>0</v>
      </c>
      <c r="P6999" s="903">
        <f t="shared" si="510"/>
        <v>1</v>
      </c>
      <c r="Q6999" s="893">
        <f t="shared" si="511"/>
        <v>5</v>
      </c>
      <c r="R6999" s="894">
        <f t="shared" si="512"/>
        <v>0</v>
      </c>
    </row>
    <row r="7000" spans="1:18">
      <c r="A7000" s="905"/>
      <c r="B7000" s="906"/>
      <c r="C7000" s="907">
        <v>66</v>
      </c>
      <c r="D7000" s="907" t="s">
        <v>279</v>
      </c>
      <c r="E7000" s="925" t="s">
        <v>2682</v>
      </c>
      <c r="F7000" s="926" t="s">
        <v>45</v>
      </c>
      <c r="G7000" s="910"/>
      <c r="H7000" s="911">
        <v>0.4</v>
      </c>
      <c r="I7000" s="912">
        <f>VLOOKUP(E7000,[3]VLP!$B$7:$K$300,10,0)</f>
        <v>5000</v>
      </c>
      <c r="J7000" s="912">
        <f>I7000*H7000</f>
        <v>2000</v>
      </c>
      <c r="K7000" s="912" t="s">
        <v>274</v>
      </c>
      <c r="L7000" s="912"/>
      <c r="M7000" s="912"/>
      <c r="N7000" s="912"/>
      <c r="O7000" s="892">
        <f t="shared" si="509"/>
        <v>0</v>
      </c>
      <c r="P7000" s="903">
        <f t="shared" si="510"/>
        <v>1</v>
      </c>
      <c r="Q7000" s="893">
        <f t="shared" si="511"/>
        <v>4</v>
      </c>
      <c r="R7000" s="894">
        <f t="shared" si="512"/>
        <v>0</v>
      </c>
    </row>
    <row r="7001" spans="1:18">
      <c r="A7001" s="905"/>
      <c r="B7001" s="906"/>
      <c r="C7001" s="907">
        <v>699</v>
      </c>
      <c r="D7001" s="907" t="s">
        <v>279</v>
      </c>
      <c r="E7001" s="925" t="s">
        <v>4006</v>
      </c>
      <c r="F7001" s="926" t="s">
        <v>4007</v>
      </c>
      <c r="G7001" s="910"/>
      <c r="H7001" s="911">
        <v>5</v>
      </c>
      <c r="I7001" s="912">
        <f>VLOOKUP(E7001,[3]VLP!$B$7:$K$300,10,0)</f>
        <v>5000</v>
      </c>
      <c r="J7001" s="912">
        <f>I7001*H7001</f>
        <v>25000</v>
      </c>
      <c r="K7001" s="912" t="s">
        <v>274</v>
      </c>
      <c r="L7001" s="912"/>
      <c r="M7001" s="912"/>
      <c r="N7001" s="912"/>
      <c r="O7001" s="892">
        <f t="shared" si="509"/>
        <v>0</v>
      </c>
      <c r="P7001" s="903">
        <f t="shared" si="510"/>
        <v>1</v>
      </c>
      <c r="Q7001" s="893">
        <f t="shared" si="511"/>
        <v>3</v>
      </c>
      <c r="R7001" s="894">
        <f t="shared" si="512"/>
        <v>0</v>
      </c>
    </row>
    <row r="7002" spans="1:18" s="904" customFormat="1">
      <c r="A7002" s="895"/>
      <c r="B7002" s="896"/>
      <c r="C7002" s="897"/>
      <c r="D7002" s="897"/>
      <c r="E7002" s="924" t="s">
        <v>276</v>
      </c>
      <c r="F7002" s="927"/>
      <c r="G7002" s="928"/>
      <c r="H7002" s="901"/>
      <c r="I7002" s="902"/>
      <c r="J7002" s="902"/>
      <c r="K7002" s="912" t="s">
        <v>274</v>
      </c>
      <c r="L7002" s="902"/>
      <c r="M7002" s="902"/>
      <c r="N7002" s="902"/>
      <c r="O7002" s="892">
        <f t="shared" si="509"/>
        <v>0</v>
      </c>
      <c r="P7002" s="903">
        <f t="shared" si="510"/>
        <v>1</v>
      </c>
      <c r="Q7002" s="893">
        <f t="shared" si="511"/>
        <v>2</v>
      </c>
      <c r="R7002" s="894">
        <f t="shared" si="512"/>
        <v>0</v>
      </c>
    </row>
    <row r="7003" spans="1:18">
      <c r="A7003" s="905"/>
      <c r="B7003" s="906"/>
      <c r="C7003" s="907">
        <v>745</v>
      </c>
      <c r="D7003" s="907" t="s">
        <v>12</v>
      </c>
      <c r="E7003" s="908" t="s">
        <v>5518</v>
      </c>
      <c r="F7003" s="909" t="s">
        <v>2674</v>
      </c>
      <c r="G7003" s="910"/>
      <c r="H7003" s="911">
        <v>11.52</v>
      </c>
      <c r="I7003" s="912"/>
      <c r="J7003" s="912"/>
      <c r="K7003" s="912">
        <f>VLOOKUP(E7003,[5]ĐMNC!$A$7:$F$67,4,0)</f>
        <v>240557</v>
      </c>
      <c r="L7003" s="912">
        <f>H7003*K7003</f>
        <v>2771216.6399999997</v>
      </c>
      <c r="M7003" s="912"/>
      <c r="N7003" s="912"/>
      <c r="O7003" s="892">
        <f t="shared" si="509"/>
        <v>0</v>
      </c>
      <c r="P7003" s="903">
        <f t="shared" si="510"/>
        <v>1</v>
      </c>
      <c r="Q7003" s="893">
        <f t="shared" si="511"/>
        <v>1</v>
      </c>
      <c r="R7003" s="894">
        <f t="shared" si="512"/>
        <v>0</v>
      </c>
    </row>
    <row r="7004" spans="1:18" s="847" customFormat="1" ht="31.5">
      <c r="A7004" s="905"/>
      <c r="B7004" s="914" t="s">
        <v>6054</v>
      </c>
      <c r="C7004" s="915"/>
      <c r="D7004" s="915"/>
      <c r="E7004" s="916" t="s">
        <v>6055</v>
      </c>
      <c r="F7004" s="917" t="s">
        <v>2271</v>
      </c>
      <c r="G7004" s="918"/>
      <c r="H7004" s="919"/>
      <c r="I7004" s="920"/>
      <c r="J7004" s="891">
        <f>SUM(J7005:J7010)</f>
        <v>56600</v>
      </c>
      <c r="K7004" s="891"/>
      <c r="L7004" s="891">
        <f>SUM(L7005:L7010)</f>
        <v>3040640.48</v>
      </c>
      <c r="M7004" s="891"/>
      <c r="N7004" s="891">
        <f>SUM(N7005:N7010)</f>
        <v>0</v>
      </c>
      <c r="O7004" s="892">
        <f t="shared" si="509"/>
        <v>1</v>
      </c>
      <c r="P7004" s="903">
        <f t="shared" si="510"/>
        <v>0</v>
      </c>
      <c r="Q7004" s="893">
        <f t="shared" si="511"/>
        <v>0</v>
      </c>
      <c r="R7004" s="894">
        <f t="shared" si="512"/>
        <v>6</v>
      </c>
    </row>
    <row r="7005" spans="1:18" s="904" customFormat="1">
      <c r="A7005" s="895"/>
      <c r="B7005" s="896"/>
      <c r="C7005" s="897"/>
      <c r="D7005" s="897"/>
      <c r="E7005" s="898" t="s">
        <v>108</v>
      </c>
      <c r="F7005" s="899"/>
      <c r="G7005" s="928"/>
      <c r="H7005" s="901"/>
      <c r="I7005" s="902"/>
      <c r="J7005" s="902"/>
      <c r="K7005" s="912" t="s">
        <v>274</v>
      </c>
      <c r="L7005" s="902"/>
      <c r="M7005" s="902"/>
      <c r="N7005" s="902"/>
      <c r="O7005" s="892">
        <f t="shared" si="509"/>
        <v>0</v>
      </c>
      <c r="P7005" s="903">
        <f t="shared" si="510"/>
        <v>1</v>
      </c>
      <c r="Q7005" s="893">
        <f t="shared" si="511"/>
        <v>6</v>
      </c>
      <c r="R7005" s="894">
        <f t="shared" si="512"/>
        <v>0</v>
      </c>
    </row>
    <row r="7006" spans="1:18">
      <c r="A7006" s="905"/>
      <c r="B7006" s="906"/>
      <c r="C7006" s="907">
        <v>44</v>
      </c>
      <c r="D7006" s="907" t="s">
        <v>279</v>
      </c>
      <c r="E7006" s="925" t="s">
        <v>2681</v>
      </c>
      <c r="F7006" s="926" t="s">
        <v>45</v>
      </c>
      <c r="G7006" s="910"/>
      <c r="H7006" s="911">
        <v>1.2</v>
      </c>
      <c r="I7006" s="912">
        <f>VLOOKUP(E7006,[3]VLP!$B$7:$K$300,10,0)</f>
        <v>23000</v>
      </c>
      <c r="J7006" s="912">
        <f>I7006*H7006</f>
        <v>27600</v>
      </c>
      <c r="K7006" s="912" t="s">
        <v>274</v>
      </c>
      <c r="L7006" s="912"/>
      <c r="M7006" s="912"/>
      <c r="N7006" s="912"/>
      <c r="O7006" s="892">
        <f t="shared" si="509"/>
        <v>0</v>
      </c>
      <c r="P7006" s="903">
        <f t="shared" si="510"/>
        <v>1</v>
      </c>
      <c r="Q7006" s="893">
        <f t="shared" si="511"/>
        <v>5</v>
      </c>
      <c r="R7006" s="894">
        <f t="shared" si="512"/>
        <v>0</v>
      </c>
    </row>
    <row r="7007" spans="1:18">
      <c r="A7007" s="905"/>
      <c r="B7007" s="906"/>
      <c r="C7007" s="907">
        <v>66</v>
      </c>
      <c r="D7007" s="907" t="s">
        <v>279</v>
      </c>
      <c r="E7007" s="925" t="s">
        <v>2682</v>
      </c>
      <c r="F7007" s="926" t="s">
        <v>45</v>
      </c>
      <c r="G7007" s="910"/>
      <c r="H7007" s="911">
        <v>0.8</v>
      </c>
      <c r="I7007" s="912">
        <f>VLOOKUP(E7007,[3]VLP!$B$7:$K$300,10,0)</f>
        <v>5000</v>
      </c>
      <c r="J7007" s="912">
        <f>I7007*H7007</f>
        <v>4000</v>
      </c>
      <c r="K7007" s="912" t="s">
        <v>274</v>
      </c>
      <c r="L7007" s="912"/>
      <c r="M7007" s="912"/>
      <c r="N7007" s="912"/>
      <c r="O7007" s="892">
        <f t="shared" ref="O7007:O7070" si="513">IF(AND(B7007&lt;&gt;"",D7007=""),1,0)</f>
        <v>0</v>
      </c>
      <c r="P7007" s="903">
        <f t="shared" si="510"/>
        <v>1</v>
      </c>
      <c r="Q7007" s="893">
        <f t="shared" si="511"/>
        <v>4</v>
      </c>
      <c r="R7007" s="894">
        <f t="shared" si="512"/>
        <v>0</v>
      </c>
    </row>
    <row r="7008" spans="1:18">
      <c r="A7008" s="905"/>
      <c r="B7008" s="906"/>
      <c r="C7008" s="907">
        <v>699</v>
      </c>
      <c r="D7008" s="907" t="s">
        <v>279</v>
      </c>
      <c r="E7008" s="925" t="s">
        <v>4006</v>
      </c>
      <c r="F7008" s="926" t="s">
        <v>4007</v>
      </c>
      <c r="G7008" s="910"/>
      <c r="H7008" s="911">
        <v>5</v>
      </c>
      <c r="I7008" s="912">
        <f>VLOOKUP(E7008,[3]VLP!$B$7:$K$300,10,0)</f>
        <v>5000</v>
      </c>
      <c r="J7008" s="912">
        <f>I7008*H7008</f>
        <v>25000</v>
      </c>
      <c r="K7008" s="912" t="s">
        <v>274</v>
      </c>
      <c r="L7008" s="912"/>
      <c r="M7008" s="912"/>
      <c r="N7008" s="912"/>
      <c r="O7008" s="892">
        <f t="shared" si="513"/>
        <v>0</v>
      </c>
      <c r="P7008" s="903">
        <f t="shared" si="510"/>
        <v>1</v>
      </c>
      <c r="Q7008" s="893">
        <f t="shared" si="511"/>
        <v>3</v>
      </c>
      <c r="R7008" s="894">
        <f t="shared" si="512"/>
        <v>0</v>
      </c>
    </row>
    <row r="7009" spans="1:18" s="904" customFormat="1">
      <c r="A7009" s="895"/>
      <c r="B7009" s="896"/>
      <c r="C7009" s="897"/>
      <c r="D7009" s="897"/>
      <c r="E7009" s="924" t="s">
        <v>276</v>
      </c>
      <c r="F7009" s="927"/>
      <c r="G7009" s="928"/>
      <c r="H7009" s="901"/>
      <c r="I7009" s="902"/>
      <c r="J7009" s="902"/>
      <c r="K7009" s="912" t="s">
        <v>274</v>
      </c>
      <c r="L7009" s="902"/>
      <c r="M7009" s="902"/>
      <c r="N7009" s="902"/>
      <c r="O7009" s="892">
        <f t="shared" si="513"/>
        <v>0</v>
      </c>
      <c r="P7009" s="903">
        <f t="shared" si="510"/>
        <v>1</v>
      </c>
      <c r="Q7009" s="893">
        <f t="shared" si="511"/>
        <v>2</v>
      </c>
      <c r="R7009" s="894">
        <f t="shared" si="512"/>
        <v>0</v>
      </c>
    </row>
    <row r="7010" spans="1:18">
      <c r="A7010" s="905"/>
      <c r="B7010" s="906"/>
      <c r="C7010" s="907">
        <v>745</v>
      </c>
      <c r="D7010" s="907" t="s">
        <v>12</v>
      </c>
      <c r="E7010" s="908" t="s">
        <v>5518</v>
      </c>
      <c r="F7010" s="909" t="s">
        <v>2674</v>
      </c>
      <c r="G7010" s="910"/>
      <c r="H7010" s="911">
        <v>12.64</v>
      </c>
      <c r="I7010" s="912"/>
      <c r="J7010" s="912"/>
      <c r="K7010" s="912">
        <f>VLOOKUP(E7010,[5]ĐMNC!$A$7:$F$67,4,0)</f>
        <v>240557</v>
      </c>
      <c r="L7010" s="912">
        <f>H7010*K7010</f>
        <v>3040640.48</v>
      </c>
      <c r="M7010" s="912"/>
      <c r="N7010" s="912"/>
      <c r="O7010" s="892">
        <f t="shared" si="513"/>
        <v>0</v>
      </c>
      <c r="P7010" s="903">
        <f t="shared" si="510"/>
        <v>1</v>
      </c>
      <c r="Q7010" s="893">
        <f t="shared" si="511"/>
        <v>1</v>
      </c>
      <c r="R7010" s="894">
        <f t="shared" si="512"/>
        <v>0</v>
      </c>
    </row>
    <row r="7011" spans="1:18" s="847" customFormat="1" ht="31.5">
      <c r="A7011" s="905" t="s">
        <v>6044</v>
      </c>
      <c r="B7011" s="914" t="s">
        <v>6056</v>
      </c>
      <c r="C7011" s="915"/>
      <c r="D7011" s="915"/>
      <c r="E7011" s="916" t="s">
        <v>6057</v>
      </c>
      <c r="F7011" s="917" t="s">
        <v>2271</v>
      </c>
      <c r="G7011" s="918"/>
      <c r="H7011" s="919"/>
      <c r="I7011" s="920"/>
      <c r="J7011" s="891">
        <f>SUM(J7012:J7017)</f>
        <v>61200</v>
      </c>
      <c r="K7011" s="891"/>
      <c r="L7011" s="891">
        <f>SUM(L7012:L7017)</f>
        <v>3406287.12</v>
      </c>
      <c r="M7011" s="891"/>
      <c r="N7011" s="891">
        <f>SUM(N7012:N7017)</f>
        <v>0</v>
      </c>
      <c r="O7011" s="892">
        <f t="shared" si="513"/>
        <v>1</v>
      </c>
      <c r="P7011" s="903">
        <f t="shared" si="510"/>
        <v>0</v>
      </c>
      <c r="Q7011" s="893">
        <f t="shared" si="511"/>
        <v>0</v>
      </c>
      <c r="R7011" s="894">
        <f t="shared" si="512"/>
        <v>6</v>
      </c>
    </row>
    <row r="7012" spans="1:18" s="904" customFormat="1">
      <c r="A7012" s="895"/>
      <c r="B7012" s="896"/>
      <c r="C7012" s="897"/>
      <c r="D7012" s="897"/>
      <c r="E7012" s="898" t="s">
        <v>108</v>
      </c>
      <c r="F7012" s="899"/>
      <c r="G7012" s="928"/>
      <c r="H7012" s="901"/>
      <c r="I7012" s="902"/>
      <c r="J7012" s="902"/>
      <c r="K7012" s="912" t="s">
        <v>274</v>
      </c>
      <c r="L7012" s="902"/>
      <c r="M7012" s="902"/>
      <c r="N7012" s="902"/>
      <c r="O7012" s="892">
        <f t="shared" si="513"/>
        <v>0</v>
      </c>
      <c r="P7012" s="903">
        <f t="shared" si="510"/>
        <v>1</v>
      </c>
      <c r="Q7012" s="893">
        <f t="shared" si="511"/>
        <v>6</v>
      </c>
      <c r="R7012" s="894">
        <f t="shared" si="512"/>
        <v>0</v>
      </c>
    </row>
    <row r="7013" spans="1:18">
      <c r="A7013" s="905"/>
      <c r="B7013" s="906"/>
      <c r="C7013" s="907">
        <v>44</v>
      </c>
      <c r="D7013" s="907" t="s">
        <v>279</v>
      </c>
      <c r="E7013" s="925" t="s">
        <v>2681</v>
      </c>
      <c r="F7013" s="926" t="s">
        <v>45</v>
      </c>
      <c r="G7013" s="910"/>
      <c r="H7013" s="911">
        <v>1.4</v>
      </c>
      <c r="I7013" s="912">
        <f>VLOOKUP(E7013,[3]VLP!$B$7:$K$300,10,0)</f>
        <v>23000</v>
      </c>
      <c r="J7013" s="912">
        <f>I7013*H7013</f>
        <v>32199.999999999996</v>
      </c>
      <c r="K7013" s="912" t="s">
        <v>274</v>
      </c>
      <c r="L7013" s="912"/>
      <c r="M7013" s="912"/>
      <c r="N7013" s="912"/>
      <c r="O7013" s="892">
        <f t="shared" si="513"/>
        <v>0</v>
      </c>
      <c r="P7013" s="903">
        <f t="shared" si="510"/>
        <v>1</v>
      </c>
      <c r="Q7013" s="893">
        <f t="shared" si="511"/>
        <v>5</v>
      </c>
      <c r="R7013" s="894">
        <f t="shared" si="512"/>
        <v>0</v>
      </c>
    </row>
    <row r="7014" spans="1:18">
      <c r="A7014" s="905"/>
      <c r="B7014" s="906"/>
      <c r="C7014" s="907">
        <v>66</v>
      </c>
      <c r="D7014" s="907" t="s">
        <v>279</v>
      </c>
      <c r="E7014" s="925" t="s">
        <v>2682</v>
      </c>
      <c r="F7014" s="926" t="s">
        <v>45</v>
      </c>
      <c r="G7014" s="910"/>
      <c r="H7014" s="911">
        <v>0.8</v>
      </c>
      <c r="I7014" s="912">
        <f>VLOOKUP(E7014,[3]VLP!$B$7:$K$300,10,0)</f>
        <v>5000</v>
      </c>
      <c r="J7014" s="912">
        <f>I7014*H7014</f>
        <v>4000</v>
      </c>
      <c r="K7014" s="912" t="s">
        <v>274</v>
      </c>
      <c r="L7014" s="912"/>
      <c r="M7014" s="912"/>
      <c r="N7014" s="912"/>
      <c r="O7014" s="892">
        <f t="shared" si="513"/>
        <v>0</v>
      </c>
      <c r="P7014" s="903">
        <f t="shared" si="510"/>
        <v>1</v>
      </c>
      <c r="Q7014" s="893">
        <f t="shared" si="511"/>
        <v>4</v>
      </c>
      <c r="R7014" s="894">
        <f t="shared" si="512"/>
        <v>0</v>
      </c>
    </row>
    <row r="7015" spans="1:18">
      <c r="A7015" s="905"/>
      <c r="B7015" s="906"/>
      <c r="C7015" s="907">
        <v>699</v>
      </c>
      <c r="D7015" s="907" t="s">
        <v>279</v>
      </c>
      <c r="E7015" s="925" t="s">
        <v>4006</v>
      </c>
      <c r="F7015" s="926" t="s">
        <v>4007</v>
      </c>
      <c r="G7015" s="910"/>
      <c r="H7015" s="911">
        <v>5</v>
      </c>
      <c r="I7015" s="912">
        <f>VLOOKUP(E7015,[3]VLP!$B$7:$K$300,10,0)</f>
        <v>5000</v>
      </c>
      <c r="J7015" s="912">
        <f>I7015*H7015</f>
        <v>25000</v>
      </c>
      <c r="K7015" s="912" t="s">
        <v>274</v>
      </c>
      <c r="L7015" s="912"/>
      <c r="M7015" s="912"/>
      <c r="N7015" s="912"/>
      <c r="O7015" s="892">
        <f t="shared" si="513"/>
        <v>0</v>
      </c>
      <c r="P7015" s="903">
        <f t="shared" si="510"/>
        <v>1</v>
      </c>
      <c r="Q7015" s="893">
        <f t="shared" si="511"/>
        <v>3</v>
      </c>
      <c r="R7015" s="894">
        <f t="shared" si="512"/>
        <v>0</v>
      </c>
    </row>
    <row r="7016" spans="1:18" s="904" customFormat="1">
      <c r="A7016" s="895"/>
      <c r="B7016" s="896"/>
      <c r="C7016" s="897"/>
      <c r="D7016" s="897"/>
      <c r="E7016" s="924" t="s">
        <v>276</v>
      </c>
      <c r="F7016" s="927"/>
      <c r="G7016" s="928"/>
      <c r="H7016" s="901"/>
      <c r="I7016" s="902"/>
      <c r="J7016" s="902"/>
      <c r="K7016" s="912" t="s">
        <v>274</v>
      </c>
      <c r="L7016" s="902"/>
      <c r="M7016" s="902"/>
      <c r="N7016" s="902"/>
      <c r="O7016" s="892">
        <f t="shared" si="513"/>
        <v>0</v>
      </c>
      <c r="P7016" s="903">
        <f t="shared" ref="P7016:P7079" si="514">IF(O7016=0,1,0)</f>
        <v>1</v>
      </c>
      <c r="Q7016" s="893">
        <f t="shared" ref="Q7016:Q7079" si="515">IF(P7016=0,0,P7016+Q7017)</f>
        <v>2</v>
      </c>
      <c r="R7016" s="894">
        <f t="shared" ref="R7016:R7079" si="516">IF(Q7016=0,Q7017,0)</f>
        <v>0</v>
      </c>
    </row>
    <row r="7017" spans="1:18">
      <c r="A7017" s="905"/>
      <c r="B7017" s="906"/>
      <c r="C7017" s="907">
        <v>745</v>
      </c>
      <c r="D7017" s="907" t="s">
        <v>12</v>
      </c>
      <c r="E7017" s="908" t="s">
        <v>5518</v>
      </c>
      <c r="F7017" s="909" t="s">
        <v>2674</v>
      </c>
      <c r="G7017" s="910"/>
      <c r="H7017" s="911">
        <v>14.16</v>
      </c>
      <c r="I7017" s="912"/>
      <c r="J7017" s="912"/>
      <c r="K7017" s="912">
        <f>VLOOKUP(E7017,[5]ĐMNC!$A$7:$F$67,4,0)</f>
        <v>240557</v>
      </c>
      <c r="L7017" s="912">
        <f>H7017*K7017</f>
        <v>3406287.12</v>
      </c>
      <c r="M7017" s="912"/>
      <c r="N7017" s="912"/>
      <c r="O7017" s="892">
        <f t="shared" si="513"/>
        <v>0</v>
      </c>
      <c r="P7017" s="903">
        <f t="shared" si="514"/>
        <v>1</v>
      </c>
      <c r="Q7017" s="893">
        <f t="shared" si="515"/>
        <v>1</v>
      </c>
      <c r="R7017" s="894">
        <f t="shared" si="516"/>
        <v>0</v>
      </c>
    </row>
    <row r="7018" spans="1:18" s="847" customFormat="1" ht="31.5">
      <c r="A7018" s="905"/>
      <c r="B7018" s="914" t="s">
        <v>6058</v>
      </c>
      <c r="C7018" s="915"/>
      <c r="D7018" s="915"/>
      <c r="E7018" s="916" t="s">
        <v>6059</v>
      </c>
      <c r="F7018" s="917" t="s">
        <v>2271</v>
      </c>
      <c r="G7018" s="918"/>
      <c r="H7018" s="919"/>
      <c r="I7018" s="920"/>
      <c r="J7018" s="891">
        <f>SUM(J7019:J7024)</f>
        <v>61200</v>
      </c>
      <c r="K7018" s="891"/>
      <c r="L7018" s="891">
        <f>SUM(L7019:L7024)</f>
        <v>4411815.38</v>
      </c>
      <c r="M7018" s="891"/>
      <c r="N7018" s="891">
        <f>SUM(N7019:N7024)</f>
        <v>0</v>
      </c>
      <c r="O7018" s="892">
        <f t="shared" si="513"/>
        <v>1</v>
      </c>
      <c r="P7018" s="903">
        <f t="shared" si="514"/>
        <v>0</v>
      </c>
      <c r="Q7018" s="893">
        <f t="shared" si="515"/>
        <v>0</v>
      </c>
      <c r="R7018" s="894">
        <f t="shared" si="516"/>
        <v>6</v>
      </c>
    </row>
    <row r="7019" spans="1:18" s="904" customFormat="1">
      <c r="A7019" s="895"/>
      <c r="B7019" s="896"/>
      <c r="C7019" s="897"/>
      <c r="D7019" s="897"/>
      <c r="E7019" s="898" t="s">
        <v>108</v>
      </c>
      <c r="F7019" s="899"/>
      <c r="G7019" s="928"/>
      <c r="H7019" s="901"/>
      <c r="I7019" s="902"/>
      <c r="J7019" s="902"/>
      <c r="K7019" s="912" t="s">
        <v>274</v>
      </c>
      <c r="L7019" s="902"/>
      <c r="M7019" s="902"/>
      <c r="N7019" s="902"/>
      <c r="O7019" s="892">
        <f t="shared" si="513"/>
        <v>0</v>
      </c>
      <c r="P7019" s="903">
        <f t="shared" si="514"/>
        <v>1</v>
      </c>
      <c r="Q7019" s="893">
        <f t="shared" si="515"/>
        <v>6</v>
      </c>
      <c r="R7019" s="894">
        <f t="shared" si="516"/>
        <v>0</v>
      </c>
    </row>
    <row r="7020" spans="1:18">
      <c r="A7020" s="905"/>
      <c r="B7020" s="906"/>
      <c r="C7020" s="907">
        <v>44</v>
      </c>
      <c r="D7020" s="907" t="s">
        <v>279</v>
      </c>
      <c r="E7020" s="925" t="s">
        <v>2681</v>
      </c>
      <c r="F7020" s="926" t="s">
        <v>45</v>
      </c>
      <c r="G7020" s="910"/>
      <c r="H7020" s="911">
        <v>1.4</v>
      </c>
      <c r="I7020" s="912">
        <f>VLOOKUP(E7020,[3]VLP!$B$7:$K$300,10,0)</f>
        <v>23000</v>
      </c>
      <c r="J7020" s="912">
        <f>I7020*H7020</f>
        <v>32199.999999999996</v>
      </c>
      <c r="K7020" s="912" t="s">
        <v>274</v>
      </c>
      <c r="L7020" s="912"/>
      <c r="M7020" s="912"/>
      <c r="N7020" s="912"/>
      <c r="O7020" s="892">
        <f t="shared" si="513"/>
        <v>0</v>
      </c>
      <c r="P7020" s="903">
        <f t="shared" si="514"/>
        <v>1</v>
      </c>
      <c r="Q7020" s="893">
        <f t="shared" si="515"/>
        <v>5</v>
      </c>
      <c r="R7020" s="894">
        <f t="shared" si="516"/>
        <v>0</v>
      </c>
    </row>
    <row r="7021" spans="1:18">
      <c r="A7021" s="905"/>
      <c r="B7021" s="906"/>
      <c r="C7021" s="907">
        <v>66</v>
      </c>
      <c r="D7021" s="907" t="s">
        <v>279</v>
      </c>
      <c r="E7021" s="925" t="s">
        <v>2682</v>
      </c>
      <c r="F7021" s="926" t="s">
        <v>45</v>
      </c>
      <c r="G7021" s="910"/>
      <c r="H7021" s="911">
        <v>0.8</v>
      </c>
      <c r="I7021" s="912">
        <f>VLOOKUP(E7021,[3]VLP!$B$7:$K$300,10,0)</f>
        <v>5000</v>
      </c>
      <c r="J7021" s="912">
        <f>I7021*H7021</f>
        <v>4000</v>
      </c>
      <c r="K7021" s="912" t="s">
        <v>274</v>
      </c>
      <c r="L7021" s="912"/>
      <c r="M7021" s="912"/>
      <c r="N7021" s="912"/>
      <c r="O7021" s="892">
        <f t="shared" si="513"/>
        <v>0</v>
      </c>
      <c r="P7021" s="903">
        <f t="shared" si="514"/>
        <v>1</v>
      </c>
      <c r="Q7021" s="893">
        <f t="shared" si="515"/>
        <v>4</v>
      </c>
      <c r="R7021" s="894">
        <f t="shared" si="516"/>
        <v>0</v>
      </c>
    </row>
    <row r="7022" spans="1:18">
      <c r="A7022" s="905"/>
      <c r="B7022" s="906"/>
      <c r="C7022" s="907">
        <v>699</v>
      </c>
      <c r="D7022" s="907" t="s">
        <v>279</v>
      </c>
      <c r="E7022" s="925" t="s">
        <v>4006</v>
      </c>
      <c r="F7022" s="926" t="s">
        <v>4007</v>
      </c>
      <c r="G7022" s="910"/>
      <c r="H7022" s="911">
        <v>5</v>
      </c>
      <c r="I7022" s="912">
        <f>VLOOKUP(E7022,[3]VLP!$B$7:$K$300,10,0)</f>
        <v>5000</v>
      </c>
      <c r="J7022" s="912">
        <f>I7022*H7022</f>
        <v>25000</v>
      </c>
      <c r="K7022" s="912" t="s">
        <v>274</v>
      </c>
      <c r="L7022" s="912"/>
      <c r="M7022" s="912"/>
      <c r="N7022" s="912"/>
      <c r="O7022" s="892">
        <f t="shared" si="513"/>
        <v>0</v>
      </c>
      <c r="P7022" s="903">
        <f t="shared" si="514"/>
        <v>1</v>
      </c>
      <c r="Q7022" s="893">
        <f t="shared" si="515"/>
        <v>3</v>
      </c>
      <c r="R7022" s="894">
        <f t="shared" si="516"/>
        <v>0</v>
      </c>
    </row>
    <row r="7023" spans="1:18" s="904" customFormat="1">
      <c r="A7023" s="895"/>
      <c r="B7023" s="896"/>
      <c r="C7023" s="897"/>
      <c r="D7023" s="897"/>
      <c r="E7023" s="924" t="s">
        <v>276</v>
      </c>
      <c r="F7023" s="927"/>
      <c r="G7023" s="928"/>
      <c r="H7023" s="901"/>
      <c r="I7023" s="902"/>
      <c r="J7023" s="902"/>
      <c r="K7023" s="912" t="s">
        <v>274</v>
      </c>
      <c r="L7023" s="902"/>
      <c r="M7023" s="902"/>
      <c r="N7023" s="902"/>
      <c r="O7023" s="892">
        <f t="shared" si="513"/>
        <v>0</v>
      </c>
      <c r="P7023" s="903">
        <f t="shared" si="514"/>
        <v>1</v>
      </c>
      <c r="Q7023" s="893">
        <f t="shared" si="515"/>
        <v>2</v>
      </c>
      <c r="R7023" s="894">
        <f t="shared" si="516"/>
        <v>0</v>
      </c>
    </row>
    <row r="7024" spans="1:18">
      <c r="A7024" s="905"/>
      <c r="B7024" s="906"/>
      <c r="C7024" s="907">
        <v>745</v>
      </c>
      <c r="D7024" s="907" t="s">
        <v>12</v>
      </c>
      <c r="E7024" s="908" t="s">
        <v>5518</v>
      </c>
      <c r="F7024" s="909" t="s">
        <v>2674</v>
      </c>
      <c r="G7024" s="910"/>
      <c r="H7024" s="911">
        <v>18.34</v>
      </c>
      <c r="I7024" s="912"/>
      <c r="J7024" s="912"/>
      <c r="K7024" s="912">
        <f>VLOOKUP(E7024,[5]ĐMNC!$A$7:$F$67,4,0)</f>
        <v>240557</v>
      </c>
      <c r="L7024" s="912">
        <f>H7024*K7024</f>
        <v>4411815.38</v>
      </c>
      <c r="M7024" s="912"/>
      <c r="N7024" s="912"/>
      <c r="O7024" s="892">
        <f t="shared" si="513"/>
        <v>0</v>
      </c>
      <c r="P7024" s="903">
        <f t="shared" si="514"/>
        <v>1</v>
      </c>
      <c r="Q7024" s="893">
        <f t="shared" si="515"/>
        <v>1</v>
      </c>
      <c r="R7024" s="894">
        <f t="shared" si="516"/>
        <v>0</v>
      </c>
    </row>
    <row r="7025" spans="1:18" s="847" customFormat="1" ht="31.5">
      <c r="A7025" s="905"/>
      <c r="B7025" s="914" t="s">
        <v>6060</v>
      </c>
      <c r="C7025" s="915"/>
      <c r="D7025" s="915"/>
      <c r="E7025" s="916" t="s">
        <v>6061</v>
      </c>
      <c r="F7025" s="917" t="s">
        <v>2271</v>
      </c>
      <c r="G7025" s="918"/>
      <c r="H7025" s="919"/>
      <c r="I7025" s="920"/>
      <c r="J7025" s="891">
        <f>SUM(J7026:J7031)</f>
        <v>68440</v>
      </c>
      <c r="K7025" s="891"/>
      <c r="L7025" s="891">
        <f>SUM(L7026:L7031)</f>
        <v>5294659.57</v>
      </c>
      <c r="M7025" s="891"/>
      <c r="N7025" s="891">
        <f>SUM(N7026:N7031)</f>
        <v>0</v>
      </c>
      <c r="O7025" s="892">
        <f t="shared" si="513"/>
        <v>1</v>
      </c>
      <c r="P7025" s="903">
        <f t="shared" si="514"/>
        <v>0</v>
      </c>
      <c r="Q7025" s="893">
        <f t="shared" si="515"/>
        <v>0</v>
      </c>
      <c r="R7025" s="894">
        <f t="shared" si="516"/>
        <v>6</v>
      </c>
    </row>
    <row r="7026" spans="1:18" s="904" customFormat="1">
      <c r="A7026" s="895"/>
      <c r="B7026" s="896"/>
      <c r="C7026" s="897"/>
      <c r="D7026" s="897"/>
      <c r="E7026" s="898" t="s">
        <v>108</v>
      </c>
      <c r="F7026" s="899"/>
      <c r="G7026" s="928"/>
      <c r="H7026" s="901"/>
      <c r="I7026" s="902"/>
      <c r="J7026" s="902"/>
      <c r="K7026" s="912" t="s">
        <v>274</v>
      </c>
      <c r="L7026" s="902"/>
      <c r="M7026" s="902"/>
      <c r="N7026" s="902"/>
      <c r="O7026" s="892">
        <f t="shared" si="513"/>
        <v>0</v>
      </c>
      <c r="P7026" s="903">
        <f t="shared" si="514"/>
        <v>1</v>
      </c>
      <c r="Q7026" s="893">
        <f t="shared" si="515"/>
        <v>6</v>
      </c>
      <c r="R7026" s="894">
        <f t="shared" si="516"/>
        <v>0</v>
      </c>
    </row>
    <row r="7027" spans="1:18">
      <c r="A7027" s="905"/>
      <c r="B7027" s="906"/>
      <c r="C7027" s="907">
        <v>44</v>
      </c>
      <c r="D7027" s="907" t="s">
        <v>279</v>
      </c>
      <c r="E7027" s="925" t="s">
        <v>2681</v>
      </c>
      <c r="F7027" s="926" t="s">
        <v>45</v>
      </c>
      <c r="G7027" s="910"/>
      <c r="H7027" s="911">
        <v>1.68</v>
      </c>
      <c r="I7027" s="912">
        <f>VLOOKUP(E7027,[3]VLP!$B$7:$K$300,10,0)</f>
        <v>23000</v>
      </c>
      <c r="J7027" s="912">
        <f>I7027*H7027</f>
        <v>38640</v>
      </c>
      <c r="K7027" s="912" t="s">
        <v>274</v>
      </c>
      <c r="L7027" s="912"/>
      <c r="M7027" s="912"/>
      <c r="N7027" s="912"/>
      <c r="O7027" s="892">
        <f t="shared" si="513"/>
        <v>0</v>
      </c>
      <c r="P7027" s="903">
        <f t="shared" si="514"/>
        <v>1</v>
      </c>
      <c r="Q7027" s="893">
        <f t="shared" si="515"/>
        <v>5</v>
      </c>
      <c r="R7027" s="894">
        <f t="shared" si="516"/>
        <v>0</v>
      </c>
    </row>
    <row r="7028" spans="1:18">
      <c r="A7028" s="905"/>
      <c r="B7028" s="906"/>
      <c r="C7028" s="907">
        <v>66</v>
      </c>
      <c r="D7028" s="907" t="s">
        <v>279</v>
      </c>
      <c r="E7028" s="925" t="s">
        <v>2682</v>
      </c>
      <c r="F7028" s="926" t="s">
        <v>45</v>
      </c>
      <c r="G7028" s="910"/>
      <c r="H7028" s="911">
        <v>0.96</v>
      </c>
      <c r="I7028" s="912">
        <f>VLOOKUP(E7028,[3]VLP!$B$7:$K$300,10,0)</f>
        <v>5000</v>
      </c>
      <c r="J7028" s="912">
        <f>I7028*H7028</f>
        <v>4800</v>
      </c>
      <c r="K7028" s="912" t="s">
        <v>274</v>
      </c>
      <c r="L7028" s="912"/>
      <c r="M7028" s="912"/>
      <c r="N7028" s="912"/>
      <c r="O7028" s="892">
        <f t="shared" si="513"/>
        <v>0</v>
      </c>
      <c r="P7028" s="903">
        <f t="shared" si="514"/>
        <v>1</v>
      </c>
      <c r="Q7028" s="893">
        <f t="shared" si="515"/>
        <v>4</v>
      </c>
      <c r="R7028" s="894">
        <f t="shared" si="516"/>
        <v>0</v>
      </c>
    </row>
    <row r="7029" spans="1:18">
      <c r="A7029" s="905"/>
      <c r="B7029" s="906"/>
      <c r="C7029" s="907">
        <v>699</v>
      </c>
      <c r="D7029" s="907" t="s">
        <v>279</v>
      </c>
      <c r="E7029" s="925" t="s">
        <v>4006</v>
      </c>
      <c r="F7029" s="926" t="s">
        <v>4007</v>
      </c>
      <c r="G7029" s="910"/>
      <c r="H7029" s="911">
        <v>5</v>
      </c>
      <c r="I7029" s="912">
        <f>VLOOKUP(E7029,[3]VLP!$B$7:$K$300,10,0)</f>
        <v>5000</v>
      </c>
      <c r="J7029" s="912">
        <f>I7029*H7029</f>
        <v>25000</v>
      </c>
      <c r="K7029" s="912" t="s">
        <v>274</v>
      </c>
      <c r="L7029" s="912"/>
      <c r="M7029" s="912"/>
      <c r="N7029" s="912"/>
      <c r="O7029" s="892">
        <f t="shared" si="513"/>
        <v>0</v>
      </c>
      <c r="P7029" s="903">
        <f t="shared" si="514"/>
        <v>1</v>
      </c>
      <c r="Q7029" s="893">
        <f t="shared" si="515"/>
        <v>3</v>
      </c>
      <c r="R7029" s="894">
        <f t="shared" si="516"/>
        <v>0</v>
      </c>
    </row>
    <row r="7030" spans="1:18" s="904" customFormat="1">
      <c r="A7030" s="895"/>
      <c r="B7030" s="896"/>
      <c r="C7030" s="897"/>
      <c r="D7030" s="897"/>
      <c r="E7030" s="924" t="s">
        <v>276</v>
      </c>
      <c r="F7030" s="927"/>
      <c r="G7030" s="928"/>
      <c r="H7030" s="901"/>
      <c r="I7030" s="902"/>
      <c r="J7030" s="902"/>
      <c r="K7030" s="912" t="s">
        <v>274</v>
      </c>
      <c r="L7030" s="902"/>
      <c r="M7030" s="902"/>
      <c r="N7030" s="902"/>
      <c r="O7030" s="892">
        <f t="shared" si="513"/>
        <v>0</v>
      </c>
      <c r="P7030" s="903">
        <f t="shared" si="514"/>
        <v>1</v>
      </c>
      <c r="Q7030" s="893">
        <f t="shared" si="515"/>
        <v>2</v>
      </c>
      <c r="R7030" s="894">
        <f t="shared" si="516"/>
        <v>0</v>
      </c>
    </row>
    <row r="7031" spans="1:18">
      <c r="A7031" s="905"/>
      <c r="B7031" s="906"/>
      <c r="C7031" s="907">
        <v>745</v>
      </c>
      <c r="D7031" s="907" t="s">
        <v>12</v>
      </c>
      <c r="E7031" s="908" t="s">
        <v>5518</v>
      </c>
      <c r="F7031" s="909" t="s">
        <v>2674</v>
      </c>
      <c r="G7031" s="910"/>
      <c r="H7031" s="911">
        <v>22.01</v>
      </c>
      <c r="I7031" s="912"/>
      <c r="J7031" s="912"/>
      <c r="K7031" s="912">
        <f>VLOOKUP(E7031,[5]ĐMNC!$A$7:$F$67,4,0)</f>
        <v>240557</v>
      </c>
      <c r="L7031" s="912">
        <f>H7031*K7031</f>
        <v>5294659.57</v>
      </c>
      <c r="M7031" s="912"/>
      <c r="N7031" s="912"/>
      <c r="O7031" s="892">
        <f t="shared" si="513"/>
        <v>0</v>
      </c>
      <c r="P7031" s="903">
        <f t="shared" si="514"/>
        <v>1</v>
      </c>
      <c r="Q7031" s="893">
        <f t="shared" si="515"/>
        <v>1</v>
      </c>
      <c r="R7031" s="894">
        <f t="shared" si="516"/>
        <v>0</v>
      </c>
    </row>
    <row r="7032" spans="1:18" s="847" customFormat="1" ht="35.25" customHeight="1">
      <c r="A7032" s="905" t="s">
        <v>6039</v>
      </c>
      <c r="B7032" s="914" t="s">
        <v>6062</v>
      </c>
      <c r="C7032" s="915"/>
      <c r="D7032" s="915"/>
      <c r="E7032" s="916" t="s">
        <v>6063</v>
      </c>
      <c r="F7032" s="917" t="s">
        <v>6064</v>
      </c>
      <c r="G7032" s="944"/>
      <c r="H7032" s="919"/>
      <c r="I7032" s="920"/>
      <c r="J7032" s="891">
        <f>SUM(J7033:J7045)</f>
        <v>756415</v>
      </c>
      <c r="K7032" s="891"/>
      <c r="L7032" s="891">
        <f>SUM(L7033:L7045)</f>
        <v>3379825.85</v>
      </c>
      <c r="M7032" s="891"/>
      <c r="N7032" s="891">
        <f>SUM(N7033:N7045)</f>
        <v>0</v>
      </c>
      <c r="O7032" s="892">
        <f t="shared" si="513"/>
        <v>1</v>
      </c>
      <c r="P7032" s="903">
        <f t="shared" si="514"/>
        <v>0</v>
      </c>
      <c r="Q7032" s="893">
        <f t="shared" si="515"/>
        <v>0</v>
      </c>
      <c r="R7032" s="894">
        <f t="shared" si="516"/>
        <v>13</v>
      </c>
    </row>
    <row r="7033" spans="1:18" s="904" customFormat="1">
      <c r="A7033" s="895"/>
      <c r="B7033" s="896"/>
      <c r="C7033" s="897"/>
      <c r="D7033" s="897"/>
      <c r="E7033" s="898" t="s">
        <v>108</v>
      </c>
      <c r="F7033" s="899"/>
      <c r="G7033" s="928"/>
      <c r="H7033" s="901"/>
      <c r="I7033" s="902"/>
      <c r="J7033" s="902"/>
      <c r="K7033" s="912" t="s">
        <v>274</v>
      </c>
      <c r="L7033" s="902"/>
      <c r="M7033" s="902"/>
      <c r="N7033" s="902"/>
      <c r="O7033" s="892">
        <f t="shared" si="513"/>
        <v>0</v>
      </c>
      <c r="P7033" s="903">
        <f t="shared" si="514"/>
        <v>1</v>
      </c>
      <c r="Q7033" s="893">
        <f t="shared" si="515"/>
        <v>13</v>
      </c>
      <c r="R7033" s="894">
        <f t="shared" si="516"/>
        <v>0</v>
      </c>
    </row>
    <row r="7034" spans="1:18">
      <c r="A7034" s="905"/>
      <c r="B7034" s="906"/>
      <c r="C7034" s="907">
        <v>49</v>
      </c>
      <c r="D7034" s="907" t="s">
        <v>279</v>
      </c>
      <c r="E7034" s="925" t="s">
        <v>5698</v>
      </c>
      <c r="F7034" s="909" t="s">
        <v>139</v>
      </c>
      <c r="G7034" s="910"/>
      <c r="H7034" s="911">
        <v>2</v>
      </c>
      <c r="I7034" s="912">
        <f>VLOOKUP(E7034,[3]VLP!$B$7:$K$300,10,0)</f>
        <v>3000</v>
      </c>
      <c r="J7034" s="912">
        <f t="shared" ref="J7034:J7043" si="517">I7034*H7034</f>
        <v>6000</v>
      </c>
      <c r="K7034" s="912" t="s">
        <v>274</v>
      </c>
      <c r="L7034" s="912"/>
      <c r="M7034" s="912"/>
      <c r="N7034" s="912"/>
      <c r="O7034" s="892">
        <f t="shared" si="513"/>
        <v>0</v>
      </c>
      <c r="P7034" s="903">
        <f t="shared" si="514"/>
        <v>1</v>
      </c>
      <c r="Q7034" s="893">
        <f t="shared" si="515"/>
        <v>12</v>
      </c>
      <c r="R7034" s="894">
        <f t="shared" si="516"/>
        <v>0</v>
      </c>
    </row>
    <row r="7035" spans="1:18">
      <c r="A7035" s="905"/>
      <c r="B7035" s="906"/>
      <c r="C7035" s="907">
        <v>50</v>
      </c>
      <c r="D7035" s="907" t="s">
        <v>279</v>
      </c>
      <c r="E7035" s="925" t="s">
        <v>5836</v>
      </c>
      <c r="F7035" s="909" t="s">
        <v>49</v>
      </c>
      <c r="G7035" s="910"/>
      <c r="H7035" s="911">
        <v>4</v>
      </c>
      <c r="I7035" s="912">
        <f>VLOOKUP(E7035,[3]VLP!$B$7:$K$300,10,0)</f>
        <v>85790</v>
      </c>
      <c r="J7035" s="912">
        <f t="shared" si="517"/>
        <v>343160</v>
      </c>
      <c r="K7035" s="912" t="s">
        <v>274</v>
      </c>
      <c r="L7035" s="912"/>
      <c r="M7035" s="912"/>
      <c r="N7035" s="912"/>
      <c r="O7035" s="892">
        <f t="shared" si="513"/>
        <v>0</v>
      </c>
      <c r="P7035" s="903">
        <f t="shared" si="514"/>
        <v>1</v>
      </c>
      <c r="Q7035" s="893">
        <f t="shared" si="515"/>
        <v>11</v>
      </c>
      <c r="R7035" s="894">
        <f t="shared" si="516"/>
        <v>0</v>
      </c>
    </row>
    <row r="7036" spans="1:18">
      <c r="A7036" s="905"/>
      <c r="B7036" s="906"/>
      <c r="C7036" s="907">
        <v>46</v>
      </c>
      <c r="D7036" s="907" t="s">
        <v>279</v>
      </c>
      <c r="E7036" s="925" t="s">
        <v>3179</v>
      </c>
      <c r="F7036" s="909" t="s">
        <v>45</v>
      </c>
      <c r="G7036" s="910"/>
      <c r="H7036" s="911">
        <v>15</v>
      </c>
      <c r="I7036" s="912">
        <f>VLOOKUP(E7036,[3]VLP!$B$7:$K$300,10,0)</f>
        <v>20500</v>
      </c>
      <c r="J7036" s="912">
        <f t="shared" si="517"/>
        <v>307500</v>
      </c>
      <c r="K7036" s="912" t="s">
        <v>274</v>
      </c>
      <c r="L7036" s="912"/>
      <c r="M7036" s="912"/>
      <c r="N7036" s="912"/>
      <c r="O7036" s="892">
        <f t="shared" si="513"/>
        <v>0</v>
      </c>
      <c r="P7036" s="903">
        <f t="shared" si="514"/>
        <v>1</v>
      </c>
      <c r="Q7036" s="893">
        <f t="shared" si="515"/>
        <v>10</v>
      </c>
      <c r="R7036" s="894">
        <f t="shared" si="516"/>
        <v>0</v>
      </c>
    </row>
    <row r="7037" spans="1:18">
      <c r="A7037" s="905"/>
      <c r="B7037" s="906"/>
      <c r="C7037" s="907">
        <v>25</v>
      </c>
      <c r="D7037" s="907" t="s">
        <v>279</v>
      </c>
      <c r="E7037" s="925" t="s">
        <v>5656</v>
      </c>
      <c r="F7037" s="926" t="s">
        <v>2690</v>
      </c>
      <c r="G7037" s="910"/>
      <c r="H7037" s="911">
        <v>2</v>
      </c>
      <c r="I7037" s="912">
        <f>VLOOKUP(E7037,[3]VLP!$B$7:$K$300,10,0)</f>
        <v>5000</v>
      </c>
      <c r="J7037" s="912">
        <f t="shared" si="517"/>
        <v>10000</v>
      </c>
      <c r="K7037" s="912" t="s">
        <v>274</v>
      </c>
      <c r="L7037" s="912"/>
      <c r="M7037" s="912"/>
      <c r="N7037" s="912"/>
      <c r="O7037" s="892">
        <f t="shared" si="513"/>
        <v>0</v>
      </c>
      <c r="P7037" s="903">
        <f t="shared" si="514"/>
        <v>1</v>
      </c>
      <c r="Q7037" s="893">
        <f t="shared" si="515"/>
        <v>9</v>
      </c>
      <c r="R7037" s="894">
        <f t="shared" si="516"/>
        <v>0</v>
      </c>
    </row>
    <row r="7038" spans="1:18">
      <c r="A7038" s="905"/>
      <c r="B7038" s="906"/>
      <c r="C7038" s="907">
        <v>127</v>
      </c>
      <c r="D7038" s="907" t="s">
        <v>279</v>
      </c>
      <c r="E7038" s="925" t="s">
        <v>5657</v>
      </c>
      <c r="F7038" s="909" t="s">
        <v>45</v>
      </c>
      <c r="G7038" s="910"/>
      <c r="H7038" s="911">
        <v>1</v>
      </c>
      <c r="I7038" s="912">
        <f>VLOOKUP(E7038,[3]VLP!$B$7:$K$300,10,0)</f>
        <v>25155</v>
      </c>
      <c r="J7038" s="912">
        <f t="shared" si="517"/>
        <v>25155</v>
      </c>
      <c r="K7038" s="912" t="s">
        <v>274</v>
      </c>
      <c r="L7038" s="912"/>
      <c r="M7038" s="912"/>
      <c r="N7038" s="912"/>
      <c r="O7038" s="892">
        <f t="shared" si="513"/>
        <v>0</v>
      </c>
      <c r="P7038" s="903">
        <f t="shared" si="514"/>
        <v>1</v>
      </c>
      <c r="Q7038" s="893">
        <f t="shared" si="515"/>
        <v>8</v>
      </c>
      <c r="R7038" s="894">
        <f t="shared" si="516"/>
        <v>0</v>
      </c>
    </row>
    <row r="7039" spans="1:18">
      <c r="A7039" s="905"/>
      <c r="B7039" s="906"/>
      <c r="C7039" s="907">
        <v>44</v>
      </c>
      <c r="D7039" s="907" t="s">
        <v>279</v>
      </c>
      <c r="E7039" s="925" t="s">
        <v>2681</v>
      </c>
      <c r="F7039" s="926" t="s">
        <v>45</v>
      </c>
      <c r="G7039" s="910"/>
      <c r="H7039" s="911">
        <v>1</v>
      </c>
      <c r="I7039" s="912">
        <f>VLOOKUP(E7039,[3]VLP!$B$7:$K$300,10,0)</f>
        <v>23000</v>
      </c>
      <c r="J7039" s="912">
        <f t="shared" si="517"/>
        <v>23000</v>
      </c>
      <c r="K7039" s="912" t="s">
        <v>274</v>
      </c>
      <c r="L7039" s="912"/>
      <c r="M7039" s="912"/>
      <c r="N7039" s="912"/>
      <c r="O7039" s="892">
        <f t="shared" si="513"/>
        <v>0</v>
      </c>
      <c r="P7039" s="903">
        <f t="shared" si="514"/>
        <v>1</v>
      </c>
      <c r="Q7039" s="893">
        <f t="shared" si="515"/>
        <v>7</v>
      </c>
      <c r="R7039" s="894">
        <f t="shared" si="516"/>
        <v>0</v>
      </c>
    </row>
    <row r="7040" spans="1:18">
      <c r="A7040" s="905"/>
      <c r="B7040" s="906"/>
      <c r="C7040" s="907">
        <v>66</v>
      </c>
      <c r="D7040" s="907" t="s">
        <v>279</v>
      </c>
      <c r="E7040" s="925" t="s">
        <v>2682</v>
      </c>
      <c r="F7040" s="926" t="s">
        <v>45</v>
      </c>
      <c r="G7040" s="910"/>
      <c r="H7040" s="911">
        <v>0.5</v>
      </c>
      <c r="I7040" s="912">
        <f>VLOOKUP(E7040,[3]VLP!$B$7:$K$300,10,0)</f>
        <v>5000</v>
      </c>
      <c r="J7040" s="912">
        <f t="shared" si="517"/>
        <v>2500</v>
      </c>
      <c r="K7040" s="912" t="s">
        <v>274</v>
      </c>
      <c r="L7040" s="912"/>
      <c r="M7040" s="912"/>
      <c r="N7040" s="912"/>
      <c r="O7040" s="892">
        <f t="shared" si="513"/>
        <v>0</v>
      </c>
      <c r="P7040" s="903">
        <f t="shared" si="514"/>
        <v>1</v>
      </c>
      <c r="Q7040" s="893">
        <f t="shared" si="515"/>
        <v>6</v>
      </c>
      <c r="R7040" s="894">
        <f t="shared" si="516"/>
        <v>0</v>
      </c>
    </row>
    <row r="7041" spans="1:18">
      <c r="A7041" s="905"/>
      <c r="B7041" s="906"/>
      <c r="C7041" s="907">
        <v>65</v>
      </c>
      <c r="D7041" s="907" t="s">
        <v>279</v>
      </c>
      <c r="E7041" s="925" t="s">
        <v>5983</v>
      </c>
      <c r="F7041" s="926" t="s">
        <v>3144</v>
      </c>
      <c r="G7041" s="910"/>
      <c r="H7041" s="911">
        <v>1</v>
      </c>
      <c r="I7041" s="912">
        <f>VLOOKUP(E7041,[3]VLP!$B$7:$K$300,10,0)</f>
        <v>14000</v>
      </c>
      <c r="J7041" s="912">
        <f t="shared" si="517"/>
        <v>14000</v>
      </c>
      <c r="K7041" s="912" t="s">
        <v>274</v>
      </c>
      <c r="L7041" s="912"/>
      <c r="M7041" s="912"/>
      <c r="N7041" s="912"/>
      <c r="O7041" s="892">
        <f t="shared" si="513"/>
        <v>0</v>
      </c>
      <c r="P7041" s="903">
        <f t="shared" si="514"/>
        <v>1</v>
      </c>
      <c r="Q7041" s="893">
        <f t="shared" si="515"/>
        <v>5</v>
      </c>
      <c r="R7041" s="894">
        <f t="shared" si="516"/>
        <v>0</v>
      </c>
    </row>
    <row r="7042" spans="1:18">
      <c r="A7042" s="905"/>
      <c r="B7042" s="906"/>
      <c r="C7042" s="907">
        <v>89</v>
      </c>
      <c r="D7042" s="907" t="s">
        <v>279</v>
      </c>
      <c r="E7042" s="925" t="s">
        <v>5984</v>
      </c>
      <c r="F7042" s="926" t="s">
        <v>45</v>
      </c>
      <c r="G7042" s="910"/>
      <c r="H7042" s="911">
        <v>0.1</v>
      </c>
      <c r="I7042" s="912">
        <f>VLOOKUP(E7042,[3]VLP!$B$7:$K$300,10,0)</f>
        <v>1000</v>
      </c>
      <c r="J7042" s="912">
        <f t="shared" si="517"/>
        <v>100</v>
      </c>
      <c r="K7042" s="912" t="s">
        <v>274</v>
      </c>
      <c r="L7042" s="912"/>
      <c r="M7042" s="912"/>
      <c r="N7042" s="912"/>
      <c r="O7042" s="892">
        <f t="shared" si="513"/>
        <v>0</v>
      </c>
      <c r="P7042" s="903">
        <f t="shared" si="514"/>
        <v>1</v>
      </c>
      <c r="Q7042" s="893">
        <f t="shared" si="515"/>
        <v>4</v>
      </c>
      <c r="R7042" s="894">
        <f t="shared" si="516"/>
        <v>0</v>
      </c>
    </row>
    <row r="7043" spans="1:18">
      <c r="A7043" s="905"/>
      <c r="B7043" s="906"/>
      <c r="C7043" s="907">
        <v>699</v>
      </c>
      <c r="D7043" s="907" t="s">
        <v>279</v>
      </c>
      <c r="E7043" s="925" t="s">
        <v>4006</v>
      </c>
      <c r="F7043" s="926" t="s">
        <v>4007</v>
      </c>
      <c r="G7043" s="910"/>
      <c r="H7043" s="911">
        <v>5</v>
      </c>
      <c r="I7043" s="912">
        <f>VLOOKUP(E7043,[3]VLP!$B$7:$K$300,10,0)</f>
        <v>5000</v>
      </c>
      <c r="J7043" s="912">
        <f t="shared" si="517"/>
        <v>25000</v>
      </c>
      <c r="K7043" s="912" t="s">
        <v>274</v>
      </c>
      <c r="L7043" s="912"/>
      <c r="M7043" s="912"/>
      <c r="N7043" s="912"/>
      <c r="O7043" s="892">
        <f t="shared" si="513"/>
        <v>0</v>
      </c>
      <c r="P7043" s="903">
        <f t="shared" si="514"/>
        <v>1</v>
      </c>
      <c r="Q7043" s="893">
        <f t="shared" si="515"/>
        <v>3</v>
      </c>
      <c r="R7043" s="894">
        <f t="shared" si="516"/>
        <v>0</v>
      </c>
    </row>
    <row r="7044" spans="1:18" s="904" customFormat="1">
      <c r="A7044" s="895"/>
      <c r="B7044" s="896"/>
      <c r="C7044" s="897"/>
      <c r="D7044" s="897"/>
      <c r="E7044" s="924" t="s">
        <v>276</v>
      </c>
      <c r="F7044" s="927"/>
      <c r="G7044" s="928"/>
      <c r="H7044" s="901"/>
      <c r="I7044" s="902"/>
      <c r="J7044" s="902"/>
      <c r="K7044" s="912" t="s">
        <v>274</v>
      </c>
      <c r="L7044" s="902"/>
      <c r="M7044" s="902"/>
      <c r="N7044" s="902"/>
      <c r="O7044" s="892">
        <f t="shared" si="513"/>
        <v>0</v>
      </c>
      <c r="P7044" s="903">
        <f t="shared" si="514"/>
        <v>1</v>
      </c>
      <c r="Q7044" s="893">
        <f t="shared" si="515"/>
        <v>2</v>
      </c>
      <c r="R7044" s="894">
        <f t="shared" si="516"/>
        <v>0</v>
      </c>
    </row>
    <row r="7045" spans="1:18">
      <c r="A7045" s="905"/>
      <c r="B7045" s="906"/>
      <c r="C7045" s="907">
        <v>745</v>
      </c>
      <c r="D7045" s="907" t="s">
        <v>12</v>
      </c>
      <c r="E7045" s="908" t="s">
        <v>5518</v>
      </c>
      <c r="F7045" s="909" t="s">
        <v>2674</v>
      </c>
      <c r="G7045" s="910"/>
      <c r="H7045" s="911">
        <v>14.05</v>
      </c>
      <c r="I7045" s="912"/>
      <c r="J7045" s="912"/>
      <c r="K7045" s="912">
        <f>VLOOKUP(E7045,[5]ĐMNC!$A$7:$F$67,4,0)</f>
        <v>240557</v>
      </c>
      <c r="L7045" s="912">
        <f>H7045*K7045</f>
        <v>3379825.85</v>
      </c>
      <c r="M7045" s="912"/>
      <c r="N7045" s="912"/>
      <c r="O7045" s="892">
        <f t="shared" si="513"/>
        <v>0</v>
      </c>
      <c r="P7045" s="903">
        <f t="shared" si="514"/>
        <v>1</v>
      </c>
      <c r="Q7045" s="893">
        <f t="shared" si="515"/>
        <v>1</v>
      </c>
      <c r="R7045" s="894">
        <f t="shared" si="516"/>
        <v>0</v>
      </c>
    </row>
    <row r="7046" spans="1:18" s="847" customFormat="1" ht="35.25" customHeight="1">
      <c r="A7046" s="905"/>
      <c r="B7046" s="914" t="s">
        <v>6065</v>
      </c>
      <c r="C7046" s="915"/>
      <c r="D7046" s="915"/>
      <c r="E7046" s="916" t="s">
        <v>6066</v>
      </c>
      <c r="F7046" s="917" t="s">
        <v>6064</v>
      </c>
      <c r="G7046" s="944"/>
      <c r="H7046" s="919"/>
      <c r="I7046" s="920"/>
      <c r="J7046" s="891">
        <f>SUM(J7047:J7059)</f>
        <v>756415</v>
      </c>
      <c r="K7046" s="891"/>
      <c r="L7046" s="891">
        <f>SUM(L7047:L7059)</f>
        <v>3767122.62</v>
      </c>
      <c r="M7046" s="891"/>
      <c r="N7046" s="891">
        <f>SUM(N7047:N7059)</f>
        <v>0</v>
      </c>
      <c r="O7046" s="892">
        <f t="shared" si="513"/>
        <v>1</v>
      </c>
      <c r="P7046" s="903">
        <f t="shared" si="514"/>
        <v>0</v>
      </c>
      <c r="Q7046" s="893">
        <f t="shared" si="515"/>
        <v>0</v>
      </c>
      <c r="R7046" s="894">
        <f t="shared" si="516"/>
        <v>13</v>
      </c>
    </row>
    <row r="7047" spans="1:18" s="904" customFormat="1">
      <c r="A7047" s="895"/>
      <c r="B7047" s="896"/>
      <c r="C7047" s="897"/>
      <c r="D7047" s="897"/>
      <c r="E7047" s="898" t="s">
        <v>108</v>
      </c>
      <c r="F7047" s="899"/>
      <c r="G7047" s="928"/>
      <c r="H7047" s="901"/>
      <c r="I7047" s="902"/>
      <c r="J7047" s="902"/>
      <c r="K7047" s="912" t="s">
        <v>274</v>
      </c>
      <c r="L7047" s="902"/>
      <c r="M7047" s="902"/>
      <c r="N7047" s="902"/>
      <c r="O7047" s="892">
        <f t="shared" si="513"/>
        <v>0</v>
      </c>
      <c r="P7047" s="903">
        <f t="shared" si="514"/>
        <v>1</v>
      </c>
      <c r="Q7047" s="893">
        <f t="shared" si="515"/>
        <v>13</v>
      </c>
      <c r="R7047" s="894">
        <f t="shared" si="516"/>
        <v>0</v>
      </c>
    </row>
    <row r="7048" spans="1:18">
      <c r="A7048" s="905"/>
      <c r="B7048" s="906"/>
      <c r="C7048" s="907">
        <v>49</v>
      </c>
      <c r="D7048" s="907" t="s">
        <v>279</v>
      </c>
      <c r="E7048" s="925" t="s">
        <v>5698</v>
      </c>
      <c r="F7048" s="909" t="s">
        <v>139</v>
      </c>
      <c r="G7048" s="910"/>
      <c r="H7048" s="911">
        <v>2</v>
      </c>
      <c r="I7048" s="912">
        <f>VLOOKUP(E7048,[3]VLP!$B$7:$K$300,10,0)</f>
        <v>3000</v>
      </c>
      <c r="J7048" s="912">
        <f t="shared" ref="J7048:J7057" si="518">I7048*H7048</f>
        <v>6000</v>
      </c>
      <c r="K7048" s="912" t="s">
        <v>274</v>
      </c>
      <c r="L7048" s="912"/>
      <c r="M7048" s="912"/>
      <c r="N7048" s="912"/>
      <c r="O7048" s="892">
        <f t="shared" si="513"/>
        <v>0</v>
      </c>
      <c r="P7048" s="903">
        <f t="shared" si="514"/>
        <v>1</v>
      </c>
      <c r="Q7048" s="893">
        <f t="shared" si="515"/>
        <v>12</v>
      </c>
      <c r="R7048" s="894">
        <f t="shared" si="516"/>
        <v>0</v>
      </c>
    </row>
    <row r="7049" spans="1:18">
      <c r="A7049" s="905"/>
      <c r="B7049" s="906"/>
      <c r="C7049" s="907">
        <v>50</v>
      </c>
      <c r="D7049" s="907" t="s">
        <v>279</v>
      </c>
      <c r="E7049" s="925" t="s">
        <v>5836</v>
      </c>
      <c r="F7049" s="909" t="s">
        <v>49</v>
      </c>
      <c r="G7049" s="910"/>
      <c r="H7049" s="911">
        <v>4</v>
      </c>
      <c r="I7049" s="912">
        <f>VLOOKUP(E7049,[3]VLP!$B$7:$K$300,10,0)</f>
        <v>85790</v>
      </c>
      <c r="J7049" s="912">
        <f t="shared" si="518"/>
        <v>343160</v>
      </c>
      <c r="K7049" s="912" t="s">
        <v>274</v>
      </c>
      <c r="L7049" s="912"/>
      <c r="M7049" s="912"/>
      <c r="N7049" s="912"/>
      <c r="O7049" s="892">
        <f t="shared" si="513"/>
        <v>0</v>
      </c>
      <c r="P7049" s="903">
        <f t="shared" si="514"/>
        <v>1</v>
      </c>
      <c r="Q7049" s="893">
        <f t="shared" si="515"/>
        <v>11</v>
      </c>
      <c r="R7049" s="894">
        <f t="shared" si="516"/>
        <v>0</v>
      </c>
    </row>
    <row r="7050" spans="1:18">
      <c r="A7050" s="905"/>
      <c r="B7050" s="906"/>
      <c r="C7050" s="907">
        <v>46</v>
      </c>
      <c r="D7050" s="907" t="s">
        <v>279</v>
      </c>
      <c r="E7050" s="925" t="s">
        <v>3179</v>
      </c>
      <c r="F7050" s="909" t="s">
        <v>45</v>
      </c>
      <c r="G7050" s="910"/>
      <c r="H7050" s="911">
        <v>15</v>
      </c>
      <c r="I7050" s="912">
        <f>VLOOKUP(E7050,[3]VLP!$B$7:$K$300,10,0)</f>
        <v>20500</v>
      </c>
      <c r="J7050" s="912">
        <f t="shared" si="518"/>
        <v>307500</v>
      </c>
      <c r="K7050" s="912" t="s">
        <v>274</v>
      </c>
      <c r="L7050" s="912"/>
      <c r="M7050" s="912"/>
      <c r="N7050" s="912"/>
      <c r="O7050" s="892">
        <f t="shared" si="513"/>
        <v>0</v>
      </c>
      <c r="P7050" s="903">
        <f t="shared" si="514"/>
        <v>1</v>
      </c>
      <c r="Q7050" s="893">
        <f t="shared" si="515"/>
        <v>10</v>
      </c>
      <c r="R7050" s="894">
        <f t="shared" si="516"/>
        <v>0</v>
      </c>
    </row>
    <row r="7051" spans="1:18">
      <c r="A7051" s="905"/>
      <c r="B7051" s="906"/>
      <c r="C7051" s="907">
        <v>25</v>
      </c>
      <c r="D7051" s="907" t="s">
        <v>279</v>
      </c>
      <c r="E7051" s="925" t="s">
        <v>5656</v>
      </c>
      <c r="F7051" s="926" t="s">
        <v>2690</v>
      </c>
      <c r="G7051" s="910"/>
      <c r="H7051" s="911">
        <v>2</v>
      </c>
      <c r="I7051" s="912">
        <f>VLOOKUP(E7051,[3]VLP!$B$7:$K$300,10,0)</f>
        <v>5000</v>
      </c>
      <c r="J7051" s="912">
        <f t="shared" si="518"/>
        <v>10000</v>
      </c>
      <c r="K7051" s="912" t="s">
        <v>274</v>
      </c>
      <c r="L7051" s="912"/>
      <c r="M7051" s="912"/>
      <c r="N7051" s="912"/>
      <c r="O7051" s="892">
        <f t="shared" si="513"/>
        <v>0</v>
      </c>
      <c r="P7051" s="903">
        <f t="shared" si="514"/>
        <v>1</v>
      </c>
      <c r="Q7051" s="893">
        <f t="shared" si="515"/>
        <v>9</v>
      </c>
      <c r="R7051" s="894">
        <f t="shared" si="516"/>
        <v>0</v>
      </c>
    </row>
    <row r="7052" spans="1:18">
      <c r="A7052" s="905"/>
      <c r="B7052" s="906"/>
      <c r="C7052" s="907">
        <v>127</v>
      </c>
      <c r="D7052" s="907" t="s">
        <v>279</v>
      </c>
      <c r="E7052" s="925" t="s">
        <v>5657</v>
      </c>
      <c r="F7052" s="909" t="s">
        <v>45</v>
      </c>
      <c r="G7052" s="910"/>
      <c r="H7052" s="911">
        <v>1</v>
      </c>
      <c r="I7052" s="912">
        <f>VLOOKUP(E7052,[3]VLP!$B$7:$K$300,10,0)</f>
        <v>25155</v>
      </c>
      <c r="J7052" s="912">
        <f t="shared" si="518"/>
        <v>25155</v>
      </c>
      <c r="K7052" s="912" t="s">
        <v>274</v>
      </c>
      <c r="L7052" s="912"/>
      <c r="M7052" s="912"/>
      <c r="N7052" s="912"/>
      <c r="O7052" s="892">
        <f t="shared" si="513"/>
        <v>0</v>
      </c>
      <c r="P7052" s="903">
        <f t="shared" si="514"/>
        <v>1</v>
      </c>
      <c r="Q7052" s="893">
        <f t="shared" si="515"/>
        <v>8</v>
      </c>
      <c r="R7052" s="894">
        <f t="shared" si="516"/>
        <v>0</v>
      </c>
    </row>
    <row r="7053" spans="1:18">
      <c r="A7053" s="905"/>
      <c r="B7053" s="906"/>
      <c r="C7053" s="907">
        <v>44</v>
      </c>
      <c r="D7053" s="907" t="s">
        <v>279</v>
      </c>
      <c r="E7053" s="925" t="s">
        <v>2681</v>
      </c>
      <c r="F7053" s="926" t="s">
        <v>45</v>
      </c>
      <c r="G7053" s="910"/>
      <c r="H7053" s="911">
        <v>1</v>
      </c>
      <c r="I7053" s="912">
        <f>VLOOKUP(E7053,[3]VLP!$B$7:$K$300,10,0)</f>
        <v>23000</v>
      </c>
      <c r="J7053" s="912">
        <f t="shared" si="518"/>
        <v>23000</v>
      </c>
      <c r="K7053" s="912" t="s">
        <v>274</v>
      </c>
      <c r="L7053" s="912"/>
      <c r="M7053" s="912"/>
      <c r="N7053" s="912"/>
      <c r="O7053" s="892">
        <f t="shared" si="513"/>
        <v>0</v>
      </c>
      <c r="P7053" s="903">
        <f t="shared" si="514"/>
        <v>1</v>
      </c>
      <c r="Q7053" s="893">
        <f t="shared" si="515"/>
        <v>7</v>
      </c>
      <c r="R7053" s="894">
        <f t="shared" si="516"/>
        <v>0</v>
      </c>
    </row>
    <row r="7054" spans="1:18">
      <c r="A7054" s="905"/>
      <c r="B7054" s="906"/>
      <c r="C7054" s="907">
        <v>66</v>
      </c>
      <c r="D7054" s="907" t="s">
        <v>279</v>
      </c>
      <c r="E7054" s="925" t="s">
        <v>2682</v>
      </c>
      <c r="F7054" s="926" t="s">
        <v>45</v>
      </c>
      <c r="G7054" s="910"/>
      <c r="H7054" s="911">
        <v>0.5</v>
      </c>
      <c r="I7054" s="912">
        <f>VLOOKUP(E7054,[3]VLP!$B$7:$K$300,10,0)</f>
        <v>5000</v>
      </c>
      <c r="J7054" s="912">
        <f t="shared" si="518"/>
        <v>2500</v>
      </c>
      <c r="K7054" s="912" t="s">
        <v>274</v>
      </c>
      <c r="L7054" s="912"/>
      <c r="M7054" s="912"/>
      <c r="N7054" s="912"/>
      <c r="O7054" s="892">
        <f t="shared" si="513"/>
        <v>0</v>
      </c>
      <c r="P7054" s="903">
        <f t="shared" si="514"/>
        <v>1</v>
      </c>
      <c r="Q7054" s="893">
        <f t="shared" si="515"/>
        <v>6</v>
      </c>
      <c r="R7054" s="894">
        <f t="shared" si="516"/>
        <v>0</v>
      </c>
    </row>
    <row r="7055" spans="1:18">
      <c r="A7055" s="905"/>
      <c r="B7055" s="906"/>
      <c r="C7055" s="907">
        <v>65</v>
      </c>
      <c r="D7055" s="907" t="s">
        <v>279</v>
      </c>
      <c r="E7055" s="925" t="s">
        <v>5983</v>
      </c>
      <c r="F7055" s="926" t="s">
        <v>3144</v>
      </c>
      <c r="G7055" s="910"/>
      <c r="H7055" s="911">
        <v>1</v>
      </c>
      <c r="I7055" s="912">
        <f>VLOOKUP(E7055,[3]VLP!$B$7:$K$300,10,0)</f>
        <v>14000</v>
      </c>
      <c r="J7055" s="912">
        <f t="shared" si="518"/>
        <v>14000</v>
      </c>
      <c r="K7055" s="912" t="s">
        <v>274</v>
      </c>
      <c r="L7055" s="912"/>
      <c r="M7055" s="912"/>
      <c r="N7055" s="912"/>
      <c r="O7055" s="892">
        <f t="shared" si="513"/>
        <v>0</v>
      </c>
      <c r="P7055" s="903">
        <f t="shared" si="514"/>
        <v>1</v>
      </c>
      <c r="Q7055" s="893">
        <f t="shared" si="515"/>
        <v>5</v>
      </c>
      <c r="R7055" s="894">
        <f t="shared" si="516"/>
        <v>0</v>
      </c>
    </row>
    <row r="7056" spans="1:18">
      <c r="A7056" s="905"/>
      <c r="B7056" s="906"/>
      <c r="C7056" s="907">
        <v>89</v>
      </c>
      <c r="D7056" s="907" t="s">
        <v>279</v>
      </c>
      <c r="E7056" s="925" t="s">
        <v>5984</v>
      </c>
      <c r="F7056" s="926" t="s">
        <v>45</v>
      </c>
      <c r="G7056" s="910"/>
      <c r="H7056" s="911">
        <v>0.1</v>
      </c>
      <c r="I7056" s="912">
        <f>VLOOKUP(E7056,[3]VLP!$B$7:$K$300,10,0)</f>
        <v>1000</v>
      </c>
      <c r="J7056" s="912">
        <f t="shared" si="518"/>
        <v>100</v>
      </c>
      <c r="K7056" s="912" t="s">
        <v>274</v>
      </c>
      <c r="L7056" s="912"/>
      <c r="M7056" s="912"/>
      <c r="N7056" s="912"/>
      <c r="O7056" s="892">
        <f t="shared" si="513"/>
        <v>0</v>
      </c>
      <c r="P7056" s="903">
        <f t="shared" si="514"/>
        <v>1</v>
      </c>
      <c r="Q7056" s="893">
        <f t="shared" si="515"/>
        <v>4</v>
      </c>
      <c r="R7056" s="894">
        <f t="shared" si="516"/>
        <v>0</v>
      </c>
    </row>
    <row r="7057" spans="1:18">
      <c r="A7057" s="905"/>
      <c r="B7057" s="906"/>
      <c r="C7057" s="907">
        <v>699</v>
      </c>
      <c r="D7057" s="907" t="s">
        <v>279</v>
      </c>
      <c r="E7057" s="925" t="s">
        <v>4006</v>
      </c>
      <c r="F7057" s="926" t="s">
        <v>4007</v>
      </c>
      <c r="G7057" s="910"/>
      <c r="H7057" s="911">
        <v>5</v>
      </c>
      <c r="I7057" s="912">
        <f>VLOOKUP(E7057,[3]VLP!$B$7:$K$300,10,0)</f>
        <v>5000</v>
      </c>
      <c r="J7057" s="912">
        <f t="shared" si="518"/>
        <v>25000</v>
      </c>
      <c r="K7057" s="912" t="s">
        <v>274</v>
      </c>
      <c r="L7057" s="912"/>
      <c r="M7057" s="912"/>
      <c r="N7057" s="912"/>
      <c r="O7057" s="892">
        <f t="shared" si="513"/>
        <v>0</v>
      </c>
      <c r="P7057" s="903">
        <f t="shared" si="514"/>
        <v>1</v>
      </c>
      <c r="Q7057" s="893">
        <f t="shared" si="515"/>
        <v>3</v>
      </c>
      <c r="R7057" s="894">
        <f t="shared" si="516"/>
        <v>0</v>
      </c>
    </row>
    <row r="7058" spans="1:18" s="904" customFormat="1">
      <c r="A7058" s="895"/>
      <c r="B7058" s="896"/>
      <c r="C7058" s="897"/>
      <c r="D7058" s="897"/>
      <c r="E7058" s="924" t="s">
        <v>276</v>
      </c>
      <c r="F7058" s="927"/>
      <c r="G7058" s="928"/>
      <c r="H7058" s="901"/>
      <c r="I7058" s="902"/>
      <c r="J7058" s="902"/>
      <c r="K7058" s="912" t="s">
        <v>274</v>
      </c>
      <c r="L7058" s="902"/>
      <c r="M7058" s="902"/>
      <c r="N7058" s="902"/>
      <c r="O7058" s="892">
        <f t="shared" si="513"/>
        <v>0</v>
      </c>
      <c r="P7058" s="903">
        <f t="shared" si="514"/>
        <v>1</v>
      </c>
      <c r="Q7058" s="893">
        <f t="shared" si="515"/>
        <v>2</v>
      </c>
      <c r="R7058" s="894">
        <f t="shared" si="516"/>
        <v>0</v>
      </c>
    </row>
    <row r="7059" spans="1:18">
      <c r="A7059" s="905"/>
      <c r="B7059" s="906"/>
      <c r="C7059" s="907">
        <v>745</v>
      </c>
      <c r="D7059" s="907" t="s">
        <v>12</v>
      </c>
      <c r="E7059" s="908" t="s">
        <v>5518</v>
      </c>
      <c r="F7059" s="909" t="s">
        <v>2674</v>
      </c>
      <c r="G7059" s="910"/>
      <c r="H7059" s="911">
        <v>15.66</v>
      </c>
      <c r="I7059" s="912"/>
      <c r="J7059" s="912"/>
      <c r="K7059" s="912">
        <f>VLOOKUP(E7059,[5]ĐMNC!$A$7:$F$67,4,0)</f>
        <v>240557</v>
      </c>
      <c r="L7059" s="912">
        <f>H7059*K7059</f>
        <v>3767122.62</v>
      </c>
      <c r="M7059" s="912"/>
      <c r="N7059" s="912"/>
      <c r="O7059" s="892">
        <f t="shared" si="513"/>
        <v>0</v>
      </c>
      <c r="P7059" s="903">
        <f t="shared" si="514"/>
        <v>1</v>
      </c>
      <c r="Q7059" s="893">
        <f t="shared" si="515"/>
        <v>1</v>
      </c>
      <c r="R7059" s="894">
        <f t="shared" si="516"/>
        <v>0</v>
      </c>
    </row>
    <row r="7060" spans="1:18" s="847" customFormat="1" ht="35.25" customHeight="1">
      <c r="A7060" s="905"/>
      <c r="B7060" s="914" t="s">
        <v>6067</v>
      </c>
      <c r="C7060" s="915"/>
      <c r="D7060" s="915"/>
      <c r="E7060" s="916" t="s">
        <v>6068</v>
      </c>
      <c r="F7060" s="917" t="s">
        <v>6064</v>
      </c>
      <c r="G7060" s="944"/>
      <c r="H7060" s="919"/>
      <c r="I7060" s="920"/>
      <c r="J7060" s="891">
        <f>SUM(J7061:J7073)</f>
        <v>756415</v>
      </c>
      <c r="K7060" s="891"/>
      <c r="L7060" s="891">
        <f>SUM(L7061:L7073)</f>
        <v>4159230.53</v>
      </c>
      <c r="M7060" s="891"/>
      <c r="N7060" s="891">
        <f>SUM(N7061:N7073)</f>
        <v>0</v>
      </c>
      <c r="O7060" s="892">
        <f t="shared" si="513"/>
        <v>1</v>
      </c>
      <c r="P7060" s="903">
        <f t="shared" si="514"/>
        <v>0</v>
      </c>
      <c r="Q7060" s="893">
        <f t="shared" si="515"/>
        <v>0</v>
      </c>
      <c r="R7060" s="894">
        <f t="shared" si="516"/>
        <v>13</v>
      </c>
    </row>
    <row r="7061" spans="1:18" s="904" customFormat="1">
      <c r="A7061" s="895"/>
      <c r="B7061" s="896"/>
      <c r="C7061" s="897"/>
      <c r="D7061" s="897"/>
      <c r="E7061" s="898" t="s">
        <v>108</v>
      </c>
      <c r="F7061" s="899"/>
      <c r="G7061" s="928"/>
      <c r="H7061" s="901"/>
      <c r="I7061" s="902"/>
      <c r="J7061" s="902"/>
      <c r="K7061" s="912" t="s">
        <v>274</v>
      </c>
      <c r="L7061" s="902"/>
      <c r="M7061" s="902"/>
      <c r="N7061" s="902"/>
      <c r="O7061" s="892">
        <f t="shared" si="513"/>
        <v>0</v>
      </c>
      <c r="P7061" s="903">
        <f t="shared" si="514"/>
        <v>1</v>
      </c>
      <c r="Q7061" s="893">
        <f t="shared" si="515"/>
        <v>13</v>
      </c>
      <c r="R7061" s="894">
        <f t="shared" si="516"/>
        <v>0</v>
      </c>
    </row>
    <row r="7062" spans="1:18">
      <c r="A7062" s="905"/>
      <c r="B7062" s="906"/>
      <c r="C7062" s="907">
        <v>49</v>
      </c>
      <c r="D7062" s="907" t="s">
        <v>279</v>
      </c>
      <c r="E7062" s="925" t="s">
        <v>5698</v>
      </c>
      <c r="F7062" s="909" t="s">
        <v>139</v>
      </c>
      <c r="G7062" s="910"/>
      <c r="H7062" s="911">
        <v>2</v>
      </c>
      <c r="I7062" s="912">
        <f>VLOOKUP(E7062,[3]VLP!$B$7:$K$300,10,0)</f>
        <v>3000</v>
      </c>
      <c r="J7062" s="912">
        <f t="shared" ref="J7062:J7071" si="519">I7062*H7062</f>
        <v>6000</v>
      </c>
      <c r="K7062" s="912" t="s">
        <v>274</v>
      </c>
      <c r="L7062" s="912"/>
      <c r="M7062" s="912"/>
      <c r="N7062" s="912"/>
      <c r="O7062" s="892">
        <f t="shared" si="513"/>
        <v>0</v>
      </c>
      <c r="P7062" s="903">
        <f t="shared" si="514"/>
        <v>1</v>
      </c>
      <c r="Q7062" s="893">
        <f t="shared" si="515"/>
        <v>12</v>
      </c>
      <c r="R7062" s="894">
        <f t="shared" si="516"/>
        <v>0</v>
      </c>
    </row>
    <row r="7063" spans="1:18">
      <c r="A7063" s="905"/>
      <c r="B7063" s="906"/>
      <c r="C7063" s="907">
        <v>50</v>
      </c>
      <c r="D7063" s="907" t="s">
        <v>279</v>
      </c>
      <c r="E7063" s="925" t="s">
        <v>5836</v>
      </c>
      <c r="F7063" s="909" t="s">
        <v>49</v>
      </c>
      <c r="G7063" s="910"/>
      <c r="H7063" s="911">
        <v>4</v>
      </c>
      <c r="I7063" s="912">
        <f>VLOOKUP(E7063,[3]VLP!$B$7:$K$300,10,0)</f>
        <v>85790</v>
      </c>
      <c r="J7063" s="912">
        <f t="shared" si="519"/>
        <v>343160</v>
      </c>
      <c r="K7063" s="912" t="s">
        <v>274</v>
      </c>
      <c r="L7063" s="912"/>
      <c r="M7063" s="912"/>
      <c r="N7063" s="912"/>
      <c r="O7063" s="892">
        <f t="shared" si="513"/>
        <v>0</v>
      </c>
      <c r="P7063" s="903">
        <f t="shared" si="514"/>
        <v>1</v>
      </c>
      <c r="Q7063" s="893">
        <f t="shared" si="515"/>
        <v>11</v>
      </c>
      <c r="R7063" s="894">
        <f t="shared" si="516"/>
        <v>0</v>
      </c>
    </row>
    <row r="7064" spans="1:18">
      <c r="A7064" s="905"/>
      <c r="B7064" s="906"/>
      <c r="C7064" s="907">
        <v>46</v>
      </c>
      <c r="D7064" s="907" t="s">
        <v>279</v>
      </c>
      <c r="E7064" s="925" t="s">
        <v>3179</v>
      </c>
      <c r="F7064" s="909" t="s">
        <v>45</v>
      </c>
      <c r="G7064" s="910"/>
      <c r="H7064" s="911">
        <v>15</v>
      </c>
      <c r="I7064" s="912">
        <f>VLOOKUP(E7064,[3]VLP!$B$7:$K$300,10,0)</f>
        <v>20500</v>
      </c>
      <c r="J7064" s="912">
        <f t="shared" si="519"/>
        <v>307500</v>
      </c>
      <c r="K7064" s="912" t="s">
        <v>274</v>
      </c>
      <c r="L7064" s="912"/>
      <c r="M7064" s="912"/>
      <c r="N7064" s="912"/>
      <c r="O7064" s="892">
        <f t="shared" si="513"/>
        <v>0</v>
      </c>
      <c r="P7064" s="903">
        <f t="shared" si="514"/>
        <v>1</v>
      </c>
      <c r="Q7064" s="893">
        <f t="shared" si="515"/>
        <v>10</v>
      </c>
      <c r="R7064" s="894">
        <f t="shared" si="516"/>
        <v>0</v>
      </c>
    </row>
    <row r="7065" spans="1:18">
      <c r="A7065" s="905"/>
      <c r="B7065" s="906"/>
      <c r="C7065" s="907">
        <v>25</v>
      </c>
      <c r="D7065" s="907" t="s">
        <v>279</v>
      </c>
      <c r="E7065" s="925" t="s">
        <v>5656</v>
      </c>
      <c r="F7065" s="926" t="s">
        <v>2690</v>
      </c>
      <c r="G7065" s="910"/>
      <c r="H7065" s="911">
        <v>2</v>
      </c>
      <c r="I7065" s="912">
        <f>VLOOKUP(E7065,[3]VLP!$B$7:$K$300,10,0)</f>
        <v>5000</v>
      </c>
      <c r="J7065" s="912">
        <f t="shared" si="519"/>
        <v>10000</v>
      </c>
      <c r="K7065" s="912" t="s">
        <v>274</v>
      </c>
      <c r="L7065" s="912"/>
      <c r="M7065" s="912"/>
      <c r="N7065" s="912"/>
      <c r="O7065" s="892">
        <f t="shared" si="513"/>
        <v>0</v>
      </c>
      <c r="P7065" s="903">
        <f t="shared" si="514"/>
        <v>1</v>
      </c>
      <c r="Q7065" s="893">
        <f t="shared" si="515"/>
        <v>9</v>
      </c>
      <c r="R7065" s="894">
        <f t="shared" si="516"/>
        <v>0</v>
      </c>
    </row>
    <row r="7066" spans="1:18">
      <c r="A7066" s="905"/>
      <c r="B7066" s="906"/>
      <c r="C7066" s="907">
        <v>127</v>
      </c>
      <c r="D7066" s="907" t="s">
        <v>279</v>
      </c>
      <c r="E7066" s="925" t="s">
        <v>5657</v>
      </c>
      <c r="F7066" s="909" t="s">
        <v>45</v>
      </c>
      <c r="G7066" s="910"/>
      <c r="H7066" s="911">
        <v>1</v>
      </c>
      <c r="I7066" s="912">
        <f>VLOOKUP(E7066,[3]VLP!$B$7:$K$300,10,0)</f>
        <v>25155</v>
      </c>
      <c r="J7066" s="912">
        <f t="shared" si="519"/>
        <v>25155</v>
      </c>
      <c r="K7066" s="912" t="s">
        <v>274</v>
      </c>
      <c r="L7066" s="912"/>
      <c r="M7066" s="912"/>
      <c r="N7066" s="912"/>
      <c r="O7066" s="892">
        <f t="shared" si="513"/>
        <v>0</v>
      </c>
      <c r="P7066" s="903">
        <f t="shared" si="514"/>
        <v>1</v>
      </c>
      <c r="Q7066" s="893">
        <f t="shared" si="515"/>
        <v>8</v>
      </c>
      <c r="R7066" s="894">
        <f t="shared" si="516"/>
        <v>0</v>
      </c>
    </row>
    <row r="7067" spans="1:18">
      <c r="A7067" s="905"/>
      <c r="B7067" s="906"/>
      <c r="C7067" s="907">
        <v>44</v>
      </c>
      <c r="D7067" s="907" t="s">
        <v>279</v>
      </c>
      <c r="E7067" s="925" t="s">
        <v>2681</v>
      </c>
      <c r="F7067" s="926" t="s">
        <v>45</v>
      </c>
      <c r="G7067" s="910"/>
      <c r="H7067" s="911">
        <v>1</v>
      </c>
      <c r="I7067" s="912">
        <f>VLOOKUP(E7067,[3]VLP!$B$7:$K$300,10,0)</f>
        <v>23000</v>
      </c>
      <c r="J7067" s="912">
        <f t="shared" si="519"/>
        <v>23000</v>
      </c>
      <c r="K7067" s="912" t="s">
        <v>274</v>
      </c>
      <c r="L7067" s="912"/>
      <c r="M7067" s="912"/>
      <c r="N7067" s="912"/>
      <c r="O7067" s="892">
        <f t="shared" si="513"/>
        <v>0</v>
      </c>
      <c r="P7067" s="903">
        <f t="shared" si="514"/>
        <v>1</v>
      </c>
      <c r="Q7067" s="893">
        <f t="shared" si="515"/>
        <v>7</v>
      </c>
      <c r="R7067" s="894">
        <f t="shared" si="516"/>
        <v>0</v>
      </c>
    </row>
    <row r="7068" spans="1:18">
      <c r="A7068" s="905"/>
      <c r="B7068" s="906"/>
      <c r="C7068" s="907">
        <v>66</v>
      </c>
      <c r="D7068" s="907" t="s">
        <v>279</v>
      </c>
      <c r="E7068" s="925" t="s">
        <v>2682</v>
      </c>
      <c r="F7068" s="926" t="s">
        <v>45</v>
      </c>
      <c r="G7068" s="910"/>
      <c r="H7068" s="911">
        <v>0.5</v>
      </c>
      <c r="I7068" s="912">
        <f>VLOOKUP(E7068,[3]VLP!$B$7:$K$300,10,0)</f>
        <v>5000</v>
      </c>
      <c r="J7068" s="912">
        <f t="shared" si="519"/>
        <v>2500</v>
      </c>
      <c r="K7068" s="912" t="s">
        <v>274</v>
      </c>
      <c r="L7068" s="912"/>
      <c r="M7068" s="912"/>
      <c r="N7068" s="912"/>
      <c r="O7068" s="892">
        <f t="shared" si="513"/>
        <v>0</v>
      </c>
      <c r="P7068" s="903">
        <f t="shared" si="514"/>
        <v>1</v>
      </c>
      <c r="Q7068" s="893">
        <f t="shared" si="515"/>
        <v>6</v>
      </c>
      <c r="R7068" s="894">
        <f t="shared" si="516"/>
        <v>0</v>
      </c>
    </row>
    <row r="7069" spans="1:18">
      <c r="A7069" s="905"/>
      <c r="B7069" s="906"/>
      <c r="C7069" s="907">
        <v>65</v>
      </c>
      <c r="D7069" s="907" t="s">
        <v>279</v>
      </c>
      <c r="E7069" s="925" t="s">
        <v>5983</v>
      </c>
      <c r="F7069" s="926" t="s">
        <v>3144</v>
      </c>
      <c r="G7069" s="910"/>
      <c r="H7069" s="911">
        <v>1</v>
      </c>
      <c r="I7069" s="912">
        <f>VLOOKUP(E7069,[3]VLP!$B$7:$K$300,10,0)</f>
        <v>14000</v>
      </c>
      <c r="J7069" s="912">
        <f t="shared" si="519"/>
        <v>14000</v>
      </c>
      <c r="K7069" s="912" t="s">
        <v>274</v>
      </c>
      <c r="L7069" s="912"/>
      <c r="M7069" s="912"/>
      <c r="N7069" s="912"/>
      <c r="O7069" s="892">
        <f t="shared" si="513"/>
        <v>0</v>
      </c>
      <c r="P7069" s="903">
        <f t="shared" si="514"/>
        <v>1</v>
      </c>
      <c r="Q7069" s="893">
        <f t="shared" si="515"/>
        <v>5</v>
      </c>
      <c r="R7069" s="894">
        <f t="shared" si="516"/>
        <v>0</v>
      </c>
    </row>
    <row r="7070" spans="1:18">
      <c r="A7070" s="905"/>
      <c r="B7070" s="906"/>
      <c r="C7070" s="907">
        <v>89</v>
      </c>
      <c r="D7070" s="907" t="s">
        <v>279</v>
      </c>
      <c r="E7070" s="925" t="s">
        <v>5984</v>
      </c>
      <c r="F7070" s="926" t="s">
        <v>45</v>
      </c>
      <c r="G7070" s="910"/>
      <c r="H7070" s="911">
        <v>0.1</v>
      </c>
      <c r="I7070" s="912">
        <f>VLOOKUP(E7070,[3]VLP!$B$7:$K$300,10,0)</f>
        <v>1000</v>
      </c>
      <c r="J7070" s="912">
        <f t="shared" si="519"/>
        <v>100</v>
      </c>
      <c r="K7070" s="912" t="s">
        <v>274</v>
      </c>
      <c r="L7070" s="912"/>
      <c r="M7070" s="912"/>
      <c r="N7070" s="912"/>
      <c r="O7070" s="892">
        <f t="shared" si="513"/>
        <v>0</v>
      </c>
      <c r="P7070" s="903">
        <f t="shared" si="514"/>
        <v>1</v>
      </c>
      <c r="Q7070" s="893">
        <f t="shared" si="515"/>
        <v>4</v>
      </c>
      <c r="R7070" s="894">
        <f t="shared" si="516"/>
        <v>0</v>
      </c>
    </row>
    <row r="7071" spans="1:18">
      <c r="A7071" s="905"/>
      <c r="B7071" s="906"/>
      <c r="C7071" s="907">
        <v>699</v>
      </c>
      <c r="D7071" s="907" t="s">
        <v>279</v>
      </c>
      <c r="E7071" s="925" t="s">
        <v>4006</v>
      </c>
      <c r="F7071" s="926" t="s">
        <v>4007</v>
      </c>
      <c r="G7071" s="910"/>
      <c r="H7071" s="911">
        <v>5</v>
      </c>
      <c r="I7071" s="912">
        <f>VLOOKUP(E7071,[3]VLP!$B$7:$K$300,10,0)</f>
        <v>5000</v>
      </c>
      <c r="J7071" s="912">
        <f t="shared" si="519"/>
        <v>25000</v>
      </c>
      <c r="K7071" s="912" t="s">
        <v>274</v>
      </c>
      <c r="L7071" s="912"/>
      <c r="M7071" s="912"/>
      <c r="N7071" s="912"/>
      <c r="O7071" s="892">
        <f t="shared" ref="O7071:O7134" si="520">IF(AND(B7071&lt;&gt;"",D7071=""),1,0)</f>
        <v>0</v>
      </c>
      <c r="P7071" s="903">
        <f t="shared" si="514"/>
        <v>1</v>
      </c>
      <c r="Q7071" s="893">
        <f t="shared" si="515"/>
        <v>3</v>
      </c>
      <c r="R7071" s="894">
        <f t="shared" si="516"/>
        <v>0</v>
      </c>
    </row>
    <row r="7072" spans="1:18" s="904" customFormat="1">
      <c r="A7072" s="895"/>
      <c r="B7072" s="896"/>
      <c r="C7072" s="897"/>
      <c r="D7072" s="897"/>
      <c r="E7072" s="924" t="s">
        <v>276</v>
      </c>
      <c r="F7072" s="927"/>
      <c r="G7072" s="928"/>
      <c r="H7072" s="901"/>
      <c r="I7072" s="902"/>
      <c r="J7072" s="902"/>
      <c r="K7072" s="912" t="s">
        <v>274</v>
      </c>
      <c r="L7072" s="902"/>
      <c r="M7072" s="902"/>
      <c r="N7072" s="902"/>
      <c r="O7072" s="892">
        <f t="shared" si="520"/>
        <v>0</v>
      </c>
      <c r="P7072" s="903">
        <f t="shared" si="514"/>
        <v>1</v>
      </c>
      <c r="Q7072" s="893">
        <f t="shared" si="515"/>
        <v>2</v>
      </c>
      <c r="R7072" s="894">
        <f t="shared" si="516"/>
        <v>0</v>
      </c>
    </row>
    <row r="7073" spans="1:18">
      <c r="A7073" s="905"/>
      <c r="B7073" s="906"/>
      <c r="C7073" s="907">
        <v>745</v>
      </c>
      <c r="D7073" s="907" t="s">
        <v>12</v>
      </c>
      <c r="E7073" s="908" t="s">
        <v>5518</v>
      </c>
      <c r="F7073" s="909" t="s">
        <v>2674</v>
      </c>
      <c r="G7073" s="910"/>
      <c r="H7073" s="911">
        <v>17.29</v>
      </c>
      <c r="I7073" s="912"/>
      <c r="J7073" s="912"/>
      <c r="K7073" s="912">
        <f>VLOOKUP(E7073,[5]ĐMNC!$A$7:$F$67,4,0)</f>
        <v>240557</v>
      </c>
      <c r="L7073" s="912">
        <f>H7073*K7073</f>
        <v>4159230.53</v>
      </c>
      <c r="M7073" s="912"/>
      <c r="N7073" s="912"/>
      <c r="O7073" s="892">
        <f t="shared" si="520"/>
        <v>0</v>
      </c>
      <c r="P7073" s="903">
        <f t="shared" si="514"/>
        <v>1</v>
      </c>
      <c r="Q7073" s="893">
        <f t="shared" si="515"/>
        <v>1</v>
      </c>
      <c r="R7073" s="894">
        <f t="shared" si="516"/>
        <v>0</v>
      </c>
    </row>
    <row r="7074" spans="1:18" s="847" customFormat="1" ht="35.25" customHeight="1">
      <c r="A7074" s="905"/>
      <c r="B7074" s="914" t="s">
        <v>6069</v>
      </c>
      <c r="C7074" s="915"/>
      <c r="D7074" s="915"/>
      <c r="E7074" s="916" t="s">
        <v>6070</v>
      </c>
      <c r="F7074" s="917" t="s">
        <v>6064</v>
      </c>
      <c r="G7074" s="944"/>
      <c r="H7074" s="919"/>
      <c r="I7074" s="920"/>
      <c r="J7074" s="891">
        <f>SUM(J7075:J7087)</f>
        <v>825465</v>
      </c>
      <c r="K7074" s="891"/>
      <c r="L7074" s="891">
        <f>SUM(L7075:L7087)</f>
        <v>4539310.59</v>
      </c>
      <c r="M7074" s="891"/>
      <c r="N7074" s="891">
        <f>SUM(N7075:N7087)</f>
        <v>0</v>
      </c>
      <c r="O7074" s="892">
        <f t="shared" si="520"/>
        <v>1</v>
      </c>
      <c r="P7074" s="903">
        <f t="shared" si="514"/>
        <v>0</v>
      </c>
      <c r="Q7074" s="893">
        <f t="shared" si="515"/>
        <v>0</v>
      </c>
      <c r="R7074" s="894">
        <f t="shared" si="516"/>
        <v>13</v>
      </c>
    </row>
    <row r="7075" spans="1:18" s="904" customFormat="1">
      <c r="A7075" s="895"/>
      <c r="B7075" s="896"/>
      <c r="C7075" s="897"/>
      <c r="D7075" s="897"/>
      <c r="E7075" s="898" t="s">
        <v>108</v>
      </c>
      <c r="F7075" s="899"/>
      <c r="G7075" s="928"/>
      <c r="H7075" s="901"/>
      <c r="I7075" s="902"/>
      <c r="J7075" s="902"/>
      <c r="K7075" s="912" t="s">
        <v>274</v>
      </c>
      <c r="L7075" s="902"/>
      <c r="M7075" s="902"/>
      <c r="N7075" s="902"/>
      <c r="O7075" s="892">
        <f t="shared" si="520"/>
        <v>0</v>
      </c>
      <c r="P7075" s="903">
        <f t="shared" si="514"/>
        <v>1</v>
      </c>
      <c r="Q7075" s="893">
        <f t="shared" si="515"/>
        <v>13</v>
      </c>
      <c r="R7075" s="894">
        <f t="shared" si="516"/>
        <v>0</v>
      </c>
    </row>
    <row r="7076" spans="1:18">
      <c r="A7076" s="905"/>
      <c r="B7076" s="906"/>
      <c r="C7076" s="907">
        <v>49</v>
      </c>
      <c r="D7076" s="907" t="s">
        <v>279</v>
      </c>
      <c r="E7076" s="925" t="s">
        <v>5698</v>
      </c>
      <c r="F7076" s="909" t="s">
        <v>139</v>
      </c>
      <c r="G7076" s="910"/>
      <c r="H7076" s="911">
        <v>2</v>
      </c>
      <c r="I7076" s="912">
        <f>VLOOKUP(E7076,[3]VLP!$B$7:$K$300,10,0)</f>
        <v>3000</v>
      </c>
      <c r="J7076" s="912">
        <f t="shared" ref="J7076:J7085" si="521">I7076*H7076</f>
        <v>6000</v>
      </c>
      <c r="K7076" s="912" t="s">
        <v>274</v>
      </c>
      <c r="L7076" s="912"/>
      <c r="M7076" s="912"/>
      <c r="N7076" s="912"/>
      <c r="O7076" s="892">
        <f t="shared" si="520"/>
        <v>0</v>
      </c>
      <c r="P7076" s="903">
        <f t="shared" si="514"/>
        <v>1</v>
      </c>
      <c r="Q7076" s="893">
        <f t="shared" si="515"/>
        <v>12</v>
      </c>
      <c r="R7076" s="894">
        <f t="shared" si="516"/>
        <v>0</v>
      </c>
    </row>
    <row r="7077" spans="1:18">
      <c r="A7077" s="905"/>
      <c r="B7077" s="906"/>
      <c r="C7077" s="907">
        <v>50</v>
      </c>
      <c r="D7077" s="907" t="s">
        <v>279</v>
      </c>
      <c r="E7077" s="925" t="s">
        <v>5836</v>
      </c>
      <c r="F7077" s="909" t="s">
        <v>49</v>
      </c>
      <c r="G7077" s="910"/>
      <c r="H7077" s="911">
        <v>4</v>
      </c>
      <c r="I7077" s="912">
        <f>VLOOKUP(E7077,[3]VLP!$B$7:$K$300,10,0)</f>
        <v>85790</v>
      </c>
      <c r="J7077" s="912">
        <f t="shared" si="521"/>
        <v>343160</v>
      </c>
      <c r="K7077" s="912" t="s">
        <v>274</v>
      </c>
      <c r="L7077" s="912"/>
      <c r="M7077" s="912"/>
      <c r="N7077" s="912"/>
      <c r="O7077" s="892">
        <f t="shared" si="520"/>
        <v>0</v>
      </c>
      <c r="P7077" s="903">
        <f t="shared" si="514"/>
        <v>1</v>
      </c>
      <c r="Q7077" s="893">
        <f t="shared" si="515"/>
        <v>11</v>
      </c>
      <c r="R7077" s="894">
        <f t="shared" si="516"/>
        <v>0</v>
      </c>
    </row>
    <row r="7078" spans="1:18">
      <c r="A7078" s="905"/>
      <c r="B7078" s="906"/>
      <c r="C7078" s="907">
        <v>46</v>
      </c>
      <c r="D7078" s="907" t="s">
        <v>279</v>
      </c>
      <c r="E7078" s="925" t="s">
        <v>3179</v>
      </c>
      <c r="F7078" s="909" t="s">
        <v>45</v>
      </c>
      <c r="G7078" s="910"/>
      <c r="H7078" s="911">
        <v>18</v>
      </c>
      <c r="I7078" s="912">
        <f>VLOOKUP(E7078,[3]VLP!$B$7:$K$300,10,0)</f>
        <v>20500</v>
      </c>
      <c r="J7078" s="912">
        <f t="shared" si="521"/>
        <v>369000</v>
      </c>
      <c r="K7078" s="912" t="s">
        <v>274</v>
      </c>
      <c r="L7078" s="912"/>
      <c r="M7078" s="912"/>
      <c r="N7078" s="912"/>
      <c r="O7078" s="892">
        <f t="shared" si="520"/>
        <v>0</v>
      </c>
      <c r="P7078" s="903">
        <f t="shared" si="514"/>
        <v>1</v>
      </c>
      <c r="Q7078" s="893">
        <f t="shared" si="515"/>
        <v>10</v>
      </c>
      <c r="R7078" s="894">
        <f t="shared" si="516"/>
        <v>0</v>
      </c>
    </row>
    <row r="7079" spans="1:18">
      <c r="A7079" s="905"/>
      <c r="B7079" s="906"/>
      <c r="C7079" s="907">
        <v>25</v>
      </c>
      <c r="D7079" s="907" t="s">
        <v>279</v>
      </c>
      <c r="E7079" s="925" t="s">
        <v>5656</v>
      </c>
      <c r="F7079" s="926" t="s">
        <v>2690</v>
      </c>
      <c r="G7079" s="910"/>
      <c r="H7079" s="911">
        <v>3</v>
      </c>
      <c r="I7079" s="912">
        <f>VLOOKUP(E7079,[3]VLP!$B$7:$K$300,10,0)</f>
        <v>5000</v>
      </c>
      <c r="J7079" s="912">
        <f t="shared" si="521"/>
        <v>15000</v>
      </c>
      <c r="K7079" s="912" t="s">
        <v>274</v>
      </c>
      <c r="L7079" s="912"/>
      <c r="M7079" s="912"/>
      <c r="N7079" s="912"/>
      <c r="O7079" s="892">
        <f t="shared" si="520"/>
        <v>0</v>
      </c>
      <c r="P7079" s="903">
        <f t="shared" si="514"/>
        <v>1</v>
      </c>
      <c r="Q7079" s="893">
        <f t="shared" si="515"/>
        <v>9</v>
      </c>
      <c r="R7079" s="894">
        <f t="shared" si="516"/>
        <v>0</v>
      </c>
    </row>
    <row r="7080" spans="1:18">
      <c r="A7080" s="905"/>
      <c r="B7080" s="906"/>
      <c r="C7080" s="907">
        <v>127</v>
      </c>
      <c r="D7080" s="907" t="s">
        <v>279</v>
      </c>
      <c r="E7080" s="925" t="s">
        <v>5657</v>
      </c>
      <c r="F7080" s="909" t="s">
        <v>45</v>
      </c>
      <c r="G7080" s="910"/>
      <c r="H7080" s="911">
        <v>1</v>
      </c>
      <c r="I7080" s="912">
        <f>VLOOKUP(E7080,[3]VLP!$B$7:$K$300,10,0)</f>
        <v>25155</v>
      </c>
      <c r="J7080" s="912">
        <f t="shared" si="521"/>
        <v>25155</v>
      </c>
      <c r="K7080" s="912" t="s">
        <v>274</v>
      </c>
      <c r="L7080" s="912"/>
      <c r="M7080" s="912"/>
      <c r="N7080" s="912"/>
      <c r="O7080" s="892">
        <f t="shared" si="520"/>
        <v>0</v>
      </c>
      <c r="P7080" s="903">
        <f t="shared" ref="P7080:P7143" si="522">IF(O7080=0,1,0)</f>
        <v>1</v>
      </c>
      <c r="Q7080" s="893">
        <f t="shared" ref="Q7080:Q7143" si="523">IF(P7080=0,0,P7080+Q7081)</f>
        <v>8</v>
      </c>
      <c r="R7080" s="894">
        <f t="shared" ref="R7080:R7143" si="524">IF(Q7080=0,Q7081,0)</f>
        <v>0</v>
      </c>
    </row>
    <row r="7081" spans="1:18">
      <c r="A7081" s="905"/>
      <c r="B7081" s="906"/>
      <c r="C7081" s="907">
        <v>44</v>
      </c>
      <c r="D7081" s="907" t="s">
        <v>279</v>
      </c>
      <c r="E7081" s="925" t="s">
        <v>2681</v>
      </c>
      <c r="F7081" s="926" t="s">
        <v>45</v>
      </c>
      <c r="G7081" s="910"/>
      <c r="H7081" s="911">
        <v>1</v>
      </c>
      <c r="I7081" s="912">
        <f>VLOOKUP(E7081,[3]VLP!$B$7:$K$300,10,0)</f>
        <v>23000</v>
      </c>
      <c r="J7081" s="912">
        <f t="shared" si="521"/>
        <v>23000</v>
      </c>
      <c r="K7081" s="912" t="s">
        <v>274</v>
      </c>
      <c r="L7081" s="912"/>
      <c r="M7081" s="912"/>
      <c r="N7081" s="912"/>
      <c r="O7081" s="892">
        <f t="shared" si="520"/>
        <v>0</v>
      </c>
      <c r="P7081" s="903">
        <f t="shared" si="522"/>
        <v>1</v>
      </c>
      <c r="Q7081" s="893">
        <f t="shared" si="523"/>
        <v>7</v>
      </c>
      <c r="R7081" s="894">
        <f t="shared" si="524"/>
        <v>0</v>
      </c>
    </row>
    <row r="7082" spans="1:18">
      <c r="A7082" s="905"/>
      <c r="B7082" s="906"/>
      <c r="C7082" s="907">
        <v>66</v>
      </c>
      <c r="D7082" s="907" t="s">
        <v>279</v>
      </c>
      <c r="E7082" s="925" t="s">
        <v>2682</v>
      </c>
      <c r="F7082" s="926" t="s">
        <v>45</v>
      </c>
      <c r="G7082" s="910"/>
      <c r="H7082" s="911">
        <v>1</v>
      </c>
      <c r="I7082" s="912">
        <f>VLOOKUP(E7082,[3]VLP!$B$7:$K$300,10,0)</f>
        <v>5000</v>
      </c>
      <c r="J7082" s="912">
        <f t="shared" si="521"/>
        <v>5000</v>
      </c>
      <c r="K7082" s="912" t="s">
        <v>274</v>
      </c>
      <c r="L7082" s="912"/>
      <c r="M7082" s="912"/>
      <c r="N7082" s="912"/>
      <c r="O7082" s="892">
        <f t="shared" si="520"/>
        <v>0</v>
      </c>
      <c r="P7082" s="903">
        <f t="shared" si="522"/>
        <v>1</v>
      </c>
      <c r="Q7082" s="893">
        <f t="shared" si="523"/>
        <v>6</v>
      </c>
      <c r="R7082" s="894">
        <f t="shared" si="524"/>
        <v>0</v>
      </c>
    </row>
    <row r="7083" spans="1:18">
      <c r="A7083" s="905"/>
      <c r="B7083" s="906"/>
      <c r="C7083" s="907">
        <v>65</v>
      </c>
      <c r="D7083" s="907" t="s">
        <v>279</v>
      </c>
      <c r="E7083" s="925" t="s">
        <v>5983</v>
      </c>
      <c r="F7083" s="926" t="s">
        <v>3144</v>
      </c>
      <c r="G7083" s="910"/>
      <c r="H7083" s="911">
        <v>1</v>
      </c>
      <c r="I7083" s="912">
        <f>VLOOKUP(E7083,[3]VLP!$B$7:$K$300,10,0)</f>
        <v>14000</v>
      </c>
      <c r="J7083" s="912">
        <f t="shared" si="521"/>
        <v>14000</v>
      </c>
      <c r="K7083" s="912" t="s">
        <v>274</v>
      </c>
      <c r="L7083" s="912"/>
      <c r="M7083" s="912"/>
      <c r="N7083" s="912"/>
      <c r="O7083" s="892">
        <f t="shared" si="520"/>
        <v>0</v>
      </c>
      <c r="P7083" s="903">
        <f t="shared" si="522"/>
        <v>1</v>
      </c>
      <c r="Q7083" s="893">
        <f t="shared" si="523"/>
        <v>5</v>
      </c>
      <c r="R7083" s="894">
        <f t="shared" si="524"/>
        <v>0</v>
      </c>
    </row>
    <row r="7084" spans="1:18">
      <c r="A7084" s="905"/>
      <c r="B7084" s="906"/>
      <c r="C7084" s="907">
        <v>89</v>
      </c>
      <c r="D7084" s="907" t="s">
        <v>279</v>
      </c>
      <c r="E7084" s="925" t="s">
        <v>5984</v>
      </c>
      <c r="F7084" s="926" t="s">
        <v>45</v>
      </c>
      <c r="G7084" s="910"/>
      <c r="H7084" s="911">
        <v>0.15</v>
      </c>
      <c r="I7084" s="912">
        <f>VLOOKUP(E7084,[3]VLP!$B$7:$K$300,10,0)</f>
        <v>1000</v>
      </c>
      <c r="J7084" s="912">
        <f t="shared" si="521"/>
        <v>150</v>
      </c>
      <c r="K7084" s="912" t="s">
        <v>274</v>
      </c>
      <c r="L7084" s="912"/>
      <c r="M7084" s="912"/>
      <c r="N7084" s="912"/>
      <c r="O7084" s="892">
        <f t="shared" si="520"/>
        <v>0</v>
      </c>
      <c r="P7084" s="903">
        <f t="shared" si="522"/>
        <v>1</v>
      </c>
      <c r="Q7084" s="893">
        <f t="shared" si="523"/>
        <v>4</v>
      </c>
      <c r="R7084" s="894">
        <f t="shared" si="524"/>
        <v>0</v>
      </c>
    </row>
    <row r="7085" spans="1:18">
      <c r="A7085" s="905"/>
      <c r="B7085" s="906"/>
      <c r="C7085" s="907">
        <v>699</v>
      </c>
      <c r="D7085" s="907" t="s">
        <v>279</v>
      </c>
      <c r="E7085" s="925" t="s">
        <v>4006</v>
      </c>
      <c r="F7085" s="926" t="s">
        <v>4007</v>
      </c>
      <c r="G7085" s="910"/>
      <c r="H7085" s="911">
        <v>5</v>
      </c>
      <c r="I7085" s="912">
        <f>VLOOKUP(E7085,[3]VLP!$B$7:$K$300,10,0)</f>
        <v>5000</v>
      </c>
      <c r="J7085" s="912">
        <f t="shared" si="521"/>
        <v>25000</v>
      </c>
      <c r="K7085" s="912" t="s">
        <v>274</v>
      </c>
      <c r="L7085" s="912"/>
      <c r="M7085" s="912"/>
      <c r="N7085" s="912"/>
      <c r="O7085" s="892">
        <f t="shared" si="520"/>
        <v>0</v>
      </c>
      <c r="P7085" s="903">
        <f t="shared" si="522"/>
        <v>1</v>
      </c>
      <c r="Q7085" s="893">
        <f t="shared" si="523"/>
        <v>3</v>
      </c>
      <c r="R7085" s="894">
        <f t="shared" si="524"/>
        <v>0</v>
      </c>
    </row>
    <row r="7086" spans="1:18" s="904" customFormat="1">
      <c r="A7086" s="895"/>
      <c r="B7086" s="896"/>
      <c r="C7086" s="897"/>
      <c r="D7086" s="897"/>
      <c r="E7086" s="924" t="s">
        <v>276</v>
      </c>
      <c r="F7086" s="927"/>
      <c r="G7086" s="928"/>
      <c r="H7086" s="901"/>
      <c r="I7086" s="902"/>
      <c r="J7086" s="902"/>
      <c r="K7086" s="912" t="s">
        <v>274</v>
      </c>
      <c r="L7086" s="902"/>
      <c r="M7086" s="902"/>
      <c r="N7086" s="902"/>
      <c r="O7086" s="892">
        <f t="shared" si="520"/>
        <v>0</v>
      </c>
      <c r="P7086" s="903">
        <f t="shared" si="522"/>
        <v>1</v>
      </c>
      <c r="Q7086" s="893">
        <f t="shared" si="523"/>
        <v>2</v>
      </c>
      <c r="R7086" s="894">
        <f t="shared" si="524"/>
        <v>0</v>
      </c>
    </row>
    <row r="7087" spans="1:18">
      <c r="A7087" s="905"/>
      <c r="B7087" s="906"/>
      <c r="C7087" s="907">
        <v>745</v>
      </c>
      <c r="D7087" s="907" t="s">
        <v>12</v>
      </c>
      <c r="E7087" s="908" t="s">
        <v>5518</v>
      </c>
      <c r="F7087" s="909" t="s">
        <v>2674</v>
      </c>
      <c r="G7087" s="910"/>
      <c r="H7087" s="911">
        <v>18.87</v>
      </c>
      <c r="I7087" s="912"/>
      <c r="J7087" s="912"/>
      <c r="K7087" s="912">
        <f>VLOOKUP(E7087,[5]ĐMNC!$A$7:$F$67,4,0)</f>
        <v>240557</v>
      </c>
      <c r="L7087" s="912">
        <f>H7087*K7087</f>
        <v>4539310.59</v>
      </c>
      <c r="M7087" s="912"/>
      <c r="N7087" s="912"/>
      <c r="O7087" s="892">
        <f t="shared" si="520"/>
        <v>0</v>
      </c>
      <c r="P7087" s="903">
        <f t="shared" si="522"/>
        <v>1</v>
      </c>
      <c r="Q7087" s="893">
        <f t="shared" si="523"/>
        <v>1</v>
      </c>
      <c r="R7087" s="894">
        <f t="shared" si="524"/>
        <v>0</v>
      </c>
    </row>
    <row r="7088" spans="1:18" s="847" customFormat="1" ht="35.25" customHeight="1">
      <c r="A7088" s="905" t="s">
        <v>6044</v>
      </c>
      <c r="B7088" s="914" t="s">
        <v>6071</v>
      </c>
      <c r="C7088" s="915"/>
      <c r="D7088" s="915"/>
      <c r="E7088" s="916" t="s">
        <v>6072</v>
      </c>
      <c r="F7088" s="917" t="s">
        <v>6064</v>
      </c>
      <c r="G7088" s="944"/>
      <c r="H7088" s="919"/>
      <c r="I7088" s="920"/>
      <c r="J7088" s="891">
        <f>SUM(J7089:J7101)</f>
        <v>825465</v>
      </c>
      <c r="K7088" s="891"/>
      <c r="L7088" s="891">
        <f>SUM(L7089:L7101)</f>
        <v>5371637.8099999996</v>
      </c>
      <c r="M7088" s="891"/>
      <c r="N7088" s="891">
        <f>SUM(N7089:N7101)</f>
        <v>0</v>
      </c>
      <c r="O7088" s="892">
        <f t="shared" si="520"/>
        <v>1</v>
      </c>
      <c r="P7088" s="903">
        <f t="shared" si="522"/>
        <v>0</v>
      </c>
      <c r="Q7088" s="893">
        <f t="shared" si="523"/>
        <v>0</v>
      </c>
      <c r="R7088" s="894">
        <f t="shared" si="524"/>
        <v>13</v>
      </c>
    </row>
    <row r="7089" spans="1:18" s="904" customFormat="1">
      <c r="A7089" s="895"/>
      <c r="B7089" s="896"/>
      <c r="C7089" s="897"/>
      <c r="D7089" s="897"/>
      <c r="E7089" s="898" t="s">
        <v>108</v>
      </c>
      <c r="F7089" s="899"/>
      <c r="G7089" s="928"/>
      <c r="H7089" s="901"/>
      <c r="I7089" s="902"/>
      <c r="J7089" s="902"/>
      <c r="K7089" s="912" t="s">
        <v>274</v>
      </c>
      <c r="L7089" s="902"/>
      <c r="M7089" s="902"/>
      <c r="N7089" s="902"/>
      <c r="O7089" s="892">
        <f t="shared" si="520"/>
        <v>0</v>
      </c>
      <c r="P7089" s="903">
        <f t="shared" si="522"/>
        <v>1</v>
      </c>
      <c r="Q7089" s="893">
        <f t="shared" si="523"/>
        <v>13</v>
      </c>
      <c r="R7089" s="894">
        <f t="shared" si="524"/>
        <v>0</v>
      </c>
    </row>
    <row r="7090" spans="1:18">
      <c r="A7090" s="905"/>
      <c r="B7090" s="906"/>
      <c r="C7090" s="907">
        <v>49</v>
      </c>
      <c r="D7090" s="907" t="s">
        <v>279</v>
      </c>
      <c r="E7090" s="925" t="s">
        <v>5698</v>
      </c>
      <c r="F7090" s="909" t="s">
        <v>139</v>
      </c>
      <c r="G7090" s="910"/>
      <c r="H7090" s="911">
        <v>2</v>
      </c>
      <c r="I7090" s="912">
        <f>VLOOKUP(E7090,[3]VLP!$B$7:$K$300,10,0)</f>
        <v>3000</v>
      </c>
      <c r="J7090" s="912">
        <f t="shared" ref="J7090:J7099" si="525">I7090*H7090</f>
        <v>6000</v>
      </c>
      <c r="K7090" s="912" t="s">
        <v>274</v>
      </c>
      <c r="L7090" s="912"/>
      <c r="M7090" s="912"/>
      <c r="N7090" s="912"/>
      <c r="O7090" s="892">
        <f t="shared" si="520"/>
        <v>0</v>
      </c>
      <c r="P7090" s="903">
        <f t="shared" si="522"/>
        <v>1</v>
      </c>
      <c r="Q7090" s="893">
        <f t="shared" si="523"/>
        <v>12</v>
      </c>
      <c r="R7090" s="894">
        <f t="shared" si="524"/>
        <v>0</v>
      </c>
    </row>
    <row r="7091" spans="1:18">
      <c r="A7091" s="905"/>
      <c r="B7091" s="906"/>
      <c r="C7091" s="907">
        <v>50</v>
      </c>
      <c r="D7091" s="907" t="s">
        <v>279</v>
      </c>
      <c r="E7091" s="925" t="s">
        <v>5836</v>
      </c>
      <c r="F7091" s="909" t="s">
        <v>49</v>
      </c>
      <c r="G7091" s="910"/>
      <c r="H7091" s="911">
        <v>4</v>
      </c>
      <c r="I7091" s="912">
        <f>VLOOKUP(E7091,[3]VLP!$B$7:$K$300,10,0)</f>
        <v>85790</v>
      </c>
      <c r="J7091" s="912">
        <f t="shared" si="525"/>
        <v>343160</v>
      </c>
      <c r="K7091" s="912" t="s">
        <v>274</v>
      </c>
      <c r="L7091" s="912"/>
      <c r="M7091" s="912"/>
      <c r="N7091" s="912"/>
      <c r="O7091" s="892">
        <f t="shared" si="520"/>
        <v>0</v>
      </c>
      <c r="P7091" s="903">
        <f t="shared" si="522"/>
        <v>1</v>
      </c>
      <c r="Q7091" s="893">
        <f t="shared" si="523"/>
        <v>11</v>
      </c>
      <c r="R7091" s="894">
        <f t="shared" si="524"/>
        <v>0</v>
      </c>
    </row>
    <row r="7092" spans="1:18">
      <c r="A7092" s="905"/>
      <c r="B7092" s="906"/>
      <c r="C7092" s="907">
        <v>46</v>
      </c>
      <c r="D7092" s="907" t="s">
        <v>279</v>
      </c>
      <c r="E7092" s="925" t="s">
        <v>3179</v>
      </c>
      <c r="F7092" s="909" t="s">
        <v>45</v>
      </c>
      <c r="G7092" s="910"/>
      <c r="H7092" s="911">
        <v>18</v>
      </c>
      <c r="I7092" s="912">
        <f>VLOOKUP(E7092,[3]VLP!$B$7:$K$300,10,0)</f>
        <v>20500</v>
      </c>
      <c r="J7092" s="912">
        <f t="shared" si="525"/>
        <v>369000</v>
      </c>
      <c r="K7092" s="912" t="s">
        <v>274</v>
      </c>
      <c r="L7092" s="912"/>
      <c r="M7092" s="912"/>
      <c r="N7092" s="912"/>
      <c r="O7092" s="892">
        <f t="shared" si="520"/>
        <v>0</v>
      </c>
      <c r="P7092" s="903">
        <f t="shared" si="522"/>
        <v>1</v>
      </c>
      <c r="Q7092" s="893">
        <f t="shared" si="523"/>
        <v>10</v>
      </c>
      <c r="R7092" s="894">
        <f t="shared" si="524"/>
        <v>0</v>
      </c>
    </row>
    <row r="7093" spans="1:18">
      <c r="A7093" s="905"/>
      <c r="B7093" s="906"/>
      <c r="C7093" s="907">
        <v>25</v>
      </c>
      <c r="D7093" s="907" t="s">
        <v>279</v>
      </c>
      <c r="E7093" s="925" t="s">
        <v>5656</v>
      </c>
      <c r="F7093" s="926" t="s">
        <v>2690</v>
      </c>
      <c r="G7093" s="910"/>
      <c r="H7093" s="911">
        <v>3</v>
      </c>
      <c r="I7093" s="912">
        <f>VLOOKUP(E7093,[3]VLP!$B$7:$K$300,10,0)</f>
        <v>5000</v>
      </c>
      <c r="J7093" s="912">
        <f t="shared" si="525"/>
        <v>15000</v>
      </c>
      <c r="K7093" s="912" t="s">
        <v>274</v>
      </c>
      <c r="L7093" s="912"/>
      <c r="M7093" s="912"/>
      <c r="N7093" s="912"/>
      <c r="O7093" s="892">
        <f t="shared" si="520"/>
        <v>0</v>
      </c>
      <c r="P7093" s="903">
        <f t="shared" si="522"/>
        <v>1</v>
      </c>
      <c r="Q7093" s="893">
        <f t="shared" si="523"/>
        <v>9</v>
      </c>
      <c r="R7093" s="894">
        <f t="shared" si="524"/>
        <v>0</v>
      </c>
    </row>
    <row r="7094" spans="1:18">
      <c r="A7094" s="905"/>
      <c r="B7094" s="906"/>
      <c r="C7094" s="907">
        <v>127</v>
      </c>
      <c r="D7094" s="907" t="s">
        <v>279</v>
      </c>
      <c r="E7094" s="925" t="s">
        <v>5657</v>
      </c>
      <c r="F7094" s="909" t="s">
        <v>45</v>
      </c>
      <c r="G7094" s="910"/>
      <c r="H7094" s="911">
        <v>1</v>
      </c>
      <c r="I7094" s="912">
        <f>VLOOKUP(E7094,[3]VLP!$B$7:$K$300,10,0)</f>
        <v>25155</v>
      </c>
      <c r="J7094" s="912">
        <f t="shared" si="525"/>
        <v>25155</v>
      </c>
      <c r="K7094" s="912" t="s">
        <v>274</v>
      </c>
      <c r="L7094" s="912"/>
      <c r="M7094" s="912"/>
      <c r="N7094" s="912"/>
      <c r="O7094" s="892">
        <f t="shared" si="520"/>
        <v>0</v>
      </c>
      <c r="P7094" s="903">
        <f t="shared" si="522"/>
        <v>1</v>
      </c>
      <c r="Q7094" s="893">
        <f t="shared" si="523"/>
        <v>8</v>
      </c>
      <c r="R7094" s="894">
        <f t="shared" si="524"/>
        <v>0</v>
      </c>
    </row>
    <row r="7095" spans="1:18">
      <c r="A7095" s="905"/>
      <c r="B7095" s="906"/>
      <c r="C7095" s="907">
        <v>44</v>
      </c>
      <c r="D7095" s="907" t="s">
        <v>279</v>
      </c>
      <c r="E7095" s="925" t="s">
        <v>2681</v>
      </c>
      <c r="F7095" s="926" t="s">
        <v>45</v>
      </c>
      <c r="G7095" s="910"/>
      <c r="H7095" s="911">
        <v>1</v>
      </c>
      <c r="I7095" s="912">
        <f>VLOOKUP(E7095,[3]VLP!$B$7:$K$300,10,0)</f>
        <v>23000</v>
      </c>
      <c r="J7095" s="912">
        <f t="shared" si="525"/>
        <v>23000</v>
      </c>
      <c r="K7095" s="912" t="s">
        <v>274</v>
      </c>
      <c r="L7095" s="912"/>
      <c r="M7095" s="912"/>
      <c r="N7095" s="912"/>
      <c r="O7095" s="892">
        <f t="shared" si="520"/>
        <v>0</v>
      </c>
      <c r="P7095" s="903">
        <f t="shared" si="522"/>
        <v>1</v>
      </c>
      <c r="Q7095" s="893">
        <f t="shared" si="523"/>
        <v>7</v>
      </c>
      <c r="R7095" s="894">
        <f t="shared" si="524"/>
        <v>0</v>
      </c>
    </row>
    <row r="7096" spans="1:18">
      <c r="A7096" s="905"/>
      <c r="B7096" s="906"/>
      <c r="C7096" s="907">
        <v>66</v>
      </c>
      <c r="D7096" s="907" t="s">
        <v>279</v>
      </c>
      <c r="E7096" s="925" t="s">
        <v>2682</v>
      </c>
      <c r="F7096" s="926" t="s">
        <v>45</v>
      </c>
      <c r="G7096" s="910"/>
      <c r="H7096" s="911">
        <v>1</v>
      </c>
      <c r="I7096" s="912">
        <f>VLOOKUP(E7096,[3]VLP!$B$7:$K$300,10,0)</f>
        <v>5000</v>
      </c>
      <c r="J7096" s="912">
        <f t="shared" si="525"/>
        <v>5000</v>
      </c>
      <c r="K7096" s="912" t="s">
        <v>274</v>
      </c>
      <c r="L7096" s="912"/>
      <c r="M7096" s="912"/>
      <c r="N7096" s="912"/>
      <c r="O7096" s="892">
        <f t="shared" si="520"/>
        <v>0</v>
      </c>
      <c r="P7096" s="903">
        <f t="shared" si="522"/>
        <v>1</v>
      </c>
      <c r="Q7096" s="893">
        <f t="shared" si="523"/>
        <v>6</v>
      </c>
      <c r="R7096" s="894">
        <f t="shared" si="524"/>
        <v>0</v>
      </c>
    </row>
    <row r="7097" spans="1:18">
      <c r="A7097" s="905"/>
      <c r="B7097" s="906"/>
      <c r="C7097" s="907">
        <v>65</v>
      </c>
      <c r="D7097" s="907" t="s">
        <v>279</v>
      </c>
      <c r="E7097" s="925" t="s">
        <v>5983</v>
      </c>
      <c r="F7097" s="926" t="s">
        <v>3144</v>
      </c>
      <c r="G7097" s="910"/>
      <c r="H7097" s="911">
        <v>1</v>
      </c>
      <c r="I7097" s="912">
        <f>VLOOKUP(E7097,[3]VLP!$B$7:$K$300,10,0)</f>
        <v>14000</v>
      </c>
      <c r="J7097" s="912">
        <f t="shared" si="525"/>
        <v>14000</v>
      </c>
      <c r="K7097" s="912" t="s">
        <v>274</v>
      </c>
      <c r="L7097" s="912"/>
      <c r="M7097" s="912"/>
      <c r="N7097" s="912"/>
      <c r="O7097" s="892">
        <f t="shared" si="520"/>
        <v>0</v>
      </c>
      <c r="P7097" s="903">
        <f t="shared" si="522"/>
        <v>1</v>
      </c>
      <c r="Q7097" s="893">
        <f t="shared" si="523"/>
        <v>5</v>
      </c>
      <c r="R7097" s="894">
        <f t="shared" si="524"/>
        <v>0</v>
      </c>
    </row>
    <row r="7098" spans="1:18">
      <c r="A7098" s="905"/>
      <c r="B7098" s="906"/>
      <c r="C7098" s="907">
        <v>89</v>
      </c>
      <c r="D7098" s="907" t="s">
        <v>279</v>
      </c>
      <c r="E7098" s="925" t="s">
        <v>5984</v>
      </c>
      <c r="F7098" s="926" t="s">
        <v>45</v>
      </c>
      <c r="G7098" s="910"/>
      <c r="H7098" s="911">
        <v>0.15</v>
      </c>
      <c r="I7098" s="912">
        <f>VLOOKUP(E7098,[3]VLP!$B$7:$K$300,10,0)</f>
        <v>1000</v>
      </c>
      <c r="J7098" s="912">
        <f t="shared" si="525"/>
        <v>150</v>
      </c>
      <c r="K7098" s="912" t="s">
        <v>274</v>
      </c>
      <c r="L7098" s="912"/>
      <c r="M7098" s="912"/>
      <c r="N7098" s="912"/>
      <c r="O7098" s="892">
        <f t="shared" si="520"/>
        <v>0</v>
      </c>
      <c r="P7098" s="903">
        <f t="shared" si="522"/>
        <v>1</v>
      </c>
      <c r="Q7098" s="893">
        <f t="shared" si="523"/>
        <v>4</v>
      </c>
      <c r="R7098" s="894">
        <f t="shared" si="524"/>
        <v>0</v>
      </c>
    </row>
    <row r="7099" spans="1:18">
      <c r="A7099" s="905"/>
      <c r="B7099" s="906"/>
      <c r="C7099" s="907">
        <v>699</v>
      </c>
      <c r="D7099" s="907" t="s">
        <v>279</v>
      </c>
      <c r="E7099" s="925" t="s">
        <v>4006</v>
      </c>
      <c r="F7099" s="926" t="s">
        <v>4007</v>
      </c>
      <c r="G7099" s="910"/>
      <c r="H7099" s="911">
        <v>5</v>
      </c>
      <c r="I7099" s="912">
        <f>VLOOKUP(E7099,[3]VLP!$B$7:$K$300,10,0)</f>
        <v>5000</v>
      </c>
      <c r="J7099" s="912">
        <f t="shared" si="525"/>
        <v>25000</v>
      </c>
      <c r="K7099" s="912" t="s">
        <v>274</v>
      </c>
      <c r="L7099" s="912"/>
      <c r="M7099" s="912"/>
      <c r="N7099" s="912"/>
      <c r="O7099" s="892">
        <f t="shared" si="520"/>
        <v>0</v>
      </c>
      <c r="P7099" s="903">
        <f t="shared" si="522"/>
        <v>1</v>
      </c>
      <c r="Q7099" s="893">
        <f t="shared" si="523"/>
        <v>3</v>
      </c>
      <c r="R7099" s="894">
        <f t="shared" si="524"/>
        <v>0</v>
      </c>
    </row>
    <row r="7100" spans="1:18" s="904" customFormat="1">
      <c r="A7100" s="895"/>
      <c r="B7100" s="896"/>
      <c r="C7100" s="897"/>
      <c r="D7100" s="897"/>
      <c r="E7100" s="924" t="s">
        <v>276</v>
      </c>
      <c r="F7100" s="927"/>
      <c r="G7100" s="928"/>
      <c r="H7100" s="901"/>
      <c r="I7100" s="902"/>
      <c r="J7100" s="902"/>
      <c r="K7100" s="912" t="s">
        <v>274</v>
      </c>
      <c r="L7100" s="902"/>
      <c r="M7100" s="902"/>
      <c r="N7100" s="902"/>
      <c r="O7100" s="892">
        <f t="shared" si="520"/>
        <v>0</v>
      </c>
      <c r="P7100" s="903">
        <f t="shared" si="522"/>
        <v>1</v>
      </c>
      <c r="Q7100" s="893">
        <f t="shared" si="523"/>
        <v>2</v>
      </c>
      <c r="R7100" s="894">
        <f t="shared" si="524"/>
        <v>0</v>
      </c>
    </row>
    <row r="7101" spans="1:18">
      <c r="A7101" s="905"/>
      <c r="B7101" s="906"/>
      <c r="C7101" s="907">
        <v>745</v>
      </c>
      <c r="D7101" s="907" t="s">
        <v>12</v>
      </c>
      <c r="E7101" s="908" t="s">
        <v>5518</v>
      </c>
      <c r="F7101" s="909" t="s">
        <v>2674</v>
      </c>
      <c r="G7101" s="910"/>
      <c r="H7101" s="911">
        <v>22.33</v>
      </c>
      <c r="I7101" s="912"/>
      <c r="J7101" s="912"/>
      <c r="K7101" s="912">
        <f>VLOOKUP(E7101,[5]ĐMNC!$A$7:$F$67,4,0)</f>
        <v>240557</v>
      </c>
      <c r="L7101" s="912">
        <f>H7101*K7101</f>
        <v>5371637.8099999996</v>
      </c>
      <c r="M7101" s="912"/>
      <c r="N7101" s="912"/>
      <c r="O7101" s="892">
        <f t="shared" si="520"/>
        <v>0</v>
      </c>
      <c r="P7101" s="903">
        <f t="shared" si="522"/>
        <v>1</v>
      </c>
      <c r="Q7101" s="893">
        <f t="shared" si="523"/>
        <v>1</v>
      </c>
      <c r="R7101" s="894">
        <f t="shared" si="524"/>
        <v>0</v>
      </c>
    </row>
    <row r="7102" spans="1:18" s="847" customFormat="1" ht="35.25" customHeight="1">
      <c r="A7102" s="905"/>
      <c r="B7102" s="914" t="s">
        <v>6073</v>
      </c>
      <c r="C7102" s="915"/>
      <c r="D7102" s="915"/>
      <c r="E7102" s="916" t="s">
        <v>6074</v>
      </c>
      <c r="F7102" s="917" t="s">
        <v>6064</v>
      </c>
      <c r="G7102" s="944"/>
      <c r="H7102" s="919"/>
      <c r="I7102" s="920"/>
      <c r="J7102" s="891">
        <f>SUM(J7103:J7115)</f>
        <v>825465</v>
      </c>
      <c r="K7102" s="891"/>
      <c r="L7102" s="891">
        <f>SUM(L7103:L7115)</f>
        <v>5484699.6000000006</v>
      </c>
      <c r="M7102" s="891"/>
      <c r="N7102" s="891">
        <f>SUM(N7103:N7115)</f>
        <v>0</v>
      </c>
      <c r="O7102" s="892">
        <f t="shared" si="520"/>
        <v>1</v>
      </c>
      <c r="P7102" s="903">
        <f t="shared" si="522"/>
        <v>0</v>
      </c>
      <c r="Q7102" s="893">
        <f t="shared" si="523"/>
        <v>0</v>
      </c>
      <c r="R7102" s="894">
        <f t="shared" si="524"/>
        <v>13</v>
      </c>
    </row>
    <row r="7103" spans="1:18" s="904" customFormat="1">
      <c r="A7103" s="895"/>
      <c r="B7103" s="896"/>
      <c r="C7103" s="897"/>
      <c r="D7103" s="897"/>
      <c r="E7103" s="898" t="s">
        <v>108</v>
      </c>
      <c r="F7103" s="899"/>
      <c r="G7103" s="928"/>
      <c r="H7103" s="901"/>
      <c r="I7103" s="902"/>
      <c r="J7103" s="902"/>
      <c r="K7103" s="912" t="s">
        <v>274</v>
      </c>
      <c r="L7103" s="902"/>
      <c r="M7103" s="902"/>
      <c r="N7103" s="902"/>
      <c r="O7103" s="892">
        <f t="shared" si="520"/>
        <v>0</v>
      </c>
      <c r="P7103" s="903">
        <f t="shared" si="522"/>
        <v>1</v>
      </c>
      <c r="Q7103" s="893">
        <f t="shared" si="523"/>
        <v>13</v>
      </c>
      <c r="R7103" s="894">
        <f t="shared" si="524"/>
        <v>0</v>
      </c>
    </row>
    <row r="7104" spans="1:18">
      <c r="A7104" s="905"/>
      <c r="B7104" s="906"/>
      <c r="C7104" s="907">
        <v>49</v>
      </c>
      <c r="D7104" s="907" t="s">
        <v>279</v>
      </c>
      <c r="E7104" s="925" t="s">
        <v>5698</v>
      </c>
      <c r="F7104" s="909" t="s">
        <v>139</v>
      </c>
      <c r="G7104" s="910"/>
      <c r="H7104" s="911">
        <v>2</v>
      </c>
      <c r="I7104" s="912">
        <f>VLOOKUP(E7104,[3]VLP!$B$7:$K$300,10,0)</f>
        <v>3000</v>
      </c>
      <c r="J7104" s="912">
        <f t="shared" ref="J7104:J7113" si="526">I7104*H7104</f>
        <v>6000</v>
      </c>
      <c r="K7104" s="912" t="s">
        <v>274</v>
      </c>
      <c r="L7104" s="912"/>
      <c r="M7104" s="912"/>
      <c r="N7104" s="912"/>
      <c r="O7104" s="892">
        <f t="shared" si="520"/>
        <v>0</v>
      </c>
      <c r="P7104" s="903">
        <f t="shared" si="522"/>
        <v>1</v>
      </c>
      <c r="Q7104" s="893">
        <f t="shared" si="523"/>
        <v>12</v>
      </c>
      <c r="R7104" s="894">
        <f t="shared" si="524"/>
        <v>0</v>
      </c>
    </row>
    <row r="7105" spans="1:18">
      <c r="A7105" s="905"/>
      <c r="B7105" s="906"/>
      <c r="C7105" s="907">
        <v>50</v>
      </c>
      <c r="D7105" s="907" t="s">
        <v>279</v>
      </c>
      <c r="E7105" s="925" t="s">
        <v>5836</v>
      </c>
      <c r="F7105" s="909" t="s">
        <v>49</v>
      </c>
      <c r="G7105" s="910"/>
      <c r="H7105" s="911">
        <v>4</v>
      </c>
      <c r="I7105" s="912">
        <f>VLOOKUP(E7105,[3]VLP!$B$7:$K$300,10,0)</f>
        <v>85790</v>
      </c>
      <c r="J7105" s="912">
        <f t="shared" si="526"/>
        <v>343160</v>
      </c>
      <c r="K7105" s="912" t="s">
        <v>274</v>
      </c>
      <c r="L7105" s="912"/>
      <c r="M7105" s="912"/>
      <c r="N7105" s="912"/>
      <c r="O7105" s="892">
        <f t="shared" si="520"/>
        <v>0</v>
      </c>
      <c r="P7105" s="903">
        <f t="shared" si="522"/>
        <v>1</v>
      </c>
      <c r="Q7105" s="893">
        <f t="shared" si="523"/>
        <v>11</v>
      </c>
      <c r="R7105" s="894">
        <f t="shared" si="524"/>
        <v>0</v>
      </c>
    </row>
    <row r="7106" spans="1:18">
      <c r="A7106" s="905"/>
      <c r="B7106" s="906"/>
      <c r="C7106" s="907">
        <v>46</v>
      </c>
      <c r="D7106" s="907" t="s">
        <v>279</v>
      </c>
      <c r="E7106" s="925" t="s">
        <v>3179</v>
      </c>
      <c r="F7106" s="909" t="s">
        <v>45</v>
      </c>
      <c r="G7106" s="910"/>
      <c r="H7106" s="911">
        <v>18</v>
      </c>
      <c r="I7106" s="912">
        <f>VLOOKUP(E7106,[3]VLP!$B$7:$K$300,10,0)</f>
        <v>20500</v>
      </c>
      <c r="J7106" s="912">
        <f t="shared" si="526"/>
        <v>369000</v>
      </c>
      <c r="K7106" s="912" t="s">
        <v>274</v>
      </c>
      <c r="L7106" s="912"/>
      <c r="M7106" s="912"/>
      <c r="N7106" s="912"/>
      <c r="O7106" s="892">
        <f t="shared" si="520"/>
        <v>0</v>
      </c>
      <c r="P7106" s="903">
        <f t="shared" si="522"/>
        <v>1</v>
      </c>
      <c r="Q7106" s="893">
        <f t="shared" si="523"/>
        <v>10</v>
      </c>
      <c r="R7106" s="894">
        <f t="shared" si="524"/>
        <v>0</v>
      </c>
    </row>
    <row r="7107" spans="1:18">
      <c r="A7107" s="905"/>
      <c r="B7107" s="906"/>
      <c r="C7107" s="907">
        <v>25</v>
      </c>
      <c r="D7107" s="907" t="s">
        <v>279</v>
      </c>
      <c r="E7107" s="925" t="s">
        <v>5656</v>
      </c>
      <c r="F7107" s="926" t="s">
        <v>2690</v>
      </c>
      <c r="G7107" s="910"/>
      <c r="H7107" s="911">
        <v>3</v>
      </c>
      <c r="I7107" s="912">
        <f>VLOOKUP(E7107,[3]VLP!$B$7:$K$300,10,0)</f>
        <v>5000</v>
      </c>
      <c r="J7107" s="912">
        <f t="shared" si="526"/>
        <v>15000</v>
      </c>
      <c r="K7107" s="912" t="s">
        <v>274</v>
      </c>
      <c r="L7107" s="912"/>
      <c r="M7107" s="912"/>
      <c r="N7107" s="912"/>
      <c r="O7107" s="892">
        <f t="shared" si="520"/>
        <v>0</v>
      </c>
      <c r="P7107" s="903">
        <f t="shared" si="522"/>
        <v>1</v>
      </c>
      <c r="Q7107" s="893">
        <f t="shared" si="523"/>
        <v>9</v>
      </c>
      <c r="R7107" s="894">
        <f t="shared" si="524"/>
        <v>0</v>
      </c>
    </row>
    <row r="7108" spans="1:18">
      <c r="A7108" s="905"/>
      <c r="B7108" s="906"/>
      <c r="C7108" s="907">
        <v>127</v>
      </c>
      <c r="D7108" s="907" t="s">
        <v>279</v>
      </c>
      <c r="E7108" s="925" t="s">
        <v>5657</v>
      </c>
      <c r="F7108" s="909" t="s">
        <v>45</v>
      </c>
      <c r="G7108" s="910"/>
      <c r="H7108" s="911">
        <v>1</v>
      </c>
      <c r="I7108" s="912">
        <f>VLOOKUP(E7108,[3]VLP!$B$7:$K$300,10,0)</f>
        <v>25155</v>
      </c>
      <c r="J7108" s="912">
        <f t="shared" si="526"/>
        <v>25155</v>
      </c>
      <c r="K7108" s="912" t="s">
        <v>274</v>
      </c>
      <c r="L7108" s="912"/>
      <c r="M7108" s="912"/>
      <c r="N7108" s="912"/>
      <c r="O7108" s="892">
        <f t="shared" si="520"/>
        <v>0</v>
      </c>
      <c r="P7108" s="903">
        <f t="shared" si="522"/>
        <v>1</v>
      </c>
      <c r="Q7108" s="893">
        <f t="shared" si="523"/>
        <v>8</v>
      </c>
      <c r="R7108" s="894">
        <f t="shared" si="524"/>
        <v>0</v>
      </c>
    </row>
    <row r="7109" spans="1:18">
      <c r="A7109" s="905"/>
      <c r="B7109" s="906"/>
      <c r="C7109" s="907">
        <v>44</v>
      </c>
      <c r="D7109" s="907" t="s">
        <v>279</v>
      </c>
      <c r="E7109" s="925" t="s">
        <v>2681</v>
      </c>
      <c r="F7109" s="926" t="s">
        <v>45</v>
      </c>
      <c r="G7109" s="910"/>
      <c r="H7109" s="911">
        <v>1</v>
      </c>
      <c r="I7109" s="912">
        <f>VLOOKUP(E7109,[3]VLP!$B$7:$K$300,10,0)</f>
        <v>23000</v>
      </c>
      <c r="J7109" s="912">
        <f t="shared" si="526"/>
        <v>23000</v>
      </c>
      <c r="K7109" s="912" t="s">
        <v>274</v>
      </c>
      <c r="L7109" s="912"/>
      <c r="M7109" s="912"/>
      <c r="N7109" s="912"/>
      <c r="O7109" s="892">
        <f t="shared" si="520"/>
        <v>0</v>
      </c>
      <c r="P7109" s="903">
        <f t="shared" si="522"/>
        <v>1</v>
      </c>
      <c r="Q7109" s="893">
        <f t="shared" si="523"/>
        <v>7</v>
      </c>
      <c r="R7109" s="894">
        <f t="shared" si="524"/>
        <v>0</v>
      </c>
    </row>
    <row r="7110" spans="1:18">
      <c r="A7110" s="905"/>
      <c r="B7110" s="906"/>
      <c r="C7110" s="907">
        <v>66</v>
      </c>
      <c r="D7110" s="907" t="s">
        <v>279</v>
      </c>
      <c r="E7110" s="925" t="s">
        <v>2682</v>
      </c>
      <c r="F7110" s="926" t="s">
        <v>45</v>
      </c>
      <c r="G7110" s="910"/>
      <c r="H7110" s="911">
        <v>1</v>
      </c>
      <c r="I7110" s="912">
        <f>VLOOKUP(E7110,[3]VLP!$B$7:$K$300,10,0)</f>
        <v>5000</v>
      </c>
      <c r="J7110" s="912">
        <f t="shared" si="526"/>
        <v>5000</v>
      </c>
      <c r="K7110" s="912" t="s">
        <v>274</v>
      </c>
      <c r="L7110" s="912"/>
      <c r="M7110" s="912"/>
      <c r="N7110" s="912"/>
      <c r="O7110" s="892">
        <f t="shared" si="520"/>
        <v>0</v>
      </c>
      <c r="P7110" s="903">
        <f t="shared" si="522"/>
        <v>1</v>
      </c>
      <c r="Q7110" s="893">
        <f t="shared" si="523"/>
        <v>6</v>
      </c>
      <c r="R7110" s="894">
        <f t="shared" si="524"/>
        <v>0</v>
      </c>
    </row>
    <row r="7111" spans="1:18">
      <c r="A7111" s="905"/>
      <c r="B7111" s="906"/>
      <c r="C7111" s="907">
        <v>65</v>
      </c>
      <c r="D7111" s="907" t="s">
        <v>279</v>
      </c>
      <c r="E7111" s="925" t="s">
        <v>5983</v>
      </c>
      <c r="F7111" s="926" t="s">
        <v>3144</v>
      </c>
      <c r="G7111" s="910"/>
      <c r="H7111" s="911">
        <v>1</v>
      </c>
      <c r="I7111" s="912">
        <f>VLOOKUP(E7111,[3]VLP!$B$7:$K$300,10,0)</f>
        <v>14000</v>
      </c>
      <c r="J7111" s="912">
        <f t="shared" si="526"/>
        <v>14000</v>
      </c>
      <c r="K7111" s="912" t="s">
        <v>274</v>
      </c>
      <c r="L7111" s="912"/>
      <c r="M7111" s="912"/>
      <c r="N7111" s="912"/>
      <c r="O7111" s="892">
        <f t="shared" si="520"/>
        <v>0</v>
      </c>
      <c r="P7111" s="903">
        <f t="shared" si="522"/>
        <v>1</v>
      </c>
      <c r="Q7111" s="893">
        <f t="shared" si="523"/>
        <v>5</v>
      </c>
      <c r="R7111" s="894">
        <f t="shared" si="524"/>
        <v>0</v>
      </c>
    </row>
    <row r="7112" spans="1:18">
      <c r="A7112" s="905"/>
      <c r="B7112" s="906"/>
      <c r="C7112" s="907">
        <v>89</v>
      </c>
      <c r="D7112" s="907" t="s">
        <v>279</v>
      </c>
      <c r="E7112" s="925" t="s">
        <v>5984</v>
      </c>
      <c r="F7112" s="926" t="s">
        <v>45</v>
      </c>
      <c r="G7112" s="910"/>
      <c r="H7112" s="911">
        <v>0.15</v>
      </c>
      <c r="I7112" s="912">
        <f>VLOOKUP(E7112,[3]VLP!$B$7:$K$300,10,0)</f>
        <v>1000</v>
      </c>
      <c r="J7112" s="912">
        <f t="shared" si="526"/>
        <v>150</v>
      </c>
      <c r="K7112" s="912" t="s">
        <v>274</v>
      </c>
      <c r="L7112" s="912"/>
      <c r="M7112" s="912"/>
      <c r="N7112" s="912"/>
      <c r="O7112" s="892">
        <f t="shared" si="520"/>
        <v>0</v>
      </c>
      <c r="P7112" s="903">
        <f t="shared" si="522"/>
        <v>1</v>
      </c>
      <c r="Q7112" s="893">
        <f t="shared" si="523"/>
        <v>4</v>
      </c>
      <c r="R7112" s="894">
        <f t="shared" si="524"/>
        <v>0</v>
      </c>
    </row>
    <row r="7113" spans="1:18">
      <c r="A7113" s="905"/>
      <c r="B7113" s="906"/>
      <c r="C7113" s="907">
        <v>699</v>
      </c>
      <c r="D7113" s="907" t="s">
        <v>279</v>
      </c>
      <c r="E7113" s="925" t="s">
        <v>4006</v>
      </c>
      <c r="F7113" s="926" t="s">
        <v>4007</v>
      </c>
      <c r="G7113" s="910"/>
      <c r="H7113" s="911">
        <v>5</v>
      </c>
      <c r="I7113" s="912">
        <f>VLOOKUP(E7113,[3]VLP!$B$7:$K$300,10,0)</f>
        <v>5000</v>
      </c>
      <c r="J7113" s="912">
        <f t="shared" si="526"/>
        <v>25000</v>
      </c>
      <c r="K7113" s="912" t="s">
        <v>274</v>
      </c>
      <c r="L7113" s="912"/>
      <c r="M7113" s="912"/>
      <c r="N7113" s="912"/>
      <c r="O7113" s="892">
        <f t="shared" si="520"/>
        <v>0</v>
      </c>
      <c r="P7113" s="903">
        <f t="shared" si="522"/>
        <v>1</v>
      </c>
      <c r="Q7113" s="893">
        <f t="shared" si="523"/>
        <v>3</v>
      </c>
      <c r="R7113" s="894">
        <f t="shared" si="524"/>
        <v>0</v>
      </c>
    </row>
    <row r="7114" spans="1:18" s="904" customFormat="1">
      <c r="A7114" s="895"/>
      <c r="B7114" s="896"/>
      <c r="C7114" s="897"/>
      <c r="D7114" s="897"/>
      <c r="E7114" s="924" t="s">
        <v>276</v>
      </c>
      <c r="F7114" s="927"/>
      <c r="G7114" s="928"/>
      <c r="H7114" s="901"/>
      <c r="I7114" s="902"/>
      <c r="J7114" s="902"/>
      <c r="K7114" s="912" t="s">
        <v>274</v>
      </c>
      <c r="L7114" s="902"/>
      <c r="M7114" s="902"/>
      <c r="N7114" s="902"/>
      <c r="O7114" s="892">
        <f t="shared" si="520"/>
        <v>0</v>
      </c>
      <c r="P7114" s="903">
        <f t="shared" si="522"/>
        <v>1</v>
      </c>
      <c r="Q7114" s="893">
        <f t="shared" si="523"/>
        <v>2</v>
      </c>
      <c r="R7114" s="894">
        <f t="shared" si="524"/>
        <v>0</v>
      </c>
    </row>
    <row r="7115" spans="1:18">
      <c r="A7115" s="905"/>
      <c r="B7115" s="906"/>
      <c r="C7115" s="907">
        <v>745</v>
      </c>
      <c r="D7115" s="907" t="s">
        <v>12</v>
      </c>
      <c r="E7115" s="908" t="s">
        <v>5518</v>
      </c>
      <c r="F7115" s="909" t="s">
        <v>2674</v>
      </c>
      <c r="G7115" s="910"/>
      <c r="H7115" s="911">
        <v>22.8</v>
      </c>
      <c r="I7115" s="912"/>
      <c r="J7115" s="912"/>
      <c r="K7115" s="912">
        <f>VLOOKUP(E7115,[5]ĐMNC!$A$7:$F$67,4,0)</f>
        <v>240557</v>
      </c>
      <c r="L7115" s="912">
        <f>H7115*K7115</f>
        <v>5484699.6000000006</v>
      </c>
      <c r="M7115" s="912"/>
      <c r="N7115" s="912"/>
      <c r="O7115" s="892">
        <f t="shared" si="520"/>
        <v>0</v>
      </c>
      <c r="P7115" s="903">
        <f t="shared" si="522"/>
        <v>1</v>
      </c>
      <c r="Q7115" s="893">
        <f t="shared" si="523"/>
        <v>1</v>
      </c>
      <c r="R7115" s="894">
        <f t="shared" si="524"/>
        <v>0</v>
      </c>
    </row>
    <row r="7116" spans="1:18" s="847" customFormat="1" ht="35.25" customHeight="1">
      <c r="A7116" s="905"/>
      <c r="B7116" s="914" t="s">
        <v>6075</v>
      </c>
      <c r="C7116" s="915"/>
      <c r="D7116" s="915"/>
      <c r="E7116" s="916" t="s">
        <v>6076</v>
      </c>
      <c r="F7116" s="917" t="s">
        <v>6064</v>
      </c>
      <c r="G7116" s="944"/>
      <c r="H7116" s="919"/>
      <c r="I7116" s="920"/>
      <c r="J7116" s="891">
        <f>SUM(J7117:J7129)</f>
        <v>903426</v>
      </c>
      <c r="K7116" s="891"/>
      <c r="L7116" s="891">
        <f>SUM(L7117:L7129)</f>
        <v>6581639.5199999996</v>
      </c>
      <c r="M7116" s="891"/>
      <c r="N7116" s="891">
        <f>SUM(N7117:N7129)</f>
        <v>0</v>
      </c>
      <c r="O7116" s="892">
        <f t="shared" si="520"/>
        <v>1</v>
      </c>
      <c r="P7116" s="903">
        <f t="shared" si="522"/>
        <v>0</v>
      </c>
      <c r="Q7116" s="893">
        <f t="shared" si="523"/>
        <v>0</v>
      </c>
      <c r="R7116" s="894">
        <f t="shared" si="524"/>
        <v>13</v>
      </c>
    </row>
    <row r="7117" spans="1:18" s="904" customFormat="1">
      <c r="A7117" s="895"/>
      <c r="B7117" s="896"/>
      <c r="C7117" s="897"/>
      <c r="D7117" s="897"/>
      <c r="E7117" s="898" t="s">
        <v>108</v>
      </c>
      <c r="F7117" s="899"/>
      <c r="G7117" s="928"/>
      <c r="H7117" s="901"/>
      <c r="I7117" s="902"/>
      <c r="J7117" s="902"/>
      <c r="K7117" s="912" t="s">
        <v>274</v>
      </c>
      <c r="L7117" s="902"/>
      <c r="M7117" s="902"/>
      <c r="N7117" s="902"/>
      <c r="O7117" s="892">
        <f t="shared" si="520"/>
        <v>0</v>
      </c>
      <c r="P7117" s="903">
        <f t="shared" si="522"/>
        <v>1</v>
      </c>
      <c r="Q7117" s="893">
        <f t="shared" si="523"/>
        <v>13</v>
      </c>
      <c r="R7117" s="894">
        <f t="shared" si="524"/>
        <v>0</v>
      </c>
    </row>
    <row r="7118" spans="1:18">
      <c r="A7118" s="905"/>
      <c r="B7118" s="906"/>
      <c r="C7118" s="907">
        <v>49</v>
      </c>
      <c r="D7118" s="907" t="s">
        <v>279</v>
      </c>
      <c r="E7118" s="925" t="s">
        <v>5698</v>
      </c>
      <c r="F7118" s="909" t="s">
        <v>139</v>
      </c>
      <c r="G7118" s="910"/>
      <c r="H7118" s="911">
        <v>2</v>
      </c>
      <c r="I7118" s="912">
        <f>VLOOKUP(E7118,[3]VLP!$B$7:$K$300,10,0)</f>
        <v>3000</v>
      </c>
      <c r="J7118" s="912">
        <f t="shared" ref="J7118:J7127" si="527">I7118*H7118</f>
        <v>6000</v>
      </c>
      <c r="K7118" s="912" t="s">
        <v>274</v>
      </c>
      <c r="L7118" s="912"/>
      <c r="M7118" s="912"/>
      <c r="N7118" s="912"/>
      <c r="O7118" s="892">
        <f t="shared" si="520"/>
        <v>0</v>
      </c>
      <c r="P7118" s="903">
        <f t="shared" si="522"/>
        <v>1</v>
      </c>
      <c r="Q7118" s="893">
        <f t="shared" si="523"/>
        <v>12</v>
      </c>
      <c r="R7118" s="894">
        <f t="shared" si="524"/>
        <v>0</v>
      </c>
    </row>
    <row r="7119" spans="1:18">
      <c r="A7119" s="905"/>
      <c r="B7119" s="906"/>
      <c r="C7119" s="907">
        <v>50</v>
      </c>
      <c r="D7119" s="907" t="s">
        <v>279</v>
      </c>
      <c r="E7119" s="925" t="s">
        <v>5836</v>
      </c>
      <c r="F7119" s="909" t="s">
        <v>49</v>
      </c>
      <c r="G7119" s="910"/>
      <c r="H7119" s="911">
        <v>4</v>
      </c>
      <c r="I7119" s="912">
        <f>VLOOKUP(E7119,[3]VLP!$B$7:$K$300,10,0)</f>
        <v>85790</v>
      </c>
      <c r="J7119" s="912">
        <f t="shared" si="527"/>
        <v>343160</v>
      </c>
      <c r="K7119" s="912" t="s">
        <v>274</v>
      </c>
      <c r="L7119" s="912"/>
      <c r="M7119" s="912"/>
      <c r="N7119" s="912"/>
      <c r="O7119" s="892">
        <f t="shared" si="520"/>
        <v>0</v>
      </c>
      <c r="P7119" s="903">
        <f t="shared" si="522"/>
        <v>1</v>
      </c>
      <c r="Q7119" s="893">
        <f t="shared" si="523"/>
        <v>11</v>
      </c>
      <c r="R7119" s="894">
        <f t="shared" si="524"/>
        <v>0</v>
      </c>
    </row>
    <row r="7120" spans="1:18">
      <c r="A7120" s="905"/>
      <c r="B7120" s="906"/>
      <c r="C7120" s="907">
        <v>46</v>
      </c>
      <c r="D7120" s="907" t="s">
        <v>279</v>
      </c>
      <c r="E7120" s="925" t="s">
        <v>3179</v>
      </c>
      <c r="F7120" s="909" t="s">
        <v>45</v>
      </c>
      <c r="G7120" s="910"/>
      <c r="H7120" s="911">
        <v>21</v>
      </c>
      <c r="I7120" s="912">
        <f>VLOOKUP(E7120,[3]VLP!$B$7:$K$300,10,0)</f>
        <v>20500</v>
      </c>
      <c r="J7120" s="912">
        <f t="shared" si="527"/>
        <v>430500</v>
      </c>
      <c r="K7120" s="912" t="s">
        <v>274</v>
      </c>
      <c r="L7120" s="912"/>
      <c r="M7120" s="912"/>
      <c r="N7120" s="912"/>
      <c r="O7120" s="892">
        <f t="shared" si="520"/>
        <v>0</v>
      </c>
      <c r="P7120" s="903">
        <f t="shared" si="522"/>
        <v>1</v>
      </c>
      <c r="Q7120" s="893">
        <f t="shared" si="523"/>
        <v>10</v>
      </c>
      <c r="R7120" s="894">
        <f t="shared" si="524"/>
        <v>0</v>
      </c>
    </row>
    <row r="7121" spans="1:18">
      <c r="A7121" s="905"/>
      <c r="B7121" s="906"/>
      <c r="C7121" s="907">
        <v>25</v>
      </c>
      <c r="D7121" s="907" t="s">
        <v>279</v>
      </c>
      <c r="E7121" s="925" t="s">
        <v>5656</v>
      </c>
      <c r="F7121" s="926" t="s">
        <v>2690</v>
      </c>
      <c r="G7121" s="910"/>
      <c r="H7121" s="911">
        <v>3.6</v>
      </c>
      <c r="I7121" s="912">
        <f>VLOOKUP(E7121,[3]VLP!$B$7:$K$300,10,0)</f>
        <v>5000</v>
      </c>
      <c r="J7121" s="912">
        <f t="shared" si="527"/>
        <v>18000</v>
      </c>
      <c r="K7121" s="912" t="s">
        <v>274</v>
      </c>
      <c r="L7121" s="912"/>
      <c r="M7121" s="912"/>
      <c r="N7121" s="912"/>
      <c r="O7121" s="892">
        <f t="shared" si="520"/>
        <v>0</v>
      </c>
      <c r="P7121" s="903">
        <f t="shared" si="522"/>
        <v>1</v>
      </c>
      <c r="Q7121" s="893">
        <f t="shared" si="523"/>
        <v>9</v>
      </c>
      <c r="R7121" s="894">
        <f t="shared" si="524"/>
        <v>0</v>
      </c>
    </row>
    <row r="7122" spans="1:18">
      <c r="A7122" s="905"/>
      <c r="B7122" s="906"/>
      <c r="C7122" s="907">
        <v>127</v>
      </c>
      <c r="D7122" s="907" t="s">
        <v>279</v>
      </c>
      <c r="E7122" s="925" t="s">
        <v>5657</v>
      </c>
      <c r="F7122" s="909" t="s">
        <v>45</v>
      </c>
      <c r="G7122" s="910"/>
      <c r="H7122" s="911">
        <v>1.2</v>
      </c>
      <c r="I7122" s="912">
        <f>VLOOKUP(E7122,[3]VLP!$B$7:$K$300,10,0)</f>
        <v>25155</v>
      </c>
      <c r="J7122" s="912">
        <f t="shared" si="527"/>
        <v>30186</v>
      </c>
      <c r="K7122" s="912" t="s">
        <v>274</v>
      </c>
      <c r="L7122" s="912"/>
      <c r="M7122" s="912"/>
      <c r="N7122" s="912"/>
      <c r="O7122" s="892">
        <f t="shared" si="520"/>
        <v>0</v>
      </c>
      <c r="P7122" s="903">
        <f t="shared" si="522"/>
        <v>1</v>
      </c>
      <c r="Q7122" s="893">
        <f t="shared" si="523"/>
        <v>8</v>
      </c>
      <c r="R7122" s="894">
        <f t="shared" si="524"/>
        <v>0</v>
      </c>
    </row>
    <row r="7123" spans="1:18">
      <c r="A7123" s="905"/>
      <c r="B7123" s="906"/>
      <c r="C7123" s="907">
        <v>44</v>
      </c>
      <c r="D7123" s="907" t="s">
        <v>279</v>
      </c>
      <c r="E7123" s="925" t="s">
        <v>2681</v>
      </c>
      <c r="F7123" s="926" t="s">
        <v>45</v>
      </c>
      <c r="G7123" s="910"/>
      <c r="H7123" s="911">
        <v>1.2</v>
      </c>
      <c r="I7123" s="912">
        <f>VLOOKUP(E7123,[3]VLP!$B$7:$K$300,10,0)</f>
        <v>23000</v>
      </c>
      <c r="J7123" s="912">
        <f t="shared" si="527"/>
        <v>27600</v>
      </c>
      <c r="K7123" s="912" t="s">
        <v>274</v>
      </c>
      <c r="L7123" s="912"/>
      <c r="M7123" s="912"/>
      <c r="N7123" s="912"/>
      <c r="O7123" s="892">
        <f t="shared" si="520"/>
        <v>0</v>
      </c>
      <c r="P7123" s="903">
        <f t="shared" si="522"/>
        <v>1</v>
      </c>
      <c r="Q7123" s="893">
        <f t="shared" si="523"/>
        <v>7</v>
      </c>
      <c r="R7123" s="894">
        <f t="shared" si="524"/>
        <v>0</v>
      </c>
    </row>
    <row r="7124" spans="1:18">
      <c r="A7124" s="905"/>
      <c r="B7124" s="906"/>
      <c r="C7124" s="907">
        <v>66</v>
      </c>
      <c r="D7124" s="907" t="s">
        <v>279</v>
      </c>
      <c r="E7124" s="925" t="s">
        <v>2682</v>
      </c>
      <c r="F7124" s="926" t="s">
        <v>45</v>
      </c>
      <c r="G7124" s="910"/>
      <c r="H7124" s="911">
        <v>1.2</v>
      </c>
      <c r="I7124" s="912">
        <f>VLOOKUP(E7124,[3]VLP!$B$7:$K$300,10,0)</f>
        <v>5000</v>
      </c>
      <c r="J7124" s="912">
        <f t="shared" si="527"/>
        <v>6000</v>
      </c>
      <c r="K7124" s="912" t="s">
        <v>274</v>
      </c>
      <c r="L7124" s="912"/>
      <c r="M7124" s="912"/>
      <c r="N7124" s="912"/>
      <c r="O7124" s="892">
        <f t="shared" si="520"/>
        <v>0</v>
      </c>
      <c r="P7124" s="903">
        <f t="shared" si="522"/>
        <v>1</v>
      </c>
      <c r="Q7124" s="893">
        <f t="shared" si="523"/>
        <v>6</v>
      </c>
      <c r="R7124" s="894">
        <f t="shared" si="524"/>
        <v>0</v>
      </c>
    </row>
    <row r="7125" spans="1:18">
      <c r="A7125" s="905"/>
      <c r="B7125" s="906"/>
      <c r="C7125" s="907">
        <v>65</v>
      </c>
      <c r="D7125" s="907" t="s">
        <v>279</v>
      </c>
      <c r="E7125" s="925" t="s">
        <v>5983</v>
      </c>
      <c r="F7125" s="926" t="s">
        <v>3144</v>
      </c>
      <c r="G7125" s="910"/>
      <c r="H7125" s="911">
        <v>1.2</v>
      </c>
      <c r="I7125" s="912">
        <f>VLOOKUP(E7125,[3]VLP!$B$7:$K$300,10,0)</f>
        <v>14000</v>
      </c>
      <c r="J7125" s="912">
        <f t="shared" si="527"/>
        <v>16800</v>
      </c>
      <c r="K7125" s="912" t="s">
        <v>274</v>
      </c>
      <c r="L7125" s="912"/>
      <c r="M7125" s="912"/>
      <c r="N7125" s="912"/>
      <c r="O7125" s="892">
        <f t="shared" si="520"/>
        <v>0</v>
      </c>
      <c r="P7125" s="903">
        <f t="shared" si="522"/>
        <v>1</v>
      </c>
      <c r="Q7125" s="893">
        <f t="shared" si="523"/>
        <v>5</v>
      </c>
      <c r="R7125" s="894">
        <f t="shared" si="524"/>
        <v>0</v>
      </c>
    </row>
    <row r="7126" spans="1:18">
      <c r="A7126" s="905"/>
      <c r="B7126" s="906"/>
      <c r="C7126" s="907">
        <v>89</v>
      </c>
      <c r="D7126" s="907" t="s">
        <v>279</v>
      </c>
      <c r="E7126" s="925" t="s">
        <v>5984</v>
      </c>
      <c r="F7126" s="926" t="s">
        <v>45</v>
      </c>
      <c r="G7126" s="910"/>
      <c r="H7126" s="911">
        <v>0.18</v>
      </c>
      <c r="I7126" s="912">
        <f>VLOOKUP(E7126,[3]VLP!$B$7:$K$300,10,0)</f>
        <v>1000</v>
      </c>
      <c r="J7126" s="912">
        <f t="shared" si="527"/>
        <v>180</v>
      </c>
      <c r="K7126" s="912" t="s">
        <v>274</v>
      </c>
      <c r="L7126" s="912"/>
      <c r="M7126" s="912"/>
      <c r="N7126" s="912"/>
      <c r="O7126" s="892">
        <f t="shared" si="520"/>
        <v>0</v>
      </c>
      <c r="P7126" s="903">
        <f t="shared" si="522"/>
        <v>1</v>
      </c>
      <c r="Q7126" s="893">
        <f t="shared" si="523"/>
        <v>4</v>
      </c>
      <c r="R7126" s="894">
        <f t="shared" si="524"/>
        <v>0</v>
      </c>
    </row>
    <row r="7127" spans="1:18">
      <c r="A7127" s="905"/>
      <c r="B7127" s="906"/>
      <c r="C7127" s="907">
        <v>699</v>
      </c>
      <c r="D7127" s="907" t="s">
        <v>279</v>
      </c>
      <c r="E7127" s="925" t="s">
        <v>4006</v>
      </c>
      <c r="F7127" s="926" t="s">
        <v>4007</v>
      </c>
      <c r="G7127" s="910"/>
      <c r="H7127" s="911">
        <v>5</v>
      </c>
      <c r="I7127" s="912">
        <f>VLOOKUP(E7127,[3]VLP!$B$7:$K$300,10,0)</f>
        <v>5000</v>
      </c>
      <c r="J7127" s="912">
        <f t="shared" si="527"/>
        <v>25000</v>
      </c>
      <c r="K7127" s="912" t="s">
        <v>274</v>
      </c>
      <c r="L7127" s="912"/>
      <c r="M7127" s="912"/>
      <c r="N7127" s="912"/>
      <c r="O7127" s="892">
        <f t="shared" si="520"/>
        <v>0</v>
      </c>
      <c r="P7127" s="903">
        <f t="shared" si="522"/>
        <v>1</v>
      </c>
      <c r="Q7127" s="893">
        <f t="shared" si="523"/>
        <v>3</v>
      </c>
      <c r="R7127" s="894">
        <f t="shared" si="524"/>
        <v>0</v>
      </c>
    </row>
    <row r="7128" spans="1:18" s="904" customFormat="1">
      <c r="A7128" s="895"/>
      <c r="B7128" s="896"/>
      <c r="C7128" s="897"/>
      <c r="D7128" s="897"/>
      <c r="E7128" s="924" t="s">
        <v>276</v>
      </c>
      <c r="F7128" s="927"/>
      <c r="G7128" s="928"/>
      <c r="H7128" s="901"/>
      <c r="I7128" s="902"/>
      <c r="J7128" s="902"/>
      <c r="K7128" s="912" t="s">
        <v>274</v>
      </c>
      <c r="L7128" s="902"/>
      <c r="M7128" s="902"/>
      <c r="N7128" s="902"/>
      <c r="O7128" s="892">
        <f t="shared" si="520"/>
        <v>0</v>
      </c>
      <c r="P7128" s="903">
        <f t="shared" si="522"/>
        <v>1</v>
      </c>
      <c r="Q7128" s="893">
        <f t="shared" si="523"/>
        <v>2</v>
      </c>
      <c r="R7128" s="894">
        <f t="shared" si="524"/>
        <v>0</v>
      </c>
    </row>
    <row r="7129" spans="1:18">
      <c r="A7129" s="905"/>
      <c r="B7129" s="906"/>
      <c r="C7129" s="907">
        <v>745</v>
      </c>
      <c r="D7129" s="907" t="s">
        <v>12</v>
      </c>
      <c r="E7129" s="908" t="s">
        <v>5518</v>
      </c>
      <c r="F7129" s="909" t="s">
        <v>2674</v>
      </c>
      <c r="G7129" s="910"/>
      <c r="H7129" s="911">
        <v>27.36</v>
      </c>
      <c r="I7129" s="912"/>
      <c r="J7129" s="912"/>
      <c r="K7129" s="912">
        <f>VLOOKUP(E7129,[5]ĐMNC!$A$7:$F$67,4,0)</f>
        <v>240557</v>
      </c>
      <c r="L7129" s="912">
        <f>H7129*K7129</f>
        <v>6581639.5199999996</v>
      </c>
      <c r="M7129" s="912"/>
      <c r="N7129" s="912"/>
      <c r="O7129" s="892">
        <f t="shared" si="520"/>
        <v>0</v>
      </c>
      <c r="P7129" s="903">
        <f t="shared" si="522"/>
        <v>1</v>
      </c>
      <c r="Q7129" s="893">
        <f t="shared" si="523"/>
        <v>1</v>
      </c>
      <c r="R7129" s="894">
        <f t="shared" si="524"/>
        <v>0</v>
      </c>
    </row>
    <row r="7130" spans="1:18" s="847" customFormat="1" ht="35.25" customHeight="1">
      <c r="A7130" s="905" t="s">
        <v>6039</v>
      </c>
      <c r="B7130" s="914" t="s">
        <v>6077</v>
      </c>
      <c r="C7130" s="915"/>
      <c r="D7130" s="915"/>
      <c r="E7130" s="916" t="s">
        <v>6078</v>
      </c>
      <c r="F7130" s="917" t="s">
        <v>6064</v>
      </c>
      <c r="G7130" s="944"/>
      <c r="H7130" s="919"/>
      <c r="I7130" s="920"/>
      <c r="J7130" s="891">
        <f>SUM(J7131:J7143)</f>
        <v>756415</v>
      </c>
      <c r="K7130" s="891"/>
      <c r="L7130" s="891">
        <f>SUM(L7131:L7143)</f>
        <v>4397381.96</v>
      </c>
      <c r="M7130" s="891"/>
      <c r="N7130" s="891">
        <f>SUM(N7131:N7143)</f>
        <v>0</v>
      </c>
      <c r="O7130" s="892">
        <f t="shared" si="520"/>
        <v>1</v>
      </c>
      <c r="P7130" s="903">
        <f t="shared" si="522"/>
        <v>0</v>
      </c>
      <c r="Q7130" s="893">
        <f t="shared" si="523"/>
        <v>0</v>
      </c>
      <c r="R7130" s="894">
        <f t="shared" si="524"/>
        <v>13</v>
      </c>
    </row>
    <row r="7131" spans="1:18" s="904" customFormat="1">
      <c r="A7131" s="895"/>
      <c r="B7131" s="896"/>
      <c r="C7131" s="897"/>
      <c r="D7131" s="897"/>
      <c r="E7131" s="898" t="s">
        <v>108</v>
      </c>
      <c r="F7131" s="899"/>
      <c r="G7131" s="928"/>
      <c r="H7131" s="901"/>
      <c r="I7131" s="902"/>
      <c r="J7131" s="902"/>
      <c r="K7131" s="912" t="s">
        <v>274</v>
      </c>
      <c r="L7131" s="902"/>
      <c r="M7131" s="902"/>
      <c r="N7131" s="902"/>
      <c r="O7131" s="892">
        <f t="shared" si="520"/>
        <v>0</v>
      </c>
      <c r="P7131" s="903">
        <f t="shared" si="522"/>
        <v>1</v>
      </c>
      <c r="Q7131" s="893">
        <f t="shared" si="523"/>
        <v>13</v>
      </c>
      <c r="R7131" s="894">
        <f t="shared" si="524"/>
        <v>0</v>
      </c>
    </row>
    <row r="7132" spans="1:18">
      <c r="A7132" s="905"/>
      <c r="B7132" s="906"/>
      <c r="C7132" s="907">
        <v>49</v>
      </c>
      <c r="D7132" s="907" t="s">
        <v>279</v>
      </c>
      <c r="E7132" s="925" t="s">
        <v>5698</v>
      </c>
      <c r="F7132" s="909" t="s">
        <v>139</v>
      </c>
      <c r="G7132" s="910"/>
      <c r="H7132" s="911">
        <v>2</v>
      </c>
      <c r="I7132" s="912">
        <f>VLOOKUP(E7132,[3]VLP!$B$7:$K$300,10,0)</f>
        <v>3000</v>
      </c>
      <c r="J7132" s="912">
        <f t="shared" ref="J7132:J7141" si="528">I7132*H7132</f>
        <v>6000</v>
      </c>
      <c r="K7132" s="912" t="s">
        <v>274</v>
      </c>
      <c r="L7132" s="912"/>
      <c r="M7132" s="912"/>
      <c r="N7132" s="912"/>
      <c r="O7132" s="892">
        <f t="shared" si="520"/>
        <v>0</v>
      </c>
      <c r="P7132" s="903">
        <f t="shared" si="522"/>
        <v>1</v>
      </c>
      <c r="Q7132" s="893">
        <f t="shared" si="523"/>
        <v>12</v>
      </c>
      <c r="R7132" s="894">
        <f t="shared" si="524"/>
        <v>0</v>
      </c>
    </row>
    <row r="7133" spans="1:18">
      <c r="A7133" s="905"/>
      <c r="B7133" s="906"/>
      <c r="C7133" s="907">
        <v>50</v>
      </c>
      <c r="D7133" s="907" t="s">
        <v>279</v>
      </c>
      <c r="E7133" s="925" t="s">
        <v>5836</v>
      </c>
      <c r="F7133" s="909" t="s">
        <v>49</v>
      </c>
      <c r="G7133" s="910"/>
      <c r="H7133" s="911">
        <v>4</v>
      </c>
      <c r="I7133" s="912">
        <f>VLOOKUP(E7133,[3]VLP!$B$7:$K$300,10,0)</f>
        <v>85790</v>
      </c>
      <c r="J7133" s="912">
        <f t="shared" si="528"/>
        <v>343160</v>
      </c>
      <c r="K7133" s="912" t="s">
        <v>274</v>
      </c>
      <c r="L7133" s="912"/>
      <c r="M7133" s="912"/>
      <c r="N7133" s="912"/>
      <c r="O7133" s="892">
        <f t="shared" si="520"/>
        <v>0</v>
      </c>
      <c r="P7133" s="903">
        <f t="shared" si="522"/>
        <v>1</v>
      </c>
      <c r="Q7133" s="893">
        <f t="shared" si="523"/>
        <v>11</v>
      </c>
      <c r="R7133" s="894">
        <f t="shared" si="524"/>
        <v>0</v>
      </c>
    </row>
    <row r="7134" spans="1:18">
      <c r="A7134" s="905"/>
      <c r="B7134" s="906"/>
      <c r="C7134" s="907">
        <v>46</v>
      </c>
      <c r="D7134" s="907" t="s">
        <v>279</v>
      </c>
      <c r="E7134" s="925" t="s">
        <v>3179</v>
      </c>
      <c r="F7134" s="909" t="s">
        <v>45</v>
      </c>
      <c r="G7134" s="910"/>
      <c r="H7134" s="911">
        <v>15</v>
      </c>
      <c r="I7134" s="912">
        <f>VLOOKUP(E7134,[3]VLP!$B$7:$K$300,10,0)</f>
        <v>20500</v>
      </c>
      <c r="J7134" s="912">
        <f t="shared" si="528"/>
        <v>307500</v>
      </c>
      <c r="K7134" s="912" t="s">
        <v>274</v>
      </c>
      <c r="L7134" s="912"/>
      <c r="M7134" s="912"/>
      <c r="N7134" s="912"/>
      <c r="O7134" s="892">
        <f t="shared" si="520"/>
        <v>0</v>
      </c>
      <c r="P7134" s="903">
        <f t="shared" si="522"/>
        <v>1</v>
      </c>
      <c r="Q7134" s="893">
        <f t="shared" si="523"/>
        <v>10</v>
      </c>
      <c r="R7134" s="894">
        <f t="shared" si="524"/>
        <v>0</v>
      </c>
    </row>
    <row r="7135" spans="1:18">
      <c r="A7135" s="905"/>
      <c r="B7135" s="906"/>
      <c r="C7135" s="907">
        <v>25</v>
      </c>
      <c r="D7135" s="907" t="s">
        <v>279</v>
      </c>
      <c r="E7135" s="925" t="s">
        <v>5656</v>
      </c>
      <c r="F7135" s="926" t="s">
        <v>2690</v>
      </c>
      <c r="G7135" s="910"/>
      <c r="H7135" s="911">
        <v>2</v>
      </c>
      <c r="I7135" s="912">
        <f>VLOOKUP(E7135,[3]VLP!$B$7:$K$300,10,0)</f>
        <v>5000</v>
      </c>
      <c r="J7135" s="912">
        <f t="shared" si="528"/>
        <v>10000</v>
      </c>
      <c r="K7135" s="912" t="s">
        <v>274</v>
      </c>
      <c r="L7135" s="912"/>
      <c r="M7135" s="912"/>
      <c r="N7135" s="912"/>
      <c r="O7135" s="892">
        <f t="shared" ref="O7135:O7198" si="529">IF(AND(B7135&lt;&gt;"",D7135=""),1,0)</f>
        <v>0</v>
      </c>
      <c r="P7135" s="903">
        <f t="shared" si="522"/>
        <v>1</v>
      </c>
      <c r="Q7135" s="893">
        <f t="shared" si="523"/>
        <v>9</v>
      </c>
      <c r="R7135" s="894">
        <f t="shared" si="524"/>
        <v>0</v>
      </c>
    </row>
    <row r="7136" spans="1:18">
      <c r="A7136" s="905"/>
      <c r="B7136" s="906"/>
      <c r="C7136" s="907">
        <v>127</v>
      </c>
      <c r="D7136" s="907" t="s">
        <v>279</v>
      </c>
      <c r="E7136" s="925" t="s">
        <v>5657</v>
      </c>
      <c r="F7136" s="909" t="s">
        <v>45</v>
      </c>
      <c r="G7136" s="910"/>
      <c r="H7136" s="911">
        <v>1</v>
      </c>
      <c r="I7136" s="912">
        <f>VLOOKUP(E7136,[3]VLP!$B$7:$K$300,10,0)</f>
        <v>25155</v>
      </c>
      <c r="J7136" s="912">
        <f t="shared" si="528"/>
        <v>25155</v>
      </c>
      <c r="K7136" s="912" t="s">
        <v>274</v>
      </c>
      <c r="L7136" s="912"/>
      <c r="M7136" s="912"/>
      <c r="N7136" s="912"/>
      <c r="O7136" s="892">
        <f t="shared" si="529"/>
        <v>0</v>
      </c>
      <c r="P7136" s="903">
        <f t="shared" si="522"/>
        <v>1</v>
      </c>
      <c r="Q7136" s="893">
        <f t="shared" si="523"/>
        <v>8</v>
      </c>
      <c r="R7136" s="894">
        <f t="shared" si="524"/>
        <v>0</v>
      </c>
    </row>
    <row r="7137" spans="1:18">
      <c r="A7137" s="905"/>
      <c r="B7137" s="906"/>
      <c r="C7137" s="907">
        <v>44</v>
      </c>
      <c r="D7137" s="907" t="s">
        <v>279</v>
      </c>
      <c r="E7137" s="925" t="s">
        <v>2681</v>
      </c>
      <c r="F7137" s="926" t="s">
        <v>45</v>
      </c>
      <c r="G7137" s="910"/>
      <c r="H7137" s="911">
        <v>1</v>
      </c>
      <c r="I7137" s="912">
        <f>VLOOKUP(E7137,[3]VLP!$B$7:$K$300,10,0)</f>
        <v>23000</v>
      </c>
      <c r="J7137" s="912">
        <f t="shared" si="528"/>
        <v>23000</v>
      </c>
      <c r="K7137" s="912" t="s">
        <v>274</v>
      </c>
      <c r="L7137" s="912"/>
      <c r="M7137" s="912"/>
      <c r="N7137" s="912"/>
      <c r="O7137" s="892">
        <f t="shared" si="529"/>
        <v>0</v>
      </c>
      <c r="P7137" s="903">
        <f t="shared" si="522"/>
        <v>1</v>
      </c>
      <c r="Q7137" s="893">
        <f t="shared" si="523"/>
        <v>7</v>
      </c>
      <c r="R7137" s="894">
        <f t="shared" si="524"/>
        <v>0</v>
      </c>
    </row>
    <row r="7138" spans="1:18">
      <c r="A7138" s="905"/>
      <c r="B7138" s="906"/>
      <c r="C7138" s="907">
        <v>66</v>
      </c>
      <c r="D7138" s="907" t="s">
        <v>279</v>
      </c>
      <c r="E7138" s="925" t="s">
        <v>2682</v>
      </c>
      <c r="F7138" s="926" t="s">
        <v>45</v>
      </c>
      <c r="G7138" s="910"/>
      <c r="H7138" s="911">
        <v>0.5</v>
      </c>
      <c r="I7138" s="912">
        <f>VLOOKUP(E7138,[3]VLP!$B$7:$K$300,10,0)</f>
        <v>5000</v>
      </c>
      <c r="J7138" s="912">
        <f t="shared" si="528"/>
        <v>2500</v>
      </c>
      <c r="K7138" s="912" t="s">
        <v>274</v>
      </c>
      <c r="L7138" s="912"/>
      <c r="M7138" s="912"/>
      <c r="N7138" s="912"/>
      <c r="O7138" s="892">
        <f t="shared" si="529"/>
        <v>0</v>
      </c>
      <c r="P7138" s="903">
        <f t="shared" si="522"/>
        <v>1</v>
      </c>
      <c r="Q7138" s="893">
        <f t="shared" si="523"/>
        <v>6</v>
      </c>
      <c r="R7138" s="894">
        <f t="shared" si="524"/>
        <v>0</v>
      </c>
    </row>
    <row r="7139" spans="1:18">
      <c r="A7139" s="905"/>
      <c r="B7139" s="906"/>
      <c r="C7139" s="907">
        <v>65</v>
      </c>
      <c r="D7139" s="907" t="s">
        <v>279</v>
      </c>
      <c r="E7139" s="925" t="s">
        <v>5983</v>
      </c>
      <c r="F7139" s="926" t="s">
        <v>3144</v>
      </c>
      <c r="G7139" s="910"/>
      <c r="H7139" s="911">
        <v>1</v>
      </c>
      <c r="I7139" s="912">
        <f>VLOOKUP(E7139,[3]VLP!$B$7:$K$300,10,0)</f>
        <v>14000</v>
      </c>
      <c r="J7139" s="912">
        <f t="shared" si="528"/>
        <v>14000</v>
      </c>
      <c r="K7139" s="912" t="s">
        <v>274</v>
      </c>
      <c r="L7139" s="912"/>
      <c r="M7139" s="912"/>
      <c r="N7139" s="912"/>
      <c r="O7139" s="892">
        <f t="shared" si="529"/>
        <v>0</v>
      </c>
      <c r="P7139" s="903">
        <f t="shared" si="522"/>
        <v>1</v>
      </c>
      <c r="Q7139" s="893">
        <f t="shared" si="523"/>
        <v>5</v>
      </c>
      <c r="R7139" s="894">
        <f t="shared" si="524"/>
        <v>0</v>
      </c>
    </row>
    <row r="7140" spans="1:18">
      <c r="A7140" s="905"/>
      <c r="B7140" s="906"/>
      <c r="C7140" s="907">
        <v>89</v>
      </c>
      <c r="D7140" s="907" t="s">
        <v>279</v>
      </c>
      <c r="E7140" s="925" t="s">
        <v>5984</v>
      </c>
      <c r="F7140" s="926" t="s">
        <v>45</v>
      </c>
      <c r="G7140" s="910"/>
      <c r="H7140" s="911">
        <v>0.1</v>
      </c>
      <c r="I7140" s="912">
        <f>VLOOKUP(E7140,[3]VLP!$B$7:$K$300,10,0)</f>
        <v>1000</v>
      </c>
      <c r="J7140" s="912">
        <f t="shared" si="528"/>
        <v>100</v>
      </c>
      <c r="K7140" s="912" t="s">
        <v>274</v>
      </c>
      <c r="L7140" s="912"/>
      <c r="M7140" s="912"/>
      <c r="N7140" s="912"/>
      <c r="O7140" s="892">
        <f t="shared" si="529"/>
        <v>0</v>
      </c>
      <c r="P7140" s="903">
        <f t="shared" si="522"/>
        <v>1</v>
      </c>
      <c r="Q7140" s="893">
        <f t="shared" si="523"/>
        <v>4</v>
      </c>
      <c r="R7140" s="894">
        <f t="shared" si="524"/>
        <v>0</v>
      </c>
    </row>
    <row r="7141" spans="1:18">
      <c r="A7141" s="905"/>
      <c r="B7141" s="906"/>
      <c r="C7141" s="907">
        <v>699</v>
      </c>
      <c r="D7141" s="907" t="s">
        <v>279</v>
      </c>
      <c r="E7141" s="925" t="s">
        <v>4006</v>
      </c>
      <c r="F7141" s="926" t="s">
        <v>4007</v>
      </c>
      <c r="G7141" s="910"/>
      <c r="H7141" s="911">
        <v>5</v>
      </c>
      <c r="I7141" s="912">
        <f>VLOOKUP(E7141,[3]VLP!$B$7:$K$300,10,0)</f>
        <v>5000</v>
      </c>
      <c r="J7141" s="912">
        <f t="shared" si="528"/>
        <v>25000</v>
      </c>
      <c r="K7141" s="912" t="s">
        <v>274</v>
      </c>
      <c r="L7141" s="912"/>
      <c r="M7141" s="912"/>
      <c r="N7141" s="912"/>
      <c r="O7141" s="892">
        <f t="shared" si="529"/>
        <v>0</v>
      </c>
      <c r="P7141" s="903">
        <f t="shared" si="522"/>
        <v>1</v>
      </c>
      <c r="Q7141" s="893">
        <f t="shared" si="523"/>
        <v>3</v>
      </c>
      <c r="R7141" s="894">
        <f t="shared" si="524"/>
        <v>0</v>
      </c>
    </row>
    <row r="7142" spans="1:18" s="904" customFormat="1">
      <c r="A7142" s="895"/>
      <c r="B7142" s="896"/>
      <c r="C7142" s="897"/>
      <c r="D7142" s="897"/>
      <c r="E7142" s="924" t="s">
        <v>276</v>
      </c>
      <c r="F7142" s="927"/>
      <c r="G7142" s="928"/>
      <c r="H7142" s="901"/>
      <c r="I7142" s="902"/>
      <c r="J7142" s="902"/>
      <c r="K7142" s="912" t="s">
        <v>274</v>
      </c>
      <c r="L7142" s="902"/>
      <c r="M7142" s="902"/>
      <c r="N7142" s="902"/>
      <c r="O7142" s="892">
        <f t="shared" si="529"/>
        <v>0</v>
      </c>
      <c r="P7142" s="903">
        <f t="shared" si="522"/>
        <v>1</v>
      </c>
      <c r="Q7142" s="893">
        <f t="shared" si="523"/>
        <v>2</v>
      </c>
      <c r="R7142" s="894">
        <f t="shared" si="524"/>
        <v>0</v>
      </c>
    </row>
    <row r="7143" spans="1:18">
      <c r="A7143" s="905"/>
      <c r="B7143" s="906"/>
      <c r="C7143" s="907">
        <v>745</v>
      </c>
      <c r="D7143" s="907" t="s">
        <v>12</v>
      </c>
      <c r="E7143" s="908" t="s">
        <v>5518</v>
      </c>
      <c r="F7143" s="909" t="s">
        <v>2674</v>
      </c>
      <c r="G7143" s="910"/>
      <c r="H7143" s="911">
        <v>18.28</v>
      </c>
      <c r="I7143" s="912"/>
      <c r="J7143" s="912"/>
      <c r="K7143" s="912">
        <f>VLOOKUP(E7143,[5]ĐMNC!$A$7:$F$67,4,0)</f>
        <v>240557</v>
      </c>
      <c r="L7143" s="912">
        <f>H7143*K7143</f>
        <v>4397381.96</v>
      </c>
      <c r="M7143" s="912"/>
      <c r="N7143" s="912"/>
      <c r="O7143" s="892">
        <f t="shared" si="529"/>
        <v>0</v>
      </c>
      <c r="P7143" s="903">
        <f t="shared" si="522"/>
        <v>1</v>
      </c>
      <c r="Q7143" s="893">
        <f t="shared" si="523"/>
        <v>1</v>
      </c>
      <c r="R7143" s="894">
        <f t="shared" si="524"/>
        <v>0</v>
      </c>
    </row>
    <row r="7144" spans="1:18" s="847" customFormat="1" ht="35.25" customHeight="1">
      <c r="A7144" s="905"/>
      <c r="B7144" s="914" t="s">
        <v>6079</v>
      </c>
      <c r="C7144" s="915"/>
      <c r="D7144" s="915"/>
      <c r="E7144" s="916" t="s">
        <v>6080</v>
      </c>
      <c r="F7144" s="917" t="s">
        <v>6064</v>
      </c>
      <c r="G7144" s="944"/>
      <c r="H7144" s="919"/>
      <c r="I7144" s="920"/>
      <c r="J7144" s="891">
        <f>SUM(J7145:J7157)</f>
        <v>756415</v>
      </c>
      <c r="K7144" s="891"/>
      <c r="L7144" s="891">
        <f>SUM(L7145:L7157)</f>
        <v>4895334.95</v>
      </c>
      <c r="M7144" s="891"/>
      <c r="N7144" s="891">
        <f>SUM(N7145:N7157)</f>
        <v>0</v>
      </c>
      <c r="O7144" s="892">
        <f t="shared" si="529"/>
        <v>1</v>
      </c>
      <c r="P7144" s="903">
        <f t="shared" ref="P7144:P7207" si="530">IF(O7144=0,1,0)</f>
        <v>0</v>
      </c>
      <c r="Q7144" s="893">
        <f t="shared" ref="Q7144:Q7207" si="531">IF(P7144=0,0,P7144+Q7145)</f>
        <v>0</v>
      </c>
      <c r="R7144" s="894">
        <f t="shared" ref="R7144:R7207" si="532">IF(Q7144=0,Q7145,0)</f>
        <v>13</v>
      </c>
    </row>
    <row r="7145" spans="1:18" s="904" customFormat="1">
      <c r="A7145" s="895"/>
      <c r="B7145" s="896"/>
      <c r="C7145" s="897"/>
      <c r="D7145" s="897"/>
      <c r="E7145" s="898" t="s">
        <v>108</v>
      </c>
      <c r="F7145" s="899"/>
      <c r="G7145" s="928"/>
      <c r="H7145" s="901"/>
      <c r="I7145" s="902"/>
      <c r="J7145" s="902"/>
      <c r="K7145" s="912" t="s">
        <v>274</v>
      </c>
      <c r="L7145" s="902"/>
      <c r="M7145" s="902"/>
      <c r="N7145" s="902"/>
      <c r="O7145" s="892">
        <f t="shared" si="529"/>
        <v>0</v>
      </c>
      <c r="P7145" s="903">
        <f t="shared" si="530"/>
        <v>1</v>
      </c>
      <c r="Q7145" s="893">
        <f t="shared" si="531"/>
        <v>13</v>
      </c>
      <c r="R7145" s="894">
        <f t="shared" si="532"/>
        <v>0</v>
      </c>
    </row>
    <row r="7146" spans="1:18">
      <c r="A7146" s="905"/>
      <c r="B7146" s="906"/>
      <c r="C7146" s="907">
        <v>49</v>
      </c>
      <c r="D7146" s="907" t="s">
        <v>279</v>
      </c>
      <c r="E7146" s="925" t="s">
        <v>5698</v>
      </c>
      <c r="F7146" s="909" t="s">
        <v>139</v>
      </c>
      <c r="G7146" s="910"/>
      <c r="H7146" s="911">
        <v>2</v>
      </c>
      <c r="I7146" s="912">
        <f>VLOOKUP(E7146,[3]VLP!$B$7:$K$300,10,0)</f>
        <v>3000</v>
      </c>
      <c r="J7146" s="912">
        <f t="shared" ref="J7146:J7155" si="533">I7146*H7146</f>
        <v>6000</v>
      </c>
      <c r="K7146" s="912" t="s">
        <v>274</v>
      </c>
      <c r="L7146" s="912"/>
      <c r="M7146" s="912"/>
      <c r="N7146" s="912"/>
      <c r="O7146" s="892">
        <f t="shared" si="529"/>
        <v>0</v>
      </c>
      <c r="P7146" s="903">
        <f t="shared" si="530"/>
        <v>1</v>
      </c>
      <c r="Q7146" s="893">
        <f t="shared" si="531"/>
        <v>12</v>
      </c>
      <c r="R7146" s="894">
        <f t="shared" si="532"/>
        <v>0</v>
      </c>
    </row>
    <row r="7147" spans="1:18">
      <c r="A7147" s="905"/>
      <c r="B7147" s="906"/>
      <c r="C7147" s="907">
        <v>50</v>
      </c>
      <c r="D7147" s="907" t="s">
        <v>279</v>
      </c>
      <c r="E7147" s="925" t="s">
        <v>5836</v>
      </c>
      <c r="F7147" s="909" t="s">
        <v>49</v>
      </c>
      <c r="G7147" s="910"/>
      <c r="H7147" s="911">
        <v>4</v>
      </c>
      <c r="I7147" s="912">
        <f>VLOOKUP(E7147,[3]VLP!$B$7:$K$300,10,0)</f>
        <v>85790</v>
      </c>
      <c r="J7147" s="912">
        <f t="shared" si="533"/>
        <v>343160</v>
      </c>
      <c r="K7147" s="912" t="s">
        <v>274</v>
      </c>
      <c r="L7147" s="912"/>
      <c r="M7147" s="912"/>
      <c r="N7147" s="912"/>
      <c r="O7147" s="892">
        <f t="shared" si="529"/>
        <v>0</v>
      </c>
      <c r="P7147" s="903">
        <f t="shared" si="530"/>
        <v>1</v>
      </c>
      <c r="Q7147" s="893">
        <f t="shared" si="531"/>
        <v>11</v>
      </c>
      <c r="R7147" s="894">
        <f t="shared" si="532"/>
        <v>0</v>
      </c>
    </row>
    <row r="7148" spans="1:18">
      <c r="A7148" s="905"/>
      <c r="B7148" s="906"/>
      <c r="C7148" s="907">
        <v>46</v>
      </c>
      <c r="D7148" s="907" t="s">
        <v>279</v>
      </c>
      <c r="E7148" s="925" t="s">
        <v>3179</v>
      </c>
      <c r="F7148" s="909" t="s">
        <v>45</v>
      </c>
      <c r="G7148" s="910"/>
      <c r="H7148" s="911">
        <v>15</v>
      </c>
      <c r="I7148" s="912">
        <f>VLOOKUP(E7148,[3]VLP!$B$7:$K$300,10,0)</f>
        <v>20500</v>
      </c>
      <c r="J7148" s="912">
        <f t="shared" si="533"/>
        <v>307500</v>
      </c>
      <c r="K7148" s="912" t="s">
        <v>274</v>
      </c>
      <c r="L7148" s="912"/>
      <c r="M7148" s="912"/>
      <c r="N7148" s="912"/>
      <c r="O7148" s="892">
        <f t="shared" si="529"/>
        <v>0</v>
      </c>
      <c r="P7148" s="903">
        <f t="shared" si="530"/>
        <v>1</v>
      </c>
      <c r="Q7148" s="893">
        <f t="shared" si="531"/>
        <v>10</v>
      </c>
      <c r="R7148" s="894">
        <f t="shared" si="532"/>
        <v>0</v>
      </c>
    </row>
    <row r="7149" spans="1:18">
      <c r="A7149" s="905"/>
      <c r="B7149" s="906"/>
      <c r="C7149" s="907">
        <v>25</v>
      </c>
      <c r="D7149" s="907" t="s">
        <v>279</v>
      </c>
      <c r="E7149" s="925" t="s">
        <v>5656</v>
      </c>
      <c r="F7149" s="926" t="s">
        <v>2690</v>
      </c>
      <c r="G7149" s="910"/>
      <c r="H7149" s="911">
        <v>2</v>
      </c>
      <c r="I7149" s="912">
        <f>VLOOKUP(E7149,[3]VLP!$B$7:$K$300,10,0)</f>
        <v>5000</v>
      </c>
      <c r="J7149" s="912">
        <f t="shared" si="533"/>
        <v>10000</v>
      </c>
      <c r="K7149" s="912" t="s">
        <v>274</v>
      </c>
      <c r="L7149" s="912"/>
      <c r="M7149" s="912"/>
      <c r="N7149" s="912"/>
      <c r="O7149" s="892">
        <f t="shared" si="529"/>
        <v>0</v>
      </c>
      <c r="P7149" s="903">
        <f t="shared" si="530"/>
        <v>1</v>
      </c>
      <c r="Q7149" s="893">
        <f t="shared" si="531"/>
        <v>9</v>
      </c>
      <c r="R7149" s="894">
        <f t="shared" si="532"/>
        <v>0</v>
      </c>
    </row>
    <row r="7150" spans="1:18">
      <c r="A7150" s="905"/>
      <c r="B7150" s="906"/>
      <c r="C7150" s="907">
        <v>127</v>
      </c>
      <c r="D7150" s="907" t="s">
        <v>279</v>
      </c>
      <c r="E7150" s="925" t="s">
        <v>5657</v>
      </c>
      <c r="F7150" s="909" t="s">
        <v>45</v>
      </c>
      <c r="G7150" s="910"/>
      <c r="H7150" s="911">
        <v>1</v>
      </c>
      <c r="I7150" s="912">
        <f>VLOOKUP(E7150,[3]VLP!$B$7:$K$300,10,0)</f>
        <v>25155</v>
      </c>
      <c r="J7150" s="912">
        <f t="shared" si="533"/>
        <v>25155</v>
      </c>
      <c r="K7150" s="912" t="s">
        <v>274</v>
      </c>
      <c r="L7150" s="912"/>
      <c r="M7150" s="912"/>
      <c r="N7150" s="912"/>
      <c r="O7150" s="892">
        <f t="shared" si="529"/>
        <v>0</v>
      </c>
      <c r="P7150" s="903">
        <f t="shared" si="530"/>
        <v>1</v>
      </c>
      <c r="Q7150" s="893">
        <f t="shared" si="531"/>
        <v>8</v>
      </c>
      <c r="R7150" s="894">
        <f t="shared" si="532"/>
        <v>0</v>
      </c>
    </row>
    <row r="7151" spans="1:18">
      <c r="A7151" s="905"/>
      <c r="B7151" s="906"/>
      <c r="C7151" s="907">
        <v>44</v>
      </c>
      <c r="D7151" s="907" t="s">
        <v>279</v>
      </c>
      <c r="E7151" s="925" t="s">
        <v>2681</v>
      </c>
      <c r="F7151" s="926" t="s">
        <v>45</v>
      </c>
      <c r="G7151" s="910"/>
      <c r="H7151" s="911">
        <v>1</v>
      </c>
      <c r="I7151" s="912">
        <f>VLOOKUP(E7151,[3]VLP!$B$7:$K$300,10,0)</f>
        <v>23000</v>
      </c>
      <c r="J7151" s="912">
        <f t="shared" si="533"/>
        <v>23000</v>
      </c>
      <c r="K7151" s="912" t="s">
        <v>274</v>
      </c>
      <c r="L7151" s="912"/>
      <c r="M7151" s="912"/>
      <c r="N7151" s="912"/>
      <c r="O7151" s="892">
        <f t="shared" si="529"/>
        <v>0</v>
      </c>
      <c r="P7151" s="903">
        <f t="shared" si="530"/>
        <v>1</v>
      </c>
      <c r="Q7151" s="893">
        <f t="shared" si="531"/>
        <v>7</v>
      </c>
      <c r="R7151" s="894">
        <f t="shared" si="532"/>
        <v>0</v>
      </c>
    </row>
    <row r="7152" spans="1:18">
      <c r="A7152" s="905"/>
      <c r="B7152" s="906"/>
      <c r="C7152" s="907">
        <v>66</v>
      </c>
      <c r="D7152" s="907" t="s">
        <v>279</v>
      </c>
      <c r="E7152" s="925" t="s">
        <v>2682</v>
      </c>
      <c r="F7152" s="926" t="s">
        <v>45</v>
      </c>
      <c r="G7152" s="910"/>
      <c r="H7152" s="911">
        <v>0.5</v>
      </c>
      <c r="I7152" s="912">
        <f>VLOOKUP(E7152,[3]VLP!$B$7:$K$300,10,0)</f>
        <v>5000</v>
      </c>
      <c r="J7152" s="912">
        <f t="shared" si="533"/>
        <v>2500</v>
      </c>
      <c r="K7152" s="912" t="s">
        <v>274</v>
      </c>
      <c r="L7152" s="912"/>
      <c r="M7152" s="912"/>
      <c r="N7152" s="912"/>
      <c r="O7152" s="892">
        <f t="shared" si="529"/>
        <v>0</v>
      </c>
      <c r="P7152" s="903">
        <f t="shared" si="530"/>
        <v>1</v>
      </c>
      <c r="Q7152" s="893">
        <f t="shared" si="531"/>
        <v>6</v>
      </c>
      <c r="R7152" s="894">
        <f t="shared" si="532"/>
        <v>0</v>
      </c>
    </row>
    <row r="7153" spans="1:18">
      <c r="A7153" s="905"/>
      <c r="B7153" s="906"/>
      <c r="C7153" s="907">
        <v>65</v>
      </c>
      <c r="D7153" s="907" t="s">
        <v>279</v>
      </c>
      <c r="E7153" s="925" t="s">
        <v>5983</v>
      </c>
      <c r="F7153" s="926" t="s">
        <v>3144</v>
      </c>
      <c r="G7153" s="910"/>
      <c r="H7153" s="911">
        <v>1</v>
      </c>
      <c r="I7153" s="912">
        <f>VLOOKUP(E7153,[3]VLP!$B$7:$K$300,10,0)</f>
        <v>14000</v>
      </c>
      <c r="J7153" s="912">
        <f t="shared" si="533"/>
        <v>14000</v>
      </c>
      <c r="K7153" s="912" t="s">
        <v>274</v>
      </c>
      <c r="L7153" s="912"/>
      <c r="M7153" s="912"/>
      <c r="N7153" s="912"/>
      <c r="O7153" s="892">
        <f t="shared" si="529"/>
        <v>0</v>
      </c>
      <c r="P7153" s="903">
        <f t="shared" si="530"/>
        <v>1</v>
      </c>
      <c r="Q7153" s="893">
        <f t="shared" si="531"/>
        <v>5</v>
      </c>
      <c r="R7153" s="894">
        <f t="shared" si="532"/>
        <v>0</v>
      </c>
    </row>
    <row r="7154" spans="1:18">
      <c r="A7154" s="905"/>
      <c r="B7154" s="906"/>
      <c r="C7154" s="907">
        <v>89</v>
      </c>
      <c r="D7154" s="907" t="s">
        <v>279</v>
      </c>
      <c r="E7154" s="925" t="s">
        <v>5984</v>
      </c>
      <c r="F7154" s="926" t="s">
        <v>45</v>
      </c>
      <c r="G7154" s="910"/>
      <c r="H7154" s="911">
        <v>0.1</v>
      </c>
      <c r="I7154" s="912">
        <f>VLOOKUP(E7154,[3]VLP!$B$7:$K$300,10,0)</f>
        <v>1000</v>
      </c>
      <c r="J7154" s="912">
        <f t="shared" si="533"/>
        <v>100</v>
      </c>
      <c r="K7154" s="912" t="s">
        <v>274</v>
      </c>
      <c r="L7154" s="912"/>
      <c r="M7154" s="912"/>
      <c r="N7154" s="912"/>
      <c r="O7154" s="892">
        <f t="shared" si="529"/>
        <v>0</v>
      </c>
      <c r="P7154" s="903">
        <f t="shared" si="530"/>
        <v>1</v>
      </c>
      <c r="Q7154" s="893">
        <f t="shared" si="531"/>
        <v>4</v>
      </c>
      <c r="R7154" s="894">
        <f t="shared" si="532"/>
        <v>0</v>
      </c>
    </row>
    <row r="7155" spans="1:18">
      <c r="A7155" s="905"/>
      <c r="B7155" s="906"/>
      <c r="C7155" s="907">
        <v>699</v>
      </c>
      <c r="D7155" s="907" t="s">
        <v>279</v>
      </c>
      <c r="E7155" s="925" t="s">
        <v>4006</v>
      </c>
      <c r="F7155" s="926" t="s">
        <v>4007</v>
      </c>
      <c r="G7155" s="910"/>
      <c r="H7155" s="911">
        <v>5</v>
      </c>
      <c r="I7155" s="912">
        <f>VLOOKUP(E7155,[3]VLP!$B$7:$K$300,10,0)</f>
        <v>5000</v>
      </c>
      <c r="J7155" s="912">
        <f t="shared" si="533"/>
        <v>25000</v>
      </c>
      <c r="K7155" s="912" t="s">
        <v>274</v>
      </c>
      <c r="L7155" s="912"/>
      <c r="M7155" s="912"/>
      <c r="N7155" s="912"/>
      <c r="O7155" s="892">
        <f t="shared" si="529"/>
        <v>0</v>
      </c>
      <c r="P7155" s="903">
        <f t="shared" si="530"/>
        <v>1</v>
      </c>
      <c r="Q7155" s="893">
        <f t="shared" si="531"/>
        <v>3</v>
      </c>
      <c r="R7155" s="894">
        <f t="shared" si="532"/>
        <v>0</v>
      </c>
    </row>
    <row r="7156" spans="1:18" s="904" customFormat="1">
      <c r="A7156" s="895"/>
      <c r="B7156" s="896"/>
      <c r="C7156" s="897"/>
      <c r="D7156" s="897"/>
      <c r="E7156" s="924" t="s">
        <v>276</v>
      </c>
      <c r="F7156" s="927"/>
      <c r="G7156" s="928"/>
      <c r="H7156" s="901"/>
      <c r="I7156" s="902"/>
      <c r="J7156" s="902"/>
      <c r="K7156" s="912" t="s">
        <v>274</v>
      </c>
      <c r="L7156" s="902"/>
      <c r="M7156" s="902"/>
      <c r="N7156" s="902"/>
      <c r="O7156" s="892">
        <f t="shared" si="529"/>
        <v>0</v>
      </c>
      <c r="P7156" s="903">
        <f t="shared" si="530"/>
        <v>1</v>
      </c>
      <c r="Q7156" s="893">
        <f t="shared" si="531"/>
        <v>2</v>
      </c>
      <c r="R7156" s="894">
        <f t="shared" si="532"/>
        <v>0</v>
      </c>
    </row>
    <row r="7157" spans="1:18">
      <c r="A7157" s="905"/>
      <c r="B7157" s="906"/>
      <c r="C7157" s="907">
        <v>745</v>
      </c>
      <c r="D7157" s="907" t="s">
        <v>12</v>
      </c>
      <c r="E7157" s="908" t="s">
        <v>5518</v>
      </c>
      <c r="F7157" s="909" t="s">
        <v>2674</v>
      </c>
      <c r="G7157" s="910"/>
      <c r="H7157" s="911">
        <v>20.350000000000001</v>
      </c>
      <c r="I7157" s="912"/>
      <c r="J7157" s="912"/>
      <c r="K7157" s="912">
        <f>VLOOKUP(E7157,[5]ĐMNC!$A$7:$F$67,4,0)</f>
        <v>240557</v>
      </c>
      <c r="L7157" s="912">
        <f>H7157*K7157</f>
        <v>4895334.95</v>
      </c>
      <c r="M7157" s="912"/>
      <c r="N7157" s="912"/>
      <c r="O7157" s="892">
        <f t="shared" si="529"/>
        <v>0</v>
      </c>
      <c r="P7157" s="903">
        <f t="shared" si="530"/>
        <v>1</v>
      </c>
      <c r="Q7157" s="893">
        <f t="shared" si="531"/>
        <v>1</v>
      </c>
      <c r="R7157" s="894">
        <f t="shared" si="532"/>
        <v>0</v>
      </c>
    </row>
    <row r="7158" spans="1:18" s="847" customFormat="1" ht="35.25" customHeight="1">
      <c r="A7158" s="905"/>
      <c r="B7158" s="914" t="s">
        <v>6081</v>
      </c>
      <c r="C7158" s="915"/>
      <c r="D7158" s="915"/>
      <c r="E7158" s="916" t="s">
        <v>6082</v>
      </c>
      <c r="F7158" s="917" t="s">
        <v>6064</v>
      </c>
      <c r="G7158" s="944"/>
      <c r="H7158" s="919"/>
      <c r="I7158" s="920"/>
      <c r="J7158" s="891">
        <f>SUM(J7159:J7171)</f>
        <v>756415</v>
      </c>
      <c r="K7158" s="891"/>
      <c r="L7158" s="891">
        <f>SUM(L7159:L7171)</f>
        <v>5407721.3600000003</v>
      </c>
      <c r="M7158" s="891"/>
      <c r="N7158" s="891">
        <f>SUM(N7159:N7171)</f>
        <v>0</v>
      </c>
      <c r="O7158" s="892">
        <f t="shared" si="529"/>
        <v>1</v>
      </c>
      <c r="P7158" s="903">
        <f t="shared" si="530"/>
        <v>0</v>
      </c>
      <c r="Q7158" s="893">
        <f t="shared" si="531"/>
        <v>0</v>
      </c>
      <c r="R7158" s="894">
        <f t="shared" si="532"/>
        <v>13</v>
      </c>
    </row>
    <row r="7159" spans="1:18" s="904" customFormat="1">
      <c r="A7159" s="895"/>
      <c r="B7159" s="896"/>
      <c r="C7159" s="897"/>
      <c r="D7159" s="897"/>
      <c r="E7159" s="898" t="s">
        <v>108</v>
      </c>
      <c r="F7159" s="899"/>
      <c r="G7159" s="928"/>
      <c r="H7159" s="901"/>
      <c r="I7159" s="902"/>
      <c r="J7159" s="902"/>
      <c r="K7159" s="912" t="s">
        <v>274</v>
      </c>
      <c r="L7159" s="902"/>
      <c r="M7159" s="902"/>
      <c r="N7159" s="902"/>
      <c r="O7159" s="892">
        <f t="shared" si="529"/>
        <v>0</v>
      </c>
      <c r="P7159" s="903">
        <f t="shared" si="530"/>
        <v>1</v>
      </c>
      <c r="Q7159" s="893">
        <f t="shared" si="531"/>
        <v>13</v>
      </c>
      <c r="R7159" s="894">
        <f t="shared" si="532"/>
        <v>0</v>
      </c>
    </row>
    <row r="7160" spans="1:18">
      <c r="A7160" s="905"/>
      <c r="B7160" s="906"/>
      <c r="C7160" s="907">
        <v>49</v>
      </c>
      <c r="D7160" s="907" t="s">
        <v>279</v>
      </c>
      <c r="E7160" s="925" t="s">
        <v>5698</v>
      </c>
      <c r="F7160" s="909" t="s">
        <v>139</v>
      </c>
      <c r="G7160" s="910"/>
      <c r="H7160" s="911">
        <v>2</v>
      </c>
      <c r="I7160" s="912">
        <f>VLOOKUP(E7160,[3]VLP!$B$7:$K$300,10,0)</f>
        <v>3000</v>
      </c>
      <c r="J7160" s="912">
        <f t="shared" ref="J7160:J7169" si="534">I7160*H7160</f>
        <v>6000</v>
      </c>
      <c r="K7160" s="912" t="s">
        <v>274</v>
      </c>
      <c r="L7160" s="912"/>
      <c r="M7160" s="912"/>
      <c r="N7160" s="912"/>
      <c r="O7160" s="892">
        <f t="shared" si="529"/>
        <v>0</v>
      </c>
      <c r="P7160" s="903">
        <f t="shared" si="530"/>
        <v>1</v>
      </c>
      <c r="Q7160" s="893">
        <f t="shared" si="531"/>
        <v>12</v>
      </c>
      <c r="R7160" s="894">
        <f t="shared" si="532"/>
        <v>0</v>
      </c>
    </row>
    <row r="7161" spans="1:18">
      <c r="A7161" s="905"/>
      <c r="B7161" s="906"/>
      <c r="C7161" s="907">
        <v>50</v>
      </c>
      <c r="D7161" s="907" t="s">
        <v>279</v>
      </c>
      <c r="E7161" s="925" t="s">
        <v>5836</v>
      </c>
      <c r="F7161" s="909" t="s">
        <v>49</v>
      </c>
      <c r="G7161" s="910"/>
      <c r="H7161" s="911">
        <v>4</v>
      </c>
      <c r="I7161" s="912">
        <f>VLOOKUP(E7161,[3]VLP!$B$7:$K$300,10,0)</f>
        <v>85790</v>
      </c>
      <c r="J7161" s="912">
        <f t="shared" si="534"/>
        <v>343160</v>
      </c>
      <c r="K7161" s="912" t="s">
        <v>274</v>
      </c>
      <c r="L7161" s="912"/>
      <c r="M7161" s="912"/>
      <c r="N7161" s="912"/>
      <c r="O7161" s="892">
        <f t="shared" si="529"/>
        <v>0</v>
      </c>
      <c r="P7161" s="903">
        <f t="shared" si="530"/>
        <v>1</v>
      </c>
      <c r="Q7161" s="893">
        <f t="shared" si="531"/>
        <v>11</v>
      </c>
      <c r="R7161" s="894">
        <f t="shared" si="532"/>
        <v>0</v>
      </c>
    </row>
    <row r="7162" spans="1:18">
      <c r="A7162" s="905"/>
      <c r="B7162" s="906"/>
      <c r="C7162" s="907">
        <v>46</v>
      </c>
      <c r="D7162" s="907" t="s">
        <v>279</v>
      </c>
      <c r="E7162" s="925" t="s">
        <v>3179</v>
      </c>
      <c r="F7162" s="909" t="s">
        <v>45</v>
      </c>
      <c r="G7162" s="910"/>
      <c r="H7162" s="911">
        <v>15</v>
      </c>
      <c r="I7162" s="912">
        <f>VLOOKUP(E7162,[3]VLP!$B$7:$K$300,10,0)</f>
        <v>20500</v>
      </c>
      <c r="J7162" s="912">
        <f t="shared" si="534"/>
        <v>307500</v>
      </c>
      <c r="K7162" s="912" t="s">
        <v>274</v>
      </c>
      <c r="L7162" s="912"/>
      <c r="M7162" s="912"/>
      <c r="N7162" s="912"/>
      <c r="O7162" s="892">
        <f t="shared" si="529"/>
        <v>0</v>
      </c>
      <c r="P7162" s="903">
        <f t="shared" si="530"/>
        <v>1</v>
      </c>
      <c r="Q7162" s="893">
        <f t="shared" si="531"/>
        <v>10</v>
      </c>
      <c r="R7162" s="894">
        <f t="shared" si="532"/>
        <v>0</v>
      </c>
    </row>
    <row r="7163" spans="1:18">
      <c r="A7163" s="905"/>
      <c r="B7163" s="906"/>
      <c r="C7163" s="907">
        <v>25</v>
      </c>
      <c r="D7163" s="907" t="s">
        <v>279</v>
      </c>
      <c r="E7163" s="925" t="s">
        <v>5656</v>
      </c>
      <c r="F7163" s="926" t="s">
        <v>2690</v>
      </c>
      <c r="G7163" s="910"/>
      <c r="H7163" s="911">
        <v>2</v>
      </c>
      <c r="I7163" s="912">
        <f>VLOOKUP(E7163,[3]VLP!$B$7:$K$300,10,0)</f>
        <v>5000</v>
      </c>
      <c r="J7163" s="912">
        <f t="shared" si="534"/>
        <v>10000</v>
      </c>
      <c r="K7163" s="912" t="s">
        <v>274</v>
      </c>
      <c r="L7163" s="912"/>
      <c r="M7163" s="912"/>
      <c r="N7163" s="912"/>
      <c r="O7163" s="892">
        <f t="shared" si="529"/>
        <v>0</v>
      </c>
      <c r="P7163" s="903">
        <f t="shared" si="530"/>
        <v>1</v>
      </c>
      <c r="Q7163" s="893">
        <f t="shared" si="531"/>
        <v>9</v>
      </c>
      <c r="R7163" s="894">
        <f t="shared" si="532"/>
        <v>0</v>
      </c>
    </row>
    <row r="7164" spans="1:18">
      <c r="A7164" s="905"/>
      <c r="B7164" s="906"/>
      <c r="C7164" s="907">
        <v>127</v>
      </c>
      <c r="D7164" s="907" t="s">
        <v>279</v>
      </c>
      <c r="E7164" s="925" t="s">
        <v>5657</v>
      </c>
      <c r="F7164" s="909" t="s">
        <v>45</v>
      </c>
      <c r="G7164" s="910"/>
      <c r="H7164" s="911">
        <v>1</v>
      </c>
      <c r="I7164" s="912">
        <f>VLOOKUP(E7164,[3]VLP!$B$7:$K$300,10,0)</f>
        <v>25155</v>
      </c>
      <c r="J7164" s="912">
        <f t="shared" si="534"/>
        <v>25155</v>
      </c>
      <c r="K7164" s="912" t="s">
        <v>274</v>
      </c>
      <c r="L7164" s="912"/>
      <c r="M7164" s="912"/>
      <c r="N7164" s="912"/>
      <c r="O7164" s="892">
        <f t="shared" si="529"/>
        <v>0</v>
      </c>
      <c r="P7164" s="903">
        <f t="shared" si="530"/>
        <v>1</v>
      </c>
      <c r="Q7164" s="893">
        <f t="shared" si="531"/>
        <v>8</v>
      </c>
      <c r="R7164" s="894">
        <f t="shared" si="532"/>
        <v>0</v>
      </c>
    </row>
    <row r="7165" spans="1:18">
      <c r="A7165" s="905"/>
      <c r="B7165" s="906"/>
      <c r="C7165" s="907">
        <v>44</v>
      </c>
      <c r="D7165" s="907" t="s">
        <v>279</v>
      </c>
      <c r="E7165" s="925" t="s">
        <v>2681</v>
      </c>
      <c r="F7165" s="926" t="s">
        <v>45</v>
      </c>
      <c r="G7165" s="910"/>
      <c r="H7165" s="911">
        <v>1</v>
      </c>
      <c r="I7165" s="912">
        <f>VLOOKUP(E7165,[3]VLP!$B$7:$K$300,10,0)</f>
        <v>23000</v>
      </c>
      <c r="J7165" s="912">
        <f t="shared" si="534"/>
        <v>23000</v>
      </c>
      <c r="K7165" s="912" t="s">
        <v>274</v>
      </c>
      <c r="L7165" s="912"/>
      <c r="M7165" s="912"/>
      <c r="N7165" s="912"/>
      <c r="O7165" s="892">
        <f t="shared" si="529"/>
        <v>0</v>
      </c>
      <c r="P7165" s="903">
        <f t="shared" si="530"/>
        <v>1</v>
      </c>
      <c r="Q7165" s="893">
        <f t="shared" si="531"/>
        <v>7</v>
      </c>
      <c r="R7165" s="894">
        <f t="shared" si="532"/>
        <v>0</v>
      </c>
    </row>
    <row r="7166" spans="1:18">
      <c r="A7166" s="905"/>
      <c r="B7166" s="906"/>
      <c r="C7166" s="907">
        <v>66</v>
      </c>
      <c r="D7166" s="907" t="s">
        <v>279</v>
      </c>
      <c r="E7166" s="925" t="s">
        <v>2682</v>
      </c>
      <c r="F7166" s="926" t="s">
        <v>45</v>
      </c>
      <c r="G7166" s="910"/>
      <c r="H7166" s="911">
        <v>0.5</v>
      </c>
      <c r="I7166" s="912">
        <f>VLOOKUP(E7166,[3]VLP!$B$7:$K$300,10,0)</f>
        <v>5000</v>
      </c>
      <c r="J7166" s="912">
        <f t="shared" si="534"/>
        <v>2500</v>
      </c>
      <c r="K7166" s="912" t="s">
        <v>274</v>
      </c>
      <c r="L7166" s="912"/>
      <c r="M7166" s="912"/>
      <c r="N7166" s="912"/>
      <c r="O7166" s="892">
        <f t="shared" si="529"/>
        <v>0</v>
      </c>
      <c r="P7166" s="903">
        <f t="shared" si="530"/>
        <v>1</v>
      </c>
      <c r="Q7166" s="893">
        <f t="shared" si="531"/>
        <v>6</v>
      </c>
      <c r="R7166" s="894">
        <f t="shared" si="532"/>
        <v>0</v>
      </c>
    </row>
    <row r="7167" spans="1:18">
      <c r="A7167" s="905"/>
      <c r="B7167" s="906"/>
      <c r="C7167" s="907">
        <v>65</v>
      </c>
      <c r="D7167" s="907" t="s">
        <v>279</v>
      </c>
      <c r="E7167" s="925" t="s">
        <v>5983</v>
      </c>
      <c r="F7167" s="926" t="s">
        <v>3144</v>
      </c>
      <c r="G7167" s="910"/>
      <c r="H7167" s="911">
        <v>1</v>
      </c>
      <c r="I7167" s="912">
        <f>VLOOKUP(E7167,[3]VLP!$B$7:$K$300,10,0)</f>
        <v>14000</v>
      </c>
      <c r="J7167" s="912">
        <f t="shared" si="534"/>
        <v>14000</v>
      </c>
      <c r="K7167" s="912" t="s">
        <v>274</v>
      </c>
      <c r="L7167" s="912"/>
      <c r="M7167" s="912"/>
      <c r="N7167" s="912"/>
      <c r="O7167" s="892">
        <f t="shared" si="529"/>
        <v>0</v>
      </c>
      <c r="P7167" s="903">
        <f t="shared" si="530"/>
        <v>1</v>
      </c>
      <c r="Q7167" s="893">
        <f t="shared" si="531"/>
        <v>5</v>
      </c>
      <c r="R7167" s="894">
        <f t="shared" si="532"/>
        <v>0</v>
      </c>
    </row>
    <row r="7168" spans="1:18">
      <c r="A7168" s="905"/>
      <c r="B7168" s="906"/>
      <c r="C7168" s="907">
        <v>89</v>
      </c>
      <c r="D7168" s="907" t="s">
        <v>279</v>
      </c>
      <c r="E7168" s="925" t="s">
        <v>5984</v>
      </c>
      <c r="F7168" s="926" t="s">
        <v>45</v>
      </c>
      <c r="G7168" s="910"/>
      <c r="H7168" s="911">
        <v>0.1</v>
      </c>
      <c r="I7168" s="912">
        <f>VLOOKUP(E7168,[3]VLP!$B$7:$K$300,10,0)</f>
        <v>1000</v>
      </c>
      <c r="J7168" s="912">
        <f t="shared" si="534"/>
        <v>100</v>
      </c>
      <c r="K7168" s="912" t="s">
        <v>274</v>
      </c>
      <c r="L7168" s="912"/>
      <c r="M7168" s="912"/>
      <c r="N7168" s="912"/>
      <c r="O7168" s="892">
        <f t="shared" si="529"/>
        <v>0</v>
      </c>
      <c r="P7168" s="903">
        <f t="shared" si="530"/>
        <v>1</v>
      </c>
      <c r="Q7168" s="893">
        <f t="shared" si="531"/>
        <v>4</v>
      </c>
      <c r="R7168" s="894">
        <f t="shared" si="532"/>
        <v>0</v>
      </c>
    </row>
    <row r="7169" spans="1:18">
      <c r="A7169" s="905"/>
      <c r="B7169" s="906"/>
      <c r="C7169" s="907">
        <v>699</v>
      </c>
      <c r="D7169" s="907" t="s">
        <v>279</v>
      </c>
      <c r="E7169" s="925" t="s">
        <v>4006</v>
      </c>
      <c r="F7169" s="926" t="s">
        <v>4007</v>
      </c>
      <c r="G7169" s="910"/>
      <c r="H7169" s="911">
        <v>5</v>
      </c>
      <c r="I7169" s="912">
        <f>VLOOKUP(E7169,[3]VLP!$B$7:$K$300,10,0)</f>
        <v>5000</v>
      </c>
      <c r="J7169" s="912">
        <f t="shared" si="534"/>
        <v>25000</v>
      </c>
      <c r="K7169" s="912" t="s">
        <v>274</v>
      </c>
      <c r="L7169" s="912"/>
      <c r="M7169" s="912"/>
      <c r="N7169" s="912"/>
      <c r="O7169" s="892">
        <f t="shared" si="529"/>
        <v>0</v>
      </c>
      <c r="P7169" s="903">
        <f t="shared" si="530"/>
        <v>1</v>
      </c>
      <c r="Q7169" s="893">
        <f t="shared" si="531"/>
        <v>3</v>
      </c>
      <c r="R7169" s="894">
        <f t="shared" si="532"/>
        <v>0</v>
      </c>
    </row>
    <row r="7170" spans="1:18" s="904" customFormat="1">
      <c r="A7170" s="895"/>
      <c r="B7170" s="896"/>
      <c r="C7170" s="897"/>
      <c r="D7170" s="897"/>
      <c r="E7170" s="924" t="s">
        <v>276</v>
      </c>
      <c r="F7170" s="927"/>
      <c r="G7170" s="928"/>
      <c r="H7170" s="901"/>
      <c r="I7170" s="902"/>
      <c r="J7170" s="902"/>
      <c r="K7170" s="912" t="s">
        <v>274</v>
      </c>
      <c r="L7170" s="902"/>
      <c r="M7170" s="902"/>
      <c r="N7170" s="902"/>
      <c r="O7170" s="892">
        <f t="shared" si="529"/>
        <v>0</v>
      </c>
      <c r="P7170" s="903">
        <f t="shared" si="530"/>
        <v>1</v>
      </c>
      <c r="Q7170" s="893">
        <f t="shared" si="531"/>
        <v>2</v>
      </c>
      <c r="R7170" s="894">
        <f t="shared" si="532"/>
        <v>0</v>
      </c>
    </row>
    <row r="7171" spans="1:18">
      <c r="A7171" s="905"/>
      <c r="B7171" s="906"/>
      <c r="C7171" s="907">
        <v>745</v>
      </c>
      <c r="D7171" s="907" t="s">
        <v>12</v>
      </c>
      <c r="E7171" s="908" t="s">
        <v>5518</v>
      </c>
      <c r="F7171" s="909" t="s">
        <v>2674</v>
      </c>
      <c r="G7171" s="910"/>
      <c r="H7171" s="911">
        <v>22.48</v>
      </c>
      <c r="I7171" s="912"/>
      <c r="J7171" s="912"/>
      <c r="K7171" s="912">
        <f>VLOOKUP(E7171,[5]ĐMNC!$A$7:$F$67,4,0)</f>
        <v>240557</v>
      </c>
      <c r="L7171" s="912">
        <f>H7171*K7171</f>
        <v>5407721.3600000003</v>
      </c>
      <c r="M7171" s="912"/>
      <c r="N7171" s="912"/>
      <c r="O7171" s="892">
        <f t="shared" si="529"/>
        <v>0</v>
      </c>
      <c r="P7171" s="903">
        <f t="shared" si="530"/>
        <v>1</v>
      </c>
      <c r="Q7171" s="893">
        <f t="shared" si="531"/>
        <v>1</v>
      </c>
      <c r="R7171" s="894">
        <f t="shared" si="532"/>
        <v>0</v>
      </c>
    </row>
    <row r="7172" spans="1:18" s="847" customFormat="1" ht="35.25" customHeight="1">
      <c r="A7172" s="905"/>
      <c r="B7172" s="914" t="s">
        <v>6083</v>
      </c>
      <c r="C7172" s="915"/>
      <c r="D7172" s="915"/>
      <c r="E7172" s="916" t="s">
        <v>6084</v>
      </c>
      <c r="F7172" s="917" t="s">
        <v>6064</v>
      </c>
      <c r="G7172" s="944"/>
      <c r="H7172" s="919"/>
      <c r="I7172" s="920"/>
      <c r="J7172" s="891">
        <f>SUM(J7173:J7185)</f>
        <v>825465</v>
      </c>
      <c r="K7172" s="891"/>
      <c r="L7172" s="891">
        <f>SUM(L7173:L7185)</f>
        <v>5900863.21</v>
      </c>
      <c r="M7172" s="891"/>
      <c r="N7172" s="891">
        <f>SUM(N7173:N7185)</f>
        <v>0</v>
      </c>
      <c r="O7172" s="892">
        <f t="shared" si="529"/>
        <v>1</v>
      </c>
      <c r="P7172" s="903">
        <f t="shared" si="530"/>
        <v>0</v>
      </c>
      <c r="Q7172" s="893">
        <f t="shared" si="531"/>
        <v>0</v>
      </c>
      <c r="R7172" s="894">
        <f t="shared" si="532"/>
        <v>13</v>
      </c>
    </row>
    <row r="7173" spans="1:18" s="904" customFormat="1">
      <c r="A7173" s="895"/>
      <c r="B7173" s="896"/>
      <c r="C7173" s="897"/>
      <c r="D7173" s="897"/>
      <c r="E7173" s="898" t="s">
        <v>108</v>
      </c>
      <c r="F7173" s="899"/>
      <c r="G7173" s="928"/>
      <c r="H7173" s="901"/>
      <c r="I7173" s="902"/>
      <c r="J7173" s="902"/>
      <c r="K7173" s="912" t="s">
        <v>274</v>
      </c>
      <c r="L7173" s="902"/>
      <c r="M7173" s="902"/>
      <c r="N7173" s="902"/>
      <c r="O7173" s="892">
        <f t="shared" si="529"/>
        <v>0</v>
      </c>
      <c r="P7173" s="903">
        <f t="shared" si="530"/>
        <v>1</v>
      </c>
      <c r="Q7173" s="893">
        <f t="shared" si="531"/>
        <v>13</v>
      </c>
      <c r="R7173" s="894">
        <f t="shared" si="532"/>
        <v>0</v>
      </c>
    </row>
    <row r="7174" spans="1:18">
      <c r="A7174" s="905"/>
      <c r="B7174" s="906"/>
      <c r="C7174" s="907">
        <v>49</v>
      </c>
      <c r="D7174" s="907" t="s">
        <v>279</v>
      </c>
      <c r="E7174" s="925" t="s">
        <v>5698</v>
      </c>
      <c r="F7174" s="909" t="s">
        <v>139</v>
      </c>
      <c r="G7174" s="910"/>
      <c r="H7174" s="911">
        <v>2</v>
      </c>
      <c r="I7174" s="912">
        <f>VLOOKUP(E7174,[3]VLP!$B$7:$K$300,10,0)</f>
        <v>3000</v>
      </c>
      <c r="J7174" s="912">
        <f t="shared" ref="J7174:J7183" si="535">I7174*H7174</f>
        <v>6000</v>
      </c>
      <c r="K7174" s="912" t="s">
        <v>274</v>
      </c>
      <c r="L7174" s="912"/>
      <c r="M7174" s="912"/>
      <c r="N7174" s="912"/>
      <c r="O7174" s="892">
        <f t="shared" si="529"/>
        <v>0</v>
      </c>
      <c r="P7174" s="903">
        <f t="shared" si="530"/>
        <v>1</v>
      </c>
      <c r="Q7174" s="893">
        <f t="shared" si="531"/>
        <v>12</v>
      </c>
      <c r="R7174" s="894">
        <f t="shared" si="532"/>
        <v>0</v>
      </c>
    </row>
    <row r="7175" spans="1:18">
      <c r="A7175" s="905"/>
      <c r="B7175" s="906"/>
      <c r="C7175" s="907">
        <v>50</v>
      </c>
      <c r="D7175" s="907" t="s">
        <v>279</v>
      </c>
      <c r="E7175" s="925" t="s">
        <v>5836</v>
      </c>
      <c r="F7175" s="909" t="s">
        <v>49</v>
      </c>
      <c r="G7175" s="910"/>
      <c r="H7175" s="911">
        <v>4</v>
      </c>
      <c r="I7175" s="912">
        <f>VLOOKUP(E7175,[3]VLP!$B$7:$K$300,10,0)</f>
        <v>85790</v>
      </c>
      <c r="J7175" s="912">
        <f t="shared" si="535"/>
        <v>343160</v>
      </c>
      <c r="K7175" s="912" t="s">
        <v>274</v>
      </c>
      <c r="L7175" s="912"/>
      <c r="M7175" s="912"/>
      <c r="N7175" s="912"/>
      <c r="O7175" s="892">
        <f t="shared" si="529"/>
        <v>0</v>
      </c>
      <c r="P7175" s="903">
        <f t="shared" si="530"/>
        <v>1</v>
      </c>
      <c r="Q7175" s="893">
        <f t="shared" si="531"/>
        <v>11</v>
      </c>
      <c r="R7175" s="894">
        <f t="shared" si="532"/>
        <v>0</v>
      </c>
    </row>
    <row r="7176" spans="1:18">
      <c r="A7176" s="905"/>
      <c r="B7176" s="906"/>
      <c r="C7176" s="907">
        <v>46</v>
      </c>
      <c r="D7176" s="907" t="s">
        <v>279</v>
      </c>
      <c r="E7176" s="925" t="s">
        <v>3179</v>
      </c>
      <c r="F7176" s="909" t="s">
        <v>45</v>
      </c>
      <c r="G7176" s="910"/>
      <c r="H7176" s="911">
        <v>18</v>
      </c>
      <c r="I7176" s="912">
        <f>VLOOKUP(E7176,[3]VLP!$B$7:$K$300,10,0)</f>
        <v>20500</v>
      </c>
      <c r="J7176" s="912">
        <f t="shared" si="535"/>
        <v>369000</v>
      </c>
      <c r="K7176" s="912" t="s">
        <v>274</v>
      </c>
      <c r="L7176" s="912"/>
      <c r="M7176" s="912"/>
      <c r="N7176" s="912"/>
      <c r="O7176" s="892">
        <f t="shared" si="529"/>
        <v>0</v>
      </c>
      <c r="P7176" s="903">
        <f t="shared" si="530"/>
        <v>1</v>
      </c>
      <c r="Q7176" s="893">
        <f t="shared" si="531"/>
        <v>10</v>
      </c>
      <c r="R7176" s="894">
        <f t="shared" si="532"/>
        <v>0</v>
      </c>
    </row>
    <row r="7177" spans="1:18">
      <c r="A7177" s="905"/>
      <c r="B7177" s="906"/>
      <c r="C7177" s="907">
        <v>25</v>
      </c>
      <c r="D7177" s="907" t="s">
        <v>279</v>
      </c>
      <c r="E7177" s="925" t="s">
        <v>5656</v>
      </c>
      <c r="F7177" s="926" t="s">
        <v>2690</v>
      </c>
      <c r="G7177" s="910"/>
      <c r="H7177" s="911">
        <v>3</v>
      </c>
      <c r="I7177" s="912">
        <f>VLOOKUP(E7177,[3]VLP!$B$7:$K$300,10,0)</f>
        <v>5000</v>
      </c>
      <c r="J7177" s="912">
        <f t="shared" si="535"/>
        <v>15000</v>
      </c>
      <c r="K7177" s="912" t="s">
        <v>274</v>
      </c>
      <c r="L7177" s="912"/>
      <c r="M7177" s="912"/>
      <c r="N7177" s="912"/>
      <c r="O7177" s="892">
        <f t="shared" si="529"/>
        <v>0</v>
      </c>
      <c r="P7177" s="903">
        <f t="shared" si="530"/>
        <v>1</v>
      </c>
      <c r="Q7177" s="893">
        <f t="shared" si="531"/>
        <v>9</v>
      </c>
      <c r="R7177" s="894">
        <f t="shared" si="532"/>
        <v>0</v>
      </c>
    </row>
    <row r="7178" spans="1:18">
      <c r="A7178" s="905"/>
      <c r="B7178" s="906"/>
      <c r="C7178" s="907">
        <v>127</v>
      </c>
      <c r="D7178" s="907" t="s">
        <v>279</v>
      </c>
      <c r="E7178" s="925" t="s">
        <v>5657</v>
      </c>
      <c r="F7178" s="909" t="s">
        <v>45</v>
      </c>
      <c r="G7178" s="910"/>
      <c r="H7178" s="911">
        <v>1</v>
      </c>
      <c r="I7178" s="912">
        <f>VLOOKUP(E7178,[3]VLP!$B$7:$K$300,10,0)</f>
        <v>25155</v>
      </c>
      <c r="J7178" s="912">
        <f t="shared" si="535"/>
        <v>25155</v>
      </c>
      <c r="K7178" s="912" t="s">
        <v>274</v>
      </c>
      <c r="L7178" s="912"/>
      <c r="M7178" s="912"/>
      <c r="N7178" s="912"/>
      <c r="O7178" s="892">
        <f t="shared" si="529"/>
        <v>0</v>
      </c>
      <c r="P7178" s="903">
        <f t="shared" si="530"/>
        <v>1</v>
      </c>
      <c r="Q7178" s="893">
        <f t="shared" si="531"/>
        <v>8</v>
      </c>
      <c r="R7178" s="894">
        <f t="shared" si="532"/>
        <v>0</v>
      </c>
    </row>
    <row r="7179" spans="1:18">
      <c r="A7179" s="905"/>
      <c r="B7179" s="906"/>
      <c r="C7179" s="907">
        <v>44</v>
      </c>
      <c r="D7179" s="907" t="s">
        <v>279</v>
      </c>
      <c r="E7179" s="925" t="s">
        <v>2681</v>
      </c>
      <c r="F7179" s="926" t="s">
        <v>45</v>
      </c>
      <c r="G7179" s="910"/>
      <c r="H7179" s="911">
        <v>1</v>
      </c>
      <c r="I7179" s="912">
        <f>VLOOKUP(E7179,[3]VLP!$B$7:$K$300,10,0)</f>
        <v>23000</v>
      </c>
      <c r="J7179" s="912">
        <f t="shared" si="535"/>
        <v>23000</v>
      </c>
      <c r="K7179" s="912" t="s">
        <v>274</v>
      </c>
      <c r="L7179" s="912"/>
      <c r="M7179" s="912"/>
      <c r="N7179" s="912"/>
      <c r="O7179" s="892">
        <f t="shared" si="529"/>
        <v>0</v>
      </c>
      <c r="P7179" s="903">
        <f t="shared" si="530"/>
        <v>1</v>
      </c>
      <c r="Q7179" s="893">
        <f t="shared" si="531"/>
        <v>7</v>
      </c>
      <c r="R7179" s="894">
        <f t="shared" si="532"/>
        <v>0</v>
      </c>
    </row>
    <row r="7180" spans="1:18">
      <c r="A7180" s="905"/>
      <c r="B7180" s="906"/>
      <c r="C7180" s="907">
        <v>66</v>
      </c>
      <c r="D7180" s="907" t="s">
        <v>279</v>
      </c>
      <c r="E7180" s="925" t="s">
        <v>2682</v>
      </c>
      <c r="F7180" s="926" t="s">
        <v>45</v>
      </c>
      <c r="G7180" s="910"/>
      <c r="H7180" s="911">
        <v>1</v>
      </c>
      <c r="I7180" s="912">
        <f>VLOOKUP(E7180,[3]VLP!$B$7:$K$300,10,0)</f>
        <v>5000</v>
      </c>
      <c r="J7180" s="912">
        <f t="shared" si="535"/>
        <v>5000</v>
      </c>
      <c r="K7180" s="912" t="s">
        <v>274</v>
      </c>
      <c r="L7180" s="912"/>
      <c r="M7180" s="912"/>
      <c r="N7180" s="912"/>
      <c r="O7180" s="892">
        <f t="shared" si="529"/>
        <v>0</v>
      </c>
      <c r="P7180" s="903">
        <f t="shared" si="530"/>
        <v>1</v>
      </c>
      <c r="Q7180" s="893">
        <f t="shared" si="531"/>
        <v>6</v>
      </c>
      <c r="R7180" s="894">
        <f t="shared" si="532"/>
        <v>0</v>
      </c>
    </row>
    <row r="7181" spans="1:18">
      <c r="A7181" s="905"/>
      <c r="B7181" s="906"/>
      <c r="C7181" s="907">
        <v>65</v>
      </c>
      <c r="D7181" s="907" t="s">
        <v>279</v>
      </c>
      <c r="E7181" s="925" t="s">
        <v>5983</v>
      </c>
      <c r="F7181" s="926" t="s">
        <v>3144</v>
      </c>
      <c r="G7181" s="910"/>
      <c r="H7181" s="911">
        <v>1</v>
      </c>
      <c r="I7181" s="912">
        <f>VLOOKUP(E7181,[3]VLP!$B$7:$K$300,10,0)</f>
        <v>14000</v>
      </c>
      <c r="J7181" s="912">
        <f t="shared" si="535"/>
        <v>14000</v>
      </c>
      <c r="K7181" s="912" t="s">
        <v>274</v>
      </c>
      <c r="L7181" s="912"/>
      <c r="M7181" s="912"/>
      <c r="N7181" s="912"/>
      <c r="O7181" s="892">
        <f t="shared" si="529"/>
        <v>0</v>
      </c>
      <c r="P7181" s="903">
        <f t="shared" si="530"/>
        <v>1</v>
      </c>
      <c r="Q7181" s="893">
        <f t="shared" si="531"/>
        <v>5</v>
      </c>
      <c r="R7181" s="894">
        <f t="shared" si="532"/>
        <v>0</v>
      </c>
    </row>
    <row r="7182" spans="1:18">
      <c r="A7182" s="905"/>
      <c r="B7182" s="906"/>
      <c r="C7182" s="907">
        <v>89</v>
      </c>
      <c r="D7182" s="907" t="s">
        <v>279</v>
      </c>
      <c r="E7182" s="925" t="s">
        <v>5984</v>
      </c>
      <c r="F7182" s="926" t="s">
        <v>45</v>
      </c>
      <c r="G7182" s="910"/>
      <c r="H7182" s="911">
        <v>0.15</v>
      </c>
      <c r="I7182" s="912">
        <f>VLOOKUP(E7182,[3]VLP!$B$7:$K$300,10,0)</f>
        <v>1000</v>
      </c>
      <c r="J7182" s="912">
        <f t="shared" si="535"/>
        <v>150</v>
      </c>
      <c r="K7182" s="912" t="s">
        <v>274</v>
      </c>
      <c r="L7182" s="912"/>
      <c r="M7182" s="912"/>
      <c r="N7182" s="912"/>
      <c r="O7182" s="892">
        <f t="shared" si="529"/>
        <v>0</v>
      </c>
      <c r="P7182" s="903">
        <f t="shared" si="530"/>
        <v>1</v>
      </c>
      <c r="Q7182" s="893">
        <f t="shared" si="531"/>
        <v>4</v>
      </c>
      <c r="R7182" s="894">
        <f t="shared" si="532"/>
        <v>0</v>
      </c>
    </row>
    <row r="7183" spans="1:18">
      <c r="A7183" s="905"/>
      <c r="B7183" s="906"/>
      <c r="C7183" s="907">
        <v>699</v>
      </c>
      <c r="D7183" s="907" t="s">
        <v>279</v>
      </c>
      <c r="E7183" s="925" t="s">
        <v>4006</v>
      </c>
      <c r="F7183" s="926" t="s">
        <v>4007</v>
      </c>
      <c r="G7183" s="910"/>
      <c r="H7183" s="911">
        <v>5</v>
      </c>
      <c r="I7183" s="912">
        <f>VLOOKUP(E7183,[3]VLP!$B$7:$K$300,10,0)</f>
        <v>5000</v>
      </c>
      <c r="J7183" s="912">
        <f t="shared" si="535"/>
        <v>25000</v>
      </c>
      <c r="K7183" s="912" t="s">
        <v>274</v>
      </c>
      <c r="L7183" s="912"/>
      <c r="M7183" s="912"/>
      <c r="N7183" s="912"/>
      <c r="O7183" s="892">
        <f t="shared" si="529"/>
        <v>0</v>
      </c>
      <c r="P7183" s="903">
        <f t="shared" si="530"/>
        <v>1</v>
      </c>
      <c r="Q7183" s="893">
        <f t="shared" si="531"/>
        <v>3</v>
      </c>
      <c r="R7183" s="894">
        <f t="shared" si="532"/>
        <v>0</v>
      </c>
    </row>
    <row r="7184" spans="1:18" s="904" customFormat="1">
      <c r="A7184" s="895"/>
      <c r="B7184" s="896"/>
      <c r="C7184" s="897"/>
      <c r="D7184" s="897"/>
      <c r="E7184" s="924" t="s">
        <v>276</v>
      </c>
      <c r="F7184" s="927"/>
      <c r="G7184" s="928"/>
      <c r="H7184" s="901"/>
      <c r="I7184" s="902"/>
      <c r="J7184" s="902"/>
      <c r="K7184" s="912" t="s">
        <v>274</v>
      </c>
      <c r="L7184" s="902"/>
      <c r="M7184" s="902"/>
      <c r="N7184" s="902"/>
      <c r="O7184" s="892">
        <f t="shared" si="529"/>
        <v>0</v>
      </c>
      <c r="P7184" s="903">
        <f t="shared" si="530"/>
        <v>1</v>
      </c>
      <c r="Q7184" s="893">
        <f t="shared" si="531"/>
        <v>2</v>
      </c>
      <c r="R7184" s="894">
        <f t="shared" si="532"/>
        <v>0</v>
      </c>
    </row>
    <row r="7185" spans="1:18">
      <c r="A7185" s="905"/>
      <c r="B7185" s="906"/>
      <c r="C7185" s="907">
        <v>745</v>
      </c>
      <c r="D7185" s="907" t="s">
        <v>12</v>
      </c>
      <c r="E7185" s="908" t="s">
        <v>5518</v>
      </c>
      <c r="F7185" s="909" t="s">
        <v>2674</v>
      </c>
      <c r="G7185" s="910"/>
      <c r="H7185" s="911">
        <v>24.53</v>
      </c>
      <c r="I7185" s="912"/>
      <c r="J7185" s="912"/>
      <c r="K7185" s="912">
        <f>VLOOKUP(E7185,[5]ĐMNC!$A$7:$F$67,4,0)</f>
        <v>240557</v>
      </c>
      <c r="L7185" s="912">
        <f>H7185*K7185</f>
        <v>5900863.21</v>
      </c>
      <c r="M7185" s="912"/>
      <c r="N7185" s="912"/>
      <c r="O7185" s="892">
        <f t="shared" si="529"/>
        <v>0</v>
      </c>
      <c r="P7185" s="903">
        <f t="shared" si="530"/>
        <v>1</v>
      </c>
      <c r="Q7185" s="893">
        <f t="shared" si="531"/>
        <v>1</v>
      </c>
      <c r="R7185" s="894">
        <f t="shared" si="532"/>
        <v>0</v>
      </c>
    </row>
    <row r="7186" spans="1:18" s="847" customFormat="1" ht="35.25" customHeight="1">
      <c r="A7186" s="905" t="s">
        <v>6044</v>
      </c>
      <c r="B7186" s="914" t="s">
        <v>6085</v>
      </c>
      <c r="C7186" s="915"/>
      <c r="D7186" s="915"/>
      <c r="E7186" s="916" t="s">
        <v>6086</v>
      </c>
      <c r="F7186" s="917" t="s">
        <v>6064</v>
      </c>
      <c r="G7186" s="944"/>
      <c r="H7186" s="919"/>
      <c r="I7186" s="920"/>
      <c r="J7186" s="891">
        <f>SUM(J7187:J7199)</f>
        <v>825465</v>
      </c>
      <c r="K7186" s="891"/>
      <c r="L7186" s="891">
        <f>SUM(L7187:L7199)</f>
        <v>6980964.1399999997</v>
      </c>
      <c r="M7186" s="891"/>
      <c r="N7186" s="891">
        <f>SUM(N7187:N7199)</f>
        <v>0</v>
      </c>
      <c r="O7186" s="892">
        <f t="shared" si="529"/>
        <v>1</v>
      </c>
      <c r="P7186" s="903">
        <f t="shared" si="530"/>
        <v>0</v>
      </c>
      <c r="Q7186" s="893">
        <f t="shared" si="531"/>
        <v>0</v>
      </c>
      <c r="R7186" s="894">
        <f t="shared" si="532"/>
        <v>13</v>
      </c>
    </row>
    <row r="7187" spans="1:18" s="904" customFormat="1">
      <c r="A7187" s="895"/>
      <c r="B7187" s="896"/>
      <c r="C7187" s="897"/>
      <c r="D7187" s="897"/>
      <c r="E7187" s="898" t="s">
        <v>108</v>
      </c>
      <c r="F7187" s="899"/>
      <c r="G7187" s="928"/>
      <c r="H7187" s="901"/>
      <c r="I7187" s="902"/>
      <c r="J7187" s="902"/>
      <c r="K7187" s="912" t="s">
        <v>274</v>
      </c>
      <c r="L7187" s="902"/>
      <c r="M7187" s="902"/>
      <c r="N7187" s="902"/>
      <c r="O7187" s="892">
        <f t="shared" si="529"/>
        <v>0</v>
      </c>
      <c r="P7187" s="903">
        <f t="shared" si="530"/>
        <v>1</v>
      </c>
      <c r="Q7187" s="893">
        <f t="shared" si="531"/>
        <v>13</v>
      </c>
      <c r="R7187" s="894">
        <f t="shared" si="532"/>
        <v>0</v>
      </c>
    </row>
    <row r="7188" spans="1:18">
      <c r="A7188" s="905"/>
      <c r="B7188" s="906"/>
      <c r="C7188" s="907">
        <v>49</v>
      </c>
      <c r="D7188" s="907" t="s">
        <v>279</v>
      </c>
      <c r="E7188" s="925" t="s">
        <v>5698</v>
      </c>
      <c r="F7188" s="909" t="s">
        <v>139</v>
      </c>
      <c r="G7188" s="910"/>
      <c r="H7188" s="911">
        <v>2</v>
      </c>
      <c r="I7188" s="912">
        <f>VLOOKUP(E7188,[3]VLP!$B$7:$K$300,10,0)</f>
        <v>3000</v>
      </c>
      <c r="J7188" s="912">
        <f t="shared" ref="J7188:J7197" si="536">I7188*H7188</f>
        <v>6000</v>
      </c>
      <c r="K7188" s="912" t="s">
        <v>274</v>
      </c>
      <c r="L7188" s="912"/>
      <c r="M7188" s="912"/>
      <c r="N7188" s="912"/>
      <c r="O7188" s="892">
        <f t="shared" si="529"/>
        <v>0</v>
      </c>
      <c r="P7188" s="903">
        <f t="shared" si="530"/>
        <v>1</v>
      </c>
      <c r="Q7188" s="893">
        <f t="shared" si="531"/>
        <v>12</v>
      </c>
      <c r="R7188" s="894">
        <f t="shared" si="532"/>
        <v>0</v>
      </c>
    </row>
    <row r="7189" spans="1:18">
      <c r="A7189" s="905"/>
      <c r="B7189" s="906"/>
      <c r="C7189" s="907">
        <v>50</v>
      </c>
      <c r="D7189" s="907" t="s">
        <v>279</v>
      </c>
      <c r="E7189" s="925" t="s">
        <v>5836</v>
      </c>
      <c r="F7189" s="909" t="s">
        <v>49</v>
      </c>
      <c r="G7189" s="910"/>
      <c r="H7189" s="911">
        <v>4</v>
      </c>
      <c r="I7189" s="912">
        <f>VLOOKUP(E7189,[3]VLP!$B$7:$K$300,10,0)</f>
        <v>85790</v>
      </c>
      <c r="J7189" s="912">
        <f t="shared" si="536"/>
        <v>343160</v>
      </c>
      <c r="K7189" s="912" t="s">
        <v>274</v>
      </c>
      <c r="L7189" s="912"/>
      <c r="M7189" s="912"/>
      <c r="N7189" s="912"/>
      <c r="O7189" s="892">
        <f t="shared" si="529"/>
        <v>0</v>
      </c>
      <c r="P7189" s="903">
        <f t="shared" si="530"/>
        <v>1</v>
      </c>
      <c r="Q7189" s="893">
        <f t="shared" si="531"/>
        <v>11</v>
      </c>
      <c r="R7189" s="894">
        <f t="shared" si="532"/>
        <v>0</v>
      </c>
    </row>
    <row r="7190" spans="1:18">
      <c r="A7190" s="905"/>
      <c r="B7190" s="906"/>
      <c r="C7190" s="907">
        <v>46</v>
      </c>
      <c r="D7190" s="907" t="s">
        <v>279</v>
      </c>
      <c r="E7190" s="925" t="s">
        <v>3179</v>
      </c>
      <c r="F7190" s="909" t="s">
        <v>45</v>
      </c>
      <c r="G7190" s="910"/>
      <c r="H7190" s="911">
        <v>18</v>
      </c>
      <c r="I7190" s="912">
        <f>VLOOKUP(E7190,[3]VLP!$B$7:$K$300,10,0)</f>
        <v>20500</v>
      </c>
      <c r="J7190" s="912">
        <f t="shared" si="536"/>
        <v>369000</v>
      </c>
      <c r="K7190" s="912" t="s">
        <v>274</v>
      </c>
      <c r="L7190" s="912"/>
      <c r="M7190" s="912"/>
      <c r="N7190" s="912"/>
      <c r="O7190" s="892">
        <f t="shared" si="529"/>
        <v>0</v>
      </c>
      <c r="P7190" s="903">
        <f t="shared" si="530"/>
        <v>1</v>
      </c>
      <c r="Q7190" s="893">
        <f t="shared" si="531"/>
        <v>10</v>
      </c>
      <c r="R7190" s="894">
        <f t="shared" si="532"/>
        <v>0</v>
      </c>
    </row>
    <row r="7191" spans="1:18">
      <c r="A7191" s="905"/>
      <c r="B7191" s="906"/>
      <c r="C7191" s="907">
        <v>25</v>
      </c>
      <c r="D7191" s="907" t="s">
        <v>279</v>
      </c>
      <c r="E7191" s="925" t="s">
        <v>5656</v>
      </c>
      <c r="F7191" s="926" t="s">
        <v>2690</v>
      </c>
      <c r="G7191" s="910"/>
      <c r="H7191" s="911">
        <v>3</v>
      </c>
      <c r="I7191" s="912">
        <f>VLOOKUP(E7191,[3]VLP!$B$7:$K$300,10,0)</f>
        <v>5000</v>
      </c>
      <c r="J7191" s="912">
        <f t="shared" si="536"/>
        <v>15000</v>
      </c>
      <c r="K7191" s="912" t="s">
        <v>274</v>
      </c>
      <c r="L7191" s="912"/>
      <c r="M7191" s="912"/>
      <c r="N7191" s="912"/>
      <c r="O7191" s="892">
        <f t="shared" si="529"/>
        <v>0</v>
      </c>
      <c r="P7191" s="903">
        <f t="shared" si="530"/>
        <v>1</v>
      </c>
      <c r="Q7191" s="893">
        <f t="shared" si="531"/>
        <v>9</v>
      </c>
      <c r="R7191" s="894">
        <f t="shared" si="532"/>
        <v>0</v>
      </c>
    </row>
    <row r="7192" spans="1:18">
      <c r="A7192" s="905"/>
      <c r="B7192" s="906"/>
      <c r="C7192" s="907">
        <v>127</v>
      </c>
      <c r="D7192" s="907" t="s">
        <v>279</v>
      </c>
      <c r="E7192" s="925" t="s">
        <v>5657</v>
      </c>
      <c r="F7192" s="909" t="s">
        <v>45</v>
      </c>
      <c r="G7192" s="910"/>
      <c r="H7192" s="911">
        <v>1</v>
      </c>
      <c r="I7192" s="912">
        <f>VLOOKUP(E7192,[3]VLP!$B$7:$K$300,10,0)</f>
        <v>25155</v>
      </c>
      <c r="J7192" s="912">
        <f t="shared" si="536"/>
        <v>25155</v>
      </c>
      <c r="K7192" s="912" t="s">
        <v>274</v>
      </c>
      <c r="L7192" s="912"/>
      <c r="M7192" s="912"/>
      <c r="N7192" s="912"/>
      <c r="O7192" s="892">
        <f t="shared" si="529"/>
        <v>0</v>
      </c>
      <c r="P7192" s="903">
        <f t="shared" si="530"/>
        <v>1</v>
      </c>
      <c r="Q7192" s="893">
        <f t="shared" si="531"/>
        <v>8</v>
      </c>
      <c r="R7192" s="894">
        <f t="shared" si="532"/>
        <v>0</v>
      </c>
    </row>
    <row r="7193" spans="1:18">
      <c r="A7193" s="905"/>
      <c r="B7193" s="906"/>
      <c r="C7193" s="907">
        <v>44</v>
      </c>
      <c r="D7193" s="907" t="s">
        <v>279</v>
      </c>
      <c r="E7193" s="925" t="s">
        <v>2681</v>
      </c>
      <c r="F7193" s="926" t="s">
        <v>45</v>
      </c>
      <c r="G7193" s="910"/>
      <c r="H7193" s="911">
        <v>1</v>
      </c>
      <c r="I7193" s="912">
        <f>VLOOKUP(E7193,[3]VLP!$B$7:$K$300,10,0)</f>
        <v>23000</v>
      </c>
      <c r="J7193" s="912">
        <f t="shared" si="536"/>
        <v>23000</v>
      </c>
      <c r="K7193" s="912" t="s">
        <v>274</v>
      </c>
      <c r="L7193" s="912"/>
      <c r="M7193" s="912"/>
      <c r="N7193" s="912"/>
      <c r="O7193" s="892">
        <f t="shared" si="529"/>
        <v>0</v>
      </c>
      <c r="P7193" s="903">
        <f t="shared" si="530"/>
        <v>1</v>
      </c>
      <c r="Q7193" s="893">
        <f t="shared" si="531"/>
        <v>7</v>
      </c>
      <c r="R7193" s="894">
        <f t="shared" si="532"/>
        <v>0</v>
      </c>
    </row>
    <row r="7194" spans="1:18">
      <c r="A7194" s="905"/>
      <c r="B7194" s="906"/>
      <c r="C7194" s="907">
        <v>66</v>
      </c>
      <c r="D7194" s="907" t="s">
        <v>279</v>
      </c>
      <c r="E7194" s="925" t="s">
        <v>2682</v>
      </c>
      <c r="F7194" s="926" t="s">
        <v>45</v>
      </c>
      <c r="G7194" s="910"/>
      <c r="H7194" s="911">
        <v>1</v>
      </c>
      <c r="I7194" s="912">
        <f>VLOOKUP(E7194,[3]VLP!$B$7:$K$300,10,0)</f>
        <v>5000</v>
      </c>
      <c r="J7194" s="912">
        <f t="shared" si="536"/>
        <v>5000</v>
      </c>
      <c r="K7194" s="912" t="s">
        <v>274</v>
      </c>
      <c r="L7194" s="912"/>
      <c r="M7194" s="912"/>
      <c r="N7194" s="912"/>
      <c r="O7194" s="892">
        <f t="shared" si="529"/>
        <v>0</v>
      </c>
      <c r="P7194" s="903">
        <f t="shared" si="530"/>
        <v>1</v>
      </c>
      <c r="Q7194" s="893">
        <f t="shared" si="531"/>
        <v>6</v>
      </c>
      <c r="R7194" s="894">
        <f t="shared" si="532"/>
        <v>0</v>
      </c>
    </row>
    <row r="7195" spans="1:18">
      <c r="A7195" s="905"/>
      <c r="B7195" s="906"/>
      <c r="C7195" s="907">
        <v>65</v>
      </c>
      <c r="D7195" s="907" t="s">
        <v>279</v>
      </c>
      <c r="E7195" s="925" t="s">
        <v>5983</v>
      </c>
      <c r="F7195" s="926" t="s">
        <v>3144</v>
      </c>
      <c r="G7195" s="910"/>
      <c r="H7195" s="911">
        <v>1</v>
      </c>
      <c r="I7195" s="912">
        <f>VLOOKUP(E7195,[3]VLP!$B$7:$K$300,10,0)</f>
        <v>14000</v>
      </c>
      <c r="J7195" s="912">
        <f t="shared" si="536"/>
        <v>14000</v>
      </c>
      <c r="K7195" s="912" t="s">
        <v>274</v>
      </c>
      <c r="L7195" s="912"/>
      <c r="M7195" s="912"/>
      <c r="N7195" s="912"/>
      <c r="O7195" s="892">
        <f t="shared" si="529"/>
        <v>0</v>
      </c>
      <c r="P7195" s="903">
        <f t="shared" si="530"/>
        <v>1</v>
      </c>
      <c r="Q7195" s="893">
        <f t="shared" si="531"/>
        <v>5</v>
      </c>
      <c r="R7195" s="894">
        <f t="shared" si="532"/>
        <v>0</v>
      </c>
    </row>
    <row r="7196" spans="1:18">
      <c r="A7196" s="905"/>
      <c r="B7196" s="906"/>
      <c r="C7196" s="907">
        <v>89</v>
      </c>
      <c r="D7196" s="907" t="s">
        <v>279</v>
      </c>
      <c r="E7196" s="925" t="s">
        <v>5984</v>
      </c>
      <c r="F7196" s="926" t="s">
        <v>45</v>
      </c>
      <c r="G7196" s="910"/>
      <c r="H7196" s="911">
        <v>0.15</v>
      </c>
      <c r="I7196" s="912">
        <f>VLOOKUP(E7196,[3]VLP!$B$7:$K$300,10,0)</f>
        <v>1000</v>
      </c>
      <c r="J7196" s="912">
        <f t="shared" si="536"/>
        <v>150</v>
      </c>
      <c r="K7196" s="912" t="s">
        <v>274</v>
      </c>
      <c r="L7196" s="912"/>
      <c r="M7196" s="912"/>
      <c r="N7196" s="912"/>
      <c r="O7196" s="892">
        <f t="shared" si="529"/>
        <v>0</v>
      </c>
      <c r="P7196" s="903">
        <f t="shared" si="530"/>
        <v>1</v>
      </c>
      <c r="Q7196" s="893">
        <f t="shared" si="531"/>
        <v>4</v>
      </c>
      <c r="R7196" s="894">
        <f t="shared" si="532"/>
        <v>0</v>
      </c>
    </row>
    <row r="7197" spans="1:18">
      <c r="A7197" s="905"/>
      <c r="B7197" s="906"/>
      <c r="C7197" s="907">
        <v>699</v>
      </c>
      <c r="D7197" s="907" t="s">
        <v>279</v>
      </c>
      <c r="E7197" s="925" t="s">
        <v>4006</v>
      </c>
      <c r="F7197" s="926" t="s">
        <v>4007</v>
      </c>
      <c r="G7197" s="910"/>
      <c r="H7197" s="911">
        <v>5</v>
      </c>
      <c r="I7197" s="912">
        <f>VLOOKUP(E7197,[3]VLP!$B$7:$K$300,10,0)</f>
        <v>5000</v>
      </c>
      <c r="J7197" s="912">
        <f t="shared" si="536"/>
        <v>25000</v>
      </c>
      <c r="K7197" s="912" t="s">
        <v>274</v>
      </c>
      <c r="L7197" s="912"/>
      <c r="M7197" s="912"/>
      <c r="N7197" s="912"/>
      <c r="O7197" s="892">
        <f t="shared" si="529"/>
        <v>0</v>
      </c>
      <c r="P7197" s="903">
        <f t="shared" si="530"/>
        <v>1</v>
      </c>
      <c r="Q7197" s="893">
        <f t="shared" si="531"/>
        <v>3</v>
      </c>
      <c r="R7197" s="894">
        <f t="shared" si="532"/>
        <v>0</v>
      </c>
    </row>
    <row r="7198" spans="1:18" s="904" customFormat="1">
      <c r="A7198" s="895"/>
      <c r="B7198" s="896"/>
      <c r="C7198" s="897"/>
      <c r="D7198" s="897"/>
      <c r="E7198" s="924" t="s">
        <v>276</v>
      </c>
      <c r="F7198" s="927"/>
      <c r="G7198" s="928"/>
      <c r="H7198" s="901"/>
      <c r="I7198" s="902"/>
      <c r="J7198" s="902"/>
      <c r="K7198" s="912" t="s">
        <v>274</v>
      </c>
      <c r="L7198" s="902"/>
      <c r="M7198" s="902"/>
      <c r="N7198" s="902"/>
      <c r="O7198" s="892">
        <f t="shared" si="529"/>
        <v>0</v>
      </c>
      <c r="P7198" s="903">
        <f t="shared" si="530"/>
        <v>1</v>
      </c>
      <c r="Q7198" s="893">
        <f t="shared" si="531"/>
        <v>2</v>
      </c>
      <c r="R7198" s="894">
        <f t="shared" si="532"/>
        <v>0</v>
      </c>
    </row>
    <row r="7199" spans="1:18">
      <c r="A7199" s="905"/>
      <c r="B7199" s="906"/>
      <c r="C7199" s="907">
        <v>745</v>
      </c>
      <c r="D7199" s="907" t="s">
        <v>12</v>
      </c>
      <c r="E7199" s="908" t="s">
        <v>5518</v>
      </c>
      <c r="F7199" s="909" t="s">
        <v>2674</v>
      </c>
      <c r="G7199" s="910"/>
      <c r="H7199" s="911">
        <v>29.02</v>
      </c>
      <c r="I7199" s="912"/>
      <c r="J7199" s="912"/>
      <c r="K7199" s="912">
        <f>VLOOKUP(E7199,[5]ĐMNC!$A$7:$F$67,4,0)</f>
        <v>240557</v>
      </c>
      <c r="L7199" s="912">
        <f>H7199*K7199</f>
        <v>6980964.1399999997</v>
      </c>
      <c r="M7199" s="912"/>
      <c r="N7199" s="912"/>
      <c r="O7199" s="892">
        <f t="shared" ref="O7199:O7262" si="537">IF(AND(B7199&lt;&gt;"",D7199=""),1,0)</f>
        <v>0</v>
      </c>
      <c r="P7199" s="903">
        <f t="shared" si="530"/>
        <v>1</v>
      </c>
      <c r="Q7199" s="893">
        <f t="shared" si="531"/>
        <v>1</v>
      </c>
      <c r="R7199" s="894">
        <f t="shared" si="532"/>
        <v>0</v>
      </c>
    </row>
    <row r="7200" spans="1:18" s="847" customFormat="1" ht="35.25" customHeight="1">
      <c r="A7200" s="905"/>
      <c r="B7200" s="914" t="s">
        <v>6087</v>
      </c>
      <c r="C7200" s="915"/>
      <c r="D7200" s="915"/>
      <c r="E7200" s="916" t="s">
        <v>6088</v>
      </c>
      <c r="F7200" s="917" t="s">
        <v>6064</v>
      </c>
      <c r="G7200" s="944"/>
      <c r="H7200" s="919"/>
      <c r="I7200" s="920"/>
      <c r="J7200" s="891">
        <f>SUM(J7201:J7213)</f>
        <v>825465</v>
      </c>
      <c r="K7200" s="891"/>
      <c r="L7200" s="891">
        <f>SUM(L7201:L7213)</f>
        <v>7130109.4800000004</v>
      </c>
      <c r="M7200" s="891"/>
      <c r="N7200" s="891">
        <f>SUM(N7201:N7213)</f>
        <v>0</v>
      </c>
      <c r="O7200" s="892">
        <f t="shared" si="537"/>
        <v>1</v>
      </c>
      <c r="P7200" s="903">
        <f t="shared" si="530"/>
        <v>0</v>
      </c>
      <c r="Q7200" s="893">
        <f t="shared" si="531"/>
        <v>0</v>
      </c>
      <c r="R7200" s="894">
        <f t="shared" si="532"/>
        <v>13</v>
      </c>
    </row>
    <row r="7201" spans="1:18" s="904" customFormat="1">
      <c r="A7201" s="895"/>
      <c r="B7201" s="896"/>
      <c r="C7201" s="897"/>
      <c r="D7201" s="897"/>
      <c r="E7201" s="898" t="s">
        <v>108</v>
      </c>
      <c r="F7201" s="899"/>
      <c r="G7201" s="928"/>
      <c r="H7201" s="901"/>
      <c r="I7201" s="902"/>
      <c r="J7201" s="902"/>
      <c r="K7201" s="912" t="s">
        <v>274</v>
      </c>
      <c r="L7201" s="902"/>
      <c r="M7201" s="902"/>
      <c r="N7201" s="902"/>
      <c r="O7201" s="892">
        <f t="shared" si="537"/>
        <v>0</v>
      </c>
      <c r="P7201" s="903">
        <f t="shared" si="530"/>
        <v>1</v>
      </c>
      <c r="Q7201" s="893">
        <f t="shared" si="531"/>
        <v>13</v>
      </c>
      <c r="R7201" s="894">
        <f t="shared" si="532"/>
        <v>0</v>
      </c>
    </row>
    <row r="7202" spans="1:18">
      <c r="A7202" s="905"/>
      <c r="B7202" s="906"/>
      <c r="C7202" s="907">
        <v>49</v>
      </c>
      <c r="D7202" s="907" t="s">
        <v>279</v>
      </c>
      <c r="E7202" s="925" t="s">
        <v>5698</v>
      </c>
      <c r="F7202" s="909" t="s">
        <v>139</v>
      </c>
      <c r="G7202" s="910"/>
      <c r="H7202" s="911">
        <v>2</v>
      </c>
      <c r="I7202" s="912">
        <f>VLOOKUP(E7202,[3]VLP!$B$7:$K$300,10,0)</f>
        <v>3000</v>
      </c>
      <c r="J7202" s="912">
        <f t="shared" ref="J7202:J7211" si="538">I7202*H7202</f>
        <v>6000</v>
      </c>
      <c r="K7202" s="912" t="s">
        <v>274</v>
      </c>
      <c r="L7202" s="912"/>
      <c r="M7202" s="912"/>
      <c r="N7202" s="912"/>
      <c r="O7202" s="892">
        <f t="shared" si="537"/>
        <v>0</v>
      </c>
      <c r="P7202" s="903">
        <f t="shared" si="530"/>
        <v>1</v>
      </c>
      <c r="Q7202" s="893">
        <f t="shared" si="531"/>
        <v>12</v>
      </c>
      <c r="R7202" s="894">
        <f t="shared" si="532"/>
        <v>0</v>
      </c>
    </row>
    <row r="7203" spans="1:18">
      <c r="A7203" s="905"/>
      <c r="B7203" s="906"/>
      <c r="C7203" s="907">
        <v>50</v>
      </c>
      <c r="D7203" s="907" t="s">
        <v>279</v>
      </c>
      <c r="E7203" s="925" t="s">
        <v>5836</v>
      </c>
      <c r="F7203" s="909" t="s">
        <v>49</v>
      </c>
      <c r="G7203" s="910"/>
      <c r="H7203" s="911">
        <v>4</v>
      </c>
      <c r="I7203" s="912">
        <f>VLOOKUP(E7203,[3]VLP!$B$7:$K$300,10,0)</f>
        <v>85790</v>
      </c>
      <c r="J7203" s="912">
        <f t="shared" si="538"/>
        <v>343160</v>
      </c>
      <c r="K7203" s="912" t="s">
        <v>274</v>
      </c>
      <c r="L7203" s="912"/>
      <c r="M7203" s="912"/>
      <c r="N7203" s="912"/>
      <c r="O7203" s="892">
        <f t="shared" si="537"/>
        <v>0</v>
      </c>
      <c r="P7203" s="903">
        <f t="shared" si="530"/>
        <v>1</v>
      </c>
      <c r="Q7203" s="893">
        <f t="shared" si="531"/>
        <v>11</v>
      </c>
      <c r="R7203" s="894">
        <f t="shared" si="532"/>
        <v>0</v>
      </c>
    </row>
    <row r="7204" spans="1:18">
      <c r="A7204" s="905"/>
      <c r="B7204" s="906"/>
      <c r="C7204" s="907">
        <v>46</v>
      </c>
      <c r="D7204" s="907" t="s">
        <v>279</v>
      </c>
      <c r="E7204" s="925" t="s">
        <v>3179</v>
      </c>
      <c r="F7204" s="909" t="s">
        <v>45</v>
      </c>
      <c r="G7204" s="910"/>
      <c r="H7204" s="911">
        <v>18</v>
      </c>
      <c r="I7204" s="912">
        <f>VLOOKUP(E7204,[3]VLP!$B$7:$K$300,10,0)</f>
        <v>20500</v>
      </c>
      <c r="J7204" s="912">
        <f t="shared" si="538"/>
        <v>369000</v>
      </c>
      <c r="K7204" s="912" t="s">
        <v>274</v>
      </c>
      <c r="L7204" s="912"/>
      <c r="M7204" s="912"/>
      <c r="N7204" s="912"/>
      <c r="O7204" s="892">
        <f t="shared" si="537"/>
        <v>0</v>
      </c>
      <c r="P7204" s="903">
        <f t="shared" si="530"/>
        <v>1</v>
      </c>
      <c r="Q7204" s="893">
        <f t="shared" si="531"/>
        <v>10</v>
      </c>
      <c r="R7204" s="894">
        <f t="shared" si="532"/>
        <v>0</v>
      </c>
    </row>
    <row r="7205" spans="1:18">
      <c r="A7205" s="905"/>
      <c r="B7205" s="906"/>
      <c r="C7205" s="907">
        <v>25</v>
      </c>
      <c r="D7205" s="907" t="s">
        <v>279</v>
      </c>
      <c r="E7205" s="925" t="s">
        <v>5656</v>
      </c>
      <c r="F7205" s="926" t="s">
        <v>2690</v>
      </c>
      <c r="G7205" s="910"/>
      <c r="H7205" s="911">
        <v>3</v>
      </c>
      <c r="I7205" s="912">
        <f>VLOOKUP(E7205,[3]VLP!$B$7:$K$300,10,0)</f>
        <v>5000</v>
      </c>
      <c r="J7205" s="912">
        <f t="shared" si="538"/>
        <v>15000</v>
      </c>
      <c r="K7205" s="912" t="s">
        <v>274</v>
      </c>
      <c r="L7205" s="912"/>
      <c r="M7205" s="912"/>
      <c r="N7205" s="912"/>
      <c r="O7205" s="892">
        <f t="shared" si="537"/>
        <v>0</v>
      </c>
      <c r="P7205" s="903">
        <f t="shared" si="530"/>
        <v>1</v>
      </c>
      <c r="Q7205" s="893">
        <f t="shared" si="531"/>
        <v>9</v>
      </c>
      <c r="R7205" s="894">
        <f t="shared" si="532"/>
        <v>0</v>
      </c>
    </row>
    <row r="7206" spans="1:18">
      <c r="A7206" s="905"/>
      <c r="B7206" s="906"/>
      <c r="C7206" s="907">
        <v>127</v>
      </c>
      <c r="D7206" s="907" t="s">
        <v>279</v>
      </c>
      <c r="E7206" s="925" t="s">
        <v>5657</v>
      </c>
      <c r="F7206" s="909" t="s">
        <v>45</v>
      </c>
      <c r="G7206" s="910"/>
      <c r="H7206" s="911">
        <v>1</v>
      </c>
      <c r="I7206" s="912">
        <f>VLOOKUP(E7206,[3]VLP!$B$7:$K$300,10,0)</f>
        <v>25155</v>
      </c>
      <c r="J7206" s="912">
        <f t="shared" si="538"/>
        <v>25155</v>
      </c>
      <c r="K7206" s="912" t="s">
        <v>274</v>
      </c>
      <c r="L7206" s="912"/>
      <c r="M7206" s="912"/>
      <c r="N7206" s="912"/>
      <c r="O7206" s="892">
        <f t="shared" si="537"/>
        <v>0</v>
      </c>
      <c r="P7206" s="903">
        <f t="shared" si="530"/>
        <v>1</v>
      </c>
      <c r="Q7206" s="893">
        <f t="shared" si="531"/>
        <v>8</v>
      </c>
      <c r="R7206" s="894">
        <f t="shared" si="532"/>
        <v>0</v>
      </c>
    </row>
    <row r="7207" spans="1:18">
      <c r="A7207" s="905"/>
      <c r="B7207" s="906"/>
      <c r="C7207" s="907">
        <v>44</v>
      </c>
      <c r="D7207" s="907" t="s">
        <v>279</v>
      </c>
      <c r="E7207" s="925" t="s">
        <v>2681</v>
      </c>
      <c r="F7207" s="926" t="s">
        <v>45</v>
      </c>
      <c r="G7207" s="910"/>
      <c r="H7207" s="911">
        <v>1</v>
      </c>
      <c r="I7207" s="912">
        <f>VLOOKUP(E7207,[3]VLP!$B$7:$K$300,10,0)</f>
        <v>23000</v>
      </c>
      <c r="J7207" s="912">
        <f t="shared" si="538"/>
        <v>23000</v>
      </c>
      <c r="K7207" s="912" t="s">
        <v>274</v>
      </c>
      <c r="L7207" s="912"/>
      <c r="M7207" s="912"/>
      <c r="N7207" s="912"/>
      <c r="O7207" s="892">
        <f t="shared" si="537"/>
        <v>0</v>
      </c>
      <c r="P7207" s="903">
        <f t="shared" si="530"/>
        <v>1</v>
      </c>
      <c r="Q7207" s="893">
        <f t="shared" si="531"/>
        <v>7</v>
      </c>
      <c r="R7207" s="894">
        <f t="shared" si="532"/>
        <v>0</v>
      </c>
    </row>
    <row r="7208" spans="1:18">
      <c r="A7208" s="905"/>
      <c r="B7208" s="906"/>
      <c r="C7208" s="907">
        <v>66</v>
      </c>
      <c r="D7208" s="907" t="s">
        <v>279</v>
      </c>
      <c r="E7208" s="925" t="s">
        <v>2682</v>
      </c>
      <c r="F7208" s="926" t="s">
        <v>45</v>
      </c>
      <c r="G7208" s="910"/>
      <c r="H7208" s="911">
        <v>1</v>
      </c>
      <c r="I7208" s="912">
        <f>VLOOKUP(E7208,[3]VLP!$B$7:$K$300,10,0)</f>
        <v>5000</v>
      </c>
      <c r="J7208" s="912">
        <f t="shared" si="538"/>
        <v>5000</v>
      </c>
      <c r="K7208" s="912" t="s">
        <v>274</v>
      </c>
      <c r="L7208" s="912"/>
      <c r="M7208" s="912"/>
      <c r="N7208" s="912"/>
      <c r="O7208" s="892">
        <f t="shared" si="537"/>
        <v>0</v>
      </c>
      <c r="P7208" s="903">
        <f t="shared" ref="P7208:P7271" si="539">IF(O7208=0,1,0)</f>
        <v>1</v>
      </c>
      <c r="Q7208" s="893">
        <f t="shared" ref="Q7208:Q7271" si="540">IF(P7208=0,0,P7208+Q7209)</f>
        <v>6</v>
      </c>
      <c r="R7208" s="894">
        <f t="shared" ref="R7208:R7271" si="541">IF(Q7208=0,Q7209,0)</f>
        <v>0</v>
      </c>
    </row>
    <row r="7209" spans="1:18">
      <c r="A7209" s="905"/>
      <c r="B7209" s="906"/>
      <c r="C7209" s="907">
        <v>65</v>
      </c>
      <c r="D7209" s="907" t="s">
        <v>279</v>
      </c>
      <c r="E7209" s="925" t="s">
        <v>5983</v>
      </c>
      <c r="F7209" s="926" t="s">
        <v>3144</v>
      </c>
      <c r="G7209" s="910"/>
      <c r="H7209" s="911">
        <v>1</v>
      </c>
      <c r="I7209" s="912">
        <f>VLOOKUP(E7209,[3]VLP!$B$7:$K$300,10,0)</f>
        <v>14000</v>
      </c>
      <c r="J7209" s="912">
        <f t="shared" si="538"/>
        <v>14000</v>
      </c>
      <c r="K7209" s="912" t="s">
        <v>274</v>
      </c>
      <c r="L7209" s="912"/>
      <c r="M7209" s="912"/>
      <c r="N7209" s="912"/>
      <c r="O7209" s="892">
        <f t="shared" si="537"/>
        <v>0</v>
      </c>
      <c r="P7209" s="903">
        <f t="shared" si="539"/>
        <v>1</v>
      </c>
      <c r="Q7209" s="893">
        <f t="shared" si="540"/>
        <v>5</v>
      </c>
      <c r="R7209" s="894">
        <f t="shared" si="541"/>
        <v>0</v>
      </c>
    </row>
    <row r="7210" spans="1:18">
      <c r="A7210" s="905"/>
      <c r="B7210" s="906"/>
      <c r="C7210" s="907">
        <v>89</v>
      </c>
      <c r="D7210" s="907" t="s">
        <v>279</v>
      </c>
      <c r="E7210" s="925" t="s">
        <v>5984</v>
      </c>
      <c r="F7210" s="926" t="s">
        <v>45</v>
      </c>
      <c r="G7210" s="910"/>
      <c r="H7210" s="911">
        <v>0.15</v>
      </c>
      <c r="I7210" s="912">
        <f>VLOOKUP(E7210,[3]VLP!$B$7:$K$300,10,0)</f>
        <v>1000</v>
      </c>
      <c r="J7210" s="912">
        <f t="shared" si="538"/>
        <v>150</v>
      </c>
      <c r="K7210" s="912" t="s">
        <v>274</v>
      </c>
      <c r="L7210" s="912"/>
      <c r="M7210" s="912"/>
      <c r="N7210" s="912"/>
      <c r="O7210" s="892">
        <f t="shared" si="537"/>
        <v>0</v>
      </c>
      <c r="P7210" s="903">
        <f t="shared" si="539"/>
        <v>1</v>
      </c>
      <c r="Q7210" s="893">
        <f t="shared" si="540"/>
        <v>4</v>
      </c>
      <c r="R7210" s="894">
        <f t="shared" si="541"/>
        <v>0</v>
      </c>
    </row>
    <row r="7211" spans="1:18">
      <c r="A7211" s="905"/>
      <c r="B7211" s="906"/>
      <c r="C7211" s="907">
        <v>699</v>
      </c>
      <c r="D7211" s="907" t="s">
        <v>279</v>
      </c>
      <c r="E7211" s="925" t="s">
        <v>4006</v>
      </c>
      <c r="F7211" s="926" t="s">
        <v>4007</v>
      </c>
      <c r="G7211" s="910"/>
      <c r="H7211" s="911">
        <v>5</v>
      </c>
      <c r="I7211" s="912">
        <f>VLOOKUP(E7211,[3]VLP!$B$7:$K$300,10,0)</f>
        <v>5000</v>
      </c>
      <c r="J7211" s="912">
        <f t="shared" si="538"/>
        <v>25000</v>
      </c>
      <c r="K7211" s="912" t="s">
        <v>274</v>
      </c>
      <c r="L7211" s="912"/>
      <c r="M7211" s="912"/>
      <c r="N7211" s="912"/>
      <c r="O7211" s="892">
        <f t="shared" si="537"/>
        <v>0</v>
      </c>
      <c r="P7211" s="903">
        <f t="shared" si="539"/>
        <v>1</v>
      </c>
      <c r="Q7211" s="893">
        <f t="shared" si="540"/>
        <v>3</v>
      </c>
      <c r="R7211" s="894">
        <f t="shared" si="541"/>
        <v>0</v>
      </c>
    </row>
    <row r="7212" spans="1:18" s="904" customFormat="1">
      <c r="A7212" s="895"/>
      <c r="B7212" s="896"/>
      <c r="C7212" s="897"/>
      <c r="D7212" s="897"/>
      <c r="E7212" s="924" t="s">
        <v>276</v>
      </c>
      <c r="F7212" s="927"/>
      <c r="G7212" s="928"/>
      <c r="H7212" s="901"/>
      <c r="I7212" s="902"/>
      <c r="J7212" s="902"/>
      <c r="K7212" s="912" t="s">
        <v>274</v>
      </c>
      <c r="L7212" s="902"/>
      <c r="M7212" s="902"/>
      <c r="N7212" s="902"/>
      <c r="O7212" s="892">
        <f t="shared" si="537"/>
        <v>0</v>
      </c>
      <c r="P7212" s="903">
        <f t="shared" si="539"/>
        <v>1</v>
      </c>
      <c r="Q7212" s="893">
        <f t="shared" si="540"/>
        <v>2</v>
      </c>
      <c r="R7212" s="894">
        <f t="shared" si="541"/>
        <v>0</v>
      </c>
    </row>
    <row r="7213" spans="1:18">
      <c r="A7213" s="905"/>
      <c r="B7213" s="906"/>
      <c r="C7213" s="907">
        <v>745</v>
      </c>
      <c r="D7213" s="907" t="s">
        <v>12</v>
      </c>
      <c r="E7213" s="908" t="s">
        <v>5518</v>
      </c>
      <c r="F7213" s="909" t="s">
        <v>2674</v>
      </c>
      <c r="G7213" s="910"/>
      <c r="H7213" s="911">
        <v>29.64</v>
      </c>
      <c r="I7213" s="912"/>
      <c r="J7213" s="912"/>
      <c r="K7213" s="912">
        <f>VLOOKUP(E7213,[5]ĐMNC!$A$7:$F$67,4,0)</f>
        <v>240557</v>
      </c>
      <c r="L7213" s="912">
        <f>H7213*K7213</f>
        <v>7130109.4800000004</v>
      </c>
      <c r="M7213" s="912"/>
      <c r="N7213" s="912"/>
      <c r="O7213" s="892">
        <f t="shared" si="537"/>
        <v>0</v>
      </c>
      <c r="P7213" s="903">
        <f t="shared" si="539"/>
        <v>1</v>
      </c>
      <c r="Q7213" s="893">
        <f t="shared" si="540"/>
        <v>1</v>
      </c>
      <c r="R7213" s="894">
        <f t="shared" si="541"/>
        <v>0</v>
      </c>
    </row>
    <row r="7214" spans="1:18" s="847" customFormat="1" ht="35.25" customHeight="1">
      <c r="A7214" s="905"/>
      <c r="B7214" s="914" t="s">
        <v>6089</v>
      </c>
      <c r="C7214" s="915"/>
      <c r="D7214" s="915"/>
      <c r="E7214" s="916" t="s">
        <v>6090</v>
      </c>
      <c r="F7214" s="917" t="s">
        <v>6064</v>
      </c>
      <c r="G7214" s="944"/>
      <c r="H7214" s="919"/>
      <c r="I7214" s="920"/>
      <c r="J7214" s="891">
        <f>SUM(J7215:J7227)</f>
        <v>903426</v>
      </c>
      <c r="K7214" s="891"/>
      <c r="L7214" s="891">
        <f>SUM(L7215:L7227)</f>
        <v>8556612.4900000002</v>
      </c>
      <c r="M7214" s="891"/>
      <c r="N7214" s="891">
        <f>SUM(N7215:N7227)</f>
        <v>0</v>
      </c>
      <c r="O7214" s="892">
        <f t="shared" si="537"/>
        <v>1</v>
      </c>
      <c r="P7214" s="903">
        <f t="shared" si="539"/>
        <v>0</v>
      </c>
      <c r="Q7214" s="893">
        <f t="shared" si="540"/>
        <v>0</v>
      </c>
      <c r="R7214" s="894">
        <f t="shared" si="541"/>
        <v>13</v>
      </c>
    </row>
    <row r="7215" spans="1:18" s="904" customFormat="1">
      <c r="A7215" s="895"/>
      <c r="B7215" s="896"/>
      <c r="C7215" s="897"/>
      <c r="D7215" s="897"/>
      <c r="E7215" s="898" t="s">
        <v>108</v>
      </c>
      <c r="F7215" s="899"/>
      <c r="G7215" s="928"/>
      <c r="H7215" s="901"/>
      <c r="I7215" s="902"/>
      <c r="J7215" s="902"/>
      <c r="K7215" s="912" t="s">
        <v>274</v>
      </c>
      <c r="L7215" s="902"/>
      <c r="M7215" s="902"/>
      <c r="N7215" s="902"/>
      <c r="O7215" s="892">
        <f t="shared" si="537"/>
        <v>0</v>
      </c>
      <c r="P7215" s="903">
        <f t="shared" si="539"/>
        <v>1</v>
      </c>
      <c r="Q7215" s="893">
        <f t="shared" si="540"/>
        <v>13</v>
      </c>
      <c r="R7215" s="894">
        <f t="shared" si="541"/>
        <v>0</v>
      </c>
    </row>
    <row r="7216" spans="1:18">
      <c r="A7216" s="905"/>
      <c r="B7216" s="906"/>
      <c r="C7216" s="907">
        <v>49</v>
      </c>
      <c r="D7216" s="907" t="s">
        <v>279</v>
      </c>
      <c r="E7216" s="925" t="s">
        <v>5698</v>
      </c>
      <c r="F7216" s="909" t="s">
        <v>139</v>
      </c>
      <c r="G7216" s="910"/>
      <c r="H7216" s="911">
        <v>2</v>
      </c>
      <c r="I7216" s="912">
        <f>VLOOKUP(E7216,[3]VLP!$B$7:$K$300,10,0)</f>
        <v>3000</v>
      </c>
      <c r="J7216" s="912">
        <f t="shared" ref="J7216:J7225" si="542">I7216*H7216</f>
        <v>6000</v>
      </c>
      <c r="K7216" s="912" t="s">
        <v>274</v>
      </c>
      <c r="L7216" s="912"/>
      <c r="M7216" s="912"/>
      <c r="N7216" s="912"/>
      <c r="O7216" s="892">
        <f t="shared" si="537"/>
        <v>0</v>
      </c>
      <c r="P7216" s="903">
        <f t="shared" si="539"/>
        <v>1</v>
      </c>
      <c r="Q7216" s="893">
        <f t="shared" si="540"/>
        <v>12</v>
      </c>
      <c r="R7216" s="894">
        <f t="shared" si="541"/>
        <v>0</v>
      </c>
    </row>
    <row r="7217" spans="1:18">
      <c r="A7217" s="905"/>
      <c r="B7217" s="906"/>
      <c r="C7217" s="907">
        <v>50</v>
      </c>
      <c r="D7217" s="907" t="s">
        <v>279</v>
      </c>
      <c r="E7217" s="925" t="s">
        <v>5836</v>
      </c>
      <c r="F7217" s="909" t="s">
        <v>49</v>
      </c>
      <c r="G7217" s="910"/>
      <c r="H7217" s="911">
        <v>4</v>
      </c>
      <c r="I7217" s="912">
        <f>VLOOKUP(E7217,[3]VLP!$B$7:$K$300,10,0)</f>
        <v>85790</v>
      </c>
      <c r="J7217" s="912">
        <f t="shared" si="542"/>
        <v>343160</v>
      </c>
      <c r="K7217" s="912" t="s">
        <v>274</v>
      </c>
      <c r="L7217" s="912"/>
      <c r="M7217" s="912"/>
      <c r="N7217" s="912"/>
      <c r="O7217" s="892">
        <f t="shared" si="537"/>
        <v>0</v>
      </c>
      <c r="P7217" s="903">
        <f t="shared" si="539"/>
        <v>1</v>
      </c>
      <c r="Q7217" s="893">
        <f t="shared" si="540"/>
        <v>11</v>
      </c>
      <c r="R7217" s="894">
        <f t="shared" si="541"/>
        <v>0</v>
      </c>
    </row>
    <row r="7218" spans="1:18">
      <c r="A7218" s="905"/>
      <c r="B7218" s="906"/>
      <c r="C7218" s="907">
        <v>46</v>
      </c>
      <c r="D7218" s="907" t="s">
        <v>279</v>
      </c>
      <c r="E7218" s="925" t="s">
        <v>3179</v>
      </c>
      <c r="F7218" s="909" t="s">
        <v>45</v>
      </c>
      <c r="G7218" s="910"/>
      <c r="H7218" s="911">
        <v>21</v>
      </c>
      <c r="I7218" s="912">
        <f>VLOOKUP(E7218,[3]VLP!$B$7:$K$300,10,0)</f>
        <v>20500</v>
      </c>
      <c r="J7218" s="912">
        <f t="shared" si="542"/>
        <v>430500</v>
      </c>
      <c r="K7218" s="912" t="s">
        <v>274</v>
      </c>
      <c r="L7218" s="912"/>
      <c r="M7218" s="912"/>
      <c r="N7218" s="912"/>
      <c r="O7218" s="892">
        <f t="shared" si="537"/>
        <v>0</v>
      </c>
      <c r="P7218" s="903">
        <f t="shared" si="539"/>
        <v>1</v>
      </c>
      <c r="Q7218" s="893">
        <f t="shared" si="540"/>
        <v>10</v>
      </c>
      <c r="R7218" s="894">
        <f t="shared" si="541"/>
        <v>0</v>
      </c>
    </row>
    <row r="7219" spans="1:18">
      <c r="A7219" s="905"/>
      <c r="B7219" s="906"/>
      <c r="C7219" s="907">
        <v>25</v>
      </c>
      <c r="D7219" s="907" t="s">
        <v>279</v>
      </c>
      <c r="E7219" s="925" t="s">
        <v>5656</v>
      </c>
      <c r="F7219" s="926" t="s">
        <v>2690</v>
      </c>
      <c r="G7219" s="910"/>
      <c r="H7219" s="911">
        <v>3.6</v>
      </c>
      <c r="I7219" s="912">
        <f>VLOOKUP(E7219,[3]VLP!$B$7:$K$300,10,0)</f>
        <v>5000</v>
      </c>
      <c r="J7219" s="912">
        <f t="shared" si="542"/>
        <v>18000</v>
      </c>
      <c r="K7219" s="912" t="s">
        <v>274</v>
      </c>
      <c r="L7219" s="912"/>
      <c r="M7219" s="912"/>
      <c r="N7219" s="912"/>
      <c r="O7219" s="892">
        <f t="shared" si="537"/>
        <v>0</v>
      </c>
      <c r="P7219" s="903">
        <f t="shared" si="539"/>
        <v>1</v>
      </c>
      <c r="Q7219" s="893">
        <f t="shared" si="540"/>
        <v>9</v>
      </c>
      <c r="R7219" s="894">
        <f t="shared" si="541"/>
        <v>0</v>
      </c>
    </row>
    <row r="7220" spans="1:18">
      <c r="A7220" s="905"/>
      <c r="B7220" s="906"/>
      <c r="C7220" s="907">
        <v>127</v>
      </c>
      <c r="D7220" s="907" t="s">
        <v>279</v>
      </c>
      <c r="E7220" s="925" t="s">
        <v>5657</v>
      </c>
      <c r="F7220" s="909" t="s">
        <v>45</v>
      </c>
      <c r="G7220" s="910"/>
      <c r="H7220" s="911">
        <v>1.2</v>
      </c>
      <c r="I7220" s="912">
        <f>VLOOKUP(E7220,[3]VLP!$B$7:$K$300,10,0)</f>
        <v>25155</v>
      </c>
      <c r="J7220" s="912">
        <f t="shared" si="542"/>
        <v>30186</v>
      </c>
      <c r="K7220" s="912" t="s">
        <v>274</v>
      </c>
      <c r="L7220" s="912"/>
      <c r="M7220" s="912"/>
      <c r="N7220" s="912"/>
      <c r="O7220" s="892">
        <f t="shared" si="537"/>
        <v>0</v>
      </c>
      <c r="P7220" s="903">
        <f t="shared" si="539"/>
        <v>1</v>
      </c>
      <c r="Q7220" s="893">
        <f t="shared" si="540"/>
        <v>8</v>
      </c>
      <c r="R7220" s="894">
        <f t="shared" si="541"/>
        <v>0</v>
      </c>
    </row>
    <row r="7221" spans="1:18">
      <c r="A7221" s="905"/>
      <c r="B7221" s="906"/>
      <c r="C7221" s="907">
        <v>44</v>
      </c>
      <c r="D7221" s="907" t="s">
        <v>279</v>
      </c>
      <c r="E7221" s="925" t="s">
        <v>2681</v>
      </c>
      <c r="F7221" s="926" t="s">
        <v>45</v>
      </c>
      <c r="G7221" s="910"/>
      <c r="H7221" s="911">
        <v>1.2</v>
      </c>
      <c r="I7221" s="912">
        <f>VLOOKUP(E7221,[3]VLP!$B$7:$K$300,10,0)</f>
        <v>23000</v>
      </c>
      <c r="J7221" s="912">
        <f t="shared" si="542"/>
        <v>27600</v>
      </c>
      <c r="K7221" s="912" t="s">
        <v>274</v>
      </c>
      <c r="L7221" s="912"/>
      <c r="M7221" s="912"/>
      <c r="N7221" s="912"/>
      <c r="O7221" s="892">
        <f t="shared" si="537"/>
        <v>0</v>
      </c>
      <c r="P7221" s="903">
        <f t="shared" si="539"/>
        <v>1</v>
      </c>
      <c r="Q7221" s="893">
        <f t="shared" si="540"/>
        <v>7</v>
      </c>
      <c r="R7221" s="894">
        <f t="shared" si="541"/>
        <v>0</v>
      </c>
    </row>
    <row r="7222" spans="1:18">
      <c r="A7222" s="905"/>
      <c r="B7222" s="906"/>
      <c r="C7222" s="907">
        <v>66</v>
      </c>
      <c r="D7222" s="907" t="s">
        <v>279</v>
      </c>
      <c r="E7222" s="925" t="s">
        <v>2682</v>
      </c>
      <c r="F7222" s="926" t="s">
        <v>45</v>
      </c>
      <c r="G7222" s="910"/>
      <c r="H7222" s="911">
        <v>1.2</v>
      </c>
      <c r="I7222" s="912">
        <f>VLOOKUP(E7222,[3]VLP!$B$7:$K$300,10,0)</f>
        <v>5000</v>
      </c>
      <c r="J7222" s="912">
        <f t="shared" si="542"/>
        <v>6000</v>
      </c>
      <c r="K7222" s="912" t="s">
        <v>274</v>
      </c>
      <c r="L7222" s="912"/>
      <c r="M7222" s="912"/>
      <c r="N7222" s="912"/>
      <c r="O7222" s="892">
        <f t="shared" si="537"/>
        <v>0</v>
      </c>
      <c r="P7222" s="903">
        <f t="shared" si="539"/>
        <v>1</v>
      </c>
      <c r="Q7222" s="893">
        <f t="shared" si="540"/>
        <v>6</v>
      </c>
      <c r="R7222" s="894">
        <f t="shared" si="541"/>
        <v>0</v>
      </c>
    </row>
    <row r="7223" spans="1:18">
      <c r="A7223" s="905"/>
      <c r="B7223" s="906"/>
      <c r="C7223" s="907">
        <v>65</v>
      </c>
      <c r="D7223" s="907" t="s">
        <v>279</v>
      </c>
      <c r="E7223" s="925" t="s">
        <v>5983</v>
      </c>
      <c r="F7223" s="926" t="s">
        <v>3144</v>
      </c>
      <c r="G7223" s="910"/>
      <c r="H7223" s="911">
        <v>1.2</v>
      </c>
      <c r="I7223" s="912">
        <f>VLOOKUP(E7223,[3]VLP!$B$7:$K$300,10,0)</f>
        <v>14000</v>
      </c>
      <c r="J7223" s="912">
        <f t="shared" si="542"/>
        <v>16800</v>
      </c>
      <c r="K7223" s="912" t="s">
        <v>274</v>
      </c>
      <c r="L7223" s="912"/>
      <c r="M7223" s="912"/>
      <c r="N7223" s="912"/>
      <c r="O7223" s="892">
        <f t="shared" si="537"/>
        <v>0</v>
      </c>
      <c r="P7223" s="903">
        <f t="shared" si="539"/>
        <v>1</v>
      </c>
      <c r="Q7223" s="893">
        <f t="shared" si="540"/>
        <v>5</v>
      </c>
      <c r="R7223" s="894">
        <f t="shared" si="541"/>
        <v>0</v>
      </c>
    </row>
    <row r="7224" spans="1:18">
      <c r="A7224" s="905"/>
      <c r="B7224" s="906"/>
      <c r="C7224" s="907">
        <v>89</v>
      </c>
      <c r="D7224" s="907" t="s">
        <v>279</v>
      </c>
      <c r="E7224" s="925" t="s">
        <v>5984</v>
      </c>
      <c r="F7224" s="926" t="s">
        <v>45</v>
      </c>
      <c r="G7224" s="910"/>
      <c r="H7224" s="911">
        <v>0.18</v>
      </c>
      <c r="I7224" s="912">
        <f>VLOOKUP(E7224,[3]VLP!$B$7:$K$300,10,0)</f>
        <v>1000</v>
      </c>
      <c r="J7224" s="912">
        <f t="shared" si="542"/>
        <v>180</v>
      </c>
      <c r="K7224" s="912" t="s">
        <v>274</v>
      </c>
      <c r="L7224" s="912"/>
      <c r="M7224" s="912"/>
      <c r="N7224" s="912"/>
      <c r="O7224" s="892">
        <f t="shared" si="537"/>
        <v>0</v>
      </c>
      <c r="P7224" s="903">
        <f t="shared" si="539"/>
        <v>1</v>
      </c>
      <c r="Q7224" s="893">
        <f t="shared" si="540"/>
        <v>4</v>
      </c>
      <c r="R7224" s="894">
        <f t="shared" si="541"/>
        <v>0</v>
      </c>
    </row>
    <row r="7225" spans="1:18">
      <c r="A7225" s="905"/>
      <c r="B7225" s="906"/>
      <c r="C7225" s="907">
        <v>699</v>
      </c>
      <c r="D7225" s="907" t="s">
        <v>279</v>
      </c>
      <c r="E7225" s="925" t="s">
        <v>4006</v>
      </c>
      <c r="F7225" s="926" t="s">
        <v>4007</v>
      </c>
      <c r="G7225" s="910"/>
      <c r="H7225" s="911">
        <v>5</v>
      </c>
      <c r="I7225" s="912">
        <f>VLOOKUP(E7225,[3]VLP!$B$7:$K$300,10,0)</f>
        <v>5000</v>
      </c>
      <c r="J7225" s="912">
        <f t="shared" si="542"/>
        <v>25000</v>
      </c>
      <c r="K7225" s="912" t="s">
        <v>274</v>
      </c>
      <c r="L7225" s="912"/>
      <c r="M7225" s="912"/>
      <c r="N7225" s="912"/>
      <c r="O7225" s="892">
        <f t="shared" si="537"/>
        <v>0</v>
      </c>
      <c r="P7225" s="903">
        <f t="shared" si="539"/>
        <v>1</v>
      </c>
      <c r="Q7225" s="893">
        <f t="shared" si="540"/>
        <v>3</v>
      </c>
      <c r="R7225" s="894">
        <f t="shared" si="541"/>
        <v>0</v>
      </c>
    </row>
    <row r="7226" spans="1:18" s="904" customFormat="1">
      <c r="A7226" s="895"/>
      <c r="B7226" s="896"/>
      <c r="C7226" s="897"/>
      <c r="D7226" s="897"/>
      <c r="E7226" s="924" t="s">
        <v>276</v>
      </c>
      <c r="F7226" s="927"/>
      <c r="G7226" s="928"/>
      <c r="H7226" s="901"/>
      <c r="I7226" s="902"/>
      <c r="J7226" s="902"/>
      <c r="K7226" s="912" t="s">
        <v>274</v>
      </c>
      <c r="L7226" s="902"/>
      <c r="M7226" s="902"/>
      <c r="N7226" s="902"/>
      <c r="O7226" s="892">
        <f t="shared" si="537"/>
        <v>0</v>
      </c>
      <c r="P7226" s="903">
        <f t="shared" si="539"/>
        <v>1</v>
      </c>
      <c r="Q7226" s="893">
        <f t="shared" si="540"/>
        <v>2</v>
      </c>
      <c r="R7226" s="894">
        <f t="shared" si="541"/>
        <v>0</v>
      </c>
    </row>
    <row r="7227" spans="1:18">
      <c r="A7227" s="905"/>
      <c r="B7227" s="906"/>
      <c r="C7227" s="907">
        <v>745</v>
      </c>
      <c r="D7227" s="907" t="s">
        <v>12</v>
      </c>
      <c r="E7227" s="908" t="s">
        <v>5518</v>
      </c>
      <c r="F7227" s="909" t="s">
        <v>2674</v>
      </c>
      <c r="G7227" s="910"/>
      <c r="H7227" s="911">
        <v>35.57</v>
      </c>
      <c r="I7227" s="912"/>
      <c r="J7227" s="912"/>
      <c r="K7227" s="912">
        <f>VLOOKUP(E7227,[5]ĐMNC!$A$7:$F$67,4,0)</f>
        <v>240557</v>
      </c>
      <c r="L7227" s="912">
        <f>H7227*K7227</f>
        <v>8556612.4900000002</v>
      </c>
      <c r="M7227" s="912"/>
      <c r="N7227" s="912"/>
      <c r="O7227" s="892">
        <f t="shared" si="537"/>
        <v>0</v>
      </c>
      <c r="P7227" s="903">
        <f t="shared" si="539"/>
        <v>1</v>
      </c>
      <c r="Q7227" s="893">
        <f t="shared" si="540"/>
        <v>1</v>
      </c>
      <c r="R7227" s="894">
        <f t="shared" si="541"/>
        <v>0</v>
      </c>
    </row>
    <row r="7228" spans="1:18" s="847" customFormat="1" ht="31.5">
      <c r="A7228" s="905" t="s">
        <v>6091</v>
      </c>
      <c r="B7228" s="914" t="s">
        <v>6092</v>
      </c>
      <c r="C7228" s="915"/>
      <c r="D7228" s="915"/>
      <c r="E7228" s="916" t="s">
        <v>6093</v>
      </c>
      <c r="F7228" s="917" t="s">
        <v>6094</v>
      </c>
      <c r="G7228" s="918"/>
      <c r="H7228" s="919"/>
      <c r="I7228" s="920"/>
      <c r="J7228" s="891">
        <f>SUM(J7229:J7234)</f>
        <v>40300</v>
      </c>
      <c r="K7228" s="891"/>
      <c r="L7228" s="891">
        <f>SUM(L7229:L7234)</f>
        <v>457058.3</v>
      </c>
      <c r="M7228" s="891"/>
      <c r="N7228" s="891">
        <f>SUM(N7229:N7234)</f>
        <v>0</v>
      </c>
      <c r="O7228" s="892">
        <f t="shared" si="537"/>
        <v>1</v>
      </c>
      <c r="P7228" s="903">
        <f t="shared" si="539"/>
        <v>0</v>
      </c>
      <c r="Q7228" s="893">
        <f t="shared" si="540"/>
        <v>0</v>
      </c>
      <c r="R7228" s="894">
        <f t="shared" si="541"/>
        <v>6</v>
      </c>
    </row>
    <row r="7229" spans="1:18" s="904" customFormat="1">
      <c r="A7229" s="895"/>
      <c r="B7229" s="922"/>
      <c r="C7229" s="897"/>
      <c r="D7229" s="897"/>
      <c r="E7229" s="898" t="s">
        <v>108</v>
      </c>
      <c r="F7229" s="899"/>
      <c r="G7229" s="928"/>
      <c r="H7229" s="901"/>
      <c r="I7229" s="902"/>
      <c r="J7229" s="902"/>
      <c r="K7229" s="912" t="s">
        <v>274</v>
      </c>
      <c r="L7229" s="902"/>
      <c r="M7229" s="902"/>
      <c r="N7229" s="902"/>
      <c r="O7229" s="892">
        <f t="shared" si="537"/>
        <v>0</v>
      </c>
      <c r="P7229" s="903">
        <f t="shared" si="539"/>
        <v>1</v>
      </c>
      <c r="Q7229" s="893">
        <f t="shared" si="540"/>
        <v>6</v>
      </c>
      <c r="R7229" s="894">
        <f t="shared" si="541"/>
        <v>0</v>
      </c>
    </row>
    <row r="7230" spans="1:18">
      <c r="A7230" s="905"/>
      <c r="B7230" s="906"/>
      <c r="C7230" s="907">
        <v>44</v>
      </c>
      <c r="D7230" s="907" t="s">
        <v>279</v>
      </c>
      <c r="E7230" s="925" t="s">
        <v>2681</v>
      </c>
      <c r="F7230" s="926" t="s">
        <v>45</v>
      </c>
      <c r="G7230" s="910"/>
      <c r="H7230" s="911">
        <v>0.6</v>
      </c>
      <c r="I7230" s="912">
        <f>VLOOKUP(E7230,[3]VLP!$B$7:$K$300,10,0)</f>
        <v>23000</v>
      </c>
      <c r="J7230" s="912">
        <f>I7230*H7230</f>
        <v>13800</v>
      </c>
      <c r="K7230" s="912" t="s">
        <v>274</v>
      </c>
      <c r="L7230" s="912"/>
      <c r="M7230" s="912"/>
      <c r="N7230" s="912"/>
      <c r="O7230" s="892">
        <f t="shared" si="537"/>
        <v>0</v>
      </c>
      <c r="P7230" s="903">
        <f t="shared" si="539"/>
        <v>1</v>
      </c>
      <c r="Q7230" s="893">
        <f t="shared" si="540"/>
        <v>5</v>
      </c>
      <c r="R7230" s="894">
        <f t="shared" si="541"/>
        <v>0</v>
      </c>
    </row>
    <row r="7231" spans="1:18">
      <c r="A7231" s="905"/>
      <c r="B7231" s="906"/>
      <c r="C7231" s="907">
        <v>66</v>
      </c>
      <c r="D7231" s="907" t="s">
        <v>279</v>
      </c>
      <c r="E7231" s="925" t="s">
        <v>2682</v>
      </c>
      <c r="F7231" s="926" t="s">
        <v>45</v>
      </c>
      <c r="G7231" s="910"/>
      <c r="H7231" s="911">
        <v>0.3</v>
      </c>
      <c r="I7231" s="912">
        <f>VLOOKUP(E7231,[3]VLP!$B$7:$K$300,10,0)</f>
        <v>5000</v>
      </c>
      <c r="J7231" s="912">
        <f>I7231*H7231</f>
        <v>1500</v>
      </c>
      <c r="K7231" s="912" t="s">
        <v>274</v>
      </c>
      <c r="L7231" s="912"/>
      <c r="M7231" s="912"/>
      <c r="N7231" s="912"/>
      <c r="O7231" s="892">
        <f t="shared" si="537"/>
        <v>0</v>
      </c>
      <c r="P7231" s="903">
        <f t="shared" si="539"/>
        <v>1</v>
      </c>
      <c r="Q7231" s="893">
        <f t="shared" si="540"/>
        <v>4</v>
      </c>
      <c r="R7231" s="894">
        <f t="shared" si="541"/>
        <v>0</v>
      </c>
    </row>
    <row r="7232" spans="1:18">
      <c r="A7232" s="905"/>
      <c r="B7232" s="906"/>
      <c r="C7232" s="907">
        <v>699</v>
      </c>
      <c r="D7232" s="907" t="s">
        <v>279</v>
      </c>
      <c r="E7232" s="925" t="s">
        <v>4006</v>
      </c>
      <c r="F7232" s="926" t="s">
        <v>4007</v>
      </c>
      <c r="G7232" s="910"/>
      <c r="H7232" s="911">
        <v>5</v>
      </c>
      <c r="I7232" s="912">
        <f>VLOOKUP(E7232,[3]VLP!$B$7:$K$300,10,0)</f>
        <v>5000</v>
      </c>
      <c r="J7232" s="912">
        <f>I7232*H7232</f>
        <v>25000</v>
      </c>
      <c r="K7232" s="912" t="s">
        <v>274</v>
      </c>
      <c r="L7232" s="912"/>
      <c r="M7232" s="912"/>
      <c r="N7232" s="912"/>
      <c r="O7232" s="892">
        <f t="shared" si="537"/>
        <v>0</v>
      </c>
      <c r="P7232" s="903">
        <f t="shared" si="539"/>
        <v>1</v>
      </c>
      <c r="Q7232" s="893">
        <f t="shared" si="540"/>
        <v>3</v>
      </c>
      <c r="R7232" s="894">
        <f t="shared" si="541"/>
        <v>0</v>
      </c>
    </row>
    <row r="7233" spans="1:18" s="904" customFormat="1">
      <c r="A7233" s="895"/>
      <c r="B7233" s="896"/>
      <c r="C7233" s="897"/>
      <c r="D7233" s="897"/>
      <c r="E7233" s="924" t="s">
        <v>276</v>
      </c>
      <c r="F7233" s="927"/>
      <c r="G7233" s="928"/>
      <c r="H7233" s="901"/>
      <c r="I7233" s="902"/>
      <c r="J7233" s="902"/>
      <c r="K7233" s="912" t="s">
        <v>274</v>
      </c>
      <c r="L7233" s="902"/>
      <c r="M7233" s="902"/>
      <c r="N7233" s="902"/>
      <c r="O7233" s="892">
        <f t="shared" si="537"/>
        <v>0</v>
      </c>
      <c r="P7233" s="903">
        <f t="shared" si="539"/>
        <v>1</v>
      </c>
      <c r="Q7233" s="893">
        <f t="shared" si="540"/>
        <v>2</v>
      </c>
      <c r="R7233" s="894">
        <f t="shared" si="541"/>
        <v>0</v>
      </c>
    </row>
    <row r="7234" spans="1:18">
      <c r="A7234" s="905"/>
      <c r="B7234" s="906"/>
      <c r="C7234" s="907">
        <v>745</v>
      </c>
      <c r="D7234" s="907" t="s">
        <v>12</v>
      </c>
      <c r="E7234" s="908" t="s">
        <v>5518</v>
      </c>
      <c r="F7234" s="909" t="s">
        <v>2674</v>
      </c>
      <c r="G7234" s="910"/>
      <c r="H7234" s="911">
        <v>1.9</v>
      </c>
      <c r="I7234" s="912"/>
      <c r="J7234" s="912"/>
      <c r="K7234" s="912">
        <f>VLOOKUP(E7234,[5]ĐMNC!$A$7:$F$67,4,0)</f>
        <v>240557</v>
      </c>
      <c r="L7234" s="912">
        <f>H7234*K7234</f>
        <v>457058.3</v>
      </c>
      <c r="M7234" s="912"/>
      <c r="N7234" s="912"/>
      <c r="O7234" s="892">
        <f t="shared" si="537"/>
        <v>0</v>
      </c>
      <c r="P7234" s="903">
        <f t="shared" si="539"/>
        <v>1</v>
      </c>
      <c r="Q7234" s="893">
        <f t="shared" si="540"/>
        <v>1</v>
      </c>
      <c r="R7234" s="894">
        <f t="shared" si="541"/>
        <v>0</v>
      </c>
    </row>
    <row r="7235" spans="1:18" s="847" customFormat="1" ht="31.5">
      <c r="A7235" s="905"/>
      <c r="B7235" s="914" t="s">
        <v>6095</v>
      </c>
      <c r="C7235" s="915"/>
      <c r="D7235" s="915"/>
      <c r="E7235" s="916" t="s">
        <v>6096</v>
      </c>
      <c r="F7235" s="917" t="s">
        <v>6094</v>
      </c>
      <c r="G7235" s="918"/>
      <c r="H7235" s="919"/>
      <c r="I7235" s="920"/>
      <c r="J7235" s="891">
        <f>SUM(J7236:J7241)</f>
        <v>40300</v>
      </c>
      <c r="K7235" s="891"/>
      <c r="L7235" s="891">
        <f>SUM(L7236:L7241)</f>
        <v>466680.57999999996</v>
      </c>
      <c r="M7235" s="891"/>
      <c r="N7235" s="891">
        <f>SUM(N7236:N7241)</f>
        <v>0</v>
      </c>
      <c r="O7235" s="892">
        <f t="shared" si="537"/>
        <v>1</v>
      </c>
      <c r="P7235" s="903">
        <f t="shared" si="539"/>
        <v>0</v>
      </c>
      <c r="Q7235" s="893">
        <f t="shared" si="540"/>
        <v>0</v>
      </c>
      <c r="R7235" s="894">
        <f t="shared" si="541"/>
        <v>6</v>
      </c>
    </row>
    <row r="7236" spans="1:18" s="904" customFormat="1">
      <c r="A7236" s="895"/>
      <c r="B7236" s="896"/>
      <c r="C7236" s="897"/>
      <c r="D7236" s="897"/>
      <c r="E7236" s="898" t="s">
        <v>108</v>
      </c>
      <c r="F7236" s="899"/>
      <c r="G7236" s="928"/>
      <c r="H7236" s="901"/>
      <c r="I7236" s="902"/>
      <c r="J7236" s="902"/>
      <c r="K7236" s="912" t="s">
        <v>274</v>
      </c>
      <c r="L7236" s="902"/>
      <c r="M7236" s="902"/>
      <c r="N7236" s="902"/>
      <c r="O7236" s="892">
        <f t="shared" si="537"/>
        <v>0</v>
      </c>
      <c r="P7236" s="903">
        <f t="shared" si="539"/>
        <v>1</v>
      </c>
      <c r="Q7236" s="893">
        <f t="shared" si="540"/>
        <v>6</v>
      </c>
      <c r="R7236" s="894">
        <f t="shared" si="541"/>
        <v>0</v>
      </c>
    </row>
    <row r="7237" spans="1:18">
      <c r="A7237" s="905"/>
      <c r="B7237" s="906"/>
      <c r="C7237" s="907">
        <v>44</v>
      </c>
      <c r="D7237" s="907" t="s">
        <v>279</v>
      </c>
      <c r="E7237" s="925" t="s">
        <v>2681</v>
      </c>
      <c r="F7237" s="926" t="s">
        <v>45</v>
      </c>
      <c r="G7237" s="910"/>
      <c r="H7237" s="911">
        <v>0.6</v>
      </c>
      <c r="I7237" s="912">
        <f>VLOOKUP(E7237,[3]VLP!$B$7:$K$300,10,0)</f>
        <v>23000</v>
      </c>
      <c r="J7237" s="912">
        <f>I7237*H7237</f>
        <v>13800</v>
      </c>
      <c r="K7237" s="912" t="s">
        <v>274</v>
      </c>
      <c r="L7237" s="912"/>
      <c r="M7237" s="912"/>
      <c r="N7237" s="912"/>
      <c r="O7237" s="892">
        <f t="shared" si="537"/>
        <v>0</v>
      </c>
      <c r="P7237" s="903">
        <f t="shared" si="539"/>
        <v>1</v>
      </c>
      <c r="Q7237" s="893">
        <f t="shared" si="540"/>
        <v>5</v>
      </c>
      <c r="R7237" s="894">
        <f t="shared" si="541"/>
        <v>0</v>
      </c>
    </row>
    <row r="7238" spans="1:18">
      <c r="A7238" s="905"/>
      <c r="B7238" s="906"/>
      <c r="C7238" s="907">
        <v>66</v>
      </c>
      <c r="D7238" s="907" t="s">
        <v>279</v>
      </c>
      <c r="E7238" s="925" t="s">
        <v>2682</v>
      </c>
      <c r="F7238" s="926" t="s">
        <v>45</v>
      </c>
      <c r="G7238" s="910"/>
      <c r="H7238" s="911">
        <v>0.3</v>
      </c>
      <c r="I7238" s="912">
        <f>VLOOKUP(E7238,[3]VLP!$B$7:$K$300,10,0)</f>
        <v>5000</v>
      </c>
      <c r="J7238" s="912">
        <f>I7238*H7238</f>
        <v>1500</v>
      </c>
      <c r="K7238" s="912" t="s">
        <v>274</v>
      </c>
      <c r="L7238" s="912"/>
      <c r="M7238" s="912"/>
      <c r="N7238" s="912"/>
      <c r="O7238" s="892">
        <f t="shared" si="537"/>
        <v>0</v>
      </c>
      <c r="P7238" s="903">
        <f t="shared" si="539"/>
        <v>1</v>
      </c>
      <c r="Q7238" s="893">
        <f t="shared" si="540"/>
        <v>4</v>
      </c>
      <c r="R7238" s="894">
        <f t="shared" si="541"/>
        <v>0</v>
      </c>
    </row>
    <row r="7239" spans="1:18">
      <c r="A7239" s="905"/>
      <c r="B7239" s="906"/>
      <c r="C7239" s="907">
        <v>699</v>
      </c>
      <c r="D7239" s="907" t="s">
        <v>279</v>
      </c>
      <c r="E7239" s="925" t="s">
        <v>4006</v>
      </c>
      <c r="F7239" s="926" t="s">
        <v>4007</v>
      </c>
      <c r="G7239" s="910"/>
      <c r="H7239" s="911">
        <v>5</v>
      </c>
      <c r="I7239" s="912">
        <f>VLOOKUP(E7239,[3]VLP!$B$7:$K$300,10,0)</f>
        <v>5000</v>
      </c>
      <c r="J7239" s="912">
        <f>I7239*H7239</f>
        <v>25000</v>
      </c>
      <c r="K7239" s="912" t="s">
        <v>274</v>
      </c>
      <c r="L7239" s="912"/>
      <c r="M7239" s="912"/>
      <c r="N7239" s="912"/>
      <c r="O7239" s="892">
        <f t="shared" si="537"/>
        <v>0</v>
      </c>
      <c r="P7239" s="903">
        <f t="shared" si="539"/>
        <v>1</v>
      </c>
      <c r="Q7239" s="893">
        <f t="shared" si="540"/>
        <v>3</v>
      </c>
      <c r="R7239" s="894">
        <f t="shared" si="541"/>
        <v>0</v>
      </c>
    </row>
    <row r="7240" spans="1:18" s="904" customFormat="1">
      <c r="A7240" s="895"/>
      <c r="B7240" s="896"/>
      <c r="C7240" s="897"/>
      <c r="D7240" s="897"/>
      <c r="E7240" s="924" t="s">
        <v>276</v>
      </c>
      <c r="F7240" s="927"/>
      <c r="G7240" s="928"/>
      <c r="H7240" s="901"/>
      <c r="I7240" s="902"/>
      <c r="J7240" s="902"/>
      <c r="K7240" s="912" t="s">
        <v>274</v>
      </c>
      <c r="L7240" s="902"/>
      <c r="M7240" s="902"/>
      <c r="N7240" s="902"/>
      <c r="O7240" s="892">
        <f t="shared" si="537"/>
        <v>0</v>
      </c>
      <c r="P7240" s="903">
        <f t="shared" si="539"/>
        <v>1</v>
      </c>
      <c r="Q7240" s="893">
        <f t="shared" si="540"/>
        <v>2</v>
      </c>
      <c r="R7240" s="894">
        <f t="shared" si="541"/>
        <v>0</v>
      </c>
    </row>
    <row r="7241" spans="1:18">
      <c r="A7241" s="905"/>
      <c r="B7241" s="906"/>
      <c r="C7241" s="907">
        <v>745</v>
      </c>
      <c r="D7241" s="907" t="s">
        <v>12</v>
      </c>
      <c r="E7241" s="908" t="s">
        <v>5518</v>
      </c>
      <c r="F7241" s="909" t="s">
        <v>2674</v>
      </c>
      <c r="G7241" s="910"/>
      <c r="H7241" s="911">
        <v>1.94</v>
      </c>
      <c r="I7241" s="912"/>
      <c r="J7241" s="912"/>
      <c r="K7241" s="912">
        <f>VLOOKUP(E7241,[5]ĐMNC!$A$7:$F$67,4,0)</f>
        <v>240557</v>
      </c>
      <c r="L7241" s="912">
        <f>H7241*K7241</f>
        <v>466680.57999999996</v>
      </c>
      <c r="M7241" s="912"/>
      <c r="N7241" s="912"/>
      <c r="O7241" s="892">
        <f t="shared" si="537"/>
        <v>0</v>
      </c>
      <c r="P7241" s="903">
        <f t="shared" si="539"/>
        <v>1</v>
      </c>
      <c r="Q7241" s="893">
        <f t="shared" si="540"/>
        <v>1</v>
      </c>
      <c r="R7241" s="894">
        <f t="shared" si="541"/>
        <v>0</v>
      </c>
    </row>
    <row r="7242" spans="1:18" s="847" customFormat="1" ht="31.5">
      <c r="A7242" s="905"/>
      <c r="B7242" s="914" t="s">
        <v>6097</v>
      </c>
      <c r="C7242" s="915"/>
      <c r="D7242" s="915"/>
      <c r="E7242" s="916" t="s">
        <v>6098</v>
      </c>
      <c r="F7242" s="917" t="s">
        <v>6094</v>
      </c>
      <c r="G7242" s="918"/>
      <c r="H7242" s="919"/>
      <c r="I7242" s="920"/>
      <c r="J7242" s="891">
        <f>SUM(J7243:J7248)</f>
        <v>40300</v>
      </c>
      <c r="K7242" s="891"/>
      <c r="L7242" s="891">
        <f>SUM(L7243:L7248)</f>
        <v>514791.98000000004</v>
      </c>
      <c r="M7242" s="891"/>
      <c r="N7242" s="891">
        <f>SUM(N7243:N7248)</f>
        <v>0</v>
      </c>
      <c r="O7242" s="892">
        <f t="shared" si="537"/>
        <v>1</v>
      </c>
      <c r="P7242" s="903">
        <f t="shared" si="539"/>
        <v>0</v>
      </c>
      <c r="Q7242" s="893">
        <f t="shared" si="540"/>
        <v>0</v>
      </c>
      <c r="R7242" s="894">
        <f t="shared" si="541"/>
        <v>6</v>
      </c>
    </row>
    <row r="7243" spans="1:18" s="904" customFormat="1">
      <c r="A7243" s="895"/>
      <c r="B7243" s="896"/>
      <c r="C7243" s="897"/>
      <c r="D7243" s="897"/>
      <c r="E7243" s="898" t="s">
        <v>108</v>
      </c>
      <c r="F7243" s="899"/>
      <c r="G7243" s="928"/>
      <c r="H7243" s="901"/>
      <c r="I7243" s="902"/>
      <c r="J7243" s="902"/>
      <c r="K7243" s="912" t="s">
        <v>274</v>
      </c>
      <c r="L7243" s="902"/>
      <c r="M7243" s="902"/>
      <c r="N7243" s="902"/>
      <c r="O7243" s="892">
        <f t="shared" si="537"/>
        <v>0</v>
      </c>
      <c r="P7243" s="903">
        <f t="shared" si="539"/>
        <v>1</v>
      </c>
      <c r="Q7243" s="893">
        <f t="shared" si="540"/>
        <v>6</v>
      </c>
      <c r="R7243" s="894">
        <f t="shared" si="541"/>
        <v>0</v>
      </c>
    </row>
    <row r="7244" spans="1:18">
      <c r="A7244" s="905"/>
      <c r="B7244" s="906"/>
      <c r="C7244" s="907">
        <v>44</v>
      </c>
      <c r="D7244" s="907" t="s">
        <v>279</v>
      </c>
      <c r="E7244" s="925" t="s">
        <v>2681</v>
      </c>
      <c r="F7244" s="926" t="s">
        <v>45</v>
      </c>
      <c r="G7244" s="910"/>
      <c r="H7244" s="911">
        <v>0.6</v>
      </c>
      <c r="I7244" s="912">
        <f>VLOOKUP(E7244,[3]VLP!$B$7:$K$300,10,0)</f>
        <v>23000</v>
      </c>
      <c r="J7244" s="912">
        <f>I7244*H7244</f>
        <v>13800</v>
      </c>
      <c r="K7244" s="912" t="s">
        <v>274</v>
      </c>
      <c r="L7244" s="912"/>
      <c r="M7244" s="912"/>
      <c r="N7244" s="912"/>
      <c r="O7244" s="892">
        <f t="shared" si="537"/>
        <v>0</v>
      </c>
      <c r="P7244" s="903">
        <f t="shared" si="539"/>
        <v>1</v>
      </c>
      <c r="Q7244" s="893">
        <f t="shared" si="540"/>
        <v>5</v>
      </c>
      <c r="R7244" s="894">
        <f t="shared" si="541"/>
        <v>0</v>
      </c>
    </row>
    <row r="7245" spans="1:18">
      <c r="A7245" s="905"/>
      <c r="B7245" s="906"/>
      <c r="C7245" s="907">
        <v>66</v>
      </c>
      <c r="D7245" s="907" t="s">
        <v>279</v>
      </c>
      <c r="E7245" s="925" t="s">
        <v>2682</v>
      </c>
      <c r="F7245" s="926" t="s">
        <v>45</v>
      </c>
      <c r="G7245" s="910"/>
      <c r="H7245" s="911">
        <v>0.3</v>
      </c>
      <c r="I7245" s="912">
        <f>VLOOKUP(E7245,[3]VLP!$B$7:$K$300,10,0)</f>
        <v>5000</v>
      </c>
      <c r="J7245" s="912">
        <f>I7245*H7245</f>
        <v>1500</v>
      </c>
      <c r="K7245" s="912" t="s">
        <v>274</v>
      </c>
      <c r="L7245" s="912"/>
      <c r="M7245" s="912"/>
      <c r="N7245" s="912"/>
      <c r="O7245" s="892">
        <f t="shared" si="537"/>
        <v>0</v>
      </c>
      <c r="P7245" s="903">
        <f t="shared" si="539"/>
        <v>1</v>
      </c>
      <c r="Q7245" s="893">
        <f t="shared" si="540"/>
        <v>4</v>
      </c>
      <c r="R7245" s="894">
        <f t="shared" si="541"/>
        <v>0</v>
      </c>
    </row>
    <row r="7246" spans="1:18">
      <c r="A7246" s="905"/>
      <c r="B7246" s="906"/>
      <c r="C7246" s="907">
        <v>699</v>
      </c>
      <c r="D7246" s="907" t="s">
        <v>279</v>
      </c>
      <c r="E7246" s="925" t="s">
        <v>4006</v>
      </c>
      <c r="F7246" s="926" t="s">
        <v>4007</v>
      </c>
      <c r="G7246" s="910"/>
      <c r="H7246" s="911">
        <v>5</v>
      </c>
      <c r="I7246" s="912">
        <f>VLOOKUP(E7246,[3]VLP!$B$7:$K$300,10,0)</f>
        <v>5000</v>
      </c>
      <c r="J7246" s="912">
        <f>I7246*H7246</f>
        <v>25000</v>
      </c>
      <c r="K7246" s="912" t="s">
        <v>274</v>
      </c>
      <c r="L7246" s="912"/>
      <c r="M7246" s="912"/>
      <c r="N7246" s="912"/>
      <c r="O7246" s="892">
        <f t="shared" si="537"/>
        <v>0</v>
      </c>
      <c r="P7246" s="903">
        <f t="shared" si="539"/>
        <v>1</v>
      </c>
      <c r="Q7246" s="893">
        <f t="shared" si="540"/>
        <v>3</v>
      </c>
      <c r="R7246" s="894">
        <f t="shared" si="541"/>
        <v>0</v>
      </c>
    </row>
    <row r="7247" spans="1:18" s="904" customFormat="1">
      <c r="A7247" s="895"/>
      <c r="B7247" s="896"/>
      <c r="C7247" s="897"/>
      <c r="D7247" s="897"/>
      <c r="E7247" s="924" t="s">
        <v>276</v>
      </c>
      <c r="F7247" s="927"/>
      <c r="G7247" s="928"/>
      <c r="H7247" s="901"/>
      <c r="I7247" s="902"/>
      <c r="J7247" s="902"/>
      <c r="K7247" s="912" t="s">
        <v>274</v>
      </c>
      <c r="L7247" s="902"/>
      <c r="M7247" s="902"/>
      <c r="N7247" s="902"/>
      <c r="O7247" s="892">
        <f t="shared" si="537"/>
        <v>0</v>
      </c>
      <c r="P7247" s="903">
        <f t="shared" si="539"/>
        <v>1</v>
      </c>
      <c r="Q7247" s="893">
        <f t="shared" si="540"/>
        <v>2</v>
      </c>
      <c r="R7247" s="894">
        <f t="shared" si="541"/>
        <v>0</v>
      </c>
    </row>
    <row r="7248" spans="1:18">
      <c r="A7248" s="905"/>
      <c r="B7248" s="906"/>
      <c r="C7248" s="907">
        <v>745</v>
      </c>
      <c r="D7248" s="907" t="s">
        <v>12</v>
      </c>
      <c r="E7248" s="908" t="s">
        <v>5518</v>
      </c>
      <c r="F7248" s="909" t="s">
        <v>2674</v>
      </c>
      <c r="G7248" s="910"/>
      <c r="H7248" s="911">
        <v>2.14</v>
      </c>
      <c r="I7248" s="912"/>
      <c r="J7248" s="912"/>
      <c r="K7248" s="912">
        <f>VLOOKUP(E7248,[5]ĐMNC!$A$7:$F$67,4,0)</f>
        <v>240557</v>
      </c>
      <c r="L7248" s="912">
        <f>H7248*K7248</f>
        <v>514791.98000000004</v>
      </c>
      <c r="M7248" s="912"/>
      <c r="N7248" s="912"/>
      <c r="O7248" s="892">
        <f t="shared" si="537"/>
        <v>0</v>
      </c>
      <c r="P7248" s="903">
        <f t="shared" si="539"/>
        <v>1</v>
      </c>
      <c r="Q7248" s="893">
        <f t="shared" si="540"/>
        <v>1</v>
      </c>
      <c r="R7248" s="894">
        <f t="shared" si="541"/>
        <v>0</v>
      </c>
    </row>
    <row r="7249" spans="1:18" s="847" customFormat="1" ht="31.5">
      <c r="A7249" s="905"/>
      <c r="B7249" s="914" t="s">
        <v>6099</v>
      </c>
      <c r="C7249" s="915"/>
      <c r="D7249" s="915"/>
      <c r="E7249" s="916" t="s">
        <v>6100</v>
      </c>
      <c r="F7249" s="917" t="s">
        <v>6094</v>
      </c>
      <c r="G7249" s="918"/>
      <c r="H7249" s="919"/>
      <c r="I7249" s="920"/>
      <c r="J7249" s="891">
        <f>SUM(J7250:J7255)</f>
        <v>44250</v>
      </c>
      <c r="K7249" s="891"/>
      <c r="L7249" s="891">
        <f>SUM(L7250:L7255)</f>
        <v>570120.09000000008</v>
      </c>
      <c r="M7249" s="891"/>
      <c r="N7249" s="891">
        <f>SUM(N7250:N7255)</f>
        <v>0</v>
      </c>
      <c r="O7249" s="892">
        <f t="shared" si="537"/>
        <v>1</v>
      </c>
      <c r="P7249" s="903">
        <f t="shared" si="539"/>
        <v>0</v>
      </c>
      <c r="Q7249" s="893">
        <f t="shared" si="540"/>
        <v>0</v>
      </c>
      <c r="R7249" s="894">
        <f t="shared" si="541"/>
        <v>6</v>
      </c>
    </row>
    <row r="7250" spans="1:18" s="904" customFormat="1">
      <c r="A7250" s="895"/>
      <c r="B7250" s="896"/>
      <c r="C7250" s="897"/>
      <c r="D7250" s="897"/>
      <c r="E7250" s="898" t="s">
        <v>108</v>
      </c>
      <c r="F7250" s="899"/>
      <c r="G7250" s="928"/>
      <c r="H7250" s="901"/>
      <c r="I7250" s="902"/>
      <c r="J7250" s="902"/>
      <c r="K7250" s="912" t="s">
        <v>274</v>
      </c>
      <c r="L7250" s="902"/>
      <c r="M7250" s="902"/>
      <c r="N7250" s="902"/>
      <c r="O7250" s="892">
        <f t="shared" si="537"/>
        <v>0</v>
      </c>
      <c r="P7250" s="903">
        <f t="shared" si="539"/>
        <v>1</v>
      </c>
      <c r="Q7250" s="893">
        <f t="shared" si="540"/>
        <v>6</v>
      </c>
      <c r="R7250" s="894">
        <f t="shared" si="541"/>
        <v>0</v>
      </c>
    </row>
    <row r="7251" spans="1:18">
      <c r="A7251" s="905"/>
      <c r="B7251" s="906"/>
      <c r="C7251" s="907">
        <v>44</v>
      </c>
      <c r="D7251" s="907" t="s">
        <v>279</v>
      </c>
      <c r="E7251" s="925" t="s">
        <v>2681</v>
      </c>
      <c r="F7251" s="926" t="s">
        <v>45</v>
      </c>
      <c r="G7251" s="910"/>
      <c r="H7251" s="911">
        <v>0.75</v>
      </c>
      <c r="I7251" s="912">
        <f>VLOOKUP(E7251,[3]VLP!$B$7:$K$300,10,0)</f>
        <v>23000</v>
      </c>
      <c r="J7251" s="912">
        <f>I7251*H7251</f>
        <v>17250</v>
      </c>
      <c r="K7251" s="912" t="s">
        <v>274</v>
      </c>
      <c r="L7251" s="912"/>
      <c r="M7251" s="912"/>
      <c r="N7251" s="912"/>
      <c r="O7251" s="892">
        <f t="shared" si="537"/>
        <v>0</v>
      </c>
      <c r="P7251" s="903">
        <f t="shared" si="539"/>
        <v>1</v>
      </c>
      <c r="Q7251" s="893">
        <f t="shared" si="540"/>
        <v>5</v>
      </c>
      <c r="R7251" s="894">
        <f t="shared" si="541"/>
        <v>0</v>
      </c>
    </row>
    <row r="7252" spans="1:18">
      <c r="A7252" s="905"/>
      <c r="B7252" s="906"/>
      <c r="C7252" s="907">
        <v>66</v>
      </c>
      <c r="D7252" s="907" t="s">
        <v>279</v>
      </c>
      <c r="E7252" s="925" t="s">
        <v>2682</v>
      </c>
      <c r="F7252" s="926" t="s">
        <v>45</v>
      </c>
      <c r="G7252" s="910"/>
      <c r="H7252" s="911">
        <v>0.4</v>
      </c>
      <c r="I7252" s="912">
        <f>VLOOKUP(E7252,[3]VLP!$B$7:$K$300,10,0)</f>
        <v>5000</v>
      </c>
      <c r="J7252" s="912">
        <f>I7252*H7252</f>
        <v>2000</v>
      </c>
      <c r="K7252" s="912" t="s">
        <v>274</v>
      </c>
      <c r="L7252" s="912"/>
      <c r="M7252" s="912"/>
      <c r="N7252" s="912"/>
      <c r="O7252" s="892">
        <f t="shared" si="537"/>
        <v>0</v>
      </c>
      <c r="P7252" s="903">
        <f t="shared" si="539"/>
        <v>1</v>
      </c>
      <c r="Q7252" s="893">
        <f t="shared" si="540"/>
        <v>4</v>
      </c>
      <c r="R7252" s="894">
        <f t="shared" si="541"/>
        <v>0</v>
      </c>
    </row>
    <row r="7253" spans="1:18">
      <c r="A7253" s="905"/>
      <c r="B7253" s="906"/>
      <c r="C7253" s="907">
        <v>699</v>
      </c>
      <c r="D7253" s="907" t="s">
        <v>279</v>
      </c>
      <c r="E7253" s="925" t="s">
        <v>4006</v>
      </c>
      <c r="F7253" s="926" t="s">
        <v>4007</v>
      </c>
      <c r="G7253" s="910"/>
      <c r="H7253" s="911">
        <v>5</v>
      </c>
      <c r="I7253" s="912">
        <f>VLOOKUP(E7253,[3]VLP!$B$7:$K$300,10,0)</f>
        <v>5000</v>
      </c>
      <c r="J7253" s="912">
        <f>I7253*H7253</f>
        <v>25000</v>
      </c>
      <c r="K7253" s="912" t="s">
        <v>274</v>
      </c>
      <c r="L7253" s="912"/>
      <c r="M7253" s="912"/>
      <c r="N7253" s="912"/>
      <c r="O7253" s="892">
        <f t="shared" si="537"/>
        <v>0</v>
      </c>
      <c r="P7253" s="903">
        <f t="shared" si="539"/>
        <v>1</v>
      </c>
      <c r="Q7253" s="893">
        <f t="shared" si="540"/>
        <v>3</v>
      </c>
      <c r="R7253" s="894">
        <f t="shared" si="541"/>
        <v>0</v>
      </c>
    </row>
    <row r="7254" spans="1:18" s="904" customFormat="1">
      <c r="A7254" s="895"/>
      <c r="B7254" s="896"/>
      <c r="C7254" s="897"/>
      <c r="D7254" s="897"/>
      <c r="E7254" s="924" t="s">
        <v>276</v>
      </c>
      <c r="F7254" s="927"/>
      <c r="G7254" s="928"/>
      <c r="H7254" s="901"/>
      <c r="I7254" s="902"/>
      <c r="J7254" s="902"/>
      <c r="K7254" s="912" t="s">
        <v>274</v>
      </c>
      <c r="L7254" s="902"/>
      <c r="M7254" s="902"/>
      <c r="N7254" s="902"/>
      <c r="O7254" s="892">
        <f t="shared" si="537"/>
        <v>0</v>
      </c>
      <c r="P7254" s="903">
        <f t="shared" si="539"/>
        <v>1</v>
      </c>
      <c r="Q7254" s="893">
        <f t="shared" si="540"/>
        <v>2</v>
      </c>
      <c r="R7254" s="894">
        <f t="shared" si="541"/>
        <v>0</v>
      </c>
    </row>
    <row r="7255" spans="1:18">
      <c r="A7255" s="905"/>
      <c r="B7255" s="906"/>
      <c r="C7255" s="907">
        <v>745</v>
      </c>
      <c r="D7255" s="907" t="s">
        <v>12</v>
      </c>
      <c r="E7255" s="908" t="s">
        <v>5518</v>
      </c>
      <c r="F7255" s="909" t="s">
        <v>2674</v>
      </c>
      <c r="G7255" s="910"/>
      <c r="H7255" s="911">
        <v>2.37</v>
      </c>
      <c r="I7255" s="912"/>
      <c r="J7255" s="912"/>
      <c r="K7255" s="912">
        <f>VLOOKUP(E7255,[5]ĐMNC!$A$7:$F$67,4,0)</f>
        <v>240557</v>
      </c>
      <c r="L7255" s="912">
        <f>H7255*K7255</f>
        <v>570120.09000000008</v>
      </c>
      <c r="M7255" s="912"/>
      <c r="N7255" s="912"/>
      <c r="O7255" s="892">
        <f t="shared" si="537"/>
        <v>0</v>
      </c>
      <c r="P7255" s="903">
        <f t="shared" si="539"/>
        <v>1</v>
      </c>
      <c r="Q7255" s="893">
        <f t="shared" si="540"/>
        <v>1</v>
      </c>
      <c r="R7255" s="894">
        <f t="shared" si="541"/>
        <v>0</v>
      </c>
    </row>
    <row r="7256" spans="1:18" s="847" customFormat="1" ht="31.5">
      <c r="A7256" s="905" t="s">
        <v>6101</v>
      </c>
      <c r="B7256" s="914" t="s">
        <v>6102</v>
      </c>
      <c r="C7256" s="915"/>
      <c r="D7256" s="915"/>
      <c r="E7256" s="916" t="s">
        <v>6103</v>
      </c>
      <c r="F7256" s="917" t="s">
        <v>6094</v>
      </c>
      <c r="G7256" s="918"/>
      <c r="H7256" s="919"/>
      <c r="I7256" s="920"/>
      <c r="J7256" s="891">
        <f>SUM(J7257:J7262)</f>
        <v>44250</v>
      </c>
      <c r="K7256" s="891"/>
      <c r="L7256" s="891">
        <f>SUM(L7257:L7262)</f>
        <v>618231.49</v>
      </c>
      <c r="M7256" s="891"/>
      <c r="N7256" s="891">
        <f>SUM(N7257:N7262)</f>
        <v>0</v>
      </c>
      <c r="O7256" s="892">
        <f t="shared" si="537"/>
        <v>1</v>
      </c>
      <c r="P7256" s="903">
        <f t="shared" si="539"/>
        <v>0</v>
      </c>
      <c r="Q7256" s="893">
        <f t="shared" si="540"/>
        <v>0</v>
      </c>
      <c r="R7256" s="894">
        <f t="shared" si="541"/>
        <v>6</v>
      </c>
    </row>
    <row r="7257" spans="1:18" s="904" customFormat="1">
      <c r="A7257" s="895"/>
      <c r="B7257" s="896"/>
      <c r="C7257" s="897"/>
      <c r="D7257" s="897"/>
      <c r="E7257" s="898" t="s">
        <v>108</v>
      </c>
      <c r="F7257" s="899"/>
      <c r="G7257" s="928"/>
      <c r="H7257" s="901"/>
      <c r="I7257" s="902"/>
      <c r="J7257" s="902"/>
      <c r="K7257" s="912" t="s">
        <v>274</v>
      </c>
      <c r="L7257" s="902"/>
      <c r="M7257" s="902"/>
      <c r="N7257" s="902"/>
      <c r="O7257" s="892">
        <f t="shared" si="537"/>
        <v>0</v>
      </c>
      <c r="P7257" s="903">
        <f t="shared" si="539"/>
        <v>1</v>
      </c>
      <c r="Q7257" s="893">
        <f t="shared" si="540"/>
        <v>6</v>
      </c>
      <c r="R7257" s="894">
        <f t="shared" si="541"/>
        <v>0</v>
      </c>
    </row>
    <row r="7258" spans="1:18">
      <c r="A7258" s="905"/>
      <c r="B7258" s="906"/>
      <c r="C7258" s="907">
        <v>44</v>
      </c>
      <c r="D7258" s="907" t="s">
        <v>279</v>
      </c>
      <c r="E7258" s="925" t="s">
        <v>2681</v>
      </c>
      <c r="F7258" s="926" t="s">
        <v>45</v>
      </c>
      <c r="G7258" s="910"/>
      <c r="H7258" s="911">
        <v>0.75</v>
      </c>
      <c r="I7258" s="912">
        <f>VLOOKUP(E7258,[3]VLP!$B$7:$K$300,10,0)</f>
        <v>23000</v>
      </c>
      <c r="J7258" s="912">
        <f>I7258*H7258</f>
        <v>17250</v>
      </c>
      <c r="K7258" s="912" t="s">
        <v>274</v>
      </c>
      <c r="L7258" s="912"/>
      <c r="M7258" s="912"/>
      <c r="N7258" s="912"/>
      <c r="O7258" s="892">
        <f t="shared" si="537"/>
        <v>0</v>
      </c>
      <c r="P7258" s="903">
        <f t="shared" si="539"/>
        <v>1</v>
      </c>
      <c r="Q7258" s="893">
        <f t="shared" si="540"/>
        <v>5</v>
      </c>
      <c r="R7258" s="894">
        <f t="shared" si="541"/>
        <v>0</v>
      </c>
    </row>
    <row r="7259" spans="1:18">
      <c r="A7259" s="905"/>
      <c r="B7259" s="906"/>
      <c r="C7259" s="907">
        <v>66</v>
      </c>
      <c r="D7259" s="907" t="s">
        <v>279</v>
      </c>
      <c r="E7259" s="925" t="s">
        <v>2682</v>
      </c>
      <c r="F7259" s="926" t="s">
        <v>45</v>
      </c>
      <c r="G7259" s="910"/>
      <c r="H7259" s="911">
        <v>0.4</v>
      </c>
      <c r="I7259" s="912">
        <f>VLOOKUP(E7259,[3]VLP!$B$7:$K$300,10,0)</f>
        <v>5000</v>
      </c>
      <c r="J7259" s="912">
        <f>I7259*H7259</f>
        <v>2000</v>
      </c>
      <c r="K7259" s="912" t="s">
        <v>274</v>
      </c>
      <c r="L7259" s="912"/>
      <c r="M7259" s="912"/>
      <c r="N7259" s="912"/>
      <c r="O7259" s="892">
        <f t="shared" si="537"/>
        <v>0</v>
      </c>
      <c r="P7259" s="903">
        <f t="shared" si="539"/>
        <v>1</v>
      </c>
      <c r="Q7259" s="893">
        <f t="shared" si="540"/>
        <v>4</v>
      </c>
      <c r="R7259" s="894">
        <f t="shared" si="541"/>
        <v>0</v>
      </c>
    </row>
    <row r="7260" spans="1:18">
      <c r="A7260" s="905"/>
      <c r="B7260" s="906"/>
      <c r="C7260" s="907">
        <v>699</v>
      </c>
      <c r="D7260" s="907" t="s">
        <v>279</v>
      </c>
      <c r="E7260" s="925" t="s">
        <v>4006</v>
      </c>
      <c r="F7260" s="926" t="s">
        <v>4007</v>
      </c>
      <c r="G7260" s="910"/>
      <c r="H7260" s="911">
        <v>5</v>
      </c>
      <c r="I7260" s="912">
        <f>VLOOKUP(E7260,[3]VLP!$B$7:$K$300,10,0)</f>
        <v>5000</v>
      </c>
      <c r="J7260" s="912">
        <f>I7260*H7260</f>
        <v>25000</v>
      </c>
      <c r="K7260" s="912" t="s">
        <v>274</v>
      </c>
      <c r="L7260" s="912"/>
      <c r="M7260" s="912"/>
      <c r="N7260" s="912"/>
      <c r="O7260" s="892">
        <f t="shared" si="537"/>
        <v>0</v>
      </c>
      <c r="P7260" s="903">
        <f t="shared" si="539"/>
        <v>1</v>
      </c>
      <c r="Q7260" s="893">
        <f t="shared" si="540"/>
        <v>3</v>
      </c>
      <c r="R7260" s="894">
        <f t="shared" si="541"/>
        <v>0</v>
      </c>
    </row>
    <row r="7261" spans="1:18" s="904" customFormat="1">
      <c r="A7261" s="895"/>
      <c r="B7261" s="896"/>
      <c r="C7261" s="897"/>
      <c r="D7261" s="897"/>
      <c r="E7261" s="924" t="s">
        <v>276</v>
      </c>
      <c r="F7261" s="927"/>
      <c r="G7261" s="928"/>
      <c r="H7261" s="901"/>
      <c r="I7261" s="902"/>
      <c r="J7261" s="902"/>
      <c r="K7261" s="912" t="s">
        <v>274</v>
      </c>
      <c r="L7261" s="902"/>
      <c r="M7261" s="902"/>
      <c r="N7261" s="902"/>
      <c r="O7261" s="892">
        <f t="shared" si="537"/>
        <v>0</v>
      </c>
      <c r="P7261" s="903">
        <f t="shared" si="539"/>
        <v>1</v>
      </c>
      <c r="Q7261" s="893">
        <f t="shared" si="540"/>
        <v>2</v>
      </c>
      <c r="R7261" s="894">
        <f t="shared" si="541"/>
        <v>0</v>
      </c>
    </row>
    <row r="7262" spans="1:18">
      <c r="A7262" s="905"/>
      <c r="B7262" s="906"/>
      <c r="C7262" s="907">
        <v>745</v>
      </c>
      <c r="D7262" s="907" t="s">
        <v>12</v>
      </c>
      <c r="E7262" s="908" t="s">
        <v>5518</v>
      </c>
      <c r="F7262" s="909" t="s">
        <v>2674</v>
      </c>
      <c r="G7262" s="910"/>
      <c r="H7262" s="911">
        <v>2.57</v>
      </c>
      <c r="I7262" s="912"/>
      <c r="J7262" s="912"/>
      <c r="K7262" s="912">
        <f>VLOOKUP(E7262,[5]ĐMNC!$A$7:$F$67,4,0)</f>
        <v>240557</v>
      </c>
      <c r="L7262" s="912">
        <f>H7262*K7262</f>
        <v>618231.49</v>
      </c>
      <c r="M7262" s="912"/>
      <c r="N7262" s="912"/>
      <c r="O7262" s="892">
        <f t="shared" si="537"/>
        <v>0</v>
      </c>
      <c r="P7262" s="903">
        <f t="shared" si="539"/>
        <v>1</v>
      </c>
      <c r="Q7262" s="893">
        <f t="shared" si="540"/>
        <v>1</v>
      </c>
      <c r="R7262" s="894">
        <f t="shared" si="541"/>
        <v>0</v>
      </c>
    </row>
    <row r="7263" spans="1:18" s="847" customFormat="1" ht="31.5">
      <c r="A7263" s="905"/>
      <c r="B7263" s="914" t="s">
        <v>6104</v>
      </c>
      <c r="C7263" s="915"/>
      <c r="D7263" s="915"/>
      <c r="E7263" s="916" t="s">
        <v>6105</v>
      </c>
      <c r="F7263" s="917" t="s">
        <v>6094</v>
      </c>
      <c r="G7263" s="918"/>
      <c r="H7263" s="919"/>
      <c r="I7263" s="920"/>
      <c r="J7263" s="891">
        <f>SUM(J7264:J7269)</f>
        <v>44250</v>
      </c>
      <c r="K7263" s="891"/>
      <c r="L7263" s="891">
        <f>SUM(L7264:L7269)</f>
        <v>671154.03</v>
      </c>
      <c r="M7263" s="891"/>
      <c r="N7263" s="891">
        <f>SUM(N7264:N7269)</f>
        <v>0</v>
      </c>
      <c r="O7263" s="892">
        <f t="shared" ref="O7263:O7326" si="543">IF(AND(B7263&lt;&gt;"",D7263=""),1,0)</f>
        <v>1</v>
      </c>
      <c r="P7263" s="903">
        <f t="shared" si="539"/>
        <v>0</v>
      </c>
      <c r="Q7263" s="893">
        <f t="shared" si="540"/>
        <v>0</v>
      </c>
      <c r="R7263" s="894">
        <f t="shared" si="541"/>
        <v>6</v>
      </c>
    </row>
    <row r="7264" spans="1:18" s="904" customFormat="1">
      <c r="A7264" s="895"/>
      <c r="B7264" s="896"/>
      <c r="C7264" s="897"/>
      <c r="D7264" s="897"/>
      <c r="E7264" s="898" t="s">
        <v>108</v>
      </c>
      <c r="F7264" s="899"/>
      <c r="G7264" s="928"/>
      <c r="H7264" s="901"/>
      <c r="I7264" s="902"/>
      <c r="J7264" s="902"/>
      <c r="K7264" s="912" t="s">
        <v>274</v>
      </c>
      <c r="L7264" s="902"/>
      <c r="M7264" s="902"/>
      <c r="N7264" s="902"/>
      <c r="O7264" s="892">
        <f t="shared" si="543"/>
        <v>0</v>
      </c>
      <c r="P7264" s="903">
        <f t="shared" si="539"/>
        <v>1</v>
      </c>
      <c r="Q7264" s="893">
        <f t="shared" si="540"/>
        <v>6</v>
      </c>
      <c r="R7264" s="894">
        <f t="shared" si="541"/>
        <v>0</v>
      </c>
    </row>
    <row r="7265" spans="1:18">
      <c r="A7265" s="905"/>
      <c r="B7265" s="906"/>
      <c r="C7265" s="907">
        <v>44</v>
      </c>
      <c r="D7265" s="907" t="s">
        <v>279</v>
      </c>
      <c r="E7265" s="925" t="s">
        <v>2681</v>
      </c>
      <c r="F7265" s="926" t="s">
        <v>45</v>
      </c>
      <c r="G7265" s="910"/>
      <c r="H7265" s="911">
        <v>0.75</v>
      </c>
      <c r="I7265" s="912">
        <f>VLOOKUP(E7265,[3]VLP!$B$7:$K$300,10,0)</f>
        <v>23000</v>
      </c>
      <c r="J7265" s="912">
        <f>I7265*H7265</f>
        <v>17250</v>
      </c>
      <c r="K7265" s="912" t="s">
        <v>274</v>
      </c>
      <c r="L7265" s="912"/>
      <c r="M7265" s="912"/>
      <c r="N7265" s="912"/>
      <c r="O7265" s="892">
        <f t="shared" si="543"/>
        <v>0</v>
      </c>
      <c r="P7265" s="903">
        <f t="shared" si="539"/>
        <v>1</v>
      </c>
      <c r="Q7265" s="893">
        <f t="shared" si="540"/>
        <v>5</v>
      </c>
      <c r="R7265" s="894">
        <f t="shared" si="541"/>
        <v>0</v>
      </c>
    </row>
    <row r="7266" spans="1:18">
      <c r="A7266" s="905"/>
      <c r="B7266" s="906"/>
      <c r="C7266" s="907">
        <v>66</v>
      </c>
      <c r="D7266" s="907" t="s">
        <v>279</v>
      </c>
      <c r="E7266" s="925" t="s">
        <v>2682</v>
      </c>
      <c r="F7266" s="926" t="s">
        <v>45</v>
      </c>
      <c r="G7266" s="910"/>
      <c r="H7266" s="911">
        <v>0.4</v>
      </c>
      <c r="I7266" s="912">
        <f>VLOOKUP(E7266,[3]VLP!$B$7:$K$300,10,0)</f>
        <v>5000</v>
      </c>
      <c r="J7266" s="912">
        <f>I7266*H7266</f>
        <v>2000</v>
      </c>
      <c r="K7266" s="912" t="s">
        <v>274</v>
      </c>
      <c r="L7266" s="912"/>
      <c r="M7266" s="912"/>
      <c r="N7266" s="912"/>
      <c r="O7266" s="892">
        <f t="shared" si="543"/>
        <v>0</v>
      </c>
      <c r="P7266" s="903">
        <f t="shared" si="539"/>
        <v>1</v>
      </c>
      <c r="Q7266" s="893">
        <f t="shared" si="540"/>
        <v>4</v>
      </c>
      <c r="R7266" s="894">
        <f t="shared" si="541"/>
        <v>0</v>
      </c>
    </row>
    <row r="7267" spans="1:18">
      <c r="A7267" s="905"/>
      <c r="B7267" s="906"/>
      <c r="C7267" s="907">
        <v>699</v>
      </c>
      <c r="D7267" s="907" t="s">
        <v>279</v>
      </c>
      <c r="E7267" s="925" t="s">
        <v>4006</v>
      </c>
      <c r="F7267" s="926" t="s">
        <v>4007</v>
      </c>
      <c r="G7267" s="910"/>
      <c r="H7267" s="911">
        <v>5</v>
      </c>
      <c r="I7267" s="912">
        <f>VLOOKUP(E7267,[3]VLP!$B$7:$K$300,10,0)</f>
        <v>5000</v>
      </c>
      <c r="J7267" s="912">
        <f>I7267*H7267</f>
        <v>25000</v>
      </c>
      <c r="K7267" s="912" t="s">
        <v>274</v>
      </c>
      <c r="L7267" s="912"/>
      <c r="M7267" s="912"/>
      <c r="N7267" s="912"/>
      <c r="O7267" s="892">
        <f t="shared" si="543"/>
        <v>0</v>
      </c>
      <c r="P7267" s="903">
        <f t="shared" si="539"/>
        <v>1</v>
      </c>
      <c r="Q7267" s="893">
        <f t="shared" si="540"/>
        <v>3</v>
      </c>
      <c r="R7267" s="894">
        <f t="shared" si="541"/>
        <v>0</v>
      </c>
    </row>
    <row r="7268" spans="1:18" s="904" customFormat="1">
      <c r="A7268" s="895"/>
      <c r="B7268" s="896"/>
      <c r="C7268" s="897"/>
      <c r="D7268" s="897"/>
      <c r="E7268" s="924" t="s">
        <v>276</v>
      </c>
      <c r="F7268" s="927"/>
      <c r="G7268" s="928"/>
      <c r="H7268" s="901"/>
      <c r="I7268" s="902"/>
      <c r="J7268" s="902"/>
      <c r="K7268" s="912" t="s">
        <v>274</v>
      </c>
      <c r="L7268" s="902"/>
      <c r="M7268" s="902"/>
      <c r="N7268" s="902"/>
      <c r="O7268" s="892">
        <f t="shared" si="543"/>
        <v>0</v>
      </c>
      <c r="P7268" s="903">
        <f t="shared" si="539"/>
        <v>1</v>
      </c>
      <c r="Q7268" s="893">
        <f t="shared" si="540"/>
        <v>2</v>
      </c>
      <c r="R7268" s="894">
        <f t="shared" si="541"/>
        <v>0</v>
      </c>
    </row>
    <row r="7269" spans="1:18">
      <c r="A7269" s="905"/>
      <c r="B7269" s="906"/>
      <c r="C7269" s="907">
        <v>745</v>
      </c>
      <c r="D7269" s="907" t="s">
        <v>12</v>
      </c>
      <c r="E7269" s="908" t="s">
        <v>5518</v>
      </c>
      <c r="F7269" s="909" t="s">
        <v>2674</v>
      </c>
      <c r="G7269" s="910"/>
      <c r="H7269" s="911">
        <v>2.79</v>
      </c>
      <c r="I7269" s="912"/>
      <c r="J7269" s="912"/>
      <c r="K7269" s="912">
        <f>VLOOKUP(E7269,[5]ĐMNC!$A$7:$F$67,4,0)</f>
        <v>240557</v>
      </c>
      <c r="L7269" s="912">
        <f>H7269*K7269</f>
        <v>671154.03</v>
      </c>
      <c r="M7269" s="912"/>
      <c r="N7269" s="912"/>
      <c r="O7269" s="892">
        <f t="shared" si="543"/>
        <v>0</v>
      </c>
      <c r="P7269" s="903">
        <f t="shared" si="539"/>
        <v>1</v>
      </c>
      <c r="Q7269" s="893">
        <f t="shared" si="540"/>
        <v>1</v>
      </c>
      <c r="R7269" s="894">
        <f t="shared" si="541"/>
        <v>0</v>
      </c>
    </row>
    <row r="7270" spans="1:18" s="847" customFormat="1" ht="31.5">
      <c r="A7270" s="905"/>
      <c r="B7270" s="914" t="s">
        <v>6106</v>
      </c>
      <c r="C7270" s="915"/>
      <c r="D7270" s="915"/>
      <c r="E7270" s="916" t="s">
        <v>6107</v>
      </c>
      <c r="F7270" s="917" t="s">
        <v>6094</v>
      </c>
      <c r="G7270" s="918"/>
      <c r="H7270" s="919"/>
      <c r="I7270" s="920"/>
      <c r="J7270" s="891">
        <f>SUM(J7271:J7276)</f>
        <v>48100</v>
      </c>
      <c r="K7270" s="891"/>
      <c r="L7270" s="891">
        <f>SUM(L7271:L7276)</f>
        <v>805865.95000000007</v>
      </c>
      <c r="M7270" s="891"/>
      <c r="N7270" s="891">
        <f>SUM(N7271:N7276)</f>
        <v>0</v>
      </c>
      <c r="O7270" s="892">
        <f t="shared" si="543"/>
        <v>1</v>
      </c>
      <c r="P7270" s="903">
        <f t="shared" si="539"/>
        <v>0</v>
      </c>
      <c r="Q7270" s="893">
        <f t="shared" si="540"/>
        <v>0</v>
      </c>
      <c r="R7270" s="894">
        <f t="shared" si="541"/>
        <v>6</v>
      </c>
    </row>
    <row r="7271" spans="1:18" s="904" customFormat="1">
      <c r="A7271" s="895"/>
      <c r="B7271" s="896"/>
      <c r="C7271" s="897"/>
      <c r="D7271" s="897"/>
      <c r="E7271" s="898" t="s">
        <v>108</v>
      </c>
      <c r="F7271" s="899"/>
      <c r="G7271" s="928"/>
      <c r="H7271" s="901"/>
      <c r="I7271" s="902"/>
      <c r="J7271" s="902"/>
      <c r="K7271" s="912" t="s">
        <v>274</v>
      </c>
      <c r="L7271" s="902"/>
      <c r="M7271" s="902"/>
      <c r="N7271" s="902"/>
      <c r="O7271" s="892">
        <f t="shared" si="543"/>
        <v>0</v>
      </c>
      <c r="P7271" s="903">
        <f t="shared" si="539"/>
        <v>1</v>
      </c>
      <c r="Q7271" s="893">
        <f t="shared" si="540"/>
        <v>6</v>
      </c>
      <c r="R7271" s="894">
        <f t="shared" si="541"/>
        <v>0</v>
      </c>
    </row>
    <row r="7272" spans="1:18">
      <c r="A7272" s="905"/>
      <c r="B7272" s="906"/>
      <c r="C7272" s="907">
        <v>44</v>
      </c>
      <c r="D7272" s="907" t="s">
        <v>279</v>
      </c>
      <c r="E7272" s="925" t="s">
        <v>2681</v>
      </c>
      <c r="F7272" s="926" t="s">
        <v>45</v>
      </c>
      <c r="G7272" s="910"/>
      <c r="H7272" s="911">
        <v>0.9</v>
      </c>
      <c r="I7272" s="912">
        <f>VLOOKUP(E7272,[3]VLP!$B$7:$K$300,10,0)</f>
        <v>23000</v>
      </c>
      <c r="J7272" s="912">
        <f>I7272*H7272</f>
        <v>20700</v>
      </c>
      <c r="K7272" s="912" t="s">
        <v>274</v>
      </c>
      <c r="L7272" s="912"/>
      <c r="M7272" s="912"/>
      <c r="N7272" s="912"/>
      <c r="O7272" s="892">
        <f t="shared" si="543"/>
        <v>0</v>
      </c>
      <c r="P7272" s="903">
        <f t="shared" ref="P7272:P7335" si="544">IF(O7272=0,1,0)</f>
        <v>1</v>
      </c>
      <c r="Q7272" s="893">
        <f t="shared" ref="Q7272:Q7335" si="545">IF(P7272=0,0,P7272+Q7273)</f>
        <v>5</v>
      </c>
      <c r="R7272" s="894">
        <f t="shared" ref="R7272:R7335" si="546">IF(Q7272=0,Q7273,0)</f>
        <v>0</v>
      </c>
    </row>
    <row r="7273" spans="1:18">
      <c r="A7273" s="905"/>
      <c r="B7273" s="906"/>
      <c r="C7273" s="907">
        <v>66</v>
      </c>
      <c r="D7273" s="907" t="s">
        <v>279</v>
      </c>
      <c r="E7273" s="925" t="s">
        <v>2682</v>
      </c>
      <c r="F7273" s="926" t="s">
        <v>45</v>
      </c>
      <c r="G7273" s="910"/>
      <c r="H7273" s="911">
        <v>0.48</v>
      </c>
      <c r="I7273" s="912">
        <f>VLOOKUP(E7273,[3]VLP!$B$7:$K$300,10,0)</f>
        <v>5000</v>
      </c>
      <c r="J7273" s="912">
        <f>I7273*H7273</f>
        <v>2400</v>
      </c>
      <c r="K7273" s="912" t="s">
        <v>274</v>
      </c>
      <c r="L7273" s="912"/>
      <c r="M7273" s="912"/>
      <c r="N7273" s="912"/>
      <c r="O7273" s="892">
        <f t="shared" si="543"/>
        <v>0</v>
      </c>
      <c r="P7273" s="903">
        <f t="shared" si="544"/>
        <v>1</v>
      </c>
      <c r="Q7273" s="893">
        <f t="shared" si="545"/>
        <v>4</v>
      </c>
      <c r="R7273" s="894">
        <f t="shared" si="546"/>
        <v>0</v>
      </c>
    </row>
    <row r="7274" spans="1:18">
      <c r="A7274" s="905"/>
      <c r="B7274" s="906"/>
      <c r="C7274" s="907">
        <v>699</v>
      </c>
      <c r="D7274" s="907" t="s">
        <v>279</v>
      </c>
      <c r="E7274" s="925" t="s">
        <v>4006</v>
      </c>
      <c r="F7274" s="926" t="s">
        <v>4007</v>
      </c>
      <c r="G7274" s="910"/>
      <c r="H7274" s="911">
        <v>5</v>
      </c>
      <c r="I7274" s="912">
        <f>VLOOKUP(E7274,[3]VLP!$B$7:$K$300,10,0)</f>
        <v>5000</v>
      </c>
      <c r="J7274" s="912">
        <f>I7274*H7274</f>
        <v>25000</v>
      </c>
      <c r="K7274" s="912" t="s">
        <v>274</v>
      </c>
      <c r="L7274" s="912"/>
      <c r="M7274" s="912"/>
      <c r="N7274" s="912"/>
      <c r="O7274" s="892">
        <f t="shared" si="543"/>
        <v>0</v>
      </c>
      <c r="P7274" s="903">
        <f t="shared" si="544"/>
        <v>1</v>
      </c>
      <c r="Q7274" s="893">
        <f t="shared" si="545"/>
        <v>3</v>
      </c>
      <c r="R7274" s="894">
        <f t="shared" si="546"/>
        <v>0</v>
      </c>
    </row>
    <row r="7275" spans="1:18" s="904" customFormat="1">
      <c r="A7275" s="895"/>
      <c r="B7275" s="896"/>
      <c r="C7275" s="897"/>
      <c r="D7275" s="897"/>
      <c r="E7275" s="924" t="s">
        <v>276</v>
      </c>
      <c r="F7275" s="927"/>
      <c r="G7275" s="928"/>
      <c r="H7275" s="901"/>
      <c r="I7275" s="902"/>
      <c r="J7275" s="902"/>
      <c r="K7275" s="912" t="s">
        <v>274</v>
      </c>
      <c r="L7275" s="902"/>
      <c r="M7275" s="902"/>
      <c r="N7275" s="902"/>
      <c r="O7275" s="892">
        <f t="shared" si="543"/>
        <v>0</v>
      </c>
      <c r="P7275" s="903">
        <f t="shared" si="544"/>
        <v>1</v>
      </c>
      <c r="Q7275" s="893">
        <f t="shared" si="545"/>
        <v>2</v>
      </c>
      <c r="R7275" s="894">
        <f t="shared" si="546"/>
        <v>0</v>
      </c>
    </row>
    <row r="7276" spans="1:18">
      <c r="A7276" s="905"/>
      <c r="B7276" s="906"/>
      <c r="C7276" s="907">
        <v>745</v>
      </c>
      <c r="D7276" s="907" t="s">
        <v>12</v>
      </c>
      <c r="E7276" s="908" t="s">
        <v>5518</v>
      </c>
      <c r="F7276" s="909" t="s">
        <v>2674</v>
      </c>
      <c r="G7276" s="910"/>
      <c r="H7276" s="911">
        <v>3.35</v>
      </c>
      <c r="I7276" s="912"/>
      <c r="J7276" s="912"/>
      <c r="K7276" s="912">
        <f>VLOOKUP(E7276,[5]ĐMNC!$A$7:$F$67,4,0)</f>
        <v>240557</v>
      </c>
      <c r="L7276" s="912">
        <f>H7276*K7276</f>
        <v>805865.95000000007</v>
      </c>
      <c r="M7276" s="912"/>
      <c r="N7276" s="912"/>
      <c r="O7276" s="892">
        <f t="shared" si="543"/>
        <v>0</v>
      </c>
      <c r="P7276" s="903">
        <f t="shared" si="544"/>
        <v>1</v>
      </c>
      <c r="Q7276" s="893">
        <f t="shared" si="545"/>
        <v>1</v>
      </c>
      <c r="R7276" s="894">
        <f t="shared" si="546"/>
        <v>0</v>
      </c>
    </row>
    <row r="7277" spans="1:18" s="847" customFormat="1" ht="35.25" customHeight="1">
      <c r="A7277" s="905" t="s">
        <v>6091</v>
      </c>
      <c r="B7277" s="914" t="s">
        <v>6108</v>
      </c>
      <c r="C7277" s="915"/>
      <c r="D7277" s="915"/>
      <c r="E7277" s="916" t="s">
        <v>6109</v>
      </c>
      <c r="F7277" s="917" t="s">
        <v>6094</v>
      </c>
      <c r="G7277" s="944"/>
      <c r="H7277" s="919"/>
      <c r="I7277" s="920"/>
      <c r="J7277" s="891">
        <f>SUM(J7278:J7291)</f>
        <v>129294</v>
      </c>
      <c r="K7277" s="891" t="s">
        <v>274</v>
      </c>
      <c r="L7277" s="891">
        <f>SUM(L7278:L7291)</f>
        <v>1371174.9000000001</v>
      </c>
      <c r="M7277" s="891"/>
      <c r="N7277" s="891">
        <f>SUM(N7278:N7291)</f>
        <v>0</v>
      </c>
      <c r="O7277" s="892">
        <f t="shared" si="543"/>
        <v>1</v>
      </c>
      <c r="P7277" s="903">
        <f t="shared" si="544"/>
        <v>0</v>
      </c>
      <c r="Q7277" s="893">
        <f t="shared" si="545"/>
        <v>0</v>
      </c>
      <c r="R7277" s="894">
        <f t="shared" si="546"/>
        <v>14</v>
      </c>
    </row>
    <row r="7278" spans="1:18" s="904" customFormat="1">
      <c r="A7278" s="895"/>
      <c r="B7278" s="922"/>
      <c r="C7278" s="897"/>
      <c r="D7278" s="897"/>
      <c r="E7278" s="898" t="s">
        <v>108</v>
      </c>
      <c r="F7278" s="899"/>
      <c r="G7278" s="928"/>
      <c r="H7278" s="901"/>
      <c r="I7278" s="902"/>
      <c r="J7278" s="902"/>
      <c r="K7278" s="912" t="s">
        <v>274</v>
      </c>
      <c r="L7278" s="902"/>
      <c r="M7278" s="902"/>
      <c r="N7278" s="902"/>
      <c r="O7278" s="892">
        <f t="shared" si="543"/>
        <v>0</v>
      </c>
      <c r="P7278" s="903">
        <f t="shared" si="544"/>
        <v>1</v>
      </c>
      <c r="Q7278" s="893">
        <f t="shared" si="545"/>
        <v>14</v>
      </c>
      <c r="R7278" s="894">
        <f t="shared" si="546"/>
        <v>0</v>
      </c>
    </row>
    <row r="7279" spans="1:18">
      <c r="A7279" s="905"/>
      <c r="B7279" s="906"/>
      <c r="C7279" s="907">
        <v>67</v>
      </c>
      <c r="D7279" s="907" t="s">
        <v>279</v>
      </c>
      <c r="E7279" s="925" t="s">
        <v>6110</v>
      </c>
      <c r="F7279" s="909" t="s">
        <v>2337</v>
      </c>
      <c r="G7279" s="910"/>
      <c r="H7279" s="911">
        <v>1</v>
      </c>
      <c r="I7279" s="912">
        <f>VLOOKUP(E7279,[3]VLP!$B$7:$K$300,10,0)</f>
        <v>16224</v>
      </c>
      <c r="J7279" s="912">
        <f t="shared" ref="J7279:J7289" si="547">I7279*H7279</f>
        <v>16224</v>
      </c>
      <c r="K7279" s="912" t="s">
        <v>274</v>
      </c>
      <c r="L7279" s="912"/>
      <c r="M7279" s="912"/>
      <c r="N7279" s="912"/>
      <c r="O7279" s="892">
        <f t="shared" si="543"/>
        <v>0</v>
      </c>
      <c r="P7279" s="903">
        <f t="shared" si="544"/>
        <v>1</v>
      </c>
      <c r="Q7279" s="893">
        <f t="shared" si="545"/>
        <v>13</v>
      </c>
      <c r="R7279" s="894">
        <f t="shared" si="546"/>
        <v>0</v>
      </c>
    </row>
    <row r="7280" spans="1:18">
      <c r="A7280" s="905"/>
      <c r="B7280" s="906"/>
      <c r="C7280" s="907">
        <v>24</v>
      </c>
      <c r="D7280" s="907" t="s">
        <v>279</v>
      </c>
      <c r="E7280" s="925" t="s">
        <v>2691</v>
      </c>
      <c r="F7280" s="926" t="s">
        <v>2690</v>
      </c>
      <c r="G7280" s="910"/>
      <c r="H7280" s="911">
        <v>1</v>
      </c>
      <c r="I7280" s="912">
        <f>VLOOKUP(E7280,[3]VLP!$B$7:$K$300,10,0)</f>
        <v>6000</v>
      </c>
      <c r="J7280" s="912">
        <f t="shared" si="547"/>
        <v>6000</v>
      </c>
      <c r="K7280" s="912" t="s">
        <v>274</v>
      </c>
      <c r="L7280" s="912"/>
      <c r="M7280" s="912"/>
      <c r="N7280" s="912"/>
      <c r="O7280" s="892">
        <f t="shared" si="543"/>
        <v>0</v>
      </c>
      <c r="P7280" s="903">
        <f t="shared" si="544"/>
        <v>1</v>
      </c>
      <c r="Q7280" s="893">
        <f t="shared" si="545"/>
        <v>12</v>
      </c>
      <c r="R7280" s="894">
        <f t="shared" si="546"/>
        <v>0</v>
      </c>
    </row>
    <row r="7281" spans="1:18">
      <c r="A7281" s="905"/>
      <c r="B7281" s="906"/>
      <c r="C7281" s="907">
        <v>122</v>
      </c>
      <c r="D7281" s="907" t="s">
        <v>279</v>
      </c>
      <c r="E7281" s="925" t="s">
        <v>3267</v>
      </c>
      <c r="F7281" s="909" t="s">
        <v>45</v>
      </c>
      <c r="G7281" s="910"/>
      <c r="H7281" s="911">
        <v>0.4</v>
      </c>
      <c r="I7281" s="912">
        <f>VLOOKUP(E7281,[3]VLP!$B$7:$K$300,10,0)</f>
        <v>30000</v>
      </c>
      <c r="J7281" s="912">
        <f t="shared" si="547"/>
        <v>12000</v>
      </c>
      <c r="K7281" s="912" t="s">
        <v>274</v>
      </c>
      <c r="L7281" s="912"/>
      <c r="M7281" s="912"/>
      <c r="N7281" s="912"/>
      <c r="O7281" s="892">
        <f t="shared" si="543"/>
        <v>0</v>
      </c>
      <c r="P7281" s="903">
        <f t="shared" si="544"/>
        <v>1</v>
      </c>
      <c r="Q7281" s="893">
        <f t="shared" si="545"/>
        <v>11</v>
      </c>
      <c r="R7281" s="894">
        <f t="shared" si="546"/>
        <v>0</v>
      </c>
    </row>
    <row r="7282" spans="1:18">
      <c r="A7282" s="905"/>
      <c r="B7282" s="906"/>
      <c r="C7282" s="907">
        <v>93</v>
      </c>
      <c r="D7282" s="907" t="s">
        <v>279</v>
      </c>
      <c r="E7282" s="925" t="s">
        <v>6111</v>
      </c>
      <c r="F7282" s="909" t="s">
        <v>45</v>
      </c>
      <c r="G7282" s="910"/>
      <c r="H7282" s="911">
        <v>0.04</v>
      </c>
      <c r="I7282" s="912">
        <f>VLOOKUP(E7282,[3]VLP!$B$7:$K$300,10,0)</f>
        <v>42000</v>
      </c>
      <c r="J7282" s="912">
        <f t="shared" si="547"/>
        <v>1680</v>
      </c>
      <c r="K7282" s="912" t="s">
        <v>274</v>
      </c>
      <c r="L7282" s="912"/>
      <c r="M7282" s="912"/>
      <c r="N7282" s="912"/>
      <c r="O7282" s="892">
        <f t="shared" si="543"/>
        <v>0</v>
      </c>
      <c r="P7282" s="903">
        <f t="shared" si="544"/>
        <v>1</v>
      </c>
      <c r="Q7282" s="893">
        <f t="shared" si="545"/>
        <v>10</v>
      </c>
      <c r="R7282" s="894">
        <f t="shared" si="546"/>
        <v>0</v>
      </c>
    </row>
    <row r="7283" spans="1:18">
      <c r="A7283" s="905"/>
      <c r="B7283" s="906"/>
      <c r="C7283" s="907">
        <v>89</v>
      </c>
      <c r="D7283" s="907" t="s">
        <v>279</v>
      </c>
      <c r="E7283" s="925" t="s">
        <v>5984</v>
      </c>
      <c r="F7283" s="909" t="s">
        <v>45</v>
      </c>
      <c r="G7283" s="910"/>
      <c r="H7283" s="911">
        <v>0.2</v>
      </c>
      <c r="I7283" s="912">
        <f>VLOOKUP(E7283,[3]VLP!$B$7:$K$300,10,0)</f>
        <v>1000</v>
      </c>
      <c r="J7283" s="912">
        <f t="shared" si="547"/>
        <v>200</v>
      </c>
      <c r="K7283" s="912" t="s">
        <v>274</v>
      </c>
      <c r="L7283" s="912"/>
      <c r="M7283" s="912"/>
      <c r="N7283" s="912"/>
      <c r="O7283" s="892">
        <f t="shared" si="543"/>
        <v>0</v>
      </c>
      <c r="P7283" s="903">
        <f t="shared" si="544"/>
        <v>1</v>
      </c>
      <c r="Q7283" s="893">
        <f t="shared" si="545"/>
        <v>9</v>
      </c>
      <c r="R7283" s="894">
        <f t="shared" si="546"/>
        <v>0</v>
      </c>
    </row>
    <row r="7284" spans="1:18">
      <c r="A7284" s="905"/>
      <c r="B7284" s="906"/>
      <c r="C7284" s="907">
        <v>47</v>
      </c>
      <c r="D7284" s="907" t="s">
        <v>279</v>
      </c>
      <c r="E7284" s="925" t="s">
        <v>3170</v>
      </c>
      <c r="F7284" s="909" t="s">
        <v>45</v>
      </c>
      <c r="G7284" s="910"/>
      <c r="H7284" s="911">
        <v>12</v>
      </c>
      <c r="I7284" s="912">
        <f>VLOOKUP(E7284,[3]VLP!$B$7:$K$300,10,0)</f>
        <v>1000</v>
      </c>
      <c r="J7284" s="912">
        <f t="shared" si="547"/>
        <v>12000</v>
      </c>
      <c r="K7284" s="912" t="s">
        <v>274</v>
      </c>
      <c r="L7284" s="912"/>
      <c r="M7284" s="912"/>
      <c r="N7284" s="912"/>
      <c r="O7284" s="892">
        <f t="shared" si="543"/>
        <v>0</v>
      </c>
      <c r="P7284" s="903">
        <f t="shared" si="544"/>
        <v>1</v>
      </c>
      <c r="Q7284" s="893">
        <f t="shared" si="545"/>
        <v>8</v>
      </c>
      <c r="R7284" s="894">
        <f t="shared" si="546"/>
        <v>0</v>
      </c>
    </row>
    <row r="7285" spans="1:18">
      <c r="A7285" s="905"/>
      <c r="B7285" s="906"/>
      <c r="C7285" s="907">
        <v>44</v>
      </c>
      <c r="D7285" s="907" t="s">
        <v>279</v>
      </c>
      <c r="E7285" s="925" t="s">
        <v>2681</v>
      </c>
      <c r="F7285" s="926" t="s">
        <v>45</v>
      </c>
      <c r="G7285" s="910"/>
      <c r="H7285" s="911">
        <v>0.25</v>
      </c>
      <c r="I7285" s="912">
        <f>VLOOKUP(E7285,[3]VLP!$B$7:$K$300,10,0)</f>
        <v>23000</v>
      </c>
      <c r="J7285" s="912">
        <f t="shared" si="547"/>
        <v>5750</v>
      </c>
      <c r="K7285" s="912" t="s">
        <v>274</v>
      </c>
      <c r="L7285" s="912"/>
      <c r="M7285" s="912"/>
      <c r="N7285" s="912"/>
      <c r="O7285" s="892">
        <f t="shared" si="543"/>
        <v>0</v>
      </c>
      <c r="P7285" s="903">
        <f t="shared" si="544"/>
        <v>1</v>
      </c>
      <c r="Q7285" s="893">
        <f t="shared" si="545"/>
        <v>7</v>
      </c>
      <c r="R7285" s="894">
        <f t="shared" si="546"/>
        <v>0</v>
      </c>
    </row>
    <row r="7286" spans="1:18">
      <c r="A7286" s="905"/>
      <c r="B7286" s="906"/>
      <c r="C7286" s="907">
        <v>66</v>
      </c>
      <c r="D7286" s="907" t="s">
        <v>279</v>
      </c>
      <c r="E7286" s="925" t="s">
        <v>2682</v>
      </c>
      <c r="F7286" s="926" t="s">
        <v>45</v>
      </c>
      <c r="G7286" s="910"/>
      <c r="H7286" s="911">
        <v>0.4</v>
      </c>
      <c r="I7286" s="912">
        <f>VLOOKUP(E7286,[3]VLP!$B$7:$K$300,10,0)</f>
        <v>5000</v>
      </c>
      <c r="J7286" s="912">
        <f t="shared" si="547"/>
        <v>2000</v>
      </c>
      <c r="K7286" s="912" t="s">
        <v>274</v>
      </c>
      <c r="L7286" s="912"/>
      <c r="M7286" s="912"/>
      <c r="N7286" s="912"/>
      <c r="O7286" s="892">
        <f t="shared" si="543"/>
        <v>0</v>
      </c>
      <c r="P7286" s="903">
        <f t="shared" si="544"/>
        <v>1</v>
      </c>
      <c r="Q7286" s="893">
        <f t="shared" si="545"/>
        <v>6</v>
      </c>
      <c r="R7286" s="894">
        <f t="shared" si="546"/>
        <v>0</v>
      </c>
    </row>
    <row r="7287" spans="1:18">
      <c r="A7287" s="905"/>
      <c r="B7287" s="906"/>
      <c r="C7287" s="907">
        <v>46</v>
      </c>
      <c r="D7287" s="907" t="s">
        <v>279</v>
      </c>
      <c r="E7287" s="925" t="s">
        <v>3179</v>
      </c>
      <c r="F7287" s="926" t="s">
        <v>45</v>
      </c>
      <c r="G7287" s="910"/>
      <c r="H7287" s="911">
        <v>1</v>
      </c>
      <c r="I7287" s="912">
        <f>VLOOKUP(E7287,[3]VLP!$B$7:$K$300,10,0)</f>
        <v>20500</v>
      </c>
      <c r="J7287" s="912">
        <f t="shared" si="547"/>
        <v>20500</v>
      </c>
      <c r="K7287" s="912" t="s">
        <v>274</v>
      </c>
      <c r="L7287" s="912"/>
      <c r="M7287" s="912"/>
      <c r="N7287" s="912"/>
      <c r="O7287" s="892">
        <f t="shared" si="543"/>
        <v>0</v>
      </c>
      <c r="P7287" s="903">
        <f t="shared" si="544"/>
        <v>1</v>
      </c>
      <c r="Q7287" s="893">
        <f t="shared" si="545"/>
        <v>5</v>
      </c>
      <c r="R7287" s="894">
        <f t="shared" si="546"/>
        <v>0</v>
      </c>
    </row>
    <row r="7288" spans="1:18">
      <c r="A7288" s="905"/>
      <c r="B7288" s="906"/>
      <c r="C7288" s="907">
        <v>58</v>
      </c>
      <c r="D7288" s="907" t="s">
        <v>279</v>
      </c>
      <c r="E7288" s="925" t="s">
        <v>3190</v>
      </c>
      <c r="F7288" s="926" t="s">
        <v>45</v>
      </c>
      <c r="G7288" s="910"/>
      <c r="H7288" s="911">
        <v>1</v>
      </c>
      <c r="I7288" s="912">
        <f>VLOOKUP(E7288,[3]VLP!$B$7:$K$300,10,0)</f>
        <v>27940</v>
      </c>
      <c r="J7288" s="912">
        <f t="shared" si="547"/>
        <v>27940</v>
      </c>
      <c r="K7288" s="912" t="s">
        <v>274</v>
      </c>
      <c r="L7288" s="912"/>
      <c r="M7288" s="912"/>
      <c r="N7288" s="912"/>
      <c r="O7288" s="892">
        <f t="shared" si="543"/>
        <v>0</v>
      </c>
      <c r="P7288" s="903">
        <f t="shared" si="544"/>
        <v>1</v>
      </c>
      <c r="Q7288" s="893">
        <f t="shared" si="545"/>
        <v>4</v>
      </c>
      <c r="R7288" s="894">
        <f t="shared" si="546"/>
        <v>0</v>
      </c>
    </row>
    <row r="7289" spans="1:18">
      <c r="A7289" s="905"/>
      <c r="B7289" s="906"/>
      <c r="C7289" s="907">
        <v>699</v>
      </c>
      <c r="D7289" s="907" t="s">
        <v>279</v>
      </c>
      <c r="E7289" s="925" t="s">
        <v>4006</v>
      </c>
      <c r="F7289" s="926" t="s">
        <v>4007</v>
      </c>
      <c r="G7289" s="910"/>
      <c r="H7289" s="911">
        <v>5</v>
      </c>
      <c r="I7289" s="912">
        <f>VLOOKUP(E7289,[3]VLP!$B$7:$K$300,10,0)</f>
        <v>5000</v>
      </c>
      <c r="J7289" s="912">
        <f t="shared" si="547"/>
        <v>25000</v>
      </c>
      <c r="K7289" s="912" t="s">
        <v>274</v>
      </c>
      <c r="L7289" s="912"/>
      <c r="M7289" s="912"/>
      <c r="N7289" s="912"/>
      <c r="O7289" s="892">
        <f t="shared" si="543"/>
        <v>0</v>
      </c>
      <c r="P7289" s="903">
        <f t="shared" si="544"/>
        <v>1</v>
      </c>
      <c r="Q7289" s="893">
        <f t="shared" si="545"/>
        <v>3</v>
      </c>
      <c r="R7289" s="894">
        <f t="shared" si="546"/>
        <v>0</v>
      </c>
    </row>
    <row r="7290" spans="1:18" s="904" customFormat="1">
      <c r="A7290" s="895"/>
      <c r="B7290" s="896"/>
      <c r="C7290" s="897"/>
      <c r="D7290" s="897"/>
      <c r="E7290" s="924" t="s">
        <v>276</v>
      </c>
      <c r="F7290" s="927"/>
      <c r="G7290" s="928"/>
      <c r="H7290" s="901"/>
      <c r="I7290" s="902"/>
      <c r="J7290" s="902"/>
      <c r="K7290" s="912" t="s">
        <v>274</v>
      </c>
      <c r="L7290" s="902"/>
      <c r="M7290" s="902"/>
      <c r="N7290" s="902"/>
      <c r="O7290" s="892">
        <f t="shared" si="543"/>
        <v>0</v>
      </c>
      <c r="P7290" s="903">
        <f t="shared" si="544"/>
        <v>1</v>
      </c>
      <c r="Q7290" s="893">
        <f t="shared" si="545"/>
        <v>2</v>
      </c>
      <c r="R7290" s="894">
        <f t="shared" si="546"/>
        <v>0</v>
      </c>
    </row>
    <row r="7291" spans="1:18">
      <c r="A7291" s="905"/>
      <c r="B7291" s="906"/>
      <c r="C7291" s="907">
        <v>745</v>
      </c>
      <c r="D7291" s="907" t="s">
        <v>12</v>
      </c>
      <c r="E7291" s="908" t="s">
        <v>5518</v>
      </c>
      <c r="F7291" s="909" t="s">
        <v>2674</v>
      </c>
      <c r="G7291" s="910"/>
      <c r="H7291" s="911">
        <v>5.7</v>
      </c>
      <c r="I7291" s="912"/>
      <c r="J7291" s="912"/>
      <c r="K7291" s="912">
        <f>VLOOKUP(E7291,[5]ĐMNC!$A$7:$F$67,4,0)</f>
        <v>240557</v>
      </c>
      <c r="L7291" s="912">
        <f>H7291*K7291</f>
        <v>1371174.9000000001</v>
      </c>
      <c r="M7291" s="912"/>
      <c r="N7291" s="912"/>
      <c r="O7291" s="892">
        <f t="shared" si="543"/>
        <v>0</v>
      </c>
      <c r="P7291" s="903">
        <f t="shared" si="544"/>
        <v>1</v>
      </c>
      <c r="Q7291" s="893">
        <f t="shared" si="545"/>
        <v>1</v>
      </c>
      <c r="R7291" s="894">
        <f t="shared" si="546"/>
        <v>0</v>
      </c>
    </row>
    <row r="7292" spans="1:18" s="847" customFormat="1" ht="35.25" customHeight="1">
      <c r="A7292" s="905"/>
      <c r="B7292" s="914" t="s">
        <v>6112</v>
      </c>
      <c r="C7292" s="915"/>
      <c r="D7292" s="915"/>
      <c r="E7292" s="916" t="s">
        <v>6113</v>
      </c>
      <c r="F7292" s="917" t="s">
        <v>6094</v>
      </c>
      <c r="G7292" s="944"/>
      <c r="H7292" s="919"/>
      <c r="I7292" s="920"/>
      <c r="J7292" s="891">
        <f>SUM(J7293:J7306)</f>
        <v>138475</v>
      </c>
      <c r="K7292" s="891" t="s">
        <v>274</v>
      </c>
      <c r="L7292" s="891">
        <f>SUM(L7293:L7306)</f>
        <v>1553998.22</v>
      </c>
      <c r="M7292" s="891"/>
      <c r="N7292" s="891">
        <f>SUM(N7293:N7306)</f>
        <v>0</v>
      </c>
      <c r="O7292" s="892">
        <f t="shared" si="543"/>
        <v>1</v>
      </c>
      <c r="P7292" s="903">
        <f t="shared" si="544"/>
        <v>0</v>
      </c>
      <c r="Q7292" s="893">
        <f t="shared" si="545"/>
        <v>0</v>
      </c>
      <c r="R7292" s="894">
        <f t="shared" si="546"/>
        <v>14</v>
      </c>
    </row>
    <row r="7293" spans="1:18" s="904" customFormat="1">
      <c r="A7293" s="895"/>
      <c r="B7293" s="896"/>
      <c r="C7293" s="897"/>
      <c r="D7293" s="897"/>
      <c r="E7293" s="898" t="s">
        <v>108</v>
      </c>
      <c r="F7293" s="899"/>
      <c r="G7293" s="928"/>
      <c r="H7293" s="901"/>
      <c r="I7293" s="902"/>
      <c r="J7293" s="902"/>
      <c r="K7293" s="912" t="s">
        <v>274</v>
      </c>
      <c r="L7293" s="902"/>
      <c r="M7293" s="902"/>
      <c r="N7293" s="902"/>
      <c r="O7293" s="892">
        <f t="shared" si="543"/>
        <v>0</v>
      </c>
      <c r="P7293" s="903">
        <f t="shared" si="544"/>
        <v>1</v>
      </c>
      <c r="Q7293" s="893">
        <f t="shared" si="545"/>
        <v>14</v>
      </c>
      <c r="R7293" s="894">
        <f t="shared" si="546"/>
        <v>0</v>
      </c>
    </row>
    <row r="7294" spans="1:18">
      <c r="A7294" s="905"/>
      <c r="B7294" s="906"/>
      <c r="C7294" s="907">
        <v>68</v>
      </c>
      <c r="D7294" s="907" t="s">
        <v>279</v>
      </c>
      <c r="E7294" s="925" t="s">
        <v>6114</v>
      </c>
      <c r="F7294" s="909" t="s">
        <v>2337</v>
      </c>
      <c r="G7294" s="910"/>
      <c r="H7294" s="911">
        <v>1</v>
      </c>
      <c r="I7294" s="912">
        <f>VLOOKUP(E7294,[3]VLP!$B$7:$K$300,10,0)</f>
        <v>20280</v>
      </c>
      <c r="J7294" s="912">
        <f t="shared" ref="J7294:J7304" si="548">I7294*H7294</f>
        <v>20280</v>
      </c>
      <c r="K7294" s="912" t="s">
        <v>274</v>
      </c>
      <c r="L7294" s="912"/>
      <c r="M7294" s="912"/>
      <c r="N7294" s="912"/>
      <c r="O7294" s="892">
        <f t="shared" si="543"/>
        <v>0</v>
      </c>
      <c r="P7294" s="903">
        <f t="shared" si="544"/>
        <v>1</v>
      </c>
      <c r="Q7294" s="893">
        <f t="shared" si="545"/>
        <v>13</v>
      </c>
      <c r="R7294" s="894">
        <f t="shared" si="546"/>
        <v>0</v>
      </c>
    </row>
    <row r="7295" spans="1:18">
      <c r="A7295" s="905"/>
      <c r="B7295" s="906"/>
      <c r="C7295" s="907">
        <v>24</v>
      </c>
      <c r="D7295" s="907" t="s">
        <v>279</v>
      </c>
      <c r="E7295" s="925" t="s">
        <v>2691</v>
      </c>
      <c r="F7295" s="926" t="s">
        <v>2690</v>
      </c>
      <c r="G7295" s="910"/>
      <c r="H7295" s="911">
        <v>1</v>
      </c>
      <c r="I7295" s="912">
        <f>VLOOKUP(E7295,[3]VLP!$B$7:$K$300,10,0)</f>
        <v>6000</v>
      </c>
      <c r="J7295" s="912">
        <f t="shared" si="548"/>
        <v>6000</v>
      </c>
      <c r="K7295" s="912" t="s">
        <v>274</v>
      </c>
      <c r="L7295" s="912"/>
      <c r="M7295" s="912"/>
      <c r="N7295" s="912"/>
      <c r="O7295" s="892">
        <f t="shared" si="543"/>
        <v>0</v>
      </c>
      <c r="P7295" s="903">
        <f t="shared" si="544"/>
        <v>1</v>
      </c>
      <c r="Q7295" s="893">
        <f t="shared" si="545"/>
        <v>12</v>
      </c>
      <c r="R7295" s="894">
        <f t="shared" si="546"/>
        <v>0</v>
      </c>
    </row>
    <row r="7296" spans="1:18">
      <c r="A7296" s="905"/>
      <c r="B7296" s="906"/>
      <c r="C7296" s="907">
        <v>122</v>
      </c>
      <c r="D7296" s="907" t="s">
        <v>279</v>
      </c>
      <c r="E7296" s="925" t="s">
        <v>3267</v>
      </c>
      <c r="F7296" s="909" t="s">
        <v>45</v>
      </c>
      <c r="G7296" s="910"/>
      <c r="H7296" s="911">
        <v>0.4</v>
      </c>
      <c r="I7296" s="912">
        <f>VLOOKUP(E7296,[3]VLP!$B$7:$K$300,10,0)</f>
        <v>30000</v>
      </c>
      <c r="J7296" s="912">
        <f t="shared" si="548"/>
        <v>12000</v>
      </c>
      <c r="K7296" s="912" t="s">
        <v>274</v>
      </c>
      <c r="L7296" s="912"/>
      <c r="M7296" s="912"/>
      <c r="N7296" s="912"/>
      <c r="O7296" s="892">
        <f t="shared" si="543"/>
        <v>0</v>
      </c>
      <c r="P7296" s="903">
        <f t="shared" si="544"/>
        <v>1</v>
      </c>
      <c r="Q7296" s="893">
        <f t="shared" si="545"/>
        <v>11</v>
      </c>
      <c r="R7296" s="894">
        <f t="shared" si="546"/>
        <v>0</v>
      </c>
    </row>
    <row r="7297" spans="1:18">
      <c r="A7297" s="905"/>
      <c r="B7297" s="906"/>
      <c r="C7297" s="907">
        <v>93</v>
      </c>
      <c r="D7297" s="907" t="s">
        <v>279</v>
      </c>
      <c r="E7297" s="925" t="s">
        <v>6111</v>
      </c>
      <c r="F7297" s="909" t="s">
        <v>45</v>
      </c>
      <c r="G7297" s="910"/>
      <c r="H7297" s="911">
        <v>0.04</v>
      </c>
      <c r="I7297" s="912">
        <f>VLOOKUP(E7297,[3]VLP!$B$7:$K$300,10,0)</f>
        <v>42000</v>
      </c>
      <c r="J7297" s="912">
        <f t="shared" si="548"/>
        <v>1680</v>
      </c>
      <c r="K7297" s="912" t="s">
        <v>274</v>
      </c>
      <c r="L7297" s="912"/>
      <c r="M7297" s="912"/>
      <c r="N7297" s="912"/>
      <c r="O7297" s="892">
        <f t="shared" si="543"/>
        <v>0</v>
      </c>
      <c r="P7297" s="903">
        <f t="shared" si="544"/>
        <v>1</v>
      </c>
      <c r="Q7297" s="893">
        <f t="shared" si="545"/>
        <v>10</v>
      </c>
      <c r="R7297" s="894">
        <f t="shared" si="546"/>
        <v>0</v>
      </c>
    </row>
    <row r="7298" spans="1:18">
      <c r="A7298" s="905"/>
      <c r="B7298" s="906"/>
      <c r="C7298" s="907">
        <v>89</v>
      </c>
      <c r="D7298" s="907" t="s">
        <v>279</v>
      </c>
      <c r="E7298" s="925" t="s">
        <v>5984</v>
      </c>
      <c r="F7298" s="909" t="s">
        <v>45</v>
      </c>
      <c r="G7298" s="910"/>
      <c r="H7298" s="911">
        <v>0.2</v>
      </c>
      <c r="I7298" s="912">
        <f>VLOOKUP(E7298,[3]VLP!$B$7:$K$300,10,0)</f>
        <v>1000</v>
      </c>
      <c r="J7298" s="912">
        <f t="shared" si="548"/>
        <v>200</v>
      </c>
      <c r="K7298" s="912" t="s">
        <v>274</v>
      </c>
      <c r="L7298" s="912"/>
      <c r="M7298" s="912"/>
      <c r="N7298" s="912"/>
      <c r="O7298" s="892">
        <f t="shared" si="543"/>
        <v>0</v>
      </c>
      <c r="P7298" s="903">
        <f t="shared" si="544"/>
        <v>1</v>
      </c>
      <c r="Q7298" s="893">
        <f t="shared" si="545"/>
        <v>9</v>
      </c>
      <c r="R7298" s="894">
        <f t="shared" si="546"/>
        <v>0</v>
      </c>
    </row>
    <row r="7299" spans="1:18">
      <c r="A7299" s="905"/>
      <c r="B7299" s="906"/>
      <c r="C7299" s="907">
        <v>47</v>
      </c>
      <c r="D7299" s="907" t="s">
        <v>279</v>
      </c>
      <c r="E7299" s="925" t="s">
        <v>3170</v>
      </c>
      <c r="F7299" s="909" t="s">
        <v>45</v>
      </c>
      <c r="G7299" s="910"/>
      <c r="H7299" s="911">
        <v>12</v>
      </c>
      <c r="I7299" s="912">
        <f>VLOOKUP(E7299,[3]VLP!$B$7:$K$300,10,0)</f>
        <v>1000</v>
      </c>
      <c r="J7299" s="912">
        <f t="shared" si="548"/>
        <v>12000</v>
      </c>
      <c r="K7299" s="912" t="s">
        <v>274</v>
      </c>
      <c r="L7299" s="912"/>
      <c r="M7299" s="912"/>
      <c r="N7299" s="912"/>
      <c r="O7299" s="892">
        <f t="shared" si="543"/>
        <v>0</v>
      </c>
      <c r="P7299" s="903">
        <f t="shared" si="544"/>
        <v>1</v>
      </c>
      <c r="Q7299" s="893">
        <f t="shared" si="545"/>
        <v>8</v>
      </c>
      <c r="R7299" s="894">
        <f t="shared" si="546"/>
        <v>0</v>
      </c>
    </row>
    <row r="7300" spans="1:18">
      <c r="A7300" s="905"/>
      <c r="B7300" s="906"/>
      <c r="C7300" s="907">
        <v>44</v>
      </c>
      <c r="D7300" s="907" t="s">
        <v>279</v>
      </c>
      <c r="E7300" s="925" t="s">
        <v>2681</v>
      </c>
      <c r="F7300" s="926" t="s">
        <v>45</v>
      </c>
      <c r="G7300" s="910"/>
      <c r="H7300" s="911">
        <v>0.25</v>
      </c>
      <c r="I7300" s="912">
        <f>VLOOKUP(E7300,[3]VLP!$B$7:$K$300,10,0)</f>
        <v>23000</v>
      </c>
      <c r="J7300" s="912">
        <f t="shared" si="548"/>
        <v>5750</v>
      </c>
      <c r="K7300" s="912" t="s">
        <v>274</v>
      </c>
      <c r="L7300" s="912"/>
      <c r="M7300" s="912"/>
      <c r="N7300" s="912"/>
      <c r="O7300" s="892">
        <f t="shared" si="543"/>
        <v>0</v>
      </c>
      <c r="P7300" s="903">
        <f t="shared" si="544"/>
        <v>1</v>
      </c>
      <c r="Q7300" s="893">
        <f t="shared" si="545"/>
        <v>7</v>
      </c>
      <c r="R7300" s="894">
        <f t="shared" si="546"/>
        <v>0</v>
      </c>
    </row>
    <row r="7301" spans="1:18">
      <c r="A7301" s="905"/>
      <c r="B7301" s="906"/>
      <c r="C7301" s="907">
        <v>66</v>
      </c>
      <c r="D7301" s="907" t="s">
        <v>279</v>
      </c>
      <c r="E7301" s="925" t="s">
        <v>2682</v>
      </c>
      <c r="F7301" s="926" t="s">
        <v>45</v>
      </c>
      <c r="G7301" s="910"/>
      <c r="H7301" s="911">
        <v>0.4</v>
      </c>
      <c r="I7301" s="912">
        <f>VLOOKUP(E7301,[3]VLP!$B$7:$K$300,10,0)</f>
        <v>5000</v>
      </c>
      <c r="J7301" s="912">
        <f t="shared" si="548"/>
        <v>2000</v>
      </c>
      <c r="K7301" s="912" t="s">
        <v>274</v>
      </c>
      <c r="L7301" s="912"/>
      <c r="M7301" s="912"/>
      <c r="N7301" s="912"/>
      <c r="O7301" s="892">
        <f t="shared" si="543"/>
        <v>0</v>
      </c>
      <c r="P7301" s="903">
        <f t="shared" si="544"/>
        <v>1</v>
      </c>
      <c r="Q7301" s="893">
        <f t="shared" si="545"/>
        <v>6</v>
      </c>
      <c r="R7301" s="894">
        <f t="shared" si="546"/>
        <v>0</v>
      </c>
    </row>
    <row r="7302" spans="1:18">
      <c r="A7302" s="905"/>
      <c r="B7302" s="906"/>
      <c r="C7302" s="907">
        <v>46</v>
      </c>
      <c r="D7302" s="907" t="s">
        <v>279</v>
      </c>
      <c r="E7302" s="925" t="s">
        <v>3179</v>
      </c>
      <c r="F7302" s="926" t="s">
        <v>45</v>
      </c>
      <c r="G7302" s="910"/>
      <c r="H7302" s="911">
        <v>1.25</v>
      </c>
      <c r="I7302" s="912">
        <f>VLOOKUP(E7302,[3]VLP!$B$7:$K$300,10,0)</f>
        <v>20500</v>
      </c>
      <c r="J7302" s="912">
        <f t="shared" si="548"/>
        <v>25625</v>
      </c>
      <c r="K7302" s="912" t="s">
        <v>274</v>
      </c>
      <c r="L7302" s="912"/>
      <c r="M7302" s="912"/>
      <c r="N7302" s="912"/>
      <c r="O7302" s="892">
        <f t="shared" si="543"/>
        <v>0</v>
      </c>
      <c r="P7302" s="903">
        <f t="shared" si="544"/>
        <v>1</v>
      </c>
      <c r="Q7302" s="893">
        <f t="shared" si="545"/>
        <v>5</v>
      </c>
      <c r="R7302" s="894">
        <f t="shared" si="546"/>
        <v>0</v>
      </c>
    </row>
    <row r="7303" spans="1:18">
      <c r="A7303" s="905"/>
      <c r="B7303" s="906"/>
      <c r="C7303" s="907">
        <v>58</v>
      </c>
      <c r="D7303" s="907" t="s">
        <v>279</v>
      </c>
      <c r="E7303" s="925" t="s">
        <v>3190</v>
      </c>
      <c r="F7303" s="926" t="s">
        <v>45</v>
      </c>
      <c r="G7303" s="910"/>
      <c r="H7303" s="911">
        <v>1</v>
      </c>
      <c r="I7303" s="912">
        <f>VLOOKUP(E7303,[3]VLP!$B$7:$K$300,10,0)</f>
        <v>27940</v>
      </c>
      <c r="J7303" s="912">
        <f t="shared" si="548"/>
        <v>27940</v>
      </c>
      <c r="K7303" s="912" t="s">
        <v>274</v>
      </c>
      <c r="L7303" s="912"/>
      <c r="M7303" s="912"/>
      <c r="N7303" s="912"/>
      <c r="O7303" s="892">
        <f t="shared" si="543"/>
        <v>0</v>
      </c>
      <c r="P7303" s="903">
        <f t="shared" si="544"/>
        <v>1</v>
      </c>
      <c r="Q7303" s="893">
        <f t="shared" si="545"/>
        <v>4</v>
      </c>
      <c r="R7303" s="894">
        <f t="shared" si="546"/>
        <v>0</v>
      </c>
    </row>
    <row r="7304" spans="1:18">
      <c r="A7304" s="905"/>
      <c r="B7304" s="906"/>
      <c r="C7304" s="907">
        <v>699</v>
      </c>
      <c r="D7304" s="907" t="s">
        <v>279</v>
      </c>
      <c r="E7304" s="925" t="s">
        <v>4006</v>
      </c>
      <c r="F7304" s="926" t="s">
        <v>4007</v>
      </c>
      <c r="G7304" s="910"/>
      <c r="H7304" s="911">
        <v>5</v>
      </c>
      <c r="I7304" s="912">
        <f>VLOOKUP(E7304,[3]VLP!$B$7:$K$300,10,0)</f>
        <v>5000</v>
      </c>
      <c r="J7304" s="912">
        <f t="shared" si="548"/>
        <v>25000</v>
      </c>
      <c r="K7304" s="912" t="s">
        <v>274</v>
      </c>
      <c r="L7304" s="912"/>
      <c r="M7304" s="912"/>
      <c r="N7304" s="912"/>
      <c r="O7304" s="892">
        <f t="shared" si="543"/>
        <v>0</v>
      </c>
      <c r="P7304" s="903">
        <f t="shared" si="544"/>
        <v>1</v>
      </c>
      <c r="Q7304" s="893">
        <f t="shared" si="545"/>
        <v>3</v>
      </c>
      <c r="R7304" s="894">
        <f t="shared" si="546"/>
        <v>0</v>
      </c>
    </row>
    <row r="7305" spans="1:18" s="904" customFormat="1">
      <c r="A7305" s="895"/>
      <c r="B7305" s="896"/>
      <c r="C7305" s="897"/>
      <c r="D7305" s="897"/>
      <c r="E7305" s="924" t="s">
        <v>276</v>
      </c>
      <c r="F7305" s="927"/>
      <c r="G7305" s="928"/>
      <c r="H7305" s="901"/>
      <c r="I7305" s="902"/>
      <c r="J7305" s="902"/>
      <c r="K7305" s="912" t="s">
        <v>274</v>
      </c>
      <c r="L7305" s="902"/>
      <c r="M7305" s="902"/>
      <c r="N7305" s="902"/>
      <c r="O7305" s="892">
        <f t="shared" si="543"/>
        <v>0</v>
      </c>
      <c r="P7305" s="903">
        <f t="shared" si="544"/>
        <v>1</v>
      </c>
      <c r="Q7305" s="893">
        <f t="shared" si="545"/>
        <v>2</v>
      </c>
      <c r="R7305" s="894">
        <f t="shared" si="546"/>
        <v>0</v>
      </c>
    </row>
    <row r="7306" spans="1:18">
      <c r="A7306" s="905"/>
      <c r="B7306" s="906"/>
      <c r="C7306" s="907">
        <v>745</v>
      </c>
      <c r="D7306" s="907" t="s">
        <v>12</v>
      </c>
      <c r="E7306" s="908" t="s">
        <v>5518</v>
      </c>
      <c r="F7306" s="909" t="s">
        <v>2674</v>
      </c>
      <c r="G7306" s="910"/>
      <c r="H7306" s="911">
        <v>6.46</v>
      </c>
      <c r="I7306" s="912"/>
      <c r="J7306" s="912"/>
      <c r="K7306" s="912">
        <f>VLOOKUP(E7306,[5]ĐMNC!$A$7:$F$67,4,0)</f>
        <v>240557</v>
      </c>
      <c r="L7306" s="912">
        <f>H7306*K7306</f>
        <v>1553998.22</v>
      </c>
      <c r="M7306" s="912"/>
      <c r="N7306" s="912"/>
      <c r="O7306" s="892">
        <f t="shared" si="543"/>
        <v>0</v>
      </c>
      <c r="P7306" s="903">
        <f t="shared" si="544"/>
        <v>1</v>
      </c>
      <c r="Q7306" s="893">
        <f t="shared" si="545"/>
        <v>1</v>
      </c>
      <c r="R7306" s="894">
        <f t="shared" si="546"/>
        <v>0</v>
      </c>
    </row>
    <row r="7307" spans="1:18" s="847" customFormat="1" ht="35.25" customHeight="1">
      <c r="A7307" s="905"/>
      <c r="B7307" s="914" t="s">
        <v>6115</v>
      </c>
      <c r="C7307" s="915"/>
      <c r="D7307" s="915"/>
      <c r="E7307" s="916" t="s">
        <v>6116</v>
      </c>
      <c r="F7307" s="917" t="s">
        <v>6094</v>
      </c>
      <c r="G7307" s="944"/>
      <c r="H7307" s="919"/>
      <c r="I7307" s="920"/>
      <c r="J7307" s="891">
        <f>SUM(J7308:J7321)</f>
        <v>151960</v>
      </c>
      <c r="K7307" s="891" t="s">
        <v>274</v>
      </c>
      <c r="L7307" s="891">
        <f>SUM(L7308:L7321)</f>
        <v>1715171.41</v>
      </c>
      <c r="M7307" s="891"/>
      <c r="N7307" s="891">
        <f>SUM(N7308:N7321)</f>
        <v>0</v>
      </c>
      <c r="O7307" s="892">
        <f t="shared" si="543"/>
        <v>1</v>
      </c>
      <c r="P7307" s="903">
        <f t="shared" si="544"/>
        <v>0</v>
      </c>
      <c r="Q7307" s="893">
        <f t="shared" si="545"/>
        <v>0</v>
      </c>
      <c r="R7307" s="894">
        <f t="shared" si="546"/>
        <v>14</v>
      </c>
    </row>
    <row r="7308" spans="1:18" s="904" customFormat="1">
      <c r="A7308" s="895"/>
      <c r="B7308" s="896"/>
      <c r="C7308" s="897"/>
      <c r="D7308" s="897"/>
      <c r="E7308" s="898" t="s">
        <v>108</v>
      </c>
      <c r="F7308" s="899"/>
      <c r="G7308" s="928"/>
      <c r="H7308" s="901"/>
      <c r="I7308" s="902"/>
      <c r="J7308" s="902"/>
      <c r="K7308" s="912" t="s">
        <v>274</v>
      </c>
      <c r="L7308" s="902"/>
      <c r="M7308" s="902"/>
      <c r="N7308" s="902"/>
      <c r="O7308" s="892">
        <f t="shared" si="543"/>
        <v>0</v>
      </c>
      <c r="P7308" s="903">
        <f t="shared" si="544"/>
        <v>1</v>
      </c>
      <c r="Q7308" s="893">
        <f t="shared" si="545"/>
        <v>14</v>
      </c>
      <c r="R7308" s="894">
        <f t="shared" si="546"/>
        <v>0</v>
      </c>
    </row>
    <row r="7309" spans="1:18">
      <c r="A7309" s="905"/>
      <c r="B7309" s="906"/>
      <c r="C7309" s="907">
        <v>69</v>
      </c>
      <c r="D7309" s="907" t="s">
        <v>279</v>
      </c>
      <c r="E7309" s="925" t="s">
        <v>6117</v>
      </c>
      <c r="F7309" s="909" t="s">
        <v>2337</v>
      </c>
      <c r="G7309" s="910"/>
      <c r="H7309" s="911">
        <v>1</v>
      </c>
      <c r="I7309" s="912">
        <f>VLOOKUP(E7309,[3]VLP!$B$7:$K$300,10,0)</f>
        <v>27040</v>
      </c>
      <c r="J7309" s="912">
        <f t="shared" ref="J7309:J7319" si="549">I7309*H7309</f>
        <v>27040</v>
      </c>
      <c r="K7309" s="912" t="s">
        <v>274</v>
      </c>
      <c r="L7309" s="912"/>
      <c r="M7309" s="912"/>
      <c r="N7309" s="912"/>
      <c r="O7309" s="892">
        <f t="shared" si="543"/>
        <v>0</v>
      </c>
      <c r="P7309" s="903">
        <f t="shared" si="544"/>
        <v>1</v>
      </c>
      <c r="Q7309" s="893">
        <f t="shared" si="545"/>
        <v>13</v>
      </c>
      <c r="R7309" s="894">
        <f t="shared" si="546"/>
        <v>0</v>
      </c>
    </row>
    <row r="7310" spans="1:18">
      <c r="A7310" s="905"/>
      <c r="B7310" s="906"/>
      <c r="C7310" s="907">
        <v>24</v>
      </c>
      <c r="D7310" s="907" t="s">
        <v>279</v>
      </c>
      <c r="E7310" s="925" t="s">
        <v>2691</v>
      </c>
      <c r="F7310" s="926" t="s">
        <v>2690</v>
      </c>
      <c r="G7310" s="910"/>
      <c r="H7310" s="911">
        <v>1</v>
      </c>
      <c r="I7310" s="912">
        <f>VLOOKUP(E7310,[3]VLP!$B$7:$K$300,10,0)</f>
        <v>6000</v>
      </c>
      <c r="J7310" s="912">
        <f t="shared" si="549"/>
        <v>6000</v>
      </c>
      <c r="K7310" s="912" t="s">
        <v>274</v>
      </c>
      <c r="L7310" s="912"/>
      <c r="M7310" s="912"/>
      <c r="N7310" s="912"/>
      <c r="O7310" s="892">
        <f t="shared" si="543"/>
        <v>0</v>
      </c>
      <c r="P7310" s="903">
        <f t="shared" si="544"/>
        <v>1</v>
      </c>
      <c r="Q7310" s="893">
        <f t="shared" si="545"/>
        <v>12</v>
      </c>
      <c r="R7310" s="894">
        <f t="shared" si="546"/>
        <v>0</v>
      </c>
    </row>
    <row r="7311" spans="1:18">
      <c r="A7311" s="905"/>
      <c r="B7311" s="906"/>
      <c r="C7311" s="907">
        <v>122</v>
      </c>
      <c r="D7311" s="907" t="s">
        <v>279</v>
      </c>
      <c r="E7311" s="925" t="s">
        <v>3267</v>
      </c>
      <c r="F7311" s="909" t="s">
        <v>45</v>
      </c>
      <c r="G7311" s="910"/>
      <c r="H7311" s="911">
        <v>0.4</v>
      </c>
      <c r="I7311" s="912">
        <f>VLOOKUP(E7311,[3]VLP!$B$7:$K$300,10,0)</f>
        <v>30000</v>
      </c>
      <c r="J7311" s="912">
        <f t="shared" si="549"/>
        <v>12000</v>
      </c>
      <c r="K7311" s="912" t="s">
        <v>274</v>
      </c>
      <c r="L7311" s="912"/>
      <c r="M7311" s="912"/>
      <c r="N7311" s="912"/>
      <c r="O7311" s="892">
        <f t="shared" si="543"/>
        <v>0</v>
      </c>
      <c r="P7311" s="903">
        <f t="shared" si="544"/>
        <v>1</v>
      </c>
      <c r="Q7311" s="893">
        <f t="shared" si="545"/>
        <v>11</v>
      </c>
      <c r="R7311" s="894">
        <f t="shared" si="546"/>
        <v>0</v>
      </c>
    </row>
    <row r="7312" spans="1:18">
      <c r="A7312" s="905"/>
      <c r="B7312" s="906"/>
      <c r="C7312" s="907">
        <v>93</v>
      </c>
      <c r="D7312" s="907" t="s">
        <v>279</v>
      </c>
      <c r="E7312" s="925" t="s">
        <v>6111</v>
      </c>
      <c r="F7312" s="909" t="s">
        <v>45</v>
      </c>
      <c r="G7312" s="910"/>
      <c r="H7312" s="911">
        <v>0.04</v>
      </c>
      <c r="I7312" s="912">
        <f>VLOOKUP(E7312,[3]VLP!$B$7:$K$300,10,0)</f>
        <v>42000</v>
      </c>
      <c r="J7312" s="912">
        <f t="shared" si="549"/>
        <v>1680</v>
      </c>
      <c r="K7312" s="912" t="s">
        <v>274</v>
      </c>
      <c r="L7312" s="912"/>
      <c r="M7312" s="912"/>
      <c r="N7312" s="912"/>
      <c r="O7312" s="892">
        <f t="shared" si="543"/>
        <v>0</v>
      </c>
      <c r="P7312" s="903">
        <f t="shared" si="544"/>
        <v>1</v>
      </c>
      <c r="Q7312" s="893">
        <f t="shared" si="545"/>
        <v>10</v>
      </c>
      <c r="R7312" s="894">
        <f t="shared" si="546"/>
        <v>0</v>
      </c>
    </row>
    <row r="7313" spans="1:18">
      <c r="A7313" s="905"/>
      <c r="B7313" s="906"/>
      <c r="C7313" s="907">
        <v>89</v>
      </c>
      <c r="D7313" s="907" t="s">
        <v>279</v>
      </c>
      <c r="E7313" s="925" t="s">
        <v>5984</v>
      </c>
      <c r="F7313" s="909" t="s">
        <v>45</v>
      </c>
      <c r="G7313" s="910"/>
      <c r="H7313" s="911">
        <v>0.3</v>
      </c>
      <c r="I7313" s="912">
        <f>VLOOKUP(E7313,[3]VLP!$B$7:$K$300,10,0)</f>
        <v>1000</v>
      </c>
      <c r="J7313" s="912">
        <f t="shared" si="549"/>
        <v>300</v>
      </c>
      <c r="K7313" s="912" t="s">
        <v>274</v>
      </c>
      <c r="L7313" s="912"/>
      <c r="M7313" s="912"/>
      <c r="N7313" s="912"/>
      <c r="O7313" s="892">
        <f t="shared" si="543"/>
        <v>0</v>
      </c>
      <c r="P7313" s="903">
        <f t="shared" si="544"/>
        <v>1</v>
      </c>
      <c r="Q7313" s="893">
        <f t="shared" si="545"/>
        <v>9</v>
      </c>
      <c r="R7313" s="894">
        <f t="shared" si="546"/>
        <v>0</v>
      </c>
    </row>
    <row r="7314" spans="1:18">
      <c r="A7314" s="905"/>
      <c r="B7314" s="906"/>
      <c r="C7314" s="907">
        <v>47</v>
      </c>
      <c r="D7314" s="907" t="s">
        <v>279</v>
      </c>
      <c r="E7314" s="925" t="s">
        <v>3170</v>
      </c>
      <c r="F7314" s="909" t="s">
        <v>45</v>
      </c>
      <c r="G7314" s="910"/>
      <c r="H7314" s="911">
        <v>13</v>
      </c>
      <c r="I7314" s="912">
        <f>VLOOKUP(E7314,[3]VLP!$B$7:$K$300,10,0)</f>
        <v>1000</v>
      </c>
      <c r="J7314" s="912">
        <f t="shared" si="549"/>
        <v>13000</v>
      </c>
      <c r="K7314" s="912" t="s">
        <v>274</v>
      </c>
      <c r="L7314" s="912"/>
      <c r="M7314" s="912"/>
      <c r="N7314" s="912"/>
      <c r="O7314" s="892">
        <f t="shared" si="543"/>
        <v>0</v>
      </c>
      <c r="P7314" s="903">
        <f t="shared" si="544"/>
        <v>1</v>
      </c>
      <c r="Q7314" s="893">
        <f t="shared" si="545"/>
        <v>8</v>
      </c>
      <c r="R7314" s="894">
        <f t="shared" si="546"/>
        <v>0</v>
      </c>
    </row>
    <row r="7315" spans="1:18">
      <c r="A7315" s="905"/>
      <c r="B7315" s="906"/>
      <c r="C7315" s="907">
        <v>44</v>
      </c>
      <c r="D7315" s="907" t="s">
        <v>279</v>
      </c>
      <c r="E7315" s="925" t="s">
        <v>2681</v>
      </c>
      <c r="F7315" s="926" t="s">
        <v>45</v>
      </c>
      <c r="G7315" s="910"/>
      <c r="H7315" s="911">
        <v>0.25</v>
      </c>
      <c r="I7315" s="912">
        <f>VLOOKUP(E7315,[3]VLP!$B$7:$K$300,10,0)</f>
        <v>23000</v>
      </c>
      <c r="J7315" s="912">
        <f t="shared" si="549"/>
        <v>5750</v>
      </c>
      <c r="K7315" s="912" t="s">
        <v>274</v>
      </c>
      <c r="L7315" s="912"/>
      <c r="M7315" s="912"/>
      <c r="N7315" s="912"/>
      <c r="O7315" s="892">
        <f t="shared" si="543"/>
        <v>0</v>
      </c>
      <c r="P7315" s="903">
        <f t="shared" si="544"/>
        <v>1</v>
      </c>
      <c r="Q7315" s="893">
        <f t="shared" si="545"/>
        <v>7</v>
      </c>
      <c r="R7315" s="894">
        <f t="shared" si="546"/>
        <v>0</v>
      </c>
    </row>
    <row r="7316" spans="1:18">
      <c r="A7316" s="905"/>
      <c r="B7316" s="906"/>
      <c r="C7316" s="907">
        <v>66</v>
      </c>
      <c r="D7316" s="907" t="s">
        <v>279</v>
      </c>
      <c r="E7316" s="925" t="s">
        <v>2682</v>
      </c>
      <c r="F7316" s="926" t="s">
        <v>45</v>
      </c>
      <c r="G7316" s="910"/>
      <c r="H7316" s="911">
        <v>0.5</v>
      </c>
      <c r="I7316" s="912">
        <f>VLOOKUP(E7316,[3]VLP!$B$7:$K$300,10,0)</f>
        <v>5000</v>
      </c>
      <c r="J7316" s="912">
        <f t="shared" si="549"/>
        <v>2500</v>
      </c>
      <c r="K7316" s="912" t="s">
        <v>274</v>
      </c>
      <c r="L7316" s="912"/>
      <c r="M7316" s="912"/>
      <c r="N7316" s="912"/>
      <c r="O7316" s="892">
        <f t="shared" si="543"/>
        <v>0</v>
      </c>
      <c r="P7316" s="903">
        <f t="shared" si="544"/>
        <v>1</v>
      </c>
      <c r="Q7316" s="893">
        <f t="shared" si="545"/>
        <v>6</v>
      </c>
      <c r="R7316" s="894">
        <f t="shared" si="546"/>
        <v>0</v>
      </c>
    </row>
    <row r="7317" spans="1:18">
      <c r="A7317" s="905"/>
      <c r="B7317" s="906"/>
      <c r="C7317" s="907">
        <v>46</v>
      </c>
      <c r="D7317" s="907" t="s">
        <v>279</v>
      </c>
      <c r="E7317" s="925" t="s">
        <v>3179</v>
      </c>
      <c r="F7317" s="926" t="s">
        <v>45</v>
      </c>
      <c r="G7317" s="910"/>
      <c r="H7317" s="911">
        <v>1.5</v>
      </c>
      <c r="I7317" s="912">
        <f>VLOOKUP(E7317,[3]VLP!$B$7:$K$300,10,0)</f>
        <v>20500</v>
      </c>
      <c r="J7317" s="912">
        <f t="shared" si="549"/>
        <v>30750</v>
      </c>
      <c r="K7317" s="912" t="s">
        <v>274</v>
      </c>
      <c r="L7317" s="912"/>
      <c r="M7317" s="912"/>
      <c r="N7317" s="912"/>
      <c r="O7317" s="892">
        <f t="shared" si="543"/>
        <v>0</v>
      </c>
      <c r="P7317" s="903">
        <f t="shared" si="544"/>
        <v>1</v>
      </c>
      <c r="Q7317" s="893">
        <f t="shared" si="545"/>
        <v>5</v>
      </c>
      <c r="R7317" s="894">
        <f t="shared" si="546"/>
        <v>0</v>
      </c>
    </row>
    <row r="7318" spans="1:18">
      <c r="A7318" s="905"/>
      <c r="B7318" s="906"/>
      <c r="C7318" s="907">
        <v>58</v>
      </c>
      <c r="D7318" s="907" t="s">
        <v>279</v>
      </c>
      <c r="E7318" s="925" t="s">
        <v>3190</v>
      </c>
      <c r="F7318" s="926" t="s">
        <v>45</v>
      </c>
      <c r="G7318" s="910"/>
      <c r="H7318" s="911">
        <v>1</v>
      </c>
      <c r="I7318" s="912">
        <f>VLOOKUP(E7318,[3]VLP!$B$7:$K$300,10,0)</f>
        <v>27940</v>
      </c>
      <c r="J7318" s="912">
        <f t="shared" si="549"/>
        <v>27940</v>
      </c>
      <c r="K7318" s="912" t="s">
        <v>274</v>
      </c>
      <c r="L7318" s="912"/>
      <c r="M7318" s="912"/>
      <c r="N7318" s="912"/>
      <c r="O7318" s="892">
        <f t="shared" si="543"/>
        <v>0</v>
      </c>
      <c r="P7318" s="903">
        <f t="shared" si="544"/>
        <v>1</v>
      </c>
      <c r="Q7318" s="893">
        <f t="shared" si="545"/>
        <v>4</v>
      </c>
      <c r="R7318" s="894">
        <f t="shared" si="546"/>
        <v>0</v>
      </c>
    </row>
    <row r="7319" spans="1:18">
      <c r="A7319" s="905"/>
      <c r="B7319" s="906"/>
      <c r="C7319" s="907">
        <v>699</v>
      </c>
      <c r="D7319" s="907" t="s">
        <v>279</v>
      </c>
      <c r="E7319" s="925" t="s">
        <v>4006</v>
      </c>
      <c r="F7319" s="926" t="s">
        <v>4007</v>
      </c>
      <c r="G7319" s="910"/>
      <c r="H7319" s="911">
        <v>5</v>
      </c>
      <c r="I7319" s="912">
        <f>VLOOKUP(E7319,[3]VLP!$B$7:$K$300,10,0)</f>
        <v>5000</v>
      </c>
      <c r="J7319" s="912">
        <f t="shared" si="549"/>
        <v>25000</v>
      </c>
      <c r="K7319" s="912" t="s">
        <v>274</v>
      </c>
      <c r="L7319" s="912"/>
      <c r="M7319" s="912"/>
      <c r="N7319" s="912"/>
      <c r="O7319" s="892">
        <f t="shared" si="543"/>
        <v>0</v>
      </c>
      <c r="P7319" s="903">
        <f t="shared" si="544"/>
        <v>1</v>
      </c>
      <c r="Q7319" s="893">
        <f t="shared" si="545"/>
        <v>3</v>
      </c>
      <c r="R7319" s="894">
        <f t="shared" si="546"/>
        <v>0</v>
      </c>
    </row>
    <row r="7320" spans="1:18" s="904" customFormat="1">
      <c r="A7320" s="895"/>
      <c r="B7320" s="896"/>
      <c r="C7320" s="897"/>
      <c r="D7320" s="897"/>
      <c r="E7320" s="924" t="s">
        <v>276</v>
      </c>
      <c r="F7320" s="927"/>
      <c r="G7320" s="928"/>
      <c r="H7320" s="901"/>
      <c r="I7320" s="902"/>
      <c r="J7320" s="902"/>
      <c r="K7320" s="912" t="s">
        <v>274</v>
      </c>
      <c r="L7320" s="902"/>
      <c r="M7320" s="902"/>
      <c r="N7320" s="902"/>
      <c r="O7320" s="892">
        <f t="shared" si="543"/>
        <v>0</v>
      </c>
      <c r="P7320" s="903">
        <f t="shared" si="544"/>
        <v>1</v>
      </c>
      <c r="Q7320" s="893">
        <f t="shared" si="545"/>
        <v>2</v>
      </c>
      <c r="R7320" s="894">
        <f t="shared" si="546"/>
        <v>0</v>
      </c>
    </row>
    <row r="7321" spans="1:18">
      <c r="A7321" s="905"/>
      <c r="B7321" s="906"/>
      <c r="C7321" s="907">
        <v>745</v>
      </c>
      <c r="D7321" s="907" t="s">
        <v>12</v>
      </c>
      <c r="E7321" s="908" t="s">
        <v>5518</v>
      </c>
      <c r="F7321" s="909" t="s">
        <v>2674</v>
      </c>
      <c r="G7321" s="910"/>
      <c r="H7321" s="911">
        <v>7.13</v>
      </c>
      <c r="I7321" s="912"/>
      <c r="J7321" s="912"/>
      <c r="K7321" s="912">
        <f>VLOOKUP(E7321,[5]ĐMNC!$A$7:$F$67,4,0)</f>
        <v>240557</v>
      </c>
      <c r="L7321" s="912">
        <f>H7321*K7321</f>
        <v>1715171.41</v>
      </c>
      <c r="M7321" s="912"/>
      <c r="N7321" s="912"/>
      <c r="O7321" s="892">
        <f t="shared" si="543"/>
        <v>0</v>
      </c>
      <c r="P7321" s="903">
        <f t="shared" si="544"/>
        <v>1</v>
      </c>
      <c r="Q7321" s="893">
        <f t="shared" si="545"/>
        <v>1</v>
      </c>
      <c r="R7321" s="894">
        <f t="shared" si="546"/>
        <v>0</v>
      </c>
    </row>
    <row r="7322" spans="1:18" s="847" customFormat="1" ht="35.25" customHeight="1">
      <c r="A7322" s="905"/>
      <c r="B7322" s="914" t="s">
        <v>6118</v>
      </c>
      <c r="C7322" s="915"/>
      <c r="D7322" s="915"/>
      <c r="E7322" s="916" t="s">
        <v>6119</v>
      </c>
      <c r="F7322" s="917" t="s">
        <v>6094</v>
      </c>
      <c r="G7322" s="944"/>
      <c r="H7322" s="919"/>
      <c r="I7322" s="920"/>
      <c r="J7322" s="891">
        <f>SUM(J7323:J7336)</f>
        <v>169780</v>
      </c>
      <c r="K7322" s="891" t="s">
        <v>274</v>
      </c>
      <c r="L7322" s="891">
        <f>SUM(L7323:L7336)</f>
        <v>1897994.73</v>
      </c>
      <c r="M7322" s="891"/>
      <c r="N7322" s="891">
        <f>SUM(N7323:N7336)</f>
        <v>0</v>
      </c>
      <c r="O7322" s="892">
        <f t="shared" si="543"/>
        <v>1</v>
      </c>
      <c r="P7322" s="903">
        <f t="shared" si="544"/>
        <v>0</v>
      </c>
      <c r="Q7322" s="893">
        <f t="shared" si="545"/>
        <v>0</v>
      </c>
      <c r="R7322" s="894">
        <f t="shared" si="546"/>
        <v>14</v>
      </c>
    </row>
    <row r="7323" spans="1:18" s="904" customFormat="1">
      <c r="A7323" s="895"/>
      <c r="B7323" s="896"/>
      <c r="C7323" s="897"/>
      <c r="D7323" s="897"/>
      <c r="E7323" s="898" t="s">
        <v>108</v>
      </c>
      <c r="F7323" s="899"/>
      <c r="G7323" s="928"/>
      <c r="H7323" s="901"/>
      <c r="I7323" s="902"/>
      <c r="J7323" s="902"/>
      <c r="K7323" s="912" t="s">
        <v>274</v>
      </c>
      <c r="L7323" s="902"/>
      <c r="M7323" s="902"/>
      <c r="N7323" s="902"/>
      <c r="O7323" s="892">
        <f t="shared" si="543"/>
        <v>0</v>
      </c>
      <c r="P7323" s="903">
        <f t="shared" si="544"/>
        <v>1</v>
      </c>
      <c r="Q7323" s="893">
        <f t="shared" si="545"/>
        <v>14</v>
      </c>
      <c r="R7323" s="894">
        <f t="shared" si="546"/>
        <v>0</v>
      </c>
    </row>
    <row r="7324" spans="1:18">
      <c r="A7324" s="905"/>
      <c r="B7324" s="906"/>
      <c r="C7324" s="907">
        <v>70</v>
      </c>
      <c r="D7324" s="907" t="s">
        <v>279</v>
      </c>
      <c r="E7324" s="925" t="s">
        <v>6120</v>
      </c>
      <c r="F7324" s="909" t="s">
        <v>2337</v>
      </c>
      <c r="G7324" s="910"/>
      <c r="H7324" s="911">
        <v>1</v>
      </c>
      <c r="I7324" s="912">
        <f>VLOOKUP(E7324,[3]VLP!$B$7:$K$300,10,0)</f>
        <v>27040</v>
      </c>
      <c r="J7324" s="912">
        <f t="shared" ref="J7324:J7334" si="550">I7324*H7324</f>
        <v>27040</v>
      </c>
      <c r="K7324" s="912" t="s">
        <v>274</v>
      </c>
      <c r="L7324" s="912"/>
      <c r="M7324" s="912"/>
      <c r="N7324" s="912"/>
      <c r="O7324" s="892">
        <f t="shared" si="543"/>
        <v>0</v>
      </c>
      <c r="P7324" s="903">
        <f t="shared" si="544"/>
        <v>1</v>
      </c>
      <c r="Q7324" s="893">
        <f t="shared" si="545"/>
        <v>13</v>
      </c>
      <c r="R7324" s="894">
        <f t="shared" si="546"/>
        <v>0</v>
      </c>
    </row>
    <row r="7325" spans="1:18">
      <c r="A7325" s="905"/>
      <c r="B7325" s="906"/>
      <c r="C7325" s="907">
        <v>24</v>
      </c>
      <c r="D7325" s="907" t="s">
        <v>279</v>
      </c>
      <c r="E7325" s="925" t="s">
        <v>2691</v>
      </c>
      <c r="F7325" s="926" t="s">
        <v>2690</v>
      </c>
      <c r="G7325" s="910"/>
      <c r="H7325" s="911">
        <v>1.5</v>
      </c>
      <c r="I7325" s="912">
        <f>VLOOKUP(E7325,[3]VLP!$B$7:$K$300,10,0)</f>
        <v>6000</v>
      </c>
      <c r="J7325" s="912">
        <f t="shared" si="550"/>
        <v>9000</v>
      </c>
      <c r="K7325" s="912" t="s">
        <v>274</v>
      </c>
      <c r="L7325" s="912"/>
      <c r="M7325" s="912"/>
      <c r="N7325" s="912"/>
      <c r="O7325" s="892">
        <f t="shared" si="543"/>
        <v>0</v>
      </c>
      <c r="P7325" s="903">
        <f t="shared" si="544"/>
        <v>1</v>
      </c>
      <c r="Q7325" s="893">
        <f t="shared" si="545"/>
        <v>12</v>
      </c>
      <c r="R7325" s="894">
        <f t="shared" si="546"/>
        <v>0</v>
      </c>
    </row>
    <row r="7326" spans="1:18">
      <c r="A7326" s="905"/>
      <c r="B7326" s="906"/>
      <c r="C7326" s="907">
        <v>122</v>
      </c>
      <c r="D7326" s="907" t="s">
        <v>279</v>
      </c>
      <c r="E7326" s="925" t="s">
        <v>3267</v>
      </c>
      <c r="F7326" s="909" t="s">
        <v>45</v>
      </c>
      <c r="G7326" s="910"/>
      <c r="H7326" s="911">
        <v>0.5</v>
      </c>
      <c r="I7326" s="912">
        <f>VLOOKUP(E7326,[3]VLP!$B$7:$K$300,10,0)</f>
        <v>30000</v>
      </c>
      <c r="J7326" s="912">
        <f t="shared" si="550"/>
        <v>15000</v>
      </c>
      <c r="K7326" s="912" t="s">
        <v>274</v>
      </c>
      <c r="L7326" s="912"/>
      <c r="M7326" s="912"/>
      <c r="N7326" s="912"/>
      <c r="O7326" s="892">
        <f t="shared" si="543"/>
        <v>0</v>
      </c>
      <c r="P7326" s="903">
        <f t="shared" si="544"/>
        <v>1</v>
      </c>
      <c r="Q7326" s="893">
        <f t="shared" si="545"/>
        <v>11</v>
      </c>
      <c r="R7326" s="894">
        <f t="shared" si="546"/>
        <v>0</v>
      </c>
    </row>
    <row r="7327" spans="1:18">
      <c r="A7327" s="905"/>
      <c r="B7327" s="906"/>
      <c r="C7327" s="907">
        <v>93</v>
      </c>
      <c r="D7327" s="907" t="s">
        <v>279</v>
      </c>
      <c r="E7327" s="925" t="s">
        <v>6111</v>
      </c>
      <c r="F7327" s="909" t="s">
        <v>45</v>
      </c>
      <c r="G7327" s="910"/>
      <c r="H7327" s="911">
        <v>0.05</v>
      </c>
      <c r="I7327" s="912">
        <f>VLOOKUP(E7327,[3]VLP!$B$7:$K$300,10,0)</f>
        <v>42000</v>
      </c>
      <c r="J7327" s="912">
        <f t="shared" si="550"/>
        <v>2100</v>
      </c>
      <c r="K7327" s="912" t="s">
        <v>274</v>
      </c>
      <c r="L7327" s="912"/>
      <c r="M7327" s="912"/>
      <c r="N7327" s="912"/>
      <c r="O7327" s="892">
        <f t="shared" ref="O7327:O7390" si="551">IF(AND(B7327&lt;&gt;"",D7327=""),1,0)</f>
        <v>0</v>
      </c>
      <c r="P7327" s="903">
        <f t="shared" si="544"/>
        <v>1</v>
      </c>
      <c r="Q7327" s="893">
        <f t="shared" si="545"/>
        <v>10</v>
      </c>
      <c r="R7327" s="894">
        <f t="shared" si="546"/>
        <v>0</v>
      </c>
    </row>
    <row r="7328" spans="1:18">
      <c r="A7328" s="905"/>
      <c r="B7328" s="906"/>
      <c r="C7328" s="907">
        <v>89</v>
      </c>
      <c r="D7328" s="907" t="s">
        <v>279</v>
      </c>
      <c r="E7328" s="925" t="s">
        <v>5984</v>
      </c>
      <c r="F7328" s="909" t="s">
        <v>45</v>
      </c>
      <c r="G7328" s="910"/>
      <c r="H7328" s="911">
        <v>0.3</v>
      </c>
      <c r="I7328" s="912">
        <f>VLOOKUP(E7328,[3]VLP!$B$7:$K$300,10,0)</f>
        <v>1000</v>
      </c>
      <c r="J7328" s="912">
        <f t="shared" si="550"/>
        <v>300</v>
      </c>
      <c r="K7328" s="912" t="s">
        <v>274</v>
      </c>
      <c r="L7328" s="912"/>
      <c r="M7328" s="912"/>
      <c r="N7328" s="912"/>
      <c r="O7328" s="892">
        <f t="shared" si="551"/>
        <v>0</v>
      </c>
      <c r="P7328" s="903">
        <f t="shared" si="544"/>
        <v>1</v>
      </c>
      <c r="Q7328" s="893">
        <f t="shared" si="545"/>
        <v>9</v>
      </c>
      <c r="R7328" s="894">
        <f t="shared" si="546"/>
        <v>0</v>
      </c>
    </row>
    <row r="7329" spans="1:18">
      <c r="A7329" s="905"/>
      <c r="B7329" s="906"/>
      <c r="C7329" s="907">
        <v>47</v>
      </c>
      <c r="D7329" s="907" t="s">
        <v>279</v>
      </c>
      <c r="E7329" s="925" t="s">
        <v>3170</v>
      </c>
      <c r="F7329" s="909" t="s">
        <v>45</v>
      </c>
      <c r="G7329" s="910"/>
      <c r="H7329" s="911">
        <v>13</v>
      </c>
      <c r="I7329" s="912">
        <f>VLOOKUP(E7329,[3]VLP!$B$7:$K$300,10,0)</f>
        <v>1000</v>
      </c>
      <c r="J7329" s="912">
        <f t="shared" si="550"/>
        <v>13000</v>
      </c>
      <c r="K7329" s="912" t="s">
        <v>274</v>
      </c>
      <c r="L7329" s="912"/>
      <c r="M7329" s="912"/>
      <c r="N7329" s="912"/>
      <c r="O7329" s="892">
        <f t="shared" si="551"/>
        <v>0</v>
      </c>
      <c r="P7329" s="903">
        <f t="shared" si="544"/>
        <v>1</v>
      </c>
      <c r="Q7329" s="893">
        <f t="shared" si="545"/>
        <v>8</v>
      </c>
      <c r="R7329" s="894">
        <f t="shared" si="546"/>
        <v>0</v>
      </c>
    </row>
    <row r="7330" spans="1:18">
      <c r="A7330" s="905"/>
      <c r="B7330" s="906"/>
      <c r="C7330" s="907">
        <v>44</v>
      </c>
      <c r="D7330" s="907" t="s">
        <v>279</v>
      </c>
      <c r="E7330" s="925" t="s">
        <v>2681</v>
      </c>
      <c r="F7330" s="926" t="s">
        <v>45</v>
      </c>
      <c r="G7330" s="910"/>
      <c r="H7330" s="911">
        <v>0.3</v>
      </c>
      <c r="I7330" s="912">
        <f>VLOOKUP(E7330,[3]VLP!$B$7:$K$300,10,0)</f>
        <v>23000</v>
      </c>
      <c r="J7330" s="912">
        <f t="shared" si="550"/>
        <v>6900</v>
      </c>
      <c r="K7330" s="912" t="s">
        <v>274</v>
      </c>
      <c r="L7330" s="912"/>
      <c r="M7330" s="912"/>
      <c r="N7330" s="912"/>
      <c r="O7330" s="892">
        <f t="shared" si="551"/>
        <v>0</v>
      </c>
      <c r="P7330" s="903">
        <f t="shared" si="544"/>
        <v>1</v>
      </c>
      <c r="Q7330" s="893">
        <f t="shared" si="545"/>
        <v>7</v>
      </c>
      <c r="R7330" s="894">
        <f t="shared" si="546"/>
        <v>0</v>
      </c>
    </row>
    <row r="7331" spans="1:18">
      <c r="A7331" s="905"/>
      <c r="B7331" s="906"/>
      <c r="C7331" s="907">
        <v>66</v>
      </c>
      <c r="D7331" s="907" t="s">
        <v>279</v>
      </c>
      <c r="E7331" s="925" t="s">
        <v>2682</v>
      </c>
      <c r="F7331" s="926" t="s">
        <v>45</v>
      </c>
      <c r="G7331" s="910"/>
      <c r="H7331" s="911">
        <v>0.5</v>
      </c>
      <c r="I7331" s="912">
        <f>VLOOKUP(E7331,[3]VLP!$B$7:$K$300,10,0)</f>
        <v>5000</v>
      </c>
      <c r="J7331" s="912">
        <f t="shared" si="550"/>
        <v>2500</v>
      </c>
      <c r="K7331" s="912" t="s">
        <v>274</v>
      </c>
      <c r="L7331" s="912"/>
      <c r="M7331" s="912"/>
      <c r="N7331" s="912"/>
      <c r="O7331" s="892">
        <f t="shared" si="551"/>
        <v>0</v>
      </c>
      <c r="P7331" s="903">
        <f t="shared" si="544"/>
        <v>1</v>
      </c>
      <c r="Q7331" s="893">
        <f t="shared" si="545"/>
        <v>6</v>
      </c>
      <c r="R7331" s="894">
        <f t="shared" si="546"/>
        <v>0</v>
      </c>
    </row>
    <row r="7332" spans="1:18">
      <c r="A7332" s="905"/>
      <c r="B7332" s="906"/>
      <c r="C7332" s="907">
        <v>46</v>
      </c>
      <c r="D7332" s="907" t="s">
        <v>279</v>
      </c>
      <c r="E7332" s="925" t="s">
        <v>3179</v>
      </c>
      <c r="F7332" s="926" t="s">
        <v>45</v>
      </c>
      <c r="G7332" s="910"/>
      <c r="H7332" s="911">
        <v>2</v>
      </c>
      <c r="I7332" s="912">
        <f>VLOOKUP(E7332,[3]VLP!$B$7:$K$300,10,0)</f>
        <v>20500</v>
      </c>
      <c r="J7332" s="912">
        <f t="shared" si="550"/>
        <v>41000</v>
      </c>
      <c r="K7332" s="912" t="s">
        <v>274</v>
      </c>
      <c r="L7332" s="912"/>
      <c r="M7332" s="912"/>
      <c r="N7332" s="912"/>
      <c r="O7332" s="892">
        <f t="shared" si="551"/>
        <v>0</v>
      </c>
      <c r="P7332" s="903">
        <f t="shared" si="544"/>
        <v>1</v>
      </c>
      <c r="Q7332" s="893">
        <f t="shared" si="545"/>
        <v>5</v>
      </c>
      <c r="R7332" s="894">
        <f t="shared" si="546"/>
        <v>0</v>
      </c>
    </row>
    <row r="7333" spans="1:18">
      <c r="A7333" s="905"/>
      <c r="B7333" s="906"/>
      <c r="C7333" s="907">
        <v>58</v>
      </c>
      <c r="D7333" s="907" t="s">
        <v>279</v>
      </c>
      <c r="E7333" s="925" t="s">
        <v>3190</v>
      </c>
      <c r="F7333" s="926" t="s">
        <v>45</v>
      </c>
      <c r="G7333" s="910"/>
      <c r="H7333" s="911">
        <v>1</v>
      </c>
      <c r="I7333" s="912">
        <f>VLOOKUP(E7333,[3]VLP!$B$7:$K$300,10,0)</f>
        <v>27940</v>
      </c>
      <c r="J7333" s="912">
        <f t="shared" si="550"/>
        <v>27940</v>
      </c>
      <c r="K7333" s="912" t="s">
        <v>274</v>
      </c>
      <c r="L7333" s="912"/>
      <c r="M7333" s="912"/>
      <c r="N7333" s="912"/>
      <c r="O7333" s="892">
        <f t="shared" si="551"/>
        <v>0</v>
      </c>
      <c r="P7333" s="903">
        <f t="shared" si="544"/>
        <v>1</v>
      </c>
      <c r="Q7333" s="893">
        <f t="shared" si="545"/>
        <v>4</v>
      </c>
      <c r="R7333" s="894">
        <f t="shared" si="546"/>
        <v>0</v>
      </c>
    </row>
    <row r="7334" spans="1:18">
      <c r="A7334" s="905"/>
      <c r="B7334" s="906"/>
      <c r="C7334" s="907">
        <v>699</v>
      </c>
      <c r="D7334" s="907" t="s">
        <v>279</v>
      </c>
      <c r="E7334" s="925" t="s">
        <v>4006</v>
      </c>
      <c r="F7334" s="926" t="s">
        <v>4007</v>
      </c>
      <c r="G7334" s="910"/>
      <c r="H7334" s="911">
        <v>5</v>
      </c>
      <c r="I7334" s="912">
        <f>VLOOKUP(E7334,[3]VLP!$B$7:$K$300,10,0)</f>
        <v>5000</v>
      </c>
      <c r="J7334" s="912">
        <f t="shared" si="550"/>
        <v>25000</v>
      </c>
      <c r="K7334" s="912" t="s">
        <v>274</v>
      </c>
      <c r="L7334" s="912"/>
      <c r="M7334" s="912"/>
      <c r="N7334" s="912"/>
      <c r="O7334" s="892">
        <f t="shared" si="551"/>
        <v>0</v>
      </c>
      <c r="P7334" s="903">
        <f t="shared" si="544"/>
        <v>1</v>
      </c>
      <c r="Q7334" s="893">
        <f t="shared" si="545"/>
        <v>3</v>
      </c>
      <c r="R7334" s="894">
        <f t="shared" si="546"/>
        <v>0</v>
      </c>
    </row>
    <row r="7335" spans="1:18" s="904" customFormat="1">
      <c r="A7335" s="895"/>
      <c r="B7335" s="896"/>
      <c r="C7335" s="897"/>
      <c r="D7335" s="897"/>
      <c r="E7335" s="924" t="s">
        <v>276</v>
      </c>
      <c r="F7335" s="927"/>
      <c r="G7335" s="928"/>
      <c r="H7335" s="901"/>
      <c r="I7335" s="902"/>
      <c r="J7335" s="902"/>
      <c r="K7335" s="912" t="s">
        <v>274</v>
      </c>
      <c r="L7335" s="902"/>
      <c r="M7335" s="902"/>
      <c r="N7335" s="902"/>
      <c r="O7335" s="892">
        <f t="shared" si="551"/>
        <v>0</v>
      </c>
      <c r="P7335" s="903">
        <f t="shared" si="544"/>
        <v>1</v>
      </c>
      <c r="Q7335" s="893">
        <f t="shared" si="545"/>
        <v>2</v>
      </c>
      <c r="R7335" s="894">
        <f t="shared" si="546"/>
        <v>0</v>
      </c>
    </row>
    <row r="7336" spans="1:18">
      <c r="A7336" s="905"/>
      <c r="B7336" s="906"/>
      <c r="C7336" s="907">
        <v>745</v>
      </c>
      <c r="D7336" s="907" t="s">
        <v>12</v>
      </c>
      <c r="E7336" s="908" t="s">
        <v>5518</v>
      </c>
      <c r="F7336" s="909" t="s">
        <v>2674</v>
      </c>
      <c r="G7336" s="910"/>
      <c r="H7336" s="911">
        <v>7.89</v>
      </c>
      <c r="I7336" s="912"/>
      <c r="J7336" s="912"/>
      <c r="K7336" s="912">
        <f>VLOOKUP(E7336,[5]ĐMNC!$A$7:$F$67,4,0)</f>
        <v>240557</v>
      </c>
      <c r="L7336" s="912">
        <f>H7336*K7336</f>
        <v>1897994.73</v>
      </c>
      <c r="M7336" s="912"/>
      <c r="N7336" s="912"/>
      <c r="O7336" s="892">
        <f t="shared" si="551"/>
        <v>0</v>
      </c>
      <c r="P7336" s="903">
        <f t="shared" ref="P7336:P7399" si="552">IF(O7336=0,1,0)</f>
        <v>1</v>
      </c>
      <c r="Q7336" s="893">
        <f t="shared" ref="Q7336:Q7399" si="553">IF(P7336=0,0,P7336+Q7337)</f>
        <v>1</v>
      </c>
      <c r="R7336" s="894">
        <f t="shared" ref="R7336:R7399" si="554">IF(Q7336=0,Q7337,0)</f>
        <v>0</v>
      </c>
    </row>
    <row r="7337" spans="1:18" s="847" customFormat="1" ht="35.25" customHeight="1">
      <c r="A7337" s="905" t="s">
        <v>6101</v>
      </c>
      <c r="B7337" s="914" t="s">
        <v>6121</v>
      </c>
      <c r="C7337" s="915"/>
      <c r="D7337" s="915"/>
      <c r="E7337" s="916" t="s">
        <v>6122</v>
      </c>
      <c r="F7337" s="917" t="s">
        <v>6094</v>
      </c>
      <c r="G7337" s="944"/>
      <c r="H7337" s="919"/>
      <c r="I7337" s="920"/>
      <c r="J7337" s="891">
        <f>SUM(J7338:J7351)</f>
        <v>191890</v>
      </c>
      <c r="K7337" s="891" t="s">
        <v>274</v>
      </c>
      <c r="L7337" s="891">
        <f>SUM(L7338:L7351)</f>
        <v>2056762.35</v>
      </c>
      <c r="M7337" s="891"/>
      <c r="N7337" s="891">
        <f>SUM(N7338:N7351)</f>
        <v>0</v>
      </c>
      <c r="O7337" s="892">
        <f t="shared" si="551"/>
        <v>1</v>
      </c>
      <c r="P7337" s="903">
        <f t="shared" si="552"/>
        <v>0</v>
      </c>
      <c r="Q7337" s="893">
        <f t="shared" si="553"/>
        <v>0</v>
      </c>
      <c r="R7337" s="894">
        <f t="shared" si="554"/>
        <v>14</v>
      </c>
    </row>
    <row r="7338" spans="1:18" s="904" customFormat="1">
      <c r="A7338" s="895"/>
      <c r="B7338" s="896"/>
      <c r="C7338" s="897"/>
      <c r="D7338" s="897"/>
      <c r="E7338" s="898" t="s">
        <v>108</v>
      </c>
      <c r="F7338" s="899"/>
      <c r="G7338" s="928"/>
      <c r="H7338" s="901"/>
      <c r="I7338" s="902"/>
      <c r="J7338" s="902"/>
      <c r="K7338" s="912" t="s">
        <v>274</v>
      </c>
      <c r="L7338" s="902"/>
      <c r="M7338" s="902"/>
      <c r="N7338" s="902"/>
      <c r="O7338" s="892">
        <f t="shared" si="551"/>
        <v>0</v>
      </c>
      <c r="P7338" s="903">
        <f t="shared" si="552"/>
        <v>1</v>
      </c>
      <c r="Q7338" s="893">
        <f t="shared" si="553"/>
        <v>14</v>
      </c>
      <c r="R7338" s="894">
        <f t="shared" si="554"/>
        <v>0</v>
      </c>
    </row>
    <row r="7339" spans="1:18">
      <c r="A7339" s="905"/>
      <c r="B7339" s="906"/>
      <c r="C7339" s="907">
        <v>71</v>
      </c>
      <c r="D7339" s="907" t="s">
        <v>279</v>
      </c>
      <c r="E7339" s="925" t="s">
        <v>6123</v>
      </c>
      <c r="F7339" s="909" t="s">
        <v>2337</v>
      </c>
      <c r="G7339" s="910"/>
      <c r="H7339" s="911">
        <v>1</v>
      </c>
      <c r="I7339" s="912">
        <f>VLOOKUP(E7339,[3]VLP!$B$7:$K$300,10,0)</f>
        <v>33800</v>
      </c>
      <c r="J7339" s="912">
        <f t="shared" ref="J7339:J7349" si="555">I7339*H7339</f>
        <v>33800</v>
      </c>
      <c r="K7339" s="912" t="s">
        <v>274</v>
      </c>
      <c r="L7339" s="912"/>
      <c r="M7339" s="912"/>
      <c r="N7339" s="912"/>
      <c r="O7339" s="892">
        <f t="shared" si="551"/>
        <v>0</v>
      </c>
      <c r="P7339" s="903">
        <f t="shared" si="552"/>
        <v>1</v>
      </c>
      <c r="Q7339" s="893">
        <f t="shared" si="553"/>
        <v>13</v>
      </c>
      <c r="R7339" s="894">
        <f t="shared" si="554"/>
        <v>0</v>
      </c>
    </row>
    <row r="7340" spans="1:18">
      <c r="A7340" s="905"/>
      <c r="B7340" s="906"/>
      <c r="C7340" s="907">
        <v>24</v>
      </c>
      <c r="D7340" s="907" t="s">
        <v>279</v>
      </c>
      <c r="E7340" s="925" t="s">
        <v>2691</v>
      </c>
      <c r="F7340" s="926" t="s">
        <v>2690</v>
      </c>
      <c r="G7340" s="910"/>
      <c r="H7340" s="911">
        <v>2</v>
      </c>
      <c r="I7340" s="912">
        <f>VLOOKUP(E7340,[3]VLP!$B$7:$K$300,10,0)</f>
        <v>6000</v>
      </c>
      <c r="J7340" s="912">
        <f t="shared" si="555"/>
        <v>12000</v>
      </c>
      <c r="K7340" s="912" t="s">
        <v>274</v>
      </c>
      <c r="L7340" s="912"/>
      <c r="M7340" s="912"/>
      <c r="N7340" s="912"/>
      <c r="O7340" s="892">
        <f t="shared" si="551"/>
        <v>0</v>
      </c>
      <c r="P7340" s="903">
        <f t="shared" si="552"/>
        <v>1</v>
      </c>
      <c r="Q7340" s="893">
        <f t="shared" si="553"/>
        <v>12</v>
      </c>
      <c r="R7340" s="894">
        <f t="shared" si="554"/>
        <v>0</v>
      </c>
    </row>
    <row r="7341" spans="1:18">
      <c r="A7341" s="905"/>
      <c r="B7341" s="906"/>
      <c r="C7341" s="907">
        <v>122</v>
      </c>
      <c r="D7341" s="907" t="s">
        <v>279</v>
      </c>
      <c r="E7341" s="925" t="s">
        <v>3267</v>
      </c>
      <c r="F7341" s="909" t="s">
        <v>45</v>
      </c>
      <c r="G7341" s="910"/>
      <c r="H7341" s="911">
        <v>0.5</v>
      </c>
      <c r="I7341" s="912">
        <f>VLOOKUP(E7341,[3]VLP!$B$7:$K$300,10,0)</f>
        <v>30000</v>
      </c>
      <c r="J7341" s="912">
        <f t="shared" si="555"/>
        <v>15000</v>
      </c>
      <c r="K7341" s="912" t="s">
        <v>274</v>
      </c>
      <c r="L7341" s="912"/>
      <c r="M7341" s="912"/>
      <c r="N7341" s="912"/>
      <c r="O7341" s="892">
        <f t="shared" si="551"/>
        <v>0</v>
      </c>
      <c r="P7341" s="903">
        <f t="shared" si="552"/>
        <v>1</v>
      </c>
      <c r="Q7341" s="893">
        <f t="shared" si="553"/>
        <v>11</v>
      </c>
      <c r="R7341" s="894">
        <f t="shared" si="554"/>
        <v>0</v>
      </c>
    </row>
    <row r="7342" spans="1:18">
      <c r="A7342" s="905"/>
      <c r="B7342" s="906"/>
      <c r="C7342" s="907">
        <v>93</v>
      </c>
      <c r="D7342" s="907" t="s">
        <v>279</v>
      </c>
      <c r="E7342" s="925" t="s">
        <v>6111</v>
      </c>
      <c r="F7342" s="909" t="s">
        <v>45</v>
      </c>
      <c r="G7342" s="910"/>
      <c r="H7342" s="911">
        <v>0.05</v>
      </c>
      <c r="I7342" s="912">
        <f>VLOOKUP(E7342,[3]VLP!$B$7:$K$300,10,0)</f>
        <v>42000</v>
      </c>
      <c r="J7342" s="912">
        <f t="shared" si="555"/>
        <v>2100</v>
      </c>
      <c r="K7342" s="912" t="s">
        <v>274</v>
      </c>
      <c r="L7342" s="912"/>
      <c r="M7342" s="912"/>
      <c r="N7342" s="912"/>
      <c r="O7342" s="892">
        <f t="shared" si="551"/>
        <v>0</v>
      </c>
      <c r="P7342" s="903">
        <f t="shared" si="552"/>
        <v>1</v>
      </c>
      <c r="Q7342" s="893">
        <f t="shared" si="553"/>
        <v>10</v>
      </c>
      <c r="R7342" s="894">
        <f t="shared" si="554"/>
        <v>0</v>
      </c>
    </row>
    <row r="7343" spans="1:18">
      <c r="A7343" s="905"/>
      <c r="B7343" s="906"/>
      <c r="C7343" s="907">
        <v>89</v>
      </c>
      <c r="D7343" s="907" t="s">
        <v>279</v>
      </c>
      <c r="E7343" s="925" t="s">
        <v>5984</v>
      </c>
      <c r="F7343" s="909" t="s">
        <v>45</v>
      </c>
      <c r="G7343" s="910"/>
      <c r="H7343" s="911">
        <v>0.4</v>
      </c>
      <c r="I7343" s="912">
        <f>VLOOKUP(E7343,[3]VLP!$B$7:$K$300,10,0)</f>
        <v>1000</v>
      </c>
      <c r="J7343" s="912">
        <f t="shared" si="555"/>
        <v>400</v>
      </c>
      <c r="K7343" s="912" t="s">
        <v>274</v>
      </c>
      <c r="L7343" s="912"/>
      <c r="M7343" s="912"/>
      <c r="N7343" s="912"/>
      <c r="O7343" s="892">
        <f t="shared" si="551"/>
        <v>0</v>
      </c>
      <c r="P7343" s="903">
        <f t="shared" si="552"/>
        <v>1</v>
      </c>
      <c r="Q7343" s="893">
        <f t="shared" si="553"/>
        <v>9</v>
      </c>
      <c r="R7343" s="894">
        <f t="shared" si="554"/>
        <v>0</v>
      </c>
    </row>
    <row r="7344" spans="1:18">
      <c r="A7344" s="905"/>
      <c r="B7344" s="906"/>
      <c r="C7344" s="907">
        <v>47</v>
      </c>
      <c r="D7344" s="907" t="s">
        <v>279</v>
      </c>
      <c r="E7344" s="925" t="s">
        <v>3170</v>
      </c>
      <c r="F7344" s="909" t="s">
        <v>45</v>
      </c>
      <c r="G7344" s="910"/>
      <c r="H7344" s="911">
        <v>14</v>
      </c>
      <c r="I7344" s="912">
        <f>VLOOKUP(E7344,[3]VLP!$B$7:$K$300,10,0)</f>
        <v>1000</v>
      </c>
      <c r="J7344" s="912">
        <f t="shared" si="555"/>
        <v>14000</v>
      </c>
      <c r="K7344" s="912" t="s">
        <v>274</v>
      </c>
      <c r="L7344" s="912"/>
      <c r="M7344" s="912"/>
      <c r="N7344" s="912"/>
      <c r="O7344" s="892">
        <f t="shared" si="551"/>
        <v>0</v>
      </c>
      <c r="P7344" s="903">
        <f t="shared" si="552"/>
        <v>1</v>
      </c>
      <c r="Q7344" s="893">
        <f t="shared" si="553"/>
        <v>8</v>
      </c>
      <c r="R7344" s="894">
        <f t="shared" si="554"/>
        <v>0</v>
      </c>
    </row>
    <row r="7345" spans="1:18">
      <c r="A7345" s="905"/>
      <c r="B7345" s="906"/>
      <c r="C7345" s="907">
        <v>44</v>
      </c>
      <c r="D7345" s="907" t="s">
        <v>279</v>
      </c>
      <c r="E7345" s="925" t="s">
        <v>2681</v>
      </c>
      <c r="F7345" s="926" t="s">
        <v>45</v>
      </c>
      <c r="G7345" s="910"/>
      <c r="H7345" s="911">
        <v>0.3</v>
      </c>
      <c r="I7345" s="912">
        <f>VLOOKUP(E7345,[3]VLP!$B$7:$K$300,10,0)</f>
        <v>23000</v>
      </c>
      <c r="J7345" s="912">
        <f t="shared" si="555"/>
        <v>6900</v>
      </c>
      <c r="K7345" s="912" t="s">
        <v>274</v>
      </c>
      <c r="L7345" s="912"/>
      <c r="M7345" s="912"/>
      <c r="N7345" s="912"/>
      <c r="O7345" s="892">
        <f t="shared" si="551"/>
        <v>0</v>
      </c>
      <c r="P7345" s="903">
        <f t="shared" si="552"/>
        <v>1</v>
      </c>
      <c r="Q7345" s="893">
        <f t="shared" si="553"/>
        <v>7</v>
      </c>
      <c r="R7345" s="894">
        <f t="shared" si="554"/>
        <v>0</v>
      </c>
    </row>
    <row r="7346" spans="1:18">
      <c r="A7346" s="905"/>
      <c r="B7346" s="906"/>
      <c r="C7346" s="907">
        <v>66</v>
      </c>
      <c r="D7346" s="907" t="s">
        <v>279</v>
      </c>
      <c r="E7346" s="925" t="s">
        <v>2682</v>
      </c>
      <c r="F7346" s="926" t="s">
        <v>45</v>
      </c>
      <c r="G7346" s="910"/>
      <c r="H7346" s="911">
        <v>0.7</v>
      </c>
      <c r="I7346" s="912">
        <f>VLOOKUP(E7346,[3]VLP!$B$7:$K$300,10,0)</f>
        <v>5000</v>
      </c>
      <c r="J7346" s="912">
        <f t="shared" si="555"/>
        <v>3500</v>
      </c>
      <c r="K7346" s="912" t="s">
        <v>274</v>
      </c>
      <c r="L7346" s="912"/>
      <c r="M7346" s="912"/>
      <c r="N7346" s="912"/>
      <c r="O7346" s="892">
        <f t="shared" si="551"/>
        <v>0</v>
      </c>
      <c r="P7346" s="903">
        <f t="shared" si="552"/>
        <v>1</v>
      </c>
      <c r="Q7346" s="893">
        <f t="shared" si="553"/>
        <v>6</v>
      </c>
      <c r="R7346" s="894">
        <f t="shared" si="554"/>
        <v>0</v>
      </c>
    </row>
    <row r="7347" spans="1:18">
      <c r="A7347" s="905"/>
      <c r="B7347" s="906"/>
      <c r="C7347" s="907">
        <v>46</v>
      </c>
      <c r="D7347" s="907" t="s">
        <v>279</v>
      </c>
      <c r="E7347" s="925" t="s">
        <v>3179</v>
      </c>
      <c r="F7347" s="926" t="s">
        <v>45</v>
      </c>
      <c r="G7347" s="910"/>
      <c r="H7347" s="911">
        <v>2.5</v>
      </c>
      <c r="I7347" s="912">
        <f>VLOOKUP(E7347,[3]VLP!$B$7:$K$300,10,0)</f>
        <v>20500</v>
      </c>
      <c r="J7347" s="912">
        <f t="shared" si="555"/>
        <v>51250</v>
      </c>
      <c r="K7347" s="912" t="s">
        <v>274</v>
      </c>
      <c r="L7347" s="912"/>
      <c r="M7347" s="912"/>
      <c r="N7347" s="912"/>
      <c r="O7347" s="892">
        <f t="shared" si="551"/>
        <v>0</v>
      </c>
      <c r="P7347" s="903">
        <f t="shared" si="552"/>
        <v>1</v>
      </c>
      <c r="Q7347" s="893">
        <f t="shared" si="553"/>
        <v>5</v>
      </c>
      <c r="R7347" s="894">
        <f t="shared" si="554"/>
        <v>0</v>
      </c>
    </row>
    <row r="7348" spans="1:18">
      <c r="A7348" s="905"/>
      <c r="B7348" s="906"/>
      <c r="C7348" s="907">
        <v>58</v>
      </c>
      <c r="D7348" s="907" t="s">
        <v>279</v>
      </c>
      <c r="E7348" s="925" t="s">
        <v>3190</v>
      </c>
      <c r="F7348" s="926" t="s">
        <v>45</v>
      </c>
      <c r="G7348" s="910"/>
      <c r="H7348" s="911">
        <v>1</v>
      </c>
      <c r="I7348" s="912">
        <f>VLOOKUP(E7348,[3]VLP!$B$7:$K$300,10,0)</f>
        <v>27940</v>
      </c>
      <c r="J7348" s="912">
        <f t="shared" si="555"/>
        <v>27940</v>
      </c>
      <c r="K7348" s="912" t="s">
        <v>274</v>
      </c>
      <c r="L7348" s="912"/>
      <c r="M7348" s="912"/>
      <c r="N7348" s="912"/>
      <c r="O7348" s="892">
        <f t="shared" si="551"/>
        <v>0</v>
      </c>
      <c r="P7348" s="903">
        <f t="shared" si="552"/>
        <v>1</v>
      </c>
      <c r="Q7348" s="893">
        <f t="shared" si="553"/>
        <v>4</v>
      </c>
      <c r="R7348" s="894">
        <f t="shared" si="554"/>
        <v>0</v>
      </c>
    </row>
    <row r="7349" spans="1:18">
      <c r="A7349" s="905"/>
      <c r="B7349" s="906"/>
      <c r="C7349" s="907">
        <v>699</v>
      </c>
      <c r="D7349" s="907" t="s">
        <v>279</v>
      </c>
      <c r="E7349" s="925" t="s">
        <v>4006</v>
      </c>
      <c r="F7349" s="926" t="s">
        <v>4007</v>
      </c>
      <c r="G7349" s="910"/>
      <c r="H7349" s="911">
        <v>5</v>
      </c>
      <c r="I7349" s="912">
        <f>VLOOKUP(E7349,[3]VLP!$B$7:$K$300,10,0)</f>
        <v>5000</v>
      </c>
      <c r="J7349" s="912">
        <f t="shared" si="555"/>
        <v>25000</v>
      </c>
      <c r="K7349" s="912" t="s">
        <v>274</v>
      </c>
      <c r="L7349" s="912"/>
      <c r="M7349" s="912"/>
      <c r="N7349" s="912"/>
      <c r="O7349" s="892">
        <f t="shared" si="551"/>
        <v>0</v>
      </c>
      <c r="P7349" s="903">
        <f t="shared" si="552"/>
        <v>1</v>
      </c>
      <c r="Q7349" s="893">
        <f t="shared" si="553"/>
        <v>3</v>
      </c>
      <c r="R7349" s="894">
        <f t="shared" si="554"/>
        <v>0</v>
      </c>
    </row>
    <row r="7350" spans="1:18" s="904" customFormat="1">
      <c r="A7350" s="895"/>
      <c r="B7350" s="896"/>
      <c r="C7350" s="897"/>
      <c r="D7350" s="897"/>
      <c r="E7350" s="924" t="s">
        <v>276</v>
      </c>
      <c r="F7350" s="927"/>
      <c r="G7350" s="928"/>
      <c r="H7350" s="901"/>
      <c r="I7350" s="902"/>
      <c r="J7350" s="902"/>
      <c r="K7350" s="912" t="s">
        <v>274</v>
      </c>
      <c r="L7350" s="902"/>
      <c r="M7350" s="902"/>
      <c r="N7350" s="902"/>
      <c r="O7350" s="892">
        <f t="shared" si="551"/>
        <v>0</v>
      </c>
      <c r="P7350" s="903">
        <f t="shared" si="552"/>
        <v>1</v>
      </c>
      <c r="Q7350" s="893">
        <f t="shared" si="553"/>
        <v>2</v>
      </c>
      <c r="R7350" s="894">
        <f t="shared" si="554"/>
        <v>0</v>
      </c>
    </row>
    <row r="7351" spans="1:18">
      <c r="A7351" s="905"/>
      <c r="B7351" s="906"/>
      <c r="C7351" s="907">
        <v>745</v>
      </c>
      <c r="D7351" s="907" t="s">
        <v>12</v>
      </c>
      <c r="E7351" s="908" t="s">
        <v>5518</v>
      </c>
      <c r="F7351" s="909" t="s">
        <v>2674</v>
      </c>
      <c r="G7351" s="910"/>
      <c r="H7351" s="911">
        <v>8.5500000000000007</v>
      </c>
      <c r="I7351" s="912"/>
      <c r="J7351" s="912"/>
      <c r="K7351" s="912">
        <f>VLOOKUP(E7351,[5]ĐMNC!$A$7:$F$67,4,0)</f>
        <v>240557</v>
      </c>
      <c r="L7351" s="912">
        <f>H7351*K7351</f>
        <v>2056762.35</v>
      </c>
      <c r="M7351" s="912"/>
      <c r="N7351" s="912"/>
      <c r="O7351" s="892">
        <f t="shared" si="551"/>
        <v>0</v>
      </c>
      <c r="P7351" s="903">
        <f t="shared" si="552"/>
        <v>1</v>
      </c>
      <c r="Q7351" s="893">
        <f t="shared" si="553"/>
        <v>1</v>
      </c>
      <c r="R7351" s="894">
        <f t="shared" si="554"/>
        <v>0</v>
      </c>
    </row>
    <row r="7352" spans="1:18" s="847" customFormat="1" ht="35.25" customHeight="1">
      <c r="A7352" s="905"/>
      <c r="B7352" s="914" t="s">
        <v>6124</v>
      </c>
      <c r="C7352" s="915"/>
      <c r="D7352" s="915"/>
      <c r="E7352" s="916" t="s">
        <v>6125</v>
      </c>
      <c r="F7352" s="917" t="s">
        <v>6094</v>
      </c>
      <c r="G7352" s="944"/>
      <c r="H7352" s="919"/>
      <c r="I7352" s="920"/>
      <c r="J7352" s="891">
        <f>SUM(J7353:J7366)</f>
        <v>203140</v>
      </c>
      <c r="K7352" s="891" t="s">
        <v>274</v>
      </c>
      <c r="L7352" s="891">
        <f>SUM(L7353:L7366)</f>
        <v>2239585.67</v>
      </c>
      <c r="M7352" s="891"/>
      <c r="N7352" s="891">
        <f>SUM(N7353:N7366)</f>
        <v>0</v>
      </c>
      <c r="O7352" s="892">
        <f t="shared" si="551"/>
        <v>1</v>
      </c>
      <c r="P7352" s="903">
        <f t="shared" si="552"/>
        <v>0</v>
      </c>
      <c r="Q7352" s="893">
        <f t="shared" si="553"/>
        <v>0</v>
      </c>
      <c r="R7352" s="894">
        <f t="shared" si="554"/>
        <v>14</v>
      </c>
    </row>
    <row r="7353" spans="1:18" s="904" customFormat="1">
      <c r="A7353" s="895"/>
      <c r="B7353" s="896"/>
      <c r="C7353" s="897"/>
      <c r="D7353" s="897"/>
      <c r="E7353" s="898" t="s">
        <v>108</v>
      </c>
      <c r="F7353" s="899"/>
      <c r="G7353" s="928"/>
      <c r="H7353" s="901"/>
      <c r="I7353" s="902"/>
      <c r="J7353" s="902"/>
      <c r="K7353" s="912" t="s">
        <v>274</v>
      </c>
      <c r="L7353" s="902"/>
      <c r="M7353" s="902"/>
      <c r="N7353" s="902"/>
      <c r="O7353" s="892">
        <f t="shared" si="551"/>
        <v>0</v>
      </c>
      <c r="P7353" s="903">
        <f t="shared" si="552"/>
        <v>1</v>
      </c>
      <c r="Q7353" s="893">
        <f t="shared" si="553"/>
        <v>14</v>
      </c>
      <c r="R7353" s="894">
        <f t="shared" si="554"/>
        <v>0</v>
      </c>
    </row>
    <row r="7354" spans="1:18">
      <c r="A7354" s="905"/>
      <c r="B7354" s="906"/>
      <c r="C7354" s="907">
        <v>72</v>
      </c>
      <c r="D7354" s="907" t="s">
        <v>279</v>
      </c>
      <c r="E7354" s="925" t="s">
        <v>6126</v>
      </c>
      <c r="F7354" s="909" t="s">
        <v>2337</v>
      </c>
      <c r="G7354" s="910"/>
      <c r="H7354" s="911">
        <v>1</v>
      </c>
      <c r="I7354" s="912">
        <f>VLOOKUP(E7354,[3]VLP!$B$7:$K$300,10,0)</f>
        <v>33800</v>
      </c>
      <c r="J7354" s="912">
        <f t="shared" ref="J7354:J7364" si="556">I7354*H7354</f>
        <v>33800</v>
      </c>
      <c r="K7354" s="912" t="s">
        <v>274</v>
      </c>
      <c r="L7354" s="912"/>
      <c r="M7354" s="912"/>
      <c r="N7354" s="912"/>
      <c r="O7354" s="892">
        <f t="shared" si="551"/>
        <v>0</v>
      </c>
      <c r="P7354" s="903">
        <f t="shared" si="552"/>
        <v>1</v>
      </c>
      <c r="Q7354" s="893">
        <f t="shared" si="553"/>
        <v>13</v>
      </c>
      <c r="R7354" s="894">
        <f t="shared" si="554"/>
        <v>0</v>
      </c>
    </row>
    <row r="7355" spans="1:18">
      <c r="A7355" s="905"/>
      <c r="B7355" s="906"/>
      <c r="C7355" s="907">
        <v>24</v>
      </c>
      <c r="D7355" s="907" t="s">
        <v>279</v>
      </c>
      <c r="E7355" s="925" t="s">
        <v>2691</v>
      </c>
      <c r="F7355" s="926" t="s">
        <v>2690</v>
      </c>
      <c r="G7355" s="910"/>
      <c r="H7355" s="911">
        <v>2</v>
      </c>
      <c r="I7355" s="912">
        <f>VLOOKUP(E7355,[3]VLP!$B$7:$K$300,10,0)</f>
        <v>6000</v>
      </c>
      <c r="J7355" s="912">
        <f t="shared" si="556"/>
        <v>12000</v>
      </c>
      <c r="K7355" s="912" t="s">
        <v>274</v>
      </c>
      <c r="L7355" s="912"/>
      <c r="M7355" s="912"/>
      <c r="N7355" s="912"/>
      <c r="O7355" s="892">
        <f t="shared" si="551"/>
        <v>0</v>
      </c>
      <c r="P7355" s="903">
        <f t="shared" si="552"/>
        <v>1</v>
      </c>
      <c r="Q7355" s="893">
        <f t="shared" si="553"/>
        <v>12</v>
      </c>
      <c r="R7355" s="894">
        <f t="shared" si="554"/>
        <v>0</v>
      </c>
    </row>
    <row r="7356" spans="1:18">
      <c r="A7356" s="905"/>
      <c r="B7356" s="906"/>
      <c r="C7356" s="907">
        <v>122</v>
      </c>
      <c r="D7356" s="907" t="s">
        <v>279</v>
      </c>
      <c r="E7356" s="925" t="s">
        <v>3267</v>
      </c>
      <c r="F7356" s="909" t="s">
        <v>45</v>
      </c>
      <c r="G7356" s="910"/>
      <c r="H7356" s="911">
        <v>0.5</v>
      </c>
      <c r="I7356" s="912">
        <f>VLOOKUP(E7356,[3]VLP!$B$7:$K$300,10,0)</f>
        <v>30000</v>
      </c>
      <c r="J7356" s="912">
        <f t="shared" si="556"/>
        <v>15000</v>
      </c>
      <c r="K7356" s="912" t="s">
        <v>274</v>
      </c>
      <c r="L7356" s="912"/>
      <c r="M7356" s="912"/>
      <c r="N7356" s="912"/>
      <c r="O7356" s="892">
        <f t="shared" si="551"/>
        <v>0</v>
      </c>
      <c r="P7356" s="903">
        <f t="shared" si="552"/>
        <v>1</v>
      </c>
      <c r="Q7356" s="893">
        <f t="shared" si="553"/>
        <v>11</v>
      </c>
      <c r="R7356" s="894">
        <f t="shared" si="554"/>
        <v>0</v>
      </c>
    </row>
    <row r="7357" spans="1:18">
      <c r="A7357" s="905"/>
      <c r="B7357" s="906"/>
      <c r="C7357" s="907">
        <v>93</v>
      </c>
      <c r="D7357" s="907" t="s">
        <v>279</v>
      </c>
      <c r="E7357" s="925" t="s">
        <v>6111</v>
      </c>
      <c r="F7357" s="909" t="s">
        <v>45</v>
      </c>
      <c r="G7357" s="910"/>
      <c r="H7357" s="911">
        <v>0.05</v>
      </c>
      <c r="I7357" s="912">
        <f>VLOOKUP(E7357,[3]VLP!$B$7:$K$300,10,0)</f>
        <v>42000</v>
      </c>
      <c r="J7357" s="912">
        <f t="shared" si="556"/>
        <v>2100</v>
      </c>
      <c r="K7357" s="912" t="s">
        <v>274</v>
      </c>
      <c r="L7357" s="912"/>
      <c r="M7357" s="912"/>
      <c r="N7357" s="912"/>
      <c r="O7357" s="892">
        <f t="shared" si="551"/>
        <v>0</v>
      </c>
      <c r="P7357" s="903">
        <f t="shared" si="552"/>
        <v>1</v>
      </c>
      <c r="Q7357" s="893">
        <f t="shared" si="553"/>
        <v>10</v>
      </c>
      <c r="R7357" s="894">
        <f t="shared" si="554"/>
        <v>0</v>
      </c>
    </row>
    <row r="7358" spans="1:18">
      <c r="A7358" s="905"/>
      <c r="B7358" s="906"/>
      <c r="C7358" s="907">
        <v>89</v>
      </c>
      <c r="D7358" s="907" t="s">
        <v>279</v>
      </c>
      <c r="E7358" s="925" t="s">
        <v>5984</v>
      </c>
      <c r="F7358" s="909" t="s">
        <v>45</v>
      </c>
      <c r="G7358" s="910"/>
      <c r="H7358" s="911">
        <v>0.4</v>
      </c>
      <c r="I7358" s="912">
        <f>VLOOKUP(E7358,[3]VLP!$B$7:$K$300,10,0)</f>
        <v>1000</v>
      </c>
      <c r="J7358" s="912">
        <f t="shared" si="556"/>
        <v>400</v>
      </c>
      <c r="K7358" s="912" t="s">
        <v>274</v>
      </c>
      <c r="L7358" s="912"/>
      <c r="M7358" s="912"/>
      <c r="N7358" s="912"/>
      <c r="O7358" s="892">
        <f t="shared" si="551"/>
        <v>0</v>
      </c>
      <c r="P7358" s="903">
        <f t="shared" si="552"/>
        <v>1</v>
      </c>
      <c r="Q7358" s="893">
        <f t="shared" si="553"/>
        <v>9</v>
      </c>
      <c r="R7358" s="894">
        <f t="shared" si="554"/>
        <v>0</v>
      </c>
    </row>
    <row r="7359" spans="1:18">
      <c r="A7359" s="905"/>
      <c r="B7359" s="906"/>
      <c r="C7359" s="907">
        <v>47</v>
      </c>
      <c r="D7359" s="907" t="s">
        <v>279</v>
      </c>
      <c r="E7359" s="925" t="s">
        <v>3170</v>
      </c>
      <c r="F7359" s="909" t="s">
        <v>45</v>
      </c>
      <c r="G7359" s="910"/>
      <c r="H7359" s="911">
        <v>15</v>
      </c>
      <c r="I7359" s="912">
        <f>VLOOKUP(E7359,[3]VLP!$B$7:$K$300,10,0)</f>
        <v>1000</v>
      </c>
      <c r="J7359" s="912">
        <f t="shared" si="556"/>
        <v>15000</v>
      </c>
      <c r="K7359" s="912" t="s">
        <v>274</v>
      </c>
      <c r="L7359" s="912"/>
      <c r="M7359" s="912"/>
      <c r="N7359" s="912"/>
      <c r="O7359" s="892">
        <f t="shared" si="551"/>
        <v>0</v>
      </c>
      <c r="P7359" s="903">
        <f t="shared" si="552"/>
        <v>1</v>
      </c>
      <c r="Q7359" s="893">
        <f t="shared" si="553"/>
        <v>8</v>
      </c>
      <c r="R7359" s="894">
        <f t="shared" si="554"/>
        <v>0</v>
      </c>
    </row>
    <row r="7360" spans="1:18">
      <c r="A7360" s="905"/>
      <c r="B7360" s="906"/>
      <c r="C7360" s="907">
        <v>44</v>
      </c>
      <c r="D7360" s="907" t="s">
        <v>279</v>
      </c>
      <c r="E7360" s="925" t="s">
        <v>2681</v>
      </c>
      <c r="F7360" s="926" t="s">
        <v>45</v>
      </c>
      <c r="G7360" s="910"/>
      <c r="H7360" s="911">
        <v>0.3</v>
      </c>
      <c r="I7360" s="912">
        <f>VLOOKUP(E7360,[3]VLP!$B$7:$K$300,10,0)</f>
        <v>23000</v>
      </c>
      <c r="J7360" s="912">
        <f t="shared" si="556"/>
        <v>6900</v>
      </c>
      <c r="K7360" s="912" t="s">
        <v>274</v>
      </c>
      <c r="L7360" s="912"/>
      <c r="M7360" s="912"/>
      <c r="N7360" s="912"/>
      <c r="O7360" s="892">
        <f t="shared" si="551"/>
        <v>0</v>
      </c>
      <c r="P7360" s="903">
        <f t="shared" si="552"/>
        <v>1</v>
      </c>
      <c r="Q7360" s="893">
        <f t="shared" si="553"/>
        <v>7</v>
      </c>
      <c r="R7360" s="894">
        <f t="shared" si="554"/>
        <v>0</v>
      </c>
    </row>
    <row r="7361" spans="1:18">
      <c r="A7361" s="905"/>
      <c r="B7361" s="906"/>
      <c r="C7361" s="907">
        <v>66</v>
      </c>
      <c r="D7361" s="907" t="s">
        <v>279</v>
      </c>
      <c r="E7361" s="925" t="s">
        <v>2682</v>
      </c>
      <c r="F7361" s="926" t="s">
        <v>45</v>
      </c>
      <c r="G7361" s="910"/>
      <c r="H7361" s="911">
        <v>0.7</v>
      </c>
      <c r="I7361" s="912">
        <f>VLOOKUP(E7361,[3]VLP!$B$7:$K$300,10,0)</f>
        <v>5000</v>
      </c>
      <c r="J7361" s="912">
        <f t="shared" si="556"/>
        <v>3500</v>
      </c>
      <c r="K7361" s="912" t="s">
        <v>274</v>
      </c>
      <c r="L7361" s="912"/>
      <c r="M7361" s="912"/>
      <c r="N7361" s="912"/>
      <c r="O7361" s="892">
        <f t="shared" si="551"/>
        <v>0</v>
      </c>
      <c r="P7361" s="903">
        <f t="shared" si="552"/>
        <v>1</v>
      </c>
      <c r="Q7361" s="893">
        <f t="shared" si="553"/>
        <v>6</v>
      </c>
      <c r="R7361" s="894">
        <f t="shared" si="554"/>
        <v>0</v>
      </c>
    </row>
    <row r="7362" spans="1:18">
      <c r="A7362" s="905"/>
      <c r="B7362" s="906"/>
      <c r="C7362" s="907">
        <v>46</v>
      </c>
      <c r="D7362" s="907" t="s">
        <v>279</v>
      </c>
      <c r="E7362" s="925" t="s">
        <v>3179</v>
      </c>
      <c r="F7362" s="926" t="s">
        <v>45</v>
      </c>
      <c r="G7362" s="910"/>
      <c r="H7362" s="911">
        <v>3</v>
      </c>
      <c r="I7362" s="912">
        <f>VLOOKUP(E7362,[3]VLP!$B$7:$K$300,10,0)</f>
        <v>20500</v>
      </c>
      <c r="J7362" s="912">
        <f t="shared" si="556"/>
        <v>61500</v>
      </c>
      <c r="K7362" s="912" t="s">
        <v>274</v>
      </c>
      <c r="L7362" s="912"/>
      <c r="M7362" s="912"/>
      <c r="N7362" s="912"/>
      <c r="O7362" s="892">
        <f t="shared" si="551"/>
        <v>0</v>
      </c>
      <c r="P7362" s="903">
        <f t="shared" si="552"/>
        <v>1</v>
      </c>
      <c r="Q7362" s="893">
        <f t="shared" si="553"/>
        <v>5</v>
      </c>
      <c r="R7362" s="894">
        <f t="shared" si="554"/>
        <v>0</v>
      </c>
    </row>
    <row r="7363" spans="1:18">
      <c r="A7363" s="905"/>
      <c r="B7363" s="906"/>
      <c r="C7363" s="907">
        <v>58</v>
      </c>
      <c r="D7363" s="907" t="s">
        <v>279</v>
      </c>
      <c r="E7363" s="925" t="s">
        <v>3190</v>
      </c>
      <c r="F7363" s="926" t="s">
        <v>45</v>
      </c>
      <c r="G7363" s="910"/>
      <c r="H7363" s="911">
        <v>1</v>
      </c>
      <c r="I7363" s="912">
        <f>VLOOKUP(E7363,[3]VLP!$B$7:$K$300,10,0)</f>
        <v>27940</v>
      </c>
      <c r="J7363" s="912">
        <f t="shared" si="556"/>
        <v>27940</v>
      </c>
      <c r="K7363" s="912" t="s">
        <v>274</v>
      </c>
      <c r="L7363" s="912"/>
      <c r="M7363" s="912"/>
      <c r="N7363" s="912"/>
      <c r="O7363" s="892">
        <f t="shared" si="551"/>
        <v>0</v>
      </c>
      <c r="P7363" s="903">
        <f t="shared" si="552"/>
        <v>1</v>
      </c>
      <c r="Q7363" s="893">
        <f t="shared" si="553"/>
        <v>4</v>
      </c>
      <c r="R7363" s="894">
        <f t="shared" si="554"/>
        <v>0</v>
      </c>
    </row>
    <row r="7364" spans="1:18">
      <c r="A7364" s="905"/>
      <c r="B7364" s="906"/>
      <c r="C7364" s="907">
        <v>699</v>
      </c>
      <c r="D7364" s="907" t="s">
        <v>279</v>
      </c>
      <c r="E7364" s="925" t="s">
        <v>4006</v>
      </c>
      <c r="F7364" s="926" t="s">
        <v>4007</v>
      </c>
      <c r="G7364" s="910"/>
      <c r="H7364" s="911">
        <v>5</v>
      </c>
      <c r="I7364" s="912">
        <f>VLOOKUP(E7364,[3]VLP!$B$7:$K$300,10,0)</f>
        <v>5000</v>
      </c>
      <c r="J7364" s="912">
        <f t="shared" si="556"/>
        <v>25000</v>
      </c>
      <c r="K7364" s="912" t="s">
        <v>274</v>
      </c>
      <c r="L7364" s="912"/>
      <c r="M7364" s="912"/>
      <c r="N7364" s="912"/>
      <c r="O7364" s="892">
        <f t="shared" si="551"/>
        <v>0</v>
      </c>
      <c r="P7364" s="903">
        <f t="shared" si="552"/>
        <v>1</v>
      </c>
      <c r="Q7364" s="893">
        <f t="shared" si="553"/>
        <v>3</v>
      </c>
      <c r="R7364" s="894">
        <f t="shared" si="554"/>
        <v>0</v>
      </c>
    </row>
    <row r="7365" spans="1:18" s="904" customFormat="1">
      <c r="A7365" s="895"/>
      <c r="B7365" s="896"/>
      <c r="C7365" s="897"/>
      <c r="D7365" s="897"/>
      <c r="E7365" s="924" t="s">
        <v>276</v>
      </c>
      <c r="F7365" s="927"/>
      <c r="G7365" s="928"/>
      <c r="H7365" s="901"/>
      <c r="I7365" s="902"/>
      <c r="J7365" s="902"/>
      <c r="K7365" s="912" t="s">
        <v>274</v>
      </c>
      <c r="L7365" s="902"/>
      <c r="M7365" s="902"/>
      <c r="N7365" s="902"/>
      <c r="O7365" s="892">
        <f t="shared" si="551"/>
        <v>0</v>
      </c>
      <c r="P7365" s="903">
        <f t="shared" si="552"/>
        <v>1</v>
      </c>
      <c r="Q7365" s="893">
        <f t="shared" si="553"/>
        <v>2</v>
      </c>
      <c r="R7365" s="894">
        <f t="shared" si="554"/>
        <v>0</v>
      </c>
    </row>
    <row r="7366" spans="1:18">
      <c r="A7366" s="905"/>
      <c r="B7366" s="906"/>
      <c r="C7366" s="907">
        <v>745</v>
      </c>
      <c r="D7366" s="907" t="s">
        <v>12</v>
      </c>
      <c r="E7366" s="908" t="s">
        <v>5518</v>
      </c>
      <c r="F7366" s="909" t="s">
        <v>2674</v>
      </c>
      <c r="G7366" s="910"/>
      <c r="H7366" s="911">
        <v>9.31</v>
      </c>
      <c r="I7366" s="912"/>
      <c r="J7366" s="912"/>
      <c r="K7366" s="912">
        <f>VLOOKUP(E7366,[5]ĐMNC!$A$7:$F$67,4,0)</f>
        <v>240557</v>
      </c>
      <c r="L7366" s="912">
        <f>H7366*K7366</f>
        <v>2239585.67</v>
      </c>
      <c r="M7366" s="912"/>
      <c r="N7366" s="912"/>
      <c r="O7366" s="892">
        <f t="shared" si="551"/>
        <v>0</v>
      </c>
      <c r="P7366" s="903">
        <f t="shared" si="552"/>
        <v>1</v>
      </c>
      <c r="Q7366" s="893">
        <f t="shared" si="553"/>
        <v>1</v>
      </c>
      <c r="R7366" s="894">
        <f t="shared" si="554"/>
        <v>0</v>
      </c>
    </row>
    <row r="7367" spans="1:18" s="847" customFormat="1" ht="35.25" customHeight="1">
      <c r="A7367" s="905"/>
      <c r="B7367" s="914" t="s">
        <v>6127</v>
      </c>
      <c r="C7367" s="915"/>
      <c r="D7367" s="915"/>
      <c r="E7367" s="916" t="s">
        <v>6128</v>
      </c>
      <c r="F7367" s="917" t="s">
        <v>6094</v>
      </c>
      <c r="G7367" s="944"/>
      <c r="H7367" s="919"/>
      <c r="I7367" s="920"/>
      <c r="J7367" s="891">
        <f>SUM(J7368:J7381)</f>
        <v>232008</v>
      </c>
      <c r="K7367" s="891" t="s">
        <v>274</v>
      </c>
      <c r="L7367" s="891">
        <f>SUM(L7368:L7381)</f>
        <v>2687021.69</v>
      </c>
      <c r="M7367" s="891"/>
      <c r="N7367" s="891">
        <f>SUM(N7368:N7381)</f>
        <v>0</v>
      </c>
      <c r="O7367" s="892">
        <f t="shared" si="551"/>
        <v>1</v>
      </c>
      <c r="P7367" s="903">
        <f t="shared" si="552"/>
        <v>0</v>
      </c>
      <c r="Q7367" s="893">
        <f t="shared" si="553"/>
        <v>0</v>
      </c>
      <c r="R7367" s="894">
        <f t="shared" si="554"/>
        <v>14</v>
      </c>
    </row>
    <row r="7368" spans="1:18" s="904" customFormat="1">
      <c r="A7368" s="895"/>
      <c r="B7368" s="896"/>
      <c r="C7368" s="897"/>
      <c r="D7368" s="897"/>
      <c r="E7368" s="898" t="s">
        <v>108</v>
      </c>
      <c r="F7368" s="899"/>
      <c r="G7368" s="928"/>
      <c r="H7368" s="901"/>
      <c r="I7368" s="902"/>
      <c r="J7368" s="902"/>
      <c r="K7368" s="912" t="s">
        <v>274</v>
      </c>
      <c r="L7368" s="902"/>
      <c r="M7368" s="902"/>
      <c r="N7368" s="902"/>
      <c r="O7368" s="892">
        <f t="shared" si="551"/>
        <v>0</v>
      </c>
      <c r="P7368" s="903">
        <f t="shared" si="552"/>
        <v>1</v>
      </c>
      <c r="Q7368" s="893">
        <f t="shared" si="553"/>
        <v>14</v>
      </c>
      <c r="R7368" s="894">
        <f t="shared" si="554"/>
        <v>0</v>
      </c>
    </row>
    <row r="7369" spans="1:18">
      <c r="A7369" s="905"/>
      <c r="B7369" s="906"/>
      <c r="C7369" s="907">
        <v>73</v>
      </c>
      <c r="D7369" s="907" t="s">
        <v>279</v>
      </c>
      <c r="E7369" s="925" t="s">
        <v>6129</v>
      </c>
      <c r="F7369" s="909" t="s">
        <v>2337</v>
      </c>
      <c r="G7369" s="910"/>
      <c r="H7369" s="911">
        <v>1</v>
      </c>
      <c r="I7369" s="912">
        <f>VLOOKUP(E7369,[3]VLP!$B$7:$K$300,10,0)</f>
        <v>33800</v>
      </c>
      <c r="J7369" s="912">
        <f t="shared" ref="J7369:J7379" si="557">I7369*H7369</f>
        <v>33800</v>
      </c>
      <c r="K7369" s="912" t="s">
        <v>274</v>
      </c>
      <c r="L7369" s="912"/>
      <c r="M7369" s="912"/>
      <c r="N7369" s="912"/>
      <c r="O7369" s="892">
        <f t="shared" si="551"/>
        <v>0</v>
      </c>
      <c r="P7369" s="903">
        <f t="shared" si="552"/>
        <v>1</v>
      </c>
      <c r="Q7369" s="893">
        <f t="shared" si="553"/>
        <v>13</v>
      </c>
      <c r="R7369" s="894">
        <f t="shared" si="554"/>
        <v>0</v>
      </c>
    </row>
    <row r="7370" spans="1:18">
      <c r="A7370" s="905"/>
      <c r="B7370" s="906"/>
      <c r="C7370" s="907">
        <v>24</v>
      </c>
      <c r="D7370" s="907" t="s">
        <v>279</v>
      </c>
      <c r="E7370" s="925" t="s">
        <v>2691</v>
      </c>
      <c r="F7370" s="926" t="s">
        <v>2690</v>
      </c>
      <c r="G7370" s="910"/>
      <c r="H7370" s="911">
        <v>2.4</v>
      </c>
      <c r="I7370" s="912">
        <f>VLOOKUP(E7370,[3]VLP!$B$7:$K$300,10,0)</f>
        <v>6000</v>
      </c>
      <c r="J7370" s="912">
        <f t="shared" si="557"/>
        <v>14400</v>
      </c>
      <c r="K7370" s="912" t="s">
        <v>274</v>
      </c>
      <c r="L7370" s="912"/>
      <c r="M7370" s="912"/>
      <c r="N7370" s="912"/>
      <c r="O7370" s="892">
        <f t="shared" si="551"/>
        <v>0</v>
      </c>
      <c r="P7370" s="903">
        <f t="shared" si="552"/>
        <v>1</v>
      </c>
      <c r="Q7370" s="893">
        <f t="shared" si="553"/>
        <v>12</v>
      </c>
      <c r="R7370" s="894">
        <f t="shared" si="554"/>
        <v>0</v>
      </c>
    </row>
    <row r="7371" spans="1:18">
      <c r="A7371" s="905"/>
      <c r="B7371" s="906"/>
      <c r="C7371" s="907">
        <v>122</v>
      </c>
      <c r="D7371" s="907" t="s">
        <v>279</v>
      </c>
      <c r="E7371" s="925" t="s">
        <v>3267</v>
      </c>
      <c r="F7371" s="909" t="s">
        <v>45</v>
      </c>
      <c r="G7371" s="910"/>
      <c r="H7371" s="911">
        <v>0.6</v>
      </c>
      <c r="I7371" s="912">
        <f>VLOOKUP(E7371,[3]VLP!$B$7:$K$300,10,0)</f>
        <v>30000</v>
      </c>
      <c r="J7371" s="912">
        <f t="shared" si="557"/>
        <v>18000</v>
      </c>
      <c r="K7371" s="912" t="s">
        <v>274</v>
      </c>
      <c r="L7371" s="912"/>
      <c r="M7371" s="912"/>
      <c r="N7371" s="912"/>
      <c r="O7371" s="892">
        <f t="shared" si="551"/>
        <v>0</v>
      </c>
      <c r="P7371" s="903">
        <f t="shared" si="552"/>
        <v>1</v>
      </c>
      <c r="Q7371" s="893">
        <f t="shared" si="553"/>
        <v>11</v>
      </c>
      <c r="R7371" s="894">
        <f t="shared" si="554"/>
        <v>0</v>
      </c>
    </row>
    <row r="7372" spans="1:18">
      <c r="A7372" s="905"/>
      <c r="B7372" s="906"/>
      <c r="C7372" s="907">
        <v>93</v>
      </c>
      <c r="D7372" s="907" t="s">
        <v>279</v>
      </c>
      <c r="E7372" s="925" t="s">
        <v>6111</v>
      </c>
      <c r="F7372" s="909" t="s">
        <v>45</v>
      </c>
      <c r="G7372" s="910"/>
      <c r="H7372" s="911">
        <v>0.06</v>
      </c>
      <c r="I7372" s="912">
        <f>VLOOKUP(E7372,[3]VLP!$B$7:$K$300,10,0)</f>
        <v>42000</v>
      </c>
      <c r="J7372" s="912">
        <f t="shared" si="557"/>
        <v>2520</v>
      </c>
      <c r="K7372" s="912" t="s">
        <v>274</v>
      </c>
      <c r="L7372" s="912"/>
      <c r="M7372" s="912"/>
      <c r="N7372" s="912"/>
      <c r="O7372" s="892">
        <f t="shared" si="551"/>
        <v>0</v>
      </c>
      <c r="P7372" s="903">
        <f t="shared" si="552"/>
        <v>1</v>
      </c>
      <c r="Q7372" s="893">
        <f t="shared" si="553"/>
        <v>10</v>
      </c>
      <c r="R7372" s="894">
        <f t="shared" si="554"/>
        <v>0</v>
      </c>
    </row>
    <row r="7373" spans="1:18">
      <c r="A7373" s="905"/>
      <c r="B7373" s="906"/>
      <c r="C7373" s="907">
        <v>89</v>
      </c>
      <c r="D7373" s="907" t="s">
        <v>279</v>
      </c>
      <c r="E7373" s="925" t="s">
        <v>5984</v>
      </c>
      <c r="F7373" s="909" t="s">
        <v>45</v>
      </c>
      <c r="G7373" s="910"/>
      <c r="H7373" s="911">
        <v>0.48</v>
      </c>
      <c r="I7373" s="912">
        <f>VLOOKUP(E7373,[3]VLP!$B$7:$K$300,10,0)</f>
        <v>1000</v>
      </c>
      <c r="J7373" s="912">
        <f t="shared" si="557"/>
        <v>480</v>
      </c>
      <c r="K7373" s="912" t="s">
        <v>274</v>
      </c>
      <c r="L7373" s="912"/>
      <c r="M7373" s="912"/>
      <c r="N7373" s="912"/>
      <c r="O7373" s="892">
        <f t="shared" si="551"/>
        <v>0</v>
      </c>
      <c r="P7373" s="903">
        <f t="shared" si="552"/>
        <v>1</v>
      </c>
      <c r="Q7373" s="893">
        <f t="shared" si="553"/>
        <v>9</v>
      </c>
      <c r="R7373" s="894">
        <f t="shared" si="554"/>
        <v>0</v>
      </c>
    </row>
    <row r="7374" spans="1:18">
      <c r="A7374" s="905"/>
      <c r="B7374" s="906"/>
      <c r="C7374" s="907">
        <v>47</v>
      </c>
      <c r="D7374" s="907" t="s">
        <v>279</v>
      </c>
      <c r="E7374" s="925" t="s">
        <v>3170</v>
      </c>
      <c r="F7374" s="909" t="s">
        <v>45</v>
      </c>
      <c r="G7374" s="910"/>
      <c r="H7374" s="911">
        <v>18</v>
      </c>
      <c r="I7374" s="912">
        <f>VLOOKUP(E7374,[3]VLP!$B$7:$K$300,10,0)</f>
        <v>1000</v>
      </c>
      <c r="J7374" s="912">
        <f t="shared" si="557"/>
        <v>18000</v>
      </c>
      <c r="K7374" s="912" t="s">
        <v>274</v>
      </c>
      <c r="L7374" s="912"/>
      <c r="M7374" s="912"/>
      <c r="N7374" s="912"/>
      <c r="O7374" s="892">
        <f t="shared" si="551"/>
        <v>0</v>
      </c>
      <c r="P7374" s="903">
        <f t="shared" si="552"/>
        <v>1</v>
      </c>
      <c r="Q7374" s="893">
        <f t="shared" si="553"/>
        <v>8</v>
      </c>
      <c r="R7374" s="894">
        <f t="shared" si="554"/>
        <v>0</v>
      </c>
    </row>
    <row r="7375" spans="1:18">
      <c r="A7375" s="905"/>
      <c r="B7375" s="906"/>
      <c r="C7375" s="907">
        <v>44</v>
      </c>
      <c r="D7375" s="907" t="s">
        <v>279</v>
      </c>
      <c r="E7375" s="925" t="s">
        <v>2681</v>
      </c>
      <c r="F7375" s="926" t="s">
        <v>45</v>
      </c>
      <c r="G7375" s="910"/>
      <c r="H7375" s="911">
        <v>0.36</v>
      </c>
      <c r="I7375" s="912">
        <f>VLOOKUP(E7375,[3]VLP!$B$7:$K$300,10,0)</f>
        <v>23000</v>
      </c>
      <c r="J7375" s="912">
        <f t="shared" si="557"/>
        <v>8280</v>
      </c>
      <c r="K7375" s="912" t="s">
        <v>274</v>
      </c>
      <c r="L7375" s="912"/>
      <c r="M7375" s="912"/>
      <c r="N7375" s="912"/>
      <c r="O7375" s="892">
        <f t="shared" si="551"/>
        <v>0</v>
      </c>
      <c r="P7375" s="903">
        <f t="shared" si="552"/>
        <v>1</v>
      </c>
      <c r="Q7375" s="893">
        <f t="shared" si="553"/>
        <v>7</v>
      </c>
      <c r="R7375" s="894">
        <f t="shared" si="554"/>
        <v>0</v>
      </c>
    </row>
    <row r="7376" spans="1:18">
      <c r="A7376" s="905"/>
      <c r="B7376" s="906"/>
      <c r="C7376" s="907">
        <v>66</v>
      </c>
      <c r="D7376" s="907" t="s">
        <v>279</v>
      </c>
      <c r="E7376" s="925" t="s">
        <v>2682</v>
      </c>
      <c r="F7376" s="926" t="s">
        <v>45</v>
      </c>
      <c r="G7376" s="910"/>
      <c r="H7376" s="911">
        <v>0.84</v>
      </c>
      <c r="I7376" s="912">
        <f>VLOOKUP(E7376,[3]VLP!$B$7:$K$300,10,0)</f>
        <v>5000</v>
      </c>
      <c r="J7376" s="912">
        <f t="shared" si="557"/>
        <v>4200</v>
      </c>
      <c r="K7376" s="912" t="s">
        <v>274</v>
      </c>
      <c r="L7376" s="912"/>
      <c r="M7376" s="912"/>
      <c r="N7376" s="912"/>
      <c r="O7376" s="892">
        <f t="shared" si="551"/>
        <v>0</v>
      </c>
      <c r="P7376" s="903">
        <f t="shared" si="552"/>
        <v>1</v>
      </c>
      <c r="Q7376" s="893">
        <f t="shared" si="553"/>
        <v>6</v>
      </c>
      <c r="R7376" s="894">
        <f t="shared" si="554"/>
        <v>0</v>
      </c>
    </row>
    <row r="7377" spans="1:18">
      <c r="A7377" s="905"/>
      <c r="B7377" s="906"/>
      <c r="C7377" s="907">
        <v>46</v>
      </c>
      <c r="D7377" s="907" t="s">
        <v>279</v>
      </c>
      <c r="E7377" s="925" t="s">
        <v>3179</v>
      </c>
      <c r="F7377" s="926" t="s">
        <v>45</v>
      </c>
      <c r="G7377" s="910"/>
      <c r="H7377" s="911">
        <v>3.6</v>
      </c>
      <c r="I7377" s="912">
        <f>VLOOKUP(E7377,[3]VLP!$B$7:$K$300,10,0)</f>
        <v>20500</v>
      </c>
      <c r="J7377" s="912">
        <f t="shared" si="557"/>
        <v>73800</v>
      </c>
      <c r="K7377" s="912" t="s">
        <v>274</v>
      </c>
      <c r="L7377" s="912"/>
      <c r="M7377" s="912"/>
      <c r="N7377" s="912"/>
      <c r="O7377" s="892">
        <f t="shared" si="551"/>
        <v>0</v>
      </c>
      <c r="P7377" s="903">
        <f t="shared" si="552"/>
        <v>1</v>
      </c>
      <c r="Q7377" s="893">
        <f t="shared" si="553"/>
        <v>5</v>
      </c>
      <c r="R7377" s="894">
        <f t="shared" si="554"/>
        <v>0</v>
      </c>
    </row>
    <row r="7378" spans="1:18">
      <c r="A7378" s="905"/>
      <c r="B7378" s="906"/>
      <c r="C7378" s="907">
        <v>58</v>
      </c>
      <c r="D7378" s="907" t="s">
        <v>279</v>
      </c>
      <c r="E7378" s="925" t="s">
        <v>3190</v>
      </c>
      <c r="F7378" s="926" t="s">
        <v>45</v>
      </c>
      <c r="G7378" s="910"/>
      <c r="H7378" s="911">
        <v>1.2</v>
      </c>
      <c r="I7378" s="912">
        <f>VLOOKUP(E7378,[3]VLP!$B$7:$K$300,10,0)</f>
        <v>27940</v>
      </c>
      <c r="J7378" s="912">
        <f t="shared" si="557"/>
        <v>33528</v>
      </c>
      <c r="K7378" s="912" t="s">
        <v>274</v>
      </c>
      <c r="L7378" s="912"/>
      <c r="M7378" s="912"/>
      <c r="N7378" s="912"/>
      <c r="O7378" s="892">
        <f t="shared" si="551"/>
        <v>0</v>
      </c>
      <c r="P7378" s="903">
        <f t="shared" si="552"/>
        <v>1</v>
      </c>
      <c r="Q7378" s="893">
        <f t="shared" si="553"/>
        <v>4</v>
      </c>
      <c r="R7378" s="894">
        <f t="shared" si="554"/>
        <v>0</v>
      </c>
    </row>
    <row r="7379" spans="1:18">
      <c r="A7379" s="905"/>
      <c r="B7379" s="906"/>
      <c r="C7379" s="907">
        <v>699</v>
      </c>
      <c r="D7379" s="907" t="s">
        <v>279</v>
      </c>
      <c r="E7379" s="925" t="s">
        <v>4006</v>
      </c>
      <c r="F7379" s="926" t="s">
        <v>4007</v>
      </c>
      <c r="G7379" s="910"/>
      <c r="H7379" s="911">
        <v>5</v>
      </c>
      <c r="I7379" s="912">
        <f>VLOOKUP(E7379,[3]VLP!$B$7:$K$300,10,0)</f>
        <v>5000</v>
      </c>
      <c r="J7379" s="912">
        <f t="shared" si="557"/>
        <v>25000</v>
      </c>
      <c r="K7379" s="912" t="s">
        <v>274</v>
      </c>
      <c r="L7379" s="912"/>
      <c r="M7379" s="912"/>
      <c r="N7379" s="912"/>
      <c r="O7379" s="892">
        <f t="shared" si="551"/>
        <v>0</v>
      </c>
      <c r="P7379" s="903">
        <f t="shared" si="552"/>
        <v>1</v>
      </c>
      <c r="Q7379" s="893">
        <f t="shared" si="553"/>
        <v>3</v>
      </c>
      <c r="R7379" s="894">
        <f t="shared" si="554"/>
        <v>0</v>
      </c>
    </row>
    <row r="7380" spans="1:18" s="904" customFormat="1">
      <c r="A7380" s="895"/>
      <c r="B7380" s="896"/>
      <c r="C7380" s="897"/>
      <c r="D7380" s="897"/>
      <c r="E7380" s="924" t="s">
        <v>276</v>
      </c>
      <c r="F7380" s="927"/>
      <c r="G7380" s="928"/>
      <c r="H7380" s="901"/>
      <c r="I7380" s="902"/>
      <c r="J7380" s="902"/>
      <c r="K7380" s="912" t="s">
        <v>274</v>
      </c>
      <c r="L7380" s="902"/>
      <c r="M7380" s="902"/>
      <c r="N7380" s="902"/>
      <c r="O7380" s="892">
        <f t="shared" si="551"/>
        <v>0</v>
      </c>
      <c r="P7380" s="903">
        <f t="shared" si="552"/>
        <v>1</v>
      </c>
      <c r="Q7380" s="893">
        <f t="shared" si="553"/>
        <v>2</v>
      </c>
      <c r="R7380" s="894">
        <f t="shared" si="554"/>
        <v>0</v>
      </c>
    </row>
    <row r="7381" spans="1:18">
      <c r="A7381" s="905"/>
      <c r="B7381" s="906"/>
      <c r="C7381" s="907">
        <v>745</v>
      </c>
      <c r="D7381" s="907" t="s">
        <v>12</v>
      </c>
      <c r="E7381" s="908" t="s">
        <v>5518</v>
      </c>
      <c r="F7381" s="909" t="s">
        <v>2674</v>
      </c>
      <c r="G7381" s="910"/>
      <c r="H7381" s="911">
        <v>11.17</v>
      </c>
      <c r="I7381" s="912"/>
      <c r="J7381" s="912"/>
      <c r="K7381" s="912">
        <f>VLOOKUP(E7381,[5]ĐMNC!$A$7:$F$67,4,0)</f>
        <v>240557</v>
      </c>
      <c r="L7381" s="912">
        <f>H7381*K7381</f>
        <v>2687021.69</v>
      </c>
      <c r="M7381" s="912"/>
      <c r="N7381" s="912"/>
      <c r="O7381" s="892">
        <f t="shared" si="551"/>
        <v>0</v>
      </c>
      <c r="P7381" s="903">
        <f t="shared" si="552"/>
        <v>1</v>
      </c>
      <c r="Q7381" s="893">
        <f t="shared" si="553"/>
        <v>1</v>
      </c>
      <c r="R7381" s="894">
        <f t="shared" si="554"/>
        <v>0</v>
      </c>
    </row>
    <row r="7382" spans="1:18" s="847" customFormat="1" ht="31.5">
      <c r="A7382" s="905" t="s">
        <v>6130</v>
      </c>
      <c r="B7382" s="914" t="s">
        <v>1676</v>
      </c>
      <c r="C7382" s="915"/>
      <c r="D7382" s="915"/>
      <c r="E7382" s="916" t="s">
        <v>6131</v>
      </c>
      <c r="F7382" s="917" t="s">
        <v>6094</v>
      </c>
      <c r="G7382" s="918"/>
      <c r="H7382" s="919"/>
      <c r="I7382" s="920"/>
      <c r="J7382" s="891">
        <f>SUM(J7383:J7388)</f>
        <v>40300</v>
      </c>
      <c r="K7382" s="891"/>
      <c r="L7382" s="891">
        <f>SUM(L7383:L7388)</f>
        <v>473897.29</v>
      </c>
      <c r="M7382" s="891"/>
      <c r="N7382" s="891">
        <f>SUM(N7383:N7388)</f>
        <v>0</v>
      </c>
      <c r="O7382" s="892">
        <f t="shared" si="551"/>
        <v>1</v>
      </c>
      <c r="P7382" s="903">
        <f t="shared" si="552"/>
        <v>0</v>
      </c>
      <c r="Q7382" s="893">
        <f t="shared" si="553"/>
        <v>0</v>
      </c>
      <c r="R7382" s="894">
        <f t="shared" si="554"/>
        <v>6</v>
      </c>
    </row>
    <row r="7383" spans="1:18" s="904" customFormat="1">
      <c r="A7383" s="895"/>
      <c r="B7383" s="896"/>
      <c r="C7383" s="897"/>
      <c r="D7383" s="897"/>
      <c r="E7383" s="898" t="s">
        <v>108</v>
      </c>
      <c r="F7383" s="899"/>
      <c r="G7383" s="928"/>
      <c r="H7383" s="901"/>
      <c r="I7383" s="902"/>
      <c r="J7383" s="902"/>
      <c r="K7383" s="912" t="s">
        <v>274</v>
      </c>
      <c r="L7383" s="902"/>
      <c r="M7383" s="902"/>
      <c r="N7383" s="902"/>
      <c r="O7383" s="892">
        <f t="shared" si="551"/>
        <v>0</v>
      </c>
      <c r="P7383" s="903">
        <f t="shared" si="552"/>
        <v>1</v>
      </c>
      <c r="Q7383" s="893">
        <f t="shared" si="553"/>
        <v>6</v>
      </c>
      <c r="R7383" s="894">
        <f t="shared" si="554"/>
        <v>0</v>
      </c>
    </row>
    <row r="7384" spans="1:18">
      <c r="A7384" s="905"/>
      <c r="B7384" s="906"/>
      <c r="C7384" s="907">
        <v>44</v>
      </c>
      <c r="D7384" s="907" t="s">
        <v>279</v>
      </c>
      <c r="E7384" s="925" t="s">
        <v>2681</v>
      </c>
      <c r="F7384" s="926" t="s">
        <v>45</v>
      </c>
      <c r="G7384" s="910"/>
      <c r="H7384" s="911">
        <v>0.6</v>
      </c>
      <c r="I7384" s="912">
        <f>VLOOKUP(E7384,[3]VLP!$B$7:$K$300,10,0)</f>
        <v>23000</v>
      </c>
      <c r="J7384" s="912">
        <f>I7384*H7384</f>
        <v>13800</v>
      </c>
      <c r="K7384" s="912" t="s">
        <v>274</v>
      </c>
      <c r="L7384" s="912"/>
      <c r="M7384" s="912"/>
      <c r="N7384" s="912"/>
      <c r="O7384" s="892">
        <f t="shared" si="551"/>
        <v>0</v>
      </c>
      <c r="P7384" s="903">
        <f t="shared" si="552"/>
        <v>1</v>
      </c>
      <c r="Q7384" s="893">
        <f t="shared" si="553"/>
        <v>5</v>
      </c>
      <c r="R7384" s="894">
        <f t="shared" si="554"/>
        <v>0</v>
      </c>
    </row>
    <row r="7385" spans="1:18">
      <c r="A7385" s="905"/>
      <c r="B7385" s="906"/>
      <c r="C7385" s="907">
        <v>66</v>
      </c>
      <c r="D7385" s="907" t="s">
        <v>279</v>
      </c>
      <c r="E7385" s="925" t="s">
        <v>2682</v>
      </c>
      <c r="F7385" s="926" t="s">
        <v>45</v>
      </c>
      <c r="G7385" s="910"/>
      <c r="H7385" s="911">
        <v>0.3</v>
      </c>
      <c r="I7385" s="912">
        <f>VLOOKUP(E7385,[3]VLP!$B$7:$K$300,10,0)</f>
        <v>5000</v>
      </c>
      <c r="J7385" s="912">
        <f>I7385*H7385</f>
        <v>1500</v>
      </c>
      <c r="K7385" s="912" t="s">
        <v>274</v>
      </c>
      <c r="L7385" s="912"/>
      <c r="M7385" s="912"/>
      <c r="N7385" s="912"/>
      <c r="O7385" s="892">
        <f t="shared" si="551"/>
        <v>0</v>
      </c>
      <c r="P7385" s="903">
        <f t="shared" si="552"/>
        <v>1</v>
      </c>
      <c r="Q7385" s="893">
        <f t="shared" si="553"/>
        <v>4</v>
      </c>
      <c r="R7385" s="894">
        <f t="shared" si="554"/>
        <v>0</v>
      </c>
    </row>
    <row r="7386" spans="1:18">
      <c r="A7386" s="905"/>
      <c r="B7386" s="906"/>
      <c r="C7386" s="907">
        <v>699</v>
      </c>
      <c r="D7386" s="907" t="s">
        <v>279</v>
      </c>
      <c r="E7386" s="925" t="s">
        <v>4006</v>
      </c>
      <c r="F7386" s="926" t="s">
        <v>4007</v>
      </c>
      <c r="G7386" s="910"/>
      <c r="H7386" s="911">
        <v>5</v>
      </c>
      <c r="I7386" s="912">
        <f>VLOOKUP(E7386,[3]VLP!$B$7:$K$300,10,0)</f>
        <v>5000</v>
      </c>
      <c r="J7386" s="912">
        <f>I7386*H7386</f>
        <v>25000</v>
      </c>
      <c r="K7386" s="912" t="s">
        <v>274</v>
      </c>
      <c r="L7386" s="912"/>
      <c r="M7386" s="912"/>
      <c r="N7386" s="912"/>
      <c r="O7386" s="892">
        <f t="shared" si="551"/>
        <v>0</v>
      </c>
      <c r="P7386" s="903">
        <f t="shared" si="552"/>
        <v>1</v>
      </c>
      <c r="Q7386" s="893">
        <f t="shared" si="553"/>
        <v>3</v>
      </c>
      <c r="R7386" s="894">
        <f t="shared" si="554"/>
        <v>0</v>
      </c>
    </row>
    <row r="7387" spans="1:18" s="904" customFormat="1">
      <c r="A7387" s="895"/>
      <c r="B7387" s="896"/>
      <c r="C7387" s="897"/>
      <c r="D7387" s="897"/>
      <c r="E7387" s="924" t="s">
        <v>276</v>
      </c>
      <c r="F7387" s="927"/>
      <c r="G7387" s="928"/>
      <c r="H7387" s="901"/>
      <c r="I7387" s="902"/>
      <c r="J7387" s="902"/>
      <c r="K7387" s="912" t="s">
        <v>274</v>
      </c>
      <c r="L7387" s="902"/>
      <c r="M7387" s="902"/>
      <c r="N7387" s="902"/>
      <c r="O7387" s="892">
        <f t="shared" si="551"/>
        <v>0</v>
      </c>
      <c r="P7387" s="903">
        <f t="shared" si="552"/>
        <v>1</v>
      </c>
      <c r="Q7387" s="893">
        <f t="shared" si="553"/>
        <v>2</v>
      </c>
      <c r="R7387" s="894">
        <f t="shared" si="554"/>
        <v>0</v>
      </c>
    </row>
    <row r="7388" spans="1:18">
      <c r="A7388" s="905"/>
      <c r="B7388" s="906"/>
      <c r="C7388" s="907">
        <v>745</v>
      </c>
      <c r="D7388" s="907" t="s">
        <v>12</v>
      </c>
      <c r="E7388" s="908" t="s">
        <v>5518</v>
      </c>
      <c r="F7388" s="909" t="s">
        <v>2674</v>
      </c>
      <c r="G7388" s="910"/>
      <c r="H7388" s="911">
        <v>1.97</v>
      </c>
      <c r="I7388" s="912"/>
      <c r="J7388" s="912"/>
      <c r="K7388" s="912">
        <f>VLOOKUP(E7388,[5]ĐMNC!$A$7:$F$67,4,0)</f>
        <v>240557</v>
      </c>
      <c r="L7388" s="912">
        <f>H7388*K7388</f>
        <v>473897.29</v>
      </c>
      <c r="M7388" s="912"/>
      <c r="N7388" s="912"/>
      <c r="O7388" s="892">
        <f t="shared" si="551"/>
        <v>0</v>
      </c>
      <c r="P7388" s="903">
        <f t="shared" si="552"/>
        <v>1</v>
      </c>
      <c r="Q7388" s="893">
        <f t="shared" si="553"/>
        <v>1</v>
      </c>
      <c r="R7388" s="894">
        <f t="shared" si="554"/>
        <v>0</v>
      </c>
    </row>
    <row r="7389" spans="1:18" s="847" customFormat="1" ht="31.5">
      <c r="A7389" s="905"/>
      <c r="B7389" s="914" t="s">
        <v>1678</v>
      </c>
      <c r="C7389" s="915"/>
      <c r="D7389" s="915"/>
      <c r="E7389" s="916" t="s">
        <v>6132</v>
      </c>
      <c r="F7389" s="917" t="s">
        <v>6094</v>
      </c>
      <c r="G7389" s="918"/>
      <c r="H7389" s="919"/>
      <c r="I7389" s="920"/>
      <c r="J7389" s="891">
        <f>SUM(J7390:J7395)</f>
        <v>40300</v>
      </c>
      <c r="K7389" s="891"/>
      <c r="L7389" s="891">
        <f>SUM(L7390:L7395)</f>
        <v>526819.82999999996</v>
      </c>
      <c r="M7389" s="891"/>
      <c r="N7389" s="891">
        <f>SUM(N7390:N7395)</f>
        <v>0</v>
      </c>
      <c r="O7389" s="892">
        <f t="shared" si="551"/>
        <v>1</v>
      </c>
      <c r="P7389" s="903">
        <f t="shared" si="552"/>
        <v>0</v>
      </c>
      <c r="Q7389" s="893">
        <f t="shared" si="553"/>
        <v>0</v>
      </c>
      <c r="R7389" s="894">
        <f t="shared" si="554"/>
        <v>6</v>
      </c>
    </row>
    <row r="7390" spans="1:18" s="904" customFormat="1">
      <c r="A7390" s="895"/>
      <c r="B7390" s="896"/>
      <c r="C7390" s="897"/>
      <c r="D7390" s="897"/>
      <c r="E7390" s="898" t="s">
        <v>108</v>
      </c>
      <c r="F7390" s="899"/>
      <c r="G7390" s="928"/>
      <c r="H7390" s="901"/>
      <c r="I7390" s="902"/>
      <c r="J7390" s="902"/>
      <c r="K7390" s="912" t="s">
        <v>274</v>
      </c>
      <c r="L7390" s="902"/>
      <c r="M7390" s="902"/>
      <c r="N7390" s="902"/>
      <c r="O7390" s="892">
        <f t="shared" si="551"/>
        <v>0</v>
      </c>
      <c r="P7390" s="903">
        <f t="shared" si="552"/>
        <v>1</v>
      </c>
      <c r="Q7390" s="893">
        <f t="shared" si="553"/>
        <v>6</v>
      </c>
      <c r="R7390" s="894">
        <f t="shared" si="554"/>
        <v>0</v>
      </c>
    </row>
    <row r="7391" spans="1:18">
      <c r="A7391" s="905"/>
      <c r="B7391" s="906"/>
      <c r="C7391" s="907">
        <v>44</v>
      </c>
      <c r="D7391" s="907" t="s">
        <v>279</v>
      </c>
      <c r="E7391" s="925" t="s">
        <v>2681</v>
      </c>
      <c r="F7391" s="926" t="s">
        <v>45</v>
      </c>
      <c r="G7391" s="910"/>
      <c r="H7391" s="911">
        <v>0.6</v>
      </c>
      <c r="I7391" s="912">
        <f>VLOOKUP(E7391,[3]VLP!$B$7:$K$300,10,0)</f>
        <v>23000</v>
      </c>
      <c r="J7391" s="912">
        <f>I7391*H7391</f>
        <v>13800</v>
      </c>
      <c r="K7391" s="912" t="s">
        <v>274</v>
      </c>
      <c r="L7391" s="912"/>
      <c r="M7391" s="912"/>
      <c r="N7391" s="912"/>
      <c r="O7391" s="892">
        <f t="shared" ref="O7391:O7454" si="558">IF(AND(B7391&lt;&gt;"",D7391=""),1,0)</f>
        <v>0</v>
      </c>
      <c r="P7391" s="903">
        <f t="shared" si="552"/>
        <v>1</v>
      </c>
      <c r="Q7391" s="893">
        <f t="shared" si="553"/>
        <v>5</v>
      </c>
      <c r="R7391" s="894">
        <f t="shared" si="554"/>
        <v>0</v>
      </c>
    </row>
    <row r="7392" spans="1:18">
      <c r="A7392" s="905"/>
      <c r="B7392" s="906"/>
      <c r="C7392" s="907">
        <v>66</v>
      </c>
      <c r="D7392" s="907" t="s">
        <v>279</v>
      </c>
      <c r="E7392" s="925" t="s">
        <v>2682</v>
      </c>
      <c r="F7392" s="926" t="s">
        <v>45</v>
      </c>
      <c r="G7392" s="910"/>
      <c r="H7392" s="911">
        <v>0.3</v>
      </c>
      <c r="I7392" s="912">
        <f>VLOOKUP(E7392,[3]VLP!$B$7:$K$300,10,0)</f>
        <v>5000</v>
      </c>
      <c r="J7392" s="912">
        <f>I7392*H7392</f>
        <v>1500</v>
      </c>
      <c r="K7392" s="912" t="s">
        <v>274</v>
      </c>
      <c r="L7392" s="912"/>
      <c r="M7392" s="912"/>
      <c r="N7392" s="912"/>
      <c r="O7392" s="892">
        <f t="shared" si="558"/>
        <v>0</v>
      </c>
      <c r="P7392" s="903">
        <f t="shared" si="552"/>
        <v>1</v>
      </c>
      <c r="Q7392" s="893">
        <f t="shared" si="553"/>
        <v>4</v>
      </c>
      <c r="R7392" s="894">
        <f t="shared" si="554"/>
        <v>0</v>
      </c>
    </row>
    <row r="7393" spans="1:18">
      <c r="A7393" s="905"/>
      <c r="B7393" s="906"/>
      <c r="C7393" s="907">
        <v>699</v>
      </c>
      <c r="D7393" s="907" t="s">
        <v>279</v>
      </c>
      <c r="E7393" s="925" t="s">
        <v>4006</v>
      </c>
      <c r="F7393" s="926" t="s">
        <v>4007</v>
      </c>
      <c r="G7393" s="910"/>
      <c r="H7393" s="911">
        <v>5</v>
      </c>
      <c r="I7393" s="912">
        <f>VLOOKUP(E7393,[3]VLP!$B$7:$K$300,10,0)</f>
        <v>5000</v>
      </c>
      <c r="J7393" s="912">
        <f>I7393*H7393</f>
        <v>25000</v>
      </c>
      <c r="K7393" s="912" t="s">
        <v>274</v>
      </c>
      <c r="L7393" s="912"/>
      <c r="M7393" s="912"/>
      <c r="N7393" s="912"/>
      <c r="O7393" s="892">
        <f t="shared" si="558"/>
        <v>0</v>
      </c>
      <c r="P7393" s="903">
        <f t="shared" si="552"/>
        <v>1</v>
      </c>
      <c r="Q7393" s="893">
        <f t="shared" si="553"/>
        <v>3</v>
      </c>
      <c r="R7393" s="894">
        <f t="shared" si="554"/>
        <v>0</v>
      </c>
    </row>
    <row r="7394" spans="1:18" s="904" customFormat="1">
      <c r="A7394" s="895"/>
      <c r="B7394" s="896"/>
      <c r="C7394" s="897"/>
      <c r="D7394" s="897"/>
      <c r="E7394" s="924" t="s">
        <v>276</v>
      </c>
      <c r="F7394" s="927"/>
      <c r="G7394" s="928"/>
      <c r="H7394" s="901"/>
      <c r="I7394" s="902"/>
      <c r="J7394" s="902"/>
      <c r="K7394" s="912" t="s">
        <v>274</v>
      </c>
      <c r="L7394" s="902"/>
      <c r="M7394" s="902"/>
      <c r="N7394" s="902"/>
      <c r="O7394" s="892">
        <f t="shared" si="558"/>
        <v>0</v>
      </c>
      <c r="P7394" s="903">
        <f t="shared" si="552"/>
        <v>1</v>
      </c>
      <c r="Q7394" s="893">
        <f t="shared" si="553"/>
        <v>2</v>
      </c>
      <c r="R7394" s="894">
        <f t="shared" si="554"/>
        <v>0</v>
      </c>
    </row>
    <row r="7395" spans="1:18">
      <c r="A7395" s="905"/>
      <c r="B7395" s="906"/>
      <c r="C7395" s="907">
        <v>745</v>
      </c>
      <c r="D7395" s="907" t="s">
        <v>12</v>
      </c>
      <c r="E7395" s="908" t="s">
        <v>5518</v>
      </c>
      <c r="F7395" s="909" t="s">
        <v>2674</v>
      </c>
      <c r="G7395" s="910"/>
      <c r="H7395" s="911">
        <v>2.19</v>
      </c>
      <c r="I7395" s="912"/>
      <c r="J7395" s="912"/>
      <c r="K7395" s="912">
        <f>VLOOKUP(E7395,[5]ĐMNC!$A$7:$F$67,4,0)</f>
        <v>240557</v>
      </c>
      <c r="L7395" s="912">
        <f>H7395*K7395</f>
        <v>526819.82999999996</v>
      </c>
      <c r="M7395" s="912"/>
      <c r="N7395" s="912"/>
      <c r="O7395" s="892">
        <f t="shared" si="558"/>
        <v>0</v>
      </c>
      <c r="P7395" s="903">
        <f t="shared" si="552"/>
        <v>1</v>
      </c>
      <c r="Q7395" s="893">
        <f t="shared" si="553"/>
        <v>1</v>
      </c>
      <c r="R7395" s="894">
        <f t="shared" si="554"/>
        <v>0</v>
      </c>
    </row>
    <row r="7396" spans="1:18" s="847" customFormat="1" ht="31.5">
      <c r="A7396" s="905"/>
      <c r="B7396" s="914" t="s">
        <v>1680</v>
      </c>
      <c r="C7396" s="915"/>
      <c r="D7396" s="915"/>
      <c r="E7396" s="916" t="s">
        <v>6133</v>
      </c>
      <c r="F7396" s="917" t="s">
        <v>6094</v>
      </c>
      <c r="G7396" s="918"/>
      <c r="H7396" s="919"/>
      <c r="I7396" s="920"/>
      <c r="J7396" s="891">
        <f>SUM(J7397:J7402)</f>
        <v>40300</v>
      </c>
      <c r="K7396" s="891"/>
      <c r="L7396" s="891">
        <f>SUM(L7397:L7402)</f>
        <v>574931.23</v>
      </c>
      <c r="M7396" s="891"/>
      <c r="N7396" s="891">
        <f>SUM(N7397:N7402)</f>
        <v>0</v>
      </c>
      <c r="O7396" s="892">
        <f t="shared" si="558"/>
        <v>1</v>
      </c>
      <c r="P7396" s="903">
        <f t="shared" si="552"/>
        <v>0</v>
      </c>
      <c r="Q7396" s="893">
        <f t="shared" si="553"/>
        <v>0</v>
      </c>
      <c r="R7396" s="894">
        <f t="shared" si="554"/>
        <v>6</v>
      </c>
    </row>
    <row r="7397" spans="1:18" s="904" customFormat="1">
      <c r="A7397" s="895"/>
      <c r="B7397" s="896"/>
      <c r="C7397" s="897"/>
      <c r="D7397" s="897"/>
      <c r="E7397" s="898" t="s">
        <v>108</v>
      </c>
      <c r="F7397" s="899"/>
      <c r="G7397" s="928"/>
      <c r="H7397" s="901"/>
      <c r="I7397" s="902"/>
      <c r="J7397" s="902"/>
      <c r="K7397" s="912" t="s">
        <v>274</v>
      </c>
      <c r="L7397" s="902"/>
      <c r="M7397" s="902"/>
      <c r="N7397" s="902"/>
      <c r="O7397" s="892">
        <f t="shared" si="558"/>
        <v>0</v>
      </c>
      <c r="P7397" s="903">
        <f t="shared" si="552"/>
        <v>1</v>
      </c>
      <c r="Q7397" s="893">
        <f t="shared" si="553"/>
        <v>6</v>
      </c>
      <c r="R7397" s="894">
        <f t="shared" si="554"/>
        <v>0</v>
      </c>
    </row>
    <row r="7398" spans="1:18">
      <c r="A7398" s="905"/>
      <c r="B7398" s="906"/>
      <c r="C7398" s="907">
        <v>44</v>
      </c>
      <c r="D7398" s="907" t="s">
        <v>279</v>
      </c>
      <c r="E7398" s="925" t="s">
        <v>2681</v>
      </c>
      <c r="F7398" s="926" t="s">
        <v>45</v>
      </c>
      <c r="G7398" s="910"/>
      <c r="H7398" s="911">
        <v>0.6</v>
      </c>
      <c r="I7398" s="912">
        <f>VLOOKUP(E7398,[3]VLP!$B$7:$K$300,10,0)</f>
        <v>23000</v>
      </c>
      <c r="J7398" s="912">
        <f>I7398*H7398</f>
        <v>13800</v>
      </c>
      <c r="K7398" s="912" t="s">
        <v>274</v>
      </c>
      <c r="L7398" s="912"/>
      <c r="M7398" s="912"/>
      <c r="N7398" s="912"/>
      <c r="O7398" s="892">
        <f t="shared" si="558"/>
        <v>0</v>
      </c>
      <c r="P7398" s="903">
        <f t="shared" si="552"/>
        <v>1</v>
      </c>
      <c r="Q7398" s="893">
        <f t="shared" si="553"/>
        <v>5</v>
      </c>
      <c r="R7398" s="894">
        <f t="shared" si="554"/>
        <v>0</v>
      </c>
    </row>
    <row r="7399" spans="1:18">
      <c r="A7399" s="905"/>
      <c r="B7399" s="906"/>
      <c r="C7399" s="907">
        <v>66</v>
      </c>
      <c r="D7399" s="907" t="s">
        <v>279</v>
      </c>
      <c r="E7399" s="925" t="s">
        <v>2682</v>
      </c>
      <c r="F7399" s="926" t="s">
        <v>45</v>
      </c>
      <c r="G7399" s="910"/>
      <c r="H7399" s="911">
        <v>0.3</v>
      </c>
      <c r="I7399" s="912">
        <f>VLOOKUP(E7399,[3]VLP!$B$7:$K$300,10,0)</f>
        <v>5000</v>
      </c>
      <c r="J7399" s="912">
        <f>I7399*H7399</f>
        <v>1500</v>
      </c>
      <c r="K7399" s="912" t="s">
        <v>274</v>
      </c>
      <c r="L7399" s="912"/>
      <c r="M7399" s="912"/>
      <c r="N7399" s="912"/>
      <c r="O7399" s="892">
        <f t="shared" si="558"/>
        <v>0</v>
      </c>
      <c r="P7399" s="903">
        <f t="shared" si="552"/>
        <v>1</v>
      </c>
      <c r="Q7399" s="893">
        <f t="shared" si="553"/>
        <v>4</v>
      </c>
      <c r="R7399" s="894">
        <f t="shared" si="554"/>
        <v>0</v>
      </c>
    </row>
    <row r="7400" spans="1:18">
      <c r="A7400" s="905"/>
      <c r="B7400" s="906"/>
      <c r="C7400" s="907">
        <v>699</v>
      </c>
      <c r="D7400" s="907" t="s">
        <v>279</v>
      </c>
      <c r="E7400" s="925" t="s">
        <v>4006</v>
      </c>
      <c r="F7400" s="926" t="s">
        <v>4007</v>
      </c>
      <c r="G7400" s="910"/>
      <c r="H7400" s="911">
        <v>5</v>
      </c>
      <c r="I7400" s="912">
        <f>VLOOKUP(E7400,[3]VLP!$B$7:$K$300,10,0)</f>
        <v>5000</v>
      </c>
      <c r="J7400" s="912">
        <f>I7400*H7400</f>
        <v>25000</v>
      </c>
      <c r="K7400" s="912" t="s">
        <v>274</v>
      </c>
      <c r="L7400" s="912"/>
      <c r="M7400" s="912"/>
      <c r="N7400" s="912"/>
      <c r="O7400" s="892">
        <f t="shared" si="558"/>
        <v>0</v>
      </c>
      <c r="P7400" s="903">
        <f t="shared" ref="P7400:P7463" si="559">IF(O7400=0,1,0)</f>
        <v>1</v>
      </c>
      <c r="Q7400" s="893">
        <f t="shared" ref="Q7400:Q7463" si="560">IF(P7400=0,0,P7400+Q7401)</f>
        <v>3</v>
      </c>
      <c r="R7400" s="894">
        <f t="shared" ref="R7400:R7463" si="561">IF(Q7400=0,Q7401,0)</f>
        <v>0</v>
      </c>
    </row>
    <row r="7401" spans="1:18" s="904" customFormat="1">
      <c r="A7401" s="895"/>
      <c r="B7401" s="896"/>
      <c r="C7401" s="897"/>
      <c r="D7401" s="897"/>
      <c r="E7401" s="924" t="s">
        <v>276</v>
      </c>
      <c r="F7401" s="927"/>
      <c r="G7401" s="928"/>
      <c r="H7401" s="901"/>
      <c r="I7401" s="902"/>
      <c r="J7401" s="902"/>
      <c r="K7401" s="912" t="s">
        <v>274</v>
      </c>
      <c r="L7401" s="902"/>
      <c r="M7401" s="902"/>
      <c r="N7401" s="902"/>
      <c r="O7401" s="892">
        <f t="shared" si="558"/>
        <v>0</v>
      </c>
      <c r="P7401" s="903">
        <f t="shared" si="559"/>
        <v>1</v>
      </c>
      <c r="Q7401" s="893">
        <f t="shared" si="560"/>
        <v>2</v>
      </c>
      <c r="R7401" s="894">
        <f t="shared" si="561"/>
        <v>0</v>
      </c>
    </row>
    <row r="7402" spans="1:18">
      <c r="A7402" s="905"/>
      <c r="B7402" s="906"/>
      <c r="C7402" s="907">
        <v>745</v>
      </c>
      <c r="D7402" s="907" t="s">
        <v>12</v>
      </c>
      <c r="E7402" s="908" t="s">
        <v>5518</v>
      </c>
      <c r="F7402" s="909" t="s">
        <v>2674</v>
      </c>
      <c r="G7402" s="910"/>
      <c r="H7402" s="911">
        <v>2.39</v>
      </c>
      <c r="I7402" s="912"/>
      <c r="J7402" s="912"/>
      <c r="K7402" s="912">
        <f>VLOOKUP(E7402,[5]ĐMNC!$A$7:$F$67,4,0)</f>
        <v>240557</v>
      </c>
      <c r="L7402" s="912">
        <f>H7402*K7402</f>
        <v>574931.23</v>
      </c>
      <c r="M7402" s="912"/>
      <c r="N7402" s="912"/>
      <c r="O7402" s="892">
        <f t="shared" si="558"/>
        <v>0</v>
      </c>
      <c r="P7402" s="903">
        <f t="shared" si="559"/>
        <v>1</v>
      </c>
      <c r="Q7402" s="893">
        <f t="shared" si="560"/>
        <v>1</v>
      </c>
      <c r="R7402" s="894">
        <f t="shared" si="561"/>
        <v>0</v>
      </c>
    </row>
    <row r="7403" spans="1:18" s="847" customFormat="1" ht="31.5">
      <c r="A7403" s="905"/>
      <c r="B7403" s="914" t="s">
        <v>1682</v>
      </c>
      <c r="C7403" s="915"/>
      <c r="D7403" s="915"/>
      <c r="E7403" s="916" t="s">
        <v>6134</v>
      </c>
      <c r="F7403" s="917" t="s">
        <v>6094</v>
      </c>
      <c r="G7403" s="918"/>
      <c r="H7403" s="919"/>
      <c r="I7403" s="920"/>
      <c r="J7403" s="891">
        <f>SUM(J7404:J7409)</f>
        <v>44250</v>
      </c>
      <c r="K7403" s="891"/>
      <c r="L7403" s="891">
        <f>SUM(L7404:L7409)</f>
        <v>637476.04999999993</v>
      </c>
      <c r="M7403" s="891"/>
      <c r="N7403" s="891">
        <f>SUM(N7404:N7409)</f>
        <v>0</v>
      </c>
      <c r="O7403" s="892">
        <f t="shared" si="558"/>
        <v>1</v>
      </c>
      <c r="P7403" s="903">
        <f t="shared" si="559"/>
        <v>0</v>
      </c>
      <c r="Q7403" s="893">
        <f t="shared" si="560"/>
        <v>0</v>
      </c>
      <c r="R7403" s="894">
        <f t="shared" si="561"/>
        <v>6</v>
      </c>
    </row>
    <row r="7404" spans="1:18" s="904" customFormat="1">
      <c r="A7404" s="895"/>
      <c r="B7404" s="896"/>
      <c r="C7404" s="897"/>
      <c r="D7404" s="897"/>
      <c r="E7404" s="898" t="s">
        <v>108</v>
      </c>
      <c r="F7404" s="899"/>
      <c r="G7404" s="928"/>
      <c r="H7404" s="901"/>
      <c r="I7404" s="902"/>
      <c r="J7404" s="902"/>
      <c r="K7404" s="912" t="s">
        <v>274</v>
      </c>
      <c r="L7404" s="902"/>
      <c r="M7404" s="902"/>
      <c r="N7404" s="902"/>
      <c r="O7404" s="892">
        <f t="shared" si="558"/>
        <v>0</v>
      </c>
      <c r="P7404" s="903">
        <f t="shared" si="559"/>
        <v>1</v>
      </c>
      <c r="Q7404" s="893">
        <f t="shared" si="560"/>
        <v>6</v>
      </c>
      <c r="R7404" s="894">
        <f t="shared" si="561"/>
        <v>0</v>
      </c>
    </row>
    <row r="7405" spans="1:18">
      <c r="A7405" s="905"/>
      <c r="B7405" s="906"/>
      <c r="C7405" s="907">
        <v>44</v>
      </c>
      <c r="D7405" s="907" t="s">
        <v>279</v>
      </c>
      <c r="E7405" s="925" t="s">
        <v>2681</v>
      </c>
      <c r="F7405" s="926" t="s">
        <v>45</v>
      </c>
      <c r="G7405" s="910"/>
      <c r="H7405" s="911">
        <v>0.75</v>
      </c>
      <c r="I7405" s="912">
        <f>VLOOKUP(E7405,[3]VLP!$B$7:$K$300,10,0)</f>
        <v>23000</v>
      </c>
      <c r="J7405" s="912">
        <f>I7405*H7405</f>
        <v>17250</v>
      </c>
      <c r="K7405" s="912" t="s">
        <v>274</v>
      </c>
      <c r="L7405" s="912"/>
      <c r="M7405" s="912"/>
      <c r="N7405" s="912"/>
      <c r="O7405" s="892">
        <f t="shared" si="558"/>
        <v>0</v>
      </c>
      <c r="P7405" s="903">
        <f t="shared" si="559"/>
        <v>1</v>
      </c>
      <c r="Q7405" s="893">
        <f t="shared" si="560"/>
        <v>5</v>
      </c>
      <c r="R7405" s="894">
        <f t="shared" si="561"/>
        <v>0</v>
      </c>
    </row>
    <row r="7406" spans="1:18">
      <c r="A7406" s="905"/>
      <c r="B7406" s="906"/>
      <c r="C7406" s="907">
        <v>66</v>
      </c>
      <c r="D7406" s="907" t="s">
        <v>279</v>
      </c>
      <c r="E7406" s="925" t="s">
        <v>2682</v>
      </c>
      <c r="F7406" s="926" t="s">
        <v>45</v>
      </c>
      <c r="G7406" s="910"/>
      <c r="H7406" s="911">
        <v>0.4</v>
      </c>
      <c r="I7406" s="912">
        <f>VLOOKUP(E7406,[3]VLP!$B$7:$K$300,10,0)</f>
        <v>5000</v>
      </c>
      <c r="J7406" s="912">
        <f>I7406*H7406</f>
        <v>2000</v>
      </c>
      <c r="K7406" s="912" t="s">
        <v>274</v>
      </c>
      <c r="L7406" s="912"/>
      <c r="M7406" s="912"/>
      <c r="N7406" s="912"/>
      <c r="O7406" s="892">
        <f t="shared" si="558"/>
        <v>0</v>
      </c>
      <c r="P7406" s="903">
        <f t="shared" si="559"/>
        <v>1</v>
      </c>
      <c r="Q7406" s="893">
        <f t="shared" si="560"/>
        <v>4</v>
      </c>
      <c r="R7406" s="894">
        <f t="shared" si="561"/>
        <v>0</v>
      </c>
    </row>
    <row r="7407" spans="1:18">
      <c r="A7407" s="905"/>
      <c r="B7407" s="906"/>
      <c r="C7407" s="907">
        <v>699</v>
      </c>
      <c r="D7407" s="907" t="s">
        <v>279</v>
      </c>
      <c r="E7407" s="925" t="s">
        <v>4006</v>
      </c>
      <c r="F7407" s="926" t="s">
        <v>4007</v>
      </c>
      <c r="G7407" s="910"/>
      <c r="H7407" s="911">
        <v>5</v>
      </c>
      <c r="I7407" s="912">
        <f>VLOOKUP(E7407,[3]VLP!$B$7:$K$300,10,0)</f>
        <v>5000</v>
      </c>
      <c r="J7407" s="912">
        <f>I7407*H7407</f>
        <v>25000</v>
      </c>
      <c r="K7407" s="912" t="s">
        <v>274</v>
      </c>
      <c r="L7407" s="912"/>
      <c r="M7407" s="912"/>
      <c r="N7407" s="912"/>
      <c r="O7407" s="892">
        <f t="shared" si="558"/>
        <v>0</v>
      </c>
      <c r="P7407" s="903">
        <f t="shared" si="559"/>
        <v>1</v>
      </c>
      <c r="Q7407" s="893">
        <f t="shared" si="560"/>
        <v>3</v>
      </c>
      <c r="R7407" s="894">
        <f t="shared" si="561"/>
        <v>0</v>
      </c>
    </row>
    <row r="7408" spans="1:18" s="904" customFormat="1">
      <c r="A7408" s="895"/>
      <c r="B7408" s="896"/>
      <c r="C7408" s="897"/>
      <c r="D7408" s="897"/>
      <c r="E7408" s="924" t="s">
        <v>276</v>
      </c>
      <c r="F7408" s="927"/>
      <c r="G7408" s="928"/>
      <c r="H7408" s="901"/>
      <c r="I7408" s="902"/>
      <c r="J7408" s="902"/>
      <c r="K7408" s="912" t="s">
        <v>274</v>
      </c>
      <c r="L7408" s="902"/>
      <c r="M7408" s="902"/>
      <c r="N7408" s="902"/>
      <c r="O7408" s="892">
        <f t="shared" si="558"/>
        <v>0</v>
      </c>
      <c r="P7408" s="903">
        <f t="shared" si="559"/>
        <v>1</v>
      </c>
      <c r="Q7408" s="893">
        <f t="shared" si="560"/>
        <v>2</v>
      </c>
      <c r="R7408" s="894">
        <f t="shared" si="561"/>
        <v>0</v>
      </c>
    </row>
    <row r="7409" spans="1:18">
      <c r="A7409" s="905"/>
      <c r="B7409" s="906"/>
      <c r="C7409" s="907">
        <v>745</v>
      </c>
      <c r="D7409" s="907" t="s">
        <v>12</v>
      </c>
      <c r="E7409" s="908" t="s">
        <v>5518</v>
      </c>
      <c r="F7409" s="909" t="s">
        <v>2674</v>
      </c>
      <c r="G7409" s="910"/>
      <c r="H7409" s="911">
        <v>2.65</v>
      </c>
      <c r="I7409" s="912"/>
      <c r="J7409" s="912"/>
      <c r="K7409" s="912">
        <f>VLOOKUP(E7409,[5]ĐMNC!$A$7:$F$67,4,0)</f>
        <v>240557</v>
      </c>
      <c r="L7409" s="912">
        <f>H7409*K7409</f>
        <v>637476.04999999993</v>
      </c>
      <c r="M7409" s="912"/>
      <c r="N7409" s="912"/>
      <c r="O7409" s="892">
        <f t="shared" si="558"/>
        <v>0</v>
      </c>
      <c r="P7409" s="903">
        <f t="shared" si="559"/>
        <v>1</v>
      </c>
      <c r="Q7409" s="893">
        <f t="shared" si="560"/>
        <v>1</v>
      </c>
      <c r="R7409" s="894">
        <f t="shared" si="561"/>
        <v>0</v>
      </c>
    </row>
    <row r="7410" spans="1:18" s="847" customFormat="1" ht="31.5">
      <c r="A7410" s="905" t="s">
        <v>6135</v>
      </c>
      <c r="B7410" s="914" t="s">
        <v>1684</v>
      </c>
      <c r="C7410" s="915"/>
      <c r="D7410" s="915"/>
      <c r="E7410" s="916" t="s">
        <v>6136</v>
      </c>
      <c r="F7410" s="917" t="s">
        <v>6094</v>
      </c>
      <c r="G7410" s="918"/>
      <c r="H7410" s="919"/>
      <c r="I7410" s="920"/>
      <c r="J7410" s="891">
        <f>SUM(J7411:J7416)</f>
        <v>44250</v>
      </c>
      <c r="K7410" s="891"/>
      <c r="L7410" s="891">
        <f>SUM(L7411:L7416)</f>
        <v>707237.58</v>
      </c>
      <c r="M7410" s="891"/>
      <c r="N7410" s="891">
        <f>SUM(N7411:N7416)</f>
        <v>0</v>
      </c>
      <c r="O7410" s="892">
        <f t="shared" si="558"/>
        <v>1</v>
      </c>
      <c r="P7410" s="903">
        <f t="shared" si="559"/>
        <v>0</v>
      </c>
      <c r="Q7410" s="893">
        <f t="shared" si="560"/>
        <v>0</v>
      </c>
      <c r="R7410" s="894">
        <f t="shared" si="561"/>
        <v>6</v>
      </c>
    </row>
    <row r="7411" spans="1:18" s="904" customFormat="1">
      <c r="A7411" s="895"/>
      <c r="B7411" s="896"/>
      <c r="C7411" s="897"/>
      <c r="D7411" s="897"/>
      <c r="E7411" s="898" t="s">
        <v>108</v>
      </c>
      <c r="F7411" s="899"/>
      <c r="G7411" s="928"/>
      <c r="H7411" s="901"/>
      <c r="I7411" s="902"/>
      <c r="J7411" s="902"/>
      <c r="K7411" s="912" t="s">
        <v>274</v>
      </c>
      <c r="L7411" s="902"/>
      <c r="M7411" s="902"/>
      <c r="N7411" s="902"/>
      <c r="O7411" s="892">
        <f t="shared" si="558"/>
        <v>0</v>
      </c>
      <c r="P7411" s="903">
        <f t="shared" si="559"/>
        <v>1</v>
      </c>
      <c r="Q7411" s="893">
        <f t="shared" si="560"/>
        <v>6</v>
      </c>
      <c r="R7411" s="894">
        <f t="shared" si="561"/>
        <v>0</v>
      </c>
    </row>
    <row r="7412" spans="1:18">
      <c r="A7412" s="905"/>
      <c r="B7412" s="906"/>
      <c r="C7412" s="907">
        <v>44</v>
      </c>
      <c r="D7412" s="907" t="s">
        <v>279</v>
      </c>
      <c r="E7412" s="925" t="s">
        <v>2681</v>
      </c>
      <c r="F7412" s="926" t="s">
        <v>45</v>
      </c>
      <c r="G7412" s="910"/>
      <c r="H7412" s="911">
        <v>0.75</v>
      </c>
      <c r="I7412" s="912">
        <f>VLOOKUP(E7412,[3]VLP!$B$7:$K$300,10,0)</f>
        <v>23000</v>
      </c>
      <c r="J7412" s="912">
        <f>I7412*H7412</f>
        <v>17250</v>
      </c>
      <c r="K7412" s="912" t="s">
        <v>274</v>
      </c>
      <c r="L7412" s="912"/>
      <c r="M7412" s="912"/>
      <c r="N7412" s="912"/>
      <c r="O7412" s="892">
        <f t="shared" si="558"/>
        <v>0</v>
      </c>
      <c r="P7412" s="903">
        <f t="shared" si="559"/>
        <v>1</v>
      </c>
      <c r="Q7412" s="893">
        <f t="shared" si="560"/>
        <v>5</v>
      </c>
      <c r="R7412" s="894">
        <f t="shared" si="561"/>
        <v>0</v>
      </c>
    </row>
    <row r="7413" spans="1:18">
      <c r="A7413" s="905"/>
      <c r="B7413" s="906"/>
      <c r="C7413" s="907">
        <v>66</v>
      </c>
      <c r="D7413" s="907" t="s">
        <v>279</v>
      </c>
      <c r="E7413" s="925" t="s">
        <v>2682</v>
      </c>
      <c r="F7413" s="926" t="s">
        <v>45</v>
      </c>
      <c r="G7413" s="910"/>
      <c r="H7413" s="911">
        <v>0.4</v>
      </c>
      <c r="I7413" s="912">
        <f>VLOOKUP(E7413,[3]VLP!$B$7:$K$300,10,0)</f>
        <v>5000</v>
      </c>
      <c r="J7413" s="912">
        <f>I7413*H7413</f>
        <v>2000</v>
      </c>
      <c r="K7413" s="912" t="s">
        <v>274</v>
      </c>
      <c r="L7413" s="912"/>
      <c r="M7413" s="912"/>
      <c r="N7413" s="912"/>
      <c r="O7413" s="892">
        <f t="shared" si="558"/>
        <v>0</v>
      </c>
      <c r="P7413" s="903">
        <f t="shared" si="559"/>
        <v>1</v>
      </c>
      <c r="Q7413" s="893">
        <f t="shared" si="560"/>
        <v>4</v>
      </c>
      <c r="R7413" s="894">
        <f t="shared" si="561"/>
        <v>0</v>
      </c>
    </row>
    <row r="7414" spans="1:18">
      <c r="A7414" s="905"/>
      <c r="B7414" s="906"/>
      <c r="C7414" s="907">
        <v>699</v>
      </c>
      <c r="D7414" s="907" t="s">
        <v>279</v>
      </c>
      <c r="E7414" s="925" t="s">
        <v>4006</v>
      </c>
      <c r="F7414" s="926" t="s">
        <v>4007</v>
      </c>
      <c r="G7414" s="910"/>
      <c r="H7414" s="911">
        <v>5</v>
      </c>
      <c r="I7414" s="912">
        <f>VLOOKUP(E7414,[3]VLP!$B$7:$K$300,10,0)</f>
        <v>5000</v>
      </c>
      <c r="J7414" s="912">
        <f>I7414*H7414</f>
        <v>25000</v>
      </c>
      <c r="K7414" s="912" t="s">
        <v>274</v>
      </c>
      <c r="L7414" s="912"/>
      <c r="M7414" s="912"/>
      <c r="N7414" s="912"/>
      <c r="O7414" s="892">
        <f t="shared" si="558"/>
        <v>0</v>
      </c>
      <c r="P7414" s="903">
        <f t="shared" si="559"/>
        <v>1</v>
      </c>
      <c r="Q7414" s="893">
        <f t="shared" si="560"/>
        <v>3</v>
      </c>
      <c r="R7414" s="894">
        <f t="shared" si="561"/>
        <v>0</v>
      </c>
    </row>
    <row r="7415" spans="1:18" s="904" customFormat="1">
      <c r="A7415" s="895"/>
      <c r="B7415" s="896"/>
      <c r="C7415" s="897"/>
      <c r="D7415" s="897"/>
      <c r="E7415" s="924" t="s">
        <v>276</v>
      </c>
      <c r="F7415" s="927"/>
      <c r="G7415" s="928"/>
      <c r="H7415" s="901"/>
      <c r="I7415" s="902"/>
      <c r="J7415" s="902"/>
      <c r="K7415" s="912" t="s">
        <v>274</v>
      </c>
      <c r="L7415" s="902"/>
      <c r="M7415" s="902"/>
      <c r="N7415" s="902"/>
      <c r="O7415" s="892">
        <f t="shared" si="558"/>
        <v>0</v>
      </c>
      <c r="P7415" s="903">
        <f t="shared" si="559"/>
        <v>1</v>
      </c>
      <c r="Q7415" s="893">
        <f t="shared" si="560"/>
        <v>2</v>
      </c>
      <c r="R7415" s="894">
        <f t="shared" si="561"/>
        <v>0</v>
      </c>
    </row>
    <row r="7416" spans="1:18">
      <c r="A7416" s="905"/>
      <c r="B7416" s="906"/>
      <c r="C7416" s="907">
        <v>745</v>
      </c>
      <c r="D7416" s="907" t="s">
        <v>12</v>
      </c>
      <c r="E7416" s="908" t="s">
        <v>5518</v>
      </c>
      <c r="F7416" s="909" t="s">
        <v>2674</v>
      </c>
      <c r="G7416" s="910"/>
      <c r="H7416" s="911">
        <v>2.94</v>
      </c>
      <c r="I7416" s="912"/>
      <c r="J7416" s="912"/>
      <c r="K7416" s="912">
        <f>VLOOKUP(E7416,[5]ĐMNC!$A$7:$F$67,4,0)</f>
        <v>240557</v>
      </c>
      <c r="L7416" s="912">
        <f>H7416*K7416</f>
        <v>707237.58</v>
      </c>
      <c r="M7416" s="912"/>
      <c r="N7416" s="912"/>
      <c r="O7416" s="892">
        <f t="shared" si="558"/>
        <v>0</v>
      </c>
      <c r="P7416" s="903">
        <f t="shared" si="559"/>
        <v>1</v>
      </c>
      <c r="Q7416" s="893">
        <f t="shared" si="560"/>
        <v>1</v>
      </c>
      <c r="R7416" s="894">
        <f t="shared" si="561"/>
        <v>0</v>
      </c>
    </row>
    <row r="7417" spans="1:18" s="847" customFormat="1" ht="31.5">
      <c r="A7417" s="905"/>
      <c r="B7417" s="914" t="s">
        <v>1686</v>
      </c>
      <c r="C7417" s="915"/>
      <c r="D7417" s="915"/>
      <c r="E7417" s="916" t="s">
        <v>6137</v>
      </c>
      <c r="F7417" s="917" t="s">
        <v>6094</v>
      </c>
      <c r="G7417" s="918"/>
      <c r="H7417" s="919"/>
      <c r="I7417" s="920"/>
      <c r="J7417" s="891">
        <f>SUM(J7418:J7423)</f>
        <v>44250</v>
      </c>
      <c r="K7417" s="891"/>
      <c r="L7417" s="891">
        <f>SUM(L7418:L7423)</f>
        <v>774593.54</v>
      </c>
      <c r="M7417" s="891"/>
      <c r="N7417" s="891">
        <f>SUM(N7418:N7423)</f>
        <v>0</v>
      </c>
      <c r="O7417" s="892">
        <f t="shared" si="558"/>
        <v>1</v>
      </c>
      <c r="P7417" s="903">
        <f t="shared" si="559"/>
        <v>0</v>
      </c>
      <c r="Q7417" s="893">
        <f t="shared" si="560"/>
        <v>0</v>
      </c>
      <c r="R7417" s="894">
        <f t="shared" si="561"/>
        <v>6</v>
      </c>
    </row>
    <row r="7418" spans="1:18" s="904" customFormat="1">
      <c r="A7418" s="895"/>
      <c r="B7418" s="896"/>
      <c r="C7418" s="897"/>
      <c r="D7418" s="897"/>
      <c r="E7418" s="898" t="s">
        <v>108</v>
      </c>
      <c r="F7418" s="899"/>
      <c r="G7418" s="928"/>
      <c r="H7418" s="901"/>
      <c r="I7418" s="902"/>
      <c r="J7418" s="902"/>
      <c r="K7418" s="912" t="s">
        <v>274</v>
      </c>
      <c r="L7418" s="902"/>
      <c r="M7418" s="902"/>
      <c r="N7418" s="902"/>
      <c r="O7418" s="892">
        <f t="shared" si="558"/>
        <v>0</v>
      </c>
      <c r="P7418" s="903">
        <f t="shared" si="559"/>
        <v>1</v>
      </c>
      <c r="Q7418" s="893">
        <f t="shared" si="560"/>
        <v>6</v>
      </c>
      <c r="R7418" s="894">
        <f t="shared" si="561"/>
        <v>0</v>
      </c>
    </row>
    <row r="7419" spans="1:18">
      <c r="A7419" s="905"/>
      <c r="B7419" s="906"/>
      <c r="C7419" s="907">
        <v>44</v>
      </c>
      <c r="D7419" s="907" t="s">
        <v>279</v>
      </c>
      <c r="E7419" s="925" t="s">
        <v>2681</v>
      </c>
      <c r="F7419" s="926" t="s">
        <v>45</v>
      </c>
      <c r="G7419" s="910"/>
      <c r="H7419" s="911">
        <v>0.75</v>
      </c>
      <c r="I7419" s="912">
        <f>VLOOKUP(E7419,[3]VLP!$B$7:$K$300,10,0)</f>
        <v>23000</v>
      </c>
      <c r="J7419" s="912">
        <f>I7419*H7419</f>
        <v>17250</v>
      </c>
      <c r="K7419" s="912" t="s">
        <v>274</v>
      </c>
      <c r="L7419" s="912"/>
      <c r="M7419" s="912"/>
      <c r="N7419" s="912"/>
      <c r="O7419" s="892">
        <f t="shared" si="558"/>
        <v>0</v>
      </c>
      <c r="P7419" s="903">
        <f t="shared" si="559"/>
        <v>1</v>
      </c>
      <c r="Q7419" s="893">
        <f t="shared" si="560"/>
        <v>5</v>
      </c>
      <c r="R7419" s="894">
        <f t="shared" si="561"/>
        <v>0</v>
      </c>
    </row>
    <row r="7420" spans="1:18">
      <c r="A7420" s="905"/>
      <c r="B7420" s="906"/>
      <c r="C7420" s="907">
        <v>66</v>
      </c>
      <c r="D7420" s="907" t="s">
        <v>279</v>
      </c>
      <c r="E7420" s="925" t="s">
        <v>2682</v>
      </c>
      <c r="F7420" s="926" t="s">
        <v>45</v>
      </c>
      <c r="G7420" s="910"/>
      <c r="H7420" s="911">
        <v>0.4</v>
      </c>
      <c r="I7420" s="912">
        <f>VLOOKUP(E7420,[3]VLP!$B$7:$K$300,10,0)</f>
        <v>5000</v>
      </c>
      <c r="J7420" s="912">
        <f>I7420*H7420</f>
        <v>2000</v>
      </c>
      <c r="K7420" s="912" t="s">
        <v>274</v>
      </c>
      <c r="L7420" s="912"/>
      <c r="M7420" s="912"/>
      <c r="N7420" s="912"/>
      <c r="O7420" s="892">
        <f t="shared" si="558"/>
        <v>0</v>
      </c>
      <c r="P7420" s="903">
        <f t="shared" si="559"/>
        <v>1</v>
      </c>
      <c r="Q7420" s="893">
        <f t="shared" si="560"/>
        <v>4</v>
      </c>
      <c r="R7420" s="894">
        <f t="shared" si="561"/>
        <v>0</v>
      </c>
    </row>
    <row r="7421" spans="1:18">
      <c r="A7421" s="905"/>
      <c r="B7421" s="906"/>
      <c r="C7421" s="907">
        <v>699</v>
      </c>
      <c r="D7421" s="907" t="s">
        <v>279</v>
      </c>
      <c r="E7421" s="925" t="s">
        <v>4006</v>
      </c>
      <c r="F7421" s="926" t="s">
        <v>4007</v>
      </c>
      <c r="G7421" s="910"/>
      <c r="H7421" s="911">
        <v>5</v>
      </c>
      <c r="I7421" s="912">
        <f>VLOOKUP(E7421,[3]VLP!$B$7:$K$300,10,0)</f>
        <v>5000</v>
      </c>
      <c r="J7421" s="912">
        <f>I7421*H7421</f>
        <v>25000</v>
      </c>
      <c r="K7421" s="912" t="s">
        <v>274</v>
      </c>
      <c r="L7421" s="912"/>
      <c r="M7421" s="912"/>
      <c r="N7421" s="912"/>
      <c r="O7421" s="892">
        <f t="shared" si="558"/>
        <v>0</v>
      </c>
      <c r="P7421" s="903">
        <f t="shared" si="559"/>
        <v>1</v>
      </c>
      <c r="Q7421" s="893">
        <f t="shared" si="560"/>
        <v>3</v>
      </c>
      <c r="R7421" s="894">
        <f t="shared" si="561"/>
        <v>0</v>
      </c>
    </row>
    <row r="7422" spans="1:18" s="904" customFormat="1">
      <c r="A7422" s="895"/>
      <c r="B7422" s="896"/>
      <c r="C7422" s="897"/>
      <c r="D7422" s="897"/>
      <c r="E7422" s="924" t="s">
        <v>276</v>
      </c>
      <c r="F7422" s="927"/>
      <c r="G7422" s="928"/>
      <c r="H7422" s="901"/>
      <c r="I7422" s="902"/>
      <c r="J7422" s="902"/>
      <c r="K7422" s="912" t="s">
        <v>274</v>
      </c>
      <c r="L7422" s="902"/>
      <c r="M7422" s="902"/>
      <c r="N7422" s="902"/>
      <c r="O7422" s="892">
        <f t="shared" si="558"/>
        <v>0</v>
      </c>
      <c r="P7422" s="903">
        <f t="shared" si="559"/>
        <v>1</v>
      </c>
      <c r="Q7422" s="893">
        <f t="shared" si="560"/>
        <v>2</v>
      </c>
      <c r="R7422" s="894">
        <f t="shared" si="561"/>
        <v>0</v>
      </c>
    </row>
    <row r="7423" spans="1:18">
      <c r="A7423" s="905"/>
      <c r="B7423" s="906"/>
      <c r="C7423" s="907">
        <v>745</v>
      </c>
      <c r="D7423" s="907" t="s">
        <v>12</v>
      </c>
      <c r="E7423" s="908" t="s">
        <v>5518</v>
      </c>
      <c r="F7423" s="909" t="s">
        <v>2674</v>
      </c>
      <c r="G7423" s="910"/>
      <c r="H7423" s="911">
        <v>3.22</v>
      </c>
      <c r="I7423" s="912"/>
      <c r="J7423" s="912"/>
      <c r="K7423" s="912">
        <f>VLOOKUP(E7423,[5]ĐMNC!$A$7:$F$67,4,0)</f>
        <v>240557</v>
      </c>
      <c r="L7423" s="912">
        <f>H7423*K7423</f>
        <v>774593.54</v>
      </c>
      <c r="M7423" s="912"/>
      <c r="N7423" s="912"/>
      <c r="O7423" s="892">
        <f t="shared" si="558"/>
        <v>0</v>
      </c>
      <c r="P7423" s="903">
        <f t="shared" si="559"/>
        <v>1</v>
      </c>
      <c r="Q7423" s="893">
        <f t="shared" si="560"/>
        <v>1</v>
      </c>
      <c r="R7423" s="894">
        <f t="shared" si="561"/>
        <v>0</v>
      </c>
    </row>
    <row r="7424" spans="1:18" s="847" customFormat="1" ht="31.5">
      <c r="A7424" s="905"/>
      <c r="B7424" s="914" t="s">
        <v>1688</v>
      </c>
      <c r="C7424" s="915"/>
      <c r="D7424" s="915"/>
      <c r="E7424" s="916" t="s">
        <v>6138</v>
      </c>
      <c r="F7424" s="917" t="s">
        <v>6094</v>
      </c>
      <c r="G7424" s="918"/>
      <c r="H7424" s="919"/>
      <c r="I7424" s="920"/>
      <c r="J7424" s="891">
        <f>SUM(J7425:J7430)</f>
        <v>48100</v>
      </c>
      <c r="K7424" s="891"/>
      <c r="L7424" s="891">
        <f>SUM(L7425:L7430)</f>
        <v>928550.02</v>
      </c>
      <c r="M7424" s="891"/>
      <c r="N7424" s="891">
        <f>SUM(N7425:N7430)</f>
        <v>0</v>
      </c>
      <c r="O7424" s="892">
        <f t="shared" si="558"/>
        <v>1</v>
      </c>
      <c r="P7424" s="903">
        <f t="shared" si="559"/>
        <v>0</v>
      </c>
      <c r="Q7424" s="893">
        <f t="shared" si="560"/>
        <v>0</v>
      </c>
      <c r="R7424" s="894">
        <f t="shared" si="561"/>
        <v>6</v>
      </c>
    </row>
    <row r="7425" spans="1:18" s="904" customFormat="1">
      <c r="A7425" s="895"/>
      <c r="B7425" s="896"/>
      <c r="C7425" s="897"/>
      <c r="D7425" s="897"/>
      <c r="E7425" s="898" t="s">
        <v>108</v>
      </c>
      <c r="F7425" s="899"/>
      <c r="G7425" s="928"/>
      <c r="H7425" s="901"/>
      <c r="I7425" s="902"/>
      <c r="J7425" s="902"/>
      <c r="K7425" s="912" t="s">
        <v>274</v>
      </c>
      <c r="L7425" s="902"/>
      <c r="M7425" s="902"/>
      <c r="N7425" s="902"/>
      <c r="O7425" s="892">
        <f t="shared" si="558"/>
        <v>0</v>
      </c>
      <c r="P7425" s="903">
        <f t="shared" si="559"/>
        <v>1</v>
      </c>
      <c r="Q7425" s="893">
        <f t="shared" si="560"/>
        <v>6</v>
      </c>
      <c r="R7425" s="894">
        <f t="shared" si="561"/>
        <v>0</v>
      </c>
    </row>
    <row r="7426" spans="1:18">
      <c r="A7426" s="905"/>
      <c r="B7426" s="906"/>
      <c r="C7426" s="907">
        <v>44</v>
      </c>
      <c r="D7426" s="907" t="s">
        <v>279</v>
      </c>
      <c r="E7426" s="925" t="s">
        <v>2681</v>
      </c>
      <c r="F7426" s="926" t="s">
        <v>45</v>
      </c>
      <c r="G7426" s="910"/>
      <c r="H7426" s="911">
        <v>0.9</v>
      </c>
      <c r="I7426" s="912">
        <f>VLOOKUP(E7426,[3]VLP!$B$7:$K$300,10,0)</f>
        <v>23000</v>
      </c>
      <c r="J7426" s="912">
        <f>I7426*H7426</f>
        <v>20700</v>
      </c>
      <c r="K7426" s="912" t="s">
        <v>274</v>
      </c>
      <c r="L7426" s="912"/>
      <c r="M7426" s="912"/>
      <c r="N7426" s="912"/>
      <c r="O7426" s="892">
        <f t="shared" si="558"/>
        <v>0</v>
      </c>
      <c r="P7426" s="903">
        <f t="shared" si="559"/>
        <v>1</v>
      </c>
      <c r="Q7426" s="893">
        <f t="shared" si="560"/>
        <v>5</v>
      </c>
      <c r="R7426" s="894">
        <f t="shared" si="561"/>
        <v>0</v>
      </c>
    </row>
    <row r="7427" spans="1:18">
      <c r="A7427" s="905"/>
      <c r="B7427" s="906"/>
      <c r="C7427" s="907">
        <v>66</v>
      </c>
      <c r="D7427" s="907" t="s">
        <v>279</v>
      </c>
      <c r="E7427" s="925" t="s">
        <v>2682</v>
      </c>
      <c r="F7427" s="926" t="s">
        <v>45</v>
      </c>
      <c r="G7427" s="910"/>
      <c r="H7427" s="911">
        <v>0.48</v>
      </c>
      <c r="I7427" s="912">
        <f>VLOOKUP(E7427,[3]VLP!$B$7:$K$300,10,0)</f>
        <v>5000</v>
      </c>
      <c r="J7427" s="912">
        <f>I7427*H7427</f>
        <v>2400</v>
      </c>
      <c r="K7427" s="912" t="s">
        <v>274</v>
      </c>
      <c r="L7427" s="912"/>
      <c r="M7427" s="912"/>
      <c r="N7427" s="912"/>
      <c r="O7427" s="892">
        <f t="shared" si="558"/>
        <v>0</v>
      </c>
      <c r="P7427" s="903">
        <f t="shared" si="559"/>
        <v>1</v>
      </c>
      <c r="Q7427" s="893">
        <f t="shared" si="560"/>
        <v>4</v>
      </c>
      <c r="R7427" s="894">
        <f t="shared" si="561"/>
        <v>0</v>
      </c>
    </row>
    <row r="7428" spans="1:18">
      <c r="A7428" s="905"/>
      <c r="B7428" s="906"/>
      <c r="C7428" s="907">
        <v>699</v>
      </c>
      <c r="D7428" s="907" t="s">
        <v>279</v>
      </c>
      <c r="E7428" s="925" t="s">
        <v>4006</v>
      </c>
      <c r="F7428" s="926" t="s">
        <v>4007</v>
      </c>
      <c r="G7428" s="910"/>
      <c r="H7428" s="911">
        <v>5</v>
      </c>
      <c r="I7428" s="912">
        <f>VLOOKUP(E7428,[3]VLP!$B$7:$K$300,10,0)</f>
        <v>5000</v>
      </c>
      <c r="J7428" s="912">
        <f>I7428*H7428</f>
        <v>25000</v>
      </c>
      <c r="K7428" s="912" t="s">
        <v>274</v>
      </c>
      <c r="L7428" s="912"/>
      <c r="M7428" s="912"/>
      <c r="N7428" s="912"/>
      <c r="O7428" s="892">
        <f t="shared" si="558"/>
        <v>0</v>
      </c>
      <c r="P7428" s="903">
        <f t="shared" si="559"/>
        <v>1</v>
      </c>
      <c r="Q7428" s="893">
        <f t="shared" si="560"/>
        <v>3</v>
      </c>
      <c r="R7428" s="894">
        <f t="shared" si="561"/>
        <v>0</v>
      </c>
    </row>
    <row r="7429" spans="1:18" s="904" customFormat="1">
      <c r="A7429" s="895"/>
      <c r="B7429" s="896"/>
      <c r="C7429" s="897"/>
      <c r="D7429" s="897"/>
      <c r="E7429" s="924" t="s">
        <v>276</v>
      </c>
      <c r="F7429" s="927"/>
      <c r="G7429" s="928"/>
      <c r="H7429" s="901"/>
      <c r="I7429" s="902"/>
      <c r="J7429" s="902"/>
      <c r="K7429" s="912" t="s">
        <v>274</v>
      </c>
      <c r="L7429" s="902"/>
      <c r="M7429" s="902"/>
      <c r="N7429" s="902"/>
      <c r="O7429" s="892">
        <f t="shared" si="558"/>
        <v>0</v>
      </c>
      <c r="P7429" s="903">
        <f t="shared" si="559"/>
        <v>1</v>
      </c>
      <c r="Q7429" s="893">
        <f t="shared" si="560"/>
        <v>2</v>
      </c>
      <c r="R7429" s="894">
        <f t="shared" si="561"/>
        <v>0</v>
      </c>
    </row>
    <row r="7430" spans="1:18">
      <c r="A7430" s="905"/>
      <c r="B7430" s="906"/>
      <c r="C7430" s="907">
        <v>745</v>
      </c>
      <c r="D7430" s="907" t="s">
        <v>12</v>
      </c>
      <c r="E7430" s="908" t="s">
        <v>5518</v>
      </c>
      <c r="F7430" s="909" t="s">
        <v>2674</v>
      </c>
      <c r="G7430" s="910"/>
      <c r="H7430" s="911">
        <v>3.86</v>
      </c>
      <c r="I7430" s="912"/>
      <c r="J7430" s="912"/>
      <c r="K7430" s="912">
        <f>VLOOKUP(E7430,[5]ĐMNC!$A$7:$F$67,4,0)</f>
        <v>240557</v>
      </c>
      <c r="L7430" s="912">
        <f>H7430*K7430</f>
        <v>928550.02</v>
      </c>
      <c r="M7430" s="912"/>
      <c r="N7430" s="912"/>
      <c r="O7430" s="892">
        <f t="shared" si="558"/>
        <v>0</v>
      </c>
      <c r="P7430" s="903">
        <f t="shared" si="559"/>
        <v>1</v>
      </c>
      <c r="Q7430" s="893">
        <f t="shared" si="560"/>
        <v>1</v>
      </c>
      <c r="R7430" s="894">
        <f t="shared" si="561"/>
        <v>0</v>
      </c>
    </row>
    <row r="7431" spans="1:18" s="847" customFormat="1" ht="31.5">
      <c r="A7431" s="905" t="s">
        <v>6130</v>
      </c>
      <c r="B7431" s="914" t="s">
        <v>1690</v>
      </c>
      <c r="C7431" s="915"/>
      <c r="D7431" s="915"/>
      <c r="E7431" s="916" t="s">
        <v>6139</v>
      </c>
      <c r="F7431" s="917" t="s">
        <v>6094</v>
      </c>
      <c r="G7431" s="918"/>
      <c r="H7431" s="919"/>
      <c r="I7431" s="920"/>
      <c r="J7431" s="891">
        <f>SUM(J7432:J7437)</f>
        <v>40300</v>
      </c>
      <c r="K7431" s="891"/>
      <c r="L7431" s="891">
        <f>SUM(L7432:L7437)</f>
        <v>522008.69</v>
      </c>
      <c r="M7431" s="891"/>
      <c r="N7431" s="891">
        <f>SUM(N7432:N7437)</f>
        <v>0</v>
      </c>
      <c r="O7431" s="892">
        <f t="shared" si="558"/>
        <v>1</v>
      </c>
      <c r="P7431" s="903">
        <f t="shared" si="559"/>
        <v>0</v>
      </c>
      <c r="Q7431" s="893">
        <f t="shared" si="560"/>
        <v>0</v>
      </c>
      <c r="R7431" s="894">
        <f t="shared" si="561"/>
        <v>6</v>
      </c>
    </row>
    <row r="7432" spans="1:18" s="904" customFormat="1">
      <c r="A7432" s="895"/>
      <c r="B7432" s="922"/>
      <c r="C7432" s="897"/>
      <c r="D7432" s="897"/>
      <c r="E7432" s="898" t="s">
        <v>108</v>
      </c>
      <c r="F7432" s="899"/>
      <c r="G7432" s="928"/>
      <c r="H7432" s="901"/>
      <c r="I7432" s="902"/>
      <c r="J7432" s="902"/>
      <c r="K7432" s="912" t="s">
        <v>274</v>
      </c>
      <c r="L7432" s="902"/>
      <c r="M7432" s="902"/>
      <c r="N7432" s="902"/>
      <c r="O7432" s="892">
        <f t="shared" si="558"/>
        <v>0</v>
      </c>
      <c r="P7432" s="903">
        <f t="shared" si="559"/>
        <v>1</v>
      </c>
      <c r="Q7432" s="893">
        <f t="shared" si="560"/>
        <v>6</v>
      </c>
      <c r="R7432" s="894">
        <f t="shared" si="561"/>
        <v>0</v>
      </c>
    </row>
    <row r="7433" spans="1:18">
      <c r="A7433" s="905"/>
      <c r="B7433" s="906"/>
      <c r="C7433" s="907">
        <v>44</v>
      </c>
      <c r="D7433" s="907" t="s">
        <v>279</v>
      </c>
      <c r="E7433" s="925" t="s">
        <v>2681</v>
      </c>
      <c r="F7433" s="926" t="s">
        <v>45</v>
      </c>
      <c r="G7433" s="910"/>
      <c r="H7433" s="911">
        <v>0.6</v>
      </c>
      <c r="I7433" s="912">
        <f>VLOOKUP(E7433,[3]VLP!$B$7:$K$300,10,0)</f>
        <v>23000</v>
      </c>
      <c r="J7433" s="912">
        <f>I7433*H7433</f>
        <v>13800</v>
      </c>
      <c r="K7433" s="912" t="s">
        <v>274</v>
      </c>
      <c r="L7433" s="912"/>
      <c r="M7433" s="912"/>
      <c r="N7433" s="912"/>
      <c r="O7433" s="892">
        <f t="shared" si="558"/>
        <v>0</v>
      </c>
      <c r="P7433" s="903">
        <f t="shared" si="559"/>
        <v>1</v>
      </c>
      <c r="Q7433" s="893">
        <f t="shared" si="560"/>
        <v>5</v>
      </c>
      <c r="R7433" s="894">
        <f t="shared" si="561"/>
        <v>0</v>
      </c>
    </row>
    <row r="7434" spans="1:18">
      <c r="A7434" s="905"/>
      <c r="B7434" s="906"/>
      <c r="C7434" s="907">
        <v>66</v>
      </c>
      <c r="D7434" s="907" t="s">
        <v>279</v>
      </c>
      <c r="E7434" s="925" t="s">
        <v>2682</v>
      </c>
      <c r="F7434" s="926" t="s">
        <v>45</v>
      </c>
      <c r="G7434" s="910"/>
      <c r="H7434" s="911">
        <v>0.3</v>
      </c>
      <c r="I7434" s="912">
        <f>VLOOKUP(E7434,[3]VLP!$B$7:$K$300,10,0)</f>
        <v>5000</v>
      </c>
      <c r="J7434" s="912">
        <f>I7434*H7434</f>
        <v>1500</v>
      </c>
      <c r="K7434" s="912" t="s">
        <v>274</v>
      </c>
      <c r="L7434" s="912"/>
      <c r="M7434" s="912"/>
      <c r="N7434" s="912"/>
      <c r="O7434" s="892">
        <f t="shared" si="558"/>
        <v>0</v>
      </c>
      <c r="P7434" s="903">
        <f t="shared" si="559"/>
        <v>1</v>
      </c>
      <c r="Q7434" s="893">
        <f t="shared" si="560"/>
        <v>4</v>
      </c>
      <c r="R7434" s="894">
        <f t="shared" si="561"/>
        <v>0</v>
      </c>
    </row>
    <row r="7435" spans="1:18">
      <c r="A7435" s="905"/>
      <c r="B7435" s="906"/>
      <c r="C7435" s="907">
        <v>699</v>
      </c>
      <c r="D7435" s="907" t="s">
        <v>279</v>
      </c>
      <c r="E7435" s="925" t="s">
        <v>4006</v>
      </c>
      <c r="F7435" s="926" t="s">
        <v>4007</v>
      </c>
      <c r="G7435" s="910"/>
      <c r="H7435" s="911">
        <v>5</v>
      </c>
      <c r="I7435" s="912">
        <f>VLOOKUP(E7435,[3]VLP!$B$7:$K$300,10,0)</f>
        <v>5000</v>
      </c>
      <c r="J7435" s="912">
        <f>I7435*H7435</f>
        <v>25000</v>
      </c>
      <c r="K7435" s="912" t="s">
        <v>274</v>
      </c>
      <c r="L7435" s="912"/>
      <c r="M7435" s="912"/>
      <c r="N7435" s="912"/>
      <c r="O7435" s="892">
        <f t="shared" si="558"/>
        <v>0</v>
      </c>
      <c r="P7435" s="903">
        <f t="shared" si="559"/>
        <v>1</v>
      </c>
      <c r="Q7435" s="893">
        <f t="shared" si="560"/>
        <v>3</v>
      </c>
      <c r="R7435" s="894">
        <f t="shared" si="561"/>
        <v>0</v>
      </c>
    </row>
    <row r="7436" spans="1:18" s="904" customFormat="1">
      <c r="A7436" s="895"/>
      <c r="B7436" s="896"/>
      <c r="C7436" s="897"/>
      <c r="D7436" s="897"/>
      <c r="E7436" s="924" t="s">
        <v>276</v>
      </c>
      <c r="F7436" s="927"/>
      <c r="G7436" s="928"/>
      <c r="H7436" s="901"/>
      <c r="I7436" s="902"/>
      <c r="J7436" s="902"/>
      <c r="K7436" s="912" t="s">
        <v>274</v>
      </c>
      <c r="L7436" s="902"/>
      <c r="M7436" s="902"/>
      <c r="N7436" s="902"/>
      <c r="O7436" s="892">
        <f t="shared" si="558"/>
        <v>0</v>
      </c>
      <c r="P7436" s="903">
        <f t="shared" si="559"/>
        <v>1</v>
      </c>
      <c r="Q7436" s="893">
        <f t="shared" si="560"/>
        <v>2</v>
      </c>
      <c r="R7436" s="894">
        <f t="shared" si="561"/>
        <v>0</v>
      </c>
    </row>
    <row r="7437" spans="1:18">
      <c r="A7437" s="905"/>
      <c r="B7437" s="906"/>
      <c r="C7437" s="907">
        <v>745</v>
      </c>
      <c r="D7437" s="907" t="s">
        <v>12</v>
      </c>
      <c r="E7437" s="908" t="s">
        <v>5518</v>
      </c>
      <c r="F7437" s="909" t="s">
        <v>2674</v>
      </c>
      <c r="G7437" s="910"/>
      <c r="H7437" s="911">
        <v>2.17</v>
      </c>
      <c r="I7437" s="912"/>
      <c r="J7437" s="912"/>
      <c r="K7437" s="912">
        <f>VLOOKUP(E7437,[5]ĐMNC!$A$7:$F$67,4,0)</f>
        <v>240557</v>
      </c>
      <c r="L7437" s="912">
        <f>H7437*K7437</f>
        <v>522008.69</v>
      </c>
      <c r="M7437" s="912"/>
      <c r="N7437" s="912"/>
      <c r="O7437" s="892">
        <f t="shared" si="558"/>
        <v>0</v>
      </c>
      <c r="P7437" s="903">
        <f t="shared" si="559"/>
        <v>1</v>
      </c>
      <c r="Q7437" s="893">
        <f t="shared" si="560"/>
        <v>1</v>
      </c>
      <c r="R7437" s="894">
        <f t="shared" si="561"/>
        <v>0</v>
      </c>
    </row>
    <row r="7438" spans="1:18" s="847" customFormat="1" ht="31.5">
      <c r="A7438" s="905"/>
      <c r="B7438" s="914" t="s">
        <v>1692</v>
      </c>
      <c r="C7438" s="915"/>
      <c r="D7438" s="915"/>
      <c r="E7438" s="916" t="s">
        <v>6140</v>
      </c>
      <c r="F7438" s="917" t="s">
        <v>6094</v>
      </c>
      <c r="G7438" s="918"/>
      <c r="H7438" s="919"/>
      <c r="I7438" s="920"/>
      <c r="J7438" s="891">
        <f>SUM(J7439:J7444)</f>
        <v>40300</v>
      </c>
      <c r="K7438" s="891"/>
      <c r="L7438" s="891">
        <f>SUM(L7439:L7444)</f>
        <v>738509.99</v>
      </c>
      <c r="M7438" s="891"/>
      <c r="N7438" s="891">
        <f>SUM(N7439:N7444)</f>
        <v>0</v>
      </c>
      <c r="O7438" s="892">
        <f t="shared" si="558"/>
        <v>1</v>
      </c>
      <c r="P7438" s="903">
        <f t="shared" si="559"/>
        <v>0</v>
      </c>
      <c r="Q7438" s="893">
        <f t="shared" si="560"/>
        <v>0</v>
      </c>
      <c r="R7438" s="894">
        <f t="shared" si="561"/>
        <v>6</v>
      </c>
    </row>
    <row r="7439" spans="1:18" s="904" customFormat="1">
      <c r="A7439" s="895"/>
      <c r="B7439" s="896"/>
      <c r="C7439" s="897"/>
      <c r="D7439" s="897"/>
      <c r="E7439" s="898" t="s">
        <v>108</v>
      </c>
      <c r="F7439" s="899"/>
      <c r="G7439" s="928"/>
      <c r="H7439" s="901"/>
      <c r="I7439" s="902"/>
      <c r="J7439" s="902"/>
      <c r="K7439" s="912" t="s">
        <v>274</v>
      </c>
      <c r="L7439" s="902"/>
      <c r="M7439" s="902"/>
      <c r="N7439" s="902"/>
      <c r="O7439" s="892">
        <f t="shared" si="558"/>
        <v>0</v>
      </c>
      <c r="P7439" s="903">
        <f t="shared" si="559"/>
        <v>1</v>
      </c>
      <c r="Q7439" s="893">
        <f t="shared" si="560"/>
        <v>6</v>
      </c>
      <c r="R7439" s="894">
        <f t="shared" si="561"/>
        <v>0</v>
      </c>
    </row>
    <row r="7440" spans="1:18">
      <c r="A7440" s="905"/>
      <c r="B7440" s="906"/>
      <c r="C7440" s="907">
        <v>44</v>
      </c>
      <c r="D7440" s="907" t="s">
        <v>279</v>
      </c>
      <c r="E7440" s="925" t="s">
        <v>2681</v>
      </c>
      <c r="F7440" s="926" t="s">
        <v>45</v>
      </c>
      <c r="G7440" s="910"/>
      <c r="H7440" s="911">
        <v>0.6</v>
      </c>
      <c r="I7440" s="912">
        <f>VLOOKUP(E7440,[3]VLP!$B$7:$K$300,10,0)</f>
        <v>23000</v>
      </c>
      <c r="J7440" s="912">
        <f>I7440*H7440</f>
        <v>13800</v>
      </c>
      <c r="K7440" s="912" t="s">
        <v>274</v>
      </c>
      <c r="L7440" s="912"/>
      <c r="M7440" s="912"/>
      <c r="N7440" s="912"/>
      <c r="O7440" s="892">
        <f t="shared" si="558"/>
        <v>0</v>
      </c>
      <c r="P7440" s="903">
        <f t="shared" si="559"/>
        <v>1</v>
      </c>
      <c r="Q7440" s="893">
        <f t="shared" si="560"/>
        <v>5</v>
      </c>
      <c r="R7440" s="894">
        <f t="shared" si="561"/>
        <v>0</v>
      </c>
    </row>
    <row r="7441" spans="1:18">
      <c r="A7441" s="905"/>
      <c r="B7441" s="906"/>
      <c r="C7441" s="907">
        <v>66</v>
      </c>
      <c r="D7441" s="907" t="s">
        <v>279</v>
      </c>
      <c r="E7441" s="925" t="s">
        <v>2682</v>
      </c>
      <c r="F7441" s="926" t="s">
        <v>45</v>
      </c>
      <c r="G7441" s="910"/>
      <c r="H7441" s="911">
        <v>0.3</v>
      </c>
      <c r="I7441" s="912">
        <f>VLOOKUP(E7441,[3]VLP!$B$7:$K$300,10,0)</f>
        <v>5000</v>
      </c>
      <c r="J7441" s="912">
        <f>I7441*H7441</f>
        <v>1500</v>
      </c>
      <c r="K7441" s="912" t="s">
        <v>274</v>
      </c>
      <c r="L7441" s="912"/>
      <c r="M7441" s="912"/>
      <c r="N7441" s="912"/>
      <c r="O7441" s="892">
        <f t="shared" si="558"/>
        <v>0</v>
      </c>
      <c r="P7441" s="903">
        <f t="shared" si="559"/>
        <v>1</v>
      </c>
      <c r="Q7441" s="893">
        <f t="shared" si="560"/>
        <v>4</v>
      </c>
      <c r="R7441" s="894">
        <f t="shared" si="561"/>
        <v>0</v>
      </c>
    </row>
    <row r="7442" spans="1:18">
      <c r="A7442" s="905"/>
      <c r="B7442" s="906"/>
      <c r="C7442" s="907">
        <v>699</v>
      </c>
      <c r="D7442" s="907" t="s">
        <v>279</v>
      </c>
      <c r="E7442" s="925" t="s">
        <v>4006</v>
      </c>
      <c r="F7442" s="926" t="s">
        <v>4007</v>
      </c>
      <c r="G7442" s="910"/>
      <c r="H7442" s="911">
        <v>5</v>
      </c>
      <c r="I7442" s="912">
        <f>VLOOKUP(E7442,[3]VLP!$B$7:$K$300,10,0)</f>
        <v>5000</v>
      </c>
      <c r="J7442" s="912">
        <f>I7442*H7442</f>
        <v>25000</v>
      </c>
      <c r="K7442" s="912" t="s">
        <v>274</v>
      </c>
      <c r="L7442" s="912"/>
      <c r="M7442" s="912"/>
      <c r="N7442" s="912"/>
      <c r="O7442" s="892">
        <f t="shared" si="558"/>
        <v>0</v>
      </c>
      <c r="P7442" s="903">
        <f t="shared" si="559"/>
        <v>1</v>
      </c>
      <c r="Q7442" s="893">
        <f t="shared" si="560"/>
        <v>3</v>
      </c>
      <c r="R7442" s="894">
        <f t="shared" si="561"/>
        <v>0</v>
      </c>
    </row>
    <row r="7443" spans="1:18" s="904" customFormat="1">
      <c r="A7443" s="895"/>
      <c r="B7443" s="896"/>
      <c r="C7443" s="897"/>
      <c r="D7443" s="897"/>
      <c r="E7443" s="924" t="s">
        <v>276</v>
      </c>
      <c r="F7443" s="927"/>
      <c r="G7443" s="928"/>
      <c r="H7443" s="901"/>
      <c r="I7443" s="902"/>
      <c r="J7443" s="902"/>
      <c r="K7443" s="912" t="s">
        <v>274</v>
      </c>
      <c r="L7443" s="902"/>
      <c r="M7443" s="902"/>
      <c r="N7443" s="902"/>
      <c r="O7443" s="892">
        <f t="shared" si="558"/>
        <v>0</v>
      </c>
      <c r="P7443" s="903">
        <f t="shared" si="559"/>
        <v>1</v>
      </c>
      <c r="Q7443" s="893">
        <f t="shared" si="560"/>
        <v>2</v>
      </c>
      <c r="R7443" s="894">
        <f t="shared" si="561"/>
        <v>0</v>
      </c>
    </row>
    <row r="7444" spans="1:18">
      <c r="A7444" s="905"/>
      <c r="B7444" s="906"/>
      <c r="C7444" s="907">
        <v>745</v>
      </c>
      <c r="D7444" s="907" t="s">
        <v>12</v>
      </c>
      <c r="E7444" s="908" t="s">
        <v>5518</v>
      </c>
      <c r="F7444" s="909" t="s">
        <v>2674</v>
      </c>
      <c r="G7444" s="910"/>
      <c r="H7444" s="911">
        <v>3.07</v>
      </c>
      <c r="I7444" s="912"/>
      <c r="J7444" s="912"/>
      <c r="K7444" s="912">
        <f>VLOOKUP(E7444,[5]ĐMNC!$A$7:$F$67,4,0)</f>
        <v>240557</v>
      </c>
      <c r="L7444" s="912">
        <f>H7444*K7444</f>
        <v>738509.99</v>
      </c>
      <c r="M7444" s="912"/>
      <c r="N7444" s="912"/>
      <c r="O7444" s="892">
        <f t="shared" si="558"/>
        <v>0</v>
      </c>
      <c r="P7444" s="903">
        <f t="shared" si="559"/>
        <v>1</v>
      </c>
      <c r="Q7444" s="893">
        <f t="shared" si="560"/>
        <v>1</v>
      </c>
      <c r="R7444" s="894">
        <f t="shared" si="561"/>
        <v>0</v>
      </c>
    </row>
    <row r="7445" spans="1:18" s="847" customFormat="1" ht="31.5">
      <c r="A7445" s="905"/>
      <c r="B7445" s="914" t="s">
        <v>1694</v>
      </c>
      <c r="C7445" s="915"/>
      <c r="D7445" s="915"/>
      <c r="E7445" s="916" t="s">
        <v>6141</v>
      </c>
      <c r="F7445" s="917" t="s">
        <v>6094</v>
      </c>
      <c r="G7445" s="918"/>
      <c r="H7445" s="919"/>
      <c r="I7445" s="920"/>
      <c r="J7445" s="891">
        <f>SUM(J7446:J7451)</f>
        <v>40300</v>
      </c>
      <c r="K7445" s="891"/>
      <c r="L7445" s="891">
        <f>SUM(L7446:L7451)</f>
        <v>801054.81</v>
      </c>
      <c r="M7445" s="891"/>
      <c r="N7445" s="891">
        <f>SUM(N7446:N7451)</f>
        <v>0</v>
      </c>
      <c r="O7445" s="892">
        <f t="shared" si="558"/>
        <v>1</v>
      </c>
      <c r="P7445" s="903">
        <f t="shared" si="559"/>
        <v>0</v>
      </c>
      <c r="Q7445" s="893">
        <f t="shared" si="560"/>
        <v>0</v>
      </c>
      <c r="R7445" s="894">
        <f t="shared" si="561"/>
        <v>6</v>
      </c>
    </row>
    <row r="7446" spans="1:18" s="904" customFormat="1">
      <c r="A7446" s="895"/>
      <c r="B7446" s="896"/>
      <c r="C7446" s="897"/>
      <c r="D7446" s="897"/>
      <c r="E7446" s="898" t="s">
        <v>108</v>
      </c>
      <c r="F7446" s="899"/>
      <c r="G7446" s="928"/>
      <c r="H7446" s="901"/>
      <c r="I7446" s="902"/>
      <c r="J7446" s="902"/>
      <c r="K7446" s="912" t="s">
        <v>274</v>
      </c>
      <c r="L7446" s="902"/>
      <c r="M7446" s="902"/>
      <c r="N7446" s="902"/>
      <c r="O7446" s="892">
        <f t="shared" si="558"/>
        <v>0</v>
      </c>
      <c r="P7446" s="903">
        <f t="shared" si="559"/>
        <v>1</v>
      </c>
      <c r="Q7446" s="893">
        <f t="shared" si="560"/>
        <v>6</v>
      </c>
      <c r="R7446" s="894">
        <f t="shared" si="561"/>
        <v>0</v>
      </c>
    </row>
    <row r="7447" spans="1:18">
      <c r="A7447" s="905"/>
      <c r="B7447" s="906"/>
      <c r="C7447" s="907">
        <v>44</v>
      </c>
      <c r="D7447" s="907" t="s">
        <v>279</v>
      </c>
      <c r="E7447" s="925" t="s">
        <v>2681</v>
      </c>
      <c r="F7447" s="926" t="s">
        <v>45</v>
      </c>
      <c r="G7447" s="910"/>
      <c r="H7447" s="911">
        <v>0.6</v>
      </c>
      <c r="I7447" s="912">
        <f>VLOOKUP(E7447,[3]VLP!$B$7:$K$300,10,0)</f>
        <v>23000</v>
      </c>
      <c r="J7447" s="912">
        <f>I7447*H7447</f>
        <v>13800</v>
      </c>
      <c r="K7447" s="912" t="s">
        <v>274</v>
      </c>
      <c r="L7447" s="912"/>
      <c r="M7447" s="912"/>
      <c r="N7447" s="912"/>
      <c r="O7447" s="892">
        <f t="shared" si="558"/>
        <v>0</v>
      </c>
      <c r="P7447" s="903">
        <f t="shared" si="559"/>
        <v>1</v>
      </c>
      <c r="Q7447" s="893">
        <f t="shared" si="560"/>
        <v>5</v>
      </c>
      <c r="R7447" s="894">
        <f t="shared" si="561"/>
        <v>0</v>
      </c>
    </row>
    <row r="7448" spans="1:18">
      <c r="A7448" s="905"/>
      <c r="B7448" s="906"/>
      <c r="C7448" s="907">
        <v>66</v>
      </c>
      <c r="D7448" s="907" t="s">
        <v>279</v>
      </c>
      <c r="E7448" s="925" t="s">
        <v>2682</v>
      </c>
      <c r="F7448" s="926" t="s">
        <v>45</v>
      </c>
      <c r="G7448" s="910"/>
      <c r="H7448" s="911">
        <v>0.3</v>
      </c>
      <c r="I7448" s="912">
        <f>VLOOKUP(E7448,[3]VLP!$B$7:$K$300,10,0)</f>
        <v>5000</v>
      </c>
      <c r="J7448" s="912">
        <f>I7448*H7448</f>
        <v>1500</v>
      </c>
      <c r="K7448" s="912" t="s">
        <v>274</v>
      </c>
      <c r="L7448" s="912"/>
      <c r="M7448" s="912"/>
      <c r="N7448" s="912"/>
      <c r="O7448" s="892">
        <f t="shared" si="558"/>
        <v>0</v>
      </c>
      <c r="P7448" s="903">
        <f t="shared" si="559"/>
        <v>1</v>
      </c>
      <c r="Q7448" s="893">
        <f t="shared" si="560"/>
        <v>4</v>
      </c>
      <c r="R7448" s="894">
        <f t="shared" si="561"/>
        <v>0</v>
      </c>
    </row>
    <row r="7449" spans="1:18">
      <c r="A7449" s="905"/>
      <c r="B7449" s="906"/>
      <c r="C7449" s="907">
        <v>699</v>
      </c>
      <c r="D7449" s="907" t="s">
        <v>279</v>
      </c>
      <c r="E7449" s="925" t="s">
        <v>4006</v>
      </c>
      <c r="F7449" s="926" t="s">
        <v>4007</v>
      </c>
      <c r="G7449" s="910"/>
      <c r="H7449" s="911">
        <v>5</v>
      </c>
      <c r="I7449" s="912">
        <f>VLOOKUP(E7449,[3]VLP!$B$7:$K$300,10,0)</f>
        <v>5000</v>
      </c>
      <c r="J7449" s="912">
        <f>I7449*H7449</f>
        <v>25000</v>
      </c>
      <c r="K7449" s="912" t="s">
        <v>274</v>
      </c>
      <c r="L7449" s="912"/>
      <c r="M7449" s="912"/>
      <c r="N7449" s="912"/>
      <c r="O7449" s="892">
        <f t="shared" si="558"/>
        <v>0</v>
      </c>
      <c r="P7449" s="903">
        <f t="shared" si="559"/>
        <v>1</v>
      </c>
      <c r="Q7449" s="893">
        <f t="shared" si="560"/>
        <v>3</v>
      </c>
      <c r="R7449" s="894">
        <f t="shared" si="561"/>
        <v>0</v>
      </c>
    </row>
    <row r="7450" spans="1:18" s="904" customFormat="1">
      <c r="A7450" s="895"/>
      <c r="B7450" s="896"/>
      <c r="C7450" s="897"/>
      <c r="D7450" s="897"/>
      <c r="E7450" s="924" t="s">
        <v>276</v>
      </c>
      <c r="F7450" s="927"/>
      <c r="G7450" s="928"/>
      <c r="H7450" s="901"/>
      <c r="I7450" s="902"/>
      <c r="J7450" s="902"/>
      <c r="K7450" s="912" t="s">
        <v>274</v>
      </c>
      <c r="L7450" s="902"/>
      <c r="M7450" s="902"/>
      <c r="N7450" s="902"/>
      <c r="O7450" s="892">
        <f t="shared" si="558"/>
        <v>0</v>
      </c>
      <c r="P7450" s="903">
        <f t="shared" si="559"/>
        <v>1</v>
      </c>
      <c r="Q7450" s="893">
        <f t="shared" si="560"/>
        <v>2</v>
      </c>
      <c r="R7450" s="894">
        <f t="shared" si="561"/>
        <v>0</v>
      </c>
    </row>
    <row r="7451" spans="1:18">
      <c r="A7451" s="905"/>
      <c r="B7451" s="906"/>
      <c r="C7451" s="907">
        <v>745</v>
      </c>
      <c r="D7451" s="907" t="s">
        <v>12</v>
      </c>
      <c r="E7451" s="908" t="s">
        <v>5518</v>
      </c>
      <c r="F7451" s="909" t="s">
        <v>2674</v>
      </c>
      <c r="G7451" s="910"/>
      <c r="H7451" s="911">
        <v>3.33</v>
      </c>
      <c r="I7451" s="912"/>
      <c r="J7451" s="912"/>
      <c r="K7451" s="912">
        <f>VLOOKUP(E7451,[5]ĐMNC!$A$7:$F$67,4,0)</f>
        <v>240557</v>
      </c>
      <c r="L7451" s="912">
        <f>H7451*K7451</f>
        <v>801054.81</v>
      </c>
      <c r="M7451" s="912"/>
      <c r="N7451" s="912"/>
      <c r="O7451" s="892">
        <f t="shared" si="558"/>
        <v>0</v>
      </c>
      <c r="P7451" s="903">
        <f t="shared" si="559"/>
        <v>1</v>
      </c>
      <c r="Q7451" s="893">
        <f t="shared" si="560"/>
        <v>1</v>
      </c>
      <c r="R7451" s="894">
        <f t="shared" si="561"/>
        <v>0</v>
      </c>
    </row>
    <row r="7452" spans="1:18" s="847" customFormat="1" ht="31.5">
      <c r="A7452" s="905"/>
      <c r="B7452" s="914" t="s">
        <v>1696</v>
      </c>
      <c r="C7452" s="915"/>
      <c r="D7452" s="915"/>
      <c r="E7452" s="916" t="s">
        <v>6142</v>
      </c>
      <c r="F7452" s="917" t="s">
        <v>6094</v>
      </c>
      <c r="G7452" s="918"/>
      <c r="H7452" s="919"/>
      <c r="I7452" s="920"/>
      <c r="J7452" s="891">
        <f>SUM(J7453:J7458)</f>
        <v>44250</v>
      </c>
      <c r="K7452" s="891"/>
      <c r="L7452" s="891">
        <f>SUM(L7453:L7458)</f>
        <v>892466.47</v>
      </c>
      <c r="M7452" s="891"/>
      <c r="N7452" s="891">
        <f>SUM(N7453:N7458)</f>
        <v>0</v>
      </c>
      <c r="O7452" s="892">
        <f t="shared" si="558"/>
        <v>1</v>
      </c>
      <c r="P7452" s="903">
        <f t="shared" si="559"/>
        <v>0</v>
      </c>
      <c r="Q7452" s="893">
        <f t="shared" si="560"/>
        <v>0</v>
      </c>
      <c r="R7452" s="894">
        <f t="shared" si="561"/>
        <v>6</v>
      </c>
    </row>
    <row r="7453" spans="1:18" s="904" customFormat="1">
      <c r="A7453" s="895"/>
      <c r="B7453" s="896"/>
      <c r="C7453" s="897"/>
      <c r="D7453" s="897"/>
      <c r="E7453" s="898" t="s">
        <v>108</v>
      </c>
      <c r="F7453" s="899"/>
      <c r="G7453" s="928"/>
      <c r="H7453" s="901"/>
      <c r="I7453" s="902"/>
      <c r="J7453" s="902"/>
      <c r="K7453" s="912" t="s">
        <v>274</v>
      </c>
      <c r="L7453" s="902"/>
      <c r="M7453" s="902"/>
      <c r="N7453" s="902"/>
      <c r="O7453" s="892">
        <f t="shared" si="558"/>
        <v>0</v>
      </c>
      <c r="P7453" s="903">
        <f t="shared" si="559"/>
        <v>1</v>
      </c>
      <c r="Q7453" s="893">
        <f t="shared" si="560"/>
        <v>6</v>
      </c>
      <c r="R7453" s="894">
        <f t="shared" si="561"/>
        <v>0</v>
      </c>
    </row>
    <row r="7454" spans="1:18">
      <c r="A7454" s="905"/>
      <c r="B7454" s="906"/>
      <c r="C7454" s="907">
        <v>44</v>
      </c>
      <c r="D7454" s="907" t="s">
        <v>279</v>
      </c>
      <c r="E7454" s="925" t="s">
        <v>2681</v>
      </c>
      <c r="F7454" s="926" t="s">
        <v>45</v>
      </c>
      <c r="G7454" s="910"/>
      <c r="H7454" s="911">
        <v>0.75</v>
      </c>
      <c r="I7454" s="912">
        <f>VLOOKUP(E7454,[3]VLP!$B$7:$K$300,10,0)</f>
        <v>23000</v>
      </c>
      <c r="J7454" s="912">
        <f>I7454*H7454</f>
        <v>17250</v>
      </c>
      <c r="K7454" s="912" t="s">
        <v>274</v>
      </c>
      <c r="L7454" s="912"/>
      <c r="M7454" s="912"/>
      <c r="N7454" s="912"/>
      <c r="O7454" s="892">
        <f t="shared" si="558"/>
        <v>0</v>
      </c>
      <c r="P7454" s="903">
        <f t="shared" si="559"/>
        <v>1</v>
      </c>
      <c r="Q7454" s="893">
        <f t="shared" si="560"/>
        <v>5</v>
      </c>
      <c r="R7454" s="894">
        <f t="shared" si="561"/>
        <v>0</v>
      </c>
    </row>
    <row r="7455" spans="1:18">
      <c r="A7455" s="905"/>
      <c r="B7455" s="906"/>
      <c r="C7455" s="907">
        <v>66</v>
      </c>
      <c r="D7455" s="907" t="s">
        <v>279</v>
      </c>
      <c r="E7455" s="925" t="s">
        <v>2682</v>
      </c>
      <c r="F7455" s="926" t="s">
        <v>45</v>
      </c>
      <c r="G7455" s="910"/>
      <c r="H7455" s="911">
        <v>0.4</v>
      </c>
      <c r="I7455" s="912">
        <f>VLOOKUP(E7455,[3]VLP!$B$7:$K$300,10,0)</f>
        <v>5000</v>
      </c>
      <c r="J7455" s="912">
        <f>I7455*H7455</f>
        <v>2000</v>
      </c>
      <c r="K7455" s="912" t="s">
        <v>274</v>
      </c>
      <c r="L7455" s="912"/>
      <c r="M7455" s="912"/>
      <c r="N7455" s="912"/>
      <c r="O7455" s="892">
        <f t="shared" ref="O7455:O7518" si="562">IF(AND(B7455&lt;&gt;"",D7455=""),1,0)</f>
        <v>0</v>
      </c>
      <c r="P7455" s="903">
        <f t="shared" si="559"/>
        <v>1</v>
      </c>
      <c r="Q7455" s="893">
        <f t="shared" si="560"/>
        <v>4</v>
      </c>
      <c r="R7455" s="894">
        <f t="shared" si="561"/>
        <v>0</v>
      </c>
    </row>
    <row r="7456" spans="1:18">
      <c r="A7456" s="905"/>
      <c r="B7456" s="906"/>
      <c r="C7456" s="907">
        <v>699</v>
      </c>
      <c r="D7456" s="907" t="s">
        <v>279</v>
      </c>
      <c r="E7456" s="925" t="s">
        <v>4006</v>
      </c>
      <c r="F7456" s="926" t="s">
        <v>4007</v>
      </c>
      <c r="G7456" s="910"/>
      <c r="H7456" s="911">
        <v>5</v>
      </c>
      <c r="I7456" s="912">
        <f>VLOOKUP(E7456,[3]VLP!$B$7:$K$300,10,0)</f>
        <v>5000</v>
      </c>
      <c r="J7456" s="912">
        <f>I7456*H7456</f>
        <v>25000</v>
      </c>
      <c r="K7456" s="912" t="s">
        <v>274</v>
      </c>
      <c r="L7456" s="912"/>
      <c r="M7456" s="912"/>
      <c r="N7456" s="912"/>
      <c r="O7456" s="892">
        <f t="shared" si="562"/>
        <v>0</v>
      </c>
      <c r="P7456" s="903">
        <f t="shared" si="559"/>
        <v>1</v>
      </c>
      <c r="Q7456" s="893">
        <f t="shared" si="560"/>
        <v>3</v>
      </c>
      <c r="R7456" s="894">
        <f t="shared" si="561"/>
        <v>0</v>
      </c>
    </row>
    <row r="7457" spans="1:18" s="904" customFormat="1">
      <c r="A7457" s="895"/>
      <c r="B7457" s="896"/>
      <c r="C7457" s="897"/>
      <c r="D7457" s="897"/>
      <c r="E7457" s="924" t="s">
        <v>276</v>
      </c>
      <c r="F7457" s="927"/>
      <c r="G7457" s="928"/>
      <c r="H7457" s="901"/>
      <c r="I7457" s="902"/>
      <c r="J7457" s="902"/>
      <c r="K7457" s="912" t="s">
        <v>274</v>
      </c>
      <c r="L7457" s="902"/>
      <c r="M7457" s="902"/>
      <c r="N7457" s="902"/>
      <c r="O7457" s="892">
        <f t="shared" si="562"/>
        <v>0</v>
      </c>
      <c r="P7457" s="903">
        <f t="shared" si="559"/>
        <v>1</v>
      </c>
      <c r="Q7457" s="893">
        <f t="shared" si="560"/>
        <v>2</v>
      </c>
      <c r="R7457" s="894">
        <f t="shared" si="561"/>
        <v>0</v>
      </c>
    </row>
    <row r="7458" spans="1:18">
      <c r="A7458" s="905"/>
      <c r="B7458" s="906"/>
      <c r="C7458" s="907">
        <v>745</v>
      </c>
      <c r="D7458" s="907" t="s">
        <v>12</v>
      </c>
      <c r="E7458" s="908" t="s">
        <v>5518</v>
      </c>
      <c r="F7458" s="909" t="s">
        <v>2674</v>
      </c>
      <c r="G7458" s="910"/>
      <c r="H7458" s="911">
        <v>3.71</v>
      </c>
      <c r="I7458" s="912"/>
      <c r="J7458" s="912"/>
      <c r="K7458" s="912">
        <f>VLOOKUP(E7458,[5]ĐMNC!$A$7:$F$67,4,0)</f>
        <v>240557</v>
      </c>
      <c r="L7458" s="912">
        <f>H7458*K7458</f>
        <v>892466.47</v>
      </c>
      <c r="M7458" s="912"/>
      <c r="N7458" s="912"/>
      <c r="O7458" s="892">
        <f t="shared" si="562"/>
        <v>0</v>
      </c>
      <c r="P7458" s="903">
        <f t="shared" si="559"/>
        <v>1</v>
      </c>
      <c r="Q7458" s="893">
        <f t="shared" si="560"/>
        <v>1</v>
      </c>
      <c r="R7458" s="894">
        <f t="shared" si="561"/>
        <v>0</v>
      </c>
    </row>
    <row r="7459" spans="1:18" s="847" customFormat="1" ht="31.5">
      <c r="A7459" s="905" t="s">
        <v>6135</v>
      </c>
      <c r="B7459" s="914" t="s">
        <v>1698</v>
      </c>
      <c r="C7459" s="915"/>
      <c r="D7459" s="915"/>
      <c r="E7459" s="916" t="s">
        <v>6143</v>
      </c>
      <c r="F7459" s="917" t="s">
        <v>6094</v>
      </c>
      <c r="G7459" s="918"/>
      <c r="H7459" s="919"/>
      <c r="I7459" s="920"/>
      <c r="J7459" s="891">
        <f>SUM(J7460:J7465)</f>
        <v>44250</v>
      </c>
      <c r="K7459" s="891"/>
      <c r="L7459" s="891">
        <f>SUM(L7460:L7465)</f>
        <v>967039.1399999999</v>
      </c>
      <c r="M7459" s="891"/>
      <c r="N7459" s="891">
        <f>SUM(N7460:N7465)</f>
        <v>0</v>
      </c>
      <c r="O7459" s="892">
        <f t="shared" si="562"/>
        <v>1</v>
      </c>
      <c r="P7459" s="903">
        <f t="shared" si="559"/>
        <v>0</v>
      </c>
      <c r="Q7459" s="893">
        <f t="shared" si="560"/>
        <v>0</v>
      </c>
      <c r="R7459" s="894">
        <f t="shared" si="561"/>
        <v>6</v>
      </c>
    </row>
    <row r="7460" spans="1:18" s="904" customFormat="1">
      <c r="A7460" s="895"/>
      <c r="B7460" s="896"/>
      <c r="C7460" s="897"/>
      <c r="D7460" s="897"/>
      <c r="E7460" s="898" t="s">
        <v>108</v>
      </c>
      <c r="F7460" s="899"/>
      <c r="G7460" s="928"/>
      <c r="H7460" s="901"/>
      <c r="I7460" s="902"/>
      <c r="J7460" s="902"/>
      <c r="K7460" s="912" t="s">
        <v>274</v>
      </c>
      <c r="L7460" s="902"/>
      <c r="M7460" s="902"/>
      <c r="N7460" s="902"/>
      <c r="O7460" s="892">
        <f t="shared" si="562"/>
        <v>0</v>
      </c>
      <c r="P7460" s="903">
        <f t="shared" si="559"/>
        <v>1</v>
      </c>
      <c r="Q7460" s="893">
        <f t="shared" si="560"/>
        <v>6</v>
      </c>
      <c r="R7460" s="894">
        <f t="shared" si="561"/>
        <v>0</v>
      </c>
    </row>
    <row r="7461" spans="1:18">
      <c r="A7461" s="905"/>
      <c r="B7461" s="906"/>
      <c r="C7461" s="907">
        <v>44</v>
      </c>
      <c r="D7461" s="907" t="s">
        <v>279</v>
      </c>
      <c r="E7461" s="925" t="s">
        <v>2681</v>
      </c>
      <c r="F7461" s="926" t="s">
        <v>45</v>
      </c>
      <c r="G7461" s="910"/>
      <c r="H7461" s="911">
        <v>0.75</v>
      </c>
      <c r="I7461" s="912">
        <f>VLOOKUP(E7461,[3]VLP!$B$7:$K$300,10,0)</f>
        <v>23000</v>
      </c>
      <c r="J7461" s="912">
        <f>I7461*H7461</f>
        <v>17250</v>
      </c>
      <c r="K7461" s="912" t="s">
        <v>274</v>
      </c>
      <c r="L7461" s="912"/>
      <c r="M7461" s="912"/>
      <c r="N7461" s="912"/>
      <c r="O7461" s="892">
        <f t="shared" si="562"/>
        <v>0</v>
      </c>
      <c r="P7461" s="903">
        <f t="shared" si="559"/>
        <v>1</v>
      </c>
      <c r="Q7461" s="893">
        <f t="shared" si="560"/>
        <v>5</v>
      </c>
      <c r="R7461" s="894">
        <f t="shared" si="561"/>
        <v>0</v>
      </c>
    </row>
    <row r="7462" spans="1:18">
      <c r="A7462" s="905"/>
      <c r="B7462" s="906"/>
      <c r="C7462" s="907">
        <v>66</v>
      </c>
      <c r="D7462" s="907" t="s">
        <v>279</v>
      </c>
      <c r="E7462" s="925" t="s">
        <v>2682</v>
      </c>
      <c r="F7462" s="926" t="s">
        <v>45</v>
      </c>
      <c r="G7462" s="910"/>
      <c r="H7462" s="911">
        <v>0.4</v>
      </c>
      <c r="I7462" s="912">
        <f>VLOOKUP(E7462,[3]VLP!$B$7:$K$300,10,0)</f>
        <v>5000</v>
      </c>
      <c r="J7462" s="912">
        <f>I7462*H7462</f>
        <v>2000</v>
      </c>
      <c r="K7462" s="912" t="s">
        <v>274</v>
      </c>
      <c r="L7462" s="912"/>
      <c r="M7462" s="912"/>
      <c r="N7462" s="912"/>
      <c r="O7462" s="892">
        <f t="shared" si="562"/>
        <v>0</v>
      </c>
      <c r="P7462" s="903">
        <f t="shared" si="559"/>
        <v>1</v>
      </c>
      <c r="Q7462" s="893">
        <f t="shared" si="560"/>
        <v>4</v>
      </c>
      <c r="R7462" s="894">
        <f t="shared" si="561"/>
        <v>0</v>
      </c>
    </row>
    <row r="7463" spans="1:18">
      <c r="A7463" s="905"/>
      <c r="B7463" s="906"/>
      <c r="C7463" s="907">
        <v>699</v>
      </c>
      <c r="D7463" s="907" t="s">
        <v>279</v>
      </c>
      <c r="E7463" s="925" t="s">
        <v>4006</v>
      </c>
      <c r="F7463" s="926" t="s">
        <v>4007</v>
      </c>
      <c r="G7463" s="910"/>
      <c r="H7463" s="911">
        <v>5</v>
      </c>
      <c r="I7463" s="912">
        <f>VLOOKUP(E7463,[3]VLP!$B$7:$K$300,10,0)</f>
        <v>5000</v>
      </c>
      <c r="J7463" s="912">
        <f>I7463*H7463</f>
        <v>25000</v>
      </c>
      <c r="K7463" s="912" t="s">
        <v>274</v>
      </c>
      <c r="L7463" s="912"/>
      <c r="M7463" s="912"/>
      <c r="N7463" s="912"/>
      <c r="O7463" s="892">
        <f t="shared" si="562"/>
        <v>0</v>
      </c>
      <c r="P7463" s="903">
        <f t="shared" si="559"/>
        <v>1</v>
      </c>
      <c r="Q7463" s="893">
        <f t="shared" si="560"/>
        <v>3</v>
      </c>
      <c r="R7463" s="894">
        <f t="shared" si="561"/>
        <v>0</v>
      </c>
    </row>
    <row r="7464" spans="1:18" s="904" customFormat="1">
      <c r="A7464" s="895"/>
      <c r="B7464" s="896"/>
      <c r="C7464" s="897"/>
      <c r="D7464" s="897"/>
      <c r="E7464" s="924" t="s">
        <v>276</v>
      </c>
      <c r="F7464" s="927"/>
      <c r="G7464" s="928"/>
      <c r="H7464" s="901"/>
      <c r="I7464" s="902"/>
      <c r="J7464" s="902"/>
      <c r="K7464" s="912" t="s">
        <v>274</v>
      </c>
      <c r="L7464" s="902"/>
      <c r="M7464" s="902"/>
      <c r="N7464" s="902"/>
      <c r="O7464" s="892">
        <f t="shared" si="562"/>
        <v>0</v>
      </c>
      <c r="P7464" s="903">
        <f t="shared" ref="P7464:P7527" si="563">IF(O7464=0,1,0)</f>
        <v>1</v>
      </c>
      <c r="Q7464" s="893">
        <f t="shared" ref="Q7464:Q7527" si="564">IF(P7464=0,0,P7464+Q7465)</f>
        <v>2</v>
      </c>
      <c r="R7464" s="894">
        <f t="shared" ref="R7464:R7527" si="565">IF(Q7464=0,Q7465,0)</f>
        <v>0</v>
      </c>
    </row>
    <row r="7465" spans="1:18">
      <c r="A7465" s="905"/>
      <c r="B7465" s="906"/>
      <c r="C7465" s="907">
        <v>745</v>
      </c>
      <c r="D7465" s="907" t="s">
        <v>12</v>
      </c>
      <c r="E7465" s="908" t="s">
        <v>5518</v>
      </c>
      <c r="F7465" s="909" t="s">
        <v>2674</v>
      </c>
      <c r="G7465" s="910"/>
      <c r="H7465" s="911">
        <v>4.0199999999999996</v>
      </c>
      <c r="I7465" s="912"/>
      <c r="J7465" s="912"/>
      <c r="K7465" s="912">
        <f>VLOOKUP(E7465,[5]ĐMNC!$A$7:$F$67,4,0)</f>
        <v>240557</v>
      </c>
      <c r="L7465" s="912">
        <f>H7465*K7465</f>
        <v>967039.1399999999</v>
      </c>
      <c r="M7465" s="912"/>
      <c r="N7465" s="912"/>
      <c r="O7465" s="892">
        <f t="shared" si="562"/>
        <v>0</v>
      </c>
      <c r="P7465" s="903">
        <f t="shared" si="563"/>
        <v>1</v>
      </c>
      <c r="Q7465" s="893">
        <f t="shared" si="564"/>
        <v>1</v>
      </c>
      <c r="R7465" s="894">
        <f t="shared" si="565"/>
        <v>0</v>
      </c>
    </row>
    <row r="7466" spans="1:18" s="847" customFormat="1" ht="31.5">
      <c r="A7466" s="905"/>
      <c r="B7466" s="914" t="s">
        <v>1700</v>
      </c>
      <c r="C7466" s="915"/>
      <c r="D7466" s="915"/>
      <c r="E7466" s="916" t="s">
        <v>6144</v>
      </c>
      <c r="F7466" s="917" t="s">
        <v>6094</v>
      </c>
      <c r="G7466" s="918"/>
      <c r="H7466" s="919"/>
      <c r="I7466" s="920"/>
      <c r="J7466" s="891">
        <f>SUM(J7467:J7472)</f>
        <v>44250</v>
      </c>
      <c r="K7466" s="891"/>
      <c r="L7466" s="891">
        <f>SUM(L7467:L7472)</f>
        <v>1063261.94</v>
      </c>
      <c r="M7466" s="891"/>
      <c r="N7466" s="891">
        <f>SUM(N7467:N7472)</f>
        <v>0</v>
      </c>
      <c r="O7466" s="892">
        <f t="shared" si="562"/>
        <v>1</v>
      </c>
      <c r="P7466" s="903">
        <f t="shared" si="563"/>
        <v>0</v>
      </c>
      <c r="Q7466" s="893">
        <f t="shared" si="564"/>
        <v>0</v>
      </c>
      <c r="R7466" s="894">
        <f t="shared" si="565"/>
        <v>6</v>
      </c>
    </row>
    <row r="7467" spans="1:18" s="904" customFormat="1">
      <c r="A7467" s="895"/>
      <c r="B7467" s="896"/>
      <c r="C7467" s="897"/>
      <c r="D7467" s="897"/>
      <c r="E7467" s="898" t="s">
        <v>108</v>
      </c>
      <c r="F7467" s="899"/>
      <c r="G7467" s="928"/>
      <c r="H7467" s="901"/>
      <c r="I7467" s="902"/>
      <c r="J7467" s="902"/>
      <c r="K7467" s="912" t="s">
        <v>274</v>
      </c>
      <c r="L7467" s="902"/>
      <c r="M7467" s="902"/>
      <c r="N7467" s="902"/>
      <c r="O7467" s="892">
        <f t="shared" si="562"/>
        <v>0</v>
      </c>
      <c r="P7467" s="903">
        <f t="shared" si="563"/>
        <v>1</v>
      </c>
      <c r="Q7467" s="893">
        <f t="shared" si="564"/>
        <v>6</v>
      </c>
      <c r="R7467" s="894">
        <f t="shared" si="565"/>
        <v>0</v>
      </c>
    </row>
    <row r="7468" spans="1:18">
      <c r="A7468" s="905"/>
      <c r="B7468" s="906"/>
      <c r="C7468" s="907">
        <v>44</v>
      </c>
      <c r="D7468" s="907" t="s">
        <v>279</v>
      </c>
      <c r="E7468" s="925" t="s">
        <v>2681</v>
      </c>
      <c r="F7468" s="926" t="s">
        <v>45</v>
      </c>
      <c r="G7468" s="910"/>
      <c r="H7468" s="911">
        <v>0.75</v>
      </c>
      <c r="I7468" s="912">
        <f>VLOOKUP(E7468,[3]VLP!$B$7:$K$300,10,0)</f>
        <v>23000</v>
      </c>
      <c r="J7468" s="912">
        <f>I7468*H7468</f>
        <v>17250</v>
      </c>
      <c r="K7468" s="912" t="s">
        <v>274</v>
      </c>
      <c r="L7468" s="912"/>
      <c r="M7468" s="912"/>
      <c r="N7468" s="912"/>
      <c r="O7468" s="892">
        <f t="shared" si="562"/>
        <v>0</v>
      </c>
      <c r="P7468" s="903">
        <f t="shared" si="563"/>
        <v>1</v>
      </c>
      <c r="Q7468" s="893">
        <f t="shared" si="564"/>
        <v>5</v>
      </c>
      <c r="R7468" s="894">
        <f t="shared" si="565"/>
        <v>0</v>
      </c>
    </row>
    <row r="7469" spans="1:18">
      <c r="A7469" s="905"/>
      <c r="B7469" s="906"/>
      <c r="C7469" s="907">
        <v>66</v>
      </c>
      <c r="D7469" s="907" t="s">
        <v>279</v>
      </c>
      <c r="E7469" s="925" t="s">
        <v>2682</v>
      </c>
      <c r="F7469" s="926" t="s">
        <v>45</v>
      </c>
      <c r="G7469" s="910"/>
      <c r="H7469" s="911">
        <v>0.4</v>
      </c>
      <c r="I7469" s="912">
        <f>VLOOKUP(E7469,[3]VLP!$B$7:$K$300,10,0)</f>
        <v>5000</v>
      </c>
      <c r="J7469" s="912">
        <f>I7469*H7469</f>
        <v>2000</v>
      </c>
      <c r="K7469" s="912" t="s">
        <v>274</v>
      </c>
      <c r="L7469" s="912"/>
      <c r="M7469" s="912"/>
      <c r="N7469" s="912"/>
      <c r="O7469" s="892">
        <f t="shared" si="562"/>
        <v>0</v>
      </c>
      <c r="P7469" s="903">
        <f t="shared" si="563"/>
        <v>1</v>
      </c>
      <c r="Q7469" s="893">
        <f t="shared" si="564"/>
        <v>4</v>
      </c>
      <c r="R7469" s="894">
        <f t="shared" si="565"/>
        <v>0</v>
      </c>
    </row>
    <row r="7470" spans="1:18">
      <c r="A7470" s="905"/>
      <c r="B7470" s="906"/>
      <c r="C7470" s="907">
        <v>699</v>
      </c>
      <c r="D7470" s="907" t="s">
        <v>279</v>
      </c>
      <c r="E7470" s="925" t="s">
        <v>4006</v>
      </c>
      <c r="F7470" s="926" t="s">
        <v>4007</v>
      </c>
      <c r="G7470" s="910"/>
      <c r="H7470" s="911">
        <v>5</v>
      </c>
      <c r="I7470" s="912">
        <f>VLOOKUP(E7470,[3]VLP!$B$7:$K$300,10,0)</f>
        <v>5000</v>
      </c>
      <c r="J7470" s="912">
        <f>I7470*H7470</f>
        <v>25000</v>
      </c>
      <c r="K7470" s="912" t="s">
        <v>274</v>
      </c>
      <c r="L7470" s="912"/>
      <c r="M7470" s="912"/>
      <c r="N7470" s="912"/>
      <c r="O7470" s="892">
        <f t="shared" si="562"/>
        <v>0</v>
      </c>
      <c r="P7470" s="903">
        <f t="shared" si="563"/>
        <v>1</v>
      </c>
      <c r="Q7470" s="893">
        <f t="shared" si="564"/>
        <v>3</v>
      </c>
      <c r="R7470" s="894">
        <f t="shared" si="565"/>
        <v>0</v>
      </c>
    </row>
    <row r="7471" spans="1:18" s="904" customFormat="1">
      <c r="A7471" s="895"/>
      <c r="B7471" s="896"/>
      <c r="C7471" s="897"/>
      <c r="D7471" s="897"/>
      <c r="E7471" s="924" t="s">
        <v>276</v>
      </c>
      <c r="F7471" s="927"/>
      <c r="G7471" s="928"/>
      <c r="H7471" s="901"/>
      <c r="I7471" s="902"/>
      <c r="J7471" s="902"/>
      <c r="K7471" s="912" t="s">
        <v>274</v>
      </c>
      <c r="L7471" s="902"/>
      <c r="M7471" s="902"/>
      <c r="N7471" s="902"/>
      <c r="O7471" s="892">
        <f t="shared" si="562"/>
        <v>0</v>
      </c>
      <c r="P7471" s="903">
        <f t="shared" si="563"/>
        <v>1</v>
      </c>
      <c r="Q7471" s="893">
        <f t="shared" si="564"/>
        <v>2</v>
      </c>
      <c r="R7471" s="894">
        <f t="shared" si="565"/>
        <v>0</v>
      </c>
    </row>
    <row r="7472" spans="1:18">
      <c r="A7472" s="905"/>
      <c r="B7472" s="906"/>
      <c r="C7472" s="907">
        <v>745</v>
      </c>
      <c r="D7472" s="907" t="s">
        <v>12</v>
      </c>
      <c r="E7472" s="908" t="s">
        <v>5518</v>
      </c>
      <c r="F7472" s="909" t="s">
        <v>2674</v>
      </c>
      <c r="G7472" s="910"/>
      <c r="H7472" s="911">
        <v>4.42</v>
      </c>
      <c r="I7472" s="912"/>
      <c r="J7472" s="912"/>
      <c r="K7472" s="912">
        <f>VLOOKUP(E7472,[5]ĐMNC!$A$7:$F$67,4,0)</f>
        <v>240557</v>
      </c>
      <c r="L7472" s="912">
        <f>H7472*K7472</f>
        <v>1063261.94</v>
      </c>
      <c r="M7472" s="912"/>
      <c r="N7472" s="912"/>
      <c r="O7472" s="892">
        <f t="shared" si="562"/>
        <v>0</v>
      </c>
      <c r="P7472" s="903">
        <f t="shared" si="563"/>
        <v>1</v>
      </c>
      <c r="Q7472" s="893">
        <f t="shared" si="564"/>
        <v>1</v>
      </c>
      <c r="R7472" s="894">
        <f t="shared" si="565"/>
        <v>0</v>
      </c>
    </row>
    <row r="7473" spans="1:18" s="847" customFormat="1" ht="31.5">
      <c r="A7473" s="905"/>
      <c r="B7473" s="914" t="s">
        <v>1702</v>
      </c>
      <c r="C7473" s="915"/>
      <c r="D7473" s="915"/>
      <c r="E7473" s="916" t="s">
        <v>6145</v>
      </c>
      <c r="F7473" s="917" t="s">
        <v>6094</v>
      </c>
      <c r="G7473" s="918"/>
      <c r="H7473" s="919"/>
      <c r="I7473" s="920"/>
      <c r="J7473" s="891">
        <f>SUM(J7474:J7479)</f>
        <v>48100</v>
      </c>
      <c r="K7473" s="891"/>
      <c r="L7473" s="891">
        <f>SUM(L7474:L7479)</f>
        <v>1274952.0999999999</v>
      </c>
      <c r="M7473" s="891"/>
      <c r="N7473" s="891">
        <f>SUM(N7474:N7479)</f>
        <v>0</v>
      </c>
      <c r="O7473" s="892">
        <f t="shared" si="562"/>
        <v>1</v>
      </c>
      <c r="P7473" s="903">
        <f t="shared" si="563"/>
        <v>0</v>
      </c>
      <c r="Q7473" s="893">
        <f t="shared" si="564"/>
        <v>0</v>
      </c>
      <c r="R7473" s="894">
        <f t="shared" si="565"/>
        <v>6</v>
      </c>
    </row>
    <row r="7474" spans="1:18" s="904" customFormat="1">
      <c r="A7474" s="895"/>
      <c r="B7474" s="896"/>
      <c r="C7474" s="897"/>
      <c r="D7474" s="897"/>
      <c r="E7474" s="898" t="s">
        <v>108</v>
      </c>
      <c r="F7474" s="899"/>
      <c r="G7474" s="928"/>
      <c r="H7474" s="901"/>
      <c r="I7474" s="902"/>
      <c r="J7474" s="902"/>
      <c r="K7474" s="912" t="s">
        <v>274</v>
      </c>
      <c r="L7474" s="902"/>
      <c r="M7474" s="902"/>
      <c r="N7474" s="902"/>
      <c r="O7474" s="892">
        <f t="shared" si="562"/>
        <v>0</v>
      </c>
      <c r="P7474" s="903">
        <f t="shared" si="563"/>
        <v>1</v>
      </c>
      <c r="Q7474" s="893">
        <f t="shared" si="564"/>
        <v>6</v>
      </c>
      <c r="R7474" s="894">
        <f t="shared" si="565"/>
        <v>0</v>
      </c>
    </row>
    <row r="7475" spans="1:18">
      <c r="A7475" s="905"/>
      <c r="B7475" s="906"/>
      <c r="C7475" s="907">
        <v>44</v>
      </c>
      <c r="D7475" s="907" t="s">
        <v>279</v>
      </c>
      <c r="E7475" s="925" t="s">
        <v>2681</v>
      </c>
      <c r="F7475" s="926" t="s">
        <v>45</v>
      </c>
      <c r="G7475" s="910"/>
      <c r="H7475" s="911">
        <v>0.9</v>
      </c>
      <c r="I7475" s="912">
        <f>VLOOKUP(E7475,[3]VLP!$B$7:$K$300,10,0)</f>
        <v>23000</v>
      </c>
      <c r="J7475" s="912">
        <f>I7475*H7475</f>
        <v>20700</v>
      </c>
      <c r="K7475" s="912" t="s">
        <v>274</v>
      </c>
      <c r="L7475" s="912"/>
      <c r="M7475" s="912"/>
      <c r="N7475" s="912"/>
      <c r="O7475" s="892">
        <f t="shared" si="562"/>
        <v>0</v>
      </c>
      <c r="P7475" s="903">
        <f t="shared" si="563"/>
        <v>1</v>
      </c>
      <c r="Q7475" s="893">
        <f t="shared" si="564"/>
        <v>5</v>
      </c>
      <c r="R7475" s="894">
        <f t="shared" si="565"/>
        <v>0</v>
      </c>
    </row>
    <row r="7476" spans="1:18">
      <c r="A7476" s="905"/>
      <c r="B7476" s="906"/>
      <c r="C7476" s="907">
        <v>66</v>
      </c>
      <c r="D7476" s="907" t="s">
        <v>279</v>
      </c>
      <c r="E7476" s="925" t="s">
        <v>2682</v>
      </c>
      <c r="F7476" s="926" t="s">
        <v>45</v>
      </c>
      <c r="G7476" s="910"/>
      <c r="H7476" s="911">
        <v>0.48</v>
      </c>
      <c r="I7476" s="912">
        <f>VLOOKUP(E7476,[3]VLP!$B$7:$K$300,10,0)</f>
        <v>5000</v>
      </c>
      <c r="J7476" s="912">
        <f>I7476*H7476</f>
        <v>2400</v>
      </c>
      <c r="K7476" s="912" t="s">
        <v>274</v>
      </c>
      <c r="L7476" s="912"/>
      <c r="M7476" s="912"/>
      <c r="N7476" s="912"/>
      <c r="O7476" s="892">
        <f t="shared" si="562"/>
        <v>0</v>
      </c>
      <c r="P7476" s="903">
        <f t="shared" si="563"/>
        <v>1</v>
      </c>
      <c r="Q7476" s="893">
        <f t="shared" si="564"/>
        <v>4</v>
      </c>
      <c r="R7476" s="894">
        <f t="shared" si="565"/>
        <v>0</v>
      </c>
    </row>
    <row r="7477" spans="1:18">
      <c r="A7477" s="905"/>
      <c r="B7477" s="906"/>
      <c r="C7477" s="907">
        <v>699</v>
      </c>
      <c r="D7477" s="907" t="s">
        <v>279</v>
      </c>
      <c r="E7477" s="925" t="s">
        <v>4006</v>
      </c>
      <c r="F7477" s="926" t="s">
        <v>4007</v>
      </c>
      <c r="G7477" s="910"/>
      <c r="H7477" s="911">
        <v>5</v>
      </c>
      <c r="I7477" s="912">
        <f>VLOOKUP(E7477,[3]VLP!$B$7:$K$300,10,0)</f>
        <v>5000</v>
      </c>
      <c r="J7477" s="912">
        <f>I7477*H7477</f>
        <v>25000</v>
      </c>
      <c r="K7477" s="912" t="s">
        <v>274</v>
      </c>
      <c r="L7477" s="912"/>
      <c r="M7477" s="912"/>
      <c r="N7477" s="912"/>
      <c r="O7477" s="892">
        <f t="shared" si="562"/>
        <v>0</v>
      </c>
      <c r="P7477" s="903">
        <f t="shared" si="563"/>
        <v>1</v>
      </c>
      <c r="Q7477" s="893">
        <f t="shared" si="564"/>
        <v>3</v>
      </c>
      <c r="R7477" s="894">
        <f t="shared" si="565"/>
        <v>0</v>
      </c>
    </row>
    <row r="7478" spans="1:18" s="904" customFormat="1">
      <c r="A7478" s="895"/>
      <c r="B7478" s="896"/>
      <c r="C7478" s="897"/>
      <c r="D7478" s="897"/>
      <c r="E7478" s="924" t="s">
        <v>276</v>
      </c>
      <c r="F7478" s="927"/>
      <c r="G7478" s="928"/>
      <c r="H7478" s="901"/>
      <c r="I7478" s="902"/>
      <c r="J7478" s="902"/>
      <c r="K7478" s="912" t="s">
        <v>274</v>
      </c>
      <c r="L7478" s="902"/>
      <c r="M7478" s="902"/>
      <c r="N7478" s="902"/>
      <c r="O7478" s="892">
        <f t="shared" si="562"/>
        <v>0</v>
      </c>
      <c r="P7478" s="903">
        <f t="shared" si="563"/>
        <v>1</v>
      </c>
      <c r="Q7478" s="893">
        <f t="shared" si="564"/>
        <v>2</v>
      </c>
      <c r="R7478" s="894">
        <f t="shared" si="565"/>
        <v>0</v>
      </c>
    </row>
    <row r="7479" spans="1:18">
      <c r="A7479" s="905"/>
      <c r="B7479" s="906"/>
      <c r="C7479" s="907">
        <v>745</v>
      </c>
      <c r="D7479" s="907" t="s">
        <v>12</v>
      </c>
      <c r="E7479" s="908" t="s">
        <v>5518</v>
      </c>
      <c r="F7479" s="909" t="s">
        <v>2674</v>
      </c>
      <c r="G7479" s="910"/>
      <c r="H7479" s="911">
        <v>5.3</v>
      </c>
      <c r="I7479" s="912"/>
      <c r="J7479" s="912"/>
      <c r="K7479" s="912">
        <f>VLOOKUP(E7479,[5]ĐMNC!$A$7:$F$67,4,0)</f>
        <v>240557</v>
      </c>
      <c r="L7479" s="912">
        <f>H7479*K7479</f>
        <v>1274952.0999999999</v>
      </c>
      <c r="M7479" s="912"/>
      <c r="N7479" s="912"/>
      <c r="O7479" s="892">
        <f t="shared" si="562"/>
        <v>0</v>
      </c>
      <c r="P7479" s="903">
        <f t="shared" si="563"/>
        <v>1</v>
      </c>
      <c r="Q7479" s="893">
        <f t="shared" si="564"/>
        <v>1</v>
      </c>
      <c r="R7479" s="894">
        <f t="shared" si="565"/>
        <v>0</v>
      </c>
    </row>
    <row r="7480" spans="1:18" s="847" customFormat="1" ht="35.25" customHeight="1">
      <c r="A7480" s="905" t="s">
        <v>6130</v>
      </c>
      <c r="B7480" s="914" t="s">
        <v>6146</v>
      </c>
      <c r="C7480" s="915"/>
      <c r="D7480" s="915"/>
      <c r="E7480" s="916" t="s">
        <v>6147</v>
      </c>
      <c r="F7480" s="917" t="s">
        <v>6094</v>
      </c>
      <c r="G7480" s="944"/>
      <c r="H7480" s="919"/>
      <c r="I7480" s="920"/>
      <c r="J7480" s="891">
        <f>SUM(J7481:J7494)</f>
        <v>389084</v>
      </c>
      <c r="K7480" s="891" t="s">
        <v>274</v>
      </c>
      <c r="L7480" s="891">
        <f>SUM(L7481:L7494)</f>
        <v>1578053.92</v>
      </c>
      <c r="M7480" s="891"/>
      <c r="N7480" s="891">
        <f>SUM(N7481:N7494)</f>
        <v>0</v>
      </c>
      <c r="O7480" s="892">
        <f t="shared" si="562"/>
        <v>1</v>
      </c>
      <c r="P7480" s="903">
        <f t="shared" si="563"/>
        <v>0</v>
      </c>
      <c r="Q7480" s="893">
        <f t="shared" si="564"/>
        <v>0</v>
      </c>
      <c r="R7480" s="894">
        <f t="shared" si="565"/>
        <v>14</v>
      </c>
    </row>
    <row r="7481" spans="1:18" s="904" customFormat="1">
      <c r="A7481" s="895"/>
      <c r="B7481" s="896"/>
      <c r="C7481" s="897"/>
      <c r="D7481" s="897"/>
      <c r="E7481" s="898" t="s">
        <v>108</v>
      </c>
      <c r="F7481" s="899"/>
      <c r="G7481" s="928"/>
      <c r="H7481" s="901"/>
      <c r="I7481" s="902"/>
      <c r="J7481" s="902"/>
      <c r="K7481" s="912" t="s">
        <v>274</v>
      </c>
      <c r="L7481" s="902"/>
      <c r="M7481" s="902"/>
      <c r="N7481" s="902"/>
      <c r="O7481" s="892">
        <f t="shared" si="562"/>
        <v>0</v>
      </c>
      <c r="P7481" s="903">
        <f t="shared" si="563"/>
        <v>1</v>
      </c>
      <c r="Q7481" s="893">
        <f t="shared" si="564"/>
        <v>14</v>
      </c>
      <c r="R7481" s="894">
        <f t="shared" si="565"/>
        <v>0</v>
      </c>
    </row>
    <row r="7482" spans="1:18">
      <c r="A7482" s="905"/>
      <c r="B7482" s="906"/>
      <c r="C7482" s="907">
        <v>67</v>
      </c>
      <c r="D7482" s="907" t="s">
        <v>279</v>
      </c>
      <c r="E7482" s="925" t="s">
        <v>6110</v>
      </c>
      <c r="F7482" s="909" t="s">
        <v>2337</v>
      </c>
      <c r="G7482" s="910"/>
      <c r="H7482" s="911">
        <v>1</v>
      </c>
      <c r="I7482" s="912">
        <f>VLOOKUP(E7482,[3]VLP!$B$7:$K$300,10,0)</f>
        <v>16224</v>
      </c>
      <c r="J7482" s="912">
        <f t="shared" ref="J7482:J7492" si="566">I7482*H7482</f>
        <v>16224</v>
      </c>
      <c r="K7482" s="912" t="s">
        <v>274</v>
      </c>
      <c r="L7482" s="912"/>
      <c r="M7482" s="912"/>
      <c r="N7482" s="912"/>
      <c r="O7482" s="892">
        <f t="shared" si="562"/>
        <v>0</v>
      </c>
      <c r="P7482" s="903">
        <f t="shared" si="563"/>
        <v>1</v>
      </c>
      <c r="Q7482" s="893">
        <f t="shared" si="564"/>
        <v>13</v>
      </c>
      <c r="R7482" s="894">
        <f t="shared" si="565"/>
        <v>0</v>
      </c>
    </row>
    <row r="7483" spans="1:18">
      <c r="A7483" s="905"/>
      <c r="B7483" s="906"/>
      <c r="C7483" s="907">
        <v>24</v>
      </c>
      <c r="D7483" s="907" t="s">
        <v>279</v>
      </c>
      <c r="E7483" s="925" t="s">
        <v>2691</v>
      </c>
      <c r="F7483" s="926" t="s">
        <v>2690</v>
      </c>
      <c r="G7483" s="910"/>
      <c r="H7483" s="911">
        <v>2</v>
      </c>
      <c r="I7483" s="912">
        <f>VLOOKUP(E7483,[3]VLP!$B$7:$K$300,10,0)</f>
        <v>6000</v>
      </c>
      <c r="J7483" s="912">
        <f t="shared" si="566"/>
        <v>12000</v>
      </c>
      <c r="K7483" s="912" t="s">
        <v>274</v>
      </c>
      <c r="L7483" s="912"/>
      <c r="M7483" s="912"/>
      <c r="N7483" s="912"/>
      <c r="O7483" s="892">
        <f t="shared" si="562"/>
        <v>0</v>
      </c>
      <c r="P7483" s="903">
        <f t="shared" si="563"/>
        <v>1</v>
      </c>
      <c r="Q7483" s="893">
        <f t="shared" si="564"/>
        <v>12</v>
      </c>
      <c r="R7483" s="894">
        <f t="shared" si="565"/>
        <v>0</v>
      </c>
    </row>
    <row r="7484" spans="1:18">
      <c r="A7484" s="905"/>
      <c r="B7484" s="906"/>
      <c r="C7484" s="907">
        <v>122</v>
      </c>
      <c r="D7484" s="907" t="s">
        <v>279</v>
      </c>
      <c r="E7484" s="925" t="s">
        <v>3267</v>
      </c>
      <c r="F7484" s="909" t="s">
        <v>45</v>
      </c>
      <c r="G7484" s="910"/>
      <c r="H7484" s="911">
        <v>0.4</v>
      </c>
      <c r="I7484" s="912">
        <f>VLOOKUP(E7484,[3]VLP!$B$7:$K$300,10,0)</f>
        <v>30000</v>
      </c>
      <c r="J7484" s="912">
        <f t="shared" si="566"/>
        <v>12000</v>
      </c>
      <c r="K7484" s="912" t="s">
        <v>274</v>
      </c>
      <c r="L7484" s="912"/>
      <c r="M7484" s="912"/>
      <c r="N7484" s="912"/>
      <c r="O7484" s="892">
        <f t="shared" si="562"/>
        <v>0</v>
      </c>
      <c r="P7484" s="903">
        <f t="shared" si="563"/>
        <v>1</v>
      </c>
      <c r="Q7484" s="893">
        <f t="shared" si="564"/>
        <v>11</v>
      </c>
      <c r="R7484" s="894">
        <f t="shared" si="565"/>
        <v>0</v>
      </c>
    </row>
    <row r="7485" spans="1:18">
      <c r="A7485" s="905"/>
      <c r="B7485" s="906"/>
      <c r="C7485" s="907">
        <v>93</v>
      </c>
      <c r="D7485" s="907" t="s">
        <v>279</v>
      </c>
      <c r="E7485" s="925" t="s">
        <v>6111</v>
      </c>
      <c r="F7485" s="909" t="s">
        <v>45</v>
      </c>
      <c r="G7485" s="910"/>
      <c r="H7485" s="911">
        <v>0.04</v>
      </c>
      <c r="I7485" s="912">
        <f>VLOOKUP(E7485,[3]VLP!$B$7:$K$300,10,0)</f>
        <v>42000</v>
      </c>
      <c r="J7485" s="912">
        <f t="shared" si="566"/>
        <v>1680</v>
      </c>
      <c r="K7485" s="912" t="s">
        <v>274</v>
      </c>
      <c r="L7485" s="912"/>
      <c r="M7485" s="912"/>
      <c r="N7485" s="912"/>
      <c r="O7485" s="892">
        <f t="shared" si="562"/>
        <v>0</v>
      </c>
      <c r="P7485" s="903">
        <f t="shared" si="563"/>
        <v>1</v>
      </c>
      <c r="Q7485" s="893">
        <f t="shared" si="564"/>
        <v>10</v>
      </c>
      <c r="R7485" s="894">
        <f t="shared" si="565"/>
        <v>0</v>
      </c>
    </row>
    <row r="7486" spans="1:18">
      <c r="A7486" s="905"/>
      <c r="B7486" s="906"/>
      <c r="C7486" s="907">
        <v>89</v>
      </c>
      <c r="D7486" s="907" t="s">
        <v>279</v>
      </c>
      <c r="E7486" s="925" t="s">
        <v>5984</v>
      </c>
      <c r="F7486" s="909" t="s">
        <v>45</v>
      </c>
      <c r="G7486" s="910"/>
      <c r="H7486" s="911">
        <v>0.3</v>
      </c>
      <c r="I7486" s="912">
        <f>VLOOKUP(E7486,[3]VLP!$B$7:$K$300,10,0)</f>
        <v>1000</v>
      </c>
      <c r="J7486" s="912">
        <f t="shared" si="566"/>
        <v>300</v>
      </c>
      <c r="K7486" s="912" t="s">
        <v>274</v>
      </c>
      <c r="L7486" s="912"/>
      <c r="M7486" s="912"/>
      <c r="N7486" s="912"/>
      <c r="O7486" s="892">
        <f t="shared" si="562"/>
        <v>0</v>
      </c>
      <c r="P7486" s="903">
        <f t="shared" si="563"/>
        <v>1</v>
      </c>
      <c r="Q7486" s="893">
        <f t="shared" si="564"/>
        <v>9</v>
      </c>
      <c r="R7486" s="894">
        <f t="shared" si="565"/>
        <v>0</v>
      </c>
    </row>
    <row r="7487" spans="1:18">
      <c r="A7487" s="905"/>
      <c r="B7487" s="906"/>
      <c r="C7487" s="907">
        <v>47</v>
      </c>
      <c r="D7487" s="907" t="s">
        <v>279</v>
      </c>
      <c r="E7487" s="925" t="s">
        <v>3170</v>
      </c>
      <c r="F7487" s="909" t="s">
        <v>45</v>
      </c>
      <c r="G7487" s="910"/>
      <c r="H7487" s="911">
        <v>15</v>
      </c>
      <c r="I7487" s="912">
        <f>VLOOKUP(E7487,[3]VLP!$B$7:$K$300,10,0)</f>
        <v>1000</v>
      </c>
      <c r="J7487" s="912">
        <f t="shared" si="566"/>
        <v>15000</v>
      </c>
      <c r="K7487" s="912" t="s">
        <v>274</v>
      </c>
      <c r="L7487" s="912"/>
      <c r="M7487" s="912"/>
      <c r="N7487" s="912"/>
      <c r="O7487" s="892">
        <f t="shared" si="562"/>
        <v>0</v>
      </c>
      <c r="P7487" s="903">
        <f t="shared" si="563"/>
        <v>1</v>
      </c>
      <c r="Q7487" s="893">
        <f t="shared" si="564"/>
        <v>8</v>
      </c>
      <c r="R7487" s="894">
        <f t="shared" si="565"/>
        <v>0</v>
      </c>
    </row>
    <row r="7488" spans="1:18">
      <c r="A7488" s="905"/>
      <c r="B7488" s="906"/>
      <c r="C7488" s="907">
        <v>44</v>
      </c>
      <c r="D7488" s="907" t="s">
        <v>279</v>
      </c>
      <c r="E7488" s="925" t="s">
        <v>2681</v>
      </c>
      <c r="F7488" s="926" t="s">
        <v>45</v>
      </c>
      <c r="G7488" s="910"/>
      <c r="H7488" s="911">
        <v>1</v>
      </c>
      <c r="I7488" s="912">
        <f>VLOOKUP(E7488,[3]VLP!$B$7:$K$300,10,0)</f>
        <v>23000</v>
      </c>
      <c r="J7488" s="912">
        <f t="shared" si="566"/>
        <v>23000</v>
      </c>
      <c r="K7488" s="912" t="s">
        <v>274</v>
      </c>
      <c r="L7488" s="912"/>
      <c r="M7488" s="912"/>
      <c r="N7488" s="912"/>
      <c r="O7488" s="892">
        <f t="shared" si="562"/>
        <v>0</v>
      </c>
      <c r="P7488" s="903">
        <f t="shared" si="563"/>
        <v>1</v>
      </c>
      <c r="Q7488" s="893">
        <f t="shared" si="564"/>
        <v>7</v>
      </c>
      <c r="R7488" s="894">
        <f t="shared" si="565"/>
        <v>0</v>
      </c>
    </row>
    <row r="7489" spans="1:18">
      <c r="A7489" s="905"/>
      <c r="B7489" s="906"/>
      <c r="C7489" s="907">
        <v>66</v>
      </c>
      <c r="D7489" s="907" t="s">
        <v>279</v>
      </c>
      <c r="E7489" s="925" t="s">
        <v>2682</v>
      </c>
      <c r="F7489" s="926" t="s">
        <v>45</v>
      </c>
      <c r="G7489" s="910"/>
      <c r="H7489" s="911">
        <v>0.5</v>
      </c>
      <c r="I7489" s="912">
        <f>VLOOKUP(E7489,[3]VLP!$B$7:$K$300,10,0)</f>
        <v>5000</v>
      </c>
      <c r="J7489" s="912">
        <f t="shared" si="566"/>
        <v>2500</v>
      </c>
      <c r="K7489" s="912" t="s">
        <v>274</v>
      </c>
      <c r="L7489" s="912"/>
      <c r="M7489" s="912"/>
      <c r="N7489" s="912"/>
      <c r="O7489" s="892">
        <f t="shared" si="562"/>
        <v>0</v>
      </c>
      <c r="P7489" s="903">
        <f t="shared" si="563"/>
        <v>1</v>
      </c>
      <c r="Q7489" s="893">
        <f t="shared" si="564"/>
        <v>6</v>
      </c>
      <c r="R7489" s="894">
        <f t="shared" si="565"/>
        <v>0</v>
      </c>
    </row>
    <row r="7490" spans="1:18">
      <c r="A7490" s="905"/>
      <c r="B7490" s="906"/>
      <c r="C7490" s="907">
        <v>46</v>
      </c>
      <c r="D7490" s="907" t="s">
        <v>279</v>
      </c>
      <c r="E7490" s="925" t="s">
        <v>3179</v>
      </c>
      <c r="F7490" s="926" t="s">
        <v>45</v>
      </c>
      <c r="G7490" s="910"/>
      <c r="H7490" s="911">
        <v>11</v>
      </c>
      <c r="I7490" s="912">
        <f>VLOOKUP(E7490,[3]VLP!$B$7:$K$300,10,0)</f>
        <v>20500</v>
      </c>
      <c r="J7490" s="912">
        <f t="shared" si="566"/>
        <v>225500</v>
      </c>
      <c r="K7490" s="912" t="s">
        <v>274</v>
      </c>
      <c r="L7490" s="912"/>
      <c r="M7490" s="912"/>
      <c r="N7490" s="912"/>
      <c r="O7490" s="892">
        <f t="shared" si="562"/>
        <v>0</v>
      </c>
      <c r="P7490" s="903">
        <f t="shared" si="563"/>
        <v>1</v>
      </c>
      <c r="Q7490" s="893">
        <f t="shared" si="564"/>
        <v>5</v>
      </c>
      <c r="R7490" s="894">
        <f t="shared" si="565"/>
        <v>0</v>
      </c>
    </row>
    <row r="7491" spans="1:18">
      <c r="A7491" s="905"/>
      <c r="B7491" s="906"/>
      <c r="C7491" s="907">
        <v>58</v>
      </c>
      <c r="D7491" s="907" t="s">
        <v>279</v>
      </c>
      <c r="E7491" s="925" t="s">
        <v>3190</v>
      </c>
      <c r="F7491" s="926" t="s">
        <v>45</v>
      </c>
      <c r="G7491" s="910"/>
      <c r="H7491" s="911">
        <v>2</v>
      </c>
      <c r="I7491" s="912">
        <f>VLOOKUP(E7491,[3]VLP!$B$7:$K$300,10,0)</f>
        <v>27940</v>
      </c>
      <c r="J7491" s="912">
        <f t="shared" si="566"/>
        <v>55880</v>
      </c>
      <c r="K7491" s="912" t="s">
        <v>274</v>
      </c>
      <c r="L7491" s="912"/>
      <c r="M7491" s="912"/>
      <c r="N7491" s="912"/>
      <c r="O7491" s="892">
        <f t="shared" si="562"/>
        <v>0</v>
      </c>
      <c r="P7491" s="903">
        <f t="shared" si="563"/>
        <v>1</v>
      </c>
      <c r="Q7491" s="893">
        <f t="shared" si="564"/>
        <v>4</v>
      </c>
      <c r="R7491" s="894">
        <f t="shared" si="565"/>
        <v>0</v>
      </c>
    </row>
    <row r="7492" spans="1:18">
      <c r="A7492" s="905"/>
      <c r="B7492" s="906"/>
      <c r="C7492" s="907">
        <v>699</v>
      </c>
      <c r="D7492" s="907" t="s">
        <v>279</v>
      </c>
      <c r="E7492" s="925" t="s">
        <v>4006</v>
      </c>
      <c r="F7492" s="926" t="s">
        <v>4007</v>
      </c>
      <c r="G7492" s="910"/>
      <c r="H7492" s="911">
        <v>5</v>
      </c>
      <c r="I7492" s="912">
        <f>VLOOKUP(E7492,[3]VLP!$B$7:$K$300,10,0)</f>
        <v>5000</v>
      </c>
      <c r="J7492" s="912">
        <f t="shared" si="566"/>
        <v>25000</v>
      </c>
      <c r="K7492" s="912" t="s">
        <v>274</v>
      </c>
      <c r="L7492" s="912"/>
      <c r="M7492" s="912"/>
      <c r="N7492" s="912"/>
      <c r="O7492" s="892">
        <f t="shared" si="562"/>
        <v>0</v>
      </c>
      <c r="P7492" s="903">
        <f t="shared" si="563"/>
        <v>1</v>
      </c>
      <c r="Q7492" s="893">
        <f t="shared" si="564"/>
        <v>3</v>
      </c>
      <c r="R7492" s="894">
        <f t="shared" si="565"/>
        <v>0</v>
      </c>
    </row>
    <row r="7493" spans="1:18" s="904" customFormat="1">
      <c r="A7493" s="895"/>
      <c r="B7493" s="896"/>
      <c r="C7493" s="897"/>
      <c r="D7493" s="897"/>
      <c r="E7493" s="924" t="s">
        <v>276</v>
      </c>
      <c r="F7493" s="927"/>
      <c r="G7493" s="928"/>
      <c r="H7493" s="901"/>
      <c r="I7493" s="902"/>
      <c r="J7493" s="902"/>
      <c r="K7493" s="912" t="s">
        <v>274</v>
      </c>
      <c r="L7493" s="902"/>
      <c r="M7493" s="902"/>
      <c r="N7493" s="902"/>
      <c r="O7493" s="892">
        <f t="shared" si="562"/>
        <v>0</v>
      </c>
      <c r="P7493" s="903">
        <f t="shared" si="563"/>
        <v>1</v>
      </c>
      <c r="Q7493" s="893">
        <f t="shared" si="564"/>
        <v>2</v>
      </c>
      <c r="R7493" s="894">
        <f t="shared" si="565"/>
        <v>0</v>
      </c>
    </row>
    <row r="7494" spans="1:18">
      <c r="A7494" s="905"/>
      <c r="B7494" s="906"/>
      <c r="C7494" s="907">
        <v>745</v>
      </c>
      <c r="D7494" s="907" t="s">
        <v>12</v>
      </c>
      <c r="E7494" s="908" t="s">
        <v>5518</v>
      </c>
      <c r="F7494" s="909" t="s">
        <v>2674</v>
      </c>
      <c r="G7494" s="910"/>
      <c r="H7494" s="911">
        <v>6.56</v>
      </c>
      <c r="I7494" s="912"/>
      <c r="J7494" s="912"/>
      <c r="K7494" s="912">
        <f>VLOOKUP(E7494,[5]ĐMNC!$A$7:$F$67,4,0)</f>
        <v>240557</v>
      </c>
      <c r="L7494" s="912">
        <f>H7494*K7494</f>
        <v>1578053.92</v>
      </c>
      <c r="M7494" s="912"/>
      <c r="N7494" s="912"/>
      <c r="O7494" s="892">
        <f t="shared" si="562"/>
        <v>0</v>
      </c>
      <c r="P7494" s="903">
        <f t="shared" si="563"/>
        <v>1</v>
      </c>
      <c r="Q7494" s="893">
        <f t="shared" si="564"/>
        <v>1</v>
      </c>
      <c r="R7494" s="894">
        <f t="shared" si="565"/>
        <v>0</v>
      </c>
    </row>
    <row r="7495" spans="1:18" s="847" customFormat="1" ht="35.25" customHeight="1">
      <c r="A7495" s="905"/>
      <c r="B7495" s="914" t="s">
        <v>6148</v>
      </c>
      <c r="C7495" s="915"/>
      <c r="D7495" s="915"/>
      <c r="E7495" s="916" t="s">
        <v>6149</v>
      </c>
      <c r="F7495" s="917" t="s">
        <v>6094</v>
      </c>
      <c r="G7495" s="944"/>
      <c r="H7495" s="919"/>
      <c r="I7495" s="920"/>
      <c r="J7495" s="891">
        <f>SUM(J7496:J7509)</f>
        <v>393140</v>
      </c>
      <c r="K7495" s="891" t="s">
        <v>274</v>
      </c>
      <c r="L7495" s="891">
        <f>SUM(L7496:L7509)</f>
        <v>1748849.39</v>
      </c>
      <c r="M7495" s="891"/>
      <c r="N7495" s="891">
        <f>SUM(N7496:N7509)</f>
        <v>0</v>
      </c>
      <c r="O7495" s="892">
        <f t="shared" si="562"/>
        <v>1</v>
      </c>
      <c r="P7495" s="903">
        <f t="shared" si="563"/>
        <v>0</v>
      </c>
      <c r="Q7495" s="893">
        <f t="shared" si="564"/>
        <v>0</v>
      </c>
      <c r="R7495" s="894">
        <f t="shared" si="565"/>
        <v>14</v>
      </c>
    </row>
    <row r="7496" spans="1:18" s="904" customFormat="1">
      <c r="A7496" s="895"/>
      <c r="B7496" s="896"/>
      <c r="C7496" s="897"/>
      <c r="D7496" s="897"/>
      <c r="E7496" s="898" t="s">
        <v>108</v>
      </c>
      <c r="F7496" s="899"/>
      <c r="G7496" s="928"/>
      <c r="H7496" s="901"/>
      <c r="I7496" s="902"/>
      <c r="J7496" s="902"/>
      <c r="K7496" s="912" t="s">
        <v>274</v>
      </c>
      <c r="L7496" s="902"/>
      <c r="M7496" s="902"/>
      <c r="N7496" s="902"/>
      <c r="O7496" s="892">
        <f t="shared" si="562"/>
        <v>0</v>
      </c>
      <c r="P7496" s="903">
        <f t="shared" si="563"/>
        <v>1</v>
      </c>
      <c r="Q7496" s="893">
        <f t="shared" si="564"/>
        <v>14</v>
      </c>
      <c r="R7496" s="894">
        <f t="shared" si="565"/>
        <v>0</v>
      </c>
    </row>
    <row r="7497" spans="1:18">
      <c r="A7497" s="905"/>
      <c r="B7497" s="906"/>
      <c r="C7497" s="907">
        <v>68</v>
      </c>
      <c r="D7497" s="907" t="s">
        <v>279</v>
      </c>
      <c r="E7497" s="925" t="s">
        <v>6114</v>
      </c>
      <c r="F7497" s="909" t="s">
        <v>2337</v>
      </c>
      <c r="G7497" s="910"/>
      <c r="H7497" s="911">
        <v>1</v>
      </c>
      <c r="I7497" s="912">
        <f>VLOOKUP(E7497,[3]VLP!$B$7:$K$300,10,0)</f>
        <v>20280</v>
      </c>
      <c r="J7497" s="912">
        <f t="shared" ref="J7497:J7507" si="567">I7497*H7497</f>
        <v>20280</v>
      </c>
      <c r="K7497" s="912" t="s">
        <v>274</v>
      </c>
      <c r="L7497" s="912"/>
      <c r="M7497" s="912"/>
      <c r="N7497" s="912"/>
      <c r="O7497" s="892">
        <f t="shared" si="562"/>
        <v>0</v>
      </c>
      <c r="P7497" s="903">
        <f t="shared" si="563"/>
        <v>1</v>
      </c>
      <c r="Q7497" s="893">
        <f t="shared" si="564"/>
        <v>13</v>
      </c>
      <c r="R7497" s="894">
        <f t="shared" si="565"/>
        <v>0</v>
      </c>
    </row>
    <row r="7498" spans="1:18">
      <c r="A7498" s="905"/>
      <c r="B7498" s="906"/>
      <c r="C7498" s="907">
        <v>24</v>
      </c>
      <c r="D7498" s="907" t="s">
        <v>279</v>
      </c>
      <c r="E7498" s="925" t="s">
        <v>2691</v>
      </c>
      <c r="F7498" s="926" t="s">
        <v>2690</v>
      </c>
      <c r="G7498" s="910"/>
      <c r="H7498" s="911">
        <v>2</v>
      </c>
      <c r="I7498" s="912">
        <f>VLOOKUP(E7498,[3]VLP!$B$7:$K$300,10,0)</f>
        <v>6000</v>
      </c>
      <c r="J7498" s="912">
        <f t="shared" si="567"/>
        <v>12000</v>
      </c>
      <c r="K7498" s="912" t="s">
        <v>274</v>
      </c>
      <c r="L7498" s="912"/>
      <c r="M7498" s="912"/>
      <c r="N7498" s="912"/>
      <c r="O7498" s="892">
        <f t="shared" si="562"/>
        <v>0</v>
      </c>
      <c r="P7498" s="903">
        <f t="shared" si="563"/>
        <v>1</v>
      </c>
      <c r="Q7498" s="893">
        <f t="shared" si="564"/>
        <v>12</v>
      </c>
      <c r="R7498" s="894">
        <f t="shared" si="565"/>
        <v>0</v>
      </c>
    </row>
    <row r="7499" spans="1:18">
      <c r="A7499" s="905"/>
      <c r="B7499" s="906"/>
      <c r="C7499" s="907">
        <v>122</v>
      </c>
      <c r="D7499" s="907" t="s">
        <v>279</v>
      </c>
      <c r="E7499" s="925" t="s">
        <v>3267</v>
      </c>
      <c r="F7499" s="909" t="s">
        <v>45</v>
      </c>
      <c r="G7499" s="910"/>
      <c r="H7499" s="911">
        <v>0.4</v>
      </c>
      <c r="I7499" s="912">
        <f>VLOOKUP(E7499,[3]VLP!$B$7:$K$300,10,0)</f>
        <v>30000</v>
      </c>
      <c r="J7499" s="912">
        <f t="shared" si="567"/>
        <v>12000</v>
      </c>
      <c r="K7499" s="912" t="s">
        <v>274</v>
      </c>
      <c r="L7499" s="912"/>
      <c r="M7499" s="912"/>
      <c r="N7499" s="912"/>
      <c r="O7499" s="892">
        <f t="shared" si="562"/>
        <v>0</v>
      </c>
      <c r="P7499" s="903">
        <f t="shared" si="563"/>
        <v>1</v>
      </c>
      <c r="Q7499" s="893">
        <f t="shared" si="564"/>
        <v>11</v>
      </c>
      <c r="R7499" s="894">
        <f t="shared" si="565"/>
        <v>0</v>
      </c>
    </row>
    <row r="7500" spans="1:18">
      <c r="A7500" s="905"/>
      <c r="B7500" s="906"/>
      <c r="C7500" s="907">
        <v>93</v>
      </c>
      <c r="D7500" s="907" t="s">
        <v>279</v>
      </c>
      <c r="E7500" s="925" t="s">
        <v>6111</v>
      </c>
      <c r="F7500" s="909" t="s">
        <v>45</v>
      </c>
      <c r="G7500" s="910"/>
      <c r="H7500" s="911">
        <v>0.04</v>
      </c>
      <c r="I7500" s="912">
        <f>VLOOKUP(E7500,[3]VLP!$B$7:$K$300,10,0)</f>
        <v>42000</v>
      </c>
      <c r="J7500" s="912">
        <f t="shared" si="567"/>
        <v>1680</v>
      </c>
      <c r="K7500" s="912" t="s">
        <v>274</v>
      </c>
      <c r="L7500" s="912"/>
      <c r="M7500" s="912"/>
      <c r="N7500" s="912"/>
      <c r="O7500" s="892">
        <f t="shared" si="562"/>
        <v>0</v>
      </c>
      <c r="P7500" s="903">
        <f t="shared" si="563"/>
        <v>1</v>
      </c>
      <c r="Q7500" s="893">
        <f t="shared" si="564"/>
        <v>10</v>
      </c>
      <c r="R7500" s="894">
        <f t="shared" si="565"/>
        <v>0</v>
      </c>
    </row>
    <row r="7501" spans="1:18">
      <c r="A7501" s="905"/>
      <c r="B7501" s="906"/>
      <c r="C7501" s="907">
        <v>89</v>
      </c>
      <c r="D7501" s="907" t="s">
        <v>279</v>
      </c>
      <c r="E7501" s="925" t="s">
        <v>5984</v>
      </c>
      <c r="F7501" s="909" t="s">
        <v>45</v>
      </c>
      <c r="G7501" s="910"/>
      <c r="H7501" s="911">
        <v>0.3</v>
      </c>
      <c r="I7501" s="912">
        <f>VLOOKUP(E7501,[3]VLP!$B$7:$K$300,10,0)</f>
        <v>1000</v>
      </c>
      <c r="J7501" s="912">
        <f t="shared" si="567"/>
        <v>300</v>
      </c>
      <c r="K7501" s="912" t="s">
        <v>274</v>
      </c>
      <c r="L7501" s="912"/>
      <c r="M7501" s="912"/>
      <c r="N7501" s="912"/>
      <c r="O7501" s="892">
        <f t="shared" si="562"/>
        <v>0</v>
      </c>
      <c r="P7501" s="903">
        <f t="shared" si="563"/>
        <v>1</v>
      </c>
      <c r="Q7501" s="893">
        <f t="shared" si="564"/>
        <v>9</v>
      </c>
      <c r="R7501" s="894">
        <f t="shared" si="565"/>
        <v>0</v>
      </c>
    </row>
    <row r="7502" spans="1:18">
      <c r="A7502" s="905"/>
      <c r="B7502" s="906"/>
      <c r="C7502" s="907">
        <v>47</v>
      </c>
      <c r="D7502" s="907" t="s">
        <v>279</v>
      </c>
      <c r="E7502" s="925" t="s">
        <v>3170</v>
      </c>
      <c r="F7502" s="909" t="s">
        <v>45</v>
      </c>
      <c r="G7502" s="910"/>
      <c r="H7502" s="911">
        <v>15</v>
      </c>
      <c r="I7502" s="912">
        <f>VLOOKUP(E7502,[3]VLP!$B$7:$K$300,10,0)</f>
        <v>1000</v>
      </c>
      <c r="J7502" s="912">
        <f t="shared" si="567"/>
        <v>15000</v>
      </c>
      <c r="K7502" s="912" t="s">
        <v>274</v>
      </c>
      <c r="L7502" s="912"/>
      <c r="M7502" s="912"/>
      <c r="N7502" s="912"/>
      <c r="O7502" s="892">
        <f t="shared" si="562"/>
        <v>0</v>
      </c>
      <c r="P7502" s="903">
        <f t="shared" si="563"/>
        <v>1</v>
      </c>
      <c r="Q7502" s="893">
        <f t="shared" si="564"/>
        <v>8</v>
      </c>
      <c r="R7502" s="894">
        <f t="shared" si="565"/>
        <v>0</v>
      </c>
    </row>
    <row r="7503" spans="1:18">
      <c r="A7503" s="905"/>
      <c r="B7503" s="906"/>
      <c r="C7503" s="907">
        <v>44</v>
      </c>
      <c r="D7503" s="907" t="s">
        <v>279</v>
      </c>
      <c r="E7503" s="925" t="s">
        <v>2681</v>
      </c>
      <c r="F7503" s="926" t="s">
        <v>45</v>
      </c>
      <c r="G7503" s="910"/>
      <c r="H7503" s="911">
        <v>1</v>
      </c>
      <c r="I7503" s="912">
        <f>VLOOKUP(E7503,[3]VLP!$B$7:$K$300,10,0)</f>
        <v>23000</v>
      </c>
      <c r="J7503" s="912">
        <f t="shared" si="567"/>
        <v>23000</v>
      </c>
      <c r="K7503" s="912" t="s">
        <v>274</v>
      </c>
      <c r="L7503" s="912"/>
      <c r="M7503" s="912"/>
      <c r="N7503" s="912"/>
      <c r="O7503" s="892">
        <f t="shared" si="562"/>
        <v>0</v>
      </c>
      <c r="P7503" s="903">
        <f t="shared" si="563"/>
        <v>1</v>
      </c>
      <c r="Q7503" s="893">
        <f t="shared" si="564"/>
        <v>7</v>
      </c>
      <c r="R7503" s="894">
        <f t="shared" si="565"/>
        <v>0</v>
      </c>
    </row>
    <row r="7504" spans="1:18">
      <c r="A7504" s="905"/>
      <c r="B7504" s="906"/>
      <c r="C7504" s="907">
        <v>66</v>
      </c>
      <c r="D7504" s="907" t="s">
        <v>279</v>
      </c>
      <c r="E7504" s="925" t="s">
        <v>2682</v>
      </c>
      <c r="F7504" s="926" t="s">
        <v>45</v>
      </c>
      <c r="G7504" s="910"/>
      <c r="H7504" s="911">
        <v>0.5</v>
      </c>
      <c r="I7504" s="912">
        <f>VLOOKUP(E7504,[3]VLP!$B$7:$K$300,10,0)</f>
        <v>5000</v>
      </c>
      <c r="J7504" s="912">
        <f t="shared" si="567"/>
        <v>2500</v>
      </c>
      <c r="K7504" s="912" t="s">
        <v>274</v>
      </c>
      <c r="L7504" s="912"/>
      <c r="M7504" s="912"/>
      <c r="N7504" s="912"/>
      <c r="O7504" s="892">
        <f t="shared" si="562"/>
        <v>0</v>
      </c>
      <c r="P7504" s="903">
        <f t="shared" si="563"/>
        <v>1</v>
      </c>
      <c r="Q7504" s="893">
        <f t="shared" si="564"/>
        <v>6</v>
      </c>
      <c r="R7504" s="894">
        <f t="shared" si="565"/>
        <v>0</v>
      </c>
    </row>
    <row r="7505" spans="1:18">
      <c r="A7505" s="905"/>
      <c r="B7505" s="906"/>
      <c r="C7505" s="907">
        <v>46</v>
      </c>
      <c r="D7505" s="907" t="s">
        <v>279</v>
      </c>
      <c r="E7505" s="925" t="s">
        <v>3179</v>
      </c>
      <c r="F7505" s="926" t="s">
        <v>45</v>
      </c>
      <c r="G7505" s="910"/>
      <c r="H7505" s="911">
        <v>11</v>
      </c>
      <c r="I7505" s="912">
        <f>VLOOKUP(E7505,[3]VLP!$B$7:$K$300,10,0)</f>
        <v>20500</v>
      </c>
      <c r="J7505" s="912">
        <f t="shared" si="567"/>
        <v>225500</v>
      </c>
      <c r="K7505" s="912" t="s">
        <v>274</v>
      </c>
      <c r="L7505" s="912"/>
      <c r="M7505" s="912"/>
      <c r="N7505" s="912"/>
      <c r="O7505" s="892">
        <f t="shared" si="562"/>
        <v>0</v>
      </c>
      <c r="P7505" s="903">
        <f t="shared" si="563"/>
        <v>1</v>
      </c>
      <c r="Q7505" s="893">
        <f t="shared" si="564"/>
        <v>5</v>
      </c>
      <c r="R7505" s="894">
        <f t="shared" si="565"/>
        <v>0</v>
      </c>
    </row>
    <row r="7506" spans="1:18">
      <c r="A7506" s="905"/>
      <c r="B7506" s="906"/>
      <c r="C7506" s="907">
        <v>58</v>
      </c>
      <c r="D7506" s="907" t="s">
        <v>279</v>
      </c>
      <c r="E7506" s="925" t="s">
        <v>3190</v>
      </c>
      <c r="F7506" s="926" t="s">
        <v>45</v>
      </c>
      <c r="G7506" s="910"/>
      <c r="H7506" s="911">
        <v>2</v>
      </c>
      <c r="I7506" s="912">
        <f>VLOOKUP(E7506,[3]VLP!$B$7:$K$300,10,0)</f>
        <v>27940</v>
      </c>
      <c r="J7506" s="912">
        <f t="shared" si="567"/>
        <v>55880</v>
      </c>
      <c r="K7506" s="912" t="s">
        <v>274</v>
      </c>
      <c r="L7506" s="912"/>
      <c r="M7506" s="912"/>
      <c r="N7506" s="912"/>
      <c r="O7506" s="892">
        <f t="shared" si="562"/>
        <v>0</v>
      </c>
      <c r="P7506" s="903">
        <f t="shared" si="563"/>
        <v>1</v>
      </c>
      <c r="Q7506" s="893">
        <f t="shared" si="564"/>
        <v>4</v>
      </c>
      <c r="R7506" s="894">
        <f t="shared" si="565"/>
        <v>0</v>
      </c>
    </row>
    <row r="7507" spans="1:18">
      <c r="A7507" s="905"/>
      <c r="B7507" s="906"/>
      <c r="C7507" s="907">
        <v>699</v>
      </c>
      <c r="D7507" s="907" t="s">
        <v>279</v>
      </c>
      <c r="E7507" s="925" t="s">
        <v>4006</v>
      </c>
      <c r="F7507" s="926" t="s">
        <v>4007</v>
      </c>
      <c r="G7507" s="910"/>
      <c r="H7507" s="911">
        <v>5</v>
      </c>
      <c r="I7507" s="912">
        <f>VLOOKUP(E7507,[3]VLP!$B$7:$K$300,10,0)</f>
        <v>5000</v>
      </c>
      <c r="J7507" s="912">
        <f t="shared" si="567"/>
        <v>25000</v>
      </c>
      <c r="K7507" s="912" t="s">
        <v>274</v>
      </c>
      <c r="L7507" s="912"/>
      <c r="M7507" s="912"/>
      <c r="N7507" s="912"/>
      <c r="O7507" s="892">
        <f t="shared" si="562"/>
        <v>0</v>
      </c>
      <c r="P7507" s="903">
        <f t="shared" si="563"/>
        <v>1</v>
      </c>
      <c r="Q7507" s="893">
        <f t="shared" si="564"/>
        <v>3</v>
      </c>
      <c r="R7507" s="894">
        <f t="shared" si="565"/>
        <v>0</v>
      </c>
    </row>
    <row r="7508" spans="1:18" s="904" customFormat="1">
      <c r="A7508" s="895"/>
      <c r="B7508" s="896"/>
      <c r="C7508" s="897"/>
      <c r="D7508" s="897"/>
      <c r="E7508" s="924" t="s">
        <v>276</v>
      </c>
      <c r="F7508" s="927"/>
      <c r="G7508" s="928"/>
      <c r="H7508" s="901"/>
      <c r="I7508" s="902"/>
      <c r="J7508" s="902"/>
      <c r="K7508" s="912" t="s">
        <v>274</v>
      </c>
      <c r="L7508" s="902"/>
      <c r="M7508" s="902"/>
      <c r="N7508" s="902"/>
      <c r="O7508" s="892">
        <f t="shared" si="562"/>
        <v>0</v>
      </c>
      <c r="P7508" s="903">
        <f t="shared" si="563"/>
        <v>1</v>
      </c>
      <c r="Q7508" s="893">
        <f t="shared" si="564"/>
        <v>2</v>
      </c>
      <c r="R7508" s="894">
        <f t="shared" si="565"/>
        <v>0</v>
      </c>
    </row>
    <row r="7509" spans="1:18">
      <c r="A7509" s="905"/>
      <c r="B7509" s="906"/>
      <c r="C7509" s="907">
        <v>745</v>
      </c>
      <c r="D7509" s="907" t="s">
        <v>12</v>
      </c>
      <c r="E7509" s="908" t="s">
        <v>5518</v>
      </c>
      <c r="F7509" s="909" t="s">
        <v>2674</v>
      </c>
      <c r="G7509" s="910"/>
      <c r="H7509" s="911">
        <v>7.27</v>
      </c>
      <c r="I7509" s="912"/>
      <c r="J7509" s="912"/>
      <c r="K7509" s="912">
        <f>VLOOKUP(E7509,[5]ĐMNC!$A$7:$F$67,4,0)</f>
        <v>240557</v>
      </c>
      <c r="L7509" s="912">
        <f>H7509*K7509</f>
        <v>1748849.39</v>
      </c>
      <c r="M7509" s="912"/>
      <c r="N7509" s="912"/>
      <c r="O7509" s="892">
        <f t="shared" si="562"/>
        <v>0</v>
      </c>
      <c r="P7509" s="903">
        <f t="shared" si="563"/>
        <v>1</v>
      </c>
      <c r="Q7509" s="893">
        <f t="shared" si="564"/>
        <v>1</v>
      </c>
      <c r="R7509" s="894">
        <f t="shared" si="565"/>
        <v>0</v>
      </c>
    </row>
    <row r="7510" spans="1:18" s="847" customFormat="1" ht="35.25" customHeight="1">
      <c r="A7510" s="905"/>
      <c r="B7510" s="914" t="s">
        <v>6150</v>
      </c>
      <c r="C7510" s="915"/>
      <c r="D7510" s="915"/>
      <c r="E7510" s="916" t="s">
        <v>6151</v>
      </c>
      <c r="F7510" s="917" t="s">
        <v>6094</v>
      </c>
      <c r="G7510" s="944"/>
      <c r="H7510" s="919"/>
      <c r="I7510" s="920"/>
      <c r="J7510" s="891">
        <f>SUM(J7511:J7524)</f>
        <v>507000</v>
      </c>
      <c r="K7510" s="891" t="s">
        <v>274</v>
      </c>
      <c r="L7510" s="891">
        <f>SUM(L7511:L7524)</f>
        <v>1919644.86</v>
      </c>
      <c r="M7510" s="891"/>
      <c r="N7510" s="891">
        <f>SUM(N7511:N7524)</f>
        <v>0</v>
      </c>
      <c r="O7510" s="892">
        <f t="shared" si="562"/>
        <v>1</v>
      </c>
      <c r="P7510" s="903">
        <f t="shared" si="563"/>
        <v>0</v>
      </c>
      <c r="Q7510" s="893">
        <f t="shared" si="564"/>
        <v>0</v>
      </c>
      <c r="R7510" s="894">
        <f t="shared" si="565"/>
        <v>14</v>
      </c>
    </row>
    <row r="7511" spans="1:18" s="904" customFormat="1">
      <c r="A7511" s="895"/>
      <c r="B7511" s="896"/>
      <c r="C7511" s="897"/>
      <c r="D7511" s="897"/>
      <c r="E7511" s="898" t="s">
        <v>108</v>
      </c>
      <c r="F7511" s="899"/>
      <c r="G7511" s="928"/>
      <c r="H7511" s="901"/>
      <c r="I7511" s="902"/>
      <c r="J7511" s="902"/>
      <c r="K7511" s="912" t="s">
        <v>274</v>
      </c>
      <c r="L7511" s="902"/>
      <c r="M7511" s="902"/>
      <c r="N7511" s="902"/>
      <c r="O7511" s="892">
        <f t="shared" si="562"/>
        <v>0</v>
      </c>
      <c r="P7511" s="903">
        <f t="shared" si="563"/>
        <v>1</v>
      </c>
      <c r="Q7511" s="893">
        <f t="shared" si="564"/>
        <v>14</v>
      </c>
      <c r="R7511" s="894">
        <f t="shared" si="565"/>
        <v>0</v>
      </c>
    </row>
    <row r="7512" spans="1:18">
      <c r="A7512" s="905"/>
      <c r="B7512" s="906"/>
      <c r="C7512" s="907">
        <v>69</v>
      </c>
      <c r="D7512" s="907" t="s">
        <v>279</v>
      </c>
      <c r="E7512" s="925" t="s">
        <v>6117</v>
      </c>
      <c r="F7512" s="909" t="s">
        <v>2337</v>
      </c>
      <c r="G7512" s="910"/>
      <c r="H7512" s="911">
        <v>1</v>
      </c>
      <c r="I7512" s="912">
        <f>VLOOKUP(E7512,[3]VLP!$B$7:$K$300,10,0)</f>
        <v>27040</v>
      </c>
      <c r="J7512" s="912">
        <f t="shared" ref="J7512:J7522" si="568">I7512*H7512</f>
        <v>27040</v>
      </c>
      <c r="K7512" s="912" t="s">
        <v>274</v>
      </c>
      <c r="L7512" s="912"/>
      <c r="M7512" s="912"/>
      <c r="N7512" s="912"/>
      <c r="O7512" s="892">
        <f t="shared" si="562"/>
        <v>0</v>
      </c>
      <c r="P7512" s="903">
        <f t="shared" si="563"/>
        <v>1</v>
      </c>
      <c r="Q7512" s="893">
        <f t="shared" si="564"/>
        <v>13</v>
      </c>
      <c r="R7512" s="894">
        <f t="shared" si="565"/>
        <v>0</v>
      </c>
    </row>
    <row r="7513" spans="1:18">
      <c r="A7513" s="905"/>
      <c r="B7513" s="906"/>
      <c r="C7513" s="907">
        <v>24</v>
      </c>
      <c r="D7513" s="907" t="s">
        <v>279</v>
      </c>
      <c r="E7513" s="925" t="s">
        <v>2691</v>
      </c>
      <c r="F7513" s="926" t="s">
        <v>2690</v>
      </c>
      <c r="G7513" s="910"/>
      <c r="H7513" s="911">
        <v>2.5</v>
      </c>
      <c r="I7513" s="912">
        <f>VLOOKUP(E7513,[3]VLP!$B$7:$K$300,10,0)</f>
        <v>6000</v>
      </c>
      <c r="J7513" s="912">
        <f t="shared" si="568"/>
        <v>15000</v>
      </c>
      <c r="K7513" s="912" t="s">
        <v>274</v>
      </c>
      <c r="L7513" s="912"/>
      <c r="M7513" s="912"/>
      <c r="N7513" s="912"/>
      <c r="O7513" s="892">
        <f t="shared" si="562"/>
        <v>0</v>
      </c>
      <c r="P7513" s="903">
        <f t="shared" si="563"/>
        <v>1</v>
      </c>
      <c r="Q7513" s="893">
        <f t="shared" si="564"/>
        <v>12</v>
      </c>
      <c r="R7513" s="894">
        <f t="shared" si="565"/>
        <v>0</v>
      </c>
    </row>
    <row r="7514" spans="1:18">
      <c r="A7514" s="905"/>
      <c r="B7514" s="906"/>
      <c r="C7514" s="907">
        <v>122</v>
      </c>
      <c r="D7514" s="907" t="s">
        <v>279</v>
      </c>
      <c r="E7514" s="925" t="s">
        <v>3267</v>
      </c>
      <c r="F7514" s="909" t="s">
        <v>45</v>
      </c>
      <c r="G7514" s="910"/>
      <c r="H7514" s="911">
        <v>0.4</v>
      </c>
      <c r="I7514" s="912">
        <f>VLOOKUP(E7514,[3]VLP!$B$7:$K$300,10,0)</f>
        <v>30000</v>
      </c>
      <c r="J7514" s="912">
        <f t="shared" si="568"/>
        <v>12000</v>
      </c>
      <c r="K7514" s="912" t="s">
        <v>274</v>
      </c>
      <c r="L7514" s="912"/>
      <c r="M7514" s="912"/>
      <c r="N7514" s="912"/>
      <c r="O7514" s="892">
        <f t="shared" si="562"/>
        <v>0</v>
      </c>
      <c r="P7514" s="903">
        <f t="shared" si="563"/>
        <v>1</v>
      </c>
      <c r="Q7514" s="893">
        <f t="shared" si="564"/>
        <v>11</v>
      </c>
      <c r="R7514" s="894">
        <f t="shared" si="565"/>
        <v>0</v>
      </c>
    </row>
    <row r="7515" spans="1:18">
      <c r="A7515" s="905"/>
      <c r="B7515" s="906"/>
      <c r="C7515" s="907">
        <v>93</v>
      </c>
      <c r="D7515" s="907" t="s">
        <v>279</v>
      </c>
      <c r="E7515" s="925" t="s">
        <v>6111</v>
      </c>
      <c r="F7515" s="909" t="s">
        <v>45</v>
      </c>
      <c r="G7515" s="910"/>
      <c r="H7515" s="911">
        <v>0.04</v>
      </c>
      <c r="I7515" s="912">
        <f>VLOOKUP(E7515,[3]VLP!$B$7:$K$300,10,0)</f>
        <v>42000</v>
      </c>
      <c r="J7515" s="912">
        <f t="shared" si="568"/>
        <v>1680</v>
      </c>
      <c r="K7515" s="912" t="s">
        <v>274</v>
      </c>
      <c r="L7515" s="912"/>
      <c r="M7515" s="912"/>
      <c r="N7515" s="912"/>
      <c r="O7515" s="892">
        <f t="shared" si="562"/>
        <v>0</v>
      </c>
      <c r="P7515" s="903">
        <f t="shared" si="563"/>
        <v>1</v>
      </c>
      <c r="Q7515" s="893">
        <f t="shared" si="564"/>
        <v>10</v>
      </c>
      <c r="R7515" s="894">
        <f t="shared" si="565"/>
        <v>0</v>
      </c>
    </row>
    <row r="7516" spans="1:18">
      <c r="A7516" s="905"/>
      <c r="B7516" s="906"/>
      <c r="C7516" s="907">
        <v>89</v>
      </c>
      <c r="D7516" s="907" t="s">
        <v>279</v>
      </c>
      <c r="E7516" s="925" t="s">
        <v>5984</v>
      </c>
      <c r="F7516" s="909" t="s">
        <v>45</v>
      </c>
      <c r="G7516" s="910"/>
      <c r="H7516" s="911">
        <v>0.4</v>
      </c>
      <c r="I7516" s="912">
        <f>VLOOKUP(E7516,[3]VLP!$B$7:$K$300,10,0)</f>
        <v>1000</v>
      </c>
      <c r="J7516" s="912">
        <f t="shared" si="568"/>
        <v>400</v>
      </c>
      <c r="K7516" s="912" t="s">
        <v>274</v>
      </c>
      <c r="L7516" s="912"/>
      <c r="M7516" s="912"/>
      <c r="N7516" s="912"/>
      <c r="O7516" s="892">
        <f t="shared" si="562"/>
        <v>0</v>
      </c>
      <c r="P7516" s="903">
        <f t="shared" si="563"/>
        <v>1</v>
      </c>
      <c r="Q7516" s="893">
        <f t="shared" si="564"/>
        <v>9</v>
      </c>
      <c r="R7516" s="894">
        <f t="shared" si="565"/>
        <v>0</v>
      </c>
    </row>
    <row r="7517" spans="1:18">
      <c r="A7517" s="905"/>
      <c r="B7517" s="906"/>
      <c r="C7517" s="907">
        <v>47</v>
      </c>
      <c r="D7517" s="907" t="s">
        <v>279</v>
      </c>
      <c r="E7517" s="925" t="s">
        <v>3170</v>
      </c>
      <c r="F7517" s="909" t="s">
        <v>45</v>
      </c>
      <c r="G7517" s="910"/>
      <c r="H7517" s="911">
        <v>16</v>
      </c>
      <c r="I7517" s="912">
        <f>VLOOKUP(E7517,[3]VLP!$B$7:$K$300,10,0)</f>
        <v>1000</v>
      </c>
      <c r="J7517" s="912">
        <f t="shared" si="568"/>
        <v>16000</v>
      </c>
      <c r="K7517" s="912" t="s">
        <v>274</v>
      </c>
      <c r="L7517" s="912"/>
      <c r="M7517" s="912"/>
      <c r="N7517" s="912"/>
      <c r="O7517" s="892">
        <f t="shared" si="562"/>
        <v>0</v>
      </c>
      <c r="P7517" s="903">
        <f t="shared" si="563"/>
        <v>1</v>
      </c>
      <c r="Q7517" s="893">
        <f t="shared" si="564"/>
        <v>8</v>
      </c>
      <c r="R7517" s="894">
        <f t="shared" si="565"/>
        <v>0</v>
      </c>
    </row>
    <row r="7518" spans="1:18">
      <c r="A7518" s="905"/>
      <c r="B7518" s="906"/>
      <c r="C7518" s="907">
        <v>44</v>
      </c>
      <c r="D7518" s="907" t="s">
        <v>279</v>
      </c>
      <c r="E7518" s="925" t="s">
        <v>2681</v>
      </c>
      <c r="F7518" s="926" t="s">
        <v>45</v>
      </c>
      <c r="G7518" s="910"/>
      <c r="H7518" s="911">
        <v>1</v>
      </c>
      <c r="I7518" s="912">
        <f>VLOOKUP(E7518,[3]VLP!$B$7:$K$300,10,0)</f>
        <v>23000</v>
      </c>
      <c r="J7518" s="912">
        <f t="shared" si="568"/>
        <v>23000</v>
      </c>
      <c r="K7518" s="912" t="s">
        <v>274</v>
      </c>
      <c r="L7518" s="912"/>
      <c r="M7518" s="912"/>
      <c r="N7518" s="912"/>
      <c r="O7518" s="892">
        <f t="shared" si="562"/>
        <v>0</v>
      </c>
      <c r="P7518" s="903">
        <f t="shared" si="563"/>
        <v>1</v>
      </c>
      <c r="Q7518" s="893">
        <f t="shared" si="564"/>
        <v>7</v>
      </c>
      <c r="R7518" s="894">
        <f t="shared" si="565"/>
        <v>0</v>
      </c>
    </row>
    <row r="7519" spans="1:18">
      <c r="A7519" s="905"/>
      <c r="B7519" s="906"/>
      <c r="C7519" s="907">
        <v>66</v>
      </c>
      <c r="D7519" s="907" t="s">
        <v>279</v>
      </c>
      <c r="E7519" s="925" t="s">
        <v>2682</v>
      </c>
      <c r="F7519" s="926" t="s">
        <v>45</v>
      </c>
      <c r="G7519" s="910"/>
      <c r="H7519" s="911">
        <v>0.6</v>
      </c>
      <c r="I7519" s="912">
        <f>VLOOKUP(E7519,[3]VLP!$B$7:$K$300,10,0)</f>
        <v>5000</v>
      </c>
      <c r="J7519" s="912">
        <f t="shared" si="568"/>
        <v>3000</v>
      </c>
      <c r="K7519" s="912" t="s">
        <v>274</v>
      </c>
      <c r="L7519" s="912"/>
      <c r="M7519" s="912"/>
      <c r="N7519" s="912"/>
      <c r="O7519" s="892">
        <f t="shared" ref="O7519:O7582" si="569">IF(AND(B7519&lt;&gt;"",D7519=""),1,0)</f>
        <v>0</v>
      </c>
      <c r="P7519" s="903">
        <f t="shared" si="563"/>
        <v>1</v>
      </c>
      <c r="Q7519" s="893">
        <f t="shared" si="564"/>
        <v>6</v>
      </c>
      <c r="R7519" s="894">
        <f t="shared" si="565"/>
        <v>0</v>
      </c>
    </row>
    <row r="7520" spans="1:18">
      <c r="A7520" s="905"/>
      <c r="B7520" s="906"/>
      <c r="C7520" s="907">
        <v>46</v>
      </c>
      <c r="D7520" s="907" t="s">
        <v>279</v>
      </c>
      <c r="E7520" s="925" t="s">
        <v>3179</v>
      </c>
      <c r="F7520" s="926" t="s">
        <v>45</v>
      </c>
      <c r="G7520" s="910"/>
      <c r="H7520" s="911">
        <v>16</v>
      </c>
      <c r="I7520" s="912">
        <f>VLOOKUP(E7520,[3]VLP!$B$7:$K$300,10,0)</f>
        <v>20500</v>
      </c>
      <c r="J7520" s="912">
        <f t="shared" si="568"/>
        <v>328000</v>
      </c>
      <c r="K7520" s="912" t="s">
        <v>274</v>
      </c>
      <c r="L7520" s="912"/>
      <c r="M7520" s="912"/>
      <c r="N7520" s="912"/>
      <c r="O7520" s="892">
        <f t="shared" si="569"/>
        <v>0</v>
      </c>
      <c r="P7520" s="903">
        <f t="shared" si="563"/>
        <v>1</v>
      </c>
      <c r="Q7520" s="893">
        <f t="shared" si="564"/>
        <v>5</v>
      </c>
      <c r="R7520" s="894">
        <f t="shared" si="565"/>
        <v>0</v>
      </c>
    </row>
    <row r="7521" spans="1:18">
      <c r="A7521" s="905"/>
      <c r="B7521" s="906"/>
      <c r="C7521" s="907">
        <v>58</v>
      </c>
      <c r="D7521" s="907" t="s">
        <v>279</v>
      </c>
      <c r="E7521" s="925" t="s">
        <v>3190</v>
      </c>
      <c r="F7521" s="926" t="s">
        <v>45</v>
      </c>
      <c r="G7521" s="910"/>
      <c r="H7521" s="911">
        <v>2</v>
      </c>
      <c r="I7521" s="912">
        <f>VLOOKUP(E7521,[3]VLP!$B$7:$K$300,10,0)</f>
        <v>27940</v>
      </c>
      <c r="J7521" s="912">
        <f t="shared" si="568"/>
        <v>55880</v>
      </c>
      <c r="K7521" s="912" t="s">
        <v>274</v>
      </c>
      <c r="L7521" s="912"/>
      <c r="M7521" s="912"/>
      <c r="N7521" s="912"/>
      <c r="O7521" s="892">
        <f t="shared" si="569"/>
        <v>0</v>
      </c>
      <c r="P7521" s="903">
        <f t="shared" si="563"/>
        <v>1</v>
      </c>
      <c r="Q7521" s="893">
        <f t="shared" si="564"/>
        <v>4</v>
      </c>
      <c r="R7521" s="894">
        <f t="shared" si="565"/>
        <v>0</v>
      </c>
    </row>
    <row r="7522" spans="1:18">
      <c r="A7522" s="905"/>
      <c r="B7522" s="906"/>
      <c r="C7522" s="907">
        <v>699</v>
      </c>
      <c r="D7522" s="907" t="s">
        <v>279</v>
      </c>
      <c r="E7522" s="925" t="s">
        <v>4006</v>
      </c>
      <c r="F7522" s="926" t="s">
        <v>4007</v>
      </c>
      <c r="G7522" s="910"/>
      <c r="H7522" s="911">
        <v>5</v>
      </c>
      <c r="I7522" s="912">
        <f>VLOOKUP(E7522,[3]VLP!$B$7:$K$300,10,0)</f>
        <v>5000</v>
      </c>
      <c r="J7522" s="912">
        <f t="shared" si="568"/>
        <v>25000</v>
      </c>
      <c r="K7522" s="912" t="s">
        <v>274</v>
      </c>
      <c r="L7522" s="912"/>
      <c r="M7522" s="912"/>
      <c r="N7522" s="912"/>
      <c r="O7522" s="892">
        <f t="shared" si="569"/>
        <v>0</v>
      </c>
      <c r="P7522" s="903">
        <f t="shared" si="563"/>
        <v>1</v>
      </c>
      <c r="Q7522" s="893">
        <f t="shared" si="564"/>
        <v>3</v>
      </c>
      <c r="R7522" s="894">
        <f t="shared" si="565"/>
        <v>0</v>
      </c>
    </row>
    <row r="7523" spans="1:18" s="904" customFormat="1">
      <c r="A7523" s="895"/>
      <c r="B7523" s="896"/>
      <c r="C7523" s="897"/>
      <c r="D7523" s="897"/>
      <c r="E7523" s="924" t="s">
        <v>276</v>
      </c>
      <c r="F7523" s="927"/>
      <c r="G7523" s="928"/>
      <c r="H7523" s="901"/>
      <c r="I7523" s="902"/>
      <c r="J7523" s="902"/>
      <c r="K7523" s="912" t="s">
        <v>274</v>
      </c>
      <c r="L7523" s="902"/>
      <c r="M7523" s="902"/>
      <c r="N7523" s="902"/>
      <c r="O7523" s="892">
        <f t="shared" si="569"/>
        <v>0</v>
      </c>
      <c r="P7523" s="903">
        <f t="shared" si="563"/>
        <v>1</v>
      </c>
      <c r="Q7523" s="893">
        <f t="shared" si="564"/>
        <v>2</v>
      </c>
      <c r="R7523" s="894">
        <f t="shared" si="565"/>
        <v>0</v>
      </c>
    </row>
    <row r="7524" spans="1:18">
      <c r="A7524" s="905"/>
      <c r="B7524" s="906"/>
      <c r="C7524" s="907">
        <v>745</v>
      </c>
      <c r="D7524" s="907" t="s">
        <v>12</v>
      </c>
      <c r="E7524" s="908" t="s">
        <v>5518</v>
      </c>
      <c r="F7524" s="909" t="s">
        <v>2674</v>
      </c>
      <c r="G7524" s="910"/>
      <c r="H7524" s="911">
        <v>7.98</v>
      </c>
      <c r="I7524" s="912"/>
      <c r="J7524" s="912"/>
      <c r="K7524" s="912">
        <f>VLOOKUP(E7524,[5]ĐMNC!$A$7:$F$67,4,0)</f>
        <v>240557</v>
      </c>
      <c r="L7524" s="912">
        <f>H7524*K7524</f>
        <v>1919644.86</v>
      </c>
      <c r="M7524" s="912"/>
      <c r="N7524" s="912"/>
      <c r="O7524" s="892">
        <f t="shared" si="569"/>
        <v>0</v>
      </c>
      <c r="P7524" s="903">
        <f t="shared" si="563"/>
        <v>1</v>
      </c>
      <c r="Q7524" s="893">
        <f t="shared" si="564"/>
        <v>1</v>
      </c>
      <c r="R7524" s="894">
        <f t="shared" si="565"/>
        <v>0</v>
      </c>
    </row>
    <row r="7525" spans="1:18" s="847" customFormat="1" ht="35.25" customHeight="1">
      <c r="A7525" s="905"/>
      <c r="B7525" s="914" t="s">
        <v>6152</v>
      </c>
      <c r="C7525" s="915"/>
      <c r="D7525" s="915"/>
      <c r="E7525" s="916" t="s">
        <v>6153</v>
      </c>
      <c r="F7525" s="917" t="s">
        <v>6094</v>
      </c>
      <c r="G7525" s="944"/>
      <c r="H7525" s="919"/>
      <c r="I7525" s="920"/>
      <c r="J7525" s="891">
        <f>SUM(J7526:J7539)</f>
        <v>515120</v>
      </c>
      <c r="K7525" s="891" t="s">
        <v>274</v>
      </c>
      <c r="L7525" s="891">
        <f>SUM(L7526:L7539)</f>
        <v>2126523.88</v>
      </c>
      <c r="M7525" s="891"/>
      <c r="N7525" s="891">
        <f>SUM(N7526:N7539)</f>
        <v>0</v>
      </c>
      <c r="O7525" s="892">
        <f t="shared" si="569"/>
        <v>1</v>
      </c>
      <c r="P7525" s="903">
        <f t="shared" si="563"/>
        <v>0</v>
      </c>
      <c r="Q7525" s="893">
        <f t="shared" si="564"/>
        <v>0</v>
      </c>
      <c r="R7525" s="894">
        <f t="shared" si="565"/>
        <v>14</v>
      </c>
    </row>
    <row r="7526" spans="1:18" s="904" customFormat="1">
      <c r="A7526" s="895"/>
      <c r="B7526" s="896"/>
      <c r="C7526" s="897"/>
      <c r="D7526" s="897"/>
      <c r="E7526" s="898" t="s">
        <v>108</v>
      </c>
      <c r="F7526" s="899"/>
      <c r="G7526" s="928"/>
      <c r="H7526" s="901"/>
      <c r="I7526" s="902"/>
      <c r="J7526" s="902"/>
      <c r="K7526" s="912" t="s">
        <v>274</v>
      </c>
      <c r="L7526" s="902"/>
      <c r="M7526" s="902"/>
      <c r="N7526" s="902"/>
      <c r="O7526" s="892">
        <f t="shared" si="569"/>
        <v>0</v>
      </c>
      <c r="P7526" s="903">
        <f t="shared" si="563"/>
        <v>1</v>
      </c>
      <c r="Q7526" s="893">
        <f t="shared" si="564"/>
        <v>14</v>
      </c>
      <c r="R7526" s="894">
        <f t="shared" si="565"/>
        <v>0</v>
      </c>
    </row>
    <row r="7527" spans="1:18">
      <c r="A7527" s="905"/>
      <c r="B7527" s="906"/>
      <c r="C7527" s="907">
        <v>70</v>
      </c>
      <c r="D7527" s="907" t="s">
        <v>279</v>
      </c>
      <c r="E7527" s="925" t="s">
        <v>6120</v>
      </c>
      <c r="F7527" s="909" t="s">
        <v>2337</v>
      </c>
      <c r="G7527" s="910"/>
      <c r="H7527" s="911">
        <v>1</v>
      </c>
      <c r="I7527" s="912">
        <f>VLOOKUP(E7527,[3]VLP!$B$7:$K$300,10,0)</f>
        <v>27040</v>
      </c>
      <c r="J7527" s="912">
        <f t="shared" ref="J7527:J7537" si="570">I7527*H7527</f>
        <v>27040</v>
      </c>
      <c r="K7527" s="912" t="s">
        <v>274</v>
      </c>
      <c r="L7527" s="912"/>
      <c r="M7527" s="912"/>
      <c r="N7527" s="912"/>
      <c r="O7527" s="892">
        <f t="shared" si="569"/>
        <v>0</v>
      </c>
      <c r="P7527" s="903">
        <f t="shared" si="563"/>
        <v>1</v>
      </c>
      <c r="Q7527" s="893">
        <f t="shared" si="564"/>
        <v>13</v>
      </c>
      <c r="R7527" s="894">
        <f t="shared" si="565"/>
        <v>0</v>
      </c>
    </row>
    <row r="7528" spans="1:18">
      <c r="A7528" s="905"/>
      <c r="B7528" s="906"/>
      <c r="C7528" s="907">
        <v>24</v>
      </c>
      <c r="D7528" s="907" t="s">
        <v>279</v>
      </c>
      <c r="E7528" s="925" t="s">
        <v>2691</v>
      </c>
      <c r="F7528" s="926" t="s">
        <v>2690</v>
      </c>
      <c r="G7528" s="910"/>
      <c r="H7528" s="911">
        <v>2.5</v>
      </c>
      <c r="I7528" s="912">
        <f>VLOOKUP(E7528,[3]VLP!$B$7:$K$300,10,0)</f>
        <v>6000</v>
      </c>
      <c r="J7528" s="912">
        <f t="shared" si="570"/>
        <v>15000</v>
      </c>
      <c r="K7528" s="912" t="s">
        <v>274</v>
      </c>
      <c r="L7528" s="912"/>
      <c r="M7528" s="912"/>
      <c r="N7528" s="912"/>
      <c r="O7528" s="892">
        <f t="shared" si="569"/>
        <v>0</v>
      </c>
      <c r="P7528" s="903">
        <f t="shared" ref="P7528:P7591" si="571">IF(O7528=0,1,0)</f>
        <v>1</v>
      </c>
      <c r="Q7528" s="893">
        <f t="shared" ref="Q7528:Q7591" si="572">IF(P7528=0,0,P7528+Q7529)</f>
        <v>12</v>
      </c>
      <c r="R7528" s="894">
        <f t="shared" ref="R7528:R7591" si="573">IF(Q7528=0,Q7529,0)</f>
        <v>0</v>
      </c>
    </row>
    <row r="7529" spans="1:18">
      <c r="A7529" s="905"/>
      <c r="B7529" s="906"/>
      <c r="C7529" s="907">
        <v>122</v>
      </c>
      <c r="D7529" s="907" t="s">
        <v>279</v>
      </c>
      <c r="E7529" s="925" t="s">
        <v>3267</v>
      </c>
      <c r="F7529" s="909" t="s">
        <v>45</v>
      </c>
      <c r="G7529" s="910"/>
      <c r="H7529" s="911">
        <v>0.5</v>
      </c>
      <c r="I7529" s="912">
        <f>VLOOKUP(E7529,[3]VLP!$B$7:$K$300,10,0)</f>
        <v>30000</v>
      </c>
      <c r="J7529" s="912">
        <f t="shared" si="570"/>
        <v>15000</v>
      </c>
      <c r="K7529" s="912" t="s">
        <v>274</v>
      </c>
      <c r="L7529" s="912"/>
      <c r="M7529" s="912"/>
      <c r="N7529" s="912"/>
      <c r="O7529" s="892">
        <f t="shared" si="569"/>
        <v>0</v>
      </c>
      <c r="P7529" s="903">
        <f t="shared" si="571"/>
        <v>1</v>
      </c>
      <c r="Q7529" s="893">
        <f t="shared" si="572"/>
        <v>11</v>
      </c>
      <c r="R7529" s="894">
        <f t="shared" si="573"/>
        <v>0</v>
      </c>
    </row>
    <row r="7530" spans="1:18">
      <c r="A7530" s="905"/>
      <c r="B7530" s="906"/>
      <c r="C7530" s="907">
        <v>93</v>
      </c>
      <c r="D7530" s="907" t="s">
        <v>279</v>
      </c>
      <c r="E7530" s="925" t="s">
        <v>6111</v>
      </c>
      <c r="F7530" s="909" t="s">
        <v>45</v>
      </c>
      <c r="G7530" s="910"/>
      <c r="H7530" s="911">
        <v>0.05</v>
      </c>
      <c r="I7530" s="912">
        <f>VLOOKUP(E7530,[3]VLP!$B$7:$K$300,10,0)</f>
        <v>42000</v>
      </c>
      <c r="J7530" s="912">
        <f t="shared" si="570"/>
        <v>2100</v>
      </c>
      <c r="K7530" s="912" t="s">
        <v>274</v>
      </c>
      <c r="L7530" s="912"/>
      <c r="M7530" s="912"/>
      <c r="N7530" s="912"/>
      <c r="O7530" s="892">
        <f t="shared" si="569"/>
        <v>0</v>
      </c>
      <c r="P7530" s="903">
        <f t="shared" si="571"/>
        <v>1</v>
      </c>
      <c r="Q7530" s="893">
        <f t="shared" si="572"/>
        <v>10</v>
      </c>
      <c r="R7530" s="894">
        <f t="shared" si="573"/>
        <v>0</v>
      </c>
    </row>
    <row r="7531" spans="1:18">
      <c r="A7531" s="905"/>
      <c r="B7531" s="906"/>
      <c r="C7531" s="907">
        <v>89</v>
      </c>
      <c r="D7531" s="907" t="s">
        <v>279</v>
      </c>
      <c r="E7531" s="925" t="s">
        <v>5984</v>
      </c>
      <c r="F7531" s="909" t="s">
        <v>45</v>
      </c>
      <c r="G7531" s="910"/>
      <c r="H7531" s="911">
        <v>0.5</v>
      </c>
      <c r="I7531" s="912">
        <f>VLOOKUP(E7531,[3]VLP!$B$7:$K$300,10,0)</f>
        <v>1000</v>
      </c>
      <c r="J7531" s="912">
        <f t="shared" si="570"/>
        <v>500</v>
      </c>
      <c r="K7531" s="912" t="s">
        <v>274</v>
      </c>
      <c r="L7531" s="912"/>
      <c r="M7531" s="912"/>
      <c r="N7531" s="912"/>
      <c r="O7531" s="892">
        <f t="shared" si="569"/>
        <v>0</v>
      </c>
      <c r="P7531" s="903">
        <f t="shared" si="571"/>
        <v>1</v>
      </c>
      <c r="Q7531" s="893">
        <f t="shared" si="572"/>
        <v>9</v>
      </c>
      <c r="R7531" s="894">
        <f t="shared" si="573"/>
        <v>0</v>
      </c>
    </row>
    <row r="7532" spans="1:18">
      <c r="A7532" s="905"/>
      <c r="B7532" s="906"/>
      <c r="C7532" s="907">
        <v>47</v>
      </c>
      <c r="D7532" s="907" t="s">
        <v>279</v>
      </c>
      <c r="E7532" s="925" t="s">
        <v>3170</v>
      </c>
      <c r="F7532" s="909" t="s">
        <v>45</v>
      </c>
      <c r="G7532" s="910"/>
      <c r="H7532" s="911">
        <v>16</v>
      </c>
      <c r="I7532" s="912">
        <f>VLOOKUP(E7532,[3]VLP!$B$7:$K$300,10,0)</f>
        <v>1000</v>
      </c>
      <c r="J7532" s="912">
        <f t="shared" si="570"/>
        <v>16000</v>
      </c>
      <c r="K7532" s="912" t="s">
        <v>274</v>
      </c>
      <c r="L7532" s="912"/>
      <c r="M7532" s="912"/>
      <c r="N7532" s="912"/>
      <c r="O7532" s="892">
        <f t="shared" si="569"/>
        <v>0</v>
      </c>
      <c r="P7532" s="903">
        <f t="shared" si="571"/>
        <v>1</v>
      </c>
      <c r="Q7532" s="893">
        <f t="shared" si="572"/>
        <v>8</v>
      </c>
      <c r="R7532" s="894">
        <f t="shared" si="573"/>
        <v>0</v>
      </c>
    </row>
    <row r="7533" spans="1:18">
      <c r="A7533" s="905"/>
      <c r="B7533" s="906"/>
      <c r="C7533" s="907">
        <v>44</v>
      </c>
      <c r="D7533" s="907" t="s">
        <v>279</v>
      </c>
      <c r="E7533" s="925" t="s">
        <v>2681</v>
      </c>
      <c r="F7533" s="926" t="s">
        <v>45</v>
      </c>
      <c r="G7533" s="910"/>
      <c r="H7533" s="911">
        <v>1.2</v>
      </c>
      <c r="I7533" s="912">
        <f>VLOOKUP(E7533,[3]VLP!$B$7:$K$300,10,0)</f>
        <v>23000</v>
      </c>
      <c r="J7533" s="912">
        <f t="shared" si="570"/>
        <v>27600</v>
      </c>
      <c r="K7533" s="912" t="s">
        <v>274</v>
      </c>
      <c r="L7533" s="912"/>
      <c r="M7533" s="912"/>
      <c r="N7533" s="912"/>
      <c r="O7533" s="892">
        <f t="shared" si="569"/>
        <v>0</v>
      </c>
      <c r="P7533" s="903">
        <f t="shared" si="571"/>
        <v>1</v>
      </c>
      <c r="Q7533" s="893">
        <f t="shared" si="572"/>
        <v>7</v>
      </c>
      <c r="R7533" s="894">
        <f t="shared" si="573"/>
        <v>0</v>
      </c>
    </row>
    <row r="7534" spans="1:18">
      <c r="A7534" s="905"/>
      <c r="B7534" s="906"/>
      <c r="C7534" s="907">
        <v>66</v>
      </c>
      <c r="D7534" s="907" t="s">
        <v>279</v>
      </c>
      <c r="E7534" s="925" t="s">
        <v>2682</v>
      </c>
      <c r="F7534" s="926" t="s">
        <v>45</v>
      </c>
      <c r="G7534" s="910"/>
      <c r="H7534" s="911">
        <v>0.6</v>
      </c>
      <c r="I7534" s="912">
        <f>VLOOKUP(E7534,[3]VLP!$B$7:$K$300,10,0)</f>
        <v>5000</v>
      </c>
      <c r="J7534" s="912">
        <f t="shared" si="570"/>
        <v>3000</v>
      </c>
      <c r="K7534" s="912" t="s">
        <v>274</v>
      </c>
      <c r="L7534" s="912"/>
      <c r="M7534" s="912"/>
      <c r="N7534" s="912"/>
      <c r="O7534" s="892">
        <f t="shared" si="569"/>
        <v>0</v>
      </c>
      <c r="P7534" s="903">
        <f t="shared" si="571"/>
        <v>1</v>
      </c>
      <c r="Q7534" s="893">
        <f t="shared" si="572"/>
        <v>6</v>
      </c>
      <c r="R7534" s="894">
        <f t="shared" si="573"/>
        <v>0</v>
      </c>
    </row>
    <row r="7535" spans="1:18">
      <c r="A7535" s="905"/>
      <c r="B7535" s="906"/>
      <c r="C7535" s="907">
        <v>46</v>
      </c>
      <c r="D7535" s="907" t="s">
        <v>279</v>
      </c>
      <c r="E7535" s="925" t="s">
        <v>3179</v>
      </c>
      <c r="F7535" s="926" t="s">
        <v>45</v>
      </c>
      <c r="G7535" s="910"/>
      <c r="H7535" s="911">
        <v>16</v>
      </c>
      <c r="I7535" s="912">
        <f>VLOOKUP(E7535,[3]VLP!$B$7:$K$300,10,0)</f>
        <v>20500</v>
      </c>
      <c r="J7535" s="912">
        <f t="shared" si="570"/>
        <v>328000</v>
      </c>
      <c r="K7535" s="912" t="s">
        <v>274</v>
      </c>
      <c r="L7535" s="912"/>
      <c r="M7535" s="912"/>
      <c r="N7535" s="912"/>
      <c r="O7535" s="892">
        <f t="shared" si="569"/>
        <v>0</v>
      </c>
      <c r="P7535" s="903">
        <f t="shared" si="571"/>
        <v>1</v>
      </c>
      <c r="Q7535" s="893">
        <f t="shared" si="572"/>
        <v>5</v>
      </c>
      <c r="R7535" s="894">
        <f t="shared" si="573"/>
        <v>0</v>
      </c>
    </row>
    <row r="7536" spans="1:18">
      <c r="A7536" s="905"/>
      <c r="B7536" s="906"/>
      <c r="C7536" s="907">
        <v>58</v>
      </c>
      <c r="D7536" s="907" t="s">
        <v>279</v>
      </c>
      <c r="E7536" s="925" t="s">
        <v>3190</v>
      </c>
      <c r="F7536" s="926" t="s">
        <v>45</v>
      </c>
      <c r="G7536" s="910"/>
      <c r="H7536" s="911">
        <v>2</v>
      </c>
      <c r="I7536" s="912">
        <f>VLOOKUP(E7536,[3]VLP!$B$7:$K$300,10,0)</f>
        <v>27940</v>
      </c>
      <c r="J7536" s="912">
        <f t="shared" si="570"/>
        <v>55880</v>
      </c>
      <c r="K7536" s="912" t="s">
        <v>274</v>
      </c>
      <c r="L7536" s="912"/>
      <c r="M7536" s="912"/>
      <c r="N7536" s="912"/>
      <c r="O7536" s="892">
        <f t="shared" si="569"/>
        <v>0</v>
      </c>
      <c r="P7536" s="903">
        <f t="shared" si="571"/>
        <v>1</v>
      </c>
      <c r="Q7536" s="893">
        <f t="shared" si="572"/>
        <v>4</v>
      </c>
      <c r="R7536" s="894">
        <f t="shared" si="573"/>
        <v>0</v>
      </c>
    </row>
    <row r="7537" spans="1:18">
      <c r="A7537" s="905"/>
      <c r="B7537" s="906"/>
      <c r="C7537" s="907">
        <v>699</v>
      </c>
      <c r="D7537" s="907" t="s">
        <v>279</v>
      </c>
      <c r="E7537" s="925" t="s">
        <v>4006</v>
      </c>
      <c r="F7537" s="926" t="s">
        <v>4007</v>
      </c>
      <c r="G7537" s="910"/>
      <c r="H7537" s="911">
        <v>5</v>
      </c>
      <c r="I7537" s="912">
        <f>VLOOKUP(E7537,[3]VLP!$B$7:$K$300,10,0)</f>
        <v>5000</v>
      </c>
      <c r="J7537" s="912">
        <f t="shared" si="570"/>
        <v>25000</v>
      </c>
      <c r="K7537" s="912" t="s">
        <v>274</v>
      </c>
      <c r="L7537" s="912"/>
      <c r="M7537" s="912"/>
      <c r="N7537" s="912"/>
      <c r="O7537" s="892">
        <f t="shared" si="569"/>
        <v>0</v>
      </c>
      <c r="P7537" s="903">
        <f t="shared" si="571"/>
        <v>1</v>
      </c>
      <c r="Q7537" s="893">
        <f t="shared" si="572"/>
        <v>3</v>
      </c>
      <c r="R7537" s="894">
        <f t="shared" si="573"/>
        <v>0</v>
      </c>
    </row>
    <row r="7538" spans="1:18" s="904" customFormat="1">
      <c r="A7538" s="895"/>
      <c r="B7538" s="896"/>
      <c r="C7538" s="897"/>
      <c r="D7538" s="897"/>
      <c r="E7538" s="924" t="s">
        <v>276</v>
      </c>
      <c r="F7538" s="927"/>
      <c r="G7538" s="928"/>
      <c r="H7538" s="901"/>
      <c r="I7538" s="902"/>
      <c r="J7538" s="902"/>
      <c r="K7538" s="912" t="s">
        <v>274</v>
      </c>
      <c r="L7538" s="902"/>
      <c r="M7538" s="902"/>
      <c r="N7538" s="902"/>
      <c r="O7538" s="892">
        <f t="shared" si="569"/>
        <v>0</v>
      </c>
      <c r="P7538" s="903">
        <f t="shared" si="571"/>
        <v>1</v>
      </c>
      <c r="Q7538" s="893">
        <f t="shared" si="572"/>
        <v>2</v>
      </c>
      <c r="R7538" s="894">
        <f t="shared" si="573"/>
        <v>0</v>
      </c>
    </row>
    <row r="7539" spans="1:18">
      <c r="A7539" s="905"/>
      <c r="B7539" s="906"/>
      <c r="C7539" s="907">
        <v>745</v>
      </c>
      <c r="D7539" s="907" t="s">
        <v>12</v>
      </c>
      <c r="E7539" s="908" t="s">
        <v>5518</v>
      </c>
      <c r="F7539" s="909" t="s">
        <v>2674</v>
      </c>
      <c r="G7539" s="910"/>
      <c r="H7539" s="911">
        <v>8.84</v>
      </c>
      <c r="I7539" s="912"/>
      <c r="J7539" s="912"/>
      <c r="K7539" s="912">
        <f>VLOOKUP(E7539,[5]ĐMNC!$A$7:$F$67,4,0)</f>
        <v>240557</v>
      </c>
      <c r="L7539" s="912">
        <f>H7539*K7539</f>
        <v>2126523.88</v>
      </c>
      <c r="M7539" s="912"/>
      <c r="N7539" s="912"/>
      <c r="O7539" s="892">
        <f t="shared" si="569"/>
        <v>0</v>
      </c>
      <c r="P7539" s="903">
        <f t="shared" si="571"/>
        <v>1</v>
      </c>
      <c r="Q7539" s="893">
        <f t="shared" si="572"/>
        <v>1</v>
      </c>
      <c r="R7539" s="894">
        <f t="shared" si="573"/>
        <v>0</v>
      </c>
    </row>
    <row r="7540" spans="1:18" s="847" customFormat="1" ht="35.25" customHeight="1">
      <c r="A7540" s="905" t="s">
        <v>6135</v>
      </c>
      <c r="B7540" s="914" t="s">
        <v>6154</v>
      </c>
      <c r="C7540" s="915"/>
      <c r="D7540" s="915"/>
      <c r="E7540" s="916" t="s">
        <v>6155</v>
      </c>
      <c r="F7540" s="917" t="s">
        <v>6094</v>
      </c>
      <c r="G7540" s="944"/>
      <c r="H7540" s="919"/>
      <c r="I7540" s="920"/>
      <c r="J7540" s="891">
        <f>SUM(J7541:J7554)</f>
        <v>587880</v>
      </c>
      <c r="K7540" s="891" t="s">
        <v>274</v>
      </c>
      <c r="L7540" s="891">
        <f>SUM(L7541:L7554)</f>
        <v>2355053.0299999998</v>
      </c>
      <c r="M7540" s="891"/>
      <c r="N7540" s="891">
        <f>SUM(N7541:N7554)</f>
        <v>0</v>
      </c>
      <c r="O7540" s="892">
        <f t="shared" si="569"/>
        <v>1</v>
      </c>
      <c r="P7540" s="903">
        <f t="shared" si="571"/>
        <v>0</v>
      </c>
      <c r="Q7540" s="893">
        <f t="shared" si="572"/>
        <v>0</v>
      </c>
      <c r="R7540" s="894">
        <f t="shared" si="573"/>
        <v>14</v>
      </c>
    </row>
    <row r="7541" spans="1:18" s="904" customFormat="1">
      <c r="A7541" s="895"/>
      <c r="B7541" s="896"/>
      <c r="C7541" s="897"/>
      <c r="D7541" s="897"/>
      <c r="E7541" s="898" t="s">
        <v>108</v>
      </c>
      <c r="F7541" s="899"/>
      <c r="G7541" s="928"/>
      <c r="H7541" s="901"/>
      <c r="I7541" s="902"/>
      <c r="J7541" s="902"/>
      <c r="K7541" s="912" t="s">
        <v>274</v>
      </c>
      <c r="L7541" s="902"/>
      <c r="M7541" s="902"/>
      <c r="N7541" s="902"/>
      <c r="O7541" s="892">
        <f t="shared" si="569"/>
        <v>0</v>
      </c>
      <c r="P7541" s="903">
        <f t="shared" si="571"/>
        <v>1</v>
      </c>
      <c r="Q7541" s="893">
        <f t="shared" si="572"/>
        <v>14</v>
      </c>
      <c r="R7541" s="894">
        <f t="shared" si="573"/>
        <v>0</v>
      </c>
    </row>
    <row r="7542" spans="1:18">
      <c r="A7542" s="905"/>
      <c r="B7542" s="906"/>
      <c r="C7542" s="907">
        <v>71</v>
      </c>
      <c r="D7542" s="907" t="s">
        <v>279</v>
      </c>
      <c r="E7542" s="925" t="s">
        <v>6123</v>
      </c>
      <c r="F7542" s="909" t="s">
        <v>2337</v>
      </c>
      <c r="G7542" s="910"/>
      <c r="H7542" s="911">
        <v>1</v>
      </c>
      <c r="I7542" s="912">
        <f>VLOOKUP(E7542,[3]VLP!$B$7:$K$300,10,0)</f>
        <v>33800</v>
      </c>
      <c r="J7542" s="912">
        <f t="shared" ref="J7542:J7552" si="574">I7542*H7542</f>
        <v>33800</v>
      </c>
      <c r="K7542" s="912" t="s">
        <v>274</v>
      </c>
      <c r="L7542" s="912"/>
      <c r="M7542" s="912"/>
      <c r="N7542" s="912"/>
      <c r="O7542" s="892">
        <f t="shared" si="569"/>
        <v>0</v>
      </c>
      <c r="P7542" s="903">
        <f t="shared" si="571"/>
        <v>1</v>
      </c>
      <c r="Q7542" s="893">
        <f t="shared" si="572"/>
        <v>13</v>
      </c>
      <c r="R7542" s="894">
        <f t="shared" si="573"/>
        <v>0</v>
      </c>
    </row>
    <row r="7543" spans="1:18">
      <c r="A7543" s="905"/>
      <c r="B7543" s="906"/>
      <c r="C7543" s="907">
        <v>24</v>
      </c>
      <c r="D7543" s="907" t="s">
        <v>279</v>
      </c>
      <c r="E7543" s="925" t="s">
        <v>2691</v>
      </c>
      <c r="F7543" s="926" t="s">
        <v>2690</v>
      </c>
      <c r="G7543" s="910"/>
      <c r="H7543" s="911">
        <v>3</v>
      </c>
      <c r="I7543" s="912">
        <f>VLOOKUP(E7543,[3]VLP!$B$7:$K$300,10,0)</f>
        <v>6000</v>
      </c>
      <c r="J7543" s="912">
        <f t="shared" si="574"/>
        <v>18000</v>
      </c>
      <c r="K7543" s="912" t="s">
        <v>274</v>
      </c>
      <c r="L7543" s="912"/>
      <c r="M7543" s="912"/>
      <c r="N7543" s="912"/>
      <c r="O7543" s="892">
        <f t="shared" si="569"/>
        <v>0</v>
      </c>
      <c r="P7543" s="903">
        <f t="shared" si="571"/>
        <v>1</v>
      </c>
      <c r="Q7543" s="893">
        <f t="shared" si="572"/>
        <v>12</v>
      </c>
      <c r="R7543" s="894">
        <f t="shared" si="573"/>
        <v>0</v>
      </c>
    </row>
    <row r="7544" spans="1:18">
      <c r="A7544" s="905"/>
      <c r="B7544" s="906"/>
      <c r="C7544" s="907">
        <v>122</v>
      </c>
      <c r="D7544" s="907" t="s">
        <v>279</v>
      </c>
      <c r="E7544" s="925" t="s">
        <v>3267</v>
      </c>
      <c r="F7544" s="909" t="s">
        <v>45</v>
      </c>
      <c r="G7544" s="910"/>
      <c r="H7544" s="911">
        <v>0.5</v>
      </c>
      <c r="I7544" s="912">
        <f>VLOOKUP(E7544,[3]VLP!$B$7:$K$300,10,0)</f>
        <v>30000</v>
      </c>
      <c r="J7544" s="912">
        <f t="shared" si="574"/>
        <v>15000</v>
      </c>
      <c r="K7544" s="912" t="s">
        <v>274</v>
      </c>
      <c r="L7544" s="912"/>
      <c r="M7544" s="912"/>
      <c r="N7544" s="912"/>
      <c r="O7544" s="892">
        <f t="shared" si="569"/>
        <v>0</v>
      </c>
      <c r="P7544" s="903">
        <f t="shared" si="571"/>
        <v>1</v>
      </c>
      <c r="Q7544" s="893">
        <f t="shared" si="572"/>
        <v>11</v>
      </c>
      <c r="R7544" s="894">
        <f t="shared" si="573"/>
        <v>0</v>
      </c>
    </row>
    <row r="7545" spans="1:18">
      <c r="A7545" s="905"/>
      <c r="B7545" s="906"/>
      <c r="C7545" s="907">
        <v>93</v>
      </c>
      <c r="D7545" s="907" t="s">
        <v>279</v>
      </c>
      <c r="E7545" s="925" t="s">
        <v>6111</v>
      </c>
      <c r="F7545" s="909" t="s">
        <v>45</v>
      </c>
      <c r="G7545" s="910"/>
      <c r="H7545" s="911">
        <v>0.05</v>
      </c>
      <c r="I7545" s="912">
        <f>VLOOKUP(E7545,[3]VLP!$B$7:$K$300,10,0)</f>
        <v>42000</v>
      </c>
      <c r="J7545" s="912">
        <f t="shared" si="574"/>
        <v>2100</v>
      </c>
      <c r="K7545" s="912" t="s">
        <v>274</v>
      </c>
      <c r="L7545" s="912"/>
      <c r="M7545" s="912"/>
      <c r="N7545" s="912"/>
      <c r="O7545" s="892">
        <f t="shared" si="569"/>
        <v>0</v>
      </c>
      <c r="P7545" s="903">
        <f t="shared" si="571"/>
        <v>1</v>
      </c>
      <c r="Q7545" s="893">
        <f t="shared" si="572"/>
        <v>10</v>
      </c>
      <c r="R7545" s="894">
        <f t="shared" si="573"/>
        <v>0</v>
      </c>
    </row>
    <row r="7546" spans="1:18">
      <c r="A7546" s="905"/>
      <c r="B7546" s="906"/>
      <c r="C7546" s="907">
        <v>89</v>
      </c>
      <c r="D7546" s="907" t="s">
        <v>279</v>
      </c>
      <c r="E7546" s="925" t="s">
        <v>5984</v>
      </c>
      <c r="F7546" s="909" t="s">
        <v>45</v>
      </c>
      <c r="G7546" s="910"/>
      <c r="H7546" s="911">
        <v>0.5</v>
      </c>
      <c r="I7546" s="912">
        <f>VLOOKUP(E7546,[3]VLP!$B$7:$K$300,10,0)</f>
        <v>1000</v>
      </c>
      <c r="J7546" s="912">
        <f t="shared" si="574"/>
        <v>500</v>
      </c>
      <c r="K7546" s="912" t="s">
        <v>274</v>
      </c>
      <c r="L7546" s="912"/>
      <c r="M7546" s="912"/>
      <c r="N7546" s="912"/>
      <c r="O7546" s="892">
        <f t="shared" si="569"/>
        <v>0</v>
      </c>
      <c r="P7546" s="903">
        <f t="shared" si="571"/>
        <v>1</v>
      </c>
      <c r="Q7546" s="893">
        <f t="shared" si="572"/>
        <v>9</v>
      </c>
      <c r="R7546" s="894">
        <f t="shared" si="573"/>
        <v>0</v>
      </c>
    </row>
    <row r="7547" spans="1:18">
      <c r="A7547" s="905"/>
      <c r="B7547" s="906"/>
      <c r="C7547" s="907">
        <v>47</v>
      </c>
      <c r="D7547" s="907" t="s">
        <v>279</v>
      </c>
      <c r="E7547" s="925" t="s">
        <v>3170</v>
      </c>
      <c r="F7547" s="909" t="s">
        <v>45</v>
      </c>
      <c r="G7547" s="910"/>
      <c r="H7547" s="911">
        <v>17</v>
      </c>
      <c r="I7547" s="912">
        <f>VLOOKUP(E7547,[3]VLP!$B$7:$K$300,10,0)</f>
        <v>1000</v>
      </c>
      <c r="J7547" s="912">
        <f t="shared" si="574"/>
        <v>17000</v>
      </c>
      <c r="K7547" s="912" t="s">
        <v>274</v>
      </c>
      <c r="L7547" s="912"/>
      <c r="M7547" s="912"/>
      <c r="N7547" s="912"/>
      <c r="O7547" s="892">
        <f t="shared" si="569"/>
        <v>0</v>
      </c>
      <c r="P7547" s="903">
        <f t="shared" si="571"/>
        <v>1</v>
      </c>
      <c r="Q7547" s="893">
        <f t="shared" si="572"/>
        <v>8</v>
      </c>
      <c r="R7547" s="894">
        <f t="shared" si="573"/>
        <v>0</v>
      </c>
    </row>
    <row r="7548" spans="1:18">
      <c r="A7548" s="905"/>
      <c r="B7548" s="906"/>
      <c r="C7548" s="907">
        <v>44</v>
      </c>
      <c r="D7548" s="907" t="s">
        <v>279</v>
      </c>
      <c r="E7548" s="925" t="s">
        <v>2681</v>
      </c>
      <c r="F7548" s="926" t="s">
        <v>45</v>
      </c>
      <c r="G7548" s="910"/>
      <c r="H7548" s="911">
        <v>1.2</v>
      </c>
      <c r="I7548" s="912">
        <f>VLOOKUP(E7548,[3]VLP!$B$7:$K$300,10,0)</f>
        <v>23000</v>
      </c>
      <c r="J7548" s="912">
        <f t="shared" si="574"/>
        <v>27600</v>
      </c>
      <c r="K7548" s="912" t="s">
        <v>274</v>
      </c>
      <c r="L7548" s="912"/>
      <c r="M7548" s="912"/>
      <c r="N7548" s="912"/>
      <c r="O7548" s="892">
        <f t="shared" si="569"/>
        <v>0</v>
      </c>
      <c r="P7548" s="903">
        <f t="shared" si="571"/>
        <v>1</v>
      </c>
      <c r="Q7548" s="893">
        <f t="shared" si="572"/>
        <v>7</v>
      </c>
      <c r="R7548" s="894">
        <f t="shared" si="573"/>
        <v>0</v>
      </c>
    </row>
    <row r="7549" spans="1:18">
      <c r="A7549" s="905"/>
      <c r="B7549" s="906"/>
      <c r="C7549" s="907">
        <v>66</v>
      </c>
      <c r="D7549" s="907" t="s">
        <v>279</v>
      </c>
      <c r="E7549" s="925" t="s">
        <v>2682</v>
      </c>
      <c r="F7549" s="926" t="s">
        <v>45</v>
      </c>
      <c r="G7549" s="910"/>
      <c r="H7549" s="911">
        <v>0.7</v>
      </c>
      <c r="I7549" s="912">
        <f>VLOOKUP(E7549,[3]VLP!$B$7:$K$300,10,0)</f>
        <v>5000</v>
      </c>
      <c r="J7549" s="912">
        <f t="shared" si="574"/>
        <v>3500</v>
      </c>
      <c r="K7549" s="912" t="s">
        <v>274</v>
      </c>
      <c r="L7549" s="912"/>
      <c r="M7549" s="912"/>
      <c r="N7549" s="912"/>
      <c r="O7549" s="892">
        <f t="shared" si="569"/>
        <v>0</v>
      </c>
      <c r="P7549" s="903">
        <f t="shared" si="571"/>
        <v>1</v>
      </c>
      <c r="Q7549" s="893">
        <f t="shared" si="572"/>
        <v>6</v>
      </c>
      <c r="R7549" s="894">
        <f t="shared" si="573"/>
        <v>0</v>
      </c>
    </row>
    <row r="7550" spans="1:18">
      <c r="A7550" s="905"/>
      <c r="B7550" s="906"/>
      <c r="C7550" s="907">
        <v>46</v>
      </c>
      <c r="D7550" s="907" t="s">
        <v>279</v>
      </c>
      <c r="E7550" s="925" t="s">
        <v>3179</v>
      </c>
      <c r="F7550" s="926" t="s">
        <v>45</v>
      </c>
      <c r="G7550" s="910"/>
      <c r="H7550" s="911">
        <v>19</v>
      </c>
      <c r="I7550" s="912">
        <f>VLOOKUP(E7550,[3]VLP!$B$7:$K$300,10,0)</f>
        <v>20500</v>
      </c>
      <c r="J7550" s="912">
        <f t="shared" si="574"/>
        <v>389500</v>
      </c>
      <c r="K7550" s="912" t="s">
        <v>274</v>
      </c>
      <c r="L7550" s="912"/>
      <c r="M7550" s="912"/>
      <c r="N7550" s="912"/>
      <c r="O7550" s="892">
        <f t="shared" si="569"/>
        <v>0</v>
      </c>
      <c r="P7550" s="903">
        <f t="shared" si="571"/>
        <v>1</v>
      </c>
      <c r="Q7550" s="893">
        <f t="shared" si="572"/>
        <v>5</v>
      </c>
      <c r="R7550" s="894">
        <f t="shared" si="573"/>
        <v>0</v>
      </c>
    </row>
    <row r="7551" spans="1:18">
      <c r="A7551" s="905"/>
      <c r="B7551" s="906"/>
      <c r="C7551" s="907">
        <v>58</v>
      </c>
      <c r="D7551" s="907" t="s">
        <v>279</v>
      </c>
      <c r="E7551" s="925" t="s">
        <v>3190</v>
      </c>
      <c r="F7551" s="926" t="s">
        <v>45</v>
      </c>
      <c r="G7551" s="910"/>
      <c r="H7551" s="911">
        <v>2</v>
      </c>
      <c r="I7551" s="912">
        <f>VLOOKUP(E7551,[3]VLP!$B$7:$K$300,10,0)</f>
        <v>27940</v>
      </c>
      <c r="J7551" s="912">
        <f t="shared" si="574"/>
        <v>55880</v>
      </c>
      <c r="K7551" s="912" t="s">
        <v>274</v>
      </c>
      <c r="L7551" s="912"/>
      <c r="M7551" s="912"/>
      <c r="N7551" s="912"/>
      <c r="O7551" s="892">
        <f t="shared" si="569"/>
        <v>0</v>
      </c>
      <c r="P7551" s="903">
        <f t="shared" si="571"/>
        <v>1</v>
      </c>
      <c r="Q7551" s="893">
        <f t="shared" si="572"/>
        <v>4</v>
      </c>
      <c r="R7551" s="894">
        <f t="shared" si="573"/>
        <v>0</v>
      </c>
    </row>
    <row r="7552" spans="1:18">
      <c r="A7552" s="905"/>
      <c r="B7552" s="906"/>
      <c r="C7552" s="907">
        <v>699</v>
      </c>
      <c r="D7552" s="907" t="s">
        <v>279</v>
      </c>
      <c r="E7552" s="925" t="s">
        <v>4006</v>
      </c>
      <c r="F7552" s="926" t="s">
        <v>4007</v>
      </c>
      <c r="G7552" s="910"/>
      <c r="H7552" s="911">
        <v>5</v>
      </c>
      <c r="I7552" s="912">
        <f>VLOOKUP(E7552,[3]VLP!$B$7:$K$300,10,0)</f>
        <v>5000</v>
      </c>
      <c r="J7552" s="912">
        <f t="shared" si="574"/>
        <v>25000</v>
      </c>
      <c r="K7552" s="912" t="s">
        <v>274</v>
      </c>
      <c r="L7552" s="912"/>
      <c r="M7552" s="912"/>
      <c r="N7552" s="912"/>
      <c r="O7552" s="892">
        <f t="shared" si="569"/>
        <v>0</v>
      </c>
      <c r="P7552" s="903">
        <f t="shared" si="571"/>
        <v>1</v>
      </c>
      <c r="Q7552" s="893">
        <f t="shared" si="572"/>
        <v>3</v>
      </c>
      <c r="R7552" s="894">
        <f t="shared" si="573"/>
        <v>0</v>
      </c>
    </row>
    <row r="7553" spans="1:18" s="904" customFormat="1">
      <c r="A7553" s="895"/>
      <c r="B7553" s="896"/>
      <c r="C7553" s="897"/>
      <c r="D7553" s="897"/>
      <c r="E7553" s="924" t="s">
        <v>276</v>
      </c>
      <c r="F7553" s="927"/>
      <c r="G7553" s="928"/>
      <c r="H7553" s="901"/>
      <c r="I7553" s="902"/>
      <c r="J7553" s="902"/>
      <c r="K7553" s="912" t="s">
        <v>274</v>
      </c>
      <c r="L7553" s="902"/>
      <c r="M7553" s="902"/>
      <c r="N7553" s="902"/>
      <c r="O7553" s="892">
        <f t="shared" si="569"/>
        <v>0</v>
      </c>
      <c r="P7553" s="903">
        <f t="shared" si="571"/>
        <v>1</v>
      </c>
      <c r="Q7553" s="893">
        <f t="shared" si="572"/>
        <v>2</v>
      </c>
      <c r="R7553" s="894">
        <f t="shared" si="573"/>
        <v>0</v>
      </c>
    </row>
    <row r="7554" spans="1:18">
      <c r="A7554" s="905"/>
      <c r="B7554" s="906"/>
      <c r="C7554" s="907">
        <v>745</v>
      </c>
      <c r="D7554" s="907" t="s">
        <v>12</v>
      </c>
      <c r="E7554" s="908" t="s">
        <v>5518</v>
      </c>
      <c r="F7554" s="909" t="s">
        <v>2674</v>
      </c>
      <c r="G7554" s="910"/>
      <c r="H7554" s="911">
        <v>9.7899999999999991</v>
      </c>
      <c r="I7554" s="912"/>
      <c r="J7554" s="912"/>
      <c r="K7554" s="912">
        <f>VLOOKUP(E7554,[5]ĐMNC!$A$7:$F$67,4,0)</f>
        <v>240557</v>
      </c>
      <c r="L7554" s="912">
        <f>H7554*K7554</f>
        <v>2355053.0299999998</v>
      </c>
      <c r="M7554" s="912"/>
      <c r="N7554" s="912"/>
      <c r="O7554" s="892">
        <f t="shared" si="569"/>
        <v>0</v>
      </c>
      <c r="P7554" s="903">
        <f t="shared" si="571"/>
        <v>1</v>
      </c>
      <c r="Q7554" s="893">
        <f t="shared" si="572"/>
        <v>1</v>
      </c>
      <c r="R7554" s="894">
        <f t="shared" si="573"/>
        <v>0</v>
      </c>
    </row>
    <row r="7555" spans="1:18" s="847" customFormat="1" ht="35.25" customHeight="1">
      <c r="A7555" s="905"/>
      <c r="B7555" s="914" t="s">
        <v>6156</v>
      </c>
      <c r="C7555" s="915"/>
      <c r="D7555" s="915"/>
      <c r="E7555" s="916" t="s">
        <v>6157</v>
      </c>
      <c r="F7555" s="917" t="s">
        <v>6094</v>
      </c>
      <c r="G7555" s="944"/>
      <c r="H7555" s="919"/>
      <c r="I7555" s="920"/>
      <c r="J7555" s="891">
        <f>SUM(J7556:J7569)</f>
        <v>587980</v>
      </c>
      <c r="K7555" s="891" t="s">
        <v>274</v>
      </c>
      <c r="L7555" s="891">
        <f>SUM(L7556:L7569)</f>
        <v>2583582.1800000002</v>
      </c>
      <c r="M7555" s="891"/>
      <c r="N7555" s="891">
        <f>SUM(N7556:N7569)</f>
        <v>0</v>
      </c>
      <c r="O7555" s="892">
        <f t="shared" si="569"/>
        <v>1</v>
      </c>
      <c r="P7555" s="903">
        <f t="shared" si="571"/>
        <v>0</v>
      </c>
      <c r="Q7555" s="893">
        <f t="shared" si="572"/>
        <v>0</v>
      </c>
      <c r="R7555" s="894">
        <f t="shared" si="573"/>
        <v>14</v>
      </c>
    </row>
    <row r="7556" spans="1:18" s="904" customFormat="1">
      <c r="A7556" s="895"/>
      <c r="B7556" s="896"/>
      <c r="C7556" s="897"/>
      <c r="D7556" s="897"/>
      <c r="E7556" s="898" t="s">
        <v>108</v>
      </c>
      <c r="F7556" s="899"/>
      <c r="G7556" s="928"/>
      <c r="H7556" s="901"/>
      <c r="I7556" s="902"/>
      <c r="J7556" s="902"/>
      <c r="K7556" s="912" t="s">
        <v>274</v>
      </c>
      <c r="L7556" s="902"/>
      <c r="M7556" s="902"/>
      <c r="N7556" s="902"/>
      <c r="O7556" s="892">
        <f t="shared" si="569"/>
        <v>0</v>
      </c>
      <c r="P7556" s="903">
        <f t="shared" si="571"/>
        <v>1</v>
      </c>
      <c r="Q7556" s="893">
        <f t="shared" si="572"/>
        <v>14</v>
      </c>
      <c r="R7556" s="894">
        <f t="shared" si="573"/>
        <v>0</v>
      </c>
    </row>
    <row r="7557" spans="1:18">
      <c r="A7557" s="905"/>
      <c r="B7557" s="906"/>
      <c r="C7557" s="907">
        <v>72</v>
      </c>
      <c r="D7557" s="907" t="s">
        <v>279</v>
      </c>
      <c r="E7557" s="925" t="s">
        <v>6126</v>
      </c>
      <c r="F7557" s="909" t="s">
        <v>2337</v>
      </c>
      <c r="G7557" s="910"/>
      <c r="H7557" s="911">
        <v>1</v>
      </c>
      <c r="I7557" s="912">
        <f>VLOOKUP(E7557,[3]VLP!$B$7:$K$300,10,0)</f>
        <v>33800</v>
      </c>
      <c r="J7557" s="912">
        <f t="shared" ref="J7557:J7567" si="575">I7557*H7557</f>
        <v>33800</v>
      </c>
      <c r="K7557" s="912" t="s">
        <v>274</v>
      </c>
      <c r="L7557" s="912"/>
      <c r="M7557" s="912"/>
      <c r="N7557" s="912"/>
      <c r="O7557" s="892">
        <f t="shared" si="569"/>
        <v>0</v>
      </c>
      <c r="P7557" s="903">
        <f t="shared" si="571"/>
        <v>1</v>
      </c>
      <c r="Q7557" s="893">
        <f t="shared" si="572"/>
        <v>13</v>
      </c>
      <c r="R7557" s="894">
        <f t="shared" si="573"/>
        <v>0</v>
      </c>
    </row>
    <row r="7558" spans="1:18">
      <c r="A7558" s="905"/>
      <c r="B7558" s="906"/>
      <c r="C7558" s="907">
        <v>24</v>
      </c>
      <c r="D7558" s="907" t="s">
        <v>279</v>
      </c>
      <c r="E7558" s="925" t="s">
        <v>2691</v>
      </c>
      <c r="F7558" s="926" t="s">
        <v>2690</v>
      </c>
      <c r="G7558" s="910"/>
      <c r="H7558" s="911">
        <v>3</v>
      </c>
      <c r="I7558" s="912">
        <f>VLOOKUP(E7558,[3]VLP!$B$7:$K$300,10,0)</f>
        <v>6000</v>
      </c>
      <c r="J7558" s="912">
        <f t="shared" si="575"/>
        <v>18000</v>
      </c>
      <c r="K7558" s="912" t="s">
        <v>274</v>
      </c>
      <c r="L7558" s="912"/>
      <c r="M7558" s="912"/>
      <c r="N7558" s="912"/>
      <c r="O7558" s="892">
        <f t="shared" si="569"/>
        <v>0</v>
      </c>
      <c r="P7558" s="903">
        <f t="shared" si="571"/>
        <v>1</v>
      </c>
      <c r="Q7558" s="893">
        <f t="shared" si="572"/>
        <v>12</v>
      </c>
      <c r="R7558" s="894">
        <f t="shared" si="573"/>
        <v>0</v>
      </c>
    </row>
    <row r="7559" spans="1:18">
      <c r="A7559" s="905"/>
      <c r="B7559" s="906"/>
      <c r="C7559" s="907">
        <v>122</v>
      </c>
      <c r="D7559" s="907" t="s">
        <v>279</v>
      </c>
      <c r="E7559" s="925" t="s">
        <v>3267</v>
      </c>
      <c r="F7559" s="909" t="s">
        <v>45</v>
      </c>
      <c r="G7559" s="910"/>
      <c r="H7559" s="911">
        <v>0.5</v>
      </c>
      <c r="I7559" s="912">
        <f>VLOOKUP(E7559,[3]VLP!$B$7:$K$300,10,0)</f>
        <v>30000</v>
      </c>
      <c r="J7559" s="912">
        <f t="shared" si="575"/>
        <v>15000</v>
      </c>
      <c r="K7559" s="912" t="s">
        <v>274</v>
      </c>
      <c r="L7559" s="912"/>
      <c r="M7559" s="912"/>
      <c r="N7559" s="912"/>
      <c r="O7559" s="892">
        <f t="shared" si="569"/>
        <v>0</v>
      </c>
      <c r="P7559" s="903">
        <f t="shared" si="571"/>
        <v>1</v>
      </c>
      <c r="Q7559" s="893">
        <f t="shared" si="572"/>
        <v>11</v>
      </c>
      <c r="R7559" s="894">
        <f t="shared" si="573"/>
        <v>0</v>
      </c>
    </row>
    <row r="7560" spans="1:18">
      <c r="A7560" s="905"/>
      <c r="B7560" s="906"/>
      <c r="C7560" s="907">
        <v>93</v>
      </c>
      <c r="D7560" s="907" t="s">
        <v>279</v>
      </c>
      <c r="E7560" s="925" t="s">
        <v>6111</v>
      </c>
      <c r="F7560" s="909" t="s">
        <v>45</v>
      </c>
      <c r="G7560" s="910"/>
      <c r="H7560" s="911">
        <v>0.05</v>
      </c>
      <c r="I7560" s="912">
        <f>VLOOKUP(E7560,[3]VLP!$B$7:$K$300,10,0)</f>
        <v>42000</v>
      </c>
      <c r="J7560" s="912">
        <f t="shared" si="575"/>
        <v>2100</v>
      </c>
      <c r="K7560" s="912" t="s">
        <v>274</v>
      </c>
      <c r="L7560" s="912"/>
      <c r="M7560" s="912"/>
      <c r="N7560" s="912"/>
      <c r="O7560" s="892">
        <f t="shared" si="569"/>
        <v>0</v>
      </c>
      <c r="P7560" s="903">
        <f t="shared" si="571"/>
        <v>1</v>
      </c>
      <c r="Q7560" s="893">
        <f t="shared" si="572"/>
        <v>10</v>
      </c>
      <c r="R7560" s="894">
        <f t="shared" si="573"/>
        <v>0</v>
      </c>
    </row>
    <row r="7561" spans="1:18">
      <c r="A7561" s="905"/>
      <c r="B7561" s="906"/>
      <c r="C7561" s="907">
        <v>89</v>
      </c>
      <c r="D7561" s="907" t="s">
        <v>279</v>
      </c>
      <c r="E7561" s="925" t="s">
        <v>5984</v>
      </c>
      <c r="F7561" s="909" t="s">
        <v>45</v>
      </c>
      <c r="G7561" s="910"/>
      <c r="H7561" s="911">
        <v>0.6</v>
      </c>
      <c r="I7561" s="912">
        <f>VLOOKUP(E7561,[3]VLP!$B$7:$K$300,10,0)</f>
        <v>1000</v>
      </c>
      <c r="J7561" s="912">
        <f t="shared" si="575"/>
        <v>600</v>
      </c>
      <c r="K7561" s="912" t="s">
        <v>274</v>
      </c>
      <c r="L7561" s="912"/>
      <c r="M7561" s="912"/>
      <c r="N7561" s="912"/>
      <c r="O7561" s="892">
        <f t="shared" si="569"/>
        <v>0</v>
      </c>
      <c r="P7561" s="903">
        <f t="shared" si="571"/>
        <v>1</v>
      </c>
      <c r="Q7561" s="893">
        <f t="shared" si="572"/>
        <v>9</v>
      </c>
      <c r="R7561" s="894">
        <f t="shared" si="573"/>
        <v>0</v>
      </c>
    </row>
    <row r="7562" spans="1:18">
      <c r="A7562" s="905"/>
      <c r="B7562" s="906"/>
      <c r="C7562" s="907">
        <v>47</v>
      </c>
      <c r="D7562" s="907" t="s">
        <v>279</v>
      </c>
      <c r="E7562" s="925" t="s">
        <v>3170</v>
      </c>
      <c r="F7562" s="909" t="s">
        <v>45</v>
      </c>
      <c r="G7562" s="910"/>
      <c r="H7562" s="911">
        <v>17</v>
      </c>
      <c r="I7562" s="912">
        <f>VLOOKUP(E7562,[3]VLP!$B$7:$K$300,10,0)</f>
        <v>1000</v>
      </c>
      <c r="J7562" s="912">
        <f t="shared" si="575"/>
        <v>17000</v>
      </c>
      <c r="K7562" s="912" t="s">
        <v>274</v>
      </c>
      <c r="L7562" s="912"/>
      <c r="M7562" s="912"/>
      <c r="N7562" s="912"/>
      <c r="O7562" s="892">
        <f t="shared" si="569"/>
        <v>0</v>
      </c>
      <c r="P7562" s="903">
        <f t="shared" si="571"/>
        <v>1</v>
      </c>
      <c r="Q7562" s="893">
        <f t="shared" si="572"/>
        <v>8</v>
      </c>
      <c r="R7562" s="894">
        <f t="shared" si="573"/>
        <v>0</v>
      </c>
    </row>
    <row r="7563" spans="1:18">
      <c r="A7563" s="905"/>
      <c r="B7563" s="906"/>
      <c r="C7563" s="907">
        <v>44</v>
      </c>
      <c r="D7563" s="907" t="s">
        <v>279</v>
      </c>
      <c r="E7563" s="925" t="s">
        <v>2681</v>
      </c>
      <c r="F7563" s="926" t="s">
        <v>45</v>
      </c>
      <c r="G7563" s="910"/>
      <c r="H7563" s="911">
        <v>1.2</v>
      </c>
      <c r="I7563" s="912">
        <f>VLOOKUP(E7563,[3]VLP!$B$7:$K$300,10,0)</f>
        <v>23000</v>
      </c>
      <c r="J7563" s="912">
        <f t="shared" si="575"/>
        <v>27600</v>
      </c>
      <c r="K7563" s="912" t="s">
        <v>274</v>
      </c>
      <c r="L7563" s="912"/>
      <c r="M7563" s="912"/>
      <c r="N7563" s="912"/>
      <c r="O7563" s="892">
        <f t="shared" si="569"/>
        <v>0</v>
      </c>
      <c r="P7563" s="903">
        <f t="shared" si="571"/>
        <v>1</v>
      </c>
      <c r="Q7563" s="893">
        <f t="shared" si="572"/>
        <v>7</v>
      </c>
      <c r="R7563" s="894">
        <f t="shared" si="573"/>
        <v>0</v>
      </c>
    </row>
    <row r="7564" spans="1:18">
      <c r="A7564" s="905"/>
      <c r="B7564" s="906"/>
      <c r="C7564" s="907">
        <v>66</v>
      </c>
      <c r="D7564" s="907" t="s">
        <v>279</v>
      </c>
      <c r="E7564" s="925" t="s">
        <v>2682</v>
      </c>
      <c r="F7564" s="926" t="s">
        <v>45</v>
      </c>
      <c r="G7564" s="910"/>
      <c r="H7564" s="911">
        <v>0.7</v>
      </c>
      <c r="I7564" s="912">
        <f>VLOOKUP(E7564,[3]VLP!$B$7:$K$300,10,0)</f>
        <v>5000</v>
      </c>
      <c r="J7564" s="912">
        <f t="shared" si="575"/>
        <v>3500</v>
      </c>
      <c r="K7564" s="912" t="s">
        <v>274</v>
      </c>
      <c r="L7564" s="912"/>
      <c r="M7564" s="912"/>
      <c r="N7564" s="912"/>
      <c r="O7564" s="892">
        <f t="shared" si="569"/>
        <v>0</v>
      </c>
      <c r="P7564" s="903">
        <f t="shared" si="571"/>
        <v>1</v>
      </c>
      <c r="Q7564" s="893">
        <f t="shared" si="572"/>
        <v>6</v>
      </c>
      <c r="R7564" s="894">
        <f t="shared" si="573"/>
        <v>0</v>
      </c>
    </row>
    <row r="7565" spans="1:18">
      <c r="A7565" s="905"/>
      <c r="B7565" s="906"/>
      <c r="C7565" s="907">
        <v>46</v>
      </c>
      <c r="D7565" s="907" t="s">
        <v>279</v>
      </c>
      <c r="E7565" s="925" t="s">
        <v>3179</v>
      </c>
      <c r="F7565" s="926" t="s">
        <v>45</v>
      </c>
      <c r="G7565" s="910"/>
      <c r="H7565" s="911">
        <v>19</v>
      </c>
      <c r="I7565" s="912">
        <f>VLOOKUP(E7565,[3]VLP!$B$7:$K$300,10,0)</f>
        <v>20500</v>
      </c>
      <c r="J7565" s="912">
        <f t="shared" si="575"/>
        <v>389500</v>
      </c>
      <c r="K7565" s="912" t="s">
        <v>274</v>
      </c>
      <c r="L7565" s="912"/>
      <c r="M7565" s="912"/>
      <c r="N7565" s="912"/>
      <c r="O7565" s="892">
        <f t="shared" si="569"/>
        <v>0</v>
      </c>
      <c r="P7565" s="903">
        <f t="shared" si="571"/>
        <v>1</v>
      </c>
      <c r="Q7565" s="893">
        <f t="shared" si="572"/>
        <v>5</v>
      </c>
      <c r="R7565" s="894">
        <f t="shared" si="573"/>
        <v>0</v>
      </c>
    </row>
    <row r="7566" spans="1:18">
      <c r="A7566" s="905"/>
      <c r="B7566" s="906"/>
      <c r="C7566" s="907">
        <v>58</v>
      </c>
      <c r="D7566" s="907" t="s">
        <v>279</v>
      </c>
      <c r="E7566" s="925" t="s">
        <v>3190</v>
      </c>
      <c r="F7566" s="926" t="s">
        <v>45</v>
      </c>
      <c r="G7566" s="910"/>
      <c r="H7566" s="911">
        <v>2</v>
      </c>
      <c r="I7566" s="912">
        <f>VLOOKUP(E7566,[3]VLP!$B$7:$K$300,10,0)</f>
        <v>27940</v>
      </c>
      <c r="J7566" s="912">
        <f t="shared" si="575"/>
        <v>55880</v>
      </c>
      <c r="K7566" s="912" t="s">
        <v>274</v>
      </c>
      <c r="L7566" s="912"/>
      <c r="M7566" s="912"/>
      <c r="N7566" s="912"/>
      <c r="O7566" s="892">
        <f t="shared" si="569"/>
        <v>0</v>
      </c>
      <c r="P7566" s="903">
        <f t="shared" si="571"/>
        <v>1</v>
      </c>
      <c r="Q7566" s="893">
        <f t="shared" si="572"/>
        <v>4</v>
      </c>
      <c r="R7566" s="894">
        <f t="shared" si="573"/>
        <v>0</v>
      </c>
    </row>
    <row r="7567" spans="1:18">
      <c r="A7567" s="905"/>
      <c r="B7567" s="906"/>
      <c r="C7567" s="907">
        <v>699</v>
      </c>
      <c r="D7567" s="907" t="s">
        <v>279</v>
      </c>
      <c r="E7567" s="925" t="s">
        <v>4006</v>
      </c>
      <c r="F7567" s="926" t="s">
        <v>4007</v>
      </c>
      <c r="G7567" s="910"/>
      <c r="H7567" s="911">
        <v>5</v>
      </c>
      <c r="I7567" s="912">
        <f>VLOOKUP(E7567,[3]VLP!$B$7:$K$300,10,0)</f>
        <v>5000</v>
      </c>
      <c r="J7567" s="912">
        <f t="shared" si="575"/>
        <v>25000</v>
      </c>
      <c r="K7567" s="912" t="s">
        <v>274</v>
      </c>
      <c r="L7567" s="912"/>
      <c r="M7567" s="912"/>
      <c r="N7567" s="912"/>
      <c r="O7567" s="892">
        <f t="shared" si="569"/>
        <v>0</v>
      </c>
      <c r="P7567" s="903">
        <f t="shared" si="571"/>
        <v>1</v>
      </c>
      <c r="Q7567" s="893">
        <f t="shared" si="572"/>
        <v>3</v>
      </c>
      <c r="R7567" s="894">
        <f t="shared" si="573"/>
        <v>0</v>
      </c>
    </row>
    <row r="7568" spans="1:18" s="904" customFormat="1">
      <c r="A7568" s="895"/>
      <c r="B7568" s="896"/>
      <c r="C7568" s="897"/>
      <c r="D7568" s="897"/>
      <c r="E7568" s="924" t="s">
        <v>276</v>
      </c>
      <c r="F7568" s="927"/>
      <c r="G7568" s="928"/>
      <c r="H7568" s="901"/>
      <c r="I7568" s="902"/>
      <c r="J7568" s="902"/>
      <c r="K7568" s="912" t="s">
        <v>274</v>
      </c>
      <c r="L7568" s="902"/>
      <c r="M7568" s="902"/>
      <c r="N7568" s="902"/>
      <c r="O7568" s="892">
        <f t="shared" si="569"/>
        <v>0</v>
      </c>
      <c r="P7568" s="903">
        <f t="shared" si="571"/>
        <v>1</v>
      </c>
      <c r="Q7568" s="893">
        <f t="shared" si="572"/>
        <v>2</v>
      </c>
      <c r="R7568" s="894">
        <f t="shared" si="573"/>
        <v>0</v>
      </c>
    </row>
    <row r="7569" spans="1:18">
      <c r="A7569" s="905"/>
      <c r="B7569" s="906"/>
      <c r="C7569" s="907">
        <v>745</v>
      </c>
      <c r="D7569" s="907" t="s">
        <v>12</v>
      </c>
      <c r="E7569" s="908" t="s">
        <v>5518</v>
      </c>
      <c r="F7569" s="909" t="s">
        <v>2674</v>
      </c>
      <c r="G7569" s="910"/>
      <c r="H7569" s="911">
        <v>10.74</v>
      </c>
      <c r="I7569" s="912"/>
      <c r="J7569" s="912"/>
      <c r="K7569" s="912">
        <f>VLOOKUP(E7569,[5]ĐMNC!$A$7:$F$67,4,0)</f>
        <v>240557</v>
      </c>
      <c r="L7569" s="912">
        <f>H7569*K7569</f>
        <v>2583582.1800000002</v>
      </c>
      <c r="M7569" s="912"/>
      <c r="N7569" s="912"/>
      <c r="O7569" s="892">
        <f t="shared" si="569"/>
        <v>0</v>
      </c>
      <c r="P7569" s="903">
        <f t="shared" si="571"/>
        <v>1</v>
      </c>
      <c r="Q7569" s="893">
        <f t="shared" si="572"/>
        <v>1</v>
      </c>
      <c r="R7569" s="894">
        <f t="shared" si="573"/>
        <v>0</v>
      </c>
    </row>
    <row r="7570" spans="1:18" s="847" customFormat="1" ht="35.25" customHeight="1">
      <c r="A7570" s="905"/>
      <c r="B7570" s="914" t="s">
        <v>6158</v>
      </c>
      <c r="C7570" s="915"/>
      <c r="D7570" s="915"/>
      <c r="E7570" s="916" t="s">
        <v>6159</v>
      </c>
      <c r="F7570" s="917" t="s">
        <v>6094</v>
      </c>
      <c r="G7570" s="944"/>
      <c r="H7570" s="919"/>
      <c r="I7570" s="920"/>
      <c r="J7570" s="891">
        <f>SUM(J7571:J7584)</f>
        <v>682640</v>
      </c>
      <c r="K7570" s="891" t="s">
        <v>274</v>
      </c>
      <c r="L7570" s="891">
        <f>SUM(L7571:L7584)</f>
        <v>3098374.16</v>
      </c>
      <c r="M7570" s="891"/>
      <c r="N7570" s="891">
        <f>SUM(N7571:N7584)</f>
        <v>0</v>
      </c>
      <c r="O7570" s="892">
        <f t="shared" si="569"/>
        <v>1</v>
      </c>
      <c r="P7570" s="903">
        <f t="shared" si="571"/>
        <v>0</v>
      </c>
      <c r="Q7570" s="893">
        <f t="shared" si="572"/>
        <v>0</v>
      </c>
      <c r="R7570" s="894">
        <f t="shared" si="573"/>
        <v>14</v>
      </c>
    </row>
    <row r="7571" spans="1:18" s="904" customFormat="1">
      <c r="A7571" s="895"/>
      <c r="B7571" s="896"/>
      <c r="C7571" s="897"/>
      <c r="D7571" s="897"/>
      <c r="E7571" s="898" t="s">
        <v>108</v>
      </c>
      <c r="F7571" s="899"/>
      <c r="G7571" s="928"/>
      <c r="H7571" s="901"/>
      <c r="I7571" s="902"/>
      <c r="J7571" s="902"/>
      <c r="K7571" s="912" t="s">
        <v>274</v>
      </c>
      <c r="L7571" s="902"/>
      <c r="M7571" s="902"/>
      <c r="N7571" s="902"/>
      <c r="O7571" s="892">
        <f t="shared" si="569"/>
        <v>0</v>
      </c>
      <c r="P7571" s="903">
        <f t="shared" si="571"/>
        <v>1</v>
      </c>
      <c r="Q7571" s="893">
        <f t="shared" si="572"/>
        <v>14</v>
      </c>
      <c r="R7571" s="894">
        <f t="shared" si="573"/>
        <v>0</v>
      </c>
    </row>
    <row r="7572" spans="1:18">
      <c r="A7572" s="905"/>
      <c r="B7572" s="906"/>
      <c r="C7572" s="907">
        <v>73</v>
      </c>
      <c r="D7572" s="907" t="s">
        <v>279</v>
      </c>
      <c r="E7572" s="925" t="s">
        <v>6129</v>
      </c>
      <c r="F7572" s="909" t="s">
        <v>2337</v>
      </c>
      <c r="G7572" s="910"/>
      <c r="H7572" s="911">
        <v>1</v>
      </c>
      <c r="I7572" s="912">
        <f>VLOOKUP(E7572,[3]VLP!$B$7:$K$300,10,0)</f>
        <v>33800</v>
      </c>
      <c r="J7572" s="912">
        <f t="shared" ref="J7572:J7582" si="576">I7572*H7572</f>
        <v>33800</v>
      </c>
      <c r="K7572" s="912" t="s">
        <v>274</v>
      </c>
      <c r="L7572" s="912"/>
      <c r="M7572" s="912"/>
      <c r="N7572" s="912"/>
      <c r="O7572" s="892">
        <f t="shared" si="569"/>
        <v>0</v>
      </c>
      <c r="P7572" s="903">
        <f t="shared" si="571"/>
        <v>1</v>
      </c>
      <c r="Q7572" s="893">
        <f t="shared" si="572"/>
        <v>13</v>
      </c>
      <c r="R7572" s="894">
        <f t="shared" si="573"/>
        <v>0</v>
      </c>
    </row>
    <row r="7573" spans="1:18">
      <c r="A7573" s="905"/>
      <c r="B7573" s="906"/>
      <c r="C7573" s="907">
        <v>24</v>
      </c>
      <c r="D7573" s="907" t="s">
        <v>279</v>
      </c>
      <c r="E7573" s="925" t="s">
        <v>2691</v>
      </c>
      <c r="F7573" s="926" t="s">
        <v>2690</v>
      </c>
      <c r="G7573" s="910"/>
      <c r="H7573" s="911">
        <v>3.6</v>
      </c>
      <c r="I7573" s="912">
        <f>VLOOKUP(E7573,[3]VLP!$B$7:$K$300,10,0)</f>
        <v>6000</v>
      </c>
      <c r="J7573" s="912">
        <f t="shared" si="576"/>
        <v>21600</v>
      </c>
      <c r="K7573" s="912" t="s">
        <v>274</v>
      </c>
      <c r="L7573" s="912"/>
      <c r="M7573" s="912"/>
      <c r="N7573" s="912"/>
      <c r="O7573" s="892">
        <f t="shared" si="569"/>
        <v>0</v>
      </c>
      <c r="P7573" s="903">
        <f t="shared" si="571"/>
        <v>1</v>
      </c>
      <c r="Q7573" s="893">
        <f t="shared" si="572"/>
        <v>12</v>
      </c>
      <c r="R7573" s="894">
        <f t="shared" si="573"/>
        <v>0</v>
      </c>
    </row>
    <row r="7574" spans="1:18">
      <c r="A7574" s="905"/>
      <c r="B7574" s="906"/>
      <c r="C7574" s="907">
        <v>122</v>
      </c>
      <c r="D7574" s="907" t="s">
        <v>279</v>
      </c>
      <c r="E7574" s="925" t="s">
        <v>3267</v>
      </c>
      <c r="F7574" s="909" t="s">
        <v>45</v>
      </c>
      <c r="G7574" s="910"/>
      <c r="H7574" s="911">
        <v>0.6</v>
      </c>
      <c r="I7574" s="912">
        <f>VLOOKUP(E7574,[3]VLP!$B$7:$K$300,10,0)</f>
        <v>30000</v>
      </c>
      <c r="J7574" s="912">
        <f t="shared" si="576"/>
        <v>18000</v>
      </c>
      <c r="K7574" s="912" t="s">
        <v>274</v>
      </c>
      <c r="L7574" s="912"/>
      <c r="M7574" s="912"/>
      <c r="N7574" s="912"/>
      <c r="O7574" s="892">
        <f t="shared" si="569"/>
        <v>0</v>
      </c>
      <c r="P7574" s="903">
        <f t="shared" si="571"/>
        <v>1</v>
      </c>
      <c r="Q7574" s="893">
        <f t="shared" si="572"/>
        <v>11</v>
      </c>
      <c r="R7574" s="894">
        <f t="shared" si="573"/>
        <v>0</v>
      </c>
    </row>
    <row r="7575" spans="1:18">
      <c r="A7575" s="905"/>
      <c r="B7575" s="906"/>
      <c r="C7575" s="907">
        <v>93</v>
      </c>
      <c r="D7575" s="907" t="s">
        <v>279</v>
      </c>
      <c r="E7575" s="925" t="s">
        <v>6111</v>
      </c>
      <c r="F7575" s="909" t="s">
        <v>45</v>
      </c>
      <c r="G7575" s="910"/>
      <c r="H7575" s="911">
        <v>0.06</v>
      </c>
      <c r="I7575" s="912">
        <f>VLOOKUP(E7575,[3]VLP!$B$7:$K$300,10,0)</f>
        <v>42000</v>
      </c>
      <c r="J7575" s="912">
        <f t="shared" si="576"/>
        <v>2520</v>
      </c>
      <c r="K7575" s="912" t="s">
        <v>274</v>
      </c>
      <c r="L7575" s="912"/>
      <c r="M7575" s="912"/>
      <c r="N7575" s="912"/>
      <c r="O7575" s="892">
        <f t="shared" si="569"/>
        <v>0</v>
      </c>
      <c r="P7575" s="903">
        <f t="shared" si="571"/>
        <v>1</v>
      </c>
      <c r="Q7575" s="893">
        <f t="shared" si="572"/>
        <v>10</v>
      </c>
      <c r="R7575" s="894">
        <f t="shared" si="573"/>
        <v>0</v>
      </c>
    </row>
    <row r="7576" spans="1:18">
      <c r="A7576" s="905"/>
      <c r="B7576" s="906"/>
      <c r="C7576" s="907">
        <v>89</v>
      </c>
      <c r="D7576" s="907" t="s">
        <v>279</v>
      </c>
      <c r="E7576" s="925" t="s">
        <v>5984</v>
      </c>
      <c r="F7576" s="909" t="s">
        <v>45</v>
      </c>
      <c r="G7576" s="910"/>
      <c r="H7576" s="911">
        <v>0.72</v>
      </c>
      <c r="I7576" s="912">
        <f>VLOOKUP(E7576,[3]VLP!$B$7:$K$300,10,0)</f>
        <v>1000</v>
      </c>
      <c r="J7576" s="912">
        <f t="shared" si="576"/>
        <v>720</v>
      </c>
      <c r="K7576" s="912" t="s">
        <v>274</v>
      </c>
      <c r="L7576" s="912"/>
      <c r="M7576" s="912"/>
      <c r="N7576" s="912"/>
      <c r="O7576" s="892">
        <f t="shared" si="569"/>
        <v>0</v>
      </c>
      <c r="P7576" s="903">
        <f t="shared" si="571"/>
        <v>1</v>
      </c>
      <c r="Q7576" s="893">
        <f t="shared" si="572"/>
        <v>9</v>
      </c>
      <c r="R7576" s="894">
        <f t="shared" si="573"/>
        <v>0</v>
      </c>
    </row>
    <row r="7577" spans="1:18">
      <c r="A7577" s="905"/>
      <c r="B7577" s="906"/>
      <c r="C7577" s="907">
        <v>47</v>
      </c>
      <c r="D7577" s="907" t="s">
        <v>279</v>
      </c>
      <c r="E7577" s="925" t="s">
        <v>3170</v>
      </c>
      <c r="F7577" s="909" t="s">
        <v>45</v>
      </c>
      <c r="G7577" s="910"/>
      <c r="H7577" s="911">
        <v>20.399999999999999</v>
      </c>
      <c r="I7577" s="912">
        <f>VLOOKUP(E7577,[3]VLP!$B$7:$K$300,10,0)</f>
        <v>1000</v>
      </c>
      <c r="J7577" s="912">
        <f t="shared" si="576"/>
        <v>20400</v>
      </c>
      <c r="K7577" s="912" t="s">
        <v>274</v>
      </c>
      <c r="L7577" s="912"/>
      <c r="M7577" s="912"/>
      <c r="N7577" s="912"/>
      <c r="O7577" s="892">
        <f t="shared" si="569"/>
        <v>0</v>
      </c>
      <c r="P7577" s="903">
        <f t="shared" si="571"/>
        <v>1</v>
      </c>
      <c r="Q7577" s="893">
        <f t="shared" si="572"/>
        <v>8</v>
      </c>
      <c r="R7577" s="894">
        <f t="shared" si="573"/>
        <v>0</v>
      </c>
    </row>
    <row r="7578" spans="1:18">
      <c r="A7578" s="905"/>
      <c r="B7578" s="906"/>
      <c r="C7578" s="907">
        <v>44</v>
      </c>
      <c r="D7578" s="907" t="s">
        <v>279</v>
      </c>
      <c r="E7578" s="925" t="s">
        <v>2681</v>
      </c>
      <c r="F7578" s="926" t="s">
        <v>45</v>
      </c>
      <c r="G7578" s="910"/>
      <c r="H7578" s="911">
        <v>1.44</v>
      </c>
      <c r="I7578" s="912">
        <f>VLOOKUP(E7578,[3]VLP!$B$7:$K$300,10,0)</f>
        <v>23000</v>
      </c>
      <c r="J7578" s="912">
        <f t="shared" si="576"/>
        <v>33120</v>
      </c>
      <c r="K7578" s="912" t="s">
        <v>274</v>
      </c>
      <c r="L7578" s="912"/>
      <c r="M7578" s="912"/>
      <c r="N7578" s="912"/>
      <c r="O7578" s="892">
        <f t="shared" si="569"/>
        <v>0</v>
      </c>
      <c r="P7578" s="903">
        <f t="shared" si="571"/>
        <v>1</v>
      </c>
      <c r="Q7578" s="893">
        <f t="shared" si="572"/>
        <v>7</v>
      </c>
      <c r="R7578" s="894">
        <f t="shared" si="573"/>
        <v>0</v>
      </c>
    </row>
    <row r="7579" spans="1:18">
      <c r="A7579" s="905"/>
      <c r="B7579" s="906"/>
      <c r="C7579" s="907">
        <v>66</v>
      </c>
      <c r="D7579" s="907" t="s">
        <v>279</v>
      </c>
      <c r="E7579" s="925" t="s">
        <v>2682</v>
      </c>
      <c r="F7579" s="926" t="s">
        <v>45</v>
      </c>
      <c r="G7579" s="910"/>
      <c r="H7579" s="911">
        <v>0.84</v>
      </c>
      <c r="I7579" s="912">
        <f>VLOOKUP(E7579,[3]VLP!$B$7:$K$300,10,0)</f>
        <v>5000</v>
      </c>
      <c r="J7579" s="912">
        <f t="shared" si="576"/>
        <v>4200</v>
      </c>
      <c r="K7579" s="912" t="s">
        <v>274</v>
      </c>
      <c r="L7579" s="912"/>
      <c r="M7579" s="912"/>
      <c r="N7579" s="912"/>
      <c r="O7579" s="892">
        <f t="shared" si="569"/>
        <v>0</v>
      </c>
      <c r="P7579" s="903">
        <f t="shared" si="571"/>
        <v>1</v>
      </c>
      <c r="Q7579" s="893">
        <f t="shared" si="572"/>
        <v>6</v>
      </c>
      <c r="R7579" s="894">
        <f t="shared" si="573"/>
        <v>0</v>
      </c>
    </row>
    <row r="7580" spans="1:18">
      <c r="A7580" s="905"/>
      <c r="B7580" s="906"/>
      <c r="C7580" s="907">
        <v>46</v>
      </c>
      <c r="D7580" s="907" t="s">
        <v>279</v>
      </c>
      <c r="E7580" s="925" t="s">
        <v>3179</v>
      </c>
      <c r="F7580" s="926" t="s">
        <v>45</v>
      </c>
      <c r="G7580" s="910"/>
      <c r="H7580" s="911">
        <v>22.8</v>
      </c>
      <c r="I7580" s="912">
        <f>VLOOKUP(E7580,[3]VLP!$B$7:$K$300,10,0)</f>
        <v>20500</v>
      </c>
      <c r="J7580" s="912">
        <f t="shared" si="576"/>
        <v>467400</v>
      </c>
      <c r="K7580" s="912" t="s">
        <v>274</v>
      </c>
      <c r="L7580" s="912"/>
      <c r="M7580" s="912"/>
      <c r="N7580" s="912"/>
      <c r="O7580" s="892">
        <f t="shared" si="569"/>
        <v>0</v>
      </c>
      <c r="P7580" s="903">
        <f t="shared" si="571"/>
        <v>1</v>
      </c>
      <c r="Q7580" s="893">
        <f t="shared" si="572"/>
        <v>5</v>
      </c>
      <c r="R7580" s="894">
        <f t="shared" si="573"/>
        <v>0</v>
      </c>
    </row>
    <row r="7581" spans="1:18">
      <c r="A7581" s="905"/>
      <c r="B7581" s="906"/>
      <c r="C7581" s="907">
        <v>58</v>
      </c>
      <c r="D7581" s="907" t="s">
        <v>279</v>
      </c>
      <c r="E7581" s="925" t="s">
        <v>3190</v>
      </c>
      <c r="F7581" s="926" t="s">
        <v>45</v>
      </c>
      <c r="G7581" s="910"/>
      <c r="H7581" s="911">
        <v>2</v>
      </c>
      <c r="I7581" s="912">
        <f>VLOOKUP(E7581,[3]VLP!$B$7:$K$300,10,0)</f>
        <v>27940</v>
      </c>
      <c r="J7581" s="912">
        <f t="shared" si="576"/>
        <v>55880</v>
      </c>
      <c r="K7581" s="912" t="s">
        <v>274</v>
      </c>
      <c r="L7581" s="912"/>
      <c r="M7581" s="912"/>
      <c r="N7581" s="912"/>
      <c r="O7581" s="892">
        <f t="shared" si="569"/>
        <v>0</v>
      </c>
      <c r="P7581" s="903">
        <f t="shared" si="571"/>
        <v>1</v>
      </c>
      <c r="Q7581" s="893">
        <f t="shared" si="572"/>
        <v>4</v>
      </c>
      <c r="R7581" s="894">
        <f t="shared" si="573"/>
        <v>0</v>
      </c>
    </row>
    <row r="7582" spans="1:18">
      <c r="A7582" s="905"/>
      <c r="B7582" s="906"/>
      <c r="C7582" s="907">
        <v>699</v>
      </c>
      <c r="D7582" s="907" t="s">
        <v>279</v>
      </c>
      <c r="E7582" s="925" t="s">
        <v>4006</v>
      </c>
      <c r="F7582" s="926" t="s">
        <v>4007</v>
      </c>
      <c r="G7582" s="910"/>
      <c r="H7582" s="911">
        <v>5</v>
      </c>
      <c r="I7582" s="912">
        <f>VLOOKUP(E7582,[3]VLP!$B$7:$K$300,10,0)</f>
        <v>5000</v>
      </c>
      <c r="J7582" s="912">
        <f t="shared" si="576"/>
        <v>25000</v>
      </c>
      <c r="K7582" s="912" t="s">
        <v>274</v>
      </c>
      <c r="L7582" s="912"/>
      <c r="M7582" s="912"/>
      <c r="N7582" s="912"/>
      <c r="O7582" s="892">
        <f t="shared" si="569"/>
        <v>0</v>
      </c>
      <c r="P7582" s="903">
        <f t="shared" si="571"/>
        <v>1</v>
      </c>
      <c r="Q7582" s="893">
        <f t="shared" si="572"/>
        <v>3</v>
      </c>
      <c r="R7582" s="894">
        <f t="shared" si="573"/>
        <v>0</v>
      </c>
    </row>
    <row r="7583" spans="1:18" s="904" customFormat="1">
      <c r="A7583" s="895"/>
      <c r="B7583" s="896"/>
      <c r="C7583" s="897"/>
      <c r="D7583" s="897"/>
      <c r="E7583" s="924" t="s">
        <v>276</v>
      </c>
      <c r="F7583" s="927"/>
      <c r="G7583" s="928"/>
      <c r="H7583" s="901"/>
      <c r="I7583" s="902"/>
      <c r="J7583" s="902"/>
      <c r="K7583" s="912" t="s">
        <v>274</v>
      </c>
      <c r="L7583" s="902"/>
      <c r="M7583" s="902"/>
      <c r="N7583" s="902"/>
      <c r="O7583" s="892">
        <f t="shared" ref="O7583:O7646" si="577">IF(AND(B7583&lt;&gt;"",D7583=""),1,0)</f>
        <v>0</v>
      </c>
      <c r="P7583" s="903">
        <f t="shared" si="571"/>
        <v>1</v>
      </c>
      <c r="Q7583" s="893">
        <f t="shared" si="572"/>
        <v>2</v>
      </c>
      <c r="R7583" s="894">
        <f t="shared" si="573"/>
        <v>0</v>
      </c>
    </row>
    <row r="7584" spans="1:18">
      <c r="A7584" s="905"/>
      <c r="B7584" s="906"/>
      <c r="C7584" s="907">
        <v>745</v>
      </c>
      <c r="D7584" s="907" t="s">
        <v>12</v>
      </c>
      <c r="E7584" s="908" t="s">
        <v>5518</v>
      </c>
      <c r="F7584" s="909" t="s">
        <v>2674</v>
      </c>
      <c r="G7584" s="910"/>
      <c r="H7584" s="911">
        <v>12.88</v>
      </c>
      <c r="I7584" s="912"/>
      <c r="J7584" s="912"/>
      <c r="K7584" s="912">
        <f>VLOOKUP(E7584,[5]ĐMNC!$A$7:$F$67,4,0)</f>
        <v>240557</v>
      </c>
      <c r="L7584" s="912">
        <f>H7584*K7584</f>
        <v>3098374.16</v>
      </c>
      <c r="M7584" s="912"/>
      <c r="N7584" s="912"/>
      <c r="O7584" s="892">
        <f t="shared" si="577"/>
        <v>0</v>
      </c>
      <c r="P7584" s="903">
        <f t="shared" si="571"/>
        <v>1</v>
      </c>
      <c r="Q7584" s="893">
        <f t="shared" si="572"/>
        <v>1</v>
      </c>
      <c r="R7584" s="894">
        <f t="shared" si="573"/>
        <v>0</v>
      </c>
    </row>
    <row r="7585" spans="1:18" s="847" customFormat="1" ht="35.25" customHeight="1">
      <c r="A7585" s="905" t="s">
        <v>6130</v>
      </c>
      <c r="B7585" s="914" t="s">
        <v>6160</v>
      </c>
      <c r="C7585" s="915"/>
      <c r="D7585" s="915"/>
      <c r="E7585" s="916" t="s">
        <v>6161</v>
      </c>
      <c r="F7585" s="917" t="s">
        <v>6094</v>
      </c>
      <c r="G7585" s="944"/>
      <c r="H7585" s="919"/>
      <c r="I7585" s="920"/>
      <c r="J7585" s="891">
        <f>SUM(J7586:J7599)</f>
        <v>389084</v>
      </c>
      <c r="K7585" s="891" t="s">
        <v>274</v>
      </c>
      <c r="L7585" s="891">
        <f>SUM(L7586:L7599)</f>
        <v>2193879.84</v>
      </c>
      <c r="M7585" s="891"/>
      <c r="N7585" s="891">
        <f>SUM(N7586:N7599)</f>
        <v>0</v>
      </c>
      <c r="O7585" s="892">
        <f t="shared" si="577"/>
        <v>1</v>
      </c>
      <c r="P7585" s="903">
        <f t="shared" si="571"/>
        <v>0</v>
      </c>
      <c r="Q7585" s="893">
        <f t="shared" si="572"/>
        <v>0</v>
      </c>
      <c r="R7585" s="894">
        <f t="shared" si="573"/>
        <v>14</v>
      </c>
    </row>
    <row r="7586" spans="1:18" s="904" customFormat="1">
      <c r="A7586" s="895"/>
      <c r="B7586" s="922"/>
      <c r="C7586" s="897"/>
      <c r="D7586" s="897"/>
      <c r="E7586" s="898" t="s">
        <v>108</v>
      </c>
      <c r="F7586" s="899"/>
      <c r="G7586" s="928"/>
      <c r="H7586" s="901"/>
      <c r="I7586" s="902"/>
      <c r="J7586" s="902"/>
      <c r="K7586" s="912" t="s">
        <v>274</v>
      </c>
      <c r="L7586" s="902"/>
      <c r="M7586" s="902"/>
      <c r="N7586" s="902"/>
      <c r="O7586" s="892">
        <f t="shared" si="577"/>
        <v>0</v>
      </c>
      <c r="P7586" s="903">
        <f t="shared" si="571"/>
        <v>1</v>
      </c>
      <c r="Q7586" s="893">
        <f t="shared" si="572"/>
        <v>14</v>
      </c>
      <c r="R7586" s="894">
        <f t="shared" si="573"/>
        <v>0</v>
      </c>
    </row>
    <row r="7587" spans="1:18">
      <c r="A7587" s="905"/>
      <c r="B7587" s="906"/>
      <c r="C7587" s="907">
        <v>67</v>
      </c>
      <c r="D7587" s="907" t="s">
        <v>279</v>
      </c>
      <c r="E7587" s="925" t="s">
        <v>6110</v>
      </c>
      <c r="F7587" s="909" t="s">
        <v>2337</v>
      </c>
      <c r="G7587" s="910"/>
      <c r="H7587" s="911">
        <v>1</v>
      </c>
      <c r="I7587" s="912">
        <f>VLOOKUP(E7587,[3]VLP!$B$7:$K$300,10,0)</f>
        <v>16224</v>
      </c>
      <c r="J7587" s="912">
        <f t="shared" ref="J7587:J7597" si="578">I7587*H7587</f>
        <v>16224</v>
      </c>
      <c r="K7587" s="912" t="s">
        <v>274</v>
      </c>
      <c r="L7587" s="912"/>
      <c r="M7587" s="912"/>
      <c r="N7587" s="912"/>
      <c r="O7587" s="892">
        <f t="shared" si="577"/>
        <v>0</v>
      </c>
      <c r="P7587" s="903">
        <f t="shared" si="571"/>
        <v>1</v>
      </c>
      <c r="Q7587" s="893">
        <f t="shared" si="572"/>
        <v>13</v>
      </c>
      <c r="R7587" s="894">
        <f t="shared" si="573"/>
        <v>0</v>
      </c>
    </row>
    <row r="7588" spans="1:18">
      <c r="A7588" s="905"/>
      <c r="B7588" s="906"/>
      <c r="C7588" s="907">
        <v>24</v>
      </c>
      <c r="D7588" s="907" t="s">
        <v>279</v>
      </c>
      <c r="E7588" s="925" t="s">
        <v>2691</v>
      </c>
      <c r="F7588" s="926" t="s">
        <v>2690</v>
      </c>
      <c r="G7588" s="910"/>
      <c r="H7588" s="911">
        <v>2</v>
      </c>
      <c r="I7588" s="912">
        <f>VLOOKUP(E7588,[3]VLP!$B$7:$K$300,10,0)</f>
        <v>6000</v>
      </c>
      <c r="J7588" s="912">
        <f t="shared" si="578"/>
        <v>12000</v>
      </c>
      <c r="K7588" s="912" t="s">
        <v>274</v>
      </c>
      <c r="L7588" s="912"/>
      <c r="M7588" s="912"/>
      <c r="N7588" s="912"/>
      <c r="O7588" s="892">
        <f t="shared" si="577"/>
        <v>0</v>
      </c>
      <c r="P7588" s="903">
        <f t="shared" si="571"/>
        <v>1</v>
      </c>
      <c r="Q7588" s="893">
        <f t="shared" si="572"/>
        <v>12</v>
      </c>
      <c r="R7588" s="894">
        <f t="shared" si="573"/>
        <v>0</v>
      </c>
    </row>
    <row r="7589" spans="1:18">
      <c r="A7589" s="905"/>
      <c r="B7589" s="906"/>
      <c r="C7589" s="907">
        <v>122</v>
      </c>
      <c r="D7589" s="907" t="s">
        <v>279</v>
      </c>
      <c r="E7589" s="925" t="s">
        <v>3267</v>
      </c>
      <c r="F7589" s="909" t="s">
        <v>45</v>
      </c>
      <c r="G7589" s="910"/>
      <c r="H7589" s="911">
        <v>0.4</v>
      </c>
      <c r="I7589" s="912">
        <f>VLOOKUP(E7589,[3]VLP!$B$7:$K$300,10,0)</f>
        <v>30000</v>
      </c>
      <c r="J7589" s="912">
        <f t="shared" si="578"/>
        <v>12000</v>
      </c>
      <c r="K7589" s="912" t="s">
        <v>274</v>
      </c>
      <c r="L7589" s="912"/>
      <c r="M7589" s="912"/>
      <c r="N7589" s="912"/>
      <c r="O7589" s="892">
        <f t="shared" si="577"/>
        <v>0</v>
      </c>
      <c r="P7589" s="903">
        <f t="shared" si="571"/>
        <v>1</v>
      </c>
      <c r="Q7589" s="893">
        <f t="shared" si="572"/>
        <v>11</v>
      </c>
      <c r="R7589" s="894">
        <f t="shared" si="573"/>
        <v>0</v>
      </c>
    </row>
    <row r="7590" spans="1:18">
      <c r="A7590" s="905"/>
      <c r="B7590" s="906"/>
      <c r="C7590" s="907">
        <v>93</v>
      </c>
      <c r="D7590" s="907" t="s">
        <v>279</v>
      </c>
      <c r="E7590" s="925" t="s">
        <v>6111</v>
      </c>
      <c r="F7590" s="909" t="s">
        <v>45</v>
      </c>
      <c r="G7590" s="910"/>
      <c r="H7590" s="911">
        <v>0.04</v>
      </c>
      <c r="I7590" s="912">
        <f>VLOOKUP(E7590,[3]VLP!$B$7:$K$300,10,0)</f>
        <v>42000</v>
      </c>
      <c r="J7590" s="912">
        <f t="shared" si="578"/>
        <v>1680</v>
      </c>
      <c r="K7590" s="912" t="s">
        <v>274</v>
      </c>
      <c r="L7590" s="912"/>
      <c r="M7590" s="912"/>
      <c r="N7590" s="912"/>
      <c r="O7590" s="892">
        <f t="shared" si="577"/>
        <v>0</v>
      </c>
      <c r="P7590" s="903">
        <f t="shared" si="571"/>
        <v>1</v>
      </c>
      <c r="Q7590" s="893">
        <f t="shared" si="572"/>
        <v>10</v>
      </c>
      <c r="R7590" s="894">
        <f t="shared" si="573"/>
        <v>0</v>
      </c>
    </row>
    <row r="7591" spans="1:18">
      <c r="A7591" s="905"/>
      <c r="B7591" s="906"/>
      <c r="C7591" s="907">
        <v>89</v>
      </c>
      <c r="D7591" s="907" t="s">
        <v>279</v>
      </c>
      <c r="E7591" s="925" t="s">
        <v>5984</v>
      </c>
      <c r="F7591" s="909" t="s">
        <v>45</v>
      </c>
      <c r="G7591" s="910"/>
      <c r="H7591" s="911">
        <v>0.3</v>
      </c>
      <c r="I7591" s="912">
        <f>VLOOKUP(E7591,[3]VLP!$B$7:$K$300,10,0)</f>
        <v>1000</v>
      </c>
      <c r="J7591" s="912">
        <f t="shared" si="578"/>
        <v>300</v>
      </c>
      <c r="K7591" s="912" t="s">
        <v>274</v>
      </c>
      <c r="L7591" s="912"/>
      <c r="M7591" s="912"/>
      <c r="N7591" s="912"/>
      <c r="O7591" s="892">
        <f t="shared" si="577"/>
        <v>0</v>
      </c>
      <c r="P7591" s="903">
        <f t="shared" si="571"/>
        <v>1</v>
      </c>
      <c r="Q7591" s="893">
        <f t="shared" si="572"/>
        <v>9</v>
      </c>
      <c r="R7591" s="894">
        <f t="shared" si="573"/>
        <v>0</v>
      </c>
    </row>
    <row r="7592" spans="1:18">
      <c r="A7592" s="905"/>
      <c r="B7592" s="906"/>
      <c r="C7592" s="907">
        <v>47</v>
      </c>
      <c r="D7592" s="907" t="s">
        <v>279</v>
      </c>
      <c r="E7592" s="925" t="s">
        <v>3170</v>
      </c>
      <c r="F7592" s="909" t="s">
        <v>45</v>
      </c>
      <c r="G7592" s="910"/>
      <c r="H7592" s="911">
        <v>15</v>
      </c>
      <c r="I7592" s="912">
        <f>VLOOKUP(E7592,[3]VLP!$B$7:$K$300,10,0)</f>
        <v>1000</v>
      </c>
      <c r="J7592" s="912">
        <f t="shared" si="578"/>
        <v>15000</v>
      </c>
      <c r="K7592" s="912" t="s">
        <v>274</v>
      </c>
      <c r="L7592" s="912"/>
      <c r="M7592" s="912"/>
      <c r="N7592" s="912"/>
      <c r="O7592" s="892">
        <f t="shared" si="577"/>
        <v>0</v>
      </c>
      <c r="P7592" s="903">
        <f t="shared" ref="P7592:P7655" si="579">IF(O7592=0,1,0)</f>
        <v>1</v>
      </c>
      <c r="Q7592" s="893">
        <f t="shared" ref="Q7592:Q7655" si="580">IF(P7592=0,0,P7592+Q7593)</f>
        <v>8</v>
      </c>
      <c r="R7592" s="894">
        <f t="shared" ref="R7592:R7655" si="581">IF(Q7592=0,Q7593,0)</f>
        <v>0</v>
      </c>
    </row>
    <row r="7593" spans="1:18">
      <c r="A7593" s="905"/>
      <c r="B7593" s="906"/>
      <c r="C7593" s="907">
        <v>44</v>
      </c>
      <c r="D7593" s="907" t="s">
        <v>279</v>
      </c>
      <c r="E7593" s="925" t="s">
        <v>2681</v>
      </c>
      <c r="F7593" s="926" t="s">
        <v>45</v>
      </c>
      <c r="G7593" s="910"/>
      <c r="H7593" s="911">
        <v>1</v>
      </c>
      <c r="I7593" s="912">
        <f>VLOOKUP(E7593,[3]VLP!$B$7:$K$300,10,0)</f>
        <v>23000</v>
      </c>
      <c r="J7593" s="912">
        <f t="shared" si="578"/>
        <v>23000</v>
      </c>
      <c r="K7593" s="912" t="s">
        <v>274</v>
      </c>
      <c r="L7593" s="912"/>
      <c r="M7593" s="912"/>
      <c r="N7593" s="912"/>
      <c r="O7593" s="892">
        <f t="shared" si="577"/>
        <v>0</v>
      </c>
      <c r="P7593" s="903">
        <f t="shared" si="579"/>
        <v>1</v>
      </c>
      <c r="Q7593" s="893">
        <f t="shared" si="580"/>
        <v>7</v>
      </c>
      <c r="R7593" s="894">
        <f t="shared" si="581"/>
        <v>0</v>
      </c>
    </row>
    <row r="7594" spans="1:18">
      <c r="A7594" s="905"/>
      <c r="B7594" s="906"/>
      <c r="C7594" s="907">
        <v>66</v>
      </c>
      <c r="D7594" s="907" t="s">
        <v>279</v>
      </c>
      <c r="E7594" s="925" t="s">
        <v>2682</v>
      </c>
      <c r="F7594" s="926" t="s">
        <v>45</v>
      </c>
      <c r="G7594" s="910"/>
      <c r="H7594" s="911">
        <v>0.5</v>
      </c>
      <c r="I7594" s="912">
        <f>VLOOKUP(E7594,[3]VLP!$B$7:$K$300,10,0)</f>
        <v>5000</v>
      </c>
      <c r="J7594" s="912">
        <f t="shared" si="578"/>
        <v>2500</v>
      </c>
      <c r="K7594" s="912" t="s">
        <v>274</v>
      </c>
      <c r="L7594" s="912"/>
      <c r="M7594" s="912"/>
      <c r="N7594" s="912"/>
      <c r="O7594" s="892">
        <f t="shared" si="577"/>
        <v>0</v>
      </c>
      <c r="P7594" s="903">
        <f t="shared" si="579"/>
        <v>1</v>
      </c>
      <c r="Q7594" s="893">
        <f t="shared" si="580"/>
        <v>6</v>
      </c>
      <c r="R7594" s="894">
        <f t="shared" si="581"/>
        <v>0</v>
      </c>
    </row>
    <row r="7595" spans="1:18">
      <c r="A7595" s="905"/>
      <c r="B7595" s="906"/>
      <c r="C7595" s="907">
        <v>46</v>
      </c>
      <c r="D7595" s="907" t="s">
        <v>279</v>
      </c>
      <c r="E7595" s="925" t="s">
        <v>3179</v>
      </c>
      <c r="F7595" s="926" t="s">
        <v>45</v>
      </c>
      <c r="G7595" s="910"/>
      <c r="H7595" s="911">
        <v>11</v>
      </c>
      <c r="I7595" s="912">
        <f>VLOOKUP(E7595,[3]VLP!$B$7:$K$300,10,0)</f>
        <v>20500</v>
      </c>
      <c r="J7595" s="912">
        <f t="shared" si="578"/>
        <v>225500</v>
      </c>
      <c r="K7595" s="912" t="s">
        <v>274</v>
      </c>
      <c r="L7595" s="912"/>
      <c r="M7595" s="912"/>
      <c r="N7595" s="912"/>
      <c r="O7595" s="892">
        <f t="shared" si="577"/>
        <v>0</v>
      </c>
      <c r="P7595" s="903">
        <f t="shared" si="579"/>
        <v>1</v>
      </c>
      <c r="Q7595" s="893">
        <f t="shared" si="580"/>
        <v>5</v>
      </c>
      <c r="R7595" s="894">
        <f t="shared" si="581"/>
        <v>0</v>
      </c>
    </row>
    <row r="7596" spans="1:18">
      <c r="A7596" s="905"/>
      <c r="B7596" s="906"/>
      <c r="C7596" s="907">
        <v>58</v>
      </c>
      <c r="D7596" s="907" t="s">
        <v>279</v>
      </c>
      <c r="E7596" s="925" t="s">
        <v>3190</v>
      </c>
      <c r="F7596" s="926" t="s">
        <v>45</v>
      </c>
      <c r="G7596" s="910"/>
      <c r="H7596" s="911">
        <v>2</v>
      </c>
      <c r="I7596" s="912">
        <f>VLOOKUP(E7596,[3]VLP!$B$7:$K$300,10,0)</f>
        <v>27940</v>
      </c>
      <c r="J7596" s="912">
        <f t="shared" si="578"/>
        <v>55880</v>
      </c>
      <c r="K7596" s="912" t="s">
        <v>274</v>
      </c>
      <c r="L7596" s="912"/>
      <c r="M7596" s="912"/>
      <c r="N7596" s="912"/>
      <c r="O7596" s="892">
        <f t="shared" si="577"/>
        <v>0</v>
      </c>
      <c r="P7596" s="903">
        <f t="shared" si="579"/>
        <v>1</v>
      </c>
      <c r="Q7596" s="893">
        <f t="shared" si="580"/>
        <v>4</v>
      </c>
      <c r="R7596" s="894">
        <f t="shared" si="581"/>
        <v>0</v>
      </c>
    </row>
    <row r="7597" spans="1:18">
      <c r="A7597" s="905"/>
      <c r="B7597" s="906"/>
      <c r="C7597" s="907">
        <v>699</v>
      </c>
      <c r="D7597" s="907" t="s">
        <v>279</v>
      </c>
      <c r="E7597" s="925" t="s">
        <v>4006</v>
      </c>
      <c r="F7597" s="926" t="s">
        <v>4007</v>
      </c>
      <c r="G7597" s="910"/>
      <c r="H7597" s="911">
        <v>5</v>
      </c>
      <c r="I7597" s="912">
        <f>VLOOKUP(E7597,[3]VLP!$B$7:$K$300,10,0)</f>
        <v>5000</v>
      </c>
      <c r="J7597" s="912">
        <f t="shared" si="578"/>
        <v>25000</v>
      </c>
      <c r="K7597" s="912" t="s">
        <v>274</v>
      </c>
      <c r="L7597" s="912"/>
      <c r="M7597" s="912"/>
      <c r="N7597" s="912"/>
      <c r="O7597" s="892">
        <f t="shared" si="577"/>
        <v>0</v>
      </c>
      <c r="P7597" s="903">
        <f t="shared" si="579"/>
        <v>1</v>
      </c>
      <c r="Q7597" s="893">
        <f t="shared" si="580"/>
        <v>3</v>
      </c>
      <c r="R7597" s="894">
        <f t="shared" si="581"/>
        <v>0</v>
      </c>
    </row>
    <row r="7598" spans="1:18" s="904" customFormat="1">
      <c r="A7598" s="895"/>
      <c r="B7598" s="896"/>
      <c r="C7598" s="897"/>
      <c r="D7598" s="897"/>
      <c r="E7598" s="924" t="s">
        <v>276</v>
      </c>
      <c r="F7598" s="927"/>
      <c r="G7598" s="928"/>
      <c r="H7598" s="901"/>
      <c r="I7598" s="902"/>
      <c r="J7598" s="902"/>
      <c r="K7598" s="912" t="s">
        <v>274</v>
      </c>
      <c r="L7598" s="902"/>
      <c r="M7598" s="902"/>
      <c r="N7598" s="902"/>
      <c r="O7598" s="892">
        <f t="shared" si="577"/>
        <v>0</v>
      </c>
      <c r="P7598" s="903">
        <f t="shared" si="579"/>
        <v>1</v>
      </c>
      <c r="Q7598" s="893">
        <f t="shared" si="580"/>
        <v>2</v>
      </c>
      <c r="R7598" s="894">
        <f t="shared" si="581"/>
        <v>0</v>
      </c>
    </row>
    <row r="7599" spans="1:18">
      <c r="A7599" s="905"/>
      <c r="B7599" s="906"/>
      <c r="C7599" s="907">
        <v>745</v>
      </c>
      <c r="D7599" s="907" t="s">
        <v>12</v>
      </c>
      <c r="E7599" s="908" t="s">
        <v>5518</v>
      </c>
      <c r="F7599" s="909" t="s">
        <v>2674</v>
      </c>
      <c r="G7599" s="910"/>
      <c r="H7599" s="911">
        <v>9.1199999999999992</v>
      </c>
      <c r="I7599" s="912"/>
      <c r="J7599" s="912"/>
      <c r="K7599" s="912">
        <f>VLOOKUP(E7599,[5]ĐMNC!$A$7:$F$67,4,0)</f>
        <v>240557</v>
      </c>
      <c r="L7599" s="912">
        <f>H7599*K7599</f>
        <v>2193879.84</v>
      </c>
      <c r="M7599" s="912"/>
      <c r="N7599" s="912"/>
      <c r="O7599" s="892">
        <f t="shared" si="577"/>
        <v>0</v>
      </c>
      <c r="P7599" s="903">
        <f t="shared" si="579"/>
        <v>1</v>
      </c>
      <c r="Q7599" s="893">
        <f t="shared" si="580"/>
        <v>1</v>
      </c>
      <c r="R7599" s="894">
        <f t="shared" si="581"/>
        <v>0</v>
      </c>
    </row>
    <row r="7600" spans="1:18" s="847" customFormat="1" ht="35.25" customHeight="1">
      <c r="A7600" s="905"/>
      <c r="B7600" s="914" t="s">
        <v>6162</v>
      </c>
      <c r="C7600" s="915"/>
      <c r="D7600" s="915"/>
      <c r="E7600" s="916" t="s">
        <v>6163</v>
      </c>
      <c r="F7600" s="917" t="s">
        <v>6094</v>
      </c>
      <c r="G7600" s="944"/>
      <c r="H7600" s="919"/>
      <c r="I7600" s="920"/>
      <c r="J7600" s="891">
        <f>SUM(J7601:J7614)</f>
        <v>393140</v>
      </c>
      <c r="K7600" s="891" t="s">
        <v>274</v>
      </c>
      <c r="L7600" s="891">
        <f>SUM(L7601:L7614)</f>
        <v>2400758.8600000003</v>
      </c>
      <c r="M7600" s="891"/>
      <c r="N7600" s="891">
        <f>SUM(N7601:N7614)</f>
        <v>0</v>
      </c>
      <c r="O7600" s="892">
        <f t="shared" si="577"/>
        <v>1</v>
      </c>
      <c r="P7600" s="903">
        <f t="shared" si="579"/>
        <v>0</v>
      </c>
      <c r="Q7600" s="893">
        <f t="shared" si="580"/>
        <v>0</v>
      </c>
      <c r="R7600" s="894">
        <f t="shared" si="581"/>
        <v>14</v>
      </c>
    </row>
    <row r="7601" spans="1:18" s="904" customFormat="1">
      <c r="A7601" s="895"/>
      <c r="B7601" s="896"/>
      <c r="C7601" s="897"/>
      <c r="D7601" s="897"/>
      <c r="E7601" s="898" t="s">
        <v>108</v>
      </c>
      <c r="F7601" s="899"/>
      <c r="G7601" s="928"/>
      <c r="H7601" s="901"/>
      <c r="I7601" s="902"/>
      <c r="J7601" s="902"/>
      <c r="K7601" s="912" t="s">
        <v>274</v>
      </c>
      <c r="L7601" s="902"/>
      <c r="M7601" s="902"/>
      <c r="N7601" s="902"/>
      <c r="O7601" s="892">
        <f t="shared" si="577"/>
        <v>0</v>
      </c>
      <c r="P7601" s="903">
        <f t="shared" si="579"/>
        <v>1</v>
      </c>
      <c r="Q7601" s="893">
        <f t="shared" si="580"/>
        <v>14</v>
      </c>
      <c r="R7601" s="894">
        <f t="shared" si="581"/>
        <v>0</v>
      </c>
    </row>
    <row r="7602" spans="1:18">
      <c r="A7602" s="905"/>
      <c r="B7602" s="906"/>
      <c r="C7602" s="907">
        <v>68</v>
      </c>
      <c r="D7602" s="907" t="s">
        <v>279</v>
      </c>
      <c r="E7602" s="925" t="s">
        <v>6114</v>
      </c>
      <c r="F7602" s="909" t="s">
        <v>2337</v>
      </c>
      <c r="G7602" s="910"/>
      <c r="H7602" s="911">
        <v>1</v>
      </c>
      <c r="I7602" s="912">
        <f>VLOOKUP(E7602,[3]VLP!$B$7:$K$300,10,0)</f>
        <v>20280</v>
      </c>
      <c r="J7602" s="912">
        <f t="shared" ref="J7602:J7612" si="582">I7602*H7602</f>
        <v>20280</v>
      </c>
      <c r="K7602" s="912" t="s">
        <v>274</v>
      </c>
      <c r="L7602" s="912"/>
      <c r="M7602" s="912"/>
      <c r="N7602" s="912"/>
      <c r="O7602" s="892">
        <f t="shared" si="577"/>
        <v>0</v>
      </c>
      <c r="P7602" s="903">
        <f t="shared" si="579"/>
        <v>1</v>
      </c>
      <c r="Q7602" s="893">
        <f t="shared" si="580"/>
        <v>13</v>
      </c>
      <c r="R7602" s="894">
        <f t="shared" si="581"/>
        <v>0</v>
      </c>
    </row>
    <row r="7603" spans="1:18">
      <c r="A7603" s="905"/>
      <c r="B7603" s="906"/>
      <c r="C7603" s="907">
        <v>24</v>
      </c>
      <c r="D7603" s="907" t="s">
        <v>279</v>
      </c>
      <c r="E7603" s="925" t="s">
        <v>2691</v>
      </c>
      <c r="F7603" s="926" t="s">
        <v>2690</v>
      </c>
      <c r="G7603" s="910"/>
      <c r="H7603" s="911">
        <v>2</v>
      </c>
      <c r="I7603" s="912">
        <f>VLOOKUP(E7603,[3]VLP!$B$7:$K$300,10,0)</f>
        <v>6000</v>
      </c>
      <c r="J7603" s="912">
        <f t="shared" si="582"/>
        <v>12000</v>
      </c>
      <c r="K7603" s="912" t="s">
        <v>274</v>
      </c>
      <c r="L7603" s="912"/>
      <c r="M7603" s="912"/>
      <c r="N7603" s="912"/>
      <c r="O7603" s="892">
        <f t="shared" si="577"/>
        <v>0</v>
      </c>
      <c r="P7603" s="903">
        <f t="shared" si="579"/>
        <v>1</v>
      </c>
      <c r="Q7603" s="893">
        <f t="shared" si="580"/>
        <v>12</v>
      </c>
      <c r="R7603" s="894">
        <f t="shared" si="581"/>
        <v>0</v>
      </c>
    </row>
    <row r="7604" spans="1:18">
      <c r="A7604" s="905"/>
      <c r="B7604" s="906"/>
      <c r="C7604" s="907">
        <v>122</v>
      </c>
      <c r="D7604" s="907" t="s">
        <v>279</v>
      </c>
      <c r="E7604" s="925" t="s">
        <v>3267</v>
      </c>
      <c r="F7604" s="909" t="s">
        <v>45</v>
      </c>
      <c r="G7604" s="910"/>
      <c r="H7604" s="911">
        <v>0.4</v>
      </c>
      <c r="I7604" s="912">
        <f>VLOOKUP(E7604,[3]VLP!$B$7:$K$300,10,0)</f>
        <v>30000</v>
      </c>
      <c r="J7604" s="912">
        <f t="shared" si="582"/>
        <v>12000</v>
      </c>
      <c r="K7604" s="912" t="s">
        <v>274</v>
      </c>
      <c r="L7604" s="912"/>
      <c r="M7604" s="912"/>
      <c r="N7604" s="912"/>
      <c r="O7604" s="892">
        <f t="shared" si="577"/>
        <v>0</v>
      </c>
      <c r="P7604" s="903">
        <f t="shared" si="579"/>
        <v>1</v>
      </c>
      <c r="Q7604" s="893">
        <f t="shared" si="580"/>
        <v>11</v>
      </c>
      <c r="R7604" s="894">
        <f t="shared" si="581"/>
        <v>0</v>
      </c>
    </row>
    <row r="7605" spans="1:18">
      <c r="A7605" s="905"/>
      <c r="B7605" s="906"/>
      <c r="C7605" s="907">
        <v>93</v>
      </c>
      <c r="D7605" s="907" t="s">
        <v>279</v>
      </c>
      <c r="E7605" s="925" t="s">
        <v>6111</v>
      </c>
      <c r="F7605" s="909" t="s">
        <v>45</v>
      </c>
      <c r="G7605" s="910"/>
      <c r="H7605" s="911">
        <v>0.04</v>
      </c>
      <c r="I7605" s="912">
        <f>VLOOKUP(E7605,[3]VLP!$B$7:$K$300,10,0)</f>
        <v>42000</v>
      </c>
      <c r="J7605" s="912">
        <f t="shared" si="582"/>
        <v>1680</v>
      </c>
      <c r="K7605" s="912" t="s">
        <v>274</v>
      </c>
      <c r="L7605" s="912"/>
      <c r="M7605" s="912"/>
      <c r="N7605" s="912"/>
      <c r="O7605" s="892">
        <f t="shared" si="577"/>
        <v>0</v>
      </c>
      <c r="P7605" s="903">
        <f t="shared" si="579"/>
        <v>1</v>
      </c>
      <c r="Q7605" s="893">
        <f t="shared" si="580"/>
        <v>10</v>
      </c>
      <c r="R7605" s="894">
        <f t="shared" si="581"/>
        <v>0</v>
      </c>
    </row>
    <row r="7606" spans="1:18">
      <c r="A7606" s="905"/>
      <c r="B7606" s="906"/>
      <c r="C7606" s="907">
        <v>89</v>
      </c>
      <c r="D7606" s="907" t="s">
        <v>279</v>
      </c>
      <c r="E7606" s="925" t="s">
        <v>5984</v>
      </c>
      <c r="F7606" s="909" t="s">
        <v>45</v>
      </c>
      <c r="G7606" s="910"/>
      <c r="H7606" s="911">
        <v>0.3</v>
      </c>
      <c r="I7606" s="912">
        <f>VLOOKUP(E7606,[3]VLP!$B$7:$K$300,10,0)</f>
        <v>1000</v>
      </c>
      <c r="J7606" s="912">
        <f t="shared" si="582"/>
        <v>300</v>
      </c>
      <c r="K7606" s="912" t="s">
        <v>274</v>
      </c>
      <c r="L7606" s="912"/>
      <c r="M7606" s="912"/>
      <c r="N7606" s="912"/>
      <c r="O7606" s="892">
        <f t="shared" si="577"/>
        <v>0</v>
      </c>
      <c r="P7606" s="903">
        <f t="shared" si="579"/>
        <v>1</v>
      </c>
      <c r="Q7606" s="893">
        <f t="shared" si="580"/>
        <v>9</v>
      </c>
      <c r="R7606" s="894">
        <f t="shared" si="581"/>
        <v>0</v>
      </c>
    </row>
    <row r="7607" spans="1:18">
      <c r="A7607" s="905"/>
      <c r="B7607" s="906"/>
      <c r="C7607" s="907">
        <v>47</v>
      </c>
      <c r="D7607" s="907" t="s">
        <v>279</v>
      </c>
      <c r="E7607" s="925" t="s">
        <v>3170</v>
      </c>
      <c r="F7607" s="909" t="s">
        <v>45</v>
      </c>
      <c r="G7607" s="910"/>
      <c r="H7607" s="911">
        <v>15</v>
      </c>
      <c r="I7607" s="912">
        <f>VLOOKUP(E7607,[3]VLP!$B$7:$K$300,10,0)</f>
        <v>1000</v>
      </c>
      <c r="J7607" s="912">
        <f t="shared" si="582"/>
        <v>15000</v>
      </c>
      <c r="K7607" s="912" t="s">
        <v>274</v>
      </c>
      <c r="L7607" s="912"/>
      <c r="M7607" s="912"/>
      <c r="N7607" s="912"/>
      <c r="O7607" s="892">
        <f t="shared" si="577"/>
        <v>0</v>
      </c>
      <c r="P7607" s="903">
        <f t="shared" si="579"/>
        <v>1</v>
      </c>
      <c r="Q7607" s="893">
        <f t="shared" si="580"/>
        <v>8</v>
      </c>
      <c r="R7607" s="894">
        <f t="shared" si="581"/>
        <v>0</v>
      </c>
    </row>
    <row r="7608" spans="1:18">
      <c r="A7608" s="905"/>
      <c r="B7608" s="906"/>
      <c r="C7608" s="907">
        <v>44</v>
      </c>
      <c r="D7608" s="907" t="s">
        <v>279</v>
      </c>
      <c r="E7608" s="925" t="s">
        <v>2681</v>
      </c>
      <c r="F7608" s="926" t="s">
        <v>45</v>
      </c>
      <c r="G7608" s="910"/>
      <c r="H7608" s="911">
        <v>1</v>
      </c>
      <c r="I7608" s="912">
        <f>VLOOKUP(E7608,[3]VLP!$B$7:$K$300,10,0)</f>
        <v>23000</v>
      </c>
      <c r="J7608" s="912">
        <f t="shared" si="582"/>
        <v>23000</v>
      </c>
      <c r="K7608" s="912" t="s">
        <v>274</v>
      </c>
      <c r="L7608" s="912"/>
      <c r="M7608" s="912"/>
      <c r="N7608" s="912"/>
      <c r="O7608" s="892">
        <f t="shared" si="577"/>
        <v>0</v>
      </c>
      <c r="P7608" s="903">
        <f t="shared" si="579"/>
        <v>1</v>
      </c>
      <c r="Q7608" s="893">
        <f t="shared" si="580"/>
        <v>7</v>
      </c>
      <c r="R7608" s="894">
        <f t="shared" si="581"/>
        <v>0</v>
      </c>
    </row>
    <row r="7609" spans="1:18">
      <c r="A7609" s="905"/>
      <c r="B7609" s="906"/>
      <c r="C7609" s="907">
        <v>66</v>
      </c>
      <c r="D7609" s="907" t="s">
        <v>279</v>
      </c>
      <c r="E7609" s="925" t="s">
        <v>2682</v>
      </c>
      <c r="F7609" s="926" t="s">
        <v>45</v>
      </c>
      <c r="G7609" s="910"/>
      <c r="H7609" s="911">
        <v>0.5</v>
      </c>
      <c r="I7609" s="912">
        <f>VLOOKUP(E7609,[3]VLP!$B$7:$K$300,10,0)</f>
        <v>5000</v>
      </c>
      <c r="J7609" s="912">
        <f t="shared" si="582"/>
        <v>2500</v>
      </c>
      <c r="K7609" s="912" t="s">
        <v>274</v>
      </c>
      <c r="L7609" s="912"/>
      <c r="M7609" s="912"/>
      <c r="N7609" s="912"/>
      <c r="O7609" s="892">
        <f t="shared" si="577"/>
        <v>0</v>
      </c>
      <c r="P7609" s="903">
        <f t="shared" si="579"/>
        <v>1</v>
      </c>
      <c r="Q7609" s="893">
        <f t="shared" si="580"/>
        <v>6</v>
      </c>
      <c r="R7609" s="894">
        <f t="shared" si="581"/>
        <v>0</v>
      </c>
    </row>
    <row r="7610" spans="1:18">
      <c r="A7610" s="905"/>
      <c r="B7610" s="906"/>
      <c r="C7610" s="907">
        <v>46</v>
      </c>
      <c r="D7610" s="907" t="s">
        <v>279</v>
      </c>
      <c r="E7610" s="925" t="s">
        <v>3179</v>
      </c>
      <c r="F7610" s="926" t="s">
        <v>45</v>
      </c>
      <c r="G7610" s="910"/>
      <c r="H7610" s="911">
        <v>11</v>
      </c>
      <c r="I7610" s="912">
        <f>VLOOKUP(E7610,[3]VLP!$B$7:$K$300,10,0)</f>
        <v>20500</v>
      </c>
      <c r="J7610" s="912">
        <f t="shared" si="582"/>
        <v>225500</v>
      </c>
      <c r="K7610" s="912" t="s">
        <v>274</v>
      </c>
      <c r="L7610" s="912"/>
      <c r="M7610" s="912"/>
      <c r="N7610" s="912"/>
      <c r="O7610" s="892">
        <f t="shared" si="577"/>
        <v>0</v>
      </c>
      <c r="P7610" s="903">
        <f t="shared" si="579"/>
        <v>1</v>
      </c>
      <c r="Q7610" s="893">
        <f t="shared" si="580"/>
        <v>5</v>
      </c>
      <c r="R7610" s="894">
        <f t="shared" si="581"/>
        <v>0</v>
      </c>
    </row>
    <row r="7611" spans="1:18">
      <c r="A7611" s="905"/>
      <c r="B7611" s="906"/>
      <c r="C7611" s="907">
        <v>58</v>
      </c>
      <c r="D7611" s="907" t="s">
        <v>279</v>
      </c>
      <c r="E7611" s="925" t="s">
        <v>3190</v>
      </c>
      <c r="F7611" s="926" t="s">
        <v>45</v>
      </c>
      <c r="G7611" s="910"/>
      <c r="H7611" s="911">
        <v>2</v>
      </c>
      <c r="I7611" s="912">
        <f>VLOOKUP(E7611,[3]VLP!$B$7:$K$300,10,0)</f>
        <v>27940</v>
      </c>
      <c r="J7611" s="912">
        <f t="shared" si="582"/>
        <v>55880</v>
      </c>
      <c r="K7611" s="912" t="s">
        <v>274</v>
      </c>
      <c r="L7611" s="912"/>
      <c r="M7611" s="912"/>
      <c r="N7611" s="912"/>
      <c r="O7611" s="892">
        <f t="shared" si="577"/>
        <v>0</v>
      </c>
      <c r="P7611" s="903">
        <f t="shared" si="579"/>
        <v>1</v>
      </c>
      <c r="Q7611" s="893">
        <f t="shared" si="580"/>
        <v>4</v>
      </c>
      <c r="R7611" s="894">
        <f t="shared" si="581"/>
        <v>0</v>
      </c>
    </row>
    <row r="7612" spans="1:18">
      <c r="A7612" s="905"/>
      <c r="B7612" s="906"/>
      <c r="C7612" s="907">
        <v>699</v>
      </c>
      <c r="D7612" s="907" t="s">
        <v>279</v>
      </c>
      <c r="E7612" s="925" t="s">
        <v>4006</v>
      </c>
      <c r="F7612" s="926" t="s">
        <v>4007</v>
      </c>
      <c r="G7612" s="910"/>
      <c r="H7612" s="911">
        <v>5</v>
      </c>
      <c r="I7612" s="912">
        <f>VLOOKUP(E7612,[3]VLP!$B$7:$K$300,10,0)</f>
        <v>5000</v>
      </c>
      <c r="J7612" s="912">
        <f t="shared" si="582"/>
        <v>25000</v>
      </c>
      <c r="K7612" s="912" t="s">
        <v>274</v>
      </c>
      <c r="L7612" s="912"/>
      <c r="M7612" s="912"/>
      <c r="N7612" s="912"/>
      <c r="O7612" s="892">
        <f t="shared" si="577"/>
        <v>0</v>
      </c>
      <c r="P7612" s="903">
        <f t="shared" si="579"/>
        <v>1</v>
      </c>
      <c r="Q7612" s="893">
        <f t="shared" si="580"/>
        <v>3</v>
      </c>
      <c r="R7612" s="894">
        <f t="shared" si="581"/>
        <v>0</v>
      </c>
    </row>
    <row r="7613" spans="1:18" s="904" customFormat="1">
      <c r="A7613" s="895"/>
      <c r="B7613" s="896"/>
      <c r="C7613" s="897"/>
      <c r="D7613" s="897"/>
      <c r="E7613" s="924" t="s">
        <v>276</v>
      </c>
      <c r="F7613" s="927"/>
      <c r="G7613" s="928"/>
      <c r="H7613" s="901"/>
      <c r="I7613" s="902"/>
      <c r="J7613" s="902"/>
      <c r="K7613" s="912" t="s">
        <v>274</v>
      </c>
      <c r="L7613" s="902"/>
      <c r="M7613" s="902"/>
      <c r="N7613" s="902"/>
      <c r="O7613" s="892">
        <f t="shared" si="577"/>
        <v>0</v>
      </c>
      <c r="P7613" s="903">
        <f t="shared" si="579"/>
        <v>1</v>
      </c>
      <c r="Q7613" s="893">
        <f t="shared" si="580"/>
        <v>2</v>
      </c>
      <c r="R7613" s="894">
        <f t="shared" si="581"/>
        <v>0</v>
      </c>
    </row>
    <row r="7614" spans="1:18">
      <c r="A7614" s="905"/>
      <c r="B7614" s="906"/>
      <c r="C7614" s="907">
        <v>745</v>
      </c>
      <c r="D7614" s="907" t="s">
        <v>12</v>
      </c>
      <c r="E7614" s="908" t="s">
        <v>5518</v>
      </c>
      <c r="F7614" s="909" t="s">
        <v>2674</v>
      </c>
      <c r="G7614" s="910"/>
      <c r="H7614" s="911">
        <v>9.98</v>
      </c>
      <c r="I7614" s="912"/>
      <c r="J7614" s="912"/>
      <c r="K7614" s="912">
        <f>VLOOKUP(E7614,[5]ĐMNC!$A$7:$F$67,4,0)</f>
        <v>240557</v>
      </c>
      <c r="L7614" s="912">
        <f>H7614*K7614</f>
        <v>2400758.8600000003</v>
      </c>
      <c r="M7614" s="912"/>
      <c r="N7614" s="912"/>
      <c r="O7614" s="892">
        <f t="shared" si="577"/>
        <v>0</v>
      </c>
      <c r="P7614" s="903">
        <f t="shared" si="579"/>
        <v>1</v>
      </c>
      <c r="Q7614" s="893">
        <f t="shared" si="580"/>
        <v>1</v>
      </c>
      <c r="R7614" s="894">
        <f t="shared" si="581"/>
        <v>0</v>
      </c>
    </row>
    <row r="7615" spans="1:18" s="847" customFormat="1" ht="35.25" customHeight="1">
      <c r="A7615" s="905"/>
      <c r="B7615" s="914" t="s">
        <v>6164</v>
      </c>
      <c r="C7615" s="915"/>
      <c r="D7615" s="915"/>
      <c r="E7615" s="916" t="s">
        <v>6165</v>
      </c>
      <c r="F7615" s="917" t="s">
        <v>6094</v>
      </c>
      <c r="G7615" s="944"/>
      <c r="H7615" s="919"/>
      <c r="I7615" s="920"/>
      <c r="J7615" s="891">
        <f>SUM(J7616:J7629)</f>
        <v>507000</v>
      </c>
      <c r="K7615" s="891" t="s">
        <v>274</v>
      </c>
      <c r="L7615" s="891">
        <f>SUM(L7616:L7629)</f>
        <v>2674993.84</v>
      </c>
      <c r="M7615" s="891"/>
      <c r="N7615" s="891">
        <f>SUM(N7616:N7629)</f>
        <v>0</v>
      </c>
      <c r="O7615" s="892">
        <f t="shared" si="577"/>
        <v>1</v>
      </c>
      <c r="P7615" s="903">
        <f t="shared" si="579"/>
        <v>0</v>
      </c>
      <c r="Q7615" s="893">
        <f t="shared" si="580"/>
        <v>0</v>
      </c>
      <c r="R7615" s="894">
        <f t="shared" si="581"/>
        <v>14</v>
      </c>
    </row>
    <row r="7616" spans="1:18" s="904" customFormat="1">
      <c r="A7616" s="895"/>
      <c r="B7616" s="896"/>
      <c r="C7616" s="897"/>
      <c r="D7616" s="897"/>
      <c r="E7616" s="898" t="s">
        <v>108</v>
      </c>
      <c r="F7616" s="899"/>
      <c r="G7616" s="928"/>
      <c r="H7616" s="901"/>
      <c r="I7616" s="902"/>
      <c r="J7616" s="902"/>
      <c r="K7616" s="912" t="s">
        <v>274</v>
      </c>
      <c r="L7616" s="902"/>
      <c r="M7616" s="902"/>
      <c r="N7616" s="902"/>
      <c r="O7616" s="892">
        <f t="shared" si="577"/>
        <v>0</v>
      </c>
      <c r="P7616" s="903">
        <f t="shared" si="579"/>
        <v>1</v>
      </c>
      <c r="Q7616" s="893">
        <f t="shared" si="580"/>
        <v>14</v>
      </c>
      <c r="R7616" s="894">
        <f t="shared" si="581"/>
        <v>0</v>
      </c>
    </row>
    <row r="7617" spans="1:18">
      <c r="A7617" s="905"/>
      <c r="B7617" s="906"/>
      <c r="C7617" s="907">
        <v>69</v>
      </c>
      <c r="D7617" s="907" t="s">
        <v>279</v>
      </c>
      <c r="E7617" s="925" t="s">
        <v>6117</v>
      </c>
      <c r="F7617" s="909" t="s">
        <v>2337</v>
      </c>
      <c r="G7617" s="910"/>
      <c r="H7617" s="911">
        <v>1</v>
      </c>
      <c r="I7617" s="912">
        <f>VLOOKUP(E7617,[3]VLP!$B$7:$K$300,10,0)</f>
        <v>27040</v>
      </c>
      <c r="J7617" s="912">
        <f t="shared" ref="J7617:J7627" si="583">I7617*H7617</f>
        <v>27040</v>
      </c>
      <c r="K7617" s="912" t="s">
        <v>274</v>
      </c>
      <c r="L7617" s="912"/>
      <c r="M7617" s="912"/>
      <c r="N7617" s="912"/>
      <c r="O7617" s="892">
        <f t="shared" si="577"/>
        <v>0</v>
      </c>
      <c r="P7617" s="903">
        <f t="shared" si="579"/>
        <v>1</v>
      </c>
      <c r="Q7617" s="893">
        <f t="shared" si="580"/>
        <v>13</v>
      </c>
      <c r="R7617" s="894">
        <f t="shared" si="581"/>
        <v>0</v>
      </c>
    </row>
    <row r="7618" spans="1:18">
      <c r="A7618" s="905"/>
      <c r="B7618" s="906"/>
      <c r="C7618" s="907">
        <v>24</v>
      </c>
      <c r="D7618" s="907" t="s">
        <v>279</v>
      </c>
      <c r="E7618" s="925" t="s">
        <v>2691</v>
      </c>
      <c r="F7618" s="926" t="s">
        <v>2690</v>
      </c>
      <c r="G7618" s="910"/>
      <c r="H7618" s="911">
        <v>2.5</v>
      </c>
      <c r="I7618" s="912">
        <f>VLOOKUP(E7618,[3]VLP!$B$7:$K$300,10,0)</f>
        <v>6000</v>
      </c>
      <c r="J7618" s="912">
        <f t="shared" si="583"/>
        <v>15000</v>
      </c>
      <c r="K7618" s="912" t="s">
        <v>274</v>
      </c>
      <c r="L7618" s="912"/>
      <c r="M7618" s="912"/>
      <c r="N7618" s="912"/>
      <c r="O7618" s="892">
        <f t="shared" si="577"/>
        <v>0</v>
      </c>
      <c r="P7618" s="903">
        <f t="shared" si="579"/>
        <v>1</v>
      </c>
      <c r="Q7618" s="893">
        <f t="shared" si="580"/>
        <v>12</v>
      </c>
      <c r="R7618" s="894">
        <f t="shared" si="581"/>
        <v>0</v>
      </c>
    </row>
    <row r="7619" spans="1:18">
      <c r="A7619" s="905"/>
      <c r="B7619" s="906"/>
      <c r="C7619" s="907">
        <v>122</v>
      </c>
      <c r="D7619" s="907" t="s">
        <v>279</v>
      </c>
      <c r="E7619" s="925" t="s">
        <v>3267</v>
      </c>
      <c r="F7619" s="909" t="s">
        <v>45</v>
      </c>
      <c r="G7619" s="910"/>
      <c r="H7619" s="911">
        <v>0.4</v>
      </c>
      <c r="I7619" s="912">
        <f>VLOOKUP(E7619,[3]VLP!$B$7:$K$300,10,0)</f>
        <v>30000</v>
      </c>
      <c r="J7619" s="912">
        <f t="shared" si="583"/>
        <v>12000</v>
      </c>
      <c r="K7619" s="912" t="s">
        <v>274</v>
      </c>
      <c r="L7619" s="912"/>
      <c r="M7619" s="912"/>
      <c r="N7619" s="912"/>
      <c r="O7619" s="892">
        <f t="shared" si="577"/>
        <v>0</v>
      </c>
      <c r="P7619" s="903">
        <f t="shared" si="579"/>
        <v>1</v>
      </c>
      <c r="Q7619" s="893">
        <f t="shared" si="580"/>
        <v>11</v>
      </c>
      <c r="R7619" s="894">
        <f t="shared" si="581"/>
        <v>0</v>
      </c>
    </row>
    <row r="7620" spans="1:18">
      <c r="A7620" s="905"/>
      <c r="B7620" s="906"/>
      <c r="C7620" s="907">
        <v>93</v>
      </c>
      <c r="D7620" s="907" t="s">
        <v>279</v>
      </c>
      <c r="E7620" s="925" t="s">
        <v>6111</v>
      </c>
      <c r="F7620" s="909" t="s">
        <v>45</v>
      </c>
      <c r="G7620" s="910"/>
      <c r="H7620" s="911">
        <v>0.04</v>
      </c>
      <c r="I7620" s="912">
        <f>VLOOKUP(E7620,[3]VLP!$B$7:$K$300,10,0)</f>
        <v>42000</v>
      </c>
      <c r="J7620" s="912">
        <f t="shared" si="583"/>
        <v>1680</v>
      </c>
      <c r="K7620" s="912" t="s">
        <v>274</v>
      </c>
      <c r="L7620" s="912"/>
      <c r="M7620" s="912"/>
      <c r="N7620" s="912"/>
      <c r="O7620" s="892">
        <f t="shared" si="577"/>
        <v>0</v>
      </c>
      <c r="P7620" s="903">
        <f t="shared" si="579"/>
        <v>1</v>
      </c>
      <c r="Q7620" s="893">
        <f t="shared" si="580"/>
        <v>10</v>
      </c>
      <c r="R7620" s="894">
        <f t="shared" si="581"/>
        <v>0</v>
      </c>
    </row>
    <row r="7621" spans="1:18">
      <c r="A7621" s="905"/>
      <c r="B7621" s="906"/>
      <c r="C7621" s="907">
        <v>89</v>
      </c>
      <c r="D7621" s="907" t="s">
        <v>279</v>
      </c>
      <c r="E7621" s="925" t="s">
        <v>5984</v>
      </c>
      <c r="F7621" s="909" t="s">
        <v>45</v>
      </c>
      <c r="G7621" s="910"/>
      <c r="H7621" s="911">
        <v>0.4</v>
      </c>
      <c r="I7621" s="912">
        <f>VLOOKUP(E7621,[3]VLP!$B$7:$K$300,10,0)</f>
        <v>1000</v>
      </c>
      <c r="J7621" s="912">
        <f t="shared" si="583"/>
        <v>400</v>
      </c>
      <c r="K7621" s="912" t="s">
        <v>274</v>
      </c>
      <c r="L7621" s="912"/>
      <c r="M7621" s="912"/>
      <c r="N7621" s="912"/>
      <c r="O7621" s="892">
        <f t="shared" si="577"/>
        <v>0</v>
      </c>
      <c r="P7621" s="903">
        <f t="shared" si="579"/>
        <v>1</v>
      </c>
      <c r="Q7621" s="893">
        <f t="shared" si="580"/>
        <v>9</v>
      </c>
      <c r="R7621" s="894">
        <f t="shared" si="581"/>
        <v>0</v>
      </c>
    </row>
    <row r="7622" spans="1:18">
      <c r="A7622" s="905"/>
      <c r="B7622" s="906"/>
      <c r="C7622" s="907">
        <v>47</v>
      </c>
      <c r="D7622" s="907" t="s">
        <v>279</v>
      </c>
      <c r="E7622" s="925" t="s">
        <v>3170</v>
      </c>
      <c r="F7622" s="909" t="s">
        <v>45</v>
      </c>
      <c r="G7622" s="910"/>
      <c r="H7622" s="911">
        <v>16</v>
      </c>
      <c r="I7622" s="912">
        <f>VLOOKUP(E7622,[3]VLP!$B$7:$K$300,10,0)</f>
        <v>1000</v>
      </c>
      <c r="J7622" s="912">
        <f t="shared" si="583"/>
        <v>16000</v>
      </c>
      <c r="K7622" s="912" t="s">
        <v>274</v>
      </c>
      <c r="L7622" s="912"/>
      <c r="M7622" s="912"/>
      <c r="N7622" s="912"/>
      <c r="O7622" s="892">
        <f t="shared" si="577"/>
        <v>0</v>
      </c>
      <c r="P7622" s="903">
        <f t="shared" si="579"/>
        <v>1</v>
      </c>
      <c r="Q7622" s="893">
        <f t="shared" si="580"/>
        <v>8</v>
      </c>
      <c r="R7622" s="894">
        <f t="shared" si="581"/>
        <v>0</v>
      </c>
    </row>
    <row r="7623" spans="1:18">
      <c r="A7623" s="905"/>
      <c r="B7623" s="906"/>
      <c r="C7623" s="907">
        <v>44</v>
      </c>
      <c r="D7623" s="907" t="s">
        <v>279</v>
      </c>
      <c r="E7623" s="925" t="s">
        <v>2681</v>
      </c>
      <c r="F7623" s="926" t="s">
        <v>45</v>
      </c>
      <c r="G7623" s="910"/>
      <c r="H7623" s="911">
        <v>1</v>
      </c>
      <c r="I7623" s="912">
        <f>VLOOKUP(E7623,[3]VLP!$B$7:$K$300,10,0)</f>
        <v>23000</v>
      </c>
      <c r="J7623" s="912">
        <f t="shared" si="583"/>
        <v>23000</v>
      </c>
      <c r="K7623" s="912" t="s">
        <v>274</v>
      </c>
      <c r="L7623" s="912"/>
      <c r="M7623" s="912"/>
      <c r="N7623" s="912"/>
      <c r="O7623" s="892">
        <f t="shared" si="577"/>
        <v>0</v>
      </c>
      <c r="P7623" s="903">
        <f t="shared" si="579"/>
        <v>1</v>
      </c>
      <c r="Q7623" s="893">
        <f t="shared" si="580"/>
        <v>7</v>
      </c>
      <c r="R7623" s="894">
        <f t="shared" si="581"/>
        <v>0</v>
      </c>
    </row>
    <row r="7624" spans="1:18">
      <c r="A7624" s="905"/>
      <c r="B7624" s="906"/>
      <c r="C7624" s="907">
        <v>66</v>
      </c>
      <c r="D7624" s="907" t="s">
        <v>279</v>
      </c>
      <c r="E7624" s="925" t="s">
        <v>2682</v>
      </c>
      <c r="F7624" s="926" t="s">
        <v>45</v>
      </c>
      <c r="G7624" s="910"/>
      <c r="H7624" s="911">
        <v>0.6</v>
      </c>
      <c r="I7624" s="912">
        <f>VLOOKUP(E7624,[3]VLP!$B$7:$K$300,10,0)</f>
        <v>5000</v>
      </c>
      <c r="J7624" s="912">
        <f t="shared" si="583"/>
        <v>3000</v>
      </c>
      <c r="K7624" s="912" t="s">
        <v>274</v>
      </c>
      <c r="L7624" s="912"/>
      <c r="M7624" s="912"/>
      <c r="N7624" s="912"/>
      <c r="O7624" s="892">
        <f t="shared" si="577"/>
        <v>0</v>
      </c>
      <c r="P7624" s="903">
        <f t="shared" si="579"/>
        <v>1</v>
      </c>
      <c r="Q7624" s="893">
        <f t="shared" si="580"/>
        <v>6</v>
      </c>
      <c r="R7624" s="894">
        <f t="shared" si="581"/>
        <v>0</v>
      </c>
    </row>
    <row r="7625" spans="1:18">
      <c r="A7625" s="905"/>
      <c r="B7625" s="906"/>
      <c r="C7625" s="907">
        <v>46</v>
      </c>
      <c r="D7625" s="907" t="s">
        <v>279</v>
      </c>
      <c r="E7625" s="925" t="s">
        <v>3179</v>
      </c>
      <c r="F7625" s="926" t="s">
        <v>45</v>
      </c>
      <c r="G7625" s="910"/>
      <c r="H7625" s="911">
        <v>16</v>
      </c>
      <c r="I7625" s="912">
        <f>VLOOKUP(E7625,[3]VLP!$B$7:$K$300,10,0)</f>
        <v>20500</v>
      </c>
      <c r="J7625" s="912">
        <f t="shared" si="583"/>
        <v>328000</v>
      </c>
      <c r="K7625" s="912" t="s">
        <v>274</v>
      </c>
      <c r="L7625" s="912"/>
      <c r="M7625" s="912"/>
      <c r="N7625" s="912"/>
      <c r="O7625" s="892">
        <f t="shared" si="577"/>
        <v>0</v>
      </c>
      <c r="P7625" s="903">
        <f t="shared" si="579"/>
        <v>1</v>
      </c>
      <c r="Q7625" s="893">
        <f t="shared" si="580"/>
        <v>5</v>
      </c>
      <c r="R7625" s="894">
        <f t="shared" si="581"/>
        <v>0</v>
      </c>
    </row>
    <row r="7626" spans="1:18">
      <c r="A7626" s="905"/>
      <c r="B7626" s="906"/>
      <c r="C7626" s="907">
        <v>58</v>
      </c>
      <c r="D7626" s="907" t="s">
        <v>279</v>
      </c>
      <c r="E7626" s="925" t="s">
        <v>3190</v>
      </c>
      <c r="F7626" s="926" t="s">
        <v>45</v>
      </c>
      <c r="G7626" s="910"/>
      <c r="H7626" s="911">
        <v>2</v>
      </c>
      <c r="I7626" s="912">
        <f>VLOOKUP(E7626,[3]VLP!$B$7:$K$300,10,0)</f>
        <v>27940</v>
      </c>
      <c r="J7626" s="912">
        <f t="shared" si="583"/>
        <v>55880</v>
      </c>
      <c r="K7626" s="912" t="s">
        <v>274</v>
      </c>
      <c r="L7626" s="912"/>
      <c r="M7626" s="912"/>
      <c r="N7626" s="912"/>
      <c r="O7626" s="892">
        <f t="shared" si="577"/>
        <v>0</v>
      </c>
      <c r="P7626" s="903">
        <f t="shared" si="579"/>
        <v>1</v>
      </c>
      <c r="Q7626" s="893">
        <f t="shared" si="580"/>
        <v>4</v>
      </c>
      <c r="R7626" s="894">
        <f t="shared" si="581"/>
        <v>0</v>
      </c>
    </row>
    <row r="7627" spans="1:18">
      <c r="A7627" s="905"/>
      <c r="B7627" s="906"/>
      <c r="C7627" s="907">
        <v>699</v>
      </c>
      <c r="D7627" s="907" t="s">
        <v>279</v>
      </c>
      <c r="E7627" s="925" t="s">
        <v>4006</v>
      </c>
      <c r="F7627" s="926" t="s">
        <v>4007</v>
      </c>
      <c r="G7627" s="910"/>
      <c r="H7627" s="911">
        <v>5</v>
      </c>
      <c r="I7627" s="912">
        <f>VLOOKUP(E7627,[3]VLP!$B$7:$K$300,10,0)</f>
        <v>5000</v>
      </c>
      <c r="J7627" s="912">
        <f t="shared" si="583"/>
        <v>25000</v>
      </c>
      <c r="K7627" s="912" t="s">
        <v>274</v>
      </c>
      <c r="L7627" s="912"/>
      <c r="M7627" s="912"/>
      <c r="N7627" s="912"/>
      <c r="O7627" s="892">
        <f t="shared" si="577"/>
        <v>0</v>
      </c>
      <c r="P7627" s="903">
        <f t="shared" si="579"/>
        <v>1</v>
      </c>
      <c r="Q7627" s="893">
        <f t="shared" si="580"/>
        <v>3</v>
      </c>
      <c r="R7627" s="894">
        <f t="shared" si="581"/>
        <v>0</v>
      </c>
    </row>
    <row r="7628" spans="1:18" s="904" customFormat="1">
      <c r="A7628" s="895"/>
      <c r="B7628" s="896"/>
      <c r="C7628" s="897"/>
      <c r="D7628" s="897"/>
      <c r="E7628" s="924" t="s">
        <v>276</v>
      </c>
      <c r="F7628" s="927"/>
      <c r="G7628" s="928"/>
      <c r="H7628" s="901"/>
      <c r="I7628" s="902"/>
      <c r="J7628" s="902"/>
      <c r="K7628" s="912" t="s">
        <v>274</v>
      </c>
      <c r="L7628" s="902"/>
      <c r="M7628" s="902"/>
      <c r="N7628" s="902"/>
      <c r="O7628" s="892">
        <f t="shared" si="577"/>
        <v>0</v>
      </c>
      <c r="P7628" s="903">
        <f t="shared" si="579"/>
        <v>1</v>
      </c>
      <c r="Q7628" s="893">
        <f t="shared" si="580"/>
        <v>2</v>
      </c>
      <c r="R7628" s="894">
        <f t="shared" si="581"/>
        <v>0</v>
      </c>
    </row>
    <row r="7629" spans="1:18">
      <c r="A7629" s="905"/>
      <c r="B7629" s="906"/>
      <c r="C7629" s="907">
        <v>745</v>
      </c>
      <c r="D7629" s="907" t="s">
        <v>12</v>
      </c>
      <c r="E7629" s="908" t="s">
        <v>5518</v>
      </c>
      <c r="F7629" s="909" t="s">
        <v>2674</v>
      </c>
      <c r="G7629" s="910"/>
      <c r="H7629" s="911">
        <v>11.12</v>
      </c>
      <c r="I7629" s="912"/>
      <c r="J7629" s="912"/>
      <c r="K7629" s="912">
        <f>VLOOKUP(E7629,[5]ĐMNC!$A$7:$F$67,4,0)</f>
        <v>240557</v>
      </c>
      <c r="L7629" s="912">
        <f>H7629*K7629</f>
        <v>2674993.84</v>
      </c>
      <c r="M7629" s="912"/>
      <c r="N7629" s="912"/>
      <c r="O7629" s="892">
        <f t="shared" si="577"/>
        <v>0</v>
      </c>
      <c r="P7629" s="903">
        <f t="shared" si="579"/>
        <v>1</v>
      </c>
      <c r="Q7629" s="893">
        <f t="shared" si="580"/>
        <v>1</v>
      </c>
      <c r="R7629" s="894">
        <f t="shared" si="581"/>
        <v>0</v>
      </c>
    </row>
    <row r="7630" spans="1:18" s="847" customFormat="1" ht="35.25" customHeight="1">
      <c r="A7630" s="905"/>
      <c r="B7630" s="914" t="s">
        <v>6166</v>
      </c>
      <c r="C7630" s="915"/>
      <c r="D7630" s="915"/>
      <c r="E7630" s="916" t="s">
        <v>6167</v>
      </c>
      <c r="F7630" s="917" t="s">
        <v>6094</v>
      </c>
      <c r="G7630" s="944"/>
      <c r="H7630" s="919"/>
      <c r="I7630" s="920"/>
      <c r="J7630" s="891">
        <f>SUM(J7631:J7644)</f>
        <v>515120</v>
      </c>
      <c r="K7630" s="891" t="s">
        <v>274</v>
      </c>
      <c r="L7630" s="891">
        <f>SUM(L7631:L7644)</f>
        <v>2980501.23</v>
      </c>
      <c r="M7630" s="891"/>
      <c r="N7630" s="891">
        <f>SUM(N7631:N7644)</f>
        <v>0</v>
      </c>
      <c r="O7630" s="892">
        <f t="shared" si="577"/>
        <v>1</v>
      </c>
      <c r="P7630" s="903">
        <f t="shared" si="579"/>
        <v>0</v>
      </c>
      <c r="Q7630" s="893">
        <f t="shared" si="580"/>
        <v>0</v>
      </c>
      <c r="R7630" s="894">
        <f t="shared" si="581"/>
        <v>14</v>
      </c>
    </row>
    <row r="7631" spans="1:18" s="904" customFormat="1">
      <c r="A7631" s="895"/>
      <c r="B7631" s="896"/>
      <c r="C7631" s="897"/>
      <c r="D7631" s="897"/>
      <c r="E7631" s="898" t="s">
        <v>108</v>
      </c>
      <c r="F7631" s="899"/>
      <c r="G7631" s="928"/>
      <c r="H7631" s="901"/>
      <c r="I7631" s="902"/>
      <c r="J7631" s="902"/>
      <c r="K7631" s="912" t="s">
        <v>274</v>
      </c>
      <c r="L7631" s="902"/>
      <c r="M7631" s="902"/>
      <c r="N7631" s="902"/>
      <c r="O7631" s="892">
        <f t="shared" si="577"/>
        <v>0</v>
      </c>
      <c r="P7631" s="903">
        <f t="shared" si="579"/>
        <v>1</v>
      </c>
      <c r="Q7631" s="893">
        <f t="shared" si="580"/>
        <v>14</v>
      </c>
      <c r="R7631" s="894">
        <f t="shared" si="581"/>
        <v>0</v>
      </c>
    </row>
    <row r="7632" spans="1:18">
      <c r="A7632" s="905"/>
      <c r="B7632" s="906"/>
      <c r="C7632" s="907">
        <v>70</v>
      </c>
      <c r="D7632" s="907" t="s">
        <v>279</v>
      </c>
      <c r="E7632" s="925" t="s">
        <v>6120</v>
      </c>
      <c r="F7632" s="909" t="s">
        <v>2337</v>
      </c>
      <c r="G7632" s="910"/>
      <c r="H7632" s="911">
        <v>1</v>
      </c>
      <c r="I7632" s="912">
        <f>VLOOKUP(E7632,[3]VLP!$B$7:$K$300,10,0)</f>
        <v>27040</v>
      </c>
      <c r="J7632" s="912">
        <f t="shared" ref="J7632:J7642" si="584">I7632*H7632</f>
        <v>27040</v>
      </c>
      <c r="K7632" s="912" t="s">
        <v>274</v>
      </c>
      <c r="L7632" s="912"/>
      <c r="M7632" s="912"/>
      <c r="N7632" s="912"/>
      <c r="O7632" s="892">
        <f t="shared" si="577"/>
        <v>0</v>
      </c>
      <c r="P7632" s="903">
        <f t="shared" si="579"/>
        <v>1</v>
      </c>
      <c r="Q7632" s="893">
        <f t="shared" si="580"/>
        <v>13</v>
      </c>
      <c r="R7632" s="894">
        <f t="shared" si="581"/>
        <v>0</v>
      </c>
    </row>
    <row r="7633" spans="1:18">
      <c r="A7633" s="905"/>
      <c r="B7633" s="906"/>
      <c r="C7633" s="907">
        <v>24</v>
      </c>
      <c r="D7633" s="907" t="s">
        <v>279</v>
      </c>
      <c r="E7633" s="925" t="s">
        <v>2691</v>
      </c>
      <c r="F7633" s="926" t="s">
        <v>2690</v>
      </c>
      <c r="G7633" s="910"/>
      <c r="H7633" s="911">
        <v>2.5</v>
      </c>
      <c r="I7633" s="912">
        <f>VLOOKUP(E7633,[3]VLP!$B$7:$K$300,10,0)</f>
        <v>6000</v>
      </c>
      <c r="J7633" s="912">
        <f t="shared" si="584"/>
        <v>15000</v>
      </c>
      <c r="K7633" s="912" t="s">
        <v>274</v>
      </c>
      <c r="L7633" s="912"/>
      <c r="M7633" s="912"/>
      <c r="N7633" s="912"/>
      <c r="O7633" s="892">
        <f t="shared" si="577"/>
        <v>0</v>
      </c>
      <c r="P7633" s="903">
        <f t="shared" si="579"/>
        <v>1</v>
      </c>
      <c r="Q7633" s="893">
        <f t="shared" si="580"/>
        <v>12</v>
      </c>
      <c r="R7633" s="894">
        <f t="shared" si="581"/>
        <v>0</v>
      </c>
    </row>
    <row r="7634" spans="1:18">
      <c r="A7634" s="905"/>
      <c r="B7634" s="906"/>
      <c r="C7634" s="907">
        <v>122</v>
      </c>
      <c r="D7634" s="907" t="s">
        <v>279</v>
      </c>
      <c r="E7634" s="925" t="s">
        <v>3267</v>
      </c>
      <c r="F7634" s="909" t="s">
        <v>45</v>
      </c>
      <c r="G7634" s="910"/>
      <c r="H7634" s="911">
        <v>0.5</v>
      </c>
      <c r="I7634" s="912">
        <f>VLOOKUP(E7634,[3]VLP!$B$7:$K$300,10,0)</f>
        <v>30000</v>
      </c>
      <c r="J7634" s="912">
        <f t="shared" si="584"/>
        <v>15000</v>
      </c>
      <c r="K7634" s="912" t="s">
        <v>274</v>
      </c>
      <c r="L7634" s="912"/>
      <c r="M7634" s="912"/>
      <c r="N7634" s="912"/>
      <c r="O7634" s="892">
        <f t="shared" si="577"/>
        <v>0</v>
      </c>
      <c r="P7634" s="903">
        <f t="shared" si="579"/>
        <v>1</v>
      </c>
      <c r="Q7634" s="893">
        <f t="shared" si="580"/>
        <v>11</v>
      </c>
      <c r="R7634" s="894">
        <f t="shared" si="581"/>
        <v>0</v>
      </c>
    </row>
    <row r="7635" spans="1:18">
      <c r="A7635" s="905"/>
      <c r="B7635" s="906"/>
      <c r="C7635" s="907">
        <v>93</v>
      </c>
      <c r="D7635" s="907" t="s">
        <v>279</v>
      </c>
      <c r="E7635" s="925" t="s">
        <v>6111</v>
      </c>
      <c r="F7635" s="909" t="s">
        <v>45</v>
      </c>
      <c r="G7635" s="910"/>
      <c r="H7635" s="911">
        <v>0.05</v>
      </c>
      <c r="I7635" s="912">
        <f>VLOOKUP(E7635,[3]VLP!$B$7:$K$300,10,0)</f>
        <v>42000</v>
      </c>
      <c r="J7635" s="912">
        <f t="shared" si="584"/>
        <v>2100</v>
      </c>
      <c r="K7635" s="912" t="s">
        <v>274</v>
      </c>
      <c r="L7635" s="912"/>
      <c r="M7635" s="912"/>
      <c r="N7635" s="912"/>
      <c r="O7635" s="892">
        <f t="shared" si="577"/>
        <v>0</v>
      </c>
      <c r="P7635" s="903">
        <f t="shared" si="579"/>
        <v>1</v>
      </c>
      <c r="Q7635" s="893">
        <f t="shared" si="580"/>
        <v>10</v>
      </c>
      <c r="R7635" s="894">
        <f t="shared" si="581"/>
        <v>0</v>
      </c>
    </row>
    <row r="7636" spans="1:18">
      <c r="A7636" s="905"/>
      <c r="B7636" s="906"/>
      <c r="C7636" s="907">
        <v>89</v>
      </c>
      <c r="D7636" s="907" t="s">
        <v>279</v>
      </c>
      <c r="E7636" s="925" t="s">
        <v>5984</v>
      </c>
      <c r="F7636" s="909" t="s">
        <v>45</v>
      </c>
      <c r="G7636" s="910"/>
      <c r="H7636" s="911">
        <v>0.5</v>
      </c>
      <c r="I7636" s="912">
        <f>VLOOKUP(E7636,[3]VLP!$B$7:$K$300,10,0)</f>
        <v>1000</v>
      </c>
      <c r="J7636" s="912">
        <f t="shared" si="584"/>
        <v>500</v>
      </c>
      <c r="K7636" s="912" t="s">
        <v>274</v>
      </c>
      <c r="L7636" s="912"/>
      <c r="M7636" s="912"/>
      <c r="N7636" s="912"/>
      <c r="O7636" s="892">
        <f t="shared" si="577"/>
        <v>0</v>
      </c>
      <c r="P7636" s="903">
        <f t="shared" si="579"/>
        <v>1</v>
      </c>
      <c r="Q7636" s="893">
        <f t="shared" si="580"/>
        <v>9</v>
      </c>
      <c r="R7636" s="894">
        <f t="shared" si="581"/>
        <v>0</v>
      </c>
    </row>
    <row r="7637" spans="1:18">
      <c r="A7637" s="905"/>
      <c r="B7637" s="906"/>
      <c r="C7637" s="907">
        <v>47</v>
      </c>
      <c r="D7637" s="907" t="s">
        <v>279</v>
      </c>
      <c r="E7637" s="925" t="s">
        <v>3170</v>
      </c>
      <c r="F7637" s="909" t="s">
        <v>45</v>
      </c>
      <c r="G7637" s="910"/>
      <c r="H7637" s="911">
        <v>16</v>
      </c>
      <c r="I7637" s="912">
        <f>VLOOKUP(E7637,[3]VLP!$B$7:$K$300,10,0)</f>
        <v>1000</v>
      </c>
      <c r="J7637" s="912">
        <f t="shared" si="584"/>
        <v>16000</v>
      </c>
      <c r="K7637" s="912" t="s">
        <v>274</v>
      </c>
      <c r="L7637" s="912"/>
      <c r="M7637" s="912"/>
      <c r="N7637" s="912"/>
      <c r="O7637" s="892">
        <f t="shared" si="577"/>
        <v>0</v>
      </c>
      <c r="P7637" s="903">
        <f t="shared" si="579"/>
        <v>1</v>
      </c>
      <c r="Q7637" s="893">
        <f t="shared" si="580"/>
        <v>8</v>
      </c>
      <c r="R7637" s="894">
        <f t="shared" si="581"/>
        <v>0</v>
      </c>
    </row>
    <row r="7638" spans="1:18">
      <c r="A7638" s="905"/>
      <c r="B7638" s="906"/>
      <c r="C7638" s="907">
        <v>44</v>
      </c>
      <c r="D7638" s="907" t="s">
        <v>279</v>
      </c>
      <c r="E7638" s="925" t="s">
        <v>2681</v>
      </c>
      <c r="F7638" s="926" t="s">
        <v>45</v>
      </c>
      <c r="G7638" s="910"/>
      <c r="H7638" s="911">
        <v>1.2</v>
      </c>
      <c r="I7638" s="912">
        <f>VLOOKUP(E7638,[3]VLP!$B$7:$K$300,10,0)</f>
        <v>23000</v>
      </c>
      <c r="J7638" s="912">
        <f t="shared" si="584"/>
        <v>27600</v>
      </c>
      <c r="K7638" s="912" t="s">
        <v>274</v>
      </c>
      <c r="L7638" s="912"/>
      <c r="M7638" s="912"/>
      <c r="N7638" s="912"/>
      <c r="O7638" s="892">
        <f t="shared" si="577"/>
        <v>0</v>
      </c>
      <c r="P7638" s="903">
        <f t="shared" si="579"/>
        <v>1</v>
      </c>
      <c r="Q7638" s="893">
        <f t="shared" si="580"/>
        <v>7</v>
      </c>
      <c r="R7638" s="894">
        <f t="shared" si="581"/>
        <v>0</v>
      </c>
    </row>
    <row r="7639" spans="1:18">
      <c r="A7639" s="905"/>
      <c r="B7639" s="906"/>
      <c r="C7639" s="907">
        <v>66</v>
      </c>
      <c r="D7639" s="907" t="s">
        <v>279</v>
      </c>
      <c r="E7639" s="925" t="s">
        <v>2682</v>
      </c>
      <c r="F7639" s="926" t="s">
        <v>45</v>
      </c>
      <c r="G7639" s="910"/>
      <c r="H7639" s="911">
        <v>0.6</v>
      </c>
      <c r="I7639" s="912">
        <f>VLOOKUP(E7639,[3]VLP!$B$7:$K$300,10,0)</f>
        <v>5000</v>
      </c>
      <c r="J7639" s="912">
        <f t="shared" si="584"/>
        <v>3000</v>
      </c>
      <c r="K7639" s="912" t="s">
        <v>274</v>
      </c>
      <c r="L7639" s="912"/>
      <c r="M7639" s="912"/>
      <c r="N7639" s="912"/>
      <c r="O7639" s="892">
        <f t="shared" si="577"/>
        <v>0</v>
      </c>
      <c r="P7639" s="903">
        <f t="shared" si="579"/>
        <v>1</v>
      </c>
      <c r="Q7639" s="893">
        <f t="shared" si="580"/>
        <v>6</v>
      </c>
      <c r="R7639" s="894">
        <f t="shared" si="581"/>
        <v>0</v>
      </c>
    </row>
    <row r="7640" spans="1:18">
      <c r="A7640" s="905"/>
      <c r="B7640" s="906"/>
      <c r="C7640" s="907">
        <v>46</v>
      </c>
      <c r="D7640" s="907" t="s">
        <v>279</v>
      </c>
      <c r="E7640" s="925" t="s">
        <v>3179</v>
      </c>
      <c r="F7640" s="926" t="s">
        <v>45</v>
      </c>
      <c r="G7640" s="910"/>
      <c r="H7640" s="911">
        <v>16</v>
      </c>
      <c r="I7640" s="912">
        <f>VLOOKUP(E7640,[3]VLP!$B$7:$K$300,10,0)</f>
        <v>20500</v>
      </c>
      <c r="J7640" s="912">
        <f t="shared" si="584"/>
        <v>328000</v>
      </c>
      <c r="K7640" s="912" t="s">
        <v>274</v>
      </c>
      <c r="L7640" s="912"/>
      <c r="M7640" s="912"/>
      <c r="N7640" s="912"/>
      <c r="O7640" s="892">
        <f t="shared" si="577"/>
        <v>0</v>
      </c>
      <c r="P7640" s="903">
        <f t="shared" si="579"/>
        <v>1</v>
      </c>
      <c r="Q7640" s="893">
        <f t="shared" si="580"/>
        <v>5</v>
      </c>
      <c r="R7640" s="894">
        <f t="shared" si="581"/>
        <v>0</v>
      </c>
    </row>
    <row r="7641" spans="1:18">
      <c r="A7641" s="905"/>
      <c r="B7641" s="906"/>
      <c r="C7641" s="907">
        <v>58</v>
      </c>
      <c r="D7641" s="907" t="s">
        <v>279</v>
      </c>
      <c r="E7641" s="925" t="s">
        <v>3190</v>
      </c>
      <c r="F7641" s="926" t="s">
        <v>45</v>
      </c>
      <c r="G7641" s="910"/>
      <c r="H7641" s="911">
        <v>2</v>
      </c>
      <c r="I7641" s="912">
        <f>VLOOKUP(E7641,[3]VLP!$B$7:$K$300,10,0)</f>
        <v>27940</v>
      </c>
      <c r="J7641" s="912">
        <f t="shared" si="584"/>
        <v>55880</v>
      </c>
      <c r="K7641" s="912" t="s">
        <v>274</v>
      </c>
      <c r="L7641" s="912"/>
      <c r="M7641" s="912"/>
      <c r="N7641" s="912"/>
      <c r="O7641" s="892">
        <f t="shared" si="577"/>
        <v>0</v>
      </c>
      <c r="P7641" s="903">
        <f t="shared" si="579"/>
        <v>1</v>
      </c>
      <c r="Q7641" s="893">
        <f t="shared" si="580"/>
        <v>4</v>
      </c>
      <c r="R7641" s="894">
        <f t="shared" si="581"/>
        <v>0</v>
      </c>
    </row>
    <row r="7642" spans="1:18">
      <c r="A7642" s="905"/>
      <c r="B7642" s="906"/>
      <c r="C7642" s="907">
        <v>699</v>
      </c>
      <c r="D7642" s="907" t="s">
        <v>279</v>
      </c>
      <c r="E7642" s="925" t="s">
        <v>4006</v>
      </c>
      <c r="F7642" s="926" t="s">
        <v>4007</v>
      </c>
      <c r="G7642" s="910"/>
      <c r="H7642" s="911">
        <v>5</v>
      </c>
      <c r="I7642" s="912">
        <f>VLOOKUP(E7642,[3]VLP!$B$7:$K$300,10,0)</f>
        <v>5000</v>
      </c>
      <c r="J7642" s="912">
        <f t="shared" si="584"/>
        <v>25000</v>
      </c>
      <c r="K7642" s="912" t="s">
        <v>274</v>
      </c>
      <c r="L7642" s="912"/>
      <c r="M7642" s="912"/>
      <c r="N7642" s="912"/>
      <c r="O7642" s="892">
        <f t="shared" si="577"/>
        <v>0</v>
      </c>
      <c r="P7642" s="903">
        <f t="shared" si="579"/>
        <v>1</v>
      </c>
      <c r="Q7642" s="893">
        <f t="shared" si="580"/>
        <v>3</v>
      </c>
      <c r="R7642" s="894">
        <f t="shared" si="581"/>
        <v>0</v>
      </c>
    </row>
    <row r="7643" spans="1:18" s="904" customFormat="1">
      <c r="A7643" s="895"/>
      <c r="B7643" s="896"/>
      <c r="C7643" s="897"/>
      <c r="D7643" s="897"/>
      <c r="E7643" s="924" t="s">
        <v>276</v>
      </c>
      <c r="F7643" s="927"/>
      <c r="G7643" s="928"/>
      <c r="H7643" s="901"/>
      <c r="I7643" s="902"/>
      <c r="J7643" s="902"/>
      <c r="K7643" s="912" t="s">
        <v>274</v>
      </c>
      <c r="L7643" s="902"/>
      <c r="M7643" s="902"/>
      <c r="N7643" s="902"/>
      <c r="O7643" s="892">
        <f t="shared" si="577"/>
        <v>0</v>
      </c>
      <c r="P7643" s="903">
        <f t="shared" si="579"/>
        <v>1</v>
      </c>
      <c r="Q7643" s="893">
        <f t="shared" si="580"/>
        <v>2</v>
      </c>
      <c r="R7643" s="894">
        <f t="shared" si="581"/>
        <v>0</v>
      </c>
    </row>
    <row r="7644" spans="1:18">
      <c r="A7644" s="905"/>
      <c r="B7644" s="906"/>
      <c r="C7644" s="907">
        <v>745</v>
      </c>
      <c r="D7644" s="907" t="s">
        <v>12</v>
      </c>
      <c r="E7644" s="908" t="s">
        <v>5518</v>
      </c>
      <c r="F7644" s="909" t="s">
        <v>2674</v>
      </c>
      <c r="G7644" s="910"/>
      <c r="H7644" s="911">
        <v>12.39</v>
      </c>
      <c r="I7644" s="912"/>
      <c r="J7644" s="912"/>
      <c r="K7644" s="912">
        <f>VLOOKUP(E7644,[5]ĐMNC!$A$7:$F$67,4,0)</f>
        <v>240557</v>
      </c>
      <c r="L7644" s="912">
        <f>H7644*K7644</f>
        <v>2980501.23</v>
      </c>
      <c r="M7644" s="912"/>
      <c r="N7644" s="912"/>
      <c r="O7644" s="892">
        <f t="shared" si="577"/>
        <v>0</v>
      </c>
      <c r="P7644" s="903">
        <f t="shared" si="579"/>
        <v>1</v>
      </c>
      <c r="Q7644" s="893">
        <f t="shared" si="580"/>
        <v>1</v>
      </c>
      <c r="R7644" s="894">
        <f t="shared" si="581"/>
        <v>0</v>
      </c>
    </row>
    <row r="7645" spans="1:18" s="847" customFormat="1" ht="35.25" customHeight="1">
      <c r="A7645" s="905" t="s">
        <v>6135</v>
      </c>
      <c r="B7645" s="914" t="s">
        <v>6168</v>
      </c>
      <c r="C7645" s="915"/>
      <c r="D7645" s="915"/>
      <c r="E7645" s="916" t="s">
        <v>6169</v>
      </c>
      <c r="F7645" s="917" t="s">
        <v>6094</v>
      </c>
      <c r="G7645" s="944"/>
      <c r="H7645" s="919"/>
      <c r="I7645" s="920"/>
      <c r="J7645" s="891">
        <f>SUM(J7646:J7659)</f>
        <v>587880</v>
      </c>
      <c r="K7645" s="891" t="s">
        <v>274</v>
      </c>
      <c r="L7645" s="891">
        <f>SUM(L7646:L7659)</f>
        <v>3223463.8000000003</v>
      </c>
      <c r="M7645" s="891"/>
      <c r="N7645" s="891">
        <f>SUM(N7646:N7659)</f>
        <v>0</v>
      </c>
      <c r="O7645" s="892">
        <f t="shared" si="577"/>
        <v>1</v>
      </c>
      <c r="P7645" s="903">
        <f t="shared" si="579"/>
        <v>0</v>
      </c>
      <c r="Q7645" s="893">
        <f t="shared" si="580"/>
        <v>0</v>
      </c>
      <c r="R7645" s="894">
        <f t="shared" si="581"/>
        <v>14</v>
      </c>
    </row>
    <row r="7646" spans="1:18" s="904" customFormat="1">
      <c r="A7646" s="895"/>
      <c r="B7646" s="896"/>
      <c r="C7646" s="897"/>
      <c r="D7646" s="897"/>
      <c r="E7646" s="898" t="s">
        <v>108</v>
      </c>
      <c r="F7646" s="899"/>
      <c r="G7646" s="928"/>
      <c r="H7646" s="901"/>
      <c r="I7646" s="902"/>
      <c r="J7646" s="902"/>
      <c r="K7646" s="912" t="s">
        <v>274</v>
      </c>
      <c r="L7646" s="902"/>
      <c r="M7646" s="902"/>
      <c r="N7646" s="902"/>
      <c r="O7646" s="892">
        <f t="shared" si="577"/>
        <v>0</v>
      </c>
      <c r="P7646" s="903">
        <f t="shared" si="579"/>
        <v>1</v>
      </c>
      <c r="Q7646" s="893">
        <f t="shared" si="580"/>
        <v>14</v>
      </c>
      <c r="R7646" s="894">
        <f t="shared" si="581"/>
        <v>0</v>
      </c>
    </row>
    <row r="7647" spans="1:18">
      <c r="A7647" s="905"/>
      <c r="B7647" s="906"/>
      <c r="C7647" s="907">
        <v>71</v>
      </c>
      <c r="D7647" s="907" t="s">
        <v>279</v>
      </c>
      <c r="E7647" s="925" t="s">
        <v>6123</v>
      </c>
      <c r="F7647" s="909" t="s">
        <v>2337</v>
      </c>
      <c r="G7647" s="910"/>
      <c r="H7647" s="911">
        <v>1</v>
      </c>
      <c r="I7647" s="912">
        <f>VLOOKUP(E7647,[3]VLP!$B$7:$K$300,10,0)</f>
        <v>33800</v>
      </c>
      <c r="J7647" s="912">
        <f t="shared" ref="J7647:J7657" si="585">I7647*H7647</f>
        <v>33800</v>
      </c>
      <c r="K7647" s="912" t="s">
        <v>274</v>
      </c>
      <c r="L7647" s="912"/>
      <c r="M7647" s="912"/>
      <c r="N7647" s="912"/>
      <c r="O7647" s="892">
        <f t="shared" ref="O7647:O7710" si="586">IF(AND(B7647&lt;&gt;"",D7647=""),1,0)</f>
        <v>0</v>
      </c>
      <c r="P7647" s="903">
        <f t="shared" si="579"/>
        <v>1</v>
      </c>
      <c r="Q7647" s="893">
        <f t="shared" si="580"/>
        <v>13</v>
      </c>
      <c r="R7647" s="894">
        <f t="shared" si="581"/>
        <v>0</v>
      </c>
    </row>
    <row r="7648" spans="1:18">
      <c r="A7648" s="905"/>
      <c r="B7648" s="906"/>
      <c r="C7648" s="907">
        <v>24</v>
      </c>
      <c r="D7648" s="907" t="s">
        <v>279</v>
      </c>
      <c r="E7648" s="925" t="s">
        <v>2691</v>
      </c>
      <c r="F7648" s="926" t="s">
        <v>2690</v>
      </c>
      <c r="G7648" s="910"/>
      <c r="H7648" s="911">
        <v>3</v>
      </c>
      <c r="I7648" s="912">
        <f>VLOOKUP(E7648,[3]VLP!$B$7:$K$300,10,0)</f>
        <v>6000</v>
      </c>
      <c r="J7648" s="912">
        <f t="shared" si="585"/>
        <v>18000</v>
      </c>
      <c r="K7648" s="912" t="s">
        <v>274</v>
      </c>
      <c r="L7648" s="912"/>
      <c r="M7648" s="912"/>
      <c r="N7648" s="912"/>
      <c r="O7648" s="892">
        <f t="shared" si="586"/>
        <v>0</v>
      </c>
      <c r="P7648" s="903">
        <f t="shared" si="579"/>
        <v>1</v>
      </c>
      <c r="Q7648" s="893">
        <f t="shared" si="580"/>
        <v>12</v>
      </c>
      <c r="R7648" s="894">
        <f t="shared" si="581"/>
        <v>0</v>
      </c>
    </row>
    <row r="7649" spans="1:18">
      <c r="A7649" s="905"/>
      <c r="B7649" s="906"/>
      <c r="C7649" s="907">
        <v>122</v>
      </c>
      <c r="D7649" s="907" t="s">
        <v>279</v>
      </c>
      <c r="E7649" s="925" t="s">
        <v>3267</v>
      </c>
      <c r="F7649" s="909" t="s">
        <v>45</v>
      </c>
      <c r="G7649" s="910"/>
      <c r="H7649" s="911">
        <v>0.5</v>
      </c>
      <c r="I7649" s="912">
        <f>VLOOKUP(E7649,[3]VLP!$B$7:$K$300,10,0)</f>
        <v>30000</v>
      </c>
      <c r="J7649" s="912">
        <f t="shared" si="585"/>
        <v>15000</v>
      </c>
      <c r="K7649" s="912" t="s">
        <v>274</v>
      </c>
      <c r="L7649" s="912"/>
      <c r="M7649" s="912"/>
      <c r="N7649" s="912"/>
      <c r="O7649" s="892">
        <f t="shared" si="586"/>
        <v>0</v>
      </c>
      <c r="P7649" s="903">
        <f t="shared" si="579"/>
        <v>1</v>
      </c>
      <c r="Q7649" s="893">
        <f t="shared" si="580"/>
        <v>11</v>
      </c>
      <c r="R7649" s="894">
        <f t="shared" si="581"/>
        <v>0</v>
      </c>
    </row>
    <row r="7650" spans="1:18">
      <c r="A7650" s="905"/>
      <c r="B7650" s="906"/>
      <c r="C7650" s="907">
        <v>93</v>
      </c>
      <c r="D7650" s="907" t="s">
        <v>279</v>
      </c>
      <c r="E7650" s="925" t="s">
        <v>6111</v>
      </c>
      <c r="F7650" s="909" t="s">
        <v>45</v>
      </c>
      <c r="G7650" s="910"/>
      <c r="H7650" s="911">
        <v>0.05</v>
      </c>
      <c r="I7650" s="912">
        <f>VLOOKUP(E7650,[3]VLP!$B$7:$K$300,10,0)</f>
        <v>42000</v>
      </c>
      <c r="J7650" s="912">
        <f t="shared" si="585"/>
        <v>2100</v>
      </c>
      <c r="K7650" s="912" t="s">
        <v>274</v>
      </c>
      <c r="L7650" s="912"/>
      <c r="M7650" s="912"/>
      <c r="N7650" s="912"/>
      <c r="O7650" s="892">
        <f t="shared" si="586"/>
        <v>0</v>
      </c>
      <c r="P7650" s="903">
        <f t="shared" si="579"/>
        <v>1</v>
      </c>
      <c r="Q7650" s="893">
        <f t="shared" si="580"/>
        <v>10</v>
      </c>
      <c r="R7650" s="894">
        <f t="shared" si="581"/>
        <v>0</v>
      </c>
    </row>
    <row r="7651" spans="1:18">
      <c r="A7651" s="905"/>
      <c r="B7651" s="906"/>
      <c r="C7651" s="907">
        <v>89</v>
      </c>
      <c r="D7651" s="907" t="s">
        <v>279</v>
      </c>
      <c r="E7651" s="925" t="s">
        <v>5984</v>
      </c>
      <c r="F7651" s="909" t="s">
        <v>45</v>
      </c>
      <c r="G7651" s="910"/>
      <c r="H7651" s="911">
        <v>0.5</v>
      </c>
      <c r="I7651" s="912">
        <f>VLOOKUP(E7651,[3]VLP!$B$7:$K$300,10,0)</f>
        <v>1000</v>
      </c>
      <c r="J7651" s="912">
        <f t="shared" si="585"/>
        <v>500</v>
      </c>
      <c r="K7651" s="912" t="s">
        <v>274</v>
      </c>
      <c r="L7651" s="912"/>
      <c r="M7651" s="912"/>
      <c r="N7651" s="912"/>
      <c r="O7651" s="892">
        <f t="shared" si="586"/>
        <v>0</v>
      </c>
      <c r="P7651" s="903">
        <f t="shared" si="579"/>
        <v>1</v>
      </c>
      <c r="Q7651" s="893">
        <f t="shared" si="580"/>
        <v>9</v>
      </c>
      <c r="R7651" s="894">
        <f t="shared" si="581"/>
        <v>0</v>
      </c>
    </row>
    <row r="7652" spans="1:18">
      <c r="A7652" s="905"/>
      <c r="B7652" s="906"/>
      <c r="C7652" s="907">
        <v>47</v>
      </c>
      <c r="D7652" s="907" t="s">
        <v>279</v>
      </c>
      <c r="E7652" s="925" t="s">
        <v>3170</v>
      </c>
      <c r="F7652" s="909" t="s">
        <v>45</v>
      </c>
      <c r="G7652" s="910"/>
      <c r="H7652" s="911">
        <v>17</v>
      </c>
      <c r="I7652" s="912">
        <f>VLOOKUP(E7652,[3]VLP!$B$7:$K$300,10,0)</f>
        <v>1000</v>
      </c>
      <c r="J7652" s="912">
        <f t="shared" si="585"/>
        <v>17000</v>
      </c>
      <c r="K7652" s="912" t="s">
        <v>274</v>
      </c>
      <c r="L7652" s="912"/>
      <c r="M7652" s="912"/>
      <c r="N7652" s="912"/>
      <c r="O7652" s="892">
        <f t="shared" si="586"/>
        <v>0</v>
      </c>
      <c r="P7652" s="903">
        <f t="shared" si="579"/>
        <v>1</v>
      </c>
      <c r="Q7652" s="893">
        <f t="shared" si="580"/>
        <v>8</v>
      </c>
      <c r="R7652" s="894">
        <f t="shared" si="581"/>
        <v>0</v>
      </c>
    </row>
    <row r="7653" spans="1:18">
      <c r="A7653" s="905"/>
      <c r="B7653" s="906"/>
      <c r="C7653" s="907">
        <v>44</v>
      </c>
      <c r="D7653" s="907" t="s">
        <v>279</v>
      </c>
      <c r="E7653" s="925" t="s">
        <v>2681</v>
      </c>
      <c r="F7653" s="926" t="s">
        <v>45</v>
      </c>
      <c r="G7653" s="910"/>
      <c r="H7653" s="911">
        <v>1.2</v>
      </c>
      <c r="I7653" s="912">
        <f>VLOOKUP(E7653,[3]VLP!$B$7:$K$300,10,0)</f>
        <v>23000</v>
      </c>
      <c r="J7653" s="912">
        <f t="shared" si="585"/>
        <v>27600</v>
      </c>
      <c r="K7653" s="912" t="s">
        <v>274</v>
      </c>
      <c r="L7653" s="912"/>
      <c r="M7653" s="912"/>
      <c r="N7653" s="912"/>
      <c r="O7653" s="892">
        <f t="shared" si="586"/>
        <v>0</v>
      </c>
      <c r="P7653" s="903">
        <f t="shared" si="579"/>
        <v>1</v>
      </c>
      <c r="Q7653" s="893">
        <f t="shared" si="580"/>
        <v>7</v>
      </c>
      <c r="R7653" s="894">
        <f t="shared" si="581"/>
        <v>0</v>
      </c>
    </row>
    <row r="7654" spans="1:18">
      <c r="A7654" s="905"/>
      <c r="B7654" s="906"/>
      <c r="C7654" s="907">
        <v>66</v>
      </c>
      <c r="D7654" s="907" t="s">
        <v>279</v>
      </c>
      <c r="E7654" s="925" t="s">
        <v>2682</v>
      </c>
      <c r="F7654" s="926" t="s">
        <v>45</v>
      </c>
      <c r="G7654" s="910"/>
      <c r="H7654" s="911">
        <v>0.7</v>
      </c>
      <c r="I7654" s="912">
        <f>VLOOKUP(E7654,[3]VLP!$B$7:$K$300,10,0)</f>
        <v>5000</v>
      </c>
      <c r="J7654" s="912">
        <f t="shared" si="585"/>
        <v>3500</v>
      </c>
      <c r="K7654" s="912" t="s">
        <v>274</v>
      </c>
      <c r="L7654" s="912"/>
      <c r="M7654" s="912"/>
      <c r="N7654" s="912"/>
      <c r="O7654" s="892">
        <f t="shared" si="586"/>
        <v>0</v>
      </c>
      <c r="P7654" s="903">
        <f t="shared" si="579"/>
        <v>1</v>
      </c>
      <c r="Q7654" s="893">
        <f t="shared" si="580"/>
        <v>6</v>
      </c>
      <c r="R7654" s="894">
        <f t="shared" si="581"/>
        <v>0</v>
      </c>
    </row>
    <row r="7655" spans="1:18">
      <c r="A7655" s="905"/>
      <c r="B7655" s="906"/>
      <c r="C7655" s="907">
        <v>46</v>
      </c>
      <c r="D7655" s="907" t="s">
        <v>279</v>
      </c>
      <c r="E7655" s="925" t="s">
        <v>3179</v>
      </c>
      <c r="F7655" s="926" t="s">
        <v>45</v>
      </c>
      <c r="G7655" s="910"/>
      <c r="H7655" s="911">
        <v>19</v>
      </c>
      <c r="I7655" s="912">
        <f>VLOOKUP(E7655,[3]VLP!$B$7:$K$300,10,0)</f>
        <v>20500</v>
      </c>
      <c r="J7655" s="912">
        <f t="shared" si="585"/>
        <v>389500</v>
      </c>
      <c r="K7655" s="912" t="s">
        <v>274</v>
      </c>
      <c r="L7655" s="912"/>
      <c r="M7655" s="912"/>
      <c r="N7655" s="912"/>
      <c r="O7655" s="892">
        <f t="shared" si="586"/>
        <v>0</v>
      </c>
      <c r="P7655" s="903">
        <f t="shared" si="579"/>
        <v>1</v>
      </c>
      <c r="Q7655" s="893">
        <f t="shared" si="580"/>
        <v>5</v>
      </c>
      <c r="R7655" s="894">
        <f t="shared" si="581"/>
        <v>0</v>
      </c>
    </row>
    <row r="7656" spans="1:18">
      <c r="A7656" s="905"/>
      <c r="B7656" s="906"/>
      <c r="C7656" s="907">
        <v>58</v>
      </c>
      <c r="D7656" s="907" t="s">
        <v>279</v>
      </c>
      <c r="E7656" s="925" t="s">
        <v>3190</v>
      </c>
      <c r="F7656" s="926" t="s">
        <v>45</v>
      </c>
      <c r="G7656" s="910"/>
      <c r="H7656" s="911">
        <v>2</v>
      </c>
      <c r="I7656" s="912">
        <f>VLOOKUP(E7656,[3]VLP!$B$7:$K$300,10,0)</f>
        <v>27940</v>
      </c>
      <c r="J7656" s="912">
        <f t="shared" si="585"/>
        <v>55880</v>
      </c>
      <c r="K7656" s="912" t="s">
        <v>274</v>
      </c>
      <c r="L7656" s="912"/>
      <c r="M7656" s="912"/>
      <c r="N7656" s="912"/>
      <c r="O7656" s="892">
        <f t="shared" si="586"/>
        <v>0</v>
      </c>
      <c r="P7656" s="903">
        <f t="shared" ref="P7656:P7719" si="587">IF(O7656=0,1,0)</f>
        <v>1</v>
      </c>
      <c r="Q7656" s="893">
        <f t="shared" ref="Q7656:Q7719" si="588">IF(P7656=0,0,P7656+Q7657)</f>
        <v>4</v>
      </c>
      <c r="R7656" s="894">
        <f t="shared" ref="R7656:R7719" si="589">IF(Q7656=0,Q7657,0)</f>
        <v>0</v>
      </c>
    </row>
    <row r="7657" spans="1:18">
      <c r="A7657" s="905"/>
      <c r="B7657" s="906"/>
      <c r="C7657" s="907">
        <v>699</v>
      </c>
      <c r="D7657" s="907" t="s">
        <v>279</v>
      </c>
      <c r="E7657" s="925" t="s">
        <v>4006</v>
      </c>
      <c r="F7657" s="926" t="s">
        <v>4007</v>
      </c>
      <c r="G7657" s="910"/>
      <c r="H7657" s="911">
        <v>5</v>
      </c>
      <c r="I7657" s="912">
        <f>VLOOKUP(E7657,[3]VLP!$B$7:$K$300,10,0)</f>
        <v>5000</v>
      </c>
      <c r="J7657" s="912">
        <f t="shared" si="585"/>
        <v>25000</v>
      </c>
      <c r="K7657" s="912" t="s">
        <v>274</v>
      </c>
      <c r="L7657" s="912"/>
      <c r="M7657" s="912"/>
      <c r="N7657" s="912"/>
      <c r="O7657" s="892">
        <f t="shared" si="586"/>
        <v>0</v>
      </c>
      <c r="P7657" s="903">
        <f t="shared" si="587"/>
        <v>1</v>
      </c>
      <c r="Q7657" s="893">
        <f t="shared" si="588"/>
        <v>3</v>
      </c>
      <c r="R7657" s="894">
        <f t="shared" si="589"/>
        <v>0</v>
      </c>
    </row>
    <row r="7658" spans="1:18" s="904" customFormat="1">
      <c r="A7658" s="895"/>
      <c r="B7658" s="896"/>
      <c r="C7658" s="897"/>
      <c r="D7658" s="897"/>
      <c r="E7658" s="924" t="s">
        <v>276</v>
      </c>
      <c r="F7658" s="927"/>
      <c r="G7658" s="928"/>
      <c r="H7658" s="901"/>
      <c r="I7658" s="902"/>
      <c r="J7658" s="902"/>
      <c r="K7658" s="912" t="s">
        <v>274</v>
      </c>
      <c r="L7658" s="902"/>
      <c r="M7658" s="902"/>
      <c r="N7658" s="902"/>
      <c r="O7658" s="892">
        <f t="shared" si="586"/>
        <v>0</v>
      </c>
      <c r="P7658" s="903">
        <f t="shared" si="587"/>
        <v>1</v>
      </c>
      <c r="Q7658" s="893">
        <f t="shared" si="588"/>
        <v>2</v>
      </c>
      <c r="R7658" s="894">
        <f t="shared" si="589"/>
        <v>0</v>
      </c>
    </row>
    <row r="7659" spans="1:18">
      <c r="A7659" s="905"/>
      <c r="B7659" s="906"/>
      <c r="C7659" s="907">
        <v>745</v>
      </c>
      <c r="D7659" s="907" t="s">
        <v>12</v>
      </c>
      <c r="E7659" s="908" t="s">
        <v>5518</v>
      </c>
      <c r="F7659" s="909" t="s">
        <v>2674</v>
      </c>
      <c r="G7659" s="910"/>
      <c r="H7659" s="911">
        <v>13.4</v>
      </c>
      <c r="I7659" s="912"/>
      <c r="J7659" s="912"/>
      <c r="K7659" s="912">
        <f>VLOOKUP(E7659,[5]ĐMNC!$A$7:$F$67,4,0)</f>
        <v>240557</v>
      </c>
      <c r="L7659" s="912">
        <f>H7659*K7659</f>
        <v>3223463.8000000003</v>
      </c>
      <c r="M7659" s="912"/>
      <c r="N7659" s="912"/>
      <c r="O7659" s="892">
        <f t="shared" si="586"/>
        <v>0</v>
      </c>
      <c r="P7659" s="903">
        <f t="shared" si="587"/>
        <v>1</v>
      </c>
      <c r="Q7659" s="893">
        <f t="shared" si="588"/>
        <v>1</v>
      </c>
      <c r="R7659" s="894">
        <f t="shared" si="589"/>
        <v>0</v>
      </c>
    </row>
    <row r="7660" spans="1:18" s="847" customFormat="1" ht="35.25" customHeight="1">
      <c r="A7660" s="905"/>
      <c r="B7660" s="914" t="s">
        <v>6170</v>
      </c>
      <c r="C7660" s="915"/>
      <c r="D7660" s="915"/>
      <c r="E7660" s="916" t="s">
        <v>6171</v>
      </c>
      <c r="F7660" s="917" t="s">
        <v>6094</v>
      </c>
      <c r="G7660" s="944"/>
      <c r="H7660" s="919"/>
      <c r="I7660" s="920"/>
      <c r="J7660" s="891">
        <f>SUM(J7661:J7674)</f>
        <v>587980</v>
      </c>
      <c r="K7660" s="891" t="s">
        <v>274</v>
      </c>
      <c r="L7660" s="891">
        <f>SUM(L7661:L7674)</f>
        <v>3543404.6100000003</v>
      </c>
      <c r="M7660" s="891"/>
      <c r="N7660" s="891">
        <f>SUM(N7661:N7674)</f>
        <v>0</v>
      </c>
      <c r="O7660" s="892">
        <f t="shared" si="586"/>
        <v>1</v>
      </c>
      <c r="P7660" s="903">
        <f t="shared" si="587"/>
        <v>0</v>
      </c>
      <c r="Q7660" s="893">
        <f t="shared" si="588"/>
        <v>0</v>
      </c>
      <c r="R7660" s="894">
        <f t="shared" si="589"/>
        <v>14</v>
      </c>
    </row>
    <row r="7661" spans="1:18" s="904" customFormat="1">
      <c r="A7661" s="895"/>
      <c r="B7661" s="896"/>
      <c r="C7661" s="897"/>
      <c r="D7661" s="897"/>
      <c r="E7661" s="898" t="s">
        <v>108</v>
      </c>
      <c r="F7661" s="899"/>
      <c r="G7661" s="928"/>
      <c r="H7661" s="901"/>
      <c r="I7661" s="902"/>
      <c r="J7661" s="902"/>
      <c r="K7661" s="912" t="s">
        <v>274</v>
      </c>
      <c r="L7661" s="902"/>
      <c r="M7661" s="902"/>
      <c r="N7661" s="902"/>
      <c r="O7661" s="892">
        <f t="shared" si="586"/>
        <v>0</v>
      </c>
      <c r="P7661" s="903">
        <f t="shared" si="587"/>
        <v>1</v>
      </c>
      <c r="Q7661" s="893">
        <f t="shared" si="588"/>
        <v>14</v>
      </c>
      <c r="R7661" s="894">
        <f t="shared" si="589"/>
        <v>0</v>
      </c>
    </row>
    <row r="7662" spans="1:18">
      <c r="A7662" s="905"/>
      <c r="B7662" s="906"/>
      <c r="C7662" s="907">
        <v>72</v>
      </c>
      <c r="D7662" s="907" t="s">
        <v>279</v>
      </c>
      <c r="E7662" s="925" t="s">
        <v>6126</v>
      </c>
      <c r="F7662" s="909" t="s">
        <v>2337</v>
      </c>
      <c r="G7662" s="910"/>
      <c r="H7662" s="911">
        <v>1</v>
      </c>
      <c r="I7662" s="912">
        <f>VLOOKUP(E7662,[3]VLP!$B$7:$K$300,10,0)</f>
        <v>33800</v>
      </c>
      <c r="J7662" s="912">
        <f t="shared" ref="J7662:J7672" si="590">I7662*H7662</f>
        <v>33800</v>
      </c>
      <c r="K7662" s="912" t="s">
        <v>274</v>
      </c>
      <c r="L7662" s="912"/>
      <c r="M7662" s="912"/>
      <c r="N7662" s="912"/>
      <c r="O7662" s="892">
        <f t="shared" si="586"/>
        <v>0</v>
      </c>
      <c r="P7662" s="903">
        <f t="shared" si="587"/>
        <v>1</v>
      </c>
      <c r="Q7662" s="893">
        <f t="shared" si="588"/>
        <v>13</v>
      </c>
      <c r="R7662" s="894">
        <f t="shared" si="589"/>
        <v>0</v>
      </c>
    </row>
    <row r="7663" spans="1:18">
      <c r="A7663" s="905"/>
      <c r="B7663" s="906"/>
      <c r="C7663" s="907">
        <v>24</v>
      </c>
      <c r="D7663" s="907" t="s">
        <v>279</v>
      </c>
      <c r="E7663" s="925" t="s">
        <v>2691</v>
      </c>
      <c r="F7663" s="926" t="s">
        <v>2690</v>
      </c>
      <c r="G7663" s="910"/>
      <c r="H7663" s="911">
        <v>3</v>
      </c>
      <c r="I7663" s="912">
        <f>VLOOKUP(E7663,[3]VLP!$B$7:$K$300,10,0)</f>
        <v>6000</v>
      </c>
      <c r="J7663" s="912">
        <f t="shared" si="590"/>
        <v>18000</v>
      </c>
      <c r="K7663" s="912" t="s">
        <v>274</v>
      </c>
      <c r="L7663" s="912"/>
      <c r="M7663" s="912"/>
      <c r="N7663" s="912"/>
      <c r="O7663" s="892">
        <f t="shared" si="586"/>
        <v>0</v>
      </c>
      <c r="P7663" s="903">
        <f t="shared" si="587"/>
        <v>1</v>
      </c>
      <c r="Q7663" s="893">
        <f t="shared" si="588"/>
        <v>12</v>
      </c>
      <c r="R7663" s="894">
        <f t="shared" si="589"/>
        <v>0</v>
      </c>
    </row>
    <row r="7664" spans="1:18">
      <c r="A7664" s="905"/>
      <c r="B7664" s="906"/>
      <c r="C7664" s="907">
        <v>122</v>
      </c>
      <c r="D7664" s="907" t="s">
        <v>279</v>
      </c>
      <c r="E7664" s="925" t="s">
        <v>3267</v>
      </c>
      <c r="F7664" s="909" t="s">
        <v>45</v>
      </c>
      <c r="G7664" s="910"/>
      <c r="H7664" s="911">
        <v>0.5</v>
      </c>
      <c r="I7664" s="912">
        <f>VLOOKUP(E7664,[3]VLP!$B$7:$K$300,10,0)</f>
        <v>30000</v>
      </c>
      <c r="J7664" s="912">
        <f t="shared" si="590"/>
        <v>15000</v>
      </c>
      <c r="K7664" s="912" t="s">
        <v>274</v>
      </c>
      <c r="L7664" s="912"/>
      <c r="M7664" s="912"/>
      <c r="N7664" s="912"/>
      <c r="O7664" s="892">
        <f t="shared" si="586"/>
        <v>0</v>
      </c>
      <c r="P7664" s="903">
        <f t="shared" si="587"/>
        <v>1</v>
      </c>
      <c r="Q7664" s="893">
        <f t="shared" si="588"/>
        <v>11</v>
      </c>
      <c r="R7664" s="894">
        <f t="shared" si="589"/>
        <v>0</v>
      </c>
    </row>
    <row r="7665" spans="1:18">
      <c r="A7665" s="905"/>
      <c r="B7665" s="906"/>
      <c r="C7665" s="907">
        <v>93</v>
      </c>
      <c r="D7665" s="907" t="s">
        <v>279</v>
      </c>
      <c r="E7665" s="925" t="s">
        <v>6111</v>
      </c>
      <c r="F7665" s="909" t="s">
        <v>45</v>
      </c>
      <c r="G7665" s="910"/>
      <c r="H7665" s="911">
        <v>0.05</v>
      </c>
      <c r="I7665" s="912">
        <f>VLOOKUP(E7665,[3]VLP!$B$7:$K$300,10,0)</f>
        <v>42000</v>
      </c>
      <c r="J7665" s="912">
        <f t="shared" si="590"/>
        <v>2100</v>
      </c>
      <c r="K7665" s="912" t="s">
        <v>274</v>
      </c>
      <c r="L7665" s="912"/>
      <c r="M7665" s="912"/>
      <c r="N7665" s="912"/>
      <c r="O7665" s="892">
        <f t="shared" si="586"/>
        <v>0</v>
      </c>
      <c r="P7665" s="903">
        <f t="shared" si="587"/>
        <v>1</v>
      </c>
      <c r="Q7665" s="893">
        <f t="shared" si="588"/>
        <v>10</v>
      </c>
      <c r="R7665" s="894">
        <f t="shared" si="589"/>
        <v>0</v>
      </c>
    </row>
    <row r="7666" spans="1:18">
      <c r="A7666" s="905"/>
      <c r="B7666" s="906"/>
      <c r="C7666" s="907">
        <v>89</v>
      </c>
      <c r="D7666" s="907" t="s">
        <v>279</v>
      </c>
      <c r="E7666" s="925" t="s">
        <v>5984</v>
      </c>
      <c r="F7666" s="909" t="s">
        <v>45</v>
      </c>
      <c r="G7666" s="910"/>
      <c r="H7666" s="911">
        <v>0.6</v>
      </c>
      <c r="I7666" s="912">
        <f>VLOOKUP(E7666,[3]VLP!$B$7:$K$300,10,0)</f>
        <v>1000</v>
      </c>
      <c r="J7666" s="912">
        <f t="shared" si="590"/>
        <v>600</v>
      </c>
      <c r="K7666" s="912" t="s">
        <v>274</v>
      </c>
      <c r="L7666" s="912"/>
      <c r="M7666" s="912"/>
      <c r="N7666" s="912"/>
      <c r="O7666" s="892">
        <f t="shared" si="586"/>
        <v>0</v>
      </c>
      <c r="P7666" s="903">
        <f t="shared" si="587"/>
        <v>1</v>
      </c>
      <c r="Q7666" s="893">
        <f t="shared" si="588"/>
        <v>9</v>
      </c>
      <c r="R7666" s="894">
        <f t="shared" si="589"/>
        <v>0</v>
      </c>
    </row>
    <row r="7667" spans="1:18">
      <c r="A7667" s="905"/>
      <c r="B7667" s="906"/>
      <c r="C7667" s="907">
        <v>47</v>
      </c>
      <c r="D7667" s="907" t="s">
        <v>279</v>
      </c>
      <c r="E7667" s="925" t="s">
        <v>3170</v>
      </c>
      <c r="F7667" s="909" t="s">
        <v>45</v>
      </c>
      <c r="G7667" s="910"/>
      <c r="H7667" s="911">
        <v>17</v>
      </c>
      <c r="I7667" s="912">
        <f>VLOOKUP(E7667,[3]VLP!$B$7:$K$300,10,0)</f>
        <v>1000</v>
      </c>
      <c r="J7667" s="912">
        <f t="shared" si="590"/>
        <v>17000</v>
      </c>
      <c r="K7667" s="912" t="s">
        <v>274</v>
      </c>
      <c r="L7667" s="912"/>
      <c r="M7667" s="912"/>
      <c r="N7667" s="912"/>
      <c r="O7667" s="892">
        <f t="shared" si="586"/>
        <v>0</v>
      </c>
      <c r="P7667" s="903">
        <f t="shared" si="587"/>
        <v>1</v>
      </c>
      <c r="Q7667" s="893">
        <f t="shared" si="588"/>
        <v>8</v>
      </c>
      <c r="R7667" s="894">
        <f t="shared" si="589"/>
        <v>0</v>
      </c>
    </row>
    <row r="7668" spans="1:18">
      <c r="A7668" s="905"/>
      <c r="B7668" s="906"/>
      <c r="C7668" s="907">
        <v>44</v>
      </c>
      <c r="D7668" s="907" t="s">
        <v>279</v>
      </c>
      <c r="E7668" s="925" t="s">
        <v>2681</v>
      </c>
      <c r="F7668" s="926" t="s">
        <v>45</v>
      </c>
      <c r="G7668" s="910"/>
      <c r="H7668" s="911">
        <v>1.2</v>
      </c>
      <c r="I7668" s="912">
        <f>VLOOKUP(E7668,[3]VLP!$B$7:$K$300,10,0)</f>
        <v>23000</v>
      </c>
      <c r="J7668" s="912">
        <f t="shared" si="590"/>
        <v>27600</v>
      </c>
      <c r="K7668" s="912" t="s">
        <v>274</v>
      </c>
      <c r="L7668" s="912"/>
      <c r="M7668" s="912"/>
      <c r="N7668" s="912"/>
      <c r="O7668" s="892">
        <f t="shared" si="586"/>
        <v>0</v>
      </c>
      <c r="P7668" s="903">
        <f t="shared" si="587"/>
        <v>1</v>
      </c>
      <c r="Q7668" s="893">
        <f t="shared" si="588"/>
        <v>7</v>
      </c>
      <c r="R7668" s="894">
        <f t="shared" si="589"/>
        <v>0</v>
      </c>
    </row>
    <row r="7669" spans="1:18">
      <c r="A7669" s="905"/>
      <c r="B7669" s="906"/>
      <c r="C7669" s="907">
        <v>66</v>
      </c>
      <c r="D7669" s="907" t="s">
        <v>279</v>
      </c>
      <c r="E7669" s="925" t="s">
        <v>2682</v>
      </c>
      <c r="F7669" s="926" t="s">
        <v>45</v>
      </c>
      <c r="G7669" s="910"/>
      <c r="H7669" s="911">
        <v>0.7</v>
      </c>
      <c r="I7669" s="912">
        <f>VLOOKUP(E7669,[3]VLP!$B$7:$K$300,10,0)</f>
        <v>5000</v>
      </c>
      <c r="J7669" s="912">
        <f t="shared" si="590"/>
        <v>3500</v>
      </c>
      <c r="K7669" s="912" t="s">
        <v>274</v>
      </c>
      <c r="L7669" s="912"/>
      <c r="M7669" s="912"/>
      <c r="N7669" s="912"/>
      <c r="O7669" s="892">
        <f t="shared" si="586"/>
        <v>0</v>
      </c>
      <c r="P7669" s="903">
        <f t="shared" si="587"/>
        <v>1</v>
      </c>
      <c r="Q7669" s="893">
        <f t="shared" si="588"/>
        <v>6</v>
      </c>
      <c r="R7669" s="894">
        <f t="shared" si="589"/>
        <v>0</v>
      </c>
    </row>
    <row r="7670" spans="1:18">
      <c r="A7670" s="905"/>
      <c r="B7670" s="906"/>
      <c r="C7670" s="907">
        <v>46</v>
      </c>
      <c r="D7670" s="907" t="s">
        <v>279</v>
      </c>
      <c r="E7670" s="925" t="s">
        <v>3179</v>
      </c>
      <c r="F7670" s="926" t="s">
        <v>45</v>
      </c>
      <c r="G7670" s="910"/>
      <c r="H7670" s="911">
        <v>19</v>
      </c>
      <c r="I7670" s="912">
        <f>VLOOKUP(E7670,[3]VLP!$B$7:$K$300,10,0)</f>
        <v>20500</v>
      </c>
      <c r="J7670" s="912">
        <f t="shared" si="590"/>
        <v>389500</v>
      </c>
      <c r="K7670" s="912" t="s">
        <v>274</v>
      </c>
      <c r="L7670" s="912"/>
      <c r="M7670" s="912"/>
      <c r="N7670" s="912"/>
      <c r="O7670" s="892">
        <f t="shared" si="586"/>
        <v>0</v>
      </c>
      <c r="P7670" s="903">
        <f t="shared" si="587"/>
        <v>1</v>
      </c>
      <c r="Q7670" s="893">
        <f t="shared" si="588"/>
        <v>5</v>
      </c>
      <c r="R7670" s="894">
        <f t="shared" si="589"/>
        <v>0</v>
      </c>
    </row>
    <row r="7671" spans="1:18">
      <c r="A7671" s="905"/>
      <c r="B7671" s="906"/>
      <c r="C7671" s="907">
        <v>58</v>
      </c>
      <c r="D7671" s="907" t="s">
        <v>279</v>
      </c>
      <c r="E7671" s="925" t="s">
        <v>3190</v>
      </c>
      <c r="F7671" s="926" t="s">
        <v>45</v>
      </c>
      <c r="G7671" s="910"/>
      <c r="H7671" s="911">
        <v>2</v>
      </c>
      <c r="I7671" s="912">
        <f>VLOOKUP(E7671,[3]VLP!$B$7:$K$300,10,0)</f>
        <v>27940</v>
      </c>
      <c r="J7671" s="912">
        <f t="shared" si="590"/>
        <v>55880</v>
      </c>
      <c r="K7671" s="912" t="s">
        <v>274</v>
      </c>
      <c r="L7671" s="912"/>
      <c r="M7671" s="912"/>
      <c r="N7671" s="912"/>
      <c r="O7671" s="892">
        <f t="shared" si="586"/>
        <v>0</v>
      </c>
      <c r="P7671" s="903">
        <f t="shared" si="587"/>
        <v>1</v>
      </c>
      <c r="Q7671" s="893">
        <f t="shared" si="588"/>
        <v>4</v>
      </c>
      <c r="R7671" s="894">
        <f t="shared" si="589"/>
        <v>0</v>
      </c>
    </row>
    <row r="7672" spans="1:18">
      <c r="A7672" s="905"/>
      <c r="B7672" s="906"/>
      <c r="C7672" s="907">
        <v>699</v>
      </c>
      <c r="D7672" s="907" t="s">
        <v>279</v>
      </c>
      <c r="E7672" s="925" t="s">
        <v>4006</v>
      </c>
      <c r="F7672" s="926" t="s">
        <v>4007</v>
      </c>
      <c r="G7672" s="910"/>
      <c r="H7672" s="911">
        <v>5</v>
      </c>
      <c r="I7672" s="912">
        <f>VLOOKUP(E7672,[3]VLP!$B$7:$K$300,10,0)</f>
        <v>5000</v>
      </c>
      <c r="J7672" s="912">
        <f t="shared" si="590"/>
        <v>25000</v>
      </c>
      <c r="K7672" s="912" t="s">
        <v>274</v>
      </c>
      <c r="L7672" s="912"/>
      <c r="M7672" s="912"/>
      <c r="N7672" s="912"/>
      <c r="O7672" s="892">
        <f t="shared" si="586"/>
        <v>0</v>
      </c>
      <c r="P7672" s="903">
        <f t="shared" si="587"/>
        <v>1</v>
      </c>
      <c r="Q7672" s="893">
        <f t="shared" si="588"/>
        <v>3</v>
      </c>
      <c r="R7672" s="894">
        <f t="shared" si="589"/>
        <v>0</v>
      </c>
    </row>
    <row r="7673" spans="1:18" s="904" customFormat="1">
      <c r="A7673" s="895"/>
      <c r="B7673" s="896"/>
      <c r="C7673" s="897"/>
      <c r="D7673" s="897"/>
      <c r="E7673" s="924" t="s">
        <v>276</v>
      </c>
      <c r="F7673" s="927"/>
      <c r="G7673" s="928"/>
      <c r="H7673" s="901"/>
      <c r="I7673" s="902"/>
      <c r="J7673" s="902"/>
      <c r="K7673" s="912" t="s">
        <v>274</v>
      </c>
      <c r="L7673" s="902"/>
      <c r="M7673" s="902"/>
      <c r="N7673" s="902"/>
      <c r="O7673" s="892">
        <f t="shared" si="586"/>
        <v>0</v>
      </c>
      <c r="P7673" s="903">
        <f t="shared" si="587"/>
        <v>1</v>
      </c>
      <c r="Q7673" s="893">
        <f t="shared" si="588"/>
        <v>2</v>
      </c>
      <c r="R7673" s="894">
        <f t="shared" si="589"/>
        <v>0</v>
      </c>
    </row>
    <row r="7674" spans="1:18">
      <c r="A7674" s="905"/>
      <c r="B7674" s="906"/>
      <c r="C7674" s="907">
        <v>745</v>
      </c>
      <c r="D7674" s="907" t="s">
        <v>12</v>
      </c>
      <c r="E7674" s="908" t="s">
        <v>5518</v>
      </c>
      <c r="F7674" s="909" t="s">
        <v>2674</v>
      </c>
      <c r="G7674" s="910"/>
      <c r="H7674" s="911">
        <v>14.73</v>
      </c>
      <c r="I7674" s="912"/>
      <c r="J7674" s="912"/>
      <c r="K7674" s="912">
        <f>VLOOKUP(E7674,[5]ĐMNC!$A$7:$F$67,4,0)</f>
        <v>240557</v>
      </c>
      <c r="L7674" s="912">
        <f>H7674*K7674</f>
        <v>3543404.6100000003</v>
      </c>
      <c r="M7674" s="912"/>
      <c r="N7674" s="912"/>
      <c r="O7674" s="892">
        <f t="shared" si="586"/>
        <v>0</v>
      </c>
      <c r="P7674" s="903">
        <f t="shared" si="587"/>
        <v>1</v>
      </c>
      <c r="Q7674" s="893">
        <f t="shared" si="588"/>
        <v>1</v>
      </c>
      <c r="R7674" s="894">
        <f t="shared" si="589"/>
        <v>0</v>
      </c>
    </row>
    <row r="7675" spans="1:18" s="847" customFormat="1" ht="35.25" customHeight="1">
      <c r="A7675" s="905"/>
      <c r="B7675" s="914" t="s">
        <v>6172</v>
      </c>
      <c r="C7675" s="915"/>
      <c r="D7675" s="915"/>
      <c r="E7675" s="916" t="s">
        <v>6173</v>
      </c>
      <c r="F7675" s="917" t="s">
        <v>6094</v>
      </c>
      <c r="G7675" s="944"/>
      <c r="H7675" s="919"/>
      <c r="I7675" s="920"/>
      <c r="J7675" s="891">
        <f>SUM(J7676:J7689)</f>
        <v>682640</v>
      </c>
      <c r="K7675" s="891" t="s">
        <v>274</v>
      </c>
      <c r="L7675" s="891">
        <f>SUM(L7676:L7689)</f>
        <v>4250642.1900000004</v>
      </c>
      <c r="M7675" s="891"/>
      <c r="N7675" s="891">
        <f>SUM(N7676:N7689)</f>
        <v>0</v>
      </c>
      <c r="O7675" s="892">
        <f t="shared" si="586"/>
        <v>1</v>
      </c>
      <c r="P7675" s="903">
        <f t="shared" si="587"/>
        <v>0</v>
      </c>
      <c r="Q7675" s="893">
        <f t="shared" si="588"/>
        <v>0</v>
      </c>
      <c r="R7675" s="894">
        <f t="shared" si="589"/>
        <v>14</v>
      </c>
    </row>
    <row r="7676" spans="1:18" s="904" customFormat="1">
      <c r="A7676" s="895"/>
      <c r="B7676" s="896"/>
      <c r="C7676" s="897"/>
      <c r="D7676" s="897"/>
      <c r="E7676" s="898" t="s">
        <v>108</v>
      </c>
      <c r="F7676" s="899"/>
      <c r="G7676" s="928"/>
      <c r="H7676" s="901"/>
      <c r="I7676" s="902"/>
      <c r="J7676" s="902"/>
      <c r="K7676" s="912" t="s">
        <v>274</v>
      </c>
      <c r="L7676" s="902"/>
      <c r="M7676" s="902"/>
      <c r="N7676" s="902"/>
      <c r="O7676" s="892">
        <f t="shared" si="586"/>
        <v>0</v>
      </c>
      <c r="P7676" s="903">
        <f t="shared" si="587"/>
        <v>1</v>
      </c>
      <c r="Q7676" s="893">
        <f t="shared" si="588"/>
        <v>14</v>
      </c>
      <c r="R7676" s="894">
        <f t="shared" si="589"/>
        <v>0</v>
      </c>
    </row>
    <row r="7677" spans="1:18">
      <c r="A7677" s="905"/>
      <c r="B7677" s="906"/>
      <c r="C7677" s="907">
        <v>73</v>
      </c>
      <c r="D7677" s="907" t="s">
        <v>279</v>
      </c>
      <c r="E7677" s="925" t="s">
        <v>6129</v>
      </c>
      <c r="F7677" s="909" t="s">
        <v>2337</v>
      </c>
      <c r="G7677" s="910"/>
      <c r="H7677" s="911">
        <v>1</v>
      </c>
      <c r="I7677" s="912">
        <f>VLOOKUP(E7677,[3]VLP!$B$7:$K$300,10,0)</f>
        <v>33800</v>
      </c>
      <c r="J7677" s="912">
        <f t="shared" ref="J7677:J7687" si="591">I7677*H7677</f>
        <v>33800</v>
      </c>
      <c r="K7677" s="912" t="s">
        <v>274</v>
      </c>
      <c r="L7677" s="912"/>
      <c r="M7677" s="912"/>
      <c r="N7677" s="912"/>
      <c r="O7677" s="892">
        <f t="shared" si="586"/>
        <v>0</v>
      </c>
      <c r="P7677" s="903">
        <f t="shared" si="587"/>
        <v>1</v>
      </c>
      <c r="Q7677" s="893">
        <f t="shared" si="588"/>
        <v>13</v>
      </c>
      <c r="R7677" s="894">
        <f t="shared" si="589"/>
        <v>0</v>
      </c>
    </row>
    <row r="7678" spans="1:18">
      <c r="A7678" s="905"/>
      <c r="B7678" s="906"/>
      <c r="C7678" s="907">
        <v>24</v>
      </c>
      <c r="D7678" s="907" t="s">
        <v>279</v>
      </c>
      <c r="E7678" s="925" t="s">
        <v>2691</v>
      </c>
      <c r="F7678" s="926" t="s">
        <v>2690</v>
      </c>
      <c r="G7678" s="910"/>
      <c r="H7678" s="911">
        <v>3.6</v>
      </c>
      <c r="I7678" s="912">
        <f>VLOOKUP(E7678,[3]VLP!$B$7:$K$300,10,0)</f>
        <v>6000</v>
      </c>
      <c r="J7678" s="912">
        <f t="shared" si="591"/>
        <v>21600</v>
      </c>
      <c r="K7678" s="912" t="s">
        <v>274</v>
      </c>
      <c r="L7678" s="912"/>
      <c r="M7678" s="912"/>
      <c r="N7678" s="912"/>
      <c r="O7678" s="892">
        <f t="shared" si="586"/>
        <v>0</v>
      </c>
      <c r="P7678" s="903">
        <f t="shared" si="587"/>
        <v>1</v>
      </c>
      <c r="Q7678" s="893">
        <f t="shared" si="588"/>
        <v>12</v>
      </c>
      <c r="R7678" s="894">
        <f t="shared" si="589"/>
        <v>0</v>
      </c>
    </row>
    <row r="7679" spans="1:18">
      <c r="A7679" s="905"/>
      <c r="B7679" s="906"/>
      <c r="C7679" s="907">
        <v>122</v>
      </c>
      <c r="D7679" s="907" t="s">
        <v>279</v>
      </c>
      <c r="E7679" s="925" t="s">
        <v>3267</v>
      </c>
      <c r="F7679" s="909" t="s">
        <v>45</v>
      </c>
      <c r="G7679" s="910"/>
      <c r="H7679" s="911">
        <v>0.6</v>
      </c>
      <c r="I7679" s="912">
        <f>VLOOKUP(E7679,[3]VLP!$B$7:$K$300,10,0)</f>
        <v>30000</v>
      </c>
      <c r="J7679" s="912">
        <f t="shared" si="591"/>
        <v>18000</v>
      </c>
      <c r="K7679" s="912" t="s">
        <v>274</v>
      </c>
      <c r="L7679" s="912"/>
      <c r="M7679" s="912"/>
      <c r="N7679" s="912"/>
      <c r="O7679" s="892">
        <f t="shared" si="586"/>
        <v>0</v>
      </c>
      <c r="P7679" s="903">
        <f t="shared" si="587"/>
        <v>1</v>
      </c>
      <c r="Q7679" s="893">
        <f t="shared" si="588"/>
        <v>11</v>
      </c>
      <c r="R7679" s="894">
        <f t="shared" si="589"/>
        <v>0</v>
      </c>
    </row>
    <row r="7680" spans="1:18">
      <c r="A7680" s="905"/>
      <c r="B7680" s="906"/>
      <c r="C7680" s="907">
        <v>93</v>
      </c>
      <c r="D7680" s="907" t="s">
        <v>279</v>
      </c>
      <c r="E7680" s="925" t="s">
        <v>6111</v>
      </c>
      <c r="F7680" s="909" t="s">
        <v>45</v>
      </c>
      <c r="G7680" s="910"/>
      <c r="H7680" s="911">
        <v>0.06</v>
      </c>
      <c r="I7680" s="912">
        <f>VLOOKUP(E7680,[3]VLP!$B$7:$K$300,10,0)</f>
        <v>42000</v>
      </c>
      <c r="J7680" s="912">
        <f t="shared" si="591"/>
        <v>2520</v>
      </c>
      <c r="K7680" s="912" t="s">
        <v>274</v>
      </c>
      <c r="L7680" s="912"/>
      <c r="M7680" s="912"/>
      <c r="N7680" s="912"/>
      <c r="O7680" s="892">
        <f t="shared" si="586"/>
        <v>0</v>
      </c>
      <c r="P7680" s="903">
        <f t="shared" si="587"/>
        <v>1</v>
      </c>
      <c r="Q7680" s="893">
        <f t="shared" si="588"/>
        <v>10</v>
      </c>
      <c r="R7680" s="894">
        <f t="shared" si="589"/>
        <v>0</v>
      </c>
    </row>
    <row r="7681" spans="1:18">
      <c r="A7681" s="905"/>
      <c r="B7681" s="906"/>
      <c r="C7681" s="907">
        <v>89</v>
      </c>
      <c r="D7681" s="907" t="s">
        <v>279</v>
      </c>
      <c r="E7681" s="925" t="s">
        <v>5984</v>
      </c>
      <c r="F7681" s="909" t="s">
        <v>45</v>
      </c>
      <c r="G7681" s="910"/>
      <c r="H7681" s="911">
        <v>0.72</v>
      </c>
      <c r="I7681" s="912">
        <f>VLOOKUP(E7681,[3]VLP!$B$7:$K$300,10,0)</f>
        <v>1000</v>
      </c>
      <c r="J7681" s="912">
        <f t="shared" si="591"/>
        <v>720</v>
      </c>
      <c r="K7681" s="912" t="s">
        <v>274</v>
      </c>
      <c r="L7681" s="912"/>
      <c r="M7681" s="912"/>
      <c r="N7681" s="912"/>
      <c r="O7681" s="892">
        <f t="shared" si="586"/>
        <v>0</v>
      </c>
      <c r="P7681" s="903">
        <f t="shared" si="587"/>
        <v>1</v>
      </c>
      <c r="Q7681" s="893">
        <f t="shared" si="588"/>
        <v>9</v>
      </c>
      <c r="R7681" s="894">
        <f t="shared" si="589"/>
        <v>0</v>
      </c>
    </row>
    <row r="7682" spans="1:18">
      <c r="A7682" s="905"/>
      <c r="B7682" s="906"/>
      <c r="C7682" s="907">
        <v>47</v>
      </c>
      <c r="D7682" s="907" t="s">
        <v>279</v>
      </c>
      <c r="E7682" s="925" t="s">
        <v>3170</v>
      </c>
      <c r="F7682" s="909" t="s">
        <v>45</v>
      </c>
      <c r="G7682" s="910"/>
      <c r="H7682" s="911">
        <v>20.399999999999999</v>
      </c>
      <c r="I7682" s="912">
        <f>VLOOKUP(E7682,[3]VLP!$B$7:$K$300,10,0)</f>
        <v>1000</v>
      </c>
      <c r="J7682" s="912">
        <f t="shared" si="591"/>
        <v>20400</v>
      </c>
      <c r="K7682" s="912" t="s">
        <v>274</v>
      </c>
      <c r="L7682" s="912"/>
      <c r="M7682" s="912"/>
      <c r="N7682" s="912"/>
      <c r="O7682" s="892">
        <f t="shared" si="586"/>
        <v>0</v>
      </c>
      <c r="P7682" s="903">
        <f t="shared" si="587"/>
        <v>1</v>
      </c>
      <c r="Q7682" s="893">
        <f t="shared" si="588"/>
        <v>8</v>
      </c>
      <c r="R7682" s="894">
        <f t="shared" si="589"/>
        <v>0</v>
      </c>
    </row>
    <row r="7683" spans="1:18">
      <c r="A7683" s="905"/>
      <c r="B7683" s="906"/>
      <c r="C7683" s="907">
        <v>44</v>
      </c>
      <c r="D7683" s="907" t="s">
        <v>279</v>
      </c>
      <c r="E7683" s="925" t="s">
        <v>2681</v>
      </c>
      <c r="F7683" s="926" t="s">
        <v>45</v>
      </c>
      <c r="G7683" s="910"/>
      <c r="H7683" s="911">
        <v>1.44</v>
      </c>
      <c r="I7683" s="912">
        <f>VLOOKUP(E7683,[3]VLP!$B$7:$K$300,10,0)</f>
        <v>23000</v>
      </c>
      <c r="J7683" s="912">
        <f t="shared" si="591"/>
        <v>33120</v>
      </c>
      <c r="K7683" s="912" t="s">
        <v>274</v>
      </c>
      <c r="L7683" s="912"/>
      <c r="M7683" s="912"/>
      <c r="N7683" s="912"/>
      <c r="O7683" s="892">
        <f t="shared" si="586"/>
        <v>0</v>
      </c>
      <c r="P7683" s="903">
        <f t="shared" si="587"/>
        <v>1</v>
      </c>
      <c r="Q7683" s="893">
        <f t="shared" si="588"/>
        <v>7</v>
      </c>
      <c r="R7683" s="894">
        <f t="shared" si="589"/>
        <v>0</v>
      </c>
    </row>
    <row r="7684" spans="1:18">
      <c r="A7684" s="905"/>
      <c r="B7684" s="906"/>
      <c r="C7684" s="907">
        <v>66</v>
      </c>
      <c r="D7684" s="907" t="s">
        <v>279</v>
      </c>
      <c r="E7684" s="925" t="s">
        <v>2682</v>
      </c>
      <c r="F7684" s="926" t="s">
        <v>45</v>
      </c>
      <c r="G7684" s="910"/>
      <c r="H7684" s="911">
        <v>0.84</v>
      </c>
      <c r="I7684" s="912">
        <f>VLOOKUP(E7684,[3]VLP!$B$7:$K$300,10,0)</f>
        <v>5000</v>
      </c>
      <c r="J7684" s="912">
        <f t="shared" si="591"/>
        <v>4200</v>
      </c>
      <c r="K7684" s="912" t="s">
        <v>274</v>
      </c>
      <c r="L7684" s="912"/>
      <c r="M7684" s="912"/>
      <c r="N7684" s="912"/>
      <c r="O7684" s="892">
        <f t="shared" si="586"/>
        <v>0</v>
      </c>
      <c r="P7684" s="903">
        <f t="shared" si="587"/>
        <v>1</v>
      </c>
      <c r="Q7684" s="893">
        <f t="shared" si="588"/>
        <v>6</v>
      </c>
      <c r="R7684" s="894">
        <f t="shared" si="589"/>
        <v>0</v>
      </c>
    </row>
    <row r="7685" spans="1:18">
      <c r="A7685" s="905"/>
      <c r="B7685" s="906"/>
      <c r="C7685" s="907">
        <v>46</v>
      </c>
      <c r="D7685" s="907" t="s">
        <v>279</v>
      </c>
      <c r="E7685" s="925" t="s">
        <v>3179</v>
      </c>
      <c r="F7685" s="926" t="s">
        <v>45</v>
      </c>
      <c r="G7685" s="910"/>
      <c r="H7685" s="911">
        <v>22.8</v>
      </c>
      <c r="I7685" s="912">
        <f>VLOOKUP(E7685,[3]VLP!$B$7:$K$300,10,0)</f>
        <v>20500</v>
      </c>
      <c r="J7685" s="912">
        <f t="shared" si="591"/>
        <v>467400</v>
      </c>
      <c r="K7685" s="912" t="s">
        <v>274</v>
      </c>
      <c r="L7685" s="912"/>
      <c r="M7685" s="912"/>
      <c r="N7685" s="912"/>
      <c r="O7685" s="892">
        <f t="shared" si="586"/>
        <v>0</v>
      </c>
      <c r="P7685" s="903">
        <f t="shared" si="587"/>
        <v>1</v>
      </c>
      <c r="Q7685" s="893">
        <f t="shared" si="588"/>
        <v>5</v>
      </c>
      <c r="R7685" s="894">
        <f t="shared" si="589"/>
        <v>0</v>
      </c>
    </row>
    <row r="7686" spans="1:18">
      <c r="A7686" s="905"/>
      <c r="B7686" s="906"/>
      <c r="C7686" s="907">
        <v>58</v>
      </c>
      <c r="D7686" s="907" t="s">
        <v>279</v>
      </c>
      <c r="E7686" s="925" t="s">
        <v>3190</v>
      </c>
      <c r="F7686" s="926" t="s">
        <v>45</v>
      </c>
      <c r="G7686" s="910"/>
      <c r="H7686" s="911">
        <v>2</v>
      </c>
      <c r="I7686" s="912">
        <f>VLOOKUP(E7686,[3]VLP!$B$7:$K$300,10,0)</f>
        <v>27940</v>
      </c>
      <c r="J7686" s="912">
        <f t="shared" si="591"/>
        <v>55880</v>
      </c>
      <c r="K7686" s="912" t="s">
        <v>274</v>
      </c>
      <c r="L7686" s="912"/>
      <c r="M7686" s="912"/>
      <c r="N7686" s="912"/>
      <c r="O7686" s="892">
        <f t="shared" si="586"/>
        <v>0</v>
      </c>
      <c r="P7686" s="903">
        <f t="shared" si="587"/>
        <v>1</v>
      </c>
      <c r="Q7686" s="893">
        <f t="shared" si="588"/>
        <v>4</v>
      </c>
      <c r="R7686" s="894">
        <f t="shared" si="589"/>
        <v>0</v>
      </c>
    </row>
    <row r="7687" spans="1:18">
      <c r="A7687" s="905"/>
      <c r="B7687" s="906"/>
      <c r="C7687" s="907">
        <v>699</v>
      </c>
      <c r="D7687" s="907" t="s">
        <v>279</v>
      </c>
      <c r="E7687" s="925" t="s">
        <v>4006</v>
      </c>
      <c r="F7687" s="926" t="s">
        <v>4007</v>
      </c>
      <c r="G7687" s="910"/>
      <c r="H7687" s="911">
        <v>5</v>
      </c>
      <c r="I7687" s="912">
        <f>VLOOKUP(E7687,[3]VLP!$B$7:$K$300,10,0)</f>
        <v>5000</v>
      </c>
      <c r="J7687" s="912">
        <f t="shared" si="591"/>
        <v>25000</v>
      </c>
      <c r="K7687" s="912" t="s">
        <v>274</v>
      </c>
      <c r="L7687" s="912"/>
      <c r="M7687" s="912"/>
      <c r="N7687" s="912"/>
      <c r="O7687" s="892">
        <f t="shared" si="586"/>
        <v>0</v>
      </c>
      <c r="P7687" s="903">
        <f t="shared" si="587"/>
        <v>1</v>
      </c>
      <c r="Q7687" s="893">
        <f t="shared" si="588"/>
        <v>3</v>
      </c>
      <c r="R7687" s="894">
        <f t="shared" si="589"/>
        <v>0</v>
      </c>
    </row>
    <row r="7688" spans="1:18" s="904" customFormat="1">
      <c r="A7688" s="895"/>
      <c r="B7688" s="896"/>
      <c r="C7688" s="897"/>
      <c r="D7688" s="897"/>
      <c r="E7688" s="924" t="s">
        <v>276</v>
      </c>
      <c r="F7688" s="927"/>
      <c r="G7688" s="928"/>
      <c r="H7688" s="901"/>
      <c r="I7688" s="902"/>
      <c r="J7688" s="902"/>
      <c r="K7688" s="912" t="s">
        <v>274</v>
      </c>
      <c r="L7688" s="902"/>
      <c r="M7688" s="902"/>
      <c r="N7688" s="902"/>
      <c r="O7688" s="892">
        <f t="shared" si="586"/>
        <v>0</v>
      </c>
      <c r="P7688" s="903">
        <f t="shared" si="587"/>
        <v>1</v>
      </c>
      <c r="Q7688" s="893">
        <f t="shared" si="588"/>
        <v>2</v>
      </c>
      <c r="R7688" s="894">
        <f t="shared" si="589"/>
        <v>0</v>
      </c>
    </row>
    <row r="7689" spans="1:18">
      <c r="A7689" s="905"/>
      <c r="B7689" s="906"/>
      <c r="C7689" s="907">
        <v>745</v>
      </c>
      <c r="D7689" s="907" t="s">
        <v>12</v>
      </c>
      <c r="E7689" s="908" t="s">
        <v>5518</v>
      </c>
      <c r="F7689" s="909" t="s">
        <v>2674</v>
      </c>
      <c r="G7689" s="910"/>
      <c r="H7689" s="911">
        <v>17.670000000000002</v>
      </c>
      <c r="I7689" s="912"/>
      <c r="J7689" s="912"/>
      <c r="K7689" s="912">
        <f>VLOOKUP(E7689,[5]ĐMNC!$A$7:$F$67,4,0)</f>
        <v>240557</v>
      </c>
      <c r="L7689" s="912">
        <f>H7689*K7689</f>
        <v>4250642.1900000004</v>
      </c>
      <c r="M7689" s="912"/>
      <c r="N7689" s="912"/>
      <c r="O7689" s="892">
        <f t="shared" si="586"/>
        <v>0</v>
      </c>
      <c r="P7689" s="903">
        <f t="shared" si="587"/>
        <v>1</v>
      </c>
      <c r="Q7689" s="893">
        <f t="shared" si="588"/>
        <v>1</v>
      </c>
      <c r="R7689" s="894">
        <f t="shared" si="589"/>
        <v>0</v>
      </c>
    </row>
    <row r="7690" spans="1:18" s="847" customFormat="1" ht="31.5">
      <c r="A7690" s="905" t="s">
        <v>6174</v>
      </c>
      <c r="B7690" s="914" t="s">
        <v>1704</v>
      </c>
      <c r="C7690" s="915"/>
      <c r="D7690" s="915"/>
      <c r="E7690" s="916" t="s">
        <v>6175</v>
      </c>
      <c r="F7690" s="917" t="s">
        <v>6094</v>
      </c>
      <c r="G7690" s="918"/>
      <c r="H7690" s="919"/>
      <c r="I7690" s="920"/>
      <c r="J7690" s="891">
        <f>SUM(J7691:J7696)</f>
        <v>61000</v>
      </c>
      <c r="K7690" s="891"/>
      <c r="L7690" s="891">
        <f>SUM(L7691:L7696)</f>
        <v>926144.45000000007</v>
      </c>
      <c r="M7690" s="891"/>
      <c r="N7690" s="891">
        <f>SUM(N7691:N7696)</f>
        <v>0</v>
      </c>
      <c r="O7690" s="892">
        <f t="shared" si="586"/>
        <v>1</v>
      </c>
      <c r="P7690" s="903">
        <f t="shared" si="587"/>
        <v>0</v>
      </c>
      <c r="Q7690" s="893">
        <f t="shared" si="588"/>
        <v>0</v>
      </c>
      <c r="R7690" s="894">
        <f t="shared" si="589"/>
        <v>6</v>
      </c>
    </row>
    <row r="7691" spans="1:18" s="904" customFormat="1">
      <c r="A7691" s="895"/>
      <c r="B7691" s="896"/>
      <c r="C7691" s="897"/>
      <c r="D7691" s="897"/>
      <c r="E7691" s="898" t="s">
        <v>108</v>
      </c>
      <c r="F7691" s="899"/>
      <c r="G7691" s="928"/>
      <c r="H7691" s="901"/>
      <c r="I7691" s="902"/>
      <c r="J7691" s="902"/>
      <c r="K7691" s="912" t="s">
        <v>274</v>
      </c>
      <c r="L7691" s="902"/>
      <c r="M7691" s="902"/>
      <c r="N7691" s="902"/>
      <c r="O7691" s="892">
        <f t="shared" si="586"/>
        <v>0</v>
      </c>
      <c r="P7691" s="903">
        <f t="shared" si="587"/>
        <v>1</v>
      </c>
      <c r="Q7691" s="893">
        <f t="shared" si="588"/>
        <v>6</v>
      </c>
      <c r="R7691" s="894">
        <f t="shared" si="589"/>
        <v>0</v>
      </c>
    </row>
    <row r="7692" spans="1:18">
      <c r="A7692" s="905"/>
      <c r="B7692" s="906"/>
      <c r="C7692" s="907">
        <v>44</v>
      </c>
      <c r="D7692" s="907" t="s">
        <v>279</v>
      </c>
      <c r="E7692" s="925" t="s">
        <v>2681</v>
      </c>
      <c r="F7692" s="926" t="s">
        <v>45</v>
      </c>
      <c r="G7692" s="910"/>
      <c r="H7692" s="911">
        <v>1.5</v>
      </c>
      <c r="I7692" s="912">
        <f>VLOOKUP(E7692,[3]VLP!$B$7:$K$300,10,0)</f>
        <v>23000</v>
      </c>
      <c r="J7692" s="912">
        <f>I7692*H7692</f>
        <v>34500</v>
      </c>
      <c r="K7692" s="912" t="s">
        <v>274</v>
      </c>
      <c r="L7692" s="912"/>
      <c r="M7692" s="912"/>
      <c r="N7692" s="912"/>
      <c r="O7692" s="892">
        <f t="shared" si="586"/>
        <v>0</v>
      </c>
      <c r="P7692" s="903">
        <f t="shared" si="587"/>
        <v>1</v>
      </c>
      <c r="Q7692" s="893">
        <f t="shared" si="588"/>
        <v>5</v>
      </c>
      <c r="R7692" s="894">
        <f t="shared" si="589"/>
        <v>0</v>
      </c>
    </row>
    <row r="7693" spans="1:18">
      <c r="A7693" s="905"/>
      <c r="B7693" s="906"/>
      <c r="C7693" s="907">
        <v>66</v>
      </c>
      <c r="D7693" s="907" t="s">
        <v>279</v>
      </c>
      <c r="E7693" s="925" t="s">
        <v>2682</v>
      </c>
      <c r="F7693" s="926" t="s">
        <v>45</v>
      </c>
      <c r="G7693" s="910"/>
      <c r="H7693" s="911">
        <v>0.3</v>
      </c>
      <c r="I7693" s="912">
        <f>VLOOKUP(E7693,[3]VLP!$B$7:$K$300,10,0)</f>
        <v>5000</v>
      </c>
      <c r="J7693" s="912">
        <f>I7693*H7693</f>
        <v>1500</v>
      </c>
      <c r="K7693" s="912" t="s">
        <v>274</v>
      </c>
      <c r="L7693" s="912"/>
      <c r="M7693" s="912"/>
      <c r="N7693" s="912"/>
      <c r="O7693" s="892">
        <f t="shared" si="586"/>
        <v>0</v>
      </c>
      <c r="P7693" s="903">
        <f t="shared" si="587"/>
        <v>1</v>
      </c>
      <c r="Q7693" s="893">
        <f t="shared" si="588"/>
        <v>4</v>
      </c>
      <c r="R7693" s="894">
        <f t="shared" si="589"/>
        <v>0</v>
      </c>
    </row>
    <row r="7694" spans="1:18">
      <c r="A7694" s="905"/>
      <c r="B7694" s="906"/>
      <c r="C7694" s="907">
        <v>699</v>
      </c>
      <c r="D7694" s="907" t="s">
        <v>279</v>
      </c>
      <c r="E7694" s="925" t="s">
        <v>4006</v>
      </c>
      <c r="F7694" s="926" t="s">
        <v>4007</v>
      </c>
      <c r="G7694" s="910"/>
      <c r="H7694" s="911">
        <v>5</v>
      </c>
      <c r="I7694" s="912">
        <f>VLOOKUP(E7694,[3]VLP!$B$7:$K$300,10,0)</f>
        <v>5000</v>
      </c>
      <c r="J7694" s="912">
        <f>I7694*H7694</f>
        <v>25000</v>
      </c>
      <c r="K7694" s="912" t="s">
        <v>274</v>
      </c>
      <c r="L7694" s="912"/>
      <c r="M7694" s="912"/>
      <c r="N7694" s="912"/>
      <c r="O7694" s="892">
        <f t="shared" si="586"/>
        <v>0</v>
      </c>
      <c r="P7694" s="903">
        <f t="shared" si="587"/>
        <v>1</v>
      </c>
      <c r="Q7694" s="893">
        <f t="shared" si="588"/>
        <v>3</v>
      </c>
      <c r="R7694" s="894">
        <f t="shared" si="589"/>
        <v>0</v>
      </c>
    </row>
    <row r="7695" spans="1:18" s="904" customFormat="1">
      <c r="A7695" s="895"/>
      <c r="B7695" s="896"/>
      <c r="C7695" s="897"/>
      <c r="D7695" s="897"/>
      <c r="E7695" s="924" t="s">
        <v>276</v>
      </c>
      <c r="F7695" s="927"/>
      <c r="G7695" s="928"/>
      <c r="H7695" s="901"/>
      <c r="I7695" s="902"/>
      <c r="J7695" s="902"/>
      <c r="K7695" s="912" t="s">
        <v>274</v>
      </c>
      <c r="L7695" s="902"/>
      <c r="M7695" s="902"/>
      <c r="N7695" s="902"/>
      <c r="O7695" s="892">
        <f t="shared" si="586"/>
        <v>0</v>
      </c>
      <c r="P7695" s="903">
        <f t="shared" si="587"/>
        <v>1</v>
      </c>
      <c r="Q7695" s="893">
        <f t="shared" si="588"/>
        <v>2</v>
      </c>
      <c r="R7695" s="894">
        <f t="shared" si="589"/>
        <v>0</v>
      </c>
    </row>
    <row r="7696" spans="1:18">
      <c r="A7696" s="905"/>
      <c r="B7696" s="906"/>
      <c r="C7696" s="907">
        <v>745</v>
      </c>
      <c r="D7696" s="907" t="s">
        <v>12</v>
      </c>
      <c r="E7696" s="908" t="s">
        <v>5518</v>
      </c>
      <c r="F7696" s="909" t="s">
        <v>2674</v>
      </c>
      <c r="G7696" s="910"/>
      <c r="H7696" s="911">
        <v>3.85</v>
      </c>
      <c r="I7696" s="912"/>
      <c r="J7696" s="912"/>
      <c r="K7696" s="912">
        <f>VLOOKUP(E7696,[5]ĐMNC!$A$7:$F$67,4,0)</f>
        <v>240557</v>
      </c>
      <c r="L7696" s="912">
        <f>H7696*K7696</f>
        <v>926144.45000000007</v>
      </c>
      <c r="M7696" s="912"/>
      <c r="N7696" s="912"/>
      <c r="O7696" s="892">
        <f t="shared" si="586"/>
        <v>0</v>
      </c>
      <c r="P7696" s="903">
        <f t="shared" si="587"/>
        <v>1</v>
      </c>
      <c r="Q7696" s="893">
        <f t="shared" si="588"/>
        <v>1</v>
      </c>
      <c r="R7696" s="894">
        <f t="shared" si="589"/>
        <v>0</v>
      </c>
    </row>
    <row r="7697" spans="1:18" s="847" customFormat="1" ht="31.5">
      <c r="A7697" s="905"/>
      <c r="B7697" s="914" t="s">
        <v>1706</v>
      </c>
      <c r="C7697" s="915"/>
      <c r="D7697" s="915"/>
      <c r="E7697" s="916" t="s">
        <v>6176</v>
      </c>
      <c r="F7697" s="917" t="s">
        <v>6094</v>
      </c>
      <c r="G7697" s="918"/>
      <c r="H7697" s="919"/>
      <c r="I7697" s="920"/>
      <c r="J7697" s="891">
        <f>SUM(J7698:J7703)</f>
        <v>61000</v>
      </c>
      <c r="K7697" s="891"/>
      <c r="L7697" s="891">
        <f>SUM(L7698:L7703)</f>
        <v>1003122.69</v>
      </c>
      <c r="M7697" s="891"/>
      <c r="N7697" s="891">
        <f>SUM(N7698:N7703)</f>
        <v>0</v>
      </c>
      <c r="O7697" s="892">
        <f t="shared" si="586"/>
        <v>1</v>
      </c>
      <c r="P7697" s="903">
        <f t="shared" si="587"/>
        <v>0</v>
      </c>
      <c r="Q7697" s="893">
        <f t="shared" si="588"/>
        <v>0</v>
      </c>
      <c r="R7697" s="894">
        <f t="shared" si="589"/>
        <v>6</v>
      </c>
    </row>
    <row r="7698" spans="1:18" s="904" customFormat="1">
      <c r="A7698" s="895"/>
      <c r="B7698" s="896"/>
      <c r="C7698" s="897"/>
      <c r="D7698" s="897"/>
      <c r="E7698" s="898" t="s">
        <v>108</v>
      </c>
      <c r="F7698" s="899"/>
      <c r="G7698" s="928"/>
      <c r="H7698" s="901"/>
      <c r="I7698" s="902"/>
      <c r="J7698" s="902"/>
      <c r="K7698" s="912" t="s">
        <v>274</v>
      </c>
      <c r="L7698" s="902"/>
      <c r="M7698" s="902"/>
      <c r="N7698" s="902"/>
      <c r="O7698" s="892">
        <f t="shared" si="586"/>
        <v>0</v>
      </c>
      <c r="P7698" s="903">
        <f t="shared" si="587"/>
        <v>1</v>
      </c>
      <c r="Q7698" s="893">
        <f t="shared" si="588"/>
        <v>6</v>
      </c>
      <c r="R7698" s="894">
        <f t="shared" si="589"/>
        <v>0</v>
      </c>
    </row>
    <row r="7699" spans="1:18">
      <c r="A7699" s="905"/>
      <c r="B7699" s="906"/>
      <c r="C7699" s="907">
        <v>44</v>
      </c>
      <c r="D7699" s="907" t="s">
        <v>279</v>
      </c>
      <c r="E7699" s="925" t="s">
        <v>2681</v>
      </c>
      <c r="F7699" s="926" t="s">
        <v>45</v>
      </c>
      <c r="G7699" s="910"/>
      <c r="H7699" s="911">
        <v>1.5</v>
      </c>
      <c r="I7699" s="912">
        <f>VLOOKUP(E7699,[3]VLP!$B$7:$K$300,10,0)</f>
        <v>23000</v>
      </c>
      <c r="J7699" s="912">
        <f>I7699*H7699</f>
        <v>34500</v>
      </c>
      <c r="K7699" s="912" t="s">
        <v>274</v>
      </c>
      <c r="L7699" s="912"/>
      <c r="M7699" s="912"/>
      <c r="N7699" s="912"/>
      <c r="O7699" s="892">
        <f t="shared" si="586"/>
        <v>0</v>
      </c>
      <c r="P7699" s="903">
        <f t="shared" si="587"/>
        <v>1</v>
      </c>
      <c r="Q7699" s="893">
        <f t="shared" si="588"/>
        <v>5</v>
      </c>
      <c r="R7699" s="894">
        <f t="shared" si="589"/>
        <v>0</v>
      </c>
    </row>
    <row r="7700" spans="1:18">
      <c r="A7700" s="905"/>
      <c r="B7700" s="906"/>
      <c r="C7700" s="907">
        <v>66</v>
      </c>
      <c r="D7700" s="907" t="s">
        <v>279</v>
      </c>
      <c r="E7700" s="925" t="s">
        <v>2682</v>
      </c>
      <c r="F7700" s="926" t="s">
        <v>45</v>
      </c>
      <c r="G7700" s="910"/>
      <c r="H7700" s="911">
        <v>0.3</v>
      </c>
      <c r="I7700" s="912">
        <f>VLOOKUP(E7700,[3]VLP!$B$7:$K$300,10,0)</f>
        <v>5000</v>
      </c>
      <c r="J7700" s="912">
        <f>I7700*H7700</f>
        <v>1500</v>
      </c>
      <c r="K7700" s="912" t="s">
        <v>274</v>
      </c>
      <c r="L7700" s="912"/>
      <c r="M7700" s="912"/>
      <c r="N7700" s="912"/>
      <c r="O7700" s="892">
        <f t="shared" si="586"/>
        <v>0</v>
      </c>
      <c r="P7700" s="903">
        <f t="shared" si="587"/>
        <v>1</v>
      </c>
      <c r="Q7700" s="893">
        <f t="shared" si="588"/>
        <v>4</v>
      </c>
      <c r="R7700" s="894">
        <f t="shared" si="589"/>
        <v>0</v>
      </c>
    </row>
    <row r="7701" spans="1:18">
      <c r="A7701" s="905"/>
      <c r="B7701" s="906"/>
      <c r="C7701" s="907">
        <v>699</v>
      </c>
      <c r="D7701" s="907" t="s">
        <v>279</v>
      </c>
      <c r="E7701" s="925" t="s">
        <v>4006</v>
      </c>
      <c r="F7701" s="926" t="s">
        <v>4007</v>
      </c>
      <c r="G7701" s="910"/>
      <c r="H7701" s="911">
        <v>5</v>
      </c>
      <c r="I7701" s="912">
        <f>VLOOKUP(E7701,[3]VLP!$B$7:$K$300,10,0)</f>
        <v>5000</v>
      </c>
      <c r="J7701" s="912">
        <f>I7701*H7701</f>
        <v>25000</v>
      </c>
      <c r="K7701" s="912" t="s">
        <v>274</v>
      </c>
      <c r="L7701" s="912"/>
      <c r="M7701" s="912"/>
      <c r="N7701" s="912"/>
      <c r="O7701" s="892">
        <f t="shared" si="586"/>
        <v>0</v>
      </c>
      <c r="P7701" s="903">
        <f t="shared" si="587"/>
        <v>1</v>
      </c>
      <c r="Q7701" s="893">
        <f t="shared" si="588"/>
        <v>3</v>
      </c>
      <c r="R7701" s="894">
        <f t="shared" si="589"/>
        <v>0</v>
      </c>
    </row>
    <row r="7702" spans="1:18" s="904" customFormat="1">
      <c r="A7702" s="895"/>
      <c r="B7702" s="896"/>
      <c r="C7702" s="897"/>
      <c r="D7702" s="897"/>
      <c r="E7702" s="924" t="s">
        <v>276</v>
      </c>
      <c r="F7702" s="927"/>
      <c r="G7702" s="928"/>
      <c r="H7702" s="901"/>
      <c r="I7702" s="902"/>
      <c r="J7702" s="902"/>
      <c r="K7702" s="912" t="s">
        <v>274</v>
      </c>
      <c r="L7702" s="902"/>
      <c r="M7702" s="902"/>
      <c r="N7702" s="902"/>
      <c r="O7702" s="892">
        <f t="shared" si="586"/>
        <v>0</v>
      </c>
      <c r="P7702" s="903">
        <f t="shared" si="587"/>
        <v>1</v>
      </c>
      <c r="Q7702" s="893">
        <f t="shared" si="588"/>
        <v>2</v>
      </c>
      <c r="R7702" s="894">
        <f t="shared" si="589"/>
        <v>0</v>
      </c>
    </row>
    <row r="7703" spans="1:18">
      <c r="A7703" s="905"/>
      <c r="B7703" s="906"/>
      <c r="C7703" s="907">
        <v>745</v>
      </c>
      <c r="D7703" s="907" t="s">
        <v>12</v>
      </c>
      <c r="E7703" s="908" t="s">
        <v>5518</v>
      </c>
      <c r="F7703" s="909" t="s">
        <v>2674</v>
      </c>
      <c r="G7703" s="910"/>
      <c r="H7703" s="911">
        <v>4.17</v>
      </c>
      <c r="I7703" s="912"/>
      <c r="J7703" s="912"/>
      <c r="K7703" s="912">
        <f>VLOOKUP(E7703,[5]ĐMNC!$A$7:$F$67,4,0)</f>
        <v>240557</v>
      </c>
      <c r="L7703" s="912">
        <f>H7703*K7703</f>
        <v>1003122.69</v>
      </c>
      <c r="M7703" s="912"/>
      <c r="N7703" s="912"/>
      <c r="O7703" s="892">
        <f t="shared" si="586"/>
        <v>0</v>
      </c>
      <c r="P7703" s="903">
        <f t="shared" si="587"/>
        <v>1</v>
      </c>
      <c r="Q7703" s="893">
        <f t="shared" si="588"/>
        <v>1</v>
      </c>
      <c r="R7703" s="894">
        <f t="shared" si="589"/>
        <v>0</v>
      </c>
    </row>
    <row r="7704" spans="1:18" s="847" customFormat="1" ht="31.5">
      <c r="A7704" s="905"/>
      <c r="B7704" s="914" t="s">
        <v>1708</v>
      </c>
      <c r="C7704" s="915"/>
      <c r="D7704" s="915"/>
      <c r="E7704" s="916" t="s">
        <v>6177</v>
      </c>
      <c r="F7704" s="917" t="s">
        <v>6094</v>
      </c>
      <c r="G7704" s="918"/>
      <c r="H7704" s="919"/>
      <c r="I7704" s="920"/>
      <c r="J7704" s="891">
        <f>SUM(J7705:J7710)</f>
        <v>61000</v>
      </c>
      <c r="K7704" s="891"/>
      <c r="L7704" s="891">
        <f>SUM(L7705:L7710)</f>
        <v>1120995.6200000001</v>
      </c>
      <c r="M7704" s="891"/>
      <c r="N7704" s="891">
        <f>SUM(N7705:N7710)</f>
        <v>0</v>
      </c>
      <c r="O7704" s="892">
        <f t="shared" si="586"/>
        <v>1</v>
      </c>
      <c r="P7704" s="903">
        <f t="shared" si="587"/>
        <v>0</v>
      </c>
      <c r="Q7704" s="893">
        <f t="shared" si="588"/>
        <v>0</v>
      </c>
      <c r="R7704" s="894">
        <f t="shared" si="589"/>
        <v>6</v>
      </c>
    </row>
    <row r="7705" spans="1:18" s="904" customFormat="1">
      <c r="A7705" s="895"/>
      <c r="B7705" s="896"/>
      <c r="C7705" s="897"/>
      <c r="D7705" s="897"/>
      <c r="E7705" s="898" t="s">
        <v>108</v>
      </c>
      <c r="F7705" s="899"/>
      <c r="G7705" s="928"/>
      <c r="H7705" s="901"/>
      <c r="I7705" s="902"/>
      <c r="J7705" s="902"/>
      <c r="K7705" s="912" t="s">
        <v>274</v>
      </c>
      <c r="L7705" s="902"/>
      <c r="M7705" s="902"/>
      <c r="N7705" s="902"/>
      <c r="O7705" s="892">
        <f t="shared" si="586"/>
        <v>0</v>
      </c>
      <c r="P7705" s="903">
        <f t="shared" si="587"/>
        <v>1</v>
      </c>
      <c r="Q7705" s="893">
        <f t="shared" si="588"/>
        <v>6</v>
      </c>
      <c r="R7705" s="894">
        <f t="shared" si="589"/>
        <v>0</v>
      </c>
    </row>
    <row r="7706" spans="1:18">
      <c r="A7706" s="905"/>
      <c r="B7706" s="906"/>
      <c r="C7706" s="907">
        <v>44</v>
      </c>
      <c r="D7706" s="907" t="s">
        <v>279</v>
      </c>
      <c r="E7706" s="925" t="s">
        <v>2681</v>
      </c>
      <c r="F7706" s="926" t="s">
        <v>45</v>
      </c>
      <c r="G7706" s="910"/>
      <c r="H7706" s="911">
        <v>1.5</v>
      </c>
      <c r="I7706" s="912">
        <f>VLOOKUP(E7706,[3]VLP!$B$7:$K$300,10,0)</f>
        <v>23000</v>
      </c>
      <c r="J7706" s="912">
        <f>I7706*H7706</f>
        <v>34500</v>
      </c>
      <c r="K7706" s="912" t="s">
        <v>274</v>
      </c>
      <c r="L7706" s="912"/>
      <c r="M7706" s="912"/>
      <c r="N7706" s="912"/>
      <c r="O7706" s="892">
        <f t="shared" si="586"/>
        <v>0</v>
      </c>
      <c r="P7706" s="903">
        <f t="shared" si="587"/>
        <v>1</v>
      </c>
      <c r="Q7706" s="893">
        <f t="shared" si="588"/>
        <v>5</v>
      </c>
      <c r="R7706" s="894">
        <f t="shared" si="589"/>
        <v>0</v>
      </c>
    </row>
    <row r="7707" spans="1:18">
      <c r="A7707" s="905"/>
      <c r="B7707" s="906"/>
      <c r="C7707" s="907">
        <v>66</v>
      </c>
      <c r="D7707" s="907" t="s">
        <v>279</v>
      </c>
      <c r="E7707" s="925" t="s">
        <v>2682</v>
      </c>
      <c r="F7707" s="926" t="s">
        <v>45</v>
      </c>
      <c r="G7707" s="910"/>
      <c r="H7707" s="911">
        <v>0.3</v>
      </c>
      <c r="I7707" s="912">
        <f>VLOOKUP(E7707,[3]VLP!$B$7:$K$300,10,0)</f>
        <v>5000</v>
      </c>
      <c r="J7707" s="912">
        <f>I7707*H7707</f>
        <v>1500</v>
      </c>
      <c r="K7707" s="912" t="s">
        <v>274</v>
      </c>
      <c r="L7707" s="912"/>
      <c r="M7707" s="912"/>
      <c r="N7707" s="912"/>
      <c r="O7707" s="892">
        <f t="shared" si="586"/>
        <v>0</v>
      </c>
      <c r="P7707" s="903">
        <f t="shared" si="587"/>
        <v>1</v>
      </c>
      <c r="Q7707" s="893">
        <f t="shared" si="588"/>
        <v>4</v>
      </c>
      <c r="R7707" s="894">
        <f t="shared" si="589"/>
        <v>0</v>
      </c>
    </row>
    <row r="7708" spans="1:18">
      <c r="A7708" s="905"/>
      <c r="B7708" s="906"/>
      <c r="C7708" s="907">
        <v>699</v>
      </c>
      <c r="D7708" s="907" t="s">
        <v>279</v>
      </c>
      <c r="E7708" s="925" t="s">
        <v>4006</v>
      </c>
      <c r="F7708" s="926" t="s">
        <v>4007</v>
      </c>
      <c r="G7708" s="910"/>
      <c r="H7708" s="911">
        <v>5</v>
      </c>
      <c r="I7708" s="912">
        <f>VLOOKUP(E7708,[3]VLP!$B$7:$K$300,10,0)</f>
        <v>5000</v>
      </c>
      <c r="J7708" s="912">
        <f>I7708*H7708</f>
        <v>25000</v>
      </c>
      <c r="K7708" s="912" t="s">
        <v>274</v>
      </c>
      <c r="L7708" s="912"/>
      <c r="M7708" s="912"/>
      <c r="N7708" s="912"/>
      <c r="O7708" s="892">
        <f t="shared" si="586"/>
        <v>0</v>
      </c>
      <c r="P7708" s="903">
        <f t="shared" si="587"/>
        <v>1</v>
      </c>
      <c r="Q7708" s="893">
        <f t="shared" si="588"/>
        <v>3</v>
      </c>
      <c r="R7708" s="894">
        <f t="shared" si="589"/>
        <v>0</v>
      </c>
    </row>
    <row r="7709" spans="1:18" s="904" customFormat="1">
      <c r="A7709" s="895"/>
      <c r="B7709" s="896"/>
      <c r="C7709" s="897"/>
      <c r="D7709" s="897"/>
      <c r="E7709" s="924" t="s">
        <v>276</v>
      </c>
      <c r="F7709" s="927"/>
      <c r="G7709" s="928"/>
      <c r="H7709" s="901"/>
      <c r="I7709" s="902"/>
      <c r="J7709" s="902"/>
      <c r="K7709" s="912" t="s">
        <v>274</v>
      </c>
      <c r="L7709" s="902"/>
      <c r="M7709" s="902"/>
      <c r="N7709" s="902"/>
      <c r="O7709" s="892">
        <f t="shared" si="586"/>
        <v>0</v>
      </c>
      <c r="P7709" s="903">
        <f t="shared" si="587"/>
        <v>1</v>
      </c>
      <c r="Q7709" s="893">
        <f t="shared" si="588"/>
        <v>2</v>
      </c>
      <c r="R7709" s="894">
        <f t="shared" si="589"/>
        <v>0</v>
      </c>
    </row>
    <row r="7710" spans="1:18">
      <c r="A7710" s="905"/>
      <c r="B7710" s="906"/>
      <c r="C7710" s="907">
        <v>745</v>
      </c>
      <c r="D7710" s="907" t="s">
        <v>12</v>
      </c>
      <c r="E7710" s="908" t="s">
        <v>5518</v>
      </c>
      <c r="F7710" s="909" t="s">
        <v>2674</v>
      </c>
      <c r="G7710" s="910"/>
      <c r="H7710" s="911">
        <v>4.66</v>
      </c>
      <c r="I7710" s="912"/>
      <c r="J7710" s="912"/>
      <c r="K7710" s="912">
        <f>VLOOKUP(E7710,[5]ĐMNC!$A$7:$F$67,4,0)</f>
        <v>240557</v>
      </c>
      <c r="L7710" s="912">
        <f>H7710*K7710</f>
        <v>1120995.6200000001</v>
      </c>
      <c r="M7710" s="912"/>
      <c r="N7710" s="912"/>
      <c r="O7710" s="892">
        <f t="shared" si="586"/>
        <v>0</v>
      </c>
      <c r="P7710" s="903">
        <f t="shared" si="587"/>
        <v>1</v>
      </c>
      <c r="Q7710" s="893">
        <f t="shared" si="588"/>
        <v>1</v>
      </c>
      <c r="R7710" s="894">
        <f t="shared" si="589"/>
        <v>0</v>
      </c>
    </row>
    <row r="7711" spans="1:18" s="847" customFormat="1" ht="31.5">
      <c r="A7711" s="905"/>
      <c r="B7711" s="914" t="s">
        <v>6178</v>
      </c>
      <c r="C7711" s="915"/>
      <c r="D7711" s="915"/>
      <c r="E7711" s="916" t="s">
        <v>6179</v>
      </c>
      <c r="F7711" s="917" t="s">
        <v>6094</v>
      </c>
      <c r="G7711" s="918"/>
      <c r="H7711" s="919"/>
      <c r="I7711" s="920"/>
      <c r="J7711" s="891">
        <f>SUM(J7712:J7717)</f>
        <v>73000</v>
      </c>
      <c r="K7711" s="891"/>
      <c r="L7711" s="891">
        <f>SUM(L7712:L7717)</f>
        <v>1234057.4099999999</v>
      </c>
      <c r="M7711" s="891"/>
      <c r="N7711" s="891">
        <f>SUM(N7712:N7717)</f>
        <v>0</v>
      </c>
      <c r="O7711" s="892">
        <f t="shared" ref="O7711:O7774" si="592">IF(AND(B7711&lt;&gt;"",D7711=""),1,0)</f>
        <v>1</v>
      </c>
      <c r="P7711" s="903">
        <f t="shared" si="587"/>
        <v>0</v>
      </c>
      <c r="Q7711" s="893">
        <f t="shared" si="588"/>
        <v>0</v>
      </c>
      <c r="R7711" s="894">
        <f t="shared" si="589"/>
        <v>6</v>
      </c>
    </row>
    <row r="7712" spans="1:18" s="904" customFormat="1">
      <c r="A7712" s="895"/>
      <c r="B7712" s="896"/>
      <c r="C7712" s="897"/>
      <c r="D7712" s="897"/>
      <c r="E7712" s="898" t="s">
        <v>108</v>
      </c>
      <c r="F7712" s="899"/>
      <c r="G7712" s="928"/>
      <c r="H7712" s="901"/>
      <c r="I7712" s="902"/>
      <c r="J7712" s="902"/>
      <c r="K7712" s="912" t="s">
        <v>274</v>
      </c>
      <c r="L7712" s="902"/>
      <c r="M7712" s="902"/>
      <c r="N7712" s="902"/>
      <c r="O7712" s="892">
        <f t="shared" si="592"/>
        <v>0</v>
      </c>
      <c r="P7712" s="903">
        <f t="shared" si="587"/>
        <v>1</v>
      </c>
      <c r="Q7712" s="893">
        <f t="shared" si="588"/>
        <v>6</v>
      </c>
      <c r="R7712" s="894">
        <f t="shared" si="589"/>
        <v>0</v>
      </c>
    </row>
    <row r="7713" spans="1:18">
      <c r="A7713" s="905"/>
      <c r="B7713" s="906"/>
      <c r="C7713" s="907">
        <v>44</v>
      </c>
      <c r="D7713" s="907" t="s">
        <v>279</v>
      </c>
      <c r="E7713" s="925" t="s">
        <v>2681</v>
      </c>
      <c r="F7713" s="926" t="s">
        <v>45</v>
      </c>
      <c r="G7713" s="910"/>
      <c r="H7713" s="911">
        <v>2</v>
      </c>
      <c r="I7713" s="912">
        <f>VLOOKUP(E7713,[3]VLP!$B$7:$K$300,10,0)</f>
        <v>23000</v>
      </c>
      <c r="J7713" s="912">
        <f>I7713*H7713</f>
        <v>46000</v>
      </c>
      <c r="K7713" s="912" t="s">
        <v>274</v>
      </c>
      <c r="L7713" s="912"/>
      <c r="M7713" s="912"/>
      <c r="N7713" s="912"/>
      <c r="O7713" s="892">
        <f t="shared" si="592"/>
        <v>0</v>
      </c>
      <c r="P7713" s="903">
        <f t="shared" si="587"/>
        <v>1</v>
      </c>
      <c r="Q7713" s="893">
        <f t="shared" si="588"/>
        <v>5</v>
      </c>
      <c r="R7713" s="894">
        <f t="shared" si="589"/>
        <v>0</v>
      </c>
    </row>
    <row r="7714" spans="1:18">
      <c r="A7714" s="905"/>
      <c r="B7714" s="906"/>
      <c r="C7714" s="907">
        <v>66</v>
      </c>
      <c r="D7714" s="907" t="s">
        <v>279</v>
      </c>
      <c r="E7714" s="925" t="s">
        <v>2682</v>
      </c>
      <c r="F7714" s="926" t="s">
        <v>45</v>
      </c>
      <c r="G7714" s="910"/>
      <c r="H7714" s="911">
        <v>0.4</v>
      </c>
      <c r="I7714" s="912">
        <f>VLOOKUP(E7714,[3]VLP!$B$7:$K$300,10,0)</f>
        <v>5000</v>
      </c>
      <c r="J7714" s="912">
        <f>I7714*H7714</f>
        <v>2000</v>
      </c>
      <c r="K7714" s="912" t="s">
        <v>274</v>
      </c>
      <c r="L7714" s="912"/>
      <c r="M7714" s="912"/>
      <c r="N7714" s="912"/>
      <c r="O7714" s="892">
        <f t="shared" si="592"/>
        <v>0</v>
      </c>
      <c r="P7714" s="903">
        <f t="shared" si="587"/>
        <v>1</v>
      </c>
      <c r="Q7714" s="893">
        <f t="shared" si="588"/>
        <v>4</v>
      </c>
      <c r="R7714" s="894">
        <f t="shared" si="589"/>
        <v>0</v>
      </c>
    </row>
    <row r="7715" spans="1:18">
      <c r="A7715" s="905"/>
      <c r="B7715" s="906"/>
      <c r="C7715" s="907">
        <v>699</v>
      </c>
      <c r="D7715" s="907" t="s">
        <v>279</v>
      </c>
      <c r="E7715" s="925" t="s">
        <v>4006</v>
      </c>
      <c r="F7715" s="926" t="s">
        <v>4007</v>
      </c>
      <c r="G7715" s="910"/>
      <c r="H7715" s="911">
        <v>5</v>
      </c>
      <c r="I7715" s="912">
        <f>VLOOKUP(E7715,[3]VLP!$B$7:$K$300,10,0)</f>
        <v>5000</v>
      </c>
      <c r="J7715" s="912">
        <f>I7715*H7715</f>
        <v>25000</v>
      </c>
      <c r="K7715" s="912" t="s">
        <v>274</v>
      </c>
      <c r="L7715" s="912"/>
      <c r="M7715" s="912"/>
      <c r="N7715" s="912"/>
      <c r="O7715" s="892">
        <f t="shared" si="592"/>
        <v>0</v>
      </c>
      <c r="P7715" s="903">
        <f t="shared" si="587"/>
        <v>1</v>
      </c>
      <c r="Q7715" s="893">
        <f t="shared" si="588"/>
        <v>3</v>
      </c>
      <c r="R7715" s="894">
        <f t="shared" si="589"/>
        <v>0</v>
      </c>
    </row>
    <row r="7716" spans="1:18" s="904" customFormat="1">
      <c r="A7716" s="895"/>
      <c r="B7716" s="896"/>
      <c r="C7716" s="897"/>
      <c r="D7716" s="897"/>
      <c r="E7716" s="924" t="s">
        <v>276</v>
      </c>
      <c r="F7716" s="927"/>
      <c r="G7716" s="928"/>
      <c r="H7716" s="901"/>
      <c r="I7716" s="902"/>
      <c r="J7716" s="902"/>
      <c r="K7716" s="912" t="s">
        <v>274</v>
      </c>
      <c r="L7716" s="902"/>
      <c r="M7716" s="902"/>
      <c r="N7716" s="902"/>
      <c r="O7716" s="892">
        <f t="shared" si="592"/>
        <v>0</v>
      </c>
      <c r="P7716" s="903">
        <f t="shared" si="587"/>
        <v>1</v>
      </c>
      <c r="Q7716" s="893">
        <f t="shared" si="588"/>
        <v>2</v>
      </c>
      <c r="R7716" s="894">
        <f t="shared" si="589"/>
        <v>0</v>
      </c>
    </row>
    <row r="7717" spans="1:18">
      <c r="A7717" s="905"/>
      <c r="B7717" s="906"/>
      <c r="C7717" s="907">
        <v>745</v>
      </c>
      <c r="D7717" s="907" t="s">
        <v>12</v>
      </c>
      <c r="E7717" s="908" t="s">
        <v>5518</v>
      </c>
      <c r="F7717" s="909" t="s">
        <v>2674</v>
      </c>
      <c r="G7717" s="910"/>
      <c r="H7717" s="911">
        <v>5.13</v>
      </c>
      <c r="I7717" s="912"/>
      <c r="J7717" s="912"/>
      <c r="K7717" s="912">
        <f>VLOOKUP(E7717,[5]ĐMNC!$A$7:$F$67,4,0)</f>
        <v>240557</v>
      </c>
      <c r="L7717" s="912">
        <f>H7717*K7717</f>
        <v>1234057.4099999999</v>
      </c>
      <c r="M7717" s="912"/>
      <c r="N7717" s="912"/>
      <c r="O7717" s="892">
        <f t="shared" si="592"/>
        <v>0</v>
      </c>
      <c r="P7717" s="903">
        <f t="shared" si="587"/>
        <v>1</v>
      </c>
      <c r="Q7717" s="893">
        <f t="shared" si="588"/>
        <v>1</v>
      </c>
      <c r="R7717" s="894">
        <f t="shared" si="589"/>
        <v>0</v>
      </c>
    </row>
    <row r="7718" spans="1:18" s="847" customFormat="1" ht="31.5">
      <c r="A7718" s="905" t="s">
        <v>6180</v>
      </c>
      <c r="B7718" s="914" t="s">
        <v>1711</v>
      </c>
      <c r="C7718" s="915"/>
      <c r="D7718" s="915"/>
      <c r="E7718" s="916" t="s">
        <v>6181</v>
      </c>
      <c r="F7718" s="917" t="s">
        <v>6094</v>
      </c>
      <c r="G7718" s="918"/>
      <c r="H7718" s="919"/>
      <c r="I7718" s="920"/>
      <c r="J7718" s="891">
        <f>SUM(J7719:J7724)</f>
        <v>73000</v>
      </c>
      <c r="K7718" s="891"/>
      <c r="L7718" s="891">
        <f>SUM(L7719:L7724)</f>
        <v>1349524.77</v>
      </c>
      <c r="M7718" s="891"/>
      <c r="N7718" s="891">
        <f>SUM(N7719:N7724)</f>
        <v>0</v>
      </c>
      <c r="O7718" s="892">
        <f t="shared" si="592"/>
        <v>1</v>
      </c>
      <c r="P7718" s="903">
        <f t="shared" si="587"/>
        <v>0</v>
      </c>
      <c r="Q7718" s="893">
        <f t="shared" si="588"/>
        <v>0</v>
      </c>
      <c r="R7718" s="894">
        <f t="shared" si="589"/>
        <v>6</v>
      </c>
    </row>
    <row r="7719" spans="1:18" s="904" customFormat="1">
      <c r="A7719" s="895"/>
      <c r="B7719" s="896"/>
      <c r="C7719" s="897"/>
      <c r="D7719" s="897"/>
      <c r="E7719" s="898" t="s">
        <v>108</v>
      </c>
      <c r="F7719" s="899"/>
      <c r="G7719" s="928"/>
      <c r="H7719" s="901"/>
      <c r="I7719" s="902"/>
      <c r="J7719" s="902"/>
      <c r="K7719" s="912" t="s">
        <v>274</v>
      </c>
      <c r="L7719" s="902"/>
      <c r="M7719" s="902"/>
      <c r="N7719" s="902"/>
      <c r="O7719" s="892">
        <f t="shared" si="592"/>
        <v>0</v>
      </c>
      <c r="P7719" s="903">
        <f t="shared" si="587"/>
        <v>1</v>
      </c>
      <c r="Q7719" s="893">
        <f t="shared" si="588"/>
        <v>6</v>
      </c>
      <c r="R7719" s="894">
        <f t="shared" si="589"/>
        <v>0</v>
      </c>
    </row>
    <row r="7720" spans="1:18">
      <c r="A7720" s="905"/>
      <c r="B7720" s="906"/>
      <c r="C7720" s="907">
        <v>44</v>
      </c>
      <c r="D7720" s="907" t="s">
        <v>279</v>
      </c>
      <c r="E7720" s="925" t="s">
        <v>2681</v>
      </c>
      <c r="F7720" s="926" t="s">
        <v>45</v>
      </c>
      <c r="G7720" s="910"/>
      <c r="H7720" s="911">
        <v>2</v>
      </c>
      <c r="I7720" s="912">
        <f>VLOOKUP(E7720,[3]VLP!$B$7:$K$300,10,0)</f>
        <v>23000</v>
      </c>
      <c r="J7720" s="912">
        <f>I7720*H7720</f>
        <v>46000</v>
      </c>
      <c r="K7720" s="912" t="s">
        <v>274</v>
      </c>
      <c r="L7720" s="912"/>
      <c r="M7720" s="912"/>
      <c r="N7720" s="912"/>
      <c r="O7720" s="892">
        <f t="shared" si="592"/>
        <v>0</v>
      </c>
      <c r="P7720" s="903">
        <f t="shared" ref="P7720:P7783" si="593">IF(O7720=0,1,0)</f>
        <v>1</v>
      </c>
      <c r="Q7720" s="893">
        <f t="shared" ref="Q7720:Q7783" si="594">IF(P7720=0,0,P7720+Q7721)</f>
        <v>5</v>
      </c>
      <c r="R7720" s="894">
        <f t="shared" ref="R7720:R7783" si="595">IF(Q7720=0,Q7721,0)</f>
        <v>0</v>
      </c>
    </row>
    <row r="7721" spans="1:18">
      <c r="A7721" s="905"/>
      <c r="B7721" s="906"/>
      <c r="C7721" s="907">
        <v>66</v>
      </c>
      <c r="D7721" s="907" t="s">
        <v>279</v>
      </c>
      <c r="E7721" s="925" t="s">
        <v>2682</v>
      </c>
      <c r="F7721" s="926" t="s">
        <v>45</v>
      </c>
      <c r="G7721" s="910"/>
      <c r="H7721" s="911">
        <v>0.4</v>
      </c>
      <c r="I7721" s="912">
        <f>VLOOKUP(E7721,[3]VLP!$B$7:$K$300,10,0)</f>
        <v>5000</v>
      </c>
      <c r="J7721" s="912">
        <f>I7721*H7721</f>
        <v>2000</v>
      </c>
      <c r="K7721" s="912" t="s">
        <v>274</v>
      </c>
      <c r="L7721" s="912"/>
      <c r="M7721" s="912"/>
      <c r="N7721" s="912"/>
      <c r="O7721" s="892">
        <f t="shared" si="592"/>
        <v>0</v>
      </c>
      <c r="P7721" s="903">
        <f t="shared" si="593"/>
        <v>1</v>
      </c>
      <c r="Q7721" s="893">
        <f t="shared" si="594"/>
        <v>4</v>
      </c>
      <c r="R7721" s="894">
        <f t="shared" si="595"/>
        <v>0</v>
      </c>
    </row>
    <row r="7722" spans="1:18">
      <c r="A7722" s="905"/>
      <c r="B7722" s="906"/>
      <c r="C7722" s="907">
        <v>699</v>
      </c>
      <c r="D7722" s="907" t="s">
        <v>279</v>
      </c>
      <c r="E7722" s="925" t="s">
        <v>4006</v>
      </c>
      <c r="F7722" s="926" t="s">
        <v>4007</v>
      </c>
      <c r="G7722" s="910"/>
      <c r="H7722" s="911">
        <v>5</v>
      </c>
      <c r="I7722" s="912">
        <f>VLOOKUP(E7722,[3]VLP!$B$7:$K$300,10,0)</f>
        <v>5000</v>
      </c>
      <c r="J7722" s="912">
        <f>I7722*H7722</f>
        <v>25000</v>
      </c>
      <c r="K7722" s="912" t="s">
        <v>274</v>
      </c>
      <c r="L7722" s="912"/>
      <c r="M7722" s="912"/>
      <c r="N7722" s="912"/>
      <c r="O7722" s="892">
        <f t="shared" si="592"/>
        <v>0</v>
      </c>
      <c r="P7722" s="903">
        <f t="shared" si="593"/>
        <v>1</v>
      </c>
      <c r="Q7722" s="893">
        <f t="shared" si="594"/>
        <v>3</v>
      </c>
      <c r="R7722" s="894">
        <f t="shared" si="595"/>
        <v>0</v>
      </c>
    </row>
    <row r="7723" spans="1:18" s="904" customFormat="1">
      <c r="A7723" s="895"/>
      <c r="B7723" s="896"/>
      <c r="C7723" s="897"/>
      <c r="D7723" s="897"/>
      <c r="E7723" s="924" t="s">
        <v>276</v>
      </c>
      <c r="F7723" s="927"/>
      <c r="G7723" s="928"/>
      <c r="H7723" s="901"/>
      <c r="I7723" s="902"/>
      <c r="J7723" s="902"/>
      <c r="K7723" s="912" t="s">
        <v>274</v>
      </c>
      <c r="L7723" s="902"/>
      <c r="M7723" s="902"/>
      <c r="N7723" s="902"/>
      <c r="O7723" s="892">
        <f t="shared" si="592"/>
        <v>0</v>
      </c>
      <c r="P7723" s="903">
        <f t="shared" si="593"/>
        <v>1</v>
      </c>
      <c r="Q7723" s="893">
        <f t="shared" si="594"/>
        <v>2</v>
      </c>
      <c r="R7723" s="894">
        <f t="shared" si="595"/>
        <v>0</v>
      </c>
    </row>
    <row r="7724" spans="1:18">
      <c r="A7724" s="905"/>
      <c r="B7724" s="906"/>
      <c r="C7724" s="907">
        <v>745</v>
      </c>
      <c r="D7724" s="907" t="s">
        <v>12</v>
      </c>
      <c r="E7724" s="908" t="s">
        <v>5518</v>
      </c>
      <c r="F7724" s="909" t="s">
        <v>2674</v>
      </c>
      <c r="G7724" s="910"/>
      <c r="H7724" s="911">
        <v>5.61</v>
      </c>
      <c r="I7724" s="912"/>
      <c r="J7724" s="912"/>
      <c r="K7724" s="912">
        <f>VLOOKUP(E7724,[5]ĐMNC!$A$7:$F$67,4,0)</f>
        <v>240557</v>
      </c>
      <c r="L7724" s="912">
        <f>H7724*K7724</f>
        <v>1349524.77</v>
      </c>
      <c r="M7724" s="912"/>
      <c r="N7724" s="912"/>
      <c r="O7724" s="892">
        <f t="shared" si="592"/>
        <v>0</v>
      </c>
      <c r="P7724" s="903">
        <f t="shared" si="593"/>
        <v>1</v>
      </c>
      <c r="Q7724" s="893">
        <f t="shared" si="594"/>
        <v>1</v>
      </c>
      <c r="R7724" s="894">
        <f t="shared" si="595"/>
        <v>0</v>
      </c>
    </row>
    <row r="7725" spans="1:18" s="847" customFormat="1" ht="31.5">
      <c r="A7725" s="905"/>
      <c r="B7725" s="914" t="s">
        <v>1713</v>
      </c>
      <c r="C7725" s="915"/>
      <c r="D7725" s="915"/>
      <c r="E7725" s="916" t="s">
        <v>6182</v>
      </c>
      <c r="F7725" s="917" t="s">
        <v>6094</v>
      </c>
      <c r="G7725" s="918"/>
      <c r="H7725" s="919"/>
      <c r="I7725" s="920"/>
      <c r="J7725" s="891">
        <f>SUM(J7726:J7731)</f>
        <v>73000</v>
      </c>
      <c r="K7725" s="891"/>
      <c r="L7725" s="891">
        <f>SUM(L7726:L7731)</f>
        <v>1481831.12</v>
      </c>
      <c r="M7725" s="891"/>
      <c r="N7725" s="891">
        <f>SUM(N7726:N7731)</f>
        <v>0</v>
      </c>
      <c r="O7725" s="892">
        <f t="shared" si="592"/>
        <v>1</v>
      </c>
      <c r="P7725" s="903">
        <f t="shared" si="593"/>
        <v>0</v>
      </c>
      <c r="Q7725" s="893">
        <f t="shared" si="594"/>
        <v>0</v>
      </c>
      <c r="R7725" s="894">
        <f t="shared" si="595"/>
        <v>6</v>
      </c>
    </row>
    <row r="7726" spans="1:18" s="904" customFormat="1">
      <c r="A7726" s="895"/>
      <c r="B7726" s="896"/>
      <c r="C7726" s="897"/>
      <c r="D7726" s="897"/>
      <c r="E7726" s="898" t="s">
        <v>108</v>
      </c>
      <c r="F7726" s="899"/>
      <c r="G7726" s="928"/>
      <c r="H7726" s="901"/>
      <c r="I7726" s="902"/>
      <c r="J7726" s="902"/>
      <c r="K7726" s="912" t="s">
        <v>274</v>
      </c>
      <c r="L7726" s="902"/>
      <c r="M7726" s="902"/>
      <c r="N7726" s="902"/>
      <c r="O7726" s="892">
        <f t="shared" si="592"/>
        <v>0</v>
      </c>
      <c r="P7726" s="903">
        <f t="shared" si="593"/>
        <v>1</v>
      </c>
      <c r="Q7726" s="893">
        <f t="shared" si="594"/>
        <v>6</v>
      </c>
      <c r="R7726" s="894">
        <f t="shared" si="595"/>
        <v>0</v>
      </c>
    </row>
    <row r="7727" spans="1:18">
      <c r="A7727" s="905"/>
      <c r="B7727" s="906"/>
      <c r="C7727" s="907">
        <v>44</v>
      </c>
      <c r="D7727" s="907" t="s">
        <v>279</v>
      </c>
      <c r="E7727" s="925" t="s">
        <v>2681</v>
      </c>
      <c r="F7727" s="926" t="s">
        <v>45</v>
      </c>
      <c r="G7727" s="910"/>
      <c r="H7727" s="911">
        <v>2</v>
      </c>
      <c r="I7727" s="912">
        <f>VLOOKUP(E7727,[3]VLP!$B$7:$K$300,10,0)</f>
        <v>23000</v>
      </c>
      <c r="J7727" s="912">
        <f>I7727*H7727</f>
        <v>46000</v>
      </c>
      <c r="K7727" s="912" t="s">
        <v>274</v>
      </c>
      <c r="L7727" s="912"/>
      <c r="M7727" s="912"/>
      <c r="N7727" s="912"/>
      <c r="O7727" s="892">
        <f t="shared" si="592"/>
        <v>0</v>
      </c>
      <c r="P7727" s="903">
        <f t="shared" si="593"/>
        <v>1</v>
      </c>
      <c r="Q7727" s="893">
        <f t="shared" si="594"/>
        <v>5</v>
      </c>
      <c r="R7727" s="894">
        <f t="shared" si="595"/>
        <v>0</v>
      </c>
    </row>
    <row r="7728" spans="1:18">
      <c r="A7728" s="905"/>
      <c r="B7728" s="906"/>
      <c r="C7728" s="907">
        <v>66</v>
      </c>
      <c r="D7728" s="907" t="s">
        <v>279</v>
      </c>
      <c r="E7728" s="925" t="s">
        <v>2682</v>
      </c>
      <c r="F7728" s="926" t="s">
        <v>45</v>
      </c>
      <c r="G7728" s="910"/>
      <c r="H7728" s="911">
        <v>0.4</v>
      </c>
      <c r="I7728" s="912">
        <f>VLOOKUP(E7728,[3]VLP!$B$7:$K$300,10,0)</f>
        <v>5000</v>
      </c>
      <c r="J7728" s="912">
        <f>I7728*H7728</f>
        <v>2000</v>
      </c>
      <c r="K7728" s="912" t="s">
        <v>274</v>
      </c>
      <c r="L7728" s="912"/>
      <c r="M7728" s="912"/>
      <c r="N7728" s="912"/>
      <c r="O7728" s="892">
        <f t="shared" si="592"/>
        <v>0</v>
      </c>
      <c r="P7728" s="903">
        <f t="shared" si="593"/>
        <v>1</v>
      </c>
      <c r="Q7728" s="893">
        <f t="shared" si="594"/>
        <v>4</v>
      </c>
      <c r="R7728" s="894">
        <f t="shared" si="595"/>
        <v>0</v>
      </c>
    </row>
    <row r="7729" spans="1:18">
      <c r="A7729" s="905"/>
      <c r="B7729" s="906"/>
      <c r="C7729" s="907">
        <v>699</v>
      </c>
      <c r="D7729" s="907" t="s">
        <v>279</v>
      </c>
      <c r="E7729" s="925" t="s">
        <v>4006</v>
      </c>
      <c r="F7729" s="926" t="s">
        <v>4007</v>
      </c>
      <c r="G7729" s="910"/>
      <c r="H7729" s="911">
        <v>5</v>
      </c>
      <c r="I7729" s="912">
        <f>VLOOKUP(E7729,[3]VLP!$B$7:$K$300,10,0)</f>
        <v>5000</v>
      </c>
      <c r="J7729" s="912">
        <f>I7729*H7729</f>
        <v>25000</v>
      </c>
      <c r="K7729" s="912" t="s">
        <v>274</v>
      </c>
      <c r="L7729" s="912"/>
      <c r="M7729" s="912"/>
      <c r="N7729" s="912"/>
      <c r="O7729" s="892">
        <f t="shared" si="592"/>
        <v>0</v>
      </c>
      <c r="P7729" s="903">
        <f t="shared" si="593"/>
        <v>1</v>
      </c>
      <c r="Q7729" s="893">
        <f t="shared" si="594"/>
        <v>3</v>
      </c>
      <c r="R7729" s="894">
        <f t="shared" si="595"/>
        <v>0</v>
      </c>
    </row>
    <row r="7730" spans="1:18" s="904" customFormat="1">
      <c r="A7730" s="895"/>
      <c r="B7730" s="896"/>
      <c r="C7730" s="897"/>
      <c r="D7730" s="897"/>
      <c r="E7730" s="924" t="s">
        <v>276</v>
      </c>
      <c r="F7730" s="927"/>
      <c r="G7730" s="928"/>
      <c r="H7730" s="901"/>
      <c r="I7730" s="902"/>
      <c r="J7730" s="902"/>
      <c r="K7730" s="912" t="s">
        <v>274</v>
      </c>
      <c r="L7730" s="902"/>
      <c r="M7730" s="902"/>
      <c r="N7730" s="902"/>
      <c r="O7730" s="892">
        <f t="shared" si="592"/>
        <v>0</v>
      </c>
      <c r="P7730" s="903">
        <f t="shared" si="593"/>
        <v>1</v>
      </c>
      <c r="Q7730" s="893">
        <f t="shared" si="594"/>
        <v>2</v>
      </c>
      <c r="R7730" s="894">
        <f t="shared" si="595"/>
        <v>0</v>
      </c>
    </row>
    <row r="7731" spans="1:18">
      <c r="A7731" s="905"/>
      <c r="B7731" s="906"/>
      <c r="C7731" s="907">
        <v>745</v>
      </c>
      <c r="D7731" s="907" t="s">
        <v>12</v>
      </c>
      <c r="E7731" s="908" t="s">
        <v>5518</v>
      </c>
      <c r="F7731" s="909" t="s">
        <v>2674</v>
      </c>
      <c r="G7731" s="910"/>
      <c r="H7731" s="911">
        <v>6.16</v>
      </c>
      <c r="I7731" s="912"/>
      <c r="J7731" s="912"/>
      <c r="K7731" s="912">
        <f>VLOOKUP(E7731,[5]ĐMNC!$A$7:$F$67,4,0)</f>
        <v>240557</v>
      </c>
      <c r="L7731" s="912">
        <f>H7731*K7731</f>
        <v>1481831.12</v>
      </c>
      <c r="M7731" s="912"/>
      <c r="N7731" s="912"/>
      <c r="O7731" s="892">
        <f t="shared" si="592"/>
        <v>0</v>
      </c>
      <c r="P7731" s="903">
        <f t="shared" si="593"/>
        <v>1</v>
      </c>
      <c r="Q7731" s="893">
        <f t="shared" si="594"/>
        <v>1</v>
      </c>
      <c r="R7731" s="894">
        <f t="shared" si="595"/>
        <v>0</v>
      </c>
    </row>
    <row r="7732" spans="1:18" s="847" customFormat="1" ht="31.5">
      <c r="A7732" s="905"/>
      <c r="B7732" s="914" t="s">
        <v>1715</v>
      </c>
      <c r="C7732" s="915"/>
      <c r="D7732" s="915"/>
      <c r="E7732" s="916" t="s">
        <v>6183</v>
      </c>
      <c r="F7732" s="917" t="s">
        <v>6094</v>
      </c>
      <c r="G7732" s="918"/>
      <c r="H7732" s="919"/>
      <c r="I7732" s="920"/>
      <c r="J7732" s="891">
        <f>SUM(J7733:J7738)</f>
        <v>83550</v>
      </c>
      <c r="K7732" s="891"/>
      <c r="L7732" s="891">
        <f>SUM(L7733:L7738)</f>
        <v>1777716.23</v>
      </c>
      <c r="M7732" s="891"/>
      <c r="N7732" s="891">
        <f>SUM(N7733:N7738)</f>
        <v>0</v>
      </c>
      <c r="O7732" s="892">
        <f t="shared" si="592"/>
        <v>1</v>
      </c>
      <c r="P7732" s="903">
        <f t="shared" si="593"/>
        <v>0</v>
      </c>
      <c r="Q7732" s="893">
        <f t="shared" si="594"/>
        <v>0</v>
      </c>
      <c r="R7732" s="894">
        <f t="shared" si="595"/>
        <v>6</v>
      </c>
    </row>
    <row r="7733" spans="1:18" s="904" customFormat="1">
      <c r="A7733" s="895"/>
      <c r="B7733" s="896"/>
      <c r="C7733" s="897"/>
      <c r="D7733" s="897"/>
      <c r="E7733" s="898" t="s">
        <v>108</v>
      </c>
      <c r="F7733" s="899"/>
      <c r="G7733" s="928"/>
      <c r="H7733" s="901"/>
      <c r="I7733" s="902"/>
      <c r="J7733" s="902"/>
      <c r="K7733" s="912" t="s">
        <v>274</v>
      </c>
      <c r="L7733" s="902"/>
      <c r="M7733" s="902"/>
      <c r="N7733" s="902"/>
      <c r="O7733" s="892">
        <f t="shared" si="592"/>
        <v>0</v>
      </c>
      <c r="P7733" s="903">
        <f t="shared" si="593"/>
        <v>1</v>
      </c>
      <c r="Q7733" s="893">
        <f t="shared" si="594"/>
        <v>6</v>
      </c>
      <c r="R7733" s="894">
        <f t="shared" si="595"/>
        <v>0</v>
      </c>
    </row>
    <row r="7734" spans="1:18">
      <c r="A7734" s="905"/>
      <c r="B7734" s="906"/>
      <c r="C7734" s="907">
        <v>44</v>
      </c>
      <c r="D7734" s="907" t="s">
        <v>279</v>
      </c>
      <c r="E7734" s="925" t="s">
        <v>2681</v>
      </c>
      <c r="F7734" s="926" t="s">
        <v>45</v>
      </c>
      <c r="G7734" s="910"/>
      <c r="H7734" s="911">
        <v>2.4</v>
      </c>
      <c r="I7734" s="912">
        <f>VLOOKUP(E7734,[3]VLP!$B$7:$K$300,10,0)</f>
        <v>23000</v>
      </c>
      <c r="J7734" s="912">
        <f>I7734*H7734</f>
        <v>55200</v>
      </c>
      <c r="K7734" s="912" t="s">
        <v>274</v>
      </c>
      <c r="L7734" s="912"/>
      <c r="M7734" s="912"/>
      <c r="N7734" s="912"/>
      <c r="O7734" s="892">
        <f t="shared" si="592"/>
        <v>0</v>
      </c>
      <c r="P7734" s="903">
        <f t="shared" si="593"/>
        <v>1</v>
      </c>
      <c r="Q7734" s="893">
        <f t="shared" si="594"/>
        <v>5</v>
      </c>
      <c r="R7734" s="894">
        <f t="shared" si="595"/>
        <v>0</v>
      </c>
    </row>
    <row r="7735" spans="1:18">
      <c r="A7735" s="905"/>
      <c r="B7735" s="906"/>
      <c r="C7735" s="907">
        <v>66</v>
      </c>
      <c r="D7735" s="907" t="s">
        <v>279</v>
      </c>
      <c r="E7735" s="925" t="s">
        <v>2682</v>
      </c>
      <c r="F7735" s="926" t="s">
        <v>45</v>
      </c>
      <c r="G7735" s="910"/>
      <c r="H7735" s="911">
        <v>0.67</v>
      </c>
      <c r="I7735" s="912">
        <f>VLOOKUP(E7735,[3]VLP!$B$7:$K$300,10,0)</f>
        <v>5000</v>
      </c>
      <c r="J7735" s="912">
        <f>I7735*H7735</f>
        <v>3350</v>
      </c>
      <c r="K7735" s="912" t="s">
        <v>274</v>
      </c>
      <c r="L7735" s="912"/>
      <c r="M7735" s="912"/>
      <c r="N7735" s="912"/>
      <c r="O7735" s="892">
        <f t="shared" si="592"/>
        <v>0</v>
      </c>
      <c r="P7735" s="903">
        <f t="shared" si="593"/>
        <v>1</v>
      </c>
      <c r="Q7735" s="893">
        <f t="shared" si="594"/>
        <v>4</v>
      </c>
      <c r="R7735" s="894">
        <f t="shared" si="595"/>
        <v>0</v>
      </c>
    </row>
    <row r="7736" spans="1:18">
      <c r="A7736" s="905"/>
      <c r="B7736" s="906"/>
      <c r="C7736" s="907">
        <v>699</v>
      </c>
      <c r="D7736" s="907" t="s">
        <v>279</v>
      </c>
      <c r="E7736" s="925" t="s">
        <v>4006</v>
      </c>
      <c r="F7736" s="926" t="s">
        <v>4007</v>
      </c>
      <c r="G7736" s="910"/>
      <c r="H7736" s="911">
        <v>5</v>
      </c>
      <c r="I7736" s="912">
        <f>VLOOKUP(E7736,[3]VLP!$B$7:$K$300,10,0)</f>
        <v>5000</v>
      </c>
      <c r="J7736" s="912">
        <f>I7736*H7736</f>
        <v>25000</v>
      </c>
      <c r="K7736" s="912" t="s">
        <v>274</v>
      </c>
      <c r="L7736" s="912"/>
      <c r="M7736" s="912"/>
      <c r="N7736" s="912"/>
      <c r="O7736" s="892">
        <f t="shared" si="592"/>
        <v>0</v>
      </c>
      <c r="P7736" s="903">
        <f t="shared" si="593"/>
        <v>1</v>
      </c>
      <c r="Q7736" s="893">
        <f t="shared" si="594"/>
        <v>3</v>
      </c>
      <c r="R7736" s="894">
        <f t="shared" si="595"/>
        <v>0</v>
      </c>
    </row>
    <row r="7737" spans="1:18" s="904" customFormat="1">
      <c r="A7737" s="895"/>
      <c r="B7737" s="896"/>
      <c r="C7737" s="897"/>
      <c r="D7737" s="897"/>
      <c r="E7737" s="924" t="s">
        <v>276</v>
      </c>
      <c r="F7737" s="927"/>
      <c r="G7737" s="928"/>
      <c r="H7737" s="901"/>
      <c r="I7737" s="902"/>
      <c r="J7737" s="902"/>
      <c r="K7737" s="912" t="s">
        <v>274</v>
      </c>
      <c r="L7737" s="902"/>
      <c r="M7737" s="902"/>
      <c r="N7737" s="902"/>
      <c r="O7737" s="892">
        <f t="shared" si="592"/>
        <v>0</v>
      </c>
      <c r="P7737" s="903">
        <f t="shared" si="593"/>
        <v>1</v>
      </c>
      <c r="Q7737" s="893">
        <f t="shared" si="594"/>
        <v>2</v>
      </c>
      <c r="R7737" s="894">
        <f t="shared" si="595"/>
        <v>0</v>
      </c>
    </row>
    <row r="7738" spans="1:18">
      <c r="A7738" s="905"/>
      <c r="B7738" s="906"/>
      <c r="C7738" s="907">
        <v>745</v>
      </c>
      <c r="D7738" s="907" t="s">
        <v>12</v>
      </c>
      <c r="E7738" s="908" t="s">
        <v>5518</v>
      </c>
      <c r="F7738" s="909" t="s">
        <v>2674</v>
      </c>
      <c r="G7738" s="910"/>
      <c r="H7738" s="911">
        <v>7.39</v>
      </c>
      <c r="I7738" s="912"/>
      <c r="J7738" s="912"/>
      <c r="K7738" s="912">
        <f>VLOOKUP(E7738,[5]ĐMNC!$A$7:$F$67,4,0)</f>
        <v>240557</v>
      </c>
      <c r="L7738" s="912">
        <f>H7738*K7738</f>
        <v>1777716.23</v>
      </c>
      <c r="M7738" s="912"/>
      <c r="N7738" s="912"/>
      <c r="O7738" s="892">
        <f t="shared" si="592"/>
        <v>0</v>
      </c>
      <c r="P7738" s="903">
        <f t="shared" si="593"/>
        <v>1</v>
      </c>
      <c r="Q7738" s="893">
        <f t="shared" si="594"/>
        <v>1</v>
      </c>
      <c r="R7738" s="894">
        <f t="shared" si="595"/>
        <v>0</v>
      </c>
    </row>
    <row r="7739" spans="1:18" s="847" customFormat="1" ht="31.5">
      <c r="A7739" s="905" t="s">
        <v>6174</v>
      </c>
      <c r="B7739" s="914" t="s">
        <v>1717</v>
      </c>
      <c r="C7739" s="915"/>
      <c r="D7739" s="915"/>
      <c r="E7739" s="916" t="s">
        <v>6184</v>
      </c>
      <c r="F7739" s="917" t="s">
        <v>6094</v>
      </c>
      <c r="G7739" s="918"/>
      <c r="H7739" s="919"/>
      <c r="I7739" s="920"/>
      <c r="J7739" s="891">
        <f>SUM(J7740:J7745)</f>
        <v>61000</v>
      </c>
      <c r="K7739" s="891"/>
      <c r="L7739" s="891">
        <f>SUM(L7740:L7745)</f>
        <v>1111373.3400000001</v>
      </c>
      <c r="M7739" s="891"/>
      <c r="N7739" s="891">
        <f>SUM(N7740:N7745)</f>
        <v>0</v>
      </c>
      <c r="O7739" s="892">
        <f t="shared" si="592"/>
        <v>1</v>
      </c>
      <c r="P7739" s="903">
        <f t="shared" si="593"/>
        <v>0</v>
      </c>
      <c r="Q7739" s="893">
        <f t="shared" si="594"/>
        <v>0</v>
      </c>
      <c r="R7739" s="894">
        <f t="shared" si="595"/>
        <v>6</v>
      </c>
    </row>
    <row r="7740" spans="1:18" s="904" customFormat="1">
      <c r="A7740" s="895"/>
      <c r="B7740" s="896"/>
      <c r="C7740" s="897"/>
      <c r="D7740" s="897"/>
      <c r="E7740" s="898" t="s">
        <v>108</v>
      </c>
      <c r="F7740" s="899"/>
      <c r="G7740" s="928"/>
      <c r="H7740" s="901"/>
      <c r="I7740" s="902"/>
      <c r="J7740" s="902"/>
      <c r="K7740" s="912" t="s">
        <v>274</v>
      </c>
      <c r="L7740" s="902"/>
      <c r="M7740" s="902"/>
      <c r="N7740" s="902"/>
      <c r="O7740" s="892">
        <f t="shared" si="592"/>
        <v>0</v>
      </c>
      <c r="P7740" s="903">
        <f t="shared" si="593"/>
        <v>1</v>
      </c>
      <c r="Q7740" s="893">
        <f t="shared" si="594"/>
        <v>6</v>
      </c>
      <c r="R7740" s="894">
        <f t="shared" si="595"/>
        <v>0</v>
      </c>
    </row>
    <row r="7741" spans="1:18">
      <c r="A7741" s="905"/>
      <c r="B7741" s="906"/>
      <c r="C7741" s="907">
        <v>44</v>
      </c>
      <c r="D7741" s="907" t="s">
        <v>279</v>
      </c>
      <c r="E7741" s="925" t="s">
        <v>2681</v>
      </c>
      <c r="F7741" s="926" t="s">
        <v>45</v>
      </c>
      <c r="G7741" s="910"/>
      <c r="H7741" s="911">
        <v>1.5</v>
      </c>
      <c r="I7741" s="912">
        <f>VLOOKUP(E7741,[3]VLP!$B$7:$K$300,10,0)</f>
        <v>23000</v>
      </c>
      <c r="J7741" s="912">
        <f>I7741*H7741</f>
        <v>34500</v>
      </c>
      <c r="K7741" s="912" t="s">
        <v>274</v>
      </c>
      <c r="L7741" s="912"/>
      <c r="M7741" s="912"/>
      <c r="N7741" s="912"/>
      <c r="O7741" s="892">
        <f t="shared" si="592"/>
        <v>0</v>
      </c>
      <c r="P7741" s="903">
        <f t="shared" si="593"/>
        <v>1</v>
      </c>
      <c r="Q7741" s="893">
        <f t="shared" si="594"/>
        <v>5</v>
      </c>
      <c r="R7741" s="894">
        <f t="shared" si="595"/>
        <v>0</v>
      </c>
    </row>
    <row r="7742" spans="1:18">
      <c r="A7742" s="905"/>
      <c r="B7742" s="906"/>
      <c r="C7742" s="907">
        <v>66</v>
      </c>
      <c r="D7742" s="907" t="s">
        <v>279</v>
      </c>
      <c r="E7742" s="925" t="s">
        <v>2682</v>
      </c>
      <c r="F7742" s="926" t="s">
        <v>45</v>
      </c>
      <c r="G7742" s="910"/>
      <c r="H7742" s="911">
        <v>0.3</v>
      </c>
      <c r="I7742" s="912">
        <f>VLOOKUP(E7742,[3]VLP!$B$7:$K$300,10,0)</f>
        <v>5000</v>
      </c>
      <c r="J7742" s="912">
        <f>I7742*H7742</f>
        <v>1500</v>
      </c>
      <c r="K7742" s="912" t="s">
        <v>274</v>
      </c>
      <c r="L7742" s="912"/>
      <c r="M7742" s="912"/>
      <c r="N7742" s="912"/>
      <c r="O7742" s="892">
        <f t="shared" si="592"/>
        <v>0</v>
      </c>
      <c r="P7742" s="903">
        <f t="shared" si="593"/>
        <v>1</v>
      </c>
      <c r="Q7742" s="893">
        <f t="shared" si="594"/>
        <v>4</v>
      </c>
      <c r="R7742" s="894">
        <f t="shared" si="595"/>
        <v>0</v>
      </c>
    </row>
    <row r="7743" spans="1:18">
      <c r="A7743" s="905"/>
      <c r="B7743" s="906"/>
      <c r="C7743" s="907">
        <v>699</v>
      </c>
      <c r="D7743" s="907" t="s">
        <v>279</v>
      </c>
      <c r="E7743" s="925" t="s">
        <v>4006</v>
      </c>
      <c r="F7743" s="926" t="s">
        <v>4007</v>
      </c>
      <c r="G7743" s="910"/>
      <c r="H7743" s="911">
        <v>5</v>
      </c>
      <c r="I7743" s="912">
        <f>VLOOKUP(E7743,[3]VLP!$B$7:$K$300,10,0)</f>
        <v>5000</v>
      </c>
      <c r="J7743" s="912">
        <f>I7743*H7743</f>
        <v>25000</v>
      </c>
      <c r="K7743" s="912" t="s">
        <v>274</v>
      </c>
      <c r="L7743" s="912"/>
      <c r="M7743" s="912"/>
      <c r="N7743" s="912"/>
      <c r="O7743" s="892">
        <f t="shared" si="592"/>
        <v>0</v>
      </c>
      <c r="P7743" s="903">
        <f t="shared" si="593"/>
        <v>1</v>
      </c>
      <c r="Q7743" s="893">
        <f t="shared" si="594"/>
        <v>3</v>
      </c>
      <c r="R7743" s="894">
        <f t="shared" si="595"/>
        <v>0</v>
      </c>
    </row>
    <row r="7744" spans="1:18" s="904" customFormat="1">
      <c r="A7744" s="895"/>
      <c r="B7744" s="896"/>
      <c r="C7744" s="897"/>
      <c r="D7744" s="897"/>
      <c r="E7744" s="924" t="s">
        <v>276</v>
      </c>
      <c r="F7744" s="927"/>
      <c r="G7744" s="928"/>
      <c r="H7744" s="901"/>
      <c r="I7744" s="902"/>
      <c r="J7744" s="902"/>
      <c r="K7744" s="912" t="s">
        <v>274</v>
      </c>
      <c r="L7744" s="902"/>
      <c r="M7744" s="902"/>
      <c r="N7744" s="902"/>
      <c r="O7744" s="892">
        <f t="shared" si="592"/>
        <v>0</v>
      </c>
      <c r="P7744" s="903">
        <f t="shared" si="593"/>
        <v>1</v>
      </c>
      <c r="Q7744" s="893">
        <f t="shared" si="594"/>
        <v>2</v>
      </c>
      <c r="R7744" s="894">
        <f t="shared" si="595"/>
        <v>0</v>
      </c>
    </row>
    <row r="7745" spans="1:18">
      <c r="A7745" s="905"/>
      <c r="B7745" s="906"/>
      <c r="C7745" s="907">
        <v>745</v>
      </c>
      <c r="D7745" s="907" t="s">
        <v>12</v>
      </c>
      <c r="E7745" s="908" t="s">
        <v>5518</v>
      </c>
      <c r="F7745" s="909" t="s">
        <v>2674</v>
      </c>
      <c r="G7745" s="910"/>
      <c r="H7745" s="911">
        <v>4.62</v>
      </c>
      <c r="I7745" s="912"/>
      <c r="J7745" s="912"/>
      <c r="K7745" s="912">
        <f>VLOOKUP(E7745,[5]ĐMNC!$A$7:$F$67,4,0)</f>
        <v>240557</v>
      </c>
      <c r="L7745" s="912">
        <f>H7745*K7745</f>
        <v>1111373.3400000001</v>
      </c>
      <c r="M7745" s="912"/>
      <c r="N7745" s="912"/>
      <c r="O7745" s="892">
        <f t="shared" si="592"/>
        <v>0</v>
      </c>
      <c r="P7745" s="903">
        <f t="shared" si="593"/>
        <v>1</v>
      </c>
      <c r="Q7745" s="893">
        <f t="shared" si="594"/>
        <v>1</v>
      </c>
      <c r="R7745" s="894">
        <f t="shared" si="595"/>
        <v>0</v>
      </c>
    </row>
    <row r="7746" spans="1:18" s="847" customFormat="1" ht="31.5">
      <c r="A7746" s="905"/>
      <c r="B7746" s="914" t="s">
        <v>1719</v>
      </c>
      <c r="C7746" s="915"/>
      <c r="D7746" s="915"/>
      <c r="E7746" s="916" t="s">
        <v>6185</v>
      </c>
      <c r="F7746" s="917" t="s">
        <v>6094</v>
      </c>
      <c r="G7746" s="918"/>
      <c r="H7746" s="919"/>
      <c r="I7746" s="920"/>
      <c r="J7746" s="891">
        <f>SUM(J7747:J7752)</f>
        <v>61000</v>
      </c>
      <c r="K7746" s="891"/>
      <c r="L7746" s="891">
        <f>SUM(L7747:L7752)</f>
        <v>1207596.1399999999</v>
      </c>
      <c r="M7746" s="891"/>
      <c r="N7746" s="891">
        <f>SUM(N7747:N7752)</f>
        <v>0</v>
      </c>
      <c r="O7746" s="892">
        <f t="shared" si="592"/>
        <v>1</v>
      </c>
      <c r="P7746" s="903">
        <f t="shared" si="593"/>
        <v>0</v>
      </c>
      <c r="Q7746" s="893">
        <f t="shared" si="594"/>
        <v>0</v>
      </c>
      <c r="R7746" s="894">
        <f t="shared" si="595"/>
        <v>6</v>
      </c>
    </row>
    <row r="7747" spans="1:18" s="904" customFormat="1">
      <c r="A7747" s="895"/>
      <c r="B7747" s="896"/>
      <c r="C7747" s="897"/>
      <c r="D7747" s="897"/>
      <c r="E7747" s="898" t="s">
        <v>108</v>
      </c>
      <c r="F7747" s="899"/>
      <c r="G7747" s="928"/>
      <c r="H7747" s="901"/>
      <c r="I7747" s="902"/>
      <c r="J7747" s="902"/>
      <c r="K7747" s="912" t="s">
        <v>274</v>
      </c>
      <c r="L7747" s="902"/>
      <c r="M7747" s="902"/>
      <c r="N7747" s="902"/>
      <c r="O7747" s="892">
        <f t="shared" si="592"/>
        <v>0</v>
      </c>
      <c r="P7747" s="903">
        <f t="shared" si="593"/>
        <v>1</v>
      </c>
      <c r="Q7747" s="893">
        <f t="shared" si="594"/>
        <v>6</v>
      </c>
      <c r="R7747" s="894">
        <f t="shared" si="595"/>
        <v>0</v>
      </c>
    </row>
    <row r="7748" spans="1:18">
      <c r="A7748" s="905"/>
      <c r="B7748" s="906"/>
      <c r="C7748" s="907">
        <v>44</v>
      </c>
      <c r="D7748" s="907" t="s">
        <v>279</v>
      </c>
      <c r="E7748" s="925" t="s">
        <v>2681</v>
      </c>
      <c r="F7748" s="926" t="s">
        <v>45</v>
      </c>
      <c r="G7748" s="910"/>
      <c r="H7748" s="911">
        <v>1.5</v>
      </c>
      <c r="I7748" s="912">
        <f>VLOOKUP(E7748,[3]VLP!$B$7:$K$300,10,0)</f>
        <v>23000</v>
      </c>
      <c r="J7748" s="912">
        <f>I7748*H7748</f>
        <v>34500</v>
      </c>
      <c r="K7748" s="912" t="s">
        <v>274</v>
      </c>
      <c r="L7748" s="912"/>
      <c r="M7748" s="912"/>
      <c r="N7748" s="912"/>
      <c r="O7748" s="892">
        <f t="shared" si="592"/>
        <v>0</v>
      </c>
      <c r="P7748" s="903">
        <f t="shared" si="593"/>
        <v>1</v>
      </c>
      <c r="Q7748" s="893">
        <f t="shared" si="594"/>
        <v>5</v>
      </c>
      <c r="R7748" s="894">
        <f t="shared" si="595"/>
        <v>0</v>
      </c>
    </row>
    <row r="7749" spans="1:18">
      <c r="A7749" s="905"/>
      <c r="B7749" s="906"/>
      <c r="C7749" s="907">
        <v>66</v>
      </c>
      <c r="D7749" s="907" t="s">
        <v>279</v>
      </c>
      <c r="E7749" s="925" t="s">
        <v>2682</v>
      </c>
      <c r="F7749" s="926" t="s">
        <v>45</v>
      </c>
      <c r="G7749" s="910"/>
      <c r="H7749" s="911">
        <v>0.3</v>
      </c>
      <c r="I7749" s="912">
        <f>VLOOKUP(E7749,[3]VLP!$B$7:$K$300,10,0)</f>
        <v>5000</v>
      </c>
      <c r="J7749" s="912">
        <f>I7749*H7749</f>
        <v>1500</v>
      </c>
      <c r="K7749" s="912" t="s">
        <v>274</v>
      </c>
      <c r="L7749" s="912"/>
      <c r="M7749" s="912"/>
      <c r="N7749" s="912"/>
      <c r="O7749" s="892">
        <f t="shared" si="592"/>
        <v>0</v>
      </c>
      <c r="P7749" s="903">
        <f t="shared" si="593"/>
        <v>1</v>
      </c>
      <c r="Q7749" s="893">
        <f t="shared" si="594"/>
        <v>4</v>
      </c>
      <c r="R7749" s="894">
        <f t="shared" si="595"/>
        <v>0</v>
      </c>
    </row>
    <row r="7750" spans="1:18">
      <c r="A7750" s="905"/>
      <c r="B7750" s="906"/>
      <c r="C7750" s="907">
        <v>699</v>
      </c>
      <c r="D7750" s="907" t="s">
        <v>279</v>
      </c>
      <c r="E7750" s="925" t="s">
        <v>4006</v>
      </c>
      <c r="F7750" s="926" t="s">
        <v>4007</v>
      </c>
      <c r="G7750" s="910"/>
      <c r="H7750" s="911">
        <v>5</v>
      </c>
      <c r="I7750" s="912">
        <f>VLOOKUP(E7750,[3]VLP!$B$7:$K$300,10,0)</f>
        <v>5000</v>
      </c>
      <c r="J7750" s="912">
        <f>I7750*H7750</f>
        <v>25000</v>
      </c>
      <c r="K7750" s="912" t="s">
        <v>274</v>
      </c>
      <c r="L7750" s="912"/>
      <c r="M7750" s="912"/>
      <c r="N7750" s="912"/>
      <c r="O7750" s="892">
        <f t="shared" si="592"/>
        <v>0</v>
      </c>
      <c r="P7750" s="903">
        <f t="shared" si="593"/>
        <v>1</v>
      </c>
      <c r="Q7750" s="893">
        <f t="shared" si="594"/>
        <v>3</v>
      </c>
      <c r="R7750" s="894">
        <f t="shared" si="595"/>
        <v>0</v>
      </c>
    </row>
    <row r="7751" spans="1:18" s="904" customFormat="1">
      <c r="A7751" s="895"/>
      <c r="B7751" s="896"/>
      <c r="C7751" s="897"/>
      <c r="D7751" s="897"/>
      <c r="E7751" s="924" t="s">
        <v>276</v>
      </c>
      <c r="F7751" s="927"/>
      <c r="G7751" s="928"/>
      <c r="H7751" s="901"/>
      <c r="I7751" s="902"/>
      <c r="J7751" s="902"/>
      <c r="K7751" s="912" t="s">
        <v>274</v>
      </c>
      <c r="L7751" s="902"/>
      <c r="M7751" s="902"/>
      <c r="N7751" s="902"/>
      <c r="O7751" s="892">
        <f t="shared" si="592"/>
        <v>0</v>
      </c>
      <c r="P7751" s="903">
        <f t="shared" si="593"/>
        <v>1</v>
      </c>
      <c r="Q7751" s="893">
        <f t="shared" si="594"/>
        <v>2</v>
      </c>
      <c r="R7751" s="894">
        <f t="shared" si="595"/>
        <v>0</v>
      </c>
    </row>
    <row r="7752" spans="1:18">
      <c r="A7752" s="905"/>
      <c r="B7752" s="906"/>
      <c r="C7752" s="907">
        <v>745</v>
      </c>
      <c r="D7752" s="907" t="s">
        <v>12</v>
      </c>
      <c r="E7752" s="908" t="s">
        <v>5518</v>
      </c>
      <c r="F7752" s="909" t="s">
        <v>2674</v>
      </c>
      <c r="G7752" s="910"/>
      <c r="H7752" s="911">
        <v>5.0199999999999996</v>
      </c>
      <c r="I7752" s="912"/>
      <c r="J7752" s="912"/>
      <c r="K7752" s="912">
        <f>VLOOKUP(E7752,[5]ĐMNC!$A$7:$F$67,4,0)</f>
        <v>240557</v>
      </c>
      <c r="L7752" s="912">
        <f>H7752*K7752</f>
        <v>1207596.1399999999</v>
      </c>
      <c r="M7752" s="912"/>
      <c r="N7752" s="912"/>
      <c r="O7752" s="892">
        <f t="shared" si="592"/>
        <v>0</v>
      </c>
      <c r="P7752" s="903">
        <f t="shared" si="593"/>
        <v>1</v>
      </c>
      <c r="Q7752" s="893">
        <f t="shared" si="594"/>
        <v>1</v>
      </c>
      <c r="R7752" s="894">
        <f t="shared" si="595"/>
        <v>0</v>
      </c>
    </row>
    <row r="7753" spans="1:18" s="847" customFormat="1" ht="31.5">
      <c r="A7753" s="905"/>
      <c r="B7753" s="914" t="s">
        <v>1721</v>
      </c>
      <c r="C7753" s="915"/>
      <c r="D7753" s="915"/>
      <c r="E7753" s="916" t="s">
        <v>6186</v>
      </c>
      <c r="F7753" s="917" t="s">
        <v>6094</v>
      </c>
      <c r="G7753" s="918"/>
      <c r="H7753" s="919"/>
      <c r="I7753" s="920"/>
      <c r="J7753" s="891">
        <f>SUM(J7754:J7759)</f>
        <v>61000</v>
      </c>
      <c r="K7753" s="891"/>
      <c r="L7753" s="891">
        <f>SUM(L7754:L7759)</f>
        <v>1344713.63</v>
      </c>
      <c r="M7753" s="891"/>
      <c r="N7753" s="891">
        <f>SUM(N7754:N7759)</f>
        <v>0</v>
      </c>
      <c r="O7753" s="892">
        <f t="shared" si="592"/>
        <v>1</v>
      </c>
      <c r="P7753" s="903">
        <f t="shared" si="593"/>
        <v>0</v>
      </c>
      <c r="Q7753" s="893">
        <f t="shared" si="594"/>
        <v>0</v>
      </c>
      <c r="R7753" s="894">
        <f t="shared" si="595"/>
        <v>6</v>
      </c>
    </row>
    <row r="7754" spans="1:18" s="904" customFormat="1">
      <c r="A7754" s="895"/>
      <c r="B7754" s="896"/>
      <c r="C7754" s="897"/>
      <c r="D7754" s="897"/>
      <c r="E7754" s="898" t="s">
        <v>108</v>
      </c>
      <c r="F7754" s="899"/>
      <c r="G7754" s="928"/>
      <c r="H7754" s="901"/>
      <c r="I7754" s="902"/>
      <c r="J7754" s="902"/>
      <c r="K7754" s="912" t="s">
        <v>274</v>
      </c>
      <c r="L7754" s="902"/>
      <c r="M7754" s="902"/>
      <c r="N7754" s="902"/>
      <c r="O7754" s="892">
        <f t="shared" si="592"/>
        <v>0</v>
      </c>
      <c r="P7754" s="903">
        <f t="shared" si="593"/>
        <v>1</v>
      </c>
      <c r="Q7754" s="893">
        <f t="shared" si="594"/>
        <v>6</v>
      </c>
      <c r="R7754" s="894">
        <f t="shared" si="595"/>
        <v>0</v>
      </c>
    </row>
    <row r="7755" spans="1:18">
      <c r="A7755" s="905"/>
      <c r="B7755" s="906"/>
      <c r="C7755" s="907">
        <v>44</v>
      </c>
      <c r="D7755" s="907" t="s">
        <v>279</v>
      </c>
      <c r="E7755" s="925" t="s">
        <v>2681</v>
      </c>
      <c r="F7755" s="926" t="s">
        <v>45</v>
      </c>
      <c r="G7755" s="910"/>
      <c r="H7755" s="911">
        <v>1.5</v>
      </c>
      <c r="I7755" s="912">
        <f>VLOOKUP(E7755,[3]VLP!$B$7:$K$300,10,0)</f>
        <v>23000</v>
      </c>
      <c r="J7755" s="912">
        <f>I7755*H7755</f>
        <v>34500</v>
      </c>
      <c r="K7755" s="912" t="s">
        <v>274</v>
      </c>
      <c r="L7755" s="912"/>
      <c r="M7755" s="912"/>
      <c r="N7755" s="912"/>
      <c r="O7755" s="892">
        <f t="shared" si="592"/>
        <v>0</v>
      </c>
      <c r="P7755" s="903">
        <f t="shared" si="593"/>
        <v>1</v>
      </c>
      <c r="Q7755" s="893">
        <f t="shared" si="594"/>
        <v>5</v>
      </c>
      <c r="R7755" s="894">
        <f t="shared" si="595"/>
        <v>0</v>
      </c>
    </row>
    <row r="7756" spans="1:18">
      <c r="A7756" s="905"/>
      <c r="B7756" s="906"/>
      <c r="C7756" s="907">
        <v>66</v>
      </c>
      <c r="D7756" s="907" t="s">
        <v>279</v>
      </c>
      <c r="E7756" s="925" t="s">
        <v>2682</v>
      </c>
      <c r="F7756" s="926" t="s">
        <v>45</v>
      </c>
      <c r="G7756" s="910"/>
      <c r="H7756" s="911">
        <v>0.3</v>
      </c>
      <c r="I7756" s="912">
        <f>VLOOKUP(E7756,[3]VLP!$B$7:$K$300,10,0)</f>
        <v>5000</v>
      </c>
      <c r="J7756" s="912">
        <f>I7756*H7756</f>
        <v>1500</v>
      </c>
      <c r="K7756" s="912" t="s">
        <v>274</v>
      </c>
      <c r="L7756" s="912"/>
      <c r="M7756" s="912"/>
      <c r="N7756" s="912"/>
      <c r="O7756" s="892">
        <f t="shared" si="592"/>
        <v>0</v>
      </c>
      <c r="P7756" s="903">
        <f t="shared" si="593"/>
        <v>1</v>
      </c>
      <c r="Q7756" s="893">
        <f t="shared" si="594"/>
        <v>4</v>
      </c>
      <c r="R7756" s="894">
        <f t="shared" si="595"/>
        <v>0</v>
      </c>
    </row>
    <row r="7757" spans="1:18">
      <c r="A7757" s="905"/>
      <c r="B7757" s="906"/>
      <c r="C7757" s="907">
        <v>699</v>
      </c>
      <c r="D7757" s="907" t="s">
        <v>279</v>
      </c>
      <c r="E7757" s="925" t="s">
        <v>4006</v>
      </c>
      <c r="F7757" s="926" t="s">
        <v>4007</v>
      </c>
      <c r="G7757" s="910"/>
      <c r="H7757" s="911">
        <v>5</v>
      </c>
      <c r="I7757" s="912">
        <f>VLOOKUP(E7757,[3]VLP!$B$7:$K$300,10,0)</f>
        <v>5000</v>
      </c>
      <c r="J7757" s="912">
        <f>I7757*H7757</f>
        <v>25000</v>
      </c>
      <c r="K7757" s="912" t="s">
        <v>274</v>
      </c>
      <c r="L7757" s="912"/>
      <c r="M7757" s="912"/>
      <c r="N7757" s="912"/>
      <c r="O7757" s="892">
        <f t="shared" si="592"/>
        <v>0</v>
      </c>
      <c r="P7757" s="903">
        <f t="shared" si="593"/>
        <v>1</v>
      </c>
      <c r="Q7757" s="893">
        <f t="shared" si="594"/>
        <v>3</v>
      </c>
      <c r="R7757" s="894">
        <f t="shared" si="595"/>
        <v>0</v>
      </c>
    </row>
    <row r="7758" spans="1:18" s="904" customFormat="1">
      <c r="A7758" s="895"/>
      <c r="B7758" s="896"/>
      <c r="C7758" s="897"/>
      <c r="D7758" s="897"/>
      <c r="E7758" s="924" t="s">
        <v>276</v>
      </c>
      <c r="F7758" s="927"/>
      <c r="G7758" s="928"/>
      <c r="H7758" s="901"/>
      <c r="I7758" s="902"/>
      <c r="J7758" s="902"/>
      <c r="K7758" s="912" t="s">
        <v>274</v>
      </c>
      <c r="L7758" s="902"/>
      <c r="M7758" s="902"/>
      <c r="N7758" s="902"/>
      <c r="O7758" s="892">
        <f t="shared" si="592"/>
        <v>0</v>
      </c>
      <c r="P7758" s="903">
        <f t="shared" si="593"/>
        <v>1</v>
      </c>
      <c r="Q7758" s="893">
        <f t="shared" si="594"/>
        <v>2</v>
      </c>
      <c r="R7758" s="894">
        <f t="shared" si="595"/>
        <v>0</v>
      </c>
    </row>
    <row r="7759" spans="1:18">
      <c r="A7759" s="905"/>
      <c r="B7759" s="906"/>
      <c r="C7759" s="907">
        <v>745</v>
      </c>
      <c r="D7759" s="907" t="s">
        <v>12</v>
      </c>
      <c r="E7759" s="908" t="s">
        <v>5518</v>
      </c>
      <c r="F7759" s="909" t="s">
        <v>2674</v>
      </c>
      <c r="G7759" s="910"/>
      <c r="H7759" s="911">
        <v>5.59</v>
      </c>
      <c r="I7759" s="912"/>
      <c r="J7759" s="912"/>
      <c r="K7759" s="912">
        <f>VLOOKUP(E7759,[5]ĐMNC!$A$7:$F$67,4,0)</f>
        <v>240557</v>
      </c>
      <c r="L7759" s="912">
        <f>H7759*K7759</f>
        <v>1344713.63</v>
      </c>
      <c r="M7759" s="912"/>
      <c r="N7759" s="912"/>
      <c r="O7759" s="892">
        <f t="shared" si="592"/>
        <v>0</v>
      </c>
      <c r="P7759" s="903">
        <f t="shared" si="593"/>
        <v>1</v>
      </c>
      <c r="Q7759" s="893">
        <f t="shared" si="594"/>
        <v>1</v>
      </c>
      <c r="R7759" s="894">
        <f t="shared" si="595"/>
        <v>0</v>
      </c>
    </row>
    <row r="7760" spans="1:18" s="847" customFormat="1" ht="31.5">
      <c r="A7760" s="905"/>
      <c r="B7760" s="914" t="s">
        <v>1723</v>
      </c>
      <c r="C7760" s="915"/>
      <c r="D7760" s="915"/>
      <c r="E7760" s="916" t="s">
        <v>6187</v>
      </c>
      <c r="F7760" s="917" t="s">
        <v>6094</v>
      </c>
      <c r="G7760" s="918"/>
      <c r="H7760" s="919"/>
      <c r="I7760" s="920"/>
      <c r="J7760" s="891">
        <f>SUM(J7761:J7766)</f>
        <v>73000</v>
      </c>
      <c r="K7760" s="891"/>
      <c r="L7760" s="891">
        <f>SUM(L7761:L7766)</f>
        <v>1481831.12</v>
      </c>
      <c r="M7760" s="891"/>
      <c r="N7760" s="891">
        <f>SUM(N7761:N7766)</f>
        <v>0</v>
      </c>
      <c r="O7760" s="892">
        <f t="shared" si="592"/>
        <v>1</v>
      </c>
      <c r="P7760" s="903">
        <f t="shared" si="593"/>
        <v>0</v>
      </c>
      <c r="Q7760" s="893">
        <f t="shared" si="594"/>
        <v>0</v>
      </c>
      <c r="R7760" s="894">
        <f t="shared" si="595"/>
        <v>6</v>
      </c>
    </row>
    <row r="7761" spans="1:18" s="904" customFormat="1">
      <c r="A7761" s="895"/>
      <c r="B7761" s="896"/>
      <c r="C7761" s="897"/>
      <c r="D7761" s="897"/>
      <c r="E7761" s="898" t="s">
        <v>108</v>
      </c>
      <c r="F7761" s="899"/>
      <c r="G7761" s="928"/>
      <c r="H7761" s="901"/>
      <c r="I7761" s="902"/>
      <c r="J7761" s="902"/>
      <c r="K7761" s="912" t="s">
        <v>274</v>
      </c>
      <c r="L7761" s="902"/>
      <c r="M7761" s="902"/>
      <c r="N7761" s="902"/>
      <c r="O7761" s="892">
        <f t="shared" si="592"/>
        <v>0</v>
      </c>
      <c r="P7761" s="903">
        <f t="shared" si="593"/>
        <v>1</v>
      </c>
      <c r="Q7761" s="893">
        <f t="shared" si="594"/>
        <v>6</v>
      </c>
      <c r="R7761" s="894">
        <f t="shared" si="595"/>
        <v>0</v>
      </c>
    </row>
    <row r="7762" spans="1:18">
      <c r="A7762" s="905"/>
      <c r="B7762" s="906"/>
      <c r="C7762" s="907">
        <v>44</v>
      </c>
      <c r="D7762" s="907" t="s">
        <v>279</v>
      </c>
      <c r="E7762" s="925" t="s">
        <v>2681</v>
      </c>
      <c r="F7762" s="926" t="s">
        <v>45</v>
      </c>
      <c r="G7762" s="910"/>
      <c r="H7762" s="911">
        <v>2</v>
      </c>
      <c r="I7762" s="912">
        <f>VLOOKUP(E7762,[3]VLP!$B$7:$K$300,10,0)</f>
        <v>23000</v>
      </c>
      <c r="J7762" s="912">
        <f>I7762*H7762</f>
        <v>46000</v>
      </c>
      <c r="K7762" s="912" t="s">
        <v>274</v>
      </c>
      <c r="L7762" s="912"/>
      <c r="M7762" s="912"/>
      <c r="N7762" s="912"/>
      <c r="O7762" s="892">
        <f t="shared" si="592"/>
        <v>0</v>
      </c>
      <c r="P7762" s="903">
        <f t="shared" si="593"/>
        <v>1</v>
      </c>
      <c r="Q7762" s="893">
        <f t="shared" si="594"/>
        <v>5</v>
      </c>
      <c r="R7762" s="894">
        <f t="shared" si="595"/>
        <v>0</v>
      </c>
    </row>
    <row r="7763" spans="1:18">
      <c r="A7763" s="905"/>
      <c r="B7763" s="906"/>
      <c r="C7763" s="907">
        <v>66</v>
      </c>
      <c r="D7763" s="907" t="s">
        <v>279</v>
      </c>
      <c r="E7763" s="925" t="s">
        <v>2682</v>
      </c>
      <c r="F7763" s="926" t="s">
        <v>45</v>
      </c>
      <c r="G7763" s="910"/>
      <c r="H7763" s="911">
        <v>0.4</v>
      </c>
      <c r="I7763" s="912">
        <f>VLOOKUP(E7763,[3]VLP!$B$7:$K$300,10,0)</f>
        <v>5000</v>
      </c>
      <c r="J7763" s="912">
        <f>I7763*H7763</f>
        <v>2000</v>
      </c>
      <c r="K7763" s="912" t="s">
        <v>274</v>
      </c>
      <c r="L7763" s="912"/>
      <c r="M7763" s="912"/>
      <c r="N7763" s="912"/>
      <c r="O7763" s="892">
        <f t="shared" si="592"/>
        <v>0</v>
      </c>
      <c r="P7763" s="903">
        <f t="shared" si="593"/>
        <v>1</v>
      </c>
      <c r="Q7763" s="893">
        <f t="shared" si="594"/>
        <v>4</v>
      </c>
      <c r="R7763" s="894">
        <f t="shared" si="595"/>
        <v>0</v>
      </c>
    </row>
    <row r="7764" spans="1:18">
      <c r="A7764" s="905"/>
      <c r="B7764" s="906"/>
      <c r="C7764" s="907">
        <v>699</v>
      </c>
      <c r="D7764" s="907" t="s">
        <v>279</v>
      </c>
      <c r="E7764" s="925" t="s">
        <v>4006</v>
      </c>
      <c r="F7764" s="926" t="s">
        <v>4007</v>
      </c>
      <c r="G7764" s="910"/>
      <c r="H7764" s="911">
        <v>5</v>
      </c>
      <c r="I7764" s="912">
        <f>VLOOKUP(E7764,[3]VLP!$B$7:$K$300,10,0)</f>
        <v>5000</v>
      </c>
      <c r="J7764" s="912">
        <f>I7764*H7764</f>
        <v>25000</v>
      </c>
      <c r="K7764" s="912" t="s">
        <v>274</v>
      </c>
      <c r="L7764" s="912"/>
      <c r="M7764" s="912"/>
      <c r="N7764" s="912"/>
      <c r="O7764" s="892">
        <f t="shared" si="592"/>
        <v>0</v>
      </c>
      <c r="P7764" s="903">
        <f t="shared" si="593"/>
        <v>1</v>
      </c>
      <c r="Q7764" s="893">
        <f t="shared" si="594"/>
        <v>3</v>
      </c>
      <c r="R7764" s="894">
        <f t="shared" si="595"/>
        <v>0</v>
      </c>
    </row>
    <row r="7765" spans="1:18" s="904" customFormat="1">
      <c r="A7765" s="895"/>
      <c r="B7765" s="896"/>
      <c r="C7765" s="897"/>
      <c r="D7765" s="897"/>
      <c r="E7765" s="924" t="s">
        <v>276</v>
      </c>
      <c r="F7765" s="927"/>
      <c r="G7765" s="928"/>
      <c r="H7765" s="901"/>
      <c r="I7765" s="902"/>
      <c r="J7765" s="902"/>
      <c r="K7765" s="912" t="s">
        <v>274</v>
      </c>
      <c r="L7765" s="902"/>
      <c r="M7765" s="902"/>
      <c r="N7765" s="902"/>
      <c r="O7765" s="892">
        <f t="shared" si="592"/>
        <v>0</v>
      </c>
      <c r="P7765" s="903">
        <f t="shared" si="593"/>
        <v>1</v>
      </c>
      <c r="Q7765" s="893">
        <f t="shared" si="594"/>
        <v>2</v>
      </c>
      <c r="R7765" s="894">
        <f t="shared" si="595"/>
        <v>0</v>
      </c>
    </row>
    <row r="7766" spans="1:18">
      <c r="A7766" s="905"/>
      <c r="B7766" s="906"/>
      <c r="C7766" s="907">
        <v>745</v>
      </c>
      <c r="D7766" s="907" t="s">
        <v>12</v>
      </c>
      <c r="E7766" s="908" t="s">
        <v>5518</v>
      </c>
      <c r="F7766" s="909" t="s">
        <v>2674</v>
      </c>
      <c r="G7766" s="910"/>
      <c r="H7766" s="911">
        <v>6.16</v>
      </c>
      <c r="I7766" s="912"/>
      <c r="J7766" s="912"/>
      <c r="K7766" s="912">
        <f>VLOOKUP(E7766,[5]ĐMNC!$A$7:$F$67,4,0)</f>
        <v>240557</v>
      </c>
      <c r="L7766" s="912">
        <f>H7766*K7766</f>
        <v>1481831.12</v>
      </c>
      <c r="M7766" s="912"/>
      <c r="N7766" s="912"/>
      <c r="O7766" s="892">
        <f t="shared" si="592"/>
        <v>0</v>
      </c>
      <c r="P7766" s="903">
        <f t="shared" si="593"/>
        <v>1</v>
      </c>
      <c r="Q7766" s="893">
        <f t="shared" si="594"/>
        <v>1</v>
      </c>
      <c r="R7766" s="894">
        <f t="shared" si="595"/>
        <v>0</v>
      </c>
    </row>
    <row r="7767" spans="1:18" s="847" customFormat="1" ht="31.5">
      <c r="A7767" s="905" t="s">
        <v>6180</v>
      </c>
      <c r="B7767" s="914" t="s">
        <v>1725</v>
      </c>
      <c r="C7767" s="915"/>
      <c r="D7767" s="915"/>
      <c r="E7767" s="916" t="s">
        <v>6188</v>
      </c>
      <c r="F7767" s="917" t="s">
        <v>6094</v>
      </c>
      <c r="G7767" s="918"/>
      <c r="H7767" s="919"/>
      <c r="I7767" s="920"/>
      <c r="J7767" s="891">
        <f>SUM(J7768:J7773)</f>
        <v>73000</v>
      </c>
      <c r="K7767" s="891"/>
      <c r="L7767" s="891">
        <f>SUM(L7768:L7773)</f>
        <v>1618948.61</v>
      </c>
      <c r="M7767" s="891"/>
      <c r="N7767" s="891">
        <f>SUM(N7768:N7773)</f>
        <v>0</v>
      </c>
      <c r="O7767" s="892">
        <f t="shared" si="592"/>
        <v>1</v>
      </c>
      <c r="P7767" s="903">
        <f t="shared" si="593"/>
        <v>0</v>
      </c>
      <c r="Q7767" s="893">
        <f t="shared" si="594"/>
        <v>0</v>
      </c>
      <c r="R7767" s="894">
        <f t="shared" si="595"/>
        <v>6</v>
      </c>
    </row>
    <row r="7768" spans="1:18" s="904" customFormat="1">
      <c r="A7768" s="895"/>
      <c r="B7768" s="896"/>
      <c r="C7768" s="897"/>
      <c r="D7768" s="897"/>
      <c r="E7768" s="898" t="s">
        <v>108</v>
      </c>
      <c r="F7768" s="899"/>
      <c r="G7768" s="928"/>
      <c r="H7768" s="901"/>
      <c r="I7768" s="902"/>
      <c r="J7768" s="902"/>
      <c r="K7768" s="912" t="s">
        <v>274</v>
      </c>
      <c r="L7768" s="902"/>
      <c r="M7768" s="902"/>
      <c r="N7768" s="902"/>
      <c r="O7768" s="892">
        <f t="shared" si="592"/>
        <v>0</v>
      </c>
      <c r="P7768" s="903">
        <f t="shared" si="593"/>
        <v>1</v>
      </c>
      <c r="Q7768" s="893">
        <f t="shared" si="594"/>
        <v>6</v>
      </c>
      <c r="R7768" s="894">
        <f t="shared" si="595"/>
        <v>0</v>
      </c>
    </row>
    <row r="7769" spans="1:18">
      <c r="A7769" s="905"/>
      <c r="B7769" s="906"/>
      <c r="C7769" s="907">
        <v>44</v>
      </c>
      <c r="D7769" s="907" t="s">
        <v>279</v>
      </c>
      <c r="E7769" s="925" t="s">
        <v>2681</v>
      </c>
      <c r="F7769" s="926" t="s">
        <v>45</v>
      </c>
      <c r="G7769" s="910"/>
      <c r="H7769" s="911">
        <v>2</v>
      </c>
      <c r="I7769" s="912">
        <f>VLOOKUP(E7769,[3]VLP!$B$7:$K$300,10,0)</f>
        <v>23000</v>
      </c>
      <c r="J7769" s="912">
        <f>I7769*H7769</f>
        <v>46000</v>
      </c>
      <c r="K7769" s="912" t="s">
        <v>274</v>
      </c>
      <c r="L7769" s="912"/>
      <c r="M7769" s="912"/>
      <c r="N7769" s="912"/>
      <c r="O7769" s="892">
        <f t="shared" si="592"/>
        <v>0</v>
      </c>
      <c r="P7769" s="903">
        <f t="shared" si="593"/>
        <v>1</v>
      </c>
      <c r="Q7769" s="893">
        <f t="shared" si="594"/>
        <v>5</v>
      </c>
      <c r="R7769" s="894">
        <f t="shared" si="595"/>
        <v>0</v>
      </c>
    </row>
    <row r="7770" spans="1:18">
      <c r="A7770" s="905"/>
      <c r="B7770" s="906"/>
      <c r="C7770" s="907">
        <v>66</v>
      </c>
      <c r="D7770" s="907" t="s">
        <v>279</v>
      </c>
      <c r="E7770" s="925" t="s">
        <v>2682</v>
      </c>
      <c r="F7770" s="926" t="s">
        <v>45</v>
      </c>
      <c r="G7770" s="910"/>
      <c r="H7770" s="911">
        <v>0.4</v>
      </c>
      <c r="I7770" s="912">
        <f>VLOOKUP(E7770,[3]VLP!$B$7:$K$300,10,0)</f>
        <v>5000</v>
      </c>
      <c r="J7770" s="912">
        <f>I7770*H7770</f>
        <v>2000</v>
      </c>
      <c r="K7770" s="912" t="s">
        <v>274</v>
      </c>
      <c r="L7770" s="912"/>
      <c r="M7770" s="912"/>
      <c r="N7770" s="912"/>
      <c r="O7770" s="892">
        <f t="shared" si="592"/>
        <v>0</v>
      </c>
      <c r="P7770" s="903">
        <f t="shared" si="593"/>
        <v>1</v>
      </c>
      <c r="Q7770" s="893">
        <f t="shared" si="594"/>
        <v>4</v>
      </c>
      <c r="R7770" s="894">
        <f t="shared" si="595"/>
        <v>0</v>
      </c>
    </row>
    <row r="7771" spans="1:18">
      <c r="A7771" s="905"/>
      <c r="B7771" s="906"/>
      <c r="C7771" s="907">
        <v>699</v>
      </c>
      <c r="D7771" s="907" t="s">
        <v>279</v>
      </c>
      <c r="E7771" s="925" t="s">
        <v>4006</v>
      </c>
      <c r="F7771" s="926" t="s">
        <v>4007</v>
      </c>
      <c r="G7771" s="910"/>
      <c r="H7771" s="911">
        <v>5</v>
      </c>
      <c r="I7771" s="912">
        <f>VLOOKUP(E7771,[3]VLP!$B$7:$K$300,10,0)</f>
        <v>5000</v>
      </c>
      <c r="J7771" s="912">
        <f>I7771*H7771</f>
        <v>25000</v>
      </c>
      <c r="K7771" s="912" t="s">
        <v>274</v>
      </c>
      <c r="L7771" s="912"/>
      <c r="M7771" s="912"/>
      <c r="N7771" s="912"/>
      <c r="O7771" s="892">
        <f t="shared" si="592"/>
        <v>0</v>
      </c>
      <c r="P7771" s="903">
        <f t="shared" si="593"/>
        <v>1</v>
      </c>
      <c r="Q7771" s="893">
        <f t="shared" si="594"/>
        <v>3</v>
      </c>
      <c r="R7771" s="894">
        <f t="shared" si="595"/>
        <v>0</v>
      </c>
    </row>
    <row r="7772" spans="1:18" s="904" customFormat="1">
      <c r="A7772" s="895"/>
      <c r="B7772" s="896"/>
      <c r="C7772" s="897"/>
      <c r="D7772" s="897"/>
      <c r="E7772" s="924" t="s">
        <v>276</v>
      </c>
      <c r="F7772" s="927"/>
      <c r="G7772" s="928"/>
      <c r="H7772" s="901"/>
      <c r="I7772" s="902"/>
      <c r="J7772" s="902"/>
      <c r="K7772" s="912" t="s">
        <v>274</v>
      </c>
      <c r="L7772" s="902"/>
      <c r="M7772" s="902"/>
      <c r="N7772" s="902"/>
      <c r="O7772" s="892">
        <f t="shared" si="592"/>
        <v>0</v>
      </c>
      <c r="P7772" s="903">
        <f t="shared" si="593"/>
        <v>1</v>
      </c>
      <c r="Q7772" s="893">
        <f t="shared" si="594"/>
        <v>2</v>
      </c>
      <c r="R7772" s="894">
        <f t="shared" si="595"/>
        <v>0</v>
      </c>
    </row>
    <row r="7773" spans="1:18">
      <c r="A7773" s="905"/>
      <c r="B7773" s="906"/>
      <c r="C7773" s="907">
        <v>745</v>
      </c>
      <c r="D7773" s="907" t="s">
        <v>12</v>
      </c>
      <c r="E7773" s="908" t="s">
        <v>5518</v>
      </c>
      <c r="F7773" s="909" t="s">
        <v>2674</v>
      </c>
      <c r="G7773" s="910"/>
      <c r="H7773" s="911">
        <v>6.73</v>
      </c>
      <c r="I7773" s="912"/>
      <c r="J7773" s="912"/>
      <c r="K7773" s="912">
        <f>VLOOKUP(E7773,[5]ĐMNC!$A$7:$F$67,4,0)</f>
        <v>240557</v>
      </c>
      <c r="L7773" s="912">
        <f>H7773*K7773</f>
        <v>1618948.61</v>
      </c>
      <c r="M7773" s="912"/>
      <c r="N7773" s="912"/>
      <c r="O7773" s="892">
        <f t="shared" si="592"/>
        <v>0</v>
      </c>
      <c r="P7773" s="903">
        <f t="shared" si="593"/>
        <v>1</v>
      </c>
      <c r="Q7773" s="893">
        <f t="shared" si="594"/>
        <v>1</v>
      </c>
      <c r="R7773" s="894">
        <f t="shared" si="595"/>
        <v>0</v>
      </c>
    </row>
    <row r="7774" spans="1:18" s="847" customFormat="1" ht="31.5">
      <c r="A7774" s="905"/>
      <c r="B7774" s="914" t="s">
        <v>1727</v>
      </c>
      <c r="C7774" s="915"/>
      <c r="D7774" s="915"/>
      <c r="E7774" s="916" t="s">
        <v>6189</v>
      </c>
      <c r="F7774" s="917" t="s">
        <v>6094</v>
      </c>
      <c r="G7774" s="918"/>
      <c r="H7774" s="919"/>
      <c r="I7774" s="920"/>
      <c r="J7774" s="891">
        <f>SUM(J7775:J7780)</f>
        <v>73000</v>
      </c>
      <c r="K7774" s="891"/>
      <c r="L7774" s="891">
        <f>SUM(L7775:L7780)</f>
        <v>1775310.66</v>
      </c>
      <c r="M7774" s="891"/>
      <c r="N7774" s="891">
        <f>SUM(N7775:N7780)</f>
        <v>0</v>
      </c>
      <c r="O7774" s="892">
        <f t="shared" si="592"/>
        <v>1</v>
      </c>
      <c r="P7774" s="903">
        <f t="shared" si="593"/>
        <v>0</v>
      </c>
      <c r="Q7774" s="893">
        <f t="shared" si="594"/>
        <v>0</v>
      </c>
      <c r="R7774" s="894">
        <f t="shared" si="595"/>
        <v>6</v>
      </c>
    </row>
    <row r="7775" spans="1:18" s="904" customFormat="1">
      <c r="A7775" s="895"/>
      <c r="B7775" s="896"/>
      <c r="C7775" s="897"/>
      <c r="D7775" s="897"/>
      <c r="E7775" s="898" t="s">
        <v>108</v>
      </c>
      <c r="F7775" s="899"/>
      <c r="G7775" s="928"/>
      <c r="H7775" s="901"/>
      <c r="I7775" s="902"/>
      <c r="J7775" s="902"/>
      <c r="K7775" s="912" t="s">
        <v>274</v>
      </c>
      <c r="L7775" s="902"/>
      <c r="M7775" s="902"/>
      <c r="N7775" s="902"/>
      <c r="O7775" s="892">
        <f t="shared" ref="O7775:O7838" si="596">IF(AND(B7775&lt;&gt;"",D7775=""),1,0)</f>
        <v>0</v>
      </c>
      <c r="P7775" s="903">
        <f t="shared" si="593"/>
        <v>1</v>
      </c>
      <c r="Q7775" s="893">
        <f t="shared" si="594"/>
        <v>6</v>
      </c>
      <c r="R7775" s="894">
        <f t="shared" si="595"/>
        <v>0</v>
      </c>
    </row>
    <row r="7776" spans="1:18">
      <c r="A7776" s="905"/>
      <c r="B7776" s="906"/>
      <c r="C7776" s="907">
        <v>44</v>
      </c>
      <c r="D7776" s="907" t="s">
        <v>279</v>
      </c>
      <c r="E7776" s="925" t="s">
        <v>2681</v>
      </c>
      <c r="F7776" s="926" t="s">
        <v>45</v>
      </c>
      <c r="G7776" s="910"/>
      <c r="H7776" s="911">
        <v>2</v>
      </c>
      <c r="I7776" s="912">
        <f>VLOOKUP(E7776,[3]VLP!$B$7:$K$300,10,0)</f>
        <v>23000</v>
      </c>
      <c r="J7776" s="912">
        <f>I7776*H7776</f>
        <v>46000</v>
      </c>
      <c r="K7776" s="912" t="s">
        <v>274</v>
      </c>
      <c r="L7776" s="912"/>
      <c r="M7776" s="912"/>
      <c r="N7776" s="912"/>
      <c r="O7776" s="892">
        <f t="shared" si="596"/>
        <v>0</v>
      </c>
      <c r="P7776" s="903">
        <f t="shared" si="593"/>
        <v>1</v>
      </c>
      <c r="Q7776" s="893">
        <f t="shared" si="594"/>
        <v>5</v>
      </c>
      <c r="R7776" s="894">
        <f t="shared" si="595"/>
        <v>0</v>
      </c>
    </row>
    <row r="7777" spans="1:18">
      <c r="A7777" s="905"/>
      <c r="B7777" s="906"/>
      <c r="C7777" s="907">
        <v>66</v>
      </c>
      <c r="D7777" s="907" t="s">
        <v>279</v>
      </c>
      <c r="E7777" s="925" t="s">
        <v>2682</v>
      </c>
      <c r="F7777" s="926" t="s">
        <v>45</v>
      </c>
      <c r="G7777" s="910"/>
      <c r="H7777" s="911">
        <v>0.4</v>
      </c>
      <c r="I7777" s="912">
        <f>VLOOKUP(E7777,[3]VLP!$B$7:$K$300,10,0)</f>
        <v>5000</v>
      </c>
      <c r="J7777" s="912">
        <f>I7777*H7777</f>
        <v>2000</v>
      </c>
      <c r="K7777" s="912" t="s">
        <v>274</v>
      </c>
      <c r="L7777" s="912"/>
      <c r="M7777" s="912"/>
      <c r="N7777" s="912"/>
      <c r="O7777" s="892">
        <f t="shared" si="596"/>
        <v>0</v>
      </c>
      <c r="P7777" s="903">
        <f t="shared" si="593"/>
        <v>1</v>
      </c>
      <c r="Q7777" s="893">
        <f t="shared" si="594"/>
        <v>4</v>
      </c>
      <c r="R7777" s="894">
        <f t="shared" si="595"/>
        <v>0</v>
      </c>
    </row>
    <row r="7778" spans="1:18">
      <c r="A7778" s="905"/>
      <c r="B7778" s="906"/>
      <c r="C7778" s="907">
        <v>699</v>
      </c>
      <c r="D7778" s="907" t="s">
        <v>279</v>
      </c>
      <c r="E7778" s="925" t="s">
        <v>4006</v>
      </c>
      <c r="F7778" s="926" t="s">
        <v>4007</v>
      </c>
      <c r="G7778" s="910"/>
      <c r="H7778" s="911">
        <v>5</v>
      </c>
      <c r="I7778" s="912">
        <f>VLOOKUP(E7778,[3]VLP!$B$7:$K$300,10,0)</f>
        <v>5000</v>
      </c>
      <c r="J7778" s="912">
        <f>I7778*H7778</f>
        <v>25000</v>
      </c>
      <c r="K7778" s="912" t="s">
        <v>274</v>
      </c>
      <c r="L7778" s="912"/>
      <c r="M7778" s="912"/>
      <c r="N7778" s="912"/>
      <c r="O7778" s="892">
        <f t="shared" si="596"/>
        <v>0</v>
      </c>
      <c r="P7778" s="903">
        <f t="shared" si="593"/>
        <v>1</v>
      </c>
      <c r="Q7778" s="893">
        <f t="shared" si="594"/>
        <v>3</v>
      </c>
      <c r="R7778" s="894">
        <f t="shared" si="595"/>
        <v>0</v>
      </c>
    </row>
    <row r="7779" spans="1:18" s="904" customFormat="1">
      <c r="A7779" s="895"/>
      <c r="B7779" s="896"/>
      <c r="C7779" s="897"/>
      <c r="D7779" s="897"/>
      <c r="E7779" s="924" t="s">
        <v>276</v>
      </c>
      <c r="F7779" s="927"/>
      <c r="G7779" s="928"/>
      <c r="H7779" s="901"/>
      <c r="I7779" s="902"/>
      <c r="J7779" s="902"/>
      <c r="K7779" s="912" t="s">
        <v>274</v>
      </c>
      <c r="L7779" s="902"/>
      <c r="M7779" s="902"/>
      <c r="N7779" s="902"/>
      <c r="O7779" s="892">
        <f t="shared" si="596"/>
        <v>0</v>
      </c>
      <c r="P7779" s="903">
        <f t="shared" si="593"/>
        <v>1</v>
      </c>
      <c r="Q7779" s="893">
        <f t="shared" si="594"/>
        <v>2</v>
      </c>
      <c r="R7779" s="894">
        <f t="shared" si="595"/>
        <v>0</v>
      </c>
    </row>
    <row r="7780" spans="1:18">
      <c r="A7780" s="905"/>
      <c r="B7780" s="906"/>
      <c r="C7780" s="907">
        <v>745</v>
      </c>
      <c r="D7780" s="907" t="s">
        <v>12</v>
      </c>
      <c r="E7780" s="908" t="s">
        <v>5518</v>
      </c>
      <c r="F7780" s="909" t="s">
        <v>2674</v>
      </c>
      <c r="G7780" s="910"/>
      <c r="H7780" s="911">
        <v>7.38</v>
      </c>
      <c r="I7780" s="912"/>
      <c r="J7780" s="912"/>
      <c r="K7780" s="912">
        <f>VLOOKUP(E7780,[5]ĐMNC!$A$7:$F$67,4,0)</f>
        <v>240557</v>
      </c>
      <c r="L7780" s="912">
        <f>H7780*K7780</f>
        <v>1775310.66</v>
      </c>
      <c r="M7780" s="912"/>
      <c r="N7780" s="912"/>
      <c r="O7780" s="892">
        <f t="shared" si="596"/>
        <v>0</v>
      </c>
      <c r="P7780" s="903">
        <f t="shared" si="593"/>
        <v>1</v>
      </c>
      <c r="Q7780" s="893">
        <f t="shared" si="594"/>
        <v>1</v>
      </c>
      <c r="R7780" s="894">
        <f t="shared" si="595"/>
        <v>0</v>
      </c>
    </row>
    <row r="7781" spans="1:18" s="847" customFormat="1" ht="31.5">
      <c r="A7781" s="905"/>
      <c r="B7781" s="914" t="s">
        <v>1729</v>
      </c>
      <c r="C7781" s="915"/>
      <c r="D7781" s="915"/>
      <c r="E7781" s="916" t="s">
        <v>6190</v>
      </c>
      <c r="F7781" s="917" t="s">
        <v>6094</v>
      </c>
      <c r="G7781" s="918"/>
      <c r="H7781" s="919"/>
      <c r="I7781" s="920"/>
      <c r="J7781" s="891">
        <f>SUM(J7782:J7787)</f>
        <v>83550</v>
      </c>
      <c r="K7781" s="891"/>
      <c r="L7781" s="891">
        <f>SUM(L7782:L7787)</f>
        <v>2131335.02</v>
      </c>
      <c r="M7781" s="891"/>
      <c r="N7781" s="891">
        <f>SUM(N7782:N7787)</f>
        <v>0</v>
      </c>
      <c r="O7781" s="892">
        <f t="shared" si="596"/>
        <v>1</v>
      </c>
      <c r="P7781" s="903">
        <f t="shared" si="593"/>
        <v>0</v>
      </c>
      <c r="Q7781" s="893">
        <f t="shared" si="594"/>
        <v>0</v>
      </c>
      <c r="R7781" s="894">
        <f t="shared" si="595"/>
        <v>6</v>
      </c>
    </row>
    <row r="7782" spans="1:18" s="904" customFormat="1">
      <c r="A7782" s="895"/>
      <c r="B7782" s="896"/>
      <c r="C7782" s="897"/>
      <c r="D7782" s="897"/>
      <c r="E7782" s="898" t="s">
        <v>108</v>
      </c>
      <c r="F7782" s="899"/>
      <c r="G7782" s="928"/>
      <c r="H7782" s="901"/>
      <c r="I7782" s="902"/>
      <c r="J7782" s="902"/>
      <c r="K7782" s="912" t="s">
        <v>274</v>
      </c>
      <c r="L7782" s="902"/>
      <c r="M7782" s="902"/>
      <c r="N7782" s="902"/>
      <c r="O7782" s="892">
        <f t="shared" si="596"/>
        <v>0</v>
      </c>
      <c r="P7782" s="903">
        <f t="shared" si="593"/>
        <v>1</v>
      </c>
      <c r="Q7782" s="893">
        <f t="shared" si="594"/>
        <v>6</v>
      </c>
      <c r="R7782" s="894">
        <f t="shared" si="595"/>
        <v>0</v>
      </c>
    </row>
    <row r="7783" spans="1:18">
      <c r="A7783" s="905"/>
      <c r="B7783" s="906"/>
      <c r="C7783" s="907">
        <v>44</v>
      </c>
      <c r="D7783" s="907" t="s">
        <v>279</v>
      </c>
      <c r="E7783" s="925" t="s">
        <v>2681</v>
      </c>
      <c r="F7783" s="926" t="s">
        <v>45</v>
      </c>
      <c r="G7783" s="910"/>
      <c r="H7783" s="911">
        <v>2.4</v>
      </c>
      <c r="I7783" s="912">
        <f>VLOOKUP(E7783,[3]VLP!$B$7:$K$300,10,0)</f>
        <v>23000</v>
      </c>
      <c r="J7783" s="912">
        <f>I7783*H7783</f>
        <v>55200</v>
      </c>
      <c r="K7783" s="912" t="s">
        <v>274</v>
      </c>
      <c r="L7783" s="912"/>
      <c r="M7783" s="912"/>
      <c r="N7783" s="912"/>
      <c r="O7783" s="892">
        <f t="shared" si="596"/>
        <v>0</v>
      </c>
      <c r="P7783" s="903">
        <f t="shared" si="593"/>
        <v>1</v>
      </c>
      <c r="Q7783" s="893">
        <f t="shared" si="594"/>
        <v>5</v>
      </c>
      <c r="R7783" s="894">
        <f t="shared" si="595"/>
        <v>0</v>
      </c>
    </row>
    <row r="7784" spans="1:18">
      <c r="A7784" s="905"/>
      <c r="B7784" s="906"/>
      <c r="C7784" s="907">
        <v>66</v>
      </c>
      <c r="D7784" s="907" t="s">
        <v>279</v>
      </c>
      <c r="E7784" s="925" t="s">
        <v>2682</v>
      </c>
      <c r="F7784" s="926" t="s">
        <v>45</v>
      </c>
      <c r="G7784" s="910"/>
      <c r="H7784" s="911">
        <v>0.67</v>
      </c>
      <c r="I7784" s="912">
        <f>VLOOKUP(E7784,[3]VLP!$B$7:$K$300,10,0)</f>
        <v>5000</v>
      </c>
      <c r="J7784" s="912">
        <f>I7784*H7784</f>
        <v>3350</v>
      </c>
      <c r="K7784" s="912" t="s">
        <v>274</v>
      </c>
      <c r="L7784" s="912"/>
      <c r="M7784" s="912"/>
      <c r="N7784" s="912"/>
      <c r="O7784" s="892">
        <f t="shared" si="596"/>
        <v>0</v>
      </c>
      <c r="P7784" s="903">
        <f t="shared" ref="P7784:P7847" si="597">IF(O7784=0,1,0)</f>
        <v>1</v>
      </c>
      <c r="Q7784" s="893">
        <f t="shared" ref="Q7784:Q7847" si="598">IF(P7784=0,0,P7784+Q7785)</f>
        <v>4</v>
      </c>
      <c r="R7784" s="894">
        <f t="shared" ref="R7784:R7847" si="599">IF(Q7784=0,Q7785,0)</f>
        <v>0</v>
      </c>
    </row>
    <row r="7785" spans="1:18">
      <c r="A7785" s="905"/>
      <c r="B7785" s="906"/>
      <c r="C7785" s="907">
        <v>699</v>
      </c>
      <c r="D7785" s="907" t="s">
        <v>279</v>
      </c>
      <c r="E7785" s="925" t="s">
        <v>4006</v>
      </c>
      <c r="F7785" s="926" t="s">
        <v>4007</v>
      </c>
      <c r="G7785" s="910"/>
      <c r="H7785" s="911">
        <v>5</v>
      </c>
      <c r="I7785" s="912">
        <f>VLOOKUP(E7785,[3]VLP!$B$7:$K$300,10,0)</f>
        <v>5000</v>
      </c>
      <c r="J7785" s="912">
        <f>I7785*H7785</f>
        <v>25000</v>
      </c>
      <c r="K7785" s="912" t="s">
        <v>274</v>
      </c>
      <c r="L7785" s="912"/>
      <c r="M7785" s="912"/>
      <c r="N7785" s="912"/>
      <c r="O7785" s="892">
        <f t="shared" si="596"/>
        <v>0</v>
      </c>
      <c r="P7785" s="903">
        <f t="shared" si="597"/>
        <v>1</v>
      </c>
      <c r="Q7785" s="893">
        <f t="shared" si="598"/>
        <v>3</v>
      </c>
      <c r="R7785" s="894">
        <f t="shared" si="599"/>
        <v>0</v>
      </c>
    </row>
    <row r="7786" spans="1:18" s="904" customFormat="1">
      <c r="A7786" s="895"/>
      <c r="B7786" s="896"/>
      <c r="C7786" s="897"/>
      <c r="D7786" s="897"/>
      <c r="E7786" s="924" t="s">
        <v>276</v>
      </c>
      <c r="F7786" s="927"/>
      <c r="G7786" s="928"/>
      <c r="H7786" s="901"/>
      <c r="I7786" s="902"/>
      <c r="J7786" s="902"/>
      <c r="K7786" s="912" t="s">
        <v>274</v>
      </c>
      <c r="L7786" s="902"/>
      <c r="M7786" s="902"/>
      <c r="N7786" s="902"/>
      <c r="O7786" s="892">
        <f t="shared" si="596"/>
        <v>0</v>
      </c>
      <c r="P7786" s="903">
        <f t="shared" si="597"/>
        <v>1</v>
      </c>
      <c r="Q7786" s="893">
        <f t="shared" si="598"/>
        <v>2</v>
      </c>
      <c r="R7786" s="894">
        <f t="shared" si="599"/>
        <v>0</v>
      </c>
    </row>
    <row r="7787" spans="1:18">
      <c r="A7787" s="905"/>
      <c r="B7787" s="906"/>
      <c r="C7787" s="907">
        <v>745</v>
      </c>
      <c r="D7787" s="907" t="s">
        <v>12</v>
      </c>
      <c r="E7787" s="908" t="s">
        <v>5518</v>
      </c>
      <c r="F7787" s="909" t="s">
        <v>2674</v>
      </c>
      <c r="G7787" s="910"/>
      <c r="H7787" s="911">
        <v>8.86</v>
      </c>
      <c r="I7787" s="912"/>
      <c r="J7787" s="912"/>
      <c r="K7787" s="912">
        <f>VLOOKUP(E7787,[5]ĐMNC!$A$7:$F$67,4,0)</f>
        <v>240557</v>
      </c>
      <c r="L7787" s="912">
        <f>H7787*K7787</f>
        <v>2131335.02</v>
      </c>
      <c r="M7787" s="912"/>
      <c r="N7787" s="912"/>
      <c r="O7787" s="892">
        <f t="shared" si="596"/>
        <v>0</v>
      </c>
      <c r="P7787" s="903">
        <f t="shared" si="597"/>
        <v>1</v>
      </c>
      <c r="Q7787" s="893">
        <f t="shared" si="598"/>
        <v>1</v>
      </c>
      <c r="R7787" s="894">
        <f t="shared" si="599"/>
        <v>0</v>
      </c>
    </row>
    <row r="7788" spans="1:18" s="847" customFormat="1" ht="35.25" customHeight="1">
      <c r="A7788" s="905" t="s">
        <v>6174</v>
      </c>
      <c r="B7788" s="914" t="s">
        <v>6191</v>
      </c>
      <c r="C7788" s="915"/>
      <c r="D7788" s="915"/>
      <c r="E7788" s="916" t="s">
        <v>6192</v>
      </c>
      <c r="F7788" s="917" t="s">
        <v>6094</v>
      </c>
      <c r="G7788" s="944"/>
      <c r="H7788" s="919"/>
      <c r="I7788" s="920"/>
      <c r="J7788" s="891">
        <f>SUM(J7789:J7802)</f>
        <v>894304</v>
      </c>
      <c r="K7788" s="891" t="s">
        <v>274</v>
      </c>
      <c r="L7788" s="891">
        <f>SUM(L7789:L7802)</f>
        <v>3086346.31</v>
      </c>
      <c r="M7788" s="891"/>
      <c r="N7788" s="891">
        <f>SUM(N7789:N7802)</f>
        <v>0</v>
      </c>
      <c r="O7788" s="892">
        <f t="shared" si="596"/>
        <v>1</v>
      </c>
      <c r="P7788" s="903">
        <f t="shared" si="597"/>
        <v>0</v>
      </c>
      <c r="Q7788" s="893">
        <f t="shared" si="598"/>
        <v>0</v>
      </c>
      <c r="R7788" s="894">
        <f t="shared" si="599"/>
        <v>14</v>
      </c>
    </row>
    <row r="7789" spans="1:18" s="904" customFormat="1">
      <c r="A7789" s="895"/>
      <c r="B7789" s="922"/>
      <c r="C7789" s="897"/>
      <c r="D7789" s="897"/>
      <c r="E7789" s="898" t="s">
        <v>108</v>
      </c>
      <c r="F7789" s="899"/>
      <c r="G7789" s="928"/>
      <c r="H7789" s="901"/>
      <c r="I7789" s="902"/>
      <c r="J7789" s="902"/>
      <c r="K7789" s="912" t="s">
        <v>274</v>
      </c>
      <c r="L7789" s="902"/>
      <c r="M7789" s="902"/>
      <c r="N7789" s="902"/>
      <c r="O7789" s="892">
        <f t="shared" si="596"/>
        <v>0</v>
      </c>
      <c r="P7789" s="903">
        <f t="shared" si="597"/>
        <v>1</v>
      </c>
      <c r="Q7789" s="893">
        <f t="shared" si="598"/>
        <v>14</v>
      </c>
      <c r="R7789" s="894">
        <f t="shared" si="599"/>
        <v>0</v>
      </c>
    </row>
    <row r="7790" spans="1:18">
      <c r="A7790" s="905"/>
      <c r="B7790" s="906"/>
      <c r="C7790" s="907">
        <v>67</v>
      </c>
      <c r="D7790" s="907" t="s">
        <v>279</v>
      </c>
      <c r="E7790" s="925" t="s">
        <v>6110</v>
      </c>
      <c r="F7790" s="909" t="s">
        <v>2337</v>
      </c>
      <c r="G7790" s="910"/>
      <c r="H7790" s="911">
        <v>1</v>
      </c>
      <c r="I7790" s="912">
        <f>VLOOKUP(E7790,[3]VLP!$B$7:$K$300,10,0)</f>
        <v>16224</v>
      </c>
      <c r="J7790" s="912">
        <f t="shared" ref="J7790:J7800" si="600">I7790*H7790</f>
        <v>16224</v>
      </c>
      <c r="K7790" s="912" t="s">
        <v>274</v>
      </c>
      <c r="L7790" s="912"/>
      <c r="M7790" s="912"/>
      <c r="N7790" s="912"/>
      <c r="O7790" s="892">
        <f t="shared" si="596"/>
        <v>0</v>
      </c>
      <c r="P7790" s="903">
        <f t="shared" si="597"/>
        <v>1</v>
      </c>
      <c r="Q7790" s="893">
        <f t="shared" si="598"/>
        <v>13</v>
      </c>
      <c r="R7790" s="894">
        <f t="shared" si="599"/>
        <v>0</v>
      </c>
    </row>
    <row r="7791" spans="1:18">
      <c r="A7791" s="905"/>
      <c r="B7791" s="906"/>
      <c r="C7791" s="907">
        <v>24</v>
      </c>
      <c r="D7791" s="907" t="s">
        <v>279</v>
      </c>
      <c r="E7791" s="925" t="s">
        <v>2691</v>
      </c>
      <c r="F7791" s="926" t="s">
        <v>2690</v>
      </c>
      <c r="G7791" s="910"/>
      <c r="H7791" s="911">
        <v>2.5</v>
      </c>
      <c r="I7791" s="912">
        <f>VLOOKUP(E7791,[3]VLP!$B$7:$K$300,10,0)</f>
        <v>6000</v>
      </c>
      <c r="J7791" s="912">
        <f t="shared" si="600"/>
        <v>15000</v>
      </c>
      <c r="K7791" s="912" t="s">
        <v>274</v>
      </c>
      <c r="L7791" s="912"/>
      <c r="M7791" s="912"/>
      <c r="N7791" s="912"/>
      <c r="O7791" s="892">
        <f t="shared" si="596"/>
        <v>0</v>
      </c>
      <c r="P7791" s="903">
        <f t="shared" si="597"/>
        <v>1</v>
      </c>
      <c r="Q7791" s="893">
        <f t="shared" si="598"/>
        <v>12</v>
      </c>
      <c r="R7791" s="894">
        <f t="shared" si="599"/>
        <v>0</v>
      </c>
    </row>
    <row r="7792" spans="1:18">
      <c r="A7792" s="905"/>
      <c r="B7792" s="906"/>
      <c r="C7792" s="907">
        <v>122</v>
      </c>
      <c r="D7792" s="907" t="s">
        <v>279</v>
      </c>
      <c r="E7792" s="925" t="s">
        <v>3267</v>
      </c>
      <c r="F7792" s="909" t="s">
        <v>45</v>
      </c>
      <c r="G7792" s="910"/>
      <c r="H7792" s="911">
        <v>2</v>
      </c>
      <c r="I7792" s="912">
        <f>VLOOKUP(E7792,[3]VLP!$B$7:$K$300,10,0)</f>
        <v>30000</v>
      </c>
      <c r="J7792" s="912">
        <f t="shared" si="600"/>
        <v>60000</v>
      </c>
      <c r="K7792" s="912" t="s">
        <v>274</v>
      </c>
      <c r="L7792" s="912"/>
      <c r="M7792" s="912"/>
      <c r="N7792" s="912"/>
      <c r="O7792" s="892">
        <f t="shared" si="596"/>
        <v>0</v>
      </c>
      <c r="P7792" s="903">
        <f t="shared" si="597"/>
        <v>1</v>
      </c>
      <c r="Q7792" s="893">
        <f t="shared" si="598"/>
        <v>11</v>
      </c>
      <c r="R7792" s="894">
        <f t="shared" si="599"/>
        <v>0</v>
      </c>
    </row>
    <row r="7793" spans="1:18">
      <c r="A7793" s="905"/>
      <c r="B7793" s="906"/>
      <c r="C7793" s="907">
        <v>93</v>
      </c>
      <c r="D7793" s="907" t="s">
        <v>279</v>
      </c>
      <c r="E7793" s="925" t="s">
        <v>6111</v>
      </c>
      <c r="F7793" s="909" t="s">
        <v>45</v>
      </c>
      <c r="G7793" s="910"/>
      <c r="H7793" s="911">
        <v>0.2</v>
      </c>
      <c r="I7793" s="912">
        <f>VLOOKUP(E7793,[3]VLP!$B$7:$K$300,10,0)</f>
        <v>42000</v>
      </c>
      <c r="J7793" s="912">
        <f t="shared" si="600"/>
        <v>8400</v>
      </c>
      <c r="K7793" s="912" t="s">
        <v>274</v>
      </c>
      <c r="L7793" s="912"/>
      <c r="M7793" s="912"/>
      <c r="N7793" s="912"/>
      <c r="O7793" s="892">
        <f t="shared" si="596"/>
        <v>0</v>
      </c>
      <c r="P7793" s="903">
        <f t="shared" si="597"/>
        <v>1</v>
      </c>
      <c r="Q7793" s="893">
        <f t="shared" si="598"/>
        <v>10</v>
      </c>
      <c r="R7793" s="894">
        <f t="shared" si="599"/>
        <v>0</v>
      </c>
    </row>
    <row r="7794" spans="1:18">
      <c r="A7794" s="905"/>
      <c r="B7794" s="906"/>
      <c r="C7794" s="907">
        <v>89</v>
      </c>
      <c r="D7794" s="907" t="s">
        <v>279</v>
      </c>
      <c r="E7794" s="925" t="s">
        <v>5984</v>
      </c>
      <c r="F7794" s="909" t="s">
        <v>45</v>
      </c>
      <c r="G7794" s="910"/>
      <c r="H7794" s="911">
        <v>0.3</v>
      </c>
      <c r="I7794" s="912">
        <f>VLOOKUP(E7794,[3]VLP!$B$7:$K$300,10,0)</f>
        <v>1000</v>
      </c>
      <c r="J7794" s="912">
        <f t="shared" si="600"/>
        <v>300</v>
      </c>
      <c r="K7794" s="912" t="s">
        <v>274</v>
      </c>
      <c r="L7794" s="912"/>
      <c r="M7794" s="912"/>
      <c r="N7794" s="912"/>
      <c r="O7794" s="892">
        <f t="shared" si="596"/>
        <v>0</v>
      </c>
      <c r="P7794" s="903">
        <f t="shared" si="597"/>
        <v>1</v>
      </c>
      <c r="Q7794" s="893">
        <f t="shared" si="598"/>
        <v>9</v>
      </c>
      <c r="R7794" s="894">
        <f t="shared" si="599"/>
        <v>0</v>
      </c>
    </row>
    <row r="7795" spans="1:18">
      <c r="A7795" s="905"/>
      <c r="B7795" s="906"/>
      <c r="C7795" s="907">
        <v>47</v>
      </c>
      <c r="D7795" s="907" t="s">
        <v>279</v>
      </c>
      <c r="E7795" s="925" t="s">
        <v>3170</v>
      </c>
      <c r="F7795" s="909" t="s">
        <v>45</v>
      </c>
      <c r="G7795" s="910"/>
      <c r="H7795" s="911">
        <v>15</v>
      </c>
      <c r="I7795" s="912">
        <f>VLOOKUP(E7795,[3]VLP!$B$7:$K$300,10,0)</f>
        <v>1000</v>
      </c>
      <c r="J7795" s="912">
        <f t="shared" si="600"/>
        <v>15000</v>
      </c>
      <c r="K7795" s="912" t="s">
        <v>274</v>
      </c>
      <c r="L7795" s="912"/>
      <c r="M7795" s="912"/>
      <c r="N7795" s="912"/>
      <c r="O7795" s="892">
        <f t="shared" si="596"/>
        <v>0</v>
      </c>
      <c r="P7795" s="903">
        <f t="shared" si="597"/>
        <v>1</v>
      </c>
      <c r="Q7795" s="893">
        <f t="shared" si="598"/>
        <v>8</v>
      </c>
      <c r="R7795" s="894">
        <f t="shared" si="599"/>
        <v>0</v>
      </c>
    </row>
    <row r="7796" spans="1:18">
      <c r="A7796" s="905"/>
      <c r="B7796" s="906"/>
      <c r="C7796" s="907">
        <v>44</v>
      </c>
      <c r="D7796" s="907" t="s">
        <v>279</v>
      </c>
      <c r="E7796" s="925" t="s">
        <v>2681</v>
      </c>
      <c r="F7796" s="926" t="s">
        <v>45</v>
      </c>
      <c r="G7796" s="910"/>
      <c r="H7796" s="911">
        <v>16</v>
      </c>
      <c r="I7796" s="912">
        <f>VLOOKUP(E7796,[3]VLP!$B$7:$K$300,10,0)</f>
        <v>23000</v>
      </c>
      <c r="J7796" s="912">
        <f t="shared" si="600"/>
        <v>368000</v>
      </c>
      <c r="K7796" s="912" t="s">
        <v>274</v>
      </c>
      <c r="L7796" s="912"/>
      <c r="M7796" s="912"/>
      <c r="N7796" s="912"/>
      <c r="O7796" s="892">
        <f t="shared" si="596"/>
        <v>0</v>
      </c>
      <c r="P7796" s="903">
        <f t="shared" si="597"/>
        <v>1</v>
      </c>
      <c r="Q7796" s="893">
        <f t="shared" si="598"/>
        <v>7</v>
      </c>
      <c r="R7796" s="894">
        <f t="shared" si="599"/>
        <v>0</v>
      </c>
    </row>
    <row r="7797" spans="1:18">
      <c r="A7797" s="905"/>
      <c r="B7797" s="906"/>
      <c r="C7797" s="907">
        <v>66</v>
      </c>
      <c r="D7797" s="907" t="s">
        <v>279</v>
      </c>
      <c r="E7797" s="925" t="s">
        <v>2682</v>
      </c>
      <c r="F7797" s="926" t="s">
        <v>45</v>
      </c>
      <c r="G7797" s="910"/>
      <c r="H7797" s="911">
        <v>0.5</v>
      </c>
      <c r="I7797" s="912">
        <f>VLOOKUP(E7797,[3]VLP!$B$7:$K$300,10,0)</f>
        <v>5000</v>
      </c>
      <c r="J7797" s="912">
        <f t="shared" si="600"/>
        <v>2500</v>
      </c>
      <c r="K7797" s="912" t="s">
        <v>274</v>
      </c>
      <c r="L7797" s="912"/>
      <c r="M7797" s="912"/>
      <c r="N7797" s="912"/>
      <c r="O7797" s="892">
        <f t="shared" si="596"/>
        <v>0</v>
      </c>
      <c r="P7797" s="903">
        <f t="shared" si="597"/>
        <v>1</v>
      </c>
      <c r="Q7797" s="893">
        <f t="shared" si="598"/>
        <v>6</v>
      </c>
      <c r="R7797" s="894">
        <f t="shared" si="599"/>
        <v>0</v>
      </c>
    </row>
    <row r="7798" spans="1:18">
      <c r="A7798" s="905"/>
      <c r="B7798" s="906"/>
      <c r="C7798" s="907">
        <v>46</v>
      </c>
      <c r="D7798" s="907" t="s">
        <v>279</v>
      </c>
      <c r="E7798" s="925" t="s">
        <v>3179</v>
      </c>
      <c r="F7798" s="926" t="s">
        <v>45</v>
      </c>
      <c r="G7798" s="910"/>
      <c r="H7798" s="911">
        <v>16</v>
      </c>
      <c r="I7798" s="912">
        <f>VLOOKUP(E7798,[3]VLP!$B$7:$K$300,10,0)</f>
        <v>20500</v>
      </c>
      <c r="J7798" s="912">
        <f t="shared" si="600"/>
        <v>328000</v>
      </c>
      <c r="K7798" s="912" t="s">
        <v>274</v>
      </c>
      <c r="L7798" s="912"/>
      <c r="M7798" s="912"/>
      <c r="N7798" s="912"/>
      <c r="O7798" s="892">
        <f t="shared" si="596"/>
        <v>0</v>
      </c>
      <c r="P7798" s="903">
        <f t="shared" si="597"/>
        <v>1</v>
      </c>
      <c r="Q7798" s="893">
        <f t="shared" si="598"/>
        <v>5</v>
      </c>
      <c r="R7798" s="894">
        <f t="shared" si="599"/>
        <v>0</v>
      </c>
    </row>
    <row r="7799" spans="1:18">
      <c r="A7799" s="905"/>
      <c r="B7799" s="906"/>
      <c r="C7799" s="907">
        <v>58</v>
      </c>
      <c r="D7799" s="907" t="s">
        <v>279</v>
      </c>
      <c r="E7799" s="925" t="s">
        <v>3190</v>
      </c>
      <c r="F7799" s="926" t="s">
        <v>45</v>
      </c>
      <c r="G7799" s="910"/>
      <c r="H7799" s="911">
        <v>2</v>
      </c>
      <c r="I7799" s="912">
        <f>VLOOKUP(E7799,[3]VLP!$B$7:$K$300,10,0)</f>
        <v>27940</v>
      </c>
      <c r="J7799" s="912">
        <f t="shared" si="600"/>
        <v>55880</v>
      </c>
      <c r="K7799" s="912" t="s">
        <v>274</v>
      </c>
      <c r="L7799" s="912"/>
      <c r="M7799" s="912"/>
      <c r="N7799" s="912"/>
      <c r="O7799" s="892">
        <f t="shared" si="596"/>
        <v>0</v>
      </c>
      <c r="P7799" s="903">
        <f t="shared" si="597"/>
        <v>1</v>
      </c>
      <c r="Q7799" s="893">
        <f t="shared" si="598"/>
        <v>4</v>
      </c>
      <c r="R7799" s="894">
        <f t="shared" si="599"/>
        <v>0</v>
      </c>
    </row>
    <row r="7800" spans="1:18">
      <c r="A7800" s="905"/>
      <c r="B7800" s="906"/>
      <c r="C7800" s="907">
        <v>699</v>
      </c>
      <c r="D7800" s="907" t="s">
        <v>279</v>
      </c>
      <c r="E7800" s="925" t="s">
        <v>4006</v>
      </c>
      <c r="F7800" s="926" t="s">
        <v>4007</v>
      </c>
      <c r="G7800" s="910"/>
      <c r="H7800" s="911">
        <v>5</v>
      </c>
      <c r="I7800" s="912">
        <f>VLOOKUP(E7800,[3]VLP!$B$7:$K$300,10,0)</f>
        <v>5000</v>
      </c>
      <c r="J7800" s="912">
        <f t="shared" si="600"/>
        <v>25000</v>
      </c>
      <c r="K7800" s="912" t="s">
        <v>274</v>
      </c>
      <c r="L7800" s="912"/>
      <c r="M7800" s="912"/>
      <c r="N7800" s="912"/>
      <c r="O7800" s="892">
        <f t="shared" si="596"/>
        <v>0</v>
      </c>
      <c r="P7800" s="903">
        <f t="shared" si="597"/>
        <v>1</v>
      </c>
      <c r="Q7800" s="893">
        <f t="shared" si="598"/>
        <v>3</v>
      </c>
      <c r="R7800" s="894">
        <f t="shared" si="599"/>
        <v>0</v>
      </c>
    </row>
    <row r="7801" spans="1:18" s="904" customFormat="1">
      <c r="A7801" s="895"/>
      <c r="B7801" s="896"/>
      <c r="C7801" s="897"/>
      <c r="D7801" s="897"/>
      <c r="E7801" s="924" t="s">
        <v>276</v>
      </c>
      <c r="F7801" s="927"/>
      <c r="G7801" s="928"/>
      <c r="H7801" s="901"/>
      <c r="I7801" s="902"/>
      <c r="J7801" s="902"/>
      <c r="K7801" s="912" t="s">
        <v>274</v>
      </c>
      <c r="L7801" s="902"/>
      <c r="M7801" s="902"/>
      <c r="N7801" s="902"/>
      <c r="O7801" s="892">
        <f t="shared" si="596"/>
        <v>0</v>
      </c>
      <c r="P7801" s="903">
        <f t="shared" si="597"/>
        <v>1</v>
      </c>
      <c r="Q7801" s="893">
        <f t="shared" si="598"/>
        <v>2</v>
      </c>
      <c r="R7801" s="894">
        <f t="shared" si="599"/>
        <v>0</v>
      </c>
    </row>
    <row r="7802" spans="1:18">
      <c r="A7802" s="905"/>
      <c r="B7802" s="906"/>
      <c r="C7802" s="907">
        <v>745</v>
      </c>
      <c r="D7802" s="907" t="s">
        <v>12</v>
      </c>
      <c r="E7802" s="908" t="s">
        <v>5518</v>
      </c>
      <c r="F7802" s="909" t="s">
        <v>2674</v>
      </c>
      <c r="G7802" s="910"/>
      <c r="H7802" s="911">
        <v>12.83</v>
      </c>
      <c r="I7802" s="912"/>
      <c r="J7802" s="912"/>
      <c r="K7802" s="912">
        <f>VLOOKUP(E7802,[5]ĐMNC!$A$7:$F$67,4,0)</f>
        <v>240557</v>
      </c>
      <c r="L7802" s="912">
        <f>H7802*K7802</f>
        <v>3086346.31</v>
      </c>
      <c r="M7802" s="912"/>
      <c r="N7802" s="912"/>
      <c r="O7802" s="892">
        <f t="shared" si="596"/>
        <v>0</v>
      </c>
      <c r="P7802" s="903">
        <f t="shared" si="597"/>
        <v>1</v>
      </c>
      <c r="Q7802" s="893">
        <f t="shared" si="598"/>
        <v>1</v>
      </c>
      <c r="R7802" s="894">
        <f t="shared" si="599"/>
        <v>0</v>
      </c>
    </row>
    <row r="7803" spans="1:18" s="847" customFormat="1" ht="35.25" customHeight="1">
      <c r="A7803" s="905"/>
      <c r="B7803" s="914" t="s">
        <v>6193</v>
      </c>
      <c r="C7803" s="915"/>
      <c r="D7803" s="915"/>
      <c r="E7803" s="916" t="s">
        <v>6194</v>
      </c>
      <c r="F7803" s="917" t="s">
        <v>6094</v>
      </c>
      <c r="G7803" s="944"/>
      <c r="H7803" s="919"/>
      <c r="I7803" s="920"/>
      <c r="J7803" s="891">
        <f>SUM(J7804:J7817)</f>
        <v>898360</v>
      </c>
      <c r="K7803" s="891" t="s">
        <v>274</v>
      </c>
      <c r="L7803" s="891">
        <f>SUM(L7804:L7817)</f>
        <v>3350959.01</v>
      </c>
      <c r="M7803" s="891"/>
      <c r="N7803" s="891">
        <f>SUM(N7804:N7817)</f>
        <v>0</v>
      </c>
      <c r="O7803" s="892">
        <f t="shared" si="596"/>
        <v>1</v>
      </c>
      <c r="P7803" s="903">
        <f t="shared" si="597"/>
        <v>0</v>
      </c>
      <c r="Q7803" s="893">
        <f t="shared" si="598"/>
        <v>0</v>
      </c>
      <c r="R7803" s="894">
        <f t="shared" si="599"/>
        <v>14</v>
      </c>
    </row>
    <row r="7804" spans="1:18" s="904" customFormat="1">
      <c r="A7804" s="895"/>
      <c r="B7804" s="896"/>
      <c r="C7804" s="897"/>
      <c r="D7804" s="897"/>
      <c r="E7804" s="898" t="s">
        <v>108</v>
      </c>
      <c r="F7804" s="899"/>
      <c r="G7804" s="928"/>
      <c r="H7804" s="901"/>
      <c r="I7804" s="902"/>
      <c r="J7804" s="902"/>
      <c r="K7804" s="912" t="s">
        <v>274</v>
      </c>
      <c r="L7804" s="902"/>
      <c r="M7804" s="902"/>
      <c r="N7804" s="902"/>
      <c r="O7804" s="892">
        <f t="shared" si="596"/>
        <v>0</v>
      </c>
      <c r="P7804" s="903">
        <f t="shared" si="597"/>
        <v>1</v>
      </c>
      <c r="Q7804" s="893">
        <f t="shared" si="598"/>
        <v>14</v>
      </c>
      <c r="R7804" s="894">
        <f t="shared" si="599"/>
        <v>0</v>
      </c>
    </row>
    <row r="7805" spans="1:18">
      <c r="A7805" s="905"/>
      <c r="B7805" s="906"/>
      <c r="C7805" s="907">
        <v>68</v>
      </c>
      <c r="D7805" s="907" t="s">
        <v>279</v>
      </c>
      <c r="E7805" s="925" t="s">
        <v>6114</v>
      </c>
      <c r="F7805" s="909" t="s">
        <v>2337</v>
      </c>
      <c r="G7805" s="910"/>
      <c r="H7805" s="911">
        <v>1</v>
      </c>
      <c r="I7805" s="912">
        <f>VLOOKUP(E7805,[3]VLP!$B$7:$K$300,10,0)</f>
        <v>20280</v>
      </c>
      <c r="J7805" s="912">
        <f t="shared" ref="J7805:J7815" si="601">I7805*H7805</f>
        <v>20280</v>
      </c>
      <c r="K7805" s="912" t="s">
        <v>274</v>
      </c>
      <c r="L7805" s="912"/>
      <c r="M7805" s="912"/>
      <c r="N7805" s="912"/>
      <c r="O7805" s="892">
        <f t="shared" si="596"/>
        <v>0</v>
      </c>
      <c r="P7805" s="903">
        <f t="shared" si="597"/>
        <v>1</v>
      </c>
      <c r="Q7805" s="893">
        <f t="shared" si="598"/>
        <v>13</v>
      </c>
      <c r="R7805" s="894">
        <f t="shared" si="599"/>
        <v>0</v>
      </c>
    </row>
    <row r="7806" spans="1:18">
      <c r="A7806" s="905"/>
      <c r="B7806" s="906"/>
      <c r="C7806" s="907">
        <v>24</v>
      </c>
      <c r="D7806" s="907" t="s">
        <v>279</v>
      </c>
      <c r="E7806" s="925" t="s">
        <v>2691</v>
      </c>
      <c r="F7806" s="926" t="s">
        <v>2690</v>
      </c>
      <c r="G7806" s="910"/>
      <c r="H7806" s="911">
        <v>2.5</v>
      </c>
      <c r="I7806" s="912">
        <f>VLOOKUP(E7806,[3]VLP!$B$7:$K$300,10,0)</f>
        <v>6000</v>
      </c>
      <c r="J7806" s="912">
        <f t="shared" si="601"/>
        <v>15000</v>
      </c>
      <c r="K7806" s="912" t="s">
        <v>274</v>
      </c>
      <c r="L7806" s="912"/>
      <c r="M7806" s="912"/>
      <c r="N7806" s="912"/>
      <c r="O7806" s="892">
        <f t="shared" si="596"/>
        <v>0</v>
      </c>
      <c r="P7806" s="903">
        <f t="shared" si="597"/>
        <v>1</v>
      </c>
      <c r="Q7806" s="893">
        <f t="shared" si="598"/>
        <v>12</v>
      </c>
      <c r="R7806" s="894">
        <f t="shared" si="599"/>
        <v>0</v>
      </c>
    </row>
    <row r="7807" spans="1:18">
      <c r="A7807" s="905"/>
      <c r="B7807" s="906"/>
      <c r="C7807" s="907">
        <v>122</v>
      </c>
      <c r="D7807" s="907" t="s">
        <v>279</v>
      </c>
      <c r="E7807" s="925" t="s">
        <v>3267</v>
      </c>
      <c r="F7807" s="909" t="s">
        <v>45</v>
      </c>
      <c r="G7807" s="910"/>
      <c r="H7807" s="911">
        <v>2</v>
      </c>
      <c r="I7807" s="912">
        <f>VLOOKUP(E7807,[3]VLP!$B$7:$K$300,10,0)</f>
        <v>30000</v>
      </c>
      <c r="J7807" s="912">
        <f t="shared" si="601"/>
        <v>60000</v>
      </c>
      <c r="K7807" s="912" t="s">
        <v>274</v>
      </c>
      <c r="L7807" s="912"/>
      <c r="M7807" s="912"/>
      <c r="N7807" s="912"/>
      <c r="O7807" s="892">
        <f t="shared" si="596"/>
        <v>0</v>
      </c>
      <c r="P7807" s="903">
        <f t="shared" si="597"/>
        <v>1</v>
      </c>
      <c r="Q7807" s="893">
        <f t="shared" si="598"/>
        <v>11</v>
      </c>
      <c r="R7807" s="894">
        <f t="shared" si="599"/>
        <v>0</v>
      </c>
    </row>
    <row r="7808" spans="1:18">
      <c r="A7808" s="905"/>
      <c r="B7808" s="906"/>
      <c r="C7808" s="907">
        <v>93</v>
      </c>
      <c r="D7808" s="907" t="s">
        <v>279</v>
      </c>
      <c r="E7808" s="925" t="s">
        <v>6111</v>
      </c>
      <c r="F7808" s="909" t="s">
        <v>45</v>
      </c>
      <c r="G7808" s="910"/>
      <c r="H7808" s="911">
        <v>0.2</v>
      </c>
      <c r="I7808" s="912">
        <f>VLOOKUP(E7808,[3]VLP!$B$7:$K$300,10,0)</f>
        <v>42000</v>
      </c>
      <c r="J7808" s="912">
        <f t="shared" si="601"/>
        <v>8400</v>
      </c>
      <c r="K7808" s="912" t="s">
        <v>274</v>
      </c>
      <c r="L7808" s="912"/>
      <c r="M7808" s="912"/>
      <c r="N7808" s="912"/>
      <c r="O7808" s="892">
        <f t="shared" si="596"/>
        <v>0</v>
      </c>
      <c r="P7808" s="903">
        <f t="shared" si="597"/>
        <v>1</v>
      </c>
      <c r="Q7808" s="893">
        <f t="shared" si="598"/>
        <v>10</v>
      </c>
      <c r="R7808" s="894">
        <f t="shared" si="599"/>
        <v>0</v>
      </c>
    </row>
    <row r="7809" spans="1:18">
      <c r="A7809" s="905"/>
      <c r="B7809" s="906"/>
      <c r="C7809" s="907">
        <v>89</v>
      </c>
      <c r="D7809" s="907" t="s">
        <v>279</v>
      </c>
      <c r="E7809" s="925" t="s">
        <v>5984</v>
      </c>
      <c r="F7809" s="909" t="s">
        <v>45</v>
      </c>
      <c r="G7809" s="910"/>
      <c r="H7809" s="911">
        <v>0.3</v>
      </c>
      <c r="I7809" s="912">
        <f>VLOOKUP(E7809,[3]VLP!$B$7:$K$300,10,0)</f>
        <v>1000</v>
      </c>
      <c r="J7809" s="912">
        <f t="shared" si="601"/>
        <v>300</v>
      </c>
      <c r="K7809" s="912" t="s">
        <v>274</v>
      </c>
      <c r="L7809" s="912"/>
      <c r="M7809" s="912"/>
      <c r="N7809" s="912"/>
      <c r="O7809" s="892">
        <f t="shared" si="596"/>
        <v>0</v>
      </c>
      <c r="P7809" s="903">
        <f t="shared" si="597"/>
        <v>1</v>
      </c>
      <c r="Q7809" s="893">
        <f t="shared" si="598"/>
        <v>9</v>
      </c>
      <c r="R7809" s="894">
        <f t="shared" si="599"/>
        <v>0</v>
      </c>
    </row>
    <row r="7810" spans="1:18">
      <c r="A7810" s="905"/>
      <c r="B7810" s="906"/>
      <c r="C7810" s="907">
        <v>47</v>
      </c>
      <c r="D7810" s="907" t="s">
        <v>279</v>
      </c>
      <c r="E7810" s="925" t="s">
        <v>3170</v>
      </c>
      <c r="F7810" s="909" t="s">
        <v>45</v>
      </c>
      <c r="G7810" s="910"/>
      <c r="H7810" s="911">
        <v>15</v>
      </c>
      <c r="I7810" s="912">
        <f>VLOOKUP(E7810,[3]VLP!$B$7:$K$300,10,0)</f>
        <v>1000</v>
      </c>
      <c r="J7810" s="912">
        <f t="shared" si="601"/>
        <v>15000</v>
      </c>
      <c r="K7810" s="912" t="s">
        <v>274</v>
      </c>
      <c r="L7810" s="912"/>
      <c r="M7810" s="912"/>
      <c r="N7810" s="912"/>
      <c r="O7810" s="892">
        <f t="shared" si="596"/>
        <v>0</v>
      </c>
      <c r="P7810" s="903">
        <f t="shared" si="597"/>
        <v>1</v>
      </c>
      <c r="Q7810" s="893">
        <f t="shared" si="598"/>
        <v>8</v>
      </c>
      <c r="R7810" s="894">
        <f t="shared" si="599"/>
        <v>0</v>
      </c>
    </row>
    <row r="7811" spans="1:18">
      <c r="A7811" s="905"/>
      <c r="B7811" s="906"/>
      <c r="C7811" s="907">
        <v>44</v>
      </c>
      <c r="D7811" s="907" t="s">
        <v>279</v>
      </c>
      <c r="E7811" s="925" t="s">
        <v>2681</v>
      </c>
      <c r="F7811" s="926" t="s">
        <v>45</v>
      </c>
      <c r="G7811" s="910"/>
      <c r="H7811" s="911">
        <v>16</v>
      </c>
      <c r="I7811" s="912">
        <f>VLOOKUP(E7811,[3]VLP!$B$7:$K$300,10,0)</f>
        <v>23000</v>
      </c>
      <c r="J7811" s="912">
        <f t="shared" si="601"/>
        <v>368000</v>
      </c>
      <c r="K7811" s="912" t="s">
        <v>274</v>
      </c>
      <c r="L7811" s="912"/>
      <c r="M7811" s="912"/>
      <c r="N7811" s="912"/>
      <c r="O7811" s="892">
        <f t="shared" si="596"/>
        <v>0</v>
      </c>
      <c r="P7811" s="903">
        <f t="shared" si="597"/>
        <v>1</v>
      </c>
      <c r="Q7811" s="893">
        <f t="shared" si="598"/>
        <v>7</v>
      </c>
      <c r="R7811" s="894">
        <f t="shared" si="599"/>
        <v>0</v>
      </c>
    </row>
    <row r="7812" spans="1:18">
      <c r="A7812" s="905"/>
      <c r="B7812" s="906"/>
      <c r="C7812" s="907">
        <v>66</v>
      </c>
      <c r="D7812" s="907" t="s">
        <v>279</v>
      </c>
      <c r="E7812" s="925" t="s">
        <v>2682</v>
      </c>
      <c r="F7812" s="926" t="s">
        <v>45</v>
      </c>
      <c r="G7812" s="910"/>
      <c r="H7812" s="911">
        <v>0.5</v>
      </c>
      <c r="I7812" s="912">
        <f>VLOOKUP(E7812,[3]VLP!$B$7:$K$300,10,0)</f>
        <v>5000</v>
      </c>
      <c r="J7812" s="912">
        <f t="shared" si="601"/>
        <v>2500</v>
      </c>
      <c r="K7812" s="912" t="s">
        <v>274</v>
      </c>
      <c r="L7812" s="912"/>
      <c r="M7812" s="912"/>
      <c r="N7812" s="912"/>
      <c r="O7812" s="892">
        <f t="shared" si="596"/>
        <v>0</v>
      </c>
      <c r="P7812" s="903">
        <f t="shared" si="597"/>
        <v>1</v>
      </c>
      <c r="Q7812" s="893">
        <f t="shared" si="598"/>
        <v>6</v>
      </c>
      <c r="R7812" s="894">
        <f t="shared" si="599"/>
        <v>0</v>
      </c>
    </row>
    <row r="7813" spans="1:18">
      <c r="A7813" s="905"/>
      <c r="B7813" s="906"/>
      <c r="C7813" s="907">
        <v>46</v>
      </c>
      <c r="D7813" s="907" t="s">
        <v>279</v>
      </c>
      <c r="E7813" s="925" t="s">
        <v>3179</v>
      </c>
      <c r="F7813" s="926" t="s">
        <v>45</v>
      </c>
      <c r="G7813" s="910"/>
      <c r="H7813" s="911">
        <v>16</v>
      </c>
      <c r="I7813" s="912">
        <f>VLOOKUP(E7813,[3]VLP!$B$7:$K$300,10,0)</f>
        <v>20500</v>
      </c>
      <c r="J7813" s="912">
        <f t="shared" si="601"/>
        <v>328000</v>
      </c>
      <c r="K7813" s="912" t="s">
        <v>274</v>
      </c>
      <c r="L7813" s="912"/>
      <c r="M7813" s="912"/>
      <c r="N7813" s="912"/>
      <c r="O7813" s="892">
        <f t="shared" si="596"/>
        <v>0</v>
      </c>
      <c r="P7813" s="903">
        <f t="shared" si="597"/>
        <v>1</v>
      </c>
      <c r="Q7813" s="893">
        <f t="shared" si="598"/>
        <v>5</v>
      </c>
      <c r="R7813" s="894">
        <f t="shared" si="599"/>
        <v>0</v>
      </c>
    </row>
    <row r="7814" spans="1:18">
      <c r="A7814" s="905"/>
      <c r="B7814" s="906"/>
      <c r="C7814" s="907">
        <v>58</v>
      </c>
      <c r="D7814" s="907" t="s">
        <v>279</v>
      </c>
      <c r="E7814" s="925" t="s">
        <v>3190</v>
      </c>
      <c r="F7814" s="926" t="s">
        <v>45</v>
      </c>
      <c r="G7814" s="910"/>
      <c r="H7814" s="911">
        <v>2</v>
      </c>
      <c r="I7814" s="912">
        <f>VLOOKUP(E7814,[3]VLP!$B$7:$K$300,10,0)</f>
        <v>27940</v>
      </c>
      <c r="J7814" s="912">
        <f t="shared" si="601"/>
        <v>55880</v>
      </c>
      <c r="K7814" s="912" t="s">
        <v>274</v>
      </c>
      <c r="L7814" s="912"/>
      <c r="M7814" s="912"/>
      <c r="N7814" s="912"/>
      <c r="O7814" s="892">
        <f t="shared" si="596"/>
        <v>0</v>
      </c>
      <c r="P7814" s="903">
        <f t="shared" si="597"/>
        <v>1</v>
      </c>
      <c r="Q7814" s="893">
        <f t="shared" si="598"/>
        <v>4</v>
      </c>
      <c r="R7814" s="894">
        <f t="shared" si="599"/>
        <v>0</v>
      </c>
    </row>
    <row r="7815" spans="1:18">
      <c r="A7815" s="905"/>
      <c r="B7815" s="906"/>
      <c r="C7815" s="907">
        <v>699</v>
      </c>
      <c r="D7815" s="907" t="s">
        <v>279</v>
      </c>
      <c r="E7815" s="925" t="s">
        <v>4006</v>
      </c>
      <c r="F7815" s="926" t="s">
        <v>4007</v>
      </c>
      <c r="G7815" s="910"/>
      <c r="H7815" s="911">
        <v>5</v>
      </c>
      <c r="I7815" s="912">
        <f>VLOOKUP(E7815,[3]VLP!$B$7:$K$300,10,0)</f>
        <v>5000</v>
      </c>
      <c r="J7815" s="912">
        <f t="shared" si="601"/>
        <v>25000</v>
      </c>
      <c r="K7815" s="912" t="s">
        <v>274</v>
      </c>
      <c r="L7815" s="912"/>
      <c r="M7815" s="912"/>
      <c r="N7815" s="912"/>
      <c r="O7815" s="892">
        <f t="shared" si="596"/>
        <v>0</v>
      </c>
      <c r="P7815" s="903">
        <f t="shared" si="597"/>
        <v>1</v>
      </c>
      <c r="Q7815" s="893">
        <f t="shared" si="598"/>
        <v>3</v>
      </c>
      <c r="R7815" s="894">
        <f t="shared" si="599"/>
        <v>0</v>
      </c>
    </row>
    <row r="7816" spans="1:18" s="904" customFormat="1">
      <c r="A7816" s="895"/>
      <c r="B7816" s="896"/>
      <c r="C7816" s="897"/>
      <c r="D7816" s="897"/>
      <c r="E7816" s="924" t="s">
        <v>276</v>
      </c>
      <c r="F7816" s="927"/>
      <c r="G7816" s="928"/>
      <c r="H7816" s="901"/>
      <c r="I7816" s="902"/>
      <c r="J7816" s="902"/>
      <c r="K7816" s="912" t="s">
        <v>274</v>
      </c>
      <c r="L7816" s="902"/>
      <c r="M7816" s="902"/>
      <c r="N7816" s="902"/>
      <c r="O7816" s="892">
        <f t="shared" si="596"/>
        <v>0</v>
      </c>
      <c r="P7816" s="903">
        <f t="shared" si="597"/>
        <v>1</v>
      </c>
      <c r="Q7816" s="893">
        <f t="shared" si="598"/>
        <v>2</v>
      </c>
      <c r="R7816" s="894">
        <f t="shared" si="599"/>
        <v>0</v>
      </c>
    </row>
    <row r="7817" spans="1:18">
      <c r="A7817" s="905"/>
      <c r="B7817" s="906"/>
      <c r="C7817" s="907">
        <v>745</v>
      </c>
      <c r="D7817" s="907" t="s">
        <v>12</v>
      </c>
      <c r="E7817" s="908" t="s">
        <v>5518</v>
      </c>
      <c r="F7817" s="909" t="s">
        <v>2674</v>
      </c>
      <c r="G7817" s="910"/>
      <c r="H7817" s="911">
        <v>13.93</v>
      </c>
      <c r="I7817" s="912"/>
      <c r="J7817" s="912"/>
      <c r="K7817" s="912">
        <f>VLOOKUP(E7817,[5]ĐMNC!$A$7:$F$67,4,0)</f>
        <v>240557</v>
      </c>
      <c r="L7817" s="912">
        <f>H7817*K7817</f>
        <v>3350959.01</v>
      </c>
      <c r="M7817" s="912"/>
      <c r="N7817" s="912"/>
      <c r="O7817" s="892">
        <f t="shared" si="596"/>
        <v>0</v>
      </c>
      <c r="P7817" s="903">
        <f t="shared" si="597"/>
        <v>1</v>
      </c>
      <c r="Q7817" s="893">
        <f t="shared" si="598"/>
        <v>1</v>
      </c>
      <c r="R7817" s="894">
        <f t="shared" si="599"/>
        <v>0</v>
      </c>
    </row>
    <row r="7818" spans="1:18" s="847" customFormat="1" ht="35.25" customHeight="1">
      <c r="A7818" s="905"/>
      <c r="B7818" s="914" t="s">
        <v>6195</v>
      </c>
      <c r="C7818" s="915"/>
      <c r="D7818" s="915"/>
      <c r="E7818" s="916" t="s">
        <v>6196</v>
      </c>
      <c r="F7818" s="917" t="s">
        <v>6094</v>
      </c>
      <c r="G7818" s="944"/>
      <c r="H7818" s="919"/>
      <c r="I7818" s="920"/>
      <c r="J7818" s="891">
        <f>SUM(J7819:J7832)</f>
        <v>1100820</v>
      </c>
      <c r="K7818" s="891" t="s">
        <v>274</v>
      </c>
      <c r="L7818" s="891">
        <f>SUM(L7819:L7832)</f>
        <v>3728633.5</v>
      </c>
      <c r="M7818" s="891"/>
      <c r="N7818" s="891">
        <f>SUM(N7819:N7832)</f>
        <v>0</v>
      </c>
      <c r="O7818" s="892">
        <f t="shared" si="596"/>
        <v>1</v>
      </c>
      <c r="P7818" s="903">
        <f t="shared" si="597"/>
        <v>0</v>
      </c>
      <c r="Q7818" s="893">
        <f t="shared" si="598"/>
        <v>0</v>
      </c>
      <c r="R7818" s="894">
        <f t="shared" si="599"/>
        <v>14</v>
      </c>
    </row>
    <row r="7819" spans="1:18" s="904" customFormat="1">
      <c r="A7819" s="895"/>
      <c r="B7819" s="896"/>
      <c r="C7819" s="897"/>
      <c r="D7819" s="897"/>
      <c r="E7819" s="898" t="s">
        <v>108</v>
      </c>
      <c r="F7819" s="899"/>
      <c r="G7819" s="928"/>
      <c r="H7819" s="901"/>
      <c r="I7819" s="902"/>
      <c r="J7819" s="902"/>
      <c r="K7819" s="912" t="s">
        <v>274</v>
      </c>
      <c r="L7819" s="902"/>
      <c r="M7819" s="902"/>
      <c r="N7819" s="902"/>
      <c r="O7819" s="892">
        <f t="shared" si="596"/>
        <v>0</v>
      </c>
      <c r="P7819" s="903">
        <f t="shared" si="597"/>
        <v>1</v>
      </c>
      <c r="Q7819" s="893">
        <f t="shared" si="598"/>
        <v>14</v>
      </c>
      <c r="R7819" s="894">
        <f t="shared" si="599"/>
        <v>0</v>
      </c>
    </row>
    <row r="7820" spans="1:18">
      <c r="A7820" s="905"/>
      <c r="B7820" s="906"/>
      <c r="C7820" s="907">
        <v>69</v>
      </c>
      <c r="D7820" s="907" t="s">
        <v>279</v>
      </c>
      <c r="E7820" s="925" t="s">
        <v>6117</v>
      </c>
      <c r="F7820" s="909" t="s">
        <v>2337</v>
      </c>
      <c r="G7820" s="910"/>
      <c r="H7820" s="911">
        <v>1</v>
      </c>
      <c r="I7820" s="912">
        <f>VLOOKUP(E7820,[3]VLP!$B$7:$K$300,10,0)</f>
        <v>27040</v>
      </c>
      <c r="J7820" s="912">
        <f t="shared" ref="J7820:J7830" si="602">I7820*H7820</f>
        <v>27040</v>
      </c>
      <c r="K7820" s="912" t="s">
        <v>274</v>
      </c>
      <c r="L7820" s="912"/>
      <c r="M7820" s="912"/>
      <c r="N7820" s="912"/>
      <c r="O7820" s="892">
        <f t="shared" si="596"/>
        <v>0</v>
      </c>
      <c r="P7820" s="903">
        <f t="shared" si="597"/>
        <v>1</v>
      </c>
      <c r="Q7820" s="893">
        <f t="shared" si="598"/>
        <v>13</v>
      </c>
      <c r="R7820" s="894">
        <f t="shared" si="599"/>
        <v>0</v>
      </c>
    </row>
    <row r="7821" spans="1:18">
      <c r="A7821" s="905"/>
      <c r="B7821" s="906"/>
      <c r="C7821" s="907">
        <v>24</v>
      </c>
      <c r="D7821" s="907" t="s">
        <v>279</v>
      </c>
      <c r="E7821" s="925" t="s">
        <v>2691</v>
      </c>
      <c r="F7821" s="926" t="s">
        <v>2690</v>
      </c>
      <c r="G7821" s="910"/>
      <c r="H7821" s="911">
        <v>3</v>
      </c>
      <c r="I7821" s="912">
        <f>VLOOKUP(E7821,[3]VLP!$B$7:$K$300,10,0)</f>
        <v>6000</v>
      </c>
      <c r="J7821" s="912">
        <f t="shared" si="602"/>
        <v>18000</v>
      </c>
      <c r="K7821" s="912" t="s">
        <v>274</v>
      </c>
      <c r="L7821" s="912"/>
      <c r="M7821" s="912"/>
      <c r="N7821" s="912"/>
      <c r="O7821" s="892">
        <f t="shared" si="596"/>
        <v>0</v>
      </c>
      <c r="P7821" s="903">
        <f t="shared" si="597"/>
        <v>1</v>
      </c>
      <c r="Q7821" s="893">
        <f t="shared" si="598"/>
        <v>12</v>
      </c>
      <c r="R7821" s="894">
        <f t="shared" si="599"/>
        <v>0</v>
      </c>
    </row>
    <row r="7822" spans="1:18">
      <c r="A7822" s="905"/>
      <c r="B7822" s="906"/>
      <c r="C7822" s="907">
        <v>122</v>
      </c>
      <c r="D7822" s="907" t="s">
        <v>279</v>
      </c>
      <c r="E7822" s="925" t="s">
        <v>3267</v>
      </c>
      <c r="F7822" s="909" t="s">
        <v>45</v>
      </c>
      <c r="G7822" s="910"/>
      <c r="H7822" s="911">
        <v>2.5</v>
      </c>
      <c r="I7822" s="912">
        <f>VLOOKUP(E7822,[3]VLP!$B$7:$K$300,10,0)</f>
        <v>30000</v>
      </c>
      <c r="J7822" s="912">
        <f t="shared" si="602"/>
        <v>75000</v>
      </c>
      <c r="K7822" s="912" t="s">
        <v>274</v>
      </c>
      <c r="L7822" s="912"/>
      <c r="M7822" s="912"/>
      <c r="N7822" s="912"/>
      <c r="O7822" s="892">
        <f t="shared" si="596"/>
        <v>0</v>
      </c>
      <c r="P7822" s="903">
        <f t="shared" si="597"/>
        <v>1</v>
      </c>
      <c r="Q7822" s="893">
        <f t="shared" si="598"/>
        <v>11</v>
      </c>
      <c r="R7822" s="894">
        <f t="shared" si="599"/>
        <v>0</v>
      </c>
    </row>
    <row r="7823" spans="1:18">
      <c r="A7823" s="905"/>
      <c r="B7823" s="906"/>
      <c r="C7823" s="907">
        <v>93</v>
      </c>
      <c r="D7823" s="907" t="s">
        <v>279</v>
      </c>
      <c r="E7823" s="925" t="s">
        <v>6111</v>
      </c>
      <c r="F7823" s="909" t="s">
        <v>45</v>
      </c>
      <c r="G7823" s="910"/>
      <c r="H7823" s="911">
        <v>0.25</v>
      </c>
      <c r="I7823" s="912">
        <f>VLOOKUP(E7823,[3]VLP!$B$7:$K$300,10,0)</f>
        <v>42000</v>
      </c>
      <c r="J7823" s="912">
        <f t="shared" si="602"/>
        <v>10500</v>
      </c>
      <c r="K7823" s="912" t="s">
        <v>274</v>
      </c>
      <c r="L7823" s="912"/>
      <c r="M7823" s="912"/>
      <c r="N7823" s="912"/>
      <c r="O7823" s="892">
        <f t="shared" si="596"/>
        <v>0</v>
      </c>
      <c r="P7823" s="903">
        <f t="shared" si="597"/>
        <v>1</v>
      </c>
      <c r="Q7823" s="893">
        <f t="shared" si="598"/>
        <v>10</v>
      </c>
      <c r="R7823" s="894">
        <f t="shared" si="599"/>
        <v>0</v>
      </c>
    </row>
    <row r="7824" spans="1:18">
      <c r="A7824" s="905"/>
      <c r="B7824" s="906"/>
      <c r="C7824" s="907">
        <v>89</v>
      </c>
      <c r="D7824" s="907" t="s">
        <v>279</v>
      </c>
      <c r="E7824" s="925" t="s">
        <v>5984</v>
      </c>
      <c r="F7824" s="909" t="s">
        <v>45</v>
      </c>
      <c r="G7824" s="910"/>
      <c r="H7824" s="911">
        <v>0.4</v>
      </c>
      <c r="I7824" s="912">
        <f>VLOOKUP(E7824,[3]VLP!$B$7:$K$300,10,0)</f>
        <v>1000</v>
      </c>
      <c r="J7824" s="912">
        <f t="shared" si="602"/>
        <v>400</v>
      </c>
      <c r="K7824" s="912" t="s">
        <v>274</v>
      </c>
      <c r="L7824" s="912"/>
      <c r="M7824" s="912"/>
      <c r="N7824" s="912"/>
      <c r="O7824" s="892">
        <f t="shared" si="596"/>
        <v>0</v>
      </c>
      <c r="P7824" s="903">
        <f t="shared" si="597"/>
        <v>1</v>
      </c>
      <c r="Q7824" s="893">
        <f t="shared" si="598"/>
        <v>9</v>
      </c>
      <c r="R7824" s="894">
        <f t="shared" si="599"/>
        <v>0</v>
      </c>
    </row>
    <row r="7825" spans="1:18">
      <c r="A7825" s="905"/>
      <c r="B7825" s="906"/>
      <c r="C7825" s="907">
        <v>47</v>
      </c>
      <c r="D7825" s="907" t="s">
        <v>279</v>
      </c>
      <c r="E7825" s="925" t="s">
        <v>3170</v>
      </c>
      <c r="F7825" s="909" t="s">
        <v>45</v>
      </c>
      <c r="G7825" s="910"/>
      <c r="H7825" s="911">
        <v>16</v>
      </c>
      <c r="I7825" s="912">
        <f>VLOOKUP(E7825,[3]VLP!$B$7:$K$300,10,0)</f>
        <v>1000</v>
      </c>
      <c r="J7825" s="912">
        <f t="shared" si="602"/>
        <v>16000</v>
      </c>
      <c r="K7825" s="912" t="s">
        <v>274</v>
      </c>
      <c r="L7825" s="912"/>
      <c r="M7825" s="912"/>
      <c r="N7825" s="912"/>
      <c r="O7825" s="892">
        <f t="shared" si="596"/>
        <v>0</v>
      </c>
      <c r="P7825" s="903">
        <f t="shared" si="597"/>
        <v>1</v>
      </c>
      <c r="Q7825" s="893">
        <f t="shared" si="598"/>
        <v>8</v>
      </c>
      <c r="R7825" s="894">
        <f t="shared" si="599"/>
        <v>0</v>
      </c>
    </row>
    <row r="7826" spans="1:18">
      <c r="A7826" s="905"/>
      <c r="B7826" s="906"/>
      <c r="C7826" s="907">
        <v>44</v>
      </c>
      <c r="D7826" s="907" t="s">
        <v>279</v>
      </c>
      <c r="E7826" s="925" t="s">
        <v>2681</v>
      </c>
      <c r="F7826" s="926" t="s">
        <v>45</v>
      </c>
      <c r="G7826" s="910"/>
      <c r="H7826" s="911">
        <v>20</v>
      </c>
      <c r="I7826" s="912">
        <f>VLOOKUP(E7826,[3]VLP!$B$7:$K$300,10,0)</f>
        <v>23000</v>
      </c>
      <c r="J7826" s="912">
        <f t="shared" si="602"/>
        <v>460000</v>
      </c>
      <c r="K7826" s="912" t="s">
        <v>274</v>
      </c>
      <c r="L7826" s="912"/>
      <c r="M7826" s="912"/>
      <c r="N7826" s="912"/>
      <c r="O7826" s="892">
        <f t="shared" si="596"/>
        <v>0</v>
      </c>
      <c r="P7826" s="903">
        <f t="shared" si="597"/>
        <v>1</v>
      </c>
      <c r="Q7826" s="893">
        <f t="shared" si="598"/>
        <v>7</v>
      </c>
      <c r="R7826" s="894">
        <f t="shared" si="599"/>
        <v>0</v>
      </c>
    </row>
    <row r="7827" spans="1:18">
      <c r="A7827" s="905"/>
      <c r="B7827" s="906"/>
      <c r="C7827" s="907">
        <v>66</v>
      </c>
      <c r="D7827" s="907" t="s">
        <v>279</v>
      </c>
      <c r="E7827" s="925" t="s">
        <v>2682</v>
      </c>
      <c r="F7827" s="926" t="s">
        <v>45</v>
      </c>
      <c r="G7827" s="910"/>
      <c r="H7827" s="911">
        <v>0.6</v>
      </c>
      <c r="I7827" s="912">
        <f>VLOOKUP(E7827,[3]VLP!$B$7:$K$300,10,0)</f>
        <v>5000</v>
      </c>
      <c r="J7827" s="912">
        <f t="shared" si="602"/>
        <v>3000</v>
      </c>
      <c r="K7827" s="912" t="s">
        <v>274</v>
      </c>
      <c r="L7827" s="912"/>
      <c r="M7827" s="912"/>
      <c r="N7827" s="912"/>
      <c r="O7827" s="892">
        <f t="shared" si="596"/>
        <v>0</v>
      </c>
      <c r="P7827" s="903">
        <f t="shared" si="597"/>
        <v>1</v>
      </c>
      <c r="Q7827" s="893">
        <f t="shared" si="598"/>
        <v>6</v>
      </c>
      <c r="R7827" s="894">
        <f t="shared" si="599"/>
        <v>0</v>
      </c>
    </row>
    <row r="7828" spans="1:18">
      <c r="A7828" s="905"/>
      <c r="B7828" s="906"/>
      <c r="C7828" s="907">
        <v>46</v>
      </c>
      <c r="D7828" s="907" t="s">
        <v>279</v>
      </c>
      <c r="E7828" s="925" t="s">
        <v>3179</v>
      </c>
      <c r="F7828" s="926" t="s">
        <v>45</v>
      </c>
      <c r="G7828" s="910"/>
      <c r="H7828" s="911">
        <v>20</v>
      </c>
      <c r="I7828" s="912">
        <f>VLOOKUP(E7828,[3]VLP!$B$7:$K$300,10,0)</f>
        <v>20500</v>
      </c>
      <c r="J7828" s="912">
        <f t="shared" si="602"/>
        <v>410000</v>
      </c>
      <c r="K7828" s="912" t="s">
        <v>274</v>
      </c>
      <c r="L7828" s="912"/>
      <c r="M7828" s="912"/>
      <c r="N7828" s="912"/>
      <c r="O7828" s="892">
        <f t="shared" si="596"/>
        <v>0</v>
      </c>
      <c r="P7828" s="903">
        <f t="shared" si="597"/>
        <v>1</v>
      </c>
      <c r="Q7828" s="893">
        <f t="shared" si="598"/>
        <v>5</v>
      </c>
      <c r="R7828" s="894">
        <f t="shared" si="599"/>
        <v>0</v>
      </c>
    </row>
    <row r="7829" spans="1:18">
      <c r="A7829" s="905"/>
      <c r="B7829" s="906"/>
      <c r="C7829" s="907">
        <v>58</v>
      </c>
      <c r="D7829" s="907" t="s">
        <v>279</v>
      </c>
      <c r="E7829" s="925" t="s">
        <v>3190</v>
      </c>
      <c r="F7829" s="926" t="s">
        <v>45</v>
      </c>
      <c r="G7829" s="910"/>
      <c r="H7829" s="911">
        <v>2</v>
      </c>
      <c r="I7829" s="912">
        <f>VLOOKUP(E7829,[3]VLP!$B$7:$K$300,10,0)</f>
        <v>27940</v>
      </c>
      <c r="J7829" s="912">
        <f t="shared" si="602"/>
        <v>55880</v>
      </c>
      <c r="K7829" s="912" t="s">
        <v>274</v>
      </c>
      <c r="L7829" s="912"/>
      <c r="M7829" s="912"/>
      <c r="N7829" s="912"/>
      <c r="O7829" s="892">
        <f t="shared" si="596"/>
        <v>0</v>
      </c>
      <c r="P7829" s="903">
        <f t="shared" si="597"/>
        <v>1</v>
      </c>
      <c r="Q7829" s="893">
        <f t="shared" si="598"/>
        <v>4</v>
      </c>
      <c r="R7829" s="894">
        <f t="shared" si="599"/>
        <v>0</v>
      </c>
    </row>
    <row r="7830" spans="1:18">
      <c r="A7830" s="905"/>
      <c r="B7830" s="906"/>
      <c r="C7830" s="907">
        <v>699</v>
      </c>
      <c r="D7830" s="907" t="s">
        <v>279</v>
      </c>
      <c r="E7830" s="925" t="s">
        <v>4006</v>
      </c>
      <c r="F7830" s="926" t="s">
        <v>4007</v>
      </c>
      <c r="G7830" s="910"/>
      <c r="H7830" s="911">
        <v>5</v>
      </c>
      <c r="I7830" s="912">
        <f>VLOOKUP(E7830,[3]VLP!$B$7:$K$300,10,0)</f>
        <v>5000</v>
      </c>
      <c r="J7830" s="912">
        <f t="shared" si="602"/>
        <v>25000</v>
      </c>
      <c r="K7830" s="912" t="s">
        <v>274</v>
      </c>
      <c r="L7830" s="912"/>
      <c r="M7830" s="912"/>
      <c r="N7830" s="912"/>
      <c r="O7830" s="892">
        <f t="shared" si="596"/>
        <v>0</v>
      </c>
      <c r="P7830" s="903">
        <f t="shared" si="597"/>
        <v>1</v>
      </c>
      <c r="Q7830" s="893">
        <f t="shared" si="598"/>
        <v>3</v>
      </c>
      <c r="R7830" s="894">
        <f t="shared" si="599"/>
        <v>0</v>
      </c>
    </row>
    <row r="7831" spans="1:18" s="904" customFormat="1">
      <c r="A7831" s="895"/>
      <c r="B7831" s="896"/>
      <c r="C7831" s="897"/>
      <c r="D7831" s="897"/>
      <c r="E7831" s="924" t="s">
        <v>276</v>
      </c>
      <c r="F7831" s="927"/>
      <c r="G7831" s="928"/>
      <c r="H7831" s="901"/>
      <c r="I7831" s="902"/>
      <c r="J7831" s="902"/>
      <c r="K7831" s="912" t="s">
        <v>274</v>
      </c>
      <c r="L7831" s="902"/>
      <c r="M7831" s="902"/>
      <c r="N7831" s="902"/>
      <c r="O7831" s="892">
        <f t="shared" si="596"/>
        <v>0</v>
      </c>
      <c r="P7831" s="903">
        <f t="shared" si="597"/>
        <v>1</v>
      </c>
      <c r="Q7831" s="893">
        <f t="shared" si="598"/>
        <v>2</v>
      </c>
      <c r="R7831" s="894">
        <f t="shared" si="599"/>
        <v>0</v>
      </c>
    </row>
    <row r="7832" spans="1:18">
      <c r="A7832" s="905"/>
      <c r="B7832" s="906"/>
      <c r="C7832" s="907">
        <v>745</v>
      </c>
      <c r="D7832" s="907" t="s">
        <v>12</v>
      </c>
      <c r="E7832" s="908" t="s">
        <v>5518</v>
      </c>
      <c r="F7832" s="909" t="s">
        <v>2674</v>
      </c>
      <c r="G7832" s="910"/>
      <c r="H7832" s="911">
        <v>15.5</v>
      </c>
      <c r="I7832" s="912"/>
      <c r="J7832" s="912"/>
      <c r="K7832" s="912">
        <f>VLOOKUP(E7832,[5]ĐMNC!$A$7:$F$67,4,0)</f>
        <v>240557</v>
      </c>
      <c r="L7832" s="912">
        <f>H7832*K7832</f>
        <v>3728633.5</v>
      </c>
      <c r="M7832" s="912"/>
      <c r="N7832" s="912"/>
      <c r="O7832" s="892">
        <f t="shared" si="596"/>
        <v>0</v>
      </c>
      <c r="P7832" s="903">
        <f t="shared" si="597"/>
        <v>1</v>
      </c>
      <c r="Q7832" s="893">
        <f t="shared" si="598"/>
        <v>1</v>
      </c>
      <c r="R7832" s="894">
        <f t="shared" si="599"/>
        <v>0</v>
      </c>
    </row>
    <row r="7833" spans="1:18" s="847" customFormat="1" ht="35.25" customHeight="1">
      <c r="A7833" s="905"/>
      <c r="B7833" s="914" t="s">
        <v>6197</v>
      </c>
      <c r="C7833" s="915"/>
      <c r="D7833" s="915"/>
      <c r="E7833" s="916" t="s">
        <v>6198</v>
      </c>
      <c r="F7833" s="917" t="s">
        <v>6094</v>
      </c>
      <c r="G7833" s="944"/>
      <c r="H7833" s="919"/>
      <c r="I7833" s="920"/>
      <c r="J7833" s="891">
        <f>SUM(J7834:J7847)</f>
        <v>1100820</v>
      </c>
      <c r="K7833" s="891" t="s">
        <v>274</v>
      </c>
      <c r="L7833" s="891">
        <f>SUM(L7834:L7847)</f>
        <v>4113524.7</v>
      </c>
      <c r="M7833" s="891"/>
      <c r="N7833" s="891">
        <f>SUM(N7834:N7847)</f>
        <v>0</v>
      </c>
      <c r="O7833" s="892">
        <f t="shared" si="596"/>
        <v>1</v>
      </c>
      <c r="P7833" s="903">
        <f t="shared" si="597"/>
        <v>0</v>
      </c>
      <c r="Q7833" s="893">
        <f t="shared" si="598"/>
        <v>0</v>
      </c>
      <c r="R7833" s="894">
        <f t="shared" si="599"/>
        <v>14</v>
      </c>
    </row>
    <row r="7834" spans="1:18" s="904" customFormat="1">
      <c r="A7834" s="895"/>
      <c r="B7834" s="896"/>
      <c r="C7834" s="897"/>
      <c r="D7834" s="897"/>
      <c r="E7834" s="898" t="s">
        <v>108</v>
      </c>
      <c r="F7834" s="899"/>
      <c r="G7834" s="928"/>
      <c r="H7834" s="901"/>
      <c r="I7834" s="902"/>
      <c r="J7834" s="902"/>
      <c r="K7834" s="912" t="s">
        <v>274</v>
      </c>
      <c r="L7834" s="902"/>
      <c r="M7834" s="902"/>
      <c r="N7834" s="902"/>
      <c r="O7834" s="892">
        <f t="shared" si="596"/>
        <v>0</v>
      </c>
      <c r="P7834" s="903">
        <f t="shared" si="597"/>
        <v>1</v>
      </c>
      <c r="Q7834" s="893">
        <f t="shared" si="598"/>
        <v>14</v>
      </c>
      <c r="R7834" s="894">
        <f t="shared" si="599"/>
        <v>0</v>
      </c>
    </row>
    <row r="7835" spans="1:18">
      <c r="A7835" s="905"/>
      <c r="B7835" s="906"/>
      <c r="C7835" s="907">
        <v>70</v>
      </c>
      <c r="D7835" s="907" t="s">
        <v>279</v>
      </c>
      <c r="E7835" s="925" t="s">
        <v>6120</v>
      </c>
      <c r="F7835" s="909" t="s">
        <v>2337</v>
      </c>
      <c r="G7835" s="910"/>
      <c r="H7835" s="911">
        <v>1</v>
      </c>
      <c r="I7835" s="912">
        <f>VLOOKUP(E7835,[3]VLP!$B$7:$K$300,10,0)</f>
        <v>27040</v>
      </c>
      <c r="J7835" s="912">
        <f t="shared" ref="J7835:J7845" si="603">I7835*H7835</f>
        <v>27040</v>
      </c>
      <c r="K7835" s="912" t="s">
        <v>274</v>
      </c>
      <c r="L7835" s="912"/>
      <c r="M7835" s="912"/>
      <c r="N7835" s="912"/>
      <c r="O7835" s="892">
        <f t="shared" si="596"/>
        <v>0</v>
      </c>
      <c r="P7835" s="903">
        <f t="shared" si="597"/>
        <v>1</v>
      </c>
      <c r="Q7835" s="893">
        <f t="shared" si="598"/>
        <v>13</v>
      </c>
      <c r="R7835" s="894">
        <f t="shared" si="599"/>
        <v>0</v>
      </c>
    </row>
    <row r="7836" spans="1:18">
      <c r="A7836" s="905"/>
      <c r="B7836" s="906"/>
      <c r="C7836" s="907">
        <v>24</v>
      </c>
      <c r="D7836" s="907" t="s">
        <v>279</v>
      </c>
      <c r="E7836" s="925" t="s">
        <v>2691</v>
      </c>
      <c r="F7836" s="926" t="s">
        <v>2690</v>
      </c>
      <c r="G7836" s="910"/>
      <c r="H7836" s="911">
        <v>3</v>
      </c>
      <c r="I7836" s="912">
        <f>VLOOKUP(E7836,[3]VLP!$B$7:$K$300,10,0)</f>
        <v>6000</v>
      </c>
      <c r="J7836" s="912">
        <f t="shared" si="603"/>
        <v>18000</v>
      </c>
      <c r="K7836" s="912" t="s">
        <v>274</v>
      </c>
      <c r="L7836" s="912"/>
      <c r="M7836" s="912"/>
      <c r="N7836" s="912"/>
      <c r="O7836" s="892">
        <f t="shared" si="596"/>
        <v>0</v>
      </c>
      <c r="P7836" s="903">
        <f t="shared" si="597"/>
        <v>1</v>
      </c>
      <c r="Q7836" s="893">
        <f t="shared" si="598"/>
        <v>12</v>
      </c>
      <c r="R7836" s="894">
        <f t="shared" si="599"/>
        <v>0</v>
      </c>
    </row>
    <row r="7837" spans="1:18">
      <c r="A7837" s="905"/>
      <c r="B7837" s="906"/>
      <c r="C7837" s="907">
        <v>122</v>
      </c>
      <c r="D7837" s="907" t="s">
        <v>279</v>
      </c>
      <c r="E7837" s="925" t="s">
        <v>3267</v>
      </c>
      <c r="F7837" s="909" t="s">
        <v>45</v>
      </c>
      <c r="G7837" s="910"/>
      <c r="H7837" s="911">
        <v>2.5</v>
      </c>
      <c r="I7837" s="912">
        <f>VLOOKUP(E7837,[3]VLP!$B$7:$K$300,10,0)</f>
        <v>30000</v>
      </c>
      <c r="J7837" s="912">
        <f t="shared" si="603"/>
        <v>75000</v>
      </c>
      <c r="K7837" s="912" t="s">
        <v>274</v>
      </c>
      <c r="L7837" s="912"/>
      <c r="M7837" s="912"/>
      <c r="N7837" s="912"/>
      <c r="O7837" s="892">
        <f t="shared" si="596"/>
        <v>0</v>
      </c>
      <c r="P7837" s="903">
        <f t="shared" si="597"/>
        <v>1</v>
      </c>
      <c r="Q7837" s="893">
        <f t="shared" si="598"/>
        <v>11</v>
      </c>
      <c r="R7837" s="894">
        <f t="shared" si="599"/>
        <v>0</v>
      </c>
    </row>
    <row r="7838" spans="1:18">
      <c r="A7838" s="905"/>
      <c r="B7838" s="906"/>
      <c r="C7838" s="907">
        <v>93</v>
      </c>
      <c r="D7838" s="907" t="s">
        <v>279</v>
      </c>
      <c r="E7838" s="925" t="s">
        <v>6111</v>
      </c>
      <c r="F7838" s="909" t="s">
        <v>45</v>
      </c>
      <c r="G7838" s="910"/>
      <c r="H7838" s="911">
        <v>0.25</v>
      </c>
      <c r="I7838" s="912">
        <f>VLOOKUP(E7838,[3]VLP!$B$7:$K$300,10,0)</f>
        <v>42000</v>
      </c>
      <c r="J7838" s="912">
        <f t="shared" si="603"/>
        <v>10500</v>
      </c>
      <c r="K7838" s="912" t="s">
        <v>274</v>
      </c>
      <c r="L7838" s="912"/>
      <c r="M7838" s="912"/>
      <c r="N7838" s="912"/>
      <c r="O7838" s="892">
        <f t="shared" si="596"/>
        <v>0</v>
      </c>
      <c r="P7838" s="903">
        <f t="shared" si="597"/>
        <v>1</v>
      </c>
      <c r="Q7838" s="893">
        <f t="shared" si="598"/>
        <v>10</v>
      </c>
      <c r="R7838" s="894">
        <f t="shared" si="599"/>
        <v>0</v>
      </c>
    </row>
    <row r="7839" spans="1:18">
      <c r="A7839" s="905"/>
      <c r="B7839" s="906"/>
      <c r="C7839" s="907">
        <v>89</v>
      </c>
      <c r="D7839" s="907" t="s">
        <v>279</v>
      </c>
      <c r="E7839" s="925" t="s">
        <v>5984</v>
      </c>
      <c r="F7839" s="909" t="s">
        <v>45</v>
      </c>
      <c r="G7839" s="910"/>
      <c r="H7839" s="911">
        <v>0.4</v>
      </c>
      <c r="I7839" s="912">
        <f>VLOOKUP(E7839,[3]VLP!$B$7:$K$300,10,0)</f>
        <v>1000</v>
      </c>
      <c r="J7839" s="912">
        <f t="shared" si="603"/>
        <v>400</v>
      </c>
      <c r="K7839" s="912" t="s">
        <v>274</v>
      </c>
      <c r="L7839" s="912"/>
      <c r="M7839" s="912"/>
      <c r="N7839" s="912"/>
      <c r="O7839" s="892">
        <f t="shared" ref="O7839:O7902" si="604">IF(AND(B7839&lt;&gt;"",D7839=""),1,0)</f>
        <v>0</v>
      </c>
      <c r="P7839" s="903">
        <f t="shared" si="597"/>
        <v>1</v>
      </c>
      <c r="Q7839" s="893">
        <f t="shared" si="598"/>
        <v>9</v>
      </c>
      <c r="R7839" s="894">
        <f t="shared" si="599"/>
        <v>0</v>
      </c>
    </row>
    <row r="7840" spans="1:18">
      <c r="A7840" s="905"/>
      <c r="B7840" s="906"/>
      <c r="C7840" s="907">
        <v>47</v>
      </c>
      <c r="D7840" s="907" t="s">
        <v>279</v>
      </c>
      <c r="E7840" s="925" t="s">
        <v>3170</v>
      </c>
      <c r="F7840" s="909" t="s">
        <v>45</v>
      </c>
      <c r="G7840" s="910"/>
      <c r="H7840" s="911">
        <v>16</v>
      </c>
      <c r="I7840" s="912">
        <f>VLOOKUP(E7840,[3]VLP!$B$7:$K$300,10,0)</f>
        <v>1000</v>
      </c>
      <c r="J7840" s="912">
        <f t="shared" si="603"/>
        <v>16000</v>
      </c>
      <c r="K7840" s="912" t="s">
        <v>274</v>
      </c>
      <c r="L7840" s="912"/>
      <c r="M7840" s="912"/>
      <c r="N7840" s="912"/>
      <c r="O7840" s="892">
        <f t="shared" si="604"/>
        <v>0</v>
      </c>
      <c r="P7840" s="903">
        <f t="shared" si="597"/>
        <v>1</v>
      </c>
      <c r="Q7840" s="893">
        <f t="shared" si="598"/>
        <v>8</v>
      </c>
      <c r="R7840" s="894">
        <f t="shared" si="599"/>
        <v>0</v>
      </c>
    </row>
    <row r="7841" spans="1:18">
      <c r="A7841" s="905"/>
      <c r="B7841" s="906"/>
      <c r="C7841" s="907">
        <v>44</v>
      </c>
      <c r="D7841" s="907" t="s">
        <v>279</v>
      </c>
      <c r="E7841" s="925" t="s">
        <v>2681</v>
      </c>
      <c r="F7841" s="926" t="s">
        <v>45</v>
      </c>
      <c r="G7841" s="910"/>
      <c r="H7841" s="911">
        <v>20</v>
      </c>
      <c r="I7841" s="912">
        <f>VLOOKUP(E7841,[3]VLP!$B$7:$K$300,10,0)</f>
        <v>23000</v>
      </c>
      <c r="J7841" s="912">
        <f t="shared" si="603"/>
        <v>460000</v>
      </c>
      <c r="K7841" s="912" t="s">
        <v>274</v>
      </c>
      <c r="L7841" s="912"/>
      <c r="M7841" s="912"/>
      <c r="N7841" s="912"/>
      <c r="O7841" s="892">
        <f t="shared" si="604"/>
        <v>0</v>
      </c>
      <c r="P7841" s="903">
        <f t="shared" si="597"/>
        <v>1</v>
      </c>
      <c r="Q7841" s="893">
        <f t="shared" si="598"/>
        <v>7</v>
      </c>
      <c r="R7841" s="894">
        <f t="shared" si="599"/>
        <v>0</v>
      </c>
    </row>
    <row r="7842" spans="1:18">
      <c r="A7842" s="905"/>
      <c r="B7842" s="906"/>
      <c r="C7842" s="907">
        <v>66</v>
      </c>
      <c r="D7842" s="907" t="s">
        <v>279</v>
      </c>
      <c r="E7842" s="925" t="s">
        <v>2682</v>
      </c>
      <c r="F7842" s="926" t="s">
        <v>45</v>
      </c>
      <c r="G7842" s="910"/>
      <c r="H7842" s="911">
        <v>0.6</v>
      </c>
      <c r="I7842" s="912">
        <f>VLOOKUP(E7842,[3]VLP!$B$7:$K$300,10,0)</f>
        <v>5000</v>
      </c>
      <c r="J7842" s="912">
        <f t="shared" si="603"/>
        <v>3000</v>
      </c>
      <c r="K7842" s="912" t="s">
        <v>274</v>
      </c>
      <c r="L7842" s="912"/>
      <c r="M7842" s="912"/>
      <c r="N7842" s="912"/>
      <c r="O7842" s="892">
        <f t="shared" si="604"/>
        <v>0</v>
      </c>
      <c r="P7842" s="903">
        <f t="shared" si="597"/>
        <v>1</v>
      </c>
      <c r="Q7842" s="893">
        <f t="shared" si="598"/>
        <v>6</v>
      </c>
      <c r="R7842" s="894">
        <f t="shared" si="599"/>
        <v>0</v>
      </c>
    </row>
    <row r="7843" spans="1:18">
      <c r="A7843" s="905"/>
      <c r="B7843" s="906"/>
      <c r="C7843" s="907">
        <v>46</v>
      </c>
      <c r="D7843" s="907" t="s">
        <v>279</v>
      </c>
      <c r="E7843" s="925" t="s">
        <v>3179</v>
      </c>
      <c r="F7843" s="926" t="s">
        <v>45</v>
      </c>
      <c r="G7843" s="910"/>
      <c r="H7843" s="911">
        <v>20</v>
      </c>
      <c r="I7843" s="912">
        <f>VLOOKUP(E7843,[3]VLP!$B$7:$K$300,10,0)</f>
        <v>20500</v>
      </c>
      <c r="J7843" s="912">
        <f t="shared" si="603"/>
        <v>410000</v>
      </c>
      <c r="K7843" s="912" t="s">
        <v>274</v>
      </c>
      <c r="L7843" s="912"/>
      <c r="M7843" s="912"/>
      <c r="N7843" s="912"/>
      <c r="O7843" s="892">
        <f t="shared" si="604"/>
        <v>0</v>
      </c>
      <c r="P7843" s="903">
        <f t="shared" si="597"/>
        <v>1</v>
      </c>
      <c r="Q7843" s="893">
        <f t="shared" si="598"/>
        <v>5</v>
      </c>
      <c r="R7843" s="894">
        <f t="shared" si="599"/>
        <v>0</v>
      </c>
    </row>
    <row r="7844" spans="1:18">
      <c r="A7844" s="905"/>
      <c r="B7844" s="906"/>
      <c r="C7844" s="907">
        <v>58</v>
      </c>
      <c r="D7844" s="907" t="s">
        <v>279</v>
      </c>
      <c r="E7844" s="925" t="s">
        <v>3190</v>
      </c>
      <c r="F7844" s="926" t="s">
        <v>45</v>
      </c>
      <c r="G7844" s="910"/>
      <c r="H7844" s="911">
        <v>2</v>
      </c>
      <c r="I7844" s="912">
        <f>VLOOKUP(E7844,[3]VLP!$B$7:$K$300,10,0)</f>
        <v>27940</v>
      </c>
      <c r="J7844" s="912">
        <f t="shared" si="603"/>
        <v>55880</v>
      </c>
      <c r="K7844" s="912" t="s">
        <v>274</v>
      </c>
      <c r="L7844" s="912"/>
      <c r="M7844" s="912"/>
      <c r="N7844" s="912"/>
      <c r="O7844" s="892">
        <f t="shared" si="604"/>
        <v>0</v>
      </c>
      <c r="P7844" s="903">
        <f t="shared" si="597"/>
        <v>1</v>
      </c>
      <c r="Q7844" s="893">
        <f t="shared" si="598"/>
        <v>4</v>
      </c>
      <c r="R7844" s="894">
        <f t="shared" si="599"/>
        <v>0</v>
      </c>
    </row>
    <row r="7845" spans="1:18">
      <c r="A7845" s="905"/>
      <c r="B7845" s="906"/>
      <c r="C7845" s="907">
        <v>699</v>
      </c>
      <c r="D7845" s="907" t="s">
        <v>279</v>
      </c>
      <c r="E7845" s="925" t="s">
        <v>4006</v>
      </c>
      <c r="F7845" s="926" t="s">
        <v>4007</v>
      </c>
      <c r="G7845" s="910"/>
      <c r="H7845" s="911">
        <v>5</v>
      </c>
      <c r="I7845" s="912">
        <f>VLOOKUP(E7845,[3]VLP!$B$7:$K$300,10,0)</f>
        <v>5000</v>
      </c>
      <c r="J7845" s="912">
        <f t="shared" si="603"/>
        <v>25000</v>
      </c>
      <c r="K7845" s="912" t="s">
        <v>274</v>
      </c>
      <c r="L7845" s="912"/>
      <c r="M7845" s="912"/>
      <c r="N7845" s="912"/>
      <c r="O7845" s="892">
        <f t="shared" si="604"/>
        <v>0</v>
      </c>
      <c r="P7845" s="903">
        <f t="shared" si="597"/>
        <v>1</v>
      </c>
      <c r="Q7845" s="893">
        <f t="shared" si="598"/>
        <v>3</v>
      </c>
      <c r="R7845" s="894">
        <f t="shared" si="599"/>
        <v>0</v>
      </c>
    </row>
    <row r="7846" spans="1:18" s="904" customFormat="1">
      <c r="A7846" s="895"/>
      <c r="B7846" s="896"/>
      <c r="C7846" s="897"/>
      <c r="D7846" s="897"/>
      <c r="E7846" s="924" t="s">
        <v>276</v>
      </c>
      <c r="F7846" s="927"/>
      <c r="G7846" s="928"/>
      <c r="H7846" s="901"/>
      <c r="I7846" s="902"/>
      <c r="J7846" s="902"/>
      <c r="K7846" s="912" t="s">
        <v>274</v>
      </c>
      <c r="L7846" s="902"/>
      <c r="M7846" s="902"/>
      <c r="N7846" s="902"/>
      <c r="O7846" s="892">
        <f t="shared" si="604"/>
        <v>0</v>
      </c>
      <c r="P7846" s="903">
        <f t="shared" si="597"/>
        <v>1</v>
      </c>
      <c r="Q7846" s="893">
        <f t="shared" si="598"/>
        <v>2</v>
      </c>
      <c r="R7846" s="894">
        <f t="shared" si="599"/>
        <v>0</v>
      </c>
    </row>
    <row r="7847" spans="1:18">
      <c r="A7847" s="905"/>
      <c r="B7847" s="906"/>
      <c r="C7847" s="907">
        <v>745</v>
      </c>
      <c r="D7847" s="907" t="s">
        <v>12</v>
      </c>
      <c r="E7847" s="908" t="s">
        <v>5518</v>
      </c>
      <c r="F7847" s="909" t="s">
        <v>2674</v>
      </c>
      <c r="G7847" s="910"/>
      <c r="H7847" s="911">
        <v>17.100000000000001</v>
      </c>
      <c r="I7847" s="912"/>
      <c r="J7847" s="912"/>
      <c r="K7847" s="912">
        <f>VLOOKUP(E7847,[5]ĐMNC!$A$7:$F$67,4,0)</f>
        <v>240557</v>
      </c>
      <c r="L7847" s="912">
        <f>H7847*K7847</f>
        <v>4113524.7</v>
      </c>
      <c r="M7847" s="912"/>
      <c r="N7847" s="912"/>
      <c r="O7847" s="892">
        <f t="shared" si="604"/>
        <v>0</v>
      </c>
      <c r="P7847" s="903">
        <f t="shared" si="597"/>
        <v>1</v>
      </c>
      <c r="Q7847" s="893">
        <f t="shared" si="598"/>
        <v>1</v>
      </c>
      <c r="R7847" s="894">
        <f t="shared" si="599"/>
        <v>0</v>
      </c>
    </row>
    <row r="7848" spans="1:18" s="847" customFormat="1" ht="35.25" customHeight="1">
      <c r="A7848" s="905" t="s">
        <v>6180</v>
      </c>
      <c r="B7848" s="914" t="s">
        <v>6199</v>
      </c>
      <c r="C7848" s="915"/>
      <c r="D7848" s="915"/>
      <c r="E7848" s="916" t="s">
        <v>6200</v>
      </c>
      <c r="F7848" s="917" t="s">
        <v>6094</v>
      </c>
      <c r="G7848" s="944"/>
      <c r="H7848" s="919"/>
      <c r="I7848" s="920"/>
      <c r="J7848" s="891">
        <f>SUM(J7849:J7862)</f>
        <v>1349780</v>
      </c>
      <c r="K7848" s="891" t="s">
        <v>274</v>
      </c>
      <c r="L7848" s="891">
        <f>SUM(L7849:L7862)</f>
        <v>4498415.8999999994</v>
      </c>
      <c r="M7848" s="891"/>
      <c r="N7848" s="891">
        <f>SUM(N7849:N7862)</f>
        <v>0</v>
      </c>
      <c r="O7848" s="892">
        <f t="shared" si="604"/>
        <v>1</v>
      </c>
      <c r="P7848" s="903">
        <f t="shared" ref="P7848:P7911" si="605">IF(O7848=0,1,0)</f>
        <v>0</v>
      </c>
      <c r="Q7848" s="893">
        <f t="shared" ref="Q7848:Q7911" si="606">IF(P7848=0,0,P7848+Q7849)</f>
        <v>0</v>
      </c>
      <c r="R7848" s="894">
        <f t="shared" ref="R7848:R7911" si="607">IF(Q7848=0,Q7849,0)</f>
        <v>14</v>
      </c>
    </row>
    <row r="7849" spans="1:18" s="904" customFormat="1">
      <c r="A7849" s="895"/>
      <c r="B7849" s="896"/>
      <c r="C7849" s="897"/>
      <c r="D7849" s="897"/>
      <c r="E7849" s="898" t="s">
        <v>108</v>
      </c>
      <c r="F7849" s="899"/>
      <c r="G7849" s="928"/>
      <c r="H7849" s="901"/>
      <c r="I7849" s="902"/>
      <c r="J7849" s="902"/>
      <c r="K7849" s="912" t="s">
        <v>274</v>
      </c>
      <c r="L7849" s="902"/>
      <c r="M7849" s="902"/>
      <c r="N7849" s="902"/>
      <c r="O7849" s="892">
        <f t="shared" si="604"/>
        <v>0</v>
      </c>
      <c r="P7849" s="903">
        <f t="shared" si="605"/>
        <v>1</v>
      </c>
      <c r="Q7849" s="893">
        <f t="shared" si="606"/>
        <v>14</v>
      </c>
      <c r="R7849" s="894">
        <f t="shared" si="607"/>
        <v>0</v>
      </c>
    </row>
    <row r="7850" spans="1:18">
      <c r="A7850" s="905"/>
      <c r="B7850" s="906"/>
      <c r="C7850" s="907">
        <v>71</v>
      </c>
      <c r="D7850" s="907" t="s">
        <v>279</v>
      </c>
      <c r="E7850" s="925" t="s">
        <v>6123</v>
      </c>
      <c r="F7850" s="909" t="s">
        <v>2337</v>
      </c>
      <c r="G7850" s="910"/>
      <c r="H7850" s="911">
        <v>1</v>
      </c>
      <c r="I7850" s="912">
        <f>VLOOKUP(E7850,[3]VLP!$B$7:$K$300,10,0)</f>
        <v>33800</v>
      </c>
      <c r="J7850" s="912">
        <f t="shared" ref="J7850:J7860" si="608">I7850*H7850</f>
        <v>33800</v>
      </c>
      <c r="K7850" s="912" t="s">
        <v>274</v>
      </c>
      <c r="L7850" s="912"/>
      <c r="M7850" s="912"/>
      <c r="N7850" s="912"/>
      <c r="O7850" s="892">
        <f t="shared" si="604"/>
        <v>0</v>
      </c>
      <c r="P7850" s="903">
        <f t="shared" si="605"/>
        <v>1</v>
      </c>
      <c r="Q7850" s="893">
        <f t="shared" si="606"/>
        <v>13</v>
      </c>
      <c r="R7850" s="894">
        <f t="shared" si="607"/>
        <v>0</v>
      </c>
    </row>
    <row r="7851" spans="1:18">
      <c r="A7851" s="905"/>
      <c r="B7851" s="906"/>
      <c r="C7851" s="907">
        <v>24</v>
      </c>
      <c r="D7851" s="907" t="s">
        <v>279</v>
      </c>
      <c r="E7851" s="925" t="s">
        <v>2691</v>
      </c>
      <c r="F7851" s="926" t="s">
        <v>2690</v>
      </c>
      <c r="G7851" s="910"/>
      <c r="H7851" s="911">
        <v>4</v>
      </c>
      <c r="I7851" s="912">
        <f>VLOOKUP(E7851,[3]VLP!$B$7:$K$300,10,0)</f>
        <v>6000</v>
      </c>
      <c r="J7851" s="912">
        <f t="shared" si="608"/>
        <v>24000</v>
      </c>
      <c r="K7851" s="912" t="s">
        <v>274</v>
      </c>
      <c r="L7851" s="912"/>
      <c r="M7851" s="912"/>
      <c r="N7851" s="912"/>
      <c r="O7851" s="892">
        <f t="shared" si="604"/>
        <v>0</v>
      </c>
      <c r="P7851" s="903">
        <f t="shared" si="605"/>
        <v>1</v>
      </c>
      <c r="Q7851" s="893">
        <f t="shared" si="606"/>
        <v>12</v>
      </c>
      <c r="R7851" s="894">
        <f t="shared" si="607"/>
        <v>0</v>
      </c>
    </row>
    <row r="7852" spans="1:18">
      <c r="A7852" s="905"/>
      <c r="B7852" s="906"/>
      <c r="C7852" s="907">
        <v>122</v>
      </c>
      <c r="D7852" s="907" t="s">
        <v>279</v>
      </c>
      <c r="E7852" s="925" t="s">
        <v>3267</v>
      </c>
      <c r="F7852" s="909" t="s">
        <v>45</v>
      </c>
      <c r="G7852" s="910"/>
      <c r="H7852" s="911">
        <v>3</v>
      </c>
      <c r="I7852" s="912">
        <f>VLOOKUP(E7852,[3]VLP!$B$7:$K$300,10,0)</f>
        <v>30000</v>
      </c>
      <c r="J7852" s="912">
        <f t="shared" si="608"/>
        <v>90000</v>
      </c>
      <c r="K7852" s="912" t="s">
        <v>274</v>
      </c>
      <c r="L7852" s="912"/>
      <c r="M7852" s="912"/>
      <c r="N7852" s="912"/>
      <c r="O7852" s="892">
        <f t="shared" si="604"/>
        <v>0</v>
      </c>
      <c r="P7852" s="903">
        <f t="shared" si="605"/>
        <v>1</v>
      </c>
      <c r="Q7852" s="893">
        <f t="shared" si="606"/>
        <v>11</v>
      </c>
      <c r="R7852" s="894">
        <f t="shared" si="607"/>
        <v>0</v>
      </c>
    </row>
    <row r="7853" spans="1:18">
      <c r="A7853" s="905"/>
      <c r="B7853" s="906"/>
      <c r="C7853" s="907">
        <v>93</v>
      </c>
      <c r="D7853" s="907" t="s">
        <v>279</v>
      </c>
      <c r="E7853" s="925" t="s">
        <v>6111</v>
      </c>
      <c r="F7853" s="909" t="s">
        <v>45</v>
      </c>
      <c r="G7853" s="910"/>
      <c r="H7853" s="911">
        <v>0.3</v>
      </c>
      <c r="I7853" s="912">
        <f>VLOOKUP(E7853,[3]VLP!$B$7:$K$300,10,0)</f>
        <v>42000</v>
      </c>
      <c r="J7853" s="912">
        <f t="shared" si="608"/>
        <v>12600</v>
      </c>
      <c r="K7853" s="912" t="s">
        <v>274</v>
      </c>
      <c r="L7853" s="912"/>
      <c r="M7853" s="912"/>
      <c r="N7853" s="912"/>
      <c r="O7853" s="892">
        <f t="shared" si="604"/>
        <v>0</v>
      </c>
      <c r="P7853" s="903">
        <f t="shared" si="605"/>
        <v>1</v>
      </c>
      <c r="Q7853" s="893">
        <f t="shared" si="606"/>
        <v>10</v>
      </c>
      <c r="R7853" s="894">
        <f t="shared" si="607"/>
        <v>0</v>
      </c>
    </row>
    <row r="7854" spans="1:18">
      <c r="A7854" s="905"/>
      <c r="B7854" s="906"/>
      <c r="C7854" s="907">
        <v>89</v>
      </c>
      <c r="D7854" s="907" t="s">
        <v>279</v>
      </c>
      <c r="E7854" s="925" t="s">
        <v>5984</v>
      </c>
      <c r="F7854" s="909" t="s">
        <v>45</v>
      </c>
      <c r="G7854" s="910"/>
      <c r="H7854" s="911">
        <v>0.5</v>
      </c>
      <c r="I7854" s="912">
        <f>VLOOKUP(E7854,[3]VLP!$B$7:$K$300,10,0)</f>
        <v>1000</v>
      </c>
      <c r="J7854" s="912">
        <f t="shared" si="608"/>
        <v>500</v>
      </c>
      <c r="K7854" s="912" t="s">
        <v>274</v>
      </c>
      <c r="L7854" s="912"/>
      <c r="M7854" s="912"/>
      <c r="N7854" s="912"/>
      <c r="O7854" s="892">
        <f t="shared" si="604"/>
        <v>0</v>
      </c>
      <c r="P7854" s="903">
        <f t="shared" si="605"/>
        <v>1</v>
      </c>
      <c r="Q7854" s="893">
        <f t="shared" si="606"/>
        <v>9</v>
      </c>
      <c r="R7854" s="894">
        <f t="shared" si="607"/>
        <v>0</v>
      </c>
    </row>
    <row r="7855" spans="1:18">
      <c r="A7855" s="905"/>
      <c r="B7855" s="906"/>
      <c r="C7855" s="907">
        <v>47</v>
      </c>
      <c r="D7855" s="907" t="s">
        <v>279</v>
      </c>
      <c r="E7855" s="925" t="s">
        <v>3170</v>
      </c>
      <c r="F7855" s="909" t="s">
        <v>45</v>
      </c>
      <c r="G7855" s="910"/>
      <c r="H7855" s="911">
        <v>17</v>
      </c>
      <c r="I7855" s="912">
        <f>VLOOKUP(E7855,[3]VLP!$B$7:$K$300,10,0)</f>
        <v>1000</v>
      </c>
      <c r="J7855" s="912">
        <f t="shared" si="608"/>
        <v>17000</v>
      </c>
      <c r="K7855" s="912" t="s">
        <v>274</v>
      </c>
      <c r="L7855" s="912"/>
      <c r="M7855" s="912"/>
      <c r="N7855" s="912"/>
      <c r="O7855" s="892">
        <f t="shared" si="604"/>
        <v>0</v>
      </c>
      <c r="P7855" s="903">
        <f t="shared" si="605"/>
        <v>1</v>
      </c>
      <c r="Q7855" s="893">
        <f t="shared" si="606"/>
        <v>8</v>
      </c>
      <c r="R7855" s="894">
        <f t="shared" si="607"/>
        <v>0</v>
      </c>
    </row>
    <row r="7856" spans="1:18">
      <c r="A7856" s="905"/>
      <c r="B7856" s="906"/>
      <c r="C7856" s="907">
        <v>44</v>
      </c>
      <c r="D7856" s="907" t="s">
        <v>279</v>
      </c>
      <c r="E7856" s="925" t="s">
        <v>2681</v>
      </c>
      <c r="F7856" s="926" t="s">
        <v>45</v>
      </c>
      <c r="G7856" s="910"/>
      <c r="H7856" s="911">
        <v>25</v>
      </c>
      <c r="I7856" s="912">
        <f>VLOOKUP(E7856,[3]VLP!$B$7:$K$300,10,0)</f>
        <v>23000</v>
      </c>
      <c r="J7856" s="912">
        <f t="shared" si="608"/>
        <v>575000</v>
      </c>
      <c r="K7856" s="912" t="s">
        <v>274</v>
      </c>
      <c r="L7856" s="912"/>
      <c r="M7856" s="912"/>
      <c r="N7856" s="912"/>
      <c r="O7856" s="892">
        <f t="shared" si="604"/>
        <v>0</v>
      </c>
      <c r="P7856" s="903">
        <f t="shared" si="605"/>
        <v>1</v>
      </c>
      <c r="Q7856" s="893">
        <f t="shared" si="606"/>
        <v>7</v>
      </c>
      <c r="R7856" s="894">
        <f t="shared" si="607"/>
        <v>0</v>
      </c>
    </row>
    <row r="7857" spans="1:18">
      <c r="A7857" s="905"/>
      <c r="B7857" s="906"/>
      <c r="C7857" s="907">
        <v>66</v>
      </c>
      <c r="D7857" s="907" t="s">
        <v>279</v>
      </c>
      <c r="E7857" s="925" t="s">
        <v>2682</v>
      </c>
      <c r="F7857" s="926" t="s">
        <v>45</v>
      </c>
      <c r="G7857" s="910"/>
      <c r="H7857" s="911">
        <v>0.7</v>
      </c>
      <c r="I7857" s="912">
        <f>VLOOKUP(E7857,[3]VLP!$B$7:$K$300,10,0)</f>
        <v>5000</v>
      </c>
      <c r="J7857" s="912">
        <f t="shared" si="608"/>
        <v>3500</v>
      </c>
      <c r="K7857" s="912" t="s">
        <v>274</v>
      </c>
      <c r="L7857" s="912"/>
      <c r="M7857" s="912"/>
      <c r="N7857" s="912"/>
      <c r="O7857" s="892">
        <f t="shared" si="604"/>
        <v>0</v>
      </c>
      <c r="P7857" s="903">
        <f t="shared" si="605"/>
        <v>1</v>
      </c>
      <c r="Q7857" s="893">
        <f t="shared" si="606"/>
        <v>6</v>
      </c>
      <c r="R7857" s="894">
        <f t="shared" si="607"/>
        <v>0</v>
      </c>
    </row>
    <row r="7858" spans="1:18">
      <c r="A7858" s="905"/>
      <c r="B7858" s="906"/>
      <c r="C7858" s="907">
        <v>46</v>
      </c>
      <c r="D7858" s="907" t="s">
        <v>279</v>
      </c>
      <c r="E7858" s="925" t="s">
        <v>3179</v>
      </c>
      <c r="F7858" s="926" t="s">
        <v>45</v>
      </c>
      <c r="G7858" s="910"/>
      <c r="H7858" s="911">
        <v>25</v>
      </c>
      <c r="I7858" s="912">
        <f>VLOOKUP(E7858,[3]VLP!$B$7:$K$300,10,0)</f>
        <v>20500</v>
      </c>
      <c r="J7858" s="912">
        <f t="shared" si="608"/>
        <v>512500</v>
      </c>
      <c r="K7858" s="912" t="s">
        <v>274</v>
      </c>
      <c r="L7858" s="912"/>
      <c r="M7858" s="912"/>
      <c r="N7858" s="912"/>
      <c r="O7858" s="892">
        <f t="shared" si="604"/>
        <v>0</v>
      </c>
      <c r="P7858" s="903">
        <f t="shared" si="605"/>
        <v>1</v>
      </c>
      <c r="Q7858" s="893">
        <f t="shared" si="606"/>
        <v>5</v>
      </c>
      <c r="R7858" s="894">
        <f t="shared" si="607"/>
        <v>0</v>
      </c>
    </row>
    <row r="7859" spans="1:18">
      <c r="A7859" s="905"/>
      <c r="B7859" s="906"/>
      <c r="C7859" s="907">
        <v>58</v>
      </c>
      <c r="D7859" s="907" t="s">
        <v>279</v>
      </c>
      <c r="E7859" s="925" t="s">
        <v>3190</v>
      </c>
      <c r="F7859" s="926" t="s">
        <v>45</v>
      </c>
      <c r="G7859" s="910"/>
      <c r="H7859" s="911">
        <v>2</v>
      </c>
      <c r="I7859" s="912">
        <f>VLOOKUP(E7859,[3]VLP!$B$7:$K$300,10,0)</f>
        <v>27940</v>
      </c>
      <c r="J7859" s="912">
        <f t="shared" si="608"/>
        <v>55880</v>
      </c>
      <c r="K7859" s="912" t="s">
        <v>274</v>
      </c>
      <c r="L7859" s="912"/>
      <c r="M7859" s="912"/>
      <c r="N7859" s="912"/>
      <c r="O7859" s="892">
        <f t="shared" si="604"/>
        <v>0</v>
      </c>
      <c r="P7859" s="903">
        <f t="shared" si="605"/>
        <v>1</v>
      </c>
      <c r="Q7859" s="893">
        <f t="shared" si="606"/>
        <v>4</v>
      </c>
      <c r="R7859" s="894">
        <f t="shared" si="607"/>
        <v>0</v>
      </c>
    </row>
    <row r="7860" spans="1:18">
      <c r="A7860" s="905"/>
      <c r="B7860" s="906"/>
      <c r="C7860" s="907">
        <v>699</v>
      </c>
      <c r="D7860" s="907" t="s">
        <v>279</v>
      </c>
      <c r="E7860" s="925" t="s">
        <v>4006</v>
      </c>
      <c r="F7860" s="926" t="s">
        <v>4007</v>
      </c>
      <c r="G7860" s="910"/>
      <c r="H7860" s="911">
        <v>5</v>
      </c>
      <c r="I7860" s="912">
        <f>VLOOKUP(E7860,[3]VLP!$B$7:$K$300,10,0)</f>
        <v>5000</v>
      </c>
      <c r="J7860" s="912">
        <f t="shared" si="608"/>
        <v>25000</v>
      </c>
      <c r="K7860" s="912" t="s">
        <v>274</v>
      </c>
      <c r="L7860" s="912"/>
      <c r="M7860" s="912"/>
      <c r="N7860" s="912"/>
      <c r="O7860" s="892">
        <f t="shared" si="604"/>
        <v>0</v>
      </c>
      <c r="P7860" s="903">
        <f t="shared" si="605"/>
        <v>1</v>
      </c>
      <c r="Q7860" s="893">
        <f t="shared" si="606"/>
        <v>3</v>
      </c>
      <c r="R7860" s="894">
        <f t="shared" si="607"/>
        <v>0</v>
      </c>
    </row>
    <row r="7861" spans="1:18" s="904" customFormat="1">
      <c r="A7861" s="895"/>
      <c r="B7861" s="896"/>
      <c r="C7861" s="897"/>
      <c r="D7861" s="897"/>
      <c r="E7861" s="924" t="s">
        <v>276</v>
      </c>
      <c r="F7861" s="927"/>
      <c r="G7861" s="928"/>
      <c r="H7861" s="901"/>
      <c r="I7861" s="902"/>
      <c r="J7861" s="902"/>
      <c r="K7861" s="912" t="s">
        <v>274</v>
      </c>
      <c r="L7861" s="902"/>
      <c r="M7861" s="902"/>
      <c r="N7861" s="902"/>
      <c r="O7861" s="892">
        <f t="shared" si="604"/>
        <v>0</v>
      </c>
      <c r="P7861" s="903">
        <f t="shared" si="605"/>
        <v>1</v>
      </c>
      <c r="Q7861" s="893">
        <f t="shared" si="606"/>
        <v>2</v>
      </c>
      <c r="R7861" s="894">
        <f t="shared" si="607"/>
        <v>0</v>
      </c>
    </row>
    <row r="7862" spans="1:18">
      <c r="A7862" s="905"/>
      <c r="B7862" s="906"/>
      <c r="C7862" s="907">
        <v>745</v>
      </c>
      <c r="D7862" s="907" t="s">
        <v>12</v>
      </c>
      <c r="E7862" s="908" t="s">
        <v>5518</v>
      </c>
      <c r="F7862" s="909" t="s">
        <v>2674</v>
      </c>
      <c r="G7862" s="910"/>
      <c r="H7862" s="911">
        <v>18.7</v>
      </c>
      <c r="I7862" s="912"/>
      <c r="J7862" s="912"/>
      <c r="K7862" s="912">
        <f>VLOOKUP(E7862,[5]ĐMNC!$A$7:$F$67,4,0)</f>
        <v>240557</v>
      </c>
      <c r="L7862" s="912">
        <f>H7862*K7862</f>
        <v>4498415.8999999994</v>
      </c>
      <c r="M7862" s="912"/>
      <c r="N7862" s="912"/>
      <c r="O7862" s="892">
        <f t="shared" si="604"/>
        <v>0</v>
      </c>
      <c r="P7862" s="903">
        <f t="shared" si="605"/>
        <v>1</v>
      </c>
      <c r="Q7862" s="893">
        <f t="shared" si="606"/>
        <v>1</v>
      </c>
      <c r="R7862" s="894">
        <f t="shared" si="607"/>
        <v>0</v>
      </c>
    </row>
    <row r="7863" spans="1:18" s="847" customFormat="1" ht="35.25" customHeight="1">
      <c r="A7863" s="905"/>
      <c r="B7863" s="914" t="s">
        <v>6201</v>
      </c>
      <c r="C7863" s="915"/>
      <c r="D7863" s="915"/>
      <c r="E7863" s="916" t="s">
        <v>6202</v>
      </c>
      <c r="F7863" s="917" t="s">
        <v>6094</v>
      </c>
      <c r="G7863" s="944"/>
      <c r="H7863" s="919"/>
      <c r="I7863" s="920"/>
      <c r="J7863" s="891">
        <f>SUM(J7864:J7877)</f>
        <v>1349780</v>
      </c>
      <c r="K7863" s="891" t="s">
        <v>274</v>
      </c>
      <c r="L7863" s="891">
        <f>SUM(L7864:L7877)</f>
        <v>4936229.6399999997</v>
      </c>
      <c r="M7863" s="891"/>
      <c r="N7863" s="891">
        <f>SUM(N7864:N7877)</f>
        <v>0</v>
      </c>
      <c r="O7863" s="892">
        <f t="shared" si="604"/>
        <v>1</v>
      </c>
      <c r="P7863" s="903">
        <f t="shared" si="605"/>
        <v>0</v>
      </c>
      <c r="Q7863" s="893">
        <f t="shared" si="606"/>
        <v>0</v>
      </c>
      <c r="R7863" s="894">
        <f t="shared" si="607"/>
        <v>14</v>
      </c>
    </row>
    <row r="7864" spans="1:18" s="904" customFormat="1">
      <c r="A7864" s="895"/>
      <c r="B7864" s="896"/>
      <c r="C7864" s="897"/>
      <c r="D7864" s="897"/>
      <c r="E7864" s="898" t="s">
        <v>108</v>
      </c>
      <c r="F7864" s="899"/>
      <c r="G7864" s="928"/>
      <c r="H7864" s="901"/>
      <c r="I7864" s="902"/>
      <c r="J7864" s="902"/>
      <c r="K7864" s="912" t="s">
        <v>274</v>
      </c>
      <c r="L7864" s="902"/>
      <c r="M7864" s="902"/>
      <c r="N7864" s="902"/>
      <c r="O7864" s="892">
        <f t="shared" si="604"/>
        <v>0</v>
      </c>
      <c r="P7864" s="903">
        <f t="shared" si="605"/>
        <v>1</v>
      </c>
      <c r="Q7864" s="893">
        <f t="shared" si="606"/>
        <v>14</v>
      </c>
      <c r="R7864" s="894">
        <f t="shared" si="607"/>
        <v>0</v>
      </c>
    </row>
    <row r="7865" spans="1:18">
      <c r="A7865" s="905"/>
      <c r="B7865" s="906"/>
      <c r="C7865" s="907">
        <v>72</v>
      </c>
      <c r="D7865" s="907" t="s">
        <v>279</v>
      </c>
      <c r="E7865" s="925" t="s">
        <v>6126</v>
      </c>
      <c r="F7865" s="909" t="s">
        <v>2337</v>
      </c>
      <c r="G7865" s="910"/>
      <c r="H7865" s="911">
        <v>1</v>
      </c>
      <c r="I7865" s="912">
        <f>VLOOKUP(E7865,[3]VLP!$B$7:$K$300,10,0)</f>
        <v>33800</v>
      </c>
      <c r="J7865" s="912">
        <f t="shared" ref="J7865:J7875" si="609">I7865*H7865</f>
        <v>33800</v>
      </c>
      <c r="K7865" s="912" t="s">
        <v>274</v>
      </c>
      <c r="L7865" s="912"/>
      <c r="M7865" s="912"/>
      <c r="N7865" s="912"/>
      <c r="O7865" s="892">
        <f t="shared" si="604"/>
        <v>0</v>
      </c>
      <c r="P7865" s="903">
        <f t="shared" si="605"/>
        <v>1</v>
      </c>
      <c r="Q7865" s="893">
        <f t="shared" si="606"/>
        <v>13</v>
      </c>
      <c r="R7865" s="894">
        <f t="shared" si="607"/>
        <v>0</v>
      </c>
    </row>
    <row r="7866" spans="1:18">
      <c r="A7866" s="905"/>
      <c r="B7866" s="906"/>
      <c r="C7866" s="907">
        <v>24</v>
      </c>
      <c r="D7866" s="907" t="s">
        <v>279</v>
      </c>
      <c r="E7866" s="925" t="s">
        <v>2691</v>
      </c>
      <c r="F7866" s="926" t="s">
        <v>2690</v>
      </c>
      <c r="G7866" s="910"/>
      <c r="H7866" s="911">
        <v>4</v>
      </c>
      <c r="I7866" s="912">
        <f>VLOOKUP(E7866,[3]VLP!$B$7:$K$300,10,0)</f>
        <v>6000</v>
      </c>
      <c r="J7866" s="912">
        <f t="shared" si="609"/>
        <v>24000</v>
      </c>
      <c r="K7866" s="912" t="s">
        <v>274</v>
      </c>
      <c r="L7866" s="912"/>
      <c r="M7866" s="912"/>
      <c r="N7866" s="912"/>
      <c r="O7866" s="892">
        <f t="shared" si="604"/>
        <v>0</v>
      </c>
      <c r="P7866" s="903">
        <f t="shared" si="605"/>
        <v>1</v>
      </c>
      <c r="Q7866" s="893">
        <f t="shared" si="606"/>
        <v>12</v>
      </c>
      <c r="R7866" s="894">
        <f t="shared" si="607"/>
        <v>0</v>
      </c>
    </row>
    <row r="7867" spans="1:18">
      <c r="A7867" s="905"/>
      <c r="B7867" s="906"/>
      <c r="C7867" s="907">
        <v>122</v>
      </c>
      <c r="D7867" s="907" t="s">
        <v>279</v>
      </c>
      <c r="E7867" s="925" t="s">
        <v>3267</v>
      </c>
      <c r="F7867" s="909" t="s">
        <v>45</v>
      </c>
      <c r="G7867" s="910"/>
      <c r="H7867" s="911">
        <v>3</v>
      </c>
      <c r="I7867" s="912">
        <f>VLOOKUP(E7867,[3]VLP!$B$7:$K$300,10,0)</f>
        <v>30000</v>
      </c>
      <c r="J7867" s="912">
        <f t="shared" si="609"/>
        <v>90000</v>
      </c>
      <c r="K7867" s="912" t="s">
        <v>274</v>
      </c>
      <c r="L7867" s="912"/>
      <c r="M7867" s="912"/>
      <c r="N7867" s="912"/>
      <c r="O7867" s="892">
        <f t="shared" si="604"/>
        <v>0</v>
      </c>
      <c r="P7867" s="903">
        <f t="shared" si="605"/>
        <v>1</v>
      </c>
      <c r="Q7867" s="893">
        <f t="shared" si="606"/>
        <v>11</v>
      </c>
      <c r="R7867" s="894">
        <f t="shared" si="607"/>
        <v>0</v>
      </c>
    </row>
    <row r="7868" spans="1:18">
      <c r="A7868" s="905"/>
      <c r="B7868" s="906"/>
      <c r="C7868" s="907">
        <v>93</v>
      </c>
      <c r="D7868" s="907" t="s">
        <v>279</v>
      </c>
      <c r="E7868" s="925" t="s">
        <v>6111</v>
      </c>
      <c r="F7868" s="909" t="s">
        <v>45</v>
      </c>
      <c r="G7868" s="910"/>
      <c r="H7868" s="911">
        <v>0.3</v>
      </c>
      <c r="I7868" s="912">
        <f>VLOOKUP(E7868,[3]VLP!$B$7:$K$300,10,0)</f>
        <v>42000</v>
      </c>
      <c r="J7868" s="912">
        <f t="shared" si="609"/>
        <v>12600</v>
      </c>
      <c r="K7868" s="912" t="s">
        <v>274</v>
      </c>
      <c r="L7868" s="912"/>
      <c r="M7868" s="912"/>
      <c r="N7868" s="912"/>
      <c r="O7868" s="892">
        <f t="shared" si="604"/>
        <v>0</v>
      </c>
      <c r="P7868" s="903">
        <f t="shared" si="605"/>
        <v>1</v>
      </c>
      <c r="Q7868" s="893">
        <f t="shared" si="606"/>
        <v>10</v>
      </c>
      <c r="R7868" s="894">
        <f t="shared" si="607"/>
        <v>0</v>
      </c>
    </row>
    <row r="7869" spans="1:18">
      <c r="A7869" s="905"/>
      <c r="B7869" s="906"/>
      <c r="C7869" s="907">
        <v>89</v>
      </c>
      <c r="D7869" s="907" t="s">
        <v>279</v>
      </c>
      <c r="E7869" s="925" t="s">
        <v>5984</v>
      </c>
      <c r="F7869" s="909" t="s">
        <v>45</v>
      </c>
      <c r="G7869" s="910"/>
      <c r="H7869" s="911">
        <v>0.5</v>
      </c>
      <c r="I7869" s="912">
        <f>VLOOKUP(E7869,[3]VLP!$B$7:$K$300,10,0)</f>
        <v>1000</v>
      </c>
      <c r="J7869" s="912">
        <f t="shared" si="609"/>
        <v>500</v>
      </c>
      <c r="K7869" s="912" t="s">
        <v>274</v>
      </c>
      <c r="L7869" s="912"/>
      <c r="M7869" s="912"/>
      <c r="N7869" s="912"/>
      <c r="O7869" s="892">
        <f t="shared" si="604"/>
        <v>0</v>
      </c>
      <c r="P7869" s="903">
        <f t="shared" si="605"/>
        <v>1</v>
      </c>
      <c r="Q7869" s="893">
        <f t="shared" si="606"/>
        <v>9</v>
      </c>
      <c r="R7869" s="894">
        <f t="shared" si="607"/>
        <v>0</v>
      </c>
    </row>
    <row r="7870" spans="1:18">
      <c r="A7870" s="905"/>
      <c r="B7870" s="906"/>
      <c r="C7870" s="907">
        <v>47</v>
      </c>
      <c r="D7870" s="907" t="s">
        <v>279</v>
      </c>
      <c r="E7870" s="925" t="s">
        <v>3170</v>
      </c>
      <c r="F7870" s="909" t="s">
        <v>45</v>
      </c>
      <c r="G7870" s="910"/>
      <c r="H7870" s="911">
        <v>17</v>
      </c>
      <c r="I7870" s="912">
        <f>VLOOKUP(E7870,[3]VLP!$B$7:$K$300,10,0)</f>
        <v>1000</v>
      </c>
      <c r="J7870" s="912">
        <f t="shared" si="609"/>
        <v>17000</v>
      </c>
      <c r="K7870" s="912" t="s">
        <v>274</v>
      </c>
      <c r="L7870" s="912"/>
      <c r="M7870" s="912"/>
      <c r="N7870" s="912"/>
      <c r="O7870" s="892">
        <f t="shared" si="604"/>
        <v>0</v>
      </c>
      <c r="P7870" s="903">
        <f t="shared" si="605"/>
        <v>1</v>
      </c>
      <c r="Q7870" s="893">
        <f t="shared" si="606"/>
        <v>8</v>
      </c>
      <c r="R7870" s="894">
        <f t="shared" si="607"/>
        <v>0</v>
      </c>
    </row>
    <row r="7871" spans="1:18">
      <c r="A7871" s="905"/>
      <c r="B7871" s="906"/>
      <c r="C7871" s="907">
        <v>44</v>
      </c>
      <c r="D7871" s="907" t="s">
        <v>279</v>
      </c>
      <c r="E7871" s="925" t="s">
        <v>2681</v>
      </c>
      <c r="F7871" s="926" t="s">
        <v>45</v>
      </c>
      <c r="G7871" s="910"/>
      <c r="H7871" s="911">
        <v>25</v>
      </c>
      <c r="I7871" s="912">
        <f>VLOOKUP(E7871,[3]VLP!$B$7:$K$300,10,0)</f>
        <v>23000</v>
      </c>
      <c r="J7871" s="912">
        <f t="shared" si="609"/>
        <v>575000</v>
      </c>
      <c r="K7871" s="912" t="s">
        <v>274</v>
      </c>
      <c r="L7871" s="912"/>
      <c r="M7871" s="912"/>
      <c r="N7871" s="912"/>
      <c r="O7871" s="892">
        <f t="shared" si="604"/>
        <v>0</v>
      </c>
      <c r="P7871" s="903">
        <f t="shared" si="605"/>
        <v>1</v>
      </c>
      <c r="Q7871" s="893">
        <f t="shared" si="606"/>
        <v>7</v>
      </c>
      <c r="R7871" s="894">
        <f t="shared" si="607"/>
        <v>0</v>
      </c>
    </row>
    <row r="7872" spans="1:18">
      <c r="A7872" s="905"/>
      <c r="B7872" s="906"/>
      <c r="C7872" s="907">
        <v>66</v>
      </c>
      <c r="D7872" s="907" t="s">
        <v>279</v>
      </c>
      <c r="E7872" s="925" t="s">
        <v>2682</v>
      </c>
      <c r="F7872" s="926" t="s">
        <v>45</v>
      </c>
      <c r="G7872" s="910"/>
      <c r="H7872" s="911">
        <v>0.7</v>
      </c>
      <c r="I7872" s="912">
        <f>VLOOKUP(E7872,[3]VLP!$B$7:$K$300,10,0)</f>
        <v>5000</v>
      </c>
      <c r="J7872" s="912">
        <f t="shared" si="609"/>
        <v>3500</v>
      </c>
      <c r="K7872" s="912" t="s">
        <v>274</v>
      </c>
      <c r="L7872" s="912"/>
      <c r="M7872" s="912"/>
      <c r="N7872" s="912"/>
      <c r="O7872" s="892">
        <f t="shared" si="604"/>
        <v>0</v>
      </c>
      <c r="P7872" s="903">
        <f t="shared" si="605"/>
        <v>1</v>
      </c>
      <c r="Q7872" s="893">
        <f t="shared" si="606"/>
        <v>6</v>
      </c>
      <c r="R7872" s="894">
        <f t="shared" si="607"/>
        <v>0</v>
      </c>
    </row>
    <row r="7873" spans="1:18">
      <c r="A7873" s="905"/>
      <c r="B7873" s="906"/>
      <c r="C7873" s="907">
        <v>46</v>
      </c>
      <c r="D7873" s="907" t="s">
        <v>279</v>
      </c>
      <c r="E7873" s="925" t="s">
        <v>3179</v>
      </c>
      <c r="F7873" s="926" t="s">
        <v>45</v>
      </c>
      <c r="G7873" s="910"/>
      <c r="H7873" s="911">
        <v>25</v>
      </c>
      <c r="I7873" s="912">
        <f>VLOOKUP(E7873,[3]VLP!$B$7:$K$300,10,0)</f>
        <v>20500</v>
      </c>
      <c r="J7873" s="912">
        <f t="shared" si="609"/>
        <v>512500</v>
      </c>
      <c r="K7873" s="912" t="s">
        <v>274</v>
      </c>
      <c r="L7873" s="912"/>
      <c r="M7873" s="912"/>
      <c r="N7873" s="912"/>
      <c r="O7873" s="892">
        <f t="shared" si="604"/>
        <v>0</v>
      </c>
      <c r="P7873" s="903">
        <f t="shared" si="605"/>
        <v>1</v>
      </c>
      <c r="Q7873" s="893">
        <f t="shared" si="606"/>
        <v>5</v>
      </c>
      <c r="R7873" s="894">
        <f t="shared" si="607"/>
        <v>0</v>
      </c>
    </row>
    <row r="7874" spans="1:18">
      <c r="A7874" s="905"/>
      <c r="B7874" s="906"/>
      <c r="C7874" s="907">
        <v>58</v>
      </c>
      <c r="D7874" s="907" t="s">
        <v>279</v>
      </c>
      <c r="E7874" s="925" t="s">
        <v>3190</v>
      </c>
      <c r="F7874" s="926" t="s">
        <v>45</v>
      </c>
      <c r="G7874" s="910"/>
      <c r="H7874" s="911">
        <v>2</v>
      </c>
      <c r="I7874" s="912">
        <f>VLOOKUP(E7874,[3]VLP!$B$7:$K$300,10,0)</f>
        <v>27940</v>
      </c>
      <c r="J7874" s="912">
        <f t="shared" si="609"/>
        <v>55880</v>
      </c>
      <c r="K7874" s="912" t="s">
        <v>274</v>
      </c>
      <c r="L7874" s="912"/>
      <c r="M7874" s="912"/>
      <c r="N7874" s="912"/>
      <c r="O7874" s="892">
        <f t="shared" si="604"/>
        <v>0</v>
      </c>
      <c r="P7874" s="903">
        <f t="shared" si="605"/>
        <v>1</v>
      </c>
      <c r="Q7874" s="893">
        <f t="shared" si="606"/>
        <v>4</v>
      </c>
      <c r="R7874" s="894">
        <f t="shared" si="607"/>
        <v>0</v>
      </c>
    </row>
    <row r="7875" spans="1:18">
      <c r="A7875" s="905"/>
      <c r="B7875" s="906"/>
      <c r="C7875" s="907">
        <v>699</v>
      </c>
      <c r="D7875" s="907" t="s">
        <v>279</v>
      </c>
      <c r="E7875" s="925" t="s">
        <v>4006</v>
      </c>
      <c r="F7875" s="926" t="s">
        <v>4007</v>
      </c>
      <c r="G7875" s="910"/>
      <c r="H7875" s="911">
        <v>5</v>
      </c>
      <c r="I7875" s="912">
        <f>VLOOKUP(E7875,[3]VLP!$B$7:$K$300,10,0)</f>
        <v>5000</v>
      </c>
      <c r="J7875" s="912">
        <f t="shared" si="609"/>
        <v>25000</v>
      </c>
      <c r="K7875" s="912" t="s">
        <v>274</v>
      </c>
      <c r="L7875" s="912"/>
      <c r="M7875" s="912"/>
      <c r="N7875" s="912"/>
      <c r="O7875" s="892">
        <f t="shared" si="604"/>
        <v>0</v>
      </c>
      <c r="P7875" s="903">
        <f t="shared" si="605"/>
        <v>1</v>
      </c>
      <c r="Q7875" s="893">
        <f t="shared" si="606"/>
        <v>3</v>
      </c>
      <c r="R7875" s="894">
        <f t="shared" si="607"/>
        <v>0</v>
      </c>
    </row>
    <row r="7876" spans="1:18" s="904" customFormat="1">
      <c r="A7876" s="895"/>
      <c r="B7876" s="896"/>
      <c r="C7876" s="897"/>
      <c r="D7876" s="897"/>
      <c r="E7876" s="924" t="s">
        <v>276</v>
      </c>
      <c r="F7876" s="927"/>
      <c r="G7876" s="928"/>
      <c r="H7876" s="901"/>
      <c r="I7876" s="902"/>
      <c r="J7876" s="902"/>
      <c r="K7876" s="912" t="s">
        <v>274</v>
      </c>
      <c r="L7876" s="902"/>
      <c r="M7876" s="902"/>
      <c r="N7876" s="902"/>
      <c r="O7876" s="892">
        <f t="shared" si="604"/>
        <v>0</v>
      </c>
      <c r="P7876" s="903">
        <f t="shared" si="605"/>
        <v>1</v>
      </c>
      <c r="Q7876" s="893">
        <f t="shared" si="606"/>
        <v>2</v>
      </c>
      <c r="R7876" s="894">
        <f t="shared" si="607"/>
        <v>0</v>
      </c>
    </row>
    <row r="7877" spans="1:18">
      <c r="A7877" s="905"/>
      <c r="B7877" s="906"/>
      <c r="C7877" s="907">
        <v>745</v>
      </c>
      <c r="D7877" s="907" t="s">
        <v>12</v>
      </c>
      <c r="E7877" s="908" t="s">
        <v>5518</v>
      </c>
      <c r="F7877" s="909" t="s">
        <v>2674</v>
      </c>
      <c r="G7877" s="910"/>
      <c r="H7877" s="911">
        <v>20.52</v>
      </c>
      <c r="I7877" s="912"/>
      <c r="J7877" s="912"/>
      <c r="K7877" s="912">
        <f>VLOOKUP(E7877,[5]ĐMNC!$A$7:$F$67,4,0)</f>
        <v>240557</v>
      </c>
      <c r="L7877" s="912">
        <f>H7877*K7877</f>
        <v>4936229.6399999997</v>
      </c>
      <c r="M7877" s="912"/>
      <c r="N7877" s="912"/>
      <c r="O7877" s="892">
        <f t="shared" si="604"/>
        <v>0</v>
      </c>
      <c r="P7877" s="903">
        <f t="shared" si="605"/>
        <v>1</v>
      </c>
      <c r="Q7877" s="893">
        <f t="shared" si="606"/>
        <v>1</v>
      </c>
      <c r="R7877" s="894">
        <f t="shared" si="607"/>
        <v>0</v>
      </c>
    </row>
    <row r="7878" spans="1:18" s="847" customFormat="1" ht="35.25" customHeight="1">
      <c r="A7878" s="905"/>
      <c r="B7878" s="914" t="s">
        <v>6203</v>
      </c>
      <c r="C7878" s="915"/>
      <c r="D7878" s="915"/>
      <c r="E7878" s="916" t="s">
        <v>6204</v>
      </c>
      <c r="F7878" s="917" t="s">
        <v>6094</v>
      </c>
      <c r="G7878" s="944"/>
      <c r="H7878" s="919"/>
      <c r="I7878" s="920"/>
      <c r="J7878" s="891">
        <f>SUM(J7879:J7892)</f>
        <v>1596800</v>
      </c>
      <c r="K7878" s="891" t="s">
        <v>274</v>
      </c>
      <c r="L7878" s="891">
        <f>SUM(L7879:L7892)</f>
        <v>5922513.3399999999</v>
      </c>
      <c r="M7878" s="891"/>
      <c r="N7878" s="891">
        <f>SUM(N7879:N7892)</f>
        <v>0</v>
      </c>
      <c r="O7878" s="892">
        <f t="shared" si="604"/>
        <v>1</v>
      </c>
      <c r="P7878" s="903">
        <f t="shared" si="605"/>
        <v>0</v>
      </c>
      <c r="Q7878" s="893">
        <f t="shared" si="606"/>
        <v>0</v>
      </c>
      <c r="R7878" s="894">
        <f t="shared" si="607"/>
        <v>14</v>
      </c>
    </row>
    <row r="7879" spans="1:18" s="904" customFormat="1">
      <c r="A7879" s="895"/>
      <c r="B7879" s="896"/>
      <c r="C7879" s="897"/>
      <c r="D7879" s="897"/>
      <c r="E7879" s="898" t="s">
        <v>108</v>
      </c>
      <c r="F7879" s="899"/>
      <c r="G7879" s="928"/>
      <c r="H7879" s="901"/>
      <c r="I7879" s="902"/>
      <c r="J7879" s="902"/>
      <c r="K7879" s="912" t="s">
        <v>274</v>
      </c>
      <c r="L7879" s="902"/>
      <c r="M7879" s="902"/>
      <c r="N7879" s="902"/>
      <c r="O7879" s="892">
        <f t="shared" si="604"/>
        <v>0</v>
      </c>
      <c r="P7879" s="903">
        <f t="shared" si="605"/>
        <v>1</v>
      </c>
      <c r="Q7879" s="893">
        <f t="shared" si="606"/>
        <v>14</v>
      </c>
      <c r="R7879" s="894">
        <f t="shared" si="607"/>
        <v>0</v>
      </c>
    </row>
    <row r="7880" spans="1:18">
      <c r="A7880" s="905"/>
      <c r="B7880" s="906"/>
      <c r="C7880" s="907">
        <v>73</v>
      </c>
      <c r="D7880" s="907" t="s">
        <v>279</v>
      </c>
      <c r="E7880" s="925" t="s">
        <v>6129</v>
      </c>
      <c r="F7880" s="909" t="s">
        <v>2337</v>
      </c>
      <c r="G7880" s="910"/>
      <c r="H7880" s="911">
        <v>1</v>
      </c>
      <c r="I7880" s="912">
        <f>VLOOKUP(E7880,[3]VLP!$B$7:$K$300,10,0)</f>
        <v>33800</v>
      </c>
      <c r="J7880" s="912">
        <f t="shared" ref="J7880:J7890" si="610">I7880*H7880</f>
        <v>33800</v>
      </c>
      <c r="K7880" s="912" t="s">
        <v>274</v>
      </c>
      <c r="L7880" s="912"/>
      <c r="M7880" s="912"/>
      <c r="N7880" s="912"/>
      <c r="O7880" s="892">
        <f t="shared" si="604"/>
        <v>0</v>
      </c>
      <c r="P7880" s="903">
        <f t="shared" si="605"/>
        <v>1</v>
      </c>
      <c r="Q7880" s="893">
        <f t="shared" si="606"/>
        <v>13</v>
      </c>
      <c r="R7880" s="894">
        <f t="shared" si="607"/>
        <v>0</v>
      </c>
    </row>
    <row r="7881" spans="1:18">
      <c r="A7881" s="905"/>
      <c r="B7881" s="906"/>
      <c r="C7881" s="907">
        <v>24</v>
      </c>
      <c r="D7881" s="907" t="s">
        <v>279</v>
      </c>
      <c r="E7881" s="925" t="s">
        <v>2691</v>
      </c>
      <c r="F7881" s="926" t="s">
        <v>2690</v>
      </c>
      <c r="G7881" s="910"/>
      <c r="H7881" s="911">
        <v>4.8</v>
      </c>
      <c r="I7881" s="912">
        <f>VLOOKUP(E7881,[3]VLP!$B$7:$K$300,10,0)</f>
        <v>6000</v>
      </c>
      <c r="J7881" s="912">
        <f t="shared" si="610"/>
        <v>28800</v>
      </c>
      <c r="K7881" s="912" t="s">
        <v>274</v>
      </c>
      <c r="L7881" s="912"/>
      <c r="M7881" s="912"/>
      <c r="N7881" s="912"/>
      <c r="O7881" s="892">
        <f t="shared" si="604"/>
        <v>0</v>
      </c>
      <c r="P7881" s="903">
        <f t="shared" si="605"/>
        <v>1</v>
      </c>
      <c r="Q7881" s="893">
        <f t="shared" si="606"/>
        <v>12</v>
      </c>
      <c r="R7881" s="894">
        <f t="shared" si="607"/>
        <v>0</v>
      </c>
    </row>
    <row r="7882" spans="1:18">
      <c r="A7882" s="905"/>
      <c r="B7882" s="906"/>
      <c r="C7882" s="907">
        <v>122</v>
      </c>
      <c r="D7882" s="907" t="s">
        <v>279</v>
      </c>
      <c r="E7882" s="925" t="s">
        <v>3267</v>
      </c>
      <c r="F7882" s="909" t="s">
        <v>45</v>
      </c>
      <c r="G7882" s="910"/>
      <c r="H7882" s="911">
        <v>3.6</v>
      </c>
      <c r="I7882" s="912">
        <f>VLOOKUP(E7882,[3]VLP!$B$7:$K$300,10,0)</f>
        <v>30000</v>
      </c>
      <c r="J7882" s="912">
        <f t="shared" si="610"/>
        <v>108000</v>
      </c>
      <c r="K7882" s="912" t="s">
        <v>274</v>
      </c>
      <c r="L7882" s="912"/>
      <c r="M7882" s="912"/>
      <c r="N7882" s="912"/>
      <c r="O7882" s="892">
        <f t="shared" si="604"/>
        <v>0</v>
      </c>
      <c r="P7882" s="903">
        <f t="shared" si="605"/>
        <v>1</v>
      </c>
      <c r="Q7882" s="893">
        <f t="shared" si="606"/>
        <v>11</v>
      </c>
      <c r="R7882" s="894">
        <f t="shared" si="607"/>
        <v>0</v>
      </c>
    </row>
    <row r="7883" spans="1:18">
      <c r="A7883" s="905"/>
      <c r="B7883" s="906"/>
      <c r="C7883" s="907">
        <v>93</v>
      </c>
      <c r="D7883" s="907" t="s">
        <v>279</v>
      </c>
      <c r="E7883" s="925" t="s">
        <v>6111</v>
      </c>
      <c r="F7883" s="909" t="s">
        <v>45</v>
      </c>
      <c r="G7883" s="910"/>
      <c r="H7883" s="911">
        <v>0.36</v>
      </c>
      <c r="I7883" s="912">
        <f>VLOOKUP(E7883,[3]VLP!$B$7:$K$300,10,0)</f>
        <v>42000</v>
      </c>
      <c r="J7883" s="912">
        <f t="shared" si="610"/>
        <v>15120</v>
      </c>
      <c r="K7883" s="912" t="s">
        <v>274</v>
      </c>
      <c r="L7883" s="912"/>
      <c r="M7883" s="912"/>
      <c r="N7883" s="912"/>
      <c r="O7883" s="892">
        <f t="shared" si="604"/>
        <v>0</v>
      </c>
      <c r="P7883" s="903">
        <f t="shared" si="605"/>
        <v>1</v>
      </c>
      <c r="Q7883" s="893">
        <f t="shared" si="606"/>
        <v>10</v>
      </c>
      <c r="R7883" s="894">
        <f t="shared" si="607"/>
        <v>0</v>
      </c>
    </row>
    <row r="7884" spans="1:18">
      <c r="A7884" s="905"/>
      <c r="B7884" s="906"/>
      <c r="C7884" s="907">
        <v>89</v>
      </c>
      <c r="D7884" s="907" t="s">
        <v>279</v>
      </c>
      <c r="E7884" s="925" t="s">
        <v>5984</v>
      </c>
      <c r="F7884" s="909" t="s">
        <v>45</v>
      </c>
      <c r="G7884" s="910"/>
      <c r="H7884" s="911">
        <v>0.6</v>
      </c>
      <c r="I7884" s="912">
        <f>VLOOKUP(E7884,[3]VLP!$B$7:$K$300,10,0)</f>
        <v>1000</v>
      </c>
      <c r="J7884" s="912">
        <f t="shared" si="610"/>
        <v>600</v>
      </c>
      <c r="K7884" s="912" t="s">
        <v>274</v>
      </c>
      <c r="L7884" s="912"/>
      <c r="M7884" s="912"/>
      <c r="N7884" s="912"/>
      <c r="O7884" s="892">
        <f t="shared" si="604"/>
        <v>0</v>
      </c>
      <c r="P7884" s="903">
        <f t="shared" si="605"/>
        <v>1</v>
      </c>
      <c r="Q7884" s="893">
        <f t="shared" si="606"/>
        <v>9</v>
      </c>
      <c r="R7884" s="894">
        <f t="shared" si="607"/>
        <v>0</v>
      </c>
    </row>
    <row r="7885" spans="1:18">
      <c r="A7885" s="905"/>
      <c r="B7885" s="906"/>
      <c r="C7885" s="907">
        <v>47</v>
      </c>
      <c r="D7885" s="907" t="s">
        <v>279</v>
      </c>
      <c r="E7885" s="925" t="s">
        <v>3170</v>
      </c>
      <c r="F7885" s="909" t="s">
        <v>45</v>
      </c>
      <c r="G7885" s="910"/>
      <c r="H7885" s="911">
        <v>20.399999999999999</v>
      </c>
      <c r="I7885" s="912">
        <f>VLOOKUP(E7885,[3]VLP!$B$7:$K$300,10,0)</f>
        <v>1000</v>
      </c>
      <c r="J7885" s="912">
        <f t="shared" si="610"/>
        <v>20400</v>
      </c>
      <c r="K7885" s="912" t="s">
        <v>274</v>
      </c>
      <c r="L7885" s="912"/>
      <c r="M7885" s="912"/>
      <c r="N7885" s="912"/>
      <c r="O7885" s="892">
        <f t="shared" si="604"/>
        <v>0</v>
      </c>
      <c r="P7885" s="903">
        <f t="shared" si="605"/>
        <v>1</v>
      </c>
      <c r="Q7885" s="893">
        <f t="shared" si="606"/>
        <v>8</v>
      </c>
      <c r="R7885" s="894">
        <f t="shared" si="607"/>
        <v>0</v>
      </c>
    </row>
    <row r="7886" spans="1:18">
      <c r="A7886" s="905"/>
      <c r="B7886" s="906"/>
      <c r="C7886" s="907">
        <v>44</v>
      </c>
      <c r="D7886" s="907" t="s">
        <v>279</v>
      </c>
      <c r="E7886" s="925" t="s">
        <v>2681</v>
      </c>
      <c r="F7886" s="926" t="s">
        <v>45</v>
      </c>
      <c r="G7886" s="910"/>
      <c r="H7886" s="911">
        <v>30</v>
      </c>
      <c r="I7886" s="912">
        <f>VLOOKUP(E7886,[3]VLP!$B$7:$K$300,10,0)</f>
        <v>23000</v>
      </c>
      <c r="J7886" s="912">
        <f t="shared" si="610"/>
        <v>690000</v>
      </c>
      <c r="K7886" s="912" t="s">
        <v>274</v>
      </c>
      <c r="L7886" s="912"/>
      <c r="M7886" s="912"/>
      <c r="N7886" s="912"/>
      <c r="O7886" s="892">
        <f t="shared" si="604"/>
        <v>0</v>
      </c>
      <c r="P7886" s="903">
        <f t="shared" si="605"/>
        <v>1</v>
      </c>
      <c r="Q7886" s="893">
        <f t="shared" si="606"/>
        <v>7</v>
      </c>
      <c r="R7886" s="894">
        <f t="shared" si="607"/>
        <v>0</v>
      </c>
    </row>
    <row r="7887" spans="1:18">
      <c r="A7887" s="905"/>
      <c r="B7887" s="906"/>
      <c r="C7887" s="907">
        <v>66</v>
      </c>
      <c r="D7887" s="907" t="s">
        <v>279</v>
      </c>
      <c r="E7887" s="925" t="s">
        <v>2682</v>
      </c>
      <c r="F7887" s="926" t="s">
        <v>45</v>
      </c>
      <c r="G7887" s="910"/>
      <c r="H7887" s="911">
        <v>0.84</v>
      </c>
      <c r="I7887" s="912">
        <f>VLOOKUP(E7887,[3]VLP!$B$7:$K$300,10,0)</f>
        <v>5000</v>
      </c>
      <c r="J7887" s="912">
        <f t="shared" si="610"/>
        <v>4200</v>
      </c>
      <c r="K7887" s="912" t="s">
        <v>274</v>
      </c>
      <c r="L7887" s="912"/>
      <c r="M7887" s="912"/>
      <c r="N7887" s="912"/>
      <c r="O7887" s="892">
        <f t="shared" si="604"/>
        <v>0</v>
      </c>
      <c r="P7887" s="903">
        <f t="shared" si="605"/>
        <v>1</v>
      </c>
      <c r="Q7887" s="893">
        <f t="shared" si="606"/>
        <v>6</v>
      </c>
      <c r="R7887" s="894">
        <f t="shared" si="607"/>
        <v>0</v>
      </c>
    </row>
    <row r="7888" spans="1:18">
      <c r="A7888" s="905"/>
      <c r="B7888" s="906"/>
      <c r="C7888" s="907">
        <v>46</v>
      </c>
      <c r="D7888" s="907" t="s">
        <v>279</v>
      </c>
      <c r="E7888" s="925" t="s">
        <v>3179</v>
      </c>
      <c r="F7888" s="926" t="s">
        <v>45</v>
      </c>
      <c r="G7888" s="910"/>
      <c r="H7888" s="911">
        <v>30</v>
      </c>
      <c r="I7888" s="912">
        <f>VLOOKUP(E7888,[3]VLP!$B$7:$K$300,10,0)</f>
        <v>20500</v>
      </c>
      <c r="J7888" s="912">
        <f t="shared" si="610"/>
        <v>615000</v>
      </c>
      <c r="K7888" s="912" t="s">
        <v>274</v>
      </c>
      <c r="L7888" s="912"/>
      <c r="M7888" s="912"/>
      <c r="N7888" s="912"/>
      <c r="O7888" s="892">
        <f t="shared" si="604"/>
        <v>0</v>
      </c>
      <c r="P7888" s="903">
        <f t="shared" si="605"/>
        <v>1</v>
      </c>
      <c r="Q7888" s="893">
        <f t="shared" si="606"/>
        <v>5</v>
      </c>
      <c r="R7888" s="894">
        <f t="shared" si="607"/>
        <v>0</v>
      </c>
    </row>
    <row r="7889" spans="1:18">
      <c r="A7889" s="905"/>
      <c r="B7889" s="906"/>
      <c r="C7889" s="907">
        <v>58</v>
      </c>
      <c r="D7889" s="907" t="s">
        <v>279</v>
      </c>
      <c r="E7889" s="925" t="s">
        <v>3190</v>
      </c>
      <c r="F7889" s="926" t="s">
        <v>45</v>
      </c>
      <c r="G7889" s="910"/>
      <c r="H7889" s="911">
        <v>2</v>
      </c>
      <c r="I7889" s="912">
        <f>VLOOKUP(E7889,[3]VLP!$B$7:$K$300,10,0)</f>
        <v>27940</v>
      </c>
      <c r="J7889" s="912">
        <f t="shared" si="610"/>
        <v>55880</v>
      </c>
      <c r="K7889" s="912" t="s">
        <v>274</v>
      </c>
      <c r="L7889" s="912"/>
      <c r="M7889" s="912"/>
      <c r="N7889" s="912"/>
      <c r="O7889" s="892">
        <f t="shared" si="604"/>
        <v>0</v>
      </c>
      <c r="P7889" s="903">
        <f t="shared" si="605"/>
        <v>1</v>
      </c>
      <c r="Q7889" s="893">
        <f t="shared" si="606"/>
        <v>4</v>
      </c>
      <c r="R7889" s="894">
        <f t="shared" si="607"/>
        <v>0</v>
      </c>
    </row>
    <row r="7890" spans="1:18">
      <c r="A7890" s="905"/>
      <c r="B7890" s="906"/>
      <c r="C7890" s="907">
        <v>699</v>
      </c>
      <c r="D7890" s="907" t="s">
        <v>279</v>
      </c>
      <c r="E7890" s="925" t="s">
        <v>4006</v>
      </c>
      <c r="F7890" s="926" t="s">
        <v>4007</v>
      </c>
      <c r="G7890" s="910"/>
      <c r="H7890" s="911">
        <v>5</v>
      </c>
      <c r="I7890" s="912">
        <f>VLOOKUP(E7890,[3]VLP!$B$7:$K$300,10,0)</f>
        <v>5000</v>
      </c>
      <c r="J7890" s="912">
        <f t="shared" si="610"/>
        <v>25000</v>
      </c>
      <c r="K7890" s="912" t="s">
        <v>274</v>
      </c>
      <c r="L7890" s="912"/>
      <c r="M7890" s="912"/>
      <c r="N7890" s="912"/>
      <c r="O7890" s="892">
        <f t="shared" si="604"/>
        <v>0</v>
      </c>
      <c r="P7890" s="903">
        <f t="shared" si="605"/>
        <v>1</v>
      </c>
      <c r="Q7890" s="893">
        <f t="shared" si="606"/>
        <v>3</v>
      </c>
      <c r="R7890" s="894">
        <f t="shared" si="607"/>
        <v>0</v>
      </c>
    </row>
    <row r="7891" spans="1:18" s="904" customFormat="1">
      <c r="A7891" s="895"/>
      <c r="B7891" s="896"/>
      <c r="C7891" s="897"/>
      <c r="D7891" s="897"/>
      <c r="E7891" s="924" t="s">
        <v>276</v>
      </c>
      <c r="F7891" s="927"/>
      <c r="G7891" s="928"/>
      <c r="H7891" s="901"/>
      <c r="I7891" s="902"/>
      <c r="J7891" s="902"/>
      <c r="K7891" s="912" t="s">
        <v>274</v>
      </c>
      <c r="L7891" s="902"/>
      <c r="M7891" s="902"/>
      <c r="N7891" s="902"/>
      <c r="O7891" s="892">
        <f t="shared" si="604"/>
        <v>0</v>
      </c>
      <c r="P7891" s="903">
        <f t="shared" si="605"/>
        <v>1</v>
      </c>
      <c r="Q7891" s="893">
        <f t="shared" si="606"/>
        <v>2</v>
      </c>
      <c r="R7891" s="894">
        <f t="shared" si="607"/>
        <v>0</v>
      </c>
    </row>
    <row r="7892" spans="1:18">
      <c r="A7892" s="905"/>
      <c r="B7892" s="906"/>
      <c r="C7892" s="907">
        <v>745</v>
      </c>
      <c r="D7892" s="907" t="s">
        <v>12</v>
      </c>
      <c r="E7892" s="908" t="s">
        <v>5518</v>
      </c>
      <c r="F7892" s="909" t="s">
        <v>2674</v>
      </c>
      <c r="G7892" s="910"/>
      <c r="H7892" s="911">
        <v>24.62</v>
      </c>
      <c r="I7892" s="912"/>
      <c r="J7892" s="912"/>
      <c r="K7892" s="912">
        <f>VLOOKUP(E7892,[5]ĐMNC!$A$7:$F$67,4,0)</f>
        <v>240557</v>
      </c>
      <c r="L7892" s="912">
        <f>H7892*K7892</f>
        <v>5922513.3399999999</v>
      </c>
      <c r="M7892" s="912"/>
      <c r="N7892" s="912"/>
      <c r="O7892" s="892">
        <f t="shared" si="604"/>
        <v>0</v>
      </c>
      <c r="P7892" s="903">
        <f t="shared" si="605"/>
        <v>1</v>
      </c>
      <c r="Q7892" s="893">
        <f t="shared" si="606"/>
        <v>1</v>
      </c>
      <c r="R7892" s="894">
        <f t="shared" si="607"/>
        <v>0</v>
      </c>
    </row>
    <row r="7893" spans="1:18" s="847" customFormat="1" ht="35.25" customHeight="1">
      <c r="A7893" s="905" t="s">
        <v>6174</v>
      </c>
      <c r="B7893" s="914" t="s">
        <v>6205</v>
      </c>
      <c r="C7893" s="915"/>
      <c r="D7893" s="915"/>
      <c r="E7893" s="916" t="s">
        <v>6192</v>
      </c>
      <c r="F7893" s="917" t="s">
        <v>6094</v>
      </c>
      <c r="G7893" s="944"/>
      <c r="H7893" s="919"/>
      <c r="I7893" s="920"/>
      <c r="J7893" s="891">
        <f>SUM(J7894:J7907)</f>
        <v>894304</v>
      </c>
      <c r="K7893" s="891" t="s">
        <v>274</v>
      </c>
      <c r="L7893" s="891">
        <f>SUM(L7894:L7907)</f>
        <v>3702172.23</v>
      </c>
      <c r="M7893" s="891"/>
      <c r="N7893" s="891">
        <f>SUM(N7894:N7907)</f>
        <v>0</v>
      </c>
      <c r="O7893" s="892">
        <f t="shared" si="604"/>
        <v>1</v>
      </c>
      <c r="P7893" s="903">
        <f t="shared" si="605"/>
        <v>0</v>
      </c>
      <c r="Q7893" s="893">
        <f t="shared" si="606"/>
        <v>0</v>
      </c>
      <c r="R7893" s="894">
        <f t="shared" si="607"/>
        <v>14</v>
      </c>
    </row>
    <row r="7894" spans="1:18" s="904" customFormat="1">
      <c r="A7894" s="895"/>
      <c r="B7894" s="922"/>
      <c r="C7894" s="897"/>
      <c r="D7894" s="897"/>
      <c r="E7894" s="898" t="s">
        <v>108</v>
      </c>
      <c r="F7894" s="899"/>
      <c r="G7894" s="928"/>
      <c r="H7894" s="901"/>
      <c r="I7894" s="902"/>
      <c r="J7894" s="902"/>
      <c r="K7894" s="912" t="s">
        <v>274</v>
      </c>
      <c r="L7894" s="902"/>
      <c r="M7894" s="902"/>
      <c r="N7894" s="902"/>
      <c r="O7894" s="892">
        <f t="shared" si="604"/>
        <v>0</v>
      </c>
      <c r="P7894" s="903">
        <f t="shared" si="605"/>
        <v>1</v>
      </c>
      <c r="Q7894" s="893">
        <f t="shared" si="606"/>
        <v>14</v>
      </c>
      <c r="R7894" s="894">
        <f t="shared" si="607"/>
        <v>0</v>
      </c>
    </row>
    <row r="7895" spans="1:18">
      <c r="A7895" s="905"/>
      <c r="B7895" s="906"/>
      <c r="C7895" s="907">
        <v>67</v>
      </c>
      <c r="D7895" s="907" t="s">
        <v>279</v>
      </c>
      <c r="E7895" s="925" t="s">
        <v>6110</v>
      </c>
      <c r="F7895" s="909" t="s">
        <v>2337</v>
      </c>
      <c r="G7895" s="910"/>
      <c r="H7895" s="911">
        <v>1</v>
      </c>
      <c r="I7895" s="912">
        <f>VLOOKUP(E7895,[3]VLP!$B$7:$K$300,10,0)</f>
        <v>16224</v>
      </c>
      <c r="J7895" s="912">
        <f t="shared" ref="J7895:J7905" si="611">I7895*H7895</f>
        <v>16224</v>
      </c>
      <c r="K7895" s="912" t="s">
        <v>274</v>
      </c>
      <c r="L7895" s="912"/>
      <c r="M7895" s="912"/>
      <c r="N7895" s="912"/>
      <c r="O7895" s="892">
        <f t="shared" si="604"/>
        <v>0</v>
      </c>
      <c r="P7895" s="903">
        <f t="shared" si="605"/>
        <v>1</v>
      </c>
      <c r="Q7895" s="893">
        <f t="shared" si="606"/>
        <v>13</v>
      </c>
      <c r="R7895" s="894">
        <f t="shared" si="607"/>
        <v>0</v>
      </c>
    </row>
    <row r="7896" spans="1:18">
      <c r="A7896" s="905"/>
      <c r="B7896" s="906"/>
      <c r="C7896" s="907">
        <v>24</v>
      </c>
      <c r="D7896" s="907" t="s">
        <v>279</v>
      </c>
      <c r="E7896" s="925" t="s">
        <v>2691</v>
      </c>
      <c r="F7896" s="926" t="s">
        <v>2690</v>
      </c>
      <c r="G7896" s="910"/>
      <c r="H7896" s="911">
        <v>2.5</v>
      </c>
      <c r="I7896" s="912">
        <f>VLOOKUP(E7896,[3]VLP!$B$7:$K$300,10,0)</f>
        <v>6000</v>
      </c>
      <c r="J7896" s="912">
        <f t="shared" si="611"/>
        <v>15000</v>
      </c>
      <c r="K7896" s="912" t="s">
        <v>274</v>
      </c>
      <c r="L7896" s="912"/>
      <c r="M7896" s="912"/>
      <c r="N7896" s="912"/>
      <c r="O7896" s="892">
        <f t="shared" si="604"/>
        <v>0</v>
      </c>
      <c r="P7896" s="903">
        <f t="shared" si="605"/>
        <v>1</v>
      </c>
      <c r="Q7896" s="893">
        <f t="shared" si="606"/>
        <v>12</v>
      </c>
      <c r="R7896" s="894">
        <f t="shared" si="607"/>
        <v>0</v>
      </c>
    </row>
    <row r="7897" spans="1:18">
      <c r="A7897" s="905"/>
      <c r="B7897" s="906"/>
      <c r="C7897" s="907">
        <v>122</v>
      </c>
      <c r="D7897" s="907" t="s">
        <v>279</v>
      </c>
      <c r="E7897" s="925" t="s">
        <v>3267</v>
      </c>
      <c r="F7897" s="909" t="s">
        <v>45</v>
      </c>
      <c r="G7897" s="910"/>
      <c r="H7897" s="911">
        <v>2</v>
      </c>
      <c r="I7897" s="912">
        <f>VLOOKUP(E7897,[3]VLP!$B$7:$K$300,10,0)</f>
        <v>30000</v>
      </c>
      <c r="J7897" s="912">
        <f t="shared" si="611"/>
        <v>60000</v>
      </c>
      <c r="K7897" s="912" t="s">
        <v>274</v>
      </c>
      <c r="L7897" s="912"/>
      <c r="M7897" s="912"/>
      <c r="N7897" s="912"/>
      <c r="O7897" s="892">
        <f t="shared" si="604"/>
        <v>0</v>
      </c>
      <c r="P7897" s="903">
        <f t="shared" si="605"/>
        <v>1</v>
      </c>
      <c r="Q7897" s="893">
        <f t="shared" si="606"/>
        <v>11</v>
      </c>
      <c r="R7897" s="894">
        <f t="shared" si="607"/>
        <v>0</v>
      </c>
    </row>
    <row r="7898" spans="1:18">
      <c r="A7898" s="905"/>
      <c r="B7898" s="906"/>
      <c r="C7898" s="907">
        <v>93</v>
      </c>
      <c r="D7898" s="907" t="s">
        <v>279</v>
      </c>
      <c r="E7898" s="925" t="s">
        <v>6111</v>
      </c>
      <c r="F7898" s="909" t="s">
        <v>45</v>
      </c>
      <c r="G7898" s="910"/>
      <c r="H7898" s="911">
        <v>0.2</v>
      </c>
      <c r="I7898" s="912">
        <f>VLOOKUP(E7898,[3]VLP!$B$7:$K$300,10,0)</f>
        <v>42000</v>
      </c>
      <c r="J7898" s="912">
        <f t="shared" si="611"/>
        <v>8400</v>
      </c>
      <c r="K7898" s="912" t="s">
        <v>274</v>
      </c>
      <c r="L7898" s="912"/>
      <c r="M7898" s="912"/>
      <c r="N7898" s="912"/>
      <c r="O7898" s="892">
        <f t="shared" si="604"/>
        <v>0</v>
      </c>
      <c r="P7898" s="903">
        <f t="shared" si="605"/>
        <v>1</v>
      </c>
      <c r="Q7898" s="893">
        <f t="shared" si="606"/>
        <v>10</v>
      </c>
      <c r="R7898" s="894">
        <f t="shared" si="607"/>
        <v>0</v>
      </c>
    </row>
    <row r="7899" spans="1:18">
      <c r="A7899" s="905"/>
      <c r="B7899" s="906"/>
      <c r="C7899" s="907">
        <v>89</v>
      </c>
      <c r="D7899" s="907" t="s">
        <v>279</v>
      </c>
      <c r="E7899" s="925" t="s">
        <v>5984</v>
      </c>
      <c r="F7899" s="909" t="s">
        <v>45</v>
      </c>
      <c r="G7899" s="910"/>
      <c r="H7899" s="911">
        <v>0.3</v>
      </c>
      <c r="I7899" s="912">
        <f>VLOOKUP(E7899,[3]VLP!$B$7:$K$300,10,0)</f>
        <v>1000</v>
      </c>
      <c r="J7899" s="912">
        <f t="shared" si="611"/>
        <v>300</v>
      </c>
      <c r="K7899" s="912" t="s">
        <v>274</v>
      </c>
      <c r="L7899" s="912"/>
      <c r="M7899" s="912"/>
      <c r="N7899" s="912"/>
      <c r="O7899" s="892">
        <f t="shared" si="604"/>
        <v>0</v>
      </c>
      <c r="P7899" s="903">
        <f t="shared" si="605"/>
        <v>1</v>
      </c>
      <c r="Q7899" s="893">
        <f t="shared" si="606"/>
        <v>9</v>
      </c>
      <c r="R7899" s="894">
        <f t="shared" si="607"/>
        <v>0</v>
      </c>
    </row>
    <row r="7900" spans="1:18">
      <c r="A7900" s="905"/>
      <c r="B7900" s="906"/>
      <c r="C7900" s="907">
        <v>47</v>
      </c>
      <c r="D7900" s="907" t="s">
        <v>279</v>
      </c>
      <c r="E7900" s="925" t="s">
        <v>3170</v>
      </c>
      <c r="F7900" s="909" t="s">
        <v>45</v>
      </c>
      <c r="G7900" s="910"/>
      <c r="H7900" s="911">
        <v>15</v>
      </c>
      <c r="I7900" s="912">
        <f>VLOOKUP(E7900,[3]VLP!$B$7:$K$300,10,0)</f>
        <v>1000</v>
      </c>
      <c r="J7900" s="912">
        <f t="shared" si="611"/>
        <v>15000</v>
      </c>
      <c r="K7900" s="912" t="s">
        <v>274</v>
      </c>
      <c r="L7900" s="912"/>
      <c r="M7900" s="912"/>
      <c r="N7900" s="912"/>
      <c r="O7900" s="892">
        <f t="shared" si="604"/>
        <v>0</v>
      </c>
      <c r="P7900" s="903">
        <f t="shared" si="605"/>
        <v>1</v>
      </c>
      <c r="Q7900" s="893">
        <f t="shared" si="606"/>
        <v>8</v>
      </c>
      <c r="R7900" s="894">
        <f t="shared" si="607"/>
        <v>0</v>
      </c>
    </row>
    <row r="7901" spans="1:18">
      <c r="A7901" s="905"/>
      <c r="B7901" s="906"/>
      <c r="C7901" s="907">
        <v>44</v>
      </c>
      <c r="D7901" s="907" t="s">
        <v>279</v>
      </c>
      <c r="E7901" s="925" t="s">
        <v>2681</v>
      </c>
      <c r="F7901" s="926" t="s">
        <v>45</v>
      </c>
      <c r="G7901" s="910"/>
      <c r="H7901" s="911">
        <v>16</v>
      </c>
      <c r="I7901" s="912">
        <f>VLOOKUP(E7901,[3]VLP!$B$7:$K$300,10,0)</f>
        <v>23000</v>
      </c>
      <c r="J7901" s="912">
        <f t="shared" si="611"/>
        <v>368000</v>
      </c>
      <c r="K7901" s="912" t="s">
        <v>274</v>
      </c>
      <c r="L7901" s="912"/>
      <c r="M7901" s="912"/>
      <c r="N7901" s="912"/>
      <c r="O7901" s="892">
        <f t="shared" si="604"/>
        <v>0</v>
      </c>
      <c r="P7901" s="903">
        <f t="shared" si="605"/>
        <v>1</v>
      </c>
      <c r="Q7901" s="893">
        <f t="shared" si="606"/>
        <v>7</v>
      </c>
      <c r="R7901" s="894">
        <f t="shared" si="607"/>
        <v>0</v>
      </c>
    </row>
    <row r="7902" spans="1:18">
      <c r="A7902" s="905"/>
      <c r="B7902" s="906"/>
      <c r="C7902" s="907">
        <v>66</v>
      </c>
      <c r="D7902" s="907" t="s">
        <v>279</v>
      </c>
      <c r="E7902" s="925" t="s">
        <v>2682</v>
      </c>
      <c r="F7902" s="926" t="s">
        <v>45</v>
      </c>
      <c r="G7902" s="910"/>
      <c r="H7902" s="911">
        <v>0.5</v>
      </c>
      <c r="I7902" s="912">
        <f>VLOOKUP(E7902,[3]VLP!$B$7:$K$300,10,0)</f>
        <v>5000</v>
      </c>
      <c r="J7902" s="912">
        <f t="shared" si="611"/>
        <v>2500</v>
      </c>
      <c r="K7902" s="912" t="s">
        <v>274</v>
      </c>
      <c r="L7902" s="912"/>
      <c r="M7902" s="912"/>
      <c r="N7902" s="912"/>
      <c r="O7902" s="892">
        <f t="shared" si="604"/>
        <v>0</v>
      </c>
      <c r="P7902" s="903">
        <f t="shared" si="605"/>
        <v>1</v>
      </c>
      <c r="Q7902" s="893">
        <f t="shared" si="606"/>
        <v>6</v>
      </c>
      <c r="R7902" s="894">
        <f t="shared" si="607"/>
        <v>0</v>
      </c>
    </row>
    <row r="7903" spans="1:18">
      <c r="A7903" s="905"/>
      <c r="B7903" s="906"/>
      <c r="C7903" s="907">
        <v>46</v>
      </c>
      <c r="D7903" s="907" t="s">
        <v>279</v>
      </c>
      <c r="E7903" s="925" t="s">
        <v>3179</v>
      </c>
      <c r="F7903" s="926" t="s">
        <v>45</v>
      </c>
      <c r="G7903" s="910"/>
      <c r="H7903" s="911">
        <v>16</v>
      </c>
      <c r="I7903" s="912">
        <f>VLOOKUP(E7903,[3]VLP!$B$7:$K$300,10,0)</f>
        <v>20500</v>
      </c>
      <c r="J7903" s="912">
        <f t="shared" si="611"/>
        <v>328000</v>
      </c>
      <c r="K7903" s="912" t="s">
        <v>274</v>
      </c>
      <c r="L7903" s="912"/>
      <c r="M7903" s="912"/>
      <c r="N7903" s="912"/>
      <c r="O7903" s="892">
        <f t="shared" ref="O7903:O7966" si="612">IF(AND(B7903&lt;&gt;"",D7903=""),1,0)</f>
        <v>0</v>
      </c>
      <c r="P7903" s="903">
        <f t="shared" si="605"/>
        <v>1</v>
      </c>
      <c r="Q7903" s="893">
        <f t="shared" si="606"/>
        <v>5</v>
      </c>
      <c r="R7903" s="894">
        <f t="shared" si="607"/>
        <v>0</v>
      </c>
    </row>
    <row r="7904" spans="1:18">
      <c r="A7904" s="905"/>
      <c r="B7904" s="906"/>
      <c r="C7904" s="907">
        <v>58</v>
      </c>
      <c r="D7904" s="907" t="s">
        <v>279</v>
      </c>
      <c r="E7904" s="925" t="s">
        <v>3190</v>
      </c>
      <c r="F7904" s="926" t="s">
        <v>45</v>
      </c>
      <c r="G7904" s="910"/>
      <c r="H7904" s="911">
        <v>2</v>
      </c>
      <c r="I7904" s="912">
        <f>VLOOKUP(E7904,[3]VLP!$B$7:$K$300,10,0)</f>
        <v>27940</v>
      </c>
      <c r="J7904" s="912">
        <f t="shared" si="611"/>
        <v>55880</v>
      </c>
      <c r="K7904" s="912" t="s">
        <v>274</v>
      </c>
      <c r="L7904" s="912"/>
      <c r="M7904" s="912"/>
      <c r="N7904" s="912"/>
      <c r="O7904" s="892">
        <f t="shared" si="612"/>
        <v>0</v>
      </c>
      <c r="P7904" s="903">
        <f t="shared" si="605"/>
        <v>1</v>
      </c>
      <c r="Q7904" s="893">
        <f t="shared" si="606"/>
        <v>4</v>
      </c>
      <c r="R7904" s="894">
        <f t="shared" si="607"/>
        <v>0</v>
      </c>
    </row>
    <row r="7905" spans="1:18">
      <c r="A7905" s="905"/>
      <c r="B7905" s="906"/>
      <c r="C7905" s="907">
        <v>699</v>
      </c>
      <c r="D7905" s="907" t="s">
        <v>279</v>
      </c>
      <c r="E7905" s="925" t="s">
        <v>4006</v>
      </c>
      <c r="F7905" s="926" t="s">
        <v>4007</v>
      </c>
      <c r="G7905" s="910"/>
      <c r="H7905" s="911">
        <v>5</v>
      </c>
      <c r="I7905" s="912">
        <f>VLOOKUP(E7905,[3]VLP!$B$7:$K$300,10,0)</f>
        <v>5000</v>
      </c>
      <c r="J7905" s="912">
        <f t="shared" si="611"/>
        <v>25000</v>
      </c>
      <c r="K7905" s="912" t="s">
        <v>274</v>
      </c>
      <c r="L7905" s="912"/>
      <c r="M7905" s="912"/>
      <c r="N7905" s="912"/>
      <c r="O7905" s="892">
        <f t="shared" si="612"/>
        <v>0</v>
      </c>
      <c r="P7905" s="903">
        <f t="shared" si="605"/>
        <v>1</v>
      </c>
      <c r="Q7905" s="893">
        <f t="shared" si="606"/>
        <v>3</v>
      </c>
      <c r="R7905" s="894">
        <f t="shared" si="607"/>
        <v>0</v>
      </c>
    </row>
    <row r="7906" spans="1:18" s="904" customFormat="1">
      <c r="A7906" s="895"/>
      <c r="B7906" s="896"/>
      <c r="C7906" s="897"/>
      <c r="D7906" s="897"/>
      <c r="E7906" s="924" t="s">
        <v>276</v>
      </c>
      <c r="F7906" s="927"/>
      <c r="G7906" s="928"/>
      <c r="H7906" s="901"/>
      <c r="I7906" s="902"/>
      <c r="J7906" s="902"/>
      <c r="K7906" s="912" t="s">
        <v>274</v>
      </c>
      <c r="L7906" s="902"/>
      <c r="M7906" s="902"/>
      <c r="N7906" s="902"/>
      <c r="O7906" s="892">
        <f t="shared" si="612"/>
        <v>0</v>
      </c>
      <c r="P7906" s="903">
        <f t="shared" si="605"/>
        <v>1</v>
      </c>
      <c r="Q7906" s="893">
        <f t="shared" si="606"/>
        <v>2</v>
      </c>
      <c r="R7906" s="894">
        <f t="shared" si="607"/>
        <v>0</v>
      </c>
    </row>
    <row r="7907" spans="1:18">
      <c r="A7907" s="905"/>
      <c r="B7907" s="906"/>
      <c r="C7907" s="907">
        <v>745</v>
      </c>
      <c r="D7907" s="907" t="s">
        <v>12</v>
      </c>
      <c r="E7907" s="908" t="s">
        <v>5518</v>
      </c>
      <c r="F7907" s="909" t="s">
        <v>2674</v>
      </c>
      <c r="G7907" s="910"/>
      <c r="H7907" s="911">
        <v>15.39</v>
      </c>
      <c r="I7907" s="912"/>
      <c r="J7907" s="912"/>
      <c r="K7907" s="912">
        <f>VLOOKUP(E7907,[5]ĐMNC!$A$7:$F$67,4,0)</f>
        <v>240557</v>
      </c>
      <c r="L7907" s="912">
        <f>H7907*K7907</f>
        <v>3702172.23</v>
      </c>
      <c r="M7907" s="912"/>
      <c r="N7907" s="912"/>
      <c r="O7907" s="892">
        <f t="shared" si="612"/>
        <v>0</v>
      </c>
      <c r="P7907" s="903">
        <f t="shared" si="605"/>
        <v>1</v>
      </c>
      <c r="Q7907" s="893">
        <f t="shared" si="606"/>
        <v>1</v>
      </c>
      <c r="R7907" s="894">
        <f t="shared" si="607"/>
        <v>0</v>
      </c>
    </row>
    <row r="7908" spans="1:18" s="847" customFormat="1" ht="35.25" customHeight="1">
      <c r="A7908" s="905"/>
      <c r="B7908" s="914" t="s">
        <v>6206</v>
      </c>
      <c r="C7908" s="915"/>
      <c r="D7908" s="915"/>
      <c r="E7908" s="916" t="s">
        <v>6194</v>
      </c>
      <c r="F7908" s="917" t="s">
        <v>6094</v>
      </c>
      <c r="G7908" s="944"/>
      <c r="H7908" s="919"/>
      <c r="I7908" s="920"/>
      <c r="J7908" s="891">
        <f>SUM(J7909:J7922)</f>
        <v>898360</v>
      </c>
      <c r="K7908" s="891" t="s">
        <v>274</v>
      </c>
      <c r="L7908" s="891">
        <f>SUM(L7909:L7922)</f>
        <v>4022113.0399999996</v>
      </c>
      <c r="M7908" s="891"/>
      <c r="N7908" s="891">
        <f>SUM(N7909:N7922)</f>
        <v>0</v>
      </c>
      <c r="O7908" s="892">
        <f t="shared" si="612"/>
        <v>1</v>
      </c>
      <c r="P7908" s="903">
        <f t="shared" si="605"/>
        <v>0</v>
      </c>
      <c r="Q7908" s="893">
        <f t="shared" si="606"/>
        <v>0</v>
      </c>
      <c r="R7908" s="894">
        <f t="shared" si="607"/>
        <v>14</v>
      </c>
    </row>
    <row r="7909" spans="1:18" s="904" customFormat="1">
      <c r="A7909" s="895"/>
      <c r="B7909" s="896"/>
      <c r="C7909" s="897"/>
      <c r="D7909" s="897"/>
      <c r="E7909" s="898" t="s">
        <v>108</v>
      </c>
      <c r="F7909" s="899"/>
      <c r="G7909" s="928"/>
      <c r="H7909" s="901"/>
      <c r="I7909" s="902"/>
      <c r="J7909" s="902"/>
      <c r="K7909" s="912" t="s">
        <v>274</v>
      </c>
      <c r="L7909" s="902"/>
      <c r="M7909" s="902"/>
      <c r="N7909" s="902"/>
      <c r="O7909" s="892">
        <f t="shared" si="612"/>
        <v>0</v>
      </c>
      <c r="P7909" s="903">
        <f t="shared" si="605"/>
        <v>1</v>
      </c>
      <c r="Q7909" s="893">
        <f t="shared" si="606"/>
        <v>14</v>
      </c>
      <c r="R7909" s="894">
        <f t="shared" si="607"/>
        <v>0</v>
      </c>
    </row>
    <row r="7910" spans="1:18">
      <c r="A7910" s="905"/>
      <c r="B7910" s="906"/>
      <c r="C7910" s="907">
        <v>68</v>
      </c>
      <c r="D7910" s="907" t="s">
        <v>279</v>
      </c>
      <c r="E7910" s="925" t="s">
        <v>6114</v>
      </c>
      <c r="F7910" s="909" t="s">
        <v>2337</v>
      </c>
      <c r="G7910" s="910"/>
      <c r="H7910" s="911">
        <v>1</v>
      </c>
      <c r="I7910" s="912">
        <f>VLOOKUP(E7910,[3]VLP!$B$7:$K$300,10,0)</f>
        <v>20280</v>
      </c>
      <c r="J7910" s="912">
        <f t="shared" ref="J7910:J7920" si="613">I7910*H7910</f>
        <v>20280</v>
      </c>
      <c r="K7910" s="912" t="s">
        <v>274</v>
      </c>
      <c r="L7910" s="912"/>
      <c r="M7910" s="912"/>
      <c r="N7910" s="912"/>
      <c r="O7910" s="892">
        <f t="shared" si="612"/>
        <v>0</v>
      </c>
      <c r="P7910" s="903">
        <f t="shared" si="605"/>
        <v>1</v>
      </c>
      <c r="Q7910" s="893">
        <f t="shared" si="606"/>
        <v>13</v>
      </c>
      <c r="R7910" s="894">
        <f t="shared" si="607"/>
        <v>0</v>
      </c>
    </row>
    <row r="7911" spans="1:18">
      <c r="A7911" s="905"/>
      <c r="B7911" s="906"/>
      <c r="C7911" s="907">
        <v>24</v>
      </c>
      <c r="D7911" s="907" t="s">
        <v>279</v>
      </c>
      <c r="E7911" s="925" t="s">
        <v>2691</v>
      </c>
      <c r="F7911" s="926" t="s">
        <v>2690</v>
      </c>
      <c r="G7911" s="910"/>
      <c r="H7911" s="911">
        <v>2.5</v>
      </c>
      <c r="I7911" s="912">
        <f>VLOOKUP(E7911,[3]VLP!$B$7:$K$300,10,0)</f>
        <v>6000</v>
      </c>
      <c r="J7911" s="912">
        <f t="shared" si="613"/>
        <v>15000</v>
      </c>
      <c r="K7911" s="912" t="s">
        <v>274</v>
      </c>
      <c r="L7911" s="912"/>
      <c r="M7911" s="912"/>
      <c r="N7911" s="912"/>
      <c r="O7911" s="892">
        <f t="shared" si="612"/>
        <v>0</v>
      </c>
      <c r="P7911" s="903">
        <f t="shared" si="605"/>
        <v>1</v>
      </c>
      <c r="Q7911" s="893">
        <f t="shared" si="606"/>
        <v>12</v>
      </c>
      <c r="R7911" s="894">
        <f t="shared" si="607"/>
        <v>0</v>
      </c>
    </row>
    <row r="7912" spans="1:18">
      <c r="A7912" s="905"/>
      <c r="B7912" s="906"/>
      <c r="C7912" s="907">
        <v>122</v>
      </c>
      <c r="D7912" s="907" t="s">
        <v>279</v>
      </c>
      <c r="E7912" s="925" t="s">
        <v>3267</v>
      </c>
      <c r="F7912" s="909" t="s">
        <v>45</v>
      </c>
      <c r="G7912" s="910"/>
      <c r="H7912" s="911">
        <v>2</v>
      </c>
      <c r="I7912" s="912">
        <f>VLOOKUP(E7912,[3]VLP!$B$7:$K$300,10,0)</f>
        <v>30000</v>
      </c>
      <c r="J7912" s="912">
        <f t="shared" si="613"/>
        <v>60000</v>
      </c>
      <c r="K7912" s="912" t="s">
        <v>274</v>
      </c>
      <c r="L7912" s="912"/>
      <c r="M7912" s="912"/>
      <c r="N7912" s="912"/>
      <c r="O7912" s="892">
        <f t="shared" si="612"/>
        <v>0</v>
      </c>
      <c r="P7912" s="903">
        <f t="shared" ref="P7912:P7975" si="614">IF(O7912=0,1,0)</f>
        <v>1</v>
      </c>
      <c r="Q7912" s="893">
        <f t="shared" ref="Q7912:Q7975" si="615">IF(P7912=0,0,P7912+Q7913)</f>
        <v>11</v>
      </c>
      <c r="R7912" s="894">
        <f t="shared" ref="R7912:R7975" si="616">IF(Q7912=0,Q7913,0)</f>
        <v>0</v>
      </c>
    </row>
    <row r="7913" spans="1:18">
      <c r="A7913" s="905"/>
      <c r="B7913" s="906"/>
      <c r="C7913" s="907">
        <v>93</v>
      </c>
      <c r="D7913" s="907" t="s">
        <v>279</v>
      </c>
      <c r="E7913" s="925" t="s">
        <v>6111</v>
      </c>
      <c r="F7913" s="909" t="s">
        <v>45</v>
      </c>
      <c r="G7913" s="910"/>
      <c r="H7913" s="911">
        <v>0.2</v>
      </c>
      <c r="I7913" s="912">
        <f>VLOOKUP(E7913,[3]VLP!$B$7:$K$300,10,0)</f>
        <v>42000</v>
      </c>
      <c r="J7913" s="912">
        <f t="shared" si="613"/>
        <v>8400</v>
      </c>
      <c r="K7913" s="912" t="s">
        <v>274</v>
      </c>
      <c r="L7913" s="912"/>
      <c r="M7913" s="912"/>
      <c r="N7913" s="912"/>
      <c r="O7913" s="892">
        <f t="shared" si="612"/>
        <v>0</v>
      </c>
      <c r="P7913" s="903">
        <f t="shared" si="614"/>
        <v>1</v>
      </c>
      <c r="Q7913" s="893">
        <f t="shared" si="615"/>
        <v>10</v>
      </c>
      <c r="R7913" s="894">
        <f t="shared" si="616"/>
        <v>0</v>
      </c>
    </row>
    <row r="7914" spans="1:18">
      <c r="A7914" s="905"/>
      <c r="B7914" s="906"/>
      <c r="C7914" s="907">
        <v>89</v>
      </c>
      <c r="D7914" s="907" t="s">
        <v>279</v>
      </c>
      <c r="E7914" s="925" t="s">
        <v>5984</v>
      </c>
      <c r="F7914" s="909" t="s">
        <v>45</v>
      </c>
      <c r="G7914" s="910"/>
      <c r="H7914" s="911">
        <v>0.3</v>
      </c>
      <c r="I7914" s="912">
        <f>VLOOKUP(E7914,[3]VLP!$B$7:$K$300,10,0)</f>
        <v>1000</v>
      </c>
      <c r="J7914" s="912">
        <f t="shared" si="613"/>
        <v>300</v>
      </c>
      <c r="K7914" s="912" t="s">
        <v>274</v>
      </c>
      <c r="L7914" s="912"/>
      <c r="M7914" s="912"/>
      <c r="N7914" s="912"/>
      <c r="O7914" s="892">
        <f t="shared" si="612"/>
        <v>0</v>
      </c>
      <c r="P7914" s="903">
        <f t="shared" si="614"/>
        <v>1</v>
      </c>
      <c r="Q7914" s="893">
        <f t="shared" si="615"/>
        <v>9</v>
      </c>
      <c r="R7914" s="894">
        <f t="shared" si="616"/>
        <v>0</v>
      </c>
    </row>
    <row r="7915" spans="1:18">
      <c r="A7915" s="905"/>
      <c r="B7915" s="906"/>
      <c r="C7915" s="907">
        <v>47</v>
      </c>
      <c r="D7915" s="907" t="s">
        <v>279</v>
      </c>
      <c r="E7915" s="925" t="s">
        <v>3170</v>
      </c>
      <c r="F7915" s="909" t="s">
        <v>45</v>
      </c>
      <c r="G7915" s="910"/>
      <c r="H7915" s="911">
        <v>15</v>
      </c>
      <c r="I7915" s="912">
        <f>VLOOKUP(E7915,[3]VLP!$B$7:$K$300,10,0)</f>
        <v>1000</v>
      </c>
      <c r="J7915" s="912">
        <f t="shared" si="613"/>
        <v>15000</v>
      </c>
      <c r="K7915" s="912" t="s">
        <v>274</v>
      </c>
      <c r="L7915" s="912"/>
      <c r="M7915" s="912"/>
      <c r="N7915" s="912"/>
      <c r="O7915" s="892">
        <f t="shared" si="612"/>
        <v>0</v>
      </c>
      <c r="P7915" s="903">
        <f t="shared" si="614"/>
        <v>1</v>
      </c>
      <c r="Q7915" s="893">
        <f t="shared" si="615"/>
        <v>8</v>
      </c>
      <c r="R7915" s="894">
        <f t="shared" si="616"/>
        <v>0</v>
      </c>
    </row>
    <row r="7916" spans="1:18">
      <c r="A7916" s="905"/>
      <c r="B7916" s="906"/>
      <c r="C7916" s="907">
        <v>44</v>
      </c>
      <c r="D7916" s="907" t="s">
        <v>279</v>
      </c>
      <c r="E7916" s="925" t="s">
        <v>2681</v>
      </c>
      <c r="F7916" s="926" t="s">
        <v>45</v>
      </c>
      <c r="G7916" s="910"/>
      <c r="H7916" s="911">
        <v>16</v>
      </c>
      <c r="I7916" s="912">
        <f>VLOOKUP(E7916,[3]VLP!$B$7:$K$300,10,0)</f>
        <v>23000</v>
      </c>
      <c r="J7916" s="912">
        <f t="shared" si="613"/>
        <v>368000</v>
      </c>
      <c r="K7916" s="912" t="s">
        <v>274</v>
      </c>
      <c r="L7916" s="912"/>
      <c r="M7916" s="912"/>
      <c r="N7916" s="912"/>
      <c r="O7916" s="892">
        <f t="shared" si="612"/>
        <v>0</v>
      </c>
      <c r="P7916" s="903">
        <f t="shared" si="614"/>
        <v>1</v>
      </c>
      <c r="Q7916" s="893">
        <f t="shared" si="615"/>
        <v>7</v>
      </c>
      <c r="R7916" s="894">
        <f t="shared" si="616"/>
        <v>0</v>
      </c>
    </row>
    <row r="7917" spans="1:18">
      <c r="A7917" s="905"/>
      <c r="B7917" s="906"/>
      <c r="C7917" s="907">
        <v>66</v>
      </c>
      <c r="D7917" s="907" t="s">
        <v>279</v>
      </c>
      <c r="E7917" s="925" t="s">
        <v>2682</v>
      </c>
      <c r="F7917" s="926" t="s">
        <v>45</v>
      </c>
      <c r="G7917" s="910"/>
      <c r="H7917" s="911">
        <v>0.5</v>
      </c>
      <c r="I7917" s="912">
        <f>VLOOKUP(E7917,[3]VLP!$B$7:$K$300,10,0)</f>
        <v>5000</v>
      </c>
      <c r="J7917" s="912">
        <f t="shared" si="613"/>
        <v>2500</v>
      </c>
      <c r="K7917" s="912" t="s">
        <v>274</v>
      </c>
      <c r="L7917" s="912"/>
      <c r="M7917" s="912"/>
      <c r="N7917" s="912"/>
      <c r="O7917" s="892">
        <f t="shared" si="612"/>
        <v>0</v>
      </c>
      <c r="P7917" s="903">
        <f t="shared" si="614"/>
        <v>1</v>
      </c>
      <c r="Q7917" s="893">
        <f t="shared" si="615"/>
        <v>6</v>
      </c>
      <c r="R7917" s="894">
        <f t="shared" si="616"/>
        <v>0</v>
      </c>
    </row>
    <row r="7918" spans="1:18">
      <c r="A7918" s="905"/>
      <c r="B7918" s="906"/>
      <c r="C7918" s="907">
        <v>46</v>
      </c>
      <c r="D7918" s="907" t="s">
        <v>279</v>
      </c>
      <c r="E7918" s="925" t="s">
        <v>3179</v>
      </c>
      <c r="F7918" s="926" t="s">
        <v>45</v>
      </c>
      <c r="G7918" s="910"/>
      <c r="H7918" s="911">
        <v>16</v>
      </c>
      <c r="I7918" s="912">
        <f>VLOOKUP(E7918,[3]VLP!$B$7:$K$300,10,0)</f>
        <v>20500</v>
      </c>
      <c r="J7918" s="912">
        <f t="shared" si="613"/>
        <v>328000</v>
      </c>
      <c r="K7918" s="912" t="s">
        <v>274</v>
      </c>
      <c r="L7918" s="912"/>
      <c r="M7918" s="912"/>
      <c r="N7918" s="912"/>
      <c r="O7918" s="892">
        <f t="shared" si="612"/>
        <v>0</v>
      </c>
      <c r="P7918" s="903">
        <f t="shared" si="614"/>
        <v>1</v>
      </c>
      <c r="Q7918" s="893">
        <f t="shared" si="615"/>
        <v>5</v>
      </c>
      <c r="R7918" s="894">
        <f t="shared" si="616"/>
        <v>0</v>
      </c>
    </row>
    <row r="7919" spans="1:18">
      <c r="A7919" s="905"/>
      <c r="B7919" s="906"/>
      <c r="C7919" s="907">
        <v>58</v>
      </c>
      <c r="D7919" s="907" t="s">
        <v>279</v>
      </c>
      <c r="E7919" s="925" t="s">
        <v>3190</v>
      </c>
      <c r="F7919" s="926" t="s">
        <v>45</v>
      </c>
      <c r="G7919" s="910"/>
      <c r="H7919" s="911">
        <v>2</v>
      </c>
      <c r="I7919" s="912">
        <f>VLOOKUP(E7919,[3]VLP!$B$7:$K$300,10,0)</f>
        <v>27940</v>
      </c>
      <c r="J7919" s="912">
        <f t="shared" si="613"/>
        <v>55880</v>
      </c>
      <c r="K7919" s="912" t="s">
        <v>274</v>
      </c>
      <c r="L7919" s="912"/>
      <c r="M7919" s="912"/>
      <c r="N7919" s="912"/>
      <c r="O7919" s="892">
        <f t="shared" si="612"/>
        <v>0</v>
      </c>
      <c r="P7919" s="903">
        <f t="shared" si="614"/>
        <v>1</v>
      </c>
      <c r="Q7919" s="893">
        <f t="shared" si="615"/>
        <v>4</v>
      </c>
      <c r="R7919" s="894">
        <f t="shared" si="616"/>
        <v>0</v>
      </c>
    </row>
    <row r="7920" spans="1:18">
      <c r="A7920" s="905"/>
      <c r="B7920" s="906"/>
      <c r="C7920" s="907">
        <v>699</v>
      </c>
      <c r="D7920" s="907" t="s">
        <v>279</v>
      </c>
      <c r="E7920" s="925" t="s">
        <v>4006</v>
      </c>
      <c r="F7920" s="926" t="s">
        <v>4007</v>
      </c>
      <c r="G7920" s="910"/>
      <c r="H7920" s="911">
        <v>5</v>
      </c>
      <c r="I7920" s="912">
        <f>VLOOKUP(E7920,[3]VLP!$B$7:$K$300,10,0)</f>
        <v>5000</v>
      </c>
      <c r="J7920" s="912">
        <f t="shared" si="613"/>
        <v>25000</v>
      </c>
      <c r="K7920" s="912" t="s">
        <v>274</v>
      </c>
      <c r="L7920" s="912"/>
      <c r="M7920" s="912"/>
      <c r="N7920" s="912"/>
      <c r="O7920" s="892">
        <f t="shared" si="612"/>
        <v>0</v>
      </c>
      <c r="P7920" s="903">
        <f t="shared" si="614"/>
        <v>1</v>
      </c>
      <c r="Q7920" s="893">
        <f t="shared" si="615"/>
        <v>3</v>
      </c>
      <c r="R7920" s="894">
        <f t="shared" si="616"/>
        <v>0</v>
      </c>
    </row>
    <row r="7921" spans="1:18" s="904" customFormat="1">
      <c r="A7921" s="895"/>
      <c r="B7921" s="896"/>
      <c r="C7921" s="897"/>
      <c r="D7921" s="897"/>
      <c r="E7921" s="924" t="s">
        <v>276</v>
      </c>
      <c r="F7921" s="927"/>
      <c r="G7921" s="928"/>
      <c r="H7921" s="901"/>
      <c r="I7921" s="902"/>
      <c r="J7921" s="902"/>
      <c r="K7921" s="912" t="s">
        <v>274</v>
      </c>
      <c r="L7921" s="902"/>
      <c r="M7921" s="902"/>
      <c r="N7921" s="902"/>
      <c r="O7921" s="892">
        <f t="shared" si="612"/>
        <v>0</v>
      </c>
      <c r="P7921" s="903">
        <f t="shared" si="614"/>
        <v>1</v>
      </c>
      <c r="Q7921" s="893">
        <f t="shared" si="615"/>
        <v>2</v>
      </c>
      <c r="R7921" s="894">
        <f t="shared" si="616"/>
        <v>0</v>
      </c>
    </row>
    <row r="7922" spans="1:18">
      <c r="A7922" s="905"/>
      <c r="B7922" s="906"/>
      <c r="C7922" s="907">
        <v>745</v>
      </c>
      <c r="D7922" s="907" t="s">
        <v>12</v>
      </c>
      <c r="E7922" s="908" t="s">
        <v>5518</v>
      </c>
      <c r="F7922" s="909" t="s">
        <v>2674</v>
      </c>
      <c r="G7922" s="910"/>
      <c r="H7922" s="911">
        <v>16.72</v>
      </c>
      <c r="I7922" s="912"/>
      <c r="J7922" s="912"/>
      <c r="K7922" s="912">
        <f>VLOOKUP(E7922,[5]ĐMNC!$A$7:$F$67,4,0)</f>
        <v>240557</v>
      </c>
      <c r="L7922" s="912">
        <f>H7922*K7922</f>
        <v>4022113.0399999996</v>
      </c>
      <c r="M7922" s="912"/>
      <c r="N7922" s="912"/>
      <c r="O7922" s="892">
        <f t="shared" si="612"/>
        <v>0</v>
      </c>
      <c r="P7922" s="903">
        <f t="shared" si="614"/>
        <v>1</v>
      </c>
      <c r="Q7922" s="893">
        <f t="shared" si="615"/>
        <v>1</v>
      </c>
      <c r="R7922" s="894">
        <f t="shared" si="616"/>
        <v>0</v>
      </c>
    </row>
    <row r="7923" spans="1:18" s="847" customFormat="1" ht="35.25" customHeight="1">
      <c r="A7923" s="905"/>
      <c r="B7923" s="914" t="s">
        <v>6207</v>
      </c>
      <c r="C7923" s="915"/>
      <c r="D7923" s="915"/>
      <c r="E7923" s="916" t="s">
        <v>6196</v>
      </c>
      <c r="F7923" s="917" t="s">
        <v>6094</v>
      </c>
      <c r="G7923" s="944"/>
      <c r="H7923" s="919"/>
      <c r="I7923" s="920"/>
      <c r="J7923" s="891">
        <f>SUM(J7924:J7937)</f>
        <v>1100820</v>
      </c>
      <c r="K7923" s="891" t="s">
        <v>274</v>
      </c>
      <c r="L7923" s="891">
        <f>SUM(L7924:L7937)</f>
        <v>4479171.34</v>
      </c>
      <c r="M7923" s="891"/>
      <c r="N7923" s="891">
        <f>SUM(N7924:N7937)</f>
        <v>0</v>
      </c>
      <c r="O7923" s="892">
        <f t="shared" si="612"/>
        <v>1</v>
      </c>
      <c r="P7923" s="903">
        <f t="shared" si="614"/>
        <v>0</v>
      </c>
      <c r="Q7923" s="893">
        <f t="shared" si="615"/>
        <v>0</v>
      </c>
      <c r="R7923" s="894">
        <f t="shared" si="616"/>
        <v>14</v>
      </c>
    </row>
    <row r="7924" spans="1:18" s="904" customFormat="1">
      <c r="A7924" s="895"/>
      <c r="B7924" s="896"/>
      <c r="C7924" s="897"/>
      <c r="D7924" s="897"/>
      <c r="E7924" s="898" t="s">
        <v>108</v>
      </c>
      <c r="F7924" s="899"/>
      <c r="G7924" s="928"/>
      <c r="H7924" s="901"/>
      <c r="I7924" s="902"/>
      <c r="J7924" s="902"/>
      <c r="K7924" s="912" t="s">
        <v>274</v>
      </c>
      <c r="L7924" s="902"/>
      <c r="M7924" s="902"/>
      <c r="N7924" s="902"/>
      <c r="O7924" s="892">
        <f t="shared" si="612"/>
        <v>0</v>
      </c>
      <c r="P7924" s="903">
        <f t="shared" si="614"/>
        <v>1</v>
      </c>
      <c r="Q7924" s="893">
        <f t="shared" si="615"/>
        <v>14</v>
      </c>
      <c r="R7924" s="894">
        <f t="shared" si="616"/>
        <v>0</v>
      </c>
    </row>
    <row r="7925" spans="1:18">
      <c r="A7925" s="905"/>
      <c r="B7925" s="906"/>
      <c r="C7925" s="907">
        <v>69</v>
      </c>
      <c r="D7925" s="907" t="s">
        <v>279</v>
      </c>
      <c r="E7925" s="925" t="s">
        <v>6117</v>
      </c>
      <c r="F7925" s="909" t="s">
        <v>2337</v>
      </c>
      <c r="G7925" s="910"/>
      <c r="H7925" s="911">
        <v>1</v>
      </c>
      <c r="I7925" s="912">
        <f>VLOOKUP(E7925,[3]VLP!$B$7:$K$300,10,0)</f>
        <v>27040</v>
      </c>
      <c r="J7925" s="912">
        <f t="shared" ref="J7925:J7935" si="617">I7925*H7925</f>
        <v>27040</v>
      </c>
      <c r="K7925" s="912" t="s">
        <v>274</v>
      </c>
      <c r="L7925" s="912"/>
      <c r="M7925" s="912"/>
      <c r="N7925" s="912"/>
      <c r="O7925" s="892">
        <f t="shared" si="612"/>
        <v>0</v>
      </c>
      <c r="P7925" s="903">
        <f t="shared" si="614"/>
        <v>1</v>
      </c>
      <c r="Q7925" s="893">
        <f t="shared" si="615"/>
        <v>13</v>
      </c>
      <c r="R7925" s="894">
        <f t="shared" si="616"/>
        <v>0</v>
      </c>
    </row>
    <row r="7926" spans="1:18">
      <c r="A7926" s="905"/>
      <c r="B7926" s="906"/>
      <c r="C7926" s="907">
        <v>24</v>
      </c>
      <c r="D7926" s="907" t="s">
        <v>279</v>
      </c>
      <c r="E7926" s="925" t="s">
        <v>2691</v>
      </c>
      <c r="F7926" s="926" t="s">
        <v>2690</v>
      </c>
      <c r="G7926" s="910"/>
      <c r="H7926" s="911">
        <v>3</v>
      </c>
      <c r="I7926" s="912">
        <f>VLOOKUP(E7926,[3]VLP!$B$7:$K$300,10,0)</f>
        <v>6000</v>
      </c>
      <c r="J7926" s="912">
        <f t="shared" si="617"/>
        <v>18000</v>
      </c>
      <c r="K7926" s="912" t="s">
        <v>274</v>
      </c>
      <c r="L7926" s="912"/>
      <c r="M7926" s="912"/>
      <c r="N7926" s="912"/>
      <c r="O7926" s="892">
        <f t="shared" si="612"/>
        <v>0</v>
      </c>
      <c r="P7926" s="903">
        <f t="shared" si="614"/>
        <v>1</v>
      </c>
      <c r="Q7926" s="893">
        <f t="shared" si="615"/>
        <v>12</v>
      </c>
      <c r="R7926" s="894">
        <f t="shared" si="616"/>
        <v>0</v>
      </c>
    </row>
    <row r="7927" spans="1:18">
      <c r="A7927" s="905"/>
      <c r="B7927" s="906"/>
      <c r="C7927" s="907">
        <v>122</v>
      </c>
      <c r="D7927" s="907" t="s">
        <v>279</v>
      </c>
      <c r="E7927" s="925" t="s">
        <v>3267</v>
      </c>
      <c r="F7927" s="909" t="s">
        <v>45</v>
      </c>
      <c r="G7927" s="910"/>
      <c r="H7927" s="911">
        <v>2.5</v>
      </c>
      <c r="I7927" s="912">
        <f>VLOOKUP(E7927,[3]VLP!$B$7:$K$300,10,0)</f>
        <v>30000</v>
      </c>
      <c r="J7927" s="912">
        <f t="shared" si="617"/>
        <v>75000</v>
      </c>
      <c r="K7927" s="912" t="s">
        <v>274</v>
      </c>
      <c r="L7927" s="912"/>
      <c r="M7927" s="912"/>
      <c r="N7927" s="912"/>
      <c r="O7927" s="892">
        <f t="shared" si="612"/>
        <v>0</v>
      </c>
      <c r="P7927" s="903">
        <f t="shared" si="614"/>
        <v>1</v>
      </c>
      <c r="Q7927" s="893">
        <f t="shared" si="615"/>
        <v>11</v>
      </c>
      <c r="R7927" s="894">
        <f t="shared" si="616"/>
        <v>0</v>
      </c>
    </row>
    <row r="7928" spans="1:18">
      <c r="A7928" s="905"/>
      <c r="B7928" s="906"/>
      <c r="C7928" s="907">
        <v>93</v>
      </c>
      <c r="D7928" s="907" t="s">
        <v>279</v>
      </c>
      <c r="E7928" s="925" t="s">
        <v>6111</v>
      </c>
      <c r="F7928" s="909" t="s">
        <v>45</v>
      </c>
      <c r="G7928" s="910"/>
      <c r="H7928" s="911">
        <v>0.25</v>
      </c>
      <c r="I7928" s="912">
        <f>VLOOKUP(E7928,[3]VLP!$B$7:$K$300,10,0)</f>
        <v>42000</v>
      </c>
      <c r="J7928" s="912">
        <f t="shared" si="617"/>
        <v>10500</v>
      </c>
      <c r="K7928" s="912" t="s">
        <v>274</v>
      </c>
      <c r="L7928" s="912"/>
      <c r="M7928" s="912"/>
      <c r="N7928" s="912"/>
      <c r="O7928" s="892">
        <f t="shared" si="612"/>
        <v>0</v>
      </c>
      <c r="P7928" s="903">
        <f t="shared" si="614"/>
        <v>1</v>
      </c>
      <c r="Q7928" s="893">
        <f t="shared" si="615"/>
        <v>10</v>
      </c>
      <c r="R7928" s="894">
        <f t="shared" si="616"/>
        <v>0</v>
      </c>
    </row>
    <row r="7929" spans="1:18">
      <c r="A7929" s="905"/>
      <c r="B7929" s="906"/>
      <c r="C7929" s="907">
        <v>89</v>
      </c>
      <c r="D7929" s="907" t="s">
        <v>279</v>
      </c>
      <c r="E7929" s="925" t="s">
        <v>5984</v>
      </c>
      <c r="F7929" s="909" t="s">
        <v>45</v>
      </c>
      <c r="G7929" s="910"/>
      <c r="H7929" s="911">
        <v>0.4</v>
      </c>
      <c r="I7929" s="912">
        <f>VLOOKUP(E7929,[3]VLP!$B$7:$K$300,10,0)</f>
        <v>1000</v>
      </c>
      <c r="J7929" s="912">
        <f t="shared" si="617"/>
        <v>400</v>
      </c>
      <c r="K7929" s="912" t="s">
        <v>274</v>
      </c>
      <c r="L7929" s="912"/>
      <c r="M7929" s="912"/>
      <c r="N7929" s="912"/>
      <c r="O7929" s="892">
        <f t="shared" si="612"/>
        <v>0</v>
      </c>
      <c r="P7929" s="903">
        <f t="shared" si="614"/>
        <v>1</v>
      </c>
      <c r="Q7929" s="893">
        <f t="shared" si="615"/>
        <v>9</v>
      </c>
      <c r="R7929" s="894">
        <f t="shared" si="616"/>
        <v>0</v>
      </c>
    </row>
    <row r="7930" spans="1:18">
      <c r="A7930" s="905"/>
      <c r="B7930" s="906"/>
      <c r="C7930" s="907">
        <v>47</v>
      </c>
      <c r="D7930" s="907" t="s">
        <v>279</v>
      </c>
      <c r="E7930" s="925" t="s">
        <v>3170</v>
      </c>
      <c r="F7930" s="909" t="s">
        <v>45</v>
      </c>
      <c r="G7930" s="910"/>
      <c r="H7930" s="911">
        <v>16</v>
      </c>
      <c r="I7930" s="912">
        <f>VLOOKUP(E7930,[3]VLP!$B$7:$K$300,10,0)</f>
        <v>1000</v>
      </c>
      <c r="J7930" s="912">
        <f t="shared" si="617"/>
        <v>16000</v>
      </c>
      <c r="K7930" s="912" t="s">
        <v>274</v>
      </c>
      <c r="L7930" s="912"/>
      <c r="M7930" s="912"/>
      <c r="N7930" s="912"/>
      <c r="O7930" s="892">
        <f t="shared" si="612"/>
        <v>0</v>
      </c>
      <c r="P7930" s="903">
        <f t="shared" si="614"/>
        <v>1</v>
      </c>
      <c r="Q7930" s="893">
        <f t="shared" si="615"/>
        <v>8</v>
      </c>
      <c r="R7930" s="894">
        <f t="shared" si="616"/>
        <v>0</v>
      </c>
    </row>
    <row r="7931" spans="1:18">
      <c r="A7931" s="905"/>
      <c r="B7931" s="906"/>
      <c r="C7931" s="907">
        <v>44</v>
      </c>
      <c r="D7931" s="907" t="s">
        <v>279</v>
      </c>
      <c r="E7931" s="925" t="s">
        <v>2681</v>
      </c>
      <c r="F7931" s="926" t="s">
        <v>45</v>
      </c>
      <c r="G7931" s="910"/>
      <c r="H7931" s="911">
        <v>20</v>
      </c>
      <c r="I7931" s="912">
        <f>VLOOKUP(E7931,[3]VLP!$B$7:$K$300,10,0)</f>
        <v>23000</v>
      </c>
      <c r="J7931" s="912">
        <f t="shared" si="617"/>
        <v>460000</v>
      </c>
      <c r="K7931" s="912" t="s">
        <v>274</v>
      </c>
      <c r="L7931" s="912"/>
      <c r="M7931" s="912"/>
      <c r="N7931" s="912"/>
      <c r="O7931" s="892">
        <f t="shared" si="612"/>
        <v>0</v>
      </c>
      <c r="P7931" s="903">
        <f t="shared" si="614"/>
        <v>1</v>
      </c>
      <c r="Q7931" s="893">
        <f t="shared" si="615"/>
        <v>7</v>
      </c>
      <c r="R7931" s="894">
        <f t="shared" si="616"/>
        <v>0</v>
      </c>
    </row>
    <row r="7932" spans="1:18">
      <c r="A7932" s="905"/>
      <c r="B7932" s="906"/>
      <c r="C7932" s="907">
        <v>66</v>
      </c>
      <c r="D7932" s="907" t="s">
        <v>279</v>
      </c>
      <c r="E7932" s="925" t="s">
        <v>2682</v>
      </c>
      <c r="F7932" s="926" t="s">
        <v>45</v>
      </c>
      <c r="G7932" s="910"/>
      <c r="H7932" s="911">
        <v>0.6</v>
      </c>
      <c r="I7932" s="912">
        <f>VLOOKUP(E7932,[3]VLP!$B$7:$K$300,10,0)</f>
        <v>5000</v>
      </c>
      <c r="J7932" s="912">
        <f t="shared" si="617"/>
        <v>3000</v>
      </c>
      <c r="K7932" s="912" t="s">
        <v>274</v>
      </c>
      <c r="L7932" s="912"/>
      <c r="M7932" s="912"/>
      <c r="N7932" s="912"/>
      <c r="O7932" s="892">
        <f t="shared" si="612"/>
        <v>0</v>
      </c>
      <c r="P7932" s="903">
        <f t="shared" si="614"/>
        <v>1</v>
      </c>
      <c r="Q7932" s="893">
        <f t="shared" si="615"/>
        <v>6</v>
      </c>
      <c r="R7932" s="894">
        <f t="shared" si="616"/>
        <v>0</v>
      </c>
    </row>
    <row r="7933" spans="1:18">
      <c r="A7933" s="905"/>
      <c r="B7933" s="906"/>
      <c r="C7933" s="907">
        <v>46</v>
      </c>
      <c r="D7933" s="907" t="s">
        <v>279</v>
      </c>
      <c r="E7933" s="925" t="s">
        <v>3179</v>
      </c>
      <c r="F7933" s="926" t="s">
        <v>45</v>
      </c>
      <c r="G7933" s="910"/>
      <c r="H7933" s="911">
        <v>20</v>
      </c>
      <c r="I7933" s="912">
        <f>VLOOKUP(E7933,[3]VLP!$B$7:$K$300,10,0)</f>
        <v>20500</v>
      </c>
      <c r="J7933" s="912">
        <f t="shared" si="617"/>
        <v>410000</v>
      </c>
      <c r="K7933" s="912" t="s">
        <v>274</v>
      </c>
      <c r="L7933" s="912"/>
      <c r="M7933" s="912"/>
      <c r="N7933" s="912"/>
      <c r="O7933" s="892">
        <f t="shared" si="612"/>
        <v>0</v>
      </c>
      <c r="P7933" s="903">
        <f t="shared" si="614"/>
        <v>1</v>
      </c>
      <c r="Q7933" s="893">
        <f t="shared" si="615"/>
        <v>5</v>
      </c>
      <c r="R7933" s="894">
        <f t="shared" si="616"/>
        <v>0</v>
      </c>
    </row>
    <row r="7934" spans="1:18">
      <c r="A7934" s="905"/>
      <c r="B7934" s="906"/>
      <c r="C7934" s="907">
        <v>58</v>
      </c>
      <c r="D7934" s="907" t="s">
        <v>279</v>
      </c>
      <c r="E7934" s="925" t="s">
        <v>3190</v>
      </c>
      <c r="F7934" s="926" t="s">
        <v>45</v>
      </c>
      <c r="G7934" s="910"/>
      <c r="H7934" s="911">
        <v>2</v>
      </c>
      <c r="I7934" s="912">
        <f>VLOOKUP(E7934,[3]VLP!$B$7:$K$300,10,0)</f>
        <v>27940</v>
      </c>
      <c r="J7934" s="912">
        <f t="shared" si="617"/>
        <v>55880</v>
      </c>
      <c r="K7934" s="912" t="s">
        <v>274</v>
      </c>
      <c r="L7934" s="912"/>
      <c r="M7934" s="912"/>
      <c r="N7934" s="912"/>
      <c r="O7934" s="892">
        <f t="shared" si="612"/>
        <v>0</v>
      </c>
      <c r="P7934" s="903">
        <f t="shared" si="614"/>
        <v>1</v>
      </c>
      <c r="Q7934" s="893">
        <f t="shared" si="615"/>
        <v>4</v>
      </c>
      <c r="R7934" s="894">
        <f t="shared" si="616"/>
        <v>0</v>
      </c>
    </row>
    <row r="7935" spans="1:18">
      <c r="A7935" s="905"/>
      <c r="B7935" s="906"/>
      <c r="C7935" s="907">
        <v>699</v>
      </c>
      <c r="D7935" s="907" t="s">
        <v>279</v>
      </c>
      <c r="E7935" s="925" t="s">
        <v>4006</v>
      </c>
      <c r="F7935" s="926" t="s">
        <v>4007</v>
      </c>
      <c r="G7935" s="910"/>
      <c r="H7935" s="911">
        <v>5</v>
      </c>
      <c r="I7935" s="912">
        <f>VLOOKUP(E7935,[3]VLP!$B$7:$K$300,10,0)</f>
        <v>5000</v>
      </c>
      <c r="J7935" s="912">
        <f t="shared" si="617"/>
        <v>25000</v>
      </c>
      <c r="K7935" s="912" t="s">
        <v>274</v>
      </c>
      <c r="L7935" s="912"/>
      <c r="M7935" s="912"/>
      <c r="N7935" s="912"/>
      <c r="O7935" s="892">
        <f t="shared" si="612"/>
        <v>0</v>
      </c>
      <c r="P7935" s="903">
        <f t="shared" si="614"/>
        <v>1</v>
      </c>
      <c r="Q7935" s="893">
        <f t="shared" si="615"/>
        <v>3</v>
      </c>
      <c r="R7935" s="894">
        <f t="shared" si="616"/>
        <v>0</v>
      </c>
    </row>
    <row r="7936" spans="1:18" s="904" customFormat="1">
      <c r="A7936" s="895"/>
      <c r="B7936" s="896"/>
      <c r="C7936" s="897"/>
      <c r="D7936" s="897"/>
      <c r="E7936" s="924" t="s">
        <v>276</v>
      </c>
      <c r="F7936" s="927"/>
      <c r="G7936" s="928"/>
      <c r="H7936" s="901"/>
      <c r="I7936" s="902"/>
      <c r="J7936" s="902"/>
      <c r="K7936" s="912" t="s">
        <v>274</v>
      </c>
      <c r="L7936" s="902"/>
      <c r="M7936" s="902"/>
      <c r="N7936" s="902"/>
      <c r="O7936" s="892">
        <f t="shared" si="612"/>
        <v>0</v>
      </c>
      <c r="P7936" s="903">
        <f t="shared" si="614"/>
        <v>1</v>
      </c>
      <c r="Q7936" s="893">
        <f t="shared" si="615"/>
        <v>2</v>
      </c>
      <c r="R7936" s="894">
        <f t="shared" si="616"/>
        <v>0</v>
      </c>
    </row>
    <row r="7937" spans="1:18">
      <c r="A7937" s="905"/>
      <c r="B7937" s="906"/>
      <c r="C7937" s="907">
        <v>745</v>
      </c>
      <c r="D7937" s="907" t="s">
        <v>12</v>
      </c>
      <c r="E7937" s="908" t="s">
        <v>5518</v>
      </c>
      <c r="F7937" s="909" t="s">
        <v>2674</v>
      </c>
      <c r="G7937" s="910"/>
      <c r="H7937" s="911">
        <v>18.62</v>
      </c>
      <c r="I7937" s="912"/>
      <c r="J7937" s="912"/>
      <c r="K7937" s="912">
        <f>VLOOKUP(E7937,[5]ĐMNC!$A$7:$F$67,4,0)</f>
        <v>240557</v>
      </c>
      <c r="L7937" s="912">
        <f>H7937*K7937</f>
        <v>4479171.34</v>
      </c>
      <c r="M7937" s="912"/>
      <c r="N7937" s="912"/>
      <c r="O7937" s="892">
        <f t="shared" si="612"/>
        <v>0</v>
      </c>
      <c r="P7937" s="903">
        <f t="shared" si="614"/>
        <v>1</v>
      </c>
      <c r="Q7937" s="893">
        <f t="shared" si="615"/>
        <v>1</v>
      </c>
      <c r="R7937" s="894">
        <f t="shared" si="616"/>
        <v>0</v>
      </c>
    </row>
    <row r="7938" spans="1:18" s="847" customFormat="1" ht="35.25" customHeight="1">
      <c r="A7938" s="905"/>
      <c r="B7938" s="914" t="s">
        <v>6208</v>
      </c>
      <c r="C7938" s="915"/>
      <c r="D7938" s="915"/>
      <c r="E7938" s="916" t="s">
        <v>6198</v>
      </c>
      <c r="F7938" s="917" t="s">
        <v>6094</v>
      </c>
      <c r="G7938" s="944"/>
      <c r="H7938" s="919"/>
      <c r="I7938" s="920"/>
      <c r="J7938" s="891">
        <f>SUM(J7939:J7952)</f>
        <v>1100820</v>
      </c>
      <c r="K7938" s="891" t="s">
        <v>274</v>
      </c>
      <c r="L7938" s="891">
        <f>SUM(L7939:L7952)</f>
        <v>4936229.6399999997</v>
      </c>
      <c r="M7938" s="891"/>
      <c r="N7938" s="891">
        <f>SUM(N7939:N7952)</f>
        <v>0</v>
      </c>
      <c r="O7938" s="892">
        <f t="shared" si="612"/>
        <v>1</v>
      </c>
      <c r="P7938" s="903">
        <f t="shared" si="614"/>
        <v>0</v>
      </c>
      <c r="Q7938" s="893">
        <f t="shared" si="615"/>
        <v>0</v>
      </c>
      <c r="R7938" s="894">
        <f t="shared" si="616"/>
        <v>14</v>
      </c>
    </row>
    <row r="7939" spans="1:18" s="904" customFormat="1">
      <c r="A7939" s="895"/>
      <c r="B7939" s="896"/>
      <c r="C7939" s="897"/>
      <c r="D7939" s="897"/>
      <c r="E7939" s="898" t="s">
        <v>108</v>
      </c>
      <c r="F7939" s="899"/>
      <c r="G7939" s="928"/>
      <c r="H7939" s="901"/>
      <c r="I7939" s="902"/>
      <c r="J7939" s="902"/>
      <c r="K7939" s="912" t="s">
        <v>274</v>
      </c>
      <c r="L7939" s="902"/>
      <c r="M7939" s="902"/>
      <c r="N7939" s="902"/>
      <c r="O7939" s="892">
        <f t="shared" si="612"/>
        <v>0</v>
      </c>
      <c r="P7939" s="903">
        <f t="shared" si="614"/>
        <v>1</v>
      </c>
      <c r="Q7939" s="893">
        <f t="shared" si="615"/>
        <v>14</v>
      </c>
      <c r="R7939" s="894">
        <f t="shared" si="616"/>
        <v>0</v>
      </c>
    </row>
    <row r="7940" spans="1:18">
      <c r="A7940" s="905"/>
      <c r="B7940" s="906"/>
      <c r="C7940" s="907">
        <v>70</v>
      </c>
      <c r="D7940" s="907" t="s">
        <v>279</v>
      </c>
      <c r="E7940" s="925" t="s">
        <v>6120</v>
      </c>
      <c r="F7940" s="909" t="s">
        <v>2337</v>
      </c>
      <c r="G7940" s="910"/>
      <c r="H7940" s="911">
        <v>1</v>
      </c>
      <c r="I7940" s="912">
        <f>VLOOKUP(E7940,[3]VLP!$B$7:$K$300,10,0)</f>
        <v>27040</v>
      </c>
      <c r="J7940" s="912">
        <f t="shared" ref="J7940:J7950" si="618">I7940*H7940</f>
        <v>27040</v>
      </c>
      <c r="K7940" s="912" t="s">
        <v>274</v>
      </c>
      <c r="L7940" s="912"/>
      <c r="M7940" s="912"/>
      <c r="N7940" s="912"/>
      <c r="O7940" s="892">
        <f t="shared" si="612"/>
        <v>0</v>
      </c>
      <c r="P7940" s="903">
        <f t="shared" si="614"/>
        <v>1</v>
      </c>
      <c r="Q7940" s="893">
        <f t="shared" si="615"/>
        <v>13</v>
      </c>
      <c r="R7940" s="894">
        <f t="shared" si="616"/>
        <v>0</v>
      </c>
    </row>
    <row r="7941" spans="1:18">
      <c r="A7941" s="905"/>
      <c r="B7941" s="906"/>
      <c r="C7941" s="907">
        <v>24</v>
      </c>
      <c r="D7941" s="907" t="s">
        <v>279</v>
      </c>
      <c r="E7941" s="925" t="s">
        <v>2691</v>
      </c>
      <c r="F7941" s="926" t="s">
        <v>2690</v>
      </c>
      <c r="G7941" s="910"/>
      <c r="H7941" s="911">
        <v>3</v>
      </c>
      <c r="I7941" s="912">
        <f>VLOOKUP(E7941,[3]VLP!$B$7:$K$300,10,0)</f>
        <v>6000</v>
      </c>
      <c r="J7941" s="912">
        <f t="shared" si="618"/>
        <v>18000</v>
      </c>
      <c r="K7941" s="912" t="s">
        <v>274</v>
      </c>
      <c r="L7941" s="912"/>
      <c r="M7941" s="912"/>
      <c r="N7941" s="912"/>
      <c r="O7941" s="892">
        <f t="shared" si="612"/>
        <v>0</v>
      </c>
      <c r="P7941" s="903">
        <f t="shared" si="614"/>
        <v>1</v>
      </c>
      <c r="Q7941" s="893">
        <f t="shared" si="615"/>
        <v>12</v>
      </c>
      <c r="R7941" s="894">
        <f t="shared" si="616"/>
        <v>0</v>
      </c>
    </row>
    <row r="7942" spans="1:18">
      <c r="A7942" s="905"/>
      <c r="B7942" s="906"/>
      <c r="C7942" s="907">
        <v>122</v>
      </c>
      <c r="D7942" s="907" t="s">
        <v>279</v>
      </c>
      <c r="E7942" s="925" t="s">
        <v>3267</v>
      </c>
      <c r="F7942" s="909" t="s">
        <v>45</v>
      </c>
      <c r="G7942" s="910"/>
      <c r="H7942" s="911">
        <v>2.5</v>
      </c>
      <c r="I7942" s="912">
        <f>VLOOKUP(E7942,[3]VLP!$B$7:$K$300,10,0)</f>
        <v>30000</v>
      </c>
      <c r="J7942" s="912">
        <f t="shared" si="618"/>
        <v>75000</v>
      </c>
      <c r="K7942" s="912" t="s">
        <v>274</v>
      </c>
      <c r="L7942" s="912"/>
      <c r="M7942" s="912"/>
      <c r="N7942" s="912"/>
      <c r="O7942" s="892">
        <f t="shared" si="612"/>
        <v>0</v>
      </c>
      <c r="P7942" s="903">
        <f t="shared" si="614"/>
        <v>1</v>
      </c>
      <c r="Q7942" s="893">
        <f t="shared" si="615"/>
        <v>11</v>
      </c>
      <c r="R7942" s="894">
        <f t="shared" si="616"/>
        <v>0</v>
      </c>
    </row>
    <row r="7943" spans="1:18">
      <c r="A7943" s="905"/>
      <c r="B7943" s="906"/>
      <c r="C7943" s="907">
        <v>93</v>
      </c>
      <c r="D7943" s="907" t="s">
        <v>279</v>
      </c>
      <c r="E7943" s="925" t="s">
        <v>6111</v>
      </c>
      <c r="F7943" s="909" t="s">
        <v>45</v>
      </c>
      <c r="G7943" s="910"/>
      <c r="H7943" s="911">
        <v>0.25</v>
      </c>
      <c r="I7943" s="912">
        <f>VLOOKUP(E7943,[3]VLP!$B$7:$K$300,10,0)</f>
        <v>42000</v>
      </c>
      <c r="J7943" s="912">
        <f t="shared" si="618"/>
        <v>10500</v>
      </c>
      <c r="K7943" s="912" t="s">
        <v>274</v>
      </c>
      <c r="L7943" s="912"/>
      <c r="M7943" s="912"/>
      <c r="N7943" s="912"/>
      <c r="O7943" s="892">
        <f t="shared" si="612"/>
        <v>0</v>
      </c>
      <c r="P7943" s="903">
        <f t="shared" si="614"/>
        <v>1</v>
      </c>
      <c r="Q7943" s="893">
        <f t="shared" si="615"/>
        <v>10</v>
      </c>
      <c r="R7943" s="894">
        <f t="shared" si="616"/>
        <v>0</v>
      </c>
    </row>
    <row r="7944" spans="1:18">
      <c r="A7944" s="905"/>
      <c r="B7944" s="906"/>
      <c r="C7944" s="907">
        <v>89</v>
      </c>
      <c r="D7944" s="907" t="s">
        <v>279</v>
      </c>
      <c r="E7944" s="925" t="s">
        <v>5984</v>
      </c>
      <c r="F7944" s="909" t="s">
        <v>45</v>
      </c>
      <c r="G7944" s="910"/>
      <c r="H7944" s="911">
        <v>0.4</v>
      </c>
      <c r="I7944" s="912">
        <f>VLOOKUP(E7944,[3]VLP!$B$7:$K$300,10,0)</f>
        <v>1000</v>
      </c>
      <c r="J7944" s="912">
        <f t="shared" si="618"/>
        <v>400</v>
      </c>
      <c r="K7944" s="912" t="s">
        <v>274</v>
      </c>
      <c r="L7944" s="912"/>
      <c r="M7944" s="912"/>
      <c r="N7944" s="912"/>
      <c r="O7944" s="892">
        <f t="shared" si="612"/>
        <v>0</v>
      </c>
      <c r="P7944" s="903">
        <f t="shared" si="614"/>
        <v>1</v>
      </c>
      <c r="Q7944" s="893">
        <f t="shared" si="615"/>
        <v>9</v>
      </c>
      <c r="R7944" s="894">
        <f t="shared" si="616"/>
        <v>0</v>
      </c>
    </row>
    <row r="7945" spans="1:18">
      <c r="A7945" s="905"/>
      <c r="B7945" s="906"/>
      <c r="C7945" s="907">
        <v>47</v>
      </c>
      <c r="D7945" s="907" t="s">
        <v>279</v>
      </c>
      <c r="E7945" s="925" t="s">
        <v>3170</v>
      </c>
      <c r="F7945" s="909" t="s">
        <v>45</v>
      </c>
      <c r="G7945" s="910"/>
      <c r="H7945" s="911">
        <v>16</v>
      </c>
      <c r="I7945" s="912">
        <f>VLOOKUP(E7945,[3]VLP!$B$7:$K$300,10,0)</f>
        <v>1000</v>
      </c>
      <c r="J7945" s="912">
        <f t="shared" si="618"/>
        <v>16000</v>
      </c>
      <c r="K7945" s="912" t="s">
        <v>274</v>
      </c>
      <c r="L7945" s="912"/>
      <c r="M7945" s="912"/>
      <c r="N7945" s="912"/>
      <c r="O7945" s="892">
        <f t="shared" si="612"/>
        <v>0</v>
      </c>
      <c r="P7945" s="903">
        <f t="shared" si="614"/>
        <v>1</v>
      </c>
      <c r="Q7945" s="893">
        <f t="shared" si="615"/>
        <v>8</v>
      </c>
      <c r="R7945" s="894">
        <f t="shared" si="616"/>
        <v>0</v>
      </c>
    </row>
    <row r="7946" spans="1:18">
      <c r="A7946" s="905"/>
      <c r="B7946" s="906"/>
      <c r="C7946" s="907">
        <v>44</v>
      </c>
      <c r="D7946" s="907" t="s">
        <v>279</v>
      </c>
      <c r="E7946" s="925" t="s">
        <v>2681</v>
      </c>
      <c r="F7946" s="926" t="s">
        <v>45</v>
      </c>
      <c r="G7946" s="910"/>
      <c r="H7946" s="911">
        <v>20</v>
      </c>
      <c r="I7946" s="912">
        <f>VLOOKUP(E7946,[3]VLP!$B$7:$K$300,10,0)</f>
        <v>23000</v>
      </c>
      <c r="J7946" s="912">
        <f t="shared" si="618"/>
        <v>460000</v>
      </c>
      <c r="K7946" s="912" t="s">
        <v>274</v>
      </c>
      <c r="L7946" s="912"/>
      <c r="M7946" s="912"/>
      <c r="N7946" s="912"/>
      <c r="O7946" s="892">
        <f t="shared" si="612"/>
        <v>0</v>
      </c>
      <c r="P7946" s="903">
        <f t="shared" si="614"/>
        <v>1</v>
      </c>
      <c r="Q7946" s="893">
        <f t="shared" si="615"/>
        <v>7</v>
      </c>
      <c r="R7946" s="894">
        <f t="shared" si="616"/>
        <v>0</v>
      </c>
    </row>
    <row r="7947" spans="1:18">
      <c r="A7947" s="905"/>
      <c r="B7947" s="906"/>
      <c r="C7947" s="907">
        <v>66</v>
      </c>
      <c r="D7947" s="907" t="s">
        <v>279</v>
      </c>
      <c r="E7947" s="925" t="s">
        <v>2682</v>
      </c>
      <c r="F7947" s="926" t="s">
        <v>45</v>
      </c>
      <c r="G7947" s="910"/>
      <c r="H7947" s="911">
        <v>0.6</v>
      </c>
      <c r="I7947" s="912">
        <f>VLOOKUP(E7947,[3]VLP!$B$7:$K$300,10,0)</f>
        <v>5000</v>
      </c>
      <c r="J7947" s="912">
        <f t="shared" si="618"/>
        <v>3000</v>
      </c>
      <c r="K7947" s="912" t="s">
        <v>274</v>
      </c>
      <c r="L7947" s="912"/>
      <c r="M7947" s="912"/>
      <c r="N7947" s="912"/>
      <c r="O7947" s="892">
        <f t="shared" si="612"/>
        <v>0</v>
      </c>
      <c r="P7947" s="903">
        <f t="shared" si="614"/>
        <v>1</v>
      </c>
      <c r="Q7947" s="893">
        <f t="shared" si="615"/>
        <v>6</v>
      </c>
      <c r="R7947" s="894">
        <f t="shared" si="616"/>
        <v>0</v>
      </c>
    </row>
    <row r="7948" spans="1:18">
      <c r="A7948" s="905"/>
      <c r="B7948" s="906"/>
      <c r="C7948" s="907">
        <v>46</v>
      </c>
      <c r="D7948" s="907" t="s">
        <v>279</v>
      </c>
      <c r="E7948" s="925" t="s">
        <v>3179</v>
      </c>
      <c r="F7948" s="926" t="s">
        <v>45</v>
      </c>
      <c r="G7948" s="910"/>
      <c r="H7948" s="911">
        <v>20</v>
      </c>
      <c r="I7948" s="912">
        <f>VLOOKUP(E7948,[3]VLP!$B$7:$K$300,10,0)</f>
        <v>20500</v>
      </c>
      <c r="J7948" s="912">
        <f t="shared" si="618"/>
        <v>410000</v>
      </c>
      <c r="K7948" s="912" t="s">
        <v>274</v>
      </c>
      <c r="L7948" s="912"/>
      <c r="M7948" s="912"/>
      <c r="N7948" s="912"/>
      <c r="O7948" s="892">
        <f t="shared" si="612"/>
        <v>0</v>
      </c>
      <c r="P7948" s="903">
        <f t="shared" si="614"/>
        <v>1</v>
      </c>
      <c r="Q7948" s="893">
        <f t="shared" si="615"/>
        <v>5</v>
      </c>
      <c r="R7948" s="894">
        <f t="shared" si="616"/>
        <v>0</v>
      </c>
    </row>
    <row r="7949" spans="1:18">
      <c r="A7949" s="905"/>
      <c r="B7949" s="906"/>
      <c r="C7949" s="907">
        <v>58</v>
      </c>
      <c r="D7949" s="907" t="s">
        <v>279</v>
      </c>
      <c r="E7949" s="925" t="s">
        <v>3190</v>
      </c>
      <c r="F7949" s="926" t="s">
        <v>45</v>
      </c>
      <c r="G7949" s="910"/>
      <c r="H7949" s="911">
        <v>2</v>
      </c>
      <c r="I7949" s="912">
        <f>VLOOKUP(E7949,[3]VLP!$B$7:$K$300,10,0)</f>
        <v>27940</v>
      </c>
      <c r="J7949" s="912">
        <f t="shared" si="618"/>
        <v>55880</v>
      </c>
      <c r="K7949" s="912" t="s">
        <v>274</v>
      </c>
      <c r="L7949" s="912"/>
      <c r="M7949" s="912"/>
      <c r="N7949" s="912"/>
      <c r="O7949" s="892">
        <f t="shared" si="612"/>
        <v>0</v>
      </c>
      <c r="P7949" s="903">
        <f t="shared" si="614"/>
        <v>1</v>
      </c>
      <c r="Q7949" s="893">
        <f t="shared" si="615"/>
        <v>4</v>
      </c>
      <c r="R7949" s="894">
        <f t="shared" si="616"/>
        <v>0</v>
      </c>
    </row>
    <row r="7950" spans="1:18">
      <c r="A7950" s="905"/>
      <c r="B7950" s="906"/>
      <c r="C7950" s="907">
        <v>699</v>
      </c>
      <c r="D7950" s="907" t="s">
        <v>279</v>
      </c>
      <c r="E7950" s="925" t="s">
        <v>4006</v>
      </c>
      <c r="F7950" s="926" t="s">
        <v>4007</v>
      </c>
      <c r="G7950" s="910"/>
      <c r="H7950" s="911">
        <v>5</v>
      </c>
      <c r="I7950" s="912">
        <f>VLOOKUP(E7950,[3]VLP!$B$7:$K$300,10,0)</f>
        <v>5000</v>
      </c>
      <c r="J7950" s="912">
        <f t="shared" si="618"/>
        <v>25000</v>
      </c>
      <c r="K7950" s="912" t="s">
        <v>274</v>
      </c>
      <c r="L7950" s="912"/>
      <c r="M7950" s="912"/>
      <c r="N7950" s="912"/>
      <c r="O7950" s="892">
        <f t="shared" si="612"/>
        <v>0</v>
      </c>
      <c r="P7950" s="903">
        <f t="shared" si="614"/>
        <v>1</v>
      </c>
      <c r="Q7950" s="893">
        <f t="shared" si="615"/>
        <v>3</v>
      </c>
      <c r="R7950" s="894">
        <f t="shared" si="616"/>
        <v>0</v>
      </c>
    </row>
    <row r="7951" spans="1:18" s="904" customFormat="1">
      <c r="A7951" s="895"/>
      <c r="B7951" s="896"/>
      <c r="C7951" s="897"/>
      <c r="D7951" s="897"/>
      <c r="E7951" s="924" t="s">
        <v>276</v>
      </c>
      <c r="F7951" s="927"/>
      <c r="G7951" s="928"/>
      <c r="H7951" s="901"/>
      <c r="I7951" s="902"/>
      <c r="J7951" s="902"/>
      <c r="K7951" s="912" t="s">
        <v>274</v>
      </c>
      <c r="L7951" s="902"/>
      <c r="M7951" s="902"/>
      <c r="N7951" s="902"/>
      <c r="O7951" s="892">
        <f t="shared" si="612"/>
        <v>0</v>
      </c>
      <c r="P7951" s="903">
        <f t="shared" si="614"/>
        <v>1</v>
      </c>
      <c r="Q7951" s="893">
        <f t="shared" si="615"/>
        <v>2</v>
      </c>
      <c r="R7951" s="894">
        <f t="shared" si="616"/>
        <v>0</v>
      </c>
    </row>
    <row r="7952" spans="1:18">
      <c r="A7952" s="905"/>
      <c r="B7952" s="906"/>
      <c r="C7952" s="907">
        <v>745</v>
      </c>
      <c r="D7952" s="907" t="s">
        <v>12</v>
      </c>
      <c r="E7952" s="908" t="s">
        <v>5518</v>
      </c>
      <c r="F7952" s="909" t="s">
        <v>2674</v>
      </c>
      <c r="G7952" s="910"/>
      <c r="H7952" s="911">
        <v>20.52</v>
      </c>
      <c r="I7952" s="912"/>
      <c r="J7952" s="912"/>
      <c r="K7952" s="912">
        <f>VLOOKUP(E7952,[5]ĐMNC!$A$7:$F$67,4,0)</f>
        <v>240557</v>
      </c>
      <c r="L7952" s="912">
        <f>H7952*K7952</f>
        <v>4936229.6399999997</v>
      </c>
      <c r="M7952" s="912"/>
      <c r="N7952" s="912"/>
      <c r="O7952" s="892">
        <f t="shared" si="612"/>
        <v>0</v>
      </c>
      <c r="P7952" s="903">
        <f t="shared" si="614"/>
        <v>1</v>
      </c>
      <c r="Q7952" s="893">
        <f t="shared" si="615"/>
        <v>1</v>
      </c>
      <c r="R7952" s="894">
        <f t="shared" si="616"/>
        <v>0</v>
      </c>
    </row>
    <row r="7953" spans="1:18" s="847" customFormat="1" ht="35.25" customHeight="1">
      <c r="A7953" s="905" t="s">
        <v>6180</v>
      </c>
      <c r="B7953" s="914" t="s">
        <v>6209</v>
      </c>
      <c r="C7953" s="915"/>
      <c r="D7953" s="915"/>
      <c r="E7953" s="916" t="s">
        <v>6200</v>
      </c>
      <c r="F7953" s="917" t="s">
        <v>6094</v>
      </c>
      <c r="G7953" s="944"/>
      <c r="H7953" s="919"/>
      <c r="I7953" s="920"/>
      <c r="J7953" s="891">
        <f>SUM(J7954:J7967)</f>
        <v>1349780</v>
      </c>
      <c r="K7953" s="891" t="s">
        <v>274</v>
      </c>
      <c r="L7953" s="891">
        <f>SUM(L7954:L7967)</f>
        <v>5393287.9400000004</v>
      </c>
      <c r="M7953" s="891"/>
      <c r="N7953" s="891">
        <f>SUM(N7954:N7967)</f>
        <v>0</v>
      </c>
      <c r="O7953" s="892">
        <f t="shared" si="612"/>
        <v>1</v>
      </c>
      <c r="P7953" s="903">
        <f t="shared" si="614"/>
        <v>0</v>
      </c>
      <c r="Q7953" s="893">
        <f t="shared" si="615"/>
        <v>0</v>
      </c>
      <c r="R7953" s="894">
        <f t="shared" si="616"/>
        <v>14</v>
      </c>
    </row>
    <row r="7954" spans="1:18" s="904" customFormat="1">
      <c r="A7954" s="895"/>
      <c r="B7954" s="896"/>
      <c r="C7954" s="897"/>
      <c r="D7954" s="897"/>
      <c r="E7954" s="898" t="s">
        <v>108</v>
      </c>
      <c r="F7954" s="899"/>
      <c r="G7954" s="928"/>
      <c r="H7954" s="901"/>
      <c r="I7954" s="902"/>
      <c r="J7954" s="902"/>
      <c r="K7954" s="912" t="s">
        <v>274</v>
      </c>
      <c r="L7954" s="902"/>
      <c r="M7954" s="902"/>
      <c r="N7954" s="902"/>
      <c r="O7954" s="892">
        <f t="shared" si="612"/>
        <v>0</v>
      </c>
      <c r="P7954" s="903">
        <f t="shared" si="614"/>
        <v>1</v>
      </c>
      <c r="Q7954" s="893">
        <f t="shared" si="615"/>
        <v>14</v>
      </c>
      <c r="R7954" s="894">
        <f t="shared" si="616"/>
        <v>0</v>
      </c>
    </row>
    <row r="7955" spans="1:18">
      <c r="A7955" s="905"/>
      <c r="B7955" s="906"/>
      <c r="C7955" s="907">
        <v>71</v>
      </c>
      <c r="D7955" s="907" t="s">
        <v>279</v>
      </c>
      <c r="E7955" s="925" t="s">
        <v>6123</v>
      </c>
      <c r="F7955" s="909" t="s">
        <v>2337</v>
      </c>
      <c r="G7955" s="910"/>
      <c r="H7955" s="911">
        <v>1</v>
      </c>
      <c r="I7955" s="912">
        <f>VLOOKUP(E7955,[3]VLP!$B$7:$K$300,10,0)</f>
        <v>33800</v>
      </c>
      <c r="J7955" s="912">
        <f t="shared" ref="J7955:J7965" si="619">I7955*H7955</f>
        <v>33800</v>
      </c>
      <c r="K7955" s="912" t="s">
        <v>274</v>
      </c>
      <c r="L7955" s="912"/>
      <c r="M7955" s="912"/>
      <c r="N7955" s="912"/>
      <c r="O7955" s="892">
        <f t="shared" si="612"/>
        <v>0</v>
      </c>
      <c r="P7955" s="903">
        <f t="shared" si="614"/>
        <v>1</v>
      </c>
      <c r="Q7955" s="893">
        <f t="shared" si="615"/>
        <v>13</v>
      </c>
      <c r="R7955" s="894">
        <f t="shared" si="616"/>
        <v>0</v>
      </c>
    </row>
    <row r="7956" spans="1:18">
      <c r="A7956" s="905"/>
      <c r="B7956" s="906"/>
      <c r="C7956" s="907">
        <v>24</v>
      </c>
      <c r="D7956" s="907" t="s">
        <v>279</v>
      </c>
      <c r="E7956" s="925" t="s">
        <v>2691</v>
      </c>
      <c r="F7956" s="926" t="s">
        <v>2690</v>
      </c>
      <c r="G7956" s="910"/>
      <c r="H7956" s="911">
        <v>4</v>
      </c>
      <c r="I7956" s="912">
        <f>VLOOKUP(E7956,[3]VLP!$B$7:$K$300,10,0)</f>
        <v>6000</v>
      </c>
      <c r="J7956" s="912">
        <f t="shared" si="619"/>
        <v>24000</v>
      </c>
      <c r="K7956" s="912" t="s">
        <v>274</v>
      </c>
      <c r="L7956" s="912"/>
      <c r="M7956" s="912"/>
      <c r="N7956" s="912"/>
      <c r="O7956" s="892">
        <f t="shared" si="612"/>
        <v>0</v>
      </c>
      <c r="P7956" s="903">
        <f t="shared" si="614"/>
        <v>1</v>
      </c>
      <c r="Q7956" s="893">
        <f t="shared" si="615"/>
        <v>12</v>
      </c>
      <c r="R7956" s="894">
        <f t="shared" si="616"/>
        <v>0</v>
      </c>
    </row>
    <row r="7957" spans="1:18">
      <c r="A7957" s="905"/>
      <c r="B7957" s="906"/>
      <c r="C7957" s="907">
        <v>122</v>
      </c>
      <c r="D7957" s="907" t="s">
        <v>279</v>
      </c>
      <c r="E7957" s="925" t="s">
        <v>3267</v>
      </c>
      <c r="F7957" s="909" t="s">
        <v>45</v>
      </c>
      <c r="G7957" s="910"/>
      <c r="H7957" s="911">
        <v>3</v>
      </c>
      <c r="I7957" s="912">
        <f>VLOOKUP(E7957,[3]VLP!$B$7:$K$300,10,0)</f>
        <v>30000</v>
      </c>
      <c r="J7957" s="912">
        <f t="shared" si="619"/>
        <v>90000</v>
      </c>
      <c r="K7957" s="912" t="s">
        <v>274</v>
      </c>
      <c r="L7957" s="912"/>
      <c r="M7957" s="912"/>
      <c r="N7957" s="912"/>
      <c r="O7957" s="892">
        <f t="shared" si="612"/>
        <v>0</v>
      </c>
      <c r="P7957" s="903">
        <f t="shared" si="614"/>
        <v>1</v>
      </c>
      <c r="Q7957" s="893">
        <f t="shared" si="615"/>
        <v>11</v>
      </c>
      <c r="R7957" s="894">
        <f t="shared" si="616"/>
        <v>0</v>
      </c>
    </row>
    <row r="7958" spans="1:18">
      <c r="A7958" s="905"/>
      <c r="B7958" s="906"/>
      <c r="C7958" s="907">
        <v>93</v>
      </c>
      <c r="D7958" s="907" t="s">
        <v>279</v>
      </c>
      <c r="E7958" s="925" t="s">
        <v>6111</v>
      </c>
      <c r="F7958" s="909" t="s">
        <v>45</v>
      </c>
      <c r="G7958" s="910"/>
      <c r="H7958" s="911">
        <v>0.3</v>
      </c>
      <c r="I7958" s="912">
        <f>VLOOKUP(E7958,[3]VLP!$B$7:$K$300,10,0)</f>
        <v>42000</v>
      </c>
      <c r="J7958" s="912">
        <f t="shared" si="619"/>
        <v>12600</v>
      </c>
      <c r="K7958" s="912" t="s">
        <v>274</v>
      </c>
      <c r="L7958" s="912"/>
      <c r="M7958" s="912"/>
      <c r="N7958" s="912"/>
      <c r="O7958" s="892">
        <f t="shared" si="612"/>
        <v>0</v>
      </c>
      <c r="P7958" s="903">
        <f t="shared" si="614"/>
        <v>1</v>
      </c>
      <c r="Q7958" s="893">
        <f t="shared" si="615"/>
        <v>10</v>
      </c>
      <c r="R7958" s="894">
        <f t="shared" si="616"/>
        <v>0</v>
      </c>
    </row>
    <row r="7959" spans="1:18">
      <c r="A7959" s="905"/>
      <c r="B7959" s="906"/>
      <c r="C7959" s="907">
        <v>89</v>
      </c>
      <c r="D7959" s="907" t="s">
        <v>279</v>
      </c>
      <c r="E7959" s="925" t="s">
        <v>5984</v>
      </c>
      <c r="F7959" s="909" t="s">
        <v>45</v>
      </c>
      <c r="G7959" s="910"/>
      <c r="H7959" s="911">
        <v>0.5</v>
      </c>
      <c r="I7959" s="912">
        <f>VLOOKUP(E7959,[3]VLP!$B$7:$K$300,10,0)</f>
        <v>1000</v>
      </c>
      <c r="J7959" s="912">
        <f t="shared" si="619"/>
        <v>500</v>
      </c>
      <c r="K7959" s="912" t="s">
        <v>274</v>
      </c>
      <c r="L7959" s="912"/>
      <c r="M7959" s="912"/>
      <c r="N7959" s="912"/>
      <c r="O7959" s="892">
        <f t="shared" si="612"/>
        <v>0</v>
      </c>
      <c r="P7959" s="903">
        <f t="shared" si="614"/>
        <v>1</v>
      </c>
      <c r="Q7959" s="893">
        <f t="shared" si="615"/>
        <v>9</v>
      </c>
      <c r="R7959" s="894">
        <f t="shared" si="616"/>
        <v>0</v>
      </c>
    </row>
    <row r="7960" spans="1:18">
      <c r="A7960" s="905"/>
      <c r="B7960" s="906"/>
      <c r="C7960" s="907">
        <v>47</v>
      </c>
      <c r="D7960" s="907" t="s">
        <v>279</v>
      </c>
      <c r="E7960" s="925" t="s">
        <v>3170</v>
      </c>
      <c r="F7960" s="909" t="s">
        <v>45</v>
      </c>
      <c r="G7960" s="910"/>
      <c r="H7960" s="911">
        <v>17</v>
      </c>
      <c r="I7960" s="912">
        <f>VLOOKUP(E7960,[3]VLP!$B$7:$K$300,10,0)</f>
        <v>1000</v>
      </c>
      <c r="J7960" s="912">
        <f t="shared" si="619"/>
        <v>17000</v>
      </c>
      <c r="K7960" s="912" t="s">
        <v>274</v>
      </c>
      <c r="L7960" s="912"/>
      <c r="M7960" s="912"/>
      <c r="N7960" s="912"/>
      <c r="O7960" s="892">
        <f t="shared" si="612"/>
        <v>0</v>
      </c>
      <c r="P7960" s="903">
        <f t="shared" si="614"/>
        <v>1</v>
      </c>
      <c r="Q7960" s="893">
        <f t="shared" si="615"/>
        <v>8</v>
      </c>
      <c r="R7960" s="894">
        <f t="shared" si="616"/>
        <v>0</v>
      </c>
    </row>
    <row r="7961" spans="1:18">
      <c r="A7961" s="905"/>
      <c r="B7961" s="906"/>
      <c r="C7961" s="907">
        <v>44</v>
      </c>
      <c r="D7961" s="907" t="s">
        <v>279</v>
      </c>
      <c r="E7961" s="925" t="s">
        <v>2681</v>
      </c>
      <c r="F7961" s="926" t="s">
        <v>45</v>
      </c>
      <c r="G7961" s="910"/>
      <c r="H7961" s="911">
        <v>25</v>
      </c>
      <c r="I7961" s="912">
        <f>VLOOKUP(E7961,[3]VLP!$B$7:$K$300,10,0)</f>
        <v>23000</v>
      </c>
      <c r="J7961" s="912">
        <f t="shared" si="619"/>
        <v>575000</v>
      </c>
      <c r="K7961" s="912" t="s">
        <v>274</v>
      </c>
      <c r="L7961" s="912"/>
      <c r="M7961" s="912"/>
      <c r="N7961" s="912"/>
      <c r="O7961" s="892">
        <f t="shared" si="612"/>
        <v>0</v>
      </c>
      <c r="P7961" s="903">
        <f t="shared" si="614"/>
        <v>1</v>
      </c>
      <c r="Q7961" s="893">
        <f t="shared" si="615"/>
        <v>7</v>
      </c>
      <c r="R7961" s="894">
        <f t="shared" si="616"/>
        <v>0</v>
      </c>
    </row>
    <row r="7962" spans="1:18">
      <c r="A7962" s="905"/>
      <c r="B7962" s="906"/>
      <c r="C7962" s="907">
        <v>66</v>
      </c>
      <c r="D7962" s="907" t="s">
        <v>279</v>
      </c>
      <c r="E7962" s="925" t="s">
        <v>2682</v>
      </c>
      <c r="F7962" s="926" t="s">
        <v>45</v>
      </c>
      <c r="G7962" s="910"/>
      <c r="H7962" s="911">
        <v>0.7</v>
      </c>
      <c r="I7962" s="912">
        <f>VLOOKUP(E7962,[3]VLP!$B$7:$K$300,10,0)</f>
        <v>5000</v>
      </c>
      <c r="J7962" s="912">
        <f t="shared" si="619"/>
        <v>3500</v>
      </c>
      <c r="K7962" s="912" t="s">
        <v>274</v>
      </c>
      <c r="L7962" s="912"/>
      <c r="M7962" s="912"/>
      <c r="N7962" s="912"/>
      <c r="O7962" s="892">
        <f t="shared" si="612"/>
        <v>0</v>
      </c>
      <c r="P7962" s="903">
        <f t="shared" si="614"/>
        <v>1</v>
      </c>
      <c r="Q7962" s="893">
        <f t="shared" si="615"/>
        <v>6</v>
      </c>
      <c r="R7962" s="894">
        <f t="shared" si="616"/>
        <v>0</v>
      </c>
    </row>
    <row r="7963" spans="1:18">
      <c r="A7963" s="905"/>
      <c r="B7963" s="906"/>
      <c r="C7963" s="907">
        <v>46</v>
      </c>
      <c r="D7963" s="907" t="s">
        <v>279</v>
      </c>
      <c r="E7963" s="925" t="s">
        <v>3179</v>
      </c>
      <c r="F7963" s="926" t="s">
        <v>45</v>
      </c>
      <c r="G7963" s="910"/>
      <c r="H7963" s="911">
        <v>25</v>
      </c>
      <c r="I7963" s="912">
        <f>VLOOKUP(E7963,[3]VLP!$B$7:$K$300,10,0)</f>
        <v>20500</v>
      </c>
      <c r="J7963" s="912">
        <f t="shared" si="619"/>
        <v>512500</v>
      </c>
      <c r="K7963" s="912" t="s">
        <v>274</v>
      </c>
      <c r="L7963" s="912"/>
      <c r="M7963" s="912"/>
      <c r="N7963" s="912"/>
      <c r="O7963" s="892">
        <f t="shared" si="612"/>
        <v>0</v>
      </c>
      <c r="P7963" s="903">
        <f t="shared" si="614"/>
        <v>1</v>
      </c>
      <c r="Q7963" s="893">
        <f t="shared" si="615"/>
        <v>5</v>
      </c>
      <c r="R7963" s="894">
        <f t="shared" si="616"/>
        <v>0</v>
      </c>
    </row>
    <row r="7964" spans="1:18">
      <c r="A7964" s="905"/>
      <c r="B7964" s="906"/>
      <c r="C7964" s="907">
        <v>58</v>
      </c>
      <c r="D7964" s="907" t="s">
        <v>279</v>
      </c>
      <c r="E7964" s="925" t="s">
        <v>3190</v>
      </c>
      <c r="F7964" s="926" t="s">
        <v>45</v>
      </c>
      <c r="G7964" s="910"/>
      <c r="H7964" s="911">
        <v>2</v>
      </c>
      <c r="I7964" s="912">
        <f>VLOOKUP(E7964,[3]VLP!$B$7:$K$300,10,0)</f>
        <v>27940</v>
      </c>
      <c r="J7964" s="912">
        <f t="shared" si="619"/>
        <v>55880</v>
      </c>
      <c r="K7964" s="912" t="s">
        <v>274</v>
      </c>
      <c r="L7964" s="912"/>
      <c r="M7964" s="912"/>
      <c r="N7964" s="912"/>
      <c r="O7964" s="892">
        <f t="shared" si="612"/>
        <v>0</v>
      </c>
      <c r="P7964" s="903">
        <f t="shared" si="614"/>
        <v>1</v>
      </c>
      <c r="Q7964" s="893">
        <f t="shared" si="615"/>
        <v>4</v>
      </c>
      <c r="R7964" s="894">
        <f t="shared" si="616"/>
        <v>0</v>
      </c>
    </row>
    <row r="7965" spans="1:18">
      <c r="A7965" s="905"/>
      <c r="B7965" s="906"/>
      <c r="C7965" s="907">
        <v>699</v>
      </c>
      <c r="D7965" s="907" t="s">
        <v>279</v>
      </c>
      <c r="E7965" s="925" t="s">
        <v>4006</v>
      </c>
      <c r="F7965" s="926" t="s">
        <v>4007</v>
      </c>
      <c r="G7965" s="910"/>
      <c r="H7965" s="911">
        <v>5</v>
      </c>
      <c r="I7965" s="912">
        <f>VLOOKUP(E7965,[3]VLP!$B$7:$K$300,10,0)</f>
        <v>5000</v>
      </c>
      <c r="J7965" s="912">
        <f t="shared" si="619"/>
        <v>25000</v>
      </c>
      <c r="K7965" s="912" t="s">
        <v>274</v>
      </c>
      <c r="L7965" s="912"/>
      <c r="M7965" s="912"/>
      <c r="N7965" s="912"/>
      <c r="O7965" s="892">
        <f t="shared" si="612"/>
        <v>0</v>
      </c>
      <c r="P7965" s="903">
        <f t="shared" si="614"/>
        <v>1</v>
      </c>
      <c r="Q7965" s="893">
        <f t="shared" si="615"/>
        <v>3</v>
      </c>
      <c r="R7965" s="894">
        <f t="shared" si="616"/>
        <v>0</v>
      </c>
    </row>
    <row r="7966" spans="1:18" s="904" customFormat="1">
      <c r="A7966" s="895"/>
      <c r="B7966" s="896"/>
      <c r="C7966" s="897"/>
      <c r="D7966" s="897"/>
      <c r="E7966" s="924" t="s">
        <v>276</v>
      </c>
      <c r="F7966" s="927"/>
      <c r="G7966" s="928"/>
      <c r="H7966" s="901"/>
      <c r="I7966" s="902"/>
      <c r="J7966" s="902"/>
      <c r="K7966" s="912" t="s">
        <v>274</v>
      </c>
      <c r="L7966" s="902"/>
      <c r="M7966" s="902"/>
      <c r="N7966" s="902"/>
      <c r="O7966" s="892">
        <f t="shared" si="612"/>
        <v>0</v>
      </c>
      <c r="P7966" s="903">
        <f t="shared" si="614"/>
        <v>1</v>
      </c>
      <c r="Q7966" s="893">
        <f t="shared" si="615"/>
        <v>2</v>
      </c>
      <c r="R7966" s="894">
        <f t="shared" si="616"/>
        <v>0</v>
      </c>
    </row>
    <row r="7967" spans="1:18">
      <c r="A7967" s="905"/>
      <c r="B7967" s="906"/>
      <c r="C7967" s="907">
        <v>745</v>
      </c>
      <c r="D7967" s="907" t="s">
        <v>12</v>
      </c>
      <c r="E7967" s="908" t="s">
        <v>5518</v>
      </c>
      <c r="F7967" s="909" t="s">
        <v>2674</v>
      </c>
      <c r="G7967" s="910"/>
      <c r="H7967" s="911">
        <v>22.42</v>
      </c>
      <c r="I7967" s="912"/>
      <c r="J7967" s="912"/>
      <c r="K7967" s="912">
        <f>VLOOKUP(E7967,[5]ĐMNC!$A$7:$F$67,4,0)</f>
        <v>240557</v>
      </c>
      <c r="L7967" s="912">
        <f>H7967*K7967</f>
        <v>5393287.9400000004</v>
      </c>
      <c r="M7967" s="912"/>
      <c r="N7967" s="912"/>
      <c r="O7967" s="892">
        <f t="shared" ref="O7967:O8030" si="620">IF(AND(B7967&lt;&gt;"",D7967=""),1,0)</f>
        <v>0</v>
      </c>
      <c r="P7967" s="903">
        <f t="shared" si="614"/>
        <v>1</v>
      </c>
      <c r="Q7967" s="893">
        <f t="shared" si="615"/>
        <v>1</v>
      </c>
      <c r="R7967" s="894">
        <f t="shared" si="616"/>
        <v>0</v>
      </c>
    </row>
    <row r="7968" spans="1:18" s="847" customFormat="1" ht="35.25" customHeight="1">
      <c r="A7968" s="905"/>
      <c r="B7968" s="914" t="s">
        <v>6210</v>
      </c>
      <c r="C7968" s="915"/>
      <c r="D7968" s="915"/>
      <c r="E7968" s="916" t="s">
        <v>6202</v>
      </c>
      <c r="F7968" s="917" t="s">
        <v>6094</v>
      </c>
      <c r="G7968" s="944"/>
      <c r="H7968" s="919"/>
      <c r="I7968" s="920"/>
      <c r="J7968" s="891">
        <f>SUM(J7969:J7982)</f>
        <v>1349780</v>
      </c>
      <c r="K7968" s="891" t="s">
        <v>274</v>
      </c>
      <c r="L7968" s="891">
        <f>SUM(L7969:L7982)</f>
        <v>5920107.7699999996</v>
      </c>
      <c r="M7968" s="891"/>
      <c r="N7968" s="891">
        <f>SUM(N7969:N7982)</f>
        <v>0</v>
      </c>
      <c r="O7968" s="892">
        <f t="shared" si="620"/>
        <v>1</v>
      </c>
      <c r="P7968" s="903">
        <f t="shared" si="614"/>
        <v>0</v>
      </c>
      <c r="Q7968" s="893">
        <f t="shared" si="615"/>
        <v>0</v>
      </c>
      <c r="R7968" s="894">
        <f t="shared" si="616"/>
        <v>14</v>
      </c>
    </row>
    <row r="7969" spans="1:18" s="904" customFormat="1">
      <c r="A7969" s="895"/>
      <c r="B7969" s="896"/>
      <c r="C7969" s="897"/>
      <c r="D7969" s="897"/>
      <c r="E7969" s="898" t="s">
        <v>108</v>
      </c>
      <c r="F7969" s="899"/>
      <c r="G7969" s="928"/>
      <c r="H7969" s="901"/>
      <c r="I7969" s="902"/>
      <c r="J7969" s="902"/>
      <c r="K7969" s="912" t="s">
        <v>274</v>
      </c>
      <c r="L7969" s="902"/>
      <c r="M7969" s="902"/>
      <c r="N7969" s="902"/>
      <c r="O7969" s="892">
        <f t="shared" si="620"/>
        <v>0</v>
      </c>
      <c r="P7969" s="903">
        <f t="shared" si="614"/>
        <v>1</v>
      </c>
      <c r="Q7969" s="893">
        <f t="shared" si="615"/>
        <v>14</v>
      </c>
      <c r="R7969" s="894">
        <f t="shared" si="616"/>
        <v>0</v>
      </c>
    </row>
    <row r="7970" spans="1:18">
      <c r="A7970" s="905"/>
      <c r="B7970" s="906"/>
      <c r="C7970" s="907">
        <v>72</v>
      </c>
      <c r="D7970" s="907" t="s">
        <v>279</v>
      </c>
      <c r="E7970" s="925" t="s">
        <v>6126</v>
      </c>
      <c r="F7970" s="909" t="s">
        <v>2337</v>
      </c>
      <c r="G7970" s="910"/>
      <c r="H7970" s="911">
        <v>1</v>
      </c>
      <c r="I7970" s="912">
        <f>VLOOKUP(E7970,[3]VLP!$B$7:$K$300,10,0)</f>
        <v>33800</v>
      </c>
      <c r="J7970" s="912">
        <f t="shared" ref="J7970:J7980" si="621">I7970*H7970</f>
        <v>33800</v>
      </c>
      <c r="K7970" s="912" t="s">
        <v>274</v>
      </c>
      <c r="L7970" s="912"/>
      <c r="M7970" s="912"/>
      <c r="N7970" s="912"/>
      <c r="O7970" s="892">
        <f t="shared" si="620"/>
        <v>0</v>
      </c>
      <c r="P7970" s="903">
        <f t="shared" si="614"/>
        <v>1</v>
      </c>
      <c r="Q7970" s="893">
        <f t="shared" si="615"/>
        <v>13</v>
      </c>
      <c r="R7970" s="894">
        <f t="shared" si="616"/>
        <v>0</v>
      </c>
    </row>
    <row r="7971" spans="1:18">
      <c r="A7971" s="905"/>
      <c r="B7971" s="906"/>
      <c r="C7971" s="907">
        <v>24</v>
      </c>
      <c r="D7971" s="907" t="s">
        <v>279</v>
      </c>
      <c r="E7971" s="925" t="s">
        <v>2691</v>
      </c>
      <c r="F7971" s="926" t="s">
        <v>2690</v>
      </c>
      <c r="G7971" s="910"/>
      <c r="H7971" s="911">
        <v>4</v>
      </c>
      <c r="I7971" s="912">
        <f>VLOOKUP(E7971,[3]VLP!$B$7:$K$300,10,0)</f>
        <v>6000</v>
      </c>
      <c r="J7971" s="912">
        <f t="shared" si="621"/>
        <v>24000</v>
      </c>
      <c r="K7971" s="912" t="s">
        <v>274</v>
      </c>
      <c r="L7971" s="912"/>
      <c r="M7971" s="912"/>
      <c r="N7971" s="912"/>
      <c r="O7971" s="892">
        <f t="shared" si="620"/>
        <v>0</v>
      </c>
      <c r="P7971" s="903">
        <f t="shared" si="614"/>
        <v>1</v>
      </c>
      <c r="Q7971" s="893">
        <f t="shared" si="615"/>
        <v>12</v>
      </c>
      <c r="R7971" s="894">
        <f t="shared" si="616"/>
        <v>0</v>
      </c>
    </row>
    <row r="7972" spans="1:18">
      <c r="A7972" s="905"/>
      <c r="B7972" s="906"/>
      <c r="C7972" s="907">
        <v>122</v>
      </c>
      <c r="D7972" s="907" t="s">
        <v>279</v>
      </c>
      <c r="E7972" s="925" t="s">
        <v>3267</v>
      </c>
      <c r="F7972" s="909" t="s">
        <v>45</v>
      </c>
      <c r="G7972" s="910"/>
      <c r="H7972" s="911">
        <v>3</v>
      </c>
      <c r="I7972" s="912">
        <f>VLOOKUP(E7972,[3]VLP!$B$7:$K$300,10,0)</f>
        <v>30000</v>
      </c>
      <c r="J7972" s="912">
        <f t="shared" si="621"/>
        <v>90000</v>
      </c>
      <c r="K7972" s="912" t="s">
        <v>274</v>
      </c>
      <c r="L7972" s="912"/>
      <c r="M7972" s="912"/>
      <c r="N7972" s="912"/>
      <c r="O7972" s="892">
        <f t="shared" si="620"/>
        <v>0</v>
      </c>
      <c r="P7972" s="903">
        <f t="shared" si="614"/>
        <v>1</v>
      </c>
      <c r="Q7972" s="893">
        <f t="shared" si="615"/>
        <v>11</v>
      </c>
      <c r="R7972" s="894">
        <f t="shared" si="616"/>
        <v>0</v>
      </c>
    </row>
    <row r="7973" spans="1:18">
      <c r="A7973" s="905"/>
      <c r="B7973" s="906"/>
      <c r="C7973" s="907">
        <v>93</v>
      </c>
      <c r="D7973" s="907" t="s">
        <v>279</v>
      </c>
      <c r="E7973" s="925" t="s">
        <v>6111</v>
      </c>
      <c r="F7973" s="909" t="s">
        <v>45</v>
      </c>
      <c r="G7973" s="910"/>
      <c r="H7973" s="911">
        <v>0.3</v>
      </c>
      <c r="I7973" s="912">
        <f>VLOOKUP(E7973,[3]VLP!$B$7:$K$300,10,0)</f>
        <v>42000</v>
      </c>
      <c r="J7973" s="912">
        <f t="shared" si="621"/>
        <v>12600</v>
      </c>
      <c r="K7973" s="912" t="s">
        <v>274</v>
      </c>
      <c r="L7973" s="912"/>
      <c r="M7973" s="912"/>
      <c r="N7973" s="912"/>
      <c r="O7973" s="892">
        <f t="shared" si="620"/>
        <v>0</v>
      </c>
      <c r="P7973" s="903">
        <f t="shared" si="614"/>
        <v>1</v>
      </c>
      <c r="Q7973" s="893">
        <f t="shared" si="615"/>
        <v>10</v>
      </c>
      <c r="R7973" s="894">
        <f t="shared" si="616"/>
        <v>0</v>
      </c>
    </row>
    <row r="7974" spans="1:18">
      <c r="A7974" s="905"/>
      <c r="B7974" s="906"/>
      <c r="C7974" s="907">
        <v>89</v>
      </c>
      <c r="D7974" s="907" t="s">
        <v>279</v>
      </c>
      <c r="E7974" s="925" t="s">
        <v>5984</v>
      </c>
      <c r="F7974" s="909" t="s">
        <v>45</v>
      </c>
      <c r="G7974" s="910"/>
      <c r="H7974" s="911">
        <v>0.5</v>
      </c>
      <c r="I7974" s="912">
        <f>VLOOKUP(E7974,[3]VLP!$B$7:$K$300,10,0)</f>
        <v>1000</v>
      </c>
      <c r="J7974" s="912">
        <f t="shared" si="621"/>
        <v>500</v>
      </c>
      <c r="K7974" s="912" t="s">
        <v>274</v>
      </c>
      <c r="L7974" s="912"/>
      <c r="M7974" s="912"/>
      <c r="N7974" s="912"/>
      <c r="O7974" s="892">
        <f t="shared" si="620"/>
        <v>0</v>
      </c>
      <c r="P7974" s="903">
        <f t="shared" si="614"/>
        <v>1</v>
      </c>
      <c r="Q7974" s="893">
        <f t="shared" si="615"/>
        <v>9</v>
      </c>
      <c r="R7974" s="894">
        <f t="shared" si="616"/>
        <v>0</v>
      </c>
    </row>
    <row r="7975" spans="1:18">
      <c r="A7975" s="905"/>
      <c r="B7975" s="906"/>
      <c r="C7975" s="907">
        <v>47</v>
      </c>
      <c r="D7975" s="907" t="s">
        <v>279</v>
      </c>
      <c r="E7975" s="925" t="s">
        <v>3170</v>
      </c>
      <c r="F7975" s="909" t="s">
        <v>45</v>
      </c>
      <c r="G7975" s="910"/>
      <c r="H7975" s="911">
        <v>17</v>
      </c>
      <c r="I7975" s="912">
        <f>VLOOKUP(E7975,[3]VLP!$B$7:$K$300,10,0)</f>
        <v>1000</v>
      </c>
      <c r="J7975" s="912">
        <f t="shared" si="621"/>
        <v>17000</v>
      </c>
      <c r="K7975" s="912" t="s">
        <v>274</v>
      </c>
      <c r="L7975" s="912"/>
      <c r="M7975" s="912"/>
      <c r="N7975" s="912"/>
      <c r="O7975" s="892">
        <f t="shared" si="620"/>
        <v>0</v>
      </c>
      <c r="P7975" s="903">
        <f t="shared" si="614"/>
        <v>1</v>
      </c>
      <c r="Q7975" s="893">
        <f t="shared" si="615"/>
        <v>8</v>
      </c>
      <c r="R7975" s="894">
        <f t="shared" si="616"/>
        <v>0</v>
      </c>
    </row>
    <row r="7976" spans="1:18">
      <c r="A7976" s="905"/>
      <c r="B7976" s="906"/>
      <c r="C7976" s="907">
        <v>44</v>
      </c>
      <c r="D7976" s="907" t="s">
        <v>279</v>
      </c>
      <c r="E7976" s="925" t="s">
        <v>2681</v>
      </c>
      <c r="F7976" s="926" t="s">
        <v>45</v>
      </c>
      <c r="G7976" s="910"/>
      <c r="H7976" s="911">
        <v>25</v>
      </c>
      <c r="I7976" s="912">
        <f>VLOOKUP(E7976,[3]VLP!$B$7:$K$300,10,0)</f>
        <v>23000</v>
      </c>
      <c r="J7976" s="912">
        <f t="shared" si="621"/>
        <v>575000</v>
      </c>
      <c r="K7976" s="912" t="s">
        <v>274</v>
      </c>
      <c r="L7976" s="912"/>
      <c r="M7976" s="912"/>
      <c r="N7976" s="912"/>
      <c r="O7976" s="892">
        <f t="shared" si="620"/>
        <v>0</v>
      </c>
      <c r="P7976" s="903">
        <f t="shared" ref="P7976:P8039" si="622">IF(O7976=0,1,0)</f>
        <v>1</v>
      </c>
      <c r="Q7976" s="893">
        <f t="shared" ref="Q7976:Q8039" si="623">IF(P7976=0,0,P7976+Q7977)</f>
        <v>7</v>
      </c>
      <c r="R7976" s="894">
        <f t="shared" ref="R7976:R8039" si="624">IF(Q7976=0,Q7977,0)</f>
        <v>0</v>
      </c>
    </row>
    <row r="7977" spans="1:18">
      <c r="A7977" s="905"/>
      <c r="B7977" s="906"/>
      <c r="C7977" s="907">
        <v>66</v>
      </c>
      <c r="D7977" s="907" t="s">
        <v>279</v>
      </c>
      <c r="E7977" s="925" t="s">
        <v>2682</v>
      </c>
      <c r="F7977" s="926" t="s">
        <v>45</v>
      </c>
      <c r="G7977" s="910"/>
      <c r="H7977" s="911">
        <v>0.7</v>
      </c>
      <c r="I7977" s="912">
        <f>VLOOKUP(E7977,[3]VLP!$B$7:$K$300,10,0)</f>
        <v>5000</v>
      </c>
      <c r="J7977" s="912">
        <f t="shared" si="621"/>
        <v>3500</v>
      </c>
      <c r="K7977" s="912" t="s">
        <v>274</v>
      </c>
      <c r="L7977" s="912"/>
      <c r="M7977" s="912"/>
      <c r="N7977" s="912"/>
      <c r="O7977" s="892">
        <f t="shared" si="620"/>
        <v>0</v>
      </c>
      <c r="P7977" s="903">
        <f t="shared" si="622"/>
        <v>1</v>
      </c>
      <c r="Q7977" s="893">
        <f t="shared" si="623"/>
        <v>6</v>
      </c>
      <c r="R7977" s="894">
        <f t="shared" si="624"/>
        <v>0</v>
      </c>
    </row>
    <row r="7978" spans="1:18">
      <c r="A7978" s="905"/>
      <c r="B7978" s="906"/>
      <c r="C7978" s="907">
        <v>46</v>
      </c>
      <c r="D7978" s="907" t="s">
        <v>279</v>
      </c>
      <c r="E7978" s="925" t="s">
        <v>3179</v>
      </c>
      <c r="F7978" s="926" t="s">
        <v>45</v>
      </c>
      <c r="G7978" s="910"/>
      <c r="H7978" s="911">
        <v>25</v>
      </c>
      <c r="I7978" s="912">
        <f>VLOOKUP(E7978,[3]VLP!$B$7:$K$300,10,0)</f>
        <v>20500</v>
      </c>
      <c r="J7978" s="912">
        <f t="shared" si="621"/>
        <v>512500</v>
      </c>
      <c r="K7978" s="912" t="s">
        <v>274</v>
      </c>
      <c r="L7978" s="912"/>
      <c r="M7978" s="912"/>
      <c r="N7978" s="912"/>
      <c r="O7978" s="892">
        <f t="shared" si="620"/>
        <v>0</v>
      </c>
      <c r="P7978" s="903">
        <f t="shared" si="622"/>
        <v>1</v>
      </c>
      <c r="Q7978" s="893">
        <f t="shared" si="623"/>
        <v>5</v>
      </c>
      <c r="R7978" s="894">
        <f t="shared" si="624"/>
        <v>0</v>
      </c>
    </row>
    <row r="7979" spans="1:18">
      <c r="A7979" s="905"/>
      <c r="B7979" s="906"/>
      <c r="C7979" s="907">
        <v>58</v>
      </c>
      <c r="D7979" s="907" t="s">
        <v>279</v>
      </c>
      <c r="E7979" s="925" t="s">
        <v>3190</v>
      </c>
      <c r="F7979" s="926" t="s">
        <v>45</v>
      </c>
      <c r="G7979" s="910"/>
      <c r="H7979" s="911">
        <v>2</v>
      </c>
      <c r="I7979" s="912">
        <f>VLOOKUP(E7979,[3]VLP!$B$7:$K$300,10,0)</f>
        <v>27940</v>
      </c>
      <c r="J7979" s="912">
        <f t="shared" si="621"/>
        <v>55880</v>
      </c>
      <c r="K7979" s="912" t="s">
        <v>274</v>
      </c>
      <c r="L7979" s="912"/>
      <c r="M7979" s="912"/>
      <c r="N7979" s="912"/>
      <c r="O7979" s="892">
        <f t="shared" si="620"/>
        <v>0</v>
      </c>
      <c r="P7979" s="903">
        <f t="shared" si="622"/>
        <v>1</v>
      </c>
      <c r="Q7979" s="893">
        <f t="shared" si="623"/>
        <v>4</v>
      </c>
      <c r="R7979" s="894">
        <f t="shared" si="624"/>
        <v>0</v>
      </c>
    </row>
    <row r="7980" spans="1:18">
      <c r="A7980" s="905"/>
      <c r="B7980" s="906"/>
      <c r="C7980" s="907">
        <v>699</v>
      </c>
      <c r="D7980" s="907" t="s">
        <v>279</v>
      </c>
      <c r="E7980" s="925" t="s">
        <v>4006</v>
      </c>
      <c r="F7980" s="926" t="s">
        <v>4007</v>
      </c>
      <c r="G7980" s="910"/>
      <c r="H7980" s="911">
        <v>5</v>
      </c>
      <c r="I7980" s="912">
        <f>VLOOKUP(E7980,[3]VLP!$B$7:$K$300,10,0)</f>
        <v>5000</v>
      </c>
      <c r="J7980" s="912">
        <f t="shared" si="621"/>
        <v>25000</v>
      </c>
      <c r="K7980" s="912" t="s">
        <v>274</v>
      </c>
      <c r="L7980" s="912"/>
      <c r="M7980" s="912"/>
      <c r="N7980" s="912"/>
      <c r="O7980" s="892">
        <f t="shared" si="620"/>
        <v>0</v>
      </c>
      <c r="P7980" s="903">
        <f t="shared" si="622"/>
        <v>1</v>
      </c>
      <c r="Q7980" s="893">
        <f t="shared" si="623"/>
        <v>3</v>
      </c>
      <c r="R7980" s="894">
        <f t="shared" si="624"/>
        <v>0</v>
      </c>
    </row>
    <row r="7981" spans="1:18" s="904" customFormat="1">
      <c r="A7981" s="895"/>
      <c r="B7981" s="896"/>
      <c r="C7981" s="897"/>
      <c r="D7981" s="897"/>
      <c r="E7981" s="924" t="s">
        <v>276</v>
      </c>
      <c r="F7981" s="927"/>
      <c r="G7981" s="928"/>
      <c r="H7981" s="901"/>
      <c r="I7981" s="902"/>
      <c r="J7981" s="902"/>
      <c r="K7981" s="912" t="s">
        <v>274</v>
      </c>
      <c r="L7981" s="902"/>
      <c r="M7981" s="902"/>
      <c r="N7981" s="902"/>
      <c r="O7981" s="892">
        <f t="shared" si="620"/>
        <v>0</v>
      </c>
      <c r="P7981" s="903">
        <f t="shared" si="622"/>
        <v>1</v>
      </c>
      <c r="Q7981" s="893">
        <f t="shared" si="623"/>
        <v>2</v>
      </c>
      <c r="R7981" s="894">
        <f t="shared" si="624"/>
        <v>0</v>
      </c>
    </row>
    <row r="7982" spans="1:18">
      <c r="A7982" s="905"/>
      <c r="B7982" s="906"/>
      <c r="C7982" s="907">
        <v>745</v>
      </c>
      <c r="D7982" s="907" t="s">
        <v>12</v>
      </c>
      <c r="E7982" s="908" t="s">
        <v>5518</v>
      </c>
      <c r="F7982" s="909" t="s">
        <v>2674</v>
      </c>
      <c r="G7982" s="910"/>
      <c r="H7982" s="911">
        <v>24.61</v>
      </c>
      <c r="I7982" s="912"/>
      <c r="J7982" s="912"/>
      <c r="K7982" s="912">
        <f>VLOOKUP(E7982,[5]ĐMNC!$A$7:$F$67,4,0)</f>
        <v>240557</v>
      </c>
      <c r="L7982" s="912">
        <f>H7982*K7982</f>
        <v>5920107.7699999996</v>
      </c>
      <c r="M7982" s="912"/>
      <c r="N7982" s="912"/>
      <c r="O7982" s="892">
        <f t="shared" si="620"/>
        <v>0</v>
      </c>
      <c r="P7982" s="903">
        <f t="shared" si="622"/>
        <v>1</v>
      </c>
      <c r="Q7982" s="893">
        <f t="shared" si="623"/>
        <v>1</v>
      </c>
      <c r="R7982" s="894">
        <f t="shared" si="624"/>
        <v>0</v>
      </c>
    </row>
    <row r="7983" spans="1:18" s="847" customFormat="1" ht="35.25" customHeight="1">
      <c r="A7983" s="905"/>
      <c r="B7983" s="914" t="s">
        <v>6211</v>
      </c>
      <c r="C7983" s="915"/>
      <c r="D7983" s="915"/>
      <c r="E7983" s="916" t="s">
        <v>6204</v>
      </c>
      <c r="F7983" s="917" t="s">
        <v>6094</v>
      </c>
      <c r="G7983" s="944"/>
      <c r="H7983" s="919"/>
      <c r="I7983" s="920"/>
      <c r="J7983" s="891">
        <f>SUM(J7984:J7997)</f>
        <v>1596800</v>
      </c>
      <c r="K7983" s="891" t="s">
        <v>274</v>
      </c>
      <c r="L7983" s="891">
        <f>SUM(L7984:L7997)</f>
        <v>7103648.21</v>
      </c>
      <c r="M7983" s="891"/>
      <c r="N7983" s="891">
        <f>SUM(N7984:N7997)</f>
        <v>0</v>
      </c>
      <c r="O7983" s="892">
        <f t="shared" si="620"/>
        <v>1</v>
      </c>
      <c r="P7983" s="903">
        <f t="shared" si="622"/>
        <v>0</v>
      </c>
      <c r="Q7983" s="893">
        <f t="shared" si="623"/>
        <v>0</v>
      </c>
      <c r="R7983" s="894">
        <f t="shared" si="624"/>
        <v>14</v>
      </c>
    </row>
    <row r="7984" spans="1:18" s="904" customFormat="1">
      <c r="A7984" s="895"/>
      <c r="B7984" s="896"/>
      <c r="C7984" s="897"/>
      <c r="D7984" s="897"/>
      <c r="E7984" s="898" t="s">
        <v>108</v>
      </c>
      <c r="F7984" s="899"/>
      <c r="G7984" s="928"/>
      <c r="H7984" s="901"/>
      <c r="I7984" s="902"/>
      <c r="J7984" s="902"/>
      <c r="K7984" s="912" t="s">
        <v>274</v>
      </c>
      <c r="L7984" s="902"/>
      <c r="M7984" s="902"/>
      <c r="N7984" s="902"/>
      <c r="O7984" s="892">
        <f t="shared" si="620"/>
        <v>0</v>
      </c>
      <c r="P7984" s="903">
        <f t="shared" si="622"/>
        <v>1</v>
      </c>
      <c r="Q7984" s="893">
        <f t="shared" si="623"/>
        <v>14</v>
      </c>
      <c r="R7984" s="894">
        <f t="shared" si="624"/>
        <v>0</v>
      </c>
    </row>
    <row r="7985" spans="1:18">
      <c r="A7985" s="905"/>
      <c r="B7985" s="906"/>
      <c r="C7985" s="907">
        <v>73</v>
      </c>
      <c r="D7985" s="907" t="s">
        <v>279</v>
      </c>
      <c r="E7985" s="925" t="s">
        <v>6129</v>
      </c>
      <c r="F7985" s="909" t="s">
        <v>2337</v>
      </c>
      <c r="G7985" s="910"/>
      <c r="H7985" s="911">
        <v>1</v>
      </c>
      <c r="I7985" s="912">
        <f>VLOOKUP(E7985,[3]VLP!$B$7:$K$300,10,0)</f>
        <v>33800</v>
      </c>
      <c r="J7985" s="912">
        <f t="shared" ref="J7985:J7995" si="625">I7985*H7985</f>
        <v>33800</v>
      </c>
      <c r="K7985" s="912" t="s">
        <v>274</v>
      </c>
      <c r="L7985" s="912"/>
      <c r="M7985" s="912"/>
      <c r="N7985" s="912"/>
      <c r="O7985" s="892">
        <f t="shared" si="620"/>
        <v>0</v>
      </c>
      <c r="P7985" s="903">
        <f t="shared" si="622"/>
        <v>1</v>
      </c>
      <c r="Q7985" s="893">
        <f t="shared" si="623"/>
        <v>13</v>
      </c>
      <c r="R7985" s="894">
        <f t="shared" si="624"/>
        <v>0</v>
      </c>
    </row>
    <row r="7986" spans="1:18">
      <c r="A7986" s="905"/>
      <c r="B7986" s="906"/>
      <c r="C7986" s="907">
        <v>24</v>
      </c>
      <c r="D7986" s="907" t="s">
        <v>279</v>
      </c>
      <c r="E7986" s="925" t="s">
        <v>2691</v>
      </c>
      <c r="F7986" s="926" t="s">
        <v>2690</v>
      </c>
      <c r="G7986" s="910"/>
      <c r="H7986" s="911">
        <v>4.8</v>
      </c>
      <c r="I7986" s="912">
        <f>VLOOKUP(E7986,[3]VLP!$B$7:$K$300,10,0)</f>
        <v>6000</v>
      </c>
      <c r="J7986" s="912">
        <f t="shared" si="625"/>
        <v>28800</v>
      </c>
      <c r="K7986" s="912" t="s">
        <v>274</v>
      </c>
      <c r="L7986" s="912"/>
      <c r="M7986" s="912"/>
      <c r="N7986" s="912"/>
      <c r="O7986" s="892">
        <f t="shared" si="620"/>
        <v>0</v>
      </c>
      <c r="P7986" s="903">
        <f t="shared" si="622"/>
        <v>1</v>
      </c>
      <c r="Q7986" s="893">
        <f t="shared" si="623"/>
        <v>12</v>
      </c>
      <c r="R7986" s="894">
        <f t="shared" si="624"/>
        <v>0</v>
      </c>
    </row>
    <row r="7987" spans="1:18">
      <c r="A7987" s="905"/>
      <c r="B7987" s="906"/>
      <c r="C7987" s="907">
        <v>122</v>
      </c>
      <c r="D7987" s="907" t="s">
        <v>279</v>
      </c>
      <c r="E7987" s="925" t="s">
        <v>3267</v>
      </c>
      <c r="F7987" s="909" t="s">
        <v>45</v>
      </c>
      <c r="G7987" s="910"/>
      <c r="H7987" s="911">
        <v>3.6</v>
      </c>
      <c r="I7987" s="912">
        <f>VLOOKUP(E7987,[3]VLP!$B$7:$K$300,10,0)</f>
        <v>30000</v>
      </c>
      <c r="J7987" s="912">
        <f t="shared" si="625"/>
        <v>108000</v>
      </c>
      <c r="K7987" s="912" t="s">
        <v>274</v>
      </c>
      <c r="L7987" s="912"/>
      <c r="M7987" s="912"/>
      <c r="N7987" s="912"/>
      <c r="O7987" s="892">
        <f t="shared" si="620"/>
        <v>0</v>
      </c>
      <c r="P7987" s="903">
        <f t="shared" si="622"/>
        <v>1</v>
      </c>
      <c r="Q7987" s="893">
        <f t="shared" si="623"/>
        <v>11</v>
      </c>
      <c r="R7987" s="894">
        <f t="shared" si="624"/>
        <v>0</v>
      </c>
    </row>
    <row r="7988" spans="1:18">
      <c r="A7988" s="905"/>
      <c r="B7988" s="906"/>
      <c r="C7988" s="907">
        <v>93</v>
      </c>
      <c r="D7988" s="907" t="s">
        <v>279</v>
      </c>
      <c r="E7988" s="925" t="s">
        <v>6111</v>
      </c>
      <c r="F7988" s="909" t="s">
        <v>45</v>
      </c>
      <c r="G7988" s="910"/>
      <c r="H7988" s="911">
        <v>0.36</v>
      </c>
      <c r="I7988" s="912">
        <f>VLOOKUP(E7988,[3]VLP!$B$7:$K$300,10,0)</f>
        <v>42000</v>
      </c>
      <c r="J7988" s="912">
        <f t="shared" si="625"/>
        <v>15120</v>
      </c>
      <c r="K7988" s="912" t="s">
        <v>274</v>
      </c>
      <c r="L7988" s="912"/>
      <c r="M7988" s="912"/>
      <c r="N7988" s="912"/>
      <c r="O7988" s="892">
        <f t="shared" si="620"/>
        <v>0</v>
      </c>
      <c r="P7988" s="903">
        <f t="shared" si="622"/>
        <v>1</v>
      </c>
      <c r="Q7988" s="893">
        <f t="shared" si="623"/>
        <v>10</v>
      </c>
      <c r="R7988" s="894">
        <f t="shared" si="624"/>
        <v>0</v>
      </c>
    </row>
    <row r="7989" spans="1:18">
      <c r="A7989" s="905"/>
      <c r="B7989" s="906"/>
      <c r="C7989" s="907">
        <v>89</v>
      </c>
      <c r="D7989" s="907" t="s">
        <v>279</v>
      </c>
      <c r="E7989" s="925" t="s">
        <v>5984</v>
      </c>
      <c r="F7989" s="909" t="s">
        <v>45</v>
      </c>
      <c r="G7989" s="910"/>
      <c r="H7989" s="911">
        <v>0.6</v>
      </c>
      <c r="I7989" s="912">
        <f>VLOOKUP(E7989,[3]VLP!$B$7:$K$300,10,0)</f>
        <v>1000</v>
      </c>
      <c r="J7989" s="912">
        <f t="shared" si="625"/>
        <v>600</v>
      </c>
      <c r="K7989" s="912" t="s">
        <v>274</v>
      </c>
      <c r="L7989" s="912"/>
      <c r="M7989" s="912"/>
      <c r="N7989" s="912"/>
      <c r="O7989" s="892">
        <f t="shared" si="620"/>
        <v>0</v>
      </c>
      <c r="P7989" s="903">
        <f t="shared" si="622"/>
        <v>1</v>
      </c>
      <c r="Q7989" s="893">
        <f t="shared" si="623"/>
        <v>9</v>
      </c>
      <c r="R7989" s="894">
        <f t="shared" si="624"/>
        <v>0</v>
      </c>
    </row>
    <row r="7990" spans="1:18">
      <c r="A7990" s="905"/>
      <c r="B7990" s="906"/>
      <c r="C7990" s="907">
        <v>47</v>
      </c>
      <c r="D7990" s="907" t="s">
        <v>279</v>
      </c>
      <c r="E7990" s="925" t="s">
        <v>3170</v>
      </c>
      <c r="F7990" s="909" t="s">
        <v>45</v>
      </c>
      <c r="G7990" s="910"/>
      <c r="H7990" s="911">
        <v>20.399999999999999</v>
      </c>
      <c r="I7990" s="912">
        <f>VLOOKUP(E7990,[3]VLP!$B$7:$K$300,10,0)</f>
        <v>1000</v>
      </c>
      <c r="J7990" s="912">
        <f t="shared" si="625"/>
        <v>20400</v>
      </c>
      <c r="K7990" s="912" t="s">
        <v>274</v>
      </c>
      <c r="L7990" s="912"/>
      <c r="M7990" s="912"/>
      <c r="N7990" s="912"/>
      <c r="O7990" s="892">
        <f t="shared" si="620"/>
        <v>0</v>
      </c>
      <c r="P7990" s="903">
        <f t="shared" si="622"/>
        <v>1</v>
      </c>
      <c r="Q7990" s="893">
        <f t="shared" si="623"/>
        <v>8</v>
      </c>
      <c r="R7990" s="894">
        <f t="shared" si="624"/>
        <v>0</v>
      </c>
    </row>
    <row r="7991" spans="1:18">
      <c r="A7991" s="905"/>
      <c r="B7991" s="906"/>
      <c r="C7991" s="907">
        <v>44</v>
      </c>
      <c r="D7991" s="907" t="s">
        <v>279</v>
      </c>
      <c r="E7991" s="925" t="s">
        <v>2681</v>
      </c>
      <c r="F7991" s="926" t="s">
        <v>45</v>
      </c>
      <c r="G7991" s="910"/>
      <c r="H7991" s="911">
        <v>30</v>
      </c>
      <c r="I7991" s="912">
        <f>VLOOKUP(E7991,[3]VLP!$B$7:$K$300,10,0)</f>
        <v>23000</v>
      </c>
      <c r="J7991" s="912">
        <f t="shared" si="625"/>
        <v>690000</v>
      </c>
      <c r="K7991" s="912" t="s">
        <v>274</v>
      </c>
      <c r="L7991" s="912"/>
      <c r="M7991" s="912"/>
      <c r="N7991" s="912"/>
      <c r="O7991" s="892">
        <f t="shared" si="620"/>
        <v>0</v>
      </c>
      <c r="P7991" s="903">
        <f t="shared" si="622"/>
        <v>1</v>
      </c>
      <c r="Q7991" s="893">
        <f t="shared" si="623"/>
        <v>7</v>
      </c>
      <c r="R7991" s="894">
        <f t="shared" si="624"/>
        <v>0</v>
      </c>
    </row>
    <row r="7992" spans="1:18">
      <c r="A7992" s="905"/>
      <c r="B7992" s="906"/>
      <c r="C7992" s="907">
        <v>66</v>
      </c>
      <c r="D7992" s="907" t="s">
        <v>279</v>
      </c>
      <c r="E7992" s="925" t="s">
        <v>2682</v>
      </c>
      <c r="F7992" s="926" t="s">
        <v>45</v>
      </c>
      <c r="G7992" s="910"/>
      <c r="H7992" s="911">
        <v>0.84</v>
      </c>
      <c r="I7992" s="912">
        <f>VLOOKUP(E7992,[3]VLP!$B$7:$K$300,10,0)</f>
        <v>5000</v>
      </c>
      <c r="J7992" s="912">
        <f t="shared" si="625"/>
        <v>4200</v>
      </c>
      <c r="K7992" s="912" t="s">
        <v>274</v>
      </c>
      <c r="L7992" s="912"/>
      <c r="M7992" s="912"/>
      <c r="N7992" s="912"/>
      <c r="O7992" s="892">
        <f t="shared" si="620"/>
        <v>0</v>
      </c>
      <c r="P7992" s="903">
        <f t="shared" si="622"/>
        <v>1</v>
      </c>
      <c r="Q7992" s="893">
        <f t="shared" si="623"/>
        <v>6</v>
      </c>
      <c r="R7992" s="894">
        <f t="shared" si="624"/>
        <v>0</v>
      </c>
    </row>
    <row r="7993" spans="1:18">
      <c r="A7993" s="905"/>
      <c r="B7993" s="906"/>
      <c r="C7993" s="907">
        <v>46</v>
      </c>
      <c r="D7993" s="907" t="s">
        <v>279</v>
      </c>
      <c r="E7993" s="925" t="s">
        <v>3179</v>
      </c>
      <c r="F7993" s="926" t="s">
        <v>45</v>
      </c>
      <c r="G7993" s="910"/>
      <c r="H7993" s="911">
        <v>30</v>
      </c>
      <c r="I7993" s="912">
        <f>VLOOKUP(E7993,[3]VLP!$B$7:$K$300,10,0)</f>
        <v>20500</v>
      </c>
      <c r="J7993" s="912">
        <f t="shared" si="625"/>
        <v>615000</v>
      </c>
      <c r="K7993" s="912" t="s">
        <v>274</v>
      </c>
      <c r="L7993" s="912"/>
      <c r="M7993" s="912"/>
      <c r="N7993" s="912"/>
      <c r="O7993" s="892">
        <f t="shared" si="620"/>
        <v>0</v>
      </c>
      <c r="P7993" s="903">
        <f t="shared" si="622"/>
        <v>1</v>
      </c>
      <c r="Q7993" s="893">
        <f t="shared" si="623"/>
        <v>5</v>
      </c>
      <c r="R7993" s="894">
        <f t="shared" si="624"/>
        <v>0</v>
      </c>
    </row>
    <row r="7994" spans="1:18">
      <c r="A7994" s="905"/>
      <c r="B7994" s="906"/>
      <c r="C7994" s="907">
        <v>58</v>
      </c>
      <c r="D7994" s="907" t="s">
        <v>279</v>
      </c>
      <c r="E7994" s="925" t="s">
        <v>3190</v>
      </c>
      <c r="F7994" s="926" t="s">
        <v>45</v>
      </c>
      <c r="G7994" s="910"/>
      <c r="H7994" s="911">
        <v>2</v>
      </c>
      <c r="I7994" s="912">
        <f>VLOOKUP(E7994,[3]VLP!$B$7:$K$300,10,0)</f>
        <v>27940</v>
      </c>
      <c r="J7994" s="912">
        <f t="shared" si="625"/>
        <v>55880</v>
      </c>
      <c r="K7994" s="912" t="s">
        <v>274</v>
      </c>
      <c r="L7994" s="912"/>
      <c r="M7994" s="912"/>
      <c r="N7994" s="912"/>
      <c r="O7994" s="892">
        <f t="shared" si="620"/>
        <v>0</v>
      </c>
      <c r="P7994" s="903">
        <f t="shared" si="622"/>
        <v>1</v>
      </c>
      <c r="Q7994" s="893">
        <f t="shared" si="623"/>
        <v>4</v>
      </c>
      <c r="R7994" s="894">
        <f t="shared" si="624"/>
        <v>0</v>
      </c>
    </row>
    <row r="7995" spans="1:18">
      <c r="A7995" s="905"/>
      <c r="B7995" s="906"/>
      <c r="C7995" s="907">
        <v>699</v>
      </c>
      <c r="D7995" s="907" t="s">
        <v>279</v>
      </c>
      <c r="E7995" s="925" t="s">
        <v>4006</v>
      </c>
      <c r="F7995" s="926" t="s">
        <v>4007</v>
      </c>
      <c r="G7995" s="910"/>
      <c r="H7995" s="911">
        <v>5</v>
      </c>
      <c r="I7995" s="912">
        <f>VLOOKUP(E7995,[3]VLP!$B$7:$K$300,10,0)</f>
        <v>5000</v>
      </c>
      <c r="J7995" s="912">
        <f t="shared" si="625"/>
        <v>25000</v>
      </c>
      <c r="K7995" s="912" t="s">
        <v>274</v>
      </c>
      <c r="L7995" s="912"/>
      <c r="M7995" s="912"/>
      <c r="N7995" s="912"/>
      <c r="O7995" s="892">
        <f t="shared" si="620"/>
        <v>0</v>
      </c>
      <c r="P7995" s="903">
        <f t="shared" si="622"/>
        <v>1</v>
      </c>
      <c r="Q7995" s="893">
        <f t="shared" si="623"/>
        <v>3</v>
      </c>
      <c r="R7995" s="894">
        <f t="shared" si="624"/>
        <v>0</v>
      </c>
    </row>
    <row r="7996" spans="1:18" s="904" customFormat="1">
      <c r="A7996" s="895"/>
      <c r="B7996" s="896"/>
      <c r="C7996" s="897"/>
      <c r="D7996" s="897"/>
      <c r="E7996" s="924" t="s">
        <v>276</v>
      </c>
      <c r="F7996" s="927"/>
      <c r="G7996" s="928"/>
      <c r="H7996" s="901"/>
      <c r="I7996" s="902"/>
      <c r="J7996" s="902"/>
      <c r="K7996" s="912" t="s">
        <v>274</v>
      </c>
      <c r="L7996" s="902"/>
      <c r="M7996" s="902"/>
      <c r="N7996" s="902"/>
      <c r="O7996" s="892">
        <f t="shared" si="620"/>
        <v>0</v>
      </c>
      <c r="P7996" s="903">
        <f t="shared" si="622"/>
        <v>1</v>
      </c>
      <c r="Q7996" s="893">
        <f t="shared" si="623"/>
        <v>2</v>
      </c>
      <c r="R7996" s="894">
        <f t="shared" si="624"/>
        <v>0</v>
      </c>
    </row>
    <row r="7997" spans="1:18">
      <c r="A7997" s="905"/>
      <c r="B7997" s="906"/>
      <c r="C7997" s="907">
        <v>745</v>
      </c>
      <c r="D7997" s="907" t="s">
        <v>12</v>
      </c>
      <c r="E7997" s="908" t="s">
        <v>5518</v>
      </c>
      <c r="F7997" s="909" t="s">
        <v>2674</v>
      </c>
      <c r="G7997" s="910"/>
      <c r="H7997" s="911">
        <v>29.53</v>
      </c>
      <c r="I7997" s="912"/>
      <c r="J7997" s="912"/>
      <c r="K7997" s="912">
        <f>VLOOKUP(E7997,[5]ĐMNC!$A$7:$F$67,4,0)</f>
        <v>240557</v>
      </c>
      <c r="L7997" s="912">
        <f>H7997*K7997</f>
        <v>7103648.21</v>
      </c>
      <c r="M7997" s="912"/>
      <c r="N7997" s="912"/>
      <c r="O7997" s="892">
        <f t="shared" si="620"/>
        <v>0</v>
      </c>
      <c r="P7997" s="903">
        <f t="shared" si="622"/>
        <v>1</v>
      </c>
      <c r="Q7997" s="893">
        <f t="shared" si="623"/>
        <v>1</v>
      </c>
      <c r="R7997" s="894">
        <f t="shared" si="624"/>
        <v>0</v>
      </c>
    </row>
    <row r="7998" spans="1:18" s="847" customFormat="1" ht="31.5">
      <c r="A7998" s="905" t="s">
        <v>6212</v>
      </c>
      <c r="B7998" s="914" t="s">
        <v>6213</v>
      </c>
      <c r="C7998" s="915"/>
      <c r="D7998" s="915"/>
      <c r="E7998" s="916" t="s">
        <v>6214</v>
      </c>
      <c r="F7998" s="917" t="s">
        <v>6094</v>
      </c>
      <c r="G7998" s="918"/>
      <c r="H7998" s="919"/>
      <c r="I7998" s="920"/>
      <c r="J7998" s="891">
        <f>SUM(J7999:J8004)</f>
        <v>84540</v>
      </c>
      <c r="K7998" s="891"/>
      <c r="L7998" s="891">
        <f>SUM(L7999:L8004)</f>
        <v>1664654.44</v>
      </c>
      <c r="M7998" s="891"/>
      <c r="N7998" s="891">
        <f>SUM(N7999:N8004)</f>
        <v>0</v>
      </c>
      <c r="O7998" s="892">
        <f t="shared" si="620"/>
        <v>1</v>
      </c>
      <c r="P7998" s="903">
        <f t="shared" si="622"/>
        <v>0</v>
      </c>
      <c r="Q7998" s="893">
        <f t="shared" si="623"/>
        <v>0</v>
      </c>
      <c r="R7998" s="894">
        <f t="shared" si="624"/>
        <v>6</v>
      </c>
    </row>
    <row r="7999" spans="1:18" s="904" customFormat="1">
      <c r="A7999" s="895"/>
      <c r="B7999" s="922"/>
      <c r="C7999" s="897"/>
      <c r="D7999" s="897"/>
      <c r="E7999" s="898" t="s">
        <v>108</v>
      </c>
      <c r="F7999" s="899"/>
      <c r="G7999" s="928"/>
      <c r="H7999" s="901"/>
      <c r="I7999" s="902"/>
      <c r="J7999" s="902"/>
      <c r="K7999" s="912" t="s">
        <v>274</v>
      </c>
      <c r="L7999" s="902"/>
      <c r="M7999" s="902"/>
      <c r="N7999" s="902"/>
      <c r="O7999" s="892">
        <f t="shared" si="620"/>
        <v>0</v>
      </c>
      <c r="P7999" s="903">
        <f t="shared" si="622"/>
        <v>1</v>
      </c>
      <c r="Q7999" s="893">
        <f t="shared" si="623"/>
        <v>6</v>
      </c>
      <c r="R7999" s="894">
        <f t="shared" si="624"/>
        <v>0</v>
      </c>
    </row>
    <row r="8000" spans="1:18">
      <c r="A8000" s="905"/>
      <c r="B8000" s="906"/>
      <c r="C8000" s="907">
        <v>44</v>
      </c>
      <c r="D8000" s="907" t="s">
        <v>279</v>
      </c>
      <c r="E8000" s="925" t="s">
        <v>2681</v>
      </c>
      <c r="F8000" s="926" t="s">
        <v>45</v>
      </c>
      <c r="G8000" s="910"/>
      <c r="H8000" s="911">
        <v>2.48</v>
      </c>
      <c r="I8000" s="912">
        <f>VLOOKUP(E8000,[3]VLP!$B$7:$K$300,10,0)</f>
        <v>23000</v>
      </c>
      <c r="J8000" s="912">
        <f>I8000*H8000</f>
        <v>57040</v>
      </c>
      <c r="K8000" s="912" t="s">
        <v>274</v>
      </c>
      <c r="L8000" s="912"/>
      <c r="M8000" s="912"/>
      <c r="N8000" s="912"/>
      <c r="O8000" s="892">
        <f t="shared" si="620"/>
        <v>0</v>
      </c>
      <c r="P8000" s="903">
        <f t="shared" si="622"/>
        <v>1</v>
      </c>
      <c r="Q8000" s="893">
        <f t="shared" si="623"/>
        <v>5</v>
      </c>
      <c r="R8000" s="894">
        <f t="shared" si="624"/>
        <v>0</v>
      </c>
    </row>
    <row r="8001" spans="1:18">
      <c r="A8001" s="905"/>
      <c r="B8001" s="906"/>
      <c r="C8001" s="907">
        <v>66</v>
      </c>
      <c r="D8001" s="907" t="s">
        <v>279</v>
      </c>
      <c r="E8001" s="925" t="s">
        <v>2682</v>
      </c>
      <c r="F8001" s="926" t="s">
        <v>45</v>
      </c>
      <c r="G8001" s="910"/>
      <c r="H8001" s="911">
        <v>0.5</v>
      </c>
      <c r="I8001" s="912">
        <f>VLOOKUP(E8001,[3]VLP!$B$7:$K$300,10,0)</f>
        <v>5000</v>
      </c>
      <c r="J8001" s="912">
        <f>I8001*H8001</f>
        <v>2500</v>
      </c>
      <c r="K8001" s="912" t="s">
        <v>274</v>
      </c>
      <c r="L8001" s="912"/>
      <c r="M8001" s="912"/>
      <c r="N8001" s="912"/>
      <c r="O8001" s="892">
        <f t="shared" si="620"/>
        <v>0</v>
      </c>
      <c r="P8001" s="903">
        <f t="shared" si="622"/>
        <v>1</v>
      </c>
      <c r="Q8001" s="893">
        <f t="shared" si="623"/>
        <v>4</v>
      </c>
      <c r="R8001" s="894">
        <f t="shared" si="624"/>
        <v>0</v>
      </c>
    </row>
    <row r="8002" spans="1:18">
      <c r="A8002" s="905"/>
      <c r="B8002" s="906"/>
      <c r="C8002" s="907">
        <v>699</v>
      </c>
      <c r="D8002" s="907" t="s">
        <v>279</v>
      </c>
      <c r="E8002" s="925" t="s">
        <v>4006</v>
      </c>
      <c r="F8002" s="926" t="s">
        <v>4007</v>
      </c>
      <c r="G8002" s="910"/>
      <c r="H8002" s="911">
        <v>5</v>
      </c>
      <c r="I8002" s="912">
        <f>VLOOKUP(E8002,[3]VLP!$B$7:$K$300,10,0)</f>
        <v>5000</v>
      </c>
      <c r="J8002" s="912">
        <f>I8002*H8002</f>
        <v>25000</v>
      </c>
      <c r="K8002" s="912" t="s">
        <v>274</v>
      </c>
      <c r="L8002" s="912"/>
      <c r="M8002" s="912"/>
      <c r="N8002" s="912"/>
      <c r="O8002" s="892">
        <f t="shared" si="620"/>
        <v>0</v>
      </c>
      <c r="P8002" s="903">
        <f t="shared" si="622"/>
        <v>1</v>
      </c>
      <c r="Q8002" s="893">
        <f t="shared" si="623"/>
        <v>3</v>
      </c>
      <c r="R8002" s="894">
        <f t="shared" si="624"/>
        <v>0</v>
      </c>
    </row>
    <row r="8003" spans="1:18" s="904" customFormat="1">
      <c r="A8003" s="895"/>
      <c r="B8003" s="896"/>
      <c r="C8003" s="897"/>
      <c r="D8003" s="897"/>
      <c r="E8003" s="924" t="s">
        <v>276</v>
      </c>
      <c r="F8003" s="927"/>
      <c r="G8003" s="928"/>
      <c r="H8003" s="901"/>
      <c r="I8003" s="902"/>
      <c r="J8003" s="902"/>
      <c r="K8003" s="912" t="s">
        <v>274</v>
      </c>
      <c r="L8003" s="902"/>
      <c r="M8003" s="902"/>
      <c r="N8003" s="902"/>
      <c r="O8003" s="892">
        <f t="shared" si="620"/>
        <v>0</v>
      </c>
      <c r="P8003" s="903">
        <f t="shared" si="622"/>
        <v>1</v>
      </c>
      <c r="Q8003" s="893">
        <f t="shared" si="623"/>
        <v>2</v>
      </c>
      <c r="R8003" s="894">
        <f t="shared" si="624"/>
        <v>0</v>
      </c>
    </row>
    <row r="8004" spans="1:18">
      <c r="A8004" s="905"/>
      <c r="B8004" s="906"/>
      <c r="C8004" s="907">
        <v>745</v>
      </c>
      <c r="D8004" s="907" t="s">
        <v>12</v>
      </c>
      <c r="E8004" s="908" t="s">
        <v>5518</v>
      </c>
      <c r="F8004" s="909" t="s">
        <v>2674</v>
      </c>
      <c r="G8004" s="910"/>
      <c r="H8004" s="911">
        <v>6.92</v>
      </c>
      <c r="I8004" s="912"/>
      <c r="J8004" s="912"/>
      <c r="K8004" s="912">
        <f>VLOOKUP(E8004,[5]ĐMNC!$A$7:$F$67,4,0)</f>
        <v>240557</v>
      </c>
      <c r="L8004" s="912">
        <f>H8004*K8004</f>
        <v>1664654.44</v>
      </c>
      <c r="M8004" s="912"/>
      <c r="N8004" s="912"/>
      <c r="O8004" s="892">
        <f t="shared" si="620"/>
        <v>0</v>
      </c>
      <c r="P8004" s="903">
        <f t="shared" si="622"/>
        <v>1</v>
      </c>
      <c r="Q8004" s="893">
        <f t="shared" si="623"/>
        <v>1</v>
      </c>
      <c r="R8004" s="894">
        <f t="shared" si="624"/>
        <v>0</v>
      </c>
    </row>
    <row r="8005" spans="1:18" s="847" customFormat="1" ht="31.5">
      <c r="A8005" s="905"/>
      <c r="B8005" s="914" t="s">
        <v>6215</v>
      </c>
      <c r="C8005" s="915"/>
      <c r="D8005" s="915"/>
      <c r="E8005" s="916" t="s">
        <v>6216</v>
      </c>
      <c r="F8005" s="917" t="s">
        <v>6094</v>
      </c>
      <c r="G8005" s="918"/>
      <c r="H8005" s="919"/>
      <c r="I8005" s="920"/>
      <c r="J8005" s="891">
        <f>SUM(J8006:J8011)</f>
        <v>90290</v>
      </c>
      <c r="K8005" s="891"/>
      <c r="L8005" s="891">
        <f>SUM(L8006:L8011)</f>
        <v>1833044.34</v>
      </c>
      <c r="M8005" s="891"/>
      <c r="N8005" s="891">
        <f>SUM(N8006:N8011)</f>
        <v>0</v>
      </c>
      <c r="O8005" s="892">
        <f t="shared" si="620"/>
        <v>1</v>
      </c>
      <c r="P8005" s="903">
        <f t="shared" si="622"/>
        <v>0</v>
      </c>
      <c r="Q8005" s="893">
        <f t="shared" si="623"/>
        <v>0</v>
      </c>
      <c r="R8005" s="894">
        <f t="shared" si="624"/>
        <v>6</v>
      </c>
    </row>
    <row r="8006" spans="1:18" s="904" customFormat="1">
      <c r="A8006" s="895"/>
      <c r="B8006" s="896"/>
      <c r="C8006" s="897"/>
      <c r="D8006" s="897"/>
      <c r="E8006" s="898" t="s">
        <v>108</v>
      </c>
      <c r="F8006" s="899"/>
      <c r="G8006" s="928"/>
      <c r="H8006" s="901"/>
      <c r="I8006" s="902"/>
      <c r="J8006" s="902"/>
      <c r="K8006" s="912" t="s">
        <v>274</v>
      </c>
      <c r="L8006" s="902"/>
      <c r="M8006" s="902"/>
      <c r="N8006" s="902"/>
      <c r="O8006" s="892">
        <f t="shared" si="620"/>
        <v>0</v>
      </c>
      <c r="P8006" s="903">
        <f t="shared" si="622"/>
        <v>1</v>
      </c>
      <c r="Q8006" s="893">
        <f t="shared" si="623"/>
        <v>6</v>
      </c>
      <c r="R8006" s="894">
        <f t="shared" si="624"/>
        <v>0</v>
      </c>
    </row>
    <row r="8007" spans="1:18">
      <c r="A8007" s="905"/>
      <c r="B8007" s="906"/>
      <c r="C8007" s="907">
        <v>44</v>
      </c>
      <c r="D8007" s="907" t="s">
        <v>279</v>
      </c>
      <c r="E8007" s="925" t="s">
        <v>2681</v>
      </c>
      <c r="F8007" s="926" t="s">
        <v>45</v>
      </c>
      <c r="G8007" s="910"/>
      <c r="H8007" s="911">
        <v>2.73</v>
      </c>
      <c r="I8007" s="912">
        <f>VLOOKUP(E8007,[3]VLP!$B$7:$K$300,10,0)</f>
        <v>23000</v>
      </c>
      <c r="J8007" s="912">
        <f>I8007*H8007</f>
        <v>62790</v>
      </c>
      <c r="K8007" s="912" t="s">
        <v>274</v>
      </c>
      <c r="L8007" s="912"/>
      <c r="M8007" s="912"/>
      <c r="N8007" s="912"/>
      <c r="O8007" s="892">
        <f t="shared" si="620"/>
        <v>0</v>
      </c>
      <c r="P8007" s="903">
        <f t="shared" si="622"/>
        <v>1</v>
      </c>
      <c r="Q8007" s="893">
        <f t="shared" si="623"/>
        <v>5</v>
      </c>
      <c r="R8007" s="894">
        <f t="shared" si="624"/>
        <v>0</v>
      </c>
    </row>
    <row r="8008" spans="1:18">
      <c r="A8008" s="905"/>
      <c r="B8008" s="906"/>
      <c r="C8008" s="907">
        <v>66</v>
      </c>
      <c r="D8008" s="907" t="s">
        <v>279</v>
      </c>
      <c r="E8008" s="925" t="s">
        <v>2682</v>
      </c>
      <c r="F8008" s="926" t="s">
        <v>45</v>
      </c>
      <c r="G8008" s="910"/>
      <c r="H8008" s="911">
        <v>0.5</v>
      </c>
      <c r="I8008" s="912">
        <f>VLOOKUP(E8008,[3]VLP!$B$7:$K$300,10,0)</f>
        <v>5000</v>
      </c>
      <c r="J8008" s="912">
        <f>I8008*H8008</f>
        <v>2500</v>
      </c>
      <c r="K8008" s="912" t="s">
        <v>274</v>
      </c>
      <c r="L8008" s="912"/>
      <c r="M8008" s="912"/>
      <c r="N8008" s="912"/>
      <c r="O8008" s="892">
        <f t="shared" si="620"/>
        <v>0</v>
      </c>
      <c r="P8008" s="903">
        <f t="shared" si="622"/>
        <v>1</v>
      </c>
      <c r="Q8008" s="893">
        <f t="shared" si="623"/>
        <v>4</v>
      </c>
      <c r="R8008" s="894">
        <f t="shared" si="624"/>
        <v>0</v>
      </c>
    </row>
    <row r="8009" spans="1:18">
      <c r="A8009" s="905"/>
      <c r="B8009" s="906"/>
      <c r="C8009" s="907">
        <v>699</v>
      </c>
      <c r="D8009" s="907" t="s">
        <v>279</v>
      </c>
      <c r="E8009" s="925" t="s">
        <v>4006</v>
      </c>
      <c r="F8009" s="926" t="s">
        <v>4007</v>
      </c>
      <c r="G8009" s="910"/>
      <c r="H8009" s="911">
        <v>5</v>
      </c>
      <c r="I8009" s="912">
        <f>VLOOKUP(E8009,[3]VLP!$B$7:$K$300,10,0)</f>
        <v>5000</v>
      </c>
      <c r="J8009" s="912">
        <f>I8009*H8009</f>
        <v>25000</v>
      </c>
      <c r="K8009" s="912" t="s">
        <v>274</v>
      </c>
      <c r="L8009" s="912"/>
      <c r="M8009" s="912"/>
      <c r="N8009" s="912"/>
      <c r="O8009" s="892">
        <f t="shared" si="620"/>
        <v>0</v>
      </c>
      <c r="P8009" s="903">
        <f t="shared" si="622"/>
        <v>1</v>
      </c>
      <c r="Q8009" s="893">
        <f t="shared" si="623"/>
        <v>3</v>
      </c>
      <c r="R8009" s="894">
        <f t="shared" si="624"/>
        <v>0</v>
      </c>
    </row>
    <row r="8010" spans="1:18" s="904" customFormat="1">
      <c r="A8010" s="895"/>
      <c r="B8010" s="896"/>
      <c r="C8010" s="897"/>
      <c r="D8010" s="897"/>
      <c r="E8010" s="924" t="s">
        <v>276</v>
      </c>
      <c r="F8010" s="927"/>
      <c r="G8010" s="928"/>
      <c r="H8010" s="901"/>
      <c r="I8010" s="902"/>
      <c r="J8010" s="902"/>
      <c r="K8010" s="912" t="s">
        <v>274</v>
      </c>
      <c r="L8010" s="902"/>
      <c r="M8010" s="902"/>
      <c r="N8010" s="902"/>
      <c r="O8010" s="892">
        <f t="shared" si="620"/>
        <v>0</v>
      </c>
      <c r="P8010" s="903">
        <f t="shared" si="622"/>
        <v>1</v>
      </c>
      <c r="Q8010" s="893">
        <f t="shared" si="623"/>
        <v>2</v>
      </c>
      <c r="R8010" s="894">
        <f t="shared" si="624"/>
        <v>0</v>
      </c>
    </row>
    <row r="8011" spans="1:18">
      <c r="A8011" s="905"/>
      <c r="B8011" s="906"/>
      <c r="C8011" s="907">
        <v>745</v>
      </c>
      <c r="D8011" s="907" t="s">
        <v>12</v>
      </c>
      <c r="E8011" s="908" t="s">
        <v>5518</v>
      </c>
      <c r="F8011" s="909" t="s">
        <v>2674</v>
      </c>
      <c r="G8011" s="910"/>
      <c r="H8011" s="911">
        <v>7.62</v>
      </c>
      <c r="I8011" s="912"/>
      <c r="J8011" s="912"/>
      <c r="K8011" s="912">
        <f>VLOOKUP(E8011,[5]ĐMNC!$A$7:$F$67,4,0)</f>
        <v>240557</v>
      </c>
      <c r="L8011" s="912">
        <f>H8011*K8011</f>
        <v>1833044.34</v>
      </c>
      <c r="M8011" s="912"/>
      <c r="N8011" s="912"/>
      <c r="O8011" s="892">
        <f t="shared" si="620"/>
        <v>0</v>
      </c>
      <c r="P8011" s="903">
        <f t="shared" si="622"/>
        <v>1</v>
      </c>
      <c r="Q8011" s="893">
        <f t="shared" si="623"/>
        <v>1</v>
      </c>
      <c r="R8011" s="894">
        <f t="shared" si="624"/>
        <v>0</v>
      </c>
    </row>
    <row r="8012" spans="1:18" s="847" customFormat="1" ht="31.5">
      <c r="A8012" s="905"/>
      <c r="B8012" s="914" t="s">
        <v>6217</v>
      </c>
      <c r="C8012" s="915"/>
      <c r="D8012" s="915"/>
      <c r="E8012" s="916" t="s">
        <v>6218</v>
      </c>
      <c r="F8012" s="917" t="s">
        <v>6094</v>
      </c>
      <c r="G8012" s="918"/>
      <c r="H8012" s="919"/>
      <c r="I8012" s="920"/>
      <c r="J8012" s="891">
        <f>SUM(J8013:J8018)</f>
        <v>96500</v>
      </c>
      <c r="K8012" s="891"/>
      <c r="L8012" s="891">
        <f>SUM(L8013:L8018)</f>
        <v>2015867.6600000001</v>
      </c>
      <c r="M8012" s="891"/>
      <c r="N8012" s="891">
        <f>SUM(N8013:N8018)</f>
        <v>0</v>
      </c>
      <c r="O8012" s="892">
        <f t="shared" si="620"/>
        <v>1</v>
      </c>
      <c r="P8012" s="903">
        <f t="shared" si="622"/>
        <v>0</v>
      </c>
      <c r="Q8012" s="893">
        <f t="shared" si="623"/>
        <v>0</v>
      </c>
      <c r="R8012" s="894">
        <f t="shared" si="624"/>
        <v>6</v>
      </c>
    </row>
    <row r="8013" spans="1:18" s="904" customFormat="1">
      <c r="A8013" s="895"/>
      <c r="B8013" s="896"/>
      <c r="C8013" s="897"/>
      <c r="D8013" s="897"/>
      <c r="E8013" s="898" t="s">
        <v>108</v>
      </c>
      <c r="F8013" s="899"/>
      <c r="G8013" s="928"/>
      <c r="H8013" s="901"/>
      <c r="I8013" s="902"/>
      <c r="J8013" s="902"/>
      <c r="K8013" s="912" t="s">
        <v>274</v>
      </c>
      <c r="L8013" s="902"/>
      <c r="M8013" s="902"/>
      <c r="N8013" s="902"/>
      <c r="O8013" s="892">
        <f t="shared" si="620"/>
        <v>0</v>
      </c>
      <c r="P8013" s="903">
        <f t="shared" si="622"/>
        <v>1</v>
      </c>
      <c r="Q8013" s="893">
        <f t="shared" si="623"/>
        <v>6</v>
      </c>
      <c r="R8013" s="894">
        <f t="shared" si="624"/>
        <v>0</v>
      </c>
    </row>
    <row r="8014" spans="1:18">
      <c r="A8014" s="905"/>
      <c r="B8014" s="906"/>
      <c r="C8014" s="907">
        <v>44</v>
      </c>
      <c r="D8014" s="907" t="s">
        <v>279</v>
      </c>
      <c r="E8014" s="925" t="s">
        <v>2681</v>
      </c>
      <c r="F8014" s="926" t="s">
        <v>45</v>
      </c>
      <c r="G8014" s="910"/>
      <c r="H8014" s="911">
        <v>3</v>
      </c>
      <c r="I8014" s="912">
        <f>VLOOKUP(E8014,[3]VLP!$B$7:$K$300,10,0)</f>
        <v>23000</v>
      </c>
      <c r="J8014" s="912">
        <f>I8014*H8014</f>
        <v>69000</v>
      </c>
      <c r="K8014" s="912" t="s">
        <v>274</v>
      </c>
      <c r="L8014" s="912"/>
      <c r="M8014" s="912"/>
      <c r="N8014" s="912"/>
      <c r="O8014" s="892">
        <f t="shared" si="620"/>
        <v>0</v>
      </c>
      <c r="P8014" s="903">
        <f t="shared" si="622"/>
        <v>1</v>
      </c>
      <c r="Q8014" s="893">
        <f t="shared" si="623"/>
        <v>5</v>
      </c>
      <c r="R8014" s="894">
        <f t="shared" si="624"/>
        <v>0</v>
      </c>
    </row>
    <row r="8015" spans="1:18">
      <c r="A8015" s="905"/>
      <c r="B8015" s="906"/>
      <c r="C8015" s="907">
        <v>66</v>
      </c>
      <c r="D8015" s="907" t="s">
        <v>279</v>
      </c>
      <c r="E8015" s="925" t="s">
        <v>2682</v>
      </c>
      <c r="F8015" s="926" t="s">
        <v>45</v>
      </c>
      <c r="G8015" s="910"/>
      <c r="H8015" s="911">
        <v>0.5</v>
      </c>
      <c r="I8015" s="912">
        <f>VLOOKUP(E8015,[3]VLP!$B$7:$K$300,10,0)</f>
        <v>5000</v>
      </c>
      <c r="J8015" s="912">
        <f>I8015*H8015</f>
        <v>2500</v>
      </c>
      <c r="K8015" s="912" t="s">
        <v>274</v>
      </c>
      <c r="L8015" s="912"/>
      <c r="M8015" s="912"/>
      <c r="N8015" s="912"/>
      <c r="O8015" s="892">
        <f t="shared" si="620"/>
        <v>0</v>
      </c>
      <c r="P8015" s="903">
        <f t="shared" si="622"/>
        <v>1</v>
      </c>
      <c r="Q8015" s="893">
        <f t="shared" si="623"/>
        <v>4</v>
      </c>
      <c r="R8015" s="894">
        <f t="shared" si="624"/>
        <v>0</v>
      </c>
    </row>
    <row r="8016" spans="1:18">
      <c r="A8016" s="905"/>
      <c r="B8016" s="906"/>
      <c r="C8016" s="907">
        <v>699</v>
      </c>
      <c r="D8016" s="907" t="s">
        <v>279</v>
      </c>
      <c r="E8016" s="925" t="s">
        <v>4006</v>
      </c>
      <c r="F8016" s="926" t="s">
        <v>4007</v>
      </c>
      <c r="G8016" s="910"/>
      <c r="H8016" s="911">
        <v>5</v>
      </c>
      <c r="I8016" s="912">
        <f>VLOOKUP(E8016,[3]VLP!$B$7:$K$300,10,0)</f>
        <v>5000</v>
      </c>
      <c r="J8016" s="912">
        <f>I8016*H8016</f>
        <v>25000</v>
      </c>
      <c r="K8016" s="912" t="s">
        <v>274</v>
      </c>
      <c r="L8016" s="912"/>
      <c r="M8016" s="912"/>
      <c r="N8016" s="912"/>
      <c r="O8016" s="892">
        <f t="shared" si="620"/>
        <v>0</v>
      </c>
      <c r="P8016" s="903">
        <f t="shared" si="622"/>
        <v>1</v>
      </c>
      <c r="Q8016" s="893">
        <f t="shared" si="623"/>
        <v>3</v>
      </c>
      <c r="R8016" s="894">
        <f t="shared" si="624"/>
        <v>0</v>
      </c>
    </row>
    <row r="8017" spans="1:18" s="904" customFormat="1">
      <c r="A8017" s="895"/>
      <c r="B8017" s="896"/>
      <c r="C8017" s="897"/>
      <c r="D8017" s="897"/>
      <c r="E8017" s="924" t="s">
        <v>276</v>
      </c>
      <c r="F8017" s="927"/>
      <c r="G8017" s="928"/>
      <c r="H8017" s="901"/>
      <c r="I8017" s="902"/>
      <c r="J8017" s="902"/>
      <c r="K8017" s="912" t="s">
        <v>274</v>
      </c>
      <c r="L8017" s="902"/>
      <c r="M8017" s="902"/>
      <c r="N8017" s="902"/>
      <c r="O8017" s="892">
        <f t="shared" si="620"/>
        <v>0</v>
      </c>
      <c r="P8017" s="903">
        <f t="shared" si="622"/>
        <v>1</v>
      </c>
      <c r="Q8017" s="893">
        <f t="shared" si="623"/>
        <v>2</v>
      </c>
      <c r="R8017" s="894">
        <f t="shared" si="624"/>
        <v>0</v>
      </c>
    </row>
    <row r="8018" spans="1:18">
      <c r="A8018" s="905"/>
      <c r="B8018" s="906"/>
      <c r="C8018" s="907">
        <v>745</v>
      </c>
      <c r="D8018" s="907" t="s">
        <v>12</v>
      </c>
      <c r="E8018" s="908" t="s">
        <v>5518</v>
      </c>
      <c r="F8018" s="909" t="s">
        <v>2674</v>
      </c>
      <c r="G8018" s="910"/>
      <c r="H8018" s="911">
        <v>8.3800000000000008</v>
      </c>
      <c r="I8018" s="912"/>
      <c r="J8018" s="912"/>
      <c r="K8018" s="912">
        <f>VLOOKUP(E8018,[5]ĐMNC!$A$7:$F$67,4,0)</f>
        <v>240557</v>
      </c>
      <c r="L8018" s="912">
        <f>H8018*K8018</f>
        <v>2015867.6600000001</v>
      </c>
      <c r="M8018" s="912"/>
      <c r="N8018" s="912"/>
      <c r="O8018" s="892">
        <f t="shared" si="620"/>
        <v>0</v>
      </c>
      <c r="P8018" s="903">
        <f t="shared" si="622"/>
        <v>1</v>
      </c>
      <c r="Q8018" s="893">
        <f t="shared" si="623"/>
        <v>1</v>
      </c>
      <c r="R8018" s="894">
        <f t="shared" si="624"/>
        <v>0</v>
      </c>
    </row>
    <row r="8019" spans="1:18" s="847" customFormat="1" ht="31.5">
      <c r="A8019" s="905"/>
      <c r="B8019" s="914" t="s">
        <v>6219</v>
      </c>
      <c r="C8019" s="915"/>
      <c r="D8019" s="915"/>
      <c r="E8019" s="916" t="s">
        <v>6220</v>
      </c>
      <c r="F8019" s="917" t="s">
        <v>6094</v>
      </c>
      <c r="G8019" s="918"/>
      <c r="H8019" s="919"/>
      <c r="I8019" s="920"/>
      <c r="J8019" s="891">
        <f>SUM(J8020:J8025)</f>
        <v>119500</v>
      </c>
      <c r="K8019" s="891"/>
      <c r="L8019" s="891">
        <f>SUM(L8020:L8025)</f>
        <v>2220341.1100000003</v>
      </c>
      <c r="M8019" s="891"/>
      <c r="N8019" s="891">
        <f>SUM(N8020:N8025)</f>
        <v>0</v>
      </c>
      <c r="O8019" s="892">
        <f t="shared" si="620"/>
        <v>1</v>
      </c>
      <c r="P8019" s="903">
        <f t="shared" si="622"/>
        <v>0</v>
      </c>
      <c r="Q8019" s="893">
        <f t="shared" si="623"/>
        <v>0</v>
      </c>
      <c r="R8019" s="894">
        <f t="shared" si="624"/>
        <v>6</v>
      </c>
    </row>
    <row r="8020" spans="1:18" s="904" customFormat="1">
      <c r="A8020" s="895"/>
      <c r="B8020" s="896"/>
      <c r="C8020" s="897"/>
      <c r="D8020" s="897"/>
      <c r="E8020" s="898" t="s">
        <v>108</v>
      </c>
      <c r="F8020" s="899"/>
      <c r="G8020" s="928"/>
      <c r="H8020" s="901"/>
      <c r="I8020" s="902"/>
      <c r="J8020" s="902"/>
      <c r="K8020" s="912" t="s">
        <v>274</v>
      </c>
      <c r="L8020" s="902"/>
      <c r="M8020" s="902"/>
      <c r="N8020" s="902"/>
      <c r="O8020" s="892">
        <f t="shared" si="620"/>
        <v>0</v>
      </c>
      <c r="P8020" s="903">
        <f t="shared" si="622"/>
        <v>1</v>
      </c>
      <c r="Q8020" s="893">
        <f t="shared" si="623"/>
        <v>6</v>
      </c>
      <c r="R8020" s="894">
        <f t="shared" si="624"/>
        <v>0</v>
      </c>
    </row>
    <row r="8021" spans="1:18">
      <c r="A8021" s="905"/>
      <c r="B8021" s="906"/>
      <c r="C8021" s="907">
        <v>44</v>
      </c>
      <c r="D8021" s="907" t="s">
        <v>279</v>
      </c>
      <c r="E8021" s="925" t="s">
        <v>2681</v>
      </c>
      <c r="F8021" s="926" t="s">
        <v>45</v>
      </c>
      <c r="G8021" s="910"/>
      <c r="H8021" s="911">
        <v>4</v>
      </c>
      <c r="I8021" s="912">
        <f>VLOOKUP(E8021,[3]VLP!$B$7:$K$300,10,0)</f>
        <v>23000</v>
      </c>
      <c r="J8021" s="912">
        <f>I8021*H8021</f>
        <v>92000</v>
      </c>
      <c r="K8021" s="912" t="s">
        <v>274</v>
      </c>
      <c r="L8021" s="912"/>
      <c r="M8021" s="912"/>
      <c r="N8021" s="912"/>
      <c r="O8021" s="892">
        <f t="shared" si="620"/>
        <v>0</v>
      </c>
      <c r="P8021" s="903">
        <f t="shared" si="622"/>
        <v>1</v>
      </c>
      <c r="Q8021" s="893">
        <f t="shared" si="623"/>
        <v>5</v>
      </c>
      <c r="R8021" s="894">
        <f t="shared" si="624"/>
        <v>0</v>
      </c>
    </row>
    <row r="8022" spans="1:18">
      <c r="A8022" s="905"/>
      <c r="B8022" s="906"/>
      <c r="C8022" s="907">
        <v>66</v>
      </c>
      <c r="D8022" s="907" t="s">
        <v>279</v>
      </c>
      <c r="E8022" s="925" t="s">
        <v>2682</v>
      </c>
      <c r="F8022" s="926" t="s">
        <v>45</v>
      </c>
      <c r="G8022" s="910"/>
      <c r="H8022" s="911">
        <v>0.5</v>
      </c>
      <c r="I8022" s="912">
        <f>VLOOKUP(E8022,[3]VLP!$B$7:$K$300,10,0)</f>
        <v>5000</v>
      </c>
      <c r="J8022" s="912">
        <f>I8022*H8022</f>
        <v>2500</v>
      </c>
      <c r="K8022" s="912" t="s">
        <v>274</v>
      </c>
      <c r="L8022" s="912"/>
      <c r="M8022" s="912"/>
      <c r="N8022" s="912"/>
      <c r="O8022" s="892">
        <f t="shared" si="620"/>
        <v>0</v>
      </c>
      <c r="P8022" s="903">
        <f t="shared" si="622"/>
        <v>1</v>
      </c>
      <c r="Q8022" s="893">
        <f t="shared" si="623"/>
        <v>4</v>
      </c>
      <c r="R8022" s="894">
        <f t="shared" si="624"/>
        <v>0</v>
      </c>
    </row>
    <row r="8023" spans="1:18">
      <c r="A8023" s="905"/>
      <c r="B8023" s="906"/>
      <c r="C8023" s="907">
        <v>699</v>
      </c>
      <c r="D8023" s="907" t="s">
        <v>279</v>
      </c>
      <c r="E8023" s="925" t="s">
        <v>4006</v>
      </c>
      <c r="F8023" s="926" t="s">
        <v>4007</v>
      </c>
      <c r="G8023" s="910"/>
      <c r="H8023" s="911">
        <v>5</v>
      </c>
      <c r="I8023" s="912">
        <f>VLOOKUP(E8023,[3]VLP!$B$7:$K$300,10,0)</f>
        <v>5000</v>
      </c>
      <c r="J8023" s="912">
        <f>I8023*H8023</f>
        <v>25000</v>
      </c>
      <c r="K8023" s="912" t="s">
        <v>274</v>
      </c>
      <c r="L8023" s="912"/>
      <c r="M8023" s="912"/>
      <c r="N8023" s="912"/>
      <c r="O8023" s="892">
        <f t="shared" si="620"/>
        <v>0</v>
      </c>
      <c r="P8023" s="903">
        <f t="shared" si="622"/>
        <v>1</v>
      </c>
      <c r="Q8023" s="893">
        <f t="shared" si="623"/>
        <v>3</v>
      </c>
      <c r="R8023" s="894">
        <f t="shared" si="624"/>
        <v>0</v>
      </c>
    </row>
    <row r="8024" spans="1:18" s="904" customFormat="1">
      <c r="A8024" s="895"/>
      <c r="B8024" s="896"/>
      <c r="C8024" s="897"/>
      <c r="D8024" s="897"/>
      <c r="E8024" s="924" t="s">
        <v>276</v>
      </c>
      <c r="F8024" s="927"/>
      <c r="G8024" s="928"/>
      <c r="H8024" s="901"/>
      <c r="I8024" s="902"/>
      <c r="J8024" s="902"/>
      <c r="K8024" s="912" t="s">
        <v>274</v>
      </c>
      <c r="L8024" s="902"/>
      <c r="M8024" s="902"/>
      <c r="N8024" s="902"/>
      <c r="O8024" s="892">
        <f t="shared" si="620"/>
        <v>0</v>
      </c>
      <c r="P8024" s="903">
        <f t="shared" si="622"/>
        <v>1</v>
      </c>
      <c r="Q8024" s="893">
        <f t="shared" si="623"/>
        <v>2</v>
      </c>
      <c r="R8024" s="894">
        <f t="shared" si="624"/>
        <v>0</v>
      </c>
    </row>
    <row r="8025" spans="1:18">
      <c r="A8025" s="905"/>
      <c r="B8025" s="906"/>
      <c r="C8025" s="907">
        <v>745</v>
      </c>
      <c r="D8025" s="907" t="s">
        <v>12</v>
      </c>
      <c r="E8025" s="908" t="s">
        <v>5518</v>
      </c>
      <c r="F8025" s="909" t="s">
        <v>2674</v>
      </c>
      <c r="G8025" s="910"/>
      <c r="H8025" s="911">
        <v>9.23</v>
      </c>
      <c r="I8025" s="912"/>
      <c r="J8025" s="912"/>
      <c r="K8025" s="912">
        <f>VLOOKUP(E8025,[5]ĐMNC!$A$7:$F$67,4,0)</f>
        <v>240557</v>
      </c>
      <c r="L8025" s="912">
        <f>H8025*K8025</f>
        <v>2220341.1100000003</v>
      </c>
      <c r="M8025" s="912"/>
      <c r="N8025" s="912"/>
      <c r="O8025" s="892">
        <f t="shared" si="620"/>
        <v>0</v>
      </c>
      <c r="P8025" s="903">
        <f t="shared" si="622"/>
        <v>1</v>
      </c>
      <c r="Q8025" s="893">
        <f t="shared" si="623"/>
        <v>1</v>
      </c>
      <c r="R8025" s="894">
        <f t="shared" si="624"/>
        <v>0</v>
      </c>
    </row>
    <row r="8026" spans="1:18" s="847" customFormat="1" ht="31.5">
      <c r="A8026" s="905"/>
      <c r="B8026" s="914" t="s">
        <v>6221</v>
      </c>
      <c r="C8026" s="915"/>
      <c r="D8026" s="915"/>
      <c r="E8026" s="916" t="s">
        <v>6222</v>
      </c>
      <c r="F8026" s="917" t="s">
        <v>6094</v>
      </c>
      <c r="G8026" s="918"/>
      <c r="H8026" s="919"/>
      <c r="I8026" s="920"/>
      <c r="J8026" s="891">
        <f>SUM(J8027:J8032)</f>
        <v>119500</v>
      </c>
      <c r="K8026" s="891"/>
      <c r="L8026" s="891">
        <f>SUM(L8027:L8032)</f>
        <v>2427220.13</v>
      </c>
      <c r="M8026" s="891"/>
      <c r="N8026" s="891">
        <f>SUM(N8027:N8032)</f>
        <v>0</v>
      </c>
      <c r="O8026" s="892">
        <f t="shared" si="620"/>
        <v>1</v>
      </c>
      <c r="P8026" s="903">
        <f t="shared" si="622"/>
        <v>0</v>
      </c>
      <c r="Q8026" s="893">
        <f t="shared" si="623"/>
        <v>0</v>
      </c>
      <c r="R8026" s="894">
        <f t="shared" si="624"/>
        <v>6</v>
      </c>
    </row>
    <row r="8027" spans="1:18" s="904" customFormat="1">
      <c r="A8027" s="895"/>
      <c r="B8027" s="896"/>
      <c r="C8027" s="897"/>
      <c r="D8027" s="897"/>
      <c r="E8027" s="898" t="s">
        <v>108</v>
      </c>
      <c r="F8027" s="899"/>
      <c r="G8027" s="928"/>
      <c r="H8027" s="901"/>
      <c r="I8027" s="902"/>
      <c r="J8027" s="902"/>
      <c r="K8027" s="912" t="s">
        <v>274</v>
      </c>
      <c r="L8027" s="902"/>
      <c r="M8027" s="902"/>
      <c r="N8027" s="902"/>
      <c r="O8027" s="892">
        <f t="shared" si="620"/>
        <v>0</v>
      </c>
      <c r="P8027" s="903">
        <f t="shared" si="622"/>
        <v>1</v>
      </c>
      <c r="Q8027" s="893">
        <f t="shared" si="623"/>
        <v>6</v>
      </c>
      <c r="R8027" s="894">
        <f t="shared" si="624"/>
        <v>0</v>
      </c>
    </row>
    <row r="8028" spans="1:18">
      <c r="A8028" s="905"/>
      <c r="B8028" s="906"/>
      <c r="C8028" s="907">
        <v>44</v>
      </c>
      <c r="D8028" s="907" t="s">
        <v>279</v>
      </c>
      <c r="E8028" s="925" t="s">
        <v>2681</v>
      </c>
      <c r="F8028" s="926" t="s">
        <v>45</v>
      </c>
      <c r="G8028" s="910"/>
      <c r="H8028" s="911">
        <v>4</v>
      </c>
      <c r="I8028" s="912">
        <f>VLOOKUP(E8028,[3]VLP!$B$7:$K$300,10,0)</f>
        <v>23000</v>
      </c>
      <c r="J8028" s="912">
        <f>I8028*H8028</f>
        <v>92000</v>
      </c>
      <c r="K8028" s="912" t="s">
        <v>274</v>
      </c>
      <c r="L8028" s="912"/>
      <c r="M8028" s="912"/>
      <c r="N8028" s="912"/>
      <c r="O8028" s="892">
        <f t="shared" si="620"/>
        <v>0</v>
      </c>
      <c r="P8028" s="903">
        <f t="shared" si="622"/>
        <v>1</v>
      </c>
      <c r="Q8028" s="893">
        <f t="shared" si="623"/>
        <v>5</v>
      </c>
      <c r="R8028" s="894">
        <f t="shared" si="624"/>
        <v>0</v>
      </c>
    </row>
    <row r="8029" spans="1:18">
      <c r="A8029" s="905"/>
      <c r="B8029" s="906"/>
      <c r="C8029" s="907">
        <v>66</v>
      </c>
      <c r="D8029" s="907" t="s">
        <v>279</v>
      </c>
      <c r="E8029" s="925" t="s">
        <v>2682</v>
      </c>
      <c r="F8029" s="926" t="s">
        <v>45</v>
      </c>
      <c r="G8029" s="910"/>
      <c r="H8029" s="911">
        <v>0.5</v>
      </c>
      <c r="I8029" s="912">
        <f>VLOOKUP(E8029,[3]VLP!$B$7:$K$300,10,0)</f>
        <v>5000</v>
      </c>
      <c r="J8029" s="912">
        <f>I8029*H8029</f>
        <v>2500</v>
      </c>
      <c r="K8029" s="912" t="s">
        <v>274</v>
      </c>
      <c r="L8029" s="912"/>
      <c r="M8029" s="912"/>
      <c r="N8029" s="912"/>
      <c r="O8029" s="892">
        <f t="shared" si="620"/>
        <v>0</v>
      </c>
      <c r="P8029" s="903">
        <f t="shared" si="622"/>
        <v>1</v>
      </c>
      <c r="Q8029" s="893">
        <f t="shared" si="623"/>
        <v>4</v>
      </c>
      <c r="R8029" s="894">
        <f t="shared" si="624"/>
        <v>0</v>
      </c>
    </row>
    <row r="8030" spans="1:18">
      <c r="A8030" s="905"/>
      <c r="B8030" s="906"/>
      <c r="C8030" s="907">
        <v>699</v>
      </c>
      <c r="D8030" s="907" t="s">
        <v>279</v>
      </c>
      <c r="E8030" s="925" t="s">
        <v>4006</v>
      </c>
      <c r="F8030" s="926" t="s">
        <v>4007</v>
      </c>
      <c r="G8030" s="910"/>
      <c r="H8030" s="911">
        <v>5</v>
      </c>
      <c r="I8030" s="912">
        <f>VLOOKUP(E8030,[3]VLP!$B$7:$K$300,10,0)</f>
        <v>5000</v>
      </c>
      <c r="J8030" s="912">
        <f>I8030*H8030</f>
        <v>25000</v>
      </c>
      <c r="K8030" s="912" t="s">
        <v>274</v>
      </c>
      <c r="L8030" s="912"/>
      <c r="M8030" s="912"/>
      <c r="N8030" s="912"/>
      <c r="O8030" s="892">
        <f t="shared" si="620"/>
        <v>0</v>
      </c>
      <c r="P8030" s="903">
        <f t="shared" si="622"/>
        <v>1</v>
      </c>
      <c r="Q8030" s="893">
        <f t="shared" si="623"/>
        <v>3</v>
      </c>
      <c r="R8030" s="894">
        <f t="shared" si="624"/>
        <v>0</v>
      </c>
    </row>
    <row r="8031" spans="1:18" s="904" customFormat="1">
      <c r="A8031" s="895"/>
      <c r="B8031" s="896"/>
      <c r="C8031" s="897"/>
      <c r="D8031" s="897"/>
      <c r="E8031" s="924" t="s">
        <v>276</v>
      </c>
      <c r="F8031" s="927"/>
      <c r="G8031" s="928"/>
      <c r="H8031" s="901"/>
      <c r="I8031" s="902"/>
      <c r="J8031" s="902"/>
      <c r="K8031" s="912" t="s">
        <v>274</v>
      </c>
      <c r="L8031" s="902"/>
      <c r="M8031" s="902"/>
      <c r="N8031" s="902"/>
      <c r="O8031" s="892">
        <f t="shared" ref="O8031:O8094" si="626">IF(AND(B8031&lt;&gt;"",D8031=""),1,0)</f>
        <v>0</v>
      </c>
      <c r="P8031" s="903">
        <f t="shared" si="622"/>
        <v>1</v>
      </c>
      <c r="Q8031" s="893">
        <f t="shared" si="623"/>
        <v>2</v>
      </c>
      <c r="R8031" s="894">
        <f t="shared" si="624"/>
        <v>0</v>
      </c>
    </row>
    <row r="8032" spans="1:18">
      <c r="A8032" s="905"/>
      <c r="B8032" s="906"/>
      <c r="C8032" s="907">
        <v>745</v>
      </c>
      <c r="D8032" s="907" t="s">
        <v>12</v>
      </c>
      <c r="E8032" s="908" t="s">
        <v>5518</v>
      </c>
      <c r="F8032" s="909" t="s">
        <v>2674</v>
      </c>
      <c r="G8032" s="910"/>
      <c r="H8032" s="911">
        <v>10.09</v>
      </c>
      <c r="I8032" s="912"/>
      <c r="J8032" s="912"/>
      <c r="K8032" s="912">
        <f>VLOOKUP(E8032,[5]ĐMNC!$A$7:$F$67,4,0)</f>
        <v>240557</v>
      </c>
      <c r="L8032" s="912">
        <f>H8032*K8032</f>
        <v>2427220.13</v>
      </c>
      <c r="M8032" s="912"/>
      <c r="N8032" s="912"/>
      <c r="O8032" s="892">
        <f t="shared" si="626"/>
        <v>0</v>
      </c>
      <c r="P8032" s="903">
        <f t="shared" si="622"/>
        <v>1</v>
      </c>
      <c r="Q8032" s="893">
        <f t="shared" si="623"/>
        <v>1</v>
      </c>
      <c r="R8032" s="894">
        <f t="shared" si="624"/>
        <v>0</v>
      </c>
    </row>
    <row r="8033" spans="1:18" s="847" customFormat="1" ht="31.5">
      <c r="A8033" s="905"/>
      <c r="B8033" s="914" t="s">
        <v>6223</v>
      </c>
      <c r="C8033" s="915"/>
      <c r="D8033" s="915"/>
      <c r="E8033" s="916" t="s">
        <v>6224</v>
      </c>
      <c r="F8033" s="917" t="s">
        <v>6094</v>
      </c>
      <c r="G8033" s="918"/>
      <c r="H8033" s="919"/>
      <c r="I8033" s="920"/>
      <c r="J8033" s="891">
        <f>SUM(J8034:J8039)</f>
        <v>119500</v>
      </c>
      <c r="K8033" s="891"/>
      <c r="L8033" s="891">
        <f>SUM(L8034:L8039)</f>
        <v>2665371.56</v>
      </c>
      <c r="M8033" s="891"/>
      <c r="N8033" s="891">
        <f>SUM(N8034:N8039)</f>
        <v>0</v>
      </c>
      <c r="O8033" s="892">
        <f t="shared" si="626"/>
        <v>1</v>
      </c>
      <c r="P8033" s="903">
        <f t="shared" si="622"/>
        <v>0</v>
      </c>
      <c r="Q8033" s="893">
        <f t="shared" si="623"/>
        <v>0</v>
      </c>
      <c r="R8033" s="894">
        <f t="shared" si="624"/>
        <v>6</v>
      </c>
    </row>
    <row r="8034" spans="1:18" s="904" customFormat="1">
      <c r="A8034" s="895"/>
      <c r="B8034" s="896"/>
      <c r="C8034" s="897"/>
      <c r="D8034" s="897"/>
      <c r="E8034" s="898" t="s">
        <v>108</v>
      </c>
      <c r="F8034" s="899"/>
      <c r="G8034" s="928"/>
      <c r="H8034" s="901"/>
      <c r="I8034" s="902"/>
      <c r="J8034" s="902"/>
      <c r="K8034" s="912" t="s">
        <v>274</v>
      </c>
      <c r="L8034" s="902"/>
      <c r="M8034" s="902"/>
      <c r="N8034" s="902"/>
      <c r="O8034" s="892">
        <f t="shared" si="626"/>
        <v>0</v>
      </c>
      <c r="P8034" s="903">
        <f t="shared" si="622"/>
        <v>1</v>
      </c>
      <c r="Q8034" s="893">
        <f t="shared" si="623"/>
        <v>6</v>
      </c>
      <c r="R8034" s="894">
        <f t="shared" si="624"/>
        <v>0</v>
      </c>
    </row>
    <row r="8035" spans="1:18">
      <c r="A8035" s="905"/>
      <c r="B8035" s="906"/>
      <c r="C8035" s="907">
        <v>44</v>
      </c>
      <c r="D8035" s="907" t="s">
        <v>279</v>
      </c>
      <c r="E8035" s="925" t="s">
        <v>2681</v>
      </c>
      <c r="F8035" s="926" t="s">
        <v>45</v>
      </c>
      <c r="G8035" s="910"/>
      <c r="H8035" s="911">
        <v>4</v>
      </c>
      <c r="I8035" s="912">
        <f>VLOOKUP(E8035,[3]VLP!$B$7:$K$300,10,0)</f>
        <v>23000</v>
      </c>
      <c r="J8035" s="912">
        <f>I8035*H8035</f>
        <v>92000</v>
      </c>
      <c r="K8035" s="912" t="s">
        <v>274</v>
      </c>
      <c r="L8035" s="912"/>
      <c r="M8035" s="912"/>
      <c r="N8035" s="912"/>
      <c r="O8035" s="892">
        <f t="shared" si="626"/>
        <v>0</v>
      </c>
      <c r="P8035" s="903">
        <f t="shared" si="622"/>
        <v>1</v>
      </c>
      <c r="Q8035" s="893">
        <f t="shared" si="623"/>
        <v>5</v>
      </c>
      <c r="R8035" s="894">
        <f t="shared" si="624"/>
        <v>0</v>
      </c>
    </row>
    <row r="8036" spans="1:18">
      <c r="A8036" s="905"/>
      <c r="B8036" s="906"/>
      <c r="C8036" s="907">
        <v>66</v>
      </c>
      <c r="D8036" s="907" t="s">
        <v>279</v>
      </c>
      <c r="E8036" s="925" t="s">
        <v>2682</v>
      </c>
      <c r="F8036" s="926" t="s">
        <v>45</v>
      </c>
      <c r="G8036" s="910"/>
      <c r="H8036" s="911">
        <v>0.5</v>
      </c>
      <c r="I8036" s="912">
        <f>VLOOKUP(E8036,[3]VLP!$B$7:$K$300,10,0)</f>
        <v>5000</v>
      </c>
      <c r="J8036" s="912">
        <f>I8036*H8036</f>
        <v>2500</v>
      </c>
      <c r="K8036" s="912" t="s">
        <v>274</v>
      </c>
      <c r="L8036" s="912"/>
      <c r="M8036" s="912"/>
      <c r="N8036" s="912"/>
      <c r="O8036" s="892">
        <f t="shared" si="626"/>
        <v>0</v>
      </c>
      <c r="P8036" s="903">
        <f t="shared" si="622"/>
        <v>1</v>
      </c>
      <c r="Q8036" s="893">
        <f t="shared" si="623"/>
        <v>4</v>
      </c>
      <c r="R8036" s="894">
        <f t="shared" si="624"/>
        <v>0</v>
      </c>
    </row>
    <row r="8037" spans="1:18">
      <c r="A8037" s="905"/>
      <c r="B8037" s="906"/>
      <c r="C8037" s="907">
        <v>699</v>
      </c>
      <c r="D8037" s="907" t="s">
        <v>279</v>
      </c>
      <c r="E8037" s="925" t="s">
        <v>4006</v>
      </c>
      <c r="F8037" s="926" t="s">
        <v>4007</v>
      </c>
      <c r="G8037" s="910"/>
      <c r="H8037" s="911">
        <v>5</v>
      </c>
      <c r="I8037" s="912">
        <f>VLOOKUP(E8037,[3]VLP!$B$7:$K$300,10,0)</f>
        <v>5000</v>
      </c>
      <c r="J8037" s="912">
        <f>I8037*H8037</f>
        <v>25000</v>
      </c>
      <c r="K8037" s="912" t="s">
        <v>274</v>
      </c>
      <c r="L8037" s="912"/>
      <c r="M8037" s="912"/>
      <c r="N8037" s="912"/>
      <c r="O8037" s="892">
        <f t="shared" si="626"/>
        <v>0</v>
      </c>
      <c r="P8037" s="903">
        <f t="shared" si="622"/>
        <v>1</v>
      </c>
      <c r="Q8037" s="893">
        <f t="shared" si="623"/>
        <v>3</v>
      </c>
      <c r="R8037" s="894">
        <f t="shared" si="624"/>
        <v>0</v>
      </c>
    </row>
    <row r="8038" spans="1:18" s="904" customFormat="1">
      <c r="A8038" s="895"/>
      <c r="B8038" s="896"/>
      <c r="C8038" s="897"/>
      <c r="D8038" s="897"/>
      <c r="E8038" s="924" t="s">
        <v>276</v>
      </c>
      <c r="F8038" s="927"/>
      <c r="G8038" s="928"/>
      <c r="H8038" s="901"/>
      <c r="I8038" s="902"/>
      <c r="J8038" s="902"/>
      <c r="K8038" s="912" t="s">
        <v>274</v>
      </c>
      <c r="L8038" s="902"/>
      <c r="M8038" s="902"/>
      <c r="N8038" s="902"/>
      <c r="O8038" s="892">
        <f t="shared" si="626"/>
        <v>0</v>
      </c>
      <c r="P8038" s="903">
        <f t="shared" si="622"/>
        <v>1</v>
      </c>
      <c r="Q8038" s="893">
        <f t="shared" si="623"/>
        <v>2</v>
      </c>
      <c r="R8038" s="894">
        <f t="shared" si="624"/>
        <v>0</v>
      </c>
    </row>
    <row r="8039" spans="1:18">
      <c r="A8039" s="905"/>
      <c r="B8039" s="906"/>
      <c r="C8039" s="907">
        <v>745</v>
      </c>
      <c r="D8039" s="907" t="s">
        <v>12</v>
      </c>
      <c r="E8039" s="908" t="s">
        <v>5518</v>
      </c>
      <c r="F8039" s="909" t="s">
        <v>2674</v>
      </c>
      <c r="G8039" s="910"/>
      <c r="H8039" s="911">
        <v>11.08</v>
      </c>
      <c r="I8039" s="912"/>
      <c r="J8039" s="912"/>
      <c r="K8039" s="912">
        <f>VLOOKUP(E8039,[5]ĐMNC!$A$7:$F$67,4,0)</f>
        <v>240557</v>
      </c>
      <c r="L8039" s="912">
        <f>H8039*K8039</f>
        <v>2665371.56</v>
      </c>
      <c r="M8039" s="912"/>
      <c r="N8039" s="912"/>
      <c r="O8039" s="892">
        <f t="shared" si="626"/>
        <v>0</v>
      </c>
      <c r="P8039" s="903">
        <f t="shared" si="622"/>
        <v>1</v>
      </c>
      <c r="Q8039" s="893">
        <f t="shared" si="623"/>
        <v>1</v>
      </c>
      <c r="R8039" s="894">
        <f t="shared" si="624"/>
        <v>0</v>
      </c>
    </row>
    <row r="8040" spans="1:18" s="847" customFormat="1" ht="31.5">
      <c r="A8040" s="905"/>
      <c r="B8040" s="914" t="s">
        <v>6225</v>
      </c>
      <c r="C8040" s="915"/>
      <c r="D8040" s="915"/>
      <c r="E8040" s="916" t="s">
        <v>6226</v>
      </c>
      <c r="F8040" s="917" t="s">
        <v>6094</v>
      </c>
      <c r="G8040" s="918"/>
      <c r="H8040" s="919"/>
      <c r="I8040" s="920"/>
      <c r="J8040" s="891">
        <f>SUM(J8041:J8046)</f>
        <v>137900</v>
      </c>
      <c r="K8040" s="891"/>
      <c r="L8040" s="891">
        <f>SUM(L8041:L8046)</f>
        <v>3148891.13</v>
      </c>
      <c r="M8040" s="891"/>
      <c r="N8040" s="891">
        <f>SUM(N8041:N8046)</f>
        <v>0</v>
      </c>
      <c r="O8040" s="892">
        <f t="shared" si="626"/>
        <v>1</v>
      </c>
      <c r="P8040" s="903">
        <f t="shared" ref="P8040:P8103" si="627">IF(O8040=0,1,0)</f>
        <v>0</v>
      </c>
      <c r="Q8040" s="893">
        <f t="shared" ref="Q8040:Q8103" si="628">IF(P8040=0,0,P8040+Q8041)</f>
        <v>0</v>
      </c>
      <c r="R8040" s="894">
        <f t="shared" ref="R8040:R8103" si="629">IF(Q8040=0,Q8041,0)</f>
        <v>6</v>
      </c>
    </row>
    <row r="8041" spans="1:18" s="904" customFormat="1">
      <c r="A8041" s="895"/>
      <c r="B8041" s="896"/>
      <c r="C8041" s="897"/>
      <c r="D8041" s="897"/>
      <c r="E8041" s="898" t="s">
        <v>108</v>
      </c>
      <c r="F8041" s="899"/>
      <c r="G8041" s="928"/>
      <c r="H8041" s="901"/>
      <c r="I8041" s="902"/>
      <c r="J8041" s="902"/>
      <c r="K8041" s="912" t="s">
        <v>274</v>
      </c>
      <c r="L8041" s="902"/>
      <c r="M8041" s="902"/>
      <c r="N8041" s="902"/>
      <c r="O8041" s="892">
        <f t="shared" si="626"/>
        <v>0</v>
      </c>
      <c r="P8041" s="903">
        <f t="shared" si="627"/>
        <v>1</v>
      </c>
      <c r="Q8041" s="893">
        <f t="shared" si="628"/>
        <v>6</v>
      </c>
      <c r="R8041" s="894">
        <f t="shared" si="629"/>
        <v>0</v>
      </c>
    </row>
    <row r="8042" spans="1:18">
      <c r="A8042" s="905"/>
      <c r="B8042" s="906"/>
      <c r="C8042" s="907">
        <v>44</v>
      </c>
      <c r="D8042" s="907" t="s">
        <v>279</v>
      </c>
      <c r="E8042" s="925" t="s">
        <v>2681</v>
      </c>
      <c r="F8042" s="926" t="s">
        <v>45</v>
      </c>
      <c r="G8042" s="910"/>
      <c r="H8042" s="911">
        <v>4.8</v>
      </c>
      <c r="I8042" s="912">
        <f>VLOOKUP(E8042,[3]VLP!$B$7:$K$300,10,0)</f>
        <v>23000</v>
      </c>
      <c r="J8042" s="912">
        <f>I8042*H8042</f>
        <v>110400</v>
      </c>
      <c r="K8042" s="912" t="s">
        <v>274</v>
      </c>
      <c r="L8042" s="912"/>
      <c r="M8042" s="912"/>
      <c r="N8042" s="912"/>
      <c r="O8042" s="892">
        <f t="shared" si="626"/>
        <v>0</v>
      </c>
      <c r="P8042" s="903">
        <f t="shared" si="627"/>
        <v>1</v>
      </c>
      <c r="Q8042" s="893">
        <f t="shared" si="628"/>
        <v>5</v>
      </c>
      <c r="R8042" s="894">
        <f t="shared" si="629"/>
        <v>0</v>
      </c>
    </row>
    <row r="8043" spans="1:18">
      <c r="A8043" s="905"/>
      <c r="B8043" s="906"/>
      <c r="C8043" s="907">
        <v>66</v>
      </c>
      <c r="D8043" s="907" t="s">
        <v>279</v>
      </c>
      <c r="E8043" s="925" t="s">
        <v>2682</v>
      </c>
      <c r="F8043" s="926" t="s">
        <v>45</v>
      </c>
      <c r="G8043" s="910"/>
      <c r="H8043" s="911">
        <v>0.5</v>
      </c>
      <c r="I8043" s="912">
        <f>VLOOKUP(E8043,[3]VLP!$B$7:$K$300,10,0)</f>
        <v>5000</v>
      </c>
      <c r="J8043" s="912">
        <f>I8043*H8043</f>
        <v>2500</v>
      </c>
      <c r="K8043" s="912" t="s">
        <v>274</v>
      </c>
      <c r="L8043" s="912"/>
      <c r="M8043" s="912"/>
      <c r="N8043" s="912"/>
      <c r="O8043" s="892">
        <f t="shared" si="626"/>
        <v>0</v>
      </c>
      <c r="P8043" s="903">
        <f t="shared" si="627"/>
        <v>1</v>
      </c>
      <c r="Q8043" s="893">
        <f t="shared" si="628"/>
        <v>4</v>
      </c>
      <c r="R8043" s="894">
        <f t="shared" si="629"/>
        <v>0</v>
      </c>
    </row>
    <row r="8044" spans="1:18">
      <c r="A8044" s="905"/>
      <c r="B8044" s="906"/>
      <c r="C8044" s="907">
        <v>699</v>
      </c>
      <c r="D8044" s="907" t="s">
        <v>279</v>
      </c>
      <c r="E8044" s="925" t="s">
        <v>4006</v>
      </c>
      <c r="F8044" s="926" t="s">
        <v>4007</v>
      </c>
      <c r="G8044" s="910"/>
      <c r="H8044" s="911">
        <v>5</v>
      </c>
      <c r="I8044" s="912">
        <f>VLOOKUP(E8044,[3]VLP!$B$7:$K$300,10,0)</f>
        <v>5000</v>
      </c>
      <c r="J8044" s="912">
        <f>I8044*H8044</f>
        <v>25000</v>
      </c>
      <c r="K8044" s="912" t="s">
        <v>274</v>
      </c>
      <c r="L8044" s="912"/>
      <c r="M8044" s="912"/>
      <c r="N8044" s="912"/>
      <c r="O8044" s="892">
        <f t="shared" si="626"/>
        <v>0</v>
      </c>
      <c r="P8044" s="903">
        <f t="shared" si="627"/>
        <v>1</v>
      </c>
      <c r="Q8044" s="893">
        <f t="shared" si="628"/>
        <v>3</v>
      </c>
      <c r="R8044" s="894">
        <f t="shared" si="629"/>
        <v>0</v>
      </c>
    </row>
    <row r="8045" spans="1:18" s="904" customFormat="1">
      <c r="A8045" s="895"/>
      <c r="B8045" s="896"/>
      <c r="C8045" s="897"/>
      <c r="D8045" s="897"/>
      <c r="E8045" s="924" t="s">
        <v>276</v>
      </c>
      <c r="F8045" s="927"/>
      <c r="G8045" s="928"/>
      <c r="H8045" s="901"/>
      <c r="I8045" s="902"/>
      <c r="J8045" s="902"/>
      <c r="K8045" s="912" t="s">
        <v>274</v>
      </c>
      <c r="L8045" s="902"/>
      <c r="M8045" s="902"/>
      <c r="N8045" s="902"/>
      <c r="O8045" s="892">
        <f t="shared" si="626"/>
        <v>0</v>
      </c>
      <c r="P8045" s="903">
        <f t="shared" si="627"/>
        <v>1</v>
      </c>
      <c r="Q8045" s="893">
        <f t="shared" si="628"/>
        <v>2</v>
      </c>
      <c r="R8045" s="894">
        <f t="shared" si="629"/>
        <v>0</v>
      </c>
    </row>
    <row r="8046" spans="1:18">
      <c r="A8046" s="905"/>
      <c r="B8046" s="906"/>
      <c r="C8046" s="907">
        <v>745</v>
      </c>
      <c r="D8046" s="907" t="s">
        <v>12</v>
      </c>
      <c r="E8046" s="908" t="s">
        <v>5518</v>
      </c>
      <c r="F8046" s="909" t="s">
        <v>2674</v>
      </c>
      <c r="G8046" s="910"/>
      <c r="H8046" s="911">
        <v>13.09</v>
      </c>
      <c r="I8046" s="912"/>
      <c r="J8046" s="912"/>
      <c r="K8046" s="912">
        <f>VLOOKUP(E8046,[5]ĐMNC!$A$7:$F$67,4,0)</f>
        <v>240557</v>
      </c>
      <c r="L8046" s="912">
        <f>H8046*K8046</f>
        <v>3148891.13</v>
      </c>
      <c r="M8046" s="912"/>
      <c r="N8046" s="912"/>
      <c r="O8046" s="892">
        <f t="shared" si="626"/>
        <v>0</v>
      </c>
      <c r="P8046" s="903">
        <f t="shared" si="627"/>
        <v>1</v>
      </c>
      <c r="Q8046" s="893">
        <f t="shared" si="628"/>
        <v>1</v>
      </c>
      <c r="R8046" s="894">
        <f t="shared" si="629"/>
        <v>0</v>
      </c>
    </row>
    <row r="8047" spans="1:18" s="847" customFormat="1" ht="31.5">
      <c r="A8047" s="905"/>
      <c r="B8047" s="914" t="s">
        <v>6227</v>
      </c>
      <c r="C8047" s="915"/>
      <c r="D8047" s="915"/>
      <c r="E8047" s="916" t="s">
        <v>6228</v>
      </c>
      <c r="F8047" s="917" t="s">
        <v>6094</v>
      </c>
      <c r="G8047" s="918"/>
      <c r="H8047" s="919"/>
      <c r="I8047" s="920"/>
      <c r="J8047" s="891">
        <f>SUM(J8048:J8053)</f>
        <v>84540</v>
      </c>
      <c r="K8047" s="891"/>
      <c r="L8047" s="891">
        <f>SUM(L8048:L8053)</f>
        <v>2167418.5699999998</v>
      </c>
      <c r="M8047" s="891"/>
      <c r="N8047" s="891">
        <f>SUM(N8048:N8053)</f>
        <v>0</v>
      </c>
      <c r="O8047" s="892">
        <f t="shared" si="626"/>
        <v>1</v>
      </c>
      <c r="P8047" s="903">
        <f t="shared" si="627"/>
        <v>0</v>
      </c>
      <c r="Q8047" s="893">
        <f t="shared" si="628"/>
        <v>0</v>
      </c>
      <c r="R8047" s="894">
        <f t="shared" si="629"/>
        <v>6</v>
      </c>
    </row>
    <row r="8048" spans="1:18" s="904" customFormat="1">
      <c r="A8048" s="895"/>
      <c r="B8048" s="922"/>
      <c r="C8048" s="897"/>
      <c r="D8048" s="897"/>
      <c r="E8048" s="898" t="s">
        <v>108</v>
      </c>
      <c r="F8048" s="899"/>
      <c r="G8048" s="928"/>
      <c r="H8048" s="901"/>
      <c r="I8048" s="902"/>
      <c r="J8048" s="902"/>
      <c r="K8048" s="912" t="s">
        <v>274</v>
      </c>
      <c r="L8048" s="902"/>
      <c r="M8048" s="902"/>
      <c r="N8048" s="902"/>
      <c r="O8048" s="892">
        <f t="shared" si="626"/>
        <v>0</v>
      </c>
      <c r="P8048" s="903">
        <f t="shared" si="627"/>
        <v>1</v>
      </c>
      <c r="Q8048" s="893">
        <f t="shared" si="628"/>
        <v>6</v>
      </c>
      <c r="R8048" s="894">
        <f t="shared" si="629"/>
        <v>0</v>
      </c>
    </row>
    <row r="8049" spans="1:18">
      <c r="A8049" s="905"/>
      <c r="B8049" s="906"/>
      <c r="C8049" s="907">
        <v>44</v>
      </c>
      <c r="D8049" s="907" t="s">
        <v>279</v>
      </c>
      <c r="E8049" s="925" t="s">
        <v>2681</v>
      </c>
      <c r="F8049" s="926" t="s">
        <v>45</v>
      </c>
      <c r="G8049" s="910"/>
      <c r="H8049" s="911">
        <v>2.48</v>
      </c>
      <c r="I8049" s="912">
        <f>VLOOKUP(E8049,[3]VLP!$B$7:$K$300,10,0)</f>
        <v>23000</v>
      </c>
      <c r="J8049" s="912">
        <f>I8049*H8049</f>
        <v>57040</v>
      </c>
      <c r="K8049" s="912" t="s">
        <v>274</v>
      </c>
      <c r="L8049" s="912"/>
      <c r="M8049" s="912"/>
      <c r="N8049" s="912"/>
      <c r="O8049" s="892">
        <f t="shared" si="626"/>
        <v>0</v>
      </c>
      <c r="P8049" s="903">
        <f t="shared" si="627"/>
        <v>1</v>
      </c>
      <c r="Q8049" s="893">
        <f t="shared" si="628"/>
        <v>5</v>
      </c>
      <c r="R8049" s="894">
        <f t="shared" si="629"/>
        <v>0</v>
      </c>
    </row>
    <row r="8050" spans="1:18">
      <c r="A8050" s="905"/>
      <c r="B8050" s="906"/>
      <c r="C8050" s="907">
        <v>66</v>
      </c>
      <c r="D8050" s="907" t="s">
        <v>279</v>
      </c>
      <c r="E8050" s="925" t="s">
        <v>2682</v>
      </c>
      <c r="F8050" s="926" t="s">
        <v>45</v>
      </c>
      <c r="G8050" s="910"/>
      <c r="H8050" s="911">
        <v>0.5</v>
      </c>
      <c r="I8050" s="912">
        <f>VLOOKUP(E8050,[3]VLP!$B$7:$K$300,10,0)</f>
        <v>5000</v>
      </c>
      <c r="J8050" s="912">
        <f>I8050*H8050</f>
        <v>2500</v>
      </c>
      <c r="K8050" s="912" t="s">
        <v>274</v>
      </c>
      <c r="L8050" s="912"/>
      <c r="M8050" s="912"/>
      <c r="N8050" s="912"/>
      <c r="O8050" s="892">
        <f t="shared" si="626"/>
        <v>0</v>
      </c>
      <c r="P8050" s="903">
        <f t="shared" si="627"/>
        <v>1</v>
      </c>
      <c r="Q8050" s="893">
        <f t="shared" si="628"/>
        <v>4</v>
      </c>
      <c r="R8050" s="894">
        <f t="shared" si="629"/>
        <v>0</v>
      </c>
    </row>
    <row r="8051" spans="1:18">
      <c r="A8051" s="905"/>
      <c r="B8051" s="906"/>
      <c r="C8051" s="907">
        <v>699</v>
      </c>
      <c r="D8051" s="907" t="s">
        <v>279</v>
      </c>
      <c r="E8051" s="925" t="s">
        <v>4006</v>
      </c>
      <c r="F8051" s="926" t="s">
        <v>4007</v>
      </c>
      <c r="G8051" s="910"/>
      <c r="H8051" s="911">
        <v>5</v>
      </c>
      <c r="I8051" s="912">
        <f>VLOOKUP(E8051,[3]VLP!$B$7:$K$300,10,0)</f>
        <v>5000</v>
      </c>
      <c r="J8051" s="912">
        <f>I8051*H8051</f>
        <v>25000</v>
      </c>
      <c r="K8051" s="912" t="s">
        <v>274</v>
      </c>
      <c r="L8051" s="912"/>
      <c r="M8051" s="912"/>
      <c r="N8051" s="912"/>
      <c r="O8051" s="892">
        <f t="shared" si="626"/>
        <v>0</v>
      </c>
      <c r="P8051" s="903">
        <f t="shared" si="627"/>
        <v>1</v>
      </c>
      <c r="Q8051" s="893">
        <f t="shared" si="628"/>
        <v>3</v>
      </c>
      <c r="R8051" s="894">
        <f t="shared" si="629"/>
        <v>0</v>
      </c>
    </row>
    <row r="8052" spans="1:18" s="904" customFormat="1">
      <c r="A8052" s="895"/>
      <c r="B8052" s="896"/>
      <c r="C8052" s="897"/>
      <c r="D8052" s="897"/>
      <c r="E8052" s="924" t="s">
        <v>276</v>
      </c>
      <c r="F8052" s="927"/>
      <c r="G8052" s="928"/>
      <c r="H8052" s="901"/>
      <c r="I8052" s="902"/>
      <c r="J8052" s="902"/>
      <c r="K8052" s="912" t="s">
        <v>274</v>
      </c>
      <c r="L8052" s="902"/>
      <c r="M8052" s="902"/>
      <c r="N8052" s="902"/>
      <c r="O8052" s="892">
        <f t="shared" si="626"/>
        <v>0</v>
      </c>
      <c r="P8052" s="903">
        <f t="shared" si="627"/>
        <v>1</v>
      </c>
      <c r="Q8052" s="893">
        <f t="shared" si="628"/>
        <v>2</v>
      </c>
      <c r="R8052" s="894">
        <f t="shared" si="629"/>
        <v>0</v>
      </c>
    </row>
    <row r="8053" spans="1:18">
      <c r="A8053" s="905"/>
      <c r="B8053" s="906"/>
      <c r="C8053" s="907">
        <v>745</v>
      </c>
      <c r="D8053" s="907" t="s">
        <v>12</v>
      </c>
      <c r="E8053" s="908" t="s">
        <v>5518</v>
      </c>
      <c r="F8053" s="909" t="s">
        <v>2674</v>
      </c>
      <c r="G8053" s="910"/>
      <c r="H8053" s="911">
        <v>9.01</v>
      </c>
      <c r="I8053" s="912"/>
      <c r="J8053" s="912"/>
      <c r="K8053" s="912">
        <f>VLOOKUP(E8053,[5]ĐMNC!$A$7:$F$67,4,0)</f>
        <v>240557</v>
      </c>
      <c r="L8053" s="912">
        <f>H8053*K8053</f>
        <v>2167418.5699999998</v>
      </c>
      <c r="M8053" s="912"/>
      <c r="N8053" s="912"/>
      <c r="O8053" s="892">
        <f t="shared" si="626"/>
        <v>0</v>
      </c>
      <c r="P8053" s="903">
        <f t="shared" si="627"/>
        <v>1</v>
      </c>
      <c r="Q8053" s="893">
        <f t="shared" si="628"/>
        <v>1</v>
      </c>
      <c r="R8053" s="894">
        <f t="shared" si="629"/>
        <v>0</v>
      </c>
    </row>
    <row r="8054" spans="1:18" s="847" customFormat="1" ht="31.5">
      <c r="A8054" s="905"/>
      <c r="B8054" s="914" t="s">
        <v>6229</v>
      </c>
      <c r="C8054" s="915"/>
      <c r="D8054" s="915"/>
      <c r="E8054" s="916" t="s">
        <v>6230</v>
      </c>
      <c r="F8054" s="917" t="s">
        <v>6094</v>
      </c>
      <c r="G8054" s="918"/>
      <c r="H8054" s="919"/>
      <c r="I8054" s="920"/>
      <c r="J8054" s="891">
        <f>SUM(J8055:J8060)</f>
        <v>90290</v>
      </c>
      <c r="K8054" s="891"/>
      <c r="L8054" s="891">
        <f>SUM(L8055:L8060)</f>
        <v>2383919.87</v>
      </c>
      <c r="M8054" s="891"/>
      <c r="N8054" s="891">
        <f>SUM(N8055:N8060)</f>
        <v>0</v>
      </c>
      <c r="O8054" s="892">
        <f t="shared" si="626"/>
        <v>1</v>
      </c>
      <c r="P8054" s="903">
        <f t="shared" si="627"/>
        <v>0</v>
      </c>
      <c r="Q8054" s="893">
        <f t="shared" si="628"/>
        <v>0</v>
      </c>
      <c r="R8054" s="894">
        <f t="shared" si="629"/>
        <v>6</v>
      </c>
    </row>
    <row r="8055" spans="1:18" s="904" customFormat="1">
      <c r="A8055" s="895"/>
      <c r="B8055" s="896"/>
      <c r="C8055" s="897"/>
      <c r="D8055" s="897"/>
      <c r="E8055" s="898" t="s">
        <v>108</v>
      </c>
      <c r="F8055" s="899"/>
      <c r="G8055" s="928"/>
      <c r="H8055" s="901"/>
      <c r="I8055" s="902"/>
      <c r="J8055" s="902"/>
      <c r="K8055" s="912" t="s">
        <v>274</v>
      </c>
      <c r="L8055" s="902"/>
      <c r="M8055" s="902"/>
      <c r="N8055" s="902"/>
      <c r="O8055" s="892">
        <f t="shared" si="626"/>
        <v>0</v>
      </c>
      <c r="P8055" s="903">
        <f t="shared" si="627"/>
        <v>1</v>
      </c>
      <c r="Q8055" s="893">
        <f t="shared" si="628"/>
        <v>6</v>
      </c>
      <c r="R8055" s="894">
        <f t="shared" si="629"/>
        <v>0</v>
      </c>
    </row>
    <row r="8056" spans="1:18">
      <c r="A8056" s="905"/>
      <c r="B8056" s="906"/>
      <c r="C8056" s="907">
        <v>44</v>
      </c>
      <c r="D8056" s="907" t="s">
        <v>279</v>
      </c>
      <c r="E8056" s="925" t="s">
        <v>2681</v>
      </c>
      <c r="F8056" s="926" t="s">
        <v>45</v>
      </c>
      <c r="G8056" s="910"/>
      <c r="H8056" s="911">
        <v>2.73</v>
      </c>
      <c r="I8056" s="912">
        <f>VLOOKUP(E8056,[3]VLP!$B$7:$K$300,10,0)</f>
        <v>23000</v>
      </c>
      <c r="J8056" s="912">
        <f>I8056*H8056</f>
        <v>62790</v>
      </c>
      <c r="K8056" s="912" t="s">
        <v>274</v>
      </c>
      <c r="L8056" s="912"/>
      <c r="M8056" s="912"/>
      <c r="N8056" s="912"/>
      <c r="O8056" s="892">
        <f t="shared" si="626"/>
        <v>0</v>
      </c>
      <c r="P8056" s="903">
        <f t="shared" si="627"/>
        <v>1</v>
      </c>
      <c r="Q8056" s="893">
        <f t="shared" si="628"/>
        <v>5</v>
      </c>
      <c r="R8056" s="894">
        <f t="shared" si="629"/>
        <v>0</v>
      </c>
    </row>
    <row r="8057" spans="1:18">
      <c r="A8057" s="905"/>
      <c r="B8057" s="906"/>
      <c r="C8057" s="907">
        <v>66</v>
      </c>
      <c r="D8057" s="907" t="s">
        <v>279</v>
      </c>
      <c r="E8057" s="925" t="s">
        <v>2682</v>
      </c>
      <c r="F8057" s="926" t="s">
        <v>45</v>
      </c>
      <c r="G8057" s="910"/>
      <c r="H8057" s="911">
        <v>0.5</v>
      </c>
      <c r="I8057" s="912">
        <f>VLOOKUP(E8057,[3]VLP!$B$7:$K$300,10,0)</f>
        <v>5000</v>
      </c>
      <c r="J8057" s="912">
        <f>I8057*H8057</f>
        <v>2500</v>
      </c>
      <c r="K8057" s="912" t="s">
        <v>274</v>
      </c>
      <c r="L8057" s="912"/>
      <c r="M8057" s="912"/>
      <c r="N8057" s="912"/>
      <c r="O8057" s="892">
        <f t="shared" si="626"/>
        <v>0</v>
      </c>
      <c r="P8057" s="903">
        <f t="shared" si="627"/>
        <v>1</v>
      </c>
      <c r="Q8057" s="893">
        <f t="shared" si="628"/>
        <v>4</v>
      </c>
      <c r="R8057" s="894">
        <f t="shared" si="629"/>
        <v>0</v>
      </c>
    </row>
    <row r="8058" spans="1:18">
      <c r="A8058" s="905"/>
      <c r="B8058" s="906"/>
      <c r="C8058" s="907">
        <v>699</v>
      </c>
      <c r="D8058" s="907" t="s">
        <v>279</v>
      </c>
      <c r="E8058" s="925" t="s">
        <v>4006</v>
      </c>
      <c r="F8058" s="926" t="s">
        <v>4007</v>
      </c>
      <c r="G8058" s="910"/>
      <c r="H8058" s="911">
        <v>5</v>
      </c>
      <c r="I8058" s="912">
        <f>VLOOKUP(E8058,[3]VLP!$B$7:$K$300,10,0)</f>
        <v>5000</v>
      </c>
      <c r="J8058" s="912">
        <f>I8058*H8058</f>
        <v>25000</v>
      </c>
      <c r="K8058" s="912" t="s">
        <v>274</v>
      </c>
      <c r="L8058" s="912"/>
      <c r="M8058" s="912"/>
      <c r="N8058" s="912"/>
      <c r="O8058" s="892">
        <f t="shared" si="626"/>
        <v>0</v>
      </c>
      <c r="P8058" s="903">
        <f t="shared" si="627"/>
        <v>1</v>
      </c>
      <c r="Q8058" s="893">
        <f t="shared" si="628"/>
        <v>3</v>
      </c>
      <c r="R8058" s="894">
        <f t="shared" si="629"/>
        <v>0</v>
      </c>
    </row>
    <row r="8059" spans="1:18" s="904" customFormat="1">
      <c r="A8059" s="895"/>
      <c r="B8059" s="896"/>
      <c r="C8059" s="897"/>
      <c r="D8059" s="897"/>
      <c r="E8059" s="924" t="s">
        <v>276</v>
      </c>
      <c r="F8059" s="927"/>
      <c r="G8059" s="928"/>
      <c r="H8059" s="901"/>
      <c r="I8059" s="902"/>
      <c r="J8059" s="902"/>
      <c r="K8059" s="912" t="s">
        <v>274</v>
      </c>
      <c r="L8059" s="902"/>
      <c r="M8059" s="902"/>
      <c r="N8059" s="902"/>
      <c r="O8059" s="892">
        <f t="shared" si="626"/>
        <v>0</v>
      </c>
      <c r="P8059" s="903">
        <f t="shared" si="627"/>
        <v>1</v>
      </c>
      <c r="Q8059" s="893">
        <f t="shared" si="628"/>
        <v>2</v>
      </c>
      <c r="R8059" s="894">
        <f t="shared" si="629"/>
        <v>0</v>
      </c>
    </row>
    <row r="8060" spans="1:18">
      <c r="A8060" s="905"/>
      <c r="B8060" s="906"/>
      <c r="C8060" s="907">
        <v>745</v>
      </c>
      <c r="D8060" s="907" t="s">
        <v>12</v>
      </c>
      <c r="E8060" s="908" t="s">
        <v>5518</v>
      </c>
      <c r="F8060" s="909" t="s">
        <v>2674</v>
      </c>
      <c r="G8060" s="910"/>
      <c r="H8060" s="911">
        <v>9.91</v>
      </c>
      <c r="I8060" s="912"/>
      <c r="J8060" s="912"/>
      <c r="K8060" s="912">
        <f>VLOOKUP(E8060,[5]ĐMNC!$A$7:$F$67,4,0)</f>
        <v>240557</v>
      </c>
      <c r="L8060" s="912">
        <f>H8060*K8060</f>
        <v>2383919.87</v>
      </c>
      <c r="M8060" s="912"/>
      <c r="N8060" s="912"/>
      <c r="O8060" s="892">
        <f t="shared" si="626"/>
        <v>0</v>
      </c>
      <c r="P8060" s="903">
        <f t="shared" si="627"/>
        <v>1</v>
      </c>
      <c r="Q8060" s="893">
        <f t="shared" si="628"/>
        <v>1</v>
      </c>
      <c r="R8060" s="894">
        <f t="shared" si="629"/>
        <v>0</v>
      </c>
    </row>
    <row r="8061" spans="1:18" s="847" customFormat="1" ht="31.5">
      <c r="A8061" s="905"/>
      <c r="B8061" s="914" t="s">
        <v>6231</v>
      </c>
      <c r="C8061" s="915"/>
      <c r="D8061" s="915"/>
      <c r="E8061" s="916" t="s">
        <v>6232</v>
      </c>
      <c r="F8061" s="917" t="s">
        <v>6094</v>
      </c>
      <c r="G8061" s="918"/>
      <c r="H8061" s="919"/>
      <c r="I8061" s="920"/>
      <c r="J8061" s="891">
        <f>SUM(J8062:J8067)</f>
        <v>96500</v>
      </c>
      <c r="K8061" s="891"/>
      <c r="L8061" s="891">
        <f>SUM(L8062:L8067)</f>
        <v>2622071.3000000003</v>
      </c>
      <c r="M8061" s="891"/>
      <c r="N8061" s="891">
        <f>SUM(N8062:N8067)</f>
        <v>0</v>
      </c>
      <c r="O8061" s="892">
        <f t="shared" si="626"/>
        <v>1</v>
      </c>
      <c r="P8061" s="903">
        <f t="shared" si="627"/>
        <v>0</v>
      </c>
      <c r="Q8061" s="893">
        <f t="shared" si="628"/>
        <v>0</v>
      </c>
      <c r="R8061" s="894">
        <f t="shared" si="629"/>
        <v>6</v>
      </c>
    </row>
    <row r="8062" spans="1:18" s="904" customFormat="1">
      <c r="A8062" s="895"/>
      <c r="B8062" s="896"/>
      <c r="C8062" s="897"/>
      <c r="D8062" s="897"/>
      <c r="E8062" s="898" t="s">
        <v>108</v>
      </c>
      <c r="F8062" s="899"/>
      <c r="G8062" s="928"/>
      <c r="H8062" s="901"/>
      <c r="I8062" s="902"/>
      <c r="J8062" s="902"/>
      <c r="K8062" s="912" t="s">
        <v>274</v>
      </c>
      <c r="L8062" s="902"/>
      <c r="M8062" s="902"/>
      <c r="N8062" s="902"/>
      <c r="O8062" s="892">
        <f t="shared" si="626"/>
        <v>0</v>
      </c>
      <c r="P8062" s="903">
        <f t="shared" si="627"/>
        <v>1</v>
      </c>
      <c r="Q8062" s="893">
        <f t="shared" si="628"/>
        <v>6</v>
      </c>
      <c r="R8062" s="894">
        <f t="shared" si="629"/>
        <v>0</v>
      </c>
    </row>
    <row r="8063" spans="1:18">
      <c r="A8063" s="905"/>
      <c r="B8063" s="906"/>
      <c r="C8063" s="907">
        <v>44</v>
      </c>
      <c r="D8063" s="907" t="s">
        <v>279</v>
      </c>
      <c r="E8063" s="925" t="s">
        <v>2681</v>
      </c>
      <c r="F8063" s="926" t="s">
        <v>45</v>
      </c>
      <c r="G8063" s="910"/>
      <c r="H8063" s="911">
        <v>3</v>
      </c>
      <c r="I8063" s="912">
        <f>VLOOKUP(E8063,[3]VLP!$B$7:$K$300,10,0)</f>
        <v>23000</v>
      </c>
      <c r="J8063" s="912">
        <f>I8063*H8063</f>
        <v>69000</v>
      </c>
      <c r="K8063" s="912" t="s">
        <v>274</v>
      </c>
      <c r="L8063" s="912"/>
      <c r="M8063" s="912"/>
      <c r="N8063" s="912"/>
      <c r="O8063" s="892">
        <f t="shared" si="626"/>
        <v>0</v>
      </c>
      <c r="P8063" s="903">
        <f t="shared" si="627"/>
        <v>1</v>
      </c>
      <c r="Q8063" s="893">
        <f t="shared" si="628"/>
        <v>5</v>
      </c>
      <c r="R8063" s="894">
        <f t="shared" si="629"/>
        <v>0</v>
      </c>
    </row>
    <row r="8064" spans="1:18">
      <c r="A8064" s="905"/>
      <c r="B8064" s="906"/>
      <c r="C8064" s="907">
        <v>66</v>
      </c>
      <c r="D8064" s="907" t="s">
        <v>279</v>
      </c>
      <c r="E8064" s="925" t="s">
        <v>2682</v>
      </c>
      <c r="F8064" s="926" t="s">
        <v>45</v>
      </c>
      <c r="G8064" s="910"/>
      <c r="H8064" s="911">
        <v>0.5</v>
      </c>
      <c r="I8064" s="912">
        <f>VLOOKUP(E8064,[3]VLP!$B$7:$K$300,10,0)</f>
        <v>5000</v>
      </c>
      <c r="J8064" s="912">
        <f>I8064*H8064</f>
        <v>2500</v>
      </c>
      <c r="K8064" s="912" t="s">
        <v>274</v>
      </c>
      <c r="L8064" s="912"/>
      <c r="M8064" s="912"/>
      <c r="N8064" s="912"/>
      <c r="O8064" s="892">
        <f t="shared" si="626"/>
        <v>0</v>
      </c>
      <c r="P8064" s="903">
        <f t="shared" si="627"/>
        <v>1</v>
      </c>
      <c r="Q8064" s="893">
        <f t="shared" si="628"/>
        <v>4</v>
      </c>
      <c r="R8064" s="894">
        <f t="shared" si="629"/>
        <v>0</v>
      </c>
    </row>
    <row r="8065" spans="1:18">
      <c r="A8065" s="905"/>
      <c r="B8065" s="906"/>
      <c r="C8065" s="907">
        <v>699</v>
      </c>
      <c r="D8065" s="907" t="s">
        <v>279</v>
      </c>
      <c r="E8065" s="925" t="s">
        <v>4006</v>
      </c>
      <c r="F8065" s="926" t="s">
        <v>4007</v>
      </c>
      <c r="G8065" s="910"/>
      <c r="H8065" s="911">
        <v>5</v>
      </c>
      <c r="I8065" s="912">
        <f>VLOOKUP(E8065,[3]VLP!$B$7:$K$300,10,0)</f>
        <v>5000</v>
      </c>
      <c r="J8065" s="912">
        <f>I8065*H8065</f>
        <v>25000</v>
      </c>
      <c r="K8065" s="912" t="s">
        <v>274</v>
      </c>
      <c r="L8065" s="912"/>
      <c r="M8065" s="912"/>
      <c r="N8065" s="912"/>
      <c r="O8065" s="892">
        <f t="shared" si="626"/>
        <v>0</v>
      </c>
      <c r="P8065" s="903">
        <f t="shared" si="627"/>
        <v>1</v>
      </c>
      <c r="Q8065" s="893">
        <f t="shared" si="628"/>
        <v>3</v>
      </c>
      <c r="R8065" s="894">
        <f t="shared" si="629"/>
        <v>0</v>
      </c>
    </row>
    <row r="8066" spans="1:18" s="904" customFormat="1">
      <c r="A8066" s="895"/>
      <c r="B8066" s="896"/>
      <c r="C8066" s="897"/>
      <c r="D8066" s="897"/>
      <c r="E8066" s="924" t="s">
        <v>276</v>
      </c>
      <c r="F8066" s="927"/>
      <c r="G8066" s="928"/>
      <c r="H8066" s="901"/>
      <c r="I8066" s="902"/>
      <c r="J8066" s="902"/>
      <c r="K8066" s="912" t="s">
        <v>274</v>
      </c>
      <c r="L8066" s="902"/>
      <c r="M8066" s="902"/>
      <c r="N8066" s="902"/>
      <c r="O8066" s="892">
        <f t="shared" si="626"/>
        <v>0</v>
      </c>
      <c r="P8066" s="903">
        <f t="shared" si="627"/>
        <v>1</v>
      </c>
      <c r="Q8066" s="893">
        <f t="shared" si="628"/>
        <v>2</v>
      </c>
      <c r="R8066" s="894">
        <f t="shared" si="629"/>
        <v>0</v>
      </c>
    </row>
    <row r="8067" spans="1:18">
      <c r="A8067" s="905"/>
      <c r="B8067" s="906"/>
      <c r="C8067" s="907">
        <v>745</v>
      </c>
      <c r="D8067" s="907" t="s">
        <v>12</v>
      </c>
      <c r="E8067" s="908" t="s">
        <v>5518</v>
      </c>
      <c r="F8067" s="909" t="s">
        <v>2674</v>
      </c>
      <c r="G8067" s="910"/>
      <c r="H8067" s="911">
        <v>10.9</v>
      </c>
      <c r="I8067" s="912"/>
      <c r="J8067" s="912"/>
      <c r="K8067" s="912">
        <f>VLOOKUP(E8067,[5]ĐMNC!$A$7:$F$67,4,0)</f>
        <v>240557</v>
      </c>
      <c r="L8067" s="912">
        <f>H8067*K8067</f>
        <v>2622071.3000000003</v>
      </c>
      <c r="M8067" s="912"/>
      <c r="N8067" s="912"/>
      <c r="O8067" s="892">
        <f t="shared" si="626"/>
        <v>0</v>
      </c>
      <c r="P8067" s="903">
        <f t="shared" si="627"/>
        <v>1</v>
      </c>
      <c r="Q8067" s="893">
        <f t="shared" si="628"/>
        <v>1</v>
      </c>
      <c r="R8067" s="894">
        <f t="shared" si="629"/>
        <v>0</v>
      </c>
    </row>
    <row r="8068" spans="1:18" s="847" customFormat="1" ht="31.5">
      <c r="A8068" s="905"/>
      <c r="B8068" s="914" t="s">
        <v>6233</v>
      </c>
      <c r="C8068" s="915"/>
      <c r="D8068" s="915"/>
      <c r="E8068" s="916" t="s">
        <v>6234</v>
      </c>
      <c r="F8068" s="917" t="s">
        <v>6094</v>
      </c>
      <c r="G8068" s="918"/>
      <c r="H8068" s="919"/>
      <c r="I8068" s="920"/>
      <c r="J8068" s="891">
        <f>SUM(J8069:J8074)</f>
        <v>119500</v>
      </c>
      <c r="K8068" s="891"/>
      <c r="L8068" s="891">
        <f>SUM(L8069:L8074)</f>
        <v>2889089.57</v>
      </c>
      <c r="M8068" s="891"/>
      <c r="N8068" s="891">
        <f>SUM(N8069:N8074)</f>
        <v>0</v>
      </c>
      <c r="O8068" s="892">
        <f t="shared" si="626"/>
        <v>1</v>
      </c>
      <c r="P8068" s="903">
        <f t="shared" si="627"/>
        <v>0</v>
      </c>
      <c r="Q8068" s="893">
        <f t="shared" si="628"/>
        <v>0</v>
      </c>
      <c r="R8068" s="894">
        <f t="shared" si="629"/>
        <v>6</v>
      </c>
    </row>
    <row r="8069" spans="1:18" s="904" customFormat="1">
      <c r="A8069" s="895"/>
      <c r="B8069" s="896"/>
      <c r="C8069" s="897"/>
      <c r="D8069" s="897"/>
      <c r="E8069" s="898" t="s">
        <v>108</v>
      </c>
      <c r="F8069" s="899"/>
      <c r="G8069" s="928"/>
      <c r="H8069" s="901"/>
      <c r="I8069" s="902"/>
      <c r="J8069" s="902"/>
      <c r="K8069" s="912" t="s">
        <v>274</v>
      </c>
      <c r="L8069" s="902"/>
      <c r="M8069" s="902"/>
      <c r="N8069" s="902"/>
      <c r="O8069" s="892">
        <f t="shared" si="626"/>
        <v>0</v>
      </c>
      <c r="P8069" s="903">
        <f t="shared" si="627"/>
        <v>1</v>
      </c>
      <c r="Q8069" s="893">
        <f t="shared" si="628"/>
        <v>6</v>
      </c>
      <c r="R8069" s="894">
        <f t="shared" si="629"/>
        <v>0</v>
      </c>
    </row>
    <row r="8070" spans="1:18">
      <c r="A8070" s="905"/>
      <c r="B8070" s="906"/>
      <c r="C8070" s="907">
        <v>44</v>
      </c>
      <c r="D8070" s="907" t="s">
        <v>279</v>
      </c>
      <c r="E8070" s="925" t="s">
        <v>2681</v>
      </c>
      <c r="F8070" s="926" t="s">
        <v>45</v>
      </c>
      <c r="G8070" s="910"/>
      <c r="H8070" s="911">
        <v>4</v>
      </c>
      <c r="I8070" s="912">
        <f>VLOOKUP(E8070,[3]VLP!$B$7:$K$300,10,0)</f>
        <v>23000</v>
      </c>
      <c r="J8070" s="912">
        <f>I8070*H8070</f>
        <v>92000</v>
      </c>
      <c r="K8070" s="912" t="s">
        <v>274</v>
      </c>
      <c r="L8070" s="912"/>
      <c r="M8070" s="912"/>
      <c r="N8070" s="912"/>
      <c r="O8070" s="892">
        <f t="shared" si="626"/>
        <v>0</v>
      </c>
      <c r="P8070" s="903">
        <f t="shared" si="627"/>
        <v>1</v>
      </c>
      <c r="Q8070" s="893">
        <f t="shared" si="628"/>
        <v>5</v>
      </c>
      <c r="R8070" s="894">
        <f t="shared" si="629"/>
        <v>0</v>
      </c>
    </row>
    <row r="8071" spans="1:18">
      <c r="A8071" s="905"/>
      <c r="B8071" s="906"/>
      <c r="C8071" s="907">
        <v>66</v>
      </c>
      <c r="D8071" s="907" t="s">
        <v>279</v>
      </c>
      <c r="E8071" s="925" t="s">
        <v>2682</v>
      </c>
      <c r="F8071" s="926" t="s">
        <v>45</v>
      </c>
      <c r="G8071" s="910"/>
      <c r="H8071" s="911">
        <v>0.5</v>
      </c>
      <c r="I8071" s="912">
        <f>VLOOKUP(E8071,[3]VLP!$B$7:$K$300,10,0)</f>
        <v>5000</v>
      </c>
      <c r="J8071" s="912">
        <f>I8071*H8071</f>
        <v>2500</v>
      </c>
      <c r="K8071" s="912" t="s">
        <v>274</v>
      </c>
      <c r="L8071" s="912"/>
      <c r="M8071" s="912"/>
      <c r="N8071" s="912"/>
      <c r="O8071" s="892">
        <f t="shared" si="626"/>
        <v>0</v>
      </c>
      <c r="P8071" s="903">
        <f t="shared" si="627"/>
        <v>1</v>
      </c>
      <c r="Q8071" s="893">
        <f t="shared" si="628"/>
        <v>4</v>
      </c>
      <c r="R8071" s="894">
        <f t="shared" si="629"/>
        <v>0</v>
      </c>
    </row>
    <row r="8072" spans="1:18">
      <c r="A8072" s="905"/>
      <c r="B8072" s="906"/>
      <c r="C8072" s="907">
        <v>699</v>
      </c>
      <c r="D8072" s="907" t="s">
        <v>279</v>
      </c>
      <c r="E8072" s="925" t="s">
        <v>4006</v>
      </c>
      <c r="F8072" s="926" t="s">
        <v>4007</v>
      </c>
      <c r="G8072" s="910"/>
      <c r="H8072" s="911">
        <v>5</v>
      </c>
      <c r="I8072" s="912">
        <f>VLOOKUP(E8072,[3]VLP!$B$7:$K$300,10,0)</f>
        <v>5000</v>
      </c>
      <c r="J8072" s="912">
        <f>I8072*H8072</f>
        <v>25000</v>
      </c>
      <c r="K8072" s="912" t="s">
        <v>274</v>
      </c>
      <c r="L8072" s="912"/>
      <c r="M8072" s="912"/>
      <c r="N8072" s="912"/>
      <c r="O8072" s="892">
        <f t="shared" si="626"/>
        <v>0</v>
      </c>
      <c r="P8072" s="903">
        <f t="shared" si="627"/>
        <v>1</v>
      </c>
      <c r="Q8072" s="893">
        <f t="shared" si="628"/>
        <v>3</v>
      </c>
      <c r="R8072" s="894">
        <f t="shared" si="629"/>
        <v>0</v>
      </c>
    </row>
    <row r="8073" spans="1:18" s="904" customFormat="1">
      <c r="A8073" s="895"/>
      <c r="B8073" s="896"/>
      <c r="C8073" s="897"/>
      <c r="D8073" s="897"/>
      <c r="E8073" s="924" t="s">
        <v>276</v>
      </c>
      <c r="F8073" s="927"/>
      <c r="G8073" s="928"/>
      <c r="H8073" s="901"/>
      <c r="I8073" s="902"/>
      <c r="J8073" s="902"/>
      <c r="K8073" s="912" t="s">
        <v>274</v>
      </c>
      <c r="L8073" s="902"/>
      <c r="M8073" s="902"/>
      <c r="N8073" s="902"/>
      <c r="O8073" s="892">
        <f t="shared" si="626"/>
        <v>0</v>
      </c>
      <c r="P8073" s="903">
        <f t="shared" si="627"/>
        <v>1</v>
      </c>
      <c r="Q8073" s="893">
        <f t="shared" si="628"/>
        <v>2</v>
      </c>
      <c r="R8073" s="894">
        <f t="shared" si="629"/>
        <v>0</v>
      </c>
    </row>
    <row r="8074" spans="1:18">
      <c r="A8074" s="905"/>
      <c r="B8074" s="906"/>
      <c r="C8074" s="907">
        <v>745</v>
      </c>
      <c r="D8074" s="907" t="s">
        <v>12</v>
      </c>
      <c r="E8074" s="908" t="s">
        <v>5518</v>
      </c>
      <c r="F8074" s="909" t="s">
        <v>2674</v>
      </c>
      <c r="G8074" s="910"/>
      <c r="H8074" s="911">
        <v>12.01</v>
      </c>
      <c r="I8074" s="912"/>
      <c r="J8074" s="912"/>
      <c r="K8074" s="912">
        <f>VLOOKUP(E8074,[5]ĐMNC!$A$7:$F$67,4,0)</f>
        <v>240557</v>
      </c>
      <c r="L8074" s="912">
        <f>H8074*K8074</f>
        <v>2889089.57</v>
      </c>
      <c r="M8074" s="912"/>
      <c r="N8074" s="912"/>
      <c r="O8074" s="892">
        <f t="shared" si="626"/>
        <v>0</v>
      </c>
      <c r="P8074" s="903">
        <f t="shared" si="627"/>
        <v>1</v>
      </c>
      <c r="Q8074" s="893">
        <f t="shared" si="628"/>
        <v>1</v>
      </c>
      <c r="R8074" s="894">
        <f t="shared" si="629"/>
        <v>0</v>
      </c>
    </row>
    <row r="8075" spans="1:18" s="847" customFormat="1" ht="31.5">
      <c r="A8075" s="905"/>
      <c r="B8075" s="914" t="s">
        <v>6235</v>
      </c>
      <c r="C8075" s="915"/>
      <c r="D8075" s="915"/>
      <c r="E8075" s="916" t="s">
        <v>6236</v>
      </c>
      <c r="F8075" s="917" t="s">
        <v>6094</v>
      </c>
      <c r="G8075" s="918"/>
      <c r="H8075" s="919"/>
      <c r="I8075" s="920"/>
      <c r="J8075" s="891">
        <f>SUM(J8076:J8081)</f>
        <v>119500</v>
      </c>
      <c r="K8075" s="891"/>
      <c r="L8075" s="891">
        <f>SUM(L8076:L8081)</f>
        <v>3156107.84</v>
      </c>
      <c r="M8075" s="891"/>
      <c r="N8075" s="891">
        <f>SUM(N8076:N8081)</f>
        <v>0</v>
      </c>
      <c r="O8075" s="892">
        <f t="shared" si="626"/>
        <v>1</v>
      </c>
      <c r="P8075" s="903">
        <f t="shared" si="627"/>
        <v>0</v>
      </c>
      <c r="Q8075" s="893">
        <f t="shared" si="628"/>
        <v>0</v>
      </c>
      <c r="R8075" s="894">
        <f t="shared" si="629"/>
        <v>6</v>
      </c>
    </row>
    <row r="8076" spans="1:18" s="904" customFormat="1">
      <c r="A8076" s="895"/>
      <c r="B8076" s="896"/>
      <c r="C8076" s="897"/>
      <c r="D8076" s="897"/>
      <c r="E8076" s="898" t="s">
        <v>108</v>
      </c>
      <c r="F8076" s="899"/>
      <c r="G8076" s="928"/>
      <c r="H8076" s="901"/>
      <c r="I8076" s="902"/>
      <c r="J8076" s="902"/>
      <c r="K8076" s="912" t="s">
        <v>274</v>
      </c>
      <c r="L8076" s="902"/>
      <c r="M8076" s="902"/>
      <c r="N8076" s="902"/>
      <c r="O8076" s="892">
        <f t="shared" si="626"/>
        <v>0</v>
      </c>
      <c r="P8076" s="903">
        <f t="shared" si="627"/>
        <v>1</v>
      </c>
      <c r="Q8076" s="893">
        <f t="shared" si="628"/>
        <v>6</v>
      </c>
      <c r="R8076" s="894">
        <f t="shared" si="629"/>
        <v>0</v>
      </c>
    </row>
    <row r="8077" spans="1:18">
      <c r="A8077" s="905"/>
      <c r="B8077" s="906"/>
      <c r="C8077" s="907">
        <v>44</v>
      </c>
      <c r="D8077" s="907" t="s">
        <v>279</v>
      </c>
      <c r="E8077" s="925" t="s">
        <v>2681</v>
      </c>
      <c r="F8077" s="926" t="s">
        <v>45</v>
      </c>
      <c r="G8077" s="910"/>
      <c r="H8077" s="911">
        <v>4</v>
      </c>
      <c r="I8077" s="912">
        <f>VLOOKUP(E8077,[3]VLP!$B$7:$K$300,10,0)</f>
        <v>23000</v>
      </c>
      <c r="J8077" s="912">
        <f>I8077*H8077</f>
        <v>92000</v>
      </c>
      <c r="K8077" s="912" t="s">
        <v>274</v>
      </c>
      <c r="L8077" s="912"/>
      <c r="M8077" s="912"/>
      <c r="N8077" s="912"/>
      <c r="O8077" s="892">
        <f t="shared" si="626"/>
        <v>0</v>
      </c>
      <c r="P8077" s="903">
        <f t="shared" si="627"/>
        <v>1</v>
      </c>
      <c r="Q8077" s="893">
        <f t="shared" si="628"/>
        <v>5</v>
      </c>
      <c r="R8077" s="894">
        <f t="shared" si="629"/>
        <v>0</v>
      </c>
    </row>
    <row r="8078" spans="1:18">
      <c r="A8078" s="905"/>
      <c r="B8078" s="906"/>
      <c r="C8078" s="907">
        <v>66</v>
      </c>
      <c r="D8078" s="907" t="s">
        <v>279</v>
      </c>
      <c r="E8078" s="925" t="s">
        <v>2682</v>
      </c>
      <c r="F8078" s="926" t="s">
        <v>45</v>
      </c>
      <c r="G8078" s="910"/>
      <c r="H8078" s="911">
        <v>0.5</v>
      </c>
      <c r="I8078" s="912">
        <f>VLOOKUP(E8078,[3]VLP!$B$7:$K$300,10,0)</f>
        <v>5000</v>
      </c>
      <c r="J8078" s="912">
        <f>I8078*H8078</f>
        <v>2500</v>
      </c>
      <c r="K8078" s="912" t="s">
        <v>274</v>
      </c>
      <c r="L8078" s="912"/>
      <c r="M8078" s="912"/>
      <c r="N8078" s="912"/>
      <c r="O8078" s="892">
        <f t="shared" si="626"/>
        <v>0</v>
      </c>
      <c r="P8078" s="903">
        <f t="shared" si="627"/>
        <v>1</v>
      </c>
      <c r="Q8078" s="893">
        <f t="shared" si="628"/>
        <v>4</v>
      </c>
      <c r="R8078" s="894">
        <f t="shared" si="629"/>
        <v>0</v>
      </c>
    </row>
    <row r="8079" spans="1:18">
      <c r="A8079" s="905"/>
      <c r="B8079" s="906"/>
      <c r="C8079" s="907">
        <v>699</v>
      </c>
      <c r="D8079" s="907" t="s">
        <v>279</v>
      </c>
      <c r="E8079" s="925" t="s">
        <v>4006</v>
      </c>
      <c r="F8079" s="926" t="s">
        <v>4007</v>
      </c>
      <c r="G8079" s="910"/>
      <c r="H8079" s="911">
        <v>5</v>
      </c>
      <c r="I8079" s="912">
        <f>VLOOKUP(E8079,[3]VLP!$B$7:$K$300,10,0)</f>
        <v>5000</v>
      </c>
      <c r="J8079" s="912">
        <f>I8079*H8079</f>
        <v>25000</v>
      </c>
      <c r="K8079" s="912" t="s">
        <v>274</v>
      </c>
      <c r="L8079" s="912"/>
      <c r="M8079" s="912"/>
      <c r="N8079" s="912"/>
      <c r="O8079" s="892">
        <f t="shared" si="626"/>
        <v>0</v>
      </c>
      <c r="P8079" s="903">
        <f t="shared" si="627"/>
        <v>1</v>
      </c>
      <c r="Q8079" s="893">
        <f t="shared" si="628"/>
        <v>3</v>
      </c>
      <c r="R8079" s="894">
        <f t="shared" si="629"/>
        <v>0</v>
      </c>
    </row>
    <row r="8080" spans="1:18" s="904" customFormat="1">
      <c r="A8080" s="895"/>
      <c r="B8080" s="896"/>
      <c r="C8080" s="897"/>
      <c r="D8080" s="897"/>
      <c r="E8080" s="924" t="s">
        <v>276</v>
      </c>
      <c r="F8080" s="927"/>
      <c r="G8080" s="928"/>
      <c r="H8080" s="901"/>
      <c r="I8080" s="902"/>
      <c r="J8080" s="902"/>
      <c r="K8080" s="912" t="s">
        <v>274</v>
      </c>
      <c r="L8080" s="902"/>
      <c r="M8080" s="902"/>
      <c r="N8080" s="902"/>
      <c r="O8080" s="892">
        <f t="shared" si="626"/>
        <v>0</v>
      </c>
      <c r="P8080" s="903">
        <f t="shared" si="627"/>
        <v>1</v>
      </c>
      <c r="Q8080" s="893">
        <f t="shared" si="628"/>
        <v>2</v>
      </c>
      <c r="R8080" s="894">
        <f t="shared" si="629"/>
        <v>0</v>
      </c>
    </row>
    <row r="8081" spans="1:18">
      <c r="A8081" s="905"/>
      <c r="B8081" s="906"/>
      <c r="C8081" s="907">
        <v>745</v>
      </c>
      <c r="D8081" s="907" t="s">
        <v>12</v>
      </c>
      <c r="E8081" s="908" t="s">
        <v>5518</v>
      </c>
      <c r="F8081" s="909" t="s">
        <v>2674</v>
      </c>
      <c r="G8081" s="910"/>
      <c r="H8081" s="911">
        <v>13.12</v>
      </c>
      <c r="I8081" s="912"/>
      <c r="J8081" s="912"/>
      <c r="K8081" s="912">
        <f>VLOOKUP(E8081,[5]ĐMNC!$A$7:$F$67,4,0)</f>
        <v>240557</v>
      </c>
      <c r="L8081" s="912">
        <f>H8081*K8081</f>
        <v>3156107.84</v>
      </c>
      <c r="M8081" s="912"/>
      <c r="N8081" s="912"/>
      <c r="O8081" s="892">
        <f t="shared" si="626"/>
        <v>0</v>
      </c>
      <c r="P8081" s="903">
        <f t="shared" si="627"/>
        <v>1</v>
      </c>
      <c r="Q8081" s="893">
        <f t="shared" si="628"/>
        <v>1</v>
      </c>
      <c r="R8081" s="894">
        <f t="shared" si="629"/>
        <v>0</v>
      </c>
    </row>
    <row r="8082" spans="1:18" s="847" customFormat="1" ht="31.5">
      <c r="A8082" s="905"/>
      <c r="B8082" s="914" t="s">
        <v>6237</v>
      </c>
      <c r="C8082" s="915"/>
      <c r="D8082" s="915"/>
      <c r="E8082" s="916" t="s">
        <v>6238</v>
      </c>
      <c r="F8082" s="917" t="s">
        <v>6094</v>
      </c>
      <c r="G8082" s="918"/>
      <c r="H8082" s="919"/>
      <c r="I8082" s="920"/>
      <c r="J8082" s="891">
        <f>SUM(J8083:J8088)</f>
        <v>119500</v>
      </c>
      <c r="K8082" s="891"/>
      <c r="L8082" s="891">
        <f>SUM(L8083:L8088)</f>
        <v>3461615.23</v>
      </c>
      <c r="M8082" s="891"/>
      <c r="N8082" s="891">
        <f>SUM(N8083:N8088)</f>
        <v>0</v>
      </c>
      <c r="O8082" s="892">
        <f t="shared" si="626"/>
        <v>1</v>
      </c>
      <c r="P8082" s="903">
        <f t="shared" si="627"/>
        <v>0</v>
      </c>
      <c r="Q8082" s="893">
        <f t="shared" si="628"/>
        <v>0</v>
      </c>
      <c r="R8082" s="894">
        <f t="shared" si="629"/>
        <v>6</v>
      </c>
    </row>
    <row r="8083" spans="1:18" s="904" customFormat="1">
      <c r="A8083" s="895"/>
      <c r="B8083" s="896"/>
      <c r="C8083" s="897"/>
      <c r="D8083" s="897"/>
      <c r="E8083" s="898" t="s">
        <v>108</v>
      </c>
      <c r="F8083" s="899"/>
      <c r="G8083" s="928"/>
      <c r="H8083" s="901"/>
      <c r="I8083" s="902"/>
      <c r="J8083" s="902"/>
      <c r="K8083" s="912" t="s">
        <v>274</v>
      </c>
      <c r="L8083" s="902"/>
      <c r="M8083" s="902"/>
      <c r="N8083" s="902"/>
      <c r="O8083" s="892">
        <f t="shared" si="626"/>
        <v>0</v>
      </c>
      <c r="P8083" s="903">
        <f t="shared" si="627"/>
        <v>1</v>
      </c>
      <c r="Q8083" s="893">
        <f t="shared" si="628"/>
        <v>6</v>
      </c>
      <c r="R8083" s="894">
        <f t="shared" si="629"/>
        <v>0</v>
      </c>
    </row>
    <row r="8084" spans="1:18">
      <c r="A8084" s="905"/>
      <c r="B8084" s="906"/>
      <c r="C8084" s="907">
        <v>44</v>
      </c>
      <c r="D8084" s="907" t="s">
        <v>279</v>
      </c>
      <c r="E8084" s="925" t="s">
        <v>2681</v>
      </c>
      <c r="F8084" s="926" t="s">
        <v>45</v>
      </c>
      <c r="G8084" s="910"/>
      <c r="H8084" s="911">
        <v>4</v>
      </c>
      <c r="I8084" s="912">
        <f>VLOOKUP(E8084,[3]VLP!$B$7:$K$300,10,0)</f>
        <v>23000</v>
      </c>
      <c r="J8084" s="912">
        <f>I8084*H8084</f>
        <v>92000</v>
      </c>
      <c r="K8084" s="912" t="s">
        <v>274</v>
      </c>
      <c r="L8084" s="912"/>
      <c r="M8084" s="912"/>
      <c r="N8084" s="912"/>
      <c r="O8084" s="892">
        <f t="shared" si="626"/>
        <v>0</v>
      </c>
      <c r="P8084" s="903">
        <f t="shared" si="627"/>
        <v>1</v>
      </c>
      <c r="Q8084" s="893">
        <f t="shared" si="628"/>
        <v>5</v>
      </c>
      <c r="R8084" s="894">
        <f t="shared" si="629"/>
        <v>0</v>
      </c>
    </row>
    <row r="8085" spans="1:18">
      <c r="A8085" s="905"/>
      <c r="B8085" s="906"/>
      <c r="C8085" s="907">
        <v>66</v>
      </c>
      <c r="D8085" s="907" t="s">
        <v>279</v>
      </c>
      <c r="E8085" s="925" t="s">
        <v>2682</v>
      </c>
      <c r="F8085" s="926" t="s">
        <v>45</v>
      </c>
      <c r="G8085" s="910"/>
      <c r="H8085" s="911">
        <v>0.5</v>
      </c>
      <c r="I8085" s="912">
        <f>VLOOKUP(E8085,[3]VLP!$B$7:$K$300,10,0)</f>
        <v>5000</v>
      </c>
      <c r="J8085" s="912">
        <f>I8085*H8085</f>
        <v>2500</v>
      </c>
      <c r="K8085" s="912" t="s">
        <v>274</v>
      </c>
      <c r="L8085" s="912"/>
      <c r="M8085" s="912"/>
      <c r="N8085" s="912"/>
      <c r="O8085" s="892">
        <f t="shared" si="626"/>
        <v>0</v>
      </c>
      <c r="P8085" s="903">
        <f t="shared" si="627"/>
        <v>1</v>
      </c>
      <c r="Q8085" s="893">
        <f t="shared" si="628"/>
        <v>4</v>
      </c>
      <c r="R8085" s="894">
        <f t="shared" si="629"/>
        <v>0</v>
      </c>
    </row>
    <row r="8086" spans="1:18">
      <c r="A8086" s="905"/>
      <c r="B8086" s="906"/>
      <c r="C8086" s="907">
        <v>699</v>
      </c>
      <c r="D8086" s="907" t="s">
        <v>279</v>
      </c>
      <c r="E8086" s="925" t="s">
        <v>4006</v>
      </c>
      <c r="F8086" s="926" t="s">
        <v>4007</v>
      </c>
      <c r="G8086" s="910"/>
      <c r="H8086" s="911">
        <v>5</v>
      </c>
      <c r="I8086" s="912">
        <f>VLOOKUP(E8086,[3]VLP!$B$7:$K$300,10,0)</f>
        <v>5000</v>
      </c>
      <c r="J8086" s="912">
        <f>I8086*H8086</f>
        <v>25000</v>
      </c>
      <c r="K8086" s="912" t="s">
        <v>274</v>
      </c>
      <c r="L8086" s="912"/>
      <c r="M8086" s="912"/>
      <c r="N8086" s="912"/>
      <c r="O8086" s="892">
        <f t="shared" si="626"/>
        <v>0</v>
      </c>
      <c r="P8086" s="903">
        <f t="shared" si="627"/>
        <v>1</v>
      </c>
      <c r="Q8086" s="893">
        <f t="shared" si="628"/>
        <v>3</v>
      </c>
      <c r="R8086" s="894">
        <f t="shared" si="629"/>
        <v>0</v>
      </c>
    </row>
    <row r="8087" spans="1:18" s="904" customFormat="1">
      <c r="A8087" s="895"/>
      <c r="B8087" s="896"/>
      <c r="C8087" s="897"/>
      <c r="D8087" s="897"/>
      <c r="E8087" s="924" t="s">
        <v>276</v>
      </c>
      <c r="F8087" s="927"/>
      <c r="G8087" s="928"/>
      <c r="H8087" s="901"/>
      <c r="I8087" s="902"/>
      <c r="J8087" s="902"/>
      <c r="K8087" s="912" t="s">
        <v>274</v>
      </c>
      <c r="L8087" s="902"/>
      <c r="M8087" s="902"/>
      <c r="N8087" s="902"/>
      <c r="O8087" s="892">
        <f t="shared" si="626"/>
        <v>0</v>
      </c>
      <c r="P8087" s="903">
        <f t="shared" si="627"/>
        <v>1</v>
      </c>
      <c r="Q8087" s="893">
        <f t="shared" si="628"/>
        <v>2</v>
      </c>
      <c r="R8087" s="894">
        <f t="shared" si="629"/>
        <v>0</v>
      </c>
    </row>
    <row r="8088" spans="1:18">
      <c r="A8088" s="905"/>
      <c r="B8088" s="906"/>
      <c r="C8088" s="907">
        <v>745</v>
      </c>
      <c r="D8088" s="907" t="s">
        <v>12</v>
      </c>
      <c r="E8088" s="908" t="s">
        <v>5518</v>
      </c>
      <c r="F8088" s="909" t="s">
        <v>2674</v>
      </c>
      <c r="G8088" s="910"/>
      <c r="H8088" s="911">
        <v>14.39</v>
      </c>
      <c r="I8088" s="912"/>
      <c r="J8088" s="912"/>
      <c r="K8088" s="912">
        <f>VLOOKUP(E8088,[5]ĐMNC!$A$7:$F$67,4,0)</f>
        <v>240557</v>
      </c>
      <c r="L8088" s="912">
        <f>H8088*K8088</f>
        <v>3461615.23</v>
      </c>
      <c r="M8088" s="912"/>
      <c r="N8088" s="912"/>
      <c r="O8088" s="892">
        <f t="shared" si="626"/>
        <v>0</v>
      </c>
      <c r="P8088" s="903">
        <f t="shared" si="627"/>
        <v>1</v>
      </c>
      <c r="Q8088" s="893">
        <f t="shared" si="628"/>
        <v>1</v>
      </c>
      <c r="R8088" s="894">
        <f t="shared" si="629"/>
        <v>0</v>
      </c>
    </row>
    <row r="8089" spans="1:18" s="847" customFormat="1" ht="31.5">
      <c r="A8089" s="905"/>
      <c r="B8089" s="914" t="s">
        <v>6239</v>
      </c>
      <c r="C8089" s="915"/>
      <c r="D8089" s="915"/>
      <c r="E8089" s="916" t="s">
        <v>6240</v>
      </c>
      <c r="F8089" s="917" t="s">
        <v>6094</v>
      </c>
      <c r="G8089" s="918"/>
      <c r="H8089" s="919"/>
      <c r="I8089" s="920"/>
      <c r="J8089" s="891">
        <f>SUM(J8090:J8095)</f>
        <v>137900</v>
      </c>
      <c r="K8089" s="891"/>
      <c r="L8089" s="891">
        <f>SUM(L8090:L8095)</f>
        <v>4154419.3899999997</v>
      </c>
      <c r="M8089" s="891"/>
      <c r="N8089" s="891">
        <f>SUM(N8090:N8095)</f>
        <v>0</v>
      </c>
      <c r="O8089" s="892">
        <f t="shared" si="626"/>
        <v>1</v>
      </c>
      <c r="P8089" s="903">
        <f t="shared" si="627"/>
        <v>0</v>
      </c>
      <c r="Q8089" s="893">
        <f t="shared" si="628"/>
        <v>0</v>
      </c>
      <c r="R8089" s="894">
        <f t="shared" si="629"/>
        <v>6</v>
      </c>
    </row>
    <row r="8090" spans="1:18" s="904" customFormat="1">
      <c r="A8090" s="895"/>
      <c r="B8090" s="896"/>
      <c r="C8090" s="897"/>
      <c r="D8090" s="897"/>
      <c r="E8090" s="898" t="s">
        <v>108</v>
      </c>
      <c r="F8090" s="899"/>
      <c r="G8090" s="928"/>
      <c r="H8090" s="901"/>
      <c r="I8090" s="902"/>
      <c r="J8090" s="902"/>
      <c r="K8090" s="912" t="s">
        <v>274</v>
      </c>
      <c r="L8090" s="902"/>
      <c r="M8090" s="902"/>
      <c r="N8090" s="902"/>
      <c r="O8090" s="892">
        <f t="shared" si="626"/>
        <v>0</v>
      </c>
      <c r="P8090" s="903">
        <f t="shared" si="627"/>
        <v>1</v>
      </c>
      <c r="Q8090" s="893">
        <f t="shared" si="628"/>
        <v>6</v>
      </c>
      <c r="R8090" s="894">
        <f t="shared" si="629"/>
        <v>0</v>
      </c>
    </row>
    <row r="8091" spans="1:18">
      <c r="A8091" s="905"/>
      <c r="B8091" s="906"/>
      <c r="C8091" s="907">
        <v>44</v>
      </c>
      <c r="D8091" s="907" t="s">
        <v>279</v>
      </c>
      <c r="E8091" s="925" t="s">
        <v>2681</v>
      </c>
      <c r="F8091" s="926" t="s">
        <v>45</v>
      </c>
      <c r="G8091" s="910"/>
      <c r="H8091" s="911">
        <v>4.8</v>
      </c>
      <c r="I8091" s="912">
        <f>VLOOKUP(E8091,[3]VLP!$B$7:$K$300,10,0)</f>
        <v>23000</v>
      </c>
      <c r="J8091" s="912">
        <f>I8091*H8091</f>
        <v>110400</v>
      </c>
      <c r="K8091" s="912" t="s">
        <v>274</v>
      </c>
      <c r="L8091" s="912"/>
      <c r="M8091" s="912"/>
      <c r="N8091" s="912"/>
      <c r="O8091" s="892">
        <f t="shared" si="626"/>
        <v>0</v>
      </c>
      <c r="P8091" s="903">
        <f t="shared" si="627"/>
        <v>1</v>
      </c>
      <c r="Q8091" s="893">
        <f t="shared" si="628"/>
        <v>5</v>
      </c>
      <c r="R8091" s="894">
        <f t="shared" si="629"/>
        <v>0</v>
      </c>
    </row>
    <row r="8092" spans="1:18">
      <c r="A8092" s="905"/>
      <c r="B8092" s="906"/>
      <c r="C8092" s="907">
        <v>66</v>
      </c>
      <c r="D8092" s="907" t="s">
        <v>279</v>
      </c>
      <c r="E8092" s="925" t="s">
        <v>2682</v>
      </c>
      <c r="F8092" s="926" t="s">
        <v>45</v>
      </c>
      <c r="G8092" s="910"/>
      <c r="H8092" s="911">
        <v>0.5</v>
      </c>
      <c r="I8092" s="912">
        <f>VLOOKUP(E8092,[3]VLP!$B$7:$K$300,10,0)</f>
        <v>5000</v>
      </c>
      <c r="J8092" s="912">
        <f>I8092*H8092</f>
        <v>2500</v>
      </c>
      <c r="K8092" s="912" t="s">
        <v>274</v>
      </c>
      <c r="L8092" s="912"/>
      <c r="M8092" s="912"/>
      <c r="N8092" s="912"/>
      <c r="O8092" s="892">
        <f t="shared" si="626"/>
        <v>0</v>
      </c>
      <c r="P8092" s="903">
        <f t="shared" si="627"/>
        <v>1</v>
      </c>
      <c r="Q8092" s="893">
        <f t="shared" si="628"/>
        <v>4</v>
      </c>
      <c r="R8092" s="894">
        <f t="shared" si="629"/>
        <v>0</v>
      </c>
    </row>
    <row r="8093" spans="1:18">
      <c r="A8093" s="905"/>
      <c r="B8093" s="906"/>
      <c r="C8093" s="907">
        <v>699</v>
      </c>
      <c r="D8093" s="907" t="s">
        <v>279</v>
      </c>
      <c r="E8093" s="925" t="s">
        <v>4006</v>
      </c>
      <c r="F8093" s="926" t="s">
        <v>4007</v>
      </c>
      <c r="G8093" s="910"/>
      <c r="H8093" s="911">
        <v>5</v>
      </c>
      <c r="I8093" s="912">
        <f>VLOOKUP(E8093,[3]VLP!$B$7:$K$300,10,0)</f>
        <v>5000</v>
      </c>
      <c r="J8093" s="912">
        <f>I8093*H8093</f>
        <v>25000</v>
      </c>
      <c r="K8093" s="912" t="s">
        <v>274</v>
      </c>
      <c r="L8093" s="912"/>
      <c r="M8093" s="912"/>
      <c r="N8093" s="912"/>
      <c r="O8093" s="892">
        <f t="shared" si="626"/>
        <v>0</v>
      </c>
      <c r="P8093" s="903">
        <f t="shared" si="627"/>
        <v>1</v>
      </c>
      <c r="Q8093" s="893">
        <f t="shared" si="628"/>
        <v>3</v>
      </c>
      <c r="R8093" s="894">
        <f t="shared" si="629"/>
        <v>0</v>
      </c>
    </row>
    <row r="8094" spans="1:18" s="904" customFormat="1">
      <c r="A8094" s="895"/>
      <c r="B8094" s="896"/>
      <c r="C8094" s="897"/>
      <c r="D8094" s="897"/>
      <c r="E8094" s="924" t="s">
        <v>276</v>
      </c>
      <c r="F8094" s="927"/>
      <c r="G8094" s="928"/>
      <c r="H8094" s="901"/>
      <c r="I8094" s="902"/>
      <c r="J8094" s="902"/>
      <c r="K8094" s="912" t="s">
        <v>274</v>
      </c>
      <c r="L8094" s="902"/>
      <c r="M8094" s="902"/>
      <c r="N8094" s="902"/>
      <c r="O8094" s="892">
        <f t="shared" si="626"/>
        <v>0</v>
      </c>
      <c r="P8094" s="903">
        <f t="shared" si="627"/>
        <v>1</v>
      </c>
      <c r="Q8094" s="893">
        <f t="shared" si="628"/>
        <v>2</v>
      </c>
      <c r="R8094" s="894">
        <f t="shared" si="629"/>
        <v>0</v>
      </c>
    </row>
    <row r="8095" spans="1:18">
      <c r="A8095" s="905"/>
      <c r="B8095" s="906"/>
      <c r="C8095" s="907">
        <v>745</v>
      </c>
      <c r="D8095" s="907" t="s">
        <v>12</v>
      </c>
      <c r="E8095" s="908" t="s">
        <v>5518</v>
      </c>
      <c r="F8095" s="909" t="s">
        <v>2674</v>
      </c>
      <c r="G8095" s="910"/>
      <c r="H8095" s="911">
        <v>17.27</v>
      </c>
      <c r="I8095" s="912"/>
      <c r="J8095" s="912"/>
      <c r="K8095" s="912">
        <f>VLOOKUP(E8095,[5]ĐMNC!$A$7:$F$67,4,0)</f>
        <v>240557</v>
      </c>
      <c r="L8095" s="912">
        <f>H8095*K8095</f>
        <v>4154419.3899999997</v>
      </c>
      <c r="M8095" s="912"/>
      <c r="N8095" s="912"/>
      <c r="O8095" s="892">
        <f t="shared" ref="O8095:O8158" si="630">IF(AND(B8095&lt;&gt;"",D8095=""),1,0)</f>
        <v>0</v>
      </c>
      <c r="P8095" s="903">
        <f t="shared" si="627"/>
        <v>1</v>
      </c>
      <c r="Q8095" s="893">
        <f t="shared" si="628"/>
        <v>1</v>
      </c>
      <c r="R8095" s="894">
        <f t="shared" si="629"/>
        <v>0</v>
      </c>
    </row>
    <row r="8096" spans="1:18" s="847" customFormat="1" ht="35.25" customHeight="1">
      <c r="A8096" s="905" t="s">
        <v>6241</v>
      </c>
      <c r="B8096" s="914" t="s">
        <v>6242</v>
      </c>
      <c r="C8096" s="915"/>
      <c r="D8096" s="915"/>
      <c r="E8096" s="916" t="s">
        <v>6243</v>
      </c>
      <c r="F8096" s="917" t="s">
        <v>6094</v>
      </c>
      <c r="G8096" s="944"/>
      <c r="H8096" s="919"/>
      <c r="I8096" s="920"/>
      <c r="J8096" s="891">
        <f>SUM(J8097:J8110)</f>
        <v>2053464</v>
      </c>
      <c r="K8096" s="891" t="s">
        <v>274</v>
      </c>
      <c r="L8096" s="891">
        <f>SUM(L8097:L8110)</f>
        <v>4010085.1900000004</v>
      </c>
      <c r="M8096" s="891"/>
      <c r="N8096" s="891">
        <f>SUM(N8097:N8110)</f>
        <v>0</v>
      </c>
      <c r="O8096" s="892">
        <f t="shared" si="630"/>
        <v>1</v>
      </c>
      <c r="P8096" s="903">
        <f t="shared" si="627"/>
        <v>0</v>
      </c>
      <c r="Q8096" s="893">
        <f t="shared" si="628"/>
        <v>0</v>
      </c>
      <c r="R8096" s="894">
        <f t="shared" si="629"/>
        <v>14</v>
      </c>
    </row>
    <row r="8097" spans="1:18" s="904" customFormat="1">
      <c r="A8097" s="895"/>
      <c r="B8097" s="922"/>
      <c r="C8097" s="897"/>
      <c r="D8097" s="897"/>
      <c r="E8097" s="898" t="s">
        <v>108</v>
      </c>
      <c r="F8097" s="899"/>
      <c r="G8097" s="928"/>
      <c r="H8097" s="901"/>
      <c r="I8097" s="902"/>
      <c r="J8097" s="902"/>
      <c r="K8097" s="912" t="s">
        <v>274</v>
      </c>
      <c r="L8097" s="902"/>
      <c r="M8097" s="902"/>
      <c r="N8097" s="902"/>
      <c r="O8097" s="892">
        <f t="shared" si="630"/>
        <v>0</v>
      </c>
      <c r="P8097" s="903">
        <f t="shared" si="627"/>
        <v>1</v>
      </c>
      <c r="Q8097" s="893">
        <f t="shared" si="628"/>
        <v>14</v>
      </c>
      <c r="R8097" s="894">
        <f t="shared" si="629"/>
        <v>0</v>
      </c>
    </row>
    <row r="8098" spans="1:18">
      <c r="A8098" s="905"/>
      <c r="B8098" s="906"/>
      <c r="C8098" s="907">
        <v>67</v>
      </c>
      <c r="D8098" s="907" t="s">
        <v>279</v>
      </c>
      <c r="E8098" s="925" t="s">
        <v>6110</v>
      </c>
      <c r="F8098" s="909" t="s">
        <v>2337</v>
      </c>
      <c r="G8098" s="910"/>
      <c r="H8098" s="911">
        <v>1</v>
      </c>
      <c r="I8098" s="912">
        <f>VLOOKUP(E8098,[3]VLP!$B$7:$K$300,10,0)</f>
        <v>16224</v>
      </c>
      <c r="J8098" s="912">
        <f t="shared" ref="J8098:J8108" si="631">I8098*H8098</f>
        <v>16224</v>
      </c>
      <c r="K8098" s="912" t="s">
        <v>274</v>
      </c>
      <c r="L8098" s="912"/>
      <c r="M8098" s="912"/>
      <c r="N8098" s="912"/>
      <c r="O8098" s="892">
        <f t="shared" si="630"/>
        <v>0</v>
      </c>
      <c r="P8098" s="903">
        <f t="shared" si="627"/>
        <v>1</v>
      </c>
      <c r="Q8098" s="893">
        <f t="shared" si="628"/>
        <v>13</v>
      </c>
      <c r="R8098" s="894">
        <f t="shared" si="629"/>
        <v>0</v>
      </c>
    </row>
    <row r="8099" spans="1:18">
      <c r="A8099" s="905"/>
      <c r="B8099" s="906"/>
      <c r="C8099" s="907">
        <v>24</v>
      </c>
      <c r="D8099" s="907" t="s">
        <v>279</v>
      </c>
      <c r="E8099" s="925" t="s">
        <v>2691</v>
      </c>
      <c r="F8099" s="926" t="s">
        <v>2690</v>
      </c>
      <c r="G8099" s="910"/>
      <c r="H8099" s="911">
        <v>7.5</v>
      </c>
      <c r="I8099" s="912">
        <f>VLOOKUP(E8099,[3]VLP!$B$7:$K$300,10,0)</f>
        <v>6000</v>
      </c>
      <c r="J8099" s="912">
        <f t="shared" si="631"/>
        <v>45000</v>
      </c>
      <c r="K8099" s="912" t="s">
        <v>274</v>
      </c>
      <c r="L8099" s="912"/>
      <c r="M8099" s="912"/>
      <c r="N8099" s="912"/>
      <c r="O8099" s="892">
        <f t="shared" si="630"/>
        <v>0</v>
      </c>
      <c r="P8099" s="903">
        <f t="shared" si="627"/>
        <v>1</v>
      </c>
      <c r="Q8099" s="893">
        <f t="shared" si="628"/>
        <v>12</v>
      </c>
      <c r="R8099" s="894">
        <f t="shared" si="629"/>
        <v>0</v>
      </c>
    </row>
    <row r="8100" spans="1:18">
      <c r="A8100" s="905"/>
      <c r="B8100" s="906"/>
      <c r="C8100" s="907">
        <v>122</v>
      </c>
      <c r="D8100" s="907" t="s">
        <v>279</v>
      </c>
      <c r="E8100" s="925" t="s">
        <v>3267</v>
      </c>
      <c r="F8100" s="909" t="s">
        <v>45</v>
      </c>
      <c r="G8100" s="910"/>
      <c r="H8100" s="911">
        <v>6</v>
      </c>
      <c r="I8100" s="912">
        <f>VLOOKUP(E8100,[3]VLP!$B$7:$K$300,10,0)</f>
        <v>30000</v>
      </c>
      <c r="J8100" s="912">
        <f t="shared" si="631"/>
        <v>180000</v>
      </c>
      <c r="K8100" s="912" t="s">
        <v>274</v>
      </c>
      <c r="L8100" s="912"/>
      <c r="M8100" s="912"/>
      <c r="N8100" s="912"/>
      <c r="O8100" s="892">
        <f t="shared" si="630"/>
        <v>0</v>
      </c>
      <c r="P8100" s="903">
        <f t="shared" si="627"/>
        <v>1</v>
      </c>
      <c r="Q8100" s="893">
        <f t="shared" si="628"/>
        <v>11</v>
      </c>
      <c r="R8100" s="894">
        <f t="shared" si="629"/>
        <v>0</v>
      </c>
    </row>
    <row r="8101" spans="1:18">
      <c r="A8101" s="905"/>
      <c r="B8101" s="906"/>
      <c r="C8101" s="907">
        <v>93</v>
      </c>
      <c r="D8101" s="907" t="s">
        <v>279</v>
      </c>
      <c r="E8101" s="925" t="s">
        <v>6111</v>
      </c>
      <c r="F8101" s="909" t="s">
        <v>45</v>
      </c>
      <c r="G8101" s="910"/>
      <c r="H8101" s="911">
        <v>0.6</v>
      </c>
      <c r="I8101" s="912">
        <f>VLOOKUP(E8101,[3]VLP!$B$7:$K$300,10,0)</f>
        <v>42000</v>
      </c>
      <c r="J8101" s="912">
        <f t="shared" si="631"/>
        <v>25200</v>
      </c>
      <c r="K8101" s="912" t="s">
        <v>274</v>
      </c>
      <c r="L8101" s="912"/>
      <c r="M8101" s="912"/>
      <c r="N8101" s="912"/>
      <c r="O8101" s="892">
        <f t="shared" si="630"/>
        <v>0</v>
      </c>
      <c r="P8101" s="903">
        <f t="shared" si="627"/>
        <v>1</v>
      </c>
      <c r="Q8101" s="893">
        <f t="shared" si="628"/>
        <v>10</v>
      </c>
      <c r="R8101" s="894">
        <f t="shared" si="629"/>
        <v>0</v>
      </c>
    </row>
    <row r="8102" spans="1:18">
      <c r="A8102" s="905"/>
      <c r="B8102" s="906"/>
      <c r="C8102" s="907">
        <v>89</v>
      </c>
      <c r="D8102" s="907" t="s">
        <v>279</v>
      </c>
      <c r="E8102" s="925" t="s">
        <v>5984</v>
      </c>
      <c r="F8102" s="909" t="s">
        <v>45</v>
      </c>
      <c r="G8102" s="910"/>
      <c r="H8102" s="911">
        <v>0.9</v>
      </c>
      <c r="I8102" s="912">
        <f>VLOOKUP(E8102,[3]VLP!$B$7:$K$300,10,0)</f>
        <v>1000</v>
      </c>
      <c r="J8102" s="912">
        <f t="shared" si="631"/>
        <v>900</v>
      </c>
      <c r="K8102" s="912" t="s">
        <v>274</v>
      </c>
      <c r="L8102" s="912"/>
      <c r="M8102" s="912"/>
      <c r="N8102" s="912"/>
      <c r="O8102" s="892">
        <f t="shared" si="630"/>
        <v>0</v>
      </c>
      <c r="P8102" s="903">
        <f t="shared" si="627"/>
        <v>1</v>
      </c>
      <c r="Q8102" s="893">
        <f t="shared" si="628"/>
        <v>9</v>
      </c>
      <c r="R8102" s="894">
        <f t="shared" si="629"/>
        <v>0</v>
      </c>
    </row>
    <row r="8103" spans="1:18">
      <c r="A8103" s="905"/>
      <c r="B8103" s="906"/>
      <c r="C8103" s="907">
        <v>47</v>
      </c>
      <c r="D8103" s="907" t="s">
        <v>279</v>
      </c>
      <c r="E8103" s="925" t="s">
        <v>3170</v>
      </c>
      <c r="F8103" s="909" t="s">
        <v>45</v>
      </c>
      <c r="G8103" s="910"/>
      <c r="H8103" s="911">
        <v>30</v>
      </c>
      <c r="I8103" s="912">
        <f>VLOOKUP(E8103,[3]VLP!$B$7:$K$300,10,0)</f>
        <v>1000</v>
      </c>
      <c r="J8103" s="912">
        <f t="shared" si="631"/>
        <v>30000</v>
      </c>
      <c r="K8103" s="912" t="s">
        <v>274</v>
      </c>
      <c r="L8103" s="912"/>
      <c r="M8103" s="912"/>
      <c r="N8103" s="912"/>
      <c r="O8103" s="892">
        <f t="shared" si="630"/>
        <v>0</v>
      </c>
      <c r="P8103" s="903">
        <f t="shared" si="627"/>
        <v>1</v>
      </c>
      <c r="Q8103" s="893">
        <f t="shared" si="628"/>
        <v>8</v>
      </c>
      <c r="R8103" s="894">
        <f t="shared" si="629"/>
        <v>0</v>
      </c>
    </row>
    <row r="8104" spans="1:18">
      <c r="A8104" s="905"/>
      <c r="B8104" s="906"/>
      <c r="C8104" s="907">
        <v>44</v>
      </c>
      <c r="D8104" s="907" t="s">
        <v>279</v>
      </c>
      <c r="E8104" s="925" t="s">
        <v>2681</v>
      </c>
      <c r="F8104" s="926" t="s">
        <v>45</v>
      </c>
      <c r="G8104" s="910"/>
      <c r="H8104" s="911">
        <v>32</v>
      </c>
      <c r="I8104" s="912">
        <f>VLOOKUP(E8104,[3]VLP!$B$7:$K$300,10,0)</f>
        <v>23000</v>
      </c>
      <c r="J8104" s="912">
        <f t="shared" si="631"/>
        <v>736000</v>
      </c>
      <c r="K8104" s="912" t="s">
        <v>274</v>
      </c>
      <c r="L8104" s="912"/>
      <c r="M8104" s="912"/>
      <c r="N8104" s="912"/>
      <c r="O8104" s="892">
        <f t="shared" si="630"/>
        <v>0</v>
      </c>
      <c r="P8104" s="903">
        <f t="shared" ref="P8104:P8167" si="632">IF(O8104=0,1,0)</f>
        <v>1</v>
      </c>
      <c r="Q8104" s="893">
        <f t="shared" ref="Q8104:Q8167" si="633">IF(P8104=0,0,P8104+Q8105)</f>
        <v>7</v>
      </c>
      <c r="R8104" s="894">
        <f t="shared" ref="R8104:R8167" si="634">IF(Q8104=0,Q8105,0)</f>
        <v>0</v>
      </c>
    </row>
    <row r="8105" spans="1:18">
      <c r="A8105" s="905"/>
      <c r="B8105" s="906"/>
      <c r="C8105" s="907">
        <v>66</v>
      </c>
      <c r="D8105" s="907" t="s">
        <v>279</v>
      </c>
      <c r="E8105" s="925" t="s">
        <v>2682</v>
      </c>
      <c r="F8105" s="926" t="s">
        <v>45</v>
      </c>
      <c r="G8105" s="910"/>
      <c r="H8105" s="911">
        <v>1.5</v>
      </c>
      <c r="I8105" s="912">
        <f>VLOOKUP(E8105,[3]VLP!$B$7:$K$300,10,0)</f>
        <v>5000</v>
      </c>
      <c r="J8105" s="912">
        <f t="shared" si="631"/>
        <v>7500</v>
      </c>
      <c r="K8105" s="912" t="s">
        <v>274</v>
      </c>
      <c r="L8105" s="912"/>
      <c r="M8105" s="912"/>
      <c r="N8105" s="912"/>
      <c r="O8105" s="892">
        <f t="shared" si="630"/>
        <v>0</v>
      </c>
      <c r="P8105" s="903">
        <f t="shared" si="632"/>
        <v>1</v>
      </c>
      <c r="Q8105" s="893">
        <f t="shared" si="633"/>
        <v>6</v>
      </c>
      <c r="R8105" s="894">
        <f t="shared" si="634"/>
        <v>0</v>
      </c>
    </row>
    <row r="8106" spans="1:18">
      <c r="A8106" s="905"/>
      <c r="B8106" s="906"/>
      <c r="C8106" s="907">
        <v>46</v>
      </c>
      <c r="D8106" s="907" t="s">
        <v>279</v>
      </c>
      <c r="E8106" s="925" t="s">
        <v>3179</v>
      </c>
      <c r="F8106" s="926" t="s">
        <v>45</v>
      </c>
      <c r="G8106" s="910"/>
      <c r="H8106" s="911">
        <v>40</v>
      </c>
      <c r="I8106" s="912">
        <f>VLOOKUP(E8106,[3]VLP!$B$7:$K$300,10,0)</f>
        <v>20500</v>
      </c>
      <c r="J8106" s="912">
        <f t="shared" si="631"/>
        <v>820000</v>
      </c>
      <c r="K8106" s="912" t="s">
        <v>274</v>
      </c>
      <c r="L8106" s="912"/>
      <c r="M8106" s="912"/>
      <c r="N8106" s="912"/>
      <c r="O8106" s="892">
        <f t="shared" si="630"/>
        <v>0</v>
      </c>
      <c r="P8106" s="903">
        <f t="shared" si="632"/>
        <v>1</v>
      </c>
      <c r="Q8106" s="893">
        <f t="shared" si="633"/>
        <v>5</v>
      </c>
      <c r="R8106" s="894">
        <f t="shared" si="634"/>
        <v>0</v>
      </c>
    </row>
    <row r="8107" spans="1:18">
      <c r="A8107" s="905"/>
      <c r="B8107" s="906"/>
      <c r="C8107" s="907">
        <v>58</v>
      </c>
      <c r="D8107" s="907" t="s">
        <v>279</v>
      </c>
      <c r="E8107" s="925" t="s">
        <v>3190</v>
      </c>
      <c r="F8107" s="926" t="s">
        <v>45</v>
      </c>
      <c r="G8107" s="910"/>
      <c r="H8107" s="911">
        <v>6</v>
      </c>
      <c r="I8107" s="912">
        <f>VLOOKUP(E8107,[3]VLP!$B$7:$K$300,10,0)</f>
        <v>27940</v>
      </c>
      <c r="J8107" s="912">
        <f t="shared" si="631"/>
        <v>167640</v>
      </c>
      <c r="K8107" s="912" t="s">
        <v>274</v>
      </c>
      <c r="L8107" s="912"/>
      <c r="M8107" s="912"/>
      <c r="N8107" s="912"/>
      <c r="O8107" s="892">
        <f t="shared" si="630"/>
        <v>0</v>
      </c>
      <c r="P8107" s="903">
        <f t="shared" si="632"/>
        <v>1</v>
      </c>
      <c r="Q8107" s="893">
        <f t="shared" si="633"/>
        <v>4</v>
      </c>
      <c r="R8107" s="894">
        <f t="shared" si="634"/>
        <v>0</v>
      </c>
    </row>
    <row r="8108" spans="1:18">
      <c r="A8108" s="905"/>
      <c r="B8108" s="906"/>
      <c r="C8108" s="907">
        <v>699</v>
      </c>
      <c r="D8108" s="907" t="s">
        <v>279</v>
      </c>
      <c r="E8108" s="925" t="s">
        <v>4006</v>
      </c>
      <c r="F8108" s="926" t="s">
        <v>4007</v>
      </c>
      <c r="G8108" s="910"/>
      <c r="H8108" s="911">
        <v>5</v>
      </c>
      <c r="I8108" s="912">
        <f>VLOOKUP(E8108,[3]VLP!$B$7:$K$300,10,0)</f>
        <v>5000</v>
      </c>
      <c r="J8108" s="912">
        <f t="shared" si="631"/>
        <v>25000</v>
      </c>
      <c r="K8108" s="912" t="s">
        <v>274</v>
      </c>
      <c r="L8108" s="912"/>
      <c r="M8108" s="912"/>
      <c r="N8108" s="912"/>
      <c r="O8108" s="892">
        <f t="shared" si="630"/>
        <v>0</v>
      </c>
      <c r="P8108" s="903">
        <f t="shared" si="632"/>
        <v>1</v>
      </c>
      <c r="Q8108" s="893">
        <f t="shared" si="633"/>
        <v>3</v>
      </c>
      <c r="R8108" s="894">
        <f t="shared" si="634"/>
        <v>0</v>
      </c>
    </row>
    <row r="8109" spans="1:18" s="904" customFormat="1">
      <c r="A8109" s="895"/>
      <c r="B8109" s="896"/>
      <c r="C8109" s="897"/>
      <c r="D8109" s="897"/>
      <c r="E8109" s="924" t="s">
        <v>276</v>
      </c>
      <c r="F8109" s="927"/>
      <c r="G8109" s="928"/>
      <c r="H8109" s="901"/>
      <c r="I8109" s="902"/>
      <c r="J8109" s="902"/>
      <c r="K8109" s="912" t="s">
        <v>274</v>
      </c>
      <c r="L8109" s="902"/>
      <c r="M8109" s="902"/>
      <c r="N8109" s="902"/>
      <c r="O8109" s="892">
        <f t="shared" si="630"/>
        <v>0</v>
      </c>
      <c r="P8109" s="903">
        <f t="shared" si="632"/>
        <v>1</v>
      </c>
      <c r="Q8109" s="893">
        <f t="shared" si="633"/>
        <v>2</v>
      </c>
      <c r="R8109" s="894">
        <f t="shared" si="634"/>
        <v>0</v>
      </c>
    </row>
    <row r="8110" spans="1:18">
      <c r="A8110" s="905"/>
      <c r="B8110" s="906"/>
      <c r="C8110" s="907">
        <v>745</v>
      </c>
      <c r="D8110" s="907" t="s">
        <v>12</v>
      </c>
      <c r="E8110" s="908" t="s">
        <v>5518</v>
      </c>
      <c r="F8110" s="909" t="s">
        <v>2674</v>
      </c>
      <c r="G8110" s="910"/>
      <c r="H8110" s="911">
        <v>16.670000000000002</v>
      </c>
      <c r="I8110" s="912"/>
      <c r="J8110" s="912"/>
      <c r="K8110" s="912">
        <f>VLOOKUP(E8110,[5]ĐMNC!$A$7:$F$67,4,0)</f>
        <v>240557</v>
      </c>
      <c r="L8110" s="912">
        <f>H8110*K8110</f>
        <v>4010085.1900000004</v>
      </c>
      <c r="M8110" s="912"/>
      <c r="N8110" s="912"/>
      <c r="O8110" s="892">
        <f t="shared" si="630"/>
        <v>0</v>
      </c>
      <c r="P8110" s="903">
        <f t="shared" si="632"/>
        <v>1</v>
      </c>
      <c r="Q8110" s="893">
        <f t="shared" si="633"/>
        <v>1</v>
      </c>
      <c r="R8110" s="894">
        <f t="shared" si="634"/>
        <v>0</v>
      </c>
    </row>
    <row r="8111" spans="1:18" s="847" customFormat="1" ht="35.25" customHeight="1">
      <c r="A8111" s="905"/>
      <c r="B8111" s="914" t="s">
        <v>6244</v>
      </c>
      <c r="C8111" s="915"/>
      <c r="D8111" s="915"/>
      <c r="E8111" s="916" t="s">
        <v>6245</v>
      </c>
      <c r="F8111" s="917" t="s">
        <v>6094</v>
      </c>
      <c r="G8111" s="944"/>
      <c r="H8111" s="919"/>
      <c r="I8111" s="920"/>
      <c r="J8111" s="891">
        <f>SUM(J8112:J8125)</f>
        <v>2057520</v>
      </c>
      <c r="K8111" s="891" t="s">
        <v>274</v>
      </c>
      <c r="L8111" s="891">
        <f>SUM(L8112:L8125)</f>
        <v>4356487.2699999996</v>
      </c>
      <c r="M8111" s="891"/>
      <c r="N8111" s="891">
        <f>SUM(N8112:N8125)</f>
        <v>0</v>
      </c>
      <c r="O8111" s="892">
        <f t="shared" si="630"/>
        <v>1</v>
      </c>
      <c r="P8111" s="903">
        <f t="shared" si="632"/>
        <v>0</v>
      </c>
      <c r="Q8111" s="893">
        <f t="shared" si="633"/>
        <v>0</v>
      </c>
      <c r="R8111" s="894">
        <f t="shared" si="634"/>
        <v>14</v>
      </c>
    </row>
    <row r="8112" spans="1:18" s="904" customFormat="1">
      <c r="A8112" s="895"/>
      <c r="B8112" s="896"/>
      <c r="C8112" s="897"/>
      <c r="D8112" s="897"/>
      <c r="E8112" s="898" t="s">
        <v>108</v>
      </c>
      <c r="F8112" s="899"/>
      <c r="G8112" s="928"/>
      <c r="H8112" s="901"/>
      <c r="I8112" s="902"/>
      <c r="J8112" s="902"/>
      <c r="K8112" s="912" t="s">
        <v>274</v>
      </c>
      <c r="L8112" s="902"/>
      <c r="M8112" s="902"/>
      <c r="N8112" s="902"/>
      <c r="O8112" s="892">
        <f t="shared" si="630"/>
        <v>0</v>
      </c>
      <c r="P8112" s="903">
        <f t="shared" si="632"/>
        <v>1</v>
      </c>
      <c r="Q8112" s="893">
        <f t="shared" si="633"/>
        <v>14</v>
      </c>
      <c r="R8112" s="894">
        <f t="shared" si="634"/>
        <v>0</v>
      </c>
    </row>
    <row r="8113" spans="1:18">
      <c r="A8113" s="905"/>
      <c r="B8113" s="906"/>
      <c r="C8113" s="907">
        <v>68</v>
      </c>
      <c r="D8113" s="907" t="s">
        <v>279</v>
      </c>
      <c r="E8113" s="925" t="s">
        <v>6114</v>
      </c>
      <c r="F8113" s="909" t="s">
        <v>2337</v>
      </c>
      <c r="G8113" s="910"/>
      <c r="H8113" s="911">
        <v>1</v>
      </c>
      <c r="I8113" s="912">
        <f>VLOOKUP(E8113,[3]VLP!$B$7:$K$300,10,0)</f>
        <v>20280</v>
      </c>
      <c r="J8113" s="912">
        <f t="shared" ref="J8113:J8123" si="635">I8113*H8113</f>
        <v>20280</v>
      </c>
      <c r="K8113" s="912" t="s">
        <v>274</v>
      </c>
      <c r="L8113" s="912"/>
      <c r="M8113" s="912"/>
      <c r="N8113" s="912"/>
      <c r="O8113" s="892">
        <f t="shared" si="630"/>
        <v>0</v>
      </c>
      <c r="P8113" s="903">
        <f t="shared" si="632"/>
        <v>1</v>
      </c>
      <c r="Q8113" s="893">
        <f t="shared" si="633"/>
        <v>13</v>
      </c>
      <c r="R8113" s="894">
        <f t="shared" si="634"/>
        <v>0</v>
      </c>
    </row>
    <row r="8114" spans="1:18">
      <c r="A8114" s="905"/>
      <c r="B8114" s="906"/>
      <c r="C8114" s="907">
        <v>24</v>
      </c>
      <c r="D8114" s="907" t="s">
        <v>279</v>
      </c>
      <c r="E8114" s="925" t="s">
        <v>2691</v>
      </c>
      <c r="F8114" s="926" t="s">
        <v>2690</v>
      </c>
      <c r="G8114" s="910"/>
      <c r="H8114" s="911">
        <v>7.5</v>
      </c>
      <c r="I8114" s="912">
        <f>VLOOKUP(E8114,[3]VLP!$B$7:$K$300,10,0)</f>
        <v>6000</v>
      </c>
      <c r="J8114" s="912">
        <f t="shared" si="635"/>
        <v>45000</v>
      </c>
      <c r="K8114" s="912" t="s">
        <v>274</v>
      </c>
      <c r="L8114" s="912"/>
      <c r="M8114" s="912"/>
      <c r="N8114" s="912"/>
      <c r="O8114" s="892">
        <f t="shared" si="630"/>
        <v>0</v>
      </c>
      <c r="P8114" s="903">
        <f t="shared" si="632"/>
        <v>1</v>
      </c>
      <c r="Q8114" s="893">
        <f t="shared" si="633"/>
        <v>12</v>
      </c>
      <c r="R8114" s="894">
        <f t="shared" si="634"/>
        <v>0</v>
      </c>
    </row>
    <row r="8115" spans="1:18">
      <c r="A8115" s="905"/>
      <c r="B8115" s="906"/>
      <c r="C8115" s="907">
        <v>122</v>
      </c>
      <c r="D8115" s="907" t="s">
        <v>279</v>
      </c>
      <c r="E8115" s="925" t="s">
        <v>3267</v>
      </c>
      <c r="F8115" s="909" t="s">
        <v>45</v>
      </c>
      <c r="G8115" s="910"/>
      <c r="H8115" s="911">
        <v>6</v>
      </c>
      <c r="I8115" s="912">
        <f>VLOOKUP(E8115,[3]VLP!$B$7:$K$300,10,0)</f>
        <v>30000</v>
      </c>
      <c r="J8115" s="912">
        <f t="shared" si="635"/>
        <v>180000</v>
      </c>
      <c r="K8115" s="912" t="s">
        <v>274</v>
      </c>
      <c r="L8115" s="912"/>
      <c r="M8115" s="912"/>
      <c r="N8115" s="912"/>
      <c r="O8115" s="892">
        <f t="shared" si="630"/>
        <v>0</v>
      </c>
      <c r="P8115" s="903">
        <f t="shared" si="632"/>
        <v>1</v>
      </c>
      <c r="Q8115" s="893">
        <f t="shared" si="633"/>
        <v>11</v>
      </c>
      <c r="R8115" s="894">
        <f t="shared" si="634"/>
        <v>0</v>
      </c>
    </row>
    <row r="8116" spans="1:18">
      <c r="A8116" s="905"/>
      <c r="B8116" s="906"/>
      <c r="C8116" s="907">
        <v>93</v>
      </c>
      <c r="D8116" s="907" t="s">
        <v>279</v>
      </c>
      <c r="E8116" s="925" t="s">
        <v>6111</v>
      </c>
      <c r="F8116" s="909" t="s">
        <v>45</v>
      </c>
      <c r="G8116" s="910"/>
      <c r="H8116" s="911">
        <v>0.6</v>
      </c>
      <c r="I8116" s="912">
        <f>VLOOKUP(E8116,[3]VLP!$B$7:$K$300,10,0)</f>
        <v>42000</v>
      </c>
      <c r="J8116" s="912">
        <f t="shared" si="635"/>
        <v>25200</v>
      </c>
      <c r="K8116" s="912" t="s">
        <v>274</v>
      </c>
      <c r="L8116" s="912"/>
      <c r="M8116" s="912"/>
      <c r="N8116" s="912"/>
      <c r="O8116" s="892">
        <f t="shared" si="630"/>
        <v>0</v>
      </c>
      <c r="P8116" s="903">
        <f t="shared" si="632"/>
        <v>1</v>
      </c>
      <c r="Q8116" s="893">
        <f t="shared" si="633"/>
        <v>10</v>
      </c>
      <c r="R8116" s="894">
        <f t="shared" si="634"/>
        <v>0</v>
      </c>
    </row>
    <row r="8117" spans="1:18">
      <c r="A8117" s="905"/>
      <c r="B8117" s="906"/>
      <c r="C8117" s="907">
        <v>89</v>
      </c>
      <c r="D8117" s="907" t="s">
        <v>279</v>
      </c>
      <c r="E8117" s="925" t="s">
        <v>5984</v>
      </c>
      <c r="F8117" s="909" t="s">
        <v>45</v>
      </c>
      <c r="G8117" s="910"/>
      <c r="H8117" s="911">
        <v>0.9</v>
      </c>
      <c r="I8117" s="912">
        <f>VLOOKUP(E8117,[3]VLP!$B$7:$K$300,10,0)</f>
        <v>1000</v>
      </c>
      <c r="J8117" s="912">
        <f t="shared" si="635"/>
        <v>900</v>
      </c>
      <c r="K8117" s="912" t="s">
        <v>274</v>
      </c>
      <c r="L8117" s="912"/>
      <c r="M8117" s="912"/>
      <c r="N8117" s="912"/>
      <c r="O8117" s="892">
        <f t="shared" si="630"/>
        <v>0</v>
      </c>
      <c r="P8117" s="903">
        <f t="shared" si="632"/>
        <v>1</v>
      </c>
      <c r="Q8117" s="893">
        <f t="shared" si="633"/>
        <v>9</v>
      </c>
      <c r="R8117" s="894">
        <f t="shared" si="634"/>
        <v>0</v>
      </c>
    </row>
    <row r="8118" spans="1:18">
      <c r="A8118" s="905"/>
      <c r="B8118" s="906"/>
      <c r="C8118" s="907">
        <v>47</v>
      </c>
      <c r="D8118" s="907" t="s">
        <v>279</v>
      </c>
      <c r="E8118" s="925" t="s">
        <v>3170</v>
      </c>
      <c r="F8118" s="909" t="s">
        <v>45</v>
      </c>
      <c r="G8118" s="910"/>
      <c r="H8118" s="911">
        <v>30</v>
      </c>
      <c r="I8118" s="912">
        <f>VLOOKUP(E8118,[3]VLP!$B$7:$K$300,10,0)</f>
        <v>1000</v>
      </c>
      <c r="J8118" s="912">
        <f t="shared" si="635"/>
        <v>30000</v>
      </c>
      <c r="K8118" s="912" t="s">
        <v>274</v>
      </c>
      <c r="L8118" s="912"/>
      <c r="M8118" s="912"/>
      <c r="N8118" s="912"/>
      <c r="O8118" s="892">
        <f t="shared" si="630"/>
        <v>0</v>
      </c>
      <c r="P8118" s="903">
        <f t="shared" si="632"/>
        <v>1</v>
      </c>
      <c r="Q8118" s="893">
        <f t="shared" si="633"/>
        <v>8</v>
      </c>
      <c r="R8118" s="894">
        <f t="shared" si="634"/>
        <v>0</v>
      </c>
    </row>
    <row r="8119" spans="1:18">
      <c r="A8119" s="905"/>
      <c r="B8119" s="906"/>
      <c r="C8119" s="907">
        <v>44</v>
      </c>
      <c r="D8119" s="907" t="s">
        <v>279</v>
      </c>
      <c r="E8119" s="925" t="s">
        <v>2681</v>
      </c>
      <c r="F8119" s="926" t="s">
        <v>45</v>
      </c>
      <c r="G8119" s="910"/>
      <c r="H8119" s="911">
        <v>32</v>
      </c>
      <c r="I8119" s="912">
        <f>VLOOKUP(E8119,[3]VLP!$B$7:$K$300,10,0)</f>
        <v>23000</v>
      </c>
      <c r="J8119" s="912">
        <f t="shared" si="635"/>
        <v>736000</v>
      </c>
      <c r="K8119" s="912" t="s">
        <v>274</v>
      </c>
      <c r="L8119" s="912"/>
      <c r="M8119" s="912"/>
      <c r="N8119" s="912"/>
      <c r="O8119" s="892">
        <f t="shared" si="630"/>
        <v>0</v>
      </c>
      <c r="P8119" s="903">
        <f t="shared" si="632"/>
        <v>1</v>
      </c>
      <c r="Q8119" s="893">
        <f t="shared" si="633"/>
        <v>7</v>
      </c>
      <c r="R8119" s="894">
        <f t="shared" si="634"/>
        <v>0</v>
      </c>
    </row>
    <row r="8120" spans="1:18">
      <c r="A8120" s="905"/>
      <c r="B8120" s="906"/>
      <c r="C8120" s="907">
        <v>66</v>
      </c>
      <c r="D8120" s="907" t="s">
        <v>279</v>
      </c>
      <c r="E8120" s="925" t="s">
        <v>2682</v>
      </c>
      <c r="F8120" s="926" t="s">
        <v>45</v>
      </c>
      <c r="G8120" s="910"/>
      <c r="H8120" s="911">
        <v>1.5</v>
      </c>
      <c r="I8120" s="912">
        <f>VLOOKUP(E8120,[3]VLP!$B$7:$K$300,10,0)</f>
        <v>5000</v>
      </c>
      <c r="J8120" s="912">
        <f t="shared" si="635"/>
        <v>7500</v>
      </c>
      <c r="K8120" s="912" t="s">
        <v>274</v>
      </c>
      <c r="L8120" s="912"/>
      <c r="M8120" s="912"/>
      <c r="N8120" s="912"/>
      <c r="O8120" s="892">
        <f t="shared" si="630"/>
        <v>0</v>
      </c>
      <c r="P8120" s="903">
        <f t="shared" si="632"/>
        <v>1</v>
      </c>
      <c r="Q8120" s="893">
        <f t="shared" si="633"/>
        <v>6</v>
      </c>
      <c r="R8120" s="894">
        <f t="shared" si="634"/>
        <v>0</v>
      </c>
    </row>
    <row r="8121" spans="1:18">
      <c r="A8121" s="905"/>
      <c r="B8121" s="906"/>
      <c r="C8121" s="907">
        <v>46</v>
      </c>
      <c r="D8121" s="907" t="s">
        <v>279</v>
      </c>
      <c r="E8121" s="925" t="s">
        <v>3179</v>
      </c>
      <c r="F8121" s="926" t="s">
        <v>45</v>
      </c>
      <c r="G8121" s="910"/>
      <c r="H8121" s="911">
        <v>40</v>
      </c>
      <c r="I8121" s="912">
        <f>VLOOKUP(E8121,[3]VLP!$B$7:$K$300,10,0)</f>
        <v>20500</v>
      </c>
      <c r="J8121" s="912">
        <f t="shared" si="635"/>
        <v>820000</v>
      </c>
      <c r="K8121" s="912" t="s">
        <v>274</v>
      </c>
      <c r="L8121" s="912"/>
      <c r="M8121" s="912"/>
      <c r="N8121" s="912"/>
      <c r="O8121" s="892">
        <f t="shared" si="630"/>
        <v>0</v>
      </c>
      <c r="P8121" s="903">
        <f t="shared" si="632"/>
        <v>1</v>
      </c>
      <c r="Q8121" s="893">
        <f t="shared" si="633"/>
        <v>5</v>
      </c>
      <c r="R8121" s="894">
        <f t="shared" si="634"/>
        <v>0</v>
      </c>
    </row>
    <row r="8122" spans="1:18">
      <c r="A8122" s="905"/>
      <c r="B8122" s="906"/>
      <c r="C8122" s="907">
        <v>58</v>
      </c>
      <c r="D8122" s="907" t="s">
        <v>279</v>
      </c>
      <c r="E8122" s="925" t="s">
        <v>3190</v>
      </c>
      <c r="F8122" s="926" t="s">
        <v>45</v>
      </c>
      <c r="G8122" s="910"/>
      <c r="H8122" s="911">
        <v>6</v>
      </c>
      <c r="I8122" s="912">
        <f>VLOOKUP(E8122,[3]VLP!$B$7:$K$300,10,0)</f>
        <v>27940</v>
      </c>
      <c r="J8122" s="912">
        <f t="shared" si="635"/>
        <v>167640</v>
      </c>
      <c r="K8122" s="912" t="s">
        <v>274</v>
      </c>
      <c r="L8122" s="912"/>
      <c r="M8122" s="912"/>
      <c r="N8122" s="912"/>
      <c r="O8122" s="892">
        <f t="shared" si="630"/>
        <v>0</v>
      </c>
      <c r="P8122" s="903">
        <f t="shared" si="632"/>
        <v>1</v>
      </c>
      <c r="Q8122" s="893">
        <f t="shared" si="633"/>
        <v>4</v>
      </c>
      <c r="R8122" s="894">
        <f t="shared" si="634"/>
        <v>0</v>
      </c>
    </row>
    <row r="8123" spans="1:18">
      <c r="A8123" s="905"/>
      <c r="B8123" s="906"/>
      <c r="C8123" s="907">
        <v>699</v>
      </c>
      <c r="D8123" s="907" t="s">
        <v>279</v>
      </c>
      <c r="E8123" s="925" t="s">
        <v>4006</v>
      </c>
      <c r="F8123" s="926" t="s">
        <v>4007</v>
      </c>
      <c r="G8123" s="910"/>
      <c r="H8123" s="911">
        <v>5</v>
      </c>
      <c r="I8123" s="912">
        <f>VLOOKUP(E8123,[3]VLP!$B$7:$K$300,10,0)</f>
        <v>5000</v>
      </c>
      <c r="J8123" s="912">
        <f t="shared" si="635"/>
        <v>25000</v>
      </c>
      <c r="K8123" s="912" t="s">
        <v>274</v>
      </c>
      <c r="L8123" s="912"/>
      <c r="M8123" s="912"/>
      <c r="N8123" s="912"/>
      <c r="O8123" s="892">
        <f t="shared" si="630"/>
        <v>0</v>
      </c>
      <c r="P8123" s="903">
        <f t="shared" si="632"/>
        <v>1</v>
      </c>
      <c r="Q8123" s="893">
        <f t="shared" si="633"/>
        <v>3</v>
      </c>
      <c r="R8123" s="894">
        <f t="shared" si="634"/>
        <v>0</v>
      </c>
    </row>
    <row r="8124" spans="1:18" s="904" customFormat="1">
      <c r="A8124" s="895"/>
      <c r="B8124" s="896"/>
      <c r="C8124" s="897"/>
      <c r="D8124" s="897"/>
      <c r="E8124" s="924" t="s">
        <v>276</v>
      </c>
      <c r="F8124" s="927"/>
      <c r="G8124" s="928"/>
      <c r="H8124" s="901"/>
      <c r="I8124" s="902"/>
      <c r="J8124" s="902"/>
      <c r="K8124" s="912" t="s">
        <v>274</v>
      </c>
      <c r="L8124" s="902"/>
      <c r="M8124" s="902"/>
      <c r="N8124" s="902"/>
      <c r="O8124" s="892">
        <f t="shared" si="630"/>
        <v>0</v>
      </c>
      <c r="P8124" s="903">
        <f t="shared" si="632"/>
        <v>1</v>
      </c>
      <c r="Q8124" s="893">
        <f t="shared" si="633"/>
        <v>2</v>
      </c>
      <c r="R8124" s="894">
        <f t="shared" si="634"/>
        <v>0</v>
      </c>
    </row>
    <row r="8125" spans="1:18">
      <c r="A8125" s="905"/>
      <c r="B8125" s="906"/>
      <c r="C8125" s="907">
        <v>745</v>
      </c>
      <c r="D8125" s="907" t="s">
        <v>12</v>
      </c>
      <c r="E8125" s="908" t="s">
        <v>5518</v>
      </c>
      <c r="F8125" s="909" t="s">
        <v>2674</v>
      </c>
      <c r="G8125" s="910"/>
      <c r="H8125" s="911">
        <v>18.11</v>
      </c>
      <c r="I8125" s="912"/>
      <c r="J8125" s="912"/>
      <c r="K8125" s="912">
        <f>VLOOKUP(E8125,[5]ĐMNC!$A$7:$F$67,4,0)</f>
        <v>240557</v>
      </c>
      <c r="L8125" s="912">
        <f>H8125*K8125</f>
        <v>4356487.2699999996</v>
      </c>
      <c r="M8125" s="912"/>
      <c r="N8125" s="912"/>
      <c r="O8125" s="892">
        <f t="shared" si="630"/>
        <v>0</v>
      </c>
      <c r="P8125" s="903">
        <f t="shared" si="632"/>
        <v>1</v>
      </c>
      <c r="Q8125" s="893">
        <f t="shared" si="633"/>
        <v>1</v>
      </c>
      <c r="R8125" s="894">
        <f t="shared" si="634"/>
        <v>0</v>
      </c>
    </row>
    <row r="8126" spans="1:18" s="847" customFormat="1" ht="35.25" customHeight="1">
      <c r="A8126" s="905"/>
      <c r="B8126" s="914" t="s">
        <v>6246</v>
      </c>
      <c r="C8126" s="915"/>
      <c r="D8126" s="915"/>
      <c r="E8126" s="916" t="s">
        <v>6247</v>
      </c>
      <c r="F8126" s="917" t="s">
        <v>6094</v>
      </c>
      <c r="G8126" s="944"/>
      <c r="H8126" s="919"/>
      <c r="I8126" s="920"/>
      <c r="J8126" s="891">
        <f>SUM(J8127:J8140)</f>
        <v>2517380</v>
      </c>
      <c r="K8126" s="891" t="s">
        <v>274</v>
      </c>
      <c r="L8126" s="891">
        <f>SUM(L8127:L8140)</f>
        <v>4849629.12</v>
      </c>
      <c r="M8126" s="891"/>
      <c r="N8126" s="891">
        <f>SUM(N8127:N8140)</f>
        <v>0</v>
      </c>
      <c r="O8126" s="892">
        <f t="shared" si="630"/>
        <v>1</v>
      </c>
      <c r="P8126" s="903">
        <f t="shared" si="632"/>
        <v>0</v>
      </c>
      <c r="Q8126" s="893">
        <f t="shared" si="633"/>
        <v>0</v>
      </c>
      <c r="R8126" s="894">
        <f t="shared" si="634"/>
        <v>14</v>
      </c>
    </row>
    <row r="8127" spans="1:18" s="904" customFormat="1">
      <c r="A8127" s="895"/>
      <c r="B8127" s="896"/>
      <c r="C8127" s="897"/>
      <c r="D8127" s="897"/>
      <c r="E8127" s="898" t="s">
        <v>108</v>
      </c>
      <c r="F8127" s="899"/>
      <c r="G8127" s="928"/>
      <c r="H8127" s="901"/>
      <c r="I8127" s="902"/>
      <c r="J8127" s="902"/>
      <c r="K8127" s="912" t="s">
        <v>274</v>
      </c>
      <c r="L8127" s="902"/>
      <c r="M8127" s="902"/>
      <c r="N8127" s="902"/>
      <c r="O8127" s="892">
        <f t="shared" si="630"/>
        <v>0</v>
      </c>
      <c r="P8127" s="903">
        <f t="shared" si="632"/>
        <v>1</v>
      </c>
      <c r="Q8127" s="893">
        <f t="shared" si="633"/>
        <v>14</v>
      </c>
      <c r="R8127" s="894">
        <f t="shared" si="634"/>
        <v>0</v>
      </c>
    </row>
    <row r="8128" spans="1:18">
      <c r="A8128" s="905"/>
      <c r="B8128" s="906"/>
      <c r="C8128" s="907">
        <v>69</v>
      </c>
      <c r="D8128" s="907" t="s">
        <v>279</v>
      </c>
      <c r="E8128" s="925" t="s">
        <v>6117</v>
      </c>
      <c r="F8128" s="909" t="s">
        <v>2337</v>
      </c>
      <c r="G8128" s="910"/>
      <c r="H8128" s="911">
        <v>1</v>
      </c>
      <c r="I8128" s="912">
        <f>VLOOKUP(E8128,[3]VLP!$B$7:$K$300,10,0)</f>
        <v>27040</v>
      </c>
      <c r="J8128" s="912">
        <f t="shared" ref="J8128:J8138" si="636">I8128*H8128</f>
        <v>27040</v>
      </c>
      <c r="K8128" s="912" t="s">
        <v>274</v>
      </c>
      <c r="L8128" s="912"/>
      <c r="M8128" s="912"/>
      <c r="N8128" s="912"/>
      <c r="O8128" s="892">
        <f t="shared" si="630"/>
        <v>0</v>
      </c>
      <c r="P8128" s="903">
        <f t="shared" si="632"/>
        <v>1</v>
      </c>
      <c r="Q8128" s="893">
        <f t="shared" si="633"/>
        <v>13</v>
      </c>
      <c r="R8128" s="894">
        <f t="shared" si="634"/>
        <v>0</v>
      </c>
    </row>
    <row r="8129" spans="1:18">
      <c r="A8129" s="905"/>
      <c r="B8129" s="906"/>
      <c r="C8129" s="907">
        <v>24</v>
      </c>
      <c r="D8129" s="907" t="s">
        <v>279</v>
      </c>
      <c r="E8129" s="925" t="s">
        <v>2691</v>
      </c>
      <c r="F8129" s="926" t="s">
        <v>2690</v>
      </c>
      <c r="G8129" s="910"/>
      <c r="H8129" s="911">
        <v>9</v>
      </c>
      <c r="I8129" s="912">
        <f>VLOOKUP(E8129,[3]VLP!$B$7:$K$300,10,0)</f>
        <v>6000</v>
      </c>
      <c r="J8129" s="912">
        <f t="shared" si="636"/>
        <v>54000</v>
      </c>
      <c r="K8129" s="912" t="s">
        <v>274</v>
      </c>
      <c r="L8129" s="912"/>
      <c r="M8129" s="912"/>
      <c r="N8129" s="912"/>
      <c r="O8129" s="892">
        <f t="shared" si="630"/>
        <v>0</v>
      </c>
      <c r="P8129" s="903">
        <f t="shared" si="632"/>
        <v>1</v>
      </c>
      <c r="Q8129" s="893">
        <f t="shared" si="633"/>
        <v>12</v>
      </c>
      <c r="R8129" s="894">
        <f t="shared" si="634"/>
        <v>0</v>
      </c>
    </row>
    <row r="8130" spans="1:18">
      <c r="A8130" s="905"/>
      <c r="B8130" s="906"/>
      <c r="C8130" s="907">
        <v>122</v>
      </c>
      <c r="D8130" s="907" t="s">
        <v>279</v>
      </c>
      <c r="E8130" s="925" t="s">
        <v>3267</v>
      </c>
      <c r="F8130" s="909" t="s">
        <v>45</v>
      </c>
      <c r="G8130" s="910"/>
      <c r="H8130" s="911">
        <v>7.5</v>
      </c>
      <c r="I8130" s="912">
        <f>VLOOKUP(E8130,[3]VLP!$B$7:$K$300,10,0)</f>
        <v>30000</v>
      </c>
      <c r="J8130" s="912">
        <f t="shared" si="636"/>
        <v>225000</v>
      </c>
      <c r="K8130" s="912" t="s">
        <v>274</v>
      </c>
      <c r="L8130" s="912"/>
      <c r="M8130" s="912"/>
      <c r="N8130" s="912"/>
      <c r="O8130" s="892">
        <f t="shared" si="630"/>
        <v>0</v>
      </c>
      <c r="P8130" s="903">
        <f t="shared" si="632"/>
        <v>1</v>
      </c>
      <c r="Q8130" s="893">
        <f t="shared" si="633"/>
        <v>11</v>
      </c>
      <c r="R8130" s="894">
        <f t="shared" si="634"/>
        <v>0</v>
      </c>
    </row>
    <row r="8131" spans="1:18">
      <c r="A8131" s="905"/>
      <c r="B8131" s="906"/>
      <c r="C8131" s="907">
        <v>93</v>
      </c>
      <c r="D8131" s="907" t="s">
        <v>279</v>
      </c>
      <c r="E8131" s="925" t="s">
        <v>6111</v>
      </c>
      <c r="F8131" s="909" t="s">
        <v>45</v>
      </c>
      <c r="G8131" s="910"/>
      <c r="H8131" s="911">
        <v>0.75</v>
      </c>
      <c r="I8131" s="912">
        <f>VLOOKUP(E8131,[3]VLP!$B$7:$K$300,10,0)</f>
        <v>42000</v>
      </c>
      <c r="J8131" s="912">
        <f t="shared" si="636"/>
        <v>31500</v>
      </c>
      <c r="K8131" s="912" t="s">
        <v>274</v>
      </c>
      <c r="L8131" s="912"/>
      <c r="M8131" s="912"/>
      <c r="N8131" s="912"/>
      <c r="O8131" s="892">
        <f t="shared" si="630"/>
        <v>0</v>
      </c>
      <c r="P8131" s="903">
        <f t="shared" si="632"/>
        <v>1</v>
      </c>
      <c r="Q8131" s="893">
        <f t="shared" si="633"/>
        <v>10</v>
      </c>
      <c r="R8131" s="894">
        <f t="shared" si="634"/>
        <v>0</v>
      </c>
    </row>
    <row r="8132" spans="1:18">
      <c r="A8132" s="905"/>
      <c r="B8132" s="906"/>
      <c r="C8132" s="907">
        <v>89</v>
      </c>
      <c r="D8132" s="907" t="s">
        <v>279</v>
      </c>
      <c r="E8132" s="925" t="s">
        <v>5984</v>
      </c>
      <c r="F8132" s="909" t="s">
        <v>45</v>
      </c>
      <c r="G8132" s="910"/>
      <c r="H8132" s="911">
        <v>1.2</v>
      </c>
      <c r="I8132" s="912">
        <f>VLOOKUP(E8132,[3]VLP!$B$7:$K$300,10,0)</f>
        <v>1000</v>
      </c>
      <c r="J8132" s="912">
        <f t="shared" si="636"/>
        <v>1200</v>
      </c>
      <c r="K8132" s="912" t="s">
        <v>274</v>
      </c>
      <c r="L8132" s="912"/>
      <c r="M8132" s="912"/>
      <c r="N8132" s="912"/>
      <c r="O8132" s="892">
        <f t="shared" si="630"/>
        <v>0</v>
      </c>
      <c r="P8132" s="903">
        <f t="shared" si="632"/>
        <v>1</v>
      </c>
      <c r="Q8132" s="893">
        <f t="shared" si="633"/>
        <v>9</v>
      </c>
      <c r="R8132" s="894">
        <f t="shared" si="634"/>
        <v>0</v>
      </c>
    </row>
    <row r="8133" spans="1:18">
      <c r="A8133" s="905"/>
      <c r="B8133" s="906"/>
      <c r="C8133" s="907">
        <v>47</v>
      </c>
      <c r="D8133" s="907" t="s">
        <v>279</v>
      </c>
      <c r="E8133" s="925" t="s">
        <v>3170</v>
      </c>
      <c r="F8133" s="909" t="s">
        <v>45</v>
      </c>
      <c r="G8133" s="910"/>
      <c r="H8133" s="911">
        <v>32</v>
      </c>
      <c r="I8133" s="912">
        <f>VLOOKUP(E8133,[3]VLP!$B$7:$K$300,10,0)</f>
        <v>1000</v>
      </c>
      <c r="J8133" s="912">
        <f t="shared" si="636"/>
        <v>32000</v>
      </c>
      <c r="K8133" s="912" t="s">
        <v>274</v>
      </c>
      <c r="L8133" s="912"/>
      <c r="M8133" s="912"/>
      <c r="N8133" s="912"/>
      <c r="O8133" s="892">
        <f t="shared" si="630"/>
        <v>0</v>
      </c>
      <c r="P8133" s="903">
        <f t="shared" si="632"/>
        <v>1</v>
      </c>
      <c r="Q8133" s="893">
        <f t="shared" si="633"/>
        <v>8</v>
      </c>
      <c r="R8133" s="894">
        <f t="shared" si="634"/>
        <v>0</v>
      </c>
    </row>
    <row r="8134" spans="1:18">
      <c r="A8134" s="905"/>
      <c r="B8134" s="906"/>
      <c r="C8134" s="907">
        <v>44</v>
      </c>
      <c r="D8134" s="907" t="s">
        <v>279</v>
      </c>
      <c r="E8134" s="925" t="s">
        <v>2681</v>
      </c>
      <c r="F8134" s="926" t="s">
        <v>45</v>
      </c>
      <c r="G8134" s="910"/>
      <c r="H8134" s="911">
        <v>40</v>
      </c>
      <c r="I8134" s="912">
        <f>VLOOKUP(E8134,[3]VLP!$B$7:$K$300,10,0)</f>
        <v>23000</v>
      </c>
      <c r="J8134" s="912">
        <f t="shared" si="636"/>
        <v>920000</v>
      </c>
      <c r="K8134" s="912" t="s">
        <v>274</v>
      </c>
      <c r="L8134" s="912"/>
      <c r="M8134" s="912"/>
      <c r="N8134" s="912"/>
      <c r="O8134" s="892">
        <f t="shared" si="630"/>
        <v>0</v>
      </c>
      <c r="P8134" s="903">
        <f t="shared" si="632"/>
        <v>1</v>
      </c>
      <c r="Q8134" s="893">
        <f t="shared" si="633"/>
        <v>7</v>
      </c>
      <c r="R8134" s="894">
        <f t="shared" si="634"/>
        <v>0</v>
      </c>
    </row>
    <row r="8135" spans="1:18">
      <c r="A8135" s="905"/>
      <c r="B8135" s="906"/>
      <c r="C8135" s="907">
        <v>66</v>
      </c>
      <c r="D8135" s="907" t="s">
        <v>279</v>
      </c>
      <c r="E8135" s="925" t="s">
        <v>2682</v>
      </c>
      <c r="F8135" s="926" t="s">
        <v>45</v>
      </c>
      <c r="G8135" s="910"/>
      <c r="H8135" s="911">
        <v>1.8</v>
      </c>
      <c r="I8135" s="912">
        <f>VLOOKUP(E8135,[3]VLP!$B$7:$K$300,10,0)</f>
        <v>5000</v>
      </c>
      <c r="J8135" s="912">
        <f t="shared" si="636"/>
        <v>9000</v>
      </c>
      <c r="K8135" s="912" t="s">
        <v>274</v>
      </c>
      <c r="L8135" s="912"/>
      <c r="M8135" s="912"/>
      <c r="N8135" s="912"/>
      <c r="O8135" s="892">
        <f t="shared" si="630"/>
        <v>0</v>
      </c>
      <c r="P8135" s="903">
        <f t="shared" si="632"/>
        <v>1</v>
      </c>
      <c r="Q8135" s="893">
        <f t="shared" si="633"/>
        <v>6</v>
      </c>
      <c r="R8135" s="894">
        <f t="shared" si="634"/>
        <v>0</v>
      </c>
    </row>
    <row r="8136" spans="1:18">
      <c r="A8136" s="905"/>
      <c r="B8136" s="906"/>
      <c r="C8136" s="907">
        <v>46</v>
      </c>
      <c r="D8136" s="907" t="s">
        <v>279</v>
      </c>
      <c r="E8136" s="925" t="s">
        <v>3179</v>
      </c>
      <c r="F8136" s="926" t="s">
        <v>45</v>
      </c>
      <c r="G8136" s="910"/>
      <c r="H8136" s="911">
        <v>50</v>
      </c>
      <c r="I8136" s="912">
        <f>VLOOKUP(E8136,[3]VLP!$B$7:$K$300,10,0)</f>
        <v>20500</v>
      </c>
      <c r="J8136" s="912">
        <f t="shared" si="636"/>
        <v>1025000</v>
      </c>
      <c r="K8136" s="912" t="s">
        <v>274</v>
      </c>
      <c r="L8136" s="912"/>
      <c r="M8136" s="912"/>
      <c r="N8136" s="912"/>
      <c r="O8136" s="892">
        <f t="shared" si="630"/>
        <v>0</v>
      </c>
      <c r="P8136" s="903">
        <f t="shared" si="632"/>
        <v>1</v>
      </c>
      <c r="Q8136" s="893">
        <f t="shared" si="633"/>
        <v>5</v>
      </c>
      <c r="R8136" s="894">
        <f t="shared" si="634"/>
        <v>0</v>
      </c>
    </row>
    <row r="8137" spans="1:18">
      <c r="A8137" s="905"/>
      <c r="B8137" s="906"/>
      <c r="C8137" s="907">
        <v>58</v>
      </c>
      <c r="D8137" s="907" t="s">
        <v>279</v>
      </c>
      <c r="E8137" s="925" t="s">
        <v>3190</v>
      </c>
      <c r="F8137" s="926" t="s">
        <v>45</v>
      </c>
      <c r="G8137" s="910"/>
      <c r="H8137" s="911">
        <v>6</v>
      </c>
      <c r="I8137" s="912">
        <f>VLOOKUP(E8137,[3]VLP!$B$7:$K$300,10,0)</f>
        <v>27940</v>
      </c>
      <c r="J8137" s="912">
        <f t="shared" si="636"/>
        <v>167640</v>
      </c>
      <c r="K8137" s="912" t="s">
        <v>274</v>
      </c>
      <c r="L8137" s="912"/>
      <c r="M8137" s="912"/>
      <c r="N8137" s="912"/>
      <c r="O8137" s="892">
        <f t="shared" si="630"/>
        <v>0</v>
      </c>
      <c r="P8137" s="903">
        <f t="shared" si="632"/>
        <v>1</v>
      </c>
      <c r="Q8137" s="893">
        <f t="shared" si="633"/>
        <v>4</v>
      </c>
      <c r="R8137" s="894">
        <f t="shared" si="634"/>
        <v>0</v>
      </c>
    </row>
    <row r="8138" spans="1:18">
      <c r="A8138" s="905"/>
      <c r="B8138" s="906"/>
      <c r="C8138" s="907">
        <v>699</v>
      </c>
      <c r="D8138" s="907" t="s">
        <v>279</v>
      </c>
      <c r="E8138" s="925" t="s">
        <v>4006</v>
      </c>
      <c r="F8138" s="926" t="s">
        <v>4007</v>
      </c>
      <c r="G8138" s="910"/>
      <c r="H8138" s="911">
        <v>5</v>
      </c>
      <c r="I8138" s="912">
        <f>VLOOKUP(E8138,[3]VLP!$B$7:$K$300,10,0)</f>
        <v>5000</v>
      </c>
      <c r="J8138" s="912">
        <f t="shared" si="636"/>
        <v>25000</v>
      </c>
      <c r="K8138" s="912" t="s">
        <v>274</v>
      </c>
      <c r="L8138" s="912"/>
      <c r="M8138" s="912"/>
      <c r="N8138" s="912"/>
      <c r="O8138" s="892">
        <f t="shared" si="630"/>
        <v>0</v>
      </c>
      <c r="P8138" s="903">
        <f t="shared" si="632"/>
        <v>1</v>
      </c>
      <c r="Q8138" s="893">
        <f t="shared" si="633"/>
        <v>3</v>
      </c>
      <c r="R8138" s="894">
        <f t="shared" si="634"/>
        <v>0</v>
      </c>
    </row>
    <row r="8139" spans="1:18" s="904" customFormat="1">
      <c r="A8139" s="895"/>
      <c r="B8139" s="896"/>
      <c r="C8139" s="897"/>
      <c r="D8139" s="897"/>
      <c r="E8139" s="924" t="s">
        <v>276</v>
      </c>
      <c r="F8139" s="927"/>
      <c r="G8139" s="928"/>
      <c r="H8139" s="901"/>
      <c r="I8139" s="902"/>
      <c r="J8139" s="902"/>
      <c r="K8139" s="912" t="s">
        <v>274</v>
      </c>
      <c r="L8139" s="902"/>
      <c r="M8139" s="902"/>
      <c r="N8139" s="902"/>
      <c r="O8139" s="892">
        <f t="shared" si="630"/>
        <v>0</v>
      </c>
      <c r="P8139" s="903">
        <f t="shared" si="632"/>
        <v>1</v>
      </c>
      <c r="Q8139" s="893">
        <f t="shared" si="633"/>
        <v>2</v>
      </c>
      <c r="R8139" s="894">
        <f t="shared" si="634"/>
        <v>0</v>
      </c>
    </row>
    <row r="8140" spans="1:18">
      <c r="A8140" s="905"/>
      <c r="B8140" s="906"/>
      <c r="C8140" s="907">
        <v>745</v>
      </c>
      <c r="D8140" s="907" t="s">
        <v>12</v>
      </c>
      <c r="E8140" s="908" t="s">
        <v>5518</v>
      </c>
      <c r="F8140" s="909" t="s">
        <v>2674</v>
      </c>
      <c r="G8140" s="910"/>
      <c r="H8140" s="911">
        <v>20.16</v>
      </c>
      <c r="I8140" s="912"/>
      <c r="J8140" s="912"/>
      <c r="K8140" s="912">
        <f>VLOOKUP(E8140,[5]ĐMNC!$A$7:$F$67,4,0)</f>
        <v>240557</v>
      </c>
      <c r="L8140" s="912">
        <f>H8140*K8140</f>
        <v>4849629.12</v>
      </c>
      <c r="M8140" s="912"/>
      <c r="N8140" s="912"/>
      <c r="O8140" s="892">
        <f t="shared" si="630"/>
        <v>0</v>
      </c>
      <c r="P8140" s="903">
        <f t="shared" si="632"/>
        <v>1</v>
      </c>
      <c r="Q8140" s="893">
        <f t="shared" si="633"/>
        <v>1</v>
      </c>
      <c r="R8140" s="894">
        <f t="shared" si="634"/>
        <v>0</v>
      </c>
    </row>
    <row r="8141" spans="1:18" s="847" customFormat="1" ht="35.25" customHeight="1">
      <c r="A8141" s="905"/>
      <c r="B8141" s="914" t="s">
        <v>6248</v>
      </c>
      <c r="C8141" s="915"/>
      <c r="D8141" s="915"/>
      <c r="E8141" s="916" t="s">
        <v>6249</v>
      </c>
      <c r="F8141" s="917" t="s">
        <v>6094</v>
      </c>
      <c r="G8141" s="944"/>
      <c r="H8141" s="919"/>
      <c r="I8141" s="920"/>
      <c r="J8141" s="891">
        <f>SUM(J8142:J8155)</f>
        <v>2517380</v>
      </c>
      <c r="K8141" s="891" t="s">
        <v>274</v>
      </c>
      <c r="L8141" s="891">
        <f>SUM(L8142:L8155)</f>
        <v>5347582.1100000003</v>
      </c>
      <c r="M8141" s="891"/>
      <c r="N8141" s="891">
        <f>SUM(N8142:N8155)</f>
        <v>0</v>
      </c>
      <c r="O8141" s="892">
        <f t="shared" si="630"/>
        <v>1</v>
      </c>
      <c r="P8141" s="903">
        <f t="shared" si="632"/>
        <v>0</v>
      </c>
      <c r="Q8141" s="893">
        <f t="shared" si="633"/>
        <v>0</v>
      </c>
      <c r="R8141" s="894">
        <f t="shared" si="634"/>
        <v>14</v>
      </c>
    </row>
    <row r="8142" spans="1:18" s="904" customFormat="1">
      <c r="A8142" s="895"/>
      <c r="B8142" s="896"/>
      <c r="C8142" s="897"/>
      <c r="D8142" s="897"/>
      <c r="E8142" s="898" t="s">
        <v>108</v>
      </c>
      <c r="F8142" s="899"/>
      <c r="G8142" s="928"/>
      <c r="H8142" s="901"/>
      <c r="I8142" s="902"/>
      <c r="J8142" s="902"/>
      <c r="K8142" s="912" t="s">
        <v>274</v>
      </c>
      <c r="L8142" s="902"/>
      <c r="M8142" s="902"/>
      <c r="N8142" s="902"/>
      <c r="O8142" s="892">
        <f t="shared" si="630"/>
        <v>0</v>
      </c>
      <c r="P8142" s="903">
        <f t="shared" si="632"/>
        <v>1</v>
      </c>
      <c r="Q8142" s="893">
        <f t="shared" si="633"/>
        <v>14</v>
      </c>
      <c r="R8142" s="894">
        <f t="shared" si="634"/>
        <v>0</v>
      </c>
    </row>
    <row r="8143" spans="1:18">
      <c r="A8143" s="905"/>
      <c r="B8143" s="906"/>
      <c r="C8143" s="907">
        <v>70</v>
      </c>
      <c r="D8143" s="907" t="s">
        <v>279</v>
      </c>
      <c r="E8143" s="925" t="s">
        <v>6120</v>
      </c>
      <c r="F8143" s="909" t="s">
        <v>2337</v>
      </c>
      <c r="G8143" s="910"/>
      <c r="H8143" s="911">
        <v>1</v>
      </c>
      <c r="I8143" s="912">
        <f>VLOOKUP(E8143,[3]VLP!$B$7:$K$300,10,0)</f>
        <v>27040</v>
      </c>
      <c r="J8143" s="912">
        <f t="shared" ref="J8143:J8153" si="637">I8143*H8143</f>
        <v>27040</v>
      </c>
      <c r="K8143" s="912" t="s">
        <v>274</v>
      </c>
      <c r="L8143" s="912"/>
      <c r="M8143" s="912"/>
      <c r="N8143" s="912"/>
      <c r="O8143" s="892">
        <f t="shared" si="630"/>
        <v>0</v>
      </c>
      <c r="P8143" s="903">
        <f t="shared" si="632"/>
        <v>1</v>
      </c>
      <c r="Q8143" s="893">
        <f t="shared" si="633"/>
        <v>13</v>
      </c>
      <c r="R8143" s="894">
        <f t="shared" si="634"/>
        <v>0</v>
      </c>
    </row>
    <row r="8144" spans="1:18">
      <c r="A8144" s="905"/>
      <c r="B8144" s="906"/>
      <c r="C8144" s="907">
        <v>24</v>
      </c>
      <c r="D8144" s="907" t="s">
        <v>279</v>
      </c>
      <c r="E8144" s="925" t="s">
        <v>2691</v>
      </c>
      <c r="F8144" s="926" t="s">
        <v>2690</v>
      </c>
      <c r="G8144" s="910"/>
      <c r="H8144" s="911">
        <v>9</v>
      </c>
      <c r="I8144" s="912">
        <f>VLOOKUP(E8144,[3]VLP!$B$7:$K$300,10,0)</f>
        <v>6000</v>
      </c>
      <c r="J8144" s="912">
        <f t="shared" si="637"/>
        <v>54000</v>
      </c>
      <c r="K8144" s="912" t="s">
        <v>274</v>
      </c>
      <c r="L8144" s="912"/>
      <c r="M8144" s="912"/>
      <c r="N8144" s="912"/>
      <c r="O8144" s="892">
        <f t="shared" si="630"/>
        <v>0</v>
      </c>
      <c r="P8144" s="903">
        <f t="shared" si="632"/>
        <v>1</v>
      </c>
      <c r="Q8144" s="893">
        <f t="shared" si="633"/>
        <v>12</v>
      </c>
      <c r="R8144" s="894">
        <f t="shared" si="634"/>
        <v>0</v>
      </c>
    </row>
    <row r="8145" spans="1:18">
      <c r="A8145" s="905"/>
      <c r="B8145" s="906"/>
      <c r="C8145" s="907">
        <v>122</v>
      </c>
      <c r="D8145" s="907" t="s">
        <v>279</v>
      </c>
      <c r="E8145" s="925" t="s">
        <v>3267</v>
      </c>
      <c r="F8145" s="909" t="s">
        <v>45</v>
      </c>
      <c r="G8145" s="910"/>
      <c r="H8145" s="911">
        <v>7.5</v>
      </c>
      <c r="I8145" s="912">
        <f>VLOOKUP(E8145,[3]VLP!$B$7:$K$300,10,0)</f>
        <v>30000</v>
      </c>
      <c r="J8145" s="912">
        <f t="shared" si="637"/>
        <v>225000</v>
      </c>
      <c r="K8145" s="912" t="s">
        <v>274</v>
      </c>
      <c r="L8145" s="912"/>
      <c r="M8145" s="912"/>
      <c r="N8145" s="912"/>
      <c r="O8145" s="892">
        <f t="shared" si="630"/>
        <v>0</v>
      </c>
      <c r="P8145" s="903">
        <f t="shared" si="632"/>
        <v>1</v>
      </c>
      <c r="Q8145" s="893">
        <f t="shared" si="633"/>
        <v>11</v>
      </c>
      <c r="R8145" s="894">
        <f t="shared" si="634"/>
        <v>0</v>
      </c>
    </row>
    <row r="8146" spans="1:18">
      <c r="A8146" s="905"/>
      <c r="B8146" s="906"/>
      <c r="C8146" s="907">
        <v>93</v>
      </c>
      <c r="D8146" s="907" t="s">
        <v>279</v>
      </c>
      <c r="E8146" s="925" t="s">
        <v>6111</v>
      </c>
      <c r="F8146" s="909" t="s">
        <v>45</v>
      </c>
      <c r="G8146" s="910"/>
      <c r="H8146" s="911">
        <v>0.75</v>
      </c>
      <c r="I8146" s="912">
        <f>VLOOKUP(E8146,[3]VLP!$B$7:$K$300,10,0)</f>
        <v>42000</v>
      </c>
      <c r="J8146" s="912">
        <f t="shared" si="637"/>
        <v>31500</v>
      </c>
      <c r="K8146" s="912" t="s">
        <v>274</v>
      </c>
      <c r="L8146" s="912"/>
      <c r="M8146" s="912"/>
      <c r="N8146" s="912"/>
      <c r="O8146" s="892">
        <f t="shared" si="630"/>
        <v>0</v>
      </c>
      <c r="P8146" s="903">
        <f t="shared" si="632"/>
        <v>1</v>
      </c>
      <c r="Q8146" s="893">
        <f t="shared" si="633"/>
        <v>10</v>
      </c>
      <c r="R8146" s="894">
        <f t="shared" si="634"/>
        <v>0</v>
      </c>
    </row>
    <row r="8147" spans="1:18">
      <c r="A8147" s="905"/>
      <c r="B8147" s="906"/>
      <c r="C8147" s="907">
        <v>89</v>
      </c>
      <c r="D8147" s="907" t="s">
        <v>279</v>
      </c>
      <c r="E8147" s="925" t="s">
        <v>5984</v>
      </c>
      <c r="F8147" s="909" t="s">
        <v>45</v>
      </c>
      <c r="G8147" s="910"/>
      <c r="H8147" s="911">
        <v>1.2</v>
      </c>
      <c r="I8147" s="912">
        <f>VLOOKUP(E8147,[3]VLP!$B$7:$K$300,10,0)</f>
        <v>1000</v>
      </c>
      <c r="J8147" s="912">
        <f t="shared" si="637"/>
        <v>1200</v>
      </c>
      <c r="K8147" s="912" t="s">
        <v>274</v>
      </c>
      <c r="L8147" s="912"/>
      <c r="M8147" s="912"/>
      <c r="N8147" s="912"/>
      <c r="O8147" s="892">
        <f t="shared" si="630"/>
        <v>0</v>
      </c>
      <c r="P8147" s="903">
        <f t="shared" si="632"/>
        <v>1</v>
      </c>
      <c r="Q8147" s="893">
        <f t="shared" si="633"/>
        <v>9</v>
      </c>
      <c r="R8147" s="894">
        <f t="shared" si="634"/>
        <v>0</v>
      </c>
    </row>
    <row r="8148" spans="1:18">
      <c r="A8148" s="905"/>
      <c r="B8148" s="906"/>
      <c r="C8148" s="907">
        <v>47</v>
      </c>
      <c r="D8148" s="907" t="s">
        <v>279</v>
      </c>
      <c r="E8148" s="925" t="s">
        <v>3170</v>
      </c>
      <c r="F8148" s="909" t="s">
        <v>45</v>
      </c>
      <c r="G8148" s="910"/>
      <c r="H8148" s="911">
        <v>32</v>
      </c>
      <c r="I8148" s="912">
        <f>VLOOKUP(E8148,[3]VLP!$B$7:$K$300,10,0)</f>
        <v>1000</v>
      </c>
      <c r="J8148" s="912">
        <f t="shared" si="637"/>
        <v>32000</v>
      </c>
      <c r="K8148" s="912" t="s">
        <v>274</v>
      </c>
      <c r="L8148" s="912"/>
      <c r="M8148" s="912"/>
      <c r="N8148" s="912"/>
      <c r="O8148" s="892">
        <f t="shared" si="630"/>
        <v>0</v>
      </c>
      <c r="P8148" s="903">
        <f t="shared" si="632"/>
        <v>1</v>
      </c>
      <c r="Q8148" s="893">
        <f t="shared" si="633"/>
        <v>8</v>
      </c>
      <c r="R8148" s="894">
        <f t="shared" si="634"/>
        <v>0</v>
      </c>
    </row>
    <row r="8149" spans="1:18">
      <c r="A8149" s="905"/>
      <c r="B8149" s="906"/>
      <c r="C8149" s="907">
        <v>44</v>
      </c>
      <c r="D8149" s="907" t="s">
        <v>279</v>
      </c>
      <c r="E8149" s="925" t="s">
        <v>2681</v>
      </c>
      <c r="F8149" s="926" t="s">
        <v>45</v>
      </c>
      <c r="G8149" s="910"/>
      <c r="H8149" s="911">
        <v>40</v>
      </c>
      <c r="I8149" s="912">
        <f>VLOOKUP(E8149,[3]VLP!$B$7:$K$300,10,0)</f>
        <v>23000</v>
      </c>
      <c r="J8149" s="912">
        <f t="shared" si="637"/>
        <v>920000</v>
      </c>
      <c r="K8149" s="912" t="s">
        <v>274</v>
      </c>
      <c r="L8149" s="912"/>
      <c r="M8149" s="912"/>
      <c r="N8149" s="912"/>
      <c r="O8149" s="892">
        <f t="shared" si="630"/>
        <v>0</v>
      </c>
      <c r="P8149" s="903">
        <f t="shared" si="632"/>
        <v>1</v>
      </c>
      <c r="Q8149" s="893">
        <f t="shared" si="633"/>
        <v>7</v>
      </c>
      <c r="R8149" s="894">
        <f t="shared" si="634"/>
        <v>0</v>
      </c>
    </row>
    <row r="8150" spans="1:18">
      <c r="A8150" s="905"/>
      <c r="B8150" s="906"/>
      <c r="C8150" s="907">
        <v>66</v>
      </c>
      <c r="D8150" s="907" t="s">
        <v>279</v>
      </c>
      <c r="E8150" s="925" t="s">
        <v>2682</v>
      </c>
      <c r="F8150" s="926" t="s">
        <v>45</v>
      </c>
      <c r="G8150" s="910"/>
      <c r="H8150" s="911">
        <v>1.8</v>
      </c>
      <c r="I8150" s="912">
        <f>VLOOKUP(E8150,[3]VLP!$B$7:$K$300,10,0)</f>
        <v>5000</v>
      </c>
      <c r="J8150" s="912">
        <f t="shared" si="637"/>
        <v>9000</v>
      </c>
      <c r="K8150" s="912" t="s">
        <v>274</v>
      </c>
      <c r="L8150" s="912"/>
      <c r="M8150" s="912"/>
      <c r="N8150" s="912"/>
      <c r="O8150" s="892">
        <f t="shared" si="630"/>
        <v>0</v>
      </c>
      <c r="P8150" s="903">
        <f t="shared" si="632"/>
        <v>1</v>
      </c>
      <c r="Q8150" s="893">
        <f t="shared" si="633"/>
        <v>6</v>
      </c>
      <c r="R8150" s="894">
        <f t="shared" si="634"/>
        <v>0</v>
      </c>
    </row>
    <row r="8151" spans="1:18">
      <c r="A8151" s="905"/>
      <c r="B8151" s="906"/>
      <c r="C8151" s="907">
        <v>46</v>
      </c>
      <c r="D8151" s="907" t="s">
        <v>279</v>
      </c>
      <c r="E8151" s="925" t="s">
        <v>3179</v>
      </c>
      <c r="F8151" s="926" t="s">
        <v>45</v>
      </c>
      <c r="G8151" s="910"/>
      <c r="H8151" s="911">
        <v>50</v>
      </c>
      <c r="I8151" s="912">
        <f>VLOOKUP(E8151,[3]VLP!$B$7:$K$300,10,0)</f>
        <v>20500</v>
      </c>
      <c r="J8151" s="912">
        <f t="shared" si="637"/>
        <v>1025000</v>
      </c>
      <c r="K8151" s="912" t="s">
        <v>274</v>
      </c>
      <c r="L8151" s="912"/>
      <c r="M8151" s="912"/>
      <c r="N8151" s="912"/>
      <c r="O8151" s="892">
        <f t="shared" si="630"/>
        <v>0</v>
      </c>
      <c r="P8151" s="903">
        <f t="shared" si="632"/>
        <v>1</v>
      </c>
      <c r="Q8151" s="893">
        <f t="shared" si="633"/>
        <v>5</v>
      </c>
      <c r="R8151" s="894">
        <f t="shared" si="634"/>
        <v>0</v>
      </c>
    </row>
    <row r="8152" spans="1:18">
      <c r="A8152" s="905"/>
      <c r="B8152" s="906"/>
      <c r="C8152" s="907">
        <v>58</v>
      </c>
      <c r="D8152" s="907" t="s">
        <v>279</v>
      </c>
      <c r="E8152" s="925" t="s">
        <v>3190</v>
      </c>
      <c r="F8152" s="926" t="s">
        <v>45</v>
      </c>
      <c r="G8152" s="910"/>
      <c r="H8152" s="911">
        <v>6</v>
      </c>
      <c r="I8152" s="912">
        <f>VLOOKUP(E8152,[3]VLP!$B$7:$K$300,10,0)</f>
        <v>27940</v>
      </c>
      <c r="J8152" s="912">
        <f t="shared" si="637"/>
        <v>167640</v>
      </c>
      <c r="K8152" s="912" t="s">
        <v>274</v>
      </c>
      <c r="L8152" s="912"/>
      <c r="M8152" s="912"/>
      <c r="N8152" s="912"/>
      <c r="O8152" s="892">
        <f t="shared" si="630"/>
        <v>0</v>
      </c>
      <c r="P8152" s="903">
        <f t="shared" si="632"/>
        <v>1</v>
      </c>
      <c r="Q8152" s="893">
        <f t="shared" si="633"/>
        <v>4</v>
      </c>
      <c r="R8152" s="894">
        <f t="shared" si="634"/>
        <v>0</v>
      </c>
    </row>
    <row r="8153" spans="1:18">
      <c r="A8153" s="905"/>
      <c r="B8153" s="906"/>
      <c r="C8153" s="907">
        <v>699</v>
      </c>
      <c r="D8153" s="907" t="s">
        <v>279</v>
      </c>
      <c r="E8153" s="925" t="s">
        <v>4006</v>
      </c>
      <c r="F8153" s="926" t="s">
        <v>4007</v>
      </c>
      <c r="G8153" s="910"/>
      <c r="H8153" s="911">
        <v>5</v>
      </c>
      <c r="I8153" s="912">
        <f>VLOOKUP(E8153,[3]VLP!$B$7:$K$300,10,0)</f>
        <v>5000</v>
      </c>
      <c r="J8153" s="912">
        <f t="shared" si="637"/>
        <v>25000</v>
      </c>
      <c r="K8153" s="912" t="s">
        <v>274</v>
      </c>
      <c r="L8153" s="912"/>
      <c r="M8153" s="912"/>
      <c r="N8153" s="912"/>
      <c r="O8153" s="892">
        <f t="shared" si="630"/>
        <v>0</v>
      </c>
      <c r="P8153" s="903">
        <f t="shared" si="632"/>
        <v>1</v>
      </c>
      <c r="Q8153" s="893">
        <f t="shared" si="633"/>
        <v>3</v>
      </c>
      <c r="R8153" s="894">
        <f t="shared" si="634"/>
        <v>0</v>
      </c>
    </row>
    <row r="8154" spans="1:18" s="904" customFormat="1">
      <c r="A8154" s="895"/>
      <c r="B8154" s="896"/>
      <c r="C8154" s="897"/>
      <c r="D8154" s="897"/>
      <c r="E8154" s="924" t="s">
        <v>276</v>
      </c>
      <c r="F8154" s="927"/>
      <c r="G8154" s="928"/>
      <c r="H8154" s="901"/>
      <c r="I8154" s="902"/>
      <c r="J8154" s="902"/>
      <c r="K8154" s="912" t="s">
        <v>274</v>
      </c>
      <c r="L8154" s="902"/>
      <c r="M8154" s="902"/>
      <c r="N8154" s="902"/>
      <c r="O8154" s="892">
        <f t="shared" si="630"/>
        <v>0</v>
      </c>
      <c r="P8154" s="903">
        <f t="shared" si="632"/>
        <v>1</v>
      </c>
      <c r="Q8154" s="893">
        <f t="shared" si="633"/>
        <v>2</v>
      </c>
      <c r="R8154" s="894">
        <f t="shared" si="634"/>
        <v>0</v>
      </c>
    </row>
    <row r="8155" spans="1:18">
      <c r="A8155" s="905"/>
      <c r="B8155" s="906"/>
      <c r="C8155" s="907">
        <v>745</v>
      </c>
      <c r="D8155" s="907" t="s">
        <v>12</v>
      </c>
      <c r="E8155" s="908" t="s">
        <v>5518</v>
      </c>
      <c r="F8155" s="909" t="s">
        <v>2674</v>
      </c>
      <c r="G8155" s="910"/>
      <c r="H8155" s="911">
        <v>22.23</v>
      </c>
      <c r="I8155" s="912"/>
      <c r="J8155" s="912"/>
      <c r="K8155" s="912">
        <f>VLOOKUP(E8155,[5]ĐMNC!$A$7:$F$67,4,0)</f>
        <v>240557</v>
      </c>
      <c r="L8155" s="912">
        <f>H8155*K8155</f>
        <v>5347582.1100000003</v>
      </c>
      <c r="M8155" s="912"/>
      <c r="N8155" s="912"/>
      <c r="O8155" s="892">
        <f t="shared" si="630"/>
        <v>0</v>
      </c>
      <c r="P8155" s="903">
        <f t="shared" si="632"/>
        <v>1</v>
      </c>
      <c r="Q8155" s="893">
        <f t="shared" si="633"/>
        <v>1</v>
      </c>
      <c r="R8155" s="894">
        <f t="shared" si="634"/>
        <v>0</v>
      </c>
    </row>
    <row r="8156" spans="1:18" s="847" customFormat="1" ht="35.25" customHeight="1">
      <c r="A8156" s="905" t="s">
        <v>6250</v>
      </c>
      <c r="B8156" s="914" t="s">
        <v>6251</v>
      </c>
      <c r="C8156" s="915"/>
      <c r="D8156" s="915"/>
      <c r="E8156" s="916" t="s">
        <v>6252</v>
      </c>
      <c r="F8156" s="917" t="s">
        <v>6094</v>
      </c>
      <c r="G8156" s="944"/>
      <c r="H8156" s="919"/>
      <c r="I8156" s="920"/>
      <c r="J8156" s="891">
        <f>SUM(J8157:J8170)</f>
        <v>3083490</v>
      </c>
      <c r="K8156" s="891" t="s">
        <v>274</v>
      </c>
      <c r="L8156" s="891">
        <f>SUM(L8157:L8170)</f>
        <v>5845535.1000000006</v>
      </c>
      <c r="M8156" s="891"/>
      <c r="N8156" s="891">
        <f>SUM(N8157:N8170)</f>
        <v>0</v>
      </c>
      <c r="O8156" s="892">
        <f t="shared" si="630"/>
        <v>1</v>
      </c>
      <c r="P8156" s="903">
        <f t="shared" si="632"/>
        <v>0</v>
      </c>
      <c r="Q8156" s="893">
        <f t="shared" si="633"/>
        <v>0</v>
      </c>
      <c r="R8156" s="894">
        <f t="shared" si="634"/>
        <v>14</v>
      </c>
    </row>
    <row r="8157" spans="1:18" s="904" customFormat="1">
      <c r="A8157" s="895"/>
      <c r="B8157" s="922"/>
      <c r="C8157" s="897"/>
      <c r="D8157" s="897"/>
      <c r="E8157" s="898" t="s">
        <v>108</v>
      </c>
      <c r="F8157" s="899"/>
      <c r="G8157" s="928"/>
      <c r="H8157" s="901"/>
      <c r="I8157" s="902"/>
      <c r="J8157" s="902"/>
      <c r="K8157" s="912" t="s">
        <v>274</v>
      </c>
      <c r="L8157" s="902"/>
      <c r="M8157" s="902"/>
      <c r="N8157" s="902"/>
      <c r="O8157" s="892">
        <f t="shared" si="630"/>
        <v>0</v>
      </c>
      <c r="P8157" s="903">
        <f t="shared" si="632"/>
        <v>1</v>
      </c>
      <c r="Q8157" s="893">
        <f t="shared" si="633"/>
        <v>14</v>
      </c>
      <c r="R8157" s="894">
        <f t="shared" si="634"/>
        <v>0</v>
      </c>
    </row>
    <row r="8158" spans="1:18">
      <c r="A8158" s="905"/>
      <c r="B8158" s="906"/>
      <c r="C8158" s="907">
        <v>71</v>
      </c>
      <c r="D8158" s="907" t="s">
        <v>279</v>
      </c>
      <c r="E8158" s="925" t="s">
        <v>6123</v>
      </c>
      <c r="F8158" s="909" t="s">
        <v>2337</v>
      </c>
      <c r="G8158" s="910"/>
      <c r="H8158" s="911">
        <v>1</v>
      </c>
      <c r="I8158" s="912">
        <f>VLOOKUP(E8158,[3]VLP!$B$7:$K$300,10,0)</f>
        <v>33800</v>
      </c>
      <c r="J8158" s="912">
        <f t="shared" ref="J8158:J8168" si="638">I8158*H8158</f>
        <v>33800</v>
      </c>
      <c r="K8158" s="912" t="s">
        <v>274</v>
      </c>
      <c r="L8158" s="912"/>
      <c r="M8158" s="912"/>
      <c r="N8158" s="912"/>
      <c r="O8158" s="892">
        <f t="shared" si="630"/>
        <v>0</v>
      </c>
      <c r="P8158" s="903">
        <f t="shared" si="632"/>
        <v>1</v>
      </c>
      <c r="Q8158" s="893">
        <f t="shared" si="633"/>
        <v>13</v>
      </c>
      <c r="R8158" s="894">
        <f t="shared" si="634"/>
        <v>0</v>
      </c>
    </row>
    <row r="8159" spans="1:18">
      <c r="A8159" s="905"/>
      <c r="B8159" s="906"/>
      <c r="C8159" s="907">
        <v>24</v>
      </c>
      <c r="D8159" s="907" t="s">
        <v>279</v>
      </c>
      <c r="E8159" s="925" t="s">
        <v>2691</v>
      </c>
      <c r="F8159" s="926" t="s">
        <v>2690</v>
      </c>
      <c r="G8159" s="910"/>
      <c r="H8159" s="911">
        <v>12</v>
      </c>
      <c r="I8159" s="912">
        <f>VLOOKUP(E8159,[3]VLP!$B$7:$K$300,10,0)</f>
        <v>6000</v>
      </c>
      <c r="J8159" s="912">
        <f t="shared" si="638"/>
        <v>72000</v>
      </c>
      <c r="K8159" s="912" t="s">
        <v>274</v>
      </c>
      <c r="L8159" s="912"/>
      <c r="M8159" s="912"/>
      <c r="N8159" s="912"/>
      <c r="O8159" s="892">
        <f t="shared" ref="O8159:O8222" si="639">IF(AND(B8159&lt;&gt;"",D8159=""),1,0)</f>
        <v>0</v>
      </c>
      <c r="P8159" s="903">
        <f t="shared" si="632"/>
        <v>1</v>
      </c>
      <c r="Q8159" s="893">
        <f t="shared" si="633"/>
        <v>12</v>
      </c>
      <c r="R8159" s="894">
        <f t="shared" si="634"/>
        <v>0</v>
      </c>
    </row>
    <row r="8160" spans="1:18">
      <c r="A8160" s="905"/>
      <c r="B8160" s="906"/>
      <c r="C8160" s="907">
        <v>122</v>
      </c>
      <c r="D8160" s="907" t="s">
        <v>279</v>
      </c>
      <c r="E8160" s="925" t="s">
        <v>3267</v>
      </c>
      <c r="F8160" s="909" t="s">
        <v>45</v>
      </c>
      <c r="G8160" s="910"/>
      <c r="H8160" s="911">
        <v>9</v>
      </c>
      <c r="I8160" s="912">
        <f>VLOOKUP(E8160,[3]VLP!$B$7:$K$300,10,0)</f>
        <v>30000</v>
      </c>
      <c r="J8160" s="912">
        <f t="shared" si="638"/>
        <v>270000</v>
      </c>
      <c r="K8160" s="912" t="s">
        <v>274</v>
      </c>
      <c r="L8160" s="912"/>
      <c r="M8160" s="912"/>
      <c r="N8160" s="912"/>
      <c r="O8160" s="892">
        <f t="shared" si="639"/>
        <v>0</v>
      </c>
      <c r="P8160" s="903">
        <f t="shared" si="632"/>
        <v>1</v>
      </c>
      <c r="Q8160" s="893">
        <f t="shared" si="633"/>
        <v>11</v>
      </c>
      <c r="R8160" s="894">
        <f t="shared" si="634"/>
        <v>0</v>
      </c>
    </row>
    <row r="8161" spans="1:18">
      <c r="A8161" s="905"/>
      <c r="B8161" s="906"/>
      <c r="C8161" s="907">
        <v>93</v>
      </c>
      <c r="D8161" s="907" t="s">
        <v>279</v>
      </c>
      <c r="E8161" s="925" t="s">
        <v>6111</v>
      </c>
      <c r="F8161" s="909" t="s">
        <v>45</v>
      </c>
      <c r="G8161" s="910"/>
      <c r="H8161" s="911">
        <v>0.9</v>
      </c>
      <c r="I8161" s="912">
        <f>VLOOKUP(E8161,[3]VLP!$B$7:$K$300,10,0)</f>
        <v>42000</v>
      </c>
      <c r="J8161" s="912">
        <f t="shared" si="638"/>
        <v>37800</v>
      </c>
      <c r="K8161" s="912" t="s">
        <v>274</v>
      </c>
      <c r="L8161" s="912"/>
      <c r="M8161" s="912"/>
      <c r="N8161" s="912"/>
      <c r="O8161" s="892">
        <f t="shared" si="639"/>
        <v>0</v>
      </c>
      <c r="P8161" s="903">
        <f t="shared" si="632"/>
        <v>1</v>
      </c>
      <c r="Q8161" s="893">
        <f t="shared" si="633"/>
        <v>10</v>
      </c>
      <c r="R8161" s="894">
        <f t="shared" si="634"/>
        <v>0</v>
      </c>
    </row>
    <row r="8162" spans="1:18">
      <c r="A8162" s="905"/>
      <c r="B8162" s="906"/>
      <c r="C8162" s="907">
        <v>89</v>
      </c>
      <c r="D8162" s="907" t="s">
        <v>279</v>
      </c>
      <c r="E8162" s="925" t="s">
        <v>5984</v>
      </c>
      <c r="F8162" s="909" t="s">
        <v>45</v>
      </c>
      <c r="G8162" s="910"/>
      <c r="H8162" s="911">
        <v>1.5</v>
      </c>
      <c r="I8162" s="912">
        <f>VLOOKUP(E8162,[3]VLP!$B$7:$K$300,10,0)</f>
        <v>1000</v>
      </c>
      <c r="J8162" s="912">
        <f t="shared" si="638"/>
        <v>1500</v>
      </c>
      <c r="K8162" s="912" t="s">
        <v>274</v>
      </c>
      <c r="L8162" s="912"/>
      <c r="M8162" s="912"/>
      <c r="N8162" s="912"/>
      <c r="O8162" s="892">
        <f t="shared" si="639"/>
        <v>0</v>
      </c>
      <c r="P8162" s="903">
        <f t="shared" si="632"/>
        <v>1</v>
      </c>
      <c r="Q8162" s="893">
        <f t="shared" si="633"/>
        <v>9</v>
      </c>
      <c r="R8162" s="894">
        <f t="shared" si="634"/>
        <v>0</v>
      </c>
    </row>
    <row r="8163" spans="1:18">
      <c r="A8163" s="905"/>
      <c r="B8163" s="906"/>
      <c r="C8163" s="907">
        <v>47</v>
      </c>
      <c r="D8163" s="907" t="s">
        <v>279</v>
      </c>
      <c r="E8163" s="925" t="s">
        <v>3170</v>
      </c>
      <c r="F8163" s="909" t="s">
        <v>45</v>
      </c>
      <c r="G8163" s="910"/>
      <c r="H8163" s="911">
        <v>34</v>
      </c>
      <c r="I8163" s="912">
        <f>VLOOKUP(E8163,[3]VLP!$B$7:$K$300,10,0)</f>
        <v>1000</v>
      </c>
      <c r="J8163" s="912">
        <f t="shared" si="638"/>
        <v>34000</v>
      </c>
      <c r="K8163" s="912" t="s">
        <v>274</v>
      </c>
      <c r="L8163" s="912"/>
      <c r="M8163" s="912"/>
      <c r="N8163" s="912"/>
      <c r="O8163" s="892">
        <f t="shared" si="639"/>
        <v>0</v>
      </c>
      <c r="P8163" s="903">
        <f t="shared" si="632"/>
        <v>1</v>
      </c>
      <c r="Q8163" s="893">
        <f t="shared" si="633"/>
        <v>8</v>
      </c>
      <c r="R8163" s="894">
        <f t="shared" si="634"/>
        <v>0</v>
      </c>
    </row>
    <row r="8164" spans="1:18">
      <c r="A8164" s="905"/>
      <c r="B8164" s="906"/>
      <c r="C8164" s="907">
        <v>44</v>
      </c>
      <c r="D8164" s="907" t="s">
        <v>279</v>
      </c>
      <c r="E8164" s="925" t="s">
        <v>2681</v>
      </c>
      <c r="F8164" s="926" t="s">
        <v>45</v>
      </c>
      <c r="G8164" s="910"/>
      <c r="H8164" s="911">
        <v>50</v>
      </c>
      <c r="I8164" s="912">
        <f>VLOOKUP(E8164,[3]VLP!$B$7:$K$300,10,0)</f>
        <v>23000</v>
      </c>
      <c r="J8164" s="912">
        <f t="shared" si="638"/>
        <v>1150000</v>
      </c>
      <c r="K8164" s="912" t="s">
        <v>274</v>
      </c>
      <c r="L8164" s="912"/>
      <c r="M8164" s="912"/>
      <c r="N8164" s="912"/>
      <c r="O8164" s="892">
        <f t="shared" si="639"/>
        <v>0</v>
      </c>
      <c r="P8164" s="903">
        <f t="shared" si="632"/>
        <v>1</v>
      </c>
      <c r="Q8164" s="893">
        <f t="shared" si="633"/>
        <v>7</v>
      </c>
      <c r="R8164" s="894">
        <f t="shared" si="634"/>
        <v>0</v>
      </c>
    </row>
    <row r="8165" spans="1:18">
      <c r="A8165" s="905"/>
      <c r="B8165" s="906"/>
      <c r="C8165" s="907">
        <v>66</v>
      </c>
      <c r="D8165" s="907" t="s">
        <v>279</v>
      </c>
      <c r="E8165" s="925" t="s">
        <v>2682</v>
      </c>
      <c r="F8165" s="926" t="s">
        <v>45</v>
      </c>
      <c r="G8165" s="910"/>
      <c r="H8165" s="911">
        <v>2.1</v>
      </c>
      <c r="I8165" s="912">
        <f>VLOOKUP(E8165,[3]VLP!$B$7:$K$300,10,0)</f>
        <v>5000</v>
      </c>
      <c r="J8165" s="912">
        <f t="shared" si="638"/>
        <v>10500</v>
      </c>
      <c r="K8165" s="912" t="s">
        <v>274</v>
      </c>
      <c r="L8165" s="912"/>
      <c r="M8165" s="912"/>
      <c r="N8165" s="912"/>
      <c r="O8165" s="892">
        <f t="shared" si="639"/>
        <v>0</v>
      </c>
      <c r="P8165" s="903">
        <f t="shared" si="632"/>
        <v>1</v>
      </c>
      <c r="Q8165" s="893">
        <f t="shared" si="633"/>
        <v>6</v>
      </c>
      <c r="R8165" s="894">
        <f t="shared" si="634"/>
        <v>0</v>
      </c>
    </row>
    <row r="8166" spans="1:18">
      <c r="A8166" s="905"/>
      <c r="B8166" s="906"/>
      <c r="C8166" s="907">
        <v>46</v>
      </c>
      <c r="D8166" s="907" t="s">
        <v>279</v>
      </c>
      <c r="E8166" s="925" t="s">
        <v>3179</v>
      </c>
      <c r="F8166" s="926" t="s">
        <v>45</v>
      </c>
      <c r="G8166" s="910"/>
      <c r="H8166" s="911">
        <v>62.5</v>
      </c>
      <c r="I8166" s="912">
        <f>VLOOKUP(E8166,[3]VLP!$B$7:$K$300,10,0)</f>
        <v>20500</v>
      </c>
      <c r="J8166" s="912">
        <f t="shared" si="638"/>
        <v>1281250</v>
      </c>
      <c r="K8166" s="912" t="s">
        <v>274</v>
      </c>
      <c r="L8166" s="912"/>
      <c r="M8166" s="912"/>
      <c r="N8166" s="912"/>
      <c r="O8166" s="892">
        <f t="shared" si="639"/>
        <v>0</v>
      </c>
      <c r="P8166" s="903">
        <f t="shared" si="632"/>
        <v>1</v>
      </c>
      <c r="Q8166" s="893">
        <f t="shared" si="633"/>
        <v>5</v>
      </c>
      <c r="R8166" s="894">
        <f t="shared" si="634"/>
        <v>0</v>
      </c>
    </row>
    <row r="8167" spans="1:18">
      <c r="A8167" s="905"/>
      <c r="B8167" s="906"/>
      <c r="C8167" s="907">
        <v>58</v>
      </c>
      <c r="D8167" s="907" t="s">
        <v>279</v>
      </c>
      <c r="E8167" s="925" t="s">
        <v>3190</v>
      </c>
      <c r="F8167" s="926" t="s">
        <v>45</v>
      </c>
      <c r="G8167" s="910"/>
      <c r="H8167" s="911">
        <v>6</v>
      </c>
      <c r="I8167" s="912">
        <f>VLOOKUP(E8167,[3]VLP!$B$7:$K$300,10,0)</f>
        <v>27940</v>
      </c>
      <c r="J8167" s="912">
        <f t="shared" si="638"/>
        <v>167640</v>
      </c>
      <c r="K8167" s="912" t="s">
        <v>274</v>
      </c>
      <c r="L8167" s="912"/>
      <c r="M8167" s="912"/>
      <c r="N8167" s="912"/>
      <c r="O8167" s="892">
        <f t="shared" si="639"/>
        <v>0</v>
      </c>
      <c r="P8167" s="903">
        <f t="shared" si="632"/>
        <v>1</v>
      </c>
      <c r="Q8167" s="893">
        <f t="shared" si="633"/>
        <v>4</v>
      </c>
      <c r="R8167" s="894">
        <f t="shared" si="634"/>
        <v>0</v>
      </c>
    </row>
    <row r="8168" spans="1:18">
      <c r="A8168" s="905"/>
      <c r="B8168" s="906"/>
      <c r="C8168" s="907">
        <v>699</v>
      </c>
      <c r="D8168" s="907" t="s">
        <v>279</v>
      </c>
      <c r="E8168" s="925" t="s">
        <v>4006</v>
      </c>
      <c r="F8168" s="926" t="s">
        <v>4007</v>
      </c>
      <c r="G8168" s="910"/>
      <c r="H8168" s="911">
        <v>5</v>
      </c>
      <c r="I8168" s="912">
        <f>VLOOKUP(E8168,[3]VLP!$B$7:$K$300,10,0)</f>
        <v>5000</v>
      </c>
      <c r="J8168" s="912">
        <f t="shared" si="638"/>
        <v>25000</v>
      </c>
      <c r="K8168" s="912" t="s">
        <v>274</v>
      </c>
      <c r="L8168" s="912"/>
      <c r="M8168" s="912"/>
      <c r="N8168" s="912"/>
      <c r="O8168" s="892">
        <f t="shared" si="639"/>
        <v>0</v>
      </c>
      <c r="P8168" s="903">
        <f t="shared" ref="P8168:P8231" si="640">IF(O8168=0,1,0)</f>
        <v>1</v>
      </c>
      <c r="Q8168" s="893">
        <f t="shared" ref="Q8168:Q8231" si="641">IF(P8168=0,0,P8168+Q8169)</f>
        <v>3</v>
      </c>
      <c r="R8168" s="894">
        <f t="shared" ref="R8168:R8231" si="642">IF(Q8168=0,Q8169,0)</f>
        <v>0</v>
      </c>
    </row>
    <row r="8169" spans="1:18" s="904" customFormat="1">
      <c r="A8169" s="895"/>
      <c r="B8169" s="896"/>
      <c r="C8169" s="897"/>
      <c r="D8169" s="897"/>
      <c r="E8169" s="924" t="s">
        <v>276</v>
      </c>
      <c r="F8169" s="927"/>
      <c r="G8169" s="928"/>
      <c r="H8169" s="901"/>
      <c r="I8169" s="902"/>
      <c r="J8169" s="902"/>
      <c r="K8169" s="912" t="s">
        <v>274</v>
      </c>
      <c r="L8169" s="902"/>
      <c r="M8169" s="902"/>
      <c r="N8169" s="902"/>
      <c r="O8169" s="892">
        <f t="shared" si="639"/>
        <v>0</v>
      </c>
      <c r="P8169" s="903">
        <f t="shared" si="640"/>
        <v>1</v>
      </c>
      <c r="Q8169" s="893">
        <f t="shared" si="641"/>
        <v>2</v>
      </c>
      <c r="R8169" s="894">
        <f t="shared" si="642"/>
        <v>0</v>
      </c>
    </row>
    <row r="8170" spans="1:18">
      <c r="A8170" s="905"/>
      <c r="B8170" s="906"/>
      <c r="C8170" s="907">
        <v>745</v>
      </c>
      <c r="D8170" s="907" t="s">
        <v>12</v>
      </c>
      <c r="E8170" s="908" t="s">
        <v>5518</v>
      </c>
      <c r="F8170" s="909" t="s">
        <v>2674</v>
      </c>
      <c r="G8170" s="910"/>
      <c r="H8170" s="911">
        <v>24.3</v>
      </c>
      <c r="I8170" s="912"/>
      <c r="J8170" s="912"/>
      <c r="K8170" s="912">
        <f>VLOOKUP(E8170,[5]ĐMNC!$A$7:$F$67,4,0)</f>
        <v>240557</v>
      </c>
      <c r="L8170" s="912">
        <f>H8170*K8170</f>
        <v>5845535.1000000006</v>
      </c>
      <c r="M8170" s="912"/>
      <c r="N8170" s="912"/>
      <c r="O8170" s="892">
        <f t="shared" si="639"/>
        <v>0</v>
      </c>
      <c r="P8170" s="903">
        <f t="shared" si="640"/>
        <v>1</v>
      </c>
      <c r="Q8170" s="893">
        <f t="shared" si="641"/>
        <v>1</v>
      </c>
      <c r="R8170" s="894">
        <f t="shared" si="642"/>
        <v>0</v>
      </c>
    </row>
    <row r="8171" spans="1:18" s="847" customFormat="1" ht="35.25" customHeight="1">
      <c r="A8171" s="905"/>
      <c r="B8171" s="914" t="s">
        <v>6253</v>
      </c>
      <c r="C8171" s="915"/>
      <c r="D8171" s="915"/>
      <c r="E8171" s="916" t="s">
        <v>6254</v>
      </c>
      <c r="F8171" s="917" t="s">
        <v>6094</v>
      </c>
      <c r="G8171" s="944"/>
      <c r="H8171" s="919"/>
      <c r="I8171" s="920"/>
      <c r="J8171" s="891">
        <f>SUM(J8172:J8185)</f>
        <v>3083490</v>
      </c>
      <c r="K8171" s="891" t="s">
        <v>274</v>
      </c>
      <c r="L8171" s="891">
        <f>SUM(L8172:L8185)</f>
        <v>6418060.7599999998</v>
      </c>
      <c r="M8171" s="891"/>
      <c r="N8171" s="891">
        <f>SUM(N8172:N8185)</f>
        <v>0</v>
      </c>
      <c r="O8171" s="892">
        <f t="shared" si="639"/>
        <v>1</v>
      </c>
      <c r="P8171" s="903">
        <f t="shared" si="640"/>
        <v>0</v>
      </c>
      <c r="Q8171" s="893">
        <f t="shared" si="641"/>
        <v>0</v>
      </c>
      <c r="R8171" s="894">
        <f t="shared" si="642"/>
        <v>14</v>
      </c>
    </row>
    <row r="8172" spans="1:18" s="904" customFormat="1">
      <c r="A8172" s="895"/>
      <c r="B8172" s="896"/>
      <c r="C8172" s="897"/>
      <c r="D8172" s="897"/>
      <c r="E8172" s="898" t="s">
        <v>108</v>
      </c>
      <c r="F8172" s="899"/>
      <c r="G8172" s="928"/>
      <c r="H8172" s="901"/>
      <c r="I8172" s="902"/>
      <c r="J8172" s="902"/>
      <c r="K8172" s="912" t="s">
        <v>274</v>
      </c>
      <c r="L8172" s="902"/>
      <c r="M8172" s="902"/>
      <c r="N8172" s="902"/>
      <c r="O8172" s="892">
        <f t="shared" si="639"/>
        <v>0</v>
      </c>
      <c r="P8172" s="903">
        <f t="shared" si="640"/>
        <v>1</v>
      </c>
      <c r="Q8172" s="893">
        <f t="shared" si="641"/>
        <v>14</v>
      </c>
      <c r="R8172" s="894">
        <f t="shared" si="642"/>
        <v>0</v>
      </c>
    </row>
    <row r="8173" spans="1:18">
      <c r="A8173" s="905"/>
      <c r="B8173" s="906"/>
      <c r="C8173" s="907">
        <v>72</v>
      </c>
      <c r="D8173" s="907" t="s">
        <v>279</v>
      </c>
      <c r="E8173" s="925" t="s">
        <v>6126</v>
      </c>
      <c r="F8173" s="909" t="s">
        <v>2337</v>
      </c>
      <c r="G8173" s="910"/>
      <c r="H8173" s="911">
        <v>1</v>
      </c>
      <c r="I8173" s="912">
        <f>VLOOKUP(E8173,[3]VLP!$B$7:$K$300,10,0)</f>
        <v>33800</v>
      </c>
      <c r="J8173" s="912">
        <f t="shared" ref="J8173:J8183" si="643">I8173*H8173</f>
        <v>33800</v>
      </c>
      <c r="K8173" s="912" t="s">
        <v>274</v>
      </c>
      <c r="L8173" s="912"/>
      <c r="M8173" s="912"/>
      <c r="N8173" s="912"/>
      <c r="O8173" s="892">
        <f t="shared" si="639"/>
        <v>0</v>
      </c>
      <c r="P8173" s="903">
        <f t="shared" si="640"/>
        <v>1</v>
      </c>
      <c r="Q8173" s="893">
        <f t="shared" si="641"/>
        <v>13</v>
      </c>
      <c r="R8173" s="894">
        <f t="shared" si="642"/>
        <v>0</v>
      </c>
    </row>
    <row r="8174" spans="1:18">
      <c r="A8174" s="905"/>
      <c r="B8174" s="906"/>
      <c r="C8174" s="907">
        <v>24</v>
      </c>
      <c r="D8174" s="907" t="s">
        <v>279</v>
      </c>
      <c r="E8174" s="925" t="s">
        <v>2691</v>
      </c>
      <c r="F8174" s="926" t="s">
        <v>2690</v>
      </c>
      <c r="G8174" s="910"/>
      <c r="H8174" s="911">
        <v>12</v>
      </c>
      <c r="I8174" s="912">
        <f>VLOOKUP(E8174,[3]VLP!$B$7:$K$300,10,0)</f>
        <v>6000</v>
      </c>
      <c r="J8174" s="912">
        <f t="shared" si="643"/>
        <v>72000</v>
      </c>
      <c r="K8174" s="912" t="s">
        <v>274</v>
      </c>
      <c r="L8174" s="912"/>
      <c r="M8174" s="912"/>
      <c r="N8174" s="912"/>
      <c r="O8174" s="892">
        <f t="shared" si="639"/>
        <v>0</v>
      </c>
      <c r="P8174" s="903">
        <f t="shared" si="640"/>
        <v>1</v>
      </c>
      <c r="Q8174" s="893">
        <f t="shared" si="641"/>
        <v>12</v>
      </c>
      <c r="R8174" s="894">
        <f t="shared" si="642"/>
        <v>0</v>
      </c>
    </row>
    <row r="8175" spans="1:18">
      <c r="A8175" s="905"/>
      <c r="B8175" s="906"/>
      <c r="C8175" s="907">
        <v>122</v>
      </c>
      <c r="D8175" s="907" t="s">
        <v>279</v>
      </c>
      <c r="E8175" s="925" t="s">
        <v>3267</v>
      </c>
      <c r="F8175" s="909" t="s">
        <v>45</v>
      </c>
      <c r="G8175" s="910"/>
      <c r="H8175" s="911">
        <v>9</v>
      </c>
      <c r="I8175" s="912">
        <f>VLOOKUP(E8175,[3]VLP!$B$7:$K$300,10,0)</f>
        <v>30000</v>
      </c>
      <c r="J8175" s="912">
        <f t="shared" si="643"/>
        <v>270000</v>
      </c>
      <c r="K8175" s="912" t="s">
        <v>274</v>
      </c>
      <c r="L8175" s="912"/>
      <c r="M8175" s="912"/>
      <c r="N8175" s="912"/>
      <c r="O8175" s="892">
        <f t="shared" si="639"/>
        <v>0</v>
      </c>
      <c r="P8175" s="903">
        <f t="shared" si="640"/>
        <v>1</v>
      </c>
      <c r="Q8175" s="893">
        <f t="shared" si="641"/>
        <v>11</v>
      </c>
      <c r="R8175" s="894">
        <f t="shared" si="642"/>
        <v>0</v>
      </c>
    </row>
    <row r="8176" spans="1:18">
      <c r="A8176" s="905"/>
      <c r="B8176" s="906"/>
      <c r="C8176" s="907">
        <v>93</v>
      </c>
      <c r="D8176" s="907" t="s">
        <v>279</v>
      </c>
      <c r="E8176" s="925" t="s">
        <v>6111</v>
      </c>
      <c r="F8176" s="909" t="s">
        <v>45</v>
      </c>
      <c r="G8176" s="910"/>
      <c r="H8176" s="911">
        <v>0.9</v>
      </c>
      <c r="I8176" s="912">
        <f>VLOOKUP(E8176,[3]VLP!$B$7:$K$300,10,0)</f>
        <v>42000</v>
      </c>
      <c r="J8176" s="912">
        <f t="shared" si="643"/>
        <v>37800</v>
      </c>
      <c r="K8176" s="912" t="s">
        <v>274</v>
      </c>
      <c r="L8176" s="912"/>
      <c r="M8176" s="912"/>
      <c r="N8176" s="912"/>
      <c r="O8176" s="892">
        <f t="shared" si="639"/>
        <v>0</v>
      </c>
      <c r="P8176" s="903">
        <f t="shared" si="640"/>
        <v>1</v>
      </c>
      <c r="Q8176" s="893">
        <f t="shared" si="641"/>
        <v>10</v>
      </c>
      <c r="R8176" s="894">
        <f t="shared" si="642"/>
        <v>0</v>
      </c>
    </row>
    <row r="8177" spans="1:18">
      <c r="A8177" s="905"/>
      <c r="B8177" s="906"/>
      <c r="C8177" s="907">
        <v>89</v>
      </c>
      <c r="D8177" s="907" t="s">
        <v>279</v>
      </c>
      <c r="E8177" s="925" t="s">
        <v>5984</v>
      </c>
      <c r="F8177" s="909" t="s">
        <v>45</v>
      </c>
      <c r="G8177" s="910"/>
      <c r="H8177" s="911">
        <v>1.5</v>
      </c>
      <c r="I8177" s="912">
        <f>VLOOKUP(E8177,[3]VLP!$B$7:$K$300,10,0)</f>
        <v>1000</v>
      </c>
      <c r="J8177" s="912">
        <f t="shared" si="643"/>
        <v>1500</v>
      </c>
      <c r="K8177" s="912" t="s">
        <v>274</v>
      </c>
      <c r="L8177" s="912"/>
      <c r="M8177" s="912"/>
      <c r="N8177" s="912"/>
      <c r="O8177" s="892">
        <f t="shared" si="639"/>
        <v>0</v>
      </c>
      <c r="P8177" s="903">
        <f t="shared" si="640"/>
        <v>1</v>
      </c>
      <c r="Q8177" s="893">
        <f t="shared" si="641"/>
        <v>9</v>
      </c>
      <c r="R8177" s="894">
        <f t="shared" si="642"/>
        <v>0</v>
      </c>
    </row>
    <row r="8178" spans="1:18">
      <c r="A8178" s="905"/>
      <c r="B8178" s="906"/>
      <c r="C8178" s="907">
        <v>47</v>
      </c>
      <c r="D8178" s="907" t="s">
        <v>279</v>
      </c>
      <c r="E8178" s="925" t="s">
        <v>3170</v>
      </c>
      <c r="F8178" s="909" t="s">
        <v>45</v>
      </c>
      <c r="G8178" s="910"/>
      <c r="H8178" s="911">
        <v>34</v>
      </c>
      <c r="I8178" s="912">
        <f>VLOOKUP(E8178,[3]VLP!$B$7:$K$300,10,0)</f>
        <v>1000</v>
      </c>
      <c r="J8178" s="912">
        <f t="shared" si="643"/>
        <v>34000</v>
      </c>
      <c r="K8178" s="912" t="s">
        <v>274</v>
      </c>
      <c r="L8178" s="912"/>
      <c r="M8178" s="912"/>
      <c r="N8178" s="912"/>
      <c r="O8178" s="892">
        <f t="shared" si="639"/>
        <v>0</v>
      </c>
      <c r="P8178" s="903">
        <f t="shared" si="640"/>
        <v>1</v>
      </c>
      <c r="Q8178" s="893">
        <f t="shared" si="641"/>
        <v>8</v>
      </c>
      <c r="R8178" s="894">
        <f t="shared" si="642"/>
        <v>0</v>
      </c>
    </row>
    <row r="8179" spans="1:18">
      <c r="A8179" s="905"/>
      <c r="B8179" s="906"/>
      <c r="C8179" s="907">
        <v>44</v>
      </c>
      <c r="D8179" s="907" t="s">
        <v>279</v>
      </c>
      <c r="E8179" s="925" t="s">
        <v>2681</v>
      </c>
      <c r="F8179" s="926" t="s">
        <v>45</v>
      </c>
      <c r="G8179" s="910"/>
      <c r="H8179" s="911">
        <v>50</v>
      </c>
      <c r="I8179" s="912">
        <f>VLOOKUP(E8179,[3]VLP!$B$7:$K$300,10,0)</f>
        <v>23000</v>
      </c>
      <c r="J8179" s="912">
        <f t="shared" si="643"/>
        <v>1150000</v>
      </c>
      <c r="K8179" s="912" t="s">
        <v>274</v>
      </c>
      <c r="L8179" s="912"/>
      <c r="M8179" s="912"/>
      <c r="N8179" s="912"/>
      <c r="O8179" s="892">
        <f t="shared" si="639"/>
        <v>0</v>
      </c>
      <c r="P8179" s="903">
        <f t="shared" si="640"/>
        <v>1</v>
      </c>
      <c r="Q8179" s="893">
        <f t="shared" si="641"/>
        <v>7</v>
      </c>
      <c r="R8179" s="894">
        <f t="shared" si="642"/>
        <v>0</v>
      </c>
    </row>
    <row r="8180" spans="1:18">
      <c r="A8180" s="905"/>
      <c r="B8180" s="906"/>
      <c r="C8180" s="907">
        <v>66</v>
      </c>
      <c r="D8180" s="907" t="s">
        <v>279</v>
      </c>
      <c r="E8180" s="925" t="s">
        <v>2682</v>
      </c>
      <c r="F8180" s="926" t="s">
        <v>45</v>
      </c>
      <c r="G8180" s="910"/>
      <c r="H8180" s="911">
        <v>2.1</v>
      </c>
      <c r="I8180" s="912">
        <f>VLOOKUP(E8180,[3]VLP!$B$7:$K$300,10,0)</f>
        <v>5000</v>
      </c>
      <c r="J8180" s="912">
        <f t="shared" si="643"/>
        <v>10500</v>
      </c>
      <c r="K8180" s="912" t="s">
        <v>274</v>
      </c>
      <c r="L8180" s="912"/>
      <c r="M8180" s="912"/>
      <c r="N8180" s="912"/>
      <c r="O8180" s="892">
        <f t="shared" si="639"/>
        <v>0</v>
      </c>
      <c r="P8180" s="903">
        <f t="shared" si="640"/>
        <v>1</v>
      </c>
      <c r="Q8180" s="893">
        <f t="shared" si="641"/>
        <v>6</v>
      </c>
      <c r="R8180" s="894">
        <f t="shared" si="642"/>
        <v>0</v>
      </c>
    </row>
    <row r="8181" spans="1:18">
      <c r="A8181" s="905"/>
      <c r="B8181" s="906"/>
      <c r="C8181" s="907">
        <v>46</v>
      </c>
      <c r="D8181" s="907" t="s">
        <v>279</v>
      </c>
      <c r="E8181" s="925" t="s">
        <v>3179</v>
      </c>
      <c r="F8181" s="926" t="s">
        <v>45</v>
      </c>
      <c r="G8181" s="910"/>
      <c r="H8181" s="911">
        <v>62.5</v>
      </c>
      <c r="I8181" s="912">
        <f>VLOOKUP(E8181,[3]VLP!$B$7:$K$300,10,0)</f>
        <v>20500</v>
      </c>
      <c r="J8181" s="912">
        <f t="shared" si="643"/>
        <v>1281250</v>
      </c>
      <c r="K8181" s="912" t="s">
        <v>274</v>
      </c>
      <c r="L8181" s="912"/>
      <c r="M8181" s="912"/>
      <c r="N8181" s="912"/>
      <c r="O8181" s="892">
        <f t="shared" si="639"/>
        <v>0</v>
      </c>
      <c r="P8181" s="903">
        <f t="shared" si="640"/>
        <v>1</v>
      </c>
      <c r="Q8181" s="893">
        <f t="shared" si="641"/>
        <v>5</v>
      </c>
      <c r="R8181" s="894">
        <f t="shared" si="642"/>
        <v>0</v>
      </c>
    </row>
    <row r="8182" spans="1:18">
      <c r="A8182" s="905"/>
      <c r="B8182" s="906"/>
      <c r="C8182" s="907">
        <v>58</v>
      </c>
      <c r="D8182" s="907" t="s">
        <v>279</v>
      </c>
      <c r="E8182" s="925" t="s">
        <v>3190</v>
      </c>
      <c r="F8182" s="926" t="s">
        <v>45</v>
      </c>
      <c r="G8182" s="910"/>
      <c r="H8182" s="911">
        <v>6</v>
      </c>
      <c r="I8182" s="912">
        <f>VLOOKUP(E8182,[3]VLP!$B$7:$K$300,10,0)</f>
        <v>27940</v>
      </c>
      <c r="J8182" s="912">
        <f t="shared" si="643"/>
        <v>167640</v>
      </c>
      <c r="K8182" s="912" t="s">
        <v>274</v>
      </c>
      <c r="L8182" s="912"/>
      <c r="M8182" s="912"/>
      <c r="N8182" s="912"/>
      <c r="O8182" s="892">
        <f t="shared" si="639"/>
        <v>0</v>
      </c>
      <c r="P8182" s="903">
        <f t="shared" si="640"/>
        <v>1</v>
      </c>
      <c r="Q8182" s="893">
        <f t="shared" si="641"/>
        <v>4</v>
      </c>
      <c r="R8182" s="894">
        <f t="shared" si="642"/>
        <v>0</v>
      </c>
    </row>
    <row r="8183" spans="1:18">
      <c r="A8183" s="905"/>
      <c r="B8183" s="906"/>
      <c r="C8183" s="907">
        <v>699</v>
      </c>
      <c r="D8183" s="907" t="s">
        <v>279</v>
      </c>
      <c r="E8183" s="925" t="s">
        <v>4006</v>
      </c>
      <c r="F8183" s="926" t="s">
        <v>4007</v>
      </c>
      <c r="G8183" s="910"/>
      <c r="H8183" s="911">
        <v>5</v>
      </c>
      <c r="I8183" s="912">
        <f>VLOOKUP(E8183,[3]VLP!$B$7:$K$300,10,0)</f>
        <v>5000</v>
      </c>
      <c r="J8183" s="912">
        <f t="shared" si="643"/>
        <v>25000</v>
      </c>
      <c r="K8183" s="912" t="s">
        <v>274</v>
      </c>
      <c r="L8183" s="912"/>
      <c r="M8183" s="912"/>
      <c r="N8183" s="912"/>
      <c r="O8183" s="892">
        <f t="shared" si="639"/>
        <v>0</v>
      </c>
      <c r="P8183" s="903">
        <f t="shared" si="640"/>
        <v>1</v>
      </c>
      <c r="Q8183" s="893">
        <f t="shared" si="641"/>
        <v>3</v>
      </c>
      <c r="R8183" s="894">
        <f t="shared" si="642"/>
        <v>0</v>
      </c>
    </row>
    <row r="8184" spans="1:18" s="904" customFormat="1">
      <c r="A8184" s="895"/>
      <c r="B8184" s="896"/>
      <c r="C8184" s="897"/>
      <c r="D8184" s="897"/>
      <c r="E8184" s="924" t="s">
        <v>276</v>
      </c>
      <c r="F8184" s="927"/>
      <c r="G8184" s="928"/>
      <c r="H8184" s="901"/>
      <c r="I8184" s="902"/>
      <c r="J8184" s="902"/>
      <c r="K8184" s="912" t="s">
        <v>274</v>
      </c>
      <c r="L8184" s="902"/>
      <c r="M8184" s="902"/>
      <c r="N8184" s="902"/>
      <c r="O8184" s="892">
        <f t="shared" si="639"/>
        <v>0</v>
      </c>
      <c r="P8184" s="903">
        <f t="shared" si="640"/>
        <v>1</v>
      </c>
      <c r="Q8184" s="893">
        <f t="shared" si="641"/>
        <v>2</v>
      </c>
      <c r="R8184" s="894">
        <f t="shared" si="642"/>
        <v>0</v>
      </c>
    </row>
    <row r="8185" spans="1:18">
      <c r="A8185" s="905"/>
      <c r="B8185" s="906"/>
      <c r="C8185" s="907">
        <v>745</v>
      </c>
      <c r="D8185" s="907" t="s">
        <v>12</v>
      </c>
      <c r="E8185" s="908" t="s">
        <v>5518</v>
      </c>
      <c r="F8185" s="909" t="s">
        <v>2674</v>
      </c>
      <c r="G8185" s="910"/>
      <c r="H8185" s="911">
        <v>26.68</v>
      </c>
      <c r="I8185" s="912"/>
      <c r="J8185" s="912"/>
      <c r="K8185" s="912">
        <f>VLOOKUP(E8185,[5]ĐMNC!$A$7:$F$67,4,0)</f>
        <v>240557</v>
      </c>
      <c r="L8185" s="912">
        <f>H8185*K8185</f>
        <v>6418060.7599999998</v>
      </c>
      <c r="M8185" s="912"/>
      <c r="N8185" s="912"/>
      <c r="O8185" s="892">
        <f t="shared" si="639"/>
        <v>0</v>
      </c>
      <c r="P8185" s="903">
        <f t="shared" si="640"/>
        <v>1</v>
      </c>
      <c r="Q8185" s="893">
        <f t="shared" si="641"/>
        <v>1</v>
      </c>
      <c r="R8185" s="894">
        <f t="shared" si="642"/>
        <v>0</v>
      </c>
    </row>
    <row r="8186" spans="1:18" s="847" customFormat="1" ht="35.25" customHeight="1">
      <c r="A8186" s="905"/>
      <c r="B8186" s="914" t="s">
        <v>6255</v>
      </c>
      <c r="C8186" s="915"/>
      <c r="D8186" s="915"/>
      <c r="E8186" s="916" t="s">
        <v>6256</v>
      </c>
      <c r="F8186" s="917" t="s">
        <v>6094</v>
      </c>
      <c r="G8186" s="944"/>
      <c r="H8186" s="919"/>
      <c r="I8186" s="920"/>
      <c r="J8186" s="891">
        <f>SUM(J8187:J8200)</f>
        <v>3633300</v>
      </c>
      <c r="K8186" s="891" t="s">
        <v>274</v>
      </c>
      <c r="L8186" s="891">
        <f>SUM(L8187:L8200)</f>
        <v>7700229.5699999994</v>
      </c>
      <c r="M8186" s="891"/>
      <c r="N8186" s="891">
        <f>SUM(N8187:N8200)</f>
        <v>0</v>
      </c>
      <c r="O8186" s="892">
        <f t="shared" si="639"/>
        <v>1</v>
      </c>
      <c r="P8186" s="903">
        <f t="shared" si="640"/>
        <v>0</v>
      </c>
      <c r="Q8186" s="893">
        <f t="shared" si="641"/>
        <v>0</v>
      </c>
      <c r="R8186" s="894">
        <f t="shared" si="642"/>
        <v>14</v>
      </c>
    </row>
    <row r="8187" spans="1:18" s="904" customFormat="1">
      <c r="A8187" s="895"/>
      <c r="B8187" s="896"/>
      <c r="C8187" s="897"/>
      <c r="D8187" s="897"/>
      <c r="E8187" s="898" t="s">
        <v>108</v>
      </c>
      <c r="F8187" s="899"/>
      <c r="G8187" s="928"/>
      <c r="H8187" s="901"/>
      <c r="I8187" s="902"/>
      <c r="J8187" s="902"/>
      <c r="K8187" s="912" t="s">
        <v>274</v>
      </c>
      <c r="L8187" s="902"/>
      <c r="M8187" s="902"/>
      <c r="N8187" s="902"/>
      <c r="O8187" s="892">
        <f t="shared" si="639"/>
        <v>0</v>
      </c>
      <c r="P8187" s="903">
        <f t="shared" si="640"/>
        <v>1</v>
      </c>
      <c r="Q8187" s="893">
        <f t="shared" si="641"/>
        <v>14</v>
      </c>
      <c r="R8187" s="894">
        <f t="shared" si="642"/>
        <v>0</v>
      </c>
    </row>
    <row r="8188" spans="1:18">
      <c r="A8188" s="905"/>
      <c r="B8188" s="906"/>
      <c r="C8188" s="907">
        <v>73</v>
      </c>
      <c r="D8188" s="907" t="s">
        <v>279</v>
      </c>
      <c r="E8188" s="925" t="s">
        <v>6129</v>
      </c>
      <c r="F8188" s="909" t="s">
        <v>2337</v>
      </c>
      <c r="G8188" s="910"/>
      <c r="H8188" s="911">
        <v>1</v>
      </c>
      <c r="I8188" s="912">
        <f>VLOOKUP(E8188,[3]VLP!$B$7:$K$300,10,0)</f>
        <v>33800</v>
      </c>
      <c r="J8188" s="912">
        <f t="shared" ref="J8188:J8198" si="644">I8188*H8188</f>
        <v>33800</v>
      </c>
      <c r="K8188" s="912" t="s">
        <v>274</v>
      </c>
      <c r="L8188" s="912"/>
      <c r="M8188" s="912"/>
      <c r="N8188" s="912"/>
      <c r="O8188" s="892">
        <f t="shared" si="639"/>
        <v>0</v>
      </c>
      <c r="P8188" s="903">
        <f t="shared" si="640"/>
        <v>1</v>
      </c>
      <c r="Q8188" s="893">
        <f t="shared" si="641"/>
        <v>13</v>
      </c>
      <c r="R8188" s="894">
        <f t="shared" si="642"/>
        <v>0</v>
      </c>
    </row>
    <row r="8189" spans="1:18">
      <c r="A8189" s="905"/>
      <c r="B8189" s="906"/>
      <c r="C8189" s="907">
        <v>24</v>
      </c>
      <c r="D8189" s="907" t="s">
        <v>279</v>
      </c>
      <c r="E8189" s="925" t="s">
        <v>2691</v>
      </c>
      <c r="F8189" s="926" t="s">
        <v>2690</v>
      </c>
      <c r="G8189" s="910"/>
      <c r="H8189" s="911">
        <v>14.4</v>
      </c>
      <c r="I8189" s="912">
        <f>VLOOKUP(E8189,[3]VLP!$B$7:$K$300,10,0)</f>
        <v>6000</v>
      </c>
      <c r="J8189" s="912">
        <f t="shared" si="644"/>
        <v>86400</v>
      </c>
      <c r="K8189" s="912" t="s">
        <v>274</v>
      </c>
      <c r="L8189" s="912"/>
      <c r="M8189" s="912"/>
      <c r="N8189" s="912"/>
      <c r="O8189" s="892">
        <f t="shared" si="639"/>
        <v>0</v>
      </c>
      <c r="P8189" s="903">
        <f t="shared" si="640"/>
        <v>1</v>
      </c>
      <c r="Q8189" s="893">
        <f t="shared" si="641"/>
        <v>12</v>
      </c>
      <c r="R8189" s="894">
        <f t="shared" si="642"/>
        <v>0</v>
      </c>
    </row>
    <row r="8190" spans="1:18">
      <c r="A8190" s="905"/>
      <c r="B8190" s="906"/>
      <c r="C8190" s="907">
        <v>122</v>
      </c>
      <c r="D8190" s="907" t="s">
        <v>279</v>
      </c>
      <c r="E8190" s="925" t="s">
        <v>3267</v>
      </c>
      <c r="F8190" s="909" t="s">
        <v>45</v>
      </c>
      <c r="G8190" s="910"/>
      <c r="H8190" s="911">
        <v>10.08</v>
      </c>
      <c r="I8190" s="912">
        <f>VLOOKUP(E8190,[3]VLP!$B$7:$K$300,10,0)</f>
        <v>30000</v>
      </c>
      <c r="J8190" s="912">
        <f t="shared" si="644"/>
        <v>302400</v>
      </c>
      <c r="K8190" s="912" t="s">
        <v>274</v>
      </c>
      <c r="L8190" s="912"/>
      <c r="M8190" s="912"/>
      <c r="N8190" s="912"/>
      <c r="O8190" s="892">
        <f t="shared" si="639"/>
        <v>0</v>
      </c>
      <c r="P8190" s="903">
        <f t="shared" si="640"/>
        <v>1</v>
      </c>
      <c r="Q8190" s="893">
        <f t="shared" si="641"/>
        <v>11</v>
      </c>
      <c r="R8190" s="894">
        <f t="shared" si="642"/>
        <v>0</v>
      </c>
    </row>
    <row r="8191" spans="1:18">
      <c r="A8191" s="905"/>
      <c r="B8191" s="906"/>
      <c r="C8191" s="907">
        <v>93</v>
      </c>
      <c r="D8191" s="907" t="s">
        <v>279</v>
      </c>
      <c r="E8191" s="925" t="s">
        <v>6111</v>
      </c>
      <c r="F8191" s="909" t="s">
        <v>45</v>
      </c>
      <c r="G8191" s="910"/>
      <c r="H8191" s="911">
        <v>1.08</v>
      </c>
      <c r="I8191" s="912">
        <f>VLOOKUP(E8191,[3]VLP!$B$7:$K$300,10,0)</f>
        <v>42000</v>
      </c>
      <c r="J8191" s="912">
        <f t="shared" si="644"/>
        <v>45360</v>
      </c>
      <c r="K8191" s="912" t="s">
        <v>274</v>
      </c>
      <c r="L8191" s="912"/>
      <c r="M8191" s="912"/>
      <c r="N8191" s="912"/>
      <c r="O8191" s="892">
        <f t="shared" si="639"/>
        <v>0</v>
      </c>
      <c r="P8191" s="903">
        <f t="shared" si="640"/>
        <v>1</v>
      </c>
      <c r="Q8191" s="893">
        <f t="shared" si="641"/>
        <v>10</v>
      </c>
      <c r="R8191" s="894">
        <f t="shared" si="642"/>
        <v>0</v>
      </c>
    </row>
    <row r="8192" spans="1:18">
      <c r="A8192" s="905"/>
      <c r="B8192" s="906"/>
      <c r="C8192" s="907">
        <v>89</v>
      </c>
      <c r="D8192" s="907" t="s">
        <v>279</v>
      </c>
      <c r="E8192" s="925" t="s">
        <v>5984</v>
      </c>
      <c r="F8192" s="909" t="s">
        <v>45</v>
      </c>
      <c r="G8192" s="910"/>
      <c r="H8192" s="911">
        <v>1.8</v>
      </c>
      <c r="I8192" s="912">
        <f>VLOOKUP(E8192,[3]VLP!$B$7:$K$300,10,0)</f>
        <v>1000</v>
      </c>
      <c r="J8192" s="912">
        <f t="shared" si="644"/>
        <v>1800</v>
      </c>
      <c r="K8192" s="912" t="s">
        <v>274</v>
      </c>
      <c r="L8192" s="912"/>
      <c r="M8192" s="912"/>
      <c r="N8192" s="912"/>
      <c r="O8192" s="892">
        <f t="shared" si="639"/>
        <v>0</v>
      </c>
      <c r="P8192" s="903">
        <f t="shared" si="640"/>
        <v>1</v>
      </c>
      <c r="Q8192" s="893">
        <f t="shared" si="641"/>
        <v>9</v>
      </c>
      <c r="R8192" s="894">
        <f t="shared" si="642"/>
        <v>0</v>
      </c>
    </row>
    <row r="8193" spans="1:18">
      <c r="A8193" s="905"/>
      <c r="B8193" s="906"/>
      <c r="C8193" s="907">
        <v>47</v>
      </c>
      <c r="D8193" s="907" t="s">
        <v>279</v>
      </c>
      <c r="E8193" s="925" t="s">
        <v>3170</v>
      </c>
      <c r="F8193" s="909" t="s">
        <v>45</v>
      </c>
      <c r="G8193" s="910"/>
      <c r="H8193" s="911">
        <v>40.799999999999997</v>
      </c>
      <c r="I8193" s="912">
        <f>VLOOKUP(E8193,[3]VLP!$B$7:$K$300,10,0)</f>
        <v>1000</v>
      </c>
      <c r="J8193" s="912">
        <f t="shared" si="644"/>
        <v>40800</v>
      </c>
      <c r="K8193" s="912" t="s">
        <v>274</v>
      </c>
      <c r="L8193" s="912"/>
      <c r="M8193" s="912"/>
      <c r="N8193" s="912"/>
      <c r="O8193" s="892">
        <f t="shared" si="639"/>
        <v>0</v>
      </c>
      <c r="P8193" s="903">
        <f t="shared" si="640"/>
        <v>1</v>
      </c>
      <c r="Q8193" s="893">
        <f t="shared" si="641"/>
        <v>8</v>
      </c>
      <c r="R8193" s="894">
        <f t="shared" si="642"/>
        <v>0</v>
      </c>
    </row>
    <row r="8194" spans="1:18">
      <c r="A8194" s="905"/>
      <c r="B8194" s="906"/>
      <c r="C8194" s="907">
        <v>44</v>
      </c>
      <c r="D8194" s="907" t="s">
        <v>279</v>
      </c>
      <c r="E8194" s="925" t="s">
        <v>2681</v>
      </c>
      <c r="F8194" s="926" t="s">
        <v>45</v>
      </c>
      <c r="G8194" s="910"/>
      <c r="H8194" s="911">
        <v>60</v>
      </c>
      <c r="I8194" s="912">
        <f>VLOOKUP(E8194,[3]VLP!$B$7:$K$300,10,0)</f>
        <v>23000</v>
      </c>
      <c r="J8194" s="912">
        <f t="shared" si="644"/>
        <v>1380000</v>
      </c>
      <c r="K8194" s="912" t="s">
        <v>274</v>
      </c>
      <c r="L8194" s="912"/>
      <c r="M8194" s="912"/>
      <c r="N8194" s="912"/>
      <c r="O8194" s="892">
        <f t="shared" si="639"/>
        <v>0</v>
      </c>
      <c r="P8194" s="903">
        <f t="shared" si="640"/>
        <v>1</v>
      </c>
      <c r="Q8194" s="893">
        <f t="shared" si="641"/>
        <v>7</v>
      </c>
      <c r="R8194" s="894">
        <f t="shared" si="642"/>
        <v>0</v>
      </c>
    </row>
    <row r="8195" spans="1:18">
      <c r="A8195" s="905"/>
      <c r="B8195" s="906"/>
      <c r="C8195" s="907">
        <v>66</v>
      </c>
      <c r="D8195" s="907" t="s">
        <v>279</v>
      </c>
      <c r="E8195" s="925" t="s">
        <v>2682</v>
      </c>
      <c r="F8195" s="926" t="s">
        <v>45</v>
      </c>
      <c r="G8195" s="910"/>
      <c r="H8195" s="911">
        <v>2.52</v>
      </c>
      <c r="I8195" s="912">
        <f>VLOOKUP(E8195,[3]VLP!$B$7:$K$300,10,0)</f>
        <v>5000</v>
      </c>
      <c r="J8195" s="912">
        <f t="shared" si="644"/>
        <v>12600</v>
      </c>
      <c r="K8195" s="912" t="s">
        <v>274</v>
      </c>
      <c r="L8195" s="912"/>
      <c r="M8195" s="912"/>
      <c r="N8195" s="912"/>
      <c r="O8195" s="892">
        <f t="shared" si="639"/>
        <v>0</v>
      </c>
      <c r="P8195" s="903">
        <f t="shared" si="640"/>
        <v>1</v>
      </c>
      <c r="Q8195" s="893">
        <f t="shared" si="641"/>
        <v>6</v>
      </c>
      <c r="R8195" s="894">
        <f t="shared" si="642"/>
        <v>0</v>
      </c>
    </row>
    <row r="8196" spans="1:18">
      <c r="A8196" s="905"/>
      <c r="B8196" s="906"/>
      <c r="C8196" s="907">
        <v>46</v>
      </c>
      <c r="D8196" s="907" t="s">
        <v>279</v>
      </c>
      <c r="E8196" s="925" t="s">
        <v>3179</v>
      </c>
      <c r="F8196" s="926" t="s">
        <v>45</v>
      </c>
      <c r="G8196" s="910"/>
      <c r="H8196" s="911">
        <v>75</v>
      </c>
      <c r="I8196" s="912">
        <f>VLOOKUP(E8196,[3]VLP!$B$7:$K$300,10,0)</f>
        <v>20500</v>
      </c>
      <c r="J8196" s="912">
        <f t="shared" si="644"/>
        <v>1537500</v>
      </c>
      <c r="K8196" s="912" t="s">
        <v>274</v>
      </c>
      <c r="L8196" s="912"/>
      <c r="M8196" s="912"/>
      <c r="N8196" s="912"/>
      <c r="O8196" s="892">
        <f t="shared" si="639"/>
        <v>0</v>
      </c>
      <c r="P8196" s="903">
        <f t="shared" si="640"/>
        <v>1</v>
      </c>
      <c r="Q8196" s="893">
        <f t="shared" si="641"/>
        <v>5</v>
      </c>
      <c r="R8196" s="894">
        <f t="shared" si="642"/>
        <v>0</v>
      </c>
    </row>
    <row r="8197" spans="1:18">
      <c r="A8197" s="905"/>
      <c r="B8197" s="906"/>
      <c r="C8197" s="907">
        <v>58</v>
      </c>
      <c r="D8197" s="907" t="s">
        <v>279</v>
      </c>
      <c r="E8197" s="925" t="s">
        <v>3190</v>
      </c>
      <c r="F8197" s="926" t="s">
        <v>45</v>
      </c>
      <c r="G8197" s="910"/>
      <c r="H8197" s="911">
        <v>6</v>
      </c>
      <c r="I8197" s="912">
        <f>VLOOKUP(E8197,[3]VLP!$B$7:$K$300,10,0)</f>
        <v>27940</v>
      </c>
      <c r="J8197" s="912">
        <f t="shared" si="644"/>
        <v>167640</v>
      </c>
      <c r="K8197" s="912" t="s">
        <v>274</v>
      </c>
      <c r="L8197" s="912"/>
      <c r="M8197" s="912"/>
      <c r="N8197" s="912"/>
      <c r="O8197" s="892">
        <f t="shared" si="639"/>
        <v>0</v>
      </c>
      <c r="P8197" s="903">
        <f t="shared" si="640"/>
        <v>1</v>
      </c>
      <c r="Q8197" s="893">
        <f t="shared" si="641"/>
        <v>4</v>
      </c>
      <c r="R8197" s="894">
        <f t="shared" si="642"/>
        <v>0</v>
      </c>
    </row>
    <row r="8198" spans="1:18">
      <c r="A8198" s="905"/>
      <c r="B8198" s="906"/>
      <c r="C8198" s="907">
        <v>699</v>
      </c>
      <c r="D8198" s="907" t="s">
        <v>279</v>
      </c>
      <c r="E8198" s="925" t="s">
        <v>4006</v>
      </c>
      <c r="F8198" s="926" t="s">
        <v>4007</v>
      </c>
      <c r="G8198" s="910"/>
      <c r="H8198" s="911">
        <v>5</v>
      </c>
      <c r="I8198" s="912">
        <f>VLOOKUP(E8198,[3]VLP!$B$7:$K$300,10,0)</f>
        <v>5000</v>
      </c>
      <c r="J8198" s="912">
        <f t="shared" si="644"/>
        <v>25000</v>
      </c>
      <c r="K8198" s="912" t="s">
        <v>274</v>
      </c>
      <c r="L8198" s="912"/>
      <c r="M8198" s="912"/>
      <c r="N8198" s="912"/>
      <c r="O8198" s="892">
        <f t="shared" si="639"/>
        <v>0</v>
      </c>
      <c r="P8198" s="903">
        <f t="shared" si="640"/>
        <v>1</v>
      </c>
      <c r="Q8198" s="893">
        <f t="shared" si="641"/>
        <v>3</v>
      </c>
      <c r="R8198" s="894">
        <f t="shared" si="642"/>
        <v>0</v>
      </c>
    </row>
    <row r="8199" spans="1:18" s="904" customFormat="1">
      <c r="A8199" s="895"/>
      <c r="B8199" s="896"/>
      <c r="C8199" s="897"/>
      <c r="D8199" s="897"/>
      <c r="E8199" s="924" t="s">
        <v>276</v>
      </c>
      <c r="F8199" s="927"/>
      <c r="G8199" s="928"/>
      <c r="H8199" s="901"/>
      <c r="I8199" s="902"/>
      <c r="J8199" s="902"/>
      <c r="K8199" s="912" t="s">
        <v>274</v>
      </c>
      <c r="L8199" s="902"/>
      <c r="M8199" s="902"/>
      <c r="N8199" s="902"/>
      <c r="O8199" s="892">
        <f t="shared" si="639"/>
        <v>0</v>
      </c>
      <c r="P8199" s="903">
        <f t="shared" si="640"/>
        <v>1</v>
      </c>
      <c r="Q8199" s="893">
        <f t="shared" si="641"/>
        <v>2</v>
      </c>
      <c r="R8199" s="894">
        <f t="shared" si="642"/>
        <v>0</v>
      </c>
    </row>
    <row r="8200" spans="1:18">
      <c r="A8200" s="905"/>
      <c r="B8200" s="906"/>
      <c r="C8200" s="907">
        <v>745</v>
      </c>
      <c r="D8200" s="907" t="s">
        <v>12</v>
      </c>
      <c r="E8200" s="908" t="s">
        <v>5518</v>
      </c>
      <c r="F8200" s="909" t="s">
        <v>2674</v>
      </c>
      <c r="G8200" s="910"/>
      <c r="H8200" s="911">
        <v>32.01</v>
      </c>
      <c r="I8200" s="912"/>
      <c r="J8200" s="912"/>
      <c r="K8200" s="912">
        <f>VLOOKUP(E8200,[5]ĐMNC!$A$7:$F$67,4,0)</f>
        <v>240557</v>
      </c>
      <c r="L8200" s="912">
        <f>H8200*K8200</f>
        <v>7700229.5699999994</v>
      </c>
      <c r="M8200" s="912"/>
      <c r="N8200" s="912"/>
      <c r="O8200" s="892">
        <f t="shared" si="639"/>
        <v>0</v>
      </c>
      <c r="P8200" s="903">
        <f t="shared" si="640"/>
        <v>1</v>
      </c>
      <c r="Q8200" s="893">
        <f t="shared" si="641"/>
        <v>1</v>
      </c>
      <c r="R8200" s="894">
        <f t="shared" si="642"/>
        <v>0</v>
      </c>
    </row>
    <row r="8201" spans="1:18" s="847" customFormat="1" ht="35.25" customHeight="1">
      <c r="A8201" s="905" t="s">
        <v>6241</v>
      </c>
      <c r="B8201" s="914" t="s">
        <v>6257</v>
      </c>
      <c r="C8201" s="915"/>
      <c r="D8201" s="915"/>
      <c r="E8201" s="916" t="s">
        <v>6258</v>
      </c>
      <c r="F8201" s="917" t="s">
        <v>6094</v>
      </c>
      <c r="G8201" s="944"/>
      <c r="H8201" s="919"/>
      <c r="I8201" s="920"/>
      <c r="J8201" s="891">
        <f>SUM(J8202:J8215)</f>
        <v>2053464</v>
      </c>
      <c r="K8201" s="891" t="s">
        <v>274</v>
      </c>
      <c r="L8201" s="891">
        <f>SUM(L8202:L8215)</f>
        <v>4813545.57</v>
      </c>
      <c r="M8201" s="891"/>
      <c r="N8201" s="891">
        <f>SUM(N8202:N8215)</f>
        <v>0</v>
      </c>
      <c r="O8201" s="892">
        <f t="shared" si="639"/>
        <v>1</v>
      </c>
      <c r="P8201" s="903">
        <f t="shared" si="640"/>
        <v>0</v>
      </c>
      <c r="Q8201" s="893">
        <f t="shared" si="641"/>
        <v>0</v>
      </c>
      <c r="R8201" s="894">
        <f t="shared" si="642"/>
        <v>14</v>
      </c>
    </row>
    <row r="8202" spans="1:18" s="904" customFormat="1">
      <c r="A8202" s="895"/>
      <c r="B8202" s="896"/>
      <c r="C8202" s="897"/>
      <c r="D8202" s="897"/>
      <c r="E8202" s="898" t="s">
        <v>108</v>
      </c>
      <c r="F8202" s="899"/>
      <c r="G8202" s="928"/>
      <c r="H8202" s="901"/>
      <c r="I8202" s="902"/>
      <c r="J8202" s="902"/>
      <c r="K8202" s="912" t="s">
        <v>274</v>
      </c>
      <c r="L8202" s="902"/>
      <c r="M8202" s="902"/>
      <c r="N8202" s="902"/>
      <c r="O8202" s="892">
        <f t="shared" si="639"/>
        <v>0</v>
      </c>
      <c r="P8202" s="903">
        <f t="shared" si="640"/>
        <v>1</v>
      </c>
      <c r="Q8202" s="893">
        <f t="shared" si="641"/>
        <v>14</v>
      </c>
      <c r="R8202" s="894">
        <f t="shared" si="642"/>
        <v>0</v>
      </c>
    </row>
    <row r="8203" spans="1:18">
      <c r="A8203" s="905"/>
      <c r="B8203" s="906"/>
      <c r="C8203" s="907">
        <v>67</v>
      </c>
      <c r="D8203" s="907" t="s">
        <v>279</v>
      </c>
      <c r="E8203" s="925" t="s">
        <v>6110</v>
      </c>
      <c r="F8203" s="909" t="s">
        <v>2337</v>
      </c>
      <c r="G8203" s="910"/>
      <c r="H8203" s="911">
        <v>1</v>
      </c>
      <c r="I8203" s="912">
        <f>VLOOKUP(E8203,[3]VLP!$B$7:$K$300,10,0)</f>
        <v>16224</v>
      </c>
      <c r="J8203" s="912">
        <f t="shared" ref="J8203:J8213" si="645">I8203*H8203</f>
        <v>16224</v>
      </c>
      <c r="K8203" s="912" t="s">
        <v>274</v>
      </c>
      <c r="L8203" s="912"/>
      <c r="M8203" s="912"/>
      <c r="N8203" s="912"/>
      <c r="O8203" s="892">
        <f t="shared" si="639"/>
        <v>0</v>
      </c>
      <c r="P8203" s="903">
        <f t="shared" si="640"/>
        <v>1</v>
      </c>
      <c r="Q8203" s="893">
        <f t="shared" si="641"/>
        <v>13</v>
      </c>
      <c r="R8203" s="894">
        <f t="shared" si="642"/>
        <v>0</v>
      </c>
    </row>
    <row r="8204" spans="1:18">
      <c r="A8204" s="905"/>
      <c r="B8204" s="906"/>
      <c r="C8204" s="907">
        <v>24</v>
      </c>
      <c r="D8204" s="907" t="s">
        <v>279</v>
      </c>
      <c r="E8204" s="925" t="s">
        <v>2691</v>
      </c>
      <c r="F8204" s="926" t="s">
        <v>2690</v>
      </c>
      <c r="G8204" s="910"/>
      <c r="H8204" s="911">
        <v>7.5</v>
      </c>
      <c r="I8204" s="912">
        <f>VLOOKUP(E8204,[3]VLP!$B$7:$K$300,10,0)</f>
        <v>6000</v>
      </c>
      <c r="J8204" s="912">
        <f t="shared" si="645"/>
        <v>45000</v>
      </c>
      <c r="K8204" s="912" t="s">
        <v>274</v>
      </c>
      <c r="L8204" s="912"/>
      <c r="M8204" s="912"/>
      <c r="N8204" s="912"/>
      <c r="O8204" s="892">
        <f t="shared" si="639"/>
        <v>0</v>
      </c>
      <c r="P8204" s="903">
        <f t="shared" si="640"/>
        <v>1</v>
      </c>
      <c r="Q8204" s="893">
        <f t="shared" si="641"/>
        <v>12</v>
      </c>
      <c r="R8204" s="894">
        <f t="shared" si="642"/>
        <v>0</v>
      </c>
    </row>
    <row r="8205" spans="1:18">
      <c r="A8205" s="905"/>
      <c r="B8205" s="906"/>
      <c r="C8205" s="907">
        <v>122</v>
      </c>
      <c r="D8205" s="907" t="s">
        <v>279</v>
      </c>
      <c r="E8205" s="925" t="s">
        <v>3267</v>
      </c>
      <c r="F8205" s="909" t="s">
        <v>45</v>
      </c>
      <c r="G8205" s="910"/>
      <c r="H8205" s="911">
        <v>6</v>
      </c>
      <c r="I8205" s="912">
        <f>VLOOKUP(E8205,[3]VLP!$B$7:$K$300,10,0)</f>
        <v>30000</v>
      </c>
      <c r="J8205" s="912">
        <f t="shared" si="645"/>
        <v>180000</v>
      </c>
      <c r="K8205" s="912" t="s">
        <v>274</v>
      </c>
      <c r="L8205" s="912"/>
      <c r="M8205" s="912"/>
      <c r="N8205" s="912"/>
      <c r="O8205" s="892">
        <f t="shared" si="639"/>
        <v>0</v>
      </c>
      <c r="P8205" s="903">
        <f t="shared" si="640"/>
        <v>1</v>
      </c>
      <c r="Q8205" s="893">
        <f t="shared" si="641"/>
        <v>11</v>
      </c>
      <c r="R8205" s="894">
        <f t="shared" si="642"/>
        <v>0</v>
      </c>
    </row>
    <row r="8206" spans="1:18">
      <c r="A8206" s="905"/>
      <c r="B8206" s="906"/>
      <c r="C8206" s="907">
        <v>93</v>
      </c>
      <c r="D8206" s="907" t="s">
        <v>279</v>
      </c>
      <c r="E8206" s="925" t="s">
        <v>6111</v>
      </c>
      <c r="F8206" s="909" t="s">
        <v>45</v>
      </c>
      <c r="G8206" s="910"/>
      <c r="H8206" s="911">
        <v>0.6</v>
      </c>
      <c r="I8206" s="912">
        <f>VLOOKUP(E8206,[3]VLP!$B$7:$K$300,10,0)</f>
        <v>42000</v>
      </c>
      <c r="J8206" s="912">
        <f t="shared" si="645"/>
        <v>25200</v>
      </c>
      <c r="K8206" s="912" t="s">
        <v>274</v>
      </c>
      <c r="L8206" s="912"/>
      <c r="M8206" s="912"/>
      <c r="N8206" s="912"/>
      <c r="O8206" s="892">
        <f t="shared" si="639"/>
        <v>0</v>
      </c>
      <c r="P8206" s="903">
        <f t="shared" si="640"/>
        <v>1</v>
      </c>
      <c r="Q8206" s="893">
        <f t="shared" si="641"/>
        <v>10</v>
      </c>
      <c r="R8206" s="894">
        <f t="shared" si="642"/>
        <v>0</v>
      </c>
    </row>
    <row r="8207" spans="1:18">
      <c r="A8207" s="905"/>
      <c r="B8207" s="906"/>
      <c r="C8207" s="907">
        <v>89</v>
      </c>
      <c r="D8207" s="907" t="s">
        <v>279</v>
      </c>
      <c r="E8207" s="925" t="s">
        <v>5984</v>
      </c>
      <c r="F8207" s="909" t="s">
        <v>45</v>
      </c>
      <c r="G8207" s="910"/>
      <c r="H8207" s="911">
        <v>0.9</v>
      </c>
      <c r="I8207" s="912">
        <f>VLOOKUP(E8207,[3]VLP!$B$7:$K$300,10,0)</f>
        <v>1000</v>
      </c>
      <c r="J8207" s="912">
        <f t="shared" si="645"/>
        <v>900</v>
      </c>
      <c r="K8207" s="912" t="s">
        <v>274</v>
      </c>
      <c r="L8207" s="912"/>
      <c r="M8207" s="912"/>
      <c r="N8207" s="912"/>
      <c r="O8207" s="892">
        <f t="shared" si="639"/>
        <v>0</v>
      </c>
      <c r="P8207" s="903">
        <f t="shared" si="640"/>
        <v>1</v>
      </c>
      <c r="Q8207" s="893">
        <f t="shared" si="641"/>
        <v>9</v>
      </c>
      <c r="R8207" s="894">
        <f t="shared" si="642"/>
        <v>0</v>
      </c>
    </row>
    <row r="8208" spans="1:18">
      <c r="A8208" s="905"/>
      <c r="B8208" s="906"/>
      <c r="C8208" s="907">
        <v>47</v>
      </c>
      <c r="D8208" s="907" t="s">
        <v>279</v>
      </c>
      <c r="E8208" s="925" t="s">
        <v>3170</v>
      </c>
      <c r="F8208" s="909" t="s">
        <v>45</v>
      </c>
      <c r="G8208" s="910"/>
      <c r="H8208" s="911">
        <v>30</v>
      </c>
      <c r="I8208" s="912">
        <f>VLOOKUP(E8208,[3]VLP!$B$7:$K$300,10,0)</f>
        <v>1000</v>
      </c>
      <c r="J8208" s="912">
        <f t="shared" si="645"/>
        <v>30000</v>
      </c>
      <c r="K8208" s="912" t="s">
        <v>274</v>
      </c>
      <c r="L8208" s="912"/>
      <c r="M8208" s="912"/>
      <c r="N8208" s="912"/>
      <c r="O8208" s="892">
        <f t="shared" si="639"/>
        <v>0</v>
      </c>
      <c r="P8208" s="903">
        <f t="shared" si="640"/>
        <v>1</v>
      </c>
      <c r="Q8208" s="893">
        <f t="shared" si="641"/>
        <v>8</v>
      </c>
      <c r="R8208" s="894">
        <f t="shared" si="642"/>
        <v>0</v>
      </c>
    </row>
    <row r="8209" spans="1:18">
      <c r="A8209" s="905"/>
      <c r="B8209" s="906"/>
      <c r="C8209" s="907">
        <v>44</v>
      </c>
      <c r="D8209" s="907" t="s">
        <v>279</v>
      </c>
      <c r="E8209" s="925" t="s">
        <v>2681</v>
      </c>
      <c r="F8209" s="926" t="s">
        <v>45</v>
      </c>
      <c r="G8209" s="910"/>
      <c r="H8209" s="911">
        <v>32</v>
      </c>
      <c r="I8209" s="912">
        <f>VLOOKUP(E8209,[3]VLP!$B$7:$K$300,10,0)</f>
        <v>23000</v>
      </c>
      <c r="J8209" s="912">
        <f t="shared" si="645"/>
        <v>736000</v>
      </c>
      <c r="K8209" s="912" t="s">
        <v>274</v>
      </c>
      <c r="L8209" s="912"/>
      <c r="M8209" s="912"/>
      <c r="N8209" s="912"/>
      <c r="O8209" s="892">
        <f t="shared" si="639"/>
        <v>0</v>
      </c>
      <c r="P8209" s="903">
        <f t="shared" si="640"/>
        <v>1</v>
      </c>
      <c r="Q8209" s="893">
        <f t="shared" si="641"/>
        <v>7</v>
      </c>
      <c r="R8209" s="894">
        <f t="shared" si="642"/>
        <v>0</v>
      </c>
    </row>
    <row r="8210" spans="1:18">
      <c r="A8210" s="905"/>
      <c r="B8210" s="906"/>
      <c r="C8210" s="907">
        <v>66</v>
      </c>
      <c r="D8210" s="907" t="s">
        <v>279</v>
      </c>
      <c r="E8210" s="925" t="s">
        <v>2682</v>
      </c>
      <c r="F8210" s="926" t="s">
        <v>45</v>
      </c>
      <c r="G8210" s="910"/>
      <c r="H8210" s="911">
        <v>1.5</v>
      </c>
      <c r="I8210" s="912">
        <f>VLOOKUP(E8210,[3]VLP!$B$7:$K$300,10,0)</f>
        <v>5000</v>
      </c>
      <c r="J8210" s="912">
        <f t="shared" si="645"/>
        <v>7500</v>
      </c>
      <c r="K8210" s="912" t="s">
        <v>274</v>
      </c>
      <c r="L8210" s="912"/>
      <c r="M8210" s="912"/>
      <c r="N8210" s="912"/>
      <c r="O8210" s="892">
        <f t="shared" si="639"/>
        <v>0</v>
      </c>
      <c r="P8210" s="903">
        <f t="shared" si="640"/>
        <v>1</v>
      </c>
      <c r="Q8210" s="893">
        <f t="shared" si="641"/>
        <v>6</v>
      </c>
      <c r="R8210" s="894">
        <f t="shared" si="642"/>
        <v>0</v>
      </c>
    </row>
    <row r="8211" spans="1:18">
      <c r="A8211" s="905"/>
      <c r="B8211" s="906"/>
      <c r="C8211" s="907">
        <v>46</v>
      </c>
      <c r="D8211" s="907" t="s">
        <v>279</v>
      </c>
      <c r="E8211" s="925" t="s">
        <v>3179</v>
      </c>
      <c r="F8211" s="926" t="s">
        <v>45</v>
      </c>
      <c r="G8211" s="910"/>
      <c r="H8211" s="911">
        <v>40</v>
      </c>
      <c r="I8211" s="912">
        <f>VLOOKUP(E8211,[3]VLP!$B$7:$K$300,10,0)</f>
        <v>20500</v>
      </c>
      <c r="J8211" s="912">
        <f t="shared" si="645"/>
        <v>820000</v>
      </c>
      <c r="K8211" s="912" t="s">
        <v>274</v>
      </c>
      <c r="L8211" s="912"/>
      <c r="M8211" s="912"/>
      <c r="N8211" s="912"/>
      <c r="O8211" s="892">
        <f t="shared" si="639"/>
        <v>0</v>
      </c>
      <c r="P8211" s="903">
        <f t="shared" si="640"/>
        <v>1</v>
      </c>
      <c r="Q8211" s="893">
        <f t="shared" si="641"/>
        <v>5</v>
      </c>
      <c r="R8211" s="894">
        <f t="shared" si="642"/>
        <v>0</v>
      </c>
    </row>
    <row r="8212" spans="1:18">
      <c r="A8212" s="905"/>
      <c r="B8212" s="906"/>
      <c r="C8212" s="907">
        <v>58</v>
      </c>
      <c r="D8212" s="907" t="s">
        <v>279</v>
      </c>
      <c r="E8212" s="925" t="s">
        <v>3190</v>
      </c>
      <c r="F8212" s="926" t="s">
        <v>45</v>
      </c>
      <c r="G8212" s="910"/>
      <c r="H8212" s="911">
        <v>6</v>
      </c>
      <c r="I8212" s="912">
        <f>VLOOKUP(E8212,[3]VLP!$B$7:$K$300,10,0)</f>
        <v>27940</v>
      </c>
      <c r="J8212" s="912">
        <f t="shared" si="645"/>
        <v>167640</v>
      </c>
      <c r="K8212" s="912" t="s">
        <v>274</v>
      </c>
      <c r="L8212" s="912"/>
      <c r="M8212" s="912"/>
      <c r="N8212" s="912"/>
      <c r="O8212" s="892">
        <f t="shared" si="639"/>
        <v>0</v>
      </c>
      <c r="P8212" s="903">
        <f t="shared" si="640"/>
        <v>1</v>
      </c>
      <c r="Q8212" s="893">
        <f t="shared" si="641"/>
        <v>4</v>
      </c>
      <c r="R8212" s="894">
        <f t="shared" si="642"/>
        <v>0</v>
      </c>
    </row>
    <row r="8213" spans="1:18">
      <c r="A8213" s="905"/>
      <c r="B8213" s="906"/>
      <c r="C8213" s="907">
        <v>699</v>
      </c>
      <c r="D8213" s="907" t="s">
        <v>279</v>
      </c>
      <c r="E8213" s="925" t="s">
        <v>4006</v>
      </c>
      <c r="F8213" s="926" t="s">
        <v>4007</v>
      </c>
      <c r="G8213" s="910"/>
      <c r="H8213" s="911">
        <v>5</v>
      </c>
      <c r="I8213" s="912">
        <f>VLOOKUP(E8213,[3]VLP!$B$7:$K$300,10,0)</f>
        <v>5000</v>
      </c>
      <c r="J8213" s="912">
        <f t="shared" si="645"/>
        <v>25000</v>
      </c>
      <c r="K8213" s="912" t="s">
        <v>274</v>
      </c>
      <c r="L8213" s="912"/>
      <c r="M8213" s="912"/>
      <c r="N8213" s="912"/>
      <c r="O8213" s="892">
        <f t="shared" si="639"/>
        <v>0</v>
      </c>
      <c r="P8213" s="903">
        <f t="shared" si="640"/>
        <v>1</v>
      </c>
      <c r="Q8213" s="893">
        <f t="shared" si="641"/>
        <v>3</v>
      </c>
      <c r="R8213" s="894">
        <f t="shared" si="642"/>
        <v>0</v>
      </c>
    </row>
    <row r="8214" spans="1:18" s="904" customFormat="1">
      <c r="A8214" s="895"/>
      <c r="B8214" s="896"/>
      <c r="C8214" s="897"/>
      <c r="D8214" s="897"/>
      <c r="E8214" s="924" t="s">
        <v>276</v>
      </c>
      <c r="F8214" s="927"/>
      <c r="G8214" s="928"/>
      <c r="H8214" s="901"/>
      <c r="I8214" s="902"/>
      <c r="J8214" s="902"/>
      <c r="K8214" s="912" t="s">
        <v>274</v>
      </c>
      <c r="L8214" s="902"/>
      <c r="M8214" s="902"/>
      <c r="N8214" s="902"/>
      <c r="O8214" s="892">
        <f t="shared" si="639"/>
        <v>0</v>
      </c>
      <c r="P8214" s="903">
        <f t="shared" si="640"/>
        <v>1</v>
      </c>
      <c r="Q8214" s="893">
        <f t="shared" si="641"/>
        <v>2</v>
      </c>
      <c r="R8214" s="894">
        <f t="shared" si="642"/>
        <v>0</v>
      </c>
    </row>
    <row r="8215" spans="1:18">
      <c r="A8215" s="905"/>
      <c r="B8215" s="906"/>
      <c r="C8215" s="907">
        <v>745</v>
      </c>
      <c r="D8215" s="907" t="s">
        <v>12</v>
      </c>
      <c r="E8215" s="908" t="s">
        <v>5518</v>
      </c>
      <c r="F8215" s="909" t="s">
        <v>2674</v>
      </c>
      <c r="G8215" s="910"/>
      <c r="H8215" s="911">
        <v>20.010000000000002</v>
      </c>
      <c r="I8215" s="912"/>
      <c r="J8215" s="912"/>
      <c r="K8215" s="912">
        <f>VLOOKUP(E8215,[5]ĐMNC!$A$7:$F$67,4,0)</f>
        <v>240557</v>
      </c>
      <c r="L8215" s="912">
        <f>H8215*K8215</f>
        <v>4813545.57</v>
      </c>
      <c r="M8215" s="912"/>
      <c r="N8215" s="912"/>
      <c r="O8215" s="892">
        <f t="shared" si="639"/>
        <v>0</v>
      </c>
      <c r="P8215" s="903">
        <f t="shared" si="640"/>
        <v>1</v>
      </c>
      <c r="Q8215" s="893">
        <f t="shared" si="641"/>
        <v>1</v>
      </c>
      <c r="R8215" s="894">
        <f t="shared" si="642"/>
        <v>0</v>
      </c>
    </row>
    <row r="8216" spans="1:18" s="847" customFormat="1" ht="35.25" customHeight="1">
      <c r="A8216" s="905"/>
      <c r="B8216" s="914" t="s">
        <v>6259</v>
      </c>
      <c r="C8216" s="915"/>
      <c r="D8216" s="915"/>
      <c r="E8216" s="916" t="s">
        <v>6260</v>
      </c>
      <c r="F8216" s="917" t="s">
        <v>6094</v>
      </c>
      <c r="G8216" s="944"/>
      <c r="H8216" s="919"/>
      <c r="I8216" s="920"/>
      <c r="J8216" s="891">
        <f>SUM(J8217:J8230)</f>
        <v>2057520</v>
      </c>
      <c r="K8216" s="891" t="s">
        <v>274</v>
      </c>
      <c r="L8216" s="891">
        <f>SUM(L8217:L8230)</f>
        <v>5229709.18</v>
      </c>
      <c r="M8216" s="891"/>
      <c r="N8216" s="891">
        <f>SUM(N8217:N8230)</f>
        <v>0</v>
      </c>
      <c r="O8216" s="892">
        <f t="shared" si="639"/>
        <v>1</v>
      </c>
      <c r="P8216" s="903">
        <f t="shared" si="640"/>
        <v>0</v>
      </c>
      <c r="Q8216" s="893">
        <f t="shared" si="641"/>
        <v>0</v>
      </c>
      <c r="R8216" s="894">
        <f t="shared" si="642"/>
        <v>14</v>
      </c>
    </row>
    <row r="8217" spans="1:18" s="904" customFormat="1">
      <c r="A8217" s="895"/>
      <c r="B8217" s="896"/>
      <c r="C8217" s="897"/>
      <c r="D8217" s="897"/>
      <c r="E8217" s="898" t="s">
        <v>108</v>
      </c>
      <c r="F8217" s="899"/>
      <c r="G8217" s="928"/>
      <c r="H8217" s="901"/>
      <c r="I8217" s="902"/>
      <c r="J8217" s="902"/>
      <c r="K8217" s="912" t="s">
        <v>274</v>
      </c>
      <c r="L8217" s="902"/>
      <c r="M8217" s="902"/>
      <c r="N8217" s="902"/>
      <c r="O8217" s="892">
        <f t="shared" si="639"/>
        <v>0</v>
      </c>
      <c r="P8217" s="903">
        <f t="shared" si="640"/>
        <v>1</v>
      </c>
      <c r="Q8217" s="893">
        <f t="shared" si="641"/>
        <v>14</v>
      </c>
      <c r="R8217" s="894">
        <f t="shared" si="642"/>
        <v>0</v>
      </c>
    </row>
    <row r="8218" spans="1:18">
      <c r="A8218" s="905"/>
      <c r="B8218" s="906"/>
      <c r="C8218" s="907">
        <v>68</v>
      </c>
      <c r="D8218" s="907" t="s">
        <v>279</v>
      </c>
      <c r="E8218" s="925" t="s">
        <v>6114</v>
      </c>
      <c r="F8218" s="909" t="s">
        <v>2337</v>
      </c>
      <c r="G8218" s="910"/>
      <c r="H8218" s="911">
        <v>1</v>
      </c>
      <c r="I8218" s="912">
        <f>VLOOKUP(E8218,[3]VLP!$B$7:$K$300,10,0)</f>
        <v>20280</v>
      </c>
      <c r="J8218" s="912">
        <f t="shared" ref="J8218:J8228" si="646">I8218*H8218</f>
        <v>20280</v>
      </c>
      <c r="K8218" s="912" t="s">
        <v>274</v>
      </c>
      <c r="L8218" s="912"/>
      <c r="M8218" s="912"/>
      <c r="N8218" s="912"/>
      <c r="O8218" s="892">
        <f t="shared" si="639"/>
        <v>0</v>
      </c>
      <c r="P8218" s="903">
        <f t="shared" si="640"/>
        <v>1</v>
      </c>
      <c r="Q8218" s="893">
        <f t="shared" si="641"/>
        <v>13</v>
      </c>
      <c r="R8218" s="894">
        <f t="shared" si="642"/>
        <v>0</v>
      </c>
    </row>
    <row r="8219" spans="1:18">
      <c r="A8219" s="905"/>
      <c r="B8219" s="906"/>
      <c r="C8219" s="907">
        <v>24</v>
      </c>
      <c r="D8219" s="907" t="s">
        <v>279</v>
      </c>
      <c r="E8219" s="925" t="s">
        <v>2691</v>
      </c>
      <c r="F8219" s="926" t="s">
        <v>2690</v>
      </c>
      <c r="G8219" s="910"/>
      <c r="H8219" s="911">
        <v>7.5</v>
      </c>
      <c r="I8219" s="912">
        <f>VLOOKUP(E8219,[3]VLP!$B$7:$K$300,10,0)</f>
        <v>6000</v>
      </c>
      <c r="J8219" s="912">
        <f t="shared" si="646"/>
        <v>45000</v>
      </c>
      <c r="K8219" s="912" t="s">
        <v>274</v>
      </c>
      <c r="L8219" s="912"/>
      <c r="M8219" s="912"/>
      <c r="N8219" s="912"/>
      <c r="O8219" s="892">
        <f t="shared" si="639"/>
        <v>0</v>
      </c>
      <c r="P8219" s="903">
        <f t="shared" si="640"/>
        <v>1</v>
      </c>
      <c r="Q8219" s="893">
        <f t="shared" si="641"/>
        <v>12</v>
      </c>
      <c r="R8219" s="894">
        <f t="shared" si="642"/>
        <v>0</v>
      </c>
    </row>
    <row r="8220" spans="1:18">
      <c r="A8220" s="905"/>
      <c r="B8220" s="906"/>
      <c r="C8220" s="907">
        <v>122</v>
      </c>
      <c r="D8220" s="907" t="s">
        <v>279</v>
      </c>
      <c r="E8220" s="925" t="s">
        <v>3267</v>
      </c>
      <c r="F8220" s="909" t="s">
        <v>45</v>
      </c>
      <c r="G8220" s="910"/>
      <c r="H8220" s="911">
        <v>6</v>
      </c>
      <c r="I8220" s="912">
        <f>VLOOKUP(E8220,[3]VLP!$B$7:$K$300,10,0)</f>
        <v>30000</v>
      </c>
      <c r="J8220" s="912">
        <f t="shared" si="646"/>
        <v>180000</v>
      </c>
      <c r="K8220" s="912" t="s">
        <v>274</v>
      </c>
      <c r="L8220" s="912"/>
      <c r="M8220" s="912"/>
      <c r="N8220" s="912"/>
      <c r="O8220" s="892">
        <f t="shared" si="639"/>
        <v>0</v>
      </c>
      <c r="P8220" s="903">
        <f t="shared" si="640"/>
        <v>1</v>
      </c>
      <c r="Q8220" s="893">
        <f t="shared" si="641"/>
        <v>11</v>
      </c>
      <c r="R8220" s="894">
        <f t="shared" si="642"/>
        <v>0</v>
      </c>
    </row>
    <row r="8221" spans="1:18">
      <c r="A8221" s="905"/>
      <c r="B8221" s="906"/>
      <c r="C8221" s="907">
        <v>93</v>
      </c>
      <c r="D8221" s="907" t="s">
        <v>279</v>
      </c>
      <c r="E8221" s="925" t="s">
        <v>6111</v>
      </c>
      <c r="F8221" s="909" t="s">
        <v>45</v>
      </c>
      <c r="G8221" s="910"/>
      <c r="H8221" s="911">
        <v>0.6</v>
      </c>
      <c r="I8221" s="912">
        <f>VLOOKUP(E8221,[3]VLP!$B$7:$K$300,10,0)</f>
        <v>42000</v>
      </c>
      <c r="J8221" s="912">
        <f t="shared" si="646"/>
        <v>25200</v>
      </c>
      <c r="K8221" s="912" t="s">
        <v>274</v>
      </c>
      <c r="L8221" s="912"/>
      <c r="M8221" s="912"/>
      <c r="N8221" s="912"/>
      <c r="O8221" s="892">
        <f t="shared" si="639"/>
        <v>0</v>
      </c>
      <c r="P8221" s="903">
        <f t="shared" si="640"/>
        <v>1</v>
      </c>
      <c r="Q8221" s="893">
        <f t="shared" si="641"/>
        <v>10</v>
      </c>
      <c r="R8221" s="894">
        <f t="shared" si="642"/>
        <v>0</v>
      </c>
    </row>
    <row r="8222" spans="1:18">
      <c r="A8222" s="905"/>
      <c r="B8222" s="906"/>
      <c r="C8222" s="907">
        <v>89</v>
      </c>
      <c r="D8222" s="907" t="s">
        <v>279</v>
      </c>
      <c r="E8222" s="925" t="s">
        <v>5984</v>
      </c>
      <c r="F8222" s="909" t="s">
        <v>45</v>
      </c>
      <c r="G8222" s="910"/>
      <c r="H8222" s="911">
        <v>0.9</v>
      </c>
      <c r="I8222" s="912">
        <f>VLOOKUP(E8222,[3]VLP!$B$7:$K$300,10,0)</f>
        <v>1000</v>
      </c>
      <c r="J8222" s="912">
        <f t="shared" si="646"/>
        <v>900</v>
      </c>
      <c r="K8222" s="912" t="s">
        <v>274</v>
      </c>
      <c r="L8222" s="912"/>
      <c r="M8222" s="912"/>
      <c r="N8222" s="912"/>
      <c r="O8222" s="892">
        <f t="shared" si="639"/>
        <v>0</v>
      </c>
      <c r="P8222" s="903">
        <f t="shared" si="640"/>
        <v>1</v>
      </c>
      <c r="Q8222" s="893">
        <f t="shared" si="641"/>
        <v>9</v>
      </c>
      <c r="R8222" s="894">
        <f t="shared" si="642"/>
        <v>0</v>
      </c>
    </row>
    <row r="8223" spans="1:18">
      <c r="A8223" s="905"/>
      <c r="B8223" s="906"/>
      <c r="C8223" s="907">
        <v>47</v>
      </c>
      <c r="D8223" s="907" t="s">
        <v>279</v>
      </c>
      <c r="E8223" s="925" t="s">
        <v>3170</v>
      </c>
      <c r="F8223" s="909" t="s">
        <v>45</v>
      </c>
      <c r="G8223" s="910"/>
      <c r="H8223" s="911">
        <v>30</v>
      </c>
      <c r="I8223" s="912">
        <f>VLOOKUP(E8223,[3]VLP!$B$7:$K$300,10,0)</f>
        <v>1000</v>
      </c>
      <c r="J8223" s="912">
        <f t="shared" si="646"/>
        <v>30000</v>
      </c>
      <c r="K8223" s="912" t="s">
        <v>274</v>
      </c>
      <c r="L8223" s="912"/>
      <c r="M8223" s="912"/>
      <c r="N8223" s="912"/>
      <c r="O8223" s="892">
        <f t="shared" ref="O8223:O8286" si="647">IF(AND(B8223&lt;&gt;"",D8223=""),1,0)</f>
        <v>0</v>
      </c>
      <c r="P8223" s="903">
        <f t="shared" si="640"/>
        <v>1</v>
      </c>
      <c r="Q8223" s="893">
        <f t="shared" si="641"/>
        <v>8</v>
      </c>
      <c r="R8223" s="894">
        <f t="shared" si="642"/>
        <v>0</v>
      </c>
    </row>
    <row r="8224" spans="1:18">
      <c r="A8224" s="905"/>
      <c r="B8224" s="906"/>
      <c r="C8224" s="907">
        <v>44</v>
      </c>
      <c r="D8224" s="907" t="s">
        <v>279</v>
      </c>
      <c r="E8224" s="925" t="s">
        <v>2681</v>
      </c>
      <c r="F8224" s="926" t="s">
        <v>45</v>
      </c>
      <c r="G8224" s="910"/>
      <c r="H8224" s="911">
        <v>32</v>
      </c>
      <c r="I8224" s="912">
        <f>VLOOKUP(E8224,[3]VLP!$B$7:$K$300,10,0)</f>
        <v>23000</v>
      </c>
      <c r="J8224" s="912">
        <f t="shared" si="646"/>
        <v>736000</v>
      </c>
      <c r="K8224" s="912" t="s">
        <v>274</v>
      </c>
      <c r="L8224" s="912"/>
      <c r="M8224" s="912"/>
      <c r="N8224" s="912"/>
      <c r="O8224" s="892">
        <f t="shared" si="647"/>
        <v>0</v>
      </c>
      <c r="P8224" s="903">
        <f t="shared" si="640"/>
        <v>1</v>
      </c>
      <c r="Q8224" s="893">
        <f t="shared" si="641"/>
        <v>7</v>
      </c>
      <c r="R8224" s="894">
        <f t="shared" si="642"/>
        <v>0</v>
      </c>
    </row>
    <row r="8225" spans="1:18">
      <c r="A8225" s="905"/>
      <c r="B8225" s="906"/>
      <c r="C8225" s="907">
        <v>66</v>
      </c>
      <c r="D8225" s="907" t="s">
        <v>279</v>
      </c>
      <c r="E8225" s="925" t="s">
        <v>2682</v>
      </c>
      <c r="F8225" s="926" t="s">
        <v>45</v>
      </c>
      <c r="G8225" s="910"/>
      <c r="H8225" s="911">
        <v>1.5</v>
      </c>
      <c r="I8225" s="912">
        <f>VLOOKUP(E8225,[3]VLP!$B$7:$K$300,10,0)</f>
        <v>5000</v>
      </c>
      <c r="J8225" s="912">
        <f t="shared" si="646"/>
        <v>7500</v>
      </c>
      <c r="K8225" s="912" t="s">
        <v>274</v>
      </c>
      <c r="L8225" s="912"/>
      <c r="M8225" s="912"/>
      <c r="N8225" s="912"/>
      <c r="O8225" s="892">
        <f t="shared" si="647"/>
        <v>0</v>
      </c>
      <c r="P8225" s="903">
        <f t="shared" si="640"/>
        <v>1</v>
      </c>
      <c r="Q8225" s="893">
        <f t="shared" si="641"/>
        <v>6</v>
      </c>
      <c r="R8225" s="894">
        <f t="shared" si="642"/>
        <v>0</v>
      </c>
    </row>
    <row r="8226" spans="1:18">
      <c r="A8226" s="905"/>
      <c r="B8226" s="906"/>
      <c r="C8226" s="907">
        <v>46</v>
      </c>
      <c r="D8226" s="907" t="s">
        <v>279</v>
      </c>
      <c r="E8226" s="925" t="s">
        <v>3179</v>
      </c>
      <c r="F8226" s="926" t="s">
        <v>45</v>
      </c>
      <c r="G8226" s="910"/>
      <c r="H8226" s="911">
        <v>40</v>
      </c>
      <c r="I8226" s="912">
        <f>VLOOKUP(E8226,[3]VLP!$B$7:$K$300,10,0)</f>
        <v>20500</v>
      </c>
      <c r="J8226" s="912">
        <f t="shared" si="646"/>
        <v>820000</v>
      </c>
      <c r="K8226" s="912" t="s">
        <v>274</v>
      </c>
      <c r="L8226" s="912"/>
      <c r="M8226" s="912"/>
      <c r="N8226" s="912"/>
      <c r="O8226" s="892">
        <f t="shared" si="647"/>
        <v>0</v>
      </c>
      <c r="P8226" s="903">
        <f t="shared" si="640"/>
        <v>1</v>
      </c>
      <c r="Q8226" s="893">
        <f t="shared" si="641"/>
        <v>5</v>
      </c>
      <c r="R8226" s="894">
        <f t="shared" si="642"/>
        <v>0</v>
      </c>
    </row>
    <row r="8227" spans="1:18">
      <c r="A8227" s="905"/>
      <c r="B8227" s="906"/>
      <c r="C8227" s="907">
        <v>58</v>
      </c>
      <c r="D8227" s="907" t="s">
        <v>279</v>
      </c>
      <c r="E8227" s="925" t="s">
        <v>3190</v>
      </c>
      <c r="F8227" s="926" t="s">
        <v>45</v>
      </c>
      <c r="G8227" s="910"/>
      <c r="H8227" s="911">
        <v>6</v>
      </c>
      <c r="I8227" s="912">
        <f>VLOOKUP(E8227,[3]VLP!$B$7:$K$300,10,0)</f>
        <v>27940</v>
      </c>
      <c r="J8227" s="912">
        <f t="shared" si="646"/>
        <v>167640</v>
      </c>
      <c r="K8227" s="912" t="s">
        <v>274</v>
      </c>
      <c r="L8227" s="912"/>
      <c r="M8227" s="912"/>
      <c r="N8227" s="912"/>
      <c r="O8227" s="892">
        <f t="shared" si="647"/>
        <v>0</v>
      </c>
      <c r="P8227" s="903">
        <f t="shared" si="640"/>
        <v>1</v>
      </c>
      <c r="Q8227" s="893">
        <f t="shared" si="641"/>
        <v>4</v>
      </c>
      <c r="R8227" s="894">
        <f t="shared" si="642"/>
        <v>0</v>
      </c>
    </row>
    <row r="8228" spans="1:18">
      <c r="A8228" s="905"/>
      <c r="B8228" s="906"/>
      <c r="C8228" s="907">
        <v>699</v>
      </c>
      <c r="D8228" s="907" t="s">
        <v>279</v>
      </c>
      <c r="E8228" s="925" t="s">
        <v>4006</v>
      </c>
      <c r="F8228" s="926" t="s">
        <v>4007</v>
      </c>
      <c r="G8228" s="910"/>
      <c r="H8228" s="911">
        <v>5</v>
      </c>
      <c r="I8228" s="912">
        <f>VLOOKUP(E8228,[3]VLP!$B$7:$K$300,10,0)</f>
        <v>5000</v>
      </c>
      <c r="J8228" s="912">
        <f t="shared" si="646"/>
        <v>25000</v>
      </c>
      <c r="K8228" s="912" t="s">
        <v>274</v>
      </c>
      <c r="L8228" s="912"/>
      <c r="M8228" s="912"/>
      <c r="N8228" s="912"/>
      <c r="O8228" s="892">
        <f t="shared" si="647"/>
        <v>0</v>
      </c>
      <c r="P8228" s="903">
        <f t="shared" si="640"/>
        <v>1</v>
      </c>
      <c r="Q8228" s="893">
        <f t="shared" si="641"/>
        <v>3</v>
      </c>
      <c r="R8228" s="894">
        <f t="shared" si="642"/>
        <v>0</v>
      </c>
    </row>
    <row r="8229" spans="1:18" s="904" customFormat="1">
      <c r="A8229" s="895"/>
      <c r="B8229" s="896"/>
      <c r="C8229" s="897"/>
      <c r="D8229" s="897"/>
      <c r="E8229" s="924" t="s">
        <v>276</v>
      </c>
      <c r="F8229" s="927"/>
      <c r="G8229" s="928"/>
      <c r="H8229" s="901"/>
      <c r="I8229" s="902"/>
      <c r="J8229" s="902"/>
      <c r="K8229" s="912" t="s">
        <v>274</v>
      </c>
      <c r="L8229" s="902"/>
      <c r="M8229" s="902"/>
      <c r="N8229" s="902"/>
      <c r="O8229" s="892">
        <f t="shared" si="647"/>
        <v>0</v>
      </c>
      <c r="P8229" s="903">
        <f t="shared" si="640"/>
        <v>1</v>
      </c>
      <c r="Q8229" s="893">
        <f t="shared" si="641"/>
        <v>2</v>
      </c>
      <c r="R8229" s="894">
        <f t="shared" si="642"/>
        <v>0</v>
      </c>
    </row>
    <row r="8230" spans="1:18">
      <c r="A8230" s="905"/>
      <c r="B8230" s="906"/>
      <c r="C8230" s="907">
        <v>745</v>
      </c>
      <c r="D8230" s="907" t="s">
        <v>12</v>
      </c>
      <c r="E8230" s="908" t="s">
        <v>5518</v>
      </c>
      <c r="F8230" s="909" t="s">
        <v>2674</v>
      </c>
      <c r="G8230" s="910"/>
      <c r="H8230" s="911">
        <v>21.74</v>
      </c>
      <c r="I8230" s="912"/>
      <c r="J8230" s="912"/>
      <c r="K8230" s="912">
        <f>VLOOKUP(E8230,[5]ĐMNC!$A$7:$F$67,4,0)</f>
        <v>240557</v>
      </c>
      <c r="L8230" s="912">
        <f>H8230*K8230</f>
        <v>5229709.18</v>
      </c>
      <c r="M8230" s="912"/>
      <c r="N8230" s="912"/>
      <c r="O8230" s="892">
        <f t="shared" si="647"/>
        <v>0</v>
      </c>
      <c r="P8230" s="903">
        <f t="shared" si="640"/>
        <v>1</v>
      </c>
      <c r="Q8230" s="893">
        <f t="shared" si="641"/>
        <v>1</v>
      </c>
      <c r="R8230" s="894">
        <f t="shared" si="642"/>
        <v>0</v>
      </c>
    </row>
    <row r="8231" spans="1:18" s="847" customFormat="1" ht="35.25" customHeight="1">
      <c r="A8231" s="905"/>
      <c r="B8231" s="914" t="s">
        <v>6261</v>
      </c>
      <c r="C8231" s="915"/>
      <c r="D8231" s="915"/>
      <c r="E8231" s="916" t="s">
        <v>6262</v>
      </c>
      <c r="F8231" s="917" t="s">
        <v>6094</v>
      </c>
      <c r="G8231" s="944"/>
      <c r="H8231" s="919"/>
      <c r="I8231" s="920"/>
      <c r="J8231" s="891">
        <f>SUM(J8232:J8245)</f>
        <v>2517380</v>
      </c>
      <c r="K8231" s="891" t="s">
        <v>274</v>
      </c>
      <c r="L8231" s="891">
        <f>SUM(L8232:L8245)</f>
        <v>5823884.9700000007</v>
      </c>
      <c r="M8231" s="891"/>
      <c r="N8231" s="891">
        <f>SUM(N8232:N8245)</f>
        <v>0</v>
      </c>
      <c r="O8231" s="892">
        <f t="shared" si="647"/>
        <v>1</v>
      </c>
      <c r="P8231" s="903">
        <f t="shared" si="640"/>
        <v>0</v>
      </c>
      <c r="Q8231" s="893">
        <f t="shared" si="641"/>
        <v>0</v>
      </c>
      <c r="R8231" s="894">
        <f t="shared" si="642"/>
        <v>14</v>
      </c>
    </row>
    <row r="8232" spans="1:18" s="904" customFormat="1">
      <c r="A8232" s="895"/>
      <c r="B8232" s="896"/>
      <c r="C8232" s="897"/>
      <c r="D8232" s="897"/>
      <c r="E8232" s="898" t="s">
        <v>108</v>
      </c>
      <c r="F8232" s="899"/>
      <c r="G8232" s="928"/>
      <c r="H8232" s="901"/>
      <c r="I8232" s="902"/>
      <c r="J8232" s="902"/>
      <c r="K8232" s="912" t="s">
        <v>274</v>
      </c>
      <c r="L8232" s="902"/>
      <c r="M8232" s="902"/>
      <c r="N8232" s="902"/>
      <c r="O8232" s="892">
        <f t="shared" si="647"/>
        <v>0</v>
      </c>
      <c r="P8232" s="903">
        <f t="shared" ref="P8232:P8295" si="648">IF(O8232=0,1,0)</f>
        <v>1</v>
      </c>
      <c r="Q8232" s="893">
        <f t="shared" ref="Q8232:Q8295" si="649">IF(P8232=0,0,P8232+Q8233)</f>
        <v>14</v>
      </c>
      <c r="R8232" s="894">
        <f t="shared" ref="R8232:R8295" si="650">IF(Q8232=0,Q8233,0)</f>
        <v>0</v>
      </c>
    </row>
    <row r="8233" spans="1:18">
      <c r="A8233" s="905"/>
      <c r="B8233" s="906"/>
      <c r="C8233" s="907">
        <v>69</v>
      </c>
      <c r="D8233" s="907" t="s">
        <v>279</v>
      </c>
      <c r="E8233" s="925" t="s">
        <v>6117</v>
      </c>
      <c r="F8233" s="909" t="s">
        <v>2337</v>
      </c>
      <c r="G8233" s="910"/>
      <c r="H8233" s="911">
        <v>1</v>
      </c>
      <c r="I8233" s="912">
        <f>VLOOKUP(E8233,[3]VLP!$B$7:$K$300,10,0)</f>
        <v>27040</v>
      </c>
      <c r="J8233" s="912">
        <f t="shared" ref="J8233:J8243" si="651">I8233*H8233</f>
        <v>27040</v>
      </c>
      <c r="K8233" s="912" t="s">
        <v>274</v>
      </c>
      <c r="L8233" s="912"/>
      <c r="M8233" s="912"/>
      <c r="N8233" s="912"/>
      <c r="O8233" s="892">
        <f t="shared" si="647"/>
        <v>0</v>
      </c>
      <c r="P8233" s="903">
        <f t="shared" si="648"/>
        <v>1</v>
      </c>
      <c r="Q8233" s="893">
        <f t="shared" si="649"/>
        <v>13</v>
      </c>
      <c r="R8233" s="894">
        <f t="shared" si="650"/>
        <v>0</v>
      </c>
    </row>
    <row r="8234" spans="1:18">
      <c r="A8234" s="905"/>
      <c r="B8234" s="906"/>
      <c r="C8234" s="907">
        <v>24</v>
      </c>
      <c r="D8234" s="907" t="s">
        <v>279</v>
      </c>
      <c r="E8234" s="925" t="s">
        <v>2691</v>
      </c>
      <c r="F8234" s="926" t="s">
        <v>2690</v>
      </c>
      <c r="G8234" s="910"/>
      <c r="H8234" s="911">
        <v>9</v>
      </c>
      <c r="I8234" s="912">
        <f>VLOOKUP(E8234,[3]VLP!$B$7:$K$300,10,0)</f>
        <v>6000</v>
      </c>
      <c r="J8234" s="912">
        <f t="shared" si="651"/>
        <v>54000</v>
      </c>
      <c r="K8234" s="912" t="s">
        <v>274</v>
      </c>
      <c r="L8234" s="912"/>
      <c r="M8234" s="912"/>
      <c r="N8234" s="912"/>
      <c r="O8234" s="892">
        <f t="shared" si="647"/>
        <v>0</v>
      </c>
      <c r="P8234" s="903">
        <f t="shared" si="648"/>
        <v>1</v>
      </c>
      <c r="Q8234" s="893">
        <f t="shared" si="649"/>
        <v>12</v>
      </c>
      <c r="R8234" s="894">
        <f t="shared" si="650"/>
        <v>0</v>
      </c>
    </row>
    <row r="8235" spans="1:18">
      <c r="A8235" s="905"/>
      <c r="B8235" s="906"/>
      <c r="C8235" s="907">
        <v>122</v>
      </c>
      <c r="D8235" s="907" t="s">
        <v>279</v>
      </c>
      <c r="E8235" s="925" t="s">
        <v>3267</v>
      </c>
      <c r="F8235" s="909" t="s">
        <v>45</v>
      </c>
      <c r="G8235" s="910"/>
      <c r="H8235" s="911">
        <v>7.5</v>
      </c>
      <c r="I8235" s="912">
        <f>VLOOKUP(E8235,[3]VLP!$B$7:$K$300,10,0)</f>
        <v>30000</v>
      </c>
      <c r="J8235" s="912">
        <f t="shared" si="651"/>
        <v>225000</v>
      </c>
      <c r="K8235" s="912" t="s">
        <v>274</v>
      </c>
      <c r="L8235" s="912"/>
      <c r="M8235" s="912"/>
      <c r="N8235" s="912"/>
      <c r="O8235" s="892">
        <f t="shared" si="647"/>
        <v>0</v>
      </c>
      <c r="P8235" s="903">
        <f t="shared" si="648"/>
        <v>1</v>
      </c>
      <c r="Q8235" s="893">
        <f t="shared" si="649"/>
        <v>11</v>
      </c>
      <c r="R8235" s="894">
        <f t="shared" si="650"/>
        <v>0</v>
      </c>
    </row>
    <row r="8236" spans="1:18">
      <c r="A8236" s="905"/>
      <c r="B8236" s="906"/>
      <c r="C8236" s="907">
        <v>93</v>
      </c>
      <c r="D8236" s="907" t="s">
        <v>279</v>
      </c>
      <c r="E8236" s="925" t="s">
        <v>6111</v>
      </c>
      <c r="F8236" s="909" t="s">
        <v>45</v>
      </c>
      <c r="G8236" s="910"/>
      <c r="H8236" s="911">
        <v>0.75</v>
      </c>
      <c r="I8236" s="912">
        <f>VLOOKUP(E8236,[3]VLP!$B$7:$K$300,10,0)</f>
        <v>42000</v>
      </c>
      <c r="J8236" s="912">
        <f t="shared" si="651"/>
        <v>31500</v>
      </c>
      <c r="K8236" s="912" t="s">
        <v>274</v>
      </c>
      <c r="L8236" s="912"/>
      <c r="M8236" s="912"/>
      <c r="N8236" s="912"/>
      <c r="O8236" s="892">
        <f t="shared" si="647"/>
        <v>0</v>
      </c>
      <c r="P8236" s="903">
        <f t="shared" si="648"/>
        <v>1</v>
      </c>
      <c r="Q8236" s="893">
        <f t="shared" si="649"/>
        <v>10</v>
      </c>
      <c r="R8236" s="894">
        <f t="shared" si="650"/>
        <v>0</v>
      </c>
    </row>
    <row r="8237" spans="1:18">
      <c r="A8237" s="905"/>
      <c r="B8237" s="906"/>
      <c r="C8237" s="907">
        <v>89</v>
      </c>
      <c r="D8237" s="907" t="s">
        <v>279</v>
      </c>
      <c r="E8237" s="925" t="s">
        <v>5984</v>
      </c>
      <c r="F8237" s="909" t="s">
        <v>45</v>
      </c>
      <c r="G8237" s="910"/>
      <c r="H8237" s="911">
        <v>1.2</v>
      </c>
      <c r="I8237" s="912">
        <f>VLOOKUP(E8237,[3]VLP!$B$7:$K$300,10,0)</f>
        <v>1000</v>
      </c>
      <c r="J8237" s="912">
        <f t="shared" si="651"/>
        <v>1200</v>
      </c>
      <c r="K8237" s="912" t="s">
        <v>274</v>
      </c>
      <c r="L8237" s="912"/>
      <c r="M8237" s="912"/>
      <c r="N8237" s="912"/>
      <c r="O8237" s="892">
        <f t="shared" si="647"/>
        <v>0</v>
      </c>
      <c r="P8237" s="903">
        <f t="shared" si="648"/>
        <v>1</v>
      </c>
      <c r="Q8237" s="893">
        <f t="shared" si="649"/>
        <v>9</v>
      </c>
      <c r="R8237" s="894">
        <f t="shared" si="650"/>
        <v>0</v>
      </c>
    </row>
    <row r="8238" spans="1:18">
      <c r="A8238" s="905"/>
      <c r="B8238" s="906"/>
      <c r="C8238" s="907">
        <v>47</v>
      </c>
      <c r="D8238" s="907" t="s">
        <v>279</v>
      </c>
      <c r="E8238" s="925" t="s">
        <v>3170</v>
      </c>
      <c r="F8238" s="909" t="s">
        <v>45</v>
      </c>
      <c r="G8238" s="910"/>
      <c r="H8238" s="911">
        <v>32</v>
      </c>
      <c r="I8238" s="912">
        <f>VLOOKUP(E8238,[3]VLP!$B$7:$K$300,10,0)</f>
        <v>1000</v>
      </c>
      <c r="J8238" s="912">
        <f t="shared" si="651"/>
        <v>32000</v>
      </c>
      <c r="K8238" s="912" t="s">
        <v>274</v>
      </c>
      <c r="L8238" s="912"/>
      <c r="M8238" s="912"/>
      <c r="N8238" s="912"/>
      <c r="O8238" s="892">
        <f t="shared" si="647"/>
        <v>0</v>
      </c>
      <c r="P8238" s="903">
        <f t="shared" si="648"/>
        <v>1</v>
      </c>
      <c r="Q8238" s="893">
        <f t="shared" si="649"/>
        <v>8</v>
      </c>
      <c r="R8238" s="894">
        <f t="shared" si="650"/>
        <v>0</v>
      </c>
    </row>
    <row r="8239" spans="1:18">
      <c r="A8239" s="905"/>
      <c r="B8239" s="906"/>
      <c r="C8239" s="907">
        <v>44</v>
      </c>
      <c r="D8239" s="907" t="s">
        <v>279</v>
      </c>
      <c r="E8239" s="925" t="s">
        <v>2681</v>
      </c>
      <c r="F8239" s="926" t="s">
        <v>45</v>
      </c>
      <c r="G8239" s="910"/>
      <c r="H8239" s="911">
        <v>40</v>
      </c>
      <c r="I8239" s="912">
        <f>VLOOKUP(E8239,[3]VLP!$B$7:$K$300,10,0)</f>
        <v>23000</v>
      </c>
      <c r="J8239" s="912">
        <f t="shared" si="651"/>
        <v>920000</v>
      </c>
      <c r="K8239" s="912" t="s">
        <v>274</v>
      </c>
      <c r="L8239" s="912"/>
      <c r="M8239" s="912"/>
      <c r="N8239" s="912"/>
      <c r="O8239" s="892">
        <f t="shared" si="647"/>
        <v>0</v>
      </c>
      <c r="P8239" s="903">
        <f t="shared" si="648"/>
        <v>1</v>
      </c>
      <c r="Q8239" s="893">
        <f t="shared" si="649"/>
        <v>7</v>
      </c>
      <c r="R8239" s="894">
        <f t="shared" si="650"/>
        <v>0</v>
      </c>
    </row>
    <row r="8240" spans="1:18">
      <c r="A8240" s="905"/>
      <c r="B8240" s="906"/>
      <c r="C8240" s="907">
        <v>66</v>
      </c>
      <c r="D8240" s="907" t="s">
        <v>279</v>
      </c>
      <c r="E8240" s="925" t="s">
        <v>2682</v>
      </c>
      <c r="F8240" s="926" t="s">
        <v>45</v>
      </c>
      <c r="G8240" s="910"/>
      <c r="H8240" s="911">
        <v>1.8</v>
      </c>
      <c r="I8240" s="912">
        <f>VLOOKUP(E8240,[3]VLP!$B$7:$K$300,10,0)</f>
        <v>5000</v>
      </c>
      <c r="J8240" s="912">
        <f t="shared" si="651"/>
        <v>9000</v>
      </c>
      <c r="K8240" s="912" t="s">
        <v>274</v>
      </c>
      <c r="L8240" s="912"/>
      <c r="M8240" s="912"/>
      <c r="N8240" s="912"/>
      <c r="O8240" s="892">
        <f t="shared" si="647"/>
        <v>0</v>
      </c>
      <c r="P8240" s="903">
        <f t="shared" si="648"/>
        <v>1</v>
      </c>
      <c r="Q8240" s="893">
        <f t="shared" si="649"/>
        <v>6</v>
      </c>
      <c r="R8240" s="894">
        <f t="shared" si="650"/>
        <v>0</v>
      </c>
    </row>
    <row r="8241" spans="1:18">
      <c r="A8241" s="905"/>
      <c r="B8241" s="906"/>
      <c r="C8241" s="907">
        <v>46</v>
      </c>
      <c r="D8241" s="907" t="s">
        <v>279</v>
      </c>
      <c r="E8241" s="925" t="s">
        <v>3179</v>
      </c>
      <c r="F8241" s="926" t="s">
        <v>45</v>
      </c>
      <c r="G8241" s="910"/>
      <c r="H8241" s="911">
        <v>50</v>
      </c>
      <c r="I8241" s="912">
        <f>VLOOKUP(E8241,[3]VLP!$B$7:$K$300,10,0)</f>
        <v>20500</v>
      </c>
      <c r="J8241" s="912">
        <f t="shared" si="651"/>
        <v>1025000</v>
      </c>
      <c r="K8241" s="912" t="s">
        <v>274</v>
      </c>
      <c r="L8241" s="912"/>
      <c r="M8241" s="912"/>
      <c r="N8241" s="912"/>
      <c r="O8241" s="892">
        <f t="shared" si="647"/>
        <v>0</v>
      </c>
      <c r="P8241" s="903">
        <f t="shared" si="648"/>
        <v>1</v>
      </c>
      <c r="Q8241" s="893">
        <f t="shared" si="649"/>
        <v>5</v>
      </c>
      <c r="R8241" s="894">
        <f t="shared" si="650"/>
        <v>0</v>
      </c>
    </row>
    <row r="8242" spans="1:18">
      <c r="A8242" s="905"/>
      <c r="B8242" s="906"/>
      <c r="C8242" s="907">
        <v>58</v>
      </c>
      <c r="D8242" s="907" t="s">
        <v>279</v>
      </c>
      <c r="E8242" s="925" t="s">
        <v>3190</v>
      </c>
      <c r="F8242" s="926" t="s">
        <v>45</v>
      </c>
      <c r="G8242" s="910"/>
      <c r="H8242" s="911">
        <v>6</v>
      </c>
      <c r="I8242" s="912">
        <f>VLOOKUP(E8242,[3]VLP!$B$7:$K$300,10,0)</f>
        <v>27940</v>
      </c>
      <c r="J8242" s="912">
        <f t="shared" si="651"/>
        <v>167640</v>
      </c>
      <c r="K8242" s="912" t="s">
        <v>274</v>
      </c>
      <c r="L8242" s="912"/>
      <c r="M8242" s="912"/>
      <c r="N8242" s="912"/>
      <c r="O8242" s="892">
        <f t="shared" si="647"/>
        <v>0</v>
      </c>
      <c r="P8242" s="903">
        <f t="shared" si="648"/>
        <v>1</v>
      </c>
      <c r="Q8242" s="893">
        <f t="shared" si="649"/>
        <v>4</v>
      </c>
      <c r="R8242" s="894">
        <f t="shared" si="650"/>
        <v>0</v>
      </c>
    </row>
    <row r="8243" spans="1:18">
      <c r="A8243" s="905"/>
      <c r="B8243" s="906"/>
      <c r="C8243" s="907">
        <v>699</v>
      </c>
      <c r="D8243" s="907" t="s">
        <v>279</v>
      </c>
      <c r="E8243" s="925" t="s">
        <v>4006</v>
      </c>
      <c r="F8243" s="926" t="s">
        <v>4007</v>
      </c>
      <c r="G8243" s="910"/>
      <c r="H8243" s="911">
        <v>5</v>
      </c>
      <c r="I8243" s="912">
        <f>VLOOKUP(E8243,[3]VLP!$B$7:$K$300,10,0)</f>
        <v>5000</v>
      </c>
      <c r="J8243" s="912">
        <f t="shared" si="651"/>
        <v>25000</v>
      </c>
      <c r="K8243" s="912" t="s">
        <v>274</v>
      </c>
      <c r="L8243" s="912"/>
      <c r="M8243" s="912"/>
      <c r="N8243" s="912"/>
      <c r="O8243" s="892">
        <f t="shared" si="647"/>
        <v>0</v>
      </c>
      <c r="P8243" s="903">
        <f t="shared" si="648"/>
        <v>1</v>
      </c>
      <c r="Q8243" s="893">
        <f t="shared" si="649"/>
        <v>3</v>
      </c>
      <c r="R8243" s="894">
        <f t="shared" si="650"/>
        <v>0</v>
      </c>
    </row>
    <row r="8244" spans="1:18" s="904" customFormat="1">
      <c r="A8244" s="895"/>
      <c r="B8244" s="896"/>
      <c r="C8244" s="897"/>
      <c r="D8244" s="897"/>
      <c r="E8244" s="924" t="s">
        <v>276</v>
      </c>
      <c r="F8244" s="927"/>
      <c r="G8244" s="928"/>
      <c r="H8244" s="901"/>
      <c r="I8244" s="902"/>
      <c r="J8244" s="902"/>
      <c r="K8244" s="912" t="s">
        <v>274</v>
      </c>
      <c r="L8244" s="902"/>
      <c r="M8244" s="902"/>
      <c r="N8244" s="902"/>
      <c r="O8244" s="892">
        <f t="shared" si="647"/>
        <v>0</v>
      </c>
      <c r="P8244" s="903">
        <f t="shared" si="648"/>
        <v>1</v>
      </c>
      <c r="Q8244" s="893">
        <f t="shared" si="649"/>
        <v>2</v>
      </c>
      <c r="R8244" s="894">
        <f t="shared" si="650"/>
        <v>0</v>
      </c>
    </row>
    <row r="8245" spans="1:18">
      <c r="A8245" s="905"/>
      <c r="B8245" s="906"/>
      <c r="C8245" s="907">
        <v>745</v>
      </c>
      <c r="D8245" s="907" t="s">
        <v>12</v>
      </c>
      <c r="E8245" s="908" t="s">
        <v>5518</v>
      </c>
      <c r="F8245" s="909" t="s">
        <v>2674</v>
      </c>
      <c r="G8245" s="910"/>
      <c r="H8245" s="911">
        <v>24.21</v>
      </c>
      <c r="I8245" s="912"/>
      <c r="J8245" s="912"/>
      <c r="K8245" s="912">
        <f>VLOOKUP(E8245,[5]ĐMNC!$A$7:$F$67,4,0)</f>
        <v>240557</v>
      </c>
      <c r="L8245" s="912">
        <f>H8245*K8245</f>
        <v>5823884.9700000007</v>
      </c>
      <c r="M8245" s="912"/>
      <c r="N8245" s="912"/>
      <c r="O8245" s="892">
        <f t="shared" si="647"/>
        <v>0</v>
      </c>
      <c r="P8245" s="903">
        <f t="shared" si="648"/>
        <v>1</v>
      </c>
      <c r="Q8245" s="893">
        <f t="shared" si="649"/>
        <v>1</v>
      </c>
      <c r="R8245" s="894">
        <f t="shared" si="650"/>
        <v>0</v>
      </c>
    </row>
    <row r="8246" spans="1:18" s="847" customFormat="1" ht="35.25" customHeight="1">
      <c r="A8246" s="905"/>
      <c r="B8246" s="914" t="s">
        <v>6263</v>
      </c>
      <c r="C8246" s="915"/>
      <c r="D8246" s="915"/>
      <c r="E8246" s="916" t="s">
        <v>6264</v>
      </c>
      <c r="F8246" s="917" t="s">
        <v>6094</v>
      </c>
      <c r="G8246" s="944"/>
      <c r="H8246" s="919"/>
      <c r="I8246" s="920"/>
      <c r="J8246" s="891">
        <f>SUM(J8247:J8260)</f>
        <v>2517380</v>
      </c>
      <c r="K8246" s="891" t="s">
        <v>274</v>
      </c>
      <c r="L8246" s="891">
        <f>SUM(L8247:L8260)</f>
        <v>6418060.7599999998</v>
      </c>
      <c r="M8246" s="891"/>
      <c r="N8246" s="891">
        <f>SUM(N8247:N8260)</f>
        <v>0</v>
      </c>
      <c r="O8246" s="892">
        <f t="shared" si="647"/>
        <v>1</v>
      </c>
      <c r="P8246" s="903">
        <f t="shared" si="648"/>
        <v>0</v>
      </c>
      <c r="Q8246" s="893">
        <f t="shared" si="649"/>
        <v>0</v>
      </c>
      <c r="R8246" s="894">
        <f t="shared" si="650"/>
        <v>14</v>
      </c>
    </row>
    <row r="8247" spans="1:18" s="904" customFormat="1">
      <c r="A8247" s="895"/>
      <c r="B8247" s="896"/>
      <c r="C8247" s="897"/>
      <c r="D8247" s="897"/>
      <c r="E8247" s="898" t="s">
        <v>108</v>
      </c>
      <c r="F8247" s="899"/>
      <c r="G8247" s="928"/>
      <c r="H8247" s="901"/>
      <c r="I8247" s="902"/>
      <c r="J8247" s="902"/>
      <c r="K8247" s="912" t="s">
        <v>274</v>
      </c>
      <c r="L8247" s="902"/>
      <c r="M8247" s="902"/>
      <c r="N8247" s="902"/>
      <c r="O8247" s="892">
        <f t="shared" si="647"/>
        <v>0</v>
      </c>
      <c r="P8247" s="903">
        <f t="shared" si="648"/>
        <v>1</v>
      </c>
      <c r="Q8247" s="893">
        <f t="shared" si="649"/>
        <v>14</v>
      </c>
      <c r="R8247" s="894">
        <f t="shared" si="650"/>
        <v>0</v>
      </c>
    </row>
    <row r="8248" spans="1:18">
      <c r="A8248" s="905"/>
      <c r="B8248" s="906"/>
      <c r="C8248" s="907">
        <v>70</v>
      </c>
      <c r="D8248" s="907" t="s">
        <v>279</v>
      </c>
      <c r="E8248" s="925" t="s">
        <v>6120</v>
      </c>
      <c r="F8248" s="909" t="s">
        <v>2337</v>
      </c>
      <c r="G8248" s="910"/>
      <c r="H8248" s="911">
        <v>1</v>
      </c>
      <c r="I8248" s="912">
        <f>VLOOKUP(E8248,[3]VLP!$B$7:$K$300,10,0)</f>
        <v>27040</v>
      </c>
      <c r="J8248" s="912">
        <f t="shared" ref="J8248:J8258" si="652">I8248*H8248</f>
        <v>27040</v>
      </c>
      <c r="K8248" s="912" t="s">
        <v>274</v>
      </c>
      <c r="L8248" s="912"/>
      <c r="M8248" s="912"/>
      <c r="N8248" s="912"/>
      <c r="O8248" s="892">
        <f t="shared" si="647"/>
        <v>0</v>
      </c>
      <c r="P8248" s="903">
        <f t="shared" si="648"/>
        <v>1</v>
      </c>
      <c r="Q8248" s="893">
        <f t="shared" si="649"/>
        <v>13</v>
      </c>
      <c r="R8248" s="894">
        <f t="shared" si="650"/>
        <v>0</v>
      </c>
    </row>
    <row r="8249" spans="1:18">
      <c r="A8249" s="905"/>
      <c r="B8249" s="906"/>
      <c r="C8249" s="907">
        <v>24</v>
      </c>
      <c r="D8249" s="907" t="s">
        <v>279</v>
      </c>
      <c r="E8249" s="925" t="s">
        <v>2691</v>
      </c>
      <c r="F8249" s="926" t="s">
        <v>2690</v>
      </c>
      <c r="G8249" s="910"/>
      <c r="H8249" s="911">
        <v>9</v>
      </c>
      <c r="I8249" s="912">
        <f>VLOOKUP(E8249,[3]VLP!$B$7:$K$300,10,0)</f>
        <v>6000</v>
      </c>
      <c r="J8249" s="912">
        <f t="shared" si="652"/>
        <v>54000</v>
      </c>
      <c r="K8249" s="912" t="s">
        <v>274</v>
      </c>
      <c r="L8249" s="912"/>
      <c r="M8249" s="912"/>
      <c r="N8249" s="912"/>
      <c r="O8249" s="892">
        <f t="shared" si="647"/>
        <v>0</v>
      </c>
      <c r="P8249" s="903">
        <f t="shared" si="648"/>
        <v>1</v>
      </c>
      <c r="Q8249" s="893">
        <f t="shared" si="649"/>
        <v>12</v>
      </c>
      <c r="R8249" s="894">
        <f t="shared" si="650"/>
        <v>0</v>
      </c>
    </row>
    <row r="8250" spans="1:18">
      <c r="A8250" s="905"/>
      <c r="B8250" s="906"/>
      <c r="C8250" s="907">
        <v>122</v>
      </c>
      <c r="D8250" s="907" t="s">
        <v>279</v>
      </c>
      <c r="E8250" s="925" t="s">
        <v>3267</v>
      </c>
      <c r="F8250" s="909" t="s">
        <v>45</v>
      </c>
      <c r="G8250" s="910"/>
      <c r="H8250" s="911">
        <v>7.5</v>
      </c>
      <c r="I8250" s="912">
        <f>VLOOKUP(E8250,[3]VLP!$B$7:$K$300,10,0)</f>
        <v>30000</v>
      </c>
      <c r="J8250" s="912">
        <f t="shared" si="652"/>
        <v>225000</v>
      </c>
      <c r="K8250" s="912" t="s">
        <v>274</v>
      </c>
      <c r="L8250" s="912"/>
      <c r="M8250" s="912"/>
      <c r="N8250" s="912"/>
      <c r="O8250" s="892">
        <f t="shared" si="647"/>
        <v>0</v>
      </c>
      <c r="P8250" s="903">
        <f t="shared" si="648"/>
        <v>1</v>
      </c>
      <c r="Q8250" s="893">
        <f t="shared" si="649"/>
        <v>11</v>
      </c>
      <c r="R8250" s="894">
        <f t="shared" si="650"/>
        <v>0</v>
      </c>
    </row>
    <row r="8251" spans="1:18">
      <c r="A8251" s="905"/>
      <c r="B8251" s="906"/>
      <c r="C8251" s="907">
        <v>93</v>
      </c>
      <c r="D8251" s="907" t="s">
        <v>279</v>
      </c>
      <c r="E8251" s="925" t="s">
        <v>6111</v>
      </c>
      <c r="F8251" s="909" t="s">
        <v>45</v>
      </c>
      <c r="G8251" s="910"/>
      <c r="H8251" s="911">
        <v>0.75</v>
      </c>
      <c r="I8251" s="912">
        <f>VLOOKUP(E8251,[3]VLP!$B$7:$K$300,10,0)</f>
        <v>42000</v>
      </c>
      <c r="J8251" s="912">
        <f t="shared" si="652"/>
        <v>31500</v>
      </c>
      <c r="K8251" s="912" t="s">
        <v>274</v>
      </c>
      <c r="L8251" s="912"/>
      <c r="M8251" s="912"/>
      <c r="N8251" s="912"/>
      <c r="O8251" s="892">
        <f t="shared" si="647"/>
        <v>0</v>
      </c>
      <c r="P8251" s="903">
        <f t="shared" si="648"/>
        <v>1</v>
      </c>
      <c r="Q8251" s="893">
        <f t="shared" si="649"/>
        <v>10</v>
      </c>
      <c r="R8251" s="894">
        <f t="shared" si="650"/>
        <v>0</v>
      </c>
    </row>
    <row r="8252" spans="1:18">
      <c r="A8252" s="905"/>
      <c r="B8252" s="906"/>
      <c r="C8252" s="907">
        <v>89</v>
      </c>
      <c r="D8252" s="907" t="s">
        <v>279</v>
      </c>
      <c r="E8252" s="925" t="s">
        <v>5984</v>
      </c>
      <c r="F8252" s="909" t="s">
        <v>45</v>
      </c>
      <c r="G8252" s="910"/>
      <c r="H8252" s="911">
        <v>1.2</v>
      </c>
      <c r="I8252" s="912">
        <f>VLOOKUP(E8252,[3]VLP!$B$7:$K$300,10,0)</f>
        <v>1000</v>
      </c>
      <c r="J8252" s="912">
        <f t="shared" si="652"/>
        <v>1200</v>
      </c>
      <c r="K8252" s="912" t="s">
        <v>274</v>
      </c>
      <c r="L8252" s="912"/>
      <c r="M8252" s="912"/>
      <c r="N8252" s="912"/>
      <c r="O8252" s="892">
        <f t="shared" si="647"/>
        <v>0</v>
      </c>
      <c r="P8252" s="903">
        <f t="shared" si="648"/>
        <v>1</v>
      </c>
      <c r="Q8252" s="893">
        <f t="shared" si="649"/>
        <v>9</v>
      </c>
      <c r="R8252" s="894">
        <f t="shared" si="650"/>
        <v>0</v>
      </c>
    </row>
    <row r="8253" spans="1:18">
      <c r="A8253" s="905"/>
      <c r="B8253" s="906"/>
      <c r="C8253" s="907">
        <v>47</v>
      </c>
      <c r="D8253" s="907" t="s">
        <v>279</v>
      </c>
      <c r="E8253" s="925" t="s">
        <v>3170</v>
      </c>
      <c r="F8253" s="909" t="s">
        <v>45</v>
      </c>
      <c r="G8253" s="910"/>
      <c r="H8253" s="911">
        <v>32</v>
      </c>
      <c r="I8253" s="912">
        <f>VLOOKUP(E8253,[3]VLP!$B$7:$K$300,10,0)</f>
        <v>1000</v>
      </c>
      <c r="J8253" s="912">
        <f t="shared" si="652"/>
        <v>32000</v>
      </c>
      <c r="K8253" s="912" t="s">
        <v>274</v>
      </c>
      <c r="L8253" s="912"/>
      <c r="M8253" s="912"/>
      <c r="N8253" s="912"/>
      <c r="O8253" s="892">
        <f t="shared" si="647"/>
        <v>0</v>
      </c>
      <c r="P8253" s="903">
        <f t="shared" si="648"/>
        <v>1</v>
      </c>
      <c r="Q8253" s="893">
        <f t="shared" si="649"/>
        <v>8</v>
      </c>
      <c r="R8253" s="894">
        <f t="shared" si="650"/>
        <v>0</v>
      </c>
    </row>
    <row r="8254" spans="1:18">
      <c r="A8254" s="905"/>
      <c r="B8254" s="906"/>
      <c r="C8254" s="907">
        <v>44</v>
      </c>
      <c r="D8254" s="907" t="s">
        <v>279</v>
      </c>
      <c r="E8254" s="925" t="s">
        <v>2681</v>
      </c>
      <c r="F8254" s="926" t="s">
        <v>45</v>
      </c>
      <c r="G8254" s="910"/>
      <c r="H8254" s="911">
        <v>40</v>
      </c>
      <c r="I8254" s="912">
        <f>VLOOKUP(E8254,[3]VLP!$B$7:$K$300,10,0)</f>
        <v>23000</v>
      </c>
      <c r="J8254" s="912">
        <f t="shared" si="652"/>
        <v>920000</v>
      </c>
      <c r="K8254" s="912" t="s">
        <v>274</v>
      </c>
      <c r="L8254" s="912"/>
      <c r="M8254" s="912"/>
      <c r="N8254" s="912"/>
      <c r="O8254" s="892">
        <f t="shared" si="647"/>
        <v>0</v>
      </c>
      <c r="P8254" s="903">
        <f t="shared" si="648"/>
        <v>1</v>
      </c>
      <c r="Q8254" s="893">
        <f t="shared" si="649"/>
        <v>7</v>
      </c>
      <c r="R8254" s="894">
        <f t="shared" si="650"/>
        <v>0</v>
      </c>
    </row>
    <row r="8255" spans="1:18">
      <c r="A8255" s="905"/>
      <c r="B8255" s="906"/>
      <c r="C8255" s="907">
        <v>66</v>
      </c>
      <c r="D8255" s="907" t="s">
        <v>279</v>
      </c>
      <c r="E8255" s="925" t="s">
        <v>2682</v>
      </c>
      <c r="F8255" s="926" t="s">
        <v>45</v>
      </c>
      <c r="G8255" s="910"/>
      <c r="H8255" s="911">
        <v>1.8</v>
      </c>
      <c r="I8255" s="912">
        <f>VLOOKUP(E8255,[3]VLP!$B$7:$K$300,10,0)</f>
        <v>5000</v>
      </c>
      <c r="J8255" s="912">
        <f t="shared" si="652"/>
        <v>9000</v>
      </c>
      <c r="K8255" s="912" t="s">
        <v>274</v>
      </c>
      <c r="L8255" s="912"/>
      <c r="M8255" s="912"/>
      <c r="N8255" s="912"/>
      <c r="O8255" s="892">
        <f t="shared" si="647"/>
        <v>0</v>
      </c>
      <c r="P8255" s="903">
        <f t="shared" si="648"/>
        <v>1</v>
      </c>
      <c r="Q8255" s="893">
        <f t="shared" si="649"/>
        <v>6</v>
      </c>
      <c r="R8255" s="894">
        <f t="shared" si="650"/>
        <v>0</v>
      </c>
    </row>
    <row r="8256" spans="1:18">
      <c r="A8256" s="905"/>
      <c r="B8256" s="906"/>
      <c r="C8256" s="907">
        <v>46</v>
      </c>
      <c r="D8256" s="907" t="s">
        <v>279</v>
      </c>
      <c r="E8256" s="925" t="s">
        <v>3179</v>
      </c>
      <c r="F8256" s="926" t="s">
        <v>45</v>
      </c>
      <c r="G8256" s="910"/>
      <c r="H8256" s="911">
        <v>50</v>
      </c>
      <c r="I8256" s="912">
        <f>VLOOKUP(E8256,[3]VLP!$B$7:$K$300,10,0)</f>
        <v>20500</v>
      </c>
      <c r="J8256" s="912">
        <f t="shared" si="652"/>
        <v>1025000</v>
      </c>
      <c r="K8256" s="912" t="s">
        <v>274</v>
      </c>
      <c r="L8256" s="912"/>
      <c r="M8256" s="912"/>
      <c r="N8256" s="912"/>
      <c r="O8256" s="892">
        <f t="shared" si="647"/>
        <v>0</v>
      </c>
      <c r="P8256" s="903">
        <f t="shared" si="648"/>
        <v>1</v>
      </c>
      <c r="Q8256" s="893">
        <f t="shared" si="649"/>
        <v>5</v>
      </c>
      <c r="R8256" s="894">
        <f t="shared" si="650"/>
        <v>0</v>
      </c>
    </row>
    <row r="8257" spans="1:18">
      <c r="A8257" s="905"/>
      <c r="B8257" s="906"/>
      <c r="C8257" s="907">
        <v>58</v>
      </c>
      <c r="D8257" s="907" t="s">
        <v>279</v>
      </c>
      <c r="E8257" s="925" t="s">
        <v>3190</v>
      </c>
      <c r="F8257" s="926" t="s">
        <v>45</v>
      </c>
      <c r="G8257" s="910"/>
      <c r="H8257" s="911">
        <v>6</v>
      </c>
      <c r="I8257" s="912">
        <f>VLOOKUP(E8257,[3]VLP!$B$7:$K$300,10,0)</f>
        <v>27940</v>
      </c>
      <c r="J8257" s="912">
        <f t="shared" si="652"/>
        <v>167640</v>
      </c>
      <c r="K8257" s="912" t="s">
        <v>274</v>
      </c>
      <c r="L8257" s="912"/>
      <c r="M8257" s="912"/>
      <c r="N8257" s="912"/>
      <c r="O8257" s="892">
        <f t="shared" si="647"/>
        <v>0</v>
      </c>
      <c r="P8257" s="903">
        <f t="shared" si="648"/>
        <v>1</v>
      </c>
      <c r="Q8257" s="893">
        <f t="shared" si="649"/>
        <v>4</v>
      </c>
      <c r="R8257" s="894">
        <f t="shared" si="650"/>
        <v>0</v>
      </c>
    </row>
    <row r="8258" spans="1:18">
      <c r="A8258" s="905"/>
      <c r="B8258" s="906"/>
      <c r="C8258" s="907">
        <v>699</v>
      </c>
      <c r="D8258" s="907" t="s">
        <v>279</v>
      </c>
      <c r="E8258" s="925" t="s">
        <v>4006</v>
      </c>
      <c r="F8258" s="926" t="s">
        <v>4007</v>
      </c>
      <c r="G8258" s="910"/>
      <c r="H8258" s="911">
        <v>5</v>
      </c>
      <c r="I8258" s="912">
        <f>VLOOKUP(E8258,[3]VLP!$B$7:$K$300,10,0)</f>
        <v>5000</v>
      </c>
      <c r="J8258" s="912">
        <f t="shared" si="652"/>
        <v>25000</v>
      </c>
      <c r="K8258" s="912" t="s">
        <v>274</v>
      </c>
      <c r="L8258" s="912"/>
      <c r="M8258" s="912"/>
      <c r="N8258" s="912"/>
      <c r="O8258" s="892">
        <f t="shared" si="647"/>
        <v>0</v>
      </c>
      <c r="P8258" s="903">
        <f t="shared" si="648"/>
        <v>1</v>
      </c>
      <c r="Q8258" s="893">
        <f t="shared" si="649"/>
        <v>3</v>
      </c>
      <c r="R8258" s="894">
        <f t="shared" si="650"/>
        <v>0</v>
      </c>
    </row>
    <row r="8259" spans="1:18" s="904" customFormat="1">
      <c r="A8259" s="895"/>
      <c r="B8259" s="896"/>
      <c r="C8259" s="897"/>
      <c r="D8259" s="897"/>
      <c r="E8259" s="924" t="s">
        <v>276</v>
      </c>
      <c r="F8259" s="927"/>
      <c r="G8259" s="928"/>
      <c r="H8259" s="901"/>
      <c r="I8259" s="902"/>
      <c r="J8259" s="902"/>
      <c r="K8259" s="912" t="s">
        <v>274</v>
      </c>
      <c r="L8259" s="902"/>
      <c r="M8259" s="902"/>
      <c r="N8259" s="902"/>
      <c r="O8259" s="892">
        <f t="shared" si="647"/>
        <v>0</v>
      </c>
      <c r="P8259" s="903">
        <f t="shared" si="648"/>
        <v>1</v>
      </c>
      <c r="Q8259" s="893">
        <f t="shared" si="649"/>
        <v>2</v>
      </c>
      <c r="R8259" s="894">
        <f t="shared" si="650"/>
        <v>0</v>
      </c>
    </row>
    <row r="8260" spans="1:18">
      <c r="A8260" s="905"/>
      <c r="B8260" s="906"/>
      <c r="C8260" s="907">
        <v>745</v>
      </c>
      <c r="D8260" s="907" t="s">
        <v>12</v>
      </c>
      <c r="E8260" s="908" t="s">
        <v>5518</v>
      </c>
      <c r="F8260" s="909" t="s">
        <v>2674</v>
      </c>
      <c r="G8260" s="910"/>
      <c r="H8260" s="911">
        <v>26.68</v>
      </c>
      <c r="I8260" s="912"/>
      <c r="J8260" s="912"/>
      <c r="K8260" s="912">
        <f>VLOOKUP(E8260,[5]ĐMNC!$A$7:$F$67,4,0)</f>
        <v>240557</v>
      </c>
      <c r="L8260" s="912">
        <f>H8260*K8260</f>
        <v>6418060.7599999998</v>
      </c>
      <c r="M8260" s="912"/>
      <c r="N8260" s="912"/>
      <c r="O8260" s="892">
        <f t="shared" si="647"/>
        <v>0</v>
      </c>
      <c r="P8260" s="903">
        <f t="shared" si="648"/>
        <v>1</v>
      </c>
      <c r="Q8260" s="893">
        <f t="shared" si="649"/>
        <v>1</v>
      </c>
      <c r="R8260" s="894">
        <f t="shared" si="650"/>
        <v>0</v>
      </c>
    </row>
    <row r="8261" spans="1:18" s="847" customFormat="1" ht="35.25" customHeight="1">
      <c r="A8261" s="905" t="s">
        <v>6250</v>
      </c>
      <c r="B8261" s="914" t="s">
        <v>6265</v>
      </c>
      <c r="C8261" s="915"/>
      <c r="D8261" s="915"/>
      <c r="E8261" s="916" t="s">
        <v>6266</v>
      </c>
      <c r="F8261" s="917" t="s">
        <v>6094</v>
      </c>
      <c r="G8261" s="944"/>
      <c r="H8261" s="919"/>
      <c r="I8261" s="920"/>
      <c r="J8261" s="891">
        <f>SUM(J8262:J8275)</f>
        <v>3083490</v>
      </c>
      <c r="K8261" s="891" t="s">
        <v>274</v>
      </c>
      <c r="L8261" s="891">
        <f>SUM(L8262:L8275)</f>
        <v>7012236.5499999998</v>
      </c>
      <c r="M8261" s="891"/>
      <c r="N8261" s="891">
        <f>SUM(N8262:N8275)</f>
        <v>0</v>
      </c>
      <c r="O8261" s="892">
        <f t="shared" si="647"/>
        <v>1</v>
      </c>
      <c r="P8261" s="903">
        <f t="shared" si="648"/>
        <v>0</v>
      </c>
      <c r="Q8261" s="893">
        <f t="shared" si="649"/>
        <v>0</v>
      </c>
      <c r="R8261" s="894">
        <f t="shared" si="650"/>
        <v>14</v>
      </c>
    </row>
    <row r="8262" spans="1:18" s="904" customFormat="1">
      <c r="A8262" s="895"/>
      <c r="B8262" s="896"/>
      <c r="C8262" s="897"/>
      <c r="D8262" s="897"/>
      <c r="E8262" s="898" t="s">
        <v>108</v>
      </c>
      <c r="F8262" s="899"/>
      <c r="G8262" s="928"/>
      <c r="H8262" s="901"/>
      <c r="I8262" s="902"/>
      <c r="J8262" s="902"/>
      <c r="K8262" s="912" t="s">
        <v>274</v>
      </c>
      <c r="L8262" s="902"/>
      <c r="M8262" s="902"/>
      <c r="N8262" s="902"/>
      <c r="O8262" s="892">
        <f t="shared" si="647"/>
        <v>0</v>
      </c>
      <c r="P8262" s="903">
        <f t="shared" si="648"/>
        <v>1</v>
      </c>
      <c r="Q8262" s="893">
        <f t="shared" si="649"/>
        <v>14</v>
      </c>
      <c r="R8262" s="894">
        <f t="shared" si="650"/>
        <v>0</v>
      </c>
    </row>
    <row r="8263" spans="1:18">
      <c r="A8263" s="905"/>
      <c r="B8263" s="906"/>
      <c r="C8263" s="907">
        <v>71</v>
      </c>
      <c r="D8263" s="907" t="s">
        <v>279</v>
      </c>
      <c r="E8263" s="925" t="s">
        <v>6123</v>
      </c>
      <c r="F8263" s="909" t="s">
        <v>2337</v>
      </c>
      <c r="G8263" s="910"/>
      <c r="H8263" s="911">
        <v>1</v>
      </c>
      <c r="I8263" s="912">
        <f>VLOOKUP(E8263,[3]VLP!$B$7:$K$300,10,0)</f>
        <v>33800</v>
      </c>
      <c r="J8263" s="912">
        <f t="shared" ref="J8263:J8273" si="653">I8263*H8263</f>
        <v>33800</v>
      </c>
      <c r="K8263" s="912" t="s">
        <v>274</v>
      </c>
      <c r="L8263" s="912"/>
      <c r="M8263" s="912"/>
      <c r="N8263" s="912"/>
      <c r="O8263" s="892">
        <f t="shared" si="647"/>
        <v>0</v>
      </c>
      <c r="P8263" s="903">
        <f t="shared" si="648"/>
        <v>1</v>
      </c>
      <c r="Q8263" s="893">
        <f t="shared" si="649"/>
        <v>13</v>
      </c>
      <c r="R8263" s="894">
        <f t="shared" si="650"/>
        <v>0</v>
      </c>
    </row>
    <row r="8264" spans="1:18">
      <c r="A8264" s="905"/>
      <c r="B8264" s="906"/>
      <c r="C8264" s="907">
        <v>24</v>
      </c>
      <c r="D8264" s="907" t="s">
        <v>279</v>
      </c>
      <c r="E8264" s="925" t="s">
        <v>2691</v>
      </c>
      <c r="F8264" s="926" t="s">
        <v>2690</v>
      </c>
      <c r="G8264" s="910"/>
      <c r="H8264" s="911">
        <v>12</v>
      </c>
      <c r="I8264" s="912">
        <f>VLOOKUP(E8264,[3]VLP!$B$7:$K$300,10,0)</f>
        <v>6000</v>
      </c>
      <c r="J8264" s="912">
        <f t="shared" si="653"/>
        <v>72000</v>
      </c>
      <c r="K8264" s="912" t="s">
        <v>274</v>
      </c>
      <c r="L8264" s="912"/>
      <c r="M8264" s="912"/>
      <c r="N8264" s="912"/>
      <c r="O8264" s="892">
        <f t="shared" si="647"/>
        <v>0</v>
      </c>
      <c r="P8264" s="903">
        <f t="shared" si="648"/>
        <v>1</v>
      </c>
      <c r="Q8264" s="893">
        <f t="shared" si="649"/>
        <v>12</v>
      </c>
      <c r="R8264" s="894">
        <f t="shared" si="650"/>
        <v>0</v>
      </c>
    </row>
    <row r="8265" spans="1:18">
      <c r="A8265" s="905"/>
      <c r="B8265" s="906"/>
      <c r="C8265" s="907">
        <v>122</v>
      </c>
      <c r="D8265" s="907" t="s">
        <v>279</v>
      </c>
      <c r="E8265" s="925" t="s">
        <v>3267</v>
      </c>
      <c r="F8265" s="909" t="s">
        <v>45</v>
      </c>
      <c r="G8265" s="910"/>
      <c r="H8265" s="911">
        <v>9</v>
      </c>
      <c r="I8265" s="912">
        <f>VLOOKUP(E8265,[3]VLP!$B$7:$K$300,10,0)</f>
        <v>30000</v>
      </c>
      <c r="J8265" s="912">
        <f t="shared" si="653"/>
        <v>270000</v>
      </c>
      <c r="K8265" s="912" t="s">
        <v>274</v>
      </c>
      <c r="L8265" s="912"/>
      <c r="M8265" s="912"/>
      <c r="N8265" s="912"/>
      <c r="O8265" s="892">
        <f t="shared" si="647"/>
        <v>0</v>
      </c>
      <c r="P8265" s="903">
        <f t="shared" si="648"/>
        <v>1</v>
      </c>
      <c r="Q8265" s="893">
        <f t="shared" si="649"/>
        <v>11</v>
      </c>
      <c r="R8265" s="894">
        <f t="shared" si="650"/>
        <v>0</v>
      </c>
    </row>
    <row r="8266" spans="1:18">
      <c r="A8266" s="905"/>
      <c r="B8266" s="906"/>
      <c r="C8266" s="907">
        <v>93</v>
      </c>
      <c r="D8266" s="907" t="s">
        <v>279</v>
      </c>
      <c r="E8266" s="925" t="s">
        <v>6111</v>
      </c>
      <c r="F8266" s="909" t="s">
        <v>45</v>
      </c>
      <c r="G8266" s="910"/>
      <c r="H8266" s="911">
        <v>0.9</v>
      </c>
      <c r="I8266" s="912">
        <f>VLOOKUP(E8266,[3]VLP!$B$7:$K$300,10,0)</f>
        <v>42000</v>
      </c>
      <c r="J8266" s="912">
        <f t="shared" si="653"/>
        <v>37800</v>
      </c>
      <c r="K8266" s="912" t="s">
        <v>274</v>
      </c>
      <c r="L8266" s="912"/>
      <c r="M8266" s="912"/>
      <c r="N8266" s="912"/>
      <c r="O8266" s="892">
        <f t="shared" si="647"/>
        <v>0</v>
      </c>
      <c r="P8266" s="903">
        <f t="shared" si="648"/>
        <v>1</v>
      </c>
      <c r="Q8266" s="893">
        <f t="shared" si="649"/>
        <v>10</v>
      </c>
      <c r="R8266" s="894">
        <f t="shared" si="650"/>
        <v>0</v>
      </c>
    </row>
    <row r="8267" spans="1:18">
      <c r="A8267" s="905"/>
      <c r="B8267" s="906"/>
      <c r="C8267" s="907">
        <v>89</v>
      </c>
      <c r="D8267" s="907" t="s">
        <v>279</v>
      </c>
      <c r="E8267" s="925" t="s">
        <v>5984</v>
      </c>
      <c r="F8267" s="909" t="s">
        <v>45</v>
      </c>
      <c r="G8267" s="910"/>
      <c r="H8267" s="911">
        <v>1.5</v>
      </c>
      <c r="I8267" s="912">
        <f>VLOOKUP(E8267,[3]VLP!$B$7:$K$300,10,0)</f>
        <v>1000</v>
      </c>
      <c r="J8267" s="912">
        <f t="shared" si="653"/>
        <v>1500</v>
      </c>
      <c r="K8267" s="912" t="s">
        <v>274</v>
      </c>
      <c r="L8267" s="912"/>
      <c r="M8267" s="912"/>
      <c r="N8267" s="912"/>
      <c r="O8267" s="892">
        <f t="shared" si="647"/>
        <v>0</v>
      </c>
      <c r="P8267" s="903">
        <f t="shared" si="648"/>
        <v>1</v>
      </c>
      <c r="Q8267" s="893">
        <f t="shared" si="649"/>
        <v>9</v>
      </c>
      <c r="R8267" s="894">
        <f t="shared" si="650"/>
        <v>0</v>
      </c>
    </row>
    <row r="8268" spans="1:18">
      <c r="A8268" s="905"/>
      <c r="B8268" s="906"/>
      <c r="C8268" s="907">
        <v>47</v>
      </c>
      <c r="D8268" s="907" t="s">
        <v>279</v>
      </c>
      <c r="E8268" s="925" t="s">
        <v>3170</v>
      </c>
      <c r="F8268" s="909" t="s">
        <v>45</v>
      </c>
      <c r="G8268" s="910"/>
      <c r="H8268" s="911">
        <v>34</v>
      </c>
      <c r="I8268" s="912">
        <f>VLOOKUP(E8268,[3]VLP!$B$7:$K$300,10,0)</f>
        <v>1000</v>
      </c>
      <c r="J8268" s="912">
        <f t="shared" si="653"/>
        <v>34000</v>
      </c>
      <c r="K8268" s="912" t="s">
        <v>274</v>
      </c>
      <c r="L8268" s="912"/>
      <c r="M8268" s="912"/>
      <c r="N8268" s="912"/>
      <c r="O8268" s="892">
        <f t="shared" si="647"/>
        <v>0</v>
      </c>
      <c r="P8268" s="903">
        <f t="shared" si="648"/>
        <v>1</v>
      </c>
      <c r="Q8268" s="893">
        <f t="shared" si="649"/>
        <v>8</v>
      </c>
      <c r="R8268" s="894">
        <f t="shared" si="650"/>
        <v>0</v>
      </c>
    </row>
    <row r="8269" spans="1:18">
      <c r="A8269" s="905"/>
      <c r="B8269" s="906"/>
      <c r="C8269" s="907">
        <v>44</v>
      </c>
      <c r="D8269" s="907" t="s">
        <v>279</v>
      </c>
      <c r="E8269" s="925" t="s">
        <v>2681</v>
      </c>
      <c r="F8269" s="926" t="s">
        <v>45</v>
      </c>
      <c r="G8269" s="910"/>
      <c r="H8269" s="911">
        <v>50</v>
      </c>
      <c r="I8269" s="912">
        <f>VLOOKUP(E8269,[3]VLP!$B$7:$K$300,10,0)</f>
        <v>23000</v>
      </c>
      <c r="J8269" s="912">
        <f t="shared" si="653"/>
        <v>1150000</v>
      </c>
      <c r="K8269" s="912" t="s">
        <v>274</v>
      </c>
      <c r="L8269" s="912"/>
      <c r="M8269" s="912"/>
      <c r="N8269" s="912"/>
      <c r="O8269" s="892">
        <f t="shared" si="647"/>
        <v>0</v>
      </c>
      <c r="P8269" s="903">
        <f t="shared" si="648"/>
        <v>1</v>
      </c>
      <c r="Q8269" s="893">
        <f t="shared" si="649"/>
        <v>7</v>
      </c>
      <c r="R8269" s="894">
        <f t="shared" si="650"/>
        <v>0</v>
      </c>
    </row>
    <row r="8270" spans="1:18">
      <c r="A8270" s="905"/>
      <c r="B8270" s="906"/>
      <c r="C8270" s="907">
        <v>66</v>
      </c>
      <c r="D8270" s="907" t="s">
        <v>279</v>
      </c>
      <c r="E8270" s="925" t="s">
        <v>2682</v>
      </c>
      <c r="F8270" s="926" t="s">
        <v>45</v>
      </c>
      <c r="G8270" s="910"/>
      <c r="H8270" s="911">
        <v>2.1</v>
      </c>
      <c r="I8270" s="912">
        <f>VLOOKUP(E8270,[3]VLP!$B$7:$K$300,10,0)</f>
        <v>5000</v>
      </c>
      <c r="J8270" s="912">
        <f t="shared" si="653"/>
        <v>10500</v>
      </c>
      <c r="K8270" s="912" t="s">
        <v>274</v>
      </c>
      <c r="L8270" s="912"/>
      <c r="M8270" s="912"/>
      <c r="N8270" s="912"/>
      <c r="O8270" s="892">
        <f t="shared" si="647"/>
        <v>0</v>
      </c>
      <c r="P8270" s="903">
        <f t="shared" si="648"/>
        <v>1</v>
      </c>
      <c r="Q8270" s="893">
        <f t="shared" si="649"/>
        <v>6</v>
      </c>
      <c r="R8270" s="894">
        <f t="shared" si="650"/>
        <v>0</v>
      </c>
    </row>
    <row r="8271" spans="1:18">
      <c r="A8271" s="905"/>
      <c r="B8271" s="906"/>
      <c r="C8271" s="907">
        <v>46</v>
      </c>
      <c r="D8271" s="907" t="s">
        <v>279</v>
      </c>
      <c r="E8271" s="925" t="s">
        <v>3179</v>
      </c>
      <c r="F8271" s="926" t="s">
        <v>45</v>
      </c>
      <c r="G8271" s="910"/>
      <c r="H8271" s="911">
        <v>62.5</v>
      </c>
      <c r="I8271" s="912">
        <f>VLOOKUP(E8271,[3]VLP!$B$7:$K$300,10,0)</f>
        <v>20500</v>
      </c>
      <c r="J8271" s="912">
        <f t="shared" si="653"/>
        <v>1281250</v>
      </c>
      <c r="K8271" s="912" t="s">
        <v>274</v>
      </c>
      <c r="L8271" s="912"/>
      <c r="M8271" s="912"/>
      <c r="N8271" s="912"/>
      <c r="O8271" s="892">
        <f t="shared" si="647"/>
        <v>0</v>
      </c>
      <c r="P8271" s="903">
        <f t="shared" si="648"/>
        <v>1</v>
      </c>
      <c r="Q8271" s="893">
        <f t="shared" si="649"/>
        <v>5</v>
      </c>
      <c r="R8271" s="894">
        <f t="shared" si="650"/>
        <v>0</v>
      </c>
    </row>
    <row r="8272" spans="1:18">
      <c r="A8272" s="905"/>
      <c r="B8272" s="906"/>
      <c r="C8272" s="907">
        <v>58</v>
      </c>
      <c r="D8272" s="907" t="s">
        <v>279</v>
      </c>
      <c r="E8272" s="925" t="s">
        <v>3190</v>
      </c>
      <c r="F8272" s="926" t="s">
        <v>45</v>
      </c>
      <c r="G8272" s="910"/>
      <c r="H8272" s="911">
        <v>6</v>
      </c>
      <c r="I8272" s="912">
        <f>VLOOKUP(E8272,[3]VLP!$B$7:$K$300,10,0)</f>
        <v>27940</v>
      </c>
      <c r="J8272" s="912">
        <f t="shared" si="653"/>
        <v>167640</v>
      </c>
      <c r="K8272" s="912" t="s">
        <v>274</v>
      </c>
      <c r="L8272" s="912"/>
      <c r="M8272" s="912"/>
      <c r="N8272" s="912"/>
      <c r="O8272" s="892">
        <f t="shared" si="647"/>
        <v>0</v>
      </c>
      <c r="P8272" s="903">
        <f t="shared" si="648"/>
        <v>1</v>
      </c>
      <c r="Q8272" s="893">
        <f t="shared" si="649"/>
        <v>4</v>
      </c>
      <c r="R8272" s="894">
        <f t="shared" si="650"/>
        <v>0</v>
      </c>
    </row>
    <row r="8273" spans="1:18">
      <c r="A8273" s="905"/>
      <c r="B8273" s="906"/>
      <c r="C8273" s="907">
        <v>699</v>
      </c>
      <c r="D8273" s="907" t="s">
        <v>279</v>
      </c>
      <c r="E8273" s="925" t="s">
        <v>4006</v>
      </c>
      <c r="F8273" s="926" t="s">
        <v>4007</v>
      </c>
      <c r="G8273" s="910"/>
      <c r="H8273" s="911">
        <v>5</v>
      </c>
      <c r="I8273" s="912">
        <f>VLOOKUP(E8273,[3]VLP!$B$7:$K$300,10,0)</f>
        <v>5000</v>
      </c>
      <c r="J8273" s="912">
        <f t="shared" si="653"/>
        <v>25000</v>
      </c>
      <c r="K8273" s="912" t="s">
        <v>274</v>
      </c>
      <c r="L8273" s="912"/>
      <c r="M8273" s="912"/>
      <c r="N8273" s="912"/>
      <c r="O8273" s="892">
        <f t="shared" si="647"/>
        <v>0</v>
      </c>
      <c r="P8273" s="903">
        <f t="shared" si="648"/>
        <v>1</v>
      </c>
      <c r="Q8273" s="893">
        <f t="shared" si="649"/>
        <v>3</v>
      </c>
      <c r="R8273" s="894">
        <f t="shared" si="650"/>
        <v>0</v>
      </c>
    </row>
    <row r="8274" spans="1:18" s="904" customFormat="1">
      <c r="A8274" s="895"/>
      <c r="B8274" s="896"/>
      <c r="C8274" s="897"/>
      <c r="D8274" s="897"/>
      <c r="E8274" s="924" t="s">
        <v>276</v>
      </c>
      <c r="F8274" s="927"/>
      <c r="G8274" s="928"/>
      <c r="H8274" s="901"/>
      <c r="I8274" s="902"/>
      <c r="J8274" s="902"/>
      <c r="K8274" s="912" t="s">
        <v>274</v>
      </c>
      <c r="L8274" s="902"/>
      <c r="M8274" s="902"/>
      <c r="N8274" s="902"/>
      <c r="O8274" s="892">
        <f t="shared" si="647"/>
        <v>0</v>
      </c>
      <c r="P8274" s="903">
        <f t="shared" si="648"/>
        <v>1</v>
      </c>
      <c r="Q8274" s="893">
        <f t="shared" si="649"/>
        <v>2</v>
      </c>
      <c r="R8274" s="894">
        <f t="shared" si="650"/>
        <v>0</v>
      </c>
    </row>
    <row r="8275" spans="1:18">
      <c r="A8275" s="905"/>
      <c r="B8275" s="906"/>
      <c r="C8275" s="907">
        <v>745</v>
      </c>
      <c r="D8275" s="907" t="s">
        <v>12</v>
      </c>
      <c r="E8275" s="908" t="s">
        <v>5518</v>
      </c>
      <c r="F8275" s="909" t="s">
        <v>2674</v>
      </c>
      <c r="G8275" s="910"/>
      <c r="H8275" s="911">
        <v>29.15</v>
      </c>
      <c r="I8275" s="912"/>
      <c r="J8275" s="912"/>
      <c r="K8275" s="912">
        <f>VLOOKUP(E8275,[5]ĐMNC!$A$7:$F$67,4,0)</f>
        <v>240557</v>
      </c>
      <c r="L8275" s="912">
        <f>H8275*K8275</f>
        <v>7012236.5499999998</v>
      </c>
      <c r="M8275" s="912"/>
      <c r="N8275" s="912"/>
      <c r="O8275" s="892">
        <f t="shared" si="647"/>
        <v>0</v>
      </c>
      <c r="P8275" s="903">
        <f t="shared" si="648"/>
        <v>1</v>
      </c>
      <c r="Q8275" s="893">
        <f t="shared" si="649"/>
        <v>1</v>
      </c>
      <c r="R8275" s="894">
        <f t="shared" si="650"/>
        <v>0</v>
      </c>
    </row>
    <row r="8276" spans="1:18" s="847" customFormat="1" ht="35.25" customHeight="1">
      <c r="A8276" s="905"/>
      <c r="B8276" s="914" t="s">
        <v>6267</v>
      </c>
      <c r="C8276" s="915"/>
      <c r="D8276" s="915"/>
      <c r="E8276" s="916" t="s">
        <v>6268</v>
      </c>
      <c r="F8276" s="917" t="s">
        <v>6094</v>
      </c>
      <c r="G8276" s="944"/>
      <c r="H8276" s="919"/>
      <c r="I8276" s="920"/>
      <c r="J8276" s="891">
        <f>SUM(J8277:J8290)</f>
        <v>3083490</v>
      </c>
      <c r="K8276" s="891" t="s">
        <v>274</v>
      </c>
      <c r="L8276" s="891">
        <f>SUM(L8277:L8290)</f>
        <v>7695418.4299999997</v>
      </c>
      <c r="M8276" s="891"/>
      <c r="N8276" s="891">
        <f>SUM(N8277:N8290)</f>
        <v>0</v>
      </c>
      <c r="O8276" s="892">
        <f t="shared" si="647"/>
        <v>1</v>
      </c>
      <c r="P8276" s="903">
        <f t="shared" si="648"/>
        <v>0</v>
      </c>
      <c r="Q8276" s="893">
        <f t="shared" si="649"/>
        <v>0</v>
      </c>
      <c r="R8276" s="894">
        <f t="shared" si="650"/>
        <v>14</v>
      </c>
    </row>
    <row r="8277" spans="1:18" s="904" customFormat="1">
      <c r="A8277" s="895"/>
      <c r="B8277" s="896"/>
      <c r="C8277" s="897"/>
      <c r="D8277" s="897"/>
      <c r="E8277" s="898" t="s">
        <v>108</v>
      </c>
      <c r="F8277" s="899"/>
      <c r="G8277" s="928"/>
      <c r="H8277" s="901"/>
      <c r="I8277" s="902"/>
      <c r="J8277" s="902"/>
      <c r="K8277" s="912" t="s">
        <v>274</v>
      </c>
      <c r="L8277" s="902"/>
      <c r="M8277" s="902"/>
      <c r="N8277" s="902"/>
      <c r="O8277" s="892">
        <f t="shared" si="647"/>
        <v>0</v>
      </c>
      <c r="P8277" s="903">
        <f t="shared" si="648"/>
        <v>1</v>
      </c>
      <c r="Q8277" s="893">
        <f t="shared" si="649"/>
        <v>14</v>
      </c>
      <c r="R8277" s="894">
        <f t="shared" si="650"/>
        <v>0</v>
      </c>
    </row>
    <row r="8278" spans="1:18">
      <c r="A8278" s="905"/>
      <c r="B8278" s="906"/>
      <c r="C8278" s="907">
        <v>72</v>
      </c>
      <c r="D8278" s="907" t="s">
        <v>279</v>
      </c>
      <c r="E8278" s="925" t="s">
        <v>6126</v>
      </c>
      <c r="F8278" s="909" t="s">
        <v>2337</v>
      </c>
      <c r="G8278" s="910"/>
      <c r="H8278" s="911">
        <v>1</v>
      </c>
      <c r="I8278" s="912">
        <f>VLOOKUP(E8278,[3]VLP!$B$7:$K$300,10,0)</f>
        <v>33800</v>
      </c>
      <c r="J8278" s="912">
        <f t="shared" ref="J8278:J8288" si="654">I8278*H8278</f>
        <v>33800</v>
      </c>
      <c r="K8278" s="912" t="s">
        <v>274</v>
      </c>
      <c r="L8278" s="912"/>
      <c r="M8278" s="912"/>
      <c r="N8278" s="912"/>
      <c r="O8278" s="892">
        <f t="shared" si="647"/>
        <v>0</v>
      </c>
      <c r="P8278" s="903">
        <f t="shared" si="648"/>
        <v>1</v>
      </c>
      <c r="Q8278" s="893">
        <f t="shared" si="649"/>
        <v>13</v>
      </c>
      <c r="R8278" s="894">
        <f t="shared" si="650"/>
        <v>0</v>
      </c>
    </row>
    <row r="8279" spans="1:18">
      <c r="A8279" s="905"/>
      <c r="B8279" s="906"/>
      <c r="C8279" s="907">
        <v>24</v>
      </c>
      <c r="D8279" s="907" t="s">
        <v>279</v>
      </c>
      <c r="E8279" s="925" t="s">
        <v>2691</v>
      </c>
      <c r="F8279" s="926" t="s">
        <v>2690</v>
      </c>
      <c r="G8279" s="910"/>
      <c r="H8279" s="911">
        <v>12</v>
      </c>
      <c r="I8279" s="912">
        <f>VLOOKUP(E8279,[3]VLP!$B$7:$K$300,10,0)</f>
        <v>6000</v>
      </c>
      <c r="J8279" s="912">
        <f t="shared" si="654"/>
        <v>72000</v>
      </c>
      <c r="K8279" s="912" t="s">
        <v>274</v>
      </c>
      <c r="L8279" s="912"/>
      <c r="M8279" s="912"/>
      <c r="N8279" s="912"/>
      <c r="O8279" s="892">
        <f t="shared" si="647"/>
        <v>0</v>
      </c>
      <c r="P8279" s="903">
        <f t="shared" si="648"/>
        <v>1</v>
      </c>
      <c r="Q8279" s="893">
        <f t="shared" si="649"/>
        <v>12</v>
      </c>
      <c r="R8279" s="894">
        <f t="shared" si="650"/>
        <v>0</v>
      </c>
    </row>
    <row r="8280" spans="1:18">
      <c r="A8280" s="905"/>
      <c r="B8280" s="906"/>
      <c r="C8280" s="907">
        <v>122</v>
      </c>
      <c r="D8280" s="907" t="s">
        <v>279</v>
      </c>
      <c r="E8280" s="925" t="s">
        <v>3267</v>
      </c>
      <c r="F8280" s="909" t="s">
        <v>45</v>
      </c>
      <c r="G8280" s="910"/>
      <c r="H8280" s="911">
        <v>9</v>
      </c>
      <c r="I8280" s="912">
        <f>VLOOKUP(E8280,[3]VLP!$B$7:$K$300,10,0)</f>
        <v>30000</v>
      </c>
      <c r="J8280" s="912">
        <f t="shared" si="654"/>
        <v>270000</v>
      </c>
      <c r="K8280" s="912" t="s">
        <v>274</v>
      </c>
      <c r="L8280" s="912"/>
      <c r="M8280" s="912"/>
      <c r="N8280" s="912"/>
      <c r="O8280" s="892">
        <f t="shared" si="647"/>
        <v>0</v>
      </c>
      <c r="P8280" s="903">
        <f t="shared" si="648"/>
        <v>1</v>
      </c>
      <c r="Q8280" s="893">
        <f t="shared" si="649"/>
        <v>11</v>
      </c>
      <c r="R8280" s="894">
        <f t="shared" si="650"/>
        <v>0</v>
      </c>
    </row>
    <row r="8281" spans="1:18">
      <c r="A8281" s="905"/>
      <c r="B8281" s="906"/>
      <c r="C8281" s="907">
        <v>93</v>
      </c>
      <c r="D8281" s="907" t="s">
        <v>279</v>
      </c>
      <c r="E8281" s="925" t="s">
        <v>6111</v>
      </c>
      <c r="F8281" s="909" t="s">
        <v>45</v>
      </c>
      <c r="G8281" s="910"/>
      <c r="H8281" s="911">
        <v>0.9</v>
      </c>
      <c r="I8281" s="912">
        <f>VLOOKUP(E8281,[3]VLP!$B$7:$K$300,10,0)</f>
        <v>42000</v>
      </c>
      <c r="J8281" s="912">
        <f t="shared" si="654"/>
        <v>37800</v>
      </c>
      <c r="K8281" s="912" t="s">
        <v>274</v>
      </c>
      <c r="L8281" s="912"/>
      <c r="M8281" s="912"/>
      <c r="N8281" s="912"/>
      <c r="O8281" s="892">
        <f t="shared" si="647"/>
        <v>0</v>
      </c>
      <c r="P8281" s="903">
        <f t="shared" si="648"/>
        <v>1</v>
      </c>
      <c r="Q8281" s="893">
        <f t="shared" si="649"/>
        <v>10</v>
      </c>
      <c r="R8281" s="894">
        <f t="shared" si="650"/>
        <v>0</v>
      </c>
    </row>
    <row r="8282" spans="1:18">
      <c r="A8282" s="905"/>
      <c r="B8282" s="906"/>
      <c r="C8282" s="907">
        <v>89</v>
      </c>
      <c r="D8282" s="907" t="s">
        <v>279</v>
      </c>
      <c r="E8282" s="925" t="s">
        <v>5984</v>
      </c>
      <c r="F8282" s="909" t="s">
        <v>45</v>
      </c>
      <c r="G8282" s="910"/>
      <c r="H8282" s="911">
        <v>1.5</v>
      </c>
      <c r="I8282" s="912">
        <f>VLOOKUP(E8282,[3]VLP!$B$7:$K$300,10,0)</f>
        <v>1000</v>
      </c>
      <c r="J8282" s="912">
        <f t="shared" si="654"/>
        <v>1500</v>
      </c>
      <c r="K8282" s="912" t="s">
        <v>274</v>
      </c>
      <c r="L8282" s="912"/>
      <c r="M8282" s="912"/>
      <c r="N8282" s="912"/>
      <c r="O8282" s="892">
        <f t="shared" si="647"/>
        <v>0</v>
      </c>
      <c r="P8282" s="903">
        <f t="shared" si="648"/>
        <v>1</v>
      </c>
      <c r="Q8282" s="893">
        <f t="shared" si="649"/>
        <v>9</v>
      </c>
      <c r="R8282" s="894">
        <f t="shared" si="650"/>
        <v>0</v>
      </c>
    </row>
    <row r="8283" spans="1:18">
      <c r="A8283" s="905"/>
      <c r="B8283" s="906"/>
      <c r="C8283" s="907">
        <v>47</v>
      </c>
      <c r="D8283" s="907" t="s">
        <v>279</v>
      </c>
      <c r="E8283" s="925" t="s">
        <v>3170</v>
      </c>
      <c r="F8283" s="909" t="s">
        <v>45</v>
      </c>
      <c r="G8283" s="910"/>
      <c r="H8283" s="911">
        <v>34</v>
      </c>
      <c r="I8283" s="912">
        <f>VLOOKUP(E8283,[3]VLP!$B$7:$K$300,10,0)</f>
        <v>1000</v>
      </c>
      <c r="J8283" s="912">
        <f t="shared" si="654"/>
        <v>34000</v>
      </c>
      <c r="K8283" s="912" t="s">
        <v>274</v>
      </c>
      <c r="L8283" s="912"/>
      <c r="M8283" s="912"/>
      <c r="N8283" s="912"/>
      <c r="O8283" s="892">
        <f t="shared" si="647"/>
        <v>0</v>
      </c>
      <c r="P8283" s="903">
        <f t="shared" si="648"/>
        <v>1</v>
      </c>
      <c r="Q8283" s="893">
        <f t="shared" si="649"/>
        <v>8</v>
      </c>
      <c r="R8283" s="894">
        <f t="shared" si="650"/>
        <v>0</v>
      </c>
    </row>
    <row r="8284" spans="1:18">
      <c r="A8284" s="905"/>
      <c r="B8284" s="906"/>
      <c r="C8284" s="907">
        <v>44</v>
      </c>
      <c r="D8284" s="907" t="s">
        <v>279</v>
      </c>
      <c r="E8284" s="925" t="s">
        <v>2681</v>
      </c>
      <c r="F8284" s="926" t="s">
        <v>45</v>
      </c>
      <c r="G8284" s="910"/>
      <c r="H8284" s="911">
        <v>50</v>
      </c>
      <c r="I8284" s="912">
        <f>VLOOKUP(E8284,[3]VLP!$B$7:$K$300,10,0)</f>
        <v>23000</v>
      </c>
      <c r="J8284" s="912">
        <f t="shared" si="654"/>
        <v>1150000</v>
      </c>
      <c r="K8284" s="912" t="s">
        <v>274</v>
      </c>
      <c r="L8284" s="912"/>
      <c r="M8284" s="912"/>
      <c r="N8284" s="912"/>
      <c r="O8284" s="892">
        <f t="shared" si="647"/>
        <v>0</v>
      </c>
      <c r="P8284" s="903">
        <f t="shared" si="648"/>
        <v>1</v>
      </c>
      <c r="Q8284" s="893">
        <f t="shared" si="649"/>
        <v>7</v>
      </c>
      <c r="R8284" s="894">
        <f t="shared" si="650"/>
        <v>0</v>
      </c>
    </row>
    <row r="8285" spans="1:18">
      <c r="A8285" s="905"/>
      <c r="B8285" s="906"/>
      <c r="C8285" s="907">
        <v>66</v>
      </c>
      <c r="D8285" s="907" t="s">
        <v>279</v>
      </c>
      <c r="E8285" s="925" t="s">
        <v>2682</v>
      </c>
      <c r="F8285" s="926" t="s">
        <v>45</v>
      </c>
      <c r="G8285" s="910"/>
      <c r="H8285" s="911">
        <v>2.1</v>
      </c>
      <c r="I8285" s="912">
        <f>VLOOKUP(E8285,[3]VLP!$B$7:$K$300,10,0)</f>
        <v>5000</v>
      </c>
      <c r="J8285" s="912">
        <f t="shared" si="654"/>
        <v>10500</v>
      </c>
      <c r="K8285" s="912" t="s">
        <v>274</v>
      </c>
      <c r="L8285" s="912"/>
      <c r="M8285" s="912"/>
      <c r="N8285" s="912"/>
      <c r="O8285" s="892">
        <f t="shared" si="647"/>
        <v>0</v>
      </c>
      <c r="P8285" s="903">
        <f t="shared" si="648"/>
        <v>1</v>
      </c>
      <c r="Q8285" s="893">
        <f t="shared" si="649"/>
        <v>6</v>
      </c>
      <c r="R8285" s="894">
        <f t="shared" si="650"/>
        <v>0</v>
      </c>
    </row>
    <row r="8286" spans="1:18">
      <c r="A8286" s="905"/>
      <c r="B8286" s="906"/>
      <c r="C8286" s="907">
        <v>46</v>
      </c>
      <c r="D8286" s="907" t="s">
        <v>279</v>
      </c>
      <c r="E8286" s="925" t="s">
        <v>3179</v>
      </c>
      <c r="F8286" s="926" t="s">
        <v>45</v>
      </c>
      <c r="G8286" s="910"/>
      <c r="H8286" s="911">
        <v>62.5</v>
      </c>
      <c r="I8286" s="912">
        <f>VLOOKUP(E8286,[3]VLP!$B$7:$K$300,10,0)</f>
        <v>20500</v>
      </c>
      <c r="J8286" s="912">
        <f t="shared" si="654"/>
        <v>1281250</v>
      </c>
      <c r="K8286" s="912" t="s">
        <v>274</v>
      </c>
      <c r="L8286" s="912"/>
      <c r="M8286" s="912"/>
      <c r="N8286" s="912"/>
      <c r="O8286" s="892">
        <f t="shared" si="647"/>
        <v>0</v>
      </c>
      <c r="P8286" s="903">
        <f t="shared" si="648"/>
        <v>1</v>
      </c>
      <c r="Q8286" s="893">
        <f t="shared" si="649"/>
        <v>5</v>
      </c>
      <c r="R8286" s="894">
        <f t="shared" si="650"/>
        <v>0</v>
      </c>
    </row>
    <row r="8287" spans="1:18">
      <c r="A8287" s="905"/>
      <c r="B8287" s="906"/>
      <c r="C8287" s="907">
        <v>58</v>
      </c>
      <c r="D8287" s="907" t="s">
        <v>279</v>
      </c>
      <c r="E8287" s="925" t="s">
        <v>3190</v>
      </c>
      <c r="F8287" s="926" t="s">
        <v>45</v>
      </c>
      <c r="G8287" s="910"/>
      <c r="H8287" s="911">
        <v>6</v>
      </c>
      <c r="I8287" s="912">
        <f>VLOOKUP(E8287,[3]VLP!$B$7:$K$300,10,0)</f>
        <v>27940</v>
      </c>
      <c r="J8287" s="912">
        <f t="shared" si="654"/>
        <v>167640</v>
      </c>
      <c r="K8287" s="912" t="s">
        <v>274</v>
      </c>
      <c r="L8287" s="912"/>
      <c r="M8287" s="912"/>
      <c r="N8287" s="912"/>
      <c r="O8287" s="892">
        <f t="shared" ref="O8287:O8350" si="655">IF(AND(B8287&lt;&gt;"",D8287=""),1,0)</f>
        <v>0</v>
      </c>
      <c r="P8287" s="903">
        <f t="shared" si="648"/>
        <v>1</v>
      </c>
      <c r="Q8287" s="893">
        <f t="shared" si="649"/>
        <v>4</v>
      </c>
      <c r="R8287" s="894">
        <f t="shared" si="650"/>
        <v>0</v>
      </c>
    </row>
    <row r="8288" spans="1:18">
      <c r="A8288" s="905"/>
      <c r="B8288" s="906"/>
      <c r="C8288" s="907">
        <v>699</v>
      </c>
      <c r="D8288" s="907" t="s">
        <v>279</v>
      </c>
      <c r="E8288" s="925" t="s">
        <v>4006</v>
      </c>
      <c r="F8288" s="926" t="s">
        <v>4007</v>
      </c>
      <c r="G8288" s="910"/>
      <c r="H8288" s="911">
        <v>5</v>
      </c>
      <c r="I8288" s="912">
        <f>VLOOKUP(E8288,[3]VLP!$B$7:$K$300,10,0)</f>
        <v>5000</v>
      </c>
      <c r="J8288" s="912">
        <f t="shared" si="654"/>
        <v>25000</v>
      </c>
      <c r="K8288" s="912" t="s">
        <v>274</v>
      </c>
      <c r="L8288" s="912"/>
      <c r="M8288" s="912"/>
      <c r="N8288" s="912"/>
      <c r="O8288" s="892">
        <f t="shared" si="655"/>
        <v>0</v>
      </c>
      <c r="P8288" s="903">
        <f t="shared" si="648"/>
        <v>1</v>
      </c>
      <c r="Q8288" s="893">
        <f t="shared" si="649"/>
        <v>3</v>
      </c>
      <c r="R8288" s="894">
        <f t="shared" si="650"/>
        <v>0</v>
      </c>
    </row>
    <row r="8289" spans="1:18" s="904" customFormat="1">
      <c r="A8289" s="895"/>
      <c r="B8289" s="896"/>
      <c r="C8289" s="897"/>
      <c r="D8289" s="897"/>
      <c r="E8289" s="924" t="s">
        <v>276</v>
      </c>
      <c r="F8289" s="927"/>
      <c r="G8289" s="928"/>
      <c r="H8289" s="901"/>
      <c r="I8289" s="902"/>
      <c r="J8289" s="902"/>
      <c r="K8289" s="912" t="s">
        <v>274</v>
      </c>
      <c r="L8289" s="902"/>
      <c r="M8289" s="902"/>
      <c r="N8289" s="902"/>
      <c r="O8289" s="892">
        <f t="shared" si="655"/>
        <v>0</v>
      </c>
      <c r="P8289" s="903">
        <f t="shared" si="648"/>
        <v>1</v>
      </c>
      <c r="Q8289" s="893">
        <f t="shared" si="649"/>
        <v>2</v>
      </c>
      <c r="R8289" s="894">
        <f t="shared" si="650"/>
        <v>0</v>
      </c>
    </row>
    <row r="8290" spans="1:18">
      <c r="A8290" s="905"/>
      <c r="B8290" s="906"/>
      <c r="C8290" s="907">
        <v>745</v>
      </c>
      <c r="D8290" s="907" t="s">
        <v>12</v>
      </c>
      <c r="E8290" s="908" t="s">
        <v>5518</v>
      </c>
      <c r="F8290" s="909" t="s">
        <v>2674</v>
      </c>
      <c r="G8290" s="910"/>
      <c r="H8290" s="911">
        <v>31.99</v>
      </c>
      <c r="I8290" s="912"/>
      <c r="J8290" s="912"/>
      <c r="K8290" s="912">
        <f>VLOOKUP(E8290,[5]ĐMNC!$A$7:$F$67,4,0)</f>
        <v>240557</v>
      </c>
      <c r="L8290" s="912">
        <f>H8290*K8290</f>
        <v>7695418.4299999997</v>
      </c>
      <c r="M8290" s="912"/>
      <c r="N8290" s="912"/>
      <c r="O8290" s="892">
        <f t="shared" si="655"/>
        <v>0</v>
      </c>
      <c r="P8290" s="903">
        <f t="shared" si="648"/>
        <v>1</v>
      </c>
      <c r="Q8290" s="893">
        <f t="shared" si="649"/>
        <v>1</v>
      </c>
      <c r="R8290" s="894">
        <f t="shared" si="650"/>
        <v>0</v>
      </c>
    </row>
    <row r="8291" spans="1:18" s="847" customFormat="1" ht="35.25" customHeight="1">
      <c r="A8291" s="905"/>
      <c r="B8291" s="914" t="s">
        <v>6269</v>
      </c>
      <c r="C8291" s="915"/>
      <c r="D8291" s="915"/>
      <c r="E8291" s="916" t="s">
        <v>6270</v>
      </c>
      <c r="F8291" s="917" t="s">
        <v>6094</v>
      </c>
      <c r="G8291" s="944"/>
      <c r="H8291" s="919"/>
      <c r="I8291" s="920"/>
      <c r="J8291" s="891">
        <f>SUM(J8292:J8305)</f>
        <v>3633300</v>
      </c>
      <c r="K8291" s="891" t="s">
        <v>274</v>
      </c>
      <c r="L8291" s="891">
        <f>SUM(L8292:L8305)</f>
        <v>9232577.6600000001</v>
      </c>
      <c r="M8291" s="891"/>
      <c r="N8291" s="891">
        <f>SUM(N8292:N8305)</f>
        <v>0</v>
      </c>
      <c r="O8291" s="892">
        <f t="shared" si="655"/>
        <v>1</v>
      </c>
      <c r="P8291" s="903">
        <f t="shared" si="648"/>
        <v>0</v>
      </c>
      <c r="Q8291" s="893">
        <f t="shared" si="649"/>
        <v>0</v>
      </c>
      <c r="R8291" s="894">
        <f t="shared" si="650"/>
        <v>14</v>
      </c>
    </row>
    <row r="8292" spans="1:18" s="904" customFormat="1">
      <c r="A8292" s="895"/>
      <c r="B8292" s="896"/>
      <c r="C8292" s="897"/>
      <c r="D8292" s="897"/>
      <c r="E8292" s="898" t="s">
        <v>108</v>
      </c>
      <c r="F8292" s="899"/>
      <c r="G8292" s="928"/>
      <c r="H8292" s="901"/>
      <c r="I8292" s="902"/>
      <c r="J8292" s="902"/>
      <c r="K8292" s="912" t="s">
        <v>274</v>
      </c>
      <c r="L8292" s="902"/>
      <c r="M8292" s="902"/>
      <c r="N8292" s="902"/>
      <c r="O8292" s="892">
        <f t="shared" si="655"/>
        <v>0</v>
      </c>
      <c r="P8292" s="903">
        <f t="shared" si="648"/>
        <v>1</v>
      </c>
      <c r="Q8292" s="893">
        <f t="shared" si="649"/>
        <v>14</v>
      </c>
      <c r="R8292" s="894">
        <f t="shared" si="650"/>
        <v>0</v>
      </c>
    </row>
    <row r="8293" spans="1:18">
      <c r="A8293" s="905"/>
      <c r="B8293" s="906"/>
      <c r="C8293" s="907">
        <v>73</v>
      </c>
      <c r="D8293" s="907" t="s">
        <v>279</v>
      </c>
      <c r="E8293" s="925" t="s">
        <v>6129</v>
      </c>
      <c r="F8293" s="909" t="s">
        <v>2337</v>
      </c>
      <c r="G8293" s="910"/>
      <c r="H8293" s="911">
        <v>1</v>
      </c>
      <c r="I8293" s="912">
        <f>VLOOKUP(E8293,[3]VLP!$B$7:$K$300,10,0)</f>
        <v>33800</v>
      </c>
      <c r="J8293" s="912">
        <f t="shared" ref="J8293:J8303" si="656">I8293*H8293</f>
        <v>33800</v>
      </c>
      <c r="K8293" s="912" t="s">
        <v>274</v>
      </c>
      <c r="L8293" s="912"/>
      <c r="M8293" s="912"/>
      <c r="N8293" s="912"/>
      <c r="O8293" s="892">
        <f t="shared" si="655"/>
        <v>0</v>
      </c>
      <c r="P8293" s="903">
        <f t="shared" si="648"/>
        <v>1</v>
      </c>
      <c r="Q8293" s="893">
        <f t="shared" si="649"/>
        <v>13</v>
      </c>
      <c r="R8293" s="894">
        <f t="shared" si="650"/>
        <v>0</v>
      </c>
    </row>
    <row r="8294" spans="1:18">
      <c r="A8294" s="905"/>
      <c r="B8294" s="906"/>
      <c r="C8294" s="907">
        <v>24</v>
      </c>
      <c r="D8294" s="907" t="s">
        <v>279</v>
      </c>
      <c r="E8294" s="925" t="s">
        <v>2691</v>
      </c>
      <c r="F8294" s="926" t="s">
        <v>2690</v>
      </c>
      <c r="G8294" s="910"/>
      <c r="H8294" s="911">
        <v>14.4</v>
      </c>
      <c r="I8294" s="912">
        <f>VLOOKUP(E8294,[3]VLP!$B$7:$K$300,10,0)</f>
        <v>6000</v>
      </c>
      <c r="J8294" s="912">
        <f t="shared" si="656"/>
        <v>86400</v>
      </c>
      <c r="K8294" s="912" t="s">
        <v>274</v>
      </c>
      <c r="L8294" s="912"/>
      <c r="M8294" s="912"/>
      <c r="N8294" s="912"/>
      <c r="O8294" s="892">
        <f t="shared" si="655"/>
        <v>0</v>
      </c>
      <c r="P8294" s="903">
        <f t="shared" si="648"/>
        <v>1</v>
      </c>
      <c r="Q8294" s="893">
        <f t="shared" si="649"/>
        <v>12</v>
      </c>
      <c r="R8294" s="894">
        <f t="shared" si="650"/>
        <v>0</v>
      </c>
    </row>
    <row r="8295" spans="1:18">
      <c r="A8295" s="905"/>
      <c r="B8295" s="906"/>
      <c r="C8295" s="907">
        <v>122</v>
      </c>
      <c r="D8295" s="907" t="s">
        <v>279</v>
      </c>
      <c r="E8295" s="925" t="s">
        <v>3267</v>
      </c>
      <c r="F8295" s="909" t="s">
        <v>45</v>
      </c>
      <c r="G8295" s="910"/>
      <c r="H8295" s="911">
        <v>10.08</v>
      </c>
      <c r="I8295" s="912">
        <f>VLOOKUP(E8295,[3]VLP!$B$7:$K$300,10,0)</f>
        <v>30000</v>
      </c>
      <c r="J8295" s="912">
        <f t="shared" si="656"/>
        <v>302400</v>
      </c>
      <c r="K8295" s="912" t="s">
        <v>274</v>
      </c>
      <c r="L8295" s="912"/>
      <c r="M8295" s="912"/>
      <c r="N8295" s="912"/>
      <c r="O8295" s="892">
        <f t="shared" si="655"/>
        <v>0</v>
      </c>
      <c r="P8295" s="903">
        <f t="shared" si="648"/>
        <v>1</v>
      </c>
      <c r="Q8295" s="893">
        <f t="shared" si="649"/>
        <v>11</v>
      </c>
      <c r="R8295" s="894">
        <f t="shared" si="650"/>
        <v>0</v>
      </c>
    </row>
    <row r="8296" spans="1:18">
      <c r="A8296" s="905"/>
      <c r="B8296" s="906"/>
      <c r="C8296" s="907">
        <v>93</v>
      </c>
      <c r="D8296" s="907" t="s">
        <v>279</v>
      </c>
      <c r="E8296" s="925" t="s">
        <v>6111</v>
      </c>
      <c r="F8296" s="909" t="s">
        <v>45</v>
      </c>
      <c r="G8296" s="910"/>
      <c r="H8296" s="911">
        <v>1.08</v>
      </c>
      <c r="I8296" s="912">
        <f>VLOOKUP(E8296,[3]VLP!$B$7:$K$300,10,0)</f>
        <v>42000</v>
      </c>
      <c r="J8296" s="912">
        <f t="shared" si="656"/>
        <v>45360</v>
      </c>
      <c r="K8296" s="912" t="s">
        <v>274</v>
      </c>
      <c r="L8296" s="912"/>
      <c r="M8296" s="912"/>
      <c r="N8296" s="912"/>
      <c r="O8296" s="892">
        <f t="shared" si="655"/>
        <v>0</v>
      </c>
      <c r="P8296" s="903">
        <f t="shared" ref="P8296:P8359" si="657">IF(O8296=0,1,0)</f>
        <v>1</v>
      </c>
      <c r="Q8296" s="893">
        <f t="shared" ref="Q8296:Q8359" si="658">IF(P8296=0,0,P8296+Q8297)</f>
        <v>10</v>
      </c>
      <c r="R8296" s="894">
        <f t="shared" ref="R8296:R8359" si="659">IF(Q8296=0,Q8297,0)</f>
        <v>0</v>
      </c>
    </row>
    <row r="8297" spans="1:18">
      <c r="A8297" s="905"/>
      <c r="B8297" s="906"/>
      <c r="C8297" s="907">
        <v>89</v>
      </c>
      <c r="D8297" s="907" t="s">
        <v>279</v>
      </c>
      <c r="E8297" s="925" t="s">
        <v>5984</v>
      </c>
      <c r="F8297" s="909" t="s">
        <v>45</v>
      </c>
      <c r="G8297" s="910"/>
      <c r="H8297" s="911">
        <v>1.8</v>
      </c>
      <c r="I8297" s="912">
        <f>VLOOKUP(E8297,[3]VLP!$B$7:$K$300,10,0)</f>
        <v>1000</v>
      </c>
      <c r="J8297" s="912">
        <f t="shared" si="656"/>
        <v>1800</v>
      </c>
      <c r="K8297" s="912" t="s">
        <v>274</v>
      </c>
      <c r="L8297" s="912"/>
      <c r="M8297" s="912"/>
      <c r="N8297" s="912"/>
      <c r="O8297" s="892">
        <f t="shared" si="655"/>
        <v>0</v>
      </c>
      <c r="P8297" s="903">
        <f t="shared" si="657"/>
        <v>1</v>
      </c>
      <c r="Q8297" s="893">
        <f t="shared" si="658"/>
        <v>9</v>
      </c>
      <c r="R8297" s="894">
        <f t="shared" si="659"/>
        <v>0</v>
      </c>
    </row>
    <row r="8298" spans="1:18">
      <c r="A8298" s="905"/>
      <c r="B8298" s="906"/>
      <c r="C8298" s="907">
        <v>47</v>
      </c>
      <c r="D8298" s="907" t="s">
        <v>279</v>
      </c>
      <c r="E8298" s="925" t="s">
        <v>3170</v>
      </c>
      <c r="F8298" s="909" t="s">
        <v>45</v>
      </c>
      <c r="G8298" s="910"/>
      <c r="H8298" s="911">
        <v>40.799999999999997</v>
      </c>
      <c r="I8298" s="912">
        <f>VLOOKUP(E8298,[3]VLP!$B$7:$K$300,10,0)</f>
        <v>1000</v>
      </c>
      <c r="J8298" s="912">
        <f t="shared" si="656"/>
        <v>40800</v>
      </c>
      <c r="K8298" s="912" t="s">
        <v>274</v>
      </c>
      <c r="L8298" s="912"/>
      <c r="M8298" s="912"/>
      <c r="N8298" s="912"/>
      <c r="O8298" s="892">
        <f t="shared" si="655"/>
        <v>0</v>
      </c>
      <c r="P8298" s="903">
        <f t="shared" si="657"/>
        <v>1</v>
      </c>
      <c r="Q8298" s="893">
        <f t="shared" si="658"/>
        <v>8</v>
      </c>
      <c r="R8298" s="894">
        <f t="shared" si="659"/>
        <v>0</v>
      </c>
    </row>
    <row r="8299" spans="1:18">
      <c r="A8299" s="905"/>
      <c r="B8299" s="906"/>
      <c r="C8299" s="907">
        <v>44</v>
      </c>
      <c r="D8299" s="907" t="s">
        <v>279</v>
      </c>
      <c r="E8299" s="925" t="s">
        <v>2681</v>
      </c>
      <c r="F8299" s="926" t="s">
        <v>45</v>
      </c>
      <c r="G8299" s="910"/>
      <c r="H8299" s="911">
        <v>60</v>
      </c>
      <c r="I8299" s="912">
        <f>VLOOKUP(E8299,[3]VLP!$B$7:$K$300,10,0)</f>
        <v>23000</v>
      </c>
      <c r="J8299" s="912">
        <f t="shared" si="656"/>
        <v>1380000</v>
      </c>
      <c r="K8299" s="912" t="s">
        <v>274</v>
      </c>
      <c r="L8299" s="912"/>
      <c r="M8299" s="912"/>
      <c r="N8299" s="912"/>
      <c r="O8299" s="892">
        <f t="shared" si="655"/>
        <v>0</v>
      </c>
      <c r="P8299" s="903">
        <f t="shared" si="657"/>
        <v>1</v>
      </c>
      <c r="Q8299" s="893">
        <f t="shared" si="658"/>
        <v>7</v>
      </c>
      <c r="R8299" s="894">
        <f t="shared" si="659"/>
        <v>0</v>
      </c>
    </row>
    <row r="8300" spans="1:18">
      <c r="A8300" s="905"/>
      <c r="B8300" s="906"/>
      <c r="C8300" s="907">
        <v>66</v>
      </c>
      <c r="D8300" s="907" t="s">
        <v>279</v>
      </c>
      <c r="E8300" s="925" t="s">
        <v>2682</v>
      </c>
      <c r="F8300" s="926" t="s">
        <v>45</v>
      </c>
      <c r="G8300" s="910"/>
      <c r="H8300" s="911">
        <v>2.52</v>
      </c>
      <c r="I8300" s="912">
        <f>VLOOKUP(E8300,[3]VLP!$B$7:$K$300,10,0)</f>
        <v>5000</v>
      </c>
      <c r="J8300" s="912">
        <f t="shared" si="656"/>
        <v>12600</v>
      </c>
      <c r="K8300" s="912" t="s">
        <v>274</v>
      </c>
      <c r="L8300" s="912"/>
      <c r="M8300" s="912"/>
      <c r="N8300" s="912"/>
      <c r="O8300" s="892">
        <f t="shared" si="655"/>
        <v>0</v>
      </c>
      <c r="P8300" s="903">
        <f t="shared" si="657"/>
        <v>1</v>
      </c>
      <c r="Q8300" s="893">
        <f t="shared" si="658"/>
        <v>6</v>
      </c>
      <c r="R8300" s="894">
        <f t="shared" si="659"/>
        <v>0</v>
      </c>
    </row>
    <row r="8301" spans="1:18">
      <c r="A8301" s="905"/>
      <c r="B8301" s="906"/>
      <c r="C8301" s="907">
        <v>46</v>
      </c>
      <c r="D8301" s="907" t="s">
        <v>279</v>
      </c>
      <c r="E8301" s="925" t="s">
        <v>3179</v>
      </c>
      <c r="F8301" s="926" t="s">
        <v>45</v>
      </c>
      <c r="G8301" s="910"/>
      <c r="H8301" s="911">
        <v>75</v>
      </c>
      <c r="I8301" s="912">
        <f>VLOOKUP(E8301,[3]VLP!$B$7:$K$300,10,0)</f>
        <v>20500</v>
      </c>
      <c r="J8301" s="912">
        <f t="shared" si="656"/>
        <v>1537500</v>
      </c>
      <c r="K8301" s="912" t="s">
        <v>274</v>
      </c>
      <c r="L8301" s="912"/>
      <c r="M8301" s="912"/>
      <c r="N8301" s="912"/>
      <c r="O8301" s="892">
        <f t="shared" si="655"/>
        <v>0</v>
      </c>
      <c r="P8301" s="903">
        <f t="shared" si="657"/>
        <v>1</v>
      </c>
      <c r="Q8301" s="893">
        <f t="shared" si="658"/>
        <v>5</v>
      </c>
      <c r="R8301" s="894">
        <f t="shared" si="659"/>
        <v>0</v>
      </c>
    </row>
    <row r="8302" spans="1:18">
      <c r="A8302" s="905"/>
      <c r="B8302" s="906"/>
      <c r="C8302" s="907">
        <v>58</v>
      </c>
      <c r="D8302" s="907" t="s">
        <v>279</v>
      </c>
      <c r="E8302" s="925" t="s">
        <v>3190</v>
      </c>
      <c r="F8302" s="926" t="s">
        <v>45</v>
      </c>
      <c r="G8302" s="910"/>
      <c r="H8302" s="911">
        <v>6</v>
      </c>
      <c r="I8302" s="912">
        <f>VLOOKUP(E8302,[3]VLP!$B$7:$K$300,10,0)</f>
        <v>27940</v>
      </c>
      <c r="J8302" s="912">
        <f t="shared" si="656"/>
        <v>167640</v>
      </c>
      <c r="K8302" s="912" t="s">
        <v>274</v>
      </c>
      <c r="L8302" s="912"/>
      <c r="M8302" s="912"/>
      <c r="N8302" s="912"/>
      <c r="O8302" s="892">
        <f t="shared" si="655"/>
        <v>0</v>
      </c>
      <c r="P8302" s="903">
        <f t="shared" si="657"/>
        <v>1</v>
      </c>
      <c r="Q8302" s="893">
        <f t="shared" si="658"/>
        <v>4</v>
      </c>
      <c r="R8302" s="894">
        <f t="shared" si="659"/>
        <v>0</v>
      </c>
    </row>
    <row r="8303" spans="1:18">
      <c r="A8303" s="905"/>
      <c r="B8303" s="906"/>
      <c r="C8303" s="907">
        <v>699</v>
      </c>
      <c r="D8303" s="907" t="s">
        <v>279</v>
      </c>
      <c r="E8303" s="925" t="s">
        <v>4006</v>
      </c>
      <c r="F8303" s="926" t="s">
        <v>4007</v>
      </c>
      <c r="G8303" s="910"/>
      <c r="H8303" s="911">
        <v>5</v>
      </c>
      <c r="I8303" s="912">
        <f>VLOOKUP(E8303,[3]VLP!$B$7:$K$300,10,0)</f>
        <v>5000</v>
      </c>
      <c r="J8303" s="912">
        <f t="shared" si="656"/>
        <v>25000</v>
      </c>
      <c r="K8303" s="912" t="s">
        <v>274</v>
      </c>
      <c r="L8303" s="912"/>
      <c r="M8303" s="912"/>
      <c r="N8303" s="912"/>
      <c r="O8303" s="892">
        <f t="shared" si="655"/>
        <v>0</v>
      </c>
      <c r="P8303" s="903">
        <f t="shared" si="657"/>
        <v>1</v>
      </c>
      <c r="Q8303" s="893">
        <f t="shared" si="658"/>
        <v>3</v>
      </c>
      <c r="R8303" s="894">
        <f t="shared" si="659"/>
        <v>0</v>
      </c>
    </row>
    <row r="8304" spans="1:18" s="904" customFormat="1">
      <c r="A8304" s="895"/>
      <c r="B8304" s="896"/>
      <c r="C8304" s="897"/>
      <c r="D8304" s="897"/>
      <c r="E8304" s="924" t="s">
        <v>276</v>
      </c>
      <c r="F8304" s="927"/>
      <c r="G8304" s="928"/>
      <c r="H8304" s="901"/>
      <c r="I8304" s="902"/>
      <c r="J8304" s="902"/>
      <c r="K8304" s="912" t="s">
        <v>274</v>
      </c>
      <c r="L8304" s="902"/>
      <c r="M8304" s="902"/>
      <c r="N8304" s="902"/>
      <c r="O8304" s="892">
        <f t="shared" si="655"/>
        <v>0</v>
      </c>
      <c r="P8304" s="903">
        <f t="shared" si="657"/>
        <v>1</v>
      </c>
      <c r="Q8304" s="893">
        <f t="shared" si="658"/>
        <v>2</v>
      </c>
      <c r="R8304" s="894">
        <f t="shared" si="659"/>
        <v>0</v>
      </c>
    </row>
    <row r="8305" spans="1:18">
      <c r="A8305" s="905"/>
      <c r="B8305" s="906"/>
      <c r="C8305" s="907">
        <v>745</v>
      </c>
      <c r="D8305" s="907" t="s">
        <v>12</v>
      </c>
      <c r="E8305" s="908" t="s">
        <v>5518</v>
      </c>
      <c r="F8305" s="909" t="s">
        <v>2674</v>
      </c>
      <c r="G8305" s="910"/>
      <c r="H8305" s="911">
        <v>38.380000000000003</v>
      </c>
      <c r="I8305" s="912"/>
      <c r="J8305" s="912"/>
      <c r="K8305" s="912">
        <f>VLOOKUP(E8305,[5]ĐMNC!$A$7:$F$67,4,0)</f>
        <v>240557</v>
      </c>
      <c r="L8305" s="912">
        <f>H8305*K8305</f>
        <v>9232577.6600000001</v>
      </c>
      <c r="M8305" s="912"/>
      <c r="N8305" s="912"/>
      <c r="O8305" s="892">
        <f t="shared" si="655"/>
        <v>0</v>
      </c>
      <c r="P8305" s="903">
        <f t="shared" si="657"/>
        <v>1</v>
      </c>
      <c r="Q8305" s="893">
        <f t="shared" si="658"/>
        <v>1</v>
      </c>
      <c r="R8305" s="894">
        <f t="shared" si="659"/>
        <v>0</v>
      </c>
    </row>
    <row r="8306" spans="1:18" s="847" customFormat="1">
      <c r="A8306" s="905" t="s">
        <v>6271</v>
      </c>
      <c r="B8306" s="914" t="s">
        <v>179</v>
      </c>
      <c r="C8306" s="915"/>
      <c r="D8306" s="915"/>
      <c r="E8306" s="916" t="s">
        <v>6272</v>
      </c>
      <c r="F8306" s="917" t="s">
        <v>6273</v>
      </c>
      <c r="G8306" s="918"/>
      <c r="H8306" s="919"/>
      <c r="I8306" s="920"/>
      <c r="J8306" s="891">
        <f>SUM(J8307:J8310)</f>
        <v>0</v>
      </c>
      <c r="K8306" s="891"/>
      <c r="L8306" s="891">
        <f>SUM(L8307:L8310)</f>
        <v>38489.120000000003</v>
      </c>
      <c r="M8306" s="891"/>
      <c r="N8306" s="891">
        <f>SUM(N8307:N8310)</f>
        <v>0</v>
      </c>
      <c r="O8306" s="892">
        <f t="shared" si="655"/>
        <v>1</v>
      </c>
      <c r="P8306" s="903">
        <f t="shared" si="657"/>
        <v>0</v>
      </c>
      <c r="Q8306" s="893">
        <f t="shared" si="658"/>
        <v>0</v>
      </c>
      <c r="R8306" s="894">
        <f t="shared" si="659"/>
        <v>4</v>
      </c>
    </row>
    <row r="8307" spans="1:18" s="904" customFormat="1">
      <c r="A8307" s="895"/>
      <c r="B8307" s="896"/>
      <c r="C8307" s="897"/>
      <c r="D8307" s="897"/>
      <c r="E8307" s="924" t="s">
        <v>276</v>
      </c>
      <c r="F8307" s="927"/>
      <c r="G8307" s="928"/>
      <c r="H8307" s="901"/>
      <c r="I8307" s="902"/>
      <c r="J8307" s="902"/>
      <c r="K8307" s="912" t="s">
        <v>274</v>
      </c>
      <c r="L8307" s="902"/>
      <c r="M8307" s="902"/>
      <c r="N8307" s="902"/>
      <c r="O8307" s="892">
        <f t="shared" si="655"/>
        <v>0</v>
      </c>
      <c r="P8307" s="903">
        <f t="shared" si="657"/>
        <v>1</v>
      </c>
      <c r="Q8307" s="893">
        <f t="shared" si="658"/>
        <v>4</v>
      </c>
      <c r="R8307" s="894">
        <f t="shared" si="659"/>
        <v>0</v>
      </c>
    </row>
    <row r="8308" spans="1:18">
      <c r="A8308" s="905"/>
      <c r="B8308" s="906"/>
      <c r="C8308" s="907">
        <v>745</v>
      </c>
      <c r="D8308" s="907" t="s">
        <v>12</v>
      </c>
      <c r="E8308" s="908" t="s">
        <v>5518</v>
      </c>
      <c r="F8308" s="909" t="s">
        <v>2674</v>
      </c>
      <c r="G8308" s="910"/>
      <c r="H8308" s="911">
        <v>0.16</v>
      </c>
      <c r="I8308" s="912"/>
      <c r="J8308" s="912"/>
      <c r="K8308" s="912">
        <f>VLOOKUP(E8308,[5]ĐMNC!$A$7:$F$67,4,0)</f>
        <v>240557</v>
      </c>
      <c r="L8308" s="912">
        <f>H8308*K8308</f>
        <v>38489.120000000003</v>
      </c>
      <c r="M8308" s="912"/>
      <c r="N8308" s="912"/>
      <c r="O8308" s="892">
        <f t="shared" si="655"/>
        <v>0</v>
      </c>
      <c r="P8308" s="903">
        <f t="shared" si="657"/>
        <v>1</v>
      </c>
      <c r="Q8308" s="893">
        <f t="shared" si="658"/>
        <v>3</v>
      </c>
      <c r="R8308" s="894">
        <f t="shared" si="659"/>
        <v>0</v>
      </c>
    </row>
    <row r="8309" spans="1:18" s="904" customFormat="1">
      <c r="A8309" s="895"/>
      <c r="B8309" s="896"/>
      <c r="C8309" s="897"/>
      <c r="D8309" s="897"/>
      <c r="E8309" s="898" t="s">
        <v>3914</v>
      </c>
      <c r="F8309" s="899"/>
      <c r="G8309" s="928"/>
      <c r="H8309" s="901"/>
      <c r="I8309" s="902"/>
      <c r="J8309" s="902"/>
      <c r="K8309" s="912" t="s">
        <v>274</v>
      </c>
      <c r="L8309" s="902"/>
      <c r="M8309" s="902"/>
      <c r="N8309" s="902"/>
      <c r="O8309" s="892">
        <f t="shared" si="655"/>
        <v>0</v>
      </c>
      <c r="P8309" s="903">
        <f t="shared" si="657"/>
        <v>1</v>
      </c>
      <c r="Q8309" s="893">
        <f t="shared" si="658"/>
        <v>2</v>
      </c>
      <c r="R8309" s="894">
        <f t="shared" si="659"/>
        <v>0</v>
      </c>
    </row>
    <row r="8310" spans="1:18">
      <c r="A8310" s="905"/>
      <c r="B8310" s="906" t="s">
        <v>6274</v>
      </c>
      <c r="C8310" s="907">
        <v>856</v>
      </c>
      <c r="D8310" s="907" t="s">
        <v>93</v>
      </c>
      <c r="E8310" s="908" t="s">
        <v>6275</v>
      </c>
      <c r="F8310" s="909" t="s">
        <v>2673</v>
      </c>
      <c r="G8310" s="910"/>
      <c r="H8310" s="911">
        <v>0.2</v>
      </c>
      <c r="I8310" s="912"/>
      <c r="J8310" s="912"/>
      <c r="K8310" s="912"/>
      <c r="L8310" s="912"/>
      <c r="M8310" s="912">
        <f>VLOOKUP(B8310,MTC!$B$9:$S$933,12,0)</f>
        <v>0</v>
      </c>
      <c r="N8310" s="912">
        <f>M8310*H8310</f>
        <v>0</v>
      </c>
      <c r="O8310" s="892">
        <f t="shared" si="655"/>
        <v>0</v>
      </c>
      <c r="P8310" s="903">
        <f t="shared" si="657"/>
        <v>1</v>
      </c>
      <c r="Q8310" s="893">
        <f t="shared" si="658"/>
        <v>1</v>
      </c>
      <c r="R8310" s="894">
        <f t="shared" si="659"/>
        <v>0</v>
      </c>
    </row>
    <row r="8311" spans="1:18" s="847" customFormat="1">
      <c r="A8311" s="905"/>
      <c r="B8311" s="914" t="s">
        <v>1776</v>
      </c>
      <c r="C8311" s="915"/>
      <c r="D8311" s="915"/>
      <c r="E8311" s="916" t="s">
        <v>6276</v>
      </c>
      <c r="F8311" s="917" t="s">
        <v>6273</v>
      </c>
      <c r="G8311" s="918"/>
      <c r="H8311" s="919"/>
      <c r="I8311" s="920"/>
      <c r="J8311" s="891">
        <f>SUM(J8312:J8315)</f>
        <v>0</v>
      </c>
      <c r="K8311" s="891"/>
      <c r="L8311" s="891">
        <f>SUM(L8312:L8315)</f>
        <v>67355.960000000006</v>
      </c>
      <c r="M8311" s="891"/>
      <c r="N8311" s="891">
        <f>SUM(N8312:N8315)</f>
        <v>0</v>
      </c>
      <c r="O8311" s="892">
        <f t="shared" si="655"/>
        <v>1</v>
      </c>
      <c r="P8311" s="903">
        <f t="shared" si="657"/>
        <v>0</v>
      </c>
      <c r="Q8311" s="893">
        <f t="shared" si="658"/>
        <v>0</v>
      </c>
      <c r="R8311" s="894">
        <f t="shared" si="659"/>
        <v>4</v>
      </c>
    </row>
    <row r="8312" spans="1:18" s="904" customFormat="1">
      <c r="A8312" s="895"/>
      <c r="B8312" s="896"/>
      <c r="C8312" s="897"/>
      <c r="D8312" s="897"/>
      <c r="E8312" s="924" t="s">
        <v>276</v>
      </c>
      <c r="F8312" s="927"/>
      <c r="G8312" s="928"/>
      <c r="H8312" s="901"/>
      <c r="I8312" s="902"/>
      <c r="J8312" s="902"/>
      <c r="K8312" s="912" t="s">
        <v>274</v>
      </c>
      <c r="L8312" s="902"/>
      <c r="M8312" s="902"/>
      <c r="N8312" s="902"/>
      <c r="O8312" s="892">
        <f t="shared" si="655"/>
        <v>0</v>
      </c>
      <c r="P8312" s="903">
        <f t="shared" si="657"/>
        <v>1</v>
      </c>
      <c r="Q8312" s="893">
        <f t="shared" si="658"/>
        <v>4</v>
      </c>
      <c r="R8312" s="894">
        <f t="shared" si="659"/>
        <v>0</v>
      </c>
    </row>
    <row r="8313" spans="1:18">
      <c r="A8313" s="905"/>
      <c r="B8313" s="906"/>
      <c r="C8313" s="907">
        <v>745</v>
      </c>
      <c r="D8313" s="907" t="s">
        <v>12</v>
      </c>
      <c r="E8313" s="908" t="s">
        <v>5518</v>
      </c>
      <c r="F8313" s="909" t="s">
        <v>2674</v>
      </c>
      <c r="G8313" s="910"/>
      <c r="H8313" s="911">
        <v>0.28000000000000003</v>
      </c>
      <c r="I8313" s="912"/>
      <c r="J8313" s="912"/>
      <c r="K8313" s="912">
        <f>VLOOKUP(E8313,[5]ĐMNC!$A$7:$F$67,4,0)</f>
        <v>240557</v>
      </c>
      <c r="L8313" s="912">
        <f>H8313*K8313</f>
        <v>67355.960000000006</v>
      </c>
      <c r="M8313" s="912"/>
      <c r="N8313" s="912"/>
      <c r="O8313" s="892">
        <f t="shared" si="655"/>
        <v>0</v>
      </c>
      <c r="P8313" s="903">
        <f t="shared" si="657"/>
        <v>1</v>
      </c>
      <c r="Q8313" s="893">
        <f t="shared" si="658"/>
        <v>3</v>
      </c>
      <c r="R8313" s="894">
        <f t="shared" si="659"/>
        <v>0</v>
      </c>
    </row>
    <row r="8314" spans="1:18" s="904" customFormat="1">
      <c r="A8314" s="895"/>
      <c r="B8314" s="896"/>
      <c r="C8314" s="897"/>
      <c r="D8314" s="897"/>
      <c r="E8314" s="898" t="s">
        <v>3914</v>
      </c>
      <c r="F8314" s="899"/>
      <c r="G8314" s="928"/>
      <c r="H8314" s="901"/>
      <c r="I8314" s="902"/>
      <c r="J8314" s="902"/>
      <c r="K8314" s="912" t="s">
        <v>274</v>
      </c>
      <c r="L8314" s="902"/>
      <c r="M8314" s="902"/>
      <c r="N8314" s="902"/>
      <c r="O8314" s="892">
        <f t="shared" si="655"/>
        <v>0</v>
      </c>
      <c r="P8314" s="903">
        <f t="shared" si="657"/>
        <v>1</v>
      </c>
      <c r="Q8314" s="893">
        <f t="shared" si="658"/>
        <v>2</v>
      </c>
      <c r="R8314" s="894">
        <f t="shared" si="659"/>
        <v>0</v>
      </c>
    </row>
    <row r="8315" spans="1:18">
      <c r="A8315" s="905"/>
      <c r="B8315" s="906" t="s">
        <v>6274</v>
      </c>
      <c r="C8315" s="907">
        <v>856</v>
      </c>
      <c r="D8315" s="907" t="s">
        <v>93</v>
      </c>
      <c r="E8315" s="908" t="s">
        <v>6275</v>
      </c>
      <c r="F8315" s="909" t="s">
        <v>2673</v>
      </c>
      <c r="G8315" s="910"/>
      <c r="H8315" s="911">
        <v>0.25</v>
      </c>
      <c r="I8315" s="912"/>
      <c r="J8315" s="912"/>
      <c r="K8315" s="912"/>
      <c r="L8315" s="912"/>
      <c r="M8315" s="912">
        <f>VLOOKUP(B8315,MTC!$B$9:$S$933,12,0)</f>
        <v>0</v>
      </c>
      <c r="N8315" s="912">
        <f>M8315*H8315</f>
        <v>0</v>
      </c>
      <c r="O8315" s="892">
        <f t="shared" si="655"/>
        <v>0</v>
      </c>
      <c r="P8315" s="903">
        <f t="shared" si="657"/>
        <v>1</v>
      </c>
      <c r="Q8315" s="893">
        <f t="shared" si="658"/>
        <v>1</v>
      </c>
      <c r="R8315" s="894">
        <f t="shared" si="659"/>
        <v>0</v>
      </c>
    </row>
    <row r="8316" spans="1:18" s="847" customFormat="1">
      <c r="A8316" s="905"/>
      <c r="B8316" s="914" t="s">
        <v>190</v>
      </c>
      <c r="C8316" s="915"/>
      <c r="D8316" s="915"/>
      <c r="E8316" s="916" t="s">
        <v>6277</v>
      </c>
      <c r="F8316" s="917" t="s">
        <v>6273</v>
      </c>
      <c r="G8316" s="918"/>
      <c r="H8316" s="919"/>
      <c r="I8316" s="920"/>
      <c r="J8316" s="891">
        <f>SUM(J8317:J8320)</f>
        <v>0</v>
      </c>
      <c r="K8316" s="891"/>
      <c r="L8316" s="891">
        <f>SUM(L8317:L8320)</f>
        <v>132306.35</v>
      </c>
      <c r="M8316" s="891"/>
      <c r="N8316" s="891">
        <f>SUM(N8317:N8320)</f>
        <v>0</v>
      </c>
      <c r="O8316" s="892">
        <f t="shared" si="655"/>
        <v>1</v>
      </c>
      <c r="P8316" s="903">
        <f t="shared" si="657"/>
        <v>0</v>
      </c>
      <c r="Q8316" s="893">
        <f t="shared" si="658"/>
        <v>0</v>
      </c>
      <c r="R8316" s="894">
        <f t="shared" si="659"/>
        <v>4</v>
      </c>
    </row>
    <row r="8317" spans="1:18" s="904" customFormat="1">
      <c r="A8317" s="895"/>
      <c r="B8317" s="896"/>
      <c r="C8317" s="897"/>
      <c r="D8317" s="897"/>
      <c r="E8317" s="924" t="s">
        <v>276</v>
      </c>
      <c r="F8317" s="927"/>
      <c r="G8317" s="928"/>
      <c r="H8317" s="901"/>
      <c r="I8317" s="902"/>
      <c r="J8317" s="902"/>
      <c r="K8317" s="912" t="s">
        <v>274</v>
      </c>
      <c r="L8317" s="902"/>
      <c r="M8317" s="902"/>
      <c r="N8317" s="902"/>
      <c r="O8317" s="892">
        <f t="shared" si="655"/>
        <v>0</v>
      </c>
      <c r="P8317" s="903">
        <f t="shared" si="657"/>
        <v>1</v>
      </c>
      <c r="Q8317" s="893">
        <f t="shared" si="658"/>
        <v>4</v>
      </c>
      <c r="R8317" s="894">
        <f t="shared" si="659"/>
        <v>0</v>
      </c>
    </row>
    <row r="8318" spans="1:18">
      <c r="A8318" s="905"/>
      <c r="B8318" s="906"/>
      <c r="C8318" s="907">
        <v>745</v>
      </c>
      <c r="D8318" s="907" t="s">
        <v>12</v>
      </c>
      <c r="E8318" s="908" t="s">
        <v>5518</v>
      </c>
      <c r="F8318" s="909" t="s">
        <v>2674</v>
      </c>
      <c r="G8318" s="910"/>
      <c r="H8318" s="911">
        <v>0.55000000000000004</v>
      </c>
      <c r="I8318" s="912"/>
      <c r="J8318" s="912"/>
      <c r="K8318" s="912">
        <f>VLOOKUP(E8318,[5]ĐMNC!$A$7:$F$67,4,0)</f>
        <v>240557</v>
      </c>
      <c r="L8318" s="912">
        <f>H8318*K8318</f>
        <v>132306.35</v>
      </c>
      <c r="M8318" s="912"/>
      <c r="N8318" s="912"/>
      <c r="O8318" s="892">
        <f t="shared" si="655"/>
        <v>0</v>
      </c>
      <c r="P8318" s="903">
        <f t="shared" si="657"/>
        <v>1</v>
      </c>
      <c r="Q8318" s="893">
        <f t="shared" si="658"/>
        <v>3</v>
      </c>
      <c r="R8318" s="894">
        <f t="shared" si="659"/>
        <v>0</v>
      </c>
    </row>
    <row r="8319" spans="1:18" s="904" customFormat="1">
      <c r="A8319" s="895"/>
      <c r="B8319" s="896"/>
      <c r="C8319" s="897"/>
      <c r="D8319" s="897"/>
      <c r="E8319" s="898" t="s">
        <v>3914</v>
      </c>
      <c r="F8319" s="899"/>
      <c r="G8319" s="928"/>
      <c r="H8319" s="901"/>
      <c r="I8319" s="902"/>
      <c r="J8319" s="902"/>
      <c r="K8319" s="912" t="s">
        <v>274</v>
      </c>
      <c r="L8319" s="902"/>
      <c r="M8319" s="902"/>
      <c r="N8319" s="902"/>
      <c r="O8319" s="892">
        <f t="shared" si="655"/>
        <v>0</v>
      </c>
      <c r="P8319" s="903">
        <f t="shared" si="657"/>
        <v>1</v>
      </c>
      <c r="Q8319" s="893">
        <f t="shared" si="658"/>
        <v>2</v>
      </c>
      <c r="R8319" s="894">
        <f t="shared" si="659"/>
        <v>0</v>
      </c>
    </row>
    <row r="8320" spans="1:18">
      <c r="A8320" s="905"/>
      <c r="B8320" s="906" t="s">
        <v>6274</v>
      </c>
      <c r="C8320" s="907">
        <v>856</v>
      </c>
      <c r="D8320" s="907" t="s">
        <v>93</v>
      </c>
      <c r="E8320" s="908" t="s">
        <v>6275</v>
      </c>
      <c r="F8320" s="909" t="s">
        <v>2673</v>
      </c>
      <c r="G8320" s="910"/>
      <c r="H8320" s="911">
        <v>0.3</v>
      </c>
      <c r="I8320" s="912"/>
      <c r="J8320" s="912"/>
      <c r="K8320" s="912"/>
      <c r="L8320" s="912"/>
      <c r="M8320" s="912">
        <f>VLOOKUP(B8320,MTC!$B$9:$S$933,12,0)</f>
        <v>0</v>
      </c>
      <c r="N8320" s="912">
        <f>M8320*H8320</f>
        <v>0</v>
      </c>
      <c r="O8320" s="892">
        <f t="shared" si="655"/>
        <v>0</v>
      </c>
      <c r="P8320" s="903">
        <f t="shared" si="657"/>
        <v>1</v>
      </c>
      <c r="Q8320" s="893">
        <f t="shared" si="658"/>
        <v>1</v>
      </c>
      <c r="R8320" s="894">
        <f t="shared" si="659"/>
        <v>0</v>
      </c>
    </row>
    <row r="8321" spans="1:18" s="847" customFormat="1">
      <c r="A8321" s="905"/>
      <c r="B8321" s="914" t="s">
        <v>1779</v>
      </c>
      <c r="C8321" s="915"/>
      <c r="D8321" s="915"/>
      <c r="E8321" s="916" t="s">
        <v>6278</v>
      </c>
      <c r="F8321" s="917" t="s">
        <v>6273</v>
      </c>
      <c r="G8321" s="918"/>
      <c r="H8321" s="919"/>
      <c r="I8321" s="920"/>
      <c r="J8321" s="891">
        <f>SUM(J8322:J8325)</f>
        <v>0</v>
      </c>
      <c r="K8321" s="891"/>
      <c r="L8321" s="891">
        <f>SUM(L8322:L8325)</f>
        <v>168389.9</v>
      </c>
      <c r="M8321" s="891"/>
      <c r="N8321" s="891">
        <f>SUM(N8322:N8325)</f>
        <v>0</v>
      </c>
      <c r="O8321" s="892">
        <f t="shared" si="655"/>
        <v>1</v>
      </c>
      <c r="P8321" s="903">
        <f t="shared" si="657"/>
        <v>0</v>
      </c>
      <c r="Q8321" s="893">
        <f t="shared" si="658"/>
        <v>0</v>
      </c>
      <c r="R8321" s="894">
        <f t="shared" si="659"/>
        <v>4</v>
      </c>
    </row>
    <row r="8322" spans="1:18" s="904" customFormat="1">
      <c r="A8322" s="895"/>
      <c r="B8322" s="896"/>
      <c r="C8322" s="897"/>
      <c r="D8322" s="897"/>
      <c r="E8322" s="924" t="s">
        <v>276</v>
      </c>
      <c r="F8322" s="927"/>
      <c r="G8322" s="928"/>
      <c r="H8322" s="901"/>
      <c r="I8322" s="902"/>
      <c r="J8322" s="902"/>
      <c r="K8322" s="912" t="s">
        <v>274</v>
      </c>
      <c r="L8322" s="902"/>
      <c r="M8322" s="902"/>
      <c r="N8322" s="902"/>
      <c r="O8322" s="892">
        <f t="shared" si="655"/>
        <v>0</v>
      </c>
      <c r="P8322" s="903">
        <f t="shared" si="657"/>
        <v>1</v>
      </c>
      <c r="Q8322" s="893">
        <f t="shared" si="658"/>
        <v>4</v>
      </c>
      <c r="R8322" s="894">
        <f t="shared" si="659"/>
        <v>0</v>
      </c>
    </row>
    <row r="8323" spans="1:18">
      <c r="A8323" s="905"/>
      <c r="B8323" s="906"/>
      <c r="C8323" s="907">
        <v>745</v>
      </c>
      <c r="D8323" s="907" t="s">
        <v>12</v>
      </c>
      <c r="E8323" s="908" t="s">
        <v>5518</v>
      </c>
      <c r="F8323" s="909" t="s">
        <v>2674</v>
      </c>
      <c r="G8323" s="910"/>
      <c r="H8323" s="911">
        <v>0.7</v>
      </c>
      <c r="I8323" s="912"/>
      <c r="J8323" s="912"/>
      <c r="K8323" s="912">
        <f>VLOOKUP(E8323,[5]ĐMNC!$A$7:$F$67,4,0)</f>
        <v>240557</v>
      </c>
      <c r="L8323" s="912">
        <f>H8323*K8323</f>
        <v>168389.9</v>
      </c>
      <c r="M8323" s="912"/>
      <c r="N8323" s="912"/>
      <c r="O8323" s="892">
        <f t="shared" si="655"/>
        <v>0</v>
      </c>
      <c r="P8323" s="903">
        <f t="shared" si="657"/>
        <v>1</v>
      </c>
      <c r="Q8323" s="893">
        <f t="shared" si="658"/>
        <v>3</v>
      </c>
      <c r="R8323" s="894">
        <f t="shared" si="659"/>
        <v>0</v>
      </c>
    </row>
    <row r="8324" spans="1:18" s="904" customFormat="1">
      <c r="A8324" s="895"/>
      <c r="B8324" s="896"/>
      <c r="C8324" s="897"/>
      <c r="D8324" s="897"/>
      <c r="E8324" s="898" t="s">
        <v>3914</v>
      </c>
      <c r="F8324" s="899"/>
      <c r="G8324" s="928"/>
      <c r="H8324" s="901"/>
      <c r="I8324" s="902"/>
      <c r="J8324" s="902"/>
      <c r="K8324" s="912" t="s">
        <v>274</v>
      </c>
      <c r="L8324" s="902"/>
      <c r="M8324" s="902"/>
      <c r="N8324" s="902"/>
      <c r="O8324" s="892">
        <f t="shared" si="655"/>
        <v>0</v>
      </c>
      <c r="P8324" s="903">
        <f t="shared" si="657"/>
        <v>1</v>
      </c>
      <c r="Q8324" s="893">
        <f t="shared" si="658"/>
        <v>2</v>
      </c>
      <c r="R8324" s="894">
        <f t="shared" si="659"/>
        <v>0</v>
      </c>
    </row>
    <row r="8325" spans="1:18">
      <c r="A8325" s="905"/>
      <c r="B8325" s="906" t="s">
        <v>6274</v>
      </c>
      <c r="C8325" s="907">
        <v>856</v>
      </c>
      <c r="D8325" s="907" t="s">
        <v>93</v>
      </c>
      <c r="E8325" s="908" t="s">
        <v>6275</v>
      </c>
      <c r="F8325" s="909" t="s">
        <v>2673</v>
      </c>
      <c r="G8325" s="910"/>
      <c r="H8325" s="911">
        <v>0.3</v>
      </c>
      <c r="I8325" s="912"/>
      <c r="J8325" s="912"/>
      <c r="K8325" s="912"/>
      <c r="L8325" s="912"/>
      <c r="M8325" s="912">
        <f>VLOOKUP(B8325,MTC!$B$9:$S$933,12,0)</f>
        <v>0</v>
      </c>
      <c r="N8325" s="912">
        <f>M8325*H8325</f>
        <v>0</v>
      </c>
      <c r="O8325" s="892">
        <f t="shared" si="655"/>
        <v>0</v>
      </c>
      <c r="P8325" s="903">
        <f t="shared" si="657"/>
        <v>1</v>
      </c>
      <c r="Q8325" s="893">
        <f t="shared" si="658"/>
        <v>1</v>
      </c>
      <c r="R8325" s="894">
        <f t="shared" si="659"/>
        <v>0</v>
      </c>
    </row>
    <row r="8326" spans="1:18" s="847" customFormat="1">
      <c r="A8326" s="905"/>
      <c r="B8326" s="914" t="s">
        <v>188</v>
      </c>
      <c r="C8326" s="915"/>
      <c r="D8326" s="915"/>
      <c r="E8326" s="916" t="s">
        <v>6279</v>
      </c>
      <c r="F8326" s="917" t="s">
        <v>6273</v>
      </c>
      <c r="G8326" s="918"/>
      <c r="H8326" s="919"/>
      <c r="I8326" s="920"/>
      <c r="J8326" s="891">
        <f>SUM(J8327:J8330)</f>
        <v>0</v>
      </c>
      <c r="K8326" s="891"/>
      <c r="L8326" s="891">
        <f>SUM(L8327:L8330)</f>
        <v>216501.30000000002</v>
      </c>
      <c r="M8326" s="891"/>
      <c r="N8326" s="891">
        <f>SUM(N8327:N8330)</f>
        <v>0</v>
      </c>
      <c r="O8326" s="892">
        <f t="shared" si="655"/>
        <v>1</v>
      </c>
      <c r="P8326" s="903">
        <f t="shared" si="657"/>
        <v>0</v>
      </c>
      <c r="Q8326" s="893">
        <f t="shared" si="658"/>
        <v>0</v>
      </c>
      <c r="R8326" s="894">
        <f t="shared" si="659"/>
        <v>4</v>
      </c>
    </row>
    <row r="8327" spans="1:18" s="904" customFormat="1">
      <c r="A8327" s="895"/>
      <c r="B8327" s="896"/>
      <c r="C8327" s="897"/>
      <c r="D8327" s="897"/>
      <c r="E8327" s="924" t="s">
        <v>276</v>
      </c>
      <c r="F8327" s="927"/>
      <c r="G8327" s="928"/>
      <c r="H8327" s="901"/>
      <c r="I8327" s="902"/>
      <c r="J8327" s="902"/>
      <c r="K8327" s="912" t="s">
        <v>274</v>
      </c>
      <c r="L8327" s="902"/>
      <c r="M8327" s="902"/>
      <c r="N8327" s="902"/>
      <c r="O8327" s="892">
        <f t="shared" si="655"/>
        <v>0</v>
      </c>
      <c r="P8327" s="903">
        <f t="shared" si="657"/>
        <v>1</v>
      </c>
      <c r="Q8327" s="893">
        <f t="shared" si="658"/>
        <v>4</v>
      </c>
      <c r="R8327" s="894">
        <f t="shared" si="659"/>
        <v>0</v>
      </c>
    </row>
    <row r="8328" spans="1:18">
      <c r="A8328" s="905"/>
      <c r="B8328" s="906"/>
      <c r="C8328" s="907">
        <v>745</v>
      </c>
      <c r="D8328" s="907" t="s">
        <v>12</v>
      </c>
      <c r="E8328" s="908" t="s">
        <v>5518</v>
      </c>
      <c r="F8328" s="909" t="s">
        <v>2674</v>
      </c>
      <c r="G8328" s="910"/>
      <c r="H8328" s="911">
        <v>0.9</v>
      </c>
      <c r="I8328" s="912"/>
      <c r="J8328" s="912"/>
      <c r="K8328" s="912">
        <f>VLOOKUP(E8328,[5]ĐMNC!$A$7:$F$67,4,0)</f>
        <v>240557</v>
      </c>
      <c r="L8328" s="912">
        <f>H8328*K8328</f>
        <v>216501.30000000002</v>
      </c>
      <c r="M8328" s="912"/>
      <c r="N8328" s="912"/>
      <c r="O8328" s="892">
        <f t="shared" si="655"/>
        <v>0</v>
      </c>
      <c r="P8328" s="903">
        <f t="shared" si="657"/>
        <v>1</v>
      </c>
      <c r="Q8328" s="893">
        <f t="shared" si="658"/>
        <v>3</v>
      </c>
      <c r="R8328" s="894">
        <f t="shared" si="659"/>
        <v>0</v>
      </c>
    </row>
    <row r="8329" spans="1:18" s="904" customFormat="1">
      <c r="A8329" s="895"/>
      <c r="B8329" s="896"/>
      <c r="C8329" s="897"/>
      <c r="D8329" s="897"/>
      <c r="E8329" s="898" t="s">
        <v>3914</v>
      </c>
      <c r="F8329" s="899"/>
      <c r="G8329" s="928"/>
      <c r="H8329" s="901"/>
      <c r="I8329" s="902"/>
      <c r="J8329" s="902"/>
      <c r="K8329" s="912" t="s">
        <v>274</v>
      </c>
      <c r="L8329" s="902"/>
      <c r="M8329" s="902"/>
      <c r="N8329" s="902"/>
      <c r="O8329" s="892">
        <f t="shared" si="655"/>
        <v>0</v>
      </c>
      <c r="P8329" s="903">
        <f t="shared" si="657"/>
        <v>1</v>
      </c>
      <c r="Q8329" s="893">
        <f t="shared" si="658"/>
        <v>2</v>
      </c>
      <c r="R8329" s="894">
        <f t="shared" si="659"/>
        <v>0</v>
      </c>
    </row>
    <row r="8330" spans="1:18">
      <c r="A8330" s="905"/>
      <c r="B8330" s="906" t="s">
        <v>6274</v>
      </c>
      <c r="C8330" s="907">
        <v>856</v>
      </c>
      <c r="D8330" s="907" t="s">
        <v>93</v>
      </c>
      <c r="E8330" s="908" t="s">
        <v>6275</v>
      </c>
      <c r="F8330" s="909" t="s">
        <v>2673</v>
      </c>
      <c r="G8330" s="910"/>
      <c r="H8330" s="911">
        <v>0.35</v>
      </c>
      <c r="I8330" s="912"/>
      <c r="J8330" s="912"/>
      <c r="K8330" s="912"/>
      <c r="L8330" s="912"/>
      <c r="M8330" s="912">
        <f>VLOOKUP(B8330,MTC!$B$9:$S$933,12,0)</f>
        <v>0</v>
      </c>
      <c r="N8330" s="912">
        <f>M8330*H8330</f>
        <v>0</v>
      </c>
      <c r="O8330" s="892">
        <f t="shared" si="655"/>
        <v>0</v>
      </c>
      <c r="P8330" s="903">
        <f t="shared" si="657"/>
        <v>1</v>
      </c>
      <c r="Q8330" s="893">
        <f t="shared" si="658"/>
        <v>1</v>
      </c>
      <c r="R8330" s="894">
        <f t="shared" si="659"/>
        <v>0</v>
      </c>
    </row>
    <row r="8331" spans="1:18" s="847" customFormat="1">
      <c r="A8331" s="905"/>
      <c r="B8331" s="914" t="s">
        <v>1782</v>
      </c>
      <c r="C8331" s="915"/>
      <c r="D8331" s="915"/>
      <c r="E8331" s="916" t="s">
        <v>6280</v>
      </c>
      <c r="F8331" s="917" t="s">
        <v>6273</v>
      </c>
      <c r="G8331" s="918"/>
      <c r="H8331" s="919"/>
      <c r="I8331" s="920"/>
      <c r="J8331" s="891">
        <f>SUM(J8332:J8335)</f>
        <v>0</v>
      </c>
      <c r="K8331" s="891"/>
      <c r="L8331" s="891">
        <f>SUM(L8332:L8335)</f>
        <v>264612.7</v>
      </c>
      <c r="M8331" s="891"/>
      <c r="N8331" s="891">
        <f>SUM(N8332:N8335)</f>
        <v>0</v>
      </c>
      <c r="O8331" s="892">
        <f t="shared" si="655"/>
        <v>1</v>
      </c>
      <c r="P8331" s="903">
        <f t="shared" si="657"/>
        <v>0</v>
      </c>
      <c r="Q8331" s="893">
        <f t="shared" si="658"/>
        <v>0</v>
      </c>
      <c r="R8331" s="894">
        <f t="shared" si="659"/>
        <v>4</v>
      </c>
    </row>
    <row r="8332" spans="1:18" s="904" customFormat="1">
      <c r="A8332" s="895"/>
      <c r="B8332" s="896"/>
      <c r="C8332" s="897"/>
      <c r="D8332" s="897"/>
      <c r="E8332" s="924" t="s">
        <v>276</v>
      </c>
      <c r="F8332" s="927"/>
      <c r="G8332" s="928"/>
      <c r="H8332" s="901"/>
      <c r="I8332" s="902"/>
      <c r="J8332" s="902"/>
      <c r="K8332" s="912" t="s">
        <v>274</v>
      </c>
      <c r="L8332" s="902"/>
      <c r="M8332" s="902"/>
      <c r="N8332" s="902"/>
      <c r="O8332" s="892">
        <f t="shared" si="655"/>
        <v>0</v>
      </c>
      <c r="P8332" s="903">
        <f t="shared" si="657"/>
        <v>1</v>
      </c>
      <c r="Q8332" s="893">
        <f t="shared" si="658"/>
        <v>4</v>
      </c>
      <c r="R8332" s="894">
        <f t="shared" si="659"/>
        <v>0</v>
      </c>
    </row>
    <row r="8333" spans="1:18">
      <c r="A8333" s="905"/>
      <c r="B8333" s="906"/>
      <c r="C8333" s="907">
        <v>745</v>
      </c>
      <c r="D8333" s="907" t="s">
        <v>12</v>
      </c>
      <c r="E8333" s="908" t="s">
        <v>5518</v>
      </c>
      <c r="F8333" s="909" t="s">
        <v>2674</v>
      </c>
      <c r="G8333" s="910"/>
      <c r="H8333" s="911">
        <v>1.1000000000000001</v>
      </c>
      <c r="I8333" s="912"/>
      <c r="J8333" s="912"/>
      <c r="K8333" s="912">
        <f>VLOOKUP(E8333,[5]ĐMNC!$A$7:$F$67,4,0)</f>
        <v>240557</v>
      </c>
      <c r="L8333" s="912">
        <f>H8333*K8333</f>
        <v>264612.7</v>
      </c>
      <c r="M8333" s="912"/>
      <c r="N8333" s="912"/>
      <c r="O8333" s="892">
        <f t="shared" si="655"/>
        <v>0</v>
      </c>
      <c r="P8333" s="903">
        <f t="shared" si="657"/>
        <v>1</v>
      </c>
      <c r="Q8333" s="893">
        <f t="shared" si="658"/>
        <v>3</v>
      </c>
      <c r="R8333" s="894">
        <f t="shared" si="659"/>
        <v>0</v>
      </c>
    </row>
    <row r="8334" spans="1:18" s="904" customFormat="1">
      <c r="A8334" s="895"/>
      <c r="B8334" s="896"/>
      <c r="C8334" s="897"/>
      <c r="D8334" s="897"/>
      <c r="E8334" s="898" t="s">
        <v>3914</v>
      </c>
      <c r="F8334" s="899"/>
      <c r="G8334" s="928"/>
      <c r="H8334" s="901"/>
      <c r="I8334" s="902"/>
      <c r="J8334" s="902"/>
      <c r="K8334" s="912" t="s">
        <v>274</v>
      </c>
      <c r="L8334" s="902"/>
      <c r="M8334" s="902"/>
      <c r="N8334" s="902"/>
      <c r="O8334" s="892">
        <f t="shared" si="655"/>
        <v>0</v>
      </c>
      <c r="P8334" s="903">
        <f t="shared" si="657"/>
        <v>1</v>
      </c>
      <c r="Q8334" s="893">
        <f t="shared" si="658"/>
        <v>2</v>
      </c>
      <c r="R8334" s="894">
        <f t="shared" si="659"/>
        <v>0</v>
      </c>
    </row>
    <row r="8335" spans="1:18">
      <c r="A8335" s="905"/>
      <c r="B8335" s="906" t="s">
        <v>6274</v>
      </c>
      <c r="C8335" s="907">
        <v>856</v>
      </c>
      <c r="D8335" s="907" t="s">
        <v>93</v>
      </c>
      <c r="E8335" s="908" t="s">
        <v>6275</v>
      </c>
      <c r="F8335" s="909" t="s">
        <v>2673</v>
      </c>
      <c r="G8335" s="910"/>
      <c r="H8335" s="911">
        <v>0.4</v>
      </c>
      <c r="I8335" s="912"/>
      <c r="J8335" s="912"/>
      <c r="K8335" s="912"/>
      <c r="L8335" s="912"/>
      <c r="M8335" s="912">
        <f>VLOOKUP(B8335,MTC!$B$9:$S$933,12,0)</f>
        <v>0</v>
      </c>
      <c r="N8335" s="912">
        <f>M8335*H8335</f>
        <v>0</v>
      </c>
      <c r="O8335" s="892">
        <f t="shared" si="655"/>
        <v>0</v>
      </c>
      <c r="P8335" s="903">
        <f t="shared" si="657"/>
        <v>1</v>
      </c>
      <c r="Q8335" s="893">
        <f t="shared" si="658"/>
        <v>1</v>
      </c>
      <c r="R8335" s="894">
        <f t="shared" si="659"/>
        <v>0</v>
      </c>
    </row>
    <row r="8336" spans="1:18" s="847" customFormat="1">
      <c r="A8336" s="905"/>
      <c r="B8336" s="914" t="s">
        <v>192</v>
      </c>
      <c r="C8336" s="915"/>
      <c r="D8336" s="915"/>
      <c r="E8336" s="916" t="s">
        <v>6281</v>
      </c>
      <c r="F8336" s="917" t="s">
        <v>6273</v>
      </c>
      <c r="G8336" s="918"/>
      <c r="H8336" s="919"/>
      <c r="I8336" s="920"/>
      <c r="J8336" s="891">
        <f>SUM(J8337:J8340)</f>
        <v>0</v>
      </c>
      <c r="K8336" s="891"/>
      <c r="L8336" s="891">
        <f>SUM(L8337:L8340)</f>
        <v>317535.24</v>
      </c>
      <c r="M8336" s="891"/>
      <c r="N8336" s="891">
        <f>SUM(N8337:N8340)</f>
        <v>0</v>
      </c>
      <c r="O8336" s="892">
        <f t="shared" si="655"/>
        <v>1</v>
      </c>
      <c r="P8336" s="903">
        <f t="shared" si="657"/>
        <v>0</v>
      </c>
      <c r="Q8336" s="893">
        <f t="shared" si="658"/>
        <v>0</v>
      </c>
      <c r="R8336" s="894">
        <f t="shared" si="659"/>
        <v>4</v>
      </c>
    </row>
    <row r="8337" spans="1:18" s="904" customFormat="1">
      <c r="A8337" s="895"/>
      <c r="B8337" s="896"/>
      <c r="C8337" s="897"/>
      <c r="D8337" s="897"/>
      <c r="E8337" s="924" t="s">
        <v>276</v>
      </c>
      <c r="F8337" s="927"/>
      <c r="G8337" s="928"/>
      <c r="H8337" s="901"/>
      <c r="I8337" s="902"/>
      <c r="J8337" s="902"/>
      <c r="K8337" s="912" t="s">
        <v>274</v>
      </c>
      <c r="L8337" s="902"/>
      <c r="M8337" s="902"/>
      <c r="N8337" s="902"/>
      <c r="O8337" s="892">
        <f t="shared" si="655"/>
        <v>0</v>
      </c>
      <c r="P8337" s="903">
        <f t="shared" si="657"/>
        <v>1</v>
      </c>
      <c r="Q8337" s="893">
        <f t="shared" si="658"/>
        <v>4</v>
      </c>
      <c r="R8337" s="894">
        <f t="shared" si="659"/>
        <v>0</v>
      </c>
    </row>
    <row r="8338" spans="1:18">
      <c r="A8338" s="905"/>
      <c r="B8338" s="906"/>
      <c r="C8338" s="907">
        <v>745</v>
      </c>
      <c r="D8338" s="907" t="s">
        <v>12</v>
      </c>
      <c r="E8338" s="908" t="s">
        <v>5518</v>
      </c>
      <c r="F8338" s="909" t="s">
        <v>2674</v>
      </c>
      <c r="G8338" s="910"/>
      <c r="H8338" s="911">
        <v>1.32</v>
      </c>
      <c r="I8338" s="912"/>
      <c r="J8338" s="912"/>
      <c r="K8338" s="912">
        <f>VLOOKUP(E8338,[5]ĐMNC!$A$7:$F$67,4,0)</f>
        <v>240557</v>
      </c>
      <c r="L8338" s="912">
        <f>H8338*K8338</f>
        <v>317535.24</v>
      </c>
      <c r="M8338" s="912"/>
      <c r="N8338" s="912"/>
      <c r="O8338" s="892">
        <f t="shared" si="655"/>
        <v>0</v>
      </c>
      <c r="P8338" s="903">
        <f t="shared" si="657"/>
        <v>1</v>
      </c>
      <c r="Q8338" s="893">
        <f t="shared" si="658"/>
        <v>3</v>
      </c>
      <c r="R8338" s="894">
        <f t="shared" si="659"/>
        <v>0</v>
      </c>
    </row>
    <row r="8339" spans="1:18" s="904" customFormat="1">
      <c r="A8339" s="895"/>
      <c r="B8339" s="896"/>
      <c r="C8339" s="897"/>
      <c r="D8339" s="897"/>
      <c r="E8339" s="898" t="s">
        <v>3914</v>
      </c>
      <c r="F8339" s="899"/>
      <c r="G8339" s="928"/>
      <c r="H8339" s="901"/>
      <c r="I8339" s="902"/>
      <c r="J8339" s="902"/>
      <c r="K8339" s="912" t="s">
        <v>274</v>
      </c>
      <c r="L8339" s="902"/>
      <c r="M8339" s="902"/>
      <c r="N8339" s="902"/>
      <c r="O8339" s="892">
        <f t="shared" si="655"/>
        <v>0</v>
      </c>
      <c r="P8339" s="903">
        <f t="shared" si="657"/>
        <v>1</v>
      </c>
      <c r="Q8339" s="893">
        <f t="shared" si="658"/>
        <v>2</v>
      </c>
      <c r="R8339" s="894">
        <f t="shared" si="659"/>
        <v>0</v>
      </c>
    </row>
    <row r="8340" spans="1:18">
      <c r="A8340" s="905"/>
      <c r="B8340" s="906" t="s">
        <v>6274</v>
      </c>
      <c r="C8340" s="907">
        <v>856</v>
      </c>
      <c r="D8340" s="907" t="s">
        <v>93</v>
      </c>
      <c r="E8340" s="908" t="s">
        <v>6275</v>
      </c>
      <c r="F8340" s="909" t="s">
        <v>2673</v>
      </c>
      <c r="G8340" s="910"/>
      <c r="H8340" s="911">
        <v>0.45</v>
      </c>
      <c r="I8340" s="912"/>
      <c r="J8340" s="912"/>
      <c r="K8340" s="912"/>
      <c r="L8340" s="912"/>
      <c r="M8340" s="912">
        <f>VLOOKUP(B8340,MTC!$B$9:$S$933,12,0)</f>
        <v>0</v>
      </c>
      <c r="N8340" s="912">
        <f>M8340*H8340</f>
        <v>0</v>
      </c>
      <c r="O8340" s="892">
        <f t="shared" si="655"/>
        <v>0</v>
      </c>
      <c r="P8340" s="903">
        <f t="shared" si="657"/>
        <v>1</v>
      </c>
      <c r="Q8340" s="893">
        <f t="shared" si="658"/>
        <v>1</v>
      </c>
      <c r="R8340" s="894">
        <f t="shared" si="659"/>
        <v>0</v>
      </c>
    </row>
    <row r="8341" spans="1:18" s="847" customFormat="1">
      <c r="A8341" s="905"/>
      <c r="B8341" s="914" t="s">
        <v>1785</v>
      </c>
      <c r="C8341" s="915"/>
      <c r="D8341" s="915"/>
      <c r="E8341" s="916" t="s">
        <v>6282</v>
      </c>
      <c r="F8341" s="917" t="s">
        <v>6273</v>
      </c>
      <c r="G8341" s="918"/>
      <c r="H8341" s="919"/>
      <c r="I8341" s="920"/>
      <c r="J8341" s="891">
        <f>SUM(J8342:J8345)</f>
        <v>0</v>
      </c>
      <c r="K8341" s="891"/>
      <c r="L8341" s="891">
        <f>SUM(L8342:L8345)</f>
        <v>396919.05</v>
      </c>
      <c r="M8341" s="891"/>
      <c r="N8341" s="891">
        <f>SUM(N8342:N8345)</f>
        <v>0</v>
      </c>
      <c r="O8341" s="892">
        <f t="shared" si="655"/>
        <v>1</v>
      </c>
      <c r="P8341" s="903">
        <f t="shared" si="657"/>
        <v>0</v>
      </c>
      <c r="Q8341" s="893">
        <f t="shared" si="658"/>
        <v>0</v>
      </c>
      <c r="R8341" s="894">
        <f t="shared" si="659"/>
        <v>4</v>
      </c>
    </row>
    <row r="8342" spans="1:18" s="904" customFormat="1">
      <c r="A8342" s="895"/>
      <c r="B8342" s="896"/>
      <c r="C8342" s="897"/>
      <c r="D8342" s="897"/>
      <c r="E8342" s="924" t="s">
        <v>276</v>
      </c>
      <c r="F8342" s="927"/>
      <c r="G8342" s="928"/>
      <c r="H8342" s="901"/>
      <c r="I8342" s="902"/>
      <c r="J8342" s="902"/>
      <c r="K8342" s="912" t="s">
        <v>274</v>
      </c>
      <c r="L8342" s="902"/>
      <c r="M8342" s="902"/>
      <c r="N8342" s="902"/>
      <c r="O8342" s="892">
        <f t="shared" si="655"/>
        <v>0</v>
      </c>
      <c r="P8342" s="903">
        <f t="shared" si="657"/>
        <v>1</v>
      </c>
      <c r="Q8342" s="893">
        <f t="shared" si="658"/>
        <v>4</v>
      </c>
      <c r="R8342" s="894">
        <f t="shared" si="659"/>
        <v>0</v>
      </c>
    </row>
    <row r="8343" spans="1:18">
      <c r="A8343" s="905"/>
      <c r="B8343" s="906"/>
      <c r="C8343" s="907">
        <v>745</v>
      </c>
      <c r="D8343" s="907" t="s">
        <v>12</v>
      </c>
      <c r="E8343" s="908" t="s">
        <v>5518</v>
      </c>
      <c r="F8343" s="909" t="s">
        <v>2674</v>
      </c>
      <c r="G8343" s="910"/>
      <c r="H8343" s="911">
        <v>1.65</v>
      </c>
      <c r="I8343" s="912"/>
      <c r="J8343" s="912"/>
      <c r="K8343" s="912">
        <f>VLOOKUP(E8343,[5]ĐMNC!$A$7:$F$67,4,0)</f>
        <v>240557</v>
      </c>
      <c r="L8343" s="912">
        <f>H8343*K8343</f>
        <v>396919.05</v>
      </c>
      <c r="M8343" s="912"/>
      <c r="N8343" s="912"/>
      <c r="O8343" s="892">
        <f t="shared" si="655"/>
        <v>0</v>
      </c>
      <c r="P8343" s="903">
        <f t="shared" si="657"/>
        <v>1</v>
      </c>
      <c r="Q8343" s="893">
        <f t="shared" si="658"/>
        <v>3</v>
      </c>
      <c r="R8343" s="894">
        <f t="shared" si="659"/>
        <v>0</v>
      </c>
    </row>
    <row r="8344" spans="1:18" s="904" customFormat="1">
      <c r="A8344" s="895"/>
      <c r="B8344" s="896"/>
      <c r="C8344" s="897"/>
      <c r="D8344" s="897"/>
      <c r="E8344" s="898" t="s">
        <v>3914</v>
      </c>
      <c r="F8344" s="899"/>
      <c r="G8344" s="928"/>
      <c r="H8344" s="901"/>
      <c r="I8344" s="902"/>
      <c r="J8344" s="902"/>
      <c r="K8344" s="912" t="s">
        <v>274</v>
      </c>
      <c r="L8344" s="902"/>
      <c r="M8344" s="902"/>
      <c r="N8344" s="902"/>
      <c r="O8344" s="892">
        <f t="shared" si="655"/>
        <v>0</v>
      </c>
      <c r="P8344" s="903">
        <f t="shared" si="657"/>
        <v>1</v>
      </c>
      <c r="Q8344" s="893">
        <f t="shared" si="658"/>
        <v>2</v>
      </c>
      <c r="R8344" s="894">
        <f t="shared" si="659"/>
        <v>0</v>
      </c>
    </row>
    <row r="8345" spans="1:18">
      <c r="A8345" s="905"/>
      <c r="B8345" s="906" t="s">
        <v>6274</v>
      </c>
      <c r="C8345" s="907">
        <v>856</v>
      </c>
      <c r="D8345" s="907" t="s">
        <v>93</v>
      </c>
      <c r="E8345" s="908" t="s">
        <v>6275</v>
      </c>
      <c r="F8345" s="909" t="s">
        <v>2673</v>
      </c>
      <c r="G8345" s="910"/>
      <c r="H8345" s="911">
        <v>0.5</v>
      </c>
      <c r="I8345" s="912"/>
      <c r="J8345" s="912"/>
      <c r="K8345" s="912"/>
      <c r="L8345" s="912"/>
      <c r="M8345" s="912">
        <f>VLOOKUP(B8345,MTC!$B$9:$S$933,12,0)</f>
        <v>0</v>
      </c>
      <c r="N8345" s="912">
        <f>M8345*H8345</f>
        <v>0</v>
      </c>
      <c r="O8345" s="892">
        <f t="shared" si="655"/>
        <v>0</v>
      </c>
      <c r="P8345" s="903">
        <f t="shared" si="657"/>
        <v>1</v>
      </c>
      <c r="Q8345" s="893">
        <f t="shared" si="658"/>
        <v>1</v>
      </c>
      <c r="R8345" s="894">
        <f t="shared" si="659"/>
        <v>0</v>
      </c>
    </row>
    <row r="8346" spans="1:18" s="847" customFormat="1">
      <c r="A8346" s="905"/>
      <c r="B8346" s="914" t="s">
        <v>1787</v>
      </c>
      <c r="C8346" s="915"/>
      <c r="D8346" s="915"/>
      <c r="E8346" s="916" t="s">
        <v>6283</v>
      </c>
      <c r="F8346" s="917" t="s">
        <v>6273</v>
      </c>
      <c r="G8346" s="918"/>
      <c r="H8346" s="919"/>
      <c r="I8346" s="920"/>
      <c r="J8346" s="891">
        <f>SUM(J8347:J8350)</f>
        <v>0</v>
      </c>
      <c r="K8346" s="891"/>
      <c r="L8346" s="891">
        <f>SUM(L8347:L8350)</f>
        <v>471491.72</v>
      </c>
      <c r="M8346" s="891"/>
      <c r="N8346" s="891">
        <f>SUM(N8347:N8350)</f>
        <v>0</v>
      </c>
      <c r="O8346" s="892">
        <f t="shared" si="655"/>
        <v>1</v>
      </c>
      <c r="P8346" s="903">
        <f t="shared" si="657"/>
        <v>0</v>
      </c>
      <c r="Q8346" s="893">
        <f t="shared" si="658"/>
        <v>0</v>
      </c>
      <c r="R8346" s="894">
        <f t="shared" si="659"/>
        <v>4</v>
      </c>
    </row>
    <row r="8347" spans="1:18" s="904" customFormat="1">
      <c r="A8347" s="895"/>
      <c r="B8347" s="896"/>
      <c r="C8347" s="897"/>
      <c r="D8347" s="897"/>
      <c r="E8347" s="924" t="s">
        <v>276</v>
      </c>
      <c r="F8347" s="927"/>
      <c r="G8347" s="928"/>
      <c r="H8347" s="901"/>
      <c r="I8347" s="902"/>
      <c r="J8347" s="902"/>
      <c r="K8347" s="912" t="s">
        <v>274</v>
      </c>
      <c r="L8347" s="902"/>
      <c r="M8347" s="902"/>
      <c r="N8347" s="902"/>
      <c r="O8347" s="892">
        <f t="shared" si="655"/>
        <v>0</v>
      </c>
      <c r="P8347" s="903">
        <f t="shared" si="657"/>
        <v>1</v>
      </c>
      <c r="Q8347" s="893">
        <f t="shared" si="658"/>
        <v>4</v>
      </c>
      <c r="R8347" s="894">
        <f t="shared" si="659"/>
        <v>0</v>
      </c>
    </row>
    <row r="8348" spans="1:18">
      <c r="A8348" s="905"/>
      <c r="B8348" s="906"/>
      <c r="C8348" s="907">
        <v>745</v>
      </c>
      <c r="D8348" s="907" t="s">
        <v>12</v>
      </c>
      <c r="E8348" s="908" t="s">
        <v>5518</v>
      </c>
      <c r="F8348" s="909" t="s">
        <v>2674</v>
      </c>
      <c r="G8348" s="910"/>
      <c r="H8348" s="911">
        <v>1.96</v>
      </c>
      <c r="I8348" s="912"/>
      <c r="J8348" s="912"/>
      <c r="K8348" s="912">
        <f>VLOOKUP(E8348,[5]ĐMNC!$A$7:$F$67,4,0)</f>
        <v>240557</v>
      </c>
      <c r="L8348" s="912">
        <f>H8348*K8348</f>
        <v>471491.72</v>
      </c>
      <c r="M8348" s="912"/>
      <c r="N8348" s="912"/>
      <c r="O8348" s="892">
        <f t="shared" si="655"/>
        <v>0</v>
      </c>
      <c r="P8348" s="903">
        <f t="shared" si="657"/>
        <v>1</v>
      </c>
      <c r="Q8348" s="893">
        <f t="shared" si="658"/>
        <v>3</v>
      </c>
      <c r="R8348" s="894">
        <f t="shared" si="659"/>
        <v>0</v>
      </c>
    </row>
    <row r="8349" spans="1:18" s="904" customFormat="1">
      <c r="A8349" s="895"/>
      <c r="B8349" s="896"/>
      <c r="C8349" s="897"/>
      <c r="D8349" s="897"/>
      <c r="E8349" s="898" t="s">
        <v>3914</v>
      </c>
      <c r="F8349" s="899"/>
      <c r="G8349" s="928"/>
      <c r="H8349" s="901"/>
      <c r="I8349" s="902"/>
      <c r="J8349" s="902"/>
      <c r="K8349" s="912" t="s">
        <v>274</v>
      </c>
      <c r="L8349" s="902"/>
      <c r="M8349" s="902"/>
      <c r="N8349" s="902"/>
      <c r="O8349" s="892">
        <f t="shared" si="655"/>
        <v>0</v>
      </c>
      <c r="P8349" s="903">
        <f t="shared" si="657"/>
        <v>1</v>
      </c>
      <c r="Q8349" s="893">
        <f t="shared" si="658"/>
        <v>2</v>
      </c>
      <c r="R8349" s="894">
        <f t="shared" si="659"/>
        <v>0</v>
      </c>
    </row>
    <row r="8350" spans="1:18">
      <c r="A8350" s="905"/>
      <c r="B8350" s="906" t="s">
        <v>6274</v>
      </c>
      <c r="C8350" s="907">
        <v>856</v>
      </c>
      <c r="D8350" s="907" t="s">
        <v>93</v>
      </c>
      <c r="E8350" s="908" t="s">
        <v>6275</v>
      </c>
      <c r="F8350" s="909" t="s">
        <v>2673</v>
      </c>
      <c r="G8350" s="910"/>
      <c r="H8350" s="911">
        <v>0.7</v>
      </c>
      <c r="I8350" s="912"/>
      <c r="J8350" s="912"/>
      <c r="K8350" s="912"/>
      <c r="L8350" s="912"/>
      <c r="M8350" s="912">
        <f>VLOOKUP(B8350,MTC!$B$9:$S$933,12,0)</f>
        <v>0</v>
      </c>
      <c r="N8350" s="912">
        <f>M8350*H8350</f>
        <v>0</v>
      </c>
      <c r="O8350" s="892">
        <f t="shared" si="655"/>
        <v>0</v>
      </c>
      <c r="P8350" s="903">
        <f t="shared" si="657"/>
        <v>1</v>
      </c>
      <c r="Q8350" s="893">
        <f t="shared" si="658"/>
        <v>1</v>
      </c>
      <c r="R8350" s="894">
        <f t="shared" si="659"/>
        <v>0</v>
      </c>
    </row>
    <row r="8351" spans="1:18" s="847" customFormat="1">
      <c r="A8351" s="905"/>
      <c r="B8351" s="914" t="s">
        <v>6284</v>
      </c>
      <c r="C8351" s="915"/>
      <c r="D8351" s="915"/>
      <c r="E8351" s="916" t="s">
        <v>6285</v>
      </c>
      <c r="F8351" s="917" t="s">
        <v>6273</v>
      </c>
      <c r="G8351" s="918"/>
      <c r="H8351" s="919"/>
      <c r="I8351" s="920"/>
      <c r="J8351" s="891">
        <f>SUM(J8352:J8355)</f>
        <v>0</v>
      </c>
      <c r="K8351" s="891"/>
      <c r="L8351" s="891">
        <f>SUM(L8352:L8355)</f>
        <v>627853.77</v>
      </c>
      <c r="M8351" s="891"/>
      <c r="N8351" s="891">
        <f>SUM(N8352:N8355)</f>
        <v>0</v>
      </c>
      <c r="O8351" s="892">
        <f t="shared" ref="O8351:O8414" si="660">IF(AND(B8351&lt;&gt;"",D8351=""),1,0)</f>
        <v>1</v>
      </c>
      <c r="P8351" s="903">
        <f t="shared" si="657"/>
        <v>0</v>
      </c>
      <c r="Q8351" s="893">
        <f t="shared" si="658"/>
        <v>0</v>
      </c>
      <c r="R8351" s="894">
        <f t="shared" si="659"/>
        <v>4</v>
      </c>
    </row>
    <row r="8352" spans="1:18" s="904" customFormat="1">
      <c r="A8352" s="895"/>
      <c r="B8352" s="896"/>
      <c r="C8352" s="897"/>
      <c r="D8352" s="897"/>
      <c r="E8352" s="924" t="s">
        <v>276</v>
      </c>
      <c r="F8352" s="927"/>
      <c r="G8352" s="928"/>
      <c r="H8352" s="901"/>
      <c r="I8352" s="902"/>
      <c r="J8352" s="902"/>
      <c r="K8352" s="912" t="s">
        <v>274</v>
      </c>
      <c r="L8352" s="902"/>
      <c r="M8352" s="902"/>
      <c r="N8352" s="902"/>
      <c r="O8352" s="892">
        <f t="shared" si="660"/>
        <v>0</v>
      </c>
      <c r="P8352" s="903">
        <f t="shared" si="657"/>
        <v>1</v>
      </c>
      <c r="Q8352" s="893">
        <f t="shared" si="658"/>
        <v>4</v>
      </c>
      <c r="R8352" s="894">
        <f t="shared" si="659"/>
        <v>0</v>
      </c>
    </row>
    <row r="8353" spans="1:18">
      <c r="A8353" s="905"/>
      <c r="B8353" s="906"/>
      <c r="C8353" s="907">
        <v>745</v>
      </c>
      <c r="D8353" s="907" t="s">
        <v>12</v>
      </c>
      <c r="E8353" s="908" t="s">
        <v>5518</v>
      </c>
      <c r="F8353" s="909" t="s">
        <v>2674</v>
      </c>
      <c r="G8353" s="910"/>
      <c r="H8353" s="911">
        <v>2.61</v>
      </c>
      <c r="I8353" s="912"/>
      <c r="J8353" s="912"/>
      <c r="K8353" s="912">
        <f>VLOOKUP(E8353,[5]ĐMNC!$A$7:$F$67,4,0)</f>
        <v>240557</v>
      </c>
      <c r="L8353" s="912">
        <f>H8353*K8353</f>
        <v>627853.77</v>
      </c>
      <c r="M8353" s="912"/>
      <c r="N8353" s="912"/>
      <c r="O8353" s="892">
        <f t="shared" si="660"/>
        <v>0</v>
      </c>
      <c r="P8353" s="903">
        <f t="shared" si="657"/>
        <v>1</v>
      </c>
      <c r="Q8353" s="893">
        <f t="shared" si="658"/>
        <v>3</v>
      </c>
      <c r="R8353" s="894">
        <f t="shared" si="659"/>
        <v>0</v>
      </c>
    </row>
    <row r="8354" spans="1:18" s="904" customFormat="1">
      <c r="A8354" s="895"/>
      <c r="B8354" s="896"/>
      <c r="C8354" s="897"/>
      <c r="D8354" s="897"/>
      <c r="E8354" s="898" t="s">
        <v>3914</v>
      </c>
      <c r="F8354" s="899"/>
      <c r="G8354" s="928"/>
      <c r="H8354" s="901"/>
      <c r="I8354" s="902"/>
      <c r="J8354" s="902"/>
      <c r="K8354" s="912" t="s">
        <v>274</v>
      </c>
      <c r="L8354" s="902"/>
      <c r="M8354" s="902"/>
      <c r="N8354" s="902"/>
      <c r="O8354" s="892">
        <f t="shared" si="660"/>
        <v>0</v>
      </c>
      <c r="P8354" s="903">
        <f t="shared" si="657"/>
        <v>1</v>
      </c>
      <c r="Q8354" s="893">
        <f t="shared" si="658"/>
        <v>2</v>
      </c>
      <c r="R8354" s="894">
        <f t="shared" si="659"/>
        <v>0</v>
      </c>
    </row>
    <row r="8355" spans="1:18">
      <c r="A8355" s="905"/>
      <c r="B8355" s="906" t="s">
        <v>6274</v>
      </c>
      <c r="C8355" s="907">
        <v>856</v>
      </c>
      <c r="D8355" s="907" t="s">
        <v>93</v>
      </c>
      <c r="E8355" s="908" t="s">
        <v>6275</v>
      </c>
      <c r="F8355" s="909" t="s">
        <v>2673</v>
      </c>
      <c r="G8355" s="910"/>
      <c r="H8355" s="911">
        <v>0.9</v>
      </c>
      <c r="I8355" s="912"/>
      <c r="J8355" s="912"/>
      <c r="K8355" s="912"/>
      <c r="L8355" s="912"/>
      <c r="M8355" s="912">
        <f>VLOOKUP(B8355,MTC!$B$9:$S$933,12,0)</f>
        <v>0</v>
      </c>
      <c r="N8355" s="912">
        <f>M8355*H8355</f>
        <v>0</v>
      </c>
      <c r="O8355" s="892">
        <f t="shared" si="660"/>
        <v>0</v>
      </c>
      <c r="P8355" s="903">
        <f t="shared" si="657"/>
        <v>1</v>
      </c>
      <c r="Q8355" s="893">
        <f t="shared" si="658"/>
        <v>1</v>
      </c>
      <c r="R8355" s="894">
        <f t="shared" si="659"/>
        <v>0</v>
      </c>
    </row>
    <row r="8356" spans="1:18" s="847" customFormat="1">
      <c r="A8356" s="905" t="s">
        <v>6286</v>
      </c>
      <c r="B8356" s="914" t="s">
        <v>6287</v>
      </c>
      <c r="C8356" s="915"/>
      <c r="D8356" s="915"/>
      <c r="E8356" s="916" t="s">
        <v>6288</v>
      </c>
      <c r="F8356" s="917" t="s">
        <v>139</v>
      </c>
      <c r="G8356" s="918"/>
      <c r="H8356" s="919"/>
      <c r="I8356" s="920"/>
      <c r="J8356" s="891">
        <f>SUM(J8357:J8363)</f>
        <v>29000</v>
      </c>
      <c r="K8356" s="891"/>
      <c r="L8356" s="891">
        <f>SUM(L8357:L8363)</f>
        <v>40740.600000000006</v>
      </c>
      <c r="M8356" s="891"/>
      <c r="N8356" s="891">
        <f>SUM(N8357:N8363)</f>
        <v>3428.4</v>
      </c>
      <c r="O8356" s="892">
        <f t="shared" si="660"/>
        <v>1</v>
      </c>
      <c r="P8356" s="903">
        <f t="shared" si="657"/>
        <v>0</v>
      </c>
      <c r="Q8356" s="893">
        <f t="shared" si="658"/>
        <v>0</v>
      </c>
      <c r="R8356" s="894">
        <f t="shared" si="659"/>
        <v>49</v>
      </c>
    </row>
    <row r="8357" spans="1:18" s="904" customFormat="1">
      <c r="A8357" s="895"/>
      <c r="B8357" s="896"/>
      <c r="C8357" s="897"/>
      <c r="D8357" s="897"/>
      <c r="E8357" s="898" t="s">
        <v>108</v>
      </c>
      <c r="F8357" s="899"/>
      <c r="G8357" s="928"/>
      <c r="H8357" s="901"/>
      <c r="I8357" s="902"/>
      <c r="J8357" s="902"/>
      <c r="K8357" s="912" t="s">
        <v>274</v>
      </c>
      <c r="L8357" s="902"/>
      <c r="M8357" s="902"/>
      <c r="N8357" s="902"/>
      <c r="O8357" s="892">
        <f t="shared" si="660"/>
        <v>0</v>
      </c>
      <c r="P8357" s="903">
        <f t="shared" si="657"/>
        <v>1</v>
      </c>
      <c r="Q8357" s="893">
        <f t="shared" si="658"/>
        <v>49</v>
      </c>
      <c r="R8357" s="894">
        <f t="shared" si="659"/>
        <v>0</v>
      </c>
    </row>
    <row r="8358" spans="1:18">
      <c r="A8358" s="905"/>
      <c r="B8358" s="906"/>
      <c r="C8358" s="991">
        <v>139</v>
      </c>
      <c r="D8358" s="907" t="s">
        <v>279</v>
      </c>
      <c r="E8358" s="925" t="s">
        <v>3259</v>
      </c>
      <c r="F8358" s="909" t="s">
        <v>139</v>
      </c>
      <c r="G8358" s="910"/>
      <c r="H8358" s="911">
        <v>1</v>
      </c>
      <c r="I8358" s="912">
        <f>VLOOKUP(E8358,[3]VLP!$B$7:$K$300,10,0)</f>
        <v>15000</v>
      </c>
      <c r="J8358" s="912">
        <f>I8358*H8358</f>
        <v>15000</v>
      </c>
      <c r="K8358" s="912" t="s">
        <v>274</v>
      </c>
      <c r="L8358" s="912"/>
      <c r="M8358" s="912"/>
      <c r="N8358" s="912"/>
      <c r="O8358" s="892">
        <f t="shared" si="660"/>
        <v>0</v>
      </c>
      <c r="P8358" s="903">
        <f t="shared" si="657"/>
        <v>1</v>
      </c>
      <c r="Q8358" s="893">
        <f t="shared" si="658"/>
        <v>48</v>
      </c>
      <c r="R8358" s="894">
        <f t="shared" si="659"/>
        <v>0</v>
      </c>
    </row>
    <row r="8359" spans="1:18">
      <c r="A8359" s="905"/>
      <c r="B8359" s="906"/>
      <c r="C8359" s="991">
        <v>140</v>
      </c>
      <c r="D8359" s="907" t="s">
        <v>279</v>
      </c>
      <c r="E8359" s="925" t="s">
        <v>6289</v>
      </c>
      <c r="F8359" s="926" t="s">
        <v>139</v>
      </c>
      <c r="G8359" s="910"/>
      <c r="H8359" s="911">
        <v>2</v>
      </c>
      <c r="I8359" s="912">
        <f>VLOOKUP(E8359,[3]VLP!$B$7:$K$300,10,0)</f>
        <v>7000</v>
      </c>
      <c r="J8359" s="912">
        <f>I8359*H8359</f>
        <v>14000</v>
      </c>
      <c r="K8359" s="912" t="s">
        <v>274</v>
      </c>
      <c r="L8359" s="912"/>
      <c r="M8359" s="912"/>
      <c r="N8359" s="912"/>
      <c r="O8359" s="892">
        <f t="shared" si="660"/>
        <v>0</v>
      </c>
      <c r="P8359" s="903">
        <f t="shared" si="657"/>
        <v>1</v>
      </c>
      <c r="Q8359" s="893">
        <f t="shared" si="658"/>
        <v>47</v>
      </c>
      <c r="R8359" s="894">
        <f t="shared" si="659"/>
        <v>0</v>
      </c>
    </row>
    <row r="8360" spans="1:18" s="904" customFormat="1">
      <c r="A8360" s="895"/>
      <c r="B8360" s="896"/>
      <c r="C8360" s="897"/>
      <c r="D8360" s="897"/>
      <c r="E8360" s="924" t="s">
        <v>276</v>
      </c>
      <c r="F8360" s="927"/>
      <c r="G8360" s="928"/>
      <c r="H8360" s="901"/>
      <c r="I8360" s="902"/>
      <c r="J8360" s="902"/>
      <c r="K8360" s="912" t="s">
        <v>274</v>
      </c>
      <c r="L8360" s="902"/>
      <c r="M8360" s="902"/>
      <c r="N8360" s="902"/>
      <c r="O8360" s="892">
        <f t="shared" si="660"/>
        <v>0</v>
      </c>
      <c r="P8360" s="903">
        <f t="shared" ref="P8360:P8426" si="661">IF(O8360=0,1,0)</f>
        <v>1</v>
      </c>
      <c r="Q8360" s="893">
        <f t="shared" ref="Q8360:Q8426" si="662">IF(P8360=0,0,P8360+Q8361)</f>
        <v>46</v>
      </c>
      <c r="R8360" s="894">
        <f t="shared" ref="R8360:R8426" si="663">IF(Q8360=0,Q8361,0)</f>
        <v>0</v>
      </c>
    </row>
    <row r="8361" spans="1:18">
      <c r="A8361" s="905"/>
      <c r="B8361" s="906"/>
      <c r="C8361" s="907">
        <v>735</v>
      </c>
      <c r="D8361" s="907" t="s">
        <v>12</v>
      </c>
      <c r="E8361" s="908" t="s">
        <v>4065</v>
      </c>
      <c r="F8361" s="909" t="s">
        <v>2674</v>
      </c>
      <c r="G8361" s="910"/>
      <c r="H8361" s="911">
        <v>0.2</v>
      </c>
      <c r="I8361" s="912"/>
      <c r="J8361" s="912"/>
      <c r="K8361" s="912">
        <f>VLOOKUP(E8361,[5]ĐMNC!$A$7:$F$67,4,0)</f>
        <v>203703</v>
      </c>
      <c r="L8361" s="912">
        <f>H8361*K8361</f>
        <v>40740.600000000006</v>
      </c>
      <c r="M8361" s="912"/>
      <c r="N8361" s="912"/>
      <c r="O8361" s="892">
        <f t="shared" si="660"/>
        <v>0</v>
      </c>
      <c r="P8361" s="903">
        <f t="shared" si="661"/>
        <v>1</v>
      </c>
      <c r="Q8361" s="893">
        <f t="shared" si="662"/>
        <v>45</v>
      </c>
      <c r="R8361" s="894">
        <f t="shared" si="663"/>
        <v>0</v>
      </c>
    </row>
    <row r="8362" spans="1:18" s="904" customFormat="1">
      <c r="A8362" s="895"/>
      <c r="B8362" s="896"/>
      <c r="C8362" s="897"/>
      <c r="D8362" s="897"/>
      <c r="E8362" s="898" t="s">
        <v>3914</v>
      </c>
      <c r="F8362" s="899"/>
      <c r="G8362" s="928"/>
      <c r="H8362" s="901"/>
      <c r="I8362" s="902"/>
      <c r="J8362" s="902"/>
      <c r="K8362" s="912" t="s">
        <v>274</v>
      </c>
      <c r="L8362" s="902"/>
      <c r="M8362" s="902"/>
      <c r="N8362" s="902"/>
      <c r="O8362" s="892">
        <f t="shared" si="660"/>
        <v>0</v>
      </c>
      <c r="P8362" s="903">
        <f t="shared" si="661"/>
        <v>1</v>
      </c>
      <c r="Q8362" s="893">
        <f t="shared" si="662"/>
        <v>44</v>
      </c>
      <c r="R8362" s="894">
        <f t="shared" si="663"/>
        <v>0</v>
      </c>
    </row>
    <row r="8363" spans="1:18">
      <c r="A8363" s="905"/>
      <c r="B8363" s="906" t="s">
        <v>6290</v>
      </c>
      <c r="C8363" s="907">
        <v>840</v>
      </c>
      <c r="D8363" s="907" t="s">
        <v>93</v>
      </c>
      <c r="E8363" s="908" t="s">
        <v>6291</v>
      </c>
      <c r="F8363" s="909" t="s">
        <v>2673</v>
      </c>
      <c r="G8363" s="910"/>
      <c r="H8363" s="911">
        <v>0.1</v>
      </c>
      <c r="I8363" s="912"/>
      <c r="J8363" s="912"/>
      <c r="K8363" s="912"/>
      <c r="L8363" s="912"/>
      <c r="M8363" s="912">
        <f>VLOOKUP(B8363,MTC!$B$9:$S$933,12,0)</f>
        <v>34284</v>
      </c>
      <c r="N8363" s="912">
        <f>M8363*H8363</f>
        <v>3428.4</v>
      </c>
      <c r="O8363" s="892">
        <f t="shared" si="660"/>
        <v>0</v>
      </c>
      <c r="P8363" s="903">
        <f t="shared" si="661"/>
        <v>1</v>
      </c>
      <c r="Q8363" s="893">
        <f t="shared" si="662"/>
        <v>43</v>
      </c>
      <c r="R8363" s="894">
        <f t="shared" si="663"/>
        <v>0</v>
      </c>
    </row>
    <row r="8364" spans="1:18" s="847" customFormat="1">
      <c r="A8364" s="905" t="s">
        <v>6286</v>
      </c>
      <c r="B8364" s="914"/>
      <c r="C8364" s="915"/>
      <c r="D8364" s="915"/>
      <c r="E8364" s="916" t="s">
        <v>6292</v>
      </c>
      <c r="F8364" s="917" t="s">
        <v>51</v>
      </c>
      <c r="G8364" s="918"/>
      <c r="H8364" s="919"/>
      <c r="I8364" s="920"/>
      <c r="J8364" s="891">
        <f>SUM(J8365:J8370)</f>
        <v>27765.5</v>
      </c>
      <c r="K8364" s="891"/>
      <c r="L8364" s="891">
        <f>SUM(L8365:L8370)</f>
        <v>81481.200000000012</v>
      </c>
      <c r="M8364" s="891"/>
      <c r="N8364" s="891">
        <f>SUM(N8365:N8370)</f>
        <v>0</v>
      </c>
      <c r="O8364" s="892">
        <f t="shared" si="660"/>
        <v>0</v>
      </c>
      <c r="P8364" s="903">
        <f t="shared" si="661"/>
        <v>1</v>
      </c>
      <c r="Q8364" s="893">
        <f t="shared" si="662"/>
        <v>42</v>
      </c>
      <c r="R8364" s="894">
        <f t="shared" si="663"/>
        <v>0</v>
      </c>
    </row>
    <row r="8365" spans="1:18" s="904" customFormat="1">
      <c r="A8365" s="895"/>
      <c r="B8365" s="896"/>
      <c r="C8365" s="897"/>
      <c r="D8365" s="897"/>
      <c r="E8365" s="898" t="s">
        <v>108</v>
      </c>
      <c r="F8365" s="899"/>
      <c r="G8365" s="928"/>
      <c r="H8365" s="901"/>
      <c r="I8365" s="902"/>
      <c r="J8365" s="902"/>
      <c r="K8365" s="912" t="s">
        <v>274</v>
      </c>
      <c r="L8365" s="902"/>
      <c r="M8365" s="902"/>
      <c r="N8365" s="902"/>
      <c r="O8365" s="892">
        <f t="shared" si="660"/>
        <v>0</v>
      </c>
      <c r="P8365" s="903">
        <f t="shared" si="661"/>
        <v>1</v>
      </c>
      <c r="Q8365" s="893">
        <f t="shared" si="662"/>
        <v>41</v>
      </c>
      <c r="R8365" s="894">
        <f t="shared" si="663"/>
        <v>0</v>
      </c>
    </row>
    <row r="8366" spans="1:18">
      <c r="A8366" s="905"/>
      <c r="B8366" s="906"/>
      <c r="C8366" s="907">
        <v>127</v>
      </c>
      <c r="D8366" s="907" t="s">
        <v>279</v>
      </c>
      <c r="E8366" s="925" t="s">
        <v>5657</v>
      </c>
      <c r="F8366" s="926" t="s">
        <v>45</v>
      </c>
      <c r="G8366" s="910"/>
      <c r="H8366" s="911">
        <v>0.1</v>
      </c>
      <c r="I8366" s="912">
        <f>VLOOKUP(E8366,[3]VLP!$B$7:$K$300,10,0)</f>
        <v>25155</v>
      </c>
      <c r="J8366" s="912">
        <f>I8366*H8366</f>
        <v>2515.5</v>
      </c>
      <c r="K8366" s="912" t="s">
        <v>274</v>
      </c>
      <c r="L8366" s="912"/>
      <c r="M8366" s="912"/>
      <c r="N8366" s="912"/>
      <c r="O8366" s="892">
        <f t="shared" si="660"/>
        <v>0</v>
      </c>
      <c r="P8366" s="903">
        <f t="shared" si="661"/>
        <v>1</v>
      </c>
      <c r="Q8366" s="893">
        <f t="shared" si="662"/>
        <v>40</v>
      </c>
      <c r="R8366" s="894">
        <f t="shared" si="663"/>
        <v>0</v>
      </c>
    </row>
    <row r="8367" spans="1:18">
      <c r="A8367" s="905"/>
      <c r="B8367" s="906"/>
      <c r="C8367" s="907">
        <v>66</v>
      </c>
      <c r="D8367" s="907" t="s">
        <v>279</v>
      </c>
      <c r="E8367" s="925" t="s">
        <v>2682</v>
      </c>
      <c r="F8367" s="926" t="s">
        <v>45</v>
      </c>
      <c r="G8367" s="910"/>
      <c r="H8367" s="911">
        <v>0.05</v>
      </c>
      <c r="I8367" s="912">
        <f>VLOOKUP(E8367,[3]VLP!$B$7:$K$300,10,0)</f>
        <v>5000</v>
      </c>
      <c r="J8367" s="912">
        <f>I8367*H8367</f>
        <v>250</v>
      </c>
      <c r="K8367" s="912" t="s">
        <v>274</v>
      </c>
      <c r="L8367" s="912"/>
      <c r="M8367" s="912"/>
      <c r="N8367" s="912"/>
      <c r="O8367" s="892">
        <f t="shared" si="660"/>
        <v>0</v>
      </c>
      <c r="P8367" s="903">
        <f t="shared" si="661"/>
        <v>1</v>
      </c>
      <c r="Q8367" s="893">
        <f t="shared" si="662"/>
        <v>39</v>
      </c>
      <c r="R8367" s="894">
        <f t="shared" si="663"/>
        <v>0</v>
      </c>
    </row>
    <row r="8368" spans="1:18">
      <c r="A8368" s="905"/>
      <c r="B8368" s="906"/>
      <c r="C8368" s="907">
        <v>699</v>
      </c>
      <c r="D8368" s="907" t="s">
        <v>279</v>
      </c>
      <c r="E8368" s="925" t="s">
        <v>4006</v>
      </c>
      <c r="F8368" s="926" t="s">
        <v>4007</v>
      </c>
      <c r="G8368" s="910"/>
      <c r="H8368" s="911">
        <v>5</v>
      </c>
      <c r="I8368" s="912">
        <f>VLOOKUP(E8368,[3]VLP!$B$7:$K$300,10,0)</f>
        <v>5000</v>
      </c>
      <c r="J8368" s="912">
        <f>I8368*H8368</f>
        <v>25000</v>
      </c>
      <c r="K8368" s="912" t="s">
        <v>274</v>
      </c>
      <c r="L8368" s="912"/>
      <c r="M8368" s="912"/>
      <c r="N8368" s="912"/>
      <c r="O8368" s="892">
        <f t="shared" si="660"/>
        <v>0</v>
      </c>
      <c r="P8368" s="903">
        <f t="shared" si="661"/>
        <v>1</v>
      </c>
      <c r="Q8368" s="893">
        <f t="shared" si="662"/>
        <v>38</v>
      </c>
      <c r="R8368" s="894">
        <f t="shared" si="663"/>
        <v>0</v>
      </c>
    </row>
    <row r="8369" spans="1:18" s="904" customFormat="1">
      <c r="A8369" s="895"/>
      <c r="B8369" s="896"/>
      <c r="C8369" s="897"/>
      <c r="D8369" s="897"/>
      <c r="E8369" s="924" t="s">
        <v>276</v>
      </c>
      <c r="F8369" s="927"/>
      <c r="G8369" s="928"/>
      <c r="H8369" s="901"/>
      <c r="I8369" s="902"/>
      <c r="J8369" s="902"/>
      <c r="K8369" s="912" t="s">
        <v>274</v>
      </c>
      <c r="L8369" s="902"/>
      <c r="M8369" s="902"/>
      <c r="N8369" s="902"/>
      <c r="O8369" s="892">
        <f t="shared" si="660"/>
        <v>0</v>
      </c>
      <c r="P8369" s="903">
        <f t="shared" si="661"/>
        <v>1</v>
      </c>
      <c r="Q8369" s="893">
        <f t="shared" si="662"/>
        <v>37</v>
      </c>
      <c r="R8369" s="894">
        <f t="shared" si="663"/>
        <v>0</v>
      </c>
    </row>
    <row r="8370" spans="1:18">
      <c r="A8370" s="905"/>
      <c r="B8370" s="906"/>
      <c r="C8370" s="907">
        <v>735</v>
      </c>
      <c r="D8370" s="907" t="s">
        <v>12</v>
      </c>
      <c r="E8370" s="908" t="s">
        <v>4065</v>
      </c>
      <c r="F8370" s="909" t="s">
        <v>2674</v>
      </c>
      <c r="G8370" s="910"/>
      <c r="H8370" s="911">
        <v>0.4</v>
      </c>
      <c r="I8370" s="912"/>
      <c r="J8370" s="912"/>
      <c r="K8370" s="912">
        <f>VLOOKUP(E8370,[5]ĐMNC!$A$7:$F$67,4,0)</f>
        <v>203703</v>
      </c>
      <c r="L8370" s="912">
        <f>H8370*K8370</f>
        <v>81481.200000000012</v>
      </c>
      <c r="M8370" s="912"/>
      <c r="N8370" s="912"/>
      <c r="O8370" s="892">
        <f t="shared" si="660"/>
        <v>0</v>
      </c>
      <c r="P8370" s="903">
        <f t="shared" si="661"/>
        <v>1</v>
      </c>
      <c r="Q8370" s="893">
        <f t="shared" si="662"/>
        <v>36</v>
      </c>
      <c r="R8370" s="894">
        <f t="shared" si="663"/>
        <v>0</v>
      </c>
    </row>
    <row r="8371" spans="1:18" s="847" customFormat="1">
      <c r="A8371" s="905" t="s">
        <v>6286</v>
      </c>
      <c r="B8371" s="914"/>
      <c r="C8371" s="915"/>
      <c r="D8371" s="915"/>
      <c r="E8371" s="916" t="s">
        <v>6293</v>
      </c>
      <c r="F8371" s="917" t="s">
        <v>51</v>
      </c>
      <c r="G8371" s="918"/>
      <c r="H8371" s="919"/>
      <c r="I8371" s="920"/>
      <c r="J8371" s="891">
        <f>SUM(J8372:J8377)</f>
        <v>27765.5</v>
      </c>
      <c r="K8371" s="891"/>
      <c r="L8371" s="891">
        <f>SUM(L8372:L8377)</f>
        <v>101851.5</v>
      </c>
      <c r="M8371" s="891"/>
      <c r="N8371" s="891">
        <f>SUM(N8372:N8377)</f>
        <v>0</v>
      </c>
      <c r="O8371" s="892">
        <f t="shared" si="660"/>
        <v>0</v>
      </c>
      <c r="P8371" s="903">
        <f t="shared" si="661"/>
        <v>1</v>
      </c>
      <c r="Q8371" s="893">
        <f t="shared" si="662"/>
        <v>35</v>
      </c>
      <c r="R8371" s="894">
        <f t="shared" si="663"/>
        <v>0</v>
      </c>
    </row>
    <row r="8372" spans="1:18" s="904" customFormat="1">
      <c r="A8372" s="895"/>
      <c r="B8372" s="896"/>
      <c r="C8372" s="897"/>
      <c r="D8372" s="897"/>
      <c r="E8372" s="898" t="s">
        <v>108</v>
      </c>
      <c r="F8372" s="899"/>
      <c r="G8372" s="928"/>
      <c r="H8372" s="901"/>
      <c r="I8372" s="902"/>
      <c r="J8372" s="902"/>
      <c r="K8372" s="912" t="s">
        <v>274</v>
      </c>
      <c r="L8372" s="902"/>
      <c r="M8372" s="902"/>
      <c r="N8372" s="902"/>
      <c r="O8372" s="892">
        <f t="shared" si="660"/>
        <v>0</v>
      </c>
      <c r="P8372" s="903">
        <f t="shared" si="661"/>
        <v>1</v>
      </c>
      <c r="Q8372" s="893">
        <f t="shared" si="662"/>
        <v>34</v>
      </c>
      <c r="R8372" s="894">
        <f t="shared" si="663"/>
        <v>0</v>
      </c>
    </row>
    <row r="8373" spans="1:18">
      <c r="A8373" s="905"/>
      <c r="B8373" s="906"/>
      <c r="C8373" s="907">
        <v>127</v>
      </c>
      <c r="D8373" s="907" t="s">
        <v>279</v>
      </c>
      <c r="E8373" s="925" t="s">
        <v>5657</v>
      </c>
      <c r="F8373" s="926" t="s">
        <v>45</v>
      </c>
      <c r="G8373" s="910"/>
      <c r="H8373" s="911">
        <v>0.1</v>
      </c>
      <c r="I8373" s="912">
        <f>VLOOKUP(E8373,[3]VLP!$B$7:$K$300,10,0)</f>
        <v>25155</v>
      </c>
      <c r="J8373" s="912">
        <f>I8373*H8373</f>
        <v>2515.5</v>
      </c>
      <c r="K8373" s="912" t="s">
        <v>274</v>
      </c>
      <c r="L8373" s="912"/>
      <c r="M8373" s="912"/>
      <c r="N8373" s="912"/>
      <c r="O8373" s="892">
        <f t="shared" si="660"/>
        <v>0</v>
      </c>
      <c r="P8373" s="903">
        <f t="shared" si="661"/>
        <v>1</v>
      </c>
      <c r="Q8373" s="893">
        <f t="shared" si="662"/>
        <v>33</v>
      </c>
      <c r="R8373" s="894">
        <f t="shared" si="663"/>
        <v>0</v>
      </c>
    </row>
    <row r="8374" spans="1:18">
      <c r="A8374" s="905"/>
      <c r="B8374" s="906"/>
      <c r="C8374" s="907">
        <v>66</v>
      </c>
      <c r="D8374" s="907" t="s">
        <v>279</v>
      </c>
      <c r="E8374" s="925" t="s">
        <v>2682</v>
      </c>
      <c r="F8374" s="926" t="s">
        <v>45</v>
      </c>
      <c r="G8374" s="910"/>
      <c r="H8374" s="911">
        <v>0.05</v>
      </c>
      <c r="I8374" s="912">
        <f>VLOOKUP(E8374,[3]VLP!$B$7:$K$300,10,0)</f>
        <v>5000</v>
      </c>
      <c r="J8374" s="912">
        <f>I8374*H8374</f>
        <v>250</v>
      </c>
      <c r="K8374" s="912" t="s">
        <v>274</v>
      </c>
      <c r="L8374" s="912"/>
      <c r="M8374" s="912"/>
      <c r="N8374" s="912"/>
      <c r="O8374" s="892">
        <f t="shared" si="660"/>
        <v>0</v>
      </c>
      <c r="P8374" s="903">
        <f t="shared" si="661"/>
        <v>1</v>
      </c>
      <c r="Q8374" s="893">
        <f t="shared" si="662"/>
        <v>32</v>
      </c>
      <c r="R8374" s="894">
        <f t="shared" si="663"/>
        <v>0</v>
      </c>
    </row>
    <row r="8375" spans="1:18">
      <c r="A8375" s="905"/>
      <c r="B8375" s="906"/>
      <c r="C8375" s="907">
        <v>699</v>
      </c>
      <c r="D8375" s="907" t="s">
        <v>279</v>
      </c>
      <c r="E8375" s="925" t="s">
        <v>4006</v>
      </c>
      <c r="F8375" s="926" t="s">
        <v>4007</v>
      </c>
      <c r="G8375" s="910"/>
      <c r="H8375" s="911">
        <v>5</v>
      </c>
      <c r="I8375" s="912">
        <f>VLOOKUP(E8375,[3]VLP!$B$7:$K$300,10,0)</f>
        <v>5000</v>
      </c>
      <c r="J8375" s="912">
        <f>I8375*H8375</f>
        <v>25000</v>
      </c>
      <c r="K8375" s="912" t="s">
        <v>274</v>
      </c>
      <c r="L8375" s="912"/>
      <c r="M8375" s="912"/>
      <c r="N8375" s="912"/>
      <c r="O8375" s="892">
        <f t="shared" si="660"/>
        <v>0</v>
      </c>
      <c r="P8375" s="903">
        <f t="shared" si="661"/>
        <v>1</v>
      </c>
      <c r="Q8375" s="893">
        <f t="shared" si="662"/>
        <v>31</v>
      </c>
      <c r="R8375" s="894">
        <f t="shared" si="663"/>
        <v>0</v>
      </c>
    </row>
    <row r="8376" spans="1:18" s="904" customFormat="1">
      <c r="A8376" s="895"/>
      <c r="B8376" s="896"/>
      <c r="C8376" s="897"/>
      <c r="D8376" s="897"/>
      <c r="E8376" s="924" t="s">
        <v>276</v>
      </c>
      <c r="F8376" s="927"/>
      <c r="G8376" s="928"/>
      <c r="H8376" s="901"/>
      <c r="I8376" s="902"/>
      <c r="J8376" s="902"/>
      <c r="K8376" s="912" t="s">
        <v>274</v>
      </c>
      <c r="L8376" s="902"/>
      <c r="M8376" s="902"/>
      <c r="N8376" s="902"/>
      <c r="O8376" s="892">
        <f t="shared" si="660"/>
        <v>0</v>
      </c>
      <c r="P8376" s="903">
        <f t="shared" si="661"/>
        <v>1</v>
      </c>
      <c r="Q8376" s="893">
        <f t="shared" si="662"/>
        <v>30</v>
      </c>
      <c r="R8376" s="894">
        <f t="shared" si="663"/>
        <v>0</v>
      </c>
    </row>
    <row r="8377" spans="1:18">
      <c r="A8377" s="905"/>
      <c r="B8377" s="906"/>
      <c r="C8377" s="907">
        <v>735</v>
      </c>
      <c r="D8377" s="907" t="s">
        <v>12</v>
      </c>
      <c r="E8377" s="908" t="s">
        <v>4065</v>
      </c>
      <c r="F8377" s="909" t="s">
        <v>2674</v>
      </c>
      <c r="G8377" s="910"/>
      <c r="H8377" s="911">
        <v>0.5</v>
      </c>
      <c r="I8377" s="912"/>
      <c r="J8377" s="912"/>
      <c r="K8377" s="912">
        <f>VLOOKUP(E8377,[5]ĐMNC!$A$7:$F$67,4,0)</f>
        <v>203703</v>
      </c>
      <c r="L8377" s="912">
        <f>H8377*K8377</f>
        <v>101851.5</v>
      </c>
      <c r="M8377" s="912"/>
      <c r="N8377" s="912"/>
      <c r="O8377" s="892">
        <f t="shared" si="660"/>
        <v>0</v>
      </c>
      <c r="P8377" s="903">
        <f t="shared" si="661"/>
        <v>1</v>
      </c>
      <c r="Q8377" s="893">
        <f t="shared" si="662"/>
        <v>29</v>
      </c>
      <c r="R8377" s="894">
        <f t="shared" si="663"/>
        <v>0</v>
      </c>
    </row>
    <row r="8378" spans="1:18" s="847" customFormat="1">
      <c r="A8378" s="905" t="s">
        <v>6286</v>
      </c>
      <c r="B8378" s="914"/>
      <c r="C8378" s="915"/>
      <c r="D8378" s="915"/>
      <c r="E8378" s="916" t="s">
        <v>6294</v>
      </c>
      <c r="F8378" s="917" t="s">
        <v>51</v>
      </c>
      <c r="G8378" s="918"/>
      <c r="H8378" s="919"/>
      <c r="I8378" s="920"/>
      <c r="J8378" s="891">
        <f>SUM(J8379:J8384)</f>
        <v>27765.5</v>
      </c>
      <c r="K8378" s="891"/>
      <c r="L8378" s="891">
        <f>SUM(L8379:L8384)</f>
        <v>101851.5</v>
      </c>
      <c r="M8378" s="891"/>
      <c r="N8378" s="891">
        <f>SUM(N8379:N8384)</f>
        <v>0</v>
      </c>
      <c r="O8378" s="892">
        <f t="shared" si="660"/>
        <v>0</v>
      </c>
      <c r="P8378" s="903">
        <f t="shared" si="661"/>
        <v>1</v>
      </c>
      <c r="Q8378" s="893">
        <f t="shared" si="662"/>
        <v>28</v>
      </c>
      <c r="R8378" s="894">
        <f t="shared" si="663"/>
        <v>0</v>
      </c>
    </row>
    <row r="8379" spans="1:18" s="904" customFormat="1">
      <c r="A8379" s="895"/>
      <c r="B8379" s="896"/>
      <c r="C8379" s="897"/>
      <c r="D8379" s="897"/>
      <c r="E8379" s="898" t="s">
        <v>108</v>
      </c>
      <c r="F8379" s="899"/>
      <c r="G8379" s="928"/>
      <c r="H8379" s="901"/>
      <c r="I8379" s="902"/>
      <c r="J8379" s="902"/>
      <c r="K8379" s="912" t="s">
        <v>274</v>
      </c>
      <c r="L8379" s="902"/>
      <c r="M8379" s="902"/>
      <c r="N8379" s="902"/>
      <c r="O8379" s="892">
        <f t="shared" si="660"/>
        <v>0</v>
      </c>
      <c r="P8379" s="903">
        <f t="shared" si="661"/>
        <v>1</v>
      </c>
      <c r="Q8379" s="893">
        <f t="shared" si="662"/>
        <v>27</v>
      </c>
      <c r="R8379" s="894">
        <f t="shared" si="663"/>
        <v>0</v>
      </c>
    </row>
    <row r="8380" spans="1:18">
      <c r="A8380" s="905"/>
      <c r="B8380" s="906"/>
      <c r="C8380" s="907">
        <v>127</v>
      </c>
      <c r="D8380" s="907" t="s">
        <v>279</v>
      </c>
      <c r="E8380" s="925" t="s">
        <v>5657</v>
      </c>
      <c r="F8380" s="926" t="s">
        <v>45</v>
      </c>
      <c r="G8380" s="910"/>
      <c r="H8380" s="911">
        <v>0.1</v>
      </c>
      <c r="I8380" s="912">
        <f>VLOOKUP(E8380,[3]VLP!$B$7:$K$300,10,0)</f>
        <v>25155</v>
      </c>
      <c r="J8380" s="912">
        <f>I8380*H8380</f>
        <v>2515.5</v>
      </c>
      <c r="K8380" s="912" t="s">
        <v>274</v>
      </c>
      <c r="L8380" s="912"/>
      <c r="M8380" s="912"/>
      <c r="N8380" s="912"/>
      <c r="O8380" s="892">
        <f t="shared" si="660"/>
        <v>0</v>
      </c>
      <c r="P8380" s="903">
        <f t="shared" si="661"/>
        <v>1</v>
      </c>
      <c r="Q8380" s="893">
        <f t="shared" si="662"/>
        <v>26</v>
      </c>
      <c r="R8380" s="894">
        <f t="shared" si="663"/>
        <v>0</v>
      </c>
    </row>
    <row r="8381" spans="1:18">
      <c r="A8381" s="905"/>
      <c r="B8381" s="906"/>
      <c r="C8381" s="907">
        <v>66</v>
      </c>
      <c r="D8381" s="907" t="s">
        <v>279</v>
      </c>
      <c r="E8381" s="925" t="s">
        <v>2682</v>
      </c>
      <c r="F8381" s="926" t="s">
        <v>45</v>
      </c>
      <c r="G8381" s="910"/>
      <c r="H8381" s="911">
        <v>0.05</v>
      </c>
      <c r="I8381" s="912">
        <f>VLOOKUP(E8381,[3]VLP!$B$7:$K$300,10,0)</f>
        <v>5000</v>
      </c>
      <c r="J8381" s="912">
        <f>I8381*H8381</f>
        <v>250</v>
      </c>
      <c r="K8381" s="912" t="s">
        <v>274</v>
      </c>
      <c r="L8381" s="912"/>
      <c r="M8381" s="912"/>
      <c r="N8381" s="912"/>
      <c r="O8381" s="892">
        <f t="shared" si="660"/>
        <v>0</v>
      </c>
      <c r="P8381" s="903">
        <f t="shared" si="661"/>
        <v>1</v>
      </c>
      <c r="Q8381" s="893">
        <f t="shared" si="662"/>
        <v>25</v>
      </c>
      <c r="R8381" s="894">
        <f t="shared" si="663"/>
        <v>0</v>
      </c>
    </row>
    <row r="8382" spans="1:18">
      <c r="A8382" s="905"/>
      <c r="B8382" s="906"/>
      <c r="C8382" s="907">
        <v>699</v>
      </c>
      <c r="D8382" s="907" t="s">
        <v>279</v>
      </c>
      <c r="E8382" s="925" t="s">
        <v>4006</v>
      </c>
      <c r="F8382" s="926" t="s">
        <v>4007</v>
      </c>
      <c r="G8382" s="910"/>
      <c r="H8382" s="911">
        <v>5</v>
      </c>
      <c r="I8382" s="912">
        <f>VLOOKUP(E8382,[3]VLP!$B$7:$K$300,10,0)</f>
        <v>5000</v>
      </c>
      <c r="J8382" s="912">
        <f>I8382*H8382</f>
        <v>25000</v>
      </c>
      <c r="K8382" s="912" t="s">
        <v>274</v>
      </c>
      <c r="L8382" s="912"/>
      <c r="M8382" s="912"/>
      <c r="N8382" s="912"/>
      <c r="O8382" s="892">
        <f t="shared" si="660"/>
        <v>0</v>
      </c>
      <c r="P8382" s="903">
        <f t="shared" si="661"/>
        <v>1</v>
      </c>
      <c r="Q8382" s="893">
        <f t="shared" si="662"/>
        <v>24</v>
      </c>
      <c r="R8382" s="894">
        <f t="shared" si="663"/>
        <v>0</v>
      </c>
    </row>
    <row r="8383" spans="1:18" s="904" customFormat="1">
      <c r="A8383" s="895"/>
      <c r="B8383" s="896"/>
      <c r="C8383" s="897"/>
      <c r="D8383" s="897"/>
      <c r="E8383" s="924" t="s">
        <v>276</v>
      </c>
      <c r="F8383" s="927"/>
      <c r="G8383" s="928"/>
      <c r="H8383" s="901"/>
      <c r="I8383" s="902"/>
      <c r="J8383" s="902"/>
      <c r="K8383" s="912" t="s">
        <v>274</v>
      </c>
      <c r="L8383" s="902"/>
      <c r="M8383" s="902"/>
      <c r="N8383" s="902"/>
      <c r="O8383" s="892">
        <f t="shared" si="660"/>
        <v>0</v>
      </c>
      <c r="P8383" s="903">
        <f t="shared" si="661"/>
        <v>1</v>
      </c>
      <c r="Q8383" s="893">
        <f t="shared" si="662"/>
        <v>23</v>
      </c>
      <c r="R8383" s="894">
        <f t="shared" si="663"/>
        <v>0</v>
      </c>
    </row>
    <row r="8384" spans="1:18">
      <c r="A8384" s="905"/>
      <c r="B8384" s="906"/>
      <c r="C8384" s="907">
        <v>735</v>
      </c>
      <c r="D8384" s="907" t="s">
        <v>12</v>
      </c>
      <c r="E8384" s="908" t="s">
        <v>4065</v>
      </c>
      <c r="F8384" s="909" t="s">
        <v>2674</v>
      </c>
      <c r="G8384" s="910"/>
      <c r="H8384" s="911">
        <v>0.5</v>
      </c>
      <c r="I8384" s="912"/>
      <c r="J8384" s="912"/>
      <c r="K8384" s="912">
        <f>VLOOKUP(E8384,[5]ĐMNC!$A$7:$F$67,4,0)</f>
        <v>203703</v>
      </c>
      <c r="L8384" s="912">
        <f>H8384*K8384</f>
        <v>101851.5</v>
      </c>
      <c r="M8384" s="912"/>
      <c r="N8384" s="912"/>
      <c r="O8384" s="892">
        <f t="shared" si="660"/>
        <v>0</v>
      </c>
      <c r="P8384" s="903">
        <f t="shared" si="661"/>
        <v>1</v>
      </c>
      <c r="Q8384" s="893">
        <f t="shared" si="662"/>
        <v>22</v>
      </c>
      <c r="R8384" s="894">
        <f t="shared" si="663"/>
        <v>0</v>
      </c>
    </row>
    <row r="8385" spans="1:18" s="847" customFormat="1">
      <c r="A8385" s="905" t="s">
        <v>6295</v>
      </c>
      <c r="B8385" s="914"/>
      <c r="C8385" s="915"/>
      <c r="D8385" s="915"/>
      <c r="E8385" s="916" t="s">
        <v>6296</v>
      </c>
      <c r="F8385" s="917" t="s">
        <v>51</v>
      </c>
      <c r="G8385" s="918"/>
      <c r="H8385" s="919"/>
      <c r="I8385" s="920"/>
      <c r="J8385" s="891">
        <f>SUM(J8386:J8391)</f>
        <v>27765.5</v>
      </c>
      <c r="K8385" s="891"/>
      <c r="L8385" s="891">
        <f>SUM(L8386:L8391)</f>
        <v>122221.79999999999</v>
      </c>
      <c r="M8385" s="891"/>
      <c r="N8385" s="891">
        <f>SUM(N8386:N8391)</f>
        <v>0</v>
      </c>
      <c r="O8385" s="892">
        <f t="shared" si="660"/>
        <v>0</v>
      </c>
      <c r="P8385" s="903">
        <f t="shared" si="661"/>
        <v>1</v>
      </c>
      <c r="Q8385" s="893">
        <f t="shared" si="662"/>
        <v>21</v>
      </c>
      <c r="R8385" s="894">
        <f t="shared" si="663"/>
        <v>0</v>
      </c>
    </row>
    <row r="8386" spans="1:18" s="904" customFormat="1">
      <c r="A8386" s="895"/>
      <c r="B8386" s="896"/>
      <c r="C8386" s="897"/>
      <c r="D8386" s="897"/>
      <c r="E8386" s="898" t="s">
        <v>108</v>
      </c>
      <c r="F8386" s="899"/>
      <c r="G8386" s="928"/>
      <c r="H8386" s="901"/>
      <c r="I8386" s="902"/>
      <c r="J8386" s="902"/>
      <c r="K8386" s="912" t="s">
        <v>274</v>
      </c>
      <c r="L8386" s="902"/>
      <c r="M8386" s="902"/>
      <c r="N8386" s="902"/>
      <c r="O8386" s="892">
        <f t="shared" si="660"/>
        <v>0</v>
      </c>
      <c r="P8386" s="903">
        <f t="shared" si="661"/>
        <v>1</v>
      </c>
      <c r="Q8386" s="893">
        <f t="shared" si="662"/>
        <v>20</v>
      </c>
      <c r="R8386" s="894">
        <f t="shared" si="663"/>
        <v>0</v>
      </c>
    </row>
    <row r="8387" spans="1:18">
      <c r="A8387" s="905"/>
      <c r="B8387" s="906"/>
      <c r="C8387" s="907">
        <v>127</v>
      </c>
      <c r="D8387" s="907" t="s">
        <v>279</v>
      </c>
      <c r="E8387" s="925" t="s">
        <v>5657</v>
      </c>
      <c r="F8387" s="926" t="s">
        <v>45</v>
      </c>
      <c r="G8387" s="910"/>
      <c r="H8387" s="911">
        <v>0.1</v>
      </c>
      <c r="I8387" s="912">
        <f>VLOOKUP(E8387,[3]VLP!$B$7:$K$300,10,0)</f>
        <v>25155</v>
      </c>
      <c r="J8387" s="912">
        <f>I8387*H8387</f>
        <v>2515.5</v>
      </c>
      <c r="K8387" s="912" t="s">
        <v>274</v>
      </c>
      <c r="L8387" s="912"/>
      <c r="M8387" s="912"/>
      <c r="N8387" s="912"/>
      <c r="O8387" s="892">
        <f t="shared" si="660"/>
        <v>0</v>
      </c>
      <c r="P8387" s="903">
        <f t="shared" si="661"/>
        <v>1</v>
      </c>
      <c r="Q8387" s="893">
        <f t="shared" si="662"/>
        <v>19</v>
      </c>
      <c r="R8387" s="894">
        <f t="shared" si="663"/>
        <v>0</v>
      </c>
    </row>
    <row r="8388" spans="1:18">
      <c r="A8388" s="905"/>
      <c r="B8388" s="906"/>
      <c r="C8388" s="907">
        <v>66</v>
      </c>
      <c r="D8388" s="907" t="s">
        <v>279</v>
      </c>
      <c r="E8388" s="925" t="s">
        <v>2682</v>
      </c>
      <c r="F8388" s="926" t="s">
        <v>45</v>
      </c>
      <c r="G8388" s="910"/>
      <c r="H8388" s="911">
        <v>0.05</v>
      </c>
      <c r="I8388" s="912">
        <f>VLOOKUP(E8388,[3]VLP!$B$7:$K$300,10,0)</f>
        <v>5000</v>
      </c>
      <c r="J8388" s="912">
        <f>I8388*H8388</f>
        <v>250</v>
      </c>
      <c r="K8388" s="912" t="s">
        <v>274</v>
      </c>
      <c r="L8388" s="912"/>
      <c r="M8388" s="912"/>
      <c r="N8388" s="912"/>
      <c r="O8388" s="892">
        <f t="shared" si="660"/>
        <v>0</v>
      </c>
      <c r="P8388" s="903">
        <f t="shared" si="661"/>
        <v>1</v>
      </c>
      <c r="Q8388" s="893">
        <f t="shared" si="662"/>
        <v>18</v>
      </c>
      <c r="R8388" s="894">
        <f t="shared" si="663"/>
        <v>0</v>
      </c>
    </row>
    <row r="8389" spans="1:18">
      <c r="A8389" s="905"/>
      <c r="B8389" s="906"/>
      <c r="C8389" s="907">
        <v>699</v>
      </c>
      <c r="D8389" s="907" t="s">
        <v>279</v>
      </c>
      <c r="E8389" s="925" t="s">
        <v>4006</v>
      </c>
      <c r="F8389" s="926" t="s">
        <v>4007</v>
      </c>
      <c r="G8389" s="910"/>
      <c r="H8389" s="911">
        <v>5</v>
      </c>
      <c r="I8389" s="912">
        <f>VLOOKUP(E8389,[3]VLP!$B$7:$K$300,10,0)</f>
        <v>5000</v>
      </c>
      <c r="J8389" s="912">
        <f>I8389*H8389</f>
        <v>25000</v>
      </c>
      <c r="K8389" s="912" t="s">
        <v>274</v>
      </c>
      <c r="L8389" s="912"/>
      <c r="M8389" s="912"/>
      <c r="N8389" s="912"/>
      <c r="O8389" s="892">
        <f t="shared" si="660"/>
        <v>0</v>
      </c>
      <c r="P8389" s="903">
        <f t="shared" si="661"/>
        <v>1</v>
      </c>
      <c r="Q8389" s="893">
        <f t="shared" si="662"/>
        <v>17</v>
      </c>
      <c r="R8389" s="894">
        <f t="shared" si="663"/>
        <v>0</v>
      </c>
    </row>
    <row r="8390" spans="1:18" s="904" customFormat="1">
      <c r="A8390" s="895"/>
      <c r="B8390" s="896"/>
      <c r="C8390" s="897"/>
      <c r="D8390" s="897"/>
      <c r="E8390" s="924" t="s">
        <v>276</v>
      </c>
      <c r="F8390" s="927"/>
      <c r="G8390" s="928"/>
      <c r="H8390" s="901"/>
      <c r="I8390" s="902"/>
      <c r="J8390" s="902"/>
      <c r="K8390" s="912" t="s">
        <v>274</v>
      </c>
      <c r="L8390" s="902"/>
      <c r="M8390" s="902"/>
      <c r="N8390" s="902"/>
      <c r="O8390" s="892">
        <f t="shared" si="660"/>
        <v>0</v>
      </c>
      <c r="P8390" s="903">
        <f t="shared" si="661"/>
        <v>1</v>
      </c>
      <c r="Q8390" s="893">
        <f t="shared" si="662"/>
        <v>16</v>
      </c>
      <c r="R8390" s="894">
        <f t="shared" si="663"/>
        <v>0</v>
      </c>
    </row>
    <row r="8391" spans="1:18">
      <c r="A8391" s="905"/>
      <c r="B8391" s="906"/>
      <c r="C8391" s="907">
        <v>735</v>
      </c>
      <c r="D8391" s="907" t="s">
        <v>12</v>
      </c>
      <c r="E8391" s="908" t="s">
        <v>4065</v>
      </c>
      <c r="F8391" s="909" t="s">
        <v>2674</v>
      </c>
      <c r="G8391" s="910"/>
      <c r="H8391" s="911">
        <v>0.6</v>
      </c>
      <c r="I8391" s="912"/>
      <c r="J8391" s="912"/>
      <c r="K8391" s="912">
        <f>VLOOKUP(E8391,[5]ĐMNC!$A$7:$F$67,4,0)</f>
        <v>203703</v>
      </c>
      <c r="L8391" s="912">
        <f>H8391*K8391</f>
        <v>122221.79999999999</v>
      </c>
      <c r="M8391" s="912"/>
      <c r="N8391" s="912"/>
      <c r="O8391" s="892">
        <f t="shared" si="660"/>
        <v>0</v>
      </c>
      <c r="P8391" s="903">
        <f t="shared" si="661"/>
        <v>1</v>
      </c>
      <c r="Q8391" s="893">
        <f t="shared" si="662"/>
        <v>15</v>
      </c>
      <c r="R8391" s="894">
        <f t="shared" si="663"/>
        <v>0</v>
      </c>
    </row>
    <row r="8392" spans="1:18" s="847" customFormat="1">
      <c r="A8392" s="905" t="s">
        <v>6295</v>
      </c>
      <c r="B8392" s="914"/>
      <c r="C8392" s="915"/>
      <c r="D8392" s="915"/>
      <c r="E8392" s="916" t="s">
        <v>6297</v>
      </c>
      <c r="F8392" s="917" t="s">
        <v>51</v>
      </c>
      <c r="G8392" s="918"/>
      <c r="H8392" s="919"/>
      <c r="I8392" s="920"/>
      <c r="J8392" s="891">
        <f>SUM(J8393:J8398)</f>
        <v>27765.5</v>
      </c>
      <c r="K8392" s="891"/>
      <c r="L8392" s="891">
        <f>SUM(L8393:L8398)</f>
        <v>146666.16</v>
      </c>
      <c r="M8392" s="891"/>
      <c r="N8392" s="891">
        <f>SUM(N8393:N8398)</f>
        <v>0</v>
      </c>
      <c r="O8392" s="892">
        <f t="shared" si="660"/>
        <v>0</v>
      </c>
      <c r="P8392" s="903">
        <f t="shared" si="661"/>
        <v>1</v>
      </c>
      <c r="Q8392" s="893">
        <f t="shared" si="662"/>
        <v>14</v>
      </c>
      <c r="R8392" s="894">
        <f t="shared" si="663"/>
        <v>0</v>
      </c>
    </row>
    <row r="8393" spans="1:18" s="904" customFormat="1">
      <c r="A8393" s="895"/>
      <c r="B8393" s="896"/>
      <c r="C8393" s="897"/>
      <c r="D8393" s="897"/>
      <c r="E8393" s="898" t="s">
        <v>108</v>
      </c>
      <c r="F8393" s="899"/>
      <c r="G8393" s="928"/>
      <c r="H8393" s="901"/>
      <c r="I8393" s="902"/>
      <c r="J8393" s="902"/>
      <c r="K8393" s="912" t="s">
        <v>274</v>
      </c>
      <c r="L8393" s="902"/>
      <c r="M8393" s="902"/>
      <c r="N8393" s="902"/>
      <c r="O8393" s="892">
        <f t="shared" si="660"/>
        <v>0</v>
      </c>
      <c r="P8393" s="903">
        <f t="shared" si="661"/>
        <v>1</v>
      </c>
      <c r="Q8393" s="893">
        <f t="shared" si="662"/>
        <v>13</v>
      </c>
      <c r="R8393" s="894">
        <f t="shared" si="663"/>
        <v>0</v>
      </c>
    </row>
    <row r="8394" spans="1:18">
      <c r="A8394" s="905"/>
      <c r="B8394" s="906"/>
      <c r="C8394" s="907">
        <v>127</v>
      </c>
      <c r="D8394" s="907" t="s">
        <v>279</v>
      </c>
      <c r="E8394" s="925" t="s">
        <v>5657</v>
      </c>
      <c r="F8394" s="926" t="s">
        <v>45</v>
      </c>
      <c r="G8394" s="910"/>
      <c r="H8394" s="911">
        <v>0.1</v>
      </c>
      <c r="I8394" s="912">
        <f>VLOOKUP(E8394,[3]VLP!$B$7:$K$300,10,0)</f>
        <v>25155</v>
      </c>
      <c r="J8394" s="912">
        <f>I8394*H8394</f>
        <v>2515.5</v>
      </c>
      <c r="K8394" s="912" t="s">
        <v>274</v>
      </c>
      <c r="L8394" s="912"/>
      <c r="M8394" s="912"/>
      <c r="N8394" s="912"/>
      <c r="O8394" s="892">
        <f t="shared" si="660"/>
        <v>0</v>
      </c>
      <c r="P8394" s="903">
        <f t="shared" si="661"/>
        <v>1</v>
      </c>
      <c r="Q8394" s="893">
        <f t="shared" si="662"/>
        <v>12</v>
      </c>
      <c r="R8394" s="894">
        <f t="shared" si="663"/>
        <v>0</v>
      </c>
    </row>
    <row r="8395" spans="1:18">
      <c r="A8395" s="905"/>
      <c r="B8395" s="906"/>
      <c r="C8395" s="907">
        <v>66</v>
      </c>
      <c r="D8395" s="907" t="s">
        <v>279</v>
      </c>
      <c r="E8395" s="925" t="s">
        <v>2682</v>
      </c>
      <c r="F8395" s="926" t="s">
        <v>45</v>
      </c>
      <c r="G8395" s="910"/>
      <c r="H8395" s="911">
        <v>0.05</v>
      </c>
      <c r="I8395" s="912">
        <f>VLOOKUP(E8395,[3]VLP!$B$7:$K$300,10,0)</f>
        <v>5000</v>
      </c>
      <c r="J8395" s="912">
        <f>I8395*H8395</f>
        <v>250</v>
      </c>
      <c r="K8395" s="912" t="s">
        <v>274</v>
      </c>
      <c r="L8395" s="912"/>
      <c r="M8395" s="912"/>
      <c r="N8395" s="912"/>
      <c r="O8395" s="892">
        <f t="shared" si="660"/>
        <v>0</v>
      </c>
      <c r="P8395" s="903">
        <f t="shared" si="661"/>
        <v>1</v>
      </c>
      <c r="Q8395" s="893">
        <f t="shared" si="662"/>
        <v>11</v>
      </c>
      <c r="R8395" s="894">
        <f t="shared" si="663"/>
        <v>0</v>
      </c>
    </row>
    <row r="8396" spans="1:18">
      <c r="A8396" s="905"/>
      <c r="B8396" s="906"/>
      <c r="C8396" s="907">
        <v>699</v>
      </c>
      <c r="D8396" s="907" t="s">
        <v>279</v>
      </c>
      <c r="E8396" s="925" t="s">
        <v>4006</v>
      </c>
      <c r="F8396" s="926" t="s">
        <v>4007</v>
      </c>
      <c r="G8396" s="910"/>
      <c r="H8396" s="911">
        <v>5</v>
      </c>
      <c r="I8396" s="912">
        <f>VLOOKUP(E8396,[3]VLP!$B$7:$K$300,10,0)</f>
        <v>5000</v>
      </c>
      <c r="J8396" s="912">
        <f>I8396*H8396</f>
        <v>25000</v>
      </c>
      <c r="K8396" s="912" t="s">
        <v>274</v>
      </c>
      <c r="L8396" s="912"/>
      <c r="M8396" s="912"/>
      <c r="N8396" s="912"/>
      <c r="O8396" s="892">
        <f t="shared" si="660"/>
        <v>0</v>
      </c>
      <c r="P8396" s="903">
        <f t="shared" si="661"/>
        <v>1</v>
      </c>
      <c r="Q8396" s="893">
        <f t="shared" si="662"/>
        <v>10</v>
      </c>
      <c r="R8396" s="894">
        <f t="shared" si="663"/>
        <v>0</v>
      </c>
    </row>
    <row r="8397" spans="1:18" s="904" customFormat="1">
      <c r="A8397" s="895"/>
      <c r="B8397" s="896"/>
      <c r="C8397" s="897"/>
      <c r="D8397" s="897"/>
      <c r="E8397" s="924" t="s">
        <v>276</v>
      </c>
      <c r="F8397" s="927"/>
      <c r="G8397" s="928"/>
      <c r="H8397" s="901"/>
      <c r="I8397" s="902"/>
      <c r="J8397" s="902"/>
      <c r="K8397" s="912" t="s">
        <v>274</v>
      </c>
      <c r="L8397" s="902"/>
      <c r="M8397" s="902"/>
      <c r="N8397" s="902"/>
      <c r="O8397" s="892">
        <f t="shared" si="660"/>
        <v>0</v>
      </c>
      <c r="P8397" s="903">
        <f t="shared" si="661"/>
        <v>1</v>
      </c>
      <c r="Q8397" s="893">
        <f t="shared" si="662"/>
        <v>9</v>
      </c>
      <c r="R8397" s="894">
        <f t="shared" si="663"/>
        <v>0</v>
      </c>
    </row>
    <row r="8398" spans="1:18">
      <c r="A8398" s="905"/>
      <c r="B8398" s="906"/>
      <c r="C8398" s="907">
        <v>735</v>
      </c>
      <c r="D8398" s="907" t="s">
        <v>12</v>
      </c>
      <c r="E8398" s="908" t="s">
        <v>4065</v>
      </c>
      <c r="F8398" s="909" t="s">
        <v>2674</v>
      </c>
      <c r="G8398" s="910"/>
      <c r="H8398" s="911">
        <v>0.72</v>
      </c>
      <c r="I8398" s="912"/>
      <c r="J8398" s="912"/>
      <c r="K8398" s="912">
        <f>VLOOKUP(E8398,[5]ĐMNC!$A$7:$F$67,4,0)</f>
        <v>203703</v>
      </c>
      <c r="L8398" s="912">
        <f>H8398*K8398</f>
        <v>146666.16</v>
      </c>
      <c r="M8398" s="912"/>
      <c r="N8398" s="912"/>
      <c r="O8398" s="892">
        <f t="shared" si="660"/>
        <v>0</v>
      </c>
      <c r="P8398" s="903">
        <f t="shared" si="661"/>
        <v>1</v>
      </c>
      <c r="Q8398" s="893">
        <f t="shared" si="662"/>
        <v>8</v>
      </c>
      <c r="R8398" s="894">
        <f t="shared" si="663"/>
        <v>0</v>
      </c>
    </row>
    <row r="8399" spans="1:18" s="847" customFormat="1">
      <c r="A8399" s="905" t="s">
        <v>6295</v>
      </c>
      <c r="B8399" s="914"/>
      <c r="C8399" s="915"/>
      <c r="D8399" s="915"/>
      <c r="E8399" s="916" t="s">
        <v>6298</v>
      </c>
      <c r="F8399" s="917" t="s">
        <v>51</v>
      </c>
      <c r="G8399" s="918"/>
      <c r="H8399" s="919"/>
      <c r="I8399" s="920"/>
      <c r="J8399" s="891">
        <f>SUM(J8400:J8405)</f>
        <v>27765.5</v>
      </c>
      <c r="K8399" s="891"/>
      <c r="L8399" s="891">
        <f>SUM(L8400:L8405)</f>
        <v>50925.75</v>
      </c>
      <c r="M8399" s="891"/>
      <c r="N8399" s="891">
        <f>SUM(N8400:N8405)</f>
        <v>0</v>
      </c>
      <c r="O8399" s="892">
        <f t="shared" si="660"/>
        <v>0</v>
      </c>
      <c r="P8399" s="903">
        <f t="shared" si="661"/>
        <v>1</v>
      </c>
      <c r="Q8399" s="893">
        <f t="shared" si="662"/>
        <v>7</v>
      </c>
      <c r="R8399" s="894">
        <f t="shared" si="663"/>
        <v>0</v>
      </c>
    </row>
    <row r="8400" spans="1:18" s="904" customFormat="1">
      <c r="A8400" s="895"/>
      <c r="B8400" s="896"/>
      <c r="C8400" s="897"/>
      <c r="D8400" s="897"/>
      <c r="E8400" s="898" t="s">
        <v>108</v>
      </c>
      <c r="F8400" s="899"/>
      <c r="G8400" s="928"/>
      <c r="H8400" s="901"/>
      <c r="I8400" s="902"/>
      <c r="J8400" s="902"/>
      <c r="K8400" s="912" t="s">
        <v>274</v>
      </c>
      <c r="L8400" s="902"/>
      <c r="M8400" s="902"/>
      <c r="N8400" s="902"/>
      <c r="O8400" s="892">
        <f t="shared" si="660"/>
        <v>0</v>
      </c>
      <c r="P8400" s="903">
        <f t="shared" si="661"/>
        <v>1</v>
      </c>
      <c r="Q8400" s="893">
        <f t="shared" si="662"/>
        <v>6</v>
      </c>
      <c r="R8400" s="894">
        <f t="shared" si="663"/>
        <v>0</v>
      </c>
    </row>
    <row r="8401" spans="1:18">
      <c r="A8401" s="905"/>
      <c r="B8401" s="906"/>
      <c r="C8401" s="907">
        <v>127</v>
      </c>
      <c r="D8401" s="907" t="s">
        <v>279</v>
      </c>
      <c r="E8401" s="925" t="s">
        <v>5657</v>
      </c>
      <c r="F8401" s="926" t="s">
        <v>45</v>
      </c>
      <c r="G8401" s="910"/>
      <c r="H8401" s="911">
        <v>0.1</v>
      </c>
      <c r="I8401" s="912">
        <f>VLOOKUP(E8401,[3]VLP!$B$7:$K$300,10,0)</f>
        <v>25155</v>
      </c>
      <c r="J8401" s="912">
        <f>I8401*H8401</f>
        <v>2515.5</v>
      </c>
      <c r="K8401" s="912" t="s">
        <v>274</v>
      </c>
      <c r="L8401" s="912"/>
      <c r="M8401" s="912"/>
      <c r="N8401" s="912"/>
      <c r="O8401" s="892">
        <f t="shared" si="660"/>
        <v>0</v>
      </c>
      <c r="P8401" s="903">
        <f t="shared" si="661"/>
        <v>1</v>
      </c>
      <c r="Q8401" s="893">
        <f t="shared" si="662"/>
        <v>5</v>
      </c>
      <c r="R8401" s="894">
        <f t="shared" si="663"/>
        <v>0</v>
      </c>
    </row>
    <row r="8402" spans="1:18">
      <c r="A8402" s="905"/>
      <c r="B8402" s="906"/>
      <c r="C8402" s="907">
        <v>66</v>
      </c>
      <c r="D8402" s="907" t="s">
        <v>279</v>
      </c>
      <c r="E8402" s="925" t="s">
        <v>2682</v>
      </c>
      <c r="F8402" s="926" t="s">
        <v>45</v>
      </c>
      <c r="G8402" s="910"/>
      <c r="H8402" s="911">
        <v>0.05</v>
      </c>
      <c r="I8402" s="912">
        <f>VLOOKUP(E8402,[3]VLP!$B$7:$K$300,10,0)</f>
        <v>5000</v>
      </c>
      <c r="J8402" s="912">
        <f>I8402*H8402</f>
        <v>250</v>
      </c>
      <c r="K8402" s="912" t="s">
        <v>274</v>
      </c>
      <c r="L8402" s="912"/>
      <c r="M8402" s="912"/>
      <c r="N8402" s="912"/>
      <c r="O8402" s="892">
        <f t="shared" si="660"/>
        <v>0</v>
      </c>
      <c r="P8402" s="903">
        <f t="shared" si="661"/>
        <v>1</v>
      </c>
      <c r="Q8402" s="893">
        <f t="shared" si="662"/>
        <v>4</v>
      </c>
      <c r="R8402" s="894">
        <f t="shared" si="663"/>
        <v>0</v>
      </c>
    </row>
    <row r="8403" spans="1:18">
      <c r="A8403" s="905"/>
      <c r="B8403" s="906"/>
      <c r="C8403" s="907">
        <v>699</v>
      </c>
      <c r="D8403" s="907" t="s">
        <v>279</v>
      </c>
      <c r="E8403" s="925" t="s">
        <v>4006</v>
      </c>
      <c r="F8403" s="926" t="s">
        <v>4007</v>
      </c>
      <c r="G8403" s="910"/>
      <c r="H8403" s="911">
        <v>5</v>
      </c>
      <c r="I8403" s="912">
        <f>VLOOKUP(E8403,[3]VLP!$B$7:$K$300,10,0)</f>
        <v>5000</v>
      </c>
      <c r="J8403" s="912">
        <f>I8403*H8403</f>
        <v>25000</v>
      </c>
      <c r="K8403" s="912" t="s">
        <v>274</v>
      </c>
      <c r="L8403" s="912"/>
      <c r="M8403" s="912"/>
      <c r="N8403" s="912"/>
      <c r="O8403" s="892">
        <f t="shared" si="660"/>
        <v>0</v>
      </c>
      <c r="P8403" s="903">
        <f t="shared" si="661"/>
        <v>1</v>
      </c>
      <c r="Q8403" s="893">
        <f t="shared" si="662"/>
        <v>3</v>
      </c>
      <c r="R8403" s="894">
        <f t="shared" si="663"/>
        <v>0</v>
      </c>
    </row>
    <row r="8404" spans="1:18" s="904" customFormat="1">
      <c r="A8404" s="895"/>
      <c r="B8404" s="896"/>
      <c r="C8404" s="897"/>
      <c r="D8404" s="897"/>
      <c r="E8404" s="924" t="s">
        <v>276</v>
      </c>
      <c r="F8404" s="927"/>
      <c r="G8404" s="928"/>
      <c r="H8404" s="901"/>
      <c r="I8404" s="902"/>
      <c r="J8404" s="902"/>
      <c r="K8404" s="912" t="s">
        <v>274</v>
      </c>
      <c r="L8404" s="902"/>
      <c r="M8404" s="902"/>
      <c r="N8404" s="902"/>
      <c r="O8404" s="892">
        <f t="shared" si="660"/>
        <v>0</v>
      </c>
      <c r="P8404" s="903">
        <f t="shared" si="661"/>
        <v>1</v>
      </c>
      <c r="Q8404" s="893">
        <f t="shared" si="662"/>
        <v>2</v>
      </c>
      <c r="R8404" s="894">
        <f t="shared" si="663"/>
        <v>0</v>
      </c>
    </row>
    <row r="8405" spans="1:18">
      <c r="A8405" s="905"/>
      <c r="B8405" s="906"/>
      <c r="C8405" s="907">
        <v>735</v>
      </c>
      <c r="D8405" s="907" t="s">
        <v>12</v>
      </c>
      <c r="E8405" s="908" t="s">
        <v>4065</v>
      </c>
      <c r="F8405" s="909" t="s">
        <v>2674</v>
      </c>
      <c r="G8405" s="910"/>
      <c r="H8405" s="911">
        <v>0.25</v>
      </c>
      <c r="I8405" s="912"/>
      <c r="J8405" s="912"/>
      <c r="K8405" s="912">
        <f>VLOOKUP(E8405,[5]ĐMNC!$A$7:$F$67,4,0)</f>
        <v>203703</v>
      </c>
      <c r="L8405" s="912">
        <f>H8405*K8405</f>
        <v>50925.75</v>
      </c>
      <c r="M8405" s="912"/>
      <c r="N8405" s="912"/>
      <c r="O8405" s="892">
        <f t="shared" si="660"/>
        <v>0</v>
      </c>
      <c r="P8405" s="903">
        <f t="shared" si="661"/>
        <v>1</v>
      </c>
      <c r="Q8405" s="893">
        <f>IF(P8405=0,0,P8405+Q8406)</f>
        <v>1</v>
      </c>
      <c r="R8405" s="894">
        <f>IF(Q8405=0,Q8406,0)</f>
        <v>0</v>
      </c>
    </row>
    <row r="8406" spans="1:18" s="847" customFormat="1">
      <c r="A8406" s="905"/>
      <c r="B8406" s="914" t="s">
        <v>6299</v>
      </c>
      <c r="C8406" s="915"/>
      <c r="D8406" s="915"/>
      <c r="E8406" s="929" t="s">
        <v>6300</v>
      </c>
      <c r="F8406" s="917" t="s">
        <v>51</v>
      </c>
      <c r="G8406" s="918"/>
      <c r="H8406" s="919"/>
      <c r="I8406" s="920"/>
      <c r="J8406" s="891">
        <f>SUM(J8407:J8408)</f>
        <v>0</v>
      </c>
      <c r="K8406" s="891"/>
      <c r="L8406" s="891">
        <f>SUM(L8407:L8408)</f>
        <v>10185.150000000001</v>
      </c>
      <c r="M8406" s="891"/>
      <c r="N8406" s="891">
        <f>SUM(N8407:N8408)</f>
        <v>0</v>
      </c>
      <c r="O8406" s="892">
        <f>IF(AND(B8406&lt;&gt;"",D8406=""),1,0)</f>
        <v>1</v>
      </c>
      <c r="P8406" s="903">
        <f>IF(O8406=0,1,0)</f>
        <v>0</v>
      </c>
      <c r="Q8406" s="893">
        <f>IF(P8406=0,0,P8406+#REF!)</f>
        <v>0</v>
      </c>
      <c r="R8406" s="894">
        <f t="shared" si="663"/>
        <v>2</v>
      </c>
    </row>
    <row r="8407" spans="1:18" s="904" customFormat="1">
      <c r="A8407" s="895"/>
      <c r="B8407" s="896"/>
      <c r="C8407" s="897"/>
      <c r="D8407" s="897"/>
      <c r="E8407" s="924" t="s">
        <v>276</v>
      </c>
      <c r="F8407" s="927"/>
      <c r="G8407" s="928"/>
      <c r="H8407" s="901"/>
      <c r="I8407" s="902"/>
      <c r="J8407" s="902"/>
      <c r="K8407" s="912" t="s">
        <v>274</v>
      </c>
      <c r="L8407" s="902"/>
      <c r="M8407" s="902"/>
      <c r="N8407" s="902"/>
      <c r="O8407" s="892">
        <f>IF(AND(B8407&lt;&gt;"",D8407=""),1,0)</f>
        <v>0</v>
      </c>
      <c r="P8407" s="903">
        <f>IF(O8407=0,1,0)</f>
        <v>1</v>
      </c>
      <c r="Q8407" s="893">
        <f>IF(P8407=0,0,P8407+Q8408)</f>
        <v>2</v>
      </c>
      <c r="R8407" s="894">
        <f>IF(Q8407=0,Q8408,0)</f>
        <v>0</v>
      </c>
    </row>
    <row r="8408" spans="1:18">
      <c r="A8408" s="905"/>
      <c r="B8408" s="906"/>
      <c r="C8408" s="907">
        <v>735</v>
      </c>
      <c r="D8408" s="907" t="s">
        <v>12</v>
      </c>
      <c r="E8408" s="908" t="s">
        <v>4065</v>
      </c>
      <c r="F8408" s="909" t="s">
        <v>2674</v>
      </c>
      <c r="G8408" s="910"/>
      <c r="H8408" s="911">
        <v>0.05</v>
      </c>
      <c r="I8408" s="912"/>
      <c r="J8408" s="912"/>
      <c r="K8408" s="912">
        <f>VLOOKUP(E8408,[5]ĐMNC!$A$7:$F$67,4,0)</f>
        <v>203703</v>
      </c>
      <c r="L8408" s="912">
        <f>H8408*K8408</f>
        <v>10185.150000000001</v>
      </c>
      <c r="M8408" s="912"/>
      <c r="N8408" s="912"/>
      <c r="O8408" s="892">
        <f>IF(AND(B8408&lt;&gt;"",D8408=""),1,0)</f>
        <v>0</v>
      </c>
      <c r="P8408" s="903">
        <f>IF(O8408=0,1,0)</f>
        <v>1</v>
      </c>
      <c r="Q8408" s="893">
        <f>IF(P8408=0,0,P8408+Q8409)</f>
        <v>1</v>
      </c>
      <c r="R8408" s="894">
        <f>IF(Q8408=0,Q8409,0)</f>
        <v>0</v>
      </c>
    </row>
    <row r="8409" spans="1:18" s="847" customFormat="1">
      <c r="A8409" s="905"/>
      <c r="B8409" s="914" t="s">
        <v>6301</v>
      </c>
      <c r="C8409" s="915"/>
      <c r="D8409" s="915"/>
      <c r="E8409" s="929" t="s">
        <v>6302</v>
      </c>
      <c r="F8409" s="917" t="s">
        <v>51</v>
      </c>
      <c r="G8409" s="918"/>
      <c r="H8409" s="919"/>
      <c r="I8409" s="920"/>
      <c r="J8409" s="891">
        <f>SUM(J8410:J8416)</f>
        <v>160000</v>
      </c>
      <c r="K8409" s="891"/>
      <c r="L8409" s="891">
        <f>SUM(L8410:L8416)</f>
        <v>28518.420000000002</v>
      </c>
      <c r="M8409" s="891"/>
      <c r="N8409" s="891">
        <f>SUM(N8410:N8416)</f>
        <v>5142.5999999999995</v>
      </c>
      <c r="O8409" s="892">
        <f t="shared" si="660"/>
        <v>1</v>
      </c>
      <c r="P8409" s="903">
        <f t="shared" si="661"/>
        <v>0</v>
      </c>
      <c r="Q8409" s="893">
        <f t="shared" si="662"/>
        <v>0</v>
      </c>
      <c r="R8409" s="894">
        <f t="shared" si="663"/>
        <v>7</v>
      </c>
    </row>
    <row r="8410" spans="1:18" s="904" customFormat="1">
      <c r="A8410" s="895"/>
      <c r="B8410" s="896"/>
      <c r="C8410" s="897"/>
      <c r="D8410" s="897"/>
      <c r="E8410" s="898" t="s">
        <v>108</v>
      </c>
      <c r="F8410" s="899"/>
      <c r="G8410" s="928"/>
      <c r="H8410" s="901"/>
      <c r="I8410" s="902"/>
      <c r="J8410" s="902"/>
      <c r="K8410" s="912" t="s">
        <v>274</v>
      </c>
      <c r="L8410" s="902"/>
      <c r="M8410" s="902"/>
      <c r="N8410" s="902"/>
      <c r="O8410" s="892">
        <f t="shared" si="660"/>
        <v>0</v>
      </c>
      <c r="P8410" s="903">
        <f t="shared" si="661"/>
        <v>1</v>
      </c>
      <c r="Q8410" s="893">
        <f t="shared" si="662"/>
        <v>7</v>
      </c>
      <c r="R8410" s="894">
        <f t="shared" si="663"/>
        <v>0</v>
      </c>
    </row>
    <row r="8411" spans="1:18">
      <c r="A8411" s="905"/>
      <c r="B8411" s="906"/>
      <c r="C8411" s="991">
        <v>141</v>
      </c>
      <c r="D8411" s="907" t="s">
        <v>279</v>
      </c>
      <c r="E8411" s="925" t="s">
        <v>6303</v>
      </c>
      <c r="F8411" s="909" t="s">
        <v>51</v>
      </c>
      <c r="G8411" s="910"/>
      <c r="H8411" s="911">
        <v>1</v>
      </c>
      <c r="I8411" s="912">
        <f>VLOOKUP(E8411,[3]VLP!$B$7:$K$300,10,0)</f>
        <v>150000</v>
      </c>
      <c r="J8411" s="912">
        <f>I8411*H8411</f>
        <v>150000</v>
      </c>
      <c r="K8411" s="912" t="s">
        <v>274</v>
      </c>
      <c r="L8411" s="912"/>
      <c r="M8411" s="912"/>
      <c r="N8411" s="912"/>
      <c r="O8411" s="892">
        <f t="shared" si="660"/>
        <v>0</v>
      </c>
      <c r="P8411" s="903">
        <f t="shared" si="661"/>
        <v>1</v>
      </c>
      <c r="Q8411" s="893">
        <f t="shared" si="662"/>
        <v>6</v>
      </c>
      <c r="R8411" s="894">
        <f t="shared" si="663"/>
        <v>0</v>
      </c>
    </row>
    <row r="8412" spans="1:18">
      <c r="A8412" s="905"/>
      <c r="B8412" s="906"/>
      <c r="C8412" s="907">
        <v>699</v>
      </c>
      <c r="D8412" s="907" t="s">
        <v>279</v>
      </c>
      <c r="E8412" s="925" t="s">
        <v>4006</v>
      </c>
      <c r="F8412" s="926" t="s">
        <v>4007</v>
      </c>
      <c r="G8412" s="910"/>
      <c r="H8412" s="911">
        <v>2</v>
      </c>
      <c r="I8412" s="912">
        <f>VLOOKUP(E8412,[3]VLP!$B$7:$K$300,10,0)</f>
        <v>5000</v>
      </c>
      <c r="J8412" s="912">
        <f>I8412*H8412</f>
        <v>10000</v>
      </c>
      <c r="K8412" s="912" t="s">
        <v>274</v>
      </c>
      <c r="L8412" s="912"/>
      <c r="M8412" s="912"/>
      <c r="N8412" s="912"/>
      <c r="O8412" s="892">
        <f t="shared" si="660"/>
        <v>0</v>
      </c>
      <c r="P8412" s="903">
        <f t="shared" si="661"/>
        <v>1</v>
      </c>
      <c r="Q8412" s="893">
        <f t="shared" si="662"/>
        <v>5</v>
      </c>
      <c r="R8412" s="894">
        <f t="shared" si="663"/>
        <v>0</v>
      </c>
    </row>
    <row r="8413" spans="1:18" s="904" customFormat="1">
      <c r="A8413" s="895"/>
      <c r="B8413" s="896"/>
      <c r="C8413" s="897"/>
      <c r="D8413" s="897"/>
      <c r="E8413" s="924" t="s">
        <v>276</v>
      </c>
      <c r="F8413" s="927"/>
      <c r="G8413" s="928"/>
      <c r="H8413" s="901"/>
      <c r="I8413" s="902"/>
      <c r="J8413" s="902"/>
      <c r="K8413" s="912" t="s">
        <v>274</v>
      </c>
      <c r="L8413" s="902"/>
      <c r="M8413" s="902"/>
      <c r="N8413" s="902"/>
      <c r="O8413" s="892">
        <f t="shared" si="660"/>
        <v>0</v>
      </c>
      <c r="P8413" s="903">
        <f t="shared" si="661"/>
        <v>1</v>
      </c>
      <c r="Q8413" s="893">
        <f t="shared" si="662"/>
        <v>4</v>
      </c>
      <c r="R8413" s="894">
        <f t="shared" si="663"/>
        <v>0</v>
      </c>
    </row>
    <row r="8414" spans="1:18">
      <c r="A8414" s="905"/>
      <c r="B8414" s="906"/>
      <c r="C8414" s="907">
        <v>735</v>
      </c>
      <c r="D8414" s="907" t="s">
        <v>12</v>
      </c>
      <c r="E8414" s="908" t="s">
        <v>4065</v>
      </c>
      <c r="F8414" s="909" t="s">
        <v>2674</v>
      </c>
      <c r="G8414" s="910"/>
      <c r="H8414" s="911">
        <v>0.14000000000000001</v>
      </c>
      <c r="I8414" s="912"/>
      <c r="J8414" s="912"/>
      <c r="K8414" s="912">
        <f>VLOOKUP(E8414,[5]ĐMNC!$A$7:$F$67,4,0)</f>
        <v>203703</v>
      </c>
      <c r="L8414" s="912">
        <f>H8414*K8414</f>
        <v>28518.420000000002</v>
      </c>
      <c r="M8414" s="912"/>
      <c r="N8414" s="912"/>
      <c r="O8414" s="892">
        <f t="shared" si="660"/>
        <v>0</v>
      </c>
      <c r="P8414" s="903">
        <f t="shared" si="661"/>
        <v>1</v>
      </c>
      <c r="Q8414" s="893">
        <f t="shared" si="662"/>
        <v>3</v>
      </c>
      <c r="R8414" s="894">
        <f t="shared" si="663"/>
        <v>0</v>
      </c>
    </row>
    <row r="8415" spans="1:18" s="904" customFormat="1">
      <c r="A8415" s="895"/>
      <c r="B8415" s="896"/>
      <c r="C8415" s="897"/>
      <c r="D8415" s="897"/>
      <c r="E8415" s="898" t="s">
        <v>3914</v>
      </c>
      <c r="F8415" s="899"/>
      <c r="G8415" s="928"/>
      <c r="H8415" s="901"/>
      <c r="I8415" s="902"/>
      <c r="J8415" s="902"/>
      <c r="K8415" s="912" t="s">
        <v>274</v>
      </c>
      <c r="L8415" s="902"/>
      <c r="M8415" s="902"/>
      <c r="N8415" s="902"/>
      <c r="O8415" s="892">
        <f t="shared" ref="O8415:O8478" si="664">IF(AND(B8415&lt;&gt;"",D8415=""),1,0)</f>
        <v>0</v>
      </c>
      <c r="P8415" s="903">
        <f t="shared" si="661"/>
        <v>1</v>
      </c>
      <c r="Q8415" s="893">
        <f t="shared" si="662"/>
        <v>2</v>
      </c>
      <c r="R8415" s="894">
        <f t="shared" si="663"/>
        <v>0</v>
      </c>
    </row>
    <row r="8416" spans="1:18">
      <c r="A8416" s="905"/>
      <c r="B8416" s="906" t="s">
        <v>6290</v>
      </c>
      <c r="C8416" s="907">
        <v>840</v>
      </c>
      <c r="D8416" s="907" t="s">
        <v>93</v>
      </c>
      <c r="E8416" s="908" t="s">
        <v>6291</v>
      </c>
      <c r="F8416" s="909" t="s">
        <v>2673</v>
      </c>
      <c r="G8416" s="910"/>
      <c r="H8416" s="911">
        <v>0.15</v>
      </c>
      <c r="I8416" s="912"/>
      <c r="J8416" s="912"/>
      <c r="K8416" s="912"/>
      <c r="L8416" s="912"/>
      <c r="M8416" s="912">
        <f>VLOOKUP(B8416,MTC!$B$9:$S$933,12,0)</f>
        <v>34284</v>
      </c>
      <c r="N8416" s="912">
        <f>M8416*H8416</f>
        <v>5142.5999999999995</v>
      </c>
      <c r="O8416" s="892">
        <f t="shared" si="664"/>
        <v>0</v>
      </c>
      <c r="P8416" s="903">
        <f t="shared" si="661"/>
        <v>1</v>
      </c>
      <c r="Q8416" s="893">
        <f t="shared" si="662"/>
        <v>1</v>
      </c>
      <c r="R8416" s="894">
        <f t="shared" si="663"/>
        <v>0</v>
      </c>
    </row>
    <row r="8417" spans="1:18" s="847" customFormat="1">
      <c r="A8417" s="905" t="s">
        <v>6304</v>
      </c>
      <c r="B8417" s="914" t="s">
        <v>2421</v>
      </c>
      <c r="C8417" s="915"/>
      <c r="D8417" s="915"/>
      <c r="E8417" s="929" t="s">
        <v>6305</v>
      </c>
      <c r="F8417" s="917" t="s">
        <v>51</v>
      </c>
      <c r="G8417" s="918"/>
      <c r="H8417" s="919"/>
      <c r="I8417" s="920"/>
      <c r="J8417" s="891">
        <f>SUM(J8418:J8424)</f>
        <v>260000</v>
      </c>
      <c r="K8417" s="891"/>
      <c r="L8417" s="891">
        <f>SUM(L8418:L8424)</f>
        <v>32592.48</v>
      </c>
      <c r="M8417" s="891"/>
      <c r="N8417" s="891">
        <f>SUM(N8418:N8424)</f>
        <v>5142.5999999999995</v>
      </c>
      <c r="O8417" s="892">
        <f t="shared" si="664"/>
        <v>1</v>
      </c>
      <c r="P8417" s="903">
        <f t="shared" si="661"/>
        <v>0</v>
      </c>
      <c r="Q8417" s="893">
        <f t="shared" si="662"/>
        <v>0</v>
      </c>
      <c r="R8417" s="894">
        <f t="shared" si="663"/>
        <v>7</v>
      </c>
    </row>
    <row r="8418" spans="1:18" s="904" customFormat="1">
      <c r="A8418" s="895"/>
      <c r="B8418" s="896"/>
      <c r="C8418" s="897"/>
      <c r="D8418" s="897"/>
      <c r="E8418" s="898" t="s">
        <v>108</v>
      </c>
      <c r="F8418" s="899"/>
      <c r="G8418" s="928"/>
      <c r="H8418" s="901"/>
      <c r="I8418" s="902"/>
      <c r="J8418" s="902"/>
      <c r="K8418" s="912" t="s">
        <v>274</v>
      </c>
      <c r="L8418" s="902"/>
      <c r="M8418" s="902"/>
      <c r="N8418" s="902"/>
      <c r="O8418" s="892">
        <f t="shared" si="664"/>
        <v>0</v>
      </c>
      <c r="P8418" s="903">
        <f t="shared" si="661"/>
        <v>1</v>
      </c>
      <c r="Q8418" s="893">
        <f t="shared" si="662"/>
        <v>7</v>
      </c>
      <c r="R8418" s="894">
        <f t="shared" si="663"/>
        <v>0</v>
      </c>
    </row>
    <row r="8419" spans="1:18">
      <c r="A8419" s="905"/>
      <c r="B8419" s="906"/>
      <c r="C8419" s="991">
        <v>142</v>
      </c>
      <c r="D8419" s="907" t="s">
        <v>279</v>
      </c>
      <c r="E8419" s="925" t="s">
        <v>6306</v>
      </c>
      <c r="F8419" s="909" t="s">
        <v>51</v>
      </c>
      <c r="G8419" s="910"/>
      <c r="H8419" s="911">
        <v>1</v>
      </c>
      <c r="I8419" s="912">
        <f>VLOOKUP(E8419,[3]VLP!$B$7:$K$300,10,0)</f>
        <v>250000</v>
      </c>
      <c r="J8419" s="912">
        <f>I8419*H8419</f>
        <v>250000</v>
      </c>
      <c r="K8419" s="912" t="s">
        <v>274</v>
      </c>
      <c r="L8419" s="912"/>
      <c r="M8419" s="912"/>
      <c r="N8419" s="912"/>
      <c r="O8419" s="892">
        <f t="shared" si="664"/>
        <v>0</v>
      </c>
      <c r="P8419" s="903">
        <f t="shared" si="661"/>
        <v>1</v>
      </c>
      <c r="Q8419" s="893">
        <f t="shared" si="662"/>
        <v>6</v>
      </c>
      <c r="R8419" s="894">
        <f t="shared" si="663"/>
        <v>0</v>
      </c>
    </row>
    <row r="8420" spans="1:18">
      <c r="A8420" s="905"/>
      <c r="B8420" s="906"/>
      <c r="C8420" s="907">
        <v>699</v>
      </c>
      <c r="D8420" s="907" t="s">
        <v>279</v>
      </c>
      <c r="E8420" s="925" t="s">
        <v>4006</v>
      </c>
      <c r="F8420" s="926" t="s">
        <v>4007</v>
      </c>
      <c r="G8420" s="910"/>
      <c r="H8420" s="911">
        <v>2</v>
      </c>
      <c r="I8420" s="912">
        <f>VLOOKUP(E8420,[3]VLP!$B$7:$K$300,10,0)</f>
        <v>5000</v>
      </c>
      <c r="J8420" s="912">
        <f>I8420*H8420</f>
        <v>10000</v>
      </c>
      <c r="K8420" s="912" t="s">
        <v>274</v>
      </c>
      <c r="L8420" s="912"/>
      <c r="M8420" s="912"/>
      <c r="N8420" s="912"/>
      <c r="O8420" s="892">
        <f t="shared" si="664"/>
        <v>0</v>
      </c>
      <c r="P8420" s="903">
        <f t="shared" si="661"/>
        <v>1</v>
      </c>
      <c r="Q8420" s="893">
        <f t="shared" si="662"/>
        <v>5</v>
      </c>
      <c r="R8420" s="894">
        <f t="shared" si="663"/>
        <v>0</v>
      </c>
    </row>
    <row r="8421" spans="1:18" s="904" customFormat="1">
      <c r="A8421" s="895"/>
      <c r="B8421" s="896"/>
      <c r="C8421" s="897"/>
      <c r="D8421" s="897"/>
      <c r="E8421" s="924" t="s">
        <v>276</v>
      </c>
      <c r="F8421" s="927"/>
      <c r="G8421" s="928"/>
      <c r="H8421" s="901"/>
      <c r="I8421" s="902"/>
      <c r="J8421" s="902"/>
      <c r="K8421" s="912" t="s">
        <v>274</v>
      </c>
      <c r="L8421" s="902"/>
      <c r="M8421" s="902"/>
      <c r="N8421" s="902"/>
      <c r="O8421" s="892">
        <f t="shared" si="664"/>
        <v>0</v>
      </c>
      <c r="P8421" s="903">
        <f t="shared" si="661"/>
        <v>1</v>
      </c>
      <c r="Q8421" s="893">
        <f t="shared" si="662"/>
        <v>4</v>
      </c>
      <c r="R8421" s="894">
        <f t="shared" si="663"/>
        <v>0</v>
      </c>
    </row>
    <row r="8422" spans="1:18">
      <c r="A8422" s="905"/>
      <c r="B8422" s="906"/>
      <c r="C8422" s="907">
        <v>735</v>
      </c>
      <c r="D8422" s="907" t="s">
        <v>12</v>
      </c>
      <c r="E8422" s="908" t="s">
        <v>4065</v>
      </c>
      <c r="F8422" s="909" t="s">
        <v>2674</v>
      </c>
      <c r="G8422" s="910"/>
      <c r="H8422" s="911">
        <v>0.16</v>
      </c>
      <c r="I8422" s="912"/>
      <c r="J8422" s="912"/>
      <c r="K8422" s="912">
        <f>VLOOKUP(E8422,[5]ĐMNC!$A$7:$F$67,4,0)</f>
        <v>203703</v>
      </c>
      <c r="L8422" s="912">
        <f>H8422*K8422</f>
        <v>32592.48</v>
      </c>
      <c r="M8422" s="912"/>
      <c r="N8422" s="912"/>
      <c r="O8422" s="892">
        <f t="shared" si="664"/>
        <v>0</v>
      </c>
      <c r="P8422" s="903">
        <f t="shared" si="661"/>
        <v>1</v>
      </c>
      <c r="Q8422" s="893">
        <f t="shared" si="662"/>
        <v>3</v>
      </c>
      <c r="R8422" s="894">
        <f t="shared" si="663"/>
        <v>0</v>
      </c>
    </row>
    <row r="8423" spans="1:18" s="904" customFormat="1">
      <c r="A8423" s="895"/>
      <c r="B8423" s="896"/>
      <c r="C8423" s="897"/>
      <c r="D8423" s="897"/>
      <c r="E8423" s="898" t="s">
        <v>3914</v>
      </c>
      <c r="F8423" s="899"/>
      <c r="G8423" s="928"/>
      <c r="H8423" s="901"/>
      <c r="I8423" s="902"/>
      <c r="J8423" s="902"/>
      <c r="K8423" s="912" t="s">
        <v>274</v>
      </c>
      <c r="L8423" s="902"/>
      <c r="M8423" s="902"/>
      <c r="N8423" s="902"/>
      <c r="O8423" s="892">
        <f t="shared" si="664"/>
        <v>0</v>
      </c>
      <c r="P8423" s="903">
        <f t="shared" si="661"/>
        <v>1</v>
      </c>
      <c r="Q8423" s="893">
        <f t="shared" si="662"/>
        <v>2</v>
      </c>
      <c r="R8423" s="894">
        <f t="shared" si="663"/>
        <v>0</v>
      </c>
    </row>
    <row r="8424" spans="1:18">
      <c r="A8424" s="905"/>
      <c r="B8424" s="906" t="s">
        <v>6290</v>
      </c>
      <c r="C8424" s="907">
        <v>840</v>
      </c>
      <c r="D8424" s="907" t="s">
        <v>93</v>
      </c>
      <c r="E8424" s="908" t="s">
        <v>6291</v>
      </c>
      <c r="F8424" s="909" t="s">
        <v>2673</v>
      </c>
      <c r="G8424" s="910"/>
      <c r="H8424" s="911">
        <v>0.15</v>
      </c>
      <c r="I8424" s="912"/>
      <c r="J8424" s="912"/>
      <c r="K8424" s="912"/>
      <c r="L8424" s="912"/>
      <c r="M8424" s="912">
        <f>VLOOKUP(B8424,MTC!$B$9:$S$933,12,0)</f>
        <v>34284</v>
      </c>
      <c r="N8424" s="912">
        <f>M8424*H8424</f>
        <v>5142.5999999999995</v>
      </c>
      <c r="O8424" s="892">
        <f t="shared" si="664"/>
        <v>0</v>
      </c>
      <c r="P8424" s="903">
        <f t="shared" si="661"/>
        <v>1</v>
      </c>
      <c r="Q8424" s="893">
        <f t="shared" si="662"/>
        <v>1</v>
      </c>
      <c r="R8424" s="894">
        <f t="shared" si="663"/>
        <v>0</v>
      </c>
    </row>
    <row r="8425" spans="1:18" s="847" customFormat="1">
      <c r="A8425" s="905" t="s">
        <v>6304</v>
      </c>
      <c r="B8425" s="914" t="s">
        <v>6307</v>
      </c>
      <c r="C8425" s="915"/>
      <c r="D8425" s="915"/>
      <c r="E8425" s="929" t="s">
        <v>6308</v>
      </c>
      <c r="F8425" s="917" t="s">
        <v>51</v>
      </c>
      <c r="G8425" s="918"/>
      <c r="H8425" s="919"/>
      <c r="I8425" s="920"/>
      <c r="J8425" s="891">
        <f>SUM(J8426:J8432)</f>
        <v>45000</v>
      </c>
      <c r="K8425" s="891"/>
      <c r="L8425" s="891">
        <f>SUM(L8426:L8432)</f>
        <v>32592.48</v>
      </c>
      <c r="M8425" s="891"/>
      <c r="N8425" s="891">
        <f>SUM(N8426:N8432)</f>
        <v>1714.2</v>
      </c>
      <c r="O8425" s="892">
        <f t="shared" si="664"/>
        <v>1</v>
      </c>
      <c r="P8425" s="903">
        <f t="shared" si="661"/>
        <v>0</v>
      </c>
      <c r="Q8425" s="893">
        <f t="shared" si="662"/>
        <v>0</v>
      </c>
      <c r="R8425" s="894">
        <f t="shared" si="663"/>
        <v>7</v>
      </c>
    </row>
    <row r="8426" spans="1:18" s="904" customFormat="1">
      <c r="A8426" s="895"/>
      <c r="B8426" s="896"/>
      <c r="C8426" s="897"/>
      <c r="D8426" s="897"/>
      <c r="E8426" s="898" t="s">
        <v>108</v>
      </c>
      <c r="F8426" s="899"/>
      <c r="G8426" s="928"/>
      <c r="H8426" s="901"/>
      <c r="I8426" s="902"/>
      <c r="J8426" s="902"/>
      <c r="K8426" s="912" t="s">
        <v>274</v>
      </c>
      <c r="L8426" s="902"/>
      <c r="M8426" s="902"/>
      <c r="N8426" s="902"/>
      <c r="O8426" s="892">
        <f t="shared" si="664"/>
        <v>0</v>
      </c>
      <c r="P8426" s="903">
        <f t="shared" si="661"/>
        <v>1</v>
      </c>
      <c r="Q8426" s="893">
        <f t="shared" si="662"/>
        <v>7</v>
      </c>
      <c r="R8426" s="894">
        <f t="shared" si="663"/>
        <v>0</v>
      </c>
    </row>
    <row r="8427" spans="1:18">
      <c r="A8427" s="905"/>
      <c r="B8427" s="906"/>
      <c r="C8427" s="991">
        <v>143</v>
      </c>
      <c r="D8427" s="907" t="s">
        <v>279</v>
      </c>
      <c r="E8427" s="925" t="s">
        <v>6309</v>
      </c>
      <c r="F8427" s="909" t="s">
        <v>51</v>
      </c>
      <c r="G8427" s="910"/>
      <c r="H8427" s="911">
        <v>1</v>
      </c>
      <c r="I8427" s="912">
        <f>VLOOKUP(E8427,[3]VLP!$B$7:$K$300,10,0)</f>
        <v>35000</v>
      </c>
      <c r="J8427" s="912">
        <f>I8427*H8427</f>
        <v>35000</v>
      </c>
      <c r="K8427" s="912" t="s">
        <v>274</v>
      </c>
      <c r="L8427" s="912"/>
      <c r="M8427" s="912"/>
      <c r="N8427" s="912"/>
      <c r="O8427" s="892">
        <f t="shared" si="664"/>
        <v>0</v>
      </c>
      <c r="P8427" s="903">
        <f t="shared" ref="P8427:P8498" si="665">IF(O8427=0,1,0)</f>
        <v>1</v>
      </c>
      <c r="Q8427" s="893">
        <f t="shared" ref="Q8427:Q8498" si="666">IF(P8427=0,0,P8427+Q8428)</f>
        <v>6</v>
      </c>
      <c r="R8427" s="894">
        <f t="shared" ref="R8427:R8498" si="667">IF(Q8427=0,Q8428,0)</f>
        <v>0</v>
      </c>
    </row>
    <row r="8428" spans="1:18">
      <c r="A8428" s="905"/>
      <c r="B8428" s="906"/>
      <c r="C8428" s="907">
        <v>699</v>
      </c>
      <c r="D8428" s="907" t="s">
        <v>279</v>
      </c>
      <c r="E8428" s="925" t="s">
        <v>4006</v>
      </c>
      <c r="F8428" s="926" t="s">
        <v>4007</v>
      </c>
      <c r="G8428" s="910"/>
      <c r="H8428" s="911">
        <v>2</v>
      </c>
      <c r="I8428" s="912">
        <f>VLOOKUP(E8428,[3]VLP!$B$7:$K$300,10,0)</f>
        <v>5000</v>
      </c>
      <c r="J8428" s="912">
        <f>I8428*H8428</f>
        <v>10000</v>
      </c>
      <c r="K8428" s="912" t="s">
        <v>274</v>
      </c>
      <c r="L8428" s="912"/>
      <c r="M8428" s="912"/>
      <c r="N8428" s="912"/>
      <c r="O8428" s="892">
        <f t="shared" si="664"/>
        <v>0</v>
      </c>
      <c r="P8428" s="903">
        <f t="shared" si="665"/>
        <v>1</v>
      </c>
      <c r="Q8428" s="893">
        <f t="shared" si="666"/>
        <v>5</v>
      </c>
      <c r="R8428" s="894">
        <f t="shared" si="667"/>
        <v>0</v>
      </c>
    </row>
    <row r="8429" spans="1:18" s="904" customFormat="1">
      <c r="A8429" s="895"/>
      <c r="B8429" s="896"/>
      <c r="C8429" s="897"/>
      <c r="D8429" s="897"/>
      <c r="E8429" s="924" t="s">
        <v>276</v>
      </c>
      <c r="F8429" s="927"/>
      <c r="G8429" s="928"/>
      <c r="H8429" s="901"/>
      <c r="I8429" s="902"/>
      <c r="J8429" s="902"/>
      <c r="K8429" s="912" t="s">
        <v>274</v>
      </c>
      <c r="L8429" s="902"/>
      <c r="M8429" s="902"/>
      <c r="N8429" s="902"/>
      <c r="O8429" s="892">
        <f t="shared" si="664"/>
        <v>0</v>
      </c>
      <c r="P8429" s="903">
        <f t="shared" si="665"/>
        <v>1</v>
      </c>
      <c r="Q8429" s="893">
        <f t="shared" si="666"/>
        <v>4</v>
      </c>
      <c r="R8429" s="894">
        <f t="shared" si="667"/>
        <v>0</v>
      </c>
    </row>
    <row r="8430" spans="1:18">
      <c r="A8430" s="905"/>
      <c r="B8430" s="906"/>
      <c r="C8430" s="907">
        <v>735</v>
      </c>
      <c r="D8430" s="907" t="s">
        <v>12</v>
      </c>
      <c r="E8430" s="908" t="s">
        <v>4065</v>
      </c>
      <c r="F8430" s="909" t="s">
        <v>2674</v>
      </c>
      <c r="G8430" s="910"/>
      <c r="H8430" s="911">
        <v>0.16</v>
      </c>
      <c r="I8430" s="912"/>
      <c r="J8430" s="912"/>
      <c r="K8430" s="912">
        <f>VLOOKUP(E8430,[5]ĐMNC!$A$7:$F$67,4,0)</f>
        <v>203703</v>
      </c>
      <c r="L8430" s="912">
        <f>H8430*K8430</f>
        <v>32592.48</v>
      </c>
      <c r="M8430" s="912"/>
      <c r="N8430" s="912"/>
      <c r="O8430" s="892">
        <f t="shared" si="664"/>
        <v>0</v>
      </c>
      <c r="P8430" s="903">
        <f t="shared" si="665"/>
        <v>1</v>
      </c>
      <c r="Q8430" s="893">
        <f t="shared" si="666"/>
        <v>3</v>
      </c>
      <c r="R8430" s="894">
        <f t="shared" si="667"/>
        <v>0</v>
      </c>
    </row>
    <row r="8431" spans="1:18" s="904" customFormat="1">
      <c r="A8431" s="895"/>
      <c r="B8431" s="896"/>
      <c r="C8431" s="897"/>
      <c r="D8431" s="897"/>
      <c r="E8431" s="898" t="s">
        <v>3914</v>
      </c>
      <c r="F8431" s="899"/>
      <c r="G8431" s="928"/>
      <c r="H8431" s="901"/>
      <c r="I8431" s="902"/>
      <c r="J8431" s="902"/>
      <c r="K8431" s="912" t="s">
        <v>274</v>
      </c>
      <c r="L8431" s="902"/>
      <c r="M8431" s="902"/>
      <c r="N8431" s="902"/>
      <c r="O8431" s="892">
        <f t="shared" si="664"/>
        <v>0</v>
      </c>
      <c r="P8431" s="903">
        <f t="shared" si="665"/>
        <v>1</v>
      </c>
      <c r="Q8431" s="893">
        <f t="shared" si="666"/>
        <v>2</v>
      </c>
      <c r="R8431" s="894">
        <f t="shared" si="667"/>
        <v>0</v>
      </c>
    </row>
    <row r="8432" spans="1:18">
      <c r="A8432" s="905"/>
      <c r="B8432" s="906" t="s">
        <v>6290</v>
      </c>
      <c r="C8432" s="907">
        <v>840</v>
      </c>
      <c r="D8432" s="907" t="s">
        <v>93</v>
      </c>
      <c r="E8432" s="908" t="s">
        <v>6291</v>
      </c>
      <c r="F8432" s="909" t="s">
        <v>2673</v>
      </c>
      <c r="G8432" s="910"/>
      <c r="H8432" s="911">
        <v>0.05</v>
      </c>
      <c r="I8432" s="912"/>
      <c r="J8432" s="912"/>
      <c r="K8432" s="912"/>
      <c r="L8432" s="912"/>
      <c r="M8432" s="912">
        <f>VLOOKUP(B8432,MTC!$B$9:$S$933,12,0)</f>
        <v>34284</v>
      </c>
      <c r="N8432" s="912">
        <f>M8432*H8432</f>
        <v>1714.2</v>
      </c>
      <c r="O8432" s="892">
        <f t="shared" si="664"/>
        <v>0</v>
      </c>
      <c r="P8432" s="903">
        <f t="shared" si="665"/>
        <v>1</v>
      </c>
      <c r="Q8432" s="893">
        <f>IF(P8432=0,0,P8432+Q8433)</f>
        <v>1</v>
      </c>
      <c r="R8432" s="894">
        <f>IF(Q8432=0,Q8433,0)</f>
        <v>0</v>
      </c>
    </row>
    <row r="8433" spans="1:18" s="847" customFormat="1">
      <c r="A8433" s="905" t="s">
        <v>6304</v>
      </c>
      <c r="B8433" s="914" t="s">
        <v>6310</v>
      </c>
      <c r="C8433" s="915"/>
      <c r="D8433" s="915"/>
      <c r="E8433" s="929" t="s">
        <v>6311</v>
      </c>
      <c r="F8433" s="917" t="s">
        <v>51</v>
      </c>
      <c r="G8433" s="918"/>
      <c r="H8433" s="919"/>
      <c r="I8433" s="920"/>
      <c r="J8433" s="891">
        <f>SUM(J8434:J8440)</f>
        <v>96126.37000000001</v>
      </c>
      <c r="K8433" s="891"/>
      <c r="L8433" s="891">
        <f>SUM(L8434:L8440)</f>
        <v>356480.25</v>
      </c>
      <c r="M8433" s="891"/>
      <c r="N8433" s="891">
        <f>SUM(N8434:N8440)</f>
        <v>0</v>
      </c>
      <c r="O8433" s="892">
        <f t="shared" si="664"/>
        <v>1</v>
      </c>
      <c r="P8433" s="903">
        <f t="shared" si="665"/>
        <v>0</v>
      </c>
      <c r="Q8433" s="893">
        <f>IF(P8433=0,0,P8433+Q8434)</f>
        <v>0</v>
      </c>
      <c r="R8433" s="894">
        <f>IF(Q8433=0,Q8434,0)</f>
        <v>2</v>
      </c>
    </row>
    <row r="8434" spans="1:18" s="904" customFormat="1">
      <c r="A8434" s="895"/>
      <c r="B8434" s="896"/>
      <c r="C8434" s="897"/>
      <c r="D8434" s="897"/>
      <c r="E8434" s="898" t="s">
        <v>108</v>
      </c>
      <c r="F8434" s="899"/>
      <c r="G8434" s="928"/>
      <c r="H8434" s="901"/>
      <c r="I8434" s="902"/>
      <c r="J8434" s="902"/>
      <c r="K8434" s="912" t="s">
        <v>274</v>
      </c>
      <c r="L8434" s="902"/>
      <c r="M8434" s="902"/>
      <c r="N8434" s="902"/>
      <c r="O8434" s="892">
        <f t="shared" si="664"/>
        <v>0</v>
      </c>
      <c r="P8434" s="903">
        <f t="shared" si="665"/>
        <v>1</v>
      </c>
      <c r="Q8434" s="893">
        <f t="shared" ref="Q8434:Q8439" si="668">IF(P8434=0,0,P8434+Q8435)</f>
        <v>2</v>
      </c>
      <c r="R8434" s="894">
        <f t="shared" ref="R8434:R8439" si="669">IF(Q8434=0,Q8435,0)</f>
        <v>0</v>
      </c>
    </row>
    <row r="8435" spans="1:18">
      <c r="A8435" s="905"/>
      <c r="B8435" s="906"/>
      <c r="C8435" s="991">
        <v>143</v>
      </c>
      <c r="D8435" s="907" t="s">
        <v>279</v>
      </c>
      <c r="E8435" s="992" t="s">
        <v>2681</v>
      </c>
      <c r="F8435" s="905" t="s">
        <v>45</v>
      </c>
      <c r="G8435" s="910"/>
      <c r="H8435" s="911">
        <v>0.28000000000000003</v>
      </c>
      <c r="I8435" s="912">
        <f>VLOOKUP(E8435,[3]VLP!$B$7:$K$300,10,0)</f>
        <v>23000</v>
      </c>
      <c r="J8435" s="912">
        <f>I8435*H8435</f>
        <v>6440.0000000000009</v>
      </c>
      <c r="K8435" s="912" t="s">
        <v>274</v>
      </c>
      <c r="L8435" s="912"/>
      <c r="M8435" s="912"/>
      <c r="N8435" s="912"/>
      <c r="O8435" s="892">
        <f t="shared" si="664"/>
        <v>0</v>
      </c>
      <c r="P8435" s="903">
        <f t="shared" si="665"/>
        <v>1</v>
      </c>
      <c r="Q8435" s="893">
        <f t="shared" si="668"/>
        <v>1</v>
      </c>
      <c r="R8435" s="894">
        <f t="shared" si="669"/>
        <v>0</v>
      </c>
    </row>
    <row r="8436" spans="1:18">
      <c r="A8436" s="905"/>
      <c r="B8436" s="906"/>
      <c r="C8436" s="991"/>
      <c r="D8436" s="907" t="s">
        <v>279</v>
      </c>
      <c r="E8436" s="992" t="s">
        <v>2682</v>
      </c>
      <c r="F8436" s="905" t="s">
        <v>45</v>
      </c>
      <c r="G8436" s="910"/>
      <c r="H8436" s="911">
        <v>0.21</v>
      </c>
      <c r="I8436" s="912">
        <f>VLOOKUP(E8436,[3]VLP!$B$7:$K$300,10,0)</f>
        <v>5000</v>
      </c>
      <c r="J8436" s="912">
        <f>I8436*H8436</f>
        <v>1050</v>
      </c>
      <c r="K8436" s="912"/>
      <c r="L8436" s="912"/>
      <c r="M8436" s="912"/>
      <c r="N8436" s="912"/>
      <c r="O8436" s="892"/>
      <c r="P8436" s="903"/>
      <c r="Q8436" s="893">
        <f t="shared" si="668"/>
        <v>0</v>
      </c>
      <c r="R8436" s="894">
        <f t="shared" si="669"/>
        <v>0</v>
      </c>
    </row>
    <row r="8437" spans="1:18">
      <c r="A8437" s="905"/>
      <c r="B8437" s="906"/>
      <c r="C8437" s="991"/>
      <c r="D8437" s="907" t="s">
        <v>279</v>
      </c>
      <c r="E8437" s="992" t="s">
        <v>6312</v>
      </c>
      <c r="F8437" s="905" t="s">
        <v>47</v>
      </c>
      <c r="G8437" s="910"/>
      <c r="H8437" s="911">
        <v>1.4E-2</v>
      </c>
      <c r="I8437" s="912">
        <f>VLOOKUP(E8437,[3]VLP!$B$7:$K$300,10,0)</f>
        <v>4545455</v>
      </c>
      <c r="J8437" s="912">
        <f>I8437*H8437</f>
        <v>63636.37</v>
      </c>
      <c r="K8437" s="912"/>
      <c r="L8437" s="912"/>
      <c r="M8437" s="912"/>
      <c r="N8437" s="912"/>
      <c r="O8437" s="892"/>
      <c r="P8437" s="903"/>
      <c r="Q8437" s="893">
        <f t="shared" si="668"/>
        <v>0</v>
      </c>
      <c r="R8437" s="894">
        <f t="shared" si="669"/>
        <v>3</v>
      </c>
    </row>
    <row r="8438" spans="1:18">
      <c r="A8438" s="905"/>
      <c r="B8438" s="906"/>
      <c r="C8438" s="907">
        <v>699</v>
      </c>
      <c r="D8438" s="907" t="s">
        <v>279</v>
      </c>
      <c r="E8438" s="925" t="s">
        <v>4006</v>
      </c>
      <c r="F8438" s="926" t="s">
        <v>4007</v>
      </c>
      <c r="G8438" s="910"/>
      <c r="H8438" s="911">
        <v>5</v>
      </c>
      <c r="I8438" s="912">
        <f>VLOOKUP(E8438,[3]VLP!$B$7:$K$300,10,0)</f>
        <v>5000</v>
      </c>
      <c r="J8438" s="912">
        <f>I8438*H8438</f>
        <v>25000</v>
      </c>
      <c r="K8438" s="912" t="s">
        <v>274</v>
      </c>
      <c r="L8438" s="912"/>
      <c r="M8438" s="912"/>
      <c r="N8438" s="912"/>
      <c r="O8438" s="892">
        <f t="shared" si="664"/>
        <v>0</v>
      </c>
      <c r="P8438" s="903">
        <f t="shared" si="665"/>
        <v>1</v>
      </c>
      <c r="Q8438" s="893">
        <f t="shared" si="668"/>
        <v>3</v>
      </c>
      <c r="R8438" s="894">
        <f t="shared" si="669"/>
        <v>0</v>
      </c>
    </row>
    <row r="8439" spans="1:18" s="904" customFormat="1">
      <c r="A8439" s="895"/>
      <c r="B8439" s="896"/>
      <c r="C8439" s="897"/>
      <c r="D8439" s="897"/>
      <c r="E8439" s="924" t="s">
        <v>276</v>
      </c>
      <c r="F8439" s="927"/>
      <c r="G8439" s="928"/>
      <c r="H8439" s="901"/>
      <c r="I8439" s="902"/>
      <c r="J8439" s="902"/>
      <c r="K8439" s="912" t="s">
        <v>274</v>
      </c>
      <c r="L8439" s="902"/>
      <c r="M8439" s="902"/>
      <c r="N8439" s="902"/>
      <c r="O8439" s="892">
        <f t="shared" si="664"/>
        <v>0</v>
      </c>
      <c r="P8439" s="903">
        <f t="shared" si="665"/>
        <v>1</v>
      </c>
      <c r="Q8439" s="893">
        <f t="shared" si="668"/>
        <v>2</v>
      </c>
      <c r="R8439" s="894">
        <f t="shared" si="669"/>
        <v>0</v>
      </c>
    </row>
    <row r="8440" spans="1:18">
      <c r="A8440" s="905"/>
      <c r="B8440" s="906"/>
      <c r="C8440" s="907">
        <v>735</v>
      </c>
      <c r="D8440" s="907" t="s">
        <v>12</v>
      </c>
      <c r="E8440" s="908" t="s">
        <v>4065</v>
      </c>
      <c r="F8440" s="909" t="s">
        <v>2674</v>
      </c>
      <c r="G8440" s="910"/>
      <c r="H8440" s="911">
        <v>1.75</v>
      </c>
      <c r="I8440" s="912"/>
      <c r="J8440" s="912"/>
      <c r="K8440" s="912">
        <f>VLOOKUP(E8440,[5]ĐMNC!$A$7:$F$67,4,0)</f>
        <v>203703</v>
      </c>
      <c r="L8440" s="912">
        <f>H8440*K8440</f>
        <v>356480.25</v>
      </c>
      <c r="M8440" s="912"/>
      <c r="N8440" s="912"/>
      <c r="O8440" s="892">
        <f t="shared" si="664"/>
        <v>0</v>
      </c>
      <c r="P8440" s="903">
        <f t="shared" si="665"/>
        <v>1</v>
      </c>
      <c r="Q8440" s="893">
        <f>IF(P8440=0,0,P8440+Q8441)</f>
        <v>1</v>
      </c>
      <c r="R8440" s="894">
        <f>IF(Q8440=0,Q8441,0)</f>
        <v>0</v>
      </c>
    </row>
    <row r="8441" spans="1:18" s="847" customFormat="1">
      <c r="A8441" s="993" t="s">
        <v>6313</v>
      </c>
      <c r="B8441" s="994" t="s">
        <v>6314</v>
      </c>
      <c r="C8441" s="995"/>
      <c r="D8441" s="995"/>
      <c r="E8441" s="996" t="s">
        <v>6315</v>
      </c>
      <c r="F8441" s="764" t="s">
        <v>160</v>
      </c>
      <c r="G8441" s="997"/>
      <c r="H8441" s="998"/>
      <c r="I8441" s="999"/>
      <c r="J8441" s="1000">
        <f>SUM(J8442:J8459)</f>
        <v>3293275.5</v>
      </c>
      <c r="K8441" s="912" t="s">
        <v>274</v>
      </c>
      <c r="L8441" s="1000">
        <f>SUM(L8442:L8459)</f>
        <v>180177193</v>
      </c>
      <c r="M8441" s="1001"/>
      <c r="N8441" s="1000">
        <f>SUM(N8442:N8459)</f>
        <v>8351599.0800000001</v>
      </c>
      <c r="O8441" s="892">
        <f t="shared" si="664"/>
        <v>1</v>
      </c>
      <c r="P8441" s="903">
        <f t="shared" si="665"/>
        <v>0</v>
      </c>
      <c r="Q8441" s="893">
        <f t="shared" si="666"/>
        <v>0</v>
      </c>
      <c r="R8441" s="894">
        <f t="shared" si="667"/>
        <v>18</v>
      </c>
    </row>
    <row r="8442" spans="1:18" s="904" customFormat="1">
      <c r="A8442" s="895"/>
      <c r="B8442" s="922"/>
      <c r="C8442" s="897"/>
      <c r="D8442" s="897"/>
      <c r="E8442" s="1002" t="s">
        <v>108</v>
      </c>
      <c r="F8442" s="1003"/>
      <c r="G8442" s="1004"/>
      <c r="H8442" s="901"/>
      <c r="I8442" s="902"/>
      <c r="J8442" s="902"/>
      <c r="K8442" s="912" t="s">
        <v>274</v>
      </c>
      <c r="L8442" s="902"/>
      <c r="M8442" s="902"/>
      <c r="N8442" s="902"/>
      <c r="O8442" s="892">
        <f t="shared" si="664"/>
        <v>0</v>
      </c>
      <c r="P8442" s="903">
        <f t="shared" si="665"/>
        <v>1</v>
      </c>
      <c r="Q8442" s="893">
        <f t="shared" si="666"/>
        <v>18</v>
      </c>
      <c r="R8442" s="894">
        <f t="shared" si="667"/>
        <v>0</v>
      </c>
    </row>
    <row r="8443" spans="1:18">
      <c r="A8443" s="905"/>
      <c r="B8443" s="946"/>
      <c r="C8443" s="907">
        <v>212</v>
      </c>
      <c r="D8443" s="907" t="s">
        <v>279</v>
      </c>
      <c r="E8443" s="992" t="s">
        <v>2681</v>
      </c>
      <c r="F8443" s="905" t="s">
        <v>45</v>
      </c>
      <c r="G8443" s="1005"/>
      <c r="H8443" s="911">
        <v>2.1</v>
      </c>
      <c r="I8443" s="912">
        <f>VLOOKUP(E8443,[3]VLP!$B$7:$K$300,10,0)</f>
        <v>23000</v>
      </c>
      <c r="J8443" s="912">
        <f t="shared" ref="J8443:J8454" si="670">I8443*H8443</f>
        <v>48300</v>
      </c>
      <c r="K8443" s="912" t="s">
        <v>274</v>
      </c>
      <c r="L8443" s="912"/>
      <c r="M8443" s="912"/>
      <c r="N8443" s="912"/>
      <c r="O8443" s="892">
        <f t="shared" si="664"/>
        <v>0</v>
      </c>
      <c r="P8443" s="903">
        <f t="shared" si="665"/>
        <v>1</v>
      </c>
      <c r="Q8443" s="893">
        <f t="shared" si="666"/>
        <v>17</v>
      </c>
      <c r="R8443" s="894">
        <f t="shared" si="667"/>
        <v>0</v>
      </c>
    </row>
    <row r="8444" spans="1:18" s="847" customFormat="1">
      <c r="A8444" s="905"/>
      <c r="B8444" s="946"/>
      <c r="C8444" s="907">
        <v>289</v>
      </c>
      <c r="D8444" s="907" t="s">
        <v>279</v>
      </c>
      <c r="E8444" s="992" t="s">
        <v>3147</v>
      </c>
      <c r="F8444" s="905" t="s">
        <v>45</v>
      </c>
      <c r="G8444" s="1005"/>
      <c r="H8444" s="911">
        <v>1.2</v>
      </c>
      <c r="I8444" s="912">
        <f>VLOOKUP(E8444,[3]VLP!$B$7:$K$300,10,0)</f>
        <v>45000</v>
      </c>
      <c r="J8444" s="912">
        <f t="shared" si="670"/>
        <v>54000</v>
      </c>
      <c r="K8444" s="912" t="s">
        <v>274</v>
      </c>
      <c r="L8444" s="912"/>
      <c r="M8444" s="912"/>
      <c r="N8444" s="912"/>
      <c r="O8444" s="892">
        <f t="shared" si="664"/>
        <v>0</v>
      </c>
      <c r="P8444" s="903">
        <f t="shared" si="665"/>
        <v>1</v>
      </c>
      <c r="Q8444" s="893">
        <f t="shared" si="666"/>
        <v>16</v>
      </c>
      <c r="R8444" s="894">
        <f t="shared" si="667"/>
        <v>0</v>
      </c>
    </row>
    <row r="8445" spans="1:18" s="904" customFormat="1">
      <c r="A8445" s="905"/>
      <c r="B8445" s="946"/>
      <c r="C8445" s="907">
        <v>318</v>
      </c>
      <c r="D8445" s="907" t="s">
        <v>279</v>
      </c>
      <c r="E8445" s="992" t="s">
        <v>5657</v>
      </c>
      <c r="F8445" s="905" t="s">
        <v>45</v>
      </c>
      <c r="G8445" s="1005"/>
      <c r="H8445" s="911">
        <v>12.7</v>
      </c>
      <c r="I8445" s="912">
        <f>VLOOKUP(E8445,[3]VLP!$B$7:$K$300,10,0)</f>
        <v>25155</v>
      </c>
      <c r="J8445" s="912">
        <f t="shared" si="670"/>
        <v>319468.5</v>
      </c>
      <c r="K8445" s="912" t="s">
        <v>274</v>
      </c>
      <c r="L8445" s="912"/>
      <c r="M8445" s="912"/>
      <c r="N8445" s="912"/>
      <c r="O8445" s="892">
        <f t="shared" si="664"/>
        <v>0</v>
      </c>
      <c r="P8445" s="903">
        <f t="shared" si="665"/>
        <v>1</v>
      </c>
      <c r="Q8445" s="893">
        <f t="shared" si="666"/>
        <v>15</v>
      </c>
      <c r="R8445" s="894">
        <f t="shared" si="667"/>
        <v>0</v>
      </c>
    </row>
    <row r="8446" spans="1:18">
      <c r="A8446" s="905"/>
      <c r="B8446" s="946"/>
      <c r="C8446" s="907">
        <v>234</v>
      </c>
      <c r="D8446" s="907" t="s">
        <v>279</v>
      </c>
      <c r="E8446" s="992" t="s">
        <v>5983</v>
      </c>
      <c r="F8446" s="905" t="s">
        <v>3144</v>
      </c>
      <c r="G8446" s="1005"/>
      <c r="H8446" s="911">
        <v>13.4</v>
      </c>
      <c r="I8446" s="912">
        <f>VLOOKUP(E8446,[3]VLP!$B$7:$K$300,10,0)</f>
        <v>14000</v>
      </c>
      <c r="J8446" s="912">
        <f t="shared" si="670"/>
        <v>187600</v>
      </c>
      <c r="K8446" s="912" t="s">
        <v>274</v>
      </c>
      <c r="L8446" s="912"/>
      <c r="M8446" s="912"/>
      <c r="N8446" s="912"/>
      <c r="O8446" s="892">
        <f t="shared" si="664"/>
        <v>0</v>
      </c>
      <c r="P8446" s="903">
        <f t="shared" si="665"/>
        <v>1</v>
      </c>
      <c r="Q8446" s="893">
        <f t="shared" si="666"/>
        <v>14</v>
      </c>
      <c r="R8446" s="894">
        <f t="shared" si="667"/>
        <v>0</v>
      </c>
    </row>
    <row r="8447" spans="1:18" s="847" customFormat="1">
      <c r="A8447" s="905"/>
      <c r="B8447" s="946"/>
      <c r="C8447" s="907">
        <v>314</v>
      </c>
      <c r="D8447" s="907" t="s">
        <v>279</v>
      </c>
      <c r="E8447" s="992" t="s">
        <v>3148</v>
      </c>
      <c r="F8447" s="905" t="s">
        <v>2690</v>
      </c>
      <c r="G8447" s="1005"/>
      <c r="H8447" s="911">
        <v>57</v>
      </c>
      <c r="I8447" s="912">
        <f>VLOOKUP(E8447,[3]VLP!$B$7:$K$300,10,0)</f>
        <v>10000</v>
      </c>
      <c r="J8447" s="912">
        <f t="shared" si="670"/>
        <v>570000</v>
      </c>
      <c r="K8447" s="912" t="s">
        <v>274</v>
      </c>
      <c r="L8447" s="912"/>
      <c r="M8447" s="912"/>
      <c r="N8447" s="912"/>
      <c r="O8447" s="892">
        <f t="shared" si="664"/>
        <v>0</v>
      </c>
      <c r="P8447" s="903">
        <f t="shared" si="665"/>
        <v>1</v>
      </c>
      <c r="Q8447" s="893">
        <f t="shared" si="666"/>
        <v>13</v>
      </c>
      <c r="R8447" s="894">
        <f t="shared" si="667"/>
        <v>0</v>
      </c>
    </row>
    <row r="8448" spans="1:18" s="904" customFormat="1">
      <c r="A8448" s="905"/>
      <c r="B8448" s="946"/>
      <c r="C8448" s="907">
        <v>315</v>
      </c>
      <c r="D8448" s="907" t="s">
        <v>279</v>
      </c>
      <c r="E8448" s="992" t="s">
        <v>6316</v>
      </c>
      <c r="F8448" s="905" t="s">
        <v>49</v>
      </c>
      <c r="G8448" s="1005"/>
      <c r="H8448" s="911">
        <v>9.6</v>
      </c>
      <c r="I8448" s="912">
        <f>VLOOKUP(E8448,[3]VLP!$B$7:$K$300,10,0)</f>
        <v>8000</v>
      </c>
      <c r="J8448" s="912">
        <f t="shared" si="670"/>
        <v>76800</v>
      </c>
      <c r="K8448" s="912" t="s">
        <v>274</v>
      </c>
      <c r="L8448" s="912"/>
      <c r="M8448" s="912"/>
      <c r="N8448" s="912"/>
      <c r="O8448" s="892">
        <f t="shared" si="664"/>
        <v>0</v>
      </c>
      <c r="P8448" s="903">
        <f t="shared" si="665"/>
        <v>1</v>
      </c>
      <c r="Q8448" s="893">
        <f t="shared" si="666"/>
        <v>12</v>
      </c>
      <c r="R8448" s="894">
        <f t="shared" si="667"/>
        <v>0</v>
      </c>
    </row>
    <row r="8449" spans="1:18">
      <c r="A8449" s="905"/>
      <c r="B8449" s="946"/>
      <c r="C8449" s="907">
        <v>309</v>
      </c>
      <c r="D8449" s="907" t="s">
        <v>279</v>
      </c>
      <c r="E8449" s="992" t="s">
        <v>3262</v>
      </c>
      <c r="F8449" s="905" t="s">
        <v>45</v>
      </c>
      <c r="G8449" s="1005"/>
      <c r="H8449" s="911">
        <v>1.2</v>
      </c>
      <c r="I8449" s="912">
        <f>VLOOKUP(E8449,[3]VLP!$B$7:$K$300,10,0)</f>
        <v>66300</v>
      </c>
      <c r="J8449" s="912">
        <f t="shared" si="670"/>
        <v>79560</v>
      </c>
      <c r="K8449" s="912" t="s">
        <v>274</v>
      </c>
      <c r="L8449" s="912"/>
      <c r="M8449" s="912"/>
      <c r="N8449" s="912"/>
      <c r="O8449" s="892">
        <f t="shared" si="664"/>
        <v>0</v>
      </c>
      <c r="P8449" s="903">
        <f t="shared" si="665"/>
        <v>1</v>
      </c>
      <c r="Q8449" s="893">
        <f t="shared" si="666"/>
        <v>11</v>
      </c>
      <c r="R8449" s="894">
        <f t="shared" si="667"/>
        <v>0</v>
      </c>
    </row>
    <row r="8450" spans="1:18" s="847" customFormat="1">
      <c r="A8450" s="905"/>
      <c r="B8450" s="946"/>
      <c r="C8450" s="907">
        <v>321</v>
      </c>
      <c r="D8450" s="907" t="s">
        <v>279</v>
      </c>
      <c r="E8450" s="992" t="s">
        <v>6317</v>
      </c>
      <c r="F8450" s="905" t="s">
        <v>45</v>
      </c>
      <c r="G8450" s="1005"/>
      <c r="H8450" s="911">
        <v>3.2</v>
      </c>
      <c r="I8450" s="912">
        <f>VLOOKUP(E8450,[3]VLP!$B$7:$K$300,10,0)</f>
        <v>38182</v>
      </c>
      <c r="J8450" s="912">
        <f t="shared" si="670"/>
        <v>122182.40000000001</v>
      </c>
      <c r="K8450" s="912" t="s">
        <v>274</v>
      </c>
      <c r="L8450" s="912"/>
      <c r="M8450" s="912"/>
      <c r="N8450" s="912"/>
      <c r="O8450" s="892">
        <f t="shared" si="664"/>
        <v>0</v>
      </c>
      <c r="P8450" s="903">
        <f t="shared" si="665"/>
        <v>1</v>
      </c>
      <c r="Q8450" s="893">
        <f t="shared" si="666"/>
        <v>10</v>
      </c>
      <c r="R8450" s="894">
        <f t="shared" si="667"/>
        <v>0</v>
      </c>
    </row>
    <row r="8451" spans="1:18" s="904" customFormat="1">
      <c r="A8451" s="905"/>
      <c r="B8451" s="946"/>
      <c r="C8451" s="907">
        <v>230</v>
      </c>
      <c r="D8451" s="907" t="s">
        <v>279</v>
      </c>
      <c r="E8451" s="992" t="s">
        <v>6318</v>
      </c>
      <c r="F8451" s="905" t="s">
        <v>45</v>
      </c>
      <c r="G8451" s="1005"/>
      <c r="H8451" s="911">
        <v>8.4</v>
      </c>
      <c r="I8451" s="912">
        <f>VLOOKUP(E8451,[3]VLP!$B$7:$K$300,10,0)</f>
        <v>14762</v>
      </c>
      <c r="J8451" s="912">
        <f t="shared" si="670"/>
        <v>124000.8</v>
      </c>
      <c r="K8451" s="912" t="s">
        <v>274</v>
      </c>
      <c r="L8451" s="912"/>
      <c r="M8451" s="912"/>
      <c r="N8451" s="912"/>
      <c r="O8451" s="892">
        <f t="shared" si="664"/>
        <v>0</v>
      </c>
      <c r="P8451" s="903">
        <f t="shared" si="665"/>
        <v>1</v>
      </c>
      <c r="Q8451" s="893">
        <f t="shared" si="666"/>
        <v>9</v>
      </c>
      <c r="R8451" s="894">
        <f t="shared" si="667"/>
        <v>0</v>
      </c>
    </row>
    <row r="8452" spans="1:18">
      <c r="A8452" s="905"/>
      <c r="B8452" s="946"/>
      <c r="C8452" s="907">
        <v>235</v>
      </c>
      <c r="D8452" s="907" t="s">
        <v>279</v>
      </c>
      <c r="E8452" s="992" t="s">
        <v>2682</v>
      </c>
      <c r="F8452" s="905" t="s">
        <v>45</v>
      </c>
      <c r="G8452" s="1005"/>
      <c r="H8452" s="911">
        <v>10</v>
      </c>
      <c r="I8452" s="912">
        <f>VLOOKUP(E8452,[3]VLP!$B$7:$K$300,10,0)</f>
        <v>5000</v>
      </c>
      <c r="J8452" s="912">
        <f t="shared" si="670"/>
        <v>50000</v>
      </c>
      <c r="K8452" s="912" t="s">
        <v>274</v>
      </c>
      <c r="L8452" s="912"/>
      <c r="M8452" s="912"/>
      <c r="N8452" s="912"/>
      <c r="O8452" s="892">
        <f t="shared" si="664"/>
        <v>0</v>
      </c>
      <c r="P8452" s="903">
        <f t="shared" si="665"/>
        <v>1</v>
      </c>
      <c r="Q8452" s="893">
        <f t="shared" si="666"/>
        <v>8</v>
      </c>
      <c r="R8452" s="894">
        <f t="shared" si="667"/>
        <v>0</v>
      </c>
    </row>
    <row r="8453" spans="1:18" s="847" customFormat="1">
      <c r="A8453" s="905"/>
      <c r="B8453" s="946"/>
      <c r="C8453" s="907">
        <v>237</v>
      </c>
      <c r="D8453" s="907" t="s">
        <v>279</v>
      </c>
      <c r="E8453" s="992" t="s">
        <v>6312</v>
      </c>
      <c r="F8453" s="905" t="s">
        <v>47</v>
      </c>
      <c r="G8453" s="1005"/>
      <c r="H8453" s="911">
        <v>0.36</v>
      </c>
      <c r="I8453" s="912">
        <f>VLOOKUP(E8453,[3]VLP!$B$7:$K$300,10,0)</f>
        <v>4545455</v>
      </c>
      <c r="J8453" s="912">
        <f t="shared" si="670"/>
        <v>1636363.8</v>
      </c>
      <c r="K8453" s="912" t="s">
        <v>274</v>
      </c>
      <c r="L8453" s="912"/>
      <c r="M8453" s="912"/>
      <c r="N8453" s="912"/>
      <c r="O8453" s="892">
        <f t="shared" si="664"/>
        <v>0</v>
      </c>
      <c r="P8453" s="903">
        <f t="shared" si="665"/>
        <v>1</v>
      </c>
      <c r="Q8453" s="893">
        <f t="shared" si="666"/>
        <v>7</v>
      </c>
      <c r="R8453" s="894">
        <f t="shared" si="667"/>
        <v>0</v>
      </c>
    </row>
    <row r="8454" spans="1:18" s="904" customFormat="1">
      <c r="A8454" s="905"/>
      <c r="B8454" s="946"/>
      <c r="C8454" s="907">
        <v>699</v>
      </c>
      <c r="D8454" s="907" t="s">
        <v>279</v>
      </c>
      <c r="E8454" s="992" t="s">
        <v>4006</v>
      </c>
      <c r="F8454" s="905" t="s">
        <v>4007</v>
      </c>
      <c r="G8454" s="1005"/>
      <c r="H8454" s="911">
        <v>5</v>
      </c>
      <c r="I8454" s="912">
        <f>VLOOKUP(E8454,[3]VLP!$B$7:$K$300,10,0)</f>
        <v>5000</v>
      </c>
      <c r="J8454" s="912">
        <f t="shared" si="670"/>
        <v>25000</v>
      </c>
      <c r="K8454" s="912" t="s">
        <v>274</v>
      </c>
      <c r="L8454" s="912"/>
      <c r="M8454" s="912"/>
      <c r="N8454" s="912"/>
      <c r="O8454" s="892">
        <f t="shared" si="664"/>
        <v>0</v>
      </c>
      <c r="P8454" s="903">
        <f t="shared" si="665"/>
        <v>1</v>
      </c>
      <c r="Q8454" s="893">
        <f t="shared" si="666"/>
        <v>6</v>
      </c>
      <c r="R8454" s="894">
        <f t="shared" si="667"/>
        <v>0</v>
      </c>
    </row>
    <row r="8455" spans="1:18">
      <c r="A8455" s="895"/>
      <c r="B8455" s="922"/>
      <c r="C8455" s="897"/>
      <c r="D8455" s="897"/>
      <c r="E8455" s="1002" t="s">
        <v>276</v>
      </c>
      <c r="F8455" s="1003"/>
      <c r="G8455" s="1004"/>
      <c r="H8455" s="901"/>
      <c r="I8455" s="902"/>
      <c r="J8455" s="902"/>
      <c r="K8455" s="912" t="s">
        <v>274</v>
      </c>
      <c r="L8455" s="902"/>
      <c r="M8455" s="902"/>
      <c r="N8455" s="902"/>
      <c r="O8455" s="892">
        <f t="shared" si="664"/>
        <v>0</v>
      </c>
      <c r="P8455" s="903">
        <f t="shared" si="665"/>
        <v>1</v>
      </c>
      <c r="Q8455" s="893">
        <f t="shared" si="666"/>
        <v>5</v>
      </c>
      <c r="R8455" s="894">
        <f t="shared" si="667"/>
        <v>0</v>
      </c>
    </row>
    <row r="8456" spans="1:18" s="847" customFormat="1">
      <c r="A8456" s="905"/>
      <c r="B8456" s="946"/>
      <c r="C8456" s="907">
        <v>745</v>
      </c>
      <c r="D8456" s="907" t="s">
        <v>12</v>
      </c>
      <c r="E8456" s="992" t="s">
        <v>5518</v>
      </c>
      <c r="F8456" s="905" t="s">
        <v>2674</v>
      </c>
      <c r="G8456" s="1005"/>
      <c r="H8456" s="911">
        <v>749</v>
      </c>
      <c r="I8456" s="912"/>
      <c r="J8456" s="912"/>
      <c r="K8456" s="912">
        <f>VLOOKUP(E8456,[5]ĐMNC!$A$7:$F$67,4,0)</f>
        <v>240557</v>
      </c>
      <c r="L8456" s="912">
        <f>H8456*K8456</f>
        <v>180177193</v>
      </c>
      <c r="M8456" s="912"/>
      <c r="N8456" s="912"/>
      <c r="O8456" s="892">
        <f t="shared" si="664"/>
        <v>0</v>
      </c>
      <c r="P8456" s="903">
        <f t="shared" si="665"/>
        <v>1</v>
      </c>
      <c r="Q8456" s="893">
        <f t="shared" si="666"/>
        <v>4</v>
      </c>
      <c r="R8456" s="894">
        <f t="shared" si="667"/>
        <v>0</v>
      </c>
    </row>
    <row r="8457" spans="1:18" s="904" customFormat="1">
      <c r="A8457" s="895"/>
      <c r="B8457" s="922"/>
      <c r="C8457" s="897"/>
      <c r="D8457" s="897"/>
      <c r="E8457" s="1002" t="s">
        <v>3914</v>
      </c>
      <c r="F8457" s="1003"/>
      <c r="G8457" s="1004"/>
      <c r="H8457" s="901"/>
      <c r="I8457" s="902"/>
      <c r="J8457" s="902"/>
      <c r="K8457" s="912" t="s">
        <v>274</v>
      </c>
      <c r="L8457" s="902"/>
      <c r="M8457" s="902"/>
      <c r="N8457" s="902"/>
      <c r="O8457" s="892">
        <f t="shared" si="664"/>
        <v>0</v>
      </c>
      <c r="P8457" s="903">
        <f t="shared" si="665"/>
        <v>1</v>
      </c>
      <c r="Q8457" s="893">
        <f t="shared" si="666"/>
        <v>3</v>
      </c>
      <c r="R8457" s="894">
        <f t="shared" si="667"/>
        <v>0</v>
      </c>
    </row>
    <row r="8458" spans="1:18">
      <c r="A8458" s="905"/>
      <c r="B8458" s="946" t="s">
        <v>6319</v>
      </c>
      <c r="C8458" s="907">
        <v>903</v>
      </c>
      <c r="D8458" s="907" t="s">
        <v>93</v>
      </c>
      <c r="E8458" s="992" t="s">
        <v>6320</v>
      </c>
      <c r="F8458" s="905" t="s">
        <v>2673</v>
      </c>
      <c r="G8458" s="1005"/>
      <c r="H8458" s="911">
        <v>2.4500000000000002</v>
      </c>
      <c r="I8458" s="912"/>
      <c r="J8458" s="912"/>
      <c r="K8458" s="912"/>
      <c r="L8458" s="912"/>
      <c r="M8458" s="912">
        <f>VLOOKUP(B8458,MTC!$B$9:$S$933,12,0)</f>
        <v>2078064</v>
      </c>
      <c r="N8458" s="912">
        <f>M8458*H8458</f>
        <v>5091256.8000000007</v>
      </c>
      <c r="O8458" s="892">
        <f t="shared" si="664"/>
        <v>0</v>
      </c>
      <c r="P8458" s="903">
        <f t="shared" si="665"/>
        <v>1</v>
      </c>
      <c r="Q8458" s="893">
        <f t="shared" si="666"/>
        <v>2</v>
      </c>
      <c r="R8458" s="894">
        <f t="shared" si="667"/>
        <v>0</v>
      </c>
    </row>
    <row r="8459" spans="1:18" s="847" customFormat="1">
      <c r="A8459" s="905"/>
      <c r="B8459" s="946" t="s">
        <v>6321</v>
      </c>
      <c r="C8459" s="907">
        <v>900</v>
      </c>
      <c r="D8459" s="907" t="s">
        <v>93</v>
      </c>
      <c r="E8459" s="992" t="s">
        <v>6322</v>
      </c>
      <c r="F8459" s="905" t="s">
        <v>2673</v>
      </c>
      <c r="G8459" s="1005"/>
      <c r="H8459" s="911">
        <v>2.21</v>
      </c>
      <c r="I8459" s="912"/>
      <c r="J8459" s="912"/>
      <c r="K8459" s="912"/>
      <c r="L8459" s="912"/>
      <c r="M8459" s="912">
        <f>VLOOKUP(B8459,MTC!$B$9:$S$933,12,0)</f>
        <v>1475268</v>
      </c>
      <c r="N8459" s="912">
        <f>M8459*H8459</f>
        <v>3260342.28</v>
      </c>
      <c r="O8459" s="892">
        <f t="shared" si="664"/>
        <v>0</v>
      </c>
      <c r="P8459" s="903">
        <f t="shared" si="665"/>
        <v>1</v>
      </c>
      <c r="Q8459" s="893">
        <f t="shared" si="666"/>
        <v>1</v>
      </c>
      <c r="R8459" s="894">
        <f t="shared" si="667"/>
        <v>0</v>
      </c>
    </row>
    <row r="8460" spans="1:18" s="847" customFormat="1">
      <c r="A8460" s="993" t="s">
        <v>6313</v>
      </c>
      <c r="B8460" s="994" t="s">
        <v>6323</v>
      </c>
      <c r="C8460" s="995"/>
      <c r="D8460" s="995"/>
      <c r="E8460" s="996" t="s">
        <v>6315</v>
      </c>
      <c r="F8460" s="764" t="s">
        <v>160</v>
      </c>
      <c r="G8460" s="997"/>
      <c r="H8460" s="998"/>
      <c r="I8460" s="999"/>
      <c r="J8460" s="1000">
        <f>SUM(J8461:J8478)</f>
        <v>2995035.5</v>
      </c>
      <c r="K8460" s="912" t="s">
        <v>274</v>
      </c>
      <c r="L8460" s="1000">
        <f>SUM(L8461:L8478)</f>
        <v>146739770</v>
      </c>
      <c r="M8460" s="1001"/>
      <c r="N8460" s="1000">
        <f>SUM(N8461:N8478)</f>
        <v>7176143.7599999998</v>
      </c>
      <c r="O8460" s="892">
        <f t="shared" si="664"/>
        <v>1</v>
      </c>
      <c r="P8460" s="903">
        <f t="shared" si="665"/>
        <v>0</v>
      </c>
      <c r="Q8460" s="893">
        <f t="shared" si="666"/>
        <v>0</v>
      </c>
      <c r="R8460" s="894">
        <f t="shared" si="667"/>
        <v>18</v>
      </c>
    </row>
    <row r="8461" spans="1:18" s="904" customFormat="1">
      <c r="A8461" s="895"/>
      <c r="B8461" s="896"/>
      <c r="C8461" s="897"/>
      <c r="D8461" s="897"/>
      <c r="E8461" s="1002" t="s">
        <v>108</v>
      </c>
      <c r="F8461" s="1003"/>
      <c r="G8461" s="1004"/>
      <c r="H8461" s="901"/>
      <c r="I8461" s="902"/>
      <c r="J8461" s="902"/>
      <c r="K8461" s="912" t="s">
        <v>274</v>
      </c>
      <c r="L8461" s="902"/>
      <c r="M8461" s="902"/>
      <c r="N8461" s="902"/>
      <c r="O8461" s="892">
        <f t="shared" si="664"/>
        <v>0</v>
      </c>
      <c r="P8461" s="903">
        <f t="shared" si="665"/>
        <v>1</v>
      </c>
      <c r="Q8461" s="893">
        <f t="shared" si="666"/>
        <v>18</v>
      </c>
      <c r="R8461" s="894">
        <f t="shared" si="667"/>
        <v>0</v>
      </c>
    </row>
    <row r="8462" spans="1:18">
      <c r="A8462" s="905"/>
      <c r="B8462" s="952"/>
      <c r="C8462" s="907">
        <v>212</v>
      </c>
      <c r="D8462" s="907" t="s">
        <v>279</v>
      </c>
      <c r="E8462" s="992" t="s">
        <v>2681</v>
      </c>
      <c r="F8462" s="905" t="s">
        <v>45</v>
      </c>
      <c r="G8462" s="1005"/>
      <c r="H8462" s="911">
        <v>2</v>
      </c>
      <c r="I8462" s="912">
        <f>VLOOKUP(E8462,[3]VLP!$B$7:$K$300,10,0)</f>
        <v>23000</v>
      </c>
      <c r="J8462" s="912">
        <f t="shared" ref="J8462:J8473" si="671">I8462*H8462</f>
        <v>46000</v>
      </c>
      <c r="K8462" s="912" t="s">
        <v>274</v>
      </c>
      <c r="L8462" s="912"/>
      <c r="M8462" s="912"/>
      <c r="N8462" s="912"/>
      <c r="O8462" s="892">
        <f t="shared" si="664"/>
        <v>0</v>
      </c>
      <c r="P8462" s="903">
        <f t="shared" si="665"/>
        <v>1</v>
      </c>
      <c r="Q8462" s="893">
        <f t="shared" si="666"/>
        <v>17</v>
      </c>
      <c r="R8462" s="894">
        <f t="shared" si="667"/>
        <v>0</v>
      </c>
    </row>
    <row r="8463" spans="1:18" s="847" customFormat="1">
      <c r="A8463" s="905"/>
      <c r="B8463" s="952"/>
      <c r="C8463" s="907">
        <v>289</v>
      </c>
      <c r="D8463" s="907" t="s">
        <v>279</v>
      </c>
      <c r="E8463" s="992" t="s">
        <v>3147</v>
      </c>
      <c r="F8463" s="905" t="s">
        <v>45</v>
      </c>
      <c r="G8463" s="1005"/>
      <c r="H8463" s="911">
        <v>0.9</v>
      </c>
      <c r="I8463" s="912">
        <f>VLOOKUP(E8463,[3]VLP!$B$7:$K$300,10,0)</f>
        <v>45000</v>
      </c>
      <c r="J8463" s="912">
        <f t="shared" si="671"/>
        <v>40500</v>
      </c>
      <c r="K8463" s="912" t="s">
        <v>274</v>
      </c>
      <c r="L8463" s="912"/>
      <c r="M8463" s="912"/>
      <c r="N8463" s="912"/>
      <c r="O8463" s="892">
        <f t="shared" si="664"/>
        <v>0</v>
      </c>
      <c r="P8463" s="903">
        <f t="shared" si="665"/>
        <v>1</v>
      </c>
      <c r="Q8463" s="893">
        <f t="shared" si="666"/>
        <v>16</v>
      </c>
      <c r="R8463" s="894">
        <f t="shared" si="667"/>
        <v>0</v>
      </c>
    </row>
    <row r="8464" spans="1:18" s="904" customFormat="1">
      <c r="A8464" s="905"/>
      <c r="B8464" s="952"/>
      <c r="C8464" s="907">
        <v>318</v>
      </c>
      <c r="D8464" s="907" t="s">
        <v>279</v>
      </c>
      <c r="E8464" s="992" t="s">
        <v>5657</v>
      </c>
      <c r="F8464" s="905" t="s">
        <v>45</v>
      </c>
      <c r="G8464" s="1005"/>
      <c r="H8464" s="911">
        <v>10.7</v>
      </c>
      <c r="I8464" s="912">
        <f>VLOOKUP(E8464,[3]VLP!$B$7:$K$300,10,0)</f>
        <v>25155</v>
      </c>
      <c r="J8464" s="912">
        <f t="shared" si="671"/>
        <v>269158.5</v>
      </c>
      <c r="K8464" s="912" t="s">
        <v>274</v>
      </c>
      <c r="L8464" s="912"/>
      <c r="M8464" s="912"/>
      <c r="N8464" s="912"/>
      <c r="O8464" s="892">
        <f t="shared" si="664"/>
        <v>0</v>
      </c>
      <c r="P8464" s="903">
        <f t="shared" si="665"/>
        <v>1</v>
      </c>
      <c r="Q8464" s="893">
        <f t="shared" si="666"/>
        <v>15</v>
      </c>
      <c r="R8464" s="894">
        <f t="shared" si="667"/>
        <v>0</v>
      </c>
    </row>
    <row r="8465" spans="1:18">
      <c r="A8465" s="905"/>
      <c r="B8465" s="952"/>
      <c r="C8465" s="907">
        <v>234</v>
      </c>
      <c r="D8465" s="907" t="s">
        <v>279</v>
      </c>
      <c r="E8465" s="992" t="s">
        <v>5983</v>
      </c>
      <c r="F8465" s="905" t="s">
        <v>3144</v>
      </c>
      <c r="G8465" s="1005"/>
      <c r="H8465" s="911">
        <v>11</v>
      </c>
      <c r="I8465" s="912">
        <f>VLOOKUP(E8465,[3]VLP!$B$7:$K$300,10,0)</f>
        <v>14000</v>
      </c>
      <c r="J8465" s="912">
        <f t="shared" si="671"/>
        <v>154000</v>
      </c>
      <c r="K8465" s="912" t="s">
        <v>274</v>
      </c>
      <c r="L8465" s="912"/>
      <c r="M8465" s="912"/>
      <c r="N8465" s="912"/>
      <c r="O8465" s="892">
        <f t="shared" si="664"/>
        <v>0</v>
      </c>
      <c r="P8465" s="903">
        <f t="shared" si="665"/>
        <v>1</v>
      </c>
      <c r="Q8465" s="893">
        <f t="shared" si="666"/>
        <v>14</v>
      </c>
      <c r="R8465" s="894">
        <f t="shared" si="667"/>
        <v>0</v>
      </c>
    </row>
    <row r="8466" spans="1:18" s="847" customFormat="1">
      <c r="A8466" s="905"/>
      <c r="B8466" s="952"/>
      <c r="C8466" s="907">
        <v>314</v>
      </c>
      <c r="D8466" s="907" t="s">
        <v>279</v>
      </c>
      <c r="E8466" s="992" t="s">
        <v>3148</v>
      </c>
      <c r="F8466" s="905" t="s">
        <v>2690</v>
      </c>
      <c r="G8466" s="1005"/>
      <c r="H8466" s="911">
        <v>44</v>
      </c>
      <c r="I8466" s="912">
        <f>VLOOKUP(E8466,[3]VLP!$B$7:$K$300,10,0)</f>
        <v>10000</v>
      </c>
      <c r="J8466" s="912">
        <f t="shared" si="671"/>
        <v>440000</v>
      </c>
      <c r="K8466" s="912" t="s">
        <v>274</v>
      </c>
      <c r="L8466" s="912"/>
      <c r="M8466" s="912"/>
      <c r="N8466" s="912"/>
      <c r="O8466" s="892">
        <f t="shared" si="664"/>
        <v>0</v>
      </c>
      <c r="P8466" s="903">
        <f t="shared" si="665"/>
        <v>1</v>
      </c>
      <c r="Q8466" s="893">
        <f t="shared" si="666"/>
        <v>13</v>
      </c>
      <c r="R8466" s="894">
        <f t="shared" si="667"/>
        <v>0</v>
      </c>
    </row>
    <row r="8467" spans="1:18" s="904" customFormat="1">
      <c r="A8467" s="905"/>
      <c r="B8467" s="952"/>
      <c r="C8467" s="907">
        <v>315</v>
      </c>
      <c r="D8467" s="907" t="s">
        <v>279</v>
      </c>
      <c r="E8467" s="992" t="s">
        <v>6316</v>
      </c>
      <c r="F8467" s="905" t="s">
        <v>49</v>
      </c>
      <c r="G8467" s="1005"/>
      <c r="H8467" s="911">
        <v>8</v>
      </c>
      <c r="I8467" s="912">
        <f>VLOOKUP(E8467,[3]VLP!$B$7:$K$300,10,0)</f>
        <v>8000</v>
      </c>
      <c r="J8467" s="912">
        <f t="shared" si="671"/>
        <v>64000</v>
      </c>
      <c r="K8467" s="912" t="s">
        <v>274</v>
      </c>
      <c r="L8467" s="912"/>
      <c r="M8467" s="912"/>
      <c r="N8467" s="912"/>
      <c r="O8467" s="892">
        <f t="shared" si="664"/>
        <v>0</v>
      </c>
      <c r="P8467" s="903">
        <f t="shared" si="665"/>
        <v>1</v>
      </c>
      <c r="Q8467" s="893">
        <f t="shared" si="666"/>
        <v>12</v>
      </c>
      <c r="R8467" s="894">
        <f t="shared" si="667"/>
        <v>0</v>
      </c>
    </row>
    <row r="8468" spans="1:18">
      <c r="A8468" s="905"/>
      <c r="B8468" s="952"/>
      <c r="C8468" s="907">
        <v>309</v>
      </c>
      <c r="D8468" s="907" t="s">
        <v>279</v>
      </c>
      <c r="E8468" s="992" t="s">
        <v>3262</v>
      </c>
      <c r="F8468" s="905" t="s">
        <v>45</v>
      </c>
      <c r="G8468" s="1005"/>
      <c r="H8468" s="911">
        <v>0.9</v>
      </c>
      <c r="I8468" s="912">
        <f>VLOOKUP(E8468,[3]VLP!$B$7:$K$300,10,0)</f>
        <v>66300</v>
      </c>
      <c r="J8468" s="912">
        <f t="shared" si="671"/>
        <v>59670</v>
      </c>
      <c r="K8468" s="912" t="s">
        <v>274</v>
      </c>
      <c r="L8468" s="912"/>
      <c r="M8468" s="912"/>
      <c r="N8468" s="912"/>
      <c r="O8468" s="892">
        <f t="shared" si="664"/>
        <v>0</v>
      </c>
      <c r="P8468" s="903">
        <f t="shared" si="665"/>
        <v>1</v>
      </c>
      <c r="Q8468" s="893">
        <f t="shared" si="666"/>
        <v>11</v>
      </c>
      <c r="R8468" s="894">
        <f t="shared" si="667"/>
        <v>0</v>
      </c>
    </row>
    <row r="8469" spans="1:18" s="847" customFormat="1">
      <c r="A8469" s="905"/>
      <c r="B8469" s="952"/>
      <c r="C8469" s="907">
        <v>321</v>
      </c>
      <c r="D8469" s="907" t="s">
        <v>279</v>
      </c>
      <c r="E8469" s="992" t="s">
        <v>6317</v>
      </c>
      <c r="F8469" s="905" t="s">
        <v>45</v>
      </c>
      <c r="G8469" s="1005"/>
      <c r="H8469" s="911">
        <v>2.2999999999999998</v>
      </c>
      <c r="I8469" s="912">
        <f>VLOOKUP(E8469,[3]VLP!$B$7:$K$300,10,0)</f>
        <v>38182</v>
      </c>
      <c r="J8469" s="912">
        <f t="shared" si="671"/>
        <v>87818.599999999991</v>
      </c>
      <c r="K8469" s="912" t="s">
        <v>274</v>
      </c>
      <c r="L8469" s="912"/>
      <c r="M8469" s="912"/>
      <c r="N8469" s="912"/>
      <c r="O8469" s="892">
        <f t="shared" si="664"/>
        <v>0</v>
      </c>
      <c r="P8469" s="903">
        <f t="shared" si="665"/>
        <v>1</v>
      </c>
      <c r="Q8469" s="893">
        <f t="shared" si="666"/>
        <v>10</v>
      </c>
      <c r="R8469" s="894">
        <f t="shared" si="667"/>
        <v>0</v>
      </c>
    </row>
    <row r="8470" spans="1:18" s="904" customFormat="1">
      <c r="A8470" s="905"/>
      <c r="B8470" s="952"/>
      <c r="C8470" s="907">
        <v>230</v>
      </c>
      <c r="D8470" s="907" t="s">
        <v>279</v>
      </c>
      <c r="E8470" s="992" t="s">
        <v>6318</v>
      </c>
      <c r="F8470" s="905" t="s">
        <v>45</v>
      </c>
      <c r="G8470" s="1005"/>
      <c r="H8470" s="911">
        <v>8.3000000000000007</v>
      </c>
      <c r="I8470" s="912">
        <f>VLOOKUP(E8470,[3]VLP!$B$7:$K$300,10,0)</f>
        <v>14762</v>
      </c>
      <c r="J8470" s="912">
        <f t="shared" si="671"/>
        <v>122524.6</v>
      </c>
      <c r="K8470" s="912" t="s">
        <v>274</v>
      </c>
      <c r="L8470" s="912"/>
      <c r="M8470" s="912"/>
      <c r="N8470" s="912"/>
      <c r="O8470" s="892">
        <f t="shared" si="664"/>
        <v>0</v>
      </c>
      <c r="P8470" s="903">
        <f t="shared" si="665"/>
        <v>1</v>
      </c>
      <c r="Q8470" s="893">
        <f t="shared" si="666"/>
        <v>9</v>
      </c>
      <c r="R8470" s="894">
        <f t="shared" si="667"/>
        <v>0</v>
      </c>
    </row>
    <row r="8471" spans="1:18">
      <c r="A8471" s="905"/>
      <c r="B8471" s="952"/>
      <c r="C8471" s="907">
        <v>235</v>
      </c>
      <c r="D8471" s="907" t="s">
        <v>279</v>
      </c>
      <c r="E8471" s="992" t="s">
        <v>2682</v>
      </c>
      <c r="F8471" s="905" t="s">
        <v>45</v>
      </c>
      <c r="G8471" s="1005"/>
      <c r="H8471" s="911">
        <v>10</v>
      </c>
      <c r="I8471" s="912">
        <f>VLOOKUP(E8471,[3]VLP!$B$7:$K$300,10,0)</f>
        <v>5000</v>
      </c>
      <c r="J8471" s="912">
        <f t="shared" si="671"/>
        <v>50000</v>
      </c>
      <c r="K8471" s="912" t="s">
        <v>274</v>
      </c>
      <c r="L8471" s="912"/>
      <c r="M8471" s="912"/>
      <c r="N8471" s="912"/>
      <c r="O8471" s="892">
        <f t="shared" si="664"/>
        <v>0</v>
      </c>
      <c r="P8471" s="903">
        <f t="shared" si="665"/>
        <v>1</v>
      </c>
      <c r="Q8471" s="893">
        <f t="shared" si="666"/>
        <v>8</v>
      </c>
      <c r="R8471" s="894">
        <f t="shared" si="667"/>
        <v>0</v>
      </c>
    </row>
    <row r="8472" spans="1:18" s="847" customFormat="1">
      <c r="A8472" s="905"/>
      <c r="B8472" s="952"/>
      <c r="C8472" s="907">
        <v>237</v>
      </c>
      <c r="D8472" s="907" t="s">
        <v>279</v>
      </c>
      <c r="E8472" s="992" t="s">
        <v>6312</v>
      </c>
      <c r="F8472" s="905" t="s">
        <v>47</v>
      </c>
      <c r="G8472" s="1005"/>
      <c r="H8472" s="911">
        <v>0.36</v>
      </c>
      <c r="I8472" s="912">
        <f>VLOOKUP(E8472,[3]VLP!$B$7:$K$300,10,0)</f>
        <v>4545455</v>
      </c>
      <c r="J8472" s="912">
        <f t="shared" si="671"/>
        <v>1636363.8</v>
      </c>
      <c r="K8472" s="912" t="s">
        <v>274</v>
      </c>
      <c r="L8472" s="912"/>
      <c r="M8472" s="912"/>
      <c r="N8472" s="912"/>
      <c r="O8472" s="892">
        <f t="shared" si="664"/>
        <v>0</v>
      </c>
      <c r="P8472" s="903">
        <f t="shared" si="665"/>
        <v>1</v>
      </c>
      <c r="Q8472" s="893">
        <f t="shared" si="666"/>
        <v>7</v>
      </c>
      <c r="R8472" s="894">
        <f t="shared" si="667"/>
        <v>0</v>
      </c>
    </row>
    <row r="8473" spans="1:18" s="904" customFormat="1">
      <c r="A8473" s="905"/>
      <c r="B8473" s="952"/>
      <c r="C8473" s="907">
        <v>699</v>
      </c>
      <c r="D8473" s="907" t="s">
        <v>279</v>
      </c>
      <c r="E8473" s="992" t="s">
        <v>4006</v>
      </c>
      <c r="F8473" s="905" t="s">
        <v>4007</v>
      </c>
      <c r="G8473" s="1005"/>
      <c r="H8473" s="911">
        <v>5</v>
      </c>
      <c r="I8473" s="912">
        <f>VLOOKUP(E8473,[3]VLP!$B$7:$K$300,10,0)</f>
        <v>5000</v>
      </c>
      <c r="J8473" s="912">
        <f t="shared" si="671"/>
        <v>25000</v>
      </c>
      <c r="K8473" s="912" t="s">
        <v>274</v>
      </c>
      <c r="L8473" s="912"/>
      <c r="M8473" s="912"/>
      <c r="N8473" s="912"/>
      <c r="O8473" s="892">
        <f t="shared" si="664"/>
        <v>0</v>
      </c>
      <c r="P8473" s="903">
        <f t="shared" si="665"/>
        <v>1</v>
      </c>
      <c r="Q8473" s="893">
        <f t="shared" si="666"/>
        <v>6</v>
      </c>
      <c r="R8473" s="894">
        <f t="shared" si="667"/>
        <v>0</v>
      </c>
    </row>
    <row r="8474" spans="1:18">
      <c r="A8474" s="895"/>
      <c r="B8474" s="896"/>
      <c r="C8474" s="897"/>
      <c r="D8474" s="897"/>
      <c r="E8474" s="1002" t="s">
        <v>276</v>
      </c>
      <c r="F8474" s="1003"/>
      <c r="G8474" s="1004"/>
      <c r="H8474" s="901"/>
      <c r="I8474" s="902"/>
      <c r="J8474" s="902"/>
      <c r="K8474" s="912" t="s">
        <v>274</v>
      </c>
      <c r="L8474" s="902"/>
      <c r="M8474" s="902"/>
      <c r="N8474" s="902"/>
      <c r="O8474" s="892">
        <f t="shared" si="664"/>
        <v>0</v>
      </c>
      <c r="P8474" s="903">
        <f t="shared" si="665"/>
        <v>1</v>
      </c>
      <c r="Q8474" s="893">
        <f t="shared" si="666"/>
        <v>5</v>
      </c>
      <c r="R8474" s="894">
        <f t="shared" si="667"/>
        <v>0</v>
      </c>
    </row>
    <row r="8475" spans="1:18" s="847" customFormat="1">
      <c r="A8475" s="905"/>
      <c r="B8475" s="952"/>
      <c r="C8475" s="907">
        <v>745</v>
      </c>
      <c r="D8475" s="907" t="s">
        <v>12</v>
      </c>
      <c r="E8475" s="992" t="s">
        <v>5518</v>
      </c>
      <c r="F8475" s="905" t="s">
        <v>2674</v>
      </c>
      <c r="G8475" s="1005"/>
      <c r="H8475" s="911">
        <v>610</v>
      </c>
      <c r="I8475" s="912"/>
      <c r="J8475" s="912"/>
      <c r="K8475" s="912">
        <f>VLOOKUP(E8475,[5]ĐMNC!$A$7:$F$67,4,0)</f>
        <v>240557</v>
      </c>
      <c r="L8475" s="912">
        <f>H8475*K8475</f>
        <v>146739770</v>
      </c>
      <c r="M8475" s="912"/>
      <c r="N8475" s="912"/>
      <c r="O8475" s="892">
        <f t="shared" si="664"/>
        <v>0</v>
      </c>
      <c r="P8475" s="903">
        <f t="shared" si="665"/>
        <v>1</v>
      </c>
      <c r="Q8475" s="893">
        <f t="shared" si="666"/>
        <v>4</v>
      </c>
      <c r="R8475" s="894">
        <f t="shared" si="667"/>
        <v>0</v>
      </c>
    </row>
    <row r="8476" spans="1:18" s="904" customFormat="1">
      <c r="A8476" s="895"/>
      <c r="B8476" s="896"/>
      <c r="C8476" s="897"/>
      <c r="D8476" s="897"/>
      <c r="E8476" s="1002" t="s">
        <v>3914</v>
      </c>
      <c r="F8476" s="1003"/>
      <c r="G8476" s="1004"/>
      <c r="H8476" s="901"/>
      <c r="I8476" s="902"/>
      <c r="J8476" s="902"/>
      <c r="K8476" s="912" t="s">
        <v>274</v>
      </c>
      <c r="L8476" s="902"/>
      <c r="M8476" s="902"/>
      <c r="N8476" s="902"/>
      <c r="O8476" s="892">
        <f t="shared" si="664"/>
        <v>0</v>
      </c>
      <c r="P8476" s="903">
        <f t="shared" si="665"/>
        <v>1</v>
      </c>
      <c r="Q8476" s="893">
        <f t="shared" si="666"/>
        <v>3</v>
      </c>
      <c r="R8476" s="894">
        <f t="shared" si="667"/>
        <v>0</v>
      </c>
    </row>
    <row r="8477" spans="1:18">
      <c r="A8477" s="905"/>
      <c r="B8477" s="946" t="s">
        <v>6319</v>
      </c>
      <c r="C8477" s="907">
        <v>903</v>
      </c>
      <c r="D8477" s="907" t="s">
        <v>93</v>
      </c>
      <c r="E8477" s="992" t="s">
        <v>6320</v>
      </c>
      <c r="F8477" s="905" t="s">
        <v>2673</v>
      </c>
      <c r="G8477" s="1005"/>
      <c r="H8477" s="911">
        <v>2.36</v>
      </c>
      <c r="I8477" s="912"/>
      <c r="J8477" s="912"/>
      <c r="K8477" s="912"/>
      <c r="L8477" s="912"/>
      <c r="M8477" s="912">
        <f>VLOOKUP(B8477,MTC!$B$9:$S$933,12,0)</f>
        <v>2078064</v>
      </c>
      <c r="N8477" s="912">
        <f>M8477*H8477</f>
        <v>4904231.04</v>
      </c>
      <c r="O8477" s="892">
        <f t="shared" si="664"/>
        <v>0</v>
      </c>
      <c r="P8477" s="903">
        <f t="shared" si="665"/>
        <v>1</v>
      </c>
      <c r="Q8477" s="893">
        <f t="shared" si="666"/>
        <v>2</v>
      </c>
      <c r="R8477" s="894">
        <f t="shared" si="667"/>
        <v>0</v>
      </c>
    </row>
    <row r="8478" spans="1:18" s="847" customFormat="1">
      <c r="A8478" s="905"/>
      <c r="B8478" s="946" t="s">
        <v>6321</v>
      </c>
      <c r="C8478" s="907">
        <v>900</v>
      </c>
      <c r="D8478" s="907" t="s">
        <v>93</v>
      </c>
      <c r="E8478" s="992" t="s">
        <v>6322</v>
      </c>
      <c r="F8478" s="905" t="s">
        <v>2673</v>
      </c>
      <c r="G8478" s="1005"/>
      <c r="H8478" s="911">
        <v>1.54</v>
      </c>
      <c r="I8478" s="912"/>
      <c r="J8478" s="912"/>
      <c r="K8478" s="912"/>
      <c r="L8478" s="912"/>
      <c r="M8478" s="912">
        <f>VLOOKUP(B8478,MTC!$B$9:$S$933,12,0)</f>
        <v>1475268</v>
      </c>
      <c r="N8478" s="912">
        <f>M8478*H8478</f>
        <v>2271912.7200000002</v>
      </c>
      <c r="O8478" s="892">
        <f t="shared" si="664"/>
        <v>0</v>
      </c>
      <c r="P8478" s="903">
        <f t="shared" si="665"/>
        <v>1</v>
      </c>
      <c r="Q8478" s="893">
        <f t="shared" si="666"/>
        <v>1</v>
      </c>
      <c r="R8478" s="894">
        <f t="shared" si="667"/>
        <v>0</v>
      </c>
    </row>
    <row r="8479" spans="1:18" s="847" customFormat="1">
      <c r="A8479" s="993" t="s">
        <v>6313</v>
      </c>
      <c r="B8479" s="994" t="s">
        <v>6324</v>
      </c>
      <c r="C8479" s="995"/>
      <c r="D8479" s="995"/>
      <c r="E8479" s="996" t="s">
        <v>6325</v>
      </c>
      <c r="F8479" s="764" t="s">
        <v>160</v>
      </c>
      <c r="G8479" s="997"/>
      <c r="H8479" s="998"/>
      <c r="I8479" s="999"/>
      <c r="J8479" s="1000">
        <f>SUM(J8480:J8497)</f>
        <v>2858353.3</v>
      </c>
      <c r="K8479" s="912" t="s">
        <v>274</v>
      </c>
      <c r="L8479" s="1000">
        <f>SUM(L8480:L8497)</f>
        <v>129900780</v>
      </c>
      <c r="M8479" s="1001"/>
      <c r="N8479" s="1000">
        <f>SUM(N8480:N8497)</f>
        <v>6894033.2699999996</v>
      </c>
      <c r="O8479" s="892">
        <f t="shared" ref="O8479:O8542" si="672">IF(AND(B8479&lt;&gt;"",D8479=""),1,0)</f>
        <v>1</v>
      </c>
      <c r="P8479" s="903">
        <f t="shared" si="665"/>
        <v>0</v>
      </c>
      <c r="Q8479" s="893">
        <f t="shared" si="666"/>
        <v>0</v>
      </c>
      <c r="R8479" s="894">
        <f t="shared" si="667"/>
        <v>18</v>
      </c>
    </row>
    <row r="8480" spans="1:18" s="904" customFormat="1">
      <c r="A8480" s="895"/>
      <c r="B8480" s="896"/>
      <c r="C8480" s="897"/>
      <c r="D8480" s="897"/>
      <c r="E8480" s="1002" t="s">
        <v>108</v>
      </c>
      <c r="F8480" s="1003"/>
      <c r="G8480" s="1004"/>
      <c r="H8480" s="901"/>
      <c r="I8480" s="902"/>
      <c r="J8480" s="902"/>
      <c r="K8480" s="912" t="s">
        <v>274</v>
      </c>
      <c r="L8480" s="902"/>
      <c r="M8480" s="902"/>
      <c r="N8480" s="902"/>
      <c r="O8480" s="892">
        <f t="shared" si="672"/>
        <v>0</v>
      </c>
      <c r="P8480" s="903">
        <f t="shared" si="665"/>
        <v>1</v>
      </c>
      <c r="Q8480" s="893">
        <f t="shared" si="666"/>
        <v>18</v>
      </c>
      <c r="R8480" s="894">
        <f t="shared" si="667"/>
        <v>0</v>
      </c>
    </row>
    <row r="8481" spans="1:18">
      <c r="A8481" s="905"/>
      <c r="B8481" s="952"/>
      <c r="C8481" s="907">
        <v>212</v>
      </c>
      <c r="D8481" s="907" t="s">
        <v>279</v>
      </c>
      <c r="E8481" s="992" t="s">
        <v>2681</v>
      </c>
      <c r="F8481" s="905" t="s">
        <v>45</v>
      </c>
      <c r="G8481" s="1005"/>
      <c r="H8481" s="911">
        <v>1.9</v>
      </c>
      <c r="I8481" s="912">
        <f>VLOOKUP(E8481,[3]VLP!$B$7:$K$300,10,0)</f>
        <v>23000</v>
      </c>
      <c r="J8481" s="912">
        <f t="shared" ref="J8481:J8492" si="673">I8481*H8481</f>
        <v>43700</v>
      </c>
      <c r="K8481" s="912" t="s">
        <v>274</v>
      </c>
      <c r="L8481" s="912"/>
      <c r="M8481" s="912"/>
      <c r="N8481" s="912"/>
      <c r="O8481" s="892">
        <f t="shared" si="672"/>
        <v>0</v>
      </c>
      <c r="P8481" s="903">
        <f t="shared" si="665"/>
        <v>1</v>
      </c>
      <c r="Q8481" s="893">
        <f t="shared" si="666"/>
        <v>17</v>
      </c>
      <c r="R8481" s="894">
        <f t="shared" si="667"/>
        <v>0</v>
      </c>
    </row>
    <row r="8482" spans="1:18" s="847" customFormat="1">
      <c r="A8482" s="905"/>
      <c r="B8482" s="952"/>
      <c r="C8482" s="907">
        <v>289</v>
      </c>
      <c r="D8482" s="907" t="s">
        <v>279</v>
      </c>
      <c r="E8482" s="992" t="s">
        <v>3147</v>
      </c>
      <c r="F8482" s="905" t="s">
        <v>45</v>
      </c>
      <c r="G8482" s="1005"/>
      <c r="H8482" s="911">
        <v>0.7</v>
      </c>
      <c r="I8482" s="912">
        <f>VLOOKUP(E8482,[3]VLP!$B$7:$K$300,10,0)</f>
        <v>45000</v>
      </c>
      <c r="J8482" s="912">
        <f t="shared" si="673"/>
        <v>31499.999999999996</v>
      </c>
      <c r="K8482" s="912" t="s">
        <v>274</v>
      </c>
      <c r="L8482" s="912"/>
      <c r="M8482" s="912"/>
      <c r="N8482" s="912"/>
      <c r="O8482" s="892">
        <f t="shared" si="672"/>
        <v>0</v>
      </c>
      <c r="P8482" s="903">
        <f t="shared" si="665"/>
        <v>1</v>
      </c>
      <c r="Q8482" s="893">
        <f t="shared" si="666"/>
        <v>16</v>
      </c>
      <c r="R8482" s="894">
        <f t="shared" si="667"/>
        <v>0</v>
      </c>
    </row>
    <row r="8483" spans="1:18" s="904" customFormat="1">
      <c r="A8483" s="905"/>
      <c r="B8483" s="946"/>
      <c r="C8483" s="907">
        <v>318</v>
      </c>
      <c r="D8483" s="907" t="s">
        <v>279</v>
      </c>
      <c r="E8483" s="992" t="s">
        <v>5657</v>
      </c>
      <c r="F8483" s="905" t="s">
        <v>45</v>
      </c>
      <c r="G8483" s="1005"/>
      <c r="H8483" s="911">
        <v>9.6999999999999993</v>
      </c>
      <c r="I8483" s="912">
        <f>VLOOKUP(E8483,[3]VLP!$B$7:$K$300,10,0)</f>
        <v>25155</v>
      </c>
      <c r="J8483" s="912">
        <f t="shared" si="673"/>
        <v>244003.49999999997</v>
      </c>
      <c r="K8483" s="912" t="s">
        <v>274</v>
      </c>
      <c r="L8483" s="912"/>
      <c r="M8483" s="912"/>
      <c r="N8483" s="912"/>
      <c r="O8483" s="892">
        <f t="shared" si="672"/>
        <v>0</v>
      </c>
      <c r="P8483" s="903">
        <f t="shared" si="665"/>
        <v>1</v>
      </c>
      <c r="Q8483" s="893">
        <f t="shared" si="666"/>
        <v>15</v>
      </c>
      <c r="R8483" s="894">
        <f t="shared" si="667"/>
        <v>0</v>
      </c>
    </row>
    <row r="8484" spans="1:18">
      <c r="A8484" s="905"/>
      <c r="B8484" s="952"/>
      <c r="C8484" s="907">
        <v>234</v>
      </c>
      <c r="D8484" s="907" t="s">
        <v>279</v>
      </c>
      <c r="E8484" s="992" t="s">
        <v>5983</v>
      </c>
      <c r="F8484" s="905" t="s">
        <v>3144</v>
      </c>
      <c r="G8484" s="1005"/>
      <c r="H8484" s="911">
        <v>11</v>
      </c>
      <c r="I8484" s="912">
        <f>VLOOKUP(E8484,[3]VLP!$B$7:$K$300,10,0)</f>
        <v>14000</v>
      </c>
      <c r="J8484" s="912">
        <f t="shared" si="673"/>
        <v>154000</v>
      </c>
      <c r="K8484" s="912" t="s">
        <v>274</v>
      </c>
      <c r="L8484" s="912"/>
      <c r="M8484" s="912"/>
      <c r="N8484" s="912"/>
      <c r="O8484" s="892">
        <f t="shared" si="672"/>
        <v>0</v>
      </c>
      <c r="P8484" s="903">
        <f t="shared" si="665"/>
        <v>1</v>
      </c>
      <c r="Q8484" s="893">
        <f t="shared" si="666"/>
        <v>14</v>
      </c>
      <c r="R8484" s="894">
        <f t="shared" si="667"/>
        <v>0</v>
      </c>
    </row>
    <row r="8485" spans="1:18" s="847" customFormat="1">
      <c r="A8485" s="905"/>
      <c r="B8485" s="952"/>
      <c r="C8485" s="907">
        <v>314</v>
      </c>
      <c r="D8485" s="907" t="s">
        <v>279</v>
      </c>
      <c r="E8485" s="992" t="s">
        <v>3148</v>
      </c>
      <c r="F8485" s="905" t="s">
        <v>2690</v>
      </c>
      <c r="G8485" s="1005"/>
      <c r="H8485" s="911">
        <v>38</v>
      </c>
      <c r="I8485" s="912">
        <f>VLOOKUP(E8485,[3]VLP!$B$7:$K$300,10,0)</f>
        <v>10000</v>
      </c>
      <c r="J8485" s="912">
        <f t="shared" si="673"/>
        <v>380000</v>
      </c>
      <c r="K8485" s="912" t="s">
        <v>274</v>
      </c>
      <c r="L8485" s="912"/>
      <c r="M8485" s="912"/>
      <c r="N8485" s="912"/>
      <c r="O8485" s="892">
        <f t="shared" si="672"/>
        <v>0</v>
      </c>
      <c r="P8485" s="903">
        <f t="shared" si="665"/>
        <v>1</v>
      </c>
      <c r="Q8485" s="893">
        <f t="shared" si="666"/>
        <v>13</v>
      </c>
      <c r="R8485" s="894">
        <f t="shared" si="667"/>
        <v>0</v>
      </c>
    </row>
    <row r="8486" spans="1:18" s="904" customFormat="1">
      <c r="A8486" s="905"/>
      <c r="B8486" s="952"/>
      <c r="C8486" s="907">
        <v>315</v>
      </c>
      <c r="D8486" s="907" t="s">
        <v>279</v>
      </c>
      <c r="E8486" s="992" t="s">
        <v>6316</v>
      </c>
      <c r="F8486" s="905" t="s">
        <v>49</v>
      </c>
      <c r="G8486" s="1005"/>
      <c r="H8486" s="911">
        <v>7.2</v>
      </c>
      <c r="I8486" s="912">
        <f>VLOOKUP(E8486,[3]VLP!$B$7:$K$300,10,0)</f>
        <v>8000</v>
      </c>
      <c r="J8486" s="912">
        <f t="shared" si="673"/>
        <v>57600</v>
      </c>
      <c r="K8486" s="912" t="s">
        <v>274</v>
      </c>
      <c r="L8486" s="912"/>
      <c r="M8486" s="912"/>
      <c r="N8486" s="912"/>
      <c r="O8486" s="892">
        <f t="shared" si="672"/>
        <v>0</v>
      </c>
      <c r="P8486" s="903">
        <f t="shared" si="665"/>
        <v>1</v>
      </c>
      <c r="Q8486" s="893">
        <f t="shared" si="666"/>
        <v>12</v>
      </c>
      <c r="R8486" s="894">
        <f t="shared" si="667"/>
        <v>0</v>
      </c>
    </row>
    <row r="8487" spans="1:18">
      <c r="A8487" s="905"/>
      <c r="B8487" s="952"/>
      <c r="C8487" s="907">
        <v>309</v>
      </c>
      <c r="D8487" s="907" t="s">
        <v>279</v>
      </c>
      <c r="E8487" s="992" t="s">
        <v>3262</v>
      </c>
      <c r="F8487" s="905" t="s">
        <v>45</v>
      </c>
      <c r="G8487" s="1005"/>
      <c r="H8487" s="911">
        <v>0.7</v>
      </c>
      <c r="I8487" s="912">
        <f>VLOOKUP(E8487,[3]VLP!$B$7:$K$300,10,0)</f>
        <v>66300</v>
      </c>
      <c r="J8487" s="912">
        <f t="shared" si="673"/>
        <v>46410</v>
      </c>
      <c r="K8487" s="912" t="s">
        <v>274</v>
      </c>
      <c r="L8487" s="912"/>
      <c r="M8487" s="912"/>
      <c r="N8487" s="912"/>
      <c r="O8487" s="892">
        <f t="shared" si="672"/>
        <v>0</v>
      </c>
      <c r="P8487" s="903">
        <f t="shared" si="665"/>
        <v>1</v>
      </c>
      <c r="Q8487" s="893">
        <f t="shared" si="666"/>
        <v>11</v>
      </c>
      <c r="R8487" s="894">
        <f t="shared" si="667"/>
        <v>0</v>
      </c>
    </row>
    <row r="8488" spans="1:18" s="847" customFormat="1">
      <c r="A8488" s="905"/>
      <c r="B8488" s="952"/>
      <c r="C8488" s="907">
        <v>321</v>
      </c>
      <c r="D8488" s="907" t="s">
        <v>279</v>
      </c>
      <c r="E8488" s="992" t="s">
        <v>6317</v>
      </c>
      <c r="F8488" s="905" t="s">
        <v>45</v>
      </c>
      <c r="G8488" s="1005"/>
      <c r="H8488" s="911">
        <v>1.8</v>
      </c>
      <c r="I8488" s="912">
        <f>VLOOKUP(E8488,[3]VLP!$B$7:$K$300,10,0)</f>
        <v>38182</v>
      </c>
      <c r="J8488" s="912">
        <f t="shared" si="673"/>
        <v>68727.600000000006</v>
      </c>
      <c r="K8488" s="912" t="s">
        <v>274</v>
      </c>
      <c r="L8488" s="912"/>
      <c r="M8488" s="912"/>
      <c r="N8488" s="912"/>
      <c r="O8488" s="892">
        <f t="shared" si="672"/>
        <v>0</v>
      </c>
      <c r="P8488" s="903">
        <f t="shared" si="665"/>
        <v>1</v>
      </c>
      <c r="Q8488" s="893">
        <f t="shared" si="666"/>
        <v>10</v>
      </c>
      <c r="R8488" s="894">
        <f t="shared" si="667"/>
        <v>0</v>
      </c>
    </row>
    <row r="8489" spans="1:18" s="904" customFormat="1">
      <c r="A8489" s="905"/>
      <c r="B8489" s="952"/>
      <c r="C8489" s="907">
        <v>230</v>
      </c>
      <c r="D8489" s="907" t="s">
        <v>279</v>
      </c>
      <c r="E8489" s="992" t="s">
        <v>6318</v>
      </c>
      <c r="F8489" s="905" t="s">
        <v>45</v>
      </c>
      <c r="G8489" s="1005"/>
      <c r="H8489" s="911">
        <v>8.1999999999999993</v>
      </c>
      <c r="I8489" s="912">
        <f>VLOOKUP(E8489,[3]VLP!$B$7:$K$300,10,0)</f>
        <v>14762</v>
      </c>
      <c r="J8489" s="912">
        <f t="shared" si="673"/>
        <v>121048.4</v>
      </c>
      <c r="K8489" s="912" t="s">
        <v>274</v>
      </c>
      <c r="L8489" s="912"/>
      <c r="M8489" s="912"/>
      <c r="N8489" s="912"/>
      <c r="O8489" s="892">
        <f t="shared" si="672"/>
        <v>0</v>
      </c>
      <c r="P8489" s="903">
        <f t="shared" si="665"/>
        <v>1</v>
      </c>
      <c r="Q8489" s="893">
        <f t="shared" si="666"/>
        <v>9</v>
      </c>
      <c r="R8489" s="894">
        <f t="shared" si="667"/>
        <v>0</v>
      </c>
    </row>
    <row r="8490" spans="1:18">
      <c r="A8490" s="905"/>
      <c r="B8490" s="952"/>
      <c r="C8490" s="907">
        <v>235</v>
      </c>
      <c r="D8490" s="907" t="s">
        <v>279</v>
      </c>
      <c r="E8490" s="992" t="s">
        <v>2682</v>
      </c>
      <c r="F8490" s="905" t="s">
        <v>45</v>
      </c>
      <c r="G8490" s="1005"/>
      <c r="H8490" s="911">
        <v>10</v>
      </c>
      <c r="I8490" s="912">
        <f>VLOOKUP(E8490,[3]VLP!$B$7:$K$300,10,0)</f>
        <v>5000</v>
      </c>
      <c r="J8490" s="912">
        <f t="shared" si="673"/>
        <v>50000</v>
      </c>
      <c r="K8490" s="912" t="s">
        <v>274</v>
      </c>
      <c r="L8490" s="912"/>
      <c r="M8490" s="912"/>
      <c r="N8490" s="912"/>
      <c r="O8490" s="892">
        <f t="shared" si="672"/>
        <v>0</v>
      </c>
      <c r="P8490" s="903">
        <f t="shared" si="665"/>
        <v>1</v>
      </c>
      <c r="Q8490" s="893">
        <f t="shared" si="666"/>
        <v>8</v>
      </c>
      <c r="R8490" s="894">
        <f t="shared" si="667"/>
        <v>0</v>
      </c>
    </row>
    <row r="8491" spans="1:18" s="847" customFormat="1">
      <c r="A8491" s="905"/>
      <c r="B8491" s="952"/>
      <c r="C8491" s="907">
        <v>237</v>
      </c>
      <c r="D8491" s="907" t="s">
        <v>279</v>
      </c>
      <c r="E8491" s="992" t="s">
        <v>6312</v>
      </c>
      <c r="F8491" s="905" t="s">
        <v>47</v>
      </c>
      <c r="G8491" s="1005"/>
      <c r="H8491" s="911">
        <v>0.36</v>
      </c>
      <c r="I8491" s="912">
        <f>VLOOKUP(E8491,[3]VLP!$B$7:$K$300,10,0)</f>
        <v>4545455</v>
      </c>
      <c r="J8491" s="912">
        <f t="shared" si="673"/>
        <v>1636363.8</v>
      </c>
      <c r="K8491" s="912" t="s">
        <v>274</v>
      </c>
      <c r="L8491" s="912"/>
      <c r="M8491" s="912"/>
      <c r="N8491" s="912"/>
      <c r="O8491" s="892">
        <f t="shared" si="672"/>
        <v>0</v>
      </c>
      <c r="P8491" s="903">
        <f t="shared" si="665"/>
        <v>1</v>
      </c>
      <c r="Q8491" s="893">
        <f t="shared" si="666"/>
        <v>7</v>
      </c>
      <c r="R8491" s="894">
        <f t="shared" si="667"/>
        <v>0</v>
      </c>
    </row>
    <row r="8492" spans="1:18" s="904" customFormat="1">
      <c r="A8492" s="905"/>
      <c r="B8492" s="952"/>
      <c r="C8492" s="907">
        <v>699</v>
      </c>
      <c r="D8492" s="907" t="s">
        <v>279</v>
      </c>
      <c r="E8492" s="992" t="s">
        <v>4006</v>
      </c>
      <c r="F8492" s="905" t="s">
        <v>4007</v>
      </c>
      <c r="G8492" s="1005"/>
      <c r="H8492" s="911">
        <v>5</v>
      </c>
      <c r="I8492" s="912">
        <f>VLOOKUP(E8492,[3]VLP!$B$7:$K$300,10,0)</f>
        <v>5000</v>
      </c>
      <c r="J8492" s="912">
        <f t="shared" si="673"/>
        <v>25000</v>
      </c>
      <c r="K8492" s="912" t="s">
        <v>274</v>
      </c>
      <c r="L8492" s="912"/>
      <c r="M8492" s="912"/>
      <c r="N8492" s="912"/>
      <c r="O8492" s="892">
        <f t="shared" si="672"/>
        <v>0</v>
      </c>
      <c r="P8492" s="903">
        <f t="shared" si="665"/>
        <v>1</v>
      </c>
      <c r="Q8492" s="893">
        <f t="shared" si="666"/>
        <v>6</v>
      </c>
      <c r="R8492" s="894">
        <f t="shared" si="667"/>
        <v>0</v>
      </c>
    </row>
    <row r="8493" spans="1:18">
      <c r="A8493" s="895"/>
      <c r="B8493" s="896"/>
      <c r="C8493" s="897"/>
      <c r="D8493" s="897"/>
      <c r="E8493" s="1002" t="s">
        <v>276</v>
      </c>
      <c r="F8493" s="1003"/>
      <c r="G8493" s="1004"/>
      <c r="H8493" s="901"/>
      <c r="I8493" s="902"/>
      <c r="J8493" s="902"/>
      <c r="K8493" s="912" t="s">
        <v>274</v>
      </c>
      <c r="L8493" s="902"/>
      <c r="M8493" s="902"/>
      <c r="N8493" s="902"/>
      <c r="O8493" s="892">
        <f t="shared" si="672"/>
        <v>0</v>
      </c>
      <c r="P8493" s="903">
        <f t="shared" si="665"/>
        <v>1</v>
      </c>
      <c r="Q8493" s="893">
        <f t="shared" si="666"/>
        <v>5</v>
      </c>
      <c r="R8493" s="894">
        <f t="shared" si="667"/>
        <v>0</v>
      </c>
    </row>
    <row r="8494" spans="1:18" s="847" customFormat="1">
      <c r="A8494" s="905"/>
      <c r="B8494" s="952"/>
      <c r="C8494" s="907">
        <v>745</v>
      </c>
      <c r="D8494" s="907" t="s">
        <v>12</v>
      </c>
      <c r="E8494" s="992" t="s">
        <v>5518</v>
      </c>
      <c r="F8494" s="905" t="s">
        <v>2674</v>
      </c>
      <c r="G8494" s="1005"/>
      <c r="H8494" s="911">
        <v>540</v>
      </c>
      <c r="I8494" s="912"/>
      <c r="J8494" s="912"/>
      <c r="K8494" s="912">
        <f>VLOOKUP(E8494,[5]ĐMNC!$A$7:$F$67,4,0)</f>
        <v>240557</v>
      </c>
      <c r="L8494" s="912">
        <f>H8494*K8494</f>
        <v>129900780</v>
      </c>
      <c r="M8494" s="912"/>
      <c r="N8494" s="912"/>
      <c r="O8494" s="892">
        <f t="shared" si="672"/>
        <v>0</v>
      </c>
      <c r="P8494" s="903">
        <f t="shared" si="665"/>
        <v>1</v>
      </c>
      <c r="Q8494" s="893">
        <f t="shared" si="666"/>
        <v>4</v>
      </c>
      <c r="R8494" s="894">
        <f t="shared" si="667"/>
        <v>0</v>
      </c>
    </row>
    <row r="8495" spans="1:18" s="904" customFormat="1">
      <c r="A8495" s="895"/>
      <c r="B8495" s="896"/>
      <c r="C8495" s="897"/>
      <c r="D8495" s="897"/>
      <c r="E8495" s="1002" t="s">
        <v>3914</v>
      </c>
      <c r="F8495" s="1003"/>
      <c r="G8495" s="1004"/>
      <c r="H8495" s="901"/>
      <c r="I8495" s="902"/>
      <c r="J8495" s="902"/>
      <c r="K8495" s="912" t="s">
        <v>274</v>
      </c>
      <c r="L8495" s="902"/>
      <c r="M8495" s="902"/>
      <c r="N8495" s="902"/>
      <c r="O8495" s="892">
        <f t="shared" si="672"/>
        <v>0</v>
      </c>
      <c r="P8495" s="903">
        <f t="shared" si="665"/>
        <v>1</v>
      </c>
      <c r="Q8495" s="893">
        <f t="shared" si="666"/>
        <v>3</v>
      </c>
      <c r="R8495" s="894">
        <f t="shared" si="667"/>
        <v>0</v>
      </c>
    </row>
    <row r="8496" spans="1:18">
      <c r="A8496" s="905"/>
      <c r="B8496" s="952" t="s">
        <v>6326</v>
      </c>
      <c r="C8496" s="907">
        <v>902</v>
      </c>
      <c r="D8496" s="907" t="s">
        <v>93</v>
      </c>
      <c r="E8496" s="992" t="s">
        <v>6327</v>
      </c>
      <c r="F8496" s="905" t="s">
        <v>2673</v>
      </c>
      <c r="G8496" s="1005"/>
      <c r="H8496" s="911">
        <v>2.31</v>
      </c>
      <c r="I8496" s="912"/>
      <c r="J8496" s="912"/>
      <c r="K8496" s="912"/>
      <c r="L8496" s="912"/>
      <c r="M8496" s="912">
        <f>VLOOKUP(B8496,MTC!$B$9:$S$933,12,0)</f>
        <v>2218057</v>
      </c>
      <c r="N8496" s="912">
        <f>M8496*H8496</f>
        <v>5123711.67</v>
      </c>
      <c r="O8496" s="892">
        <f t="shared" si="672"/>
        <v>0</v>
      </c>
      <c r="P8496" s="903">
        <f t="shared" si="665"/>
        <v>1</v>
      </c>
      <c r="Q8496" s="893">
        <f t="shared" si="666"/>
        <v>2</v>
      </c>
      <c r="R8496" s="894">
        <f t="shared" si="667"/>
        <v>0</v>
      </c>
    </row>
    <row r="8497" spans="1:18" s="847" customFormat="1">
      <c r="A8497" s="905"/>
      <c r="B8497" s="946" t="s">
        <v>6321</v>
      </c>
      <c r="C8497" s="907">
        <v>900</v>
      </c>
      <c r="D8497" s="907" t="s">
        <v>93</v>
      </c>
      <c r="E8497" s="992" t="s">
        <v>6322</v>
      </c>
      <c r="F8497" s="905" t="s">
        <v>2673</v>
      </c>
      <c r="G8497" s="1005"/>
      <c r="H8497" s="911">
        <v>1.2</v>
      </c>
      <c r="I8497" s="912"/>
      <c r="J8497" s="912"/>
      <c r="K8497" s="912"/>
      <c r="L8497" s="912"/>
      <c r="M8497" s="912">
        <f>VLOOKUP(B8497,MTC!$B$9:$S$933,12,0)</f>
        <v>1475268</v>
      </c>
      <c r="N8497" s="912">
        <f>M8497*H8497</f>
        <v>1770321.5999999999</v>
      </c>
      <c r="O8497" s="892">
        <f t="shared" si="672"/>
        <v>0</v>
      </c>
      <c r="P8497" s="903">
        <f t="shared" si="665"/>
        <v>1</v>
      </c>
      <c r="Q8497" s="893">
        <f t="shared" si="666"/>
        <v>1</v>
      </c>
      <c r="R8497" s="894">
        <f t="shared" si="667"/>
        <v>0</v>
      </c>
    </row>
    <row r="8498" spans="1:18" s="904" customFormat="1">
      <c r="A8498" s="905" t="s">
        <v>6313</v>
      </c>
      <c r="B8498" s="914" t="s">
        <v>6328</v>
      </c>
      <c r="C8498" s="915"/>
      <c r="D8498" s="915"/>
      <c r="E8498" s="1006" t="s">
        <v>6329</v>
      </c>
      <c r="F8498" s="1007" t="s">
        <v>160</v>
      </c>
      <c r="G8498" s="1008"/>
      <c r="H8498" s="919"/>
      <c r="I8498" s="920"/>
      <c r="J8498" s="1000">
        <f>SUM(J8499:J8516)</f>
        <v>2559908.7999999998</v>
      </c>
      <c r="K8498" s="912" t="s">
        <v>274</v>
      </c>
      <c r="L8498" s="1000">
        <f>SUM(L8499:L8516)</f>
        <v>93576673</v>
      </c>
      <c r="M8498" s="1001"/>
      <c r="N8498" s="1000">
        <f>SUM(N8499:N8516)</f>
        <v>5794288.4600000009</v>
      </c>
      <c r="O8498" s="892">
        <f t="shared" si="672"/>
        <v>1</v>
      </c>
      <c r="P8498" s="903">
        <f t="shared" si="665"/>
        <v>0</v>
      </c>
      <c r="Q8498" s="893">
        <f t="shared" si="666"/>
        <v>0</v>
      </c>
      <c r="R8498" s="894">
        <f t="shared" si="667"/>
        <v>18</v>
      </c>
    </row>
    <row r="8499" spans="1:18">
      <c r="A8499" s="895"/>
      <c r="B8499" s="896"/>
      <c r="C8499" s="897"/>
      <c r="D8499" s="897"/>
      <c r="E8499" s="1002" t="s">
        <v>108</v>
      </c>
      <c r="F8499" s="1003"/>
      <c r="G8499" s="1004"/>
      <c r="H8499" s="901"/>
      <c r="I8499" s="902"/>
      <c r="J8499" s="902"/>
      <c r="K8499" s="912" t="s">
        <v>274</v>
      </c>
      <c r="L8499" s="902"/>
      <c r="M8499" s="902"/>
      <c r="N8499" s="902"/>
      <c r="O8499" s="892">
        <f t="shared" si="672"/>
        <v>0</v>
      </c>
      <c r="P8499" s="903">
        <f t="shared" ref="P8499:P8562" si="674">IF(O8499=0,1,0)</f>
        <v>1</v>
      </c>
      <c r="Q8499" s="893">
        <f t="shared" ref="Q8499:Q8562" si="675">IF(P8499=0,0,P8499+Q8500)</f>
        <v>18</v>
      </c>
      <c r="R8499" s="894">
        <f t="shared" ref="R8499:R8562" si="676">IF(Q8499=0,Q8500,0)</f>
        <v>0</v>
      </c>
    </row>
    <row r="8500" spans="1:18" s="847" customFormat="1">
      <c r="A8500" s="905"/>
      <c r="B8500" s="952"/>
      <c r="C8500" s="907">
        <v>212</v>
      </c>
      <c r="D8500" s="907" t="s">
        <v>279</v>
      </c>
      <c r="E8500" s="992" t="s">
        <v>2681</v>
      </c>
      <c r="F8500" s="905" t="s">
        <v>45</v>
      </c>
      <c r="G8500" s="1005"/>
      <c r="H8500" s="911">
        <v>1.7</v>
      </c>
      <c r="I8500" s="912">
        <f>VLOOKUP(E8500,[3]VLP!$B$7:$K$300,10,0)</f>
        <v>23000</v>
      </c>
      <c r="J8500" s="912">
        <f t="shared" ref="J8500:J8511" si="677">I8500*H8500</f>
        <v>39100</v>
      </c>
      <c r="K8500" s="912" t="s">
        <v>274</v>
      </c>
      <c r="L8500" s="912"/>
      <c r="M8500" s="912"/>
      <c r="N8500" s="912"/>
      <c r="O8500" s="892">
        <f t="shared" si="672"/>
        <v>0</v>
      </c>
      <c r="P8500" s="903">
        <f t="shared" si="674"/>
        <v>1</v>
      </c>
      <c r="Q8500" s="893">
        <f t="shared" si="675"/>
        <v>17</v>
      </c>
      <c r="R8500" s="894">
        <f t="shared" si="676"/>
        <v>0</v>
      </c>
    </row>
    <row r="8501" spans="1:18" s="904" customFormat="1">
      <c r="A8501" s="905"/>
      <c r="B8501" s="952"/>
      <c r="C8501" s="907">
        <v>289</v>
      </c>
      <c r="D8501" s="907" t="s">
        <v>279</v>
      </c>
      <c r="E8501" s="992" t="s">
        <v>3147</v>
      </c>
      <c r="F8501" s="905" t="s">
        <v>45</v>
      </c>
      <c r="G8501" s="1005"/>
      <c r="H8501" s="911">
        <v>0.4</v>
      </c>
      <c r="I8501" s="912">
        <f>VLOOKUP(E8501,[3]VLP!$B$7:$K$300,10,0)</f>
        <v>45000</v>
      </c>
      <c r="J8501" s="912">
        <f t="shared" si="677"/>
        <v>18000</v>
      </c>
      <c r="K8501" s="912" t="s">
        <v>274</v>
      </c>
      <c r="L8501" s="912"/>
      <c r="M8501" s="912"/>
      <c r="N8501" s="912"/>
      <c r="O8501" s="892">
        <f t="shared" si="672"/>
        <v>0</v>
      </c>
      <c r="P8501" s="903">
        <f t="shared" si="674"/>
        <v>1</v>
      </c>
      <c r="Q8501" s="893">
        <f t="shared" si="675"/>
        <v>16</v>
      </c>
      <c r="R8501" s="894">
        <f t="shared" si="676"/>
        <v>0</v>
      </c>
    </row>
    <row r="8502" spans="1:18">
      <c r="A8502" s="905"/>
      <c r="B8502" s="952"/>
      <c r="C8502" s="907">
        <v>318</v>
      </c>
      <c r="D8502" s="907" t="s">
        <v>279</v>
      </c>
      <c r="E8502" s="992" t="s">
        <v>5657</v>
      </c>
      <c r="F8502" s="905" t="s">
        <v>45</v>
      </c>
      <c r="G8502" s="1005"/>
      <c r="H8502" s="911">
        <v>7.4</v>
      </c>
      <c r="I8502" s="912">
        <f>VLOOKUP(E8502,[3]VLP!$B$7:$K$300,10,0)</f>
        <v>25155</v>
      </c>
      <c r="J8502" s="912">
        <f t="shared" si="677"/>
        <v>186147</v>
      </c>
      <c r="K8502" s="912" t="s">
        <v>274</v>
      </c>
      <c r="L8502" s="912"/>
      <c r="M8502" s="912"/>
      <c r="N8502" s="912"/>
      <c r="O8502" s="892">
        <f t="shared" si="672"/>
        <v>0</v>
      </c>
      <c r="P8502" s="903">
        <f t="shared" si="674"/>
        <v>1</v>
      </c>
      <c r="Q8502" s="893">
        <f t="shared" si="675"/>
        <v>15</v>
      </c>
      <c r="R8502" s="894">
        <f t="shared" si="676"/>
        <v>0</v>
      </c>
    </row>
    <row r="8503" spans="1:18" s="847" customFormat="1">
      <c r="A8503" s="905"/>
      <c r="B8503" s="952"/>
      <c r="C8503" s="907">
        <v>234</v>
      </c>
      <c r="D8503" s="907" t="s">
        <v>279</v>
      </c>
      <c r="E8503" s="992" t="s">
        <v>5983</v>
      </c>
      <c r="F8503" s="905" t="s">
        <v>3144</v>
      </c>
      <c r="G8503" s="1005"/>
      <c r="H8503" s="911">
        <v>9</v>
      </c>
      <c r="I8503" s="912">
        <f>VLOOKUP(E8503,[3]VLP!$B$7:$K$300,10,0)</f>
        <v>14000</v>
      </c>
      <c r="J8503" s="912">
        <f t="shared" si="677"/>
        <v>126000</v>
      </c>
      <c r="K8503" s="912" t="s">
        <v>274</v>
      </c>
      <c r="L8503" s="912"/>
      <c r="M8503" s="912"/>
      <c r="N8503" s="912"/>
      <c r="O8503" s="892">
        <f t="shared" si="672"/>
        <v>0</v>
      </c>
      <c r="P8503" s="903">
        <f t="shared" si="674"/>
        <v>1</v>
      </c>
      <c r="Q8503" s="893">
        <f t="shared" si="675"/>
        <v>14</v>
      </c>
      <c r="R8503" s="894">
        <f t="shared" si="676"/>
        <v>0</v>
      </c>
    </row>
    <row r="8504" spans="1:18" s="904" customFormat="1">
      <c r="A8504" s="905"/>
      <c r="B8504" s="952"/>
      <c r="C8504" s="907">
        <v>314</v>
      </c>
      <c r="D8504" s="907" t="s">
        <v>279</v>
      </c>
      <c r="E8504" s="992" t="s">
        <v>3148</v>
      </c>
      <c r="F8504" s="905" t="s">
        <v>2690</v>
      </c>
      <c r="G8504" s="1005"/>
      <c r="H8504" s="911">
        <v>25.33</v>
      </c>
      <c r="I8504" s="912">
        <f>VLOOKUP(E8504,[3]VLP!$B$7:$K$300,10,0)</f>
        <v>10000</v>
      </c>
      <c r="J8504" s="912">
        <f t="shared" si="677"/>
        <v>253299.99999999997</v>
      </c>
      <c r="K8504" s="912" t="s">
        <v>274</v>
      </c>
      <c r="L8504" s="912"/>
      <c r="M8504" s="912"/>
      <c r="N8504" s="912"/>
      <c r="O8504" s="892">
        <f t="shared" si="672"/>
        <v>0</v>
      </c>
      <c r="P8504" s="903">
        <f t="shared" si="674"/>
        <v>1</v>
      </c>
      <c r="Q8504" s="893">
        <f t="shared" si="675"/>
        <v>13</v>
      </c>
      <c r="R8504" s="894">
        <f t="shared" si="676"/>
        <v>0</v>
      </c>
    </row>
    <row r="8505" spans="1:18">
      <c r="A8505" s="905"/>
      <c r="B8505" s="952"/>
      <c r="C8505" s="907">
        <v>315</v>
      </c>
      <c r="D8505" s="907" t="s">
        <v>279</v>
      </c>
      <c r="E8505" s="992" t="s">
        <v>6316</v>
      </c>
      <c r="F8505" s="905" t="s">
        <v>49</v>
      </c>
      <c r="G8505" s="1005"/>
      <c r="H8505" s="911">
        <v>5.4</v>
      </c>
      <c r="I8505" s="912">
        <f>VLOOKUP(E8505,[3]VLP!$B$7:$K$300,10,0)</f>
        <v>8000</v>
      </c>
      <c r="J8505" s="912">
        <f t="shared" si="677"/>
        <v>43200</v>
      </c>
      <c r="K8505" s="912" t="s">
        <v>274</v>
      </c>
      <c r="L8505" s="912"/>
      <c r="M8505" s="912"/>
      <c r="N8505" s="912"/>
      <c r="O8505" s="892">
        <f t="shared" si="672"/>
        <v>0</v>
      </c>
      <c r="P8505" s="903">
        <f t="shared" si="674"/>
        <v>1</v>
      </c>
      <c r="Q8505" s="893">
        <f t="shared" si="675"/>
        <v>12</v>
      </c>
      <c r="R8505" s="894">
        <f t="shared" si="676"/>
        <v>0</v>
      </c>
    </row>
    <row r="8506" spans="1:18" s="847" customFormat="1">
      <c r="A8506" s="905"/>
      <c r="B8506" s="952"/>
      <c r="C8506" s="907">
        <v>309</v>
      </c>
      <c r="D8506" s="907" t="s">
        <v>279</v>
      </c>
      <c r="E8506" s="992" t="s">
        <v>3262</v>
      </c>
      <c r="F8506" s="905" t="s">
        <v>45</v>
      </c>
      <c r="G8506" s="1005"/>
      <c r="H8506" s="911">
        <v>0.4</v>
      </c>
      <c r="I8506" s="912">
        <f>VLOOKUP(E8506,[3]VLP!$B$7:$K$300,10,0)</f>
        <v>66300</v>
      </c>
      <c r="J8506" s="912">
        <f t="shared" si="677"/>
        <v>26520</v>
      </c>
      <c r="K8506" s="912" t="s">
        <v>274</v>
      </c>
      <c r="L8506" s="912"/>
      <c r="M8506" s="912"/>
      <c r="N8506" s="912"/>
      <c r="O8506" s="892">
        <f t="shared" si="672"/>
        <v>0</v>
      </c>
      <c r="P8506" s="903">
        <f t="shared" si="674"/>
        <v>1</v>
      </c>
      <c r="Q8506" s="893">
        <f t="shared" si="675"/>
        <v>11</v>
      </c>
      <c r="R8506" s="894">
        <f t="shared" si="676"/>
        <v>0</v>
      </c>
    </row>
    <row r="8507" spans="1:18" s="904" customFormat="1">
      <c r="A8507" s="905"/>
      <c r="B8507" s="952"/>
      <c r="C8507" s="907">
        <v>321</v>
      </c>
      <c r="D8507" s="907" t="s">
        <v>279</v>
      </c>
      <c r="E8507" s="992" t="s">
        <v>6317</v>
      </c>
      <c r="F8507" s="905" t="s">
        <v>45</v>
      </c>
      <c r="G8507" s="1005"/>
      <c r="H8507" s="911">
        <v>1</v>
      </c>
      <c r="I8507" s="912">
        <f>VLOOKUP(E8507,[3]VLP!$B$7:$K$300,10,0)</f>
        <v>38182</v>
      </c>
      <c r="J8507" s="912">
        <f t="shared" si="677"/>
        <v>38182</v>
      </c>
      <c r="K8507" s="912" t="s">
        <v>274</v>
      </c>
      <c r="L8507" s="912"/>
      <c r="M8507" s="912"/>
      <c r="N8507" s="912"/>
      <c r="O8507" s="892">
        <f t="shared" si="672"/>
        <v>0</v>
      </c>
      <c r="P8507" s="903">
        <f t="shared" si="674"/>
        <v>1</v>
      </c>
      <c r="Q8507" s="893">
        <f t="shared" si="675"/>
        <v>10</v>
      </c>
      <c r="R8507" s="894">
        <f t="shared" si="676"/>
        <v>0</v>
      </c>
    </row>
    <row r="8508" spans="1:18">
      <c r="A8508" s="905"/>
      <c r="B8508" s="952"/>
      <c r="C8508" s="907">
        <v>230</v>
      </c>
      <c r="D8508" s="907" t="s">
        <v>279</v>
      </c>
      <c r="E8508" s="992" t="s">
        <v>6318</v>
      </c>
      <c r="F8508" s="905" t="s">
        <v>45</v>
      </c>
      <c r="G8508" s="1005"/>
      <c r="H8508" s="911">
        <v>8</v>
      </c>
      <c r="I8508" s="912">
        <f>VLOOKUP(E8508,[3]VLP!$B$7:$K$300,10,0)</f>
        <v>14762</v>
      </c>
      <c r="J8508" s="912">
        <f t="shared" si="677"/>
        <v>118096</v>
      </c>
      <c r="K8508" s="912" t="s">
        <v>274</v>
      </c>
      <c r="L8508" s="912"/>
      <c r="M8508" s="912"/>
      <c r="N8508" s="912"/>
      <c r="O8508" s="892">
        <f t="shared" si="672"/>
        <v>0</v>
      </c>
      <c r="P8508" s="903">
        <f t="shared" si="674"/>
        <v>1</v>
      </c>
      <c r="Q8508" s="893">
        <f t="shared" si="675"/>
        <v>9</v>
      </c>
      <c r="R8508" s="894">
        <f t="shared" si="676"/>
        <v>0</v>
      </c>
    </row>
    <row r="8509" spans="1:18" s="847" customFormat="1">
      <c r="A8509" s="905"/>
      <c r="B8509" s="952"/>
      <c r="C8509" s="907">
        <v>235</v>
      </c>
      <c r="D8509" s="907" t="s">
        <v>279</v>
      </c>
      <c r="E8509" s="992" t="s">
        <v>2682</v>
      </c>
      <c r="F8509" s="905" t="s">
        <v>45</v>
      </c>
      <c r="G8509" s="1005"/>
      <c r="H8509" s="911">
        <v>10</v>
      </c>
      <c r="I8509" s="912">
        <f>VLOOKUP(E8509,[3]VLP!$B$7:$K$300,10,0)</f>
        <v>5000</v>
      </c>
      <c r="J8509" s="912">
        <f t="shared" si="677"/>
        <v>50000</v>
      </c>
      <c r="K8509" s="912" t="s">
        <v>274</v>
      </c>
      <c r="L8509" s="912"/>
      <c r="M8509" s="912"/>
      <c r="N8509" s="912"/>
      <c r="O8509" s="892">
        <f t="shared" si="672"/>
        <v>0</v>
      </c>
      <c r="P8509" s="903">
        <f t="shared" si="674"/>
        <v>1</v>
      </c>
      <c r="Q8509" s="893">
        <f t="shared" si="675"/>
        <v>8</v>
      </c>
      <c r="R8509" s="894">
        <f t="shared" si="676"/>
        <v>0</v>
      </c>
    </row>
    <row r="8510" spans="1:18" s="904" customFormat="1">
      <c r="A8510" s="905"/>
      <c r="B8510" s="952"/>
      <c r="C8510" s="907">
        <v>237</v>
      </c>
      <c r="D8510" s="907" t="s">
        <v>279</v>
      </c>
      <c r="E8510" s="992" t="s">
        <v>6312</v>
      </c>
      <c r="F8510" s="905" t="s">
        <v>47</v>
      </c>
      <c r="G8510" s="1005"/>
      <c r="H8510" s="911">
        <v>0.36</v>
      </c>
      <c r="I8510" s="912">
        <f>VLOOKUP(E8510,[3]VLP!$B$7:$K$300,10,0)</f>
        <v>4545455</v>
      </c>
      <c r="J8510" s="912">
        <f t="shared" si="677"/>
        <v>1636363.8</v>
      </c>
      <c r="K8510" s="912" t="s">
        <v>274</v>
      </c>
      <c r="L8510" s="912"/>
      <c r="M8510" s="912"/>
      <c r="N8510" s="912"/>
      <c r="O8510" s="892">
        <f t="shared" si="672"/>
        <v>0</v>
      </c>
      <c r="P8510" s="903">
        <f t="shared" si="674"/>
        <v>1</v>
      </c>
      <c r="Q8510" s="893">
        <f t="shared" si="675"/>
        <v>7</v>
      </c>
      <c r="R8510" s="894">
        <f t="shared" si="676"/>
        <v>0</v>
      </c>
    </row>
    <row r="8511" spans="1:18">
      <c r="A8511" s="905"/>
      <c r="B8511" s="952"/>
      <c r="C8511" s="907">
        <v>699</v>
      </c>
      <c r="D8511" s="907" t="s">
        <v>279</v>
      </c>
      <c r="E8511" s="992" t="s">
        <v>4006</v>
      </c>
      <c r="F8511" s="905" t="s">
        <v>4007</v>
      </c>
      <c r="G8511" s="1005"/>
      <c r="H8511" s="911">
        <v>5</v>
      </c>
      <c r="I8511" s="912">
        <f>VLOOKUP(E8511,[3]VLP!$B$7:$K$300,10,0)</f>
        <v>5000</v>
      </c>
      <c r="J8511" s="912">
        <f t="shared" si="677"/>
        <v>25000</v>
      </c>
      <c r="K8511" s="912" t="s">
        <v>274</v>
      </c>
      <c r="L8511" s="912"/>
      <c r="M8511" s="912"/>
      <c r="N8511" s="912"/>
      <c r="O8511" s="892">
        <f t="shared" si="672"/>
        <v>0</v>
      </c>
      <c r="P8511" s="903">
        <f t="shared" si="674"/>
        <v>1</v>
      </c>
      <c r="Q8511" s="893">
        <f t="shared" si="675"/>
        <v>6</v>
      </c>
      <c r="R8511" s="894">
        <f t="shared" si="676"/>
        <v>0</v>
      </c>
    </row>
    <row r="8512" spans="1:18" s="847" customFormat="1">
      <c r="A8512" s="895"/>
      <c r="B8512" s="896"/>
      <c r="C8512" s="897"/>
      <c r="D8512" s="897"/>
      <c r="E8512" s="1002" t="s">
        <v>276</v>
      </c>
      <c r="F8512" s="1003"/>
      <c r="G8512" s="1004"/>
      <c r="H8512" s="901"/>
      <c r="I8512" s="902"/>
      <c r="J8512" s="902"/>
      <c r="K8512" s="912" t="s">
        <v>274</v>
      </c>
      <c r="L8512" s="902"/>
      <c r="M8512" s="902"/>
      <c r="N8512" s="902"/>
      <c r="O8512" s="892">
        <f t="shared" si="672"/>
        <v>0</v>
      </c>
      <c r="P8512" s="903">
        <f t="shared" si="674"/>
        <v>1</v>
      </c>
      <c r="Q8512" s="893">
        <f t="shared" si="675"/>
        <v>5</v>
      </c>
      <c r="R8512" s="894">
        <f t="shared" si="676"/>
        <v>0</v>
      </c>
    </row>
    <row r="8513" spans="1:18" s="904" customFormat="1">
      <c r="A8513" s="905"/>
      <c r="B8513" s="952"/>
      <c r="C8513" s="907">
        <v>745</v>
      </c>
      <c r="D8513" s="907" t="s">
        <v>12</v>
      </c>
      <c r="E8513" s="992" t="s">
        <v>5518</v>
      </c>
      <c r="F8513" s="905" t="s">
        <v>2674</v>
      </c>
      <c r="G8513" s="1005"/>
      <c r="H8513" s="911">
        <v>389</v>
      </c>
      <c r="I8513" s="912"/>
      <c r="J8513" s="912"/>
      <c r="K8513" s="912">
        <f>VLOOKUP(E8513,[5]ĐMNC!$A$7:$F$67,4,0)</f>
        <v>240557</v>
      </c>
      <c r="L8513" s="912">
        <f>H8513*K8513</f>
        <v>93576673</v>
      </c>
      <c r="M8513" s="912"/>
      <c r="N8513" s="912"/>
      <c r="O8513" s="892">
        <f t="shared" si="672"/>
        <v>0</v>
      </c>
      <c r="P8513" s="903">
        <f t="shared" si="674"/>
        <v>1</v>
      </c>
      <c r="Q8513" s="893">
        <f t="shared" si="675"/>
        <v>4</v>
      </c>
      <c r="R8513" s="894">
        <f t="shared" si="676"/>
        <v>0</v>
      </c>
    </row>
    <row r="8514" spans="1:18">
      <c r="A8514" s="895"/>
      <c r="B8514" s="896"/>
      <c r="C8514" s="897"/>
      <c r="D8514" s="897"/>
      <c r="E8514" s="1002" t="s">
        <v>3914</v>
      </c>
      <c r="F8514" s="1003"/>
      <c r="G8514" s="1004"/>
      <c r="H8514" s="901"/>
      <c r="I8514" s="902"/>
      <c r="J8514" s="902"/>
      <c r="K8514" s="912" t="s">
        <v>274</v>
      </c>
      <c r="L8514" s="902"/>
      <c r="M8514" s="902"/>
      <c r="N8514" s="902"/>
      <c r="O8514" s="892">
        <f t="shared" si="672"/>
        <v>0</v>
      </c>
      <c r="P8514" s="903">
        <f t="shared" si="674"/>
        <v>1</v>
      </c>
      <c r="Q8514" s="893">
        <f t="shared" si="675"/>
        <v>3</v>
      </c>
      <c r="R8514" s="894">
        <f t="shared" si="676"/>
        <v>0</v>
      </c>
    </row>
    <row r="8515" spans="1:18" s="847" customFormat="1">
      <c r="A8515" s="905"/>
      <c r="B8515" s="952" t="s">
        <v>6326</v>
      </c>
      <c r="C8515" s="907">
        <v>902</v>
      </c>
      <c r="D8515" s="907" t="s">
        <v>93</v>
      </c>
      <c r="E8515" s="992" t="s">
        <v>6327</v>
      </c>
      <c r="F8515" s="905" t="s">
        <v>2673</v>
      </c>
      <c r="G8515" s="1005"/>
      <c r="H8515" s="911">
        <v>2.1800000000000002</v>
      </c>
      <c r="I8515" s="912"/>
      <c r="J8515" s="912"/>
      <c r="K8515" s="912"/>
      <c r="L8515" s="912"/>
      <c r="M8515" s="912">
        <f>VLOOKUP(B8515,MTC!$B$9:$S$933,12,0)</f>
        <v>2218057</v>
      </c>
      <c r="N8515" s="912">
        <f>M8515*H8515</f>
        <v>4835364.2600000007</v>
      </c>
      <c r="O8515" s="892">
        <f t="shared" si="672"/>
        <v>0</v>
      </c>
      <c r="P8515" s="903">
        <f t="shared" si="674"/>
        <v>1</v>
      </c>
      <c r="Q8515" s="893">
        <f t="shared" si="675"/>
        <v>2</v>
      </c>
      <c r="R8515" s="894">
        <f t="shared" si="676"/>
        <v>0</v>
      </c>
    </row>
    <row r="8516" spans="1:18" s="904" customFormat="1">
      <c r="A8516" s="905"/>
      <c r="B8516" s="946" t="s">
        <v>6321</v>
      </c>
      <c r="C8516" s="907">
        <v>900</v>
      </c>
      <c r="D8516" s="907" t="s">
        <v>93</v>
      </c>
      <c r="E8516" s="992" t="s">
        <v>6322</v>
      </c>
      <c r="F8516" s="905" t="s">
        <v>2673</v>
      </c>
      <c r="G8516" s="1005"/>
      <c r="H8516" s="911">
        <v>0.65</v>
      </c>
      <c r="I8516" s="912"/>
      <c r="J8516" s="912"/>
      <c r="K8516" s="912"/>
      <c r="L8516" s="912"/>
      <c r="M8516" s="912">
        <f>VLOOKUP(B8516,MTC!$B$9:$S$933,12,0)</f>
        <v>1475268</v>
      </c>
      <c r="N8516" s="912">
        <f>M8516*H8516</f>
        <v>958924.20000000007</v>
      </c>
      <c r="O8516" s="892">
        <f t="shared" si="672"/>
        <v>0</v>
      </c>
      <c r="P8516" s="903">
        <f t="shared" si="674"/>
        <v>1</v>
      </c>
      <c r="Q8516" s="893">
        <f t="shared" si="675"/>
        <v>1</v>
      </c>
      <c r="R8516" s="894">
        <f t="shared" si="676"/>
        <v>0</v>
      </c>
    </row>
    <row r="8517" spans="1:18" ht="31.5">
      <c r="A8517" s="905"/>
      <c r="B8517" s="914" t="s">
        <v>6330</v>
      </c>
      <c r="C8517" s="915"/>
      <c r="D8517" s="915"/>
      <c r="E8517" s="1006" t="s">
        <v>6331</v>
      </c>
      <c r="F8517" s="1007" t="s">
        <v>160</v>
      </c>
      <c r="G8517" s="1008"/>
      <c r="H8517" s="919"/>
      <c r="I8517" s="920"/>
      <c r="J8517" s="1000">
        <f>SUM(J8518:J8535)</f>
        <v>3684622</v>
      </c>
      <c r="K8517" s="912" t="s">
        <v>274</v>
      </c>
      <c r="L8517" s="1000">
        <f>SUM(L8518:L8535)</f>
        <v>112580676</v>
      </c>
      <c r="M8517" s="1001"/>
      <c r="N8517" s="1000">
        <f>SUM(N8518:N8535)</f>
        <v>5247928.1400000006</v>
      </c>
      <c r="O8517" s="892">
        <f t="shared" si="672"/>
        <v>1</v>
      </c>
      <c r="P8517" s="903">
        <f t="shared" si="674"/>
        <v>0</v>
      </c>
      <c r="Q8517" s="893">
        <f t="shared" si="675"/>
        <v>0</v>
      </c>
      <c r="R8517" s="894">
        <f t="shared" si="676"/>
        <v>18</v>
      </c>
    </row>
    <row r="8518" spans="1:18" s="847" customFormat="1">
      <c r="A8518" s="895"/>
      <c r="B8518" s="896"/>
      <c r="C8518" s="897"/>
      <c r="D8518" s="897"/>
      <c r="E8518" s="1002" t="s">
        <v>108</v>
      </c>
      <c r="F8518" s="1003"/>
      <c r="G8518" s="1004"/>
      <c r="H8518" s="901"/>
      <c r="I8518" s="902"/>
      <c r="J8518" s="902"/>
      <c r="K8518" s="912" t="s">
        <v>274</v>
      </c>
      <c r="L8518" s="902"/>
      <c r="M8518" s="902"/>
      <c r="N8518" s="902"/>
      <c r="O8518" s="892">
        <f t="shared" si="672"/>
        <v>0</v>
      </c>
      <c r="P8518" s="903">
        <f t="shared" si="674"/>
        <v>1</v>
      </c>
      <c r="Q8518" s="893">
        <f t="shared" si="675"/>
        <v>18</v>
      </c>
      <c r="R8518" s="894">
        <f t="shared" si="676"/>
        <v>0</v>
      </c>
    </row>
    <row r="8519" spans="1:18" s="904" customFormat="1">
      <c r="A8519" s="905"/>
      <c r="B8519" s="952"/>
      <c r="C8519" s="907">
        <v>212</v>
      </c>
      <c r="D8519" s="907" t="s">
        <v>279</v>
      </c>
      <c r="E8519" s="992" t="s">
        <v>2681</v>
      </c>
      <c r="F8519" s="905" t="s">
        <v>45</v>
      </c>
      <c r="G8519" s="1005"/>
      <c r="H8519" s="911">
        <v>1.1000000000000001</v>
      </c>
      <c r="I8519" s="912">
        <f>VLOOKUP(E8519,[3]VLP!$B$7:$K$300,10,0)</f>
        <v>23000</v>
      </c>
      <c r="J8519" s="912">
        <f t="shared" ref="J8519:J8530" si="678">I8519*H8519</f>
        <v>25300.000000000004</v>
      </c>
      <c r="K8519" s="912" t="s">
        <v>274</v>
      </c>
      <c r="L8519" s="912"/>
      <c r="M8519" s="912"/>
      <c r="N8519" s="912"/>
      <c r="O8519" s="892">
        <f t="shared" si="672"/>
        <v>0</v>
      </c>
      <c r="P8519" s="903">
        <f t="shared" si="674"/>
        <v>1</v>
      </c>
      <c r="Q8519" s="893">
        <f t="shared" si="675"/>
        <v>17</v>
      </c>
      <c r="R8519" s="894">
        <f t="shared" si="676"/>
        <v>0</v>
      </c>
    </row>
    <row r="8520" spans="1:18">
      <c r="A8520" s="905"/>
      <c r="B8520" s="952"/>
      <c r="C8520" s="907">
        <v>289</v>
      </c>
      <c r="D8520" s="907" t="s">
        <v>279</v>
      </c>
      <c r="E8520" s="992" t="s">
        <v>3147</v>
      </c>
      <c r="F8520" s="905" t="s">
        <v>45</v>
      </c>
      <c r="G8520" s="1005"/>
      <c r="H8520" s="911">
        <v>0.4</v>
      </c>
      <c r="I8520" s="912">
        <f>VLOOKUP(E8520,[3]VLP!$B$7:$K$300,10,0)</f>
        <v>45000</v>
      </c>
      <c r="J8520" s="912">
        <f t="shared" si="678"/>
        <v>18000</v>
      </c>
      <c r="K8520" s="912" t="s">
        <v>274</v>
      </c>
      <c r="L8520" s="912"/>
      <c r="M8520" s="912"/>
      <c r="N8520" s="912"/>
      <c r="O8520" s="892">
        <f t="shared" si="672"/>
        <v>0</v>
      </c>
      <c r="P8520" s="903">
        <f t="shared" si="674"/>
        <v>1</v>
      </c>
      <c r="Q8520" s="893">
        <f t="shared" si="675"/>
        <v>16</v>
      </c>
      <c r="R8520" s="894">
        <f t="shared" si="676"/>
        <v>0</v>
      </c>
    </row>
    <row r="8521" spans="1:18" s="847" customFormat="1">
      <c r="A8521" s="905"/>
      <c r="B8521" s="952"/>
      <c r="C8521" s="907">
        <v>318</v>
      </c>
      <c r="D8521" s="907" t="s">
        <v>279</v>
      </c>
      <c r="E8521" s="992" t="s">
        <v>5657</v>
      </c>
      <c r="F8521" s="905" t="s">
        <v>45</v>
      </c>
      <c r="G8521" s="1005"/>
      <c r="H8521" s="911">
        <v>5.4</v>
      </c>
      <c r="I8521" s="912">
        <f>VLOOKUP(E8521,[3]VLP!$B$7:$K$300,10,0)</f>
        <v>25155</v>
      </c>
      <c r="J8521" s="912">
        <f t="shared" si="678"/>
        <v>135837</v>
      </c>
      <c r="K8521" s="912" t="s">
        <v>274</v>
      </c>
      <c r="L8521" s="912"/>
      <c r="M8521" s="912"/>
      <c r="N8521" s="912"/>
      <c r="O8521" s="892">
        <f t="shared" si="672"/>
        <v>0</v>
      </c>
      <c r="P8521" s="903">
        <f t="shared" si="674"/>
        <v>1</v>
      </c>
      <c r="Q8521" s="893">
        <f t="shared" si="675"/>
        <v>15</v>
      </c>
      <c r="R8521" s="894">
        <f t="shared" si="676"/>
        <v>0</v>
      </c>
    </row>
    <row r="8522" spans="1:18" s="904" customFormat="1">
      <c r="A8522" s="905"/>
      <c r="B8522" s="952"/>
      <c r="C8522" s="907">
        <v>234</v>
      </c>
      <c r="D8522" s="907" t="s">
        <v>279</v>
      </c>
      <c r="E8522" s="992" t="s">
        <v>5983</v>
      </c>
      <c r="F8522" s="905" t="s">
        <v>45</v>
      </c>
      <c r="G8522" s="1005"/>
      <c r="H8522" s="911">
        <v>6</v>
      </c>
      <c r="I8522" s="912">
        <f>VLOOKUP(E8522,[3]VLP!$B$7:$K$300,10,0)</f>
        <v>14000</v>
      </c>
      <c r="J8522" s="912">
        <f t="shared" si="678"/>
        <v>84000</v>
      </c>
      <c r="K8522" s="912" t="s">
        <v>274</v>
      </c>
      <c r="L8522" s="912"/>
      <c r="M8522" s="912"/>
      <c r="N8522" s="912"/>
      <c r="O8522" s="892">
        <f t="shared" si="672"/>
        <v>0</v>
      </c>
      <c r="P8522" s="903">
        <f t="shared" si="674"/>
        <v>1</v>
      </c>
      <c r="Q8522" s="893">
        <f t="shared" si="675"/>
        <v>14</v>
      </c>
      <c r="R8522" s="894">
        <f t="shared" si="676"/>
        <v>0</v>
      </c>
    </row>
    <row r="8523" spans="1:18">
      <c r="A8523" s="905"/>
      <c r="B8523" s="952"/>
      <c r="C8523" s="907">
        <v>314</v>
      </c>
      <c r="D8523" s="907" t="s">
        <v>279</v>
      </c>
      <c r="E8523" s="992" t="s">
        <v>3148</v>
      </c>
      <c r="F8523" s="905" t="s">
        <v>45</v>
      </c>
      <c r="G8523" s="1005"/>
      <c r="H8523" s="911">
        <v>45</v>
      </c>
      <c r="I8523" s="912">
        <f>VLOOKUP(E8523,[3]VLP!$B$7:$K$300,10,0)</f>
        <v>10000</v>
      </c>
      <c r="J8523" s="912">
        <f t="shared" si="678"/>
        <v>450000</v>
      </c>
      <c r="K8523" s="912" t="s">
        <v>274</v>
      </c>
      <c r="L8523" s="912"/>
      <c r="M8523" s="912"/>
      <c r="N8523" s="912"/>
      <c r="O8523" s="892">
        <f t="shared" si="672"/>
        <v>0</v>
      </c>
      <c r="P8523" s="903">
        <f t="shared" si="674"/>
        <v>1</v>
      </c>
      <c r="Q8523" s="893">
        <f t="shared" si="675"/>
        <v>13</v>
      </c>
      <c r="R8523" s="894">
        <f t="shared" si="676"/>
        <v>0</v>
      </c>
    </row>
    <row r="8524" spans="1:18" s="847" customFormat="1">
      <c r="A8524" s="905"/>
      <c r="B8524" s="952"/>
      <c r="C8524" s="907">
        <v>315</v>
      </c>
      <c r="D8524" s="907" t="s">
        <v>279</v>
      </c>
      <c r="E8524" s="992" t="s">
        <v>6316</v>
      </c>
      <c r="F8524" s="905" t="s">
        <v>3144</v>
      </c>
      <c r="G8524" s="1005"/>
      <c r="H8524" s="911">
        <v>5.4</v>
      </c>
      <c r="I8524" s="912">
        <f>VLOOKUP(E8524,[3]VLP!$B$7:$K$300,10,0)</f>
        <v>8000</v>
      </c>
      <c r="J8524" s="912">
        <f t="shared" si="678"/>
        <v>43200</v>
      </c>
      <c r="K8524" s="912" t="s">
        <v>274</v>
      </c>
      <c r="L8524" s="912"/>
      <c r="M8524" s="912"/>
      <c r="N8524" s="912"/>
      <c r="O8524" s="892">
        <f t="shared" si="672"/>
        <v>0</v>
      </c>
      <c r="P8524" s="903">
        <f t="shared" si="674"/>
        <v>1</v>
      </c>
      <c r="Q8524" s="893">
        <f t="shared" si="675"/>
        <v>12</v>
      </c>
      <c r="R8524" s="894">
        <f t="shared" si="676"/>
        <v>0</v>
      </c>
    </row>
    <row r="8525" spans="1:18" s="904" customFormat="1">
      <c r="A8525" s="905"/>
      <c r="B8525" s="952"/>
      <c r="C8525" s="907">
        <v>309</v>
      </c>
      <c r="D8525" s="907" t="s">
        <v>279</v>
      </c>
      <c r="E8525" s="992" t="s">
        <v>3262</v>
      </c>
      <c r="F8525" s="905" t="s">
        <v>2690</v>
      </c>
      <c r="G8525" s="1005"/>
      <c r="H8525" s="911">
        <v>0.4</v>
      </c>
      <c r="I8525" s="912">
        <f>VLOOKUP(E8525,[3]VLP!$B$7:$K$300,10,0)</f>
        <v>66300</v>
      </c>
      <c r="J8525" s="912">
        <f t="shared" si="678"/>
        <v>26520</v>
      </c>
      <c r="K8525" s="912" t="s">
        <v>274</v>
      </c>
      <c r="L8525" s="912"/>
      <c r="M8525" s="912"/>
      <c r="N8525" s="912"/>
      <c r="O8525" s="892">
        <f t="shared" si="672"/>
        <v>0</v>
      </c>
      <c r="P8525" s="903">
        <f t="shared" si="674"/>
        <v>1</v>
      </c>
      <c r="Q8525" s="893">
        <f t="shared" si="675"/>
        <v>11</v>
      </c>
      <c r="R8525" s="894">
        <f t="shared" si="676"/>
        <v>0</v>
      </c>
    </row>
    <row r="8526" spans="1:18">
      <c r="A8526" s="905"/>
      <c r="B8526" s="952"/>
      <c r="C8526" s="907">
        <v>321</v>
      </c>
      <c r="D8526" s="907" t="s">
        <v>279</v>
      </c>
      <c r="E8526" s="992" t="s">
        <v>6317</v>
      </c>
      <c r="F8526" s="905" t="s">
        <v>49</v>
      </c>
      <c r="G8526" s="1005"/>
      <c r="H8526" s="911">
        <v>1</v>
      </c>
      <c r="I8526" s="912">
        <f>VLOOKUP(E8526,[3]VLP!$B$7:$K$300,10,0)</f>
        <v>38182</v>
      </c>
      <c r="J8526" s="912">
        <f t="shared" si="678"/>
        <v>38182</v>
      </c>
      <c r="K8526" s="912" t="s">
        <v>274</v>
      </c>
      <c r="L8526" s="912"/>
      <c r="M8526" s="912"/>
      <c r="N8526" s="912"/>
      <c r="O8526" s="892">
        <f t="shared" si="672"/>
        <v>0</v>
      </c>
      <c r="P8526" s="903">
        <f t="shared" si="674"/>
        <v>1</v>
      </c>
      <c r="Q8526" s="893">
        <f t="shared" si="675"/>
        <v>10</v>
      </c>
      <c r="R8526" s="894">
        <f t="shared" si="676"/>
        <v>0</v>
      </c>
    </row>
    <row r="8527" spans="1:18" s="847" customFormat="1">
      <c r="A8527" s="905"/>
      <c r="B8527" s="952"/>
      <c r="C8527" s="907">
        <v>230</v>
      </c>
      <c r="D8527" s="907" t="s">
        <v>279</v>
      </c>
      <c r="E8527" s="992" t="s">
        <v>6318</v>
      </c>
      <c r="F8527" s="905" t="s">
        <v>45</v>
      </c>
      <c r="G8527" s="1005"/>
      <c r="H8527" s="911">
        <v>5</v>
      </c>
      <c r="I8527" s="912">
        <f>VLOOKUP(E8527,[3]VLP!$B$7:$K$300,10,0)</f>
        <v>14762</v>
      </c>
      <c r="J8527" s="912">
        <f t="shared" si="678"/>
        <v>73810</v>
      </c>
      <c r="K8527" s="912" t="s">
        <v>274</v>
      </c>
      <c r="L8527" s="912"/>
      <c r="M8527" s="912"/>
      <c r="N8527" s="912"/>
      <c r="O8527" s="892">
        <f t="shared" si="672"/>
        <v>0</v>
      </c>
      <c r="P8527" s="903">
        <f t="shared" si="674"/>
        <v>1</v>
      </c>
      <c r="Q8527" s="893">
        <f t="shared" si="675"/>
        <v>9</v>
      </c>
      <c r="R8527" s="894">
        <f t="shared" si="676"/>
        <v>0</v>
      </c>
    </row>
    <row r="8528" spans="1:18" s="904" customFormat="1">
      <c r="A8528" s="905"/>
      <c r="B8528" s="952"/>
      <c r="C8528" s="907">
        <v>235</v>
      </c>
      <c r="D8528" s="907" t="s">
        <v>279</v>
      </c>
      <c r="E8528" s="992" t="s">
        <v>2682</v>
      </c>
      <c r="F8528" s="905" t="s">
        <v>45</v>
      </c>
      <c r="G8528" s="1005"/>
      <c r="H8528" s="911">
        <v>7.5</v>
      </c>
      <c r="I8528" s="912">
        <f>VLOOKUP(E8528,[3]VLP!$B$7:$K$300,10,0)</f>
        <v>5000</v>
      </c>
      <c r="J8528" s="912">
        <f t="shared" si="678"/>
        <v>37500</v>
      </c>
      <c r="K8528" s="912" t="s">
        <v>274</v>
      </c>
      <c r="L8528" s="912"/>
      <c r="M8528" s="912"/>
      <c r="N8528" s="912"/>
      <c r="O8528" s="892">
        <f t="shared" si="672"/>
        <v>0</v>
      </c>
      <c r="P8528" s="903">
        <f t="shared" si="674"/>
        <v>1</v>
      </c>
      <c r="Q8528" s="893">
        <f t="shared" si="675"/>
        <v>8</v>
      </c>
      <c r="R8528" s="894">
        <f t="shared" si="676"/>
        <v>0</v>
      </c>
    </row>
    <row r="8529" spans="1:18">
      <c r="A8529" s="905"/>
      <c r="B8529" s="952"/>
      <c r="C8529" s="907">
        <v>237</v>
      </c>
      <c r="D8529" s="907" t="s">
        <v>279</v>
      </c>
      <c r="E8529" s="992" t="s">
        <v>6312</v>
      </c>
      <c r="F8529" s="905" t="s">
        <v>47</v>
      </c>
      <c r="G8529" s="1005"/>
      <c r="H8529" s="911">
        <v>0.6</v>
      </c>
      <c r="I8529" s="912">
        <f>VLOOKUP(E8529,[3]VLP!$B$7:$K$300,10,0)</f>
        <v>4545455</v>
      </c>
      <c r="J8529" s="912">
        <f t="shared" si="678"/>
        <v>2727273</v>
      </c>
      <c r="K8529" s="912" t="s">
        <v>274</v>
      </c>
      <c r="L8529" s="912"/>
      <c r="M8529" s="912"/>
      <c r="N8529" s="912"/>
      <c r="O8529" s="892">
        <f t="shared" si="672"/>
        <v>0</v>
      </c>
      <c r="P8529" s="903">
        <f t="shared" si="674"/>
        <v>1</v>
      </c>
      <c r="Q8529" s="893">
        <f t="shared" si="675"/>
        <v>7</v>
      </c>
      <c r="R8529" s="894">
        <f t="shared" si="676"/>
        <v>0</v>
      </c>
    </row>
    <row r="8530" spans="1:18" s="847" customFormat="1">
      <c r="A8530" s="905"/>
      <c r="B8530" s="952"/>
      <c r="C8530" s="907">
        <v>699</v>
      </c>
      <c r="D8530" s="907" t="s">
        <v>279</v>
      </c>
      <c r="E8530" s="992" t="s">
        <v>4006</v>
      </c>
      <c r="F8530" s="905" t="s">
        <v>4007</v>
      </c>
      <c r="G8530" s="1005"/>
      <c r="H8530" s="911">
        <v>5</v>
      </c>
      <c r="I8530" s="912">
        <f>VLOOKUP(E8530,[3]VLP!$B$7:$K$300,10,0)</f>
        <v>5000</v>
      </c>
      <c r="J8530" s="912">
        <f t="shared" si="678"/>
        <v>25000</v>
      </c>
      <c r="K8530" s="912" t="s">
        <v>274</v>
      </c>
      <c r="L8530" s="912"/>
      <c r="M8530" s="912"/>
      <c r="N8530" s="912"/>
      <c r="O8530" s="892">
        <f t="shared" si="672"/>
        <v>0</v>
      </c>
      <c r="P8530" s="903">
        <f t="shared" si="674"/>
        <v>1</v>
      </c>
      <c r="Q8530" s="893">
        <f t="shared" si="675"/>
        <v>6</v>
      </c>
      <c r="R8530" s="894">
        <f t="shared" si="676"/>
        <v>0</v>
      </c>
    </row>
    <row r="8531" spans="1:18" s="904" customFormat="1">
      <c r="A8531" s="895"/>
      <c r="B8531" s="896"/>
      <c r="C8531" s="897"/>
      <c r="D8531" s="897"/>
      <c r="E8531" s="1002" t="s">
        <v>276</v>
      </c>
      <c r="F8531" s="1003"/>
      <c r="G8531" s="1004"/>
      <c r="H8531" s="901"/>
      <c r="I8531" s="902"/>
      <c r="J8531" s="902"/>
      <c r="K8531" s="912" t="s">
        <v>274</v>
      </c>
      <c r="L8531" s="902"/>
      <c r="M8531" s="902"/>
      <c r="N8531" s="902"/>
      <c r="O8531" s="892">
        <f t="shared" si="672"/>
        <v>0</v>
      </c>
      <c r="P8531" s="903">
        <f t="shared" si="674"/>
        <v>1</v>
      </c>
      <c r="Q8531" s="893">
        <f t="shared" si="675"/>
        <v>5</v>
      </c>
      <c r="R8531" s="894">
        <f t="shared" si="676"/>
        <v>0</v>
      </c>
    </row>
    <row r="8532" spans="1:18">
      <c r="A8532" s="905"/>
      <c r="B8532" s="952"/>
      <c r="C8532" s="907">
        <v>745</v>
      </c>
      <c r="D8532" s="907" t="s">
        <v>12</v>
      </c>
      <c r="E8532" s="992" t="s">
        <v>5518</v>
      </c>
      <c r="F8532" s="905" t="s">
        <v>2674</v>
      </c>
      <c r="G8532" s="1005"/>
      <c r="H8532" s="911">
        <v>468</v>
      </c>
      <c r="I8532" s="912"/>
      <c r="J8532" s="912"/>
      <c r="K8532" s="912">
        <f>VLOOKUP(E8532,[5]ĐMNC!$A$7:$F$67,4,0)</f>
        <v>240557</v>
      </c>
      <c r="L8532" s="912">
        <f>H8532*K8532</f>
        <v>112580676</v>
      </c>
      <c r="M8532" s="912"/>
      <c r="N8532" s="912"/>
      <c r="O8532" s="892">
        <f t="shared" si="672"/>
        <v>0</v>
      </c>
      <c r="P8532" s="903">
        <f t="shared" si="674"/>
        <v>1</v>
      </c>
      <c r="Q8532" s="893">
        <f t="shared" si="675"/>
        <v>4</v>
      </c>
      <c r="R8532" s="894">
        <f t="shared" si="676"/>
        <v>0</v>
      </c>
    </row>
    <row r="8533" spans="1:18" s="847" customFormat="1">
      <c r="A8533" s="895"/>
      <c r="B8533" s="896"/>
      <c r="C8533" s="897"/>
      <c r="D8533" s="897"/>
      <c r="E8533" s="1002" t="s">
        <v>3914</v>
      </c>
      <c r="F8533" s="1003"/>
      <c r="G8533" s="1004"/>
      <c r="H8533" s="901"/>
      <c r="I8533" s="902"/>
      <c r="J8533" s="902"/>
      <c r="K8533" s="912" t="s">
        <v>274</v>
      </c>
      <c r="L8533" s="902"/>
      <c r="M8533" s="902"/>
      <c r="N8533" s="902"/>
      <c r="O8533" s="892">
        <f t="shared" si="672"/>
        <v>0</v>
      </c>
      <c r="P8533" s="903">
        <f t="shared" si="674"/>
        <v>1</v>
      </c>
      <c r="Q8533" s="893">
        <f t="shared" si="675"/>
        <v>3</v>
      </c>
      <c r="R8533" s="894">
        <f t="shared" si="676"/>
        <v>0</v>
      </c>
    </row>
    <row r="8534" spans="1:18" s="904" customFormat="1">
      <c r="A8534" s="905"/>
      <c r="B8534" s="952" t="s">
        <v>6332</v>
      </c>
      <c r="C8534" s="907">
        <v>901</v>
      </c>
      <c r="D8534" s="907" t="s">
        <v>93</v>
      </c>
      <c r="E8534" s="992" t="s">
        <v>6333</v>
      </c>
      <c r="F8534" s="905" t="s">
        <v>2673</v>
      </c>
      <c r="G8534" s="1005"/>
      <c r="H8534" s="911">
        <v>2.1800000000000002</v>
      </c>
      <c r="I8534" s="912"/>
      <c r="J8534" s="912"/>
      <c r="K8534" s="912"/>
      <c r="L8534" s="912"/>
      <c r="M8534" s="912">
        <f>VLOOKUP(B8534,MTC!$B$9:$S$933,12,0)</f>
        <v>1967433</v>
      </c>
      <c r="N8534" s="912">
        <f>M8534*H8534</f>
        <v>4289003.9400000004</v>
      </c>
      <c r="O8534" s="892">
        <f t="shared" si="672"/>
        <v>0</v>
      </c>
      <c r="P8534" s="903">
        <f t="shared" si="674"/>
        <v>1</v>
      </c>
      <c r="Q8534" s="893">
        <f t="shared" si="675"/>
        <v>2</v>
      </c>
      <c r="R8534" s="894">
        <f t="shared" si="676"/>
        <v>0</v>
      </c>
    </row>
    <row r="8535" spans="1:18">
      <c r="A8535" s="905"/>
      <c r="B8535" s="946" t="s">
        <v>6321</v>
      </c>
      <c r="C8535" s="907">
        <v>900</v>
      </c>
      <c r="D8535" s="907" t="s">
        <v>93</v>
      </c>
      <c r="E8535" s="992" t="s">
        <v>6322</v>
      </c>
      <c r="F8535" s="905" t="s">
        <v>2673</v>
      </c>
      <c r="G8535" s="1005"/>
      <c r="H8535" s="911">
        <v>0.65</v>
      </c>
      <c r="I8535" s="912"/>
      <c r="J8535" s="912"/>
      <c r="K8535" s="912"/>
      <c r="L8535" s="912"/>
      <c r="M8535" s="912">
        <f>VLOOKUP(B8535,MTC!$B$9:$S$933,12,0)</f>
        <v>1475268</v>
      </c>
      <c r="N8535" s="912">
        <f>M8535*H8535</f>
        <v>958924.20000000007</v>
      </c>
      <c r="O8535" s="892">
        <f t="shared" si="672"/>
        <v>0</v>
      </c>
      <c r="P8535" s="903">
        <f t="shared" si="674"/>
        <v>1</v>
      </c>
      <c r="Q8535" s="893">
        <f t="shared" si="675"/>
        <v>1</v>
      </c>
      <c r="R8535" s="894">
        <f t="shared" si="676"/>
        <v>0</v>
      </c>
    </row>
    <row r="8536" spans="1:18" s="847" customFormat="1" ht="31.5">
      <c r="A8536" s="905"/>
      <c r="B8536" s="914" t="s">
        <v>6334</v>
      </c>
      <c r="C8536" s="915"/>
      <c r="D8536" s="915"/>
      <c r="E8536" s="1006" t="s">
        <v>6335</v>
      </c>
      <c r="F8536" s="1007" t="s">
        <v>160</v>
      </c>
      <c r="G8536" s="1008"/>
      <c r="H8536" s="919"/>
      <c r="I8536" s="920"/>
      <c r="J8536" s="1000">
        <f>SUM(J8537:J8554)</f>
        <v>2418225.7000000002</v>
      </c>
      <c r="K8536" s="912" t="s">
        <v>274</v>
      </c>
      <c r="L8536" s="1000">
        <f>SUM(L8537:L8554)</f>
        <v>91892774</v>
      </c>
      <c r="M8536" s="1001"/>
      <c r="N8536" s="1000">
        <f>SUM(N8537:N8554)</f>
        <v>3772353.39</v>
      </c>
      <c r="O8536" s="892">
        <f t="shared" si="672"/>
        <v>1</v>
      </c>
      <c r="P8536" s="903">
        <f t="shared" si="674"/>
        <v>0</v>
      </c>
      <c r="Q8536" s="893">
        <f t="shared" si="675"/>
        <v>0</v>
      </c>
      <c r="R8536" s="894">
        <f t="shared" si="676"/>
        <v>18</v>
      </c>
    </row>
    <row r="8537" spans="1:18" s="904" customFormat="1">
      <c r="A8537" s="895"/>
      <c r="B8537" s="896"/>
      <c r="C8537" s="897"/>
      <c r="D8537" s="897"/>
      <c r="E8537" s="1002" t="s">
        <v>108</v>
      </c>
      <c r="F8537" s="1003"/>
      <c r="G8537" s="1004"/>
      <c r="H8537" s="901"/>
      <c r="I8537" s="902"/>
      <c r="J8537" s="902"/>
      <c r="K8537" s="912" t="s">
        <v>274</v>
      </c>
      <c r="L8537" s="902"/>
      <c r="M8537" s="902"/>
      <c r="N8537" s="902"/>
      <c r="O8537" s="892">
        <f t="shared" si="672"/>
        <v>0</v>
      </c>
      <c r="P8537" s="903">
        <f t="shared" si="674"/>
        <v>1</v>
      </c>
      <c r="Q8537" s="893">
        <f t="shared" si="675"/>
        <v>18</v>
      </c>
      <c r="R8537" s="894">
        <f t="shared" si="676"/>
        <v>0</v>
      </c>
    </row>
    <row r="8538" spans="1:18">
      <c r="A8538" s="905"/>
      <c r="B8538" s="952"/>
      <c r="C8538" s="907">
        <v>212</v>
      </c>
      <c r="D8538" s="907" t="s">
        <v>279</v>
      </c>
      <c r="E8538" s="992" t="s">
        <v>2681</v>
      </c>
      <c r="F8538" s="905" t="s">
        <v>45</v>
      </c>
      <c r="G8538" s="1005"/>
      <c r="H8538" s="911">
        <v>0.8</v>
      </c>
      <c r="I8538" s="912">
        <f>VLOOKUP(E8538,[3]VLP!$B$7:$K$300,10,0)</f>
        <v>23000</v>
      </c>
      <c r="J8538" s="912">
        <f t="shared" ref="J8538:J8549" si="679">I8538*H8538</f>
        <v>18400</v>
      </c>
      <c r="K8538" s="912" t="s">
        <v>274</v>
      </c>
      <c r="L8538" s="912"/>
      <c r="M8538" s="912"/>
      <c r="N8538" s="912"/>
      <c r="O8538" s="892">
        <f t="shared" si="672"/>
        <v>0</v>
      </c>
      <c r="P8538" s="903">
        <f t="shared" si="674"/>
        <v>1</v>
      </c>
      <c r="Q8538" s="893">
        <f t="shared" si="675"/>
        <v>17</v>
      </c>
      <c r="R8538" s="894">
        <f t="shared" si="676"/>
        <v>0</v>
      </c>
    </row>
    <row r="8539" spans="1:18" s="847" customFormat="1">
      <c r="A8539" s="905"/>
      <c r="B8539" s="952"/>
      <c r="C8539" s="907">
        <v>289</v>
      </c>
      <c r="D8539" s="907" t="s">
        <v>279</v>
      </c>
      <c r="E8539" s="992" t="s">
        <v>3147</v>
      </c>
      <c r="F8539" s="905" t="s">
        <v>45</v>
      </c>
      <c r="G8539" s="1005"/>
      <c r="H8539" s="911">
        <v>0.3</v>
      </c>
      <c r="I8539" s="912">
        <f>VLOOKUP(E8539,[3]VLP!$B$7:$K$300,10,0)</f>
        <v>45000</v>
      </c>
      <c r="J8539" s="912">
        <f t="shared" si="679"/>
        <v>13500</v>
      </c>
      <c r="K8539" s="912" t="s">
        <v>274</v>
      </c>
      <c r="L8539" s="912"/>
      <c r="M8539" s="912"/>
      <c r="N8539" s="912"/>
      <c r="O8539" s="892">
        <f t="shared" si="672"/>
        <v>0</v>
      </c>
      <c r="P8539" s="903">
        <f t="shared" si="674"/>
        <v>1</v>
      </c>
      <c r="Q8539" s="893">
        <f t="shared" si="675"/>
        <v>16</v>
      </c>
      <c r="R8539" s="894">
        <f t="shared" si="676"/>
        <v>0</v>
      </c>
    </row>
    <row r="8540" spans="1:18" s="904" customFormat="1">
      <c r="A8540" s="905"/>
      <c r="B8540" s="952"/>
      <c r="C8540" s="907">
        <v>318</v>
      </c>
      <c r="D8540" s="907" t="s">
        <v>279</v>
      </c>
      <c r="E8540" s="992" t="s">
        <v>5657</v>
      </c>
      <c r="F8540" s="905" t="s">
        <v>45</v>
      </c>
      <c r="G8540" s="1005"/>
      <c r="H8540" s="911">
        <v>4.3</v>
      </c>
      <c r="I8540" s="912">
        <f>VLOOKUP(E8540,[3]VLP!$B$7:$K$300,10,0)</f>
        <v>25155</v>
      </c>
      <c r="J8540" s="912">
        <f t="shared" si="679"/>
        <v>108166.5</v>
      </c>
      <c r="K8540" s="912" t="s">
        <v>274</v>
      </c>
      <c r="L8540" s="912"/>
      <c r="M8540" s="912"/>
      <c r="N8540" s="912"/>
      <c r="O8540" s="892">
        <f t="shared" si="672"/>
        <v>0</v>
      </c>
      <c r="P8540" s="903">
        <f t="shared" si="674"/>
        <v>1</v>
      </c>
      <c r="Q8540" s="893">
        <f t="shared" si="675"/>
        <v>15</v>
      </c>
      <c r="R8540" s="894">
        <f t="shared" si="676"/>
        <v>0</v>
      </c>
    </row>
    <row r="8541" spans="1:18">
      <c r="A8541" s="905"/>
      <c r="B8541" s="952"/>
      <c r="C8541" s="907">
        <v>234</v>
      </c>
      <c r="D8541" s="907" t="s">
        <v>279</v>
      </c>
      <c r="E8541" s="992" t="s">
        <v>5983</v>
      </c>
      <c r="F8541" s="905" t="s">
        <v>45</v>
      </c>
      <c r="G8541" s="1005"/>
      <c r="H8541" s="911">
        <v>5</v>
      </c>
      <c r="I8541" s="912">
        <f>VLOOKUP(E8541,[3]VLP!$B$7:$K$300,10,0)</f>
        <v>14000</v>
      </c>
      <c r="J8541" s="912">
        <f t="shared" si="679"/>
        <v>70000</v>
      </c>
      <c r="K8541" s="912" t="s">
        <v>274</v>
      </c>
      <c r="L8541" s="912"/>
      <c r="M8541" s="912"/>
      <c r="N8541" s="912"/>
      <c r="O8541" s="892">
        <f t="shared" si="672"/>
        <v>0</v>
      </c>
      <c r="P8541" s="903">
        <f t="shared" si="674"/>
        <v>1</v>
      </c>
      <c r="Q8541" s="893">
        <f t="shared" si="675"/>
        <v>14</v>
      </c>
      <c r="R8541" s="894">
        <f t="shared" si="676"/>
        <v>0</v>
      </c>
    </row>
    <row r="8542" spans="1:18" s="847" customFormat="1">
      <c r="A8542" s="905"/>
      <c r="B8542" s="952"/>
      <c r="C8542" s="907">
        <v>314</v>
      </c>
      <c r="D8542" s="907" t="s">
        <v>279</v>
      </c>
      <c r="E8542" s="992" t="s">
        <v>3148</v>
      </c>
      <c r="F8542" s="905" t="s">
        <v>45</v>
      </c>
      <c r="G8542" s="1005"/>
      <c r="H8542" s="911">
        <v>38</v>
      </c>
      <c r="I8542" s="912">
        <f>VLOOKUP(E8542,[3]VLP!$B$7:$K$300,10,0)</f>
        <v>10000</v>
      </c>
      <c r="J8542" s="912">
        <f t="shared" si="679"/>
        <v>380000</v>
      </c>
      <c r="K8542" s="912" t="s">
        <v>274</v>
      </c>
      <c r="L8542" s="912"/>
      <c r="M8542" s="912"/>
      <c r="N8542" s="912"/>
      <c r="O8542" s="892">
        <f t="shared" si="672"/>
        <v>0</v>
      </c>
      <c r="P8542" s="903">
        <f t="shared" si="674"/>
        <v>1</v>
      </c>
      <c r="Q8542" s="893">
        <f t="shared" si="675"/>
        <v>13</v>
      </c>
      <c r="R8542" s="894">
        <f t="shared" si="676"/>
        <v>0</v>
      </c>
    </row>
    <row r="8543" spans="1:18" s="904" customFormat="1">
      <c r="A8543" s="905"/>
      <c r="B8543" s="952"/>
      <c r="C8543" s="907">
        <v>315</v>
      </c>
      <c r="D8543" s="907" t="s">
        <v>279</v>
      </c>
      <c r="E8543" s="992" t="s">
        <v>6316</v>
      </c>
      <c r="F8543" s="905" t="s">
        <v>3144</v>
      </c>
      <c r="G8543" s="1005"/>
      <c r="H8543" s="911">
        <v>4</v>
      </c>
      <c r="I8543" s="912">
        <f>VLOOKUP(E8543,[3]VLP!$B$7:$K$300,10,0)</f>
        <v>8000</v>
      </c>
      <c r="J8543" s="912">
        <f t="shared" si="679"/>
        <v>32000</v>
      </c>
      <c r="K8543" s="912" t="s">
        <v>274</v>
      </c>
      <c r="L8543" s="912"/>
      <c r="M8543" s="912"/>
      <c r="N8543" s="912"/>
      <c r="O8543" s="892">
        <f t="shared" ref="O8543:O8606" si="680">IF(AND(B8543&lt;&gt;"",D8543=""),1,0)</f>
        <v>0</v>
      </c>
      <c r="P8543" s="903">
        <f t="shared" si="674"/>
        <v>1</v>
      </c>
      <c r="Q8543" s="893">
        <f t="shared" si="675"/>
        <v>12</v>
      </c>
      <c r="R8543" s="894">
        <f t="shared" si="676"/>
        <v>0</v>
      </c>
    </row>
    <row r="8544" spans="1:18">
      <c r="A8544" s="905"/>
      <c r="B8544" s="952"/>
      <c r="C8544" s="907">
        <v>309</v>
      </c>
      <c r="D8544" s="907" t="s">
        <v>279</v>
      </c>
      <c r="E8544" s="992" t="s">
        <v>3262</v>
      </c>
      <c r="F8544" s="905" t="s">
        <v>2690</v>
      </c>
      <c r="G8544" s="1005"/>
      <c r="H8544" s="911">
        <v>0.4</v>
      </c>
      <c r="I8544" s="912">
        <f>VLOOKUP(E8544,[3]VLP!$B$7:$K$300,10,0)</f>
        <v>66300</v>
      </c>
      <c r="J8544" s="912">
        <f t="shared" si="679"/>
        <v>26520</v>
      </c>
      <c r="K8544" s="912" t="s">
        <v>274</v>
      </c>
      <c r="L8544" s="912"/>
      <c r="M8544" s="912"/>
      <c r="N8544" s="912"/>
      <c r="O8544" s="892">
        <f t="shared" si="680"/>
        <v>0</v>
      </c>
      <c r="P8544" s="903">
        <f t="shared" si="674"/>
        <v>1</v>
      </c>
      <c r="Q8544" s="893">
        <f t="shared" si="675"/>
        <v>11</v>
      </c>
      <c r="R8544" s="894">
        <f t="shared" si="676"/>
        <v>0</v>
      </c>
    </row>
    <row r="8545" spans="1:18" s="847" customFormat="1">
      <c r="A8545" s="905"/>
      <c r="B8545" s="952"/>
      <c r="C8545" s="907">
        <v>321</v>
      </c>
      <c r="D8545" s="907" t="s">
        <v>279</v>
      </c>
      <c r="E8545" s="992" t="s">
        <v>6317</v>
      </c>
      <c r="F8545" s="905" t="s">
        <v>49</v>
      </c>
      <c r="G8545" s="1005"/>
      <c r="H8545" s="911">
        <v>0.7</v>
      </c>
      <c r="I8545" s="912">
        <f>VLOOKUP(E8545,[3]VLP!$B$7:$K$300,10,0)</f>
        <v>38182</v>
      </c>
      <c r="J8545" s="912">
        <f t="shared" si="679"/>
        <v>26727.399999999998</v>
      </c>
      <c r="K8545" s="912" t="s">
        <v>274</v>
      </c>
      <c r="L8545" s="912"/>
      <c r="M8545" s="912"/>
      <c r="N8545" s="912"/>
      <c r="O8545" s="892">
        <f t="shared" si="680"/>
        <v>0</v>
      </c>
      <c r="P8545" s="903">
        <f t="shared" si="674"/>
        <v>1</v>
      </c>
      <c r="Q8545" s="893">
        <f t="shared" si="675"/>
        <v>10</v>
      </c>
      <c r="R8545" s="894">
        <f t="shared" si="676"/>
        <v>0</v>
      </c>
    </row>
    <row r="8546" spans="1:18" s="904" customFormat="1">
      <c r="A8546" s="905"/>
      <c r="B8546" s="952"/>
      <c r="C8546" s="907">
        <v>230</v>
      </c>
      <c r="D8546" s="907" t="s">
        <v>279</v>
      </c>
      <c r="E8546" s="992" t="s">
        <v>6318</v>
      </c>
      <c r="F8546" s="905" t="s">
        <v>45</v>
      </c>
      <c r="G8546" s="1005"/>
      <c r="H8546" s="911">
        <v>4</v>
      </c>
      <c r="I8546" s="912">
        <f>VLOOKUP(E8546,[3]VLP!$B$7:$K$300,10,0)</f>
        <v>14762</v>
      </c>
      <c r="J8546" s="912">
        <f t="shared" si="679"/>
        <v>59048</v>
      </c>
      <c r="K8546" s="912" t="s">
        <v>274</v>
      </c>
      <c r="L8546" s="912"/>
      <c r="M8546" s="912"/>
      <c r="N8546" s="912"/>
      <c r="O8546" s="892">
        <f t="shared" si="680"/>
        <v>0</v>
      </c>
      <c r="P8546" s="903">
        <f t="shared" si="674"/>
        <v>1</v>
      </c>
      <c r="Q8546" s="893">
        <f t="shared" si="675"/>
        <v>9</v>
      </c>
      <c r="R8546" s="894">
        <f t="shared" si="676"/>
        <v>0</v>
      </c>
    </row>
    <row r="8547" spans="1:18">
      <c r="A8547" s="905"/>
      <c r="B8547" s="952"/>
      <c r="C8547" s="907">
        <v>235</v>
      </c>
      <c r="D8547" s="907" t="s">
        <v>279</v>
      </c>
      <c r="E8547" s="992" t="s">
        <v>2682</v>
      </c>
      <c r="F8547" s="905" t="s">
        <v>45</v>
      </c>
      <c r="G8547" s="1005"/>
      <c r="H8547" s="911">
        <v>4.5</v>
      </c>
      <c r="I8547" s="912">
        <f>VLOOKUP(E8547,[3]VLP!$B$7:$K$300,10,0)</f>
        <v>5000</v>
      </c>
      <c r="J8547" s="912">
        <f t="shared" si="679"/>
        <v>22500</v>
      </c>
      <c r="K8547" s="912" t="s">
        <v>274</v>
      </c>
      <c r="L8547" s="912"/>
      <c r="M8547" s="912"/>
      <c r="N8547" s="912"/>
      <c r="O8547" s="892">
        <f t="shared" si="680"/>
        <v>0</v>
      </c>
      <c r="P8547" s="903">
        <f t="shared" si="674"/>
        <v>1</v>
      </c>
      <c r="Q8547" s="893">
        <f t="shared" si="675"/>
        <v>8</v>
      </c>
      <c r="R8547" s="894">
        <f t="shared" si="676"/>
        <v>0</v>
      </c>
    </row>
    <row r="8548" spans="1:18" s="847" customFormat="1">
      <c r="A8548" s="905"/>
      <c r="B8548" s="952"/>
      <c r="C8548" s="907">
        <v>237</v>
      </c>
      <c r="D8548" s="907" t="s">
        <v>279</v>
      </c>
      <c r="E8548" s="992" t="s">
        <v>6312</v>
      </c>
      <c r="F8548" s="905" t="s">
        <v>47</v>
      </c>
      <c r="G8548" s="1005"/>
      <c r="H8548" s="911">
        <v>0.36</v>
      </c>
      <c r="I8548" s="912">
        <f>VLOOKUP(E8548,[3]VLP!$B$7:$K$300,10,0)</f>
        <v>4545455</v>
      </c>
      <c r="J8548" s="912">
        <f t="shared" si="679"/>
        <v>1636363.8</v>
      </c>
      <c r="K8548" s="912" t="s">
        <v>274</v>
      </c>
      <c r="L8548" s="912"/>
      <c r="M8548" s="912"/>
      <c r="N8548" s="912"/>
      <c r="O8548" s="892">
        <f t="shared" si="680"/>
        <v>0</v>
      </c>
      <c r="P8548" s="903">
        <f t="shared" si="674"/>
        <v>1</v>
      </c>
      <c r="Q8548" s="893">
        <f t="shared" si="675"/>
        <v>7</v>
      </c>
      <c r="R8548" s="894">
        <f t="shared" si="676"/>
        <v>0</v>
      </c>
    </row>
    <row r="8549" spans="1:18" s="904" customFormat="1">
      <c r="A8549" s="905"/>
      <c r="B8549" s="952"/>
      <c r="C8549" s="907">
        <v>699</v>
      </c>
      <c r="D8549" s="907" t="s">
        <v>279</v>
      </c>
      <c r="E8549" s="992" t="s">
        <v>4006</v>
      </c>
      <c r="F8549" s="905" t="s">
        <v>4007</v>
      </c>
      <c r="G8549" s="1005"/>
      <c r="H8549" s="911">
        <v>5</v>
      </c>
      <c r="I8549" s="912">
        <f>VLOOKUP(E8549,[3]VLP!$B$7:$K$300,10,0)</f>
        <v>5000</v>
      </c>
      <c r="J8549" s="912">
        <f t="shared" si="679"/>
        <v>25000</v>
      </c>
      <c r="K8549" s="912" t="s">
        <v>274</v>
      </c>
      <c r="L8549" s="912"/>
      <c r="M8549" s="912"/>
      <c r="N8549" s="912"/>
      <c r="O8549" s="892">
        <f t="shared" si="680"/>
        <v>0</v>
      </c>
      <c r="P8549" s="903">
        <f t="shared" si="674"/>
        <v>1</v>
      </c>
      <c r="Q8549" s="893">
        <f t="shared" si="675"/>
        <v>6</v>
      </c>
      <c r="R8549" s="894">
        <f t="shared" si="676"/>
        <v>0</v>
      </c>
    </row>
    <row r="8550" spans="1:18">
      <c r="A8550" s="895"/>
      <c r="B8550" s="896"/>
      <c r="C8550" s="897"/>
      <c r="D8550" s="897"/>
      <c r="E8550" s="1002" t="s">
        <v>276</v>
      </c>
      <c r="F8550" s="1003"/>
      <c r="G8550" s="1004"/>
      <c r="H8550" s="901"/>
      <c r="I8550" s="902"/>
      <c r="J8550" s="902"/>
      <c r="K8550" s="912" t="s">
        <v>274</v>
      </c>
      <c r="L8550" s="902"/>
      <c r="M8550" s="902"/>
      <c r="N8550" s="902"/>
      <c r="O8550" s="892">
        <f t="shared" si="680"/>
        <v>0</v>
      </c>
      <c r="P8550" s="903">
        <f t="shared" si="674"/>
        <v>1</v>
      </c>
      <c r="Q8550" s="893">
        <f t="shared" si="675"/>
        <v>5</v>
      </c>
      <c r="R8550" s="894">
        <f t="shared" si="676"/>
        <v>0</v>
      </c>
    </row>
    <row r="8551" spans="1:18" s="847" customFormat="1">
      <c r="A8551" s="905"/>
      <c r="B8551" s="952"/>
      <c r="C8551" s="907">
        <v>745</v>
      </c>
      <c r="D8551" s="907" t="s">
        <v>12</v>
      </c>
      <c r="E8551" s="992" t="s">
        <v>5518</v>
      </c>
      <c r="F8551" s="905" t="s">
        <v>2674</v>
      </c>
      <c r="G8551" s="1005"/>
      <c r="H8551" s="911">
        <v>382</v>
      </c>
      <c r="I8551" s="912"/>
      <c r="J8551" s="912"/>
      <c r="K8551" s="912">
        <f>VLOOKUP(E8551,[5]ĐMNC!$A$7:$F$67,4,0)</f>
        <v>240557</v>
      </c>
      <c r="L8551" s="912">
        <f>H8551*K8551</f>
        <v>91892774</v>
      </c>
      <c r="M8551" s="912"/>
      <c r="N8551" s="912"/>
      <c r="O8551" s="892">
        <f t="shared" si="680"/>
        <v>0</v>
      </c>
      <c r="P8551" s="903">
        <f t="shared" si="674"/>
        <v>1</v>
      </c>
      <c r="Q8551" s="893">
        <f t="shared" si="675"/>
        <v>4</v>
      </c>
      <c r="R8551" s="894">
        <f t="shared" si="676"/>
        <v>0</v>
      </c>
    </row>
    <row r="8552" spans="1:18" s="904" customFormat="1">
      <c r="A8552" s="895"/>
      <c r="B8552" s="896"/>
      <c r="C8552" s="897"/>
      <c r="D8552" s="897"/>
      <c r="E8552" s="1002" t="s">
        <v>3914</v>
      </c>
      <c r="F8552" s="1003"/>
      <c r="G8552" s="1004"/>
      <c r="H8552" s="901"/>
      <c r="I8552" s="902"/>
      <c r="J8552" s="902"/>
      <c r="K8552" s="912" t="s">
        <v>274</v>
      </c>
      <c r="L8552" s="902"/>
      <c r="M8552" s="902"/>
      <c r="N8552" s="902"/>
      <c r="O8552" s="892">
        <f t="shared" si="680"/>
        <v>0</v>
      </c>
      <c r="P8552" s="903">
        <f t="shared" si="674"/>
        <v>1</v>
      </c>
      <c r="Q8552" s="893">
        <f t="shared" si="675"/>
        <v>3</v>
      </c>
      <c r="R8552" s="894">
        <f t="shared" si="676"/>
        <v>0</v>
      </c>
    </row>
    <row r="8553" spans="1:18">
      <c r="A8553" s="905"/>
      <c r="B8553" s="952" t="s">
        <v>6332</v>
      </c>
      <c r="C8553" s="907">
        <v>901</v>
      </c>
      <c r="D8553" s="907" t="s">
        <v>93</v>
      </c>
      <c r="E8553" s="992" t="s">
        <v>6333</v>
      </c>
      <c r="F8553" s="905" t="s">
        <v>2673</v>
      </c>
      <c r="G8553" s="1005"/>
      <c r="H8553" s="911">
        <v>1.43</v>
      </c>
      <c r="I8553" s="912"/>
      <c r="J8553" s="912"/>
      <c r="K8553" s="912"/>
      <c r="L8553" s="912"/>
      <c r="M8553" s="912">
        <f>VLOOKUP(B8553,MTC!$B$9:$S$933,12,0)</f>
        <v>1967433</v>
      </c>
      <c r="N8553" s="912">
        <f>M8553*H8553</f>
        <v>2813429.19</v>
      </c>
      <c r="O8553" s="892">
        <f t="shared" si="680"/>
        <v>0</v>
      </c>
      <c r="P8553" s="903">
        <f t="shared" si="674"/>
        <v>1</v>
      </c>
      <c r="Q8553" s="893">
        <f t="shared" si="675"/>
        <v>2</v>
      </c>
      <c r="R8553" s="894">
        <f t="shared" si="676"/>
        <v>0</v>
      </c>
    </row>
    <row r="8554" spans="1:18" s="847" customFormat="1">
      <c r="A8554" s="905"/>
      <c r="B8554" s="946" t="s">
        <v>6321</v>
      </c>
      <c r="C8554" s="907">
        <v>900</v>
      </c>
      <c r="D8554" s="907" t="s">
        <v>93</v>
      </c>
      <c r="E8554" s="992" t="s">
        <v>6322</v>
      </c>
      <c r="F8554" s="905" t="s">
        <v>2673</v>
      </c>
      <c r="G8554" s="1005"/>
      <c r="H8554" s="911">
        <v>0.65</v>
      </c>
      <c r="I8554" s="912"/>
      <c r="J8554" s="912"/>
      <c r="K8554" s="912"/>
      <c r="L8554" s="912"/>
      <c r="M8554" s="912">
        <f>VLOOKUP(B8554,MTC!$B$9:$S$933,12,0)</f>
        <v>1475268</v>
      </c>
      <c r="N8554" s="912">
        <f>M8554*H8554</f>
        <v>958924.20000000007</v>
      </c>
      <c r="O8554" s="892">
        <f t="shared" si="680"/>
        <v>0</v>
      </c>
      <c r="P8554" s="903">
        <f t="shared" si="674"/>
        <v>1</v>
      </c>
      <c r="Q8554" s="893">
        <f t="shared" si="675"/>
        <v>1</v>
      </c>
      <c r="R8554" s="894">
        <f t="shared" si="676"/>
        <v>0</v>
      </c>
    </row>
    <row r="8555" spans="1:18" s="904" customFormat="1" ht="31.5">
      <c r="A8555" s="905"/>
      <c r="B8555" s="914" t="s">
        <v>6336</v>
      </c>
      <c r="C8555" s="915"/>
      <c r="D8555" s="915"/>
      <c r="E8555" s="1006" t="s">
        <v>6337</v>
      </c>
      <c r="F8555" s="1007" t="s">
        <v>160</v>
      </c>
      <c r="G8555" s="1008"/>
      <c r="H8555" s="919"/>
      <c r="I8555" s="920"/>
      <c r="J8555" s="1000">
        <f>SUM(J8556:J8573)</f>
        <v>1120100.25</v>
      </c>
      <c r="K8555" s="912" t="s">
        <v>274</v>
      </c>
      <c r="L8555" s="1000">
        <f>SUM(L8556:L8573)</f>
        <v>48111400</v>
      </c>
      <c r="M8555" s="1001"/>
      <c r="N8555" s="1000">
        <f>SUM(N8556:N8573)</f>
        <v>2114910.7200000002</v>
      </c>
      <c r="O8555" s="892">
        <f t="shared" si="680"/>
        <v>1</v>
      </c>
      <c r="P8555" s="903">
        <f t="shared" si="674"/>
        <v>0</v>
      </c>
      <c r="Q8555" s="893">
        <f t="shared" si="675"/>
        <v>0</v>
      </c>
      <c r="R8555" s="894">
        <f t="shared" si="676"/>
        <v>18</v>
      </c>
    </row>
    <row r="8556" spans="1:18">
      <c r="A8556" s="895"/>
      <c r="B8556" s="896"/>
      <c r="C8556" s="897"/>
      <c r="D8556" s="897"/>
      <c r="E8556" s="1002" t="s">
        <v>108</v>
      </c>
      <c r="F8556" s="1003"/>
      <c r="G8556" s="1004"/>
      <c r="H8556" s="901"/>
      <c r="I8556" s="902"/>
      <c r="J8556" s="902"/>
      <c r="K8556" s="912" t="s">
        <v>274</v>
      </c>
      <c r="L8556" s="902"/>
      <c r="M8556" s="902"/>
      <c r="N8556" s="902"/>
      <c r="O8556" s="892">
        <f t="shared" si="680"/>
        <v>0</v>
      </c>
      <c r="P8556" s="903">
        <f t="shared" si="674"/>
        <v>1</v>
      </c>
      <c r="Q8556" s="893">
        <f t="shared" si="675"/>
        <v>18</v>
      </c>
      <c r="R8556" s="894">
        <f t="shared" si="676"/>
        <v>0</v>
      </c>
    </row>
    <row r="8557" spans="1:18" s="847" customFormat="1">
      <c r="A8557" s="905"/>
      <c r="B8557" s="952"/>
      <c r="C8557" s="907">
        <v>212</v>
      </c>
      <c r="D8557" s="907" t="s">
        <v>279</v>
      </c>
      <c r="E8557" s="992" t="s">
        <v>2681</v>
      </c>
      <c r="F8557" s="905" t="s">
        <v>45</v>
      </c>
      <c r="G8557" s="1005"/>
      <c r="H8557" s="911">
        <v>0.6</v>
      </c>
      <c r="I8557" s="912">
        <f>VLOOKUP(E8557,[3]VLP!$B$7:$K$300,10,0)</f>
        <v>23000</v>
      </c>
      <c r="J8557" s="912">
        <f t="shared" ref="J8557:J8568" si="681">I8557*H8557</f>
        <v>13800</v>
      </c>
      <c r="K8557" s="912" t="s">
        <v>274</v>
      </c>
      <c r="L8557" s="912"/>
      <c r="M8557" s="912"/>
      <c r="N8557" s="912"/>
      <c r="O8557" s="892">
        <f t="shared" si="680"/>
        <v>0</v>
      </c>
      <c r="P8557" s="903">
        <f t="shared" si="674"/>
        <v>1</v>
      </c>
      <c r="Q8557" s="893">
        <f t="shared" si="675"/>
        <v>17</v>
      </c>
      <c r="R8557" s="894">
        <f t="shared" si="676"/>
        <v>0</v>
      </c>
    </row>
    <row r="8558" spans="1:18" s="904" customFormat="1">
      <c r="A8558" s="905"/>
      <c r="B8558" s="952"/>
      <c r="C8558" s="907">
        <v>289</v>
      </c>
      <c r="D8558" s="907" t="s">
        <v>279</v>
      </c>
      <c r="E8558" s="992" t="s">
        <v>3147</v>
      </c>
      <c r="F8558" s="905" t="s">
        <v>45</v>
      </c>
      <c r="G8558" s="1005"/>
      <c r="H8558" s="911">
        <v>0.2</v>
      </c>
      <c r="I8558" s="912">
        <f>VLOOKUP(E8558,[3]VLP!$B$7:$K$300,10,0)</f>
        <v>45000</v>
      </c>
      <c r="J8558" s="912">
        <f t="shared" si="681"/>
        <v>9000</v>
      </c>
      <c r="K8558" s="912" t="s">
        <v>274</v>
      </c>
      <c r="L8558" s="912"/>
      <c r="M8558" s="912"/>
      <c r="N8558" s="912"/>
      <c r="O8558" s="892">
        <f t="shared" si="680"/>
        <v>0</v>
      </c>
      <c r="P8558" s="903">
        <f t="shared" si="674"/>
        <v>1</v>
      </c>
      <c r="Q8558" s="893">
        <f t="shared" si="675"/>
        <v>16</v>
      </c>
      <c r="R8558" s="894">
        <f t="shared" si="676"/>
        <v>0</v>
      </c>
    </row>
    <row r="8559" spans="1:18">
      <c r="A8559" s="905"/>
      <c r="B8559" s="952"/>
      <c r="C8559" s="907">
        <v>318</v>
      </c>
      <c r="D8559" s="907" t="s">
        <v>279</v>
      </c>
      <c r="E8559" s="992" t="s">
        <v>5657</v>
      </c>
      <c r="F8559" s="905" t="s">
        <v>45</v>
      </c>
      <c r="G8559" s="1005"/>
      <c r="H8559" s="911">
        <v>3.2</v>
      </c>
      <c r="I8559" s="912">
        <f>VLOOKUP(E8559,[3]VLP!$B$7:$K$300,10,0)</f>
        <v>25155</v>
      </c>
      <c r="J8559" s="912">
        <f t="shared" si="681"/>
        <v>80496</v>
      </c>
      <c r="K8559" s="912" t="s">
        <v>274</v>
      </c>
      <c r="L8559" s="912"/>
      <c r="M8559" s="912"/>
      <c r="N8559" s="912"/>
      <c r="O8559" s="892">
        <f t="shared" si="680"/>
        <v>0</v>
      </c>
      <c r="P8559" s="903">
        <f t="shared" si="674"/>
        <v>1</v>
      </c>
      <c r="Q8559" s="893">
        <f t="shared" si="675"/>
        <v>15</v>
      </c>
      <c r="R8559" s="894">
        <f t="shared" si="676"/>
        <v>0</v>
      </c>
    </row>
    <row r="8560" spans="1:18" s="847" customFormat="1">
      <c r="A8560" s="905"/>
      <c r="B8560" s="952"/>
      <c r="C8560" s="907">
        <v>234</v>
      </c>
      <c r="D8560" s="907" t="s">
        <v>279</v>
      </c>
      <c r="E8560" s="992" t="s">
        <v>5983</v>
      </c>
      <c r="F8560" s="905" t="s">
        <v>45</v>
      </c>
      <c r="G8560" s="1005"/>
      <c r="H8560" s="911">
        <v>3</v>
      </c>
      <c r="I8560" s="912">
        <f>VLOOKUP(E8560,[3]VLP!$B$7:$K$300,10,0)</f>
        <v>14000</v>
      </c>
      <c r="J8560" s="912">
        <f t="shared" si="681"/>
        <v>42000</v>
      </c>
      <c r="K8560" s="912" t="s">
        <v>274</v>
      </c>
      <c r="L8560" s="912"/>
      <c r="M8560" s="912"/>
      <c r="N8560" s="912"/>
      <c r="O8560" s="892">
        <f t="shared" si="680"/>
        <v>0</v>
      </c>
      <c r="P8560" s="903">
        <f t="shared" si="674"/>
        <v>1</v>
      </c>
      <c r="Q8560" s="893">
        <f t="shared" si="675"/>
        <v>14</v>
      </c>
      <c r="R8560" s="894">
        <f t="shared" si="676"/>
        <v>0</v>
      </c>
    </row>
    <row r="8561" spans="1:18" s="904" customFormat="1">
      <c r="A8561" s="905"/>
      <c r="B8561" s="952"/>
      <c r="C8561" s="907">
        <v>314</v>
      </c>
      <c r="D8561" s="907" t="s">
        <v>279</v>
      </c>
      <c r="E8561" s="992" t="s">
        <v>3148</v>
      </c>
      <c r="F8561" s="905" t="s">
        <v>45</v>
      </c>
      <c r="G8561" s="1005"/>
      <c r="H8561" s="911">
        <v>15.06</v>
      </c>
      <c r="I8561" s="912">
        <f>VLOOKUP(E8561,[3]VLP!$B$7:$K$300,10,0)</f>
        <v>10000</v>
      </c>
      <c r="J8561" s="912">
        <f t="shared" si="681"/>
        <v>150600</v>
      </c>
      <c r="K8561" s="912" t="s">
        <v>274</v>
      </c>
      <c r="L8561" s="912"/>
      <c r="M8561" s="912"/>
      <c r="N8561" s="912"/>
      <c r="O8561" s="892">
        <f t="shared" si="680"/>
        <v>0</v>
      </c>
      <c r="P8561" s="903">
        <f t="shared" si="674"/>
        <v>1</v>
      </c>
      <c r="Q8561" s="893">
        <f t="shared" si="675"/>
        <v>13</v>
      </c>
      <c r="R8561" s="894">
        <f t="shared" si="676"/>
        <v>0</v>
      </c>
    </row>
    <row r="8562" spans="1:18">
      <c r="A8562" s="905"/>
      <c r="B8562" s="952"/>
      <c r="C8562" s="907">
        <v>315</v>
      </c>
      <c r="D8562" s="907" t="s">
        <v>279</v>
      </c>
      <c r="E8562" s="992" t="s">
        <v>6316</v>
      </c>
      <c r="F8562" s="905" t="s">
        <v>3144</v>
      </c>
      <c r="G8562" s="1005"/>
      <c r="H8562" s="911">
        <v>3</v>
      </c>
      <c r="I8562" s="912">
        <f>VLOOKUP(E8562,[3]VLP!$B$7:$K$300,10,0)</f>
        <v>8000</v>
      </c>
      <c r="J8562" s="912">
        <f t="shared" si="681"/>
        <v>24000</v>
      </c>
      <c r="K8562" s="912" t="s">
        <v>274</v>
      </c>
      <c r="L8562" s="912"/>
      <c r="M8562" s="912"/>
      <c r="N8562" s="912"/>
      <c r="O8562" s="892">
        <f t="shared" si="680"/>
        <v>0</v>
      </c>
      <c r="P8562" s="903">
        <f t="shared" si="674"/>
        <v>1</v>
      </c>
      <c r="Q8562" s="893">
        <f t="shared" si="675"/>
        <v>12</v>
      </c>
      <c r="R8562" s="894">
        <f t="shared" si="676"/>
        <v>0</v>
      </c>
    </row>
    <row r="8563" spans="1:18" s="847" customFormat="1">
      <c r="A8563" s="905"/>
      <c r="B8563" s="952"/>
      <c r="C8563" s="907">
        <v>309</v>
      </c>
      <c r="D8563" s="907" t="s">
        <v>279</v>
      </c>
      <c r="E8563" s="992" t="s">
        <v>3262</v>
      </c>
      <c r="F8563" s="905" t="s">
        <v>2690</v>
      </c>
      <c r="G8563" s="1005"/>
      <c r="H8563" s="911">
        <v>0.3</v>
      </c>
      <c r="I8563" s="912">
        <f>VLOOKUP(E8563,[3]VLP!$B$7:$K$300,10,0)</f>
        <v>66300</v>
      </c>
      <c r="J8563" s="912">
        <f t="shared" si="681"/>
        <v>19890</v>
      </c>
      <c r="K8563" s="912" t="s">
        <v>274</v>
      </c>
      <c r="L8563" s="912"/>
      <c r="M8563" s="912"/>
      <c r="N8563" s="912"/>
      <c r="O8563" s="892">
        <f t="shared" si="680"/>
        <v>0</v>
      </c>
      <c r="P8563" s="903">
        <f t="shared" ref="P8563:P8626" si="682">IF(O8563=0,1,0)</f>
        <v>1</v>
      </c>
      <c r="Q8563" s="893">
        <f t="shared" ref="Q8563:Q8626" si="683">IF(P8563=0,0,P8563+Q8564)</f>
        <v>11</v>
      </c>
      <c r="R8563" s="894">
        <f t="shared" ref="R8563:R8626" si="684">IF(Q8563=0,Q8564,0)</f>
        <v>0</v>
      </c>
    </row>
    <row r="8564" spans="1:18" s="904" customFormat="1">
      <c r="A8564" s="905"/>
      <c r="B8564" s="952"/>
      <c r="C8564" s="907">
        <v>321</v>
      </c>
      <c r="D8564" s="907" t="s">
        <v>279</v>
      </c>
      <c r="E8564" s="992" t="s">
        <v>6317</v>
      </c>
      <c r="F8564" s="905" t="s">
        <v>49</v>
      </c>
      <c r="G8564" s="1005"/>
      <c r="H8564" s="911">
        <v>0.5</v>
      </c>
      <c r="I8564" s="912">
        <f>VLOOKUP(E8564,[3]VLP!$B$7:$K$300,10,0)</f>
        <v>38182</v>
      </c>
      <c r="J8564" s="912">
        <f t="shared" si="681"/>
        <v>19091</v>
      </c>
      <c r="K8564" s="912" t="s">
        <v>274</v>
      </c>
      <c r="L8564" s="912"/>
      <c r="M8564" s="912"/>
      <c r="N8564" s="912"/>
      <c r="O8564" s="892">
        <f t="shared" si="680"/>
        <v>0</v>
      </c>
      <c r="P8564" s="903">
        <f t="shared" si="682"/>
        <v>1</v>
      </c>
      <c r="Q8564" s="893">
        <f t="shared" si="683"/>
        <v>10</v>
      </c>
      <c r="R8564" s="894">
        <f t="shared" si="684"/>
        <v>0</v>
      </c>
    </row>
    <row r="8565" spans="1:18">
      <c r="A8565" s="905"/>
      <c r="B8565" s="952"/>
      <c r="C8565" s="907">
        <v>230</v>
      </c>
      <c r="D8565" s="907" t="s">
        <v>279</v>
      </c>
      <c r="E8565" s="992" t="s">
        <v>6318</v>
      </c>
      <c r="F8565" s="905" t="s">
        <v>45</v>
      </c>
      <c r="G8565" s="1005"/>
      <c r="H8565" s="911">
        <v>2.5</v>
      </c>
      <c r="I8565" s="912">
        <f>VLOOKUP(E8565,[3]VLP!$B$7:$K$300,10,0)</f>
        <v>14762</v>
      </c>
      <c r="J8565" s="912">
        <f t="shared" si="681"/>
        <v>36905</v>
      </c>
      <c r="K8565" s="912" t="s">
        <v>274</v>
      </c>
      <c r="L8565" s="912"/>
      <c r="M8565" s="912"/>
      <c r="N8565" s="912"/>
      <c r="O8565" s="892">
        <f t="shared" si="680"/>
        <v>0</v>
      </c>
      <c r="P8565" s="903">
        <f t="shared" si="682"/>
        <v>1</v>
      </c>
      <c r="Q8565" s="893">
        <f t="shared" si="683"/>
        <v>9</v>
      </c>
      <c r="R8565" s="894">
        <f t="shared" si="684"/>
        <v>0</v>
      </c>
    </row>
    <row r="8566" spans="1:18" s="847" customFormat="1">
      <c r="A8566" s="905"/>
      <c r="B8566" s="952"/>
      <c r="C8566" s="907">
        <v>235</v>
      </c>
      <c r="D8566" s="907" t="s">
        <v>279</v>
      </c>
      <c r="E8566" s="992" t="s">
        <v>2682</v>
      </c>
      <c r="F8566" s="905" t="s">
        <v>45</v>
      </c>
      <c r="G8566" s="1005"/>
      <c r="H8566" s="911">
        <v>3.5</v>
      </c>
      <c r="I8566" s="912">
        <f>VLOOKUP(E8566,[3]VLP!$B$7:$K$300,10,0)</f>
        <v>5000</v>
      </c>
      <c r="J8566" s="912">
        <f t="shared" si="681"/>
        <v>17500</v>
      </c>
      <c r="K8566" s="912" t="s">
        <v>274</v>
      </c>
      <c r="L8566" s="912"/>
      <c r="M8566" s="912"/>
      <c r="N8566" s="912"/>
      <c r="O8566" s="892">
        <f t="shared" si="680"/>
        <v>0</v>
      </c>
      <c r="P8566" s="903">
        <f t="shared" si="682"/>
        <v>1</v>
      </c>
      <c r="Q8566" s="893">
        <f t="shared" si="683"/>
        <v>8</v>
      </c>
      <c r="R8566" s="894">
        <f t="shared" si="684"/>
        <v>0</v>
      </c>
    </row>
    <row r="8567" spans="1:18" s="904" customFormat="1">
      <c r="A8567" s="905"/>
      <c r="B8567" s="952"/>
      <c r="C8567" s="907">
        <v>237</v>
      </c>
      <c r="D8567" s="907" t="s">
        <v>279</v>
      </c>
      <c r="E8567" s="992" t="s">
        <v>6312</v>
      </c>
      <c r="F8567" s="905" t="s">
        <v>47</v>
      </c>
      <c r="G8567" s="1005"/>
      <c r="H8567" s="911">
        <v>0.15</v>
      </c>
      <c r="I8567" s="912">
        <f>VLOOKUP(E8567,[3]VLP!$B$7:$K$300,10,0)</f>
        <v>4545455</v>
      </c>
      <c r="J8567" s="912">
        <f t="shared" si="681"/>
        <v>681818.25</v>
      </c>
      <c r="K8567" s="912" t="s">
        <v>274</v>
      </c>
      <c r="L8567" s="912"/>
      <c r="M8567" s="912"/>
      <c r="N8567" s="912"/>
      <c r="O8567" s="892">
        <f t="shared" si="680"/>
        <v>0</v>
      </c>
      <c r="P8567" s="903">
        <f t="shared" si="682"/>
        <v>1</v>
      </c>
      <c r="Q8567" s="893">
        <f t="shared" si="683"/>
        <v>7</v>
      </c>
      <c r="R8567" s="894">
        <f t="shared" si="684"/>
        <v>0</v>
      </c>
    </row>
    <row r="8568" spans="1:18">
      <c r="A8568" s="905"/>
      <c r="B8568" s="952"/>
      <c r="C8568" s="907">
        <v>699</v>
      </c>
      <c r="D8568" s="907" t="s">
        <v>279</v>
      </c>
      <c r="E8568" s="992" t="s">
        <v>4006</v>
      </c>
      <c r="F8568" s="905" t="s">
        <v>4007</v>
      </c>
      <c r="G8568" s="1005"/>
      <c r="H8568" s="911">
        <v>5</v>
      </c>
      <c r="I8568" s="912">
        <f>VLOOKUP(E8568,[3]VLP!$B$7:$K$300,10,0)</f>
        <v>5000</v>
      </c>
      <c r="J8568" s="912">
        <f t="shared" si="681"/>
        <v>25000</v>
      </c>
      <c r="K8568" s="912" t="s">
        <v>274</v>
      </c>
      <c r="L8568" s="912"/>
      <c r="M8568" s="912"/>
      <c r="N8568" s="912"/>
      <c r="O8568" s="892">
        <f t="shared" si="680"/>
        <v>0</v>
      </c>
      <c r="P8568" s="903">
        <f t="shared" si="682"/>
        <v>1</v>
      </c>
      <c r="Q8568" s="893">
        <f t="shared" si="683"/>
        <v>6</v>
      </c>
      <c r="R8568" s="894">
        <f t="shared" si="684"/>
        <v>0</v>
      </c>
    </row>
    <row r="8569" spans="1:18" s="847" customFormat="1">
      <c r="A8569" s="895"/>
      <c r="B8569" s="896"/>
      <c r="C8569" s="897"/>
      <c r="D8569" s="897"/>
      <c r="E8569" s="1002" t="s">
        <v>276</v>
      </c>
      <c r="F8569" s="1003"/>
      <c r="G8569" s="1004"/>
      <c r="H8569" s="901"/>
      <c r="I8569" s="902"/>
      <c r="J8569" s="902"/>
      <c r="K8569" s="912" t="s">
        <v>274</v>
      </c>
      <c r="L8569" s="902"/>
      <c r="M8569" s="902"/>
      <c r="N8569" s="902"/>
      <c r="O8569" s="892">
        <f t="shared" si="680"/>
        <v>0</v>
      </c>
      <c r="P8569" s="903">
        <f t="shared" si="682"/>
        <v>1</v>
      </c>
      <c r="Q8569" s="893">
        <f t="shared" si="683"/>
        <v>5</v>
      </c>
      <c r="R8569" s="894">
        <f t="shared" si="684"/>
        <v>0</v>
      </c>
    </row>
    <row r="8570" spans="1:18" s="904" customFormat="1">
      <c r="A8570" s="905"/>
      <c r="B8570" s="952"/>
      <c r="C8570" s="907">
        <v>745</v>
      </c>
      <c r="D8570" s="907" t="s">
        <v>12</v>
      </c>
      <c r="E8570" s="992" t="s">
        <v>5518</v>
      </c>
      <c r="F8570" s="905" t="s">
        <v>2674</v>
      </c>
      <c r="G8570" s="1005"/>
      <c r="H8570" s="911">
        <v>200</v>
      </c>
      <c r="I8570" s="912"/>
      <c r="J8570" s="912"/>
      <c r="K8570" s="912">
        <f>VLOOKUP(E8570,[5]ĐMNC!$A$7:$F$67,4,0)</f>
        <v>240557</v>
      </c>
      <c r="L8570" s="912">
        <f>H8570*K8570</f>
        <v>48111400</v>
      </c>
      <c r="M8570" s="912"/>
      <c r="N8570" s="912"/>
      <c r="O8570" s="892">
        <f t="shared" si="680"/>
        <v>0</v>
      </c>
      <c r="P8570" s="903">
        <f t="shared" si="682"/>
        <v>1</v>
      </c>
      <c r="Q8570" s="893">
        <f t="shared" si="683"/>
        <v>4</v>
      </c>
      <c r="R8570" s="894">
        <f t="shared" si="684"/>
        <v>0</v>
      </c>
    </row>
    <row r="8571" spans="1:18">
      <c r="A8571" s="895"/>
      <c r="B8571" s="896"/>
      <c r="C8571" s="897"/>
      <c r="D8571" s="897"/>
      <c r="E8571" s="1002" t="s">
        <v>3914</v>
      </c>
      <c r="F8571" s="1003"/>
      <c r="G8571" s="1004"/>
      <c r="H8571" s="901"/>
      <c r="I8571" s="902"/>
      <c r="J8571" s="902"/>
      <c r="K8571" s="912" t="s">
        <v>274</v>
      </c>
      <c r="L8571" s="902"/>
      <c r="M8571" s="902"/>
      <c r="N8571" s="902"/>
      <c r="O8571" s="892">
        <f t="shared" si="680"/>
        <v>0</v>
      </c>
      <c r="P8571" s="903">
        <f t="shared" si="682"/>
        <v>1</v>
      </c>
      <c r="Q8571" s="893">
        <f t="shared" si="683"/>
        <v>3</v>
      </c>
      <c r="R8571" s="894">
        <f t="shared" si="684"/>
        <v>0</v>
      </c>
    </row>
    <row r="8572" spans="1:18" s="847" customFormat="1">
      <c r="A8572" s="905"/>
      <c r="B8572" s="952" t="s">
        <v>6332</v>
      </c>
      <c r="C8572" s="907">
        <v>901</v>
      </c>
      <c r="D8572" s="907" t="s">
        <v>93</v>
      </c>
      <c r="E8572" s="992" t="s">
        <v>6333</v>
      </c>
      <c r="F8572" s="905" t="s">
        <v>2673</v>
      </c>
      <c r="G8572" s="1005"/>
      <c r="H8572" s="911">
        <v>0.88</v>
      </c>
      <c r="I8572" s="912"/>
      <c r="J8572" s="912"/>
      <c r="K8572" s="912"/>
      <c r="L8572" s="912"/>
      <c r="M8572" s="912">
        <f>VLOOKUP(B8572,MTC!$B$9:$S$933,12,0)</f>
        <v>1967433</v>
      </c>
      <c r="N8572" s="912">
        <f>M8572*H8572</f>
        <v>1731341.04</v>
      </c>
      <c r="O8572" s="892">
        <f t="shared" si="680"/>
        <v>0</v>
      </c>
      <c r="P8572" s="903">
        <f t="shared" si="682"/>
        <v>1</v>
      </c>
      <c r="Q8572" s="893">
        <f t="shared" si="683"/>
        <v>2</v>
      </c>
      <c r="R8572" s="894">
        <f t="shared" si="684"/>
        <v>0</v>
      </c>
    </row>
    <row r="8573" spans="1:18" s="904" customFormat="1">
      <c r="A8573" s="905"/>
      <c r="B8573" s="946" t="s">
        <v>6321</v>
      </c>
      <c r="C8573" s="907">
        <v>900</v>
      </c>
      <c r="D8573" s="907" t="s">
        <v>93</v>
      </c>
      <c r="E8573" s="992" t="s">
        <v>6322</v>
      </c>
      <c r="F8573" s="905" t="s">
        <v>2673</v>
      </c>
      <c r="G8573" s="1005"/>
      <c r="H8573" s="911">
        <v>0.26</v>
      </c>
      <c r="I8573" s="912"/>
      <c r="J8573" s="912"/>
      <c r="K8573" s="912"/>
      <c r="L8573" s="912"/>
      <c r="M8573" s="912">
        <f>VLOOKUP(B8573,MTC!$B$9:$S$933,12,0)</f>
        <v>1475268</v>
      </c>
      <c r="N8573" s="912">
        <f>M8573*H8573</f>
        <v>383569.68</v>
      </c>
      <c r="O8573" s="892">
        <f t="shared" si="680"/>
        <v>0</v>
      </c>
      <c r="P8573" s="903">
        <f t="shared" si="682"/>
        <v>1</v>
      </c>
      <c r="Q8573" s="893">
        <f t="shared" si="683"/>
        <v>1</v>
      </c>
      <c r="R8573" s="894">
        <f t="shared" si="684"/>
        <v>0</v>
      </c>
    </row>
    <row r="8574" spans="1:18" ht="31.5">
      <c r="A8574" s="905" t="s">
        <v>6338</v>
      </c>
      <c r="B8574" s="914" t="s">
        <v>6339</v>
      </c>
      <c r="C8574" s="915"/>
      <c r="D8574" s="915"/>
      <c r="E8574" s="1006" t="s">
        <v>6340</v>
      </c>
      <c r="F8574" s="1007" t="s">
        <v>160</v>
      </c>
      <c r="G8574" s="1008"/>
      <c r="H8574" s="919"/>
      <c r="I8574" s="920"/>
      <c r="J8574" s="1000">
        <f>SUM(J8575:J8592)</f>
        <v>1357624.45</v>
      </c>
      <c r="K8574" s="912" t="s">
        <v>274</v>
      </c>
      <c r="L8574" s="1000">
        <f>SUM(L8575:L8592)</f>
        <v>28626283</v>
      </c>
      <c r="M8574" s="1001"/>
      <c r="N8574" s="1000">
        <f>SUM(N8575:N8592)</f>
        <v>2114910.7200000002</v>
      </c>
      <c r="O8574" s="892">
        <f t="shared" si="680"/>
        <v>1</v>
      </c>
      <c r="P8574" s="903">
        <f t="shared" si="682"/>
        <v>0</v>
      </c>
      <c r="Q8574" s="893">
        <f t="shared" si="683"/>
        <v>0</v>
      </c>
      <c r="R8574" s="894">
        <f t="shared" si="684"/>
        <v>18</v>
      </c>
    </row>
    <row r="8575" spans="1:18" s="847" customFormat="1">
      <c r="A8575" s="895"/>
      <c r="B8575" s="922"/>
      <c r="C8575" s="897"/>
      <c r="D8575" s="897"/>
      <c r="E8575" s="1002" t="s">
        <v>108</v>
      </c>
      <c r="F8575" s="1003"/>
      <c r="G8575" s="1004"/>
      <c r="H8575" s="901"/>
      <c r="I8575" s="902"/>
      <c r="J8575" s="902"/>
      <c r="K8575" s="912" t="s">
        <v>274</v>
      </c>
      <c r="L8575" s="902"/>
      <c r="M8575" s="902"/>
      <c r="N8575" s="902"/>
      <c r="O8575" s="892">
        <f t="shared" si="680"/>
        <v>0</v>
      </c>
      <c r="P8575" s="903">
        <f t="shared" si="682"/>
        <v>1</v>
      </c>
      <c r="Q8575" s="893">
        <f t="shared" si="683"/>
        <v>18</v>
      </c>
      <c r="R8575" s="894">
        <f t="shared" si="684"/>
        <v>0</v>
      </c>
    </row>
    <row r="8576" spans="1:18" s="904" customFormat="1">
      <c r="A8576" s="905"/>
      <c r="B8576" s="952"/>
      <c r="C8576" s="907">
        <v>212</v>
      </c>
      <c r="D8576" s="907" t="s">
        <v>279</v>
      </c>
      <c r="E8576" s="992" t="s">
        <v>2681</v>
      </c>
      <c r="F8576" s="905" t="s">
        <v>45</v>
      </c>
      <c r="G8576" s="1005"/>
      <c r="H8576" s="911">
        <v>1.1000000000000001</v>
      </c>
      <c r="I8576" s="912">
        <f>VLOOKUP(E8576,[3]VLP!$B$7:$K$300,10,0)</f>
        <v>23000</v>
      </c>
      <c r="J8576" s="912">
        <f t="shared" ref="J8576:J8587" si="685">I8576*H8576</f>
        <v>25300.000000000004</v>
      </c>
      <c r="K8576" s="912" t="s">
        <v>274</v>
      </c>
      <c r="L8576" s="912"/>
      <c r="M8576" s="912"/>
      <c r="N8576" s="912"/>
      <c r="O8576" s="892">
        <f t="shared" si="680"/>
        <v>0</v>
      </c>
      <c r="P8576" s="903">
        <f t="shared" si="682"/>
        <v>1</v>
      </c>
      <c r="Q8576" s="893">
        <f t="shared" si="683"/>
        <v>17</v>
      </c>
      <c r="R8576" s="894">
        <f t="shared" si="684"/>
        <v>0</v>
      </c>
    </row>
    <row r="8577" spans="1:18">
      <c r="A8577" s="905"/>
      <c r="B8577" s="952"/>
      <c r="C8577" s="907">
        <v>289</v>
      </c>
      <c r="D8577" s="907" t="s">
        <v>279</v>
      </c>
      <c r="E8577" s="992" t="s">
        <v>3147</v>
      </c>
      <c r="F8577" s="905" t="s">
        <v>45</v>
      </c>
      <c r="G8577" s="1005"/>
      <c r="H8577" s="911">
        <v>0.4</v>
      </c>
      <c r="I8577" s="912">
        <f>VLOOKUP(E8577,[3]VLP!$B$7:$K$300,10,0)</f>
        <v>45000</v>
      </c>
      <c r="J8577" s="912">
        <f t="shared" si="685"/>
        <v>18000</v>
      </c>
      <c r="K8577" s="912" t="s">
        <v>274</v>
      </c>
      <c r="L8577" s="912"/>
      <c r="M8577" s="912"/>
      <c r="N8577" s="912"/>
      <c r="O8577" s="892">
        <f t="shared" si="680"/>
        <v>0</v>
      </c>
      <c r="P8577" s="903">
        <f t="shared" si="682"/>
        <v>1</v>
      </c>
      <c r="Q8577" s="893">
        <f t="shared" si="683"/>
        <v>16</v>
      </c>
      <c r="R8577" s="894">
        <f t="shared" si="684"/>
        <v>0</v>
      </c>
    </row>
    <row r="8578" spans="1:18" s="847" customFormat="1">
      <c r="A8578" s="905"/>
      <c r="B8578" s="952"/>
      <c r="C8578" s="907">
        <v>318</v>
      </c>
      <c r="D8578" s="907" t="s">
        <v>279</v>
      </c>
      <c r="E8578" s="992" t="s">
        <v>5657</v>
      </c>
      <c r="F8578" s="905" t="s">
        <v>45</v>
      </c>
      <c r="G8578" s="1005"/>
      <c r="H8578" s="911">
        <v>5.4</v>
      </c>
      <c r="I8578" s="912">
        <f>VLOOKUP(E8578,[3]VLP!$B$7:$K$300,10,0)</f>
        <v>25155</v>
      </c>
      <c r="J8578" s="912">
        <f t="shared" si="685"/>
        <v>135837</v>
      </c>
      <c r="K8578" s="912" t="s">
        <v>274</v>
      </c>
      <c r="L8578" s="912"/>
      <c r="M8578" s="912"/>
      <c r="N8578" s="912"/>
      <c r="O8578" s="892">
        <f t="shared" si="680"/>
        <v>0</v>
      </c>
      <c r="P8578" s="903">
        <f t="shared" si="682"/>
        <v>1</v>
      </c>
      <c r="Q8578" s="893">
        <f t="shared" si="683"/>
        <v>15</v>
      </c>
      <c r="R8578" s="894">
        <f t="shared" si="684"/>
        <v>0</v>
      </c>
    </row>
    <row r="8579" spans="1:18" s="904" customFormat="1">
      <c r="A8579" s="905"/>
      <c r="B8579" s="952"/>
      <c r="C8579" s="907">
        <v>234</v>
      </c>
      <c r="D8579" s="907" t="s">
        <v>279</v>
      </c>
      <c r="E8579" s="992" t="s">
        <v>5983</v>
      </c>
      <c r="F8579" s="905" t="s">
        <v>3144</v>
      </c>
      <c r="G8579" s="1005"/>
      <c r="H8579" s="911">
        <v>6</v>
      </c>
      <c r="I8579" s="912">
        <f>VLOOKUP(E8579,[3]VLP!$B$7:$K$300,10,0)</f>
        <v>14000</v>
      </c>
      <c r="J8579" s="912">
        <f t="shared" si="685"/>
        <v>84000</v>
      </c>
      <c r="K8579" s="912" t="s">
        <v>274</v>
      </c>
      <c r="L8579" s="912"/>
      <c r="M8579" s="912"/>
      <c r="N8579" s="912"/>
      <c r="O8579" s="892">
        <f t="shared" si="680"/>
        <v>0</v>
      </c>
      <c r="P8579" s="903">
        <f t="shared" si="682"/>
        <v>1</v>
      </c>
      <c r="Q8579" s="893">
        <f t="shared" si="683"/>
        <v>14</v>
      </c>
      <c r="R8579" s="894">
        <f t="shared" si="684"/>
        <v>0</v>
      </c>
    </row>
    <row r="8580" spans="1:18">
      <c r="A8580" s="905"/>
      <c r="B8580" s="952"/>
      <c r="C8580" s="907">
        <v>314</v>
      </c>
      <c r="D8580" s="907" t="s">
        <v>279</v>
      </c>
      <c r="E8580" s="992" t="s">
        <v>3148</v>
      </c>
      <c r="F8580" s="905" t="s">
        <v>2690</v>
      </c>
      <c r="G8580" s="1005"/>
      <c r="H8580" s="911">
        <v>15.96</v>
      </c>
      <c r="I8580" s="912">
        <f>VLOOKUP(E8580,[3]VLP!$B$7:$K$300,10,0)</f>
        <v>10000</v>
      </c>
      <c r="J8580" s="912">
        <f t="shared" si="685"/>
        <v>159600</v>
      </c>
      <c r="K8580" s="912" t="s">
        <v>274</v>
      </c>
      <c r="L8580" s="912"/>
      <c r="M8580" s="912"/>
      <c r="N8580" s="912"/>
      <c r="O8580" s="892">
        <f t="shared" si="680"/>
        <v>0</v>
      </c>
      <c r="P8580" s="903">
        <f t="shared" si="682"/>
        <v>1</v>
      </c>
      <c r="Q8580" s="893">
        <f t="shared" si="683"/>
        <v>13</v>
      </c>
      <c r="R8580" s="894">
        <f t="shared" si="684"/>
        <v>0</v>
      </c>
    </row>
    <row r="8581" spans="1:18" s="847" customFormat="1">
      <c r="A8581" s="905"/>
      <c r="B8581" s="952"/>
      <c r="C8581" s="907">
        <v>315</v>
      </c>
      <c r="D8581" s="907" t="s">
        <v>279</v>
      </c>
      <c r="E8581" s="992" t="s">
        <v>6316</v>
      </c>
      <c r="F8581" s="905" t="s">
        <v>49</v>
      </c>
      <c r="G8581" s="1005"/>
      <c r="H8581" s="911">
        <v>5.4</v>
      </c>
      <c r="I8581" s="912">
        <f>VLOOKUP(E8581,[3]VLP!$B$7:$K$300,10,0)</f>
        <v>8000</v>
      </c>
      <c r="J8581" s="912">
        <f t="shared" si="685"/>
        <v>43200</v>
      </c>
      <c r="K8581" s="912" t="s">
        <v>274</v>
      </c>
      <c r="L8581" s="912"/>
      <c r="M8581" s="912"/>
      <c r="N8581" s="912"/>
      <c r="O8581" s="892">
        <f t="shared" si="680"/>
        <v>0</v>
      </c>
      <c r="P8581" s="903">
        <f t="shared" si="682"/>
        <v>1</v>
      </c>
      <c r="Q8581" s="893">
        <f t="shared" si="683"/>
        <v>12</v>
      </c>
      <c r="R8581" s="894">
        <f t="shared" si="684"/>
        <v>0</v>
      </c>
    </row>
    <row r="8582" spans="1:18" s="904" customFormat="1">
      <c r="A8582" s="905"/>
      <c r="B8582" s="952"/>
      <c r="C8582" s="907">
        <v>309</v>
      </c>
      <c r="D8582" s="907" t="s">
        <v>279</v>
      </c>
      <c r="E8582" s="992" t="s">
        <v>3262</v>
      </c>
      <c r="F8582" s="905" t="s">
        <v>45</v>
      </c>
      <c r="G8582" s="1005"/>
      <c r="H8582" s="911">
        <v>0.4</v>
      </c>
      <c r="I8582" s="912">
        <f>VLOOKUP(E8582,[3]VLP!$B$7:$K$300,10,0)</f>
        <v>66300</v>
      </c>
      <c r="J8582" s="912">
        <f t="shared" si="685"/>
        <v>26520</v>
      </c>
      <c r="K8582" s="912" t="s">
        <v>274</v>
      </c>
      <c r="L8582" s="912"/>
      <c r="M8582" s="912"/>
      <c r="N8582" s="912"/>
      <c r="O8582" s="892">
        <f t="shared" si="680"/>
        <v>0</v>
      </c>
      <c r="P8582" s="903">
        <f t="shared" si="682"/>
        <v>1</v>
      </c>
      <c r="Q8582" s="893">
        <f t="shared" si="683"/>
        <v>11</v>
      </c>
      <c r="R8582" s="894">
        <f t="shared" si="684"/>
        <v>0</v>
      </c>
    </row>
    <row r="8583" spans="1:18">
      <c r="A8583" s="905"/>
      <c r="B8583" s="952"/>
      <c r="C8583" s="907">
        <v>321</v>
      </c>
      <c r="D8583" s="907" t="s">
        <v>279</v>
      </c>
      <c r="E8583" s="992" t="s">
        <v>6317</v>
      </c>
      <c r="F8583" s="905" t="s">
        <v>45</v>
      </c>
      <c r="G8583" s="1005"/>
      <c r="H8583" s="911">
        <v>1</v>
      </c>
      <c r="I8583" s="912">
        <f>VLOOKUP(E8583,[3]VLP!$B$7:$K$300,10,0)</f>
        <v>38182</v>
      </c>
      <c r="J8583" s="912">
        <f t="shared" si="685"/>
        <v>38182</v>
      </c>
      <c r="K8583" s="912" t="s">
        <v>274</v>
      </c>
      <c r="L8583" s="912"/>
      <c r="M8583" s="912"/>
      <c r="N8583" s="912"/>
      <c r="O8583" s="892">
        <f t="shared" si="680"/>
        <v>0</v>
      </c>
      <c r="P8583" s="903">
        <f t="shared" si="682"/>
        <v>1</v>
      </c>
      <c r="Q8583" s="893">
        <f t="shared" si="683"/>
        <v>10</v>
      </c>
      <c r="R8583" s="894">
        <f t="shared" si="684"/>
        <v>0</v>
      </c>
    </row>
    <row r="8584" spans="1:18" s="847" customFormat="1">
      <c r="A8584" s="905"/>
      <c r="B8584" s="952"/>
      <c r="C8584" s="907">
        <v>230</v>
      </c>
      <c r="D8584" s="907" t="s">
        <v>279</v>
      </c>
      <c r="E8584" s="992" t="s">
        <v>6318</v>
      </c>
      <c r="F8584" s="905" t="s">
        <v>45</v>
      </c>
      <c r="G8584" s="1005"/>
      <c r="H8584" s="911">
        <v>5.6</v>
      </c>
      <c r="I8584" s="912">
        <f>VLOOKUP(E8584,[3]VLP!$B$7:$K$300,10,0)</f>
        <v>14762</v>
      </c>
      <c r="J8584" s="912">
        <f t="shared" si="685"/>
        <v>82667.199999999997</v>
      </c>
      <c r="K8584" s="912" t="s">
        <v>274</v>
      </c>
      <c r="L8584" s="912"/>
      <c r="M8584" s="912"/>
      <c r="N8584" s="912"/>
      <c r="O8584" s="892">
        <f t="shared" si="680"/>
        <v>0</v>
      </c>
      <c r="P8584" s="903">
        <f t="shared" si="682"/>
        <v>1</v>
      </c>
      <c r="Q8584" s="893">
        <f t="shared" si="683"/>
        <v>9</v>
      </c>
      <c r="R8584" s="894">
        <f t="shared" si="684"/>
        <v>0</v>
      </c>
    </row>
    <row r="8585" spans="1:18" s="904" customFormat="1">
      <c r="A8585" s="905"/>
      <c r="B8585" s="952"/>
      <c r="C8585" s="907">
        <v>235</v>
      </c>
      <c r="D8585" s="907" t="s">
        <v>279</v>
      </c>
      <c r="E8585" s="992" t="s">
        <v>2682</v>
      </c>
      <c r="F8585" s="905" t="s">
        <v>45</v>
      </c>
      <c r="G8585" s="1005"/>
      <c r="H8585" s="911">
        <v>7.5</v>
      </c>
      <c r="I8585" s="912">
        <f>VLOOKUP(E8585,[3]VLP!$B$7:$K$300,10,0)</f>
        <v>5000</v>
      </c>
      <c r="J8585" s="912">
        <f t="shared" si="685"/>
        <v>37500</v>
      </c>
      <c r="K8585" s="912" t="s">
        <v>274</v>
      </c>
      <c r="L8585" s="912"/>
      <c r="M8585" s="912"/>
      <c r="N8585" s="912"/>
      <c r="O8585" s="892">
        <f t="shared" si="680"/>
        <v>0</v>
      </c>
      <c r="P8585" s="903">
        <f t="shared" si="682"/>
        <v>1</v>
      </c>
      <c r="Q8585" s="893">
        <f t="shared" si="683"/>
        <v>8</v>
      </c>
      <c r="R8585" s="894">
        <f t="shared" si="684"/>
        <v>0</v>
      </c>
    </row>
    <row r="8586" spans="1:18">
      <c r="A8586" s="905"/>
      <c r="B8586" s="952"/>
      <c r="C8586" s="907">
        <v>237</v>
      </c>
      <c r="D8586" s="907" t="s">
        <v>279</v>
      </c>
      <c r="E8586" s="992" t="s">
        <v>6312</v>
      </c>
      <c r="F8586" s="905" t="s">
        <v>47</v>
      </c>
      <c r="G8586" s="1005"/>
      <c r="H8586" s="911">
        <v>0.15</v>
      </c>
      <c r="I8586" s="912">
        <f>VLOOKUP(E8586,[3]VLP!$B$7:$K$300,10,0)</f>
        <v>4545455</v>
      </c>
      <c r="J8586" s="912">
        <f t="shared" si="685"/>
        <v>681818.25</v>
      </c>
      <c r="K8586" s="912" t="s">
        <v>274</v>
      </c>
      <c r="L8586" s="912"/>
      <c r="M8586" s="912"/>
      <c r="N8586" s="912"/>
      <c r="O8586" s="892">
        <f t="shared" si="680"/>
        <v>0</v>
      </c>
      <c r="P8586" s="903">
        <f t="shared" si="682"/>
        <v>1</v>
      </c>
      <c r="Q8586" s="893">
        <f t="shared" si="683"/>
        <v>7</v>
      </c>
      <c r="R8586" s="894">
        <f t="shared" si="684"/>
        <v>0</v>
      </c>
    </row>
    <row r="8587" spans="1:18" s="847" customFormat="1">
      <c r="A8587" s="905"/>
      <c r="B8587" s="952"/>
      <c r="C8587" s="907">
        <v>699</v>
      </c>
      <c r="D8587" s="907" t="s">
        <v>279</v>
      </c>
      <c r="E8587" s="992" t="s">
        <v>4006</v>
      </c>
      <c r="F8587" s="905" t="s">
        <v>4007</v>
      </c>
      <c r="G8587" s="1005"/>
      <c r="H8587" s="911">
        <v>5</v>
      </c>
      <c r="I8587" s="912">
        <f>VLOOKUP(E8587,[3]VLP!$B$7:$K$300,10,0)</f>
        <v>5000</v>
      </c>
      <c r="J8587" s="912">
        <f t="shared" si="685"/>
        <v>25000</v>
      </c>
      <c r="K8587" s="912" t="s">
        <v>274</v>
      </c>
      <c r="L8587" s="912"/>
      <c r="M8587" s="912"/>
      <c r="N8587" s="912"/>
      <c r="O8587" s="892">
        <f t="shared" si="680"/>
        <v>0</v>
      </c>
      <c r="P8587" s="903">
        <f t="shared" si="682"/>
        <v>1</v>
      </c>
      <c r="Q8587" s="893">
        <f t="shared" si="683"/>
        <v>6</v>
      </c>
      <c r="R8587" s="894">
        <f t="shared" si="684"/>
        <v>0</v>
      </c>
    </row>
    <row r="8588" spans="1:18" s="904" customFormat="1">
      <c r="A8588" s="895"/>
      <c r="B8588" s="896"/>
      <c r="C8588" s="897"/>
      <c r="D8588" s="897"/>
      <c r="E8588" s="1002" t="s">
        <v>276</v>
      </c>
      <c r="F8588" s="1003"/>
      <c r="G8588" s="1004"/>
      <c r="H8588" s="901"/>
      <c r="I8588" s="902"/>
      <c r="J8588" s="902"/>
      <c r="K8588" s="912" t="s">
        <v>274</v>
      </c>
      <c r="L8588" s="902"/>
      <c r="M8588" s="902"/>
      <c r="N8588" s="902"/>
      <c r="O8588" s="892">
        <f t="shared" si="680"/>
        <v>0</v>
      </c>
      <c r="P8588" s="903">
        <f t="shared" si="682"/>
        <v>1</v>
      </c>
      <c r="Q8588" s="893">
        <f t="shared" si="683"/>
        <v>5</v>
      </c>
      <c r="R8588" s="894">
        <f t="shared" si="684"/>
        <v>0</v>
      </c>
    </row>
    <row r="8589" spans="1:18">
      <c r="A8589" s="905"/>
      <c r="B8589" s="952"/>
      <c r="C8589" s="907">
        <v>745</v>
      </c>
      <c r="D8589" s="907" t="s">
        <v>12</v>
      </c>
      <c r="E8589" s="992" t="s">
        <v>5518</v>
      </c>
      <c r="F8589" s="905" t="s">
        <v>2674</v>
      </c>
      <c r="G8589" s="1005"/>
      <c r="H8589" s="911">
        <v>119</v>
      </c>
      <c r="I8589" s="912"/>
      <c r="J8589" s="912"/>
      <c r="K8589" s="912">
        <f>VLOOKUP(E8589,[5]ĐMNC!$A$7:$F$67,4,0)</f>
        <v>240557</v>
      </c>
      <c r="L8589" s="912">
        <f>H8589*K8589</f>
        <v>28626283</v>
      </c>
      <c r="M8589" s="912"/>
      <c r="N8589" s="912"/>
      <c r="O8589" s="892">
        <f t="shared" si="680"/>
        <v>0</v>
      </c>
      <c r="P8589" s="903">
        <f t="shared" si="682"/>
        <v>1</v>
      </c>
      <c r="Q8589" s="893">
        <f t="shared" si="683"/>
        <v>4</v>
      </c>
      <c r="R8589" s="894">
        <f t="shared" si="684"/>
        <v>0</v>
      </c>
    </row>
    <row r="8590" spans="1:18" s="847" customFormat="1">
      <c r="A8590" s="895"/>
      <c r="B8590" s="896"/>
      <c r="C8590" s="897"/>
      <c r="D8590" s="897"/>
      <c r="E8590" s="1002" t="s">
        <v>3914</v>
      </c>
      <c r="F8590" s="1003"/>
      <c r="G8590" s="1004"/>
      <c r="H8590" s="901"/>
      <c r="I8590" s="902"/>
      <c r="J8590" s="902"/>
      <c r="K8590" s="912" t="s">
        <v>274</v>
      </c>
      <c r="L8590" s="902"/>
      <c r="M8590" s="902"/>
      <c r="N8590" s="902"/>
      <c r="O8590" s="892">
        <f t="shared" si="680"/>
        <v>0</v>
      </c>
      <c r="P8590" s="903">
        <f t="shared" si="682"/>
        <v>1</v>
      </c>
      <c r="Q8590" s="893">
        <f t="shared" si="683"/>
        <v>3</v>
      </c>
      <c r="R8590" s="894">
        <f t="shared" si="684"/>
        <v>0</v>
      </c>
    </row>
    <row r="8591" spans="1:18" s="904" customFormat="1">
      <c r="A8591" s="905"/>
      <c r="B8591" s="952" t="s">
        <v>6332</v>
      </c>
      <c r="C8591" s="907">
        <v>901</v>
      </c>
      <c r="D8591" s="907" t="s">
        <v>93</v>
      </c>
      <c r="E8591" s="992" t="s">
        <v>6333</v>
      </c>
      <c r="F8591" s="905" t="s">
        <v>2673</v>
      </c>
      <c r="G8591" s="1005"/>
      <c r="H8591" s="911">
        <v>0.88</v>
      </c>
      <c r="I8591" s="912"/>
      <c r="J8591" s="912"/>
      <c r="K8591" s="912"/>
      <c r="L8591" s="912"/>
      <c r="M8591" s="912">
        <f>VLOOKUP(B8591,MTC!$B$9:$S$933,12,0)</f>
        <v>1967433</v>
      </c>
      <c r="N8591" s="912">
        <f>M8591*H8591</f>
        <v>1731341.04</v>
      </c>
      <c r="O8591" s="892">
        <f t="shared" si="680"/>
        <v>0</v>
      </c>
      <c r="P8591" s="903">
        <f t="shared" si="682"/>
        <v>1</v>
      </c>
      <c r="Q8591" s="893">
        <f t="shared" si="683"/>
        <v>2</v>
      </c>
      <c r="R8591" s="894">
        <f t="shared" si="684"/>
        <v>0</v>
      </c>
    </row>
    <row r="8592" spans="1:18">
      <c r="A8592" s="905"/>
      <c r="B8592" s="946" t="s">
        <v>6321</v>
      </c>
      <c r="C8592" s="907">
        <v>900</v>
      </c>
      <c r="D8592" s="907" t="s">
        <v>93</v>
      </c>
      <c r="E8592" s="992" t="s">
        <v>6322</v>
      </c>
      <c r="F8592" s="905" t="s">
        <v>2673</v>
      </c>
      <c r="G8592" s="1005"/>
      <c r="H8592" s="911">
        <v>0.26</v>
      </c>
      <c r="I8592" s="912"/>
      <c r="J8592" s="912"/>
      <c r="K8592" s="912"/>
      <c r="L8592" s="912"/>
      <c r="M8592" s="912">
        <f>VLOOKUP(B8592,MTC!$B$9:$S$933,12,0)</f>
        <v>1475268</v>
      </c>
      <c r="N8592" s="912">
        <f>M8592*H8592</f>
        <v>383569.68</v>
      </c>
      <c r="O8592" s="892">
        <f t="shared" si="680"/>
        <v>0</v>
      </c>
      <c r="P8592" s="903">
        <f t="shared" si="682"/>
        <v>1</v>
      </c>
      <c r="Q8592" s="893">
        <f t="shared" si="683"/>
        <v>1</v>
      </c>
      <c r="R8592" s="894">
        <f t="shared" si="684"/>
        <v>0</v>
      </c>
    </row>
    <row r="8593" spans="1:18" s="847" customFormat="1" ht="31.5">
      <c r="A8593" s="905">
        <v>7</v>
      </c>
      <c r="B8593" s="914" t="s">
        <v>6341</v>
      </c>
      <c r="C8593" s="915"/>
      <c r="D8593" s="915"/>
      <c r="E8593" s="1006" t="s">
        <v>6342</v>
      </c>
      <c r="F8593" s="1007" t="s">
        <v>160</v>
      </c>
      <c r="G8593" s="1008"/>
      <c r="H8593" s="919"/>
      <c r="I8593" s="920"/>
      <c r="J8593" s="1000">
        <f>SUM(J8594:J8611)</f>
        <v>965717.08</v>
      </c>
      <c r="K8593" s="912" t="s">
        <v>274</v>
      </c>
      <c r="L8593" s="1000">
        <f>SUM(L8594:L8611)</f>
        <v>22371801</v>
      </c>
      <c r="M8593" s="1001"/>
      <c r="N8593" s="1000">
        <f>SUM(N8594:N8611)</f>
        <v>2114910.7200000002</v>
      </c>
      <c r="O8593" s="892">
        <f t="shared" si="680"/>
        <v>1</v>
      </c>
      <c r="P8593" s="903">
        <f t="shared" si="682"/>
        <v>0</v>
      </c>
      <c r="Q8593" s="893">
        <f t="shared" si="683"/>
        <v>0</v>
      </c>
      <c r="R8593" s="894">
        <f t="shared" si="684"/>
        <v>18</v>
      </c>
    </row>
    <row r="8594" spans="1:18" s="904" customFormat="1">
      <c r="A8594" s="895"/>
      <c r="B8594" s="896"/>
      <c r="C8594" s="897"/>
      <c r="D8594" s="897"/>
      <c r="E8594" s="1002" t="s">
        <v>108</v>
      </c>
      <c r="F8594" s="1003"/>
      <c r="G8594" s="1004"/>
      <c r="H8594" s="901"/>
      <c r="I8594" s="902"/>
      <c r="J8594" s="902"/>
      <c r="K8594" s="912" t="s">
        <v>274</v>
      </c>
      <c r="L8594" s="902"/>
      <c r="M8594" s="902"/>
      <c r="N8594" s="902"/>
      <c r="O8594" s="892">
        <f t="shared" si="680"/>
        <v>0</v>
      </c>
      <c r="P8594" s="903">
        <f t="shared" si="682"/>
        <v>1</v>
      </c>
      <c r="Q8594" s="893">
        <f t="shared" si="683"/>
        <v>18</v>
      </c>
      <c r="R8594" s="894">
        <f t="shared" si="684"/>
        <v>0</v>
      </c>
    </row>
    <row r="8595" spans="1:18">
      <c r="A8595" s="905"/>
      <c r="B8595" s="952"/>
      <c r="C8595" s="907">
        <v>212</v>
      </c>
      <c r="D8595" s="907" t="s">
        <v>279</v>
      </c>
      <c r="E8595" s="992" t="s">
        <v>2681</v>
      </c>
      <c r="F8595" s="905" t="s">
        <v>45</v>
      </c>
      <c r="G8595" s="1005"/>
      <c r="H8595" s="911">
        <v>0.8</v>
      </c>
      <c r="I8595" s="912">
        <f>VLOOKUP(E8595,[3]VLP!$B$7:$K$300,10,0)</f>
        <v>23000</v>
      </c>
      <c r="J8595" s="912">
        <f t="shared" ref="J8595:J8606" si="686">I8595*H8595</f>
        <v>18400</v>
      </c>
      <c r="K8595" s="912" t="s">
        <v>274</v>
      </c>
      <c r="L8595" s="912"/>
      <c r="M8595" s="912"/>
      <c r="N8595" s="912"/>
      <c r="O8595" s="892">
        <f t="shared" si="680"/>
        <v>0</v>
      </c>
      <c r="P8595" s="903">
        <f t="shared" si="682"/>
        <v>1</v>
      </c>
      <c r="Q8595" s="893">
        <f t="shared" si="683"/>
        <v>17</v>
      </c>
      <c r="R8595" s="894">
        <f t="shared" si="684"/>
        <v>0</v>
      </c>
    </row>
    <row r="8596" spans="1:18" s="847" customFormat="1">
      <c r="A8596" s="905"/>
      <c r="B8596" s="952"/>
      <c r="C8596" s="907">
        <v>289</v>
      </c>
      <c r="D8596" s="907" t="s">
        <v>279</v>
      </c>
      <c r="E8596" s="992" t="s">
        <v>3147</v>
      </c>
      <c r="F8596" s="905" t="s">
        <v>45</v>
      </c>
      <c r="G8596" s="1005"/>
      <c r="H8596" s="911">
        <v>0.3</v>
      </c>
      <c r="I8596" s="912">
        <f>VLOOKUP(E8596,[3]VLP!$B$7:$K$300,10,0)</f>
        <v>45000</v>
      </c>
      <c r="J8596" s="912">
        <f t="shared" si="686"/>
        <v>13500</v>
      </c>
      <c r="K8596" s="912" t="s">
        <v>274</v>
      </c>
      <c r="L8596" s="912"/>
      <c r="M8596" s="912"/>
      <c r="N8596" s="912"/>
      <c r="O8596" s="892">
        <f t="shared" si="680"/>
        <v>0</v>
      </c>
      <c r="P8596" s="903">
        <f t="shared" si="682"/>
        <v>1</v>
      </c>
      <c r="Q8596" s="893">
        <f t="shared" si="683"/>
        <v>16</v>
      </c>
      <c r="R8596" s="894">
        <f t="shared" si="684"/>
        <v>0</v>
      </c>
    </row>
    <row r="8597" spans="1:18" s="904" customFormat="1">
      <c r="A8597" s="905"/>
      <c r="B8597" s="952"/>
      <c r="C8597" s="907">
        <v>318</v>
      </c>
      <c r="D8597" s="907" t="s">
        <v>279</v>
      </c>
      <c r="E8597" s="992" t="s">
        <v>5657</v>
      </c>
      <c r="F8597" s="905" t="s">
        <v>45</v>
      </c>
      <c r="G8597" s="1005"/>
      <c r="H8597" s="911">
        <v>4.0999999999999996</v>
      </c>
      <c r="I8597" s="912">
        <f>VLOOKUP(E8597,[3]VLP!$B$7:$K$300,10,0)</f>
        <v>25155</v>
      </c>
      <c r="J8597" s="912">
        <f t="shared" si="686"/>
        <v>103135.49999999999</v>
      </c>
      <c r="K8597" s="912" t="s">
        <v>274</v>
      </c>
      <c r="L8597" s="912"/>
      <c r="M8597" s="912"/>
      <c r="N8597" s="912"/>
      <c r="O8597" s="892">
        <f t="shared" si="680"/>
        <v>0</v>
      </c>
      <c r="P8597" s="903">
        <f t="shared" si="682"/>
        <v>1</v>
      </c>
      <c r="Q8597" s="893">
        <f t="shared" si="683"/>
        <v>15</v>
      </c>
      <c r="R8597" s="894">
        <f t="shared" si="684"/>
        <v>0</v>
      </c>
    </row>
    <row r="8598" spans="1:18">
      <c r="A8598" s="905"/>
      <c r="B8598" s="952"/>
      <c r="C8598" s="907">
        <v>234</v>
      </c>
      <c r="D8598" s="907" t="s">
        <v>279</v>
      </c>
      <c r="E8598" s="992" t="s">
        <v>5983</v>
      </c>
      <c r="F8598" s="905" t="s">
        <v>3144</v>
      </c>
      <c r="G8598" s="1005"/>
      <c r="H8598" s="911">
        <v>4.5</v>
      </c>
      <c r="I8598" s="912">
        <f>VLOOKUP(E8598,[3]VLP!$B$7:$K$300,10,0)</f>
        <v>14000</v>
      </c>
      <c r="J8598" s="912">
        <f t="shared" si="686"/>
        <v>63000</v>
      </c>
      <c r="K8598" s="912" t="s">
        <v>274</v>
      </c>
      <c r="L8598" s="912"/>
      <c r="M8598" s="912"/>
      <c r="N8598" s="912"/>
      <c r="O8598" s="892">
        <f t="shared" si="680"/>
        <v>0</v>
      </c>
      <c r="P8598" s="903">
        <f t="shared" si="682"/>
        <v>1</v>
      </c>
      <c r="Q8598" s="893">
        <f t="shared" si="683"/>
        <v>14</v>
      </c>
      <c r="R8598" s="894">
        <f t="shared" si="684"/>
        <v>0</v>
      </c>
    </row>
    <row r="8599" spans="1:18" s="847" customFormat="1">
      <c r="A8599" s="905"/>
      <c r="B8599" s="952"/>
      <c r="C8599" s="907">
        <v>314</v>
      </c>
      <c r="D8599" s="907" t="s">
        <v>279</v>
      </c>
      <c r="E8599" s="992" t="s">
        <v>3148</v>
      </c>
      <c r="F8599" s="905" t="s">
        <v>2690</v>
      </c>
      <c r="G8599" s="1005"/>
      <c r="H8599" s="911">
        <v>10.130000000000001</v>
      </c>
      <c r="I8599" s="912">
        <f>VLOOKUP(E8599,[3]VLP!$B$7:$K$300,10,0)</f>
        <v>10000</v>
      </c>
      <c r="J8599" s="912">
        <f t="shared" si="686"/>
        <v>101300.00000000001</v>
      </c>
      <c r="K8599" s="912" t="s">
        <v>274</v>
      </c>
      <c r="L8599" s="912"/>
      <c r="M8599" s="912"/>
      <c r="N8599" s="912"/>
      <c r="O8599" s="892">
        <f t="shared" si="680"/>
        <v>0</v>
      </c>
      <c r="P8599" s="903">
        <f t="shared" si="682"/>
        <v>1</v>
      </c>
      <c r="Q8599" s="893">
        <f t="shared" si="683"/>
        <v>13</v>
      </c>
      <c r="R8599" s="894">
        <f t="shared" si="684"/>
        <v>0</v>
      </c>
    </row>
    <row r="8600" spans="1:18" s="904" customFormat="1">
      <c r="A8600" s="905"/>
      <c r="B8600" s="952"/>
      <c r="C8600" s="907">
        <v>315</v>
      </c>
      <c r="D8600" s="907" t="s">
        <v>279</v>
      </c>
      <c r="E8600" s="992" t="s">
        <v>6316</v>
      </c>
      <c r="F8600" s="905" t="s">
        <v>49</v>
      </c>
      <c r="G8600" s="1005"/>
      <c r="H8600" s="911">
        <v>4</v>
      </c>
      <c r="I8600" s="912">
        <f>VLOOKUP(E8600,[3]VLP!$B$7:$K$300,10,0)</f>
        <v>8000</v>
      </c>
      <c r="J8600" s="912">
        <f t="shared" si="686"/>
        <v>32000</v>
      </c>
      <c r="K8600" s="912" t="s">
        <v>274</v>
      </c>
      <c r="L8600" s="912"/>
      <c r="M8600" s="912"/>
      <c r="N8600" s="912"/>
      <c r="O8600" s="892">
        <f t="shared" si="680"/>
        <v>0</v>
      </c>
      <c r="P8600" s="903">
        <f t="shared" si="682"/>
        <v>1</v>
      </c>
      <c r="Q8600" s="893">
        <f t="shared" si="683"/>
        <v>12</v>
      </c>
      <c r="R8600" s="894">
        <f t="shared" si="684"/>
        <v>0</v>
      </c>
    </row>
    <row r="8601" spans="1:18">
      <c r="A8601" s="905"/>
      <c r="B8601" s="952"/>
      <c r="C8601" s="907">
        <v>309</v>
      </c>
      <c r="D8601" s="907" t="s">
        <v>279</v>
      </c>
      <c r="E8601" s="992" t="s">
        <v>3262</v>
      </c>
      <c r="F8601" s="905" t="s">
        <v>45</v>
      </c>
      <c r="G8601" s="1005"/>
      <c r="H8601" s="911">
        <v>0.3</v>
      </c>
      <c r="I8601" s="912">
        <f>VLOOKUP(E8601,[3]VLP!$B$7:$K$300,10,0)</f>
        <v>66300</v>
      </c>
      <c r="J8601" s="912">
        <f t="shared" si="686"/>
        <v>19890</v>
      </c>
      <c r="K8601" s="912" t="s">
        <v>274</v>
      </c>
      <c r="L8601" s="912"/>
      <c r="M8601" s="912"/>
      <c r="N8601" s="912"/>
      <c r="O8601" s="892">
        <f t="shared" si="680"/>
        <v>0</v>
      </c>
      <c r="P8601" s="903">
        <f t="shared" si="682"/>
        <v>1</v>
      </c>
      <c r="Q8601" s="893">
        <f t="shared" si="683"/>
        <v>11</v>
      </c>
      <c r="R8601" s="894">
        <f t="shared" si="684"/>
        <v>0</v>
      </c>
    </row>
    <row r="8602" spans="1:18" s="847" customFormat="1">
      <c r="A8602" s="905"/>
      <c r="B8602" s="952"/>
      <c r="C8602" s="907">
        <v>321</v>
      </c>
      <c r="D8602" s="907" t="s">
        <v>279</v>
      </c>
      <c r="E8602" s="992" t="s">
        <v>6317</v>
      </c>
      <c r="F8602" s="905" t="s">
        <v>45</v>
      </c>
      <c r="G8602" s="1005"/>
      <c r="H8602" s="911">
        <v>0.8</v>
      </c>
      <c r="I8602" s="912">
        <f>VLOOKUP(E8602,[3]VLP!$B$7:$K$300,10,0)</f>
        <v>38182</v>
      </c>
      <c r="J8602" s="912">
        <f t="shared" si="686"/>
        <v>30545.600000000002</v>
      </c>
      <c r="K8602" s="912" t="s">
        <v>274</v>
      </c>
      <c r="L8602" s="912"/>
      <c r="M8602" s="912"/>
      <c r="N8602" s="912"/>
      <c r="O8602" s="892">
        <f t="shared" si="680"/>
        <v>0</v>
      </c>
      <c r="P8602" s="903">
        <f t="shared" si="682"/>
        <v>1</v>
      </c>
      <c r="Q8602" s="893">
        <f t="shared" si="683"/>
        <v>10</v>
      </c>
      <c r="R8602" s="894">
        <f t="shared" si="684"/>
        <v>0</v>
      </c>
    </row>
    <row r="8603" spans="1:18" s="904" customFormat="1">
      <c r="A8603" s="905"/>
      <c r="B8603" s="952"/>
      <c r="C8603" s="907">
        <v>230</v>
      </c>
      <c r="D8603" s="907" t="s">
        <v>279</v>
      </c>
      <c r="E8603" s="992" t="s">
        <v>6318</v>
      </c>
      <c r="F8603" s="905" t="s">
        <v>45</v>
      </c>
      <c r="G8603" s="1005"/>
      <c r="H8603" s="911">
        <v>5.04</v>
      </c>
      <c r="I8603" s="912">
        <f>VLOOKUP(E8603,[3]VLP!$B$7:$K$300,10,0)</f>
        <v>14762</v>
      </c>
      <c r="J8603" s="912">
        <f t="shared" si="686"/>
        <v>74400.479999999996</v>
      </c>
      <c r="K8603" s="912" t="s">
        <v>274</v>
      </c>
      <c r="L8603" s="912"/>
      <c r="M8603" s="912"/>
      <c r="N8603" s="912"/>
      <c r="O8603" s="892">
        <f t="shared" si="680"/>
        <v>0</v>
      </c>
      <c r="P8603" s="903">
        <f t="shared" si="682"/>
        <v>1</v>
      </c>
      <c r="Q8603" s="893">
        <f t="shared" si="683"/>
        <v>9</v>
      </c>
      <c r="R8603" s="894">
        <f t="shared" si="684"/>
        <v>0</v>
      </c>
    </row>
    <row r="8604" spans="1:18">
      <c r="A8604" s="905"/>
      <c r="B8604" s="952"/>
      <c r="C8604" s="907">
        <v>235</v>
      </c>
      <c r="D8604" s="907" t="s">
        <v>279</v>
      </c>
      <c r="E8604" s="992" t="s">
        <v>2682</v>
      </c>
      <c r="F8604" s="905" t="s">
        <v>45</v>
      </c>
      <c r="G8604" s="1005"/>
      <c r="H8604" s="911">
        <v>6</v>
      </c>
      <c r="I8604" s="912">
        <f>VLOOKUP(E8604,[3]VLP!$B$7:$K$300,10,0)</f>
        <v>5000</v>
      </c>
      <c r="J8604" s="912">
        <f t="shared" si="686"/>
        <v>30000</v>
      </c>
      <c r="K8604" s="912" t="s">
        <v>274</v>
      </c>
      <c r="L8604" s="912"/>
      <c r="M8604" s="912"/>
      <c r="N8604" s="912"/>
      <c r="O8604" s="892">
        <f t="shared" si="680"/>
        <v>0</v>
      </c>
      <c r="P8604" s="903">
        <f t="shared" si="682"/>
        <v>1</v>
      </c>
      <c r="Q8604" s="893">
        <f t="shared" si="683"/>
        <v>8</v>
      </c>
      <c r="R8604" s="894">
        <f t="shared" si="684"/>
        <v>0</v>
      </c>
    </row>
    <row r="8605" spans="1:18" s="847" customFormat="1">
      <c r="A8605" s="905"/>
      <c r="B8605" s="952"/>
      <c r="C8605" s="907">
        <v>237</v>
      </c>
      <c r="D8605" s="907" t="s">
        <v>279</v>
      </c>
      <c r="E8605" s="992" t="s">
        <v>6312</v>
      </c>
      <c r="F8605" s="905" t="s">
        <v>47</v>
      </c>
      <c r="G8605" s="1005"/>
      <c r="H8605" s="911">
        <v>0.1</v>
      </c>
      <c r="I8605" s="912">
        <f>VLOOKUP(E8605,[3]VLP!$B$7:$K$300,10,0)</f>
        <v>4545455</v>
      </c>
      <c r="J8605" s="912">
        <f t="shared" si="686"/>
        <v>454545.5</v>
      </c>
      <c r="K8605" s="912" t="s">
        <v>274</v>
      </c>
      <c r="L8605" s="912"/>
      <c r="M8605" s="912"/>
      <c r="N8605" s="912"/>
      <c r="O8605" s="892">
        <f t="shared" si="680"/>
        <v>0</v>
      </c>
      <c r="P8605" s="903">
        <f t="shared" si="682"/>
        <v>1</v>
      </c>
      <c r="Q8605" s="893">
        <f t="shared" si="683"/>
        <v>7</v>
      </c>
      <c r="R8605" s="894">
        <f t="shared" si="684"/>
        <v>0</v>
      </c>
    </row>
    <row r="8606" spans="1:18" s="904" customFormat="1">
      <c r="A8606" s="905"/>
      <c r="B8606" s="952"/>
      <c r="C8606" s="907">
        <v>699</v>
      </c>
      <c r="D8606" s="907" t="s">
        <v>279</v>
      </c>
      <c r="E8606" s="992" t="s">
        <v>4006</v>
      </c>
      <c r="F8606" s="905" t="s">
        <v>4007</v>
      </c>
      <c r="G8606" s="1005"/>
      <c r="H8606" s="911">
        <v>5</v>
      </c>
      <c r="I8606" s="912">
        <f>VLOOKUP(E8606,[3]VLP!$B$7:$K$300,10,0)</f>
        <v>5000</v>
      </c>
      <c r="J8606" s="912">
        <f t="shared" si="686"/>
        <v>25000</v>
      </c>
      <c r="K8606" s="912" t="s">
        <v>274</v>
      </c>
      <c r="L8606" s="912"/>
      <c r="M8606" s="912"/>
      <c r="N8606" s="912"/>
      <c r="O8606" s="892">
        <f t="shared" si="680"/>
        <v>0</v>
      </c>
      <c r="P8606" s="903">
        <f t="shared" si="682"/>
        <v>1</v>
      </c>
      <c r="Q8606" s="893">
        <f t="shared" si="683"/>
        <v>6</v>
      </c>
      <c r="R8606" s="894">
        <f t="shared" si="684"/>
        <v>0</v>
      </c>
    </row>
    <row r="8607" spans="1:18">
      <c r="A8607" s="895"/>
      <c r="B8607" s="896"/>
      <c r="C8607" s="897"/>
      <c r="D8607" s="897"/>
      <c r="E8607" s="1002" t="s">
        <v>276</v>
      </c>
      <c r="F8607" s="1003"/>
      <c r="G8607" s="1004"/>
      <c r="H8607" s="901"/>
      <c r="I8607" s="902"/>
      <c r="J8607" s="902"/>
      <c r="K8607" s="912" t="s">
        <v>274</v>
      </c>
      <c r="L8607" s="902"/>
      <c r="M8607" s="902"/>
      <c r="N8607" s="902"/>
      <c r="O8607" s="892">
        <f t="shared" ref="O8607:O8670" si="687">IF(AND(B8607&lt;&gt;"",D8607=""),1,0)</f>
        <v>0</v>
      </c>
      <c r="P8607" s="903">
        <f t="shared" si="682"/>
        <v>1</v>
      </c>
      <c r="Q8607" s="893">
        <f t="shared" si="683"/>
        <v>5</v>
      </c>
      <c r="R8607" s="894">
        <f t="shared" si="684"/>
        <v>0</v>
      </c>
    </row>
    <row r="8608" spans="1:18" s="847" customFormat="1">
      <c r="A8608" s="905"/>
      <c r="B8608" s="952"/>
      <c r="C8608" s="907">
        <v>745</v>
      </c>
      <c r="D8608" s="907" t="s">
        <v>12</v>
      </c>
      <c r="E8608" s="992" t="s">
        <v>5518</v>
      </c>
      <c r="F8608" s="905" t="s">
        <v>2674</v>
      </c>
      <c r="G8608" s="1005"/>
      <c r="H8608" s="911">
        <v>93</v>
      </c>
      <c r="I8608" s="912"/>
      <c r="J8608" s="912"/>
      <c r="K8608" s="912">
        <f>VLOOKUP(E8608,[5]ĐMNC!$A$7:$F$67,4,0)</f>
        <v>240557</v>
      </c>
      <c r="L8608" s="912">
        <f>H8608*K8608</f>
        <v>22371801</v>
      </c>
      <c r="M8608" s="912"/>
      <c r="N8608" s="912"/>
      <c r="O8608" s="892">
        <f t="shared" si="687"/>
        <v>0</v>
      </c>
      <c r="P8608" s="903">
        <f t="shared" si="682"/>
        <v>1</v>
      </c>
      <c r="Q8608" s="893">
        <f t="shared" si="683"/>
        <v>4</v>
      </c>
      <c r="R8608" s="894">
        <f t="shared" si="684"/>
        <v>0</v>
      </c>
    </row>
    <row r="8609" spans="1:18" s="904" customFormat="1">
      <c r="A8609" s="895"/>
      <c r="B8609" s="896"/>
      <c r="C8609" s="897"/>
      <c r="D8609" s="897"/>
      <c r="E8609" s="1002" t="s">
        <v>3914</v>
      </c>
      <c r="F8609" s="1003"/>
      <c r="G8609" s="1004"/>
      <c r="H8609" s="901"/>
      <c r="I8609" s="902"/>
      <c r="J8609" s="902"/>
      <c r="K8609" s="912" t="s">
        <v>274</v>
      </c>
      <c r="L8609" s="902"/>
      <c r="M8609" s="902"/>
      <c r="N8609" s="902"/>
      <c r="O8609" s="892">
        <f t="shared" si="687"/>
        <v>0</v>
      </c>
      <c r="P8609" s="903">
        <f t="shared" si="682"/>
        <v>1</v>
      </c>
      <c r="Q8609" s="893">
        <f t="shared" si="683"/>
        <v>3</v>
      </c>
      <c r="R8609" s="894">
        <f t="shared" si="684"/>
        <v>0</v>
      </c>
    </row>
    <row r="8610" spans="1:18">
      <c r="A8610" s="905"/>
      <c r="B8610" s="952" t="s">
        <v>6332</v>
      </c>
      <c r="C8610" s="907">
        <v>901</v>
      </c>
      <c r="D8610" s="907" t="s">
        <v>93</v>
      </c>
      <c r="E8610" s="992" t="s">
        <v>6333</v>
      </c>
      <c r="F8610" s="905" t="s">
        <v>2673</v>
      </c>
      <c r="G8610" s="1005"/>
      <c r="H8610" s="911">
        <v>0.88</v>
      </c>
      <c r="I8610" s="912"/>
      <c r="J8610" s="912"/>
      <c r="K8610" s="912"/>
      <c r="L8610" s="912"/>
      <c r="M8610" s="912">
        <f>VLOOKUP(B8610,MTC!$B$9:$S$933,12,0)</f>
        <v>1967433</v>
      </c>
      <c r="N8610" s="912">
        <f>M8610*H8610</f>
        <v>1731341.04</v>
      </c>
      <c r="O8610" s="892">
        <f t="shared" si="687"/>
        <v>0</v>
      </c>
      <c r="P8610" s="903">
        <f t="shared" si="682"/>
        <v>1</v>
      </c>
      <c r="Q8610" s="893">
        <f t="shared" si="683"/>
        <v>2</v>
      </c>
      <c r="R8610" s="894">
        <f t="shared" si="684"/>
        <v>0</v>
      </c>
    </row>
    <row r="8611" spans="1:18" s="847" customFormat="1">
      <c r="A8611" s="905"/>
      <c r="B8611" s="946" t="s">
        <v>6321</v>
      </c>
      <c r="C8611" s="907">
        <v>900</v>
      </c>
      <c r="D8611" s="907" t="s">
        <v>93</v>
      </c>
      <c r="E8611" s="992" t="s">
        <v>6322</v>
      </c>
      <c r="F8611" s="905" t="s">
        <v>2673</v>
      </c>
      <c r="G8611" s="1005"/>
      <c r="H8611" s="911">
        <v>0.26</v>
      </c>
      <c r="I8611" s="912"/>
      <c r="J8611" s="912"/>
      <c r="K8611" s="912"/>
      <c r="L8611" s="912"/>
      <c r="M8611" s="912">
        <f>VLOOKUP(B8611,MTC!$B$9:$S$933,12,0)</f>
        <v>1475268</v>
      </c>
      <c r="N8611" s="912">
        <f>M8611*H8611</f>
        <v>383569.68</v>
      </c>
      <c r="O8611" s="892">
        <f t="shared" si="687"/>
        <v>0</v>
      </c>
      <c r="P8611" s="903">
        <f t="shared" si="682"/>
        <v>1</v>
      </c>
      <c r="Q8611" s="893">
        <f t="shared" si="683"/>
        <v>1</v>
      </c>
      <c r="R8611" s="894">
        <f t="shared" si="684"/>
        <v>0</v>
      </c>
    </row>
    <row r="8612" spans="1:18" s="904" customFormat="1" ht="31.5">
      <c r="A8612" s="905">
        <v>8</v>
      </c>
      <c r="B8612" s="914" t="s">
        <v>6343</v>
      </c>
      <c r="C8612" s="915"/>
      <c r="D8612" s="915"/>
      <c r="E8612" s="1006" t="s">
        <v>6344</v>
      </c>
      <c r="F8612" s="1007" t="s">
        <v>160</v>
      </c>
      <c r="G8612" s="1008"/>
      <c r="H8612" s="919"/>
      <c r="I8612" s="920"/>
      <c r="J8612" s="1000">
        <f>SUM(J8613:J8630)</f>
        <v>655117.86</v>
      </c>
      <c r="K8612" s="912" t="s">
        <v>274</v>
      </c>
      <c r="L8612" s="1000">
        <f>SUM(L8613:L8630)</f>
        <v>19244560</v>
      </c>
      <c r="M8612" s="1001"/>
      <c r="N8612" s="1000">
        <f>SUM(N8613:N8630)</f>
        <v>2114910.7200000002</v>
      </c>
      <c r="O8612" s="892">
        <f t="shared" si="687"/>
        <v>1</v>
      </c>
      <c r="P8612" s="903">
        <f t="shared" si="682"/>
        <v>0</v>
      </c>
      <c r="Q8612" s="893">
        <f t="shared" si="683"/>
        <v>0</v>
      </c>
      <c r="R8612" s="894">
        <f t="shared" si="684"/>
        <v>18</v>
      </c>
    </row>
    <row r="8613" spans="1:18">
      <c r="A8613" s="895"/>
      <c r="B8613" s="896"/>
      <c r="C8613" s="897"/>
      <c r="D8613" s="897"/>
      <c r="E8613" s="1002" t="s">
        <v>108</v>
      </c>
      <c r="F8613" s="1003"/>
      <c r="G8613" s="1004"/>
      <c r="H8613" s="901"/>
      <c r="I8613" s="902"/>
      <c r="J8613" s="902"/>
      <c r="K8613" s="912" t="s">
        <v>274</v>
      </c>
      <c r="L8613" s="902"/>
      <c r="M8613" s="902"/>
      <c r="N8613" s="902"/>
      <c r="O8613" s="892">
        <f t="shared" si="687"/>
        <v>0</v>
      </c>
      <c r="P8613" s="903">
        <f t="shared" si="682"/>
        <v>1</v>
      </c>
      <c r="Q8613" s="893">
        <f t="shared" si="683"/>
        <v>18</v>
      </c>
      <c r="R8613" s="894">
        <f t="shared" si="684"/>
        <v>0</v>
      </c>
    </row>
    <row r="8614" spans="1:18" s="847" customFormat="1">
      <c r="A8614" s="905"/>
      <c r="B8614" s="952"/>
      <c r="C8614" s="907">
        <v>212</v>
      </c>
      <c r="D8614" s="907" t="s">
        <v>279</v>
      </c>
      <c r="E8614" s="992" t="s">
        <v>2681</v>
      </c>
      <c r="F8614" s="905" t="s">
        <v>45</v>
      </c>
      <c r="G8614" s="1005"/>
      <c r="H8614" s="911">
        <v>0.6</v>
      </c>
      <c r="I8614" s="912">
        <f>VLOOKUP(E8614,[3]VLP!$B$7:$K$300,10,0)</f>
        <v>23000</v>
      </c>
      <c r="J8614" s="912">
        <f t="shared" ref="J8614:J8625" si="688">I8614*H8614</f>
        <v>13800</v>
      </c>
      <c r="K8614" s="912" t="s">
        <v>274</v>
      </c>
      <c r="L8614" s="912"/>
      <c r="M8614" s="912"/>
      <c r="N8614" s="912"/>
      <c r="O8614" s="892">
        <f t="shared" si="687"/>
        <v>0</v>
      </c>
      <c r="P8614" s="903">
        <f t="shared" si="682"/>
        <v>1</v>
      </c>
      <c r="Q8614" s="893">
        <f t="shared" si="683"/>
        <v>17</v>
      </c>
      <c r="R8614" s="894">
        <f t="shared" si="684"/>
        <v>0</v>
      </c>
    </row>
    <row r="8615" spans="1:18" s="904" customFormat="1">
      <c r="A8615" s="905"/>
      <c r="B8615" s="952"/>
      <c r="C8615" s="907">
        <v>289</v>
      </c>
      <c r="D8615" s="907" t="s">
        <v>279</v>
      </c>
      <c r="E8615" s="992" t="s">
        <v>3147</v>
      </c>
      <c r="F8615" s="905" t="s">
        <v>45</v>
      </c>
      <c r="G8615" s="1005"/>
      <c r="H8615" s="911">
        <v>0.2</v>
      </c>
      <c r="I8615" s="912">
        <f>VLOOKUP(E8615,[3]VLP!$B$7:$K$300,10,0)</f>
        <v>45000</v>
      </c>
      <c r="J8615" s="912">
        <f t="shared" si="688"/>
        <v>9000</v>
      </c>
      <c r="K8615" s="912" t="s">
        <v>274</v>
      </c>
      <c r="L8615" s="912"/>
      <c r="M8615" s="912"/>
      <c r="N8615" s="912"/>
      <c r="O8615" s="892">
        <f t="shared" si="687"/>
        <v>0</v>
      </c>
      <c r="P8615" s="903">
        <f t="shared" si="682"/>
        <v>1</v>
      </c>
      <c r="Q8615" s="893">
        <f t="shared" si="683"/>
        <v>16</v>
      </c>
      <c r="R8615" s="894">
        <f t="shared" si="684"/>
        <v>0</v>
      </c>
    </row>
    <row r="8616" spans="1:18">
      <c r="A8616" s="905"/>
      <c r="B8616" s="952"/>
      <c r="C8616" s="907">
        <v>318</v>
      </c>
      <c r="D8616" s="907" t="s">
        <v>279</v>
      </c>
      <c r="E8616" s="992" t="s">
        <v>5657</v>
      </c>
      <c r="F8616" s="905" t="s">
        <v>45</v>
      </c>
      <c r="G8616" s="1005"/>
      <c r="H8616" s="911">
        <v>3.3</v>
      </c>
      <c r="I8616" s="912">
        <f>VLOOKUP(E8616,[3]VLP!$B$7:$K$300,10,0)</f>
        <v>25155</v>
      </c>
      <c r="J8616" s="912">
        <f t="shared" si="688"/>
        <v>83011.5</v>
      </c>
      <c r="K8616" s="912" t="s">
        <v>274</v>
      </c>
      <c r="L8616" s="912"/>
      <c r="M8616" s="912"/>
      <c r="N8616" s="912"/>
      <c r="O8616" s="892">
        <f t="shared" si="687"/>
        <v>0</v>
      </c>
      <c r="P8616" s="903">
        <f t="shared" si="682"/>
        <v>1</v>
      </c>
      <c r="Q8616" s="893">
        <f t="shared" si="683"/>
        <v>15</v>
      </c>
      <c r="R8616" s="894">
        <f t="shared" si="684"/>
        <v>0</v>
      </c>
    </row>
    <row r="8617" spans="1:18" s="847" customFormat="1">
      <c r="A8617" s="905"/>
      <c r="B8617" s="952"/>
      <c r="C8617" s="907">
        <v>234</v>
      </c>
      <c r="D8617" s="907" t="s">
        <v>279</v>
      </c>
      <c r="E8617" s="992" t="s">
        <v>5983</v>
      </c>
      <c r="F8617" s="905" t="s">
        <v>3144</v>
      </c>
      <c r="G8617" s="1005"/>
      <c r="H8617" s="911">
        <v>3.6</v>
      </c>
      <c r="I8617" s="912">
        <f>VLOOKUP(E8617,[3]VLP!$B$7:$K$300,10,0)</f>
        <v>14000</v>
      </c>
      <c r="J8617" s="912">
        <f t="shared" si="688"/>
        <v>50400</v>
      </c>
      <c r="K8617" s="912" t="s">
        <v>274</v>
      </c>
      <c r="L8617" s="912"/>
      <c r="M8617" s="912"/>
      <c r="N8617" s="912"/>
      <c r="O8617" s="892">
        <f t="shared" si="687"/>
        <v>0</v>
      </c>
      <c r="P8617" s="903">
        <f t="shared" si="682"/>
        <v>1</v>
      </c>
      <c r="Q8617" s="893">
        <f t="shared" si="683"/>
        <v>14</v>
      </c>
      <c r="R8617" s="894">
        <f t="shared" si="684"/>
        <v>0</v>
      </c>
    </row>
    <row r="8618" spans="1:18" s="904" customFormat="1">
      <c r="A8618" s="905"/>
      <c r="B8618" s="952"/>
      <c r="C8618" s="907">
        <v>314</v>
      </c>
      <c r="D8618" s="907" t="s">
        <v>279</v>
      </c>
      <c r="E8618" s="992" t="s">
        <v>3148</v>
      </c>
      <c r="F8618" s="905" t="s">
        <v>2690</v>
      </c>
      <c r="G8618" s="1005"/>
      <c r="H8618" s="911">
        <v>6.33</v>
      </c>
      <c r="I8618" s="912">
        <f>VLOOKUP(E8618,[3]VLP!$B$7:$K$300,10,0)</f>
        <v>10000</v>
      </c>
      <c r="J8618" s="912">
        <f t="shared" si="688"/>
        <v>63300</v>
      </c>
      <c r="K8618" s="912" t="s">
        <v>274</v>
      </c>
      <c r="L8618" s="912"/>
      <c r="M8618" s="912"/>
      <c r="N8618" s="912"/>
      <c r="O8618" s="892">
        <f t="shared" si="687"/>
        <v>0</v>
      </c>
      <c r="P8618" s="903">
        <f t="shared" si="682"/>
        <v>1</v>
      </c>
      <c r="Q8618" s="893">
        <f t="shared" si="683"/>
        <v>13</v>
      </c>
      <c r="R8618" s="894">
        <f t="shared" si="684"/>
        <v>0</v>
      </c>
    </row>
    <row r="8619" spans="1:18">
      <c r="A8619" s="905"/>
      <c r="B8619" s="952"/>
      <c r="C8619" s="907">
        <v>315</v>
      </c>
      <c r="D8619" s="907" t="s">
        <v>279</v>
      </c>
      <c r="E8619" s="992" t="s">
        <v>6316</v>
      </c>
      <c r="F8619" s="905" t="s">
        <v>49</v>
      </c>
      <c r="G8619" s="1005"/>
      <c r="H8619" s="911">
        <v>3.2</v>
      </c>
      <c r="I8619" s="912">
        <f>VLOOKUP(E8619,[3]VLP!$B$7:$K$300,10,0)</f>
        <v>8000</v>
      </c>
      <c r="J8619" s="912">
        <f t="shared" si="688"/>
        <v>25600</v>
      </c>
      <c r="K8619" s="912" t="s">
        <v>274</v>
      </c>
      <c r="L8619" s="912"/>
      <c r="M8619" s="912"/>
      <c r="N8619" s="912"/>
      <c r="O8619" s="892">
        <f t="shared" si="687"/>
        <v>0</v>
      </c>
      <c r="P8619" s="903">
        <f t="shared" si="682"/>
        <v>1</v>
      </c>
      <c r="Q8619" s="893">
        <f t="shared" si="683"/>
        <v>12</v>
      </c>
      <c r="R8619" s="894">
        <f t="shared" si="684"/>
        <v>0</v>
      </c>
    </row>
    <row r="8620" spans="1:18" s="847" customFormat="1">
      <c r="A8620" s="905"/>
      <c r="B8620" s="952"/>
      <c r="C8620" s="907">
        <v>309</v>
      </c>
      <c r="D8620" s="907" t="s">
        <v>279</v>
      </c>
      <c r="E8620" s="992" t="s">
        <v>3262</v>
      </c>
      <c r="F8620" s="905" t="s">
        <v>45</v>
      </c>
      <c r="G8620" s="1005"/>
      <c r="H8620" s="911">
        <v>0.2</v>
      </c>
      <c r="I8620" s="912">
        <f>VLOOKUP(E8620,[3]VLP!$B$7:$K$300,10,0)</f>
        <v>66300</v>
      </c>
      <c r="J8620" s="912">
        <f t="shared" si="688"/>
        <v>13260</v>
      </c>
      <c r="K8620" s="912" t="s">
        <v>274</v>
      </c>
      <c r="L8620" s="912"/>
      <c r="M8620" s="912"/>
      <c r="N8620" s="912"/>
      <c r="O8620" s="892">
        <f t="shared" si="687"/>
        <v>0</v>
      </c>
      <c r="P8620" s="903">
        <f t="shared" si="682"/>
        <v>1</v>
      </c>
      <c r="Q8620" s="893">
        <f t="shared" si="683"/>
        <v>11</v>
      </c>
      <c r="R8620" s="894">
        <f t="shared" si="684"/>
        <v>0</v>
      </c>
    </row>
    <row r="8621" spans="1:18" s="904" customFormat="1">
      <c r="A8621" s="905"/>
      <c r="B8621" s="952"/>
      <c r="C8621" s="907">
        <v>321</v>
      </c>
      <c r="D8621" s="907" t="s">
        <v>279</v>
      </c>
      <c r="E8621" s="992" t="s">
        <v>6317</v>
      </c>
      <c r="F8621" s="905" t="s">
        <v>45</v>
      </c>
      <c r="G8621" s="1005"/>
      <c r="H8621" s="911">
        <v>0.6</v>
      </c>
      <c r="I8621" s="912">
        <f>VLOOKUP(E8621,[3]VLP!$B$7:$K$300,10,0)</f>
        <v>38182</v>
      </c>
      <c r="J8621" s="912">
        <f t="shared" si="688"/>
        <v>22909.200000000001</v>
      </c>
      <c r="K8621" s="912" t="s">
        <v>274</v>
      </c>
      <c r="L8621" s="912"/>
      <c r="M8621" s="912"/>
      <c r="N8621" s="912"/>
      <c r="O8621" s="892">
        <f t="shared" si="687"/>
        <v>0</v>
      </c>
      <c r="P8621" s="903">
        <f t="shared" si="682"/>
        <v>1</v>
      </c>
      <c r="Q8621" s="893">
        <f t="shared" si="683"/>
        <v>10</v>
      </c>
      <c r="R8621" s="894">
        <f t="shared" si="684"/>
        <v>0</v>
      </c>
    </row>
    <row r="8622" spans="1:18">
      <c r="A8622" s="905"/>
      <c r="B8622" s="952"/>
      <c r="C8622" s="907">
        <v>230</v>
      </c>
      <c r="D8622" s="907" t="s">
        <v>279</v>
      </c>
      <c r="E8622" s="992" t="s">
        <v>6318</v>
      </c>
      <c r="F8622" s="905" t="s">
        <v>45</v>
      </c>
      <c r="G8622" s="1005"/>
      <c r="H8622" s="911">
        <v>3.53</v>
      </c>
      <c r="I8622" s="912">
        <f>VLOOKUP(E8622,[3]VLP!$B$7:$K$300,10,0)</f>
        <v>14762</v>
      </c>
      <c r="J8622" s="912">
        <f t="shared" si="688"/>
        <v>52109.86</v>
      </c>
      <c r="K8622" s="912" t="s">
        <v>274</v>
      </c>
      <c r="L8622" s="912"/>
      <c r="M8622" s="912"/>
      <c r="N8622" s="912"/>
      <c r="O8622" s="892">
        <f t="shared" si="687"/>
        <v>0</v>
      </c>
      <c r="P8622" s="903">
        <f t="shared" si="682"/>
        <v>1</v>
      </c>
      <c r="Q8622" s="893">
        <f t="shared" si="683"/>
        <v>9</v>
      </c>
      <c r="R8622" s="894">
        <f t="shared" si="684"/>
        <v>0</v>
      </c>
    </row>
    <row r="8623" spans="1:18" s="847" customFormat="1">
      <c r="A8623" s="905"/>
      <c r="B8623" s="952"/>
      <c r="C8623" s="907">
        <v>235</v>
      </c>
      <c r="D8623" s="907" t="s">
        <v>279</v>
      </c>
      <c r="E8623" s="992" t="s">
        <v>2682</v>
      </c>
      <c r="F8623" s="905" t="s">
        <v>45</v>
      </c>
      <c r="G8623" s="1005"/>
      <c r="H8623" s="911">
        <v>4.8</v>
      </c>
      <c r="I8623" s="912">
        <f>VLOOKUP(E8623,[3]VLP!$B$7:$K$300,10,0)</f>
        <v>5000</v>
      </c>
      <c r="J8623" s="912">
        <f t="shared" si="688"/>
        <v>24000</v>
      </c>
      <c r="K8623" s="912" t="s">
        <v>274</v>
      </c>
      <c r="L8623" s="912"/>
      <c r="M8623" s="912"/>
      <c r="N8623" s="912"/>
      <c r="O8623" s="892">
        <f t="shared" si="687"/>
        <v>0</v>
      </c>
      <c r="P8623" s="903">
        <f t="shared" si="682"/>
        <v>1</v>
      </c>
      <c r="Q8623" s="893">
        <f t="shared" si="683"/>
        <v>8</v>
      </c>
      <c r="R8623" s="894">
        <f t="shared" si="684"/>
        <v>0</v>
      </c>
    </row>
    <row r="8624" spans="1:18" s="904" customFormat="1">
      <c r="A8624" s="905"/>
      <c r="B8624" s="952"/>
      <c r="C8624" s="907">
        <v>237</v>
      </c>
      <c r="D8624" s="907" t="s">
        <v>279</v>
      </c>
      <c r="E8624" s="992" t="s">
        <v>6312</v>
      </c>
      <c r="F8624" s="905" t="s">
        <v>47</v>
      </c>
      <c r="G8624" s="1005"/>
      <c r="H8624" s="911">
        <v>0.06</v>
      </c>
      <c r="I8624" s="912">
        <f>VLOOKUP(E8624,[3]VLP!$B$7:$K$300,10,0)</f>
        <v>4545455</v>
      </c>
      <c r="J8624" s="912">
        <f t="shared" si="688"/>
        <v>272727.3</v>
      </c>
      <c r="K8624" s="912" t="s">
        <v>274</v>
      </c>
      <c r="L8624" s="912"/>
      <c r="M8624" s="912"/>
      <c r="N8624" s="912"/>
      <c r="O8624" s="892">
        <f t="shared" si="687"/>
        <v>0</v>
      </c>
      <c r="P8624" s="903">
        <f t="shared" si="682"/>
        <v>1</v>
      </c>
      <c r="Q8624" s="893">
        <f t="shared" si="683"/>
        <v>7</v>
      </c>
      <c r="R8624" s="894">
        <f t="shared" si="684"/>
        <v>0</v>
      </c>
    </row>
    <row r="8625" spans="1:18">
      <c r="A8625" s="905"/>
      <c r="B8625" s="952"/>
      <c r="C8625" s="907">
        <v>699</v>
      </c>
      <c r="D8625" s="907" t="s">
        <v>279</v>
      </c>
      <c r="E8625" s="992" t="s">
        <v>4006</v>
      </c>
      <c r="F8625" s="905" t="s">
        <v>4007</v>
      </c>
      <c r="G8625" s="1005"/>
      <c r="H8625" s="911">
        <v>5</v>
      </c>
      <c r="I8625" s="912">
        <f>VLOOKUP(E8625,[3]VLP!$B$7:$K$300,10,0)</f>
        <v>5000</v>
      </c>
      <c r="J8625" s="912">
        <f t="shared" si="688"/>
        <v>25000</v>
      </c>
      <c r="K8625" s="912" t="s">
        <v>274</v>
      </c>
      <c r="L8625" s="912"/>
      <c r="M8625" s="912"/>
      <c r="N8625" s="912"/>
      <c r="O8625" s="892">
        <f t="shared" si="687"/>
        <v>0</v>
      </c>
      <c r="P8625" s="903">
        <f t="shared" si="682"/>
        <v>1</v>
      </c>
      <c r="Q8625" s="893">
        <f t="shared" si="683"/>
        <v>6</v>
      </c>
      <c r="R8625" s="894">
        <f t="shared" si="684"/>
        <v>0</v>
      </c>
    </row>
    <row r="8626" spans="1:18" s="847" customFormat="1">
      <c r="A8626" s="895"/>
      <c r="B8626" s="896"/>
      <c r="C8626" s="897"/>
      <c r="D8626" s="897"/>
      <c r="E8626" s="1002" t="s">
        <v>276</v>
      </c>
      <c r="F8626" s="1003"/>
      <c r="G8626" s="1004"/>
      <c r="H8626" s="901"/>
      <c r="I8626" s="902"/>
      <c r="J8626" s="902"/>
      <c r="K8626" s="912" t="s">
        <v>274</v>
      </c>
      <c r="L8626" s="902"/>
      <c r="M8626" s="902"/>
      <c r="N8626" s="902"/>
      <c r="O8626" s="892">
        <f t="shared" si="687"/>
        <v>0</v>
      </c>
      <c r="P8626" s="903">
        <f t="shared" si="682"/>
        <v>1</v>
      </c>
      <c r="Q8626" s="893">
        <f t="shared" si="683"/>
        <v>5</v>
      </c>
      <c r="R8626" s="894">
        <f t="shared" si="684"/>
        <v>0</v>
      </c>
    </row>
    <row r="8627" spans="1:18" s="904" customFormat="1">
      <c r="A8627" s="905"/>
      <c r="B8627" s="952"/>
      <c r="C8627" s="907">
        <v>745</v>
      </c>
      <c r="D8627" s="907" t="s">
        <v>12</v>
      </c>
      <c r="E8627" s="992" t="s">
        <v>5518</v>
      </c>
      <c r="F8627" s="905" t="s">
        <v>2674</v>
      </c>
      <c r="G8627" s="1005"/>
      <c r="H8627" s="911">
        <v>80</v>
      </c>
      <c r="I8627" s="912"/>
      <c r="J8627" s="912"/>
      <c r="K8627" s="912">
        <f>VLOOKUP(E8627,[5]ĐMNC!$A$7:$F$67,4,0)</f>
        <v>240557</v>
      </c>
      <c r="L8627" s="912">
        <f>H8627*K8627</f>
        <v>19244560</v>
      </c>
      <c r="M8627" s="912"/>
      <c r="N8627" s="912"/>
      <c r="O8627" s="892">
        <f t="shared" si="687"/>
        <v>0</v>
      </c>
      <c r="P8627" s="903">
        <f t="shared" ref="P8627:P8690" si="689">IF(O8627=0,1,0)</f>
        <v>1</v>
      </c>
      <c r="Q8627" s="893">
        <f t="shared" ref="Q8627:Q8690" si="690">IF(P8627=0,0,P8627+Q8628)</f>
        <v>4</v>
      </c>
      <c r="R8627" s="894">
        <f t="shared" ref="R8627:R8690" si="691">IF(Q8627=0,Q8628,0)</f>
        <v>0</v>
      </c>
    </row>
    <row r="8628" spans="1:18">
      <c r="A8628" s="895"/>
      <c r="B8628" s="896"/>
      <c r="C8628" s="897"/>
      <c r="D8628" s="897"/>
      <c r="E8628" s="1002" t="s">
        <v>3914</v>
      </c>
      <c r="F8628" s="1003"/>
      <c r="G8628" s="1004"/>
      <c r="H8628" s="901"/>
      <c r="I8628" s="902"/>
      <c r="J8628" s="902"/>
      <c r="K8628" s="912" t="s">
        <v>274</v>
      </c>
      <c r="L8628" s="902"/>
      <c r="M8628" s="902"/>
      <c r="N8628" s="902"/>
      <c r="O8628" s="892">
        <f t="shared" si="687"/>
        <v>0</v>
      </c>
      <c r="P8628" s="903">
        <f t="shared" si="689"/>
        <v>1</v>
      </c>
      <c r="Q8628" s="893">
        <f t="shared" si="690"/>
        <v>3</v>
      </c>
      <c r="R8628" s="894">
        <f t="shared" si="691"/>
        <v>0</v>
      </c>
    </row>
    <row r="8629" spans="1:18" s="847" customFormat="1">
      <c r="A8629" s="905"/>
      <c r="B8629" s="952" t="s">
        <v>6332</v>
      </c>
      <c r="C8629" s="907">
        <v>901</v>
      </c>
      <c r="D8629" s="907" t="s">
        <v>93</v>
      </c>
      <c r="E8629" s="992" t="s">
        <v>6333</v>
      </c>
      <c r="F8629" s="905" t="s">
        <v>2673</v>
      </c>
      <c r="G8629" s="1005"/>
      <c r="H8629" s="911">
        <v>0.88</v>
      </c>
      <c r="I8629" s="912"/>
      <c r="J8629" s="912"/>
      <c r="K8629" s="912"/>
      <c r="L8629" s="912"/>
      <c r="M8629" s="912">
        <f>VLOOKUP(B8629,MTC!$B$9:$S$933,12,0)</f>
        <v>1967433</v>
      </c>
      <c r="N8629" s="912">
        <f>M8629*H8629</f>
        <v>1731341.04</v>
      </c>
      <c r="O8629" s="892">
        <f t="shared" si="687"/>
        <v>0</v>
      </c>
      <c r="P8629" s="903">
        <f t="shared" si="689"/>
        <v>1</v>
      </c>
      <c r="Q8629" s="893">
        <f t="shared" si="690"/>
        <v>2</v>
      </c>
      <c r="R8629" s="894">
        <f t="shared" si="691"/>
        <v>0</v>
      </c>
    </row>
    <row r="8630" spans="1:18" s="904" customFormat="1">
      <c r="A8630" s="905"/>
      <c r="B8630" s="946" t="s">
        <v>6321</v>
      </c>
      <c r="C8630" s="907">
        <v>900</v>
      </c>
      <c r="D8630" s="907" t="s">
        <v>93</v>
      </c>
      <c r="E8630" s="992" t="s">
        <v>6322</v>
      </c>
      <c r="F8630" s="905" t="s">
        <v>2673</v>
      </c>
      <c r="G8630" s="1005"/>
      <c r="H8630" s="911">
        <v>0.26</v>
      </c>
      <c r="I8630" s="912"/>
      <c r="J8630" s="912"/>
      <c r="K8630" s="912"/>
      <c r="L8630" s="912"/>
      <c r="M8630" s="912">
        <f>VLOOKUP(B8630,MTC!$B$9:$S$933,12,0)</f>
        <v>1475268</v>
      </c>
      <c r="N8630" s="912">
        <f>M8630*H8630</f>
        <v>383569.68</v>
      </c>
      <c r="O8630" s="892">
        <f t="shared" si="687"/>
        <v>0</v>
      </c>
      <c r="P8630" s="903">
        <f t="shared" si="689"/>
        <v>1</v>
      </c>
      <c r="Q8630" s="893">
        <f t="shared" si="690"/>
        <v>1</v>
      </c>
      <c r="R8630" s="894">
        <f t="shared" si="691"/>
        <v>0</v>
      </c>
    </row>
    <row r="8631" spans="1:18" ht="31.5">
      <c r="A8631" s="905">
        <v>9</v>
      </c>
      <c r="B8631" s="914" t="s">
        <v>6345</v>
      </c>
      <c r="C8631" s="915"/>
      <c r="D8631" s="915"/>
      <c r="E8631" s="1006" t="s">
        <v>6346</v>
      </c>
      <c r="F8631" s="1007" t="s">
        <v>160</v>
      </c>
      <c r="G8631" s="1008"/>
      <c r="H8631" s="919"/>
      <c r="I8631" s="920"/>
      <c r="J8631" s="1000">
        <f>SUM(J8632:J8649)</f>
        <v>598691.15999999992</v>
      </c>
      <c r="K8631" s="912" t="s">
        <v>274</v>
      </c>
      <c r="L8631" s="1000">
        <f>SUM(L8632:L8649)</f>
        <v>15876762</v>
      </c>
      <c r="M8631" s="1001"/>
      <c r="N8631" s="1000">
        <f>SUM(N8632:N8649)</f>
        <v>1544355.15</v>
      </c>
      <c r="O8631" s="892">
        <f t="shared" si="687"/>
        <v>1</v>
      </c>
      <c r="P8631" s="903">
        <f t="shared" si="689"/>
        <v>0</v>
      </c>
      <c r="Q8631" s="893">
        <f t="shared" si="690"/>
        <v>0</v>
      </c>
      <c r="R8631" s="894">
        <f t="shared" si="691"/>
        <v>18</v>
      </c>
    </row>
    <row r="8632" spans="1:18" s="847" customFormat="1">
      <c r="A8632" s="895"/>
      <c r="B8632" s="896"/>
      <c r="C8632" s="897"/>
      <c r="D8632" s="897"/>
      <c r="E8632" s="1002" t="s">
        <v>108</v>
      </c>
      <c r="F8632" s="1003"/>
      <c r="G8632" s="1004"/>
      <c r="H8632" s="901"/>
      <c r="I8632" s="902"/>
      <c r="J8632" s="902"/>
      <c r="K8632" s="912" t="s">
        <v>274</v>
      </c>
      <c r="L8632" s="902"/>
      <c r="M8632" s="902"/>
      <c r="N8632" s="902"/>
      <c r="O8632" s="892">
        <f t="shared" si="687"/>
        <v>0</v>
      </c>
      <c r="P8632" s="903">
        <f t="shared" si="689"/>
        <v>1</v>
      </c>
      <c r="Q8632" s="893">
        <f t="shared" si="690"/>
        <v>18</v>
      </c>
      <c r="R8632" s="894">
        <f t="shared" si="691"/>
        <v>0</v>
      </c>
    </row>
    <row r="8633" spans="1:18" s="904" customFormat="1">
      <c r="A8633" s="905"/>
      <c r="B8633" s="952"/>
      <c r="C8633" s="907">
        <v>212</v>
      </c>
      <c r="D8633" s="907" t="s">
        <v>279</v>
      </c>
      <c r="E8633" s="992" t="s">
        <v>2681</v>
      </c>
      <c r="F8633" s="905" t="s">
        <v>45</v>
      </c>
      <c r="G8633" s="1005"/>
      <c r="H8633" s="911">
        <v>0.5</v>
      </c>
      <c r="I8633" s="912">
        <f>VLOOKUP(E8633,[3]VLP!$B$7:$K$300,10,0)</f>
        <v>23000</v>
      </c>
      <c r="J8633" s="912">
        <f t="shared" ref="J8633:J8644" si="692">I8633*H8633</f>
        <v>11500</v>
      </c>
      <c r="K8633" s="912" t="s">
        <v>274</v>
      </c>
      <c r="L8633" s="912"/>
      <c r="M8633" s="912"/>
      <c r="N8633" s="912"/>
      <c r="O8633" s="892">
        <f t="shared" si="687"/>
        <v>0</v>
      </c>
      <c r="P8633" s="903">
        <f t="shared" si="689"/>
        <v>1</v>
      </c>
      <c r="Q8633" s="893">
        <f t="shared" si="690"/>
        <v>17</v>
      </c>
      <c r="R8633" s="894">
        <f t="shared" si="691"/>
        <v>0</v>
      </c>
    </row>
    <row r="8634" spans="1:18">
      <c r="A8634" s="905"/>
      <c r="B8634" s="952"/>
      <c r="C8634" s="907">
        <v>289</v>
      </c>
      <c r="D8634" s="907" t="s">
        <v>279</v>
      </c>
      <c r="E8634" s="992" t="s">
        <v>3147</v>
      </c>
      <c r="F8634" s="905" t="s">
        <v>45</v>
      </c>
      <c r="G8634" s="1005"/>
      <c r="H8634" s="911">
        <v>0.2</v>
      </c>
      <c r="I8634" s="912">
        <f>VLOOKUP(E8634,[3]VLP!$B$7:$K$300,10,0)</f>
        <v>45000</v>
      </c>
      <c r="J8634" s="912">
        <f t="shared" si="692"/>
        <v>9000</v>
      </c>
      <c r="K8634" s="912" t="s">
        <v>274</v>
      </c>
      <c r="L8634" s="912"/>
      <c r="M8634" s="912"/>
      <c r="N8634" s="912"/>
      <c r="O8634" s="892">
        <f t="shared" si="687"/>
        <v>0</v>
      </c>
      <c r="P8634" s="903">
        <f t="shared" si="689"/>
        <v>1</v>
      </c>
      <c r="Q8634" s="893">
        <f t="shared" si="690"/>
        <v>16</v>
      </c>
      <c r="R8634" s="894">
        <f t="shared" si="691"/>
        <v>0</v>
      </c>
    </row>
    <row r="8635" spans="1:18" s="847" customFormat="1">
      <c r="A8635" s="905"/>
      <c r="B8635" s="952"/>
      <c r="C8635" s="907">
        <v>318</v>
      </c>
      <c r="D8635" s="907" t="s">
        <v>279</v>
      </c>
      <c r="E8635" s="992" t="s">
        <v>5657</v>
      </c>
      <c r="F8635" s="905" t="s">
        <v>45</v>
      </c>
      <c r="G8635" s="1005"/>
      <c r="H8635" s="911">
        <v>2.6</v>
      </c>
      <c r="I8635" s="912">
        <f>VLOOKUP(E8635,[3]VLP!$B$7:$K$300,10,0)</f>
        <v>25155</v>
      </c>
      <c r="J8635" s="912">
        <f t="shared" si="692"/>
        <v>65403</v>
      </c>
      <c r="K8635" s="912" t="s">
        <v>274</v>
      </c>
      <c r="L8635" s="912"/>
      <c r="M8635" s="912"/>
      <c r="N8635" s="912"/>
      <c r="O8635" s="892">
        <f t="shared" si="687"/>
        <v>0</v>
      </c>
      <c r="P8635" s="903">
        <f t="shared" si="689"/>
        <v>1</v>
      </c>
      <c r="Q8635" s="893">
        <f t="shared" si="690"/>
        <v>15</v>
      </c>
      <c r="R8635" s="894">
        <f t="shared" si="691"/>
        <v>0</v>
      </c>
    </row>
    <row r="8636" spans="1:18" s="904" customFormat="1">
      <c r="A8636" s="905"/>
      <c r="B8636" s="952"/>
      <c r="C8636" s="907">
        <v>234</v>
      </c>
      <c r="D8636" s="907" t="s">
        <v>279</v>
      </c>
      <c r="E8636" s="992" t="s">
        <v>5983</v>
      </c>
      <c r="F8636" s="905" t="s">
        <v>3144</v>
      </c>
      <c r="G8636" s="1005"/>
      <c r="H8636" s="911">
        <v>2.9</v>
      </c>
      <c r="I8636" s="912">
        <f>VLOOKUP(E8636,[3]VLP!$B$7:$K$300,10,0)</f>
        <v>14000</v>
      </c>
      <c r="J8636" s="912">
        <f t="shared" si="692"/>
        <v>40600</v>
      </c>
      <c r="K8636" s="912" t="s">
        <v>274</v>
      </c>
      <c r="L8636" s="912"/>
      <c r="M8636" s="912"/>
      <c r="N8636" s="912"/>
      <c r="O8636" s="892">
        <f t="shared" si="687"/>
        <v>0</v>
      </c>
      <c r="P8636" s="903">
        <f t="shared" si="689"/>
        <v>1</v>
      </c>
      <c r="Q8636" s="893">
        <f t="shared" si="690"/>
        <v>14</v>
      </c>
      <c r="R8636" s="894">
        <f t="shared" si="691"/>
        <v>0</v>
      </c>
    </row>
    <row r="8637" spans="1:18">
      <c r="A8637" s="905"/>
      <c r="B8637" s="952"/>
      <c r="C8637" s="907">
        <v>314</v>
      </c>
      <c r="D8637" s="907" t="s">
        <v>279</v>
      </c>
      <c r="E8637" s="992" t="s">
        <v>3148</v>
      </c>
      <c r="F8637" s="905" t="s">
        <v>2690</v>
      </c>
      <c r="G8637" s="1005"/>
      <c r="H8637" s="911">
        <v>6</v>
      </c>
      <c r="I8637" s="912">
        <f>VLOOKUP(E8637,[3]VLP!$B$7:$K$300,10,0)</f>
        <v>10000</v>
      </c>
      <c r="J8637" s="912">
        <f t="shared" si="692"/>
        <v>60000</v>
      </c>
      <c r="K8637" s="912" t="s">
        <v>274</v>
      </c>
      <c r="L8637" s="912"/>
      <c r="M8637" s="912"/>
      <c r="N8637" s="912"/>
      <c r="O8637" s="892">
        <f t="shared" si="687"/>
        <v>0</v>
      </c>
      <c r="P8637" s="903">
        <f t="shared" si="689"/>
        <v>1</v>
      </c>
      <c r="Q8637" s="893">
        <f t="shared" si="690"/>
        <v>13</v>
      </c>
      <c r="R8637" s="894">
        <f t="shared" si="691"/>
        <v>0</v>
      </c>
    </row>
    <row r="8638" spans="1:18" s="847" customFormat="1">
      <c r="A8638" s="905"/>
      <c r="B8638" s="952"/>
      <c r="C8638" s="907">
        <v>315</v>
      </c>
      <c r="D8638" s="907" t="s">
        <v>279</v>
      </c>
      <c r="E8638" s="992" t="s">
        <v>6316</v>
      </c>
      <c r="F8638" s="905" t="s">
        <v>49</v>
      </c>
      <c r="G8638" s="1005"/>
      <c r="H8638" s="911">
        <v>2.5</v>
      </c>
      <c r="I8638" s="912">
        <f>VLOOKUP(E8638,[3]VLP!$B$7:$K$300,10,0)</f>
        <v>8000</v>
      </c>
      <c r="J8638" s="912">
        <f t="shared" si="692"/>
        <v>20000</v>
      </c>
      <c r="K8638" s="912" t="s">
        <v>274</v>
      </c>
      <c r="L8638" s="912"/>
      <c r="M8638" s="912"/>
      <c r="N8638" s="912"/>
      <c r="O8638" s="892">
        <f t="shared" si="687"/>
        <v>0</v>
      </c>
      <c r="P8638" s="903">
        <f t="shared" si="689"/>
        <v>1</v>
      </c>
      <c r="Q8638" s="893">
        <f t="shared" si="690"/>
        <v>12</v>
      </c>
      <c r="R8638" s="894">
        <f t="shared" si="691"/>
        <v>0</v>
      </c>
    </row>
    <row r="8639" spans="1:18" s="904" customFormat="1">
      <c r="A8639" s="905"/>
      <c r="B8639" s="952"/>
      <c r="C8639" s="907">
        <v>309</v>
      </c>
      <c r="D8639" s="907" t="s">
        <v>279</v>
      </c>
      <c r="E8639" s="992" t="s">
        <v>3262</v>
      </c>
      <c r="F8639" s="905" t="s">
        <v>45</v>
      </c>
      <c r="G8639" s="1005"/>
      <c r="H8639" s="911">
        <v>0.2</v>
      </c>
      <c r="I8639" s="912">
        <f>VLOOKUP(E8639,[3]VLP!$B$7:$K$300,10,0)</f>
        <v>66300</v>
      </c>
      <c r="J8639" s="912">
        <f t="shared" si="692"/>
        <v>13260</v>
      </c>
      <c r="K8639" s="912" t="s">
        <v>274</v>
      </c>
      <c r="L8639" s="912"/>
      <c r="M8639" s="912"/>
      <c r="N8639" s="912"/>
      <c r="O8639" s="892">
        <f t="shared" si="687"/>
        <v>0</v>
      </c>
      <c r="P8639" s="903">
        <f t="shared" si="689"/>
        <v>1</v>
      </c>
      <c r="Q8639" s="893">
        <f t="shared" si="690"/>
        <v>11</v>
      </c>
      <c r="R8639" s="894">
        <f t="shared" si="691"/>
        <v>0</v>
      </c>
    </row>
    <row r="8640" spans="1:18">
      <c r="A8640" s="905"/>
      <c r="B8640" s="952"/>
      <c r="C8640" s="907">
        <v>321</v>
      </c>
      <c r="D8640" s="907" t="s">
        <v>279</v>
      </c>
      <c r="E8640" s="992" t="s">
        <v>6317</v>
      </c>
      <c r="F8640" s="905" t="s">
        <v>45</v>
      </c>
      <c r="G8640" s="1005"/>
      <c r="H8640" s="911">
        <v>0.5</v>
      </c>
      <c r="I8640" s="912">
        <f>VLOOKUP(E8640,[3]VLP!$B$7:$K$300,10,0)</f>
        <v>38182</v>
      </c>
      <c r="J8640" s="912">
        <f t="shared" si="692"/>
        <v>19091</v>
      </c>
      <c r="K8640" s="912" t="s">
        <v>274</v>
      </c>
      <c r="L8640" s="912"/>
      <c r="M8640" s="912"/>
      <c r="N8640" s="912"/>
      <c r="O8640" s="892">
        <f t="shared" si="687"/>
        <v>0</v>
      </c>
      <c r="P8640" s="903">
        <f t="shared" si="689"/>
        <v>1</v>
      </c>
      <c r="Q8640" s="893">
        <f t="shared" si="690"/>
        <v>10</v>
      </c>
      <c r="R8640" s="894">
        <f t="shared" si="691"/>
        <v>0</v>
      </c>
    </row>
    <row r="8641" spans="1:18" s="847" customFormat="1">
      <c r="A8641" s="905"/>
      <c r="B8641" s="952"/>
      <c r="C8641" s="907">
        <v>230</v>
      </c>
      <c r="D8641" s="907" t="s">
        <v>279</v>
      </c>
      <c r="E8641" s="992" t="s">
        <v>6318</v>
      </c>
      <c r="F8641" s="905" t="s">
        <v>45</v>
      </c>
      <c r="G8641" s="1005"/>
      <c r="H8641" s="911">
        <v>3.53</v>
      </c>
      <c r="I8641" s="912">
        <f>VLOOKUP(E8641,[3]VLP!$B$7:$K$300,10,0)</f>
        <v>14762</v>
      </c>
      <c r="J8641" s="912">
        <f t="shared" si="692"/>
        <v>52109.86</v>
      </c>
      <c r="K8641" s="912" t="s">
        <v>274</v>
      </c>
      <c r="L8641" s="912"/>
      <c r="M8641" s="912"/>
      <c r="N8641" s="912"/>
      <c r="O8641" s="892">
        <f t="shared" si="687"/>
        <v>0</v>
      </c>
      <c r="P8641" s="903">
        <f t="shared" si="689"/>
        <v>1</v>
      </c>
      <c r="Q8641" s="893">
        <f t="shared" si="690"/>
        <v>9</v>
      </c>
      <c r="R8641" s="894">
        <f t="shared" si="691"/>
        <v>0</v>
      </c>
    </row>
    <row r="8642" spans="1:18" s="904" customFormat="1">
      <c r="A8642" s="905"/>
      <c r="B8642" s="952"/>
      <c r="C8642" s="907">
        <v>235</v>
      </c>
      <c r="D8642" s="907" t="s">
        <v>279</v>
      </c>
      <c r="E8642" s="992" t="s">
        <v>2682</v>
      </c>
      <c r="F8642" s="905" t="s">
        <v>45</v>
      </c>
      <c r="G8642" s="1005"/>
      <c r="H8642" s="911">
        <v>2</v>
      </c>
      <c r="I8642" s="912">
        <f>VLOOKUP(E8642,[3]VLP!$B$7:$K$300,10,0)</f>
        <v>5000</v>
      </c>
      <c r="J8642" s="912">
        <f t="shared" si="692"/>
        <v>10000</v>
      </c>
      <c r="K8642" s="912" t="s">
        <v>274</v>
      </c>
      <c r="L8642" s="912"/>
      <c r="M8642" s="912"/>
      <c r="N8642" s="912"/>
      <c r="O8642" s="892">
        <f t="shared" si="687"/>
        <v>0</v>
      </c>
      <c r="P8642" s="903">
        <f t="shared" si="689"/>
        <v>1</v>
      </c>
      <c r="Q8642" s="893">
        <f t="shared" si="690"/>
        <v>8</v>
      </c>
      <c r="R8642" s="894">
        <f t="shared" si="691"/>
        <v>0</v>
      </c>
    </row>
    <row r="8643" spans="1:18">
      <c r="A8643" s="905"/>
      <c r="B8643" s="952"/>
      <c r="C8643" s="907">
        <v>237</v>
      </c>
      <c r="D8643" s="907" t="s">
        <v>279</v>
      </c>
      <c r="E8643" s="992" t="s">
        <v>6312</v>
      </c>
      <c r="F8643" s="905" t="s">
        <v>47</v>
      </c>
      <c r="G8643" s="1005"/>
      <c r="H8643" s="911">
        <v>0.06</v>
      </c>
      <c r="I8643" s="912">
        <f>VLOOKUP(E8643,[3]VLP!$B$7:$K$300,10,0)</f>
        <v>4545455</v>
      </c>
      <c r="J8643" s="912">
        <f t="shared" si="692"/>
        <v>272727.3</v>
      </c>
      <c r="K8643" s="912" t="s">
        <v>274</v>
      </c>
      <c r="L8643" s="912"/>
      <c r="M8643" s="912"/>
      <c r="N8643" s="912"/>
      <c r="O8643" s="892">
        <f t="shared" si="687"/>
        <v>0</v>
      </c>
      <c r="P8643" s="903">
        <f t="shared" si="689"/>
        <v>1</v>
      </c>
      <c r="Q8643" s="893">
        <f t="shared" si="690"/>
        <v>7</v>
      </c>
      <c r="R8643" s="894">
        <f t="shared" si="691"/>
        <v>0</v>
      </c>
    </row>
    <row r="8644" spans="1:18" s="847" customFormat="1">
      <c r="A8644" s="905"/>
      <c r="B8644" s="952"/>
      <c r="C8644" s="907">
        <v>699</v>
      </c>
      <c r="D8644" s="907" t="s">
        <v>279</v>
      </c>
      <c r="E8644" s="992" t="s">
        <v>4006</v>
      </c>
      <c r="F8644" s="905" t="s">
        <v>4007</v>
      </c>
      <c r="G8644" s="1005"/>
      <c r="H8644" s="911">
        <v>5</v>
      </c>
      <c r="I8644" s="912">
        <f>VLOOKUP(E8644,[3]VLP!$B$7:$K$300,10,0)</f>
        <v>5000</v>
      </c>
      <c r="J8644" s="912">
        <f t="shared" si="692"/>
        <v>25000</v>
      </c>
      <c r="K8644" s="912" t="s">
        <v>274</v>
      </c>
      <c r="L8644" s="912"/>
      <c r="M8644" s="912"/>
      <c r="N8644" s="912"/>
      <c r="O8644" s="892">
        <f t="shared" si="687"/>
        <v>0</v>
      </c>
      <c r="P8644" s="903">
        <f t="shared" si="689"/>
        <v>1</v>
      </c>
      <c r="Q8644" s="893">
        <f t="shared" si="690"/>
        <v>6</v>
      </c>
      <c r="R8644" s="894">
        <f t="shared" si="691"/>
        <v>0</v>
      </c>
    </row>
    <row r="8645" spans="1:18" s="904" customFormat="1">
      <c r="A8645" s="895"/>
      <c r="B8645" s="896"/>
      <c r="C8645" s="897"/>
      <c r="D8645" s="897"/>
      <c r="E8645" s="1002" t="s">
        <v>276</v>
      </c>
      <c r="F8645" s="1003"/>
      <c r="G8645" s="1004"/>
      <c r="H8645" s="901"/>
      <c r="I8645" s="902"/>
      <c r="J8645" s="902"/>
      <c r="K8645" s="912" t="s">
        <v>274</v>
      </c>
      <c r="L8645" s="902"/>
      <c r="M8645" s="902"/>
      <c r="N8645" s="902"/>
      <c r="O8645" s="892">
        <f t="shared" si="687"/>
        <v>0</v>
      </c>
      <c r="P8645" s="903">
        <f t="shared" si="689"/>
        <v>1</v>
      </c>
      <c r="Q8645" s="893">
        <f t="shared" si="690"/>
        <v>5</v>
      </c>
      <c r="R8645" s="894">
        <f t="shared" si="691"/>
        <v>0</v>
      </c>
    </row>
    <row r="8646" spans="1:18">
      <c r="A8646" s="905"/>
      <c r="B8646" s="952"/>
      <c r="C8646" s="907">
        <v>745</v>
      </c>
      <c r="D8646" s="907" t="s">
        <v>12</v>
      </c>
      <c r="E8646" s="992" t="s">
        <v>5518</v>
      </c>
      <c r="F8646" s="905" t="s">
        <v>2674</v>
      </c>
      <c r="G8646" s="1005"/>
      <c r="H8646" s="911">
        <v>66</v>
      </c>
      <c r="I8646" s="912"/>
      <c r="J8646" s="912"/>
      <c r="K8646" s="912">
        <f>VLOOKUP(E8646,[5]ĐMNC!$A$7:$F$67,4,0)</f>
        <v>240557</v>
      </c>
      <c r="L8646" s="912">
        <f>H8646*K8646</f>
        <v>15876762</v>
      </c>
      <c r="M8646" s="912"/>
      <c r="N8646" s="912"/>
      <c r="O8646" s="892">
        <f t="shared" si="687"/>
        <v>0</v>
      </c>
      <c r="P8646" s="903">
        <f t="shared" si="689"/>
        <v>1</v>
      </c>
      <c r="Q8646" s="893">
        <f t="shared" si="690"/>
        <v>4</v>
      </c>
      <c r="R8646" s="894">
        <f t="shared" si="691"/>
        <v>0</v>
      </c>
    </row>
    <row r="8647" spans="1:18" s="847" customFormat="1">
      <c r="A8647" s="895"/>
      <c r="B8647" s="896"/>
      <c r="C8647" s="897"/>
      <c r="D8647" s="897"/>
      <c r="E8647" s="1002" t="s">
        <v>3914</v>
      </c>
      <c r="F8647" s="1003"/>
      <c r="G8647" s="1004"/>
      <c r="H8647" s="901"/>
      <c r="I8647" s="902"/>
      <c r="J8647" s="902"/>
      <c r="K8647" s="912" t="s">
        <v>274</v>
      </c>
      <c r="L8647" s="902"/>
      <c r="M8647" s="902"/>
      <c r="N8647" s="902"/>
      <c r="O8647" s="892">
        <f t="shared" si="687"/>
        <v>0</v>
      </c>
      <c r="P8647" s="903">
        <f t="shared" si="689"/>
        <v>1</v>
      </c>
      <c r="Q8647" s="893">
        <f t="shared" si="690"/>
        <v>3</v>
      </c>
      <c r="R8647" s="894">
        <f t="shared" si="691"/>
        <v>0</v>
      </c>
    </row>
    <row r="8648" spans="1:18" s="904" customFormat="1">
      <c r="A8648" s="905"/>
      <c r="B8648" s="952" t="s">
        <v>6332</v>
      </c>
      <c r="C8648" s="907">
        <v>901</v>
      </c>
      <c r="D8648" s="907" t="s">
        <v>93</v>
      </c>
      <c r="E8648" s="992" t="s">
        <v>6333</v>
      </c>
      <c r="F8648" s="905" t="s">
        <v>2673</v>
      </c>
      <c r="G8648" s="1005"/>
      <c r="H8648" s="911">
        <v>0.59</v>
      </c>
      <c r="I8648" s="912"/>
      <c r="J8648" s="912"/>
      <c r="K8648" s="912"/>
      <c r="L8648" s="912"/>
      <c r="M8648" s="912">
        <f>VLOOKUP(B8648,MTC!$B$9:$S$933,12,0)</f>
        <v>1967433</v>
      </c>
      <c r="N8648" s="912">
        <f>M8648*H8648</f>
        <v>1160785.47</v>
      </c>
      <c r="O8648" s="892">
        <f t="shared" si="687"/>
        <v>0</v>
      </c>
      <c r="P8648" s="903">
        <f t="shared" si="689"/>
        <v>1</v>
      </c>
      <c r="Q8648" s="893">
        <f t="shared" si="690"/>
        <v>2</v>
      </c>
      <c r="R8648" s="894">
        <f t="shared" si="691"/>
        <v>0</v>
      </c>
    </row>
    <row r="8649" spans="1:18">
      <c r="A8649" s="905"/>
      <c r="B8649" s="946" t="s">
        <v>6321</v>
      </c>
      <c r="C8649" s="907">
        <v>900</v>
      </c>
      <c r="D8649" s="907" t="s">
        <v>93</v>
      </c>
      <c r="E8649" s="992" t="s">
        <v>6322</v>
      </c>
      <c r="F8649" s="905" t="s">
        <v>2673</v>
      </c>
      <c r="G8649" s="1005"/>
      <c r="H8649" s="911">
        <v>0.26</v>
      </c>
      <c r="I8649" s="912"/>
      <c r="J8649" s="912"/>
      <c r="K8649" s="912"/>
      <c r="L8649" s="912"/>
      <c r="M8649" s="912">
        <f>VLOOKUP(B8649,MTC!$B$9:$S$933,12,0)</f>
        <v>1475268</v>
      </c>
      <c r="N8649" s="912">
        <f>M8649*H8649</f>
        <v>383569.68</v>
      </c>
      <c r="O8649" s="892">
        <f t="shared" si="687"/>
        <v>0</v>
      </c>
      <c r="P8649" s="903">
        <f t="shared" si="689"/>
        <v>1</v>
      </c>
      <c r="Q8649" s="893">
        <f t="shared" si="690"/>
        <v>1</v>
      </c>
      <c r="R8649" s="894">
        <f t="shared" si="691"/>
        <v>0</v>
      </c>
    </row>
    <row r="8650" spans="1:18" s="847" customFormat="1" ht="31.5">
      <c r="A8650" s="905">
        <v>10</v>
      </c>
      <c r="B8650" s="914" t="s">
        <v>6347</v>
      </c>
      <c r="C8650" s="915"/>
      <c r="D8650" s="915"/>
      <c r="E8650" s="1006" t="s">
        <v>6348</v>
      </c>
      <c r="F8650" s="1007" t="s">
        <v>160</v>
      </c>
      <c r="G8650" s="1008"/>
      <c r="H8650" s="919"/>
      <c r="I8650" s="920"/>
      <c r="J8650" s="1000">
        <f>SUM(J8651:J8668)</f>
        <v>563079.96</v>
      </c>
      <c r="K8650" s="912" t="s">
        <v>274</v>
      </c>
      <c r="L8650" s="1000">
        <f>SUM(L8651:L8668)</f>
        <v>15155091</v>
      </c>
      <c r="M8650" s="1001"/>
      <c r="N8650" s="1000">
        <f>SUM(N8651:N8668)</f>
        <v>1544355.15</v>
      </c>
      <c r="O8650" s="892">
        <f t="shared" si="687"/>
        <v>1</v>
      </c>
      <c r="P8650" s="903">
        <f t="shared" si="689"/>
        <v>0</v>
      </c>
      <c r="Q8650" s="893">
        <f t="shared" si="690"/>
        <v>0</v>
      </c>
      <c r="R8650" s="894">
        <f t="shared" si="691"/>
        <v>18</v>
      </c>
    </row>
    <row r="8651" spans="1:18" s="904" customFormat="1">
      <c r="A8651" s="895"/>
      <c r="B8651" s="896"/>
      <c r="C8651" s="897"/>
      <c r="D8651" s="897"/>
      <c r="E8651" s="1002" t="s">
        <v>108</v>
      </c>
      <c r="F8651" s="1003"/>
      <c r="G8651" s="1004"/>
      <c r="H8651" s="901"/>
      <c r="I8651" s="902"/>
      <c r="J8651" s="902"/>
      <c r="K8651" s="912" t="s">
        <v>274</v>
      </c>
      <c r="L8651" s="902"/>
      <c r="M8651" s="902"/>
      <c r="N8651" s="902"/>
      <c r="O8651" s="892">
        <f t="shared" si="687"/>
        <v>0</v>
      </c>
      <c r="P8651" s="903">
        <f t="shared" si="689"/>
        <v>1</v>
      </c>
      <c r="Q8651" s="893">
        <f t="shared" si="690"/>
        <v>18</v>
      </c>
      <c r="R8651" s="894">
        <f t="shared" si="691"/>
        <v>0</v>
      </c>
    </row>
    <row r="8652" spans="1:18">
      <c r="A8652" s="905"/>
      <c r="B8652" s="952"/>
      <c r="C8652" s="907">
        <v>212</v>
      </c>
      <c r="D8652" s="907" t="s">
        <v>279</v>
      </c>
      <c r="E8652" s="992" t="s">
        <v>2681</v>
      </c>
      <c r="F8652" s="905" t="s">
        <v>45</v>
      </c>
      <c r="G8652" s="1005"/>
      <c r="H8652" s="911">
        <v>0.4</v>
      </c>
      <c r="I8652" s="912">
        <f>VLOOKUP(E8652,[3]VLP!$B$7:$K$300,10,0)</f>
        <v>23000</v>
      </c>
      <c r="J8652" s="912">
        <f t="shared" ref="J8652:J8663" si="693">I8652*H8652</f>
        <v>9200</v>
      </c>
      <c r="K8652" s="912" t="s">
        <v>274</v>
      </c>
      <c r="L8652" s="912"/>
      <c r="M8652" s="912"/>
      <c r="N8652" s="912"/>
      <c r="O8652" s="892">
        <f t="shared" si="687"/>
        <v>0</v>
      </c>
      <c r="P8652" s="903">
        <f t="shared" si="689"/>
        <v>1</v>
      </c>
      <c r="Q8652" s="893">
        <f t="shared" si="690"/>
        <v>17</v>
      </c>
      <c r="R8652" s="894">
        <f t="shared" si="691"/>
        <v>0</v>
      </c>
    </row>
    <row r="8653" spans="1:18" s="847" customFormat="1">
      <c r="A8653" s="905"/>
      <c r="B8653" s="952"/>
      <c r="C8653" s="907">
        <v>289</v>
      </c>
      <c r="D8653" s="907" t="s">
        <v>279</v>
      </c>
      <c r="E8653" s="992" t="s">
        <v>3147</v>
      </c>
      <c r="F8653" s="905" t="s">
        <v>45</v>
      </c>
      <c r="G8653" s="1005"/>
      <c r="H8653" s="911">
        <v>0.2</v>
      </c>
      <c r="I8653" s="912">
        <f>VLOOKUP(E8653,[3]VLP!$B$7:$K$300,10,0)</f>
        <v>45000</v>
      </c>
      <c r="J8653" s="912">
        <f t="shared" si="693"/>
        <v>9000</v>
      </c>
      <c r="K8653" s="912" t="s">
        <v>274</v>
      </c>
      <c r="L8653" s="912"/>
      <c r="M8653" s="912"/>
      <c r="N8653" s="912"/>
      <c r="O8653" s="892">
        <f t="shared" si="687"/>
        <v>0</v>
      </c>
      <c r="P8653" s="903">
        <f t="shared" si="689"/>
        <v>1</v>
      </c>
      <c r="Q8653" s="893">
        <f t="shared" si="690"/>
        <v>16</v>
      </c>
      <c r="R8653" s="894">
        <f t="shared" si="691"/>
        <v>0</v>
      </c>
    </row>
    <row r="8654" spans="1:18" s="904" customFormat="1">
      <c r="A8654" s="905"/>
      <c r="B8654" s="952"/>
      <c r="C8654" s="907">
        <v>318</v>
      </c>
      <c r="D8654" s="907" t="s">
        <v>279</v>
      </c>
      <c r="E8654" s="992" t="s">
        <v>5657</v>
      </c>
      <c r="F8654" s="905" t="s">
        <v>45</v>
      </c>
      <c r="G8654" s="1005"/>
      <c r="H8654" s="911">
        <v>2</v>
      </c>
      <c r="I8654" s="912">
        <f>VLOOKUP(E8654,[3]VLP!$B$7:$K$300,10,0)</f>
        <v>25155</v>
      </c>
      <c r="J8654" s="912">
        <f t="shared" si="693"/>
        <v>50310</v>
      </c>
      <c r="K8654" s="912" t="s">
        <v>274</v>
      </c>
      <c r="L8654" s="912"/>
      <c r="M8654" s="912"/>
      <c r="N8654" s="912"/>
      <c r="O8654" s="892">
        <f t="shared" si="687"/>
        <v>0</v>
      </c>
      <c r="P8654" s="903">
        <f t="shared" si="689"/>
        <v>1</v>
      </c>
      <c r="Q8654" s="893">
        <f t="shared" si="690"/>
        <v>15</v>
      </c>
      <c r="R8654" s="894">
        <f t="shared" si="691"/>
        <v>0</v>
      </c>
    </row>
    <row r="8655" spans="1:18">
      <c r="A8655" s="905"/>
      <c r="B8655" s="952"/>
      <c r="C8655" s="907">
        <v>234</v>
      </c>
      <c r="D8655" s="907" t="s">
        <v>279</v>
      </c>
      <c r="E8655" s="992" t="s">
        <v>5983</v>
      </c>
      <c r="F8655" s="905" t="s">
        <v>3144</v>
      </c>
      <c r="G8655" s="1005"/>
      <c r="H8655" s="911">
        <v>2.2999999999999998</v>
      </c>
      <c r="I8655" s="912">
        <f>VLOOKUP(E8655,[3]VLP!$B$7:$K$300,10,0)</f>
        <v>14000</v>
      </c>
      <c r="J8655" s="912">
        <f t="shared" si="693"/>
        <v>32199.999999999996</v>
      </c>
      <c r="K8655" s="912" t="s">
        <v>274</v>
      </c>
      <c r="L8655" s="912"/>
      <c r="M8655" s="912"/>
      <c r="N8655" s="912"/>
      <c r="O8655" s="892">
        <f t="shared" si="687"/>
        <v>0</v>
      </c>
      <c r="P8655" s="903">
        <f t="shared" si="689"/>
        <v>1</v>
      </c>
      <c r="Q8655" s="893">
        <f t="shared" si="690"/>
        <v>14</v>
      </c>
      <c r="R8655" s="894">
        <f t="shared" si="691"/>
        <v>0</v>
      </c>
    </row>
    <row r="8656" spans="1:18" s="847" customFormat="1">
      <c r="A8656" s="905"/>
      <c r="B8656" s="952"/>
      <c r="C8656" s="907">
        <v>314</v>
      </c>
      <c r="D8656" s="907" t="s">
        <v>279</v>
      </c>
      <c r="E8656" s="992" t="s">
        <v>3148</v>
      </c>
      <c r="F8656" s="905" t="s">
        <v>2690</v>
      </c>
      <c r="G8656" s="1005"/>
      <c r="H8656" s="911">
        <v>6</v>
      </c>
      <c r="I8656" s="912">
        <f>VLOOKUP(E8656,[3]VLP!$B$7:$K$300,10,0)</f>
        <v>10000</v>
      </c>
      <c r="J8656" s="912">
        <f t="shared" si="693"/>
        <v>60000</v>
      </c>
      <c r="K8656" s="912" t="s">
        <v>274</v>
      </c>
      <c r="L8656" s="912"/>
      <c r="M8656" s="912"/>
      <c r="N8656" s="912"/>
      <c r="O8656" s="892">
        <f t="shared" si="687"/>
        <v>0</v>
      </c>
      <c r="P8656" s="903">
        <f t="shared" si="689"/>
        <v>1</v>
      </c>
      <c r="Q8656" s="893">
        <f t="shared" si="690"/>
        <v>13</v>
      </c>
      <c r="R8656" s="894">
        <f t="shared" si="691"/>
        <v>0</v>
      </c>
    </row>
    <row r="8657" spans="1:18" s="904" customFormat="1">
      <c r="A8657" s="905"/>
      <c r="B8657" s="952"/>
      <c r="C8657" s="907">
        <v>315</v>
      </c>
      <c r="D8657" s="907" t="s">
        <v>279</v>
      </c>
      <c r="E8657" s="992" t="s">
        <v>6316</v>
      </c>
      <c r="F8657" s="905" t="s">
        <v>49</v>
      </c>
      <c r="G8657" s="1005"/>
      <c r="H8657" s="911">
        <v>2</v>
      </c>
      <c r="I8657" s="912">
        <f>VLOOKUP(E8657,[3]VLP!$B$7:$K$300,10,0)</f>
        <v>8000</v>
      </c>
      <c r="J8657" s="912">
        <f t="shared" si="693"/>
        <v>16000</v>
      </c>
      <c r="K8657" s="912" t="s">
        <v>274</v>
      </c>
      <c r="L8657" s="912"/>
      <c r="M8657" s="912"/>
      <c r="N8657" s="912"/>
      <c r="O8657" s="892">
        <f t="shared" si="687"/>
        <v>0</v>
      </c>
      <c r="P8657" s="903">
        <f t="shared" si="689"/>
        <v>1</v>
      </c>
      <c r="Q8657" s="893">
        <f t="shared" si="690"/>
        <v>12</v>
      </c>
      <c r="R8657" s="894">
        <f t="shared" si="691"/>
        <v>0</v>
      </c>
    </row>
    <row r="8658" spans="1:18">
      <c r="A8658" s="905"/>
      <c r="B8658" s="952"/>
      <c r="C8658" s="907">
        <v>309</v>
      </c>
      <c r="D8658" s="907" t="s">
        <v>279</v>
      </c>
      <c r="E8658" s="992" t="s">
        <v>3262</v>
      </c>
      <c r="F8658" s="905" t="s">
        <v>45</v>
      </c>
      <c r="G8658" s="1005"/>
      <c r="H8658" s="911">
        <v>0.2</v>
      </c>
      <c r="I8658" s="912">
        <f>VLOOKUP(E8658,[3]VLP!$B$7:$K$300,10,0)</f>
        <v>66300</v>
      </c>
      <c r="J8658" s="912">
        <f t="shared" si="693"/>
        <v>13260</v>
      </c>
      <c r="K8658" s="912" t="s">
        <v>274</v>
      </c>
      <c r="L8658" s="912"/>
      <c r="M8658" s="912"/>
      <c r="N8658" s="912"/>
      <c r="O8658" s="892">
        <f t="shared" si="687"/>
        <v>0</v>
      </c>
      <c r="P8658" s="903">
        <f t="shared" si="689"/>
        <v>1</v>
      </c>
      <c r="Q8658" s="893">
        <f t="shared" si="690"/>
        <v>11</v>
      </c>
      <c r="R8658" s="894">
        <f t="shared" si="691"/>
        <v>0</v>
      </c>
    </row>
    <row r="8659" spans="1:18" s="847" customFormat="1">
      <c r="A8659" s="905"/>
      <c r="B8659" s="952"/>
      <c r="C8659" s="907">
        <v>321</v>
      </c>
      <c r="D8659" s="907" t="s">
        <v>279</v>
      </c>
      <c r="E8659" s="992" t="s">
        <v>6317</v>
      </c>
      <c r="F8659" s="905" t="s">
        <v>45</v>
      </c>
      <c r="G8659" s="1005"/>
      <c r="H8659" s="911">
        <v>0.4</v>
      </c>
      <c r="I8659" s="912">
        <f>VLOOKUP(E8659,[3]VLP!$B$7:$K$300,10,0)</f>
        <v>38182</v>
      </c>
      <c r="J8659" s="912">
        <f t="shared" si="693"/>
        <v>15272.800000000001</v>
      </c>
      <c r="K8659" s="912" t="s">
        <v>274</v>
      </c>
      <c r="L8659" s="912"/>
      <c r="M8659" s="912"/>
      <c r="N8659" s="912"/>
      <c r="O8659" s="892">
        <f t="shared" si="687"/>
        <v>0</v>
      </c>
      <c r="P8659" s="903">
        <f t="shared" si="689"/>
        <v>1</v>
      </c>
      <c r="Q8659" s="893">
        <f t="shared" si="690"/>
        <v>10</v>
      </c>
      <c r="R8659" s="894">
        <f t="shared" si="691"/>
        <v>0</v>
      </c>
    </row>
    <row r="8660" spans="1:18" s="904" customFormat="1">
      <c r="A8660" s="905"/>
      <c r="B8660" s="952"/>
      <c r="C8660" s="907">
        <v>230</v>
      </c>
      <c r="D8660" s="907" t="s">
        <v>279</v>
      </c>
      <c r="E8660" s="992" t="s">
        <v>6318</v>
      </c>
      <c r="F8660" s="905" t="s">
        <v>45</v>
      </c>
      <c r="G8660" s="1005"/>
      <c r="H8660" s="911">
        <v>3.53</v>
      </c>
      <c r="I8660" s="912">
        <f>VLOOKUP(E8660,[3]VLP!$B$7:$K$300,10,0)</f>
        <v>14762</v>
      </c>
      <c r="J8660" s="912">
        <f t="shared" si="693"/>
        <v>52109.86</v>
      </c>
      <c r="K8660" s="912" t="s">
        <v>274</v>
      </c>
      <c r="L8660" s="912"/>
      <c r="M8660" s="912"/>
      <c r="N8660" s="912"/>
      <c r="O8660" s="892">
        <f t="shared" si="687"/>
        <v>0</v>
      </c>
      <c r="P8660" s="903">
        <f t="shared" si="689"/>
        <v>1</v>
      </c>
      <c r="Q8660" s="893">
        <f t="shared" si="690"/>
        <v>9</v>
      </c>
      <c r="R8660" s="894">
        <f t="shared" si="691"/>
        <v>0</v>
      </c>
    </row>
    <row r="8661" spans="1:18">
      <c r="A8661" s="905"/>
      <c r="B8661" s="952"/>
      <c r="C8661" s="907">
        <v>235</v>
      </c>
      <c r="D8661" s="907" t="s">
        <v>279</v>
      </c>
      <c r="E8661" s="992" t="s">
        <v>2682</v>
      </c>
      <c r="F8661" s="905" t="s">
        <v>45</v>
      </c>
      <c r="G8661" s="1005"/>
      <c r="H8661" s="911">
        <v>1.6</v>
      </c>
      <c r="I8661" s="912">
        <f>VLOOKUP(E8661,[3]VLP!$B$7:$K$300,10,0)</f>
        <v>5000</v>
      </c>
      <c r="J8661" s="912">
        <f t="shared" si="693"/>
        <v>8000</v>
      </c>
      <c r="K8661" s="912" t="s">
        <v>274</v>
      </c>
      <c r="L8661" s="912"/>
      <c r="M8661" s="912"/>
      <c r="N8661" s="912"/>
      <c r="O8661" s="892">
        <f t="shared" si="687"/>
        <v>0</v>
      </c>
      <c r="P8661" s="903">
        <f t="shared" si="689"/>
        <v>1</v>
      </c>
      <c r="Q8661" s="893">
        <f t="shared" si="690"/>
        <v>8</v>
      </c>
      <c r="R8661" s="894">
        <f t="shared" si="691"/>
        <v>0</v>
      </c>
    </row>
    <row r="8662" spans="1:18" s="847" customFormat="1">
      <c r="A8662" s="905"/>
      <c r="B8662" s="952"/>
      <c r="C8662" s="907">
        <v>237</v>
      </c>
      <c r="D8662" s="907" t="s">
        <v>279</v>
      </c>
      <c r="E8662" s="992" t="s">
        <v>6312</v>
      </c>
      <c r="F8662" s="905" t="s">
        <v>47</v>
      </c>
      <c r="G8662" s="1005"/>
      <c r="H8662" s="911">
        <v>0.06</v>
      </c>
      <c r="I8662" s="912">
        <f>VLOOKUP(E8662,[3]VLP!$B$7:$K$300,10,0)</f>
        <v>4545455</v>
      </c>
      <c r="J8662" s="912">
        <f t="shared" si="693"/>
        <v>272727.3</v>
      </c>
      <c r="K8662" s="912" t="s">
        <v>274</v>
      </c>
      <c r="L8662" s="912"/>
      <c r="M8662" s="912"/>
      <c r="N8662" s="912"/>
      <c r="O8662" s="892">
        <f t="shared" si="687"/>
        <v>0</v>
      </c>
      <c r="P8662" s="903">
        <f t="shared" si="689"/>
        <v>1</v>
      </c>
      <c r="Q8662" s="893">
        <f t="shared" si="690"/>
        <v>7</v>
      </c>
      <c r="R8662" s="894">
        <f t="shared" si="691"/>
        <v>0</v>
      </c>
    </row>
    <row r="8663" spans="1:18" s="904" customFormat="1">
      <c r="A8663" s="905"/>
      <c r="B8663" s="952"/>
      <c r="C8663" s="907">
        <v>699</v>
      </c>
      <c r="D8663" s="907" t="s">
        <v>279</v>
      </c>
      <c r="E8663" s="992" t="s">
        <v>4006</v>
      </c>
      <c r="F8663" s="905" t="s">
        <v>4007</v>
      </c>
      <c r="G8663" s="1005"/>
      <c r="H8663" s="911">
        <v>5</v>
      </c>
      <c r="I8663" s="912">
        <f>VLOOKUP(E8663,[3]VLP!$B$7:$K$300,10,0)</f>
        <v>5000</v>
      </c>
      <c r="J8663" s="912">
        <f t="shared" si="693"/>
        <v>25000</v>
      </c>
      <c r="K8663" s="912" t="s">
        <v>274</v>
      </c>
      <c r="L8663" s="912"/>
      <c r="M8663" s="912"/>
      <c r="N8663" s="912"/>
      <c r="O8663" s="892">
        <f t="shared" si="687"/>
        <v>0</v>
      </c>
      <c r="P8663" s="903">
        <f t="shared" si="689"/>
        <v>1</v>
      </c>
      <c r="Q8663" s="893">
        <f t="shared" si="690"/>
        <v>6</v>
      </c>
      <c r="R8663" s="894">
        <f t="shared" si="691"/>
        <v>0</v>
      </c>
    </row>
    <row r="8664" spans="1:18">
      <c r="A8664" s="895"/>
      <c r="B8664" s="896"/>
      <c r="C8664" s="897"/>
      <c r="D8664" s="897"/>
      <c r="E8664" s="1002" t="s">
        <v>276</v>
      </c>
      <c r="F8664" s="1003"/>
      <c r="G8664" s="1004"/>
      <c r="H8664" s="901"/>
      <c r="I8664" s="902"/>
      <c r="J8664" s="902"/>
      <c r="K8664" s="912" t="s">
        <v>274</v>
      </c>
      <c r="L8664" s="902"/>
      <c r="M8664" s="902"/>
      <c r="N8664" s="902"/>
      <c r="O8664" s="892">
        <f t="shared" si="687"/>
        <v>0</v>
      </c>
      <c r="P8664" s="903">
        <f t="shared" si="689"/>
        <v>1</v>
      </c>
      <c r="Q8664" s="893">
        <f t="shared" si="690"/>
        <v>5</v>
      </c>
      <c r="R8664" s="894">
        <f t="shared" si="691"/>
        <v>0</v>
      </c>
    </row>
    <row r="8665" spans="1:18" s="847" customFormat="1">
      <c r="A8665" s="905"/>
      <c r="B8665" s="952"/>
      <c r="C8665" s="907">
        <v>745</v>
      </c>
      <c r="D8665" s="907" t="s">
        <v>12</v>
      </c>
      <c r="E8665" s="992" t="s">
        <v>5518</v>
      </c>
      <c r="F8665" s="905" t="s">
        <v>2674</v>
      </c>
      <c r="G8665" s="1005"/>
      <c r="H8665" s="911">
        <v>63</v>
      </c>
      <c r="I8665" s="912"/>
      <c r="J8665" s="912"/>
      <c r="K8665" s="912">
        <f>VLOOKUP(E8665,[5]ĐMNC!$A$7:$F$67,4,0)</f>
        <v>240557</v>
      </c>
      <c r="L8665" s="912">
        <f>H8665*K8665</f>
        <v>15155091</v>
      </c>
      <c r="M8665" s="912"/>
      <c r="N8665" s="912"/>
      <c r="O8665" s="892">
        <f t="shared" si="687"/>
        <v>0</v>
      </c>
      <c r="P8665" s="903">
        <f t="shared" si="689"/>
        <v>1</v>
      </c>
      <c r="Q8665" s="893">
        <f t="shared" si="690"/>
        <v>4</v>
      </c>
      <c r="R8665" s="894">
        <f t="shared" si="691"/>
        <v>0</v>
      </c>
    </row>
    <row r="8666" spans="1:18" s="904" customFormat="1">
      <c r="A8666" s="895"/>
      <c r="B8666" s="896"/>
      <c r="C8666" s="897"/>
      <c r="D8666" s="897"/>
      <c r="E8666" s="1002" t="s">
        <v>3914</v>
      </c>
      <c r="F8666" s="1003"/>
      <c r="G8666" s="1004"/>
      <c r="H8666" s="901"/>
      <c r="I8666" s="902"/>
      <c r="J8666" s="902"/>
      <c r="K8666" s="912" t="s">
        <v>274</v>
      </c>
      <c r="L8666" s="902"/>
      <c r="M8666" s="902"/>
      <c r="N8666" s="902"/>
      <c r="O8666" s="892">
        <f t="shared" si="687"/>
        <v>0</v>
      </c>
      <c r="P8666" s="903">
        <f t="shared" si="689"/>
        <v>1</v>
      </c>
      <c r="Q8666" s="893">
        <f t="shared" si="690"/>
        <v>3</v>
      </c>
      <c r="R8666" s="894">
        <f t="shared" si="691"/>
        <v>0</v>
      </c>
    </row>
    <row r="8667" spans="1:18">
      <c r="A8667" s="905"/>
      <c r="B8667" s="952" t="s">
        <v>6332</v>
      </c>
      <c r="C8667" s="907">
        <v>901</v>
      </c>
      <c r="D8667" s="907" t="s">
        <v>93</v>
      </c>
      <c r="E8667" s="992" t="s">
        <v>6333</v>
      </c>
      <c r="F8667" s="905" t="s">
        <v>2673</v>
      </c>
      <c r="G8667" s="1005"/>
      <c r="H8667" s="911">
        <v>0.59</v>
      </c>
      <c r="I8667" s="912"/>
      <c r="J8667" s="912"/>
      <c r="K8667" s="912"/>
      <c r="L8667" s="912"/>
      <c r="M8667" s="912">
        <f>VLOOKUP(B8667,MTC!$B$9:$S$933,12,0)</f>
        <v>1967433</v>
      </c>
      <c r="N8667" s="912">
        <f>M8667*H8667</f>
        <v>1160785.47</v>
      </c>
      <c r="O8667" s="892">
        <f t="shared" si="687"/>
        <v>0</v>
      </c>
      <c r="P8667" s="903">
        <f t="shared" si="689"/>
        <v>1</v>
      </c>
      <c r="Q8667" s="893">
        <f t="shared" si="690"/>
        <v>2</v>
      </c>
      <c r="R8667" s="894">
        <f t="shared" si="691"/>
        <v>0</v>
      </c>
    </row>
    <row r="8668" spans="1:18" s="904" customFormat="1">
      <c r="A8668" s="905"/>
      <c r="B8668" s="946" t="s">
        <v>6321</v>
      </c>
      <c r="C8668" s="907">
        <v>900</v>
      </c>
      <c r="D8668" s="907" t="s">
        <v>93</v>
      </c>
      <c r="E8668" s="992" t="s">
        <v>6322</v>
      </c>
      <c r="F8668" s="905" t="s">
        <v>2673</v>
      </c>
      <c r="G8668" s="1005"/>
      <c r="H8668" s="911">
        <v>0.26</v>
      </c>
      <c r="I8668" s="912"/>
      <c r="J8668" s="912"/>
      <c r="K8668" s="912"/>
      <c r="L8668" s="912"/>
      <c r="M8668" s="912">
        <f>VLOOKUP(B8668,MTC!$B$9:$S$933,12,0)</f>
        <v>1475268</v>
      </c>
      <c r="N8668" s="912">
        <f>M8668*H8668</f>
        <v>383569.68</v>
      </c>
      <c r="O8668" s="892">
        <f t="shared" si="687"/>
        <v>0</v>
      </c>
      <c r="P8668" s="903">
        <f t="shared" si="689"/>
        <v>1</v>
      </c>
      <c r="Q8668" s="893">
        <f t="shared" si="690"/>
        <v>1</v>
      </c>
      <c r="R8668" s="894">
        <f t="shared" si="691"/>
        <v>0</v>
      </c>
    </row>
    <row r="8669" spans="1:18" ht="31.5">
      <c r="A8669" s="905" t="s">
        <v>6349</v>
      </c>
      <c r="B8669" s="914" t="s">
        <v>6350</v>
      </c>
      <c r="C8669" s="915"/>
      <c r="D8669" s="915"/>
      <c r="E8669" s="1006" t="s">
        <v>6351</v>
      </c>
      <c r="F8669" s="1007" t="s">
        <v>160</v>
      </c>
      <c r="G8669" s="1008"/>
      <c r="H8669" s="919"/>
      <c r="I8669" s="920"/>
      <c r="J8669" s="891">
        <f>SUM(J8670:J8681)</f>
        <v>306479.25</v>
      </c>
      <c r="K8669" s="891"/>
      <c r="L8669" s="891">
        <f>SUM(L8670:L8681)</f>
        <v>3728633.5</v>
      </c>
      <c r="M8669" s="891"/>
      <c r="N8669" s="891">
        <f>SUM(N8670:N8681)</f>
        <v>678623.28</v>
      </c>
      <c r="O8669" s="892">
        <f t="shared" si="687"/>
        <v>1</v>
      </c>
      <c r="P8669" s="903">
        <f t="shared" si="689"/>
        <v>0</v>
      </c>
      <c r="Q8669" s="893">
        <f t="shared" si="690"/>
        <v>0</v>
      </c>
      <c r="R8669" s="894">
        <f t="shared" si="691"/>
        <v>12</v>
      </c>
    </row>
    <row r="8670" spans="1:18" s="847" customFormat="1">
      <c r="A8670" s="895"/>
      <c r="B8670" s="896"/>
      <c r="C8670" s="897"/>
      <c r="D8670" s="897"/>
      <c r="E8670" s="1002" t="s">
        <v>108</v>
      </c>
      <c r="F8670" s="1003"/>
      <c r="G8670" s="1004"/>
      <c r="H8670" s="901"/>
      <c r="I8670" s="902"/>
      <c r="J8670" s="902"/>
      <c r="K8670" s="912" t="s">
        <v>274</v>
      </c>
      <c r="L8670" s="902"/>
      <c r="M8670" s="902"/>
      <c r="N8670" s="902"/>
      <c r="O8670" s="892">
        <f t="shared" si="687"/>
        <v>0</v>
      </c>
      <c r="P8670" s="903">
        <f t="shared" si="689"/>
        <v>1</v>
      </c>
      <c r="Q8670" s="893">
        <f t="shared" si="690"/>
        <v>12</v>
      </c>
      <c r="R8670" s="894">
        <f t="shared" si="691"/>
        <v>0</v>
      </c>
    </row>
    <row r="8671" spans="1:18" s="904" customFormat="1">
      <c r="A8671" s="905"/>
      <c r="B8671" s="952"/>
      <c r="C8671" s="907">
        <v>212</v>
      </c>
      <c r="D8671" s="907" t="s">
        <v>279</v>
      </c>
      <c r="E8671" s="992" t="s">
        <v>2681</v>
      </c>
      <c r="F8671" s="905" t="s">
        <v>45</v>
      </c>
      <c r="G8671" s="1005"/>
      <c r="H8671" s="911">
        <v>0.3</v>
      </c>
      <c r="I8671" s="912">
        <f>VLOOKUP(E8671,[3]VLP!$B$7:$K$300,10,0)</f>
        <v>23000</v>
      </c>
      <c r="J8671" s="912">
        <f t="shared" ref="J8671:J8677" si="694">I8671*H8671</f>
        <v>6900</v>
      </c>
      <c r="K8671" s="912" t="s">
        <v>274</v>
      </c>
      <c r="L8671" s="912"/>
      <c r="M8671" s="912"/>
      <c r="N8671" s="912"/>
      <c r="O8671" s="892">
        <f t="shared" ref="O8671:O8734" si="695">IF(AND(B8671&lt;&gt;"",D8671=""),1,0)</f>
        <v>0</v>
      </c>
      <c r="P8671" s="903">
        <f t="shared" si="689"/>
        <v>1</v>
      </c>
      <c r="Q8671" s="893">
        <f t="shared" si="690"/>
        <v>11</v>
      </c>
      <c r="R8671" s="894">
        <f t="shared" si="691"/>
        <v>0</v>
      </c>
    </row>
    <row r="8672" spans="1:18">
      <c r="A8672" s="905"/>
      <c r="B8672" s="952"/>
      <c r="C8672" s="907">
        <v>318</v>
      </c>
      <c r="D8672" s="907" t="s">
        <v>279</v>
      </c>
      <c r="E8672" s="992" t="s">
        <v>5657</v>
      </c>
      <c r="F8672" s="905" t="s">
        <v>45</v>
      </c>
      <c r="G8672" s="1005"/>
      <c r="H8672" s="911">
        <v>0.3</v>
      </c>
      <c r="I8672" s="912">
        <f>VLOOKUP(E8672,[3]VLP!$B$7:$K$300,10,0)</f>
        <v>25155</v>
      </c>
      <c r="J8672" s="912">
        <f t="shared" si="694"/>
        <v>7546.5</v>
      </c>
      <c r="K8672" s="912" t="s">
        <v>274</v>
      </c>
      <c r="L8672" s="912"/>
      <c r="M8672" s="912"/>
      <c r="N8672" s="912"/>
      <c r="O8672" s="892">
        <f t="shared" si="695"/>
        <v>0</v>
      </c>
      <c r="P8672" s="903">
        <f t="shared" si="689"/>
        <v>1</v>
      </c>
      <c r="Q8672" s="893">
        <f t="shared" si="690"/>
        <v>10</v>
      </c>
      <c r="R8672" s="894">
        <f t="shared" si="691"/>
        <v>0</v>
      </c>
    </row>
    <row r="8673" spans="1:18" s="904" customFormat="1">
      <c r="A8673" s="905"/>
      <c r="B8673" s="952"/>
      <c r="C8673" s="907">
        <v>234</v>
      </c>
      <c r="D8673" s="907" t="s">
        <v>279</v>
      </c>
      <c r="E8673" s="992" t="s">
        <v>5983</v>
      </c>
      <c r="F8673" s="905" t="s">
        <v>3144</v>
      </c>
      <c r="G8673" s="1005"/>
      <c r="H8673" s="911">
        <v>1</v>
      </c>
      <c r="I8673" s="912">
        <f>VLOOKUP(E8673,[3]VLP!$B$7:$K$300,10,0)</f>
        <v>14000</v>
      </c>
      <c r="J8673" s="912">
        <f t="shared" si="694"/>
        <v>14000</v>
      </c>
      <c r="K8673" s="912" t="s">
        <v>274</v>
      </c>
      <c r="L8673" s="912"/>
      <c r="M8673" s="912"/>
      <c r="N8673" s="912"/>
      <c r="O8673" s="892">
        <f t="shared" si="695"/>
        <v>0</v>
      </c>
      <c r="P8673" s="903">
        <f t="shared" si="689"/>
        <v>1</v>
      </c>
      <c r="Q8673" s="893">
        <f t="shared" si="690"/>
        <v>9</v>
      </c>
      <c r="R8673" s="894">
        <f t="shared" si="691"/>
        <v>0</v>
      </c>
    </row>
    <row r="8674" spans="1:18">
      <c r="A8674" s="905"/>
      <c r="B8674" s="952"/>
      <c r="C8674" s="907">
        <v>309</v>
      </c>
      <c r="D8674" s="907" t="s">
        <v>279</v>
      </c>
      <c r="E8674" s="992" t="s">
        <v>3262</v>
      </c>
      <c r="F8674" s="905" t="s">
        <v>45</v>
      </c>
      <c r="G8674" s="1005"/>
      <c r="H8674" s="911">
        <v>0.2</v>
      </c>
      <c r="I8674" s="912">
        <f>VLOOKUP(E8674,[3]VLP!$B$7:$K$300,10,0)</f>
        <v>66300</v>
      </c>
      <c r="J8674" s="912">
        <f t="shared" si="694"/>
        <v>13260</v>
      </c>
      <c r="K8674" s="912" t="s">
        <v>274</v>
      </c>
      <c r="L8674" s="912"/>
      <c r="M8674" s="912"/>
      <c r="N8674" s="912"/>
      <c r="O8674" s="892">
        <f t="shared" si="695"/>
        <v>0</v>
      </c>
      <c r="P8674" s="903">
        <f t="shared" si="689"/>
        <v>1</v>
      </c>
      <c r="Q8674" s="893">
        <f t="shared" si="690"/>
        <v>8</v>
      </c>
      <c r="R8674" s="894">
        <f t="shared" si="691"/>
        <v>0</v>
      </c>
    </row>
    <row r="8675" spans="1:18" s="847" customFormat="1">
      <c r="A8675" s="905"/>
      <c r="B8675" s="952"/>
      <c r="C8675" s="907">
        <v>235</v>
      </c>
      <c r="D8675" s="907" t="s">
        <v>279</v>
      </c>
      <c r="E8675" s="992" t="s">
        <v>2682</v>
      </c>
      <c r="F8675" s="905" t="s">
        <v>45</v>
      </c>
      <c r="G8675" s="1005"/>
      <c r="H8675" s="911">
        <v>2.5</v>
      </c>
      <c r="I8675" s="912">
        <f>VLOOKUP(E8675,[3]VLP!$B$7:$K$300,10,0)</f>
        <v>5000</v>
      </c>
      <c r="J8675" s="912">
        <f t="shared" si="694"/>
        <v>12500</v>
      </c>
      <c r="K8675" s="912" t="s">
        <v>274</v>
      </c>
      <c r="L8675" s="912"/>
      <c r="M8675" s="912"/>
      <c r="N8675" s="912"/>
      <c r="O8675" s="892">
        <f t="shared" si="695"/>
        <v>0</v>
      </c>
      <c r="P8675" s="903">
        <f t="shared" si="689"/>
        <v>1</v>
      </c>
      <c r="Q8675" s="893">
        <f t="shared" si="690"/>
        <v>7</v>
      </c>
      <c r="R8675" s="894">
        <f t="shared" si="691"/>
        <v>0</v>
      </c>
    </row>
    <row r="8676" spans="1:18" s="904" customFormat="1">
      <c r="A8676" s="905"/>
      <c r="B8676" s="952"/>
      <c r="C8676" s="907">
        <v>237</v>
      </c>
      <c r="D8676" s="907" t="s">
        <v>279</v>
      </c>
      <c r="E8676" s="992" t="s">
        <v>6312</v>
      </c>
      <c r="F8676" s="905" t="s">
        <v>47</v>
      </c>
      <c r="G8676" s="1005"/>
      <c r="H8676" s="911">
        <v>0.05</v>
      </c>
      <c r="I8676" s="912">
        <f>VLOOKUP(E8676,[3]VLP!$B$7:$K$300,10,0)</f>
        <v>4545455</v>
      </c>
      <c r="J8676" s="912">
        <f t="shared" si="694"/>
        <v>227272.75</v>
      </c>
      <c r="K8676" s="912" t="s">
        <v>274</v>
      </c>
      <c r="L8676" s="912"/>
      <c r="M8676" s="912"/>
      <c r="N8676" s="912"/>
      <c r="O8676" s="892">
        <f t="shared" si="695"/>
        <v>0</v>
      </c>
      <c r="P8676" s="903">
        <f t="shared" si="689"/>
        <v>1</v>
      </c>
      <c r="Q8676" s="893">
        <f t="shared" si="690"/>
        <v>6</v>
      </c>
      <c r="R8676" s="894">
        <f t="shared" si="691"/>
        <v>0</v>
      </c>
    </row>
    <row r="8677" spans="1:18">
      <c r="A8677" s="905"/>
      <c r="B8677" s="952"/>
      <c r="C8677" s="907">
        <v>699</v>
      </c>
      <c r="D8677" s="907" t="s">
        <v>279</v>
      </c>
      <c r="E8677" s="992" t="s">
        <v>4006</v>
      </c>
      <c r="F8677" s="905" t="s">
        <v>4007</v>
      </c>
      <c r="G8677" s="1005"/>
      <c r="H8677" s="911">
        <v>5</v>
      </c>
      <c r="I8677" s="912">
        <f>VLOOKUP(E8677,[3]VLP!$B$7:$K$300,10,0)</f>
        <v>5000</v>
      </c>
      <c r="J8677" s="912">
        <f t="shared" si="694"/>
        <v>25000</v>
      </c>
      <c r="K8677" s="912" t="s">
        <v>274</v>
      </c>
      <c r="L8677" s="912"/>
      <c r="M8677" s="912"/>
      <c r="N8677" s="912"/>
      <c r="O8677" s="892">
        <f t="shared" si="695"/>
        <v>0</v>
      </c>
      <c r="P8677" s="903">
        <f t="shared" si="689"/>
        <v>1</v>
      </c>
      <c r="Q8677" s="893">
        <f t="shared" si="690"/>
        <v>5</v>
      </c>
      <c r="R8677" s="894">
        <f t="shared" si="691"/>
        <v>0</v>
      </c>
    </row>
    <row r="8678" spans="1:18" s="904" customFormat="1">
      <c r="A8678" s="895"/>
      <c r="B8678" s="896"/>
      <c r="C8678" s="897"/>
      <c r="D8678" s="897"/>
      <c r="E8678" s="1002" t="s">
        <v>276</v>
      </c>
      <c r="F8678" s="1003"/>
      <c r="G8678" s="1004"/>
      <c r="H8678" s="901"/>
      <c r="I8678" s="902"/>
      <c r="J8678" s="902"/>
      <c r="K8678" s="912" t="s">
        <v>274</v>
      </c>
      <c r="L8678" s="902"/>
      <c r="M8678" s="902"/>
      <c r="N8678" s="902"/>
      <c r="O8678" s="892">
        <f t="shared" si="695"/>
        <v>0</v>
      </c>
      <c r="P8678" s="903">
        <f t="shared" si="689"/>
        <v>1</v>
      </c>
      <c r="Q8678" s="893">
        <f t="shared" si="690"/>
        <v>4</v>
      </c>
      <c r="R8678" s="894">
        <f t="shared" si="691"/>
        <v>0</v>
      </c>
    </row>
    <row r="8679" spans="1:18">
      <c r="A8679" s="905"/>
      <c r="B8679" s="952"/>
      <c r="C8679" s="907">
        <v>745</v>
      </c>
      <c r="D8679" s="907" t="s">
        <v>12</v>
      </c>
      <c r="E8679" s="992" t="s">
        <v>5518</v>
      </c>
      <c r="F8679" s="905" t="s">
        <v>2674</v>
      </c>
      <c r="G8679" s="1005"/>
      <c r="H8679" s="911">
        <v>15.5</v>
      </c>
      <c r="I8679" s="912"/>
      <c r="J8679" s="912"/>
      <c r="K8679" s="912">
        <f>VLOOKUP(E8679,[5]ĐMNC!$A$7:$F$67,4,0)</f>
        <v>240557</v>
      </c>
      <c r="L8679" s="912">
        <f>H8679*K8679</f>
        <v>3728633.5</v>
      </c>
      <c r="M8679" s="912"/>
      <c r="N8679" s="912"/>
      <c r="O8679" s="892">
        <f t="shared" si="695"/>
        <v>0</v>
      </c>
      <c r="P8679" s="903">
        <f t="shared" si="689"/>
        <v>1</v>
      </c>
      <c r="Q8679" s="893">
        <f t="shared" si="690"/>
        <v>3</v>
      </c>
      <c r="R8679" s="894">
        <f t="shared" si="691"/>
        <v>0</v>
      </c>
    </row>
    <row r="8680" spans="1:18" s="847" customFormat="1">
      <c r="A8680" s="895"/>
      <c r="B8680" s="896"/>
      <c r="C8680" s="897"/>
      <c r="D8680" s="897"/>
      <c r="E8680" s="1002" t="s">
        <v>3914</v>
      </c>
      <c r="F8680" s="1003"/>
      <c r="G8680" s="1004"/>
      <c r="H8680" s="901"/>
      <c r="I8680" s="902"/>
      <c r="J8680" s="902"/>
      <c r="K8680" s="912" t="s">
        <v>274</v>
      </c>
      <c r="L8680" s="902"/>
      <c r="M8680" s="902"/>
      <c r="N8680" s="902"/>
      <c r="O8680" s="892">
        <f t="shared" si="695"/>
        <v>0</v>
      </c>
      <c r="P8680" s="903">
        <f t="shared" si="689"/>
        <v>1</v>
      </c>
      <c r="Q8680" s="893">
        <f t="shared" si="690"/>
        <v>2</v>
      </c>
      <c r="R8680" s="894">
        <f t="shared" si="691"/>
        <v>0</v>
      </c>
    </row>
    <row r="8681" spans="1:18" s="904" customFormat="1">
      <c r="A8681" s="905"/>
      <c r="B8681" s="946" t="s">
        <v>6321</v>
      </c>
      <c r="C8681" s="907">
        <v>900</v>
      </c>
      <c r="D8681" s="907" t="s">
        <v>93</v>
      </c>
      <c r="E8681" s="992" t="s">
        <v>6322</v>
      </c>
      <c r="F8681" s="905" t="s">
        <v>2673</v>
      </c>
      <c r="G8681" s="1005"/>
      <c r="H8681" s="911">
        <v>0.46</v>
      </c>
      <c r="I8681" s="912"/>
      <c r="J8681" s="912"/>
      <c r="K8681" s="912"/>
      <c r="L8681" s="912"/>
      <c r="M8681" s="912">
        <f>VLOOKUP(B8681,MTC!$B$9:$S$933,12,0)</f>
        <v>1475268</v>
      </c>
      <c r="N8681" s="912">
        <f>M8681*H8681</f>
        <v>678623.28</v>
      </c>
      <c r="O8681" s="892">
        <f t="shared" si="695"/>
        <v>0</v>
      </c>
      <c r="P8681" s="903">
        <f t="shared" si="689"/>
        <v>1</v>
      </c>
      <c r="Q8681" s="893">
        <f t="shared" si="690"/>
        <v>1</v>
      </c>
      <c r="R8681" s="894">
        <f t="shared" si="691"/>
        <v>0</v>
      </c>
    </row>
    <row r="8682" spans="1:18" ht="31.5">
      <c r="A8682" s="905">
        <v>12</v>
      </c>
      <c r="B8682" s="914" t="s">
        <v>6352</v>
      </c>
      <c r="C8682" s="915"/>
      <c r="D8682" s="915"/>
      <c r="E8682" s="1006" t="s">
        <v>6353</v>
      </c>
      <c r="F8682" s="1007" t="s">
        <v>160</v>
      </c>
      <c r="G8682" s="1008"/>
      <c r="H8682" s="919"/>
      <c r="I8682" s="920"/>
      <c r="J8682" s="891">
        <f>SUM(J8683:J8694)</f>
        <v>313011.25</v>
      </c>
      <c r="K8682" s="891"/>
      <c r="L8682" s="891">
        <f>SUM(L8683:L8694)</f>
        <v>4402193.1000000006</v>
      </c>
      <c r="M8682" s="891"/>
      <c r="N8682" s="891">
        <f>SUM(N8683:N8694)</f>
        <v>678623.28</v>
      </c>
      <c r="O8682" s="892">
        <f t="shared" si="695"/>
        <v>1</v>
      </c>
      <c r="P8682" s="903">
        <f t="shared" si="689"/>
        <v>0</v>
      </c>
      <c r="Q8682" s="893">
        <f t="shared" si="690"/>
        <v>0</v>
      </c>
      <c r="R8682" s="894">
        <f t="shared" si="691"/>
        <v>12</v>
      </c>
    </row>
    <row r="8683" spans="1:18" s="904" customFormat="1">
      <c r="A8683" s="895"/>
      <c r="B8683" s="896"/>
      <c r="C8683" s="897"/>
      <c r="D8683" s="897"/>
      <c r="E8683" s="1002" t="s">
        <v>108</v>
      </c>
      <c r="F8683" s="1003"/>
      <c r="G8683" s="1004"/>
      <c r="H8683" s="901"/>
      <c r="I8683" s="902"/>
      <c r="J8683" s="902"/>
      <c r="K8683" s="912" t="s">
        <v>274</v>
      </c>
      <c r="L8683" s="902"/>
      <c r="M8683" s="902"/>
      <c r="N8683" s="902"/>
      <c r="O8683" s="892">
        <f t="shared" si="695"/>
        <v>0</v>
      </c>
      <c r="P8683" s="903">
        <f t="shared" si="689"/>
        <v>1</v>
      </c>
      <c r="Q8683" s="893">
        <f t="shared" si="690"/>
        <v>12</v>
      </c>
      <c r="R8683" s="894">
        <f t="shared" si="691"/>
        <v>0</v>
      </c>
    </row>
    <row r="8684" spans="1:18">
      <c r="A8684" s="905"/>
      <c r="B8684" s="952"/>
      <c r="C8684" s="907">
        <v>212</v>
      </c>
      <c r="D8684" s="907" t="s">
        <v>279</v>
      </c>
      <c r="E8684" s="992" t="s">
        <v>2681</v>
      </c>
      <c r="F8684" s="905" t="s">
        <v>45</v>
      </c>
      <c r="G8684" s="1005"/>
      <c r="H8684" s="911">
        <v>0.36</v>
      </c>
      <c r="I8684" s="912">
        <f>VLOOKUP(E8684,[3]VLP!$B$7:$K$300,10,0)</f>
        <v>23000</v>
      </c>
      <c r="J8684" s="912">
        <f t="shared" ref="J8684:J8690" si="696">I8684*H8684</f>
        <v>8280</v>
      </c>
      <c r="K8684" s="912" t="s">
        <v>274</v>
      </c>
      <c r="L8684" s="912"/>
      <c r="M8684" s="912"/>
      <c r="N8684" s="912"/>
      <c r="O8684" s="892">
        <f t="shared" si="695"/>
        <v>0</v>
      </c>
      <c r="P8684" s="903">
        <f t="shared" si="689"/>
        <v>1</v>
      </c>
      <c r="Q8684" s="893">
        <f t="shared" si="690"/>
        <v>11</v>
      </c>
      <c r="R8684" s="894">
        <f t="shared" si="691"/>
        <v>0</v>
      </c>
    </row>
    <row r="8685" spans="1:18" s="847" customFormat="1">
      <c r="A8685" s="905"/>
      <c r="B8685" s="952"/>
      <c r="C8685" s="907">
        <v>318</v>
      </c>
      <c r="D8685" s="907" t="s">
        <v>279</v>
      </c>
      <c r="E8685" s="992" t="s">
        <v>5657</v>
      </c>
      <c r="F8685" s="905" t="s">
        <v>45</v>
      </c>
      <c r="G8685" s="1005"/>
      <c r="H8685" s="911">
        <v>0.3</v>
      </c>
      <c r="I8685" s="912">
        <f>VLOOKUP(E8685,[3]VLP!$B$7:$K$300,10,0)</f>
        <v>25155</v>
      </c>
      <c r="J8685" s="912">
        <f t="shared" si="696"/>
        <v>7546.5</v>
      </c>
      <c r="K8685" s="912" t="s">
        <v>274</v>
      </c>
      <c r="L8685" s="912"/>
      <c r="M8685" s="912"/>
      <c r="N8685" s="912"/>
      <c r="O8685" s="892">
        <f t="shared" si="695"/>
        <v>0</v>
      </c>
      <c r="P8685" s="903">
        <f t="shared" si="689"/>
        <v>1</v>
      </c>
      <c r="Q8685" s="893">
        <f t="shared" si="690"/>
        <v>10</v>
      </c>
      <c r="R8685" s="894">
        <f t="shared" si="691"/>
        <v>0</v>
      </c>
    </row>
    <row r="8686" spans="1:18" s="904" customFormat="1">
      <c r="A8686" s="905"/>
      <c r="B8686" s="952"/>
      <c r="C8686" s="907">
        <v>234</v>
      </c>
      <c r="D8686" s="907" t="s">
        <v>279</v>
      </c>
      <c r="E8686" s="992" t="s">
        <v>5983</v>
      </c>
      <c r="F8686" s="905" t="s">
        <v>3144</v>
      </c>
      <c r="G8686" s="1005"/>
      <c r="H8686" s="911">
        <v>1</v>
      </c>
      <c r="I8686" s="912">
        <f>VLOOKUP(E8686,[3]VLP!$B$7:$K$300,10,0)</f>
        <v>14000</v>
      </c>
      <c r="J8686" s="912">
        <f t="shared" si="696"/>
        <v>14000</v>
      </c>
      <c r="K8686" s="912" t="s">
        <v>274</v>
      </c>
      <c r="L8686" s="912"/>
      <c r="M8686" s="912"/>
      <c r="N8686" s="912"/>
      <c r="O8686" s="892">
        <f t="shared" si="695"/>
        <v>0</v>
      </c>
      <c r="P8686" s="903">
        <f t="shared" si="689"/>
        <v>1</v>
      </c>
      <c r="Q8686" s="893">
        <f t="shared" si="690"/>
        <v>9</v>
      </c>
      <c r="R8686" s="894">
        <f t="shared" si="691"/>
        <v>0</v>
      </c>
    </row>
    <row r="8687" spans="1:18">
      <c r="A8687" s="905"/>
      <c r="B8687" s="952"/>
      <c r="C8687" s="907">
        <v>309</v>
      </c>
      <c r="D8687" s="907" t="s">
        <v>279</v>
      </c>
      <c r="E8687" s="992" t="s">
        <v>3262</v>
      </c>
      <c r="F8687" s="905" t="s">
        <v>45</v>
      </c>
      <c r="G8687" s="1005"/>
      <c r="H8687" s="911">
        <v>0.24</v>
      </c>
      <c r="I8687" s="912">
        <f>VLOOKUP(E8687,[3]VLP!$B$7:$K$300,10,0)</f>
        <v>66300</v>
      </c>
      <c r="J8687" s="912">
        <f t="shared" si="696"/>
        <v>15912</v>
      </c>
      <c r="K8687" s="912" t="s">
        <v>274</v>
      </c>
      <c r="L8687" s="912"/>
      <c r="M8687" s="912"/>
      <c r="N8687" s="912"/>
      <c r="O8687" s="892">
        <f t="shared" si="695"/>
        <v>0</v>
      </c>
      <c r="P8687" s="903">
        <f t="shared" si="689"/>
        <v>1</v>
      </c>
      <c r="Q8687" s="893">
        <f t="shared" si="690"/>
        <v>8</v>
      </c>
      <c r="R8687" s="894">
        <f t="shared" si="691"/>
        <v>0</v>
      </c>
    </row>
    <row r="8688" spans="1:18" s="904" customFormat="1">
      <c r="A8688" s="905"/>
      <c r="B8688" s="952"/>
      <c r="C8688" s="907">
        <v>235</v>
      </c>
      <c r="D8688" s="907" t="s">
        <v>279</v>
      </c>
      <c r="E8688" s="992" t="s">
        <v>2682</v>
      </c>
      <c r="F8688" s="905" t="s">
        <v>45</v>
      </c>
      <c r="G8688" s="1005"/>
      <c r="H8688" s="911">
        <v>3</v>
      </c>
      <c r="I8688" s="912">
        <f>VLOOKUP(E8688,[3]VLP!$B$7:$K$300,10,0)</f>
        <v>5000</v>
      </c>
      <c r="J8688" s="912">
        <f t="shared" si="696"/>
        <v>15000</v>
      </c>
      <c r="K8688" s="912" t="s">
        <v>274</v>
      </c>
      <c r="L8688" s="912"/>
      <c r="M8688" s="912"/>
      <c r="N8688" s="912"/>
      <c r="O8688" s="892">
        <f t="shared" si="695"/>
        <v>0</v>
      </c>
      <c r="P8688" s="903">
        <f t="shared" si="689"/>
        <v>1</v>
      </c>
      <c r="Q8688" s="893">
        <f t="shared" si="690"/>
        <v>7</v>
      </c>
      <c r="R8688" s="894">
        <f t="shared" si="691"/>
        <v>0</v>
      </c>
    </row>
    <row r="8689" spans="1:18">
      <c r="A8689" s="905"/>
      <c r="B8689" s="952"/>
      <c r="C8689" s="907">
        <v>237</v>
      </c>
      <c r="D8689" s="907" t="s">
        <v>279</v>
      </c>
      <c r="E8689" s="992" t="s">
        <v>6312</v>
      </c>
      <c r="F8689" s="905" t="s">
        <v>47</v>
      </c>
      <c r="G8689" s="1005"/>
      <c r="H8689" s="911">
        <v>0.05</v>
      </c>
      <c r="I8689" s="912">
        <f>VLOOKUP(E8689,[3]VLP!$B$7:$K$300,10,0)</f>
        <v>4545455</v>
      </c>
      <c r="J8689" s="912">
        <f t="shared" si="696"/>
        <v>227272.75</v>
      </c>
      <c r="K8689" s="912" t="s">
        <v>274</v>
      </c>
      <c r="L8689" s="912"/>
      <c r="M8689" s="912"/>
      <c r="N8689" s="912"/>
      <c r="O8689" s="892">
        <f t="shared" si="695"/>
        <v>0</v>
      </c>
      <c r="P8689" s="903">
        <f t="shared" si="689"/>
        <v>1</v>
      </c>
      <c r="Q8689" s="893">
        <f t="shared" si="690"/>
        <v>6</v>
      </c>
      <c r="R8689" s="894">
        <f t="shared" si="691"/>
        <v>0</v>
      </c>
    </row>
    <row r="8690" spans="1:18" s="847" customFormat="1">
      <c r="A8690" s="905"/>
      <c r="B8690" s="952"/>
      <c r="C8690" s="907">
        <v>699</v>
      </c>
      <c r="D8690" s="907" t="s">
        <v>279</v>
      </c>
      <c r="E8690" s="992" t="s">
        <v>4006</v>
      </c>
      <c r="F8690" s="905" t="s">
        <v>4007</v>
      </c>
      <c r="G8690" s="1005"/>
      <c r="H8690" s="911">
        <v>5</v>
      </c>
      <c r="I8690" s="912">
        <f>VLOOKUP(E8690,[3]VLP!$B$7:$K$300,10,0)</f>
        <v>5000</v>
      </c>
      <c r="J8690" s="912">
        <f t="shared" si="696"/>
        <v>25000</v>
      </c>
      <c r="K8690" s="912" t="s">
        <v>274</v>
      </c>
      <c r="L8690" s="912"/>
      <c r="M8690" s="912"/>
      <c r="N8690" s="912"/>
      <c r="O8690" s="892">
        <f t="shared" si="695"/>
        <v>0</v>
      </c>
      <c r="P8690" s="903">
        <f t="shared" si="689"/>
        <v>1</v>
      </c>
      <c r="Q8690" s="893">
        <f t="shared" si="690"/>
        <v>5</v>
      </c>
      <c r="R8690" s="894">
        <f t="shared" si="691"/>
        <v>0</v>
      </c>
    </row>
    <row r="8691" spans="1:18" s="904" customFormat="1">
      <c r="A8691" s="895"/>
      <c r="B8691" s="896"/>
      <c r="C8691" s="897"/>
      <c r="D8691" s="897"/>
      <c r="E8691" s="1002" t="s">
        <v>276</v>
      </c>
      <c r="F8691" s="1003"/>
      <c r="G8691" s="1004"/>
      <c r="H8691" s="901"/>
      <c r="I8691" s="902"/>
      <c r="J8691" s="902"/>
      <c r="K8691" s="912" t="s">
        <v>274</v>
      </c>
      <c r="L8691" s="902"/>
      <c r="M8691" s="902"/>
      <c r="N8691" s="902"/>
      <c r="O8691" s="892">
        <f t="shared" si="695"/>
        <v>0</v>
      </c>
      <c r="P8691" s="903">
        <f t="shared" ref="P8691:P8754" si="697">IF(O8691=0,1,0)</f>
        <v>1</v>
      </c>
      <c r="Q8691" s="893">
        <f t="shared" ref="Q8691:Q8754" si="698">IF(P8691=0,0,P8691+Q8692)</f>
        <v>4</v>
      </c>
      <c r="R8691" s="894">
        <f t="shared" ref="R8691:R8754" si="699">IF(Q8691=0,Q8692,0)</f>
        <v>0</v>
      </c>
    </row>
    <row r="8692" spans="1:18">
      <c r="A8692" s="905"/>
      <c r="B8692" s="952"/>
      <c r="C8692" s="907">
        <v>745</v>
      </c>
      <c r="D8692" s="907" t="s">
        <v>12</v>
      </c>
      <c r="E8692" s="992" t="s">
        <v>5518</v>
      </c>
      <c r="F8692" s="905" t="s">
        <v>2674</v>
      </c>
      <c r="G8692" s="1005"/>
      <c r="H8692" s="911">
        <v>18.3</v>
      </c>
      <c r="I8692" s="912"/>
      <c r="J8692" s="912"/>
      <c r="K8692" s="912">
        <f>VLOOKUP(E8692,[5]ĐMNC!$A$7:$F$67,4,0)</f>
        <v>240557</v>
      </c>
      <c r="L8692" s="912">
        <f>H8692*K8692</f>
        <v>4402193.1000000006</v>
      </c>
      <c r="M8692" s="912"/>
      <c r="N8692" s="912"/>
      <c r="O8692" s="892">
        <f t="shared" si="695"/>
        <v>0</v>
      </c>
      <c r="P8692" s="903">
        <f t="shared" si="697"/>
        <v>1</v>
      </c>
      <c r="Q8692" s="893">
        <f t="shared" si="698"/>
        <v>3</v>
      </c>
      <c r="R8692" s="894">
        <f t="shared" si="699"/>
        <v>0</v>
      </c>
    </row>
    <row r="8693" spans="1:18" s="904" customFormat="1">
      <c r="A8693" s="895"/>
      <c r="B8693" s="896"/>
      <c r="C8693" s="897"/>
      <c r="D8693" s="897"/>
      <c r="E8693" s="1002" t="s">
        <v>3914</v>
      </c>
      <c r="F8693" s="1003"/>
      <c r="G8693" s="1004"/>
      <c r="H8693" s="901"/>
      <c r="I8693" s="902"/>
      <c r="J8693" s="902"/>
      <c r="K8693" s="912" t="s">
        <v>274</v>
      </c>
      <c r="L8693" s="902"/>
      <c r="M8693" s="902"/>
      <c r="N8693" s="902"/>
      <c r="O8693" s="892">
        <f t="shared" si="695"/>
        <v>0</v>
      </c>
      <c r="P8693" s="903">
        <f t="shared" si="697"/>
        <v>1</v>
      </c>
      <c r="Q8693" s="893">
        <f t="shared" si="698"/>
        <v>2</v>
      </c>
      <c r="R8693" s="894">
        <f t="shared" si="699"/>
        <v>0</v>
      </c>
    </row>
    <row r="8694" spans="1:18">
      <c r="A8694" s="905"/>
      <c r="B8694" s="946" t="s">
        <v>6321</v>
      </c>
      <c r="C8694" s="907">
        <v>900</v>
      </c>
      <c r="D8694" s="907" t="s">
        <v>93</v>
      </c>
      <c r="E8694" s="992" t="s">
        <v>6322</v>
      </c>
      <c r="F8694" s="905" t="s">
        <v>2673</v>
      </c>
      <c r="G8694" s="1005"/>
      <c r="H8694" s="911">
        <v>0.46</v>
      </c>
      <c r="I8694" s="912"/>
      <c r="J8694" s="912"/>
      <c r="K8694" s="912"/>
      <c r="L8694" s="912"/>
      <c r="M8694" s="912">
        <f>VLOOKUP(B8694,MTC!$B$9:$S$933,12,0)</f>
        <v>1475268</v>
      </c>
      <c r="N8694" s="912">
        <f>M8694*H8694</f>
        <v>678623.28</v>
      </c>
      <c r="O8694" s="892">
        <f t="shared" si="695"/>
        <v>0</v>
      </c>
      <c r="P8694" s="903">
        <f t="shared" si="697"/>
        <v>1</v>
      </c>
      <c r="Q8694" s="893">
        <f t="shared" si="698"/>
        <v>1</v>
      </c>
      <c r="R8694" s="894">
        <f t="shared" si="699"/>
        <v>0</v>
      </c>
    </row>
    <row r="8695" spans="1:18" s="847" customFormat="1" ht="31.5">
      <c r="A8695" s="905">
        <v>13</v>
      </c>
      <c r="B8695" s="914" t="s">
        <v>6354</v>
      </c>
      <c r="C8695" s="915"/>
      <c r="D8695" s="915"/>
      <c r="E8695" s="1006" t="s">
        <v>6355</v>
      </c>
      <c r="F8695" s="1007" t="s">
        <v>160</v>
      </c>
      <c r="G8695" s="1008"/>
      <c r="H8695" s="919"/>
      <c r="I8695" s="920"/>
      <c r="J8695" s="891">
        <f>SUM(J8696:J8707)</f>
        <v>557381.30000000005</v>
      </c>
      <c r="K8695" s="891"/>
      <c r="L8695" s="891">
        <f>SUM(L8696:L8707)</f>
        <v>5292254</v>
      </c>
      <c r="M8695" s="891"/>
      <c r="N8695" s="891">
        <f>SUM(N8696:N8707)</f>
        <v>767139.36</v>
      </c>
      <c r="O8695" s="892">
        <f t="shared" si="695"/>
        <v>1</v>
      </c>
      <c r="P8695" s="903">
        <f t="shared" si="697"/>
        <v>0</v>
      </c>
      <c r="Q8695" s="893">
        <f t="shared" si="698"/>
        <v>0</v>
      </c>
      <c r="R8695" s="894">
        <f t="shared" si="699"/>
        <v>12</v>
      </c>
    </row>
    <row r="8696" spans="1:18" s="904" customFormat="1">
      <c r="A8696" s="895"/>
      <c r="B8696" s="896"/>
      <c r="C8696" s="897"/>
      <c r="D8696" s="897"/>
      <c r="E8696" s="1002" t="s">
        <v>108</v>
      </c>
      <c r="F8696" s="1003"/>
      <c r="G8696" s="1004"/>
      <c r="H8696" s="901"/>
      <c r="I8696" s="902"/>
      <c r="J8696" s="902"/>
      <c r="K8696" s="912" t="s">
        <v>274</v>
      </c>
      <c r="L8696" s="902"/>
      <c r="M8696" s="902"/>
      <c r="N8696" s="902"/>
      <c r="O8696" s="892">
        <f t="shared" si="695"/>
        <v>0</v>
      </c>
      <c r="P8696" s="903">
        <f t="shared" si="697"/>
        <v>1</v>
      </c>
      <c r="Q8696" s="893">
        <f t="shared" si="698"/>
        <v>12</v>
      </c>
      <c r="R8696" s="894">
        <f t="shared" si="699"/>
        <v>0</v>
      </c>
    </row>
    <row r="8697" spans="1:18">
      <c r="A8697" s="905"/>
      <c r="B8697" s="952"/>
      <c r="C8697" s="907">
        <v>212</v>
      </c>
      <c r="D8697" s="907" t="s">
        <v>279</v>
      </c>
      <c r="E8697" s="992" t="s">
        <v>2681</v>
      </c>
      <c r="F8697" s="905" t="s">
        <v>45</v>
      </c>
      <c r="G8697" s="1005"/>
      <c r="H8697" s="911">
        <v>0.43</v>
      </c>
      <c r="I8697" s="912">
        <f>VLOOKUP(E8697,[3]VLP!$B$7:$K$300,10,0)</f>
        <v>23000</v>
      </c>
      <c r="J8697" s="912">
        <f t="shared" ref="J8697:J8703" si="700">I8697*H8697</f>
        <v>9890</v>
      </c>
      <c r="K8697" s="912" t="s">
        <v>274</v>
      </c>
      <c r="L8697" s="912"/>
      <c r="M8697" s="912"/>
      <c r="N8697" s="912"/>
      <c r="O8697" s="892">
        <f t="shared" si="695"/>
        <v>0</v>
      </c>
      <c r="P8697" s="903">
        <f t="shared" si="697"/>
        <v>1</v>
      </c>
      <c r="Q8697" s="893">
        <f t="shared" si="698"/>
        <v>11</v>
      </c>
      <c r="R8697" s="894">
        <f t="shared" si="699"/>
        <v>0</v>
      </c>
    </row>
    <row r="8698" spans="1:18" s="904" customFormat="1">
      <c r="A8698" s="905"/>
      <c r="B8698" s="952"/>
      <c r="C8698" s="907">
        <v>318</v>
      </c>
      <c r="D8698" s="907" t="s">
        <v>279</v>
      </c>
      <c r="E8698" s="992" t="s">
        <v>5657</v>
      </c>
      <c r="F8698" s="905" t="s">
        <v>45</v>
      </c>
      <c r="G8698" s="1005"/>
      <c r="H8698" s="911">
        <v>0.36</v>
      </c>
      <c r="I8698" s="912">
        <f>VLOOKUP(E8698,[3]VLP!$B$7:$K$300,10,0)</f>
        <v>25155</v>
      </c>
      <c r="J8698" s="912">
        <f t="shared" si="700"/>
        <v>9055.7999999999993</v>
      </c>
      <c r="K8698" s="912" t="s">
        <v>274</v>
      </c>
      <c r="L8698" s="912"/>
      <c r="M8698" s="912"/>
      <c r="N8698" s="912"/>
      <c r="O8698" s="892">
        <f t="shared" si="695"/>
        <v>0</v>
      </c>
      <c r="P8698" s="903">
        <f t="shared" si="697"/>
        <v>1</v>
      </c>
      <c r="Q8698" s="893">
        <f t="shared" si="698"/>
        <v>10</v>
      </c>
      <c r="R8698" s="894">
        <f t="shared" si="699"/>
        <v>0</v>
      </c>
    </row>
    <row r="8699" spans="1:18">
      <c r="A8699" s="905"/>
      <c r="B8699" s="952"/>
      <c r="C8699" s="907">
        <v>234</v>
      </c>
      <c r="D8699" s="907" t="s">
        <v>279</v>
      </c>
      <c r="E8699" s="992" t="s">
        <v>5983</v>
      </c>
      <c r="F8699" s="905" t="s">
        <v>3144</v>
      </c>
      <c r="G8699" s="1005"/>
      <c r="H8699" s="911">
        <v>1.5</v>
      </c>
      <c r="I8699" s="912">
        <f>VLOOKUP(E8699,[3]VLP!$B$7:$K$300,10,0)</f>
        <v>14000</v>
      </c>
      <c r="J8699" s="912">
        <f t="shared" si="700"/>
        <v>21000</v>
      </c>
      <c r="K8699" s="912" t="s">
        <v>274</v>
      </c>
      <c r="L8699" s="912"/>
      <c r="M8699" s="912"/>
      <c r="N8699" s="912"/>
      <c r="O8699" s="892">
        <f t="shared" si="695"/>
        <v>0</v>
      </c>
      <c r="P8699" s="903">
        <f t="shared" si="697"/>
        <v>1</v>
      </c>
      <c r="Q8699" s="893">
        <f t="shared" si="698"/>
        <v>9</v>
      </c>
      <c r="R8699" s="894">
        <f t="shared" si="699"/>
        <v>0</v>
      </c>
    </row>
    <row r="8700" spans="1:18" s="847" customFormat="1">
      <c r="A8700" s="905"/>
      <c r="B8700" s="952"/>
      <c r="C8700" s="907">
        <v>309</v>
      </c>
      <c r="D8700" s="907" t="s">
        <v>279</v>
      </c>
      <c r="E8700" s="992" t="s">
        <v>3262</v>
      </c>
      <c r="F8700" s="905" t="s">
        <v>45</v>
      </c>
      <c r="G8700" s="1005"/>
      <c r="H8700" s="911">
        <v>0.3</v>
      </c>
      <c r="I8700" s="912">
        <f>VLOOKUP(E8700,[3]VLP!$B$7:$K$300,10,0)</f>
        <v>66300</v>
      </c>
      <c r="J8700" s="912">
        <f t="shared" si="700"/>
        <v>19890</v>
      </c>
      <c r="K8700" s="912" t="s">
        <v>274</v>
      </c>
      <c r="L8700" s="912"/>
      <c r="M8700" s="912"/>
      <c r="N8700" s="912"/>
      <c r="O8700" s="892">
        <f t="shared" si="695"/>
        <v>0</v>
      </c>
      <c r="P8700" s="903">
        <f t="shared" si="697"/>
        <v>1</v>
      </c>
      <c r="Q8700" s="893">
        <f t="shared" si="698"/>
        <v>8</v>
      </c>
      <c r="R8700" s="894">
        <f t="shared" si="699"/>
        <v>0</v>
      </c>
    </row>
    <row r="8701" spans="1:18" s="904" customFormat="1">
      <c r="A8701" s="905"/>
      <c r="B8701" s="952"/>
      <c r="C8701" s="907">
        <v>235</v>
      </c>
      <c r="D8701" s="907" t="s">
        <v>279</v>
      </c>
      <c r="E8701" s="992" t="s">
        <v>2682</v>
      </c>
      <c r="F8701" s="905" t="s">
        <v>45</v>
      </c>
      <c r="G8701" s="1005"/>
      <c r="H8701" s="911">
        <v>3.6</v>
      </c>
      <c r="I8701" s="912">
        <f>VLOOKUP(E8701,[3]VLP!$B$7:$K$300,10,0)</f>
        <v>5000</v>
      </c>
      <c r="J8701" s="912">
        <f t="shared" si="700"/>
        <v>18000</v>
      </c>
      <c r="K8701" s="912" t="s">
        <v>274</v>
      </c>
      <c r="L8701" s="912"/>
      <c r="M8701" s="912"/>
      <c r="N8701" s="912"/>
      <c r="O8701" s="892">
        <f t="shared" si="695"/>
        <v>0</v>
      </c>
      <c r="P8701" s="903">
        <f t="shared" si="697"/>
        <v>1</v>
      </c>
      <c r="Q8701" s="893">
        <f t="shared" si="698"/>
        <v>7</v>
      </c>
      <c r="R8701" s="894">
        <f t="shared" si="699"/>
        <v>0</v>
      </c>
    </row>
    <row r="8702" spans="1:18">
      <c r="A8702" s="905"/>
      <c r="B8702" s="952"/>
      <c r="C8702" s="907">
        <v>237</v>
      </c>
      <c r="D8702" s="907" t="s">
        <v>279</v>
      </c>
      <c r="E8702" s="992" t="s">
        <v>6312</v>
      </c>
      <c r="F8702" s="905" t="s">
        <v>47</v>
      </c>
      <c r="G8702" s="1005"/>
      <c r="H8702" s="911">
        <v>0.1</v>
      </c>
      <c r="I8702" s="912">
        <f>VLOOKUP(E8702,[3]VLP!$B$7:$K$300,10,0)</f>
        <v>4545455</v>
      </c>
      <c r="J8702" s="912">
        <f t="shared" si="700"/>
        <v>454545.5</v>
      </c>
      <c r="K8702" s="912" t="s">
        <v>274</v>
      </c>
      <c r="L8702" s="912"/>
      <c r="M8702" s="912"/>
      <c r="N8702" s="912"/>
      <c r="O8702" s="892">
        <f t="shared" si="695"/>
        <v>0</v>
      </c>
      <c r="P8702" s="903">
        <f t="shared" si="697"/>
        <v>1</v>
      </c>
      <c r="Q8702" s="893">
        <f t="shared" si="698"/>
        <v>6</v>
      </c>
      <c r="R8702" s="894">
        <f t="shared" si="699"/>
        <v>0</v>
      </c>
    </row>
    <row r="8703" spans="1:18" s="904" customFormat="1">
      <c r="A8703" s="905"/>
      <c r="B8703" s="952"/>
      <c r="C8703" s="907">
        <v>699</v>
      </c>
      <c r="D8703" s="907" t="s">
        <v>279</v>
      </c>
      <c r="E8703" s="992" t="s">
        <v>4006</v>
      </c>
      <c r="F8703" s="905" t="s">
        <v>4007</v>
      </c>
      <c r="G8703" s="1005"/>
      <c r="H8703" s="911">
        <v>5</v>
      </c>
      <c r="I8703" s="912">
        <f>VLOOKUP(E8703,[3]VLP!$B$7:$K$300,10,0)</f>
        <v>5000</v>
      </c>
      <c r="J8703" s="912">
        <f t="shared" si="700"/>
        <v>25000</v>
      </c>
      <c r="K8703" s="912" t="s">
        <v>274</v>
      </c>
      <c r="L8703" s="912"/>
      <c r="M8703" s="912"/>
      <c r="N8703" s="912"/>
      <c r="O8703" s="892">
        <f t="shared" si="695"/>
        <v>0</v>
      </c>
      <c r="P8703" s="903">
        <f t="shared" si="697"/>
        <v>1</v>
      </c>
      <c r="Q8703" s="893">
        <f t="shared" si="698"/>
        <v>5</v>
      </c>
      <c r="R8703" s="894">
        <f t="shared" si="699"/>
        <v>0</v>
      </c>
    </row>
    <row r="8704" spans="1:18">
      <c r="A8704" s="895"/>
      <c r="B8704" s="896"/>
      <c r="C8704" s="897"/>
      <c r="D8704" s="897"/>
      <c r="E8704" s="1002" t="s">
        <v>276</v>
      </c>
      <c r="F8704" s="1003"/>
      <c r="G8704" s="1004"/>
      <c r="H8704" s="901"/>
      <c r="I8704" s="902"/>
      <c r="J8704" s="902"/>
      <c r="K8704" s="912" t="s">
        <v>274</v>
      </c>
      <c r="L8704" s="902"/>
      <c r="M8704" s="902"/>
      <c r="N8704" s="902"/>
      <c r="O8704" s="892">
        <f t="shared" si="695"/>
        <v>0</v>
      </c>
      <c r="P8704" s="903">
        <f t="shared" si="697"/>
        <v>1</v>
      </c>
      <c r="Q8704" s="893">
        <f t="shared" si="698"/>
        <v>4</v>
      </c>
      <c r="R8704" s="894">
        <f t="shared" si="699"/>
        <v>0</v>
      </c>
    </row>
    <row r="8705" spans="1:18" s="847" customFormat="1">
      <c r="A8705" s="905"/>
      <c r="B8705" s="952"/>
      <c r="C8705" s="907">
        <v>745</v>
      </c>
      <c r="D8705" s="907" t="s">
        <v>12</v>
      </c>
      <c r="E8705" s="992" t="s">
        <v>5518</v>
      </c>
      <c r="F8705" s="905" t="s">
        <v>2674</v>
      </c>
      <c r="G8705" s="1005"/>
      <c r="H8705" s="911">
        <v>22</v>
      </c>
      <c r="I8705" s="912"/>
      <c r="J8705" s="912"/>
      <c r="K8705" s="912">
        <f>VLOOKUP(E8705,[5]ĐMNC!$A$7:$F$67,4,0)</f>
        <v>240557</v>
      </c>
      <c r="L8705" s="912">
        <f>H8705*K8705</f>
        <v>5292254</v>
      </c>
      <c r="M8705" s="912"/>
      <c r="N8705" s="912"/>
      <c r="O8705" s="892">
        <f t="shared" si="695"/>
        <v>0</v>
      </c>
      <c r="P8705" s="903">
        <f t="shared" si="697"/>
        <v>1</v>
      </c>
      <c r="Q8705" s="893">
        <f t="shared" si="698"/>
        <v>3</v>
      </c>
      <c r="R8705" s="894">
        <f t="shared" si="699"/>
        <v>0</v>
      </c>
    </row>
    <row r="8706" spans="1:18" s="904" customFormat="1">
      <c r="A8706" s="895"/>
      <c r="B8706" s="896"/>
      <c r="C8706" s="897"/>
      <c r="D8706" s="897"/>
      <c r="E8706" s="1002" t="s">
        <v>3914</v>
      </c>
      <c r="F8706" s="1003"/>
      <c r="G8706" s="1004"/>
      <c r="H8706" s="901"/>
      <c r="I8706" s="902"/>
      <c r="J8706" s="902"/>
      <c r="K8706" s="912" t="s">
        <v>274</v>
      </c>
      <c r="L8706" s="902"/>
      <c r="M8706" s="902"/>
      <c r="N8706" s="902"/>
      <c r="O8706" s="892">
        <f t="shared" si="695"/>
        <v>0</v>
      </c>
      <c r="P8706" s="903">
        <f t="shared" si="697"/>
        <v>1</v>
      </c>
      <c r="Q8706" s="893">
        <f t="shared" si="698"/>
        <v>2</v>
      </c>
      <c r="R8706" s="894">
        <f t="shared" si="699"/>
        <v>0</v>
      </c>
    </row>
    <row r="8707" spans="1:18">
      <c r="A8707" s="905"/>
      <c r="B8707" s="946" t="s">
        <v>6321</v>
      </c>
      <c r="C8707" s="907">
        <v>900</v>
      </c>
      <c r="D8707" s="907" t="s">
        <v>93</v>
      </c>
      <c r="E8707" s="992" t="s">
        <v>6322</v>
      </c>
      <c r="F8707" s="905" t="s">
        <v>2673</v>
      </c>
      <c r="G8707" s="1005"/>
      <c r="H8707" s="911">
        <v>0.52</v>
      </c>
      <c r="I8707" s="912"/>
      <c r="J8707" s="912"/>
      <c r="K8707" s="912"/>
      <c r="L8707" s="912"/>
      <c r="M8707" s="912">
        <f>VLOOKUP(B8707,MTC!$B$9:$S$933,12,0)</f>
        <v>1475268</v>
      </c>
      <c r="N8707" s="912">
        <f>M8707*H8707</f>
        <v>767139.36</v>
      </c>
      <c r="O8707" s="892">
        <f t="shared" si="695"/>
        <v>0</v>
      </c>
      <c r="P8707" s="903">
        <f t="shared" si="697"/>
        <v>1</v>
      </c>
      <c r="Q8707" s="893">
        <f t="shared" si="698"/>
        <v>1</v>
      </c>
      <c r="R8707" s="894">
        <f t="shared" si="699"/>
        <v>0</v>
      </c>
    </row>
    <row r="8708" spans="1:18" s="904" customFormat="1" ht="31.5">
      <c r="A8708" s="905">
        <v>14</v>
      </c>
      <c r="B8708" s="914" t="s">
        <v>6356</v>
      </c>
      <c r="C8708" s="915"/>
      <c r="D8708" s="915"/>
      <c r="E8708" s="1006" t="s">
        <v>6357</v>
      </c>
      <c r="F8708" s="1007" t="s">
        <v>160</v>
      </c>
      <c r="G8708" s="1008"/>
      <c r="H8708" s="919"/>
      <c r="I8708" s="920"/>
      <c r="J8708" s="891">
        <f>SUM(J8709:J8720)</f>
        <v>566142.15</v>
      </c>
      <c r="K8708" s="891"/>
      <c r="L8708" s="891">
        <f>SUM(L8709:L8720)</f>
        <v>6495039</v>
      </c>
      <c r="M8708" s="891"/>
      <c r="N8708" s="891">
        <f>SUM(N8709:N8720)</f>
        <v>958924.20000000007</v>
      </c>
      <c r="O8708" s="892">
        <f t="shared" si="695"/>
        <v>1</v>
      </c>
      <c r="P8708" s="903">
        <f t="shared" si="697"/>
        <v>0</v>
      </c>
      <c r="Q8708" s="893">
        <f t="shared" si="698"/>
        <v>0</v>
      </c>
      <c r="R8708" s="894">
        <f t="shared" si="699"/>
        <v>12</v>
      </c>
    </row>
    <row r="8709" spans="1:18">
      <c r="A8709" s="895"/>
      <c r="B8709" s="896"/>
      <c r="C8709" s="897"/>
      <c r="D8709" s="897"/>
      <c r="E8709" s="1002" t="s">
        <v>108</v>
      </c>
      <c r="F8709" s="1003"/>
      <c r="G8709" s="1004"/>
      <c r="H8709" s="901"/>
      <c r="I8709" s="902"/>
      <c r="J8709" s="902"/>
      <c r="K8709" s="912" t="s">
        <v>274</v>
      </c>
      <c r="L8709" s="902"/>
      <c r="M8709" s="902"/>
      <c r="N8709" s="902"/>
      <c r="O8709" s="892">
        <f t="shared" si="695"/>
        <v>0</v>
      </c>
      <c r="P8709" s="903">
        <f t="shared" si="697"/>
        <v>1</v>
      </c>
      <c r="Q8709" s="893">
        <f t="shared" si="698"/>
        <v>12</v>
      </c>
      <c r="R8709" s="894">
        <f t="shared" si="699"/>
        <v>0</v>
      </c>
    </row>
    <row r="8710" spans="1:18" s="847" customFormat="1">
      <c r="A8710" s="905"/>
      <c r="B8710" s="952"/>
      <c r="C8710" s="907">
        <v>212</v>
      </c>
      <c r="D8710" s="907" t="s">
        <v>279</v>
      </c>
      <c r="E8710" s="992" t="s">
        <v>2681</v>
      </c>
      <c r="F8710" s="905" t="s">
        <v>45</v>
      </c>
      <c r="G8710" s="1005"/>
      <c r="H8710" s="911">
        <v>0.43</v>
      </c>
      <c r="I8710" s="912">
        <f>VLOOKUP(E8710,[3]VLP!$B$7:$K$300,10,0)</f>
        <v>23000</v>
      </c>
      <c r="J8710" s="912">
        <f t="shared" ref="J8710:J8716" si="701">I8710*H8710</f>
        <v>9890</v>
      </c>
      <c r="K8710" s="912" t="s">
        <v>274</v>
      </c>
      <c r="L8710" s="912"/>
      <c r="M8710" s="912"/>
      <c r="N8710" s="912"/>
      <c r="O8710" s="892">
        <f t="shared" si="695"/>
        <v>0</v>
      </c>
      <c r="P8710" s="903">
        <f t="shared" si="697"/>
        <v>1</v>
      </c>
      <c r="Q8710" s="893">
        <f t="shared" si="698"/>
        <v>11</v>
      </c>
      <c r="R8710" s="894">
        <f t="shared" si="699"/>
        <v>0</v>
      </c>
    </row>
    <row r="8711" spans="1:18" s="904" customFormat="1">
      <c r="A8711" s="905"/>
      <c r="B8711" s="952"/>
      <c r="C8711" s="907">
        <v>318</v>
      </c>
      <c r="D8711" s="907" t="s">
        <v>279</v>
      </c>
      <c r="E8711" s="992" t="s">
        <v>5657</v>
      </c>
      <c r="F8711" s="905" t="s">
        <v>45</v>
      </c>
      <c r="G8711" s="1005"/>
      <c r="H8711" s="911">
        <v>0.43</v>
      </c>
      <c r="I8711" s="912">
        <f>VLOOKUP(E8711,[3]VLP!$B$7:$K$300,10,0)</f>
        <v>25155</v>
      </c>
      <c r="J8711" s="912">
        <f t="shared" si="701"/>
        <v>10816.65</v>
      </c>
      <c r="K8711" s="912" t="s">
        <v>274</v>
      </c>
      <c r="L8711" s="912"/>
      <c r="M8711" s="912"/>
      <c r="N8711" s="912"/>
      <c r="O8711" s="892">
        <f t="shared" si="695"/>
        <v>0</v>
      </c>
      <c r="P8711" s="903">
        <f t="shared" si="697"/>
        <v>1</v>
      </c>
      <c r="Q8711" s="893">
        <f t="shared" si="698"/>
        <v>10</v>
      </c>
      <c r="R8711" s="894">
        <f t="shared" si="699"/>
        <v>0</v>
      </c>
    </row>
    <row r="8712" spans="1:18">
      <c r="A8712" s="905"/>
      <c r="B8712" s="952"/>
      <c r="C8712" s="907">
        <v>234</v>
      </c>
      <c r="D8712" s="907" t="s">
        <v>279</v>
      </c>
      <c r="E8712" s="992" t="s">
        <v>5983</v>
      </c>
      <c r="F8712" s="905" t="s">
        <v>3144</v>
      </c>
      <c r="G8712" s="1005"/>
      <c r="H8712" s="911">
        <v>2</v>
      </c>
      <c r="I8712" s="912">
        <f>VLOOKUP(E8712,[3]VLP!$B$7:$K$300,10,0)</f>
        <v>14000</v>
      </c>
      <c r="J8712" s="912">
        <f t="shared" si="701"/>
        <v>28000</v>
      </c>
      <c r="K8712" s="912" t="s">
        <v>274</v>
      </c>
      <c r="L8712" s="912"/>
      <c r="M8712" s="912"/>
      <c r="N8712" s="912"/>
      <c r="O8712" s="892">
        <f t="shared" si="695"/>
        <v>0</v>
      </c>
      <c r="P8712" s="903">
        <f t="shared" si="697"/>
        <v>1</v>
      </c>
      <c r="Q8712" s="893">
        <f t="shared" si="698"/>
        <v>9</v>
      </c>
      <c r="R8712" s="894">
        <f t="shared" si="699"/>
        <v>0</v>
      </c>
    </row>
    <row r="8713" spans="1:18" s="904" customFormat="1">
      <c r="A8713" s="905"/>
      <c r="B8713" s="952"/>
      <c r="C8713" s="907">
        <v>309</v>
      </c>
      <c r="D8713" s="907" t="s">
        <v>279</v>
      </c>
      <c r="E8713" s="992" t="s">
        <v>3262</v>
      </c>
      <c r="F8713" s="905" t="s">
        <v>45</v>
      </c>
      <c r="G8713" s="1005"/>
      <c r="H8713" s="911">
        <v>0.3</v>
      </c>
      <c r="I8713" s="912">
        <f>VLOOKUP(E8713,[3]VLP!$B$7:$K$300,10,0)</f>
        <v>66300</v>
      </c>
      <c r="J8713" s="912">
        <f t="shared" si="701"/>
        <v>19890</v>
      </c>
      <c r="K8713" s="912" t="s">
        <v>274</v>
      </c>
      <c r="L8713" s="912"/>
      <c r="M8713" s="912"/>
      <c r="N8713" s="912"/>
      <c r="O8713" s="892">
        <f t="shared" si="695"/>
        <v>0</v>
      </c>
      <c r="P8713" s="903">
        <f t="shared" si="697"/>
        <v>1</v>
      </c>
      <c r="Q8713" s="893">
        <f t="shared" si="698"/>
        <v>8</v>
      </c>
      <c r="R8713" s="894">
        <f t="shared" si="699"/>
        <v>0</v>
      </c>
    </row>
    <row r="8714" spans="1:18">
      <c r="A8714" s="905"/>
      <c r="B8714" s="952"/>
      <c r="C8714" s="907">
        <v>235</v>
      </c>
      <c r="D8714" s="907" t="s">
        <v>279</v>
      </c>
      <c r="E8714" s="992" t="s">
        <v>2682</v>
      </c>
      <c r="F8714" s="905" t="s">
        <v>45</v>
      </c>
      <c r="G8714" s="1005"/>
      <c r="H8714" s="911">
        <v>3.6</v>
      </c>
      <c r="I8714" s="912">
        <f>VLOOKUP(E8714,[3]VLP!$B$7:$K$300,10,0)</f>
        <v>5000</v>
      </c>
      <c r="J8714" s="912">
        <f t="shared" si="701"/>
        <v>18000</v>
      </c>
      <c r="K8714" s="912" t="s">
        <v>274</v>
      </c>
      <c r="L8714" s="912"/>
      <c r="M8714" s="912"/>
      <c r="N8714" s="912"/>
      <c r="O8714" s="892">
        <f t="shared" si="695"/>
        <v>0</v>
      </c>
      <c r="P8714" s="903">
        <f t="shared" si="697"/>
        <v>1</v>
      </c>
      <c r="Q8714" s="893">
        <f t="shared" si="698"/>
        <v>7</v>
      </c>
      <c r="R8714" s="894">
        <f t="shared" si="699"/>
        <v>0</v>
      </c>
    </row>
    <row r="8715" spans="1:18" s="847" customFormat="1">
      <c r="A8715" s="905"/>
      <c r="B8715" s="952"/>
      <c r="C8715" s="907">
        <v>237</v>
      </c>
      <c r="D8715" s="907" t="s">
        <v>279</v>
      </c>
      <c r="E8715" s="992" t="s">
        <v>6312</v>
      </c>
      <c r="F8715" s="905" t="s">
        <v>47</v>
      </c>
      <c r="G8715" s="1005"/>
      <c r="H8715" s="911">
        <v>0.1</v>
      </c>
      <c r="I8715" s="912">
        <f>VLOOKUP(E8715,[3]VLP!$B$7:$K$300,10,0)</f>
        <v>4545455</v>
      </c>
      <c r="J8715" s="912">
        <f t="shared" si="701"/>
        <v>454545.5</v>
      </c>
      <c r="K8715" s="912" t="s">
        <v>274</v>
      </c>
      <c r="L8715" s="912"/>
      <c r="M8715" s="912"/>
      <c r="N8715" s="912"/>
      <c r="O8715" s="892">
        <f t="shared" si="695"/>
        <v>0</v>
      </c>
      <c r="P8715" s="903">
        <f t="shared" si="697"/>
        <v>1</v>
      </c>
      <c r="Q8715" s="893">
        <f t="shared" si="698"/>
        <v>6</v>
      </c>
      <c r="R8715" s="894">
        <f t="shared" si="699"/>
        <v>0</v>
      </c>
    </row>
    <row r="8716" spans="1:18" s="904" customFormat="1">
      <c r="A8716" s="905"/>
      <c r="B8716" s="952"/>
      <c r="C8716" s="907">
        <v>699</v>
      </c>
      <c r="D8716" s="907" t="s">
        <v>279</v>
      </c>
      <c r="E8716" s="992" t="s">
        <v>4006</v>
      </c>
      <c r="F8716" s="905" t="s">
        <v>4007</v>
      </c>
      <c r="G8716" s="1005"/>
      <c r="H8716" s="911">
        <v>5</v>
      </c>
      <c r="I8716" s="912">
        <f>VLOOKUP(E8716,[3]VLP!$B$7:$K$300,10,0)</f>
        <v>5000</v>
      </c>
      <c r="J8716" s="912">
        <f t="shared" si="701"/>
        <v>25000</v>
      </c>
      <c r="K8716" s="912" t="s">
        <v>274</v>
      </c>
      <c r="L8716" s="912"/>
      <c r="M8716" s="912"/>
      <c r="N8716" s="912"/>
      <c r="O8716" s="892">
        <f t="shared" si="695"/>
        <v>0</v>
      </c>
      <c r="P8716" s="903">
        <f t="shared" si="697"/>
        <v>1</v>
      </c>
      <c r="Q8716" s="893">
        <f t="shared" si="698"/>
        <v>5</v>
      </c>
      <c r="R8716" s="894">
        <f t="shared" si="699"/>
        <v>0</v>
      </c>
    </row>
    <row r="8717" spans="1:18">
      <c r="A8717" s="895"/>
      <c r="B8717" s="896"/>
      <c r="C8717" s="897"/>
      <c r="D8717" s="897"/>
      <c r="E8717" s="1002" t="s">
        <v>276</v>
      </c>
      <c r="F8717" s="1003"/>
      <c r="G8717" s="1004"/>
      <c r="H8717" s="901"/>
      <c r="I8717" s="902"/>
      <c r="J8717" s="902"/>
      <c r="K8717" s="912" t="s">
        <v>274</v>
      </c>
      <c r="L8717" s="902"/>
      <c r="M8717" s="902"/>
      <c r="N8717" s="902"/>
      <c r="O8717" s="892">
        <f t="shared" si="695"/>
        <v>0</v>
      </c>
      <c r="P8717" s="903">
        <f t="shared" si="697"/>
        <v>1</v>
      </c>
      <c r="Q8717" s="893">
        <f t="shared" si="698"/>
        <v>4</v>
      </c>
      <c r="R8717" s="894">
        <f t="shared" si="699"/>
        <v>0</v>
      </c>
    </row>
    <row r="8718" spans="1:18" s="904" customFormat="1">
      <c r="A8718" s="905"/>
      <c r="B8718" s="952"/>
      <c r="C8718" s="907">
        <v>745</v>
      </c>
      <c r="D8718" s="907" t="s">
        <v>12</v>
      </c>
      <c r="E8718" s="992" t="s">
        <v>5518</v>
      </c>
      <c r="F8718" s="905" t="s">
        <v>2674</v>
      </c>
      <c r="G8718" s="1005"/>
      <c r="H8718" s="911">
        <v>27</v>
      </c>
      <c r="I8718" s="912"/>
      <c r="J8718" s="912"/>
      <c r="K8718" s="912">
        <f>VLOOKUP(E8718,[5]ĐMNC!$A$7:$F$67,4,0)</f>
        <v>240557</v>
      </c>
      <c r="L8718" s="912">
        <f>H8718*K8718</f>
        <v>6495039</v>
      </c>
      <c r="M8718" s="912"/>
      <c r="N8718" s="912"/>
      <c r="O8718" s="892">
        <f t="shared" si="695"/>
        <v>0</v>
      </c>
      <c r="P8718" s="903">
        <f t="shared" si="697"/>
        <v>1</v>
      </c>
      <c r="Q8718" s="893">
        <f t="shared" si="698"/>
        <v>3</v>
      </c>
      <c r="R8718" s="894">
        <f t="shared" si="699"/>
        <v>0</v>
      </c>
    </row>
    <row r="8719" spans="1:18">
      <c r="A8719" s="895"/>
      <c r="B8719" s="896"/>
      <c r="C8719" s="897"/>
      <c r="D8719" s="897"/>
      <c r="E8719" s="1002" t="s">
        <v>3914</v>
      </c>
      <c r="F8719" s="1003"/>
      <c r="G8719" s="1004"/>
      <c r="H8719" s="901"/>
      <c r="I8719" s="902"/>
      <c r="J8719" s="902"/>
      <c r="K8719" s="912" t="s">
        <v>274</v>
      </c>
      <c r="L8719" s="902"/>
      <c r="M8719" s="902"/>
      <c r="N8719" s="902"/>
      <c r="O8719" s="892">
        <f t="shared" si="695"/>
        <v>0</v>
      </c>
      <c r="P8719" s="903">
        <f t="shared" si="697"/>
        <v>1</v>
      </c>
      <c r="Q8719" s="893">
        <f t="shared" si="698"/>
        <v>2</v>
      </c>
      <c r="R8719" s="894">
        <f t="shared" si="699"/>
        <v>0</v>
      </c>
    </row>
    <row r="8720" spans="1:18" s="847" customFormat="1">
      <c r="A8720" s="905"/>
      <c r="B8720" s="946" t="s">
        <v>6321</v>
      </c>
      <c r="C8720" s="907">
        <v>900</v>
      </c>
      <c r="D8720" s="907" t="s">
        <v>93</v>
      </c>
      <c r="E8720" s="992" t="s">
        <v>6322</v>
      </c>
      <c r="F8720" s="905" t="s">
        <v>2673</v>
      </c>
      <c r="G8720" s="1005"/>
      <c r="H8720" s="911">
        <v>0.65</v>
      </c>
      <c r="I8720" s="912"/>
      <c r="J8720" s="912"/>
      <c r="K8720" s="912"/>
      <c r="L8720" s="912"/>
      <c r="M8720" s="912">
        <f>VLOOKUP(B8720,MTC!$B$9:$S$933,12,0)</f>
        <v>1475268</v>
      </c>
      <c r="N8720" s="912">
        <f>M8720*H8720</f>
        <v>958924.20000000007</v>
      </c>
      <c r="O8720" s="892">
        <f t="shared" si="695"/>
        <v>0</v>
      </c>
      <c r="P8720" s="903">
        <f t="shared" si="697"/>
        <v>1</v>
      </c>
      <c r="Q8720" s="893">
        <f t="shared" si="698"/>
        <v>1</v>
      </c>
      <c r="R8720" s="894">
        <f t="shared" si="699"/>
        <v>0</v>
      </c>
    </row>
    <row r="8721" spans="1:18" s="904" customFormat="1" ht="31.5">
      <c r="A8721" s="905">
        <v>15</v>
      </c>
      <c r="B8721" s="914" t="s">
        <v>6358</v>
      </c>
      <c r="C8721" s="915"/>
      <c r="D8721" s="915"/>
      <c r="E8721" s="1006" t="s">
        <v>6359</v>
      </c>
      <c r="F8721" s="1007" t="s">
        <v>160</v>
      </c>
      <c r="G8721" s="1008"/>
      <c r="H8721" s="919"/>
      <c r="I8721" s="920"/>
      <c r="J8721" s="891">
        <f>SUM(J8722:J8733)</f>
        <v>566142.15</v>
      </c>
      <c r="K8721" s="891"/>
      <c r="L8721" s="891">
        <f>SUM(L8722:L8733)</f>
        <v>7014642.1200000001</v>
      </c>
      <c r="M8721" s="891"/>
      <c r="N8721" s="891">
        <f>SUM(N8722:N8733)</f>
        <v>958924.20000000007</v>
      </c>
      <c r="O8721" s="892">
        <f t="shared" si="695"/>
        <v>1</v>
      </c>
      <c r="P8721" s="903">
        <f t="shared" si="697"/>
        <v>0</v>
      </c>
      <c r="Q8721" s="893">
        <f t="shared" si="698"/>
        <v>0</v>
      </c>
      <c r="R8721" s="894">
        <f t="shared" si="699"/>
        <v>12</v>
      </c>
    </row>
    <row r="8722" spans="1:18">
      <c r="A8722" s="895"/>
      <c r="B8722" s="896"/>
      <c r="C8722" s="897"/>
      <c r="D8722" s="897"/>
      <c r="E8722" s="1002" t="s">
        <v>108</v>
      </c>
      <c r="F8722" s="1003"/>
      <c r="G8722" s="1004"/>
      <c r="H8722" s="901"/>
      <c r="I8722" s="902"/>
      <c r="J8722" s="902"/>
      <c r="K8722" s="912" t="s">
        <v>274</v>
      </c>
      <c r="L8722" s="902"/>
      <c r="M8722" s="902"/>
      <c r="N8722" s="902"/>
      <c r="O8722" s="892">
        <f t="shared" si="695"/>
        <v>0</v>
      </c>
      <c r="P8722" s="903">
        <f t="shared" si="697"/>
        <v>1</v>
      </c>
      <c r="Q8722" s="893">
        <f t="shared" si="698"/>
        <v>12</v>
      </c>
      <c r="R8722" s="894">
        <f t="shared" si="699"/>
        <v>0</v>
      </c>
    </row>
    <row r="8723" spans="1:18" s="904" customFormat="1">
      <c r="A8723" s="905"/>
      <c r="B8723" s="952"/>
      <c r="C8723" s="907">
        <v>212</v>
      </c>
      <c r="D8723" s="907" t="s">
        <v>279</v>
      </c>
      <c r="E8723" s="992" t="s">
        <v>2681</v>
      </c>
      <c r="F8723" s="905" t="s">
        <v>45</v>
      </c>
      <c r="G8723" s="1005"/>
      <c r="H8723" s="911">
        <v>0.43</v>
      </c>
      <c r="I8723" s="912">
        <f>VLOOKUP(E8723,[3]VLP!$B$7:$K$300,10,0)</f>
        <v>23000</v>
      </c>
      <c r="J8723" s="912">
        <f t="shared" ref="J8723:J8729" si="702">I8723*H8723</f>
        <v>9890</v>
      </c>
      <c r="K8723" s="912" t="s">
        <v>274</v>
      </c>
      <c r="L8723" s="912"/>
      <c r="M8723" s="912"/>
      <c r="N8723" s="912"/>
      <c r="O8723" s="892">
        <f t="shared" si="695"/>
        <v>0</v>
      </c>
      <c r="P8723" s="903">
        <f t="shared" si="697"/>
        <v>1</v>
      </c>
      <c r="Q8723" s="893">
        <f t="shared" si="698"/>
        <v>11</v>
      </c>
      <c r="R8723" s="894">
        <f t="shared" si="699"/>
        <v>0</v>
      </c>
    </row>
    <row r="8724" spans="1:18">
      <c r="A8724" s="905"/>
      <c r="B8724" s="952"/>
      <c r="C8724" s="907">
        <v>318</v>
      </c>
      <c r="D8724" s="907" t="s">
        <v>279</v>
      </c>
      <c r="E8724" s="992" t="s">
        <v>5657</v>
      </c>
      <c r="F8724" s="905" t="s">
        <v>45</v>
      </c>
      <c r="G8724" s="1005"/>
      <c r="H8724" s="911">
        <v>0.43</v>
      </c>
      <c r="I8724" s="912">
        <f>VLOOKUP(E8724,[3]VLP!$B$7:$K$300,10,0)</f>
        <v>25155</v>
      </c>
      <c r="J8724" s="912">
        <f t="shared" si="702"/>
        <v>10816.65</v>
      </c>
      <c r="K8724" s="912" t="s">
        <v>274</v>
      </c>
      <c r="L8724" s="912"/>
      <c r="M8724" s="912"/>
      <c r="N8724" s="912"/>
      <c r="O8724" s="892">
        <f t="shared" si="695"/>
        <v>0</v>
      </c>
      <c r="P8724" s="903">
        <f t="shared" si="697"/>
        <v>1</v>
      </c>
      <c r="Q8724" s="893">
        <f t="shared" si="698"/>
        <v>10</v>
      </c>
      <c r="R8724" s="894">
        <f t="shared" si="699"/>
        <v>0</v>
      </c>
    </row>
    <row r="8725" spans="1:18" s="847" customFormat="1">
      <c r="A8725" s="905"/>
      <c r="B8725" s="952"/>
      <c r="C8725" s="907">
        <v>234</v>
      </c>
      <c r="D8725" s="907" t="s">
        <v>279</v>
      </c>
      <c r="E8725" s="992" t="s">
        <v>5983</v>
      </c>
      <c r="F8725" s="905" t="s">
        <v>3144</v>
      </c>
      <c r="G8725" s="1005"/>
      <c r="H8725" s="911">
        <v>2</v>
      </c>
      <c r="I8725" s="912">
        <f>VLOOKUP(E8725,[3]VLP!$B$7:$K$300,10,0)</f>
        <v>14000</v>
      </c>
      <c r="J8725" s="912">
        <f t="shared" si="702"/>
        <v>28000</v>
      </c>
      <c r="K8725" s="912" t="s">
        <v>274</v>
      </c>
      <c r="L8725" s="912"/>
      <c r="M8725" s="912"/>
      <c r="N8725" s="912"/>
      <c r="O8725" s="892">
        <f t="shared" si="695"/>
        <v>0</v>
      </c>
      <c r="P8725" s="903">
        <f t="shared" si="697"/>
        <v>1</v>
      </c>
      <c r="Q8725" s="893">
        <f t="shared" si="698"/>
        <v>9</v>
      </c>
      <c r="R8725" s="894">
        <f t="shared" si="699"/>
        <v>0</v>
      </c>
    </row>
    <row r="8726" spans="1:18" s="904" customFormat="1">
      <c r="A8726" s="905"/>
      <c r="B8726" s="952"/>
      <c r="C8726" s="907">
        <v>309</v>
      </c>
      <c r="D8726" s="907" t="s">
        <v>279</v>
      </c>
      <c r="E8726" s="992" t="s">
        <v>3262</v>
      </c>
      <c r="F8726" s="905" t="s">
        <v>45</v>
      </c>
      <c r="G8726" s="1005"/>
      <c r="H8726" s="911">
        <v>0.3</v>
      </c>
      <c r="I8726" s="912">
        <f>VLOOKUP(E8726,[3]VLP!$B$7:$K$300,10,0)</f>
        <v>66300</v>
      </c>
      <c r="J8726" s="912">
        <f t="shared" si="702"/>
        <v>19890</v>
      </c>
      <c r="K8726" s="912" t="s">
        <v>274</v>
      </c>
      <c r="L8726" s="912"/>
      <c r="M8726" s="912"/>
      <c r="N8726" s="912"/>
      <c r="O8726" s="892">
        <f t="shared" si="695"/>
        <v>0</v>
      </c>
      <c r="P8726" s="903">
        <f t="shared" si="697"/>
        <v>1</v>
      </c>
      <c r="Q8726" s="893">
        <f t="shared" si="698"/>
        <v>8</v>
      </c>
      <c r="R8726" s="894">
        <f t="shared" si="699"/>
        <v>0</v>
      </c>
    </row>
    <row r="8727" spans="1:18">
      <c r="A8727" s="905"/>
      <c r="B8727" s="952"/>
      <c r="C8727" s="907">
        <v>235</v>
      </c>
      <c r="D8727" s="907" t="s">
        <v>279</v>
      </c>
      <c r="E8727" s="992" t="s">
        <v>2682</v>
      </c>
      <c r="F8727" s="905" t="s">
        <v>45</v>
      </c>
      <c r="G8727" s="1005"/>
      <c r="H8727" s="911">
        <v>3.6</v>
      </c>
      <c r="I8727" s="912">
        <f>VLOOKUP(E8727,[3]VLP!$B$7:$K$300,10,0)</f>
        <v>5000</v>
      </c>
      <c r="J8727" s="912">
        <f t="shared" si="702"/>
        <v>18000</v>
      </c>
      <c r="K8727" s="912" t="s">
        <v>274</v>
      </c>
      <c r="L8727" s="912"/>
      <c r="M8727" s="912"/>
      <c r="N8727" s="912"/>
      <c r="O8727" s="892">
        <f t="shared" si="695"/>
        <v>0</v>
      </c>
      <c r="P8727" s="903">
        <f t="shared" si="697"/>
        <v>1</v>
      </c>
      <c r="Q8727" s="893">
        <f t="shared" si="698"/>
        <v>7</v>
      </c>
      <c r="R8727" s="894">
        <f t="shared" si="699"/>
        <v>0</v>
      </c>
    </row>
    <row r="8728" spans="1:18" s="904" customFormat="1">
      <c r="A8728" s="905"/>
      <c r="B8728" s="952"/>
      <c r="C8728" s="907">
        <v>237</v>
      </c>
      <c r="D8728" s="907" t="s">
        <v>279</v>
      </c>
      <c r="E8728" s="992" t="s">
        <v>6312</v>
      </c>
      <c r="F8728" s="905" t="s">
        <v>47</v>
      </c>
      <c r="G8728" s="1005"/>
      <c r="H8728" s="911">
        <v>0.1</v>
      </c>
      <c r="I8728" s="912">
        <f>VLOOKUP(E8728,[3]VLP!$B$7:$K$300,10,0)</f>
        <v>4545455</v>
      </c>
      <c r="J8728" s="912">
        <f t="shared" si="702"/>
        <v>454545.5</v>
      </c>
      <c r="K8728" s="912" t="s">
        <v>274</v>
      </c>
      <c r="L8728" s="912"/>
      <c r="M8728" s="912"/>
      <c r="N8728" s="912"/>
      <c r="O8728" s="892">
        <f t="shared" si="695"/>
        <v>0</v>
      </c>
      <c r="P8728" s="903">
        <f t="shared" si="697"/>
        <v>1</v>
      </c>
      <c r="Q8728" s="893">
        <f t="shared" si="698"/>
        <v>6</v>
      </c>
      <c r="R8728" s="894">
        <f t="shared" si="699"/>
        <v>0</v>
      </c>
    </row>
    <row r="8729" spans="1:18">
      <c r="A8729" s="905"/>
      <c r="B8729" s="952"/>
      <c r="C8729" s="907">
        <v>699</v>
      </c>
      <c r="D8729" s="907" t="s">
        <v>279</v>
      </c>
      <c r="E8729" s="992" t="s">
        <v>4006</v>
      </c>
      <c r="F8729" s="905" t="s">
        <v>4007</v>
      </c>
      <c r="G8729" s="1005"/>
      <c r="H8729" s="911">
        <v>5</v>
      </c>
      <c r="I8729" s="912">
        <f>VLOOKUP(E8729,[3]VLP!$B$7:$K$300,10,0)</f>
        <v>5000</v>
      </c>
      <c r="J8729" s="912">
        <f t="shared" si="702"/>
        <v>25000</v>
      </c>
      <c r="K8729" s="912" t="s">
        <v>274</v>
      </c>
      <c r="L8729" s="912"/>
      <c r="M8729" s="912"/>
      <c r="N8729" s="912"/>
      <c r="O8729" s="892">
        <f t="shared" si="695"/>
        <v>0</v>
      </c>
      <c r="P8729" s="903">
        <f t="shared" si="697"/>
        <v>1</v>
      </c>
      <c r="Q8729" s="893">
        <f t="shared" si="698"/>
        <v>5</v>
      </c>
      <c r="R8729" s="894">
        <f t="shared" si="699"/>
        <v>0</v>
      </c>
    </row>
    <row r="8730" spans="1:18" s="847" customFormat="1">
      <c r="A8730" s="895"/>
      <c r="B8730" s="896"/>
      <c r="C8730" s="897"/>
      <c r="D8730" s="897"/>
      <c r="E8730" s="1002" t="s">
        <v>276</v>
      </c>
      <c r="F8730" s="1003"/>
      <c r="G8730" s="1004"/>
      <c r="H8730" s="901"/>
      <c r="I8730" s="902"/>
      <c r="J8730" s="902"/>
      <c r="K8730" s="912" t="s">
        <v>274</v>
      </c>
      <c r="L8730" s="902"/>
      <c r="M8730" s="902"/>
      <c r="N8730" s="902"/>
      <c r="O8730" s="892">
        <f t="shared" si="695"/>
        <v>0</v>
      </c>
      <c r="P8730" s="903">
        <f t="shared" si="697"/>
        <v>1</v>
      </c>
      <c r="Q8730" s="893">
        <f t="shared" si="698"/>
        <v>4</v>
      </c>
      <c r="R8730" s="894">
        <f t="shared" si="699"/>
        <v>0</v>
      </c>
    </row>
    <row r="8731" spans="1:18" s="904" customFormat="1">
      <c r="A8731" s="905"/>
      <c r="B8731" s="952"/>
      <c r="C8731" s="907">
        <v>745</v>
      </c>
      <c r="D8731" s="907" t="s">
        <v>12</v>
      </c>
      <c r="E8731" s="992" t="s">
        <v>5518</v>
      </c>
      <c r="F8731" s="905" t="s">
        <v>2674</v>
      </c>
      <c r="G8731" s="1005"/>
      <c r="H8731" s="911">
        <v>29.16</v>
      </c>
      <c r="I8731" s="912"/>
      <c r="J8731" s="912"/>
      <c r="K8731" s="912">
        <f>VLOOKUP(E8731,[5]ĐMNC!$A$7:$F$67,4,0)</f>
        <v>240557</v>
      </c>
      <c r="L8731" s="912">
        <f>H8731*K8731</f>
        <v>7014642.1200000001</v>
      </c>
      <c r="M8731" s="912"/>
      <c r="N8731" s="912"/>
      <c r="O8731" s="892">
        <f t="shared" si="695"/>
        <v>0</v>
      </c>
      <c r="P8731" s="903">
        <f t="shared" si="697"/>
        <v>1</v>
      </c>
      <c r="Q8731" s="893">
        <f t="shared" si="698"/>
        <v>3</v>
      </c>
      <c r="R8731" s="894">
        <f t="shared" si="699"/>
        <v>0</v>
      </c>
    </row>
    <row r="8732" spans="1:18">
      <c r="A8732" s="895"/>
      <c r="B8732" s="896"/>
      <c r="C8732" s="897"/>
      <c r="D8732" s="897"/>
      <c r="E8732" s="1002" t="s">
        <v>3914</v>
      </c>
      <c r="F8732" s="1003"/>
      <c r="G8732" s="1004"/>
      <c r="H8732" s="901"/>
      <c r="I8732" s="902"/>
      <c r="J8732" s="902"/>
      <c r="K8732" s="912" t="s">
        <v>274</v>
      </c>
      <c r="L8732" s="902"/>
      <c r="M8732" s="902"/>
      <c r="N8732" s="902"/>
      <c r="O8732" s="892">
        <f t="shared" si="695"/>
        <v>0</v>
      </c>
      <c r="P8732" s="903">
        <f t="shared" si="697"/>
        <v>1</v>
      </c>
      <c r="Q8732" s="893">
        <f t="shared" si="698"/>
        <v>2</v>
      </c>
      <c r="R8732" s="894">
        <f t="shared" si="699"/>
        <v>0</v>
      </c>
    </row>
    <row r="8733" spans="1:18" s="904" customFormat="1">
      <c r="A8733" s="905"/>
      <c r="B8733" s="946" t="s">
        <v>6321</v>
      </c>
      <c r="C8733" s="907">
        <v>900</v>
      </c>
      <c r="D8733" s="907" t="s">
        <v>93</v>
      </c>
      <c r="E8733" s="992" t="s">
        <v>6322</v>
      </c>
      <c r="F8733" s="905" t="s">
        <v>2673</v>
      </c>
      <c r="G8733" s="1005"/>
      <c r="H8733" s="911">
        <v>0.65</v>
      </c>
      <c r="I8733" s="912"/>
      <c r="J8733" s="912"/>
      <c r="K8733" s="912"/>
      <c r="L8733" s="912"/>
      <c r="M8733" s="912">
        <f>VLOOKUP(B8733,MTC!$B$9:$S$933,12,0)</f>
        <v>1475268</v>
      </c>
      <c r="N8733" s="912">
        <f>M8733*H8733</f>
        <v>958924.20000000007</v>
      </c>
      <c r="O8733" s="892">
        <f t="shared" si="695"/>
        <v>0</v>
      </c>
      <c r="P8733" s="903">
        <f t="shared" si="697"/>
        <v>1</v>
      </c>
      <c r="Q8733" s="893">
        <f t="shared" si="698"/>
        <v>1</v>
      </c>
      <c r="R8733" s="894">
        <f t="shared" si="699"/>
        <v>0</v>
      </c>
    </row>
    <row r="8734" spans="1:18" ht="31.5">
      <c r="A8734" s="905" t="s">
        <v>6360</v>
      </c>
      <c r="B8734" s="914" t="s">
        <v>6361</v>
      </c>
      <c r="C8734" s="915"/>
      <c r="D8734" s="915"/>
      <c r="E8734" s="1006" t="s">
        <v>6362</v>
      </c>
      <c r="F8734" s="1007" t="s">
        <v>139</v>
      </c>
      <c r="G8734" s="1008"/>
      <c r="H8734" s="919"/>
      <c r="I8734" s="920"/>
      <c r="J8734" s="891">
        <f>SUM(J8735:J8747)</f>
        <v>975282</v>
      </c>
      <c r="K8734" s="891"/>
      <c r="L8734" s="891">
        <f>SUM(L8735:L8747)</f>
        <v>740915.56</v>
      </c>
      <c r="M8734" s="891"/>
      <c r="N8734" s="891">
        <f>SUM(N8735:N8747)</f>
        <v>383569.68</v>
      </c>
      <c r="O8734" s="892">
        <f t="shared" si="695"/>
        <v>1</v>
      </c>
      <c r="P8734" s="903">
        <f t="shared" si="697"/>
        <v>0</v>
      </c>
      <c r="Q8734" s="893">
        <f t="shared" si="698"/>
        <v>0</v>
      </c>
      <c r="R8734" s="894">
        <f t="shared" si="699"/>
        <v>13</v>
      </c>
    </row>
    <row r="8735" spans="1:18" s="847" customFormat="1">
      <c r="A8735" s="895"/>
      <c r="B8735" s="922"/>
      <c r="C8735" s="897"/>
      <c r="D8735" s="897"/>
      <c r="E8735" s="1002" t="s">
        <v>108</v>
      </c>
      <c r="F8735" s="1003"/>
      <c r="G8735" s="1004"/>
      <c r="H8735" s="901"/>
      <c r="I8735" s="902"/>
      <c r="J8735" s="902"/>
      <c r="K8735" s="912" t="s">
        <v>274</v>
      </c>
      <c r="L8735" s="902"/>
      <c r="M8735" s="902"/>
      <c r="N8735" s="902"/>
      <c r="O8735" s="892">
        <f t="shared" ref="O8735:O8798" si="703">IF(AND(B8735&lt;&gt;"",D8735=""),1,0)</f>
        <v>0</v>
      </c>
      <c r="P8735" s="903">
        <f t="shared" si="697"/>
        <v>1</v>
      </c>
      <c r="Q8735" s="893">
        <f t="shared" si="698"/>
        <v>13</v>
      </c>
      <c r="R8735" s="894">
        <f t="shared" si="699"/>
        <v>0</v>
      </c>
    </row>
    <row r="8736" spans="1:18" s="904" customFormat="1">
      <c r="A8736" s="905"/>
      <c r="B8736" s="952"/>
      <c r="C8736" s="907">
        <v>212</v>
      </c>
      <c r="D8736" s="907" t="s">
        <v>279</v>
      </c>
      <c r="E8736" s="992" t="s">
        <v>2681</v>
      </c>
      <c r="F8736" s="905" t="s">
        <v>45</v>
      </c>
      <c r="G8736" s="1005"/>
      <c r="H8736" s="911">
        <v>0.3</v>
      </c>
      <c r="I8736" s="912">
        <f>VLOOKUP(E8736,[3]VLP!$B$7:$K$300,10,0)</f>
        <v>23000</v>
      </c>
      <c r="J8736" s="912">
        <f t="shared" ref="J8736:J8743" si="704">I8736*H8736</f>
        <v>6900</v>
      </c>
      <c r="K8736" s="912" t="s">
        <v>274</v>
      </c>
      <c r="L8736" s="912"/>
      <c r="M8736" s="912"/>
      <c r="N8736" s="912"/>
      <c r="O8736" s="892">
        <f t="shared" si="703"/>
        <v>0</v>
      </c>
      <c r="P8736" s="903">
        <f t="shared" si="697"/>
        <v>1</v>
      </c>
      <c r="Q8736" s="893">
        <f t="shared" si="698"/>
        <v>12</v>
      </c>
      <c r="R8736" s="894">
        <f t="shared" si="699"/>
        <v>0</v>
      </c>
    </row>
    <row r="8737" spans="1:18">
      <c r="A8737" s="905"/>
      <c r="B8737" s="952"/>
      <c r="C8737" s="907">
        <v>238</v>
      </c>
      <c r="D8737" s="907" t="s">
        <v>279</v>
      </c>
      <c r="E8737" s="992" t="s">
        <v>6363</v>
      </c>
      <c r="F8737" s="905" t="s">
        <v>45</v>
      </c>
      <c r="G8737" s="1005"/>
      <c r="H8737" s="911">
        <v>0.1</v>
      </c>
      <c r="I8737" s="912">
        <f>VLOOKUP(E8737,[3]VLP!$B$7:$K$300,10,0)</f>
        <v>40000</v>
      </c>
      <c r="J8737" s="912">
        <f t="shared" si="704"/>
        <v>4000</v>
      </c>
      <c r="K8737" s="912" t="s">
        <v>274</v>
      </c>
      <c r="L8737" s="912"/>
      <c r="M8737" s="912"/>
      <c r="N8737" s="912"/>
      <c r="O8737" s="892">
        <f t="shared" si="703"/>
        <v>0</v>
      </c>
      <c r="P8737" s="903">
        <f t="shared" si="697"/>
        <v>1</v>
      </c>
      <c r="Q8737" s="893">
        <f t="shared" si="698"/>
        <v>11</v>
      </c>
      <c r="R8737" s="894">
        <f t="shared" si="699"/>
        <v>0</v>
      </c>
    </row>
    <row r="8738" spans="1:18" s="847" customFormat="1">
      <c r="A8738" s="905"/>
      <c r="B8738" s="952"/>
      <c r="C8738" s="907">
        <v>318</v>
      </c>
      <c r="D8738" s="907" t="s">
        <v>279</v>
      </c>
      <c r="E8738" s="992" t="s">
        <v>5657</v>
      </c>
      <c r="F8738" s="905" t="s">
        <v>45</v>
      </c>
      <c r="G8738" s="1005"/>
      <c r="H8738" s="911">
        <v>0.2</v>
      </c>
      <c r="I8738" s="912">
        <f>VLOOKUP(E8738,[3]VLP!$B$7:$K$300,10,0)</f>
        <v>25155</v>
      </c>
      <c r="J8738" s="912">
        <f t="shared" si="704"/>
        <v>5031</v>
      </c>
      <c r="K8738" s="912" t="s">
        <v>274</v>
      </c>
      <c r="L8738" s="912"/>
      <c r="M8738" s="912"/>
      <c r="N8738" s="912"/>
      <c r="O8738" s="892">
        <f t="shared" si="703"/>
        <v>0</v>
      </c>
      <c r="P8738" s="903">
        <f t="shared" si="697"/>
        <v>1</v>
      </c>
      <c r="Q8738" s="893">
        <f t="shared" si="698"/>
        <v>10</v>
      </c>
      <c r="R8738" s="894">
        <f t="shared" si="699"/>
        <v>0</v>
      </c>
    </row>
    <row r="8739" spans="1:18" s="904" customFormat="1">
      <c r="A8739" s="905"/>
      <c r="B8739" s="952"/>
      <c r="C8739" s="907">
        <v>234</v>
      </c>
      <c r="D8739" s="907" t="s">
        <v>279</v>
      </c>
      <c r="E8739" s="992" t="s">
        <v>5983</v>
      </c>
      <c r="F8739" s="905" t="s">
        <v>3144</v>
      </c>
      <c r="G8739" s="1005"/>
      <c r="H8739" s="911">
        <v>0.5</v>
      </c>
      <c r="I8739" s="912">
        <f>VLOOKUP(E8739,[3]VLP!$B$7:$K$300,10,0)</f>
        <v>14000</v>
      </c>
      <c r="J8739" s="912">
        <f t="shared" si="704"/>
        <v>7000</v>
      </c>
      <c r="K8739" s="912" t="s">
        <v>274</v>
      </c>
      <c r="L8739" s="912"/>
      <c r="M8739" s="912"/>
      <c r="N8739" s="912"/>
      <c r="O8739" s="892">
        <f t="shared" si="703"/>
        <v>0</v>
      </c>
      <c r="P8739" s="903">
        <f t="shared" si="697"/>
        <v>1</v>
      </c>
      <c r="Q8739" s="893">
        <f t="shared" si="698"/>
        <v>9</v>
      </c>
      <c r="R8739" s="894">
        <f t="shared" si="699"/>
        <v>0</v>
      </c>
    </row>
    <row r="8740" spans="1:18">
      <c r="A8740" s="905"/>
      <c r="B8740" s="952"/>
      <c r="C8740" s="907">
        <v>309</v>
      </c>
      <c r="D8740" s="907" t="s">
        <v>279</v>
      </c>
      <c r="E8740" s="992" t="s">
        <v>3262</v>
      </c>
      <c r="F8740" s="905" t="s">
        <v>45</v>
      </c>
      <c r="G8740" s="1005"/>
      <c r="H8740" s="911">
        <v>0.2</v>
      </c>
      <c r="I8740" s="912">
        <f>VLOOKUP(E8740,[3]VLP!$B$7:$K$300,10,0)</f>
        <v>66300</v>
      </c>
      <c r="J8740" s="912">
        <f t="shared" si="704"/>
        <v>13260</v>
      </c>
      <c r="K8740" s="912" t="s">
        <v>274</v>
      </c>
      <c r="L8740" s="912"/>
      <c r="M8740" s="912"/>
      <c r="N8740" s="912"/>
      <c r="O8740" s="892">
        <f t="shared" si="703"/>
        <v>0</v>
      </c>
      <c r="P8740" s="903">
        <f t="shared" si="697"/>
        <v>1</v>
      </c>
      <c r="Q8740" s="893">
        <f t="shared" si="698"/>
        <v>8</v>
      </c>
      <c r="R8740" s="894">
        <f t="shared" si="699"/>
        <v>0</v>
      </c>
    </row>
    <row r="8741" spans="1:18" s="847" customFormat="1">
      <c r="A8741" s="905"/>
      <c r="B8741" s="952"/>
      <c r="C8741" s="907">
        <v>235</v>
      </c>
      <c r="D8741" s="907" t="s">
        <v>279</v>
      </c>
      <c r="E8741" s="992" t="s">
        <v>2682</v>
      </c>
      <c r="F8741" s="905" t="s">
        <v>45</v>
      </c>
      <c r="G8741" s="1005"/>
      <c r="H8741" s="911">
        <v>1</v>
      </c>
      <c r="I8741" s="912">
        <f>VLOOKUP(E8741,[3]VLP!$B$7:$K$300,10,0)</f>
        <v>5000</v>
      </c>
      <c r="J8741" s="912">
        <f t="shared" si="704"/>
        <v>5000</v>
      </c>
      <c r="K8741" s="912" t="s">
        <v>274</v>
      </c>
      <c r="L8741" s="912"/>
      <c r="M8741" s="912"/>
      <c r="N8741" s="912"/>
      <c r="O8741" s="892">
        <f t="shared" si="703"/>
        <v>0</v>
      </c>
      <c r="P8741" s="903">
        <f t="shared" si="697"/>
        <v>1</v>
      </c>
      <c r="Q8741" s="893">
        <f t="shared" si="698"/>
        <v>7</v>
      </c>
      <c r="R8741" s="894">
        <f t="shared" si="699"/>
        <v>0</v>
      </c>
    </row>
    <row r="8742" spans="1:18" s="904" customFormat="1">
      <c r="A8742" s="905"/>
      <c r="B8742" s="952"/>
      <c r="C8742" s="907">
        <v>237</v>
      </c>
      <c r="D8742" s="907" t="s">
        <v>279</v>
      </c>
      <c r="E8742" s="992" t="s">
        <v>6312</v>
      </c>
      <c r="F8742" s="905" t="s">
        <v>47</v>
      </c>
      <c r="G8742" s="1005"/>
      <c r="H8742" s="911">
        <v>0.2</v>
      </c>
      <c r="I8742" s="912">
        <f>VLOOKUP(E8742,[3]VLP!$B$7:$K$300,10,0)</f>
        <v>4545455</v>
      </c>
      <c r="J8742" s="912">
        <f t="shared" si="704"/>
        <v>909091</v>
      </c>
      <c r="K8742" s="912" t="s">
        <v>274</v>
      </c>
      <c r="L8742" s="912"/>
      <c r="M8742" s="912"/>
      <c r="N8742" s="912"/>
      <c r="O8742" s="892">
        <f t="shared" si="703"/>
        <v>0</v>
      </c>
      <c r="P8742" s="903">
        <f t="shared" si="697"/>
        <v>1</v>
      </c>
      <c r="Q8742" s="893">
        <f t="shared" si="698"/>
        <v>6</v>
      </c>
      <c r="R8742" s="894">
        <f t="shared" si="699"/>
        <v>0</v>
      </c>
    </row>
    <row r="8743" spans="1:18">
      <c r="A8743" s="905"/>
      <c r="B8743" s="952"/>
      <c r="C8743" s="907">
        <v>699</v>
      </c>
      <c r="D8743" s="907" t="s">
        <v>279</v>
      </c>
      <c r="E8743" s="992" t="s">
        <v>4006</v>
      </c>
      <c r="F8743" s="905" t="s">
        <v>4007</v>
      </c>
      <c r="G8743" s="1005"/>
      <c r="H8743" s="911">
        <v>5</v>
      </c>
      <c r="I8743" s="912">
        <f>VLOOKUP(E8743,[3]VLP!$B$7:$K$300,10,0)</f>
        <v>5000</v>
      </c>
      <c r="J8743" s="912">
        <f t="shared" si="704"/>
        <v>25000</v>
      </c>
      <c r="K8743" s="912" t="s">
        <v>274</v>
      </c>
      <c r="L8743" s="912"/>
      <c r="M8743" s="912"/>
      <c r="N8743" s="912"/>
      <c r="O8743" s="892">
        <f t="shared" si="703"/>
        <v>0</v>
      </c>
      <c r="P8743" s="903">
        <f t="shared" si="697"/>
        <v>1</v>
      </c>
      <c r="Q8743" s="893">
        <f t="shared" si="698"/>
        <v>5</v>
      </c>
      <c r="R8743" s="894">
        <f t="shared" si="699"/>
        <v>0</v>
      </c>
    </row>
    <row r="8744" spans="1:18" s="847" customFormat="1">
      <c r="A8744" s="895"/>
      <c r="B8744" s="896"/>
      <c r="C8744" s="897"/>
      <c r="D8744" s="897"/>
      <c r="E8744" s="1002" t="s">
        <v>276</v>
      </c>
      <c r="F8744" s="1003"/>
      <c r="G8744" s="1004"/>
      <c r="H8744" s="901"/>
      <c r="I8744" s="902"/>
      <c r="J8744" s="902"/>
      <c r="K8744" s="912" t="s">
        <v>274</v>
      </c>
      <c r="L8744" s="902"/>
      <c r="M8744" s="902"/>
      <c r="N8744" s="902"/>
      <c r="O8744" s="892">
        <f t="shared" si="703"/>
        <v>0</v>
      </c>
      <c r="P8744" s="903">
        <f t="shared" si="697"/>
        <v>1</v>
      </c>
      <c r="Q8744" s="893">
        <f t="shared" si="698"/>
        <v>4</v>
      </c>
      <c r="R8744" s="894">
        <f t="shared" si="699"/>
        <v>0</v>
      </c>
    </row>
    <row r="8745" spans="1:18" s="904" customFormat="1">
      <c r="A8745" s="905"/>
      <c r="B8745" s="952"/>
      <c r="C8745" s="907">
        <v>745</v>
      </c>
      <c r="D8745" s="907" t="s">
        <v>12</v>
      </c>
      <c r="E8745" s="992" t="s">
        <v>5518</v>
      </c>
      <c r="F8745" s="905" t="s">
        <v>2674</v>
      </c>
      <c r="G8745" s="1005"/>
      <c r="H8745" s="911">
        <v>3.08</v>
      </c>
      <c r="I8745" s="912"/>
      <c r="J8745" s="912"/>
      <c r="K8745" s="912">
        <f>VLOOKUP(E8745,[5]ĐMNC!$A$7:$F$67,4,0)</f>
        <v>240557</v>
      </c>
      <c r="L8745" s="912">
        <f>H8745*K8745</f>
        <v>740915.56</v>
      </c>
      <c r="M8745" s="912"/>
      <c r="N8745" s="912"/>
      <c r="O8745" s="892">
        <f t="shared" si="703"/>
        <v>0</v>
      </c>
      <c r="P8745" s="903">
        <f t="shared" si="697"/>
        <v>1</v>
      </c>
      <c r="Q8745" s="893">
        <f t="shared" si="698"/>
        <v>3</v>
      </c>
      <c r="R8745" s="894">
        <f t="shared" si="699"/>
        <v>0</v>
      </c>
    </row>
    <row r="8746" spans="1:18">
      <c r="A8746" s="895"/>
      <c r="B8746" s="896"/>
      <c r="C8746" s="897"/>
      <c r="D8746" s="897"/>
      <c r="E8746" s="1002" t="s">
        <v>3914</v>
      </c>
      <c r="F8746" s="1003"/>
      <c r="G8746" s="1004"/>
      <c r="H8746" s="901"/>
      <c r="I8746" s="902"/>
      <c r="J8746" s="902"/>
      <c r="K8746" s="912" t="s">
        <v>274</v>
      </c>
      <c r="L8746" s="902"/>
      <c r="M8746" s="902"/>
      <c r="N8746" s="902"/>
      <c r="O8746" s="892">
        <f t="shared" si="703"/>
        <v>0</v>
      </c>
      <c r="P8746" s="903">
        <f t="shared" si="697"/>
        <v>1</v>
      </c>
      <c r="Q8746" s="893">
        <f t="shared" si="698"/>
        <v>2</v>
      </c>
      <c r="R8746" s="894">
        <f t="shared" si="699"/>
        <v>0</v>
      </c>
    </row>
    <row r="8747" spans="1:18" s="847" customFormat="1">
      <c r="A8747" s="905"/>
      <c r="B8747" s="946" t="s">
        <v>6321</v>
      </c>
      <c r="C8747" s="907">
        <v>900</v>
      </c>
      <c r="D8747" s="907" t="s">
        <v>93</v>
      </c>
      <c r="E8747" s="992" t="s">
        <v>6322</v>
      </c>
      <c r="F8747" s="905" t="s">
        <v>2673</v>
      </c>
      <c r="G8747" s="1005"/>
      <c r="H8747" s="911">
        <v>0.26</v>
      </c>
      <c r="I8747" s="912"/>
      <c r="J8747" s="912"/>
      <c r="K8747" s="912"/>
      <c r="L8747" s="912"/>
      <c r="M8747" s="912">
        <f>VLOOKUP(B8747,MTC!$B$9:$S$933,12,0)</f>
        <v>1475268</v>
      </c>
      <c r="N8747" s="912">
        <f>M8747*H8747</f>
        <v>383569.68</v>
      </c>
      <c r="O8747" s="892">
        <f t="shared" si="703"/>
        <v>0</v>
      </c>
      <c r="P8747" s="903">
        <f t="shared" si="697"/>
        <v>1</v>
      </c>
      <c r="Q8747" s="893">
        <f t="shared" si="698"/>
        <v>1</v>
      </c>
      <c r="R8747" s="894">
        <f t="shared" si="699"/>
        <v>0</v>
      </c>
    </row>
    <row r="8748" spans="1:18" s="904" customFormat="1" ht="31.5">
      <c r="A8748" s="905">
        <v>17</v>
      </c>
      <c r="B8748" s="914" t="s">
        <v>6364</v>
      </c>
      <c r="C8748" s="915"/>
      <c r="D8748" s="915"/>
      <c r="E8748" s="1006" t="s">
        <v>6365</v>
      </c>
      <c r="F8748" s="1007" t="s">
        <v>139</v>
      </c>
      <c r="G8748" s="1008"/>
      <c r="H8748" s="919"/>
      <c r="I8748" s="920"/>
      <c r="J8748" s="891">
        <f>SUM(J8749:J8761)</f>
        <v>980597.5</v>
      </c>
      <c r="K8748" s="891"/>
      <c r="L8748" s="891">
        <f>SUM(L8749:L8761)</f>
        <v>834732.79</v>
      </c>
      <c r="M8748" s="891"/>
      <c r="N8748" s="891">
        <f>SUM(N8749:N8761)</f>
        <v>383569.68</v>
      </c>
      <c r="O8748" s="892">
        <f t="shared" si="703"/>
        <v>1</v>
      </c>
      <c r="P8748" s="903">
        <f t="shared" si="697"/>
        <v>0</v>
      </c>
      <c r="Q8748" s="893">
        <f t="shared" si="698"/>
        <v>0</v>
      </c>
      <c r="R8748" s="894">
        <f t="shared" si="699"/>
        <v>13</v>
      </c>
    </row>
    <row r="8749" spans="1:18">
      <c r="A8749" s="895"/>
      <c r="B8749" s="896"/>
      <c r="C8749" s="897"/>
      <c r="D8749" s="897"/>
      <c r="E8749" s="1002" t="s">
        <v>108</v>
      </c>
      <c r="F8749" s="1003"/>
      <c r="G8749" s="1004"/>
      <c r="H8749" s="901"/>
      <c r="I8749" s="902"/>
      <c r="J8749" s="902"/>
      <c r="K8749" s="912" t="s">
        <v>274</v>
      </c>
      <c r="L8749" s="902"/>
      <c r="M8749" s="902"/>
      <c r="N8749" s="902"/>
      <c r="O8749" s="892">
        <f t="shared" si="703"/>
        <v>0</v>
      </c>
      <c r="P8749" s="903">
        <f t="shared" si="697"/>
        <v>1</v>
      </c>
      <c r="Q8749" s="893">
        <f t="shared" si="698"/>
        <v>13</v>
      </c>
      <c r="R8749" s="894">
        <f t="shared" si="699"/>
        <v>0</v>
      </c>
    </row>
    <row r="8750" spans="1:18" s="847" customFormat="1">
      <c r="A8750" s="905"/>
      <c r="B8750" s="952"/>
      <c r="C8750" s="907">
        <v>212</v>
      </c>
      <c r="D8750" s="907" t="s">
        <v>279</v>
      </c>
      <c r="E8750" s="992" t="s">
        <v>2681</v>
      </c>
      <c r="F8750" s="905" t="s">
        <v>45</v>
      </c>
      <c r="G8750" s="1005"/>
      <c r="H8750" s="911">
        <v>0.3</v>
      </c>
      <c r="I8750" s="912">
        <f>VLOOKUP(E8750,[3]VLP!$B$7:$K$300,10,0)</f>
        <v>23000</v>
      </c>
      <c r="J8750" s="912">
        <f t="shared" ref="J8750:J8757" si="705">I8750*H8750</f>
        <v>6900</v>
      </c>
      <c r="K8750" s="912" t="s">
        <v>274</v>
      </c>
      <c r="L8750" s="912"/>
      <c r="M8750" s="912"/>
      <c r="N8750" s="912"/>
      <c r="O8750" s="892">
        <f t="shared" si="703"/>
        <v>0</v>
      </c>
      <c r="P8750" s="903">
        <f t="shared" si="697"/>
        <v>1</v>
      </c>
      <c r="Q8750" s="893">
        <f t="shared" si="698"/>
        <v>12</v>
      </c>
      <c r="R8750" s="894">
        <f t="shared" si="699"/>
        <v>0</v>
      </c>
    </row>
    <row r="8751" spans="1:18" s="904" customFormat="1">
      <c r="A8751" s="905"/>
      <c r="B8751" s="952"/>
      <c r="C8751" s="907">
        <v>238</v>
      </c>
      <c r="D8751" s="907" t="s">
        <v>279</v>
      </c>
      <c r="E8751" s="992" t="s">
        <v>6363</v>
      </c>
      <c r="F8751" s="905" t="s">
        <v>45</v>
      </c>
      <c r="G8751" s="1005"/>
      <c r="H8751" s="911">
        <v>0.1</v>
      </c>
      <c r="I8751" s="912">
        <f>VLOOKUP(E8751,[3]VLP!$B$7:$K$300,10,0)</f>
        <v>40000</v>
      </c>
      <c r="J8751" s="912">
        <f t="shared" si="705"/>
        <v>4000</v>
      </c>
      <c r="K8751" s="912" t="s">
        <v>274</v>
      </c>
      <c r="L8751" s="912"/>
      <c r="M8751" s="912"/>
      <c r="N8751" s="912"/>
      <c r="O8751" s="892">
        <f t="shared" si="703"/>
        <v>0</v>
      </c>
      <c r="P8751" s="903">
        <f t="shared" si="697"/>
        <v>1</v>
      </c>
      <c r="Q8751" s="893">
        <f t="shared" si="698"/>
        <v>11</v>
      </c>
      <c r="R8751" s="894">
        <f t="shared" si="699"/>
        <v>0</v>
      </c>
    </row>
    <row r="8752" spans="1:18">
      <c r="A8752" s="905"/>
      <c r="B8752" s="952"/>
      <c r="C8752" s="907">
        <v>318</v>
      </c>
      <c r="D8752" s="907" t="s">
        <v>279</v>
      </c>
      <c r="E8752" s="992" t="s">
        <v>5657</v>
      </c>
      <c r="F8752" s="905" t="s">
        <v>45</v>
      </c>
      <c r="G8752" s="1005"/>
      <c r="H8752" s="911">
        <v>0.3</v>
      </c>
      <c r="I8752" s="912">
        <f>VLOOKUP(E8752,[3]VLP!$B$7:$K$300,10,0)</f>
        <v>25155</v>
      </c>
      <c r="J8752" s="912">
        <f t="shared" si="705"/>
        <v>7546.5</v>
      </c>
      <c r="K8752" s="912" t="s">
        <v>274</v>
      </c>
      <c r="L8752" s="912"/>
      <c r="M8752" s="912"/>
      <c r="N8752" s="912"/>
      <c r="O8752" s="892">
        <f t="shared" si="703"/>
        <v>0</v>
      </c>
      <c r="P8752" s="903">
        <f t="shared" si="697"/>
        <v>1</v>
      </c>
      <c r="Q8752" s="893">
        <f t="shared" si="698"/>
        <v>10</v>
      </c>
      <c r="R8752" s="894">
        <f t="shared" si="699"/>
        <v>0</v>
      </c>
    </row>
    <row r="8753" spans="1:18" s="847" customFormat="1">
      <c r="A8753" s="905"/>
      <c r="B8753" s="952"/>
      <c r="C8753" s="907">
        <v>234</v>
      </c>
      <c r="D8753" s="907" t="s">
        <v>279</v>
      </c>
      <c r="E8753" s="992" t="s">
        <v>5983</v>
      </c>
      <c r="F8753" s="905" t="s">
        <v>3144</v>
      </c>
      <c r="G8753" s="1005"/>
      <c r="H8753" s="911">
        <v>0.7</v>
      </c>
      <c r="I8753" s="912">
        <f>VLOOKUP(E8753,[3]VLP!$B$7:$K$300,10,0)</f>
        <v>14000</v>
      </c>
      <c r="J8753" s="912">
        <f t="shared" si="705"/>
        <v>9800</v>
      </c>
      <c r="K8753" s="912" t="s">
        <v>274</v>
      </c>
      <c r="L8753" s="912"/>
      <c r="M8753" s="912"/>
      <c r="N8753" s="912"/>
      <c r="O8753" s="892">
        <f t="shared" si="703"/>
        <v>0</v>
      </c>
      <c r="P8753" s="903">
        <f t="shared" si="697"/>
        <v>1</v>
      </c>
      <c r="Q8753" s="893">
        <f t="shared" si="698"/>
        <v>9</v>
      </c>
      <c r="R8753" s="894">
        <f t="shared" si="699"/>
        <v>0</v>
      </c>
    </row>
    <row r="8754" spans="1:18" s="904" customFormat="1">
      <c r="A8754" s="905"/>
      <c r="B8754" s="952"/>
      <c r="C8754" s="907">
        <v>309</v>
      </c>
      <c r="D8754" s="907" t="s">
        <v>279</v>
      </c>
      <c r="E8754" s="992" t="s">
        <v>3262</v>
      </c>
      <c r="F8754" s="905" t="s">
        <v>45</v>
      </c>
      <c r="G8754" s="1005"/>
      <c r="H8754" s="911">
        <v>0.2</v>
      </c>
      <c r="I8754" s="912">
        <f>VLOOKUP(E8754,[3]VLP!$B$7:$K$300,10,0)</f>
        <v>66300</v>
      </c>
      <c r="J8754" s="912">
        <f t="shared" si="705"/>
        <v>13260</v>
      </c>
      <c r="K8754" s="912" t="s">
        <v>274</v>
      </c>
      <c r="L8754" s="912"/>
      <c r="M8754" s="912"/>
      <c r="N8754" s="912"/>
      <c r="O8754" s="892">
        <f t="shared" si="703"/>
        <v>0</v>
      </c>
      <c r="P8754" s="903">
        <f t="shared" si="697"/>
        <v>1</v>
      </c>
      <c r="Q8754" s="893">
        <f t="shared" si="698"/>
        <v>8</v>
      </c>
      <c r="R8754" s="894">
        <f t="shared" si="699"/>
        <v>0</v>
      </c>
    </row>
    <row r="8755" spans="1:18">
      <c r="A8755" s="905"/>
      <c r="B8755" s="952"/>
      <c r="C8755" s="907">
        <v>235</v>
      </c>
      <c r="D8755" s="907" t="s">
        <v>279</v>
      </c>
      <c r="E8755" s="992" t="s">
        <v>2682</v>
      </c>
      <c r="F8755" s="905" t="s">
        <v>45</v>
      </c>
      <c r="G8755" s="1005"/>
      <c r="H8755" s="911">
        <v>1</v>
      </c>
      <c r="I8755" s="912">
        <f>VLOOKUP(E8755,[3]VLP!$B$7:$K$300,10,0)</f>
        <v>5000</v>
      </c>
      <c r="J8755" s="912">
        <f t="shared" si="705"/>
        <v>5000</v>
      </c>
      <c r="K8755" s="912" t="s">
        <v>274</v>
      </c>
      <c r="L8755" s="912"/>
      <c r="M8755" s="912"/>
      <c r="N8755" s="912"/>
      <c r="O8755" s="892">
        <f t="shared" si="703"/>
        <v>0</v>
      </c>
      <c r="P8755" s="903">
        <f t="shared" ref="P8755:P8818" si="706">IF(O8755=0,1,0)</f>
        <v>1</v>
      </c>
      <c r="Q8755" s="893">
        <f t="shared" ref="Q8755:Q8818" si="707">IF(P8755=0,0,P8755+Q8756)</f>
        <v>7</v>
      </c>
      <c r="R8755" s="894">
        <f t="shared" ref="R8755:R8818" si="708">IF(Q8755=0,Q8756,0)</f>
        <v>0</v>
      </c>
    </row>
    <row r="8756" spans="1:18" s="847" customFormat="1">
      <c r="A8756" s="905"/>
      <c r="B8756" s="952"/>
      <c r="C8756" s="907">
        <v>237</v>
      </c>
      <c r="D8756" s="907" t="s">
        <v>279</v>
      </c>
      <c r="E8756" s="992" t="s">
        <v>6312</v>
      </c>
      <c r="F8756" s="905" t="s">
        <v>47</v>
      </c>
      <c r="G8756" s="1005"/>
      <c r="H8756" s="911">
        <v>0.2</v>
      </c>
      <c r="I8756" s="912">
        <f>VLOOKUP(E8756,[3]VLP!$B$7:$K$300,10,0)</f>
        <v>4545455</v>
      </c>
      <c r="J8756" s="912">
        <f t="shared" si="705"/>
        <v>909091</v>
      </c>
      <c r="K8756" s="912" t="s">
        <v>274</v>
      </c>
      <c r="L8756" s="912"/>
      <c r="M8756" s="912"/>
      <c r="N8756" s="912"/>
      <c r="O8756" s="892">
        <f t="shared" si="703"/>
        <v>0</v>
      </c>
      <c r="P8756" s="903">
        <f t="shared" si="706"/>
        <v>1</v>
      </c>
      <c r="Q8756" s="893">
        <f t="shared" si="707"/>
        <v>6</v>
      </c>
      <c r="R8756" s="894">
        <f t="shared" si="708"/>
        <v>0</v>
      </c>
    </row>
    <row r="8757" spans="1:18" s="904" customFormat="1">
      <c r="A8757" s="905"/>
      <c r="B8757" s="952"/>
      <c r="C8757" s="907">
        <v>699</v>
      </c>
      <c r="D8757" s="907" t="s">
        <v>279</v>
      </c>
      <c r="E8757" s="992" t="s">
        <v>4006</v>
      </c>
      <c r="F8757" s="905" t="s">
        <v>4007</v>
      </c>
      <c r="G8757" s="1005"/>
      <c r="H8757" s="911">
        <v>5</v>
      </c>
      <c r="I8757" s="912">
        <f>VLOOKUP(E8757,[3]VLP!$B$7:$K$300,10,0)</f>
        <v>5000</v>
      </c>
      <c r="J8757" s="912">
        <f t="shared" si="705"/>
        <v>25000</v>
      </c>
      <c r="K8757" s="912" t="s">
        <v>274</v>
      </c>
      <c r="L8757" s="912"/>
      <c r="M8757" s="912"/>
      <c r="N8757" s="912"/>
      <c r="O8757" s="892">
        <f t="shared" si="703"/>
        <v>0</v>
      </c>
      <c r="P8757" s="903">
        <f t="shared" si="706"/>
        <v>1</v>
      </c>
      <c r="Q8757" s="893">
        <f t="shared" si="707"/>
        <v>5</v>
      </c>
      <c r="R8757" s="894">
        <f t="shared" si="708"/>
        <v>0</v>
      </c>
    </row>
    <row r="8758" spans="1:18">
      <c r="A8758" s="895"/>
      <c r="B8758" s="896"/>
      <c r="C8758" s="897"/>
      <c r="D8758" s="897"/>
      <c r="E8758" s="1002" t="s">
        <v>276</v>
      </c>
      <c r="F8758" s="1003"/>
      <c r="G8758" s="1004"/>
      <c r="H8758" s="901"/>
      <c r="I8758" s="902"/>
      <c r="J8758" s="902"/>
      <c r="K8758" s="912" t="s">
        <v>274</v>
      </c>
      <c r="L8758" s="902"/>
      <c r="M8758" s="902"/>
      <c r="N8758" s="902"/>
      <c r="O8758" s="892">
        <f t="shared" si="703"/>
        <v>0</v>
      </c>
      <c r="P8758" s="903">
        <f t="shared" si="706"/>
        <v>1</v>
      </c>
      <c r="Q8758" s="893">
        <f t="shared" si="707"/>
        <v>4</v>
      </c>
      <c r="R8758" s="894">
        <f t="shared" si="708"/>
        <v>0</v>
      </c>
    </row>
    <row r="8759" spans="1:18" s="847" customFormat="1">
      <c r="A8759" s="905"/>
      <c r="B8759" s="952"/>
      <c r="C8759" s="907">
        <v>745</v>
      </c>
      <c r="D8759" s="907" t="s">
        <v>12</v>
      </c>
      <c r="E8759" s="992" t="s">
        <v>5518</v>
      </c>
      <c r="F8759" s="905" t="s">
        <v>2674</v>
      </c>
      <c r="G8759" s="1005"/>
      <c r="H8759" s="911">
        <v>3.47</v>
      </c>
      <c r="I8759" s="912"/>
      <c r="J8759" s="912"/>
      <c r="K8759" s="912">
        <f>VLOOKUP(E8759,[5]ĐMNC!$A$7:$F$67,4,0)</f>
        <v>240557</v>
      </c>
      <c r="L8759" s="912">
        <f>H8759*K8759</f>
        <v>834732.79</v>
      </c>
      <c r="M8759" s="912"/>
      <c r="N8759" s="912"/>
      <c r="O8759" s="892">
        <f t="shared" si="703"/>
        <v>0</v>
      </c>
      <c r="P8759" s="903">
        <f t="shared" si="706"/>
        <v>1</v>
      </c>
      <c r="Q8759" s="893">
        <f t="shared" si="707"/>
        <v>3</v>
      </c>
      <c r="R8759" s="894">
        <f t="shared" si="708"/>
        <v>0</v>
      </c>
    </row>
    <row r="8760" spans="1:18" s="904" customFormat="1">
      <c r="A8760" s="895"/>
      <c r="B8760" s="896"/>
      <c r="C8760" s="897"/>
      <c r="D8760" s="897"/>
      <c r="E8760" s="1002" t="s">
        <v>3914</v>
      </c>
      <c r="F8760" s="1003"/>
      <c r="G8760" s="1004"/>
      <c r="H8760" s="901"/>
      <c r="I8760" s="902"/>
      <c r="J8760" s="902"/>
      <c r="K8760" s="912" t="s">
        <v>274</v>
      </c>
      <c r="L8760" s="902"/>
      <c r="M8760" s="902"/>
      <c r="N8760" s="902"/>
      <c r="O8760" s="892">
        <f t="shared" si="703"/>
        <v>0</v>
      </c>
      <c r="P8760" s="903">
        <f t="shared" si="706"/>
        <v>1</v>
      </c>
      <c r="Q8760" s="893">
        <f t="shared" si="707"/>
        <v>2</v>
      </c>
      <c r="R8760" s="894">
        <f t="shared" si="708"/>
        <v>0</v>
      </c>
    </row>
    <row r="8761" spans="1:18">
      <c r="A8761" s="905"/>
      <c r="B8761" s="946" t="s">
        <v>6321</v>
      </c>
      <c r="C8761" s="907">
        <v>900</v>
      </c>
      <c r="D8761" s="907" t="s">
        <v>93</v>
      </c>
      <c r="E8761" s="992" t="s">
        <v>6322</v>
      </c>
      <c r="F8761" s="905" t="s">
        <v>2673</v>
      </c>
      <c r="G8761" s="1005"/>
      <c r="H8761" s="911">
        <v>0.26</v>
      </c>
      <c r="I8761" s="912"/>
      <c r="J8761" s="912"/>
      <c r="K8761" s="912"/>
      <c r="L8761" s="912"/>
      <c r="M8761" s="912">
        <f>VLOOKUP(B8761,MTC!$B$9:$S$933,12,0)</f>
        <v>1475268</v>
      </c>
      <c r="N8761" s="912">
        <f>M8761*H8761</f>
        <v>383569.68</v>
      </c>
      <c r="O8761" s="892">
        <f t="shared" si="703"/>
        <v>0</v>
      </c>
      <c r="P8761" s="903">
        <f t="shared" si="706"/>
        <v>1</v>
      </c>
      <c r="Q8761" s="893">
        <f t="shared" si="707"/>
        <v>1</v>
      </c>
      <c r="R8761" s="894">
        <f t="shared" si="708"/>
        <v>0</v>
      </c>
    </row>
    <row r="8762" spans="1:18" s="847" customFormat="1" ht="31.5">
      <c r="A8762" s="905">
        <v>18</v>
      </c>
      <c r="B8762" s="914" t="s">
        <v>6366</v>
      </c>
      <c r="C8762" s="915"/>
      <c r="D8762" s="915"/>
      <c r="E8762" s="1006" t="s">
        <v>6367</v>
      </c>
      <c r="F8762" s="1007" t="s">
        <v>139</v>
      </c>
      <c r="G8762" s="1008"/>
      <c r="H8762" s="919"/>
      <c r="I8762" s="920"/>
      <c r="J8762" s="891">
        <f>SUM(J8763:J8775)</f>
        <v>987797.5</v>
      </c>
      <c r="K8762" s="891"/>
      <c r="L8762" s="891">
        <f>SUM(L8763:L8775)</f>
        <v>1019961.68</v>
      </c>
      <c r="M8762" s="891"/>
      <c r="N8762" s="891">
        <f>SUM(N8763:N8775)</f>
        <v>383569.68</v>
      </c>
      <c r="O8762" s="892">
        <f t="shared" si="703"/>
        <v>1</v>
      </c>
      <c r="P8762" s="903">
        <f t="shared" si="706"/>
        <v>0</v>
      </c>
      <c r="Q8762" s="893">
        <f t="shared" si="707"/>
        <v>0</v>
      </c>
      <c r="R8762" s="894">
        <f t="shared" si="708"/>
        <v>13</v>
      </c>
    </row>
    <row r="8763" spans="1:18" s="904" customFormat="1">
      <c r="A8763" s="895"/>
      <c r="B8763" s="896"/>
      <c r="C8763" s="897"/>
      <c r="D8763" s="897"/>
      <c r="E8763" s="1002" t="s">
        <v>108</v>
      </c>
      <c r="F8763" s="1003"/>
      <c r="G8763" s="1004"/>
      <c r="H8763" s="901"/>
      <c r="I8763" s="902"/>
      <c r="J8763" s="902"/>
      <c r="K8763" s="912" t="s">
        <v>274</v>
      </c>
      <c r="L8763" s="902"/>
      <c r="M8763" s="902"/>
      <c r="N8763" s="902"/>
      <c r="O8763" s="892">
        <f t="shared" si="703"/>
        <v>0</v>
      </c>
      <c r="P8763" s="903">
        <f t="shared" si="706"/>
        <v>1</v>
      </c>
      <c r="Q8763" s="893">
        <f t="shared" si="707"/>
        <v>13</v>
      </c>
      <c r="R8763" s="894">
        <f t="shared" si="708"/>
        <v>0</v>
      </c>
    </row>
    <row r="8764" spans="1:18">
      <c r="A8764" s="905"/>
      <c r="B8764" s="952"/>
      <c r="C8764" s="907">
        <v>212</v>
      </c>
      <c r="D8764" s="907" t="s">
        <v>279</v>
      </c>
      <c r="E8764" s="992" t="s">
        <v>2681</v>
      </c>
      <c r="F8764" s="905" t="s">
        <v>45</v>
      </c>
      <c r="G8764" s="1005"/>
      <c r="H8764" s="911">
        <v>0.3</v>
      </c>
      <c r="I8764" s="912">
        <f>VLOOKUP(E8764,[3]VLP!$B$7:$K$300,10,0)</f>
        <v>23000</v>
      </c>
      <c r="J8764" s="912">
        <f t="shared" ref="J8764:J8771" si="709">I8764*H8764</f>
        <v>6900</v>
      </c>
      <c r="K8764" s="912" t="s">
        <v>274</v>
      </c>
      <c r="L8764" s="912"/>
      <c r="M8764" s="912"/>
      <c r="N8764" s="912"/>
      <c r="O8764" s="892">
        <f t="shared" si="703"/>
        <v>0</v>
      </c>
      <c r="P8764" s="903">
        <f t="shared" si="706"/>
        <v>1</v>
      </c>
      <c r="Q8764" s="893">
        <f t="shared" si="707"/>
        <v>12</v>
      </c>
      <c r="R8764" s="894">
        <f t="shared" si="708"/>
        <v>0</v>
      </c>
    </row>
    <row r="8765" spans="1:18" s="847" customFormat="1">
      <c r="A8765" s="905"/>
      <c r="B8765" s="952"/>
      <c r="C8765" s="907">
        <v>238</v>
      </c>
      <c r="D8765" s="907" t="s">
        <v>279</v>
      </c>
      <c r="E8765" s="992" t="s">
        <v>6363</v>
      </c>
      <c r="F8765" s="905" t="s">
        <v>45</v>
      </c>
      <c r="G8765" s="1005"/>
      <c r="H8765" s="911">
        <v>0.1</v>
      </c>
      <c r="I8765" s="912">
        <f>VLOOKUP(E8765,[3]VLP!$B$7:$K$300,10,0)</f>
        <v>40000</v>
      </c>
      <c r="J8765" s="912">
        <f t="shared" si="709"/>
        <v>4000</v>
      </c>
      <c r="K8765" s="912" t="s">
        <v>274</v>
      </c>
      <c r="L8765" s="912"/>
      <c r="M8765" s="912"/>
      <c r="N8765" s="912"/>
      <c r="O8765" s="892">
        <f t="shared" si="703"/>
        <v>0</v>
      </c>
      <c r="P8765" s="903">
        <f t="shared" si="706"/>
        <v>1</v>
      </c>
      <c r="Q8765" s="893">
        <f t="shared" si="707"/>
        <v>11</v>
      </c>
      <c r="R8765" s="894">
        <f t="shared" si="708"/>
        <v>0</v>
      </c>
    </row>
    <row r="8766" spans="1:18" s="904" customFormat="1">
      <c r="A8766" s="905"/>
      <c r="B8766" s="952"/>
      <c r="C8766" s="907">
        <v>318</v>
      </c>
      <c r="D8766" s="907" t="s">
        <v>279</v>
      </c>
      <c r="E8766" s="992" t="s">
        <v>5657</v>
      </c>
      <c r="F8766" s="905" t="s">
        <v>45</v>
      </c>
      <c r="G8766" s="1005"/>
      <c r="H8766" s="911">
        <v>0.3</v>
      </c>
      <c r="I8766" s="912">
        <f>VLOOKUP(E8766,[3]VLP!$B$7:$K$300,10,0)</f>
        <v>25155</v>
      </c>
      <c r="J8766" s="912">
        <f t="shared" si="709"/>
        <v>7546.5</v>
      </c>
      <c r="K8766" s="912" t="s">
        <v>274</v>
      </c>
      <c r="L8766" s="912"/>
      <c r="M8766" s="912"/>
      <c r="N8766" s="912"/>
      <c r="O8766" s="892">
        <f t="shared" si="703"/>
        <v>0</v>
      </c>
      <c r="P8766" s="903">
        <f t="shared" si="706"/>
        <v>1</v>
      </c>
      <c r="Q8766" s="893">
        <f t="shared" si="707"/>
        <v>10</v>
      </c>
      <c r="R8766" s="894">
        <f t="shared" si="708"/>
        <v>0</v>
      </c>
    </row>
    <row r="8767" spans="1:18">
      <c r="A8767" s="905"/>
      <c r="B8767" s="952"/>
      <c r="C8767" s="907">
        <v>234</v>
      </c>
      <c r="D8767" s="907" t="s">
        <v>279</v>
      </c>
      <c r="E8767" s="992" t="s">
        <v>5983</v>
      </c>
      <c r="F8767" s="905" t="s">
        <v>3144</v>
      </c>
      <c r="G8767" s="1005"/>
      <c r="H8767" s="911">
        <v>1</v>
      </c>
      <c r="I8767" s="912">
        <f>VLOOKUP(E8767,[3]VLP!$B$7:$K$300,10,0)</f>
        <v>14000</v>
      </c>
      <c r="J8767" s="912">
        <f t="shared" si="709"/>
        <v>14000</v>
      </c>
      <c r="K8767" s="912" t="s">
        <v>274</v>
      </c>
      <c r="L8767" s="912"/>
      <c r="M8767" s="912"/>
      <c r="N8767" s="912"/>
      <c r="O8767" s="892">
        <f t="shared" si="703"/>
        <v>0</v>
      </c>
      <c r="P8767" s="903">
        <f t="shared" si="706"/>
        <v>1</v>
      </c>
      <c r="Q8767" s="893">
        <f t="shared" si="707"/>
        <v>9</v>
      </c>
      <c r="R8767" s="894">
        <f t="shared" si="708"/>
        <v>0</v>
      </c>
    </row>
    <row r="8768" spans="1:18" s="847" customFormat="1">
      <c r="A8768" s="905"/>
      <c r="B8768" s="952"/>
      <c r="C8768" s="907">
        <v>309</v>
      </c>
      <c r="D8768" s="907" t="s">
        <v>279</v>
      </c>
      <c r="E8768" s="992" t="s">
        <v>3262</v>
      </c>
      <c r="F8768" s="905" t="s">
        <v>45</v>
      </c>
      <c r="G8768" s="1005"/>
      <c r="H8768" s="911">
        <v>0.2</v>
      </c>
      <c r="I8768" s="912">
        <f>VLOOKUP(E8768,[3]VLP!$B$7:$K$300,10,0)</f>
        <v>66300</v>
      </c>
      <c r="J8768" s="912">
        <f t="shared" si="709"/>
        <v>13260</v>
      </c>
      <c r="K8768" s="912" t="s">
        <v>274</v>
      </c>
      <c r="L8768" s="912"/>
      <c r="M8768" s="912"/>
      <c r="N8768" s="912"/>
      <c r="O8768" s="892">
        <f t="shared" si="703"/>
        <v>0</v>
      </c>
      <c r="P8768" s="903">
        <f t="shared" si="706"/>
        <v>1</v>
      </c>
      <c r="Q8768" s="893">
        <f t="shared" si="707"/>
        <v>8</v>
      </c>
      <c r="R8768" s="894">
        <f t="shared" si="708"/>
        <v>0</v>
      </c>
    </row>
    <row r="8769" spans="1:18" s="904" customFormat="1">
      <c r="A8769" s="905"/>
      <c r="B8769" s="952"/>
      <c r="C8769" s="907">
        <v>235</v>
      </c>
      <c r="D8769" s="907" t="s">
        <v>279</v>
      </c>
      <c r="E8769" s="992" t="s">
        <v>2682</v>
      </c>
      <c r="F8769" s="905" t="s">
        <v>45</v>
      </c>
      <c r="G8769" s="1005"/>
      <c r="H8769" s="911">
        <v>1.6</v>
      </c>
      <c r="I8769" s="912">
        <f>VLOOKUP(E8769,[3]VLP!$B$7:$K$300,10,0)</f>
        <v>5000</v>
      </c>
      <c r="J8769" s="912">
        <f t="shared" si="709"/>
        <v>8000</v>
      </c>
      <c r="K8769" s="912" t="s">
        <v>274</v>
      </c>
      <c r="L8769" s="912"/>
      <c r="M8769" s="912"/>
      <c r="N8769" s="912"/>
      <c r="O8769" s="892">
        <f t="shared" si="703"/>
        <v>0</v>
      </c>
      <c r="P8769" s="903">
        <f t="shared" si="706"/>
        <v>1</v>
      </c>
      <c r="Q8769" s="893">
        <f t="shared" si="707"/>
        <v>7</v>
      </c>
      <c r="R8769" s="894">
        <f t="shared" si="708"/>
        <v>0</v>
      </c>
    </row>
    <row r="8770" spans="1:18">
      <c r="A8770" s="905"/>
      <c r="B8770" s="952"/>
      <c r="C8770" s="907">
        <v>237</v>
      </c>
      <c r="D8770" s="907" t="s">
        <v>279</v>
      </c>
      <c r="E8770" s="992" t="s">
        <v>6312</v>
      </c>
      <c r="F8770" s="905" t="s">
        <v>47</v>
      </c>
      <c r="G8770" s="1005"/>
      <c r="H8770" s="911">
        <v>0.2</v>
      </c>
      <c r="I8770" s="912">
        <f>VLOOKUP(E8770,[3]VLP!$B$7:$K$300,10,0)</f>
        <v>4545455</v>
      </c>
      <c r="J8770" s="912">
        <f t="shared" si="709"/>
        <v>909091</v>
      </c>
      <c r="K8770" s="912" t="s">
        <v>274</v>
      </c>
      <c r="L8770" s="912"/>
      <c r="M8770" s="912"/>
      <c r="N8770" s="912"/>
      <c r="O8770" s="892">
        <f t="shared" si="703"/>
        <v>0</v>
      </c>
      <c r="P8770" s="903">
        <f t="shared" si="706"/>
        <v>1</v>
      </c>
      <c r="Q8770" s="893">
        <f t="shared" si="707"/>
        <v>6</v>
      </c>
      <c r="R8770" s="894">
        <f t="shared" si="708"/>
        <v>0</v>
      </c>
    </row>
    <row r="8771" spans="1:18" s="847" customFormat="1">
      <c r="A8771" s="905"/>
      <c r="B8771" s="952"/>
      <c r="C8771" s="907">
        <v>699</v>
      </c>
      <c r="D8771" s="907" t="s">
        <v>279</v>
      </c>
      <c r="E8771" s="992" t="s">
        <v>4006</v>
      </c>
      <c r="F8771" s="905" t="s">
        <v>4007</v>
      </c>
      <c r="G8771" s="1005"/>
      <c r="H8771" s="911">
        <v>5</v>
      </c>
      <c r="I8771" s="912">
        <f>VLOOKUP(E8771,[3]VLP!$B$7:$K$300,10,0)</f>
        <v>5000</v>
      </c>
      <c r="J8771" s="912">
        <f t="shared" si="709"/>
        <v>25000</v>
      </c>
      <c r="K8771" s="912" t="s">
        <v>274</v>
      </c>
      <c r="L8771" s="912"/>
      <c r="M8771" s="912"/>
      <c r="N8771" s="912"/>
      <c r="O8771" s="892">
        <f t="shared" si="703"/>
        <v>0</v>
      </c>
      <c r="P8771" s="903">
        <f t="shared" si="706"/>
        <v>1</v>
      </c>
      <c r="Q8771" s="893">
        <f t="shared" si="707"/>
        <v>5</v>
      </c>
      <c r="R8771" s="894">
        <f t="shared" si="708"/>
        <v>0</v>
      </c>
    </row>
    <row r="8772" spans="1:18" s="904" customFormat="1">
      <c r="A8772" s="895"/>
      <c r="B8772" s="896"/>
      <c r="C8772" s="897"/>
      <c r="D8772" s="897"/>
      <c r="E8772" s="1002" t="s">
        <v>276</v>
      </c>
      <c r="F8772" s="1003"/>
      <c r="G8772" s="1004"/>
      <c r="H8772" s="901"/>
      <c r="I8772" s="902"/>
      <c r="J8772" s="902"/>
      <c r="K8772" s="912" t="s">
        <v>274</v>
      </c>
      <c r="L8772" s="902"/>
      <c r="M8772" s="902"/>
      <c r="N8772" s="902"/>
      <c r="O8772" s="892">
        <f t="shared" si="703"/>
        <v>0</v>
      </c>
      <c r="P8772" s="903">
        <f t="shared" si="706"/>
        <v>1</v>
      </c>
      <c r="Q8772" s="893">
        <f t="shared" si="707"/>
        <v>4</v>
      </c>
      <c r="R8772" s="894">
        <f t="shared" si="708"/>
        <v>0</v>
      </c>
    </row>
    <row r="8773" spans="1:18">
      <c r="A8773" s="905"/>
      <c r="B8773" s="952"/>
      <c r="C8773" s="907">
        <v>745</v>
      </c>
      <c r="D8773" s="907" t="s">
        <v>12</v>
      </c>
      <c r="E8773" s="992" t="s">
        <v>5518</v>
      </c>
      <c r="F8773" s="905" t="s">
        <v>2674</v>
      </c>
      <c r="G8773" s="1005"/>
      <c r="H8773" s="911">
        <v>4.24</v>
      </c>
      <c r="I8773" s="912"/>
      <c r="J8773" s="912"/>
      <c r="K8773" s="912">
        <f>VLOOKUP(E8773,[5]ĐMNC!$A$7:$F$67,4,0)</f>
        <v>240557</v>
      </c>
      <c r="L8773" s="912">
        <f>H8773*K8773</f>
        <v>1019961.68</v>
      </c>
      <c r="M8773" s="912"/>
      <c r="N8773" s="912"/>
      <c r="O8773" s="892">
        <f t="shared" si="703"/>
        <v>0</v>
      </c>
      <c r="P8773" s="903">
        <f t="shared" si="706"/>
        <v>1</v>
      </c>
      <c r="Q8773" s="893">
        <f t="shared" si="707"/>
        <v>3</v>
      </c>
      <c r="R8773" s="894">
        <f t="shared" si="708"/>
        <v>0</v>
      </c>
    </row>
    <row r="8774" spans="1:18" s="847" customFormat="1">
      <c r="A8774" s="895"/>
      <c r="B8774" s="896"/>
      <c r="C8774" s="897"/>
      <c r="D8774" s="897"/>
      <c r="E8774" s="1002" t="s">
        <v>3914</v>
      </c>
      <c r="F8774" s="1003"/>
      <c r="G8774" s="1004"/>
      <c r="H8774" s="901"/>
      <c r="I8774" s="902"/>
      <c r="J8774" s="902"/>
      <c r="K8774" s="912" t="s">
        <v>274</v>
      </c>
      <c r="L8774" s="902"/>
      <c r="M8774" s="902"/>
      <c r="N8774" s="902"/>
      <c r="O8774" s="892">
        <f t="shared" si="703"/>
        <v>0</v>
      </c>
      <c r="P8774" s="903">
        <f t="shared" si="706"/>
        <v>1</v>
      </c>
      <c r="Q8774" s="893">
        <f t="shared" si="707"/>
        <v>2</v>
      </c>
      <c r="R8774" s="894">
        <f t="shared" si="708"/>
        <v>0</v>
      </c>
    </row>
    <row r="8775" spans="1:18" s="904" customFormat="1">
      <c r="A8775" s="905"/>
      <c r="B8775" s="946" t="s">
        <v>6321</v>
      </c>
      <c r="C8775" s="907">
        <v>900</v>
      </c>
      <c r="D8775" s="907" t="s">
        <v>93</v>
      </c>
      <c r="E8775" s="992" t="s">
        <v>6322</v>
      </c>
      <c r="F8775" s="905" t="s">
        <v>2673</v>
      </c>
      <c r="G8775" s="1005"/>
      <c r="H8775" s="911">
        <v>0.26</v>
      </c>
      <c r="I8775" s="912"/>
      <c r="J8775" s="912"/>
      <c r="K8775" s="912"/>
      <c r="L8775" s="912"/>
      <c r="M8775" s="912">
        <f>VLOOKUP(B8775,MTC!$B$9:$S$933,12,0)</f>
        <v>1475268</v>
      </c>
      <c r="N8775" s="912">
        <f>M8775*H8775</f>
        <v>383569.68</v>
      </c>
      <c r="O8775" s="892">
        <f t="shared" si="703"/>
        <v>0</v>
      </c>
      <c r="P8775" s="903">
        <f t="shared" si="706"/>
        <v>1</v>
      </c>
      <c r="Q8775" s="893">
        <f t="shared" si="707"/>
        <v>1</v>
      </c>
      <c r="R8775" s="894">
        <f t="shared" si="708"/>
        <v>0</v>
      </c>
    </row>
    <row r="8776" spans="1:18" ht="31.5">
      <c r="A8776" s="905">
        <v>19</v>
      </c>
      <c r="B8776" s="914" t="s">
        <v>1923</v>
      </c>
      <c r="C8776" s="915"/>
      <c r="D8776" s="915"/>
      <c r="E8776" s="1006" t="s">
        <v>6368</v>
      </c>
      <c r="F8776" s="1007" t="s">
        <v>160</v>
      </c>
      <c r="G8776" s="1008"/>
      <c r="H8776" s="919"/>
      <c r="I8776" s="920"/>
      <c r="J8776" s="891">
        <f>SUM(J8777:J8789)</f>
        <v>987797.5</v>
      </c>
      <c r="K8776" s="891"/>
      <c r="L8776" s="891">
        <f>SUM(L8777:L8789)</f>
        <v>1195568.29</v>
      </c>
      <c r="M8776" s="891"/>
      <c r="N8776" s="891">
        <f>SUM(N8777:N8789)</f>
        <v>383569.68</v>
      </c>
      <c r="O8776" s="892">
        <f t="shared" si="703"/>
        <v>1</v>
      </c>
      <c r="P8776" s="903">
        <f t="shared" si="706"/>
        <v>0</v>
      </c>
      <c r="Q8776" s="893">
        <f t="shared" si="707"/>
        <v>0</v>
      </c>
      <c r="R8776" s="894">
        <f t="shared" si="708"/>
        <v>13</v>
      </c>
    </row>
    <row r="8777" spans="1:18" s="847" customFormat="1">
      <c r="A8777" s="895"/>
      <c r="B8777" s="896"/>
      <c r="C8777" s="897"/>
      <c r="D8777" s="897"/>
      <c r="E8777" s="1002" t="s">
        <v>108</v>
      </c>
      <c r="F8777" s="1003"/>
      <c r="G8777" s="1004"/>
      <c r="H8777" s="901"/>
      <c r="I8777" s="902"/>
      <c r="J8777" s="902"/>
      <c r="K8777" s="912" t="s">
        <v>274</v>
      </c>
      <c r="L8777" s="902"/>
      <c r="M8777" s="902"/>
      <c r="N8777" s="902"/>
      <c r="O8777" s="892">
        <f t="shared" si="703"/>
        <v>0</v>
      </c>
      <c r="P8777" s="903">
        <f t="shared" si="706"/>
        <v>1</v>
      </c>
      <c r="Q8777" s="893">
        <f t="shared" si="707"/>
        <v>13</v>
      </c>
      <c r="R8777" s="894">
        <f t="shared" si="708"/>
        <v>0</v>
      </c>
    </row>
    <row r="8778" spans="1:18" s="904" customFormat="1">
      <c r="A8778" s="905"/>
      <c r="B8778" s="952"/>
      <c r="C8778" s="907">
        <v>212</v>
      </c>
      <c r="D8778" s="907" t="s">
        <v>279</v>
      </c>
      <c r="E8778" s="992" t="s">
        <v>2681</v>
      </c>
      <c r="F8778" s="905" t="s">
        <v>45</v>
      </c>
      <c r="G8778" s="1005"/>
      <c r="H8778" s="911">
        <v>0.3</v>
      </c>
      <c r="I8778" s="912">
        <f>VLOOKUP(E8778,[3]VLP!$B$7:$K$300,10,0)</f>
        <v>23000</v>
      </c>
      <c r="J8778" s="912">
        <f t="shared" ref="J8778:J8785" si="710">I8778*H8778</f>
        <v>6900</v>
      </c>
      <c r="K8778" s="912" t="s">
        <v>274</v>
      </c>
      <c r="L8778" s="912"/>
      <c r="M8778" s="912"/>
      <c r="N8778" s="912"/>
      <c r="O8778" s="892">
        <f t="shared" si="703"/>
        <v>0</v>
      </c>
      <c r="P8778" s="903">
        <f t="shared" si="706"/>
        <v>1</v>
      </c>
      <c r="Q8778" s="893">
        <f t="shared" si="707"/>
        <v>12</v>
      </c>
      <c r="R8778" s="894">
        <f t="shared" si="708"/>
        <v>0</v>
      </c>
    </row>
    <row r="8779" spans="1:18">
      <c r="A8779" s="905"/>
      <c r="B8779" s="952"/>
      <c r="C8779" s="907">
        <v>238</v>
      </c>
      <c r="D8779" s="907" t="s">
        <v>279</v>
      </c>
      <c r="E8779" s="992" t="s">
        <v>6363</v>
      </c>
      <c r="F8779" s="905" t="s">
        <v>45</v>
      </c>
      <c r="G8779" s="1005"/>
      <c r="H8779" s="911">
        <v>0.1</v>
      </c>
      <c r="I8779" s="912">
        <f>VLOOKUP(E8779,[3]VLP!$B$7:$K$300,10,0)</f>
        <v>40000</v>
      </c>
      <c r="J8779" s="912">
        <f t="shared" si="710"/>
        <v>4000</v>
      </c>
      <c r="K8779" s="912" t="s">
        <v>274</v>
      </c>
      <c r="L8779" s="912"/>
      <c r="M8779" s="912"/>
      <c r="N8779" s="912"/>
      <c r="O8779" s="892">
        <f t="shared" si="703"/>
        <v>0</v>
      </c>
      <c r="P8779" s="903">
        <f t="shared" si="706"/>
        <v>1</v>
      </c>
      <c r="Q8779" s="893">
        <f t="shared" si="707"/>
        <v>11</v>
      </c>
      <c r="R8779" s="894">
        <f t="shared" si="708"/>
        <v>0</v>
      </c>
    </row>
    <row r="8780" spans="1:18" s="847" customFormat="1">
      <c r="A8780" s="905"/>
      <c r="B8780" s="952"/>
      <c r="C8780" s="907">
        <v>318</v>
      </c>
      <c r="D8780" s="907" t="s">
        <v>279</v>
      </c>
      <c r="E8780" s="992" t="s">
        <v>5657</v>
      </c>
      <c r="F8780" s="905" t="s">
        <v>45</v>
      </c>
      <c r="G8780" s="1005"/>
      <c r="H8780" s="911">
        <v>0.3</v>
      </c>
      <c r="I8780" s="912">
        <f>VLOOKUP(E8780,[3]VLP!$B$7:$K$300,10,0)</f>
        <v>25155</v>
      </c>
      <c r="J8780" s="912">
        <f t="shared" si="710"/>
        <v>7546.5</v>
      </c>
      <c r="K8780" s="912" t="s">
        <v>274</v>
      </c>
      <c r="L8780" s="912"/>
      <c r="M8780" s="912"/>
      <c r="N8780" s="912"/>
      <c r="O8780" s="892">
        <f t="shared" si="703"/>
        <v>0</v>
      </c>
      <c r="P8780" s="903">
        <f t="shared" si="706"/>
        <v>1</v>
      </c>
      <c r="Q8780" s="893">
        <f t="shared" si="707"/>
        <v>10</v>
      </c>
      <c r="R8780" s="894">
        <f t="shared" si="708"/>
        <v>0</v>
      </c>
    </row>
    <row r="8781" spans="1:18" s="904" customFormat="1">
      <c r="A8781" s="905"/>
      <c r="B8781" s="952"/>
      <c r="C8781" s="907">
        <v>234</v>
      </c>
      <c r="D8781" s="907" t="s">
        <v>279</v>
      </c>
      <c r="E8781" s="992" t="s">
        <v>5983</v>
      </c>
      <c r="F8781" s="905" t="s">
        <v>3144</v>
      </c>
      <c r="G8781" s="1005"/>
      <c r="H8781" s="911">
        <v>1</v>
      </c>
      <c r="I8781" s="912">
        <f>VLOOKUP(E8781,[3]VLP!$B$7:$K$300,10,0)</f>
        <v>14000</v>
      </c>
      <c r="J8781" s="912">
        <f t="shared" si="710"/>
        <v>14000</v>
      </c>
      <c r="K8781" s="912" t="s">
        <v>274</v>
      </c>
      <c r="L8781" s="912"/>
      <c r="M8781" s="912"/>
      <c r="N8781" s="912"/>
      <c r="O8781" s="892">
        <f t="shared" si="703"/>
        <v>0</v>
      </c>
      <c r="P8781" s="903">
        <f t="shared" si="706"/>
        <v>1</v>
      </c>
      <c r="Q8781" s="893">
        <f t="shared" si="707"/>
        <v>9</v>
      </c>
      <c r="R8781" s="894">
        <f t="shared" si="708"/>
        <v>0</v>
      </c>
    </row>
    <row r="8782" spans="1:18">
      <c r="A8782" s="905"/>
      <c r="B8782" s="952"/>
      <c r="C8782" s="907">
        <v>309</v>
      </c>
      <c r="D8782" s="907" t="s">
        <v>279</v>
      </c>
      <c r="E8782" s="992" t="s">
        <v>3262</v>
      </c>
      <c r="F8782" s="905" t="s">
        <v>45</v>
      </c>
      <c r="G8782" s="1005"/>
      <c r="H8782" s="911">
        <v>0.2</v>
      </c>
      <c r="I8782" s="912">
        <f>VLOOKUP(E8782,[3]VLP!$B$7:$K$300,10,0)</f>
        <v>66300</v>
      </c>
      <c r="J8782" s="912">
        <f t="shared" si="710"/>
        <v>13260</v>
      </c>
      <c r="K8782" s="912" t="s">
        <v>274</v>
      </c>
      <c r="L8782" s="912"/>
      <c r="M8782" s="912"/>
      <c r="N8782" s="912"/>
      <c r="O8782" s="892">
        <f t="shared" si="703"/>
        <v>0</v>
      </c>
      <c r="P8782" s="903">
        <f t="shared" si="706"/>
        <v>1</v>
      </c>
      <c r="Q8782" s="893">
        <f t="shared" si="707"/>
        <v>8</v>
      </c>
      <c r="R8782" s="894">
        <f t="shared" si="708"/>
        <v>0</v>
      </c>
    </row>
    <row r="8783" spans="1:18" s="847" customFormat="1">
      <c r="A8783" s="905"/>
      <c r="B8783" s="952"/>
      <c r="C8783" s="907">
        <v>235</v>
      </c>
      <c r="D8783" s="907" t="s">
        <v>279</v>
      </c>
      <c r="E8783" s="992" t="s">
        <v>2682</v>
      </c>
      <c r="F8783" s="905" t="s">
        <v>45</v>
      </c>
      <c r="G8783" s="1005"/>
      <c r="H8783" s="911">
        <v>1.6</v>
      </c>
      <c r="I8783" s="912">
        <f>VLOOKUP(E8783,[3]VLP!$B$7:$K$300,10,0)</f>
        <v>5000</v>
      </c>
      <c r="J8783" s="912">
        <f t="shared" si="710"/>
        <v>8000</v>
      </c>
      <c r="K8783" s="912" t="s">
        <v>274</v>
      </c>
      <c r="L8783" s="912"/>
      <c r="M8783" s="912"/>
      <c r="N8783" s="912"/>
      <c r="O8783" s="892">
        <f t="shared" si="703"/>
        <v>0</v>
      </c>
      <c r="P8783" s="903">
        <f t="shared" si="706"/>
        <v>1</v>
      </c>
      <c r="Q8783" s="893">
        <f t="shared" si="707"/>
        <v>7</v>
      </c>
      <c r="R8783" s="894">
        <f t="shared" si="708"/>
        <v>0</v>
      </c>
    </row>
    <row r="8784" spans="1:18" s="904" customFormat="1">
      <c r="A8784" s="905"/>
      <c r="B8784" s="952"/>
      <c r="C8784" s="907">
        <v>237</v>
      </c>
      <c r="D8784" s="907" t="s">
        <v>279</v>
      </c>
      <c r="E8784" s="992" t="s">
        <v>6312</v>
      </c>
      <c r="F8784" s="905" t="s">
        <v>47</v>
      </c>
      <c r="G8784" s="1005"/>
      <c r="H8784" s="911">
        <v>0.2</v>
      </c>
      <c r="I8784" s="912">
        <f>VLOOKUP(E8784,[3]VLP!$B$7:$K$300,10,0)</f>
        <v>4545455</v>
      </c>
      <c r="J8784" s="912">
        <f t="shared" si="710"/>
        <v>909091</v>
      </c>
      <c r="K8784" s="912" t="s">
        <v>274</v>
      </c>
      <c r="L8784" s="912"/>
      <c r="M8784" s="912"/>
      <c r="N8784" s="912"/>
      <c r="O8784" s="892">
        <f t="shared" si="703"/>
        <v>0</v>
      </c>
      <c r="P8784" s="903">
        <f t="shared" si="706"/>
        <v>1</v>
      </c>
      <c r="Q8784" s="893">
        <f t="shared" si="707"/>
        <v>6</v>
      </c>
      <c r="R8784" s="894">
        <f t="shared" si="708"/>
        <v>0</v>
      </c>
    </row>
    <row r="8785" spans="1:18">
      <c r="A8785" s="905"/>
      <c r="B8785" s="952"/>
      <c r="C8785" s="907">
        <v>699</v>
      </c>
      <c r="D8785" s="907" t="s">
        <v>279</v>
      </c>
      <c r="E8785" s="992" t="s">
        <v>4006</v>
      </c>
      <c r="F8785" s="905" t="s">
        <v>4007</v>
      </c>
      <c r="G8785" s="1005"/>
      <c r="H8785" s="911">
        <v>5</v>
      </c>
      <c r="I8785" s="912">
        <f>VLOOKUP(E8785,[3]VLP!$B$7:$K$300,10,0)</f>
        <v>5000</v>
      </c>
      <c r="J8785" s="912">
        <f t="shared" si="710"/>
        <v>25000</v>
      </c>
      <c r="K8785" s="912" t="s">
        <v>274</v>
      </c>
      <c r="L8785" s="912"/>
      <c r="M8785" s="912"/>
      <c r="N8785" s="912"/>
      <c r="O8785" s="892">
        <f t="shared" si="703"/>
        <v>0</v>
      </c>
      <c r="P8785" s="903">
        <f t="shared" si="706"/>
        <v>1</v>
      </c>
      <c r="Q8785" s="893">
        <f t="shared" si="707"/>
        <v>5</v>
      </c>
      <c r="R8785" s="894">
        <f t="shared" si="708"/>
        <v>0</v>
      </c>
    </row>
    <row r="8786" spans="1:18" s="847" customFormat="1">
      <c r="A8786" s="895"/>
      <c r="B8786" s="896"/>
      <c r="C8786" s="897"/>
      <c r="D8786" s="897"/>
      <c r="E8786" s="1002" t="s">
        <v>276</v>
      </c>
      <c r="F8786" s="1003"/>
      <c r="G8786" s="1004"/>
      <c r="H8786" s="901"/>
      <c r="I8786" s="902"/>
      <c r="J8786" s="902"/>
      <c r="K8786" s="912" t="s">
        <v>274</v>
      </c>
      <c r="L8786" s="902"/>
      <c r="M8786" s="902"/>
      <c r="N8786" s="902"/>
      <c r="O8786" s="892">
        <f t="shared" si="703"/>
        <v>0</v>
      </c>
      <c r="P8786" s="903">
        <f t="shared" si="706"/>
        <v>1</v>
      </c>
      <c r="Q8786" s="893">
        <f t="shared" si="707"/>
        <v>4</v>
      </c>
      <c r="R8786" s="894">
        <f t="shared" si="708"/>
        <v>0</v>
      </c>
    </row>
    <row r="8787" spans="1:18" s="904" customFormat="1">
      <c r="A8787" s="905"/>
      <c r="B8787" s="952"/>
      <c r="C8787" s="907">
        <v>745</v>
      </c>
      <c r="D8787" s="907" t="s">
        <v>12</v>
      </c>
      <c r="E8787" s="992" t="s">
        <v>5518</v>
      </c>
      <c r="F8787" s="905" t="s">
        <v>2674</v>
      </c>
      <c r="G8787" s="1005"/>
      <c r="H8787" s="911">
        <v>4.97</v>
      </c>
      <c r="I8787" s="912"/>
      <c r="J8787" s="912"/>
      <c r="K8787" s="912">
        <f>VLOOKUP(E8787,[5]ĐMNC!$A$7:$F$67,4,0)</f>
        <v>240557</v>
      </c>
      <c r="L8787" s="912">
        <f>H8787*K8787</f>
        <v>1195568.29</v>
      </c>
      <c r="M8787" s="912"/>
      <c r="N8787" s="912"/>
      <c r="O8787" s="892">
        <f t="shared" si="703"/>
        <v>0</v>
      </c>
      <c r="P8787" s="903">
        <f t="shared" si="706"/>
        <v>1</v>
      </c>
      <c r="Q8787" s="893">
        <f t="shared" si="707"/>
        <v>3</v>
      </c>
      <c r="R8787" s="894">
        <f t="shared" si="708"/>
        <v>0</v>
      </c>
    </row>
    <row r="8788" spans="1:18">
      <c r="A8788" s="895"/>
      <c r="B8788" s="896"/>
      <c r="C8788" s="897"/>
      <c r="D8788" s="897"/>
      <c r="E8788" s="1002" t="s">
        <v>3914</v>
      </c>
      <c r="F8788" s="1003"/>
      <c r="G8788" s="1004"/>
      <c r="H8788" s="901"/>
      <c r="I8788" s="902"/>
      <c r="J8788" s="902"/>
      <c r="K8788" s="912" t="s">
        <v>274</v>
      </c>
      <c r="L8788" s="902"/>
      <c r="M8788" s="902"/>
      <c r="N8788" s="902"/>
      <c r="O8788" s="892">
        <f t="shared" si="703"/>
        <v>0</v>
      </c>
      <c r="P8788" s="903">
        <f t="shared" si="706"/>
        <v>1</v>
      </c>
      <c r="Q8788" s="893">
        <f t="shared" si="707"/>
        <v>2</v>
      </c>
      <c r="R8788" s="894">
        <f t="shared" si="708"/>
        <v>0</v>
      </c>
    </row>
    <row r="8789" spans="1:18" s="847" customFormat="1">
      <c r="A8789" s="905"/>
      <c r="B8789" s="946" t="s">
        <v>6321</v>
      </c>
      <c r="C8789" s="907">
        <v>900</v>
      </c>
      <c r="D8789" s="907" t="s">
        <v>93</v>
      </c>
      <c r="E8789" s="992" t="s">
        <v>6322</v>
      </c>
      <c r="F8789" s="905" t="s">
        <v>2673</v>
      </c>
      <c r="G8789" s="1005"/>
      <c r="H8789" s="911">
        <v>0.26</v>
      </c>
      <c r="I8789" s="912"/>
      <c r="J8789" s="912"/>
      <c r="K8789" s="912"/>
      <c r="L8789" s="912"/>
      <c r="M8789" s="912">
        <f>VLOOKUP(B8789,MTC!$B$9:$S$933,12,0)</f>
        <v>1475268</v>
      </c>
      <c r="N8789" s="912">
        <f>M8789*H8789</f>
        <v>383569.68</v>
      </c>
      <c r="O8789" s="892">
        <f t="shared" si="703"/>
        <v>0</v>
      </c>
      <c r="P8789" s="903">
        <f t="shared" si="706"/>
        <v>1</v>
      </c>
      <c r="Q8789" s="893">
        <f t="shared" si="707"/>
        <v>1</v>
      </c>
      <c r="R8789" s="894">
        <f t="shared" si="708"/>
        <v>0</v>
      </c>
    </row>
    <row r="8790" spans="1:18" s="904" customFormat="1" ht="31.5">
      <c r="A8790" s="905">
        <v>20</v>
      </c>
      <c r="B8790" s="914" t="s">
        <v>1927</v>
      </c>
      <c r="C8790" s="915"/>
      <c r="D8790" s="915"/>
      <c r="E8790" s="1006" t="s">
        <v>6369</v>
      </c>
      <c r="F8790" s="1007" t="s">
        <v>160</v>
      </c>
      <c r="G8790" s="1008"/>
      <c r="H8790" s="919"/>
      <c r="I8790" s="920"/>
      <c r="J8790" s="891">
        <f>SUM(J8791:J8803)</f>
        <v>987797.5</v>
      </c>
      <c r="K8790" s="891"/>
      <c r="L8790" s="891">
        <f>SUM(L8791:L8803)</f>
        <v>1397636.17</v>
      </c>
      <c r="M8790" s="891"/>
      <c r="N8790" s="891">
        <f>SUM(N8791:N8803)</f>
        <v>486838.44</v>
      </c>
      <c r="O8790" s="892">
        <f t="shared" si="703"/>
        <v>1</v>
      </c>
      <c r="P8790" s="903">
        <f t="shared" si="706"/>
        <v>0</v>
      </c>
      <c r="Q8790" s="893">
        <f t="shared" si="707"/>
        <v>0</v>
      </c>
      <c r="R8790" s="894">
        <f t="shared" si="708"/>
        <v>13</v>
      </c>
    </row>
    <row r="8791" spans="1:18">
      <c r="A8791" s="895"/>
      <c r="B8791" s="896"/>
      <c r="C8791" s="897"/>
      <c r="D8791" s="897"/>
      <c r="E8791" s="1002" t="s">
        <v>108</v>
      </c>
      <c r="F8791" s="1003"/>
      <c r="G8791" s="1004"/>
      <c r="H8791" s="901"/>
      <c r="I8791" s="902"/>
      <c r="J8791" s="902"/>
      <c r="K8791" s="912" t="s">
        <v>274</v>
      </c>
      <c r="L8791" s="902"/>
      <c r="M8791" s="902"/>
      <c r="N8791" s="902"/>
      <c r="O8791" s="892">
        <f t="shared" si="703"/>
        <v>0</v>
      </c>
      <c r="P8791" s="903">
        <f t="shared" si="706"/>
        <v>1</v>
      </c>
      <c r="Q8791" s="893">
        <f t="shared" si="707"/>
        <v>13</v>
      </c>
      <c r="R8791" s="894">
        <f t="shared" si="708"/>
        <v>0</v>
      </c>
    </row>
    <row r="8792" spans="1:18" s="847" customFormat="1">
      <c r="A8792" s="905"/>
      <c r="B8792" s="952"/>
      <c r="C8792" s="907">
        <v>212</v>
      </c>
      <c r="D8792" s="907" t="s">
        <v>279</v>
      </c>
      <c r="E8792" s="992" t="s">
        <v>2681</v>
      </c>
      <c r="F8792" s="905" t="s">
        <v>45</v>
      </c>
      <c r="G8792" s="1005"/>
      <c r="H8792" s="911">
        <v>0.3</v>
      </c>
      <c r="I8792" s="912">
        <f>VLOOKUP(E8792,[3]VLP!$B$7:$K$300,10,0)</f>
        <v>23000</v>
      </c>
      <c r="J8792" s="912">
        <f t="shared" ref="J8792:J8799" si="711">I8792*H8792</f>
        <v>6900</v>
      </c>
      <c r="K8792" s="912" t="s">
        <v>274</v>
      </c>
      <c r="L8792" s="912"/>
      <c r="M8792" s="912"/>
      <c r="N8792" s="912"/>
      <c r="O8792" s="892">
        <f t="shared" si="703"/>
        <v>0</v>
      </c>
      <c r="P8792" s="903">
        <f t="shared" si="706"/>
        <v>1</v>
      </c>
      <c r="Q8792" s="893">
        <f t="shared" si="707"/>
        <v>12</v>
      </c>
      <c r="R8792" s="894">
        <f t="shared" si="708"/>
        <v>0</v>
      </c>
    </row>
    <row r="8793" spans="1:18" s="904" customFormat="1">
      <c r="A8793" s="905"/>
      <c r="B8793" s="952"/>
      <c r="C8793" s="907">
        <v>238</v>
      </c>
      <c r="D8793" s="907" t="s">
        <v>279</v>
      </c>
      <c r="E8793" s="992" t="s">
        <v>6363</v>
      </c>
      <c r="F8793" s="905" t="s">
        <v>45</v>
      </c>
      <c r="G8793" s="1005"/>
      <c r="H8793" s="911">
        <v>0.1</v>
      </c>
      <c r="I8793" s="912">
        <f>VLOOKUP(E8793,[3]VLP!$B$7:$K$300,10,0)</f>
        <v>40000</v>
      </c>
      <c r="J8793" s="912">
        <f t="shared" si="711"/>
        <v>4000</v>
      </c>
      <c r="K8793" s="912" t="s">
        <v>274</v>
      </c>
      <c r="L8793" s="912"/>
      <c r="M8793" s="912"/>
      <c r="N8793" s="912"/>
      <c r="O8793" s="892">
        <f t="shared" si="703"/>
        <v>0</v>
      </c>
      <c r="P8793" s="903">
        <f t="shared" si="706"/>
        <v>1</v>
      </c>
      <c r="Q8793" s="893">
        <f t="shared" si="707"/>
        <v>11</v>
      </c>
      <c r="R8793" s="894">
        <f t="shared" si="708"/>
        <v>0</v>
      </c>
    </row>
    <row r="8794" spans="1:18">
      <c r="A8794" s="905"/>
      <c r="B8794" s="952"/>
      <c r="C8794" s="907">
        <v>318</v>
      </c>
      <c r="D8794" s="907" t="s">
        <v>279</v>
      </c>
      <c r="E8794" s="992" t="s">
        <v>5657</v>
      </c>
      <c r="F8794" s="905" t="s">
        <v>45</v>
      </c>
      <c r="G8794" s="1005"/>
      <c r="H8794" s="911">
        <v>0.3</v>
      </c>
      <c r="I8794" s="912">
        <f>VLOOKUP(E8794,[3]VLP!$B$7:$K$300,10,0)</f>
        <v>25155</v>
      </c>
      <c r="J8794" s="912">
        <f t="shared" si="711"/>
        <v>7546.5</v>
      </c>
      <c r="K8794" s="912" t="s">
        <v>274</v>
      </c>
      <c r="L8794" s="912"/>
      <c r="M8794" s="912"/>
      <c r="N8794" s="912"/>
      <c r="O8794" s="892">
        <f t="shared" si="703"/>
        <v>0</v>
      </c>
      <c r="P8794" s="903">
        <f t="shared" si="706"/>
        <v>1</v>
      </c>
      <c r="Q8794" s="893">
        <f t="shared" si="707"/>
        <v>10</v>
      </c>
      <c r="R8794" s="894">
        <f t="shared" si="708"/>
        <v>0</v>
      </c>
    </row>
    <row r="8795" spans="1:18" s="847" customFormat="1">
      <c r="A8795" s="905"/>
      <c r="B8795" s="952"/>
      <c r="C8795" s="907">
        <v>234</v>
      </c>
      <c r="D8795" s="907" t="s">
        <v>279</v>
      </c>
      <c r="E8795" s="992" t="s">
        <v>5983</v>
      </c>
      <c r="F8795" s="905" t="s">
        <v>3144</v>
      </c>
      <c r="G8795" s="1005"/>
      <c r="H8795" s="911">
        <v>1</v>
      </c>
      <c r="I8795" s="912">
        <f>VLOOKUP(E8795,[3]VLP!$B$7:$K$300,10,0)</f>
        <v>14000</v>
      </c>
      <c r="J8795" s="912">
        <f t="shared" si="711"/>
        <v>14000</v>
      </c>
      <c r="K8795" s="912" t="s">
        <v>274</v>
      </c>
      <c r="L8795" s="912"/>
      <c r="M8795" s="912"/>
      <c r="N8795" s="912"/>
      <c r="O8795" s="892">
        <f t="shared" si="703"/>
        <v>0</v>
      </c>
      <c r="P8795" s="903">
        <f t="shared" si="706"/>
        <v>1</v>
      </c>
      <c r="Q8795" s="893">
        <f t="shared" si="707"/>
        <v>9</v>
      </c>
      <c r="R8795" s="894">
        <f t="shared" si="708"/>
        <v>0</v>
      </c>
    </row>
    <row r="8796" spans="1:18" s="904" customFormat="1">
      <c r="A8796" s="905"/>
      <c r="B8796" s="952"/>
      <c r="C8796" s="907">
        <v>309</v>
      </c>
      <c r="D8796" s="907" t="s">
        <v>279</v>
      </c>
      <c r="E8796" s="992" t="s">
        <v>3262</v>
      </c>
      <c r="F8796" s="905" t="s">
        <v>45</v>
      </c>
      <c r="G8796" s="1005"/>
      <c r="H8796" s="911">
        <v>0.2</v>
      </c>
      <c r="I8796" s="912">
        <f>VLOOKUP(E8796,[3]VLP!$B$7:$K$300,10,0)</f>
        <v>66300</v>
      </c>
      <c r="J8796" s="912">
        <f t="shared" si="711"/>
        <v>13260</v>
      </c>
      <c r="K8796" s="912" t="s">
        <v>274</v>
      </c>
      <c r="L8796" s="912"/>
      <c r="M8796" s="912"/>
      <c r="N8796" s="912"/>
      <c r="O8796" s="892">
        <f t="shared" si="703"/>
        <v>0</v>
      </c>
      <c r="P8796" s="903">
        <f t="shared" si="706"/>
        <v>1</v>
      </c>
      <c r="Q8796" s="893">
        <f t="shared" si="707"/>
        <v>8</v>
      </c>
      <c r="R8796" s="894">
        <f t="shared" si="708"/>
        <v>0</v>
      </c>
    </row>
    <row r="8797" spans="1:18">
      <c r="A8797" s="905"/>
      <c r="B8797" s="952"/>
      <c r="C8797" s="907">
        <v>235</v>
      </c>
      <c r="D8797" s="907" t="s">
        <v>279</v>
      </c>
      <c r="E8797" s="992" t="s">
        <v>2682</v>
      </c>
      <c r="F8797" s="905" t="s">
        <v>45</v>
      </c>
      <c r="G8797" s="1005"/>
      <c r="H8797" s="911">
        <v>1.6</v>
      </c>
      <c r="I8797" s="912">
        <f>VLOOKUP(E8797,[3]VLP!$B$7:$K$300,10,0)</f>
        <v>5000</v>
      </c>
      <c r="J8797" s="912">
        <f t="shared" si="711"/>
        <v>8000</v>
      </c>
      <c r="K8797" s="912" t="s">
        <v>274</v>
      </c>
      <c r="L8797" s="912"/>
      <c r="M8797" s="912"/>
      <c r="N8797" s="912"/>
      <c r="O8797" s="892">
        <f t="shared" si="703"/>
        <v>0</v>
      </c>
      <c r="P8797" s="903">
        <f t="shared" si="706"/>
        <v>1</v>
      </c>
      <c r="Q8797" s="893">
        <f t="shared" si="707"/>
        <v>7</v>
      </c>
      <c r="R8797" s="894">
        <f t="shared" si="708"/>
        <v>0</v>
      </c>
    </row>
    <row r="8798" spans="1:18" s="847" customFormat="1">
      <c r="A8798" s="905"/>
      <c r="B8798" s="952"/>
      <c r="C8798" s="907">
        <v>237</v>
      </c>
      <c r="D8798" s="907" t="s">
        <v>279</v>
      </c>
      <c r="E8798" s="992" t="s">
        <v>6312</v>
      </c>
      <c r="F8798" s="905" t="s">
        <v>47</v>
      </c>
      <c r="G8798" s="1005"/>
      <c r="H8798" s="911">
        <v>0.2</v>
      </c>
      <c r="I8798" s="912">
        <f>VLOOKUP(E8798,[3]VLP!$B$7:$K$300,10,0)</f>
        <v>4545455</v>
      </c>
      <c r="J8798" s="912">
        <f t="shared" si="711"/>
        <v>909091</v>
      </c>
      <c r="K8798" s="912" t="s">
        <v>274</v>
      </c>
      <c r="L8798" s="912"/>
      <c r="M8798" s="912"/>
      <c r="N8798" s="912"/>
      <c r="O8798" s="892">
        <f t="shared" si="703"/>
        <v>0</v>
      </c>
      <c r="P8798" s="903">
        <f t="shared" si="706"/>
        <v>1</v>
      </c>
      <c r="Q8798" s="893">
        <f t="shared" si="707"/>
        <v>6</v>
      </c>
      <c r="R8798" s="894">
        <f t="shared" si="708"/>
        <v>0</v>
      </c>
    </row>
    <row r="8799" spans="1:18" s="904" customFormat="1">
      <c r="A8799" s="905"/>
      <c r="B8799" s="952"/>
      <c r="C8799" s="907">
        <v>699</v>
      </c>
      <c r="D8799" s="907" t="s">
        <v>279</v>
      </c>
      <c r="E8799" s="992" t="s">
        <v>4006</v>
      </c>
      <c r="F8799" s="905" t="s">
        <v>4007</v>
      </c>
      <c r="G8799" s="1005"/>
      <c r="H8799" s="911">
        <v>5</v>
      </c>
      <c r="I8799" s="912">
        <f>VLOOKUP(E8799,[3]VLP!$B$7:$K$300,10,0)</f>
        <v>5000</v>
      </c>
      <c r="J8799" s="912">
        <f t="shared" si="711"/>
        <v>25000</v>
      </c>
      <c r="K8799" s="912" t="s">
        <v>274</v>
      </c>
      <c r="L8799" s="912"/>
      <c r="M8799" s="912"/>
      <c r="N8799" s="912"/>
      <c r="O8799" s="892">
        <f t="shared" ref="O8799:O8862" si="712">IF(AND(B8799&lt;&gt;"",D8799=""),1,0)</f>
        <v>0</v>
      </c>
      <c r="P8799" s="903">
        <f t="shared" si="706"/>
        <v>1</v>
      </c>
      <c r="Q8799" s="893">
        <f t="shared" si="707"/>
        <v>5</v>
      </c>
      <c r="R8799" s="894">
        <f t="shared" si="708"/>
        <v>0</v>
      </c>
    </row>
    <row r="8800" spans="1:18">
      <c r="A8800" s="895"/>
      <c r="B8800" s="896"/>
      <c r="C8800" s="897"/>
      <c r="D8800" s="897"/>
      <c r="E8800" s="1002" t="s">
        <v>276</v>
      </c>
      <c r="F8800" s="1003"/>
      <c r="G8800" s="1004"/>
      <c r="H8800" s="901"/>
      <c r="I8800" s="902"/>
      <c r="J8800" s="902"/>
      <c r="K8800" s="912" t="s">
        <v>274</v>
      </c>
      <c r="L8800" s="902"/>
      <c r="M8800" s="902"/>
      <c r="N8800" s="902"/>
      <c r="O8800" s="892">
        <f t="shared" si="712"/>
        <v>0</v>
      </c>
      <c r="P8800" s="903">
        <f t="shared" si="706"/>
        <v>1</v>
      </c>
      <c r="Q8800" s="893">
        <f t="shared" si="707"/>
        <v>4</v>
      </c>
      <c r="R8800" s="894">
        <f t="shared" si="708"/>
        <v>0</v>
      </c>
    </row>
    <row r="8801" spans="1:18" s="847" customFormat="1">
      <c r="A8801" s="905"/>
      <c r="B8801" s="952"/>
      <c r="C8801" s="907">
        <v>745</v>
      </c>
      <c r="D8801" s="907" t="s">
        <v>12</v>
      </c>
      <c r="E8801" s="992" t="s">
        <v>5518</v>
      </c>
      <c r="F8801" s="905" t="s">
        <v>2674</v>
      </c>
      <c r="G8801" s="1005"/>
      <c r="H8801" s="911">
        <v>5.81</v>
      </c>
      <c r="I8801" s="912"/>
      <c r="J8801" s="912"/>
      <c r="K8801" s="912">
        <f>VLOOKUP(E8801,[5]ĐMNC!$A$7:$F$67,4,0)</f>
        <v>240557</v>
      </c>
      <c r="L8801" s="912">
        <f>H8801*K8801</f>
        <v>1397636.17</v>
      </c>
      <c r="M8801" s="912"/>
      <c r="N8801" s="912"/>
      <c r="O8801" s="892">
        <f t="shared" si="712"/>
        <v>0</v>
      </c>
      <c r="P8801" s="903">
        <f t="shared" si="706"/>
        <v>1</v>
      </c>
      <c r="Q8801" s="893">
        <f t="shared" si="707"/>
        <v>3</v>
      </c>
      <c r="R8801" s="894">
        <f t="shared" si="708"/>
        <v>0</v>
      </c>
    </row>
    <row r="8802" spans="1:18" s="904" customFormat="1">
      <c r="A8802" s="895"/>
      <c r="B8802" s="896"/>
      <c r="C8802" s="897"/>
      <c r="D8802" s="897"/>
      <c r="E8802" s="1002" t="s">
        <v>3914</v>
      </c>
      <c r="F8802" s="1003"/>
      <c r="G8802" s="1004"/>
      <c r="H8802" s="901"/>
      <c r="I8802" s="902"/>
      <c r="J8802" s="902"/>
      <c r="K8802" s="912" t="s">
        <v>274</v>
      </c>
      <c r="L8802" s="902"/>
      <c r="M8802" s="902"/>
      <c r="N8802" s="902"/>
      <c r="O8802" s="892">
        <f t="shared" si="712"/>
        <v>0</v>
      </c>
      <c r="P8802" s="903">
        <f t="shared" si="706"/>
        <v>1</v>
      </c>
      <c r="Q8802" s="893">
        <f t="shared" si="707"/>
        <v>2</v>
      </c>
      <c r="R8802" s="894">
        <f t="shared" si="708"/>
        <v>0</v>
      </c>
    </row>
    <row r="8803" spans="1:18">
      <c r="A8803" s="905"/>
      <c r="B8803" s="946" t="s">
        <v>6321</v>
      </c>
      <c r="C8803" s="907">
        <v>900</v>
      </c>
      <c r="D8803" s="907" t="s">
        <v>93</v>
      </c>
      <c r="E8803" s="992" t="s">
        <v>6322</v>
      </c>
      <c r="F8803" s="905" t="s">
        <v>2673</v>
      </c>
      <c r="G8803" s="1005"/>
      <c r="H8803" s="911">
        <v>0.33</v>
      </c>
      <c r="I8803" s="912"/>
      <c r="J8803" s="912"/>
      <c r="K8803" s="912"/>
      <c r="L8803" s="912"/>
      <c r="M8803" s="912">
        <f>VLOOKUP(B8803,MTC!$B$9:$S$933,12,0)</f>
        <v>1475268</v>
      </c>
      <c r="N8803" s="912">
        <f>M8803*H8803</f>
        <v>486838.44</v>
      </c>
      <c r="O8803" s="892">
        <f t="shared" si="712"/>
        <v>0</v>
      </c>
      <c r="P8803" s="903">
        <f t="shared" si="706"/>
        <v>1</v>
      </c>
      <c r="Q8803" s="893">
        <f t="shared" si="707"/>
        <v>1</v>
      </c>
      <c r="R8803" s="894">
        <f t="shared" si="708"/>
        <v>0</v>
      </c>
    </row>
    <row r="8804" spans="1:18" s="847" customFormat="1" ht="31.5">
      <c r="A8804" s="905">
        <v>21</v>
      </c>
      <c r="B8804" s="914" t="s">
        <v>6370</v>
      </c>
      <c r="C8804" s="915"/>
      <c r="D8804" s="915"/>
      <c r="E8804" s="1006" t="s">
        <v>6371</v>
      </c>
      <c r="F8804" s="1007" t="s">
        <v>160</v>
      </c>
      <c r="G8804" s="1008"/>
      <c r="H8804" s="919"/>
      <c r="I8804" s="920"/>
      <c r="J8804" s="891">
        <f>SUM(J8805:J8817)</f>
        <v>987797.5</v>
      </c>
      <c r="K8804" s="891"/>
      <c r="L8804" s="891">
        <f>SUM(L8805:L8817)</f>
        <v>1667060.01</v>
      </c>
      <c r="M8804" s="891"/>
      <c r="N8804" s="891">
        <f>SUM(N8805:N8817)</f>
        <v>486838.44</v>
      </c>
      <c r="O8804" s="892">
        <f t="shared" si="712"/>
        <v>1</v>
      </c>
      <c r="P8804" s="903">
        <f t="shared" si="706"/>
        <v>0</v>
      </c>
      <c r="Q8804" s="893">
        <f t="shared" si="707"/>
        <v>0</v>
      </c>
      <c r="R8804" s="894">
        <f t="shared" si="708"/>
        <v>13</v>
      </c>
    </row>
    <row r="8805" spans="1:18" s="904" customFormat="1">
      <c r="A8805" s="895"/>
      <c r="B8805" s="896"/>
      <c r="C8805" s="897"/>
      <c r="D8805" s="897"/>
      <c r="E8805" s="1002" t="s">
        <v>108</v>
      </c>
      <c r="F8805" s="1003"/>
      <c r="G8805" s="1004"/>
      <c r="H8805" s="901"/>
      <c r="I8805" s="902"/>
      <c r="J8805" s="902"/>
      <c r="K8805" s="912" t="s">
        <v>274</v>
      </c>
      <c r="L8805" s="902"/>
      <c r="M8805" s="902"/>
      <c r="N8805" s="902"/>
      <c r="O8805" s="892">
        <f t="shared" si="712"/>
        <v>0</v>
      </c>
      <c r="P8805" s="903">
        <f t="shared" si="706"/>
        <v>1</v>
      </c>
      <c r="Q8805" s="893">
        <f t="shared" si="707"/>
        <v>13</v>
      </c>
      <c r="R8805" s="894">
        <f t="shared" si="708"/>
        <v>0</v>
      </c>
    </row>
    <row r="8806" spans="1:18">
      <c r="A8806" s="905"/>
      <c r="B8806" s="952"/>
      <c r="C8806" s="907">
        <v>212</v>
      </c>
      <c r="D8806" s="907" t="s">
        <v>279</v>
      </c>
      <c r="E8806" s="992" t="s">
        <v>2681</v>
      </c>
      <c r="F8806" s="905" t="s">
        <v>45</v>
      </c>
      <c r="G8806" s="1005"/>
      <c r="H8806" s="911">
        <v>0.3</v>
      </c>
      <c r="I8806" s="912">
        <f>VLOOKUP(E8806,[3]VLP!$B$7:$K$300,10,0)</f>
        <v>23000</v>
      </c>
      <c r="J8806" s="912">
        <f t="shared" ref="J8806:J8813" si="713">I8806*H8806</f>
        <v>6900</v>
      </c>
      <c r="K8806" s="912" t="s">
        <v>274</v>
      </c>
      <c r="L8806" s="912"/>
      <c r="M8806" s="912"/>
      <c r="N8806" s="912"/>
      <c r="O8806" s="892">
        <f t="shared" si="712"/>
        <v>0</v>
      </c>
      <c r="P8806" s="903">
        <f t="shared" si="706"/>
        <v>1</v>
      </c>
      <c r="Q8806" s="893">
        <f t="shared" si="707"/>
        <v>12</v>
      </c>
      <c r="R8806" s="894">
        <f t="shared" si="708"/>
        <v>0</v>
      </c>
    </row>
    <row r="8807" spans="1:18" s="847" customFormat="1">
      <c r="A8807" s="905"/>
      <c r="B8807" s="952"/>
      <c r="C8807" s="907">
        <v>238</v>
      </c>
      <c r="D8807" s="907" t="s">
        <v>279</v>
      </c>
      <c r="E8807" s="992" t="s">
        <v>6363</v>
      </c>
      <c r="F8807" s="905" t="s">
        <v>45</v>
      </c>
      <c r="G8807" s="1005"/>
      <c r="H8807" s="911">
        <v>0.1</v>
      </c>
      <c r="I8807" s="912">
        <f>VLOOKUP(E8807,[3]VLP!$B$7:$K$300,10,0)</f>
        <v>40000</v>
      </c>
      <c r="J8807" s="912">
        <f t="shared" si="713"/>
        <v>4000</v>
      </c>
      <c r="K8807" s="912" t="s">
        <v>274</v>
      </c>
      <c r="L8807" s="912"/>
      <c r="M8807" s="912"/>
      <c r="N8807" s="912"/>
      <c r="O8807" s="892">
        <f t="shared" si="712"/>
        <v>0</v>
      </c>
      <c r="P8807" s="903">
        <f t="shared" si="706"/>
        <v>1</v>
      </c>
      <c r="Q8807" s="893">
        <f t="shared" si="707"/>
        <v>11</v>
      </c>
      <c r="R8807" s="894">
        <f t="shared" si="708"/>
        <v>0</v>
      </c>
    </row>
    <row r="8808" spans="1:18" s="904" customFormat="1">
      <c r="A8808" s="905"/>
      <c r="B8808" s="952"/>
      <c r="C8808" s="907">
        <v>318</v>
      </c>
      <c r="D8808" s="907" t="s">
        <v>279</v>
      </c>
      <c r="E8808" s="992" t="s">
        <v>5657</v>
      </c>
      <c r="F8808" s="905" t="s">
        <v>45</v>
      </c>
      <c r="G8808" s="1005"/>
      <c r="H8808" s="911">
        <v>0.3</v>
      </c>
      <c r="I8808" s="912">
        <f>VLOOKUP(E8808,[3]VLP!$B$7:$K$300,10,0)</f>
        <v>25155</v>
      </c>
      <c r="J8808" s="912">
        <f t="shared" si="713"/>
        <v>7546.5</v>
      </c>
      <c r="K8808" s="912" t="s">
        <v>274</v>
      </c>
      <c r="L8808" s="912"/>
      <c r="M8808" s="912"/>
      <c r="N8808" s="912"/>
      <c r="O8808" s="892">
        <f t="shared" si="712"/>
        <v>0</v>
      </c>
      <c r="P8808" s="903">
        <f t="shared" si="706"/>
        <v>1</v>
      </c>
      <c r="Q8808" s="893">
        <f t="shared" si="707"/>
        <v>10</v>
      </c>
      <c r="R8808" s="894">
        <f t="shared" si="708"/>
        <v>0</v>
      </c>
    </row>
    <row r="8809" spans="1:18">
      <c r="A8809" s="905"/>
      <c r="B8809" s="952"/>
      <c r="C8809" s="907">
        <v>234</v>
      </c>
      <c r="D8809" s="907" t="s">
        <v>279</v>
      </c>
      <c r="E8809" s="992" t="s">
        <v>5983</v>
      </c>
      <c r="F8809" s="905" t="s">
        <v>3144</v>
      </c>
      <c r="G8809" s="1005"/>
      <c r="H8809" s="911">
        <v>1</v>
      </c>
      <c r="I8809" s="912">
        <f>VLOOKUP(E8809,[3]VLP!$B$7:$K$300,10,0)</f>
        <v>14000</v>
      </c>
      <c r="J8809" s="912">
        <f t="shared" si="713"/>
        <v>14000</v>
      </c>
      <c r="K8809" s="912" t="s">
        <v>274</v>
      </c>
      <c r="L8809" s="912"/>
      <c r="M8809" s="912"/>
      <c r="N8809" s="912"/>
      <c r="O8809" s="892">
        <f t="shared" si="712"/>
        <v>0</v>
      </c>
      <c r="P8809" s="903">
        <f t="shared" si="706"/>
        <v>1</v>
      </c>
      <c r="Q8809" s="893">
        <f t="shared" si="707"/>
        <v>9</v>
      </c>
      <c r="R8809" s="894">
        <f t="shared" si="708"/>
        <v>0</v>
      </c>
    </row>
    <row r="8810" spans="1:18" s="847" customFormat="1">
      <c r="A8810" s="905"/>
      <c r="B8810" s="952"/>
      <c r="C8810" s="907">
        <v>309</v>
      </c>
      <c r="D8810" s="907" t="s">
        <v>279</v>
      </c>
      <c r="E8810" s="992" t="s">
        <v>3262</v>
      </c>
      <c r="F8810" s="905" t="s">
        <v>45</v>
      </c>
      <c r="G8810" s="1005"/>
      <c r="H8810" s="911">
        <v>0.2</v>
      </c>
      <c r="I8810" s="912">
        <f>VLOOKUP(E8810,[3]VLP!$B$7:$K$300,10,0)</f>
        <v>66300</v>
      </c>
      <c r="J8810" s="912">
        <f t="shared" si="713"/>
        <v>13260</v>
      </c>
      <c r="K8810" s="912" t="s">
        <v>274</v>
      </c>
      <c r="L8810" s="912"/>
      <c r="M8810" s="912"/>
      <c r="N8810" s="912"/>
      <c r="O8810" s="892">
        <f t="shared" si="712"/>
        <v>0</v>
      </c>
      <c r="P8810" s="903">
        <f t="shared" si="706"/>
        <v>1</v>
      </c>
      <c r="Q8810" s="893">
        <f t="shared" si="707"/>
        <v>8</v>
      </c>
      <c r="R8810" s="894">
        <f t="shared" si="708"/>
        <v>0</v>
      </c>
    </row>
    <row r="8811" spans="1:18" s="904" customFormat="1">
      <c r="A8811" s="905"/>
      <c r="B8811" s="952"/>
      <c r="C8811" s="907">
        <v>235</v>
      </c>
      <c r="D8811" s="907" t="s">
        <v>279</v>
      </c>
      <c r="E8811" s="992" t="s">
        <v>2682</v>
      </c>
      <c r="F8811" s="905" t="s">
        <v>45</v>
      </c>
      <c r="G8811" s="1005"/>
      <c r="H8811" s="911">
        <v>1.6</v>
      </c>
      <c r="I8811" s="912">
        <f>VLOOKUP(E8811,[3]VLP!$B$7:$K$300,10,0)</f>
        <v>5000</v>
      </c>
      <c r="J8811" s="912">
        <f t="shared" si="713"/>
        <v>8000</v>
      </c>
      <c r="K8811" s="912" t="s">
        <v>274</v>
      </c>
      <c r="L8811" s="912"/>
      <c r="M8811" s="912"/>
      <c r="N8811" s="912"/>
      <c r="O8811" s="892">
        <f t="shared" si="712"/>
        <v>0</v>
      </c>
      <c r="P8811" s="903">
        <f t="shared" si="706"/>
        <v>1</v>
      </c>
      <c r="Q8811" s="893">
        <f t="shared" si="707"/>
        <v>7</v>
      </c>
      <c r="R8811" s="894">
        <f t="shared" si="708"/>
        <v>0</v>
      </c>
    </row>
    <row r="8812" spans="1:18">
      <c r="A8812" s="905"/>
      <c r="B8812" s="952"/>
      <c r="C8812" s="907">
        <v>237</v>
      </c>
      <c r="D8812" s="907" t="s">
        <v>279</v>
      </c>
      <c r="E8812" s="992" t="s">
        <v>6312</v>
      </c>
      <c r="F8812" s="905" t="s">
        <v>47</v>
      </c>
      <c r="G8812" s="1005"/>
      <c r="H8812" s="911">
        <v>0.2</v>
      </c>
      <c r="I8812" s="912">
        <f>VLOOKUP(E8812,[3]VLP!$B$7:$K$300,10,0)</f>
        <v>4545455</v>
      </c>
      <c r="J8812" s="912">
        <f t="shared" si="713"/>
        <v>909091</v>
      </c>
      <c r="K8812" s="912" t="s">
        <v>274</v>
      </c>
      <c r="L8812" s="912"/>
      <c r="M8812" s="912"/>
      <c r="N8812" s="912"/>
      <c r="O8812" s="892">
        <f t="shared" si="712"/>
        <v>0</v>
      </c>
      <c r="P8812" s="903">
        <f t="shared" si="706"/>
        <v>1</v>
      </c>
      <c r="Q8812" s="893">
        <f t="shared" si="707"/>
        <v>6</v>
      </c>
      <c r="R8812" s="894">
        <f t="shared" si="708"/>
        <v>0</v>
      </c>
    </row>
    <row r="8813" spans="1:18" s="847" customFormat="1">
      <c r="A8813" s="905"/>
      <c r="B8813" s="952"/>
      <c r="C8813" s="907">
        <v>699</v>
      </c>
      <c r="D8813" s="907" t="s">
        <v>279</v>
      </c>
      <c r="E8813" s="992" t="s">
        <v>4006</v>
      </c>
      <c r="F8813" s="905" t="s">
        <v>4007</v>
      </c>
      <c r="G8813" s="1005"/>
      <c r="H8813" s="911">
        <v>5</v>
      </c>
      <c r="I8813" s="912">
        <f>VLOOKUP(E8813,[3]VLP!$B$7:$K$300,10,0)</f>
        <v>5000</v>
      </c>
      <c r="J8813" s="912">
        <f t="shared" si="713"/>
        <v>25000</v>
      </c>
      <c r="K8813" s="912" t="s">
        <v>274</v>
      </c>
      <c r="L8813" s="912"/>
      <c r="M8813" s="912"/>
      <c r="N8813" s="912"/>
      <c r="O8813" s="892">
        <f t="shared" si="712"/>
        <v>0</v>
      </c>
      <c r="P8813" s="903">
        <f t="shared" si="706"/>
        <v>1</v>
      </c>
      <c r="Q8813" s="893">
        <f t="shared" si="707"/>
        <v>5</v>
      </c>
      <c r="R8813" s="894">
        <f t="shared" si="708"/>
        <v>0</v>
      </c>
    </row>
    <row r="8814" spans="1:18" s="904" customFormat="1">
      <c r="A8814" s="895"/>
      <c r="B8814" s="896"/>
      <c r="C8814" s="897"/>
      <c r="D8814" s="897"/>
      <c r="E8814" s="1002" t="s">
        <v>276</v>
      </c>
      <c r="F8814" s="1003"/>
      <c r="G8814" s="1004"/>
      <c r="H8814" s="901"/>
      <c r="I8814" s="902"/>
      <c r="J8814" s="902"/>
      <c r="K8814" s="912" t="s">
        <v>274</v>
      </c>
      <c r="L8814" s="902"/>
      <c r="M8814" s="902"/>
      <c r="N8814" s="902"/>
      <c r="O8814" s="892">
        <f t="shared" si="712"/>
        <v>0</v>
      </c>
      <c r="P8814" s="903">
        <f t="shared" si="706"/>
        <v>1</v>
      </c>
      <c r="Q8814" s="893">
        <f t="shared" si="707"/>
        <v>4</v>
      </c>
      <c r="R8814" s="894">
        <f t="shared" si="708"/>
        <v>0</v>
      </c>
    </row>
    <row r="8815" spans="1:18">
      <c r="A8815" s="905"/>
      <c r="B8815" s="952"/>
      <c r="C8815" s="907">
        <v>745</v>
      </c>
      <c r="D8815" s="907" t="s">
        <v>12</v>
      </c>
      <c r="E8815" s="992" t="s">
        <v>5518</v>
      </c>
      <c r="F8815" s="905" t="s">
        <v>2674</v>
      </c>
      <c r="G8815" s="1005"/>
      <c r="H8815" s="911">
        <v>6.93</v>
      </c>
      <c r="I8815" s="912"/>
      <c r="J8815" s="912"/>
      <c r="K8815" s="912">
        <f>VLOOKUP(E8815,[5]ĐMNC!$A$7:$F$67,4,0)</f>
        <v>240557</v>
      </c>
      <c r="L8815" s="912">
        <f>H8815*K8815</f>
        <v>1667060.01</v>
      </c>
      <c r="M8815" s="912"/>
      <c r="N8815" s="912"/>
      <c r="O8815" s="892">
        <f t="shared" si="712"/>
        <v>0</v>
      </c>
      <c r="P8815" s="903">
        <f t="shared" si="706"/>
        <v>1</v>
      </c>
      <c r="Q8815" s="893">
        <f t="shared" si="707"/>
        <v>3</v>
      </c>
      <c r="R8815" s="894">
        <f t="shared" si="708"/>
        <v>0</v>
      </c>
    </row>
    <row r="8816" spans="1:18" s="847" customFormat="1">
      <c r="A8816" s="895"/>
      <c r="B8816" s="896"/>
      <c r="C8816" s="897"/>
      <c r="D8816" s="897"/>
      <c r="E8816" s="1002" t="s">
        <v>3914</v>
      </c>
      <c r="F8816" s="1003"/>
      <c r="G8816" s="1004"/>
      <c r="H8816" s="901"/>
      <c r="I8816" s="902"/>
      <c r="J8816" s="902"/>
      <c r="K8816" s="912" t="s">
        <v>274</v>
      </c>
      <c r="L8816" s="902"/>
      <c r="M8816" s="902"/>
      <c r="N8816" s="902"/>
      <c r="O8816" s="892">
        <f t="shared" si="712"/>
        <v>0</v>
      </c>
      <c r="P8816" s="903">
        <f t="shared" si="706"/>
        <v>1</v>
      </c>
      <c r="Q8816" s="893">
        <f t="shared" si="707"/>
        <v>2</v>
      </c>
      <c r="R8816" s="894">
        <f t="shared" si="708"/>
        <v>0</v>
      </c>
    </row>
    <row r="8817" spans="1:18" s="904" customFormat="1">
      <c r="A8817" s="905"/>
      <c r="B8817" s="946" t="s">
        <v>6321</v>
      </c>
      <c r="C8817" s="907">
        <v>900</v>
      </c>
      <c r="D8817" s="907" t="s">
        <v>93</v>
      </c>
      <c r="E8817" s="992" t="s">
        <v>6322</v>
      </c>
      <c r="F8817" s="905" t="s">
        <v>2673</v>
      </c>
      <c r="G8817" s="1005"/>
      <c r="H8817" s="911">
        <v>0.33</v>
      </c>
      <c r="I8817" s="912"/>
      <c r="J8817" s="912"/>
      <c r="K8817" s="912"/>
      <c r="L8817" s="912"/>
      <c r="M8817" s="912">
        <f>VLOOKUP(B8817,MTC!$B$9:$S$933,12,0)</f>
        <v>1475268</v>
      </c>
      <c r="N8817" s="912">
        <f>M8817*H8817</f>
        <v>486838.44</v>
      </c>
      <c r="O8817" s="892">
        <f t="shared" si="712"/>
        <v>0</v>
      </c>
      <c r="P8817" s="903">
        <f t="shared" si="706"/>
        <v>1</v>
      </c>
      <c r="Q8817" s="893">
        <f t="shared" si="707"/>
        <v>1</v>
      </c>
      <c r="R8817" s="894">
        <f t="shared" si="708"/>
        <v>0</v>
      </c>
    </row>
    <row r="8818" spans="1:18" s="847" customFormat="1" ht="31.5">
      <c r="A8818" s="905">
        <v>21</v>
      </c>
      <c r="B8818" s="914" t="s">
        <v>6372</v>
      </c>
      <c r="C8818" s="915"/>
      <c r="D8818" s="915"/>
      <c r="E8818" s="1006" t="s">
        <v>6373</v>
      </c>
      <c r="F8818" s="1007" t="s">
        <v>160</v>
      </c>
      <c r="G8818" s="1008"/>
      <c r="H8818" s="919"/>
      <c r="I8818" s="920"/>
      <c r="J8818" s="891">
        <f>SUM(J8819:J8831)</f>
        <v>987797.5</v>
      </c>
      <c r="K8818" s="891"/>
      <c r="L8818" s="891">
        <f>SUM(L8819:L8831)</f>
        <v>1804177.5</v>
      </c>
      <c r="M8818" s="891"/>
      <c r="N8818" s="891">
        <f>SUM(N8819:N8831)</f>
        <v>531096.48</v>
      </c>
      <c r="O8818" s="892">
        <f t="shared" si="712"/>
        <v>1</v>
      </c>
      <c r="P8818" s="903">
        <f t="shared" si="706"/>
        <v>0</v>
      </c>
      <c r="Q8818" s="893">
        <f t="shared" si="707"/>
        <v>0</v>
      </c>
      <c r="R8818" s="894">
        <f t="shared" si="708"/>
        <v>13</v>
      </c>
    </row>
    <row r="8819" spans="1:18" s="904" customFormat="1">
      <c r="A8819" s="895"/>
      <c r="B8819" s="896"/>
      <c r="C8819" s="897"/>
      <c r="D8819" s="897"/>
      <c r="E8819" s="1002" t="s">
        <v>108</v>
      </c>
      <c r="F8819" s="1003"/>
      <c r="G8819" s="1004"/>
      <c r="H8819" s="901"/>
      <c r="I8819" s="902"/>
      <c r="J8819" s="902"/>
      <c r="K8819" s="912" t="s">
        <v>274</v>
      </c>
      <c r="L8819" s="902"/>
      <c r="M8819" s="902"/>
      <c r="N8819" s="902"/>
      <c r="O8819" s="892">
        <f t="shared" si="712"/>
        <v>0</v>
      </c>
      <c r="P8819" s="903">
        <f t="shared" ref="P8819:P8882" si="714">IF(O8819=0,1,0)</f>
        <v>1</v>
      </c>
      <c r="Q8819" s="893">
        <f t="shared" ref="Q8819:Q8882" si="715">IF(P8819=0,0,P8819+Q8820)</f>
        <v>13</v>
      </c>
      <c r="R8819" s="894">
        <f t="shared" ref="R8819:R8882" si="716">IF(Q8819=0,Q8820,0)</f>
        <v>0</v>
      </c>
    </row>
    <row r="8820" spans="1:18">
      <c r="A8820" s="905"/>
      <c r="B8820" s="952"/>
      <c r="C8820" s="907">
        <v>212</v>
      </c>
      <c r="D8820" s="907" t="s">
        <v>279</v>
      </c>
      <c r="E8820" s="992" t="s">
        <v>2681</v>
      </c>
      <c r="F8820" s="905" t="s">
        <v>45</v>
      </c>
      <c r="G8820" s="1005"/>
      <c r="H8820" s="911">
        <v>0.3</v>
      </c>
      <c r="I8820" s="912">
        <f>VLOOKUP(E8820,[3]VLP!$B$7:$K$300,10,0)</f>
        <v>23000</v>
      </c>
      <c r="J8820" s="912">
        <f t="shared" ref="J8820:J8827" si="717">I8820*H8820</f>
        <v>6900</v>
      </c>
      <c r="K8820" s="912" t="s">
        <v>274</v>
      </c>
      <c r="L8820" s="912"/>
      <c r="M8820" s="912"/>
      <c r="N8820" s="912"/>
      <c r="O8820" s="892">
        <f t="shared" si="712"/>
        <v>0</v>
      </c>
      <c r="P8820" s="903">
        <f t="shared" si="714"/>
        <v>1</v>
      </c>
      <c r="Q8820" s="893">
        <f t="shared" si="715"/>
        <v>12</v>
      </c>
      <c r="R8820" s="894">
        <f t="shared" si="716"/>
        <v>0</v>
      </c>
    </row>
    <row r="8821" spans="1:18" s="847" customFormat="1">
      <c r="A8821" s="905"/>
      <c r="B8821" s="952"/>
      <c r="C8821" s="907">
        <v>238</v>
      </c>
      <c r="D8821" s="907" t="s">
        <v>279</v>
      </c>
      <c r="E8821" s="992" t="s">
        <v>6363</v>
      </c>
      <c r="F8821" s="905" t="s">
        <v>45</v>
      </c>
      <c r="G8821" s="1005"/>
      <c r="H8821" s="911">
        <v>0.1</v>
      </c>
      <c r="I8821" s="912">
        <f>VLOOKUP(E8821,[3]VLP!$B$7:$K$300,10,0)</f>
        <v>40000</v>
      </c>
      <c r="J8821" s="912">
        <f t="shared" si="717"/>
        <v>4000</v>
      </c>
      <c r="K8821" s="912" t="s">
        <v>274</v>
      </c>
      <c r="L8821" s="912"/>
      <c r="M8821" s="912"/>
      <c r="N8821" s="912"/>
      <c r="O8821" s="892">
        <f t="shared" si="712"/>
        <v>0</v>
      </c>
      <c r="P8821" s="903">
        <f t="shared" si="714"/>
        <v>1</v>
      </c>
      <c r="Q8821" s="893">
        <f t="shared" si="715"/>
        <v>11</v>
      </c>
      <c r="R8821" s="894">
        <f t="shared" si="716"/>
        <v>0</v>
      </c>
    </row>
    <row r="8822" spans="1:18" s="904" customFormat="1">
      <c r="A8822" s="905"/>
      <c r="B8822" s="952"/>
      <c r="C8822" s="907">
        <v>318</v>
      </c>
      <c r="D8822" s="907" t="s">
        <v>279</v>
      </c>
      <c r="E8822" s="992" t="s">
        <v>5657</v>
      </c>
      <c r="F8822" s="905" t="s">
        <v>45</v>
      </c>
      <c r="G8822" s="1005"/>
      <c r="H8822" s="911">
        <v>0.3</v>
      </c>
      <c r="I8822" s="912">
        <f>VLOOKUP(E8822,[3]VLP!$B$7:$K$300,10,0)</f>
        <v>25155</v>
      </c>
      <c r="J8822" s="912">
        <f t="shared" si="717"/>
        <v>7546.5</v>
      </c>
      <c r="K8822" s="912" t="s">
        <v>274</v>
      </c>
      <c r="L8822" s="912"/>
      <c r="M8822" s="912"/>
      <c r="N8822" s="912"/>
      <c r="O8822" s="892">
        <f t="shared" si="712"/>
        <v>0</v>
      </c>
      <c r="P8822" s="903">
        <f t="shared" si="714"/>
        <v>1</v>
      </c>
      <c r="Q8822" s="893">
        <f t="shared" si="715"/>
        <v>10</v>
      </c>
      <c r="R8822" s="894">
        <f t="shared" si="716"/>
        <v>0</v>
      </c>
    </row>
    <row r="8823" spans="1:18">
      <c r="A8823" s="905"/>
      <c r="B8823" s="952"/>
      <c r="C8823" s="907">
        <v>234</v>
      </c>
      <c r="D8823" s="907" t="s">
        <v>279</v>
      </c>
      <c r="E8823" s="992" t="s">
        <v>5983</v>
      </c>
      <c r="F8823" s="905" t="s">
        <v>3144</v>
      </c>
      <c r="G8823" s="1005"/>
      <c r="H8823" s="911">
        <v>1</v>
      </c>
      <c r="I8823" s="912">
        <f>VLOOKUP(E8823,[3]VLP!$B$7:$K$300,10,0)</f>
        <v>14000</v>
      </c>
      <c r="J8823" s="912">
        <f t="shared" si="717"/>
        <v>14000</v>
      </c>
      <c r="K8823" s="912" t="s">
        <v>274</v>
      </c>
      <c r="L8823" s="912"/>
      <c r="M8823" s="912"/>
      <c r="N8823" s="912"/>
      <c r="O8823" s="892">
        <f t="shared" si="712"/>
        <v>0</v>
      </c>
      <c r="P8823" s="903">
        <f t="shared" si="714"/>
        <v>1</v>
      </c>
      <c r="Q8823" s="893">
        <f t="shared" si="715"/>
        <v>9</v>
      </c>
      <c r="R8823" s="894">
        <f t="shared" si="716"/>
        <v>0</v>
      </c>
    </row>
    <row r="8824" spans="1:18" s="847" customFormat="1">
      <c r="A8824" s="905"/>
      <c r="B8824" s="952"/>
      <c r="C8824" s="907">
        <v>309</v>
      </c>
      <c r="D8824" s="907" t="s">
        <v>279</v>
      </c>
      <c r="E8824" s="992" t="s">
        <v>3262</v>
      </c>
      <c r="F8824" s="905" t="s">
        <v>45</v>
      </c>
      <c r="G8824" s="1005"/>
      <c r="H8824" s="911">
        <v>0.2</v>
      </c>
      <c r="I8824" s="912">
        <f>VLOOKUP(E8824,[3]VLP!$B$7:$K$300,10,0)</f>
        <v>66300</v>
      </c>
      <c r="J8824" s="912">
        <f t="shared" si="717"/>
        <v>13260</v>
      </c>
      <c r="K8824" s="912" t="s">
        <v>274</v>
      </c>
      <c r="L8824" s="912"/>
      <c r="M8824" s="912"/>
      <c r="N8824" s="912"/>
      <c r="O8824" s="892">
        <f t="shared" si="712"/>
        <v>0</v>
      </c>
      <c r="P8824" s="903">
        <f t="shared" si="714"/>
        <v>1</v>
      </c>
      <c r="Q8824" s="893">
        <f t="shared" si="715"/>
        <v>8</v>
      </c>
      <c r="R8824" s="894">
        <f t="shared" si="716"/>
        <v>0</v>
      </c>
    </row>
    <row r="8825" spans="1:18" s="904" customFormat="1">
      <c r="A8825" s="905"/>
      <c r="B8825" s="952"/>
      <c r="C8825" s="907">
        <v>235</v>
      </c>
      <c r="D8825" s="907" t="s">
        <v>279</v>
      </c>
      <c r="E8825" s="992" t="s">
        <v>2682</v>
      </c>
      <c r="F8825" s="905" t="s">
        <v>45</v>
      </c>
      <c r="G8825" s="1005"/>
      <c r="H8825" s="911">
        <v>1.6</v>
      </c>
      <c r="I8825" s="912">
        <f>VLOOKUP(E8825,[3]VLP!$B$7:$K$300,10,0)</f>
        <v>5000</v>
      </c>
      <c r="J8825" s="912">
        <f t="shared" si="717"/>
        <v>8000</v>
      </c>
      <c r="K8825" s="912" t="s">
        <v>274</v>
      </c>
      <c r="L8825" s="912"/>
      <c r="M8825" s="912"/>
      <c r="N8825" s="912"/>
      <c r="O8825" s="892">
        <f t="shared" si="712"/>
        <v>0</v>
      </c>
      <c r="P8825" s="903">
        <f t="shared" si="714"/>
        <v>1</v>
      </c>
      <c r="Q8825" s="893">
        <f t="shared" si="715"/>
        <v>7</v>
      </c>
      <c r="R8825" s="894">
        <f t="shared" si="716"/>
        <v>0</v>
      </c>
    </row>
    <row r="8826" spans="1:18">
      <c r="A8826" s="905"/>
      <c r="B8826" s="952"/>
      <c r="C8826" s="907">
        <v>237</v>
      </c>
      <c r="D8826" s="907" t="s">
        <v>279</v>
      </c>
      <c r="E8826" s="992" t="s">
        <v>6312</v>
      </c>
      <c r="F8826" s="905" t="s">
        <v>47</v>
      </c>
      <c r="G8826" s="1005"/>
      <c r="H8826" s="911">
        <v>0.2</v>
      </c>
      <c r="I8826" s="912">
        <f>VLOOKUP(E8826,[3]VLP!$B$7:$K$300,10,0)</f>
        <v>4545455</v>
      </c>
      <c r="J8826" s="912">
        <f t="shared" si="717"/>
        <v>909091</v>
      </c>
      <c r="K8826" s="912" t="s">
        <v>274</v>
      </c>
      <c r="L8826" s="912"/>
      <c r="M8826" s="912"/>
      <c r="N8826" s="912"/>
      <c r="O8826" s="892">
        <f t="shared" si="712"/>
        <v>0</v>
      </c>
      <c r="P8826" s="903">
        <f t="shared" si="714"/>
        <v>1</v>
      </c>
      <c r="Q8826" s="893">
        <f t="shared" si="715"/>
        <v>6</v>
      </c>
      <c r="R8826" s="894">
        <f t="shared" si="716"/>
        <v>0</v>
      </c>
    </row>
    <row r="8827" spans="1:18" s="847" customFormat="1">
      <c r="A8827" s="905"/>
      <c r="B8827" s="952"/>
      <c r="C8827" s="907">
        <v>699</v>
      </c>
      <c r="D8827" s="907" t="s">
        <v>279</v>
      </c>
      <c r="E8827" s="992" t="s">
        <v>4006</v>
      </c>
      <c r="F8827" s="905" t="s">
        <v>4007</v>
      </c>
      <c r="G8827" s="1005"/>
      <c r="H8827" s="911">
        <v>5</v>
      </c>
      <c r="I8827" s="912">
        <f>VLOOKUP(E8827,[3]VLP!$B$7:$K$300,10,0)</f>
        <v>5000</v>
      </c>
      <c r="J8827" s="912">
        <f t="shared" si="717"/>
        <v>25000</v>
      </c>
      <c r="K8827" s="912" t="s">
        <v>274</v>
      </c>
      <c r="L8827" s="912"/>
      <c r="M8827" s="912"/>
      <c r="N8827" s="912"/>
      <c r="O8827" s="892">
        <f t="shared" si="712"/>
        <v>0</v>
      </c>
      <c r="P8827" s="903">
        <f t="shared" si="714"/>
        <v>1</v>
      </c>
      <c r="Q8827" s="893">
        <f t="shared" si="715"/>
        <v>5</v>
      </c>
      <c r="R8827" s="894">
        <f t="shared" si="716"/>
        <v>0</v>
      </c>
    </row>
    <row r="8828" spans="1:18" s="904" customFormat="1">
      <c r="A8828" s="895"/>
      <c r="B8828" s="896"/>
      <c r="C8828" s="897"/>
      <c r="D8828" s="897"/>
      <c r="E8828" s="1002" t="s">
        <v>276</v>
      </c>
      <c r="F8828" s="1003"/>
      <c r="G8828" s="1004"/>
      <c r="H8828" s="901"/>
      <c r="I8828" s="902"/>
      <c r="J8828" s="902"/>
      <c r="K8828" s="912" t="s">
        <v>274</v>
      </c>
      <c r="L8828" s="902"/>
      <c r="M8828" s="902"/>
      <c r="N8828" s="902"/>
      <c r="O8828" s="892">
        <f t="shared" si="712"/>
        <v>0</v>
      </c>
      <c r="P8828" s="903">
        <f t="shared" si="714"/>
        <v>1</v>
      </c>
      <c r="Q8828" s="893">
        <f t="shared" si="715"/>
        <v>4</v>
      </c>
      <c r="R8828" s="894">
        <f t="shared" si="716"/>
        <v>0</v>
      </c>
    </row>
    <row r="8829" spans="1:18">
      <c r="A8829" s="905"/>
      <c r="B8829" s="952"/>
      <c r="C8829" s="907">
        <v>745</v>
      </c>
      <c r="D8829" s="907" t="s">
        <v>12</v>
      </c>
      <c r="E8829" s="992" t="s">
        <v>5518</v>
      </c>
      <c r="F8829" s="905" t="s">
        <v>2674</v>
      </c>
      <c r="G8829" s="1005"/>
      <c r="H8829" s="911">
        <v>7.5</v>
      </c>
      <c r="I8829" s="912"/>
      <c r="J8829" s="912"/>
      <c r="K8829" s="912">
        <f>VLOOKUP(E8829,[5]ĐMNC!$A$7:$F$67,4,0)</f>
        <v>240557</v>
      </c>
      <c r="L8829" s="912">
        <f>H8829*K8829</f>
        <v>1804177.5</v>
      </c>
      <c r="M8829" s="912"/>
      <c r="N8829" s="912"/>
      <c r="O8829" s="892">
        <f t="shared" si="712"/>
        <v>0</v>
      </c>
      <c r="P8829" s="903">
        <f t="shared" si="714"/>
        <v>1</v>
      </c>
      <c r="Q8829" s="893">
        <f t="shared" si="715"/>
        <v>3</v>
      </c>
      <c r="R8829" s="894">
        <f t="shared" si="716"/>
        <v>0</v>
      </c>
    </row>
    <row r="8830" spans="1:18" s="847" customFormat="1">
      <c r="A8830" s="895"/>
      <c r="B8830" s="896"/>
      <c r="C8830" s="897"/>
      <c r="D8830" s="897"/>
      <c r="E8830" s="1002" t="s">
        <v>3914</v>
      </c>
      <c r="F8830" s="1003"/>
      <c r="G8830" s="1004"/>
      <c r="H8830" s="901"/>
      <c r="I8830" s="902"/>
      <c r="J8830" s="902"/>
      <c r="K8830" s="912" t="s">
        <v>274</v>
      </c>
      <c r="L8830" s="902"/>
      <c r="M8830" s="902"/>
      <c r="N8830" s="902"/>
      <c r="O8830" s="892">
        <f t="shared" si="712"/>
        <v>0</v>
      </c>
      <c r="P8830" s="903">
        <f t="shared" si="714"/>
        <v>1</v>
      </c>
      <c r="Q8830" s="893">
        <f t="shared" si="715"/>
        <v>2</v>
      </c>
      <c r="R8830" s="894">
        <f t="shared" si="716"/>
        <v>0</v>
      </c>
    </row>
    <row r="8831" spans="1:18" s="904" customFormat="1">
      <c r="A8831" s="905"/>
      <c r="B8831" s="946" t="s">
        <v>6321</v>
      </c>
      <c r="C8831" s="907">
        <v>900</v>
      </c>
      <c r="D8831" s="907" t="s">
        <v>93</v>
      </c>
      <c r="E8831" s="992" t="s">
        <v>6322</v>
      </c>
      <c r="F8831" s="905" t="s">
        <v>2673</v>
      </c>
      <c r="G8831" s="1005"/>
      <c r="H8831" s="911">
        <v>0.36</v>
      </c>
      <c r="I8831" s="912"/>
      <c r="J8831" s="912"/>
      <c r="K8831" s="912"/>
      <c r="L8831" s="912"/>
      <c r="M8831" s="912">
        <f>VLOOKUP(B8831,MTC!$B$9:$S$933,12,0)</f>
        <v>1475268</v>
      </c>
      <c r="N8831" s="912">
        <f>M8831*H8831</f>
        <v>531096.48</v>
      </c>
      <c r="O8831" s="892">
        <f t="shared" si="712"/>
        <v>0</v>
      </c>
      <c r="P8831" s="903">
        <f t="shared" si="714"/>
        <v>1</v>
      </c>
      <c r="Q8831" s="893">
        <f t="shared" si="715"/>
        <v>1</v>
      </c>
      <c r="R8831" s="894">
        <f t="shared" si="716"/>
        <v>0</v>
      </c>
    </row>
    <row r="8832" spans="1:18" ht="31.5">
      <c r="A8832" s="905">
        <v>22</v>
      </c>
      <c r="B8832" s="914" t="s">
        <v>1941</v>
      </c>
      <c r="C8832" s="915"/>
      <c r="D8832" s="915"/>
      <c r="E8832" s="1006" t="s">
        <v>6374</v>
      </c>
      <c r="F8832" s="1007" t="s">
        <v>160</v>
      </c>
      <c r="G8832" s="1008"/>
      <c r="H8832" s="919"/>
      <c r="I8832" s="920"/>
      <c r="J8832" s="891">
        <f>SUM(J8833:J8845)</f>
        <v>987797.5</v>
      </c>
      <c r="K8832" s="891"/>
      <c r="L8832" s="891">
        <f>SUM(L8833:L8845)</f>
        <v>1936483.85</v>
      </c>
      <c r="M8832" s="891"/>
      <c r="N8832" s="891">
        <f>SUM(N8833:N8845)</f>
        <v>575354.52</v>
      </c>
      <c r="O8832" s="892">
        <f t="shared" si="712"/>
        <v>1</v>
      </c>
      <c r="P8832" s="903">
        <f t="shared" si="714"/>
        <v>0</v>
      </c>
      <c r="Q8832" s="893">
        <f t="shared" si="715"/>
        <v>0</v>
      </c>
      <c r="R8832" s="894">
        <f t="shared" si="716"/>
        <v>13</v>
      </c>
    </row>
    <row r="8833" spans="1:18" s="847" customFormat="1">
      <c r="A8833" s="895"/>
      <c r="B8833" s="896"/>
      <c r="C8833" s="897"/>
      <c r="D8833" s="897"/>
      <c r="E8833" s="1002" t="s">
        <v>108</v>
      </c>
      <c r="F8833" s="1003"/>
      <c r="G8833" s="1004"/>
      <c r="H8833" s="901"/>
      <c r="I8833" s="902"/>
      <c r="J8833" s="902"/>
      <c r="K8833" s="912" t="s">
        <v>274</v>
      </c>
      <c r="L8833" s="902"/>
      <c r="M8833" s="902"/>
      <c r="N8833" s="902"/>
      <c r="O8833" s="892">
        <f t="shared" si="712"/>
        <v>0</v>
      </c>
      <c r="P8833" s="903">
        <f t="shared" si="714"/>
        <v>1</v>
      </c>
      <c r="Q8833" s="893">
        <f t="shared" si="715"/>
        <v>13</v>
      </c>
      <c r="R8833" s="894">
        <f t="shared" si="716"/>
        <v>0</v>
      </c>
    </row>
    <row r="8834" spans="1:18" s="904" customFormat="1">
      <c r="A8834" s="905"/>
      <c r="B8834" s="952"/>
      <c r="C8834" s="907">
        <v>212</v>
      </c>
      <c r="D8834" s="907" t="s">
        <v>279</v>
      </c>
      <c r="E8834" s="992" t="s">
        <v>2681</v>
      </c>
      <c r="F8834" s="905" t="s">
        <v>45</v>
      </c>
      <c r="G8834" s="1005"/>
      <c r="H8834" s="911">
        <v>0.3</v>
      </c>
      <c r="I8834" s="912">
        <f>VLOOKUP(E8834,[3]VLP!$B$7:$K$300,10,0)</f>
        <v>23000</v>
      </c>
      <c r="J8834" s="912">
        <f t="shared" ref="J8834:J8841" si="718">I8834*H8834</f>
        <v>6900</v>
      </c>
      <c r="K8834" s="912" t="s">
        <v>274</v>
      </c>
      <c r="L8834" s="912"/>
      <c r="M8834" s="912"/>
      <c r="N8834" s="912"/>
      <c r="O8834" s="892">
        <f t="shared" si="712"/>
        <v>0</v>
      </c>
      <c r="P8834" s="903">
        <f t="shared" si="714"/>
        <v>1</v>
      </c>
      <c r="Q8834" s="893">
        <f t="shared" si="715"/>
        <v>12</v>
      </c>
      <c r="R8834" s="894">
        <f t="shared" si="716"/>
        <v>0</v>
      </c>
    </row>
    <row r="8835" spans="1:18">
      <c r="A8835" s="905"/>
      <c r="B8835" s="952"/>
      <c r="C8835" s="907">
        <v>238</v>
      </c>
      <c r="D8835" s="907" t="s">
        <v>279</v>
      </c>
      <c r="E8835" s="992" t="s">
        <v>6363</v>
      </c>
      <c r="F8835" s="905" t="s">
        <v>45</v>
      </c>
      <c r="G8835" s="1005"/>
      <c r="H8835" s="911">
        <v>0.1</v>
      </c>
      <c r="I8835" s="912">
        <f>VLOOKUP(E8835,[3]VLP!$B$7:$K$300,10,0)</f>
        <v>40000</v>
      </c>
      <c r="J8835" s="912">
        <f t="shared" si="718"/>
        <v>4000</v>
      </c>
      <c r="K8835" s="912" t="s">
        <v>274</v>
      </c>
      <c r="L8835" s="912"/>
      <c r="M8835" s="912"/>
      <c r="N8835" s="912"/>
      <c r="O8835" s="892">
        <f t="shared" si="712"/>
        <v>0</v>
      </c>
      <c r="P8835" s="903">
        <f t="shared" si="714"/>
        <v>1</v>
      </c>
      <c r="Q8835" s="893">
        <f t="shared" si="715"/>
        <v>11</v>
      </c>
      <c r="R8835" s="894">
        <f t="shared" si="716"/>
        <v>0</v>
      </c>
    </row>
    <row r="8836" spans="1:18" s="847" customFormat="1">
      <c r="A8836" s="905"/>
      <c r="B8836" s="952"/>
      <c r="C8836" s="907">
        <v>318</v>
      </c>
      <c r="D8836" s="907" t="s">
        <v>279</v>
      </c>
      <c r="E8836" s="992" t="s">
        <v>5657</v>
      </c>
      <c r="F8836" s="905" t="s">
        <v>45</v>
      </c>
      <c r="G8836" s="1005"/>
      <c r="H8836" s="911">
        <v>0.3</v>
      </c>
      <c r="I8836" s="912">
        <f>VLOOKUP(E8836,[3]VLP!$B$7:$K$300,10,0)</f>
        <v>25155</v>
      </c>
      <c r="J8836" s="912">
        <f t="shared" si="718"/>
        <v>7546.5</v>
      </c>
      <c r="K8836" s="912" t="s">
        <v>274</v>
      </c>
      <c r="L8836" s="912"/>
      <c r="M8836" s="912"/>
      <c r="N8836" s="912"/>
      <c r="O8836" s="892">
        <f t="shared" si="712"/>
        <v>0</v>
      </c>
      <c r="P8836" s="903">
        <f t="shared" si="714"/>
        <v>1</v>
      </c>
      <c r="Q8836" s="893">
        <f t="shared" si="715"/>
        <v>10</v>
      </c>
      <c r="R8836" s="894">
        <f t="shared" si="716"/>
        <v>0</v>
      </c>
    </row>
    <row r="8837" spans="1:18" s="904" customFormat="1">
      <c r="A8837" s="905"/>
      <c r="B8837" s="952"/>
      <c r="C8837" s="907">
        <v>234</v>
      </c>
      <c r="D8837" s="907" t="s">
        <v>279</v>
      </c>
      <c r="E8837" s="992" t="s">
        <v>5983</v>
      </c>
      <c r="F8837" s="905" t="s">
        <v>3144</v>
      </c>
      <c r="G8837" s="1005"/>
      <c r="H8837" s="911">
        <v>1</v>
      </c>
      <c r="I8837" s="912">
        <f>VLOOKUP(E8837,[3]VLP!$B$7:$K$300,10,0)</f>
        <v>14000</v>
      </c>
      <c r="J8837" s="912">
        <f t="shared" si="718"/>
        <v>14000</v>
      </c>
      <c r="K8837" s="912" t="s">
        <v>274</v>
      </c>
      <c r="L8837" s="912"/>
      <c r="M8837" s="912"/>
      <c r="N8837" s="912"/>
      <c r="O8837" s="892">
        <f t="shared" si="712"/>
        <v>0</v>
      </c>
      <c r="P8837" s="903">
        <f t="shared" si="714"/>
        <v>1</v>
      </c>
      <c r="Q8837" s="893">
        <f t="shared" si="715"/>
        <v>9</v>
      </c>
      <c r="R8837" s="894">
        <f t="shared" si="716"/>
        <v>0</v>
      </c>
    </row>
    <row r="8838" spans="1:18">
      <c r="A8838" s="905"/>
      <c r="B8838" s="952"/>
      <c r="C8838" s="907">
        <v>309</v>
      </c>
      <c r="D8838" s="907" t="s">
        <v>279</v>
      </c>
      <c r="E8838" s="992" t="s">
        <v>3262</v>
      </c>
      <c r="F8838" s="905" t="s">
        <v>45</v>
      </c>
      <c r="G8838" s="1005"/>
      <c r="H8838" s="911">
        <v>0.2</v>
      </c>
      <c r="I8838" s="912">
        <f>VLOOKUP(E8838,[3]VLP!$B$7:$K$300,10,0)</f>
        <v>66300</v>
      </c>
      <c r="J8838" s="912">
        <f t="shared" si="718"/>
        <v>13260</v>
      </c>
      <c r="K8838" s="912" t="s">
        <v>274</v>
      </c>
      <c r="L8838" s="912"/>
      <c r="M8838" s="912"/>
      <c r="N8838" s="912"/>
      <c r="O8838" s="892">
        <f t="shared" si="712"/>
        <v>0</v>
      </c>
      <c r="P8838" s="903">
        <f t="shared" si="714"/>
        <v>1</v>
      </c>
      <c r="Q8838" s="893">
        <f t="shared" si="715"/>
        <v>8</v>
      </c>
      <c r="R8838" s="894">
        <f t="shared" si="716"/>
        <v>0</v>
      </c>
    </row>
    <row r="8839" spans="1:18" s="847" customFormat="1">
      <c r="A8839" s="905"/>
      <c r="B8839" s="952"/>
      <c r="C8839" s="907">
        <v>235</v>
      </c>
      <c r="D8839" s="907" t="s">
        <v>279</v>
      </c>
      <c r="E8839" s="992" t="s">
        <v>2682</v>
      </c>
      <c r="F8839" s="905" t="s">
        <v>45</v>
      </c>
      <c r="G8839" s="1005"/>
      <c r="H8839" s="911">
        <v>1.6</v>
      </c>
      <c r="I8839" s="912">
        <f>VLOOKUP(E8839,[3]VLP!$B$7:$K$300,10,0)</f>
        <v>5000</v>
      </c>
      <c r="J8839" s="912">
        <f t="shared" si="718"/>
        <v>8000</v>
      </c>
      <c r="K8839" s="912" t="s">
        <v>274</v>
      </c>
      <c r="L8839" s="912"/>
      <c r="M8839" s="912"/>
      <c r="N8839" s="912"/>
      <c r="O8839" s="892">
        <f t="shared" si="712"/>
        <v>0</v>
      </c>
      <c r="P8839" s="903">
        <f t="shared" si="714"/>
        <v>1</v>
      </c>
      <c r="Q8839" s="893">
        <f t="shared" si="715"/>
        <v>7</v>
      </c>
      <c r="R8839" s="894">
        <f t="shared" si="716"/>
        <v>0</v>
      </c>
    </row>
    <row r="8840" spans="1:18" s="904" customFormat="1">
      <c r="A8840" s="905"/>
      <c r="B8840" s="952"/>
      <c r="C8840" s="907">
        <v>237</v>
      </c>
      <c r="D8840" s="907" t="s">
        <v>279</v>
      </c>
      <c r="E8840" s="992" t="s">
        <v>6312</v>
      </c>
      <c r="F8840" s="905" t="s">
        <v>47</v>
      </c>
      <c r="G8840" s="1005"/>
      <c r="H8840" s="911">
        <v>0.2</v>
      </c>
      <c r="I8840" s="912">
        <f>VLOOKUP(E8840,[3]VLP!$B$7:$K$300,10,0)</f>
        <v>4545455</v>
      </c>
      <c r="J8840" s="912">
        <f t="shared" si="718"/>
        <v>909091</v>
      </c>
      <c r="K8840" s="912" t="s">
        <v>274</v>
      </c>
      <c r="L8840" s="912"/>
      <c r="M8840" s="912"/>
      <c r="N8840" s="912"/>
      <c r="O8840" s="892">
        <f t="shared" si="712"/>
        <v>0</v>
      </c>
      <c r="P8840" s="903">
        <f t="shared" si="714"/>
        <v>1</v>
      </c>
      <c r="Q8840" s="893">
        <f t="shared" si="715"/>
        <v>6</v>
      </c>
      <c r="R8840" s="894">
        <f t="shared" si="716"/>
        <v>0</v>
      </c>
    </row>
    <row r="8841" spans="1:18">
      <c r="A8841" s="905"/>
      <c r="B8841" s="952"/>
      <c r="C8841" s="907">
        <v>699</v>
      </c>
      <c r="D8841" s="907" t="s">
        <v>279</v>
      </c>
      <c r="E8841" s="992" t="s">
        <v>4006</v>
      </c>
      <c r="F8841" s="905" t="s">
        <v>4007</v>
      </c>
      <c r="G8841" s="1005"/>
      <c r="H8841" s="911">
        <v>5</v>
      </c>
      <c r="I8841" s="912">
        <f>VLOOKUP(E8841,[3]VLP!$B$7:$K$300,10,0)</f>
        <v>5000</v>
      </c>
      <c r="J8841" s="912">
        <f t="shared" si="718"/>
        <v>25000</v>
      </c>
      <c r="K8841" s="912" t="s">
        <v>274</v>
      </c>
      <c r="L8841" s="912"/>
      <c r="M8841" s="912"/>
      <c r="N8841" s="912"/>
      <c r="O8841" s="892">
        <f t="shared" si="712"/>
        <v>0</v>
      </c>
      <c r="P8841" s="903">
        <f t="shared" si="714"/>
        <v>1</v>
      </c>
      <c r="Q8841" s="893">
        <f t="shared" si="715"/>
        <v>5</v>
      </c>
      <c r="R8841" s="894">
        <f t="shared" si="716"/>
        <v>0</v>
      </c>
    </row>
    <row r="8842" spans="1:18" s="847" customFormat="1">
      <c r="A8842" s="895"/>
      <c r="B8842" s="896"/>
      <c r="C8842" s="897"/>
      <c r="D8842" s="897"/>
      <c r="E8842" s="1002" t="s">
        <v>276</v>
      </c>
      <c r="F8842" s="1003"/>
      <c r="G8842" s="1004"/>
      <c r="H8842" s="901"/>
      <c r="I8842" s="902"/>
      <c r="J8842" s="902"/>
      <c r="K8842" s="912" t="s">
        <v>274</v>
      </c>
      <c r="L8842" s="902"/>
      <c r="M8842" s="902"/>
      <c r="N8842" s="902"/>
      <c r="O8842" s="892">
        <f t="shared" si="712"/>
        <v>0</v>
      </c>
      <c r="P8842" s="903">
        <f t="shared" si="714"/>
        <v>1</v>
      </c>
      <c r="Q8842" s="893">
        <f t="shared" si="715"/>
        <v>4</v>
      </c>
      <c r="R8842" s="894">
        <f t="shared" si="716"/>
        <v>0</v>
      </c>
    </row>
    <row r="8843" spans="1:18" s="904" customFormat="1">
      <c r="A8843" s="905"/>
      <c r="B8843" s="952"/>
      <c r="C8843" s="907">
        <v>745</v>
      </c>
      <c r="D8843" s="907" t="s">
        <v>12</v>
      </c>
      <c r="E8843" s="992" t="s">
        <v>5518</v>
      </c>
      <c r="F8843" s="905" t="s">
        <v>2674</v>
      </c>
      <c r="G8843" s="1005"/>
      <c r="H8843" s="911">
        <v>8.0500000000000007</v>
      </c>
      <c r="I8843" s="912"/>
      <c r="J8843" s="912"/>
      <c r="K8843" s="912">
        <f>VLOOKUP(E8843,[5]ĐMNC!$A$7:$F$67,4,0)</f>
        <v>240557</v>
      </c>
      <c r="L8843" s="912">
        <f>H8843*K8843</f>
        <v>1936483.85</v>
      </c>
      <c r="M8843" s="912"/>
      <c r="N8843" s="912"/>
      <c r="O8843" s="892">
        <f t="shared" si="712"/>
        <v>0</v>
      </c>
      <c r="P8843" s="903">
        <f t="shared" si="714"/>
        <v>1</v>
      </c>
      <c r="Q8843" s="893">
        <f t="shared" si="715"/>
        <v>3</v>
      </c>
      <c r="R8843" s="894">
        <f t="shared" si="716"/>
        <v>0</v>
      </c>
    </row>
    <row r="8844" spans="1:18">
      <c r="A8844" s="895"/>
      <c r="B8844" s="896"/>
      <c r="C8844" s="897"/>
      <c r="D8844" s="897"/>
      <c r="E8844" s="1002" t="s">
        <v>3914</v>
      </c>
      <c r="F8844" s="1003"/>
      <c r="G8844" s="1004"/>
      <c r="H8844" s="901"/>
      <c r="I8844" s="902"/>
      <c r="J8844" s="902"/>
      <c r="K8844" s="912" t="s">
        <v>274</v>
      </c>
      <c r="L8844" s="902"/>
      <c r="M8844" s="902"/>
      <c r="N8844" s="902"/>
      <c r="O8844" s="892">
        <f t="shared" si="712"/>
        <v>0</v>
      </c>
      <c r="P8844" s="903">
        <f t="shared" si="714"/>
        <v>1</v>
      </c>
      <c r="Q8844" s="893">
        <f t="shared" si="715"/>
        <v>2</v>
      </c>
      <c r="R8844" s="894">
        <f t="shared" si="716"/>
        <v>0</v>
      </c>
    </row>
    <row r="8845" spans="1:18" s="847" customFormat="1">
      <c r="A8845" s="905"/>
      <c r="B8845" s="946" t="s">
        <v>6321</v>
      </c>
      <c r="C8845" s="907">
        <v>900</v>
      </c>
      <c r="D8845" s="907" t="s">
        <v>93</v>
      </c>
      <c r="E8845" s="992" t="s">
        <v>6322</v>
      </c>
      <c r="F8845" s="905" t="s">
        <v>2673</v>
      </c>
      <c r="G8845" s="1005"/>
      <c r="H8845" s="911">
        <v>0.39</v>
      </c>
      <c r="I8845" s="912"/>
      <c r="J8845" s="912"/>
      <c r="K8845" s="912"/>
      <c r="L8845" s="912"/>
      <c r="M8845" s="912">
        <f>VLOOKUP(B8845,MTC!$B$9:$S$933,12,0)</f>
        <v>1475268</v>
      </c>
      <c r="N8845" s="912">
        <f>M8845*H8845</f>
        <v>575354.52</v>
      </c>
      <c r="O8845" s="892">
        <f t="shared" si="712"/>
        <v>0</v>
      </c>
      <c r="P8845" s="903">
        <f t="shared" si="714"/>
        <v>1</v>
      </c>
      <c r="Q8845" s="893">
        <f t="shared" si="715"/>
        <v>1</v>
      </c>
      <c r="R8845" s="894">
        <f t="shared" si="716"/>
        <v>0</v>
      </c>
    </row>
    <row r="8846" spans="1:18" s="904" customFormat="1" ht="31.5">
      <c r="A8846" s="905" t="s">
        <v>6375</v>
      </c>
      <c r="B8846" s="914" t="s">
        <v>6376</v>
      </c>
      <c r="C8846" s="915"/>
      <c r="D8846" s="915"/>
      <c r="E8846" s="1006" t="s">
        <v>6377</v>
      </c>
      <c r="F8846" s="1007" t="s">
        <v>6378</v>
      </c>
      <c r="G8846" s="1008"/>
      <c r="H8846" s="919"/>
      <c r="I8846" s="920"/>
      <c r="J8846" s="891">
        <f>SUM(J8847:J8858)</f>
        <v>956282</v>
      </c>
      <c r="K8846" s="891"/>
      <c r="L8846" s="891">
        <f>SUM(L8847:L8858)</f>
        <v>673559.6</v>
      </c>
      <c r="M8846" s="891"/>
      <c r="N8846" s="891">
        <f>SUM(N8847:N8858)</f>
        <v>383569.68</v>
      </c>
      <c r="O8846" s="892">
        <f t="shared" si="712"/>
        <v>1</v>
      </c>
      <c r="P8846" s="903">
        <f t="shared" si="714"/>
        <v>0</v>
      </c>
      <c r="Q8846" s="893">
        <f t="shared" si="715"/>
        <v>0</v>
      </c>
      <c r="R8846" s="894">
        <f t="shared" si="716"/>
        <v>12</v>
      </c>
    </row>
    <row r="8847" spans="1:18">
      <c r="A8847" s="895"/>
      <c r="B8847" s="896"/>
      <c r="C8847" s="897"/>
      <c r="D8847" s="897"/>
      <c r="E8847" s="1002" t="s">
        <v>108</v>
      </c>
      <c r="F8847" s="1003"/>
      <c r="G8847" s="1004"/>
      <c r="H8847" s="901"/>
      <c r="I8847" s="902"/>
      <c r="J8847" s="902"/>
      <c r="K8847" s="912" t="s">
        <v>274</v>
      </c>
      <c r="L8847" s="902"/>
      <c r="M8847" s="902"/>
      <c r="N8847" s="902"/>
      <c r="O8847" s="892">
        <f t="shared" si="712"/>
        <v>0</v>
      </c>
      <c r="P8847" s="903">
        <f t="shared" si="714"/>
        <v>1</v>
      </c>
      <c r="Q8847" s="893">
        <f t="shared" si="715"/>
        <v>12</v>
      </c>
      <c r="R8847" s="894">
        <f t="shared" si="716"/>
        <v>0</v>
      </c>
    </row>
    <row r="8848" spans="1:18" s="847" customFormat="1">
      <c r="A8848" s="905"/>
      <c r="B8848" s="952"/>
      <c r="C8848" s="907">
        <v>212</v>
      </c>
      <c r="D8848" s="907" t="s">
        <v>279</v>
      </c>
      <c r="E8848" s="992" t="s">
        <v>2681</v>
      </c>
      <c r="F8848" s="905" t="s">
        <v>45</v>
      </c>
      <c r="G8848" s="1005"/>
      <c r="H8848" s="911">
        <v>0.3</v>
      </c>
      <c r="I8848" s="912">
        <f>VLOOKUP(E8848,[3]VLP!$B$7:$K$300,10,0)</f>
        <v>23000</v>
      </c>
      <c r="J8848" s="912">
        <f t="shared" ref="J8848:J8854" si="719">I8848*H8848</f>
        <v>6900</v>
      </c>
      <c r="K8848" s="912" t="s">
        <v>274</v>
      </c>
      <c r="L8848" s="912"/>
      <c r="M8848" s="912"/>
      <c r="N8848" s="912"/>
      <c r="O8848" s="892">
        <f t="shared" si="712"/>
        <v>0</v>
      </c>
      <c r="P8848" s="903">
        <f t="shared" si="714"/>
        <v>1</v>
      </c>
      <c r="Q8848" s="893">
        <f t="shared" si="715"/>
        <v>11</v>
      </c>
      <c r="R8848" s="894">
        <f t="shared" si="716"/>
        <v>0</v>
      </c>
    </row>
    <row r="8849" spans="1:18" s="904" customFormat="1">
      <c r="A8849" s="905"/>
      <c r="B8849" s="952"/>
      <c r="C8849" s="907">
        <v>318</v>
      </c>
      <c r="D8849" s="907" t="s">
        <v>279</v>
      </c>
      <c r="E8849" s="992" t="s">
        <v>5657</v>
      </c>
      <c r="F8849" s="905" t="s">
        <v>45</v>
      </c>
      <c r="G8849" s="1005"/>
      <c r="H8849" s="911">
        <v>0.2</v>
      </c>
      <c r="I8849" s="912">
        <f>VLOOKUP(E8849,[3]VLP!$B$7:$K$300,10,0)</f>
        <v>25155</v>
      </c>
      <c r="J8849" s="912">
        <f t="shared" si="719"/>
        <v>5031</v>
      </c>
      <c r="K8849" s="912" t="s">
        <v>274</v>
      </c>
      <c r="L8849" s="912"/>
      <c r="M8849" s="912"/>
      <c r="N8849" s="912"/>
      <c r="O8849" s="892">
        <f t="shared" si="712"/>
        <v>0</v>
      </c>
      <c r="P8849" s="903">
        <f t="shared" si="714"/>
        <v>1</v>
      </c>
      <c r="Q8849" s="893">
        <f t="shared" si="715"/>
        <v>10</v>
      </c>
      <c r="R8849" s="894">
        <f t="shared" si="716"/>
        <v>0</v>
      </c>
    </row>
    <row r="8850" spans="1:18">
      <c r="A8850" s="905"/>
      <c r="B8850" s="952"/>
      <c r="C8850" s="907">
        <v>234</v>
      </c>
      <c r="D8850" s="907" t="s">
        <v>279</v>
      </c>
      <c r="E8850" s="992" t="s">
        <v>5983</v>
      </c>
      <c r="F8850" s="905" t="s">
        <v>3144</v>
      </c>
      <c r="G8850" s="1005"/>
      <c r="H8850" s="911">
        <v>0.5</v>
      </c>
      <c r="I8850" s="912">
        <f>VLOOKUP(E8850,[3]VLP!$B$7:$K$300,10,0)</f>
        <v>14000</v>
      </c>
      <c r="J8850" s="912">
        <f t="shared" si="719"/>
        <v>7000</v>
      </c>
      <c r="K8850" s="912" t="s">
        <v>274</v>
      </c>
      <c r="L8850" s="912"/>
      <c r="M8850" s="912"/>
      <c r="N8850" s="912"/>
      <c r="O8850" s="892">
        <f t="shared" si="712"/>
        <v>0</v>
      </c>
      <c r="P8850" s="903">
        <f t="shared" si="714"/>
        <v>1</v>
      </c>
      <c r="Q8850" s="893">
        <f t="shared" si="715"/>
        <v>9</v>
      </c>
      <c r="R8850" s="894">
        <f t="shared" si="716"/>
        <v>0</v>
      </c>
    </row>
    <row r="8851" spans="1:18" s="847" customFormat="1">
      <c r="A8851" s="905"/>
      <c r="B8851" s="952"/>
      <c r="C8851" s="907">
        <v>309</v>
      </c>
      <c r="D8851" s="907" t="s">
        <v>279</v>
      </c>
      <c r="E8851" s="992" t="s">
        <v>3262</v>
      </c>
      <c r="F8851" s="905" t="s">
        <v>45</v>
      </c>
      <c r="G8851" s="1005"/>
      <c r="H8851" s="911">
        <v>0.2</v>
      </c>
      <c r="I8851" s="912">
        <f>VLOOKUP(E8851,[3]VLP!$B$7:$K$300,10,0)</f>
        <v>66300</v>
      </c>
      <c r="J8851" s="912">
        <f t="shared" si="719"/>
        <v>13260</v>
      </c>
      <c r="K8851" s="912" t="s">
        <v>274</v>
      </c>
      <c r="L8851" s="912"/>
      <c r="M8851" s="912"/>
      <c r="N8851" s="912"/>
      <c r="O8851" s="892">
        <f t="shared" si="712"/>
        <v>0</v>
      </c>
      <c r="P8851" s="903">
        <f t="shared" si="714"/>
        <v>1</v>
      </c>
      <c r="Q8851" s="893">
        <f t="shared" si="715"/>
        <v>8</v>
      </c>
      <c r="R8851" s="894">
        <f t="shared" si="716"/>
        <v>0</v>
      </c>
    </row>
    <row r="8852" spans="1:18" s="904" customFormat="1">
      <c r="A8852" s="905"/>
      <c r="B8852" s="952"/>
      <c r="C8852" s="907">
        <v>235</v>
      </c>
      <c r="D8852" s="907" t="s">
        <v>279</v>
      </c>
      <c r="E8852" s="992" t="s">
        <v>2682</v>
      </c>
      <c r="F8852" s="905" t="s">
        <v>45</v>
      </c>
      <c r="G8852" s="1005"/>
      <c r="H8852" s="911">
        <v>1</v>
      </c>
      <c r="I8852" s="912">
        <f>VLOOKUP(E8852,[3]VLP!$B$7:$K$300,10,0)</f>
        <v>5000</v>
      </c>
      <c r="J8852" s="912">
        <f t="shared" si="719"/>
        <v>5000</v>
      </c>
      <c r="K8852" s="912" t="s">
        <v>274</v>
      </c>
      <c r="L8852" s="912"/>
      <c r="M8852" s="912"/>
      <c r="N8852" s="912"/>
      <c r="O8852" s="892">
        <f t="shared" si="712"/>
        <v>0</v>
      </c>
      <c r="P8852" s="903">
        <f t="shared" si="714"/>
        <v>1</v>
      </c>
      <c r="Q8852" s="893">
        <f t="shared" si="715"/>
        <v>7</v>
      </c>
      <c r="R8852" s="894">
        <f t="shared" si="716"/>
        <v>0</v>
      </c>
    </row>
    <row r="8853" spans="1:18">
      <c r="A8853" s="905"/>
      <c r="B8853" s="952"/>
      <c r="C8853" s="907">
        <v>237</v>
      </c>
      <c r="D8853" s="907" t="s">
        <v>279</v>
      </c>
      <c r="E8853" s="992" t="s">
        <v>6312</v>
      </c>
      <c r="F8853" s="905" t="s">
        <v>47</v>
      </c>
      <c r="G8853" s="1005"/>
      <c r="H8853" s="911">
        <v>0.2</v>
      </c>
      <c r="I8853" s="912">
        <f>VLOOKUP(E8853,[3]VLP!$B$7:$K$300,10,0)</f>
        <v>4545455</v>
      </c>
      <c r="J8853" s="912">
        <f t="shared" si="719"/>
        <v>909091</v>
      </c>
      <c r="K8853" s="912" t="s">
        <v>274</v>
      </c>
      <c r="L8853" s="912"/>
      <c r="M8853" s="912"/>
      <c r="N8853" s="912"/>
      <c r="O8853" s="892">
        <f t="shared" si="712"/>
        <v>0</v>
      </c>
      <c r="P8853" s="903">
        <f t="shared" si="714"/>
        <v>1</v>
      </c>
      <c r="Q8853" s="893">
        <f t="shared" si="715"/>
        <v>6</v>
      </c>
      <c r="R8853" s="894">
        <f t="shared" si="716"/>
        <v>0</v>
      </c>
    </row>
    <row r="8854" spans="1:18" s="847" customFormat="1">
      <c r="A8854" s="905"/>
      <c r="B8854" s="952"/>
      <c r="C8854" s="907">
        <v>699</v>
      </c>
      <c r="D8854" s="907" t="s">
        <v>279</v>
      </c>
      <c r="E8854" s="992" t="s">
        <v>4006</v>
      </c>
      <c r="F8854" s="905" t="s">
        <v>4007</v>
      </c>
      <c r="G8854" s="1005"/>
      <c r="H8854" s="911">
        <v>2</v>
      </c>
      <c r="I8854" s="912">
        <f>VLOOKUP(E8854,[3]VLP!$B$7:$K$300,10,0)</f>
        <v>5000</v>
      </c>
      <c r="J8854" s="912">
        <f t="shared" si="719"/>
        <v>10000</v>
      </c>
      <c r="K8854" s="912" t="s">
        <v>274</v>
      </c>
      <c r="L8854" s="912"/>
      <c r="M8854" s="912"/>
      <c r="N8854" s="912"/>
      <c r="O8854" s="892">
        <f t="shared" si="712"/>
        <v>0</v>
      </c>
      <c r="P8854" s="903">
        <f t="shared" si="714"/>
        <v>1</v>
      </c>
      <c r="Q8854" s="893">
        <f t="shared" si="715"/>
        <v>5</v>
      </c>
      <c r="R8854" s="894">
        <f t="shared" si="716"/>
        <v>0</v>
      </c>
    </row>
    <row r="8855" spans="1:18" s="904" customFormat="1">
      <c r="A8855" s="895"/>
      <c r="B8855" s="896"/>
      <c r="C8855" s="897"/>
      <c r="D8855" s="897"/>
      <c r="E8855" s="1002" t="s">
        <v>276</v>
      </c>
      <c r="F8855" s="1003"/>
      <c r="G8855" s="1004"/>
      <c r="H8855" s="901"/>
      <c r="I8855" s="902"/>
      <c r="J8855" s="902"/>
      <c r="K8855" s="912" t="s">
        <v>274</v>
      </c>
      <c r="L8855" s="902"/>
      <c r="M8855" s="902"/>
      <c r="N8855" s="902"/>
      <c r="O8855" s="892">
        <f t="shared" si="712"/>
        <v>0</v>
      </c>
      <c r="P8855" s="903">
        <f t="shared" si="714"/>
        <v>1</v>
      </c>
      <c r="Q8855" s="893">
        <f t="shared" si="715"/>
        <v>4</v>
      </c>
      <c r="R8855" s="894">
        <f t="shared" si="716"/>
        <v>0</v>
      </c>
    </row>
    <row r="8856" spans="1:18">
      <c r="A8856" s="905"/>
      <c r="B8856" s="952"/>
      <c r="C8856" s="907">
        <v>745</v>
      </c>
      <c r="D8856" s="907" t="s">
        <v>12</v>
      </c>
      <c r="E8856" s="992" t="s">
        <v>5518</v>
      </c>
      <c r="F8856" s="905" t="s">
        <v>2674</v>
      </c>
      <c r="G8856" s="1005"/>
      <c r="H8856" s="911">
        <v>2.8</v>
      </c>
      <c r="I8856" s="912"/>
      <c r="J8856" s="912"/>
      <c r="K8856" s="912">
        <f>VLOOKUP(E8856,[5]ĐMNC!$A$7:$F$67,4,0)</f>
        <v>240557</v>
      </c>
      <c r="L8856" s="912">
        <f>H8856*K8856</f>
        <v>673559.6</v>
      </c>
      <c r="M8856" s="912"/>
      <c r="N8856" s="912"/>
      <c r="O8856" s="892">
        <f t="shared" si="712"/>
        <v>0</v>
      </c>
      <c r="P8856" s="903">
        <f t="shared" si="714"/>
        <v>1</v>
      </c>
      <c r="Q8856" s="893">
        <f t="shared" si="715"/>
        <v>3</v>
      </c>
      <c r="R8856" s="894">
        <f t="shared" si="716"/>
        <v>0</v>
      </c>
    </row>
    <row r="8857" spans="1:18">
      <c r="A8857" s="895"/>
      <c r="B8857" s="896"/>
      <c r="C8857" s="897"/>
      <c r="D8857" s="897"/>
      <c r="E8857" s="1002" t="s">
        <v>3914</v>
      </c>
      <c r="F8857" s="1003"/>
      <c r="G8857" s="1004"/>
      <c r="H8857" s="901"/>
      <c r="I8857" s="902"/>
      <c r="J8857" s="902"/>
      <c r="K8857" s="912" t="s">
        <v>274</v>
      </c>
      <c r="L8857" s="902"/>
      <c r="M8857" s="902"/>
      <c r="N8857" s="902"/>
      <c r="O8857" s="892">
        <f t="shared" si="712"/>
        <v>0</v>
      </c>
      <c r="P8857" s="903">
        <f t="shared" si="714"/>
        <v>1</v>
      </c>
      <c r="Q8857" s="893">
        <f t="shared" si="715"/>
        <v>2</v>
      </c>
      <c r="R8857" s="894">
        <f t="shared" si="716"/>
        <v>0</v>
      </c>
    </row>
    <row r="8858" spans="1:18" s="904" customFormat="1">
      <c r="A8858" s="905"/>
      <c r="B8858" s="946" t="s">
        <v>6321</v>
      </c>
      <c r="C8858" s="907">
        <v>900</v>
      </c>
      <c r="D8858" s="907" t="s">
        <v>93</v>
      </c>
      <c r="E8858" s="992" t="s">
        <v>6322</v>
      </c>
      <c r="F8858" s="905" t="s">
        <v>2673</v>
      </c>
      <c r="G8858" s="1005"/>
      <c r="H8858" s="911">
        <v>0.26</v>
      </c>
      <c r="I8858" s="912"/>
      <c r="J8858" s="912"/>
      <c r="K8858" s="912"/>
      <c r="L8858" s="912"/>
      <c r="M8858" s="912">
        <f>VLOOKUP(B8858,MTC!$B$9:$S$933,12,0)</f>
        <v>1475268</v>
      </c>
      <c r="N8858" s="912">
        <f>M8858*H8858</f>
        <v>383569.68</v>
      </c>
      <c r="O8858" s="892">
        <f t="shared" si="712"/>
        <v>0</v>
      </c>
      <c r="P8858" s="903">
        <f t="shared" si="714"/>
        <v>1</v>
      </c>
      <c r="Q8858" s="893">
        <f t="shared" si="715"/>
        <v>1</v>
      </c>
      <c r="R8858" s="894">
        <f t="shared" si="716"/>
        <v>0</v>
      </c>
    </row>
    <row r="8859" spans="1:18" ht="31.5">
      <c r="A8859" s="905">
        <v>24</v>
      </c>
      <c r="B8859" s="914" t="s">
        <v>6379</v>
      </c>
      <c r="C8859" s="915"/>
      <c r="D8859" s="915"/>
      <c r="E8859" s="1006" t="s">
        <v>6380</v>
      </c>
      <c r="F8859" s="1007" t="s">
        <v>6378</v>
      </c>
      <c r="G8859" s="1008"/>
      <c r="H8859" s="919"/>
      <c r="I8859" s="920"/>
      <c r="J8859" s="891">
        <f>SUM(J8860:J8871)</f>
        <v>961597.5</v>
      </c>
      <c r="K8859" s="891"/>
      <c r="L8859" s="891">
        <f>SUM(L8860:L8871)</f>
        <v>757754.54999999993</v>
      </c>
      <c r="M8859" s="891"/>
      <c r="N8859" s="891">
        <f>SUM(N8860:N8871)</f>
        <v>383569.68</v>
      </c>
      <c r="O8859" s="892">
        <f t="shared" si="712"/>
        <v>1</v>
      </c>
      <c r="P8859" s="903">
        <f t="shared" si="714"/>
        <v>0</v>
      </c>
      <c r="Q8859" s="893">
        <f t="shared" si="715"/>
        <v>0</v>
      </c>
      <c r="R8859" s="894">
        <f t="shared" si="716"/>
        <v>12</v>
      </c>
    </row>
    <row r="8860" spans="1:18" s="847" customFormat="1">
      <c r="A8860" s="895"/>
      <c r="B8860" s="896"/>
      <c r="C8860" s="897"/>
      <c r="D8860" s="897"/>
      <c r="E8860" s="1002" t="s">
        <v>108</v>
      </c>
      <c r="F8860" s="1003"/>
      <c r="G8860" s="1004"/>
      <c r="H8860" s="901"/>
      <c r="I8860" s="902"/>
      <c r="J8860" s="902"/>
      <c r="K8860" s="912" t="s">
        <v>274</v>
      </c>
      <c r="L8860" s="902"/>
      <c r="M8860" s="902"/>
      <c r="N8860" s="902"/>
      <c r="O8860" s="892">
        <f t="shared" si="712"/>
        <v>0</v>
      </c>
      <c r="P8860" s="903">
        <f t="shared" si="714"/>
        <v>1</v>
      </c>
      <c r="Q8860" s="893">
        <f t="shared" si="715"/>
        <v>12</v>
      </c>
      <c r="R8860" s="894">
        <f t="shared" si="716"/>
        <v>0</v>
      </c>
    </row>
    <row r="8861" spans="1:18" s="904" customFormat="1">
      <c r="A8861" s="905"/>
      <c r="B8861" s="952"/>
      <c r="C8861" s="907">
        <v>212</v>
      </c>
      <c r="D8861" s="907" t="s">
        <v>279</v>
      </c>
      <c r="E8861" s="992" t="s">
        <v>2681</v>
      </c>
      <c r="F8861" s="905" t="s">
        <v>45</v>
      </c>
      <c r="G8861" s="1005"/>
      <c r="H8861" s="911">
        <v>0.3</v>
      </c>
      <c r="I8861" s="912">
        <f>VLOOKUP(E8861,[3]VLP!$B$7:$K$300,10,0)</f>
        <v>23000</v>
      </c>
      <c r="J8861" s="912">
        <f t="shared" ref="J8861:J8867" si="720">I8861*H8861</f>
        <v>6900</v>
      </c>
      <c r="K8861" s="912" t="s">
        <v>274</v>
      </c>
      <c r="L8861" s="912"/>
      <c r="M8861" s="912"/>
      <c r="N8861" s="912"/>
      <c r="O8861" s="892">
        <f t="shared" si="712"/>
        <v>0</v>
      </c>
      <c r="P8861" s="903">
        <f t="shared" si="714"/>
        <v>1</v>
      </c>
      <c r="Q8861" s="893">
        <f t="shared" si="715"/>
        <v>11</v>
      </c>
      <c r="R8861" s="894">
        <f t="shared" si="716"/>
        <v>0</v>
      </c>
    </row>
    <row r="8862" spans="1:18">
      <c r="A8862" s="905"/>
      <c r="B8862" s="952"/>
      <c r="C8862" s="907">
        <v>318</v>
      </c>
      <c r="D8862" s="907" t="s">
        <v>279</v>
      </c>
      <c r="E8862" s="992" t="s">
        <v>5657</v>
      </c>
      <c r="F8862" s="905" t="s">
        <v>45</v>
      </c>
      <c r="G8862" s="1005"/>
      <c r="H8862" s="911">
        <v>0.3</v>
      </c>
      <c r="I8862" s="912">
        <f>VLOOKUP(E8862,[3]VLP!$B$7:$K$300,10,0)</f>
        <v>25155</v>
      </c>
      <c r="J8862" s="912">
        <f t="shared" si="720"/>
        <v>7546.5</v>
      </c>
      <c r="K8862" s="912" t="s">
        <v>274</v>
      </c>
      <c r="L8862" s="912"/>
      <c r="M8862" s="912"/>
      <c r="N8862" s="912"/>
      <c r="O8862" s="892">
        <f t="shared" si="712"/>
        <v>0</v>
      </c>
      <c r="P8862" s="903">
        <f t="shared" si="714"/>
        <v>1</v>
      </c>
      <c r="Q8862" s="893">
        <f t="shared" si="715"/>
        <v>10</v>
      </c>
      <c r="R8862" s="894">
        <f t="shared" si="716"/>
        <v>0</v>
      </c>
    </row>
    <row r="8863" spans="1:18" s="904" customFormat="1">
      <c r="A8863" s="905"/>
      <c r="B8863" s="952"/>
      <c r="C8863" s="907">
        <v>234</v>
      </c>
      <c r="D8863" s="907" t="s">
        <v>279</v>
      </c>
      <c r="E8863" s="992" t="s">
        <v>5983</v>
      </c>
      <c r="F8863" s="905" t="s">
        <v>3144</v>
      </c>
      <c r="G8863" s="1005"/>
      <c r="H8863" s="911">
        <v>0.7</v>
      </c>
      <c r="I8863" s="912">
        <f>VLOOKUP(E8863,[3]VLP!$B$7:$K$300,10,0)</f>
        <v>14000</v>
      </c>
      <c r="J8863" s="912">
        <f t="shared" si="720"/>
        <v>9800</v>
      </c>
      <c r="K8863" s="912" t="s">
        <v>274</v>
      </c>
      <c r="L8863" s="912"/>
      <c r="M8863" s="912"/>
      <c r="N8863" s="912"/>
      <c r="O8863" s="892">
        <f t="shared" ref="O8863:O8926" si="721">IF(AND(B8863&lt;&gt;"",D8863=""),1,0)</f>
        <v>0</v>
      </c>
      <c r="P8863" s="903">
        <f t="shared" si="714"/>
        <v>1</v>
      </c>
      <c r="Q8863" s="893">
        <f t="shared" si="715"/>
        <v>9</v>
      </c>
      <c r="R8863" s="894">
        <f t="shared" si="716"/>
        <v>0</v>
      </c>
    </row>
    <row r="8864" spans="1:18">
      <c r="A8864" s="905"/>
      <c r="B8864" s="952"/>
      <c r="C8864" s="907">
        <v>309</v>
      </c>
      <c r="D8864" s="907" t="s">
        <v>279</v>
      </c>
      <c r="E8864" s="992" t="s">
        <v>3262</v>
      </c>
      <c r="F8864" s="905" t="s">
        <v>45</v>
      </c>
      <c r="G8864" s="1005"/>
      <c r="H8864" s="911">
        <v>0.2</v>
      </c>
      <c r="I8864" s="912">
        <f>VLOOKUP(E8864,[3]VLP!$B$7:$K$300,10,0)</f>
        <v>66300</v>
      </c>
      <c r="J8864" s="912">
        <f t="shared" si="720"/>
        <v>13260</v>
      </c>
      <c r="K8864" s="912" t="s">
        <v>274</v>
      </c>
      <c r="L8864" s="912"/>
      <c r="M8864" s="912"/>
      <c r="N8864" s="912"/>
      <c r="O8864" s="892">
        <f t="shared" si="721"/>
        <v>0</v>
      </c>
      <c r="P8864" s="903">
        <f t="shared" si="714"/>
        <v>1</v>
      </c>
      <c r="Q8864" s="893">
        <f t="shared" si="715"/>
        <v>8</v>
      </c>
      <c r="R8864" s="894">
        <f t="shared" si="716"/>
        <v>0</v>
      </c>
    </row>
    <row r="8865" spans="1:18" s="847" customFormat="1">
      <c r="A8865" s="905"/>
      <c r="B8865" s="952"/>
      <c r="C8865" s="907">
        <v>235</v>
      </c>
      <c r="D8865" s="907" t="s">
        <v>279</v>
      </c>
      <c r="E8865" s="992" t="s">
        <v>2682</v>
      </c>
      <c r="F8865" s="905" t="s">
        <v>45</v>
      </c>
      <c r="G8865" s="1005"/>
      <c r="H8865" s="911">
        <v>1</v>
      </c>
      <c r="I8865" s="912">
        <f>VLOOKUP(E8865,[3]VLP!$B$7:$K$300,10,0)</f>
        <v>5000</v>
      </c>
      <c r="J8865" s="912">
        <f t="shared" si="720"/>
        <v>5000</v>
      </c>
      <c r="K8865" s="912" t="s">
        <v>274</v>
      </c>
      <c r="L8865" s="912"/>
      <c r="M8865" s="912"/>
      <c r="N8865" s="912"/>
      <c r="O8865" s="892">
        <f t="shared" si="721"/>
        <v>0</v>
      </c>
      <c r="P8865" s="903">
        <f t="shared" si="714"/>
        <v>1</v>
      </c>
      <c r="Q8865" s="893">
        <f t="shared" si="715"/>
        <v>7</v>
      </c>
      <c r="R8865" s="894">
        <f t="shared" si="716"/>
        <v>0</v>
      </c>
    </row>
    <row r="8866" spans="1:18" s="904" customFormat="1">
      <c r="A8866" s="905"/>
      <c r="B8866" s="952"/>
      <c r="C8866" s="907">
        <v>237</v>
      </c>
      <c r="D8866" s="907" t="s">
        <v>279</v>
      </c>
      <c r="E8866" s="992" t="s">
        <v>6312</v>
      </c>
      <c r="F8866" s="905" t="s">
        <v>47</v>
      </c>
      <c r="G8866" s="1005"/>
      <c r="H8866" s="911">
        <v>0.2</v>
      </c>
      <c r="I8866" s="912">
        <f>VLOOKUP(E8866,[3]VLP!$B$7:$K$300,10,0)</f>
        <v>4545455</v>
      </c>
      <c r="J8866" s="912">
        <f t="shared" si="720"/>
        <v>909091</v>
      </c>
      <c r="K8866" s="912" t="s">
        <v>274</v>
      </c>
      <c r="L8866" s="912"/>
      <c r="M8866" s="912"/>
      <c r="N8866" s="912"/>
      <c r="O8866" s="892">
        <f t="shared" si="721"/>
        <v>0</v>
      </c>
      <c r="P8866" s="903">
        <f t="shared" si="714"/>
        <v>1</v>
      </c>
      <c r="Q8866" s="893">
        <f t="shared" si="715"/>
        <v>6</v>
      </c>
      <c r="R8866" s="894">
        <f t="shared" si="716"/>
        <v>0</v>
      </c>
    </row>
    <row r="8867" spans="1:18">
      <c r="A8867" s="905"/>
      <c r="B8867" s="952"/>
      <c r="C8867" s="907">
        <v>699</v>
      </c>
      <c r="D8867" s="907" t="s">
        <v>279</v>
      </c>
      <c r="E8867" s="992" t="s">
        <v>4006</v>
      </c>
      <c r="F8867" s="905" t="s">
        <v>4007</v>
      </c>
      <c r="G8867" s="1005"/>
      <c r="H8867" s="911">
        <v>2</v>
      </c>
      <c r="I8867" s="912">
        <f>VLOOKUP(E8867,[3]VLP!$B$7:$K$300,10,0)</f>
        <v>5000</v>
      </c>
      <c r="J8867" s="912">
        <f t="shared" si="720"/>
        <v>10000</v>
      </c>
      <c r="K8867" s="912" t="s">
        <v>274</v>
      </c>
      <c r="L8867" s="912"/>
      <c r="M8867" s="912"/>
      <c r="N8867" s="912"/>
      <c r="O8867" s="892">
        <f t="shared" si="721"/>
        <v>0</v>
      </c>
      <c r="P8867" s="903">
        <f t="shared" si="714"/>
        <v>1</v>
      </c>
      <c r="Q8867" s="893">
        <f t="shared" si="715"/>
        <v>5</v>
      </c>
      <c r="R8867" s="894">
        <f t="shared" si="716"/>
        <v>0</v>
      </c>
    </row>
    <row r="8868" spans="1:18" s="904" customFormat="1">
      <c r="A8868" s="895"/>
      <c r="B8868" s="896"/>
      <c r="C8868" s="897"/>
      <c r="D8868" s="897"/>
      <c r="E8868" s="1002" t="s">
        <v>276</v>
      </c>
      <c r="F8868" s="1003"/>
      <c r="G8868" s="1004"/>
      <c r="H8868" s="901"/>
      <c r="I8868" s="902"/>
      <c r="J8868" s="902"/>
      <c r="K8868" s="912" t="s">
        <v>274</v>
      </c>
      <c r="L8868" s="902"/>
      <c r="M8868" s="902"/>
      <c r="N8868" s="902"/>
      <c r="O8868" s="892">
        <f t="shared" si="721"/>
        <v>0</v>
      </c>
      <c r="P8868" s="903">
        <f t="shared" si="714"/>
        <v>1</v>
      </c>
      <c r="Q8868" s="893">
        <f t="shared" si="715"/>
        <v>4</v>
      </c>
      <c r="R8868" s="894">
        <f t="shared" si="716"/>
        <v>0</v>
      </c>
    </row>
    <row r="8869" spans="1:18">
      <c r="A8869" s="905"/>
      <c r="B8869" s="952"/>
      <c r="C8869" s="907">
        <v>745</v>
      </c>
      <c r="D8869" s="907" t="s">
        <v>12</v>
      </c>
      <c r="E8869" s="992" t="s">
        <v>5518</v>
      </c>
      <c r="F8869" s="905" t="s">
        <v>2674</v>
      </c>
      <c r="G8869" s="1005"/>
      <c r="H8869" s="911">
        <v>3.15</v>
      </c>
      <c r="I8869" s="912"/>
      <c r="J8869" s="912"/>
      <c r="K8869" s="912">
        <f>VLOOKUP(E8869,[5]ĐMNC!$A$7:$F$67,4,0)</f>
        <v>240557</v>
      </c>
      <c r="L8869" s="912">
        <f>H8869*K8869</f>
        <v>757754.54999999993</v>
      </c>
      <c r="M8869" s="912"/>
      <c r="N8869" s="912"/>
      <c r="O8869" s="892">
        <f t="shared" si="721"/>
        <v>0</v>
      </c>
      <c r="P8869" s="903">
        <f t="shared" si="714"/>
        <v>1</v>
      </c>
      <c r="Q8869" s="893">
        <f t="shared" si="715"/>
        <v>3</v>
      </c>
      <c r="R8869" s="894">
        <f t="shared" si="716"/>
        <v>0</v>
      </c>
    </row>
    <row r="8870" spans="1:18" s="847" customFormat="1">
      <c r="A8870" s="895"/>
      <c r="B8870" s="896"/>
      <c r="C8870" s="897"/>
      <c r="D8870" s="897"/>
      <c r="E8870" s="1002" t="s">
        <v>3914</v>
      </c>
      <c r="F8870" s="1003"/>
      <c r="G8870" s="1004"/>
      <c r="H8870" s="901"/>
      <c r="I8870" s="902"/>
      <c r="J8870" s="902"/>
      <c r="K8870" s="912" t="s">
        <v>274</v>
      </c>
      <c r="L8870" s="902"/>
      <c r="M8870" s="902"/>
      <c r="N8870" s="902"/>
      <c r="O8870" s="892">
        <f t="shared" si="721"/>
        <v>0</v>
      </c>
      <c r="P8870" s="903">
        <f t="shared" si="714"/>
        <v>1</v>
      </c>
      <c r="Q8870" s="893">
        <f t="shared" si="715"/>
        <v>2</v>
      </c>
      <c r="R8870" s="894">
        <f t="shared" si="716"/>
        <v>0</v>
      </c>
    </row>
    <row r="8871" spans="1:18" s="904" customFormat="1">
      <c r="A8871" s="905"/>
      <c r="B8871" s="946" t="s">
        <v>6321</v>
      </c>
      <c r="C8871" s="907">
        <v>900</v>
      </c>
      <c r="D8871" s="907" t="s">
        <v>93</v>
      </c>
      <c r="E8871" s="992" t="s">
        <v>6322</v>
      </c>
      <c r="F8871" s="905" t="s">
        <v>2673</v>
      </c>
      <c r="G8871" s="1005"/>
      <c r="H8871" s="911">
        <v>0.26</v>
      </c>
      <c r="I8871" s="912"/>
      <c r="J8871" s="912"/>
      <c r="K8871" s="912"/>
      <c r="L8871" s="912"/>
      <c r="M8871" s="912">
        <f>VLOOKUP(B8871,MTC!$B$9:$S$933,12,0)</f>
        <v>1475268</v>
      </c>
      <c r="N8871" s="912">
        <f>M8871*H8871</f>
        <v>383569.68</v>
      </c>
      <c r="O8871" s="892">
        <f t="shared" si="721"/>
        <v>0</v>
      </c>
      <c r="P8871" s="903">
        <f t="shared" si="714"/>
        <v>1</v>
      </c>
      <c r="Q8871" s="893">
        <f t="shared" si="715"/>
        <v>1</v>
      </c>
      <c r="R8871" s="894">
        <f t="shared" si="716"/>
        <v>0</v>
      </c>
    </row>
    <row r="8872" spans="1:18" ht="31.5">
      <c r="A8872" s="905">
        <v>25</v>
      </c>
      <c r="B8872" s="914" t="s">
        <v>6381</v>
      </c>
      <c r="C8872" s="915"/>
      <c r="D8872" s="915"/>
      <c r="E8872" s="1006" t="s">
        <v>6382</v>
      </c>
      <c r="F8872" s="1007" t="s">
        <v>6378</v>
      </c>
      <c r="G8872" s="1008"/>
      <c r="H8872" s="919"/>
      <c r="I8872" s="920"/>
      <c r="J8872" s="891">
        <f>SUM(J8873:J8884)</f>
        <v>968797.5</v>
      </c>
      <c r="K8872" s="891"/>
      <c r="L8872" s="891">
        <f>SUM(L8873:L8884)</f>
        <v>926144.45000000007</v>
      </c>
      <c r="M8872" s="891"/>
      <c r="N8872" s="891">
        <f>SUM(N8873:N8884)</f>
        <v>383569.68</v>
      </c>
      <c r="O8872" s="892">
        <f t="shared" si="721"/>
        <v>1</v>
      </c>
      <c r="P8872" s="903">
        <f t="shared" si="714"/>
        <v>0</v>
      </c>
      <c r="Q8872" s="893">
        <f t="shared" si="715"/>
        <v>0</v>
      </c>
      <c r="R8872" s="894">
        <f t="shared" si="716"/>
        <v>12</v>
      </c>
    </row>
    <row r="8873" spans="1:18" s="904" customFormat="1">
      <c r="A8873" s="895"/>
      <c r="B8873" s="896"/>
      <c r="C8873" s="897"/>
      <c r="D8873" s="897"/>
      <c r="E8873" s="1002" t="s">
        <v>108</v>
      </c>
      <c r="F8873" s="1003"/>
      <c r="G8873" s="1004"/>
      <c r="H8873" s="901"/>
      <c r="I8873" s="902"/>
      <c r="J8873" s="902"/>
      <c r="K8873" s="912" t="s">
        <v>274</v>
      </c>
      <c r="L8873" s="902"/>
      <c r="M8873" s="902"/>
      <c r="N8873" s="902"/>
      <c r="O8873" s="892">
        <f t="shared" si="721"/>
        <v>0</v>
      </c>
      <c r="P8873" s="903">
        <f t="shared" si="714"/>
        <v>1</v>
      </c>
      <c r="Q8873" s="893">
        <f t="shared" si="715"/>
        <v>12</v>
      </c>
      <c r="R8873" s="894">
        <f t="shared" si="716"/>
        <v>0</v>
      </c>
    </row>
    <row r="8874" spans="1:18">
      <c r="A8874" s="905"/>
      <c r="B8874" s="952"/>
      <c r="C8874" s="907">
        <v>212</v>
      </c>
      <c r="D8874" s="907" t="s">
        <v>279</v>
      </c>
      <c r="E8874" s="992" t="s">
        <v>2681</v>
      </c>
      <c r="F8874" s="905" t="s">
        <v>45</v>
      </c>
      <c r="G8874" s="1005"/>
      <c r="H8874" s="911">
        <v>0.3</v>
      </c>
      <c r="I8874" s="912">
        <f>VLOOKUP(E8874,[3]VLP!$B$7:$K$300,10,0)</f>
        <v>23000</v>
      </c>
      <c r="J8874" s="912">
        <f t="shared" ref="J8874:J8880" si="722">I8874*H8874</f>
        <v>6900</v>
      </c>
      <c r="K8874" s="912" t="s">
        <v>274</v>
      </c>
      <c r="L8874" s="912"/>
      <c r="M8874" s="912"/>
      <c r="N8874" s="912"/>
      <c r="O8874" s="892">
        <f t="shared" si="721"/>
        <v>0</v>
      </c>
      <c r="P8874" s="903">
        <f t="shared" si="714"/>
        <v>1</v>
      </c>
      <c r="Q8874" s="893">
        <f t="shared" si="715"/>
        <v>11</v>
      </c>
      <c r="R8874" s="894">
        <f t="shared" si="716"/>
        <v>0</v>
      </c>
    </row>
    <row r="8875" spans="1:18" s="847" customFormat="1">
      <c r="A8875" s="905"/>
      <c r="B8875" s="952"/>
      <c r="C8875" s="907">
        <v>318</v>
      </c>
      <c r="D8875" s="907" t="s">
        <v>279</v>
      </c>
      <c r="E8875" s="992" t="s">
        <v>5657</v>
      </c>
      <c r="F8875" s="905" t="s">
        <v>45</v>
      </c>
      <c r="G8875" s="1005"/>
      <c r="H8875" s="911">
        <v>0.3</v>
      </c>
      <c r="I8875" s="912">
        <f>VLOOKUP(E8875,[3]VLP!$B$7:$K$300,10,0)</f>
        <v>25155</v>
      </c>
      <c r="J8875" s="912">
        <f t="shared" si="722"/>
        <v>7546.5</v>
      </c>
      <c r="K8875" s="912" t="s">
        <v>274</v>
      </c>
      <c r="L8875" s="912"/>
      <c r="M8875" s="912"/>
      <c r="N8875" s="912"/>
      <c r="O8875" s="892">
        <f t="shared" si="721"/>
        <v>0</v>
      </c>
      <c r="P8875" s="903">
        <f t="shared" si="714"/>
        <v>1</v>
      </c>
      <c r="Q8875" s="893">
        <f t="shared" si="715"/>
        <v>10</v>
      </c>
      <c r="R8875" s="894">
        <f t="shared" si="716"/>
        <v>0</v>
      </c>
    </row>
    <row r="8876" spans="1:18" s="904" customFormat="1">
      <c r="A8876" s="905"/>
      <c r="B8876" s="952"/>
      <c r="C8876" s="907">
        <v>234</v>
      </c>
      <c r="D8876" s="907" t="s">
        <v>279</v>
      </c>
      <c r="E8876" s="992" t="s">
        <v>5983</v>
      </c>
      <c r="F8876" s="905" t="s">
        <v>3144</v>
      </c>
      <c r="G8876" s="1005"/>
      <c r="H8876" s="911">
        <v>1</v>
      </c>
      <c r="I8876" s="912">
        <f>VLOOKUP(E8876,[3]VLP!$B$7:$K$300,10,0)</f>
        <v>14000</v>
      </c>
      <c r="J8876" s="912">
        <f t="shared" si="722"/>
        <v>14000</v>
      </c>
      <c r="K8876" s="912" t="s">
        <v>274</v>
      </c>
      <c r="L8876" s="912"/>
      <c r="M8876" s="912"/>
      <c r="N8876" s="912"/>
      <c r="O8876" s="892">
        <f t="shared" si="721"/>
        <v>0</v>
      </c>
      <c r="P8876" s="903">
        <f t="shared" si="714"/>
        <v>1</v>
      </c>
      <c r="Q8876" s="893">
        <f t="shared" si="715"/>
        <v>9</v>
      </c>
      <c r="R8876" s="894">
        <f t="shared" si="716"/>
        <v>0</v>
      </c>
    </row>
    <row r="8877" spans="1:18">
      <c r="A8877" s="905"/>
      <c r="B8877" s="952"/>
      <c r="C8877" s="907">
        <v>309</v>
      </c>
      <c r="D8877" s="907" t="s">
        <v>279</v>
      </c>
      <c r="E8877" s="992" t="s">
        <v>3262</v>
      </c>
      <c r="F8877" s="905" t="s">
        <v>45</v>
      </c>
      <c r="G8877" s="1005"/>
      <c r="H8877" s="911">
        <v>0.2</v>
      </c>
      <c r="I8877" s="912">
        <f>VLOOKUP(E8877,[3]VLP!$B$7:$K$300,10,0)</f>
        <v>66300</v>
      </c>
      <c r="J8877" s="912">
        <f t="shared" si="722"/>
        <v>13260</v>
      </c>
      <c r="K8877" s="912" t="s">
        <v>274</v>
      </c>
      <c r="L8877" s="912"/>
      <c r="M8877" s="912"/>
      <c r="N8877" s="912"/>
      <c r="O8877" s="892">
        <f t="shared" si="721"/>
        <v>0</v>
      </c>
      <c r="P8877" s="903">
        <f t="shared" si="714"/>
        <v>1</v>
      </c>
      <c r="Q8877" s="893">
        <f t="shared" si="715"/>
        <v>8</v>
      </c>
      <c r="R8877" s="894">
        <f t="shared" si="716"/>
        <v>0</v>
      </c>
    </row>
    <row r="8878" spans="1:18" s="904" customFormat="1">
      <c r="A8878" s="905"/>
      <c r="B8878" s="952"/>
      <c r="C8878" s="907">
        <v>235</v>
      </c>
      <c r="D8878" s="907" t="s">
        <v>279</v>
      </c>
      <c r="E8878" s="992" t="s">
        <v>2682</v>
      </c>
      <c r="F8878" s="905" t="s">
        <v>45</v>
      </c>
      <c r="G8878" s="1005"/>
      <c r="H8878" s="911">
        <v>1.6</v>
      </c>
      <c r="I8878" s="912">
        <f>VLOOKUP(E8878,[3]VLP!$B$7:$K$300,10,0)</f>
        <v>5000</v>
      </c>
      <c r="J8878" s="912">
        <f t="shared" si="722"/>
        <v>8000</v>
      </c>
      <c r="K8878" s="912" t="s">
        <v>274</v>
      </c>
      <c r="L8878" s="912"/>
      <c r="M8878" s="912"/>
      <c r="N8878" s="912"/>
      <c r="O8878" s="892">
        <f t="shared" si="721"/>
        <v>0</v>
      </c>
      <c r="P8878" s="903">
        <f t="shared" si="714"/>
        <v>1</v>
      </c>
      <c r="Q8878" s="893">
        <f t="shared" si="715"/>
        <v>7</v>
      </c>
      <c r="R8878" s="894">
        <f t="shared" si="716"/>
        <v>0</v>
      </c>
    </row>
    <row r="8879" spans="1:18">
      <c r="A8879" s="905"/>
      <c r="B8879" s="952"/>
      <c r="C8879" s="907">
        <v>237</v>
      </c>
      <c r="D8879" s="907" t="s">
        <v>279</v>
      </c>
      <c r="E8879" s="992" t="s">
        <v>6312</v>
      </c>
      <c r="F8879" s="905" t="s">
        <v>47</v>
      </c>
      <c r="G8879" s="1005"/>
      <c r="H8879" s="911">
        <v>0.2</v>
      </c>
      <c r="I8879" s="912">
        <f>VLOOKUP(E8879,[3]VLP!$B$7:$K$300,10,0)</f>
        <v>4545455</v>
      </c>
      <c r="J8879" s="912">
        <f t="shared" si="722"/>
        <v>909091</v>
      </c>
      <c r="K8879" s="912" t="s">
        <v>274</v>
      </c>
      <c r="L8879" s="912"/>
      <c r="M8879" s="912"/>
      <c r="N8879" s="912"/>
      <c r="O8879" s="892">
        <f t="shared" si="721"/>
        <v>0</v>
      </c>
      <c r="P8879" s="903">
        <f t="shared" si="714"/>
        <v>1</v>
      </c>
      <c r="Q8879" s="893">
        <f t="shared" si="715"/>
        <v>6</v>
      </c>
      <c r="R8879" s="894">
        <f t="shared" si="716"/>
        <v>0</v>
      </c>
    </row>
    <row r="8880" spans="1:18" s="847" customFormat="1">
      <c r="A8880" s="905"/>
      <c r="B8880" s="952"/>
      <c r="C8880" s="907">
        <v>699</v>
      </c>
      <c r="D8880" s="907" t="s">
        <v>279</v>
      </c>
      <c r="E8880" s="992" t="s">
        <v>4006</v>
      </c>
      <c r="F8880" s="905" t="s">
        <v>4007</v>
      </c>
      <c r="G8880" s="1005"/>
      <c r="H8880" s="911">
        <v>2</v>
      </c>
      <c r="I8880" s="912">
        <f>VLOOKUP(E8880,[3]VLP!$B$7:$K$300,10,0)</f>
        <v>5000</v>
      </c>
      <c r="J8880" s="912">
        <f t="shared" si="722"/>
        <v>10000</v>
      </c>
      <c r="K8880" s="912" t="s">
        <v>274</v>
      </c>
      <c r="L8880" s="912"/>
      <c r="M8880" s="912"/>
      <c r="N8880" s="912"/>
      <c r="O8880" s="892">
        <f t="shared" si="721"/>
        <v>0</v>
      </c>
      <c r="P8880" s="903">
        <f t="shared" si="714"/>
        <v>1</v>
      </c>
      <c r="Q8880" s="893">
        <f t="shared" si="715"/>
        <v>5</v>
      </c>
      <c r="R8880" s="894">
        <f t="shared" si="716"/>
        <v>0</v>
      </c>
    </row>
    <row r="8881" spans="1:18" s="904" customFormat="1">
      <c r="A8881" s="895"/>
      <c r="B8881" s="896"/>
      <c r="C8881" s="897"/>
      <c r="D8881" s="897"/>
      <c r="E8881" s="1002" t="s">
        <v>276</v>
      </c>
      <c r="F8881" s="1003"/>
      <c r="G8881" s="1004"/>
      <c r="H8881" s="901"/>
      <c r="I8881" s="902"/>
      <c r="J8881" s="902"/>
      <c r="K8881" s="912" t="s">
        <v>274</v>
      </c>
      <c r="L8881" s="902"/>
      <c r="M8881" s="902"/>
      <c r="N8881" s="902"/>
      <c r="O8881" s="892">
        <f t="shared" si="721"/>
        <v>0</v>
      </c>
      <c r="P8881" s="903">
        <f t="shared" si="714"/>
        <v>1</v>
      </c>
      <c r="Q8881" s="893">
        <f t="shared" si="715"/>
        <v>4</v>
      </c>
      <c r="R8881" s="894">
        <f t="shared" si="716"/>
        <v>0</v>
      </c>
    </row>
    <row r="8882" spans="1:18">
      <c r="A8882" s="905"/>
      <c r="B8882" s="952"/>
      <c r="C8882" s="907">
        <v>745</v>
      </c>
      <c r="D8882" s="907" t="s">
        <v>12</v>
      </c>
      <c r="E8882" s="992" t="s">
        <v>5518</v>
      </c>
      <c r="F8882" s="905" t="s">
        <v>2674</v>
      </c>
      <c r="G8882" s="1005"/>
      <c r="H8882" s="911">
        <v>3.85</v>
      </c>
      <c r="I8882" s="912"/>
      <c r="J8882" s="912"/>
      <c r="K8882" s="912">
        <f>VLOOKUP(E8882,[5]ĐMNC!$A$7:$F$67,4,0)</f>
        <v>240557</v>
      </c>
      <c r="L8882" s="912">
        <f>H8882*K8882</f>
        <v>926144.45000000007</v>
      </c>
      <c r="M8882" s="912"/>
      <c r="N8882" s="912"/>
      <c r="O8882" s="892">
        <f t="shared" si="721"/>
        <v>0</v>
      </c>
      <c r="P8882" s="903">
        <f t="shared" si="714"/>
        <v>1</v>
      </c>
      <c r="Q8882" s="893">
        <f t="shared" si="715"/>
        <v>3</v>
      </c>
      <c r="R8882" s="894">
        <f t="shared" si="716"/>
        <v>0</v>
      </c>
    </row>
    <row r="8883" spans="1:18" s="904" customFormat="1">
      <c r="A8883" s="895"/>
      <c r="B8883" s="896"/>
      <c r="C8883" s="897"/>
      <c r="D8883" s="897"/>
      <c r="E8883" s="1002" t="s">
        <v>3914</v>
      </c>
      <c r="F8883" s="1003"/>
      <c r="G8883" s="1004"/>
      <c r="H8883" s="901"/>
      <c r="I8883" s="902"/>
      <c r="J8883" s="902"/>
      <c r="K8883" s="912" t="s">
        <v>274</v>
      </c>
      <c r="L8883" s="902"/>
      <c r="M8883" s="902"/>
      <c r="N8883" s="902"/>
      <c r="O8883" s="892">
        <f t="shared" si="721"/>
        <v>0</v>
      </c>
      <c r="P8883" s="903">
        <f t="shared" ref="P8883:P8946" si="723">IF(O8883=0,1,0)</f>
        <v>1</v>
      </c>
      <c r="Q8883" s="893">
        <f t="shared" ref="Q8883:Q8946" si="724">IF(P8883=0,0,P8883+Q8884)</f>
        <v>2</v>
      </c>
      <c r="R8883" s="894">
        <f t="shared" ref="R8883:R8946" si="725">IF(Q8883=0,Q8884,0)</f>
        <v>0</v>
      </c>
    </row>
    <row r="8884" spans="1:18">
      <c r="A8884" s="905"/>
      <c r="B8884" s="946" t="s">
        <v>6321</v>
      </c>
      <c r="C8884" s="907">
        <v>900</v>
      </c>
      <c r="D8884" s="907" t="s">
        <v>93</v>
      </c>
      <c r="E8884" s="992" t="s">
        <v>6322</v>
      </c>
      <c r="F8884" s="905" t="s">
        <v>2673</v>
      </c>
      <c r="G8884" s="1005"/>
      <c r="H8884" s="911">
        <v>0.26</v>
      </c>
      <c r="I8884" s="912"/>
      <c r="J8884" s="912"/>
      <c r="K8884" s="912"/>
      <c r="L8884" s="912"/>
      <c r="M8884" s="912">
        <f>VLOOKUP(B8884,MTC!$B$9:$S$933,12,0)</f>
        <v>1475268</v>
      </c>
      <c r="N8884" s="912">
        <f>M8884*H8884</f>
        <v>383569.68</v>
      </c>
      <c r="O8884" s="892">
        <f t="shared" si="721"/>
        <v>0</v>
      </c>
      <c r="P8884" s="903">
        <f t="shared" si="723"/>
        <v>1</v>
      </c>
      <c r="Q8884" s="893">
        <f t="shared" si="724"/>
        <v>1</v>
      </c>
      <c r="R8884" s="894">
        <f t="shared" si="725"/>
        <v>0</v>
      </c>
    </row>
    <row r="8885" spans="1:18" s="847" customFormat="1" ht="31.5">
      <c r="A8885" s="905">
        <v>26</v>
      </c>
      <c r="B8885" s="914" t="s">
        <v>6383</v>
      </c>
      <c r="C8885" s="915"/>
      <c r="D8885" s="915"/>
      <c r="E8885" s="1006" t="s">
        <v>6384</v>
      </c>
      <c r="F8885" s="1007" t="s">
        <v>6378</v>
      </c>
      <c r="G8885" s="1008"/>
      <c r="H8885" s="919"/>
      <c r="I8885" s="920"/>
      <c r="J8885" s="891">
        <f>SUM(J8886:J8897)</f>
        <v>968797.5</v>
      </c>
      <c r="K8885" s="891"/>
      <c r="L8885" s="891">
        <f>SUM(L8886:L8897)</f>
        <v>1094534.3499999999</v>
      </c>
      <c r="M8885" s="891"/>
      <c r="N8885" s="891">
        <f>SUM(N8886:N8897)</f>
        <v>383569.68</v>
      </c>
      <c r="O8885" s="892">
        <f t="shared" si="721"/>
        <v>1</v>
      </c>
      <c r="P8885" s="903">
        <f t="shared" si="723"/>
        <v>0</v>
      </c>
      <c r="Q8885" s="893">
        <f t="shared" si="724"/>
        <v>0</v>
      </c>
      <c r="R8885" s="894">
        <f t="shared" si="725"/>
        <v>12</v>
      </c>
    </row>
    <row r="8886" spans="1:18" s="904" customFormat="1">
      <c r="A8886" s="895"/>
      <c r="B8886" s="896"/>
      <c r="C8886" s="897"/>
      <c r="D8886" s="897"/>
      <c r="E8886" s="1002" t="s">
        <v>108</v>
      </c>
      <c r="F8886" s="1003"/>
      <c r="G8886" s="1004"/>
      <c r="H8886" s="901"/>
      <c r="I8886" s="902"/>
      <c r="J8886" s="902"/>
      <c r="K8886" s="912" t="s">
        <v>274</v>
      </c>
      <c r="L8886" s="902"/>
      <c r="M8886" s="902"/>
      <c r="N8886" s="902"/>
      <c r="O8886" s="892">
        <f t="shared" si="721"/>
        <v>0</v>
      </c>
      <c r="P8886" s="903">
        <f t="shared" si="723"/>
        <v>1</v>
      </c>
      <c r="Q8886" s="893">
        <f t="shared" si="724"/>
        <v>12</v>
      </c>
      <c r="R8886" s="894">
        <f t="shared" si="725"/>
        <v>0</v>
      </c>
    </row>
    <row r="8887" spans="1:18">
      <c r="A8887" s="905"/>
      <c r="B8887" s="952"/>
      <c r="C8887" s="907">
        <v>212</v>
      </c>
      <c r="D8887" s="907" t="s">
        <v>279</v>
      </c>
      <c r="E8887" s="992" t="s">
        <v>2681</v>
      </c>
      <c r="F8887" s="905" t="s">
        <v>45</v>
      </c>
      <c r="G8887" s="1005"/>
      <c r="H8887" s="911">
        <v>0.3</v>
      </c>
      <c r="I8887" s="912">
        <f>VLOOKUP(E8887,[3]VLP!$B$7:$K$300,10,0)</f>
        <v>23000</v>
      </c>
      <c r="J8887" s="912">
        <f t="shared" ref="J8887:J8893" si="726">I8887*H8887</f>
        <v>6900</v>
      </c>
      <c r="K8887" s="912" t="s">
        <v>274</v>
      </c>
      <c r="L8887" s="912"/>
      <c r="M8887" s="912"/>
      <c r="N8887" s="912"/>
      <c r="O8887" s="892">
        <f t="shared" si="721"/>
        <v>0</v>
      </c>
      <c r="P8887" s="903">
        <f t="shared" si="723"/>
        <v>1</v>
      </c>
      <c r="Q8887" s="893">
        <f t="shared" si="724"/>
        <v>11</v>
      </c>
      <c r="R8887" s="894">
        <f t="shared" si="725"/>
        <v>0</v>
      </c>
    </row>
    <row r="8888" spans="1:18" s="904" customFormat="1">
      <c r="A8888" s="905"/>
      <c r="B8888" s="952"/>
      <c r="C8888" s="907">
        <v>318</v>
      </c>
      <c r="D8888" s="907" t="s">
        <v>279</v>
      </c>
      <c r="E8888" s="992" t="s">
        <v>5657</v>
      </c>
      <c r="F8888" s="905" t="s">
        <v>45</v>
      </c>
      <c r="G8888" s="1005"/>
      <c r="H8888" s="911">
        <v>0.3</v>
      </c>
      <c r="I8888" s="912">
        <f>VLOOKUP(E8888,[3]VLP!$B$7:$K$300,10,0)</f>
        <v>25155</v>
      </c>
      <c r="J8888" s="912">
        <f t="shared" si="726"/>
        <v>7546.5</v>
      </c>
      <c r="K8888" s="912" t="s">
        <v>274</v>
      </c>
      <c r="L8888" s="912"/>
      <c r="M8888" s="912"/>
      <c r="N8888" s="912"/>
      <c r="O8888" s="892">
        <f t="shared" si="721"/>
        <v>0</v>
      </c>
      <c r="P8888" s="903">
        <f t="shared" si="723"/>
        <v>1</v>
      </c>
      <c r="Q8888" s="893">
        <f t="shared" si="724"/>
        <v>10</v>
      </c>
      <c r="R8888" s="894">
        <f t="shared" si="725"/>
        <v>0</v>
      </c>
    </row>
    <row r="8889" spans="1:18">
      <c r="A8889" s="905"/>
      <c r="B8889" s="952"/>
      <c r="C8889" s="907">
        <v>234</v>
      </c>
      <c r="D8889" s="907" t="s">
        <v>279</v>
      </c>
      <c r="E8889" s="992" t="s">
        <v>5983</v>
      </c>
      <c r="F8889" s="905" t="s">
        <v>3144</v>
      </c>
      <c r="G8889" s="1005"/>
      <c r="H8889" s="911">
        <v>1</v>
      </c>
      <c r="I8889" s="912">
        <f>VLOOKUP(E8889,[3]VLP!$B$7:$K$300,10,0)</f>
        <v>14000</v>
      </c>
      <c r="J8889" s="912">
        <f t="shared" si="726"/>
        <v>14000</v>
      </c>
      <c r="K8889" s="912" t="s">
        <v>274</v>
      </c>
      <c r="L8889" s="912"/>
      <c r="M8889" s="912"/>
      <c r="N8889" s="912"/>
      <c r="O8889" s="892">
        <f t="shared" si="721"/>
        <v>0</v>
      </c>
      <c r="P8889" s="903">
        <f t="shared" si="723"/>
        <v>1</v>
      </c>
      <c r="Q8889" s="893">
        <f t="shared" si="724"/>
        <v>9</v>
      </c>
      <c r="R8889" s="894">
        <f t="shared" si="725"/>
        <v>0</v>
      </c>
    </row>
    <row r="8890" spans="1:18" s="847" customFormat="1">
      <c r="A8890" s="905"/>
      <c r="B8890" s="952"/>
      <c r="C8890" s="907">
        <v>309</v>
      </c>
      <c r="D8890" s="907" t="s">
        <v>279</v>
      </c>
      <c r="E8890" s="992" t="s">
        <v>3262</v>
      </c>
      <c r="F8890" s="905" t="s">
        <v>45</v>
      </c>
      <c r="G8890" s="1005"/>
      <c r="H8890" s="911">
        <v>0.2</v>
      </c>
      <c r="I8890" s="912">
        <f>VLOOKUP(E8890,[3]VLP!$B$7:$K$300,10,0)</f>
        <v>66300</v>
      </c>
      <c r="J8890" s="912">
        <f t="shared" si="726"/>
        <v>13260</v>
      </c>
      <c r="K8890" s="912" t="s">
        <v>274</v>
      </c>
      <c r="L8890" s="912"/>
      <c r="M8890" s="912"/>
      <c r="N8890" s="912"/>
      <c r="O8890" s="892">
        <f t="shared" si="721"/>
        <v>0</v>
      </c>
      <c r="P8890" s="903">
        <f t="shared" si="723"/>
        <v>1</v>
      </c>
      <c r="Q8890" s="893">
        <f t="shared" si="724"/>
        <v>8</v>
      </c>
      <c r="R8890" s="894">
        <f t="shared" si="725"/>
        <v>0</v>
      </c>
    </row>
    <row r="8891" spans="1:18" s="904" customFormat="1">
      <c r="A8891" s="905"/>
      <c r="B8891" s="952"/>
      <c r="C8891" s="907">
        <v>235</v>
      </c>
      <c r="D8891" s="907" t="s">
        <v>279</v>
      </c>
      <c r="E8891" s="992" t="s">
        <v>2682</v>
      </c>
      <c r="F8891" s="905" t="s">
        <v>45</v>
      </c>
      <c r="G8891" s="1005"/>
      <c r="H8891" s="911">
        <v>1.6</v>
      </c>
      <c r="I8891" s="912">
        <f>VLOOKUP(E8891,[3]VLP!$B$7:$K$300,10,0)</f>
        <v>5000</v>
      </c>
      <c r="J8891" s="912">
        <f t="shared" si="726"/>
        <v>8000</v>
      </c>
      <c r="K8891" s="912" t="s">
        <v>274</v>
      </c>
      <c r="L8891" s="912"/>
      <c r="M8891" s="912"/>
      <c r="N8891" s="912"/>
      <c r="O8891" s="892">
        <f t="shared" si="721"/>
        <v>0</v>
      </c>
      <c r="P8891" s="903">
        <f t="shared" si="723"/>
        <v>1</v>
      </c>
      <c r="Q8891" s="893">
        <f t="shared" si="724"/>
        <v>7</v>
      </c>
      <c r="R8891" s="894">
        <f t="shared" si="725"/>
        <v>0</v>
      </c>
    </row>
    <row r="8892" spans="1:18">
      <c r="A8892" s="905"/>
      <c r="B8892" s="952"/>
      <c r="C8892" s="907">
        <v>237</v>
      </c>
      <c r="D8892" s="907" t="s">
        <v>279</v>
      </c>
      <c r="E8892" s="992" t="s">
        <v>6312</v>
      </c>
      <c r="F8892" s="905" t="s">
        <v>47</v>
      </c>
      <c r="G8892" s="1005"/>
      <c r="H8892" s="911">
        <v>0.2</v>
      </c>
      <c r="I8892" s="912">
        <f>VLOOKUP(E8892,[3]VLP!$B$7:$K$300,10,0)</f>
        <v>4545455</v>
      </c>
      <c r="J8892" s="912">
        <f t="shared" si="726"/>
        <v>909091</v>
      </c>
      <c r="K8892" s="912" t="s">
        <v>274</v>
      </c>
      <c r="L8892" s="912"/>
      <c r="M8892" s="912"/>
      <c r="N8892" s="912"/>
      <c r="O8892" s="892">
        <f t="shared" si="721"/>
        <v>0</v>
      </c>
      <c r="P8892" s="903">
        <f t="shared" si="723"/>
        <v>1</v>
      </c>
      <c r="Q8892" s="893">
        <f t="shared" si="724"/>
        <v>6</v>
      </c>
      <c r="R8892" s="894">
        <f t="shared" si="725"/>
        <v>0</v>
      </c>
    </row>
    <row r="8893" spans="1:18" s="904" customFormat="1">
      <c r="A8893" s="905"/>
      <c r="B8893" s="952"/>
      <c r="C8893" s="907">
        <v>699</v>
      </c>
      <c r="D8893" s="907" t="s">
        <v>279</v>
      </c>
      <c r="E8893" s="992" t="s">
        <v>4006</v>
      </c>
      <c r="F8893" s="905" t="s">
        <v>4007</v>
      </c>
      <c r="G8893" s="1005"/>
      <c r="H8893" s="911">
        <v>2</v>
      </c>
      <c r="I8893" s="912">
        <f>VLOOKUP(E8893,[3]VLP!$B$7:$K$300,10,0)</f>
        <v>5000</v>
      </c>
      <c r="J8893" s="912">
        <f t="shared" si="726"/>
        <v>10000</v>
      </c>
      <c r="K8893" s="912" t="s">
        <v>274</v>
      </c>
      <c r="L8893" s="912"/>
      <c r="M8893" s="912"/>
      <c r="N8893" s="912"/>
      <c r="O8893" s="892">
        <f t="shared" si="721"/>
        <v>0</v>
      </c>
      <c r="P8893" s="903">
        <f t="shared" si="723"/>
        <v>1</v>
      </c>
      <c r="Q8893" s="893">
        <f t="shared" si="724"/>
        <v>5</v>
      </c>
      <c r="R8893" s="894">
        <f t="shared" si="725"/>
        <v>0</v>
      </c>
    </row>
    <row r="8894" spans="1:18">
      <c r="A8894" s="895"/>
      <c r="B8894" s="896"/>
      <c r="C8894" s="897"/>
      <c r="D8894" s="897"/>
      <c r="E8894" s="1002" t="s">
        <v>276</v>
      </c>
      <c r="F8894" s="1003"/>
      <c r="G8894" s="1004"/>
      <c r="H8894" s="901"/>
      <c r="I8894" s="902"/>
      <c r="J8894" s="902"/>
      <c r="K8894" s="912" t="s">
        <v>274</v>
      </c>
      <c r="L8894" s="902"/>
      <c r="M8894" s="902"/>
      <c r="N8894" s="902"/>
      <c r="O8894" s="892">
        <f t="shared" si="721"/>
        <v>0</v>
      </c>
      <c r="P8894" s="903">
        <f t="shared" si="723"/>
        <v>1</v>
      </c>
      <c r="Q8894" s="893">
        <f t="shared" si="724"/>
        <v>4</v>
      </c>
      <c r="R8894" s="894">
        <f t="shared" si="725"/>
        <v>0</v>
      </c>
    </row>
    <row r="8895" spans="1:18" s="847" customFormat="1">
      <c r="A8895" s="905"/>
      <c r="B8895" s="952"/>
      <c r="C8895" s="907">
        <v>745</v>
      </c>
      <c r="D8895" s="907" t="s">
        <v>12</v>
      </c>
      <c r="E8895" s="992" t="s">
        <v>5518</v>
      </c>
      <c r="F8895" s="905" t="s">
        <v>2674</v>
      </c>
      <c r="G8895" s="1005"/>
      <c r="H8895" s="911">
        <v>4.55</v>
      </c>
      <c r="I8895" s="912"/>
      <c r="J8895" s="912"/>
      <c r="K8895" s="912">
        <f>VLOOKUP(E8895,[5]ĐMNC!$A$7:$F$67,4,0)</f>
        <v>240557</v>
      </c>
      <c r="L8895" s="912">
        <f>H8895*K8895</f>
        <v>1094534.3499999999</v>
      </c>
      <c r="M8895" s="912"/>
      <c r="N8895" s="912"/>
      <c r="O8895" s="892">
        <f t="shared" si="721"/>
        <v>0</v>
      </c>
      <c r="P8895" s="903">
        <f t="shared" si="723"/>
        <v>1</v>
      </c>
      <c r="Q8895" s="893">
        <f t="shared" si="724"/>
        <v>3</v>
      </c>
      <c r="R8895" s="894">
        <f t="shared" si="725"/>
        <v>0</v>
      </c>
    </row>
    <row r="8896" spans="1:18" s="904" customFormat="1">
      <c r="A8896" s="895"/>
      <c r="B8896" s="896"/>
      <c r="C8896" s="897"/>
      <c r="D8896" s="897"/>
      <c r="E8896" s="1002" t="s">
        <v>3914</v>
      </c>
      <c r="F8896" s="1003"/>
      <c r="G8896" s="1004"/>
      <c r="H8896" s="901"/>
      <c r="I8896" s="902"/>
      <c r="J8896" s="902"/>
      <c r="K8896" s="912" t="s">
        <v>274</v>
      </c>
      <c r="L8896" s="902"/>
      <c r="M8896" s="902"/>
      <c r="N8896" s="902"/>
      <c r="O8896" s="892">
        <f t="shared" si="721"/>
        <v>0</v>
      </c>
      <c r="P8896" s="903">
        <f t="shared" si="723"/>
        <v>1</v>
      </c>
      <c r="Q8896" s="893">
        <f t="shared" si="724"/>
        <v>2</v>
      </c>
      <c r="R8896" s="894">
        <f t="shared" si="725"/>
        <v>0</v>
      </c>
    </row>
    <row r="8897" spans="1:18">
      <c r="A8897" s="905"/>
      <c r="B8897" s="946" t="s">
        <v>6321</v>
      </c>
      <c r="C8897" s="907">
        <v>900</v>
      </c>
      <c r="D8897" s="907" t="s">
        <v>93</v>
      </c>
      <c r="E8897" s="992" t="s">
        <v>6322</v>
      </c>
      <c r="F8897" s="905" t="s">
        <v>2673</v>
      </c>
      <c r="G8897" s="1005"/>
      <c r="H8897" s="911">
        <v>0.26</v>
      </c>
      <c r="I8897" s="912"/>
      <c r="J8897" s="912"/>
      <c r="K8897" s="912"/>
      <c r="L8897" s="912"/>
      <c r="M8897" s="912">
        <f>VLOOKUP(B8897,MTC!$B$9:$S$933,12,0)</f>
        <v>1475268</v>
      </c>
      <c r="N8897" s="912">
        <f>M8897*H8897</f>
        <v>383569.68</v>
      </c>
      <c r="O8897" s="892">
        <f t="shared" si="721"/>
        <v>0</v>
      </c>
      <c r="P8897" s="903">
        <f t="shared" si="723"/>
        <v>1</v>
      </c>
      <c r="Q8897" s="893">
        <f t="shared" si="724"/>
        <v>1</v>
      </c>
      <c r="R8897" s="894">
        <f t="shared" si="725"/>
        <v>0</v>
      </c>
    </row>
    <row r="8898" spans="1:18" s="904" customFormat="1" ht="31.5">
      <c r="A8898" s="905">
        <v>27</v>
      </c>
      <c r="B8898" s="914" t="s">
        <v>6385</v>
      </c>
      <c r="C8898" s="915"/>
      <c r="D8898" s="915"/>
      <c r="E8898" s="1006" t="s">
        <v>6386</v>
      </c>
      <c r="F8898" s="1007" t="s">
        <v>6378</v>
      </c>
      <c r="G8898" s="1008"/>
      <c r="H8898" s="919"/>
      <c r="I8898" s="920"/>
      <c r="J8898" s="891">
        <f>SUM(J8899:J8910)</f>
        <v>968797.5</v>
      </c>
      <c r="K8898" s="891"/>
      <c r="L8898" s="891">
        <f>SUM(L8899:L8910)</f>
        <v>1279763.24</v>
      </c>
      <c r="M8898" s="891"/>
      <c r="N8898" s="891">
        <f>SUM(N8899:N8910)</f>
        <v>486838.44</v>
      </c>
      <c r="O8898" s="892">
        <f t="shared" si="721"/>
        <v>1</v>
      </c>
      <c r="P8898" s="903">
        <f t="shared" si="723"/>
        <v>0</v>
      </c>
      <c r="Q8898" s="893">
        <f t="shared" si="724"/>
        <v>0</v>
      </c>
      <c r="R8898" s="894">
        <f t="shared" si="725"/>
        <v>12</v>
      </c>
    </row>
    <row r="8899" spans="1:18">
      <c r="A8899" s="895"/>
      <c r="B8899" s="896"/>
      <c r="C8899" s="897"/>
      <c r="D8899" s="897"/>
      <c r="E8899" s="1002" t="s">
        <v>108</v>
      </c>
      <c r="F8899" s="1003"/>
      <c r="G8899" s="1004"/>
      <c r="H8899" s="901"/>
      <c r="I8899" s="902"/>
      <c r="J8899" s="902"/>
      <c r="K8899" s="912" t="s">
        <v>274</v>
      </c>
      <c r="L8899" s="902"/>
      <c r="M8899" s="902"/>
      <c r="N8899" s="902"/>
      <c r="O8899" s="892">
        <f t="shared" si="721"/>
        <v>0</v>
      </c>
      <c r="P8899" s="903">
        <f t="shared" si="723"/>
        <v>1</v>
      </c>
      <c r="Q8899" s="893">
        <f t="shared" si="724"/>
        <v>12</v>
      </c>
      <c r="R8899" s="894">
        <f t="shared" si="725"/>
        <v>0</v>
      </c>
    </row>
    <row r="8900" spans="1:18" s="847" customFormat="1">
      <c r="A8900" s="905"/>
      <c r="B8900" s="952"/>
      <c r="C8900" s="907">
        <v>212</v>
      </c>
      <c r="D8900" s="907" t="s">
        <v>279</v>
      </c>
      <c r="E8900" s="992" t="s">
        <v>2681</v>
      </c>
      <c r="F8900" s="905" t="s">
        <v>45</v>
      </c>
      <c r="G8900" s="1005"/>
      <c r="H8900" s="911">
        <v>0.3</v>
      </c>
      <c r="I8900" s="912">
        <f>VLOOKUP(E8900,[3]VLP!$B$7:$K$300,10,0)</f>
        <v>23000</v>
      </c>
      <c r="J8900" s="912">
        <f t="shared" ref="J8900:J8906" si="727">I8900*H8900</f>
        <v>6900</v>
      </c>
      <c r="K8900" s="912" t="s">
        <v>274</v>
      </c>
      <c r="L8900" s="912"/>
      <c r="M8900" s="912"/>
      <c r="N8900" s="912"/>
      <c r="O8900" s="892">
        <f t="shared" si="721"/>
        <v>0</v>
      </c>
      <c r="P8900" s="903">
        <f t="shared" si="723"/>
        <v>1</v>
      </c>
      <c r="Q8900" s="893">
        <f t="shared" si="724"/>
        <v>11</v>
      </c>
      <c r="R8900" s="894">
        <f t="shared" si="725"/>
        <v>0</v>
      </c>
    </row>
    <row r="8901" spans="1:18" s="904" customFormat="1">
      <c r="A8901" s="905"/>
      <c r="B8901" s="952"/>
      <c r="C8901" s="907">
        <v>318</v>
      </c>
      <c r="D8901" s="907" t="s">
        <v>279</v>
      </c>
      <c r="E8901" s="992" t="s">
        <v>5657</v>
      </c>
      <c r="F8901" s="905" t="s">
        <v>45</v>
      </c>
      <c r="G8901" s="1005"/>
      <c r="H8901" s="911">
        <v>0.3</v>
      </c>
      <c r="I8901" s="912">
        <f>VLOOKUP(E8901,[3]VLP!$B$7:$K$300,10,0)</f>
        <v>25155</v>
      </c>
      <c r="J8901" s="912">
        <f t="shared" si="727"/>
        <v>7546.5</v>
      </c>
      <c r="K8901" s="912" t="s">
        <v>274</v>
      </c>
      <c r="L8901" s="912"/>
      <c r="M8901" s="912"/>
      <c r="N8901" s="912"/>
      <c r="O8901" s="892">
        <f t="shared" si="721"/>
        <v>0</v>
      </c>
      <c r="P8901" s="903">
        <f t="shared" si="723"/>
        <v>1</v>
      </c>
      <c r="Q8901" s="893">
        <f t="shared" si="724"/>
        <v>10</v>
      </c>
      <c r="R8901" s="894">
        <f t="shared" si="725"/>
        <v>0</v>
      </c>
    </row>
    <row r="8902" spans="1:18">
      <c r="A8902" s="905"/>
      <c r="B8902" s="952"/>
      <c r="C8902" s="907">
        <v>234</v>
      </c>
      <c r="D8902" s="907" t="s">
        <v>279</v>
      </c>
      <c r="E8902" s="992" t="s">
        <v>5983</v>
      </c>
      <c r="F8902" s="905" t="s">
        <v>3144</v>
      </c>
      <c r="G8902" s="1005"/>
      <c r="H8902" s="911">
        <v>1</v>
      </c>
      <c r="I8902" s="912">
        <f>VLOOKUP(E8902,[3]VLP!$B$7:$K$300,10,0)</f>
        <v>14000</v>
      </c>
      <c r="J8902" s="912">
        <f t="shared" si="727"/>
        <v>14000</v>
      </c>
      <c r="K8902" s="912" t="s">
        <v>274</v>
      </c>
      <c r="L8902" s="912"/>
      <c r="M8902" s="912"/>
      <c r="N8902" s="912"/>
      <c r="O8902" s="892">
        <f t="shared" si="721"/>
        <v>0</v>
      </c>
      <c r="P8902" s="903">
        <f t="shared" si="723"/>
        <v>1</v>
      </c>
      <c r="Q8902" s="893">
        <f t="shared" si="724"/>
        <v>9</v>
      </c>
      <c r="R8902" s="894">
        <f t="shared" si="725"/>
        <v>0</v>
      </c>
    </row>
    <row r="8903" spans="1:18" s="904" customFormat="1">
      <c r="A8903" s="905"/>
      <c r="B8903" s="952"/>
      <c r="C8903" s="907">
        <v>309</v>
      </c>
      <c r="D8903" s="907" t="s">
        <v>279</v>
      </c>
      <c r="E8903" s="992" t="s">
        <v>3262</v>
      </c>
      <c r="F8903" s="905" t="s">
        <v>45</v>
      </c>
      <c r="G8903" s="1005"/>
      <c r="H8903" s="911">
        <v>0.2</v>
      </c>
      <c r="I8903" s="912">
        <f>VLOOKUP(E8903,[3]VLP!$B$7:$K$300,10,0)</f>
        <v>66300</v>
      </c>
      <c r="J8903" s="912">
        <f t="shared" si="727"/>
        <v>13260</v>
      </c>
      <c r="K8903" s="912" t="s">
        <v>274</v>
      </c>
      <c r="L8903" s="912"/>
      <c r="M8903" s="912"/>
      <c r="N8903" s="912"/>
      <c r="O8903" s="892">
        <f t="shared" si="721"/>
        <v>0</v>
      </c>
      <c r="P8903" s="903">
        <f t="shared" si="723"/>
        <v>1</v>
      </c>
      <c r="Q8903" s="893">
        <f t="shared" si="724"/>
        <v>8</v>
      </c>
      <c r="R8903" s="894">
        <f t="shared" si="725"/>
        <v>0</v>
      </c>
    </row>
    <row r="8904" spans="1:18">
      <c r="A8904" s="905"/>
      <c r="B8904" s="952"/>
      <c r="C8904" s="907">
        <v>235</v>
      </c>
      <c r="D8904" s="907" t="s">
        <v>279</v>
      </c>
      <c r="E8904" s="992" t="s">
        <v>2682</v>
      </c>
      <c r="F8904" s="905" t="s">
        <v>45</v>
      </c>
      <c r="G8904" s="1005"/>
      <c r="H8904" s="911">
        <v>1.6</v>
      </c>
      <c r="I8904" s="912">
        <f>VLOOKUP(E8904,[3]VLP!$B$7:$K$300,10,0)</f>
        <v>5000</v>
      </c>
      <c r="J8904" s="912">
        <f t="shared" si="727"/>
        <v>8000</v>
      </c>
      <c r="K8904" s="912" t="s">
        <v>274</v>
      </c>
      <c r="L8904" s="912"/>
      <c r="M8904" s="912"/>
      <c r="N8904" s="912"/>
      <c r="O8904" s="892">
        <f t="shared" si="721"/>
        <v>0</v>
      </c>
      <c r="P8904" s="903">
        <f t="shared" si="723"/>
        <v>1</v>
      </c>
      <c r="Q8904" s="893">
        <f t="shared" si="724"/>
        <v>7</v>
      </c>
      <c r="R8904" s="894">
        <f t="shared" si="725"/>
        <v>0</v>
      </c>
    </row>
    <row r="8905" spans="1:18" s="847" customFormat="1">
      <c r="A8905" s="905"/>
      <c r="B8905" s="952"/>
      <c r="C8905" s="907">
        <v>237</v>
      </c>
      <c r="D8905" s="907" t="s">
        <v>279</v>
      </c>
      <c r="E8905" s="992" t="s">
        <v>6312</v>
      </c>
      <c r="F8905" s="905" t="s">
        <v>47</v>
      </c>
      <c r="G8905" s="1005"/>
      <c r="H8905" s="911">
        <v>0.2</v>
      </c>
      <c r="I8905" s="912">
        <f>VLOOKUP(E8905,[3]VLP!$B$7:$K$300,10,0)</f>
        <v>4545455</v>
      </c>
      <c r="J8905" s="912">
        <f t="shared" si="727"/>
        <v>909091</v>
      </c>
      <c r="K8905" s="912" t="s">
        <v>274</v>
      </c>
      <c r="L8905" s="912"/>
      <c r="M8905" s="912"/>
      <c r="N8905" s="912"/>
      <c r="O8905" s="892">
        <f t="shared" si="721"/>
        <v>0</v>
      </c>
      <c r="P8905" s="903">
        <f t="shared" si="723"/>
        <v>1</v>
      </c>
      <c r="Q8905" s="893">
        <f t="shared" si="724"/>
        <v>6</v>
      </c>
      <c r="R8905" s="894">
        <f t="shared" si="725"/>
        <v>0</v>
      </c>
    </row>
    <row r="8906" spans="1:18" s="904" customFormat="1">
      <c r="A8906" s="905"/>
      <c r="B8906" s="952"/>
      <c r="C8906" s="907">
        <v>699</v>
      </c>
      <c r="D8906" s="907" t="s">
        <v>279</v>
      </c>
      <c r="E8906" s="992" t="s">
        <v>4006</v>
      </c>
      <c r="F8906" s="905" t="s">
        <v>4007</v>
      </c>
      <c r="G8906" s="1005"/>
      <c r="H8906" s="911">
        <v>2</v>
      </c>
      <c r="I8906" s="912">
        <f>VLOOKUP(E8906,[3]VLP!$B$7:$K$300,10,0)</f>
        <v>5000</v>
      </c>
      <c r="J8906" s="912">
        <f t="shared" si="727"/>
        <v>10000</v>
      </c>
      <c r="K8906" s="912" t="s">
        <v>274</v>
      </c>
      <c r="L8906" s="912"/>
      <c r="M8906" s="912"/>
      <c r="N8906" s="912"/>
      <c r="O8906" s="892">
        <f t="shared" si="721"/>
        <v>0</v>
      </c>
      <c r="P8906" s="903">
        <f t="shared" si="723"/>
        <v>1</v>
      </c>
      <c r="Q8906" s="893">
        <f t="shared" si="724"/>
        <v>5</v>
      </c>
      <c r="R8906" s="894">
        <f t="shared" si="725"/>
        <v>0</v>
      </c>
    </row>
    <row r="8907" spans="1:18">
      <c r="A8907" s="895"/>
      <c r="B8907" s="896"/>
      <c r="C8907" s="897"/>
      <c r="D8907" s="897"/>
      <c r="E8907" s="1002" t="s">
        <v>276</v>
      </c>
      <c r="F8907" s="1003"/>
      <c r="G8907" s="1004"/>
      <c r="H8907" s="901"/>
      <c r="I8907" s="902"/>
      <c r="J8907" s="902"/>
      <c r="K8907" s="912" t="s">
        <v>274</v>
      </c>
      <c r="L8907" s="902"/>
      <c r="M8907" s="902"/>
      <c r="N8907" s="902"/>
      <c r="O8907" s="892">
        <f t="shared" si="721"/>
        <v>0</v>
      </c>
      <c r="P8907" s="903">
        <f t="shared" si="723"/>
        <v>1</v>
      </c>
      <c r="Q8907" s="893">
        <f t="shared" si="724"/>
        <v>4</v>
      </c>
      <c r="R8907" s="894">
        <f t="shared" si="725"/>
        <v>0</v>
      </c>
    </row>
    <row r="8908" spans="1:18" s="904" customFormat="1">
      <c r="A8908" s="905"/>
      <c r="B8908" s="952"/>
      <c r="C8908" s="907">
        <v>745</v>
      </c>
      <c r="D8908" s="907" t="s">
        <v>12</v>
      </c>
      <c r="E8908" s="992" t="s">
        <v>5518</v>
      </c>
      <c r="F8908" s="905" t="s">
        <v>2674</v>
      </c>
      <c r="G8908" s="1005"/>
      <c r="H8908" s="911">
        <v>5.32</v>
      </c>
      <c r="I8908" s="912"/>
      <c r="J8908" s="912"/>
      <c r="K8908" s="912">
        <f>VLOOKUP(E8908,[5]ĐMNC!$A$7:$F$67,4,0)</f>
        <v>240557</v>
      </c>
      <c r="L8908" s="912">
        <f>H8908*K8908</f>
        <v>1279763.24</v>
      </c>
      <c r="M8908" s="912"/>
      <c r="N8908" s="912"/>
      <c r="O8908" s="892">
        <f t="shared" si="721"/>
        <v>0</v>
      </c>
      <c r="P8908" s="903">
        <f t="shared" si="723"/>
        <v>1</v>
      </c>
      <c r="Q8908" s="893">
        <f t="shared" si="724"/>
        <v>3</v>
      </c>
      <c r="R8908" s="894">
        <f t="shared" si="725"/>
        <v>0</v>
      </c>
    </row>
    <row r="8909" spans="1:18">
      <c r="A8909" s="895"/>
      <c r="B8909" s="896"/>
      <c r="C8909" s="897"/>
      <c r="D8909" s="897"/>
      <c r="E8909" s="1002" t="s">
        <v>3914</v>
      </c>
      <c r="F8909" s="1003"/>
      <c r="G8909" s="1004"/>
      <c r="H8909" s="901"/>
      <c r="I8909" s="902"/>
      <c r="J8909" s="902"/>
      <c r="K8909" s="912" t="s">
        <v>274</v>
      </c>
      <c r="L8909" s="902"/>
      <c r="M8909" s="902"/>
      <c r="N8909" s="902"/>
      <c r="O8909" s="892">
        <f t="shared" si="721"/>
        <v>0</v>
      </c>
      <c r="P8909" s="903">
        <f t="shared" si="723"/>
        <v>1</v>
      </c>
      <c r="Q8909" s="893">
        <f t="shared" si="724"/>
        <v>2</v>
      </c>
      <c r="R8909" s="894">
        <f t="shared" si="725"/>
        <v>0</v>
      </c>
    </row>
    <row r="8910" spans="1:18" s="847" customFormat="1">
      <c r="A8910" s="905"/>
      <c r="B8910" s="946" t="s">
        <v>6321</v>
      </c>
      <c r="C8910" s="907">
        <v>900</v>
      </c>
      <c r="D8910" s="907" t="s">
        <v>93</v>
      </c>
      <c r="E8910" s="992" t="s">
        <v>6322</v>
      </c>
      <c r="F8910" s="905" t="s">
        <v>2673</v>
      </c>
      <c r="G8910" s="1005"/>
      <c r="H8910" s="911">
        <v>0.33</v>
      </c>
      <c r="I8910" s="912"/>
      <c r="J8910" s="912"/>
      <c r="K8910" s="912"/>
      <c r="L8910" s="912"/>
      <c r="M8910" s="912">
        <f>VLOOKUP(B8910,MTC!$B$9:$S$933,12,0)</f>
        <v>1475268</v>
      </c>
      <c r="N8910" s="912">
        <f>M8910*H8910</f>
        <v>486838.44</v>
      </c>
      <c r="O8910" s="892">
        <f t="shared" si="721"/>
        <v>0</v>
      </c>
      <c r="P8910" s="903">
        <f t="shared" si="723"/>
        <v>1</v>
      </c>
      <c r="Q8910" s="893">
        <f t="shared" si="724"/>
        <v>1</v>
      </c>
      <c r="R8910" s="894">
        <f t="shared" si="725"/>
        <v>0</v>
      </c>
    </row>
    <row r="8911" spans="1:18" s="904" customFormat="1" ht="31.5">
      <c r="A8911" s="905">
        <v>28</v>
      </c>
      <c r="B8911" s="914" t="s">
        <v>6387</v>
      </c>
      <c r="C8911" s="915"/>
      <c r="D8911" s="915"/>
      <c r="E8911" s="1006" t="s">
        <v>6388</v>
      </c>
      <c r="F8911" s="1007" t="s">
        <v>6378</v>
      </c>
      <c r="G8911" s="1008"/>
      <c r="H8911" s="919"/>
      <c r="I8911" s="920"/>
      <c r="J8911" s="891">
        <f>SUM(J8912:J8923)</f>
        <v>968797.5</v>
      </c>
      <c r="K8911" s="891"/>
      <c r="L8911" s="891">
        <f>SUM(L8912:L8923)</f>
        <v>1515509.0999999999</v>
      </c>
      <c r="M8911" s="891"/>
      <c r="N8911" s="891">
        <f>SUM(N8912:N8923)</f>
        <v>486838.44</v>
      </c>
      <c r="O8911" s="892">
        <f t="shared" si="721"/>
        <v>1</v>
      </c>
      <c r="P8911" s="903">
        <f t="shared" si="723"/>
        <v>0</v>
      </c>
      <c r="Q8911" s="893">
        <f t="shared" si="724"/>
        <v>0</v>
      </c>
      <c r="R8911" s="894">
        <f t="shared" si="725"/>
        <v>12</v>
      </c>
    </row>
    <row r="8912" spans="1:18">
      <c r="A8912" s="895"/>
      <c r="B8912" s="896"/>
      <c r="C8912" s="897"/>
      <c r="D8912" s="897"/>
      <c r="E8912" s="1002" t="s">
        <v>108</v>
      </c>
      <c r="F8912" s="1003"/>
      <c r="G8912" s="1004"/>
      <c r="H8912" s="901"/>
      <c r="I8912" s="902"/>
      <c r="J8912" s="902"/>
      <c r="K8912" s="912" t="s">
        <v>274</v>
      </c>
      <c r="L8912" s="902"/>
      <c r="M8912" s="902"/>
      <c r="N8912" s="902"/>
      <c r="O8912" s="892">
        <f t="shared" si="721"/>
        <v>0</v>
      </c>
      <c r="P8912" s="903">
        <f t="shared" si="723"/>
        <v>1</v>
      </c>
      <c r="Q8912" s="893">
        <f t="shared" si="724"/>
        <v>12</v>
      </c>
      <c r="R8912" s="894">
        <f t="shared" si="725"/>
        <v>0</v>
      </c>
    </row>
    <row r="8913" spans="1:18" s="904" customFormat="1">
      <c r="A8913" s="905"/>
      <c r="B8913" s="952"/>
      <c r="C8913" s="907">
        <v>212</v>
      </c>
      <c r="D8913" s="907" t="s">
        <v>279</v>
      </c>
      <c r="E8913" s="992" t="s">
        <v>2681</v>
      </c>
      <c r="F8913" s="905" t="s">
        <v>45</v>
      </c>
      <c r="G8913" s="1005"/>
      <c r="H8913" s="911">
        <v>0.3</v>
      </c>
      <c r="I8913" s="912">
        <f>VLOOKUP(E8913,[3]VLP!$B$7:$K$300,10,0)</f>
        <v>23000</v>
      </c>
      <c r="J8913" s="912">
        <f t="shared" ref="J8913:J8919" si="728">I8913*H8913</f>
        <v>6900</v>
      </c>
      <c r="K8913" s="912" t="s">
        <v>274</v>
      </c>
      <c r="L8913" s="912"/>
      <c r="M8913" s="912"/>
      <c r="N8913" s="912"/>
      <c r="O8913" s="892">
        <f t="shared" si="721"/>
        <v>0</v>
      </c>
      <c r="P8913" s="903">
        <f t="shared" si="723"/>
        <v>1</v>
      </c>
      <c r="Q8913" s="893">
        <f t="shared" si="724"/>
        <v>11</v>
      </c>
      <c r="R8913" s="894">
        <f t="shared" si="725"/>
        <v>0</v>
      </c>
    </row>
    <row r="8914" spans="1:18">
      <c r="A8914" s="905"/>
      <c r="B8914" s="952"/>
      <c r="C8914" s="907">
        <v>318</v>
      </c>
      <c r="D8914" s="907" t="s">
        <v>279</v>
      </c>
      <c r="E8914" s="992" t="s">
        <v>5657</v>
      </c>
      <c r="F8914" s="905" t="s">
        <v>45</v>
      </c>
      <c r="G8914" s="1005"/>
      <c r="H8914" s="911">
        <v>0.3</v>
      </c>
      <c r="I8914" s="912">
        <f>VLOOKUP(E8914,[3]VLP!$B$7:$K$300,10,0)</f>
        <v>25155</v>
      </c>
      <c r="J8914" s="912">
        <f t="shared" si="728"/>
        <v>7546.5</v>
      </c>
      <c r="K8914" s="912" t="s">
        <v>274</v>
      </c>
      <c r="L8914" s="912"/>
      <c r="M8914" s="912"/>
      <c r="N8914" s="912"/>
      <c r="O8914" s="892">
        <f t="shared" si="721"/>
        <v>0</v>
      </c>
      <c r="P8914" s="903">
        <f t="shared" si="723"/>
        <v>1</v>
      </c>
      <c r="Q8914" s="893">
        <f t="shared" si="724"/>
        <v>10</v>
      </c>
      <c r="R8914" s="894">
        <f t="shared" si="725"/>
        <v>0</v>
      </c>
    </row>
    <row r="8915" spans="1:18" s="847" customFormat="1">
      <c r="A8915" s="905"/>
      <c r="B8915" s="952"/>
      <c r="C8915" s="907">
        <v>234</v>
      </c>
      <c r="D8915" s="907" t="s">
        <v>279</v>
      </c>
      <c r="E8915" s="992" t="s">
        <v>5983</v>
      </c>
      <c r="F8915" s="905" t="s">
        <v>3144</v>
      </c>
      <c r="G8915" s="1005"/>
      <c r="H8915" s="911">
        <v>1</v>
      </c>
      <c r="I8915" s="912">
        <f>VLOOKUP(E8915,[3]VLP!$B$7:$K$300,10,0)</f>
        <v>14000</v>
      </c>
      <c r="J8915" s="912">
        <f t="shared" si="728"/>
        <v>14000</v>
      </c>
      <c r="K8915" s="912" t="s">
        <v>274</v>
      </c>
      <c r="L8915" s="912"/>
      <c r="M8915" s="912"/>
      <c r="N8915" s="912"/>
      <c r="O8915" s="892">
        <f t="shared" si="721"/>
        <v>0</v>
      </c>
      <c r="P8915" s="903">
        <f t="shared" si="723"/>
        <v>1</v>
      </c>
      <c r="Q8915" s="893">
        <f t="shared" si="724"/>
        <v>9</v>
      </c>
      <c r="R8915" s="894">
        <f t="shared" si="725"/>
        <v>0</v>
      </c>
    </row>
    <row r="8916" spans="1:18" s="904" customFormat="1">
      <c r="A8916" s="905"/>
      <c r="B8916" s="952"/>
      <c r="C8916" s="907">
        <v>309</v>
      </c>
      <c r="D8916" s="907" t="s">
        <v>279</v>
      </c>
      <c r="E8916" s="992" t="s">
        <v>3262</v>
      </c>
      <c r="F8916" s="905" t="s">
        <v>45</v>
      </c>
      <c r="G8916" s="1005"/>
      <c r="H8916" s="911">
        <v>0.2</v>
      </c>
      <c r="I8916" s="912">
        <f>VLOOKUP(E8916,[3]VLP!$B$7:$K$300,10,0)</f>
        <v>66300</v>
      </c>
      <c r="J8916" s="912">
        <f t="shared" si="728"/>
        <v>13260</v>
      </c>
      <c r="K8916" s="912" t="s">
        <v>274</v>
      </c>
      <c r="L8916" s="912"/>
      <c r="M8916" s="912"/>
      <c r="N8916" s="912"/>
      <c r="O8916" s="892">
        <f t="shared" si="721"/>
        <v>0</v>
      </c>
      <c r="P8916" s="903">
        <f t="shared" si="723"/>
        <v>1</v>
      </c>
      <c r="Q8916" s="893">
        <f t="shared" si="724"/>
        <v>8</v>
      </c>
      <c r="R8916" s="894">
        <f t="shared" si="725"/>
        <v>0</v>
      </c>
    </row>
    <row r="8917" spans="1:18">
      <c r="A8917" s="905"/>
      <c r="B8917" s="952"/>
      <c r="C8917" s="907">
        <v>235</v>
      </c>
      <c r="D8917" s="907" t="s">
        <v>279</v>
      </c>
      <c r="E8917" s="992" t="s">
        <v>2682</v>
      </c>
      <c r="F8917" s="905" t="s">
        <v>45</v>
      </c>
      <c r="G8917" s="1005"/>
      <c r="H8917" s="911">
        <v>1.6</v>
      </c>
      <c r="I8917" s="912">
        <f>VLOOKUP(E8917,[3]VLP!$B$7:$K$300,10,0)</f>
        <v>5000</v>
      </c>
      <c r="J8917" s="912">
        <f t="shared" si="728"/>
        <v>8000</v>
      </c>
      <c r="K8917" s="912" t="s">
        <v>274</v>
      </c>
      <c r="L8917" s="912"/>
      <c r="M8917" s="912"/>
      <c r="N8917" s="912"/>
      <c r="O8917" s="892">
        <f t="shared" si="721"/>
        <v>0</v>
      </c>
      <c r="P8917" s="903">
        <f t="shared" si="723"/>
        <v>1</v>
      </c>
      <c r="Q8917" s="893">
        <f t="shared" si="724"/>
        <v>7</v>
      </c>
      <c r="R8917" s="894">
        <f t="shared" si="725"/>
        <v>0</v>
      </c>
    </row>
    <row r="8918" spans="1:18" s="904" customFormat="1">
      <c r="A8918" s="905"/>
      <c r="B8918" s="952"/>
      <c r="C8918" s="907">
        <v>237</v>
      </c>
      <c r="D8918" s="907" t="s">
        <v>279</v>
      </c>
      <c r="E8918" s="992" t="s">
        <v>6312</v>
      </c>
      <c r="F8918" s="905" t="s">
        <v>47</v>
      </c>
      <c r="G8918" s="1005"/>
      <c r="H8918" s="911">
        <v>0.2</v>
      </c>
      <c r="I8918" s="912">
        <f>VLOOKUP(E8918,[3]VLP!$B$7:$K$300,10,0)</f>
        <v>4545455</v>
      </c>
      <c r="J8918" s="912">
        <f t="shared" si="728"/>
        <v>909091</v>
      </c>
      <c r="K8918" s="912" t="s">
        <v>274</v>
      </c>
      <c r="L8918" s="912"/>
      <c r="M8918" s="912"/>
      <c r="N8918" s="912"/>
      <c r="O8918" s="892">
        <f t="shared" si="721"/>
        <v>0</v>
      </c>
      <c r="P8918" s="903">
        <f t="shared" si="723"/>
        <v>1</v>
      </c>
      <c r="Q8918" s="893">
        <f t="shared" si="724"/>
        <v>6</v>
      </c>
      <c r="R8918" s="894">
        <f t="shared" si="725"/>
        <v>0</v>
      </c>
    </row>
    <row r="8919" spans="1:18">
      <c r="A8919" s="905"/>
      <c r="B8919" s="952"/>
      <c r="C8919" s="907">
        <v>699</v>
      </c>
      <c r="D8919" s="907" t="s">
        <v>279</v>
      </c>
      <c r="E8919" s="992" t="s">
        <v>4006</v>
      </c>
      <c r="F8919" s="905" t="s">
        <v>4007</v>
      </c>
      <c r="G8919" s="1005"/>
      <c r="H8919" s="911">
        <v>2</v>
      </c>
      <c r="I8919" s="912">
        <f>VLOOKUP(E8919,[3]VLP!$B$7:$K$300,10,0)</f>
        <v>5000</v>
      </c>
      <c r="J8919" s="912">
        <f t="shared" si="728"/>
        <v>10000</v>
      </c>
      <c r="K8919" s="912" t="s">
        <v>274</v>
      </c>
      <c r="L8919" s="912"/>
      <c r="M8919" s="912"/>
      <c r="N8919" s="912"/>
      <c r="O8919" s="892">
        <f t="shared" si="721"/>
        <v>0</v>
      </c>
      <c r="P8919" s="903">
        <f t="shared" si="723"/>
        <v>1</v>
      </c>
      <c r="Q8919" s="893">
        <f t="shared" si="724"/>
        <v>5</v>
      </c>
      <c r="R8919" s="894">
        <f t="shared" si="725"/>
        <v>0</v>
      </c>
    </row>
    <row r="8920" spans="1:18" s="847" customFormat="1">
      <c r="A8920" s="895"/>
      <c r="B8920" s="896"/>
      <c r="C8920" s="897"/>
      <c r="D8920" s="897"/>
      <c r="E8920" s="1002" t="s">
        <v>276</v>
      </c>
      <c r="F8920" s="1003"/>
      <c r="G8920" s="1004"/>
      <c r="H8920" s="901"/>
      <c r="I8920" s="902"/>
      <c r="J8920" s="902"/>
      <c r="K8920" s="912" t="s">
        <v>274</v>
      </c>
      <c r="L8920" s="902"/>
      <c r="M8920" s="902"/>
      <c r="N8920" s="902"/>
      <c r="O8920" s="892">
        <f t="shared" si="721"/>
        <v>0</v>
      </c>
      <c r="P8920" s="903">
        <f t="shared" si="723"/>
        <v>1</v>
      </c>
      <c r="Q8920" s="893">
        <f t="shared" si="724"/>
        <v>4</v>
      </c>
      <c r="R8920" s="894">
        <f t="shared" si="725"/>
        <v>0</v>
      </c>
    </row>
    <row r="8921" spans="1:18" s="904" customFormat="1">
      <c r="A8921" s="905"/>
      <c r="B8921" s="952"/>
      <c r="C8921" s="907">
        <v>745</v>
      </c>
      <c r="D8921" s="907" t="s">
        <v>12</v>
      </c>
      <c r="E8921" s="992" t="s">
        <v>5518</v>
      </c>
      <c r="F8921" s="905" t="s">
        <v>2674</v>
      </c>
      <c r="G8921" s="1005"/>
      <c r="H8921" s="911">
        <v>6.3</v>
      </c>
      <c r="I8921" s="912"/>
      <c r="J8921" s="912"/>
      <c r="K8921" s="912">
        <f>VLOOKUP(E8921,[5]ĐMNC!$A$7:$F$67,4,0)</f>
        <v>240557</v>
      </c>
      <c r="L8921" s="912">
        <f>H8921*K8921</f>
        <v>1515509.0999999999</v>
      </c>
      <c r="M8921" s="912"/>
      <c r="N8921" s="912"/>
      <c r="O8921" s="892">
        <f t="shared" si="721"/>
        <v>0</v>
      </c>
      <c r="P8921" s="903">
        <f t="shared" si="723"/>
        <v>1</v>
      </c>
      <c r="Q8921" s="893">
        <f t="shared" si="724"/>
        <v>3</v>
      </c>
      <c r="R8921" s="894">
        <f t="shared" si="725"/>
        <v>0</v>
      </c>
    </row>
    <row r="8922" spans="1:18">
      <c r="A8922" s="895"/>
      <c r="B8922" s="896"/>
      <c r="C8922" s="897"/>
      <c r="D8922" s="897"/>
      <c r="E8922" s="1002" t="s">
        <v>3914</v>
      </c>
      <c r="F8922" s="1003"/>
      <c r="G8922" s="1004"/>
      <c r="H8922" s="901"/>
      <c r="I8922" s="902"/>
      <c r="J8922" s="902"/>
      <c r="K8922" s="912" t="s">
        <v>274</v>
      </c>
      <c r="L8922" s="902"/>
      <c r="M8922" s="902"/>
      <c r="N8922" s="902"/>
      <c r="O8922" s="892">
        <f t="shared" si="721"/>
        <v>0</v>
      </c>
      <c r="P8922" s="903">
        <f t="shared" si="723"/>
        <v>1</v>
      </c>
      <c r="Q8922" s="893">
        <f t="shared" si="724"/>
        <v>2</v>
      </c>
      <c r="R8922" s="894">
        <f t="shared" si="725"/>
        <v>0</v>
      </c>
    </row>
    <row r="8923" spans="1:18" s="904" customFormat="1">
      <c r="A8923" s="905"/>
      <c r="B8923" s="946" t="s">
        <v>6321</v>
      </c>
      <c r="C8923" s="907">
        <v>900</v>
      </c>
      <c r="D8923" s="907" t="s">
        <v>93</v>
      </c>
      <c r="E8923" s="992" t="s">
        <v>6322</v>
      </c>
      <c r="F8923" s="905" t="s">
        <v>2673</v>
      </c>
      <c r="G8923" s="1005"/>
      <c r="H8923" s="911">
        <v>0.33</v>
      </c>
      <c r="I8923" s="912"/>
      <c r="J8923" s="912"/>
      <c r="K8923" s="912"/>
      <c r="L8923" s="912"/>
      <c r="M8923" s="912">
        <f>VLOOKUP(B8923,MTC!$B$9:$S$933,12,0)</f>
        <v>1475268</v>
      </c>
      <c r="N8923" s="912">
        <f>M8923*H8923</f>
        <v>486838.44</v>
      </c>
      <c r="O8923" s="892">
        <f t="shared" si="721"/>
        <v>0</v>
      </c>
      <c r="P8923" s="903">
        <f t="shared" si="723"/>
        <v>1</v>
      </c>
      <c r="Q8923" s="893">
        <f t="shared" si="724"/>
        <v>1</v>
      </c>
      <c r="R8923" s="894">
        <f t="shared" si="725"/>
        <v>0</v>
      </c>
    </row>
    <row r="8924" spans="1:18" s="904" customFormat="1" ht="31.5">
      <c r="A8924" s="905">
        <v>28</v>
      </c>
      <c r="B8924" s="914" t="s">
        <v>6389</v>
      </c>
      <c r="C8924" s="915"/>
      <c r="D8924" s="915"/>
      <c r="E8924" s="1006" t="s">
        <v>6390</v>
      </c>
      <c r="F8924" s="1007" t="s">
        <v>6378</v>
      </c>
      <c r="G8924" s="1008"/>
      <c r="H8924" s="919"/>
      <c r="I8924" s="920"/>
      <c r="J8924" s="891">
        <f>SUM(J8925:J8936)</f>
        <v>968797.5</v>
      </c>
      <c r="K8924" s="891"/>
      <c r="L8924" s="891">
        <f>SUM(L8925:L8936)</f>
        <v>1635787.5999999999</v>
      </c>
      <c r="M8924" s="891"/>
      <c r="N8924" s="891">
        <f>SUM(N8925:N8936)</f>
        <v>531096.48</v>
      </c>
      <c r="O8924" s="892">
        <f t="shared" si="721"/>
        <v>1</v>
      </c>
      <c r="P8924" s="903">
        <f t="shared" si="723"/>
        <v>0</v>
      </c>
      <c r="Q8924" s="893">
        <f t="shared" si="724"/>
        <v>0</v>
      </c>
      <c r="R8924" s="894">
        <f t="shared" si="725"/>
        <v>12</v>
      </c>
    </row>
    <row r="8925" spans="1:18">
      <c r="A8925" s="895"/>
      <c r="B8925" s="896"/>
      <c r="C8925" s="897"/>
      <c r="D8925" s="897"/>
      <c r="E8925" s="1002" t="s">
        <v>108</v>
      </c>
      <c r="F8925" s="1003"/>
      <c r="G8925" s="1004"/>
      <c r="H8925" s="901"/>
      <c r="I8925" s="902"/>
      <c r="J8925" s="902"/>
      <c r="K8925" s="912" t="s">
        <v>274</v>
      </c>
      <c r="L8925" s="902"/>
      <c r="M8925" s="902"/>
      <c r="N8925" s="902"/>
      <c r="O8925" s="892">
        <f t="shared" si="721"/>
        <v>0</v>
      </c>
      <c r="P8925" s="903">
        <f t="shared" si="723"/>
        <v>1</v>
      </c>
      <c r="Q8925" s="893">
        <f t="shared" si="724"/>
        <v>12</v>
      </c>
      <c r="R8925" s="894">
        <f t="shared" si="725"/>
        <v>0</v>
      </c>
    </row>
    <row r="8926" spans="1:18" s="904" customFormat="1">
      <c r="A8926" s="905"/>
      <c r="B8926" s="952"/>
      <c r="C8926" s="907">
        <v>212</v>
      </c>
      <c r="D8926" s="907" t="s">
        <v>279</v>
      </c>
      <c r="E8926" s="992" t="s">
        <v>2681</v>
      </c>
      <c r="F8926" s="905" t="s">
        <v>45</v>
      </c>
      <c r="G8926" s="1005"/>
      <c r="H8926" s="911">
        <v>0.3</v>
      </c>
      <c r="I8926" s="912">
        <f>VLOOKUP(E8926,[3]VLP!$B$7:$K$300,10,0)</f>
        <v>23000</v>
      </c>
      <c r="J8926" s="912">
        <f t="shared" ref="J8926:J8932" si="729">I8926*H8926</f>
        <v>6900</v>
      </c>
      <c r="K8926" s="912" t="s">
        <v>274</v>
      </c>
      <c r="L8926" s="912"/>
      <c r="M8926" s="912"/>
      <c r="N8926" s="912"/>
      <c r="O8926" s="892">
        <f t="shared" si="721"/>
        <v>0</v>
      </c>
      <c r="P8926" s="903">
        <f t="shared" si="723"/>
        <v>1</v>
      </c>
      <c r="Q8926" s="893">
        <f t="shared" si="724"/>
        <v>11</v>
      </c>
      <c r="R8926" s="894">
        <f t="shared" si="725"/>
        <v>0</v>
      </c>
    </row>
    <row r="8927" spans="1:18">
      <c r="A8927" s="905"/>
      <c r="B8927" s="952"/>
      <c r="C8927" s="907">
        <v>318</v>
      </c>
      <c r="D8927" s="907" t="s">
        <v>279</v>
      </c>
      <c r="E8927" s="992" t="s">
        <v>5657</v>
      </c>
      <c r="F8927" s="905" t="s">
        <v>45</v>
      </c>
      <c r="G8927" s="1005"/>
      <c r="H8927" s="911">
        <v>0.3</v>
      </c>
      <c r="I8927" s="912">
        <f>VLOOKUP(E8927,[3]VLP!$B$7:$K$300,10,0)</f>
        <v>25155</v>
      </c>
      <c r="J8927" s="912">
        <f t="shared" si="729"/>
        <v>7546.5</v>
      </c>
      <c r="K8927" s="912" t="s">
        <v>274</v>
      </c>
      <c r="L8927" s="912"/>
      <c r="M8927" s="912"/>
      <c r="N8927" s="912"/>
      <c r="O8927" s="892">
        <f t="shared" ref="O8927:O8990" si="730">IF(AND(B8927&lt;&gt;"",D8927=""),1,0)</f>
        <v>0</v>
      </c>
      <c r="P8927" s="903">
        <f t="shared" si="723"/>
        <v>1</v>
      </c>
      <c r="Q8927" s="893">
        <f t="shared" si="724"/>
        <v>10</v>
      </c>
      <c r="R8927" s="894">
        <f t="shared" si="725"/>
        <v>0</v>
      </c>
    </row>
    <row r="8928" spans="1:18" s="847" customFormat="1">
      <c r="A8928" s="905"/>
      <c r="B8928" s="952"/>
      <c r="C8928" s="907">
        <v>234</v>
      </c>
      <c r="D8928" s="907" t="s">
        <v>279</v>
      </c>
      <c r="E8928" s="992" t="s">
        <v>5983</v>
      </c>
      <c r="F8928" s="905" t="s">
        <v>3144</v>
      </c>
      <c r="G8928" s="1005"/>
      <c r="H8928" s="911">
        <v>1</v>
      </c>
      <c r="I8928" s="912">
        <f>VLOOKUP(E8928,[3]VLP!$B$7:$K$300,10,0)</f>
        <v>14000</v>
      </c>
      <c r="J8928" s="912">
        <f t="shared" si="729"/>
        <v>14000</v>
      </c>
      <c r="K8928" s="912" t="s">
        <v>274</v>
      </c>
      <c r="L8928" s="912"/>
      <c r="M8928" s="912"/>
      <c r="N8928" s="912"/>
      <c r="O8928" s="892">
        <f t="shared" si="730"/>
        <v>0</v>
      </c>
      <c r="P8928" s="903">
        <f t="shared" si="723"/>
        <v>1</v>
      </c>
      <c r="Q8928" s="893">
        <f t="shared" si="724"/>
        <v>9</v>
      </c>
      <c r="R8928" s="894">
        <f t="shared" si="725"/>
        <v>0</v>
      </c>
    </row>
    <row r="8929" spans="1:18" s="904" customFormat="1">
      <c r="A8929" s="905"/>
      <c r="B8929" s="952"/>
      <c r="C8929" s="907">
        <v>309</v>
      </c>
      <c r="D8929" s="907" t="s">
        <v>279</v>
      </c>
      <c r="E8929" s="992" t="s">
        <v>3262</v>
      </c>
      <c r="F8929" s="905" t="s">
        <v>45</v>
      </c>
      <c r="G8929" s="1005"/>
      <c r="H8929" s="911">
        <v>0.2</v>
      </c>
      <c r="I8929" s="912">
        <f>VLOOKUP(E8929,[3]VLP!$B$7:$K$300,10,0)</f>
        <v>66300</v>
      </c>
      <c r="J8929" s="912">
        <f t="shared" si="729"/>
        <v>13260</v>
      </c>
      <c r="K8929" s="912" t="s">
        <v>274</v>
      </c>
      <c r="L8929" s="912"/>
      <c r="M8929" s="912"/>
      <c r="N8929" s="912"/>
      <c r="O8929" s="892">
        <f t="shared" si="730"/>
        <v>0</v>
      </c>
      <c r="P8929" s="903">
        <f t="shared" si="723"/>
        <v>1</v>
      </c>
      <c r="Q8929" s="893">
        <f t="shared" si="724"/>
        <v>8</v>
      </c>
      <c r="R8929" s="894">
        <f t="shared" si="725"/>
        <v>0</v>
      </c>
    </row>
    <row r="8930" spans="1:18">
      <c r="A8930" s="905"/>
      <c r="B8930" s="952"/>
      <c r="C8930" s="907">
        <v>235</v>
      </c>
      <c r="D8930" s="907" t="s">
        <v>279</v>
      </c>
      <c r="E8930" s="992" t="s">
        <v>2682</v>
      </c>
      <c r="F8930" s="905" t="s">
        <v>45</v>
      </c>
      <c r="G8930" s="1005"/>
      <c r="H8930" s="911">
        <v>1.6</v>
      </c>
      <c r="I8930" s="912">
        <f>VLOOKUP(E8930,[3]VLP!$B$7:$K$300,10,0)</f>
        <v>5000</v>
      </c>
      <c r="J8930" s="912">
        <f t="shared" si="729"/>
        <v>8000</v>
      </c>
      <c r="K8930" s="912" t="s">
        <v>274</v>
      </c>
      <c r="L8930" s="912"/>
      <c r="M8930" s="912"/>
      <c r="N8930" s="912"/>
      <c r="O8930" s="892">
        <f t="shared" si="730"/>
        <v>0</v>
      </c>
      <c r="P8930" s="903">
        <f t="shared" si="723"/>
        <v>1</v>
      </c>
      <c r="Q8930" s="893">
        <f t="shared" si="724"/>
        <v>7</v>
      </c>
      <c r="R8930" s="894">
        <f t="shared" si="725"/>
        <v>0</v>
      </c>
    </row>
    <row r="8931" spans="1:18" s="904" customFormat="1">
      <c r="A8931" s="905"/>
      <c r="B8931" s="952"/>
      <c r="C8931" s="907">
        <v>237</v>
      </c>
      <c r="D8931" s="907" t="s">
        <v>279</v>
      </c>
      <c r="E8931" s="992" t="s">
        <v>6312</v>
      </c>
      <c r="F8931" s="905" t="s">
        <v>47</v>
      </c>
      <c r="G8931" s="1005"/>
      <c r="H8931" s="911">
        <v>0.2</v>
      </c>
      <c r="I8931" s="912">
        <f>VLOOKUP(E8931,[3]VLP!$B$7:$K$300,10,0)</f>
        <v>4545455</v>
      </c>
      <c r="J8931" s="912">
        <f t="shared" si="729"/>
        <v>909091</v>
      </c>
      <c r="K8931" s="912" t="s">
        <v>274</v>
      </c>
      <c r="L8931" s="912"/>
      <c r="M8931" s="912"/>
      <c r="N8931" s="912"/>
      <c r="O8931" s="892">
        <f t="shared" si="730"/>
        <v>0</v>
      </c>
      <c r="P8931" s="903">
        <f t="shared" si="723"/>
        <v>1</v>
      </c>
      <c r="Q8931" s="893">
        <f t="shared" si="724"/>
        <v>6</v>
      </c>
      <c r="R8931" s="894">
        <f t="shared" si="725"/>
        <v>0</v>
      </c>
    </row>
    <row r="8932" spans="1:18">
      <c r="A8932" s="905"/>
      <c r="B8932" s="952"/>
      <c r="C8932" s="907">
        <v>699</v>
      </c>
      <c r="D8932" s="907" t="s">
        <v>279</v>
      </c>
      <c r="E8932" s="992" t="s">
        <v>4006</v>
      </c>
      <c r="F8932" s="905" t="s">
        <v>4007</v>
      </c>
      <c r="G8932" s="1005"/>
      <c r="H8932" s="911">
        <v>2</v>
      </c>
      <c r="I8932" s="912">
        <f>VLOOKUP(E8932,[3]VLP!$B$7:$K$300,10,0)</f>
        <v>5000</v>
      </c>
      <c r="J8932" s="912">
        <f t="shared" si="729"/>
        <v>10000</v>
      </c>
      <c r="K8932" s="912" t="s">
        <v>274</v>
      </c>
      <c r="L8932" s="912"/>
      <c r="M8932" s="912"/>
      <c r="N8932" s="912"/>
      <c r="O8932" s="892">
        <f t="shared" si="730"/>
        <v>0</v>
      </c>
      <c r="P8932" s="903">
        <f t="shared" si="723"/>
        <v>1</v>
      </c>
      <c r="Q8932" s="893">
        <f t="shared" si="724"/>
        <v>5</v>
      </c>
      <c r="R8932" s="894">
        <f t="shared" si="725"/>
        <v>0</v>
      </c>
    </row>
    <row r="8933" spans="1:18" s="847" customFormat="1">
      <c r="A8933" s="895"/>
      <c r="B8933" s="896"/>
      <c r="C8933" s="897"/>
      <c r="D8933" s="897"/>
      <c r="E8933" s="1002" t="s">
        <v>276</v>
      </c>
      <c r="F8933" s="1003"/>
      <c r="G8933" s="1004"/>
      <c r="H8933" s="901"/>
      <c r="I8933" s="902"/>
      <c r="J8933" s="902"/>
      <c r="K8933" s="912" t="s">
        <v>274</v>
      </c>
      <c r="L8933" s="902"/>
      <c r="M8933" s="902"/>
      <c r="N8933" s="902"/>
      <c r="O8933" s="892">
        <f t="shared" si="730"/>
        <v>0</v>
      </c>
      <c r="P8933" s="903">
        <f t="shared" si="723"/>
        <v>1</v>
      </c>
      <c r="Q8933" s="893">
        <f t="shared" si="724"/>
        <v>4</v>
      </c>
      <c r="R8933" s="894">
        <f t="shared" si="725"/>
        <v>0</v>
      </c>
    </row>
    <row r="8934" spans="1:18" s="904" customFormat="1">
      <c r="A8934" s="905"/>
      <c r="B8934" s="952"/>
      <c r="C8934" s="907">
        <v>745</v>
      </c>
      <c r="D8934" s="907" t="s">
        <v>12</v>
      </c>
      <c r="E8934" s="992" t="s">
        <v>5518</v>
      </c>
      <c r="F8934" s="905" t="s">
        <v>2674</v>
      </c>
      <c r="G8934" s="1005"/>
      <c r="H8934" s="911">
        <v>6.8</v>
      </c>
      <c r="I8934" s="912"/>
      <c r="J8934" s="912"/>
      <c r="K8934" s="912">
        <f>VLOOKUP(E8934,[5]ĐMNC!$A$7:$F$67,4,0)</f>
        <v>240557</v>
      </c>
      <c r="L8934" s="912">
        <f>H8934*K8934</f>
        <v>1635787.5999999999</v>
      </c>
      <c r="M8934" s="912"/>
      <c r="N8934" s="912"/>
      <c r="O8934" s="892">
        <f t="shared" si="730"/>
        <v>0</v>
      </c>
      <c r="P8934" s="903">
        <f t="shared" si="723"/>
        <v>1</v>
      </c>
      <c r="Q8934" s="893">
        <f t="shared" si="724"/>
        <v>3</v>
      </c>
      <c r="R8934" s="894">
        <f t="shared" si="725"/>
        <v>0</v>
      </c>
    </row>
    <row r="8935" spans="1:18">
      <c r="A8935" s="895"/>
      <c r="B8935" s="896"/>
      <c r="C8935" s="897"/>
      <c r="D8935" s="897"/>
      <c r="E8935" s="1002" t="s">
        <v>3914</v>
      </c>
      <c r="F8935" s="1003"/>
      <c r="G8935" s="1004"/>
      <c r="H8935" s="901"/>
      <c r="I8935" s="902"/>
      <c r="J8935" s="902"/>
      <c r="K8935" s="912" t="s">
        <v>274</v>
      </c>
      <c r="L8935" s="902"/>
      <c r="M8935" s="902"/>
      <c r="N8935" s="902"/>
      <c r="O8935" s="892">
        <f t="shared" si="730"/>
        <v>0</v>
      </c>
      <c r="P8935" s="903">
        <f t="shared" si="723"/>
        <v>1</v>
      </c>
      <c r="Q8935" s="893">
        <f t="shared" si="724"/>
        <v>2</v>
      </c>
      <c r="R8935" s="894">
        <f t="shared" si="725"/>
        <v>0</v>
      </c>
    </row>
    <row r="8936" spans="1:18" s="904" customFormat="1">
      <c r="A8936" s="905"/>
      <c r="B8936" s="946" t="s">
        <v>6321</v>
      </c>
      <c r="C8936" s="907">
        <v>900</v>
      </c>
      <c r="D8936" s="907" t="s">
        <v>93</v>
      </c>
      <c r="E8936" s="992" t="s">
        <v>6322</v>
      </c>
      <c r="F8936" s="905" t="s">
        <v>2673</v>
      </c>
      <c r="G8936" s="1005"/>
      <c r="H8936" s="911">
        <v>0.36</v>
      </c>
      <c r="I8936" s="912"/>
      <c r="J8936" s="912"/>
      <c r="K8936" s="912"/>
      <c r="L8936" s="912"/>
      <c r="M8936" s="912">
        <f>VLOOKUP(B8936,MTC!$B$9:$S$933,12,0)</f>
        <v>1475268</v>
      </c>
      <c r="N8936" s="912">
        <f>M8936*H8936</f>
        <v>531096.48</v>
      </c>
      <c r="O8936" s="892">
        <f t="shared" si="730"/>
        <v>0</v>
      </c>
      <c r="P8936" s="903">
        <f t="shared" si="723"/>
        <v>1</v>
      </c>
      <c r="Q8936" s="893">
        <f t="shared" si="724"/>
        <v>1</v>
      </c>
      <c r="R8936" s="894">
        <f t="shared" si="725"/>
        <v>0</v>
      </c>
    </row>
    <row r="8937" spans="1:18" ht="31.5">
      <c r="A8937" s="905">
        <v>29</v>
      </c>
      <c r="B8937" s="914" t="s">
        <v>6391</v>
      </c>
      <c r="C8937" s="915"/>
      <c r="D8937" s="915"/>
      <c r="E8937" s="1006" t="s">
        <v>6392</v>
      </c>
      <c r="F8937" s="1007" t="s">
        <v>6378</v>
      </c>
      <c r="G8937" s="1008"/>
      <c r="H8937" s="919"/>
      <c r="I8937" s="920"/>
      <c r="J8937" s="891">
        <f>SUM(J8938:J8949)</f>
        <v>968797.5</v>
      </c>
      <c r="K8937" s="891"/>
      <c r="L8937" s="891">
        <f>SUM(L8938:L8949)</f>
        <v>1768093.95</v>
      </c>
      <c r="M8937" s="891"/>
      <c r="N8937" s="891">
        <f>SUM(N8938:N8949)</f>
        <v>575354.52</v>
      </c>
      <c r="O8937" s="892">
        <f t="shared" si="730"/>
        <v>1</v>
      </c>
      <c r="P8937" s="903">
        <f t="shared" si="723"/>
        <v>0</v>
      </c>
      <c r="Q8937" s="893">
        <f t="shared" si="724"/>
        <v>0</v>
      </c>
      <c r="R8937" s="894">
        <f t="shared" si="725"/>
        <v>12</v>
      </c>
    </row>
    <row r="8938" spans="1:18">
      <c r="A8938" s="895"/>
      <c r="B8938" s="896"/>
      <c r="C8938" s="897"/>
      <c r="D8938" s="897"/>
      <c r="E8938" s="1002" t="s">
        <v>108</v>
      </c>
      <c r="F8938" s="1003"/>
      <c r="G8938" s="1004"/>
      <c r="H8938" s="901"/>
      <c r="I8938" s="902"/>
      <c r="J8938" s="902"/>
      <c r="K8938" s="912" t="s">
        <v>274</v>
      </c>
      <c r="L8938" s="902"/>
      <c r="M8938" s="902"/>
      <c r="N8938" s="902"/>
      <c r="O8938" s="892">
        <f t="shared" si="730"/>
        <v>0</v>
      </c>
      <c r="P8938" s="903">
        <f t="shared" si="723"/>
        <v>1</v>
      </c>
      <c r="Q8938" s="893">
        <f t="shared" si="724"/>
        <v>12</v>
      </c>
      <c r="R8938" s="894">
        <f t="shared" si="725"/>
        <v>0</v>
      </c>
    </row>
    <row r="8939" spans="1:18">
      <c r="A8939" s="905"/>
      <c r="B8939" s="952"/>
      <c r="C8939" s="907">
        <v>212</v>
      </c>
      <c r="D8939" s="907" t="s">
        <v>279</v>
      </c>
      <c r="E8939" s="992" t="s">
        <v>2681</v>
      </c>
      <c r="F8939" s="905" t="s">
        <v>45</v>
      </c>
      <c r="G8939" s="1005"/>
      <c r="H8939" s="911">
        <v>0.3</v>
      </c>
      <c r="I8939" s="912">
        <f>VLOOKUP(E8939,[3]VLP!$B$7:$K$300,10,0)</f>
        <v>23000</v>
      </c>
      <c r="J8939" s="912">
        <f t="shared" ref="J8939:J8945" si="731">I8939*H8939</f>
        <v>6900</v>
      </c>
      <c r="K8939" s="912" t="s">
        <v>274</v>
      </c>
      <c r="L8939" s="912"/>
      <c r="M8939" s="912"/>
      <c r="N8939" s="912"/>
      <c r="O8939" s="892">
        <f t="shared" si="730"/>
        <v>0</v>
      </c>
      <c r="P8939" s="903">
        <f t="shared" si="723"/>
        <v>1</v>
      </c>
      <c r="Q8939" s="893">
        <f t="shared" si="724"/>
        <v>11</v>
      </c>
      <c r="R8939" s="894">
        <f t="shared" si="725"/>
        <v>0</v>
      </c>
    </row>
    <row r="8940" spans="1:18" s="847" customFormat="1">
      <c r="A8940" s="905"/>
      <c r="B8940" s="952"/>
      <c r="C8940" s="907">
        <v>318</v>
      </c>
      <c r="D8940" s="907" t="s">
        <v>279</v>
      </c>
      <c r="E8940" s="992" t="s">
        <v>5657</v>
      </c>
      <c r="F8940" s="905" t="s">
        <v>45</v>
      </c>
      <c r="G8940" s="1005"/>
      <c r="H8940" s="911">
        <v>0.3</v>
      </c>
      <c r="I8940" s="912">
        <f>VLOOKUP(E8940,[3]VLP!$B$7:$K$300,10,0)</f>
        <v>25155</v>
      </c>
      <c r="J8940" s="912">
        <f t="shared" si="731"/>
        <v>7546.5</v>
      </c>
      <c r="K8940" s="912" t="s">
        <v>274</v>
      </c>
      <c r="L8940" s="912"/>
      <c r="M8940" s="912"/>
      <c r="N8940" s="912"/>
      <c r="O8940" s="892">
        <f t="shared" si="730"/>
        <v>0</v>
      </c>
      <c r="P8940" s="903">
        <f t="shared" si="723"/>
        <v>1</v>
      </c>
      <c r="Q8940" s="893">
        <f t="shared" si="724"/>
        <v>10</v>
      </c>
      <c r="R8940" s="894">
        <f t="shared" si="725"/>
        <v>0</v>
      </c>
    </row>
    <row r="8941" spans="1:18" s="904" customFormat="1">
      <c r="A8941" s="905"/>
      <c r="B8941" s="952"/>
      <c r="C8941" s="907">
        <v>234</v>
      </c>
      <c r="D8941" s="907" t="s">
        <v>279</v>
      </c>
      <c r="E8941" s="992" t="s">
        <v>5983</v>
      </c>
      <c r="F8941" s="905" t="s">
        <v>3144</v>
      </c>
      <c r="G8941" s="1005"/>
      <c r="H8941" s="911">
        <v>1</v>
      </c>
      <c r="I8941" s="912">
        <f>VLOOKUP(E8941,[3]VLP!$B$7:$K$300,10,0)</f>
        <v>14000</v>
      </c>
      <c r="J8941" s="912">
        <f t="shared" si="731"/>
        <v>14000</v>
      </c>
      <c r="K8941" s="912" t="s">
        <v>274</v>
      </c>
      <c r="L8941" s="912"/>
      <c r="M8941" s="912"/>
      <c r="N8941" s="912"/>
      <c r="O8941" s="892">
        <f t="shared" si="730"/>
        <v>0</v>
      </c>
      <c r="P8941" s="903">
        <f t="shared" si="723"/>
        <v>1</v>
      </c>
      <c r="Q8941" s="893">
        <f t="shared" si="724"/>
        <v>9</v>
      </c>
      <c r="R8941" s="894">
        <f t="shared" si="725"/>
        <v>0</v>
      </c>
    </row>
    <row r="8942" spans="1:18">
      <c r="A8942" s="905"/>
      <c r="B8942" s="952"/>
      <c r="C8942" s="907">
        <v>309</v>
      </c>
      <c r="D8942" s="907" t="s">
        <v>279</v>
      </c>
      <c r="E8942" s="992" t="s">
        <v>3262</v>
      </c>
      <c r="F8942" s="905" t="s">
        <v>45</v>
      </c>
      <c r="G8942" s="1005"/>
      <c r="H8942" s="911">
        <v>0.2</v>
      </c>
      <c r="I8942" s="912">
        <f>VLOOKUP(E8942,[3]VLP!$B$7:$K$300,10,0)</f>
        <v>66300</v>
      </c>
      <c r="J8942" s="912">
        <f t="shared" si="731"/>
        <v>13260</v>
      </c>
      <c r="K8942" s="912" t="s">
        <v>274</v>
      </c>
      <c r="L8942" s="912"/>
      <c r="M8942" s="912"/>
      <c r="N8942" s="912"/>
      <c r="O8942" s="892">
        <f t="shared" si="730"/>
        <v>0</v>
      </c>
      <c r="P8942" s="903">
        <f t="shared" si="723"/>
        <v>1</v>
      </c>
      <c r="Q8942" s="893">
        <f t="shared" si="724"/>
        <v>8</v>
      </c>
      <c r="R8942" s="894">
        <f t="shared" si="725"/>
        <v>0</v>
      </c>
    </row>
    <row r="8943" spans="1:18" s="904" customFormat="1">
      <c r="A8943" s="905"/>
      <c r="B8943" s="952"/>
      <c r="C8943" s="907">
        <v>235</v>
      </c>
      <c r="D8943" s="907" t="s">
        <v>279</v>
      </c>
      <c r="E8943" s="992" t="s">
        <v>2682</v>
      </c>
      <c r="F8943" s="905" t="s">
        <v>45</v>
      </c>
      <c r="G8943" s="1005"/>
      <c r="H8943" s="911">
        <v>1.6</v>
      </c>
      <c r="I8943" s="912">
        <f>VLOOKUP(E8943,[3]VLP!$B$7:$K$300,10,0)</f>
        <v>5000</v>
      </c>
      <c r="J8943" s="912">
        <f t="shared" si="731"/>
        <v>8000</v>
      </c>
      <c r="K8943" s="912" t="s">
        <v>274</v>
      </c>
      <c r="L8943" s="912"/>
      <c r="M8943" s="912"/>
      <c r="N8943" s="912"/>
      <c r="O8943" s="892">
        <f t="shared" si="730"/>
        <v>0</v>
      </c>
      <c r="P8943" s="903">
        <f t="shared" si="723"/>
        <v>1</v>
      </c>
      <c r="Q8943" s="893">
        <f t="shared" si="724"/>
        <v>7</v>
      </c>
      <c r="R8943" s="894">
        <f t="shared" si="725"/>
        <v>0</v>
      </c>
    </row>
    <row r="8944" spans="1:18">
      <c r="A8944" s="905"/>
      <c r="B8944" s="952"/>
      <c r="C8944" s="907">
        <v>237</v>
      </c>
      <c r="D8944" s="907" t="s">
        <v>279</v>
      </c>
      <c r="E8944" s="992" t="s">
        <v>6312</v>
      </c>
      <c r="F8944" s="905" t="s">
        <v>47</v>
      </c>
      <c r="G8944" s="1005"/>
      <c r="H8944" s="911">
        <v>0.2</v>
      </c>
      <c r="I8944" s="912">
        <f>VLOOKUP(E8944,[3]VLP!$B$7:$K$300,10,0)</f>
        <v>4545455</v>
      </c>
      <c r="J8944" s="912">
        <f t="shared" si="731"/>
        <v>909091</v>
      </c>
      <c r="K8944" s="912" t="s">
        <v>274</v>
      </c>
      <c r="L8944" s="912"/>
      <c r="M8944" s="912"/>
      <c r="N8944" s="912"/>
      <c r="O8944" s="892">
        <f t="shared" si="730"/>
        <v>0</v>
      </c>
      <c r="P8944" s="903">
        <f t="shared" si="723"/>
        <v>1</v>
      </c>
      <c r="Q8944" s="893">
        <f t="shared" si="724"/>
        <v>6</v>
      </c>
      <c r="R8944" s="894">
        <f t="shared" si="725"/>
        <v>0</v>
      </c>
    </row>
    <row r="8945" spans="1:18">
      <c r="A8945" s="905"/>
      <c r="B8945" s="952"/>
      <c r="C8945" s="907">
        <v>699</v>
      </c>
      <c r="D8945" s="907" t="s">
        <v>279</v>
      </c>
      <c r="E8945" s="992" t="s">
        <v>4006</v>
      </c>
      <c r="F8945" s="905" t="s">
        <v>4007</v>
      </c>
      <c r="G8945" s="1005"/>
      <c r="H8945" s="911">
        <v>2</v>
      </c>
      <c r="I8945" s="912">
        <f>VLOOKUP(E8945,[3]VLP!$B$7:$K$300,10,0)</f>
        <v>5000</v>
      </c>
      <c r="J8945" s="912">
        <f t="shared" si="731"/>
        <v>10000</v>
      </c>
      <c r="K8945" s="912" t="s">
        <v>274</v>
      </c>
      <c r="L8945" s="912"/>
      <c r="M8945" s="912"/>
      <c r="N8945" s="912"/>
      <c r="O8945" s="892">
        <f t="shared" si="730"/>
        <v>0</v>
      </c>
      <c r="P8945" s="903">
        <f t="shared" si="723"/>
        <v>1</v>
      </c>
      <c r="Q8945" s="893">
        <f t="shared" si="724"/>
        <v>5</v>
      </c>
      <c r="R8945" s="894">
        <f t="shared" si="725"/>
        <v>0</v>
      </c>
    </row>
    <row r="8946" spans="1:18">
      <c r="A8946" s="895"/>
      <c r="B8946" s="896"/>
      <c r="C8946" s="897"/>
      <c r="D8946" s="897"/>
      <c r="E8946" s="1002" t="s">
        <v>276</v>
      </c>
      <c r="F8946" s="1003"/>
      <c r="G8946" s="1004"/>
      <c r="H8946" s="901"/>
      <c r="I8946" s="902"/>
      <c r="J8946" s="902"/>
      <c r="K8946" s="912" t="s">
        <v>274</v>
      </c>
      <c r="L8946" s="902"/>
      <c r="M8946" s="902"/>
      <c r="N8946" s="902"/>
      <c r="O8946" s="892">
        <f t="shared" si="730"/>
        <v>0</v>
      </c>
      <c r="P8946" s="903">
        <f t="shared" si="723"/>
        <v>1</v>
      </c>
      <c r="Q8946" s="893">
        <f t="shared" si="724"/>
        <v>4</v>
      </c>
      <c r="R8946" s="894">
        <f t="shared" si="725"/>
        <v>0</v>
      </c>
    </row>
    <row r="8947" spans="1:18" s="847" customFormat="1">
      <c r="A8947" s="905"/>
      <c r="B8947" s="952"/>
      <c r="C8947" s="907">
        <v>745</v>
      </c>
      <c r="D8947" s="907" t="s">
        <v>12</v>
      </c>
      <c r="E8947" s="992" t="s">
        <v>5518</v>
      </c>
      <c r="F8947" s="905" t="s">
        <v>2674</v>
      </c>
      <c r="G8947" s="1005"/>
      <c r="H8947" s="911">
        <v>7.35</v>
      </c>
      <c r="I8947" s="912"/>
      <c r="J8947" s="912"/>
      <c r="K8947" s="912">
        <f>VLOOKUP(E8947,[5]ĐMNC!$A$7:$F$67,4,0)</f>
        <v>240557</v>
      </c>
      <c r="L8947" s="912">
        <f>H8947*K8947</f>
        <v>1768093.95</v>
      </c>
      <c r="M8947" s="912"/>
      <c r="N8947" s="912"/>
      <c r="O8947" s="892">
        <f t="shared" si="730"/>
        <v>0</v>
      </c>
      <c r="P8947" s="903">
        <f t="shared" ref="P8947:P9010" si="732">IF(O8947=0,1,0)</f>
        <v>1</v>
      </c>
      <c r="Q8947" s="893">
        <f t="shared" ref="Q8947:Q9010" si="733">IF(P8947=0,0,P8947+Q8948)</f>
        <v>3</v>
      </c>
      <c r="R8947" s="894">
        <f t="shared" ref="R8947:R9010" si="734">IF(Q8947=0,Q8948,0)</f>
        <v>0</v>
      </c>
    </row>
    <row r="8948" spans="1:18" s="904" customFormat="1">
      <c r="A8948" s="895"/>
      <c r="B8948" s="896"/>
      <c r="C8948" s="897"/>
      <c r="D8948" s="897"/>
      <c r="E8948" s="1002" t="s">
        <v>3914</v>
      </c>
      <c r="F8948" s="1003"/>
      <c r="G8948" s="1004"/>
      <c r="H8948" s="901"/>
      <c r="I8948" s="902"/>
      <c r="J8948" s="902"/>
      <c r="K8948" s="912" t="s">
        <v>274</v>
      </c>
      <c r="L8948" s="902"/>
      <c r="M8948" s="902"/>
      <c r="N8948" s="902"/>
      <c r="O8948" s="892">
        <f t="shared" si="730"/>
        <v>0</v>
      </c>
      <c r="P8948" s="903">
        <f t="shared" si="732"/>
        <v>1</v>
      </c>
      <c r="Q8948" s="893">
        <f t="shared" si="733"/>
        <v>2</v>
      </c>
      <c r="R8948" s="894">
        <f t="shared" si="734"/>
        <v>0</v>
      </c>
    </row>
    <row r="8949" spans="1:18">
      <c r="A8949" s="905"/>
      <c r="B8949" s="946" t="s">
        <v>6321</v>
      </c>
      <c r="C8949" s="907">
        <v>900</v>
      </c>
      <c r="D8949" s="907" t="s">
        <v>93</v>
      </c>
      <c r="E8949" s="992" t="s">
        <v>6322</v>
      </c>
      <c r="F8949" s="905" t="s">
        <v>2673</v>
      </c>
      <c r="G8949" s="1005"/>
      <c r="H8949" s="911">
        <v>0.39</v>
      </c>
      <c r="I8949" s="912"/>
      <c r="J8949" s="912"/>
      <c r="K8949" s="912"/>
      <c r="L8949" s="912"/>
      <c r="M8949" s="912">
        <f>VLOOKUP(B8949,MTC!$B$9:$S$933,12,0)</f>
        <v>1475268</v>
      </c>
      <c r="N8949" s="912">
        <f>M8949*H8949</f>
        <v>575354.52</v>
      </c>
      <c r="O8949" s="892">
        <f t="shared" si="730"/>
        <v>0</v>
      </c>
      <c r="P8949" s="903">
        <f t="shared" si="732"/>
        <v>1</v>
      </c>
      <c r="Q8949" s="893">
        <f t="shared" si="733"/>
        <v>1</v>
      </c>
      <c r="R8949" s="894">
        <f t="shared" si="734"/>
        <v>0</v>
      </c>
    </row>
    <row r="8950" spans="1:18" s="904" customFormat="1">
      <c r="A8950" s="905" t="s">
        <v>6393</v>
      </c>
      <c r="B8950" s="914" t="s">
        <v>6394</v>
      </c>
      <c r="C8950" s="915"/>
      <c r="D8950" s="915"/>
      <c r="E8950" s="1006" t="s">
        <v>6395</v>
      </c>
      <c r="F8950" s="1007" t="s">
        <v>139</v>
      </c>
      <c r="G8950" s="1008"/>
      <c r="H8950" s="919"/>
      <c r="I8950" s="920"/>
      <c r="J8950" s="891">
        <f>SUM(J8951:J8962)</f>
        <v>956282</v>
      </c>
      <c r="K8950" s="891"/>
      <c r="L8950" s="891">
        <f>SUM(L8951:L8962)</f>
        <v>548469.96</v>
      </c>
      <c r="M8950" s="891"/>
      <c r="N8950" s="891">
        <f>SUM(N8951:N8962)</f>
        <v>383569.68</v>
      </c>
      <c r="O8950" s="892">
        <f t="shared" si="730"/>
        <v>1</v>
      </c>
      <c r="P8950" s="903">
        <f t="shared" si="732"/>
        <v>0</v>
      </c>
      <c r="Q8950" s="893">
        <f t="shared" si="733"/>
        <v>0</v>
      </c>
      <c r="R8950" s="894">
        <f t="shared" si="734"/>
        <v>12</v>
      </c>
    </row>
    <row r="8951" spans="1:18">
      <c r="A8951" s="895"/>
      <c r="B8951" s="896"/>
      <c r="C8951" s="897"/>
      <c r="D8951" s="897"/>
      <c r="E8951" s="1002" t="s">
        <v>108</v>
      </c>
      <c r="F8951" s="1003"/>
      <c r="G8951" s="1004"/>
      <c r="H8951" s="901"/>
      <c r="I8951" s="902"/>
      <c r="J8951" s="902"/>
      <c r="K8951" s="912" t="s">
        <v>274</v>
      </c>
      <c r="L8951" s="902"/>
      <c r="M8951" s="902"/>
      <c r="N8951" s="902"/>
      <c r="O8951" s="892">
        <f t="shared" si="730"/>
        <v>0</v>
      </c>
      <c r="P8951" s="903">
        <f t="shared" si="732"/>
        <v>1</v>
      </c>
      <c r="Q8951" s="893">
        <f t="shared" si="733"/>
        <v>12</v>
      </c>
      <c r="R8951" s="894">
        <f t="shared" si="734"/>
        <v>0</v>
      </c>
    </row>
    <row r="8952" spans="1:18">
      <c r="A8952" s="905"/>
      <c r="B8952" s="952"/>
      <c r="C8952" s="907">
        <v>212</v>
      </c>
      <c r="D8952" s="907" t="s">
        <v>279</v>
      </c>
      <c r="E8952" s="992" t="s">
        <v>2681</v>
      </c>
      <c r="F8952" s="905" t="s">
        <v>45</v>
      </c>
      <c r="G8952" s="1005"/>
      <c r="H8952" s="911">
        <v>0.3</v>
      </c>
      <c r="I8952" s="912">
        <f>VLOOKUP(E8952,[3]VLP!$B$7:$K$300,10,0)</f>
        <v>23000</v>
      </c>
      <c r="J8952" s="912">
        <f t="shared" ref="J8952:J8958" si="735">I8952*H8952</f>
        <v>6900</v>
      </c>
      <c r="K8952" s="912" t="s">
        <v>274</v>
      </c>
      <c r="L8952" s="912"/>
      <c r="M8952" s="912"/>
      <c r="N8952" s="912"/>
      <c r="O8952" s="892">
        <f t="shared" si="730"/>
        <v>0</v>
      </c>
      <c r="P8952" s="903">
        <f t="shared" si="732"/>
        <v>1</v>
      </c>
      <c r="Q8952" s="893">
        <f t="shared" si="733"/>
        <v>11</v>
      </c>
      <c r="R8952" s="894">
        <f t="shared" si="734"/>
        <v>0</v>
      </c>
    </row>
    <row r="8953" spans="1:18">
      <c r="A8953" s="905"/>
      <c r="B8953" s="952"/>
      <c r="C8953" s="907">
        <v>318</v>
      </c>
      <c r="D8953" s="907" t="s">
        <v>279</v>
      </c>
      <c r="E8953" s="992" t="s">
        <v>5657</v>
      </c>
      <c r="F8953" s="905" t="s">
        <v>45</v>
      </c>
      <c r="G8953" s="1005"/>
      <c r="H8953" s="911">
        <v>0.2</v>
      </c>
      <c r="I8953" s="912">
        <f>VLOOKUP(E8953,[3]VLP!$B$7:$K$300,10,0)</f>
        <v>25155</v>
      </c>
      <c r="J8953" s="912">
        <f t="shared" si="735"/>
        <v>5031</v>
      </c>
      <c r="K8953" s="912" t="s">
        <v>274</v>
      </c>
      <c r="L8953" s="912"/>
      <c r="M8953" s="912"/>
      <c r="N8953" s="912"/>
      <c r="O8953" s="892">
        <f t="shared" si="730"/>
        <v>0</v>
      </c>
      <c r="P8953" s="903">
        <f t="shared" si="732"/>
        <v>1</v>
      </c>
      <c r="Q8953" s="893">
        <f t="shared" si="733"/>
        <v>10</v>
      </c>
      <c r="R8953" s="894">
        <f t="shared" si="734"/>
        <v>0</v>
      </c>
    </row>
    <row r="8954" spans="1:18" s="847" customFormat="1">
      <c r="A8954" s="905"/>
      <c r="B8954" s="952"/>
      <c r="C8954" s="907">
        <v>234</v>
      </c>
      <c r="D8954" s="907" t="s">
        <v>279</v>
      </c>
      <c r="E8954" s="992" t="s">
        <v>5983</v>
      </c>
      <c r="F8954" s="905" t="s">
        <v>3144</v>
      </c>
      <c r="G8954" s="1005"/>
      <c r="H8954" s="911">
        <v>0.5</v>
      </c>
      <c r="I8954" s="912">
        <f>VLOOKUP(E8954,[3]VLP!$B$7:$K$300,10,0)</f>
        <v>14000</v>
      </c>
      <c r="J8954" s="912">
        <f t="shared" si="735"/>
        <v>7000</v>
      </c>
      <c r="K8954" s="912" t="s">
        <v>274</v>
      </c>
      <c r="L8954" s="912"/>
      <c r="M8954" s="912"/>
      <c r="N8954" s="912"/>
      <c r="O8954" s="892">
        <f t="shared" si="730"/>
        <v>0</v>
      </c>
      <c r="P8954" s="903">
        <f t="shared" si="732"/>
        <v>1</v>
      </c>
      <c r="Q8954" s="893">
        <f t="shared" si="733"/>
        <v>9</v>
      </c>
      <c r="R8954" s="894">
        <f t="shared" si="734"/>
        <v>0</v>
      </c>
    </row>
    <row r="8955" spans="1:18" s="904" customFormat="1">
      <c r="A8955" s="905"/>
      <c r="B8955" s="952"/>
      <c r="C8955" s="907">
        <v>309</v>
      </c>
      <c r="D8955" s="907" t="s">
        <v>279</v>
      </c>
      <c r="E8955" s="992" t="s">
        <v>3262</v>
      </c>
      <c r="F8955" s="905" t="s">
        <v>45</v>
      </c>
      <c r="G8955" s="1005"/>
      <c r="H8955" s="911">
        <v>0.2</v>
      </c>
      <c r="I8955" s="912">
        <f>VLOOKUP(E8955,[3]VLP!$B$7:$K$300,10,0)</f>
        <v>66300</v>
      </c>
      <c r="J8955" s="912">
        <f t="shared" si="735"/>
        <v>13260</v>
      </c>
      <c r="K8955" s="912" t="s">
        <v>274</v>
      </c>
      <c r="L8955" s="912"/>
      <c r="M8955" s="912"/>
      <c r="N8955" s="912"/>
      <c r="O8955" s="892">
        <f t="shared" si="730"/>
        <v>0</v>
      </c>
      <c r="P8955" s="903">
        <f t="shared" si="732"/>
        <v>1</v>
      </c>
      <c r="Q8955" s="893">
        <f t="shared" si="733"/>
        <v>8</v>
      </c>
      <c r="R8955" s="894">
        <f t="shared" si="734"/>
        <v>0</v>
      </c>
    </row>
    <row r="8956" spans="1:18">
      <c r="A8956" s="905"/>
      <c r="B8956" s="952"/>
      <c r="C8956" s="907">
        <v>235</v>
      </c>
      <c r="D8956" s="907" t="s">
        <v>279</v>
      </c>
      <c r="E8956" s="992" t="s">
        <v>2682</v>
      </c>
      <c r="F8956" s="905" t="s">
        <v>45</v>
      </c>
      <c r="G8956" s="1005"/>
      <c r="H8956" s="911">
        <v>1</v>
      </c>
      <c r="I8956" s="912">
        <f>VLOOKUP(E8956,[3]VLP!$B$7:$K$300,10,0)</f>
        <v>5000</v>
      </c>
      <c r="J8956" s="912">
        <f t="shared" si="735"/>
        <v>5000</v>
      </c>
      <c r="K8956" s="912" t="s">
        <v>274</v>
      </c>
      <c r="L8956" s="912"/>
      <c r="M8956" s="912"/>
      <c r="N8956" s="912"/>
      <c r="O8956" s="892">
        <f t="shared" si="730"/>
        <v>0</v>
      </c>
      <c r="P8956" s="903">
        <f t="shared" si="732"/>
        <v>1</v>
      </c>
      <c r="Q8956" s="893">
        <f t="shared" si="733"/>
        <v>7</v>
      </c>
      <c r="R8956" s="894">
        <f t="shared" si="734"/>
        <v>0</v>
      </c>
    </row>
    <row r="8957" spans="1:18" s="904" customFormat="1">
      <c r="A8957" s="905"/>
      <c r="B8957" s="952"/>
      <c r="C8957" s="907">
        <v>237</v>
      </c>
      <c r="D8957" s="907" t="s">
        <v>279</v>
      </c>
      <c r="E8957" s="992" t="s">
        <v>6312</v>
      </c>
      <c r="F8957" s="905" t="s">
        <v>47</v>
      </c>
      <c r="G8957" s="1005"/>
      <c r="H8957" s="911">
        <v>0.2</v>
      </c>
      <c r="I8957" s="912">
        <f>VLOOKUP(E8957,[3]VLP!$B$7:$K$300,10,0)</f>
        <v>4545455</v>
      </c>
      <c r="J8957" s="912">
        <f t="shared" si="735"/>
        <v>909091</v>
      </c>
      <c r="K8957" s="912" t="s">
        <v>274</v>
      </c>
      <c r="L8957" s="912"/>
      <c r="M8957" s="912"/>
      <c r="N8957" s="912"/>
      <c r="O8957" s="892">
        <f t="shared" si="730"/>
        <v>0</v>
      </c>
      <c r="P8957" s="903">
        <f t="shared" si="732"/>
        <v>1</v>
      </c>
      <c r="Q8957" s="893">
        <f t="shared" si="733"/>
        <v>6</v>
      </c>
      <c r="R8957" s="894">
        <f t="shared" si="734"/>
        <v>0</v>
      </c>
    </row>
    <row r="8958" spans="1:18">
      <c r="A8958" s="905"/>
      <c r="B8958" s="952"/>
      <c r="C8958" s="907">
        <v>699</v>
      </c>
      <c r="D8958" s="907" t="s">
        <v>279</v>
      </c>
      <c r="E8958" s="992" t="s">
        <v>4006</v>
      </c>
      <c r="F8958" s="905" t="s">
        <v>4007</v>
      </c>
      <c r="G8958" s="1005"/>
      <c r="H8958" s="911">
        <v>2</v>
      </c>
      <c r="I8958" s="912">
        <f>VLOOKUP(E8958,[3]VLP!$B$7:$K$300,10,0)</f>
        <v>5000</v>
      </c>
      <c r="J8958" s="912">
        <f t="shared" si="735"/>
        <v>10000</v>
      </c>
      <c r="K8958" s="912" t="s">
        <v>274</v>
      </c>
      <c r="L8958" s="912"/>
      <c r="M8958" s="912"/>
      <c r="N8958" s="912"/>
      <c r="O8958" s="892">
        <f t="shared" si="730"/>
        <v>0</v>
      </c>
      <c r="P8958" s="903">
        <f t="shared" si="732"/>
        <v>1</v>
      </c>
      <c r="Q8958" s="893">
        <f t="shared" si="733"/>
        <v>5</v>
      </c>
      <c r="R8958" s="894">
        <f t="shared" si="734"/>
        <v>0</v>
      </c>
    </row>
    <row r="8959" spans="1:18">
      <c r="A8959" s="895"/>
      <c r="B8959" s="896"/>
      <c r="C8959" s="897"/>
      <c r="D8959" s="897"/>
      <c r="E8959" s="1002" t="s">
        <v>276</v>
      </c>
      <c r="F8959" s="1003"/>
      <c r="G8959" s="1004"/>
      <c r="H8959" s="901"/>
      <c r="I8959" s="902"/>
      <c r="J8959" s="902"/>
      <c r="K8959" s="912" t="s">
        <v>274</v>
      </c>
      <c r="L8959" s="902"/>
      <c r="M8959" s="902"/>
      <c r="N8959" s="902"/>
      <c r="O8959" s="892">
        <f t="shared" si="730"/>
        <v>0</v>
      </c>
      <c r="P8959" s="903">
        <f t="shared" si="732"/>
        <v>1</v>
      </c>
      <c r="Q8959" s="893">
        <f t="shared" si="733"/>
        <v>4</v>
      </c>
      <c r="R8959" s="894">
        <f t="shared" si="734"/>
        <v>0</v>
      </c>
    </row>
    <row r="8960" spans="1:18">
      <c r="A8960" s="905"/>
      <c r="B8960" s="952"/>
      <c r="C8960" s="907">
        <v>745</v>
      </c>
      <c r="D8960" s="907" t="s">
        <v>12</v>
      </c>
      <c r="E8960" s="992" t="s">
        <v>5518</v>
      </c>
      <c r="F8960" s="905" t="s">
        <v>2674</v>
      </c>
      <c r="G8960" s="1005"/>
      <c r="H8960" s="911">
        <v>2.2799999999999998</v>
      </c>
      <c r="I8960" s="912"/>
      <c r="J8960" s="912"/>
      <c r="K8960" s="912">
        <f>VLOOKUP(E8960,[5]ĐMNC!$A$7:$F$67,4,0)</f>
        <v>240557</v>
      </c>
      <c r="L8960" s="912">
        <f>H8960*K8960</f>
        <v>548469.96</v>
      </c>
      <c r="M8960" s="912"/>
      <c r="N8960" s="912"/>
      <c r="O8960" s="892">
        <f t="shared" si="730"/>
        <v>0</v>
      </c>
      <c r="P8960" s="903">
        <f t="shared" si="732"/>
        <v>1</v>
      </c>
      <c r="Q8960" s="893">
        <f t="shared" si="733"/>
        <v>3</v>
      </c>
      <c r="R8960" s="894">
        <f t="shared" si="734"/>
        <v>0</v>
      </c>
    </row>
    <row r="8961" spans="1:18" s="847" customFormat="1">
      <c r="A8961" s="895"/>
      <c r="B8961" s="896"/>
      <c r="C8961" s="897"/>
      <c r="D8961" s="897"/>
      <c r="E8961" s="1002" t="s">
        <v>3914</v>
      </c>
      <c r="F8961" s="1003"/>
      <c r="G8961" s="1004"/>
      <c r="H8961" s="901"/>
      <c r="I8961" s="902"/>
      <c r="J8961" s="902"/>
      <c r="K8961" s="912" t="s">
        <v>274</v>
      </c>
      <c r="L8961" s="902"/>
      <c r="M8961" s="902"/>
      <c r="N8961" s="902"/>
      <c r="O8961" s="892">
        <f t="shared" si="730"/>
        <v>0</v>
      </c>
      <c r="P8961" s="903">
        <f t="shared" si="732"/>
        <v>1</v>
      </c>
      <c r="Q8961" s="893">
        <f t="shared" si="733"/>
        <v>2</v>
      </c>
      <c r="R8961" s="894">
        <f t="shared" si="734"/>
        <v>0</v>
      </c>
    </row>
    <row r="8962" spans="1:18" s="904" customFormat="1">
      <c r="A8962" s="905"/>
      <c r="B8962" s="946" t="s">
        <v>6321</v>
      </c>
      <c r="C8962" s="907">
        <v>900</v>
      </c>
      <c r="D8962" s="907" t="s">
        <v>93</v>
      </c>
      <c r="E8962" s="992" t="s">
        <v>6322</v>
      </c>
      <c r="F8962" s="905" t="s">
        <v>2673</v>
      </c>
      <c r="G8962" s="1005"/>
      <c r="H8962" s="911">
        <v>0.26</v>
      </c>
      <c r="I8962" s="912"/>
      <c r="J8962" s="912"/>
      <c r="K8962" s="912"/>
      <c r="L8962" s="912"/>
      <c r="M8962" s="912">
        <f>VLOOKUP(B8962,MTC!$B$9:$S$933,12,0)</f>
        <v>1475268</v>
      </c>
      <c r="N8962" s="912">
        <f>M8962*H8962</f>
        <v>383569.68</v>
      </c>
      <c r="O8962" s="892">
        <f t="shared" si="730"/>
        <v>0</v>
      </c>
      <c r="P8962" s="903">
        <f t="shared" si="732"/>
        <v>1</v>
      </c>
      <c r="Q8962" s="893">
        <f t="shared" si="733"/>
        <v>1</v>
      </c>
      <c r="R8962" s="894">
        <f t="shared" si="734"/>
        <v>0</v>
      </c>
    </row>
    <row r="8963" spans="1:18">
      <c r="A8963" s="905">
        <v>31</v>
      </c>
      <c r="B8963" s="914" t="s">
        <v>1985</v>
      </c>
      <c r="C8963" s="915"/>
      <c r="D8963" s="915"/>
      <c r="E8963" s="1006" t="s">
        <v>6396</v>
      </c>
      <c r="F8963" s="1007" t="s">
        <v>139</v>
      </c>
      <c r="G8963" s="1008"/>
      <c r="H8963" s="919"/>
      <c r="I8963" s="920"/>
      <c r="J8963" s="891">
        <f>SUM(J8964:J8975)</f>
        <v>961597.5</v>
      </c>
      <c r="K8963" s="891"/>
      <c r="L8963" s="891">
        <f>SUM(L8964:L8975)</f>
        <v>632664.90999999992</v>
      </c>
      <c r="M8963" s="891"/>
      <c r="N8963" s="891">
        <f>SUM(N8964:N8975)</f>
        <v>383569.68</v>
      </c>
      <c r="O8963" s="892">
        <f t="shared" si="730"/>
        <v>1</v>
      </c>
      <c r="P8963" s="903">
        <f t="shared" si="732"/>
        <v>0</v>
      </c>
      <c r="Q8963" s="893">
        <f t="shared" si="733"/>
        <v>0</v>
      </c>
      <c r="R8963" s="894">
        <f t="shared" si="734"/>
        <v>12</v>
      </c>
    </row>
    <row r="8964" spans="1:18" s="904" customFormat="1">
      <c r="A8964" s="895"/>
      <c r="B8964" s="896"/>
      <c r="C8964" s="897"/>
      <c r="D8964" s="897"/>
      <c r="E8964" s="1002" t="s">
        <v>108</v>
      </c>
      <c r="F8964" s="1003"/>
      <c r="G8964" s="1004"/>
      <c r="H8964" s="901"/>
      <c r="I8964" s="902"/>
      <c r="J8964" s="902"/>
      <c r="K8964" s="912" t="s">
        <v>274</v>
      </c>
      <c r="L8964" s="902"/>
      <c r="M8964" s="902"/>
      <c r="N8964" s="902"/>
      <c r="O8964" s="892">
        <f t="shared" si="730"/>
        <v>0</v>
      </c>
      <c r="P8964" s="903">
        <f t="shared" si="732"/>
        <v>1</v>
      </c>
      <c r="Q8964" s="893">
        <f t="shared" si="733"/>
        <v>12</v>
      </c>
      <c r="R8964" s="894">
        <f t="shared" si="734"/>
        <v>0</v>
      </c>
    </row>
    <row r="8965" spans="1:18">
      <c r="A8965" s="905"/>
      <c r="B8965" s="952"/>
      <c r="C8965" s="907">
        <v>212</v>
      </c>
      <c r="D8965" s="907" t="s">
        <v>279</v>
      </c>
      <c r="E8965" s="992" t="s">
        <v>2681</v>
      </c>
      <c r="F8965" s="905" t="s">
        <v>45</v>
      </c>
      <c r="G8965" s="1005"/>
      <c r="H8965" s="911">
        <v>0.3</v>
      </c>
      <c r="I8965" s="912">
        <f>VLOOKUP(E8965,[3]VLP!$B$7:$K$300,10,0)</f>
        <v>23000</v>
      </c>
      <c r="J8965" s="912">
        <f t="shared" ref="J8965:J8971" si="736">I8965*H8965</f>
        <v>6900</v>
      </c>
      <c r="K8965" s="912" t="s">
        <v>274</v>
      </c>
      <c r="L8965" s="912"/>
      <c r="M8965" s="912"/>
      <c r="N8965" s="912"/>
      <c r="O8965" s="892">
        <f t="shared" si="730"/>
        <v>0</v>
      </c>
      <c r="P8965" s="903">
        <f t="shared" si="732"/>
        <v>1</v>
      </c>
      <c r="Q8965" s="893">
        <f t="shared" si="733"/>
        <v>11</v>
      </c>
      <c r="R8965" s="894">
        <f t="shared" si="734"/>
        <v>0</v>
      </c>
    </row>
    <row r="8966" spans="1:18">
      <c r="A8966" s="905"/>
      <c r="B8966" s="952"/>
      <c r="C8966" s="907">
        <v>318</v>
      </c>
      <c r="D8966" s="907" t="s">
        <v>279</v>
      </c>
      <c r="E8966" s="992" t="s">
        <v>5657</v>
      </c>
      <c r="F8966" s="905" t="s">
        <v>45</v>
      </c>
      <c r="G8966" s="1005"/>
      <c r="H8966" s="911">
        <v>0.3</v>
      </c>
      <c r="I8966" s="912">
        <f>VLOOKUP(E8966,[3]VLP!$B$7:$K$300,10,0)</f>
        <v>25155</v>
      </c>
      <c r="J8966" s="912">
        <f t="shared" si="736"/>
        <v>7546.5</v>
      </c>
      <c r="K8966" s="912" t="s">
        <v>274</v>
      </c>
      <c r="L8966" s="912"/>
      <c r="M8966" s="912"/>
      <c r="N8966" s="912"/>
      <c r="O8966" s="892">
        <f t="shared" si="730"/>
        <v>0</v>
      </c>
      <c r="P8966" s="903">
        <f t="shared" si="732"/>
        <v>1</v>
      </c>
      <c r="Q8966" s="893">
        <f t="shared" si="733"/>
        <v>10</v>
      </c>
      <c r="R8966" s="894">
        <f t="shared" si="734"/>
        <v>0</v>
      </c>
    </row>
    <row r="8967" spans="1:18">
      <c r="A8967" s="905"/>
      <c r="B8967" s="952"/>
      <c r="C8967" s="907">
        <v>234</v>
      </c>
      <c r="D8967" s="907" t="s">
        <v>279</v>
      </c>
      <c r="E8967" s="992" t="s">
        <v>5983</v>
      </c>
      <c r="F8967" s="905" t="s">
        <v>3144</v>
      </c>
      <c r="G8967" s="1005"/>
      <c r="H8967" s="911">
        <v>0.7</v>
      </c>
      <c r="I8967" s="912">
        <f>VLOOKUP(E8967,[3]VLP!$B$7:$K$300,10,0)</f>
        <v>14000</v>
      </c>
      <c r="J8967" s="912">
        <f t="shared" si="736"/>
        <v>9800</v>
      </c>
      <c r="K8967" s="912" t="s">
        <v>274</v>
      </c>
      <c r="L8967" s="912"/>
      <c r="M8967" s="912"/>
      <c r="N8967" s="912"/>
      <c r="O8967" s="892">
        <f t="shared" si="730"/>
        <v>0</v>
      </c>
      <c r="P8967" s="903">
        <f t="shared" si="732"/>
        <v>1</v>
      </c>
      <c r="Q8967" s="893">
        <f t="shared" si="733"/>
        <v>9</v>
      </c>
      <c r="R8967" s="894">
        <f t="shared" si="734"/>
        <v>0</v>
      </c>
    </row>
    <row r="8968" spans="1:18" s="847" customFormat="1">
      <c r="A8968" s="905"/>
      <c r="B8968" s="952"/>
      <c r="C8968" s="907">
        <v>309</v>
      </c>
      <c r="D8968" s="907" t="s">
        <v>279</v>
      </c>
      <c r="E8968" s="992" t="s">
        <v>3262</v>
      </c>
      <c r="F8968" s="905" t="s">
        <v>45</v>
      </c>
      <c r="G8968" s="1005"/>
      <c r="H8968" s="911">
        <v>0.2</v>
      </c>
      <c r="I8968" s="912">
        <f>VLOOKUP(E8968,[3]VLP!$B$7:$K$300,10,0)</f>
        <v>66300</v>
      </c>
      <c r="J8968" s="912">
        <f t="shared" si="736"/>
        <v>13260</v>
      </c>
      <c r="K8968" s="912" t="s">
        <v>274</v>
      </c>
      <c r="L8968" s="912"/>
      <c r="M8968" s="912"/>
      <c r="N8968" s="912"/>
      <c r="O8968" s="892">
        <f t="shared" si="730"/>
        <v>0</v>
      </c>
      <c r="P8968" s="903">
        <f t="shared" si="732"/>
        <v>1</v>
      </c>
      <c r="Q8968" s="893">
        <f t="shared" si="733"/>
        <v>8</v>
      </c>
      <c r="R8968" s="894">
        <f t="shared" si="734"/>
        <v>0</v>
      </c>
    </row>
    <row r="8969" spans="1:18" s="904" customFormat="1">
      <c r="A8969" s="905"/>
      <c r="B8969" s="952"/>
      <c r="C8969" s="907">
        <v>235</v>
      </c>
      <c r="D8969" s="907" t="s">
        <v>279</v>
      </c>
      <c r="E8969" s="992" t="s">
        <v>2682</v>
      </c>
      <c r="F8969" s="905" t="s">
        <v>45</v>
      </c>
      <c r="G8969" s="1005"/>
      <c r="H8969" s="911">
        <v>1</v>
      </c>
      <c r="I8969" s="912">
        <f>VLOOKUP(E8969,[3]VLP!$B$7:$K$300,10,0)</f>
        <v>5000</v>
      </c>
      <c r="J8969" s="912">
        <f t="shared" si="736"/>
        <v>5000</v>
      </c>
      <c r="K8969" s="912" t="s">
        <v>274</v>
      </c>
      <c r="L8969" s="912"/>
      <c r="M8969" s="912"/>
      <c r="N8969" s="912"/>
      <c r="O8969" s="892">
        <f t="shared" si="730"/>
        <v>0</v>
      </c>
      <c r="P8969" s="903">
        <f t="shared" si="732"/>
        <v>1</v>
      </c>
      <c r="Q8969" s="893">
        <f t="shared" si="733"/>
        <v>7</v>
      </c>
      <c r="R8969" s="894">
        <f t="shared" si="734"/>
        <v>0</v>
      </c>
    </row>
    <row r="8970" spans="1:18">
      <c r="A8970" s="905"/>
      <c r="B8970" s="952"/>
      <c r="C8970" s="907">
        <v>237</v>
      </c>
      <c r="D8970" s="907" t="s">
        <v>279</v>
      </c>
      <c r="E8970" s="992" t="s">
        <v>6312</v>
      </c>
      <c r="F8970" s="905" t="s">
        <v>47</v>
      </c>
      <c r="G8970" s="1005"/>
      <c r="H8970" s="911">
        <v>0.2</v>
      </c>
      <c r="I8970" s="912">
        <f>VLOOKUP(E8970,[3]VLP!$B$7:$K$300,10,0)</f>
        <v>4545455</v>
      </c>
      <c r="J8970" s="912">
        <f t="shared" si="736"/>
        <v>909091</v>
      </c>
      <c r="K8970" s="912" t="s">
        <v>274</v>
      </c>
      <c r="L8970" s="912"/>
      <c r="M8970" s="912"/>
      <c r="N8970" s="912"/>
      <c r="O8970" s="892">
        <f t="shared" si="730"/>
        <v>0</v>
      </c>
      <c r="P8970" s="903">
        <f t="shared" si="732"/>
        <v>1</v>
      </c>
      <c r="Q8970" s="893">
        <f t="shared" si="733"/>
        <v>6</v>
      </c>
      <c r="R8970" s="894">
        <f t="shared" si="734"/>
        <v>0</v>
      </c>
    </row>
    <row r="8971" spans="1:18" s="904" customFormat="1">
      <c r="A8971" s="905"/>
      <c r="B8971" s="952"/>
      <c r="C8971" s="907">
        <v>699</v>
      </c>
      <c r="D8971" s="907" t="s">
        <v>279</v>
      </c>
      <c r="E8971" s="992" t="s">
        <v>4006</v>
      </c>
      <c r="F8971" s="905" t="s">
        <v>4007</v>
      </c>
      <c r="G8971" s="1005"/>
      <c r="H8971" s="911">
        <v>2</v>
      </c>
      <c r="I8971" s="912">
        <f>VLOOKUP(E8971,[3]VLP!$B$7:$K$300,10,0)</f>
        <v>5000</v>
      </c>
      <c r="J8971" s="912">
        <f t="shared" si="736"/>
        <v>10000</v>
      </c>
      <c r="K8971" s="912" t="s">
        <v>274</v>
      </c>
      <c r="L8971" s="912"/>
      <c r="M8971" s="912"/>
      <c r="N8971" s="912"/>
      <c r="O8971" s="892">
        <f t="shared" si="730"/>
        <v>0</v>
      </c>
      <c r="P8971" s="903">
        <f t="shared" si="732"/>
        <v>1</v>
      </c>
      <c r="Q8971" s="893">
        <f t="shared" si="733"/>
        <v>5</v>
      </c>
      <c r="R8971" s="894">
        <f t="shared" si="734"/>
        <v>0</v>
      </c>
    </row>
    <row r="8972" spans="1:18">
      <c r="A8972" s="895"/>
      <c r="B8972" s="896"/>
      <c r="C8972" s="897"/>
      <c r="D8972" s="897"/>
      <c r="E8972" s="1002" t="s">
        <v>276</v>
      </c>
      <c r="F8972" s="1003"/>
      <c r="G8972" s="1004"/>
      <c r="H8972" s="901"/>
      <c r="I8972" s="902"/>
      <c r="J8972" s="902"/>
      <c r="K8972" s="912" t="s">
        <v>274</v>
      </c>
      <c r="L8972" s="902"/>
      <c r="M8972" s="902"/>
      <c r="N8972" s="902"/>
      <c r="O8972" s="892">
        <f t="shared" si="730"/>
        <v>0</v>
      </c>
      <c r="P8972" s="903">
        <f t="shared" si="732"/>
        <v>1</v>
      </c>
      <c r="Q8972" s="893">
        <f t="shared" si="733"/>
        <v>4</v>
      </c>
      <c r="R8972" s="894">
        <f t="shared" si="734"/>
        <v>0</v>
      </c>
    </row>
    <row r="8973" spans="1:18">
      <c r="A8973" s="905"/>
      <c r="B8973" s="952"/>
      <c r="C8973" s="907">
        <v>745</v>
      </c>
      <c r="D8973" s="907" t="s">
        <v>12</v>
      </c>
      <c r="E8973" s="992" t="s">
        <v>5518</v>
      </c>
      <c r="F8973" s="905" t="s">
        <v>2674</v>
      </c>
      <c r="G8973" s="1005"/>
      <c r="H8973" s="911">
        <v>2.63</v>
      </c>
      <c r="I8973" s="912"/>
      <c r="J8973" s="912"/>
      <c r="K8973" s="912">
        <f>VLOOKUP(E8973,[5]ĐMNC!$A$7:$F$67,4,0)</f>
        <v>240557</v>
      </c>
      <c r="L8973" s="912">
        <f>H8973*K8973</f>
        <v>632664.90999999992</v>
      </c>
      <c r="M8973" s="912"/>
      <c r="N8973" s="912"/>
      <c r="O8973" s="892">
        <f t="shared" si="730"/>
        <v>0</v>
      </c>
      <c r="P8973" s="903">
        <f t="shared" si="732"/>
        <v>1</v>
      </c>
      <c r="Q8973" s="893">
        <f t="shared" si="733"/>
        <v>3</v>
      </c>
      <c r="R8973" s="894">
        <f t="shared" si="734"/>
        <v>0</v>
      </c>
    </row>
    <row r="8974" spans="1:18">
      <c r="A8974" s="895"/>
      <c r="B8974" s="896"/>
      <c r="C8974" s="897"/>
      <c r="D8974" s="897"/>
      <c r="E8974" s="1002" t="s">
        <v>3914</v>
      </c>
      <c r="F8974" s="1003"/>
      <c r="G8974" s="1004"/>
      <c r="H8974" s="901"/>
      <c r="I8974" s="902"/>
      <c r="J8974" s="902"/>
      <c r="K8974" s="912" t="s">
        <v>274</v>
      </c>
      <c r="L8974" s="902"/>
      <c r="M8974" s="902"/>
      <c r="N8974" s="902"/>
      <c r="O8974" s="892">
        <f t="shared" si="730"/>
        <v>0</v>
      </c>
      <c r="P8974" s="903">
        <f t="shared" si="732"/>
        <v>1</v>
      </c>
      <c r="Q8974" s="893">
        <f t="shared" si="733"/>
        <v>2</v>
      </c>
      <c r="R8974" s="894">
        <f t="shared" si="734"/>
        <v>0</v>
      </c>
    </row>
    <row r="8975" spans="1:18" s="847" customFormat="1">
      <c r="A8975" s="905"/>
      <c r="B8975" s="946" t="s">
        <v>6321</v>
      </c>
      <c r="C8975" s="907">
        <v>900</v>
      </c>
      <c r="D8975" s="907" t="s">
        <v>93</v>
      </c>
      <c r="E8975" s="992" t="s">
        <v>6322</v>
      </c>
      <c r="F8975" s="905" t="s">
        <v>2673</v>
      </c>
      <c r="G8975" s="1005"/>
      <c r="H8975" s="911">
        <v>0.26</v>
      </c>
      <c r="I8975" s="912"/>
      <c r="J8975" s="912"/>
      <c r="K8975" s="912"/>
      <c r="L8975" s="912"/>
      <c r="M8975" s="912">
        <f>VLOOKUP(B8975,MTC!$B$9:$S$933,12,0)</f>
        <v>1475268</v>
      </c>
      <c r="N8975" s="912">
        <f>M8975*H8975</f>
        <v>383569.68</v>
      </c>
      <c r="O8975" s="892">
        <f t="shared" si="730"/>
        <v>0</v>
      </c>
      <c r="P8975" s="903">
        <f t="shared" si="732"/>
        <v>1</v>
      </c>
      <c r="Q8975" s="893">
        <f t="shared" si="733"/>
        <v>1</v>
      </c>
      <c r="R8975" s="894">
        <f t="shared" si="734"/>
        <v>0</v>
      </c>
    </row>
    <row r="8976" spans="1:18" s="904" customFormat="1">
      <c r="A8976" s="905">
        <v>32</v>
      </c>
      <c r="B8976" s="914" t="s">
        <v>6397</v>
      </c>
      <c r="C8976" s="915"/>
      <c r="D8976" s="915"/>
      <c r="E8976" s="1009" t="s">
        <v>6398</v>
      </c>
      <c r="F8976" s="1007" t="s">
        <v>139</v>
      </c>
      <c r="G8976" s="1008"/>
      <c r="H8976" s="919"/>
      <c r="I8976" s="920"/>
      <c r="J8976" s="891">
        <f>SUM(J8977:J8988)</f>
        <v>983797.5</v>
      </c>
      <c r="K8976" s="891"/>
      <c r="L8976" s="891">
        <f>SUM(L8977:L8988)</f>
        <v>926144.45000000007</v>
      </c>
      <c r="M8976" s="891"/>
      <c r="N8976" s="891">
        <f>SUM(N8977:N8988)</f>
        <v>383569.68</v>
      </c>
      <c r="O8976" s="892">
        <f t="shared" si="730"/>
        <v>1</v>
      </c>
      <c r="P8976" s="903">
        <f t="shared" si="732"/>
        <v>0</v>
      </c>
      <c r="Q8976" s="893">
        <f t="shared" si="733"/>
        <v>0</v>
      </c>
      <c r="R8976" s="894">
        <f t="shared" si="734"/>
        <v>12</v>
      </c>
    </row>
    <row r="8977" spans="1:18">
      <c r="A8977" s="895"/>
      <c r="B8977" s="896"/>
      <c r="C8977" s="897"/>
      <c r="D8977" s="897"/>
      <c r="E8977" s="1002" t="s">
        <v>108</v>
      </c>
      <c r="F8977" s="1003"/>
      <c r="G8977" s="1004"/>
      <c r="H8977" s="901"/>
      <c r="I8977" s="902"/>
      <c r="J8977" s="902"/>
      <c r="K8977" s="912" t="s">
        <v>274</v>
      </c>
      <c r="L8977" s="902"/>
      <c r="M8977" s="902"/>
      <c r="N8977" s="902"/>
      <c r="O8977" s="892">
        <f t="shared" si="730"/>
        <v>0</v>
      </c>
      <c r="P8977" s="903">
        <f t="shared" si="732"/>
        <v>1</v>
      </c>
      <c r="Q8977" s="893">
        <f t="shared" si="733"/>
        <v>12</v>
      </c>
      <c r="R8977" s="894">
        <f t="shared" si="734"/>
        <v>0</v>
      </c>
    </row>
    <row r="8978" spans="1:18" s="904" customFormat="1">
      <c r="A8978" s="905"/>
      <c r="B8978" s="952"/>
      <c r="C8978" s="907">
        <v>212</v>
      </c>
      <c r="D8978" s="907" t="s">
        <v>279</v>
      </c>
      <c r="E8978" s="992" t="s">
        <v>2681</v>
      </c>
      <c r="F8978" s="905" t="s">
        <v>45</v>
      </c>
      <c r="G8978" s="1005"/>
      <c r="H8978" s="911">
        <v>0.3</v>
      </c>
      <c r="I8978" s="912">
        <f>VLOOKUP(E8978,[3]VLP!$B$7:$K$300,10,0)</f>
        <v>23000</v>
      </c>
      <c r="J8978" s="912">
        <f t="shared" ref="J8978:J8984" si="737">I8978*H8978</f>
        <v>6900</v>
      </c>
      <c r="K8978" s="912" t="s">
        <v>274</v>
      </c>
      <c r="L8978" s="912"/>
      <c r="M8978" s="912"/>
      <c r="N8978" s="912"/>
      <c r="O8978" s="892">
        <f t="shared" si="730"/>
        <v>0</v>
      </c>
      <c r="P8978" s="903">
        <f t="shared" si="732"/>
        <v>1</v>
      </c>
      <c r="Q8978" s="893">
        <f t="shared" si="733"/>
        <v>11</v>
      </c>
      <c r="R8978" s="894">
        <f t="shared" si="734"/>
        <v>0</v>
      </c>
    </row>
    <row r="8979" spans="1:18">
      <c r="A8979" s="905"/>
      <c r="B8979" s="952"/>
      <c r="C8979" s="907">
        <v>318</v>
      </c>
      <c r="D8979" s="907" t="s">
        <v>279</v>
      </c>
      <c r="E8979" s="992" t="s">
        <v>5657</v>
      </c>
      <c r="F8979" s="905" t="s">
        <v>45</v>
      </c>
      <c r="G8979" s="1005"/>
      <c r="H8979" s="911">
        <v>0.3</v>
      </c>
      <c r="I8979" s="912">
        <f>VLOOKUP(E8979,[3]VLP!$B$7:$K$300,10,0)</f>
        <v>25155</v>
      </c>
      <c r="J8979" s="912">
        <f t="shared" si="737"/>
        <v>7546.5</v>
      </c>
      <c r="K8979" s="912" t="s">
        <v>274</v>
      </c>
      <c r="L8979" s="912"/>
      <c r="M8979" s="912"/>
      <c r="N8979" s="912"/>
      <c r="O8979" s="892">
        <f t="shared" si="730"/>
        <v>0</v>
      </c>
      <c r="P8979" s="903">
        <f t="shared" si="732"/>
        <v>1</v>
      </c>
      <c r="Q8979" s="893">
        <f t="shared" si="733"/>
        <v>10</v>
      </c>
      <c r="R8979" s="894">
        <f t="shared" si="734"/>
        <v>0</v>
      </c>
    </row>
    <row r="8980" spans="1:18">
      <c r="A8980" s="905"/>
      <c r="B8980" s="952"/>
      <c r="C8980" s="907">
        <v>234</v>
      </c>
      <c r="D8980" s="907" t="s">
        <v>279</v>
      </c>
      <c r="E8980" s="992" t="s">
        <v>5983</v>
      </c>
      <c r="F8980" s="905" t="s">
        <v>3144</v>
      </c>
      <c r="G8980" s="1005"/>
      <c r="H8980" s="911">
        <v>1</v>
      </c>
      <c r="I8980" s="912">
        <f>VLOOKUP(E8980,[3]VLP!$B$7:$K$300,10,0)</f>
        <v>14000</v>
      </c>
      <c r="J8980" s="912">
        <f t="shared" si="737"/>
        <v>14000</v>
      </c>
      <c r="K8980" s="912" t="s">
        <v>274</v>
      </c>
      <c r="L8980" s="912"/>
      <c r="M8980" s="912"/>
      <c r="N8980" s="912"/>
      <c r="O8980" s="892">
        <f t="shared" si="730"/>
        <v>0</v>
      </c>
      <c r="P8980" s="903">
        <f t="shared" si="732"/>
        <v>1</v>
      </c>
      <c r="Q8980" s="893">
        <f t="shared" si="733"/>
        <v>9</v>
      </c>
      <c r="R8980" s="894">
        <f t="shared" si="734"/>
        <v>0</v>
      </c>
    </row>
    <row r="8981" spans="1:18">
      <c r="A8981" s="905"/>
      <c r="B8981" s="952"/>
      <c r="C8981" s="907">
        <v>309</v>
      </c>
      <c r="D8981" s="907" t="s">
        <v>279</v>
      </c>
      <c r="E8981" s="992" t="s">
        <v>3262</v>
      </c>
      <c r="F8981" s="905" t="s">
        <v>45</v>
      </c>
      <c r="G8981" s="1005"/>
      <c r="H8981" s="911">
        <v>0.2</v>
      </c>
      <c r="I8981" s="912">
        <f>VLOOKUP(E8981,[3]VLP!$B$7:$K$300,10,0)</f>
        <v>66300</v>
      </c>
      <c r="J8981" s="912">
        <f t="shared" si="737"/>
        <v>13260</v>
      </c>
      <c r="K8981" s="912" t="s">
        <v>274</v>
      </c>
      <c r="L8981" s="912"/>
      <c r="M8981" s="912"/>
      <c r="N8981" s="912"/>
      <c r="O8981" s="892">
        <f t="shared" si="730"/>
        <v>0</v>
      </c>
      <c r="P8981" s="903">
        <f t="shared" si="732"/>
        <v>1</v>
      </c>
      <c r="Q8981" s="893">
        <f t="shared" si="733"/>
        <v>8</v>
      </c>
      <c r="R8981" s="894">
        <f t="shared" si="734"/>
        <v>0</v>
      </c>
    </row>
    <row r="8982" spans="1:18" s="847" customFormat="1">
      <c r="A8982" s="905"/>
      <c r="B8982" s="952"/>
      <c r="C8982" s="907">
        <v>235</v>
      </c>
      <c r="D8982" s="907" t="s">
        <v>279</v>
      </c>
      <c r="E8982" s="992" t="s">
        <v>2682</v>
      </c>
      <c r="F8982" s="905" t="s">
        <v>45</v>
      </c>
      <c r="G8982" s="1005"/>
      <c r="H8982" s="911">
        <v>1.6</v>
      </c>
      <c r="I8982" s="912">
        <f>VLOOKUP(E8982,[3]VLP!$B$7:$K$300,10,0)</f>
        <v>5000</v>
      </c>
      <c r="J8982" s="912">
        <f t="shared" si="737"/>
        <v>8000</v>
      </c>
      <c r="K8982" s="912" t="s">
        <v>274</v>
      </c>
      <c r="L8982" s="912"/>
      <c r="M8982" s="912"/>
      <c r="N8982" s="912"/>
      <c r="O8982" s="892">
        <f t="shared" si="730"/>
        <v>0</v>
      </c>
      <c r="P8982" s="903">
        <f t="shared" si="732"/>
        <v>1</v>
      </c>
      <c r="Q8982" s="893">
        <f t="shared" si="733"/>
        <v>7</v>
      </c>
      <c r="R8982" s="894">
        <f t="shared" si="734"/>
        <v>0</v>
      </c>
    </row>
    <row r="8983" spans="1:18" s="904" customFormat="1">
      <c r="A8983" s="905"/>
      <c r="B8983" s="952"/>
      <c r="C8983" s="907">
        <v>237</v>
      </c>
      <c r="D8983" s="907" t="s">
        <v>279</v>
      </c>
      <c r="E8983" s="992" t="s">
        <v>6312</v>
      </c>
      <c r="F8983" s="905" t="s">
        <v>47</v>
      </c>
      <c r="G8983" s="1005"/>
      <c r="H8983" s="911">
        <v>0.2</v>
      </c>
      <c r="I8983" s="912">
        <f>VLOOKUP(E8983,[3]VLP!$B$7:$K$300,10,0)</f>
        <v>4545455</v>
      </c>
      <c r="J8983" s="912">
        <f t="shared" si="737"/>
        <v>909091</v>
      </c>
      <c r="K8983" s="912" t="s">
        <v>274</v>
      </c>
      <c r="L8983" s="912"/>
      <c r="M8983" s="912"/>
      <c r="N8983" s="912"/>
      <c r="O8983" s="892">
        <f t="shared" si="730"/>
        <v>0</v>
      </c>
      <c r="P8983" s="903">
        <f t="shared" si="732"/>
        <v>1</v>
      </c>
      <c r="Q8983" s="893">
        <f t="shared" si="733"/>
        <v>6</v>
      </c>
      <c r="R8983" s="894">
        <f t="shared" si="734"/>
        <v>0</v>
      </c>
    </row>
    <row r="8984" spans="1:18">
      <c r="A8984" s="905"/>
      <c r="B8984" s="952"/>
      <c r="C8984" s="907">
        <v>699</v>
      </c>
      <c r="D8984" s="907" t="s">
        <v>279</v>
      </c>
      <c r="E8984" s="992" t="s">
        <v>4006</v>
      </c>
      <c r="F8984" s="905" t="s">
        <v>4007</v>
      </c>
      <c r="G8984" s="1005"/>
      <c r="H8984" s="911">
        <v>5</v>
      </c>
      <c r="I8984" s="912">
        <f>VLOOKUP(E8984,[3]VLP!$B$7:$K$300,10,0)</f>
        <v>5000</v>
      </c>
      <c r="J8984" s="912">
        <f t="shared" si="737"/>
        <v>25000</v>
      </c>
      <c r="K8984" s="912" t="s">
        <v>274</v>
      </c>
      <c r="L8984" s="912"/>
      <c r="M8984" s="912"/>
      <c r="N8984" s="912"/>
      <c r="O8984" s="892">
        <f t="shared" si="730"/>
        <v>0</v>
      </c>
      <c r="P8984" s="903">
        <f t="shared" si="732"/>
        <v>1</v>
      </c>
      <c r="Q8984" s="893">
        <f t="shared" si="733"/>
        <v>5</v>
      </c>
      <c r="R8984" s="894">
        <f t="shared" si="734"/>
        <v>0</v>
      </c>
    </row>
    <row r="8985" spans="1:18" s="847" customFormat="1">
      <c r="A8985" s="895"/>
      <c r="B8985" s="896"/>
      <c r="C8985" s="897"/>
      <c r="D8985" s="897"/>
      <c r="E8985" s="1002" t="s">
        <v>276</v>
      </c>
      <c r="F8985" s="1003"/>
      <c r="G8985" s="1004"/>
      <c r="H8985" s="901"/>
      <c r="I8985" s="902"/>
      <c r="J8985" s="902"/>
      <c r="K8985" s="912" t="s">
        <v>274</v>
      </c>
      <c r="L8985" s="902"/>
      <c r="M8985" s="902"/>
      <c r="N8985" s="902"/>
      <c r="O8985" s="892">
        <f t="shared" si="730"/>
        <v>0</v>
      </c>
      <c r="P8985" s="903">
        <f t="shared" si="732"/>
        <v>1</v>
      </c>
      <c r="Q8985" s="893">
        <f t="shared" si="733"/>
        <v>4</v>
      </c>
      <c r="R8985" s="894">
        <f t="shared" si="734"/>
        <v>0</v>
      </c>
    </row>
    <row r="8986" spans="1:18" s="904" customFormat="1">
      <c r="A8986" s="905"/>
      <c r="B8986" s="952"/>
      <c r="C8986" s="907">
        <v>745</v>
      </c>
      <c r="D8986" s="907" t="s">
        <v>12</v>
      </c>
      <c r="E8986" s="992" t="s">
        <v>5518</v>
      </c>
      <c r="F8986" s="905" t="s">
        <v>2674</v>
      </c>
      <c r="G8986" s="1005"/>
      <c r="H8986" s="911">
        <v>3.85</v>
      </c>
      <c r="I8986" s="912"/>
      <c r="J8986" s="912"/>
      <c r="K8986" s="912">
        <f>VLOOKUP(E8986,[5]ĐMNC!$A$7:$F$67,4,0)</f>
        <v>240557</v>
      </c>
      <c r="L8986" s="912">
        <f>H8986*K8986</f>
        <v>926144.45000000007</v>
      </c>
      <c r="M8986" s="912"/>
      <c r="N8986" s="912"/>
      <c r="O8986" s="892">
        <f t="shared" si="730"/>
        <v>0</v>
      </c>
      <c r="P8986" s="903">
        <f t="shared" si="732"/>
        <v>1</v>
      </c>
      <c r="Q8986" s="893">
        <f t="shared" si="733"/>
        <v>3</v>
      </c>
      <c r="R8986" s="894">
        <f t="shared" si="734"/>
        <v>0</v>
      </c>
    </row>
    <row r="8987" spans="1:18">
      <c r="A8987" s="895"/>
      <c r="B8987" s="896"/>
      <c r="C8987" s="897"/>
      <c r="D8987" s="897"/>
      <c r="E8987" s="1002" t="s">
        <v>3914</v>
      </c>
      <c r="F8987" s="1003"/>
      <c r="G8987" s="1004"/>
      <c r="H8987" s="901"/>
      <c r="I8987" s="902"/>
      <c r="J8987" s="902"/>
      <c r="K8987" s="912" t="s">
        <v>274</v>
      </c>
      <c r="L8987" s="902"/>
      <c r="M8987" s="902"/>
      <c r="N8987" s="902"/>
      <c r="O8987" s="892">
        <f t="shared" si="730"/>
        <v>0</v>
      </c>
      <c r="P8987" s="903">
        <f t="shared" si="732"/>
        <v>1</v>
      </c>
      <c r="Q8987" s="893">
        <f t="shared" si="733"/>
        <v>2</v>
      </c>
      <c r="R8987" s="894">
        <f t="shared" si="734"/>
        <v>0</v>
      </c>
    </row>
    <row r="8988" spans="1:18" s="847" customFormat="1">
      <c r="A8988" s="905"/>
      <c r="B8988" s="946" t="s">
        <v>6321</v>
      </c>
      <c r="C8988" s="907">
        <v>900</v>
      </c>
      <c r="D8988" s="907" t="s">
        <v>93</v>
      </c>
      <c r="E8988" s="992" t="s">
        <v>6322</v>
      </c>
      <c r="F8988" s="905" t="s">
        <v>2673</v>
      </c>
      <c r="G8988" s="1005"/>
      <c r="H8988" s="911">
        <v>0.26</v>
      </c>
      <c r="I8988" s="912"/>
      <c r="J8988" s="912"/>
      <c r="K8988" s="912"/>
      <c r="L8988" s="912"/>
      <c r="M8988" s="912">
        <f>VLOOKUP(B8988,MTC!$B$9:$S$933,12,0)</f>
        <v>1475268</v>
      </c>
      <c r="N8988" s="912">
        <f>M8988*H8988</f>
        <v>383569.68</v>
      </c>
      <c r="O8988" s="892">
        <f t="shared" si="730"/>
        <v>0</v>
      </c>
      <c r="P8988" s="903">
        <f t="shared" si="732"/>
        <v>1</v>
      </c>
      <c r="Q8988" s="893">
        <f t="shared" si="733"/>
        <v>1</v>
      </c>
      <c r="R8988" s="894">
        <f t="shared" si="734"/>
        <v>0</v>
      </c>
    </row>
    <row r="8989" spans="1:18" s="904" customFormat="1">
      <c r="A8989" s="905">
        <v>33</v>
      </c>
      <c r="B8989" s="914" t="s">
        <v>6399</v>
      </c>
      <c r="C8989" s="915"/>
      <c r="D8989" s="915"/>
      <c r="E8989" s="1006" t="s">
        <v>6400</v>
      </c>
      <c r="F8989" s="1007" t="s">
        <v>139</v>
      </c>
      <c r="G8989" s="1008"/>
      <c r="H8989" s="919"/>
      <c r="I8989" s="920"/>
      <c r="J8989" s="891">
        <f>SUM(J8990:J9001)</f>
        <v>968797.5</v>
      </c>
      <c r="K8989" s="891"/>
      <c r="L8989" s="891">
        <f>SUM(L8990:L9001)</f>
        <v>894872.04</v>
      </c>
      <c r="M8989" s="891"/>
      <c r="N8989" s="891">
        <f>SUM(N8990:N9001)</f>
        <v>383569.68</v>
      </c>
      <c r="O8989" s="892">
        <f t="shared" si="730"/>
        <v>1</v>
      </c>
      <c r="P8989" s="903">
        <f t="shared" si="732"/>
        <v>0</v>
      </c>
      <c r="Q8989" s="893">
        <f t="shared" si="733"/>
        <v>0</v>
      </c>
      <c r="R8989" s="894">
        <f t="shared" si="734"/>
        <v>12</v>
      </c>
    </row>
    <row r="8990" spans="1:18">
      <c r="A8990" s="895"/>
      <c r="B8990" s="896"/>
      <c r="C8990" s="897"/>
      <c r="D8990" s="897"/>
      <c r="E8990" s="1002" t="s">
        <v>108</v>
      </c>
      <c r="F8990" s="1003"/>
      <c r="G8990" s="1004"/>
      <c r="H8990" s="901"/>
      <c r="I8990" s="902"/>
      <c r="J8990" s="902"/>
      <c r="K8990" s="912" t="s">
        <v>274</v>
      </c>
      <c r="L8990" s="902"/>
      <c r="M8990" s="902"/>
      <c r="N8990" s="902"/>
      <c r="O8990" s="892">
        <f t="shared" si="730"/>
        <v>0</v>
      </c>
      <c r="P8990" s="903">
        <f t="shared" si="732"/>
        <v>1</v>
      </c>
      <c r="Q8990" s="893">
        <f t="shared" si="733"/>
        <v>12</v>
      </c>
      <c r="R8990" s="894">
        <f t="shared" si="734"/>
        <v>0</v>
      </c>
    </row>
    <row r="8991" spans="1:18" s="847" customFormat="1">
      <c r="A8991" s="905"/>
      <c r="B8991" s="952"/>
      <c r="C8991" s="907">
        <v>212</v>
      </c>
      <c r="D8991" s="907" t="s">
        <v>279</v>
      </c>
      <c r="E8991" s="992" t="s">
        <v>2681</v>
      </c>
      <c r="F8991" s="905" t="s">
        <v>45</v>
      </c>
      <c r="G8991" s="1005"/>
      <c r="H8991" s="911">
        <v>0.3</v>
      </c>
      <c r="I8991" s="912">
        <f>VLOOKUP(E8991,[3]VLP!$B$7:$K$300,10,0)</f>
        <v>23000</v>
      </c>
      <c r="J8991" s="912">
        <f t="shared" ref="J8991:J8997" si="738">I8991*H8991</f>
        <v>6900</v>
      </c>
      <c r="K8991" s="912" t="s">
        <v>274</v>
      </c>
      <c r="L8991" s="912"/>
      <c r="M8991" s="912"/>
      <c r="N8991" s="912"/>
      <c r="O8991" s="892">
        <f t="shared" ref="O8991:O9054" si="739">IF(AND(B8991&lt;&gt;"",D8991=""),1,0)</f>
        <v>0</v>
      </c>
      <c r="P8991" s="903">
        <f t="shared" si="732"/>
        <v>1</v>
      </c>
      <c r="Q8991" s="893">
        <f t="shared" si="733"/>
        <v>11</v>
      </c>
      <c r="R8991" s="894">
        <f t="shared" si="734"/>
        <v>0</v>
      </c>
    </row>
    <row r="8992" spans="1:18" s="904" customFormat="1">
      <c r="A8992" s="905"/>
      <c r="B8992" s="952"/>
      <c r="C8992" s="907">
        <v>318</v>
      </c>
      <c r="D8992" s="907" t="s">
        <v>279</v>
      </c>
      <c r="E8992" s="992" t="s">
        <v>5657</v>
      </c>
      <c r="F8992" s="905" t="s">
        <v>45</v>
      </c>
      <c r="G8992" s="1005"/>
      <c r="H8992" s="911">
        <v>0.3</v>
      </c>
      <c r="I8992" s="912">
        <f>VLOOKUP(E8992,[3]VLP!$B$7:$K$300,10,0)</f>
        <v>25155</v>
      </c>
      <c r="J8992" s="912">
        <f t="shared" si="738"/>
        <v>7546.5</v>
      </c>
      <c r="K8992" s="912" t="s">
        <v>274</v>
      </c>
      <c r="L8992" s="912"/>
      <c r="M8992" s="912"/>
      <c r="N8992" s="912"/>
      <c r="O8992" s="892">
        <f t="shared" si="739"/>
        <v>0</v>
      </c>
      <c r="P8992" s="903">
        <f t="shared" si="732"/>
        <v>1</v>
      </c>
      <c r="Q8992" s="893">
        <f t="shared" si="733"/>
        <v>10</v>
      </c>
      <c r="R8992" s="894">
        <f t="shared" si="734"/>
        <v>0</v>
      </c>
    </row>
    <row r="8993" spans="1:18">
      <c r="A8993" s="905"/>
      <c r="B8993" s="952"/>
      <c r="C8993" s="907">
        <v>234</v>
      </c>
      <c r="D8993" s="907" t="s">
        <v>279</v>
      </c>
      <c r="E8993" s="992" t="s">
        <v>5983</v>
      </c>
      <c r="F8993" s="905" t="s">
        <v>3144</v>
      </c>
      <c r="G8993" s="1005"/>
      <c r="H8993" s="911">
        <v>1</v>
      </c>
      <c r="I8993" s="912">
        <f>VLOOKUP(E8993,[3]VLP!$B$7:$K$300,10,0)</f>
        <v>14000</v>
      </c>
      <c r="J8993" s="912">
        <f t="shared" si="738"/>
        <v>14000</v>
      </c>
      <c r="K8993" s="912" t="s">
        <v>274</v>
      </c>
      <c r="L8993" s="912"/>
      <c r="M8993" s="912"/>
      <c r="N8993" s="912"/>
      <c r="O8993" s="892">
        <f t="shared" si="739"/>
        <v>0</v>
      </c>
      <c r="P8993" s="903">
        <f t="shared" si="732"/>
        <v>1</v>
      </c>
      <c r="Q8993" s="893">
        <f t="shared" si="733"/>
        <v>9</v>
      </c>
      <c r="R8993" s="894">
        <f t="shared" si="734"/>
        <v>0</v>
      </c>
    </row>
    <row r="8994" spans="1:18" s="847" customFormat="1">
      <c r="A8994" s="905"/>
      <c r="B8994" s="952"/>
      <c r="C8994" s="907">
        <v>309</v>
      </c>
      <c r="D8994" s="907" t="s">
        <v>279</v>
      </c>
      <c r="E8994" s="992" t="s">
        <v>3262</v>
      </c>
      <c r="F8994" s="905" t="s">
        <v>45</v>
      </c>
      <c r="G8994" s="1005"/>
      <c r="H8994" s="911">
        <v>0.2</v>
      </c>
      <c r="I8994" s="912">
        <f>VLOOKUP(E8994,[3]VLP!$B$7:$K$300,10,0)</f>
        <v>66300</v>
      </c>
      <c r="J8994" s="912">
        <f t="shared" si="738"/>
        <v>13260</v>
      </c>
      <c r="K8994" s="912" t="s">
        <v>274</v>
      </c>
      <c r="L8994" s="912"/>
      <c r="M8994" s="912"/>
      <c r="N8994" s="912"/>
      <c r="O8994" s="892">
        <f t="shared" si="739"/>
        <v>0</v>
      </c>
      <c r="P8994" s="903">
        <f t="shared" si="732"/>
        <v>1</v>
      </c>
      <c r="Q8994" s="893">
        <f t="shared" si="733"/>
        <v>8</v>
      </c>
      <c r="R8994" s="894">
        <f t="shared" si="734"/>
        <v>0</v>
      </c>
    </row>
    <row r="8995" spans="1:18" s="904" customFormat="1">
      <c r="A8995" s="905"/>
      <c r="B8995" s="952"/>
      <c r="C8995" s="907">
        <v>235</v>
      </c>
      <c r="D8995" s="907" t="s">
        <v>279</v>
      </c>
      <c r="E8995" s="992" t="s">
        <v>2682</v>
      </c>
      <c r="F8995" s="905" t="s">
        <v>45</v>
      </c>
      <c r="G8995" s="1005"/>
      <c r="H8995" s="911">
        <v>1.6</v>
      </c>
      <c r="I8995" s="912">
        <f>VLOOKUP(E8995,[3]VLP!$B$7:$K$300,10,0)</f>
        <v>5000</v>
      </c>
      <c r="J8995" s="912">
        <f t="shared" si="738"/>
        <v>8000</v>
      </c>
      <c r="K8995" s="912" t="s">
        <v>274</v>
      </c>
      <c r="L8995" s="912"/>
      <c r="M8995" s="912"/>
      <c r="N8995" s="912"/>
      <c r="O8995" s="892">
        <f t="shared" si="739"/>
        <v>0</v>
      </c>
      <c r="P8995" s="903">
        <f t="shared" si="732"/>
        <v>1</v>
      </c>
      <c r="Q8995" s="893">
        <f t="shared" si="733"/>
        <v>7</v>
      </c>
      <c r="R8995" s="894">
        <f t="shared" si="734"/>
        <v>0</v>
      </c>
    </row>
    <row r="8996" spans="1:18">
      <c r="A8996" s="905"/>
      <c r="B8996" s="952"/>
      <c r="C8996" s="907">
        <v>237</v>
      </c>
      <c r="D8996" s="907" t="s">
        <v>279</v>
      </c>
      <c r="E8996" s="992" t="s">
        <v>6312</v>
      </c>
      <c r="F8996" s="905" t="s">
        <v>47</v>
      </c>
      <c r="G8996" s="1005"/>
      <c r="H8996" s="911">
        <v>0.2</v>
      </c>
      <c r="I8996" s="912">
        <f>VLOOKUP(E8996,[3]VLP!$B$7:$K$300,10,0)</f>
        <v>4545455</v>
      </c>
      <c r="J8996" s="912">
        <f t="shared" si="738"/>
        <v>909091</v>
      </c>
      <c r="K8996" s="912" t="s">
        <v>274</v>
      </c>
      <c r="L8996" s="912"/>
      <c r="M8996" s="912"/>
      <c r="N8996" s="912"/>
      <c r="O8996" s="892">
        <f t="shared" si="739"/>
        <v>0</v>
      </c>
      <c r="P8996" s="903">
        <f t="shared" si="732"/>
        <v>1</v>
      </c>
      <c r="Q8996" s="893">
        <f t="shared" si="733"/>
        <v>6</v>
      </c>
      <c r="R8996" s="894">
        <f t="shared" si="734"/>
        <v>0</v>
      </c>
    </row>
    <row r="8997" spans="1:18" s="904" customFormat="1">
      <c r="A8997" s="905"/>
      <c r="B8997" s="952"/>
      <c r="C8997" s="907">
        <v>699</v>
      </c>
      <c r="D8997" s="907" t="s">
        <v>279</v>
      </c>
      <c r="E8997" s="992" t="s">
        <v>4006</v>
      </c>
      <c r="F8997" s="905" t="s">
        <v>4007</v>
      </c>
      <c r="G8997" s="1005"/>
      <c r="H8997" s="911">
        <v>2</v>
      </c>
      <c r="I8997" s="912">
        <f>VLOOKUP(E8997,[3]VLP!$B$7:$K$300,10,0)</f>
        <v>5000</v>
      </c>
      <c r="J8997" s="912">
        <f t="shared" si="738"/>
        <v>10000</v>
      </c>
      <c r="K8997" s="912" t="s">
        <v>274</v>
      </c>
      <c r="L8997" s="912"/>
      <c r="M8997" s="912"/>
      <c r="N8997" s="912"/>
      <c r="O8997" s="892">
        <f t="shared" si="739"/>
        <v>0</v>
      </c>
      <c r="P8997" s="903">
        <f t="shared" si="732"/>
        <v>1</v>
      </c>
      <c r="Q8997" s="893">
        <f t="shared" si="733"/>
        <v>5</v>
      </c>
      <c r="R8997" s="894">
        <f t="shared" si="734"/>
        <v>0</v>
      </c>
    </row>
    <row r="8998" spans="1:18">
      <c r="A8998" s="895"/>
      <c r="B8998" s="896"/>
      <c r="C8998" s="897"/>
      <c r="D8998" s="897"/>
      <c r="E8998" s="1002" t="s">
        <v>276</v>
      </c>
      <c r="F8998" s="1003"/>
      <c r="G8998" s="1004"/>
      <c r="H8998" s="901"/>
      <c r="I8998" s="902"/>
      <c r="J8998" s="902"/>
      <c r="K8998" s="912" t="s">
        <v>274</v>
      </c>
      <c r="L8998" s="902"/>
      <c r="M8998" s="902"/>
      <c r="N8998" s="902"/>
      <c r="O8998" s="892">
        <f t="shared" si="739"/>
        <v>0</v>
      </c>
      <c r="P8998" s="903">
        <f t="shared" si="732"/>
        <v>1</v>
      </c>
      <c r="Q8998" s="893">
        <f t="shared" si="733"/>
        <v>4</v>
      </c>
      <c r="R8998" s="894">
        <f t="shared" si="734"/>
        <v>0</v>
      </c>
    </row>
    <row r="8999" spans="1:18">
      <c r="A8999" s="905"/>
      <c r="B8999" s="952"/>
      <c r="C8999" s="907">
        <v>745</v>
      </c>
      <c r="D8999" s="907" t="s">
        <v>12</v>
      </c>
      <c r="E8999" s="992" t="s">
        <v>5518</v>
      </c>
      <c r="F8999" s="905" t="s">
        <v>2674</v>
      </c>
      <c r="G8999" s="1005"/>
      <c r="H8999" s="911">
        <v>3.72</v>
      </c>
      <c r="I8999" s="912"/>
      <c r="J8999" s="912"/>
      <c r="K8999" s="912">
        <f>VLOOKUP(E8999,[5]ĐMNC!$A$7:$F$67,4,0)</f>
        <v>240557</v>
      </c>
      <c r="L8999" s="912">
        <f>H8999*K8999</f>
        <v>894872.04</v>
      </c>
      <c r="M8999" s="912"/>
      <c r="N8999" s="912"/>
      <c r="O8999" s="892">
        <f t="shared" si="739"/>
        <v>0</v>
      </c>
      <c r="P8999" s="903">
        <f t="shared" si="732"/>
        <v>1</v>
      </c>
      <c r="Q8999" s="893">
        <f t="shared" si="733"/>
        <v>3</v>
      </c>
      <c r="R8999" s="894">
        <f t="shared" si="734"/>
        <v>0</v>
      </c>
    </row>
    <row r="9000" spans="1:18" s="847" customFormat="1">
      <c r="A9000" s="895"/>
      <c r="B9000" s="896"/>
      <c r="C9000" s="897"/>
      <c r="D9000" s="897"/>
      <c r="E9000" s="1002" t="s">
        <v>3914</v>
      </c>
      <c r="F9000" s="1003"/>
      <c r="G9000" s="1004"/>
      <c r="H9000" s="901"/>
      <c r="I9000" s="902"/>
      <c r="J9000" s="902"/>
      <c r="K9000" s="912" t="s">
        <v>274</v>
      </c>
      <c r="L9000" s="902"/>
      <c r="M9000" s="902"/>
      <c r="N9000" s="902"/>
      <c r="O9000" s="892">
        <f t="shared" si="739"/>
        <v>0</v>
      </c>
      <c r="P9000" s="903">
        <f t="shared" si="732"/>
        <v>1</v>
      </c>
      <c r="Q9000" s="893">
        <f t="shared" si="733"/>
        <v>2</v>
      </c>
      <c r="R9000" s="894">
        <f t="shared" si="734"/>
        <v>0</v>
      </c>
    </row>
    <row r="9001" spans="1:18" s="904" customFormat="1">
      <c r="A9001" s="905"/>
      <c r="B9001" s="946" t="s">
        <v>6321</v>
      </c>
      <c r="C9001" s="907">
        <v>900</v>
      </c>
      <c r="D9001" s="907" t="s">
        <v>93</v>
      </c>
      <c r="E9001" s="992" t="s">
        <v>6322</v>
      </c>
      <c r="F9001" s="905" t="s">
        <v>2673</v>
      </c>
      <c r="G9001" s="1005"/>
      <c r="H9001" s="911">
        <v>0.26</v>
      </c>
      <c r="I9001" s="912"/>
      <c r="J9001" s="912"/>
      <c r="K9001" s="912"/>
      <c r="L9001" s="912"/>
      <c r="M9001" s="912">
        <f>VLOOKUP(B9001,MTC!$B$9:$S$933,12,0)</f>
        <v>1475268</v>
      </c>
      <c r="N9001" s="912">
        <f>M9001*H9001</f>
        <v>383569.68</v>
      </c>
      <c r="O9001" s="892">
        <f t="shared" si="739"/>
        <v>0</v>
      </c>
      <c r="P9001" s="903">
        <f t="shared" si="732"/>
        <v>1</v>
      </c>
      <c r="Q9001" s="893">
        <f t="shared" si="733"/>
        <v>1</v>
      </c>
      <c r="R9001" s="894">
        <f t="shared" si="734"/>
        <v>0</v>
      </c>
    </row>
    <row r="9002" spans="1:18">
      <c r="A9002" s="905">
        <v>34</v>
      </c>
      <c r="B9002" s="914" t="s">
        <v>6401</v>
      </c>
      <c r="C9002" s="915"/>
      <c r="D9002" s="915"/>
      <c r="E9002" s="1006" t="s">
        <v>6402</v>
      </c>
      <c r="F9002" s="1007" t="s">
        <v>139</v>
      </c>
      <c r="G9002" s="1008"/>
      <c r="H9002" s="919"/>
      <c r="I9002" s="920"/>
      <c r="J9002" s="891">
        <f>SUM(J9003:J9014)</f>
        <v>968797.5</v>
      </c>
      <c r="K9002" s="891"/>
      <c r="L9002" s="891">
        <f>SUM(L9003:L9014)</f>
        <v>976661.41999999993</v>
      </c>
      <c r="M9002" s="891"/>
      <c r="N9002" s="891">
        <f>SUM(N9003:N9014)</f>
        <v>383569.68</v>
      </c>
      <c r="O9002" s="892">
        <f t="shared" si="739"/>
        <v>1</v>
      </c>
      <c r="P9002" s="903">
        <f t="shared" si="732"/>
        <v>0</v>
      </c>
      <c r="Q9002" s="893">
        <f t="shared" si="733"/>
        <v>0</v>
      </c>
      <c r="R9002" s="894">
        <f t="shared" si="734"/>
        <v>12</v>
      </c>
    </row>
    <row r="9003" spans="1:18" s="904" customFormat="1">
      <c r="A9003" s="895"/>
      <c r="B9003" s="896"/>
      <c r="C9003" s="897"/>
      <c r="D9003" s="897"/>
      <c r="E9003" s="1002" t="s">
        <v>108</v>
      </c>
      <c r="F9003" s="1003"/>
      <c r="G9003" s="1004"/>
      <c r="H9003" s="901"/>
      <c r="I9003" s="902"/>
      <c r="J9003" s="902"/>
      <c r="K9003" s="912" t="s">
        <v>274</v>
      </c>
      <c r="L9003" s="902"/>
      <c r="M9003" s="902"/>
      <c r="N9003" s="902"/>
      <c r="O9003" s="892">
        <f t="shared" si="739"/>
        <v>0</v>
      </c>
      <c r="P9003" s="903">
        <f t="shared" si="732"/>
        <v>1</v>
      </c>
      <c r="Q9003" s="893">
        <f t="shared" si="733"/>
        <v>12</v>
      </c>
      <c r="R9003" s="894">
        <f t="shared" si="734"/>
        <v>0</v>
      </c>
    </row>
    <row r="9004" spans="1:18">
      <c r="A9004" s="905"/>
      <c r="B9004" s="952"/>
      <c r="C9004" s="907">
        <v>212</v>
      </c>
      <c r="D9004" s="907" t="s">
        <v>279</v>
      </c>
      <c r="E9004" s="992" t="s">
        <v>2681</v>
      </c>
      <c r="F9004" s="905" t="s">
        <v>45</v>
      </c>
      <c r="G9004" s="1005"/>
      <c r="H9004" s="911">
        <v>0.3</v>
      </c>
      <c r="I9004" s="912">
        <f>VLOOKUP(E9004,[3]VLP!$B$7:$K$300,10,0)</f>
        <v>23000</v>
      </c>
      <c r="J9004" s="912">
        <f t="shared" ref="J9004:J9010" si="740">I9004*H9004</f>
        <v>6900</v>
      </c>
      <c r="K9004" s="912" t="s">
        <v>274</v>
      </c>
      <c r="L9004" s="912"/>
      <c r="M9004" s="912"/>
      <c r="N9004" s="912"/>
      <c r="O9004" s="892">
        <f t="shared" si="739"/>
        <v>0</v>
      </c>
      <c r="P9004" s="903">
        <f t="shared" si="732"/>
        <v>1</v>
      </c>
      <c r="Q9004" s="893">
        <f t="shared" si="733"/>
        <v>11</v>
      </c>
      <c r="R9004" s="894">
        <f t="shared" si="734"/>
        <v>0</v>
      </c>
    </row>
    <row r="9005" spans="1:18">
      <c r="A9005" s="905"/>
      <c r="B9005" s="952"/>
      <c r="C9005" s="907">
        <v>318</v>
      </c>
      <c r="D9005" s="907" t="s">
        <v>279</v>
      </c>
      <c r="E9005" s="992" t="s">
        <v>5657</v>
      </c>
      <c r="F9005" s="905" t="s">
        <v>45</v>
      </c>
      <c r="G9005" s="1005"/>
      <c r="H9005" s="911">
        <v>0.3</v>
      </c>
      <c r="I9005" s="912">
        <f>VLOOKUP(E9005,[3]VLP!$B$7:$K$300,10,0)</f>
        <v>25155</v>
      </c>
      <c r="J9005" s="912">
        <f t="shared" si="740"/>
        <v>7546.5</v>
      </c>
      <c r="K9005" s="912" t="s">
        <v>274</v>
      </c>
      <c r="L9005" s="912"/>
      <c r="M9005" s="912"/>
      <c r="N9005" s="912"/>
      <c r="O9005" s="892">
        <f t="shared" si="739"/>
        <v>0</v>
      </c>
      <c r="P9005" s="903">
        <f t="shared" si="732"/>
        <v>1</v>
      </c>
      <c r="Q9005" s="893">
        <f t="shared" si="733"/>
        <v>10</v>
      </c>
      <c r="R9005" s="894">
        <f t="shared" si="734"/>
        <v>0</v>
      </c>
    </row>
    <row r="9006" spans="1:18" s="847" customFormat="1">
      <c r="A9006" s="905"/>
      <c r="B9006" s="952"/>
      <c r="C9006" s="907">
        <v>234</v>
      </c>
      <c r="D9006" s="907" t="s">
        <v>279</v>
      </c>
      <c r="E9006" s="992" t="s">
        <v>5983</v>
      </c>
      <c r="F9006" s="905" t="s">
        <v>3144</v>
      </c>
      <c r="G9006" s="1005"/>
      <c r="H9006" s="911">
        <v>1</v>
      </c>
      <c r="I9006" s="912">
        <f>VLOOKUP(E9006,[3]VLP!$B$7:$K$300,10,0)</f>
        <v>14000</v>
      </c>
      <c r="J9006" s="912">
        <f t="shared" si="740"/>
        <v>14000</v>
      </c>
      <c r="K9006" s="912" t="s">
        <v>274</v>
      </c>
      <c r="L9006" s="912"/>
      <c r="M9006" s="912"/>
      <c r="N9006" s="912"/>
      <c r="O9006" s="892">
        <f t="shared" si="739"/>
        <v>0</v>
      </c>
      <c r="P9006" s="903">
        <f t="shared" si="732"/>
        <v>1</v>
      </c>
      <c r="Q9006" s="893">
        <f t="shared" si="733"/>
        <v>9</v>
      </c>
      <c r="R9006" s="894">
        <f t="shared" si="734"/>
        <v>0</v>
      </c>
    </row>
    <row r="9007" spans="1:18" s="904" customFormat="1">
      <c r="A9007" s="905"/>
      <c r="B9007" s="952"/>
      <c r="C9007" s="907">
        <v>309</v>
      </c>
      <c r="D9007" s="907" t="s">
        <v>279</v>
      </c>
      <c r="E9007" s="992" t="s">
        <v>3262</v>
      </c>
      <c r="F9007" s="905" t="s">
        <v>45</v>
      </c>
      <c r="G9007" s="1005"/>
      <c r="H9007" s="911">
        <v>0.2</v>
      </c>
      <c r="I9007" s="912">
        <f>VLOOKUP(E9007,[3]VLP!$B$7:$K$300,10,0)</f>
        <v>66300</v>
      </c>
      <c r="J9007" s="912">
        <f t="shared" si="740"/>
        <v>13260</v>
      </c>
      <c r="K9007" s="912" t="s">
        <v>274</v>
      </c>
      <c r="L9007" s="912"/>
      <c r="M9007" s="912"/>
      <c r="N9007" s="912"/>
      <c r="O9007" s="892">
        <f t="shared" si="739"/>
        <v>0</v>
      </c>
      <c r="P9007" s="903">
        <f t="shared" si="732"/>
        <v>1</v>
      </c>
      <c r="Q9007" s="893">
        <f t="shared" si="733"/>
        <v>8</v>
      </c>
      <c r="R9007" s="894">
        <f t="shared" si="734"/>
        <v>0</v>
      </c>
    </row>
    <row r="9008" spans="1:18">
      <c r="A9008" s="905"/>
      <c r="B9008" s="952"/>
      <c r="C9008" s="907">
        <v>235</v>
      </c>
      <c r="D9008" s="907" t="s">
        <v>279</v>
      </c>
      <c r="E9008" s="992" t="s">
        <v>2682</v>
      </c>
      <c r="F9008" s="905" t="s">
        <v>45</v>
      </c>
      <c r="G9008" s="1005"/>
      <c r="H9008" s="911">
        <v>1.6</v>
      </c>
      <c r="I9008" s="912">
        <f>VLOOKUP(E9008,[3]VLP!$B$7:$K$300,10,0)</f>
        <v>5000</v>
      </c>
      <c r="J9008" s="912">
        <f t="shared" si="740"/>
        <v>8000</v>
      </c>
      <c r="K9008" s="912" t="s">
        <v>274</v>
      </c>
      <c r="L9008" s="912"/>
      <c r="M9008" s="912"/>
      <c r="N9008" s="912"/>
      <c r="O9008" s="892">
        <f t="shared" si="739"/>
        <v>0</v>
      </c>
      <c r="P9008" s="903">
        <f t="shared" si="732"/>
        <v>1</v>
      </c>
      <c r="Q9008" s="893">
        <f t="shared" si="733"/>
        <v>7</v>
      </c>
      <c r="R9008" s="894">
        <f t="shared" si="734"/>
        <v>0</v>
      </c>
    </row>
    <row r="9009" spans="1:18" s="904" customFormat="1">
      <c r="A9009" s="905"/>
      <c r="B9009" s="952"/>
      <c r="C9009" s="907">
        <v>237</v>
      </c>
      <c r="D9009" s="907" t="s">
        <v>279</v>
      </c>
      <c r="E9009" s="992" t="s">
        <v>6312</v>
      </c>
      <c r="F9009" s="905" t="s">
        <v>47</v>
      </c>
      <c r="G9009" s="1005"/>
      <c r="H9009" s="911">
        <v>0.2</v>
      </c>
      <c r="I9009" s="912">
        <f>VLOOKUP(E9009,[3]VLP!$B$7:$K$300,10,0)</f>
        <v>4545455</v>
      </c>
      <c r="J9009" s="912">
        <f t="shared" si="740"/>
        <v>909091</v>
      </c>
      <c r="K9009" s="912" t="s">
        <v>274</v>
      </c>
      <c r="L9009" s="912"/>
      <c r="M9009" s="912"/>
      <c r="N9009" s="912"/>
      <c r="O9009" s="892">
        <f t="shared" si="739"/>
        <v>0</v>
      </c>
      <c r="P9009" s="903">
        <f t="shared" si="732"/>
        <v>1</v>
      </c>
      <c r="Q9009" s="893">
        <f t="shared" si="733"/>
        <v>6</v>
      </c>
      <c r="R9009" s="894">
        <f t="shared" si="734"/>
        <v>0</v>
      </c>
    </row>
    <row r="9010" spans="1:18">
      <c r="A9010" s="905"/>
      <c r="B9010" s="952"/>
      <c r="C9010" s="907">
        <v>699</v>
      </c>
      <c r="D9010" s="907" t="s">
        <v>279</v>
      </c>
      <c r="E9010" s="992" t="s">
        <v>4006</v>
      </c>
      <c r="F9010" s="905" t="s">
        <v>4007</v>
      </c>
      <c r="G9010" s="1005"/>
      <c r="H9010" s="911">
        <v>2</v>
      </c>
      <c r="I9010" s="912">
        <f>VLOOKUP(E9010,[3]VLP!$B$7:$K$300,10,0)</f>
        <v>5000</v>
      </c>
      <c r="J9010" s="912">
        <f t="shared" si="740"/>
        <v>10000</v>
      </c>
      <c r="K9010" s="912" t="s">
        <v>274</v>
      </c>
      <c r="L9010" s="912"/>
      <c r="M9010" s="912"/>
      <c r="N9010" s="912"/>
      <c r="O9010" s="892">
        <f t="shared" si="739"/>
        <v>0</v>
      </c>
      <c r="P9010" s="903">
        <f t="shared" si="732"/>
        <v>1</v>
      </c>
      <c r="Q9010" s="893">
        <f t="shared" si="733"/>
        <v>5</v>
      </c>
      <c r="R9010" s="894">
        <f t="shared" si="734"/>
        <v>0</v>
      </c>
    </row>
    <row r="9011" spans="1:18">
      <c r="A9011" s="895"/>
      <c r="B9011" s="896"/>
      <c r="C9011" s="897"/>
      <c r="D9011" s="897"/>
      <c r="E9011" s="1002" t="s">
        <v>276</v>
      </c>
      <c r="F9011" s="1003"/>
      <c r="G9011" s="1004"/>
      <c r="H9011" s="901"/>
      <c r="I9011" s="902"/>
      <c r="J9011" s="902"/>
      <c r="K9011" s="912" t="s">
        <v>274</v>
      </c>
      <c r="L9011" s="902"/>
      <c r="M9011" s="902"/>
      <c r="N9011" s="902"/>
      <c r="O9011" s="892">
        <f t="shared" si="739"/>
        <v>0</v>
      </c>
      <c r="P9011" s="903">
        <f t="shared" ref="P9011:P9074" si="741">IF(O9011=0,1,0)</f>
        <v>1</v>
      </c>
      <c r="Q9011" s="893">
        <f t="shared" ref="Q9011:Q9074" si="742">IF(P9011=0,0,P9011+Q9012)</f>
        <v>4</v>
      </c>
      <c r="R9011" s="894">
        <f t="shared" ref="R9011:R9074" si="743">IF(Q9011=0,Q9012,0)</f>
        <v>0</v>
      </c>
    </row>
    <row r="9012" spans="1:18" s="847" customFormat="1">
      <c r="A9012" s="905"/>
      <c r="B9012" s="952"/>
      <c r="C9012" s="907">
        <v>745</v>
      </c>
      <c r="D9012" s="907" t="s">
        <v>12</v>
      </c>
      <c r="E9012" s="992" t="s">
        <v>5518</v>
      </c>
      <c r="F9012" s="905" t="s">
        <v>2674</v>
      </c>
      <c r="G9012" s="1005"/>
      <c r="H9012" s="911">
        <v>4.0599999999999996</v>
      </c>
      <c r="I9012" s="912"/>
      <c r="J9012" s="912"/>
      <c r="K9012" s="912">
        <f>VLOOKUP(E9012,[5]ĐMNC!$A$7:$F$67,4,0)</f>
        <v>240557</v>
      </c>
      <c r="L9012" s="912">
        <f>H9012*K9012</f>
        <v>976661.41999999993</v>
      </c>
      <c r="M9012" s="912"/>
      <c r="N9012" s="912"/>
      <c r="O9012" s="892">
        <f t="shared" si="739"/>
        <v>0</v>
      </c>
      <c r="P9012" s="903">
        <f t="shared" si="741"/>
        <v>1</v>
      </c>
      <c r="Q9012" s="893">
        <f t="shared" si="742"/>
        <v>3</v>
      </c>
      <c r="R9012" s="894">
        <f t="shared" si="743"/>
        <v>0</v>
      </c>
    </row>
    <row r="9013" spans="1:18" s="904" customFormat="1">
      <c r="A9013" s="895"/>
      <c r="B9013" s="896"/>
      <c r="C9013" s="897"/>
      <c r="D9013" s="897"/>
      <c r="E9013" s="1002" t="s">
        <v>3914</v>
      </c>
      <c r="F9013" s="1003"/>
      <c r="G9013" s="1004"/>
      <c r="H9013" s="901"/>
      <c r="I9013" s="902"/>
      <c r="J9013" s="902"/>
      <c r="K9013" s="912" t="s">
        <v>274</v>
      </c>
      <c r="L9013" s="902"/>
      <c r="M9013" s="902"/>
      <c r="N9013" s="902"/>
      <c r="O9013" s="892">
        <f t="shared" si="739"/>
        <v>0</v>
      </c>
      <c r="P9013" s="903">
        <f t="shared" si="741"/>
        <v>1</v>
      </c>
      <c r="Q9013" s="893">
        <f t="shared" si="742"/>
        <v>2</v>
      </c>
      <c r="R9013" s="894">
        <f t="shared" si="743"/>
        <v>0</v>
      </c>
    </row>
    <row r="9014" spans="1:18">
      <c r="A9014" s="905"/>
      <c r="B9014" s="946" t="s">
        <v>6321</v>
      </c>
      <c r="C9014" s="907">
        <v>900</v>
      </c>
      <c r="D9014" s="907" t="s">
        <v>93</v>
      </c>
      <c r="E9014" s="992" t="s">
        <v>6322</v>
      </c>
      <c r="F9014" s="905" t="s">
        <v>2673</v>
      </c>
      <c r="G9014" s="1005"/>
      <c r="H9014" s="911">
        <v>0.26</v>
      </c>
      <c r="I9014" s="912"/>
      <c r="J9014" s="912"/>
      <c r="K9014" s="912"/>
      <c r="L9014" s="912"/>
      <c r="M9014" s="912">
        <f>VLOOKUP(B9014,MTC!$B$9:$S$933,12,0)</f>
        <v>1475268</v>
      </c>
      <c r="N9014" s="912">
        <f>M9014*H9014</f>
        <v>383569.68</v>
      </c>
      <c r="O9014" s="892">
        <f t="shared" si="739"/>
        <v>0</v>
      </c>
      <c r="P9014" s="903">
        <f t="shared" si="741"/>
        <v>1</v>
      </c>
      <c r="Q9014" s="893">
        <f t="shared" si="742"/>
        <v>1</v>
      </c>
      <c r="R9014" s="894">
        <f t="shared" si="743"/>
        <v>0</v>
      </c>
    </row>
    <row r="9015" spans="1:18" s="904" customFormat="1">
      <c r="A9015" s="905">
        <v>35</v>
      </c>
      <c r="B9015" s="914" t="s">
        <v>6403</v>
      </c>
      <c r="C9015" s="915"/>
      <c r="D9015" s="915"/>
      <c r="E9015" s="1006" t="s">
        <v>6404</v>
      </c>
      <c r="F9015" s="1007" t="s">
        <v>139</v>
      </c>
      <c r="G9015" s="1008"/>
      <c r="H9015" s="919"/>
      <c r="I9015" s="920"/>
      <c r="J9015" s="891">
        <f>SUM(J9016:J9027)</f>
        <v>968797.5</v>
      </c>
      <c r="K9015" s="891"/>
      <c r="L9015" s="891">
        <f>SUM(L9016:L9027)</f>
        <v>1094534.3499999999</v>
      </c>
      <c r="M9015" s="891"/>
      <c r="N9015" s="891">
        <f>SUM(N9016:N9027)</f>
        <v>383569.68</v>
      </c>
      <c r="O9015" s="892">
        <f t="shared" si="739"/>
        <v>1</v>
      </c>
      <c r="P9015" s="903">
        <f t="shared" si="741"/>
        <v>0</v>
      </c>
      <c r="Q9015" s="893">
        <f t="shared" si="742"/>
        <v>0</v>
      </c>
      <c r="R9015" s="894">
        <f t="shared" si="743"/>
        <v>12</v>
      </c>
    </row>
    <row r="9016" spans="1:18">
      <c r="A9016" s="895"/>
      <c r="B9016" s="896"/>
      <c r="C9016" s="897"/>
      <c r="D9016" s="897"/>
      <c r="E9016" s="1002" t="s">
        <v>108</v>
      </c>
      <c r="F9016" s="1003"/>
      <c r="G9016" s="1004"/>
      <c r="H9016" s="901"/>
      <c r="I9016" s="902"/>
      <c r="J9016" s="902"/>
      <c r="K9016" s="912" t="s">
        <v>274</v>
      </c>
      <c r="L9016" s="902"/>
      <c r="M9016" s="902"/>
      <c r="N9016" s="902"/>
      <c r="O9016" s="892">
        <f t="shared" si="739"/>
        <v>0</v>
      </c>
      <c r="P9016" s="903">
        <f t="shared" si="741"/>
        <v>1</v>
      </c>
      <c r="Q9016" s="893">
        <f t="shared" si="742"/>
        <v>12</v>
      </c>
      <c r="R9016" s="894">
        <f t="shared" si="743"/>
        <v>0</v>
      </c>
    </row>
    <row r="9017" spans="1:18">
      <c r="A9017" s="905"/>
      <c r="B9017" s="952"/>
      <c r="C9017" s="907">
        <v>212</v>
      </c>
      <c r="D9017" s="907" t="s">
        <v>279</v>
      </c>
      <c r="E9017" s="992" t="s">
        <v>2681</v>
      </c>
      <c r="F9017" s="905" t="s">
        <v>45</v>
      </c>
      <c r="G9017" s="1005"/>
      <c r="H9017" s="911">
        <v>0.3</v>
      </c>
      <c r="I9017" s="912">
        <f>VLOOKUP(E9017,[3]VLP!$B$7:$K$300,10,0)</f>
        <v>23000</v>
      </c>
      <c r="J9017" s="912">
        <f t="shared" ref="J9017:J9023" si="744">I9017*H9017</f>
        <v>6900</v>
      </c>
      <c r="K9017" s="912" t="s">
        <v>274</v>
      </c>
      <c r="L9017" s="912"/>
      <c r="M9017" s="912"/>
      <c r="N9017" s="912"/>
      <c r="O9017" s="892">
        <f t="shared" si="739"/>
        <v>0</v>
      </c>
      <c r="P9017" s="903">
        <f t="shared" si="741"/>
        <v>1</v>
      </c>
      <c r="Q9017" s="893">
        <f t="shared" si="742"/>
        <v>11</v>
      </c>
      <c r="R9017" s="894">
        <f t="shared" si="743"/>
        <v>0</v>
      </c>
    </row>
    <row r="9018" spans="1:18" s="847" customFormat="1">
      <c r="A9018" s="905"/>
      <c r="B9018" s="952"/>
      <c r="C9018" s="907">
        <v>318</v>
      </c>
      <c r="D9018" s="907" t="s">
        <v>279</v>
      </c>
      <c r="E9018" s="992" t="s">
        <v>5657</v>
      </c>
      <c r="F9018" s="905" t="s">
        <v>45</v>
      </c>
      <c r="G9018" s="1005"/>
      <c r="H9018" s="911">
        <v>0.3</v>
      </c>
      <c r="I9018" s="912">
        <f>VLOOKUP(E9018,[3]VLP!$B$7:$K$300,10,0)</f>
        <v>25155</v>
      </c>
      <c r="J9018" s="912">
        <f t="shared" si="744"/>
        <v>7546.5</v>
      </c>
      <c r="K9018" s="912" t="s">
        <v>274</v>
      </c>
      <c r="L9018" s="912"/>
      <c r="M9018" s="912"/>
      <c r="N9018" s="912"/>
      <c r="O9018" s="892">
        <f t="shared" si="739"/>
        <v>0</v>
      </c>
      <c r="P9018" s="903">
        <f t="shared" si="741"/>
        <v>1</v>
      </c>
      <c r="Q9018" s="893">
        <f t="shared" si="742"/>
        <v>10</v>
      </c>
      <c r="R9018" s="894">
        <f t="shared" si="743"/>
        <v>0</v>
      </c>
    </row>
    <row r="9019" spans="1:18" s="904" customFormat="1">
      <c r="A9019" s="905"/>
      <c r="B9019" s="952"/>
      <c r="C9019" s="907">
        <v>234</v>
      </c>
      <c r="D9019" s="907" t="s">
        <v>279</v>
      </c>
      <c r="E9019" s="992" t="s">
        <v>5983</v>
      </c>
      <c r="F9019" s="905" t="s">
        <v>3144</v>
      </c>
      <c r="G9019" s="1005"/>
      <c r="H9019" s="911">
        <v>1</v>
      </c>
      <c r="I9019" s="912">
        <f>VLOOKUP(E9019,[3]VLP!$B$7:$K$300,10,0)</f>
        <v>14000</v>
      </c>
      <c r="J9019" s="912">
        <f t="shared" si="744"/>
        <v>14000</v>
      </c>
      <c r="K9019" s="912" t="s">
        <v>274</v>
      </c>
      <c r="L9019" s="912"/>
      <c r="M9019" s="912"/>
      <c r="N9019" s="912"/>
      <c r="O9019" s="892">
        <f t="shared" si="739"/>
        <v>0</v>
      </c>
      <c r="P9019" s="903">
        <f t="shared" si="741"/>
        <v>1</v>
      </c>
      <c r="Q9019" s="893">
        <f t="shared" si="742"/>
        <v>9</v>
      </c>
      <c r="R9019" s="894">
        <f t="shared" si="743"/>
        <v>0</v>
      </c>
    </row>
    <row r="9020" spans="1:18">
      <c r="A9020" s="905"/>
      <c r="B9020" s="952"/>
      <c r="C9020" s="907">
        <v>309</v>
      </c>
      <c r="D9020" s="907" t="s">
        <v>279</v>
      </c>
      <c r="E9020" s="992" t="s">
        <v>3262</v>
      </c>
      <c r="F9020" s="905" t="s">
        <v>45</v>
      </c>
      <c r="G9020" s="1005"/>
      <c r="H9020" s="911">
        <v>0.2</v>
      </c>
      <c r="I9020" s="912">
        <f>VLOOKUP(E9020,[3]VLP!$B$7:$K$300,10,0)</f>
        <v>66300</v>
      </c>
      <c r="J9020" s="912">
        <f t="shared" si="744"/>
        <v>13260</v>
      </c>
      <c r="K9020" s="912" t="s">
        <v>274</v>
      </c>
      <c r="L9020" s="912"/>
      <c r="M9020" s="912"/>
      <c r="N9020" s="912"/>
      <c r="O9020" s="892">
        <f t="shared" si="739"/>
        <v>0</v>
      </c>
      <c r="P9020" s="903">
        <f t="shared" si="741"/>
        <v>1</v>
      </c>
      <c r="Q9020" s="893">
        <f t="shared" si="742"/>
        <v>8</v>
      </c>
      <c r="R9020" s="894">
        <f t="shared" si="743"/>
        <v>0</v>
      </c>
    </row>
    <row r="9021" spans="1:18" s="904" customFormat="1">
      <c r="A9021" s="905"/>
      <c r="B9021" s="952"/>
      <c r="C9021" s="907">
        <v>235</v>
      </c>
      <c r="D9021" s="907" t="s">
        <v>279</v>
      </c>
      <c r="E9021" s="992" t="s">
        <v>2682</v>
      </c>
      <c r="F9021" s="905" t="s">
        <v>45</v>
      </c>
      <c r="G9021" s="1005"/>
      <c r="H9021" s="911">
        <v>1.6</v>
      </c>
      <c r="I9021" s="912">
        <f>VLOOKUP(E9021,[3]VLP!$B$7:$K$300,10,0)</f>
        <v>5000</v>
      </c>
      <c r="J9021" s="912">
        <f t="shared" si="744"/>
        <v>8000</v>
      </c>
      <c r="K9021" s="912" t="s">
        <v>274</v>
      </c>
      <c r="L9021" s="912"/>
      <c r="M9021" s="912"/>
      <c r="N9021" s="912"/>
      <c r="O9021" s="892">
        <f t="shared" si="739"/>
        <v>0</v>
      </c>
      <c r="P9021" s="903">
        <f t="shared" si="741"/>
        <v>1</v>
      </c>
      <c r="Q9021" s="893">
        <f t="shared" si="742"/>
        <v>7</v>
      </c>
      <c r="R9021" s="894">
        <f t="shared" si="743"/>
        <v>0</v>
      </c>
    </row>
    <row r="9022" spans="1:18">
      <c r="A9022" s="905"/>
      <c r="B9022" s="952"/>
      <c r="C9022" s="907">
        <v>237</v>
      </c>
      <c r="D9022" s="907" t="s">
        <v>279</v>
      </c>
      <c r="E9022" s="992" t="s">
        <v>6312</v>
      </c>
      <c r="F9022" s="905" t="s">
        <v>47</v>
      </c>
      <c r="G9022" s="1005"/>
      <c r="H9022" s="911">
        <v>0.2</v>
      </c>
      <c r="I9022" s="912">
        <f>VLOOKUP(E9022,[3]VLP!$B$7:$K$300,10,0)</f>
        <v>4545455</v>
      </c>
      <c r="J9022" s="912">
        <f t="shared" si="744"/>
        <v>909091</v>
      </c>
      <c r="K9022" s="912" t="s">
        <v>274</v>
      </c>
      <c r="L9022" s="912"/>
      <c r="M9022" s="912"/>
      <c r="N9022" s="912"/>
      <c r="O9022" s="892">
        <f t="shared" si="739"/>
        <v>0</v>
      </c>
      <c r="P9022" s="903">
        <f t="shared" si="741"/>
        <v>1</v>
      </c>
      <c r="Q9022" s="893">
        <f t="shared" si="742"/>
        <v>6</v>
      </c>
      <c r="R9022" s="894">
        <f t="shared" si="743"/>
        <v>0</v>
      </c>
    </row>
    <row r="9023" spans="1:18">
      <c r="A9023" s="905"/>
      <c r="B9023" s="952"/>
      <c r="C9023" s="907">
        <v>699</v>
      </c>
      <c r="D9023" s="907" t="s">
        <v>279</v>
      </c>
      <c r="E9023" s="992" t="s">
        <v>4006</v>
      </c>
      <c r="F9023" s="905" t="s">
        <v>4007</v>
      </c>
      <c r="G9023" s="1005"/>
      <c r="H9023" s="911">
        <v>2</v>
      </c>
      <c r="I9023" s="912">
        <f>VLOOKUP(E9023,[3]VLP!$B$7:$K$300,10,0)</f>
        <v>5000</v>
      </c>
      <c r="J9023" s="912">
        <f t="shared" si="744"/>
        <v>10000</v>
      </c>
      <c r="K9023" s="912" t="s">
        <v>274</v>
      </c>
      <c r="L9023" s="912"/>
      <c r="M9023" s="912"/>
      <c r="N9023" s="912"/>
      <c r="O9023" s="892">
        <f t="shared" si="739"/>
        <v>0</v>
      </c>
      <c r="P9023" s="903">
        <f t="shared" si="741"/>
        <v>1</v>
      </c>
      <c r="Q9023" s="893">
        <f t="shared" si="742"/>
        <v>5</v>
      </c>
      <c r="R9023" s="894">
        <f t="shared" si="743"/>
        <v>0</v>
      </c>
    </row>
    <row r="9024" spans="1:18" s="847" customFormat="1">
      <c r="A9024" s="895"/>
      <c r="B9024" s="896"/>
      <c r="C9024" s="897"/>
      <c r="D9024" s="897"/>
      <c r="E9024" s="1002" t="s">
        <v>276</v>
      </c>
      <c r="F9024" s="1003"/>
      <c r="G9024" s="1004"/>
      <c r="H9024" s="901"/>
      <c r="I9024" s="902"/>
      <c r="J9024" s="902"/>
      <c r="K9024" s="912" t="s">
        <v>274</v>
      </c>
      <c r="L9024" s="902"/>
      <c r="M9024" s="902"/>
      <c r="N9024" s="902"/>
      <c r="O9024" s="892">
        <f t="shared" si="739"/>
        <v>0</v>
      </c>
      <c r="P9024" s="903">
        <f t="shared" si="741"/>
        <v>1</v>
      </c>
      <c r="Q9024" s="893">
        <f t="shared" si="742"/>
        <v>4</v>
      </c>
      <c r="R9024" s="894">
        <f t="shared" si="743"/>
        <v>0</v>
      </c>
    </row>
    <row r="9025" spans="1:18" s="904" customFormat="1">
      <c r="A9025" s="905"/>
      <c r="B9025" s="952"/>
      <c r="C9025" s="907">
        <v>745</v>
      </c>
      <c r="D9025" s="907" t="s">
        <v>12</v>
      </c>
      <c r="E9025" s="992" t="s">
        <v>5518</v>
      </c>
      <c r="F9025" s="905" t="s">
        <v>2674</v>
      </c>
      <c r="G9025" s="1005"/>
      <c r="H9025" s="911">
        <v>4.55</v>
      </c>
      <c r="I9025" s="912"/>
      <c r="J9025" s="912"/>
      <c r="K9025" s="912">
        <f>VLOOKUP(E9025,[5]ĐMNC!$A$7:$F$67,4,0)</f>
        <v>240557</v>
      </c>
      <c r="L9025" s="912">
        <f>H9025*K9025</f>
        <v>1094534.3499999999</v>
      </c>
      <c r="M9025" s="912"/>
      <c r="N9025" s="912"/>
      <c r="O9025" s="892">
        <f t="shared" si="739"/>
        <v>0</v>
      </c>
      <c r="P9025" s="903">
        <f t="shared" si="741"/>
        <v>1</v>
      </c>
      <c r="Q9025" s="893">
        <f t="shared" si="742"/>
        <v>3</v>
      </c>
      <c r="R9025" s="894">
        <f t="shared" si="743"/>
        <v>0</v>
      </c>
    </row>
    <row r="9026" spans="1:18">
      <c r="A9026" s="895"/>
      <c r="B9026" s="896"/>
      <c r="C9026" s="897"/>
      <c r="D9026" s="897"/>
      <c r="E9026" s="1002" t="s">
        <v>3914</v>
      </c>
      <c r="F9026" s="1003"/>
      <c r="G9026" s="1004"/>
      <c r="H9026" s="901"/>
      <c r="I9026" s="902"/>
      <c r="J9026" s="902"/>
      <c r="K9026" s="912" t="s">
        <v>274</v>
      </c>
      <c r="L9026" s="902"/>
      <c r="M9026" s="902"/>
      <c r="N9026" s="902"/>
      <c r="O9026" s="892">
        <f t="shared" si="739"/>
        <v>0</v>
      </c>
      <c r="P9026" s="903">
        <f t="shared" si="741"/>
        <v>1</v>
      </c>
      <c r="Q9026" s="893">
        <f t="shared" si="742"/>
        <v>2</v>
      </c>
      <c r="R9026" s="894">
        <f t="shared" si="743"/>
        <v>0</v>
      </c>
    </row>
    <row r="9027" spans="1:18" s="904" customFormat="1">
      <c r="A9027" s="905"/>
      <c r="B9027" s="946" t="s">
        <v>6321</v>
      </c>
      <c r="C9027" s="907">
        <v>900</v>
      </c>
      <c r="D9027" s="907" t="s">
        <v>93</v>
      </c>
      <c r="E9027" s="992" t="s">
        <v>6322</v>
      </c>
      <c r="F9027" s="905" t="s">
        <v>2673</v>
      </c>
      <c r="G9027" s="1005"/>
      <c r="H9027" s="911">
        <v>0.26</v>
      </c>
      <c r="I9027" s="912"/>
      <c r="J9027" s="912"/>
      <c r="K9027" s="912"/>
      <c r="L9027" s="912"/>
      <c r="M9027" s="912">
        <f>VLOOKUP(B9027,MTC!$B$9:$S$933,12,0)</f>
        <v>1475268</v>
      </c>
      <c r="N9027" s="912">
        <f>M9027*H9027</f>
        <v>383569.68</v>
      </c>
      <c r="O9027" s="892">
        <f t="shared" si="739"/>
        <v>0</v>
      </c>
      <c r="P9027" s="903">
        <f t="shared" si="741"/>
        <v>1</v>
      </c>
      <c r="Q9027" s="893">
        <f t="shared" si="742"/>
        <v>1</v>
      </c>
      <c r="R9027" s="894">
        <f t="shared" si="743"/>
        <v>0</v>
      </c>
    </row>
    <row r="9028" spans="1:18" ht="31.5">
      <c r="A9028" s="905" t="s">
        <v>6405</v>
      </c>
      <c r="B9028" s="914" t="s">
        <v>6406</v>
      </c>
      <c r="C9028" s="915"/>
      <c r="D9028" s="915"/>
      <c r="E9028" s="1006" t="s">
        <v>6407</v>
      </c>
      <c r="F9028" s="1007" t="s">
        <v>136</v>
      </c>
      <c r="G9028" s="1008"/>
      <c r="H9028" s="919"/>
      <c r="I9028" s="920"/>
      <c r="J9028" s="891">
        <f>SUM(J9029:J9039)</f>
        <v>55500</v>
      </c>
      <c r="K9028" s="891" t="s">
        <v>274</v>
      </c>
      <c r="L9028" s="891">
        <f>SUM(L9029:L9039)</f>
        <v>663375</v>
      </c>
      <c r="M9028" s="891"/>
      <c r="N9028" s="891">
        <f>SUM(N9029:N9039)</f>
        <v>67780.800000000003</v>
      </c>
      <c r="O9028" s="892">
        <f t="shared" si="739"/>
        <v>1</v>
      </c>
      <c r="P9028" s="903">
        <f t="shared" si="741"/>
        <v>0</v>
      </c>
      <c r="Q9028" s="893">
        <f t="shared" si="742"/>
        <v>0</v>
      </c>
      <c r="R9028" s="894">
        <f t="shared" si="743"/>
        <v>11</v>
      </c>
    </row>
    <row r="9029" spans="1:18">
      <c r="A9029" s="895"/>
      <c r="B9029" s="896"/>
      <c r="C9029" s="897"/>
      <c r="D9029" s="897"/>
      <c r="E9029" s="1002" t="s">
        <v>108</v>
      </c>
      <c r="F9029" s="895"/>
      <c r="G9029" s="1004"/>
      <c r="H9029" s="901"/>
      <c r="I9029" s="902"/>
      <c r="J9029" s="902"/>
      <c r="K9029" s="912" t="s">
        <v>274</v>
      </c>
      <c r="L9029" s="902"/>
      <c r="M9029" s="902"/>
      <c r="N9029" s="902"/>
      <c r="O9029" s="892">
        <f t="shared" si="739"/>
        <v>0</v>
      </c>
      <c r="P9029" s="903">
        <f t="shared" si="741"/>
        <v>1</v>
      </c>
      <c r="Q9029" s="893">
        <f t="shared" si="742"/>
        <v>11</v>
      </c>
      <c r="R9029" s="894">
        <f t="shared" si="743"/>
        <v>0</v>
      </c>
    </row>
    <row r="9030" spans="1:18" s="847" customFormat="1">
      <c r="A9030" s="905"/>
      <c r="B9030" s="952"/>
      <c r="C9030" s="907">
        <v>315</v>
      </c>
      <c r="D9030" s="907" t="s">
        <v>279</v>
      </c>
      <c r="E9030" s="992" t="s">
        <v>6316</v>
      </c>
      <c r="F9030" s="905" t="s">
        <v>49</v>
      </c>
      <c r="G9030" s="1005"/>
      <c r="H9030" s="911">
        <v>0.5</v>
      </c>
      <c r="I9030" s="912">
        <f>VLOOKUP(E9030,[3]VLP!$B$7:$K$300,10,0)</f>
        <v>8000</v>
      </c>
      <c r="J9030" s="912">
        <f>I9030*H9030</f>
        <v>4000</v>
      </c>
      <c r="K9030" s="912" t="s">
        <v>274</v>
      </c>
      <c r="L9030" s="912"/>
      <c r="M9030" s="912"/>
      <c r="N9030" s="912"/>
      <c r="O9030" s="892">
        <f t="shared" si="739"/>
        <v>0</v>
      </c>
      <c r="P9030" s="903">
        <f t="shared" si="741"/>
        <v>1</v>
      </c>
      <c r="Q9030" s="893">
        <f t="shared" si="742"/>
        <v>10</v>
      </c>
      <c r="R9030" s="894">
        <f t="shared" si="743"/>
        <v>0</v>
      </c>
    </row>
    <row r="9031" spans="1:18" s="904" customFormat="1">
      <c r="A9031" s="905"/>
      <c r="B9031" s="952"/>
      <c r="C9031" s="907">
        <v>235</v>
      </c>
      <c r="D9031" s="907" t="s">
        <v>279</v>
      </c>
      <c r="E9031" s="992" t="s">
        <v>2682</v>
      </c>
      <c r="F9031" s="905" t="s">
        <v>45</v>
      </c>
      <c r="G9031" s="1005"/>
      <c r="H9031" s="911">
        <v>0.3</v>
      </c>
      <c r="I9031" s="912">
        <f>VLOOKUP(E9031,[3]VLP!$B$7:$K$300,10,0)</f>
        <v>5000</v>
      </c>
      <c r="J9031" s="912">
        <f>I9031*H9031</f>
        <v>1500</v>
      </c>
      <c r="K9031" s="912" t="s">
        <v>274</v>
      </c>
      <c r="L9031" s="912"/>
      <c r="M9031" s="912"/>
      <c r="N9031" s="912"/>
      <c r="O9031" s="892">
        <f t="shared" si="739"/>
        <v>0</v>
      </c>
      <c r="P9031" s="903">
        <f t="shared" si="741"/>
        <v>1</v>
      </c>
      <c r="Q9031" s="893">
        <f t="shared" si="742"/>
        <v>9</v>
      </c>
      <c r="R9031" s="894">
        <f t="shared" si="743"/>
        <v>0</v>
      </c>
    </row>
    <row r="9032" spans="1:18">
      <c r="A9032" s="905"/>
      <c r="B9032" s="952"/>
      <c r="C9032" s="907">
        <v>699</v>
      </c>
      <c r="D9032" s="907" t="s">
        <v>279</v>
      </c>
      <c r="E9032" s="992" t="s">
        <v>4006</v>
      </c>
      <c r="F9032" s="905" t="s">
        <v>4007</v>
      </c>
      <c r="G9032" s="1005"/>
      <c r="H9032" s="911">
        <v>10</v>
      </c>
      <c r="I9032" s="912">
        <f>VLOOKUP(E9032,[3]VLP!$B$7:$K$300,10,0)</f>
        <v>5000</v>
      </c>
      <c r="J9032" s="912">
        <f>I9032*H9032</f>
        <v>50000</v>
      </c>
      <c r="K9032" s="912" t="s">
        <v>274</v>
      </c>
      <c r="L9032" s="912"/>
      <c r="M9032" s="912"/>
      <c r="N9032" s="912"/>
      <c r="O9032" s="892">
        <f t="shared" si="739"/>
        <v>0</v>
      </c>
      <c r="P9032" s="903">
        <f t="shared" si="741"/>
        <v>1</v>
      </c>
      <c r="Q9032" s="893">
        <f t="shared" si="742"/>
        <v>8</v>
      </c>
      <c r="R9032" s="894">
        <f t="shared" si="743"/>
        <v>0</v>
      </c>
    </row>
    <row r="9033" spans="1:18" s="904" customFormat="1">
      <c r="A9033" s="895"/>
      <c r="B9033" s="896"/>
      <c r="C9033" s="897"/>
      <c r="D9033" s="897"/>
      <c r="E9033" s="1002" t="s">
        <v>276</v>
      </c>
      <c r="F9033" s="1003"/>
      <c r="G9033" s="1004"/>
      <c r="H9033" s="901"/>
      <c r="I9033" s="902"/>
      <c r="J9033" s="902"/>
      <c r="K9033" s="912" t="s">
        <v>274</v>
      </c>
      <c r="L9033" s="902"/>
      <c r="M9033" s="902"/>
      <c r="N9033" s="902"/>
      <c r="O9033" s="892">
        <f t="shared" si="739"/>
        <v>0</v>
      </c>
      <c r="P9033" s="903">
        <f t="shared" si="741"/>
        <v>1</v>
      </c>
      <c r="Q9033" s="893">
        <f t="shared" si="742"/>
        <v>7</v>
      </c>
      <c r="R9033" s="894">
        <f t="shared" si="743"/>
        <v>0</v>
      </c>
    </row>
    <row r="9034" spans="1:18">
      <c r="A9034" s="905"/>
      <c r="B9034" s="952"/>
      <c r="C9034" s="907">
        <v>740</v>
      </c>
      <c r="D9034" s="907" t="s">
        <v>12</v>
      </c>
      <c r="E9034" s="992" t="s">
        <v>4008</v>
      </c>
      <c r="F9034" s="905" t="s">
        <v>2674</v>
      </c>
      <c r="G9034" s="1005"/>
      <c r="H9034" s="911">
        <v>3</v>
      </c>
      <c r="I9034" s="912"/>
      <c r="J9034" s="912"/>
      <c r="K9034" s="912">
        <f>VLOOKUP(E9034,[5]ĐMNC!$A$7:$F$67,4,0)</f>
        <v>221125</v>
      </c>
      <c r="L9034" s="912">
        <f>H9034*K9034</f>
        <v>663375</v>
      </c>
      <c r="M9034" s="912"/>
      <c r="N9034" s="912"/>
      <c r="O9034" s="892">
        <f t="shared" si="739"/>
        <v>0</v>
      </c>
      <c r="P9034" s="903">
        <f t="shared" si="741"/>
        <v>1</v>
      </c>
      <c r="Q9034" s="893">
        <f t="shared" si="742"/>
        <v>6</v>
      </c>
      <c r="R9034" s="894">
        <f t="shared" si="743"/>
        <v>0</v>
      </c>
    </row>
    <row r="9035" spans="1:18">
      <c r="A9035" s="895"/>
      <c r="B9035" s="896"/>
      <c r="C9035" s="897"/>
      <c r="D9035" s="897"/>
      <c r="E9035" s="1002" t="s">
        <v>3914</v>
      </c>
      <c r="F9035" s="895"/>
      <c r="G9035" s="1004"/>
      <c r="H9035" s="901"/>
      <c r="I9035" s="902"/>
      <c r="J9035" s="902"/>
      <c r="K9035" s="912" t="s">
        <v>274</v>
      </c>
      <c r="L9035" s="902"/>
      <c r="M9035" s="902"/>
      <c r="N9035" s="902"/>
      <c r="O9035" s="892">
        <f t="shared" si="739"/>
        <v>0</v>
      </c>
      <c r="P9035" s="903">
        <f t="shared" si="741"/>
        <v>1</v>
      </c>
      <c r="Q9035" s="893">
        <f t="shared" si="742"/>
        <v>5</v>
      </c>
      <c r="R9035" s="894">
        <f t="shared" si="743"/>
        <v>0</v>
      </c>
    </row>
    <row r="9036" spans="1:18" s="847" customFormat="1">
      <c r="A9036" s="905"/>
      <c r="B9036" s="952" t="s">
        <v>6408</v>
      </c>
      <c r="C9036" s="907">
        <v>913</v>
      </c>
      <c r="D9036" s="907" t="s">
        <v>93</v>
      </c>
      <c r="E9036" s="992" t="s">
        <v>6409</v>
      </c>
      <c r="F9036" s="905" t="s">
        <v>2673</v>
      </c>
      <c r="G9036" s="1005"/>
      <c r="H9036" s="911">
        <v>0.8</v>
      </c>
      <c r="I9036" s="912"/>
      <c r="J9036" s="912"/>
      <c r="K9036" s="912"/>
      <c r="L9036" s="912"/>
      <c r="M9036" s="912">
        <f>VLOOKUP(B9036,MTC!$B$9:$S$933,12,0)</f>
        <v>0</v>
      </c>
      <c r="N9036" s="912">
        <f>M9036*H9036</f>
        <v>0</v>
      </c>
      <c r="O9036" s="892">
        <f t="shared" si="739"/>
        <v>0</v>
      </c>
      <c r="P9036" s="903">
        <f t="shared" si="741"/>
        <v>1</v>
      </c>
      <c r="Q9036" s="893">
        <f t="shared" si="742"/>
        <v>4</v>
      </c>
      <c r="R9036" s="894">
        <f t="shared" si="743"/>
        <v>0</v>
      </c>
    </row>
    <row r="9037" spans="1:18" s="904" customFormat="1">
      <c r="A9037" s="905"/>
      <c r="B9037" s="952" t="s">
        <v>6410</v>
      </c>
      <c r="C9037" s="907">
        <v>906</v>
      </c>
      <c r="D9037" s="907" t="s">
        <v>93</v>
      </c>
      <c r="E9037" s="992" t="s">
        <v>6411</v>
      </c>
      <c r="F9037" s="905" t="s">
        <v>2673</v>
      </c>
      <c r="G9037" s="1005"/>
      <c r="H9037" s="911">
        <v>0.3</v>
      </c>
      <c r="I9037" s="912"/>
      <c r="J9037" s="912"/>
      <c r="K9037" s="912"/>
      <c r="L9037" s="912"/>
      <c r="M9037" s="912">
        <f>VLOOKUP(B9037,MTC!$B$9:$S$933,12,0)</f>
        <v>0</v>
      </c>
      <c r="N9037" s="912">
        <f>M9037*H9037</f>
        <v>0</v>
      </c>
      <c r="O9037" s="892">
        <f t="shared" si="739"/>
        <v>0</v>
      </c>
      <c r="P9037" s="903">
        <f t="shared" si="741"/>
        <v>1</v>
      </c>
      <c r="Q9037" s="893">
        <f t="shared" si="742"/>
        <v>3</v>
      </c>
      <c r="R9037" s="894">
        <f t="shared" si="743"/>
        <v>0</v>
      </c>
    </row>
    <row r="9038" spans="1:18">
      <c r="A9038" s="905"/>
      <c r="B9038" s="952" t="s">
        <v>6412</v>
      </c>
      <c r="C9038" s="907">
        <v>905</v>
      </c>
      <c r="D9038" s="907" t="s">
        <v>93</v>
      </c>
      <c r="E9038" s="992" t="s">
        <v>6413</v>
      </c>
      <c r="F9038" s="905" t="s">
        <v>2673</v>
      </c>
      <c r="G9038" s="1005"/>
      <c r="H9038" s="911">
        <v>0.3</v>
      </c>
      <c r="I9038" s="912"/>
      <c r="J9038" s="912"/>
      <c r="K9038" s="912"/>
      <c r="L9038" s="912"/>
      <c r="M9038" s="912">
        <f>VLOOKUP(B9038,MTC!$B$9:$S$933,12,0)</f>
        <v>225936</v>
      </c>
      <c r="N9038" s="912">
        <f>M9038*H9038</f>
        <v>67780.800000000003</v>
      </c>
      <c r="O9038" s="892">
        <f t="shared" si="739"/>
        <v>0</v>
      </c>
      <c r="P9038" s="903">
        <f t="shared" si="741"/>
        <v>1</v>
      </c>
      <c r="Q9038" s="893">
        <f t="shared" si="742"/>
        <v>2</v>
      </c>
      <c r="R9038" s="894">
        <f t="shared" si="743"/>
        <v>0</v>
      </c>
    </row>
    <row r="9039" spans="1:18" s="904" customFormat="1">
      <c r="A9039" s="905"/>
      <c r="B9039" s="952" t="s">
        <v>6414</v>
      </c>
      <c r="C9039" s="907">
        <v>914</v>
      </c>
      <c r="D9039" s="907" t="s">
        <v>93</v>
      </c>
      <c r="E9039" s="992" t="s">
        <v>6415</v>
      </c>
      <c r="F9039" s="905" t="s">
        <v>2673</v>
      </c>
      <c r="G9039" s="1005"/>
      <c r="H9039" s="911">
        <v>0.1</v>
      </c>
      <c r="I9039" s="912"/>
      <c r="J9039" s="912"/>
      <c r="K9039" s="912"/>
      <c r="L9039" s="912"/>
      <c r="M9039" s="912">
        <f>VLOOKUP(B9039,MTC!$B$9:$S$933,12,0)</f>
        <v>0</v>
      </c>
      <c r="N9039" s="912">
        <f>M9039*H9039</f>
        <v>0</v>
      </c>
      <c r="O9039" s="892">
        <f t="shared" si="739"/>
        <v>0</v>
      </c>
      <c r="P9039" s="903">
        <f t="shared" si="741"/>
        <v>1</v>
      </c>
      <c r="Q9039" s="893">
        <f t="shared" si="742"/>
        <v>1</v>
      </c>
      <c r="R9039" s="894">
        <f t="shared" si="743"/>
        <v>0</v>
      </c>
    </row>
    <row r="9040" spans="1:18" ht="31.5">
      <c r="A9040" s="905">
        <v>37</v>
      </c>
      <c r="B9040" s="914" t="s">
        <v>6416</v>
      </c>
      <c r="C9040" s="915"/>
      <c r="D9040" s="915"/>
      <c r="E9040" s="1006" t="s">
        <v>6417</v>
      </c>
      <c r="F9040" s="1007" t="s">
        <v>136</v>
      </c>
      <c r="G9040" s="1008"/>
      <c r="H9040" s="919"/>
      <c r="I9040" s="920"/>
      <c r="J9040" s="891">
        <f>SUM(J9041:J9051)</f>
        <v>55500</v>
      </c>
      <c r="K9040" s="891" t="s">
        <v>274</v>
      </c>
      <c r="L9040" s="891">
        <f>SUM(L9041:L9051)</f>
        <v>729712.5</v>
      </c>
      <c r="M9040" s="891"/>
      <c r="N9040" s="891">
        <f>SUM(N9041:N9051)</f>
        <v>74558.880000000005</v>
      </c>
      <c r="O9040" s="892">
        <f t="shared" si="739"/>
        <v>1</v>
      </c>
      <c r="P9040" s="903">
        <f t="shared" si="741"/>
        <v>0</v>
      </c>
      <c r="Q9040" s="893">
        <f t="shared" si="742"/>
        <v>0</v>
      </c>
      <c r="R9040" s="894">
        <f t="shared" si="743"/>
        <v>11</v>
      </c>
    </row>
    <row r="9041" spans="1:18">
      <c r="A9041" s="895"/>
      <c r="B9041" s="896"/>
      <c r="C9041" s="897"/>
      <c r="D9041" s="897"/>
      <c r="E9041" s="1002" t="s">
        <v>108</v>
      </c>
      <c r="F9041" s="895"/>
      <c r="G9041" s="1004"/>
      <c r="H9041" s="901"/>
      <c r="I9041" s="902"/>
      <c r="J9041" s="902"/>
      <c r="K9041" s="912" t="s">
        <v>274</v>
      </c>
      <c r="L9041" s="902"/>
      <c r="M9041" s="902"/>
      <c r="N9041" s="902"/>
      <c r="O9041" s="892">
        <f t="shared" si="739"/>
        <v>0</v>
      </c>
      <c r="P9041" s="903">
        <f t="shared" si="741"/>
        <v>1</v>
      </c>
      <c r="Q9041" s="893">
        <f t="shared" si="742"/>
        <v>11</v>
      </c>
      <c r="R9041" s="894">
        <f t="shared" si="743"/>
        <v>0</v>
      </c>
    </row>
    <row r="9042" spans="1:18" s="847" customFormat="1">
      <c r="A9042" s="905"/>
      <c r="B9042" s="952"/>
      <c r="C9042" s="907">
        <v>315</v>
      </c>
      <c r="D9042" s="907" t="s">
        <v>279</v>
      </c>
      <c r="E9042" s="992" t="s">
        <v>6316</v>
      </c>
      <c r="F9042" s="905" t="s">
        <v>49</v>
      </c>
      <c r="G9042" s="1005"/>
      <c r="H9042" s="911">
        <v>0.5</v>
      </c>
      <c r="I9042" s="912">
        <f>VLOOKUP(E9042,[3]VLP!$B$7:$K$300,10,0)</f>
        <v>8000</v>
      </c>
      <c r="J9042" s="912">
        <f>I9042*H9042</f>
        <v>4000</v>
      </c>
      <c r="K9042" s="912" t="s">
        <v>274</v>
      </c>
      <c r="L9042" s="912"/>
      <c r="M9042" s="912"/>
      <c r="N9042" s="912"/>
      <c r="O9042" s="892">
        <f t="shared" si="739"/>
        <v>0</v>
      </c>
      <c r="P9042" s="903">
        <f t="shared" si="741"/>
        <v>1</v>
      </c>
      <c r="Q9042" s="893">
        <f t="shared" si="742"/>
        <v>10</v>
      </c>
      <c r="R9042" s="894">
        <f t="shared" si="743"/>
        <v>0</v>
      </c>
    </row>
    <row r="9043" spans="1:18" s="904" customFormat="1">
      <c r="A9043" s="905"/>
      <c r="B9043" s="952"/>
      <c r="C9043" s="907">
        <v>235</v>
      </c>
      <c r="D9043" s="907" t="s">
        <v>279</v>
      </c>
      <c r="E9043" s="992" t="s">
        <v>2682</v>
      </c>
      <c r="F9043" s="905" t="s">
        <v>45</v>
      </c>
      <c r="G9043" s="1005"/>
      <c r="H9043" s="911">
        <v>0.3</v>
      </c>
      <c r="I9043" s="912">
        <f>VLOOKUP(E9043,[3]VLP!$B$7:$K$300,10,0)</f>
        <v>5000</v>
      </c>
      <c r="J9043" s="912">
        <f>I9043*H9043</f>
        <v>1500</v>
      </c>
      <c r="K9043" s="912" t="s">
        <v>274</v>
      </c>
      <c r="L9043" s="912"/>
      <c r="M9043" s="912"/>
      <c r="N9043" s="912"/>
      <c r="O9043" s="892">
        <f t="shared" si="739"/>
        <v>0</v>
      </c>
      <c r="P9043" s="903">
        <f t="shared" si="741"/>
        <v>1</v>
      </c>
      <c r="Q9043" s="893">
        <f t="shared" si="742"/>
        <v>9</v>
      </c>
      <c r="R9043" s="894">
        <f t="shared" si="743"/>
        <v>0</v>
      </c>
    </row>
    <row r="9044" spans="1:18">
      <c r="A9044" s="905"/>
      <c r="B9044" s="952"/>
      <c r="C9044" s="907">
        <v>699</v>
      </c>
      <c r="D9044" s="907" t="s">
        <v>279</v>
      </c>
      <c r="E9044" s="992" t="s">
        <v>4006</v>
      </c>
      <c r="F9044" s="905" t="s">
        <v>4007</v>
      </c>
      <c r="G9044" s="1005"/>
      <c r="H9044" s="911">
        <v>10</v>
      </c>
      <c r="I9044" s="912">
        <f>VLOOKUP(E9044,[3]VLP!$B$7:$K$300,10,0)</f>
        <v>5000</v>
      </c>
      <c r="J9044" s="912">
        <f>I9044*H9044</f>
        <v>50000</v>
      </c>
      <c r="K9044" s="912" t="s">
        <v>274</v>
      </c>
      <c r="L9044" s="912"/>
      <c r="M9044" s="912"/>
      <c r="N9044" s="912"/>
      <c r="O9044" s="892">
        <f t="shared" si="739"/>
        <v>0</v>
      </c>
      <c r="P9044" s="903">
        <f t="shared" si="741"/>
        <v>1</v>
      </c>
      <c r="Q9044" s="893">
        <f t="shared" si="742"/>
        <v>8</v>
      </c>
      <c r="R9044" s="894">
        <f t="shared" si="743"/>
        <v>0</v>
      </c>
    </row>
    <row r="9045" spans="1:18" s="904" customFormat="1">
      <c r="A9045" s="895"/>
      <c r="B9045" s="896"/>
      <c r="C9045" s="897"/>
      <c r="D9045" s="897"/>
      <c r="E9045" s="1002" t="s">
        <v>276</v>
      </c>
      <c r="F9045" s="1003"/>
      <c r="G9045" s="1004"/>
      <c r="H9045" s="901"/>
      <c r="I9045" s="902"/>
      <c r="J9045" s="902"/>
      <c r="K9045" s="912" t="s">
        <v>274</v>
      </c>
      <c r="L9045" s="902"/>
      <c r="M9045" s="902"/>
      <c r="N9045" s="902"/>
      <c r="O9045" s="892">
        <f t="shared" si="739"/>
        <v>0</v>
      </c>
      <c r="P9045" s="903">
        <f t="shared" si="741"/>
        <v>1</v>
      </c>
      <c r="Q9045" s="893">
        <f t="shared" si="742"/>
        <v>7</v>
      </c>
      <c r="R9045" s="894">
        <f t="shared" si="743"/>
        <v>0</v>
      </c>
    </row>
    <row r="9046" spans="1:18">
      <c r="A9046" s="905"/>
      <c r="B9046" s="952"/>
      <c r="C9046" s="907">
        <v>740</v>
      </c>
      <c r="D9046" s="907" t="s">
        <v>12</v>
      </c>
      <c r="E9046" s="992" t="s">
        <v>4008</v>
      </c>
      <c r="F9046" s="905" t="s">
        <v>2674</v>
      </c>
      <c r="G9046" s="1005"/>
      <c r="H9046" s="911">
        <v>3.3</v>
      </c>
      <c r="I9046" s="912"/>
      <c r="J9046" s="912"/>
      <c r="K9046" s="912">
        <f>VLOOKUP(E9046,[5]ĐMNC!$A$7:$F$67,4,0)</f>
        <v>221125</v>
      </c>
      <c r="L9046" s="912">
        <f>H9046*K9046</f>
        <v>729712.5</v>
      </c>
      <c r="M9046" s="912"/>
      <c r="N9046" s="912"/>
      <c r="O9046" s="892">
        <f t="shared" si="739"/>
        <v>0</v>
      </c>
      <c r="P9046" s="903">
        <f t="shared" si="741"/>
        <v>1</v>
      </c>
      <c r="Q9046" s="893">
        <f t="shared" si="742"/>
        <v>6</v>
      </c>
      <c r="R9046" s="894">
        <f t="shared" si="743"/>
        <v>0</v>
      </c>
    </row>
    <row r="9047" spans="1:18">
      <c r="A9047" s="895"/>
      <c r="B9047" s="896"/>
      <c r="C9047" s="897"/>
      <c r="D9047" s="897"/>
      <c r="E9047" s="1002" t="s">
        <v>3914</v>
      </c>
      <c r="F9047" s="895"/>
      <c r="G9047" s="1004"/>
      <c r="H9047" s="901"/>
      <c r="I9047" s="902"/>
      <c r="J9047" s="902"/>
      <c r="K9047" s="912" t="s">
        <v>274</v>
      </c>
      <c r="L9047" s="902"/>
      <c r="M9047" s="902"/>
      <c r="N9047" s="902"/>
      <c r="O9047" s="892">
        <f t="shared" si="739"/>
        <v>0</v>
      </c>
      <c r="P9047" s="903">
        <f t="shared" si="741"/>
        <v>1</v>
      </c>
      <c r="Q9047" s="893">
        <f t="shared" si="742"/>
        <v>5</v>
      </c>
      <c r="R9047" s="894">
        <f t="shared" si="743"/>
        <v>0</v>
      </c>
    </row>
    <row r="9048" spans="1:18" s="847" customFormat="1">
      <c r="A9048" s="905"/>
      <c r="B9048" s="952" t="s">
        <v>6408</v>
      </c>
      <c r="C9048" s="907">
        <v>913</v>
      </c>
      <c r="D9048" s="907" t="s">
        <v>93</v>
      </c>
      <c r="E9048" s="992" t="s">
        <v>6409</v>
      </c>
      <c r="F9048" s="905" t="s">
        <v>2673</v>
      </c>
      <c r="G9048" s="1005"/>
      <c r="H9048" s="911">
        <v>0.92</v>
      </c>
      <c r="I9048" s="912"/>
      <c r="J9048" s="912"/>
      <c r="K9048" s="912"/>
      <c r="L9048" s="912"/>
      <c r="M9048" s="912">
        <f>VLOOKUP(B9048,MTC!$B$9:$S$933,12,0)</f>
        <v>0</v>
      </c>
      <c r="N9048" s="912">
        <f>M9048*H9048</f>
        <v>0</v>
      </c>
      <c r="O9048" s="892">
        <f t="shared" si="739"/>
        <v>0</v>
      </c>
      <c r="P9048" s="903">
        <f t="shared" si="741"/>
        <v>1</v>
      </c>
      <c r="Q9048" s="893">
        <f t="shared" si="742"/>
        <v>4</v>
      </c>
      <c r="R9048" s="894">
        <f t="shared" si="743"/>
        <v>0</v>
      </c>
    </row>
    <row r="9049" spans="1:18" s="904" customFormat="1">
      <c r="A9049" s="905"/>
      <c r="B9049" s="952" t="s">
        <v>6410</v>
      </c>
      <c r="C9049" s="907">
        <v>906</v>
      </c>
      <c r="D9049" s="907" t="s">
        <v>93</v>
      </c>
      <c r="E9049" s="992" t="s">
        <v>6411</v>
      </c>
      <c r="F9049" s="905" t="s">
        <v>2673</v>
      </c>
      <c r="G9049" s="1005"/>
      <c r="H9049" s="911">
        <v>0.33</v>
      </c>
      <c r="I9049" s="912"/>
      <c r="J9049" s="912"/>
      <c r="K9049" s="912"/>
      <c r="L9049" s="912"/>
      <c r="M9049" s="912">
        <f>VLOOKUP(B9049,MTC!$B$9:$S$933,12,0)</f>
        <v>0</v>
      </c>
      <c r="N9049" s="912">
        <f>M9049*H9049</f>
        <v>0</v>
      </c>
      <c r="O9049" s="892">
        <f t="shared" si="739"/>
        <v>0</v>
      </c>
      <c r="P9049" s="903">
        <f t="shared" si="741"/>
        <v>1</v>
      </c>
      <c r="Q9049" s="893">
        <f t="shared" si="742"/>
        <v>3</v>
      </c>
      <c r="R9049" s="894">
        <f t="shared" si="743"/>
        <v>0</v>
      </c>
    </row>
    <row r="9050" spans="1:18">
      <c r="A9050" s="905"/>
      <c r="B9050" s="952" t="s">
        <v>6412</v>
      </c>
      <c r="C9050" s="907">
        <v>905</v>
      </c>
      <c r="D9050" s="907" t="s">
        <v>93</v>
      </c>
      <c r="E9050" s="992" t="s">
        <v>6413</v>
      </c>
      <c r="F9050" s="905" t="s">
        <v>2673</v>
      </c>
      <c r="G9050" s="1005"/>
      <c r="H9050" s="911">
        <v>0.33</v>
      </c>
      <c r="I9050" s="912"/>
      <c r="J9050" s="912"/>
      <c r="K9050" s="912"/>
      <c r="L9050" s="912"/>
      <c r="M9050" s="912">
        <f>VLOOKUP(B9050,MTC!$B$9:$S$933,12,0)</f>
        <v>225936</v>
      </c>
      <c r="N9050" s="912">
        <f>M9050*H9050</f>
        <v>74558.880000000005</v>
      </c>
      <c r="O9050" s="892">
        <f t="shared" si="739"/>
        <v>0</v>
      </c>
      <c r="P9050" s="903">
        <f t="shared" si="741"/>
        <v>1</v>
      </c>
      <c r="Q9050" s="893">
        <f t="shared" si="742"/>
        <v>2</v>
      </c>
      <c r="R9050" s="894">
        <f t="shared" si="743"/>
        <v>0</v>
      </c>
    </row>
    <row r="9051" spans="1:18" s="904" customFormat="1">
      <c r="A9051" s="905"/>
      <c r="B9051" s="952" t="s">
        <v>6414</v>
      </c>
      <c r="C9051" s="907">
        <v>914</v>
      </c>
      <c r="D9051" s="907" t="s">
        <v>93</v>
      </c>
      <c r="E9051" s="992" t="s">
        <v>6415</v>
      </c>
      <c r="F9051" s="905" t="s">
        <v>2673</v>
      </c>
      <c r="G9051" s="1005"/>
      <c r="H9051" s="911">
        <v>0.1</v>
      </c>
      <c r="I9051" s="912"/>
      <c r="J9051" s="912"/>
      <c r="K9051" s="912"/>
      <c r="L9051" s="912"/>
      <c r="M9051" s="912">
        <f>VLOOKUP(B9051,MTC!$B$9:$S$933,12,0)</f>
        <v>0</v>
      </c>
      <c r="N9051" s="912">
        <f>M9051*H9051</f>
        <v>0</v>
      </c>
      <c r="O9051" s="892">
        <f t="shared" si="739"/>
        <v>0</v>
      </c>
      <c r="P9051" s="903">
        <f t="shared" si="741"/>
        <v>1</v>
      </c>
      <c r="Q9051" s="893">
        <f t="shared" si="742"/>
        <v>1</v>
      </c>
      <c r="R9051" s="894">
        <f t="shared" si="743"/>
        <v>0</v>
      </c>
    </row>
    <row r="9052" spans="1:18" ht="31.5">
      <c r="A9052" s="905">
        <v>38</v>
      </c>
      <c r="B9052" s="914" t="s">
        <v>6418</v>
      </c>
      <c r="C9052" s="915"/>
      <c r="D9052" s="915"/>
      <c r="E9052" s="1006" t="s">
        <v>6419</v>
      </c>
      <c r="F9052" s="1007" t="s">
        <v>136</v>
      </c>
      <c r="G9052" s="1008"/>
      <c r="H9052" s="919"/>
      <c r="I9052" s="920"/>
      <c r="J9052" s="891">
        <f>SUM(J9053:J9063)</f>
        <v>55500</v>
      </c>
      <c r="K9052" s="891" t="s">
        <v>274</v>
      </c>
      <c r="L9052" s="891">
        <f>SUM(L9053:L9063)</f>
        <v>1127737.5</v>
      </c>
      <c r="M9052" s="891"/>
      <c r="N9052" s="891">
        <f>SUM(N9053:N9063)</f>
        <v>112968</v>
      </c>
      <c r="O9052" s="892">
        <f t="shared" si="739"/>
        <v>1</v>
      </c>
      <c r="P9052" s="903">
        <f t="shared" si="741"/>
        <v>0</v>
      </c>
      <c r="Q9052" s="893">
        <f t="shared" si="742"/>
        <v>0</v>
      </c>
      <c r="R9052" s="894">
        <f t="shared" si="743"/>
        <v>11</v>
      </c>
    </row>
    <row r="9053" spans="1:18">
      <c r="A9053" s="895"/>
      <c r="B9053" s="896"/>
      <c r="C9053" s="897"/>
      <c r="D9053" s="897"/>
      <c r="E9053" s="1002" t="s">
        <v>108</v>
      </c>
      <c r="F9053" s="895"/>
      <c r="G9053" s="1004"/>
      <c r="H9053" s="901"/>
      <c r="I9053" s="902"/>
      <c r="J9053" s="902"/>
      <c r="K9053" s="912" t="s">
        <v>274</v>
      </c>
      <c r="L9053" s="902"/>
      <c r="M9053" s="902"/>
      <c r="N9053" s="902"/>
      <c r="O9053" s="892">
        <f t="shared" si="739"/>
        <v>0</v>
      </c>
      <c r="P9053" s="903">
        <f t="shared" si="741"/>
        <v>1</v>
      </c>
      <c r="Q9053" s="893">
        <f t="shared" si="742"/>
        <v>11</v>
      </c>
      <c r="R9053" s="894">
        <f t="shared" si="743"/>
        <v>0</v>
      </c>
    </row>
    <row r="9054" spans="1:18" s="847" customFormat="1">
      <c r="A9054" s="905"/>
      <c r="B9054" s="952"/>
      <c r="C9054" s="907">
        <v>315</v>
      </c>
      <c r="D9054" s="907" t="s">
        <v>279</v>
      </c>
      <c r="E9054" s="992" t="s">
        <v>6316</v>
      </c>
      <c r="F9054" s="905" t="s">
        <v>49</v>
      </c>
      <c r="G9054" s="1005"/>
      <c r="H9054" s="911">
        <v>0.5</v>
      </c>
      <c r="I9054" s="912">
        <f>VLOOKUP(E9054,[3]VLP!$B$7:$K$300,10,0)</f>
        <v>8000</v>
      </c>
      <c r="J9054" s="912">
        <f>I9054*H9054</f>
        <v>4000</v>
      </c>
      <c r="K9054" s="912" t="s">
        <v>274</v>
      </c>
      <c r="L9054" s="912"/>
      <c r="M9054" s="912"/>
      <c r="N9054" s="912"/>
      <c r="O9054" s="892">
        <f t="shared" si="739"/>
        <v>0</v>
      </c>
      <c r="P9054" s="903">
        <f t="shared" si="741"/>
        <v>1</v>
      </c>
      <c r="Q9054" s="893">
        <f t="shared" si="742"/>
        <v>10</v>
      </c>
      <c r="R9054" s="894">
        <f t="shared" si="743"/>
        <v>0</v>
      </c>
    </row>
    <row r="9055" spans="1:18" s="904" customFormat="1">
      <c r="A9055" s="905"/>
      <c r="B9055" s="952"/>
      <c r="C9055" s="907">
        <v>235</v>
      </c>
      <c r="D9055" s="907" t="s">
        <v>279</v>
      </c>
      <c r="E9055" s="992" t="s">
        <v>2682</v>
      </c>
      <c r="F9055" s="905" t="s">
        <v>45</v>
      </c>
      <c r="G9055" s="1005"/>
      <c r="H9055" s="911">
        <v>0.3</v>
      </c>
      <c r="I9055" s="912">
        <f>VLOOKUP(E9055,[3]VLP!$B$7:$K$300,10,0)</f>
        <v>5000</v>
      </c>
      <c r="J9055" s="912">
        <f>I9055*H9055</f>
        <v>1500</v>
      </c>
      <c r="K9055" s="912" t="s">
        <v>274</v>
      </c>
      <c r="L9055" s="912"/>
      <c r="M9055" s="912"/>
      <c r="N9055" s="912"/>
      <c r="O9055" s="892">
        <f t="shared" ref="O9055:O9118" si="745">IF(AND(B9055&lt;&gt;"",D9055=""),1,0)</f>
        <v>0</v>
      </c>
      <c r="P9055" s="903">
        <f t="shared" si="741"/>
        <v>1</v>
      </c>
      <c r="Q9055" s="893">
        <f t="shared" si="742"/>
        <v>9</v>
      </c>
      <c r="R9055" s="894">
        <f t="shared" si="743"/>
        <v>0</v>
      </c>
    </row>
    <row r="9056" spans="1:18">
      <c r="A9056" s="905"/>
      <c r="B9056" s="952"/>
      <c r="C9056" s="907">
        <v>699</v>
      </c>
      <c r="D9056" s="907" t="s">
        <v>279</v>
      </c>
      <c r="E9056" s="992" t="s">
        <v>4006</v>
      </c>
      <c r="F9056" s="905" t="s">
        <v>4007</v>
      </c>
      <c r="G9056" s="1005"/>
      <c r="H9056" s="911">
        <v>10</v>
      </c>
      <c r="I9056" s="912">
        <f>VLOOKUP(E9056,[3]VLP!$B$7:$K$300,10,0)</f>
        <v>5000</v>
      </c>
      <c r="J9056" s="912">
        <f>I9056*H9056</f>
        <v>50000</v>
      </c>
      <c r="K9056" s="912" t="s">
        <v>274</v>
      </c>
      <c r="L9056" s="912"/>
      <c r="M9056" s="912"/>
      <c r="N9056" s="912"/>
      <c r="O9056" s="892">
        <f t="shared" si="745"/>
        <v>0</v>
      </c>
      <c r="P9056" s="903">
        <f t="shared" si="741"/>
        <v>1</v>
      </c>
      <c r="Q9056" s="893">
        <f t="shared" si="742"/>
        <v>8</v>
      </c>
      <c r="R9056" s="894">
        <f t="shared" si="743"/>
        <v>0</v>
      </c>
    </row>
    <row r="9057" spans="1:18" s="904" customFormat="1">
      <c r="A9057" s="895"/>
      <c r="B9057" s="896"/>
      <c r="C9057" s="897"/>
      <c r="D9057" s="897"/>
      <c r="E9057" s="1002" t="s">
        <v>276</v>
      </c>
      <c r="F9057" s="1003"/>
      <c r="G9057" s="1004"/>
      <c r="H9057" s="901"/>
      <c r="I9057" s="902"/>
      <c r="J9057" s="902"/>
      <c r="K9057" s="912" t="s">
        <v>274</v>
      </c>
      <c r="L9057" s="902"/>
      <c r="M9057" s="902"/>
      <c r="N9057" s="902"/>
      <c r="O9057" s="892">
        <f t="shared" si="745"/>
        <v>0</v>
      </c>
      <c r="P9057" s="903">
        <f t="shared" si="741"/>
        <v>1</v>
      </c>
      <c r="Q9057" s="893">
        <f t="shared" si="742"/>
        <v>7</v>
      </c>
      <c r="R9057" s="894">
        <f t="shared" si="743"/>
        <v>0</v>
      </c>
    </row>
    <row r="9058" spans="1:18">
      <c r="A9058" s="905"/>
      <c r="B9058" s="952"/>
      <c r="C9058" s="907">
        <v>740</v>
      </c>
      <c r="D9058" s="907" t="s">
        <v>12</v>
      </c>
      <c r="E9058" s="992" t="s">
        <v>4008</v>
      </c>
      <c r="F9058" s="905" t="s">
        <v>2674</v>
      </c>
      <c r="G9058" s="1005"/>
      <c r="H9058" s="911">
        <v>5.0999999999999996</v>
      </c>
      <c r="I9058" s="912"/>
      <c r="J9058" s="912"/>
      <c r="K9058" s="912">
        <f>VLOOKUP(E9058,[5]ĐMNC!$A$7:$F$67,4,0)</f>
        <v>221125</v>
      </c>
      <c r="L9058" s="912">
        <f>H9058*K9058</f>
        <v>1127737.5</v>
      </c>
      <c r="M9058" s="912"/>
      <c r="N9058" s="912"/>
      <c r="O9058" s="892">
        <f t="shared" si="745"/>
        <v>0</v>
      </c>
      <c r="P9058" s="903">
        <f t="shared" si="741"/>
        <v>1</v>
      </c>
      <c r="Q9058" s="893">
        <f t="shared" si="742"/>
        <v>6</v>
      </c>
      <c r="R9058" s="894">
        <f t="shared" si="743"/>
        <v>0</v>
      </c>
    </row>
    <row r="9059" spans="1:18">
      <c r="A9059" s="895"/>
      <c r="B9059" s="896"/>
      <c r="C9059" s="897"/>
      <c r="D9059" s="897"/>
      <c r="E9059" s="1002" t="s">
        <v>3914</v>
      </c>
      <c r="F9059" s="895"/>
      <c r="G9059" s="1004"/>
      <c r="H9059" s="901"/>
      <c r="I9059" s="902"/>
      <c r="J9059" s="902"/>
      <c r="K9059" s="912" t="s">
        <v>274</v>
      </c>
      <c r="L9059" s="902"/>
      <c r="M9059" s="902"/>
      <c r="N9059" s="902"/>
      <c r="O9059" s="892">
        <f t="shared" si="745"/>
        <v>0</v>
      </c>
      <c r="P9059" s="903">
        <f t="shared" si="741"/>
        <v>1</v>
      </c>
      <c r="Q9059" s="893">
        <f t="shared" si="742"/>
        <v>5</v>
      </c>
      <c r="R9059" s="894">
        <f t="shared" si="743"/>
        <v>0</v>
      </c>
    </row>
    <row r="9060" spans="1:18" s="847" customFormat="1">
      <c r="A9060" s="905"/>
      <c r="B9060" s="952" t="s">
        <v>6408</v>
      </c>
      <c r="C9060" s="907">
        <v>913</v>
      </c>
      <c r="D9060" s="907" t="s">
        <v>93</v>
      </c>
      <c r="E9060" s="992" t="s">
        <v>6409</v>
      </c>
      <c r="F9060" s="905" t="s">
        <v>2673</v>
      </c>
      <c r="G9060" s="1005"/>
      <c r="H9060" s="911">
        <v>1.36</v>
      </c>
      <c r="I9060" s="912"/>
      <c r="J9060" s="912"/>
      <c r="K9060" s="912"/>
      <c r="L9060" s="912"/>
      <c r="M9060" s="912">
        <f>VLOOKUP(B9060,MTC!$B$9:$S$933,12,0)</f>
        <v>0</v>
      </c>
      <c r="N9060" s="912">
        <f>M9060*H9060</f>
        <v>0</v>
      </c>
      <c r="O9060" s="892">
        <f t="shared" si="745"/>
        <v>0</v>
      </c>
      <c r="P9060" s="903">
        <f t="shared" si="741"/>
        <v>1</v>
      </c>
      <c r="Q9060" s="893">
        <f t="shared" si="742"/>
        <v>4</v>
      </c>
      <c r="R9060" s="894">
        <f t="shared" si="743"/>
        <v>0</v>
      </c>
    </row>
    <row r="9061" spans="1:18" s="904" customFormat="1">
      <c r="A9061" s="905"/>
      <c r="B9061" s="952" t="s">
        <v>6410</v>
      </c>
      <c r="C9061" s="907">
        <v>906</v>
      </c>
      <c r="D9061" s="907" t="s">
        <v>93</v>
      </c>
      <c r="E9061" s="992" t="s">
        <v>6411</v>
      </c>
      <c r="F9061" s="905" t="s">
        <v>2673</v>
      </c>
      <c r="G9061" s="1005"/>
      <c r="H9061" s="911">
        <v>0.5</v>
      </c>
      <c r="I9061" s="912"/>
      <c r="J9061" s="912"/>
      <c r="K9061" s="912"/>
      <c r="L9061" s="912"/>
      <c r="M9061" s="912">
        <f>VLOOKUP(B9061,MTC!$B$9:$S$933,12,0)</f>
        <v>0</v>
      </c>
      <c r="N9061" s="912">
        <f>M9061*H9061</f>
        <v>0</v>
      </c>
      <c r="O9061" s="892">
        <f t="shared" si="745"/>
        <v>0</v>
      </c>
      <c r="P9061" s="903">
        <f t="shared" si="741"/>
        <v>1</v>
      </c>
      <c r="Q9061" s="893">
        <f t="shared" si="742"/>
        <v>3</v>
      </c>
      <c r="R9061" s="894">
        <f t="shared" si="743"/>
        <v>0</v>
      </c>
    </row>
    <row r="9062" spans="1:18">
      <c r="A9062" s="905"/>
      <c r="B9062" s="952" t="s">
        <v>6412</v>
      </c>
      <c r="C9062" s="907">
        <v>905</v>
      </c>
      <c r="D9062" s="907" t="s">
        <v>93</v>
      </c>
      <c r="E9062" s="992" t="s">
        <v>6413</v>
      </c>
      <c r="F9062" s="905" t="s">
        <v>2673</v>
      </c>
      <c r="G9062" s="1005"/>
      <c r="H9062" s="911">
        <v>0.5</v>
      </c>
      <c r="I9062" s="912"/>
      <c r="J9062" s="912"/>
      <c r="K9062" s="912"/>
      <c r="L9062" s="912"/>
      <c r="M9062" s="912">
        <f>VLOOKUP(B9062,MTC!$B$9:$S$933,12,0)</f>
        <v>225936</v>
      </c>
      <c r="N9062" s="912">
        <f>M9062*H9062</f>
        <v>112968</v>
      </c>
      <c r="O9062" s="892">
        <f t="shared" si="745"/>
        <v>0</v>
      </c>
      <c r="P9062" s="903">
        <f t="shared" si="741"/>
        <v>1</v>
      </c>
      <c r="Q9062" s="893">
        <f t="shared" si="742"/>
        <v>2</v>
      </c>
      <c r="R9062" s="894">
        <f t="shared" si="743"/>
        <v>0</v>
      </c>
    </row>
    <row r="9063" spans="1:18" s="847" customFormat="1">
      <c r="A9063" s="905"/>
      <c r="B9063" s="952" t="s">
        <v>6414</v>
      </c>
      <c r="C9063" s="907">
        <v>914</v>
      </c>
      <c r="D9063" s="907" t="s">
        <v>93</v>
      </c>
      <c r="E9063" s="992" t="s">
        <v>6415</v>
      </c>
      <c r="F9063" s="905" t="s">
        <v>2673</v>
      </c>
      <c r="G9063" s="1005"/>
      <c r="H9063" s="911">
        <v>0.1</v>
      </c>
      <c r="I9063" s="912"/>
      <c r="J9063" s="912"/>
      <c r="K9063" s="912"/>
      <c r="L9063" s="912"/>
      <c r="M9063" s="912">
        <f>VLOOKUP(B9063,MTC!$B$9:$S$933,12,0)</f>
        <v>0</v>
      </c>
      <c r="N9063" s="912">
        <f>M9063*H9063</f>
        <v>0</v>
      </c>
      <c r="O9063" s="892">
        <f t="shared" si="745"/>
        <v>0</v>
      </c>
      <c r="P9063" s="903">
        <f t="shared" si="741"/>
        <v>1</v>
      </c>
      <c r="Q9063" s="893">
        <f t="shared" si="742"/>
        <v>1</v>
      </c>
      <c r="R9063" s="894">
        <f t="shared" si="743"/>
        <v>0</v>
      </c>
    </row>
    <row r="9064" spans="1:18" s="904" customFormat="1" ht="31.5">
      <c r="A9064" s="905">
        <v>39</v>
      </c>
      <c r="B9064" s="914" t="s">
        <v>6420</v>
      </c>
      <c r="C9064" s="915"/>
      <c r="D9064" s="915"/>
      <c r="E9064" s="1006" t="s">
        <v>6421</v>
      </c>
      <c r="F9064" s="1007" t="s">
        <v>136</v>
      </c>
      <c r="G9064" s="1008"/>
      <c r="H9064" s="919"/>
      <c r="I9064" s="920"/>
      <c r="J9064" s="891">
        <f>SUM(J9065:J9075)</f>
        <v>55500</v>
      </c>
      <c r="K9064" s="891" t="s">
        <v>274</v>
      </c>
      <c r="L9064" s="891">
        <f>SUM(L9065:L9075)</f>
        <v>1370975</v>
      </c>
      <c r="M9064" s="891"/>
      <c r="N9064" s="891">
        <f>SUM(N9065:N9075)</f>
        <v>135561.60000000001</v>
      </c>
      <c r="O9064" s="892">
        <f t="shared" si="745"/>
        <v>1</v>
      </c>
      <c r="P9064" s="903">
        <f t="shared" si="741"/>
        <v>0</v>
      </c>
      <c r="Q9064" s="893">
        <f t="shared" si="742"/>
        <v>0</v>
      </c>
      <c r="R9064" s="894">
        <f t="shared" si="743"/>
        <v>11</v>
      </c>
    </row>
    <row r="9065" spans="1:18">
      <c r="A9065" s="895"/>
      <c r="B9065" s="896"/>
      <c r="C9065" s="897"/>
      <c r="D9065" s="897"/>
      <c r="E9065" s="1002" t="s">
        <v>108</v>
      </c>
      <c r="F9065" s="895"/>
      <c r="G9065" s="1004"/>
      <c r="H9065" s="901"/>
      <c r="I9065" s="902"/>
      <c r="J9065" s="902"/>
      <c r="K9065" s="912" t="s">
        <v>274</v>
      </c>
      <c r="L9065" s="902"/>
      <c r="M9065" s="902"/>
      <c r="N9065" s="902"/>
      <c r="O9065" s="892">
        <f t="shared" si="745"/>
        <v>0</v>
      </c>
      <c r="P9065" s="903">
        <f t="shared" si="741"/>
        <v>1</v>
      </c>
      <c r="Q9065" s="893">
        <f t="shared" si="742"/>
        <v>11</v>
      </c>
      <c r="R9065" s="894">
        <f t="shared" si="743"/>
        <v>0</v>
      </c>
    </row>
    <row r="9066" spans="1:18" s="847" customFormat="1">
      <c r="A9066" s="905"/>
      <c r="B9066" s="952"/>
      <c r="C9066" s="907">
        <v>315</v>
      </c>
      <c r="D9066" s="907" t="s">
        <v>279</v>
      </c>
      <c r="E9066" s="992" t="s">
        <v>6316</v>
      </c>
      <c r="F9066" s="905" t="s">
        <v>49</v>
      </c>
      <c r="G9066" s="1005"/>
      <c r="H9066" s="911">
        <v>0.5</v>
      </c>
      <c r="I9066" s="912">
        <f>VLOOKUP(E9066,[3]VLP!$B$7:$K$300,10,0)</f>
        <v>8000</v>
      </c>
      <c r="J9066" s="912">
        <f>I9066*H9066</f>
        <v>4000</v>
      </c>
      <c r="K9066" s="912" t="s">
        <v>274</v>
      </c>
      <c r="L9066" s="912"/>
      <c r="M9066" s="912"/>
      <c r="N9066" s="912"/>
      <c r="O9066" s="892">
        <f t="shared" si="745"/>
        <v>0</v>
      </c>
      <c r="P9066" s="903">
        <f t="shared" si="741"/>
        <v>1</v>
      </c>
      <c r="Q9066" s="893">
        <f t="shared" si="742"/>
        <v>10</v>
      </c>
      <c r="R9066" s="894">
        <f t="shared" si="743"/>
        <v>0</v>
      </c>
    </row>
    <row r="9067" spans="1:18" s="904" customFormat="1">
      <c r="A9067" s="905"/>
      <c r="B9067" s="952"/>
      <c r="C9067" s="907">
        <v>235</v>
      </c>
      <c r="D9067" s="907" t="s">
        <v>279</v>
      </c>
      <c r="E9067" s="992" t="s">
        <v>2682</v>
      </c>
      <c r="F9067" s="905" t="s">
        <v>45</v>
      </c>
      <c r="G9067" s="1005"/>
      <c r="H9067" s="911">
        <v>0.3</v>
      </c>
      <c r="I9067" s="912">
        <f>VLOOKUP(E9067,[3]VLP!$B$7:$K$300,10,0)</f>
        <v>5000</v>
      </c>
      <c r="J9067" s="912">
        <f>I9067*H9067</f>
        <v>1500</v>
      </c>
      <c r="K9067" s="912" t="s">
        <v>274</v>
      </c>
      <c r="L9067" s="912"/>
      <c r="M9067" s="912"/>
      <c r="N9067" s="912"/>
      <c r="O9067" s="892">
        <f t="shared" si="745"/>
        <v>0</v>
      </c>
      <c r="P9067" s="903">
        <f t="shared" si="741"/>
        <v>1</v>
      </c>
      <c r="Q9067" s="893">
        <f t="shared" si="742"/>
        <v>9</v>
      </c>
      <c r="R9067" s="894">
        <f t="shared" si="743"/>
        <v>0</v>
      </c>
    </row>
    <row r="9068" spans="1:18">
      <c r="A9068" s="905"/>
      <c r="B9068" s="952"/>
      <c r="C9068" s="907">
        <v>699</v>
      </c>
      <c r="D9068" s="907" t="s">
        <v>279</v>
      </c>
      <c r="E9068" s="992" t="s">
        <v>4006</v>
      </c>
      <c r="F9068" s="905" t="s">
        <v>4007</v>
      </c>
      <c r="G9068" s="1005"/>
      <c r="H9068" s="911">
        <v>10</v>
      </c>
      <c r="I9068" s="912">
        <f>VLOOKUP(E9068,[3]VLP!$B$7:$K$300,10,0)</f>
        <v>5000</v>
      </c>
      <c r="J9068" s="912">
        <f>I9068*H9068</f>
        <v>50000</v>
      </c>
      <c r="K9068" s="912" t="s">
        <v>274</v>
      </c>
      <c r="L9068" s="912"/>
      <c r="M9068" s="912"/>
      <c r="N9068" s="912"/>
      <c r="O9068" s="892">
        <f t="shared" si="745"/>
        <v>0</v>
      </c>
      <c r="P9068" s="903">
        <f t="shared" si="741"/>
        <v>1</v>
      </c>
      <c r="Q9068" s="893">
        <f t="shared" si="742"/>
        <v>8</v>
      </c>
      <c r="R9068" s="894">
        <f t="shared" si="743"/>
        <v>0</v>
      </c>
    </row>
    <row r="9069" spans="1:18" s="847" customFormat="1">
      <c r="A9069" s="895"/>
      <c r="B9069" s="896"/>
      <c r="C9069" s="897"/>
      <c r="D9069" s="897"/>
      <c r="E9069" s="1002" t="s">
        <v>276</v>
      </c>
      <c r="F9069" s="1003"/>
      <c r="G9069" s="1004"/>
      <c r="H9069" s="901"/>
      <c r="I9069" s="902"/>
      <c r="J9069" s="902"/>
      <c r="K9069" s="912" t="s">
        <v>274</v>
      </c>
      <c r="L9069" s="902"/>
      <c r="M9069" s="902"/>
      <c r="N9069" s="902"/>
      <c r="O9069" s="892">
        <f t="shared" si="745"/>
        <v>0</v>
      </c>
      <c r="P9069" s="903">
        <f t="shared" si="741"/>
        <v>1</v>
      </c>
      <c r="Q9069" s="893">
        <f t="shared" si="742"/>
        <v>7</v>
      </c>
      <c r="R9069" s="894">
        <f t="shared" si="743"/>
        <v>0</v>
      </c>
    </row>
    <row r="9070" spans="1:18" s="904" customFormat="1">
      <c r="A9070" s="905"/>
      <c r="B9070" s="952"/>
      <c r="C9070" s="907">
        <v>740</v>
      </c>
      <c r="D9070" s="907" t="s">
        <v>12</v>
      </c>
      <c r="E9070" s="992" t="s">
        <v>4008</v>
      </c>
      <c r="F9070" s="905" t="s">
        <v>2674</v>
      </c>
      <c r="G9070" s="1005"/>
      <c r="H9070" s="911">
        <v>6.2</v>
      </c>
      <c r="I9070" s="912"/>
      <c r="J9070" s="912"/>
      <c r="K9070" s="912">
        <f>VLOOKUP(E9070,[5]ĐMNC!$A$7:$F$67,4,0)</f>
        <v>221125</v>
      </c>
      <c r="L9070" s="912">
        <f>H9070*K9070</f>
        <v>1370975</v>
      </c>
      <c r="M9070" s="912"/>
      <c r="N9070" s="912"/>
      <c r="O9070" s="892">
        <f t="shared" si="745"/>
        <v>0</v>
      </c>
      <c r="P9070" s="903">
        <f t="shared" si="741"/>
        <v>1</v>
      </c>
      <c r="Q9070" s="893">
        <f t="shared" si="742"/>
        <v>6</v>
      </c>
      <c r="R9070" s="894">
        <f t="shared" si="743"/>
        <v>0</v>
      </c>
    </row>
    <row r="9071" spans="1:18">
      <c r="A9071" s="895"/>
      <c r="B9071" s="896"/>
      <c r="C9071" s="897"/>
      <c r="D9071" s="897"/>
      <c r="E9071" s="1002" t="s">
        <v>3914</v>
      </c>
      <c r="F9071" s="895"/>
      <c r="G9071" s="1004"/>
      <c r="H9071" s="901"/>
      <c r="I9071" s="902"/>
      <c r="J9071" s="902"/>
      <c r="K9071" s="912" t="s">
        <v>274</v>
      </c>
      <c r="L9071" s="902"/>
      <c r="M9071" s="902"/>
      <c r="N9071" s="902"/>
      <c r="O9071" s="892">
        <f t="shared" si="745"/>
        <v>0</v>
      </c>
      <c r="P9071" s="903">
        <f t="shared" si="741"/>
        <v>1</v>
      </c>
      <c r="Q9071" s="893">
        <f t="shared" si="742"/>
        <v>5</v>
      </c>
      <c r="R9071" s="894">
        <f t="shared" si="743"/>
        <v>0</v>
      </c>
    </row>
    <row r="9072" spans="1:18" s="847" customFormat="1">
      <c r="A9072" s="905"/>
      <c r="B9072" s="952" t="s">
        <v>6408</v>
      </c>
      <c r="C9072" s="907">
        <v>913</v>
      </c>
      <c r="D9072" s="907" t="s">
        <v>93</v>
      </c>
      <c r="E9072" s="992" t="s">
        <v>6409</v>
      </c>
      <c r="F9072" s="905" t="s">
        <v>2673</v>
      </c>
      <c r="G9072" s="1005"/>
      <c r="H9072" s="911">
        <v>1.63</v>
      </c>
      <c r="I9072" s="912"/>
      <c r="J9072" s="912"/>
      <c r="K9072" s="912"/>
      <c r="L9072" s="912"/>
      <c r="M9072" s="912">
        <f>VLOOKUP(B9072,MTC!$B$9:$S$933,12,0)</f>
        <v>0</v>
      </c>
      <c r="N9072" s="912">
        <f>M9072*H9072</f>
        <v>0</v>
      </c>
      <c r="O9072" s="892">
        <f t="shared" si="745"/>
        <v>0</v>
      </c>
      <c r="P9072" s="903">
        <f t="shared" si="741"/>
        <v>1</v>
      </c>
      <c r="Q9072" s="893">
        <f t="shared" si="742"/>
        <v>4</v>
      </c>
      <c r="R9072" s="894">
        <f t="shared" si="743"/>
        <v>0</v>
      </c>
    </row>
    <row r="9073" spans="1:18" s="904" customFormat="1">
      <c r="A9073" s="905"/>
      <c r="B9073" s="952" t="s">
        <v>6410</v>
      </c>
      <c r="C9073" s="907">
        <v>906</v>
      </c>
      <c r="D9073" s="907" t="s">
        <v>93</v>
      </c>
      <c r="E9073" s="992" t="s">
        <v>6411</v>
      </c>
      <c r="F9073" s="905" t="s">
        <v>2673</v>
      </c>
      <c r="G9073" s="1005"/>
      <c r="H9073" s="911">
        <v>0.6</v>
      </c>
      <c r="I9073" s="912"/>
      <c r="J9073" s="912"/>
      <c r="K9073" s="912"/>
      <c r="L9073" s="912"/>
      <c r="M9073" s="912">
        <f>VLOOKUP(B9073,MTC!$B$9:$S$933,12,0)</f>
        <v>0</v>
      </c>
      <c r="N9073" s="912">
        <f>M9073*H9073</f>
        <v>0</v>
      </c>
      <c r="O9073" s="892">
        <f t="shared" si="745"/>
        <v>0</v>
      </c>
      <c r="P9073" s="903">
        <f t="shared" si="741"/>
        <v>1</v>
      </c>
      <c r="Q9073" s="893">
        <f t="shared" si="742"/>
        <v>3</v>
      </c>
      <c r="R9073" s="894">
        <f t="shared" si="743"/>
        <v>0</v>
      </c>
    </row>
    <row r="9074" spans="1:18">
      <c r="A9074" s="905"/>
      <c r="B9074" s="952" t="s">
        <v>6412</v>
      </c>
      <c r="C9074" s="907">
        <v>905</v>
      </c>
      <c r="D9074" s="907" t="s">
        <v>93</v>
      </c>
      <c r="E9074" s="992" t="s">
        <v>6413</v>
      </c>
      <c r="F9074" s="905" t="s">
        <v>2673</v>
      </c>
      <c r="G9074" s="1005"/>
      <c r="H9074" s="911">
        <v>0.6</v>
      </c>
      <c r="I9074" s="912"/>
      <c r="J9074" s="912"/>
      <c r="K9074" s="912"/>
      <c r="L9074" s="912"/>
      <c r="M9074" s="912">
        <f>VLOOKUP(B9074,MTC!$B$9:$S$933,12,0)</f>
        <v>225936</v>
      </c>
      <c r="N9074" s="912">
        <f>M9074*H9074</f>
        <v>135561.60000000001</v>
      </c>
      <c r="O9074" s="892">
        <f t="shared" si="745"/>
        <v>0</v>
      </c>
      <c r="P9074" s="903">
        <f t="shared" si="741"/>
        <v>1</v>
      </c>
      <c r="Q9074" s="893">
        <f t="shared" si="742"/>
        <v>2</v>
      </c>
      <c r="R9074" s="894">
        <f t="shared" si="743"/>
        <v>0</v>
      </c>
    </row>
    <row r="9075" spans="1:18" s="847" customFormat="1">
      <c r="A9075" s="905"/>
      <c r="B9075" s="952" t="s">
        <v>6414</v>
      </c>
      <c r="C9075" s="907">
        <v>914</v>
      </c>
      <c r="D9075" s="907" t="s">
        <v>93</v>
      </c>
      <c r="E9075" s="992" t="s">
        <v>6415</v>
      </c>
      <c r="F9075" s="905" t="s">
        <v>2673</v>
      </c>
      <c r="G9075" s="1005"/>
      <c r="H9075" s="911">
        <v>0.1</v>
      </c>
      <c r="I9075" s="912"/>
      <c r="J9075" s="912"/>
      <c r="K9075" s="912"/>
      <c r="L9075" s="912"/>
      <c r="M9075" s="912">
        <f>VLOOKUP(B9075,MTC!$B$9:$S$933,12,0)</f>
        <v>0</v>
      </c>
      <c r="N9075" s="912">
        <f>M9075*H9075</f>
        <v>0</v>
      </c>
      <c r="O9075" s="892">
        <f t="shared" si="745"/>
        <v>0</v>
      </c>
      <c r="P9075" s="903">
        <f t="shared" ref="P9075:P9138" si="746">IF(O9075=0,1,0)</f>
        <v>1</v>
      </c>
      <c r="Q9075" s="893">
        <f t="shared" ref="Q9075:Q9138" si="747">IF(P9075=0,0,P9075+Q9076)</f>
        <v>1</v>
      </c>
      <c r="R9075" s="894">
        <f t="shared" ref="R9075:R9138" si="748">IF(Q9075=0,Q9076,0)</f>
        <v>0</v>
      </c>
    </row>
    <row r="9076" spans="1:18" s="904" customFormat="1" ht="47.25">
      <c r="A9076" s="905" t="s">
        <v>6405</v>
      </c>
      <c r="B9076" s="914" t="s">
        <v>6422</v>
      </c>
      <c r="C9076" s="915"/>
      <c r="D9076" s="915"/>
      <c r="E9076" s="1006" t="s">
        <v>6423</v>
      </c>
      <c r="F9076" s="1007" t="s">
        <v>136</v>
      </c>
      <c r="G9076" s="1008"/>
      <c r="H9076" s="919"/>
      <c r="I9076" s="920"/>
      <c r="J9076" s="962">
        <f>SUM(J9077:J9085)</f>
        <v>55500</v>
      </c>
      <c r="K9076" s="891" t="s">
        <v>274</v>
      </c>
      <c r="L9076" s="962">
        <f>SUM(L9077:L9085)</f>
        <v>663375</v>
      </c>
      <c r="M9076" s="962"/>
      <c r="N9076" s="962">
        <f>SUM(N9077:N9085)</f>
        <v>0</v>
      </c>
      <c r="O9076" s="892">
        <f t="shared" si="745"/>
        <v>1</v>
      </c>
      <c r="P9076" s="903">
        <f t="shared" si="746"/>
        <v>0</v>
      </c>
      <c r="Q9076" s="893">
        <f t="shared" si="747"/>
        <v>0</v>
      </c>
      <c r="R9076" s="894">
        <f t="shared" si="748"/>
        <v>9</v>
      </c>
    </row>
    <row r="9077" spans="1:18">
      <c r="A9077" s="895"/>
      <c r="B9077" s="896"/>
      <c r="C9077" s="897"/>
      <c r="D9077" s="897"/>
      <c r="E9077" s="1002" t="s">
        <v>108</v>
      </c>
      <c r="F9077" s="895"/>
      <c r="G9077" s="1004"/>
      <c r="H9077" s="901"/>
      <c r="I9077" s="902"/>
      <c r="J9077" s="902"/>
      <c r="K9077" s="912" t="s">
        <v>274</v>
      </c>
      <c r="L9077" s="902"/>
      <c r="M9077" s="902"/>
      <c r="N9077" s="902"/>
      <c r="O9077" s="892">
        <f t="shared" si="745"/>
        <v>0</v>
      </c>
      <c r="P9077" s="903">
        <f t="shared" si="746"/>
        <v>1</v>
      </c>
      <c r="Q9077" s="893">
        <f t="shared" si="747"/>
        <v>9</v>
      </c>
      <c r="R9077" s="894">
        <f t="shared" si="748"/>
        <v>0</v>
      </c>
    </row>
    <row r="9078" spans="1:18" s="847" customFormat="1">
      <c r="A9078" s="905"/>
      <c r="B9078" s="952"/>
      <c r="C9078" s="907">
        <v>315</v>
      </c>
      <c r="D9078" s="907" t="s">
        <v>279</v>
      </c>
      <c r="E9078" s="992" t="s">
        <v>6316</v>
      </c>
      <c r="F9078" s="905" t="s">
        <v>49</v>
      </c>
      <c r="G9078" s="1005"/>
      <c r="H9078" s="911">
        <v>0.5</v>
      </c>
      <c r="I9078" s="912">
        <f>VLOOKUP(E9078,[3]VLP!$B$7:$K$300,10,0)</f>
        <v>8000</v>
      </c>
      <c r="J9078" s="912">
        <f>I9078*H9078</f>
        <v>4000</v>
      </c>
      <c r="K9078" s="912" t="s">
        <v>274</v>
      </c>
      <c r="L9078" s="912"/>
      <c r="M9078" s="912"/>
      <c r="N9078" s="912"/>
      <c r="O9078" s="892">
        <f t="shared" si="745"/>
        <v>0</v>
      </c>
      <c r="P9078" s="903">
        <f t="shared" si="746"/>
        <v>1</v>
      </c>
      <c r="Q9078" s="893">
        <f t="shared" si="747"/>
        <v>8</v>
      </c>
      <c r="R9078" s="894">
        <f t="shared" si="748"/>
        <v>0</v>
      </c>
    </row>
    <row r="9079" spans="1:18" s="904" customFormat="1">
      <c r="A9079" s="905"/>
      <c r="B9079" s="952"/>
      <c r="C9079" s="907">
        <v>235</v>
      </c>
      <c r="D9079" s="907" t="s">
        <v>279</v>
      </c>
      <c r="E9079" s="992" t="s">
        <v>2682</v>
      </c>
      <c r="F9079" s="905" t="s">
        <v>45</v>
      </c>
      <c r="G9079" s="1005"/>
      <c r="H9079" s="911">
        <v>0.3</v>
      </c>
      <c r="I9079" s="912">
        <f>VLOOKUP(E9079,[3]VLP!$B$7:$K$300,10,0)</f>
        <v>5000</v>
      </c>
      <c r="J9079" s="912">
        <f>I9079*H9079</f>
        <v>1500</v>
      </c>
      <c r="K9079" s="912" t="s">
        <v>274</v>
      </c>
      <c r="L9079" s="912"/>
      <c r="M9079" s="912"/>
      <c r="N9079" s="912"/>
      <c r="O9079" s="892">
        <f t="shared" si="745"/>
        <v>0</v>
      </c>
      <c r="P9079" s="903">
        <f t="shared" si="746"/>
        <v>1</v>
      </c>
      <c r="Q9079" s="893">
        <f t="shared" si="747"/>
        <v>7</v>
      </c>
      <c r="R9079" s="894">
        <f t="shared" si="748"/>
        <v>0</v>
      </c>
    </row>
    <row r="9080" spans="1:18">
      <c r="A9080" s="905"/>
      <c r="B9080" s="952"/>
      <c r="C9080" s="907">
        <v>699</v>
      </c>
      <c r="D9080" s="907" t="s">
        <v>279</v>
      </c>
      <c r="E9080" s="992" t="s">
        <v>4006</v>
      </c>
      <c r="F9080" s="905" t="s">
        <v>4007</v>
      </c>
      <c r="G9080" s="1005"/>
      <c r="H9080" s="911">
        <v>10</v>
      </c>
      <c r="I9080" s="912">
        <f>VLOOKUP(E9080,[3]VLP!$B$7:$K$300,10,0)</f>
        <v>5000</v>
      </c>
      <c r="J9080" s="912">
        <f>I9080*H9080</f>
        <v>50000</v>
      </c>
      <c r="K9080" s="912" t="s">
        <v>274</v>
      </c>
      <c r="L9080" s="912"/>
      <c r="M9080" s="912"/>
      <c r="N9080" s="912"/>
      <c r="O9080" s="892">
        <f t="shared" si="745"/>
        <v>0</v>
      </c>
      <c r="P9080" s="903">
        <f t="shared" si="746"/>
        <v>1</v>
      </c>
      <c r="Q9080" s="893">
        <f t="shared" si="747"/>
        <v>6</v>
      </c>
      <c r="R9080" s="894">
        <f t="shared" si="748"/>
        <v>0</v>
      </c>
    </row>
    <row r="9081" spans="1:18" s="847" customFormat="1">
      <c r="A9081" s="895"/>
      <c r="B9081" s="896"/>
      <c r="C9081" s="897"/>
      <c r="D9081" s="897"/>
      <c r="E9081" s="1002" t="s">
        <v>276</v>
      </c>
      <c r="F9081" s="1003"/>
      <c r="G9081" s="1004"/>
      <c r="H9081" s="901"/>
      <c r="I9081" s="902"/>
      <c r="J9081" s="902"/>
      <c r="K9081" s="912" t="s">
        <v>274</v>
      </c>
      <c r="L9081" s="902"/>
      <c r="M9081" s="902"/>
      <c r="N9081" s="902"/>
      <c r="O9081" s="892">
        <f t="shared" si="745"/>
        <v>0</v>
      </c>
      <c r="P9081" s="903">
        <f t="shared" si="746"/>
        <v>1</v>
      </c>
      <c r="Q9081" s="893">
        <f t="shared" si="747"/>
        <v>5</v>
      </c>
      <c r="R9081" s="894">
        <f t="shared" si="748"/>
        <v>0</v>
      </c>
    </row>
    <row r="9082" spans="1:18" s="904" customFormat="1">
      <c r="A9082" s="905"/>
      <c r="B9082" s="952"/>
      <c r="C9082" s="907">
        <v>740</v>
      </c>
      <c r="D9082" s="907" t="s">
        <v>12</v>
      </c>
      <c r="E9082" s="992" t="s">
        <v>4008</v>
      </c>
      <c r="F9082" s="905" t="s">
        <v>2674</v>
      </c>
      <c r="G9082" s="1005"/>
      <c r="H9082" s="911">
        <v>3</v>
      </c>
      <c r="I9082" s="912"/>
      <c r="J9082" s="912"/>
      <c r="K9082" s="912">
        <f>VLOOKUP(E9082,[5]ĐMNC!$A$7:$F$67,4,0)</f>
        <v>221125</v>
      </c>
      <c r="L9082" s="912">
        <f>H9082*K9082</f>
        <v>663375</v>
      </c>
      <c r="M9082" s="912"/>
      <c r="N9082" s="912"/>
      <c r="O9082" s="892">
        <f t="shared" si="745"/>
        <v>0</v>
      </c>
      <c r="P9082" s="903">
        <f t="shared" si="746"/>
        <v>1</v>
      </c>
      <c r="Q9082" s="893">
        <f t="shared" si="747"/>
        <v>4</v>
      </c>
      <c r="R9082" s="894">
        <f t="shared" si="748"/>
        <v>0</v>
      </c>
    </row>
    <row r="9083" spans="1:18">
      <c r="A9083" s="895"/>
      <c r="B9083" s="896"/>
      <c r="C9083" s="897"/>
      <c r="D9083" s="897"/>
      <c r="E9083" s="1002" t="s">
        <v>3914</v>
      </c>
      <c r="F9083" s="895"/>
      <c r="G9083" s="1004"/>
      <c r="H9083" s="901"/>
      <c r="I9083" s="902"/>
      <c r="J9083" s="902"/>
      <c r="K9083" s="912" t="s">
        <v>274</v>
      </c>
      <c r="L9083" s="902"/>
      <c r="M9083" s="902"/>
      <c r="N9083" s="902"/>
      <c r="O9083" s="892">
        <f t="shared" si="745"/>
        <v>0</v>
      </c>
      <c r="P9083" s="903">
        <f t="shared" si="746"/>
        <v>1</v>
      </c>
      <c r="Q9083" s="893">
        <f t="shared" si="747"/>
        <v>3</v>
      </c>
      <c r="R9083" s="894">
        <f t="shared" si="748"/>
        <v>0</v>
      </c>
    </row>
    <row r="9084" spans="1:18" s="847" customFormat="1">
      <c r="A9084" s="905"/>
      <c r="B9084" s="952" t="s">
        <v>6424</v>
      </c>
      <c r="C9084" s="907">
        <v>911</v>
      </c>
      <c r="D9084" s="907" t="s">
        <v>93</v>
      </c>
      <c r="E9084" s="992" t="s">
        <v>6425</v>
      </c>
      <c r="F9084" s="905" t="s">
        <v>2673</v>
      </c>
      <c r="G9084" s="1005"/>
      <c r="H9084" s="911">
        <v>0.48</v>
      </c>
      <c r="I9084" s="912"/>
      <c r="J9084" s="912"/>
      <c r="K9084" s="912"/>
      <c r="L9084" s="912"/>
      <c r="M9084" s="912">
        <f>VLOOKUP(B9084,MTC!$B$9:$S$933,12,0)</f>
        <v>0</v>
      </c>
      <c r="N9084" s="912">
        <f>M9084*H9084</f>
        <v>0</v>
      </c>
      <c r="O9084" s="892">
        <f t="shared" si="745"/>
        <v>0</v>
      </c>
      <c r="P9084" s="903">
        <f t="shared" si="746"/>
        <v>1</v>
      </c>
      <c r="Q9084" s="893">
        <f t="shared" si="747"/>
        <v>2</v>
      </c>
      <c r="R9084" s="894">
        <f t="shared" si="748"/>
        <v>0</v>
      </c>
    </row>
    <row r="9085" spans="1:18" s="904" customFormat="1">
      <c r="A9085" s="905"/>
      <c r="B9085" s="952" t="s">
        <v>6414</v>
      </c>
      <c r="C9085" s="907">
        <v>914</v>
      </c>
      <c r="D9085" s="907" t="s">
        <v>93</v>
      </c>
      <c r="E9085" s="992" t="s">
        <v>6415</v>
      </c>
      <c r="F9085" s="905" t="s">
        <v>2673</v>
      </c>
      <c r="G9085" s="1005"/>
      <c r="H9085" s="911">
        <v>0.1</v>
      </c>
      <c r="I9085" s="912"/>
      <c r="J9085" s="912"/>
      <c r="K9085" s="912"/>
      <c r="L9085" s="912"/>
      <c r="M9085" s="912">
        <f>VLOOKUP(B9085,MTC!$B$9:$S$933,12,0)</f>
        <v>0</v>
      </c>
      <c r="N9085" s="912">
        <f>M9085*H9085</f>
        <v>0</v>
      </c>
      <c r="O9085" s="892">
        <f t="shared" si="745"/>
        <v>0</v>
      </c>
      <c r="P9085" s="903">
        <f t="shared" si="746"/>
        <v>1</v>
      </c>
      <c r="Q9085" s="893">
        <f t="shared" si="747"/>
        <v>1</v>
      </c>
      <c r="R9085" s="894">
        <f t="shared" si="748"/>
        <v>0</v>
      </c>
    </row>
    <row r="9086" spans="1:18" ht="47.25">
      <c r="A9086" s="905">
        <v>41</v>
      </c>
      <c r="B9086" s="914" t="s">
        <v>6426</v>
      </c>
      <c r="C9086" s="915"/>
      <c r="D9086" s="915"/>
      <c r="E9086" s="1006" t="s">
        <v>6427</v>
      </c>
      <c r="F9086" s="1007" t="s">
        <v>136</v>
      </c>
      <c r="G9086" s="1008"/>
      <c r="H9086" s="919"/>
      <c r="I9086" s="920"/>
      <c r="J9086" s="962">
        <f>SUM(J9087:J9095)</f>
        <v>55500</v>
      </c>
      <c r="K9086" s="891" t="s">
        <v>274</v>
      </c>
      <c r="L9086" s="962">
        <f>SUM(L9087:L9095)</f>
        <v>729712.5</v>
      </c>
      <c r="M9086" s="962"/>
      <c r="N9086" s="962">
        <f>SUM(N9087:N9095)</f>
        <v>0</v>
      </c>
      <c r="O9086" s="892">
        <f t="shared" si="745"/>
        <v>1</v>
      </c>
      <c r="P9086" s="903">
        <f t="shared" si="746"/>
        <v>0</v>
      </c>
      <c r="Q9086" s="893">
        <f t="shared" si="747"/>
        <v>0</v>
      </c>
      <c r="R9086" s="894">
        <f t="shared" si="748"/>
        <v>9</v>
      </c>
    </row>
    <row r="9087" spans="1:18" s="847" customFormat="1">
      <c r="A9087" s="895"/>
      <c r="B9087" s="896"/>
      <c r="C9087" s="897"/>
      <c r="D9087" s="897"/>
      <c r="E9087" s="1002" t="s">
        <v>108</v>
      </c>
      <c r="F9087" s="895"/>
      <c r="G9087" s="1004"/>
      <c r="H9087" s="901"/>
      <c r="I9087" s="902"/>
      <c r="J9087" s="902"/>
      <c r="K9087" s="912" t="s">
        <v>274</v>
      </c>
      <c r="L9087" s="902"/>
      <c r="M9087" s="902"/>
      <c r="N9087" s="902"/>
      <c r="O9087" s="892">
        <f t="shared" si="745"/>
        <v>0</v>
      </c>
      <c r="P9087" s="903">
        <f t="shared" si="746"/>
        <v>1</v>
      </c>
      <c r="Q9087" s="893">
        <f t="shared" si="747"/>
        <v>9</v>
      </c>
      <c r="R9087" s="894">
        <f t="shared" si="748"/>
        <v>0</v>
      </c>
    </row>
    <row r="9088" spans="1:18" s="904" customFormat="1">
      <c r="A9088" s="905"/>
      <c r="B9088" s="952"/>
      <c r="C9088" s="907">
        <v>315</v>
      </c>
      <c r="D9088" s="907" t="s">
        <v>279</v>
      </c>
      <c r="E9088" s="992" t="s">
        <v>6316</v>
      </c>
      <c r="F9088" s="905" t="s">
        <v>49</v>
      </c>
      <c r="G9088" s="1005"/>
      <c r="H9088" s="911">
        <v>0.5</v>
      </c>
      <c r="I9088" s="912">
        <f>VLOOKUP(E9088,[3]VLP!$B$7:$K$300,10,0)</f>
        <v>8000</v>
      </c>
      <c r="J9088" s="912">
        <f>I9088*H9088</f>
        <v>4000</v>
      </c>
      <c r="K9088" s="912" t="s">
        <v>274</v>
      </c>
      <c r="L9088" s="912"/>
      <c r="M9088" s="912"/>
      <c r="N9088" s="912"/>
      <c r="O9088" s="892">
        <f t="shared" si="745"/>
        <v>0</v>
      </c>
      <c r="P9088" s="903">
        <f t="shared" si="746"/>
        <v>1</v>
      </c>
      <c r="Q9088" s="893">
        <f t="shared" si="747"/>
        <v>8</v>
      </c>
      <c r="R9088" s="894">
        <f t="shared" si="748"/>
        <v>0</v>
      </c>
    </row>
    <row r="9089" spans="1:18">
      <c r="A9089" s="905"/>
      <c r="B9089" s="952"/>
      <c r="C9089" s="907">
        <v>235</v>
      </c>
      <c r="D9089" s="907" t="s">
        <v>279</v>
      </c>
      <c r="E9089" s="992" t="s">
        <v>2682</v>
      </c>
      <c r="F9089" s="905" t="s">
        <v>45</v>
      </c>
      <c r="G9089" s="1005"/>
      <c r="H9089" s="911">
        <v>0.3</v>
      </c>
      <c r="I9089" s="912">
        <f>VLOOKUP(E9089,[3]VLP!$B$7:$K$300,10,0)</f>
        <v>5000</v>
      </c>
      <c r="J9089" s="912">
        <f>I9089*H9089</f>
        <v>1500</v>
      </c>
      <c r="K9089" s="912" t="s">
        <v>274</v>
      </c>
      <c r="L9089" s="912"/>
      <c r="M9089" s="912"/>
      <c r="N9089" s="912"/>
      <c r="O9089" s="892">
        <f t="shared" si="745"/>
        <v>0</v>
      </c>
      <c r="P9089" s="903">
        <f t="shared" si="746"/>
        <v>1</v>
      </c>
      <c r="Q9089" s="893">
        <f t="shared" si="747"/>
        <v>7</v>
      </c>
      <c r="R9089" s="894">
        <f t="shared" si="748"/>
        <v>0</v>
      </c>
    </row>
    <row r="9090" spans="1:18" s="847" customFormat="1">
      <c r="A9090" s="905"/>
      <c r="B9090" s="952"/>
      <c r="C9090" s="907">
        <v>699</v>
      </c>
      <c r="D9090" s="907" t="s">
        <v>279</v>
      </c>
      <c r="E9090" s="992" t="s">
        <v>4006</v>
      </c>
      <c r="F9090" s="905" t="s">
        <v>4007</v>
      </c>
      <c r="G9090" s="1005"/>
      <c r="H9090" s="911">
        <v>10</v>
      </c>
      <c r="I9090" s="912">
        <f>VLOOKUP(E9090,[3]VLP!$B$7:$K$300,10,0)</f>
        <v>5000</v>
      </c>
      <c r="J9090" s="912">
        <f>I9090*H9090</f>
        <v>50000</v>
      </c>
      <c r="K9090" s="912" t="s">
        <v>274</v>
      </c>
      <c r="L9090" s="912"/>
      <c r="M9090" s="912"/>
      <c r="N9090" s="912"/>
      <c r="O9090" s="892">
        <f t="shared" si="745"/>
        <v>0</v>
      </c>
      <c r="P9090" s="903">
        <f t="shared" si="746"/>
        <v>1</v>
      </c>
      <c r="Q9090" s="893">
        <f t="shared" si="747"/>
        <v>6</v>
      </c>
      <c r="R9090" s="894">
        <f t="shared" si="748"/>
        <v>0</v>
      </c>
    </row>
    <row r="9091" spans="1:18" s="904" customFormat="1">
      <c r="A9091" s="895"/>
      <c r="B9091" s="896"/>
      <c r="C9091" s="897"/>
      <c r="D9091" s="897"/>
      <c r="E9091" s="1002" t="s">
        <v>276</v>
      </c>
      <c r="F9091" s="1003"/>
      <c r="G9091" s="1004"/>
      <c r="H9091" s="901"/>
      <c r="I9091" s="902"/>
      <c r="J9091" s="902"/>
      <c r="K9091" s="912" t="s">
        <v>274</v>
      </c>
      <c r="L9091" s="902"/>
      <c r="M9091" s="902"/>
      <c r="N9091" s="902"/>
      <c r="O9091" s="892">
        <f t="shared" si="745"/>
        <v>0</v>
      </c>
      <c r="P9091" s="903">
        <f t="shared" si="746"/>
        <v>1</v>
      </c>
      <c r="Q9091" s="893">
        <f t="shared" si="747"/>
        <v>5</v>
      </c>
      <c r="R9091" s="894">
        <f t="shared" si="748"/>
        <v>0</v>
      </c>
    </row>
    <row r="9092" spans="1:18">
      <c r="A9092" s="905"/>
      <c r="B9092" s="952"/>
      <c r="C9092" s="907">
        <v>740</v>
      </c>
      <c r="D9092" s="907" t="s">
        <v>12</v>
      </c>
      <c r="E9092" s="992" t="s">
        <v>4008</v>
      </c>
      <c r="F9092" s="905" t="s">
        <v>2674</v>
      </c>
      <c r="G9092" s="1005"/>
      <c r="H9092" s="911">
        <v>3.3</v>
      </c>
      <c r="I9092" s="912"/>
      <c r="J9092" s="912"/>
      <c r="K9092" s="912">
        <f>VLOOKUP(E9092,[5]ĐMNC!$A$7:$F$67,4,0)</f>
        <v>221125</v>
      </c>
      <c r="L9092" s="912">
        <f>H9092*K9092</f>
        <v>729712.5</v>
      </c>
      <c r="M9092" s="912"/>
      <c r="N9092" s="912"/>
      <c r="O9092" s="892">
        <f t="shared" si="745"/>
        <v>0</v>
      </c>
      <c r="P9092" s="903">
        <f t="shared" si="746"/>
        <v>1</v>
      </c>
      <c r="Q9092" s="893">
        <f t="shared" si="747"/>
        <v>4</v>
      </c>
      <c r="R9092" s="894">
        <f t="shared" si="748"/>
        <v>0</v>
      </c>
    </row>
    <row r="9093" spans="1:18" s="847" customFormat="1">
      <c r="A9093" s="895"/>
      <c r="B9093" s="896"/>
      <c r="C9093" s="897"/>
      <c r="D9093" s="897"/>
      <c r="E9093" s="1002" t="s">
        <v>3914</v>
      </c>
      <c r="F9093" s="895"/>
      <c r="G9093" s="1004"/>
      <c r="H9093" s="901"/>
      <c r="I9093" s="902"/>
      <c r="J9093" s="902"/>
      <c r="K9093" s="912" t="s">
        <v>274</v>
      </c>
      <c r="L9093" s="902"/>
      <c r="M9093" s="902"/>
      <c r="N9093" s="902"/>
      <c r="O9093" s="892">
        <f t="shared" si="745"/>
        <v>0</v>
      </c>
      <c r="P9093" s="903">
        <f t="shared" si="746"/>
        <v>1</v>
      </c>
      <c r="Q9093" s="893">
        <f t="shared" si="747"/>
        <v>3</v>
      </c>
      <c r="R9093" s="894">
        <f t="shared" si="748"/>
        <v>0</v>
      </c>
    </row>
    <row r="9094" spans="1:18" s="904" customFormat="1">
      <c r="A9094" s="905"/>
      <c r="B9094" s="952" t="s">
        <v>6424</v>
      </c>
      <c r="C9094" s="907">
        <v>911</v>
      </c>
      <c r="D9094" s="907" t="s">
        <v>93</v>
      </c>
      <c r="E9094" s="992" t="s">
        <v>6425</v>
      </c>
      <c r="F9094" s="905" t="s">
        <v>2673</v>
      </c>
      <c r="G9094" s="1005"/>
      <c r="H9094" s="911">
        <v>0.55000000000000004</v>
      </c>
      <c r="I9094" s="912"/>
      <c r="J9094" s="912"/>
      <c r="K9094" s="912"/>
      <c r="L9094" s="912"/>
      <c r="M9094" s="912">
        <f>VLOOKUP(B9094,MTC!$B$9:$S$933,12,0)</f>
        <v>0</v>
      </c>
      <c r="N9094" s="912">
        <f>M9094*H9094</f>
        <v>0</v>
      </c>
      <c r="O9094" s="892">
        <f t="shared" si="745"/>
        <v>0</v>
      </c>
      <c r="P9094" s="903">
        <f t="shared" si="746"/>
        <v>1</v>
      </c>
      <c r="Q9094" s="893">
        <f t="shared" si="747"/>
        <v>2</v>
      </c>
      <c r="R9094" s="894">
        <f t="shared" si="748"/>
        <v>0</v>
      </c>
    </row>
    <row r="9095" spans="1:18">
      <c r="A9095" s="905"/>
      <c r="B9095" s="952" t="s">
        <v>6414</v>
      </c>
      <c r="C9095" s="907">
        <v>914</v>
      </c>
      <c r="D9095" s="907" t="s">
        <v>93</v>
      </c>
      <c r="E9095" s="992" t="s">
        <v>6415</v>
      </c>
      <c r="F9095" s="905" t="s">
        <v>2673</v>
      </c>
      <c r="G9095" s="1005"/>
      <c r="H9095" s="911">
        <v>0.1</v>
      </c>
      <c r="I9095" s="912"/>
      <c r="J9095" s="912"/>
      <c r="K9095" s="912"/>
      <c r="L9095" s="912"/>
      <c r="M9095" s="912">
        <f>VLOOKUP(B9095,MTC!$B$9:$S$933,12,0)</f>
        <v>0</v>
      </c>
      <c r="N9095" s="912">
        <f>M9095*H9095</f>
        <v>0</v>
      </c>
      <c r="O9095" s="892">
        <f t="shared" si="745"/>
        <v>0</v>
      </c>
      <c r="P9095" s="903">
        <f t="shared" si="746"/>
        <v>1</v>
      </c>
      <c r="Q9095" s="893">
        <f t="shared" si="747"/>
        <v>1</v>
      </c>
      <c r="R9095" s="894">
        <f t="shared" si="748"/>
        <v>0</v>
      </c>
    </row>
    <row r="9096" spans="1:18" s="847" customFormat="1" ht="47.25">
      <c r="A9096" s="905">
        <v>42</v>
      </c>
      <c r="B9096" s="914" t="s">
        <v>6428</v>
      </c>
      <c r="C9096" s="915"/>
      <c r="D9096" s="915"/>
      <c r="E9096" s="1006" t="s">
        <v>6429</v>
      </c>
      <c r="F9096" s="1007" t="s">
        <v>136</v>
      </c>
      <c r="G9096" s="1008"/>
      <c r="H9096" s="919"/>
      <c r="I9096" s="920"/>
      <c r="J9096" s="962">
        <f>SUM(J9097:J9105)</f>
        <v>55500</v>
      </c>
      <c r="K9096" s="891" t="s">
        <v>274</v>
      </c>
      <c r="L9096" s="962">
        <f>SUM(L9097:L9105)</f>
        <v>1127737.5</v>
      </c>
      <c r="M9096" s="962"/>
      <c r="N9096" s="962">
        <f>SUM(N9097:N9105)</f>
        <v>0</v>
      </c>
      <c r="O9096" s="892">
        <f t="shared" si="745"/>
        <v>1</v>
      </c>
      <c r="P9096" s="903">
        <f t="shared" si="746"/>
        <v>0</v>
      </c>
      <c r="Q9096" s="893">
        <f t="shared" si="747"/>
        <v>0</v>
      </c>
      <c r="R9096" s="894">
        <f t="shared" si="748"/>
        <v>9</v>
      </c>
    </row>
    <row r="9097" spans="1:18" s="904" customFormat="1">
      <c r="A9097" s="895"/>
      <c r="B9097" s="896"/>
      <c r="C9097" s="897"/>
      <c r="D9097" s="897"/>
      <c r="E9097" s="1002" t="s">
        <v>108</v>
      </c>
      <c r="F9097" s="895"/>
      <c r="G9097" s="1004"/>
      <c r="H9097" s="901"/>
      <c r="I9097" s="902"/>
      <c r="J9097" s="902"/>
      <c r="K9097" s="912" t="s">
        <v>274</v>
      </c>
      <c r="L9097" s="902"/>
      <c r="M9097" s="902"/>
      <c r="N9097" s="902"/>
      <c r="O9097" s="892">
        <f t="shared" si="745"/>
        <v>0</v>
      </c>
      <c r="P9097" s="903">
        <f t="shared" si="746"/>
        <v>1</v>
      </c>
      <c r="Q9097" s="893">
        <f t="shared" si="747"/>
        <v>9</v>
      </c>
      <c r="R9097" s="894">
        <f t="shared" si="748"/>
        <v>0</v>
      </c>
    </row>
    <row r="9098" spans="1:18">
      <c r="A9098" s="905"/>
      <c r="B9098" s="952"/>
      <c r="C9098" s="907">
        <v>315</v>
      </c>
      <c r="D9098" s="907" t="s">
        <v>279</v>
      </c>
      <c r="E9098" s="992" t="s">
        <v>6316</v>
      </c>
      <c r="F9098" s="905" t="s">
        <v>49</v>
      </c>
      <c r="G9098" s="1005"/>
      <c r="H9098" s="911">
        <v>0.5</v>
      </c>
      <c r="I9098" s="912">
        <f>VLOOKUP(E9098,[3]VLP!$B$7:$K$300,10,0)</f>
        <v>8000</v>
      </c>
      <c r="J9098" s="912">
        <f>I9098*H9098</f>
        <v>4000</v>
      </c>
      <c r="K9098" s="912" t="s">
        <v>274</v>
      </c>
      <c r="L9098" s="912"/>
      <c r="M9098" s="912"/>
      <c r="N9098" s="912"/>
      <c r="O9098" s="892">
        <f t="shared" si="745"/>
        <v>0</v>
      </c>
      <c r="P9098" s="903">
        <f t="shared" si="746"/>
        <v>1</v>
      </c>
      <c r="Q9098" s="893">
        <f t="shared" si="747"/>
        <v>8</v>
      </c>
      <c r="R9098" s="894">
        <f t="shared" si="748"/>
        <v>0</v>
      </c>
    </row>
    <row r="9099" spans="1:18" s="847" customFormat="1">
      <c r="A9099" s="905"/>
      <c r="B9099" s="952"/>
      <c r="C9099" s="907">
        <v>235</v>
      </c>
      <c r="D9099" s="907" t="s">
        <v>279</v>
      </c>
      <c r="E9099" s="992" t="s">
        <v>2682</v>
      </c>
      <c r="F9099" s="905" t="s">
        <v>45</v>
      </c>
      <c r="G9099" s="1005"/>
      <c r="H9099" s="911">
        <v>0.3</v>
      </c>
      <c r="I9099" s="912">
        <f>VLOOKUP(E9099,[3]VLP!$B$7:$K$300,10,0)</f>
        <v>5000</v>
      </c>
      <c r="J9099" s="912">
        <f>I9099*H9099</f>
        <v>1500</v>
      </c>
      <c r="K9099" s="912" t="s">
        <v>274</v>
      </c>
      <c r="L9099" s="912"/>
      <c r="M9099" s="912"/>
      <c r="N9099" s="912"/>
      <c r="O9099" s="892">
        <f t="shared" si="745"/>
        <v>0</v>
      </c>
      <c r="P9099" s="903">
        <f t="shared" si="746"/>
        <v>1</v>
      </c>
      <c r="Q9099" s="893">
        <f t="shared" si="747"/>
        <v>7</v>
      </c>
      <c r="R9099" s="894">
        <f t="shared" si="748"/>
        <v>0</v>
      </c>
    </row>
    <row r="9100" spans="1:18" s="904" customFormat="1">
      <c r="A9100" s="905"/>
      <c r="B9100" s="952"/>
      <c r="C9100" s="907">
        <v>699</v>
      </c>
      <c r="D9100" s="907" t="s">
        <v>279</v>
      </c>
      <c r="E9100" s="992" t="s">
        <v>4006</v>
      </c>
      <c r="F9100" s="905" t="s">
        <v>4007</v>
      </c>
      <c r="G9100" s="1005"/>
      <c r="H9100" s="911">
        <v>10</v>
      </c>
      <c r="I9100" s="912">
        <f>VLOOKUP(E9100,[3]VLP!$B$7:$K$300,10,0)</f>
        <v>5000</v>
      </c>
      <c r="J9100" s="912">
        <f>I9100*H9100</f>
        <v>50000</v>
      </c>
      <c r="K9100" s="912" t="s">
        <v>274</v>
      </c>
      <c r="L9100" s="912"/>
      <c r="M9100" s="912"/>
      <c r="N9100" s="912"/>
      <c r="O9100" s="892">
        <f t="shared" si="745"/>
        <v>0</v>
      </c>
      <c r="P9100" s="903">
        <f t="shared" si="746"/>
        <v>1</v>
      </c>
      <c r="Q9100" s="893">
        <f t="shared" si="747"/>
        <v>6</v>
      </c>
      <c r="R9100" s="894">
        <f t="shared" si="748"/>
        <v>0</v>
      </c>
    </row>
    <row r="9101" spans="1:18">
      <c r="A9101" s="895"/>
      <c r="B9101" s="896"/>
      <c r="C9101" s="897"/>
      <c r="D9101" s="897"/>
      <c r="E9101" s="1002" t="s">
        <v>276</v>
      </c>
      <c r="F9101" s="1003"/>
      <c r="G9101" s="1004"/>
      <c r="H9101" s="901"/>
      <c r="I9101" s="902"/>
      <c r="J9101" s="902"/>
      <c r="K9101" s="912" t="s">
        <v>274</v>
      </c>
      <c r="L9101" s="902"/>
      <c r="M9101" s="902"/>
      <c r="N9101" s="902"/>
      <c r="O9101" s="892">
        <f t="shared" si="745"/>
        <v>0</v>
      </c>
      <c r="P9101" s="903">
        <f t="shared" si="746"/>
        <v>1</v>
      </c>
      <c r="Q9101" s="893">
        <f t="shared" si="747"/>
        <v>5</v>
      </c>
      <c r="R9101" s="894">
        <f t="shared" si="748"/>
        <v>0</v>
      </c>
    </row>
    <row r="9102" spans="1:18" s="847" customFormat="1">
      <c r="A9102" s="905"/>
      <c r="B9102" s="952"/>
      <c r="C9102" s="907">
        <v>740</v>
      </c>
      <c r="D9102" s="907" t="s">
        <v>12</v>
      </c>
      <c r="E9102" s="992" t="s">
        <v>4008</v>
      </c>
      <c r="F9102" s="905" t="s">
        <v>2674</v>
      </c>
      <c r="G9102" s="1005"/>
      <c r="H9102" s="911">
        <v>5.0999999999999996</v>
      </c>
      <c r="I9102" s="912"/>
      <c r="J9102" s="912"/>
      <c r="K9102" s="912">
        <f>VLOOKUP(E9102,[5]ĐMNC!$A$7:$F$67,4,0)</f>
        <v>221125</v>
      </c>
      <c r="L9102" s="912">
        <f>H9102*K9102</f>
        <v>1127737.5</v>
      </c>
      <c r="M9102" s="912"/>
      <c r="N9102" s="912"/>
      <c r="O9102" s="892">
        <f t="shared" si="745"/>
        <v>0</v>
      </c>
      <c r="P9102" s="903">
        <f t="shared" si="746"/>
        <v>1</v>
      </c>
      <c r="Q9102" s="893">
        <f t="shared" si="747"/>
        <v>4</v>
      </c>
      <c r="R9102" s="894">
        <f t="shared" si="748"/>
        <v>0</v>
      </c>
    </row>
    <row r="9103" spans="1:18" s="904" customFormat="1">
      <c r="A9103" s="895"/>
      <c r="B9103" s="896"/>
      <c r="C9103" s="897"/>
      <c r="D9103" s="897"/>
      <c r="E9103" s="1002" t="s">
        <v>3914</v>
      </c>
      <c r="F9103" s="895"/>
      <c r="G9103" s="1004"/>
      <c r="H9103" s="901"/>
      <c r="I9103" s="902"/>
      <c r="J9103" s="902"/>
      <c r="K9103" s="912" t="s">
        <v>274</v>
      </c>
      <c r="L9103" s="902"/>
      <c r="M9103" s="902"/>
      <c r="N9103" s="902"/>
      <c r="O9103" s="892">
        <f t="shared" si="745"/>
        <v>0</v>
      </c>
      <c r="P9103" s="903">
        <f t="shared" si="746"/>
        <v>1</v>
      </c>
      <c r="Q9103" s="893">
        <f t="shared" si="747"/>
        <v>3</v>
      </c>
      <c r="R9103" s="894">
        <f t="shared" si="748"/>
        <v>0</v>
      </c>
    </row>
    <row r="9104" spans="1:18">
      <c r="A9104" s="905"/>
      <c r="B9104" s="952" t="s">
        <v>6424</v>
      </c>
      <c r="C9104" s="907">
        <v>911</v>
      </c>
      <c r="D9104" s="907" t="s">
        <v>93</v>
      </c>
      <c r="E9104" s="992" t="s">
        <v>6425</v>
      </c>
      <c r="F9104" s="905" t="s">
        <v>2673</v>
      </c>
      <c r="G9104" s="1005"/>
      <c r="H9104" s="911">
        <v>0.82</v>
      </c>
      <c r="I9104" s="912"/>
      <c r="J9104" s="912"/>
      <c r="K9104" s="912"/>
      <c r="L9104" s="912"/>
      <c r="M9104" s="912">
        <f>VLOOKUP(B9104,MTC!$B$9:$S$933,12,0)</f>
        <v>0</v>
      </c>
      <c r="N9104" s="912">
        <f>M9104*H9104</f>
        <v>0</v>
      </c>
      <c r="O9104" s="892">
        <f t="shared" si="745"/>
        <v>0</v>
      </c>
      <c r="P9104" s="903">
        <f t="shared" si="746"/>
        <v>1</v>
      </c>
      <c r="Q9104" s="893">
        <f t="shared" si="747"/>
        <v>2</v>
      </c>
      <c r="R9104" s="894">
        <f t="shared" si="748"/>
        <v>0</v>
      </c>
    </row>
    <row r="9105" spans="1:18" s="847" customFormat="1">
      <c r="A9105" s="905"/>
      <c r="B9105" s="952" t="s">
        <v>6414</v>
      </c>
      <c r="C9105" s="907">
        <v>914</v>
      </c>
      <c r="D9105" s="907" t="s">
        <v>93</v>
      </c>
      <c r="E9105" s="992" t="s">
        <v>6415</v>
      </c>
      <c r="F9105" s="905" t="s">
        <v>2673</v>
      </c>
      <c r="G9105" s="1005"/>
      <c r="H9105" s="911">
        <v>0.1</v>
      </c>
      <c r="I9105" s="912"/>
      <c r="J9105" s="912"/>
      <c r="K9105" s="912"/>
      <c r="L9105" s="912"/>
      <c r="M9105" s="912">
        <f>VLOOKUP(B9105,MTC!$B$9:$S$933,12,0)</f>
        <v>0</v>
      </c>
      <c r="N9105" s="912">
        <f>M9105*H9105</f>
        <v>0</v>
      </c>
      <c r="O9105" s="892">
        <f t="shared" si="745"/>
        <v>0</v>
      </c>
      <c r="P9105" s="903">
        <f t="shared" si="746"/>
        <v>1</v>
      </c>
      <c r="Q9105" s="893">
        <f t="shared" si="747"/>
        <v>1</v>
      </c>
      <c r="R9105" s="894">
        <f t="shared" si="748"/>
        <v>0</v>
      </c>
    </row>
    <row r="9106" spans="1:18" s="904" customFormat="1" ht="47.25">
      <c r="A9106" s="905">
        <v>43</v>
      </c>
      <c r="B9106" s="914" t="s">
        <v>6430</v>
      </c>
      <c r="C9106" s="915"/>
      <c r="D9106" s="915"/>
      <c r="E9106" s="1006" t="s">
        <v>6431</v>
      </c>
      <c r="F9106" s="1007" t="s">
        <v>136</v>
      </c>
      <c r="G9106" s="1008"/>
      <c r="H9106" s="919"/>
      <c r="I9106" s="920"/>
      <c r="J9106" s="962">
        <f>SUM(J9107:J9115)</f>
        <v>55500</v>
      </c>
      <c r="K9106" s="891" t="s">
        <v>274</v>
      </c>
      <c r="L9106" s="962">
        <f>SUM(L9107:L9115)</f>
        <v>1370975</v>
      </c>
      <c r="M9106" s="962"/>
      <c r="N9106" s="962">
        <f>SUM(N9107:N9115)</f>
        <v>0</v>
      </c>
      <c r="O9106" s="892">
        <f t="shared" si="745"/>
        <v>1</v>
      </c>
      <c r="P9106" s="903">
        <f t="shared" si="746"/>
        <v>0</v>
      </c>
      <c r="Q9106" s="893">
        <f t="shared" si="747"/>
        <v>0</v>
      </c>
      <c r="R9106" s="894">
        <f t="shared" si="748"/>
        <v>9</v>
      </c>
    </row>
    <row r="9107" spans="1:18">
      <c r="A9107" s="895"/>
      <c r="B9107" s="896"/>
      <c r="C9107" s="897"/>
      <c r="D9107" s="897"/>
      <c r="E9107" s="1002" t="s">
        <v>108</v>
      </c>
      <c r="F9107" s="895"/>
      <c r="G9107" s="1004"/>
      <c r="H9107" s="901"/>
      <c r="I9107" s="902"/>
      <c r="J9107" s="902"/>
      <c r="K9107" s="912" t="s">
        <v>274</v>
      </c>
      <c r="L9107" s="902"/>
      <c r="M9107" s="902"/>
      <c r="N9107" s="902"/>
      <c r="O9107" s="892">
        <f t="shared" si="745"/>
        <v>0</v>
      </c>
      <c r="P9107" s="903">
        <f t="shared" si="746"/>
        <v>1</v>
      </c>
      <c r="Q9107" s="893">
        <f t="shared" si="747"/>
        <v>9</v>
      </c>
      <c r="R9107" s="894">
        <f t="shared" si="748"/>
        <v>0</v>
      </c>
    </row>
    <row r="9108" spans="1:18" s="847" customFormat="1">
      <c r="A9108" s="905"/>
      <c r="B9108" s="952"/>
      <c r="C9108" s="907">
        <v>315</v>
      </c>
      <c r="D9108" s="907" t="s">
        <v>279</v>
      </c>
      <c r="E9108" s="992" t="s">
        <v>6316</v>
      </c>
      <c r="F9108" s="905" t="s">
        <v>49</v>
      </c>
      <c r="G9108" s="1005"/>
      <c r="H9108" s="911">
        <v>0.5</v>
      </c>
      <c r="I9108" s="912">
        <f>VLOOKUP(E9108,[3]VLP!$B$7:$K$300,10,0)</f>
        <v>8000</v>
      </c>
      <c r="J9108" s="912">
        <f>I9108*H9108</f>
        <v>4000</v>
      </c>
      <c r="K9108" s="912" t="s">
        <v>274</v>
      </c>
      <c r="L9108" s="912"/>
      <c r="M9108" s="912"/>
      <c r="N9108" s="912"/>
      <c r="O9108" s="892">
        <f t="shared" si="745"/>
        <v>0</v>
      </c>
      <c r="P9108" s="903">
        <f t="shared" si="746"/>
        <v>1</v>
      </c>
      <c r="Q9108" s="893">
        <f t="shared" si="747"/>
        <v>8</v>
      </c>
      <c r="R9108" s="894">
        <f t="shared" si="748"/>
        <v>0</v>
      </c>
    </row>
    <row r="9109" spans="1:18" s="904" customFormat="1">
      <c r="A9109" s="905"/>
      <c r="B9109" s="952"/>
      <c r="C9109" s="907">
        <v>235</v>
      </c>
      <c r="D9109" s="907" t="s">
        <v>279</v>
      </c>
      <c r="E9109" s="992" t="s">
        <v>2682</v>
      </c>
      <c r="F9109" s="905" t="s">
        <v>45</v>
      </c>
      <c r="G9109" s="1005"/>
      <c r="H9109" s="911">
        <v>0.3</v>
      </c>
      <c r="I9109" s="912">
        <f>VLOOKUP(E9109,[3]VLP!$B$7:$K$300,10,0)</f>
        <v>5000</v>
      </c>
      <c r="J9109" s="912">
        <f>I9109*H9109</f>
        <v>1500</v>
      </c>
      <c r="K9109" s="912" t="s">
        <v>274</v>
      </c>
      <c r="L9109" s="912"/>
      <c r="M9109" s="912"/>
      <c r="N9109" s="912"/>
      <c r="O9109" s="892">
        <f t="shared" si="745"/>
        <v>0</v>
      </c>
      <c r="P9109" s="903">
        <f t="shared" si="746"/>
        <v>1</v>
      </c>
      <c r="Q9109" s="893">
        <f t="shared" si="747"/>
        <v>7</v>
      </c>
      <c r="R9109" s="894">
        <f t="shared" si="748"/>
        <v>0</v>
      </c>
    </row>
    <row r="9110" spans="1:18">
      <c r="A9110" s="905"/>
      <c r="B9110" s="952"/>
      <c r="C9110" s="907">
        <v>699</v>
      </c>
      <c r="D9110" s="907" t="s">
        <v>279</v>
      </c>
      <c r="E9110" s="992" t="s">
        <v>4006</v>
      </c>
      <c r="F9110" s="905" t="s">
        <v>4007</v>
      </c>
      <c r="G9110" s="1005"/>
      <c r="H9110" s="911">
        <v>10</v>
      </c>
      <c r="I9110" s="912">
        <f>VLOOKUP(E9110,[3]VLP!$B$7:$K$300,10,0)</f>
        <v>5000</v>
      </c>
      <c r="J9110" s="912">
        <f>I9110*H9110</f>
        <v>50000</v>
      </c>
      <c r="K9110" s="912" t="s">
        <v>274</v>
      </c>
      <c r="L9110" s="912"/>
      <c r="M9110" s="912"/>
      <c r="N9110" s="912"/>
      <c r="O9110" s="892">
        <f t="shared" si="745"/>
        <v>0</v>
      </c>
      <c r="P9110" s="903">
        <f t="shared" si="746"/>
        <v>1</v>
      </c>
      <c r="Q9110" s="893">
        <f t="shared" si="747"/>
        <v>6</v>
      </c>
      <c r="R9110" s="894">
        <f t="shared" si="748"/>
        <v>0</v>
      </c>
    </row>
    <row r="9111" spans="1:18" s="847" customFormat="1">
      <c r="A9111" s="895"/>
      <c r="B9111" s="896"/>
      <c r="C9111" s="897"/>
      <c r="D9111" s="897"/>
      <c r="E9111" s="1002" t="s">
        <v>276</v>
      </c>
      <c r="F9111" s="1003"/>
      <c r="G9111" s="1004"/>
      <c r="H9111" s="901"/>
      <c r="I9111" s="902"/>
      <c r="J9111" s="902"/>
      <c r="K9111" s="912" t="s">
        <v>274</v>
      </c>
      <c r="L9111" s="902"/>
      <c r="M9111" s="902"/>
      <c r="N9111" s="902"/>
      <c r="O9111" s="892">
        <f t="shared" si="745"/>
        <v>0</v>
      </c>
      <c r="P9111" s="903">
        <f t="shared" si="746"/>
        <v>1</v>
      </c>
      <c r="Q9111" s="893">
        <f t="shared" si="747"/>
        <v>5</v>
      </c>
      <c r="R9111" s="894">
        <f t="shared" si="748"/>
        <v>0</v>
      </c>
    </row>
    <row r="9112" spans="1:18" s="904" customFormat="1">
      <c r="A9112" s="905"/>
      <c r="B9112" s="952"/>
      <c r="C9112" s="907">
        <v>740</v>
      </c>
      <c r="D9112" s="907" t="s">
        <v>12</v>
      </c>
      <c r="E9112" s="992" t="s">
        <v>4008</v>
      </c>
      <c r="F9112" s="905" t="s">
        <v>2674</v>
      </c>
      <c r="G9112" s="1005"/>
      <c r="H9112" s="911">
        <v>6.2</v>
      </c>
      <c r="I9112" s="912"/>
      <c r="J9112" s="912"/>
      <c r="K9112" s="912">
        <f>VLOOKUP(E9112,[5]ĐMNC!$A$7:$F$67,4,0)</f>
        <v>221125</v>
      </c>
      <c r="L9112" s="912">
        <f>H9112*K9112</f>
        <v>1370975</v>
      </c>
      <c r="M9112" s="912"/>
      <c r="N9112" s="912"/>
      <c r="O9112" s="892">
        <f t="shared" si="745"/>
        <v>0</v>
      </c>
      <c r="P9112" s="903">
        <f t="shared" si="746"/>
        <v>1</v>
      </c>
      <c r="Q9112" s="893">
        <f t="shared" si="747"/>
        <v>4</v>
      </c>
      <c r="R9112" s="894">
        <f t="shared" si="748"/>
        <v>0</v>
      </c>
    </row>
    <row r="9113" spans="1:18">
      <c r="A9113" s="895"/>
      <c r="B9113" s="896"/>
      <c r="C9113" s="897"/>
      <c r="D9113" s="897"/>
      <c r="E9113" s="1002" t="s">
        <v>3914</v>
      </c>
      <c r="F9113" s="895"/>
      <c r="G9113" s="1004"/>
      <c r="H9113" s="901"/>
      <c r="I9113" s="902"/>
      <c r="J9113" s="902"/>
      <c r="K9113" s="912" t="s">
        <v>274</v>
      </c>
      <c r="L9113" s="902"/>
      <c r="M9113" s="902"/>
      <c r="N9113" s="902"/>
      <c r="O9113" s="892">
        <f t="shared" si="745"/>
        <v>0</v>
      </c>
      <c r="P9113" s="903">
        <f t="shared" si="746"/>
        <v>1</v>
      </c>
      <c r="Q9113" s="893">
        <f t="shared" si="747"/>
        <v>3</v>
      </c>
      <c r="R9113" s="894">
        <f t="shared" si="748"/>
        <v>0</v>
      </c>
    </row>
    <row r="9114" spans="1:18" s="847" customFormat="1">
      <c r="A9114" s="905"/>
      <c r="B9114" s="952" t="s">
        <v>6424</v>
      </c>
      <c r="C9114" s="907">
        <v>911</v>
      </c>
      <c r="D9114" s="907" t="s">
        <v>93</v>
      </c>
      <c r="E9114" s="992" t="s">
        <v>6425</v>
      </c>
      <c r="F9114" s="905" t="s">
        <v>2673</v>
      </c>
      <c r="G9114" s="1005"/>
      <c r="H9114" s="911">
        <v>0.98</v>
      </c>
      <c r="I9114" s="912"/>
      <c r="J9114" s="912"/>
      <c r="K9114" s="912"/>
      <c r="L9114" s="912"/>
      <c r="M9114" s="912">
        <f>VLOOKUP(B9114,MTC!$B$9:$S$933,12,0)</f>
        <v>0</v>
      </c>
      <c r="N9114" s="912">
        <f>M9114*H9114</f>
        <v>0</v>
      </c>
      <c r="O9114" s="892">
        <f t="shared" si="745"/>
        <v>0</v>
      </c>
      <c r="P9114" s="903">
        <f t="shared" si="746"/>
        <v>1</v>
      </c>
      <c r="Q9114" s="893">
        <f t="shared" si="747"/>
        <v>2</v>
      </c>
      <c r="R9114" s="894">
        <f t="shared" si="748"/>
        <v>0</v>
      </c>
    </row>
    <row r="9115" spans="1:18" s="904" customFormat="1">
      <c r="A9115" s="905"/>
      <c r="B9115" s="952" t="s">
        <v>6414</v>
      </c>
      <c r="C9115" s="907">
        <v>914</v>
      </c>
      <c r="D9115" s="907" t="s">
        <v>93</v>
      </c>
      <c r="E9115" s="992" t="s">
        <v>6415</v>
      </c>
      <c r="F9115" s="905" t="s">
        <v>2673</v>
      </c>
      <c r="G9115" s="1005"/>
      <c r="H9115" s="911">
        <v>0.1</v>
      </c>
      <c r="I9115" s="912"/>
      <c r="J9115" s="912"/>
      <c r="K9115" s="912"/>
      <c r="L9115" s="912"/>
      <c r="M9115" s="912">
        <f>VLOOKUP(B9115,MTC!$B$9:$S$933,12,0)</f>
        <v>0</v>
      </c>
      <c r="N9115" s="912">
        <f>M9115*H9115</f>
        <v>0</v>
      </c>
      <c r="O9115" s="892">
        <f t="shared" si="745"/>
        <v>0</v>
      </c>
      <c r="P9115" s="903">
        <f t="shared" si="746"/>
        <v>1</v>
      </c>
      <c r="Q9115" s="893">
        <f t="shared" si="747"/>
        <v>1</v>
      </c>
      <c r="R9115" s="894">
        <f t="shared" si="748"/>
        <v>0</v>
      </c>
    </row>
    <row r="9116" spans="1:18" ht="47.25">
      <c r="A9116" s="905" t="s">
        <v>6405</v>
      </c>
      <c r="B9116" s="914" t="s">
        <v>6432</v>
      </c>
      <c r="C9116" s="915"/>
      <c r="D9116" s="915"/>
      <c r="E9116" s="1006" t="s">
        <v>6433</v>
      </c>
      <c r="F9116" s="1007" t="s">
        <v>136</v>
      </c>
      <c r="G9116" s="1008"/>
      <c r="H9116" s="919"/>
      <c r="I9116" s="920"/>
      <c r="J9116" s="962">
        <f>SUM(J9117:J9125)</f>
        <v>55500</v>
      </c>
      <c r="K9116" s="891" t="s">
        <v>274</v>
      </c>
      <c r="L9116" s="962">
        <f>SUM(L9117:L9125)</f>
        <v>663375</v>
      </c>
      <c r="M9116" s="962"/>
      <c r="N9116" s="962">
        <f>SUM(N9117:N9125)</f>
        <v>0</v>
      </c>
      <c r="O9116" s="892">
        <f t="shared" si="745"/>
        <v>1</v>
      </c>
      <c r="P9116" s="903">
        <f t="shared" si="746"/>
        <v>0</v>
      </c>
      <c r="Q9116" s="893">
        <f t="shared" si="747"/>
        <v>0</v>
      </c>
      <c r="R9116" s="894">
        <f t="shared" si="748"/>
        <v>9</v>
      </c>
    </row>
    <row r="9117" spans="1:18" s="847" customFormat="1">
      <c r="A9117" s="895"/>
      <c r="B9117" s="922"/>
      <c r="C9117" s="897"/>
      <c r="D9117" s="897"/>
      <c r="E9117" s="1002" t="s">
        <v>108</v>
      </c>
      <c r="F9117" s="895"/>
      <c r="G9117" s="1004"/>
      <c r="H9117" s="901"/>
      <c r="I9117" s="902"/>
      <c r="J9117" s="902"/>
      <c r="K9117" s="912" t="s">
        <v>274</v>
      </c>
      <c r="L9117" s="902"/>
      <c r="M9117" s="902"/>
      <c r="N9117" s="902"/>
      <c r="O9117" s="892">
        <f t="shared" si="745"/>
        <v>0</v>
      </c>
      <c r="P9117" s="903">
        <f t="shared" si="746"/>
        <v>1</v>
      </c>
      <c r="Q9117" s="893">
        <f t="shared" si="747"/>
        <v>9</v>
      </c>
      <c r="R9117" s="894">
        <f t="shared" si="748"/>
        <v>0</v>
      </c>
    </row>
    <row r="9118" spans="1:18" s="904" customFormat="1">
      <c r="A9118" s="905"/>
      <c r="B9118" s="952"/>
      <c r="C9118" s="907">
        <v>315</v>
      </c>
      <c r="D9118" s="907" t="s">
        <v>279</v>
      </c>
      <c r="E9118" s="992" t="s">
        <v>6316</v>
      </c>
      <c r="F9118" s="905" t="s">
        <v>49</v>
      </c>
      <c r="G9118" s="1005"/>
      <c r="H9118" s="911">
        <v>0.5</v>
      </c>
      <c r="I9118" s="912">
        <f>VLOOKUP(E9118,[3]VLP!$B$7:$K$300,10,0)</f>
        <v>8000</v>
      </c>
      <c r="J9118" s="912">
        <f>I9118*H9118</f>
        <v>4000</v>
      </c>
      <c r="K9118" s="912" t="s">
        <v>274</v>
      </c>
      <c r="L9118" s="912"/>
      <c r="M9118" s="912"/>
      <c r="N9118" s="912"/>
      <c r="O9118" s="892">
        <f t="shared" si="745"/>
        <v>0</v>
      </c>
      <c r="P9118" s="903">
        <f t="shared" si="746"/>
        <v>1</v>
      </c>
      <c r="Q9118" s="893">
        <f t="shared" si="747"/>
        <v>8</v>
      </c>
      <c r="R9118" s="894">
        <f t="shared" si="748"/>
        <v>0</v>
      </c>
    </row>
    <row r="9119" spans="1:18">
      <c r="A9119" s="905"/>
      <c r="B9119" s="952"/>
      <c r="C9119" s="907">
        <v>235</v>
      </c>
      <c r="D9119" s="907" t="s">
        <v>279</v>
      </c>
      <c r="E9119" s="992" t="s">
        <v>2682</v>
      </c>
      <c r="F9119" s="905" t="s">
        <v>45</v>
      </c>
      <c r="G9119" s="1005"/>
      <c r="H9119" s="911">
        <v>0.3</v>
      </c>
      <c r="I9119" s="912">
        <f>VLOOKUP(E9119,[3]VLP!$B$7:$K$300,10,0)</f>
        <v>5000</v>
      </c>
      <c r="J9119" s="912">
        <f>I9119*H9119</f>
        <v>1500</v>
      </c>
      <c r="K9119" s="912" t="s">
        <v>274</v>
      </c>
      <c r="L9119" s="912"/>
      <c r="M9119" s="912"/>
      <c r="N9119" s="912"/>
      <c r="O9119" s="892">
        <f t="shared" ref="O9119:O9182" si="749">IF(AND(B9119&lt;&gt;"",D9119=""),1,0)</f>
        <v>0</v>
      </c>
      <c r="P9119" s="903">
        <f t="shared" si="746"/>
        <v>1</v>
      </c>
      <c r="Q9119" s="893">
        <f t="shared" si="747"/>
        <v>7</v>
      </c>
      <c r="R9119" s="894">
        <f t="shared" si="748"/>
        <v>0</v>
      </c>
    </row>
    <row r="9120" spans="1:18" s="847" customFormat="1">
      <c r="A9120" s="905"/>
      <c r="B9120" s="952"/>
      <c r="C9120" s="907">
        <v>699</v>
      </c>
      <c r="D9120" s="907" t="s">
        <v>279</v>
      </c>
      <c r="E9120" s="992" t="s">
        <v>4006</v>
      </c>
      <c r="F9120" s="905" t="s">
        <v>4007</v>
      </c>
      <c r="G9120" s="1005"/>
      <c r="H9120" s="911">
        <v>10</v>
      </c>
      <c r="I9120" s="912">
        <f>VLOOKUP(E9120,[3]VLP!$B$7:$K$300,10,0)</f>
        <v>5000</v>
      </c>
      <c r="J9120" s="912">
        <f>I9120*H9120</f>
        <v>50000</v>
      </c>
      <c r="K9120" s="912" t="s">
        <v>274</v>
      </c>
      <c r="L9120" s="912"/>
      <c r="M9120" s="912"/>
      <c r="N9120" s="912"/>
      <c r="O9120" s="892">
        <f t="shared" si="749"/>
        <v>0</v>
      </c>
      <c r="P9120" s="903">
        <f t="shared" si="746"/>
        <v>1</v>
      </c>
      <c r="Q9120" s="893">
        <f t="shared" si="747"/>
        <v>6</v>
      </c>
      <c r="R9120" s="894">
        <f t="shared" si="748"/>
        <v>0</v>
      </c>
    </row>
    <row r="9121" spans="1:18" s="904" customFormat="1">
      <c r="A9121" s="895"/>
      <c r="B9121" s="896"/>
      <c r="C9121" s="897"/>
      <c r="D9121" s="897"/>
      <c r="E9121" s="1002" t="s">
        <v>276</v>
      </c>
      <c r="F9121" s="1003"/>
      <c r="G9121" s="1004"/>
      <c r="H9121" s="901"/>
      <c r="I9121" s="902"/>
      <c r="J9121" s="902"/>
      <c r="K9121" s="912" t="s">
        <v>274</v>
      </c>
      <c r="L9121" s="902"/>
      <c r="M9121" s="902"/>
      <c r="N9121" s="902"/>
      <c r="O9121" s="892">
        <f t="shared" si="749"/>
        <v>0</v>
      </c>
      <c r="P9121" s="903">
        <f t="shared" si="746"/>
        <v>1</v>
      </c>
      <c r="Q9121" s="893">
        <f t="shared" si="747"/>
        <v>5</v>
      </c>
      <c r="R9121" s="894">
        <f t="shared" si="748"/>
        <v>0</v>
      </c>
    </row>
    <row r="9122" spans="1:18">
      <c r="A9122" s="905"/>
      <c r="B9122" s="952"/>
      <c r="C9122" s="907">
        <v>740</v>
      </c>
      <c r="D9122" s="907" t="s">
        <v>12</v>
      </c>
      <c r="E9122" s="992" t="s">
        <v>4008</v>
      </c>
      <c r="F9122" s="905" t="s">
        <v>2674</v>
      </c>
      <c r="G9122" s="1005"/>
      <c r="H9122" s="911">
        <v>3</v>
      </c>
      <c r="I9122" s="912"/>
      <c r="J9122" s="912"/>
      <c r="K9122" s="912">
        <f>VLOOKUP(E9122,[5]ĐMNC!$A$7:$F$67,4,0)</f>
        <v>221125</v>
      </c>
      <c r="L9122" s="912">
        <f>H9122*K9122</f>
        <v>663375</v>
      </c>
      <c r="M9122" s="912"/>
      <c r="N9122" s="912"/>
      <c r="O9122" s="892">
        <f t="shared" si="749"/>
        <v>0</v>
      </c>
      <c r="P9122" s="903">
        <f t="shared" si="746"/>
        <v>1</v>
      </c>
      <c r="Q9122" s="893">
        <f t="shared" si="747"/>
        <v>4</v>
      </c>
      <c r="R9122" s="894">
        <f t="shared" si="748"/>
        <v>0</v>
      </c>
    </row>
    <row r="9123" spans="1:18" s="847" customFormat="1">
      <c r="A9123" s="895"/>
      <c r="B9123" s="896"/>
      <c r="C9123" s="897"/>
      <c r="D9123" s="897"/>
      <c r="E9123" s="1002" t="s">
        <v>3914</v>
      </c>
      <c r="F9123" s="895"/>
      <c r="G9123" s="1004"/>
      <c r="H9123" s="901"/>
      <c r="I9123" s="902"/>
      <c r="J9123" s="902"/>
      <c r="K9123" s="912" t="s">
        <v>274</v>
      </c>
      <c r="L9123" s="902"/>
      <c r="M9123" s="902"/>
      <c r="N9123" s="902"/>
      <c r="O9123" s="892">
        <f t="shared" si="749"/>
        <v>0</v>
      </c>
      <c r="P9123" s="903">
        <f t="shared" si="746"/>
        <v>1</v>
      </c>
      <c r="Q9123" s="893">
        <f t="shared" si="747"/>
        <v>3</v>
      </c>
      <c r="R9123" s="894">
        <f t="shared" si="748"/>
        <v>0</v>
      </c>
    </row>
    <row r="9124" spans="1:18" s="904" customFormat="1">
      <c r="A9124" s="905"/>
      <c r="B9124" s="952" t="s">
        <v>6434</v>
      </c>
      <c r="C9124" s="907">
        <v>912</v>
      </c>
      <c r="D9124" s="907" t="s">
        <v>93</v>
      </c>
      <c r="E9124" s="992" t="s">
        <v>6435</v>
      </c>
      <c r="F9124" s="905" t="s">
        <v>2673</v>
      </c>
      <c r="G9124" s="1005"/>
      <c r="H9124" s="911">
        <v>0.26800000000000002</v>
      </c>
      <c r="I9124" s="912"/>
      <c r="J9124" s="912"/>
      <c r="K9124" s="912"/>
      <c r="L9124" s="912"/>
      <c r="M9124" s="912">
        <f>VLOOKUP(B9124,MTC!$B$9:$S$933,12,0)</f>
        <v>0</v>
      </c>
      <c r="N9124" s="912">
        <f>M9124*H9124</f>
        <v>0</v>
      </c>
      <c r="O9124" s="892">
        <f t="shared" si="749"/>
        <v>0</v>
      </c>
      <c r="P9124" s="903">
        <f t="shared" si="746"/>
        <v>1</v>
      </c>
      <c r="Q9124" s="893">
        <f t="shared" si="747"/>
        <v>2</v>
      </c>
      <c r="R9124" s="894">
        <f t="shared" si="748"/>
        <v>0</v>
      </c>
    </row>
    <row r="9125" spans="1:18">
      <c r="A9125" s="905"/>
      <c r="B9125" s="952" t="s">
        <v>6414</v>
      </c>
      <c r="C9125" s="907">
        <v>914</v>
      </c>
      <c r="D9125" s="907" t="s">
        <v>93</v>
      </c>
      <c r="E9125" s="992" t="s">
        <v>6415</v>
      </c>
      <c r="F9125" s="905" t="s">
        <v>2673</v>
      </c>
      <c r="G9125" s="1005"/>
      <c r="H9125" s="911">
        <v>0.1</v>
      </c>
      <c r="I9125" s="912"/>
      <c r="J9125" s="912"/>
      <c r="K9125" s="912"/>
      <c r="L9125" s="912"/>
      <c r="M9125" s="912">
        <f>VLOOKUP(B9125,MTC!$B$9:$S$933,12,0)</f>
        <v>0</v>
      </c>
      <c r="N9125" s="912">
        <f>M9125*H9125</f>
        <v>0</v>
      </c>
      <c r="O9125" s="892">
        <f t="shared" si="749"/>
        <v>0</v>
      </c>
      <c r="P9125" s="903">
        <f t="shared" si="746"/>
        <v>1</v>
      </c>
      <c r="Q9125" s="893">
        <f t="shared" si="747"/>
        <v>1</v>
      </c>
      <c r="R9125" s="894">
        <f t="shared" si="748"/>
        <v>0</v>
      </c>
    </row>
    <row r="9126" spans="1:18" s="847" customFormat="1" ht="47.25">
      <c r="A9126" s="905">
        <v>45</v>
      </c>
      <c r="B9126" s="914" t="s">
        <v>6436</v>
      </c>
      <c r="C9126" s="915"/>
      <c r="D9126" s="915"/>
      <c r="E9126" s="1006" t="s">
        <v>6437</v>
      </c>
      <c r="F9126" s="1007" t="s">
        <v>136</v>
      </c>
      <c r="G9126" s="1008"/>
      <c r="H9126" s="919"/>
      <c r="I9126" s="920"/>
      <c r="J9126" s="962">
        <f>SUM(J9127:J9135)</f>
        <v>55500</v>
      </c>
      <c r="K9126" s="891" t="s">
        <v>274</v>
      </c>
      <c r="L9126" s="962">
        <f>SUM(L9127:L9135)</f>
        <v>729712.5</v>
      </c>
      <c r="M9126" s="962"/>
      <c r="N9126" s="962">
        <f>SUM(N9127:N9135)</f>
        <v>0</v>
      </c>
      <c r="O9126" s="892">
        <f t="shared" si="749"/>
        <v>1</v>
      </c>
      <c r="P9126" s="903">
        <f t="shared" si="746"/>
        <v>0</v>
      </c>
      <c r="Q9126" s="893">
        <f t="shared" si="747"/>
        <v>0</v>
      </c>
      <c r="R9126" s="894">
        <f t="shared" si="748"/>
        <v>9</v>
      </c>
    </row>
    <row r="9127" spans="1:18" s="904" customFormat="1">
      <c r="A9127" s="895"/>
      <c r="B9127" s="896"/>
      <c r="C9127" s="897"/>
      <c r="D9127" s="897"/>
      <c r="E9127" s="1002" t="s">
        <v>108</v>
      </c>
      <c r="F9127" s="895"/>
      <c r="G9127" s="1004"/>
      <c r="H9127" s="901"/>
      <c r="I9127" s="902"/>
      <c r="J9127" s="902"/>
      <c r="K9127" s="912" t="s">
        <v>274</v>
      </c>
      <c r="L9127" s="902"/>
      <c r="M9127" s="902"/>
      <c r="N9127" s="902"/>
      <c r="O9127" s="892">
        <f t="shared" si="749"/>
        <v>0</v>
      </c>
      <c r="P9127" s="903">
        <f t="shared" si="746"/>
        <v>1</v>
      </c>
      <c r="Q9127" s="893">
        <f t="shared" si="747"/>
        <v>9</v>
      </c>
      <c r="R9127" s="894">
        <f t="shared" si="748"/>
        <v>0</v>
      </c>
    </row>
    <row r="9128" spans="1:18">
      <c r="A9128" s="905"/>
      <c r="B9128" s="952"/>
      <c r="C9128" s="907">
        <v>315</v>
      </c>
      <c r="D9128" s="907" t="s">
        <v>279</v>
      </c>
      <c r="E9128" s="992" t="s">
        <v>6316</v>
      </c>
      <c r="F9128" s="905" t="s">
        <v>49</v>
      </c>
      <c r="G9128" s="1005"/>
      <c r="H9128" s="911">
        <v>0.5</v>
      </c>
      <c r="I9128" s="912">
        <f>VLOOKUP(E9128,[3]VLP!$B$7:$K$300,10,0)</f>
        <v>8000</v>
      </c>
      <c r="J9128" s="912">
        <f>I9128*H9128</f>
        <v>4000</v>
      </c>
      <c r="K9128" s="912" t="s">
        <v>274</v>
      </c>
      <c r="L9128" s="912"/>
      <c r="M9128" s="912"/>
      <c r="N9128" s="912"/>
      <c r="O9128" s="892">
        <f t="shared" si="749"/>
        <v>0</v>
      </c>
      <c r="P9128" s="903">
        <f t="shared" si="746"/>
        <v>1</v>
      </c>
      <c r="Q9128" s="893">
        <f t="shared" si="747"/>
        <v>8</v>
      </c>
      <c r="R9128" s="894">
        <f t="shared" si="748"/>
        <v>0</v>
      </c>
    </row>
    <row r="9129" spans="1:18" s="847" customFormat="1">
      <c r="A9129" s="905"/>
      <c r="B9129" s="952"/>
      <c r="C9129" s="907">
        <v>235</v>
      </c>
      <c r="D9129" s="907" t="s">
        <v>279</v>
      </c>
      <c r="E9129" s="992" t="s">
        <v>2682</v>
      </c>
      <c r="F9129" s="905" t="s">
        <v>45</v>
      </c>
      <c r="G9129" s="1005"/>
      <c r="H9129" s="911">
        <v>0.3</v>
      </c>
      <c r="I9129" s="912">
        <f>VLOOKUP(E9129,[3]VLP!$B$7:$K$300,10,0)</f>
        <v>5000</v>
      </c>
      <c r="J9129" s="912">
        <f>I9129*H9129</f>
        <v>1500</v>
      </c>
      <c r="K9129" s="912" t="s">
        <v>274</v>
      </c>
      <c r="L9129" s="912"/>
      <c r="M9129" s="912"/>
      <c r="N9129" s="912"/>
      <c r="O9129" s="892">
        <f t="shared" si="749"/>
        <v>0</v>
      </c>
      <c r="P9129" s="903">
        <f t="shared" si="746"/>
        <v>1</v>
      </c>
      <c r="Q9129" s="893">
        <f t="shared" si="747"/>
        <v>7</v>
      </c>
      <c r="R9129" s="894">
        <f t="shared" si="748"/>
        <v>0</v>
      </c>
    </row>
    <row r="9130" spans="1:18" s="904" customFormat="1">
      <c r="A9130" s="905"/>
      <c r="B9130" s="952"/>
      <c r="C9130" s="907">
        <v>699</v>
      </c>
      <c r="D9130" s="907" t="s">
        <v>279</v>
      </c>
      <c r="E9130" s="992" t="s">
        <v>4006</v>
      </c>
      <c r="F9130" s="905" t="s">
        <v>4007</v>
      </c>
      <c r="G9130" s="1005"/>
      <c r="H9130" s="911">
        <v>10</v>
      </c>
      <c r="I9130" s="912">
        <f>VLOOKUP(E9130,[3]VLP!$B$7:$K$300,10,0)</f>
        <v>5000</v>
      </c>
      <c r="J9130" s="912">
        <f>I9130*H9130</f>
        <v>50000</v>
      </c>
      <c r="K9130" s="912" t="s">
        <v>274</v>
      </c>
      <c r="L9130" s="912"/>
      <c r="M9130" s="912"/>
      <c r="N9130" s="912"/>
      <c r="O9130" s="892">
        <f t="shared" si="749"/>
        <v>0</v>
      </c>
      <c r="P9130" s="903">
        <f t="shared" si="746"/>
        <v>1</v>
      </c>
      <c r="Q9130" s="893">
        <f t="shared" si="747"/>
        <v>6</v>
      </c>
      <c r="R9130" s="894">
        <f t="shared" si="748"/>
        <v>0</v>
      </c>
    </row>
    <row r="9131" spans="1:18">
      <c r="A9131" s="895"/>
      <c r="B9131" s="896"/>
      <c r="C9131" s="897"/>
      <c r="D9131" s="897"/>
      <c r="E9131" s="1002" t="s">
        <v>276</v>
      </c>
      <c r="F9131" s="1003"/>
      <c r="G9131" s="1004"/>
      <c r="H9131" s="901"/>
      <c r="I9131" s="902"/>
      <c r="J9131" s="902"/>
      <c r="K9131" s="912" t="s">
        <v>274</v>
      </c>
      <c r="L9131" s="902"/>
      <c r="M9131" s="902"/>
      <c r="N9131" s="902"/>
      <c r="O9131" s="892">
        <f t="shared" si="749"/>
        <v>0</v>
      </c>
      <c r="P9131" s="903">
        <f t="shared" si="746"/>
        <v>1</v>
      </c>
      <c r="Q9131" s="893">
        <f t="shared" si="747"/>
        <v>5</v>
      </c>
      <c r="R9131" s="894">
        <f t="shared" si="748"/>
        <v>0</v>
      </c>
    </row>
    <row r="9132" spans="1:18" s="847" customFormat="1">
      <c r="A9132" s="905"/>
      <c r="B9132" s="952"/>
      <c r="C9132" s="907">
        <v>740</v>
      </c>
      <c r="D9132" s="907" t="s">
        <v>12</v>
      </c>
      <c r="E9132" s="992" t="s">
        <v>4008</v>
      </c>
      <c r="F9132" s="905" t="s">
        <v>2674</v>
      </c>
      <c r="G9132" s="1005"/>
      <c r="H9132" s="911">
        <v>3.3</v>
      </c>
      <c r="I9132" s="912"/>
      <c r="J9132" s="912"/>
      <c r="K9132" s="912">
        <f>VLOOKUP(E9132,[5]ĐMNC!$A$7:$F$67,4,0)</f>
        <v>221125</v>
      </c>
      <c r="L9132" s="912">
        <f>H9132*K9132</f>
        <v>729712.5</v>
      </c>
      <c r="M9132" s="912"/>
      <c r="N9132" s="912"/>
      <c r="O9132" s="892">
        <f t="shared" si="749"/>
        <v>0</v>
      </c>
      <c r="P9132" s="903">
        <f t="shared" si="746"/>
        <v>1</v>
      </c>
      <c r="Q9132" s="893">
        <f t="shared" si="747"/>
        <v>4</v>
      </c>
      <c r="R9132" s="894">
        <f t="shared" si="748"/>
        <v>0</v>
      </c>
    </row>
    <row r="9133" spans="1:18" s="904" customFormat="1">
      <c r="A9133" s="895"/>
      <c r="B9133" s="896"/>
      <c r="C9133" s="897"/>
      <c r="D9133" s="897"/>
      <c r="E9133" s="1002" t="s">
        <v>3914</v>
      </c>
      <c r="F9133" s="895"/>
      <c r="G9133" s="1004"/>
      <c r="H9133" s="901"/>
      <c r="I9133" s="902"/>
      <c r="J9133" s="902"/>
      <c r="K9133" s="912" t="s">
        <v>274</v>
      </c>
      <c r="L9133" s="902"/>
      <c r="M9133" s="902"/>
      <c r="N9133" s="902"/>
      <c r="O9133" s="892">
        <f t="shared" si="749"/>
        <v>0</v>
      </c>
      <c r="P9133" s="903">
        <f t="shared" si="746"/>
        <v>1</v>
      </c>
      <c r="Q9133" s="893">
        <f t="shared" si="747"/>
        <v>3</v>
      </c>
      <c r="R9133" s="894">
        <f t="shared" si="748"/>
        <v>0</v>
      </c>
    </row>
    <row r="9134" spans="1:18">
      <c r="A9134" s="905"/>
      <c r="B9134" s="952" t="s">
        <v>6434</v>
      </c>
      <c r="C9134" s="907">
        <v>912</v>
      </c>
      <c r="D9134" s="907" t="s">
        <v>93</v>
      </c>
      <c r="E9134" s="992" t="s">
        <v>6435</v>
      </c>
      <c r="F9134" s="905" t="s">
        <v>2673</v>
      </c>
      <c r="G9134" s="1005"/>
      <c r="H9134" s="911">
        <v>0.32100000000000001</v>
      </c>
      <c r="I9134" s="912"/>
      <c r="J9134" s="912"/>
      <c r="K9134" s="912"/>
      <c r="L9134" s="912"/>
      <c r="M9134" s="912">
        <f>VLOOKUP(B9134,MTC!$B$9:$S$933,12,0)</f>
        <v>0</v>
      </c>
      <c r="N9134" s="912">
        <f>M9134*H9134</f>
        <v>0</v>
      </c>
      <c r="O9134" s="892">
        <f t="shared" si="749"/>
        <v>0</v>
      </c>
      <c r="P9134" s="903">
        <f t="shared" si="746"/>
        <v>1</v>
      </c>
      <c r="Q9134" s="893">
        <f t="shared" si="747"/>
        <v>2</v>
      </c>
      <c r="R9134" s="894">
        <f t="shared" si="748"/>
        <v>0</v>
      </c>
    </row>
    <row r="9135" spans="1:18" s="847" customFormat="1">
      <c r="A9135" s="905"/>
      <c r="B9135" s="952" t="s">
        <v>6414</v>
      </c>
      <c r="C9135" s="907">
        <v>914</v>
      </c>
      <c r="D9135" s="907" t="s">
        <v>93</v>
      </c>
      <c r="E9135" s="992" t="s">
        <v>6415</v>
      </c>
      <c r="F9135" s="905" t="s">
        <v>2673</v>
      </c>
      <c r="G9135" s="1005"/>
      <c r="H9135" s="911">
        <v>0.1</v>
      </c>
      <c r="I9135" s="912"/>
      <c r="J9135" s="912"/>
      <c r="K9135" s="912"/>
      <c r="L9135" s="912"/>
      <c r="M9135" s="912">
        <f>VLOOKUP(B9135,MTC!$B$9:$S$933,12,0)</f>
        <v>0</v>
      </c>
      <c r="N9135" s="912">
        <f>M9135*H9135</f>
        <v>0</v>
      </c>
      <c r="O9135" s="892">
        <f t="shared" si="749"/>
        <v>0</v>
      </c>
      <c r="P9135" s="903">
        <f t="shared" si="746"/>
        <v>1</v>
      </c>
      <c r="Q9135" s="893">
        <f t="shared" si="747"/>
        <v>1</v>
      </c>
      <c r="R9135" s="894">
        <f t="shared" si="748"/>
        <v>0</v>
      </c>
    </row>
    <row r="9136" spans="1:18" s="904" customFormat="1" ht="47.25">
      <c r="A9136" s="905">
        <v>46</v>
      </c>
      <c r="B9136" s="914" t="s">
        <v>6438</v>
      </c>
      <c r="C9136" s="915"/>
      <c r="D9136" s="915"/>
      <c r="E9136" s="1006" t="s">
        <v>6439</v>
      </c>
      <c r="F9136" s="1007" t="s">
        <v>136</v>
      </c>
      <c r="G9136" s="1008"/>
      <c r="H9136" s="919"/>
      <c r="I9136" s="920"/>
      <c r="J9136" s="962">
        <f>SUM(J9137:J9145)</f>
        <v>55500</v>
      </c>
      <c r="K9136" s="891" t="s">
        <v>274</v>
      </c>
      <c r="L9136" s="962">
        <f>SUM(L9137:L9145)</f>
        <v>1127737.5</v>
      </c>
      <c r="M9136" s="962"/>
      <c r="N9136" s="962">
        <f>SUM(N9137:N9145)</f>
        <v>0</v>
      </c>
      <c r="O9136" s="892">
        <f t="shared" si="749"/>
        <v>1</v>
      </c>
      <c r="P9136" s="903">
        <f t="shared" si="746"/>
        <v>0</v>
      </c>
      <c r="Q9136" s="893">
        <f t="shared" si="747"/>
        <v>0</v>
      </c>
      <c r="R9136" s="894">
        <f t="shared" si="748"/>
        <v>9</v>
      </c>
    </row>
    <row r="9137" spans="1:18">
      <c r="A9137" s="895"/>
      <c r="B9137" s="896"/>
      <c r="C9137" s="897"/>
      <c r="D9137" s="897"/>
      <c r="E9137" s="1002" t="s">
        <v>108</v>
      </c>
      <c r="F9137" s="895"/>
      <c r="G9137" s="1004"/>
      <c r="H9137" s="901"/>
      <c r="I9137" s="902"/>
      <c r="J9137" s="902"/>
      <c r="K9137" s="912" t="s">
        <v>274</v>
      </c>
      <c r="L9137" s="902"/>
      <c r="M9137" s="902"/>
      <c r="N9137" s="902"/>
      <c r="O9137" s="892">
        <f t="shared" si="749"/>
        <v>0</v>
      </c>
      <c r="P9137" s="903">
        <f t="shared" si="746"/>
        <v>1</v>
      </c>
      <c r="Q9137" s="893">
        <f t="shared" si="747"/>
        <v>9</v>
      </c>
      <c r="R9137" s="894">
        <f t="shared" si="748"/>
        <v>0</v>
      </c>
    </row>
    <row r="9138" spans="1:18" s="847" customFormat="1">
      <c r="A9138" s="905"/>
      <c r="B9138" s="952"/>
      <c r="C9138" s="907">
        <v>315</v>
      </c>
      <c r="D9138" s="907" t="s">
        <v>279</v>
      </c>
      <c r="E9138" s="992" t="s">
        <v>6316</v>
      </c>
      <c r="F9138" s="905" t="s">
        <v>49</v>
      </c>
      <c r="G9138" s="1005"/>
      <c r="H9138" s="911">
        <v>0.5</v>
      </c>
      <c r="I9138" s="912">
        <f>VLOOKUP(E9138,[3]VLP!$B$7:$K$300,10,0)</f>
        <v>8000</v>
      </c>
      <c r="J9138" s="912">
        <f>I9138*H9138</f>
        <v>4000</v>
      </c>
      <c r="K9138" s="912" t="s">
        <v>274</v>
      </c>
      <c r="L9138" s="912"/>
      <c r="M9138" s="912"/>
      <c r="N9138" s="912"/>
      <c r="O9138" s="892">
        <f t="shared" si="749"/>
        <v>0</v>
      </c>
      <c r="P9138" s="903">
        <f t="shared" si="746"/>
        <v>1</v>
      </c>
      <c r="Q9138" s="893">
        <f t="shared" si="747"/>
        <v>8</v>
      </c>
      <c r="R9138" s="894">
        <f t="shared" si="748"/>
        <v>0</v>
      </c>
    </row>
    <row r="9139" spans="1:18" s="904" customFormat="1">
      <c r="A9139" s="905"/>
      <c r="B9139" s="952"/>
      <c r="C9139" s="907">
        <v>235</v>
      </c>
      <c r="D9139" s="907" t="s">
        <v>279</v>
      </c>
      <c r="E9139" s="992" t="s">
        <v>2682</v>
      </c>
      <c r="F9139" s="905" t="s">
        <v>45</v>
      </c>
      <c r="G9139" s="1005"/>
      <c r="H9139" s="911">
        <v>0.3</v>
      </c>
      <c r="I9139" s="912">
        <f>VLOOKUP(E9139,[3]VLP!$B$7:$K$300,10,0)</f>
        <v>5000</v>
      </c>
      <c r="J9139" s="912">
        <f>I9139*H9139</f>
        <v>1500</v>
      </c>
      <c r="K9139" s="912" t="s">
        <v>274</v>
      </c>
      <c r="L9139" s="912"/>
      <c r="M9139" s="912"/>
      <c r="N9139" s="912"/>
      <c r="O9139" s="892">
        <f t="shared" si="749"/>
        <v>0</v>
      </c>
      <c r="P9139" s="903">
        <f t="shared" ref="P9139:P9202" si="750">IF(O9139=0,1,0)</f>
        <v>1</v>
      </c>
      <c r="Q9139" s="893">
        <f t="shared" ref="Q9139:Q9202" si="751">IF(P9139=0,0,P9139+Q9140)</f>
        <v>7</v>
      </c>
      <c r="R9139" s="894">
        <f t="shared" ref="R9139:R9202" si="752">IF(Q9139=0,Q9140,0)</f>
        <v>0</v>
      </c>
    </row>
    <row r="9140" spans="1:18">
      <c r="A9140" s="905"/>
      <c r="B9140" s="952"/>
      <c r="C9140" s="907">
        <v>699</v>
      </c>
      <c r="D9140" s="907" t="s">
        <v>279</v>
      </c>
      <c r="E9140" s="992" t="s">
        <v>4006</v>
      </c>
      <c r="F9140" s="905" t="s">
        <v>4007</v>
      </c>
      <c r="G9140" s="1005"/>
      <c r="H9140" s="911">
        <v>10</v>
      </c>
      <c r="I9140" s="912">
        <f>VLOOKUP(E9140,[3]VLP!$B$7:$K$300,10,0)</f>
        <v>5000</v>
      </c>
      <c r="J9140" s="912">
        <f>I9140*H9140</f>
        <v>50000</v>
      </c>
      <c r="K9140" s="912" t="s">
        <v>274</v>
      </c>
      <c r="L9140" s="912"/>
      <c r="M9140" s="912"/>
      <c r="N9140" s="912"/>
      <c r="O9140" s="892">
        <f t="shared" si="749"/>
        <v>0</v>
      </c>
      <c r="P9140" s="903">
        <f t="shared" si="750"/>
        <v>1</v>
      </c>
      <c r="Q9140" s="893">
        <f t="shared" si="751"/>
        <v>6</v>
      </c>
      <c r="R9140" s="894">
        <f t="shared" si="752"/>
        <v>0</v>
      </c>
    </row>
    <row r="9141" spans="1:18" s="847" customFormat="1">
      <c r="A9141" s="895"/>
      <c r="B9141" s="896"/>
      <c r="C9141" s="897"/>
      <c r="D9141" s="897"/>
      <c r="E9141" s="1002" t="s">
        <v>276</v>
      </c>
      <c r="F9141" s="1003"/>
      <c r="G9141" s="1004"/>
      <c r="H9141" s="901"/>
      <c r="I9141" s="902"/>
      <c r="J9141" s="902"/>
      <c r="K9141" s="912" t="s">
        <v>274</v>
      </c>
      <c r="L9141" s="902"/>
      <c r="M9141" s="902"/>
      <c r="N9141" s="902"/>
      <c r="O9141" s="892">
        <f t="shared" si="749"/>
        <v>0</v>
      </c>
      <c r="P9141" s="903">
        <f t="shared" si="750"/>
        <v>1</v>
      </c>
      <c r="Q9141" s="893">
        <f t="shared" si="751"/>
        <v>5</v>
      </c>
      <c r="R9141" s="894">
        <f t="shared" si="752"/>
        <v>0</v>
      </c>
    </row>
    <row r="9142" spans="1:18" s="904" customFormat="1">
      <c r="A9142" s="905"/>
      <c r="B9142" s="952"/>
      <c r="C9142" s="907">
        <v>740</v>
      </c>
      <c r="D9142" s="907" t="s">
        <v>12</v>
      </c>
      <c r="E9142" s="992" t="s">
        <v>4008</v>
      </c>
      <c r="F9142" s="905" t="s">
        <v>2674</v>
      </c>
      <c r="G9142" s="1005"/>
      <c r="H9142" s="911">
        <v>5.0999999999999996</v>
      </c>
      <c r="I9142" s="912"/>
      <c r="J9142" s="912"/>
      <c r="K9142" s="912">
        <f>VLOOKUP(E9142,[5]ĐMNC!$A$7:$F$67,4,0)</f>
        <v>221125</v>
      </c>
      <c r="L9142" s="912">
        <f>H9142*K9142</f>
        <v>1127737.5</v>
      </c>
      <c r="M9142" s="912"/>
      <c r="N9142" s="912"/>
      <c r="O9142" s="892">
        <f t="shared" si="749"/>
        <v>0</v>
      </c>
      <c r="P9142" s="903">
        <f t="shared" si="750"/>
        <v>1</v>
      </c>
      <c r="Q9142" s="893">
        <f t="shared" si="751"/>
        <v>4</v>
      </c>
      <c r="R9142" s="894">
        <f t="shared" si="752"/>
        <v>0</v>
      </c>
    </row>
    <row r="9143" spans="1:18">
      <c r="A9143" s="895"/>
      <c r="B9143" s="896"/>
      <c r="C9143" s="897"/>
      <c r="D9143" s="897"/>
      <c r="E9143" s="1002" t="s">
        <v>3914</v>
      </c>
      <c r="F9143" s="895"/>
      <c r="G9143" s="1004"/>
      <c r="H9143" s="901"/>
      <c r="I9143" s="902"/>
      <c r="J9143" s="902"/>
      <c r="K9143" s="912" t="s">
        <v>274</v>
      </c>
      <c r="L9143" s="902"/>
      <c r="M9143" s="902"/>
      <c r="N9143" s="902"/>
      <c r="O9143" s="892">
        <f t="shared" si="749"/>
        <v>0</v>
      </c>
      <c r="P9143" s="903">
        <f t="shared" si="750"/>
        <v>1</v>
      </c>
      <c r="Q9143" s="893">
        <f t="shared" si="751"/>
        <v>3</v>
      </c>
      <c r="R9143" s="894">
        <f t="shared" si="752"/>
        <v>0</v>
      </c>
    </row>
    <row r="9144" spans="1:18" s="847" customFormat="1">
      <c r="A9144" s="905"/>
      <c r="B9144" s="952" t="s">
        <v>6434</v>
      </c>
      <c r="C9144" s="907">
        <v>912</v>
      </c>
      <c r="D9144" s="907" t="s">
        <v>93</v>
      </c>
      <c r="E9144" s="992" t="s">
        <v>6435</v>
      </c>
      <c r="F9144" s="905" t="s">
        <v>2673</v>
      </c>
      <c r="G9144" s="1005"/>
      <c r="H9144" s="911">
        <v>0.379</v>
      </c>
      <c r="I9144" s="912"/>
      <c r="J9144" s="912"/>
      <c r="K9144" s="912"/>
      <c r="L9144" s="912"/>
      <c r="M9144" s="912">
        <f>VLOOKUP(B9144,MTC!$B$9:$S$933,12,0)</f>
        <v>0</v>
      </c>
      <c r="N9144" s="912">
        <f>M9144*H9144</f>
        <v>0</v>
      </c>
      <c r="O9144" s="892">
        <f t="shared" si="749"/>
        <v>0</v>
      </c>
      <c r="P9144" s="903">
        <f t="shared" si="750"/>
        <v>1</v>
      </c>
      <c r="Q9144" s="893">
        <f t="shared" si="751"/>
        <v>2</v>
      </c>
      <c r="R9144" s="894">
        <f t="shared" si="752"/>
        <v>0</v>
      </c>
    </row>
    <row r="9145" spans="1:18" s="904" customFormat="1">
      <c r="A9145" s="905"/>
      <c r="B9145" s="952" t="s">
        <v>6414</v>
      </c>
      <c r="C9145" s="907">
        <v>914</v>
      </c>
      <c r="D9145" s="907" t="s">
        <v>93</v>
      </c>
      <c r="E9145" s="992" t="s">
        <v>6415</v>
      </c>
      <c r="F9145" s="905" t="s">
        <v>2673</v>
      </c>
      <c r="G9145" s="1005"/>
      <c r="H9145" s="911">
        <v>0.1</v>
      </c>
      <c r="I9145" s="912"/>
      <c r="J9145" s="912"/>
      <c r="K9145" s="912"/>
      <c r="L9145" s="912"/>
      <c r="M9145" s="912">
        <f>VLOOKUP(B9145,MTC!$B$9:$S$933,12,0)</f>
        <v>0</v>
      </c>
      <c r="N9145" s="912">
        <f>M9145*H9145</f>
        <v>0</v>
      </c>
      <c r="O9145" s="892">
        <f t="shared" si="749"/>
        <v>0</v>
      </c>
      <c r="P9145" s="903">
        <f t="shared" si="750"/>
        <v>1</v>
      </c>
      <c r="Q9145" s="893">
        <f t="shared" si="751"/>
        <v>1</v>
      </c>
      <c r="R9145" s="894">
        <f t="shared" si="752"/>
        <v>0</v>
      </c>
    </row>
    <row r="9146" spans="1:18" ht="47.25">
      <c r="A9146" s="905">
        <v>47</v>
      </c>
      <c r="B9146" s="914" t="s">
        <v>6440</v>
      </c>
      <c r="C9146" s="915"/>
      <c r="D9146" s="915"/>
      <c r="E9146" s="1006" t="s">
        <v>6441</v>
      </c>
      <c r="F9146" s="1007" t="s">
        <v>136</v>
      </c>
      <c r="G9146" s="1008"/>
      <c r="H9146" s="919"/>
      <c r="I9146" s="920"/>
      <c r="J9146" s="962">
        <f>SUM(J9147:J9155)</f>
        <v>55500</v>
      </c>
      <c r="K9146" s="891" t="s">
        <v>274</v>
      </c>
      <c r="L9146" s="962">
        <f>SUM(L9147:L9155)</f>
        <v>1370975</v>
      </c>
      <c r="M9146" s="962"/>
      <c r="N9146" s="962">
        <f>SUM(N9147:N9155)</f>
        <v>0</v>
      </c>
      <c r="O9146" s="892">
        <f t="shared" si="749"/>
        <v>1</v>
      </c>
      <c r="P9146" s="903">
        <f t="shared" si="750"/>
        <v>0</v>
      </c>
      <c r="Q9146" s="893">
        <f t="shared" si="751"/>
        <v>0</v>
      </c>
      <c r="R9146" s="894">
        <f t="shared" si="752"/>
        <v>9</v>
      </c>
    </row>
    <row r="9147" spans="1:18" s="847" customFormat="1">
      <c r="A9147" s="895"/>
      <c r="B9147" s="896"/>
      <c r="C9147" s="897"/>
      <c r="D9147" s="897"/>
      <c r="E9147" s="1002" t="s">
        <v>108</v>
      </c>
      <c r="F9147" s="895"/>
      <c r="G9147" s="1004"/>
      <c r="H9147" s="901"/>
      <c r="I9147" s="902"/>
      <c r="J9147" s="902"/>
      <c r="K9147" s="912" t="s">
        <v>274</v>
      </c>
      <c r="L9147" s="902"/>
      <c r="M9147" s="902"/>
      <c r="N9147" s="902"/>
      <c r="O9147" s="892">
        <f t="shared" si="749"/>
        <v>0</v>
      </c>
      <c r="P9147" s="903">
        <f t="shared" si="750"/>
        <v>1</v>
      </c>
      <c r="Q9147" s="893">
        <f t="shared" si="751"/>
        <v>9</v>
      </c>
      <c r="R9147" s="894">
        <f t="shared" si="752"/>
        <v>0</v>
      </c>
    </row>
    <row r="9148" spans="1:18" s="904" customFormat="1">
      <c r="A9148" s="905"/>
      <c r="B9148" s="952"/>
      <c r="C9148" s="907">
        <v>315</v>
      </c>
      <c r="D9148" s="907" t="s">
        <v>279</v>
      </c>
      <c r="E9148" s="992" t="s">
        <v>6316</v>
      </c>
      <c r="F9148" s="905" t="s">
        <v>49</v>
      </c>
      <c r="G9148" s="1005"/>
      <c r="H9148" s="911">
        <v>0.5</v>
      </c>
      <c r="I9148" s="912">
        <f>VLOOKUP(E9148,[3]VLP!$B$7:$K$300,10,0)</f>
        <v>8000</v>
      </c>
      <c r="J9148" s="912">
        <f>I9148*H9148</f>
        <v>4000</v>
      </c>
      <c r="K9148" s="912" t="s">
        <v>274</v>
      </c>
      <c r="L9148" s="912"/>
      <c r="M9148" s="912"/>
      <c r="N9148" s="912"/>
      <c r="O9148" s="892">
        <f t="shared" si="749"/>
        <v>0</v>
      </c>
      <c r="P9148" s="903">
        <f t="shared" si="750"/>
        <v>1</v>
      </c>
      <c r="Q9148" s="893">
        <f t="shared" si="751"/>
        <v>8</v>
      </c>
      <c r="R9148" s="894">
        <f t="shared" si="752"/>
        <v>0</v>
      </c>
    </row>
    <row r="9149" spans="1:18">
      <c r="A9149" s="905"/>
      <c r="B9149" s="952"/>
      <c r="C9149" s="907">
        <v>235</v>
      </c>
      <c r="D9149" s="907" t="s">
        <v>279</v>
      </c>
      <c r="E9149" s="992" t="s">
        <v>2682</v>
      </c>
      <c r="F9149" s="905" t="s">
        <v>45</v>
      </c>
      <c r="G9149" s="1005"/>
      <c r="H9149" s="911">
        <v>0.3</v>
      </c>
      <c r="I9149" s="912">
        <f>VLOOKUP(E9149,[3]VLP!$B$7:$K$300,10,0)</f>
        <v>5000</v>
      </c>
      <c r="J9149" s="912">
        <f>I9149*H9149</f>
        <v>1500</v>
      </c>
      <c r="K9149" s="912" t="s">
        <v>274</v>
      </c>
      <c r="L9149" s="912"/>
      <c r="M9149" s="912"/>
      <c r="N9149" s="912"/>
      <c r="O9149" s="892">
        <f t="shared" si="749"/>
        <v>0</v>
      </c>
      <c r="P9149" s="903">
        <f t="shared" si="750"/>
        <v>1</v>
      </c>
      <c r="Q9149" s="893">
        <f t="shared" si="751"/>
        <v>7</v>
      </c>
      <c r="R9149" s="894">
        <f t="shared" si="752"/>
        <v>0</v>
      </c>
    </row>
    <row r="9150" spans="1:18" s="847" customFormat="1">
      <c r="A9150" s="905"/>
      <c r="B9150" s="952"/>
      <c r="C9150" s="907">
        <v>699</v>
      </c>
      <c r="D9150" s="907" t="s">
        <v>279</v>
      </c>
      <c r="E9150" s="992" t="s">
        <v>4006</v>
      </c>
      <c r="F9150" s="905" t="s">
        <v>4007</v>
      </c>
      <c r="G9150" s="1005"/>
      <c r="H9150" s="911">
        <v>10</v>
      </c>
      <c r="I9150" s="912">
        <f>VLOOKUP(E9150,[3]VLP!$B$7:$K$300,10,0)</f>
        <v>5000</v>
      </c>
      <c r="J9150" s="912">
        <f>I9150*H9150</f>
        <v>50000</v>
      </c>
      <c r="K9150" s="912" t="s">
        <v>274</v>
      </c>
      <c r="L9150" s="912"/>
      <c r="M9150" s="912"/>
      <c r="N9150" s="912"/>
      <c r="O9150" s="892">
        <f t="shared" si="749"/>
        <v>0</v>
      </c>
      <c r="P9150" s="903">
        <f t="shared" si="750"/>
        <v>1</v>
      </c>
      <c r="Q9150" s="893">
        <f t="shared" si="751"/>
        <v>6</v>
      </c>
      <c r="R9150" s="894">
        <f t="shared" si="752"/>
        <v>0</v>
      </c>
    </row>
    <row r="9151" spans="1:18" s="904" customFormat="1">
      <c r="A9151" s="895"/>
      <c r="B9151" s="896"/>
      <c r="C9151" s="897"/>
      <c r="D9151" s="897"/>
      <c r="E9151" s="1002" t="s">
        <v>276</v>
      </c>
      <c r="F9151" s="1003"/>
      <c r="G9151" s="1004"/>
      <c r="H9151" s="901"/>
      <c r="I9151" s="902"/>
      <c r="J9151" s="902"/>
      <c r="K9151" s="912" t="s">
        <v>274</v>
      </c>
      <c r="L9151" s="902"/>
      <c r="M9151" s="902"/>
      <c r="N9151" s="902"/>
      <c r="O9151" s="892">
        <f t="shared" si="749"/>
        <v>0</v>
      </c>
      <c r="P9151" s="903">
        <f t="shared" si="750"/>
        <v>1</v>
      </c>
      <c r="Q9151" s="893">
        <f t="shared" si="751"/>
        <v>5</v>
      </c>
      <c r="R9151" s="894">
        <f t="shared" si="752"/>
        <v>0</v>
      </c>
    </row>
    <row r="9152" spans="1:18">
      <c r="A9152" s="905"/>
      <c r="B9152" s="952"/>
      <c r="C9152" s="907">
        <v>740</v>
      </c>
      <c r="D9152" s="907" t="s">
        <v>12</v>
      </c>
      <c r="E9152" s="992" t="s">
        <v>4008</v>
      </c>
      <c r="F9152" s="905" t="s">
        <v>2674</v>
      </c>
      <c r="G9152" s="1005"/>
      <c r="H9152" s="911">
        <v>6.2</v>
      </c>
      <c r="I9152" s="912"/>
      <c r="J9152" s="912"/>
      <c r="K9152" s="912">
        <f>VLOOKUP(E9152,[5]ĐMNC!$A$7:$F$67,4,0)</f>
        <v>221125</v>
      </c>
      <c r="L9152" s="912">
        <f>H9152*K9152</f>
        <v>1370975</v>
      </c>
      <c r="M9152" s="912"/>
      <c r="N9152" s="912"/>
      <c r="O9152" s="892">
        <f t="shared" si="749"/>
        <v>0</v>
      </c>
      <c r="P9152" s="903">
        <f t="shared" si="750"/>
        <v>1</v>
      </c>
      <c r="Q9152" s="893">
        <f t="shared" si="751"/>
        <v>4</v>
      </c>
      <c r="R9152" s="894">
        <f t="shared" si="752"/>
        <v>0</v>
      </c>
    </row>
    <row r="9153" spans="1:18" s="847" customFormat="1">
      <c r="A9153" s="895"/>
      <c r="B9153" s="896"/>
      <c r="C9153" s="897"/>
      <c r="D9153" s="897"/>
      <c r="E9153" s="1002" t="s">
        <v>3914</v>
      </c>
      <c r="F9153" s="895"/>
      <c r="G9153" s="1004"/>
      <c r="H9153" s="901"/>
      <c r="I9153" s="902"/>
      <c r="J9153" s="902"/>
      <c r="K9153" s="912" t="s">
        <v>274</v>
      </c>
      <c r="L9153" s="902"/>
      <c r="M9153" s="902"/>
      <c r="N9153" s="902"/>
      <c r="O9153" s="892">
        <f t="shared" si="749"/>
        <v>0</v>
      </c>
      <c r="P9153" s="903">
        <f t="shared" si="750"/>
        <v>1</v>
      </c>
      <c r="Q9153" s="893">
        <f t="shared" si="751"/>
        <v>3</v>
      </c>
      <c r="R9153" s="894">
        <f t="shared" si="752"/>
        <v>0</v>
      </c>
    </row>
    <row r="9154" spans="1:18" s="904" customFormat="1">
      <c r="A9154" s="905"/>
      <c r="B9154" s="952" t="s">
        <v>6434</v>
      </c>
      <c r="C9154" s="907">
        <v>912</v>
      </c>
      <c r="D9154" s="907" t="s">
        <v>93</v>
      </c>
      <c r="E9154" s="992" t="s">
        <v>6435</v>
      </c>
      <c r="F9154" s="905" t="s">
        <v>2673</v>
      </c>
      <c r="G9154" s="1005"/>
      <c r="H9154" s="911">
        <v>0.441</v>
      </c>
      <c r="I9154" s="912"/>
      <c r="J9154" s="912"/>
      <c r="K9154" s="912"/>
      <c r="L9154" s="912"/>
      <c r="M9154" s="912">
        <f>VLOOKUP(B9154,MTC!$B$9:$S$933,12,0)</f>
        <v>0</v>
      </c>
      <c r="N9154" s="912">
        <f>M9154*H9154</f>
        <v>0</v>
      </c>
      <c r="O9154" s="892">
        <f t="shared" si="749"/>
        <v>0</v>
      </c>
      <c r="P9154" s="903">
        <f t="shared" si="750"/>
        <v>1</v>
      </c>
      <c r="Q9154" s="893">
        <f t="shared" si="751"/>
        <v>2</v>
      </c>
      <c r="R9154" s="894">
        <f t="shared" si="752"/>
        <v>0</v>
      </c>
    </row>
    <row r="9155" spans="1:18">
      <c r="A9155" s="905"/>
      <c r="B9155" s="952" t="s">
        <v>6414</v>
      </c>
      <c r="C9155" s="907">
        <v>914</v>
      </c>
      <c r="D9155" s="907" t="s">
        <v>93</v>
      </c>
      <c r="E9155" s="992" t="s">
        <v>6415</v>
      </c>
      <c r="F9155" s="905" t="s">
        <v>2673</v>
      </c>
      <c r="G9155" s="1005"/>
      <c r="H9155" s="911">
        <v>0.1</v>
      </c>
      <c r="I9155" s="912"/>
      <c r="J9155" s="912"/>
      <c r="K9155" s="912"/>
      <c r="L9155" s="912"/>
      <c r="M9155" s="912">
        <f>VLOOKUP(B9155,MTC!$B$9:$S$933,12,0)</f>
        <v>0</v>
      </c>
      <c r="N9155" s="912">
        <f>M9155*H9155</f>
        <v>0</v>
      </c>
      <c r="O9155" s="892">
        <f t="shared" si="749"/>
        <v>0</v>
      </c>
      <c r="P9155" s="903">
        <f t="shared" si="750"/>
        <v>1</v>
      </c>
      <c r="Q9155" s="893">
        <f t="shared" si="751"/>
        <v>1</v>
      </c>
      <c r="R9155" s="894">
        <f t="shared" si="752"/>
        <v>0</v>
      </c>
    </row>
    <row r="9156" spans="1:18" s="847" customFormat="1" ht="31.5">
      <c r="A9156" s="905">
        <v>48</v>
      </c>
      <c r="B9156" s="914" t="s">
        <v>6442</v>
      </c>
      <c r="C9156" s="915"/>
      <c r="D9156" s="915"/>
      <c r="E9156" s="1006" t="s">
        <v>6443</v>
      </c>
      <c r="F9156" s="1007" t="s">
        <v>136</v>
      </c>
      <c r="G9156" s="1008"/>
      <c r="H9156" s="919"/>
      <c r="I9156" s="920"/>
      <c r="J9156" s="891">
        <f>SUM(J9157:J9167)</f>
        <v>55500</v>
      </c>
      <c r="K9156" s="891" t="s">
        <v>274</v>
      </c>
      <c r="L9156" s="891">
        <f>SUM(L9157:L9167)</f>
        <v>442250</v>
      </c>
      <c r="M9156" s="891"/>
      <c r="N9156" s="891">
        <f>SUM(N9157:N9167)</f>
        <v>47446.559999999998</v>
      </c>
      <c r="O9156" s="892">
        <f t="shared" si="749"/>
        <v>1</v>
      </c>
      <c r="P9156" s="903">
        <f t="shared" si="750"/>
        <v>0</v>
      </c>
      <c r="Q9156" s="893">
        <f t="shared" si="751"/>
        <v>0</v>
      </c>
      <c r="R9156" s="894">
        <f t="shared" si="752"/>
        <v>11</v>
      </c>
    </row>
    <row r="9157" spans="1:18" s="904" customFormat="1">
      <c r="A9157" s="895"/>
      <c r="B9157" s="922"/>
      <c r="C9157" s="897"/>
      <c r="D9157" s="897"/>
      <c r="E9157" s="1002" t="s">
        <v>108</v>
      </c>
      <c r="F9157" s="895"/>
      <c r="G9157" s="1004"/>
      <c r="H9157" s="901"/>
      <c r="I9157" s="902"/>
      <c r="J9157" s="902"/>
      <c r="K9157" s="912" t="s">
        <v>274</v>
      </c>
      <c r="L9157" s="902"/>
      <c r="M9157" s="902"/>
      <c r="N9157" s="902"/>
      <c r="O9157" s="892">
        <f t="shared" si="749"/>
        <v>0</v>
      </c>
      <c r="P9157" s="903">
        <f t="shared" si="750"/>
        <v>1</v>
      </c>
      <c r="Q9157" s="893">
        <f t="shared" si="751"/>
        <v>11</v>
      </c>
      <c r="R9157" s="894">
        <f t="shared" si="752"/>
        <v>0</v>
      </c>
    </row>
    <row r="9158" spans="1:18">
      <c r="A9158" s="905"/>
      <c r="B9158" s="952"/>
      <c r="C9158" s="907">
        <v>315</v>
      </c>
      <c r="D9158" s="907" t="s">
        <v>279</v>
      </c>
      <c r="E9158" s="992" t="s">
        <v>6316</v>
      </c>
      <c r="F9158" s="905" t="s">
        <v>49</v>
      </c>
      <c r="G9158" s="1005"/>
      <c r="H9158" s="911">
        <v>0.5</v>
      </c>
      <c r="I9158" s="912">
        <f>VLOOKUP(E9158,[3]VLP!$B$7:$K$300,10,0)</f>
        <v>8000</v>
      </c>
      <c r="J9158" s="912">
        <f>I9158*H9158</f>
        <v>4000</v>
      </c>
      <c r="K9158" s="912" t="s">
        <v>274</v>
      </c>
      <c r="L9158" s="912"/>
      <c r="M9158" s="912"/>
      <c r="N9158" s="912"/>
      <c r="O9158" s="892">
        <f t="shared" si="749"/>
        <v>0</v>
      </c>
      <c r="P9158" s="903">
        <f t="shared" si="750"/>
        <v>1</v>
      </c>
      <c r="Q9158" s="893">
        <f t="shared" si="751"/>
        <v>10</v>
      </c>
      <c r="R9158" s="894">
        <f t="shared" si="752"/>
        <v>0</v>
      </c>
    </row>
    <row r="9159" spans="1:18" s="847" customFormat="1">
      <c r="A9159" s="905"/>
      <c r="B9159" s="952"/>
      <c r="C9159" s="907">
        <v>235</v>
      </c>
      <c r="D9159" s="907" t="s">
        <v>279</v>
      </c>
      <c r="E9159" s="992" t="s">
        <v>2682</v>
      </c>
      <c r="F9159" s="905" t="s">
        <v>45</v>
      </c>
      <c r="G9159" s="1005"/>
      <c r="H9159" s="911">
        <v>0.3</v>
      </c>
      <c r="I9159" s="912">
        <f>VLOOKUP(E9159,[3]VLP!$B$7:$K$300,10,0)</f>
        <v>5000</v>
      </c>
      <c r="J9159" s="912">
        <f>I9159*H9159</f>
        <v>1500</v>
      </c>
      <c r="K9159" s="912" t="s">
        <v>274</v>
      </c>
      <c r="L9159" s="912"/>
      <c r="M9159" s="912"/>
      <c r="N9159" s="912"/>
      <c r="O9159" s="892">
        <f t="shared" si="749"/>
        <v>0</v>
      </c>
      <c r="P9159" s="903">
        <f t="shared" si="750"/>
        <v>1</v>
      </c>
      <c r="Q9159" s="893">
        <f t="shared" si="751"/>
        <v>9</v>
      </c>
      <c r="R9159" s="894">
        <f t="shared" si="752"/>
        <v>0</v>
      </c>
    </row>
    <row r="9160" spans="1:18" s="904" customFormat="1">
      <c r="A9160" s="905"/>
      <c r="B9160" s="952"/>
      <c r="C9160" s="907">
        <v>699</v>
      </c>
      <c r="D9160" s="907" t="s">
        <v>279</v>
      </c>
      <c r="E9160" s="992" t="s">
        <v>4006</v>
      </c>
      <c r="F9160" s="905" t="s">
        <v>4007</v>
      </c>
      <c r="G9160" s="1005"/>
      <c r="H9160" s="911">
        <v>10</v>
      </c>
      <c r="I9160" s="912">
        <f>VLOOKUP(E9160,[3]VLP!$B$7:$K$300,10,0)</f>
        <v>5000</v>
      </c>
      <c r="J9160" s="912">
        <f>I9160*H9160</f>
        <v>50000</v>
      </c>
      <c r="K9160" s="912" t="s">
        <v>274</v>
      </c>
      <c r="L9160" s="912"/>
      <c r="M9160" s="912"/>
      <c r="N9160" s="912"/>
      <c r="O9160" s="892">
        <f t="shared" si="749"/>
        <v>0</v>
      </c>
      <c r="P9160" s="903">
        <f t="shared" si="750"/>
        <v>1</v>
      </c>
      <c r="Q9160" s="893">
        <f t="shared" si="751"/>
        <v>8</v>
      </c>
      <c r="R9160" s="894">
        <f t="shared" si="752"/>
        <v>0</v>
      </c>
    </row>
    <row r="9161" spans="1:18">
      <c r="A9161" s="895"/>
      <c r="B9161" s="896"/>
      <c r="C9161" s="897"/>
      <c r="D9161" s="897"/>
      <c r="E9161" s="1002" t="s">
        <v>276</v>
      </c>
      <c r="F9161" s="1003"/>
      <c r="G9161" s="1004"/>
      <c r="H9161" s="901"/>
      <c r="I9161" s="902"/>
      <c r="J9161" s="902"/>
      <c r="K9161" s="912" t="s">
        <v>274</v>
      </c>
      <c r="L9161" s="902"/>
      <c r="M9161" s="902"/>
      <c r="N9161" s="902"/>
      <c r="O9161" s="892">
        <f t="shared" si="749"/>
        <v>0</v>
      </c>
      <c r="P9161" s="903">
        <f t="shared" si="750"/>
        <v>1</v>
      </c>
      <c r="Q9161" s="893">
        <f t="shared" si="751"/>
        <v>7</v>
      </c>
      <c r="R9161" s="894">
        <f t="shared" si="752"/>
        <v>0</v>
      </c>
    </row>
    <row r="9162" spans="1:18" s="847" customFormat="1">
      <c r="A9162" s="905"/>
      <c r="B9162" s="952"/>
      <c r="C9162" s="907">
        <v>740</v>
      </c>
      <c r="D9162" s="907" t="s">
        <v>12</v>
      </c>
      <c r="E9162" s="992" t="s">
        <v>4008</v>
      </c>
      <c r="F9162" s="905" t="s">
        <v>2674</v>
      </c>
      <c r="G9162" s="1005"/>
      <c r="H9162" s="911">
        <v>2</v>
      </c>
      <c r="I9162" s="912"/>
      <c r="J9162" s="912"/>
      <c r="K9162" s="912">
        <f>VLOOKUP(E9162,[5]ĐMNC!$A$7:$F$67,4,0)</f>
        <v>221125</v>
      </c>
      <c r="L9162" s="912">
        <f>H9162*K9162</f>
        <v>442250</v>
      </c>
      <c r="M9162" s="912"/>
      <c r="N9162" s="912"/>
      <c r="O9162" s="892">
        <f t="shared" si="749"/>
        <v>0</v>
      </c>
      <c r="P9162" s="903">
        <f t="shared" si="750"/>
        <v>1</v>
      </c>
      <c r="Q9162" s="893">
        <f t="shared" si="751"/>
        <v>6</v>
      </c>
      <c r="R9162" s="894">
        <f t="shared" si="752"/>
        <v>0</v>
      </c>
    </row>
    <row r="9163" spans="1:18" s="904" customFormat="1">
      <c r="A9163" s="895"/>
      <c r="B9163" s="896"/>
      <c r="C9163" s="897"/>
      <c r="D9163" s="897"/>
      <c r="E9163" s="1002" t="s">
        <v>3914</v>
      </c>
      <c r="F9163" s="895"/>
      <c r="G9163" s="1004"/>
      <c r="H9163" s="901"/>
      <c r="I9163" s="902"/>
      <c r="J9163" s="902"/>
      <c r="K9163" s="912" t="s">
        <v>274</v>
      </c>
      <c r="L9163" s="902"/>
      <c r="M9163" s="902"/>
      <c r="N9163" s="902"/>
      <c r="O9163" s="892">
        <f t="shared" si="749"/>
        <v>0</v>
      </c>
      <c r="P9163" s="903">
        <f t="shared" si="750"/>
        <v>1</v>
      </c>
      <c r="Q9163" s="893">
        <f t="shared" si="751"/>
        <v>5</v>
      </c>
      <c r="R9163" s="894">
        <f t="shared" si="752"/>
        <v>0</v>
      </c>
    </row>
    <row r="9164" spans="1:18">
      <c r="A9164" s="905"/>
      <c r="B9164" s="952" t="s">
        <v>6408</v>
      </c>
      <c r="C9164" s="907">
        <v>913</v>
      </c>
      <c r="D9164" s="907" t="s">
        <v>93</v>
      </c>
      <c r="E9164" s="992" t="s">
        <v>6409</v>
      </c>
      <c r="F9164" s="905" t="s">
        <v>2673</v>
      </c>
      <c r="G9164" s="1005"/>
      <c r="H9164" s="911">
        <v>0.56000000000000005</v>
      </c>
      <c r="I9164" s="912"/>
      <c r="J9164" s="912"/>
      <c r="K9164" s="912"/>
      <c r="L9164" s="912"/>
      <c r="M9164" s="912">
        <f>VLOOKUP(B9164,MTC!$B$9:$S$933,12,0)</f>
        <v>0</v>
      </c>
      <c r="N9164" s="912">
        <f>M9164*H9164</f>
        <v>0</v>
      </c>
      <c r="O9164" s="892">
        <f t="shared" si="749"/>
        <v>0</v>
      </c>
      <c r="P9164" s="903">
        <f t="shared" si="750"/>
        <v>1</v>
      </c>
      <c r="Q9164" s="893">
        <f t="shared" si="751"/>
        <v>4</v>
      </c>
      <c r="R9164" s="894">
        <f t="shared" si="752"/>
        <v>0</v>
      </c>
    </row>
    <row r="9165" spans="1:18" s="847" customFormat="1">
      <c r="A9165" s="905"/>
      <c r="B9165" s="952" t="s">
        <v>6410</v>
      </c>
      <c r="C9165" s="907">
        <v>906</v>
      </c>
      <c r="D9165" s="907" t="s">
        <v>93</v>
      </c>
      <c r="E9165" s="992" t="s">
        <v>6411</v>
      </c>
      <c r="F9165" s="905" t="s">
        <v>2673</v>
      </c>
      <c r="G9165" s="1005"/>
      <c r="H9165" s="911">
        <v>0.21</v>
      </c>
      <c r="I9165" s="912"/>
      <c r="J9165" s="912"/>
      <c r="K9165" s="912"/>
      <c r="L9165" s="912"/>
      <c r="M9165" s="912">
        <f>VLOOKUP(B9165,MTC!$B$9:$S$933,12,0)</f>
        <v>0</v>
      </c>
      <c r="N9165" s="912">
        <f>M9165*H9165</f>
        <v>0</v>
      </c>
      <c r="O9165" s="892">
        <f t="shared" si="749"/>
        <v>0</v>
      </c>
      <c r="P9165" s="903">
        <f t="shared" si="750"/>
        <v>1</v>
      </c>
      <c r="Q9165" s="893">
        <f t="shared" si="751"/>
        <v>3</v>
      </c>
      <c r="R9165" s="894">
        <f t="shared" si="752"/>
        <v>0</v>
      </c>
    </row>
    <row r="9166" spans="1:18" s="904" customFormat="1">
      <c r="A9166" s="905"/>
      <c r="B9166" s="952" t="s">
        <v>6412</v>
      </c>
      <c r="C9166" s="907">
        <v>905</v>
      </c>
      <c r="D9166" s="907" t="s">
        <v>93</v>
      </c>
      <c r="E9166" s="992" t="s">
        <v>6413</v>
      </c>
      <c r="F9166" s="905" t="s">
        <v>2673</v>
      </c>
      <c r="G9166" s="1005"/>
      <c r="H9166" s="911">
        <v>0.21</v>
      </c>
      <c r="I9166" s="912"/>
      <c r="J9166" s="912"/>
      <c r="K9166" s="912"/>
      <c r="L9166" s="912"/>
      <c r="M9166" s="912">
        <f>VLOOKUP(B9166,MTC!$B$9:$S$933,12,0)</f>
        <v>225936</v>
      </c>
      <c r="N9166" s="912">
        <f>M9166*H9166</f>
        <v>47446.559999999998</v>
      </c>
      <c r="O9166" s="892">
        <f t="shared" si="749"/>
        <v>0</v>
      </c>
      <c r="P9166" s="903">
        <f t="shared" si="750"/>
        <v>1</v>
      </c>
      <c r="Q9166" s="893">
        <f t="shared" si="751"/>
        <v>2</v>
      </c>
      <c r="R9166" s="894">
        <f t="shared" si="752"/>
        <v>0</v>
      </c>
    </row>
    <row r="9167" spans="1:18">
      <c r="A9167" s="905"/>
      <c r="B9167" s="952" t="s">
        <v>6414</v>
      </c>
      <c r="C9167" s="907">
        <v>914</v>
      </c>
      <c r="D9167" s="907" t="s">
        <v>93</v>
      </c>
      <c r="E9167" s="992" t="s">
        <v>6415</v>
      </c>
      <c r="F9167" s="905" t="s">
        <v>2673</v>
      </c>
      <c r="G9167" s="1005"/>
      <c r="H9167" s="911">
        <v>0.1</v>
      </c>
      <c r="I9167" s="912"/>
      <c r="J9167" s="912"/>
      <c r="K9167" s="912"/>
      <c r="L9167" s="912"/>
      <c r="M9167" s="912">
        <f>VLOOKUP(B9167,MTC!$B$9:$S$933,12,0)</f>
        <v>0</v>
      </c>
      <c r="N9167" s="912">
        <f>M9167*H9167</f>
        <v>0</v>
      </c>
      <c r="O9167" s="892">
        <f t="shared" si="749"/>
        <v>0</v>
      </c>
      <c r="P9167" s="903">
        <f t="shared" si="750"/>
        <v>1</v>
      </c>
      <c r="Q9167" s="893">
        <f t="shared" si="751"/>
        <v>1</v>
      </c>
      <c r="R9167" s="894">
        <f t="shared" si="752"/>
        <v>0</v>
      </c>
    </row>
    <row r="9168" spans="1:18" s="847" customFormat="1" ht="31.5">
      <c r="A9168" s="905">
        <v>49</v>
      </c>
      <c r="B9168" s="914" t="s">
        <v>6444</v>
      </c>
      <c r="C9168" s="915"/>
      <c r="D9168" s="915"/>
      <c r="E9168" s="1006" t="s">
        <v>6445</v>
      </c>
      <c r="F9168" s="1007" t="s">
        <v>136</v>
      </c>
      <c r="G9168" s="1008"/>
      <c r="H9168" s="919"/>
      <c r="I9168" s="920"/>
      <c r="J9168" s="891">
        <f>SUM(J9169:J9179)</f>
        <v>55500</v>
      </c>
      <c r="K9168" s="891" t="s">
        <v>274</v>
      </c>
      <c r="L9168" s="891">
        <f>SUM(L9169:L9179)</f>
        <v>552812.5</v>
      </c>
      <c r="M9168" s="891"/>
      <c r="N9168" s="891">
        <f>SUM(N9169:N9179)</f>
        <v>56484</v>
      </c>
      <c r="O9168" s="892">
        <f t="shared" si="749"/>
        <v>1</v>
      </c>
      <c r="P9168" s="903">
        <f t="shared" si="750"/>
        <v>0</v>
      </c>
      <c r="Q9168" s="893">
        <f t="shared" si="751"/>
        <v>0</v>
      </c>
      <c r="R9168" s="894">
        <f t="shared" si="752"/>
        <v>11</v>
      </c>
    </row>
    <row r="9169" spans="1:18" s="904" customFormat="1">
      <c r="A9169" s="895"/>
      <c r="B9169" s="896"/>
      <c r="C9169" s="897"/>
      <c r="D9169" s="897"/>
      <c r="E9169" s="1002" t="s">
        <v>108</v>
      </c>
      <c r="F9169" s="895"/>
      <c r="G9169" s="1004"/>
      <c r="H9169" s="901"/>
      <c r="I9169" s="902"/>
      <c r="J9169" s="902"/>
      <c r="K9169" s="912" t="s">
        <v>274</v>
      </c>
      <c r="L9169" s="902"/>
      <c r="M9169" s="902"/>
      <c r="N9169" s="902"/>
      <c r="O9169" s="892">
        <f t="shared" si="749"/>
        <v>0</v>
      </c>
      <c r="P9169" s="903">
        <f t="shared" si="750"/>
        <v>1</v>
      </c>
      <c r="Q9169" s="893">
        <f t="shared" si="751"/>
        <v>11</v>
      </c>
      <c r="R9169" s="894">
        <f t="shared" si="752"/>
        <v>0</v>
      </c>
    </row>
    <row r="9170" spans="1:18">
      <c r="A9170" s="905"/>
      <c r="B9170" s="952"/>
      <c r="C9170" s="907">
        <v>315</v>
      </c>
      <c r="D9170" s="907" t="s">
        <v>279</v>
      </c>
      <c r="E9170" s="992" t="s">
        <v>6316</v>
      </c>
      <c r="F9170" s="905" t="s">
        <v>49</v>
      </c>
      <c r="G9170" s="1005"/>
      <c r="H9170" s="911">
        <v>0.5</v>
      </c>
      <c r="I9170" s="912">
        <f>VLOOKUP(E9170,[3]VLP!$B$7:$K$300,10,0)</f>
        <v>8000</v>
      </c>
      <c r="J9170" s="912">
        <f>I9170*H9170</f>
        <v>4000</v>
      </c>
      <c r="K9170" s="912" t="s">
        <v>274</v>
      </c>
      <c r="L9170" s="912"/>
      <c r="M9170" s="912"/>
      <c r="N9170" s="912"/>
      <c r="O9170" s="892">
        <f t="shared" si="749"/>
        <v>0</v>
      </c>
      <c r="P9170" s="903">
        <f t="shared" si="750"/>
        <v>1</v>
      </c>
      <c r="Q9170" s="893">
        <f t="shared" si="751"/>
        <v>10</v>
      </c>
      <c r="R9170" s="894">
        <f t="shared" si="752"/>
        <v>0</v>
      </c>
    </row>
    <row r="9171" spans="1:18">
      <c r="A9171" s="905"/>
      <c r="B9171" s="952"/>
      <c r="C9171" s="907">
        <v>235</v>
      </c>
      <c r="D9171" s="907" t="s">
        <v>279</v>
      </c>
      <c r="E9171" s="992" t="s">
        <v>2682</v>
      </c>
      <c r="F9171" s="905" t="s">
        <v>45</v>
      </c>
      <c r="G9171" s="1005"/>
      <c r="H9171" s="911">
        <v>0.3</v>
      </c>
      <c r="I9171" s="912">
        <f>VLOOKUP(E9171,[3]VLP!$B$7:$K$300,10,0)</f>
        <v>5000</v>
      </c>
      <c r="J9171" s="912">
        <f>I9171*H9171</f>
        <v>1500</v>
      </c>
      <c r="K9171" s="912" t="s">
        <v>274</v>
      </c>
      <c r="L9171" s="912"/>
      <c r="M9171" s="912"/>
      <c r="N9171" s="912"/>
      <c r="O9171" s="892">
        <f t="shared" si="749"/>
        <v>0</v>
      </c>
      <c r="P9171" s="903">
        <f t="shared" si="750"/>
        <v>1</v>
      </c>
      <c r="Q9171" s="893">
        <f t="shared" si="751"/>
        <v>9</v>
      </c>
      <c r="R9171" s="894">
        <f t="shared" si="752"/>
        <v>0</v>
      </c>
    </row>
    <row r="9172" spans="1:18">
      <c r="A9172" s="905"/>
      <c r="B9172" s="952"/>
      <c r="C9172" s="907">
        <v>699</v>
      </c>
      <c r="D9172" s="907" t="s">
        <v>279</v>
      </c>
      <c r="E9172" s="992" t="s">
        <v>4006</v>
      </c>
      <c r="F9172" s="905" t="s">
        <v>4007</v>
      </c>
      <c r="G9172" s="1005"/>
      <c r="H9172" s="911">
        <v>10</v>
      </c>
      <c r="I9172" s="912">
        <f>VLOOKUP(E9172,[3]VLP!$B$7:$K$300,10,0)</f>
        <v>5000</v>
      </c>
      <c r="J9172" s="912">
        <f>I9172*H9172</f>
        <v>50000</v>
      </c>
      <c r="K9172" s="912" t="s">
        <v>274</v>
      </c>
      <c r="L9172" s="912"/>
      <c r="M9172" s="912"/>
      <c r="N9172" s="912"/>
      <c r="O9172" s="892">
        <f t="shared" si="749"/>
        <v>0</v>
      </c>
      <c r="P9172" s="903">
        <f t="shared" si="750"/>
        <v>1</v>
      </c>
      <c r="Q9172" s="893">
        <f t="shared" si="751"/>
        <v>8</v>
      </c>
      <c r="R9172" s="894">
        <f t="shared" si="752"/>
        <v>0</v>
      </c>
    </row>
    <row r="9173" spans="1:18">
      <c r="A9173" s="895"/>
      <c r="B9173" s="896"/>
      <c r="C9173" s="897"/>
      <c r="D9173" s="897"/>
      <c r="E9173" s="1002" t="s">
        <v>276</v>
      </c>
      <c r="F9173" s="1003"/>
      <c r="G9173" s="1004"/>
      <c r="H9173" s="901"/>
      <c r="I9173" s="902"/>
      <c r="J9173" s="902"/>
      <c r="K9173" s="912" t="s">
        <v>274</v>
      </c>
      <c r="L9173" s="902"/>
      <c r="M9173" s="902"/>
      <c r="N9173" s="902"/>
      <c r="O9173" s="892">
        <f t="shared" si="749"/>
        <v>0</v>
      </c>
      <c r="P9173" s="903">
        <f t="shared" si="750"/>
        <v>1</v>
      </c>
      <c r="Q9173" s="893">
        <f t="shared" si="751"/>
        <v>7</v>
      </c>
      <c r="R9173" s="894">
        <f t="shared" si="752"/>
        <v>0</v>
      </c>
    </row>
    <row r="9174" spans="1:18" s="904" customFormat="1">
      <c r="A9174" s="905"/>
      <c r="B9174" s="952"/>
      <c r="C9174" s="907">
        <v>740</v>
      </c>
      <c r="D9174" s="907" t="s">
        <v>12</v>
      </c>
      <c r="E9174" s="992" t="s">
        <v>4008</v>
      </c>
      <c r="F9174" s="905" t="s">
        <v>2674</v>
      </c>
      <c r="G9174" s="1005"/>
      <c r="H9174" s="911">
        <v>2.5</v>
      </c>
      <c r="I9174" s="912"/>
      <c r="J9174" s="912"/>
      <c r="K9174" s="912">
        <f>VLOOKUP(E9174,[5]ĐMNC!$A$7:$F$67,4,0)</f>
        <v>221125</v>
      </c>
      <c r="L9174" s="912">
        <f>H9174*K9174</f>
        <v>552812.5</v>
      </c>
      <c r="M9174" s="912"/>
      <c r="N9174" s="912"/>
      <c r="O9174" s="892">
        <f t="shared" si="749"/>
        <v>0</v>
      </c>
      <c r="P9174" s="903">
        <f t="shared" si="750"/>
        <v>1</v>
      </c>
      <c r="Q9174" s="893">
        <f t="shared" si="751"/>
        <v>6</v>
      </c>
      <c r="R9174" s="894">
        <f t="shared" si="752"/>
        <v>0</v>
      </c>
    </row>
    <row r="9175" spans="1:18">
      <c r="A9175" s="895"/>
      <c r="B9175" s="896"/>
      <c r="C9175" s="897"/>
      <c r="D9175" s="897"/>
      <c r="E9175" s="1002" t="s">
        <v>3914</v>
      </c>
      <c r="F9175" s="895"/>
      <c r="G9175" s="1004"/>
      <c r="H9175" s="901"/>
      <c r="I9175" s="902"/>
      <c r="J9175" s="902"/>
      <c r="K9175" s="912" t="s">
        <v>274</v>
      </c>
      <c r="L9175" s="902"/>
      <c r="M9175" s="902"/>
      <c r="N9175" s="902"/>
      <c r="O9175" s="892">
        <f t="shared" si="749"/>
        <v>0</v>
      </c>
      <c r="P9175" s="903">
        <f t="shared" si="750"/>
        <v>1</v>
      </c>
      <c r="Q9175" s="893">
        <f t="shared" si="751"/>
        <v>5</v>
      </c>
      <c r="R9175" s="894">
        <f t="shared" si="752"/>
        <v>0</v>
      </c>
    </row>
    <row r="9176" spans="1:18" s="847" customFormat="1">
      <c r="A9176" s="905"/>
      <c r="B9176" s="952" t="s">
        <v>6408</v>
      </c>
      <c r="C9176" s="907">
        <v>913</v>
      </c>
      <c r="D9176" s="907" t="s">
        <v>93</v>
      </c>
      <c r="E9176" s="992" t="s">
        <v>6409</v>
      </c>
      <c r="F9176" s="905" t="s">
        <v>2673</v>
      </c>
      <c r="G9176" s="1005"/>
      <c r="H9176" s="911">
        <v>0.7</v>
      </c>
      <c r="I9176" s="912"/>
      <c r="J9176" s="912"/>
      <c r="K9176" s="912"/>
      <c r="L9176" s="912"/>
      <c r="M9176" s="912">
        <f>VLOOKUP(B9176,MTC!$B$9:$S$933,12,0)</f>
        <v>0</v>
      </c>
      <c r="N9176" s="912">
        <f>M9176*H9176</f>
        <v>0</v>
      </c>
      <c r="O9176" s="892">
        <f t="shared" si="749"/>
        <v>0</v>
      </c>
      <c r="P9176" s="903">
        <f t="shared" si="750"/>
        <v>1</v>
      </c>
      <c r="Q9176" s="893">
        <f t="shared" si="751"/>
        <v>4</v>
      </c>
      <c r="R9176" s="894">
        <f t="shared" si="752"/>
        <v>0</v>
      </c>
    </row>
    <row r="9177" spans="1:18" s="904" customFormat="1">
      <c r="A9177" s="905"/>
      <c r="B9177" s="952" t="s">
        <v>6410</v>
      </c>
      <c r="C9177" s="907">
        <v>906</v>
      </c>
      <c r="D9177" s="907" t="s">
        <v>93</v>
      </c>
      <c r="E9177" s="992" t="s">
        <v>6411</v>
      </c>
      <c r="F9177" s="905" t="s">
        <v>2673</v>
      </c>
      <c r="G9177" s="1005"/>
      <c r="H9177" s="911">
        <v>0.25</v>
      </c>
      <c r="I9177" s="912"/>
      <c r="J9177" s="912"/>
      <c r="K9177" s="912"/>
      <c r="L9177" s="912"/>
      <c r="M9177" s="912">
        <f>VLOOKUP(B9177,MTC!$B$9:$S$933,12,0)</f>
        <v>0</v>
      </c>
      <c r="N9177" s="912">
        <f>M9177*H9177</f>
        <v>0</v>
      </c>
      <c r="O9177" s="892">
        <f t="shared" si="749"/>
        <v>0</v>
      </c>
      <c r="P9177" s="903">
        <f t="shared" si="750"/>
        <v>1</v>
      </c>
      <c r="Q9177" s="893">
        <f t="shared" si="751"/>
        <v>3</v>
      </c>
      <c r="R9177" s="894">
        <f t="shared" si="752"/>
        <v>0</v>
      </c>
    </row>
    <row r="9178" spans="1:18">
      <c r="A9178" s="905"/>
      <c r="B9178" s="952" t="s">
        <v>6412</v>
      </c>
      <c r="C9178" s="907">
        <v>905</v>
      </c>
      <c r="D9178" s="907" t="s">
        <v>93</v>
      </c>
      <c r="E9178" s="992" t="s">
        <v>6413</v>
      </c>
      <c r="F9178" s="905" t="s">
        <v>2673</v>
      </c>
      <c r="G9178" s="1005"/>
      <c r="H9178" s="911">
        <v>0.25</v>
      </c>
      <c r="I9178" s="912"/>
      <c r="J9178" s="912"/>
      <c r="K9178" s="912"/>
      <c r="L9178" s="912"/>
      <c r="M9178" s="912">
        <f>VLOOKUP(B9178,MTC!$B$9:$S$933,12,0)</f>
        <v>225936</v>
      </c>
      <c r="N9178" s="912">
        <f>M9178*H9178</f>
        <v>56484</v>
      </c>
      <c r="O9178" s="892">
        <f t="shared" si="749"/>
        <v>0</v>
      </c>
      <c r="P9178" s="903">
        <f t="shared" si="750"/>
        <v>1</v>
      </c>
      <c r="Q9178" s="893">
        <f t="shared" si="751"/>
        <v>2</v>
      </c>
      <c r="R9178" s="894">
        <f t="shared" si="752"/>
        <v>0</v>
      </c>
    </row>
    <row r="9179" spans="1:18">
      <c r="A9179" s="905"/>
      <c r="B9179" s="952" t="s">
        <v>6414</v>
      </c>
      <c r="C9179" s="907">
        <v>914</v>
      </c>
      <c r="D9179" s="907" t="s">
        <v>93</v>
      </c>
      <c r="E9179" s="992" t="s">
        <v>6415</v>
      </c>
      <c r="F9179" s="905" t="s">
        <v>2673</v>
      </c>
      <c r="G9179" s="1005"/>
      <c r="H9179" s="911">
        <v>0.1</v>
      </c>
      <c r="I9179" s="912"/>
      <c r="J9179" s="912"/>
      <c r="K9179" s="912"/>
      <c r="L9179" s="912"/>
      <c r="M9179" s="912">
        <f>VLOOKUP(B9179,MTC!$B$9:$S$933,12,0)</f>
        <v>0</v>
      </c>
      <c r="N9179" s="912">
        <f>M9179*H9179</f>
        <v>0</v>
      </c>
      <c r="O9179" s="892">
        <f t="shared" si="749"/>
        <v>0</v>
      </c>
      <c r="P9179" s="903">
        <f t="shared" si="750"/>
        <v>1</v>
      </c>
      <c r="Q9179" s="893">
        <f t="shared" si="751"/>
        <v>1</v>
      </c>
      <c r="R9179" s="894">
        <f t="shared" si="752"/>
        <v>0</v>
      </c>
    </row>
    <row r="9180" spans="1:18" ht="31.5">
      <c r="A9180" s="905">
        <v>50</v>
      </c>
      <c r="B9180" s="914" t="s">
        <v>6446</v>
      </c>
      <c r="C9180" s="915"/>
      <c r="D9180" s="915"/>
      <c r="E9180" s="1006" t="s">
        <v>6447</v>
      </c>
      <c r="F9180" s="1007" t="s">
        <v>136</v>
      </c>
      <c r="G9180" s="1008"/>
      <c r="H9180" s="919"/>
      <c r="I9180" s="920"/>
      <c r="J9180" s="891">
        <f>SUM(J9181:J9191)</f>
        <v>55500</v>
      </c>
      <c r="K9180" s="891" t="s">
        <v>274</v>
      </c>
      <c r="L9180" s="891">
        <f>SUM(L9181:L9191)</f>
        <v>663375</v>
      </c>
      <c r="M9180" s="891"/>
      <c r="N9180" s="891">
        <f>SUM(N9181:N9191)</f>
        <v>67780.800000000003</v>
      </c>
      <c r="O9180" s="892">
        <f t="shared" si="749"/>
        <v>1</v>
      </c>
      <c r="P9180" s="903">
        <f t="shared" si="750"/>
        <v>0</v>
      </c>
      <c r="Q9180" s="893">
        <f t="shared" si="751"/>
        <v>0</v>
      </c>
      <c r="R9180" s="894">
        <f t="shared" si="752"/>
        <v>11</v>
      </c>
    </row>
    <row r="9181" spans="1:18">
      <c r="A9181" s="895"/>
      <c r="B9181" s="896"/>
      <c r="C9181" s="897"/>
      <c r="D9181" s="897"/>
      <c r="E9181" s="1002" t="s">
        <v>108</v>
      </c>
      <c r="F9181" s="895"/>
      <c r="G9181" s="1004"/>
      <c r="H9181" s="901"/>
      <c r="I9181" s="902"/>
      <c r="J9181" s="902"/>
      <c r="K9181" s="912" t="s">
        <v>274</v>
      </c>
      <c r="L9181" s="902"/>
      <c r="M9181" s="902"/>
      <c r="N9181" s="902"/>
      <c r="O9181" s="892">
        <f t="shared" si="749"/>
        <v>0</v>
      </c>
      <c r="P9181" s="903">
        <f t="shared" si="750"/>
        <v>1</v>
      </c>
      <c r="Q9181" s="893">
        <f t="shared" si="751"/>
        <v>11</v>
      </c>
      <c r="R9181" s="894">
        <f t="shared" si="752"/>
        <v>0</v>
      </c>
    </row>
    <row r="9182" spans="1:18" s="904" customFormat="1">
      <c r="A9182" s="905"/>
      <c r="B9182" s="952"/>
      <c r="C9182" s="907">
        <v>315</v>
      </c>
      <c r="D9182" s="907" t="s">
        <v>279</v>
      </c>
      <c r="E9182" s="992" t="s">
        <v>6316</v>
      </c>
      <c r="F9182" s="905" t="s">
        <v>49</v>
      </c>
      <c r="G9182" s="1005"/>
      <c r="H9182" s="911">
        <v>0.5</v>
      </c>
      <c r="I9182" s="912">
        <f>VLOOKUP(E9182,[3]VLP!$B$7:$K$300,10,0)</f>
        <v>8000</v>
      </c>
      <c r="J9182" s="912">
        <f>I9182*H9182</f>
        <v>4000</v>
      </c>
      <c r="K9182" s="912" t="s">
        <v>274</v>
      </c>
      <c r="L9182" s="912"/>
      <c r="M9182" s="912"/>
      <c r="N9182" s="912"/>
      <c r="O9182" s="892">
        <f t="shared" si="749"/>
        <v>0</v>
      </c>
      <c r="P9182" s="903">
        <f t="shared" si="750"/>
        <v>1</v>
      </c>
      <c r="Q9182" s="893">
        <f t="shared" si="751"/>
        <v>10</v>
      </c>
      <c r="R9182" s="894">
        <f t="shared" si="752"/>
        <v>0</v>
      </c>
    </row>
    <row r="9183" spans="1:18">
      <c r="A9183" s="905"/>
      <c r="B9183" s="952"/>
      <c r="C9183" s="907">
        <v>235</v>
      </c>
      <c r="D9183" s="907" t="s">
        <v>279</v>
      </c>
      <c r="E9183" s="992" t="s">
        <v>2682</v>
      </c>
      <c r="F9183" s="905" t="s">
        <v>45</v>
      </c>
      <c r="G9183" s="1005"/>
      <c r="H9183" s="911">
        <v>0.3</v>
      </c>
      <c r="I9183" s="912">
        <f>VLOOKUP(E9183,[3]VLP!$B$7:$K$300,10,0)</f>
        <v>5000</v>
      </c>
      <c r="J9183" s="912">
        <f>I9183*H9183</f>
        <v>1500</v>
      </c>
      <c r="K9183" s="912" t="s">
        <v>274</v>
      </c>
      <c r="L9183" s="912"/>
      <c r="M9183" s="912"/>
      <c r="N9183" s="912"/>
      <c r="O9183" s="892">
        <f t="shared" ref="O9183:O9246" si="753">IF(AND(B9183&lt;&gt;"",D9183=""),1,0)</f>
        <v>0</v>
      </c>
      <c r="P9183" s="903">
        <f t="shared" si="750"/>
        <v>1</v>
      </c>
      <c r="Q9183" s="893">
        <f t="shared" si="751"/>
        <v>9</v>
      </c>
      <c r="R9183" s="894">
        <f t="shared" si="752"/>
        <v>0</v>
      </c>
    </row>
    <row r="9184" spans="1:18" s="847" customFormat="1">
      <c r="A9184" s="905"/>
      <c r="B9184" s="952"/>
      <c r="C9184" s="907">
        <v>699</v>
      </c>
      <c r="D9184" s="907" t="s">
        <v>279</v>
      </c>
      <c r="E9184" s="992" t="s">
        <v>4006</v>
      </c>
      <c r="F9184" s="905" t="s">
        <v>4007</v>
      </c>
      <c r="G9184" s="1005"/>
      <c r="H9184" s="911">
        <v>10</v>
      </c>
      <c r="I9184" s="912">
        <f>VLOOKUP(E9184,[3]VLP!$B$7:$K$300,10,0)</f>
        <v>5000</v>
      </c>
      <c r="J9184" s="912">
        <f>I9184*H9184</f>
        <v>50000</v>
      </c>
      <c r="K9184" s="912" t="s">
        <v>274</v>
      </c>
      <c r="L9184" s="912"/>
      <c r="M9184" s="912"/>
      <c r="N9184" s="912"/>
      <c r="O9184" s="892">
        <f t="shared" si="753"/>
        <v>0</v>
      </c>
      <c r="P9184" s="903">
        <f t="shared" si="750"/>
        <v>1</v>
      </c>
      <c r="Q9184" s="893">
        <f t="shared" si="751"/>
        <v>8</v>
      </c>
      <c r="R9184" s="894">
        <f t="shared" si="752"/>
        <v>0</v>
      </c>
    </row>
    <row r="9185" spans="1:18" s="904" customFormat="1">
      <c r="A9185" s="895"/>
      <c r="B9185" s="896"/>
      <c r="C9185" s="897"/>
      <c r="D9185" s="897"/>
      <c r="E9185" s="1002" t="s">
        <v>276</v>
      </c>
      <c r="F9185" s="1003"/>
      <c r="G9185" s="1004"/>
      <c r="H9185" s="901"/>
      <c r="I9185" s="902"/>
      <c r="J9185" s="902"/>
      <c r="K9185" s="912" t="s">
        <v>274</v>
      </c>
      <c r="L9185" s="902"/>
      <c r="M9185" s="902"/>
      <c r="N9185" s="902"/>
      <c r="O9185" s="892">
        <f t="shared" si="753"/>
        <v>0</v>
      </c>
      <c r="P9185" s="903">
        <f t="shared" si="750"/>
        <v>1</v>
      </c>
      <c r="Q9185" s="893">
        <f t="shared" si="751"/>
        <v>7</v>
      </c>
      <c r="R9185" s="894">
        <f t="shared" si="752"/>
        <v>0</v>
      </c>
    </row>
    <row r="9186" spans="1:18">
      <c r="A9186" s="905"/>
      <c r="B9186" s="952"/>
      <c r="C9186" s="907">
        <v>740</v>
      </c>
      <c r="D9186" s="907" t="s">
        <v>12</v>
      </c>
      <c r="E9186" s="992" t="s">
        <v>4008</v>
      </c>
      <c r="F9186" s="905" t="s">
        <v>2674</v>
      </c>
      <c r="G9186" s="1005"/>
      <c r="H9186" s="911">
        <v>3</v>
      </c>
      <c r="I9186" s="912"/>
      <c r="J9186" s="912"/>
      <c r="K9186" s="912">
        <f>VLOOKUP(E9186,[5]ĐMNC!$A$7:$F$67,4,0)</f>
        <v>221125</v>
      </c>
      <c r="L9186" s="912">
        <f>H9186*K9186</f>
        <v>663375</v>
      </c>
      <c r="M9186" s="912"/>
      <c r="N9186" s="912"/>
      <c r="O9186" s="892">
        <f t="shared" si="753"/>
        <v>0</v>
      </c>
      <c r="P9186" s="903">
        <f t="shared" si="750"/>
        <v>1</v>
      </c>
      <c r="Q9186" s="893">
        <f t="shared" si="751"/>
        <v>6</v>
      </c>
      <c r="R9186" s="894">
        <f t="shared" si="752"/>
        <v>0</v>
      </c>
    </row>
    <row r="9187" spans="1:18" s="847" customFormat="1">
      <c r="A9187" s="895"/>
      <c r="B9187" s="896"/>
      <c r="C9187" s="897"/>
      <c r="D9187" s="897"/>
      <c r="E9187" s="1002" t="s">
        <v>3914</v>
      </c>
      <c r="F9187" s="895"/>
      <c r="G9187" s="1004"/>
      <c r="H9187" s="901"/>
      <c r="I9187" s="902"/>
      <c r="J9187" s="902"/>
      <c r="K9187" s="912" t="s">
        <v>274</v>
      </c>
      <c r="L9187" s="902"/>
      <c r="M9187" s="902"/>
      <c r="N9187" s="902"/>
      <c r="O9187" s="892">
        <f t="shared" si="753"/>
        <v>0</v>
      </c>
      <c r="P9187" s="903">
        <f t="shared" si="750"/>
        <v>1</v>
      </c>
      <c r="Q9187" s="893">
        <f t="shared" si="751"/>
        <v>5</v>
      </c>
      <c r="R9187" s="894">
        <f t="shared" si="752"/>
        <v>0</v>
      </c>
    </row>
    <row r="9188" spans="1:18" s="904" customFormat="1">
      <c r="A9188" s="905"/>
      <c r="B9188" s="952" t="s">
        <v>6408</v>
      </c>
      <c r="C9188" s="907">
        <v>913</v>
      </c>
      <c r="D9188" s="907" t="s">
        <v>93</v>
      </c>
      <c r="E9188" s="992" t="s">
        <v>6409</v>
      </c>
      <c r="F9188" s="905" t="s">
        <v>2673</v>
      </c>
      <c r="G9188" s="1005"/>
      <c r="H9188" s="911">
        <v>0.84</v>
      </c>
      <c r="I9188" s="912"/>
      <c r="J9188" s="912"/>
      <c r="K9188" s="912"/>
      <c r="L9188" s="912"/>
      <c r="M9188" s="912">
        <f>VLOOKUP(B9188,MTC!$B$9:$S$933,12,0)</f>
        <v>0</v>
      </c>
      <c r="N9188" s="912">
        <f>M9188*H9188</f>
        <v>0</v>
      </c>
      <c r="O9188" s="892">
        <f t="shared" si="753"/>
        <v>0</v>
      </c>
      <c r="P9188" s="903">
        <f t="shared" si="750"/>
        <v>1</v>
      </c>
      <c r="Q9188" s="893">
        <f t="shared" si="751"/>
        <v>4</v>
      </c>
      <c r="R9188" s="894">
        <f t="shared" si="752"/>
        <v>0</v>
      </c>
    </row>
    <row r="9189" spans="1:18">
      <c r="A9189" s="905"/>
      <c r="B9189" s="952" t="s">
        <v>6410</v>
      </c>
      <c r="C9189" s="907">
        <v>906</v>
      </c>
      <c r="D9189" s="907" t="s">
        <v>93</v>
      </c>
      <c r="E9189" s="992" t="s">
        <v>6411</v>
      </c>
      <c r="F9189" s="905" t="s">
        <v>2673</v>
      </c>
      <c r="G9189" s="1005"/>
      <c r="H9189" s="911">
        <v>0.3</v>
      </c>
      <c r="I9189" s="912"/>
      <c r="J9189" s="912"/>
      <c r="K9189" s="912"/>
      <c r="L9189" s="912"/>
      <c r="M9189" s="912">
        <f>VLOOKUP(B9189,MTC!$B$9:$S$933,12,0)</f>
        <v>0</v>
      </c>
      <c r="N9189" s="912">
        <f>M9189*H9189</f>
        <v>0</v>
      </c>
      <c r="O9189" s="892">
        <f t="shared" si="753"/>
        <v>0</v>
      </c>
      <c r="P9189" s="903">
        <f t="shared" si="750"/>
        <v>1</v>
      </c>
      <c r="Q9189" s="893">
        <f t="shared" si="751"/>
        <v>3</v>
      </c>
      <c r="R9189" s="894">
        <f t="shared" si="752"/>
        <v>0</v>
      </c>
    </row>
    <row r="9190" spans="1:18" s="847" customFormat="1">
      <c r="A9190" s="905"/>
      <c r="B9190" s="952" t="s">
        <v>6412</v>
      </c>
      <c r="C9190" s="907">
        <v>905</v>
      </c>
      <c r="D9190" s="907" t="s">
        <v>93</v>
      </c>
      <c r="E9190" s="992" t="s">
        <v>6413</v>
      </c>
      <c r="F9190" s="905" t="s">
        <v>2673</v>
      </c>
      <c r="G9190" s="1005"/>
      <c r="H9190" s="911">
        <v>0.3</v>
      </c>
      <c r="I9190" s="912"/>
      <c r="J9190" s="912"/>
      <c r="K9190" s="912"/>
      <c r="L9190" s="912"/>
      <c r="M9190" s="912">
        <f>VLOOKUP(B9190,MTC!$B$9:$S$933,12,0)</f>
        <v>225936</v>
      </c>
      <c r="N9190" s="912">
        <f>M9190*H9190</f>
        <v>67780.800000000003</v>
      </c>
      <c r="O9190" s="892">
        <f t="shared" si="753"/>
        <v>0</v>
      </c>
      <c r="P9190" s="903">
        <f t="shared" si="750"/>
        <v>1</v>
      </c>
      <c r="Q9190" s="893">
        <f t="shared" si="751"/>
        <v>2</v>
      </c>
      <c r="R9190" s="894">
        <f t="shared" si="752"/>
        <v>0</v>
      </c>
    </row>
    <row r="9191" spans="1:18" s="904" customFormat="1">
      <c r="A9191" s="905"/>
      <c r="B9191" s="952" t="s">
        <v>6414</v>
      </c>
      <c r="C9191" s="907">
        <v>914</v>
      </c>
      <c r="D9191" s="907" t="s">
        <v>93</v>
      </c>
      <c r="E9191" s="992" t="s">
        <v>6415</v>
      </c>
      <c r="F9191" s="905" t="s">
        <v>2673</v>
      </c>
      <c r="G9191" s="1005"/>
      <c r="H9191" s="911">
        <v>0.1</v>
      </c>
      <c r="I9191" s="912"/>
      <c r="J9191" s="912"/>
      <c r="K9191" s="912"/>
      <c r="L9191" s="912"/>
      <c r="M9191" s="912">
        <f>VLOOKUP(B9191,MTC!$B$9:$S$933,12,0)</f>
        <v>0</v>
      </c>
      <c r="N9191" s="912">
        <f>M9191*H9191</f>
        <v>0</v>
      </c>
      <c r="O9191" s="892">
        <f t="shared" si="753"/>
        <v>0</v>
      </c>
      <c r="P9191" s="903">
        <f t="shared" si="750"/>
        <v>1</v>
      </c>
      <c r="Q9191" s="893">
        <f t="shared" si="751"/>
        <v>1</v>
      </c>
      <c r="R9191" s="894">
        <f t="shared" si="752"/>
        <v>0</v>
      </c>
    </row>
    <row r="9192" spans="1:18" ht="31.5">
      <c r="A9192" s="905">
        <v>51</v>
      </c>
      <c r="B9192" s="914" t="s">
        <v>6448</v>
      </c>
      <c r="C9192" s="915"/>
      <c r="D9192" s="915"/>
      <c r="E9192" s="1006" t="s">
        <v>6449</v>
      </c>
      <c r="F9192" s="1007" t="s">
        <v>136</v>
      </c>
      <c r="G9192" s="1008"/>
      <c r="H9192" s="919"/>
      <c r="I9192" s="920"/>
      <c r="J9192" s="891">
        <f>SUM(J9193:J9203)</f>
        <v>55500</v>
      </c>
      <c r="K9192" s="891" t="s">
        <v>274</v>
      </c>
      <c r="L9192" s="891">
        <f>SUM(L9193:L9203)</f>
        <v>840275</v>
      </c>
      <c r="M9192" s="891"/>
      <c r="N9192" s="891">
        <f>SUM(N9193:N9203)</f>
        <v>81336.959999999992</v>
      </c>
      <c r="O9192" s="892">
        <f t="shared" si="753"/>
        <v>1</v>
      </c>
      <c r="P9192" s="903">
        <f t="shared" si="750"/>
        <v>0</v>
      </c>
      <c r="Q9192" s="893">
        <f t="shared" si="751"/>
        <v>0</v>
      </c>
      <c r="R9192" s="894">
        <f t="shared" si="752"/>
        <v>11</v>
      </c>
    </row>
    <row r="9193" spans="1:18" s="847" customFormat="1">
      <c r="A9193" s="895"/>
      <c r="B9193" s="896"/>
      <c r="C9193" s="897"/>
      <c r="D9193" s="897"/>
      <c r="E9193" s="1002" t="s">
        <v>108</v>
      </c>
      <c r="F9193" s="895"/>
      <c r="G9193" s="1004"/>
      <c r="H9193" s="901"/>
      <c r="I9193" s="902"/>
      <c r="J9193" s="902"/>
      <c r="K9193" s="912" t="s">
        <v>274</v>
      </c>
      <c r="L9193" s="902"/>
      <c r="M9193" s="902"/>
      <c r="N9193" s="902"/>
      <c r="O9193" s="892">
        <f t="shared" si="753"/>
        <v>0</v>
      </c>
      <c r="P9193" s="903">
        <f t="shared" si="750"/>
        <v>1</v>
      </c>
      <c r="Q9193" s="893">
        <f t="shared" si="751"/>
        <v>11</v>
      </c>
      <c r="R9193" s="894">
        <f t="shared" si="752"/>
        <v>0</v>
      </c>
    </row>
    <row r="9194" spans="1:18" s="904" customFormat="1">
      <c r="A9194" s="905"/>
      <c r="B9194" s="952"/>
      <c r="C9194" s="907">
        <v>315</v>
      </c>
      <c r="D9194" s="907" t="s">
        <v>279</v>
      </c>
      <c r="E9194" s="992" t="s">
        <v>6316</v>
      </c>
      <c r="F9194" s="905" t="s">
        <v>49</v>
      </c>
      <c r="G9194" s="1005"/>
      <c r="H9194" s="911">
        <v>0.5</v>
      </c>
      <c r="I9194" s="912">
        <f>VLOOKUP(E9194,[3]VLP!$B$7:$K$300,10,0)</f>
        <v>8000</v>
      </c>
      <c r="J9194" s="912">
        <f>I9194*H9194</f>
        <v>4000</v>
      </c>
      <c r="K9194" s="912" t="s">
        <v>274</v>
      </c>
      <c r="L9194" s="912"/>
      <c r="M9194" s="912"/>
      <c r="N9194" s="912"/>
      <c r="O9194" s="892">
        <f t="shared" si="753"/>
        <v>0</v>
      </c>
      <c r="P9194" s="903">
        <f t="shared" si="750"/>
        <v>1</v>
      </c>
      <c r="Q9194" s="893">
        <f t="shared" si="751"/>
        <v>10</v>
      </c>
      <c r="R9194" s="894">
        <f t="shared" si="752"/>
        <v>0</v>
      </c>
    </row>
    <row r="9195" spans="1:18">
      <c r="A9195" s="905"/>
      <c r="B9195" s="952"/>
      <c r="C9195" s="907">
        <v>235</v>
      </c>
      <c r="D9195" s="907" t="s">
        <v>279</v>
      </c>
      <c r="E9195" s="992" t="s">
        <v>2682</v>
      </c>
      <c r="F9195" s="905" t="s">
        <v>45</v>
      </c>
      <c r="G9195" s="1005"/>
      <c r="H9195" s="911">
        <v>0.3</v>
      </c>
      <c r="I9195" s="912">
        <f>VLOOKUP(E9195,[3]VLP!$B$7:$K$300,10,0)</f>
        <v>5000</v>
      </c>
      <c r="J9195" s="912">
        <f>I9195*H9195</f>
        <v>1500</v>
      </c>
      <c r="K9195" s="912" t="s">
        <v>274</v>
      </c>
      <c r="L9195" s="912"/>
      <c r="M9195" s="912"/>
      <c r="N9195" s="912"/>
      <c r="O9195" s="892">
        <f t="shared" si="753"/>
        <v>0</v>
      </c>
      <c r="P9195" s="903">
        <f t="shared" si="750"/>
        <v>1</v>
      </c>
      <c r="Q9195" s="893">
        <f t="shared" si="751"/>
        <v>9</v>
      </c>
      <c r="R9195" s="894">
        <f t="shared" si="752"/>
        <v>0</v>
      </c>
    </row>
    <row r="9196" spans="1:18" s="847" customFormat="1">
      <c r="A9196" s="905"/>
      <c r="B9196" s="952"/>
      <c r="C9196" s="907">
        <v>699</v>
      </c>
      <c r="D9196" s="907" t="s">
        <v>279</v>
      </c>
      <c r="E9196" s="992" t="s">
        <v>4006</v>
      </c>
      <c r="F9196" s="905" t="s">
        <v>4007</v>
      </c>
      <c r="G9196" s="1005"/>
      <c r="H9196" s="911">
        <v>10</v>
      </c>
      <c r="I9196" s="912">
        <f>VLOOKUP(E9196,[3]VLP!$B$7:$K$300,10,0)</f>
        <v>5000</v>
      </c>
      <c r="J9196" s="912">
        <f>I9196*H9196</f>
        <v>50000</v>
      </c>
      <c r="K9196" s="912" t="s">
        <v>274</v>
      </c>
      <c r="L9196" s="912"/>
      <c r="M9196" s="912"/>
      <c r="N9196" s="912"/>
      <c r="O9196" s="892">
        <f t="shared" si="753"/>
        <v>0</v>
      </c>
      <c r="P9196" s="903">
        <f t="shared" si="750"/>
        <v>1</v>
      </c>
      <c r="Q9196" s="893">
        <f t="shared" si="751"/>
        <v>8</v>
      </c>
      <c r="R9196" s="894">
        <f t="shared" si="752"/>
        <v>0</v>
      </c>
    </row>
    <row r="9197" spans="1:18" s="904" customFormat="1">
      <c r="A9197" s="895"/>
      <c r="B9197" s="896"/>
      <c r="C9197" s="897"/>
      <c r="D9197" s="897"/>
      <c r="E9197" s="1002" t="s">
        <v>276</v>
      </c>
      <c r="F9197" s="1003"/>
      <c r="G9197" s="1004"/>
      <c r="H9197" s="901"/>
      <c r="I9197" s="902"/>
      <c r="J9197" s="902"/>
      <c r="K9197" s="912" t="s">
        <v>274</v>
      </c>
      <c r="L9197" s="902"/>
      <c r="M9197" s="902"/>
      <c r="N9197" s="902"/>
      <c r="O9197" s="892">
        <f t="shared" si="753"/>
        <v>0</v>
      </c>
      <c r="P9197" s="903">
        <f t="shared" si="750"/>
        <v>1</v>
      </c>
      <c r="Q9197" s="893">
        <f t="shared" si="751"/>
        <v>7</v>
      </c>
      <c r="R9197" s="894">
        <f t="shared" si="752"/>
        <v>0</v>
      </c>
    </row>
    <row r="9198" spans="1:18">
      <c r="A9198" s="905"/>
      <c r="B9198" s="952"/>
      <c r="C9198" s="907">
        <v>740</v>
      </c>
      <c r="D9198" s="907" t="s">
        <v>12</v>
      </c>
      <c r="E9198" s="992" t="s">
        <v>4008</v>
      </c>
      <c r="F9198" s="905" t="s">
        <v>2674</v>
      </c>
      <c r="G9198" s="1005"/>
      <c r="H9198" s="911">
        <v>3.8</v>
      </c>
      <c r="I9198" s="912"/>
      <c r="J9198" s="912"/>
      <c r="K9198" s="912">
        <f>VLOOKUP(E9198,[5]ĐMNC!$A$7:$F$67,4,0)</f>
        <v>221125</v>
      </c>
      <c r="L9198" s="912">
        <f>H9198*K9198</f>
        <v>840275</v>
      </c>
      <c r="M9198" s="912"/>
      <c r="N9198" s="912"/>
      <c r="O9198" s="892">
        <f t="shared" si="753"/>
        <v>0</v>
      </c>
      <c r="P9198" s="903">
        <f t="shared" si="750"/>
        <v>1</v>
      </c>
      <c r="Q9198" s="893">
        <f t="shared" si="751"/>
        <v>6</v>
      </c>
      <c r="R9198" s="894">
        <f t="shared" si="752"/>
        <v>0</v>
      </c>
    </row>
    <row r="9199" spans="1:18" s="847" customFormat="1">
      <c r="A9199" s="895"/>
      <c r="B9199" s="896"/>
      <c r="C9199" s="897"/>
      <c r="D9199" s="897"/>
      <c r="E9199" s="1002" t="s">
        <v>3914</v>
      </c>
      <c r="F9199" s="895"/>
      <c r="G9199" s="1004"/>
      <c r="H9199" s="901"/>
      <c r="I9199" s="902"/>
      <c r="J9199" s="902"/>
      <c r="K9199" s="912" t="s">
        <v>274</v>
      </c>
      <c r="L9199" s="902"/>
      <c r="M9199" s="902"/>
      <c r="N9199" s="902"/>
      <c r="O9199" s="892">
        <f t="shared" si="753"/>
        <v>0</v>
      </c>
      <c r="P9199" s="903">
        <f t="shared" si="750"/>
        <v>1</v>
      </c>
      <c r="Q9199" s="893">
        <f t="shared" si="751"/>
        <v>5</v>
      </c>
      <c r="R9199" s="894">
        <f t="shared" si="752"/>
        <v>0</v>
      </c>
    </row>
    <row r="9200" spans="1:18" s="904" customFormat="1">
      <c r="A9200" s="905"/>
      <c r="B9200" s="952" t="s">
        <v>6408</v>
      </c>
      <c r="C9200" s="907">
        <v>913</v>
      </c>
      <c r="D9200" s="907" t="s">
        <v>93</v>
      </c>
      <c r="E9200" s="992" t="s">
        <v>6409</v>
      </c>
      <c r="F9200" s="905" t="s">
        <v>2673</v>
      </c>
      <c r="G9200" s="1005"/>
      <c r="H9200" s="911">
        <v>1.03</v>
      </c>
      <c r="I9200" s="912"/>
      <c r="J9200" s="912"/>
      <c r="K9200" s="912"/>
      <c r="L9200" s="912"/>
      <c r="M9200" s="912">
        <f>VLOOKUP(B9200,MTC!$B$9:$S$933,12,0)</f>
        <v>0</v>
      </c>
      <c r="N9200" s="912">
        <f>M9200*H9200</f>
        <v>0</v>
      </c>
      <c r="O9200" s="892">
        <f t="shared" si="753"/>
        <v>0</v>
      </c>
      <c r="P9200" s="903">
        <f t="shared" si="750"/>
        <v>1</v>
      </c>
      <c r="Q9200" s="893">
        <f t="shared" si="751"/>
        <v>4</v>
      </c>
      <c r="R9200" s="894">
        <f t="shared" si="752"/>
        <v>0</v>
      </c>
    </row>
    <row r="9201" spans="1:18">
      <c r="A9201" s="905"/>
      <c r="B9201" s="952" t="s">
        <v>6410</v>
      </c>
      <c r="C9201" s="907">
        <v>906</v>
      </c>
      <c r="D9201" s="907" t="s">
        <v>93</v>
      </c>
      <c r="E9201" s="992" t="s">
        <v>6411</v>
      </c>
      <c r="F9201" s="905" t="s">
        <v>2673</v>
      </c>
      <c r="G9201" s="1005"/>
      <c r="H9201" s="911">
        <v>0.36</v>
      </c>
      <c r="I9201" s="912"/>
      <c r="J9201" s="912"/>
      <c r="K9201" s="912"/>
      <c r="L9201" s="912"/>
      <c r="M9201" s="912">
        <f>VLOOKUP(B9201,MTC!$B$9:$S$933,12,0)</f>
        <v>0</v>
      </c>
      <c r="N9201" s="912">
        <f>M9201*H9201</f>
        <v>0</v>
      </c>
      <c r="O9201" s="892">
        <f t="shared" si="753"/>
        <v>0</v>
      </c>
      <c r="P9201" s="903">
        <f t="shared" si="750"/>
        <v>1</v>
      </c>
      <c r="Q9201" s="893">
        <f t="shared" si="751"/>
        <v>3</v>
      </c>
      <c r="R9201" s="894">
        <f t="shared" si="752"/>
        <v>0</v>
      </c>
    </row>
    <row r="9202" spans="1:18" s="847" customFormat="1">
      <c r="A9202" s="905"/>
      <c r="B9202" s="952" t="s">
        <v>6412</v>
      </c>
      <c r="C9202" s="907">
        <v>905</v>
      </c>
      <c r="D9202" s="907" t="s">
        <v>93</v>
      </c>
      <c r="E9202" s="992" t="s">
        <v>6413</v>
      </c>
      <c r="F9202" s="905" t="s">
        <v>2673</v>
      </c>
      <c r="G9202" s="1005"/>
      <c r="H9202" s="911">
        <v>0.36</v>
      </c>
      <c r="I9202" s="912"/>
      <c r="J9202" s="912"/>
      <c r="K9202" s="912"/>
      <c r="L9202" s="912"/>
      <c r="M9202" s="912">
        <f>VLOOKUP(B9202,MTC!$B$9:$S$933,12,0)</f>
        <v>225936</v>
      </c>
      <c r="N9202" s="912">
        <f>M9202*H9202</f>
        <v>81336.959999999992</v>
      </c>
      <c r="O9202" s="892">
        <f t="shared" si="753"/>
        <v>0</v>
      </c>
      <c r="P9202" s="903">
        <f t="shared" si="750"/>
        <v>1</v>
      </c>
      <c r="Q9202" s="893">
        <f t="shared" si="751"/>
        <v>2</v>
      </c>
      <c r="R9202" s="894">
        <f t="shared" si="752"/>
        <v>0</v>
      </c>
    </row>
    <row r="9203" spans="1:18" s="904" customFormat="1">
      <c r="A9203" s="905"/>
      <c r="B9203" s="952" t="s">
        <v>6414</v>
      </c>
      <c r="C9203" s="907">
        <v>914</v>
      </c>
      <c r="D9203" s="907" t="s">
        <v>93</v>
      </c>
      <c r="E9203" s="992" t="s">
        <v>6415</v>
      </c>
      <c r="F9203" s="905" t="s">
        <v>2673</v>
      </c>
      <c r="G9203" s="1005"/>
      <c r="H9203" s="911">
        <v>0.1</v>
      </c>
      <c r="I9203" s="912"/>
      <c r="J9203" s="912"/>
      <c r="K9203" s="912"/>
      <c r="L9203" s="912"/>
      <c r="M9203" s="912">
        <f>VLOOKUP(B9203,MTC!$B$9:$S$933,12,0)</f>
        <v>0</v>
      </c>
      <c r="N9203" s="912">
        <f>M9203*H9203</f>
        <v>0</v>
      </c>
      <c r="O9203" s="892">
        <f t="shared" si="753"/>
        <v>0</v>
      </c>
      <c r="P9203" s="903">
        <f t="shared" ref="P9203:P9266" si="754">IF(O9203=0,1,0)</f>
        <v>1</v>
      </c>
      <c r="Q9203" s="893">
        <f t="shared" ref="Q9203:Q9266" si="755">IF(P9203=0,0,P9203+Q9204)</f>
        <v>1</v>
      </c>
      <c r="R9203" s="894">
        <f t="shared" ref="R9203:R9266" si="756">IF(Q9203=0,Q9204,0)</f>
        <v>0</v>
      </c>
    </row>
    <row r="9204" spans="1:18" ht="31.5">
      <c r="A9204" s="905">
        <v>52</v>
      </c>
      <c r="B9204" s="914" t="s">
        <v>6450</v>
      </c>
      <c r="C9204" s="915"/>
      <c r="D9204" s="915"/>
      <c r="E9204" s="1006" t="s">
        <v>6451</v>
      </c>
      <c r="F9204" s="1007" t="s">
        <v>136</v>
      </c>
      <c r="G9204" s="1008"/>
      <c r="H9204" s="919"/>
      <c r="I9204" s="920"/>
      <c r="J9204" s="891">
        <f>SUM(J9205:J9215)</f>
        <v>55500</v>
      </c>
      <c r="K9204" s="891" t="s">
        <v>274</v>
      </c>
      <c r="L9204" s="891">
        <f>SUM(L9205:L9215)</f>
        <v>1061400</v>
      </c>
      <c r="M9204" s="891"/>
      <c r="N9204" s="891">
        <f>SUM(N9205:N9215)</f>
        <v>99411.839999999997</v>
      </c>
      <c r="O9204" s="892">
        <f t="shared" si="753"/>
        <v>1</v>
      </c>
      <c r="P9204" s="903">
        <f t="shared" si="754"/>
        <v>0</v>
      </c>
      <c r="Q9204" s="893">
        <f t="shared" si="755"/>
        <v>0</v>
      </c>
      <c r="R9204" s="894">
        <f t="shared" si="756"/>
        <v>11</v>
      </c>
    </row>
    <row r="9205" spans="1:18" s="847" customFormat="1">
      <c r="A9205" s="895"/>
      <c r="B9205" s="896"/>
      <c r="C9205" s="897"/>
      <c r="D9205" s="897"/>
      <c r="E9205" s="1002" t="s">
        <v>108</v>
      </c>
      <c r="F9205" s="895"/>
      <c r="G9205" s="1004"/>
      <c r="H9205" s="901"/>
      <c r="I9205" s="902"/>
      <c r="J9205" s="902"/>
      <c r="K9205" s="912" t="s">
        <v>274</v>
      </c>
      <c r="L9205" s="902"/>
      <c r="M9205" s="902"/>
      <c r="N9205" s="902"/>
      <c r="O9205" s="892">
        <f t="shared" si="753"/>
        <v>0</v>
      </c>
      <c r="P9205" s="903">
        <f t="shared" si="754"/>
        <v>1</v>
      </c>
      <c r="Q9205" s="893">
        <f t="shared" si="755"/>
        <v>11</v>
      </c>
      <c r="R9205" s="894">
        <f t="shared" si="756"/>
        <v>0</v>
      </c>
    </row>
    <row r="9206" spans="1:18" s="904" customFormat="1">
      <c r="A9206" s="905"/>
      <c r="B9206" s="952"/>
      <c r="C9206" s="907">
        <v>315</v>
      </c>
      <c r="D9206" s="907" t="s">
        <v>279</v>
      </c>
      <c r="E9206" s="992" t="s">
        <v>6316</v>
      </c>
      <c r="F9206" s="905" t="s">
        <v>49</v>
      </c>
      <c r="G9206" s="1005"/>
      <c r="H9206" s="911">
        <v>0.5</v>
      </c>
      <c r="I9206" s="912">
        <f>VLOOKUP(E9206,[3]VLP!$B$7:$K$300,10,0)</f>
        <v>8000</v>
      </c>
      <c r="J9206" s="912">
        <f>I9206*H9206</f>
        <v>4000</v>
      </c>
      <c r="K9206" s="912" t="s">
        <v>274</v>
      </c>
      <c r="L9206" s="912"/>
      <c r="M9206" s="912"/>
      <c r="N9206" s="912"/>
      <c r="O9206" s="892">
        <f t="shared" si="753"/>
        <v>0</v>
      </c>
      <c r="P9206" s="903">
        <f t="shared" si="754"/>
        <v>1</v>
      </c>
      <c r="Q9206" s="893">
        <f t="shared" si="755"/>
        <v>10</v>
      </c>
      <c r="R9206" s="894">
        <f t="shared" si="756"/>
        <v>0</v>
      </c>
    </row>
    <row r="9207" spans="1:18">
      <c r="A9207" s="905"/>
      <c r="B9207" s="952"/>
      <c r="C9207" s="907">
        <v>235</v>
      </c>
      <c r="D9207" s="907" t="s">
        <v>279</v>
      </c>
      <c r="E9207" s="992" t="s">
        <v>2682</v>
      </c>
      <c r="F9207" s="905" t="s">
        <v>45</v>
      </c>
      <c r="G9207" s="1005"/>
      <c r="H9207" s="911">
        <v>0.3</v>
      </c>
      <c r="I9207" s="912">
        <f>VLOOKUP(E9207,[3]VLP!$B$7:$K$300,10,0)</f>
        <v>5000</v>
      </c>
      <c r="J9207" s="912">
        <f>I9207*H9207</f>
        <v>1500</v>
      </c>
      <c r="K9207" s="912" t="s">
        <v>274</v>
      </c>
      <c r="L9207" s="912"/>
      <c r="M9207" s="912"/>
      <c r="N9207" s="912"/>
      <c r="O9207" s="892">
        <f t="shared" si="753"/>
        <v>0</v>
      </c>
      <c r="P9207" s="903">
        <f t="shared" si="754"/>
        <v>1</v>
      </c>
      <c r="Q9207" s="893">
        <f t="shared" si="755"/>
        <v>9</v>
      </c>
      <c r="R9207" s="894">
        <f t="shared" si="756"/>
        <v>0</v>
      </c>
    </row>
    <row r="9208" spans="1:18" s="847" customFormat="1">
      <c r="A9208" s="905"/>
      <c r="B9208" s="952"/>
      <c r="C9208" s="907">
        <v>699</v>
      </c>
      <c r="D9208" s="907" t="s">
        <v>279</v>
      </c>
      <c r="E9208" s="992" t="s">
        <v>4006</v>
      </c>
      <c r="F9208" s="905" t="s">
        <v>4007</v>
      </c>
      <c r="G9208" s="1005"/>
      <c r="H9208" s="911">
        <v>10</v>
      </c>
      <c r="I9208" s="912">
        <f>VLOOKUP(E9208,[3]VLP!$B$7:$K$300,10,0)</f>
        <v>5000</v>
      </c>
      <c r="J9208" s="912">
        <f>I9208*H9208</f>
        <v>50000</v>
      </c>
      <c r="K9208" s="912" t="s">
        <v>274</v>
      </c>
      <c r="L9208" s="912"/>
      <c r="M9208" s="912"/>
      <c r="N9208" s="912"/>
      <c r="O9208" s="892">
        <f t="shared" si="753"/>
        <v>0</v>
      </c>
      <c r="P9208" s="903">
        <f t="shared" si="754"/>
        <v>1</v>
      </c>
      <c r="Q9208" s="893">
        <f t="shared" si="755"/>
        <v>8</v>
      </c>
      <c r="R9208" s="894">
        <f t="shared" si="756"/>
        <v>0</v>
      </c>
    </row>
    <row r="9209" spans="1:18" s="904" customFormat="1">
      <c r="A9209" s="895"/>
      <c r="B9209" s="896"/>
      <c r="C9209" s="897"/>
      <c r="D9209" s="897"/>
      <c r="E9209" s="1002" t="s">
        <v>276</v>
      </c>
      <c r="F9209" s="1003"/>
      <c r="G9209" s="1004"/>
      <c r="H9209" s="901"/>
      <c r="I9209" s="902"/>
      <c r="J9209" s="902"/>
      <c r="K9209" s="912" t="s">
        <v>274</v>
      </c>
      <c r="L9209" s="902"/>
      <c r="M9209" s="902"/>
      <c r="N9209" s="902"/>
      <c r="O9209" s="892">
        <f t="shared" si="753"/>
        <v>0</v>
      </c>
      <c r="P9209" s="903">
        <f t="shared" si="754"/>
        <v>1</v>
      </c>
      <c r="Q9209" s="893">
        <f t="shared" si="755"/>
        <v>7</v>
      </c>
      <c r="R9209" s="894">
        <f t="shared" si="756"/>
        <v>0</v>
      </c>
    </row>
    <row r="9210" spans="1:18">
      <c r="A9210" s="905"/>
      <c r="B9210" s="952"/>
      <c r="C9210" s="907">
        <v>740</v>
      </c>
      <c r="D9210" s="907" t="s">
        <v>12</v>
      </c>
      <c r="E9210" s="992" t="s">
        <v>4008</v>
      </c>
      <c r="F9210" s="905" t="s">
        <v>2674</v>
      </c>
      <c r="G9210" s="1005"/>
      <c r="H9210" s="911">
        <v>4.8</v>
      </c>
      <c r="I9210" s="912"/>
      <c r="J9210" s="912"/>
      <c r="K9210" s="912">
        <f>VLOOKUP(E9210,[5]ĐMNC!$A$7:$F$67,4,0)</f>
        <v>221125</v>
      </c>
      <c r="L9210" s="912">
        <f>H9210*K9210</f>
        <v>1061400</v>
      </c>
      <c r="M9210" s="912"/>
      <c r="N9210" s="912"/>
      <c r="O9210" s="892">
        <f t="shared" si="753"/>
        <v>0</v>
      </c>
      <c r="P9210" s="903">
        <f t="shared" si="754"/>
        <v>1</v>
      </c>
      <c r="Q9210" s="893">
        <f t="shared" si="755"/>
        <v>6</v>
      </c>
      <c r="R9210" s="894">
        <f t="shared" si="756"/>
        <v>0</v>
      </c>
    </row>
    <row r="9211" spans="1:18" s="847" customFormat="1">
      <c r="A9211" s="895"/>
      <c r="B9211" s="896"/>
      <c r="C9211" s="897"/>
      <c r="D9211" s="897"/>
      <c r="E9211" s="1002" t="s">
        <v>3914</v>
      </c>
      <c r="F9211" s="895"/>
      <c r="G9211" s="1004"/>
      <c r="H9211" s="901"/>
      <c r="I9211" s="902"/>
      <c r="J9211" s="902"/>
      <c r="K9211" s="912" t="s">
        <v>274</v>
      </c>
      <c r="L9211" s="902"/>
      <c r="M9211" s="902"/>
      <c r="N9211" s="902"/>
      <c r="O9211" s="892">
        <f t="shared" si="753"/>
        <v>0</v>
      </c>
      <c r="P9211" s="903">
        <f t="shared" si="754"/>
        <v>1</v>
      </c>
      <c r="Q9211" s="893">
        <f t="shared" si="755"/>
        <v>5</v>
      </c>
      <c r="R9211" s="894">
        <f t="shared" si="756"/>
        <v>0</v>
      </c>
    </row>
    <row r="9212" spans="1:18" s="904" customFormat="1">
      <c r="A9212" s="905"/>
      <c r="B9212" s="952" t="s">
        <v>6408</v>
      </c>
      <c r="C9212" s="907">
        <v>913</v>
      </c>
      <c r="D9212" s="907" t="s">
        <v>93</v>
      </c>
      <c r="E9212" s="992" t="s">
        <v>6409</v>
      </c>
      <c r="F9212" s="905" t="s">
        <v>2673</v>
      </c>
      <c r="G9212" s="1005"/>
      <c r="H9212" s="911">
        <v>1.26</v>
      </c>
      <c r="I9212" s="912"/>
      <c r="J9212" s="912"/>
      <c r="K9212" s="912"/>
      <c r="L9212" s="912"/>
      <c r="M9212" s="912">
        <f>VLOOKUP(B9212,MTC!$B$9:$S$933,12,0)</f>
        <v>0</v>
      </c>
      <c r="N9212" s="912">
        <f>M9212*H9212</f>
        <v>0</v>
      </c>
      <c r="O9212" s="892">
        <f t="shared" si="753"/>
        <v>0</v>
      </c>
      <c r="P9212" s="903">
        <f t="shared" si="754"/>
        <v>1</v>
      </c>
      <c r="Q9212" s="893">
        <f t="shared" si="755"/>
        <v>4</v>
      </c>
      <c r="R9212" s="894">
        <f t="shared" si="756"/>
        <v>0</v>
      </c>
    </row>
    <row r="9213" spans="1:18">
      <c r="A9213" s="905"/>
      <c r="B9213" s="952" t="s">
        <v>6410</v>
      </c>
      <c r="C9213" s="907">
        <v>906</v>
      </c>
      <c r="D9213" s="907" t="s">
        <v>93</v>
      </c>
      <c r="E9213" s="992" t="s">
        <v>6411</v>
      </c>
      <c r="F9213" s="905" t="s">
        <v>2673</v>
      </c>
      <c r="G9213" s="1005"/>
      <c r="H9213" s="911">
        <v>0.44</v>
      </c>
      <c r="I9213" s="912"/>
      <c r="J9213" s="912"/>
      <c r="K9213" s="912"/>
      <c r="L9213" s="912"/>
      <c r="M9213" s="912">
        <f>VLOOKUP(B9213,MTC!$B$9:$S$933,12,0)</f>
        <v>0</v>
      </c>
      <c r="N9213" s="912">
        <f>M9213*H9213</f>
        <v>0</v>
      </c>
      <c r="O9213" s="892">
        <f t="shared" si="753"/>
        <v>0</v>
      </c>
      <c r="P9213" s="903">
        <f t="shared" si="754"/>
        <v>1</v>
      </c>
      <c r="Q9213" s="893">
        <f t="shared" si="755"/>
        <v>3</v>
      </c>
      <c r="R9213" s="894">
        <f t="shared" si="756"/>
        <v>0</v>
      </c>
    </row>
    <row r="9214" spans="1:18" s="847" customFormat="1">
      <c r="A9214" s="905"/>
      <c r="B9214" s="952" t="s">
        <v>6412</v>
      </c>
      <c r="C9214" s="907">
        <v>905</v>
      </c>
      <c r="D9214" s="907" t="s">
        <v>93</v>
      </c>
      <c r="E9214" s="992" t="s">
        <v>6413</v>
      </c>
      <c r="F9214" s="905" t="s">
        <v>2673</v>
      </c>
      <c r="G9214" s="1005"/>
      <c r="H9214" s="911">
        <v>0.44</v>
      </c>
      <c r="I9214" s="912"/>
      <c r="J9214" s="912"/>
      <c r="K9214" s="912"/>
      <c r="L9214" s="912"/>
      <c r="M9214" s="912">
        <f>VLOOKUP(B9214,MTC!$B$9:$S$933,12,0)</f>
        <v>225936</v>
      </c>
      <c r="N9214" s="912">
        <f>M9214*H9214</f>
        <v>99411.839999999997</v>
      </c>
      <c r="O9214" s="892">
        <f t="shared" si="753"/>
        <v>0</v>
      </c>
      <c r="P9214" s="903">
        <f t="shared" si="754"/>
        <v>1</v>
      </c>
      <c r="Q9214" s="893">
        <f t="shared" si="755"/>
        <v>2</v>
      </c>
      <c r="R9214" s="894">
        <f t="shared" si="756"/>
        <v>0</v>
      </c>
    </row>
    <row r="9215" spans="1:18" s="904" customFormat="1">
      <c r="A9215" s="905"/>
      <c r="B9215" s="952" t="s">
        <v>6414</v>
      </c>
      <c r="C9215" s="907">
        <v>914</v>
      </c>
      <c r="D9215" s="907" t="s">
        <v>93</v>
      </c>
      <c r="E9215" s="992" t="s">
        <v>6415</v>
      </c>
      <c r="F9215" s="905" t="s">
        <v>2673</v>
      </c>
      <c r="G9215" s="1005"/>
      <c r="H9215" s="911">
        <v>0.1</v>
      </c>
      <c r="I9215" s="912"/>
      <c r="J9215" s="912"/>
      <c r="K9215" s="912"/>
      <c r="L9215" s="912"/>
      <c r="M9215" s="912">
        <f>VLOOKUP(B9215,MTC!$B$9:$S$933,12,0)</f>
        <v>0</v>
      </c>
      <c r="N9215" s="912">
        <f>M9215*H9215</f>
        <v>0</v>
      </c>
      <c r="O9215" s="892">
        <f t="shared" si="753"/>
        <v>0</v>
      </c>
      <c r="P9215" s="903">
        <f t="shared" si="754"/>
        <v>1</v>
      </c>
      <c r="Q9215" s="893">
        <f t="shared" si="755"/>
        <v>1</v>
      </c>
      <c r="R9215" s="894">
        <f t="shared" si="756"/>
        <v>0</v>
      </c>
    </row>
    <row r="9216" spans="1:18" ht="47.25">
      <c r="A9216" s="905" t="s">
        <v>6452</v>
      </c>
      <c r="B9216" s="914" t="s">
        <v>6453</v>
      </c>
      <c r="C9216" s="915"/>
      <c r="D9216" s="915"/>
      <c r="E9216" s="1006" t="s">
        <v>6454</v>
      </c>
      <c r="F9216" s="1007" t="s">
        <v>136</v>
      </c>
      <c r="G9216" s="1008"/>
      <c r="H9216" s="919"/>
      <c r="I9216" s="920"/>
      <c r="J9216" s="962">
        <f>SUM(J9217:J9225)</f>
        <v>55500</v>
      </c>
      <c r="K9216" s="891" t="s">
        <v>274</v>
      </c>
      <c r="L9216" s="962">
        <f>SUM(L9217:L9225)</f>
        <v>442250</v>
      </c>
      <c r="M9216" s="962"/>
      <c r="N9216" s="962">
        <f>SUM(N9217:N9225)</f>
        <v>0</v>
      </c>
      <c r="O9216" s="892">
        <f t="shared" si="753"/>
        <v>1</v>
      </c>
      <c r="P9216" s="903">
        <f t="shared" si="754"/>
        <v>0</v>
      </c>
      <c r="Q9216" s="893">
        <f t="shared" si="755"/>
        <v>0</v>
      </c>
      <c r="R9216" s="894">
        <f t="shared" si="756"/>
        <v>9</v>
      </c>
    </row>
    <row r="9217" spans="1:18" s="847" customFormat="1">
      <c r="A9217" s="895"/>
      <c r="B9217" s="896"/>
      <c r="C9217" s="897"/>
      <c r="D9217" s="897"/>
      <c r="E9217" s="1002" t="s">
        <v>108</v>
      </c>
      <c r="F9217" s="895"/>
      <c r="G9217" s="1004"/>
      <c r="H9217" s="901"/>
      <c r="I9217" s="902"/>
      <c r="J9217" s="902"/>
      <c r="K9217" s="912" t="s">
        <v>274</v>
      </c>
      <c r="L9217" s="902"/>
      <c r="M9217" s="902"/>
      <c r="N9217" s="902"/>
      <c r="O9217" s="892">
        <f t="shared" si="753"/>
        <v>0</v>
      </c>
      <c r="P9217" s="903">
        <f t="shared" si="754"/>
        <v>1</v>
      </c>
      <c r="Q9217" s="893">
        <f t="shared" si="755"/>
        <v>9</v>
      </c>
      <c r="R9217" s="894">
        <f t="shared" si="756"/>
        <v>0</v>
      </c>
    </row>
    <row r="9218" spans="1:18" s="904" customFormat="1">
      <c r="A9218" s="905"/>
      <c r="B9218" s="952"/>
      <c r="C9218" s="907">
        <v>315</v>
      </c>
      <c r="D9218" s="907" t="s">
        <v>279</v>
      </c>
      <c r="E9218" s="992" t="s">
        <v>6316</v>
      </c>
      <c r="F9218" s="905" t="s">
        <v>49</v>
      </c>
      <c r="G9218" s="1005"/>
      <c r="H9218" s="911">
        <v>0.5</v>
      </c>
      <c r="I9218" s="912">
        <f>VLOOKUP(E9218,[3]VLP!$B$7:$K$300,10,0)</f>
        <v>8000</v>
      </c>
      <c r="J9218" s="912">
        <f>I9218*H9218</f>
        <v>4000</v>
      </c>
      <c r="K9218" s="912" t="s">
        <v>274</v>
      </c>
      <c r="L9218" s="912"/>
      <c r="M9218" s="912"/>
      <c r="N9218" s="912"/>
      <c r="O9218" s="892">
        <f t="shared" si="753"/>
        <v>0</v>
      </c>
      <c r="P9218" s="903">
        <f t="shared" si="754"/>
        <v>1</v>
      </c>
      <c r="Q9218" s="893">
        <f t="shared" si="755"/>
        <v>8</v>
      </c>
      <c r="R9218" s="894">
        <f t="shared" si="756"/>
        <v>0</v>
      </c>
    </row>
    <row r="9219" spans="1:18">
      <c r="A9219" s="905"/>
      <c r="B9219" s="952"/>
      <c r="C9219" s="907">
        <v>235</v>
      </c>
      <c r="D9219" s="907" t="s">
        <v>279</v>
      </c>
      <c r="E9219" s="992" t="s">
        <v>2682</v>
      </c>
      <c r="F9219" s="905" t="s">
        <v>45</v>
      </c>
      <c r="G9219" s="1005"/>
      <c r="H9219" s="911">
        <v>0.3</v>
      </c>
      <c r="I9219" s="912">
        <f>VLOOKUP(E9219,[3]VLP!$B$7:$K$300,10,0)</f>
        <v>5000</v>
      </c>
      <c r="J9219" s="912">
        <f>I9219*H9219</f>
        <v>1500</v>
      </c>
      <c r="K9219" s="912" t="s">
        <v>274</v>
      </c>
      <c r="L9219" s="912"/>
      <c r="M9219" s="912"/>
      <c r="N9219" s="912"/>
      <c r="O9219" s="892">
        <f t="shared" si="753"/>
        <v>0</v>
      </c>
      <c r="P9219" s="903">
        <f t="shared" si="754"/>
        <v>1</v>
      </c>
      <c r="Q9219" s="893">
        <f t="shared" si="755"/>
        <v>7</v>
      </c>
      <c r="R9219" s="894">
        <f t="shared" si="756"/>
        <v>0</v>
      </c>
    </row>
    <row r="9220" spans="1:18" s="847" customFormat="1">
      <c r="A9220" s="905"/>
      <c r="B9220" s="952"/>
      <c r="C9220" s="907">
        <v>699</v>
      </c>
      <c r="D9220" s="907" t="s">
        <v>279</v>
      </c>
      <c r="E9220" s="992" t="s">
        <v>4006</v>
      </c>
      <c r="F9220" s="905" t="s">
        <v>4007</v>
      </c>
      <c r="G9220" s="1005"/>
      <c r="H9220" s="911">
        <v>10</v>
      </c>
      <c r="I9220" s="912">
        <f>VLOOKUP(E9220,[3]VLP!$B$7:$K$300,10,0)</f>
        <v>5000</v>
      </c>
      <c r="J9220" s="912">
        <f>I9220*H9220</f>
        <v>50000</v>
      </c>
      <c r="K9220" s="912" t="s">
        <v>274</v>
      </c>
      <c r="L9220" s="912"/>
      <c r="M9220" s="912"/>
      <c r="N9220" s="912"/>
      <c r="O9220" s="892">
        <f t="shared" si="753"/>
        <v>0</v>
      </c>
      <c r="P9220" s="903">
        <f t="shared" si="754"/>
        <v>1</v>
      </c>
      <c r="Q9220" s="893">
        <f t="shared" si="755"/>
        <v>6</v>
      </c>
      <c r="R9220" s="894">
        <f t="shared" si="756"/>
        <v>0</v>
      </c>
    </row>
    <row r="9221" spans="1:18" s="904" customFormat="1">
      <c r="A9221" s="895"/>
      <c r="B9221" s="896"/>
      <c r="C9221" s="897"/>
      <c r="D9221" s="897"/>
      <c r="E9221" s="1002" t="s">
        <v>276</v>
      </c>
      <c r="F9221" s="1003"/>
      <c r="G9221" s="1004"/>
      <c r="H9221" s="901"/>
      <c r="I9221" s="902"/>
      <c r="J9221" s="902"/>
      <c r="K9221" s="912" t="s">
        <v>274</v>
      </c>
      <c r="L9221" s="902"/>
      <c r="M9221" s="902"/>
      <c r="N9221" s="902"/>
      <c r="O9221" s="892">
        <f t="shared" si="753"/>
        <v>0</v>
      </c>
      <c r="P9221" s="903">
        <f t="shared" si="754"/>
        <v>1</v>
      </c>
      <c r="Q9221" s="893">
        <f t="shared" si="755"/>
        <v>5</v>
      </c>
      <c r="R9221" s="894">
        <f t="shared" si="756"/>
        <v>0</v>
      </c>
    </row>
    <row r="9222" spans="1:18">
      <c r="A9222" s="905"/>
      <c r="B9222" s="952"/>
      <c r="C9222" s="907">
        <v>740</v>
      </c>
      <c r="D9222" s="907" t="s">
        <v>12</v>
      </c>
      <c r="E9222" s="992" t="s">
        <v>4008</v>
      </c>
      <c r="F9222" s="905" t="s">
        <v>2674</v>
      </c>
      <c r="G9222" s="1005"/>
      <c r="H9222" s="911">
        <v>2</v>
      </c>
      <c r="I9222" s="912"/>
      <c r="J9222" s="912"/>
      <c r="K9222" s="912">
        <f>VLOOKUP(E9222,[5]ĐMNC!$A$7:$F$67,4,0)</f>
        <v>221125</v>
      </c>
      <c r="L9222" s="912">
        <f>H9222*K9222</f>
        <v>442250</v>
      </c>
      <c r="M9222" s="912"/>
      <c r="N9222" s="912"/>
      <c r="O9222" s="892">
        <f t="shared" si="753"/>
        <v>0</v>
      </c>
      <c r="P9222" s="903">
        <f t="shared" si="754"/>
        <v>1</v>
      </c>
      <c r="Q9222" s="893">
        <f t="shared" si="755"/>
        <v>4</v>
      </c>
      <c r="R9222" s="894">
        <f t="shared" si="756"/>
        <v>0</v>
      </c>
    </row>
    <row r="9223" spans="1:18" s="847" customFormat="1">
      <c r="A9223" s="895"/>
      <c r="B9223" s="896"/>
      <c r="C9223" s="897"/>
      <c r="D9223" s="897"/>
      <c r="E9223" s="1002" t="s">
        <v>3914</v>
      </c>
      <c r="F9223" s="895"/>
      <c r="G9223" s="1004"/>
      <c r="H9223" s="901"/>
      <c r="I9223" s="902"/>
      <c r="J9223" s="902"/>
      <c r="K9223" s="912" t="s">
        <v>274</v>
      </c>
      <c r="L9223" s="902"/>
      <c r="M9223" s="902"/>
      <c r="N9223" s="902"/>
      <c r="O9223" s="892">
        <f t="shared" si="753"/>
        <v>0</v>
      </c>
      <c r="P9223" s="903">
        <f t="shared" si="754"/>
        <v>1</v>
      </c>
      <c r="Q9223" s="893">
        <f t="shared" si="755"/>
        <v>3</v>
      </c>
      <c r="R9223" s="894">
        <f t="shared" si="756"/>
        <v>0</v>
      </c>
    </row>
    <row r="9224" spans="1:18" s="904" customFormat="1">
      <c r="A9224" s="905"/>
      <c r="B9224" s="952" t="s">
        <v>6424</v>
      </c>
      <c r="C9224" s="907">
        <v>911</v>
      </c>
      <c r="D9224" s="907" t="s">
        <v>93</v>
      </c>
      <c r="E9224" s="992" t="s">
        <v>6425</v>
      </c>
      <c r="F9224" s="905" t="s">
        <v>2673</v>
      </c>
      <c r="G9224" s="1005"/>
      <c r="H9224" s="911">
        <v>0.34</v>
      </c>
      <c r="I9224" s="912"/>
      <c r="J9224" s="912"/>
      <c r="K9224" s="912"/>
      <c r="L9224" s="912"/>
      <c r="M9224" s="912">
        <f>VLOOKUP(B9224,MTC!$B$9:$S$933,12,0)</f>
        <v>0</v>
      </c>
      <c r="N9224" s="912">
        <f>M9224*H9224</f>
        <v>0</v>
      </c>
      <c r="O9224" s="892">
        <f t="shared" si="753"/>
        <v>0</v>
      </c>
      <c r="P9224" s="903">
        <f t="shared" si="754"/>
        <v>1</v>
      </c>
      <c r="Q9224" s="893">
        <f t="shared" si="755"/>
        <v>2</v>
      </c>
      <c r="R9224" s="894">
        <f t="shared" si="756"/>
        <v>0</v>
      </c>
    </row>
    <row r="9225" spans="1:18">
      <c r="A9225" s="905"/>
      <c r="B9225" s="952" t="s">
        <v>6414</v>
      </c>
      <c r="C9225" s="907">
        <v>914</v>
      </c>
      <c r="D9225" s="907" t="s">
        <v>93</v>
      </c>
      <c r="E9225" s="992" t="s">
        <v>6415</v>
      </c>
      <c r="F9225" s="905" t="s">
        <v>2673</v>
      </c>
      <c r="G9225" s="1005"/>
      <c r="H9225" s="911">
        <v>0.1</v>
      </c>
      <c r="I9225" s="912"/>
      <c r="J9225" s="912"/>
      <c r="K9225" s="912"/>
      <c r="L9225" s="912"/>
      <c r="M9225" s="912">
        <f>VLOOKUP(B9225,MTC!$B$9:$S$933,12,0)</f>
        <v>0</v>
      </c>
      <c r="N9225" s="912">
        <f>M9225*H9225</f>
        <v>0</v>
      </c>
      <c r="O9225" s="892">
        <f t="shared" si="753"/>
        <v>0</v>
      </c>
      <c r="P9225" s="903">
        <f t="shared" si="754"/>
        <v>1</v>
      </c>
      <c r="Q9225" s="893">
        <f t="shared" si="755"/>
        <v>1</v>
      </c>
      <c r="R9225" s="894">
        <f t="shared" si="756"/>
        <v>0</v>
      </c>
    </row>
    <row r="9226" spans="1:18" s="847" customFormat="1" ht="47.25">
      <c r="A9226" s="905">
        <v>54</v>
      </c>
      <c r="B9226" s="914" t="s">
        <v>6455</v>
      </c>
      <c r="C9226" s="915"/>
      <c r="D9226" s="915"/>
      <c r="E9226" s="1006" t="s">
        <v>6456</v>
      </c>
      <c r="F9226" s="1007" t="s">
        <v>136</v>
      </c>
      <c r="G9226" s="1008"/>
      <c r="H9226" s="919"/>
      <c r="I9226" s="920"/>
      <c r="J9226" s="962">
        <f>SUM(J9227:J9235)</f>
        <v>55500</v>
      </c>
      <c r="K9226" s="891" t="s">
        <v>274</v>
      </c>
      <c r="L9226" s="962">
        <f>SUM(L9227:L9235)</f>
        <v>552812.5</v>
      </c>
      <c r="M9226" s="962"/>
      <c r="N9226" s="962">
        <f>SUM(N9227:N9235)</f>
        <v>0</v>
      </c>
      <c r="O9226" s="892">
        <f t="shared" si="753"/>
        <v>1</v>
      </c>
      <c r="P9226" s="903">
        <f t="shared" si="754"/>
        <v>0</v>
      </c>
      <c r="Q9226" s="893">
        <f t="shared" si="755"/>
        <v>0</v>
      </c>
      <c r="R9226" s="894">
        <f t="shared" si="756"/>
        <v>9</v>
      </c>
    </row>
    <row r="9227" spans="1:18" s="904" customFormat="1">
      <c r="A9227" s="895"/>
      <c r="B9227" s="896"/>
      <c r="C9227" s="897"/>
      <c r="D9227" s="897"/>
      <c r="E9227" s="1002" t="s">
        <v>108</v>
      </c>
      <c r="F9227" s="895"/>
      <c r="G9227" s="1004"/>
      <c r="H9227" s="901"/>
      <c r="I9227" s="902"/>
      <c r="J9227" s="902"/>
      <c r="K9227" s="912" t="s">
        <v>274</v>
      </c>
      <c r="L9227" s="902"/>
      <c r="M9227" s="902"/>
      <c r="N9227" s="902"/>
      <c r="O9227" s="892">
        <f t="shared" si="753"/>
        <v>0</v>
      </c>
      <c r="P9227" s="903">
        <f t="shared" si="754"/>
        <v>1</v>
      </c>
      <c r="Q9227" s="893">
        <f t="shared" si="755"/>
        <v>9</v>
      </c>
      <c r="R9227" s="894">
        <f t="shared" si="756"/>
        <v>0</v>
      </c>
    </row>
    <row r="9228" spans="1:18">
      <c r="A9228" s="905"/>
      <c r="B9228" s="952"/>
      <c r="C9228" s="907">
        <v>315</v>
      </c>
      <c r="D9228" s="907" t="s">
        <v>279</v>
      </c>
      <c r="E9228" s="992" t="s">
        <v>6316</v>
      </c>
      <c r="F9228" s="905" t="s">
        <v>49</v>
      </c>
      <c r="G9228" s="1005"/>
      <c r="H9228" s="911">
        <v>0.5</v>
      </c>
      <c r="I9228" s="912">
        <f>VLOOKUP(E9228,[3]VLP!$B$7:$K$300,10,0)</f>
        <v>8000</v>
      </c>
      <c r="J9228" s="912">
        <f>I9228*H9228</f>
        <v>4000</v>
      </c>
      <c r="K9228" s="912" t="s">
        <v>274</v>
      </c>
      <c r="L9228" s="912"/>
      <c r="M9228" s="912"/>
      <c r="N9228" s="912"/>
      <c r="O9228" s="892">
        <f t="shared" si="753"/>
        <v>0</v>
      </c>
      <c r="P9228" s="903">
        <f t="shared" si="754"/>
        <v>1</v>
      </c>
      <c r="Q9228" s="893">
        <f t="shared" si="755"/>
        <v>8</v>
      </c>
      <c r="R9228" s="894">
        <f t="shared" si="756"/>
        <v>0</v>
      </c>
    </row>
    <row r="9229" spans="1:18" s="847" customFormat="1">
      <c r="A9229" s="905"/>
      <c r="B9229" s="952"/>
      <c r="C9229" s="907">
        <v>235</v>
      </c>
      <c r="D9229" s="907" t="s">
        <v>279</v>
      </c>
      <c r="E9229" s="992" t="s">
        <v>2682</v>
      </c>
      <c r="F9229" s="905" t="s">
        <v>45</v>
      </c>
      <c r="G9229" s="1005"/>
      <c r="H9229" s="911">
        <v>0.3</v>
      </c>
      <c r="I9229" s="912">
        <f>VLOOKUP(E9229,[3]VLP!$B$7:$K$300,10,0)</f>
        <v>5000</v>
      </c>
      <c r="J9229" s="912">
        <f>I9229*H9229</f>
        <v>1500</v>
      </c>
      <c r="K9229" s="912" t="s">
        <v>274</v>
      </c>
      <c r="L9229" s="912"/>
      <c r="M9229" s="912"/>
      <c r="N9229" s="912"/>
      <c r="O9229" s="892">
        <f t="shared" si="753"/>
        <v>0</v>
      </c>
      <c r="P9229" s="903">
        <f t="shared" si="754"/>
        <v>1</v>
      </c>
      <c r="Q9229" s="893">
        <f t="shared" si="755"/>
        <v>7</v>
      </c>
      <c r="R9229" s="894">
        <f t="shared" si="756"/>
        <v>0</v>
      </c>
    </row>
    <row r="9230" spans="1:18" s="904" customFormat="1">
      <c r="A9230" s="905"/>
      <c r="B9230" s="952"/>
      <c r="C9230" s="907">
        <v>699</v>
      </c>
      <c r="D9230" s="907" t="s">
        <v>279</v>
      </c>
      <c r="E9230" s="992" t="s">
        <v>4006</v>
      </c>
      <c r="F9230" s="905" t="s">
        <v>4007</v>
      </c>
      <c r="G9230" s="1005"/>
      <c r="H9230" s="911">
        <v>10</v>
      </c>
      <c r="I9230" s="912">
        <f>VLOOKUP(E9230,[3]VLP!$B$7:$K$300,10,0)</f>
        <v>5000</v>
      </c>
      <c r="J9230" s="912">
        <f>I9230*H9230</f>
        <v>50000</v>
      </c>
      <c r="K9230" s="912" t="s">
        <v>274</v>
      </c>
      <c r="L9230" s="912"/>
      <c r="M9230" s="912"/>
      <c r="N9230" s="912"/>
      <c r="O9230" s="892">
        <f t="shared" si="753"/>
        <v>0</v>
      </c>
      <c r="P9230" s="903">
        <f t="shared" si="754"/>
        <v>1</v>
      </c>
      <c r="Q9230" s="893">
        <f t="shared" si="755"/>
        <v>6</v>
      </c>
      <c r="R9230" s="894">
        <f t="shared" si="756"/>
        <v>0</v>
      </c>
    </row>
    <row r="9231" spans="1:18">
      <c r="A9231" s="895"/>
      <c r="B9231" s="896"/>
      <c r="C9231" s="897"/>
      <c r="D9231" s="897"/>
      <c r="E9231" s="1002" t="s">
        <v>276</v>
      </c>
      <c r="F9231" s="1003"/>
      <c r="G9231" s="1004"/>
      <c r="H9231" s="901"/>
      <c r="I9231" s="902"/>
      <c r="J9231" s="902"/>
      <c r="K9231" s="912" t="s">
        <v>274</v>
      </c>
      <c r="L9231" s="902"/>
      <c r="M9231" s="902"/>
      <c r="N9231" s="902"/>
      <c r="O9231" s="892">
        <f t="shared" si="753"/>
        <v>0</v>
      </c>
      <c r="P9231" s="903">
        <f t="shared" si="754"/>
        <v>1</v>
      </c>
      <c r="Q9231" s="893">
        <f t="shared" si="755"/>
        <v>5</v>
      </c>
      <c r="R9231" s="894">
        <f t="shared" si="756"/>
        <v>0</v>
      </c>
    </row>
    <row r="9232" spans="1:18" s="847" customFormat="1">
      <c r="A9232" s="905"/>
      <c r="B9232" s="952"/>
      <c r="C9232" s="907">
        <v>740</v>
      </c>
      <c r="D9232" s="907" t="s">
        <v>12</v>
      </c>
      <c r="E9232" s="992" t="s">
        <v>4008</v>
      </c>
      <c r="F9232" s="905" t="s">
        <v>2674</v>
      </c>
      <c r="G9232" s="1005"/>
      <c r="H9232" s="911">
        <v>2.5</v>
      </c>
      <c r="I9232" s="912"/>
      <c r="J9232" s="912"/>
      <c r="K9232" s="912">
        <f>VLOOKUP(E9232,[5]ĐMNC!$A$7:$F$67,4,0)</f>
        <v>221125</v>
      </c>
      <c r="L9232" s="912">
        <f>H9232*K9232</f>
        <v>552812.5</v>
      </c>
      <c r="M9232" s="912"/>
      <c r="N9232" s="912"/>
      <c r="O9232" s="892">
        <f t="shared" si="753"/>
        <v>0</v>
      </c>
      <c r="P9232" s="903">
        <f t="shared" si="754"/>
        <v>1</v>
      </c>
      <c r="Q9232" s="893">
        <f t="shared" si="755"/>
        <v>4</v>
      </c>
      <c r="R9232" s="894">
        <f t="shared" si="756"/>
        <v>0</v>
      </c>
    </row>
    <row r="9233" spans="1:18" s="904" customFormat="1">
      <c r="A9233" s="895"/>
      <c r="B9233" s="896"/>
      <c r="C9233" s="897"/>
      <c r="D9233" s="897"/>
      <c r="E9233" s="1002" t="s">
        <v>3914</v>
      </c>
      <c r="F9233" s="895"/>
      <c r="G9233" s="1004"/>
      <c r="H9233" s="901"/>
      <c r="I9233" s="902"/>
      <c r="J9233" s="902"/>
      <c r="K9233" s="912" t="s">
        <v>274</v>
      </c>
      <c r="L9233" s="902"/>
      <c r="M9233" s="902"/>
      <c r="N9233" s="902"/>
      <c r="O9233" s="892">
        <f t="shared" si="753"/>
        <v>0</v>
      </c>
      <c r="P9233" s="903">
        <f t="shared" si="754"/>
        <v>1</v>
      </c>
      <c r="Q9233" s="893">
        <f t="shared" si="755"/>
        <v>3</v>
      </c>
      <c r="R9233" s="894">
        <f t="shared" si="756"/>
        <v>0</v>
      </c>
    </row>
    <row r="9234" spans="1:18">
      <c r="A9234" s="905"/>
      <c r="B9234" s="952" t="s">
        <v>6424</v>
      </c>
      <c r="C9234" s="907">
        <v>911</v>
      </c>
      <c r="D9234" s="907" t="s">
        <v>93</v>
      </c>
      <c r="E9234" s="992" t="s">
        <v>6425</v>
      </c>
      <c r="F9234" s="905" t="s">
        <v>2673</v>
      </c>
      <c r="G9234" s="1005"/>
      <c r="H9234" s="911">
        <v>0.42</v>
      </c>
      <c r="I9234" s="912"/>
      <c r="J9234" s="912"/>
      <c r="K9234" s="912"/>
      <c r="L9234" s="912"/>
      <c r="M9234" s="912">
        <f>VLOOKUP(B9234,MTC!$B$9:$S$933,12,0)</f>
        <v>0</v>
      </c>
      <c r="N9234" s="912">
        <f>M9234*H9234</f>
        <v>0</v>
      </c>
      <c r="O9234" s="892">
        <f t="shared" si="753"/>
        <v>0</v>
      </c>
      <c r="P9234" s="903">
        <f t="shared" si="754"/>
        <v>1</v>
      </c>
      <c r="Q9234" s="893">
        <f t="shared" si="755"/>
        <v>2</v>
      </c>
      <c r="R9234" s="894">
        <f t="shared" si="756"/>
        <v>0</v>
      </c>
    </row>
    <row r="9235" spans="1:18" s="847" customFormat="1">
      <c r="A9235" s="905"/>
      <c r="B9235" s="952" t="s">
        <v>6414</v>
      </c>
      <c r="C9235" s="907">
        <v>914</v>
      </c>
      <c r="D9235" s="907" t="s">
        <v>93</v>
      </c>
      <c r="E9235" s="992" t="s">
        <v>6415</v>
      </c>
      <c r="F9235" s="905" t="s">
        <v>2673</v>
      </c>
      <c r="G9235" s="1005"/>
      <c r="H9235" s="911">
        <v>0.1</v>
      </c>
      <c r="I9235" s="912"/>
      <c r="J9235" s="912"/>
      <c r="K9235" s="912"/>
      <c r="L9235" s="912"/>
      <c r="M9235" s="912">
        <f>VLOOKUP(B9235,MTC!$B$9:$S$933,12,0)</f>
        <v>0</v>
      </c>
      <c r="N9235" s="912">
        <f>M9235*H9235</f>
        <v>0</v>
      </c>
      <c r="O9235" s="892">
        <f t="shared" si="753"/>
        <v>0</v>
      </c>
      <c r="P9235" s="903">
        <f t="shared" si="754"/>
        <v>1</v>
      </c>
      <c r="Q9235" s="893">
        <f t="shared" si="755"/>
        <v>1</v>
      </c>
      <c r="R9235" s="894">
        <f t="shared" si="756"/>
        <v>0</v>
      </c>
    </row>
    <row r="9236" spans="1:18" s="904" customFormat="1" ht="47.25">
      <c r="A9236" s="905">
        <v>55</v>
      </c>
      <c r="B9236" s="914" t="s">
        <v>6457</v>
      </c>
      <c r="C9236" s="915"/>
      <c r="D9236" s="915"/>
      <c r="E9236" s="1006" t="s">
        <v>6458</v>
      </c>
      <c r="F9236" s="1007" t="s">
        <v>136</v>
      </c>
      <c r="G9236" s="1008"/>
      <c r="H9236" s="919"/>
      <c r="I9236" s="920"/>
      <c r="J9236" s="962">
        <f>SUM(J9237:J9245)</f>
        <v>55500</v>
      </c>
      <c r="K9236" s="891" t="s">
        <v>274</v>
      </c>
      <c r="L9236" s="962">
        <f>SUM(L9237:L9245)</f>
        <v>663375</v>
      </c>
      <c r="M9236" s="962"/>
      <c r="N9236" s="962">
        <f>SUM(N9237:N9245)</f>
        <v>0</v>
      </c>
      <c r="O9236" s="892">
        <f t="shared" si="753"/>
        <v>1</v>
      </c>
      <c r="P9236" s="903">
        <f t="shared" si="754"/>
        <v>0</v>
      </c>
      <c r="Q9236" s="893">
        <f t="shared" si="755"/>
        <v>0</v>
      </c>
      <c r="R9236" s="894">
        <f t="shared" si="756"/>
        <v>9</v>
      </c>
    </row>
    <row r="9237" spans="1:18">
      <c r="A9237" s="895"/>
      <c r="B9237" s="896"/>
      <c r="C9237" s="897"/>
      <c r="D9237" s="897"/>
      <c r="E9237" s="1002" t="s">
        <v>108</v>
      </c>
      <c r="F9237" s="895"/>
      <c r="G9237" s="1004"/>
      <c r="H9237" s="901"/>
      <c r="I9237" s="902"/>
      <c r="J9237" s="902"/>
      <c r="K9237" s="912" t="s">
        <v>274</v>
      </c>
      <c r="L9237" s="902"/>
      <c r="M9237" s="902"/>
      <c r="N9237" s="902"/>
      <c r="O9237" s="892">
        <f t="shared" si="753"/>
        <v>0</v>
      </c>
      <c r="P9237" s="903">
        <f t="shared" si="754"/>
        <v>1</v>
      </c>
      <c r="Q9237" s="893">
        <f t="shared" si="755"/>
        <v>9</v>
      </c>
      <c r="R9237" s="894">
        <f t="shared" si="756"/>
        <v>0</v>
      </c>
    </row>
    <row r="9238" spans="1:18" s="847" customFormat="1">
      <c r="A9238" s="905"/>
      <c r="B9238" s="952"/>
      <c r="C9238" s="907">
        <v>315</v>
      </c>
      <c r="D9238" s="907" t="s">
        <v>279</v>
      </c>
      <c r="E9238" s="992" t="s">
        <v>6316</v>
      </c>
      <c r="F9238" s="905" t="s">
        <v>49</v>
      </c>
      <c r="G9238" s="1005"/>
      <c r="H9238" s="911">
        <v>0.5</v>
      </c>
      <c r="I9238" s="912">
        <f>VLOOKUP(E9238,[3]VLP!$B$7:$K$300,10,0)</f>
        <v>8000</v>
      </c>
      <c r="J9238" s="912">
        <f>I9238*H9238</f>
        <v>4000</v>
      </c>
      <c r="K9238" s="912" t="s">
        <v>274</v>
      </c>
      <c r="L9238" s="912"/>
      <c r="M9238" s="912"/>
      <c r="N9238" s="912"/>
      <c r="O9238" s="892">
        <f t="shared" si="753"/>
        <v>0</v>
      </c>
      <c r="P9238" s="903">
        <f t="shared" si="754"/>
        <v>1</v>
      </c>
      <c r="Q9238" s="893">
        <f t="shared" si="755"/>
        <v>8</v>
      </c>
      <c r="R9238" s="894">
        <f t="shared" si="756"/>
        <v>0</v>
      </c>
    </row>
    <row r="9239" spans="1:18" s="904" customFormat="1">
      <c r="A9239" s="905"/>
      <c r="B9239" s="952"/>
      <c r="C9239" s="907">
        <v>235</v>
      </c>
      <c r="D9239" s="907" t="s">
        <v>279</v>
      </c>
      <c r="E9239" s="992" t="s">
        <v>2682</v>
      </c>
      <c r="F9239" s="905" t="s">
        <v>45</v>
      </c>
      <c r="G9239" s="1005"/>
      <c r="H9239" s="911">
        <v>0.3</v>
      </c>
      <c r="I9239" s="912">
        <f>VLOOKUP(E9239,[3]VLP!$B$7:$K$300,10,0)</f>
        <v>5000</v>
      </c>
      <c r="J9239" s="912">
        <f>I9239*H9239</f>
        <v>1500</v>
      </c>
      <c r="K9239" s="912" t="s">
        <v>274</v>
      </c>
      <c r="L9239" s="912"/>
      <c r="M9239" s="912"/>
      <c r="N9239" s="912"/>
      <c r="O9239" s="892">
        <f t="shared" si="753"/>
        <v>0</v>
      </c>
      <c r="P9239" s="903">
        <f t="shared" si="754"/>
        <v>1</v>
      </c>
      <c r="Q9239" s="893">
        <f t="shared" si="755"/>
        <v>7</v>
      </c>
      <c r="R9239" s="894">
        <f t="shared" si="756"/>
        <v>0</v>
      </c>
    </row>
    <row r="9240" spans="1:18">
      <c r="A9240" s="905"/>
      <c r="B9240" s="952"/>
      <c r="C9240" s="907">
        <v>699</v>
      </c>
      <c r="D9240" s="907" t="s">
        <v>279</v>
      </c>
      <c r="E9240" s="992" t="s">
        <v>4006</v>
      </c>
      <c r="F9240" s="905" t="s">
        <v>4007</v>
      </c>
      <c r="G9240" s="1005"/>
      <c r="H9240" s="911">
        <v>10</v>
      </c>
      <c r="I9240" s="912">
        <f>VLOOKUP(E9240,[3]VLP!$B$7:$K$300,10,0)</f>
        <v>5000</v>
      </c>
      <c r="J9240" s="912">
        <f>I9240*H9240</f>
        <v>50000</v>
      </c>
      <c r="K9240" s="912" t="s">
        <v>274</v>
      </c>
      <c r="L9240" s="912"/>
      <c r="M9240" s="912"/>
      <c r="N9240" s="912"/>
      <c r="O9240" s="892">
        <f t="shared" si="753"/>
        <v>0</v>
      </c>
      <c r="P9240" s="903">
        <f t="shared" si="754"/>
        <v>1</v>
      </c>
      <c r="Q9240" s="893">
        <f t="shared" si="755"/>
        <v>6</v>
      </c>
      <c r="R9240" s="894">
        <f t="shared" si="756"/>
        <v>0</v>
      </c>
    </row>
    <row r="9241" spans="1:18" s="847" customFormat="1">
      <c r="A9241" s="895"/>
      <c r="B9241" s="896"/>
      <c r="C9241" s="897"/>
      <c r="D9241" s="897"/>
      <c r="E9241" s="1002" t="s">
        <v>276</v>
      </c>
      <c r="F9241" s="1003"/>
      <c r="G9241" s="1004"/>
      <c r="H9241" s="901"/>
      <c r="I9241" s="902"/>
      <c r="J9241" s="902"/>
      <c r="K9241" s="912" t="s">
        <v>274</v>
      </c>
      <c r="L9241" s="902"/>
      <c r="M9241" s="902"/>
      <c r="N9241" s="902"/>
      <c r="O9241" s="892">
        <f t="shared" si="753"/>
        <v>0</v>
      </c>
      <c r="P9241" s="903">
        <f t="shared" si="754"/>
        <v>1</v>
      </c>
      <c r="Q9241" s="893">
        <f t="shared" si="755"/>
        <v>5</v>
      </c>
      <c r="R9241" s="894">
        <f t="shared" si="756"/>
        <v>0</v>
      </c>
    </row>
    <row r="9242" spans="1:18" s="904" customFormat="1">
      <c r="A9242" s="905"/>
      <c r="B9242" s="952"/>
      <c r="C9242" s="907">
        <v>740</v>
      </c>
      <c r="D9242" s="907" t="s">
        <v>12</v>
      </c>
      <c r="E9242" s="992" t="s">
        <v>4008</v>
      </c>
      <c r="F9242" s="905" t="s">
        <v>2674</v>
      </c>
      <c r="G9242" s="1005"/>
      <c r="H9242" s="911">
        <v>3</v>
      </c>
      <c r="I9242" s="912"/>
      <c r="J9242" s="912"/>
      <c r="K9242" s="912">
        <f>VLOOKUP(E9242,[5]ĐMNC!$A$7:$F$67,4,0)</f>
        <v>221125</v>
      </c>
      <c r="L9242" s="912">
        <f>H9242*K9242</f>
        <v>663375</v>
      </c>
      <c r="M9242" s="912"/>
      <c r="N9242" s="912"/>
      <c r="O9242" s="892">
        <f t="shared" si="753"/>
        <v>0</v>
      </c>
      <c r="P9242" s="903">
        <f t="shared" si="754"/>
        <v>1</v>
      </c>
      <c r="Q9242" s="893">
        <f t="shared" si="755"/>
        <v>4</v>
      </c>
      <c r="R9242" s="894">
        <f t="shared" si="756"/>
        <v>0</v>
      </c>
    </row>
    <row r="9243" spans="1:18">
      <c r="A9243" s="895"/>
      <c r="B9243" s="896"/>
      <c r="C9243" s="897"/>
      <c r="D9243" s="897"/>
      <c r="E9243" s="1002" t="s">
        <v>3914</v>
      </c>
      <c r="F9243" s="895"/>
      <c r="G9243" s="1004"/>
      <c r="H9243" s="901"/>
      <c r="I9243" s="902"/>
      <c r="J9243" s="902"/>
      <c r="K9243" s="912" t="s">
        <v>274</v>
      </c>
      <c r="L9243" s="902"/>
      <c r="M9243" s="902"/>
      <c r="N9243" s="902"/>
      <c r="O9243" s="892">
        <f t="shared" si="753"/>
        <v>0</v>
      </c>
      <c r="P9243" s="903">
        <f t="shared" si="754"/>
        <v>1</v>
      </c>
      <c r="Q9243" s="893">
        <f t="shared" si="755"/>
        <v>3</v>
      </c>
      <c r="R9243" s="894">
        <f t="shared" si="756"/>
        <v>0</v>
      </c>
    </row>
    <row r="9244" spans="1:18" s="847" customFormat="1">
      <c r="A9244" s="905"/>
      <c r="B9244" s="952" t="s">
        <v>6424</v>
      </c>
      <c r="C9244" s="907">
        <v>911</v>
      </c>
      <c r="D9244" s="907" t="s">
        <v>93</v>
      </c>
      <c r="E9244" s="992" t="s">
        <v>6425</v>
      </c>
      <c r="F9244" s="905" t="s">
        <v>2673</v>
      </c>
      <c r="G9244" s="1005"/>
      <c r="H9244" s="911">
        <v>0.5</v>
      </c>
      <c r="I9244" s="912"/>
      <c r="J9244" s="912"/>
      <c r="K9244" s="912"/>
      <c r="L9244" s="912"/>
      <c r="M9244" s="912">
        <f>VLOOKUP(B9244,MTC!$B$9:$S$933,12,0)</f>
        <v>0</v>
      </c>
      <c r="N9244" s="912">
        <f>M9244*H9244</f>
        <v>0</v>
      </c>
      <c r="O9244" s="892">
        <f t="shared" si="753"/>
        <v>0</v>
      </c>
      <c r="P9244" s="903">
        <f t="shared" si="754"/>
        <v>1</v>
      </c>
      <c r="Q9244" s="893">
        <f t="shared" si="755"/>
        <v>2</v>
      </c>
      <c r="R9244" s="894">
        <f t="shared" si="756"/>
        <v>0</v>
      </c>
    </row>
    <row r="9245" spans="1:18" s="904" customFormat="1">
      <c r="A9245" s="905"/>
      <c r="B9245" s="952" t="s">
        <v>6414</v>
      </c>
      <c r="C9245" s="907">
        <v>914</v>
      </c>
      <c r="D9245" s="907" t="s">
        <v>93</v>
      </c>
      <c r="E9245" s="992" t="s">
        <v>6415</v>
      </c>
      <c r="F9245" s="905" t="s">
        <v>2673</v>
      </c>
      <c r="G9245" s="1005"/>
      <c r="H9245" s="911">
        <v>0.1</v>
      </c>
      <c r="I9245" s="912"/>
      <c r="J9245" s="912"/>
      <c r="K9245" s="912"/>
      <c r="L9245" s="912"/>
      <c r="M9245" s="912">
        <f>VLOOKUP(B9245,MTC!$B$9:$S$933,12,0)</f>
        <v>0</v>
      </c>
      <c r="N9245" s="912">
        <f>M9245*H9245</f>
        <v>0</v>
      </c>
      <c r="O9245" s="892">
        <f t="shared" si="753"/>
        <v>0</v>
      </c>
      <c r="P9245" s="903">
        <f t="shared" si="754"/>
        <v>1</v>
      </c>
      <c r="Q9245" s="893">
        <f t="shared" si="755"/>
        <v>1</v>
      </c>
      <c r="R9245" s="894">
        <f t="shared" si="756"/>
        <v>0</v>
      </c>
    </row>
    <row r="9246" spans="1:18" ht="47.25">
      <c r="A9246" s="905">
        <v>56</v>
      </c>
      <c r="B9246" s="914" t="s">
        <v>6459</v>
      </c>
      <c r="C9246" s="915"/>
      <c r="D9246" s="915"/>
      <c r="E9246" s="1006" t="s">
        <v>6460</v>
      </c>
      <c r="F9246" s="1007" t="s">
        <v>136</v>
      </c>
      <c r="G9246" s="1008"/>
      <c r="H9246" s="919"/>
      <c r="I9246" s="920"/>
      <c r="J9246" s="962">
        <f>SUM(J9247:J9255)</f>
        <v>55500</v>
      </c>
      <c r="K9246" s="891" t="s">
        <v>274</v>
      </c>
      <c r="L9246" s="962">
        <f>SUM(L9247:L9255)</f>
        <v>840275</v>
      </c>
      <c r="M9246" s="962"/>
      <c r="N9246" s="962">
        <f>SUM(N9247:N9255)</f>
        <v>0</v>
      </c>
      <c r="O9246" s="892">
        <f t="shared" si="753"/>
        <v>1</v>
      </c>
      <c r="P9246" s="903">
        <f t="shared" si="754"/>
        <v>0</v>
      </c>
      <c r="Q9246" s="893">
        <f t="shared" si="755"/>
        <v>0</v>
      </c>
      <c r="R9246" s="894">
        <f t="shared" si="756"/>
        <v>9</v>
      </c>
    </row>
    <row r="9247" spans="1:18" s="847" customFormat="1">
      <c r="A9247" s="895"/>
      <c r="B9247" s="896"/>
      <c r="C9247" s="897"/>
      <c r="D9247" s="897"/>
      <c r="E9247" s="1002" t="s">
        <v>108</v>
      </c>
      <c r="F9247" s="895"/>
      <c r="G9247" s="1004"/>
      <c r="H9247" s="901"/>
      <c r="I9247" s="902"/>
      <c r="J9247" s="902"/>
      <c r="K9247" s="912" t="s">
        <v>274</v>
      </c>
      <c r="L9247" s="902"/>
      <c r="M9247" s="902"/>
      <c r="N9247" s="902"/>
      <c r="O9247" s="892">
        <f t="shared" ref="O9247:O9310" si="757">IF(AND(B9247&lt;&gt;"",D9247=""),1,0)</f>
        <v>0</v>
      </c>
      <c r="P9247" s="903">
        <f t="shared" si="754"/>
        <v>1</v>
      </c>
      <c r="Q9247" s="893">
        <f t="shared" si="755"/>
        <v>9</v>
      </c>
      <c r="R9247" s="894">
        <f t="shared" si="756"/>
        <v>0</v>
      </c>
    </row>
    <row r="9248" spans="1:18" s="904" customFormat="1">
      <c r="A9248" s="905"/>
      <c r="B9248" s="952"/>
      <c r="C9248" s="907">
        <v>315</v>
      </c>
      <c r="D9248" s="907" t="s">
        <v>279</v>
      </c>
      <c r="E9248" s="992" t="s">
        <v>6316</v>
      </c>
      <c r="F9248" s="905" t="s">
        <v>49</v>
      </c>
      <c r="G9248" s="1005"/>
      <c r="H9248" s="911">
        <v>0.5</v>
      </c>
      <c r="I9248" s="912">
        <f>VLOOKUP(E9248,[3]VLP!$B$7:$K$300,10,0)</f>
        <v>8000</v>
      </c>
      <c r="J9248" s="912">
        <f>I9248*H9248</f>
        <v>4000</v>
      </c>
      <c r="K9248" s="912" t="s">
        <v>274</v>
      </c>
      <c r="L9248" s="912"/>
      <c r="M9248" s="912"/>
      <c r="N9248" s="912"/>
      <c r="O9248" s="892">
        <f t="shared" si="757"/>
        <v>0</v>
      </c>
      <c r="P9248" s="903">
        <f t="shared" si="754"/>
        <v>1</v>
      </c>
      <c r="Q9248" s="893">
        <f t="shared" si="755"/>
        <v>8</v>
      </c>
      <c r="R9248" s="894">
        <f t="shared" si="756"/>
        <v>0</v>
      </c>
    </row>
    <row r="9249" spans="1:18">
      <c r="A9249" s="905"/>
      <c r="B9249" s="952"/>
      <c r="C9249" s="907">
        <v>235</v>
      </c>
      <c r="D9249" s="907" t="s">
        <v>279</v>
      </c>
      <c r="E9249" s="992" t="s">
        <v>2682</v>
      </c>
      <c r="F9249" s="905" t="s">
        <v>45</v>
      </c>
      <c r="G9249" s="1005"/>
      <c r="H9249" s="911">
        <v>0.3</v>
      </c>
      <c r="I9249" s="912">
        <f>VLOOKUP(E9249,[3]VLP!$B$7:$K$300,10,0)</f>
        <v>5000</v>
      </c>
      <c r="J9249" s="912">
        <f>I9249*H9249</f>
        <v>1500</v>
      </c>
      <c r="K9249" s="912" t="s">
        <v>274</v>
      </c>
      <c r="L9249" s="912"/>
      <c r="M9249" s="912"/>
      <c r="N9249" s="912"/>
      <c r="O9249" s="892">
        <f t="shared" si="757"/>
        <v>0</v>
      </c>
      <c r="P9249" s="903">
        <f t="shared" si="754"/>
        <v>1</v>
      </c>
      <c r="Q9249" s="893">
        <f t="shared" si="755"/>
        <v>7</v>
      </c>
      <c r="R9249" s="894">
        <f t="shared" si="756"/>
        <v>0</v>
      </c>
    </row>
    <row r="9250" spans="1:18" s="847" customFormat="1">
      <c r="A9250" s="905"/>
      <c r="B9250" s="952"/>
      <c r="C9250" s="907">
        <v>699</v>
      </c>
      <c r="D9250" s="907" t="s">
        <v>279</v>
      </c>
      <c r="E9250" s="992" t="s">
        <v>4006</v>
      </c>
      <c r="F9250" s="905" t="s">
        <v>4007</v>
      </c>
      <c r="G9250" s="1005"/>
      <c r="H9250" s="911">
        <v>10</v>
      </c>
      <c r="I9250" s="912">
        <f>VLOOKUP(E9250,[3]VLP!$B$7:$K$300,10,0)</f>
        <v>5000</v>
      </c>
      <c r="J9250" s="912">
        <f>I9250*H9250</f>
        <v>50000</v>
      </c>
      <c r="K9250" s="912" t="s">
        <v>274</v>
      </c>
      <c r="L9250" s="912"/>
      <c r="M9250" s="912"/>
      <c r="N9250" s="912"/>
      <c r="O9250" s="892">
        <f t="shared" si="757"/>
        <v>0</v>
      </c>
      <c r="P9250" s="903">
        <f t="shared" si="754"/>
        <v>1</v>
      </c>
      <c r="Q9250" s="893">
        <f t="shared" si="755"/>
        <v>6</v>
      </c>
      <c r="R9250" s="894">
        <f t="shared" si="756"/>
        <v>0</v>
      </c>
    </row>
    <row r="9251" spans="1:18" s="904" customFormat="1">
      <c r="A9251" s="895"/>
      <c r="B9251" s="896"/>
      <c r="C9251" s="897"/>
      <c r="D9251" s="897"/>
      <c r="E9251" s="1002" t="s">
        <v>276</v>
      </c>
      <c r="F9251" s="1003"/>
      <c r="G9251" s="1004"/>
      <c r="H9251" s="901"/>
      <c r="I9251" s="902"/>
      <c r="J9251" s="902"/>
      <c r="K9251" s="912" t="s">
        <v>274</v>
      </c>
      <c r="L9251" s="902"/>
      <c r="M9251" s="902"/>
      <c r="N9251" s="902"/>
      <c r="O9251" s="892">
        <f t="shared" si="757"/>
        <v>0</v>
      </c>
      <c r="P9251" s="903">
        <f t="shared" si="754"/>
        <v>1</v>
      </c>
      <c r="Q9251" s="893">
        <f t="shared" si="755"/>
        <v>5</v>
      </c>
      <c r="R9251" s="894">
        <f t="shared" si="756"/>
        <v>0</v>
      </c>
    </row>
    <row r="9252" spans="1:18">
      <c r="A9252" s="905"/>
      <c r="B9252" s="952"/>
      <c r="C9252" s="907">
        <v>740</v>
      </c>
      <c r="D9252" s="907" t="s">
        <v>12</v>
      </c>
      <c r="E9252" s="992" t="s">
        <v>4008</v>
      </c>
      <c r="F9252" s="905" t="s">
        <v>2674</v>
      </c>
      <c r="G9252" s="1005"/>
      <c r="H9252" s="911">
        <v>3.8</v>
      </c>
      <c r="I9252" s="912"/>
      <c r="J9252" s="912"/>
      <c r="K9252" s="912">
        <f>VLOOKUP(E9252,[5]ĐMNC!$A$7:$F$67,4,0)</f>
        <v>221125</v>
      </c>
      <c r="L9252" s="912">
        <f>H9252*K9252</f>
        <v>840275</v>
      </c>
      <c r="M9252" s="912"/>
      <c r="N9252" s="912"/>
      <c r="O9252" s="892">
        <f t="shared" si="757"/>
        <v>0</v>
      </c>
      <c r="P9252" s="903">
        <f t="shared" si="754"/>
        <v>1</v>
      </c>
      <c r="Q9252" s="893">
        <f t="shared" si="755"/>
        <v>4</v>
      </c>
      <c r="R9252" s="894">
        <f t="shared" si="756"/>
        <v>0</v>
      </c>
    </row>
    <row r="9253" spans="1:18" s="847" customFormat="1">
      <c r="A9253" s="895"/>
      <c r="B9253" s="896"/>
      <c r="C9253" s="897"/>
      <c r="D9253" s="897"/>
      <c r="E9253" s="1002" t="s">
        <v>3914</v>
      </c>
      <c r="F9253" s="895"/>
      <c r="G9253" s="1004"/>
      <c r="H9253" s="901"/>
      <c r="I9253" s="902"/>
      <c r="J9253" s="902"/>
      <c r="K9253" s="912" t="s">
        <v>274</v>
      </c>
      <c r="L9253" s="902"/>
      <c r="M9253" s="902"/>
      <c r="N9253" s="902"/>
      <c r="O9253" s="892">
        <f t="shared" si="757"/>
        <v>0</v>
      </c>
      <c r="P9253" s="903">
        <f t="shared" si="754"/>
        <v>1</v>
      </c>
      <c r="Q9253" s="893">
        <f t="shared" si="755"/>
        <v>3</v>
      </c>
      <c r="R9253" s="894">
        <f t="shared" si="756"/>
        <v>0</v>
      </c>
    </row>
    <row r="9254" spans="1:18" s="904" customFormat="1">
      <c r="A9254" s="905"/>
      <c r="B9254" s="952" t="s">
        <v>6424</v>
      </c>
      <c r="C9254" s="907">
        <v>911</v>
      </c>
      <c r="D9254" s="907" t="s">
        <v>93</v>
      </c>
      <c r="E9254" s="992" t="s">
        <v>6425</v>
      </c>
      <c r="F9254" s="905" t="s">
        <v>2673</v>
      </c>
      <c r="G9254" s="1005"/>
      <c r="H9254" s="911">
        <v>0.62</v>
      </c>
      <c r="I9254" s="912"/>
      <c r="J9254" s="912"/>
      <c r="K9254" s="912"/>
      <c r="L9254" s="912"/>
      <c r="M9254" s="912">
        <f>VLOOKUP(B9254,MTC!$B$9:$S$933,12,0)</f>
        <v>0</v>
      </c>
      <c r="N9254" s="912">
        <f>M9254*H9254</f>
        <v>0</v>
      </c>
      <c r="O9254" s="892">
        <f t="shared" si="757"/>
        <v>0</v>
      </c>
      <c r="P9254" s="903">
        <f t="shared" si="754"/>
        <v>1</v>
      </c>
      <c r="Q9254" s="893">
        <f t="shared" si="755"/>
        <v>2</v>
      </c>
      <c r="R9254" s="894">
        <f t="shared" si="756"/>
        <v>0</v>
      </c>
    </row>
    <row r="9255" spans="1:18">
      <c r="A9255" s="905"/>
      <c r="B9255" s="952" t="s">
        <v>6414</v>
      </c>
      <c r="C9255" s="907">
        <v>914</v>
      </c>
      <c r="D9255" s="907" t="s">
        <v>93</v>
      </c>
      <c r="E9255" s="992" t="s">
        <v>6415</v>
      </c>
      <c r="F9255" s="905" t="s">
        <v>2673</v>
      </c>
      <c r="G9255" s="1005"/>
      <c r="H9255" s="911">
        <v>0.1</v>
      </c>
      <c r="I9255" s="912"/>
      <c r="J9255" s="912"/>
      <c r="K9255" s="912"/>
      <c r="L9255" s="912"/>
      <c r="M9255" s="912">
        <f>VLOOKUP(B9255,MTC!$B$9:$S$933,12,0)</f>
        <v>0</v>
      </c>
      <c r="N9255" s="912">
        <f>M9255*H9255</f>
        <v>0</v>
      </c>
      <c r="O9255" s="892">
        <f t="shared" si="757"/>
        <v>0</v>
      </c>
      <c r="P9255" s="903">
        <f t="shared" si="754"/>
        <v>1</v>
      </c>
      <c r="Q9255" s="893">
        <f t="shared" si="755"/>
        <v>1</v>
      </c>
      <c r="R9255" s="894">
        <f t="shared" si="756"/>
        <v>0</v>
      </c>
    </row>
    <row r="9256" spans="1:18" s="847" customFormat="1" ht="47.25">
      <c r="A9256" s="905">
        <v>57</v>
      </c>
      <c r="B9256" s="914" t="s">
        <v>6461</v>
      </c>
      <c r="C9256" s="915"/>
      <c r="D9256" s="915"/>
      <c r="E9256" s="1006" t="s">
        <v>6462</v>
      </c>
      <c r="F9256" s="1007" t="s">
        <v>136</v>
      </c>
      <c r="G9256" s="1008"/>
      <c r="H9256" s="919"/>
      <c r="I9256" s="920"/>
      <c r="J9256" s="962">
        <f>SUM(J9257:J9265)</f>
        <v>55500</v>
      </c>
      <c r="K9256" s="891" t="s">
        <v>274</v>
      </c>
      <c r="L9256" s="962">
        <f>SUM(L9257:L9265)</f>
        <v>1061400</v>
      </c>
      <c r="M9256" s="962"/>
      <c r="N9256" s="962">
        <f>SUM(N9257:N9265)</f>
        <v>0</v>
      </c>
      <c r="O9256" s="892">
        <f t="shared" si="757"/>
        <v>1</v>
      </c>
      <c r="P9256" s="903">
        <f t="shared" si="754"/>
        <v>0</v>
      </c>
      <c r="Q9256" s="893">
        <f t="shared" si="755"/>
        <v>0</v>
      </c>
      <c r="R9256" s="894">
        <f t="shared" si="756"/>
        <v>9</v>
      </c>
    </row>
    <row r="9257" spans="1:18" s="904" customFormat="1">
      <c r="A9257" s="895"/>
      <c r="B9257" s="896"/>
      <c r="C9257" s="897"/>
      <c r="D9257" s="897"/>
      <c r="E9257" s="1002" t="s">
        <v>108</v>
      </c>
      <c r="F9257" s="895"/>
      <c r="G9257" s="1004"/>
      <c r="H9257" s="901"/>
      <c r="I9257" s="902"/>
      <c r="J9257" s="902"/>
      <c r="K9257" s="912" t="s">
        <v>274</v>
      </c>
      <c r="L9257" s="902"/>
      <c r="M9257" s="902"/>
      <c r="N9257" s="902"/>
      <c r="O9257" s="892">
        <f t="shared" si="757"/>
        <v>0</v>
      </c>
      <c r="P9257" s="903">
        <f t="shared" si="754"/>
        <v>1</v>
      </c>
      <c r="Q9257" s="893">
        <f t="shared" si="755"/>
        <v>9</v>
      </c>
      <c r="R9257" s="894">
        <f t="shared" si="756"/>
        <v>0</v>
      </c>
    </row>
    <row r="9258" spans="1:18">
      <c r="A9258" s="905"/>
      <c r="B9258" s="952"/>
      <c r="C9258" s="907">
        <v>315</v>
      </c>
      <c r="D9258" s="907" t="s">
        <v>279</v>
      </c>
      <c r="E9258" s="992" t="s">
        <v>6316</v>
      </c>
      <c r="F9258" s="905" t="s">
        <v>49</v>
      </c>
      <c r="G9258" s="1005"/>
      <c r="H9258" s="911">
        <v>0.5</v>
      </c>
      <c r="I9258" s="912">
        <f>VLOOKUP(E9258,[3]VLP!$B$7:$K$300,10,0)</f>
        <v>8000</v>
      </c>
      <c r="J9258" s="912">
        <f>I9258*H9258</f>
        <v>4000</v>
      </c>
      <c r="K9258" s="912" t="s">
        <v>274</v>
      </c>
      <c r="L9258" s="912"/>
      <c r="M9258" s="912"/>
      <c r="N9258" s="912"/>
      <c r="O9258" s="892">
        <f t="shared" si="757"/>
        <v>0</v>
      </c>
      <c r="P9258" s="903">
        <f t="shared" si="754"/>
        <v>1</v>
      </c>
      <c r="Q9258" s="893">
        <f t="shared" si="755"/>
        <v>8</v>
      </c>
      <c r="R9258" s="894">
        <f t="shared" si="756"/>
        <v>0</v>
      </c>
    </row>
    <row r="9259" spans="1:18" s="847" customFormat="1">
      <c r="A9259" s="905"/>
      <c r="B9259" s="952"/>
      <c r="C9259" s="907">
        <v>235</v>
      </c>
      <c r="D9259" s="907" t="s">
        <v>279</v>
      </c>
      <c r="E9259" s="992" t="s">
        <v>2682</v>
      </c>
      <c r="F9259" s="905" t="s">
        <v>45</v>
      </c>
      <c r="G9259" s="1005"/>
      <c r="H9259" s="911">
        <v>0.3</v>
      </c>
      <c r="I9259" s="912">
        <f>VLOOKUP(E9259,[3]VLP!$B$7:$K$300,10,0)</f>
        <v>5000</v>
      </c>
      <c r="J9259" s="912">
        <f>I9259*H9259</f>
        <v>1500</v>
      </c>
      <c r="K9259" s="912" t="s">
        <v>274</v>
      </c>
      <c r="L9259" s="912"/>
      <c r="M9259" s="912"/>
      <c r="N9259" s="912"/>
      <c r="O9259" s="892">
        <f t="shared" si="757"/>
        <v>0</v>
      </c>
      <c r="P9259" s="903">
        <f t="shared" si="754"/>
        <v>1</v>
      </c>
      <c r="Q9259" s="893">
        <f t="shared" si="755"/>
        <v>7</v>
      </c>
      <c r="R9259" s="894">
        <f t="shared" si="756"/>
        <v>0</v>
      </c>
    </row>
    <row r="9260" spans="1:18" s="904" customFormat="1">
      <c r="A9260" s="905"/>
      <c r="B9260" s="952"/>
      <c r="C9260" s="907">
        <v>699</v>
      </c>
      <c r="D9260" s="907" t="s">
        <v>279</v>
      </c>
      <c r="E9260" s="992" t="s">
        <v>4006</v>
      </c>
      <c r="F9260" s="905" t="s">
        <v>4007</v>
      </c>
      <c r="G9260" s="1005"/>
      <c r="H9260" s="911">
        <v>10</v>
      </c>
      <c r="I9260" s="912">
        <f>VLOOKUP(E9260,[3]VLP!$B$7:$K$300,10,0)</f>
        <v>5000</v>
      </c>
      <c r="J9260" s="912">
        <f>I9260*H9260</f>
        <v>50000</v>
      </c>
      <c r="K9260" s="912" t="s">
        <v>274</v>
      </c>
      <c r="L9260" s="912"/>
      <c r="M9260" s="912"/>
      <c r="N9260" s="912"/>
      <c r="O9260" s="892">
        <f t="shared" si="757"/>
        <v>0</v>
      </c>
      <c r="P9260" s="903">
        <f t="shared" si="754"/>
        <v>1</v>
      </c>
      <c r="Q9260" s="893">
        <f t="shared" si="755"/>
        <v>6</v>
      </c>
      <c r="R9260" s="894">
        <f t="shared" si="756"/>
        <v>0</v>
      </c>
    </row>
    <row r="9261" spans="1:18">
      <c r="A9261" s="895"/>
      <c r="B9261" s="896"/>
      <c r="C9261" s="897"/>
      <c r="D9261" s="897"/>
      <c r="E9261" s="1002" t="s">
        <v>276</v>
      </c>
      <c r="F9261" s="1003"/>
      <c r="G9261" s="1004"/>
      <c r="H9261" s="901"/>
      <c r="I9261" s="902"/>
      <c r="J9261" s="902"/>
      <c r="K9261" s="912" t="s">
        <v>274</v>
      </c>
      <c r="L9261" s="902"/>
      <c r="M9261" s="902"/>
      <c r="N9261" s="902"/>
      <c r="O9261" s="892">
        <f t="shared" si="757"/>
        <v>0</v>
      </c>
      <c r="P9261" s="903">
        <f t="shared" si="754"/>
        <v>1</v>
      </c>
      <c r="Q9261" s="893">
        <f t="shared" si="755"/>
        <v>5</v>
      </c>
      <c r="R9261" s="894">
        <f t="shared" si="756"/>
        <v>0</v>
      </c>
    </row>
    <row r="9262" spans="1:18" s="847" customFormat="1">
      <c r="A9262" s="905"/>
      <c r="B9262" s="952"/>
      <c r="C9262" s="907">
        <v>740</v>
      </c>
      <c r="D9262" s="907" t="s">
        <v>12</v>
      </c>
      <c r="E9262" s="992" t="s">
        <v>4008</v>
      </c>
      <c r="F9262" s="905" t="s">
        <v>2674</v>
      </c>
      <c r="G9262" s="1005"/>
      <c r="H9262" s="911">
        <v>4.8</v>
      </c>
      <c r="I9262" s="912"/>
      <c r="J9262" s="912"/>
      <c r="K9262" s="912">
        <f>VLOOKUP(E9262,[5]ĐMNC!$A$7:$F$67,4,0)</f>
        <v>221125</v>
      </c>
      <c r="L9262" s="912">
        <f>H9262*K9262</f>
        <v>1061400</v>
      </c>
      <c r="M9262" s="912"/>
      <c r="N9262" s="912"/>
      <c r="O9262" s="892">
        <f t="shared" si="757"/>
        <v>0</v>
      </c>
      <c r="P9262" s="903">
        <f t="shared" si="754"/>
        <v>1</v>
      </c>
      <c r="Q9262" s="893">
        <f t="shared" si="755"/>
        <v>4</v>
      </c>
      <c r="R9262" s="894">
        <f t="shared" si="756"/>
        <v>0</v>
      </c>
    </row>
    <row r="9263" spans="1:18" s="904" customFormat="1">
      <c r="A9263" s="895"/>
      <c r="B9263" s="896"/>
      <c r="C9263" s="897"/>
      <c r="D9263" s="897"/>
      <c r="E9263" s="1002" t="s">
        <v>3914</v>
      </c>
      <c r="F9263" s="895"/>
      <c r="G9263" s="1004"/>
      <c r="H9263" s="901"/>
      <c r="I9263" s="902"/>
      <c r="J9263" s="902"/>
      <c r="K9263" s="912" t="s">
        <v>274</v>
      </c>
      <c r="L9263" s="902"/>
      <c r="M9263" s="902"/>
      <c r="N9263" s="902"/>
      <c r="O9263" s="892">
        <f t="shared" si="757"/>
        <v>0</v>
      </c>
      <c r="P9263" s="903">
        <f t="shared" si="754"/>
        <v>1</v>
      </c>
      <c r="Q9263" s="893">
        <f t="shared" si="755"/>
        <v>3</v>
      </c>
      <c r="R9263" s="894">
        <f t="shared" si="756"/>
        <v>0</v>
      </c>
    </row>
    <row r="9264" spans="1:18">
      <c r="A9264" s="905"/>
      <c r="B9264" s="952" t="s">
        <v>6424</v>
      </c>
      <c r="C9264" s="907">
        <v>911</v>
      </c>
      <c r="D9264" s="907" t="s">
        <v>93</v>
      </c>
      <c r="E9264" s="992" t="s">
        <v>6425</v>
      </c>
      <c r="F9264" s="905" t="s">
        <v>2673</v>
      </c>
      <c r="G9264" s="1005"/>
      <c r="H9264" s="911">
        <v>0.76</v>
      </c>
      <c r="I9264" s="912"/>
      <c r="J9264" s="912"/>
      <c r="K9264" s="912"/>
      <c r="L9264" s="912"/>
      <c r="M9264" s="912">
        <f>VLOOKUP(B9264,MTC!$B$9:$S$933,12,0)</f>
        <v>0</v>
      </c>
      <c r="N9264" s="912">
        <f>M9264*H9264</f>
        <v>0</v>
      </c>
      <c r="O9264" s="892">
        <f t="shared" si="757"/>
        <v>0</v>
      </c>
      <c r="P9264" s="903">
        <f t="shared" si="754"/>
        <v>1</v>
      </c>
      <c r="Q9264" s="893">
        <f t="shared" si="755"/>
        <v>2</v>
      </c>
      <c r="R9264" s="894">
        <f t="shared" si="756"/>
        <v>0</v>
      </c>
    </row>
    <row r="9265" spans="1:18" s="847" customFormat="1">
      <c r="A9265" s="905"/>
      <c r="B9265" s="952" t="s">
        <v>6414</v>
      </c>
      <c r="C9265" s="907">
        <v>914</v>
      </c>
      <c r="D9265" s="907" t="s">
        <v>93</v>
      </c>
      <c r="E9265" s="992" t="s">
        <v>6415</v>
      </c>
      <c r="F9265" s="905" t="s">
        <v>2673</v>
      </c>
      <c r="G9265" s="1005"/>
      <c r="H9265" s="911">
        <v>0.1</v>
      </c>
      <c r="I9265" s="912"/>
      <c r="J9265" s="912"/>
      <c r="K9265" s="912"/>
      <c r="L9265" s="912"/>
      <c r="M9265" s="912">
        <f>VLOOKUP(B9265,MTC!$B$9:$S$933,12,0)</f>
        <v>0</v>
      </c>
      <c r="N9265" s="912">
        <f>M9265*H9265</f>
        <v>0</v>
      </c>
      <c r="O9265" s="892">
        <f t="shared" si="757"/>
        <v>0</v>
      </c>
      <c r="P9265" s="903">
        <f t="shared" si="754"/>
        <v>1</v>
      </c>
      <c r="Q9265" s="893">
        <f t="shared" si="755"/>
        <v>1</v>
      </c>
      <c r="R9265" s="894">
        <f t="shared" si="756"/>
        <v>0</v>
      </c>
    </row>
    <row r="9266" spans="1:18" s="904" customFormat="1" ht="47.25">
      <c r="A9266" s="905" t="s">
        <v>6452</v>
      </c>
      <c r="B9266" s="914" t="s">
        <v>6463</v>
      </c>
      <c r="C9266" s="915"/>
      <c r="D9266" s="915"/>
      <c r="E9266" s="1006" t="s">
        <v>6464</v>
      </c>
      <c r="F9266" s="1007" t="s">
        <v>136</v>
      </c>
      <c r="G9266" s="1008"/>
      <c r="H9266" s="919"/>
      <c r="I9266" s="920"/>
      <c r="J9266" s="962">
        <f>SUM(J9267:J9275)</f>
        <v>55500</v>
      </c>
      <c r="K9266" s="891" t="s">
        <v>274</v>
      </c>
      <c r="L9266" s="962">
        <f>SUM(L9267:L9275)</f>
        <v>442250</v>
      </c>
      <c r="M9266" s="962"/>
      <c r="N9266" s="962">
        <f>SUM(N9267:N9275)</f>
        <v>0</v>
      </c>
      <c r="O9266" s="892">
        <f t="shared" si="757"/>
        <v>1</v>
      </c>
      <c r="P9266" s="903">
        <f t="shared" si="754"/>
        <v>0</v>
      </c>
      <c r="Q9266" s="893">
        <f t="shared" si="755"/>
        <v>0</v>
      </c>
      <c r="R9266" s="894">
        <f t="shared" si="756"/>
        <v>9</v>
      </c>
    </row>
    <row r="9267" spans="1:18">
      <c r="A9267" s="895"/>
      <c r="B9267" s="896"/>
      <c r="C9267" s="897"/>
      <c r="D9267" s="897"/>
      <c r="E9267" s="1002" t="s">
        <v>108</v>
      </c>
      <c r="F9267" s="895"/>
      <c r="G9267" s="1004"/>
      <c r="H9267" s="901"/>
      <c r="I9267" s="902"/>
      <c r="J9267" s="902"/>
      <c r="K9267" s="912" t="s">
        <v>274</v>
      </c>
      <c r="L9267" s="902"/>
      <c r="M9267" s="902"/>
      <c r="N9267" s="902"/>
      <c r="O9267" s="892">
        <f t="shared" si="757"/>
        <v>0</v>
      </c>
      <c r="P9267" s="903">
        <f t="shared" ref="P9267:P9330" si="758">IF(O9267=0,1,0)</f>
        <v>1</v>
      </c>
      <c r="Q9267" s="893">
        <f t="shared" ref="Q9267:Q9330" si="759">IF(P9267=0,0,P9267+Q9268)</f>
        <v>9</v>
      </c>
      <c r="R9267" s="894">
        <f t="shared" ref="R9267:R9330" si="760">IF(Q9267=0,Q9268,0)</f>
        <v>0</v>
      </c>
    </row>
    <row r="9268" spans="1:18" s="847" customFormat="1">
      <c r="A9268" s="905"/>
      <c r="B9268" s="952"/>
      <c r="C9268" s="907">
        <v>315</v>
      </c>
      <c r="D9268" s="907" t="s">
        <v>279</v>
      </c>
      <c r="E9268" s="992" t="s">
        <v>6316</v>
      </c>
      <c r="F9268" s="905" t="s">
        <v>49</v>
      </c>
      <c r="G9268" s="1005"/>
      <c r="H9268" s="911">
        <v>0.5</v>
      </c>
      <c r="I9268" s="912">
        <f>VLOOKUP(E9268,[3]VLP!$B$7:$K$300,10,0)</f>
        <v>8000</v>
      </c>
      <c r="J9268" s="912">
        <f>I9268*H9268</f>
        <v>4000</v>
      </c>
      <c r="K9268" s="912" t="s">
        <v>274</v>
      </c>
      <c r="L9268" s="912"/>
      <c r="M9268" s="912"/>
      <c r="N9268" s="912"/>
      <c r="O9268" s="892">
        <f t="shared" si="757"/>
        <v>0</v>
      </c>
      <c r="P9268" s="903">
        <f t="shared" si="758"/>
        <v>1</v>
      </c>
      <c r="Q9268" s="893">
        <f t="shared" si="759"/>
        <v>8</v>
      </c>
      <c r="R9268" s="894">
        <f t="shared" si="760"/>
        <v>0</v>
      </c>
    </row>
    <row r="9269" spans="1:18" s="904" customFormat="1">
      <c r="A9269" s="905"/>
      <c r="B9269" s="952"/>
      <c r="C9269" s="907">
        <v>235</v>
      </c>
      <c r="D9269" s="907" t="s">
        <v>279</v>
      </c>
      <c r="E9269" s="992" t="s">
        <v>2682</v>
      </c>
      <c r="F9269" s="905" t="s">
        <v>45</v>
      </c>
      <c r="G9269" s="1005"/>
      <c r="H9269" s="911">
        <v>0.3</v>
      </c>
      <c r="I9269" s="912">
        <f>VLOOKUP(E9269,[3]VLP!$B$7:$K$300,10,0)</f>
        <v>5000</v>
      </c>
      <c r="J9269" s="912">
        <f>I9269*H9269</f>
        <v>1500</v>
      </c>
      <c r="K9269" s="912" t="s">
        <v>274</v>
      </c>
      <c r="L9269" s="912"/>
      <c r="M9269" s="912"/>
      <c r="N9269" s="912"/>
      <c r="O9269" s="892">
        <f t="shared" si="757"/>
        <v>0</v>
      </c>
      <c r="P9269" s="903">
        <f t="shared" si="758"/>
        <v>1</v>
      </c>
      <c r="Q9269" s="893">
        <f t="shared" si="759"/>
        <v>7</v>
      </c>
      <c r="R9269" s="894">
        <f t="shared" si="760"/>
        <v>0</v>
      </c>
    </row>
    <row r="9270" spans="1:18">
      <c r="A9270" s="905"/>
      <c r="B9270" s="952"/>
      <c r="C9270" s="907">
        <v>699</v>
      </c>
      <c r="D9270" s="907" t="s">
        <v>279</v>
      </c>
      <c r="E9270" s="992" t="s">
        <v>4006</v>
      </c>
      <c r="F9270" s="905" t="s">
        <v>4007</v>
      </c>
      <c r="G9270" s="1005"/>
      <c r="H9270" s="911">
        <v>10</v>
      </c>
      <c r="I9270" s="912">
        <f>VLOOKUP(E9270,[3]VLP!$B$7:$K$300,10,0)</f>
        <v>5000</v>
      </c>
      <c r="J9270" s="912">
        <f>I9270*H9270</f>
        <v>50000</v>
      </c>
      <c r="K9270" s="912" t="s">
        <v>274</v>
      </c>
      <c r="L9270" s="912"/>
      <c r="M9270" s="912"/>
      <c r="N9270" s="912"/>
      <c r="O9270" s="892">
        <f t="shared" si="757"/>
        <v>0</v>
      </c>
      <c r="P9270" s="903">
        <f t="shared" si="758"/>
        <v>1</v>
      </c>
      <c r="Q9270" s="893">
        <f t="shared" si="759"/>
        <v>6</v>
      </c>
      <c r="R9270" s="894">
        <f t="shared" si="760"/>
        <v>0</v>
      </c>
    </row>
    <row r="9271" spans="1:18" s="847" customFormat="1">
      <c r="A9271" s="895"/>
      <c r="B9271" s="896"/>
      <c r="C9271" s="897"/>
      <c r="D9271" s="897"/>
      <c r="E9271" s="1002" t="s">
        <v>276</v>
      </c>
      <c r="F9271" s="1003"/>
      <c r="G9271" s="1004"/>
      <c r="H9271" s="901"/>
      <c r="I9271" s="902"/>
      <c r="J9271" s="902"/>
      <c r="K9271" s="912" t="s">
        <v>274</v>
      </c>
      <c r="L9271" s="902"/>
      <c r="M9271" s="902"/>
      <c r="N9271" s="902"/>
      <c r="O9271" s="892">
        <f t="shared" si="757"/>
        <v>0</v>
      </c>
      <c r="P9271" s="903">
        <f t="shared" si="758"/>
        <v>1</v>
      </c>
      <c r="Q9271" s="893">
        <f t="shared" si="759"/>
        <v>5</v>
      </c>
      <c r="R9271" s="894">
        <f t="shared" si="760"/>
        <v>0</v>
      </c>
    </row>
    <row r="9272" spans="1:18" s="904" customFormat="1">
      <c r="A9272" s="905"/>
      <c r="B9272" s="952"/>
      <c r="C9272" s="907">
        <v>740</v>
      </c>
      <c r="D9272" s="907" t="s">
        <v>12</v>
      </c>
      <c r="E9272" s="992" t="s">
        <v>4008</v>
      </c>
      <c r="F9272" s="905" t="s">
        <v>2674</v>
      </c>
      <c r="G9272" s="1005"/>
      <c r="H9272" s="911">
        <v>2</v>
      </c>
      <c r="I9272" s="912"/>
      <c r="J9272" s="912"/>
      <c r="K9272" s="912">
        <f>VLOOKUP(E9272,[5]ĐMNC!$A$7:$F$67,4,0)</f>
        <v>221125</v>
      </c>
      <c r="L9272" s="912">
        <f>H9272*K9272</f>
        <v>442250</v>
      </c>
      <c r="M9272" s="912"/>
      <c r="N9272" s="912"/>
      <c r="O9272" s="892">
        <f t="shared" si="757"/>
        <v>0</v>
      </c>
      <c r="P9272" s="903">
        <f t="shared" si="758"/>
        <v>1</v>
      </c>
      <c r="Q9272" s="893">
        <f t="shared" si="759"/>
        <v>4</v>
      </c>
      <c r="R9272" s="894">
        <f t="shared" si="760"/>
        <v>0</v>
      </c>
    </row>
    <row r="9273" spans="1:18">
      <c r="A9273" s="895"/>
      <c r="B9273" s="896"/>
      <c r="C9273" s="897"/>
      <c r="D9273" s="897"/>
      <c r="E9273" s="1002" t="s">
        <v>3914</v>
      </c>
      <c r="F9273" s="895"/>
      <c r="G9273" s="1004"/>
      <c r="H9273" s="901"/>
      <c r="I9273" s="902"/>
      <c r="J9273" s="902"/>
      <c r="K9273" s="912" t="s">
        <v>274</v>
      </c>
      <c r="L9273" s="902"/>
      <c r="M9273" s="902"/>
      <c r="N9273" s="902"/>
      <c r="O9273" s="892">
        <f t="shared" si="757"/>
        <v>0</v>
      </c>
      <c r="P9273" s="903">
        <f t="shared" si="758"/>
        <v>1</v>
      </c>
      <c r="Q9273" s="893">
        <f t="shared" si="759"/>
        <v>3</v>
      </c>
      <c r="R9273" s="894">
        <f t="shared" si="760"/>
        <v>0</v>
      </c>
    </row>
    <row r="9274" spans="1:18" s="847" customFormat="1">
      <c r="A9274" s="905"/>
      <c r="B9274" s="952" t="s">
        <v>6434</v>
      </c>
      <c r="C9274" s="907">
        <v>912</v>
      </c>
      <c r="D9274" s="907" t="s">
        <v>93</v>
      </c>
      <c r="E9274" s="992" t="s">
        <v>6435</v>
      </c>
      <c r="F9274" s="905" t="s">
        <v>2673</v>
      </c>
      <c r="G9274" s="1005"/>
      <c r="H9274" s="911">
        <v>0.218</v>
      </c>
      <c r="I9274" s="912"/>
      <c r="J9274" s="912"/>
      <c r="K9274" s="912"/>
      <c r="L9274" s="912"/>
      <c r="M9274" s="912">
        <f>VLOOKUP(B9274,MTC!$B$9:$S$933,12,0)</f>
        <v>0</v>
      </c>
      <c r="N9274" s="912">
        <f>M9274*H9274</f>
        <v>0</v>
      </c>
      <c r="O9274" s="892">
        <f t="shared" si="757"/>
        <v>0</v>
      </c>
      <c r="P9274" s="903">
        <f t="shared" si="758"/>
        <v>1</v>
      </c>
      <c r="Q9274" s="893">
        <f t="shared" si="759"/>
        <v>2</v>
      </c>
      <c r="R9274" s="894">
        <f t="shared" si="760"/>
        <v>0</v>
      </c>
    </row>
    <row r="9275" spans="1:18" s="904" customFormat="1">
      <c r="A9275" s="905"/>
      <c r="B9275" s="952" t="s">
        <v>6414</v>
      </c>
      <c r="C9275" s="907">
        <v>914</v>
      </c>
      <c r="D9275" s="907" t="s">
        <v>93</v>
      </c>
      <c r="E9275" s="992" t="s">
        <v>6415</v>
      </c>
      <c r="F9275" s="905" t="s">
        <v>2673</v>
      </c>
      <c r="G9275" s="1005"/>
      <c r="H9275" s="911">
        <v>0.1</v>
      </c>
      <c r="I9275" s="912"/>
      <c r="J9275" s="912"/>
      <c r="K9275" s="912"/>
      <c r="L9275" s="912"/>
      <c r="M9275" s="912">
        <f>VLOOKUP(B9275,MTC!$B$9:$S$933,12,0)</f>
        <v>0</v>
      </c>
      <c r="N9275" s="912">
        <f>M9275*H9275</f>
        <v>0</v>
      </c>
      <c r="O9275" s="892">
        <f t="shared" si="757"/>
        <v>0</v>
      </c>
      <c r="P9275" s="903">
        <f t="shared" si="758"/>
        <v>1</v>
      </c>
      <c r="Q9275" s="893">
        <f t="shared" si="759"/>
        <v>1</v>
      </c>
      <c r="R9275" s="894">
        <f t="shared" si="760"/>
        <v>0</v>
      </c>
    </row>
    <row r="9276" spans="1:18" ht="47.25">
      <c r="A9276" s="905">
        <v>59</v>
      </c>
      <c r="B9276" s="914" t="s">
        <v>6465</v>
      </c>
      <c r="C9276" s="915"/>
      <c r="D9276" s="915"/>
      <c r="E9276" s="1006" t="s">
        <v>6466</v>
      </c>
      <c r="F9276" s="1007" t="s">
        <v>136</v>
      </c>
      <c r="G9276" s="1008"/>
      <c r="H9276" s="919"/>
      <c r="I9276" s="920"/>
      <c r="J9276" s="962">
        <f>SUM(J9277:J9285)</f>
        <v>55500</v>
      </c>
      <c r="K9276" s="891" t="s">
        <v>274</v>
      </c>
      <c r="L9276" s="962">
        <f>SUM(L9277:L9285)</f>
        <v>552812.5</v>
      </c>
      <c r="M9276" s="962"/>
      <c r="N9276" s="962">
        <f>SUM(N9277:N9285)</f>
        <v>0</v>
      </c>
      <c r="O9276" s="892">
        <f t="shared" si="757"/>
        <v>1</v>
      </c>
      <c r="P9276" s="903">
        <f t="shared" si="758"/>
        <v>0</v>
      </c>
      <c r="Q9276" s="893">
        <f t="shared" si="759"/>
        <v>0</v>
      </c>
      <c r="R9276" s="894">
        <f t="shared" si="760"/>
        <v>9</v>
      </c>
    </row>
    <row r="9277" spans="1:18" s="847" customFormat="1">
      <c r="A9277" s="895"/>
      <c r="B9277" s="896"/>
      <c r="C9277" s="897"/>
      <c r="D9277" s="897"/>
      <c r="E9277" s="1002" t="s">
        <v>108</v>
      </c>
      <c r="F9277" s="895"/>
      <c r="G9277" s="1004"/>
      <c r="H9277" s="901"/>
      <c r="I9277" s="902"/>
      <c r="J9277" s="902"/>
      <c r="K9277" s="912" t="s">
        <v>274</v>
      </c>
      <c r="L9277" s="902"/>
      <c r="M9277" s="902"/>
      <c r="N9277" s="902"/>
      <c r="O9277" s="892">
        <f t="shared" si="757"/>
        <v>0</v>
      </c>
      <c r="P9277" s="903">
        <f t="shared" si="758"/>
        <v>1</v>
      </c>
      <c r="Q9277" s="893">
        <f t="shared" si="759"/>
        <v>9</v>
      </c>
      <c r="R9277" s="894">
        <f t="shared" si="760"/>
        <v>0</v>
      </c>
    </row>
    <row r="9278" spans="1:18" s="904" customFormat="1">
      <c r="A9278" s="905"/>
      <c r="B9278" s="952"/>
      <c r="C9278" s="907">
        <v>315</v>
      </c>
      <c r="D9278" s="907" t="s">
        <v>279</v>
      </c>
      <c r="E9278" s="992" t="s">
        <v>6316</v>
      </c>
      <c r="F9278" s="905" t="s">
        <v>49</v>
      </c>
      <c r="G9278" s="1005"/>
      <c r="H9278" s="911">
        <v>0.5</v>
      </c>
      <c r="I9278" s="912">
        <f>VLOOKUP(E9278,[3]VLP!$B$7:$K$300,10,0)</f>
        <v>8000</v>
      </c>
      <c r="J9278" s="912">
        <f>I9278*H9278</f>
        <v>4000</v>
      </c>
      <c r="K9278" s="912" t="s">
        <v>274</v>
      </c>
      <c r="L9278" s="912"/>
      <c r="M9278" s="912"/>
      <c r="N9278" s="912"/>
      <c r="O9278" s="892">
        <f t="shared" si="757"/>
        <v>0</v>
      </c>
      <c r="P9278" s="903">
        <f t="shared" si="758"/>
        <v>1</v>
      </c>
      <c r="Q9278" s="893">
        <f t="shared" si="759"/>
        <v>8</v>
      </c>
      <c r="R9278" s="894">
        <f t="shared" si="760"/>
        <v>0</v>
      </c>
    </row>
    <row r="9279" spans="1:18">
      <c r="A9279" s="905"/>
      <c r="B9279" s="952"/>
      <c r="C9279" s="907">
        <v>235</v>
      </c>
      <c r="D9279" s="907" t="s">
        <v>279</v>
      </c>
      <c r="E9279" s="992" t="s">
        <v>2682</v>
      </c>
      <c r="F9279" s="905" t="s">
        <v>45</v>
      </c>
      <c r="G9279" s="1005"/>
      <c r="H9279" s="911">
        <v>0.3</v>
      </c>
      <c r="I9279" s="912">
        <f>VLOOKUP(E9279,[3]VLP!$B$7:$K$300,10,0)</f>
        <v>5000</v>
      </c>
      <c r="J9279" s="912">
        <f>I9279*H9279</f>
        <v>1500</v>
      </c>
      <c r="K9279" s="912" t="s">
        <v>274</v>
      </c>
      <c r="L9279" s="912"/>
      <c r="M9279" s="912"/>
      <c r="N9279" s="912"/>
      <c r="O9279" s="892">
        <f t="shared" si="757"/>
        <v>0</v>
      </c>
      <c r="P9279" s="903">
        <f t="shared" si="758"/>
        <v>1</v>
      </c>
      <c r="Q9279" s="893">
        <f t="shared" si="759"/>
        <v>7</v>
      </c>
      <c r="R9279" s="894">
        <f t="shared" si="760"/>
        <v>0</v>
      </c>
    </row>
    <row r="9280" spans="1:18" s="847" customFormat="1">
      <c r="A9280" s="905"/>
      <c r="B9280" s="952"/>
      <c r="C9280" s="907">
        <v>699</v>
      </c>
      <c r="D9280" s="907" t="s">
        <v>279</v>
      </c>
      <c r="E9280" s="992" t="s">
        <v>4006</v>
      </c>
      <c r="F9280" s="905" t="s">
        <v>4007</v>
      </c>
      <c r="G9280" s="1005"/>
      <c r="H9280" s="911">
        <v>10</v>
      </c>
      <c r="I9280" s="912">
        <f>VLOOKUP(E9280,[3]VLP!$B$7:$K$300,10,0)</f>
        <v>5000</v>
      </c>
      <c r="J9280" s="912">
        <f>I9280*H9280</f>
        <v>50000</v>
      </c>
      <c r="K9280" s="912" t="s">
        <v>274</v>
      </c>
      <c r="L9280" s="912"/>
      <c r="M9280" s="912"/>
      <c r="N9280" s="912"/>
      <c r="O9280" s="892">
        <f t="shared" si="757"/>
        <v>0</v>
      </c>
      <c r="P9280" s="903">
        <f t="shared" si="758"/>
        <v>1</v>
      </c>
      <c r="Q9280" s="893">
        <f t="shared" si="759"/>
        <v>6</v>
      </c>
      <c r="R9280" s="894">
        <f t="shared" si="760"/>
        <v>0</v>
      </c>
    </row>
    <row r="9281" spans="1:18" s="904" customFormat="1">
      <c r="A9281" s="895"/>
      <c r="B9281" s="896"/>
      <c r="C9281" s="897"/>
      <c r="D9281" s="897"/>
      <c r="E9281" s="1002" t="s">
        <v>276</v>
      </c>
      <c r="F9281" s="1003"/>
      <c r="G9281" s="1004"/>
      <c r="H9281" s="901"/>
      <c r="I9281" s="902"/>
      <c r="J9281" s="902"/>
      <c r="K9281" s="912" t="s">
        <v>274</v>
      </c>
      <c r="L9281" s="902"/>
      <c r="M9281" s="902"/>
      <c r="N9281" s="902"/>
      <c r="O9281" s="892">
        <f t="shared" si="757"/>
        <v>0</v>
      </c>
      <c r="P9281" s="903">
        <f t="shared" si="758"/>
        <v>1</v>
      </c>
      <c r="Q9281" s="893">
        <f t="shared" si="759"/>
        <v>5</v>
      </c>
      <c r="R9281" s="894">
        <f t="shared" si="760"/>
        <v>0</v>
      </c>
    </row>
    <row r="9282" spans="1:18">
      <c r="A9282" s="905"/>
      <c r="B9282" s="952"/>
      <c r="C9282" s="907">
        <v>740</v>
      </c>
      <c r="D9282" s="907" t="s">
        <v>12</v>
      </c>
      <c r="E9282" s="992" t="s">
        <v>4008</v>
      </c>
      <c r="F9282" s="905" t="s">
        <v>2674</v>
      </c>
      <c r="G9282" s="1005"/>
      <c r="H9282" s="911">
        <v>2.5</v>
      </c>
      <c r="I9282" s="912"/>
      <c r="J9282" s="912"/>
      <c r="K9282" s="912">
        <f>VLOOKUP(E9282,[5]ĐMNC!$A$7:$F$67,4,0)</f>
        <v>221125</v>
      </c>
      <c r="L9282" s="912">
        <f>H9282*K9282</f>
        <v>552812.5</v>
      </c>
      <c r="M9282" s="912"/>
      <c r="N9282" s="912"/>
      <c r="O9282" s="892">
        <f t="shared" si="757"/>
        <v>0</v>
      </c>
      <c r="P9282" s="903">
        <f t="shared" si="758"/>
        <v>1</v>
      </c>
      <c r="Q9282" s="893">
        <f t="shared" si="759"/>
        <v>4</v>
      </c>
      <c r="R9282" s="894">
        <f t="shared" si="760"/>
        <v>0</v>
      </c>
    </row>
    <row r="9283" spans="1:18" s="847" customFormat="1">
      <c r="A9283" s="895"/>
      <c r="B9283" s="896"/>
      <c r="C9283" s="897"/>
      <c r="D9283" s="897"/>
      <c r="E9283" s="1002" t="s">
        <v>3914</v>
      </c>
      <c r="F9283" s="895"/>
      <c r="G9283" s="1004"/>
      <c r="H9283" s="901"/>
      <c r="I9283" s="902"/>
      <c r="J9283" s="902"/>
      <c r="K9283" s="912" t="s">
        <v>274</v>
      </c>
      <c r="L9283" s="902"/>
      <c r="M9283" s="902"/>
      <c r="N9283" s="902"/>
      <c r="O9283" s="892">
        <f t="shared" si="757"/>
        <v>0</v>
      </c>
      <c r="P9283" s="903">
        <f t="shared" si="758"/>
        <v>1</v>
      </c>
      <c r="Q9283" s="893">
        <f t="shared" si="759"/>
        <v>3</v>
      </c>
      <c r="R9283" s="894">
        <f t="shared" si="760"/>
        <v>0</v>
      </c>
    </row>
    <row r="9284" spans="1:18" s="904" customFormat="1">
      <c r="A9284" s="905"/>
      <c r="B9284" s="952" t="s">
        <v>6434</v>
      </c>
      <c r="C9284" s="907">
        <v>912</v>
      </c>
      <c r="D9284" s="907" t="s">
        <v>93</v>
      </c>
      <c r="E9284" s="992" t="s">
        <v>6435</v>
      </c>
      <c r="F9284" s="905" t="s">
        <v>2673</v>
      </c>
      <c r="G9284" s="1005"/>
      <c r="H9284" s="911">
        <v>0.26900000000000002</v>
      </c>
      <c r="I9284" s="912"/>
      <c r="J9284" s="912"/>
      <c r="K9284" s="912"/>
      <c r="L9284" s="912"/>
      <c r="M9284" s="912">
        <f>VLOOKUP(B9284,MTC!$B$9:$S$933,12,0)</f>
        <v>0</v>
      </c>
      <c r="N9284" s="912">
        <f>M9284*H9284</f>
        <v>0</v>
      </c>
      <c r="O9284" s="892">
        <f t="shared" si="757"/>
        <v>0</v>
      </c>
      <c r="P9284" s="903">
        <f t="shared" si="758"/>
        <v>1</v>
      </c>
      <c r="Q9284" s="893">
        <f t="shared" si="759"/>
        <v>2</v>
      </c>
      <c r="R9284" s="894">
        <f t="shared" si="760"/>
        <v>0</v>
      </c>
    </row>
    <row r="9285" spans="1:18">
      <c r="A9285" s="905"/>
      <c r="B9285" s="952" t="s">
        <v>6414</v>
      </c>
      <c r="C9285" s="907">
        <v>914</v>
      </c>
      <c r="D9285" s="907" t="s">
        <v>93</v>
      </c>
      <c r="E9285" s="992" t="s">
        <v>6415</v>
      </c>
      <c r="F9285" s="905" t="s">
        <v>2673</v>
      </c>
      <c r="G9285" s="1005"/>
      <c r="H9285" s="911">
        <v>0.1</v>
      </c>
      <c r="I9285" s="912"/>
      <c r="J9285" s="912"/>
      <c r="K9285" s="912"/>
      <c r="L9285" s="912"/>
      <c r="M9285" s="912">
        <f>VLOOKUP(B9285,MTC!$B$9:$S$933,12,0)</f>
        <v>0</v>
      </c>
      <c r="N9285" s="912">
        <f>M9285*H9285</f>
        <v>0</v>
      </c>
      <c r="O9285" s="892">
        <f t="shared" si="757"/>
        <v>0</v>
      </c>
      <c r="P9285" s="903">
        <f t="shared" si="758"/>
        <v>1</v>
      </c>
      <c r="Q9285" s="893">
        <f t="shared" si="759"/>
        <v>1</v>
      </c>
      <c r="R9285" s="894">
        <f t="shared" si="760"/>
        <v>0</v>
      </c>
    </row>
    <row r="9286" spans="1:18" s="847" customFormat="1" ht="47.25">
      <c r="A9286" s="905">
        <v>60</v>
      </c>
      <c r="B9286" s="914" t="s">
        <v>6467</v>
      </c>
      <c r="C9286" s="915"/>
      <c r="D9286" s="915"/>
      <c r="E9286" s="1006" t="s">
        <v>6468</v>
      </c>
      <c r="F9286" s="1007" t="s">
        <v>136</v>
      </c>
      <c r="G9286" s="1008"/>
      <c r="H9286" s="919"/>
      <c r="I9286" s="920"/>
      <c r="J9286" s="962">
        <f>SUM(J9287:J9295)</f>
        <v>55500</v>
      </c>
      <c r="K9286" s="891" t="s">
        <v>274</v>
      </c>
      <c r="L9286" s="962">
        <f>SUM(L9287:L9295)</f>
        <v>663375</v>
      </c>
      <c r="M9286" s="962"/>
      <c r="N9286" s="962">
        <f>SUM(N9287:N9295)</f>
        <v>0</v>
      </c>
      <c r="O9286" s="892">
        <f t="shared" si="757"/>
        <v>1</v>
      </c>
      <c r="P9286" s="903">
        <f t="shared" si="758"/>
        <v>0</v>
      </c>
      <c r="Q9286" s="893">
        <f t="shared" si="759"/>
        <v>0</v>
      </c>
      <c r="R9286" s="894">
        <f t="shared" si="760"/>
        <v>9</v>
      </c>
    </row>
    <row r="9287" spans="1:18" s="904" customFormat="1">
      <c r="A9287" s="895"/>
      <c r="B9287" s="896"/>
      <c r="C9287" s="897"/>
      <c r="D9287" s="897"/>
      <c r="E9287" s="1002" t="s">
        <v>108</v>
      </c>
      <c r="F9287" s="895"/>
      <c r="G9287" s="1004"/>
      <c r="H9287" s="901"/>
      <c r="I9287" s="902"/>
      <c r="J9287" s="902"/>
      <c r="K9287" s="912" t="s">
        <v>274</v>
      </c>
      <c r="L9287" s="902"/>
      <c r="M9287" s="902"/>
      <c r="N9287" s="902"/>
      <c r="O9287" s="892">
        <f t="shared" si="757"/>
        <v>0</v>
      </c>
      <c r="P9287" s="903">
        <f t="shared" si="758"/>
        <v>1</v>
      </c>
      <c r="Q9287" s="893">
        <f t="shared" si="759"/>
        <v>9</v>
      </c>
      <c r="R9287" s="894">
        <f t="shared" si="760"/>
        <v>0</v>
      </c>
    </row>
    <row r="9288" spans="1:18">
      <c r="A9288" s="905"/>
      <c r="B9288" s="952"/>
      <c r="C9288" s="907">
        <v>315</v>
      </c>
      <c r="D9288" s="907" t="s">
        <v>279</v>
      </c>
      <c r="E9288" s="992" t="s">
        <v>6316</v>
      </c>
      <c r="F9288" s="905" t="s">
        <v>49</v>
      </c>
      <c r="G9288" s="1005"/>
      <c r="H9288" s="911">
        <v>0.5</v>
      </c>
      <c r="I9288" s="912">
        <f>VLOOKUP(E9288,[3]VLP!$B$7:$K$300,10,0)</f>
        <v>8000</v>
      </c>
      <c r="J9288" s="912">
        <f>I9288*H9288</f>
        <v>4000</v>
      </c>
      <c r="K9288" s="912" t="s">
        <v>274</v>
      </c>
      <c r="L9288" s="912"/>
      <c r="M9288" s="912"/>
      <c r="N9288" s="912"/>
      <c r="O9288" s="892">
        <f t="shared" si="757"/>
        <v>0</v>
      </c>
      <c r="P9288" s="903">
        <f t="shared" si="758"/>
        <v>1</v>
      </c>
      <c r="Q9288" s="893">
        <f t="shared" si="759"/>
        <v>8</v>
      </c>
      <c r="R9288" s="894">
        <f t="shared" si="760"/>
        <v>0</v>
      </c>
    </row>
    <row r="9289" spans="1:18" s="847" customFormat="1">
      <c r="A9289" s="905"/>
      <c r="B9289" s="952"/>
      <c r="C9289" s="907">
        <v>235</v>
      </c>
      <c r="D9289" s="907" t="s">
        <v>279</v>
      </c>
      <c r="E9289" s="992" t="s">
        <v>2682</v>
      </c>
      <c r="F9289" s="905" t="s">
        <v>45</v>
      </c>
      <c r="G9289" s="1005"/>
      <c r="H9289" s="911">
        <v>0.3</v>
      </c>
      <c r="I9289" s="912">
        <f>VLOOKUP(E9289,[3]VLP!$B$7:$K$300,10,0)</f>
        <v>5000</v>
      </c>
      <c r="J9289" s="912">
        <f>I9289*H9289</f>
        <v>1500</v>
      </c>
      <c r="K9289" s="912" t="s">
        <v>274</v>
      </c>
      <c r="L9289" s="912"/>
      <c r="M9289" s="912"/>
      <c r="N9289" s="912"/>
      <c r="O9289" s="892">
        <f t="shared" si="757"/>
        <v>0</v>
      </c>
      <c r="P9289" s="903">
        <f t="shared" si="758"/>
        <v>1</v>
      </c>
      <c r="Q9289" s="893">
        <f t="shared" si="759"/>
        <v>7</v>
      </c>
      <c r="R9289" s="894">
        <f t="shared" si="760"/>
        <v>0</v>
      </c>
    </row>
    <row r="9290" spans="1:18" s="904" customFormat="1">
      <c r="A9290" s="905"/>
      <c r="B9290" s="952"/>
      <c r="C9290" s="907">
        <v>699</v>
      </c>
      <c r="D9290" s="907" t="s">
        <v>279</v>
      </c>
      <c r="E9290" s="992" t="s">
        <v>4006</v>
      </c>
      <c r="F9290" s="905" t="s">
        <v>4007</v>
      </c>
      <c r="G9290" s="1005"/>
      <c r="H9290" s="911">
        <v>10</v>
      </c>
      <c r="I9290" s="912">
        <f>VLOOKUP(E9290,[3]VLP!$B$7:$K$300,10,0)</f>
        <v>5000</v>
      </c>
      <c r="J9290" s="912">
        <f>I9290*H9290</f>
        <v>50000</v>
      </c>
      <c r="K9290" s="912" t="s">
        <v>274</v>
      </c>
      <c r="L9290" s="912"/>
      <c r="M9290" s="912"/>
      <c r="N9290" s="912"/>
      <c r="O9290" s="892">
        <f t="shared" si="757"/>
        <v>0</v>
      </c>
      <c r="P9290" s="903">
        <f t="shared" si="758"/>
        <v>1</v>
      </c>
      <c r="Q9290" s="893">
        <f t="shared" si="759"/>
        <v>6</v>
      </c>
      <c r="R9290" s="894">
        <f t="shared" si="760"/>
        <v>0</v>
      </c>
    </row>
    <row r="9291" spans="1:18">
      <c r="A9291" s="895"/>
      <c r="B9291" s="896"/>
      <c r="C9291" s="897"/>
      <c r="D9291" s="897"/>
      <c r="E9291" s="1002" t="s">
        <v>276</v>
      </c>
      <c r="F9291" s="1003"/>
      <c r="G9291" s="1004"/>
      <c r="H9291" s="901"/>
      <c r="I9291" s="902"/>
      <c r="J9291" s="902"/>
      <c r="K9291" s="912" t="s">
        <v>274</v>
      </c>
      <c r="L9291" s="902"/>
      <c r="M9291" s="902"/>
      <c r="N9291" s="902"/>
      <c r="O9291" s="892">
        <f t="shared" si="757"/>
        <v>0</v>
      </c>
      <c r="P9291" s="903">
        <f t="shared" si="758"/>
        <v>1</v>
      </c>
      <c r="Q9291" s="893">
        <f t="shared" si="759"/>
        <v>5</v>
      </c>
      <c r="R9291" s="894">
        <f t="shared" si="760"/>
        <v>0</v>
      </c>
    </row>
    <row r="9292" spans="1:18" s="847" customFormat="1">
      <c r="A9292" s="905"/>
      <c r="B9292" s="952"/>
      <c r="C9292" s="907">
        <v>740</v>
      </c>
      <c r="D9292" s="907" t="s">
        <v>12</v>
      </c>
      <c r="E9292" s="992" t="s">
        <v>4008</v>
      </c>
      <c r="F9292" s="905" t="s">
        <v>2674</v>
      </c>
      <c r="G9292" s="1005"/>
      <c r="H9292" s="911">
        <v>3</v>
      </c>
      <c r="I9292" s="912"/>
      <c r="J9292" s="912"/>
      <c r="K9292" s="912">
        <f>VLOOKUP(E9292,[5]ĐMNC!$A$7:$F$67,4,0)</f>
        <v>221125</v>
      </c>
      <c r="L9292" s="912">
        <f>H9292*K9292</f>
        <v>663375</v>
      </c>
      <c r="M9292" s="912"/>
      <c r="N9292" s="912"/>
      <c r="O9292" s="892">
        <f t="shared" si="757"/>
        <v>0</v>
      </c>
      <c r="P9292" s="903">
        <f t="shared" si="758"/>
        <v>1</v>
      </c>
      <c r="Q9292" s="893">
        <f t="shared" si="759"/>
        <v>4</v>
      </c>
      <c r="R9292" s="894">
        <f t="shared" si="760"/>
        <v>0</v>
      </c>
    </row>
    <row r="9293" spans="1:18" s="904" customFormat="1">
      <c r="A9293" s="895"/>
      <c r="B9293" s="896"/>
      <c r="C9293" s="897"/>
      <c r="D9293" s="897"/>
      <c r="E9293" s="1002" t="s">
        <v>3914</v>
      </c>
      <c r="F9293" s="895"/>
      <c r="G9293" s="1004"/>
      <c r="H9293" s="901"/>
      <c r="I9293" s="902"/>
      <c r="J9293" s="902"/>
      <c r="K9293" s="912" t="s">
        <v>274</v>
      </c>
      <c r="L9293" s="902"/>
      <c r="M9293" s="902"/>
      <c r="N9293" s="902"/>
      <c r="O9293" s="892">
        <f t="shared" si="757"/>
        <v>0</v>
      </c>
      <c r="P9293" s="903">
        <f t="shared" si="758"/>
        <v>1</v>
      </c>
      <c r="Q9293" s="893">
        <f t="shared" si="759"/>
        <v>3</v>
      </c>
      <c r="R9293" s="894">
        <f t="shared" si="760"/>
        <v>0</v>
      </c>
    </row>
    <row r="9294" spans="1:18">
      <c r="A9294" s="905"/>
      <c r="B9294" s="952" t="s">
        <v>6434</v>
      </c>
      <c r="C9294" s="907">
        <v>912</v>
      </c>
      <c r="D9294" s="907" t="s">
        <v>93</v>
      </c>
      <c r="E9294" s="992" t="s">
        <v>6435</v>
      </c>
      <c r="F9294" s="905" t="s">
        <v>2673</v>
      </c>
      <c r="G9294" s="1005"/>
      <c r="H9294" s="911">
        <v>0.32100000000000001</v>
      </c>
      <c r="I9294" s="912"/>
      <c r="J9294" s="912"/>
      <c r="K9294" s="912"/>
      <c r="L9294" s="912"/>
      <c r="M9294" s="912">
        <f>VLOOKUP(B9294,MTC!$B$9:$S$933,12,0)</f>
        <v>0</v>
      </c>
      <c r="N9294" s="912">
        <f>M9294*H9294</f>
        <v>0</v>
      </c>
      <c r="O9294" s="892">
        <f t="shared" si="757"/>
        <v>0</v>
      </c>
      <c r="P9294" s="903">
        <f t="shared" si="758"/>
        <v>1</v>
      </c>
      <c r="Q9294" s="893">
        <f t="shared" si="759"/>
        <v>2</v>
      </c>
      <c r="R9294" s="894">
        <f t="shared" si="760"/>
        <v>0</v>
      </c>
    </row>
    <row r="9295" spans="1:18" s="847" customFormat="1">
      <c r="A9295" s="905"/>
      <c r="B9295" s="952" t="s">
        <v>6414</v>
      </c>
      <c r="C9295" s="907">
        <v>914</v>
      </c>
      <c r="D9295" s="907" t="s">
        <v>93</v>
      </c>
      <c r="E9295" s="992" t="s">
        <v>6415</v>
      </c>
      <c r="F9295" s="905" t="s">
        <v>2673</v>
      </c>
      <c r="G9295" s="1005"/>
      <c r="H9295" s="911">
        <v>0.1</v>
      </c>
      <c r="I9295" s="912"/>
      <c r="J9295" s="912"/>
      <c r="K9295" s="912"/>
      <c r="L9295" s="912"/>
      <c r="M9295" s="912">
        <f>VLOOKUP(B9295,MTC!$B$9:$S$933,12,0)</f>
        <v>0</v>
      </c>
      <c r="N9295" s="912">
        <f>M9295*H9295</f>
        <v>0</v>
      </c>
      <c r="O9295" s="892">
        <f t="shared" si="757"/>
        <v>0</v>
      </c>
      <c r="P9295" s="903">
        <f t="shared" si="758"/>
        <v>1</v>
      </c>
      <c r="Q9295" s="893">
        <f t="shared" si="759"/>
        <v>1</v>
      </c>
      <c r="R9295" s="894">
        <f t="shared" si="760"/>
        <v>0</v>
      </c>
    </row>
    <row r="9296" spans="1:18" s="904" customFormat="1" ht="47.25">
      <c r="A9296" s="905">
        <v>61</v>
      </c>
      <c r="B9296" s="914" t="s">
        <v>6469</v>
      </c>
      <c r="C9296" s="915"/>
      <c r="D9296" s="915"/>
      <c r="E9296" s="1006" t="s">
        <v>6470</v>
      </c>
      <c r="F9296" s="1007" t="s">
        <v>136</v>
      </c>
      <c r="G9296" s="1008"/>
      <c r="H9296" s="919"/>
      <c r="I9296" s="920"/>
      <c r="J9296" s="962">
        <f>SUM(J9297:J9305)</f>
        <v>55500</v>
      </c>
      <c r="K9296" s="891" t="s">
        <v>274</v>
      </c>
      <c r="L9296" s="962">
        <f>SUM(L9297:L9305)</f>
        <v>840275</v>
      </c>
      <c r="M9296" s="962"/>
      <c r="N9296" s="962">
        <f>SUM(N9297:N9305)</f>
        <v>0</v>
      </c>
      <c r="O9296" s="892">
        <f t="shared" si="757"/>
        <v>1</v>
      </c>
      <c r="P9296" s="903">
        <f t="shared" si="758"/>
        <v>0</v>
      </c>
      <c r="Q9296" s="893">
        <f t="shared" si="759"/>
        <v>0</v>
      </c>
      <c r="R9296" s="894">
        <f t="shared" si="760"/>
        <v>9</v>
      </c>
    </row>
    <row r="9297" spans="1:18">
      <c r="A9297" s="895"/>
      <c r="B9297" s="896"/>
      <c r="C9297" s="897"/>
      <c r="D9297" s="897"/>
      <c r="E9297" s="1002" t="s">
        <v>108</v>
      </c>
      <c r="F9297" s="895"/>
      <c r="G9297" s="1004"/>
      <c r="H9297" s="901"/>
      <c r="I9297" s="902"/>
      <c r="J9297" s="902"/>
      <c r="K9297" s="912" t="s">
        <v>274</v>
      </c>
      <c r="L9297" s="902"/>
      <c r="M9297" s="902"/>
      <c r="N9297" s="902"/>
      <c r="O9297" s="892">
        <f t="shared" si="757"/>
        <v>0</v>
      </c>
      <c r="P9297" s="903">
        <f t="shared" si="758"/>
        <v>1</v>
      </c>
      <c r="Q9297" s="893">
        <f t="shared" si="759"/>
        <v>9</v>
      </c>
      <c r="R9297" s="894">
        <f t="shared" si="760"/>
        <v>0</v>
      </c>
    </row>
    <row r="9298" spans="1:18" s="847" customFormat="1">
      <c r="A9298" s="905"/>
      <c r="B9298" s="952"/>
      <c r="C9298" s="907">
        <v>315</v>
      </c>
      <c r="D9298" s="907" t="s">
        <v>279</v>
      </c>
      <c r="E9298" s="992" t="s">
        <v>6316</v>
      </c>
      <c r="F9298" s="905" t="s">
        <v>49</v>
      </c>
      <c r="G9298" s="1005"/>
      <c r="H9298" s="911">
        <v>0.5</v>
      </c>
      <c r="I9298" s="912">
        <f>VLOOKUP(E9298,[3]VLP!$B$7:$K$300,10,0)</f>
        <v>8000</v>
      </c>
      <c r="J9298" s="912">
        <f>I9298*H9298</f>
        <v>4000</v>
      </c>
      <c r="K9298" s="912" t="s">
        <v>274</v>
      </c>
      <c r="L9298" s="912"/>
      <c r="M9298" s="912"/>
      <c r="N9298" s="912"/>
      <c r="O9298" s="892">
        <f t="shared" si="757"/>
        <v>0</v>
      </c>
      <c r="P9298" s="903">
        <f t="shared" si="758"/>
        <v>1</v>
      </c>
      <c r="Q9298" s="893">
        <f t="shared" si="759"/>
        <v>8</v>
      </c>
      <c r="R9298" s="894">
        <f t="shared" si="760"/>
        <v>0</v>
      </c>
    </row>
    <row r="9299" spans="1:18" s="904" customFormat="1">
      <c r="A9299" s="905"/>
      <c r="B9299" s="952"/>
      <c r="C9299" s="907">
        <v>235</v>
      </c>
      <c r="D9299" s="907" t="s">
        <v>279</v>
      </c>
      <c r="E9299" s="992" t="s">
        <v>2682</v>
      </c>
      <c r="F9299" s="905" t="s">
        <v>45</v>
      </c>
      <c r="G9299" s="1005"/>
      <c r="H9299" s="911">
        <v>0.3</v>
      </c>
      <c r="I9299" s="912">
        <f>VLOOKUP(E9299,[3]VLP!$B$7:$K$300,10,0)</f>
        <v>5000</v>
      </c>
      <c r="J9299" s="912">
        <f>I9299*H9299</f>
        <v>1500</v>
      </c>
      <c r="K9299" s="912" t="s">
        <v>274</v>
      </c>
      <c r="L9299" s="912"/>
      <c r="M9299" s="912"/>
      <c r="N9299" s="912"/>
      <c r="O9299" s="892">
        <f t="shared" si="757"/>
        <v>0</v>
      </c>
      <c r="P9299" s="903">
        <f t="shared" si="758"/>
        <v>1</v>
      </c>
      <c r="Q9299" s="893">
        <f t="shared" si="759"/>
        <v>7</v>
      </c>
      <c r="R9299" s="894">
        <f t="shared" si="760"/>
        <v>0</v>
      </c>
    </row>
    <row r="9300" spans="1:18">
      <c r="A9300" s="905"/>
      <c r="B9300" s="952"/>
      <c r="C9300" s="907">
        <v>699</v>
      </c>
      <c r="D9300" s="907" t="s">
        <v>279</v>
      </c>
      <c r="E9300" s="992" t="s">
        <v>4006</v>
      </c>
      <c r="F9300" s="905" t="s">
        <v>4007</v>
      </c>
      <c r="G9300" s="1005"/>
      <c r="H9300" s="911">
        <v>10</v>
      </c>
      <c r="I9300" s="912">
        <f>VLOOKUP(E9300,[3]VLP!$B$7:$K$300,10,0)</f>
        <v>5000</v>
      </c>
      <c r="J9300" s="912">
        <f>I9300*H9300</f>
        <v>50000</v>
      </c>
      <c r="K9300" s="912" t="s">
        <v>274</v>
      </c>
      <c r="L9300" s="912"/>
      <c r="M9300" s="912"/>
      <c r="N9300" s="912"/>
      <c r="O9300" s="892">
        <f t="shared" si="757"/>
        <v>0</v>
      </c>
      <c r="P9300" s="903">
        <f t="shared" si="758"/>
        <v>1</v>
      </c>
      <c r="Q9300" s="893">
        <f t="shared" si="759"/>
        <v>6</v>
      </c>
      <c r="R9300" s="894">
        <f t="shared" si="760"/>
        <v>0</v>
      </c>
    </row>
    <row r="9301" spans="1:18" s="847" customFormat="1">
      <c r="A9301" s="895"/>
      <c r="B9301" s="896"/>
      <c r="C9301" s="897"/>
      <c r="D9301" s="897"/>
      <c r="E9301" s="1002" t="s">
        <v>276</v>
      </c>
      <c r="F9301" s="1003"/>
      <c r="G9301" s="1004"/>
      <c r="H9301" s="901"/>
      <c r="I9301" s="902"/>
      <c r="J9301" s="902"/>
      <c r="K9301" s="912" t="s">
        <v>274</v>
      </c>
      <c r="L9301" s="902"/>
      <c r="M9301" s="902"/>
      <c r="N9301" s="902"/>
      <c r="O9301" s="892">
        <f t="shared" si="757"/>
        <v>0</v>
      </c>
      <c r="P9301" s="903">
        <f t="shared" si="758"/>
        <v>1</v>
      </c>
      <c r="Q9301" s="893">
        <f t="shared" si="759"/>
        <v>5</v>
      </c>
      <c r="R9301" s="894">
        <f t="shared" si="760"/>
        <v>0</v>
      </c>
    </row>
    <row r="9302" spans="1:18" s="904" customFormat="1">
      <c r="A9302" s="905"/>
      <c r="B9302" s="952"/>
      <c r="C9302" s="907">
        <v>740</v>
      </c>
      <c r="D9302" s="907" t="s">
        <v>12</v>
      </c>
      <c r="E9302" s="992" t="s">
        <v>4008</v>
      </c>
      <c r="F9302" s="905" t="s">
        <v>2674</v>
      </c>
      <c r="G9302" s="1005"/>
      <c r="H9302" s="911">
        <v>3.8</v>
      </c>
      <c r="I9302" s="912"/>
      <c r="J9302" s="912"/>
      <c r="K9302" s="912">
        <f>VLOOKUP(E9302,[5]ĐMNC!$A$7:$F$67,4,0)</f>
        <v>221125</v>
      </c>
      <c r="L9302" s="912">
        <f>H9302*K9302</f>
        <v>840275</v>
      </c>
      <c r="M9302" s="912"/>
      <c r="N9302" s="912"/>
      <c r="O9302" s="892">
        <f t="shared" si="757"/>
        <v>0</v>
      </c>
      <c r="P9302" s="903">
        <f t="shared" si="758"/>
        <v>1</v>
      </c>
      <c r="Q9302" s="893">
        <f t="shared" si="759"/>
        <v>4</v>
      </c>
      <c r="R9302" s="894">
        <f t="shared" si="760"/>
        <v>0</v>
      </c>
    </row>
    <row r="9303" spans="1:18">
      <c r="A9303" s="895"/>
      <c r="B9303" s="896"/>
      <c r="C9303" s="897"/>
      <c r="D9303" s="897"/>
      <c r="E9303" s="1002" t="s">
        <v>3914</v>
      </c>
      <c r="F9303" s="895"/>
      <c r="G9303" s="1004"/>
      <c r="H9303" s="901"/>
      <c r="I9303" s="902"/>
      <c r="J9303" s="902"/>
      <c r="K9303" s="912" t="s">
        <v>274</v>
      </c>
      <c r="L9303" s="902"/>
      <c r="M9303" s="902"/>
      <c r="N9303" s="902"/>
      <c r="O9303" s="892">
        <f t="shared" si="757"/>
        <v>0</v>
      </c>
      <c r="P9303" s="903">
        <f t="shared" si="758"/>
        <v>1</v>
      </c>
      <c r="Q9303" s="893">
        <f t="shared" si="759"/>
        <v>3</v>
      </c>
      <c r="R9303" s="894">
        <f t="shared" si="760"/>
        <v>0</v>
      </c>
    </row>
    <row r="9304" spans="1:18" s="847" customFormat="1">
      <c r="A9304" s="905"/>
      <c r="B9304" s="952" t="s">
        <v>6434</v>
      </c>
      <c r="C9304" s="907">
        <v>912</v>
      </c>
      <c r="D9304" s="907" t="s">
        <v>93</v>
      </c>
      <c r="E9304" s="992" t="s">
        <v>6435</v>
      </c>
      <c r="F9304" s="905" t="s">
        <v>2673</v>
      </c>
      <c r="G9304" s="1005"/>
      <c r="H9304" s="911">
        <v>0.38</v>
      </c>
      <c r="I9304" s="912"/>
      <c r="J9304" s="912"/>
      <c r="K9304" s="912"/>
      <c r="L9304" s="912"/>
      <c r="M9304" s="912">
        <f>VLOOKUP(B9304,MTC!$B$9:$S$933,12,0)</f>
        <v>0</v>
      </c>
      <c r="N9304" s="912">
        <f>M9304*H9304</f>
        <v>0</v>
      </c>
      <c r="O9304" s="892">
        <f t="shared" si="757"/>
        <v>0</v>
      </c>
      <c r="P9304" s="903">
        <f t="shared" si="758"/>
        <v>1</v>
      </c>
      <c r="Q9304" s="893">
        <f t="shared" si="759"/>
        <v>2</v>
      </c>
      <c r="R9304" s="894">
        <f t="shared" si="760"/>
        <v>0</v>
      </c>
    </row>
    <row r="9305" spans="1:18" s="904" customFormat="1">
      <c r="A9305" s="905"/>
      <c r="B9305" s="952" t="s">
        <v>6414</v>
      </c>
      <c r="C9305" s="907">
        <v>914</v>
      </c>
      <c r="D9305" s="907" t="s">
        <v>93</v>
      </c>
      <c r="E9305" s="992" t="s">
        <v>6415</v>
      </c>
      <c r="F9305" s="905" t="s">
        <v>2673</v>
      </c>
      <c r="G9305" s="1005"/>
      <c r="H9305" s="911">
        <v>0.1</v>
      </c>
      <c r="I9305" s="912"/>
      <c r="J9305" s="912"/>
      <c r="K9305" s="912"/>
      <c r="L9305" s="912"/>
      <c r="M9305" s="912">
        <f>VLOOKUP(B9305,MTC!$B$9:$S$933,12,0)</f>
        <v>0</v>
      </c>
      <c r="N9305" s="912">
        <f>M9305*H9305</f>
        <v>0</v>
      </c>
      <c r="O9305" s="892">
        <f t="shared" si="757"/>
        <v>0</v>
      </c>
      <c r="P9305" s="903">
        <f t="shared" si="758"/>
        <v>1</v>
      </c>
      <c r="Q9305" s="893">
        <f t="shared" si="759"/>
        <v>1</v>
      </c>
      <c r="R9305" s="894">
        <f t="shared" si="760"/>
        <v>0</v>
      </c>
    </row>
    <row r="9306" spans="1:18" ht="47.25">
      <c r="A9306" s="905">
        <v>62</v>
      </c>
      <c r="B9306" s="914" t="s">
        <v>6471</v>
      </c>
      <c r="C9306" s="915"/>
      <c r="D9306" s="915"/>
      <c r="E9306" s="1006" t="s">
        <v>6472</v>
      </c>
      <c r="F9306" s="1007" t="s">
        <v>136</v>
      </c>
      <c r="G9306" s="1008"/>
      <c r="H9306" s="919"/>
      <c r="I9306" s="920"/>
      <c r="J9306" s="962">
        <f>SUM(J9307:J9315)</f>
        <v>55500</v>
      </c>
      <c r="K9306" s="891" t="s">
        <v>274</v>
      </c>
      <c r="L9306" s="962">
        <f>SUM(L9307:L9315)</f>
        <v>1061400</v>
      </c>
      <c r="M9306" s="962"/>
      <c r="N9306" s="962">
        <f>SUM(N9307:N9315)</f>
        <v>0</v>
      </c>
      <c r="O9306" s="892">
        <f t="shared" si="757"/>
        <v>1</v>
      </c>
      <c r="P9306" s="903">
        <f t="shared" si="758"/>
        <v>0</v>
      </c>
      <c r="Q9306" s="893">
        <f t="shared" si="759"/>
        <v>0</v>
      </c>
      <c r="R9306" s="894">
        <f t="shared" si="760"/>
        <v>9</v>
      </c>
    </row>
    <row r="9307" spans="1:18" s="847" customFormat="1">
      <c r="A9307" s="895"/>
      <c r="B9307" s="896"/>
      <c r="C9307" s="897"/>
      <c r="D9307" s="897"/>
      <c r="E9307" s="1002" t="s">
        <v>108</v>
      </c>
      <c r="F9307" s="895"/>
      <c r="G9307" s="1004"/>
      <c r="H9307" s="901"/>
      <c r="I9307" s="902"/>
      <c r="J9307" s="902"/>
      <c r="K9307" s="912" t="s">
        <v>274</v>
      </c>
      <c r="L9307" s="902"/>
      <c r="M9307" s="902"/>
      <c r="N9307" s="902"/>
      <c r="O9307" s="892">
        <f t="shared" si="757"/>
        <v>0</v>
      </c>
      <c r="P9307" s="903">
        <f t="shared" si="758"/>
        <v>1</v>
      </c>
      <c r="Q9307" s="893">
        <f t="shared" si="759"/>
        <v>9</v>
      </c>
      <c r="R9307" s="894">
        <f t="shared" si="760"/>
        <v>0</v>
      </c>
    </row>
    <row r="9308" spans="1:18" s="904" customFormat="1">
      <c r="A9308" s="905"/>
      <c r="B9308" s="952"/>
      <c r="C9308" s="907">
        <v>315</v>
      </c>
      <c r="D9308" s="907" t="s">
        <v>279</v>
      </c>
      <c r="E9308" s="992" t="s">
        <v>6316</v>
      </c>
      <c r="F9308" s="905" t="s">
        <v>49</v>
      </c>
      <c r="G9308" s="1005"/>
      <c r="H9308" s="911">
        <v>0.5</v>
      </c>
      <c r="I9308" s="912">
        <f>VLOOKUP(E9308,[3]VLP!$B$7:$K$300,10,0)</f>
        <v>8000</v>
      </c>
      <c r="J9308" s="912">
        <f>I9308*H9308</f>
        <v>4000</v>
      </c>
      <c r="K9308" s="912" t="s">
        <v>274</v>
      </c>
      <c r="L9308" s="912"/>
      <c r="M9308" s="912"/>
      <c r="N9308" s="912"/>
      <c r="O9308" s="892">
        <f t="shared" si="757"/>
        <v>0</v>
      </c>
      <c r="P9308" s="903">
        <f t="shared" si="758"/>
        <v>1</v>
      </c>
      <c r="Q9308" s="893">
        <f t="shared" si="759"/>
        <v>8</v>
      </c>
      <c r="R9308" s="894">
        <f t="shared" si="760"/>
        <v>0</v>
      </c>
    </row>
    <row r="9309" spans="1:18">
      <c r="A9309" s="905"/>
      <c r="B9309" s="952"/>
      <c r="C9309" s="907">
        <v>235</v>
      </c>
      <c r="D9309" s="907" t="s">
        <v>279</v>
      </c>
      <c r="E9309" s="992" t="s">
        <v>2682</v>
      </c>
      <c r="F9309" s="905" t="s">
        <v>45</v>
      </c>
      <c r="G9309" s="1005"/>
      <c r="H9309" s="911">
        <v>0.3</v>
      </c>
      <c r="I9309" s="912">
        <f>VLOOKUP(E9309,[3]VLP!$B$7:$K$300,10,0)</f>
        <v>5000</v>
      </c>
      <c r="J9309" s="912">
        <f>I9309*H9309</f>
        <v>1500</v>
      </c>
      <c r="K9309" s="912" t="s">
        <v>274</v>
      </c>
      <c r="L9309" s="912"/>
      <c r="M9309" s="912"/>
      <c r="N9309" s="912"/>
      <c r="O9309" s="892">
        <f t="shared" si="757"/>
        <v>0</v>
      </c>
      <c r="P9309" s="903">
        <f t="shared" si="758"/>
        <v>1</v>
      </c>
      <c r="Q9309" s="893">
        <f t="shared" si="759"/>
        <v>7</v>
      </c>
      <c r="R9309" s="894">
        <f t="shared" si="760"/>
        <v>0</v>
      </c>
    </row>
    <row r="9310" spans="1:18" s="847" customFormat="1">
      <c r="A9310" s="905"/>
      <c r="B9310" s="952"/>
      <c r="C9310" s="907">
        <v>699</v>
      </c>
      <c r="D9310" s="907" t="s">
        <v>279</v>
      </c>
      <c r="E9310" s="992" t="s">
        <v>4006</v>
      </c>
      <c r="F9310" s="905" t="s">
        <v>4007</v>
      </c>
      <c r="G9310" s="1005"/>
      <c r="H9310" s="911">
        <v>10</v>
      </c>
      <c r="I9310" s="912">
        <f>VLOOKUP(E9310,[3]VLP!$B$7:$K$300,10,0)</f>
        <v>5000</v>
      </c>
      <c r="J9310" s="912">
        <f>I9310*H9310</f>
        <v>50000</v>
      </c>
      <c r="K9310" s="912" t="s">
        <v>274</v>
      </c>
      <c r="L9310" s="912"/>
      <c r="M9310" s="912"/>
      <c r="N9310" s="912"/>
      <c r="O9310" s="892">
        <f t="shared" si="757"/>
        <v>0</v>
      </c>
      <c r="P9310" s="903">
        <f t="shared" si="758"/>
        <v>1</v>
      </c>
      <c r="Q9310" s="893">
        <f t="shared" si="759"/>
        <v>6</v>
      </c>
      <c r="R9310" s="894">
        <f t="shared" si="760"/>
        <v>0</v>
      </c>
    </row>
    <row r="9311" spans="1:18" s="904" customFormat="1">
      <c r="A9311" s="895"/>
      <c r="B9311" s="896"/>
      <c r="C9311" s="897"/>
      <c r="D9311" s="897"/>
      <c r="E9311" s="1002" t="s">
        <v>276</v>
      </c>
      <c r="F9311" s="1003"/>
      <c r="G9311" s="1004"/>
      <c r="H9311" s="901"/>
      <c r="I9311" s="902"/>
      <c r="J9311" s="902"/>
      <c r="K9311" s="912" t="s">
        <v>274</v>
      </c>
      <c r="L9311" s="902"/>
      <c r="M9311" s="902"/>
      <c r="N9311" s="902"/>
      <c r="O9311" s="892">
        <f t="shared" ref="O9311:O9374" si="761">IF(AND(B9311&lt;&gt;"",D9311=""),1,0)</f>
        <v>0</v>
      </c>
      <c r="P9311" s="903">
        <f t="shared" si="758"/>
        <v>1</v>
      </c>
      <c r="Q9311" s="893">
        <f t="shared" si="759"/>
        <v>5</v>
      </c>
      <c r="R9311" s="894">
        <f t="shared" si="760"/>
        <v>0</v>
      </c>
    </row>
    <row r="9312" spans="1:18">
      <c r="A9312" s="905"/>
      <c r="B9312" s="952"/>
      <c r="C9312" s="907">
        <v>740</v>
      </c>
      <c r="D9312" s="907" t="s">
        <v>12</v>
      </c>
      <c r="E9312" s="992" t="s">
        <v>4008</v>
      </c>
      <c r="F9312" s="905" t="s">
        <v>2674</v>
      </c>
      <c r="G9312" s="1005"/>
      <c r="H9312" s="911">
        <v>4.8</v>
      </c>
      <c r="I9312" s="912"/>
      <c r="J9312" s="912"/>
      <c r="K9312" s="912">
        <f>VLOOKUP(E9312,[5]ĐMNC!$A$7:$F$67,4,0)</f>
        <v>221125</v>
      </c>
      <c r="L9312" s="912">
        <f>H9312*K9312</f>
        <v>1061400</v>
      </c>
      <c r="M9312" s="912"/>
      <c r="N9312" s="912"/>
      <c r="O9312" s="892">
        <f t="shared" si="761"/>
        <v>0</v>
      </c>
      <c r="P9312" s="903">
        <f t="shared" si="758"/>
        <v>1</v>
      </c>
      <c r="Q9312" s="893">
        <f t="shared" si="759"/>
        <v>4</v>
      </c>
      <c r="R9312" s="894">
        <f t="shared" si="760"/>
        <v>0</v>
      </c>
    </row>
    <row r="9313" spans="1:18" s="847" customFormat="1">
      <c r="A9313" s="895"/>
      <c r="B9313" s="896"/>
      <c r="C9313" s="897"/>
      <c r="D9313" s="897"/>
      <c r="E9313" s="1002" t="s">
        <v>3914</v>
      </c>
      <c r="F9313" s="895"/>
      <c r="G9313" s="1004"/>
      <c r="H9313" s="901"/>
      <c r="I9313" s="902"/>
      <c r="J9313" s="902"/>
      <c r="K9313" s="912" t="s">
        <v>274</v>
      </c>
      <c r="L9313" s="902"/>
      <c r="M9313" s="902"/>
      <c r="N9313" s="902"/>
      <c r="O9313" s="892">
        <f t="shared" si="761"/>
        <v>0</v>
      </c>
      <c r="P9313" s="903">
        <f t="shared" si="758"/>
        <v>1</v>
      </c>
      <c r="Q9313" s="893">
        <f t="shared" si="759"/>
        <v>3</v>
      </c>
      <c r="R9313" s="894">
        <f t="shared" si="760"/>
        <v>0</v>
      </c>
    </row>
    <row r="9314" spans="1:18" s="904" customFormat="1">
      <c r="A9314" s="905"/>
      <c r="B9314" s="952" t="s">
        <v>6434</v>
      </c>
      <c r="C9314" s="907">
        <v>912</v>
      </c>
      <c r="D9314" s="907" t="s">
        <v>93</v>
      </c>
      <c r="E9314" s="992" t="s">
        <v>6435</v>
      </c>
      <c r="F9314" s="905" t="s">
        <v>2673</v>
      </c>
      <c r="G9314" s="1005"/>
      <c r="H9314" s="911">
        <v>0.44</v>
      </c>
      <c r="I9314" s="912"/>
      <c r="J9314" s="912"/>
      <c r="K9314" s="912"/>
      <c r="L9314" s="912"/>
      <c r="M9314" s="912">
        <f>VLOOKUP(B9314,MTC!$B$9:$S$933,12,0)</f>
        <v>0</v>
      </c>
      <c r="N9314" s="912">
        <f>M9314*H9314</f>
        <v>0</v>
      </c>
      <c r="O9314" s="892">
        <f t="shared" si="761"/>
        <v>0</v>
      </c>
      <c r="P9314" s="903">
        <f t="shared" si="758"/>
        <v>1</v>
      </c>
      <c r="Q9314" s="893">
        <f t="shared" si="759"/>
        <v>2</v>
      </c>
      <c r="R9314" s="894">
        <f t="shared" si="760"/>
        <v>0</v>
      </c>
    </row>
    <row r="9315" spans="1:18">
      <c r="A9315" s="905"/>
      <c r="B9315" s="952" t="s">
        <v>6414</v>
      </c>
      <c r="C9315" s="907">
        <v>914</v>
      </c>
      <c r="D9315" s="907" t="s">
        <v>93</v>
      </c>
      <c r="E9315" s="992" t="s">
        <v>6415</v>
      </c>
      <c r="F9315" s="905" t="s">
        <v>2673</v>
      </c>
      <c r="G9315" s="1005"/>
      <c r="H9315" s="911">
        <v>0.1</v>
      </c>
      <c r="I9315" s="912"/>
      <c r="J9315" s="912"/>
      <c r="K9315" s="912"/>
      <c r="L9315" s="912"/>
      <c r="M9315" s="912">
        <f>VLOOKUP(B9315,MTC!$B$9:$S$933,12,0)</f>
        <v>0</v>
      </c>
      <c r="N9315" s="912">
        <f>M9315*H9315</f>
        <v>0</v>
      </c>
      <c r="O9315" s="892">
        <f t="shared" si="761"/>
        <v>0</v>
      </c>
      <c r="P9315" s="903">
        <f t="shared" si="758"/>
        <v>1</v>
      </c>
      <c r="Q9315" s="893">
        <f t="shared" si="759"/>
        <v>1</v>
      </c>
      <c r="R9315" s="894">
        <f t="shared" si="760"/>
        <v>0</v>
      </c>
    </row>
    <row r="9316" spans="1:18" s="847" customFormat="1" ht="31.5">
      <c r="A9316" s="905" t="s">
        <v>6473</v>
      </c>
      <c r="B9316" s="914" t="s">
        <v>6474</v>
      </c>
      <c r="C9316" s="915"/>
      <c r="D9316" s="915"/>
      <c r="E9316" s="1006" t="s">
        <v>6475</v>
      </c>
      <c r="F9316" s="1007" t="s">
        <v>136</v>
      </c>
      <c r="G9316" s="1008"/>
      <c r="H9316" s="919"/>
      <c r="I9316" s="920"/>
      <c r="J9316" s="891">
        <f>SUM(J9317:J9327)</f>
        <v>55500</v>
      </c>
      <c r="K9316" s="891" t="s">
        <v>274</v>
      </c>
      <c r="L9316" s="891">
        <f>SUM(L9317:L9327)</f>
        <v>331687.5</v>
      </c>
      <c r="M9316" s="891"/>
      <c r="N9316" s="891">
        <f>SUM(N9317:N9327)</f>
        <v>36149.760000000002</v>
      </c>
      <c r="O9316" s="892">
        <f t="shared" si="761"/>
        <v>1</v>
      </c>
      <c r="P9316" s="903">
        <f t="shared" si="758"/>
        <v>0</v>
      </c>
      <c r="Q9316" s="893">
        <f t="shared" si="759"/>
        <v>0</v>
      </c>
      <c r="R9316" s="894">
        <f t="shared" si="760"/>
        <v>11</v>
      </c>
    </row>
    <row r="9317" spans="1:18" s="904" customFormat="1">
      <c r="A9317" s="895"/>
      <c r="B9317" s="896"/>
      <c r="C9317" s="897"/>
      <c r="D9317" s="897"/>
      <c r="E9317" s="1002" t="s">
        <v>108</v>
      </c>
      <c r="F9317" s="895"/>
      <c r="G9317" s="1004"/>
      <c r="H9317" s="901"/>
      <c r="I9317" s="902"/>
      <c r="J9317" s="902"/>
      <c r="K9317" s="912" t="s">
        <v>274</v>
      </c>
      <c r="L9317" s="902"/>
      <c r="M9317" s="902"/>
      <c r="N9317" s="902"/>
      <c r="O9317" s="892">
        <f t="shared" si="761"/>
        <v>0</v>
      </c>
      <c r="P9317" s="903">
        <f t="shared" si="758"/>
        <v>1</v>
      </c>
      <c r="Q9317" s="893">
        <f t="shared" si="759"/>
        <v>11</v>
      </c>
      <c r="R9317" s="894">
        <f t="shared" si="760"/>
        <v>0</v>
      </c>
    </row>
    <row r="9318" spans="1:18">
      <c r="A9318" s="905"/>
      <c r="B9318" s="952"/>
      <c r="C9318" s="907">
        <v>315</v>
      </c>
      <c r="D9318" s="907" t="s">
        <v>279</v>
      </c>
      <c r="E9318" s="992" t="s">
        <v>6316</v>
      </c>
      <c r="F9318" s="905" t="s">
        <v>49</v>
      </c>
      <c r="G9318" s="1005"/>
      <c r="H9318" s="911">
        <v>0.5</v>
      </c>
      <c r="I9318" s="912">
        <f>VLOOKUP(E9318,[3]VLP!$B$7:$K$300,10,0)</f>
        <v>8000</v>
      </c>
      <c r="J9318" s="912">
        <f>I9318*H9318</f>
        <v>4000</v>
      </c>
      <c r="K9318" s="912" t="s">
        <v>274</v>
      </c>
      <c r="L9318" s="912"/>
      <c r="M9318" s="912"/>
      <c r="N9318" s="912"/>
      <c r="O9318" s="892">
        <f t="shared" si="761"/>
        <v>0</v>
      </c>
      <c r="P9318" s="903">
        <f t="shared" si="758"/>
        <v>1</v>
      </c>
      <c r="Q9318" s="893">
        <f t="shared" si="759"/>
        <v>10</v>
      </c>
      <c r="R9318" s="894">
        <f t="shared" si="760"/>
        <v>0</v>
      </c>
    </row>
    <row r="9319" spans="1:18" s="847" customFormat="1">
      <c r="A9319" s="905"/>
      <c r="B9319" s="952"/>
      <c r="C9319" s="907">
        <v>235</v>
      </c>
      <c r="D9319" s="907" t="s">
        <v>279</v>
      </c>
      <c r="E9319" s="992" t="s">
        <v>2682</v>
      </c>
      <c r="F9319" s="905" t="s">
        <v>45</v>
      </c>
      <c r="G9319" s="1005"/>
      <c r="H9319" s="911">
        <v>0.3</v>
      </c>
      <c r="I9319" s="912">
        <f>VLOOKUP(E9319,[3]VLP!$B$7:$K$300,10,0)</f>
        <v>5000</v>
      </c>
      <c r="J9319" s="912">
        <f>I9319*H9319</f>
        <v>1500</v>
      </c>
      <c r="K9319" s="912" t="s">
        <v>274</v>
      </c>
      <c r="L9319" s="912"/>
      <c r="M9319" s="912"/>
      <c r="N9319" s="912"/>
      <c r="O9319" s="892">
        <f t="shared" si="761"/>
        <v>0</v>
      </c>
      <c r="P9319" s="903">
        <f t="shared" si="758"/>
        <v>1</v>
      </c>
      <c r="Q9319" s="893">
        <f t="shared" si="759"/>
        <v>9</v>
      </c>
      <c r="R9319" s="894">
        <f t="shared" si="760"/>
        <v>0</v>
      </c>
    </row>
    <row r="9320" spans="1:18" s="904" customFormat="1">
      <c r="A9320" s="905"/>
      <c r="B9320" s="952"/>
      <c r="C9320" s="907">
        <v>699</v>
      </c>
      <c r="D9320" s="907" t="s">
        <v>279</v>
      </c>
      <c r="E9320" s="992" t="s">
        <v>4006</v>
      </c>
      <c r="F9320" s="905" t="s">
        <v>4007</v>
      </c>
      <c r="G9320" s="1005"/>
      <c r="H9320" s="911">
        <v>10</v>
      </c>
      <c r="I9320" s="912">
        <f>VLOOKUP(E9320,[3]VLP!$B$7:$K$300,10,0)</f>
        <v>5000</v>
      </c>
      <c r="J9320" s="912">
        <f>I9320*H9320</f>
        <v>50000</v>
      </c>
      <c r="K9320" s="912" t="s">
        <v>274</v>
      </c>
      <c r="L9320" s="912"/>
      <c r="M9320" s="912"/>
      <c r="N9320" s="912"/>
      <c r="O9320" s="892">
        <f t="shared" si="761"/>
        <v>0</v>
      </c>
      <c r="P9320" s="903">
        <f t="shared" si="758"/>
        <v>1</v>
      </c>
      <c r="Q9320" s="893">
        <f t="shared" si="759"/>
        <v>8</v>
      </c>
      <c r="R9320" s="894">
        <f t="shared" si="760"/>
        <v>0</v>
      </c>
    </row>
    <row r="9321" spans="1:18">
      <c r="A9321" s="895"/>
      <c r="B9321" s="896"/>
      <c r="C9321" s="897"/>
      <c r="D9321" s="897"/>
      <c r="E9321" s="1002" t="s">
        <v>276</v>
      </c>
      <c r="F9321" s="1003"/>
      <c r="G9321" s="1004"/>
      <c r="H9321" s="901"/>
      <c r="I9321" s="902"/>
      <c r="J9321" s="902"/>
      <c r="K9321" s="912" t="s">
        <v>274</v>
      </c>
      <c r="L9321" s="902"/>
      <c r="M9321" s="902"/>
      <c r="N9321" s="902"/>
      <c r="O9321" s="892">
        <f t="shared" si="761"/>
        <v>0</v>
      </c>
      <c r="P9321" s="903">
        <f t="shared" si="758"/>
        <v>1</v>
      </c>
      <c r="Q9321" s="893">
        <f t="shared" si="759"/>
        <v>7</v>
      </c>
      <c r="R9321" s="894">
        <f t="shared" si="760"/>
        <v>0</v>
      </c>
    </row>
    <row r="9322" spans="1:18" s="847" customFormat="1">
      <c r="A9322" s="905"/>
      <c r="B9322" s="952"/>
      <c r="C9322" s="907">
        <v>740</v>
      </c>
      <c r="D9322" s="907" t="s">
        <v>12</v>
      </c>
      <c r="E9322" s="992" t="s">
        <v>4008</v>
      </c>
      <c r="F9322" s="905" t="s">
        <v>2674</v>
      </c>
      <c r="G9322" s="1005"/>
      <c r="H9322" s="911">
        <v>1.5</v>
      </c>
      <c r="I9322" s="912"/>
      <c r="J9322" s="912"/>
      <c r="K9322" s="912">
        <f>VLOOKUP(E9322,[5]ĐMNC!$A$7:$F$67,4,0)</f>
        <v>221125</v>
      </c>
      <c r="L9322" s="912">
        <f>H9322*K9322</f>
        <v>331687.5</v>
      </c>
      <c r="M9322" s="912"/>
      <c r="N9322" s="912"/>
      <c r="O9322" s="892">
        <f t="shared" si="761"/>
        <v>0</v>
      </c>
      <c r="P9322" s="903">
        <f t="shared" si="758"/>
        <v>1</v>
      </c>
      <c r="Q9322" s="893">
        <f t="shared" si="759"/>
        <v>6</v>
      </c>
      <c r="R9322" s="894">
        <f t="shared" si="760"/>
        <v>0</v>
      </c>
    </row>
    <row r="9323" spans="1:18" s="904" customFormat="1">
      <c r="A9323" s="895"/>
      <c r="B9323" s="896"/>
      <c r="C9323" s="897"/>
      <c r="D9323" s="897"/>
      <c r="E9323" s="1002" t="s">
        <v>3914</v>
      </c>
      <c r="F9323" s="895"/>
      <c r="G9323" s="1004"/>
      <c r="H9323" s="901"/>
      <c r="I9323" s="902"/>
      <c r="J9323" s="902"/>
      <c r="K9323" s="912" t="s">
        <v>274</v>
      </c>
      <c r="L9323" s="902"/>
      <c r="M9323" s="902"/>
      <c r="N9323" s="902"/>
      <c r="O9323" s="892">
        <f t="shared" si="761"/>
        <v>0</v>
      </c>
      <c r="P9323" s="903">
        <f t="shared" si="758"/>
        <v>1</v>
      </c>
      <c r="Q9323" s="893">
        <f t="shared" si="759"/>
        <v>5</v>
      </c>
      <c r="R9323" s="894">
        <f t="shared" si="760"/>
        <v>0</v>
      </c>
    </row>
    <row r="9324" spans="1:18">
      <c r="A9324" s="905"/>
      <c r="B9324" s="952" t="s">
        <v>6408</v>
      </c>
      <c r="C9324" s="907">
        <v>913</v>
      </c>
      <c r="D9324" s="907" t="s">
        <v>93</v>
      </c>
      <c r="E9324" s="992" t="s">
        <v>6409</v>
      </c>
      <c r="F9324" s="905" t="s">
        <v>2673</v>
      </c>
      <c r="G9324" s="1005"/>
      <c r="H9324" s="911">
        <v>0.42</v>
      </c>
      <c r="I9324" s="912"/>
      <c r="J9324" s="912"/>
      <c r="K9324" s="912"/>
      <c r="L9324" s="912"/>
      <c r="M9324" s="912">
        <f>VLOOKUP(B9324,MTC!$B$9:$S$933,12,0)</f>
        <v>0</v>
      </c>
      <c r="N9324" s="912">
        <f>M9324*H9324</f>
        <v>0</v>
      </c>
      <c r="O9324" s="892">
        <f t="shared" si="761"/>
        <v>0</v>
      </c>
      <c r="P9324" s="903">
        <f t="shared" si="758"/>
        <v>1</v>
      </c>
      <c r="Q9324" s="893">
        <f t="shared" si="759"/>
        <v>4</v>
      </c>
      <c r="R9324" s="894">
        <f t="shared" si="760"/>
        <v>0</v>
      </c>
    </row>
    <row r="9325" spans="1:18" s="847" customFormat="1">
      <c r="A9325" s="905"/>
      <c r="B9325" s="952" t="s">
        <v>6410</v>
      </c>
      <c r="C9325" s="907">
        <v>906</v>
      </c>
      <c r="D9325" s="907" t="s">
        <v>93</v>
      </c>
      <c r="E9325" s="992" t="s">
        <v>6411</v>
      </c>
      <c r="F9325" s="905" t="s">
        <v>2673</v>
      </c>
      <c r="G9325" s="1005"/>
      <c r="H9325" s="911">
        <v>0.16</v>
      </c>
      <c r="I9325" s="912"/>
      <c r="J9325" s="912"/>
      <c r="K9325" s="912"/>
      <c r="L9325" s="912"/>
      <c r="M9325" s="912">
        <f>VLOOKUP(B9325,MTC!$B$9:$S$933,12,0)</f>
        <v>0</v>
      </c>
      <c r="N9325" s="912">
        <f>M9325*H9325</f>
        <v>0</v>
      </c>
      <c r="O9325" s="892">
        <f t="shared" si="761"/>
        <v>0</v>
      </c>
      <c r="P9325" s="903">
        <f t="shared" si="758"/>
        <v>1</v>
      </c>
      <c r="Q9325" s="893">
        <f t="shared" si="759"/>
        <v>3</v>
      </c>
      <c r="R9325" s="894">
        <f t="shared" si="760"/>
        <v>0</v>
      </c>
    </row>
    <row r="9326" spans="1:18" s="904" customFormat="1">
      <c r="A9326" s="905"/>
      <c r="B9326" s="952" t="s">
        <v>6412</v>
      </c>
      <c r="C9326" s="907">
        <v>905</v>
      </c>
      <c r="D9326" s="907" t="s">
        <v>93</v>
      </c>
      <c r="E9326" s="992" t="s">
        <v>6413</v>
      </c>
      <c r="F9326" s="905" t="s">
        <v>2673</v>
      </c>
      <c r="G9326" s="1005"/>
      <c r="H9326" s="911">
        <v>0.16</v>
      </c>
      <c r="I9326" s="912"/>
      <c r="J9326" s="912"/>
      <c r="K9326" s="912"/>
      <c r="L9326" s="912"/>
      <c r="M9326" s="912">
        <f>VLOOKUP(B9326,MTC!$B$9:$S$933,12,0)</f>
        <v>225936</v>
      </c>
      <c r="N9326" s="912">
        <f>M9326*H9326</f>
        <v>36149.760000000002</v>
      </c>
      <c r="O9326" s="892">
        <f t="shared" si="761"/>
        <v>0</v>
      </c>
      <c r="P9326" s="903">
        <f t="shared" si="758"/>
        <v>1</v>
      </c>
      <c r="Q9326" s="893">
        <f t="shared" si="759"/>
        <v>2</v>
      </c>
      <c r="R9326" s="894">
        <f t="shared" si="760"/>
        <v>0</v>
      </c>
    </row>
    <row r="9327" spans="1:18">
      <c r="A9327" s="905"/>
      <c r="B9327" s="952" t="s">
        <v>6414</v>
      </c>
      <c r="C9327" s="907">
        <v>914</v>
      </c>
      <c r="D9327" s="907" t="s">
        <v>93</v>
      </c>
      <c r="E9327" s="992" t="s">
        <v>6415</v>
      </c>
      <c r="F9327" s="905" t="s">
        <v>2673</v>
      </c>
      <c r="G9327" s="1005"/>
      <c r="H9327" s="911">
        <v>0.1</v>
      </c>
      <c r="I9327" s="912"/>
      <c r="J9327" s="912"/>
      <c r="K9327" s="912"/>
      <c r="L9327" s="912"/>
      <c r="M9327" s="912">
        <f>VLOOKUP(B9327,MTC!$B$9:$S$933,12,0)</f>
        <v>0</v>
      </c>
      <c r="N9327" s="912">
        <f>M9327*H9327</f>
        <v>0</v>
      </c>
      <c r="O9327" s="892">
        <f t="shared" si="761"/>
        <v>0</v>
      </c>
      <c r="P9327" s="903">
        <f t="shared" si="758"/>
        <v>1</v>
      </c>
      <c r="Q9327" s="893">
        <f t="shared" si="759"/>
        <v>1</v>
      </c>
      <c r="R9327" s="894">
        <f t="shared" si="760"/>
        <v>0</v>
      </c>
    </row>
    <row r="9328" spans="1:18" s="847" customFormat="1" ht="31.5">
      <c r="A9328" s="905">
        <v>64</v>
      </c>
      <c r="B9328" s="914" t="s">
        <v>6476</v>
      </c>
      <c r="C9328" s="915"/>
      <c r="D9328" s="915"/>
      <c r="E9328" s="1006" t="s">
        <v>6477</v>
      </c>
      <c r="F9328" s="1007" t="s">
        <v>136</v>
      </c>
      <c r="G9328" s="1008"/>
      <c r="H9328" s="919"/>
      <c r="I9328" s="920"/>
      <c r="J9328" s="891">
        <f>SUM(J9329:J9339)</f>
        <v>55500</v>
      </c>
      <c r="K9328" s="891" t="s">
        <v>274</v>
      </c>
      <c r="L9328" s="891">
        <f>SUM(L9329:L9339)</f>
        <v>442250</v>
      </c>
      <c r="M9328" s="891"/>
      <c r="N9328" s="891">
        <f>SUM(N9329:N9339)</f>
        <v>42927.840000000004</v>
      </c>
      <c r="O9328" s="892">
        <f t="shared" si="761"/>
        <v>1</v>
      </c>
      <c r="P9328" s="903">
        <f t="shared" si="758"/>
        <v>0</v>
      </c>
      <c r="Q9328" s="893">
        <f t="shared" si="759"/>
        <v>0</v>
      </c>
      <c r="R9328" s="894">
        <f t="shared" si="760"/>
        <v>11</v>
      </c>
    </row>
    <row r="9329" spans="1:18" s="904" customFormat="1">
      <c r="A9329" s="895"/>
      <c r="B9329" s="896"/>
      <c r="C9329" s="897"/>
      <c r="D9329" s="897"/>
      <c r="E9329" s="1002" t="s">
        <v>108</v>
      </c>
      <c r="F9329" s="895"/>
      <c r="G9329" s="1004"/>
      <c r="H9329" s="901"/>
      <c r="I9329" s="902"/>
      <c r="J9329" s="902"/>
      <c r="K9329" s="912" t="s">
        <v>274</v>
      </c>
      <c r="L9329" s="902"/>
      <c r="M9329" s="902"/>
      <c r="N9329" s="902"/>
      <c r="O9329" s="892">
        <f t="shared" si="761"/>
        <v>0</v>
      </c>
      <c r="P9329" s="903">
        <f t="shared" si="758"/>
        <v>1</v>
      </c>
      <c r="Q9329" s="893">
        <f t="shared" si="759"/>
        <v>11</v>
      </c>
      <c r="R9329" s="894">
        <f t="shared" si="760"/>
        <v>0</v>
      </c>
    </row>
    <row r="9330" spans="1:18">
      <c r="A9330" s="905"/>
      <c r="B9330" s="952"/>
      <c r="C9330" s="907">
        <v>315</v>
      </c>
      <c r="D9330" s="907" t="s">
        <v>279</v>
      </c>
      <c r="E9330" s="992" t="s">
        <v>6316</v>
      </c>
      <c r="F9330" s="905" t="s">
        <v>49</v>
      </c>
      <c r="G9330" s="1005"/>
      <c r="H9330" s="911">
        <v>0.5</v>
      </c>
      <c r="I9330" s="912">
        <f>VLOOKUP(E9330,[3]VLP!$B$7:$K$300,10,0)</f>
        <v>8000</v>
      </c>
      <c r="J9330" s="912">
        <f>I9330*H9330</f>
        <v>4000</v>
      </c>
      <c r="K9330" s="912" t="s">
        <v>274</v>
      </c>
      <c r="L9330" s="912"/>
      <c r="M9330" s="912"/>
      <c r="N9330" s="912"/>
      <c r="O9330" s="892">
        <f t="shared" si="761"/>
        <v>0</v>
      </c>
      <c r="P9330" s="903">
        <f t="shared" si="758"/>
        <v>1</v>
      </c>
      <c r="Q9330" s="893">
        <f t="shared" si="759"/>
        <v>10</v>
      </c>
      <c r="R9330" s="894">
        <f t="shared" si="760"/>
        <v>0</v>
      </c>
    </row>
    <row r="9331" spans="1:18" s="847" customFormat="1">
      <c r="A9331" s="905"/>
      <c r="B9331" s="952"/>
      <c r="C9331" s="907">
        <v>235</v>
      </c>
      <c r="D9331" s="907" t="s">
        <v>279</v>
      </c>
      <c r="E9331" s="992" t="s">
        <v>2682</v>
      </c>
      <c r="F9331" s="905" t="s">
        <v>45</v>
      </c>
      <c r="G9331" s="1005"/>
      <c r="H9331" s="911">
        <v>0.3</v>
      </c>
      <c r="I9331" s="912">
        <f>VLOOKUP(E9331,[3]VLP!$B$7:$K$300,10,0)</f>
        <v>5000</v>
      </c>
      <c r="J9331" s="912">
        <f>I9331*H9331</f>
        <v>1500</v>
      </c>
      <c r="K9331" s="912" t="s">
        <v>274</v>
      </c>
      <c r="L9331" s="912"/>
      <c r="M9331" s="912"/>
      <c r="N9331" s="912"/>
      <c r="O9331" s="892">
        <f t="shared" si="761"/>
        <v>0</v>
      </c>
      <c r="P9331" s="903">
        <f t="shared" ref="P9331:P9394" si="762">IF(O9331=0,1,0)</f>
        <v>1</v>
      </c>
      <c r="Q9331" s="893">
        <f t="shared" ref="Q9331:Q9394" si="763">IF(P9331=0,0,P9331+Q9332)</f>
        <v>9</v>
      </c>
      <c r="R9331" s="894">
        <f t="shared" ref="R9331:R9394" si="764">IF(Q9331=0,Q9332,0)</f>
        <v>0</v>
      </c>
    </row>
    <row r="9332" spans="1:18" s="904" customFormat="1">
      <c r="A9332" s="905"/>
      <c r="B9332" s="952"/>
      <c r="C9332" s="907">
        <v>699</v>
      </c>
      <c r="D9332" s="907" t="s">
        <v>279</v>
      </c>
      <c r="E9332" s="992" t="s">
        <v>4006</v>
      </c>
      <c r="F9332" s="905" t="s">
        <v>4007</v>
      </c>
      <c r="G9332" s="1005"/>
      <c r="H9332" s="911">
        <v>10</v>
      </c>
      <c r="I9332" s="912">
        <f>VLOOKUP(E9332,[3]VLP!$B$7:$K$300,10,0)</f>
        <v>5000</v>
      </c>
      <c r="J9332" s="912">
        <f>I9332*H9332</f>
        <v>50000</v>
      </c>
      <c r="K9332" s="912" t="s">
        <v>274</v>
      </c>
      <c r="L9332" s="912"/>
      <c r="M9332" s="912"/>
      <c r="N9332" s="912"/>
      <c r="O9332" s="892">
        <f t="shared" si="761"/>
        <v>0</v>
      </c>
      <c r="P9332" s="903">
        <f t="shared" si="762"/>
        <v>1</v>
      </c>
      <c r="Q9332" s="893">
        <f t="shared" si="763"/>
        <v>8</v>
      </c>
      <c r="R9332" s="894">
        <f t="shared" si="764"/>
        <v>0</v>
      </c>
    </row>
    <row r="9333" spans="1:18">
      <c r="A9333" s="895"/>
      <c r="B9333" s="896"/>
      <c r="C9333" s="897"/>
      <c r="D9333" s="897"/>
      <c r="E9333" s="1002" t="s">
        <v>276</v>
      </c>
      <c r="F9333" s="1003"/>
      <c r="G9333" s="1004"/>
      <c r="H9333" s="901"/>
      <c r="I9333" s="902"/>
      <c r="J9333" s="902"/>
      <c r="K9333" s="912" t="s">
        <v>274</v>
      </c>
      <c r="L9333" s="902"/>
      <c r="M9333" s="902"/>
      <c r="N9333" s="902"/>
      <c r="O9333" s="892">
        <f t="shared" si="761"/>
        <v>0</v>
      </c>
      <c r="P9333" s="903">
        <f t="shared" si="762"/>
        <v>1</v>
      </c>
      <c r="Q9333" s="893">
        <f t="shared" si="763"/>
        <v>7</v>
      </c>
      <c r="R9333" s="894">
        <f t="shared" si="764"/>
        <v>0</v>
      </c>
    </row>
    <row r="9334" spans="1:18" s="847" customFormat="1">
      <c r="A9334" s="905"/>
      <c r="B9334" s="952"/>
      <c r="C9334" s="907">
        <v>740</v>
      </c>
      <c r="D9334" s="907" t="s">
        <v>12</v>
      </c>
      <c r="E9334" s="992" t="s">
        <v>4008</v>
      </c>
      <c r="F9334" s="905" t="s">
        <v>2674</v>
      </c>
      <c r="G9334" s="1005"/>
      <c r="H9334" s="911">
        <v>2</v>
      </c>
      <c r="I9334" s="912"/>
      <c r="J9334" s="912"/>
      <c r="K9334" s="912">
        <f>VLOOKUP(E9334,[5]ĐMNC!$A$7:$F$67,4,0)</f>
        <v>221125</v>
      </c>
      <c r="L9334" s="912">
        <f>H9334*K9334</f>
        <v>442250</v>
      </c>
      <c r="M9334" s="912"/>
      <c r="N9334" s="912"/>
      <c r="O9334" s="892">
        <f t="shared" si="761"/>
        <v>0</v>
      </c>
      <c r="P9334" s="903">
        <f t="shared" si="762"/>
        <v>1</v>
      </c>
      <c r="Q9334" s="893">
        <f t="shared" si="763"/>
        <v>6</v>
      </c>
      <c r="R9334" s="894">
        <f t="shared" si="764"/>
        <v>0</v>
      </c>
    </row>
    <row r="9335" spans="1:18" s="904" customFormat="1">
      <c r="A9335" s="895"/>
      <c r="B9335" s="896"/>
      <c r="C9335" s="897"/>
      <c r="D9335" s="897"/>
      <c r="E9335" s="1002" t="s">
        <v>3914</v>
      </c>
      <c r="F9335" s="895"/>
      <c r="G9335" s="1004"/>
      <c r="H9335" s="901"/>
      <c r="I9335" s="902"/>
      <c r="J9335" s="902"/>
      <c r="K9335" s="912" t="s">
        <v>274</v>
      </c>
      <c r="L9335" s="902"/>
      <c r="M9335" s="902"/>
      <c r="N9335" s="902"/>
      <c r="O9335" s="892">
        <f t="shared" si="761"/>
        <v>0</v>
      </c>
      <c r="P9335" s="903">
        <f t="shared" si="762"/>
        <v>1</v>
      </c>
      <c r="Q9335" s="893">
        <f t="shared" si="763"/>
        <v>5</v>
      </c>
      <c r="R9335" s="894">
        <f t="shared" si="764"/>
        <v>0</v>
      </c>
    </row>
    <row r="9336" spans="1:18">
      <c r="A9336" s="905"/>
      <c r="B9336" s="952" t="s">
        <v>6408</v>
      </c>
      <c r="C9336" s="907">
        <v>913</v>
      </c>
      <c r="D9336" s="907" t="s">
        <v>93</v>
      </c>
      <c r="E9336" s="992" t="s">
        <v>6409</v>
      </c>
      <c r="F9336" s="905" t="s">
        <v>2673</v>
      </c>
      <c r="G9336" s="1005"/>
      <c r="H9336" s="911">
        <v>0.56000000000000005</v>
      </c>
      <c r="I9336" s="912"/>
      <c r="J9336" s="912"/>
      <c r="K9336" s="912"/>
      <c r="L9336" s="912"/>
      <c r="M9336" s="912">
        <f>VLOOKUP(B9336,MTC!$B$9:$S$933,12,0)</f>
        <v>0</v>
      </c>
      <c r="N9336" s="912">
        <f>M9336*H9336</f>
        <v>0</v>
      </c>
      <c r="O9336" s="892">
        <f t="shared" si="761"/>
        <v>0</v>
      </c>
      <c r="P9336" s="903">
        <f t="shared" si="762"/>
        <v>1</v>
      </c>
      <c r="Q9336" s="893">
        <f t="shared" si="763"/>
        <v>4</v>
      </c>
      <c r="R9336" s="894">
        <f t="shared" si="764"/>
        <v>0</v>
      </c>
    </row>
    <row r="9337" spans="1:18" s="847" customFormat="1">
      <c r="A9337" s="905"/>
      <c r="B9337" s="952" t="s">
        <v>6410</v>
      </c>
      <c r="C9337" s="907">
        <v>906</v>
      </c>
      <c r="D9337" s="907" t="s">
        <v>93</v>
      </c>
      <c r="E9337" s="992" t="s">
        <v>6411</v>
      </c>
      <c r="F9337" s="905" t="s">
        <v>2673</v>
      </c>
      <c r="G9337" s="1005"/>
      <c r="H9337" s="911">
        <v>0.19</v>
      </c>
      <c r="I9337" s="912"/>
      <c r="J9337" s="912"/>
      <c r="K9337" s="912"/>
      <c r="L9337" s="912"/>
      <c r="M9337" s="912">
        <f>VLOOKUP(B9337,MTC!$B$9:$S$933,12,0)</f>
        <v>0</v>
      </c>
      <c r="N9337" s="912">
        <f>M9337*H9337</f>
        <v>0</v>
      </c>
      <c r="O9337" s="892">
        <f t="shared" si="761"/>
        <v>0</v>
      </c>
      <c r="P9337" s="903">
        <f t="shared" si="762"/>
        <v>1</v>
      </c>
      <c r="Q9337" s="893">
        <f t="shared" si="763"/>
        <v>3</v>
      </c>
      <c r="R9337" s="894">
        <f t="shared" si="764"/>
        <v>0</v>
      </c>
    </row>
    <row r="9338" spans="1:18" s="904" customFormat="1">
      <c r="A9338" s="905"/>
      <c r="B9338" s="952" t="s">
        <v>6412</v>
      </c>
      <c r="C9338" s="907">
        <v>905</v>
      </c>
      <c r="D9338" s="907" t="s">
        <v>93</v>
      </c>
      <c r="E9338" s="992" t="s">
        <v>6413</v>
      </c>
      <c r="F9338" s="905" t="s">
        <v>2673</v>
      </c>
      <c r="G9338" s="1005"/>
      <c r="H9338" s="911">
        <v>0.19</v>
      </c>
      <c r="I9338" s="912"/>
      <c r="J9338" s="912"/>
      <c r="K9338" s="912"/>
      <c r="L9338" s="912"/>
      <c r="M9338" s="912">
        <f>VLOOKUP(B9338,MTC!$B$9:$S$933,12,0)</f>
        <v>225936</v>
      </c>
      <c r="N9338" s="912">
        <f>M9338*H9338</f>
        <v>42927.840000000004</v>
      </c>
      <c r="O9338" s="892">
        <f t="shared" si="761"/>
        <v>0</v>
      </c>
      <c r="P9338" s="903">
        <f t="shared" si="762"/>
        <v>1</v>
      </c>
      <c r="Q9338" s="893">
        <f t="shared" si="763"/>
        <v>2</v>
      </c>
      <c r="R9338" s="894">
        <f t="shared" si="764"/>
        <v>0</v>
      </c>
    </row>
    <row r="9339" spans="1:18">
      <c r="A9339" s="905"/>
      <c r="B9339" s="952" t="s">
        <v>6414</v>
      </c>
      <c r="C9339" s="907">
        <v>914</v>
      </c>
      <c r="D9339" s="907" t="s">
        <v>93</v>
      </c>
      <c r="E9339" s="992" t="s">
        <v>6415</v>
      </c>
      <c r="F9339" s="905" t="s">
        <v>2673</v>
      </c>
      <c r="G9339" s="1005"/>
      <c r="H9339" s="911">
        <v>0.1</v>
      </c>
      <c r="I9339" s="912"/>
      <c r="J9339" s="912"/>
      <c r="K9339" s="912"/>
      <c r="L9339" s="912"/>
      <c r="M9339" s="912">
        <f>VLOOKUP(B9339,MTC!$B$9:$S$933,12,0)</f>
        <v>0</v>
      </c>
      <c r="N9339" s="912">
        <f>M9339*H9339</f>
        <v>0</v>
      </c>
      <c r="O9339" s="892">
        <f t="shared" si="761"/>
        <v>0</v>
      </c>
      <c r="P9339" s="903">
        <f t="shared" si="762"/>
        <v>1</v>
      </c>
      <c r="Q9339" s="893">
        <f t="shared" si="763"/>
        <v>1</v>
      </c>
      <c r="R9339" s="894">
        <f t="shared" si="764"/>
        <v>0</v>
      </c>
    </row>
    <row r="9340" spans="1:18" s="847" customFormat="1" ht="31.5">
      <c r="A9340" s="905">
        <v>65</v>
      </c>
      <c r="B9340" s="914" t="s">
        <v>6478</v>
      </c>
      <c r="C9340" s="915"/>
      <c r="D9340" s="915"/>
      <c r="E9340" s="1006" t="s">
        <v>6479</v>
      </c>
      <c r="F9340" s="1007" t="s">
        <v>136</v>
      </c>
      <c r="G9340" s="1008"/>
      <c r="H9340" s="919"/>
      <c r="I9340" s="920"/>
      <c r="J9340" s="891">
        <f>SUM(J9341:J9351)</f>
        <v>55500</v>
      </c>
      <c r="K9340" s="891" t="s">
        <v>274</v>
      </c>
      <c r="L9340" s="891">
        <f>SUM(L9341:L9351)</f>
        <v>552812.5</v>
      </c>
      <c r="M9340" s="891"/>
      <c r="N9340" s="891">
        <f>SUM(N9341:N9351)</f>
        <v>51965.279999999999</v>
      </c>
      <c r="O9340" s="892">
        <f t="shared" si="761"/>
        <v>1</v>
      </c>
      <c r="P9340" s="903">
        <f t="shared" si="762"/>
        <v>0</v>
      </c>
      <c r="Q9340" s="893">
        <f t="shared" si="763"/>
        <v>0</v>
      </c>
      <c r="R9340" s="894">
        <f t="shared" si="764"/>
        <v>11</v>
      </c>
    </row>
    <row r="9341" spans="1:18" s="904" customFormat="1">
      <c r="A9341" s="895"/>
      <c r="B9341" s="896"/>
      <c r="C9341" s="897"/>
      <c r="D9341" s="897"/>
      <c r="E9341" s="1002" t="s">
        <v>108</v>
      </c>
      <c r="F9341" s="895"/>
      <c r="G9341" s="1004"/>
      <c r="H9341" s="901"/>
      <c r="I9341" s="902"/>
      <c r="J9341" s="902"/>
      <c r="K9341" s="912" t="s">
        <v>274</v>
      </c>
      <c r="L9341" s="902"/>
      <c r="M9341" s="902"/>
      <c r="N9341" s="902"/>
      <c r="O9341" s="892">
        <f t="shared" si="761"/>
        <v>0</v>
      </c>
      <c r="P9341" s="903">
        <f t="shared" si="762"/>
        <v>1</v>
      </c>
      <c r="Q9341" s="893">
        <f t="shared" si="763"/>
        <v>11</v>
      </c>
      <c r="R9341" s="894">
        <f t="shared" si="764"/>
        <v>0</v>
      </c>
    </row>
    <row r="9342" spans="1:18">
      <c r="A9342" s="905"/>
      <c r="B9342" s="952"/>
      <c r="C9342" s="907">
        <v>315</v>
      </c>
      <c r="D9342" s="907" t="s">
        <v>279</v>
      </c>
      <c r="E9342" s="992" t="s">
        <v>6316</v>
      </c>
      <c r="F9342" s="905" t="s">
        <v>49</v>
      </c>
      <c r="G9342" s="1005"/>
      <c r="H9342" s="911">
        <v>0.5</v>
      </c>
      <c r="I9342" s="912">
        <f>VLOOKUP(E9342,[3]VLP!$B$7:$K$300,10,0)</f>
        <v>8000</v>
      </c>
      <c r="J9342" s="912">
        <f>I9342*H9342</f>
        <v>4000</v>
      </c>
      <c r="K9342" s="912" t="s">
        <v>274</v>
      </c>
      <c r="L9342" s="912"/>
      <c r="M9342" s="912"/>
      <c r="N9342" s="912"/>
      <c r="O9342" s="892">
        <f t="shared" si="761"/>
        <v>0</v>
      </c>
      <c r="P9342" s="903">
        <f t="shared" si="762"/>
        <v>1</v>
      </c>
      <c r="Q9342" s="893">
        <f t="shared" si="763"/>
        <v>10</v>
      </c>
      <c r="R9342" s="894">
        <f t="shared" si="764"/>
        <v>0</v>
      </c>
    </row>
    <row r="9343" spans="1:18" s="847" customFormat="1">
      <c r="A9343" s="905"/>
      <c r="B9343" s="952"/>
      <c r="C9343" s="907">
        <v>235</v>
      </c>
      <c r="D9343" s="907" t="s">
        <v>279</v>
      </c>
      <c r="E9343" s="992" t="s">
        <v>2682</v>
      </c>
      <c r="F9343" s="905" t="s">
        <v>45</v>
      </c>
      <c r="G9343" s="1005"/>
      <c r="H9343" s="911">
        <v>0.3</v>
      </c>
      <c r="I9343" s="912">
        <f>VLOOKUP(E9343,[3]VLP!$B$7:$K$300,10,0)</f>
        <v>5000</v>
      </c>
      <c r="J9343" s="912">
        <f>I9343*H9343</f>
        <v>1500</v>
      </c>
      <c r="K9343" s="912" t="s">
        <v>274</v>
      </c>
      <c r="L9343" s="912"/>
      <c r="M9343" s="912"/>
      <c r="N9343" s="912"/>
      <c r="O9343" s="892">
        <f t="shared" si="761"/>
        <v>0</v>
      </c>
      <c r="P9343" s="903">
        <f t="shared" si="762"/>
        <v>1</v>
      </c>
      <c r="Q9343" s="893">
        <f t="shared" si="763"/>
        <v>9</v>
      </c>
      <c r="R9343" s="894">
        <f t="shared" si="764"/>
        <v>0</v>
      </c>
    </row>
    <row r="9344" spans="1:18" s="904" customFormat="1">
      <c r="A9344" s="905"/>
      <c r="B9344" s="952"/>
      <c r="C9344" s="907">
        <v>699</v>
      </c>
      <c r="D9344" s="907" t="s">
        <v>279</v>
      </c>
      <c r="E9344" s="992" t="s">
        <v>4006</v>
      </c>
      <c r="F9344" s="905" t="s">
        <v>4007</v>
      </c>
      <c r="G9344" s="1005"/>
      <c r="H9344" s="911">
        <v>10</v>
      </c>
      <c r="I9344" s="912">
        <f>VLOOKUP(E9344,[3]VLP!$B$7:$K$300,10,0)</f>
        <v>5000</v>
      </c>
      <c r="J9344" s="912">
        <f>I9344*H9344</f>
        <v>50000</v>
      </c>
      <c r="K9344" s="912" t="s">
        <v>274</v>
      </c>
      <c r="L9344" s="912"/>
      <c r="M9344" s="912"/>
      <c r="N9344" s="912"/>
      <c r="O9344" s="892">
        <f t="shared" si="761"/>
        <v>0</v>
      </c>
      <c r="P9344" s="903">
        <f t="shared" si="762"/>
        <v>1</v>
      </c>
      <c r="Q9344" s="893">
        <f t="shared" si="763"/>
        <v>8</v>
      </c>
      <c r="R9344" s="894">
        <f t="shared" si="764"/>
        <v>0</v>
      </c>
    </row>
    <row r="9345" spans="1:18">
      <c r="A9345" s="895"/>
      <c r="B9345" s="896"/>
      <c r="C9345" s="897"/>
      <c r="D9345" s="897"/>
      <c r="E9345" s="1002" t="s">
        <v>276</v>
      </c>
      <c r="F9345" s="1003"/>
      <c r="G9345" s="1004"/>
      <c r="H9345" s="901"/>
      <c r="I9345" s="902"/>
      <c r="J9345" s="902"/>
      <c r="K9345" s="912" t="s">
        <v>274</v>
      </c>
      <c r="L9345" s="902"/>
      <c r="M9345" s="902"/>
      <c r="N9345" s="902"/>
      <c r="O9345" s="892">
        <f t="shared" si="761"/>
        <v>0</v>
      </c>
      <c r="P9345" s="903">
        <f t="shared" si="762"/>
        <v>1</v>
      </c>
      <c r="Q9345" s="893">
        <f t="shared" si="763"/>
        <v>7</v>
      </c>
      <c r="R9345" s="894">
        <f t="shared" si="764"/>
        <v>0</v>
      </c>
    </row>
    <row r="9346" spans="1:18" s="847" customFormat="1">
      <c r="A9346" s="905"/>
      <c r="B9346" s="952"/>
      <c r="C9346" s="907">
        <v>740</v>
      </c>
      <c r="D9346" s="907" t="s">
        <v>12</v>
      </c>
      <c r="E9346" s="992" t="s">
        <v>4008</v>
      </c>
      <c r="F9346" s="905" t="s">
        <v>2674</v>
      </c>
      <c r="G9346" s="1005"/>
      <c r="H9346" s="911">
        <v>2.5</v>
      </c>
      <c r="I9346" s="912"/>
      <c r="J9346" s="912"/>
      <c r="K9346" s="912">
        <f>VLOOKUP(E9346,[5]ĐMNC!$A$7:$F$67,4,0)</f>
        <v>221125</v>
      </c>
      <c r="L9346" s="912">
        <f>H9346*K9346</f>
        <v>552812.5</v>
      </c>
      <c r="M9346" s="912"/>
      <c r="N9346" s="912"/>
      <c r="O9346" s="892">
        <f t="shared" si="761"/>
        <v>0</v>
      </c>
      <c r="P9346" s="903">
        <f t="shared" si="762"/>
        <v>1</v>
      </c>
      <c r="Q9346" s="893">
        <f t="shared" si="763"/>
        <v>6</v>
      </c>
      <c r="R9346" s="894">
        <f t="shared" si="764"/>
        <v>0</v>
      </c>
    </row>
    <row r="9347" spans="1:18" s="904" customFormat="1">
      <c r="A9347" s="895"/>
      <c r="B9347" s="896"/>
      <c r="C9347" s="897"/>
      <c r="D9347" s="897"/>
      <c r="E9347" s="1002" t="s">
        <v>3914</v>
      </c>
      <c r="F9347" s="895"/>
      <c r="G9347" s="1004"/>
      <c r="H9347" s="901"/>
      <c r="I9347" s="902"/>
      <c r="J9347" s="902"/>
      <c r="K9347" s="912" t="s">
        <v>274</v>
      </c>
      <c r="L9347" s="902"/>
      <c r="M9347" s="902"/>
      <c r="N9347" s="902"/>
      <c r="O9347" s="892">
        <f t="shared" si="761"/>
        <v>0</v>
      </c>
      <c r="P9347" s="903">
        <f t="shared" si="762"/>
        <v>1</v>
      </c>
      <c r="Q9347" s="893">
        <f t="shared" si="763"/>
        <v>5</v>
      </c>
      <c r="R9347" s="894">
        <f t="shared" si="764"/>
        <v>0</v>
      </c>
    </row>
    <row r="9348" spans="1:18">
      <c r="A9348" s="905"/>
      <c r="B9348" s="952" t="s">
        <v>6408</v>
      </c>
      <c r="C9348" s="907">
        <v>913</v>
      </c>
      <c r="D9348" s="907" t="s">
        <v>93</v>
      </c>
      <c r="E9348" s="992" t="s">
        <v>6409</v>
      </c>
      <c r="F9348" s="905" t="s">
        <v>2673</v>
      </c>
      <c r="G9348" s="1005"/>
      <c r="H9348" s="911">
        <v>0.72</v>
      </c>
      <c r="I9348" s="912"/>
      <c r="J9348" s="912"/>
      <c r="K9348" s="912"/>
      <c r="L9348" s="912"/>
      <c r="M9348" s="912">
        <f>VLOOKUP(B9348,MTC!$B$9:$S$933,12,0)</f>
        <v>0</v>
      </c>
      <c r="N9348" s="912">
        <f>M9348*H9348</f>
        <v>0</v>
      </c>
      <c r="O9348" s="892">
        <f t="shared" si="761"/>
        <v>0</v>
      </c>
      <c r="P9348" s="903">
        <f t="shared" si="762"/>
        <v>1</v>
      </c>
      <c r="Q9348" s="893">
        <f t="shared" si="763"/>
        <v>4</v>
      </c>
      <c r="R9348" s="894">
        <f t="shared" si="764"/>
        <v>0</v>
      </c>
    </row>
    <row r="9349" spans="1:18" s="847" customFormat="1">
      <c r="A9349" s="905"/>
      <c r="B9349" s="952" t="s">
        <v>6410</v>
      </c>
      <c r="C9349" s="907">
        <v>906</v>
      </c>
      <c r="D9349" s="907" t="s">
        <v>93</v>
      </c>
      <c r="E9349" s="992" t="s">
        <v>6411</v>
      </c>
      <c r="F9349" s="905" t="s">
        <v>2673</v>
      </c>
      <c r="G9349" s="1005"/>
      <c r="H9349" s="911">
        <v>0.23</v>
      </c>
      <c r="I9349" s="912"/>
      <c r="J9349" s="912"/>
      <c r="K9349" s="912"/>
      <c r="L9349" s="912"/>
      <c r="M9349" s="912">
        <f>VLOOKUP(B9349,MTC!$B$9:$S$933,12,0)</f>
        <v>0</v>
      </c>
      <c r="N9349" s="912">
        <f>M9349*H9349</f>
        <v>0</v>
      </c>
      <c r="O9349" s="892">
        <f t="shared" si="761"/>
        <v>0</v>
      </c>
      <c r="P9349" s="903">
        <f t="shared" si="762"/>
        <v>1</v>
      </c>
      <c r="Q9349" s="893">
        <f t="shared" si="763"/>
        <v>3</v>
      </c>
      <c r="R9349" s="894">
        <f t="shared" si="764"/>
        <v>0</v>
      </c>
    </row>
    <row r="9350" spans="1:18" s="904" customFormat="1">
      <c r="A9350" s="905"/>
      <c r="B9350" s="952" t="s">
        <v>6412</v>
      </c>
      <c r="C9350" s="907">
        <v>905</v>
      </c>
      <c r="D9350" s="907" t="s">
        <v>93</v>
      </c>
      <c r="E9350" s="992" t="s">
        <v>6413</v>
      </c>
      <c r="F9350" s="905" t="s">
        <v>2673</v>
      </c>
      <c r="G9350" s="1005"/>
      <c r="H9350" s="911">
        <v>0.23</v>
      </c>
      <c r="I9350" s="912"/>
      <c r="J9350" s="912"/>
      <c r="K9350" s="912"/>
      <c r="L9350" s="912"/>
      <c r="M9350" s="912">
        <f>VLOOKUP(B9350,MTC!$B$9:$S$933,12,0)</f>
        <v>225936</v>
      </c>
      <c r="N9350" s="912">
        <f>M9350*H9350</f>
        <v>51965.279999999999</v>
      </c>
      <c r="O9350" s="892">
        <f t="shared" si="761"/>
        <v>0</v>
      </c>
      <c r="P9350" s="903">
        <f t="shared" si="762"/>
        <v>1</v>
      </c>
      <c r="Q9350" s="893">
        <f t="shared" si="763"/>
        <v>2</v>
      </c>
      <c r="R9350" s="894">
        <f t="shared" si="764"/>
        <v>0</v>
      </c>
    </row>
    <row r="9351" spans="1:18">
      <c r="A9351" s="905"/>
      <c r="B9351" s="952" t="s">
        <v>6414</v>
      </c>
      <c r="C9351" s="907">
        <v>914</v>
      </c>
      <c r="D9351" s="907" t="s">
        <v>93</v>
      </c>
      <c r="E9351" s="992" t="s">
        <v>6415</v>
      </c>
      <c r="F9351" s="905" t="s">
        <v>2673</v>
      </c>
      <c r="G9351" s="1005"/>
      <c r="H9351" s="911">
        <v>0.1</v>
      </c>
      <c r="I9351" s="912"/>
      <c r="J9351" s="912"/>
      <c r="K9351" s="912"/>
      <c r="L9351" s="912"/>
      <c r="M9351" s="912">
        <f>VLOOKUP(B9351,MTC!$B$9:$S$933,12,0)</f>
        <v>0</v>
      </c>
      <c r="N9351" s="912">
        <f>M9351*H9351</f>
        <v>0</v>
      </c>
      <c r="O9351" s="892">
        <f t="shared" si="761"/>
        <v>0</v>
      </c>
      <c r="P9351" s="903">
        <f t="shared" si="762"/>
        <v>1</v>
      </c>
      <c r="Q9351" s="893">
        <f t="shared" si="763"/>
        <v>1</v>
      </c>
      <c r="R9351" s="894">
        <f t="shared" si="764"/>
        <v>0</v>
      </c>
    </row>
    <row r="9352" spans="1:18" s="847" customFormat="1" ht="31.5">
      <c r="A9352" s="905">
        <v>66</v>
      </c>
      <c r="B9352" s="914" t="s">
        <v>6480</v>
      </c>
      <c r="C9352" s="915"/>
      <c r="D9352" s="915"/>
      <c r="E9352" s="1006" t="s">
        <v>6481</v>
      </c>
      <c r="F9352" s="1007" t="s">
        <v>136</v>
      </c>
      <c r="G9352" s="1008"/>
      <c r="H9352" s="919"/>
      <c r="I9352" s="920"/>
      <c r="J9352" s="891">
        <f>SUM(J9353:J9363)</f>
        <v>55500</v>
      </c>
      <c r="K9352" s="891" t="s">
        <v>274</v>
      </c>
      <c r="L9352" s="891">
        <f>SUM(L9353:L9363)</f>
        <v>707600</v>
      </c>
      <c r="M9352" s="891"/>
      <c r="N9352" s="891">
        <f>SUM(N9353:N9363)</f>
        <v>61002.720000000001</v>
      </c>
      <c r="O9352" s="892">
        <f t="shared" si="761"/>
        <v>1</v>
      </c>
      <c r="P9352" s="903">
        <f t="shared" si="762"/>
        <v>0</v>
      </c>
      <c r="Q9352" s="893">
        <f t="shared" si="763"/>
        <v>0</v>
      </c>
      <c r="R9352" s="894">
        <f t="shared" si="764"/>
        <v>11</v>
      </c>
    </row>
    <row r="9353" spans="1:18" s="904" customFormat="1">
      <c r="A9353" s="895"/>
      <c r="B9353" s="896"/>
      <c r="C9353" s="897"/>
      <c r="D9353" s="897"/>
      <c r="E9353" s="1002" t="s">
        <v>108</v>
      </c>
      <c r="F9353" s="895"/>
      <c r="G9353" s="1004"/>
      <c r="H9353" s="901"/>
      <c r="I9353" s="902"/>
      <c r="J9353" s="902"/>
      <c r="K9353" s="912" t="s">
        <v>274</v>
      </c>
      <c r="L9353" s="902"/>
      <c r="M9353" s="902"/>
      <c r="N9353" s="902"/>
      <c r="O9353" s="892">
        <f t="shared" si="761"/>
        <v>0</v>
      </c>
      <c r="P9353" s="903">
        <f t="shared" si="762"/>
        <v>1</v>
      </c>
      <c r="Q9353" s="893">
        <f t="shared" si="763"/>
        <v>11</v>
      </c>
      <c r="R9353" s="894">
        <f t="shared" si="764"/>
        <v>0</v>
      </c>
    </row>
    <row r="9354" spans="1:18">
      <c r="A9354" s="905"/>
      <c r="B9354" s="952"/>
      <c r="C9354" s="907">
        <v>315</v>
      </c>
      <c r="D9354" s="907" t="s">
        <v>279</v>
      </c>
      <c r="E9354" s="992" t="s">
        <v>6316</v>
      </c>
      <c r="F9354" s="905" t="s">
        <v>49</v>
      </c>
      <c r="G9354" s="1005"/>
      <c r="H9354" s="911">
        <v>0.5</v>
      </c>
      <c r="I9354" s="912">
        <f>VLOOKUP(E9354,[3]VLP!$B$7:$K$300,10,0)</f>
        <v>8000</v>
      </c>
      <c r="J9354" s="912">
        <f>I9354*H9354</f>
        <v>4000</v>
      </c>
      <c r="K9354" s="912" t="s">
        <v>274</v>
      </c>
      <c r="L9354" s="912"/>
      <c r="M9354" s="912"/>
      <c r="N9354" s="912"/>
      <c r="O9354" s="892">
        <f t="shared" si="761"/>
        <v>0</v>
      </c>
      <c r="P9354" s="903">
        <f t="shared" si="762"/>
        <v>1</v>
      </c>
      <c r="Q9354" s="893">
        <f t="shared" si="763"/>
        <v>10</v>
      </c>
      <c r="R9354" s="894">
        <f t="shared" si="764"/>
        <v>0</v>
      </c>
    </row>
    <row r="9355" spans="1:18" s="847" customFormat="1">
      <c r="A9355" s="905"/>
      <c r="B9355" s="952"/>
      <c r="C9355" s="907">
        <v>235</v>
      </c>
      <c r="D9355" s="907" t="s">
        <v>279</v>
      </c>
      <c r="E9355" s="992" t="s">
        <v>2682</v>
      </c>
      <c r="F9355" s="905" t="s">
        <v>45</v>
      </c>
      <c r="G9355" s="1005"/>
      <c r="H9355" s="911">
        <v>0.3</v>
      </c>
      <c r="I9355" s="912">
        <f>VLOOKUP(E9355,[3]VLP!$B$7:$K$300,10,0)</f>
        <v>5000</v>
      </c>
      <c r="J9355" s="912">
        <f>I9355*H9355</f>
        <v>1500</v>
      </c>
      <c r="K9355" s="912" t="s">
        <v>274</v>
      </c>
      <c r="L9355" s="912"/>
      <c r="M9355" s="912"/>
      <c r="N9355" s="912"/>
      <c r="O9355" s="892">
        <f t="shared" si="761"/>
        <v>0</v>
      </c>
      <c r="P9355" s="903">
        <f t="shared" si="762"/>
        <v>1</v>
      </c>
      <c r="Q9355" s="893">
        <f t="shared" si="763"/>
        <v>9</v>
      </c>
      <c r="R9355" s="894">
        <f t="shared" si="764"/>
        <v>0</v>
      </c>
    </row>
    <row r="9356" spans="1:18" s="904" customFormat="1">
      <c r="A9356" s="905"/>
      <c r="B9356" s="952"/>
      <c r="C9356" s="907">
        <v>699</v>
      </c>
      <c r="D9356" s="907" t="s">
        <v>279</v>
      </c>
      <c r="E9356" s="992" t="s">
        <v>4006</v>
      </c>
      <c r="F9356" s="905" t="s">
        <v>4007</v>
      </c>
      <c r="G9356" s="1005"/>
      <c r="H9356" s="911">
        <v>10</v>
      </c>
      <c r="I9356" s="912">
        <f>VLOOKUP(E9356,[3]VLP!$B$7:$K$300,10,0)</f>
        <v>5000</v>
      </c>
      <c r="J9356" s="912">
        <f>I9356*H9356</f>
        <v>50000</v>
      </c>
      <c r="K9356" s="912" t="s">
        <v>274</v>
      </c>
      <c r="L9356" s="912"/>
      <c r="M9356" s="912"/>
      <c r="N9356" s="912"/>
      <c r="O9356" s="892">
        <f t="shared" si="761"/>
        <v>0</v>
      </c>
      <c r="P9356" s="903">
        <f t="shared" si="762"/>
        <v>1</v>
      </c>
      <c r="Q9356" s="893">
        <f t="shared" si="763"/>
        <v>8</v>
      </c>
      <c r="R9356" s="894">
        <f t="shared" si="764"/>
        <v>0</v>
      </c>
    </row>
    <row r="9357" spans="1:18">
      <c r="A9357" s="895"/>
      <c r="B9357" s="896"/>
      <c r="C9357" s="897"/>
      <c r="D9357" s="897"/>
      <c r="E9357" s="1002" t="s">
        <v>276</v>
      </c>
      <c r="F9357" s="1003"/>
      <c r="G9357" s="1004"/>
      <c r="H9357" s="901"/>
      <c r="I9357" s="902"/>
      <c r="J9357" s="902"/>
      <c r="K9357" s="912" t="s">
        <v>274</v>
      </c>
      <c r="L9357" s="902"/>
      <c r="M9357" s="902"/>
      <c r="N9357" s="902"/>
      <c r="O9357" s="892">
        <f t="shared" si="761"/>
        <v>0</v>
      </c>
      <c r="P9357" s="903">
        <f t="shared" si="762"/>
        <v>1</v>
      </c>
      <c r="Q9357" s="893">
        <f t="shared" si="763"/>
        <v>7</v>
      </c>
      <c r="R9357" s="894">
        <f t="shared" si="764"/>
        <v>0</v>
      </c>
    </row>
    <row r="9358" spans="1:18" s="847" customFormat="1">
      <c r="A9358" s="905"/>
      <c r="B9358" s="952"/>
      <c r="C9358" s="907">
        <v>740</v>
      </c>
      <c r="D9358" s="907" t="s">
        <v>12</v>
      </c>
      <c r="E9358" s="992" t="s">
        <v>4008</v>
      </c>
      <c r="F9358" s="905" t="s">
        <v>2674</v>
      </c>
      <c r="G9358" s="1005"/>
      <c r="H9358" s="911">
        <v>3.2</v>
      </c>
      <c r="I9358" s="912"/>
      <c r="J9358" s="912"/>
      <c r="K9358" s="912">
        <f>VLOOKUP(E9358,[5]ĐMNC!$A$7:$F$67,4,0)</f>
        <v>221125</v>
      </c>
      <c r="L9358" s="912">
        <f>H9358*K9358</f>
        <v>707600</v>
      </c>
      <c r="M9358" s="912"/>
      <c r="N9358" s="912"/>
      <c r="O9358" s="892">
        <f t="shared" si="761"/>
        <v>0</v>
      </c>
      <c r="P9358" s="903">
        <f t="shared" si="762"/>
        <v>1</v>
      </c>
      <c r="Q9358" s="893">
        <f t="shared" si="763"/>
        <v>6</v>
      </c>
      <c r="R9358" s="894">
        <f t="shared" si="764"/>
        <v>0</v>
      </c>
    </row>
    <row r="9359" spans="1:18" s="904" customFormat="1">
      <c r="A9359" s="895"/>
      <c r="B9359" s="896"/>
      <c r="C9359" s="897"/>
      <c r="D9359" s="897"/>
      <c r="E9359" s="1002" t="s">
        <v>3914</v>
      </c>
      <c r="F9359" s="895"/>
      <c r="G9359" s="1004"/>
      <c r="H9359" s="901"/>
      <c r="I9359" s="902"/>
      <c r="J9359" s="902"/>
      <c r="K9359" s="912" t="s">
        <v>274</v>
      </c>
      <c r="L9359" s="902"/>
      <c r="M9359" s="902"/>
      <c r="N9359" s="902"/>
      <c r="O9359" s="892">
        <f t="shared" si="761"/>
        <v>0</v>
      </c>
      <c r="P9359" s="903">
        <f t="shared" si="762"/>
        <v>1</v>
      </c>
      <c r="Q9359" s="893">
        <f t="shared" si="763"/>
        <v>5</v>
      </c>
      <c r="R9359" s="894">
        <f t="shared" si="764"/>
        <v>0</v>
      </c>
    </row>
    <row r="9360" spans="1:18">
      <c r="A9360" s="905"/>
      <c r="B9360" s="952" t="s">
        <v>6408</v>
      </c>
      <c r="C9360" s="907">
        <v>913</v>
      </c>
      <c r="D9360" s="907" t="s">
        <v>93</v>
      </c>
      <c r="E9360" s="992" t="s">
        <v>6409</v>
      </c>
      <c r="F9360" s="905" t="s">
        <v>2673</v>
      </c>
      <c r="G9360" s="1005"/>
      <c r="H9360" s="911">
        <v>0.86</v>
      </c>
      <c r="I9360" s="912"/>
      <c r="J9360" s="912"/>
      <c r="K9360" s="912"/>
      <c r="L9360" s="912"/>
      <c r="M9360" s="912">
        <f>VLOOKUP(B9360,MTC!$B$9:$S$933,12,0)</f>
        <v>0</v>
      </c>
      <c r="N9360" s="912">
        <f>M9360*H9360</f>
        <v>0</v>
      </c>
      <c r="O9360" s="892">
        <f t="shared" si="761"/>
        <v>0</v>
      </c>
      <c r="P9360" s="903">
        <f t="shared" si="762"/>
        <v>1</v>
      </c>
      <c r="Q9360" s="893">
        <f t="shared" si="763"/>
        <v>4</v>
      </c>
      <c r="R9360" s="894">
        <f t="shared" si="764"/>
        <v>0</v>
      </c>
    </row>
    <row r="9361" spans="1:18" s="847" customFormat="1">
      <c r="A9361" s="905"/>
      <c r="B9361" s="952" t="s">
        <v>6410</v>
      </c>
      <c r="C9361" s="907">
        <v>906</v>
      </c>
      <c r="D9361" s="907" t="s">
        <v>93</v>
      </c>
      <c r="E9361" s="992" t="s">
        <v>6411</v>
      </c>
      <c r="F9361" s="905" t="s">
        <v>2673</v>
      </c>
      <c r="G9361" s="1005"/>
      <c r="H9361" s="911">
        <v>0.27</v>
      </c>
      <c r="I9361" s="912"/>
      <c r="J9361" s="912"/>
      <c r="K9361" s="912"/>
      <c r="L9361" s="912"/>
      <c r="M9361" s="912">
        <f>VLOOKUP(B9361,MTC!$B$9:$S$933,12,0)</f>
        <v>0</v>
      </c>
      <c r="N9361" s="912">
        <f>M9361*H9361</f>
        <v>0</v>
      </c>
      <c r="O9361" s="892">
        <f t="shared" si="761"/>
        <v>0</v>
      </c>
      <c r="P9361" s="903">
        <f t="shared" si="762"/>
        <v>1</v>
      </c>
      <c r="Q9361" s="893">
        <f t="shared" si="763"/>
        <v>3</v>
      </c>
      <c r="R9361" s="894">
        <f t="shared" si="764"/>
        <v>0</v>
      </c>
    </row>
    <row r="9362" spans="1:18" s="904" customFormat="1">
      <c r="A9362" s="905"/>
      <c r="B9362" s="952" t="s">
        <v>6412</v>
      </c>
      <c r="C9362" s="907">
        <v>905</v>
      </c>
      <c r="D9362" s="907" t="s">
        <v>93</v>
      </c>
      <c r="E9362" s="992" t="s">
        <v>6413</v>
      </c>
      <c r="F9362" s="905" t="s">
        <v>2673</v>
      </c>
      <c r="G9362" s="1005"/>
      <c r="H9362" s="911">
        <v>0.27</v>
      </c>
      <c r="I9362" s="912"/>
      <c r="J9362" s="912"/>
      <c r="K9362" s="912"/>
      <c r="L9362" s="912"/>
      <c r="M9362" s="912">
        <f>VLOOKUP(B9362,MTC!$B$9:$S$933,12,0)</f>
        <v>225936</v>
      </c>
      <c r="N9362" s="912">
        <f>M9362*H9362</f>
        <v>61002.720000000001</v>
      </c>
      <c r="O9362" s="892">
        <f t="shared" si="761"/>
        <v>0</v>
      </c>
      <c r="P9362" s="903">
        <f t="shared" si="762"/>
        <v>1</v>
      </c>
      <c r="Q9362" s="893">
        <f t="shared" si="763"/>
        <v>2</v>
      </c>
      <c r="R9362" s="894">
        <f t="shared" si="764"/>
        <v>0</v>
      </c>
    </row>
    <row r="9363" spans="1:18">
      <c r="A9363" s="905"/>
      <c r="B9363" s="952" t="s">
        <v>6414</v>
      </c>
      <c r="C9363" s="907">
        <v>914</v>
      </c>
      <c r="D9363" s="907" t="s">
        <v>93</v>
      </c>
      <c r="E9363" s="992" t="s">
        <v>6415</v>
      </c>
      <c r="F9363" s="905" t="s">
        <v>2673</v>
      </c>
      <c r="G9363" s="1005"/>
      <c r="H9363" s="911">
        <v>0.1</v>
      </c>
      <c r="I9363" s="912"/>
      <c r="J9363" s="912"/>
      <c r="K9363" s="912"/>
      <c r="L9363" s="912"/>
      <c r="M9363" s="912">
        <f>VLOOKUP(B9363,MTC!$B$9:$S$933,12,0)</f>
        <v>0</v>
      </c>
      <c r="N9363" s="912">
        <f>M9363*H9363</f>
        <v>0</v>
      </c>
      <c r="O9363" s="892">
        <f t="shared" si="761"/>
        <v>0</v>
      </c>
      <c r="P9363" s="903">
        <f t="shared" si="762"/>
        <v>1</v>
      </c>
      <c r="Q9363" s="893">
        <f t="shared" si="763"/>
        <v>1</v>
      </c>
      <c r="R9363" s="894">
        <f t="shared" si="764"/>
        <v>0</v>
      </c>
    </row>
    <row r="9364" spans="1:18" s="847" customFormat="1" ht="31.5">
      <c r="A9364" s="905">
        <v>67</v>
      </c>
      <c r="B9364" s="914" t="s">
        <v>6482</v>
      </c>
      <c r="C9364" s="915"/>
      <c r="D9364" s="915"/>
      <c r="E9364" s="1006" t="s">
        <v>6483</v>
      </c>
      <c r="F9364" s="1007" t="s">
        <v>136</v>
      </c>
      <c r="G9364" s="1008"/>
      <c r="H9364" s="919"/>
      <c r="I9364" s="920"/>
      <c r="J9364" s="891">
        <f>SUM(J9365:J9375)</f>
        <v>55500</v>
      </c>
      <c r="K9364" s="891" t="s">
        <v>274</v>
      </c>
      <c r="L9364" s="891">
        <f>SUM(L9365:L9375)</f>
        <v>884500</v>
      </c>
      <c r="M9364" s="891"/>
      <c r="N9364" s="891">
        <f>SUM(N9365:N9375)</f>
        <v>74558.880000000005</v>
      </c>
      <c r="O9364" s="892">
        <f t="shared" si="761"/>
        <v>1</v>
      </c>
      <c r="P9364" s="903">
        <f t="shared" si="762"/>
        <v>0</v>
      </c>
      <c r="Q9364" s="893">
        <f t="shared" si="763"/>
        <v>0</v>
      </c>
      <c r="R9364" s="894">
        <f t="shared" si="764"/>
        <v>11</v>
      </c>
    </row>
    <row r="9365" spans="1:18" s="904" customFormat="1">
      <c r="A9365" s="895"/>
      <c r="B9365" s="896"/>
      <c r="C9365" s="897"/>
      <c r="D9365" s="897"/>
      <c r="E9365" s="1002" t="s">
        <v>108</v>
      </c>
      <c r="F9365" s="895"/>
      <c r="G9365" s="1004"/>
      <c r="H9365" s="901"/>
      <c r="I9365" s="902"/>
      <c r="J9365" s="902"/>
      <c r="K9365" s="912" t="s">
        <v>274</v>
      </c>
      <c r="L9365" s="902"/>
      <c r="M9365" s="902"/>
      <c r="N9365" s="902"/>
      <c r="O9365" s="892">
        <f t="shared" si="761"/>
        <v>0</v>
      </c>
      <c r="P9365" s="903">
        <f t="shared" si="762"/>
        <v>1</v>
      </c>
      <c r="Q9365" s="893">
        <f t="shared" si="763"/>
        <v>11</v>
      </c>
      <c r="R9365" s="894">
        <f t="shared" si="764"/>
        <v>0</v>
      </c>
    </row>
    <row r="9366" spans="1:18">
      <c r="A9366" s="905"/>
      <c r="B9366" s="952"/>
      <c r="C9366" s="907">
        <v>315</v>
      </c>
      <c r="D9366" s="907" t="s">
        <v>279</v>
      </c>
      <c r="E9366" s="992" t="s">
        <v>6316</v>
      </c>
      <c r="F9366" s="905" t="s">
        <v>49</v>
      </c>
      <c r="G9366" s="1005"/>
      <c r="H9366" s="911">
        <v>0.5</v>
      </c>
      <c r="I9366" s="912">
        <f>VLOOKUP(E9366,[3]VLP!$B$7:$K$300,10,0)</f>
        <v>8000</v>
      </c>
      <c r="J9366" s="912">
        <f>I9366*H9366</f>
        <v>4000</v>
      </c>
      <c r="K9366" s="912" t="s">
        <v>274</v>
      </c>
      <c r="L9366" s="912"/>
      <c r="M9366" s="912"/>
      <c r="N9366" s="912"/>
      <c r="O9366" s="892">
        <f t="shared" si="761"/>
        <v>0</v>
      </c>
      <c r="P9366" s="903">
        <f t="shared" si="762"/>
        <v>1</v>
      </c>
      <c r="Q9366" s="893">
        <f t="shared" si="763"/>
        <v>10</v>
      </c>
      <c r="R9366" s="894">
        <f t="shared" si="764"/>
        <v>0</v>
      </c>
    </row>
    <row r="9367" spans="1:18" s="847" customFormat="1">
      <c r="A9367" s="905"/>
      <c r="B9367" s="952"/>
      <c r="C9367" s="907">
        <v>235</v>
      </c>
      <c r="D9367" s="907" t="s">
        <v>279</v>
      </c>
      <c r="E9367" s="992" t="s">
        <v>2682</v>
      </c>
      <c r="F9367" s="905" t="s">
        <v>45</v>
      </c>
      <c r="G9367" s="1005"/>
      <c r="H9367" s="911">
        <v>0.3</v>
      </c>
      <c r="I9367" s="912">
        <f>VLOOKUP(E9367,[3]VLP!$B$7:$K$300,10,0)</f>
        <v>5000</v>
      </c>
      <c r="J9367" s="912">
        <f>I9367*H9367</f>
        <v>1500</v>
      </c>
      <c r="K9367" s="912" t="s">
        <v>274</v>
      </c>
      <c r="L9367" s="912"/>
      <c r="M9367" s="912"/>
      <c r="N9367" s="912"/>
      <c r="O9367" s="892">
        <f t="shared" si="761"/>
        <v>0</v>
      </c>
      <c r="P9367" s="903">
        <f t="shared" si="762"/>
        <v>1</v>
      </c>
      <c r="Q9367" s="893">
        <f t="shared" si="763"/>
        <v>9</v>
      </c>
      <c r="R9367" s="894">
        <f t="shared" si="764"/>
        <v>0</v>
      </c>
    </row>
    <row r="9368" spans="1:18" s="904" customFormat="1">
      <c r="A9368" s="905"/>
      <c r="B9368" s="952"/>
      <c r="C9368" s="907">
        <v>699</v>
      </c>
      <c r="D9368" s="907" t="s">
        <v>279</v>
      </c>
      <c r="E9368" s="992" t="s">
        <v>4006</v>
      </c>
      <c r="F9368" s="905" t="s">
        <v>4007</v>
      </c>
      <c r="G9368" s="1005"/>
      <c r="H9368" s="911">
        <v>10</v>
      </c>
      <c r="I9368" s="912">
        <f>VLOOKUP(E9368,[3]VLP!$B$7:$K$300,10,0)</f>
        <v>5000</v>
      </c>
      <c r="J9368" s="912">
        <f>I9368*H9368</f>
        <v>50000</v>
      </c>
      <c r="K9368" s="912" t="s">
        <v>274</v>
      </c>
      <c r="L9368" s="912"/>
      <c r="M9368" s="912"/>
      <c r="N9368" s="912"/>
      <c r="O9368" s="892">
        <f t="shared" si="761"/>
        <v>0</v>
      </c>
      <c r="P9368" s="903">
        <f t="shared" si="762"/>
        <v>1</v>
      </c>
      <c r="Q9368" s="893">
        <f t="shared" si="763"/>
        <v>8</v>
      </c>
      <c r="R9368" s="894">
        <f t="shared" si="764"/>
        <v>0</v>
      </c>
    </row>
    <row r="9369" spans="1:18">
      <c r="A9369" s="895"/>
      <c r="B9369" s="896"/>
      <c r="C9369" s="897"/>
      <c r="D9369" s="897"/>
      <c r="E9369" s="1002" t="s">
        <v>276</v>
      </c>
      <c r="F9369" s="1003"/>
      <c r="G9369" s="1004"/>
      <c r="H9369" s="901"/>
      <c r="I9369" s="902"/>
      <c r="J9369" s="902"/>
      <c r="K9369" s="912" t="s">
        <v>274</v>
      </c>
      <c r="L9369" s="902"/>
      <c r="M9369" s="902"/>
      <c r="N9369" s="902"/>
      <c r="O9369" s="892">
        <f t="shared" si="761"/>
        <v>0</v>
      </c>
      <c r="P9369" s="903">
        <f t="shared" si="762"/>
        <v>1</v>
      </c>
      <c r="Q9369" s="893">
        <f t="shared" si="763"/>
        <v>7</v>
      </c>
      <c r="R9369" s="894">
        <f t="shared" si="764"/>
        <v>0</v>
      </c>
    </row>
    <row r="9370" spans="1:18" s="847" customFormat="1">
      <c r="A9370" s="905"/>
      <c r="B9370" s="952"/>
      <c r="C9370" s="907">
        <v>740</v>
      </c>
      <c r="D9370" s="907" t="s">
        <v>12</v>
      </c>
      <c r="E9370" s="992" t="s">
        <v>4008</v>
      </c>
      <c r="F9370" s="905" t="s">
        <v>2674</v>
      </c>
      <c r="G9370" s="1005"/>
      <c r="H9370" s="911">
        <v>4</v>
      </c>
      <c r="I9370" s="912"/>
      <c r="J9370" s="912"/>
      <c r="K9370" s="912">
        <f>VLOOKUP(E9370,[5]ĐMNC!$A$7:$F$67,4,0)</f>
        <v>221125</v>
      </c>
      <c r="L9370" s="912">
        <f>H9370*K9370</f>
        <v>884500</v>
      </c>
      <c r="M9370" s="912"/>
      <c r="N9370" s="912"/>
      <c r="O9370" s="892">
        <f t="shared" si="761"/>
        <v>0</v>
      </c>
      <c r="P9370" s="903">
        <f t="shared" si="762"/>
        <v>1</v>
      </c>
      <c r="Q9370" s="893">
        <f t="shared" si="763"/>
        <v>6</v>
      </c>
      <c r="R9370" s="894">
        <f t="shared" si="764"/>
        <v>0</v>
      </c>
    </row>
    <row r="9371" spans="1:18" s="904" customFormat="1">
      <c r="A9371" s="895"/>
      <c r="B9371" s="896"/>
      <c r="C9371" s="897"/>
      <c r="D9371" s="897"/>
      <c r="E9371" s="1002" t="s">
        <v>3914</v>
      </c>
      <c r="F9371" s="895"/>
      <c r="G9371" s="1004"/>
      <c r="H9371" s="901"/>
      <c r="I9371" s="902"/>
      <c r="J9371" s="902"/>
      <c r="K9371" s="912" t="s">
        <v>274</v>
      </c>
      <c r="L9371" s="902"/>
      <c r="M9371" s="902"/>
      <c r="N9371" s="902"/>
      <c r="O9371" s="892">
        <f t="shared" si="761"/>
        <v>0</v>
      </c>
      <c r="P9371" s="903">
        <f t="shared" si="762"/>
        <v>1</v>
      </c>
      <c r="Q9371" s="893">
        <f t="shared" si="763"/>
        <v>5</v>
      </c>
      <c r="R9371" s="894">
        <f t="shared" si="764"/>
        <v>0</v>
      </c>
    </row>
    <row r="9372" spans="1:18">
      <c r="A9372" s="905"/>
      <c r="B9372" s="952" t="s">
        <v>6408</v>
      </c>
      <c r="C9372" s="907">
        <v>913</v>
      </c>
      <c r="D9372" s="907" t="s">
        <v>93</v>
      </c>
      <c r="E9372" s="992" t="s">
        <v>6409</v>
      </c>
      <c r="F9372" s="905" t="s">
        <v>2673</v>
      </c>
      <c r="G9372" s="1005"/>
      <c r="H9372" s="911">
        <v>1.04</v>
      </c>
      <c r="I9372" s="912"/>
      <c r="J9372" s="912"/>
      <c r="K9372" s="912"/>
      <c r="L9372" s="912"/>
      <c r="M9372" s="912">
        <f>VLOOKUP(B9372,MTC!$B$9:$S$933,12,0)</f>
        <v>0</v>
      </c>
      <c r="N9372" s="912">
        <f>M9372*H9372</f>
        <v>0</v>
      </c>
      <c r="O9372" s="892">
        <f t="shared" si="761"/>
        <v>0</v>
      </c>
      <c r="P9372" s="903">
        <f t="shared" si="762"/>
        <v>1</v>
      </c>
      <c r="Q9372" s="893">
        <f t="shared" si="763"/>
        <v>4</v>
      </c>
      <c r="R9372" s="894">
        <f t="shared" si="764"/>
        <v>0</v>
      </c>
    </row>
    <row r="9373" spans="1:18" s="847" customFormat="1">
      <c r="A9373" s="905"/>
      <c r="B9373" s="952" t="s">
        <v>6410</v>
      </c>
      <c r="C9373" s="907">
        <v>906</v>
      </c>
      <c r="D9373" s="907" t="s">
        <v>93</v>
      </c>
      <c r="E9373" s="992" t="s">
        <v>6411</v>
      </c>
      <c r="F9373" s="905" t="s">
        <v>2673</v>
      </c>
      <c r="G9373" s="1005"/>
      <c r="H9373" s="911">
        <v>0.33</v>
      </c>
      <c r="I9373" s="912"/>
      <c r="J9373" s="912"/>
      <c r="K9373" s="912"/>
      <c r="L9373" s="912"/>
      <c r="M9373" s="912">
        <f>VLOOKUP(B9373,MTC!$B$9:$S$933,12,0)</f>
        <v>0</v>
      </c>
      <c r="N9373" s="912">
        <f>M9373*H9373</f>
        <v>0</v>
      </c>
      <c r="O9373" s="892">
        <f t="shared" si="761"/>
        <v>0</v>
      </c>
      <c r="P9373" s="903">
        <f t="shared" si="762"/>
        <v>1</v>
      </c>
      <c r="Q9373" s="893">
        <f t="shared" si="763"/>
        <v>3</v>
      </c>
      <c r="R9373" s="894">
        <f t="shared" si="764"/>
        <v>0</v>
      </c>
    </row>
    <row r="9374" spans="1:18" s="904" customFormat="1">
      <c r="A9374" s="905"/>
      <c r="B9374" s="952" t="s">
        <v>6412</v>
      </c>
      <c r="C9374" s="907">
        <v>905</v>
      </c>
      <c r="D9374" s="907" t="s">
        <v>93</v>
      </c>
      <c r="E9374" s="992" t="s">
        <v>6413</v>
      </c>
      <c r="F9374" s="905" t="s">
        <v>2673</v>
      </c>
      <c r="G9374" s="1005"/>
      <c r="H9374" s="911">
        <v>0.33</v>
      </c>
      <c r="I9374" s="912"/>
      <c r="J9374" s="912"/>
      <c r="K9374" s="912"/>
      <c r="L9374" s="912"/>
      <c r="M9374" s="912">
        <f>VLOOKUP(B9374,MTC!$B$9:$S$933,12,0)</f>
        <v>225936</v>
      </c>
      <c r="N9374" s="912">
        <f>M9374*H9374</f>
        <v>74558.880000000005</v>
      </c>
      <c r="O9374" s="892">
        <f t="shared" si="761"/>
        <v>0</v>
      </c>
      <c r="P9374" s="903">
        <f t="shared" si="762"/>
        <v>1</v>
      </c>
      <c r="Q9374" s="893">
        <f t="shared" si="763"/>
        <v>2</v>
      </c>
      <c r="R9374" s="894">
        <f t="shared" si="764"/>
        <v>0</v>
      </c>
    </row>
    <row r="9375" spans="1:18">
      <c r="A9375" s="905"/>
      <c r="B9375" s="952" t="s">
        <v>6414</v>
      </c>
      <c r="C9375" s="907">
        <v>914</v>
      </c>
      <c r="D9375" s="907" t="s">
        <v>93</v>
      </c>
      <c r="E9375" s="992" t="s">
        <v>6415</v>
      </c>
      <c r="F9375" s="905" t="s">
        <v>2673</v>
      </c>
      <c r="G9375" s="1005"/>
      <c r="H9375" s="911">
        <v>0.1</v>
      </c>
      <c r="I9375" s="912"/>
      <c r="J9375" s="912"/>
      <c r="K9375" s="912"/>
      <c r="L9375" s="912"/>
      <c r="M9375" s="912">
        <f>VLOOKUP(B9375,MTC!$B$9:$S$933,12,0)</f>
        <v>0</v>
      </c>
      <c r="N9375" s="912">
        <f>M9375*H9375</f>
        <v>0</v>
      </c>
      <c r="O9375" s="892">
        <f t="shared" ref="O9375:O9438" si="765">IF(AND(B9375&lt;&gt;"",D9375=""),1,0)</f>
        <v>0</v>
      </c>
      <c r="P9375" s="903">
        <f t="shared" si="762"/>
        <v>1</v>
      </c>
      <c r="Q9375" s="893">
        <f t="shared" si="763"/>
        <v>1</v>
      </c>
      <c r="R9375" s="894">
        <f t="shared" si="764"/>
        <v>0</v>
      </c>
    </row>
    <row r="9376" spans="1:18" s="847" customFormat="1" ht="31.5">
      <c r="A9376" s="905">
        <v>68</v>
      </c>
      <c r="B9376" s="914" t="s">
        <v>6484</v>
      </c>
      <c r="C9376" s="915"/>
      <c r="D9376" s="915"/>
      <c r="E9376" s="1006" t="s">
        <v>6485</v>
      </c>
      <c r="F9376" s="1007" t="s">
        <v>136</v>
      </c>
      <c r="G9376" s="1008"/>
      <c r="H9376" s="919"/>
      <c r="I9376" s="920"/>
      <c r="J9376" s="891">
        <f>SUM(J9377:J9387)</f>
        <v>55500</v>
      </c>
      <c r="K9376" s="891" t="s">
        <v>274</v>
      </c>
      <c r="L9376" s="891">
        <f>SUM(L9377:L9387)</f>
        <v>1039287.5</v>
      </c>
      <c r="M9376" s="891"/>
      <c r="N9376" s="891">
        <f>SUM(N9377:N9387)</f>
        <v>90374.400000000009</v>
      </c>
      <c r="O9376" s="892">
        <f t="shared" si="765"/>
        <v>1</v>
      </c>
      <c r="P9376" s="903">
        <f t="shared" si="762"/>
        <v>0</v>
      </c>
      <c r="Q9376" s="893">
        <f t="shared" si="763"/>
        <v>0</v>
      </c>
      <c r="R9376" s="894">
        <f t="shared" si="764"/>
        <v>11</v>
      </c>
    </row>
    <row r="9377" spans="1:18" s="904" customFormat="1">
      <c r="A9377" s="895"/>
      <c r="B9377" s="896"/>
      <c r="C9377" s="897"/>
      <c r="D9377" s="897"/>
      <c r="E9377" s="1002" t="s">
        <v>108</v>
      </c>
      <c r="F9377" s="895"/>
      <c r="G9377" s="1004"/>
      <c r="H9377" s="901"/>
      <c r="I9377" s="902"/>
      <c r="J9377" s="902"/>
      <c r="K9377" s="912" t="s">
        <v>274</v>
      </c>
      <c r="L9377" s="902"/>
      <c r="M9377" s="902"/>
      <c r="N9377" s="902"/>
      <c r="O9377" s="892">
        <f t="shared" si="765"/>
        <v>0</v>
      </c>
      <c r="P9377" s="903">
        <f t="shared" si="762"/>
        <v>1</v>
      </c>
      <c r="Q9377" s="893">
        <f t="shared" si="763"/>
        <v>11</v>
      </c>
      <c r="R9377" s="894">
        <f t="shared" si="764"/>
        <v>0</v>
      </c>
    </row>
    <row r="9378" spans="1:18">
      <c r="A9378" s="905"/>
      <c r="B9378" s="952"/>
      <c r="C9378" s="907">
        <v>315</v>
      </c>
      <c r="D9378" s="907" t="s">
        <v>279</v>
      </c>
      <c r="E9378" s="992" t="s">
        <v>6316</v>
      </c>
      <c r="F9378" s="905" t="s">
        <v>49</v>
      </c>
      <c r="G9378" s="1005"/>
      <c r="H9378" s="911">
        <v>0.5</v>
      </c>
      <c r="I9378" s="912">
        <f>VLOOKUP(E9378,[3]VLP!$B$7:$K$300,10,0)</f>
        <v>8000</v>
      </c>
      <c r="J9378" s="912">
        <f>I9378*H9378</f>
        <v>4000</v>
      </c>
      <c r="K9378" s="912" t="s">
        <v>274</v>
      </c>
      <c r="L9378" s="912"/>
      <c r="M9378" s="912"/>
      <c r="N9378" s="912"/>
      <c r="O9378" s="892">
        <f t="shared" si="765"/>
        <v>0</v>
      </c>
      <c r="P9378" s="903">
        <f t="shared" si="762"/>
        <v>1</v>
      </c>
      <c r="Q9378" s="893">
        <f t="shared" si="763"/>
        <v>10</v>
      </c>
      <c r="R9378" s="894">
        <f t="shared" si="764"/>
        <v>0</v>
      </c>
    </row>
    <row r="9379" spans="1:18" s="847" customFormat="1">
      <c r="A9379" s="905"/>
      <c r="B9379" s="952"/>
      <c r="C9379" s="907">
        <v>235</v>
      </c>
      <c r="D9379" s="907" t="s">
        <v>279</v>
      </c>
      <c r="E9379" s="992" t="s">
        <v>2682</v>
      </c>
      <c r="F9379" s="905" t="s">
        <v>45</v>
      </c>
      <c r="G9379" s="1005"/>
      <c r="H9379" s="911">
        <v>0.3</v>
      </c>
      <c r="I9379" s="912">
        <f>VLOOKUP(E9379,[3]VLP!$B$7:$K$300,10,0)</f>
        <v>5000</v>
      </c>
      <c r="J9379" s="912">
        <f>I9379*H9379</f>
        <v>1500</v>
      </c>
      <c r="K9379" s="912" t="s">
        <v>274</v>
      </c>
      <c r="L9379" s="912"/>
      <c r="M9379" s="912"/>
      <c r="N9379" s="912"/>
      <c r="O9379" s="892">
        <f t="shared" si="765"/>
        <v>0</v>
      </c>
      <c r="P9379" s="903">
        <f t="shared" si="762"/>
        <v>1</v>
      </c>
      <c r="Q9379" s="893">
        <f t="shared" si="763"/>
        <v>9</v>
      </c>
      <c r="R9379" s="894">
        <f t="shared" si="764"/>
        <v>0</v>
      </c>
    </row>
    <row r="9380" spans="1:18" s="904" customFormat="1">
      <c r="A9380" s="905"/>
      <c r="B9380" s="952"/>
      <c r="C9380" s="907">
        <v>699</v>
      </c>
      <c r="D9380" s="907" t="s">
        <v>279</v>
      </c>
      <c r="E9380" s="992" t="s">
        <v>4006</v>
      </c>
      <c r="F9380" s="905" t="s">
        <v>4007</v>
      </c>
      <c r="G9380" s="1005"/>
      <c r="H9380" s="911">
        <v>10</v>
      </c>
      <c r="I9380" s="912">
        <f>VLOOKUP(E9380,[3]VLP!$B$7:$K$300,10,0)</f>
        <v>5000</v>
      </c>
      <c r="J9380" s="912">
        <f>I9380*H9380</f>
        <v>50000</v>
      </c>
      <c r="K9380" s="912" t="s">
        <v>274</v>
      </c>
      <c r="L9380" s="912"/>
      <c r="M9380" s="912"/>
      <c r="N9380" s="912"/>
      <c r="O9380" s="892">
        <f t="shared" si="765"/>
        <v>0</v>
      </c>
      <c r="P9380" s="903">
        <f t="shared" si="762"/>
        <v>1</v>
      </c>
      <c r="Q9380" s="893">
        <f t="shared" si="763"/>
        <v>8</v>
      </c>
      <c r="R9380" s="894">
        <f t="shared" si="764"/>
        <v>0</v>
      </c>
    </row>
    <row r="9381" spans="1:18">
      <c r="A9381" s="895"/>
      <c r="B9381" s="896"/>
      <c r="C9381" s="897"/>
      <c r="D9381" s="897"/>
      <c r="E9381" s="1002" t="s">
        <v>276</v>
      </c>
      <c r="F9381" s="1003"/>
      <c r="G9381" s="1004"/>
      <c r="H9381" s="901"/>
      <c r="I9381" s="902"/>
      <c r="J9381" s="902"/>
      <c r="K9381" s="912" t="s">
        <v>274</v>
      </c>
      <c r="L9381" s="902"/>
      <c r="M9381" s="902"/>
      <c r="N9381" s="902"/>
      <c r="O9381" s="892">
        <f t="shared" si="765"/>
        <v>0</v>
      </c>
      <c r="P9381" s="903">
        <f t="shared" si="762"/>
        <v>1</v>
      </c>
      <c r="Q9381" s="893">
        <f t="shared" si="763"/>
        <v>7</v>
      </c>
      <c r="R9381" s="894">
        <f t="shared" si="764"/>
        <v>0</v>
      </c>
    </row>
    <row r="9382" spans="1:18" s="847" customFormat="1">
      <c r="A9382" s="905"/>
      <c r="B9382" s="952"/>
      <c r="C9382" s="907">
        <v>740</v>
      </c>
      <c r="D9382" s="907" t="s">
        <v>12</v>
      </c>
      <c r="E9382" s="992" t="s">
        <v>4008</v>
      </c>
      <c r="F9382" s="905" t="s">
        <v>2674</v>
      </c>
      <c r="G9382" s="1005"/>
      <c r="H9382" s="911">
        <v>4.7</v>
      </c>
      <c r="I9382" s="912"/>
      <c r="J9382" s="912"/>
      <c r="K9382" s="912">
        <f>VLOOKUP(E9382,[5]ĐMNC!$A$7:$F$67,4,0)</f>
        <v>221125</v>
      </c>
      <c r="L9382" s="912">
        <f>H9382*K9382</f>
        <v>1039287.5</v>
      </c>
      <c r="M9382" s="912"/>
      <c r="N9382" s="912"/>
      <c r="O9382" s="892">
        <f t="shared" si="765"/>
        <v>0</v>
      </c>
      <c r="P9382" s="903">
        <f t="shared" si="762"/>
        <v>1</v>
      </c>
      <c r="Q9382" s="893">
        <f t="shared" si="763"/>
        <v>6</v>
      </c>
      <c r="R9382" s="894">
        <f t="shared" si="764"/>
        <v>0</v>
      </c>
    </row>
    <row r="9383" spans="1:18" s="904" customFormat="1">
      <c r="A9383" s="895"/>
      <c r="B9383" s="896"/>
      <c r="C9383" s="897"/>
      <c r="D9383" s="897"/>
      <c r="E9383" s="1002" t="s">
        <v>3914</v>
      </c>
      <c r="F9383" s="895"/>
      <c r="G9383" s="1004"/>
      <c r="H9383" s="901"/>
      <c r="I9383" s="902"/>
      <c r="J9383" s="902"/>
      <c r="K9383" s="912" t="s">
        <v>274</v>
      </c>
      <c r="L9383" s="902"/>
      <c r="M9383" s="902"/>
      <c r="N9383" s="902"/>
      <c r="O9383" s="892">
        <f t="shared" si="765"/>
        <v>0</v>
      </c>
      <c r="P9383" s="903">
        <f t="shared" si="762"/>
        <v>1</v>
      </c>
      <c r="Q9383" s="893">
        <f t="shared" si="763"/>
        <v>5</v>
      </c>
      <c r="R9383" s="894">
        <f t="shared" si="764"/>
        <v>0</v>
      </c>
    </row>
    <row r="9384" spans="1:18">
      <c r="A9384" s="905"/>
      <c r="B9384" s="952" t="s">
        <v>6408</v>
      </c>
      <c r="C9384" s="907">
        <v>913</v>
      </c>
      <c r="D9384" s="907" t="s">
        <v>93</v>
      </c>
      <c r="E9384" s="992" t="s">
        <v>6409</v>
      </c>
      <c r="F9384" s="905" t="s">
        <v>2673</v>
      </c>
      <c r="G9384" s="1005"/>
      <c r="H9384" s="911">
        <v>1.25</v>
      </c>
      <c r="I9384" s="912"/>
      <c r="J9384" s="912"/>
      <c r="K9384" s="912"/>
      <c r="L9384" s="912"/>
      <c r="M9384" s="912">
        <f>VLOOKUP(B9384,MTC!$B$9:$S$933,12,0)</f>
        <v>0</v>
      </c>
      <c r="N9384" s="912">
        <f>M9384*H9384</f>
        <v>0</v>
      </c>
      <c r="O9384" s="892">
        <f t="shared" si="765"/>
        <v>0</v>
      </c>
      <c r="P9384" s="903">
        <f t="shared" si="762"/>
        <v>1</v>
      </c>
      <c r="Q9384" s="893">
        <f t="shared" si="763"/>
        <v>4</v>
      </c>
      <c r="R9384" s="894">
        <f t="shared" si="764"/>
        <v>0</v>
      </c>
    </row>
    <row r="9385" spans="1:18" s="847" customFormat="1">
      <c r="A9385" s="905"/>
      <c r="B9385" s="952" t="s">
        <v>6410</v>
      </c>
      <c r="C9385" s="907">
        <v>906</v>
      </c>
      <c r="D9385" s="907" t="s">
        <v>93</v>
      </c>
      <c r="E9385" s="992" t="s">
        <v>6411</v>
      </c>
      <c r="F9385" s="905" t="s">
        <v>2673</v>
      </c>
      <c r="G9385" s="1005"/>
      <c r="H9385" s="911">
        <v>0.4</v>
      </c>
      <c r="I9385" s="912"/>
      <c r="J9385" s="912"/>
      <c r="K9385" s="912"/>
      <c r="L9385" s="912"/>
      <c r="M9385" s="912">
        <f>VLOOKUP(B9385,MTC!$B$9:$S$933,12,0)</f>
        <v>0</v>
      </c>
      <c r="N9385" s="912">
        <f>M9385*H9385</f>
        <v>0</v>
      </c>
      <c r="O9385" s="892">
        <f t="shared" si="765"/>
        <v>0</v>
      </c>
      <c r="P9385" s="903">
        <f t="shared" si="762"/>
        <v>1</v>
      </c>
      <c r="Q9385" s="893">
        <f t="shared" si="763"/>
        <v>3</v>
      </c>
      <c r="R9385" s="894">
        <f t="shared" si="764"/>
        <v>0</v>
      </c>
    </row>
    <row r="9386" spans="1:18" s="904" customFormat="1">
      <c r="A9386" s="905"/>
      <c r="B9386" s="952" t="s">
        <v>6412</v>
      </c>
      <c r="C9386" s="907">
        <v>905</v>
      </c>
      <c r="D9386" s="907" t="s">
        <v>93</v>
      </c>
      <c r="E9386" s="992" t="s">
        <v>6413</v>
      </c>
      <c r="F9386" s="905" t="s">
        <v>2673</v>
      </c>
      <c r="G9386" s="1005"/>
      <c r="H9386" s="911">
        <v>0.4</v>
      </c>
      <c r="I9386" s="912"/>
      <c r="J9386" s="912"/>
      <c r="K9386" s="912"/>
      <c r="L9386" s="912"/>
      <c r="M9386" s="912">
        <f>VLOOKUP(B9386,MTC!$B$9:$S$933,12,0)</f>
        <v>225936</v>
      </c>
      <c r="N9386" s="912">
        <f>M9386*H9386</f>
        <v>90374.400000000009</v>
      </c>
      <c r="O9386" s="892">
        <f t="shared" si="765"/>
        <v>0</v>
      </c>
      <c r="P9386" s="903">
        <f t="shared" si="762"/>
        <v>1</v>
      </c>
      <c r="Q9386" s="893">
        <f t="shared" si="763"/>
        <v>2</v>
      </c>
      <c r="R9386" s="894">
        <f t="shared" si="764"/>
        <v>0</v>
      </c>
    </row>
    <row r="9387" spans="1:18">
      <c r="A9387" s="905"/>
      <c r="B9387" s="952" t="s">
        <v>6414</v>
      </c>
      <c r="C9387" s="907">
        <v>914</v>
      </c>
      <c r="D9387" s="907" t="s">
        <v>93</v>
      </c>
      <c r="E9387" s="992" t="s">
        <v>6415</v>
      </c>
      <c r="F9387" s="905" t="s">
        <v>2673</v>
      </c>
      <c r="G9387" s="1005"/>
      <c r="H9387" s="911">
        <v>0.1</v>
      </c>
      <c r="I9387" s="912"/>
      <c r="J9387" s="912"/>
      <c r="K9387" s="912"/>
      <c r="L9387" s="912"/>
      <c r="M9387" s="912">
        <f>VLOOKUP(B9387,MTC!$B$9:$S$933,12,0)</f>
        <v>0</v>
      </c>
      <c r="N9387" s="912">
        <f>M9387*H9387</f>
        <v>0</v>
      </c>
      <c r="O9387" s="892">
        <f t="shared" si="765"/>
        <v>0</v>
      </c>
      <c r="P9387" s="903">
        <f t="shared" si="762"/>
        <v>1</v>
      </c>
      <c r="Q9387" s="893">
        <f t="shared" si="763"/>
        <v>1</v>
      </c>
      <c r="R9387" s="894">
        <f t="shared" si="764"/>
        <v>0</v>
      </c>
    </row>
    <row r="9388" spans="1:18" s="847" customFormat="1" ht="47.25">
      <c r="A9388" s="905" t="s">
        <v>6473</v>
      </c>
      <c r="B9388" s="914" t="s">
        <v>6486</v>
      </c>
      <c r="C9388" s="915"/>
      <c r="D9388" s="915"/>
      <c r="E9388" s="1006" t="s">
        <v>6487</v>
      </c>
      <c r="F9388" s="1007" t="s">
        <v>136</v>
      </c>
      <c r="G9388" s="1008"/>
      <c r="H9388" s="919"/>
      <c r="I9388" s="920"/>
      <c r="J9388" s="962">
        <f>SUM(J9389:J9397)</f>
        <v>55500</v>
      </c>
      <c r="K9388" s="891" t="s">
        <v>274</v>
      </c>
      <c r="L9388" s="962">
        <f>SUM(L9389:L9397)</f>
        <v>331687.5</v>
      </c>
      <c r="M9388" s="962"/>
      <c r="N9388" s="962">
        <f>SUM(N9389:N9397)</f>
        <v>0</v>
      </c>
      <c r="O9388" s="892">
        <f t="shared" si="765"/>
        <v>1</v>
      </c>
      <c r="P9388" s="903">
        <f t="shared" si="762"/>
        <v>0</v>
      </c>
      <c r="Q9388" s="893">
        <f t="shared" si="763"/>
        <v>0</v>
      </c>
      <c r="R9388" s="894">
        <f t="shared" si="764"/>
        <v>9</v>
      </c>
    </row>
    <row r="9389" spans="1:18" s="904" customFormat="1">
      <c r="A9389" s="895"/>
      <c r="B9389" s="896"/>
      <c r="C9389" s="897"/>
      <c r="D9389" s="897"/>
      <c r="E9389" s="1002" t="s">
        <v>108</v>
      </c>
      <c r="F9389" s="895"/>
      <c r="G9389" s="1004"/>
      <c r="H9389" s="901"/>
      <c r="I9389" s="902"/>
      <c r="J9389" s="902"/>
      <c r="K9389" s="912" t="s">
        <v>274</v>
      </c>
      <c r="L9389" s="902"/>
      <c r="M9389" s="902"/>
      <c r="N9389" s="902"/>
      <c r="O9389" s="892">
        <f t="shared" si="765"/>
        <v>0</v>
      </c>
      <c r="P9389" s="903">
        <f t="shared" si="762"/>
        <v>1</v>
      </c>
      <c r="Q9389" s="893">
        <f t="shared" si="763"/>
        <v>9</v>
      </c>
      <c r="R9389" s="894">
        <f t="shared" si="764"/>
        <v>0</v>
      </c>
    </row>
    <row r="9390" spans="1:18">
      <c r="A9390" s="905"/>
      <c r="B9390" s="952"/>
      <c r="C9390" s="907">
        <v>315</v>
      </c>
      <c r="D9390" s="907" t="s">
        <v>279</v>
      </c>
      <c r="E9390" s="992" t="s">
        <v>6316</v>
      </c>
      <c r="F9390" s="905" t="s">
        <v>49</v>
      </c>
      <c r="G9390" s="1005"/>
      <c r="H9390" s="911">
        <v>0.5</v>
      </c>
      <c r="I9390" s="912">
        <f>VLOOKUP(E9390,[3]VLP!$B$7:$K$300,10,0)</f>
        <v>8000</v>
      </c>
      <c r="J9390" s="912">
        <f>I9390*H9390</f>
        <v>4000</v>
      </c>
      <c r="K9390" s="912" t="s">
        <v>274</v>
      </c>
      <c r="L9390" s="912"/>
      <c r="M9390" s="912"/>
      <c r="N9390" s="912"/>
      <c r="O9390" s="892">
        <f t="shared" si="765"/>
        <v>0</v>
      </c>
      <c r="P9390" s="903">
        <f t="shared" si="762"/>
        <v>1</v>
      </c>
      <c r="Q9390" s="893">
        <f t="shared" si="763"/>
        <v>8</v>
      </c>
      <c r="R9390" s="894">
        <f t="shared" si="764"/>
        <v>0</v>
      </c>
    </row>
    <row r="9391" spans="1:18" s="847" customFormat="1">
      <c r="A9391" s="905"/>
      <c r="B9391" s="952"/>
      <c r="C9391" s="907">
        <v>235</v>
      </c>
      <c r="D9391" s="907" t="s">
        <v>279</v>
      </c>
      <c r="E9391" s="992" t="s">
        <v>2682</v>
      </c>
      <c r="F9391" s="905" t="s">
        <v>45</v>
      </c>
      <c r="G9391" s="1005"/>
      <c r="H9391" s="911">
        <v>0.3</v>
      </c>
      <c r="I9391" s="912">
        <f>VLOOKUP(E9391,[3]VLP!$B$7:$K$300,10,0)</f>
        <v>5000</v>
      </c>
      <c r="J9391" s="912">
        <f>I9391*H9391</f>
        <v>1500</v>
      </c>
      <c r="K9391" s="912" t="s">
        <v>274</v>
      </c>
      <c r="L9391" s="912"/>
      <c r="M9391" s="912"/>
      <c r="N9391" s="912"/>
      <c r="O9391" s="892">
        <f t="shared" si="765"/>
        <v>0</v>
      </c>
      <c r="P9391" s="903">
        <f t="shared" si="762"/>
        <v>1</v>
      </c>
      <c r="Q9391" s="893">
        <f t="shared" si="763"/>
        <v>7</v>
      </c>
      <c r="R9391" s="894">
        <f t="shared" si="764"/>
        <v>0</v>
      </c>
    </row>
    <row r="9392" spans="1:18" s="904" customFormat="1">
      <c r="A9392" s="905"/>
      <c r="B9392" s="952"/>
      <c r="C9392" s="907">
        <v>699</v>
      </c>
      <c r="D9392" s="907" t="s">
        <v>279</v>
      </c>
      <c r="E9392" s="992" t="s">
        <v>4006</v>
      </c>
      <c r="F9392" s="905" t="s">
        <v>4007</v>
      </c>
      <c r="G9392" s="1005"/>
      <c r="H9392" s="911">
        <v>10</v>
      </c>
      <c r="I9392" s="912">
        <f>VLOOKUP(E9392,[3]VLP!$B$7:$K$300,10,0)</f>
        <v>5000</v>
      </c>
      <c r="J9392" s="912">
        <f>I9392*H9392</f>
        <v>50000</v>
      </c>
      <c r="K9392" s="912" t="s">
        <v>274</v>
      </c>
      <c r="L9392" s="912"/>
      <c r="M9392" s="912"/>
      <c r="N9392" s="912"/>
      <c r="O9392" s="892">
        <f t="shared" si="765"/>
        <v>0</v>
      </c>
      <c r="P9392" s="903">
        <f t="shared" si="762"/>
        <v>1</v>
      </c>
      <c r="Q9392" s="893">
        <f t="shared" si="763"/>
        <v>6</v>
      </c>
      <c r="R9392" s="894">
        <f t="shared" si="764"/>
        <v>0</v>
      </c>
    </row>
    <row r="9393" spans="1:18">
      <c r="A9393" s="895"/>
      <c r="B9393" s="896"/>
      <c r="C9393" s="897"/>
      <c r="D9393" s="897"/>
      <c r="E9393" s="1002" t="s">
        <v>276</v>
      </c>
      <c r="F9393" s="1003"/>
      <c r="G9393" s="1004"/>
      <c r="H9393" s="901"/>
      <c r="I9393" s="902"/>
      <c r="J9393" s="902"/>
      <c r="K9393" s="912" t="s">
        <v>274</v>
      </c>
      <c r="L9393" s="902"/>
      <c r="M9393" s="902"/>
      <c r="N9393" s="902"/>
      <c r="O9393" s="892">
        <f t="shared" si="765"/>
        <v>0</v>
      </c>
      <c r="P9393" s="903">
        <f t="shared" si="762"/>
        <v>1</v>
      </c>
      <c r="Q9393" s="893">
        <f t="shared" si="763"/>
        <v>5</v>
      </c>
      <c r="R9393" s="894">
        <f t="shared" si="764"/>
        <v>0</v>
      </c>
    </row>
    <row r="9394" spans="1:18" s="847" customFormat="1">
      <c r="A9394" s="905"/>
      <c r="B9394" s="952"/>
      <c r="C9394" s="907">
        <v>740</v>
      </c>
      <c r="D9394" s="907" t="s">
        <v>12</v>
      </c>
      <c r="E9394" s="992" t="s">
        <v>4008</v>
      </c>
      <c r="F9394" s="905" t="s">
        <v>2674</v>
      </c>
      <c r="G9394" s="1005"/>
      <c r="H9394" s="911">
        <v>1.5</v>
      </c>
      <c r="I9394" s="912"/>
      <c r="J9394" s="912"/>
      <c r="K9394" s="912">
        <f>VLOOKUP(E9394,[5]ĐMNC!$A$7:$F$67,4,0)</f>
        <v>221125</v>
      </c>
      <c r="L9394" s="912">
        <f>H9394*K9394</f>
        <v>331687.5</v>
      </c>
      <c r="M9394" s="912"/>
      <c r="N9394" s="912"/>
      <c r="O9394" s="892">
        <f t="shared" si="765"/>
        <v>0</v>
      </c>
      <c r="P9394" s="903">
        <f t="shared" si="762"/>
        <v>1</v>
      </c>
      <c r="Q9394" s="893">
        <f t="shared" si="763"/>
        <v>4</v>
      </c>
      <c r="R9394" s="894">
        <f t="shared" si="764"/>
        <v>0</v>
      </c>
    </row>
    <row r="9395" spans="1:18" s="904" customFormat="1">
      <c r="A9395" s="895"/>
      <c r="B9395" s="896"/>
      <c r="C9395" s="897"/>
      <c r="D9395" s="897"/>
      <c r="E9395" s="1002" t="s">
        <v>3914</v>
      </c>
      <c r="F9395" s="895"/>
      <c r="G9395" s="1004"/>
      <c r="H9395" s="901"/>
      <c r="I9395" s="902"/>
      <c r="J9395" s="902"/>
      <c r="K9395" s="912" t="s">
        <v>274</v>
      </c>
      <c r="L9395" s="902"/>
      <c r="M9395" s="902"/>
      <c r="N9395" s="902"/>
      <c r="O9395" s="892">
        <f t="shared" si="765"/>
        <v>0</v>
      </c>
      <c r="P9395" s="903">
        <f t="shared" ref="P9395:P9458" si="766">IF(O9395=0,1,0)</f>
        <v>1</v>
      </c>
      <c r="Q9395" s="893">
        <f t="shared" ref="Q9395:Q9458" si="767">IF(P9395=0,0,P9395+Q9396)</f>
        <v>3</v>
      </c>
      <c r="R9395" s="894">
        <f t="shared" ref="R9395:R9458" si="768">IF(Q9395=0,Q9396,0)</f>
        <v>0</v>
      </c>
    </row>
    <row r="9396" spans="1:18">
      <c r="A9396" s="905"/>
      <c r="B9396" s="952" t="s">
        <v>6424</v>
      </c>
      <c r="C9396" s="907">
        <v>911</v>
      </c>
      <c r="D9396" s="907" t="s">
        <v>93</v>
      </c>
      <c r="E9396" s="992" t="s">
        <v>6425</v>
      </c>
      <c r="F9396" s="905" t="s">
        <v>2673</v>
      </c>
      <c r="G9396" s="1005"/>
      <c r="H9396" s="911">
        <v>0.25</v>
      </c>
      <c r="I9396" s="912"/>
      <c r="J9396" s="912"/>
      <c r="K9396" s="912"/>
      <c r="L9396" s="912"/>
      <c r="M9396" s="912">
        <f>VLOOKUP(B9396,MTC!$B$9:$S$933,12,0)</f>
        <v>0</v>
      </c>
      <c r="N9396" s="912">
        <f>M9396*H9396</f>
        <v>0</v>
      </c>
      <c r="O9396" s="892">
        <f t="shared" si="765"/>
        <v>0</v>
      </c>
      <c r="P9396" s="903">
        <f t="shared" si="766"/>
        <v>1</v>
      </c>
      <c r="Q9396" s="893">
        <f t="shared" si="767"/>
        <v>2</v>
      </c>
      <c r="R9396" s="894">
        <f t="shared" si="768"/>
        <v>0</v>
      </c>
    </row>
    <row r="9397" spans="1:18" s="847" customFormat="1">
      <c r="A9397" s="905"/>
      <c r="B9397" s="952" t="s">
        <v>6414</v>
      </c>
      <c r="C9397" s="907">
        <v>914</v>
      </c>
      <c r="D9397" s="907" t="s">
        <v>93</v>
      </c>
      <c r="E9397" s="992" t="s">
        <v>6415</v>
      </c>
      <c r="F9397" s="905" t="s">
        <v>2673</v>
      </c>
      <c r="G9397" s="1005"/>
      <c r="H9397" s="911">
        <v>0.1</v>
      </c>
      <c r="I9397" s="912"/>
      <c r="J9397" s="912"/>
      <c r="K9397" s="912"/>
      <c r="L9397" s="912"/>
      <c r="M9397" s="912">
        <f>VLOOKUP(B9397,MTC!$B$9:$S$933,12,0)</f>
        <v>0</v>
      </c>
      <c r="N9397" s="912">
        <f>M9397*H9397</f>
        <v>0</v>
      </c>
      <c r="O9397" s="892">
        <f t="shared" si="765"/>
        <v>0</v>
      </c>
      <c r="P9397" s="903">
        <f t="shared" si="766"/>
        <v>1</v>
      </c>
      <c r="Q9397" s="893">
        <f t="shared" si="767"/>
        <v>1</v>
      </c>
      <c r="R9397" s="894">
        <f t="shared" si="768"/>
        <v>0</v>
      </c>
    </row>
    <row r="9398" spans="1:18" s="904" customFormat="1" ht="47.25">
      <c r="A9398" s="905">
        <v>70</v>
      </c>
      <c r="B9398" s="914" t="s">
        <v>6488</v>
      </c>
      <c r="C9398" s="915"/>
      <c r="D9398" s="915"/>
      <c r="E9398" s="1006" t="s">
        <v>6489</v>
      </c>
      <c r="F9398" s="1007" t="s">
        <v>136</v>
      </c>
      <c r="G9398" s="1008"/>
      <c r="H9398" s="919"/>
      <c r="I9398" s="920"/>
      <c r="J9398" s="962">
        <f>SUM(J9399:J9407)</f>
        <v>55500</v>
      </c>
      <c r="K9398" s="891" t="s">
        <v>274</v>
      </c>
      <c r="L9398" s="962">
        <f>SUM(L9399:L9407)</f>
        <v>442250</v>
      </c>
      <c r="M9398" s="962"/>
      <c r="N9398" s="962">
        <f>SUM(N9399:N9407)</f>
        <v>0</v>
      </c>
      <c r="O9398" s="892">
        <f t="shared" si="765"/>
        <v>1</v>
      </c>
      <c r="P9398" s="903">
        <f t="shared" si="766"/>
        <v>0</v>
      </c>
      <c r="Q9398" s="893">
        <f t="shared" si="767"/>
        <v>0</v>
      </c>
      <c r="R9398" s="894">
        <f t="shared" si="768"/>
        <v>9</v>
      </c>
    </row>
    <row r="9399" spans="1:18">
      <c r="A9399" s="895"/>
      <c r="B9399" s="896"/>
      <c r="C9399" s="897"/>
      <c r="D9399" s="897"/>
      <c r="E9399" s="1002" t="s">
        <v>108</v>
      </c>
      <c r="F9399" s="895"/>
      <c r="G9399" s="1004"/>
      <c r="H9399" s="901"/>
      <c r="I9399" s="902"/>
      <c r="J9399" s="902"/>
      <c r="K9399" s="912" t="s">
        <v>274</v>
      </c>
      <c r="L9399" s="902"/>
      <c r="M9399" s="902"/>
      <c r="N9399" s="902"/>
      <c r="O9399" s="892">
        <f t="shared" si="765"/>
        <v>0</v>
      </c>
      <c r="P9399" s="903">
        <f t="shared" si="766"/>
        <v>1</v>
      </c>
      <c r="Q9399" s="893">
        <f t="shared" si="767"/>
        <v>9</v>
      </c>
      <c r="R9399" s="894">
        <f t="shared" si="768"/>
        <v>0</v>
      </c>
    </row>
    <row r="9400" spans="1:18" s="847" customFormat="1">
      <c r="A9400" s="905"/>
      <c r="B9400" s="952"/>
      <c r="C9400" s="907">
        <v>315</v>
      </c>
      <c r="D9400" s="907" t="s">
        <v>279</v>
      </c>
      <c r="E9400" s="992" t="s">
        <v>6316</v>
      </c>
      <c r="F9400" s="905" t="s">
        <v>49</v>
      </c>
      <c r="G9400" s="1005"/>
      <c r="H9400" s="911">
        <v>0.5</v>
      </c>
      <c r="I9400" s="912">
        <f>VLOOKUP(E9400,[3]VLP!$B$7:$K$300,10,0)</f>
        <v>8000</v>
      </c>
      <c r="J9400" s="912">
        <f>I9400*H9400</f>
        <v>4000</v>
      </c>
      <c r="K9400" s="912" t="s">
        <v>274</v>
      </c>
      <c r="L9400" s="912"/>
      <c r="M9400" s="912"/>
      <c r="N9400" s="912"/>
      <c r="O9400" s="892">
        <f t="shared" si="765"/>
        <v>0</v>
      </c>
      <c r="P9400" s="903">
        <f t="shared" si="766"/>
        <v>1</v>
      </c>
      <c r="Q9400" s="893">
        <f t="shared" si="767"/>
        <v>8</v>
      </c>
      <c r="R9400" s="894">
        <f t="shared" si="768"/>
        <v>0</v>
      </c>
    </row>
    <row r="9401" spans="1:18" s="904" customFormat="1">
      <c r="A9401" s="905"/>
      <c r="B9401" s="952"/>
      <c r="C9401" s="907">
        <v>235</v>
      </c>
      <c r="D9401" s="907" t="s">
        <v>279</v>
      </c>
      <c r="E9401" s="992" t="s">
        <v>2682</v>
      </c>
      <c r="F9401" s="905" t="s">
        <v>45</v>
      </c>
      <c r="G9401" s="1005"/>
      <c r="H9401" s="911">
        <v>0.3</v>
      </c>
      <c r="I9401" s="912">
        <f>VLOOKUP(E9401,[3]VLP!$B$7:$K$300,10,0)</f>
        <v>5000</v>
      </c>
      <c r="J9401" s="912">
        <f>I9401*H9401</f>
        <v>1500</v>
      </c>
      <c r="K9401" s="912" t="s">
        <v>274</v>
      </c>
      <c r="L9401" s="912"/>
      <c r="M9401" s="912"/>
      <c r="N9401" s="912"/>
      <c r="O9401" s="892">
        <f t="shared" si="765"/>
        <v>0</v>
      </c>
      <c r="P9401" s="903">
        <f t="shared" si="766"/>
        <v>1</v>
      </c>
      <c r="Q9401" s="893">
        <f t="shared" si="767"/>
        <v>7</v>
      </c>
      <c r="R9401" s="894">
        <f t="shared" si="768"/>
        <v>0</v>
      </c>
    </row>
    <row r="9402" spans="1:18">
      <c r="A9402" s="905"/>
      <c r="B9402" s="952"/>
      <c r="C9402" s="907">
        <v>699</v>
      </c>
      <c r="D9402" s="907" t="s">
        <v>279</v>
      </c>
      <c r="E9402" s="992" t="s">
        <v>4006</v>
      </c>
      <c r="F9402" s="905" t="s">
        <v>4007</v>
      </c>
      <c r="G9402" s="1005"/>
      <c r="H9402" s="911">
        <v>10</v>
      </c>
      <c r="I9402" s="912">
        <f>VLOOKUP(E9402,[3]VLP!$B$7:$K$300,10,0)</f>
        <v>5000</v>
      </c>
      <c r="J9402" s="912">
        <f>I9402*H9402</f>
        <v>50000</v>
      </c>
      <c r="K9402" s="912" t="s">
        <v>274</v>
      </c>
      <c r="L9402" s="912"/>
      <c r="M9402" s="912"/>
      <c r="N9402" s="912"/>
      <c r="O9402" s="892">
        <f t="shared" si="765"/>
        <v>0</v>
      </c>
      <c r="P9402" s="903">
        <f t="shared" si="766"/>
        <v>1</v>
      </c>
      <c r="Q9402" s="893">
        <f t="shared" si="767"/>
        <v>6</v>
      </c>
      <c r="R9402" s="894">
        <f t="shared" si="768"/>
        <v>0</v>
      </c>
    </row>
    <row r="9403" spans="1:18" s="847" customFormat="1">
      <c r="A9403" s="895"/>
      <c r="B9403" s="896"/>
      <c r="C9403" s="897"/>
      <c r="D9403" s="897"/>
      <c r="E9403" s="1002" t="s">
        <v>276</v>
      </c>
      <c r="F9403" s="1003"/>
      <c r="G9403" s="1004"/>
      <c r="H9403" s="901"/>
      <c r="I9403" s="902"/>
      <c r="J9403" s="902"/>
      <c r="K9403" s="912" t="s">
        <v>274</v>
      </c>
      <c r="L9403" s="902"/>
      <c r="M9403" s="902"/>
      <c r="N9403" s="902"/>
      <c r="O9403" s="892">
        <f t="shared" si="765"/>
        <v>0</v>
      </c>
      <c r="P9403" s="903">
        <f t="shared" si="766"/>
        <v>1</v>
      </c>
      <c r="Q9403" s="893">
        <f t="shared" si="767"/>
        <v>5</v>
      </c>
      <c r="R9403" s="894">
        <f t="shared" si="768"/>
        <v>0</v>
      </c>
    </row>
    <row r="9404" spans="1:18" s="904" customFormat="1">
      <c r="A9404" s="905"/>
      <c r="B9404" s="952"/>
      <c r="C9404" s="907">
        <v>740</v>
      </c>
      <c r="D9404" s="907" t="s">
        <v>12</v>
      </c>
      <c r="E9404" s="992" t="s">
        <v>4008</v>
      </c>
      <c r="F9404" s="905" t="s">
        <v>2674</v>
      </c>
      <c r="G9404" s="1005"/>
      <c r="H9404" s="911">
        <v>2</v>
      </c>
      <c r="I9404" s="912"/>
      <c r="J9404" s="912"/>
      <c r="K9404" s="912">
        <f>VLOOKUP(E9404,[5]ĐMNC!$A$7:$F$67,4,0)</f>
        <v>221125</v>
      </c>
      <c r="L9404" s="912">
        <f>H9404*K9404</f>
        <v>442250</v>
      </c>
      <c r="M9404" s="912"/>
      <c r="N9404" s="912"/>
      <c r="O9404" s="892">
        <f t="shared" si="765"/>
        <v>0</v>
      </c>
      <c r="P9404" s="903">
        <f t="shared" si="766"/>
        <v>1</v>
      </c>
      <c r="Q9404" s="893">
        <f t="shared" si="767"/>
        <v>4</v>
      </c>
      <c r="R9404" s="894">
        <f t="shared" si="768"/>
        <v>0</v>
      </c>
    </row>
    <row r="9405" spans="1:18">
      <c r="A9405" s="895"/>
      <c r="B9405" s="896"/>
      <c r="C9405" s="897"/>
      <c r="D9405" s="897"/>
      <c r="E9405" s="1002" t="s">
        <v>3914</v>
      </c>
      <c r="F9405" s="895"/>
      <c r="G9405" s="1004"/>
      <c r="H9405" s="901"/>
      <c r="I9405" s="902"/>
      <c r="J9405" s="902"/>
      <c r="K9405" s="912" t="s">
        <v>274</v>
      </c>
      <c r="L9405" s="902"/>
      <c r="M9405" s="902"/>
      <c r="N9405" s="902"/>
      <c r="O9405" s="892">
        <f t="shared" si="765"/>
        <v>0</v>
      </c>
      <c r="P9405" s="903">
        <f t="shared" si="766"/>
        <v>1</v>
      </c>
      <c r="Q9405" s="893">
        <f t="shared" si="767"/>
        <v>3</v>
      </c>
      <c r="R9405" s="894">
        <f t="shared" si="768"/>
        <v>0</v>
      </c>
    </row>
    <row r="9406" spans="1:18" s="847" customFormat="1">
      <c r="A9406" s="905"/>
      <c r="B9406" s="952" t="s">
        <v>6424</v>
      </c>
      <c r="C9406" s="907">
        <v>911</v>
      </c>
      <c r="D9406" s="907" t="s">
        <v>93</v>
      </c>
      <c r="E9406" s="992" t="s">
        <v>6425</v>
      </c>
      <c r="F9406" s="905" t="s">
        <v>2673</v>
      </c>
      <c r="G9406" s="1005"/>
      <c r="H9406" s="911">
        <v>0.34</v>
      </c>
      <c r="I9406" s="912"/>
      <c r="J9406" s="912"/>
      <c r="K9406" s="912"/>
      <c r="L9406" s="912"/>
      <c r="M9406" s="912">
        <f>VLOOKUP(B9406,MTC!$B$9:$S$933,12,0)</f>
        <v>0</v>
      </c>
      <c r="N9406" s="912">
        <f>M9406*H9406</f>
        <v>0</v>
      </c>
      <c r="O9406" s="892">
        <f t="shared" si="765"/>
        <v>0</v>
      </c>
      <c r="P9406" s="903">
        <f t="shared" si="766"/>
        <v>1</v>
      </c>
      <c r="Q9406" s="893">
        <f t="shared" si="767"/>
        <v>2</v>
      </c>
      <c r="R9406" s="894">
        <f t="shared" si="768"/>
        <v>0</v>
      </c>
    </row>
    <row r="9407" spans="1:18" s="904" customFormat="1">
      <c r="A9407" s="905"/>
      <c r="B9407" s="952" t="s">
        <v>6414</v>
      </c>
      <c r="C9407" s="907">
        <v>914</v>
      </c>
      <c r="D9407" s="907" t="s">
        <v>93</v>
      </c>
      <c r="E9407" s="992" t="s">
        <v>6415</v>
      </c>
      <c r="F9407" s="905" t="s">
        <v>2673</v>
      </c>
      <c r="G9407" s="1005"/>
      <c r="H9407" s="911">
        <v>0.1</v>
      </c>
      <c r="I9407" s="912"/>
      <c r="J9407" s="912"/>
      <c r="K9407" s="912"/>
      <c r="L9407" s="912"/>
      <c r="M9407" s="912">
        <f>VLOOKUP(B9407,MTC!$B$9:$S$933,12,0)</f>
        <v>0</v>
      </c>
      <c r="N9407" s="912">
        <f>M9407*H9407</f>
        <v>0</v>
      </c>
      <c r="O9407" s="892">
        <f t="shared" si="765"/>
        <v>0</v>
      </c>
      <c r="P9407" s="903">
        <f t="shared" si="766"/>
        <v>1</v>
      </c>
      <c r="Q9407" s="893">
        <f t="shared" si="767"/>
        <v>1</v>
      </c>
      <c r="R9407" s="894">
        <f t="shared" si="768"/>
        <v>0</v>
      </c>
    </row>
    <row r="9408" spans="1:18" ht="47.25">
      <c r="A9408" s="905">
        <v>71</v>
      </c>
      <c r="B9408" s="914" t="s">
        <v>6490</v>
      </c>
      <c r="C9408" s="915"/>
      <c r="D9408" s="915"/>
      <c r="E9408" s="1006" t="s">
        <v>6491</v>
      </c>
      <c r="F9408" s="1007" t="s">
        <v>136</v>
      </c>
      <c r="G9408" s="1008"/>
      <c r="H9408" s="919"/>
      <c r="I9408" s="920"/>
      <c r="J9408" s="962">
        <f>SUM(J9409:J9417)</f>
        <v>55500</v>
      </c>
      <c r="K9408" s="891" t="s">
        <v>274</v>
      </c>
      <c r="L9408" s="962">
        <f>SUM(L9409:L9417)</f>
        <v>552812.5</v>
      </c>
      <c r="M9408" s="962"/>
      <c r="N9408" s="962">
        <f>SUM(N9409:N9417)</f>
        <v>0</v>
      </c>
      <c r="O9408" s="892">
        <f t="shared" si="765"/>
        <v>1</v>
      </c>
      <c r="P9408" s="903">
        <f t="shared" si="766"/>
        <v>0</v>
      </c>
      <c r="Q9408" s="893">
        <f t="shared" si="767"/>
        <v>0</v>
      </c>
      <c r="R9408" s="894">
        <f t="shared" si="768"/>
        <v>9</v>
      </c>
    </row>
    <row r="9409" spans="1:18" s="847" customFormat="1">
      <c r="A9409" s="895"/>
      <c r="B9409" s="896"/>
      <c r="C9409" s="897"/>
      <c r="D9409" s="897"/>
      <c r="E9409" s="1002" t="s">
        <v>108</v>
      </c>
      <c r="F9409" s="895"/>
      <c r="G9409" s="1004"/>
      <c r="H9409" s="901"/>
      <c r="I9409" s="902"/>
      <c r="J9409" s="902"/>
      <c r="K9409" s="912" t="s">
        <v>274</v>
      </c>
      <c r="L9409" s="902"/>
      <c r="M9409" s="902"/>
      <c r="N9409" s="902"/>
      <c r="O9409" s="892">
        <f t="shared" si="765"/>
        <v>0</v>
      </c>
      <c r="P9409" s="903">
        <f t="shared" si="766"/>
        <v>1</v>
      </c>
      <c r="Q9409" s="893">
        <f t="shared" si="767"/>
        <v>9</v>
      </c>
      <c r="R9409" s="894">
        <f t="shared" si="768"/>
        <v>0</v>
      </c>
    </row>
    <row r="9410" spans="1:18" s="904" customFormat="1">
      <c r="A9410" s="905"/>
      <c r="B9410" s="952"/>
      <c r="C9410" s="907">
        <v>315</v>
      </c>
      <c r="D9410" s="907" t="s">
        <v>279</v>
      </c>
      <c r="E9410" s="992" t="s">
        <v>6316</v>
      </c>
      <c r="F9410" s="905" t="s">
        <v>49</v>
      </c>
      <c r="G9410" s="1005"/>
      <c r="H9410" s="911">
        <v>0.5</v>
      </c>
      <c r="I9410" s="912">
        <f>VLOOKUP(E9410,[3]VLP!$B$7:$K$300,10,0)</f>
        <v>8000</v>
      </c>
      <c r="J9410" s="912">
        <f>I9410*H9410</f>
        <v>4000</v>
      </c>
      <c r="K9410" s="912" t="s">
        <v>274</v>
      </c>
      <c r="L9410" s="912"/>
      <c r="M9410" s="912"/>
      <c r="N9410" s="912"/>
      <c r="O9410" s="892">
        <f t="shared" si="765"/>
        <v>0</v>
      </c>
      <c r="P9410" s="903">
        <f t="shared" si="766"/>
        <v>1</v>
      </c>
      <c r="Q9410" s="893">
        <f t="shared" si="767"/>
        <v>8</v>
      </c>
      <c r="R9410" s="894">
        <f t="shared" si="768"/>
        <v>0</v>
      </c>
    </row>
    <row r="9411" spans="1:18">
      <c r="A9411" s="905"/>
      <c r="B9411" s="952"/>
      <c r="C9411" s="907">
        <v>235</v>
      </c>
      <c r="D9411" s="907" t="s">
        <v>279</v>
      </c>
      <c r="E9411" s="992" t="s">
        <v>2682</v>
      </c>
      <c r="F9411" s="905" t="s">
        <v>45</v>
      </c>
      <c r="G9411" s="1005"/>
      <c r="H9411" s="911">
        <v>0.3</v>
      </c>
      <c r="I9411" s="912">
        <f>VLOOKUP(E9411,[3]VLP!$B$7:$K$300,10,0)</f>
        <v>5000</v>
      </c>
      <c r="J9411" s="912">
        <f>I9411*H9411</f>
        <v>1500</v>
      </c>
      <c r="K9411" s="912" t="s">
        <v>274</v>
      </c>
      <c r="L9411" s="912"/>
      <c r="M9411" s="912"/>
      <c r="N9411" s="912"/>
      <c r="O9411" s="892">
        <f t="shared" si="765"/>
        <v>0</v>
      </c>
      <c r="P9411" s="903">
        <f t="shared" si="766"/>
        <v>1</v>
      </c>
      <c r="Q9411" s="893">
        <f t="shared" si="767"/>
        <v>7</v>
      </c>
      <c r="R9411" s="894">
        <f t="shared" si="768"/>
        <v>0</v>
      </c>
    </row>
    <row r="9412" spans="1:18" s="847" customFormat="1">
      <c r="A9412" s="905"/>
      <c r="B9412" s="952"/>
      <c r="C9412" s="907">
        <v>699</v>
      </c>
      <c r="D9412" s="907" t="s">
        <v>279</v>
      </c>
      <c r="E9412" s="992" t="s">
        <v>4006</v>
      </c>
      <c r="F9412" s="905" t="s">
        <v>4007</v>
      </c>
      <c r="G9412" s="1005"/>
      <c r="H9412" s="911">
        <v>10</v>
      </c>
      <c r="I9412" s="912">
        <f>VLOOKUP(E9412,[3]VLP!$B$7:$K$300,10,0)</f>
        <v>5000</v>
      </c>
      <c r="J9412" s="912">
        <f>I9412*H9412</f>
        <v>50000</v>
      </c>
      <c r="K9412" s="912" t="s">
        <v>274</v>
      </c>
      <c r="L9412" s="912"/>
      <c r="M9412" s="912"/>
      <c r="N9412" s="912"/>
      <c r="O9412" s="892">
        <f t="shared" si="765"/>
        <v>0</v>
      </c>
      <c r="P9412" s="903">
        <f t="shared" si="766"/>
        <v>1</v>
      </c>
      <c r="Q9412" s="893">
        <f t="shared" si="767"/>
        <v>6</v>
      </c>
      <c r="R9412" s="894">
        <f t="shared" si="768"/>
        <v>0</v>
      </c>
    </row>
    <row r="9413" spans="1:18" s="904" customFormat="1">
      <c r="A9413" s="895"/>
      <c r="B9413" s="896"/>
      <c r="C9413" s="897"/>
      <c r="D9413" s="897"/>
      <c r="E9413" s="1002" t="s">
        <v>276</v>
      </c>
      <c r="F9413" s="1003"/>
      <c r="G9413" s="1004"/>
      <c r="H9413" s="901"/>
      <c r="I9413" s="902"/>
      <c r="J9413" s="902"/>
      <c r="K9413" s="912" t="s">
        <v>274</v>
      </c>
      <c r="L9413" s="902"/>
      <c r="M9413" s="902"/>
      <c r="N9413" s="902"/>
      <c r="O9413" s="892">
        <f t="shared" si="765"/>
        <v>0</v>
      </c>
      <c r="P9413" s="903">
        <f t="shared" si="766"/>
        <v>1</v>
      </c>
      <c r="Q9413" s="893">
        <f t="shared" si="767"/>
        <v>5</v>
      </c>
      <c r="R9413" s="894">
        <f t="shared" si="768"/>
        <v>0</v>
      </c>
    </row>
    <row r="9414" spans="1:18">
      <c r="A9414" s="905"/>
      <c r="B9414" s="952"/>
      <c r="C9414" s="907">
        <v>740</v>
      </c>
      <c r="D9414" s="907" t="s">
        <v>12</v>
      </c>
      <c r="E9414" s="992" t="s">
        <v>4008</v>
      </c>
      <c r="F9414" s="905" t="s">
        <v>2674</v>
      </c>
      <c r="G9414" s="1005"/>
      <c r="H9414" s="911">
        <v>2.5</v>
      </c>
      <c r="I9414" s="912"/>
      <c r="J9414" s="912"/>
      <c r="K9414" s="912">
        <f>VLOOKUP(E9414,[5]ĐMNC!$A$7:$F$67,4,0)</f>
        <v>221125</v>
      </c>
      <c r="L9414" s="912">
        <f>H9414*K9414</f>
        <v>552812.5</v>
      </c>
      <c r="M9414" s="912"/>
      <c r="N9414" s="912"/>
      <c r="O9414" s="892">
        <f t="shared" si="765"/>
        <v>0</v>
      </c>
      <c r="P9414" s="903">
        <f t="shared" si="766"/>
        <v>1</v>
      </c>
      <c r="Q9414" s="893">
        <f t="shared" si="767"/>
        <v>4</v>
      </c>
      <c r="R9414" s="894">
        <f t="shared" si="768"/>
        <v>0</v>
      </c>
    </row>
    <row r="9415" spans="1:18" s="847" customFormat="1">
      <c r="A9415" s="895"/>
      <c r="B9415" s="896"/>
      <c r="C9415" s="897"/>
      <c r="D9415" s="897"/>
      <c r="E9415" s="1002" t="s">
        <v>3914</v>
      </c>
      <c r="F9415" s="895"/>
      <c r="G9415" s="1004"/>
      <c r="H9415" s="901"/>
      <c r="I9415" s="902"/>
      <c r="J9415" s="902"/>
      <c r="K9415" s="912" t="s">
        <v>274</v>
      </c>
      <c r="L9415" s="902"/>
      <c r="M9415" s="902"/>
      <c r="N9415" s="902"/>
      <c r="O9415" s="892">
        <f t="shared" si="765"/>
        <v>0</v>
      </c>
      <c r="P9415" s="903">
        <f t="shared" si="766"/>
        <v>1</v>
      </c>
      <c r="Q9415" s="893">
        <f t="shared" si="767"/>
        <v>3</v>
      </c>
      <c r="R9415" s="894">
        <f t="shared" si="768"/>
        <v>0</v>
      </c>
    </row>
    <row r="9416" spans="1:18" s="904" customFormat="1">
      <c r="A9416" s="905"/>
      <c r="B9416" s="952" t="s">
        <v>6424</v>
      </c>
      <c r="C9416" s="907">
        <v>911</v>
      </c>
      <c r="D9416" s="907" t="s">
        <v>93</v>
      </c>
      <c r="E9416" s="992" t="s">
        <v>6425</v>
      </c>
      <c r="F9416" s="905" t="s">
        <v>2673</v>
      </c>
      <c r="G9416" s="1005"/>
      <c r="H9416" s="911">
        <v>0.43</v>
      </c>
      <c r="I9416" s="912"/>
      <c r="J9416" s="912"/>
      <c r="K9416" s="912"/>
      <c r="L9416" s="912"/>
      <c r="M9416" s="912">
        <f>VLOOKUP(B9416,MTC!$B$9:$S$933,12,0)</f>
        <v>0</v>
      </c>
      <c r="N9416" s="912">
        <f>M9416*H9416</f>
        <v>0</v>
      </c>
      <c r="O9416" s="892">
        <f t="shared" si="765"/>
        <v>0</v>
      </c>
      <c r="P9416" s="903">
        <f t="shared" si="766"/>
        <v>1</v>
      </c>
      <c r="Q9416" s="893">
        <f t="shared" si="767"/>
        <v>2</v>
      </c>
      <c r="R9416" s="894">
        <f t="shared" si="768"/>
        <v>0</v>
      </c>
    </row>
    <row r="9417" spans="1:18">
      <c r="A9417" s="905"/>
      <c r="B9417" s="952" t="s">
        <v>6414</v>
      </c>
      <c r="C9417" s="907">
        <v>914</v>
      </c>
      <c r="D9417" s="907" t="s">
        <v>93</v>
      </c>
      <c r="E9417" s="992" t="s">
        <v>6415</v>
      </c>
      <c r="F9417" s="905" t="s">
        <v>2673</v>
      </c>
      <c r="G9417" s="1005"/>
      <c r="H9417" s="911">
        <v>0.1</v>
      </c>
      <c r="I9417" s="912"/>
      <c r="J9417" s="912"/>
      <c r="K9417" s="912"/>
      <c r="L9417" s="912"/>
      <c r="M9417" s="912">
        <f>VLOOKUP(B9417,MTC!$B$9:$S$933,12,0)</f>
        <v>0</v>
      </c>
      <c r="N9417" s="912">
        <f>M9417*H9417</f>
        <v>0</v>
      </c>
      <c r="O9417" s="892">
        <f t="shared" si="765"/>
        <v>0</v>
      </c>
      <c r="P9417" s="903">
        <f t="shared" si="766"/>
        <v>1</v>
      </c>
      <c r="Q9417" s="893">
        <f t="shared" si="767"/>
        <v>1</v>
      </c>
      <c r="R9417" s="894">
        <f t="shared" si="768"/>
        <v>0</v>
      </c>
    </row>
    <row r="9418" spans="1:18" s="847" customFormat="1" ht="47.25">
      <c r="A9418" s="905">
        <v>72</v>
      </c>
      <c r="B9418" s="914" t="s">
        <v>6492</v>
      </c>
      <c r="C9418" s="915"/>
      <c r="D9418" s="915"/>
      <c r="E9418" s="1006" t="s">
        <v>6493</v>
      </c>
      <c r="F9418" s="1007" t="s">
        <v>136</v>
      </c>
      <c r="G9418" s="1008"/>
      <c r="H9418" s="919"/>
      <c r="I9418" s="920"/>
      <c r="J9418" s="962">
        <f>SUM(J9419:J9427)</f>
        <v>55500</v>
      </c>
      <c r="K9418" s="891" t="s">
        <v>274</v>
      </c>
      <c r="L9418" s="962">
        <f>SUM(L9419:L9427)</f>
        <v>707600</v>
      </c>
      <c r="M9418" s="962"/>
      <c r="N9418" s="962">
        <f>SUM(N9419:N9427)</f>
        <v>0</v>
      </c>
      <c r="O9418" s="892">
        <f t="shared" si="765"/>
        <v>1</v>
      </c>
      <c r="P9418" s="903">
        <f t="shared" si="766"/>
        <v>0</v>
      </c>
      <c r="Q9418" s="893">
        <f t="shared" si="767"/>
        <v>0</v>
      </c>
      <c r="R9418" s="894">
        <f t="shared" si="768"/>
        <v>9</v>
      </c>
    </row>
    <row r="9419" spans="1:18" s="904" customFormat="1">
      <c r="A9419" s="895"/>
      <c r="B9419" s="896"/>
      <c r="C9419" s="897"/>
      <c r="D9419" s="897"/>
      <c r="E9419" s="1002" t="s">
        <v>108</v>
      </c>
      <c r="F9419" s="895"/>
      <c r="G9419" s="1004"/>
      <c r="H9419" s="901"/>
      <c r="I9419" s="902"/>
      <c r="J9419" s="902"/>
      <c r="K9419" s="912" t="s">
        <v>274</v>
      </c>
      <c r="L9419" s="902"/>
      <c r="M9419" s="902"/>
      <c r="N9419" s="902"/>
      <c r="O9419" s="892">
        <f t="shared" si="765"/>
        <v>0</v>
      </c>
      <c r="P9419" s="903">
        <f t="shared" si="766"/>
        <v>1</v>
      </c>
      <c r="Q9419" s="893">
        <f t="shared" si="767"/>
        <v>9</v>
      </c>
      <c r="R9419" s="894">
        <f t="shared" si="768"/>
        <v>0</v>
      </c>
    </row>
    <row r="9420" spans="1:18">
      <c r="A9420" s="905"/>
      <c r="B9420" s="952"/>
      <c r="C9420" s="907">
        <v>315</v>
      </c>
      <c r="D9420" s="907" t="s">
        <v>279</v>
      </c>
      <c r="E9420" s="992" t="s">
        <v>6316</v>
      </c>
      <c r="F9420" s="905" t="s">
        <v>49</v>
      </c>
      <c r="G9420" s="1005"/>
      <c r="H9420" s="911">
        <v>0.5</v>
      </c>
      <c r="I9420" s="912">
        <f>VLOOKUP(E9420,[3]VLP!$B$7:$K$300,10,0)</f>
        <v>8000</v>
      </c>
      <c r="J9420" s="912">
        <f>I9420*H9420</f>
        <v>4000</v>
      </c>
      <c r="K9420" s="912" t="s">
        <v>274</v>
      </c>
      <c r="L9420" s="912"/>
      <c r="M9420" s="912"/>
      <c r="N9420" s="912"/>
      <c r="O9420" s="892">
        <f t="shared" si="765"/>
        <v>0</v>
      </c>
      <c r="P9420" s="903">
        <f t="shared" si="766"/>
        <v>1</v>
      </c>
      <c r="Q9420" s="893">
        <f t="shared" si="767"/>
        <v>8</v>
      </c>
      <c r="R9420" s="894">
        <f t="shared" si="768"/>
        <v>0</v>
      </c>
    </row>
    <row r="9421" spans="1:18" s="847" customFormat="1">
      <c r="A9421" s="905"/>
      <c r="B9421" s="952"/>
      <c r="C9421" s="907">
        <v>235</v>
      </c>
      <c r="D9421" s="907" t="s">
        <v>279</v>
      </c>
      <c r="E9421" s="992" t="s">
        <v>2682</v>
      </c>
      <c r="F9421" s="905" t="s">
        <v>45</v>
      </c>
      <c r="G9421" s="1005"/>
      <c r="H9421" s="911">
        <v>0.3</v>
      </c>
      <c r="I9421" s="912">
        <f>VLOOKUP(E9421,[3]VLP!$B$7:$K$300,10,0)</f>
        <v>5000</v>
      </c>
      <c r="J9421" s="912">
        <f>I9421*H9421</f>
        <v>1500</v>
      </c>
      <c r="K9421" s="912" t="s">
        <v>274</v>
      </c>
      <c r="L9421" s="912"/>
      <c r="M9421" s="912"/>
      <c r="N9421" s="912"/>
      <c r="O9421" s="892">
        <f t="shared" si="765"/>
        <v>0</v>
      </c>
      <c r="P9421" s="903">
        <f t="shared" si="766"/>
        <v>1</v>
      </c>
      <c r="Q9421" s="893">
        <f t="shared" si="767"/>
        <v>7</v>
      </c>
      <c r="R9421" s="894">
        <f t="shared" si="768"/>
        <v>0</v>
      </c>
    </row>
    <row r="9422" spans="1:18" s="904" customFormat="1">
      <c r="A9422" s="905"/>
      <c r="B9422" s="946"/>
      <c r="C9422" s="907">
        <v>699</v>
      </c>
      <c r="D9422" s="907" t="s">
        <v>279</v>
      </c>
      <c r="E9422" s="992" t="s">
        <v>4006</v>
      </c>
      <c r="F9422" s="905" t="s">
        <v>4007</v>
      </c>
      <c r="G9422" s="1005"/>
      <c r="H9422" s="911">
        <v>10</v>
      </c>
      <c r="I9422" s="912">
        <f>VLOOKUP(E9422,[3]VLP!$B$7:$K$300,10,0)</f>
        <v>5000</v>
      </c>
      <c r="J9422" s="912">
        <f>I9422*H9422</f>
        <v>50000</v>
      </c>
      <c r="K9422" s="912" t="s">
        <v>274</v>
      </c>
      <c r="L9422" s="912"/>
      <c r="M9422" s="912"/>
      <c r="N9422" s="912"/>
      <c r="O9422" s="892">
        <f t="shared" si="765"/>
        <v>0</v>
      </c>
      <c r="P9422" s="903">
        <f t="shared" si="766"/>
        <v>1</v>
      </c>
      <c r="Q9422" s="893">
        <f t="shared" si="767"/>
        <v>6</v>
      </c>
      <c r="R9422" s="894">
        <f t="shared" si="768"/>
        <v>0</v>
      </c>
    </row>
    <row r="9423" spans="1:18">
      <c r="A9423" s="895"/>
      <c r="B9423" s="896"/>
      <c r="C9423" s="897"/>
      <c r="D9423" s="897"/>
      <c r="E9423" s="1002" t="s">
        <v>276</v>
      </c>
      <c r="F9423" s="1003"/>
      <c r="G9423" s="1004"/>
      <c r="H9423" s="901"/>
      <c r="I9423" s="902"/>
      <c r="J9423" s="902"/>
      <c r="K9423" s="912" t="s">
        <v>274</v>
      </c>
      <c r="L9423" s="902"/>
      <c r="M9423" s="902"/>
      <c r="N9423" s="902"/>
      <c r="O9423" s="892">
        <f t="shared" si="765"/>
        <v>0</v>
      </c>
      <c r="P9423" s="903">
        <f t="shared" si="766"/>
        <v>1</v>
      </c>
      <c r="Q9423" s="893">
        <f t="shared" si="767"/>
        <v>5</v>
      </c>
      <c r="R9423" s="894">
        <f t="shared" si="768"/>
        <v>0</v>
      </c>
    </row>
    <row r="9424" spans="1:18" s="847" customFormat="1">
      <c r="A9424" s="905"/>
      <c r="B9424" s="952"/>
      <c r="C9424" s="907">
        <v>740</v>
      </c>
      <c r="D9424" s="907" t="s">
        <v>12</v>
      </c>
      <c r="E9424" s="992" t="s">
        <v>4008</v>
      </c>
      <c r="F9424" s="905" t="s">
        <v>2674</v>
      </c>
      <c r="G9424" s="1005"/>
      <c r="H9424" s="911">
        <v>3.2</v>
      </c>
      <c r="I9424" s="912"/>
      <c r="J9424" s="912"/>
      <c r="K9424" s="912">
        <f>VLOOKUP(E9424,[5]ĐMNC!$A$7:$F$67,4,0)</f>
        <v>221125</v>
      </c>
      <c r="L9424" s="912">
        <f>H9424*K9424</f>
        <v>707600</v>
      </c>
      <c r="M9424" s="912"/>
      <c r="N9424" s="912"/>
      <c r="O9424" s="892">
        <f t="shared" si="765"/>
        <v>0</v>
      </c>
      <c r="P9424" s="903">
        <f t="shared" si="766"/>
        <v>1</v>
      </c>
      <c r="Q9424" s="893">
        <f t="shared" si="767"/>
        <v>4</v>
      </c>
      <c r="R9424" s="894">
        <f t="shared" si="768"/>
        <v>0</v>
      </c>
    </row>
    <row r="9425" spans="1:18" s="904" customFormat="1">
      <c r="A9425" s="895"/>
      <c r="B9425" s="896"/>
      <c r="C9425" s="897"/>
      <c r="D9425" s="897"/>
      <c r="E9425" s="1002" t="s">
        <v>3914</v>
      </c>
      <c r="F9425" s="895"/>
      <c r="G9425" s="1004"/>
      <c r="H9425" s="901"/>
      <c r="I9425" s="902"/>
      <c r="J9425" s="902"/>
      <c r="K9425" s="912" t="s">
        <v>274</v>
      </c>
      <c r="L9425" s="902"/>
      <c r="M9425" s="902"/>
      <c r="N9425" s="902"/>
      <c r="O9425" s="892">
        <f t="shared" si="765"/>
        <v>0</v>
      </c>
      <c r="P9425" s="903">
        <f t="shared" si="766"/>
        <v>1</v>
      </c>
      <c r="Q9425" s="893">
        <f t="shared" si="767"/>
        <v>3</v>
      </c>
      <c r="R9425" s="894">
        <f t="shared" si="768"/>
        <v>0</v>
      </c>
    </row>
    <row r="9426" spans="1:18">
      <c r="A9426" s="905"/>
      <c r="B9426" s="952" t="s">
        <v>6424</v>
      </c>
      <c r="C9426" s="907">
        <v>911</v>
      </c>
      <c r="D9426" s="907" t="s">
        <v>93</v>
      </c>
      <c r="E9426" s="992" t="s">
        <v>6425</v>
      </c>
      <c r="F9426" s="905" t="s">
        <v>2673</v>
      </c>
      <c r="G9426" s="1005"/>
      <c r="H9426" s="911">
        <v>0.52</v>
      </c>
      <c r="I9426" s="912"/>
      <c r="J9426" s="912"/>
      <c r="K9426" s="912"/>
      <c r="L9426" s="912"/>
      <c r="M9426" s="912">
        <f>VLOOKUP(B9426,MTC!$B$9:$S$933,12,0)</f>
        <v>0</v>
      </c>
      <c r="N9426" s="912">
        <f>M9426*H9426</f>
        <v>0</v>
      </c>
      <c r="O9426" s="892">
        <f t="shared" si="765"/>
        <v>0</v>
      </c>
      <c r="P9426" s="903">
        <f t="shared" si="766"/>
        <v>1</v>
      </c>
      <c r="Q9426" s="893">
        <f t="shared" si="767"/>
        <v>2</v>
      </c>
      <c r="R9426" s="894">
        <f t="shared" si="768"/>
        <v>0</v>
      </c>
    </row>
    <row r="9427" spans="1:18" s="847" customFormat="1">
      <c r="A9427" s="905"/>
      <c r="B9427" s="952" t="s">
        <v>6414</v>
      </c>
      <c r="C9427" s="907">
        <v>914</v>
      </c>
      <c r="D9427" s="907" t="s">
        <v>93</v>
      </c>
      <c r="E9427" s="992" t="s">
        <v>6415</v>
      </c>
      <c r="F9427" s="905" t="s">
        <v>2673</v>
      </c>
      <c r="G9427" s="1005"/>
      <c r="H9427" s="911">
        <v>0.1</v>
      </c>
      <c r="I9427" s="912"/>
      <c r="J9427" s="912"/>
      <c r="K9427" s="912"/>
      <c r="L9427" s="912"/>
      <c r="M9427" s="912">
        <f>VLOOKUP(B9427,MTC!$B$9:$S$933,12,0)</f>
        <v>0</v>
      </c>
      <c r="N9427" s="912">
        <f>M9427*H9427</f>
        <v>0</v>
      </c>
      <c r="O9427" s="892">
        <f t="shared" si="765"/>
        <v>0</v>
      </c>
      <c r="P9427" s="903">
        <f t="shared" si="766"/>
        <v>1</v>
      </c>
      <c r="Q9427" s="893">
        <f t="shared" si="767"/>
        <v>1</v>
      </c>
      <c r="R9427" s="894">
        <f t="shared" si="768"/>
        <v>0</v>
      </c>
    </row>
    <row r="9428" spans="1:18" s="904" customFormat="1" ht="47.25">
      <c r="A9428" s="905">
        <v>73</v>
      </c>
      <c r="B9428" s="914" t="s">
        <v>6494</v>
      </c>
      <c r="C9428" s="915"/>
      <c r="D9428" s="915"/>
      <c r="E9428" s="1006" t="s">
        <v>6495</v>
      </c>
      <c r="F9428" s="1007" t="s">
        <v>136</v>
      </c>
      <c r="G9428" s="1008"/>
      <c r="H9428" s="919"/>
      <c r="I9428" s="920"/>
      <c r="J9428" s="962">
        <f>SUM(J9429:J9437)</f>
        <v>55500</v>
      </c>
      <c r="K9428" s="891" t="s">
        <v>274</v>
      </c>
      <c r="L9428" s="962">
        <f>SUM(L9429:L9437)</f>
        <v>884500</v>
      </c>
      <c r="M9428" s="962"/>
      <c r="N9428" s="962">
        <f>SUM(N9429:N9437)</f>
        <v>0</v>
      </c>
      <c r="O9428" s="892">
        <f t="shared" si="765"/>
        <v>1</v>
      </c>
      <c r="P9428" s="903">
        <f t="shared" si="766"/>
        <v>0</v>
      </c>
      <c r="Q9428" s="893">
        <f t="shared" si="767"/>
        <v>0</v>
      </c>
      <c r="R9428" s="894">
        <f t="shared" si="768"/>
        <v>9</v>
      </c>
    </row>
    <row r="9429" spans="1:18">
      <c r="A9429" s="895"/>
      <c r="B9429" s="896"/>
      <c r="C9429" s="897"/>
      <c r="D9429" s="897"/>
      <c r="E9429" s="1002" t="s">
        <v>108</v>
      </c>
      <c r="F9429" s="895"/>
      <c r="G9429" s="1004"/>
      <c r="H9429" s="901"/>
      <c r="I9429" s="902"/>
      <c r="J9429" s="902"/>
      <c r="K9429" s="912" t="s">
        <v>274</v>
      </c>
      <c r="L9429" s="902"/>
      <c r="M9429" s="902"/>
      <c r="N9429" s="902"/>
      <c r="O9429" s="892">
        <f t="shared" si="765"/>
        <v>0</v>
      </c>
      <c r="P9429" s="903">
        <f t="shared" si="766"/>
        <v>1</v>
      </c>
      <c r="Q9429" s="893">
        <f t="shared" si="767"/>
        <v>9</v>
      </c>
      <c r="R9429" s="894">
        <f t="shared" si="768"/>
        <v>0</v>
      </c>
    </row>
    <row r="9430" spans="1:18" s="847" customFormat="1">
      <c r="A9430" s="905"/>
      <c r="B9430" s="952"/>
      <c r="C9430" s="907">
        <v>315</v>
      </c>
      <c r="D9430" s="907" t="s">
        <v>279</v>
      </c>
      <c r="E9430" s="992" t="s">
        <v>6316</v>
      </c>
      <c r="F9430" s="905" t="s">
        <v>49</v>
      </c>
      <c r="G9430" s="1005"/>
      <c r="H9430" s="911">
        <v>0.5</v>
      </c>
      <c r="I9430" s="912">
        <f>VLOOKUP(E9430,[3]VLP!$B$7:$K$300,10,0)</f>
        <v>8000</v>
      </c>
      <c r="J9430" s="912">
        <f>I9430*H9430</f>
        <v>4000</v>
      </c>
      <c r="K9430" s="912" t="s">
        <v>274</v>
      </c>
      <c r="L9430" s="912"/>
      <c r="M9430" s="912"/>
      <c r="N9430" s="912"/>
      <c r="O9430" s="892">
        <f t="shared" si="765"/>
        <v>0</v>
      </c>
      <c r="P9430" s="903">
        <f t="shared" si="766"/>
        <v>1</v>
      </c>
      <c r="Q9430" s="893">
        <f t="shared" si="767"/>
        <v>8</v>
      </c>
      <c r="R9430" s="894">
        <f t="shared" si="768"/>
        <v>0</v>
      </c>
    </row>
    <row r="9431" spans="1:18" s="904" customFormat="1">
      <c r="A9431" s="905"/>
      <c r="B9431" s="952"/>
      <c r="C9431" s="907">
        <v>235</v>
      </c>
      <c r="D9431" s="907" t="s">
        <v>279</v>
      </c>
      <c r="E9431" s="992" t="s">
        <v>2682</v>
      </c>
      <c r="F9431" s="905" t="s">
        <v>45</v>
      </c>
      <c r="G9431" s="1005"/>
      <c r="H9431" s="911">
        <v>0.3</v>
      </c>
      <c r="I9431" s="912">
        <f>VLOOKUP(E9431,[3]VLP!$B$7:$K$300,10,0)</f>
        <v>5000</v>
      </c>
      <c r="J9431" s="912">
        <f>I9431*H9431</f>
        <v>1500</v>
      </c>
      <c r="K9431" s="912" t="s">
        <v>274</v>
      </c>
      <c r="L9431" s="912"/>
      <c r="M9431" s="912"/>
      <c r="N9431" s="912"/>
      <c r="O9431" s="892">
        <f t="shared" si="765"/>
        <v>0</v>
      </c>
      <c r="P9431" s="903">
        <f t="shared" si="766"/>
        <v>1</v>
      </c>
      <c r="Q9431" s="893">
        <f t="shared" si="767"/>
        <v>7</v>
      </c>
      <c r="R9431" s="894">
        <f t="shared" si="768"/>
        <v>0</v>
      </c>
    </row>
    <row r="9432" spans="1:18">
      <c r="A9432" s="905"/>
      <c r="B9432" s="952"/>
      <c r="C9432" s="907">
        <v>699</v>
      </c>
      <c r="D9432" s="907" t="s">
        <v>279</v>
      </c>
      <c r="E9432" s="992" t="s">
        <v>4006</v>
      </c>
      <c r="F9432" s="905" t="s">
        <v>4007</v>
      </c>
      <c r="G9432" s="1005"/>
      <c r="H9432" s="911">
        <v>10</v>
      </c>
      <c r="I9432" s="912">
        <f>VLOOKUP(E9432,[3]VLP!$B$7:$K$300,10,0)</f>
        <v>5000</v>
      </c>
      <c r="J9432" s="912">
        <f>I9432*H9432</f>
        <v>50000</v>
      </c>
      <c r="K9432" s="912" t="s">
        <v>274</v>
      </c>
      <c r="L9432" s="912"/>
      <c r="M9432" s="912"/>
      <c r="N9432" s="912"/>
      <c r="O9432" s="892">
        <f t="shared" si="765"/>
        <v>0</v>
      </c>
      <c r="P9432" s="903">
        <f t="shared" si="766"/>
        <v>1</v>
      </c>
      <c r="Q9432" s="893">
        <f t="shared" si="767"/>
        <v>6</v>
      </c>
      <c r="R9432" s="894">
        <f t="shared" si="768"/>
        <v>0</v>
      </c>
    </row>
    <row r="9433" spans="1:18" s="847" customFormat="1">
      <c r="A9433" s="895"/>
      <c r="B9433" s="896"/>
      <c r="C9433" s="897"/>
      <c r="D9433" s="897"/>
      <c r="E9433" s="1002" t="s">
        <v>276</v>
      </c>
      <c r="F9433" s="1003"/>
      <c r="G9433" s="1004"/>
      <c r="H9433" s="901"/>
      <c r="I9433" s="902"/>
      <c r="J9433" s="902"/>
      <c r="K9433" s="912" t="s">
        <v>274</v>
      </c>
      <c r="L9433" s="902"/>
      <c r="M9433" s="902"/>
      <c r="N9433" s="902"/>
      <c r="O9433" s="892">
        <f t="shared" si="765"/>
        <v>0</v>
      </c>
      <c r="P9433" s="903">
        <f t="shared" si="766"/>
        <v>1</v>
      </c>
      <c r="Q9433" s="893">
        <f t="shared" si="767"/>
        <v>5</v>
      </c>
      <c r="R9433" s="894">
        <f t="shared" si="768"/>
        <v>0</v>
      </c>
    </row>
    <row r="9434" spans="1:18" s="904" customFormat="1">
      <c r="A9434" s="905"/>
      <c r="B9434" s="952"/>
      <c r="C9434" s="907">
        <v>740</v>
      </c>
      <c r="D9434" s="907" t="s">
        <v>12</v>
      </c>
      <c r="E9434" s="992" t="s">
        <v>4008</v>
      </c>
      <c r="F9434" s="905" t="s">
        <v>2674</v>
      </c>
      <c r="G9434" s="1005"/>
      <c r="H9434" s="911">
        <v>4</v>
      </c>
      <c r="I9434" s="912"/>
      <c r="J9434" s="912"/>
      <c r="K9434" s="912">
        <f>VLOOKUP(E9434,[5]ĐMNC!$A$7:$F$67,4,0)</f>
        <v>221125</v>
      </c>
      <c r="L9434" s="912">
        <f>H9434*K9434</f>
        <v>884500</v>
      </c>
      <c r="M9434" s="912"/>
      <c r="N9434" s="912"/>
      <c r="O9434" s="892">
        <f t="shared" si="765"/>
        <v>0</v>
      </c>
      <c r="P9434" s="903">
        <f t="shared" si="766"/>
        <v>1</v>
      </c>
      <c r="Q9434" s="893">
        <f t="shared" si="767"/>
        <v>4</v>
      </c>
      <c r="R9434" s="894">
        <f t="shared" si="768"/>
        <v>0</v>
      </c>
    </row>
    <row r="9435" spans="1:18">
      <c r="A9435" s="895"/>
      <c r="B9435" s="896"/>
      <c r="C9435" s="897"/>
      <c r="D9435" s="897"/>
      <c r="E9435" s="1002" t="s">
        <v>3914</v>
      </c>
      <c r="F9435" s="895"/>
      <c r="G9435" s="1004"/>
      <c r="H9435" s="901"/>
      <c r="I9435" s="902"/>
      <c r="J9435" s="902"/>
      <c r="K9435" s="912" t="s">
        <v>274</v>
      </c>
      <c r="L9435" s="902"/>
      <c r="M9435" s="902"/>
      <c r="N9435" s="902"/>
      <c r="O9435" s="892">
        <f t="shared" si="765"/>
        <v>0</v>
      </c>
      <c r="P9435" s="903">
        <f t="shared" si="766"/>
        <v>1</v>
      </c>
      <c r="Q9435" s="893">
        <f t="shared" si="767"/>
        <v>3</v>
      </c>
      <c r="R9435" s="894">
        <f t="shared" si="768"/>
        <v>0</v>
      </c>
    </row>
    <row r="9436" spans="1:18" s="847" customFormat="1">
      <c r="A9436" s="905"/>
      <c r="B9436" s="952" t="s">
        <v>6424</v>
      </c>
      <c r="C9436" s="907">
        <v>911</v>
      </c>
      <c r="D9436" s="907" t="s">
        <v>93</v>
      </c>
      <c r="E9436" s="992" t="s">
        <v>6425</v>
      </c>
      <c r="F9436" s="905" t="s">
        <v>2673</v>
      </c>
      <c r="G9436" s="1005"/>
      <c r="H9436" s="911">
        <v>0.62</v>
      </c>
      <c r="I9436" s="912"/>
      <c r="J9436" s="912"/>
      <c r="K9436" s="912"/>
      <c r="L9436" s="912"/>
      <c r="M9436" s="912">
        <f>VLOOKUP(B9436,MTC!$B$9:$S$933,12,0)</f>
        <v>0</v>
      </c>
      <c r="N9436" s="912">
        <f>M9436*H9436</f>
        <v>0</v>
      </c>
      <c r="O9436" s="892">
        <f t="shared" si="765"/>
        <v>0</v>
      </c>
      <c r="P9436" s="903">
        <f t="shared" si="766"/>
        <v>1</v>
      </c>
      <c r="Q9436" s="893">
        <f t="shared" si="767"/>
        <v>2</v>
      </c>
      <c r="R9436" s="894">
        <f t="shared" si="768"/>
        <v>0</v>
      </c>
    </row>
    <row r="9437" spans="1:18" s="904" customFormat="1">
      <c r="A9437" s="905"/>
      <c r="B9437" s="952" t="s">
        <v>6414</v>
      </c>
      <c r="C9437" s="907">
        <v>914</v>
      </c>
      <c r="D9437" s="907" t="s">
        <v>93</v>
      </c>
      <c r="E9437" s="992" t="s">
        <v>6415</v>
      </c>
      <c r="F9437" s="905" t="s">
        <v>2673</v>
      </c>
      <c r="G9437" s="1005"/>
      <c r="H9437" s="911">
        <v>0.1</v>
      </c>
      <c r="I9437" s="912"/>
      <c r="J9437" s="912"/>
      <c r="K9437" s="912"/>
      <c r="L9437" s="912"/>
      <c r="M9437" s="912">
        <f>VLOOKUP(B9437,MTC!$B$9:$S$933,12,0)</f>
        <v>0</v>
      </c>
      <c r="N9437" s="912">
        <f>M9437*H9437</f>
        <v>0</v>
      </c>
      <c r="O9437" s="892">
        <f t="shared" si="765"/>
        <v>0</v>
      </c>
      <c r="P9437" s="903">
        <f t="shared" si="766"/>
        <v>1</v>
      </c>
      <c r="Q9437" s="893">
        <f t="shared" si="767"/>
        <v>1</v>
      </c>
      <c r="R9437" s="894">
        <f t="shared" si="768"/>
        <v>0</v>
      </c>
    </row>
    <row r="9438" spans="1:18" ht="47.25">
      <c r="A9438" s="905">
        <v>74</v>
      </c>
      <c r="B9438" s="914" t="s">
        <v>6496</v>
      </c>
      <c r="C9438" s="915"/>
      <c r="D9438" s="915"/>
      <c r="E9438" s="1006" t="s">
        <v>6497</v>
      </c>
      <c r="F9438" s="1007" t="s">
        <v>136</v>
      </c>
      <c r="G9438" s="1008"/>
      <c r="H9438" s="919"/>
      <c r="I9438" s="920"/>
      <c r="J9438" s="962">
        <f>SUM(J9439:J9447)</f>
        <v>55500</v>
      </c>
      <c r="K9438" s="891" t="s">
        <v>274</v>
      </c>
      <c r="L9438" s="962">
        <f>SUM(L9439:L9447)</f>
        <v>1039287.5</v>
      </c>
      <c r="M9438" s="962"/>
      <c r="N9438" s="962">
        <f>SUM(N9439:N9447)</f>
        <v>0</v>
      </c>
      <c r="O9438" s="892">
        <f t="shared" si="765"/>
        <v>1</v>
      </c>
      <c r="P9438" s="903">
        <f t="shared" si="766"/>
        <v>0</v>
      </c>
      <c r="Q9438" s="893">
        <f t="shared" si="767"/>
        <v>0</v>
      </c>
      <c r="R9438" s="894">
        <f t="shared" si="768"/>
        <v>9</v>
      </c>
    </row>
    <row r="9439" spans="1:18" s="847" customFormat="1">
      <c r="A9439" s="895"/>
      <c r="B9439" s="896"/>
      <c r="C9439" s="897"/>
      <c r="D9439" s="897"/>
      <c r="E9439" s="1002" t="s">
        <v>108</v>
      </c>
      <c r="F9439" s="895"/>
      <c r="G9439" s="1004"/>
      <c r="H9439" s="901"/>
      <c r="I9439" s="902"/>
      <c r="J9439" s="902"/>
      <c r="K9439" s="912" t="s">
        <v>274</v>
      </c>
      <c r="L9439" s="902"/>
      <c r="M9439" s="902"/>
      <c r="N9439" s="902"/>
      <c r="O9439" s="892">
        <f t="shared" ref="O9439:O9502" si="769">IF(AND(B9439&lt;&gt;"",D9439=""),1,0)</f>
        <v>0</v>
      </c>
      <c r="P9439" s="903">
        <f t="shared" si="766"/>
        <v>1</v>
      </c>
      <c r="Q9439" s="893">
        <f t="shared" si="767"/>
        <v>9</v>
      </c>
      <c r="R9439" s="894">
        <f t="shared" si="768"/>
        <v>0</v>
      </c>
    </row>
    <row r="9440" spans="1:18" s="904" customFormat="1">
      <c r="A9440" s="905"/>
      <c r="B9440" s="952"/>
      <c r="C9440" s="907">
        <v>315</v>
      </c>
      <c r="D9440" s="907" t="s">
        <v>279</v>
      </c>
      <c r="E9440" s="992" t="s">
        <v>6316</v>
      </c>
      <c r="F9440" s="905" t="s">
        <v>49</v>
      </c>
      <c r="G9440" s="1005"/>
      <c r="H9440" s="911">
        <v>0.5</v>
      </c>
      <c r="I9440" s="912">
        <f>VLOOKUP(E9440,[3]VLP!$B$7:$K$300,10,0)</f>
        <v>8000</v>
      </c>
      <c r="J9440" s="912">
        <f>I9440*H9440</f>
        <v>4000</v>
      </c>
      <c r="K9440" s="912" t="s">
        <v>274</v>
      </c>
      <c r="L9440" s="912"/>
      <c r="M9440" s="912"/>
      <c r="N9440" s="912"/>
      <c r="O9440" s="892">
        <f t="shared" si="769"/>
        <v>0</v>
      </c>
      <c r="P9440" s="903">
        <f t="shared" si="766"/>
        <v>1</v>
      </c>
      <c r="Q9440" s="893">
        <f t="shared" si="767"/>
        <v>8</v>
      </c>
      <c r="R9440" s="894">
        <f t="shared" si="768"/>
        <v>0</v>
      </c>
    </row>
    <row r="9441" spans="1:18">
      <c r="A9441" s="905"/>
      <c r="B9441" s="952"/>
      <c r="C9441" s="907">
        <v>235</v>
      </c>
      <c r="D9441" s="907" t="s">
        <v>279</v>
      </c>
      <c r="E9441" s="992" t="s">
        <v>2682</v>
      </c>
      <c r="F9441" s="905" t="s">
        <v>45</v>
      </c>
      <c r="G9441" s="1005"/>
      <c r="H9441" s="911">
        <v>0.3</v>
      </c>
      <c r="I9441" s="912">
        <f>VLOOKUP(E9441,[3]VLP!$B$7:$K$300,10,0)</f>
        <v>5000</v>
      </c>
      <c r="J9441" s="912">
        <f>I9441*H9441</f>
        <v>1500</v>
      </c>
      <c r="K9441" s="912" t="s">
        <v>274</v>
      </c>
      <c r="L9441" s="912"/>
      <c r="M9441" s="912"/>
      <c r="N9441" s="912"/>
      <c r="O9441" s="892">
        <f t="shared" si="769"/>
        <v>0</v>
      </c>
      <c r="P9441" s="903">
        <f t="shared" si="766"/>
        <v>1</v>
      </c>
      <c r="Q9441" s="893">
        <f t="shared" si="767"/>
        <v>7</v>
      </c>
      <c r="R9441" s="894">
        <f t="shared" si="768"/>
        <v>0</v>
      </c>
    </row>
    <row r="9442" spans="1:18" s="847" customFormat="1">
      <c r="A9442" s="905"/>
      <c r="B9442" s="952"/>
      <c r="C9442" s="907">
        <v>699</v>
      </c>
      <c r="D9442" s="907" t="s">
        <v>279</v>
      </c>
      <c r="E9442" s="992" t="s">
        <v>4006</v>
      </c>
      <c r="F9442" s="905" t="s">
        <v>4007</v>
      </c>
      <c r="G9442" s="1005"/>
      <c r="H9442" s="911">
        <v>10</v>
      </c>
      <c r="I9442" s="912">
        <f>VLOOKUP(E9442,[3]VLP!$B$7:$K$300,10,0)</f>
        <v>5000</v>
      </c>
      <c r="J9442" s="912">
        <f>I9442*H9442</f>
        <v>50000</v>
      </c>
      <c r="K9442" s="912" t="s">
        <v>274</v>
      </c>
      <c r="L9442" s="912"/>
      <c r="M9442" s="912"/>
      <c r="N9442" s="912"/>
      <c r="O9442" s="892">
        <f t="shared" si="769"/>
        <v>0</v>
      </c>
      <c r="P9442" s="903">
        <f t="shared" si="766"/>
        <v>1</v>
      </c>
      <c r="Q9442" s="893">
        <f t="shared" si="767"/>
        <v>6</v>
      </c>
      <c r="R9442" s="894">
        <f t="shared" si="768"/>
        <v>0</v>
      </c>
    </row>
    <row r="9443" spans="1:18" s="904" customFormat="1">
      <c r="A9443" s="895"/>
      <c r="B9443" s="896"/>
      <c r="C9443" s="897"/>
      <c r="D9443" s="897"/>
      <c r="E9443" s="1002" t="s">
        <v>276</v>
      </c>
      <c r="F9443" s="1003"/>
      <c r="G9443" s="1004"/>
      <c r="H9443" s="901"/>
      <c r="I9443" s="902"/>
      <c r="J9443" s="902"/>
      <c r="K9443" s="912" t="s">
        <v>274</v>
      </c>
      <c r="L9443" s="902"/>
      <c r="M9443" s="902"/>
      <c r="N9443" s="902"/>
      <c r="O9443" s="892">
        <f t="shared" si="769"/>
        <v>0</v>
      </c>
      <c r="P9443" s="903">
        <f t="shared" si="766"/>
        <v>1</v>
      </c>
      <c r="Q9443" s="893">
        <f t="shared" si="767"/>
        <v>5</v>
      </c>
      <c r="R9443" s="894">
        <f t="shared" si="768"/>
        <v>0</v>
      </c>
    </row>
    <row r="9444" spans="1:18">
      <c r="A9444" s="905"/>
      <c r="B9444" s="952"/>
      <c r="C9444" s="907">
        <v>740</v>
      </c>
      <c r="D9444" s="907" t="s">
        <v>12</v>
      </c>
      <c r="E9444" s="992" t="s">
        <v>4008</v>
      </c>
      <c r="F9444" s="905" t="s">
        <v>2674</v>
      </c>
      <c r="G9444" s="1005"/>
      <c r="H9444" s="911">
        <v>4.7</v>
      </c>
      <c r="I9444" s="912"/>
      <c r="J9444" s="912"/>
      <c r="K9444" s="912">
        <f>VLOOKUP(E9444,[5]ĐMNC!$A$7:$F$67,4,0)</f>
        <v>221125</v>
      </c>
      <c r="L9444" s="912">
        <f>H9444*K9444</f>
        <v>1039287.5</v>
      </c>
      <c r="M9444" s="912"/>
      <c r="N9444" s="912"/>
      <c r="O9444" s="892">
        <f t="shared" si="769"/>
        <v>0</v>
      </c>
      <c r="P9444" s="903">
        <f t="shared" si="766"/>
        <v>1</v>
      </c>
      <c r="Q9444" s="893">
        <f t="shared" si="767"/>
        <v>4</v>
      </c>
      <c r="R9444" s="894">
        <f t="shared" si="768"/>
        <v>0</v>
      </c>
    </row>
    <row r="9445" spans="1:18" s="847" customFormat="1">
      <c r="A9445" s="895"/>
      <c r="B9445" s="896"/>
      <c r="C9445" s="897"/>
      <c r="D9445" s="897"/>
      <c r="E9445" s="1002" t="s">
        <v>3914</v>
      </c>
      <c r="F9445" s="895"/>
      <c r="G9445" s="1004"/>
      <c r="H9445" s="901"/>
      <c r="I9445" s="902"/>
      <c r="J9445" s="902"/>
      <c r="K9445" s="912" t="s">
        <v>274</v>
      </c>
      <c r="L9445" s="902"/>
      <c r="M9445" s="902"/>
      <c r="N9445" s="902"/>
      <c r="O9445" s="892">
        <f t="shared" si="769"/>
        <v>0</v>
      </c>
      <c r="P9445" s="903">
        <f t="shared" si="766"/>
        <v>1</v>
      </c>
      <c r="Q9445" s="893">
        <f t="shared" si="767"/>
        <v>3</v>
      </c>
      <c r="R9445" s="894">
        <f t="shared" si="768"/>
        <v>0</v>
      </c>
    </row>
    <row r="9446" spans="1:18" s="904" customFormat="1">
      <c r="A9446" s="905"/>
      <c r="B9446" s="952" t="s">
        <v>6424</v>
      </c>
      <c r="C9446" s="907">
        <v>911</v>
      </c>
      <c r="D9446" s="907" t="s">
        <v>93</v>
      </c>
      <c r="E9446" s="992" t="s">
        <v>6425</v>
      </c>
      <c r="F9446" s="905" t="s">
        <v>2673</v>
      </c>
      <c r="G9446" s="1005"/>
      <c r="H9446" s="911">
        <v>0.75</v>
      </c>
      <c r="I9446" s="912"/>
      <c r="J9446" s="912"/>
      <c r="K9446" s="912"/>
      <c r="L9446" s="912"/>
      <c r="M9446" s="912">
        <f>VLOOKUP(B9446,MTC!$B$9:$S$933,12,0)</f>
        <v>0</v>
      </c>
      <c r="N9446" s="912">
        <f>M9446*H9446</f>
        <v>0</v>
      </c>
      <c r="O9446" s="892">
        <f t="shared" si="769"/>
        <v>0</v>
      </c>
      <c r="P9446" s="903">
        <f t="shared" si="766"/>
        <v>1</v>
      </c>
      <c r="Q9446" s="893">
        <f t="shared" si="767"/>
        <v>2</v>
      </c>
      <c r="R9446" s="894">
        <f t="shared" si="768"/>
        <v>0</v>
      </c>
    </row>
    <row r="9447" spans="1:18">
      <c r="A9447" s="905"/>
      <c r="B9447" s="952" t="s">
        <v>6414</v>
      </c>
      <c r="C9447" s="907">
        <v>914</v>
      </c>
      <c r="D9447" s="907" t="s">
        <v>93</v>
      </c>
      <c r="E9447" s="992" t="s">
        <v>6415</v>
      </c>
      <c r="F9447" s="905" t="s">
        <v>2673</v>
      </c>
      <c r="G9447" s="1005"/>
      <c r="H9447" s="911">
        <v>0.1</v>
      </c>
      <c r="I9447" s="912"/>
      <c r="J9447" s="912"/>
      <c r="K9447" s="912"/>
      <c r="L9447" s="912"/>
      <c r="M9447" s="912">
        <f>VLOOKUP(B9447,MTC!$B$9:$S$933,12,0)</f>
        <v>0</v>
      </c>
      <c r="N9447" s="912">
        <f>M9447*H9447</f>
        <v>0</v>
      </c>
      <c r="O9447" s="892">
        <f t="shared" si="769"/>
        <v>0</v>
      </c>
      <c r="P9447" s="903">
        <f t="shared" si="766"/>
        <v>1</v>
      </c>
      <c r="Q9447" s="893">
        <f t="shared" si="767"/>
        <v>1</v>
      </c>
      <c r="R9447" s="894">
        <f t="shared" si="768"/>
        <v>0</v>
      </c>
    </row>
    <row r="9448" spans="1:18" s="847" customFormat="1" ht="47.25">
      <c r="A9448" s="905" t="s">
        <v>6473</v>
      </c>
      <c r="B9448" s="914" t="s">
        <v>6498</v>
      </c>
      <c r="C9448" s="915"/>
      <c r="D9448" s="915"/>
      <c r="E9448" s="1006" t="s">
        <v>6499</v>
      </c>
      <c r="F9448" s="1007" t="s">
        <v>136</v>
      </c>
      <c r="G9448" s="1008"/>
      <c r="H9448" s="919"/>
      <c r="I9448" s="920"/>
      <c r="J9448" s="962">
        <f>SUM(J9449:J9457)</f>
        <v>55500</v>
      </c>
      <c r="K9448" s="891" t="s">
        <v>274</v>
      </c>
      <c r="L9448" s="962">
        <f>SUM(L9449:L9457)</f>
        <v>331687.5</v>
      </c>
      <c r="M9448" s="962"/>
      <c r="N9448" s="962">
        <f>SUM(N9449:N9457)</f>
        <v>0</v>
      </c>
      <c r="O9448" s="892">
        <f t="shared" si="769"/>
        <v>1</v>
      </c>
      <c r="P9448" s="903">
        <f t="shared" si="766"/>
        <v>0</v>
      </c>
      <c r="Q9448" s="893">
        <f t="shared" si="767"/>
        <v>0</v>
      </c>
      <c r="R9448" s="894">
        <f t="shared" si="768"/>
        <v>9</v>
      </c>
    </row>
    <row r="9449" spans="1:18" s="904" customFormat="1">
      <c r="A9449" s="895"/>
      <c r="B9449" s="896"/>
      <c r="C9449" s="897"/>
      <c r="D9449" s="897"/>
      <c r="E9449" s="1002" t="s">
        <v>108</v>
      </c>
      <c r="F9449" s="895"/>
      <c r="G9449" s="1004"/>
      <c r="H9449" s="901"/>
      <c r="I9449" s="902"/>
      <c r="J9449" s="902"/>
      <c r="K9449" s="912" t="s">
        <v>274</v>
      </c>
      <c r="L9449" s="902"/>
      <c r="M9449" s="902"/>
      <c r="N9449" s="902"/>
      <c r="O9449" s="892">
        <f t="shared" si="769"/>
        <v>0</v>
      </c>
      <c r="P9449" s="903">
        <f t="shared" si="766"/>
        <v>1</v>
      </c>
      <c r="Q9449" s="893">
        <f t="shared" si="767"/>
        <v>9</v>
      </c>
      <c r="R9449" s="894">
        <f t="shared" si="768"/>
        <v>0</v>
      </c>
    </row>
    <row r="9450" spans="1:18">
      <c r="A9450" s="905"/>
      <c r="B9450" s="952"/>
      <c r="C9450" s="907">
        <v>315</v>
      </c>
      <c r="D9450" s="907" t="s">
        <v>279</v>
      </c>
      <c r="E9450" s="992" t="s">
        <v>6316</v>
      </c>
      <c r="F9450" s="905" t="s">
        <v>49</v>
      </c>
      <c r="G9450" s="1005"/>
      <c r="H9450" s="911">
        <v>0.5</v>
      </c>
      <c r="I9450" s="912">
        <f>VLOOKUP(E9450,[3]VLP!$B$7:$K$300,10,0)</f>
        <v>8000</v>
      </c>
      <c r="J9450" s="912">
        <f>I9450*H9450</f>
        <v>4000</v>
      </c>
      <c r="K9450" s="912" t="s">
        <v>274</v>
      </c>
      <c r="L9450" s="912"/>
      <c r="M9450" s="912"/>
      <c r="N9450" s="912"/>
      <c r="O9450" s="892">
        <f t="shared" si="769"/>
        <v>0</v>
      </c>
      <c r="P9450" s="903">
        <f t="shared" si="766"/>
        <v>1</v>
      </c>
      <c r="Q9450" s="893">
        <f t="shared" si="767"/>
        <v>8</v>
      </c>
      <c r="R9450" s="894">
        <f t="shared" si="768"/>
        <v>0</v>
      </c>
    </row>
    <row r="9451" spans="1:18" s="847" customFormat="1">
      <c r="A9451" s="905"/>
      <c r="B9451" s="952"/>
      <c r="C9451" s="907">
        <v>235</v>
      </c>
      <c r="D9451" s="907" t="s">
        <v>279</v>
      </c>
      <c r="E9451" s="992" t="s">
        <v>2682</v>
      </c>
      <c r="F9451" s="905" t="s">
        <v>45</v>
      </c>
      <c r="G9451" s="1005"/>
      <c r="H9451" s="911">
        <v>0.3</v>
      </c>
      <c r="I9451" s="912">
        <f>VLOOKUP(E9451,[3]VLP!$B$7:$K$300,10,0)</f>
        <v>5000</v>
      </c>
      <c r="J9451" s="912">
        <f>I9451*H9451</f>
        <v>1500</v>
      </c>
      <c r="K9451" s="912" t="s">
        <v>274</v>
      </c>
      <c r="L9451" s="912"/>
      <c r="M9451" s="912"/>
      <c r="N9451" s="912"/>
      <c r="O9451" s="892">
        <f t="shared" si="769"/>
        <v>0</v>
      </c>
      <c r="P9451" s="903">
        <f t="shared" si="766"/>
        <v>1</v>
      </c>
      <c r="Q9451" s="893">
        <f t="shared" si="767"/>
        <v>7</v>
      </c>
      <c r="R9451" s="894">
        <f t="shared" si="768"/>
        <v>0</v>
      </c>
    </row>
    <row r="9452" spans="1:18" s="904" customFormat="1">
      <c r="A9452" s="905"/>
      <c r="B9452" s="952"/>
      <c r="C9452" s="907">
        <v>699</v>
      </c>
      <c r="D9452" s="907" t="s">
        <v>279</v>
      </c>
      <c r="E9452" s="992" t="s">
        <v>4006</v>
      </c>
      <c r="F9452" s="905" t="s">
        <v>4007</v>
      </c>
      <c r="G9452" s="1005"/>
      <c r="H9452" s="911">
        <v>10</v>
      </c>
      <c r="I9452" s="912">
        <f>VLOOKUP(E9452,[3]VLP!$B$7:$K$300,10,0)</f>
        <v>5000</v>
      </c>
      <c r="J9452" s="912">
        <f>I9452*H9452</f>
        <v>50000</v>
      </c>
      <c r="K9452" s="912" t="s">
        <v>274</v>
      </c>
      <c r="L9452" s="912"/>
      <c r="M9452" s="912"/>
      <c r="N9452" s="912"/>
      <c r="O9452" s="892">
        <f t="shared" si="769"/>
        <v>0</v>
      </c>
      <c r="P9452" s="903">
        <f t="shared" si="766"/>
        <v>1</v>
      </c>
      <c r="Q9452" s="893">
        <f t="shared" si="767"/>
        <v>6</v>
      </c>
      <c r="R9452" s="894">
        <f t="shared" si="768"/>
        <v>0</v>
      </c>
    </row>
    <row r="9453" spans="1:18">
      <c r="A9453" s="895"/>
      <c r="B9453" s="896"/>
      <c r="C9453" s="897"/>
      <c r="D9453" s="897"/>
      <c r="E9453" s="1002" t="s">
        <v>276</v>
      </c>
      <c r="F9453" s="1003"/>
      <c r="G9453" s="1004"/>
      <c r="H9453" s="901"/>
      <c r="I9453" s="902"/>
      <c r="J9453" s="902"/>
      <c r="K9453" s="912" t="s">
        <v>274</v>
      </c>
      <c r="L9453" s="902"/>
      <c r="M9453" s="902"/>
      <c r="N9453" s="902"/>
      <c r="O9453" s="892">
        <f t="shared" si="769"/>
        <v>0</v>
      </c>
      <c r="P9453" s="903">
        <f t="shared" si="766"/>
        <v>1</v>
      </c>
      <c r="Q9453" s="893">
        <f t="shared" si="767"/>
        <v>5</v>
      </c>
      <c r="R9453" s="894">
        <f t="shared" si="768"/>
        <v>0</v>
      </c>
    </row>
    <row r="9454" spans="1:18" s="847" customFormat="1">
      <c r="A9454" s="905"/>
      <c r="B9454" s="952"/>
      <c r="C9454" s="907">
        <v>740</v>
      </c>
      <c r="D9454" s="907" t="s">
        <v>12</v>
      </c>
      <c r="E9454" s="992" t="s">
        <v>4008</v>
      </c>
      <c r="F9454" s="905" t="s">
        <v>2674</v>
      </c>
      <c r="G9454" s="1005"/>
      <c r="H9454" s="911">
        <v>1.5</v>
      </c>
      <c r="I9454" s="912"/>
      <c r="J9454" s="912"/>
      <c r="K9454" s="912">
        <f>VLOOKUP(E9454,[5]ĐMNC!$A$7:$F$67,4,0)</f>
        <v>221125</v>
      </c>
      <c r="L9454" s="912">
        <f>H9454*K9454</f>
        <v>331687.5</v>
      </c>
      <c r="M9454" s="912"/>
      <c r="N9454" s="912"/>
      <c r="O9454" s="892">
        <f t="shared" si="769"/>
        <v>0</v>
      </c>
      <c r="P9454" s="903">
        <f t="shared" si="766"/>
        <v>1</v>
      </c>
      <c r="Q9454" s="893">
        <f t="shared" si="767"/>
        <v>4</v>
      </c>
      <c r="R9454" s="894">
        <f t="shared" si="768"/>
        <v>0</v>
      </c>
    </row>
    <row r="9455" spans="1:18" s="904" customFormat="1">
      <c r="A9455" s="895"/>
      <c r="B9455" s="896"/>
      <c r="C9455" s="897"/>
      <c r="D9455" s="897"/>
      <c r="E9455" s="1002" t="s">
        <v>3914</v>
      </c>
      <c r="F9455" s="895"/>
      <c r="G9455" s="1004"/>
      <c r="H9455" s="901"/>
      <c r="I9455" s="902"/>
      <c r="J9455" s="902"/>
      <c r="K9455" s="912" t="s">
        <v>274</v>
      </c>
      <c r="L9455" s="902"/>
      <c r="M9455" s="902"/>
      <c r="N9455" s="902"/>
      <c r="O9455" s="892">
        <f t="shared" si="769"/>
        <v>0</v>
      </c>
      <c r="P9455" s="903">
        <f t="shared" si="766"/>
        <v>1</v>
      </c>
      <c r="Q9455" s="893">
        <f t="shared" si="767"/>
        <v>3</v>
      </c>
      <c r="R9455" s="894">
        <f t="shared" si="768"/>
        <v>0</v>
      </c>
    </row>
    <row r="9456" spans="1:18">
      <c r="A9456" s="905"/>
      <c r="B9456" s="952" t="s">
        <v>6434</v>
      </c>
      <c r="C9456" s="907">
        <v>912</v>
      </c>
      <c r="D9456" s="907" t="s">
        <v>93</v>
      </c>
      <c r="E9456" s="992" t="s">
        <v>6435</v>
      </c>
      <c r="F9456" s="905" t="s">
        <v>2673</v>
      </c>
      <c r="G9456" s="1005"/>
      <c r="H9456" s="911">
        <v>0.17399999999999999</v>
      </c>
      <c r="I9456" s="912"/>
      <c r="J9456" s="912"/>
      <c r="K9456" s="912"/>
      <c r="L9456" s="912"/>
      <c r="M9456" s="912">
        <f>VLOOKUP(B9456,MTC!$B$9:$S$933,12,0)</f>
        <v>0</v>
      </c>
      <c r="N9456" s="912">
        <f>M9456*H9456</f>
        <v>0</v>
      </c>
      <c r="O9456" s="892">
        <f t="shared" si="769"/>
        <v>0</v>
      </c>
      <c r="P9456" s="903">
        <f t="shared" si="766"/>
        <v>1</v>
      </c>
      <c r="Q9456" s="893">
        <f t="shared" si="767"/>
        <v>2</v>
      </c>
      <c r="R9456" s="894">
        <f t="shared" si="768"/>
        <v>0</v>
      </c>
    </row>
    <row r="9457" spans="1:18" s="847" customFormat="1">
      <c r="A9457" s="905"/>
      <c r="B9457" s="952" t="s">
        <v>6414</v>
      </c>
      <c r="C9457" s="907">
        <v>914</v>
      </c>
      <c r="D9457" s="907" t="s">
        <v>93</v>
      </c>
      <c r="E9457" s="992" t="s">
        <v>6415</v>
      </c>
      <c r="F9457" s="905" t="s">
        <v>2673</v>
      </c>
      <c r="G9457" s="1005"/>
      <c r="H9457" s="911">
        <v>0.1</v>
      </c>
      <c r="I9457" s="912"/>
      <c r="J9457" s="912"/>
      <c r="K9457" s="912"/>
      <c r="L9457" s="912"/>
      <c r="M9457" s="912">
        <f>VLOOKUP(B9457,MTC!$B$9:$S$933,12,0)</f>
        <v>0</v>
      </c>
      <c r="N9457" s="912">
        <f>M9457*H9457</f>
        <v>0</v>
      </c>
      <c r="O9457" s="892">
        <f t="shared" si="769"/>
        <v>0</v>
      </c>
      <c r="P9457" s="903">
        <f t="shared" si="766"/>
        <v>1</v>
      </c>
      <c r="Q9457" s="893">
        <f t="shared" si="767"/>
        <v>1</v>
      </c>
      <c r="R9457" s="894">
        <f t="shared" si="768"/>
        <v>0</v>
      </c>
    </row>
    <row r="9458" spans="1:18" s="904" customFormat="1" ht="47.25">
      <c r="A9458" s="905">
        <v>76</v>
      </c>
      <c r="B9458" s="914" t="s">
        <v>6500</v>
      </c>
      <c r="C9458" s="915"/>
      <c r="D9458" s="915"/>
      <c r="E9458" s="1006" t="s">
        <v>6501</v>
      </c>
      <c r="F9458" s="1007" t="s">
        <v>136</v>
      </c>
      <c r="G9458" s="1008"/>
      <c r="H9458" s="919"/>
      <c r="I9458" s="920"/>
      <c r="J9458" s="962">
        <f>SUM(J9459:J9467)</f>
        <v>55500</v>
      </c>
      <c r="K9458" s="891" t="s">
        <v>274</v>
      </c>
      <c r="L9458" s="962">
        <f>SUM(L9459:L9467)</f>
        <v>442250</v>
      </c>
      <c r="M9458" s="962"/>
      <c r="N9458" s="962">
        <f>SUM(N9459:N9467)</f>
        <v>0</v>
      </c>
      <c r="O9458" s="892">
        <f t="shared" si="769"/>
        <v>1</v>
      </c>
      <c r="P9458" s="903">
        <f t="shared" si="766"/>
        <v>0</v>
      </c>
      <c r="Q9458" s="893">
        <f t="shared" si="767"/>
        <v>0</v>
      </c>
      <c r="R9458" s="894">
        <f t="shared" si="768"/>
        <v>9</v>
      </c>
    </row>
    <row r="9459" spans="1:18">
      <c r="A9459" s="895"/>
      <c r="B9459" s="896"/>
      <c r="C9459" s="897"/>
      <c r="D9459" s="897"/>
      <c r="E9459" s="1002" t="s">
        <v>108</v>
      </c>
      <c r="F9459" s="895"/>
      <c r="G9459" s="1004"/>
      <c r="H9459" s="901"/>
      <c r="I9459" s="902"/>
      <c r="J9459" s="902"/>
      <c r="K9459" s="912" t="s">
        <v>274</v>
      </c>
      <c r="L9459" s="902"/>
      <c r="M9459" s="902"/>
      <c r="N9459" s="902"/>
      <c r="O9459" s="892">
        <f t="shared" si="769"/>
        <v>0</v>
      </c>
      <c r="P9459" s="903">
        <f t="shared" ref="P9459:P9522" si="770">IF(O9459=0,1,0)</f>
        <v>1</v>
      </c>
      <c r="Q9459" s="893">
        <f t="shared" ref="Q9459:Q9522" si="771">IF(P9459=0,0,P9459+Q9460)</f>
        <v>9</v>
      </c>
      <c r="R9459" s="894">
        <f t="shared" ref="R9459:R9522" si="772">IF(Q9459=0,Q9460,0)</f>
        <v>0</v>
      </c>
    </row>
    <row r="9460" spans="1:18" s="847" customFormat="1">
      <c r="A9460" s="905"/>
      <c r="B9460" s="952"/>
      <c r="C9460" s="907">
        <v>315</v>
      </c>
      <c r="D9460" s="907" t="s">
        <v>279</v>
      </c>
      <c r="E9460" s="992" t="s">
        <v>6316</v>
      </c>
      <c r="F9460" s="905" t="s">
        <v>49</v>
      </c>
      <c r="G9460" s="1005"/>
      <c r="H9460" s="911">
        <v>0.5</v>
      </c>
      <c r="I9460" s="912">
        <f>VLOOKUP(E9460,[3]VLP!$B$7:$K$300,10,0)</f>
        <v>8000</v>
      </c>
      <c r="J9460" s="912">
        <f>I9460*H9460</f>
        <v>4000</v>
      </c>
      <c r="K9460" s="912" t="s">
        <v>274</v>
      </c>
      <c r="L9460" s="912"/>
      <c r="M9460" s="912"/>
      <c r="N9460" s="912"/>
      <c r="O9460" s="892">
        <f t="shared" si="769"/>
        <v>0</v>
      </c>
      <c r="P9460" s="903">
        <f t="shared" si="770"/>
        <v>1</v>
      </c>
      <c r="Q9460" s="893">
        <f t="shared" si="771"/>
        <v>8</v>
      </c>
      <c r="R9460" s="894">
        <f t="shared" si="772"/>
        <v>0</v>
      </c>
    </row>
    <row r="9461" spans="1:18" s="904" customFormat="1">
      <c r="A9461" s="905"/>
      <c r="B9461" s="952"/>
      <c r="C9461" s="907">
        <v>235</v>
      </c>
      <c r="D9461" s="907" t="s">
        <v>279</v>
      </c>
      <c r="E9461" s="992" t="s">
        <v>2682</v>
      </c>
      <c r="F9461" s="905" t="s">
        <v>45</v>
      </c>
      <c r="G9461" s="1005"/>
      <c r="H9461" s="911">
        <v>0.3</v>
      </c>
      <c r="I9461" s="912">
        <f>VLOOKUP(E9461,[3]VLP!$B$7:$K$300,10,0)</f>
        <v>5000</v>
      </c>
      <c r="J9461" s="912">
        <f>I9461*H9461</f>
        <v>1500</v>
      </c>
      <c r="K9461" s="912" t="s">
        <v>274</v>
      </c>
      <c r="L9461" s="912"/>
      <c r="M9461" s="912"/>
      <c r="N9461" s="912"/>
      <c r="O9461" s="892">
        <f t="shared" si="769"/>
        <v>0</v>
      </c>
      <c r="P9461" s="903">
        <f t="shared" si="770"/>
        <v>1</v>
      </c>
      <c r="Q9461" s="893">
        <f t="shared" si="771"/>
        <v>7</v>
      </c>
      <c r="R9461" s="894">
        <f t="shared" si="772"/>
        <v>0</v>
      </c>
    </row>
    <row r="9462" spans="1:18">
      <c r="A9462" s="905"/>
      <c r="B9462" s="952"/>
      <c r="C9462" s="907">
        <v>699</v>
      </c>
      <c r="D9462" s="907" t="s">
        <v>279</v>
      </c>
      <c r="E9462" s="992" t="s">
        <v>4006</v>
      </c>
      <c r="F9462" s="905" t="s">
        <v>4007</v>
      </c>
      <c r="G9462" s="1005"/>
      <c r="H9462" s="911">
        <v>10</v>
      </c>
      <c r="I9462" s="912">
        <f>VLOOKUP(E9462,[3]VLP!$B$7:$K$300,10,0)</f>
        <v>5000</v>
      </c>
      <c r="J9462" s="912">
        <f>I9462*H9462</f>
        <v>50000</v>
      </c>
      <c r="K9462" s="912" t="s">
        <v>274</v>
      </c>
      <c r="L9462" s="912"/>
      <c r="M9462" s="912"/>
      <c r="N9462" s="912"/>
      <c r="O9462" s="892">
        <f t="shared" si="769"/>
        <v>0</v>
      </c>
      <c r="P9462" s="903">
        <f t="shared" si="770"/>
        <v>1</v>
      </c>
      <c r="Q9462" s="893">
        <f t="shared" si="771"/>
        <v>6</v>
      </c>
      <c r="R9462" s="894">
        <f t="shared" si="772"/>
        <v>0</v>
      </c>
    </row>
    <row r="9463" spans="1:18" s="847" customFormat="1">
      <c r="A9463" s="895"/>
      <c r="B9463" s="896"/>
      <c r="C9463" s="897"/>
      <c r="D9463" s="897"/>
      <c r="E9463" s="1002" t="s">
        <v>276</v>
      </c>
      <c r="F9463" s="1003"/>
      <c r="G9463" s="1004"/>
      <c r="H9463" s="901"/>
      <c r="I9463" s="902"/>
      <c r="J9463" s="902"/>
      <c r="K9463" s="912" t="s">
        <v>274</v>
      </c>
      <c r="L9463" s="902"/>
      <c r="M9463" s="902"/>
      <c r="N9463" s="902"/>
      <c r="O9463" s="892">
        <f t="shared" si="769"/>
        <v>0</v>
      </c>
      <c r="P9463" s="903">
        <f t="shared" si="770"/>
        <v>1</v>
      </c>
      <c r="Q9463" s="893">
        <f t="shared" si="771"/>
        <v>5</v>
      </c>
      <c r="R9463" s="894">
        <f t="shared" si="772"/>
        <v>0</v>
      </c>
    </row>
    <row r="9464" spans="1:18" s="904" customFormat="1">
      <c r="A9464" s="905"/>
      <c r="B9464" s="952"/>
      <c r="C9464" s="907">
        <v>740</v>
      </c>
      <c r="D9464" s="907" t="s">
        <v>12</v>
      </c>
      <c r="E9464" s="992" t="s">
        <v>4008</v>
      </c>
      <c r="F9464" s="905" t="s">
        <v>2674</v>
      </c>
      <c r="G9464" s="1005"/>
      <c r="H9464" s="911">
        <v>2</v>
      </c>
      <c r="I9464" s="912"/>
      <c r="J9464" s="912"/>
      <c r="K9464" s="912">
        <f>VLOOKUP(E9464,[5]ĐMNC!$A$7:$F$67,4,0)</f>
        <v>221125</v>
      </c>
      <c r="L9464" s="912">
        <f>H9464*K9464</f>
        <v>442250</v>
      </c>
      <c r="M9464" s="912"/>
      <c r="N9464" s="912"/>
      <c r="O9464" s="892">
        <f t="shared" si="769"/>
        <v>0</v>
      </c>
      <c r="P9464" s="903">
        <f t="shared" si="770"/>
        <v>1</v>
      </c>
      <c r="Q9464" s="893">
        <f t="shared" si="771"/>
        <v>4</v>
      </c>
      <c r="R9464" s="894">
        <f t="shared" si="772"/>
        <v>0</v>
      </c>
    </row>
    <row r="9465" spans="1:18">
      <c r="A9465" s="895"/>
      <c r="B9465" s="896"/>
      <c r="C9465" s="897"/>
      <c r="D9465" s="897"/>
      <c r="E9465" s="1002" t="s">
        <v>3914</v>
      </c>
      <c r="F9465" s="895"/>
      <c r="G9465" s="1004"/>
      <c r="H9465" s="901"/>
      <c r="I9465" s="902"/>
      <c r="J9465" s="902"/>
      <c r="K9465" s="912" t="s">
        <v>274</v>
      </c>
      <c r="L9465" s="902"/>
      <c r="M9465" s="902"/>
      <c r="N9465" s="902"/>
      <c r="O9465" s="892">
        <f t="shared" si="769"/>
        <v>0</v>
      </c>
      <c r="P9465" s="903">
        <f t="shared" si="770"/>
        <v>1</v>
      </c>
      <c r="Q9465" s="893">
        <f t="shared" si="771"/>
        <v>3</v>
      </c>
      <c r="R9465" s="894">
        <f t="shared" si="772"/>
        <v>0</v>
      </c>
    </row>
    <row r="9466" spans="1:18" s="847" customFormat="1">
      <c r="A9466" s="905"/>
      <c r="B9466" s="952" t="s">
        <v>6434</v>
      </c>
      <c r="C9466" s="907">
        <v>912</v>
      </c>
      <c r="D9466" s="907" t="s">
        <v>93</v>
      </c>
      <c r="E9466" s="992" t="s">
        <v>6435</v>
      </c>
      <c r="F9466" s="905" t="s">
        <v>2673</v>
      </c>
      <c r="G9466" s="1005"/>
      <c r="H9466" s="911">
        <v>0.218</v>
      </c>
      <c r="I9466" s="912"/>
      <c r="J9466" s="912"/>
      <c r="K9466" s="912"/>
      <c r="L9466" s="912"/>
      <c r="M9466" s="912">
        <f>VLOOKUP(B9466,MTC!$B$9:$S$933,12,0)</f>
        <v>0</v>
      </c>
      <c r="N9466" s="912">
        <f>M9466*H9466</f>
        <v>0</v>
      </c>
      <c r="O9466" s="892">
        <f t="shared" si="769"/>
        <v>0</v>
      </c>
      <c r="P9466" s="903">
        <f t="shared" si="770"/>
        <v>1</v>
      </c>
      <c r="Q9466" s="893">
        <f t="shared" si="771"/>
        <v>2</v>
      </c>
      <c r="R9466" s="894">
        <f t="shared" si="772"/>
        <v>0</v>
      </c>
    </row>
    <row r="9467" spans="1:18" s="904" customFormat="1">
      <c r="A9467" s="905"/>
      <c r="B9467" s="952" t="s">
        <v>6414</v>
      </c>
      <c r="C9467" s="907">
        <v>914</v>
      </c>
      <c r="D9467" s="907" t="s">
        <v>93</v>
      </c>
      <c r="E9467" s="992" t="s">
        <v>6415</v>
      </c>
      <c r="F9467" s="905" t="s">
        <v>2673</v>
      </c>
      <c r="G9467" s="1005"/>
      <c r="H9467" s="911">
        <v>0.1</v>
      </c>
      <c r="I9467" s="912"/>
      <c r="J9467" s="912"/>
      <c r="K9467" s="912"/>
      <c r="L9467" s="912"/>
      <c r="M9467" s="912">
        <f>VLOOKUP(B9467,MTC!$B$9:$S$933,12,0)</f>
        <v>0</v>
      </c>
      <c r="N9467" s="912">
        <f>M9467*H9467</f>
        <v>0</v>
      </c>
      <c r="O9467" s="892">
        <f t="shared" si="769"/>
        <v>0</v>
      </c>
      <c r="P9467" s="903">
        <f t="shared" si="770"/>
        <v>1</v>
      </c>
      <c r="Q9467" s="893">
        <f t="shared" si="771"/>
        <v>1</v>
      </c>
      <c r="R9467" s="894">
        <f t="shared" si="772"/>
        <v>0</v>
      </c>
    </row>
    <row r="9468" spans="1:18" ht="47.25">
      <c r="A9468" s="905">
        <v>77</v>
      </c>
      <c r="B9468" s="914" t="s">
        <v>6502</v>
      </c>
      <c r="C9468" s="915"/>
      <c r="D9468" s="915"/>
      <c r="E9468" s="1006" t="s">
        <v>6503</v>
      </c>
      <c r="F9468" s="1007" t="s">
        <v>136</v>
      </c>
      <c r="G9468" s="1008"/>
      <c r="H9468" s="919"/>
      <c r="I9468" s="920"/>
      <c r="J9468" s="962">
        <f>SUM(J9469:J9477)</f>
        <v>55500</v>
      </c>
      <c r="K9468" s="891" t="s">
        <v>274</v>
      </c>
      <c r="L9468" s="962">
        <f>SUM(L9469:L9477)</f>
        <v>552812.5</v>
      </c>
      <c r="M9468" s="962"/>
      <c r="N9468" s="962">
        <f>SUM(N9469:N9477)</f>
        <v>0</v>
      </c>
      <c r="O9468" s="892">
        <f t="shared" si="769"/>
        <v>1</v>
      </c>
      <c r="P9468" s="903">
        <f t="shared" si="770"/>
        <v>0</v>
      </c>
      <c r="Q9468" s="893">
        <f t="shared" si="771"/>
        <v>0</v>
      </c>
      <c r="R9468" s="894">
        <f t="shared" si="772"/>
        <v>9</v>
      </c>
    </row>
    <row r="9469" spans="1:18" s="847" customFormat="1">
      <c r="A9469" s="895"/>
      <c r="B9469" s="896"/>
      <c r="C9469" s="897"/>
      <c r="D9469" s="897"/>
      <c r="E9469" s="1002" t="s">
        <v>108</v>
      </c>
      <c r="F9469" s="895"/>
      <c r="G9469" s="1004"/>
      <c r="H9469" s="901"/>
      <c r="I9469" s="902"/>
      <c r="J9469" s="902"/>
      <c r="K9469" s="912" t="s">
        <v>274</v>
      </c>
      <c r="L9469" s="902"/>
      <c r="M9469" s="902"/>
      <c r="N9469" s="902"/>
      <c r="O9469" s="892">
        <f t="shared" si="769"/>
        <v>0</v>
      </c>
      <c r="P9469" s="903">
        <f t="shared" si="770"/>
        <v>1</v>
      </c>
      <c r="Q9469" s="893">
        <f t="shared" si="771"/>
        <v>9</v>
      </c>
      <c r="R9469" s="894">
        <f t="shared" si="772"/>
        <v>0</v>
      </c>
    </row>
    <row r="9470" spans="1:18" s="904" customFormat="1">
      <c r="A9470" s="905"/>
      <c r="B9470" s="952"/>
      <c r="C9470" s="907">
        <v>315</v>
      </c>
      <c r="D9470" s="907" t="s">
        <v>279</v>
      </c>
      <c r="E9470" s="992" t="s">
        <v>6316</v>
      </c>
      <c r="F9470" s="905" t="s">
        <v>49</v>
      </c>
      <c r="G9470" s="1005"/>
      <c r="H9470" s="911">
        <v>0.5</v>
      </c>
      <c r="I9470" s="912">
        <f>VLOOKUP(E9470,[3]VLP!$B$7:$K$300,10,0)</f>
        <v>8000</v>
      </c>
      <c r="J9470" s="912">
        <f>I9470*H9470</f>
        <v>4000</v>
      </c>
      <c r="K9470" s="912" t="s">
        <v>274</v>
      </c>
      <c r="L9470" s="912"/>
      <c r="M9470" s="912"/>
      <c r="N9470" s="912"/>
      <c r="O9470" s="892">
        <f t="shared" si="769"/>
        <v>0</v>
      </c>
      <c r="P9470" s="903">
        <f t="shared" si="770"/>
        <v>1</v>
      </c>
      <c r="Q9470" s="893">
        <f t="shared" si="771"/>
        <v>8</v>
      </c>
      <c r="R9470" s="894">
        <f t="shared" si="772"/>
        <v>0</v>
      </c>
    </row>
    <row r="9471" spans="1:18">
      <c r="A9471" s="905"/>
      <c r="B9471" s="952"/>
      <c r="C9471" s="907">
        <v>235</v>
      </c>
      <c r="D9471" s="907" t="s">
        <v>279</v>
      </c>
      <c r="E9471" s="992" t="s">
        <v>2682</v>
      </c>
      <c r="F9471" s="905" t="s">
        <v>45</v>
      </c>
      <c r="G9471" s="1005"/>
      <c r="H9471" s="911">
        <v>0.3</v>
      </c>
      <c r="I9471" s="912">
        <f>VLOOKUP(E9471,[3]VLP!$B$7:$K$300,10,0)</f>
        <v>5000</v>
      </c>
      <c r="J9471" s="912">
        <f>I9471*H9471</f>
        <v>1500</v>
      </c>
      <c r="K9471" s="912" t="s">
        <v>274</v>
      </c>
      <c r="L9471" s="912"/>
      <c r="M9471" s="912"/>
      <c r="N9471" s="912"/>
      <c r="O9471" s="892">
        <f t="shared" si="769"/>
        <v>0</v>
      </c>
      <c r="P9471" s="903">
        <f t="shared" si="770"/>
        <v>1</v>
      </c>
      <c r="Q9471" s="893">
        <f t="shared" si="771"/>
        <v>7</v>
      </c>
      <c r="R9471" s="894">
        <f t="shared" si="772"/>
        <v>0</v>
      </c>
    </row>
    <row r="9472" spans="1:18" s="847" customFormat="1">
      <c r="A9472" s="905"/>
      <c r="B9472" s="952"/>
      <c r="C9472" s="907">
        <v>699</v>
      </c>
      <c r="D9472" s="907" t="s">
        <v>279</v>
      </c>
      <c r="E9472" s="992" t="s">
        <v>4006</v>
      </c>
      <c r="F9472" s="905" t="s">
        <v>4007</v>
      </c>
      <c r="G9472" s="1005"/>
      <c r="H9472" s="911">
        <v>10</v>
      </c>
      <c r="I9472" s="912">
        <f>VLOOKUP(E9472,[3]VLP!$B$7:$K$300,10,0)</f>
        <v>5000</v>
      </c>
      <c r="J9472" s="912">
        <f>I9472*H9472</f>
        <v>50000</v>
      </c>
      <c r="K9472" s="912" t="s">
        <v>274</v>
      </c>
      <c r="L9472" s="912"/>
      <c r="M9472" s="912"/>
      <c r="N9472" s="912"/>
      <c r="O9472" s="892">
        <f t="shared" si="769"/>
        <v>0</v>
      </c>
      <c r="P9472" s="903">
        <f t="shared" si="770"/>
        <v>1</v>
      </c>
      <c r="Q9472" s="893">
        <f t="shared" si="771"/>
        <v>6</v>
      </c>
      <c r="R9472" s="894">
        <f t="shared" si="772"/>
        <v>0</v>
      </c>
    </row>
    <row r="9473" spans="1:18" s="904" customFormat="1">
      <c r="A9473" s="895"/>
      <c r="B9473" s="896"/>
      <c r="C9473" s="897"/>
      <c r="D9473" s="897"/>
      <c r="E9473" s="1002" t="s">
        <v>276</v>
      </c>
      <c r="F9473" s="1003"/>
      <c r="G9473" s="1004"/>
      <c r="H9473" s="901"/>
      <c r="I9473" s="902"/>
      <c r="J9473" s="902"/>
      <c r="K9473" s="912" t="s">
        <v>274</v>
      </c>
      <c r="L9473" s="902"/>
      <c r="M9473" s="902"/>
      <c r="N9473" s="902"/>
      <c r="O9473" s="892">
        <f t="shared" si="769"/>
        <v>0</v>
      </c>
      <c r="P9473" s="903">
        <f t="shared" si="770"/>
        <v>1</v>
      </c>
      <c r="Q9473" s="893">
        <f t="shared" si="771"/>
        <v>5</v>
      </c>
      <c r="R9473" s="894">
        <f t="shared" si="772"/>
        <v>0</v>
      </c>
    </row>
    <row r="9474" spans="1:18">
      <c r="A9474" s="905"/>
      <c r="B9474" s="952"/>
      <c r="C9474" s="907">
        <v>740</v>
      </c>
      <c r="D9474" s="907" t="s">
        <v>12</v>
      </c>
      <c r="E9474" s="992" t="s">
        <v>4008</v>
      </c>
      <c r="F9474" s="905" t="s">
        <v>2674</v>
      </c>
      <c r="G9474" s="1005"/>
      <c r="H9474" s="911">
        <v>2.5</v>
      </c>
      <c r="I9474" s="912"/>
      <c r="J9474" s="912"/>
      <c r="K9474" s="912">
        <f>VLOOKUP(E9474,[5]ĐMNC!$A$7:$F$67,4,0)</f>
        <v>221125</v>
      </c>
      <c r="L9474" s="912">
        <f>H9474*K9474</f>
        <v>552812.5</v>
      </c>
      <c r="M9474" s="912"/>
      <c r="N9474" s="912"/>
      <c r="O9474" s="892">
        <f t="shared" si="769"/>
        <v>0</v>
      </c>
      <c r="P9474" s="903">
        <f t="shared" si="770"/>
        <v>1</v>
      </c>
      <c r="Q9474" s="893">
        <f t="shared" si="771"/>
        <v>4</v>
      </c>
      <c r="R9474" s="894">
        <f t="shared" si="772"/>
        <v>0</v>
      </c>
    </row>
    <row r="9475" spans="1:18" s="847" customFormat="1">
      <c r="A9475" s="895"/>
      <c r="B9475" s="896"/>
      <c r="C9475" s="897"/>
      <c r="D9475" s="897"/>
      <c r="E9475" s="1002" t="s">
        <v>3914</v>
      </c>
      <c r="F9475" s="895"/>
      <c r="G9475" s="1004"/>
      <c r="H9475" s="901"/>
      <c r="I9475" s="902"/>
      <c r="J9475" s="902"/>
      <c r="K9475" s="912" t="s">
        <v>274</v>
      </c>
      <c r="L9475" s="902"/>
      <c r="M9475" s="902"/>
      <c r="N9475" s="902"/>
      <c r="O9475" s="892">
        <f t="shared" si="769"/>
        <v>0</v>
      </c>
      <c r="P9475" s="903">
        <f t="shared" si="770"/>
        <v>1</v>
      </c>
      <c r="Q9475" s="893">
        <f t="shared" si="771"/>
        <v>3</v>
      </c>
      <c r="R9475" s="894">
        <f t="shared" si="772"/>
        <v>0</v>
      </c>
    </row>
    <row r="9476" spans="1:18" s="904" customFormat="1">
      <c r="A9476" s="905"/>
      <c r="B9476" s="952" t="s">
        <v>6434</v>
      </c>
      <c r="C9476" s="907">
        <v>912</v>
      </c>
      <c r="D9476" s="907" t="s">
        <v>93</v>
      </c>
      <c r="E9476" s="992" t="s">
        <v>6435</v>
      </c>
      <c r="F9476" s="905" t="s">
        <v>2673</v>
      </c>
      <c r="G9476" s="1005"/>
      <c r="H9476" s="911">
        <v>0.26900000000000002</v>
      </c>
      <c r="I9476" s="912"/>
      <c r="J9476" s="912"/>
      <c r="K9476" s="912"/>
      <c r="L9476" s="912"/>
      <c r="M9476" s="912">
        <f>VLOOKUP(B9476,MTC!$B$9:$S$933,12,0)</f>
        <v>0</v>
      </c>
      <c r="N9476" s="912">
        <f>M9476*H9476</f>
        <v>0</v>
      </c>
      <c r="O9476" s="892">
        <f t="shared" si="769"/>
        <v>0</v>
      </c>
      <c r="P9476" s="903">
        <f t="shared" si="770"/>
        <v>1</v>
      </c>
      <c r="Q9476" s="893">
        <f t="shared" si="771"/>
        <v>2</v>
      </c>
      <c r="R9476" s="894">
        <f t="shared" si="772"/>
        <v>0</v>
      </c>
    </row>
    <row r="9477" spans="1:18">
      <c r="A9477" s="905"/>
      <c r="B9477" s="952" t="s">
        <v>6414</v>
      </c>
      <c r="C9477" s="907">
        <v>914</v>
      </c>
      <c r="D9477" s="907" t="s">
        <v>93</v>
      </c>
      <c r="E9477" s="992" t="s">
        <v>6415</v>
      </c>
      <c r="F9477" s="905" t="s">
        <v>2673</v>
      </c>
      <c r="G9477" s="1005"/>
      <c r="H9477" s="911">
        <v>0.1</v>
      </c>
      <c r="I9477" s="912"/>
      <c r="J9477" s="912"/>
      <c r="K9477" s="912"/>
      <c r="L9477" s="912"/>
      <c r="M9477" s="912">
        <f>VLOOKUP(B9477,MTC!$B$9:$S$933,12,0)</f>
        <v>0</v>
      </c>
      <c r="N9477" s="912">
        <f>M9477*H9477</f>
        <v>0</v>
      </c>
      <c r="O9477" s="892">
        <f t="shared" si="769"/>
        <v>0</v>
      </c>
      <c r="P9477" s="903">
        <f t="shared" si="770"/>
        <v>1</v>
      </c>
      <c r="Q9477" s="893">
        <f t="shared" si="771"/>
        <v>1</v>
      </c>
      <c r="R9477" s="894">
        <f t="shared" si="772"/>
        <v>0</v>
      </c>
    </row>
    <row r="9478" spans="1:18" s="847" customFormat="1" ht="47.25">
      <c r="A9478" s="905">
        <v>78</v>
      </c>
      <c r="B9478" s="914" t="s">
        <v>6504</v>
      </c>
      <c r="C9478" s="915"/>
      <c r="D9478" s="915"/>
      <c r="E9478" s="1006" t="s">
        <v>6505</v>
      </c>
      <c r="F9478" s="1007" t="s">
        <v>136</v>
      </c>
      <c r="G9478" s="1008"/>
      <c r="H9478" s="919"/>
      <c r="I9478" s="920"/>
      <c r="J9478" s="962">
        <f>SUM(J9479:J9487)</f>
        <v>55500</v>
      </c>
      <c r="K9478" s="891" t="s">
        <v>274</v>
      </c>
      <c r="L9478" s="962">
        <f>SUM(L9479:L9487)</f>
        <v>707600</v>
      </c>
      <c r="M9478" s="962"/>
      <c r="N9478" s="962">
        <f>SUM(N9479:N9487)</f>
        <v>0</v>
      </c>
      <c r="O9478" s="892">
        <f t="shared" si="769"/>
        <v>1</v>
      </c>
      <c r="P9478" s="903">
        <f t="shared" si="770"/>
        <v>0</v>
      </c>
      <c r="Q9478" s="893">
        <f t="shared" si="771"/>
        <v>0</v>
      </c>
      <c r="R9478" s="894">
        <f t="shared" si="772"/>
        <v>9</v>
      </c>
    </row>
    <row r="9479" spans="1:18" s="904" customFormat="1">
      <c r="A9479" s="895"/>
      <c r="B9479" s="896"/>
      <c r="C9479" s="897"/>
      <c r="D9479" s="897"/>
      <c r="E9479" s="1002" t="s">
        <v>108</v>
      </c>
      <c r="F9479" s="895"/>
      <c r="G9479" s="1004"/>
      <c r="H9479" s="901"/>
      <c r="I9479" s="902"/>
      <c r="J9479" s="902"/>
      <c r="K9479" s="912" t="s">
        <v>274</v>
      </c>
      <c r="L9479" s="902"/>
      <c r="M9479" s="902"/>
      <c r="N9479" s="902"/>
      <c r="O9479" s="892">
        <f t="shared" si="769"/>
        <v>0</v>
      </c>
      <c r="P9479" s="903">
        <f t="shared" si="770"/>
        <v>1</v>
      </c>
      <c r="Q9479" s="893">
        <f t="shared" si="771"/>
        <v>9</v>
      </c>
      <c r="R9479" s="894">
        <f t="shared" si="772"/>
        <v>0</v>
      </c>
    </row>
    <row r="9480" spans="1:18">
      <c r="A9480" s="905"/>
      <c r="B9480" s="952"/>
      <c r="C9480" s="907">
        <v>315</v>
      </c>
      <c r="D9480" s="907" t="s">
        <v>279</v>
      </c>
      <c r="E9480" s="992" t="s">
        <v>6316</v>
      </c>
      <c r="F9480" s="905" t="s">
        <v>49</v>
      </c>
      <c r="G9480" s="1005"/>
      <c r="H9480" s="911">
        <v>0.5</v>
      </c>
      <c r="I9480" s="912">
        <f>VLOOKUP(E9480,[3]VLP!$B$7:$K$300,10,0)</f>
        <v>8000</v>
      </c>
      <c r="J9480" s="912">
        <f>I9480*H9480</f>
        <v>4000</v>
      </c>
      <c r="K9480" s="912" t="s">
        <v>274</v>
      </c>
      <c r="L9480" s="912"/>
      <c r="M9480" s="912"/>
      <c r="N9480" s="912"/>
      <c r="O9480" s="892">
        <f t="shared" si="769"/>
        <v>0</v>
      </c>
      <c r="P9480" s="903">
        <f t="shared" si="770"/>
        <v>1</v>
      </c>
      <c r="Q9480" s="893">
        <f t="shared" si="771"/>
        <v>8</v>
      </c>
      <c r="R9480" s="894">
        <f t="shared" si="772"/>
        <v>0</v>
      </c>
    </row>
    <row r="9481" spans="1:18" s="847" customFormat="1">
      <c r="A9481" s="905"/>
      <c r="B9481" s="952"/>
      <c r="C9481" s="907">
        <v>235</v>
      </c>
      <c r="D9481" s="907" t="s">
        <v>279</v>
      </c>
      <c r="E9481" s="992" t="s">
        <v>2682</v>
      </c>
      <c r="F9481" s="905" t="s">
        <v>45</v>
      </c>
      <c r="G9481" s="1005"/>
      <c r="H9481" s="911">
        <v>0.3</v>
      </c>
      <c r="I9481" s="912">
        <f>VLOOKUP(E9481,[3]VLP!$B$7:$K$300,10,0)</f>
        <v>5000</v>
      </c>
      <c r="J9481" s="912">
        <f>I9481*H9481</f>
        <v>1500</v>
      </c>
      <c r="K9481" s="912" t="s">
        <v>274</v>
      </c>
      <c r="L9481" s="912"/>
      <c r="M9481" s="912"/>
      <c r="N9481" s="912"/>
      <c r="O9481" s="892">
        <f t="shared" si="769"/>
        <v>0</v>
      </c>
      <c r="P9481" s="903">
        <f t="shared" si="770"/>
        <v>1</v>
      </c>
      <c r="Q9481" s="893">
        <f t="shared" si="771"/>
        <v>7</v>
      </c>
      <c r="R9481" s="894">
        <f t="shared" si="772"/>
        <v>0</v>
      </c>
    </row>
    <row r="9482" spans="1:18" s="904" customFormat="1">
      <c r="A9482" s="905"/>
      <c r="B9482" s="952"/>
      <c r="C9482" s="907">
        <v>699</v>
      </c>
      <c r="D9482" s="907" t="s">
        <v>279</v>
      </c>
      <c r="E9482" s="992" t="s">
        <v>4006</v>
      </c>
      <c r="F9482" s="905" t="s">
        <v>4007</v>
      </c>
      <c r="G9482" s="1005"/>
      <c r="H9482" s="911">
        <v>10</v>
      </c>
      <c r="I9482" s="912">
        <f>VLOOKUP(E9482,[3]VLP!$B$7:$K$300,10,0)</f>
        <v>5000</v>
      </c>
      <c r="J9482" s="912">
        <f>I9482*H9482</f>
        <v>50000</v>
      </c>
      <c r="K9482" s="912" t="s">
        <v>274</v>
      </c>
      <c r="L9482" s="912"/>
      <c r="M9482" s="912"/>
      <c r="N9482" s="912"/>
      <c r="O9482" s="892">
        <f t="shared" si="769"/>
        <v>0</v>
      </c>
      <c r="P9482" s="903">
        <f t="shared" si="770"/>
        <v>1</v>
      </c>
      <c r="Q9482" s="893">
        <f t="shared" si="771"/>
        <v>6</v>
      </c>
      <c r="R9482" s="894">
        <f t="shared" si="772"/>
        <v>0</v>
      </c>
    </row>
    <row r="9483" spans="1:18">
      <c r="A9483" s="895"/>
      <c r="B9483" s="896"/>
      <c r="C9483" s="897"/>
      <c r="D9483" s="897"/>
      <c r="E9483" s="1002" t="s">
        <v>276</v>
      </c>
      <c r="F9483" s="1003"/>
      <c r="G9483" s="1004"/>
      <c r="H9483" s="901"/>
      <c r="I9483" s="902"/>
      <c r="J9483" s="902"/>
      <c r="K9483" s="912" t="s">
        <v>274</v>
      </c>
      <c r="L9483" s="902"/>
      <c r="M9483" s="902"/>
      <c r="N9483" s="902"/>
      <c r="O9483" s="892">
        <f t="shared" si="769"/>
        <v>0</v>
      </c>
      <c r="P9483" s="903">
        <f t="shared" si="770"/>
        <v>1</v>
      </c>
      <c r="Q9483" s="893">
        <f t="shared" si="771"/>
        <v>5</v>
      </c>
      <c r="R9483" s="894">
        <f t="shared" si="772"/>
        <v>0</v>
      </c>
    </row>
    <row r="9484" spans="1:18" s="847" customFormat="1">
      <c r="A9484" s="905"/>
      <c r="B9484" s="952"/>
      <c r="C9484" s="907">
        <v>740</v>
      </c>
      <c r="D9484" s="907" t="s">
        <v>12</v>
      </c>
      <c r="E9484" s="992" t="s">
        <v>4008</v>
      </c>
      <c r="F9484" s="905" t="s">
        <v>2674</v>
      </c>
      <c r="G9484" s="1005"/>
      <c r="H9484" s="911">
        <v>3.2</v>
      </c>
      <c r="I9484" s="912"/>
      <c r="J9484" s="912"/>
      <c r="K9484" s="912">
        <f>VLOOKUP(E9484,[5]ĐMNC!$A$7:$F$67,4,0)</f>
        <v>221125</v>
      </c>
      <c r="L9484" s="912">
        <f>H9484*K9484</f>
        <v>707600</v>
      </c>
      <c r="M9484" s="912"/>
      <c r="N9484" s="912"/>
      <c r="O9484" s="892">
        <f t="shared" si="769"/>
        <v>0</v>
      </c>
      <c r="P9484" s="903">
        <f t="shared" si="770"/>
        <v>1</v>
      </c>
      <c r="Q9484" s="893">
        <f t="shared" si="771"/>
        <v>4</v>
      </c>
      <c r="R9484" s="894">
        <f t="shared" si="772"/>
        <v>0</v>
      </c>
    </row>
    <row r="9485" spans="1:18" s="904" customFormat="1">
      <c r="A9485" s="895"/>
      <c r="B9485" s="896"/>
      <c r="C9485" s="897"/>
      <c r="D9485" s="897"/>
      <c r="E9485" s="1002" t="s">
        <v>3914</v>
      </c>
      <c r="F9485" s="895"/>
      <c r="G9485" s="1004"/>
      <c r="H9485" s="901"/>
      <c r="I9485" s="902"/>
      <c r="J9485" s="902"/>
      <c r="K9485" s="912" t="s">
        <v>274</v>
      </c>
      <c r="L9485" s="902"/>
      <c r="M9485" s="902"/>
      <c r="N9485" s="902"/>
      <c r="O9485" s="892">
        <f t="shared" si="769"/>
        <v>0</v>
      </c>
      <c r="P9485" s="903">
        <f t="shared" si="770"/>
        <v>1</v>
      </c>
      <c r="Q9485" s="893">
        <f t="shared" si="771"/>
        <v>3</v>
      </c>
      <c r="R9485" s="894">
        <f t="shared" si="772"/>
        <v>0</v>
      </c>
    </row>
    <row r="9486" spans="1:18">
      <c r="A9486" s="905"/>
      <c r="B9486" s="952" t="s">
        <v>6434</v>
      </c>
      <c r="C9486" s="907">
        <v>912</v>
      </c>
      <c r="D9486" s="907" t="s">
        <v>93</v>
      </c>
      <c r="E9486" s="992" t="s">
        <v>6435</v>
      </c>
      <c r="F9486" s="905" t="s">
        <v>2673</v>
      </c>
      <c r="G9486" s="1005"/>
      <c r="H9486" s="911">
        <v>0.32100000000000001</v>
      </c>
      <c r="I9486" s="912"/>
      <c r="J9486" s="912"/>
      <c r="K9486" s="912"/>
      <c r="L9486" s="912"/>
      <c r="M9486" s="912">
        <f>VLOOKUP(B9486,MTC!$B$9:$S$933,12,0)</f>
        <v>0</v>
      </c>
      <c r="N9486" s="912">
        <f>M9486*H9486</f>
        <v>0</v>
      </c>
      <c r="O9486" s="892">
        <f t="shared" si="769"/>
        <v>0</v>
      </c>
      <c r="P9486" s="903">
        <f t="shared" si="770"/>
        <v>1</v>
      </c>
      <c r="Q9486" s="893">
        <f t="shared" si="771"/>
        <v>2</v>
      </c>
      <c r="R9486" s="894">
        <f t="shared" si="772"/>
        <v>0</v>
      </c>
    </row>
    <row r="9487" spans="1:18" s="847" customFormat="1">
      <c r="A9487" s="905"/>
      <c r="B9487" s="952" t="s">
        <v>6414</v>
      </c>
      <c r="C9487" s="907">
        <v>914</v>
      </c>
      <c r="D9487" s="907" t="s">
        <v>93</v>
      </c>
      <c r="E9487" s="992" t="s">
        <v>6415</v>
      </c>
      <c r="F9487" s="905" t="s">
        <v>2673</v>
      </c>
      <c r="G9487" s="1005"/>
      <c r="H9487" s="911">
        <v>0.1</v>
      </c>
      <c r="I9487" s="912"/>
      <c r="J9487" s="912"/>
      <c r="K9487" s="912"/>
      <c r="L9487" s="912"/>
      <c r="M9487" s="912">
        <f>VLOOKUP(B9487,MTC!$B$9:$S$933,12,0)</f>
        <v>0</v>
      </c>
      <c r="N9487" s="912">
        <f>M9487*H9487</f>
        <v>0</v>
      </c>
      <c r="O9487" s="892">
        <f t="shared" si="769"/>
        <v>0</v>
      </c>
      <c r="P9487" s="903">
        <f t="shared" si="770"/>
        <v>1</v>
      </c>
      <c r="Q9487" s="893">
        <f t="shared" si="771"/>
        <v>1</v>
      </c>
      <c r="R9487" s="894">
        <f t="shared" si="772"/>
        <v>0</v>
      </c>
    </row>
    <row r="9488" spans="1:18" s="904" customFormat="1" ht="47.25">
      <c r="A9488" s="905">
        <v>79</v>
      </c>
      <c r="B9488" s="914" t="s">
        <v>6506</v>
      </c>
      <c r="C9488" s="915"/>
      <c r="D9488" s="915"/>
      <c r="E9488" s="1006" t="s">
        <v>6507</v>
      </c>
      <c r="F9488" s="1007" t="s">
        <v>136</v>
      </c>
      <c r="G9488" s="1008"/>
      <c r="H9488" s="919"/>
      <c r="I9488" s="920"/>
      <c r="J9488" s="962">
        <f>SUM(J9489:J9497)</f>
        <v>55500</v>
      </c>
      <c r="K9488" s="891" t="s">
        <v>274</v>
      </c>
      <c r="L9488" s="962">
        <f>SUM(L9489:L9497)</f>
        <v>884500</v>
      </c>
      <c r="M9488" s="962"/>
      <c r="N9488" s="962">
        <f>SUM(N9489:N9497)</f>
        <v>0</v>
      </c>
      <c r="O9488" s="892">
        <f t="shared" si="769"/>
        <v>1</v>
      </c>
      <c r="P9488" s="903">
        <f t="shared" si="770"/>
        <v>0</v>
      </c>
      <c r="Q9488" s="893">
        <f t="shared" si="771"/>
        <v>0</v>
      </c>
      <c r="R9488" s="894">
        <f t="shared" si="772"/>
        <v>9</v>
      </c>
    </row>
    <row r="9489" spans="1:18">
      <c r="A9489" s="895"/>
      <c r="B9489" s="896"/>
      <c r="C9489" s="897"/>
      <c r="D9489" s="897"/>
      <c r="E9489" s="1002" t="s">
        <v>108</v>
      </c>
      <c r="F9489" s="895"/>
      <c r="G9489" s="1004"/>
      <c r="H9489" s="901"/>
      <c r="I9489" s="902"/>
      <c r="J9489" s="902"/>
      <c r="K9489" s="912" t="s">
        <v>274</v>
      </c>
      <c r="L9489" s="902"/>
      <c r="M9489" s="902"/>
      <c r="N9489" s="902"/>
      <c r="O9489" s="892">
        <f t="shared" si="769"/>
        <v>0</v>
      </c>
      <c r="P9489" s="903">
        <f t="shared" si="770"/>
        <v>1</v>
      </c>
      <c r="Q9489" s="893">
        <f t="shared" si="771"/>
        <v>9</v>
      </c>
      <c r="R9489" s="894">
        <f t="shared" si="772"/>
        <v>0</v>
      </c>
    </row>
    <row r="9490" spans="1:18" s="847" customFormat="1">
      <c r="A9490" s="905"/>
      <c r="B9490" s="952"/>
      <c r="C9490" s="907">
        <v>315</v>
      </c>
      <c r="D9490" s="907" t="s">
        <v>279</v>
      </c>
      <c r="E9490" s="992" t="s">
        <v>6316</v>
      </c>
      <c r="F9490" s="905" t="s">
        <v>49</v>
      </c>
      <c r="G9490" s="1005"/>
      <c r="H9490" s="911">
        <v>0.5</v>
      </c>
      <c r="I9490" s="912">
        <f>VLOOKUP(E9490,[3]VLP!$B$7:$K$300,10,0)</f>
        <v>8000</v>
      </c>
      <c r="J9490" s="912">
        <f>I9490*H9490</f>
        <v>4000</v>
      </c>
      <c r="K9490" s="912" t="s">
        <v>274</v>
      </c>
      <c r="L9490" s="912"/>
      <c r="M9490" s="912"/>
      <c r="N9490" s="912"/>
      <c r="O9490" s="892">
        <f t="shared" si="769"/>
        <v>0</v>
      </c>
      <c r="P9490" s="903">
        <f t="shared" si="770"/>
        <v>1</v>
      </c>
      <c r="Q9490" s="893">
        <f t="shared" si="771"/>
        <v>8</v>
      </c>
      <c r="R9490" s="894">
        <f t="shared" si="772"/>
        <v>0</v>
      </c>
    </row>
    <row r="9491" spans="1:18" s="904" customFormat="1">
      <c r="A9491" s="905"/>
      <c r="B9491" s="952"/>
      <c r="C9491" s="907">
        <v>235</v>
      </c>
      <c r="D9491" s="907" t="s">
        <v>279</v>
      </c>
      <c r="E9491" s="992" t="s">
        <v>2682</v>
      </c>
      <c r="F9491" s="905" t="s">
        <v>45</v>
      </c>
      <c r="G9491" s="1005"/>
      <c r="H9491" s="911">
        <v>0.3</v>
      </c>
      <c r="I9491" s="912">
        <f>VLOOKUP(E9491,[3]VLP!$B$7:$K$300,10,0)</f>
        <v>5000</v>
      </c>
      <c r="J9491" s="912">
        <f>I9491*H9491</f>
        <v>1500</v>
      </c>
      <c r="K9491" s="912" t="s">
        <v>274</v>
      </c>
      <c r="L9491" s="912"/>
      <c r="M9491" s="912"/>
      <c r="N9491" s="912"/>
      <c r="O9491" s="892">
        <f t="shared" si="769"/>
        <v>0</v>
      </c>
      <c r="P9491" s="903">
        <f t="shared" si="770"/>
        <v>1</v>
      </c>
      <c r="Q9491" s="893">
        <f t="shared" si="771"/>
        <v>7</v>
      </c>
      <c r="R9491" s="894">
        <f t="shared" si="772"/>
        <v>0</v>
      </c>
    </row>
    <row r="9492" spans="1:18">
      <c r="A9492" s="905"/>
      <c r="B9492" s="952"/>
      <c r="C9492" s="907">
        <v>699</v>
      </c>
      <c r="D9492" s="907" t="s">
        <v>279</v>
      </c>
      <c r="E9492" s="992" t="s">
        <v>4006</v>
      </c>
      <c r="F9492" s="905" t="s">
        <v>4007</v>
      </c>
      <c r="G9492" s="1005"/>
      <c r="H9492" s="911">
        <v>10</v>
      </c>
      <c r="I9492" s="912">
        <f>VLOOKUP(E9492,[3]VLP!$B$7:$K$300,10,0)</f>
        <v>5000</v>
      </c>
      <c r="J9492" s="912">
        <f>I9492*H9492</f>
        <v>50000</v>
      </c>
      <c r="K9492" s="912" t="s">
        <v>274</v>
      </c>
      <c r="L9492" s="912"/>
      <c r="M9492" s="912"/>
      <c r="N9492" s="912"/>
      <c r="O9492" s="892">
        <f t="shared" si="769"/>
        <v>0</v>
      </c>
      <c r="P9492" s="903">
        <f t="shared" si="770"/>
        <v>1</v>
      </c>
      <c r="Q9492" s="893">
        <f t="shared" si="771"/>
        <v>6</v>
      </c>
      <c r="R9492" s="894">
        <f t="shared" si="772"/>
        <v>0</v>
      </c>
    </row>
    <row r="9493" spans="1:18" s="847" customFormat="1">
      <c r="A9493" s="895"/>
      <c r="B9493" s="896"/>
      <c r="C9493" s="897"/>
      <c r="D9493" s="897"/>
      <c r="E9493" s="1002" t="s">
        <v>276</v>
      </c>
      <c r="F9493" s="1003"/>
      <c r="G9493" s="1004"/>
      <c r="H9493" s="901"/>
      <c r="I9493" s="902"/>
      <c r="J9493" s="902"/>
      <c r="K9493" s="912" t="s">
        <v>274</v>
      </c>
      <c r="L9493" s="902"/>
      <c r="M9493" s="902"/>
      <c r="N9493" s="902"/>
      <c r="O9493" s="892">
        <f t="shared" si="769"/>
        <v>0</v>
      </c>
      <c r="P9493" s="903">
        <f t="shared" si="770"/>
        <v>1</v>
      </c>
      <c r="Q9493" s="893">
        <f t="shared" si="771"/>
        <v>5</v>
      </c>
      <c r="R9493" s="894">
        <f t="shared" si="772"/>
        <v>0</v>
      </c>
    </row>
    <row r="9494" spans="1:18" s="904" customFormat="1">
      <c r="A9494" s="905"/>
      <c r="B9494" s="952"/>
      <c r="C9494" s="907">
        <v>740</v>
      </c>
      <c r="D9494" s="907" t="s">
        <v>12</v>
      </c>
      <c r="E9494" s="992" t="s">
        <v>4008</v>
      </c>
      <c r="F9494" s="905" t="s">
        <v>2674</v>
      </c>
      <c r="G9494" s="1005"/>
      <c r="H9494" s="911">
        <v>4</v>
      </c>
      <c r="I9494" s="912"/>
      <c r="J9494" s="912"/>
      <c r="K9494" s="912">
        <f>VLOOKUP(E9494,[5]ĐMNC!$A$7:$F$67,4,0)</f>
        <v>221125</v>
      </c>
      <c r="L9494" s="912">
        <f>H9494*K9494</f>
        <v>884500</v>
      </c>
      <c r="M9494" s="912"/>
      <c r="N9494" s="912"/>
      <c r="O9494" s="892">
        <f t="shared" si="769"/>
        <v>0</v>
      </c>
      <c r="P9494" s="903">
        <f t="shared" si="770"/>
        <v>1</v>
      </c>
      <c r="Q9494" s="893">
        <f t="shared" si="771"/>
        <v>4</v>
      </c>
      <c r="R9494" s="894">
        <f t="shared" si="772"/>
        <v>0</v>
      </c>
    </row>
    <row r="9495" spans="1:18">
      <c r="A9495" s="895"/>
      <c r="B9495" s="896"/>
      <c r="C9495" s="897"/>
      <c r="D9495" s="897"/>
      <c r="E9495" s="1002" t="s">
        <v>3914</v>
      </c>
      <c r="F9495" s="895"/>
      <c r="G9495" s="1004"/>
      <c r="H9495" s="901"/>
      <c r="I9495" s="902"/>
      <c r="J9495" s="902"/>
      <c r="K9495" s="912" t="s">
        <v>274</v>
      </c>
      <c r="L9495" s="902"/>
      <c r="M9495" s="902"/>
      <c r="N9495" s="902"/>
      <c r="O9495" s="892">
        <f t="shared" si="769"/>
        <v>0</v>
      </c>
      <c r="P9495" s="903">
        <f t="shared" si="770"/>
        <v>1</v>
      </c>
      <c r="Q9495" s="893">
        <f t="shared" si="771"/>
        <v>3</v>
      </c>
      <c r="R9495" s="894">
        <f t="shared" si="772"/>
        <v>0</v>
      </c>
    </row>
    <row r="9496" spans="1:18" s="847" customFormat="1">
      <c r="A9496" s="905"/>
      <c r="B9496" s="952" t="s">
        <v>6434</v>
      </c>
      <c r="C9496" s="907">
        <v>912</v>
      </c>
      <c r="D9496" s="907" t="s">
        <v>93</v>
      </c>
      <c r="E9496" s="992" t="s">
        <v>6435</v>
      </c>
      <c r="F9496" s="905" t="s">
        <v>2673</v>
      </c>
      <c r="G9496" s="1005"/>
      <c r="H9496" s="911">
        <v>0.38</v>
      </c>
      <c r="I9496" s="912"/>
      <c r="J9496" s="912"/>
      <c r="K9496" s="912"/>
      <c r="L9496" s="912"/>
      <c r="M9496" s="912">
        <f>VLOOKUP(B9496,MTC!$B$9:$S$933,12,0)</f>
        <v>0</v>
      </c>
      <c r="N9496" s="912">
        <f>M9496*H9496</f>
        <v>0</v>
      </c>
      <c r="O9496" s="892">
        <f t="shared" si="769"/>
        <v>0</v>
      </c>
      <c r="P9496" s="903">
        <f t="shared" si="770"/>
        <v>1</v>
      </c>
      <c r="Q9496" s="893">
        <f t="shared" si="771"/>
        <v>2</v>
      </c>
      <c r="R9496" s="894">
        <f t="shared" si="772"/>
        <v>0</v>
      </c>
    </row>
    <row r="9497" spans="1:18" s="904" customFormat="1">
      <c r="A9497" s="905"/>
      <c r="B9497" s="952" t="s">
        <v>6414</v>
      </c>
      <c r="C9497" s="907">
        <v>914</v>
      </c>
      <c r="D9497" s="907" t="s">
        <v>93</v>
      </c>
      <c r="E9497" s="992" t="s">
        <v>6415</v>
      </c>
      <c r="F9497" s="905" t="s">
        <v>2673</v>
      </c>
      <c r="G9497" s="1005"/>
      <c r="H9497" s="911">
        <v>0.1</v>
      </c>
      <c r="I9497" s="912"/>
      <c r="J9497" s="912"/>
      <c r="K9497" s="912"/>
      <c r="L9497" s="912"/>
      <c r="M9497" s="912">
        <f>VLOOKUP(B9497,MTC!$B$9:$S$933,12,0)</f>
        <v>0</v>
      </c>
      <c r="N9497" s="912">
        <f>M9497*H9497</f>
        <v>0</v>
      </c>
      <c r="O9497" s="892">
        <f t="shared" si="769"/>
        <v>0</v>
      </c>
      <c r="P9497" s="903">
        <f t="shared" si="770"/>
        <v>1</v>
      </c>
      <c r="Q9497" s="893">
        <f t="shared" si="771"/>
        <v>1</v>
      </c>
      <c r="R9497" s="894">
        <f t="shared" si="772"/>
        <v>0</v>
      </c>
    </row>
    <row r="9498" spans="1:18" ht="47.25">
      <c r="A9498" s="905">
        <v>80</v>
      </c>
      <c r="B9498" s="914" t="s">
        <v>6508</v>
      </c>
      <c r="C9498" s="915"/>
      <c r="D9498" s="915"/>
      <c r="E9498" s="1006" t="s">
        <v>6509</v>
      </c>
      <c r="F9498" s="1007" t="s">
        <v>136</v>
      </c>
      <c r="G9498" s="1008"/>
      <c r="H9498" s="919"/>
      <c r="I9498" s="920"/>
      <c r="J9498" s="962">
        <f>SUM(J9499:J9507)</f>
        <v>55500</v>
      </c>
      <c r="K9498" s="891" t="s">
        <v>274</v>
      </c>
      <c r="L9498" s="962">
        <f>SUM(L9499:L9507)</f>
        <v>1039287.5</v>
      </c>
      <c r="M9498" s="962"/>
      <c r="N9498" s="962">
        <f>SUM(N9499:N9507)</f>
        <v>0</v>
      </c>
      <c r="O9498" s="892">
        <f t="shared" si="769"/>
        <v>1</v>
      </c>
      <c r="P9498" s="903">
        <f t="shared" si="770"/>
        <v>0</v>
      </c>
      <c r="Q9498" s="893">
        <f t="shared" si="771"/>
        <v>0</v>
      </c>
      <c r="R9498" s="894">
        <f t="shared" si="772"/>
        <v>9</v>
      </c>
    </row>
    <row r="9499" spans="1:18" s="847" customFormat="1">
      <c r="A9499" s="895"/>
      <c r="B9499" s="896"/>
      <c r="C9499" s="897"/>
      <c r="D9499" s="897"/>
      <c r="E9499" s="1002" t="s">
        <v>108</v>
      </c>
      <c r="F9499" s="895"/>
      <c r="G9499" s="1004"/>
      <c r="H9499" s="901"/>
      <c r="I9499" s="902"/>
      <c r="J9499" s="902"/>
      <c r="K9499" s="912" t="s">
        <v>274</v>
      </c>
      <c r="L9499" s="902"/>
      <c r="M9499" s="902"/>
      <c r="N9499" s="902"/>
      <c r="O9499" s="892">
        <f t="shared" si="769"/>
        <v>0</v>
      </c>
      <c r="P9499" s="903">
        <f t="shared" si="770"/>
        <v>1</v>
      </c>
      <c r="Q9499" s="893">
        <f t="shared" si="771"/>
        <v>9</v>
      </c>
      <c r="R9499" s="894">
        <f t="shared" si="772"/>
        <v>0</v>
      </c>
    </row>
    <row r="9500" spans="1:18" s="904" customFormat="1">
      <c r="A9500" s="905"/>
      <c r="B9500" s="952"/>
      <c r="C9500" s="907">
        <v>315</v>
      </c>
      <c r="D9500" s="907" t="s">
        <v>279</v>
      </c>
      <c r="E9500" s="992" t="s">
        <v>6316</v>
      </c>
      <c r="F9500" s="905" t="s">
        <v>49</v>
      </c>
      <c r="G9500" s="1005"/>
      <c r="H9500" s="911">
        <v>0.5</v>
      </c>
      <c r="I9500" s="912">
        <f>VLOOKUP(E9500,[3]VLP!$B$7:$K$300,10,0)</f>
        <v>8000</v>
      </c>
      <c r="J9500" s="912">
        <f>I9500*H9500</f>
        <v>4000</v>
      </c>
      <c r="K9500" s="912" t="s">
        <v>274</v>
      </c>
      <c r="L9500" s="912"/>
      <c r="M9500" s="912"/>
      <c r="N9500" s="912"/>
      <c r="O9500" s="892">
        <f t="shared" si="769"/>
        <v>0</v>
      </c>
      <c r="P9500" s="903">
        <f t="shared" si="770"/>
        <v>1</v>
      </c>
      <c r="Q9500" s="893">
        <f t="shared" si="771"/>
        <v>8</v>
      </c>
      <c r="R9500" s="894">
        <f t="shared" si="772"/>
        <v>0</v>
      </c>
    </row>
    <row r="9501" spans="1:18">
      <c r="A9501" s="905"/>
      <c r="B9501" s="952"/>
      <c r="C9501" s="907">
        <v>235</v>
      </c>
      <c r="D9501" s="907" t="s">
        <v>279</v>
      </c>
      <c r="E9501" s="992" t="s">
        <v>2682</v>
      </c>
      <c r="F9501" s="905" t="s">
        <v>45</v>
      </c>
      <c r="G9501" s="1005"/>
      <c r="H9501" s="911">
        <v>0.3</v>
      </c>
      <c r="I9501" s="912">
        <f>VLOOKUP(E9501,[3]VLP!$B$7:$K$300,10,0)</f>
        <v>5000</v>
      </c>
      <c r="J9501" s="912">
        <f>I9501*H9501</f>
        <v>1500</v>
      </c>
      <c r="K9501" s="912" t="s">
        <v>274</v>
      </c>
      <c r="L9501" s="912"/>
      <c r="M9501" s="912"/>
      <c r="N9501" s="912"/>
      <c r="O9501" s="892">
        <f t="shared" si="769"/>
        <v>0</v>
      </c>
      <c r="P9501" s="903">
        <f t="shared" si="770"/>
        <v>1</v>
      </c>
      <c r="Q9501" s="893">
        <f t="shared" si="771"/>
        <v>7</v>
      </c>
      <c r="R9501" s="894">
        <f t="shared" si="772"/>
        <v>0</v>
      </c>
    </row>
    <row r="9502" spans="1:18" s="847" customFormat="1">
      <c r="A9502" s="905"/>
      <c r="B9502" s="952"/>
      <c r="C9502" s="907">
        <v>699</v>
      </c>
      <c r="D9502" s="907" t="s">
        <v>279</v>
      </c>
      <c r="E9502" s="992" t="s">
        <v>4006</v>
      </c>
      <c r="F9502" s="905" t="s">
        <v>4007</v>
      </c>
      <c r="G9502" s="1005"/>
      <c r="H9502" s="911">
        <v>10</v>
      </c>
      <c r="I9502" s="912">
        <f>VLOOKUP(E9502,[3]VLP!$B$7:$K$300,10,0)</f>
        <v>5000</v>
      </c>
      <c r="J9502" s="912">
        <f>I9502*H9502</f>
        <v>50000</v>
      </c>
      <c r="K9502" s="912" t="s">
        <v>274</v>
      </c>
      <c r="L9502" s="912"/>
      <c r="M9502" s="912"/>
      <c r="N9502" s="912"/>
      <c r="O9502" s="892">
        <f t="shared" si="769"/>
        <v>0</v>
      </c>
      <c r="P9502" s="903">
        <f t="shared" si="770"/>
        <v>1</v>
      </c>
      <c r="Q9502" s="893">
        <f t="shared" si="771"/>
        <v>6</v>
      </c>
      <c r="R9502" s="894">
        <f t="shared" si="772"/>
        <v>0</v>
      </c>
    </row>
    <row r="9503" spans="1:18" s="904" customFormat="1">
      <c r="A9503" s="895"/>
      <c r="B9503" s="896"/>
      <c r="C9503" s="897"/>
      <c r="D9503" s="897"/>
      <c r="E9503" s="1002" t="s">
        <v>276</v>
      </c>
      <c r="F9503" s="1003"/>
      <c r="G9503" s="1004"/>
      <c r="H9503" s="901"/>
      <c r="I9503" s="902"/>
      <c r="J9503" s="902"/>
      <c r="K9503" s="912" t="s">
        <v>274</v>
      </c>
      <c r="L9503" s="902"/>
      <c r="M9503" s="902"/>
      <c r="N9503" s="902"/>
      <c r="O9503" s="892">
        <f t="shared" ref="O9503:O9566" si="773">IF(AND(B9503&lt;&gt;"",D9503=""),1,0)</f>
        <v>0</v>
      </c>
      <c r="P9503" s="903">
        <f t="shared" si="770"/>
        <v>1</v>
      </c>
      <c r="Q9503" s="893">
        <f t="shared" si="771"/>
        <v>5</v>
      </c>
      <c r="R9503" s="894">
        <f t="shared" si="772"/>
        <v>0</v>
      </c>
    </row>
    <row r="9504" spans="1:18">
      <c r="A9504" s="905"/>
      <c r="B9504" s="952"/>
      <c r="C9504" s="907">
        <v>740</v>
      </c>
      <c r="D9504" s="907" t="s">
        <v>12</v>
      </c>
      <c r="E9504" s="992" t="s">
        <v>4008</v>
      </c>
      <c r="F9504" s="905" t="s">
        <v>2674</v>
      </c>
      <c r="G9504" s="1005"/>
      <c r="H9504" s="911">
        <v>4.7</v>
      </c>
      <c r="I9504" s="912"/>
      <c r="J9504" s="912"/>
      <c r="K9504" s="912">
        <f>VLOOKUP(E9504,[5]ĐMNC!$A$7:$F$67,4,0)</f>
        <v>221125</v>
      </c>
      <c r="L9504" s="912">
        <f>H9504*K9504</f>
        <v>1039287.5</v>
      </c>
      <c r="M9504" s="912"/>
      <c r="N9504" s="912"/>
      <c r="O9504" s="892">
        <f t="shared" si="773"/>
        <v>0</v>
      </c>
      <c r="P9504" s="903">
        <f t="shared" si="770"/>
        <v>1</v>
      </c>
      <c r="Q9504" s="893">
        <f t="shared" si="771"/>
        <v>4</v>
      </c>
      <c r="R9504" s="894">
        <f t="shared" si="772"/>
        <v>0</v>
      </c>
    </row>
    <row r="9505" spans="1:18" s="847" customFormat="1">
      <c r="A9505" s="895"/>
      <c r="B9505" s="896"/>
      <c r="C9505" s="897"/>
      <c r="D9505" s="897"/>
      <c r="E9505" s="1002" t="s">
        <v>3914</v>
      </c>
      <c r="F9505" s="895"/>
      <c r="G9505" s="1004"/>
      <c r="H9505" s="901"/>
      <c r="I9505" s="902"/>
      <c r="J9505" s="902"/>
      <c r="K9505" s="912" t="s">
        <v>274</v>
      </c>
      <c r="L9505" s="902"/>
      <c r="M9505" s="902"/>
      <c r="N9505" s="902"/>
      <c r="O9505" s="892">
        <f t="shared" si="773"/>
        <v>0</v>
      </c>
      <c r="P9505" s="903">
        <f t="shared" si="770"/>
        <v>1</v>
      </c>
      <c r="Q9505" s="893">
        <f t="shared" si="771"/>
        <v>3</v>
      </c>
      <c r="R9505" s="894">
        <f t="shared" si="772"/>
        <v>0</v>
      </c>
    </row>
    <row r="9506" spans="1:18" s="904" customFormat="1">
      <c r="A9506" s="905"/>
      <c r="B9506" s="952" t="s">
        <v>6434</v>
      </c>
      <c r="C9506" s="907">
        <v>912</v>
      </c>
      <c r="D9506" s="907" t="s">
        <v>93</v>
      </c>
      <c r="E9506" s="992" t="s">
        <v>6435</v>
      </c>
      <c r="F9506" s="905" t="s">
        <v>2673</v>
      </c>
      <c r="G9506" s="1005"/>
      <c r="H9506" s="911">
        <v>0.441</v>
      </c>
      <c r="I9506" s="912"/>
      <c r="J9506" s="912"/>
      <c r="K9506" s="912"/>
      <c r="L9506" s="912"/>
      <c r="M9506" s="912">
        <f>VLOOKUP(B9506,MTC!$B$9:$S$933,12,0)</f>
        <v>0</v>
      </c>
      <c r="N9506" s="912">
        <f>M9506*H9506</f>
        <v>0</v>
      </c>
      <c r="O9506" s="892">
        <f t="shared" si="773"/>
        <v>0</v>
      </c>
      <c r="P9506" s="903">
        <f t="shared" si="770"/>
        <v>1</v>
      </c>
      <c r="Q9506" s="893">
        <f t="shared" si="771"/>
        <v>2</v>
      </c>
      <c r="R9506" s="894">
        <f t="shared" si="772"/>
        <v>0</v>
      </c>
    </row>
    <row r="9507" spans="1:18">
      <c r="A9507" s="905"/>
      <c r="B9507" s="952" t="s">
        <v>6414</v>
      </c>
      <c r="C9507" s="907">
        <v>914</v>
      </c>
      <c r="D9507" s="907" t="s">
        <v>93</v>
      </c>
      <c r="E9507" s="992" t="s">
        <v>6415</v>
      </c>
      <c r="F9507" s="905" t="s">
        <v>2673</v>
      </c>
      <c r="G9507" s="1005"/>
      <c r="H9507" s="911">
        <v>0.1</v>
      </c>
      <c r="I9507" s="912"/>
      <c r="J9507" s="912"/>
      <c r="K9507" s="912"/>
      <c r="L9507" s="912"/>
      <c r="M9507" s="912">
        <f>VLOOKUP(B9507,MTC!$B$9:$S$933,12,0)</f>
        <v>0</v>
      </c>
      <c r="N9507" s="912">
        <f>M9507*H9507</f>
        <v>0</v>
      </c>
      <c r="O9507" s="892">
        <f t="shared" si="773"/>
        <v>0</v>
      </c>
      <c r="P9507" s="903">
        <f t="shared" si="770"/>
        <v>1</v>
      </c>
      <c r="Q9507" s="893">
        <f t="shared" si="771"/>
        <v>1</v>
      </c>
      <c r="R9507" s="894">
        <f t="shared" si="772"/>
        <v>0</v>
      </c>
    </row>
    <row r="9508" spans="1:18" s="847" customFormat="1" ht="31.5">
      <c r="A9508" s="905" t="s">
        <v>6510</v>
      </c>
      <c r="B9508" s="914" t="s">
        <v>6511</v>
      </c>
      <c r="C9508" s="915"/>
      <c r="D9508" s="915"/>
      <c r="E9508" s="1006" t="s">
        <v>6512</v>
      </c>
      <c r="F9508" s="1007" t="s">
        <v>136</v>
      </c>
      <c r="G9508" s="1008"/>
      <c r="H9508" s="919"/>
      <c r="I9508" s="920"/>
      <c r="J9508" s="891">
        <f>SUM(J9509:J9519)</f>
        <v>55500</v>
      </c>
      <c r="K9508" s="891" t="s">
        <v>274</v>
      </c>
      <c r="L9508" s="891">
        <f>SUM(L9509:L9519)</f>
        <v>375912.5</v>
      </c>
      <c r="M9508" s="891"/>
      <c r="N9508" s="891">
        <f>SUM(N9509:N9519)</f>
        <v>40668.479999999996</v>
      </c>
      <c r="O9508" s="892">
        <f t="shared" si="773"/>
        <v>1</v>
      </c>
      <c r="P9508" s="903">
        <f t="shared" si="770"/>
        <v>0</v>
      </c>
      <c r="Q9508" s="893">
        <f t="shared" si="771"/>
        <v>0</v>
      </c>
      <c r="R9508" s="894">
        <f t="shared" si="772"/>
        <v>11</v>
      </c>
    </row>
    <row r="9509" spans="1:18" s="904" customFormat="1">
      <c r="A9509" s="895"/>
      <c r="B9509" s="896"/>
      <c r="C9509" s="897"/>
      <c r="D9509" s="897"/>
      <c r="E9509" s="1002" t="s">
        <v>108</v>
      </c>
      <c r="F9509" s="895"/>
      <c r="G9509" s="1004"/>
      <c r="H9509" s="901"/>
      <c r="I9509" s="902"/>
      <c r="J9509" s="902"/>
      <c r="K9509" s="912" t="s">
        <v>274</v>
      </c>
      <c r="L9509" s="902"/>
      <c r="M9509" s="902"/>
      <c r="N9509" s="902"/>
      <c r="O9509" s="892">
        <f t="shared" si="773"/>
        <v>0</v>
      </c>
      <c r="P9509" s="903">
        <f t="shared" si="770"/>
        <v>1</v>
      </c>
      <c r="Q9509" s="893">
        <f t="shared" si="771"/>
        <v>11</v>
      </c>
      <c r="R9509" s="894">
        <f t="shared" si="772"/>
        <v>0</v>
      </c>
    </row>
    <row r="9510" spans="1:18">
      <c r="A9510" s="905"/>
      <c r="B9510" s="952"/>
      <c r="C9510" s="907">
        <v>315</v>
      </c>
      <c r="D9510" s="907" t="s">
        <v>279</v>
      </c>
      <c r="E9510" s="992" t="s">
        <v>6316</v>
      </c>
      <c r="F9510" s="905" t="s">
        <v>49</v>
      </c>
      <c r="G9510" s="1005"/>
      <c r="H9510" s="911">
        <v>0.5</v>
      </c>
      <c r="I9510" s="912">
        <f>VLOOKUP(E9510,[3]VLP!$B$7:$K$300,10,0)</f>
        <v>8000</v>
      </c>
      <c r="J9510" s="912">
        <f>I9510*H9510</f>
        <v>4000</v>
      </c>
      <c r="K9510" s="912" t="s">
        <v>274</v>
      </c>
      <c r="L9510" s="912"/>
      <c r="M9510" s="912"/>
      <c r="N9510" s="912"/>
      <c r="O9510" s="892">
        <f t="shared" si="773"/>
        <v>0</v>
      </c>
      <c r="P9510" s="903">
        <f t="shared" si="770"/>
        <v>1</v>
      </c>
      <c r="Q9510" s="893">
        <f t="shared" si="771"/>
        <v>10</v>
      </c>
      <c r="R9510" s="894">
        <f t="shared" si="772"/>
        <v>0</v>
      </c>
    </row>
    <row r="9511" spans="1:18" s="847" customFormat="1">
      <c r="A9511" s="905"/>
      <c r="B9511" s="952"/>
      <c r="C9511" s="907">
        <v>235</v>
      </c>
      <c r="D9511" s="907" t="s">
        <v>279</v>
      </c>
      <c r="E9511" s="992" t="s">
        <v>2682</v>
      </c>
      <c r="F9511" s="905" t="s">
        <v>45</v>
      </c>
      <c r="G9511" s="1005"/>
      <c r="H9511" s="911">
        <v>0.3</v>
      </c>
      <c r="I9511" s="912">
        <f>VLOOKUP(E9511,[3]VLP!$B$7:$K$300,10,0)</f>
        <v>5000</v>
      </c>
      <c r="J9511" s="912">
        <f>I9511*H9511</f>
        <v>1500</v>
      </c>
      <c r="K9511" s="912" t="s">
        <v>274</v>
      </c>
      <c r="L9511" s="912"/>
      <c r="M9511" s="912"/>
      <c r="N9511" s="912"/>
      <c r="O9511" s="892">
        <f t="shared" si="773"/>
        <v>0</v>
      </c>
      <c r="P9511" s="903">
        <f t="shared" si="770"/>
        <v>1</v>
      </c>
      <c r="Q9511" s="893">
        <f t="shared" si="771"/>
        <v>9</v>
      </c>
      <c r="R9511" s="894">
        <f t="shared" si="772"/>
        <v>0</v>
      </c>
    </row>
    <row r="9512" spans="1:18" s="904" customFormat="1">
      <c r="A9512" s="905"/>
      <c r="B9512" s="952"/>
      <c r="C9512" s="907">
        <v>699</v>
      </c>
      <c r="D9512" s="907" t="s">
        <v>279</v>
      </c>
      <c r="E9512" s="992" t="s">
        <v>4006</v>
      </c>
      <c r="F9512" s="905" t="s">
        <v>4007</v>
      </c>
      <c r="G9512" s="1005"/>
      <c r="H9512" s="911">
        <v>10</v>
      </c>
      <c r="I9512" s="912">
        <f>VLOOKUP(E9512,[3]VLP!$B$7:$K$300,10,0)</f>
        <v>5000</v>
      </c>
      <c r="J9512" s="912">
        <f>I9512*H9512</f>
        <v>50000</v>
      </c>
      <c r="K9512" s="912" t="s">
        <v>274</v>
      </c>
      <c r="L9512" s="912"/>
      <c r="M9512" s="912"/>
      <c r="N9512" s="912"/>
      <c r="O9512" s="892">
        <f t="shared" si="773"/>
        <v>0</v>
      </c>
      <c r="P9512" s="903">
        <f t="shared" si="770"/>
        <v>1</v>
      </c>
      <c r="Q9512" s="893">
        <f t="shared" si="771"/>
        <v>8</v>
      </c>
      <c r="R9512" s="894">
        <f t="shared" si="772"/>
        <v>0</v>
      </c>
    </row>
    <row r="9513" spans="1:18">
      <c r="A9513" s="895"/>
      <c r="B9513" s="896"/>
      <c r="C9513" s="897"/>
      <c r="D9513" s="897"/>
      <c r="E9513" s="1002" t="s">
        <v>276</v>
      </c>
      <c r="F9513" s="1003"/>
      <c r="G9513" s="1004"/>
      <c r="H9513" s="901"/>
      <c r="I9513" s="902"/>
      <c r="J9513" s="902"/>
      <c r="K9513" s="912" t="s">
        <v>274</v>
      </c>
      <c r="L9513" s="902"/>
      <c r="M9513" s="902"/>
      <c r="N9513" s="902"/>
      <c r="O9513" s="892">
        <f t="shared" si="773"/>
        <v>0</v>
      </c>
      <c r="P9513" s="903">
        <f t="shared" si="770"/>
        <v>1</v>
      </c>
      <c r="Q9513" s="893">
        <f t="shared" si="771"/>
        <v>7</v>
      </c>
      <c r="R9513" s="894">
        <f t="shared" si="772"/>
        <v>0</v>
      </c>
    </row>
    <row r="9514" spans="1:18" s="847" customFormat="1">
      <c r="A9514" s="905"/>
      <c r="B9514" s="952"/>
      <c r="C9514" s="907">
        <v>740</v>
      </c>
      <c r="D9514" s="907" t="s">
        <v>12</v>
      </c>
      <c r="E9514" s="992" t="s">
        <v>4008</v>
      </c>
      <c r="F9514" s="905" t="s">
        <v>2674</v>
      </c>
      <c r="G9514" s="1005"/>
      <c r="H9514" s="911">
        <v>1.7</v>
      </c>
      <c r="I9514" s="912"/>
      <c r="J9514" s="912"/>
      <c r="K9514" s="912">
        <f>VLOOKUP(E9514,[5]ĐMNC!$A$7:$F$67,4,0)</f>
        <v>221125</v>
      </c>
      <c r="L9514" s="912">
        <f>H9514*K9514</f>
        <v>375912.5</v>
      </c>
      <c r="M9514" s="912"/>
      <c r="N9514" s="912"/>
      <c r="O9514" s="892">
        <f t="shared" si="773"/>
        <v>0</v>
      </c>
      <c r="P9514" s="903">
        <f t="shared" si="770"/>
        <v>1</v>
      </c>
      <c r="Q9514" s="893">
        <f t="shared" si="771"/>
        <v>6</v>
      </c>
      <c r="R9514" s="894">
        <f t="shared" si="772"/>
        <v>0</v>
      </c>
    </row>
    <row r="9515" spans="1:18" s="904" customFormat="1">
      <c r="A9515" s="895"/>
      <c r="B9515" s="896"/>
      <c r="C9515" s="897"/>
      <c r="D9515" s="897"/>
      <c r="E9515" s="1002" t="s">
        <v>3914</v>
      </c>
      <c r="F9515" s="895"/>
      <c r="G9515" s="1004"/>
      <c r="H9515" s="901"/>
      <c r="I9515" s="902"/>
      <c r="J9515" s="902"/>
      <c r="K9515" s="912" t="s">
        <v>274</v>
      </c>
      <c r="L9515" s="902"/>
      <c r="M9515" s="902"/>
      <c r="N9515" s="902"/>
      <c r="O9515" s="892">
        <f t="shared" si="773"/>
        <v>0</v>
      </c>
      <c r="P9515" s="903">
        <f t="shared" si="770"/>
        <v>1</v>
      </c>
      <c r="Q9515" s="893">
        <f t="shared" si="771"/>
        <v>5</v>
      </c>
      <c r="R9515" s="894">
        <f t="shared" si="772"/>
        <v>0</v>
      </c>
    </row>
    <row r="9516" spans="1:18">
      <c r="A9516" s="905"/>
      <c r="B9516" s="952" t="s">
        <v>6408</v>
      </c>
      <c r="C9516" s="907">
        <v>913</v>
      </c>
      <c r="D9516" s="907" t="s">
        <v>93</v>
      </c>
      <c r="E9516" s="992" t="s">
        <v>6409</v>
      </c>
      <c r="F9516" s="905" t="s">
        <v>2673</v>
      </c>
      <c r="G9516" s="1005"/>
      <c r="H9516" s="911">
        <v>0.47</v>
      </c>
      <c r="I9516" s="912"/>
      <c r="J9516" s="912"/>
      <c r="K9516" s="912"/>
      <c r="L9516" s="912"/>
      <c r="M9516" s="912">
        <f>VLOOKUP(B9516,MTC!$B$9:$S$933,12,0)</f>
        <v>0</v>
      </c>
      <c r="N9516" s="912">
        <f>M9516*H9516</f>
        <v>0</v>
      </c>
      <c r="O9516" s="892">
        <f t="shared" si="773"/>
        <v>0</v>
      </c>
      <c r="P9516" s="903">
        <f t="shared" si="770"/>
        <v>1</v>
      </c>
      <c r="Q9516" s="893">
        <f t="shared" si="771"/>
        <v>4</v>
      </c>
      <c r="R9516" s="894">
        <f t="shared" si="772"/>
        <v>0</v>
      </c>
    </row>
    <row r="9517" spans="1:18" s="847" customFormat="1">
      <c r="A9517" s="905"/>
      <c r="B9517" s="952" t="s">
        <v>6410</v>
      </c>
      <c r="C9517" s="907">
        <v>906</v>
      </c>
      <c r="D9517" s="907" t="s">
        <v>93</v>
      </c>
      <c r="E9517" s="992" t="s">
        <v>6411</v>
      </c>
      <c r="F9517" s="905" t="s">
        <v>2673</v>
      </c>
      <c r="G9517" s="1005"/>
      <c r="H9517" s="911">
        <v>0.18</v>
      </c>
      <c r="I9517" s="912"/>
      <c r="J9517" s="912"/>
      <c r="K9517" s="912"/>
      <c r="L9517" s="912"/>
      <c r="M9517" s="912">
        <f>VLOOKUP(B9517,MTC!$B$9:$S$933,12,0)</f>
        <v>0</v>
      </c>
      <c r="N9517" s="912">
        <f>M9517*H9517</f>
        <v>0</v>
      </c>
      <c r="O9517" s="892">
        <f t="shared" si="773"/>
        <v>0</v>
      </c>
      <c r="P9517" s="903">
        <f t="shared" si="770"/>
        <v>1</v>
      </c>
      <c r="Q9517" s="893">
        <f t="shared" si="771"/>
        <v>3</v>
      </c>
      <c r="R9517" s="894">
        <f t="shared" si="772"/>
        <v>0</v>
      </c>
    </row>
    <row r="9518" spans="1:18" s="904" customFormat="1">
      <c r="A9518" s="905"/>
      <c r="B9518" s="952" t="s">
        <v>6412</v>
      </c>
      <c r="C9518" s="907">
        <v>905</v>
      </c>
      <c r="D9518" s="907" t="s">
        <v>93</v>
      </c>
      <c r="E9518" s="992" t="s">
        <v>6413</v>
      </c>
      <c r="F9518" s="905" t="s">
        <v>2673</v>
      </c>
      <c r="G9518" s="1005"/>
      <c r="H9518" s="911">
        <v>0.18</v>
      </c>
      <c r="I9518" s="912"/>
      <c r="J9518" s="912"/>
      <c r="K9518" s="912"/>
      <c r="L9518" s="912"/>
      <c r="M9518" s="912">
        <f>VLOOKUP(B9518,MTC!$B$9:$S$933,12,0)</f>
        <v>225936</v>
      </c>
      <c r="N9518" s="912">
        <f>M9518*H9518</f>
        <v>40668.479999999996</v>
      </c>
      <c r="O9518" s="892">
        <f t="shared" si="773"/>
        <v>0</v>
      </c>
      <c r="P9518" s="903">
        <f t="shared" si="770"/>
        <v>1</v>
      </c>
      <c r="Q9518" s="893">
        <f t="shared" si="771"/>
        <v>2</v>
      </c>
      <c r="R9518" s="894">
        <f t="shared" si="772"/>
        <v>0</v>
      </c>
    </row>
    <row r="9519" spans="1:18">
      <c r="A9519" s="905"/>
      <c r="B9519" s="952" t="s">
        <v>6414</v>
      </c>
      <c r="C9519" s="907">
        <v>914</v>
      </c>
      <c r="D9519" s="907" t="s">
        <v>93</v>
      </c>
      <c r="E9519" s="992" t="s">
        <v>6415</v>
      </c>
      <c r="F9519" s="905" t="s">
        <v>2673</v>
      </c>
      <c r="G9519" s="1005"/>
      <c r="H9519" s="911">
        <v>0.1</v>
      </c>
      <c r="I9519" s="912"/>
      <c r="J9519" s="912"/>
      <c r="K9519" s="912"/>
      <c r="L9519" s="912"/>
      <c r="M9519" s="912">
        <f>VLOOKUP(B9519,MTC!$B$9:$S$933,12,0)</f>
        <v>0</v>
      </c>
      <c r="N9519" s="912">
        <f>M9519*H9519</f>
        <v>0</v>
      </c>
      <c r="O9519" s="892">
        <f t="shared" si="773"/>
        <v>0</v>
      </c>
      <c r="P9519" s="903">
        <f t="shared" si="770"/>
        <v>1</v>
      </c>
      <c r="Q9519" s="893">
        <f t="shared" si="771"/>
        <v>1</v>
      </c>
      <c r="R9519" s="894">
        <f t="shared" si="772"/>
        <v>0</v>
      </c>
    </row>
    <row r="9520" spans="1:18" s="847" customFormat="1" ht="31.5">
      <c r="A9520" s="905">
        <v>82</v>
      </c>
      <c r="B9520" s="914" t="s">
        <v>6513</v>
      </c>
      <c r="C9520" s="915"/>
      <c r="D9520" s="915"/>
      <c r="E9520" s="1006" t="s">
        <v>6514</v>
      </c>
      <c r="F9520" s="1007" t="s">
        <v>136</v>
      </c>
      <c r="G9520" s="1008"/>
      <c r="H9520" s="919"/>
      <c r="I9520" s="920"/>
      <c r="J9520" s="891">
        <f>SUM(J9521:J9531)</f>
        <v>55500</v>
      </c>
      <c r="K9520" s="891" t="s">
        <v>274</v>
      </c>
      <c r="L9520" s="891">
        <f>SUM(L9521:L9531)</f>
        <v>486475.00000000006</v>
      </c>
      <c r="M9520" s="891"/>
      <c r="N9520" s="891">
        <f>SUM(N9521:N9531)</f>
        <v>47446.559999999998</v>
      </c>
      <c r="O9520" s="892">
        <f t="shared" si="773"/>
        <v>1</v>
      </c>
      <c r="P9520" s="903">
        <f t="shared" si="770"/>
        <v>0</v>
      </c>
      <c r="Q9520" s="893">
        <f t="shared" si="771"/>
        <v>0</v>
      </c>
      <c r="R9520" s="894">
        <f t="shared" si="772"/>
        <v>11</v>
      </c>
    </row>
    <row r="9521" spans="1:18" s="904" customFormat="1">
      <c r="A9521" s="895"/>
      <c r="B9521" s="896"/>
      <c r="C9521" s="897"/>
      <c r="D9521" s="897"/>
      <c r="E9521" s="1002" t="s">
        <v>108</v>
      </c>
      <c r="F9521" s="895"/>
      <c r="G9521" s="1004"/>
      <c r="H9521" s="901"/>
      <c r="I9521" s="902"/>
      <c r="J9521" s="902"/>
      <c r="K9521" s="912" t="s">
        <v>274</v>
      </c>
      <c r="L9521" s="902"/>
      <c r="M9521" s="902"/>
      <c r="N9521" s="902"/>
      <c r="O9521" s="892">
        <f t="shared" si="773"/>
        <v>0</v>
      </c>
      <c r="P9521" s="903">
        <f t="shared" si="770"/>
        <v>1</v>
      </c>
      <c r="Q9521" s="893">
        <f t="shared" si="771"/>
        <v>11</v>
      </c>
      <c r="R9521" s="894">
        <f t="shared" si="772"/>
        <v>0</v>
      </c>
    </row>
    <row r="9522" spans="1:18">
      <c r="A9522" s="905"/>
      <c r="B9522" s="952"/>
      <c r="C9522" s="907">
        <v>315</v>
      </c>
      <c r="D9522" s="907" t="s">
        <v>279</v>
      </c>
      <c r="E9522" s="992" t="s">
        <v>6316</v>
      </c>
      <c r="F9522" s="905" t="s">
        <v>49</v>
      </c>
      <c r="G9522" s="1005"/>
      <c r="H9522" s="911">
        <v>0.5</v>
      </c>
      <c r="I9522" s="912">
        <f>VLOOKUP(E9522,[3]VLP!$B$7:$K$300,10,0)</f>
        <v>8000</v>
      </c>
      <c r="J9522" s="912">
        <f>I9522*H9522</f>
        <v>4000</v>
      </c>
      <c r="K9522" s="912" t="s">
        <v>274</v>
      </c>
      <c r="L9522" s="912"/>
      <c r="M9522" s="912"/>
      <c r="N9522" s="912"/>
      <c r="O9522" s="892">
        <f t="shared" si="773"/>
        <v>0</v>
      </c>
      <c r="P9522" s="903">
        <f t="shared" si="770"/>
        <v>1</v>
      </c>
      <c r="Q9522" s="893">
        <f t="shared" si="771"/>
        <v>10</v>
      </c>
      <c r="R9522" s="894">
        <f t="shared" si="772"/>
        <v>0</v>
      </c>
    </row>
    <row r="9523" spans="1:18" s="847" customFormat="1">
      <c r="A9523" s="905"/>
      <c r="B9523" s="952"/>
      <c r="C9523" s="907">
        <v>235</v>
      </c>
      <c r="D9523" s="907" t="s">
        <v>279</v>
      </c>
      <c r="E9523" s="992" t="s">
        <v>2682</v>
      </c>
      <c r="F9523" s="905" t="s">
        <v>45</v>
      </c>
      <c r="G9523" s="1005"/>
      <c r="H9523" s="911">
        <v>0.3</v>
      </c>
      <c r="I9523" s="912">
        <f>VLOOKUP(E9523,[3]VLP!$B$7:$K$300,10,0)</f>
        <v>5000</v>
      </c>
      <c r="J9523" s="912">
        <f>I9523*H9523</f>
        <v>1500</v>
      </c>
      <c r="K9523" s="912" t="s">
        <v>274</v>
      </c>
      <c r="L9523" s="912"/>
      <c r="M9523" s="912"/>
      <c r="N9523" s="912"/>
      <c r="O9523" s="892">
        <f t="shared" si="773"/>
        <v>0</v>
      </c>
      <c r="P9523" s="903">
        <f t="shared" ref="P9523:P9586" si="774">IF(O9523=0,1,0)</f>
        <v>1</v>
      </c>
      <c r="Q9523" s="893">
        <f t="shared" ref="Q9523:Q9586" si="775">IF(P9523=0,0,P9523+Q9524)</f>
        <v>9</v>
      </c>
      <c r="R9523" s="894">
        <f t="shared" ref="R9523:R9586" si="776">IF(Q9523=0,Q9524,0)</f>
        <v>0</v>
      </c>
    </row>
    <row r="9524" spans="1:18" s="904" customFormat="1">
      <c r="A9524" s="905"/>
      <c r="B9524" s="952"/>
      <c r="C9524" s="907">
        <v>699</v>
      </c>
      <c r="D9524" s="907" t="s">
        <v>279</v>
      </c>
      <c r="E9524" s="992" t="s">
        <v>4006</v>
      </c>
      <c r="F9524" s="905" t="s">
        <v>4007</v>
      </c>
      <c r="G9524" s="1005"/>
      <c r="H9524" s="911">
        <v>10</v>
      </c>
      <c r="I9524" s="912">
        <f>VLOOKUP(E9524,[3]VLP!$B$7:$K$300,10,0)</f>
        <v>5000</v>
      </c>
      <c r="J9524" s="912">
        <f>I9524*H9524</f>
        <v>50000</v>
      </c>
      <c r="K9524" s="912" t="s">
        <v>274</v>
      </c>
      <c r="L9524" s="912"/>
      <c r="M9524" s="912"/>
      <c r="N9524" s="912"/>
      <c r="O9524" s="892">
        <f t="shared" si="773"/>
        <v>0</v>
      </c>
      <c r="P9524" s="903">
        <f t="shared" si="774"/>
        <v>1</v>
      </c>
      <c r="Q9524" s="893">
        <f t="shared" si="775"/>
        <v>8</v>
      </c>
      <c r="R9524" s="894">
        <f t="shared" si="776"/>
        <v>0</v>
      </c>
    </row>
    <row r="9525" spans="1:18">
      <c r="A9525" s="895"/>
      <c r="B9525" s="896"/>
      <c r="C9525" s="897"/>
      <c r="D9525" s="897"/>
      <c r="E9525" s="1002" t="s">
        <v>276</v>
      </c>
      <c r="F9525" s="1003"/>
      <c r="G9525" s="1004"/>
      <c r="H9525" s="901"/>
      <c r="I9525" s="902"/>
      <c r="J9525" s="902"/>
      <c r="K9525" s="912" t="s">
        <v>274</v>
      </c>
      <c r="L9525" s="902"/>
      <c r="M9525" s="902"/>
      <c r="N9525" s="902"/>
      <c r="O9525" s="892">
        <f t="shared" si="773"/>
        <v>0</v>
      </c>
      <c r="P9525" s="903">
        <f t="shared" si="774"/>
        <v>1</v>
      </c>
      <c r="Q9525" s="893">
        <f t="shared" si="775"/>
        <v>7</v>
      </c>
      <c r="R9525" s="894">
        <f t="shared" si="776"/>
        <v>0</v>
      </c>
    </row>
    <row r="9526" spans="1:18" s="847" customFormat="1">
      <c r="A9526" s="905"/>
      <c r="B9526" s="952"/>
      <c r="C9526" s="907">
        <v>740</v>
      </c>
      <c r="D9526" s="907" t="s">
        <v>12</v>
      </c>
      <c r="E9526" s="992" t="s">
        <v>4008</v>
      </c>
      <c r="F9526" s="905" t="s">
        <v>2674</v>
      </c>
      <c r="G9526" s="1005"/>
      <c r="H9526" s="911">
        <v>2.2000000000000002</v>
      </c>
      <c r="I9526" s="912"/>
      <c r="J9526" s="912"/>
      <c r="K9526" s="912">
        <f>VLOOKUP(E9526,[5]ĐMNC!$A$7:$F$67,4,0)</f>
        <v>221125</v>
      </c>
      <c r="L9526" s="912">
        <f>H9526*K9526</f>
        <v>486475.00000000006</v>
      </c>
      <c r="M9526" s="912"/>
      <c r="N9526" s="912"/>
      <c r="O9526" s="892">
        <f t="shared" si="773"/>
        <v>0</v>
      </c>
      <c r="P9526" s="903">
        <f t="shared" si="774"/>
        <v>1</v>
      </c>
      <c r="Q9526" s="893">
        <f t="shared" si="775"/>
        <v>6</v>
      </c>
      <c r="R9526" s="894">
        <f t="shared" si="776"/>
        <v>0</v>
      </c>
    </row>
    <row r="9527" spans="1:18" s="904" customFormat="1">
      <c r="A9527" s="895"/>
      <c r="B9527" s="896"/>
      <c r="C9527" s="897"/>
      <c r="D9527" s="897"/>
      <c r="E9527" s="1002" t="s">
        <v>3914</v>
      </c>
      <c r="F9527" s="895"/>
      <c r="G9527" s="1004"/>
      <c r="H9527" s="901"/>
      <c r="I9527" s="902"/>
      <c r="J9527" s="902"/>
      <c r="K9527" s="912" t="s">
        <v>274</v>
      </c>
      <c r="L9527" s="902"/>
      <c r="M9527" s="902"/>
      <c r="N9527" s="902"/>
      <c r="O9527" s="892">
        <f t="shared" si="773"/>
        <v>0</v>
      </c>
      <c r="P9527" s="903">
        <f t="shared" si="774"/>
        <v>1</v>
      </c>
      <c r="Q9527" s="893">
        <f t="shared" si="775"/>
        <v>5</v>
      </c>
      <c r="R9527" s="894">
        <f t="shared" si="776"/>
        <v>0</v>
      </c>
    </row>
    <row r="9528" spans="1:18">
      <c r="A9528" s="905"/>
      <c r="B9528" s="952" t="s">
        <v>6408</v>
      </c>
      <c r="C9528" s="907">
        <v>913</v>
      </c>
      <c r="D9528" s="907" t="s">
        <v>93</v>
      </c>
      <c r="E9528" s="992" t="s">
        <v>6409</v>
      </c>
      <c r="F9528" s="905" t="s">
        <v>2673</v>
      </c>
      <c r="G9528" s="1005"/>
      <c r="H9528" s="911">
        <v>0.61</v>
      </c>
      <c r="I9528" s="912"/>
      <c r="J9528" s="912"/>
      <c r="K9528" s="912"/>
      <c r="L9528" s="912"/>
      <c r="M9528" s="912">
        <f>VLOOKUP(B9528,MTC!$B$9:$S$933,12,0)</f>
        <v>0</v>
      </c>
      <c r="N9528" s="912">
        <f>M9528*H9528</f>
        <v>0</v>
      </c>
      <c r="O9528" s="892">
        <f t="shared" si="773"/>
        <v>0</v>
      </c>
      <c r="P9528" s="903">
        <f t="shared" si="774"/>
        <v>1</v>
      </c>
      <c r="Q9528" s="893">
        <f t="shared" si="775"/>
        <v>4</v>
      </c>
      <c r="R9528" s="894">
        <f t="shared" si="776"/>
        <v>0</v>
      </c>
    </row>
    <row r="9529" spans="1:18" s="847" customFormat="1">
      <c r="A9529" s="905"/>
      <c r="B9529" s="952" t="s">
        <v>6410</v>
      </c>
      <c r="C9529" s="907">
        <v>906</v>
      </c>
      <c r="D9529" s="907" t="s">
        <v>93</v>
      </c>
      <c r="E9529" s="992" t="s">
        <v>6411</v>
      </c>
      <c r="F9529" s="905" t="s">
        <v>2673</v>
      </c>
      <c r="G9529" s="1005"/>
      <c r="H9529" s="911">
        <v>0.21</v>
      </c>
      <c r="I9529" s="912"/>
      <c r="J9529" s="912"/>
      <c r="K9529" s="912"/>
      <c r="L9529" s="912"/>
      <c r="M9529" s="912">
        <f>VLOOKUP(B9529,MTC!$B$9:$S$933,12,0)</f>
        <v>0</v>
      </c>
      <c r="N9529" s="912">
        <f>M9529*H9529</f>
        <v>0</v>
      </c>
      <c r="O9529" s="892">
        <f t="shared" si="773"/>
        <v>0</v>
      </c>
      <c r="P9529" s="903">
        <f t="shared" si="774"/>
        <v>1</v>
      </c>
      <c r="Q9529" s="893">
        <f t="shared" si="775"/>
        <v>3</v>
      </c>
      <c r="R9529" s="894">
        <f t="shared" si="776"/>
        <v>0</v>
      </c>
    </row>
    <row r="9530" spans="1:18" s="904" customFormat="1">
      <c r="A9530" s="905"/>
      <c r="B9530" s="952" t="s">
        <v>6412</v>
      </c>
      <c r="C9530" s="907">
        <v>905</v>
      </c>
      <c r="D9530" s="907" t="s">
        <v>93</v>
      </c>
      <c r="E9530" s="992" t="s">
        <v>6413</v>
      </c>
      <c r="F9530" s="905" t="s">
        <v>2673</v>
      </c>
      <c r="G9530" s="1005"/>
      <c r="H9530" s="911">
        <v>0.21</v>
      </c>
      <c r="I9530" s="912"/>
      <c r="J9530" s="912"/>
      <c r="K9530" s="912"/>
      <c r="L9530" s="912"/>
      <c r="M9530" s="912">
        <f>VLOOKUP(B9530,MTC!$B$9:$S$933,12,0)</f>
        <v>225936</v>
      </c>
      <c r="N9530" s="912">
        <f>M9530*H9530</f>
        <v>47446.559999999998</v>
      </c>
      <c r="O9530" s="892">
        <f t="shared" si="773"/>
        <v>0</v>
      </c>
      <c r="P9530" s="903">
        <f t="shared" si="774"/>
        <v>1</v>
      </c>
      <c r="Q9530" s="893">
        <f t="shared" si="775"/>
        <v>2</v>
      </c>
      <c r="R9530" s="894">
        <f t="shared" si="776"/>
        <v>0</v>
      </c>
    </row>
    <row r="9531" spans="1:18">
      <c r="A9531" s="905"/>
      <c r="B9531" s="952" t="s">
        <v>6414</v>
      </c>
      <c r="C9531" s="907">
        <v>914</v>
      </c>
      <c r="D9531" s="907" t="s">
        <v>93</v>
      </c>
      <c r="E9531" s="992" t="s">
        <v>6415</v>
      </c>
      <c r="F9531" s="905" t="s">
        <v>2673</v>
      </c>
      <c r="G9531" s="1005"/>
      <c r="H9531" s="911">
        <v>0.1</v>
      </c>
      <c r="I9531" s="912"/>
      <c r="J9531" s="912"/>
      <c r="K9531" s="912"/>
      <c r="L9531" s="912"/>
      <c r="M9531" s="912">
        <f>VLOOKUP(B9531,MTC!$B$9:$S$933,12,0)</f>
        <v>0</v>
      </c>
      <c r="N9531" s="912">
        <f>M9531*H9531</f>
        <v>0</v>
      </c>
      <c r="O9531" s="892">
        <f t="shared" si="773"/>
        <v>0</v>
      </c>
      <c r="P9531" s="903">
        <f t="shared" si="774"/>
        <v>1</v>
      </c>
      <c r="Q9531" s="893">
        <f t="shared" si="775"/>
        <v>1</v>
      </c>
      <c r="R9531" s="894">
        <f t="shared" si="776"/>
        <v>0</v>
      </c>
    </row>
    <row r="9532" spans="1:18" s="847" customFormat="1" ht="31.5">
      <c r="A9532" s="905">
        <v>83</v>
      </c>
      <c r="B9532" s="914" t="s">
        <v>6515</v>
      </c>
      <c r="C9532" s="915"/>
      <c r="D9532" s="915"/>
      <c r="E9532" s="1006" t="s">
        <v>6516</v>
      </c>
      <c r="F9532" s="1007" t="s">
        <v>136</v>
      </c>
      <c r="G9532" s="1008"/>
      <c r="H9532" s="919"/>
      <c r="I9532" s="920"/>
      <c r="J9532" s="891">
        <f>SUM(J9533:J9543)</f>
        <v>55500</v>
      </c>
      <c r="K9532" s="891" t="s">
        <v>274</v>
      </c>
      <c r="L9532" s="891">
        <f>SUM(L9533:L9543)</f>
        <v>619150</v>
      </c>
      <c r="M9532" s="891"/>
      <c r="N9532" s="891">
        <f>SUM(N9533:N9543)</f>
        <v>56484</v>
      </c>
      <c r="O9532" s="892">
        <f t="shared" si="773"/>
        <v>1</v>
      </c>
      <c r="P9532" s="903">
        <f t="shared" si="774"/>
        <v>0</v>
      </c>
      <c r="Q9532" s="893">
        <f t="shared" si="775"/>
        <v>0</v>
      </c>
      <c r="R9532" s="894">
        <f t="shared" si="776"/>
        <v>11</v>
      </c>
    </row>
    <row r="9533" spans="1:18" s="904" customFormat="1">
      <c r="A9533" s="895"/>
      <c r="B9533" s="896"/>
      <c r="C9533" s="897"/>
      <c r="D9533" s="897"/>
      <c r="E9533" s="1002" t="s">
        <v>108</v>
      </c>
      <c r="F9533" s="895"/>
      <c r="G9533" s="1004"/>
      <c r="H9533" s="901"/>
      <c r="I9533" s="902"/>
      <c r="J9533" s="902"/>
      <c r="K9533" s="912" t="s">
        <v>274</v>
      </c>
      <c r="L9533" s="902"/>
      <c r="M9533" s="902"/>
      <c r="N9533" s="902"/>
      <c r="O9533" s="892">
        <f t="shared" si="773"/>
        <v>0</v>
      </c>
      <c r="P9533" s="903">
        <f t="shared" si="774"/>
        <v>1</v>
      </c>
      <c r="Q9533" s="893">
        <f t="shared" si="775"/>
        <v>11</v>
      </c>
      <c r="R9533" s="894">
        <f t="shared" si="776"/>
        <v>0</v>
      </c>
    </row>
    <row r="9534" spans="1:18">
      <c r="A9534" s="905"/>
      <c r="B9534" s="952"/>
      <c r="C9534" s="907">
        <v>315</v>
      </c>
      <c r="D9534" s="907" t="s">
        <v>279</v>
      </c>
      <c r="E9534" s="992" t="s">
        <v>6316</v>
      </c>
      <c r="F9534" s="905" t="s">
        <v>49</v>
      </c>
      <c r="G9534" s="1005"/>
      <c r="H9534" s="911">
        <v>0.5</v>
      </c>
      <c r="I9534" s="912">
        <f>VLOOKUP(E9534,[3]VLP!$B$7:$K$300,10,0)</f>
        <v>8000</v>
      </c>
      <c r="J9534" s="912">
        <f>I9534*H9534</f>
        <v>4000</v>
      </c>
      <c r="K9534" s="912" t="s">
        <v>274</v>
      </c>
      <c r="L9534" s="912"/>
      <c r="M9534" s="912"/>
      <c r="N9534" s="912"/>
      <c r="O9534" s="892">
        <f t="shared" si="773"/>
        <v>0</v>
      </c>
      <c r="P9534" s="903">
        <f t="shared" si="774"/>
        <v>1</v>
      </c>
      <c r="Q9534" s="893">
        <f t="shared" si="775"/>
        <v>10</v>
      </c>
      <c r="R9534" s="894">
        <f t="shared" si="776"/>
        <v>0</v>
      </c>
    </row>
    <row r="9535" spans="1:18" s="847" customFormat="1">
      <c r="A9535" s="905"/>
      <c r="B9535" s="952"/>
      <c r="C9535" s="907">
        <v>235</v>
      </c>
      <c r="D9535" s="907" t="s">
        <v>279</v>
      </c>
      <c r="E9535" s="992" t="s">
        <v>2682</v>
      </c>
      <c r="F9535" s="905" t="s">
        <v>45</v>
      </c>
      <c r="G9535" s="1005"/>
      <c r="H9535" s="911">
        <v>0.3</v>
      </c>
      <c r="I9535" s="912">
        <f>VLOOKUP(E9535,[3]VLP!$B$7:$K$300,10,0)</f>
        <v>5000</v>
      </c>
      <c r="J9535" s="912">
        <f>I9535*H9535</f>
        <v>1500</v>
      </c>
      <c r="K9535" s="912" t="s">
        <v>274</v>
      </c>
      <c r="L9535" s="912"/>
      <c r="M9535" s="912"/>
      <c r="N9535" s="912"/>
      <c r="O9535" s="892">
        <f t="shared" si="773"/>
        <v>0</v>
      </c>
      <c r="P9535" s="903">
        <f t="shared" si="774"/>
        <v>1</v>
      </c>
      <c r="Q9535" s="893">
        <f t="shared" si="775"/>
        <v>9</v>
      </c>
      <c r="R9535" s="894">
        <f t="shared" si="776"/>
        <v>0</v>
      </c>
    </row>
    <row r="9536" spans="1:18" s="904" customFormat="1">
      <c r="A9536" s="905"/>
      <c r="B9536" s="952"/>
      <c r="C9536" s="907">
        <v>699</v>
      </c>
      <c r="D9536" s="907" t="s">
        <v>279</v>
      </c>
      <c r="E9536" s="992" t="s">
        <v>4006</v>
      </c>
      <c r="F9536" s="905" t="s">
        <v>4007</v>
      </c>
      <c r="G9536" s="1005"/>
      <c r="H9536" s="911">
        <v>10</v>
      </c>
      <c r="I9536" s="912">
        <f>VLOOKUP(E9536,[3]VLP!$B$7:$K$300,10,0)</f>
        <v>5000</v>
      </c>
      <c r="J9536" s="912">
        <f>I9536*H9536</f>
        <v>50000</v>
      </c>
      <c r="K9536" s="912" t="s">
        <v>274</v>
      </c>
      <c r="L9536" s="912"/>
      <c r="M9536" s="912"/>
      <c r="N9536" s="912"/>
      <c r="O9536" s="892">
        <f t="shared" si="773"/>
        <v>0</v>
      </c>
      <c r="P9536" s="903">
        <f t="shared" si="774"/>
        <v>1</v>
      </c>
      <c r="Q9536" s="893">
        <f t="shared" si="775"/>
        <v>8</v>
      </c>
      <c r="R9536" s="894">
        <f t="shared" si="776"/>
        <v>0</v>
      </c>
    </row>
    <row r="9537" spans="1:18">
      <c r="A9537" s="895"/>
      <c r="B9537" s="896"/>
      <c r="C9537" s="897"/>
      <c r="D9537" s="897"/>
      <c r="E9537" s="1002" t="s">
        <v>276</v>
      </c>
      <c r="F9537" s="1003"/>
      <c r="G9537" s="1004"/>
      <c r="H9537" s="901"/>
      <c r="I9537" s="902"/>
      <c r="J9537" s="902"/>
      <c r="K9537" s="912" t="s">
        <v>274</v>
      </c>
      <c r="L9537" s="902"/>
      <c r="M9537" s="902"/>
      <c r="N9537" s="902"/>
      <c r="O9537" s="892">
        <f t="shared" si="773"/>
        <v>0</v>
      </c>
      <c r="P9537" s="903">
        <f t="shared" si="774"/>
        <v>1</v>
      </c>
      <c r="Q9537" s="893">
        <f t="shared" si="775"/>
        <v>7</v>
      </c>
      <c r="R9537" s="894">
        <f t="shared" si="776"/>
        <v>0</v>
      </c>
    </row>
    <row r="9538" spans="1:18" s="847" customFormat="1">
      <c r="A9538" s="905"/>
      <c r="B9538" s="952"/>
      <c r="C9538" s="907">
        <v>740</v>
      </c>
      <c r="D9538" s="907" t="s">
        <v>12</v>
      </c>
      <c r="E9538" s="992" t="s">
        <v>4008</v>
      </c>
      <c r="F9538" s="905" t="s">
        <v>2674</v>
      </c>
      <c r="G9538" s="1005"/>
      <c r="H9538" s="911">
        <v>2.8</v>
      </c>
      <c r="I9538" s="912"/>
      <c r="J9538" s="912"/>
      <c r="K9538" s="912">
        <f>VLOOKUP(E9538,[5]ĐMNC!$A$7:$F$67,4,0)</f>
        <v>221125</v>
      </c>
      <c r="L9538" s="912">
        <f>H9538*K9538</f>
        <v>619150</v>
      </c>
      <c r="M9538" s="912"/>
      <c r="N9538" s="912"/>
      <c r="O9538" s="892">
        <f t="shared" si="773"/>
        <v>0</v>
      </c>
      <c r="P9538" s="903">
        <f t="shared" si="774"/>
        <v>1</v>
      </c>
      <c r="Q9538" s="893">
        <f t="shared" si="775"/>
        <v>6</v>
      </c>
      <c r="R9538" s="894">
        <f t="shared" si="776"/>
        <v>0</v>
      </c>
    </row>
    <row r="9539" spans="1:18" s="904" customFormat="1">
      <c r="A9539" s="895"/>
      <c r="B9539" s="896"/>
      <c r="C9539" s="897"/>
      <c r="D9539" s="897"/>
      <c r="E9539" s="1002" t="s">
        <v>3914</v>
      </c>
      <c r="F9539" s="895"/>
      <c r="G9539" s="1004"/>
      <c r="H9539" s="901"/>
      <c r="I9539" s="902"/>
      <c r="J9539" s="902"/>
      <c r="K9539" s="912" t="s">
        <v>274</v>
      </c>
      <c r="L9539" s="902"/>
      <c r="M9539" s="902"/>
      <c r="N9539" s="902"/>
      <c r="O9539" s="892">
        <f t="shared" si="773"/>
        <v>0</v>
      </c>
      <c r="P9539" s="903">
        <f t="shared" si="774"/>
        <v>1</v>
      </c>
      <c r="Q9539" s="893">
        <f t="shared" si="775"/>
        <v>5</v>
      </c>
      <c r="R9539" s="894">
        <f t="shared" si="776"/>
        <v>0</v>
      </c>
    </row>
    <row r="9540" spans="1:18">
      <c r="A9540" s="905"/>
      <c r="B9540" s="952" t="s">
        <v>6408</v>
      </c>
      <c r="C9540" s="907">
        <v>913</v>
      </c>
      <c r="D9540" s="907" t="s">
        <v>93</v>
      </c>
      <c r="E9540" s="992" t="s">
        <v>6409</v>
      </c>
      <c r="F9540" s="905" t="s">
        <v>2673</v>
      </c>
      <c r="G9540" s="1005"/>
      <c r="H9540" s="911">
        <v>0.73</v>
      </c>
      <c r="I9540" s="912"/>
      <c r="J9540" s="912"/>
      <c r="K9540" s="912"/>
      <c r="L9540" s="912"/>
      <c r="M9540" s="912">
        <f>VLOOKUP(B9540,MTC!$B$9:$S$933,12,0)</f>
        <v>0</v>
      </c>
      <c r="N9540" s="912">
        <f>M9540*H9540</f>
        <v>0</v>
      </c>
      <c r="O9540" s="892">
        <f t="shared" si="773"/>
        <v>0</v>
      </c>
      <c r="P9540" s="903">
        <f t="shared" si="774"/>
        <v>1</v>
      </c>
      <c r="Q9540" s="893">
        <f t="shared" si="775"/>
        <v>4</v>
      </c>
      <c r="R9540" s="894">
        <f t="shared" si="776"/>
        <v>0</v>
      </c>
    </row>
    <row r="9541" spans="1:18" s="847" customFormat="1">
      <c r="A9541" s="905"/>
      <c r="B9541" s="952" t="s">
        <v>6410</v>
      </c>
      <c r="C9541" s="907">
        <v>906</v>
      </c>
      <c r="D9541" s="907" t="s">
        <v>93</v>
      </c>
      <c r="E9541" s="992" t="s">
        <v>6411</v>
      </c>
      <c r="F9541" s="905" t="s">
        <v>2673</v>
      </c>
      <c r="G9541" s="1005"/>
      <c r="H9541" s="911">
        <v>0.25</v>
      </c>
      <c r="I9541" s="912"/>
      <c r="J9541" s="912"/>
      <c r="K9541" s="912"/>
      <c r="L9541" s="912"/>
      <c r="M9541" s="912">
        <f>VLOOKUP(B9541,MTC!$B$9:$S$933,12,0)</f>
        <v>0</v>
      </c>
      <c r="N9541" s="912">
        <f>M9541*H9541</f>
        <v>0</v>
      </c>
      <c r="O9541" s="892">
        <f t="shared" si="773"/>
        <v>0</v>
      </c>
      <c r="P9541" s="903">
        <f t="shared" si="774"/>
        <v>1</v>
      </c>
      <c r="Q9541" s="893">
        <f t="shared" si="775"/>
        <v>3</v>
      </c>
      <c r="R9541" s="894">
        <f t="shared" si="776"/>
        <v>0</v>
      </c>
    </row>
    <row r="9542" spans="1:18" s="904" customFormat="1">
      <c r="A9542" s="905"/>
      <c r="B9542" s="952" t="s">
        <v>6412</v>
      </c>
      <c r="C9542" s="907">
        <v>905</v>
      </c>
      <c r="D9542" s="907" t="s">
        <v>93</v>
      </c>
      <c r="E9542" s="992" t="s">
        <v>6413</v>
      </c>
      <c r="F9542" s="905" t="s">
        <v>2673</v>
      </c>
      <c r="G9542" s="1005"/>
      <c r="H9542" s="911">
        <v>0.25</v>
      </c>
      <c r="I9542" s="912"/>
      <c r="J9542" s="912"/>
      <c r="K9542" s="912"/>
      <c r="L9542" s="912"/>
      <c r="M9542" s="912">
        <f>VLOOKUP(B9542,MTC!$B$9:$S$933,12,0)</f>
        <v>225936</v>
      </c>
      <c r="N9542" s="912">
        <f>M9542*H9542</f>
        <v>56484</v>
      </c>
      <c r="O9542" s="892">
        <f t="shared" si="773"/>
        <v>0</v>
      </c>
      <c r="P9542" s="903">
        <f t="shared" si="774"/>
        <v>1</v>
      </c>
      <c r="Q9542" s="893">
        <f t="shared" si="775"/>
        <v>2</v>
      </c>
      <c r="R9542" s="894">
        <f t="shared" si="776"/>
        <v>0</v>
      </c>
    </row>
    <row r="9543" spans="1:18">
      <c r="A9543" s="905"/>
      <c r="B9543" s="952" t="s">
        <v>6414</v>
      </c>
      <c r="C9543" s="907">
        <v>914</v>
      </c>
      <c r="D9543" s="907" t="s">
        <v>93</v>
      </c>
      <c r="E9543" s="992" t="s">
        <v>6415</v>
      </c>
      <c r="F9543" s="905" t="s">
        <v>2673</v>
      </c>
      <c r="G9543" s="1005"/>
      <c r="H9543" s="911">
        <v>0.1</v>
      </c>
      <c r="I9543" s="912"/>
      <c r="J9543" s="912"/>
      <c r="K9543" s="912"/>
      <c r="L9543" s="912"/>
      <c r="M9543" s="912">
        <f>VLOOKUP(B9543,MTC!$B$9:$S$933,12,0)</f>
        <v>0</v>
      </c>
      <c r="N9543" s="912">
        <f>M9543*H9543</f>
        <v>0</v>
      </c>
      <c r="O9543" s="892">
        <f t="shared" si="773"/>
        <v>0</v>
      </c>
      <c r="P9543" s="903">
        <f t="shared" si="774"/>
        <v>1</v>
      </c>
      <c r="Q9543" s="893">
        <f t="shared" si="775"/>
        <v>1</v>
      </c>
      <c r="R9543" s="894">
        <f t="shared" si="776"/>
        <v>0</v>
      </c>
    </row>
    <row r="9544" spans="1:18" s="847" customFormat="1" ht="31.5">
      <c r="A9544" s="905">
        <v>84</v>
      </c>
      <c r="B9544" s="914" t="s">
        <v>6517</v>
      </c>
      <c r="C9544" s="915"/>
      <c r="D9544" s="915"/>
      <c r="E9544" s="1006" t="s">
        <v>6518</v>
      </c>
      <c r="F9544" s="1007" t="s">
        <v>136</v>
      </c>
      <c r="G9544" s="1008"/>
      <c r="H9544" s="919"/>
      <c r="I9544" s="920"/>
      <c r="J9544" s="891">
        <f>SUM(J9545:J9555)</f>
        <v>55500</v>
      </c>
      <c r="K9544" s="891" t="s">
        <v>274</v>
      </c>
      <c r="L9544" s="891">
        <f>SUM(L9545:L9555)</f>
        <v>773937.5</v>
      </c>
      <c r="M9544" s="891"/>
      <c r="N9544" s="891">
        <f>SUM(N9545:N9555)</f>
        <v>70040.160000000003</v>
      </c>
      <c r="O9544" s="892">
        <f t="shared" si="773"/>
        <v>1</v>
      </c>
      <c r="P9544" s="903">
        <f t="shared" si="774"/>
        <v>0</v>
      </c>
      <c r="Q9544" s="893">
        <f t="shared" si="775"/>
        <v>0</v>
      </c>
      <c r="R9544" s="894">
        <f t="shared" si="776"/>
        <v>11</v>
      </c>
    </row>
    <row r="9545" spans="1:18" s="904" customFormat="1">
      <c r="A9545" s="895"/>
      <c r="B9545" s="896"/>
      <c r="C9545" s="897"/>
      <c r="D9545" s="897"/>
      <c r="E9545" s="1002" t="s">
        <v>108</v>
      </c>
      <c r="F9545" s="895"/>
      <c r="G9545" s="1004"/>
      <c r="H9545" s="901"/>
      <c r="I9545" s="902"/>
      <c r="J9545" s="902"/>
      <c r="K9545" s="912" t="s">
        <v>274</v>
      </c>
      <c r="L9545" s="902"/>
      <c r="M9545" s="902"/>
      <c r="N9545" s="902"/>
      <c r="O9545" s="892">
        <f t="shared" si="773"/>
        <v>0</v>
      </c>
      <c r="P9545" s="903">
        <f t="shared" si="774"/>
        <v>1</v>
      </c>
      <c r="Q9545" s="893">
        <f t="shared" si="775"/>
        <v>11</v>
      </c>
      <c r="R9545" s="894">
        <f t="shared" si="776"/>
        <v>0</v>
      </c>
    </row>
    <row r="9546" spans="1:18">
      <c r="A9546" s="905"/>
      <c r="B9546" s="952"/>
      <c r="C9546" s="907">
        <v>315</v>
      </c>
      <c r="D9546" s="907" t="s">
        <v>279</v>
      </c>
      <c r="E9546" s="992" t="s">
        <v>6316</v>
      </c>
      <c r="F9546" s="905" t="s">
        <v>49</v>
      </c>
      <c r="G9546" s="1005"/>
      <c r="H9546" s="911">
        <v>0.5</v>
      </c>
      <c r="I9546" s="912">
        <f>VLOOKUP(E9546,[3]VLP!$B$7:$K$300,10,0)</f>
        <v>8000</v>
      </c>
      <c r="J9546" s="912">
        <f>I9546*H9546</f>
        <v>4000</v>
      </c>
      <c r="K9546" s="912" t="s">
        <v>274</v>
      </c>
      <c r="L9546" s="912"/>
      <c r="M9546" s="912"/>
      <c r="N9546" s="912"/>
      <c r="O9546" s="892">
        <f t="shared" si="773"/>
        <v>0</v>
      </c>
      <c r="P9546" s="903">
        <f t="shared" si="774"/>
        <v>1</v>
      </c>
      <c r="Q9546" s="893">
        <f t="shared" si="775"/>
        <v>10</v>
      </c>
      <c r="R9546" s="894">
        <f t="shared" si="776"/>
        <v>0</v>
      </c>
    </row>
    <row r="9547" spans="1:18" s="847" customFormat="1">
      <c r="A9547" s="905"/>
      <c r="B9547" s="952"/>
      <c r="C9547" s="907">
        <v>235</v>
      </c>
      <c r="D9547" s="907" t="s">
        <v>279</v>
      </c>
      <c r="E9547" s="992" t="s">
        <v>2682</v>
      </c>
      <c r="F9547" s="905" t="s">
        <v>45</v>
      </c>
      <c r="G9547" s="1005"/>
      <c r="H9547" s="911">
        <v>0.3</v>
      </c>
      <c r="I9547" s="912">
        <f>VLOOKUP(E9547,[3]VLP!$B$7:$K$300,10,0)</f>
        <v>5000</v>
      </c>
      <c r="J9547" s="912">
        <f>I9547*H9547</f>
        <v>1500</v>
      </c>
      <c r="K9547" s="912" t="s">
        <v>274</v>
      </c>
      <c r="L9547" s="912"/>
      <c r="M9547" s="912"/>
      <c r="N9547" s="912"/>
      <c r="O9547" s="892">
        <f t="shared" si="773"/>
        <v>0</v>
      </c>
      <c r="P9547" s="903">
        <f t="shared" si="774"/>
        <v>1</v>
      </c>
      <c r="Q9547" s="893">
        <f t="shared" si="775"/>
        <v>9</v>
      </c>
      <c r="R9547" s="894">
        <f t="shared" si="776"/>
        <v>0</v>
      </c>
    </row>
    <row r="9548" spans="1:18" s="904" customFormat="1">
      <c r="A9548" s="905"/>
      <c r="B9548" s="952"/>
      <c r="C9548" s="907">
        <v>699</v>
      </c>
      <c r="D9548" s="907" t="s">
        <v>279</v>
      </c>
      <c r="E9548" s="992" t="s">
        <v>4006</v>
      </c>
      <c r="F9548" s="905" t="s">
        <v>4007</v>
      </c>
      <c r="G9548" s="1005"/>
      <c r="H9548" s="911">
        <v>10</v>
      </c>
      <c r="I9548" s="912">
        <f>VLOOKUP(E9548,[3]VLP!$B$7:$K$300,10,0)</f>
        <v>5000</v>
      </c>
      <c r="J9548" s="912">
        <f>I9548*H9548</f>
        <v>50000</v>
      </c>
      <c r="K9548" s="912" t="s">
        <v>274</v>
      </c>
      <c r="L9548" s="912"/>
      <c r="M9548" s="912"/>
      <c r="N9548" s="912"/>
      <c r="O9548" s="892">
        <f t="shared" si="773"/>
        <v>0</v>
      </c>
      <c r="P9548" s="903">
        <f t="shared" si="774"/>
        <v>1</v>
      </c>
      <c r="Q9548" s="893">
        <f t="shared" si="775"/>
        <v>8</v>
      </c>
      <c r="R9548" s="894">
        <f t="shared" si="776"/>
        <v>0</v>
      </c>
    </row>
    <row r="9549" spans="1:18">
      <c r="A9549" s="895"/>
      <c r="B9549" s="896"/>
      <c r="C9549" s="897"/>
      <c r="D9549" s="897"/>
      <c r="E9549" s="1002" t="s">
        <v>276</v>
      </c>
      <c r="F9549" s="1003"/>
      <c r="G9549" s="1004"/>
      <c r="H9549" s="901"/>
      <c r="I9549" s="902"/>
      <c r="J9549" s="902"/>
      <c r="K9549" s="912" t="s">
        <v>274</v>
      </c>
      <c r="L9549" s="902"/>
      <c r="M9549" s="902"/>
      <c r="N9549" s="902"/>
      <c r="O9549" s="892">
        <f t="shared" si="773"/>
        <v>0</v>
      </c>
      <c r="P9549" s="903">
        <f t="shared" si="774"/>
        <v>1</v>
      </c>
      <c r="Q9549" s="893">
        <f t="shared" si="775"/>
        <v>7</v>
      </c>
      <c r="R9549" s="894">
        <f t="shared" si="776"/>
        <v>0</v>
      </c>
    </row>
    <row r="9550" spans="1:18" s="847" customFormat="1">
      <c r="A9550" s="905"/>
      <c r="B9550" s="952"/>
      <c r="C9550" s="907">
        <v>740</v>
      </c>
      <c r="D9550" s="907" t="s">
        <v>12</v>
      </c>
      <c r="E9550" s="992" t="s">
        <v>4008</v>
      </c>
      <c r="F9550" s="905" t="s">
        <v>2674</v>
      </c>
      <c r="G9550" s="1005"/>
      <c r="H9550" s="911">
        <v>3.5</v>
      </c>
      <c r="I9550" s="912"/>
      <c r="J9550" s="912"/>
      <c r="K9550" s="912">
        <f>VLOOKUP(E9550,[5]ĐMNC!$A$7:$F$67,4,0)</f>
        <v>221125</v>
      </c>
      <c r="L9550" s="912">
        <f>H9550*K9550</f>
        <v>773937.5</v>
      </c>
      <c r="M9550" s="912"/>
      <c r="N9550" s="912"/>
      <c r="O9550" s="892">
        <f t="shared" si="773"/>
        <v>0</v>
      </c>
      <c r="P9550" s="903">
        <f t="shared" si="774"/>
        <v>1</v>
      </c>
      <c r="Q9550" s="893">
        <f t="shared" si="775"/>
        <v>6</v>
      </c>
      <c r="R9550" s="894">
        <f t="shared" si="776"/>
        <v>0</v>
      </c>
    </row>
    <row r="9551" spans="1:18" s="904" customFormat="1">
      <c r="A9551" s="895"/>
      <c r="B9551" s="896"/>
      <c r="C9551" s="897"/>
      <c r="D9551" s="897"/>
      <c r="E9551" s="1002" t="s">
        <v>3914</v>
      </c>
      <c r="F9551" s="895"/>
      <c r="G9551" s="1004"/>
      <c r="H9551" s="901"/>
      <c r="I9551" s="902"/>
      <c r="J9551" s="902"/>
      <c r="K9551" s="912" t="s">
        <v>274</v>
      </c>
      <c r="L9551" s="902"/>
      <c r="M9551" s="902"/>
      <c r="N9551" s="902"/>
      <c r="O9551" s="892">
        <f t="shared" si="773"/>
        <v>0</v>
      </c>
      <c r="P9551" s="903">
        <f t="shared" si="774"/>
        <v>1</v>
      </c>
      <c r="Q9551" s="893">
        <f t="shared" si="775"/>
        <v>5</v>
      </c>
      <c r="R9551" s="894">
        <f t="shared" si="776"/>
        <v>0</v>
      </c>
    </row>
    <row r="9552" spans="1:18">
      <c r="A9552" s="905"/>
      <c r="B9552" s="952" t="s">
        <v>6408</v>
      </c>
      <c r="C9552" s="907">
        <v>913</v>
      </c>
      <c r="D9552" s="907" t="s">
        <v>93</v>
      </c>
      <c r="E9552" s="992" t="s">
        <v>6409</v>
      </c>
      <c r="F9552" s="905" t="s">
        <v>2673</v>
      </c>
      <c r="G9552" s="1005"/>
      <c r="H9552" s="911">
        <v>0.87</v>
      </c>
      <c r="I9552" s="912"/>
      <c r="J9552" s="912"/>
      <c r="K9552" s="912"/>
      <c r="L9552" s="912"/>
      <c r="M9552" s="912">
        <f>VLOOKUP(B9552,MTC!$B$9:$S$933,12,0)</f>
        <v>0</v>
      </c>
      <c r="N9552" s="912">
        <f>M9552*H9552</f>
        <v>0</v>
      </c>
      <c r="O9552" s="892">
        <f t="shared" si="773"/>
        <v>0</v>
      </c>
      <c r="P9552" s="903">
        <f t="shared" si="774"/>
        <v>1</v>
      </c>
      <c r="Q9552" s="893">
        <f t="shared" si="775"/>
        <v>4</v>
      </c>
      <c r="R9552" s="894">
        <f t="shared" si="776"/>
        <v>0</v>
      </c>
    </row>
    <row r="9553" spans="1:18" s="847" customFormat="1">
      <c r="A9553" s="905"/>
      <c r="B9553" s="952" t="s">
        <v>6410</v>
      </c>
      <c r="C9553" s="907">
        <v>906</v>
      </c>
      <c r="D9553" s="907" t="s">
        <v>93</v>
      </c>
      <c r="E9553" s="992" t="s">
        <v>6411</v>
      </c>
      <c r="F9553" s="905" t="s">
        <v>2673</v>
      </c>
      <c r="G9553" s="1005"/>
      <c r="H9553" s="911">
        <v>0.31</v>
      </c>
      <c r="I9553" s="912"/>
      <c r="J9553" s="912"/>
      <c r="K9553" s="912"/>
      <c r="L9553" s="912"/>
      <c r="M9553" s="912">
        <f>VLOOKUP(B9553,MTC!$B$9:$S$933,12,0)</f>
        <v>0</v>
      </c>
      <c r="N9553" s="912">
        <f>M9553*H9553</f>
        <v>0</v>
      </c>
      <c r="O9553" s="892">
        <f t="shared" si="773"/>
        <v>0</v>
      </c>
      <c r="P9553" s="903">
        <f t="shared" si="774"/>
        <v>1</v>
      </c>
      <c r="Q9553" s="893">
        <f t="shared" si="775"/>
        <v>3</v>
      </c>
      <c r="R9553" s="894">
        <f t="shared" si="776"/>
        <v>0</v>
      </c>
    </row>
    <row r="9554" spans="1:18" s="904" customFormat="1">
      <c r="A9554" s="905"/>
      <c r="B9554" s="952" t="s">
        <v>6412</v>
      </c>
      <c r="C9554" s="907">
        <v>905</v>
      </c>
      <c r="D9554" s="907" t="s">
        <v>93</v>
      </c>
      <c r="E9554" s="992" t="s">
        <v>6413</v>
      </c>
      <c r="F9554" s="905" t="s">
        <v>2673</v>
      </c>
      <c r="G9554" s="1005"/>
      <c r="H9554" s="911">
        <v>0.31</v>
      </c>
      <c r="I9554" s="912"/>
      <c r="J9554" s="912"/>
      <c r="K9554" s="912"/>
      <c r="L9554" s="912"/>
      <c r="M9554" s="912">
        <f>VLOOKUP(B9554,MTC!$B$9:$S$933,12,0)</f>
        <v>225936</v>
      </c>
      <c r="N9554" s="912">
        <f>M9554*H9554</f>
        <v>70040.160000000003</v>
      </c>
      <c r="O9554" s="892">
        <f t="shared" si="773"/>
        <v>0</v>
      </c>
      <c r="P9554" s="903">
        <f t="shared" si="774"/>
        <v>1</v>
      </c>
      <c r="Q9554" s="893">
        <f t="shared" si="775"/>
        <v>2</v>
      </c>
      <c r="R9554" s="894">
        <f t="shared" si="776"/>
        <v>0</v>
      </c>
    </row>
    <row r="9555" spans="1:18">
      <c r="A9555" s="905"/>
      <c r="B9555" s="952" t="s">
        <v>6414</v>
      </c>
      <c r="C9555" s="907">
        <v>914</v>
      </c>
      <c r="D9555" s="907" t="s">
        <v>93</v>
      </c>
      <c r="E9555" s="992" t="s">
        <v>6415</v>
      </c>
      <c r="F9555" s="905" t="s">
        <v>2673</v>
      </c>
      <c r="G9555" s="1005"/>
      <c r="H9555" s="911">
        <v>0.1</v>
      </c>
      <c r="I9555" s="912"/>
      <c r="J9555" s="912"/>
      <c r="K9555" s="912"/>
      <c r="L9555" s="912"/>
      <c r="M9555" s="912">
        <f>VLOOKUP(B9555,MTC!$B$9:$S$933,12,0)</f>
        <v>0</v>
      </c>
      <c r="N9555" s="912">
        <f>M9555*H9555</f>
        <v>0</v>
      </c>
      <c r="O9555" s="892">
        <f t="shared" si="773"/>
        <v>0</v>
      </c>
      <c r="P9555" s="903">
        <f t="shared" si="774"/>
        <v>1</v>
      </c>
      <c r="Q9555" s="893">
        <f t="shared" si="775"/>
        <v>1</v>
      </c>
      <c r="R9555" s="894">
        <f t="shared" si="776"/>
        <v>0</v>
      </c>
    </row>
    <row r="9556" spans="1:18" s="847" customFormat="1" ht="31.5">
      <c r="A9556" s="905">
        <v>85</v>
      </c>
      <c r="B9556" s="914" t="s">
        <v>6519</v>
      </c>
      <c r="C9556" s="915"/>
      <c r="D9556" s="915"/>
      <c r="E9556" s="1006" t="s">
        <v>6520</v>
      </c>
      <c r="F9556" s="1007" t="s">
        <v>136</v>
      </c>
      <c r="G9556" s="1008"/>
      <c r="H9556" s="919"/>
      <c r="I9556" s="920"/>
      <c r="J9556" s="891">
        <f>SUM(J9557:J9567)</f>
        <v>55500</v>
      </c>
      <c r="K9556" s="891" t="s">
        <v>274</v>
      </c>
      <c r="L9556" s="891">
        <f>SUM(L9557:L9567)</f>
        <v>928725</v>
      </c>
      <c r="M9556" s="891"/>
      <c r="N9556" s="891">
        <f>SUM(N9557:N9567)</f>
        <v>83596.319999999992</v>
      </c>
      <c r="O9556" s="892">
        <f t="shared" si="773"/>
        <v>1</v>
      </c>
      <c r="P9556" s="903">
        <f t="shared" si="774"/>
        <v>0</v>
      </c>
      <c r="Q9556" s="893">
        <f t="shared" si="775"/>
        <v>0</v>
      </c>
      <c r="R9556" s="894">
        <f t="shared" si="776"/>
        <v>11</v>
      </c>
    </row>
    <row r="9557" spans="1:18" s="904" customFormat="1">
      <c r="A9557" s="895"/>
      <c r="B9557" s="896"/>
      <c r="C9557" s="897"/>
      <c r="D9557" s="897"/>
      <c r="E9557" s="1002" t="s">
        <v>108</v>
      </c>
      <c r="F9557" s="895"/>
      <c r="G9557" s="1004"/>
      <c r="H9557" s="901"/>
      <c r="I9557" s="902"/>
      <c r="J9557" s="902"/>
      <c r="K9557" s="912" t="s">
        <v>274</v>
      </c>
      <c r="L9557" s="902"/>
      <c r="M9557" s="902"/>
      <c r="N9557" s="902"/>
      <c r="O9557" s="892">
        <f t="shared" si="773"/>
        <v>0</v>
      </c>
      <c r="P9557" s="903">
        <f t="shared" si="774"/>
        <v>1</v>
      </c>
      <c r="Q9557" s="893">
        <f t="shared" si="775"/>
        <v>11</v>
      </c>
      <c r="R9557" s="894">
        <f t="shared" si="776"/>
        <v>0</v>
      </c>
    </row>
    <row r="9558" spans="1:18">
      <c r="A9558" s="905"/>
      <c r="B9558" s="952"/>
      <c r="C9558" s="907">
        <v>315</v>
      </c>
      <c r="D9558" s="907" t="s">
        <v>279</v>
      </c>
      <c r="E9558" s="992" t="s">
        <v>6316</v>
      </c>
      <c r="F9558" s="905" t="s">
        <v>49</v>
      </c>
      <c r="G9558" s="1005"/>
      <c r="H9558" s="911">
        <v>0.5</v>
      </c>
      <c r="I9558" s="912">
        <f>VLOOKUP(E9558,[3]VLP!$B$7:$K$300,10,0)</f>
        <v>8000</v>
      </c>
      <c r="J9558" s="912">
        <f>I9558*H9558</f>
        <v>4000</v>
      </c>
      <c r="K9558" s="912" t="s">
        <v>274</v>
      </c>
      <c r="L9558" s="912"/>
      <c r="M9558" s="912"/>
      <c r="N9558" s="912"/>
      <c r="O9558" s="892">
        <f t="shared" si="773"/>
        <v>0</v>
      </c>
      <c r="P9558" s="903">
        <f t="shared" si="774"/>
        <v>1</v>
      </c>
      <c r="Q9558" s="893">
        <f t="shared" si="775"/>
        <v>10</v>
      </c>
      <c r="R9558" s="894">
        <f t="shared" si="776"/>
        <v>0</v>
      </c>
    </row>
    <row r="9559" spans="1:18" s="847" customFormat="1">
      <c r="A9559" s="905"/>
      <c r="B9559" s="952"/>
      <c r="C9559" s="907">
        <v>235</v>
      </c>
      <c r="D9559" s="907" t="s">
        <v>279</v>
      </c>
      <c r="E9559" s="992" t="s">
        <v>2682</v>
      </c>
      <c r="F9559" s="905" t="s">
        <v>45</v>
      </c>
      <c r="G9559" s="1005"/>
      <c r="H9559" s="911">
        <v>0.3</v>
      </c>
      <c r="I9559" s="912">
        <f>VLOOKUP(E9559,[3]VLP!$B$7:$K$300,10,0)</f>
        <v>5000</v>
      </c>
      <c r="J9559" s="912">
        <f>I9559*H9559</f>
        <v>1500</v>
      </c>
      <c r="K9559" s="912" t="s">
        <v>274</v>
      </c>
      <c r="L9559" s="912"/>
      <c r="M9559" s="912"/>
      <c r="N9559" s="912"/>
      <c r="O9559" s="892">
        <f t="shared" si="773"/>
        <v>0</v>
      </c>
      <c r="P9559" s="903">
        <f t="shared" si="774"/>
        <v>1</v>
      </c>
      <c r="Q9559" s="893">
        <f t="shared" si="775"/>
        <v>9</v>
      </c>
      <c r="R9559" s="894">
        <f t="shared" si="776"/>
        <v>0</v>
      </c>
    </row>
    <row r="9560" spans="1:18" s="904" customFormat="1">
      <c r="A9560" s="905"/>
      <c r="B9560" s="952"/>
      <c r="C9560" s="907">
        <v>699</v>
      </c>
      <c r="D9560" s="907" t="s">
        <v>279</v>
      </c>
      <c r="E9560" s="992" t="s">
        <v>4006</v>
      </c>
      <c r="F9560" s="905" t="s">
        <v>4007</v>
      </c>
      <c r="G9560" s="1005"/>
      <c r="H9560" s="911">
        <v>10</v>
      </c>
      <c r="I9560" s="912">
        <f>VLOOKUP(E9560,[3]VLP!$B$7:$K$300,10,0)</f>
        <v>5000</v>
      </c>
      <c r="J9560" s="912">
        <f>I9560*H9560</f>
        <v>50000</v>
      </c>
      <c r="K9560" s="912" t="s">
        <v>274</v>
      </c>
      <c r="L9560" s="912"/>
      <c r="M9560" s="912"/>
      <c r="N9560" s="912"/>
      <c r="O9560" s="892">
        <f t="shared" si="773"/>
        <v>0</v>
      </c>
      <c r="P9560" s="903">
        <f t="shared" si="774"/>
        <v>1</v>
      </c>
      <c r="Q9560" s="893">
        <f t="shared" si="775"/>
        <v>8</v>
      </c>
      <c r="R9560" s="894">
        <f t="shared" si="776"/>
        <v>0</v>
      </c>
    </row>
    <row r="9561" spans="1:18">
      <c r="A9561" s="895"/>
      <c r="B9561" s="896"/>
      <c r="C9561" s="897"/>
      <c r="D9561" s="897"/>
      <c r="E9561" s="1002" t="s">
        <v>276</v>
      </c>
      <c r="F9561" s="1003"/>
      <c r="G9561" s="1004"/>
      <c r="H9561" s="901"/>
      <c r="I9561" s="902"/>
      <c r="J9561" s="902"/>
      <c r="K9561" s="912" t="s">
        <v>274</v>
      </c>
      <c r="L9561" s="902"/>
      <c r="M9561" s="902"/>
      <c r="N9561" s="902"/>
      <c r="O9561" s="892">
        <f t="shared" si="773"/>
        <v>0</v>
      </c>
      <c r="P9561" s="903">
        <f t="shared" si="774"/>
        <v>1</v>
      </c>
      <c r="Q9561" s="893">
        <f t="shared" si="775"/>
        <v>7</v>
      </c>
      <c r="R9561" s="894">
        <f t="shared" si="776"/>
        <v>0</v>
      </c>
    </row>
    <row r="9562" spans="1:18" s="904" customFormat="1">
      <c r="A9562" s="905"/>
      <c r="B9562" s="952"/>
      <c r="C9562" s="907">
        <v>740</v>
      </c>
      <c r="D9562" s="907" t="s">
        <v>12</v>
      </c>
      <c r="E9562" s="992" t="s">
        <v>4008</v>
      </c>
      <c r="F9562" s="905" t="s">
        <v>2674</v>
      </c>
      <c r="G9562" s="1005"/>
      <c r="H9562" s="911">
        <v>4.2</v>
      </c>
      <c r="I9562" s="912"/>
      <c r="J9562" s="912"/>
      <c r="K9562" s="912">
        <f>VLOOKUP(E9562,[5]ĐMNC!$A$7:$F$67,4,0)</f>
        <v>221125</v>
      </c>
      <c r="L9562" s="912">
        <f>H9562*K9562</f>
        <v>928725</v>
      </c>
      <c r="M9562" s="912"/>
      <c r="N9562" s="912"/>
      <c r="O9562" s="892">
        <f t="shared" si="773"/>
        <v>0</v>
      </c>
      <c r="P9562" s="903">
        <f t="shared" si="774"/>
        <v>1</v>
      </c>
      <c r="Q9562" s="893">
        <f t="shared" si="775"/>
        <v>6</v>
      </c>
      <c r="R9562" s="894">
        <f t="shared" si="776"/>
        <v>0</v>
      </c>
    </row>
    <row r="9563" spans="1:18">
      <c r="A9563" s="895"/>
      <c r="B9563" s="896"/>
      <c r="C9563" s="897"/>
      <c r="D9563" s="897"/>
      <c r="E9563" s="1002" t="s">
        <v>3914</v>
      </c>
      <c r="F9563" s="895"/>
      <c r="G9563" s="1004"/>
      <c r="H9563" s="901"/>
      <c r="I9563" s="902"/>
      <c r="J9563" s="902"/>
      <c r="K9563" s="912" t="s">
        <v>274</v>
      </c>
      <c r="L9563" s="902"/>
      <c r="M9563" s="902"/>
      <c r="N9563" s="902"/>
      <c r="O9563" s="892">
        <f t="shared" si="773"/>
        <v>0</v>
      </c>
      <c r="P9563" s="903">
        <f t="shared" si="774"/>
        <v>1</v>
      </c>
      <c r="Q9563" s="893">
        <f t="shared" si="775"/>
        <v>5</v>
      </c>
      <c r="R9563" s="894">
        <f t="shared" si="776"/>
        <v>0</v>
      </c>
    </row>
    <row r="9564" spans="1:18" s="847" customFormat="1">
      <c r="A9564" s="905"/>
      <c r="B9564" s="952" t="s">
        <v>6408</v>
      </c>
      <c r="C9564" s="907">
        <v>913</v>
      </c>
      <c r="D9564" s="907" t="s">
        <v>93</v>
      </c>
      <c r="E9564" s="992" t="s">
        <v>6409</v>
      </c>
      <c r="F9564" s="905" t="s">
        <v>2673</v>
      </c>
      <c r="G9564" s="1005"/>
      <c r="H9564" s="911">
        <v>1.05</v>
      </c>
      <c r="I9564" s="912"/>
      <c r="J9564" s="912"/>
      <c r="K9564" s="912"/>
      <c r="L9564" s="912"/>
      <c r="M9564" s="912">
        <f>VLOOKUP(B9564,MTC!$B$9:$S$933,12,0)</f>
        <v>0</v>
      </c>
      <c r="N9564" s="912">
        <f>M9564*H9564</f>
        <v>0</v>
      </c>
      <c r="O9564" s="892">
        <f t="shared" si="773"/>
        <v>0</v>
      </c>
      <c r="P9564" s="903">
        <f t="shared" si="774"/>
        <v>1</v>
      </c>
      <c r="Q9564" s="893">
        <f t="shared" si="775"/>
        <v>4</v>
      </c>
      <c r="R9564" s="894">
        <f t="shared" si="776"/>
        <v>0</v>
      </c>
    </row>
    <row r="9565" spans="1:18" s="904" customFormat="1">
      <c r="A9565" s="905"/>
      <c r="B9565" s="952" t="s">
        <v>6410</v>
      </c>
      <c r="C9565" s="907">
        <v>906</v>
      </c>
      <c r="D9565" s="907" t="s">
        <v>93</v>
      </c>
      <c r="E9565" s="992" t="s">
        <v>6411</v>
      </c>
      <c r="F9565" s="905" t="s">
        <v>2673</v>
      </c>
      <c r="G9565" s="1005"/>
      <c r="H9565" s="911">
        <v>0.37</v>
      </c>
      <c r="I9565" s="912"/>
      <c r="J9565" s="912"/>
      <c r="K9565" s="912"/>
      <c r="L9565" s="912"/>
      <c r="M9565" s="912">
        <f>VLOOKUP(B9565,MTC!$B$9:$S$933,12,0)</f>
        <v>0</v>
      </c>
      <c r="N9565" s="912">
        <f>M9565*H9565</f>
        <v>0</v>
      </c>
      <c r="O9565" s="892">
        <f t="shared" si="773"/>
        <v>0</v>
      </c>
      <c r="P9565" s="903">
        <f t="shared" si="774"/>
        <v>1</v>
      </c>
      <c r="Q9565" s="893">
        <f t="shared" si="775"/>
        <v>3</v>
      </c>
      <c r="R9565" s="894">
        <f t="shared" si="776"/>
        <v>0</v>
      </c>
    </row>
    <row r="9566" spans="1:18">
      <c r="A9566" s="905"/>
      <c r="B9566" s="952" t="s">
        <v>6412</v>
      </c>
      <c r="C9566" s="907">
        <v>905</v>
      </c>
      <c r="D9566" s="907" t="s">
        <v>93</v>
      </c>
      <c r="E9566" s="992" t="s">
        <v>6413</v>
      </c>
      <c r="F9566" s="905" t="s">
        <v>2673</v>
      </c>
      <c r="G9566" s="1005"/>
      <c r="H9566" s="911">
        <v>0.37</v>
      </c>
      <c r="I9566" s="912"/>
      <c r="J9566" s="912"/>
      <c r="K9566" s="912"/>
      <c r="L9566" s="912"/>
      <c r="M9566" s="912">
        <f>VLOOKUP(B9566,MTC!$B$9:$S$933,12,0)</f>
        <v>225936</v>
      </c>
      <c r="N9566" s="912">
        <f>M9566*H9566</f>
        <v>83596.319999999992</v>
      </c>
      <c r="O9566" s="892">
        <f t="shared" si="773"/>
        <v>0</v>
      </c>
      <c r="P9566" s="903">
        <f t="shared" si="774"/>
        <v>1</v>
      </c>
      <c r="Q9566" s="893">
        <f t="shared" si="775"/>
        <v>2</v>
      </c>
      <c r="R9566" s="894">
        <f t="shared" si="776"/>
        <v>0</v>
      </c>
    </row>
    <row r="9567" spans="1:18" s="904" customFormat="1">
      <c r="A9567" s="905"/>
      <c r="B9567" s="952" t="s">
        <v>6414</v>
      </c>
      <c r="C9567" s="907">
        <v>914</v>
      </c>
      <c r="D9567" s="907" t="s">
        <v>93</v>
      </c>
      <c r="E9567" s="992" t="s">
        <v>6415</v>
      </c>
      <c r="F9567" s="905" t="s">
        <v>2673</v>
      </c>
      <c r="G9567" s="1005"/>
      <c r="H9567" s="911">
        <v>0.1</v>
      </c>
      <c r="I9567" s="912"/>
      <c r="J9567" s="912"/>
      <c r="K9567" s="912"/>
      <c r="L9567" s="912"/>
      <c r="M9567" s="912">
        <f>VLOOKUP(B9567,MTC!$B$9:$S$933,12,0)</f>
        <v>0</v>
      </c>
      <c r="N9567" s="912">
        <f>M9567*H9567</f>
        <v>0</v>
      </c>
      <c r="O9567" s="892">
        <f t="shared" ref="O9567:O9630" si="777">IF(AND(B9567&lt;&gt;"",D9567=""),1,0)</f>
        <v>0</v>
      </c>
      <c r="P9567" s="903">
        <f t="shared" si="774"/>
        <v>1</v>
      </c>
      <c r="Q9567" s="893">
        <f t="shared" si="775"/>
        <v>1</v>
      </c>
      <c r="R9567" s="894">
        <f t="shared" si="776"/>
        <v>0</v>
      </c>
    </row>
    <row r="9568" spans="1:18" ht="47.25">
      <c r="A9568" s="905" t="s">
        <v>6510</v>
      </c>
      <c r="B9568" s="914" t="s">
        <v>6521</v>
      </c>
      <c r="C9568" s="915"/>
      <c r="D9568" s="915"/>
      <c r="E9568" s="1006" t="s">
        <v>6522</v>
      </c>
      <c r="F9568" s="1007" t="s">
        <v>136</v>
      </c>
      <c r="G9568" s="1008"/>
      <c r="H9568" s="919"/>
      <c r="I9568" s="920"/>
      <c r="J9568" s="962">
        <f>SUM(J9569:J9577)</f>
        <v>55500</v>
      </c>
      <c r="K9568" s="891" t="s">
        <v>274</v>
      </c>
      <c r="L9568" s="962">
        <f>SUM(L9569:L9577)</f>
        <v>375912.5</v>
      </c>
      <c r="M9568" s="962"/>
      <c r="N9568" s="962">
        <f>SUM(N9569:N9577)</f>
        <v>0</v>
      </c>
      <c r="O9568" s="892">
        <f t="shared" si="777"/>
        <v>1</v>
      </c>
      <c r="P9568" s="903">
        <f t="shared" si="774"/>
        <v>0</v>
      </c>
      <c r="Q9568" s="893">
        <f t="shared" si="775"/>
        <v>0</v>
      </c>
      <c r="R9568" s="894">
        <f t="shared" si="776"/>
        <v>9</v>
      </c>
    </row>
    <row r="9569" spans="1:18" s="847" customFormat="1">
      <c r="A9569" s="895"/>
      <c r="B9569" s="896"/>
      <c r="C9569" s="897"/>
      <c r="D9569" s="897"/>
      <c r="E9569" s="1002" t="s">
        <v>108</v>
      </c>
      <c r="F9569" s="895"/>
      <c r="G9569" s="1004"/>
      <c r="H9569" s="901"/>
      <c r="I9569" s="902"/>
      <c r="J9569" s="902"/>
      <c r="K9569" s="912" t="s">
        <v>274</v>
      </c>
      <c r="L9569" s="902"/>
      <c r="M9569" s="902"/>
      <c r="N9569" s="902"/>
      <c r="O9569" s="892">
        <f t="shared" si="777"/>
        <v>0</v>
      </c>
      <c r="P9569" s="903">
        <f t="shared" si="774"/>
        <v>1</v>
      </c>
      <c r="Q9569" s="893">
        <f t="shared" si="775"/>
        <v>9</v>
      </c>
      <c r="R9569" s="894">
        <f t="shared" si="776"/>
        <v>0</v>
      </c>
    </row>
    <row r="9570" spans="1:18" s="904" customFormat="1">
      <c r="A9570" s="905"/>
      <c r="B9570" s="952"/>
      <c r="C9570" s="907">
        <v>315</v>
      </c>
      <c r="D9570" s="907" t="s">
        <v>279</v>
      </c>
      <c r="E9570" s="992" t="s">
        <v>6316</v>
      </c>
      <c r="F9570" s="905" t="s">
        <v>49</v>
      </c>
      <c r="G9570" s="1005"/>
      <c r="H9570" s="911">
        <v>0.5</v>
      </c>
      <c r="I9570" s="912">
        <f>VLOOKUP(E9570,[3]VLP!$B$7:$K$300,10,0)</f>
        <v>8000</v>
      </c>
      <c r="J9570" s="912">
        <f>I9570*H9570</f>
        <v>4000</v>
      </c>
      <c r="K9570" s="912" t="s">
        <v>274</v>
      </c>
      <c r="L9570" s="912"/>
      <c r="M9570" s="912"/>
      <c r="N9570" s="912"/>
      <c r="O9570" s="892">
        <f t="shared" si="777"/>
        <v>0</v>
      </c>
      <c r="P9570" s="903">
        <f t="shared" si="774"/>
        <v>1</v>
      </c>
      <c r="Q9570" s="893">
        <f t="shared" si="775"/>
        <v>8</v>
      </c>
      <c r="R9570" s="894">
        <f t="shared" si="776"/>
        <v>0</v>
      </c>
    </row>
    <row r="9571" spans="1:18">
      <c r="A9571" s="905"/>
      <c r="B9571" s="952"/>
      <c r="C9571" s="907">
        <v>235</v>
      </c>
      <c r="D9571" s="907" t="s">
        <v>279</v>
      </c>
      <c r="E9571" s="992" t="s">
        <v>2682</v>
      </c>
      <c r="F9571" s="905" t="s">
        <v>45</v>
      </c>
      <c r="G9571" s="1005"/>
      <c r="H9571" s="911">
        <v>0.3</v>
      </c>
      <c r="I9571" s="912">
        <f>VLOOKUP(E9571,[3]VLP!$B$7:$K$300,10,0)</f>
        <v>5000</v>
      </c>
      <c r="J9571" s="912">
        <f>I9571*H9571</f>
        <v>1500</v>
      </c>
      <c r="K9571" s="912" t="s">
        <v>274</v>
      </c>
      <c r="L9571" s="912"/>
      <c r="M9571" s="912"/>
      <c r="N9571" s="912"/>
      <c r="O9571" s="892">
        <f t="shared" si="777"/>
        <v>0</v>
      </c>
      <c r="P9571" s="903">
        <f t="shared" si="774"/>
        <v>1</v>
      </c>
      <c r="Q9571" s="893">
        <f t="shared" si="775"/>
        <v>7</v>
      </c>
      <c r="R9571" s="894">
        <f t="shared" si="776"/>
        <v>0</v>
      </c>
    </row>
    <row r="9572" spans="1:18" s="904" customFormat="1">
      <c r="A9572" s="905"/>
      <c r="B9572" s="952"/>
      <c r="C9572" s="907">
        <v>699</v>
      </c>
      <c r="D9572" s="907" t="s">
        <v>279</v>
      </c>
      <c r="E9572" s="992" t="s">
        <v>4006</v>
      </c>
      <c r="F9572" s="905" t="s">
        <v>4007</v>
      </c>
      <c r="G9572" s="1005"/>
      <c r="H9572" s="911">
        <v>10</v>
      </c>
      <c r="I9572" s="912">
        <f>VLOOKUP(E9572,[3]VLP!$B$7:$K$300,10,0)</f>
        <v>5000</v>
      </c>
      <c r="J9572" s="912">
        <f>I9572*H9572</f>
        <v>50000</v>
      </c>
      <c r="K9572" s="912" t="s">
        <v>274</v>
      </c>
      <c r="L9572" s="912"/>
      <c r="M9572" s="912"/>
      <c r="N9572" s="912"/>
      <c r="O9572" s="892">
        <f t="shared" si="777"/>
        <v>0</v>
      </c>
      <c r="P9572" s="903">
        <f t="shared" si="774"/>
        <v>1</v>
      </c>
      <c r="Q9572" s="893">
        <f t="shared" si="775"/>
        <v>6</v>
      </c>
      <c r="R9572" s="894">
        <f t="shared" si="776"/>
        <v>0</v>
      </c>
    </row>
    <row r="9573" spans="1:18">
      <c r="A9573" s="895"/>
      <c r="B9573" s="896"/>
      <c r="C9573" s="897"/>
      <c r="D9573" s="897"/>
      <c r="E9573" s="1002" t="s">
        <v>276</v>
      </c>
      <c r="F9573" s="1003"/>
      <c r="G9573" s="1004"/>
      <c r="H9573" s="901"/>
      <c r="I9573" s="902"/>
      <c r="J9573" s="902"/>
      <c r="K9573" s="912" t="s">
        <v>274</v>
      </c>
      <c r="L9573" s="902"/>
      <c r="M9573" s="902"/>
      <c r="N9573" s="902"/>
      <c r="O9573" s="892">
        <f t="shared" si="777"/>
        <v>0</v>
      </c>
      <c r="P9573" s="903">
        <f t="shared" si="774"/>
        <v>1</v>
      </c>
      <c r="Q9573" s="893">
        <f t="shared" si="775"/>
        <v>5</v>
      </c>
      <c r="R9573" s="894">
        <f t="shared" si="776"/>
        <v>0</v>
      </c>
    </row>
    <row r="9574" spans="1:18" s="847" customFormat="1">
      <c r="A9574" s="905"/>
      <c r="B9574" s="952"/>
      <c r="C9574" s="907">
        <v>740</v>
      </c>
      <c r="D9574" s="907" t="s">
        <v>12</v>
      </c>
      <c r="E9574" s="992" t="s">
        <v>4008</v>
      </c>
      <c r="F9574" s="905" t="s">
        <v>2674</v>
      </c>
      <c r="G9574" s="1005"/>
      <c r="H9574" s="911">
        <v>1.7</v>
      </c>
      <c r="I9574" s="912"/>
      <c r="J9574" s="912"/>
      <c r="K9574" s="912">
        <f>VLOOKUP(E9574,[5]ĐMNC!$A$7:$F$67,4,0)</f>
        <v>221125</v>
      </c>
      <c r="L9574" s="912">
        <f>H9574*K9574</f>
        <v>375912.5</v>
      </c>
      <c r="M9574" s="912"/>
      <c r="N9574" s="912"/>
      <c r="O9574" s="892">
        <f t="shared" si="777"/>
        <v>0</v>
      </c>
      <c r="P9574" s="903">
        <f t="shared" si="774"/>
        <v>1</v>
      </c>
      <c r="Q9574" s="893">
        <f t="shared" si="775"/>
        <v>4</v>
      </c>
      <c r="R9574" s="894">
        <f t="shared" si="776"/>
        <v>0</v>
      </c>
    </row>
    <row r="9575" spans="1:18" s="904" customFormat="1">
      <c r="A9575" s="895"/>
      <c r="B9575" s="896"/>
      <c r="C9575" s="897"/>
      <c r="D9575" s="897"/>
      <c r="E9575" s="1002" t="s">
        <v>3914</v>
      </c>
      <c r="F9575" s="895"/>
      <c r="G9575" s="1004"/>
      <c r="H9575" s="901"/>
      <c r="I9575" s="902"/>
      <c r="J9575" s="902"/>
      <c r="K9575" s="912" t="s">
        <v>274</v>
      </c>
      <c r="L9575" s="902"/>
      <c r="M9575" s="902"/>
      <c r="N9575" s="902"/>
      <c r="O9575" s="892">
        <f t="shared" si="777"/>
        <v>0</v>
      </c>
      <c r="P9575" s="903">
        <f t="shared" si="774"/>
        <v>1</v>
      </c>
      <c r="Q9575" s="893">
        <f t="shared" si="775"/>
        <v>3</v>
      </c>
      <c r="R9575" s="894">
        <f t="shared" si="776"/>
        <v>0</v>
      </c>
    </row>
    <row r="9576" spans="1:18">
      <c r="A9576" s="905"/>
      <c r="B9576" s="952" t="s">
        <v>6424</v>
      </c>
      <c r="C9576" s="907">
        <v>911</v>
      </c>
      <c r="D9576" s="907" t="s">
        <v>93</v>
      </c>
      <c r="E9576" s="992" t="s">
        <v>6425</v>
      </c>
      <c r="F9576" s="905" t="s">
        <v>2673</v>
      </c>
      <c r="G9576" s="1005"/>
      <c r="H9576" s="911">
        <v>0.28000000000000003</v>
      </c>
      <c r="I9576" s="912"/>
      <c r="J9576" s="912"/>
      <c r="K9576" s="912"/>
      <c r="L9576" s="912"/>
      <c r="M9576" s="912">
        <f>VLOOKUP(B9576,MTC!$B$9:$S$933,12,0)</f>
        <v>0</v>
      </c>
      <c r="N9576" s="912">
        <f>M9576*H9576</f>
        <v>0</v>
      </c>
      <c r="O9576" s="892">
        <f t="shared" si="777"/>
        <v>0</v>
      </c>
      <c r="P9576" s="903">
        <f t="shared" si="774"/>
        <v>1</v>
      </c>
      <c r="Q9576" s="893">
        <f t="shared" si="775"/>
        <v>2</v>
      </c>
      <c r="R9576" s="894">
        <f t="shared" si="776"/>
        <v>0</v>
      </c>
    </row>
    <row r="9577" spans="1:18" s="904" customFormat="1">
      <c r="A9577" s="905"/>
      <c r="B9577" s="952" t="s">
        <v>6414</v>
      </c>
      <c r="C9577" s="907">
        <v>914</v>
      </c>
      <c r="D9577" s="907" t="s">
        <v>93</v>
      </c>
      <c r="E9577" s="992" t="s">
        <v>6415</v>
      </c>
      <c r="F9577" s="905" t="s">
        <v>2673</v>
      </c>
      <c r="G9577" s="1005"/>
      <c r="H9577" s="911">
        <v>0.1</v>
      </c>
      <c r="I9577" s="912"/>
      <c r="J9577" s="912"/>
      <c r="K9577" s="912"/>
      <c r="L9577" s="912"/>
      <c r="M9577" s="912">
        <f>VLOOKUP(B9577,MTC!$B$9:$S$933,12,0)</f>
        <v>0</v>
      </c>
      <c r="N9577" s="912">
        <f>M9577*H9577</f>
        <v>0</v>
      </c>
      <c r="O9577" s="892">
        <f t="shared" si="777"/>
        <v>0</v>
      </c>
      <c r="P9577" s="903">
        <f t="shared" si="774"/>
        <v>1</v>
      </c>
      <c r="Q9577" s="893">
        <f t="shared" si="775"/>
        <v>1</v>
      </c>
      <c r="R9577" s="894">
        <f t="shared" si="776"/>
        <v>0</v>
      </c>
    </row>
    <row r="9578" spans="1:18" ht="47.25">
      <c r="A9578" s="905">
        <v>87</v>
      </c>
      <c r="B9578" s="914" t="s">
        <v>6523</v>
      </c>
      <c r="C9578" s="915"/>
      <c r="D9578" s="915"/>
      <c r="E9578" s="1006" t="s">
        <v>6524</v>
      </c>
      <c r="F9578" s="1007" t="s">
        <v>136</v>
      </c>
      <c r="G9578" s="1008"/>
      <c r="H9578" s="919"/>
      <c r="I9578" s="920"/>
      <c r="J9578" s="962">
        <f>SUM(J9579:J9587)</f>
        <v>55500</v>
      </c>
      <c r="K9578" s="891" t="s">
        <v>274</v>
      </c>
      <c r="L9578" s="962">
        <f>SUM(L9579:L9587)</f>
        <v>486475.00000000006</v>
      </c>
      <c r="M9578" s="962"/>
      <c r="N9578" s="962">
        <f>SUM(N9579:N9587)</f>
        <v>0</v>
      </c>
      <c r="O9578" s="892">
        <f t="shared" si="777"/>
        <v>1</v>
      </c>
      <c r="P9578" s="903">
        <f t="shared" si="774"/>
        <v>0</v>
      </c>
      <c r="Q9578" s="893">
        <f t="shared" si="775"/>
        <v>0</v>
      </c>
      <c r="R9578" s="894">
        <f t="shared" si="776"/>
        <v>9</v>
      </c>
    </row>
    <row r="9579" spans="1:18" s="847" customFormat="1">
      <c r="A9579" s="895"/>
      <c r="B9579" s="896"/>
      <c r="C9579" s="897"/>
      <c r="D9579" s="897"/>
      <c r="E9579" s="1002" t="s">
        <v>108</v>
      </c>
      <c r="F9579" s="895"/>
      <c r="G9579" s="1004"/>
      <c r="H9579" s="901"/>
      <c r="I9579" s="902"/>
      <c r="J9579" s="902"/>
      <c r="K9579" s="912" t="s">
        <v>274</v>
      </c>
      <c r="L9579" s="902"/>
      <c r="M9579" s="902"/>
      <c r="N9579" s="902"/>
      <c r="O9579" s="892">
        <f t="shared" si="777"/>
        <v>0</v>
      </c>
      <c r="P9579" s="903">
        <f t="shared" si="774"/>
        <v>1</v>
      </c>
      <c r="Q9579" s="893">
        <f t="shared" si="775"/>
        <v>9</v>
      </c>
      <c r="R9579" s="894">
        <f t="shared" si="776"/>
        <v>0</v>
      </c>
    </row>
    <row r="9580" spans="1:18" s="904" customFormat="1">
      <c r="A9580" s="905"/>
      <c r="B9580" s="952"/>
      <c r="C9580" s="907">
        <v>315</v>
      </c>
      <c r="D9580" s="907" t="s">
        <v>279</v>
      </c>
      <c r="E9580" s="992" t="s">
        <v>6316</v>
      </c>
      <c r="F9580" s="905" t="s">
        <v>49</v>
      </c>
      <c r="G9580" s="1005"/>
      <c r="H9580" s="911">
        <v>0.5</v>
      </c>
      <c r="I9580" s="912">
        <f>VLOOKUP(E9580,[3]VLP!$B$7:$K$300,10,0)</f>
        <v>8000</v>
      </c>
      <c r="J9580" s="912">
        <f>I9580*H9580</f>
        <v>4000</v>
      </c>
      <c r="K9580" s="912" t="s">
        <v>274</v>
      </c>
      <c r="L9580" s="912"/>
      <c r="M9580" s="912"/>
      <c r="N9580" s="912"/>
      <c r="O9580" s="892">
        <f t="shared" si="777"/>
        <v>0</v>
      </c>
      <c r="P9580" s="903">
        <f t="shared" si="774"/>
        <v>1</v>
      </c>
      <c r="Q9580" s="893">
        <f t="shared" si="775"/>
        <v>8</v>
      </c>
      <c r="R9580" s="894">
        <f t="shared" si="776"/>
        <v>0</v>
      </c>
    </row>
    <row r="9581" spans="1:18">
      <c r="A9581" s="905"/>
      <c r="B9581" s="952"/>
      <c r="C9581" s="907">
        <v>235</v>
      </c>
      <c r="D9581" s="907" t="s">
        <v>279</v>
      </c>
      <c r="E9581" s="992" t="s">
        <v>2682</v>
      </c>
      <c r="F9581" s="905" t="s">
        <v>45</v>
      </c>
      <c r="G9581" s="1005"/>
      <c r="H9581" s="911">
        <v>0.3</v>
      </c>
      <c r="I9581" s="912">
        <f>VLOOKUP(E9581,[3]VLP!$B$7:$K$300,10,0)</f>
        <v>5000</v>
      </c>
      <c r="J9581" s="912">
        <f>I9581*H9581</f>
        <v>1500</v>
      </c>
      <c r="K9581" s="912" t="s">
        <v>274</v>
      </c>
      <c r="L9581" s="912"/>
      <c r="M9581" s="912"/>
      <c r="N9581" s="912"/>
      <c r="O9581" s="892">
        <f t="shared" si="777"/>
        <v>0</v>
      </c>
      <c r="P9581" s="903">
        <f t="shared" si="774"/>
        <v>1</v>
      </c>
      <c r="Q9581" s="893">
        <f t="shared" si="775"/>
        <v>7</v>
      </c>
      <c r="R9581" s="894">
        <f t="shared" si="776"/>
        <v>0</v>
      </c>
    </row>
    <row r="9582" spans="1:18" s="904" customFormat="1">
      <c r="A9582" s="905"/>
      <c r="B9582" s="952"/>
      <c r="C9582" s="907">
        <v>699</v>
      </c>
      <c r="D9582" s="907" t="s">
        <v>279</v>
      </c>
      <c r="E9582" s="992" t="s">
        <v>4006</v>
      </c>
      <c r="F9582" s="905" t="s">
        <v>4007</v>
      </c>
      <c r="G9582" s="1005"/>
      <c r="H9582" s="911">
        <v>10</v>
      </c>
      <c r="I9582" s="912">
        <f>VLOOKUP(E9582,[3]VLP!$B$7:$K$300,10,0)</f>
        <v>5000</v>
      </c>
      <c r="J9582" s="912">
        <f>I9582*H9582</f>
        <v>50000</v>
      </c>
      <c r="K9582" s="912" t="s">
        <v>274</v>
      </c>
      <c r="L9582" s="912"/>
      <c r="M9582" s="912"/>
      <c r="N9582" s="912"/>
      <c r="O9582" s="892">
        <f t="shared" si="777"/>
        <v>0</v>
      </c>
      <c r="P9582" s="903">
        <f t="shared" si="774"/>
        <v>1</v>
      </c>
      <c r="Q9582" s="893">
        <f t="shared" si="775"/>
        <v>6</v>
      </c>
      <c r="R9582" s="894">
        <f t="shared" si="776"/>
        <v>0</v>
      </c>
    </row>
    <row r="9583" spans="1:18">
      <c r="A9583" s="895"/>
      <c r="B9583" s="896"/>
      <c r="C9583" s="897"/>
      <c r="D9583" s="897"/>
      <c r="E9583" s="1002" t="s">
        <v>276</v>
      </c>
      <c r="F9583" s="1003"/>
      <c r="G9583" s="1004"/>
      <c r="H9583" s="901"/>
      <c r="I9583" s="902"/>
      <c r="J9583" s="902"/>
      <c r="K9583" s="912" t="s">
        <v>274</v>
      </c>
      <c r="L9583" s="902"/>
      <c r="M9583" s="902"/>
      <c r="N9583" s="902"/>
      <c r="O9583" s="892">
        <f t="shared" si="777"/>
        <v>0</v>
      </c>
      <c r="P9583" s="903">
        <f t="shared" si="774"/>
        <v>1</v>
      </c>
      <c r="Q9583" s="893">
        <f t="shared" si="775"/>
        <v>5</v>
      </c>
      <c r="R9583" s="894">
        <f t="shared" si="776"/>
        <v>0</v>
      </c>
    </row>
    <row r="9584" spans="1:18" s="847" customFormat="1">
      <c r="A9584" s="905"/>
      <c r="B9584" s="952"/>
      <c r="C9584" s="907">
        <v>740</v>
      </c>
      <c r="D9584" s="907" t="s">
        <v>12</v>
      </c>
      <c r="E9584" s="992" t="s">
        <v>4008</v>
      </c>
      <c r="F9584" s="905" t="s">
        <v>2674</v>
      </c>
      <c r="G9584" s="1005"/>
      <c r="H9584" s="911">
        <v>2.2000000000000002</v>
      </c>
      <c r="I9584" s="912"/>
      <c r="J9584" s="912"/>
      <c r="K9584" s="912">
        <f>VLOOKUP(E9584,[5]ĐMNC!$A$7:$F$67,4,0)</f>
        <v>221125</v>
      </c>
      <c r="L9584" s="912">
        <f>H9584*K9584</f>
        <v>486475.00000000006</v>
      </c>
      <c r="M9584" s="912"/>
      <c r="N9584" s="912"/>
      <c r="O9584" s="892">
        <f t="shared" si="777"/>
        <v>0</v>
      </c>
      <c r="P9584" s="903">
        <f t="shared" si="774"/>
        <v>1</v>
      </c>
      <c r="Q9584" s="893">
        <f t="shared" si="775"/>
        <v>4</v>
      </c>
      <c r="R9584" s="894">
        <f t="shared" si="776"/>
        <v>0</v>
      </c>
    </row>
    <row r="9585" spans="1:18" s="904" customFormat="1">
      <c r="A9585" s="895"/>
      <c r="B9585" s="896"/>
      <c r="C9585" s="897"/>
      <c r="D9585" s="897"/>
      <c r="E9585" s="1002" t="s">
        <v>3914</v>
      </c>
      <c r="F9585" s="895"/>
      <c r="G9585" s="1004"/>
      <c r="H9585" s="901"/>
      <c r="I9585" s="902"/>
      <c r="J9585" s="902"/>
      <c r="K9585" s="912" t="s">
        <v>274</v>
      </c>
      <c r="L9585" s="902"/>
      <c r="M9585" s="902"/>
      <c r="N9585" s="902"/>
      <c r="O9585" s="892">
        <f t="shared" si="777"/>
        <v>0</v>
      </c>
      <c r="P9585" s="903">
        <f t="shared" si="774"/>
        <v>1</v>
      </c>
      <c r="Q9585" s="893">
        <f t="shared" si="775"/>
        <v>3</v>
      </c>
      <c r="R9585" s="894">
        <f t="shared" si="776"/>
        <v>0</v>
      </c>
    </row>
    <row r="9586" spans="1:18">
      <c r="A9586" s="905"/>
      <c r="B9586" s="952" t="s">
        <v>6424</v>
      </c>
      <c r="C9586" s="907">
        <v>911</v>
      </c>
      <c r="D9586" s="907" t="s">
        <v>93</v>
      </c>
      <c r="E9586" s="992" t="s">
        <v>6425</v>
      </c>
      <c r="F9586" s="905" t="s">
        <v>2673</v>
      </c>
      <c r="G9586" s="1005"/>
      <c r="H9586" s="911">
        <v>0.37</v>
      </c>
      <c r="I9586" s="912"/>
      <c r="J9586" s="912"/>
      <c r="K9586" s="912"/>
      <c r="L9586" s="912"/>
      <c r="M9586" s="912">
        <f>VLOOKUP(B9586,MTC!$B$9:$S$933,12,0)</f>
        <v>0</v>
      </c>
      <c r="N9586" s="912">
        <f>M9586*H9586</f>
        <v>0</v>
      </c>
      <c r="O9586" s="892">
        <f t="shared" si="777"/>
        <v>0</v>
      </c>
      <c r="P9586" s="903">
        <f t="shared" si="774"/>
        <v>1</v>
      </c>
      <c r="Q9586" s="893">
        <f t="shared" si="775"/>
        <v>2</v>
      </c>
      <c r="R9586" s="894">
        <f t="shared" si="776"/>
        <v>0</v>
      </c>
    </row>
    <row r="9587" spans="1:18" s="904" customFormat="1">
      <c r="A9587" s="905"/>
      <c r="B9587" s="952" t="s">
        <v>6414</v>
      </c>
      <c r="C9587" s="907">
        <v>914</v>
      </c>
      <c r="D9587" s="907" t="s">
        <v>93</v>
      </c>
      <c r="E9587" s="992" t="s">
        <v>6415</v>
      </c>
      <c r="F9587" s="905" t="s">
        <v>2673</v>
      </c>
      <c r="G9587" s="1005"/>
      <c r="H9587" s="911">
        <v>0.1</v>
      </c>
      <c r="I9587" s="912"/>
      <c r="J9587" s="912"/>
      <c r="K9587" s="912"/>
      <c r="L9587" s="912"/>
      <c r="M9587" s="912">
        <f>VLOOKUP(B9587,MTC!$B$9:$S$933,12,0)</f>
        <v>0</v>
      </c>
      <c r="N9587" s="912">
        <f>M9587*H9587</f>
        <v>0</v>
      </c>
      <c r="O9587" s="892">
        <f t="shared" si="777"/>
        <v>0</v>
      </c>
      <c r="P9587" s="903">
        <f t="shared" ref="P9587:P9650" si="778">IF(O9587=0,1,0)</f>
        <v>1</v>
      </c>
      <c r="Q9587" s="893">
        <f t="shared" ref="Q9587:Q9650" si="779">IF(P9587=0,0,P9587+Q9588)</f>
        <v>1</v>
      </c>
      <c r="R9587" s="894">
        <f t="shared" ref="R9587:R9650" si="780">IF(Q9587=0,Q9588,0)</f>
        <v>0</v>
      </c>
    </row>
    <row r="9588" spans="1:18" ht="47.25">
      <c r="A9588" s="905">
        <v>88</v>
      </c>
      <c r="B9588" s="914" t="s">
        <v>6525</v>
      </c>
      <c r="C9588" s="915"/>
      <c r="D9588" s="915"/>
      <c r="E9588" s="1006" t="s">
        <v>6526</v>
      </c>
      <c r="F9588" s="1007" t="s">
        <v>136</v>
      </c>
      <c r="G9588" s="1008"/>
      <c r="H9588" s="919"/>
      <c r="I9588" s="920"/>
      <c r="J9588" s="962">
        <f>SUM(J9589:J9597)</f>
        <v>55500</v>
      </c>
      <c r="K9588" s="891" t="s">
        <v>274</v>
      </c>
      <c r="L9588" s="962">
        <f>SUM(L9589:L9597)</f>
        <v>619150</v>
      </c>
      <c r="M9588" s="962"/>
      <c r="N9588" s="962">
        <f>SUM(N9589:N9597)</f>
        <v>0</v>
      </c>
      <c r="O9588" s="892">
        <f t="shared" si="777"/>
        <v>1</v>
      </c>
      <c r="P9588" s="903">
        <f t="shared" si="778"/>
        <v>0</v>
      </c>
      <c r="Q9588" s="893">
        <f t="shared" si="779"/>
        <v>0</v>
      </c>
      <c r="R9588" s="894">
        <f t="shared" si="780"/>
        <v>9</v>
      </c>
    </row>
    <row r="9589" spans="1:18" s="847" customFormat="1">
      <c r="A9589" s="895"/>
      <c r="B9589" s="896"/>
      <c r="C9589" s="897"/>
      <c r="D9589" s="897"/>
      <c r="E9589" s="1002" t="s">
        <v>108</v>
      </c>
      <c r="F9589" s="895"/>
      <c r="G9589" s="1004"/>
      <c r="H9589" s="901"/>
      <c r="I9589" s="902"/>
      <c r="J9589" s="902"/>
      <c r="K9589" s="912" t="s">
        <v>274</v>
      </c>
      <c r="L9589" s="902"/>
      <c r="M9589" s="902"/>
      <c r="N9589" s="902"/>
      <c r="O9589" s="892">
        <f t="shared" si="777"/>
        <v>0</v>
      </c>
      <c r="P9589" s="903">
        <f t="shared" si="778"/>
        <v>1</v>
      </c>
      <c r="Q9589" s="893">
        <f t="shared" si="779"/>
        <v>9</v>
      </c>
      <c r="R9589" s="894">
        <f t="shared" si="780"/>
        <v>0</v>
      </c>
    </row>
    <row r="9590" spans="1:18" s="904" customFormat="1">
      <c r="A9590" s="905"/>
      <c r="B9590" s="952"/>
      <c r="C9590" s="907">
        <v>315</v>
      </c>
      <c r="D9590" s="907" t="s">
        <v>279</v>
      </c>
      <c r="E9590" s="992" t="s">
        <v>6316</v>
      </c>
      <c r="F9590" s="905" t="s">
        <v>49</v>
      </c>
      <c r="G9590" s="1005"/>
      <c r="H9590" s="911">
        <v>0.5</v>
      </c>
      <c r="I9590" s="912">
        <f>VLOOKUP(E9590,[3]VLP!$B$7:$K$300,10,0)</f>
        <v>8000</v>
      </c>
      <c r="J9590" s="912">
        <f>I9590*H9590</f>
        <v>4000</v>
      </c>
      <c r="K9590" s="912" t="s">
        <v>274</v>
      </c>
      <c r="L9590" s="912"/>
      <c r="M9590" s="912"/>
      <c r="N9590" s="912"/>
      <c r="O9590" s="892">
        <f t="shared" si="777"/>
        <v>0</v>
      </c>
      <c r="P9590" s="903">
        <f t="shared" si="778"/>
        <v>1</v>
      </c>
      <c r="Q9590" s="893">
        <f t="shared" si="779"/>
        <v>8</v>
      </c>
      <c r="R9590" s="894">
        <f t="shared" si="780"/>
        <v>0</v>
      </c>
    </row>
    <row r="9591" spans="1:18">
      <c r="A9591" s="905"/>
      <c r="B9591" s="952"/>
      <c r="C9591" s="907">
        <v>235</v>
      </c>
      <c r="D9591" s="907" t="s">
        <v>279</v>
      </c>
      <c r="E9591" s="992" t="s">
        <v>2682</v>
      </c>
      <c r="F9591" s="905" t="s">
        <v>45</v>
      </c>
      <c r="G9591" s="1005"/>
      <c r="H9591" s="911">
        <v>0.3</v>
      </c>
      <c r="I9591" s="912">
        <f>VLOOKUP(E9591,[3]VLP!$B$7:$K$300,10,0)</f>
        <v>5000</v>
      </c>
      <c r="J9591" s="912">
        <f>I9591*H9591</f>
        <v>1500</v>
      </c>
      <c r="K9591" s="912" t="s">
        <v>274</v>
      </c>
      <c r="L9591" s="912"/>
      <c r="M9591" s="912"/>
      <c r="N9591" s="912"/>
      <c r="O9591" s="892">
        <f t="shared" si="777"/>
        <v>0</v>
      </c>
      <c r="P9591" s="903">
        <f t="shared" si="778"/>
        <v>1</v>
      </c>
      <c r="Q9591" s="893">
        <f t="shared" si="779"/>
        <v>7</v>
      </c>
      <c r="R9591" s="894">
        <f t="shared" si="780"/>
        <v>0</v>
      </c>
    </row>
    <row r="9592" spans="1:18" s="904" customFormat="1">
      <c r="A9592" s="905"/>
      <c r="B9592" s="952"/>
      <c r="C9592" s="907">
        <v>699</v>
      </c>
      <c r="D9592" s="907" t="s">
        <v>279</v>
      </c>
      <c r="E9592" s="992" t="s">
        <v>4006</v>
      </c>
      <c r="F9592" s="905" t="s">
        <v>4007</v>
      </c>
      <c r="G9592" s="1005"/>
      <c r="H9592" s="911">
        <v>10</v>
      </c>
      <c r="I9592" s="912">
        <f>VLOOKUP(E9592,[3]VLP!$B$7:$K$300,10,0)</f>
        <v>5000</v>
      </c>
      <c r="J9592" s="912">
        <f>I9592*H9592</f>
        <v>50000</v>
      </c>
      <c r="K9592" s="912" t="s">
        <v>274</v>
      </c>
      <c r="L9592" s="912"/>
      <c r="M9592" s="912"/>
      <c r="N9592" s="912"/>
      <c r="O9592" s="892">
        <f t="shared" si="777"/>
        <v>0</v>
      </c>
      <c r="P9592" s="903">
        <f t="shared" si="778"/>
        <v>1</v>
      </c>
      <c r="Q9592" s="893">
        <f t="shared" si="779"/>
        <v>6</v>
      </c>
      <c r="R9592" s="894">
        <f t="shared" si="780"/>
        <v>0</v>
      </c>
    </row>
    <row r="9593" spans="1:18">
      <c r="A9593" s="895"/>
      <c r="B9593" s="896"/>
      <c r="C9593" s="897"/>
      <c r="D9593" s="897"/>
      <c r="E9593" s="1002" t="s">
        <v>276</v>
      </c>
      <c r="F9593" s="1003"/>
      <c r="G9593" s="1004"/>
      <c r="H9593" s="901"/>
      <c r="I9593" s="902"/>
      <c r="J9593" s="902"/>
      <c r="K9593" s="912" t="s">
        <v>274</v>
      </c>
      <c r="L9593" s="902"/>
      <c r="M9593" s="902"/>
      <c r="N9593" s="902"/>
      <c r="O9593" s="892">
        <f t="shared" si="777"/>
        <v>0</v>
      </c>
      <c r="P9593" s="903">
        <f t="shared" si="778"/>
        <v>1</v>
      </c>
      <c r="Q9593" s="893">
        <f t="shared" si="779"/>
        <v>5</v>
      </c>
      <c r="R9593" s="894">
        <f t="shared" si="780"/>
        <v>0</v>
      </c>
    </row>
    <row r="9594" spans="1:18" s="847" customFormat="1">
      <c r="A9594" s="905"/>
      <c r="B9594" s="952"/>
      <c r="C9594" s="907">
        <v>740</v>
      </c>
      <c r="D9594" s="907" t="s">
        <v>12</v>
      </c>
      <c r="E9594" s="992" t="s">
        <v>4008</v>
      </c>
      <c r="F9594" s="905" t="s">
        <v>2674</v>
      </c>
      <c r="G9594" s="1005"/>
      <c r="H9594" s="911">
        <v>2.8</v>
      </c>
      <c r="I9594" s="912"/>
      <c r="J9594" s="912"/>
      <c r="K9594" s="912">
        <f>VLOOKUP(E9594,[5]ĐMNC!$A$7:$F$67,4,0)</f>
        <v>221125</v>
      </c>
      <c r="L9594" s="912">
        <f>H9594*K9594</f>
        <v>619150</v>
      </c>
      <c r="M9594" s="912"/>
      <c r="N9594" s="912"/>
      <c r="O9594" s="892">
        <f t="shared" si="777"/>
        <v>0</v>
      </c>
      <c r="P9594" s="903">
        <f t="shared" si="778"/>
        <v>1</v>
      </c>
      <c r="Q9594" s="893">
        <f t="shared" si="779"/>
        <v>4</v>
      </c>
      <c r="R9594" s="894">
        <f t="shared" si="780"/>
        <v>0</v>
      </c>
    </row>
    <row r="9595" spans="1:18" s="904" customFormat="1">
      <c r="A9595" s="895"/>
      <c r="B9595" s="896"/>
      <c r="C9595" s="897"/>
      <c r="D9595" s="897"/>
      <c r="E9595" s="1002" t="s">
        <v>3914</v>
      </c>
      <c r="F9595" s="895"/>
      <c r="G9595" s="1004"/>
      <c r="H9595" s="901"/>
      <c r="I9595" s="902"/>
      <c r="J9595" s="902"/>
      <c r="K9595" s="912" t="s">
        <v>274</v>
      </c>
      <c r="L9595" s="902"/>
      <c r="M9595" s="902"/>
      <c r="N9595" s="902"/>
      <c r="O9595" s="892">
        <f t="shared" si="777"/>
        <v>0</v>
      </c>
      <c r="P9595" s="903">
        <f t="shared" si="778"/>
        <v>1</v>
      </c>
      <c r="Q9595" s="893">
        <f t="shared" si="779"/>
        <v>3</v>
      </c>
      <c r="R9595" s="894">
        <f t="shared" si="780"/>
        <v>0</v>
      </c>
    </row>
    <row r="9596" spans="1:18">
      <c r="A9596" s="905"/>
      <c r="B9596" s="952" t="s">
        <v>6424</v>
      </c>
      <c r="C9596" s="907">
        <v>911</v>
      </c>
      <c r="D9596" s="907" t="s">
        <v>93</v>
      </c>
      <c r="E9596" s="992" t="s">
        <v>6425</v>
      </c>
      <c r="F9596" s="905" t="s">
        <v>2673</v>
      </c>
      <c r="G9596" s="1005"/>
      <c r="H9596" s="911">
        <v>0.44</v>
      </c>
      <c r="I9596" s="912"/>
      <c r="J9596" s="912"/>
      <c r="K9596" s="912"/>
      <c r="L9596" s="912"/>
      <c r="M9596" s="912">
        <f>VLOOKUP(B9596,MTC!$B$9:$S$933,12,0)</f>
        <v>0</v>
      </c>
      <c r="N9596" s="912">
        <f>M9596*H9596</f>
        <v>0</v>
      </c>
      <c r="O9596" s="892">
        <f t="shared" si="777"/>
        <v>0</v>
      </c>
      <c r="P9596" s="903">
        <f t="shared" si="778"/>
        <v>1</v>
      </c>
      <c r="Q9596" s="893">
        <f t="shared" si="779"/>
        <v>2</v>
      </c>
      <c r="R9596" s="894">
        <f t="shared" si="780"/>
        <v>0</v>
      </c>
    </row>
    <row r="9597" spans="1:18" s="904" customFormat="1">
      <c r="A9597" s="905"/>
      <c r="B9597" s="952" t="s">
        <v>6414</v>
      </c>
      <c r="C9597" s="907">
        <v>914</v>
      </c>
      <c r="D9597" s="907" t="s">
        <v>93</v>
      </c>
      <c r="E9597" s="992" t="s">
        <v>6415</v>
      </c>
      <c r="F9597" s="905" t="s">
        <v>2673</v>
      </c>
      <c r="G9597" s="1005"/>
      <c r="H9597" s="911">
        <v>0.1</v>
      </c>
      <c r="I9597" s="912"/>
      <c r="J9597" s="912"/>
      <c r="K9597" s="912"/>
      <c r="L9597" s="912"/>
      <c r="M9597" s="912">
        <f>VLOOKUP(B9597,MTC!$B$9:$S$933,12,0)</f>
        <v>0</v>
      </c>
      <c r="N9597" s="912">
        <f>M9597*H9597</f>
        <v>0</v>
      </c>
      <c r="O9597" s="892">
        <f t="shared" si="777"/>
        <v>0</v>
      </c>
      <c r="P9597" s="903">
        <f t="shared" si="778"/>
        <v>1</v>
      </c>
      <c r="Q9597" s="893">
        <f t="shared" si="779"/>
        <v>1</v>
      </c>
      <c r="R9597" s="894">
        <f t="shared" si="780"/>
        <v>0</v>
      </c>
    </row>
    <row r="9598" spans="1:18" ht="47.25">
      <c r="A9598" s="905">
        <v>89</v>
      </c>
      <c r="B9598" s="914" t="s">
        <v>6527</v>
      </c>
      <c r="C9598" s="915"/>
      <c r="D9598" s="915"/>
      <c r="E9598" s="1006" t="s">
        <v>6528</v>
      </c>
      <c r="F9598" s="1007" t="s">
        <v>136</v>
      </c>
      <c r="G9598" s="1008"/>
      <c r="H9598" s="919"/>
      <c r="I9598" s="920"/>
      <c r="J9598" s="962">
        <f>SUM(J9599:J9607)</f>
        <v>55500</v>
      </c>
      <c r="K9598" s="891" t="s">
        <v>274</v>
      </c>
      <c r="L9598" s="962">
        <f>SUM(L9599:L9607)</f>
        <v>773937.5</v>
      </c>
      <c r="M9598" s="962"/>
      <c r="N9598" s="962">
        <f>SUM(N9599:N9607)</f>
        <v>0</v>
      </c>
      <c r="O9598" s="892">
        <f t="shared" si="777"/>
        <v>1</v>
      </c>
      <c r="P9598" s="903">
        <f t="shared" si="778"/>
        <v>0</v>
      </c>
      <c r="Q9598" s="893">
        <f t="shared" si="779"/>
        <v>0</v>
      </c>
      <c r="R9598" s="894">
        <f t="shared" si="780"/>
        <v>9</v>
      </c>
    </row>
    <row r="9599" spans="1:18" s="847" customFormat="1">
      <c r="A9599" s="895"/>
      <c r="B9599" s="896"/>
      <c r="C9599" s="897"/>
      <c r="D9599" s="897"/>
      <c r="E9599" s="1002" t="s">
        <v>108</v>
      </c>
      <c r="F9599" s="895"/>
      <c r="G9599" s="1004"/>
      <c r="H9599" s="901"/>
      <c r="I9599" s="902"/>
      <c r="J9599" s="902"/>
      <c r="K9599" s="912" t="s">
        <v>274</v>
      </c>
      <c r="L9599" s="902"/>
      <c r="M9599" s="902"/>
      <c r="N9599" s="902"/>
      <c r="O9599" s="892">
        <f t="shared" si="777"/>
        <v>0</v>
      </c>
      <c r="P9599" s="903">
        <f t="shared" si="778"/>
        <v>1</v>
      </c>
      <c r="Q9599" s="893">
        <f t="shared" si="779"/>
        <v>9</v>
      </c>
      <c r="R9599" s="894">
        <f t="shared" si="780"/>
        <v>0</v>
      </c>
    </row>
    <row r="9600" spans="1:18" s="904" customFormat="1">
      <c r="A9600" s="905"/>
      <c r="B9600" s="952"/>
      <c r="C9600" s="907">
        <v>315</v>
      </c>
      <c r="D9600" s="907" t="s">
        <v>279</v>
      </c>
      <c r="E9600" s="992" t="s">
        <v>6316</v>
      </c>
      <c r="F9600" s="905" t="s">
        <v>49</v>
      </c>
      <c r="G9600" s="1005"/>
      <c r="H9600" s="911">
        <v>0.5</v>
      </c>
      <c r="I9600" s="912">
        <f>VLOOKUP(E9600,[3]VLP!$B$7:$K$300,10,0)</f>
        <v>8000</v>
      </c>
      <c r="J9600" s="912">
        <f>I9600*H9600</f>
        <v>4000</v>
      </c>
      <c r="K9600" s="912" t="s">
        <v>274</v>
      </c>
      <c r="L9600" s="912"/>
      <c r="M9600" s="912"/>
      <c r="N9600" s="912"/>
      <c r="O9600" s="892">
        <f t="shared" si="777"/>
        <v>0</v>
      </c>
      <c r="P9600" s="903">
        <f t="shared" si="778"/>
        <v>1</v>
      </c>
      <c r="Q9600" s="893">
        <f t="shared" si="779"/>
        <v>8</v>
      </c>
      <c r="R9600" s="894">
        <f t="shared" si="780"/>
        <v>0</v>
      </c>
    </row>
    <row r="9601" spans="1:18">
      <c r="A9601" s="905"/>
      <c r="B9601" s="952"/>
      <c r="C9601" s="907">
        <v>235</v>
      </c>
      <c r="D9601" s="907" t="s">
        <v>279</v>
      </c>
      <c r="E9601" s="992" t="s">
        <v>2682</v>
      </c>
      <c r="F9601" s="905" t="s">
        <v>45</v>
      </c>
      <c r="G9601" s="1005"/>
      <c r="H9601" s="911">
        <v>0.3</v>
      </c>
      <c r="I9601" s="912">
        <f>VLOOKUP(E9601,[3]VLP!$B$7:$K$300,10,0)</f>
        <v>5000</v>
      </c>
      <c r="J9601" s="912">
        <f>I9601*H9601</f>
        <v>1500</v>
      </c>
      <c r="K9601" s="912" t="s">
        <v>274</v>
      </c>
      <c r="L9601" s="912"/>
      <c r="M9601" s="912"/>
      <c r="N9601" s="912"/>
      <c r="O9601" s="892">
        <f t="shared" si="777"/>
        <v>0</v>
      </c>
      <c r="P9601" s="903">
        <f t="shared" si="778"/>
        <v>1</v>
      </c>
      <c r="Q9601" s="893">
        <f t="shared" si="779"/>
        <v>7</v>
      </c>
      <c r="R9601" s="894">
        <f t="shared" si="780"/>
        <v>0</v>
      </c>
    </row>
    <row r="9602" spans="1:18" s="904" customFormat="1">
      <c r="A9602" s="905"/>
      <c r="B9602" s="952"/>
      <c r="C9602" s="907">
        <v>699</v>
      </c>
      <c r="D9602" s="907" t="s">
        <v>279</v>
      </c>
      <c r="E9602" s="992" t="s">
        <v>4006</v>
      </c>
      <c r="F9602" s="905" t="s">
        <v>4007</v>
      </c>
      <c r="G9602" s="1005"/>
      <c r="H9602" s="911">
        <v>10</v>
      </c>
      <c r="I9602" s="912">
        <f>VLOOKUP(E9602,[3]VLP!$B$7:$K$300,10,0)</f>
        <v>5000</v>
      </c>
      <c r="J9602" s="912">
        <f>I9602*H9602</f>
        <v>50000</v>
      </c>
      <c r="K9602" s="912" t="s">
        <v>274</v>
      </c>
      <c r="L9602" s="912"/>
      <c r="M9602" s="912"/>
      <c r="N9602" s="912"/>
      <c r="O9602" s="892">
        <f t="shared" si="777"/>
        <v>0</v>
      </c>
      <c r="P9602" s="903">
        <f t="shared" si="778"/>
        <v>1</v>
      </c>
      <c r="Q9602" s="893">
        <f t="shared" si="779"/>
        <v>6</v>
      </c>
      <c r="R9602" s="894">
        <f t="shared" si="780"/>
        <v>0</v>
      </c>
    </row>
    <row r="9603" spans="1:18">
      <c r="A9603" s="895"/>
      <c r="B9603" s="896"/>
      <c r="C9603" s="897"/>
      <c r="D9603" s="897"/>
      <c r="E9603" s="1002" t="s">
        <v>276</v>
      </c>
      <c r="F9603" s="1003"/>
      <c r="G9603" s="1004"/>
      <c r="H9603" s="901"/>
      <c r="I9603" s="902"/>
      <c r="J9603" s="902"/>
      <c r="K9603" s="912" t="s">
        <v>274</v>
      </c>
      <c r="L9603" s="902"/>
      <c r="M9603" s="902"/>
      <c r="N9603" s="902"/>
      <c r="O9603" s="892">
        <f t="shared" si="777"/>
        <v>0</v>
      </c>
      <c r="P9603" s="903">
        <f t="shared" si="778"/>
        <v>1</v>
      </c>
      <c r="Q9603" s="893">
        <f t="shared" si="779"/>
        <v>5</v>
      </c>
      <c r="R9603" s="894">
        <f t="shared" si="780"/>
        <v>0</v>
      </c>
    </row>
    <row r="9604" spans="1:18" s="847" customFormat="1">
      <c r="A9604" s="905"/>
      <c r="B9604" s="952"/>
      <c r="C9604" s="907">
        <v>740</v>
      </c>
      <c r="D9604" s="907" t="s">
        <v>12</v>
      </c>
      <c r="E9604" s="992" t="s">
        <v>4008</v>
      </c>
      <c r="F9604" s="905" t="s">
        <v>2674</v>
      </c>
      <c r="G9604" s="1005"/>
      <c r="H9604" s="911">
        <v>3.5</v>
      </c>
      <c r="I9604" s="912"/>
      <c r="J9604" s="912"/>
      <c r="K9604" s="912">
        <f>VLOOKUP(E9604,[5]ĐMNC!$A$7:$F$67,4,0)</f>
        <v>221125</v>
      </c>
      <c r="L9604" s="912">
        <f>H9604*K9604</f>
        <v>773937.5</v>
      </c>
      <c r="M9604" s="912"/>
      <c r="N9604" s="912"/>
      <c r="O9604" s="892">
        <f t="shared" si="777"/>
        <v>0</v>
      </c>
      <c r="P9604" s="903">
        <f t="shared" si="778"/>
        <v>1</v>
      </c>
      <c r="Q9604" s="893">
        <f t="shared" si="779"/>
        <v>4</v>
      </c>
      <c r="R9604" s="894">
        <f t="shared" si="780"/>
        <v>0</v>
      </c>
    </row>
    <row r="9605" spans="1:18" s="904" customFormat="1">
      <c r="A9605" s="895"/>
      <c r="B9605" s="896"/>
      <c r="C9605" s="897"/>
      <c r="D9605" s="897"/>
      <c r="E9605" s="1002" t="s">
        <v>3914</v>
      </c>
      <c r="F9605" s="895"/>
      <c r="G9605" s="1004"/>
      <c r="H9605" s="901"/>
      <c r="I9605" s="902"/>
      <c r="J9605" s="902"/>
      <c r="K9605" s="912" t="s">
        <v>274</v>
      </c>
      <c r="L9605" s="902"/>
      <c r="M9605" s="902"/>
      <c r="N9605" s="902"/>
      <c r="O9605" s="892">
        <f t="shared" si="777"/>
        <v>0</v>
      </c>
      <c r="P9605" s="903">
        <f t="shared" si="778"/>
        <v>1</v>
      </c>
      <c r="Q9605" s="893">
        <f t="shared" si="779"/>
        <v>3</v>
      </c>
      <c r="R9605" s="894">
        <f t="shared" si="780"/>
        <v>0</v>
      </c>
    </row>
    <row r="9606" spans="1:18">
      <c r="A9606" s="905"/>
      <c r="B9606" s="952" t="s">
        <v>6424</v>
      </c>
      <c r="C9606" s="907">
        <v>911</v>
      </c>
      <c r="D9606" s="907" t="s">
        <v>93</v>
      </c>
      <c r="E9606" s="992" t="s">
        <v>6425</v>
      </c>
      <c r="F9606" s="905" t="s">
        <v>2673</v>
      </c>
      <c r="G9606" s="1005"/>
      <c r="H9606" s="911">
        <v>0.52</v>
      </c>
      <c r="I9606" s="912"/>
      <c r="J9606" s="912"/>
      <c r="K9606" s="912"/>
      <c r="L9606" s="912"/>
      <c r="M9606" s="912">
        <f>VLOOKUP(B9606,MTC!$B$9:$S$933,12,0)</f>
        <v>0</v>
      </c>
      <c r="N9606" s="912">
        <f>M9606*H9606</f>
        <v>0</v>
      </c>
      <c r="O9606" s="892">
        <f t="shared" si="777"/>
        <v>0</v>
      </c>
      <c r="P9606" s="903">
        <f t="shared" si="778"/>
        <v>1</v>
      </c>
      <c r="Q9606" s="893">
        <f t="shared" si="779"/>
        <v>2</v>
      </c>
      <c r="R9606" s="894">
        <f t="shared" si="780"/>
        <v>0</v>
      </c>
    </row>
    <row r="9607" spans="1:18" s="904" customFormat="1">
      <c r="A9607" s="905"/>
      <c r="B9607" s="952" t="s">
        <v>6414</v>
      </c>
      <c r="C9607" s="907">
        <v>914</v>
      </c>
      <c r="D9607" s="907" t="s">
        <v>93</v>
      </c>
      <c r="E9607" s="992" t="s">
        <v>6415</v>
      </c>
      <c r="F9607" s="905" t="s">
        <v>2673</v>
      </c>
      <c r="G9607" s="1005"/>
      <c r="H9607" s="911">
        <v>0.1</v>
      </c>
      <c r="I9607" s="912"/>
      <c r="J9607" s="912"/>
      <c r="K9607" s="912"/>
      <c r="L9607" s="912"/>
      <c r="M9607" s="912">
        <f>VLOOKUP(B9607,MTC!$B$9:$S$933,12,0)</f>
        <v>0</v>
      </c>
      <c r="N9607" s="912">
        <f>M9607*H9607</f>
        <v>0</v>
      </c>
      <c r="O9607" s="892">
        <f t="shared" si="777"/>
        <v>0</v>
      </c>
      <c r="P9607" s="903">
        <f t="shared" si="778"/>
        <v>1</v>
      </c>
      <c r="Q9607" s="893">
        <f t="shared" si="779"/>
        <v>1</v>
      </c>
      <c r="R9607" s="894">
        <f t="shared" si="780"/>
        <v>0</v>
      </c>
    </row>
    <row r="9608" spans="1:18" ht="47.25">
      <c r="A9608" s="905">
        <v>90</v>
      </c>
      <c r="B9608" s="914" t="s">
        <v>6529</v>
      </c>
      <c r="C9608" s="915"/>
      <c r="D9608" s="915"/>
      <c r="E9608" s="1006" t="s">
        <v>6530</v>
      </c>
      <c r="F9608" s="1007" t="s">
        <v>136</v>
      </c>
      <c r="G9608" s="1008"/>
      <c r="H9608" s="919"/>
      <c r="I9608" s="920"/>
      <c r="J9608" s="962">
        <f>SUM(J9609:J9617)</f>
        <v>55500</v>
      </c>
      <c r="K9608" s="891" t="s">
        <v>274</v>
      </c>
      <c r="L9608" s="962">
        <f>SUM(L9609:L9617)</f>
        <v>928725</v>
      </c>
      <c r="M9608" s="962"/>
      <c r="N9608" s="962">
        <f>SUM(N9609:N9617)</f>
        <v>0</v>
      </c>
      <c r="O9608" s="892">
        <f t="shared" si="777"/>
        <v>1</v>
      </c>
      <c r="P9608" s="903">
        <f t="shared" si="778"/>
        <v>0</v>
      </c>
      <c r="Q9608" s="893">
        <f t="shared" si="779"/>
        <v>0</v>
      </c>
      <c r="R9608" s="894">
        <f t="shared" si="780"/>
        <v>9</v>
      </c>
    </row>
    <row r="9609" spans="1:18" s="847" customFormat="1">
      <c r="A9609" s="895"/>
      <c r="B9609" s="896"/>
      <c r="C9609" s="897"/>
      <c r="D9609" s="897"/>
      <c r="E9609" s="1002" t="s">
        <v>108</v>
      </c>
      <c r="F9609" s="895"/>
      <c r="G9609" s="1004"/>
      <c r="H9609" s="901"/>
      <c r="I9609" s="902"/>
      <c r="J9609" s="902"/>
      <c r="K9609" s="912" t="s">
        <v>274</v>
      </c>
      <c r="L9609" s="902"/>
      <c r="M9609" s="902"/>
      <c r="N9609" s="902"/>
      <c r="O9609" s="892">
        <f t="shared" si="777"/>
        <v>0</v>
      </c>
      <c r="P9609" s="903">
        <f t="shared" si="778"/>
        <v>1</v>
      </c>
      <c r="Q9609" s="893">
        <f t="shared" si="779"/>
        <v>9</v>
      </c>
      <c r="R9609" s="894">
        <f t="shared" si="780"/>
        <v>0</v>
      </c>
    </row>
    <row r="9610" spans="1:18" s="904" customFormat="1">
      <c r="A9610" s="905"/>
      <c r="B9610" s="952"/>
      <c r="C9610" s="907">
        <v>315</v>
      </c>
      <c r="D9610" s="907" t="s">
        <v>279</v>
      </c>
      <c r="E9610" s="992" t="s">
        <v>6316</v>
      </c>
      <c r="F9610" s="905" t="s">
        <v>49</v>
      </c>
      <c r="G9610" s="1005"/>
      <c r="H9610" s="911">
        <v>0.5</v>
      </c>
      <c r="I9610" s="912">
        <f>VLOOKUP(E9610,[3]VLP!$B$7:$K$300,10,0)</f>
        <v>8000</v>
      </c>
      <c r="J9610" s="912">
        <f>I9610*H9610</f>
        <v>4000</v>
      </c>
      <c r="K9610" s="912" t="s">
        <v>274</v>
      </c>
      <c r="L9610" s="912"/>
      <c r="M9610" s="912"/>
      <c r="N9610" s="912"/>
      <c r="O9610" s="892">
        <f t="shared" si="777"/>
        <v>0</v>
      </c>
      <c r="P9610" s="903">
        <f t="shared" si="778"/>
        <v>1</v>
      </c>
      <c r="Q9610" s="893">
        <f t="shared" si="779"/>
        <v>8</v>
      </c>
      <c r="R9610" s="894">
        <f t="shared" si="780"/>
        <v>0</v>
      </c>
    </row>
    <row r="9611" spans="1:18">
      <c r="A9611" s="905"/>
      <c r="B9611" s="952"/>
      <c r="C9611" s="907">
        <v>235</v>
      </c>
      <c r="D9611" s="907" t="s">
        <v>279</v>
      </c>
      <c r="E9611" s="992" t="s">
        <v>2682</v>
      </c>
      <c r="F9611" s="905" t="s">
        <v>45</v>
      </c>
      <c r="G9611" s="1005"/>
      <c r="H9611" s="911">
        <v>0.3</v>
      </c>
      <c r="I9611" s="912">
        <f>VLOOKUP(E9611,[3]VLP!$B$7:$K$300,10,0)</f>
        <v>5000</v>
      </c>
      <c r="J9611" s="912">
        <f>I9611*H9611</f>
        <v>1500</v>
      </c>
      <c r="K9611" s="912" t="s">
        <v>274</v>
      </c>
      <c r="L9611" s="912"/>
      <c r="M9611" s="912"/>
      <c r="N9611" s="912"/>
      <c r="O9611" s="892">
        <f t="shared" si="777"/>
        <v>0</v>
      </c>
      <c r="P9611" s="903">
        <f t="shared" si="778"/>
        <v>1</v>
      </c>
      <c r="Q9611" s="893">
        <f t="shared" si="779"/>
        <v>7</v>
      </c>
      <c r="R9611" s="894">
        <f t="shared" si="780"/>
        <v>0</v>
      </c>
    </row>
    <row r="9612" spans="1:18" s="904" customFormat="1">
      <c r="A9612" s="905"/>
      <c r="B9612" s="952"/>
      <c r="C9612" s="907">
        <v>699</v>
      </c>
      <c r="D9612" s="907" t="s">
        <v>279</v>
      </c>
      <c r="E9612" s="992" t="s">
        <v>4006</v>
      </c>
      <c r="F9612" s="905" t="s">
        <v>4007</v>
      </c>
      <c r="G9612" s="1005"/>
      <c r="H9612" s="911">
        <v>10</v>
      </c>
      <c r="I9612" s="912">
        <f>VLOOKUP(E9612,[3]VLP!$B$7:$K$300,10,0)</f>
        <v>5000</v>
      </c>
      <c r="J9612" s="912">
        <f>I9612*H9612</f>
        <v>50000</v>
      </c>
      <c r="K9612" s="912" t="s">
        <v>274</v>
      </c>
      <c r="L9612" s="912"/>
      <c r="M9612" s="912"/>
      <c r="N9612" s="912"/>
      <c r="O9612" s="892">
        <f t="shared" si="777"/>
        <v>0</v>
      </c>
      <c r="P9612" s="903">
        <f t="shared" si="778"/>
        <v>1</v>
      </c>
      <c r="Q9612" s="893">
        <f t="shared" si="779"/>
        <v>6</v>
      </c>
      <c r="R9612" s="894">
        <f t="shared" si="780"/>
        <v>0</v>
      </c>
    </row>
    <row r="9613" spans="1:18">
      <c r="A9613" s="895"/>
      <c r="B9613" s="896"/>
      <c r="C9613" s="897"/>
      <c r="D9613" s="897"/>
      <c r="E9613" s="1002" t="s">
        <v>276</v>
      </c>
      <c r="F9613" s="1003"/>
      <c r="G9613" s="1004"/>
      <c r="H9613" s="901"/>
      <c r="I9613" s="902"/>
      <c r="J9613" s="902"/>
      <c r="K9613" s="912" t="s">
        <v>274</v>
      </c>
      <c r="L9613" s="902"/>
      <c r="M9613" s="902"/>
      <c r="N9613" s="902"/>
      <c r="O9613" s="892">
        <f t="shared" si="777"/>
        <v>0</v>
      </c>
      <c r="P9613" s="903">
        <f t="shared" si="778"/>
        <v>1</v>
      </c>
      <c r="Q9613" s="893">
        <f t="shared" si="779"/>
        <v>5</v>
      </c>
      <c r="R9613" s="894">
        <f t="shared" si="780"/>
        <v>0</v>
      </c>
    </row>
    <row r="9614" spans="1:18" s="847" customFormat="1">
      <c r="A9614" s="905"/>
      <c r="B9614" s="952"/>
      <c r="C9614" s="907">
        <v>740</v>
      </c>
      <c r="D9614" s="907" t="s">
        <v>12</v>
      </c>
      <c r="E9614" s="992" t="s">
        <v>4008</v>
      </c>
      <c r="F9614" s="905" t="s">
        <v>2674</v>
      </c>
      <c r="G9614" s="1005"/>
      <c r="H9614" s="911">
        <v>4.2</v>
      </c>
      <c r="I9614" s="912"/>
      <c r="J9614" s="912"/>
      <c r="K9614" s="912">
        <f>VLOOKUP(E9614,[5]ĐMNC!$A$7:$F$67,4,0)</f>
        <v>221125</v>
      </c>
      <c r="L9614" s="912">
        <f>H9614*K9614</f>
        <v>928725</v>
      </c>
      <c r="M9614" s="912"/>
      <c r="N9614" s="912"/>
      <c r="O9614" s="892">
        <f t="shared" si="777"/>
        <v>0</v>
      </c>
      <c r="P9614" s="903">
        <f t="shared" si="778"/>
        <v>1</v>
      </c>
      <c r="Q9614" s="893">
        <f t="shared" si="779"/>
        <v>4</v>
      </c>
      <c r="R9614" s="894">
        <f t="shared" si="780"/>
        <v>0</v>
      </c>
    </row>
    <row r="9615" spans="1:18" s="904" customFormat="1">
      <c r="A9615" s="895"/>
      <c r="B9615" s="896"/>
      <c r="C9615" s="897"/>
      <c r="D9615" s="897"/>
      <c r="E9615" s="1002" t="s">
        <v>3914</v>
      </c>
      <c r="F9615" s="895"/>
      <c r="G9615" s="1004"/>
      <c r="H9615" s="901"/>
      <c r="I9615" s="902"/>
      <c r="J9615" s="902"/>
      <c r="K9615" s="912" t="s">
        <v>274</v>
      </c>
      <c r="L9615" s="902"/>
      <c r="M9615" s="902"/>
      <c r="N9615" s="902"/>
      <c r="O9615" s="892">
        <f t="shared" si="777"/>
        <v>0</v>
      </c>
      <c r="P9615" s="903">
        <f t="shared" si="778"/>
        <v>1</v>
      </c>
      <c r="Q9615" s="893">
        <f t="shared" si="779"/>
        <v>3</v>
      </c>
      <c r="R9615" s="894">
        <f t="shared" si="780"/>
        <v>0</v>
      </c>
    </row>
    <row r="9616" spans="1:18">
      <c r="A9616" s="905"/>
      <c r="B9616" s="952" t="s">
        <v>6424</v>
      </c>
      <c r="C9616" s="907">
        <v>911</v>
      </c>
      <c r="D9616" s="907" t="s">
        <v>93</v>
      </c>
      <c r="E9616" s="992" t="s">
        <v>6425</v>
      </c>
      <c r="F9616" s="905" t="s">
        <v>2673</v>
      </c>
      <c r="G9616" s="1005"/>
      <c r="H9616" s="911">
        <v>0.63</v>
      </c>
      <c r="I9616" s="912"/>
      <c r="J9616" s="912"/>
      <c r="K9616" s="912"/>
      <c r="L9616" s="912"/>
      <c r="M9616" s="912">
        <f>VLOOKUP(B9616,MTC!$B$9:$S$933,12,0)</f>
        <v>0</v>
      </c>
      <c r="N9616" s="912">
        <f>M9616*H9616</f>
        <v>0</v>
      </c>
      <c r="O9616" s="892">
        <f t="shared" si="777"/>
        <v>0</v>
      </c>
      <c r="P9616" s="903">
        <f t="shared" si="778"/>
        <v>1</v>
      </c>
      <c r="Q9616" s="893">
        <f t="shared" si="779"/>
        <v>2</v>
      </c>
      <c r="R9616" s="894">
        <f t="shared" si="780"/>
        <v>0</v>
      </c>
    </row>
    <row r="9617" spans="1:18" s="904" customFormat="1">
      <c r="A9617" s="905"/>
      <c r="B9617" s="952" t="s">
        <v>6414</v>
      </c>
      <c r="C9617" s="907">
        <v>914</v>
      </c>
      <c r="D9617" s="907" t="s">
        <v>93</v>
      </c>
      <c r="E9617" s="992" t="s">
        <v>6415</v>
      </c>
      <c r="F9617" s="905" t="s">
        <v>2673</v>
      </c>
      <c r="G9617" s="1005"/>
      <c r="H9617" s="911">
        <v>0.1</v>
      </c>
      <c r="I9617" s="912"/>
      <c r="J9617" s="912"/>
      <c r="K9617" s="912"/>
      <c r="L9617" s="912"/>
      <c r="M9617" s="912">
        <f>VLOOKUP(B9617,MTC!$B$9:$S$933,12,0)</f>
        <v>0</v>
      </c>
      <c r="N9617" s="912">
        <f>M9617*H9617</f>
        <v>0</v>
      </c>
      <c r="O9617" s="892">
        <f t="shared" si="777"/>
        <v>0</v>
      </c>
      <c r="P9617" s="903">
        <f t="shared" si="778"/>
        <v>1</v>
      </c>
      <c r="Q9617" s="893">
        <f t="shared" si="779"/>
        <v>1</v>
      </c>
      <c r="R9617" s="894">
        <f t="shared" si="780"/>
        <v>0</v>
      </c>
    </row>
    <row r="9618" spans="1:18" ht="47.25">
      <c r="A9618" s="905" t="s">
        <v>6510</v>
      </c>
      <c r="B9618" s="914" t="s">
        <v>6531</v>
      </c>
      <c r="C9618" s="915"/>
      <c r="D9618" s="915"/>
      <c r="E9618" s="1006" t="s">
        <v>6532</v>
      </c>
      <c r="F9618" s="1007" t="s">
        <v>136</v>
      </c>
      <c r="G9618" s="1008"/>
      <c r="H9618" s="919"/>
      <c r="I9618" s="920"/>
      <c r="J9618" s="962">
        <f>SUM(J9619:J9627)</f>
        <v>55500</v>
      </c>
      <c r="K9618" s="891" t="s">
        <v>274</v>
      </c>
      <c r="L9618" s="962">
        <f>SUM(L9619:L9627)</f>
        <v>375912.5</v>
      </c>
      <c r="M9618" s="962"/>
      <c r="N9618" s="962">
        <f>SUM(N9619:N9627)</f>
        <v>0</v>
      </c>
      <c r="O9618" s="892">
        <f t="shared" si="777"/>
        <v>1</v>
      </c>
      <c r="P9618" s="903">
        <f t="shared" si="778"/>
        <v>0</v>
      </c>
      <c r="Q9618" s="893">
        <f t="shared" si="779"/>
        <v>0</v>
      </c>
      <c r="R9618" s="894">
        <f t="shared" si="780"/>
        <v>9</v>
      </c>
    </row>
    <row r="9619" spans="1:18" s="847" customFormat="1">
      <c r="A9619" s="895"/>
      <c r="B9619" s="896"/>
      <c r="C9619" s="897"/>
      <c r="D9619" s="897"/>
      <c r="E9619" s="1002" t="s">
        <v>108</v>
      </c>
      <c r="F9619" s="895"/>
      <c r="G9619" s="1004"/>
      <c r="H9619" s="901"/>
      <c r="I9619" s="902"/>
      <c r="J9619" s="902"/>
      <c r="K9619" s="912" t="s">
        <v>274</v>
      </c>
      <c r="L9619" s="902"/>
      <c r="M9619" s="902"/>
      <c r="N9619" s="902"/>
      <c r="O9619" s="892">
        <f t="shared" si="777"/>
        <v>0</v>
      </c>
      <c r="P9619" s="903">
        <f t="shared" si="778"/>
        <v>1</v>
      </c>
      <c r="Q9619" s="893">
        <f t="shared" si="779"/>
        <v>9</v>
      </c>
      <c r="R9619" s="894">
        <f t="shared" si="780"/>
        <v>0</v>
      </c>
    </row>
    <row r="9620" spans="1:18" s="904" customFormat="1">
      <c r="A9620" s="905"/>
      <c r="B9620" s="952"/>
      <c r="C9620" s="907">
        <v>315</v>
      </c>
      <c r="D9620" s="907" t="s">
        <v>279</v>
      </c>
      <c r="E9620" s="992" t="s">
        <v>6316</v>
      </c>
      <c r="F9620" s="905" t="s">
        <v>49</v>
      </c>
      <c r="G9620" s="1005"/>
      <c r="H9620" s="911">
        <v>0.5</v>
      </c>
      <c r="I9620" s="912">
        <f>VLOOKUP(E9620,[3]VLP!$B$7:$K$300,10,0)</f>
        <v>8000</v>
      </c>
      <c r="J9620" s="912">
        <f>I9620*H9620</f>
        <v>4000</v>
      </c>
      <c r="K9620" s="912" t="s">
        <v>274</v>
      </c>
      <c r="L9620" s="912"/>
      <c r="M9620" s="912"/>
      <c r="N9620" s="912"/>
      <c r="O9620" s="892">
        <f t="shared" si="777"/>
        <v>0</v>
      </c>
      <c r="P9620" s="903">
        <f t="shared" si="778"/>
        <v>1</v>
      </c>
      <c r="Q9620" s="893">
        <f t="shared" si="779"/>
        <v>8</v>
      </c>
      <c r="R9620" s="894">
        <f t="shared" si="780"/>
        <v>0</v>
      </c>
    </row>
    <row r="9621" spans="1:18">
      <c r="A9621" s="905"/>
      <c r="B9621" s="952"/>
      <c r="C9621" s="907">
        <v>235</v>
      </c>
      <c r="D9621" s="907" t="s">
        <v>279</v>
      </c>
      <c r="E9621" s="992" t="s">
        <v>2682</v>
      </c>
      <c r="F9621" s="905" t="s">
        <v>45</v>
      </c>
      <c r="G9621" s="1005"/>
      <c r="H9621" s="911">
        <v>0.3</v>
      </c>
      <c r="I9621" s="912">
        <f>VLOOKUP(E9621,[3]VLP!$B$7:$K$300,10,0)</f>
        <v>5000</v>
      </c>
      <c r="J9621" s="912">
        <f>I9621*H9621</f>
        <v>1500</v>
      </c>
      <c r="K9621" s="912" t="s">
        <v>274</v>
      </c>
      <c r="L9621" s="912"/>
      <c r="M9621" s="912"/>
      <c r="N9621" s="912"/>
      <c r="O9621" s="892">
        <f t="shared" si="777"/>
        <v>0</v>
      </c>
      <c r="P9621" s="903">
        <f t="shared" si="778"/>
        <v>1</v>
      </c>
      <c r="Q9621" s="893">
        <f t="shared" si="779"/>
        <v>7</v>
      </c>
      <c r="R9621" s="894">
        <f t="shared" si="780"/>
        <v>0</v>
      </c>
    </row>
    <row r="9622" spans="1:18" s="847" customFormat="1">
      <c r="A9622" s="905"/>
      <c r="B9622" s="952"/>
      <c r="C9622" s="907">
        <v>699</v>
      </c>
      <c r="D9622" s="907" t="s">
        <v>279</v>
      </c>
      <c r="E9622" s="992" t="s">
        <v>4006</v>
      </c>
      <c r="F9622" s="905" t="s">
        <v>4007</v>
      </c>
      <c r="G9622" s="1005"/>
      <c r="H9622" s="911">
        <v>10</v>
      </c>
      <c r="I9622" s="912">
        <f>VLOOKUP(E9622,[3]VLP!$B$7:$K$300,10,0)</f>
        <v>5000</v>
      </c>
      <c r="J9622" s="912">
        <f>I9622*H9622</f>
        <v>50000</v>
      </c>
      <c r="K9622" s="912" t="s">
        <v>274</v>
      </c>
      <c r="L9622" s="912"/>
      <c r="M9622" s="912"/>
      <c r="N9622" s="912"/>
      <c r="O9622" s="892">
        <f t="shared" si="777"/>
        <v>0</v>
      </c>
      <c r="P9622" s="903">
        <f t="shared" si="778"/>
        <v>1</v>
      </c>
      <c r="Q9622" s="893">
        <f t="shared" si="779"/>
        <v>6</v>
      </c>
      <c r="R9622" s="894">
        <f t="shared" si="780"/>
        <v>0</v>
      </c>
    </row>
    <row r="9623" spans="1:18" s="904" customFormat="1">
      <c r="A9623" s="895"/>
      <c r="B9623" s="896"/>
      <c r="C9623" s="897"/>
      <c r="D9623" s="897"/>
      <c r="E9623" s="1002" t="s">
        <v>276</v>
      </c>
      <c r="F9623" s="1003"/>
      <c r="G9623" s="1004"/>
      <c r="H9623" s="901"/>
      <c r="I9623" s="902"/>
      <c r="J9623" s="902"/>
      <c r="K9623" s="912" t="s">
        <v>274</v>
      </c>
      <c r="L9623" s="902"/>
      <c r="M9623" s="902"/>
      <c r="N9623" s="902"/>
      <c r="O9623" s="892">
        <f t="shared" si="777"/>
        <v>0</v>
      </c>
      <c r="P9623" s="903">
        <f t="shared" si="778"/>
        <v>1</v>
      </c>
      <c r="Q9623" s="893">
        <f t="shared" si="779"/>
        <v>5</v>
      </c>
      <c r="R9623" s="894">
        <f t="shared" si="780"/>
        <v>0</v>
      </c>
    </row>
    <row r="9624" spans="1:18">
      <c r="A9624" s="905"/>
      <c r="B9624" s="952"/>
      <c r="C9624" s="907">
        <v>740</v>
      </c>
      <c r="D9624" s="907" t="s">
        <v>12</v>
      </c>
      <c r="E9624" s="992" t="s">
        <v>4008</v>
      </c>
      <c r="F9624" s="905" t="s">
        <v>2674</v>
      </c>
      <c r="G9624" s="1005"/>
      <c r="H9624" s="911">
        <v>1.7</v>
      </c>
      <c r="I9624" s="912"/>
      <c r="J9624" s="912"/>
      <c r="K9624" s="912">
        <f>VLOOKUP(E9624,[5]ĐMNC!$A$7:$F$67,4,0)</f>
        <v>221125</v>
      </c>
      <c r="L9624" s="912">
        <f>H9624*K9624</f>
        <v>375912.5</v>
      </c>
      <c r="M9624" s="912"/>
      <c r="N9624" s="912"/>
      <c r="O9624" s="892">
        <f t="shared" si="777"/>
        <v>0</v>
      </c>
      <c r="P9624" s="903">
        <f t="shared" si="778"/>
        <v>1</v>
      </c>
      <c r="Q9624" s="893">
        <f t="shared" si="779"/>
        <v>4</v>
      </c>
      <c r="R9624" s="894">
        <f t="shared" si="780"/>
        <v>0</v>
      </c>
    </row>
    <row r="9625" spans="1:18" s="847" customFormat="1">
      <c r="A9625" s="895"/>
      <c r="B9625" s="896"/>
      <c r="C9625" s="897"/>
      <c r="D9625" s="897"/>
      <c r="E9625" s="1002" t="s">
        <v>3914</v>
      </c>
      <c r="F9625" s="895"/>
      <c r="G9625" s="1004"/>
      <c r="H9625" s="901"/>
      <c r="I9625" s="902"/>
      <c r="J9625" s="902"/>
      <c r="K9625" s="912" t="s">
        <v>274</v>
      </c>
      <c r="L9625" s="902"/>
      <c r="M9625" s="902"/>
      <c r="N9625" s="902"/>
      <c r="O9625" s="892">
        <f t="shared" si="777"/>
        <v>0</v>
      </c>
      <c r="P9625" s="903">
        <f t="shared" si="778"/>
        <v>1</v>
      </c>
      <c r="Q9625" s="893">
        <f t="shared" si="779"/>
        <v>3</v>
      </c>
      <c r="R9625" s="894">
        <f t="shared" si="780"/>
        <v>0</v>
      </c>
    </row>
    <row r="9626" spans="1:18" s="904" customFormat="1">
      <c r="A9626" s="905"/>
      <c r="B9626" s="952" t="s">
        <v>6434</v>
      </c>
      <c r="C9626" s="907">
        <v>912</v>
      </c>
      <c r="D9626" s="907" t="s">
        <v>93</v>
      </c>
      <c r="E9626" s="992" t="s">
        <v>6435</v>
      </c>
      <c r="F9626" s="905" t="s">
        <v>2673</v>
      </c>
      <c r="G9626" s="1005"/>
      <c r="H9626" s="911">
        <v>0.17599999999999999</v>
      </c>
      <c r="I9626" s="912"/>
      <c r="J9626" s="912"/>
      <c r="K9626" s="912"/>
      <c r="L9626" s="912"/>
      <c r="M9626" s="912">
        <f>VLOOKUP(B9626,MTC!$B$9:$S$933,12,0)</f>
        <v>0</v>
      </c>
      <c r="N9626" s="912">
        <f>M9626*H9626</f>
        <v>0</v>
      </c>
      <c r="O9626" s="892">
        <f t="shared" si="777"/>
        <v>0</v>
      </c>
      <c r="P9626" s="903">
        <f t="shared" si="778"/>
        <v>1</v>
      </c>
      <c r="Q9626" s="893">
        <f t="shared" si="779"/>
        <v>2</v>
      </c>
      <c r="R9626" s="894">
        <f t="shared" si="780"/>
        <v>0</v>
      </c>
    </row>
    <row r="9627" spans="1:18">
      <c r="A9627" s="905"/>
      <c r="B9627" s="952" t="s">
        <v>6414</v>
      </c>
      <c r="C9627" s="907">
        <v>914</v>
      </c>
      <c r="D9627" s="907" t="s">
        <v>93</v>
      </c>
      <c r="E9627" s="992" t="s">
        <v>6415</v>
      </c>
      <c r="F9627" s="905" t="s">
        <v>2673</v>
      </c>
      <c r="G9627" s="1005"/>
      <c r="H9627" s="911">
        <v>0.1</v>
      </c>
      <c r="I9627" s="912"/>
      <c r="J9627" s="912"/>
      <c r="K9627" s="912"/>
      <c r="L9627" s="912"/>
      <c r="M9627" s="912">
        <f>VLOOKUP(B9627,MTC!$B$9:$S$933,12,0)</f>
        <v>0</v>
      </c>
      <c r="N9627" s="912">
        <f>M9627*H9627</f>
        <v>0</v>
      </c>
      <c r="O9627" s="892">
        <f t="shared" si="777"/>
        <v>0</v>
      </c>
      <c r="P9627" s="903">
        <f t="shared" si="778"/>
        <v>1</v>
      </c>
      <c r="Q9627" s="893">
        <f t="shared" si="779"/>
        <v>1</v>
      </c>
      <c r="R9627" s="894">
        <f t="shared" si="780"/>
        <v>0</v>
      </c>
    </row>
    <row r="9628" spans="1:18" s="847" customFormat="1" ht="47.25">
      <c r="A9628" s="905">
        <v>92</v>
      </c>
      <c r="B9628" s="914" t="s">
        <v>6533</v>
      </c>
      <c r="C9628" s="915"/>
      <c r="D9628" s="915"/>
      <c r="E9628" s="1006" t="s">
        <v>6534</v>
      </c>
      <c r="F9628" s="1007" t="s">
        <v>136</v>
      </c>
      <c r="G9628" s="1008"/>
      <c r="H9628" s="919"/>
      <c r="I9628" s="920"/>
      <c r="J9628" s="962">
        <f>SUM(J9629:J9637)</f>
        <v>55500</v>
      </c>
      <c r="K9628" s="891" t="s">
        <v>274</v>
      </c>
      <c r="L9628" s="962">
        <f>SUM(L9629:L9637)</f>
        <v>486475.00000000006</v>
      </c>
      <c r="M9628" s="962"/>
      <c r="N9628" s="962">
        <f>SUM(N9629:N9637)</f>
        <v>0</v>
      </c>
      <c r="O9628" s="892">
        <f t="shared" si="777"/>
        <v>1</v>
      </c>
      <c r="P9628" s="903">
        <f t="shared" si="778"/>
        <v>0</v>
      </c>
      <c r="Q9628" s="893">
        <f t="shared" si="779"/>
        <v>0</v>
      </c>
      <c r="R9628" s="894">
        <f t="shared" si="780"/>
        <v>9</v>
      </c>
    </row>
    <row r="9629" spans="1:18" s="904" customFormat="1">
      <c r="A9629" s="895"/>
      <c r="B9629" s="896"/>
      <c r="C9629" s="897"/>
      <c r="D9629" s="897"/>
      <c r="E9629" s="1002" t="s">
        <v>108</v>
      </c>
      <c r="F9629" s="895"/>
      <c r="G9629" s="1004"/>
      <c r="H9629" s="901"/>
      <c r="I9629" s="902"/>
      <c r="J9629" s="902"/>
      <c r="K9629" s="912" t="s">
        <v>274</v>
      </c>
      <c r="L9629" s="902"/>
      <c r="M9629" s="902"/>
      <c r="N9629" s="902"/>
      <c r="O9629" s="892">
        <f t="shared" si="777"/>
        <v>0</v>
      </c>
      <c r="P9629" s="903">
        <f t="shared" si="778"/>
        <v>1</v>
      </c>
      <c r="Q9629" s="893">
        <f t="shared" si="779"/>
        <v>9</v>
      </c>
      <c r="R9629" s="894">
        <f t="shared" si="780"/>
        <v>0</v>
      </c>
    </row>
    <row r="9630" spans="1:18">
      <c r="A9630" s="905"/>
      <c r="B9630" s="952"/>
      <c r="C9630" s="907">
        <v>315</v>
      </c>
      <c r="D9630" s="907" t="s">
        <v>279</v>
      </c>
      <c r="E9630" s="992" t="s">
        <v>6316</v>
      </c>
      <c r="F9630" s="905" t="s">
        <v>49</v>
      </c>
      <c r="G9630" s="1005"/>
      <c r="H9630" s="911">
        <v>0.5</v>
      </c>
      <c r="I9630" s="912">
        <f>VLOOKUP(E9630,[3]VLP!$B$7:$K$300,10,0)</f>
        <v>8000</v>
      </c>
      <c r="J9630" s="912">
        <f>I9630*H9630</f>
        <v>4000</v>
      </c>
      <c r="K9630" s="912" t="s">
        <v>274</v>
      </c>
      <c r="L9630" s="912"/>
      <c r="M9630" s="912"/>
      <c r="N9630" s="912"/>
      <c r="O9630" s="892">
        <f t="shared" si="777"/>
        <v>0</v>
      </c>
      <c r="P9630" s="903">
        <f t="shared" si="778"/>
        <v>1</v>
      </c>
      <c r="Q9630" s="893">
        <f t="shared" si="779"/>
        <v>8</v>
      </c>
      <c r="R9630" s="894">
        <f t="shared" si="780"/>
        <v>0</v>
      </c>
    </row>
    <row r="9631" spans="1:18" s="847" customFormat="1">
      <c r="A9631" s="905"/>
      <c r="B9631" s="952"/>
      <c r="C9631" s="907">
        <v>235</v>
      </c>
      <c r="D9631" s="907" t="s">
        <v>279</v>
      </c>
      <c r="E9631" s="992" t="s">
        <v>2682</v>
      </c>
      <c r="F9631" s="905" t="s">
        <v>45</v>
      </c>
      <c r="G9631" s="1005"/>
      <c r="H9631" s="911">
        <v>0.3</v>
      </c>
      <c r="I9631" s="912">
        <f>VLOOKUP(E9631,[3]VLP!$B$7:$K$300,10,0)</f>
        <v>5000</v>
      </c>
      <c r="J9631" s="912">
        <f>I9631*H9631</f>
        <v>1500</v>
      </c>
      <c r="K9631" s="912" t="s">
        <v>274</v>
      </c>
      <c r="L9631" s="912"/>
      <c r="M9631" s="912"/>
      <c r="N9631" s="912"/>
      <c r="O9631" s="892">
        <f t="shared" ref="O9631:O9694" si="781">IF(AND(B9631&lt;&gt;"",D9631=""),1,0)</f>
        <v>0</v>
      </c>
      <c r="P9631" s="903">
        <f t="shared" si="778"/>
        <v>1</v>
      </c>
      <c r="Q9631" s="893">
        <f t="shared" si="779"/>
        <v>7</v>
      </c>
      <c r="R9631" s="894">
        <f t="shared" si="780"/>
        <v>0</v>
      </c>
    </row>
    <row r="9632" spans="1:18" s="904" customFormat="1">
      <c r="A9632" s="905"/>
      <c r="B9632" s="952"/>
      <c r="C9632" s="907">
        <v>699</v>
      </c>
      <c r="D9632" s="907" t="s">
        <v>279</v>
      </c>
      <c r="E9632" s="992" t="s">
        <v>4006</v>
      </c>
      <c r="F9632" s="905" t="s">
        <v>4007</v>
      </c>
      <c r="G9632" s="1005"/>
      <c r="H9632" s="911">
        <v>10</v>
      </c>
      <c r="I9632" s="912">
        <f>VLOOKUP(E9632,[3]VLP!$B$7:$K$300,10,0)</f>
        <v>5000</v>
      </c>
      <c r="J9632" s="912">
        <f>I9632*H9632</f>
        <v>50000</v>
      </c>
      <c r="K9632" s="912" t="s">
        <v>274</v>
      </c>
      <c r="L9632" s="912"/>
      <c r="M9632" s="912"/>
      <c r="N9632" s="912"/>
      <c r="O9632" s="892">
        <f t="shared" si="781"/>
        <v>0</v>
      </c>
      <c r="P9632" s="903">
        <f t="shared" si="778"/>
        <v>1</v>
      </c>
      <c r="Q9632" s="893">
        <f t="shared" si="779"/>
        <v>6</v>
      </c>
      <c r="R9632" s="894">
        <f t="shared" si="780"/>
        <v>0</v>
      </c>
    </row>
    <row r="9633" spans="1:18">
      <c r="A9633" s="895"/>
      <c r="B9633" s="896"/>
      <c r="C9633" s="897"/>
      <c r="D9633" s="897"/>
      <c r="E9633" s="1002" t="s">
        <v>276</v>
      </c>
      <c r="F9633" s="1003"/>
      <c r="G9633" s="1004"/>
      <c r="H9633" s="901"/>
      <c r="I9633" s="902"/>
      <c r="J9633" s="902"/>
      <c r="K9633" s="912" t="s">
        <v>274</v>
      </c>
      <c r="L9633" s="902"/>
      <c r="M9633" s="902"/>
      <c r="N9633" s="902"/>
      <c r="O9633" s="892">
        <f t="shared" si="781"/>
        <v>0</v>
      </c>
      <c r="P9633" s="903">
        <f t="shared" si="778"/>
        <v>1</v>
      </c>
      <c r="Q9633" s="893">
        <f t="shared" si="779"/>
        <v>5</v>
      </c>
      <c r="R9633" s="894">
        <f t="shared" si="780"/>
        <v>0</v>
      </c>
    </row>
    <row r="9634" spans="1:18" s="847" customFormat="1">
      <c r="A9634" s="905"/>
      <c r="B9634" s="952"/>
      <c r="C9634" s="907">
        <v>740</v>
      </c>
      <c r="D9634" s="907" t="s">
        <v>12</v>
      </c>
      <c r="E9634" s="992" t="s">
        <v>4008</v>
      </c>
      <c r="F9634" s="905" t="s">
        <v>2674</v>
      </c>
      <c r="G9634" s="1005"/>
      <c r="H9634" s="911">
        <v>2.2000000000000002</v>
      </c>
      <c r="I9634" s="912"/>
      <c r="J9634" s="912"/>
      <c r="K9634" s="912">
        <f>VLOOKUP(E9634,[5]ĐMNC!$A$7:$F$67,4,0)</f>
        <v>221125</v>
      </c>
      <c r="L9634" s="912">
        <f>H9634*K9634</f>
        <v>486475.00000000006</v>
      </c>
      <c r="M9634" s="912"/>
      <c r="N9634" s="912"/>
      <c r="O9634" s="892">
        <f t="shared" si="781"/>
        <v>0</v>
      </c>
      <c r="P9634" s="903">
        <f t="shared" si="778"/>
        <v>1</v>
      </c>
      <c r="Q9634" s="893">
        <f t="shared" si="779"/>
        <v>4</v>
      </c>
      <c r="R9634" s="894">
        <f t="shared" si="780"/>
        <v>0</v>
      </c>
    </row>
    <row r="9635" spans="1:18" s="904" customFormat="1">
      <c r="A9635" s="895"/>
      <c r="B9635" s="896"/>
      <c r="C9635" s="897"/>
      <c r="D9635" s="897"/>
      <c r="E9635" s="1002" t="s">
        <v>3914</v>
      </c>
      <c r="F9635" s="895"/>
      <c r="G9635" s="1004"/>
      <c r="H9635" s="901"/>
      <c r="I9635" s="902"/>
      <c r="J9635" s="902"/>
      <c r="K9635" s="912" t="s">
        <v>274</v>
      </c>
      <c r="L9635" s="902"/>
      <c r="M9635" s="902"/>
      <c r="N9635" s="902"/>
      <c r="O9635" s="892">
        <f t="shared" si="781"/>
        <v>0</v>
      </c>
      <c r="P9635" s="903">
        <f t="shared" si="778"/>
        <v>1</v>
      </c>
      <c r="Q9635" s="893">
        <f t="shared" si="779"/>
        <v>3</v>
      </c>
      <c r="R9635" s="894">
        <f t="shared" si="780"/>
        <v>0</v>
      </c>
    </row>
    <row r="9636" spans="1:18">
      <c r="A9636" s="905"/>
      <c r="B9636" s="952" t="s">
        <v>6434</v>
      </c>
      <c r="C9636" s="907">
        <v>912</v>
      </c>
      <c r="D9636" s="907" t="s">
        <v>93</v>
      </c>
      <c r="E9636" s="992" t="s">
        <v>6435</v>
      </c>
      <c r="F9636" s="905" t="s">
        <v>2673</v>
      </c>
      <c r="G9636" s="1005"/>
      <c r="H9636" s="911">
        <v>0.221</v>
      </c>
      <c r="I9636" s="912"/>
      <c r="J9636" s="912"/>
      <c r="K9636" s="912"/>
      <c r="L9636" s="912"/>
      <c r="M9636" s="912">
        <f>VLOOKUP(B9636,MTC!$B$9:$S$933,12,0)</f>
        <v>0</v>
      </c>
      <c r="N9636" s="912">
        <f>M9636*H9636</f>
        <v>0</v>
      </c>
      <c r="O9636" s="892">
        <f t="shared" si="781"/>
        <v>0</v>
      </c>
      <c r="P9636" s="903">
        <f t="shared" si="778"/>
        <v>1</v>
      </c>
      <c r="Q9636" s="893">
        <f t="shared" si="779"/>
        <v>2</v>
      </c>
      <c r="R9636" s="894">
        <f t="shared" si="780"/>
        <v>0</v>
      </c>
    </row>
    <row r="9637" spans="1:18" s="847" customFormat="1">
      <c r="A9637" s="905"/>
      <c r="B9637" s="952" t="s">
        <v>6414</v>
      </c>
      <c r="C9637" s="907">
        <v>914</v>
      </c>
      <c r="D9637" s="907" t="s">
        <v>93</v>
      </c>
      <c r="E9637" s="992" t="s">
        <v>6415</v>
      </c>
      <c r="F9637" s="905" t="s">
        <v>2673</v>
      </c>
      <c r="G9637" s="1005"/>
      <c r="H9637" s="911">
        <v>0.1</v>
      </c>
      <c r="I9637" s="912"/>
      <c r="J9637" s="912"/>
      <c r="K9637" s="912"/>
      <c r="L9637" s="912"/>
      <c r="M9637" s="912">
        <f>VLOOKUP(B9637,MTC!$B$9:$S$933,12,0)</f>
        <v>0</v>
      </c>
      <c r="N9637" s="912">
        <f>M9637*H9637</f>
        <v>0</v>
      </c>
      <c r="O9637" s="892">
        <f t="shared" si="781"/>
        <v>0</v>
      </c>
      <c r="P9637" s="903">
        <f t="shared" si="778"/>
        <v>1</v>
      </c>
      <c r="Q9637" s="893">
        <f t="shared" si="779"/>
        <v>1</v>
      </c>
      <c r="R9637" s="894">
        <f t="shared" si="780"/>
        <v>0</v>
      </c>
    </row>
    <row r="9638" spans="1:18" s="904" customFormat="1" ht="47.25">
      <c r="A9638" s="905">
        <v>93</v>
      </c>
      <c r="B9638" s="914" t="s">
        <v>6535</v>
      </c>
      <c r="C9638" s="915"/>
      <c r="D9638" s="915"/>
      <c r="E9638" s="1006" t="s">
        <v>6536</v>
      </c>
      <c r="F9638" s="1007" t="s">
        <v>136</v>
      </c>
      <c r="G9638" s="1008"/>
      <c r="H9638" s="919"/>
      <c r="I9638" s="920"/>
      <c r="J9638" s="962">
        <f>SUM(J9639:J9647)</f>
        <v>55500</v>
      </c>
      <c r="K9638" s="891" t="s">
        <v>274</v>
      </c>
      <c r="L9638" s="962">
        <f>SUM(L9639:L9647)</f>
        <v>619150</v>
      </c>
      <c r="M9638" s="962"/>
      <c r="N9638" s="962">
        <f>SUM(N9639:N9647)</f>
        <v>0</v>
      </c>
      <c r="O9638" s="892">
        <f t="shared" si="781"/>
        <v>1</v>
      </c>
      <c r="P9638" s="903">
        <f t="shared" si="778"/>
        <v>0</v>
      </c>
      <c r="Q9638" s="893">
        <f t="shared" si="779"/>
        <v>0</v>
      </c>
      <c r="R9638" s="894">
        <f t="shared" si="780"/>
        <v>9</v>
      </c>
    </row>
    <row r="9639" spans="1:18">
      <c r="A9639" s="895"/>
      <c r="B9639" s="896"/>
      <c r="C9639" s="897"/>
      <c r="D9639" s="897"/>
      <c r="E9639" s="1002" t="s">
        <v>108</v>
      </c>
      <c r="F9639" s="895"/>
      <c r="G9639" s="1004"/>
      <c r="H9639" s="901"/>
      <c r="I9639" s="902"/>
      <c r="J9639" s="902"/>
      <c r="K9639" s="912" t="s">
        <v>274</v>
      </c>
      <c r="L9639" s="902"/>
      <c r="M9639" s="902"/>
      <c r="N9639" s="902"/>
      <c r="O9639" s="892">
        <f t="shared" si="781"/>
        <v>0</v>
      </c>
      <c r="P9639" s="903">
        <f t="shared" si="778"/>
        <v>1</v>
      </c>
      <c r="Q9639" s="893">
        <f t="shared" si="779"/>
        <v>9</v>
      </c>
      <c r="R9639" s="894">
        <f t="shared" si="780"/>
        <v>0</v>
      </c>
    </row>
    <row r="9640" spans="1:18" s="847" customFormat="1">
      <c r="A9640" s="905"/>
      <c r="B9640" s="952"/>
      <c r="C9640" s="907">
        <v>315</v>
      </c>
      <c r="D9640" s="907" t="s">
        <v>279</v>
      </c>
      <c r="E9640" s="992" t="s">
        <v>6316</v>
      </c>
      <c r="F9640" s="905" t="s">
        <v>49</v>
      </c>
      <c r="G9640" s="1005"/>
      <c r="H9640" s="911">
        <v>0.5</v>
      </c>
      <c r="I9640" s="912">
        <f>VLOOKUP(E9640,[3]VLP!$B$7:$K$300,10,0)</f>
        <v>8000</v>
      </c>
      <c r="J9640" s="912">
        <f>I9640*H9640</f>
        <v>4000</v>
      </c>
      <c r="K9640" s="912" t="s">
        <v>274</v>
      </c>
      <c r="L9640" s="912"/>
      <c r="M9640" s="912"/>
      <c r="N9640" s="912"/>
      <c r="O9640" s="892">
        <f t="shared" si="781"/>
        <v>0</v>
      </c>
      <c r="P9640" s="903">
        <f t="shared" si="778"/>
        <v>1</v>
      </c>
      <c r="Q9640" s="893">
        <f t="shared" si="779"/>
        <v>8</v>
      </c>
      <c r="R9640" s="894">
        <f t="shared" si="780"/>
        <v>0</v>
      </c>
    </row>
    <row r="9641" spans="1:18" s="904" customFormat="1">
      <c r="A9641" s="905"/>
      <c r="B9641" s="952"/>
      <c r="C9641" s="907">
        <v>235</v>
      </c>
      <c r="D9641" s="907" t="s">
        <v>279</v>
      </c>
      <c r="E9641" s="992" t="s">
        <v>2682</v>
      </c>
      <c r="F9641" s="905" t="s">
        <v>45</v>
      </c>
      <c r="G9641" s="1005"/>
      <c r="H9641" s="911">
        <v>0.3</v>
      </c>
      <c r="I9641" s="912">
        <f>VLOOKUP(E9641,[3]VLP!$B$7:$K$300,10,0)</f>
        <v>5000</v>
      </c>
      <c r="J9641" s="912">
        <f>I9641*H9641</f>
        <v>1500</v>
      </c>
      <c r="K9641" s="912" t="s">
        <v>274</v>
      </c>
      <c r="L9641" s="912"/>
      <c r="M9641" s="912"/>
      <c r="N9641" s="912"/>
      <c r="O9641" s="892">
        <f t="shared" si="781"/>
        <v>0</v>
      </c>
      <c r="P9641" s="903">
        <f t="shared" si="778"/>
        <v>1</v>
      </c>
      <c r="Q9641" s="893">
        <f t="shared" si="779"/>
        <v>7</v>
      </c>
      <c r="R9641" s="894">
        <f t="shared" si="780"/>
        <v>0</v>
      </c>
    </row>
    <row r="9642" spans="1:18">
      <c r="A9642" s="905"/>
      <c r="B9642" s="952"/>
      <c r="C9642" s="907">
        <v>699</v>
      </c>
      <c r="D9642" s="907" t="s">
        <v>279</v>
      </c>
      <c r="E9642" s="992" t="s">
        <v>4006</v>
      </c>
      <c r="F9642" s="905" t="s">
        <v>4007</v>
      </c>
      <c r="G9642" s="1005"/>
      <c r="H9642" s="911">
        <v>10</v>
      </c>
      <c r="I9642" s="912">
        <f>VLOOKUP(E9642,[3]VLP!$B$7:$K$300,10,0)</f>
        <v>5000</v>
      </c>
      <c r="J9642" s="912">
        <f>I9642*H9642</f>
        <v>50000</v>
      </c>
      <c r="K9642" s="912" t="s">
        <v>274</v>
      </c>
      <c r="L9642" s="912"/>
      <c r="M9642" s="912"/>
      <c r="N9642" s="912"/>
      <c r="O9642" s="892">
        <f t="shared" si="781"/>
        <v>0</v>
      </c>
      <c r="P9642" s="903">
        <f t="shared" si="778"/>
        <v>1</v>
      </c>
      <c r="Q9642" s="893">
        <f t="shared" si="779"/>
        <v>6</v>
      </c>
      <c r="R9642" s="894">
        <f t="shared" si="780"/>
        <v>0</v>
      </c>
    </row>
    <row r="9643" spans="1:18" s="847" customFormat="1">
      <c r="A9643" s="895"/>
      <c r="B9643" s="896"/>
      <c r="C9643" s="897"/>
      <c r="D9643" s="897"/>
      <c r="E9643" s="1002" t="s">
        <v>276</v>
      </c>
      <c r="F9643" s="1003"/>
      <c r="G9643" s="1004"/>
      <c r="H9643" s="901"/>
      <c r="I9643" s="902"/>
      <c r="J9643" s="902"/>
      <c r="K9643" s="912" t="s">
        <v>274</v>
      </c>
      <c r="L9643" s="902"/>
      <c r="M9643" s="902"/>
      <c r="N9643" s="902"/>
      <c r="O9643" s="892">
        <f t="shared" si="781"/>
        <v>0</v>
      </c>
      <c r="P9643" s="903">
        <f t="shared" si="778"/>
        <v>1</v>
      </c>
      <c r="Q9643" s="893">
        <f t="shared" si="779"/>
        <v>5</v>
      </c>
      <c r="R9643" s="894">
        <f t="shared" si="780"/>
        <v>0</v>
      </c>
    </row>
    <row r="9644" spans="1:18" s="904" customFormat="1">
      <c r="A9644" s="905"/>
      <c r="B9644" s="952"/>
      <c r="C9644" s="907">
        <v>740</v>
      </c>
      <c r="D9644" s="907" t="s">
        <v>12</v>
      </c>
      <c r="E9644" s="992" t="s">
        <v>4008</v>
      </c>
      <c r="F9644" s="905" t="s">
        <v>2674</v>
      </c>
      <c r="G9644" s="1005"/>
      <c r="H9644" s="911">
        <v>2.8</v>
      </c>
      <c r="I9644" s="912"/>
      <c r="J9644" s="912"/>
      <c r="K9644" s="912">
        <f>VLOOKUP(E9644,[5]ĐMNC!$A$7:$F$67,4,0)</f>
        <v>221125</v>
      </c>
      <c r="L9644" s="912">
        <f>H9644*K9644</f>
        <v>619150</v>
      </c>
      <c r="M9644" s="912"/>
      <c r="N9644" s="912"/>
      <c r="O9644" s="892">
        <f t="shared" si="781"/>
        <v>0</v>
      </c>
      <c r="P9644" s="903">
        <f t="shared" si="778"/>
        <v>1</v>
      </c>
      <c r="Q9644" s="893">
        <f t="shared" si="779"/>
        <v>4</v>
      </c>
      <c r="R9644" s="894">
        <f t="shared" si="780"/>
        <v>0</v>
      </c>
    </row>
    <row r="9645" spans="1:18">
      <c r="A9645" s="895"/>
      <c r="B9645" s="896"/>
      <c r="C9645" s="897"/>
      <c r="D9645" s="897"/>
      <c r="E9645" s="1002" t="s">
        <v>3914</v>
      </c>
      <c r="F9645" s="895"/>
      <c r="G9645" s="1004"/>
      <c r="H9645" s="901"/>
      <c r="I9645" s="902"/>
      <c r="J9645" s="902"/>
      <c r="K9645" s="912" t="s">
        <v>274</v>
      </c>
      <c r="L9645" s="902"/>
      <c r="M9645" s="902"/>
      <c r="N9645" s="902"/>
      <c r="O9645" s="892">
        <f t="shared" si="781"/>
        <v>0</v>
      </c>
      <c r="P9645" s="903">
        <f t="shared" si="778"/>
        <v>1</v>
      </c>
      <c r="Q9645" s="893">
        <f t="shared" si="779"/>
        <v>3</v>
      </c>
      <c r="R9645" s="894">
        <f t="shared" si="780"/>
        <v>0</v>
      </c>
    </row>
    <row r="9646" spans="1:18" s="847" customFormat="1">
      <c r="A9646" s="905"/>
      <c r="B9646" s="952" t="s">
        <v>6434</v>
      </c>
      <c r="C9646" s="907">
        <v>912</v>
      </c>
      <c r="D9646" s="907" t="s">
        <v>93</v>
      </c>
      <c r="E9646" s="992" t="s">
        <v>6435</v>
      </c>
      <c r="F9646" s="905" t="s">
        <v>2673</v>
      </c>
      <c r="G9646" s="1005"/>
      <c r="H9646" s="911">
        <v>0.27</v>
      </c>
      <c r="I9646" s="912"/>
      <c r="J9646" s="912"/>
      <c r="K9646" s="912"/>
      <c r="L9646" s="912"/>
      <c r="M9646" s="912">
        <f>VLOOKUP(B9646,MTC!$B$9:$S$933,12,0)</f>
        <v>0</v>
      </c>
      <c r="N9646" s="912">
        <f>M9646*H9646</f>
        <v>0</v>
      </c>
      <c r="O9646" s="892">
        <f t="shared" si="781"/>
        <v>0</v>
      </c>
      <c r="P9646" s="903">
        <f t="shared" si="778"/>
        <v>1</v>
      </c>
      <c r="Q9646" s="893">
        <f t="shared" si="779"/>
        <v>2</v>
      </c>
      <c r="R9646" s="894">
        <f t="shared" si="780"/>
        <v>0</v>
      </c>
    </row>
    <row r="9647" spans="1:18" s="904" customFormat="1">
      <c r="A9647" s="905"/>
      <c r="B9647" s="952" t="s">
        <v>6414</v>
      </c>
      <c r="C9647" s="907">
        <v>914</v>
      </c>
      <c r="D9647" s="907" t="s">
        <v>93</v>
      </c>
      <c r="E9647" s="992" t="s">
        <v>6415</v>
      </c>
      <c r="F9647" s="905" t="s">
        <v>2673</v>
      </c>
      <c r="G9647" s="1005"/>
      <c r="H9647" s="911">
        <v>0.1</v>
      </c>
      <c r="I9647" s="912"/>
      <c r="J9647" s="912"/>
      <c r="K9647" s="912"/>
      <c r="L9647" s="912"/>
      <c r="M9647" s="912">
        <f>VLOOKUP(B9647,MTC!$B$9:$S$933,12,0)</f>
        <v>0</v>
      </c>
      <c r="N9647" s="912">
        <f>M9647*H9647</f>
        <v>0</v>
      </c>
      <c r="O9647" s="892">
        <f t="shared" si="781"/>
        <v>0</v>
      </c>
      <c r="P9647" s="903">
        <f t="shared" si="778"/>
        <v>1</v>
      </c>
      <c r="Q9647" s="893">
        <f t="shared" si="779"/>
        <v>1</v>
      </c>
      <c r="R9647" s="894">
        <f t="shared" si="780"/>
        <v>0</v>
      </c>
    </row>
    <row r="9648" spans="1:18" ht="47.25">
      <c r="A9648" s="905">
        <v>94</v>
      </c>
      <c r="B9648" s="914" t="s">
        <v>6537</v>
      </c>
      <c r="C9648" s="915"/>
      <c r="D9648" s="915"/>
      <c r="E9648" s="1006" t="s">
        <v>6538</v>
      </c>
      <c r="F9648" s="1007" t="s">
        <v>136</v>
      </c>
      <c r="G9648" s="1008"/>
      <c r="H9648" s="919"/>
      <c r="I9648" s="920"/>
      <c r="J9648" s="962">
        <f>SUM(J9649:J9657)</f>
        <v>55500</v>
      </c>
      <c r="K9648" s="891" t="s">
        <v>274</v>
      </c>
      <c r="L9648" s="962">
        <f>SUM(L9649:L9657)</f>
        <v>773937.5</v>
      </c>
      <c r="M9648" s="962"/>
      <c r="N9648" s="962">
        <f>SUM(N9649:N9657)</f>
        <v>0</v>
      </c>
      <c r="O9648" s="892">
        <f t="shared" si="781"/>
        <v>1</v>
      </c>
      <c r="P9648" s="903">
        <f t="shared" si="778"/>
        <v>0</v>
      </c>
      <c r="Q9648" s="893">
        <f t="shared" si="779"/>
        <v>0</v>
      </c>
      <c r="R9648" s="894">
        <f t="shared" si="780"/>
        <v>9</v>
      </c>
    </row>
    <row r="9649" spans="1:18" s="847" customFormat="1">
      <c r="A9649" s="895"/>
      <c r="B9649" s="896"/>
      <c r="C9649" s="897"/>
      <c r="D9649" s="897"/>
      <c r="E9649" s="1002" t="s">
        <v>108</v>
      </c>
      <c r="F9649" s="895"/>
      <c r="G9649" s="1004"/>
      <c r="H9649" s="901"/>
      <c r="I9649" s="902"/>
      <c r="J9649" s="902"/>
      <c r="K9649" s="912" t="s">
        <v>274</v>
      </c>
      <c r="L9649" s="902"/>
      <c r="M9649" s="902"/>
      <c r="N9649" s="902"/>
      <c r="O9649" s="892">
        <f t="shared" si="781"/>
        <v>0</v>
      </c>
      <c r="P9649" s="903">
        <f t="shared" si="778"/>
        <v>1</v>
      </c>
      <c r="Q9649" s="893">
        <f t="shared" si="779"/>
        <v>9</v>
      </c>
      <c r="R9649" s="894">
        <f t="shared" si="780"/>
        <v>0</v>
      </c>
    </row>
    <row r="9650" spans="1:18" s="904" customFormat="1">
      <c r="A9650" s="905"/>
      <c r="B9650" s="952"/>
      <c r="C9650" s="907">
        <v>315</v>
      </c>
      <c r="D9650" s="907" t="s">
        <v>279</v>
      </c>
      <c r="E9650" s="992" t="s">
        <v>6316</v>
      </c>
      <c r="F9650" s="905" t="s">
        <v>49</v>
      </c>
      <c r="G9650" s="1005"/>
      <c r="H9650" s="911">
        <v>0.5</v>
      </c>
      <c r="I9650" s="912">
        <f>VLOOKUP(E9650,[3]VLP!$B$7:$K$300,10,0)</f>
        <v>8000</v>
      </c>
      <c r="J9650" s="912">
        <f>I9650*H9650</f>
        <v>4000</v>
      </c>
      <c r="K9650" s="912" t="s">
        <v>274</v>
      </c>
      <c r="L9650" s="912"/>
      <c r="M9650" s="912"/>
      <c r="N9650" s="912"/>
      <c r="O9650" s="892">
        <f t="shared" si="781"/>
        <v>0</v>
      </c>
      <c r="P9650" s="903">
        <f t="shared" si="778"/>
        <v>1</v>
      </c>
      <c r="Q9650" s="893">
        <f t="shared" si="779"/>
        <v>8</v>
      </c>
      <c r="R9650" s="894">
        <f t="shared" si="780"/>
        <v>0</v>
      </c>
    </row>
    <row r="9651" spans="1:18">
      <c r="A9651" s="905"/>
      <c r="B9651" s="952"/>
      <c r="C9651" s="907">
        <v>235</v>
      </c>
      <c r="D9651" s="907" t="s">
        <v>279</v>
      </c>
      <c r="E9651" s="992" t="s">
        <v>2682</v>
      </c>
      <c r="F9651" s="905" t="s">
        <v>45</v>
      </c>
      <c r="G9651" s="1005"/>
      <c r="H9651" s="911">
        <v>0.3</v>
      </c>
      <c r="I9651" s="912">
        <f>VLOOKUP(E9651,[3]VLP!$B$7:$K$300,10,0)</f>
        <v>5000</v>
      </c>
      <c r="J9651" s="912">
        <f>I9651*H9651</f>
        <v>1500</v>
      </c>
      <c r="K9651" s="912" t="s">
        <v>274</v>
      </c>
      <c r="L9651" s="912"/>
      <c r="M9651" s="912"/>
      <c r="N9651" s="912"/>
      <c r="O9651" s="892">
        <f t="shared" si="781"/>
        <v>0</v>
      </c>
      <c r="P9651" s="903">
        <f t="shared" ref="P9651:P9714" si="782">IF(O9651=0,1,0)</f>
        <v>1</v>
      </c>
      <c r="Q9651" s="893">
        <f t="shared" ref="Q9651:Q9714" si="783">IF(P9651=0,0,P9651+Q9652)</f>
        <v>7</v>
      </c>
      <c r="R9651" s="894">
        <f t="shared" ref="R9651:R9714" si="784">IF(Q9651=0,Q9652,0)</f>
        <v>0</v>
      </c>
    </row>
    <row r="9652" spans="1:18" s="847" customFormat="1">
      <c r="A9652" s="905"/>
      <c r="B9652" s="952"/>
      <c r="C9652" s="907">
        <v>699</v>
      </c>
      <c r="D9652" s="907" t="s">
        <v>279</v>
      </c>
      <c r="E9652" s="992" t="s">
        <v>4006</v>
      </c>
      <c r="F9652" s="905" t="s">
        <v>4007</v>
      </c>
      <c r="G9652" s="1005"/>
      <c r="H9652" s="911">
        <v>10</v>
      </c>
      <c r="I9652" s="912">
        <f>VLOOKUP(E9652,[3]VLP!$B$7:$K$300,10,0)</f>
        <v>5000</v>
      </c>
      <c r="J9652" s="912">
        <f>I9652*H9652</f>
        <v>50000</v>
      </c>
      <c r="K9652" s="912" t="s">
        <v>274</v>
      </c>
      <c r="L9652" s="912"/>
      <c r="M9652" s="912"/>
      <c r="N9652" s="912"/>
      <c r="O9652" s="892">
        <f t="shared" si="781"/>
        <v>0</v>
      </c>
      <c r="P9652" s="903">
        <f t="shared" si="782"/>
        <v>1</v>
      </c>
      <c r="Q9652" s="893">
        <f t="shared" si="783"/>
        <v>6</v>
      </c>
      <c r="R9652" s="894">
        <f t="shared" si="784"/>
        <v>0</v>
      </c>
    </row>
    <row r="9653" spans="1:18" s="904" customFormat="1">
      <c r="A9653" s="895"/>
      <c r="B9653" s="896"/>
      <c r="C9653" s="897"/>
      <c r="D9653" s="897"/>
      <c r="E9653" s="1002" t="s">
        <v>276</v>
      </c>
      <c r="F9653" s="1003"/>
      <c r="G9653" s="1004"/>
      <c r="H9653" s="901"/>
      <c r="I9653" s="902"/>
      <c r="J9653" s="902"/>
      <c r="K9653" s="912" t="s">
        <v>274</v>
      </c>
      <c r="L9653" s="902"/>
      <c r="M9653" s="902"/>
      <c r="N9653" s="902"/>
      <c r="O9653" s="892">
        <f t="shared" si="781"/>
        <v>0</v>
      </c>
      <c r="P9653" s="903">
        <f t="shared" si="782"/>
        <v>1</v>
      </c>
      <c r="Q9653" s="893">
        <f t="shared" si="783"/>
        <v>5</v>
      </c>
      <c r="R9653" s="894">
        <f t="shared" si="784"/>
        <v>0</v>
      </c>
    </row>
    <row r="9654" spans="1:18">
      <c r="A9654" s="905"/>
      <c r="B9654" s="952"/>
      <c r="C9654" s="907">
        <v>740</v>
      </c>
      <c r="D9654" s="907" t="s">
        <v>12</v>
      </c>
      <c r="E9654" s="992" t="s">
        <v>4008</v>
      </c>
      <c r="F9654" s="905" t="s">
        <v>2674</v>
      </c>
      <c r="G9654" s="1005"/>
      <c r="H9654" s="911">
        <v>3.5</v>
      </c>
      <c r="I9654" s="912"/>
      <c r="J9654" s="912"/>
      <c r="K9654" s="912">
        <f>VLOOKUP(E9654,[5]ĐMNC!$A$7:$F$67,4,0)</f>
        <v>221125</v>
      </c>
      <c r="L9654" s="912">
        <f>H9654*K9654</f>
        <v>773937.5</v>
      </c>
      <c r="M9654" s="912"/>
      <c r="N9654" s="912"/>
      <c r="O9654" s="892">
        <f t="shared" si="781"/>
        <v>0</v>
      </c>
      <c r="P9654" s="903">
        <f t="shared" si="782"/>
        <v>1</v>
      </c>
      <c r="Q9654" s="893">
        <f t="shared" si="783"/>
        <v>4</v>
      </c>
      <c r="R9654" s="894">
        <f t="shared" si="784"/>
        <v>0</v>
      </c>
    </row>
    <row r="9655" spans="1:18" s="847" customFormat="1">
      <c r="A9655" s="895"/>
      <c r="B9655" s="896"/>
      <c r="C9655" s="897"/>
      <c r="D9655" s="897"/>
      <c r="E9655" s="1002" t="s">
        <v>3914</v>
      </c>
      <c r="F9655" s="895"/>
      <c r="G9655" s="1004"/>
      <c r="H9655" s="901"/>
      <c r="I9655" s="902"/>
      <c r="J9655" s="902"/>
      <c r="K9655" s="912" t="s">
        <v>274</v>
      </c>
      <c r="L9655" s="902"/>
      <c r="M9655" s="902"/>
      <c r="N9655" s="902"/>
      <c r="O9655" s="892">
        <f t="shared" si="781"/>
        <v>0</v>
      </c>
      <c r="P9655" s="903">
        <f t="shared" si="782"/>
        <v>1</v>
      </c>
      <c r="Q9655" s="893">
        <f t="shared" si="783"/>
        <v>3</v>
      </c>
      <c r="R9655" s="894">
        <f t="shared" si="784"/>
        <v>0</v>
      </c>
    </row>
    <row r="9656" spans="1:18" s="904" customFormat="1">
      <c r="A9656" s="905"/>
      <c r="B9656" s="952" t="s">
        <v>6434</v>
      </c>
      <c r="C9656" s="907">
        <v>912</v>
      </c>
      <c r="D9656" s="907" t="s">
        <v>93</v>
      </c>
      <c r="E9656" s="992" t="s">
        <v>6435</v>
      </c>
      <c r="F9656" s="905" t="s">
        <v>2673</v>
      </c>
      <c r="G9656" s="1005"/>
      <c r="H9656" s="911">
        <v>0.32300000000000001</v>
      </c>
      <c r="I9656" s="912"/>
      <c r="J9656" s="912"/>
      <c r="K9656" s="912"/>
      <c r="L9656" s="912"/>
      <c r="M9656" s="912">
        <f>VLOOKUP(B9656,MTC!$B$9:$S$933,12,0)</f>
        <v>0</v>
      </c>
      <c r="N9656" s="912">
        <f>M9656*H9656</f>
        <v>0</v>
      </c>
      <c r="O9656" s="892">
        <f t="shared" si="781"/>
        <v>0</v>
      </c>
      <c r="P9656" s="903">
        <f t="shared" si="782"/>
        <v>1</v>
      </c>
      <c r="Q9656" s="893">
        <f t="shared" si="783"/>
        <v>2</v>
      </c>
      <c r="R9656" s="894">
        <f t="shared" si="784"/>
        <v>0</v>
      </c>
    </row>
    <row r="9657" spans="1:18">
      <c r="A9657" s="905"/>
      <c r="B9657" s="952" t="s">
        <v>6414</v>
      </c>
      <c r="C9657" s="907">
        <v>914</v>
      </c>
      <c r="D9657" s="907" t="s">
        <v>93</v>
      </c>
      <c r="E9657" s="992" t="s">
        <v>6415</v>
      </c>
      <c r="F9657" s="905" t="s">
        <v>2673</v>
      </c>
      <c r="G9657" s="1005"/>
      <c r="H9657" s="911">
        <v>0.1</v>
      </c>
      <c r="I9657" s="912"/>
      <c r="J9657" s="912"/>
      <c r="K9657" s="912"/>
      <c r="L9657" s="912"/>
      <c r="M9657" s="912">
        <f>VLOOKUP(B9657,MTC!$B$9:$S$933,12,0)</f>
        <v>0</v>
      </c>
      <c r="N9657" s="912">
        <f>M9657*H9657</f>
        <v>0</v>
      </c>
      <c r="O9657" s="892">
        <f t="shared" si="781"/>
        <v>0</v>
      </c>
      <c r="P9657" s="903">
        <f t="shared" si="782"/>
        <v>1</v>
      </c>
      <c r="Q9657" s="893">
        <f t="shared" si="783"/>
        <v>1</v>
      </c>
      <c r="R9657" s="894">
        <f t="shared" si="784"/>
        <v>0</v>
      </c>
    </row>
    <row r="9658" spans="1:18" s="847" customFormat="1" ht="47.25">
      <c r="A9658" s="905">
        <v>95</v>
      </c>
      <c r="B9658" s="914" t="s">
        <v>6539</v>
      </c>
      <c r="C9658" s="915"/>
      <c r="D9658" s="915"/>
      <c r="E9658" s="1006" t="s">
        <v>6540</v>
      </c>
      <c r="F9658" s="1007" t="s">
        <v>136</v>
      </c>
      <c r="G9658" s="1008"/>
      <c r="H9658" s="919"/>
      <c r="I9658" s="920"/>
      <c r="J9658" s="962">
        <f>SUM(J9659:J9667)</f>
        <v>55500</v>
      </c>
      <c r="K9658" s="891" t="s">
        <v>274</v>
      </c>
      <c r="L9658" s="962">
        <f>SUM(L9659:L9667)</f>
        <v>928725</v>
      </c>
      <c r="M9658" s="962"/>
      <c r="N9658" s="962">
        <f>SUM(N9659:N9667)</f>
        <v>0</v>
      </c>
      <c r="O9658" s="892">
        <f t="shared" si="781"/>
        <v>1</v>
      </c>
      <c r="P9658" s="903">
        <f t="shared" si="782"/>
        <v>0</v>
      </c>
      <c r="Q9658" s="893">
        <f t="shared" si="783"/>
        <v>0</v>
      </c>
      <c r="R9658" s="894">
        <f t="shared" si="784"/>
        <v>9</v>
      </c>
    </row>
    <row r="9659" spans="1:18" s="904" customFormat="1">
      <c r="A9659" s="895"/>
      <c r="B9659" s="896"/>
      <c r="C9659" s="897"/>
      <c r="D9659" s="897"/>
      <c r="E9659" s="1002" t="s">
        <v>108</v>
      </c>
      <c r="F9659" s="895"/>
      <c r="G9659" s="1004"/>
      <c r="H9659" s="901"/>
      <c r="I9659" s="902"/>
      <c r="J9659" s="902"/>
      <c r="K9659" s="912" t="s">
        <v>274</v>
      </c>
      <c r="L9659" s="902"/>
      <c r="M9659" s="902"/>
      <c r="N9659" s="902"/>
      <c r="O9659" s="892">
        <f t="shared" si="781"/>
        <v>0</v>
      </c>
      <c r="P9659" s="903">
        <f t="shared" si="782"/>
        <v>1</v>
      </c>
      <c r="Q9659" s="893">
        <f t="shared" si="783"/>
        <v>9</v>
      </c>
      <c r="R9659" s="894">
        <f t="shared" si="784"/>
        <v>0</v>
      </c>
    </row>
    <row r="9660" spans="1:18">
      <c r="A9660" s="905"/>
      <c r="B9660" s="952"/>
      <c r="C9660" s="907">
        <v>315</v>
      </c>
      <c r="D9660" s="907" t="s">
        <v>279</v>
      </c>
      <c r="E9660" s="992" t="s">
        <v>6316</v>
      </c>
      <c r="F9660" s="905" t="s">
        <v>49</v>
      </c>
      <c r="G9660" s="1005"/>
      <c r="H9660" s="911">
        <v>0.5</v>
      </c>
      <c r="I9660" s="912">
        <f>VLOOKUP(E9660,[3]VLP!$B$7:$K$300,10,0)</f>
        <v>8000</v>
      </c>
      <c r="J9660" s="912">
        <f>I9660*H9660</f>
        <v>4000</v>
      </c>
      <c r="K9660" s="912" t="s">
        <v>274</v>
      </c>
      <c r="L9660" s="912"/>
      <c r="M9660" s="912"/>
      <c r="N9660" s="912"/>
      <c r="O9660" s="892">
        <f t="shared" si="781"/>
        <v>0</v>
      </c>
      <c r="P9660" s="903">
        <f t="shared" si="782"/>
        <v>1</v>
      </c>
      <c r="Q9660" s="893">
        <f t="shared" si="783"/>
        <v>8</v>
      </c>
      <c r="R9660" s="894">
        <f t="shared" si="784"/>
        <v>0</v>
      </c>
    </row>
    <row r="9661" spans="1:18" s="847" customFormat="1">
      <c r="A9661" s="905"/>
      <c r="B9661" s="952"/>
      <c r="C9661" s="907">
        <v>235</v>
      </c>
      <c r="D9661" s="907" t="s">
        <v>279</v>
      </c>
      <c r="E9661" s="992" t="s">
        <v>2682</v>
      </c>
      <c r="F9661" s="905" t="s">
        <v>45</v>
      </c>
      <c r="G9661" s="1005"/>
      <c r="H9661" s="911">
        <v>0.3</v>
      </c>
      <c r="I9661" s="912">
        <f>VLOOKUP(E9661,[3]VLP!$B$7:$K$300,10,0)</f>
        <v>5000</v>
      </c>
      <c r="J9661" s="912">
        <f>I9661*H9661</f>
        <v>1500</v>
      </c>
      <c r="K9661" s="912" t="s">
        <v>274</v>
      </c>
      <c r="L9661" s="912"/>
      <c r="M9661" s="912"/>
      <c r="N9661" s="912"/>
      <c r="O9661" s="892">
        <f t="shared" si="781"/>
        <v>0</v>
      </c>
      <c r="P9661" s="903">
        <f t="shared" si="782"/>
        <v>1</v>
      </c>
      <c r="Q9661" s="893">
        <f t="shared" si="783"/>
        <v>7</v>
      </c>
      <c r="R9661" s="894">
        <f t="shared" si="784"/>
        <v>0</v>
      </c>
    </row>
    <row r="9662" spans="1:18" s="904" customFormat="1">
      <c r="A9662" s="905"/>
      <c r="B9662" s="952"/>
      <c r="C9662" s="907">
        <v>699</v>
      </c>
      <c r="D9662" s="907" t="s">
        <v>279</v>
      </c>
      <c r="E9662" s="992" t="s">
        <v>4006</v>
      </c>
      <c r="F9662" s="905" t="s">
        <v>4007</v>
      </c>
      <c r="G9662" s="1005"/>
      <c r="H9662" s="911">
        <v>10</v>
      </c>
      <c r="I9662" s="912">
        <f>VLOOKUP(E9662,[3]VLP!$B$7:$K$300,10,0)</f>
        <v>5000</v>
      </c>
      <c r="J9662" s="912">
        <f>I9662*H9662</f>
        <v>50000</v>
      </c>
      <c r="K9662" s="912" t="s">
        <v>274</v>
      </c>
      <c r="L9662" s="912"/>
      <c r="M9662" s="912"/>
      <c r="N9662" s="912"/>
      <c r="O9662" s="892">
        <f t="shared" si="781"/>
        <v>0</v>
      </c>
      <c r="P9662" s="903">
        <f t="shared" si="782"/>
        <v>1</v>
      </c>
      <c r="Q9662" s="893">
        <f t="shared" si="783"/>
        <v>6</v>
      </c>
      <c r="R9662" s="894">
        <f t="shared" si="784"/>
        <v>0</v>
      </c>
    </row>
    <row r="9663" spans="1:18">
      <c r="A9663" s="895"/>
      <c r="B9663" s="896"/>
      <c r="C9663" s="897"/>
      <c r="D9663" s="897"/>
      <c r="E9663" s="1002" t="s">
        <v>276</v>
      </c>
      <c r="F9663" s="1003"/>
      <c r="G9663" s="1004"/>
      <c r="H9663" s="901"/>
      <c r="I9663" s="902"/>
      <c r="J9663" s="902"/>
      <c r="K9663" s="912" t="s">
        <v>274</v>
      </c>
      <c r="L9663" s="902"/>
      <c r="M9663" s="902"/>
      <c r="N9663" s="902"/>
      <c r="O9663" s="892">
        <f t="shared" si="781"/>
        <v>0</v>
      </c>
      <c r="P9663" s="903">
        <f t="shared" si="782"/>
        <v>1</v>
      </c>
      <c r="Q9663" s="893">
        <f t="shared" si="783"/>
        <v>5</v>
      </c>
      <c r="R9663" s="894">
        <f t="shared" si="784"/>
        <v>0</v>
      </c>
    </row>
    <row r="9664" spans="1:18" s="847" customFormat="1">
      <c r="A9664" s="905"/>
      <c r="B9664" s="952"/>
      <c r="C9664" s="907">
        <v>740</v>
      </c>
      <c r="D9664" s="907" t="s">
        <v>12</v>
      </c>
      <c r="E9664" s="992" t="s">
        <v>4008</v>
      </c>
      <c r="F9664" s="905" t="s">
        <v>2674</v>
      </c>
      <c r="G9664" s="1005"/>
      <c r="H9664" s="911">
        <v>4.2</v>
      </c>
      <c r="I9664" s="912"/>
      <c r="J9664" s="912"/>
      <c r="K9664" s="912">
        <f>VLOOKUP(E9664,[5]ĐMNC!$A$7:$F$67,4,0)</f>
        <v>221125</v>
      </c>
      <c r="L9664" s="912">
        <f>H9664*K9664</f>
        <v>928725</v>
      </c>
      <c r="M9664" s="912"/>
      <c r="N9664" s="912"/>
      <c r="O9664" s="892">
        <f t="shared" si="781"/>
        <v>0</v>
      </c>
      <c r="P9664" s="903">
        <f t="shared" si="782"/>
        <v>1</v>
      </c>
      <c r="Q9664" s="893">
        <f t="shared" si="783"/>
        <v>4</v>
      </c>
      <c r="R9664" s="894">
        <f t="shared" si="784"/>
        <v>0</v>
      </c>
    </row>
    <row r="9665" spans="1:18" s="904" customFormat="1">
      <c r="A9665" s="895"/>
      <c r="B9665" s="896"/>
      <c r="C9665" s="897"/>
      <c r="D9665" s="897"/>
      <c r="E9665" s="1002" t="s">
        <v>3914</v>
      </c>
      <c r="F9665" s="895"/>
      <c r="G9665" s="1004"/>
      <c r="H9665" s="901"/>
      <c r="I9665" s="902"/>
      <c r="J9665" s="902"/>
      <c r="K9665" s="912" t="s">
        <v>274</v>
      </c>
      <c r="L9665" s="902"/>
      <c r="M9665" s="902"/>
      <c r="N9665" s="902"/>
      <c r="O9665" s="892">
        <f t="shared" si="781"/>
        <v>0</v>
      </c>
      <c r="P9665" s="903">
        <f t="shared" si="782"/>
        <v>1</v>
      </c>
      <c r="Q9665" s="893">
        <f t="shared" si="783"/>
        <v>3</v>
      </c>
      <c r="R9665" s="894">
        <f t="shared" si="784"/>
        <v>0</v>
      </c>
    </row>
    <row r="9666" spans="1:18">
      <c r="A9666" s="905"/>
      <c r="B9666" s="952" t="s">
        <v>6434</v>
      </c>
      <c r="C9666" s="907">
        <v>912</v>
      </c>
      <c r="D9666" s="907" t="s">
        <v>93</v>
      </c>
      <c r="E9666" s="992" t="s">
        <v>6435</v>
      </c>
      <c r="F9666" s="905" t="s">
        <v>2673</v>
      </c>
      <c r="G9666" s="1005"/>
      <c r="H9666" s="911">
        <v>0.38</v>
      </c>
      <c r="I9666" s="912"/>
      <c r="J9666" s="912"/>
      <c r="K9666" s="912"/>
      <c r="L9666" s="912"/>
      <c r="M9666" s="912">
        <f>VLOOKUP(B9666,MTC!$B$9:$S$933,12,0)</f>
        <v>0</v>
      </c>
      <c r="N9666" s="912">
        <f>M9666*H9666</f>
        <v>0</v>
      </c>
      <c r="O9666" s="892">
        <f t="shared" si="781"/>
        <v>0</v>
      </c>
      <c r="P9666" s="903">
        <f t="shared" si="782"/>
        <v>1</v>
      </c>
      <c r="Q9666" s="893">
        <f t="shared" si="783"/>
        <v>2</v>
      </c>
      <c r="R9666" s="894">
        <f t="shared" si="784"/>
        <v>0</v>
      </c>
    </row>
    <row r="9667" spans="1:18" s="847" customFormat="1">
      <c r="A9667" s="905"/>
      <c r="B9667" s="952" t="s">
        <v>6414</v>
      </c>
      <c r="C9667" s="907">
        <v>914</v>
      </c>
      <c r="D9667" s="907" t="s">
        <v>93</v>
      </c>
      <c r="E9667" s="992" t="s">
        <v>6415</v>
      </c>
      <c r="F9667" s="905" t="s">
        <v>2673</v>
      </c>
      <c r="G9667" s="1005"/>
      <c r="H9667" s="911">
        <v>0.1</v>
      </c>
      <c r="I9667" s="912"/>
      <c r="J9667" s="912"/>
      <c r="K9667" s="912"/>
      <c r="L9667" s="912"/>
      <c r="M9667" s="912">
        <f>VLOOKUP(B9667,MTC!$B$9:$S$933,12,0)</f>
        <v>0</v>
      </c>
      <c r="N9667" s="912">
        <f>M9667*H9667</f>
        <v>0</v>
      </c>
      <c r="O9667" s="892">
        <f t="shared" si="781"/>
        <v>0</v>
      </c>
      <c r="P9667" s="903">
        <f t="shared" si="782"/>
        <v>1</v>
      </c>
      <c r="Q9667" s="893">
        <f t="shared" si="783"/>
        <v>1</v>
      </c>
      <c r="R9667" s="894">
        <f t="shared" si="784"/>
        <v>0</v>
      </c>
    </row>
    <row r="9668" spans="1:18" s="904" customFormat="1" ht="31.5">
      <c r="A9668" s="905" t="s">
        <v>6541</v>
      </c>
      <c r="B9668" s="914" t="s">
        <v>6542</v>
      </c>
      <c r="C9668" s="915"/>
      <c r="D9668" s="915"/>
      <c r="E9668" s="1006" t="s">
        <v>6543</v>
      </c>
      <c r="F9668" s="1007" t="s">
        <v>136</v>
      </c>
      <c r="G9668" s="1008"/>
      <c r="H9668" s="919"/>
      <c r="I9668" s="920"/>
      <c r="J9668" s="891">
        <f>SUM(J9669:J9679)</f>
        <v>55500</v>
      </c>
      <c r="K9668" s="891" t="s">
        <v>274</v>
      </c>
      <c r="L9668" s="891">
        <f>SUM(L9669:L9679)</f>
        <v>442250</v>
      </c>
      <c r="M9668" s="891"/>
      <c r="N9668" s="891">
        <f>SUM(N9669:N9679)</f>
        <v>47446.559999999998</v>
      </c>
      <c r="O9668" s="892">
        <f t="shared" si="781"/>
        <v>1</v>
      </c>
      <c r="P9668" s="903">
        <f t="shared" si="782"/>
        <v>0</v>
      </c>
      <c r="Q9668" s="893">
        <f t="shared" si="783"/>
        <v>0</v>
      </c>
      <c r="R9668" s="894">
        <f t="shared" si="784"/>
        <v>11</v>
      </c>
    </row>
    <row r="9669" spans="1:18">
      <c r="A9669" s="895"/>
      <c r="B9669" s="896"/>
      <c r="C9669" s="897"/>
      <c r="D9669" s="897"/>
      <c r="E9669" s="1002" t="s">
        <v>108</v>
      </c>
      <c r="F9669" s="895"/>
      <c r="G9669" s="1004"/>
      <c r="H9669" s="901"/>
      <c r="I9669" s="902"/>
      <c r="J9669" s="902"/>
      <c r="K9669" s="912" t="s">
        <v>274</v>
      </c>
      <c r="L9669" s="902"/>
      <c r="M9669" s="902"/>
      <c r="N9669" s="902"/>
      <c r="O9669" s="892">
        <f t="shared" si="781"/>
        <v>0</v>
      </c>
      <c r="P9669" s="903">
        <f t="shared" si="782"/>
        <v>1</v>
      </c>
      <c r="Q9669" s="893">
        <f t="shared" si="783"/>
        <v>11</v>
      </c>
      <c r="R9669" s="894">
        <f t="shared" si="784"/>
        <v>0</v>
      </c>
    </row>
    <row r="9670" spans="1:18" s="847" customFormat="1">
      <c r="A9670" s="905"/>
      <c r="B9670" s="952"/>
      <c r="C9670" s="907">
        <v>315</v>
      </c>
      <c r="D9670" s="907" t="s">
        <v>279</v>
      </c>
      <c r="E9670" s="992" t="s">
        <v>6316</v>
      </c>
      <c r="F9670" s="905" t="s">
        <v>49</v>
      </c>
      <c r="G9670" s="1005"/>
      <c r="H9670" s="911">
        <v>0.5</v>
      </c>
      <c r="I9670" s="912">
        <f>VLOOKUP(E9670,[3]VLP!$B$7:$K$300,10,0)</f>
        <v>8000</v>
      </c>
      <c r="J9670" s="912">
        <f>I9670*H9670</f>
        <v>4000</v>
      </c>
      <c r="K9670" s="912" t="s">
        <v>274</v>
      </c>
      <c r="L9670" s="912"/>
      <c r="M9670" s="912"/>
      <c r="N9670" s="912"/>
      <c r="O9670" s="892">
        <f t="shared" si="781"/>
        <v>0</v>
      </c>
      <c r="P9670" s="903">
        <f t="shared" si="782"/>
        <v>1</v>
      </c>
      <c r="Q9670" s="893">
        <f t="shared" si="783"/>
        <v>10</v>
      </c>
      <c r="R9670" s="894">
        <f t="shared" si="784"/>
        <v>0</v>
      </c>
    </row>
    <row r="9671" spans="1:18" s="904" customFormat="1">
      <c r="A9671" s="905"/>
      <c r="B9671" s="952"/>
      <c r="C9671" s="907">
        <v>235</v>
      </c>
      <c r="D9671" s="907" t="s">
        <v>279</v>
      </c>
      <c r="E9671" s="992" t="s">
        <v>2682</v>
      </c>
      <c r="F9671" s="905" t="s">
        <v>45</v>
      </c>
      <c r="G9671" s="1005"/>
      <c r="H9671" s="911">
        <v>0.3</v>
      </c>
      <c r="I9671" s="912">
        <f>VLOOKUP(E9671,[3]VLP!$B$7:$K$300,10,0)</f>
        <v>5000</v>
      </c>
      <c r="J9671" s="912">
        <f>I9671*H9671</f>
        <v>1500</v>
      </c>
      <c r="K9671" s="912" t="s">
        <v>274</v>
      </c>
      <c r="L9671" s="912"/>
      <c r="M9671" s="912"/>
      <c r="N9671" s="912"/>
      <c r="O9671" s="892">
        <f t="shared" si="781"/>
        <v>0</v>
      </c>
      <c r="P9671" s="903">
        <f t="shared" si="782"/>
        <v>1</v>
      </c>
      <c r="Q9671" s="893">
        <f t="shared" si="783"/>
        <v>9</v>
      </c>
      <c r="R9671" s="894">
        <f t="shared" si="784"/>
        <v>0</v>
      </c>
    </row>
    <row r="9672" spans="1:18">
      <c r="A9672" s="905"/>
      <c r="B9672" s="952"/>
      <c r="C9672" s="907">
        <v>699</v>
      </c>
      <c r="D9672" s="907" t="s">
        <v>279</v>
      </c>
      <c r="E9672" s="992" t="s">
        <v>4006</v>
      </c>
      <c r="F9672" s="905" t="s">
        <v>4007</v>
      </c>
      <c r="G9672" s="1005"/>
      <c r="H9672" s="911">
        <v>10</v>
      </c>
      <c r="I9672" s="912">
        <f>VLOOKUP(E9672,[3]VLP!$B$7:$K$300,10,0)</f>
        <v>5000</v>
      </c>
      <c r="J9672" s="912">
        <f>I9672*H9672</f>
        <v>50000</v>
      </c>
      <c r="K9672" s="912" t="s">
        <v>274</v>
      </c>
      <c r="L9672" s="912"/>
      <c r="M9672" s="912"/>
      <c r="N9672" s="912"/>
      <c r="O9672" s="892">
        <f t="shared" si="781"/>
        <v>0</v>
      </c>
      <c r="P9672" s="903">
        <f t="shared" si="782"/>
        <v>1</v>
      </c>
      <c r="Q9672" s="893">
        <f t="shared" si="783"/>
        <v>8</v>
      </c>
      <c r="R9672" s="894">
        <f t="shared" si="784"/>
        <v>0</v>
      </c>
    </row>
    <row r="9673" spans="1:18" s="847" customFormat="1">
      <c r="A9673" s="895"/>
      <c r="B9673" s="896"/>
      <c r="C9673" s="897"/>
      <c r="D9673" s="897"/>
      <c r="E9673" s="1002" t="s">
        <v>276</v>
      </c>
      <c r="F9673" s="1003"/>
      <c r="G9673" s="1004"/>
      <c r="H9673" s="901"/>
      <c r="I9673" s="902"/>
      <c r="J9673" s="902"/>
      <c r="K9673" s="912" t="s">
        <v>274</v>
      </c>
      <c r="L9673" s="902"/>
      <c r="M9673" s="902"/>
      <c r="N9673" s="902"/>
      <c r="O9673" s="892">
        <f t="shared" si="781"/>
        <v>0</v>
      </c>
      <c r="P9673" s="903">
        <f t="shared" si="782"/>
        <v>1</v>
      </c>
      <c r="Q9673" s="893">
        <f t="shared" si="783"/>
        <v>7</v>
      </c>
      <c r="R9673" s="894">
        <f t="shared" si="784"/>
        <v>0</v>
      </c>
    </row>
    <row r="9674" spans="1:18" s="904" customFormat="1">
      <c r="A9674" s="905"/>
      <c r="B9674" s="952"/>
      <c r="C9674" s="907">
        <v>740</v>
      </c>
      <c r="D9674" s="907" t="s">
        <v>12</v>
      </c>
      <c r="E9674" s="992" t="s">
        <v>4008</v>
      </c>
      <c r="F9674" s="905" t="s">
        <v>2674</v>
      </c>
      <c r="G9674" s="1005"/>
      <c r="H9674" s="911">
        <v>2</v>
      </c>
      <c r="I9674" s="912"/>
      <c r="J9674" s="912"/>
      <c r="K9674" s="912">
        <f>VLOOKUP(E9674,[5]ĐMNC!$A$7:$F$67,4,0)</f>
        <v>221125</v>
      </c>
      <c r="L9674" s="912">
        <f>H9674*K9674</f>
        <v>442250</v>
      </c>
      <c r="M9674" s="912"/>
      <c r="N9674" s="912"/>
      <c r="O9674" s="892">
        <f t="shared" si="781"/>
        <v>0</v>
      </c>
      <c r="P9674" s="903">
        <f t="shared" si="782"/>
        <v>1</v>
      </c>
      <c r="Q9674" s="893">
        <f t="shared" si="783"/>
        <v>6</v>
      </c>
      <c r="R9674" s="894">
        <f t="shared" si="784"/>
        <v>0</v>
      </c>
    </row>
    <row r="9675" spans="1:18">
      <c r="A9675" s="895"/>
      <c r="B9675" s="896"/>
      <c r="C9675" s="897"/>
      <c r="D9675" s="897"/>
      <c r="E9675" s="1002" t="s">
        <v>3914</v>
      </c>
      <c r="F9675" s="895"/>
      <c r="G9675" s="1004"/>
      <c r="H9675" s="901"/>
      <c r="I9675" s="902"/>
      <c r="J9675" s="902"/>
      <c r="K9675" s="912" t="s">
        <v>274</v>
      </c>
      <c r="L9675" s="902"/>
      <c r="M9675" s="902"/>
      <c r="N9675" s="902"/>
      <c r="O9675" s="892">
        <f t="shared" si="781"/>
        <v>0</v>
      </c>
      <c r="P9675" s="903">
        <f t="shared" si="782"/>
        <v>1</v>
      </c>
      <c r="Q9675" s="893">
        <f t="shared" si="783"/>
        <v>5</v>
      </c>
      <c r="R9675" s="894">
        <f t="shared" si="784"/>
        <v>0</v>
      </c>
    </row>
    <row r="9676" spans="1:18" s="847" customFormat="1">
      <c r="A9676" s="905"/>
      <c r="B9676" s="952" t="s">
        <v>6408</v>
      </c>
      <c r="C9676" s="907">
        <v>913</v>
      </c>
      <c r="D9676" s="907" t="s">
        <v>93</v>
      </c>
      <c r="E9676" s="992" t="s">
        <v>6409</v>
      </c>
      <c r="F9676" s="905" t="s">
        <v>2673</v>
      </c>
      <c r="G9676" s="1005"/>
      <c r="H9676" s="911">
        <v>0.56000000000000005</v>
      </c>
      <c r="I9676" s="912"/>
      <c r="J9676" s="912"/>
      <c r="K9676" s="912"/>
      <c r="L9676" s="912"/>
      <c r="M9676" s="912">
        <f>VLOOKUP(B9676,MTC!$B$9:$S$933,12,0)</f>
        <v>0</v>
      </c>
      <c r="N9676" s="912">
        <f>M9676*H9676</f>
        <v>0</v>
      </c>
      <c r="O9676" s="892">
        <f t="shared" si="781"/>
        <v>0</v>
      </c>
      <c r="P9676" s="903">
        <f t="shared" si="782"/>
        <v>1</v>
      </c>
      <c r="Q9676" s="893">
        <f t="shared" si="783"/>
        <v>4</v>
      </c>
      <c r="R9676" s="894">
        <f t="shared" si="784"/>
        <v>0</v>
      </c>
    </row>
    <row r="9677" spans="1:18" s="904" customFormat="1">
      <c r="A9677" s="905"/>
      <c r="B9677" s="952" t="s">
        <v>6410</v>
      </c>
      <c r="C9677" s="907">
        <v>906</v>
      </c>
      <c r="D9677" s="907" t="s">
        <v>93</v>
      </c>
      <c r="E9677" s="992" t="s">
        <v>6411</v>
      </c>
      <c r="F9677" s="905" t="s">
        <v>2673</v>
      </c>
      <c r="G9677" s="1005"/>
      <c r="H9677" s="911">
        <v>0.21</v>
      </c>
      <c r="I9677" s="912"/>
      <c r="J9677" s="912"/>
      <c r="K9677" s="912"/>
      <c r="L9677" s="912"/>
      <c r="M9677" s="912">
        <f>VLOOKUP(B9677,MTC!$B$9:$S$933,12,0)</f>
        <v>0</v>
      </c>
      <c r="N9677" s="912">
        <f>M9677*H9677</f>
        <v>0</v>
      </c>
      <c r="O9677" s="892">
        <f t="shared" si="781"/>
        <v>0</v>
      </c>
      <c r="P9677" s="903">
        <f t="shared" si="782"/>
        <v>1</v>
      </c>
      <c r="Q9677" s="893">
        <f t="shared" si="783"/>
        <v>3</v>
      </c>
      <c r="R9677" s="894">
        <f t="shared" si="784"/>
        <v>0</v>
      </c>
    </row>
    <row r="9678" spans="1:18">
      <c r="A9678" s="905"/>
      <c r="B9678" s="952" t="s">
        <v>6412</v>
      </c>
      <c r="C9678" s="907">
        <v>905</v>
      </c>
      <c r="D9678" s="907" t="s">
        <v>93</v>
      </c>
      <c r="E9678" s="992" t="s">
        <v>6413</v>
      </c>
      <c r="F9678" s="905" t="s">
        <v>2673</v>
      </c>
      <c r="G9678" s="1005"/>
      <c r="H9678" s="911">
        <v>0.21</v>
      </c>
      <c r="I9678" s="912"/>
      <c r="J9678" s="912"/>
      <c r="K9678" s="912"/>
      <c r="L9678" s="912"/>
      <c r="M9678" s="912">
        <f>VLOOKUP(B9678,MTC!$B$9:$S$933,12,0)</f>
        <v>225936</v>
      </c>
      <c r="N9678" s="912">
        <f>M9678*H9678</f>
        <v>47446.559999999998</v>
      </c>
      <c r="O9678" s="892">
        <f t="shared" si="781"/>
        <v>0</v>
      </c>
      <c r="P9678" s="903">
        <f t="shared" si="782"/>
        <v>1</v>
      </c>
      <c r="Q9678" s="893">
        <f t="shared" si="783"/>
        <v>2</v>
      </c>
      <c r="R9678" s="894">
        <f t="shared" si="784"/>
        <v>0</v>
      </c>
    </row>
    <row r="9679" spans="1:18" s="847" customFormat="1">
      <c r="A9679" s="905"/>
      <c r="B9679" s="952" t="s">
        <v>6414</v>
      </c>
      <c r="C9679" s="907">
        <v>914</v>
      </c>
      <c r="D9679" s="907" t="s">
        <v>93</v>
      </c>
      <c r="E9679" s="992" t="s">
        <v>6415</v>
      </c>
      <c r="F9679" s="905" t="s">
        <v>2673</v>
      </c>
      <c r="G9679" s="1005"/>
      <c r="H9679" s="911">
        <v>0.1</v>
      </c>
      <c r="I9679" s="912"/>
      <c r="J9679" s="912"/>
      <c r="K9679" s="912"/>
      <c r="L9679" s="912"/>
      <c r="M9679" s="912">
        <f>VLOOKUP(B9679,MTC!$B$9:$S$933,12,0)</f>
        <v>0</v>
      </c>
      <c r="N9679" s="912">
        <f>M9679*H9679</f>
        <v>0</v>
      </c>
      <c r="O9679" s="892">
        <f t="shared" si="781"/>
        <v>0</v>
      </c>
      <c r="P9679" s="903">
        <f t="shared" si="782"/>
        <v>1</v>
      </c>
      <c r="Q9679" s="893">
        <f t="shared" si="783"/>
        <v>1</v>
      </c>
      <c r="R9679" s="894">
        <f t="shared" si="784"/>
        <v>0</v>
      </c>
    </row>
    <row r="9680" spans="1:18" s="904" customFormat="1" ht="31.5">
      <c r="A9680" s="905">
        <v>97</v>
      </c>
      <c r="B9680" s="914" t="s">
        <v>6544</v>
      </c>
      <c r="C9680" s="915"/>
      <c r="D9680" s="915"/>
      <c r="E9680" s="1006" t="s">
        <v>6545</v>
      </c>
      <c r="F9680" s="1007" t="s">
        <v>136</v>
      </c>
      <c r="G9680" s="1008"/>
      <c r="H9680" s="919"/>
      <c r="I9680" s="920"/>
      <c r="J9680" s="891">
        <f>SUM(J9681:J9691)</f>
        <v>55500</v>
      </c>
      <c r="K9680" s="891" t="s">
        <v>274</v>
      </c>
      <c r="L9680" s="891">
        <f>SUM(L9681:L9691)</f>
        <v>552812.5</v>
      </c>
      <c r="M9680" s="891"/>
      <c r="N9680" s="891">
        <f>SUM(N9681:N9691)</f>
        <v>56484</v>
      </c>
      <c r="O9680" s="892">
        <f t="shared" si="781"/>
        <v>1</v>
      </c>
      <c r="P9680" s="903">
        <f t="shared" si="782"/>
        <v>0</v>
      </c>
      <c r="Q9680" s="893">
        <f t="shared" si="783"/>
        <v>0</v>
      </c>
      <c r="R9680" s="894">
        <f t="shared" si="784"/>
        <v>11</v>
      </c>
    </row>
    <row r="9681" spans="1:18">
      <c r="A9681" s="895"/>
      <c r="B9681" s="896"/>
      <c r="C9681" s="897"/>
      <c r="D9681" s="897"/>
      <c r="E9681" s="1002" t="s">
        <v>108</v>
      </c>
      <c r="F9681" s="895"/>
      <c r="G9681" s="1004"/>
      <c r="H9681" s="901"/>
      <c r="I9681" s="902"/>
      <c r="J9681" s="902"/>
      <c r="K9681" s="912" t="s">
        <v>274</v>
      </c>
      <c r="L9681" s="902"/>
      <c r="M9681" s="902"/>
      <c r="N9681" s="902"/>
      <c r="O9681" s="892">
        <f t="shared" si="781"/>
        <v>0</v>
      </c>
      <c r="P9681" s="903">
        <f t="shared" si="782"/>
        <v>1</v>
      </c>
      <c r="Q9681" s="893">
        <f t="shared" si="783"/>
        <v>11</v>
      </c>
      <c r="R9681" s="894">
        <f t="shared" si="784"/>
        <v>0</v>
      </c>
    </row>
    <row r="9682" spans="1:18" s="847" customFormat="1">
      <c r="A9682" s="905"/>
      <c r="B9682" s="952"/>
      <c r="C9682" s="907">
        <v>315</v>
      </c>
      <c r="D9682" s="907" t="s">
        <v>279</v>
      </c>
      <c r="E9682" s="992" t="s">
        <v>6316</v>
      </c>
      <c r="F9682" s="905" t="s">
        <v>49</v>
      </c>
      <c r="G9682" s="1005"/>
      <c r="H9682" s="911">
        <v>0.5</v>
      </c>
      <c r="I9682" s="912">
        <f>VLOOKUP(E9682,[3]VLP!$B$7:$K$300,10,0)</f>
        <v>8000</v>
      </c>
      <c r="J9682" s="912">
        <f>I9682*H9682</f>
        <v>4000</v>
      </c>
      <c r="K9682" s="912" t="s">
        <v>274</v>
      </c>
      <c r="L9682" s="912"/>
      <c r="M9682" s="912"/>
      <c r="N9682" s="912"/>
      <c r="O9682" s="892">
        <f t="shared" si="781"/>
        <v>0</v>
      </c>
      <c r="P9682" s="903">
        <f t="shared" si="782"/>
        <v>1</v>
      </c>
      <c r="Q9682" s="893">
        <f t="shared" si="783"/>
        <v>10</v>
      </c>
      <c r="R9682" s="894">
        <f t="shared" si="784"/>
        <v>0</v>
      </c>
    </row>
    <row r="9683" spans="1:18" s="904" customFormat="1">
      <c r="A9683" s="905"/>
      <c r="B9683" s="952"/>
      <c r="C9683" s="907">
        <v>235</v>
      </c>
      <c r="D9683" s="907" t="s">
        <v>279</v>
      </c>
      <c r="E9683" s="992" t="s">
        <v>2682</v>
      </c>
      <c r="F9683" s="905" t="s">
        <v>45</v>
      </c>
      <c r="G9683" s="1005"/>
      <c r="H9683" s="911">
        <v>0.3</v>
      </c>
      <c r="I9683" s="912">
        <f>VLOOKUP(E9683,[3]VLP!$B$7:$K$300,10,0)</f>
        <v>5000</v>
      </c>
      <c r="J9683" s="912">
        <f>I9683*H9683</f>
        <v>1500</v>
      </c>
      <c r="K9683" s="912" t="s">
        <v>274</v>
      </c>
      <c r="L9683" s="912"/>
      <c r="M9683" s="912"/>
      <c r="N9683" s="912"/>
      <c r="O9683" s="892">
        <f t="shared" si="781"/>
        <v>0</v>
      </c>
      <c r="P9683" s="903">
        <f t="shared" si="782"/>
        <v>1</v>
      </c>
      <c r="Q9683" s="893">
        <f t="shared" si="783"/>
        <v>9</v>
      </c>
      <c r="R9683" s="894">
        <f t="shared" si="784"/>
        <v>0</v>
      </c>
    </row>
    <row r="9684" spans="1:18">
      <c r="A9684" s="905"/>
      <c r="B9684" s="952"/>
      <c r="C9684" s="907">
        <v>699</v>
      </c>
      <c r="D9684" s="907" t="s">
        <v>279</v>
      </c>
      <c r="E9684" s="992" t="s">
        <v>4006</v>
      </c>
      <c r="F9684" s="905" t="s">
        <v>4007</v>
      </c>
      <c r="G9684" s="1005"/>
      <c r="H9684" s="911">
        <v>10</v>
      </c>
      <c r="I9684" s="912">
        <f>VLOOKUP(E9684,[3]VLP!$B$7:$K$300,10,0)</f>
        <v>5000</v>
      </c>
      <c r="J9684" s="912">
        <f>I9684*H9684</f>
        <v>50000</v>
      </c>
      <c r="K9684" s="912" t="s">
        <v>274</v>
      </c>
      <c r="L9684" s="912"/>
      <c r="M9684" s="912"/>
      <c r="N9684" s="912"/>
      <c r="O9684" s="892">
        <f t="shared" si="781"/>
        <v>0</v>
      </c>
      <c r="P9684" s="903">
        <f t="shared" si="782"/>
        <v>1</v>
      </c>
      <c r="Q9684" s="893">
        <f t="shared" si="783"/>
        <v>8</v>
      </c>
      <c r="R9684" s="894">
        <f t="shared" si="784"/>
        <v>0</v>
      </c>
    </row>
    <row r="9685" spans="1:18" s="847" customFormat="1">
      <c r="A9685" s="895"/>
      <c r="B9685" s="896"/>
      <c r="C9685" s="897"/>
      <c r="D9685" s="897"/>
      <c r="E9685" s="1002" t="s">
        <v>276</v>
      </c>
      <c r="F9685" s="1003"/>
      <c r="G9685" s="1004"/>
      <c r="H9685" s="901"/>
      <c r="I9685" s="902"/>
      <c r="J9685" s="902"/>
      <c r="K9685" s="912" t="s">
        <v>274</v>
      </c>
      <c r="L9685" s="902"/>
      <c r="M9685" s="902"/>
      <c r="N9685" s="902"/>
      <c r="O9685" s="892">
        <f t="shared" si="781"/>
        <v>0</v>
      </c>
      <c r="P9685" s="903">
        <f t="shared" si="782"/>
        <v>1</v>
      </c>
      <c r="Q9685" s="893">
        <f t="shared" si="783"/>
        <v>7</v>
      </c>
      <c r="R9685" s="894">
        <f t="shared" si="784"/>
        <v>0</v>
      </c>
    </row>
    <row r="9686" spans="1:18" s="904" customFormat="1">
      <c r="A9686" s="905"/>
      <c r="B9686" s="952"/>
      <c r="C9686" s="907">
        <v>740</v>
      </c>
      <c r="D9686" s="907" t="s">
        <v>12</v>
      </c>
      <c r="E9686" s="992" t="s">
        <v>4008</v>
      </c>
      <c r="F9686" s="905" t="s">
        <v>2674</v>
      </c>
      <c r="G9686" s="1005"/>
      <c r="H9686" s="911">
        <v>2.5</v>
      </c>
      <c r="I9686" s="912"/>
      <c r="J9686" s="912"/>
      <c r="K9686" s="912">
        <f>VLOOKUP(E9686,[5]ĐMNC!$A$7:$F$67,4,0)</f>
        <v>221125</v>
      </c>
      <c r="L9686" s="912">
        <f>H9686*K9686</f>
        <v>552812.5</v>
      </c>
      <c r="M9686" s="912"/>
      <c r="N9686" s="912"/>
      <c r="O9686" s="892">
        <f t="shared" si="781"/>
        <v>0</v>
      </c>
      <c r="P9686" s="903">
        <f t="shared" si="782"/>
        <v>1</v>
      </c>
      <c r="Q9686" s="893">
        <f t="shared" si="783"/>
        <v>6</v>
      </c>
      <c r="R9686" s="894">
        <f t="shared" si="784"/>
        <v>0</v>
      </c>
    </row>
    <row r="9687" spans="1:18">
      <c r="A9687" s="895"/>
      <c r="B9687" s="896"/>
      <c r="C9687" s="897"/>
      <c r="D9687" s="897"/>
      <c r="E9687" s="1002" t="s">
        <v>3914</v>
      </c>
      <c r="F9687" s="895"/>
      <c r="G9687" s="1004"/>
      <c r="H9687" s="901"/>
      <c r="I9687" s="902"/>
      <c r="J9687" s="902"/>
      <c r="K9687" s="912" t="s">
        <v>274</v>
      </c>
      <c r="L9687" s="902"/>
      <c r="M9687" s="902"/>
      <c r="N9687" s="902"/>
      <c r="O9687" s="892">
        <f t="shared" si="781"/>
        <v>0</v>
      </c>
      <c r="P9687" s="903">
        <f t="shared" si="782"/>
        <v>1</v>
      </c>
      <c r="Q9687" s="893">
        <f t="shared" si="783"/>
        <v>5</v>
      </c>
      <c r="R9687" s="894">
        <f t="shared" si="784"/>
        <v>0</v>
      </c>
    </row>
    <row r="9688" spans="1:18" s="847" customFormat="1">
      <c r="A9688" s="905"/>
      <c r="B9688" s="952" t="s">
        <v>6408</v>
      </c>
      <c r="C9688" s="907">
        <v>913</v>
      </c>
      <c r="D9688" s="907" t="s">
        <v>93</v>
      </c>
      <c r="E9688" s="992" t="s">
        <v>6409</v>
      </c>
      <c r="F9688" s="905" t="s">
        <v>2673</v>
      </c>
      <c r="G9688" s="1005"/>
      <c r="H9688" s="911">
        <v>0.7</v>
      </c>
      <c r="I9688" s="912"/>
      <c r="J9688" s="912"/>
      <c r="K9688" s="912"/>
      <c r="L9688" s="912"/>
      <c r="M9688" s="912">
        <f>VLOOKUP(B9688,MTC!$B$9:$S$933,12,0)</f>
        <v>0</v>
      </c>
      <c r="N9688" s="912">
        <f>M9688*H9688</f>
        <v>0</v>
      </c>
      <c r="O9688" s="892">
        <f t="shared" si="781"/>
        <v>0</v>
      </c>
      <c r="P9688" s="903">
        <f t="shared" si="782"/>
        <v>1</v>
      </c>
      <c r="Q9688" s="893">
        <f t="shared" si="783"/>
        <v>4</v>
      </c>
      <c r="R9688" s="894">
        <f t="shared" si="784"/>
        <v>0</v>
      </c>
    </row>
    <row r="9689" spans="1:18" s="904" customFormat="1">
      <c r="A9689" s="905"/>
      <c r="B9689" s="952" t="s">
        <v>6410</v>
      </c>
      <c r="C9689" s="907">
        <v>906</v>
      </c>
      <c r="D9689" s="907" t="s">
        <v>93</v>
      </c>
      <c r="E9689" s="992" t="s">
        <v>6411</v>
      </c>
      <c r="F9689" s="905" t="s">
        <v>2673</v>
      </c>
      <c r="G9689" s="1005"/>
      <c r="H9689" s="911">
        <v>0.25</v>
      </c>
      <c r="I9689" s="912"/>
      <c r="J9689" s="912"/>
      <c r="K9689" s="912"/>
      <c r="L9689" s="912"/>
      <c r="M9689" s="912">
        <f>VLOOKUP(B9689,MTC!$B$9:$S$933,12,0)</f>
        <v>0</v>
      </c>
      <c r="N9689" s="912">
        <f>M9689*H9689</f>
        <v>0</v>
      </c>
      <c r="O9689" s="892">
        <f t="shared" si="781"/>
        <v>0</v>
      </c>
      <c r="P9689" s="903">
        <f t="shared" si="782"/>
        <v>1</v>
      </c>
      <c r="Q9689" s="893">
        <f t="shared" si="783"/>
        <v>3</v>
      </c>
      <c r="R9689" s="894">
        <f t="shared" si="784"/>
        <v>0</v>
      </c>
    </row>
    <row r="9690" spans="1:18">
      <c r="A9690" s="905"/>
      <c r="B9690" s="952" t="s">
        <v>6412</v>
      </c>
      <c r="C9690" s="907">
        <v>905</v>
      </c>
      <c r="D9690" s="907" t="s">
        <v>93</v>
      </c>
      <c r="E9690" s="992" t="s">
        <v>6413</v>
      </c>
      <c r="F9690" s="905" t="s">
        <v>2673</v>
      </c>
      <c r="G9690" s="1005"/>
      <c r="H9690" s="911">
        <v>0.25</v>
      </c>
      <c r="I9690" s="912"/>
      <c r="J9690" s="912"/>
      <c r="K9690" s="912"/>
      <c r="L9690" s="912"/>
      <c r="M9690" s="912">
        <f>VLOOKUP(B9690,MTC!$B$9:$S$933,12,0)</f>
        <v>225936</v>
      </c>
      <c r="N9690" s="912">
        <f>M9690*H9690</f>
        <v>56484</v>
      </c>
      <c r="O9690" s="892">
        <f t="shared" si="781"/>
        <v>0</v>
      </c>
      <c r="P9690" s="903">
        <f t="shared" si="782"/>
        <v>1</v>
      </c>
      <c r="Q9690" s="893">
        <f t="shared" si="783"/>
        <v>2</v>
      </c>
      <c r="R9690" s="894">
        <f t="shared" si="784"/>
        <v>0</v>
      </c>
    </row>
    <row r="9691" spans="1:18" s="847" customFormat="1">
      <c r="A9691" s="905"/>
      <c r="B9691" s="952" t="s">
        <v>6414</v>
      </c>
      <c r="C9691" s="907">
        <v>914</v>
      </c>
      <c r="D9691" s="907" t="s">
        <v>93</v>
      </c>
      <c r="E9691" s="992" t="s">
        <v>6415</v>
      </c>
      <c r="F9691" s="905" t="s">
        <v>2673</v>
      </c>
      <c r="G9691" s="1005"/>
      <c r="H9691" s="911">
        <v>0.1</v>
      </c>
      <c r="I9691" s="912"/>
      <c r="J9691" s="912"/>
      <c r="K9691" s="912"/>
      <c r="L9691" s="912"/>
      <c r="M9691" s="912">
        <f>VLOOKUP(B9691,MTC!$B$9:$S$933,12,0)</f>
        <v>0</v>
      </c>
      <c r="N9691" s="912">
        <f>M9691*H9691</f>
        <v>0</v>
      </c>
      <c r="O9691" s="892">
        <f t="shared" si="781"/>
        <v>0</v>
      </c>
      <c r="P9691" s="903">
        <f t="shared" si="782"/>
        <v>1</v>
      </c>
      <c r="Q9691" s="893">
        <f t="shared" si="783"/>
        <v>1</v>
      </c>
      <c r="R9691" s="894">
        <f t="shared" si="784"/>
        <v>0</v>
      </c>
    </row>
    <row r="9692" spans="1:18" s="904" customFormat="1" ht="31.5">
      <c r="A9692" s="905">
        <v>98</v>
      </c>
      <c r="B9692" s="914" t="s">
        <v>6546</v>
      </c>
      <c r="C9692" s="915"/>
      <c r="D9692" s="915"/>
      <c r="E9692" s="1006" t="s">
        <v>6547</v>
      </c>
      <c r="F9692" s="1007" t="s">
        <v>136</v>
      </c>
      <c r="G9692" s="1008"/>
      <c r="H9692" s="919"/>
      <c r="I9692" s="920"/>
      <c r="J9692" s="891">
        <f>SUM(J9693:J9703)</f>
        <v>55500</v>
      </c>
      <c r="K9692" s="891" t="s">
        <v>274</v>
      </c>
      <c r="L9692" s="891">
        <f>SUM(L9693:L9703)</f>
        <v>685487.5</v>
      </c>
      <c r="M9692" s="891"/>
      <c r="N9692" s="891">
        <f>SUM(N9693:N9703)</f>
        <v>67780.800000000003</v>
      </c>
      <c r="O9692" s="892">
        <f t="shared" si="781"/>
        <v>1</v>
      </c>
      <c r="P9692" s="903">
        <f t="shared" si="782"/>
        <v>0</v>
      </c>
      <c r="Q9692" s="893">
        <f t="shared" si="783"/>
        <v>0</v>
      </c>
      <c r="R9692" s="894">
        <f t="shared" si="784"/>
        <v>11</v>
      </c>
    </row>
    <row r="9693" spans="1:18">
      <c r="A9693" s="895"/>
      <c r="B9693" s="896"/>
      <c r="C9693" s="897"/>
      <c r="D9693" s="897"/>
      <c r="E9693" s="1002" t="s">
        <v>108</v>
      </c>
      <c r="F9693" s="895"/>
      <c r="G9693" s="1004"/>
      <c r="H9693" s="901"/>
      <c r="I9693" s="902"/>
      <c r="J9693" s="902"/>
      <c r="K9693" s="912" t="s">
        <v>274</v>
      </c>
      <c r="L9693" s="902"/>
      <c r="M9693" s="902"/>
      <c r="N9693" s="902"/>
      <c r="O9693" s="892">
        <f t="shared" si="781"/>
        <v>0</v>
      </c>
      <c r="P9693" s="903">
        <f t="shared" si="782"/>
        <v>1</v>
      </c>
      <c r="Q9693" s="893">
        <f t="shared" si="783"/>
        <v>11</v>
      </c>
      <c r="R9693" s="894">
        <f t="shared" si="784"/>
        <v>0</v>
      </c>
    </row>
    <row r="9694" spans="1:18" s="847" customFormat="1">
      <c r="A9694" s="905"/>
      <c r="B9694" s="952"/>
      <c r="C9694" s="907">
        <v>315</v>
      </c>
      <c r="D9694" s="907" t="s">
        <v>279</v>
      </c>
      <c r="E9694" s="992" t="s">
        <v>6316</v>
      </c>
      <c r="F9694" s="905" t="s">
        <v>49</v>
      </c>
      <c r="G9694" s="1005"/>
      <c r="H9694" s="911">
        <v>0.5</v>
      </c>
      <c r="I9694" s="912">
        <f>VLOOKUP(E9694,[3]VLP!$B$7:$K$300,10,0)</f>
        <v>8000</v>
      </c>
      <c r="J9694" s="912">
        <f>I9694*H9694</f>
        <v>4000</v>
      </c>
      <c r="K9694" s="912" t="s">
        <v>274</v>
      </c>
      <c r="L9694" s="912"/>
      <c r="M9694" s="912"/>
      <c r="N9694" s="912"/>
      <c r="O9694" s="892">
        <f t="shared" si="781"/>
        <v>0</v>
      </c>
      <c r="P9694" s="903">
        <f t="shared" si="782"/>
        <v>1</v>
      </c>
      <c r="Q9694" s="893">
        <f t="shared" si="783"/>
        <v>10</v>
      </c>
      <c r="R9694" s="894">
        <f t="shared" si="784"/>
        <v>0</v>
      </c>
    </row>
    <row r="9695" spans="1:18" s="904" customFormat="1">
      <c r="A9695" s="905"/>
      <c r="B9695" s="952"/>
      <c r="C9695" s="907">
        <v>235</v>
      </c>
      <c r="D9695" s="907" t="s">
        <v>279</v>
      </c>
      <c r="E9695" s="992" t="s">
        <v>2682</v>
      </c>
      <c r="F9695" s="905" t="s">
        <v>45</v>
      </c>
      <c r="G9695" s="1005"/>
      <c r="H9695" s="911">
        <v>0.3</v>
      </c>
      <c r="I9695" s="912">
        <f>VLOOKUP(E9695,[3]VLP!$B$7:$K$300,10,0)</f>
        <v>5000</v>
      </c>
      <c r="J9695" s="912">
        <f>I9695*H9695</f>
        <v>1500</v>
      </c>
      <c r="K9695" s="912" t="s">
        <v>274</v>
      </c>
      <c r="L9695" s="912"/>
      <c r="M9695" s="912"/>
      <c r="N9695" s="912"/>
      <c r="O9695" s="892">
        <f t="shared" ref="O9695:O9758" si="785">IF(AND(B9695&lt;&gt;"",D9695=""),1,0)</f>
        <v>0</v>
      </c>
      <c r="P9695" s="903">
        <f t="shared" si="782"/>
        <v>1</v>
      </c>
      <c r="Q9695" s="893">
        <f t="shared" si="783"/>
        <v>9</v>
      </c>
      <c r="R9695" s="894">
        <f t="shared" si="784"/>
        <v>0</v>
      </c>
    </row>
    <row r="9696" spans="1:18">
      <c r="A9696" s="905"/>
      <c r="B9696" s="952"/>
      <c r="C9696" s="907">
        <v>699</v>
      </c>
      <c r="D9696" s="907" t="s">
        <v>279</v>
      </c>
      <c r="E9696" s="992" t="s">
        <v>4006</v>
      </c>
      <c r="F9696" s="905" t="s">
        <v>4007</v>
      </c>
      <c r="G9696" s="1005"/>
      <c r="H9696" s="911">
        <v>10</v>
      </c>
      <c r="I9696" s="912">
        <f>VLOOKUP(E9696,[3]VLP!$B$7:$K$300,10,0)</f>
        <v>5000</v>
      </c>
      <c r="J9696" s="912">
        <f>I9696*H9696</f>
        <v>50000</v>
      </c>
      <c r="K9696" s="912" t="s">
        <v>274</v>
      </c>
      <c r="L9696" s="912"/>
      <c r="M9696" s="912"/>
      <c r="N9696" s="912"/>
      <c r="O9696" s="892">
        <f t="shared" si="785"/>
        <v>0</v>
      </c>
      <c r="P9696" s="903">
        <f t="shared" si="782"/>
        <v>1</v>
      </c>
      <c r="Q9696" s="893">
        <f t="shared" si="783"/>
        <v>8</v>
      </c>
      <c r="R9696" s="894">
        <f t="shared" si="784"/>
        <v>0</v>
      </c>
    </row>
    <row r="9697" spans="1:18" s="847" customFormat="1">
      <c r="A9697" s="895"/>
      <c r="B9697" s="896"/>
      <c r="C9697" s="897"/>
      <c r="D9697" s="897"/>
      <c r="E9697" s="1002" t="s">
        <v>276</v>
      </c>
      <c r="F9697" s="1003"/>
      <c r="G9697" s="1004"/>
      <c r="H9697" s="901"/>
      <c r="I9697" s="902"/>
      <c r="J9697" s="902"/>
      <c r="K9697" s="912" t="s">
        <v>274</v>
      </c>
      <c r="L9697" s="902"/>
      <c r="M9697" s="902"/>
      <c r="N9697" s="902"/>
      <c r="O9697" s="892">
        <f t="shared" si="785"/>
        <v>0</v>
      </c>
      <c r="P9697" s="903">
        <f t="shared" si="782"/>
        <v>1</v>
      </c>
      <c r="Q9697" s="893">
        <f t="shared" si="783"/>
        <v>7</v>
      </c>
      <c r="R9697" s="894">
        <f t="shared" si="784"/>
        <v>0</v>
      </c>
    </row>
    <row r="9698" spans="1:18" s="904" customFormat="1">
      <c r="A9698" s="905"/>
      <c r="B9698" s="952"/>
      <c r="C9698" s="907">
        <v>740</v>
      </c>
      <c r="D9698" s="907" t="s">
        <v>12</v>
      </c>
      <c r="E9698" s="992" t="s">
        <v>4008</v>
      </c>
      <c r="F9698" s="905" t="s">
        <v>2674</v>
      </c>
      <c r="G9698" s="1005"/>
      <c r="H9698" s="911">
        <v>3.1</v>
      </c>
      <c r="I9698" s="912"/>
      <c r="J9698" s="912"/>
      <c r="K9698" s="912">
        <f>VLOOKUP(E9698,[5]ĐMNC!$A$7:$F$67,4,0)</f>
        <v>221125</v>
      </c>
      <c r="L9698" s="912">
        <f>H9698*K9698</f>
        <v>685487.5</v>
      </c>
      <c r="M9698" s="912"/>
      <c r="N9698" s="912"/>
      <c r="O9698" s="892">
        <f t="shared" si="785"/>
        <v>0</v>
      </c>
      <c r="P9698" s="903">
        <f t="shared" si="782"/>
        <v>1</v>
      </c>
      <c r="Q9698" s="893">
        <f t="shared" si="783"/>
        <v>6</v>
      </c>
      <c r="R9698" s="894">
        <f t="shared" si="784"/>
        <v>0</v>
      </c>
    </row>
    <row r="9699" spans="1:18">
      <c r="A9699" s="895"/>
      <c r="B9699" s="896"/>
      <c r="C9699" s="897"/>
      <c r="D9699" s="897"/>
      <c r="E9699" s="1002" t="s">
        <v>3914</v>
      </c>
      <c r="F9699" s="895"/>
      <c r="G9699" s="1004"/>
      <c r="H9699" s="901"/>
      <c r="I9699" s="902"/>
      <c r="J9699" s="902"/>
      <c r="K9699" s="912" t="s">
        <v>274</v>
      </c>
      <c r="L9699" s="902"/>
      <c r="M9699" s="902"/>
      <c r="N9699" s="902"/>
      <c r="O9699" s="892">
        <f t="shared" si="785"/>
        <v>0</v>
      </c>
      <c r="P9699" s="903">
        <f t="shared" si="782"/>
        <v>1</v>
      </c>
      <c r="Q9699" s="893">
        <f t="shared" si="783"/>
        <v>5</v>
      </c>
      <c r="R9699" s="894">
        <f t="shared" si="784"/>
        <v>0</v>
      </c>
    </row>
    <row r="9700" spans="1:18" s="847" customFormat="1">
      <c r="A9700" s="905"/>
      <c r="B9700" s="952" t="s">
        <v>6408</v>
      </c>
      <c r="C9700" s="907">
        <v>913</v>
      </c>
      <c r="D9700" s="907" t="s">
        <v>93</v>
      </c>
      <c r="E9700" s="992" t="s">
        <v>6409</v>
      </c>
      <c r="F9700" s="905" t="s">
        <v>2673</v>
      </c>
      <c r="G9700" s="1005"/>
      <c r="H9700" s="911">
        <v>0.84</v>
      </c>
      <c r="I9700" s="912"/>
      <c r="J9700" s="912"/>
      <c r="K9700" s="912"/>
      <c r="L9700" s="912"/>
      <c r="M9700" s="912">
        <f>VLOOKUP(B9700,MTC!$B$9:$S$933,12,0)</f>
        <v>0</v>
      </c>
      <c r="N9700" s="912">
        <f>M9700*H9700</f>
        <v>0</v>
      </c>
      <c r="O9700" s="892">
        <f t="shared" si="785"/>
        <v>0</v>
      </c>
      <c r="P9700" s="903">
        <f t="shared" si="782"/>
        <v>1</v>
      </c>
      <c r="Q9700" s="893">
        <f t="shared" si="783"/>
        <v>4</v>
      </c>
      <c r="R9700" s="894">
        <f t="shared" si="784"/>
        <v>0</v>
      </c>
    </row>
    <row r="9701" spans="1:18" s="904" customFormat="1">
      <c r="A9701" s="905"/>
      <c r="B9701" s="952" t="s">
        <v>6410</v>
      </c>
      <c r="C9701" s="907">
        <v>906</v>
      </c>
      <c r="D9701" s="907" t="s">
        <v>93</v>
      </c>
      <c r="E9701" s="992" t="s">
        <v>6411</v>
      </c>
      <c r="F9701" s="905" t="s">
        <v>2673</v>
      </c>
      <c r="G9701" s="1005"/>
      <c r="H9701" s="911">
        <v>0.3</v>
      </c>
      <c r="I9701" s="912"/>
      <c r="J9701" s="912"/>
      <c r="K9701" s="912"/>
      <c r="L9701" s="912"/>
      <c r="M9701" s="912">
        <f>VLOOKUP(B9701,MTC!$B$9:$S$933,12,0)</f>
        <v>0</v>
      </c>
      <c r="N9701" s="912">
        <f>M9701*H9701</f>
        <v>0</v>
      </c>
      <c r="O9701" s="892">
        <f t="shared" si="785"/>
        <v>0</v>
      </c>
      <c r="P9701" s="903">
        <f t="shared" si="782"/>
        <v>1</v>
      </c>
      <c r="Q9701" s="893">
        <f t="shared" si="783"/>
        <v>3</v>
      </c>
      <c r="R9701" s="894">
        <f t="shared" si="784"/>
        <v>0</v>
      </c>
    </row>
    <row r="9702" spans="1:18">
      <c r="A9702" s="905"/>
      <c r="B9702" s="952" t="s">
        <v>6412</v>
      </c>
      <c r="C9702" s="907">
        <v>905</v>
      </c>
      <c r="D9702" s="907" t="s">
        <v>93</v>
      </c>
      <c r="E9702" s="992" t="s">
        <v>6413</v>
      </c>
      <c r="F9702" s="905" t="s">
        <v>2673</v>
      </c>
      <c r="G9702" s="1005"/>
      <c r="H9702" s="911">
        <v>0.3</v>
      </c>
      <c r="I9702" s="912"/>
      <c r="J9702" s="912"/>
      <c r="K9702" s="912"/>
      <c r="L9702" s="912"/>
      <c r="M9702" s="912">
        <f>VLOOKUP(B9702,MTC!$B$9:$S$933,12,0)</f>
        <v>225936</v>
      </c>
      <c r="N9702" s="912">
        <f>M9702*H9702</f>
        <v>67780.800000000003</v>
      </c>
      <c r="O9702" s="892">
        <f t="shared" si="785"/>
        <v>0</v>
      </c>
      <c r="P9702" s="903">
        <f t="shared" si="782"/>
        <v>1</v>
      </c>
      <c r="Q9702" s="893">
        <f t="shared" si="783"/>
        <v>2</v>
      </c>
      <c r="R9702" s="894">
        <f t="shared" si="784"/>
        <v>0</v>
      </c>
    </row>
    <row r="9703" spans="1:18" s="847" customFormat="1">
      <c r="A9703" s="905"/>
      <c r="B9703" s="952" t="s">
        <v>6414</v>
      </c>
      <c r="C9703" s="907">
        <v>914</v>
      </c>
      <c r="D9703" s="907" t="s">
        <v>93</v>
      </c>
      <c r="E9703" s="992" t="s">
        <v>6415</v>
      </c>
      <c r="F9703" s="905" t="s">
        <v>2673</v>
      </c>
      <c r="G9703" s="1005"/>
      <c r="H9703" s="911">
        <v>0.1</v>
      </c>
      <c r="I9703" s="912"/>
      <c r="J9703" s="912"/>
      <c r="K9703" s="912"/>
      <c r="L9703" s="912"/>
      <c r="M9703" s="912">
        <f>VLOOKUP(B9703,MTC!$B$9:$S$933,12,0)</f>
        <v>0</v>
      </c>
      <c r="N9703" s="912">
        <f>M9703*H9703</f>
        <v>0</v>
      </c>
      <c r="O9703" s="892">
        <f t="shared" si="785"/>
        <v>0</v>
      </c>
      <c r="P9703" s="903">
        <f t="shared" si="782"/>
        <v>1</v>
      </c>
      <c r="Q9703" s="893">
        <f t="shared" si="783"/>
        <v>1</v>
      </c>
      <c r="R9703" s="894">
        <f t="shared" si="784"/>
        <v>0</v>
      </c>
    </row>
    <row r="9704" spans="1:18" s="904" customFormat="1" ht="31.5">
      <c r="A9704" s="905">
        <v>99</v>
      </c>
      <c r="B9704" s="914" t="s">
        <v>6548</v>
      </c>
      <c r="C9704" s="915"/>
      <c r="D9704" s="915"/>
      <c r="E9704" s="1006" t="s">
        <v>6549</v>
      </c>
      <c r="F9704" s="1007" t="s">
        <v>136</v>
      </c>
      <c r="G9704" s="1008"/>
      <c r="H9704" s="919"/>
      <c r="I9704" s="920"/>
      <c r="J9704" s="891">
        <f>SUM(J9705:J9715)</f>
        <v>55500</v>
      </c>
      <c r="K9704" s="891" t="s">
        <v>274</v>
      </c>
      <c r="L9704" s="891">
        <f>SUM(L9705:L9715)</f>
        <v>773937.5</v>
      </c>
      <c r="M9704" s="891"/>
      <c r="N9704" s="891">
        <f>SUM(N9705:N9715)</f>
        <v>81336.959999999992</v>
      </c>
      <c r="O9704" s="892">
        <f t="shared" si="785"/>
        <v>1</v>
      </c>
      <c r="P9704" s="903">
        <f t="shared" si="782"/>
        <v>0</v>
      </c>
      <c r="Q9704" s="893">
        <f t="shared" si="783"/>
        <v>0</v>
      </c>
      <c r="R9704" s="894">
        <f t="shared" si="784"/>
        <v>11</v>
      </c>
    </row>
    <row r="9705" spans="1:18">
      <c r="A9705" s="895"/>
      <c r="B9705" s="896"/>
      <c r="C9705" s="897"/>
      <c r="D9705" s="897"/>
      <c r="E9705" s="1002" t="s">
        <v>108</v>
      </c>
      <c r="F9705" s="895"/>
      <c r="G9705" s="1004"/>
      <c r="H9705" s="901"/>
      <c r="I9705" s="902"/>
      <c r="J9705" s="902"/>
      <c r="K9705" s="912" t="s">
        <v>274</v>
      </c>
      <c r="L9705" s="902"/>
      <c r="M9705" s="902"/>
      <c r="N9705" s="902"/>
      <c r="O9705" s="892">
        <f t="shared" si="785"/>
        <v>0</v>
      </c>
      <c r="P9705" s="903">
        <f t="shared" si="782"/>
        <v>1</v>
      </c>
      <c r="Q9705" s="893">
        <f t="shared" si="783"/>
        <v>11</v>
      </c>
      <c r="R9705" s="894">
        <f t="shared" si="784"/>
        <v>0</v>
      </c>
    </row>
    <row r="9706" spans="1:18" s="847" customFormat="1">
      <c r="A9706" s="905"/>
      <c r="B9706" s="952"/>
      <c r="C9706" s="907">
        <v>315</v>
      </c>
      <c r="D9706" s="907" t="s">
        <v>279</v>
      </c>
      <c r="E9706" s="992" t="s">
        <v>6316</v>
      </c>
      <c r="F9706" s="905" t="s">
        <v>49</v>
      </c>
      <c r="G9706" s="1005"/>
      <c r="H9706" s="911">
        <v>0.5</v>
      </c>
      <c r="I9706" s="912">
        <f>VLOOKUP(E9706,[3]VLP!$B$7:$K$300,10,0)</f>
        <v>8000</v>
      </c>
      <c r="J9706" s="912">
        <f>I9706*H9706</f>
        <v>4000</v>
      </c>
      <c r="K9706" s="912" t="s">
        <v>274</v>
      </c>
      <c r="L9706" s="912"/>
      <c r="M9706" s="912"/>
      <c r="N9706" s="912"/>
      <c r="O9706" s="892">
        <f t="shared" si="785"/>
        <v>0</v>
      </c>
      <c r="P9706" s="903">
        <f t="shared" si="782"/>
        <v>1</v>
      </c>
      <c r="Q9706" s="893">
        <f t="shared" si="783"/>
        <v>10</v>
      </c>
      <c r="R9706" s="894">
        <f t="shared" si="784"/>
        <v>0</v>
      </c>
    </row>
    <row r="9707" spans="1:18" s="904" customFormat="1">
      <c r="A9707" s="905"/>
      <c r="B9707" s="952"/>
      <c r="C9707" s="907">
        <v>235</v>
      </c>
      <c r="D9707" s="907" t="s">
        <v>279</v>
      </c>
      <c r="E9707" s="992" t="s">
        <v>2682</v>
      </c>
      <c r="F9707" s="905" t="s">
        <v>45</v>
      </c>
      <c r="G9707" s="1005"/>
      <c r="H9707" s="911">
        <v>0.3</v>
      </c>
      <c r="I9707" s="912">
        <f>VLOOKUP(E9707,[3]VLP!$B$7:$K$300,10,0)</f>
        <v>5000</v>
      </c>
      <c r="J9707" s="912">
        <f>I9707*H9707</f>
        <v>1500</v>
      </c>
      <c r="K9707" s="912" t="s">
        <v>274</v>
      </c>
      <c r="L9707" s="912"/>
      <c r="M9707" s="912"/>
      <c r="N9707" s="912"/>
      <c r="O9707" s="892">
        <f t="shared" si="785"/>
        <v>0</v>
      </c>
      <c r="P9707" s="903">
        <f t="shared" si="782"/>
        <v>1</v>
      </c>
      <c r="Q9707" s="893">
        <f t="shared" si="783"/>
        <v>9</v>
      </c>
      <c r="R9707" s="894">
        <f t="shared" si="784"/>
        <v>0</v>
      </c>
    </row>
    <row r="9708" spans="1:18">
      <c r="A9708" s="905"/>
      <c r="B9708" s="952"/>
      <c r="C9708" s="907">
        <v>699</v>
      </c>
      <c r="D9708" s="907" t="s">
        <v>279</v>
      </c>
      <c r="E9708" s="992" t="s">
        <v>4006</v>
      </c>
      <c r="F9708" s="905" t="s">
        <v>4007</v>
      </c>
      <c r="G9708" s="1005"/>
      <c r="H9708" s="911">
        <v>10</v>
      </c>
      <c r="I9708" s="912">
        <f>VLOOKUP(E9708,[3]VLP!$B$7:$K$300,10,0)</f>
        <v>5000</v>
      </c>
      <c r="J9708" s="912">
        <f>I9708*H9708</f>
        <v>50000</v>
      </c>
      <c r="K9708" s="912" t="s">
        <v>274</v>
      </c>
      <c r="L9708" s="912"/>
      <c r="M9708" s="912"/>
      <c r="N9708" s="912"/>
      <c r="O9708" s="892">
        <f t="shared" si="785"/>
        <v>0</v>
      </c>
      <c r="P9708" s="903">
        <f t="shared" si="782"/>
        <v>1</v>
      </c>
      <c r="Q9708" s="893">
        <f t="shared" si="783"/>
        <v>8</v>
      </c>
      <c r="R9708" s="894">
        <f t="shared" si="784"/>
        <v>0</v>
      </c>
    </row>
    <row r="9709" spans="1:18" s="847" customFormat="1">
      <c r="A9709" s="895"/>
      <c r="B9709" s="896"/>
      <c r="C9709" s="897"/>
      <c r="D9709" s="897"/>
      <c r="E9709" s="1002" t="s">
        <v>276</v>
      </c>
      <c r="F9709" s="1003"/>
      <c r="G9709" s="1004"/>
      <c r="H9709" s="901"/>
      <c r="I9709" s="902"/>
      <c r="J9709" s="902"/>
      <c r="K9709" s="912" t="s">
        <v>274</v>
      </c>
      <c r="L9709" s="902"/>
      <c r="M9709" s="902"/>
      <c r="N9709" s="902"/>
      <c r="O9709" s="892">
        <f t="shared" si="785"/>
        <v>0</v>
      </c>
      <c r="P9709" s="903">
        <f t="shared" si="782"/>
        <v>1</v>
      </c>
      <c r="Q9709" s="893">
        <f t="shared" si="783"/>
        <v>7</v>
      </c>
      <c r="R9709" s="894">
        <f t="shared" si="784"/>
        <v>0</v>
      </c>
    </row>
    <row r="9710" spans="1:18" s="904" customFormat="1">
      <c r="A9710" s="905"/>
      <c r="B9710" s="952"/>
      <c r="C9710" s="907">
        <v>740</v>
      </c>
      <c r="D9710" s="907" t="s">
        <v>12</v>
      </c>
      <c r="E9710" s="992" t="s">
        <v>4008</v>
      </c>
      <c r="F9710" s="905" t="s">
        <v>2674</v>
      </c>
      <c r="G9710" s="1005"/>
      <c r="H9710" s="911">
        <v>3.5</v>
      </c>
      <c r="I9710" s="912"/>
      <c r="J9710" s="912"/>
      <c r="K9710" s="912">
        <f>VLOOKUP(E9710,[5]ĐMNC!$A$7:$F$67,4,0)</f>
        <v>221125</v>
      </c>
      <c r="L9710" s="912">
        <f>H9710*K9710</f>
        <v>773937.5</v>
      </c>
      <c r="M9710" s="912"/>
      <c r="N9710" s="912"/>
      <c r="O9710" s="892">
        <f t="shared" si="785"/>
        <v>0</v>
      </c>
      <c r="P9710" s="903">
        <f t="shared" si="782"/>
        <v>1</v>
      </c>
      <c r="Q9710" s="893">
        <f t="shared" si="783"/>
        <v>6</v>
      </c>
      <c r="R9710" s="894">
        <f t="shared" si="784"/>
        <v>0</v>
      </c>
    </row>
    <row r="9711" spans="1:18">
      <c r="A9711" s="895"/>
      <c r="B9711" s="896"/>
      <c r="C9711" s="897"/>
      <c r="D9711" s="897"/>
      <c r="E9711" s="1002" t="s">
        <v>3914</v>
      </c>
      <c r="F9711" s="895"/>
      <c r="G9711" s="1004"/>
      <c r="H9711" s="901"/>
      <c r="I9711" s="902"/>
      <c r="J9711" s="902"/>
      <c r="K9711" s="912" t="s">
        <v>274</v>
      </c>
      <c r="L9711" s="902"/>
      <c r="M9711" s="902"/>
      <c r="N9711" s="902"/>
      <c r="O9711" s="892">
        <f t="shared" si="785"/>
        <v>0</v>
      </c>
      <c r="P9711" s="903">
        <f t="shared" si="782"/>
        <v>1</v>
      </c>
      <c r="Q9711" s="893">
        <f t="shared" si="783"/>
        <v>5</v>
      </c>
      <c r="R9711" s="894">
        <f t="shared" si="784"/>
        <v>0</v>
      </c>
    </row>
    <row r="9712" spans="1:18" s="847" customFormat="1">
      <c r="A9712" s="905"/>
      <c r="B9712" s="952" t="s">
        <v>6408</v>
      </c>
      <c r="C9712" s="907">
        <v>913</v>
      </c>
      <c r="D9712" s="907" t="s">
        <v>93</v>
      </c>
      <c r="E9712" s="992" t="s">
        <v>6409</v>
      </c>
      <c r="F9712" s="905" t="s">
        <v>2673</v>
      </c>
      <c r="G9712" s="1005"/>
      <c r="H9712" s="911">
        <v>1.03</v>
      </c>
      <c r="I9712" s="912"/>
      <c r="J9712" s="912"/>
      <c r="K9712" s="912"/>
      <c r="L9712" s="912"/>
      <c r="M9712" s="912">
        <f>VLOOKUP(B9712,MTC!$B$9:$S$933,12,0)</f>
        <v>0</v>
      </c>
      <c r="N9712" s="912">
        <f>M9712*H9712</f>
        <v>0</v>
      </c>
      <c r="O9712" s="892">
        <f t="shared" si="785"/>
        <v>0</v>
      </c>
      <c r="P9712" s="903">
        <f t="shared" si="782"/>
        <v>1</v>
      </c>
      <c r="Q9712" s="893">
        <f t="shared" si="783"/>
        <v>4</v>
      </c>
      <c r="R9712" s="894">
        <f t="shared" si="784"/>
        <v>0</v>
      </c>
    </row>
    <row r="9713" spans="1:18" s="904" customFormat="1">
      <c r="A9713" s="905"/>
      <c r="B9713" s="952" t="s">
        <v>6410</v>
      </c>
      <c r="C9713" s="907">
        <v>906</v>
      </c>
      <c r="D9713" s="907" t="s">
        <v>93</v>
      </c>
      <c r="E9713" s="992" t="s">
        <v>6411</v>
      </c>
      <c r="F9713" s="905" t="s">
        <v>2673</v>
      </c>
      <c r="G9713" s="1005"/>
      <c r="H9713" s="911">
        <v>0.36</v>
      </c>
      <c r="I9713" s="912"/>
      <c r="J9713" s="912"/>
      <c r="K9713" s="912"/>
      <c r="L9713" s="912"/>
      <c r="M9713" s="912">
        <f>VLOOKUP(B9713,MTC!$B$9:$S$933,12,0)</f>
        <v>0</v>
      </c>
      <c r="N9713" s="912">
        <f>M9713*H9713</f>
        <v>0</v>
      </c>
      <c r="O9713" s="892">
        <f t="shared" si="785"/>
        <v>0</v>
      </c>
      <c r="P9713" s="903">
        <f t="shared" si="782"/>
        <v>1</v>
      </c>
      <c r="Q9713" s="893">
        <f t="shared" si="783"/>
        <v>3</v>
      </c>
      <c r="R9713" s="894">
        <f t="shared" si="784"/>
        <v>0</v>
      </c>
    </row>
    <row r="9714" spans="1:18">
      <c r="A9714" s="905"/>
      <c r="B9714" s="952" t="s">
        <v>6412</v>
      </c>
      <c r="C9714" s="907">
        <v>905</v>
      </c>
      <c r="D9714" s="907" t="s">
        <v>93</v>
      </c>
      <c r="E9714" s="992" t="s">
        <v>6413</v>
      </c>
      <c r="F9714" s="905" t="s">
        <v>2673</v>
      </c>
      <c r="G9714" s="1005"/>
      <c r="H9714" s="911">
        <v>0.36</v>
      </c>
      <c r="I9714" s="912"/>
      <c r="J9714" s="912"/>
      <c r="K9714" s="912"/>
      <c r="L9714" s="912"/>
      <c r="M9714" s="912">
        <f>VLOOKUP(B9714,MTC!$B$9:$S$933,12,0)</f>
        <v>225936</v>
      </c>
      <c r="N9714" s="912">
        <f>M9714*H9714</f>
        <v>81336.959999999992</v>
      </c>
      <c r="O9714" s="892">
        <f t="shared" si="785"/>
        <v>0</v>
      </c>
      <c r="P9714" s="903">
        <f t="shared" si="782"/>
        <v>1</v>
      </c>
      <c r="Q9714" s="893">
        <f t="shared" si="783"/>
        <v>2</v>
      </c>
      <c r="R9714" s="894">
        <f t="shared" si="784"/>
        <v>0</v>
      </c>
    </row>
    <row r="9715" spans="1:18" s="847" customFormat="1">
      <c r="A9715" s="905"/>
      <c r="B9715" s="952" t="s">
        <v>6414</v>
      </c>
      <c r="C9715" s="907">
        <v>914</v>
      </c>
      <c r="D9715" s="907" t="s">
        <v>93</v>
      </c>
      <c r="E9715" s="992" t="s">
        <v>6415</v>
      </c>
      <c r="F9715" s="905" t="s">
        <v>2673</v>
      </c>
      <c r="G9715" s="1005"/>
      <c r="H9715" s="911">
        <v>0.1</v>
      </c>
      <c r="I9715" s="912"/>
      <c r="J9715" s="912"/>
      <c r="K9715" s="912"/>
      <c r="L9715" s="912"/>
      <c r="M9715" s="912">
        <f>VLOOKUP(B9715,MTC!$B$9:$S$933,12,0)</f>
        <v>0</v>
      </c>
      <c r="N9715" s="912">
        <f>M9715*H9715</f>
        <v>0</v>
      </c>
      <c r="O9715" s="892">
        <f t="shared" si="785"/>
        <v>0</v>
      </c>
      <c r="P9715" s="903">
        <f t="shared" ref="P9715:P9778" si="786">IF(O9715=0,1,0)</f>
        <v>1</v>
      </c>
      <c r="Q9715" s="893">
        <f t="shared" ref="Q9715:Q9778" si="787">IF(P9715=0,0,P9715+Q9716)</f>
        <v>1</v>
      </c>
      <c r="R9715" s="894">
        <f t="shared" ref="R9715:R9778" si="788">IF(Q9715=0,Q9716,0)</f>
        <v>0</v>
      </c>
    </row>
    <row r="9716" spans="1:18" s="904" customFormat="1" ht="31.5">
      <c r="A9716" s="905">
        <v>100</v>
      </c>
      <c r="B9716" s="914" t="s">
        <v>6550</v>
      </c>
      <c r="C9716" s="915"/>
      <c r="D9716" s="915"/>
      <c r="E9716" s="1006" t="s">
        <v>6551</v>
      </c>
      <c r="F9716" s="1007" t="s">
        <v>136</v>
      </c>
      <c r="G9716" s="1008"/>
      <c r="H9716" s="919"/>
      <c r="I9716" s="920"/>
      <c r="J9716" s="891">
        <f>SUM(J9717:J9727)</f>
        <v>55500</v>
      </c>
      <c r="K9716" s="891" t="s">
        <v>274</v>
      </c>
      <c r="L9716" s="891">
        <f>SUM(L9717:L9727)</f>
        <v>928725</v>
      </c>
      <c r="M9716" s="891"/>
      <c r="N9716" s="891">
        <f>SUM(N9717:N9727)</f>
        <v>97152.48</v>
      </c>
      <c r="O9716" s="892">
        <f t="shared" si="785"/>
        <v>1</v>
      </c>
      <c r="P9716" s="903">
        <f t="shared" si="786"/>
        <v>0</v>
      </c>
      <c r="Q9716" s="893">
        <f t="shared" si="787"/>
        <v>0</v>
      </c>
      <c r="R9716" s="894">
        <f t="shared" si="788"/>
        <v>11</v>
      </c>
    </row>
    <row r="9717" spans="1:18">
      <c r="A9717" s="895"/>
      <c r="B9717" s="896"/>
      <c r="C9717" s="897"/>
      <c r="D9717" s="897"/>
      <c r="E9717" s="1002" t="s">
        <v>108</v>
      </c>
      <c r="F9717" s="895"/>
      <c r="G9717" s="1004"/>
      <c r="H9717" s="901"/>
      <c r="I9717" s="902"/>
      <c r="J9717" s="902"/>
      <c r="K9717" s="912" t="s">
        <v>274</v>
      </c>
      <c r="L9717" s="902"/>
      <c r="M9717" s="902"/>
      <c r="N9717" s="902"/>
      <c r="O9717" s="892">
        <f t="shared" si="785"/>
        <v>0</v>
      </c>
      <c r="P9717" s="903">
        <f t="shared" si="786"/>
        <v>1</v>
      </c>
      <c r="Q9717" s="893">
        <f t="shared" si="787"/>
        <v>11</v>
      </c>
      <c r="R9717" s="894">
        <f t="shared" si="788"/>
        <v>0</v>
      </c>
    </row>
    <row r="9718" spans="1:18" s="847" customFormat="1">
      <c r="A9718" s="905"/>
      <c r="B9718" s="952"/>
      <c r="C9718" s="907">
        <v>315</v>
      </c>
      <c r="D9718" s="907" t="s">
        <v>279</v>
      </c>
      <c r="E9718" s="992" t="s">
        <v>6316</v>
      </c>
      <c r="F9718" s="905" t="s">
        <v>49</v>
      </c>
      <c r="G9718" s="1005"/>
      <c r="H9718" s="911">
        <v>0.5</v>
      </c>
      <c r="I9718" s="912">
        <f>VLOOKUP(E9718,[3]VLP!$B$7:$K$300,10,0)</f>
        <v>8000</v>
      </c>
      <c r="J9718" s="912">
        <f>I9718*H9718</f>
        <v>4000</v>
      </c>
      <c r="K9718" s="912" t="s">
        <v>274</v>
      </c>
      <c r="L9718" s="912"/>
      <c r="M9718" s="912"/>
      <c r="N9718" s="912"/>
      <c r="O9718" s="892">
        <f t="shared" si="785"/>
        <v>0</v>
      </c>
      <c r="P9718" s="903">
        <f t="shared" si="786"/>
        <v>1</v>
      </c>
      <c r="Q9718" s="893">
        <f t="shared" si="787"/>
        <v>10</v>
      </c>
      <c r="R9718" s="894">
        <f t="shared" si="788"/>
        <v>0</v>
      </c>
    </row>
    <row r="9719" spans="1:18" s="904" customFormat="1">
      <c r="A9719" s="905"/>
      <c r="B9719" s="952"/>
      <c r="C9719" s="907">
        <v>235</v>
      </c>
      <c r="D9719" s="907" t="s">
        <v>279</v>
      </c>
      <c r="E9719" s="992" t="s">
        <v>2682</v>
      </c>
      <c r="F9719" s="905" t="s">
        <v>45</v>
      </c>
      <c r="G9719" s="1005"/>
      <c r="H9719" s="911">
        <v>0.3</v>
      </c>
      <c r="I9719" s="912">
        <f>VLOOKUP(E9719,[3]VLP!$B$7:$K$300,10,0)</f>
        <v>5000</v>
      </c>
      <c r="J9719" s="912">
        <f>I9719*H9719</f>
        <v>1500</v>
      </c>
      <c r="K9719" s="912" t="s">
        <v>274</v>
      </c>
      <c r="L9719" s="912"/>
      <c r="M9719" s="912"/>
      <c r="N9719" s="912"/>
      <c r="O9719" s="892">
        <f t="shared" si="785"/>
        <v>0</v>
      </c>
      <c r="P9719" s="903">
        <f t="shared" si="786"/>
        <v>1</v>
      </c>
      <c r="Q9719" s="893">
        <f t="shared" si="787"/>
        <v>9</v>
      </c>
      <c r="R9719" s="894">
        <f t="shared" si="788"/>
        <v>0</v>
      </c>
    </row>
    <row r="9720" spans="1:18">
      <c r="A9720" s="905"/>
      <c r="B9720" s="952"/>
      <c r="C9720" s="907">
        <v>699</v>
      </c>
      <c r="D9720" s="907" t="s">
        <v>279</v>
      </c>
      <c r="E9720" s="992" t="s">
        <v>4006</v>
      </c>
      <c r="F9720" s="905" t="s">
        <v>4007</v>
      </c>
      <c r="G9720" s="1005"/>
      <c r="H9720" s="911">
        <v>10</v>
      </c>
      <c r="I9720" s="912">
        <f>VLOOKUP(E9720,[3]VLP!$B$7:$K$300,10,0)</f>
        <v>5000</v>
      </c>
      <c r="J9720" s="912">
        <f>I9720*H9720</f>
        <v>50000</v>
      </c>
      <c r="K9720" s="912" t="s">
        <v>274</v>
      </c>
      <c r="L9720" s="912"/>
      <c r="M9720" s="912"/>
      <c r="N9720" s="912"/>
      <c r="O9720" s="892">
        <f t="shared" si="785"/>
        <v>0</v>
      </c>
      <c r="P9720" s="903">
        <f t="shared" si="786"/>
        <v>1</v>
      </c>
      <c r="Q9720" s="893">
        <f t="shared" si="787"/>
        <v>8</v>
      </c>
      <c r="R9720" s="894">
        <f t="shared" si="788"/>
        <v>0</v>
      </c>
    </row>
    <row r="9721" spans="1:18" s="847" customFormat="1">
      <c r="A9721" s="895"/>
      <c r="B9721" s="896"/>
      <c r="C9721" s="897"/>
      <c r="D9721" s="897"/>
      <c r="E9721" s="1002" t="s">
        <v>276</v>
      </c>
      <c r="F9721" s="1003"/>
      <c r="G9721" s="1004"/>
      <c r="H9721" s="901"/>
      <c r="I9721" s="902"/>
      <c r="J9721" s="902"/>
      <c r="K9721" s="912" t="s">
        <v>274</v>
      </c>
      <c r="L9721" s="902"/>
      <c r="M9721" s="902"/>
      <c r="N9721" s="902"/>
      <c r="O9721" s="892">
        <f t="shared" si="785"/>
        <v>0</v>
      </c>
      <c r="P9721" s="903">
        <f t="shared" si="786"/>
        <v>1</v>
      </c>
      <c r="Q9721" s="893">
        <f t="shared" si="787"/>
        <v>7</v>
      </c>
      <c r="R9721" s="894">
        <f t="shared" si="788"/>
        <v>0</v>
      </c>
    </row>
    <row r="9722" spans="1:18" s="904" customFormat="1">
      <c r="A9722" s="905"/>
      <c r="B9722" s="952"/>
      <c r="C9722" s="907">
        <v>740</v>
      </c>
      <c r="D9722" s="907" t="s">
        <v>12</v>
      </c>
      <c r="E9722" s="992" t="s">
        <v>4008</v>
      </c>
      <c r="F9722" s="905" t="s">
        <v>2674</v>
      </c>
      <c r="G9722" s="1005"/>
      <c r="H9722" s="911">
        <v>4.2</v>
      </c>
      <c r="I9722" s="912"/>
      <c r="J9722" s="912"/>
      <c r="K9722" s="912">
        <f>VLOOKUP(E9722,[5]ĐMNC!$A$7:$F$67,4,0)</f>
        <v>221125</v>
      </c>
      <c r="L9722" s="912">
        <f>H9722*K9722</f>
        <v>928725</v>
      </c>
      <c r="M9722" s="912"/>
      <c r="N9722" s="912"/>
      <c r="O9722" s="892">
        <f t="shared" si="785"/>
        <v>0</v>
      </c>
      <c r="P9722" s="903">
        <f t="shared" si="786"/>
        <v>1</v>
      </c>
      <c r="Q9722" s="893">
        <f t="shared" si="787"/>
        <v>6</v>
      </c>
      <c r="R9722" s="894">
        <f t="shared" si="788"/>
        <v>0</v>
      </c>
    </row>
    <row r="9723" spans="1:18">
      <c r="A9723" s="895"/>
      <c r="B9723" s="896"/>
      <c r="C9723" s="897"/>
      <c r="D9723" s="897"/>
      <c r="E9723" s="1002" t="s">
        <v>3914</v>
      </c>
      <c r="F9723" s="895"/>
      <c r="G9723" s="1004"/>
      <c r="H9723" s="901"/>
      <c r="I9723" s="902"/>
      <c r="J9723" s="902"/>
      <c r="K9723" s="912" t="s">
        <v>274</v>
      </c>
      <c r="L9723" s="902"/>
      <c r="M9723" s="902"/>
      <c r="N9723" s="902"/>
      <c r="O9723" s="892">
        <f t="shared" si="785"/>
        <v>0</v>
      </c>
      <c r="P9723" s="903">
        <f t="shared" si="786"/>
        <v>1</v>
      </c>
      <c r="Q9723" s="893">
        <f t="shared" si="787"/>
        <v>5</v>
      </c>
      <c r="R9723" s="894">
        <f t="shared" si="788"/>
        <v>0</v>
      </c>
    </row>
    <row r="9724" spans="1:18" s="847" customFormat="1">
      <c r="A9724" s="905"/>
      <c r="B9724" s="952" t="s">
        <v>6408</v>
      </c>
      <c r="C9724" s="907">
        <v>913</v>
      </c>
      <c r="D9724" s="907" t="s">
        <v>93</v>
      </c>
      <c r="E9724" s="992" t="s">
        <v>6409</v>
      </c>
      <c r="F9724" s="905" t="s">
        <v>2673</v>
      </c>
      <c r="G9724" s="1005"/>
      <c r="H9724" s="911">
        <v>1.36</v>
      </c>
      <c r="I9724" s="912"/>
      <c r="J9724" s="912"/>
      <c r="K9724" s="912"/>
      <c r="L9724" s="912"/>
      <c r="M9724" s="912">
        <f>VLOOKUP(B9724,MTC!$B$9:$S$933,12,0)</f>
        <v>0</v>
      </c>
      <c r="N9724" s="912">
        <f>M9724*H9724</f>
        <v>0</v>
      </c>
      <c r="O9724" s="892">
        <f t="shared" si="785"/>
        <v>0</v>
      </c>
      <c r="P9724" s="903">
        <f t="shared" si="786"/>
        <v>1</v>
      </c>
      <c r="Q9724" s="893">
        <f t="shared" si="787"/>
        <v>4</v>
      </c>
      <c r="R9724" s="894">
        <f t="shared" si="788"/>
        <v>0</v>
      </c>
    </row>
    <row r="9725" spans="1:18" s="904" customFormat="1">
      <c r="A9725" s="905"/>
      <c r="B9725" s="952" t="s">
        <v>6410</v>
      </c>
      <c r="C9725" s="907">
        <v>906</v>
      </c>
      <c r="D9725" s="907" t="s">
        <v>93</v>
      </c>
      <c r="E9725" s="992" t="s">
        <v>6411</v>
      </c>
      <c r="F9725" s="905" t="s">
        <v>2673</v>
      </c>
      <c r="G9725" s="1005"/>
      <c r="H9725" s="911">
        <v>0.43</v>
      </c>
      <c r="I9725" s="912"/>
      <c r="J9725" s="912"/>
      <c r="K9725" s="912"/>
      <c r="L9725" s="912"/>
      <c r="M9725" s="912">
        <f>VLOOKUP(B9725,MTC!$B$9:$S$933,12,0)</f>
        <v>0</v>
      </c>
      <c r="N9725" s="912">
        <f>M9725*H9725</f>
        <v>0</v>
      </c>
      <c r="O9725" s="892">
        <f t="shared" si="785"/>
        <v>0</v>
      </c>
      <c r="P9725" s="903">
        <f t="shared" si="786"/>
        <v>1</v>
      </c>
      <c r="Q9725" s="893">
        <f t="shared" si="787"/>
        <v>3</v>
      </c>
      <c r="R9725" s="894">
        <f t="shared" si="788"/>
        <v>0</v>
      </c>
    </row>
    <row r="9726" spans="1:18">
      <c r="A9726" s="905"/>
      <c r="B9726" s="952" t="s">
        <v>6412</v>
      </c>
      <c r="C9726" s="907">
        <v>905</v>
      </c>
      <c r="D9726" s="907" t="s">
        <v>93</v>
      </c>
      <c r="E9726" s="992" t="s">
        <v>6413</v>
      </c>
      <c r="F9726" s="905" t="s">
        <v>2673</v>
      </c>
      <c r="G9726" s="1005"/>
      <c r="H9726" s="911">
        <v>0.43</v>
      </c>
      <c r="I9726" s="912"/>
      <c r="J9726" s="912"/>
      <c r="K9726" s="912"/>
      <c r="L9726" s="912"/>
      <c r="M9726" s="912">
        <f>VLOOKUP(B9726,MTC!$B$9:$S$933,12,0)</f>
        <v>225936</v>
      </c>
      <c r="N9726" s="912">
        <f>M9726*H9726</f>
        <v>97152.48</v>
      </c>
      <c r="O9726" s="892">
        <f t="shared" si="785"/>
        <v>0</v>
      </c>
      <c r="P9726" s="903">
        <f t="shared" si="786"/>
        <v>1</v>
      </c>
      <c r="Q9726" s="893">
        <f t="shared" si="787"/>
        <v>2</v>
      </c>
      <c r="R9726" s="894">
        <f t="shared" si="788"/>
        <v>0</v>
      </c>
    </row>
    <row r="9727" spans="1:18" s="847" customFormat="1">
      <c r="A9727" s="905"/>
      <c r="B9727" s="952" t="s">
        <v>6414</v>
      </c>
      <c r="C9727" s="907">
        <v>914</v>
      </c>
      <c r="D9727" s="907" t="s">
        <v>93</v>
      </c>
      <c r="E9727" s="992" t="s">
        <v>6415</v>
      </c>
      <c r="F9727" s="905" t="s">
        <v>2673</v>
      </c>
      <c r="G9727" s="1005"/>
      <c r="H9727" s="911">
        <v>0.1</v>
      </c>
      <c r="I9727" s="912"/>
      <c r="J9727" s="912"/>
      <c r="K9727" s="912"/>
      <c r="L9727" s="912"/>
      <c r="M9727" s="912">
        <f>VLOOKUP(B9727,MTC!$B$9:$S$933,12,0)</f>
        <v>0</v>
      </c>
      <c r="N9727" s="912">
        <f>M9727*H9727</f>
        <v>0</v>
      </c>
      <c r="O9727" s="892">
        <f t="shared" si="785"/>
        <v>0</v>
      </c>
      <c r="P9727" s="903">
        <f t="shared" si="786"/>
        <v>1</v>
      </c>
      <c r="Q9727" s="893">
        <f t="shared" si="787"/>
        <v>1</v>
      </c>
      <c r="R9727" s="894">
        <f t="shared" si="788"/>
        <v>0</v>
      </c>
    </row>
    <row r="9728" spans="1:18" s="904" customFormat="1" ht="47.25">
      <c r="A9728" s="905" t="s">
        <v>6541</v>
      </c>
      <c r="B9728" s="914" t="s">
        <v>6552</v>
      </c>
      <c r="C9728" s="915"/>
      <c r="D9728" s="915"/>
      <c r="E9728" s="1006" t="s">
        <v>6553</v>
      </c>
      <c r="F9728" s="1007" t="s">
        <v>136</v>
      </c>
      <c r="G9728" s="1008"/>
      <c r="H9728" s="919"/>
      <c r="I9728" s="920"/>
      <c r="J9728" s="962">
        <f>SUM(J9729:J9737)</f>
        <v>55500</v>
      </c>
      <c r="K9728" s="891" t="s">
        <v>274</v>
      </c>
      <c r="L9728" s="962">
        <f>SUM(L9729:L9737)</f>
        <v>442250</v>
      </c>
      <c r="M9728" s="962"/>
      <c r="N9728" s="962">
        <f>SUM(N9729:N9737)</f>
        <v>0</v>
      </c>
      <c r="O9728" s="892">
        <f t="shared" si="785"/>
        <v>1</v>
      </c>
      <c r="P9728" s="903">
        <f t="shared" si="786"/>
        <v>0</v>
      </c>
      <c r="Q9728" s="893">
        <f t="shared" si="787"/>
        <v>0</v>
      </c>
      <c r="R9728" s="894">
        <f t="shared" si="788"/>
        <v>9</v>
      </c>
    </row>
    <row r="9729" spans="1:18">
      <c r="A9729" s="895"/>
      <c r="B9729" s="896"/>
      <c r="C9729" s="897"/>
      <c r="D9729" s="897"/>
      <c r="E9729" s="1002" t="s">
        <v>108</v>
      </c>
      <c r="F9729" s="895"/>
      <c r="G9729" s="1004"/>
      <c r="H9729" s="901"/>
      <c r="I9729" s="902"/>
      <c r="J9729" s="902"/>
      <c r="K9729" s="912" t="s">
        <v>274</v>
      </c>
      <c r="L9729" s="902"/>
      <c r="M9729" s="902"/>
      <c r="N9729" s="902"/>
      <c r="O9729" s="892">
        <f t="shared" si="785"/>
        <v>0</v>
      </c>
      <c r="P9729" s="903">
        <f t="shared" si="786"/>
        <v>1</v>
      </c>
      <c r="Q9729" s="893">
        <f t="shared" si="787"/>
        <v>9</v>
      </c>
      <c r="R9729" s="894">
        <f t="shared" si="788"/>
        <v>0</v>
      </c>
    </row>
    <row r="9730" spans="1:18" s="847" customFormat="1">
      <c r="A9730" s="905"/>
      <c r="B9730" s="952"/>
      <c r="C9730" s="907">
        <v>315</v>
      </c>
      <c r="D9730" s="907" t="s">
        <v>279</v>
      </c>
      <c r="E9730" s="992" t="s">
        <v>6316</v>
      </c>
      <c r="F9730" s="905" t="s">
        <v>49</v>
      </c>
      <c r="G9730" s="1005"/>
      <c r="H9730" s="911">
        <v>0.5</v>
      </c>
      <c r="I9730" s="912">
        <f>VLOOKUP(E9730,[3]VLP!$B$7:$K$300,10,0)</f>
        <v>8000</v>
      </c>
      <c r="J9730" s="912">
        <f>I9730*H9730</f>
        <v>4000</v>
      </c>
      <c r="K9730" s="912" t="s">
        <v>274</v>
      </c>
      <c r="L9730" s="912"/>
      <c r="M9730" s="912"/>
      <c r="N9730" s="912"/>
      <c r="O9730" s="892">
        <f t="shared" si="785"/>
        <v>0</v>
      </c>
      <c r="P9730" s="903">
        <f t="shared" si="786"/>
        <v>1</v>
      </c>
      <c r="Q9730" s="893">
        <f t="shared" si="787"/>
        <v>8</v>
      </c>
      <c r="R9730" s="894">
        <f t="shared" si="788"/>
        <v>0</v>
      </c>
    </row>
    <row r="9731" spans="1:18" s="904" customFormat="1">
      <c r="A9731" s="905"/>
      <c r="B9731" s="952"/>
      <c r="C9731" s="907">
        <v>235</v>
      </c>
      <c r="D9731" s="907" t="s">
        <v>279</v>
      </c>
      <c r="E9731" s="992" t="s">
        <v>2682</v>
      </c>
      <c r="F9731" s="905" t="s">
        <v>45</v>
      </c>
      <c r="G9731" s="1005"/>
      <c r="H9731" s="911">
        <v>0.3</v>
      </c>
      <c r="I9731" s="912">
        <f>VLOOKUP(E9731,[3]VLP!$B$7:$K$300,10,0)</f>
        <v>5000</v>
      </c>
      <c r="J9731" s="912">
        <f>I9731*H9731</f>
        <v>1500</v>
      </c>
      <c r="K9731" s="912" t="s">
        <v>274</v>
      </c>
      <c r="L9731" s="912"/>
      <c r="M9731" s="912"/>
      <c r="N9731" s="912"/>
      <c r="O9731" s="892">
        <f t="shared" si="785"/>
        <v>0</v>
      </c>
      <c r="P9731" s="903">
        <f t="shared" si="786"/>
        <v>1</v>
      </c>
      <c r="Q9731" s="893">
        <f t="shared" si="787"/>
        <v>7</v>
      </c>
      <c r="R9731" s="894">
        <f t="shared" si="788"/>
        <v>0</v>
      </c>
    </row>
    <row r="9732" spans="1:18">
      <c r="A9732" s="905"/>
      <c r="B9732" s="952"/>
      <c r="C9732" s="907">
        <v>699</v>
      </c>
      <c r="D9732" s="907" t="s">
        <v>279</v>
      </c>
      <c r="E9732" s="992" t="s">
        <v>4006</v>
      </c>
      <c r="F9732" s="905" t="s">
        <v>4007</v>
      </c>
      <c r="G9732" s="1005"/>
      <c r="H9732" s="911">
        <v>10</v>
      </c>
      <c r="I9732" s="912">
        <f>VLOOKUP(E9732,[3]VLP!$B$7:$K$300,10,0)</f>
        <v>5000</v>
      </c>
      <c r="J9732" s="912">
        <f>I9732*H9732</f>
        <v>50000</v>
      </c>
      <c r="K9732" s="912" t="s">
        <v>274</v>
      </c>
      <c r="L9732" s="912"/>
      <c r="M9732" s="912"/>
      <c r="N9732" s="912"/>
      <c r="O9732" s="892">
        <f t="shared" si="785"/>
        <v>0</v>
      </c>
      <c r="P9732" s="903">
        <f t="shared" si="786"/>
        <v>1</v>
      </c>
      <c r="Q9732" s="893">
        <f t="shared" si="787"/>
        <v>6</v>
      </c>
      <c r="R9732" s="894">
        <f t="shared" si="788"/>
        <v>0</v>
      </c>
    </row>
    <row r="9733" spans="1:18" s="847" customFormat="1">
      <c r="A9733" s="895"/>
      <c r="B9733" s="896"/>
      <c r="C9733" s="897"/>
      <c r="D9733" s="897"/>
      <c r="E9733" s="1002" t="s">
        <v>276</v>
      </c>
      <c r="F9733" s="1003"/>
      <c r="G9733" s="1004"/>
      <c r="H9733" s="901"/>
      <c r="I9733" s="902"/>
      <c r="J9733" s="902"/>
      <c r="K9733" s="912" t="s">
        <v>274</v>
      </c>
      <c r="L9733" s="902"/>
      <c r="M9733" s="902"/>
      <c r="N9733" s="902"/>
      <c r="O9733" s="892">
        <f t="shared" si="785"/>
        <v>0</v>
      </c>
      <c r="P9733" s="903">
        <f t="shared" si="786"/>
        <v>1</v>
      </c>
      <c r="Q9733" s="893">
        <f t="shared" si="787"/>
        <v>5</v>
      </c>
      <c r="R9733" s="894">
        <f t="shared" si="788"/>
        <v>0</v>
      </c>
    </row>
    <row r="9734" spans="1:18" s="904" customFormat="1">
      <c r="A9734" s="905"/>
      <c r="B9734" s="952"/>
      <c r="C9734" s="907">
        <v>740</v>
      </c>
      <c r="D9734" s="907" t="s">
        <v>12</v>
      </c>
      <c r="E9734" s="992" t="s">
        <v>4008</v>
      </c>
      <c r="F9734" s="905" t="s">
        <v>2674</v>
      </c>
      <c r="G9734" s="1005"/>
      <c r="H9734" s="911">
        <v>2</v>
      </c>
      <c r="I9734" s="912"/>
      <c r="J9734" s="912"/>
      <c r="K9734" s="912">
        <f>VLOOKUP(E9734,[5]ĐMNC!$A$7:$F$67,4,0)</f>
        <v>221125</v>
      </c>
      <c r="L9734" s="912">
        <f>H9734*K9734</f>
        <v>442250</v>
      </c>
      <c r="M9734" s="912"/>
      <c r="N9734" s="912"/>
      <c r="O9734" s="892">
        <f t="shared" si="785"/>
        <v>0</v>
      </c>
      <c r="P9734" s="903">
        <f t="shared" si="786"/>
        <v>1</v>
      </c>
      <c r="Q9734" s="893">
        <f t="shared" si="787"/>
        <v>4</v>
      </c>
      <c r="R9734" s="894">
        <f t="shared" si="788"/>
        <v>0</v>
      </c>
    </row>
    <row r="9735" spans="1:18">
      <c r="A9735" s="895"/>
      <c r="B9735" s="896"/>
      <c r="C9735" s="897"/>
      <c r="D9735" s="897"/>
      <c r="E9735" s="1002" t="s">
        <v>3914</v>
      </c>
      <c r="F9735" s="895"/>
      <c r="G9735" s="1004"/>
      <c r="H9735" s="901"/>
      <c r="I9735" s="902"/>
      <c r="J9735" s="902"/>
      <c r="K9735" s="912" t="s">
        <v>274</v>
      </c>
      <c r="L9735" s="902"/>
      <c r="M9735" s="902"/>
      <c r="N9735" s="902"/>
      <c r="O9735" s="892">
        <f t="shared" si="785"/>
        <v>0</v>
      </c>
      <c r="P9735" s="903">
        <f t="shared" si="786"/>
        <v>1</v>
      </c>
      <c r="Q9735" s="893">
        <f t="shared" si="787"/>
        <v>3</v>
      </c>
      <c r="R9735" s="894">
        <f t="shared" si="788"/>
        <v>0</v>
      </c>
    </row>
    <row r="9736" spans="1:18" s="847" customFormat="1">
      <c r="A9736" s="905"/>
      <c r="B9736" s="952" t="s">
        <v>6424</v>
      </c>
      <c r="C9736" s="907">
        <v>911</v>
      </c>
      <c r="D9736" s="907" t="s">
        <v>93</v>
      </c>
      <c r="E9736" s="992" t="s">
        <v>6425</v>
      </c>
      <c r="F9736" s="905" t="s">
        <v>2673</v>
      </c>
      <c r="G9736" s="1005"/>
      <c r="H9736" s="911">
        <v>0.34</v>
      </c>
      <c r="I9736" s="912"/>
      <c r="J9736" s="912"/>
      <c r="K9736" s="912"/>
      <c r="L9736" s="912"/>
      <c r="M9736" s="912">
        <f>VLOOKUP(B9736,MTC!$B$9:$S$933,12,0)</f>
        <v>0</v>
      </c>
      <c r="N9736" s="912">
        <f>M9736*H9736</f>
        <v>0</v>
      </c>
      <c r="O9736" s="892">
        <f t="shared" si="785"/>
        <v>0</v>
      </c>
      <c r="P9736" s="903">
        <f t="shared" si="786"/>
        <v>1</v>
      </c>
      <c r="Q9736" s="893">
        <f t="shared" si="787"/>
        <v>2</v>
      </c>
      <c r="R9736" s="894">
        <f t="shared" si="788"/>
        <v>0</v>
      </c>
    </row>
    <row r="9737" spans="1:18" s="904" customFormat="1">
      <c r="A9737" s="905"/>
      <c r="B9737" s="952" t="s">
        <v>6414</v>
      </c>
      <c r="C9737" s="907">
        <v>914</v>
      </c>
      <c r="D9737" s="907" t="s">
        <v>93</v>
      </c>
      <c r="E9737" s="992" t="s">
        <v>6415</v>
      </c>
      <c r="F9737" s="905" t="s">
        <v>2673</v>
      </c>
      <c r="G9737" s="1005"/>
      <c r="H9737" s="911">
        <v>0.1</v>
      </c>
      <c r="I9737" s="912"/>
      <c r="J9737" s="912"/>
      <c r="K9737" s="912"/>
      <c r="L9737" s="912"/>
      <c r="M9737" s="912">
        <f>VLOOKUP(B9737,MTC!$B$9:$S$933,12,0)</f>
        <v>0</v>
      </c>
      <c r="N9737" s="912">
        <f>M9737*H9737</f>
        <v>0</v>
      </c>
      <c r="O9737" s="892">
        <f t="shared" si="785"/>
        <v>0</v>
      </c>
      <c r="P9737" s="903">
        <f t="shared" si="786"/>
        <v>1</v>
      </c>
      <c r="Q9737" s="893">
        <f t="shared" si="787"/>
        <v>1</v>
      </c>
      <c r="R9737" s="894">
        <f t="shared" si="788"/>
        <v>0</v>
      </c>
    </row>
    <row r="9738" spans="1:18" ht="47.25">
      <c r="A9738" s="905">
        <v>102</v>
      </c>
      <c r="B9738" s="914" t="s">
        <v>6554</v>
      </c>
      <c r="C9738" s="915"/>
      <c r="D9738" s="915"/>
      <c r="E9738" s="1006" t="s">
        <v>6555</v>
      </c>
      <c r="F9738" s="1007" t="s">
        <v>136</v>
      </c>
      <c r="G9738" s="1008"/>
      <c r="H9738" s="919"/>
      <c r="I9738" s="920"/>
      <c r="J9738" s="962">
        <f>SUM(J9739:J9747)</f>
        <v>55500</v>
      </c>
      <c r="K9738" s="891" t="s">
        <v>274</v>
      </c>
      <c r="L9738" s="962">
        <f>SUM(L9739:L9747)</f>
        <v>552812.5</v>
      </c>
      <c r="M9738" s="962"/>
      <c r="N9738" s="962">
        <f>SUM(N9739:N9747)</f>
        <v>0</v>
      </c>
      <c r="O9738" s="892">
        <f t="shared" si="785"/>
        <v>1</v>
      </c>
      <c r="P9738" s="903">
        <f t="shared" si="786"/>
        <v>0</v>
      </c>
      <c r="Q9738" s="893">
        <f t="shared" si="787"/>
        <v>0</v>
      </c>
      <c r="R9738" s="894">
        <f t="shared" si="788"/>
        <v>9</v>
      </c>
    </row>
    <row r="9739" spans="1:18" s="847" customFormat="1">
      <c r="A9739" s="895"/>
      <c r="B9739" s="896"/>
      <c r="C9739" s="897"/>
      <c r="D9739" s="897"/>
      <c r="E9739" s="1002" t="s">
        <v>108</v>
      </c>
      <c r="F9739" s="895"/>
      <c r="G9739" s="1004"/>
      <c r="H9739" s="901"/>
      <c r="I9739" s="902"/>
      <c r="J9739" s="902"/>
      <c r="K9739" s="912" t="s">
        <v>274</v>
      </c>
      <c r="L9739" s="902"/>
      <c r="M9739" s="902"/>
      <c r="N9739" s="902"/>
      <c r="O9739" s="892">
        <f t="shared" si="785"/>
        <v>0</v>
      </c>
      <c r="P9739" s="903">
        <f t="shared" si="786"/>
        <v>1</v>
      </c>
      <c r="Q9739" s="893">
        <f t="shared" si="787"/>
        <v>9</v>
      </c>
      <c r="R9739" s="894">
        <f t="shared" si="788"/>
        <v>0</v>
      </c>
    </row>
    <row r="9740" spans="1:18" s="904" customFormat="1">
      <c r="A9740" s="905"/>
      <c r="B9740" s="952"/>
      <c r="C9740" s="907">
        <v>315</v>
      </c>
      <c r="D9740" s="907" t="s">
        <v>279</v>
      </c>
      <c r="E9740" s="992" t="s">
        <v>6316</v>
      </c>
      <c r="F9740" s="905" t="s">
        <v>49</v>
      </c>
      <c r="G9740" s="1005"/>
      <c r="H9740" s="911">
        <v>0.5</v>
      </c>
      <c r="I9740" s="912">
        <f>VLOOKUP(E9740,[3]VLP!$B$7:$K$300,10,0)</f>
        <v>8000</v>
      </c>
      <c r="J9740" s="912">
        <f>I9740*H9740</f>
        <v>4000</v>
      </c>
      <c r="K9740" s="912" t="s">
        <v>274</v>
      </c>
      <c r="L9740" s="912"/>
      <c r="M9740" s="912"/>
      <c r="N9740" s="912"/>
      <c r="O9740" s="892">
        <f t="shared" si="785"/>
        <v>0</v>
      </c>
      <c r="P9740" s="903">
        <f t="shared" si="786"/>
        <v>1</v>
      </c>
      <c r="Q9740" s="893">
        <f t="shared" si="787"/>
        <v>8</v>
      </c>
      <c r="R9740" s="894">
        <f t="shared" si="788"/>
        <v>0</v>
      </c>
    </row>
    <row r="9741" spans="1:18">
      <c r="A9741" s="905"/>
      <c r="B9741" s="952"/>
      <c r="C9741" s="907">
        <v>235</v>
      </c>
      <c r="D9741" s="907" t="s">
        <v>279</v>
      </c>
      <c r="E9741" s="992" t="s">
        <v>2682</v>
      </c>
      <c r="F9741" s="905" t="s">
        <v>45</v>
      </c>
      <c r="G9741" s="1005"/>
      <c r="H9741" s="911">
        <v>0.3</v>
      </c>
      <c r="I9741" s="912">
        <f>VLOOKUP(E9741,[3]VLP!$B$7:$K$300,10,0)</f>
        <v>5000</v>
      </c>
      <c r="J9741" s="912">
        <f>I9741*H9741</f>
        <v>1500</v>
      </c>
      <c r="K9741" s="912" t="s">
        <v>274</v>
      </c>
      <c r="L9741" s="912"/>
      <c r="M9741" s="912"/>
      <c r="N9741" s="912"/>
      <c r="O9741" s="892">
        <f t="shared" si="785"/>
        <v>0</v>
      </c>
      <c r="P9741" s="903">
        <f t="shared" si="786"/>
        <v>1</v>
      </c>
      <c r="Q9741" s="893">
        <f t="shared" si="787"/>
        <v>7</v>
      </c>
      <c r="R9741" s="894">
        <f t="shared" si="788"/>
        <v>0</v>
      </c>
    </row>
    <row r="9742" spans="1:18" s="847" customFormat="1">
      <c r="A9742" s="905"/>
      <c r="B9742" s="952"/>
      <c r="C9742" s="907">
        <v>699</v>
      </c>
      <c r="D9742" s="907" t="s">
        <v>279</v>
      </c>
      <c r="E9742" s="992" t="s">
        <v>4006</v>
      </c>
      <c r="F9742" s="905" t="s">
        <v>4007</v>
      </c>
      <c r="G9742" s="1005"/>
      <c r="H9742" s="911">
        <v>10</v>
      </c>
      <c r="I9742" s="912">
        <f>VLOOKUP(E9742,[3]VLP!$B$7:$K$300,10,0)</f>
        <v>5000</v>
      </c>
      <c r="J9742" s="912">
        <f>I9742*H9742</f>
        <v>50000</v>
      </c>
      <c r="K9742" s="912" t="s">
        <v>274</v>
      </c>
      <c r="L9742" s="912"/>
      <c r="M9742" s="912"/>
      <c r="N9742" s="912"/>
      <c r="O9742" s="892">
        <f t="shared" si="785"/>
        <v>0</v>
      </c>
      <c r="P9742" s="903">
        <f t="shared" si="786"/>
        <v>1</v>
      </c>
      <c r="Q9742" s="893">
        <f t="shared" si="787"/>
        <v>6</v>
      </c>
      <c r="R9742" s="894">
        <f t="shared" si="788"/>
        <v>0</v>
      </c>
    </row>
    <row r="9743" spans="1:18" s="904" customFormat="1">
      <c r="A9743" s="895"/>
      <c r="B9743" s="896"/>
      <c r="C9743" s="897"/>
      <c r="D9743" s="897"/>
      <c r="E9743" s="1002" t="s">
        <v>276</v>
      </c>
      <c r="F9743" s="1003"/>
      <c r="G9743" s="1004"/>
      <c r="H9743" s="901"/>
      <c r="I9743" s="902"/>
      <c r="J9743" s="902"/>
      <c r="K9743" s="912" t="s">
        <v>274</v>
      </c>
      <c r="L9743" s="902"/>
      <c r="M9743" s="902"/>
      <c r="N9743" s="902"/>
      <c r="O9743" s="892">
        <f t="shared" si="785"/>
        <v>0</v>
      </c>
      <c r="P9743" s="903">
        <f t="shared" si="786"/>
        <v>1</v>
      </c>
      <c r="Q9743" s="893">
        <f t="shared" si="787"/>
        <v>5</v>
      </c>
      <c r="R9743" s="894">
        <f t="shared" si="788"/>
        <v>0</v>
      </c>
    </row>
    <row r="9744" spans="1:18">
      <c r="A9744" s="905"/>
      <c r="B9744" s="952"/>
      <c r="C9744" s="907">
        <v>740</v>
      </c>
      <c r="D9744" s="907" t="s">
        <v>12</v>
      </c>
      <c r="E9744" s="992" t="s">
        <v>4008</v>
      </c>
      <c r="F9744" s="905" t="s">
        <v>2674</v>
      </c>
      <c r="G9744" s="1005"/>
      <c r="H9744" s="911">
        <v>2.5</v>
      </c>
      <c r="I9744" s="912"/>
      <c r="J9744" s="912"/>
      <c r="K9744" s="912">
        <f>VLOOKUP(E9744,[5]ĐMNC!$A$7:$F$67,4,0)</f>
        <v>221125</v>
      </c>
      <c r="L9744" s="912">
        <f>H9744*K9744</f>
        <v>552812.5</v>
      </c>
      <c r="M9744" s="912"/>
      <c r="N9744" s="912"/>
      <c r="O9744" s="892">
        <f t="shared" si="785"/>
        <v>0</v>
      </c>
      <c r="P9744" s="903">
        <f t="shared" si="786"/>
        <v>1</v>
      </c>
      <c r="Q9744" s="893">
        <f t="shared" si="787"/>
        <v>4</v>
      </c>
      <c r="R9744" s="894">
        <f t="shared" si="788"/>
        <v>0</v>
      </c>
    </row>
    <row r="9745" spans="1:18" s="847" customFormat="1">
      <c r="A9745" s="895"/>
      <c r="B9745" s="896"/>
      <c r="C9745" s="897"/>
      <c r="D9745" s="897"/>
      <c r="E9745" s="1002" t="s">
        <v>3914</v>
      </c>
      <c r="F9745" s="895"/>
      <c r="G9745" s="1004"/>
      <c r="H9745" s="901"/>
      <c r="I9745" s="902"/>
      <c r="J9745" s="902"/>
      <c r="K9745" s="912" t="s">
        <v>274</v>
      </c>
      <c r="L9745" s="902"/>
      <c r="M9745" s="902"/>
      <c r="N9745" s="902"/>
      <c r="O9745" s="892">
        <f t="shared" si="785"/>
        <v>0</v>
      </c>
      <c r="P9745" s="903">
        <f t="shared" si="786"/>
        <v>1</v>
      </c>
      <c r="Q9745" s="893">
        <f t="shared" si="787"/>
        <v>3</v>
      </c>
      <c r="R9745" s="894">
        <f t="shared" si="788"/>
        <v>0</v>
      </c>
    </row>
    <row r="9746" spans="1:18" s="904" customFormat="1">
      <c r="A9746" s="905"/>
      <c r="B9746" s="952" t="s">
        <v>6424</v>
      </c>
      <c r="C9746" s="907">
        <v>911</v>
      </c>
      <c r="D9746" s="907" t="s">
        <v>93</v>
      </c>
      <c r="E9746" s="992" t="s">
        <v>6425</v>
      </c>
      <c r="F9746" s="905" t="s">
        <v>2673</v>
      </c>
      <c r="G9746" s="1005"/>
      <c r="H9746" s="911">
        <v>0.42</v>
      </c>
      <c r="I9746" s="912"/>
      <c r="J9746" s="912"/>
      <c r="K9746" s="912"/>
      <c r="L9746" s="912"/>
      <c r="M9746" s="912">
        <f>VLOOKUP(B9746,MTC!$B$9:$S$933,12,0)</f>
        <v>0</v>
      </c>
      <c r="N9746" s="912">
        <f>M9746*H9746</f>
        <v>0</v>
      </c>
      <c r="O9746" s="892">
        <f t="shared" si="785"/>
        <v>0</v>
      </c>
      <c r="P9746" s="903">
        <f t="shared" si="786"/>
        <v>1</v>
      </c>
      <c r="Q9746" s="893">
        <f t="shared" si="787"/>
        <v>2</v>
      </c>
      <c r="R9746" s="894">
        <f t="shared" si="788"/>
        <v>0</v>
      </c>
    </row>
    <row r="9747" spans="1:18">
      <c r="A9747" s="905"/>
      <c r="B9747" s="952" t="s">
        <v>6414</v>
      </c>
      <c r="C9747" s="907">
        <v>914</v>
      </c>
      <c r="D9747" s="907" t="s">
        <v>93</v>
      </c>
      <c r="E9747" s="992" t="s">
        <v>6415</v>
      </c>
      <c r="F9747" s="905" t="s">
        <v>2673</v>
      </c>
      <c r="G9747" s="1005"/>
      <c r="H9747" s="911">
        <v>0.1</v>
      </c>
      <c r="I9747" s="912"/>
      <c r="J9747" s="912"/>
      <c r="K9747" s="912"/>
      <c r="L9747" s="912"/>
      <c r="M9747" s="912">
        <f>VLOOKUP(B9747,MTC!$B$9:$S$933,12,0)</f>
        <v>0</v>
      </c>
      <c r="N9747" s="912">
        <f>M9747*H9747</f>
        <v>0</v>
      </c>
      <c r="O9747" s="892">
        <f t="shared" si="785"/>
        <v>0</v>
      </c>
      <c r="P9747" s="903">
        <f t="shared" si="786"/>
        <v>1</v>
      </c>
      <c r="Q9747" s="893">
        <f t="shared" si="787"/>
        <v>1</v>
      </c>
      <c r="R9747" s="894">
        <f t="shared" si="788"/>
        <v>0</v>
      </c>
    </row>
    <row r="9748" spans="1:18" s="847" customFormat="1" ht="47.25">
      <c r="A9748" s="905">
        <v>103</v>
      </c>
      <c r="B9748" s="914" t="s">
        <v>6556</v>
      </c>
      <c r="C9748" s="915"/>
      <c r="D9748" s="915"/>
      <c r="E9748" s="1006" t="s">
        <v>6557</v>
      </c>
      <c r="F9748" s="1007" t="s">
        <v>136</v>
      </c>
      <c r="G9748" s="1008"/>
      <c r="H9748" s="919"/>
      <c r="I9748" s="920"/>
      <c r="J9748" s="962">
        <f>SUM(J9749:J9757)</f>
        <v>55500</v>
      </c>
      <c r="K9748" s="891" t="s">
        <v>274</v>
      </c>
      <c r="L9748" s="962">
        <f>SUM(L9749:L9757)</f>
        <v>685487.5</v>
      </c>
      <c r="M9748" s="962"/>
      <c r="N9748" s="962">
        <f>SUM(N9749:N9757)</f>
        <v>0</v>
      </c>
      <c r="O9748" s="892">
        <f t="shared" si="785"/>
        <v>1</v>
      </c>
      <c r="P9748" s="903">
        <f t="shared" si="786"/>
        <v>0</v>
      </c>
      <c r="Q9748" s="893">
        <f t="shared" si="787"/>
        <v>0</v>
      </c>
      <c r="R9748" s="894">
        <f t="shared" si="788"/>
        <v>9</v>
      </c>
    </row>
    <row r="9749" spans="1:18" s="904" customFormat="1">
      <c r="A9749" s="895"/>
      <c r="B9749" s="896"/>
      <c r="C9749" s="897"/>
      <c r="D9749" s="897"/>
      <c r="E9749" s="1002" t="s">
        <v>108</v>
      </c>
      <c r="F9749" s="895"/>
      <c r="G9749" s="1004"/>
      <c r="H9749" s="901"/>
      <c r="I9749" s="902"/>
      <c r="J9749" s="902"/>
      <c r="K9749" s="912" t="s">
        <v>274</v>
      </c>
      <c r="L9749" s="902"/>
      <c r="M9749" s="902"/>
      <c r="N9749" s="902"/>
      <c r="O9749" s="892">
        <f t="shared" si="785"/>
        <v>0</v>
      </c>
      <c r="P9749" s="903">
        <f t="shared" si="786"/>
        <v>1</v>
      </c>
      <c r="Q9749" s="893">
        <f t="shared" si="787"/>
        <v>9</v>
      </c>
      <c r="R9749" s="894">
        <f t="shared" si="788"/>
        <v>0</v>
      </c>
    </row>
    <row r="9750" spans="1:18">
      <c r="A9750" s="905"/>
      <c r="B9750" s="952"/>
      <c r="C9750" s="907">
        <v>315</v>
      </c>
      <c r="D9750" s="907" t="s">
        <v>279</v>
      </c>
      <c r="E9750" s="992" t="s">
        <v>6316</v>
      </c>
      <c r="F9750" s="905" t="s">
        <v>49</v>
      </c>
      <c r="G9750" s="1005"/>
      <c r="H9750" s="911">
        <v>0.5</v>
      </c>
      <c r="I9750" s="912">
        <f>VLOOKUP(E9750,[3]VLP!$B$7:$K$300,10,0)</f>
        <v>8000</v>
      </c>
      <c r="J9750" s="912">
        <f>I9750*H9750</f>
        <v>4000</v>
      </c>
      <c r="K9750" s="912" t="s">
        <v>274</v>
      </c>
      <c r="L9750" s="912"/>
      <c r="M9750" s="912"/>
      <c r="N9750" s="912"/>
      <c r="O9750" s="892">
        <f t="shared" si="785"/>
        <v>0</v>
      </c>
      <c r="P9750" s="903">
        <f t="shared" si="786"/>
        <v>1</v>
      </c>
      <c r="Q9750" s="893">
        <f t="shared" si="787"/>
        <v>8</v>
      </c>
      <c r="R9750" s="894">
        <f t="shared" si="788"/>
        <v>0</v>
      </c>
    </row>
    <row r="9751" spans="1:18" s="847" customFormat="1">
      <c r="A9751" s="905"/>
      <c r="B9751" s="952"/>
      <c r="C9751" s="907">
        <v>235</v>
      </c>
      <c r="D9751" s="907" t="s">
        <v>279</v>
      </c>
      <c r="E9751" s="992" t="s">
        <v>2682</v>
      </c>
      <c r="F9751" s="905" t="s">
        <v>45</v>
      </c>
      <c r="G9751" s="1005"/>
      <c r="H9751" s="911">
        <v>0.3</v>
      </c>
      <c r="I9751" s="912">
        <f>VLOOKUP(E9751,[3]VLP!$B$7:$K$300,10,0)</f>
        <v>5000</v>
      </c>
      <c r="J9751" s="912">
        <f>I9751*H9751</f>
        <v>1500</v>
      </c>
      <c r="K9751" s="912" t="s">
        <v>274</v>
      </c>
      <c r="L9751" s="912"/>
      <c r="M9751" s="912"/>
      <c r="N9751" s="912"/>
      <c r="O9751" s="892">
        <f t="shared" si="785"/>
        <v>0</v>
      </c>
      <c r="P9751" s="903">
        <f t="shared" si="786"/>
        <v>1</v>
      </c>
      <c r="Q9751" s="893">
        <f t="shared" si="787"/>
        <v>7</v>
      </c>
      <c r="R9751" s="894">
        <f t="shared" si="788"/>
        <v>0</v>
      </c>
    </row>
    <row r="9752" spans="1:18" s="904" customFormat="1">
      <c r="A9752" s="905"/>
      <c r="B9752" s="952"/>
      <c r="C9752" s="907">
        <v>699</v>
      </c>
      <c r="D9752" s="907" t="s">
        <v>279</v>
      </c>
      <c r="E9752" s="992" t="s">
        <v>4006</v>
      </c>
      <c r="F9752" s="905" t="s">
        <v>4007</v>
      </c>
      <c r="G9752" s="1005"/>
      <c r="H9752" s="911">
        <v>10</v>
      </c>
      <c r="I9752" s="912">
        <f>VLOOKUP(E9752,[3]VLP!$B$7:$K$300,10,0)</f>
        <v>5000</v>
      </c>
      <c r="J9752" s="912">
        <f>I9752*H9752</f>
        <v>50000</v>
      </c>
      <c r="K9752" s="912" t="s">
        <v>274</v>
      </c>
      <c r="L9752" s="912"/>
      <c r="M9752" s="912"/>
      <c r="N9752" s="912"/>
      <c r="O9752" s="892">
        <f t="shared" si="785"/>
        <v>0</v>
      </c>
      <c r="P9752" s="903">
        <f t="shared" si="786"/>
        <v>1</v>
      </c>
      <c r="Q9752" s="893">
        <f t="shared" si="787"/>
        <v>6</v>
      </c>
      <c r="R9752" s="894">
        <f t="shared" si="788"/>
        <v>0</v>
      </c>
    </row>
    <row r="9753" spans="1:18">
      <c r="A9753" s="895"/>
      <c r="B9753" s="896"/>
      <c r="C9753" s="897"/>
      <c r="D9753" s="897"/>
      <c r="E9753" s="1002" t="s">
        <v>276</v>
      </c>
      <c r="F9753" s="1003"/>
      <c r="G9753" s="1004"/>
      <c r="H9753" s="901"/>
      <c r="I9753" s="902"/>
      <c r="J9753" s="902"/>
      <c r="K9753" s="912" t="s">
        <v>274</v>
      </c>
      <c r="L9753" s="902"/>
      <c r="M9753" s="902"/>
      <c r="N9753" s="902"/>
      <c r="O9753" s="892">
        <f t="shared" si="785"/>
        <v>0</v>
      </c>
      <c r="P9753" s="903">
        <f t="shared" si="786"/>
        <v>1</v>
      </c>
      <c r="Q9753" s="893">
        <f t="shared" si="787"/>
        <v>5</v>
      </c>
      <c r="R9753" s="894">
        <f t="shared" si="788"/>
        <v>0</v>
      </c>
    </row>
    <row r="9754" spans="1:18" s="847" customFormat="1">
      <c r="A9754" s="905"/>
      <c r="B9754" s="952"/>
      <c r="C9754" s="907">
        <v>740</v>
      </c>
      <c r="D9754" s="907" t="s">
        <v>12</v>
      </c>
      <c r="E9754" s="992" t="s">
        <v>4008</v>
      </c>
      <c r="F9754" s="905" t="s">
        <v>2674</v>
      </c>
      <c r="G9754" s="1005"/>
      <c r="H9754" s="911">
        <v>3.1</v>
      </c>
      <c r="I9754" s="912"/>
      <c r="J9754" s="912"/>
      <c r="K9754" s="912">
        <f>VLOOKUP(E9754,[5]ĐMNC!$A$7:$F$67,4,0)</f>
        <v>221125</v>
      </c>
      <c r="L9754" s="912">
        <f>H9754*K9754</f>
        <v>685487.5</v>
      </c>
      <c r="M9754" s="912"/>
      <c r="N9754" s="912"/>
      <c r="O9754" s="892">
        <f t="shared" si="785"/>
        <v>0</v>
      </c>
      <c r="P9754" s="903">
        <f t="shared" si="786"/>
        <v>1</v>
      </c>
      <c r="Q9754" s="893">
        <f t="shared" si="787"/>
        <v>4</v>
      </c>
      <c r="R9754" s="894">
        <f t="shared" si="788"/>
        <v>0</v>
      </c>
    </row>
    <row r="9755" spans="1:18" s="904" customFormat="1">
      <c r="A9755" s="895"/>
      <c r="B9755" s="896"/>
      <c r="C9755" s="897"/>
      <c r="D9755" s="897"/>
      <c r="E9755" s="1002" t="s">
        <v>3914</v>
      </c>
      <c r="F9755" s="895"/>
      <c r="G9755" s="1004"/>
      <c r="H9755" s="901"/>
      <c r="I9755" s="902"/>
      <c r="J9755" s="902"/>
      <c r="K9755" s="912" t="s">
        <v>274</v>
      </c>
      <c r="L9755" s="902"/>
      <c r="M9755" s="902"/>
      <c r="N9755" s="902"/>
      <c r="O9755" s="892">
        <f t="shared" si="785"/>
        <v>0</v>
      </c>
      <c r="P9755" s="903">
        <f t="shared" si="786"/>
        <v>1</v>
      </c>
      <c r="Q9755" s="893">
        <f t="shared" si="787"/>
        <v>3</v>
      </c>
      <c r="R9755" s="894">
        <f t="shared" si="788"/>
        <v>0</v>
      </c>
    </row>
    <row r="9756" spans="1:18">
      <c r="A9756" s="905"/>
      <c r="B9756" s="952" t="s">
        <v>6424</v>
      </c>
      <c r="C9756" s="907">
        <v>911</v>
      </c>
      <c r="D9756" s="907" t="s">
        <v>93</v>
      </c>
      <c r="E9756" s="992" t="s">
        <v>6425</v>
      </c>
      <c r="F9756" s="905" t="s">
        <v>2673</v>
      </c>
      <c r="G9756" s="1005"/>
      <c r="H9756" s="911">
        <v>0.5</v>
      </c>
      <c r="I9756" s="912"/>
      <c r="J9756" s="912"/>
      <c r="K9756" s="912"/>
      <c r="L9756" s="912"/>
      <c r="M9756" s="912">
        <f>VLOOKUP(B9756,MTC!$B$9:$S$933,12,0)</f>
        <v>0</v>
      </c>
      <c r="N9756" s="912">
        <f>M9756*H9756</f>
        <v>0</v>
      </c>
      <c r="O9756" s="892">
        <f t="shared" si="785"/>
        <v>0</v>
      </c>
      <c r="P9756" s="903">
        <f t="shared" si="786"/>
        <v>1</v>
      </c>
      <c r="Q9756" s="893">
        <f t="shared" si="787"/>
        <v>2</v>
      </c>
      <c r="R9756" s="894">
        <f t="shared" si="788"/>
        <v>0</v>
      </c>
    </row>
    <row r="9757" spans="1:18" s="847" customFormat="1">
      <c r="A9757" s="905"/>
      <c r="B9757" s="952" t="s">
        <v>6414</v>
      </c>
      <c r="C9757" s="907">
        <v>914</v>
      </c>
      <c r="D9757" s="907" t="s">
        <v>93</v>
      </c>
      <c r="E9757" s="992" t="s">
        <v>6415</v>
      </c>
      <c r="F9757" s="905" t="s">
        <v>2673</v>
      </c>
      <c r="G9757" s="1005"/>
      <c r="H9757" s="911">
        <v>0.1</v>
      </c>
      <c r="I9757" s="912"/>
      <c r="J9757" s="912"/>
      <c r="K9757" s="912"/>
      <c r="L9757" s="912"/>
      <c r="M9757" s="912">
        <f>VLOOKUP(B9757,MTC!$B$9:$S$933,12,0)</f>
        <v>0</v>
      </c>
      <c r="N9757" s="912">
        <f>M9757*H9757</f>
        <v>0</v>
      </c>
      <c r="O9757" s="892">
        <f t="shared" si="785"/>
        <v>0</v>
      </c>
      <c r="P9757" s="903">
        <f t="shared" si="786"/>
        <v>1</v>
      </c>
      <c r="Q9757" s="893">
        <f t="shared" si="787"/>
        <v>1</v>
      </c>
      <c r="R9757" s="894">
        <f t="shared" si="788"/>
        <v>0</v>
      </c>
    </row>
    <row r="9758" spans="1:18" s="904" customFormat="1" ht="47.25">
      <c r="A9758" s="905">
        <v>104</v>
      </c>
      <c r="B9758" s="914" t="s">
        <v>6558</v>
      </c>
      <c r="C9758" s="915"/>
      <c r="D9758" s="915"/>
      <c r="E9758" s="1006" t="s">
        <v>6559</v>
      </c>
      <c r="F9758" s="1007" t="s">
        <v>136</v>
      </c>
      <c r="G9758" s="1008"/>
      <c r="H9758" s="919"/>
      <c r="I9758" s="920"/>
      <c r="J9758" s="962">
        <f>SUM(J9759:J9767)</f>
        <v>55500</v>
      </c>
      <c r="K9758" s="891" t="s">
        <v>274</v>
      </c>
      <c r="L9758" s="962">
        <f>SUM(L9759:L9767)</f>
        <v>773937.5</v>
      </c>
      <c r="M9758" s="962"/>
      <c r="N9758" s="962">
        <f>SUM(N9759:N9767)</f>
        <v>0</v>
      </c>
      <c r="O9758" s="892">
        <f t="shared" si="785"/>
        <v>1</v>
      </c>
      <c r="P9758" s="903">
        <f t="shared" si="786"/>
        <v>0</v>
      </c>
      <c r="Q9758" s="893">
        <f t="shared" si="787"/>
        <v>0</v>
      </c>
      <c r="R9758" s="894">
        <f t="shared" si="788"/>
        <v>9</v>
      </c>
    </row>
    <row r="9759" spans="1:18">
      <c r="A9759" s="895"/>
      <c r="B9759" s="896"/>
      <c r="C9759" s="897"/>
      <c r="D9759" s="897"/>
      <c r="E9759" s="1002" t="s">
        <v>108</v>
      </c>
      <c r="F9759" s="895"/>
      <c r="G9759" s="1004"/>
      <c r="H9759" s="901"/>
      <c r="I9759" s="902"/>
      <c r="J9759" s="902"/>
      <c r="K9759" s="912" t="s">
        <v>274</v>
      </c>
      <c r="L9759" s="902"/>
      <c r="M9759" s="902"/>
      <c r="N9759" s="902"/>
      <c r="O9759" s="892">
        <f t="shared" ref="O9759:O9822" si="789">IF(AND(B9759&lt;&gt;"",D9759=""),1,0)</f>
        <v>0</v>
      </c>
      <c r="P9759" s="903">
        <f t="shared" si="786"/>
        <v>1</v>
      </c>
      <c r="Q9759" s="893">
        <f t="shared" si="787"/>
        <v>9</v>
      </c>
      <c r="R9759" s="894">
        <f t="shared" si="788"/>
        <v>0</v>
      </c>
    </row>
    <row r="9760" spans="1:18" s="847" customFormat="1">
      <c r="A9760" s="905"/>
      <c r="B9760" s="952"/>
      <c r="C9760" s="907">
        <v>315</v>
      </c>
      <c r="D9760" s="907" t="s">
        <v>279</v>
      </c>
      <c r="E9760" s="992" t="s">
        <v>6316</v>
      </c>
      <c r="F9760" s="905" t="s">
        <v>49</v>
      </c>
      <c r="G9760" s="1005"/>
      <c r="H9760" s="911">
        <v>0.5</v>
      </c>
      <c r="I9760" s="912">
        <f>VLOOKUP(E9760,[3]VLP!$B$7:$K$300,10,0)</f>
        <v>8000</v>
      </c>
      <c r="J9760" s="912">
        <f>I9760*H9760</f>
        <v>4000</v>
      </c>
      <c r="K9760" s="912" t="s">
        <v>274</v>
      </c>
      <c r="L9760" s="912"/>
      <c r="M9760" s="912"/>
      <c r="N9760" s="912"/>
      <c r="O9760" s="892">
        <f t="shared" si="789"/>
        <v>0</v>
      </c>
      <c r="P9760" s="903">
        <f t="shared" si="786"/>
        <v>1</v>
      </c>
      <c r="Q9760" s="893">
        <f t="shared" si="787"/>
        <v>8</v>
      </c>
      <c r="R9760" s="894">
        <f t="shared" si="788"/>
        <v>0</v>
      </c>
    </row>
    <row r="9761" spans="1:18" s="904" customFormat="1">
      <c r="A9761" s="905"/>
      <c r="B9761" s="952"/>
      <c r="C9761" s="907">
        <v>235</v>
      </c>
      <c r="D9761" s="907" t="s">
        <v>279</v>
      </c>
      <c r="E9761" s="992" t="s">
        <v>2682</v>
      </c>
      <c r="F9761" s="905" t="s">
        <v>45</v>
      </c>
      <c r="G9761" s="1005"/>
      <c r="H9761" s="911">
        <v>0.3</v>
      </c>
      <c r="I9761" s="912">
        <f>VLOOKUP(E9761,[3]VLP!$B$7:$K$300,10,0)</f>
        <v>5000</v>
      </c>
      <c r="J9761" s="912">
        <f>I9761*H9761</f>
        <v>1500</v>
      </c>
      <c r="K9761" s="912" t="s">
        <v>274</v>
      </c>
      <c r="L9761" s="912"/>
      <c r="M9761" s="912"/>
      <c r="N9761" s="912"/>
      <c r="O9761" s="892">
        <f t="shared" si="789"/>
        <v>0</v>
      </c>
      <c r="P9761" s="903">
        <f t="shared" si="786"/>
        <v>1</v>
      </c>
      <c r="Q9761" s="893">
        <f t="shared" si="787"/>
        <v>7</v>
      </c>
      <c r="R9761" s="894">
        <f t="shared" si="788"/>
        <v>0</v>
      </c>
    </row>
    <row r="9762" spans="1:18">
      <c r="A9762" s="905"/>
      <c r="B9762" s="952"/>
      <c r="C9762" s="907">
        <v>699</v>
      </c>
      <c r="D9762" s="907" t="s">
        <v>279</v>
      </c>
      <c r="E9762" s="992" t="s">
        <v>4006</v>
      </c>
      <c r="F9762" s="905" t="s">
        <v>4007</v>
      </c>
      <c r="G9762" s="1005"/>
      <c r="H9762" s="911">
        <v>10</v>
      </c>
      <c r="I9762" s="912">
        <f>VLOOKUP(E9762,[3]VLP!$B$7:$K$300,10,0)</f>
        <v>5000</v>
      </c>
      <c r="J9762" s="912">
        <f>I9762*H9762</f>
        <v>50000</v>
      </c>
      <c r="K9762" s="912" t="s">
        <v>274</v>
      </c>
      <c r="L9762" s="912"/>
      <c r="M9762" s="912"/>
      <c r="N9762" s="912"/>
      <c r="O9762" s="892">
        <f t="shared" si="789"/>
        <v>0</v>
      </c>
      <c r="P9762" s="903">
        <f t="shared" si="786"/>
        <v>1</v>
      </c>
      <c r="Q9762" s="893">
        <f t="shared" si="787"/>
        <v>6</v>
      </c>
      <c r="R9762" s="894">
        <f t="shared" si="788"/>
        <v>0</v>
      </c>
    </row>
    <row r="9763" spans="1:18" s="847" customFormat="1">
      <c r="A9763" s="895"/>
      <c r="B9763" s="896"/>
      <c r="C9763" s="897"/>
      <c r="D9763" s="897"/>
      <c r="E9763" s="1002" t="s">
        <v>276</v>
      </c>
      <c r="F9763" s="1003"/>
      <c r="G9763" s="1004"/>
      <c r="H9763" s="901"/>
      <c r="I9763" s="902"/>
      <c r="J9763" s="902"/>
      <c r="K9763" s="912" t="s">
        <v>274</v>
      </c>
      <c r="L9763" s="902"/>
      <c r="M9763" s="902"/>
      <c r="N9763" s="902"/>
      <c r="O9763" s="892">
        <f t="shared" si="789"/>
        <v>0</v>
      </c>
      <c r="P9763" s="903">
        <f t="shared" si="786"/>
        <v>1</v>
      </c>
      <c r="Q9763" s="893">
        <f t="shared" si="787"/>
        <v>5</v>
      </c>
      <c r="R9763" s="894">
        <f t="shared" si="788"/>
        <v>0</v>
      </c>
    </row>
    <row r="9764" spans="1:18" s="904" customFormat="1">
      <c r="A9764" s="905"/>
      <c r="B9764" s="952"/>
      <c r="C9764" s="907">
        <v>740</v>
      </c>
      <c r="D9764" s="907" t="s">
        <v>12</v>
      </c>
      <c r="E9764" s="992" t="s">
        <v>4008</v>
      </c>
      <c r="F9764" s="905" t="s">
        <v>2674</v>
      </c>
      <c r="G9764" s="1005"/>
      <c r="H9764" s="911">
        <v>3.5</v>
      </c>
      <c r="I9764" s="912"/>
      <c r="J9764" s="912"/>
      <c r="K9764" s="912">
        <f>VLOOKUP(E9764,[5]ĐMNC!$A$7:$F$67,4,0)</f>
        <v>221125</v>
      </c>
      <c r="L9764" s="912">
        <f>H9764*K9764</f>
        <v>773937.5</v>
      </c>
      <c r="M9764" s="912"/>
      <c r="N9764" s="912"/>
      <c r="O9764" s="892">
        <f t="shared" si="789"/>
        <v>0</v>
      </c>
      <c r="P9764" s="903">
        <f t="shared" si="786"/>
        <v>1</v>
      </c>
      <c r="Q9764" s="893">
        <f t="shared" si="787"/>
        <v>4</v>
      </c>
      <c r="R9764" s="894">
        <f t="shared" si="788"/>
        <v>0</v>
      </c>
    </row>
    <row r="9765" spans="1:18">
      <c r="A9765" s="895"/>
      <c r="B9765" s="896"/>
      <c r="C9765" s="897"/>
      <c r="D9765" s="897"/>
      <c r="E9765" s="1002" t="s">
        <v>3914</v>
      </c>
      <c r="F9765" s="895"/>
      <c r="G9765" s="1004"/>
      <c r="H9765" s="901"/>
      <c r="I9765" s="902"/>
      <c r="J9765" s="902"/>
      <c r="K9765" s="912" t="s">
        <v>274</v>
      </c>
      <c r="L9765" s="902"/>
      <c r="M9765" s="902"/>
      <c r="N9765" s="902"/>
      <c r="O9765" s="892">
        <f t="shared" si="789"/>
        <v>0</v>
      </c>
      <c r="P9765" s="903">
        <f t="shared" si="786"/>
        <v>1</v>
      </c>
      <c r="Q9765" s="893">
        <f t="shared" si="787"/>
        <v>3</v>
      </c>
      <c r="R9765" s="894">
        <f t="shared" si="788"/>
        <v>0</v>
      </c>
    </row>
    <row r="9766" spans="1:18" s="847" customFormat="1">
      <c r="A9766" s="905"/>
      <c r="B9766" s="952" t="s">
        <v>6424</v>
      </c>
      <c r="C9766" s="907">
        <v>911</v>
      </c>
      <c r="D9766" s="907" t="s">
        <v>93</v>
      </c>
      <c r="E9766" s="992" t="s">
        <v>6425</v>
      </c>
      <c r="F9766" s="905" t="s">
        <v>2673</v>
      </c>
      <c r="G9766" s="1005"/>
      <c r="H9766" s="911">
        <v>0.62</v>
      </c>
      <c r="I9766" s="912"/>
      <c r="J9766" s="912"/>
      <c r="K9766" s="912"/>
      <c r="L9766" s="912"/>
      <c r="M9766" s="912">
        <f>VLOOKUP(B9766,MTC!$B$9:$S$933,12,0)</f>
        <v>0</v>
      </c>
      <c r="N9766" s="912">
        <f>M9766*H9766</f>
        <v>0</v>
      </c>
      <c r="O9766" s="892">
        <f t="shared" si="789"/>
        <v>0</v>
      </c>
      <c r="P9766" s="903">
        <f t="shared" si="786"/>
        <v>1</v>
      </c>
      <c r="Q9766" s="893">
        <f t="shared" si="787"/>
        <v>2</v>
      </c>
      <c r="R9766" s="894">
        <f t="shared" si="788"/>
        <v>0</v>
      </c>
    </row>
    <row r="9767" spans="1:18" s="904" customFormat="1">
      <c r="A9767" s="905"/>
      <c r="B9767" s="952" t="s">
        <v>6414</v>
      </c>
      <c r="C9767" s="907">
        <v>914</v>
      </c>
      <c r="D9767" s="907" t="s">
        <v>93</v>
      </c>
      <c r="E9767" s="992" t="s">
        <v>6415</v>
      </c>
      <c r="F9767" s="905" t="s">
        <v>2673</v>
      </c>
      <c r="G9767" s="1005"/>
      <c r="H9767" s="911">
        <v>0.1</v>
      </c>
      <c r="I9767" s="912"/>
      <c r="J9767" s="912"/>
      <c r="K9767" s="912"/>
      <c r="L9767" s="912"/>
      <c r="M9767" s="912">
        <f>VLOOKUP(B9767,MTC!$B$9:$S$933,12,0)</f>
        <v>0</v>
      </c>
      <c r="N9767" s="912">
        <f>M9767*H9767</f>
        <v>0</v>
      </c>
      <c r="O9767" s="892">
        <f t="shared" si="789"/>
        <v>0</v>
      </c>
      <c r="P9767" s="903">
        <f t="shared" si="786"/>
        <v>1</v>
      </c>
      <c r="Q9767" s="893">
        <f t="shared" si="787"/>
        <v>1</v>
      </c>
      <c r="R9767" s="894">
        <f t="shared" si="788"/>
        <v>0</v>
      </c>
    </row>
    <row r="9768" spans="1:18" ht="47.25">
      <c r="A9768" s="905">
        <v>105</v>
      </c>
      <c r="B9768" s="914" t="s">
        <v>6560</v>
      </c>
      <c r="C9768" s="915"/>
      <c r="D9768" s="915"/>
      <c r="E9768" s="1006" t="s">
        <v>6561</v>
      </c>
      <c r="F9768" s="1007" t="s">
        <v>136</v>
      </c>
      <c r="G9768" s="1008"/>
      <c r="H9768" s="919"/>
      <c r="I9768" s="920"/>
      <c r="J9768" s="962">
        <f>SUM(J9769:J9777)</f>
        <v>55500</v>
      </c>
      <c r="K9768" s="891" t="s">
        <v>274</v>
      </c>
      <c r="L9768" s="962">
        <f>SUM(L9769:L9777)</f>
        <v>928725</v>
      </c>
      <c r="M9768" s="962"/>
      <c r="N9768" s="962">
        <f>SUM(N9769:N9777)</f>
        <v>0</v>
      </c>
      <c r="O9768" s="892">
        <f t="shared" si="789"/>
        <v>1</v>
      </c>
      <c r="P9768" s="903">
        <f t="shared" si="786"/>
        <v>0</v>
      </c>
      <c r="Q9768" s="893">
        <f t="shared" si="787"/>
        <v>0</v>
      </c>
      <c r="R9768" s="894">
        <f t="shared" si="788"/>
        <v>9</v>
      </c>
    </row>
    <row r="9769" spans="1:18" s="847" customFormat="1">
      <c r="A9769" s="895"/>
      <c r="B9769" s="896"/>
      <c r="C9769" s="897"/>
      <c r="D9769" s="897"/>
      <c r="E9769" s="1002" t="s">
        <v>108</v>
      </c>
      <c r="F9769" s="895"/>
      <c r="G9769" s="1004"/>
      <c r="H9769" s="901"/>
      <c r="I9769" s="902"/>
      <c r="J9769" s="902"/>
      <c r="K9769" s="912" t="s">
        <v>274</v>
      </c>
      <c r="L9769" s="902"/>
      <c r="M9769" s="902"/>
      <c r="N9769" s="902"/>
      <c r="O9769" s="892">
        <f t="shared" si="789"/>
        <v>0</v>
      </c>
      <c r="P9769" s="903">
        <f t="shared" si="786"/>
        <v>1</v>
      </c>
      <c r="Q9769" s="893">
        <f t="shared" si="787"/>
        <v>9</v>
      </c>
      <c r="R9769" s="894">
        <f t="shared" si="788"/>
        <v>0</v>
      </c>
    </row>
    <row r="9770" spans="1:18" s="904" customFormat="1">
      <c r="A9770" s="905"/>
      <c r="B9770" s="952"/>
      <c r="C9770" s="907">
        <v>315</v>
      </c>
      <c r="D9770" s="907" t="s">
        <v>279</v>
      </c>
      <c r="E9770" s="992" t="s">
        <v>6316</v>
      </c>
      <c r="F9770" s="905" t="s">
        <v>49</v>
      </c>
      <c r="G9770" s="1005"/>
      <c r="H9770" s="911">
        <v>0.5</v>
      </c>
      <c r="I9770" s="912">
        <f>VLOOKUP(E9770,[3]VLP!$B$7:$K$300,10,0)</f>
        <v>8000</v>
      </c>
      <c r="J9770" s="912">
        <f>I9770*H9770</f>
        <v>4000</v>
      </c>
      <c r="K9770" s="912" t="s">
        <v>274</v>
      </c>
      <c r="L9770" s="912"/>
      <c r="M9770" s="912"/>
      <c r="N9770" s="912"/>
      <c r="O9770" s="892">
        <f t="shared" si="789"/>
        <v>0</v>
      </c>
      <c r="P9770" s="903">
        <f t="shared" si="786"/>
        <v>1</v>
      </c>
      <c r="Q9770" s="893">
        <f t="shared" si="787"/>
        <v>8</v>
      </c>
      <c r="R9770" s="894">
        <f t="shared" si="788"/>
        <v>0</v>
      </c>
    </row>
    <row r="9771" spans="1:18">
      <c r="A9771" s="905"/>
      <c r="B9771" s="952"/>
      <c r="C9771" s="907">
        <v>235</v>
      </c>
      <c r="D9771" s="907" t="s">
        <v>279</v>
      </c>
      <c r="E9771" s="992" t="s">
        <v>2682</v>
      </c>
      <c r="F9771" s="905" t="s">
        <v>45</v>
      </c>
      <c r="G9771" s="1005"/>
      <c r="H9771" s="911">
        <v>0.3</v>
      </c>
      <c r="I9771" s="912">
        <f>VLOOKUP(E9771,[3]VLP!$B$7:$K$300,10,0)</f>
        <v>5000</v>
      </c>
      <c r="J9771" s="912">
        <f>I9771*H9771</f>
        <v>1500</v>
      </c>
      <c r="K9771" s="912" t="s">
        <v>274</v>
      </c>
      <c r="L9771" s="912"/>
      <c r="M9771" s="912"/>
      <c r="N9771" s="912"/>
      <c r="O9771" s="892">
        <f t="shared" si="789"/>
        <v>0</v>
      </c>
      <c r="P9771" s="903">
        <f t="shared" si="786"/>
        <v>1</v>
      </c>
      <c r="Q9771" s="893">
        <f t="shared" si="787"/>
        <v>7</v>
      </c>
      <c r="R9771" s="894">
        <f t="shared" si="788"/>
        <v>0</v>
      </c>
    </row>
    <row r="9772" spans="1:18" s="847" customFormat="1">
      <c r="A9772" s="905"/>
      <c r="B9772" s="952"/>
      <c r="C9772" s="907">
        <v>699</v>
      </c>
      <c r="D9772" s="907" t="s">
        <v>279</v>
      </c>
      <c r="E9772" s="992" t="s">
        <v>4006</v>
      </c>
      <c r="F9772" s="905" t="s">
        <v>4007</v>
      </c>
      <c r="G9772" s="1005"/>
      <c r="H9772" s="911">
        <v>10</v>
      </c>
      <c r="I9772" s="912">
        <f>VLOOKUP(E9772,[3]VLP!$B$7:$K$300,10,0)</f>
        <v>5000</v>
      </c>
      <c r="J9772" s="912">
        <f>I9772*H9772</f>
        <v>50000</v>
      </c>
      <c r="K9772" s="912" t="s">
        <v>274</v>
      </c>
      <c r="L9772" s="912"/>
      <c r="M9772" s="912"/>
      <c r="N9772" s="912"/>
      <c r="O9772" s="892">
        <f t="shared" si="789"/>
        <v>0</v>
      </c>
      <c r="P9772" s="903">
        <f t="shared" si="786"/>
        <v>1</v>
      </c>
      <c r="Q9772" s="893">
        <f t="shared" si="787"/>
        <v>6</v>
      </c>
      <c r="R9772" s="894">
        <f t="shared" si="788"/>
        <v>0</v>
      </c>
    </row>
    <row r="9773" spans="1:18" s="904" customFormat="1">
      <c r="A9773" s="895"/>
      <c r="B9773" s="896"/>
      <c r="C9773" s="897"/>
      <c r="D9773" s="897"/>
      <c r="E9773" s="1002" t="s">
        <v>276</v>
      </c>
      <c r="F9773" s="1003"/>
      <c r="G9773" s="1004"/>
      <c r="H9773" s="901"/>
      <c r="I9773" s="902"/>
      <c r="J9773" s="902"/>
      <c r="K9773" s="912" t="s">
        <v>274</v>
      </c>
      <c r="L9773" s="902"/>
      <c r="M9773" s="902"/>
      <c r="N9773" s="902"/>
      <c r="O9773" s="892">
        <f t="shared" si="789"/>
        <v>0</v>
      </c>
      <c r="P9773" s="903">
        <f t="shared" si="786"/>
        <v>1</v>
      </c>
      <c r="Q9773" s="893">
        <f t="shared" si="787"/>
        <v>5</v>
      </c>
      <c r="R9773" s="894">
        <f t="shared" si="788"/>
        <v>0</v>
      </c>
    </row>
    <row r="9774" spans="1:18">
      <c r="A9774" s="905"/>
      <c r="B9774" s="952"/>
      <c r="C9774" s="907">
        <v>740</v>
      </c>
      <c r="D9774" s="907" t="s">
        <v>12</v>
      </c>
      <c r="E9774" s="992" t="s">
        <v>4008</v>
      </c>
      <c r="F9774" s="905" t="s">
        <v>2674</v>
      </c>
      <c r="G9774" s="1005"/>
      <c r="H9774" s="911">
        <v>4.2</v>
      </c>
      <c r="I9774" s="912"/>
      <c r="J9774" s="912"/>
      <c r="K9774" s="912">
        <f>VLOOKUP(E9774,[5]ĐMNC!$A$7:$F$67,4,0)</f>
        <v>221125</v>
      </c>
      <c r="L9774" s="912">
        <f>H9774*K9774</f>
        <v>928725</v>
      </c>
      <c r="M9774" s="912"/>
      <c r="N9774" s="912"/>
      <c r="O9774" s="892">
        <f t="shared" si="789"/>
        <v>0</v>
      </c>
      <c r="P9774" s="903">
        <f t="shared" si="786"/>
        <v>1</v>
      </c>
      <c r="Q9774" s="893">
        <f t="shared" si="787"/>
        <v>4</v>
      </c>
      <c r="R9774" s="894">
        <f t="shared" si="788"/>
        <v>0</v>
      </c>
    </row>
    <row r="9775" spans="1:18" s="847" customFormat="1">
      <c r="A9775" s="895"/>
      <c r="B9775" s="896"/>
      <c r="C9775" s="897"/>
      <c r="D9775" s="897"/>
      <c r="E9775" s="1002" t="s">
        <v>3914</v>
      </c>
      <c r="F9775" s="895"/>
      <c r="G9775" s="1004"/>
      <c r="H9775" s="901"/>
      <c r="I9775" s="902"/>
      <c r="J9775" s="902"/>
      <c r="K9775" s="912" t="s">
        <v>274</v>
      </c>
      <c r="L9775" s="902"/>
      <c r="M9775" s="902"/>
      <c r="N9775" s="902"/>
      <c r="O9775" s="892">
        <f t="shared" si="789"/>
        <v>0</v>
      </c>
      <c r="P9775" s="903">
        <f t="shared" si="786"/>
        <v>1</v>
      </c>
      <c r="Q9775" s="893">
        <f t="shared" si="787"/>
        <v>3</v>
      </c>
      <c r="R9775" s="894">
        <f t="shared" si="788"/>
        <v>0</v>
      </c>
    </row>
    <row r="9776" spans="1:18" s="904" customFormat="1">
      <c r="A9776" s="905"/>
      <c r="B9776" s="952" t="s">
        <v>6424</v>
      </c>
      <c r="C9776" s="907">
        <v>911</v>
      </c>
      <c r="D9776" s="907" t="s">
        <v>93</v>
      </c>
      <c r="E9776" s="992" t="s">
        <v>6425</v>
      </c>
      <c r="F9776" s="905" t="s">
        <v>2673</v>
      </c>
      <c r="G9776" s="1005"/>
      <c r="H9776" s="911">
        <v>0.82</v>
      </c>
      <c r="I9776" s="912"/>
      <c r="J9776" s="912"/>
      <c r="K9776" s="912"/>
      <c r="L9776" s="912"/>
      <c r="M9776" s="912">
        <f>VLOOKUP(B9776,MTC!$B$9:$S$933,12,0)</f>
        <v>0</v>
      </c>
      <c r="N9776" s="912">
        <f>M9776*H9776</f>
        <v>0</v>
      </c>
      <c r="O9776" s="892">
        <f t="shared" si="789"/>
        <v>0</v>
      </c>
      <c r="P9776" s="903">
        <f t="shared" si="786"/>
        <v>1</v>
      </c>
      <c r="Q9776" s="893">
        <f t="shared" si="787"/>
        <v>2</v>
      </c>
      <c r="R9776" s="894">
        <f t="shared" si="788"/>
        <v>0</v>
      </c>
    </row>
    <row r="9777" spans="1:18">
      <c r="A9777" s="905"/>
      <c r="B9777" s="952" t="s">
        <v>6414</v>
      </c>
      <c r="C9777" s="907">
        <v>914</v>
      </c>
      <c r="D9777" s="907" t="s">
        <v>93</v>
      </c>
      <c r="E9777" s="992" t="s">
        <v>6415</v>
      </c>
      <c r="F9777" s="905" t="s">
        <v>2673</v>
      </c>
      <c r="G9777" s="1005"/>
      <c r="H9777" s="911">
        <v>0.1</v>
      </c>
      <c r="I9777" s="912"/>
      <c r="J9777" s="912"/>
      <c r="K9777" s="912"/>
      <c r="L9777" s="912"/>
      <c r="M9777" s="912">
        <f>VLOOKUP(B9777,MTC!$B$9:$S$933,12,0)</f>
        <v>0</v>
      </c>
      <c r="N9777" s="912">
        <f>M9777*H9777</f>
        <v>0</v>
      </c>
      <c r="O9777" s="892">
        <f t="shared" si="789"/>
        <v>0</v>
      </c>
      <c r="P9777" s="903">
        <f t="shared" si="786"/>
        <v>1</v>
      </c>
      <c r="Q9777" s="893">
        <f t="shared" si="787"/>
        <v>1</v>
      </c>
      <c r="R9777" s="894">
        <f t="shared" si="788"/>
        <v>0</v>
      </c>
    </row>
    <row r="9778" spans="1:18" s="847" customFormat="1" ht="47.25">
      <c r="A9778" s="905" t="s">
        <v>6541</v>
      </c>
      <c r="B9778" s="914" t="s">
        <v>6562</v>
      </c>
      <c r="C9778" s="915"/>
      <c r="D9778" s="915"/>
      <c r="E9778" s="1006" t="s">
        <v>6563</v>
      </c>
      <c r="F9778" s="1007" t="s">
        <v>136</v>
      </c>
      <c r="G9778" s="1008"/>
      <c r="H9778" s="919"/>
      <c r="I9778" s="920"/>
      <c r="J9778" s="962">
        <f>SUM(J9779:J9787)</f>
        <v>55500</v>
      </c>
      <c r="K9778" s="891" t="s">
        <v>274</v>
      </c>
      <c r="L9778" s="962">
        <f>SUM(L9779:L9787)</f>
        <v>442250</v>
      </c>
      <c r="M9778" s="962"/>
      <c r="N9778" s="962">
        <f>SUM(N9779:N9787)</f>
        <v>0</v>
      </c>
      <c r="O9778" s="892">
        <f t="shared" si="789"/>
        <v>1</v>
      </c>
      <c r="P9778" s="903">
        <f t="shared" si="786"/>
        <v>0</v>
      </c>
      <c r="Q9778" s="893">
        <f t="shared" si="787"/>
        <v>0</v>
      </c>
      <c r="R9778" s="894">
        <f t="shared" si="788"/>
        <v>9</v>
      </c>
    </row>
    <row r="9779" spans="1:18" s="904" customFormat="1">
      <c r="A9779" s="895"/>
      <c r="B9779" s="896"/>
      <c r="C9779" s="897"/>
      <c r="D9779" s="897"/>
      <c r="E9779" s="1002" t="s">
        <v>108</v>
      </c>
      <c r="F9779" s="895"/>
      <c r="G9779" s="1004"/>
      <c r="H9779" s="901"/>
      <c r="I9779" s="902"/>
      <c r="J9779" s="902"/>
      <c r="K9779" s="912" t="s">
        <v>274</v>
      </c>
      <c r="L9779" s="902"/>
      <c r="M9779" s="902"/>
      <c r="N9779" s="902"/>
      <c r="O9779" s="892">
        <f t="shared" si="789"/>
        <v>0</v>
      </c>
      <c r="P9779" s="903">
        <f t="shared" ref="P9779:P9842" si="790">IF(O9779=0,1,0)</f>
        <v>1</v>
      </c>
      <c r="Q9779" s="893">
        <f t="shared" ref="Q9779:Q9842" si="791">IF(P9779=0,0,P9779+Q9780)</f>
        <v>9</v>
      </c>
      <c r="R9779" s="894">
        <f t="shared" ref="R9779:R9842" si="792">IF(Q9779=0,Q9780,0)</f>
        <v>0</v>
      </c>
    </row>
    <row r="9780" spans="1:18">
      <c r="A9780" s="905"/>
      <c r="B9780" s="952"/>
      <c r="C9780" s="907">
        <v>315</v>
      </c>
      <c r="D9780" s="907" t="s">
        <v>279</v>
      </c>
      <c r="E9780" s="992" t="s">
        <v>6316</v>
      </c>
      <c r="F9780" s="905" t="s">
        <v>49</v>
      </c>
      <c r="G9780" s="1005"/>
      <c r="H9780" s="911">
        <v>0.5</v>
      </c>
      <c r="I9780" s="912">
        <f>VLOOKUP(E9780,[3]VLP!$B$7:$K$300,10,0)</f>
        <v>8000</v>
      </c>
      <c r="J9780" s="912">
        <f>I9780*H9780</f>
        <v>4000</v>
      </c>
      <c r="K9780" s="912" t="s">
        <v>274</v>
      </c>
      <c r="L9780" s="912"/>
      <c r="M9780" s="912"/>
      <c r="N9780" s="912"/>
      <c r="O9780" s="892">
        <f t="shared" si="789"/>
        <v>0</v>
      </c>
      <c r="P9780" s="903">
        <f t="shared" si="790"/>
        <v>1</v>
      </c>
      <c r="Q9780" s="893">
        <f t="shared" si="791"/>
        <v>8</v>
      </c>
      <c r="R9780" s="894">
        <f t="shared" si="792"/>
        <v>0</v>
      </c>
    </row>
    <row r="9781" spans="1:18" s="847" customFormat="1">
      <c r="A9781" s="905"/>
      <c r="B9781" s="952"/>
      <c r="C9781" s="907">
        <v>235</v>
      </c>
      <c r="D9781" s="907" t="s">
        <v>279</v>
      </c>
      <c r="E9781" s="992" t="s">
        <v>2682</v>
      </c>
      <c r="F9781" s="905" t="s">
        <v>45</v>
      </c>
      <c r="G9781" s="1005"/>
      <c r="H9781" s="911">
        <v>0.3</v>
      </c>
      <c r="I9781" s="912">
        <f>VLOOKUP(E9781,[3]VLP!$B$7:$K$300,10,0)</f>
        <v>5000</v>
      </c>
      <c r="J9781" s="912">
        <f>I9781*H9781</f>
        <v>1500</v>
      </c>
      <c r="K9781" s="912" t="s">
        <v>274</v>
      </c>
      <c r="L9781" s="912"/>
      <c r="M9781" s="912"/>
      <c r="N9781" s="912"/>
      <c r="O9781" s="892">
        <f t="shared" si="789"/>
        <v>0</v>
      </c>
      <c r="P9781" s="903">
        <f t="shared" si="790"/>
        <v>1</v>
      </c>
      <c r="Q9781" s="893">
        <f t="shared" si="791"/>
        <v>7</v>
      </c>
      <c r="R9781" s="894">
        <f t="shared" si="792"/>
        <v>0</v>
      </c>
    </row>
    <row r="9782" spans="1:18" s="904" customFormat="1">
      <c r="A9782" s="905"/>
      <c r="B9782" s="952"/>
      <c r="C9782" s="907">
        <v>699</v>
      </c>
      <c r="D9782" s="907" t="s">
        <v>279</v>
      </c>
      <c r="E9782" s="992" t="s">
        <v>4006</v>
      </c>
      <c r="F9782" s="905" t="s">
        <v>4007</v>
      </c>
      <c r="G9782" s="1005"/>
      <c r="H9782" s="911">
        <v>10</v>
      </c>
      <c r="I9782" s="912">
        <f>VLOOKUP(E9782,[3]VLP!$B$7:$K$300,10,0)</f>
        <v>5000</v>
      </c>
      <c r="J9782" s="912">
        <f>I9782*H9782</f>
        <v>50000</v>
      </c>
      <c r="K9782" s="912" t="s">
        <v>274</v>
      </c>
      <c r="L9782" s="912"/>
      <c r="M9782" s="912"/>
      <c r="N9782" s="912"/>
      <c r="O9782" s="892">
        <f t="shared" si="789"/>
        <v>0</v>
      </c>
      <c r="P9782" s="903">
        <f t="shared" si="790"/>
        <v>1</v>
      </c>
      <c r="Q9782" s="893">
        <f t="shared" si="791"/>
        <v>6</v>
      </c>
      <c r="R9782" s="894">
        <f t="shared" si="792"/>
        <v>0</v>
      </c>
    </row>
    <row r="9783" spans="1:18">
      <c r="A9783" s="895"/>
      <c r="B9783" s="896"/>
      <c r="C9783" s="897"/>
      <c r="D9783" s="897"/>
      <c r="E9783" s="1002" t="s">
        <v>276</v>
      </c>
      <c r="F9783" s="1003"/>
      <c r="G9783" s="1004"/>
      <c r="H9783" s="901"/>
      <c r="I9783" s="902"/>
      <c r="J9783" s="902"/>
      <c r="K9783" s="912" t="s">
        <v>274</v>
      </c>
      <c r="L9783" s="902"/>
      <c r="M9783" s="902"/>
      <c r="N9783" s="902"/>
      <c r="O9783" s="892">
        <f t="shared" si="789"/>
        <v>0</v>
      </c>
      <c r="P9783" s="903">
        <f t="shared" si="790"/>
        <v>1</v>
      </c>
      <c r="Q9783" s="893">
        <f t="shared" si="791"/>
        <v>5</v>
      </c>
      <c r="R9783" s="894">
        <f t="shared" si="792"/>
        <v>0</v>
      </c>
    </row>
    <row r="9784" spans="1:18" s="847" customFormat="1">
      <c r="A9784" s="905"/>
      <c r="B9784" s="952"/>
      <c r="C9784" s="907">
        <v>740</v>
      </c>
      <c r="D9784" s="907" t="s">
        <v>12</v>
      </c>
      <c r="E9784" s="992" t="s">
        <v>4008</v>
      </c>
      <c r="F9784" s="905" t="s">
        <v>2674</v>
      </c>
      <c r="G9784" s="1005"/>
      <c r="H9784" s="911">
        <v>2</v>
      </c>
      <c r="I9784" s="912"/>
      <c r="J9784" s="912"/>
      <c r="K9784" s="912">
        <f>VLOOKUP(E9784,[5]ĐMNC!$A$7:$F$67,4,0)</f>
        <v>221125</v>
      </c>
      <c r="L9784" s="912">
        <f>H9784*K9784</f>
        <v>442250</v>
      </c>
      <c r="M9784" s="912"/>
      <c r="N9784" s="912"/>
      <c r="O9784" s="892">
        <f t="shared" si="789"/>
        <v>0</v>
      </c>
      <c r="P9784" s="903">
        <f t="shared" si="790"/>
        <v>1</v>
      </c>
      <c r="Q9784" s="893">
        <f t="shared" si="791"/>
        <v>4</v>
      </c>
      <c r="R9784" s="894">
        <f t="shared" si="792"/>
        <v>0</v>
      </c>
    </row>
    <row r="9785" spans="1:18" s="904" customFormat="1">
      <c r="A9785" s="895"/>
      <c r="B9785" s="896"/>
      <c r="C9785" s="897"/>
      <c r="D9785" s="897"/>
      <c r="E9785" s="1002" t="s">
        <v>3914</v>
      </c>
      <c r="F9785" s="895"/>
      <c r="G9785" s="1004"/>
      <c r="H9785" s="901"/>
      <c r="I9785" s="902"/>
      <c r="J9785" s="902"/>
      <c r="K9785" s="912" t="s">
        <v>274</v>
      </c>
      <c r="L9785" s="902"/>
      <c r="M9785" s="902"/>
      <c r="N9785" s="902"/>
      <c r="O9785" s="892">
        <f t="shared" si="789"/>
        <v>0</v>
      </c>
      <c r="P9785" s="903">
        <f t="shared" si="790"/>
        <v>1</v>
      </c>
      <c r="Q9785" s="893">
        <f t="shared" si="791"/>
        <v>3</v>
      </c>
      <c r="R9785" s="894">
        <f t="shared" si="792"/>
        <v>0</v>
      </c>
    </row>
    <row r="9786" spans="1:18">
      <c r="A9786" s="905"/>
      <c r="B9786" s="952" t="s">
        <v>6434</v>
      </c>
      <c r="C9786" s="907">
        <v>912</v>
      </c>
      <c r="D9786" s="907" t="s">
        <v>93</v>
      </c>
      <c r="E9786" s="992" t="s">
        <v>6435</v>
      </c>
      <c r="F9786" s="905" t="s">
        <v>2673</v>
      </c>
      <c r="G9786" s="1005"/>
      <c r="H9786" s="911">
        <v>0.185</v>
      </c>
      <c r="I9786" s="912"/>
      <c r="J9786" s="912"/>
      <c r="K9786" s="912"/>
      <c r="L9786" s="912"/>
      <c r="M9786" s="912">
        <f>VLOOKUP(B9786,MTC!$B$9:$S$933,12,0)</f>
        <v>0</v>
      </c>
      <c r="N9786" s="912">
        <f>M9786*H9786</f>
        <v>0</v>
      </c>
      <c r="O9786" s="892">
        <f t="shared" si="789"/>
        <v>0</v>
      </c>
      <c r="P9786" s="903">
        <f t="shared" si="790"/>
        <v>1</v>
      </c>
      <c r="Q9786" s="893">
        <f t="shared" si="791"/>
        <v>2</v>
      </c>
      <c r="R9786" s="894">
        <f t="shared" si="792"/>
        <v>0</v>
      </c>
    </row>
    <row r="9787" spans="1:18" s="847" customFormat="1">
      <c r="A9787" s="905"/>
      <c r="B9787" s="952" t="s">
        <v>6414</v>
      </c>
      <c r="C9787" s="907">
        <v>914</v>
      </c>
      <c r="D9787" s="907" t="s">
        <v>93</v>
      </c>
      <c r="E9787" s="992" t="s">
        <v>6415</v>
      </c>
      <c r="F9787" s="905" t="s">
        <v>2673</v>
      </c>
      <c r="G9787" s="1005"/>
      <c r="H9787" s="911">
        <v>0.1</v>
      </c>
      <c r="I9787" s="912"/>
      <c r="J9787" s="912"/>
      <c r="K9787" s="912"/>
      <c r="L9787" s="912"/>
      <c r="M9787" s="912">
        <f>VLOOKUP(B9787,MTC!$B$9:$S$933,12,0)</f>
        <v>0</v>
      </c>
      <c r="N9787" s="912">
        <f>M9787*H9787</f>
        <v>0</v>
      </c>
      <c r="O9787" s="892">
        <f t="shared" si="789"/>
        <v>0</v>
      </c>
      <c r="P9787" s="903">
        <f t="shared" si="790"/>
        <v>1</v>
      </c>
      <c r="Q9787" s="893">
        <f t="shared" si="791"/>
        <v>1</v>
      </c>
      <c r="R9787" s="894">
        <f t="shared" si="792"/>
        <v>0</v>
      </c>
    </row>
    <row r="9788" spans="1:18" s="904" customFormat="1" ht="47.25">
      <c r="A9788" s="905">
        <v>107</v>
      </c>
      <c r="B9788" s="914" t="s">
        <v>6564</v>
      </c>
      <c r="C9788" s="915"/>
      <c r="D9788" s="915"/>
      <c r="E9788" s="1006" t="s">
        <v>6565</v>
      </c>
      <c r="F9788" s="1007" t="s">
        <v>136</v>
      </c>
      <c r="G9788" s="1008"/>
      <c r="H9788" s="919"/>
      <c r="I9788" s="920"/>
      <c r="J9788" s="962">
        <f>SUM(J9789:J9797)</f>
        <v>55500</v>
      </c>
      <c r="K9788" s="891" t="s">
        <v>274</v>
      </c>
      <c r="L9788" s="962">
        <f>SUM(L9789:L9797)</f>
        <v>552812.5</v>
      </c>
      <c r="M9788" s="962"/>
      <c r="N9788" s="962">
        <f>SUM(N9789:N9797)</f>
        <v>0</v>
      </c>
      <c r="O9788" s="892">
        <f t="shared" si="789"/>
        <v>1</v>
      </c>
      <c r="P9788" s="903">
        <f t="shared" si="790"/>
        <v>0</v>
      </c>
      <c r="Q9788" s="893">
        <f t="shared" si="791"/>
        <v>0</v>
      </c>
      <c r="R9788" s="894">
        <f t="shared" si="792"/>
        <v>9</v>
      </c>
    </row>
    <row r="9789" spans="1:18">
      <c r="A9789" s="895"/>
      <c r="B9789" s="896"/>
      <c r="C9789" s="897"/>
      <c r="D9789" s="897"/>
      <c r="E9789" s="1002" t="s">
        <v>108</v>
      </c>
      <c r="F9789" s="895"/>
      <c r="G9789" s="1004"/>
      <c r="H9789" s="901"/>
      <c r="I9789" s="902"/>
      <c r="J9789" s="902"/>
      <c r="K9789" s="912" t="s">
        <v>274</v>
      </c>
      <c r="L9789" s="902"/>
      <c r="M9789" s="902"/>
      <c r="N9789" s="902"/>
      <c r="O9789" s="892">
        <f t="shared" si="789"/>
        <v>0</v>
      </c>
      <c r="P9789" s="903">
        <f t="shared" si="790"/>
        <v>1</v>
      </c>
      <c r="Q9789" s="893">
        <f t="shared" si="791"/>
        <v>9</v>
      </c>
      <c r="R9789" s="894">
        <f t="shared" si="792"/>
        <v>0</v>
      </c>
    </row>
    <row r="9790" spans="1:18" s="847" customFormat="1">
      <c r="A9790" s="905"/>
      <c r="B9790" s="952"/>
      <c r="C9790" s="907">
        <v>315</v>
      </c>
      <c r="D9790" s="907" t="s">
        <v>279</v>
      </c>
      <c r="E9790" s="992" t="s">
        <v>6316</v>
      </c>
      <c r="F9790" s="905" t="s">
        <v>49</v>
      </c>
      <c r="G9790" s="1005"/>
      <c r="H9790" s="911">
        <v>0.5</v>
      </c>
      <c r="I9790" s="912">
        <f>VLOOKUP(E9790,[3]VLP!$B$7:$K$300,10,0)</f>
        <v>8000</v>
      </c>
      <c r="J9790" s="912">
        <f>I9790*H9790</f>
        <v>4000</v>
      </c>
      <c r="K9790" s="912" t="s">
        <v>274</v>
      </c>
      <c r="L9790" s="912"/>
      <c r="M9790" s="912"/>
      <c r="N9790" s="912"/>
      <c r="O9790" s="892">
        <f t="shared" si="789"/>
        <v>0</v>
      </c>
      <c r="P9790" s="903">
        <f t="shared" si="790"/>
        <v>1</v>
      </c>
      <c r="Q9790" s="893">
        <f t="shared" si="791"/>
        <v>8</v>
      </c>
      <c r="R9790" s="894">
        <f t="shared" si="792"/>
        <v>0</v>
      </c>
    </row>
    <row r="9791" spans="1:18" s="904" customFormat="1">
      <c r="A9791" s="905"/>
      <c r="B9791" s="952"/>
      <c r="C9791" s="907">
        <v>235</v>
      </c>
      <c r="D9791" s="907" t="s">
        <v>279</v>
      </c>
      <c r="E9791" s="992" t="s">
        <v>2682</v>
      </c>
      <c r="F9791" s="905" t="s">
        <v>45</v>
      </c>
      <c r="G9791" s="1005"/>
      <c r="H9791" s="911">
        <v>0.3</v>
      </c>
      <c r="I9791" s="912">
        <f>VLOOKUP(E9791,[3]VLP!$B$7:$K$300,10,0)</f>
        <v>5000</v>
      </c>
      <c r="J9791" s="912">
        <f>I9791*H9791</f>
        <v>1500</v>
      </c>
      <c r="K9791" s="912" t="s">
        <v>274</v>
      </c>
      <c r="L9791" s="912"/>
      <c r="M9791" s="912"/>
      <c r="N9791" s="912"/>
      <c r="O9791" s="892">
        <f t="shared" si="789"/>
        <v>0</v>
      </c>
      <c r="P9791" s="903">
        <f t="shared" si="790"/>
        <v>1</v>
      </c>
      <c r="Q9791" s="893">
        <f t="shared" si="791"/>
        <v>7</v>
      </c>
      <c r="R9791" s="894">
        <f t="shared" si="792"/>
        <v>0</v>
      </c>
    </row>
    <row r="9792" spans="1:18">
      <c r="A9792" s="905"/>
      <c r="B9792" s="952"/>
      <c r="C9792" s="907">
        <v>699</v>
      </c>
      <c r="D9792" s="907" t="s">
        <v>279</v>
      </c>
      <c r="E9792" s="992" t="s">
        <v>4006</v>
      </c>
      <c r="F9792" s="905" t="s">
        <v>4007</v>
      </c>
      <c r="G9792" s="1005"/>
      <c r="H9792" s="911">
        <v>10</v>
      </c>
      <c r="I9792" s="912">
        <f>VLOOKUP(E9792,[3]VLP!$B$7:$K$300,10,0)</f>
        <v>5000</v>
      </c>
      <c r="J9792" s="912">
        <f>I9792*H9792</f>
        <v>50000</v>
      </c>
      <c r="K9792" s="912" t="s">
        <v>274</v>
      </c>
      <c r="L9792" s="912"/>
      <c r="M9792" s="912"/>
      <c r="N9792" s="912"/>
      <c r="O9792" s="892">
        <f t="shared" si="789"/>
        <v>0</v>
      </c>
      <c r="P9792" s="903">
        <f t="shared" si="790"/>
        <v>1</v>
      </c>
      <c r="Q9792" s="893">
        <f t="shared" si="791"/>
        <v>6</v>
      </c>
      <c r="R9792" s="894">
        <f t="shared" si="792"/>
        <v>0</v>
      </c>
    </row>
    <row r="9793" spans="1:18" s="847" customFormat="1">
      <c r="A9793" s="895"/>
      <c r="B9793" s="896"/>
      <c r="C9793" s="897"/>
      <c r="D9793" s="897"/>
      <c r="E9793" s="1002" t="s">
        <v>276</v>
      </c>
      <c r="F9793" s="1003"/>
      <c r="G9793" s="1004"/>
      <c r="H9793" s="901"/>
      <c r="I9793" s="902"/>
      <c r="J9793" s="902"/>
      <c r="K9793" s="912" t="s">
        <v>274</v>
      </c>
      <c r="L9793" s="902"/>
      <c r="M9793" s="902"/>
      <c r="N9793" s="902"/>
      <c r="O9793" s="892">
        <f t="shared" si="789"/>
        <v>0</v>
      </c>
      <c r="P9793" s="903">
        <f t="shared" si="790"/>
        <v>1</v>
      </c>
      <c r="Q9793" s="893">
        <f t="shared" si="791"/>
        <v>5</v>
      </c>
      <c r="R9793" s="894">
        <f t="shared" si="792"/>
        <v>0</v>
      </c>
    </row>
    <row r="9794" spans="1:18" s="904" customFormat="1">
      <c r="A9794" s="905"/>
      <c r="B9794" s="952"/>
      <c r="C9794" s="907">
        <v>740</v>
      </c>
      <c r="D9794" s="907" t="s">
        <v>12</v>
      </c>
      <c r="E9794" s="992" t="s">
        <v>4008</v>
      </c>
      <c r="F9794" s="905" t="s">
        <v>2674</v>
      </c>
      <c r="G9794" s="1005"/>
      <c r="H9794" s="911">
        <v>2.5</v>
      </c>
      <c r="I9794" s="912"/>
      <c r="J9794" s="912"/>
      <c r="K9794" s="912">
        <f>VLOOKUP(E9794,[5]ĐMNC!$A$7:$F$67,4,0)</f>
        <v>221125</v>
      </c>
      <c r="L9794" s="912">
        <f>H9794*K9794</f>
        <v>552812.5</v>
      </c>
      <c r="M9794" s="912"/>
      <c r="N9794" s="912"/>
      <c r="O9794" s="892">
        <f t="shared" si="789"/>
        <v>0</v>
      </c>
      <c r="P9794" s="903">
        <f t="shared" si="790"/>
        <v>1</v>
      </c>
      <c r="Q9794" s="893">
        <f t="shared" si="791"/>
        <v>4</v>
      </c>
      <c r="R9794" s="894">
        <f t="shared" si="792"/>
        <v>0</v>
      </c>
    </row>
    <row r="9795" spans="1:18">
      <c r="A9795" s="895"/>
      <c r="B9795" s="896"/>
      <c r="C9795" s="897"/>
      <c r="D9795" s="897"/>
      <c r="E9795" s="1002" t="s">
        <v>3914</v>
      </c>
      <c r="F9795" s="895"/>
      <c r="G9795" s="1004"/>
      <c r="H9795" s="901"/>
      <c r="I9795" s="902"/>
      <c r="J9795" s="902"/>
      <c r="K9795" s="912" t="s">
        <v>274</v>
      </c>
      <c r="L9795" s="902"/>
      <c r="M9795" s="902"/>
      <c r="N9795" s="902"/>
      <c r="O9795" s="892">
        <f t="shared" si="789"/>
        <v>0</v>
      </c>
      <c r="P9795" s="903">
        <f t="shared" si="790"/>
        <v>1</v>
      </c>
      <c r="Q9795" s="893">
        <f t="shared" si="791"/>
        <v>3</v>
      </c>
      <c r="R9795" s="894">
        <f t="shared" si="792"/>
        <v>0</v>
      </c>
    </row>
    <row r="9796" spans="1:18" s="847" customFormat="1">
      <c r="A9796" s="905"/>
      <c r="B9796" s="952" t="s">
        <v>6434</v>
      </c>
      <c r="C9796" s="907">
        <v>912</v>
      </c>
      <c r="D9796" s="907" t="s">
        <v>93</v>
      </c>
      <c r="E9796" s="992" t="s">
        <v>6435</v>
      </c>
      <c r="F9796" s="905" t="s">
        <v>2673</v>
      </c>
      <c r="G9796" s="1005"/>
      <c r="H9796" s="911">
        <v>0.23300000000000001</v>
      </c>
      <c r="I9796" s="912"/>
      <c r="J9796" s="912"/>
      <c r="K9796" s="912"/>
      <c r="L9796" s="912"/>
      <c r="M9796" s="912">
        <f>VLOOKUP(B9796,MTC!$B$9:$S$933,12,0)</f>
        <v>0</v>
      </c>
      <c r="N9796" s="912">
        <f>M9796*H9796</f>
        <v>0</v>
      </c>
      <c r="O9796" s="892">
        <f t="shared" si="789"/>
        <v>0</v>
      </c>
      <c r="P9796" s="903">
        <f t="shared" si="790"/>
        <v>1</v>
      </c>
      <c r="Q9796" s="893">
        <f t="shared" si="791"/>
        <v>2</v>
      </c>
      <c r="R9796" s="894">
        <f t="shared" si="792"/>
        <v>0</v>
      </c>
    </row>
    <row r="9797" spans="1:18" s="904" customFormat="1">
      <c r="A9797" s="905"/>
      <c r="B9797" s="952" t="s">
        <v>6414</v>
      </c>
      <c r="C9797" s="907">
        <v>914</v>
      </c>
      <c r="D9797" s="907" t="s">
        <v>93</v>
      </c>
      <c r="E9797" s="992" t="s">
        <v>6415</v>
      </c>
      <c r="F9797" s="905" t="s">
        <v>2673</v>
      </c>
      <c r="G9797" s="1005"/>
      <c r="H9797" s="911">
        <v>0.1</v>
      </c>
      <c r="I9797" s="912"/>
      <c r="J9797" s="912"/>
      <c r="K9797" s="912"/>
      <c r="L9797" s="912"/>
      <c r="M9797" s="912">
        <f>VLOOKUP(B9797,MTC!$B$9:$S$933,12,0)</f>
        <v>0</v>
      </c>
      <c r="N9797" s="912">
        <f>M9797*H9797</f>
        <v>0</v>
      </c>
      <c r="O9797" s="892">
        <f t="shared" si="789"/>
        <v>0</v>
      </c>
      <c r="P9797" s="903">
        <f t="shared" si="790"/>
        <v>1</v>
      </c>
      <c r="Q9797" s="893">
        <f t="shared" si="791"/>
        <v>1</v>
      </c>
      <c r="R9797" s="894">
        <f t="shared" si="792"/>
        <v>0</v>
      </c>
    </row>
    <row r="9798" spans="1:18" ht="47.25">
      <c r="A9798" s="905">
        <v>108</v>
      </c>
      <c r="B9798" s="914" t="s">
        <v>6566</v>
      </c>
      <c r="C9798" s="915"/>
      <c r="D9798" s="915"/>
      <c r="E9798" s="1006" t="s">
        <v>6567</v>
      </c>
      <c r="F9798" s="1007" t="s">
        <v>136</v>
      </c>
      <c r="G9798" s="1008"/>
      <c r="H9798" s="919"/>
      <c r="I9798" s="920"/>
      <c r="J9798" s="962">
        <f>SUM(J9799:J9807)</f>
        <v>55500</v>
      </c>
      <c r="K9798" s="891" t="s">
        <v>274</v>
      </c>
      <c r="L9798" s="962">
        <f>SUM(L9799:L9807)</f>
        <v>685487.5</v>
      </c>
      <c r="M9798" s="962"/>
      <c r="N9798" s="962">
        <f>SUM(N9799:N9807)</f>
        <v>0</v>
      </c>
      <c r="O9798" s="892">
        <f t="shared" si="789"/>
        <v>1</v>
      </c>
      <c r="P9798" s="903">
        <f t="shared" si="790"/>
        <v>0</v>
      </c>
      <c r="Q9798" s="893">
        <f t="shared" si="791"/>
        <v>0</v>
      </c>
      <c r="R9798" s="894">
        <f t="shared" si="792"/>
        <v>9</v>
      </c>
    </row>
    <row r="9799" spans="1:18" s="847" customFormat="1">
      <c r="A9799" s="895"/>
      <c r="B9799" s="896"/>
      <c r="C9799" s="897"/>
      <c r="D9799" s="897"/>
      <c r="E9799" s="1002" t="s">
        <v>108</v>
      </c>
      <c r="F9799" s="895"/>
      <c r="G9799" s="1004"/>
      <c r="H9799" s="901"/>
      <c r="I9799" s="902"/>
      <c r="J9799" s="902"/>
      <c r="K9799" s="912" t="s">
        <v>274</v>
      </c>
      <c r="L9799" s="902"/>
      <c r="M9799" s="902"/>
      <c r="N9799" s="902"/>
      <c r="O9799" s="892">
        <f t="shared" si="789"/>
        <v>0</v>
      </c>
      <c r="P9799" s="903">
        <f t="shared" si="790"/>
        <v>1</v>
      </c>
      <c r="Q9799" s="893">
        <f t="shared" si="791"/>
        <v>9</v>
      </c>
      <c r="R9799" s="894">
        <f t="shared" si="792"/>
        <v>0</v>
      </c>
    </row>
    <row r="9800" spans="1:18" s="904" customFormat="1">
      <c r="A9800" s="905"/>
      <c r="B9800" s="952"/>
      <c r="C9800" s="907">
        <v>315</v>
      </c>
      <c r="D9800" s="907" t="s">
        <v>279</v>
      </c>
      <c r="E9800" s="992" t="s">
        <v>6316</v>
      </c>
      <c r="F9800" s="905" t="s">
        <v>49</v>
      </c>
      <c r="G9800" s="1005"/>
      <c r="H9800" s="911">
        <v>0.5</v>
      </c>
      <c r="I9800" s="912">
        <f>VLOOKUP(E9800,[3]VLP!$B$7:$K$300,10,0)</f>
        <v>8000</v>
      </c>
      <c r="J9800" s="912">
        <f>I9800*H9800</f>
        <v>4000</v>
      </c>
      <c r="K9800" s="912" t="s">
        <v>274</v>
      </c>
      <c r="L9800" s="912"/>
      <c r="M9800" s="912"/>
      <c r="N9800" s="912"/>
      <c r="O9800" s="892">
        <f t="shared" si="789"/>
        <v>0</v>
      </c>
      <c r="P9800" s="903">
        <f t="shared" si="790"/>
        <v>1</v>
      </c>
      <c r="Q9800" s="893">
        <f t="shared" si="791"/>
        <v>8</v>
      </c>
      <c r="R9800" s="894">
        <f t="shared" si="792"/>
        <v>0</v>
      </c>
    </row>
    <row r="9801" spans="1:18">
      <c r="A9801" s="905"/>
      <c r="B9801" s="952"/>
      <c r="C9801" s="907">
        <v>235</v>
      </c>
      <c r="D9801" s="907" t="s">
        <v>279</v>
      </c>
      <c r="E9801" s="992" t="s">
        <v>2682</v>
      </c>
      <c r="F9801" s="905" t="s">
        <v>45</v>
      </c>
      <c r="G9801" s="1005"/>
      <c r="H9801" s="911">
        <v>0.3</v>
      </c>
      <c r="I9801" s="912">
        <f>VLOOKUP(E9801,[3]VLP!$B$7:$K$300,10,0)</f>
        <v>5000</v>
      </c>
      <c r="J9801" s="912">
        <f>I9801*H9801</f>
        <v>1500</v>
      </c>
      <c r="K9801" s="912" t="s">
        <v>274</v>
      </c>
      <c r="L9801" s="912"/>
      <c r="M9801" s="912"/>
      <c r="N9801" s="912"/>
      <c r="O9801" s="892">
        <f t="shared" si="789"/>
        <v>0</v>
      </c>
      <c r="P9801" s="903">
        <f t="shared" si="790"/>
        <v>1</v>
      </c>
      <c r="Q9801" s="893">
        <f t="shared" si="791"/>
        <v>7</v>
      </c>
      <c r="R9801" s="894">
        <f t="shared" si="792"/>
        <v>0</v>
      </c>
    </row>
    <row r="9802" spans="1:18" s="847" customFormat="1">
      <c r="A9802" s="905"/>
      <c r="B9802" s="952"/>
      <c r="C9802" s="907">
        <v>699</v>
      </c>
      <c r="D9802" s="907" t="s">
        <v>279</v>
      </c>
      <c r="E9802" s="992" t="s">
        <v>4006</v>
      </c>
      <c r="F9802" s="905" t="s">
        <v>4007</v>
      </c>
      <c r="G9802" s="1005"/>
      <c r="H9802" s="911">
        <v>10</v>
      </c>
      <c r="I9802" s="912">
        <f>VLOOKUP(E9802,[3]VLP!$B$7:$K$300,10,0)</f>
        <v>5000</v>
      </c>
      <c r="J9802" s="912">
        <f>I9802*H9802</f>
        <v>50000</v>
      </c>
      <c r="K9802" s="912" t="s">
        <v>274</v>
      </c>
      <c r="L9802" s="912"/>
      <c r="M9802" s="912"/>
      <c r="N9802" s="912"/>
      <c r="O9802" s="892">
        <f t="shared" si="789"/>
        <v>0</v>
      </c>
      <c r="P9802" s="903">
        <f t="shared" si="790"/>
        <v>1</v>
      </c>
      <c r="Q9802" s="893">
        <f t="shared" si="791"/>
        <v>6</v>
      </c>
      <c r="R9802" s="894">
        <f t="shared" si="792"/>
        <v>0</v>
      </c>
    </row>
    <row r="9803" spans="1:18" s="904" customFormat="1">
      <c r="A9803" s="895"/>
      <c r="B9803" s="896"/>
      <c r="C9803" s="897"/>
      <c r="D9803" s="897"/>
      <c r="E9803" s="1002" t="s">
        <v>276</v>
      </c>
      <c r="F9803" s="1003"/>
      <c r="G9803" s="1004"/>
      <c r="H9803" s="901"/>
      <c r="I9803" s="902"/>
      <c r="J9803" s="902"/>
      <c r="K9803" s="912" t="s">
        <v>274</v>
      </c>
      <c r="L9803" s="902"/>
      <c r="M9803" s="902"/>
      <c r="N9803" s="902"/>
      <c r="O9803" s="892">
        <f t="shared" si="789"/>
        <v>0</v>
      </c>
      <c r="P9803" s="903">
        <f t="shared" si="790"/>
        <v>1</v>
      </c>
      <c r="Q9803" s="893">
        <f t="shared" si="791"/>
        <v>5</v>
      </c>
      <c r="R9803" s="894">
        <f t="shared" si="792"/>
        <v>0</v>
      </c>
    </row>
    <row r="9804" spans="1:18">
      <c r="A9804" s="905"/>
      <c r="B9804" s="952"/>
      <c r="C9804" s="907">
        <v>740</v>
      </c>
      <c r="D9804" s="907" t="s">
        <v>12</v>
      </c>
      <c r="E9804" s="992" t="s">
        <v>4008</v>
      </c>
      <c r="F9804" s="905" t="s">
        <v>2674</v>
      </c>
      <c r="G9804" s="1005"/>
      <c r="H9804" s="911">
        <v>3.1</v>
      </c>
      <c r="I9804" s="912"/>
      <c r="J9804" s="912"/>
      <c r="K9804" s="912">
        <f>VLOOKUP(E9804,[5]ĐMNC!$A$7:$F$67,4,0)</f>
        <v>221125</v>
      </c>
      <c r="L9804" s="912">
        <f>H9804*K9804</f>
        <v>685487.5</v>
      </c>
      <c r="M9804" s="912"/>
      <c r="N9804" s="912"/>
      <c r="O9804" s="892">
        <f t="shared" si="789"/>
        <v>0</v>
      </c>
      <c r="P9804" s="903">
        <f t="shared" si="790"/>
        <v>1</v>
      </c>
      <c r="Q9804" s="893">
        <f t="shared" si="791"/>
        <v>4</v>
      </c>
      <c r="R9804" s="894">
        <f t="shared" si="792"/>
        <v>0</v>
      </c>
    </row>
    <row r="9805" spans="1:18" s="847" customFormat="1">
      <c r="A9805" s="895"/>
      <c r="B9805" s="896"/>
      <c r="C9805" s="897"/>
      <c r="D9805" s="897"/>
      <c r="E9805" s="1002" t="s">
        <v>3914</v>
      </c>
      <c r="F9805" s="895"/>
      <c r="G9805" s="1004"/>
      <c r="H9805" s="901"/>
      <c r="I9805" s="902"/>
      <c r="J9805" s="902"/>
      <c r="K9805" s="912" t="s">
        <v>274</v>
      </c>
      <c r="L9805" s="902"/>
      <c r="M9805" s="902"/>
      <c r="N9805" s="902"/>
      <c r="O9805" s="892">
        <f t="shared" si="789"/>
        <v>0</v>
      </c>
      <c r="P9805" s="903">
        <f t="shared" si="790"/>
        <v>1</v>
      </c>
      <c r="Q9805" s="893">
        <f t="shared" si="791"/>
        <v>3</v>
      </c>
      <c r="R9805" s="894">
        <f t="shared" si="792"/>
        <v>0</v>
      </c>
    </row>
    <row r="9806" spans="1:18" s="904" customFormat="1">
      <c r="A9806" s="905"/>
      <c r="B9806" s="952" t="s">
        <v>6434</v>
      </c>
      <c r="C9806" s="907">
        <v>912</v>
      </c>
      <c r="D9806" s="907" t="s">
        <v>93</v>
      </c>
      <c r="E9806" s="992" t="s">
        <v>6435</v>
      </c>
      <c r="F9806" s="905" t="s">
        <v>2673</v>
      </c>
      <c r="G9806" s="1005"/>
      <c r="H9806" s="911">
        <v>0.248</v>
      </c>
      <c r="I9806" s="912"/>
      <c r="J9806" s="912"/>
      <c r="K9806" s="912"/>
      <c r="L9806" s="912"/>
      <c r="M9806" s="912">
        <f>VLOOKUP(B9806,MTC!$B$9:$S$933,12,0)</f>
        <v>0</v>
      </c>
      <c r="N9806" s="912">
        <f>M9806*H9806</f>
        <v>0</v>
      </c>
      <c r="O9806" s="892">
        <f t="shared" si="789"/>
        <v>0</v>
      </c>
      <c r="P9806" s="903">
        <f t="shared" si="790"/>
        <v>1</v>
      </c>
      <c r="Q9806" s="893">
        <f t="shared" si="791"/>
        <v>2</v>
      </c>
      <c r="R9806" s="894">
        <f t="shared" si="792"/>
        <v>0</v>
      </c>
    </row>
    <row r="9807" spans="1:18">
      <c r="A9807" s="905"/>
      <c r="B9807" s="952" t="s">
        <v>6414</v>
      </c>
      <c r="C9807" s="907">
        <v>914</v>
      </c>
      <c r="D9807" s="907" t="s">
        <v>93</v>
      </c>
      <c r="E9807" s="992" t="s">
        <v>6415</v>
      </c>
      <c r="F9807" s="905" t="s">
        <v>2673</v>
      </c>
      <c r="G9807" s="1005"/>
      <c r="H9807" s="911">
        <v>0.1</v>
      </c>
      <c r="I9807" s="912"/>
      <c r="J9807" s="912"/>
      <c r="K9807" s="912"/>
      <c r="L9807" s="912"/>
      <c r="M9807" s="912">
        <f>VLOOKUP(B9807,MTC!$B$9:$S$933,12,0)</f>
        <v>0</v>
      </c>
      <c r="N9807" s="912">
        <f>M9807*H9807</f>
        <v>0</v>
      </c>
      <c r="O9807" s="892">
        <f t="shared" si="789"/>
        <v>0</v>
      </c>
      <c r="P9807" s="903">
        <f t="shared" si="790"/>
        <v>1</v>
      </c>
      <c r="Q9807" s="893">
        <f t="shared" si="791"/>
        <v>1</v>
      </c>
      <c r="R9807" s="894">
        <f t="shared" si="792"/>
        <v>0</v>
      </c>
    </row>
    <row r="9808" spans="1:18" s="847" customFormat="1" ht="47.25">
      <c r="A9808" s="905">
        <v>109</v>
      </c>
      <c r="B9808" s="914" t="s">
        <v>6568</v>
      </c>
      <c r="C9808" s="915"/>
      <c r="D9808" s="915"/>
      <c r="E9808" s="1006" t="s">
        <v>6569</v>
      </c>
      <c r="F9808" s="1007" t="s">
        <v>136</v>
      </c>
      <c r="G9808" s="1008"/>
      <c r="H9808" s="919"/>
      <c r="I9808" s="920"/>
      <c r="J9808" s="962">
        <f>SUM(J9809:J9817)</f>
        <v>55500</v>
      </c>
      <c r="K9808" s="891" t="s">
        <v>274</v>
      </c>
      <c r="L9808" s="962">
        <f>SUM(L9809:L9817)</f>
        <v>773937.5</v>
      </c>
      <c r="M9808" s="962"/>
      <c r="N9808" s="962">
        <f>SUM(N9809:N9817)</f>
        <v>0</v>
      </c>
      <c r="O9808" s="892">
        <f t="shared" si="789"/>
        <v>1</v>
      </c>
      <c r="P9808" s="903">
        <f t="shared" si="790"/>
        <v>0</v>
      </c>
      <c r="Q9808" s="893">
        <f t="shared" si="791"/>
        <v>0</v>
      </c>
      <c r="R9808" s="894">
        <f t="shared" si="792"/>
        <v>9</v>
      </c>
    </row>
    <row r="9809" spans="1:18" s="904" customFormat="1">
      <c r="A9809" s="895"/>
      <c r="B9809" s="896"/>
      <c r="C9809" s="897"/>
      <c r="D9809" s="897"/>
      <c r="E9809" s="1002" t="s">
        <v>108</v>
      </c>
      <c r="F9809" s="895"/>
      <c r="G9809" s="1004"/>
      <c r="H9809" s="901"/>
      <c r="I9809" s="902"/>
      <c r="J9809" s="902"/>
      <c r="K9809" s="912" t="s">
        <v>274</v>
      </c>
      <c r="L9809" s="902"/>
      <c r="M9809" s="902"/>
      <c r="N9809" s="902"/>
      <c r="O9809" s="892">
        <f t="shared" si="789"/>
        <v>0</v>
      </c>
      <c r="P9809" s="903">
        <f t="shared" si="790"/>
        <v>1</v>
      </c>
      <c r="Q9809" s="893">
        <f t="shared" si="791"/>
        <v>9</v>
      </c>
      <c r="R9809" s="894">
        <f t="shared" si="792"/>
        <v>0</v>
      </c>
    </row>
    <row r="9810" spans="1:18">
      <c r="A9810" s="905"/>
      <c r="B9810" s="952"/>
      <c r="C9810" s="907">
        <v>315</v>
      </c>
      <c r="D9810" s="907" t="s">
        <v>279</v>
      </c>
      <c r="E9810" s="992" t="s">
        <v>6316</v>
      </c>
      <c r="F9810" s="905" t="s">
        <v>49</v>
      </c>
      <c r="G9810" s="1005"/>
      <c r="H9810" s="911">
        <v>0.5</v>
      </c>
      <c r="I9810" s="912">
        <f>VLOOKUP(E9810,[3]VLP!$B$7:$K$300,10,0)</f>
        <v>8000</v>
      </c>
      <c r="J9810" s="912">
        <f>I9810*H9810</f>
        <v>4000</v>
      </c>
      <c r="K9810" s="912" t="s">
        <v>274</v>
      </c>
      <c r="L9810" s="912"/>
      <c r="M9810" s="912"/>
      <c r="N9810" s="912"/>
      <c r="O9810" s="892">
        <f t="shared" si="789"/>
        <v>0</v>
      </c>
      <c r="P9810" s="903">
        <f t="shared" si="790"/>
        <v>1</v>
      </c>
      <c r="Q9810" s="893">
        <f t="shared" si="791"/>
        <v>8</v>
      </c>
      <c r="R9810" s="894">
        <f t="shared" si="792"/>
        <v>0</v>
      </c>
    </row>
    <row r="9811" spans="1:18" s="847" customFormat="1">
      <c r="A9811" s="905"/>
      <c r="B9811" s="952"/>
      <c r="C9811" s="907">
        <v>235</v>
      </c>
      <c r="D9811" s="907" t="s">
        <v>279</v>
      </c>
      <c r="E9811" s="992" t="s">
        <v>2682</v>
      </c>
      <c r="F9811" s="905" t="s">
        <v>45</v>
      </c>
      <c r="G9811" s="1005"/>
      <c r="H9811" s="911">
        <v>0.3</v>
      </c>
      <c r="I9811" s="912">
        <f>VLOOKUP(E9811,[3]VLP!$B$7:$K$300,10,0)</f>
        <v>5000</v>
      </c>
      <c r="J9811" s="912">
        <f>I9811*H9811</f>
        <v>1500</v>
      </c>
      <c r="K9811" s="912" t="s">
        <v>274</v>
      </c>
      <c r="L9811" s="912"/>
      <c r="M9811" s="912"/>
      <c r="N9811" s="912"/>
      <c r="O9811" s="892">
        <f t="shared" si="789"/>
        <v>0</v>
      </c>
      <c r="P9811" s="903">
        <f t="shared" si="790"/>
        <v>1</v>
      </c>
      <c r="Q9811" s="893">
        <f t="shared" si="791"/>
        <v>7</v>
      </c>
      <c r="R9811" s="894">
        <f t="shared" si="792"/>
        <v>0</v>
      </c>
    </row>
    <row r="9812" spans="1:18" s="904" customFormat="1">
      <c r="A9812" s="905"/>
      <c r="B9812" s="952"/>
      <c r="C9812" s="907">
        <v>699</v>
      </c>
      <c r="D9812" s="907" t="s">
        <v>279</v>
      </c>
      <c r="E9812" s="992" t="s">
        <v>4006</v>
      </c>
      <c r="F9812" s="905" t="s">
        <v>4007</v>
      </c>
      <c r="G9812" s="1005"/>
      <c r="H9812" s="911">
        <v>10</v>
      </c>
      <c r="I9812" s="912">
        <f>VLOOKUP(E9812,[3]VLP!$B$7:$K$300,10,0)</f>
        <v>5000</v>
      </c>
      <c r="J9812" s="912">
        <f>I9812*H9812</f>
        <v>50000</v>
      </c>
      <c r="K9812" s="912" t="s">
        <v>274</v>
      </c>
      <c r="L9812" s="912"/>
      <c r="M9812" s="912"/>
      <c r="N9812" s="912"/>
      <c r="O9812" s="892">
        <f t="shared" si="789"/>
        <v>0</v>
      </c>
      <c r="P9812" s="903">
        <f t="shared" si="790"/>
        <v>1</v>
      </c>
      <c r="Q9812" s="893">
        <f t="shared" si="791"/>
        <v>6</v>
      </c>
      <c r="R9812" s="894">
        <f t="shared" si="792"/>
        <v>0</v>
      </c>
    </row>
    <row r="9813" spans="1:18">
      <c r="A9813" s="895"/>
      <c r="B9813" s="896"/>
      <c r="C9813" s="897"/>
      <c r="D9813" s="897"/>
      <c r="E9813" s="1002" t="s">
        <v>276</v>
      </c>
      <c r="F9813" s="1003"/>
      <c r="G9813" s="1004"/>
      <c r="H9813" s="901"/>
      <c r="I9813" s="902"/>
      <c r="J9813" s="902"/>
      <c r="K9813" s="912" t="s">
        <v>274</v>
      </c>
      <c r="L9813" s="902"/>
      <c r="M9813" s="902"/>
      <c r="N9813" s="902"/>
      <c r="O9813" s="892">
        <f t="shared" si="789"/>
        <v>0</v>
      </c>
      <c r="P9813" s="903">
        <f t="shared" si="790"/>
        <v>1</v>
      </c>
      <c r="Q9813" s="893">
        <f t="shared" si="791"/>
        <v>5</v>
      </c>
      <c r="R9813" s="894">
        <f t="shared" si="792"/>
        <v>0</v>
      </c>
    </row>
    <row r="9814" spans="1:18" s="847" customFormat="1">
      <c r="A9814" s="905"/>
      <c r="B9814" s="952"/>
      <c r="C9814" s="907">
        <v>740</v>
      </c>
      <c r="D9814" s="907" t="s">
        <v>12</v>
      </c>
      <c r="E9814" s="992" t="s">
        <v>4008</v>
      </c>
      <c r="F9814" s="905" t="s">
        <v>2674</v>
      </c>
      <c r="G9814" s="1005"/>
      <c r="H9814" s="911">
        <v>3.5</v>
      </c>
      <c r="I9814" s="912"/>
      <c r="J9814" s="912"/>
      <c r="K9814" s="912">
        <f>VLOOKUP(E9814,[5]ĐMNC!$A$7:$F$67,4,0)</f>
        <v>221125</v>
      </c>
      <c r="L9814" s="912">
        <f>H9814*K9814</f>
        <v>773937.5</v>
      </c>
      <c r="M9814" s="912"/>
      <c r="N9814" s="912"/>
      <c r="O9814" s="892">
        <f t="shared" si="789"/>
        <v>0</v>
      </c>
      <c r="P9814" s="903">
        <f t="shared" si="790"/>
        <v>1</v>
      </c>
      <c r="Q9814" s="893">
        <f t="shared" si="791"/>
        <v>4</v>
      </c>
      <c r="R9814" s="894">
        <f t="shared" si="792"/>
        <v>0</v>
      </c>
    </row>
    <row r="9815" spans="1:18" s="904" customFormat="1">
      <c r="A9815" s="895"/>
      <c r="B9815" s="896"/>
      <c r="C9815" s="897"/>
      <c r="D9815" s="897"/>
      <c r="E9815" s="1002" t="s">
        <v>3914</v>
      </c>
      <c r="F9815" s="895"/>
      <c r="G9815" s="1004"/>
      <c r="H9815" s="901"/>
      <c r="I9815" s="902"/>
      <c r="J9815" s="902"/>
      <c r="K9815" s="912" t="s">
        <v>274</v>
      </c>
      <c r="L9815" s="902"/>
      <c r="M9815" s="902"/>
      <c r="N9815" s="902"/>
      <c r="O9815" s="892">
        <f t="shared" si="789"/>
        <v>0</v>
      </c>
      <c r="P9815" s="903">
        <f t="shared" si="790"/>
        <v>1</v>
      </c>
      <c r="Q9815" s="893">
        <f t="shared" si="791"/>
        <v>3</v>
      </c>
      <c r="R9815" s="894">
        <f t="shared" si="792"/>
        <v>0</v>
      </c>
    </row>
    <row r="9816" spans="1:18">
      <c r="A9816" s="905"/>
      <c r="B9816" s="952" t="s">
        <v>6434</v>
      </c>
      <c r="C9816" s="907">
        <v>912</v>
      </c>
      <c r="D9816" s="907" t="s">
        <v>93</v>
      </c>
      <c r="E9816" s="992" t="s">
        <v>6435</v>
      </c>
      <c r="F9816" s="905" t="s">
        <v>2673</v>
      </c>
      <c r="G9816" s="1005"/>
      <c r="H9816" s="911">
        <v>0.34</v>
      </c>
      <c r="I9816" s="912"/>
      <c r="J9816" s="912"/>
      <c r="K9816" s="912"/>
      <c r="L9816" s="912"/>
      <c r="M9816" s="912">
        <f>VLOOKUP(B9816,MTC!$B$9:$S$933,12,0)</f>
        <v>0</v>
      </c>
      <c r="N9816" s="912">
        <f>M9816*H9816</f>
        <v>0</v>
      </c>
      <c r="O9816" s="892">
        <f t="shared" si="789"/>
        <v>0</v>
      </c>
      <c r="P9816" s="903">
        <f t="shared" si="790"/>
        <v>1</v>
      </c>
      <c r="Q9816" s="893">
        <f t="shared" si="791"/>
        <v>2</v>
      </c>
      <c r="R9816" s="894">
        <f t="shared" si="792"/>
        <v>0</v>
      </c>
    </row>
    <row r="9817" spans="1:18" s="847" customFormat="1">
      <c r="A9817" s="905"/>
      <c r="B9817" s="952" t="s">
        <v>6414</v>
      </c>
      <c r="C9817" s="907">
        <v>914</v>
      </c>
      <c r="D9817" s="907" t="s">
        <v>93</v>
      </c>
      <c r="E9817" s="992" t="s">
        <v>6415</v>
      </c>
      <c r="F9817" s="905" t="s">
        <v>2673</v>
      </c>
      <c r="G9817" s="1005"/>
      <c r="H9817" s="911">
        <v>0.1</v>
      </c>
      <c r="I9817" s="912"/>
      <c r="J9817" s="912"/>
      <c r="K9817" s="912"/>
      <c r="L9817" s="912"/>
      <c r="M9817" s="912">
        <f>VLOOKUP(B9817,MTC!$B$9:$S$933,12,0)</f>
        <v>0</v>
      </c>
      <c r="N9817" s="912">
        <f>M9817*H9817</f>
        <v>0</v>
      </c>
      <c r="O9817" s="892">
        <f t="shared" si="789"/>
        <v>0</v>
      </c>
      <c r="P9817" s="903">
        <f t="shared" si="790"/>
        <v>1</v>
      </c>
      <c r="Q9817" s="893">
        <f t="shared" si="791"/>
        <v>1</v>
      </c>
      <c r="R9817" s="894">
        <f t="shared" si="792"/>
        <v>0</v>
      </c>
    </row>
    <row r="9818" spans="1:18" s="904" customFormat="1" ht="47.25">
      <c r="A9818" s="905">
        <v>110</v>
      </c>
      <c r="B9818" s="914" t="s">
        <v>6570</v>
      </c>
      <c r="C9818" s="915"/>
      <c r="D9818" s="915"/>
      <c r="E9818" s="1006" t="s">
        <v>6571</v>
      </c>
      <c r="F9818" s="1007" t="s">
        <v>136</v>
      </c>
      <c r="G9818" s="1008"/>
      <c r="H9818" s="919"/>
      <c r="I9818" s="920"/>
      <c r="J9818" s="962">
        <f>SUM(J9819:J9827)</f>
        <v>55500</v>
      </c>
      <c r="K9818" s="891" t="s">
        <v>274</v>
      </c>
      <c r="L9818" s="962">
        <f>SUM(L9819:L9827)</f>
        <v>928725</v>
      </c>
      <c r="M9818" s="962"/>
      <c r="N9818" s="962">
        <f>SUM(N9819:N9827)</f>
        <v>0</v>
      </c>
      <c r="O9818" s="892">
        <f t="shared" si="789"/>
        <v>1</v>
      </c>
      <c r="P9818" s="903">
        <f t="shared" si="790"/>
        <v>0</v>
      </c>
      <c r="Q9818" s="893">
        <f t="shared" si="791"/>
        <v>0</v>
      </c>
      <c r="R9818" s="894">
        <f t="shared" si="792"/>
        <v>9</v>
      </c>
    </row>
    <row r="9819" spans="1:18">
      <c r="A9819" s="895"/>
      <c r="B9819" s="896"/>
      <c r="C9819" s="897"/>
      <c r="D9819" s="897"/>
      <c r="E9819" s="1002" t="s">
        <v>108</v>
      </c>
      <c r="F9819" s="895"/>
      <c r="G9819" s="1004"/>
      <c r="H9819" s="901"/>
      <c r="I9819" s="902"/>
      <c r="J9819" s="902"/>
      <c r="K9819" s="912" t="s">
        <v>274</v>
      </c>
      <c r="L9819" s="902"/>
      <c r="M9819" s="902"/>
      <c r="N9819" s="902"/>
      <c r="O9819" s="892">
        <f t="shared" si="789"/>
        <v>0</v>
      </c>
      <c r="P9819" s="903">
        <f t="shared" si="790"/>
        <v>1</v>
      </c>
      <c r="Q9819" s="893">
        <f t="shared" si="791"/>
        <v>9</v>
      </c>
      <c r="R9819" s="894">
        <f t="shared" si="792"/>
        <v>0</v>
      </c>
    </row>
    <row r="9820" spans="1:18" s="847" customFormat="1">
      <c r="A9820" s="905"/>
      <c r="B9820" s="952"/>
      <c r="C9820" s="907">
        <v>315</v>
      </c>
      <c r="D9820" s="907" t="s">
        <v>279</v>
      </c>
      <c r="E9820" s="992" t="s">
        <v>6316</v>
      </c>
      <c r="F9820" s="905" t="s">
        <v>49</v>
      </c>
      <c r="G9820" s="1005"/>
      <c r="H9820" s="911">
        <v>0.5</v>
      </c>
      <c r="I9820" s="912">
        <f>VLOOKUP(E9820,[3]VLP!$B$7:$K$300,10,0)</f>
        <v>8000</v>
      </c>
      <c r="J9820" s="912">
        <f>I9820*H9820</f>
        <v>4000</v>
      </c>
      <c r="K9820" s="912" t="s">
        <v>274</v>
      </c>
      <c r="L9820" s="912"/>
      <c r="M9820" s="912"/>
      <c r="N9820" s="912"/>
      <c r="O9820" s="892">
        <f t="shared" si="789"/>
        <v>0</v>
      </c>
      <c r="P9820" s="903">
        <f t="shared" si="790"/>
        <v>1</v>
      </c>
      <c r="Q9820" s="893">
        <f t="shared" si="791"/>
        <v>8</v>
      </c>
      <c r="R9820" s="894">
        <f t="shared" si="792"/>
        <v>0</v>
      </c>
    </row>
    <row r="9821" spans="1:18" s="904" customFormat="1">
      <c r="A9821" s="905"/>
      <c r="B9821" s="952"/>
      <c r="C9821" s="907">
        <v>235</v>
      </c>
      <c r="D9821" s="907" t="s">
        <v>279</v>
      </c>
      <c r="E9821" s="992" t="s">
        <v>2682</v>
      </c>
      <c r="F9821" s="905" t="s">
        <v>45</v>
      </c>
      <c r="G9821" s="1005"/>
      <c r="H9821" s="911">
        <v>0.3</v>
      </c>
      <c r="I9821" s="912">
        <f>VLOOKUP(E9821,[3]VLP!$B$7:$K$300,10,0)</f>
        <v>5000</v>
      </c>
      <c r="J9821" s="912">
        <f>I9821*H9821</f>
        <v>1500</v>
      </c>
      <c r="K9821" s="912" t="s">
        <v>274</v>
      </c>
      <c r="L9821" s="912"/>
      <c r="M9821" s="912"/>
      <c r="N9821" s="912"/>
      <c r="O9821" s="892">
        <f t="shared" si="789"/>
        <v>0</v>
      </c>
      <c r="P9821" s="903">
        <f t="shared" si="790"/>
        <v>1</v>
      </c>
      <c r="Q9821" s="893">
        <f t="shared" si="791"/>
        <v>7</v>
      </c>
      <c r="R9821" s="894">
        <f t="shared" si="792"/>
        <v>0</v>
      </c>
    </row>
    <row r="9822" spans="1:18">
      <c r="A9822" s="905"/>
      <c r="B9822" s="952"/>
      <c r="C9822" s="907">
        <v>699</v>
      </c>
      <c r="D9822" s="907" t="s">
        <v>279</v>
      </c>
      <c r="E9822" s="992" t="s">
        <v>4006</v>
      </c>
      <c r="F9822" s="905" t="s">
        <v>4007</v>
      </c>
      <c r="G9822" s="1005"/>
      <c r="H9822" s="911">
        <v>10</v>
      </c>
      <c r="I9822" s="912">
        <f>VLOOKUP(E9822,[3]VLP!$B$7:$K$300,10,0)</f>
        <v>5000</v>
      </c>
      <c r="J9822" s="912">
        <f>I9822*H9822</f>
        <v>50000</v>
      </c>
      <c r="K9822" s="912" t="s">
        <v>274</v>
      </c>
      <c r="L9822" s="912"/>
      <c r="M9822" s="912"/>
      <c r="N9822" s="912"/>
      <c r="O9822" s="892">
        <f t="shared" si="789"/>
        <v>0</v>
      </c>
      <c r="P9822" s="903">
        <f t="shared" si="790"/>
        <v>1</v>
      </c>
      <c r="Q9822" s="893">
        <f t="shared" si="791"/>
        <v>6</v>
      </c>
      <c r="R9822" s="894">
        <f t="shared" si="792"/>
        <v>0</v>
      </c>
    </row>
    <row r="9823" spans="1:18" s="847" customFormat="1">
      <c r="A9823" s="895"/>
      <c r="B9823" s="896"/>
      <c r="C9823" s="897"/>
      <c r="D9823" s="897"/>
      <c r="E9823" s="1002" t="s">
        <v>276</v>
      </c>
      <c r="F9823" s="1003"/>
      <c r="G9823" s="1004"/>
      <c r="H9823" s="901"/>
      <c r="I9823" s="902"/>
      <c r="J9823" s="902"/>
      <c r="K9823" s="912" t="s">
        <v>274</v>
      </c>
      <c r="L9823" s="902"/>
      <c r="M9823" s="902"/>
      <c r="N9823" s="902"/>
      <c r="O9823" s="892">
        <f t="shared" ref="O9823:O9886" si="793">IF(AND(B9823&lt;&gt;"",D9823=""),1,0)</f>
        <v>0</v>
      </c>
      <c r="P9823" s="903">
        <f t="shared" si="790"/>
        <v>1</v>
      </c>
      <c r="Q9823" s="893">
        <f t="shared" si="791"/>
        <v>5</v>
      </c>
      <c r="R9823" s="894">
        <f t="shared" si="792"/>
        <v>0</v>
      </c>
    </row>
    <row r="9824" spans="1:18" s="904" customFormat="1">
      <c r="A9824" s="905"/>
      <c r="B9824" s="952"/>
      <c r="C9824" s="907">
        <v>740</v>
      </c>
      <c r="D9824" s="907" t="s">
        <v>12</v>
      </c>
      <c r="E9824" s="992" t="s">
        <v>4008</v>
      </c>
      <c r="F9824" s="905" t="s">
        <v>2674</v>
      </c>
      <c r="G9824" s="1005"/>
      <c r="H9824" s="911">
        <v>4.2</v>
      </c>
      <c r="I9824" s="912"/>
      <c r="J9824" s="912"/>
      <c r="K9824" s="912">
        <f>VLOOKUP(E9824,[5]ĐMNC!$A$7:$F$67,4,0)</f>
        <v>221125</v>
      </c>
      <c r="L9824" s="912">
        <f>H9824*K9824</f>
        <v>928725</v>
      </c>
      <c r="M9824" s="912"/>
      <c r="N9824" s="912"/>
      <c r="O9824" s="892">
        <f t="shared" si="793"/>
        <v>0</v>
      </c>
      <c r="P9824" s="903">
        <f t="shared" si="790"/>
        <v>1</v>
      </c>
      <c r="Q9824" s="893">
        <f t="shared" si="791"/>
        <v>4</v>
      </c>
      <c r="R9824" s="894">
        <f t="shared" si="792"/>
        <v>0</v>
      </c>
    </row>
    <row r="9825" spans="1:18">
      <c r="A9825" s="895"/>
      <c r="B9825" s="896"/>
      <c r="C9825" s="897"/>
      <c r="D9825" s="897"/>
      <c r="E9825" s="1002" t="s">
        <v>3914</v>
      </c>
      <c r="F9825" s="895"/>
      <c r="G9825" s="1004"/>
      <c r="H9825" s="901"/>
      <c r="I9825" s="902"/>
      <c r="J9825" s="902"/>
      <c r="K9825" s="912" t="s">
        <v>274</v>
      </c>
      <c r="L9825" s="902"/>
      <c r="M9825" s="902"/>
      <c r="N9825" s="902"/>
      <c r="O9825" s="892">
        <f t="shared" si="793"/>
        <v>0</v>
      </c>
      <c r="P9825" s="903">
        <f t="shared" si="790"/>
        <v>1</v>
      </c>
      <c r="Q9825" s="893">
        <f t="shared" si="791"/>
        <v>3</v>
      </c>
      <c r="R9825" s="894">
        <f t="shared" si="792"/>
        <v>0</v>
      </c>
    </row>
    <row r="9826" spans="1:18" s="847" customFormat="1">
      <c r="A9826" s="905"/>
      <c r="B9826" s="952" t="s">
        <v>6434</v>
      </c>
      <c r="C9826" s="907">
        <v>912</v>
      </c>
      <c r="D9826" s="907" t="s">
        <v>93</v>
      </c>
      <c r="E9826" s="992" t="s">
        <v>6435</v>
      </c>
      <c r="F9826" s="905" t="s">
        <v>2673</v>
      </c>
      <c r="G9826" s="1005"/>
      <c r="H9826" s="911">
        <v>0.39900000000000002</v>
      </c>
      <c r="I9826" s="912"/>
      <c r="J9826" s="912"/>
      <c r="K9826" s="912"/>
      <c r="L9826" s="912"/>
      <c r="M9826" s="912">
        <f>VLOOKUP(B9826,MTC!$B$9:$S$933,12,0)</f>
        <v>0</v>
      </c>
      <c r="N9826" s="912">
        <f>M9826*H9826</f>
        <v>0</v>
      </c>
      <c r="O9826" s="892">
        <f t="shared" si="793"/>
        <v>0</v>
      </c>
      <c r="P9826" s="903">
        <f t="shared" si="790"/>
        <v>1</v>
      </c>
      <c r="Q9826" s="893">
        <f t="shared" si="791"/>
        <v>2</v>
      </c>
      <c r="R9826" s="894">
        <f t="shared" si="792"/>
        <v>0</v>
      </c>
    </row>
    <row r="9827" spans="1:18" s="904" customFormat="1">
      <c r="A9827" s="905"/>
      <c r="B9827" s="952" t="s">
        <v>6414</v>
      </c>
      <c r="C9827" s="907">
        <v>914</v>
      </c>
      <c r="D9827" s="907" t="s">
        <v>93</v>
      </c>
      <c r="E9827" s="992" t="s">
        <v>6415</v>
      </c>
      <c r="F9827" s="905" t="s">
        <v>2673</v>
      </c>
      <c r="G9827" s="1005"/>
      <c r="H9827" s="911">
        <v>0.1</v>
      </c>
      <c r="I9827" s="912"/>
      <c r="J9827" s="912"/>
      <c r="K9827" s="912"/>
      <c r="L9827" s="912"/>
      <c r="M9827" s="912">
        <f>VLOOKUP(B9827,MTC!$B$9:$S$933,12,0)</f>
        <v>0</v>
      </c>
      <c r="N9827" s="912">
        <f>M9827*H9827</f>
        <v>0</v>
      </c>
      <c r="O9827" s="892">
        <f t="shared" si="793"/>
        <v>0</v>
      </c>
      <c r="P9827" s="903">
        <f t="shared" si="790"/>
        <v>1</v>
      </c>
      <c r="Q9827" s="893">
        <f t="shared" si="791"/>
        <v>1</v>
      </c>
      <c r="R9827" s="894">
        <f t="shared" si="792"/>
        <v>0</v>
      </c>
    </row>
    <row r="9828" spans="1:18" ht="31.5">
      <c r="A9828" s="905" t="s">
        <v>6572</v>
      </c>
      <c r="B9828" s="914" t="s">
        <v>6573</v>
      </c>
      <c r="C9828" s="915"/>
      <c r="D9828" s="915"/>
      <c r="E9828" s="1006" t="s">
        <v>6574</v>
      </c>
      <c r="F9828" s="1007" t="s">
        <v>136</v>
      </c>
      <c r="G9828" s="1008"/>
      <c r="H9828" s="919"/>
      <c r="I9828" s="920"/>
      <c r="J9828" s="891">
        <f>SUM(J9829:J9839)</f>
        <v>55500</v>
      </c>
      <c r="K9828" s="891" t="s">
        <v>274</v>
      </c>
      <c r="L9828" s="891">
        <f>SUM(L9829:L9839)</f>
        <v>486475.00000000006</v>
      </c>
      <c r="M9828" s="891"/>
      <c r="N9828" s="891">
        <f>SUM(N9829:N9839)</f>
        <v>47446.559999999998</v>
      </c>
      <c r="O9828" s="892">
        <f t="shared" si="793"/>
        <v>1</v>
      </c>
      <c r="P9828" s="903">
        <f t="shared" si="790"/>
        <v>0</v>
      </c>
      <c r="Q9828" s="893">
        <f t="shared" si="791"/>
        <v>0</v>
      </c>
      <c r="R9828" s="894">
        <f t="shared" si="792"/>
        <v>11</v>
      </c>
    </row>
    <row r="9829" spans="1:18" s="847" customFormat="1">
      <c r="A9829" s="895"/>
      <c r="B9829" s="896"/>
      <c r="C9829" s="897"/>
      <c r="D9829" s="897"/>
      <c r="E9829" s="1002" t="s">
        <v>108</v>
      </c>
      <c r="F9829" s="895"/>
      <c r="G9829" s="1004"/>
      <c r="H9829" s="901"/>
      <c r="I9829" s="902"/>
      <c r="J9829" s="902"/>
      <c r="K9829" s="912" t="s">
        <v>274</v>
      </c>
      <c r="L9829" s="902"/>
      <c r="M9829" s="902"/>
      <c r="N9829" s="902"/>
      <c r="O9829" s="892">
        <f t="shared" si="793"/>
        <v>0</v>
      </c>
      <c r="P9829" s="903">
        <f t="shared" si="790"/>
        <v>1</v>
      </c>
      <c r="Q9829" s="893">
        <f t="shared" si="791"/>
        <v>11</v>
      </c>
      <c r="R9829" s="894">
        <f t="shared" si="792"/>
        <v>0</v>
      </c>
    </row>
    <row r="9830" spans="1:18" s="904" customFormat="1">
      <c r="A9830" s="905"/>
      <c r="B9830" s="952"/>
      <c r="C9830" s="907">
        <v>315</v>
      </c>
      <c r="D9830" s="907" t="s">
        <v>279</v>
      </c>
      <c r="E9830" s="992" t="s">
        <v>6316</v>
      </c>
      <c r="F9830" s="905" t="s">
        <v>49</v>
      </c>
      <c r="G9830" s="1005"/>
      <c r="H9830" s="911">
        <v>0.5</v>
      </c>
      <c r="I9830" s="912">
        <f>VLOOKUP(E9830,[3]VLP!$B$7:$K$300,10,0)</f>
        <v>8000</v>
      </c>
      <c r="J9830" s="912">
        <f>I9830*H9830</f>
        <v>4000</v>
      </c>
      <c r="K9830" s="912" t="s">
        <v>274</v>
      </c>
      <c r="L9830" s="912"/>
      <c r="M9830" s="912"/>
      <c r="N9830" s="912"/>
      <c r="O9830" s="892">
        <f t="shared" si="793"/>
        <v>0</v>
      </c>
      <c r="P9830" s="903">
        <f t="shared" si="790"/>
        <v>1</v>
      </c>
      <c r="Q9830" s="893">
        <f t="shared" si="791"/>
        <v>10</v>
      </c>
      <c r="R9830" s="894">
        <f t="shared" si="792"/>
        <v>0</v>
      </c>
    </row>
    <row r="9831" spans="1:18">
      <c r="A9831" s="905"/>
      <c r="B9831" s="952"/>
      <c r="C9831" s="907">
        <v>235</v>
      </c>
      <c r="D9831" s="907" t="s">
        <v>279</v>
      </c>
      <c r="E9831" s="992" t="s">
        <v>2682</v>
      </c>
      <c r="F9831" s="905" t="s">
        <v>45</v>
      </c>
      <c r="G9831" s="1005"/>
      <c r="H9831" s="911">
        <v>0.3</v>
      </c>
      <c r="I9831" s="912">
        <f>VLOOKUP(E9831,[3]VLP!$B$7:$K$300,10,0)</f>
        <v>5000</v>
      </c>
      <c r="J9831" s="912">
        <f>I9831*H9831</f>
        <v>1500</v>
      </c>
      <c r="K9831" s="912" t="s">
        <v>274</v>
      </c>
      <c r="L9831" s="912"/>
      <c r="M9831" s="912"/>
      <c r="N9831" s="912"/>
      <c r="O9831" s="892">
        <f t="shared" si="793"/>
        <v>0</v>
      </c>
      <c r="P9831" s="903">
        <f t="shared" si="790"/>
        <v>1</v>
      </c>
      <c r="Q9831" s="893">
        <f t="shared" si="791"/>
        <v>9</v>
      </c>
      <c r="R9831" s="894">
        <f t="shared" si="792"/>
        <v>0</v>
      </c>
    </row>
    <row r="9832" spans="1:18" s="847" customFormat="1">
      <c r="A9832" s="905"/>
      <c r="B9832" s="952"/>
      <c r="C9832" s="907">
        <v>699</v>
      </c>
      <c r="D9832" s="907" t="s">
        <v>279</v>
      </c>
      <c r="E9832" s="992" t="s">
        <v>4006</v>
      </c>
      <c r="F9832" s="905" t="s">
        <v>4007</v>
      </c>
      <c r="G9832" s="1005"/>
      <c r="H9832" s="911">
        <v>10</v>
      </c>
      <c r="I9832" s="912">
        <f>VLOOKUP(E9832,[3]VLP!$B$7:$K$300,10,0)</f>
        <v>5000</v>
      </c>
      <c r="J9832" s="912">
        <f>I9832*H9832</f>
        <v>50000</v>
      </c>
      <c r="K9832" s="912" t="s">
        <v>274</v>
      </c>
      <c r="L9832" s="912"/>
      <c r="M9832" s="912"/>
      <c r="N9832" s="912"/>
      <c r="O9832" s="892">
        <f t="shared" si="793"/>
        <v>0</v>
      </c>
      <c r="P9832" s="903">
        <f t="shared" si="790"/>
        <v>1</v>
      </c>
      <c r="Q9832" s="893">
        <f t="shared" si="791"/>
        <v>8</v>
      </c>
      <c r="R9832" s="894">
        <f t="shared" si="792"/>
        <v>0</v>
      </c>
    </row>
    <row r="9833" spans="1:18" s="904" customFormat="1">
      <c r="A9833" s="895"/>
      <c r="B9833" s="896"/>
      <c r="C9833" s="897"/>
      <c r="D9833" s="897"/>
      <c r="E9833" s="1002" t="s">
        <v>276</v>
      </c>
      <c r="F9833" s="1003"/>
      <c r="G9833" s="1004"/>
      <c r="H9833" s="901"/>
      <c r="I9833" s="902"/>
      <c r="J9833" s="902"/>
      <c r="K9833" s="912" t="s">
        <v>274</v>
      </c>
      <c r="L9833" s="902"/>
      <c r="M9833" s="902"/>
      <c r="N9833" s="902"/>
      <c r="O9833" s="892">
        <f t="shared" si="793"/>
        <v>0</v>
      </c>
      <c r="P9833" s="903">
        <f t="shared" si="790"/>
        <v>1</v>
      </c>
      <c r="Q9833" s="893">
        <f t="shared" si="791"/>
        <v>7</v>
      </c>
      <c r="R9833" s="894">
        <f t="shared" si="792"/>
        <v>0</v>
      </c>
    </row>
    <row r="9834" spans="1:18">
      <c r="A9834" s="905"/>
      <c r="B9834" s="952"/>
      <c r="C9834" s="907">
        <v>740</v>
      </c>
      <c r="D9834" s="907" t="s">
        <v>12</v>
      </c>
      <c r="E9834" s="992" t="s">
        <v>4008</v>
      </c>
      <c r="F9834" s="905" t="s">
        <v>2674</v>
      </c>
      <c r="G9834" s="1005"/>
      <c r="H9834" s="911">
        <v>2.2000000000000002</v>
      </c>
      <c r="I9834" s="912"/>
      <c r="J9834" s="912"/>
      <c r="K9834" s="912">
        <f>VLOOKUP(E9834,[5]ĐMNC!$A$7:$F$67,4,0)</f>
        <v>221125</v>
      </c>
      <c r="L9834" s="912">
        <f>H9834*K9834</f>
        <v>486475.00000000006</v>
      </c>
      <c r="M9834" s="912"/>
      <c r="N9834" s="912"/>
      <c r="O9834" s="892">
        <f t="shared" si="793"/>
        <v>0</v>
      </c>
      <c r="P9834" s="903">
        <f t="shared" si="790"/>
        <v>1</v>
      </c>
      <c r="Q9834" s="893">
        <f t="shared" si="791"/>
        <v>6</v>
      </c>
      <c r="R9834" s="894">
        <f t="shared" si="792"/>
        <v>0</v>
      </c>
    </row>
    <row r="9835" spans="1:18" s="847" customFormat="1">
      <c r="A9835" s="895"/>
      <c r="B9835" s="896"/>
      <c r="C9835" s="897"/>
      <c r="D9835" s="897"/>
      <c r="E9835" s="1002" t="s">
        <v>3914</v>
      </c>
      <c r="F9835" s="895"/>
      <c r="G9835" s="1004"/>
      <c r="H9835" s="901"/>
      <c r="I9835" s="902"/>
      <c r="J9835" s="902"/>
      <c r="K9835" s="912" t="s">
        <v>274</v>
      </c>
      <c r="L9835" s="902"/>
      <c r="M9835" s="902"/>
      <c r="N9835" s="902"/>
      <c r="O9835" s="892">
        <f t="shared" si="793"/>
        <v>0</v>
      </c>
      <c r="P9835" s="903">
        <f t="shared" si="790"/>
        <v>1</v>
      </c>
      <c r="Q9835" s="893">
        <f t="shared" si="791"/>
        <v>5</v>
      </c>
      <c r="R9835" s="894">
        <f t="shared" si="792"/>
        <v>0</v>
      </c>
    </row>
    <row r="9836" spans="1:18" s="904" customFormat="1">
      <c r="A9836" s="905"/>
      <c r="B9836" s="952" t="s">
        <v>6408</v>
      </c>
      <c r="C9836" s="907">
        <v>913</v>
      </c>
      <c r="D9836" s="907" t="s">
        <v>93</v>
      </c>
      <c r="E9836" s="992" t="s">
        <v>6409</v>
      </c>
      <c r="F9836" s="905" t="s">
        <v>2673</v>
      </c>
      <c r="G9836" s="1005"/>
      <c r="H9836" s="911">
        <v>0.61</v>
      </c>
      <c r="I9836" s="912"/>
      <c r="J9836" s="912"/>
      <c r="K9836" s="912"/>
      <c r="L9836" s="912"/>
      <c r="M9836" s="912">
        <f>VLOOKUP(B9836,MTC!$B$9:$S$933,12,0)</f>
        <v>0</v>
      </c>
      <c r="N9836" s="912">
        <f>M9836*H9836</f>
        <v>0</v>
      </c>
      <c r="O9836" s="892">
        <f t="shared" si="793"/>
        <v>0</v>
      </c>
      <c r="P9836" s="903">
        <f t="shared" si="790"/>
        <v>1</v>
      </c>
      <c r="Q9836" s="893">
        <f t="shared" si="791"/>
        <v>4</v>
      </c>
      <c r="R9836" s="894">
        <f t="shared" si="792"/>
        <v>0</v>
      </c>
    </row>
    <row r="9837" spans="1:18">
      <c r="A9837" s="905"/>
      <c r="B9837" s="952" t="s">
        <v>6410</v>
      </c>
      <c r="C9837" s="907">
        <v>906</v>
      </c>
      <c r="D9837" s="907" t="s">
        <v>93</v>
      </c>
      <c r="E9837" s="992" t="s">
        <v>6411</v>
      </c>
      <c r="F9837" s="905" t="s">
        <v>2673</v>
      </c>
      <c r="G9837" s="1005"/>
      <c r="H9837" s="911">
        <v>0.21</v>
      </c>
      <c r="I9837" s="912"/>
      <c r="J9837" s="912"/>
      <c r="K9837" s="912"/>
      <c r="L9837" s="912"/>
      <c r="M9837" s="912">
        <f>VLOOKUP(B9837,MTC!$B$9:$S$933,12,0)</f>
        <v>0</v>
      </c>
      <c r="N9837" s="912">
        <f>M9837*H9837</f>
        <v>0</v>
      </c>
      <c r="O9837" s="892">
        <f t="shared" si="793"/>
        <v>0</v>
      </c>
      <c r="P9837" s="903">
        <f t="shared" si="790"/>
        <v>1</v>
      </c>
      <c r="Q9837" s="893">
        <f t="shared" si="791"/>
        <v>3</v>
      </c>
      <c r="R9837" s="894">
        <f t="shared" si="792"/>
        <v>0</v>
      </c>
    </row>
    <row r="9838" spans="1:18" s="847" customFormat="1">
      <c r="A9838" s="905"/>
      <c r="B9838" s="952" t="s">
        <v>6412</v>
      </c>
      <c r="C9838" s="907">
        <v>905</v>
      </c>
      <c r="D9838" s="907" t="s">
        <v>93</v>
      </c>
      <c r="E9838" s="992" t="s">
        <v>6413</v>
      </c>
      <c r="F9838" s="905" t="s">
        <v>2673</v>
      </c>
      <c r="G9838" s="1005"/>
      <c r="H9838" s="911">
        <v>0.21</v>
      </c>
      <c r="I9838" s="912"/>
      <c r="J9838" s="912"/>
      <c r="K9838" s="912"/>
      <c r="L9838" s="912"/>
      <c r="M9838" s="912">
        <f>VLOOKUP(B9838,MTC!$B$9:$S$933,12,0)</f>
        <v>225936</v>
      </c>
      <c r="N9838" s="912">
        <f>M9838*H9838</f>
        <v>47446.559999999998</v>
      </c>
      <c r="O9838" s="892">
        <f t="shared" si="793"/>
        <v>0</v>
      </c>
      <c r="P9838" s="903">
        <f t="shared" si="790"/>
        <v>1</v>
      </c>
      <c r="Q9838" s="893">
        <f t="shared" si="791"/>
        <v>2</v>
      </c>
      <c r="R9838" s="894">
        <f t="shared" si="792"/>
        <v>0</v>
      </c>
    </row>
    <row r="9839" spans="1:18" s="904" customFormat="1">
      <c r="A9839" s="905"/>
      <c r="B9839" s="952" t="s">
        <v>6414</v>
      </c>
      <c r="C9839" s="907">
        <v>914</v>
      </c>
      <c r="D9839" s="907" t="s">
        <v>93</v>
      </c>
      <c r="E9839" s="992" t="s">
        <v>6415</v>
      </c>
      <c r="F9839" s="905" t="s">
        <v>2673</v>
      </c>
      <c r="G9839" s="1005"/>
      <c r="H9839" s="911">
        <v>0.1</v>
      </c>
      <c r="I9839" s="912"/>
      <c r="J9839" s="912"/>
      <c r="K9839" s="912"/>
      <c r="L9839" s="912"/>
      <c r="M9839" s="912">
        <f>VLOOKUP(B9839,MTC!$B$9:$S$933,12,0)</f>
        <v>0</v>
      </c>
      <c r="N9839" s="912">
        <f>M9839*H9839</f>
        <v>0</v>
      </c>
      <c r="O9839" s="892">
        <f t="shared" si="793"/>
        <v>0</v>
      </c>
      <c r="P9839" s="903">
        <f t="shared" si="790"/>
        <v>1</v>
      </c>
      <c r="Q9839" s="893">
        <f t="shared" si="791"/>
        <v>1</v>
      </c>
      <c r="R9839" s="894">
        <f t="shared" si="792"/>
        <v>0</v>
      </c>
    </row>
    <row r="9840" spans="1:18" ht="31.5">
      <c r="A9840" s="905">
        <v>112</v>
      </c>
      <c r="B9840" s="914" t="s">
        <v>6575</v>
      </c>
      <c r="C9840" s="915"/>
      <c r="D9840" s="915"/>
      <c r="E9840" s="1006" t="s">
        <v>6576</v>
      </c>
      <c r="F9840" s="1007" t="s">
        <v>136</v>
      </c>
      <c r="G9840" s="1008"/>
      <c r="H9840" s="919"/>
      <c r="I9840" s="920"/>
      <c r="J9840" s="891">
        <f>SUM(J9841:J9851)</f>
        <v>55500</v>
      </c>
      <c r="K9840" s="891" t="s">
        <v>274</v>
      </c>
      <c r="L9840" s="891">
        <f>SUM(L9841:L9851)</f>
        <v>597037.5</v>
      </c>
      <c r="M9840" s="891"/>
      <c r="N9840" s="891">
        <f>SUM(N9841:N9851)</f>
        <v>56484</v>
      </c>
      <c r="O9840" s="892">
        <f t="shared" si="793"/>
        <v>1</v>
      </c>
      <c r="P9840" s="903">
        <f t="shared" si="790"/>
        <v>0</v>
      </c>
      <c r="Q9840" s="893">
        <f t="shared" si="791"/>
        <v>0</v>
      </c>
      <c r="R9840" s="894">
        <f t="shared" si="792"/>
        <v>11</v>
      </c>
    </row>
    <row r="9841" spans="1:18" s="847" customFormat="1">
      <c r="A9841" s="895"/>
      <c r="B9841" s="896"/>
      <c r="C9841" s="897"/>
      <c r="D9841" s="897"/>
      <c r="E9841" s="1002" t="s">
        <v>108</v>
      </c>
      <c r="F9841" s="895"/>
      <c r="G9841" s="1004"/>
      <c r="H9841" s="901"/>
      <c r="I9841" s="902"/>
      <c r="J9841" s="902"/>
      <c r="K9841" s="912" t="s">
        <v>274</v>
      </c>
      <c r="L9841" s="902"/>
      <c r="M9841" s="902"/>
      <c r="N9841" s="902"/>
      <c r="O9841" s="892">
        <f t="shared" si="793"/>
        <v>0</v>
      </c>
      <c r="P9841" s="903">
        <f t="shared" si="790"/>
        <v>1</v>
      </c>
      <c r="Q9841" s="893">
        <f t="shared" si="791"/>
        <v>11</v>
      </c>
      <c r="R9841" s="894">
        <f t="shared" si="792"/>
        <v>0</v>
      </c>
    </row>
    <row r="9842" spans="1:18" s="904" customFormat="1">
      <c r="A9842" s="905"/>
      <c r="B9842" s="952"/>
      <c r="C9842" s="907">
        <v>315</v>
      </c>
      <c r="D9842" s="907" t="s">
        <v>279</v>
      </c>
      <c r="E9842" s="992" t="s">
        <v>6316</v>
      </c>
      <c r="F9842" s="905" t="s">
        <v>49</v>
      </c>
      <c r="G9842" s="1005"/>
      <c r="H9842" s="911">
        <v>0.5</v>
      </c>
      <c r="I9842" s="912">
        <f>VLOOKUP(E9842,[3]VLP!$B$7:$K$300,10,0)</f>
        <v>8000</v>
      </c>
      <c r="J9842" s="912">
        <f>I9842*H9842</f>
        <v>4000</v>
      </c>
      <c r="K9842" s="912" t="s">
        <v>274</v>
      </c>
      <c r="L9842" s="912"/>
      <c r="M9842" s="912"/>
      <c r="N9842" s="912"/>
      <c r="O9842" s="892">
        <f t="shared" si="793"/>
        <v>0</v>
      </c>
      <c r="P9842" s="903">
        <f t="shared" si="790"/>
        <v>1</v>
      </c>
      <c r="Q9842" s="893">
        <f t="shared" si="791"/>
        <v>10</v>
      </c>
      <c r="R9842" s="894">
        <f t="shared" si="792"/>
        <v>0</v>
      </c>
    </row>
    <row r="9843" spans="1:18">
      <c r="A9843" s="905"/>
      <c r="B9843" s="952"/>
      <c r="C9843" s="907">
        <v>235</v>
      </c>
      <c r="D9843" s="907" t="s">
        <v>279</v>
      </c>
      <c r="E9843" s="992" t="s">
        <v>2682</v>
      </c>
      <c r="F9843" s="905" t="s">
        <v>45</v>
      </c>
      <c r="G9843" s="1005"/>
      <c r="H9843" s="911">
        <v>0.3</v>
      </c>
      <c r="I9843" s="912">
        <f>VLOOKUP(E9843,[3]VLP!$B$7:$K$300,10,0)</f>
        <v>5000</v>
      </c>
      <c r="J9843" s="912">
        <f>I9843*H9843</f>
        <v>1500</v>
      </c>
      <c r="K9843" s="912" t="s">
        <v>274</v>
      </c>
      <c r="L9843" s="912"/>
      <c r="M9843" s="912"/>
      <c r="N9843" s="912"/>
      <c r="O9843" s="892">
        <f t="shared" si="793"/>
        <v>0</v>
      </c>
      <c r="P9843" s="903">
        <f t="shared" ref="P9843:P9906" si="794">IF(O9843=0,1,0)</f>
        <v>1</v>
      </c>
      <c r="Q9843" s="893">
        <f t="shared" ref="Q9843:Q9906" si="795">IF(P9843=0,0,P9843+Q9844)</f>
        <v>9</v>
      </c>
      <c r="R9843" s="894">
        <f t="shared" ref="R9843:R9906" si="796">IF(Q9843=0,Q9844,0)</f>
        <v>0</v>
      </c>
    </row>
    <row r="9844" spans="1:18" s="847" customFormat="1">
      <c r="A9844" s="905"/>
      <c r="B9844" s="952"/>
      <c r="C9844" s="907">
        <v>699</v>
      </c>
      <c r="D9844" s="907" t="s">
        <v>279</v>
      </c>
      <c r="E9844" s="992" t="s">
        <v>4006</v>
      </c>
      <c r="F9844" s="905" t="s">
        <v>4007</v>
      </c>
      <c r="G9844" s="1005"/>
      <c r="H9844" s="911">
        <v>10</v>
      </c>
      <c r="I9844" s="912">
        <f>VLOOKUP(E9844,[3]VLP!$B$7:$K$300,10,0)</f>
        <v>5000</v>
      </c>
      <c r="J9844" s="912">
        <f>I9844*H9844</f>
        <v>50000</v>
      </c>
      <c r="K9844" s="912" t="s">
        <v>274</v>
      </c>
      <c r="L9844" s="912"/>
      <c r="M9844" s="912"/>
      <c r="N9844" s="912"/>
      <c r="O9844" s="892">
        <f t="shared" si="793"/>
        <v>0</v>
      </c>
      <c r="P9844" s="903">
        <f t="shared" si="794"/>
        <v>1</v>
      </c>
      <c r="Q9844" s="893">
        <f t="shared" si="795"/>
        <v>8</v>
      </c>
      <c r="R9844" s="894">
        <f t="shared" si="796"/>
        <v>0</v>
      </c>
    </row>
    <row r="9845" spans="1:18" s="904" customFormat="1">
      <c r="A9845" s="895"/>
      <c r="B9845" s="896"/>
      <c r="C9845" s="897"/>
      <c r="D9845" s="897"/>
      <c r="E9845" s="1002" t="s">
        <v>276</v>
      </c>
      <c r="F9845" s="1003"/>
      <c r="G9845" s="1004"/>
      <c r="H9845" s="901"/>
      <c r="I9845" s="902"/>
      <c r="J9845" s="902"/>
      <c r="K9845" s="912" t="s">
        <v>274</v>
      </c>
      <c r="L9845" s="902"/>
      <c r="M9845" s="902"/>
      <c r="N9845" s="902"/>
      <c r="O9845" s="892">
        <f t="shared" si="793"/>
        <v>0</v>
      </c>
      <c r="P9845" s="903">
        <f t="shared" si="794"/>
        <v>1</v>
      </c>
      <c r="Q9845" s="893">
        <f t="shared" si="795"/>
        <v>7</v>
      </c>
      <c r="R9845" s="894">
        <f t="shared" si="796"/>
        <v>0</v>
      </c>
    </row>
    <row r="9846" spans="1:18">
      <c r="A9846" s="905"/>
      <c r="B9846" s="952"/>
      <c r="C9846" s="907">
        <v>740</v>
      </c>
      <c r="D9846" s="907" t="s">
        <v>12</v>
      </c>
      <c r="E9846" s="992" t="s">
        <v>4008</v>
      </c>
      <c r="F9846" s="905" t="s">
        <v>2674</v>
      </c>
      <c r="G9846" s="1005"/>
      <c r="H9846" s="911">
        <v>2.7</v>
      </c>
      <c r="I9846" s="912"/>
      <c r="J9846" s="912"/>
      <c r="K9846" s="912">
        <f>VLOOKUP(E9846,[5]ĐMNC!$A$7:$F$67,4,0)</f>
        <v>221125</v>
      </c>
      <c r="L9846" s="912">
        <f>H9846*K9846</f>
        <v>597037.5</v>
      </c>
      <c r="M9846" s="912"/>
      <c r="N9846" s="912"/>
      <c r="O9846" s="892">
        <f t="shared" si="793"/>
        <v>0</v>
      </c>
      <c r="P9846" s="903">
        <f t="shared" si="794"/>
        <v>1</v>
      </c>
      <c r="Q9846" s="893">
        <f t="shared" si="795"/>
        <v>6</v>
      </c>
      <c r="R9846" s="894">
        <f t="shared" si="796"/>
        <v>0</v>
      </c>
    </row>
    <row r="9847" spans="1:18" s="847" customFormat="1">
      <c r="A9847" s="895"/>
      <c r="B9847" s="896"/>
      <c r="C9847" s="897"/>
      <c r="D9847" s="897"/>
      <c r="E9847" s="1002" t="s">
        <v>3914</v>
      </c>
      <c r="F9847" s="895"/>
      <c r="G9847" s="1004"/>
      <c r="H9847" s="901"/>
      <c r="I9847" s="902"/>
      <c r="J9847" s="902"/>
      <c r="K9847" s="912" t="s">
        <v>274</v>
      </c>
      <c r="L9847" s="902"/>
      <c r="M9847" s="902"/>
      <c r="N9847" s="902"/>
      <c r="O9847" s="892">
        <f t="shared" si="793"/>
        <v>0</v>
      </c>
      <c r="P9847" s="903">
        <f t="shared" si="794"/>
        <v>1</v>
      </c>
      <c r="Q9847" s="893">
        <f t="shared" si="795"/>
        <v>5</v>
      </c>
      <c r="R9847" s="894">
        <f t="shared" si="796"/>
        <v>0</v>
      </c>
    </row>
    <row r="9848" spans="1:18" s="904" customFormat="1">
      <c r="A9848" s="905"/>
      <c r="B9848" s="952" t="s">
        <v>6408</v>
      </c>
      <c r="C9848" s="907">
        <v>913</v>
      </c>
      <c r="D9848" s="907" t="s">
        <v>93</v>
      </c>
      <c r="E9848" s="992" t="s">
        <v>6409</v>
      </c>
      <c r="F9848" s="905" t="s">
        <v>2673</v>
      </c>
      <c r="G9848" s="1005"/>
      <c r="H9848" s="911">
        <v>0.72</v>
      </c>
      <c r="I9848" s="912"/>
      <c r="J9848" s="912"/>
      <c r="K9848" s="912"/>
      <c r="L9848" s="912"/>
      <c r="M9848" s="912">
        <f>VLOOKUP(B9848,MTC!$B$9:$S$933,12,0)</f>
        <v>0</v>
      </c>
      <c r="N9848" s="912">
        <f>M9848*H9848</f>
        <v>0</v>
      </c>
      <c r="O9848" s="892">
        <f t="shared" si="793"/>
        <v>0</v>
      </c>
      <c r="P9848" s="903">
        <f t="shared" si="794"/>
        <v>1</v>
      </c>
      <c r="Q9848" s="893">
        <f t="shared" si="795"/>
        <v>4</v>
      </c>
      <c r="R9848" s="894">
        <f t="shared" si="796"/>
        <v>0</v>
      </c>
    </row>
    <row r="9849" spans="1:18">
      <c r="A9849" s="905"/>
      <c r="B9849" s="952" t="s">
        <v>6410</v>
      </c>
      <c r="C9849" s="907">
        <v>906</v>
      </c>
      <c r="D9849" s="907" t="s">
        <v>93</v>
      </c>
      <c r="E9849" s="992" t="s">
        <v>6411</v>
      </c>
      <c r="F9849" s="905" t="s">
        <v>2673</v>
      </c>
      <c r="G9849" s="1005"/>
      <c r="H9849" s="911">
        <v>0.25</v>
      </c>
      <c r="I9849" s="912"/>
      <c r="J9849" s="912"/>
      <c r="K9849" s="912"/>
      <c r="L9849" s="912"/>
      <c r="M9849" s="912">
        <f>VLOOKUP(B9849,MTC!$B$9:$S$933,12,0)</f>
        <v>0</v>
      </c>
      <c r="N9849" s="912">
        <f>M9849*H9849</f>
        <v>0</v>
      </c>
      <c r="O9849" s="892">
        <f t="shared" si="793"/>
        <v>0</v>
      </c>
      <c r="P9849" s="903">
        <f t="shared" si="794"/>
        <v>1</v>
      </c>
      <c r="Q9849" s="893">
        <f t="shared" si="795"/>
        <v>3</v>
      </c>
      <c r="R9849" s="894">
        <f t="shared" si="796"/>
        <v>0</v>
      </c>
    </row>
    <row r="9850" spans="1:18" s="847" customFormat="1">
      <c r="A9850" s="905"/>
      <c r="B9850" s="952" t="s">
        <v>6412</v>
      </c>
      <c r="C9850" s="907">
        <v>905</v>
      </c>
      <c r="D9850" s="907" t="s">
        <v>93</v>
      </c>
      <c r="E9850" s="992" t="s">
        <v>6413</v>
      </c>
      <c r="F9850" s="905" t="s">
        <v>2673</v>
      </c>
      <c r="G9850" s="1005"/>
      <c r="H9850" s="911">
        <v>0.25</v>
      </c>
      <c r="I9850" s="912"/>
      <c r="J9850" s="912"/>
      <c r="K9850" s="912"/>
      <c r="L9850" s="912"/>
      <c r="M9850" s="912">
        <f>VLOOKUP(B9850,MTC!$B$9:$S$933,12,0)</f>
        <v>225936</v>
      </c>
      <c r="N9850" s="912">
        <f>M9850*H9850</f>
        <v>56484</v>
      </c>
      <c r="O9850" s="892">
        <f t="shared" si="793"/>
        <v>0</v>
      </c>
      <c r="P9850" s="903">
        <f t="shared" si="794"/>
        <v>1</v>
      </c>
      <c r="Q9850" s="893">
        <f t="shared" si="795"/>
        <v>2</v>
      </c>
      <c r="R9850" s="894">
        <f t="shared" si="796"/>
        <v>0</v>
      </c>
    </row>
    <row r="9851" spans="1:18" s="904" customFormat="1">
      <c r="A9851" s="905"/>
      <c r="B9851" s="952" t="s">
        <v>6414</v>
      </c>
      <c r="C9851" s="907">
        <v>914</v>
      </c>
      <c r="D9851" s="907" t="s">
        <v>93</v>
      </c>
      <c r="E9851" s="992" t="s">
        <v>6415</v>
      </c>
      <c r="F9851" s="905" t="s">
        <v>2673</v>
      </c>
      <c r="G9851" s="1005"/>
      <c r="H9851" s="911">
        <v>0.1</v>
      </c>
      <c r="I9851" s="912"/>
      <c r="J9851" s="912"/>
      <c r="K9851" s="912"/>
      <c r="L9851" s="912"/>
      <c r="M9851" s="912">
        <f>VLOOKUP(B9851,MTC!$B$9:$S$933,12,0)</f>
        <v>0</v>
      </c>
      <c r="N9851" s="912">
        <f>M9851*H9851</f>
        <v>0</v>
      </c>
      <c r="O9851" s="892">
        <f t="shared" si="793"/>
        <v>0</v>
      </c>
      <c r="P9851" s="903">
        <f t="shared" si="794"/>
        <v>1</v>
      </c>
      <c r="Q9851" s="893">
        <f t="shared" si="795"/>
        <v>1</v>
      </c>
      <c r="R9851" s="894">
        <f t="shared" si="796"/>
        <v>0</v>
      </c>
    </row>
    <row r="9852" spans="1:18" ht="31.5">
      <c r="A9852" s="905">
        <v>113</v>
      </c>
      <c r="B9852" s="914" t="s">
        <v>6577</v>
      </c>
      <c r="C9852" s="915"/>
      <c r="D9852" s="915"/>
      <c r="E9852" s="1006" t="s">
        <v>6578</v>
      </c>
      <c r="F9852" s="1007" t="s">
        <v>136</v>
      </c>
      <c r="G9852" s="1008"/>
      <c r="H9852" s="919"/>
      <c r="I9852" s="920"/>
      <c r="J9852" s="891">
        <f>SUM(J9853:J9863)</f>
        <v>55500</v>
      </c>
      <c r="K9852" s="891" t="s">
        <v>274</v>
      </c>
      <c r="L9852" s="891">
        <f>SUM(L9853:L9863)</f>
        <v>729712.5</v>
      </c>
      <c r="M9852" s="891"/>
      <c r="N9852" s="891">
        <f>SUM(N9853:N9863)</f>
        <v>61002.720000000001</v>
      </c>
      <c r="O9852" s="892">
        <f t="shared" si="793"/>
        <v>1</v>
      </c>
      <c r="P9852" s="903">
        <f t="shared" si="794"/>
        <v>0</v>
      </c>
      <c r="Q9852" s="893">
        <f t="shared" si="795"/>
        <v>0</v>
      </c>
      <c r="R9852" s="894">
        <f t="shared" si="796"/>
        <v>11</v>
      </c>
    </row>
    <row r="9853" spans="1:18" s="847" customFormat="1">
      <c r="A9853" s="895"/>
      <c r="B9853" s="896"/>
      <c r="C9853" s="897"/>
      <c r="D9853" s="897"/>
      <c r="E9853" s="1002" t="s">
        <v>108</v>
      </c>
      <c r="F9853" s="895"/>
      <c r="G9853" s="1004"/>
      <c r="H9853" s="901"/>
      <c r="I9853" s="902"/>
      <c r="J9853" s="902"/>
      <c r="K9853" s="912" t="s">
        <v>274</v>
      </c>
      <c r="L9853" s="902"/>
      <c r="M9853" s="902"/>
      <c r="N9853" s="902"/>
      <c r="O9853" s="892">
        <f t="shared" si="793"/>
        <v>0</v>
      </c>
      <c r="P9853" s="903">
        <f t="shared" si="794"/>
        <v>1</v>
      </c>
      <c r="Q9853" s="893">
        <f t="shared" si="795"/>
        <v>11</v>
      </c>
      <c r="R9853" s="894">
        <f t="shared" si="796"/>
        <v>0</v>
      </c>
    </row>
    <row r="9854" spans="1:18" s="904" customFormat="1">
      <c r="A9854" s="905"/>
      <c r="B9854" s="952"/>
      <c r="C9854" s="907">
        <v>315</v>
      </c>
      <c r="D9854" s="907" t="s">
        <v>279</v>
      </c>
      <c r="E9854" s="992" t="s">
        <v>6316</v>
      </c>
      <c r="F9854" s="905" t="s">
        <v>49</v>
      </c>
      <c r="G9854" s="1005"/>
      <c r="H9854" s="911">
        <v>0.5</v>
      </c>
      <c r="I9854" s="912">
        <f>VLOOKUP(E9854,[3]VLP!$B$7:$K$300,10,0)</f>
        <v>8000</v>
      </c>
      <c r="J9854" s="912">
        <f>I9854*H9854</f>
        <v>4000</v>
      </c>
      <c r="K9854" s="912" t="s">
        <v>274</v>
      </c>
      <c r="L9854" s="912"/>
      <c r="M9854" s="912"/>
      <c r="N9854" s="912"/>
      <c r="O9854" s="892">
        <f t="shared" si="793"/>
        <v>0</v>
      </c>
      <c r="P9854" s="903">
        <f t="shared" si="794"/>
        <v>1</v>
      </c>
      <c r="Q9854" s="893">
        <f t="shared" si="795"/>
        <v>10</v>
      </c>
      <c r="R9854" s="894">
        <f t="shared" si="796"/>
        <v>0</v>
      </c>
    </row>
    <row r="9855" spans="1:18">
      <c r="A9855" s="905"/>
      <c r="B9855" s="952"/>
      <c r="C9855" s="907">
        <v>235</v>
      </c>
      <c r="D9855" s="907" t="s">
        <v>279</v>
      </c>
      <c r="E9855" s="992" t="s">
        <v>2682</v>
      </c>
      <c r="F9855" s="905" t="s">
        <v>45</v>
      </c>
      <c r="G9855" s="1005"/>
      <c r="H9855" s="911">
        <v>0.3</v>
      </c>
      <c r="I9855" s="912">
        <f>VLOOKUP(E9855,[3]VLP!$B$7:$K$300,10,0)</f>
        <v>5000</v>
      </c>
      <c r="J9855" s="912">
        <f>I9855*H9855</f>
        <v>1500</v>
      </c>
      <c r="K9855" s="912" t="s">
        <v>274</v>
      </c>
      <c r="L9855" s="912"/>
      <c r="M9855" s="912"/>
      <c r="N9855" s="912"/>
      <c r="O9855" s="892">
        <f t="shared" si="793"/>
        <v>0</v>
      </c>
      <c r="P9855" s="903">
        <f t="shared" si="794"/>
        <v>1</v>
      </c>
      <c r="Q9855" s="893">
        <f t="shared" si="795"/>
        <v>9</v>
      </c>
      <c r="R9855" s="894">
        <f t="shared" si="796"/>
        <v>0</v>
      </c>
    </row>
    <row r="9856" spans="1:18" s="847" customFormat="1">
      <c r="A9856" s="905"/>
      <c r="B9856" s="952"/>
      <c r="C9856" s="907">
        <v>699</v>
      </c>
      <c r="D9856" s="907" t="s">
        <v>279</v>
      </c>
      <c r="E9856" s="992" t="s">
        <v>4006</v>
      </c>
      <c r="F9856" s="905" t="s">
        <v>4007</v>
      </c>
      <c r="G9856" s="1005"/>
      <c r="H9856" s="911">
        <v>10</v>
      </c>
      <c r="I9856" s="912">
        <f>VLOOKUP(E9856,[3]VLP!$B$7:$K$300,10,0)</f>
        <v>5000</v>
      </c>
      <c r="J9856" s="912">
        <f>I9856*H9856</f>
        <v>50000</v>
      </c>
      <c r="K9856" s="912" t="s">
        <v>274</v>
      </c>
      <c r="L9856" s="912"/>
      <c r="M9856" s="912"/>
      <c r="N9856" s="912"/>
      <c r="O9856" s="892">
        <f t="shared" si="793"/>
        <v>0</v>
      </c>
      <c r="P9856" s="903">
        <f t="shared" si="794"/>
        <v>1</v>
      </c>
      <c r="Q9856" s="893">
        <f t="shared" si="795"/>
        <v>8</v>
      </c>
      <c r="R9856" s="894">
        <f t="shared" si="796"/>
        <v>0</v>
      </c>
    </row>
    <row r="9857" spans="1:18" s="904" customFormat="1">
      <c r="A9857" s="895"/>
      <c r="B9857" s="896"/>
      <c r="C9857" s="897"/>
      <c r="D9857" s="897"/>
      <c r="E9857" s="1002" t="s">
        <v>276</v>
      </c>
      <c r="F9857" s="1003"/>
      <c r="G9857" s="1004"/>
      <c r="H9857" s="901"/>
      <c r="I9857" s="902"/>
      <c r="J9857" s="902"/>
      <c r="K9857" s="912" t="s">
        <v>274</v>
      </c>
      <c r="L9857" s="902"/>
      <c r="M9857" s="902"/>
      <c r="N9857" s="902"/>
      <c r="O9857" s="892">
        <f t="shared" si="793"/>
        <v>0</v>
      </c>
      <c r="P9857" s="903">
        <f t="shared" si="794"/>
        <v>1</v>
      </c>
      <c r="Q9857" s="893">
        <f t="shared" si="795"/>
        <v>7</v>
      </c>
      <c r="R9857" s="894">
        <f t="shared" si="796"/>
        <v>0</v>
      </c>
    </row>
    <row r="9858" spans="1:18">
      <c r="A9858" s="905"/>
      <c r="B9858" s="952"/>
      <c r="C9858" s="907">
        <v>740</v>
      </c>
      <c r="D9858" s="907" t="s">
        <v>12</v>
      </c>
      <c r="E9858" s="992" t="s">
        <v>4008</v>
      </c>
      <c r="F9858" s="905" t="s">
        <v>2674</v>
      </c>
      <c r="G9858" s="1005"/>
      <c r="H9858" s="911">
        <v>3.3</v>
      </c>
      <c r="I9858" s="912"/>
      <c r="J9858" s="912"/>
      <c r="K9858" s="912">
        <f>VLOOKUP(E9858,[5]ĐMNC!$A$7:$F$67,4,0)</f>
        <v>221125</v>
      </c>
      <c r="L9858" s="912">
        <f>H9858*K9858</f>
        <v>729712.5</v>
      </c>
      <c r="M9858" s="912"/>
      <c r="N9858" s="912"/>
      <c r="O9858" s="892">
        <f t="shared" si="793"/>
        <v>0</v>
      </c>
      <c r="P9858" s="903">
        <f t="shared" si="794"/>
        <v>1</v>
      </c>
      <c r="Q9858" s="893">
        <f t="shared" si="795"/>
        <v>6</v>
      </c>
      <c r="R9858" s="894">
        <f t="shared" si="796"/>
        <v>0</v>
      </c>
    </row>
    <row r="9859" spans="1:18" s="847" customFormat="1">
      <c r="A9859" s="895"/>
      <c r="B9859" s="896"/>
      <c r="C9859" s="897"/>
      <c r="D9859" s="897"/>
      <c r="E9859" s="1002" t="s">
        <v>3914</v>
      </c>
      <c r="F9859" s="895"/>
      <c r="G9859" s="1004"/>
      <c r="H9859" s="901"/>
      <c r="I9859" s="902"/>
      <c r="J9859" s="902"/>
      <c r="K9859" s="912" t="s">
        <v>274</v>
      </c>
      <c r="L9859" s="902"/>
      <c r="M9859" s="902"/>
      <c r="N9859" s="902"/>
      <c r="O9859" s="892">
        <f t="shared" si="793"/>
        <v>0</v>
      </c>
      <c r="P9859" s="903">
        <f t="shared" si="794"/>
        <v>1</v>
      </c>
      <c r="Q9859" s="893">
        <f t="shared" si="795"/>
        <v>5</v>
      </c>
      <c r="R9859" s="894">
        <f t="shared" si="796"/>
        <v>0</v>
      </c>
    </row>
    <row r="9860" spans="1:18" s="904" customFormat="1">
      <c r="A9860" s="905"/>
      <c r="B9860" s="952" t="s">
        <v>6408</v>
      </c>
      <c r="C9860" s="907">
        <v>913</v>
      </c>
      <c r="D9860" s="907" t="s">
        <v>93</v>
      </c>
      <c r="E9860" s="992" t="s">
        <v>6409</v>
      </c>
      <c r="F9860" s="905" t="s">
        <v>2673</v>
      </c>
      <c r="G9860" s="1005"/>
      <c r="H9860" s="911">
        <v>0.86</v>
      </c>
      <c r="I9860" s="912"/>
      <c r="J9860" s="912"/>
      <c r="K9860" s="912"/>
      <c r="L9860" s="912"/>
      <c r="M9860" s="912">
        <f>VLOOKUP(B9860,MTC!$B$9:$S$933,12,0)</f>
        <v>0</v>
      </c>
      <c r="N9860" s="912">
        <f>M9860*H9860</f>
        <v>0</v>
      </c>
      <c r="O9860" s="892">
        <f t="shared" si="793"/>
        <v>0</v>
      </c>
      <c r="P9860" s="903">
        <f t="shared" si="794"/>
        <v>1</v>
      </c>
      <c r="Q9860" s="893">
        <f t="shared" si="795"/>
        <v>4</v>
      </c>
      <c r="R9860" s="894">
        <f t="shared" si="796"/>
        <v>0</v>
      </c>
    </row>
    <row r="9861" spans="1:18">
      <c r="A9861" s="905"/>
      <c r="B9861" s="952" t="s">
        <v>6410</v>
      </c>
      <c r="C9861" s="907">
        <v>906</v>
      </c>
      <c r="D9861" s="907" t="s">
        <v>93</v>
      </c>
      <c r="E9861" s="992" t="s">
        <v>6411</v>
      </c>
      <c r="F9861" s="905" t="s">
        <v>2673</v>
      </c>
      <c r="G9861" s="1005"/>
      <c r="H9861" s="911">
        <v>0.27</v>
      </c>
      <c r="I9861" s="912"/>
      <c r="J9861" s="912"/>
      <c r="K9861" s="912"/>
      <c r="L9861" s="912"/>
      <c r="M9861" s="912">
        <f>VLOOKUP(B9861,MTC!$B$9:$S$933,12,0)</f>
        <v>0</v>
      </c>
      <c r="N9861" s="912">
        <f>M9861*H9861</f>
        <v>0</v>
      </c>
      <c r="O9861" s="892">
        <f t="shared" si="793"/>
        <v>0</v>
      </c>
      <c r="P9861" s="903">
        <f t="shared" si="794"/>
        <v>1</v>
      </c>
      <c r="Q9861" s="893">
        <f t="shared" si="795"/>
        <v>3</v>
      </c>
      <c r="R9861" s="894">
        <f t="shared" si="796"/>
        <v>0</v>
      </c>
    </row>
    <row r="9862" spans="1:18" s="847" customFormat="1">
      <c r="A9862" s="905"/>
      <c r="B9862" s="952" t="s">
        <v>6412</v>
      </c>
      <c r="C9862" s="907">
        <v>905</v>
      </c>
      <c r="D9862" s="907" t="s">
        <v>93</v>
      </c>
      <c r="E9862" s="992" t="s">
        <v>6413</v>
      </c>
      <c r="F9862" s="905" t="s">
        <v>2673</v>
      </c>
      <c r="G9862" s="1005"/>
      <c r="H9862" s="911">
        <v>0.27</v>
      </c>
      <c r="I9862" s="912"/>
      <c r="J9862" s="912"/>
      <c r="K9862" s="912"/>
      <c r="L9862" s="912"/>
      <c r="M9862" s="912">
        <f>VLOOKUP(B9862,MTC!$B$9:$S$933,12,0)</f>
        <v>225936</v>
      </c>
      <c r="N9862" s="912">
        <f>M9862*H9862</f>
        <v>61002.720000000001</v>
      </c>
      <c r="O9862" s="892">
        <f t="shared" si="793"/>
        <v>0</v>
      </c>
      <c r="P9862" s="903">
        <f t="shared" si="794"/>
        <v>1</v>
      </c>
      <c r="Q9862" s="893">
        <f t="shared" si="795"/>
        <v>2</v>
      </c>
      <c r="R9862" s="894">
        <f t="shared" si="796"/>
        <v>0</v>
      </c>
    </row>
    <row r="9863" spans="1:18" s="904" customFormat="1">
      <c r="A9863" s="905"/>
      <c r="B9863" s="952" t="s">
        <v>6414</v>
      </c>
      <c r="C9863" s="907">
        <v>914</v>
      </c>
      <c r="D9863" s="907" t="s">
        <v>93</v>
      </c>
      <c r="E9863" s="992" t="s">
        <v>6415</v>
      </c>
      <c r="F9863" s="905" t="s">
        <v>2673</v>
      </c>
      <c r="G9863" s="1005"/>
      <c r="H9863" s="911">
        <v>0.1</v>
      </c>
      <c r="I9863" s="912"/>
      <c r="J9863" s="912"/>
      <c r="K9863" s="912"/>
      <c r="L9863" s="912"/>
      <c r="M9863" s="912">
        <f>VLOOKUP(B9863,MTC!$B$9:$S$933,12,0)</f>
        <v>0</v>
      </c>
      <c r="N9863" s="912">
        <f>M9863*H9863</f>
        <v>0</v>
      </c>
      <c r="O9863" s="892">
        <f t="shared" si="793"/>
        <v>0</v>
      </c>
      <c r="P9863" s="903">
        <f t="shared" si="794"/>
        <v>1</v>
      </c>
      <c r="Q9863" s="893">
        <f t="shared" si="795"/>
        <v>1</v>
      </c>
      <c r="R9863" s="894">
        <f t="shared" si="796"/>
        <v>0</v>
      </c>
    </row>
    <row r="9864" spans="1:18" ht="31.5">
      <c r="A9864" s="905">
        <v>114</v>
      </c>
      <c r="B9864" s="914" t="s">
        <v>6579</v>
      </c>
      <c r="C9864" s="915"/>
      <c r="D9864" s="915"/>
      <c r="E9864" s="1006" t="s">
        <v>6580</v>
      </c>
      <c r="F9864" s="1007" t="s">
        <v>136</v>
      </c>
      <c r="G9864" s="1008"/>
      <c r="H9864" s="919"/>
      <c r="I9864" s="920"/>
      <c r="J9864" s="891">
        <f>SUM(J9865:J9875)</f>
        <v>55500</v>
      </c>
      <c r="K9864" s="891" t="s">
        <v>274</v>
      </c>
      <c r="L9864" s="891">
        <f>SUM(L9865:L9875)</f>
        <v>875655</v>
      </c>
      <c r="M9864" s="891"/>
      <c r="N9864" s="891">
        <f>SUM(N9865:N9875)</f>
        <v>72299.520000000004</v>
      </c>
      <c r="O9864" s="892">
        <f t="shared" si="793"/>
        <v>1</v>
      </c>
      <c r="P9864" s="903">
        <f t="shared" si="794"/>
        <v>0</v>
      </c>
      <c r="Q9864" s="893">
        <f t="shared" si="795"/>
        <v>0</v>
      </c>
      <c r="R9864" s="894">
        <f t="shared" si="796"/>
        <v>11</v>
      </c>
    </row>
    <row r="9865" spans="1:18" s="847" customFormat="1">
      <c r="A9865" s="895"/>
      <c r="B9865" s="896"/>
      <c r="C9865" s="897"/>
      <c r="D9865" s="897"/>
      <c r="E9865" s="1002" t="s">
        <v>108</v>
      </c>
      <c r="F9865" s="895"/>
      <c r="G9865" s="1004"/>
      <c r="H9865" s="901"/>
      <c r="I9865" s="902"/>
      <c r="J9865" s="902"/>
      <c r="K9865" s="912" t="s">
        <v>274</v>
      </c>
      <c r="L9865" s="902"/>
      <c r="M9865" s="902"/>
      <c r="N9865" s="902"/>
      <c r="O9865" s="892">
        <f t="shared" si="793"/>
        <v>0</v>
      </c>
      <c r="P9865" s="903">
        <f t="shared" si="794"/>
        <v>1</v>
      </c>
      <c r="Q9865" s="893">
        <f t="shared" si="795"/>
        <v>11</v>
      </c>
      <c r="R9865" s="894">
        <f t="shared" si="796"/>
        <v>0</v>
      </c>
    </row>
    <row r="9866" spans="1:18" s="904" customFormat="1">
      <c r="A9866" s="905"/>
      <c r="B9866" s="952"/>
      <c r="C9866" s="907">
        <v>315</v>
      </c>
      <c r="D9866" s="907" t="s">
        <v>279</v>
      </c>
      <c r="E9866" s="992" t="s">
        <v>6316</v>
      </c>
      <c r="F9866" s="905" t="s">
        <v>49</v>
      </c>
      <c r="G9866" s="1005"/>
      <c r="H9866" s="911">
        <v>0.5</v>
      </c>
      <c r="I9866" s="912">
        <f>VLOOKUP(E9866,[3]VLP!$B$7:$K$300,10,0)</f>
        <v>8000</v>
      </c>
      <c r="J9866" s="912">
        <f>I9866*H9866</f>
        <v>4000</v>
      </c>
      <c r="K9866" s="912" t="s">
        <v>274</v>
      </c>
      <c r="L9866" s="912"/>
      <c r="M9866" s="912"/>
      <c r="N9866" s="912"/>
      <c r="O9866" s="892">
        <f t="shared" si="793"/>
        <v>0</v>
      </c>
      <c r="P9866" s="903">
        <f t="shared" si="794"/>
        <v>1</v>
      </c>
      <c r="Q9866" s="893">
        <f t="shared" si="795"/>
        <v>10</v>
      </c>
      <c r="R9866" s="894">
        <f t="shared" si="796"/>
        <v>0</v>
      </c>
    </row>
    <row r="9867" spans="1:18">
      <c r="A9867" s="905"/>
      <c r="B9867" s="952"/>
      <c r="C9867" s="907">
        <v>235</v>
      </c>
      <c r="D9867" s="907" t="s">
        <v>279</v>
      </c>
      <c r="E9867" s="992" t="s">
        <v>2682</v>
      </c>
      <c r="F9867" s="905" t="s">
        <v>45</v>
      </c>
      <c r="G9867" s="1005"/>
      <c r="H9867" s="911">
        <v>0.3</v>
      </c>
      <c r="I9867" s="912">
        <f>VLOOKUP(E9867,[3]VLP!$B$7:$K$300,10,0)</f>
        <v>5000</v>
      </c>
      <c r="J9867" s="912">
        <f>I9867*H9867</f>
        <v>1500</v>
      </c>
      <c r="K9867" s="912" t="s">
        <v>274</v>
      </c>
      <c r="L9867" s="912"/>
      <c r="M9867" s="912"/>
      <c r="N9867" s="912"/>
      <c r="O9867" s="892">
        <f t="shared" si="793"/>
        <v>0</v>
      </c>
      <c r="P9867" s="903">
        <f t="shared" si="794"/>
        <v>1</v>
      </c>
      <c r="Q9867" s="893">
        <f t="shared" si="795"/>
        <v>9</v>
      </c>
      <c r="R9867" s="894">
        <f t="shared" si="796"/>
        <v>0</v>
      </c>
    </row>
    <row r="9868" spans="1:18" s="847" customFormat="1">
      <c r="A9868" s="905"/>
      <c r="B9868" s="952"/>
      <c r="C9868" s="907">
        <v>699</v>
      </c>
      <c r="D9868" s="907" t="s">
        <v>279</v>
      </c>
      <c r="E9868" s="992" t="s">
        <v>4006</v>
      </c>
      <c r="F9868" s="905" t="s">
        <v>4007</v>
      </c>
      <c r="G9868" s="1005"/>
      <c r="H9868" s="911">
        <v>10</v>
      </c>
      <c r="I9868" s="912">
        <f>VLOOKUP(E9868,[3]VLP!$B$7:$K$300,10,0)</f>
        <v>5000</v>
      </c>
      <c r="J9868" s="912">
        <f>I9868*H9868</f>
        <v>50000</v>
      </c>
      <c r="K9868" s="912" t="s">
        <v>274</v>
      </c>
      <c r="L9868" s="912"/>
      <c r="M9868" s="912"/>
      <c r="N9868" s="912"/>
      <c r="O9868" s="892">
        <f t="shared" si="793"/>
        <v>0</v>
      </c>
      <c r="P9868" s="903">
        <f t="shared" si="794"/>
        <v>1</v>
      </c>
      <c r="Q9868" s="893">
        <f t="shared" si="795"/>
        <v>8</v>
      </c>
      <c r="R9868" s="894">
        <f t="shared" si="796"/>
        <v>0</v>
      </c>
    </row>
    <row r="9869" spans="1:18" s="904" customFormat="1">
      <c r="A9869" s="895"/>
      <c r="B9869" s="896"/>
      <c r="C9869" s="897"/>
      <c r="D9869" s="897"/>
      <c r="E9869" s="1002" t="s">
        <v>276</v>
      </c>
      <c r="F9869" s="1003"/>
      <c r="G9869" s="1004"/>
      <c r="H9869" s="901"/>
      <c r="I9869" s="902"/>
      <c r="J9869" s="902"/>
      <c r="K9869" s="912" t="s">
        <v>274</v>
      </c>
      <c r="L9869" s="902"/>
      <c r="M9869" s="902"/>
      <c r="N9869" s="902"/>
      <c r="O9869" s="892">
        <f t="shared" si="793"/>
        <v>0</v>
      </c>
      <c r="P9869" s="903">
        <f t="shared" si="794"/>
        <v>1</v>
      </c>
      <c r="Q9869" s="893">
        <f t="shared" si="795"/>
        <v>7</v>
      </c>
      <c r="R9869" s="894">
        <f t="shared" si="796"/>
        <v>0</v>
      </c>
    </row>
    <row r="9870" spans="1:18">
      <c r="A9870" s="905"/>
      <c r="B9870" s="952"/>
      <c r="C9870" s="907">
        <v>740</v>
      </c>
      <c r="D9870" s="907" t="s">
        <v>12</v>
      </c>
      <c r="E9870" s="992" t="s">
        <v>4008</v>
      </c>
      <c r="F9870" s="905" t="s">
        <v>2674</v>
      </c>
      <c r="G9870" s="1005"/>
      <c r="H9870" s="911">
        <v>3.96</v>
      </c>
      <c r="I9870" s="912"/>
      <c r="J9870" s="912"/>
      <c r="K9870" s="912">
        <f>VLOOKUP(E9870,[5]ĐMNC!$A$7:$F$67,4,0)</f>
        <v>221125</v>
      </c>
      <c r="L9870" s="912">
        <f>H9870*K9870</f>
        <v>875655</v>
      </c>
      <c r="M9870" s="912"/>
      <c r="N9870" s="912"/>
      <c r="O9870" s="892">
        <f t="shared" si="793"/>
        <v>0</v>
      </c>
      <c r="P9870" s="903">
        <f t="shared" si="794"/>
        <v>1</v>
      </c>
      <c r="Q9870" s="893">
        <f t="shared" si="795"/>
        <v>6</v>
      </c>
      <c r="R9870" s="894">
        <f t="shared" si="796"/>
        <v>0</v>
      </c>
    </row>
    <row r="9871" spans="1:18" s="847" customFormat="1">
      <c r="A9871" s="895"/>
      <c r="B9871" s="896"/>
      <c r="C9871" s="897"/>
      <c r="D9871" s="897"/>
      <c r="E9871" s="1002" t="s">
        <v>3914</v>
      </c>
      <c r="F9871" s="895"/>
      <c r="G9871" s="1004"/>
      <c r="H9871" s="901"/>
      <c r="I9871" s="902"/>
      <c r="J9871" s="902"/>
      <c r="K9871" s="912" t="s">
        <v>274</v>
      </c>
      <c r="L9871" s="902"/>
      <c r="M9871" s="902"/>
      <c r="N9871" s="902"/>
      <c r="O9871" s="892">
        <f t="shared" si="793"/>
        <v>0</v>
      </c>
      <c r="P9871" s="903">
        <f t="shared" si="794"/>
        <v>1</v>
      </c>
      <c r="Q9871" s="893">
        <f t="shared" si="795"/>
        <v>5</v>
      </c>
      <c r="R9871" s="894">
        <f t="shared" si="796"/>
        <v>0</v>
      </c>
    </row>
    <row r="9872" spans="1:18" s="904" customFormat="1">
      <c r="A9872" s="905"/>
      <c r="B9872" s="952" t="s">
        <v>6408</v>
      </c>
      <c r="C9872" s="907">
        <v>913</v>
      </c>
      <c r="D9872" s="907" t="s">
        <v>93</v>
      </c>
      <c r="E9872" s="992" t="s">
        <v>6409</v>
      </c>
      <c r="F9872" s="905" t="s">
        <v>2673</v>
      </c>
      <c r="G9872" s="1005"/>
      <c r="H9872" s="911">
        <v>1.1399999999999999</v>
      </c>
      <c r="I9872" s="912"/>
      <c r="J9872" s="912"/>
      <c r="K9872" s="912"/>
      <c r="L9872" s="912"/>
      <c r="M9872" s="912">
        <f>VLOOKUP(B9872,MTC!$B$9:$S$933,12,0)</f>
        <v>0</v>
      </c>
      <c r="N9872" s="912">
        <f>M9872*H9872</f>
        <v>0</v>
      </c>
      <c r="O9872" s="892">
        <f t="shared" si="793"/>
        <v>0</v>
      </c>
      <c r="P9872" s="903">
        <f t="shared" si="794"/>
        <v>1</v>
      </c>
      <c r="Q9872" s="893">
        <f t="shared" si="795"/>
        <v>4</v>
      </c>
      <c r="R9872" s="894">
        <f t="shared" si="796"/>
        <v>0</v>
      </c>
    </row>
    <row r="9873" spans="1:18">
      <c r="A9873" s="905"/>
      <c r="B9873" s="952" t="s">
        <v>6410</v>
      </c>
      <c r="C9873" s="907">
        <v>906</v>
      </c>
      <c r="D9873" s="907" t="s">
        <v>93</v>
      </c>
      <c r="E9873" s="992" t="s">
        <v>6411</v>
      </c>
      <c r="F9873" s="905" t="s">
        <v>2673</v>
      </c>
      <c r="G9873" s="1005"/>
      <c r="H9873" s="911">
        <v>0.32</v>
      </c>
      <c r="I9873" s="912"/>
      <c r="J9873" s="912"/>
      <c r="K9873" s="912"/>
      <c r="L9873" s="912"/>
      <c r="M9873" s="912">
        <f>VLOOKUP(B9873,MTC!$B$9:$S$933,12,0)</f>
        <v>0</v>
      </c>
      <c r="N9873" s="912">
        <f>M9873*H9873</f>
        <v>0</v>
      </c>
      <c r="O9873" s="892">
        <f t="shared" si="793"/>
        <v>0</v>
      </c>
      <c r="P9873" s="903">
        <f t="shared" si="794"/>
        <v>1</v>
      </c>
      <c r="Q9873" s="893">
        <f t="shared" si="795"/>
        <v>3</v>
      </c>
      <c r="R9873" s="894">
        <f t="shared" si="796"/>
        <v>0</v>
      </c>
    </row>
    <row r="9874" spans="1:18" s="847" customFormat="1">
      <c r="A9874" s="905"/>
      <c r="B9874" s="952" t="s">
        <v>6412</v>
      </c>
      <c r="C9874" s="907">
        <v>905</v>
      </c>
      <c r="D9874" s="907" t="s">
        <v>93</v>
      </c>
      <c r="E9874" s="992" t="s">
        <v>6413</v>
      </c>
      <c r="F9874" s="905" t="s">
        <v>2673</v>
      </c>
      <c r="G9874" s="1005"/>
      <c r="H9874" s="911">
        <v>0.32</v>
      </c>
      <c r="I9874" s="912"/>
      <c r="J9874" s="912"/>
      <c r="K9874" s="912"/>
      <c r="L9874" s="912"/>
      <c r="M9874" s="912">
        <f>VLOOKUP(B9874,MTC!$B$9:$S$933,12,0)</f>
        <v>225936</v>
      </c>
      <c r="N9874" s="912">
        <f>M9874*H9874</f>
        <v>72299.520000000004</v>
      </c>
      <c r="O9874" s="892">
        <f t="shared" si="793"/>
        <v>0</v>
      </c>
      <c r="P9874" s="903">
        <f t="shared" si="794"/>
        <v>1</v>
      </c>
      <c r="Q9874" s="893">
        <f t="shared" si="795"/>
        <v>2</v>
      </c>
      <c r="R9874" s="894">
        <f t="shared" si="796"/>
        <v>0</v>
      </c>
    </row>
    <row r="9875" spans="1:18" s="904" customFormat="1">
      <c r="A9875" s="905"/>
      <c r="B9875" s="952" t="s">
        <v>6414</v>
      </c>
      <c r="C9875" s="907">
        <v>914</v>
      </c>
      <c r="D9875" s="907" t="s">
        <v>93</v>
      </c>
      <c r="E9875" s="992" t="s">
        <v>6415</v>
      </c>
      <c r="F9875" s="905" t="s">
        <v>2673</v>
      </c>
      <c r="G9875" s="1005"/>
      <c r="H9875" s="911">
        <v>0.1</v>
      </c>
      <c r="I9875" s="912"/>
      <c r="J9875" s="912"/>
      <c r="K9875" s="912"/>
      <c r="L9875" s="912"/>
      <c r="M9875" s="912">
        <f>VLOOKUP(B9875,MTC!$B$9:$S$933,12,0)</f>
        <v>0</v>
      </c>
      <c r="N9875" s="912">
        <f>M9875*H9875</f>
        <v>0</v>
      </c>
      <c r="O9875" s="892">
        <f t="shared" si="793"/>
        <v>0</v>
      </c>
      <c r="P9875" s="903">
        <f t="shared" si="794"/>
        <v>1</v>
      </c>
      <c r="Q9875" s="893">
        <f t="shared" si="795"/>
        <v>1</v>
      </c>
      <c r="R9875" s="894">
        <f t="shared" si="796"/>
        <v>0</v>
      </c>
    </row>
    <row r="9876" spans="1:18" ht="47.25">
      <c r="A9876" s="905" t="s">
        <v>6572</v>
      </c>
      <c r="B9876" s="914" t="s">
        <v>6581</v>
      </c>
      <c r="C9876" s="915"/>
      <c r="D9876" s="915"/>
      <c r="E9876" s="1006" t="s">
        <v>6582</v>
      </c>
      <c r="F9876" s="1007" t="s">
        <v>136</v>
      </c>
      <c r="G9876" s="1008"/>
      <c r="H9876" s="919"/>
      <c r="I9876" s="920"/>
      <c r="J9876" s="962">
        <f>SUM(J9877:J9885)</f>
        <v>55500</v>
      </c>
      <c r="K9876" s="891" t="s">
        <v>274</v>
      </c>
      <c r="L9876" s="962">
        <f>SUM(L9877:L9885)</f>
        <v>486475.00000000006</v>
      </c>
      <c r="M9876" s="962"/>
      <c r="N9876" s="962">
        <f>SUM(N9877:N9885)</f>
        <v>0</v>
      </c>
      <c r="O9876" s="892">
        <f t="shared" si="793"/>
        <v>1</v>
      </c>
      <c r="P9876" s="903">
        <f t="shared" si="794"/>
        <v>0</v>
      </c>
      <c r="Q9876" s="893">
        <f t="shared" si="795"/>
        <v>0</v>
      </c>
      <c r="R9876" s="894">
        <f t="shared" si="796"/>
        <v>9</v>
      </c>
    </row>
    <row r="9877" spans="1:18" s="847" customFormat="1">
      <c r="A9877" s="895"/>
      <c r="B9877" s="896"/>
      <c r="C9877" s="897"/>
      <c r="D9877" s="897"/>
      <c r="E9877" s="1002" t="s">
        <v>108</v>
      </c>
      <c r="F9877" s="895"/>
      <c r="G9877" s="1004"/>
      <c r="H9877" s="901"/>
      <c r="I9877" s="902"/>
      <c r="J9877" s="902"/>
      <c r="K9877" s="912" t="s">
        <v>274</v>
      </c>
      <c r="L9877" s="902"/>
      <c r="M9877" s="902"/>
      <c r="N9877" s="902"/>
      <c r="O9877" s="892">
        <f t="shared" si="793"/>
        <v>0</v>
      </c>
      <c r="P9877" s="903">
        <f t="shared" si="794"/>
        <v>1</v>
      </c>
      <c r="Q9877" s="893">
        <f t="shared" si="795"/>
        <v>9</v>
      </c>
      <c r="R9877" s="894">
        <f t="shared" si="796"/>
        <v>0</v>
      </c>
    </row>
    <row r="9878" spans="1:18" s="904" customFormat="1">
      <c r="A9878" s="905"/>
      <c r="B9878" s="952"/>
      <c r="C9878" s="907">
        <v>315</v>
      </c>
      <c r="D9878" s="907" t="s">
        <v>279</v>
      </c>
      <c r="E9878" s="992" t="s">
        <v>6316</v>
      </c>
      <c r="F9878" s="905" t="s">
        <v>49</v>
      </c>
      <c r="G9878" s="1005"/>
      <c r="H9878" s="911">
        <v>0.5</v>
      </c>
      <c r="I9878" s="912">
        <f>VLOOKUP(E9878,[3]VLP!$B$7:$K$300,10,0)</f>
        <v>8000</v>
      </c>
      <c r="J9878" s="912">
        <f>I9878*H9878</f>
        <v>4000</v>
      </c>
      <c r="K9878" s="912" t="s">
        <v>274</v>
      </c>
      <c r="L9878" s="912"/>
      <c r="M9878" s="912"/>
      <c r="N9878" s="912"/>
      <c r="O9878" s="892">
        <f t="shared" si="793"/>
        <v>0</v>
      </c>
      <c r="P9878" s="903">
        <f t="shared" si="794"/>
        <v>1</v>
      </c>
      <c r="Q9878" s="893">
        <f t="shared" si="795"/>
        <v>8</v>
      </c>
      <c r="R9878" s="894">
        <f t="shared" si="796"/>
        <v>0</v>
      </c>
    </row>
    <row r="9879" spans="1:18">
      <c r="A9879" s="905"/>
      <c r="B9879" s="952"/>
      <c r="C9879" s="907">
        <v>235</v>
      </c>
      <c r="D9879" s="907" t="s">
        <v>279</v>
      </c>
      <c r="E9879" s="992" t="s">
        <v>2682</v>
      </c>
      <c r="F9879" s="905" t="s">
        <v>45</v>
      </c>
      <c r="G9879" s="1005"/>
      <c r="H9879" s="911">
        <v>0.3</v>
      </c>
      <c r="I9879" s="912">
        <f>VLOOKUP(E9879,[3]VLP!$B$7:$K$300,10,0)</f>
        <v>5000</v>
      </c>
      <c r="J9879" s="912">
        <f>I9879*H9879</f>
        <v>1500</v>
      </c>
      <c r="K9879" s="912" t="s">
        <v>274</v>
      </c>
      <c r="L9879" s="912"/>
      <c r="M9879" s="912"/>
      <c r="N9879" s="912"/>
      <c r="O9879" s="892">
        <f t="shared" si="793"/>
        <v>0</v>
      </c>
      <c r="P9879" s="903">
        <f t="shared" si="794"/>
        <v>1</v>
      </c>
      <c r="Q9879" s="893">
        <f t="shared" si="795"/>
        <v>7</v>
      </c>
      <c r="R9879" s="894">
        <f t="shared" si="796"/>
        <v>0</v>
      </c>
    </row>
    <row r="9880" spans="1:18" s="847" customFormat="1">
      <c r="A9880" s="905"/>
      <c r="B9880" s="952"/>
      <c r="C9880" s="907">
        <v>699</v>
      </c>
      <c r="D9880" s="907" t="s">
        <v>279</v>
      </c>
      <c r="E9880" s="992" t="s">
        <v>4006</v>
      </c>
      <c r="F9880" s="905" t="s">
        <v>4007</v>
      </c>
      <c r="G9880" s="1005"/>
      <c r="H9880" s="911">
        <v>10</v>
      </c>
      <c r="I9880" s="912">
        <f>VLOOKUP(E9880,[3]VLP!$B$7:$K$300,10,0)</f>
        <v>5000</v>
      </c>
      <c r="J9880" s="912">
        <f>I9880*H9880</f>
        <v>50000</v>
      </c>
      <c r="K9880" s="912" t="s">
        <v>274</v>
      </c>
      <c r="L9880" s="912"/>
      <c r="M9880" s="912"/>
      <c r="N9880" s="912"/>
      <c r="O9880" s="892">
        <f t="shared" si="793"/>
        <v>0</v>
      </c>
      <c r="P9880" s="903">
        <f t="shared" si="794"/>
        <v>1</v>
      </c>
      <c r="Q9880" s="893">
        <f t="shared" si="795"/>
        <v>6</v>
      </c>
      <c r="R9880" s="894">
        <f t="shared" si="796"/>
        <v>0</v>
      </c>
    </row>
    <row r="9881" spans="1:18" s="904" customFormat="1">
      <c r="A9881" s="895"/>
      <c r="B9881" s="896"/>
      <c r="C9881" s="897"/>
      <c r="D9881" s="897"/>
      <c r="E9881" s="1002" t="s">
        <v>276</v>
      </c>
      <c r="F9881" s="1003"/>
      <c r="G9881" s="1004"/>
      <c r="H9881" s="901"/>
      <c r="I9881" s="902"/>
      <c r="J9881" s="902"/>
      <c r="K9881" s="912" t="s">
        <v>274</v>
      </c>
      <c r="L9881" s="902"/>
      <c r="M9881" s="902"/>
      <c r="N9881" s="902"/>
      <c r="O9881" s="892">
        <f t="shared" si="793"/>
        <v>0</v>
      </c>
      <c r="P9881" s="903">
        <f t="shared" si="794"/>
        <v>1</v>
      </c>
      <c r="Q9881" s="893">
        <f t="shared" si="795"/>
        <v>5</v>
      </c>
      <c r="R9881" s="894">
        <f t="shared" si="796"/>
        <v>0</v>
      </c>
    </row>
    <row r="9882" spans="1:18">
      <c r="A9882" s="905"/>
      <c r="B9882" s="952"/>
      <c r="C9882" s="907">
        <v>740</v>
      </c>
      <c r="D9882" s="907" t="s">
        <v>12</v>
      </c>
      <c r="E9882" s="992" t="s">
        <v>4008</v>
      </c>
      <c r="F9882" s="905" t="s">
        <v>2674</v>
      </c>
      <c r="G9882" s="1005"/>
      <c r="H9882" s="911">
        <v>2.2000000000000002</v>
      </c>
      <c r="I9882" s="912"/>
      <c r="J9882" s="912"/>
      <c r="K9882" s="912">
        <f>VLOOKUP(E9882,[5]ĐMNC!$A$7:$F$67,4,0)</f>
        <v>221125</v>
      </c>
      <c r="L9882" s="912">
        <f>H9882*K9882</f>
        <v>486475.00000000006</v>
      </c>
      <c r="M9882" s="912"/>
      <c r="N9882" s="912"/>
      <c r="O9882" s="892">
        <f t="shared" si="793"/>
        <v>0</v>
      </c>
      <c r="P9882" s="903">
        <f t="shared" si="794"/>
        <v>1</v>
      </c>
      <c r="Q9882" s="893">
        <f t="shared" si="795"/>
        <v>4</v>
      </c>
      <c r="R9882" s="894">
        <f t="shared" si="796"/>
        <v>0</v>
      </c>
    </row>
    <row r="9883" spans="1:18" s="847" customFormat="1">
      <c r="A9883" s="895"/>
      <c r="B9883" s="896"/>
      <c r="C9883" s="897"/>
      <c r="D9883" s="897"/>
      <c r="E9883" s="1002" t="s">
        <v>3914</v>
      </c>
      <c r="F9883" s="895"/>
      <c r="G9883" s="1004"/>
      <c r="H9883" s="901"/>
      <c r="I9883" s="902"/>
      <c r="J9883" s="902"/>
      <c r="K9883" s="912" t="s">
        <v>274</v>
      </c>
      <c r="L9883" s="902"/>
      <c r="M9883" s="902"/>
      <c r="N9883" s="902"/>
      <c r="O9883" s="892">
        <f t="shared" si="793"/>
        <v>0</v>
      </c>
      <c r="P9883" s="903">
        <f t="shared" si="794"/>
        <v>1</v>
      </c>
      <c r="Q9883" s="893">
        <f t="shared" si="795"/>
        <v>3</v>
      </c>
      <c r="R9883" s="894">
        <f t="shared" si="796"/>
        <v>0</v>
      </c>
    </row>
    <row r="9884" spans="1:18" s="904" customFormat="1">
      <c r="A9884" s="905"/>
      <c r="B9884" s="952" t="s">
        <v>6424</v>
      </c>
      <c r="C9884" s="907">
        <v>911</v>
      </c>
      <c r="D9884" s="907" t="s">
        <v>93</v>
      </c>
      <c r="E9884" s="992" t="s">
        <v>6425</v>
      </c>
      <c r="F9884" s="905" t="s">
        <v>2673</v>
      </c>
      <c r="G9884" s="1005"/>
      <c r="H9884" s="911">
        <v>0.37</v>
      </c>
      <c r="I9884" s="912"/>
      <c r="J9884" s="912"/>
      <c r="K9884" s="912"/>
      <c r="L9884" s="912"/>
      <c r="M9884" s="912">
        <f>VLOOKUP(B9884,MTC!$B$9:$S$933,12,0)</f>
        <v>0</v>
      </c>
      <c r="N9884" s="912">
        <f>M9884*H9884</f>
        <v>0</v>
      </c>
      <c r="O9884" s="892">
        <f t="shared" si="793"/>
        <v>0</v>
      </c>
      <c r="P9884" s="903">
        <f t="shared" si="794"/>
        <v>1</v>
      </c>
      <c r="Q9884" s="893">
        <f t="shared" si="795"/>
        <v>2</v>
      </c>
      <c r="R9884" s="894">
        <f t="shared" si="796"/>
        <v>0</v>
      </c>
    </row>
    <row r="9885" spans="1:18">
      <c r="A9885" s="905"/>
      <c r="B9885" s="952" t="s">
        <v>6414</v>
      </c>
      <c r="C9885" s="907">
        <v>914</v>
      </c>
      <c r="D9885" s="907" t="s">
        <v>93</v>
      </c>
      <c r="E9885" s="992" t="s">
        <v>6415</v>
      </c>
      <c r="F9885" s="905" t="s">
        <v>2673</v>
      </c>
      <c r="G9885" s="1005"/>
      <c r="H9885" s="911">
        <v>0.1</v>
      </c>
      <c r="I9885" s="912"/>
      <c r="J9885" s="912"/>
      <c r="K9885" s="912"/>
      <c r="L9885" s="912"/>
      <c r="M9885" s="912">
        <f>VLOOKUP(B9885,MTC!$B$9:$S$933,12,0)</f>
        <v>0</v>
      </c>
      <c r="N9885" s="912">
        <f>M9885*H9885</f>
        <v>0</v>
      </c>
      <c r="O9885" s="892">
        <f t="shared" si="793"/>
        <v>0</v>
      </c>
      <c r="P9885" s="903">
        <f t="shared" si="794"/>
        <v>1</v>
      </c>
      <c r="Q9885" s="893">
        <f t="shared" si="795"/>
        <v>1</v>
      </c>
      <c r="R9885" s="894">
        <f t="shared" si="796"/>
        <v>0</v>
      </c>
    </row>
    <row r="9886" spans="1:18" s="847" customFormat="1" ht="47.25">
      <c r="A9886" s="905">
        <v>116</v>
      </c>
      <c r="B9886" s="914" t="s">
        <v>6583</v>
      </c>
      <c r="C9886" s="915"/>
      <c r="D9886" s="915"/>
      <c r="E9886" s="1006" t="s">
        <v>6584</v>
      </c>
      <c r="F9886" s="1007" t="s">
        <v>136</v>
      </c>
      <c r="G9886" s="1008"/>
      <c r="H9886" s="919"/>
      <c r="I9886" s="920"/>
      <c r="J9886" s="962">
        <f>SUM(J9887:J9895)</f>
        <v>55500</v>
      </c>
      <c r="K9886" s="891" t="s">
        <v>274</v>
      </c>
      <c r="L9886" s="962">
        <f>SUM(L9887:L9895)</f>
        <v>597037.5</v>
      </c>
      <c r="M9886" s="962"/>
      <c r="N9886" s="962">
        <f>SUM(N9887:N9895)</f>
        <v>0</v>
      </c>
      <c r="O9886" s="892">
        <f t="shared" si="793"/>
        <v>1</v>
      </c>
      <c r="P9886" s="903">
        <f t="shared" si="794"/>
        <v>0</v>
      </c>
      <c r="Q9886" s="893">
        <f t="shared" si="795"/>
        <v>0</v>
      </c>
      <c r="R9886" s="894">
        <f t="shared" si="796"/>
        <v>9</v>
      </c>
    </row>
    <row r="9887" spans="1:18" s="904" customFormat="1">
      <c r="A9887" s="895"/>
      <c r="B9887" s="896"/>
      <c r="C9887" s="897"/>
      <c r="D9887" s="897"/>
      <c r="E9887" s="1002" t="s">
        <v>108</v>
      </c>
      <c r="F9887" s="895"/>
      <c r="G9887" s="1004"/>
      <c r="H9887" s="901"/>
      <c r="I9887" s="902"/>
      <c r="J9887" s="902"/>
      <c r="K9887" s="912" t="s">
        <v>274</v>
      </c>
      <c r="L9887" s="902"/>
      <c r="M9887" s="902"/>
      <c r="N9887" s="902"/>
      <c r="O9887" s="892">
        <f t="shared" ref="O9887:O9950" si="797">IF(AND(B9887&lt;&gt;"",D9887=""),1,0)</f>
        <v>0</v>
      </c>
      <c r="P9887" s="903">
        <f t="shared" si="794"/>
        <v>1</v>
      </c>
      <c r="Q9887" s="893">
        <f t="shared" si="795"/>
        <v>9</v>
      </c>
      <c r="R9887" s="894">
        <f t="shared" si="796"/>
        <v>0</v>
      </c>
    </row>
    <row r="9888" spans="1:18">
      <c r="A9888" s="905"/>
      <c r="B9888" s="952"/>
      <c r="C9888" s="907">
        <v>315</v>
      </c>
      <c r="D9888" s="907" t="s">
        <v>279</v>
      </c>
      <c r="E9888" s="992" t="s">
        <v>6316</v>
      </c>
      <c r="F9888" s="905" t="s">
        <v>49</v>
      </c>
      <c r="G9888" s="1005"/>
      <c r="H9888" s="911">
        <v>0.5</v>
      </c>
      <c r="I9888" s="912">
        <f>VLOOKUP(E9888,[3]VLP!$B$7:$K$300,10,0)</f>
        <v>8000</v>
      </c>
      <c r="J9888" s="912">
        <f>I9888*H9888</f>
        <v>4000</v>
      </c>
      <c r="K9888" s="912" t="s">
        <v>274</v>
      </c>
      <c r="L9888" s="912"/>
      <c r="M9888" s="912"/>
      <c r="N9888" s="912"/>
      <c r="O9888" s="892">
        <f t="shared" si="797"/>
        <v>0</v>
      </c>
      <c r="P9888" s="903">
        <f t="shared" si="794"/>
        <v>1</v>
      </c>
      <c r="Q9888" s="893">
        <f t="shared" si="795"/>
        <v>8</v>
      </c>
      <c r="R9888" s="894">
        <f t="shared" si="796"/>
        <v>0</v>
      </c>
    </row>
    <row r="9889" spans="1:18" s="847" customFormat="1">
      <c r="A9889" s="905"/>
      <c r="B9889" s="952"/>
      <c r="C9889" s="907">
        <v>235</v>
      </c>
      <c r="D9889" s="907" t="s">
        <v>279</v>
      </c>
      <c r="E9889" s="992" t="s">
        <v>2682</v>
      </c>
      <c r="F9889" s="905" t="s">
        <v>45</v>
      </c>
      <c r="G9889" s="1005"/>
      <c r="H9889" s="911">
        <v>0.3</v>
      </c>
      <c r="I9889" s="912">
        <f>VLOOKUP(E9889,[3]VLP!$B$7:$K$300,10,0)</f>
        <v>5000</v>
      </c>
      <c r="J9889" s="912">
        <f>I9889*H9889</f>
        <v>1500</v>
      </c>
      <c r="K9889" s="912" t="s">
        <v>274</v>
      </c>
      <c r="L9889" s="912"/>
      <c r="M9889" s="912"/>
      <c r="N9889" s="912"/>
      <c r="O9889" s="892">
        <f t="shared" si="797"/>
        <v>0</v>
      </c>
      <c r="P9889" s="903">
        <f t="shared" si="794"/>
        <v>1</v>
      </c>
      <c r="Q9889" s="893">
        <f t="shared" si="795"/>
        <v>7</v>
      </c>
      <c r="R9889" s="894">
        <f t="shared" si="796"/>
        <v>0</v>
      </c>
    </row>
    <row r="9890" spans="1:18" s="904" customFormat="1">
      <c r="A9890" s="905"/>
      <c r="B9890" s="952"/>
      <c r="C9890" s="907">
        <v>699</v>
      </c>
      <c r="D9890" s="907" t="s">
        <v>279</v>
      </c>
      <c r="E9890" s="992" t="s">
        <v>4006</v>
      </c>
      <c r="F9890" s="905" t="s">
        <v>4007</v>
      </c>
      <c r="G9890" s="1005"/>
      <c r="H9890" s="911">
        <v>10</v>
      </c>
      <c r="I9890" s="912">
        <f>VLOOKUP(E9890,[3]VLP!$B$7:$K$300,10,0)</f>
        <v>5000</v>
      </c>
      <c r="J9890" s="912">
        <f>I9890*H9890</f>
        <v>50000</v>
      </c>
      <c r="K9890" s="912" t="s">
        <v>274</v>
      </c>
      <c r="L9890" s="912"/>
      <c r="M9890" s="912"/>
      <c r="N9890" s="912"/>
      <c r="O9890" s="892">
        <f t="shared" si="797"/>
        <v>0</v>
      </c>
      <c r="P9890" s="903">
        <f t="shared" si="794"/>
        <v>1</v>
      </c>
      <c r="Q9890" s="893">
        <f t="shared" si="795"/>
        <v>6</v>
      </c>
      <c r="R9890" s="894">
        <f t="shared" si="796"/>
        <v>0</v>
      </c>
    </row>
    <row r="9891" spans="1:18">
      <c r="A9891" s="895"/>
      <c r="B9891" s="896"/>
      <c r="C9891" s="897"/>
      <c r="D9891" s="897"/>
      <c r="E9891" s="1002" t="s">
        <v>276</v>
      </c>
      <c r="F9891" s="1003"/>
      <c r="G9891" s="1004"/>
      <c r="H9891" s="901"/>
      <c r="I9891" s="902"/>
      <c r="J9891" s="902"/>
      <c r="K9891" s="912" t="s">
        <v>274</v>
      </c>
      <c r="L9891" s="902"/>
      <c r="M9891" s="902"/>
      <c r="N9891" s="902"/>
      <c r="O9891" s="892">
        <f t="shared" si="797"/>
        <v>0</v>
      </c>
      <c r="P9891" s="903">
        <f t="shared" si="794"/>
        <v>1</v>
      </c>
      <c r="Q9891" s="893">
        <f t="shared" si="795"/>
        <v>5</v>
      </c>
      <c r="R9891" s="894">
        <f t="shared" si="796"/>
        <v>0</v>
      </c>
    </row>
    <row r="9892" spans="1:18" s="847" customFormat="1">
      <c r="A9892" s="905"/>
      <c r="B9892" s="952"/>
      <c r="C9892" s="907">
        <v>740</v>
      </c>
      <c r="D9892" s="907" t="s">
        <v>12</v>
      </c>
      <c r="E9892" s="992" t="s">
        <v>4008</v>
      </c>
      <c r="F9892" s="905" t="s">
        <v>2674</v>
      </c>
      <c r="G9892" s="1005"/>
      <c r="H9892" s="911">
        <v>2.7</v>
      </c>
      <c r="I9892" s="912"/>
      <c r="J9892" s="912"/>
      <c r="K9892" s="912">
        <f>VLOOKUP(E9892,[5]ĐMNC!$A$7:$F$67,4,0)</f>
        <v>221125</v>
      </c>
      <c r="L9892" s="912">
        <f>H9892*K9892</f>
        <v>597037.5</v>
      </c>
      <c r="M9892" s="912"/>
      <c r="N9892" s="912"/>
      <c r="O9892" s="892">
        <f t="shared" si="797"/>
        <v>0</v>
      </c>
      <c r="P9892" s="903">
        <f t="shared" si="794"/>
        <v>1</v>
      </c>
      <c r="Q9892" s="893">
        <f t="shared" si="795"/>
        <v>4</v>
      </c>
      <c r="R9892" s="894">
        <f t="shared" si="796"/>
        <v>0</v>
      </c>
    </row>
    <row r="9893" spans="1:18" s="904" customFormat="1">
      <c r="A9893" s="895"/>
      <c r="B9893" s="896"/>
      <c r="C9893" s="897"/>
      <c r="D9893" s="897"/>
      <c r="E9893" s="1002" t="s">
        <v>3914</v>
      </c>
      <c r="F9893" s="895"/>
      <c r="G9893" s="1004"/>
      <c r="H9893" s="901"/>
      <c r="I9893" s="902"/>
      <c r="J9893" s="902"/>
      <c r="K9893" s="912" t="s">
        <v>274</v>
      </c>
      <c r="L9893" s="902"/>
      <c r="M9893" s="902"/>
      <c r="N9893" s="902"/>
      <c r="O9893" s="892">
        <f t="shared" si="797"/>
        <v>0</v>
      </c>
      <c r="P9893" s="903">
        <f t="shared" si="794"/>
        <v>1</v>
      </c>
      <c r="Q9893" s="893">
        <f t="shared" si="795"/>
        <v>3</v>
      </c>
      <c r="R9893" s="894">
        <f t="shared" si="796"/>
        <v>0</v>
      </c>
    </row>
    <row r="9894" spans="1:18">
      <c r="A9894" s="905"/>
      <c r="B9894" s="952" t="s">
        <v>6424</v>
      </c>
      <c r="C9894" s="907">
        <v>911</v>
      </c>
      <c r="D9894" s="907" t="s">
        <v>93</v>
      </c>
      <c r="E9894" s="992" t="s">
        <v>6425</v>
      </c>
      <c r="F9894" s="905" t="s">
        <v>2673</v>
      </c>
      <c r="G9894" s="1005"/>
      <c r="H9894" s="911">
        <v>0.43</v>
      </c>
      <c r="I9894" s="912"/>
      <c r="J9894" s="912"/>
      <c r="K9894" s="912"/>
      <c r="L9894" s="912"/>
      <c r="M9894" s="912">
        <f>VLOOKUP(B9894,MTC!$B$9:$S$933,12,0)</f>
        <v>0</v>
      </c>
      <c r="N9894" s="912">
        <f>M9894*H9894</f>
        <v>0</v>
      </c>
      <c r="O9894" s="892">
        <f t="shared" si="797"/>
        <v>0</v>
      </c>
      <c r="P9894" s="903">
        <f t="shared" si="794"/>
        <v>1</v>
      </c>
      <c r="Q9894" s="893">
        <f t="shared" si="795"/>
        <v>2</v>
      </c>
      <c r="R9894" s="894">
        <f t="shared" si="796"/>
        <v>0</v>
      </c>
    </row>
    <row r="9895" spans="1:18" s="847" customFormat="1">
      <c r="A9895" s="905"/>
      <c r="B9895" s="952" t="s">
        <v>6414</v>
      </c>
      <c r="C9895" s="907">
        <v>914</v>
      </c>
      <c r="D9895" s="907" t="s">
        <v>93</v>
      </c>
      <c r="E9895" s="992" t="s">
        <v>6415</v>
      </c>
      <c r="F9895" s="905" t="s">
        <v>2673</v>
      </c>
      <c r="G9895" s="1005"/>
      <c r="H9895" s="911">
        <v>0.1</v>
      </c>
      <c r="I9895" s="912"/>
      <c r="J9895" s="912"/>
      <c r="K9895" s="912"/>
      <c r="L9895" s="912"/>
      <c r="M9895" s="912">
        <f>VLOOKUP(B9895,MTC!$B$9:$S$933,12,0)</f>
        <v>0</v>
      </c>
      <c r="N9895" s="912">
        <f>M9895*H9895</f>
        <v>0</v>
      </c>
      <c r="O9895" s="892">
        <f t="shared" si="797"/>
        <v>0</v>
      </c>
      <c r="P9895" s="903">
        <f t="shared" si="794"/>
        <v>1</v>
      </c>
      <c r="Q9895" s="893">
        <f t="shared" si="795"/>
        <v>1</v>
      </c>
      <c r="R9895" s="894">
        <f t="shared" si="796"/>
        <v>0</v>
      </c>
    </row>
    <row r="9896" spans="1:18" s="904" customFormat="1" ht="47.25">
      <c r="A9896" s="905">
        <v>117</v>
      </c>
      <c r="B9896" s="914" t="s">
        <v>6585</v>
      </c>
      <c r="C9896" s="915"/>
      <c r="D9896" s="915"/>
      <c r="E9896" s="1006" t="s">
        <v>6586</v>
      </c>
      <c r="F9896" s="1007" t="s">
        <v>136</v>
      </c>
      <c r="G9896" s="1008"/>
      <c r="H9896" s="919"/>
      <c r="I9896" s="920"/>
      <c r="J9896" s="962">
        <f>SUM(J9897:J9905)</f>
        <v>55500</v>
      </c>
      <c r="K9896" s="891" t="s">
        <v>274</v>
      </c>
      <c r="L9896" s="962">
        <f>SUM(L9897:L9905)</f>
        <v>729712.5</v>
      </c>
      <c r="M9896" s="962"/>
      <c r="N9896" s="962">
        <f>SUM(N9897:N9905)</f>
        <v>0</v>
      </c>
      <c r="O9896" s="892">
        <f t="shared" si="797"/>
        <v>1</v>
      </c>
      <c r="P9896" s="903">
        <f t="shared" si="794"/>
        <v>0</v>
      </c>
      <c r="Q9896" s="893">
        <f t="shared" si="795"/>
        <v>0</v>
      </c>
      <c r="R9896" s="894">
        <f t="shared" si="796"/>
        <v>9</v>
      </c>
    </row>
    <row r="9897" spans="1:18">
      <c r="A9897" s="895"/>
      <c r="B9897" s="896"/>
      <c r="C9897" s="897"/>
      <c r="D9897" s="897"/>
      <c r="E9897" s="1002" t="s">
        <v>108</v>
      </c>
      <c r="F9897" s="895"/>
      <c r="G9897" s="1004"/>
      <c r="H9897" s="901"/>
      <c r="I9897" s="902"/>
      <c r="J9897" s="902"/>
      <c r="K9897" s="912" t="s">
        <v>274</v>
      </c>
      <c r="L9897" s="902"/>
      <c r="M9897" s="902"/>
      <c r="N9897" s="902"/>
      <c r="O9897" s="892">
        <f t="shared" si="797"/>
        <v>0</v>
      </c>
      <c r="P9897" s="903">
        <f t="shared" si="794"/>
        <v>1</v>
      </c>
      <c r="Q9897" s="893">
        <f t="shared" si="795"/>
        <v>9</v>
      </c>
      <c r="R9897" s="894">
        <f t="shared" si="796"/>
        <v>0</v>
      </c>
    </row>
    <row r="9898" spans="1:18" s="847" customFormat="1">
      <c r="A9898" s="905"/>
      <c r="B9898" s="952"/>
      <c r="C9898" s="907">
        <v>315</v>
      </c>
      <c r="D9898" s="907" t="s">
        <v>279</v>
      </c>
      <c r="E9898" s="992" t="s">
        <v>6316</v>
      </c>
      <c r="F9898" s="905" t="s">
        <v>49</v>
      </c>
      <c r="G9898" s="1005"/>
      <c r="H9898" s="911">
        <v>0.5</v>
      </c>
      <c r="I9898" s="912">
        <f>VLOOKUP(E9898,[3]VLP!$B$7:$K$300,10,0)</f>
        <v>8000</v>
      </c>
      <c r="J9898" s="912">
        <f>I9898*H9898</f>
        <v>4000</v>
      </c>
      <c r="K9898" s="912" t="s">
        <v>274</v>
      </c>
      <c r="L9898" s="912"/>
      <c r="M9898" s="912"/>
      <c r="N9898" s="912"/>
      <c r="O9898" s="892">
        <f t="shared" si="797"/>
        <v>0</v>
      </c>
      <c r="P9898" s="903">
        <f t="shared" si="794"/>
        <v>1</v>
      </c>
      <c r="Q9898" s="893">
        <f t="shared" si="795"/>
        <v>8</v>
      </c>
      <c r="R9898" s="894">
        <f t="shared" si="796"/>
        <v>0</v>
      </c>
    </row>
    <row r="9899" spans="1:18" s="904" customFormat="1">
      <c r="A9899" s="905"/>
      <c r="B9899" s="952"/>
      <c r="C9899" s="907">
        <v>235</v>
      </c>
      <c r="D9899" s="907" t="s">
        <v>279</v>
      </c>
      <c r="E9899" s="992" t="s">
        <v>2682</v>
      </c>
      <c r="F9899" s="905" t="s">
        <v>45</v>
      </c>
      <c r="G9899" s="1005"/>
      <c r="H9899" s="911">
        <v>0.3</v>
      </c>
      <c r="I9899" s="912">
        <f>VLOOKUP(E9899,[3]VLP!$B$7:$K$300,10,0)</f>
        <v>5000</v>
      </c>
      <c r="J9899" s="912">
        <f>I9899*H9899</f>
        <v>1500</v>
      </c>
      <c r="K9899" s="912" t="s">
        <v>274</v>
      </c>
      <c r="L9899" s="912"/>
      <c r="M9899" s="912"/>
      <c r="N9899" s="912"/>
      <c r="O9899" s="892">
        <f t="shared" si="797"/>
        <v>0</v>
      </c>
      <c r="P9899" s="903">
        <f t="shared" si="794"/>
        <v>1</v>
      </c>
      <c r="Q9899" s="893">
        <f t="shared" si="795"/>
        <v>7</v>
      </c>
      <c r="R9899" s="894">
        <f t="shared" si="796"/>
        <v>0</v>
      </c>
    </row>
    <row r="9900" spans="1:18">
      <c r="A9900" s="905"/>
      <c r="B9900" s="952"/>
      <c r="C9900" s="907">
        <v>699</v>
      </c>
      <c r="D9900" s="907" t="s">
        <v>279</v>
      </c>
      <c r="E9900" s="992" t="s">
        <v>4006</v>
      </c>
      <c r="F9900" s="905" t="s">
        <v>4007</v>
      </c>
      <c r="G9900" s="1005"/>
      <c r="H9900" s="911">
        <v>10</v>
      </c>
      <c r="I9900" s="912">
        <f>VLOOKUP(E9900,[3]VLP!$B$7:$K$300,10,0)</f>
        <v>5000</v>
      </c>
      <c r="J9900" s="912">
        <f>I9900*H9900</f>
        <v>50000</v>
      </c>
      <c r="K9900" s="912" t="s">
        <v>274</v>
      </c>
      <c r="L9900" s="912"/>
      <c r="M9900" s="912"/>
      <c r="N9900" s="912"/>
      <c r="O9900" s="892">
        <f t="shared" si="797"/>
        <v>0</v>
      </c>
      <c r="P9900" s="903">
        <f t="shared" si="794"/>
        <v>1</v>
      </c>
      <c r="Q9900" s="893">
        <f t="shared" si="795"/>
        <v>6</v>
      </c>
      <c r="R9900" s="894">
        <f t="shared" si="796"/>
        <v>0</v>
      </c>
    </row>
    <row r="9901" spans="1:18" s="847" customFormat="1">
      <c r="A9901" s="895"/>
      <c r="B9901" s="896"/>
      <c r="C9901" s="897"/>
      <c r="D9901" s="897"/>
      <c r="E9901" s="1002" t="s">
        <v>276</v>
      </c>
      <c r="F9901" s="1003"/>
      <c r="G9901" s="1004"/>
      <c r="H9901" s="901"/>
      <c r="I9901" s="902"/>
      <c r="J9901" s="902"/>
      <c r="K9901" s="912" t="s">
        <v>274</v>
      </c>
      <c r="L9901" s="902"/>
      <c r="M9901" s="902"/>
      <c r="N9901" s="902"/>
      <c r="O9901" s="892">
        <f t="shared" si="797"/>
        <v>0</v>
      </c>
      <c r="P9901" s="903">
        <f t="shared" si="794"/>
        <v>1</v>
      </c>
      <c r="Q9901" s="893">
        <f t="shared" si="795"/>
        <v>5</v>
      </c>
      <c r="R9901" s="894">
        <f t="shared" si="796"/>
        <v>0</v>
      </c>
    </row>
    <row r="9902" spans="1:18" s="904" customFormat="1">
      <c r="A9902" s="905"/>
      <c r="B9902" s="952"/>
      <c r="C9902" s="907">
        <v>740</v>
      </c>
      <c r="D9902" s="907" t="s">
        <v>12</v>
      </c>
      <c r="E9902" s="992" t="s">
        <v>4008</v>
      </c>
      <c r="F9902" s="905" t="s">
        <v>2674</v>
      </c>
      <c r="G9902" s="1005"/>
      <c r="H9902" s="911">
        <v>3.3</v>
      </c>
      <c r="I9902" s="912"/>
      <c r="J9902" s="912"/>
      <c r="K9902" s="912">
        <f>VLOOKUP(E9902,[5]ĐMNC!$A$7:$F$67,4,0)</f>
        <v>221125</v>
      </c>
      <c r="L9902" s="912">
        <f>H9902*K9902</f>
        <v>729712.5</v>
      </c>
      <c r="M9902" s="912"/>
      <c r="N9902" s="912"/>
      <c r="O9902" s="892">
        <f t="shared" si="797"/>
        <v>0</v>
      </c>
      <c r="P9902" s="903">
        <f t="shared" si="794"/>
        <v>1</v>
      </c>
      <c r="Q9902" s="893">
        <f t="shared" si="795"/>
        <v>4</v>
      </c>
      <c r="R9902" s="894">
        <f t="shared" si="796"/>
        <v>0</v>
      </c>
    </row>
    <row r="9903" spans="1:18">
      <c r="A9903" s="895"/>
      <c r="B9903" s="896"/>
      <c r="C9903" s="897"/>
      <c r="D9903" s="897"/>
      <c r="E9903" s="1002" t="s">
        <v>3914</v>
      </c>
      <c r="F9903" s="895"/>
      <c r="G9903" s="1004"/>
      <c r="H9903" s="901"/>
      <c r="I9903" s="902"/>
      <c r="J9903" s="902"/>
      <c r="K9903" s="912" t="s">
        <v>274</v>
      </c>
      <c r="L9903" s="902"/>
      <c r="M9903" s="902"/>
      <c r="N9903" s="902"/>
      <c r="O9903" s="892">
        <f t="shared" si="797"/>
        <v>0</v>
      </c>
      <c r="P9903" s="903">
        <f t="shared" si="794"/>
        <v>1</v>
      </c>
      <c r="Q9903" s="893">
        <f t="shared" si="795"/>
        <v>3</v>
      </c>
      <c r="R9903" s="894">
        <f t="shared" si="796"/>
        <v>0</v>
      </c>
    </row>
    <row r="9904" spans="1:18" s="847" customFormat="1">
      <c r="A9904" s="905"/>
      <c r="B9904" s="952" t="s">
        <v>6424</v>
      </c>
      <c r="C9904" s="907">
        <v>911</v>
      </c>
      <c r="D9904" s="907" t="s">
        <v>93</v>
      </c>
      <c r="E9904" s="992" t="s">
        <v>6425</v>
      </c>
      <c r="F9904" s="905" t="s">
        <v>2673</v>
      </c>
      <c r="G9904" s="1005"/>
      <c r="H9904" s="911">
        <v>0.52</v>
      </c>
      <c r="I9904" s="912"/>
      <c r="J9904" s="912"/>
      <c r="K9904" s="912"/>
      <c r="L9904" s="912"/>
      <c r="M9904" s="912">
        <f>VLOOKUP(B9904,MTC!$B$9:$S$933,12,0)</f>
        <v>0</v>
      </c>
      <c r="N9904" s="912">
        <f>M9904*H9904</f>
        <v>0</v>
      </c>
      <c r="O9904" s="892">
        <f t="shared" si="797"/>
        <v>0</v>
      </c>
      <c r="P9904" s="903">
        <f t="shared" si="794"/>
        <v>1</v>
      </c>
      <c r="Q9904" s="893">
        <f t="shared" si="795"/>
        <v>2</v>
      </c>
      <c r="R9904" s="894">
        <f t="shared" si="796"/>
        <v>0</v>
      </c>
    </row>
    <row r="9905" spans="1:18" s="904" customFormat="1">
      <c r="A9905" s="905"/>
      <c r="B9905" s="952" t="s">
        <v>6414</v>
      </c>
      <c r="C9905" s="907">
        <v>914</v>
      </c>
      <c r="D9905" s="907" t="s">
        <v>93</v>
      </c>
      <c r="E9905" s="992" t="s">
        <v>6415</v>
      </c>
      <c r="F9905" s="905" t="s">
        <v>2673</v>
      </c>
      <c r="G9905" s="1005"/>
      <c r="H9905" s="911">
        <v>0.1</v>
      </c>
      <c r="I9905" s="912"/>
      <c r="J9905" s="912"/>
      <c r="K9905" s="912"/>
      <c r="L9905" s="912"/>
      <c r="M9905" s="912">
        <f>VLOOKUP(B9905,MTC!$B$9:$S$933,12,0)</f>
        <v>0</v>
      </c>
      <c r="N9905" s="912">
        <f>M9905*H9905</f>
        <v>0</v>
      </c>
      <c r="O9905" s="892">
        <f t="shared" si="797"/>
        <v>0</v>
      </c>
      <c r="P9905" s="903">
        <f t="shared" si="794"/>
        <v>1</v>
      </c>
      <c r="Q9905" s="893">
        <f t="shared" si="795"/>
        <v>1</v>
      </c>
      <c r="R9905" s="894">
        <f t="shared" si="796"/>
        <v>0</v>
      </c>
    </row>
    <row r="9906" spans="1:18" ht="47.25">
      <c r="A9906" s="905">
        <v>118</v>
      </c>
      <c r="B9906" s="914" t="s">
        <v>6587</v>
      </c>
      <c r="C9906" s="915"/>
      <c r="D9906" s="915"/>
      <c r="E9906" s="1006" t="s">
        <v>6588</v>
      </c>
      <c r="F9906" s="1007" t="s">
        <v>136</v>
      </c>
      <c r="G9906" s="1008"/>
      <c r="H9906" s="919"/>
      <c r="I9906" s="920"/>
      <c r="J9906" s="962">
        <f>SUM(J9907:J9915)</f>
        <v>55500</v>
      </c>
      <c r="K9906" s="891" t="s">
        <v>274</v>
      </c>
      <c r="L9906" s="962">
        <f>SUM(L9907:L9915)</f>
        <v>875655</v>
      </c>
      <c r="M9906" s="962"/>
      <c r="N9906" s="962">
        <f>SUM(N9907:N9915)</f>
        <v>0</v>
      </c>
      <c r="O9906" s="892">
        <f t="shared" si="797"/>
        <v>1</v>
      </c>
      <c r="P9906" s="903">
        <f t="shared" si="794"/>
        <v>0</v>
      </c>
      <c r="Q9906" s="893">
        <f t="shared" si="795"/>
        <v>0</v>
      </c>
      <c r="R9906" s="894">
        <f t="shared" si="796"/>
        <v>9</v>
      </c>
    </row>
    <row r="9907" spans="1:18" s="847" customFormat="1">
      <c r="A9907" s="895"/>
      <c r="B9907" s="896"/>
      <c r="C9907" s="897"/>
      <c r="D9907" s="897"/>
      <c r="E9907" s="1002" t="s">
        <v>108</v>
      </c>
      <c r="F9907" s="895"/>
      <c r="G9907" s="1004"/>
      <c r="H9907" s="901"/>
      <c r="I9907" s="902"/>
      <c r="J9907" s="902"/>
      <c r="K9907" s="912" t="s">
        <v>274</v>
      </c>
      <c r="L9907" s="902"/>
      <c r="M9907" s="902"/>
      <c r="N9907" s="902"/>
      <c r="O9907" s="892">
        <f t="shared" si="797"/>
        <v>0</v>
      </c>
      <c r="P9907" s="903">
        <f t="shared" ref="P9907:P9970" si="798">IF(O9907=0,1,0)</f>
        <v>1</v>
      </c>
      <c r="Q9907" s="893">
        <f t="shared" ref="Q9907:Q9970" si="799">IF(P9907=0,0,P9907+Q9908)</f>
        <v>9</v>
      </c>
      <c r="R9907" s="894">
        <f t="shared" ref="R9907:R9970" si="800">IF(Q9907=0,Q9908,0)</f>
        <v>0</v>
      </c>
    </row>
    <row r="9908" spans="1:18" s="904" customFormat="1">
      <c r="A9908" s="905"/>
      <c r="B9908" s="952"/>
      <c r="C9908" s="907">
        <v>315</v>
      </c>
      <c r="D9908" s="907" t="s">
        <v>279</v>
      </c>
      <c r="E9908" s="992" t="s">
        <v>6316</v>
      </c>
      <c r="F9908" s="905" t="s">
        <v>49</v>
      </c>
      <c r="G9908" s="1005"/>
      <c r="H9908" s="911">
        <v>0.5</v>
      </c>
      <c r="I9908" s="912">
        <f>VLOOKUP(E9908,[3]VLP!$B$7:$K$300,10,0)</f>
        <v>8000</v>
      </c>
      <c r="J9908" s="912">
        <f>I9908*H9908</f>
        <v>4000</v>
      </c>
      <c r="K9908" s="912" t="s">
        <v>274</v>
      </c>
      <c r="L9908" s="912"/>
      <c r="M9908" s="912"/>
      <c r="N9908" s="912"/>
      <c r="O9908" s="892">
        <f t="shared" si="797"/>
        <v>0</v>
      </c>
      <c r="P9908" s="903">
        <f t="shared" si="798"/>
        <v>1</v>
      </c>
      <c r="Q9908" s="893">
        <f t="shared" si="799"/>
        <v>8</v>
      </c>
      <c r="R9908" s="894">
        <f t="shared" si="800"/>
        <v>0</v>
      </c>
    </row>
    <row r="9909" spans="1:18">
      <c r="A9909" s="905"/>
      <c r="B9909" s="952"/>
      <c r="C9909" s="907">
        <v>235</v>
      </c>
      <c r="D9909" s="907" t="s">
        <v>279</v>
      </c>
      <c r="E9909" s="992" t="s">
        <v>2682</v>
      </c>
      <c r="F9909" s="905" t="s">
        <v>45</v>
      </c>
      <c r="G9909" s="1005"/>
      <c r="H9909" s="911">
        <v>0.3</v>
      </c>
      <c r="I9909" s="912">
        <f>VLOOKUP(E9909,[3]VLP!$B$7:$K$300,10,0)</f>
        <v>5000</v>
      </c>
      <c r="J9909" s="912">
        <f>I9909*H9909</f>
        <v>1500</v>
      </c>
      <c r="K9909" s="912" t="s">
        <v>274</v>
      </c>
      <c r="L9909" s="912"/>
      <c r="M9909" s="912"/>
      <c r="N9909" s="912"/>
      <c r="O9909" s="892">
        <f t="shared" si="797"/>
        <v>0</v>
      </c>
      <c r="P9909" s="903">
        <f t="shared" si="798"/>
        <v>1</v>
      </c>
      <c r="Q9909" s="893">
        <f t="shared" si="799"/>
        <v>7</v>
      </c>
      <c r="R9909" s="894">
        <f t="shared" si="800"/>
        <v>0</v>
      </c>
    </row>
    <row r="9910" spans="1:18" s="847" customFormat="1">
      <c r="A9910" s="905"/>
      <c r="B9910" s="952"/>
      <c r="C9910" s="907">
        <v>699</v>
      </c>
      <c r="D9910" s="907" t="s">
        <v>279</v>
      </c>
      <c r="E9910" s="992" t="s">
        <v>4006</v>
      </c>
      <c r="F9910" s="905" t="s">
        <v>4007</v>
      </c>
      <c r="G9910" s="1005"/>
      <c r="H9910" s="911">
        <v>10</v>
      </c>
      <c r="I9910" s="912">
        <f>VLOOKUP(E9910,[3]VLP!$B$7:$K$300,10,0)</f>
        <v>5000</v>
      </c>
      <c r="J9910" s="912">
        <f>I9910*H9910</f>
        <v>50000</v>
      </c>
      <c r="K9910" s="912" t="s">
        <v>274</v>
      </c>
      <c r="L9910" s="912"/>
      <c r="M9910" s="912"/>
      <c r="N9910" s="912"/>
      <c r="O9910" s="892">
        <f t="shared" si="797"/>
        <v>0</v>
      </c>
      <c r="P9910" s="903">
        <f t="shared" si="798"/>
        <v>1</v>
      </c>
      <c r="Q9910" s="893">
        <f t="shared" si="799"/>
        <v>6</v>
      </c>
      <c r="R9910" s="894">
        <f t="shared" si="800"/>
        <v>0</v>
      </c>
    </row>
    <row r="9911" spans="1:18" s="904" customFormat="1">
      <c r="A9911" s="895"/>
      <c r="B9911" s="896"/>
      <c r="C9911" s="897"/>
      <c r="D9911" s="897"/>
      <c r="E9911" s="1002" t="s">
        <v>276</v>
      </c>
      <c r="F9911" s="1003"/>
      <c r="G9911" s="1004"/>
      <c r="H9911" s="901"/>
      <c r="I9911" s="902"/>
      <c r="J9911" s="902"/>
      <c r="K9911" s="912" t="s">
        <v>274</v>
      </c>
      <c r="L9911" s="902"/>
      <c r="M9911" s="902"/>
      <c r="N9911" s="902"/>
      <c r="O9911" s="892">
        <f t="shared" si="797"/>
        <v>0</v>
      </c>
      <c r="P9911" s="903">
        <f t="shared" si="798"/>
        <v>1</v>
      </c>
      <c r="Q9911" s="893">
        <f t="shared" si="799"/>
        <v>5</v>
      </c>
      <c r="R9911" s="894">
        <f t="shared" si="800"/>
        <v>0</v>
      </c>
    </row>
    <row r="9912" spans="1:18">
      <c r="A9912" s="905"/>
      <c r="B9912" s="952"/>
      <c r="C9912" s="907">
        <v>740</v>
      </c>
      <c r="D9912" s="907" t="s">
        <v>12</v>
      </c>
      <c r="E9912" s="992" t="s">
        <v>4008</v>
      </c>
      <c r="F9912" s="905" t="s">
        <v>2674</v>
      </c>
      <c r="G9912" s="1005"/>
      <c r="H9912" s="911">
        <v>3.96</v>
      </c>
      <c r="I9912" s="912"/>
      <c r="J9912" s="912"/>
      <c r="K9912" s="912">
        <f>VLOOKUP(E9912,[5]ĐMNC!$A$7:$F$67,4,0)</f>
        <v>221125</v>
      </c>
      <c r="L9912" s="912">
        <f>H9912*K9912</f>
        <v>875655</v>
      </c>
      <c r="M9912" s="912"/>
      <c r="N9912" s="912"/>
      <c r="O9912" s="892">
        <f t="shared" si="797"/>
        <v>0</v>
      </c>
      <c r="P9912" s="903">
        <f t="shared" si="798"/>
        <v>1</v>
      </c>
      <c r="Q9912" s="893">
        <f t="shared" si="799"/>
        <v>4</v>
      </c>
      <c r="R9912" s="894">
        <f t="shared" si="800"/>
        <v>0</v>
      </c>
    </row>
    <row r="9913" spans="1:18" s="847" customFormat="1">
      <c r="A9913" s="895"/>
      <c r="B9913" s="896"/>
      <c r="C9913" s="897"/>
      <c r="D9913" s="897"/>
      <c r="E9913" s="1002" t="s">
        <v>3914</v>
      </c>
      <c r="F9913" s="895"/>
      <c r="G9913" s="1004"/>
      <c r="H9913" s="901"/>
      <c r="I9913" s="902"/>
      <c r="J9913" s="902"/>
      <c r="K9913" s="912" t="s">
        <v>274</v>
      </c>
      <c r="L9913" s="902"/>
      <c r="M9913" s="902"/>
      <c r="N9913" s="902"/>
      <c r="O9913" s="892">
        <f t="shared" si="797"/>
        <v>0</v>
      </c>
      <c r="P9913" s="903">
        <f t="shared" si="798"/>
        <v>1</v>
      </c>
      <c r="Q9913" s="893">
        <f t="shared" si="799"/>
        <v>3</v>
      </c>
      <c r="R9913" s="894">
        <f t="shared" si="800"/>
        <v>0</v>
      </c>
    </row>
    <row r="9914" spans="1:18" s="904" customFormat="1">
      <c r="A9914" s="905"/>
      <c r="B9914" s="952" t="s">
        <v>6424</v>
      </c>
      <c r="C9914" s="907">
        <v>911</v>
      </c>
      <c r="D9914" s="907" t="s">
        <v>93</v>
      </c>
      <c r="E9914" s="992" t="s">
        <v>6425</v>
      </c>
      <c r="F9914" s="905" t="s">
        <v>2673</v>
      </c>
      <c r="G9914" s="1005"/>
      <c r="H9914" s="911">
        <v>0.68</v>
      </c>
      <c r="I9914" s="912"/>
      <c r="J9914" s="912"/>
      <c r="K9914" s="912"/>
      <c r="L9914" s="912"/>
      <c r="M9914" s="912">
        <f>VLOOKUP(B9914,MTC!$B$9:$S$933,12,0)</f>
        <v>0</v>
      </c>
      <c r="N9914" s="912">
        <f>M9914*H9914</f>
        <v>0</v>
      </c>
      <c r="O9914" s="892">
        <f t="shared" si="797"/>
        <v>0</v>
      </c>
      <c r="P9914" s="903">
        <f t="shared" si="798"/>
        <v>1</v>
      </c>
      <c r="Q9914" s="893">
        <f t="shared" si="799"/>
        <v>2</v>
      </c>
      <c r="R9914" s="894">
        <f t="shared" si="800"/>
        <v>0</v>
      </c>
    </row>
    <row r="9915" spans="1:18">
      <c r="A9915" s="905"/>
      <c r="B9915" s="952" t="s">
        <v>6414</v>
      </c>
      <c r="C9915" s="907">
        <v>914</v>
      </c>
      <c r="D9915" s="907" t="s">
        <v>93</v>
      </c>
      <c r="E9915" s="992" t="s">
        <v>6415</v>
      </c>
      <c r="F9915" s="905" t="s">
        <v>2673</v>
      </c>
      <c r="G9915" s="1005"/>
      <c r="H9915" s="911">
        <v>0.1</v>
      </c>
      <c r="I9915" s="912"/>
      <c r="J9915" s="912"/>
      <c r="K9915" s="912"/>
      <c r="L9915" s="912"/>
      <c r="M9915" s="912">
        <f>VLOOKUP(B9915,MTC!$B$9:$S$933,12,0)</f>
        <v>0</v>
      </c>
      <c r="N9915" s="912">
        <f>M9915*H9915</f>
        <v>0</v>
      </c>
      <c r="O9915" s="892">
        <f t="shared" si="797"/>
        <v>0</v>
      </c>
      <c r="P9915" s="903">
        <f t="shared" si="798"/>
        <v>1</v>
      </c>
      <c r="Q9915" s="893">
        <f t="shared" si="799"/>
        <v>1</v>
      </c>
      <c r="R9915" s="894">
        <f t="shared" si="800"/>
        <v>0</v>
      </c>
    </row>
    <row r="9916" spans="1:18" s="847" customFormat="1" ht="47.25">
      <c r="A9916" s="905" t="s">
        <v>6572</v>
      </c>
      <c r="B9916" s="914" t="s">
        <v>6589</v>
      </c>
      <c r="C9916" s="915"/>
      <c r="D9916" s="915"/>
      <c r="E9916" s="1006" t="s">
        <v>6590</v>
      </c>
      <c r="F9916" s="1007" t="s">
        <v>136</v>
      </c>
      <c r="G9916" s="1008"/>
      <c r="H9916" s="919"/>
      <c r="I9916" s="920"/>
      <c r="J9916" s="962">
        <f>SUM(J9917:J9925)</f>
        <v>55500</v>
      </c>
      <c r="K9916" s="891" t="s">
        <v>274</v>
      </c>
      <c r="L9916" s="962">
        <f>SUM(L9917:L9925)</f>
        <v>486475.00000000006</v>
      </c>
      <c r="M9916" s="962"/>
      <c r="N9916" s="962">
        <f>SUM(N9917:N9925)</f>
        <v>0</v>
      </c>
      <c r="O9916" s="892">
        <f t="shared" si="797"/>
        <v>1</v>
      </c>
      <c r="P9916" s="903">
        <f t="shared" si="798"/>
        <v>0</v>
      </c>
      <c r="Q9916" s="893">
        <f t="shared" si="799"/>
        <v>0</v>
      </c>
      <c r="R9916" s="894">
        <f t="shared" si="800"/>
        <v>9</v>
      </c>
    </row>
    <row r="9917" spans="1:18" s="904" customFormat="1">
      <c r="A9917" s="895"/>
      <c r="B9917" s="896"/>
      <c r="C9917" s="897"/>
      <c r="D9917" s="897"/>
      <c r="E9917" s="1002" t="s">
        <v>108</v>
      </c>
      <c r="F9917" s="895"/>
      <c r="G9917" s="1004"/>
      <c r="H9917" s="901"/>
      <c r="I9917" s="902"/>
      <c r="J9917" s="902"/>
      <c r="K9917" s="912" t="s">
        <v>274</v>
      </c>
      <c r="L9917" s="902"/>
      <c r="M9917" s="902"/>
      <c r="N9917" s="902"/>
      <c r="O9917" s="892">
        <f t="shared" si="797"/>
        <v>0</v>
      </c>
      <c r="P9917" s="903">
        <f t="shared" si="798"/>
        <v>1</v>
      </c>
      <c r="Q9917" s="893">
        <f t="shared" si="799"/>
        <v>9</v>
      </c>
      <c r="R9917" s="894">
        <f t="shared" si="800"/>
        <v>0</v>
      </c>
    </row>
    <row r="9918" spans="1:18">
      <c r="A9918" s="905"/>
      <c r="B9918" s="952"/>
      <c r="C9918" s="907">
        <v>315</v>
      </c>
      <c r="D9918" s="907" t="s">
        <v>279</v>
      </c>
      <c r="E9918" s="992" t="s">
        <v>6316</v>
      </c>
      <c r="F9918" s="905" t="s">
        <v>49</v>
      </c>
      <c r="G9918" s="1005"/>
      <c r="H9918" s="911">
        <v>0.5</v>
      </c>
      <c r="I9918" s="912">
        <f>VLOOKUP(E9918,[3]VLP!$B$7:$K$300,10,0)</f>
        <v>8000</v>
      </c>
      <c r="J9918" s="912">
        <f>I9918*H9918</f>
        <v>4000</v>
      </c>
      <c r="K9918" s="912" t="s">
        <v>274</v>
      </c>
      <c r="L9918" s="912"/>
      <c r="M9918" s="912"/>
      <c r="N9918" s="912"/>
      <c r="O9918" s="892">
        <f t="shared" si="797"/>
        <v>0</v>
      </c>
      <c r="P9918" s="903">
        <f t="shared" si="798"/>
        <v>1</v>
      </c>
      <c r="Q9918" s="893">
        <f t="shared" si="799"/>
        <v>8</v>
      </c>
      <c r="R9918" s="894">
        <f t="shared" si="800"/>
        <v>0</v>
      </c>
    </row>
    <row r="9919" spans="1:18" s="847" customFormat="1">
      <c r="A9919" s="905"/>
      <c r="B9919" s="952"/>
      <c r="C9919" s="907">
        <v>235</v>
      </c>
      <c r="D9919" s="907" t="s">
        <v>279</v>
      </c>
      <c r="E9919" s="992" t="s">
        <v>2682</v>
      </c>
      <c r="F9919" s="905" t="s">
        <v>45</v>
      </c>
      <c r="G9919" s="1005"/>
      <c r="H9919" s="911">
        <v>0.3</v>
      </c>
      <c r="I9919" s="912">
        <f>VLOOKUP(E9919,[3]VLP!$B$7:$K$300,10,0)</f>
        <v>5000</v>
      </c>
      <c r="J9919" s="912">
        <f>I9919*H9919</f>
        <v>1500</v>
      </c>
      <c r="K9919" s="912" t="s">
        <v>274</v>
      </c>
      <c r="L9919" s="912"/>
      <c r="M9919" s="912"/>
      <c r="N9919" s="912"/>
      <c r="O9919" s="892">
        <f t="shared" si="797"/>
        <v>0</v>
      </c>
      <c r="P9919" s="903">
        <f t="shared" si="798"/>
        <v>1</v>
      </c>
      <c r="Q9919" s="893">
        <f t="shared" si="799"/>
        <v>7</v>
      </c>
      <c r="R9919" s="894">
        <f t="shared" si="800"/>
        <v>0</v>
      </c>
    </row>
    <row r="9920" spans="1:18" s="904" customFormat="1">
      <c r="A9920" s="905"/>
      <c r="B9920" s="952"/>
      <c r="C9920" s="907">
        <v>699</v>
      </c>
      <c r="D9920" s="907" t="s">
        <v>279</v>
      </c>
      <c r="E9920" s="992" t="s">
        <v>4006</v>
      </c>
      <c r="F9920" s="905" t="s">
        <v>4007</v>
      </c>
      <c r="G9920" s="1005"/>
      <c r="H9920" s="911">
        <v>10</v>
      </c>
      <c r="I9920" s="912">
        <f>VLOOKUP(E9920,[3]VLP!$B$7:$K$300,10,0)</f>
        <v>5000</v>
      </c>
      <c r="J9920" s="912">
        <f>I9920*H9920</f>
        <v>50000</v>
      </c>
      <c r="K9920" s="912" t="s">
        <v>274</v>
      </c>
      <c r="L9920" s="912"/>
      <c r="M9920" s="912"/>
      <c r="N9920" s="912"/>
      <c r="O9920" s="892">
        <f t="shared" si="797"/>
        <v>0</v>
      </c>
      <c r="P9920" s="903">
        <f t="shared" si="798"/>
        <v>1</v>
      </c>
      <c r="Q9920" s="893">
        <f t="shared" si="799"/>
        <v>6</v>
      </c>
      <c r="R9920" s="894">
        <f t="shared" si="800"/>
        <v>0</v>
      </c>
    </row>
    <row r="9921" spans="1:18">
      <c r="A9921" s="895"/>
      <c r="B9921" s="896"/>
      <c r="C9921" s="897"/>
      <c r="D9921" s="897"/>
      <c r="E9921" s="1002" t="s">
        <v>276</v>
      </c>
      <c r="F9921" s="1003"/>
      <c r="G9921" s="1004"/>
      <c r="H9921" s="901"/>
      <c r="I9921" s="902"/>
      <c r="J9921" s="902"/>
      <c r="K9921" s="912" t="s">
        <v>274</v>
      </c>
      <c r="L9921" s="902"/>
      <c r="M9921" s="902"/>
      <c r="N9921" s="902"/>
      <c r="O9921" s="892">
        <f t="shared" si="797"/>
        <v>0</v>
      </c>
      <c r="P9921" s="903">
        <f t="shared" si="798"/>
        <v>1</v>
      </c>
      <c r="Q9921" s="893">
        <f t="shared" si="799"/>
        <v>5</v>
      </c>
      <c r="R9921" s="894">
        <f t="shared" si="800"/>
        <v>0</v>
      </c>
    </row>
    <row r="9922" spans="1:18" s="847" customFormat="1">
      <c r="A9922" s="905"/>
      <c r="B9922" s="952"/>
      <c r="C9922" s="907">
        <v>740</v>
      </c>
      <c r="D9922" s="907" t="s">
        <v>12</v>
      </c>
      <c r="E9922" s="992" t="s">
        <v>4008</v>
      </c>
      <c r="F9922" s="905" t="s">
        <v>2674</v>
      </c>
      <c r="G9922" s="1005"/>
      <c r="H9922" s="911">
        <v>2.2000000000000002</v>
      </c>
      <c r="I9922" s="912"/>
      <c r="J9922" s="912"/>
      <c r="K9922" s="912">
        <f>VLOOKUP(E9922,[5]ĐMNC!$A$7:$F$67,4,0)</f>
        <v>221125</v>
      </c>
      <c r="L9922" s="912">
        <f>H9922*K9922</f>
        <v>486475.00000000006</v>
      </c>
      <c r="M9922" s="912"/>
      <c r="N9922" s="912"/>
      <c r="O9922" s="892">
        <f t="shared" si="797"/>
        <v>0</v>
      </c>
      <c r="P9922" s="903">
        <f t="shared" si="798"/>
        <v>1</v>
      </c>
      <c r="Q9922" s="893">
        <f t="shared" si="799"/>
        <v>4</v>
      </c>
      <c r="R9922" s="894">
        <f t="shared" si="800"/>
        <v>0</v>
      </c>
    </row>
    <row r="9923" spans="1:18" s="904" customFormat="1">
      <c r="A9923" s="895"/>
      <c r="B9923" s="896"/>
      <c r="C9923" s="897"/>
      <c r="D9923" s="897"/>
      <c r="E9923" s="1002" t="s">
        <v>3914</v>
      </c>
      <c r="F9923" s="895"/>
      <c r="G9923" s="1004"/>
      <c r="H9923" s="901"/>
      <c r="I9923" s="902"/>
      <c r="J9923" s="902"/>
      <c r="K9923" s="912" t="s">
        <v>274</v>
      </c>
      <c r="L9923" s="902"/>
      <c r="M9923" s="902"/>
      <c r="N9923" s="902"/>
      <c r="O9923" s="892">
        <f t="shared" si="797"/>
        <v>0</v>
      </c>
      <c r="P9923" s="903">
        <f t="shared" si="798"/>
        <v>1</v>
      </c>
      <c r="Q9923" s="893">
        <f t="shared" si="799"/>
        <v>3</v>
      </c>
      <c r="R9923" s="894">
        <f t="shared" si="800"/>
        <v>0</v>
      </c>
    </row>
    <row r="9924" spans="1:18">
      <c r="A9924" s="905"/>
      <c r="B9924" s="952" t="s">
        <v>6434</v>
      </c>
      <c r="C9924" s="907">
        <v>912</v>
      </c>
      <c r="D9924" s="907" t="s">
        <v>93</v>
      </c>
      <c r="E9924" s="992" t="s">
        <v>6435</v>
      </c>
      <c r="F9924" s="905" t="s">
        <v>2673</v>
      </c>
      <c r="G9924" s="1005"/>
      <c r="H9924" s="911">
        <v>0.187</v>
      </c>
      <c r="I9924" s="912"/>
      <c r="J9924" s="912"/>
      <c r="K9924" s="912"/>
      <c r="L9924" s="912"/>
      <c r="M9924" s="912">
        <f>VLOOKUP(B9924,MTC!$B$9:$S$933,12,0)</f>
        <v>0</v>
      </c>
      <c r="N9924" s="912">
        <f>M9924*H9924</f>
        <v>0</v>
      </c>
      <c r="O9924" s="892">
        <f t="shared" si="797"/>
        <v>0</v>
      </c>
      <c r="P9924" s="903">
        <f t="shared" si="798"/>
        <v>1</v>
      </c>
      <c r="Q9924" s="893">
        <f t="shared" si="799"/>
        <v>2</v>
      </c>
      <c r="R9924" s="894">
        <f t="shared" si="800"/>
        <v>0</v>
      </c>
    </row>
    <row r="9925" spans="1:18" s="847" customFormat="1">
      <c r="A9925" s="905"/>
      <c r="B9925" s="952" t="s">
        <v>6414</v>
      </c>
      <c r="C9925" s="907">
        <v>914</v>
      </c>
      <c r="D9925" s="907" t="s">
        <v>93</v>
      </c>
      <c r="E9925" s="992" t="s">
        <v>6415</v>
      </c>
      <c r="F9925" s="905" t="s">
        <v>2673</v>
      </c>
      <c r="G9925" s="1005"/>
      <c r="H9925" s="911">
        <v>0.1</v>
      </c>
      <c r="I9925" s="912"/>
      <c r="J9925" s="912"/>
      <c r="K9925" s="912"/>
      <c r="L9925" s="912"/>
      <c r="M9925" s="912">
        <f>VLOOKUP(B9925,MTC!$B$9:$S$933,12,0)</f>
        <v>0</v>
      </c>
      <c r="N9925" s="912">
        <f>M9925*H9925</f>
        <v>0</v>
      </c>
      <c r="O9925" s="892">
        <f t="shared" si="797"/>
        <v>0</v>
      </c>
      <c r="P9925" s="903">
        <f t="shared" si="798"/>
        <v>1</v>
      </c>
      <c r="Q9925" s="893">
        <f t="shared" si="799"/>
        <v>1</v>
      </c>
      <c r="R9925" s="894">
        <f t="shared" si="800"/>
        <v>0</v>
      </c>
    </row>
    <row r="9926" spans="1:18" s="904" customFormat="1" ht="47.25">
      <c r="A9926" s="905">
        <v>120</v>
      </c>
      <c r="B9926" s="914" t="s">
        <v>6591</v>
      </c>
      <c r="C9926" s="915"/>
      <c r="D9926" s="915"/>
      <c r="E9926" s="1006" t="s">
        <v>6592</v>
      </c>
      <c r="F9926" s="1007" t="s">
        <v>136</v>
      </c>
      <c r="G9926" s="1008"/>
      <c r="H9926" s="919"/>
      <c r="I9926" s="920"/>
      <c r="J9926" s="962">
        <f>SUM(J9927:J9935)</f>
        <v>55500</v>
      </c>
      <c r="K9926" s="891" t="s">
        <v>274</v>
      </c>
      <c r="L9926" s="962">
        <f>SUM(L9927:L9935)</f>
        <v>597037.5</v>
      </c>
      <c r="M9926" s="962"/>
      <c r="N9926" s="962">
        <f>SUM(N9927:N9935)</f>
        <v>0</v>
      </c>
      <c r="O9926" s="892">
        <f t="shared" si="797"/>
        <v>1</v>
      </c>
      <c r="P9926" s="903">
        <f t="shared" si="798"/>
        <v>0</v>
      </c>
      <c r="Q9926" s="893">
        <f t="shared" si="799"/>
        <v>0</v>
      </c>
      <c r="R9926" s="894">
        <f t="shared" si="800"/>
        <v>9</v>
      </c>
    </row>
    <row r="9927" spans="1:18">
      <c r="A9927" s="895"/>
      <c r="B9927" s="896"/>
      <c r="C9927" s="897"/>
      <c r="D9927" s="897"/>
      <c r="E9927" s="1002" t="s">
        <v>108</v>
      </c>
      <c r="F9927" s="895"/>
      <c r="G9927" s="1004"/>
      <c r="H9927" s="901"/>
      <c r="I9927" s="902"/>
      <c r="J9927" s="902"/>
      <c r="K9927" s="912" t="s">
        <v>274</v>
      </c>
      <c r="L9927" s="902"/>
      <c r="M9927" s="902"/>
      <c r="N9927" s="902"/>
      <c r="O9927" s="892">
        <f t="shared" si="797"/>
        <v>0</v>
      </c>
      <c r="P9927" s="903">
        <f t="shared" si="798"/>
        <v>1</v>
      </c>
      <c r="Q9927" s="893">
        <f t="shared" si="799"/>
        <v>9</v>
      </c>
      <c r="R9927" s="894">
        <f t="shared" si="800"/>
        <v>0</v>
      </c>
    </row>
    <row r="9928" spans="1:18" s="847" customFormat="1">
      <c r="A9928" s="905"/>
      <c r="B9928" s="952"/>
      <c r="C9928" s="907">
        <v>315</v>
      </c>
      <c r="D9928" s="907" t="s">
        <v>279</v>
      </c>
      <c r="E9928" s="992" t="s">
        <v>6316</v>
      </c>
      <c r="F9928" s="905" t="s">
        <v>49</v>
      </c>
      <c r="G9928" s="1005"/>
      <c r="H9928" s="911">
        <v>0.5</v>
      </c>
      <c r="I9928" s="912">
        <f>VLOOKUP(E9928,[3]VLP!$B$7:$K$300,10,0)</f>
        <v>8000</v>
      </c>
      <c r="J9928" s="912">
        <f>I9928*H9928</f>
        <v>4000</v>
      </c>
      <c r="K9928" s="912" t="s">
        <v>274</v>
      </c>
      <c r="L9928" s="912"/>
      <c r="M9928" s="912"/>
      <c r="N9928" s="912"/>
      <c r="O9928" s="892">
        <f t="shared" si="797"/>
        <v>0</v>
      </c>
      <c r="P9928" s="903">
        <f t="shared" si="798"/>
        <v>1</v>
      </c>
      <c r="Q9928" s="893">
        <f t="shared" si="799"/>
        <v>8</v>
      </c>
      <c r="R9928" s="894">
        <f t="shared" si="800"/>
        <v>0</v>
      </c>
    </row>
    <row r="9929" spans="1:18" s="904" customFormat="1">
      <c r="A9929" s="905"/>
      <c r="B9929" s="952"/>
      <c r="C9929" s="907">
        <v>235</v>
      </c>
      <c r="D9929" s="907" t="s">
        <v>279</v>
      </c>
      <c r="E9929" s="992" t="s">
        <v>2682</v>
      </c>
      <c r="F9929" s="905" t="s">
        <v>45</v>
      </c>
      <c r="G9929" s="1005"/>
      <c r="H9929" s="911">
        <v>0.3</v>
      </c>
      <c r="I9929" s="912">
        <f>VLOOKUP(E9929,[3]VLP!$B$7:$K$300,10,0)</f>
        <v>5000</v>
      </c>
      <c r="J9929" s="912">
        <f>I9929*H9929</f>
        <v>1500</v>
      </c>
      <c r="K9929" s="912" t="s">
        <v>274</v>
      </c>
      <c r="L9929" s="912"/>
      <c r="M9929" s="912"/>
      <c r="N9929" s="912"/>
      <c r="O9929" s="892">
        <f t="shared" si="797"/>
        <v>0</v>
      </c>
      <c r="P9929" s="903">
        <f t="shared" si="798"/>
        <v>1</v>
      </c>
      <c r="Q9929" s="893">
        <f t="shared" si="799"/>
        <v>7</v>
      </c>
      <c r="R9929" s="894">
        <f t="shared" si="800"/>
        <v>0</v>
      </c>
    </row>
    <row r="9930" spans="1:18">
      <c r="A9930" s="905"/>
      <c r="B9930" s="952"/>
      <c r="C9930" s="907">
        <v>699</v>
      </c>
      <c r="D9930" s="907" t="s">
        <v>279</v>
      </c>
      <c r="E9930" s="992" t="s">
        <v>4006</v>
      </c>
      <c r="F9930" s="905" t="s">
        <v>4007</v>
      </c>
      <c r="G9930" s="1005"/>
      <c r="H9930" s="911">
        <v>10</v>
      </c>
      <c r="I9930" s="912">
        <f>VLOOKUP(E9930,[3]VLP!$B$7:$K$300,10,0)</f>
        <v>5000</v>
      </c>
      <c r="J9930" s="912">
        <f>I9930*H9930</f>
        <v>50000</v>
      </c>
      <c r="K9930" s="912" t="s">
        <v>274</v>
      </c>
      <c r="L9930" s="912"/>
      <c r="M9930" s="912"/>
      <c r="N9930" s="912"/>
      <c r="O9930" s="892">
        <f t="shared" si="797"/>
        <v>0</v>
      </c>
      <c r="P9930" s="903">
        <f t="shared" si="798"/>
        <v>1</v>
      </c>
      <c r="Q9930" s="893">
        <f t="shared" si="799"/>
        <v>6</v>
      </c>
      <c r="R9930" s="894">
        <f t="shared" si="800"/>
        <v>0</v>
      </c>
    </row>
    <row r="9931" spans="1:18" s="847" customFormat="1">
      <c r="A9931" s="895"/>
      <c r="B9931" s="896"/>
      <c r="C9931" s="897"/>
      <c r="D9931" s="897"/>
      <c r="E9931" s="1002" t="s">
        <v>276</v>
      </c>
      <c r="F9931" s="1003"/>
      <c r="G9931" s="1004"/>
      <c r="H9931" s="901"/>
      <c r="I9931" s="902"/>
      <c r="J9931" s="902"/>
      <c r="K9931" s="912" t="s">
        <v>274</v>
      </c>
      <c r="L9931" s="902"/>
      <c r="M9931" s="902"/>
      <c r="N9931" s="902"/>
      <c r="O9931" s="892">
        <f t="shared" si="797"/>
        <v>0</v>
      </c>
      <c r="P9931" s="903">
        <f t="shared" si="798"/>
        <v>1</v>
      </c>
      <c r="Q9931" s="893">
        <f t="shared" si="799"/>
        <v>5</v>
      </c>
      <c r="R9931" s="894">
        <f t="shared" si="800"/>
        <v>0</v>
      </c>
    </row>
    <row r="9932" spans="1:18" s="904" customFormat="1">
      <c r="A9932" s="905"/>
      <c r="B9932" s="952"/>
      <c r="C9932" s="907">
        <v>740</v>
      </c>
      <c r="D9932" s="907" t="s">
        <v>12</v>
      </c>
      <c r="E9932" s="992" t="s">
        <v>4008</v>
      </c>
      <c r="F9932" s="905" t="s">
        <v>2674</v>
      </c>
      <c r="G9932" s="1005"/>
      <c r="H9932" s="911">
        <v>2.7</v>
      </c>
      <c r="I9932" s="912"/>
      <c r="J9932" s="912"/>
      <c r="K9932" s="912">
        <f>VLOOKUP(E9932,[5]ĐMNC!$A$7:$F$67,4,0)</f>
        <v>221125</v>
      </c>
      <c r="L9932" s="912">
        <f>H9932*K9932</f>
        <v>597037.5</v>
      </c>
      <c r="M9932" s="912"/>
      <c r="N9932" s="912"/>
      <c r="O9932" s="892">
        <f t="shared" si="797"/>
        <v>0</v>
      </c>
      <c r="P9932" s="903">
        <f t="shared" si="798"/>
        <v>1</v>
      </c>
      <c r="Q9932" s="893">
        <f t="shared" si="799"/>
        <v>4</v>
      </c>
      <c r="R9932" s="894">
        <f t="shared" si="800"/>
        <v>0</v>
      </c>
    </row>
    <row r="9933" spans="1:18">
      <c r="A9933" s="895"/>
      <c r="B9933" s="896"/>
      <c r="C9933" s="897"/>
      <c r="D9933" s="897"/>
      <c r="E9933" s="1002" t="s">
        <v>3914</v>
      </c>
      <c r="F9933" s="895"/>
      <c r="G9933" s="1004"/>
      <c r="H9933" s="901"/>
      <c r="I9933" s="902"/>
      <c r="J9933" s="902"/>
      <c r="K9933" s="912" t="s">
        <v>274</v>
      </c>
      <c r="L9933" s="902"/>
      <c r="M9933" s="902"/>
      <c r="N9933" s="902"/>
      <c r="O9933" s="892">
        <f t="shared" si="797"/>
        <v>0</v>
      </c>
      <c r="P9933" s="903">
        <f t="shared" si="798"/>
        <v>1</v>
      </c>
      <c r="Q9933" s="893">
        <f t="shared" si="799"/>
        <v>3</v>
      </c>
      <c r="R9933" s="894">
        <f t="shared" si="800"/>
        <v>0</v>
      </c>
    </row>
    <row r="9934" spans="1:18" s="847" customFormat="1">
      <c r="A9934" s="905"/>
      <c r="B9934" s="952" t="s">
        <v>6434</v>
      </c>
      <c r="C9934" s="907">
        <v>912</v>
      </c>
      <c r="D9934" s="907" t="s">
        <v>93</v>
      </c>
      <c r="E9934" s="992" t="s">
        <v>6435</v>
      </c>
      <c r="F9934" s="905" t="s">
        <v>2673</v>
      </c>
      <c r="G9934" s="1005"/>
      <c r="H9934" s="911">
        <v>0.23400000000000001</v>
      </c>
      <c r="I9934" s="912"/>
      <c r="J9934" s="912"/>
      <c r="K9934" s="912"/>
      <c r="L9934" s="912"/>
      <c r="M9934" s="912">
        <f>VLOOKUP(B9934,MTC!$B$9:$S$933,12,0)</f>
        <v>0</v>
      </c>
      <c r="N9934" s="912">
        <f>M9934*H9934</f>
        <v>0</v>
      </c>
      <c r="O9934" s="892">
        <f t="shared" si="797"/>
        <v>0</v>
      </c>
      <c r="P9934" s="903">
        <f t="shared" si="798"/>
        <v>1</v>
      </c>
      <c r="Q9934" s="893">
        <f t="shared" si="799"/>
        <v>2</v>
      </c>
      <c r="R9934" s="894">
        <f t="shared" si="800"/>
        <v>0</v>
      </c>
    </row>
    <row r="9935" spans="1:18" s="904" customFormat="1">
      <c r="A9935" s="905"/>
      <c r="B9935" s="952" t="s">
        <v>6414</v>
      </c>
      <c r="C9935" s="907">
        <v>914</v>
      </c>
      <c r="D9935" s="907" t="s">
        <v>93</v>
      </c>
      <c r="E9935" s="992" t="s">
        <v>6415</v>
      </c>
      <c r="F9935" s="905" t="s">
        <v>2673</v>
      </c>
      <c r="G9935" s="1005"/>
      <c r="H9935" s="911">
        <v>0.1</v>
      </c>
      <c r="I9935" s="912"/>
      <c r="J9935" s="912"/>
      <c r="K9935" s="912"/>
      <c r="L9935" s="912"/>
      <c r="M9935" s="912">
        <f>VLOOKUP(B9935,MTC!$B$9:$S$933,12,0)</f>
        <v>0</v>
      </c>
      <c r="N9935" s="912">
        <f>M9935*H9935</f>
        <v>0</v>
      </c>
      <c r="O9935" s="892">
        <f t="shared" si="797"/>
        <v>0</v>
      </c>
      <c r="P9935" s="903">
        <f t="shared" si="798"/>
        <v>1</v>
      </c>
      <c r="Q9935" s="893">
        <f t="shared" si="799"/>
        <v>1</v>
      </c>
      <c r="R9935" s="894">
        <f t="shared" si="800"/>
        <v>0</v>
      </c>
    </row>
    <row r="9936" spans="1:18" ht="47.25">
      <c r="A9936" s="905">
        <v>121</v>
      </c>
      <c r="B9936" s="914" t="s">
        <v>6593</v>
      </c>
      <c r="C9936" s="915"/>
      <c r="D9936" s="915"/>
      <c r="E9936" s="1006" t="s">
        <v>6594</v>
      </c>
      <c r="F9936" s="1007" t="s">
        <v>136</v>
      </c>
      <c r="G9936" s="1008"/>
      <c r="H9936" s="919"/>
      <c r="I9936" s="920"/>
      <c r="J9936" s="962">
        <f>SUM(J9937:J9945)</f>
        <v>55500</v>
      </c>
      <c r="K9936" s="891" t="s">
        <v>274</v>
      </c>
      <c r="L9936" s="962">
        <f>SUM(L9937:L9945)</f>
        <v>729712.5</v>
      </c>
      <c r="M9936" s="962"/>
      <c r="N9936" s="962">
        <f>SUM(N9937:N9945)</f>
        <v>0</v>
      </c>
      <c r="O9936" s="892">
        <f t="shared" si="797"/>
        <v>1</v>
      </c>
      <c r="P9936" s="903">
        <f t="shared" si="798"/>
        <v>0</v>
      </c>
      <c r="Q9936" s="893">
        <f t="shared" si="799"/>
        <v>0</v>
      </c>
      <c r="R9936" s="894">
        <f t="shared" si="800"/>
        <v>9</v>
      </c>
    </row>
    <row r="9937" spans="1:18" s="847" customFormat="1">
      <c r="A9937" s="895"/>
      <c r="B9937" s="896"/>
      <c r="C9937" s="897"/>
      <c r="D9937" s="897"/>
      <c r="E9937" s="1002" t="s">
        <v>108</v>
      </c>
      <c r="F9937" s="895"/>
      <c r="G9937" s="1004"/>
      <c r="H9937" s="901"/>
      <c r="I9937" s="902"/>
      <c r="J9937" s="902"/>
      <c r="K9937" s="912" t="s">
        <v>274</v>
      </c>
      <c r="L9937" s="902"/>
      <c r="M9937" s="902"/>
      <c r="N9937" s="902"/>
      <c r="O9937" s="892">
        <f t="shared" si="797"/>
        <v>0</v>
      </c>
      <c r="P9937" s="903">
        <f t="shared" si="798"/>
        <v>1</v>
      </c>
      <c r="Q9937" s="893">
        <f t="shared" si="799"/>
        <v>9</v>
      </c>
      <c r="R9937" s="894">
        <f t="shared" si="800"/>
        <v>0</v>
      </c>
    </row>
    <row r="9938" spans="1:18" s="904" customFormat="1">
      <c r="A9938" s="905"/>
      <c r="B9938" s="952"/>
      <c r="C9938" s="907">
        <v>315</v>
      </c>
      <c r="D9938" s="907" t="s">
        <v>279</v>
      </c>
      <c r="E9938" s="992" t="s">
        <v>6316</v>
      </c>
      <c r="F9938" s="905" t="s">
        <v>49</v>
      </c>
      <c r="G9938" s="1005"/>
      <c r="H9938" s="911">
        <v>0.5</v>
      </c>
      <c r="I9938" s="912">
        <f>VLOOKUP(E9938,[3]VLP!$B$7:$K$300,10,0)</f>
        <v>8000</v>
      </c>
      <c r="J9938" s="912">
        <f>I9938*H9938</f>
        <v>4000</v>
      </c>
      <c r="K9938" s="912" t="s">
        <v>274</v>
      </c>
      <c r="L9938" s="912"/>
      <c r="M9938" s="912"/>
      <c r="N9938" s="912"/>
      <c r="O9938" s="892">
        <f t="shared" si="797"/>
        <v>0</v>
      </c>
      <c r="P9938" s="903">
        <f t="shared" si="798"/>
        <v>1</v>
      </c>
      <c r="Q9938" s="893">
        <f t="shared" si="799"/>
        <v>8</v>
      </c>
      <c r="R9938" s="894">
        <f t="shared" si="800"/>
        <v>0</v>
      </c>
    </row>
    <row r="9939" spans="1:18">
      <c r="A9939" s="905"/>
      <c r="B9939" s="952"/>
      <c r="C9939" s="907">
        <v>235</v>
      </c>
      <c r="D9939" s="907" t="s">
        <v>279</v>
      </c>
      <c r="E9939" s="992" t="s">
        <v>2682</v>
      </c>
      <c r="F9939" s="905" t="s">
        <v>45</v>
      </c>
      <c r="G9939" s="1005"/>
      <c r="H9939" s="911">
        <v>0.3</v>
      </c>
      <c r="I9939" s="912">
        <f>VLOOKUP(E9939,[3]VLP!$B$7:$K$300,10,0)</f>
        <v>5000</v>
      </c>
      <c r="J9939" s="912">
        <f>I9939*H9939</f>
        <v>1500</v>
      </c>
      <c r="K9939" s="912" t="s">
        <v>274</v>
      </c>
      <c r="L9939" s="912"/>
      <c r="M9939" s="912"/>
      <c r="N9939" s="912"/>
      <c r="O9939" s="892">
        <f t="shared" si="797"/>
        <v>0</v>
      </c>
      <c r="P9939" s="903">
        <f t="shared" si="798"/>
        <v>1</v>
      </c>
      <c r="Q9939" s="893">
        <f t="shared" si="799"/>
        <v>7</v>
      </c>
      <c r="R9939" s="894">
        <f t="shared" si="800"/>
        <v>0</v>
      </c>
    </row>
    <row r="9940" spans="1:18" s="847" customFormat="1">
      <c r="A9940" s="905"/>
      <c r="B9940" s="952"/>
      <c r="C9940" s="907">
        <v>699</v>
      </c>
      <c r="D9940" s="907" t="s">
        <v>279</v>
      </c>
      <c r="E9940" s="992" t="s">
        <v>4006</v>
      </c>
      <c r="F9940" s="905" t="s">
        <v>4007</v>
      </c>
      <c r="G9940" s="1005"/>
      <c r="H9940" s="911">
        <v>10</v>
      </c>
      <c r="I9940" s="912">
        <f>VLOOKUP(E9940,[3]VLP!$B$7:$K$300,10,0)</f>
        <v>5000</v>
      </c>
      <c r="J9940" s="912">
        <f>I9940*H9940</f>
        <v>50000</v>
      </c>
      <c r="K9940" s="912" t="s">
        <v>274</v>
      </c>
      <c r="L9940" s="912"/>
      <c r="M9940" s="912"/>
      <c r="N9940" s="912"/>
      <c r="O9940" s="892">
        <f t="shared" si="797"/>
        <v>0</v>
      </c>
      <c r="P9940" s="903">
        <f t="shared" si="798"/>
        <v>1</v>
      </c>
      <c r="Q9940" s="893">
        <f t="shared" si="799"/>
        <v>6</v>
      </c>
      <c r="R9940" s="894">
        <f t="shared" si="800"/>
        <v>0</v>
      </c>
    </row>
    <row r="9941" spans="1:18" s="904" customFormat="1">
      <c r="A9941" s="895"/>
      <c r="B9941" s="896"/>
      <c r="C9941" s="897"/>
      <c r="D9941" s="897"/>
      <c r="E9941" s="1002" t="s">
        <v>276</v>
      </c>
      <c r="F9941" s="1003"/>
      <c r="G9941" s="1004"/>
      <c r="H9941" s="901"/>
      <c r="I9941" s="902"/>
      <c r="J9941" s="902"/>
      <c r="K9941" s="912" t="s">
        <v>274</v>
      </c>
      <c r="L9941" s="902"/>
      <c r="M9941" s="902"/>
      <c r="N9941" s="902"/>
      <c r="O9941" s="892">
        <f t="shared" si="797"/>
        <v>0</v>
      </c>
      <c r="P9941" s="903">
        <f t="shared" si="798"/>
        <v>1</v>
      </c>
      <c r="Q9941" s="893">
        <f t="shared" si="799"/>
        <v>5</v>
      </c>
      <c r="R9941" s="894">
        <f t="shared" si="800"/>
        <v>0</v>
      </c>
    </row>
    <row r="9942" spans="1:18">
      <c r="A9942" s="905"/>
      <c r="B9942" s="952"/>
      <c r="C9942" s="907">
        <v>740</v>
      </c>
      <c r="D9942" s="907" t="s">
        <v>12</v>
      </c>
      <c r="E9942" s="992" t="s">
        <v>4008</v>
      </c>
      <c r="F9942" s="905" t="s">
        <v>2674</v>
      </c>
      <c r="G9942" s="1005"/>
      <c r="H9942" s="911">
        <v>3.3</v>
      </c>
      <c r="I9942" s="912"/>
      <c r="J9942" s="912"/>
      <c r="K9942" s="912">
        <f>VLOOKUP(E9942,[5]ĐMNC!$A$7:$F$67,4,0)</f>
        <v>221125</v>
      </c>
      <c r="L9942" s="912">
        <f>H9942*K9942</f>
        <v>729712.5</v>
      </c>
      <c r="M9942" s="912"/>
      <c r="N9942" s="912"/>
      <c r="O9942" s="892">
        <f t="shared" si="797"/>
        <v>0</v>
      </c>
      <c r="P9942" s="903">
        <f t="shared" si="798"/>
        <v>1</v>
      </c>
      <c r="Q9942" s="893">
        <f t="shared" si="799"/>
        <v>4</v>
      </c>
      <c r="R9942" s="894">
        <f t="shared" si="800"/>
        <v>0</v>
      </c>
    </row>
    <row r="9943" spans="1:18" s="847" customFormat="1">
      <c r="A9943" s="895"/>
      <c r="B9943" s="896"/>
      <c r="C9943" s="897"/>
      <c r="D9943" s="897"/>
      <c r="E9943" s="1002" t="s">
        <v>3914</v>
      </c>
      <c r="F9943" s="895"/>
      <c r="G9943" s="1004"/>
      <c r="H9943" s="901"/>
      <c r="I9943" s="902"/>
      <c r="J9943" s="902"/>
      <c r="K9943" s="912" t="s">
        <v>274</v>
      </c>
      <c r="L9943" s="902"/>
      <c r="M9943" s="902"/>
      <c r="N9943" s="902"/>
      <c r="O9943" s="892">
        <f t="shared" si="797"/>
        <v>0</v>
      </c>
      <c r="P9943" s="903">
        <f t="shared" si="798"/>
        <v>1</v>
      </c>
      <c r="Q9943" s="893">
        <f t="shared" si="799"/>
        <v>3</v>
      </c>
      <c r="R9943" s="894">
        <f t="shared" si="800"/>
        <v>0</v>
      </c>
    </row>
    <row r="9944" spans="1:18" s="904" customFormat="1">
      <c r="A9944" s="905"/>
      <c r="B9944" s="952" t="s">
        <v>6434</v>
      </c>
      <c r="C9944" s="907">
        <v>912</v>
      </c>
      <c r="D9944" s="907" t="s">
        <v>93</v>
      </c>
      <c r="E9944" s="992" t="s">
        <v>6435</v>
      </c>
      <c r="F9944" s="905" t="s">
        <v>2673</v>
      </c>
      <c r="G9944" s="1005"/>
      <c r="H9944" s="911">
        <v>0.28499999999999998</v>
      </c>
      <c r="I9944" s="912"/>
      <c r="J9944" s="912"/>
      <c r="K9944" s="912"/>
      <c r="L9944" s="912"/>
      <c r="M9944" s="912">
        <f>VLOOKUP(B9944,MTC!$B$9:$S$933,12,0)</f>
        <v>0</v>
      </c>
      <c r="N9944" s="912">
        <f>M9944*H9944</f>
        <v>0</v>
      </c>
      <c r="O9944" s="892">
        <f t="shared" si="797"/>
        <v>0</v>
      </c>
      <c r="P9944" s="903">
        <f t="shared" si="798"/>
        <v>1</v>
      </c>
      <c r="Q9944" s="893">
        <f t="shared" si="799"/>
        <v>2</v>
      </c>
      <c r="R9944" s="894">
        <f t="shared" si="800"/>
        <v>0</v>
      </c>
    </row>
    <row r="9945" spans="1:18">
      <c r="A9945" s="905"/>
      <c r="B9945" s="952" t="s">
        <v>6414</v>
      </c>
      <c r="C9945" s="907">
        <v>914</v>
      </c>
      <c r="D9945" s="907" t="s">
        <v>93</v>
      </c>
      <c r="E9945" s="992" t="s">
        <v>6415</v>
      </c>
      <c r="F9945" s="905" t="s">
        <v>2673</v>
      </c>
      <c r="G9945" s="1005"/>
      <c r="H9945" s="911">
        <v>0.1</v>
      </c>
      <c r="I9945" s="912"/>
      <c r="J9945" s="912"/>
      <c r="K9945" s="912"/>
      <c r="L9945" s="912"/>
      <c r="M9945" s="912">
        <f>VLOOKUP(B9945,MTC!$B$9:$S$933,12,0)</f>
        <v>0</v>
      </c>
      <c r="N9945" s="912">
        <f>M9945*H9945</f>
        <v>0</v>
      </c>
      <c r="O9945" s="892">
        <f t="shared" si="797"/>
        <v>0</v>
      </c>
      <c r="P9945" s="903">
        <f t="shared" si="798"/>
        <v>1</v>
      </c>
      <c r="Q9945" s="893">
        <f t="shared" si="799"/>
        <v>1</v>
      </c>
      <c r="R9945" s="894">
        <f t="shared" si="800"/>
        <v>0</v>
      </c>
    </row>
    <row r="9946" spans="1:18" s="847" customFormat="1" ht="47.25">
      <c r="A9946" s="905">
        <v>122</v>
      </c>
      <c r="B9946" s="914" t="s">
        <v>6595</v>
      </c>
      <c r="C9946" s="915"/>
      <c r="D9946" s="915"/>
      <c r="E9946" s="1006" t="s">
        <v>6596</v>
      </c>
      <c r="F9946" s="1007" t="s">
        <v>136</v>
      </c>
      <c r="G9946" s="1008"/>
      <c r="H9946" s="919"/>
      <c r="I9946" s="920"/>
      <c r="J9946" s="962">
        <f>SUM(J9947:J9955)</f>
        <v>55500</v>
      </c>
      <c r="K9946" s="891" t="s">
        <v>274</v>
      </c>
      <c r="L9946" s="962">
        <f>SUM(L9947:L9955)</f>
        <v>875655</v>
      </c>
      <c r="M9946" s="962"/>
      <c r="N9946" s="962">
        <f>SUM(N9947:N9955)</f>
        <v>0</v>
      </c>
      <c r="O9946" s="892">
        <f t="shared" si="797"/>
        <v>1</v>
      </c>
      <c r="P9946" s="903">
        <f t="shared" si="798"/>
        <v>0</v>
      </c>
      <c r="Q9946" s="893">
        <f t="shared" si="799"/>
        <v>0</v>
      </c>
      <c r="R9946" s="894">
        <f t="shared" si="800"/>
        <v>9</v>
      </c>
    </row>
    <row r="9947" spans="1:18" s="904" customFormat="1">
      <c r="A9947" s="895"/>
      <c r="B9947" s="896"/>
      <c r="C9947" s="897"/>
      <c r="D9947" s="897"/>
      <c r="E9947" s="1002" t="s">
        <v>108</v>
      </c>
      <c r="F9947" s="895"/>
      <c r="G9947" s="1004"/>
      <c r="H9947" s="901"/>
      <c r="I9947" s="902"/>
      <c r="J9947" s="902"/>
      <c r="K9947" s="912" t="s">
        <v>274</v>
      </c>
      <c r="L9947" s="902"/>
      <c r="M9947" s="902"/>
      <c r="N9947" s="902"/>
      <c r="O9947" s="892">
        <f t="shared" si="797"/>
        <v>0</v>
      </c>
      <c r="P9947" s="903">
        <f t="shared" si="798"/>
        <v>1</v>
      </c>
      <c r="Q9947" s="893">
        <f t="shared" si="799"/>
        <v>9</v>
      </c>
      <c r="R9947" s="894">
        <f t="shared" si="800"/>
        <v>0</v>
      </c>
    </row>
    <row r="9948" spans="1:18">
      <c r="A9948" s="905"/>
      <c r="B9948" s="952"/>
      <c r="C9948" s="907">
        <v>315</v>
      </c>
      <c r="D9948" s="907" t="s">
        <v>279</v>
      </c>
      <c r="E9948" s="992" t="s">
        <v>6316</v>
      </c>
      <c r="F9948" s="905" t="s">
        <v>49</v>
      </c>
      <c r="G9948" s="1005"/>
      <c r="H9948" s="911">
        <v>0.5</v>
      </c>
      <c r="I9948" s="912">
        <f>VLOOKUP(E9948,[3]VLP!$B$7:$K$300,10,0)</f>
        <v>8000</v>
      </c>
      <c r="J9948" s="912">
        <f>I9948*H9948</f>
        <v>4000</v>
      </c>
      <c r="K9948" s="912" t="s">
        <v>274</v>
      </c>
      <c r="L9948" s="912"/>
      <c r="M9948" s="912"/>
      <c r="N9948" s="912"/>
      <c r="O9948" s="892">
        <f t="shared" si="797"/>
        <v>0</v>
      </c>
      <c r="P9948" s="903">
        <f t="shared" si="798"/>
        <v>1</v>
      </c>
      <c r="Q9948" s="893">
        <f t="shared" si="799"/>
        <v>8</v>
      </c>
      <c r="R9948" s="894">
        <f t="shared" si="800"/>
        <v>0</v>
      </c>
    </row>
    <row r="9949" spans="1:18" s="847" customFormat="1">
      <c r="A9949" s="905"/>
      <c r="B9949" s="952"/>
      <c r="C9949" s="907">
        <v>235</v>
      </c>
      <c r="D9949" s="907" t="s">
        <v>279</v>
      </c>
      <c r="E9949" s="992" t="s">
        <v>2682</v>
      </c>
      <c r="F9949" s="905" t="s">
        <v>45</v>
      </c>
      <c r="G9949" s="1005"/>
      <c r="H9949" s="911">
        <v>0.3</v>
      </c>
      <c r="I9949" s="912">
        <f>VLOOKUP(E9949,[3]VLP!$B$7:$K$300,10,0)</f>
        <v>5000</v>
      </c>
      <c r="J9949" s="912">
        <f>I9949*H9949</f>
        <v>1500</v>
      </c>
      <c r="K9949" s="912" t="s">
        <v>274</v>
      </c>
      <c r="L9949" s="912"/>
      <c r="M9949" s="912"/>
      <c r="N9949" s="912"/>
      <c r="O9949" s="892">
        <f t="shared" si="797"/>
        <v>0</v>
      </c>
      <c r="P9949" s="903">
        <f t="shared" si="798"/>
        <v>1</v>
      </c>
      <c r="Q9949" s="893">
        <f t="shared" si="799"/>
        <v>7</v>
      </c>
      <c r="R9949" s="894">
        <f t="shared" si="800"/>
        <v>0</v>
      </c>
    </row>
    <row r="9950" spans="1:18" s="904" customFormat="1">
      <c r="A9950" s="905"/>
      <c r="B9950" s="952"/>
      <c r="C9950" s="907">
        <v>699</v>
      </c>
      <c r="D9950" s="907" t="s">
        <v>279</v>
      </c>
      <c r="E9950" s="992" t="s">
        <v>4006</v>
      </c>
      <c r="F9950" s="905" t="s">
        <v>4007</v>
      </c>
      <c r="G9950" s="1005"/>
      <c r="H9950" s="911">
        <v>10</v>
      </c>
      <c r="I9950" s="912">
        <f>VLOOKUP(E9950,[3]VLP!$B$7:$K$300,10,0)</f>
        <v>5000</v>
      </c>
      <c r="J9950" s="912">
        <f>I9950*H9950</f>
        <v>50000</v>
      </c>
      <c r="K9950" s="912" t="s">
        <v>274</v>
      </c>
      <c r="L9950" s="912"/>
      <c r="M9950" s="912"/>
      <c r="N9950" s="912"/>
      <c r="O9950" s="892">
        <f t="shared" si="797"/>
        <v>0</v>
      </c>
      <c r="P9950" s="903">
        <f t="shared" si="798"/>
        <v>1</v>
      </c>
      <c r="Q9950" s="893">
        <f t="shared" si="799"/>
        <v>6</v>
      </c>
      <c r="R9950" s="894">
        <f t="shared" si="800"/>
        <v>0</v>
      </c>
    </row>
    <row r="9951" spans="1:18">
      <c r="A9951" s="895"/>
      <c r="B9951" s="896"/>
      <c r="C9951" s="897"/>
      <c r="D9951" s="897"/>
      <c r="E9951" s="1002" t="s">
        <v>276</v>
      </c>
      <c r="F9951" s="1003"/>
      <c r="G9951" s="1004"/>
      <c r="H9951" s="901"/>
      <c r="I9951" s="902"/>
      <c r="J9951" s="902"/>
      <c r="K9951" s="912" t="s">
        <v>274</v>
      </c>
      <c r="L9951" s="902"/>
      <c r="M9951" s="902"/>
      <c r="N9951" s="902"/>
      <c r="O9951" s="892">
        <f t="shared" ref="O9951:O10014" si="801">IF(AND(B9951&lt;&gt;"",D9951=""),1,0)</f>
        <v>0</v>
      </c>
      <c r="P9951" s="903">
        <f t="shared" si="798"/>
        <v>1</v>
      </c>
      <c r="Q9951" s="893">
        <f t="shared" si="799"/>
        <v>5</v>
      </c>
      <c r="R9951" s="894">
        <f t="shared" si="800"/>
        <v>0</v>
      </c>
    </row>
    <row r="9952" spans="1:18" s="847" customFormat="1">
      <c r="A9952" s="905"/>
      <c r="B9952" s="952"/>
      <c r="C9952" s="907">
        <v>740</v>
      </c>
      <c r="D9952" s="907" t="s">
        <v>12</v>
      </c>
      <c r="E9952" s="992" t="s">
        <v>4008</v>
      </c>
      <c r="F9952" s="905" t="s">
        <v>2674</v>
      </c>
      <c r="G9952" s="1005"/>
      <c r="H9952" s="911">
        <v>3.96</v>
      </c>
      <c r="I9952" s="912"/>
      <c r="J9952" s="912"/>
      <c r="K9952" s="912">
        <f>VLOOKUP(E9952,[5]ĐMNC!$A$7:$F$67,4,0)</f>
        <v>221125</v>
      </c>
      <c r="L9952" s="912">
        <f>H9952*K9952</f>
        <v>875655</v>
      </c>
      <c r="M9952" s="912"/>
      <c r="N9952" s="912"/>
      <c r="O9952" s="892">
        <f t="shared" si="801"/>
        <v>0</v>
      </c>
      <c r="P9952" s="903">
        <f t="shared" si="798"/>
        <v>1</v>
      </c>
      <c r="Q9952" s="893">
        <f t="shared" si="799"/>
        <v>4</v>
      </c>
      <c r="R9952" s="894">
        <f t="shared" si="800"/>
        <v>0</v>
      </c>
    </row>
    <row r="9953" spans="1:18" s="904" customFormat="1">
      <c r="A9953" s="895"/>
      <c r="B9953" s="896"/>
      <c r="C9953" s="897"/>
      <c r="D9953" s="897"/>
      <c r="E9953" s="1002" t="s">
        <v>3914</v>
      </c>
      <c r="F9953" s="895"/>
      <c r="G9953" s="1004"/>
      <c r="H9953" s="901"/>
      <c r="I9953" s="902"/>
      <c r="J9953" s="902"/>
      <c r="K9953" s="912" t="s">
        <v>274</v>
      </c>
      <c r="L9953" s="902"/>
      <c r="M9953" s="902"/>
      <c r="N9953" s="902"/>
      <c r="O9953" s="892">
        <f t="shared" si="801"/>
        <v>0</v>
      </c>
      <c r="P9953" s="903">
        <f t="shared" si="798"/>
        <v>1</v>
      </c>
      <c r="Q9953" s="893">
        <f t="shared" si="799"/>
        <v>3</v>
      </c>
      <c r="R9953" s="894">
        <f t="shared" si="800"/>
        <v>0</v>
      </c>
    </row>
    <row r="9954" spans="1:18">
      <c r="A9954" s="905"/>
      <c r="B9954" s="952" t="s">
        <v>6434</v>
      </c>
      <c r="C9954" s="907">
        <v>912</v>
      </c>
      <c r="D9954" s="907" t="s">
        <v>93</v>
      </c>
      <c r="E9954" s="992" t="s">
        <v>6435</v>
      </c>
      <c r="F9954" s="905" t="s">
        <v>2673</v>
      </c>
      <c r="G9954" s="1005"/>
      <c r="H9954" s="911">
        <v>0.34</v>
      </c>
      <c r="I9954" s="912"/>
      <c r="J9954" s="912"/>
      <c r="K9954" s="912"/>
      <c r="L9954" s="912"/>
      <c r="M9954" s="912">
        <f>VLOOKUP(B9954,MTC!$B$9:$S$933,12,0)</f>
        <v>0</v>
      </c>
      <c r="N9954" s="912">
        <f>M9954*H9954</f>
        <v>0</v>
      </c>
      <c r="O9954" s="892">
        <f t="shared" si="801"/>
        <v>0</v>
      </c>
      <c r="P9954" s="903">
        <f t="shared" si="798"/>
        <v>1</v>
      </c>
      <c r="Q9954" s="893">
        <f t="shared" si="799"/>
        <v>2</v>
      </c>
      <c r="R9954" s="894">
        <f t="shared" si="800"/>
        <v>0</v>
      </c>
    </row>
    <row r="9955" spans="1:18" s="847" customFormat="1">
      <c r="A9955" s="905"/>
      <c r="B9955" s="952" t="s">
        <v>6414</v>
      </c>
      <c r="C9955" s="907">
        <v>914</v>
      </c>
      <c r="D9955" s="907" t="s">
        <v>93</v>
      </c>
      <c r="E9955" s="992" t="s">
        <v>6415</v>
      </c>
      <c r="F9955" s="905" t="s">
        <v>2673</v>
      </c>
      <c r="G9955" s="1005"/>
      <c r="H9955" s="911">
        <v>0.1</v>
      </c>
      <c r="I9955" s="912"/>
      <c r="J9955" s="912"/>
      <c r="K9955" s="912"/>
      <c r="L9955" s="912"/>
      <c r="M9955" s="912">
        <f>VLOOKUP(B9955,MTC!$B$9:$S$933,12,0)</f>
        <v>0</v>
      </c>
      <c r="N9955" s="912">
        <f>M9955*H9955</f>
        <v>0</v>
      </c>
      <c r="O9955" s="892">
        <f t="shared" si="801"/>
        <v>0</v>
      </c>
      <c r="P9955" s="903">
        <f t="shared" si="798"/>
        <v>1</v>
      </c>
      <c r="Q9955" s="893">
        <f t="shared" si="799"/>
        <v>1</v>
      </c>
      <c r="R9955" s="894">
        <f t="shared" si="800"/>
        <v>0</v>
      </c>
    </row>
    <row r="9956" spans="1:18" s="904" customFormat="1" ht="31.5">
      <c r="A9956" s="905" t="s">
        <v>6597</v>
      </c>
      <c r="B9956" s="914" t="s">
        <v>6598</v>
      </c>
      <c r="C9956" s="915"/>
      <c r="D9956" s="915"/>
      <c r="E9956" s="1006" t="s">
        <v>6599</v>
      </c>
      <c r="F9956" s="1007" t="s">
        <v>136</v>
      </c>
      <c r="G9956" s="1008"/>
      <c r="H9956" s="919"/>
      <c r="I9956" s="920"/>
      <c r="J9956" s="891">
        <f>SUM(J9957:J9967)</f>
        <v>55500</v>
      </c>
      <c r="K9956" s="891" t="s">
        <v>274</v>
      </c>
      <c r="L9956" s="891">
        <f>SUM(L9957:L9967)</f>
        <v>442250</v>
      </c>
      <c r="M9956" s="891"/>
      <c r="N9956" s="891">
        <f>SUM(N9957:N9967)</f>
        <v>47446.559999999998</v>
      </c>
      <c r="O9956" s="892">
        <f t="shared" si="801"/>
        <v>1</v>
      </c>
      <c r="P9956" s="903">
        <f t="shared" si="798"/>
        <v>0</v>
      </c>
      <c r="Q9956" s="893">
        <f t="shared" si="799"/>
        <v>0</v>
      </c>
      <c r="R9956" s="894">
        <f t="shared" si="800"/>
        <v>11</v>
      </c>
    </row>
    <row r="9957" spans="1:18">
      <c r="A9957" s="895"/>
      <c r="B9957" s="896"/>
      <c r="C9957" s="897"/>
      <c r="D9957" s="897"/>
      <c r="E9957" s="1002" t="s">
        <v>108</v>
      </c>
      <c r="F9957" s="895"/>
      <c r="G9957" s="1004"/>
      <c r="H9957" s="901"/>
      <c r="I9957" s="902"/>
      <c r="J9957" s="902"/>
      <c r="K9957" s="912" t="s">
        <v>274</v>
      </c>
      <c r="L9957" s="902"/>
      <c r="M9957" s="902"/>
      <c r="N9957" s="902"/>
      <c r="O9957" s="892">
        <f t="shared" si="801"/>
        <v>0</v>
      </c>
      <c r="P9957" s="903">
        <f t="shared" si="798"/>
        <v>1</v>
      </c>
      <c r="Q9957" s="893">
        <f t="shared" si="799"/>
        <v>11</v>
      </c>
      <c r="R9957" s="894">
        <f t="shared" si="800"/>
        <v>0</v>
      </c>
    </row>
    <row r="9958" spans="1:18" s="847" customFormat="1">
      <c r="A9958" s="905"/>
      <c r="B9958" s="952"/>
      <c r="C9958" s="907">
        <v>315</v>
      </c>
      <c r="D9958" s="907" t="s">
        <v>279</v>
      </c>
      <c r="E9958" s="992" t="s">
        <v>6316</v>
      </c>
      <c r="F9958" s="905" t="s">
        <v>49</v>
      </c>
      <c r="G9958" s="1005"/>
      <c r="H9958" s="911">
        <v>0.5</v>
      </c>
      <c r="I9958" s="912">
        <f>VLOOKUP(E9958,[3]VLP!$B$7:$K$300,10,0)</f>
        <v>8000</v>
      </c>
      <c r="J9958" s="912">
        <f>I9958*H9958</f>
        <v>4000</v>
      </c>
      <c r="K9958" s="912" t="s">
        <v>274</v>
      </c>
      <c r="L9958" s="912"/>
      <c r="M9958" s="912"/>
      <c r="N9958" s="912"/>
      <c r="O9958" s="892">
        <f t="shared" si="801"/>
        <v>0</v>
      </c>
      <c r="P9958" s="903">
        <f t="shared" si="798"/>
        <v>1</v>
      </c>
      <c r="Q9958" s="893">
        <f t="shared" si="799"/>
        <v>10</v>
      </c>
      <c r="R9958" s="894">
        <f t="shared" si="800"/>
        <v>0</v>
      </c>
    </row>
    <row r="9959" spans="1:18" s="904" customFormat="1">
      <c r="A9959" s="905"/>
      <c r="B9959" s="952"/>
      <c r="C9959" s="907">
        <v>235</v>
      </c>
      <c r="D9959" s="907" t="s">
        <v>279</v>
      </c>
      <c r="E9959" s="992" t="s">
        <v>2682</v>
      </c>
      <c r="F9959" s="905" t="s">
        <v>45</v>
      </c>
      <c r="G9959" s="1005"/>
      <c r="H9959" s="911">
        <v>0.3</v>
      </c>
      <c r="I9959" s="912">
        <f>VLOOKUP(E9959,[3]VLP!$B$7:$K$300,10,0)</f>
        <v>5000</v>
      </c>
      <c r="J9959" s="912">
        <f>I9959*H9959</f>
        <v>1500</v>
      </c>
      <c r="K9959" s="912" t="s">
        <v>274</v>
      </c>
      <c r="L9959" s="912"/>
      <c r="M9959" s="912"/>
      <c r="N9959" s="912"/>
      <c r="O9959" s="892">
        <f t="shared" si="801"/>
        <v>0</v>
      </c>
      <c r="P9959" s="903">
        <f t="shared" si="798"/>
        <v>1</v>
      </c>
      <c r="Q9959" s="893">
        <f t="shared" si="799"/>
        <v>9</v>
      </c>
      <c r="R9959" s="894">
        <f t="shared" si="800"/>
        <v>0</v>
      </c>
    </row>
    <row r="9960" spans="1:18">
      <c r="A9960" s="905"/>
      <c r="B9960" s="952"/>
      <c r="C9960" s="907">
        <v>699</v>
      </c>
      <c r="D9960" s="907" t="s">
        <v>279</v>
      </c>
      <c r="E9960" s="992" t="s">
        <v>4006</v>
      </c>
      <c r="F9960" s="905" t="s">
        <v>4007</v>
      </c>
      <c r="G9960" s="1005"/>
      <c r="H9960" s="911">
        <v>10</v>
      </c>
      <c r="I9960" s="912">
        <f>VLOOKUP(E9960,[3]VLP!$B$7:$K$300,10,0)</f>
        <v>5000</v>
      </c>
      <c r="J9960" s="912">
        <f>I9960*H9960</f>
        <v>50000</v>
      </c>
      <c r="K9960" s="912" t="s">
        <v>274</v>
      </c>
      <c r="L9960" s="912"/>
      <c r="M9960" s="912"/>
      <c r="N9960" s="912"/>
      <c r="O9960" s="892">
        <f t="shared" si="801"/>
        <v>0</v>
      </c>
      <c r="P9960" s="903">
        <f t="shared" si="798"/>
        <v>1</v>
      </c>
      <c r="Q9960" s="893">
        <f t="shared" si="799"/>
        <v>8</v>
      </c>
      <c r="R9960" s="894">
        <f t="shared" si="800"/>
        <v>0</v>
      </c>
    </row>
    <row r="9961" spans="1:18" s="847" customFormat="1">
      <c r="A9961" s="895"/>
      <c r="B9961" s="896"/>
      <c r="C9961" s="897"/>
      <c r="D9961" s="897"/>
      <c r="E9961" s="1002" t="s">
        <v>276</v>
      </c>
      <c r="F9961" s="1003"/>
      <c r="G9961" s="1004"/>
      <c r="H9961" s="901"/>
      <c r="I9961" s="902"/>
      <c r="J9961" s="902"/>
      <c r="K9961" s="912" t="s">
        <v>274</v>
      </c>
      <c r="L9961" s="902"/>
      <c r="M9961" s="902"/>
      <c r="N9961" s="902"/>
      <c r="O9961" s="892">
        <f t="shared" si="801"/>
        <v>0</v>
      </c>
      <c r="P9961" s="903">
        <f t="shared" si="798"/>
        <v>1</v>
      </c>
      <c r="Q9961" s="893">
        <f t="shared" si="799"/>
        <v>7</v>
      </c>
      <c r="R9961" s="894">
        <f t="shared" si="800"/>
        <v>0</v>
      </c>
    </row>
    <row r="9962" spans="1:18" s="904" customFormat="1">
      <c r="A9962" s="905"/>
      <c r="B9962" s="952"/>
      <c r="C9962" s="907">
        <v>740</v>
      </c>
      <c r="D9962" s="907" t="s">
        <v>12</v>
      </c>
      <c r="E9962" s="992" t="s">
        <v>4008</v>
      </c>
      <c r="F9962" s="905" t="s">
        <v>2674</v>
      </c>
      <c r="G9962" s="1005"/>
      <c r="H9962" s="911">
        <v>2</v>
      </c>
      <c r="I9962" s="912"/>
      <c r="J9962" s="912"/>
      <c r="K9962" s="912">
        <f>VLOOKUP(E9962,[5]ĐMNC!$A$7:$F$67,4,0)</f>
        <v>221125</v>
      </c>
      <c r="L9962" s="912">
        <f>H9962*K9962</f>
        <v>442250</v>
      </c>
      <c r="M9962" s="912"/>
      <c r="N9962" s="912"/>
      <c r="O9962" s="892">
        <f t="shared" si="801"/>
        <v>0</v>
      </c>
      <c r="P9962" s="903">
        <f t="shared" si="798"/>
        <v>1</v>
      </c>
      <c r="Q9962" s="893">
        <f t="shared" si="799"/>
        <v>6</v>
      </c>
      <c r="R9962" s="894">
        <f t="shared" si="800"/>
        <v>0</v>
      </c>
    </row>
    <row r="9963" spans="1:18">
      <c r="A9963" s="895"/>
      <c r="B9963" s="896"/>
      <c r="C9963" s="897"/>
      <c r="D9963" s="897"/>
      <c r="E9963" s="1002" t="s">
        <v>3914</v>
      </c>
      <c r="F9963" s="895"/>
      <c r="G9963" s="1004"/>
      <c r="H9963" s="901"/>
      <c r="I9963" s="902"/>
      <c r="J9963" s="902"/>
      <c r="K9963" s="912" t="s">
        <v>274</v>
      </c>
      <c r="L9963" s="902"/>
      <c r="M9963" s="902"/>
      <c r="N9963" s="902"/>
      <c r="O9963" s="892">
        <f t="shared" si="801"/>
        <v>0</v>
      </c>
      <c r="P9963" s="903">
        <f t="shared" si="798"/>
        <v>1</v>
      </c>
      <c r="Q9963" s="893">
        <f t="shared" si="799"/>
        <v>5</v>
      </c>
      <c r="R9963" s="894">
        <f t="shared" si="800"/>
        <v>0</v>
      </c>
    </row>
    <row r="9964" spans="1:18" s="847" customFormat="1">
      <c r="A9964" s="905"/>
      <c r="B9964" s="952" t="s">
        <v>6408</v>
      </c>
      <c r="C9964" s="907">
        <v>913</v>
      </c>
      <c r="D9964" s="907" t="s">
        <v>93</v>
      </c>
      <c r="E9964" s="992" t="s">
        <v>6409</v>
      </c>
      <c r="F9964" s="905" t="s">
        <v>2673</v>
      </c>
      <c r="G9964" s="1005"/>
      <c r="H9964" s="911">
        <v>0.61</v>
      </c>
      <c r="I9964" s="912"/>
      <c r="J9964" s="912"/>
      <c r="K9964" s="912"/>
      <c r="L9964" s="912"/>
      <c r="M9964" s="912">
        <f>VLOOKUP(B9964,MTC!$B$9:$S$933,12,0)</f>
        <v>0</v>
      </c>
      <c r="N9964" s="912">
        <f>M9964*H9964</f>
        <v>0</v>
      </c>
      <c r="O9964" s="892">
        <f t="shared" si="801"/>
        <v>0</v>
      </c>
      <c r="P9964" s="903">
        <f t="shared" si="798"/>
        <v>1</v>
      </c>
      <c r="Q9964" s="893">
        <f t="shared" si="799"/>
        <v>4</v>
      </c>
      <c r="R9964" s="894">
        <f t="shared" si="800"/>
        <v>0</v>
      </c>
    </row>
    <row r="9965" spans="1:18" s="904" customFormat="1">
      <c r="A9965" s="905"/>
      <c r="B9965" s="952" t="s">
        <v>6410</v>
      </c>
      <c r="C9965" s="907">
        <v>906</v>
      </c>
      <c r="D9965" s="907" t="s">
        <v>93</v>
      </c>
      <c r="E9965" s="992" t="s">
        <v>6411</v>
      </c>
      <c r="F9965" s="905" t="s">
        <v>2673</v>
      </c>
      <c r="G9965" s="1005"/>
      <c r="H9965" s="911">
        <v>0.21</v>
      </c>
      <c r="I9965" s="912"/>
      <c r="J9965" s="912"/>
      <c r="K9965" s="912"/>
      <c r="L9965" s="912"/>
      <c r="M9965" s="912">
        <f>VLOOKUP(B9965,MTC!$B$9:$S$933,12,0)</f>
        <v>0</v>
      </c>
      <c r="N9965" s="912">
        <f>M9965*H9965</f>
        <v>0</v>
      </c>
      <c r="O9965" s="892">
        <f t="shared" si="801"/>
        <v>0</v>
      </c>
      <c r="P9965" s="903">
        <f t="shared" si="798"/>
        <v>1</v>
      </c>
      <c r="Q9965" s="893">
        <f t="shared" si="799"/>
        <v>3</v>
      </c>
      <c r="R9965" s="894">
        <f t="shared" si="800"/>
        <v>0</v>
      </c>
    </row>
    <row r="9966" spans="1:18">
      <c r="A9966" s="905"/>
      <c r="B9966" s="952" t="s">
        <v>6412</v>
      </c>
      <c r="C9966" s="907">
        <v>905</v>
      </c>
      <c r="D9966" s="907" t="s">
        <v>93</v>
      </c>
      <c r="E9966" s="992" t="s">
        <v>6413</v>
      </c>
      <c r="F9966" s="905" t="s">
        <v>2673</v>
      </c>
      <c r="G9966" s="1005"/>
      <c r="H9966" s="911">
        <v>0.21</v>
      </c>
      <c r="I9966" s="912"/>
      <c r="J9966" s="912"/>
      <c r="K9966" s="912"/>
      <c r="L9966" s="912"/>
      <c r="M9966" s="912">
        <f>VLOOKUP(B9966,MTC!$B$9:$S$933,12,0)</f>
        <v>225936</v>
      </c>
      <c r="N9966" s="912">
        <f>M9966*H9966</f>
        <v>47446.559999999998</v>
      </c>
      <c r="O9966" s="892">
        <f t="shared" si="801"/>
        <v>0</v>
      </c>
      <c r="P9966" s="903">
        <f t="shared" si="798"/>
        <v>1</v>
      </c>
      <c r="Q9966" s="893">
        <f t="shared" si="799"/>
        <v>2</v>
      </c>
      <c r="R9966" s="894">
        <f t="shared" si="800"/>
        <v>0</v>
      </c>
    </row>
    <row r="9967" spans="1:18" s="847" customFormat="1">
      <c r="A9967" s="905"/>
      <c r="B9967" s="952" t="s">
        <v>6414</v>
      </c>
      <c r="C9967" s="907">
        <v>914</v>
      </c>
      <c r="D9967" s="907" t="s">
        <v>93</v>
      </c>
      <c r="E9967" s="992" t="s">
        <v>6415</v>
      </c>
      <c r="F9967" s="905" t="s">
        <v>2673</v>
      </c>
      <c r="G9967" s="1005"/>
      <c r="H9967" s="911">
        <v>0.1</v>
      </c>
      <c r="I9967" s="912"/>
      <c r="J9967" s="912"/>
      <c r="K9967" s="912"/>
      <c r="L9967" s="912"/>
      <c r="M9967" s="912">
        <f>VLOOKUP(B9967,MTC!$B$9:$S$933,12,0)</f>
        <v>0</v>
      </c>
      <c r="N9967" s="912">
        <f>M9967*H9967</f>
        <v>0</v>
      </c>
      <c r="O9967" s="892">
        <f t="shared" si="801"/>
        <v>0</v>
      </c>
      <c r="P9967" s="903">
        <f t="shared" si="798"/>
        <v>1</v>
      </c>
      <c r="Q9967" s="893">
        <f t="shared" si="799"/>
        <v>1</v>
      </c>
      <c r="R9967" s="894">
        <f t="shared" si="800"/>
        <v>0</v>
      </c>
    </row>
    <row r="9968" spans="1:18" s="904" customFormat="1" ht="31.5">
      <c r="A9968" s="905">
        <v>124</v>
      </c>
      <c r="B9968" s="914" t="s">
        <v>6600</v>
      </c>
      <c r="C9968" s="915"/>
      <c r="D9968" s="915"/>
      <c r="E9968" s="1006" t="s">
        <v>6601</v>
      </c>
      <c r="F9968" s="1007" t="s">
        <v>136</v>
      </c>
      <c r="G9968" s="1008"/>
      <c r="H9968" s="919"/>
      <c r="I9968" s="920"/>
      <c r="J9968" s="891">
        <f>SUM(J9969:J9979)</f>
        <v>55500</v>
      </c>
      <c r="K9968" s="891" t="s">
        <v>274</v>
      </c>
      <c r="L9968" s="891">
        <f>SUM(L9969:L9979)</f>
        <v>552812.5</v>
      </c>
      <c r="M9968" s="891"/>
      <c r="N9968" s="891">
        <f>SUM(N9969:N9979)</f>
        <v>51965.279999999999</v>
      </c>
      <c r="O9968" s="892">
        <f t="shared" si="801"/>
        <v>1</v>
      </c>
      <c r="P9968" s="903">
        <f t="shared" si="798"/>
        <v>0</v>
      </c>
      <c r="Q9968" s="893">
        <f t="shared" si="799"/>
        <v>0</v>
      </c>
      <c r="R9968" s="894">
        <f t="shared" si="800"/>
        <v>11</v>
      </c>
    </row>
    <row r="9969" spans="1:18">
      <c r="A9969" s="895"/>
      <c r="B9969" s="896"/>
      <c r="C9969" s="897"/>
      <c r="D9969" s="897"/>
      <c r="E9969" s="1002" t="s">
        <v>108</v>
      </c>
      <c r="F9969" s="895"/>
      <c r="G9969" s="1004"/>
      <c r="H9969" s="901"/>
      <c r="I9969" s="902"/>
      <c r="J9969" s="902"/>
      <c r="K9969" s="912" t="s">
        <v>274</v>
      </c>
      <c r="L9969" s="902"/>
      <c r="M9969" s="902"/>
      <c r="N9969" s="902"/>
      <c r="O9969" s="892">
        <f t="shared" si="801"/>
        <v>0</v>
      </c>
      <c r="P9969" s="903">
        <f t="shared" si="798"/>
        <v>1</v>
      </c>
      <c r="Q9969" s="893">
        <f t="shared" si="799"/>
        <v>11</v>
      </c>
      <c r="R9969" s="894">
        <f t="shared" si="800"/>
        <v>0</v>
      </c>
    </row>
    <row r="9970" spans="1:18" s="847" customFormat="1">
      <c r="A9970" s="905"/>
      <c r="B9970" s="952"/>
      <c r="C9970" s="907">
        <v>315</v>
      </c>
      <c r="D9970" s="907" t="s">
        <v>279</v>
      </c>
      <c r="E9970" s="992" t="s">
        <v>6316</v>
      </c>
      <c r="F9970" s="905" t="s">
        <v>49</v>
      </c>
      <c r="G9970" s="1005"/>
      <c r="H9970" s="911">
        <v>0.5</v>
      </c>
      <c r="I9970" s="912">
        <f>VLOOKUP(E9970,[3]VLP!$B$7:$K$300,10,0)</f>
        <v>8000</v>
      </c>
      <c r="J9970" s="912">
        <f>I9970*H9970</f>
        <v>4000</v>
      </c>
      <c r="K9970" s="912" t="s">
        <v>274</v>
      </c>
      <c r="L9970" s="912"/>
      <c r="M9970" s="912"/>
      <c r="N9970" s="912"/>
      <c r="O9970" s="892">
        <f t="shared" si="801"/>
        <v>0</v>
      </c>
      <c r="P9970" s="903">
        <f t="shared" si="798"/>
        <v>1</v>
      </c>
      <c r="Q9970" s="893">
        <f t="shared" si="799"/>
        <v>10</v>
      </c>
      <c r="R9970" s="894">
        <f t="shared" si="800"/>
        <v>0</v>
      </c>
    </row>
    <row r="9971" spans="1:18" s="904" customFormat="1">
      <c r="A9971" s="905"/>
      <c r="B9971" s="952"/>
      <c r="C9971" s="907">
        <v>235</v>
      </c>
      <c r="D9971" s="907" t="s">
        <v>279</v>
      </c>
      <c r="E9971" s="992" t="s">
        <v>2682</v>
      </c>
      <c r="F9971" s="905" t="s">
        <v>45</v>
      </c>
      <c r="G9971" s="1005"/>
      <c r="H9971" s="911">
        <v>0.3</v>
      </c>
      <c r="I9971" s="912">
        <f>VLOOKUP(E9971,[3]VLP!$B$7:$K$300,10,0)</f>
        <v>5000</v>
      </c>
      <c r="J9971" s="912">
        <f>I9971*H9971</f>
        <v>1500</v>
      </c>
      <c r="K9971" s="912" t="s">
        <v>274</v>
      </c>
      <c r="L9971" s="912"/>
      <c r="M9971" s="912"/>
      <c r="N9971" s="912"/>
      <c r="O9971" s="892">
        <f t="shared" si="801"/>
        <v>0</v>
      </c>
      <c r="P9971" s="903">
        <f t="shared" ref="P9971:P10034" si="802">IF(O9971=0,1,0)</f>
        <v>1</v>
      </c>
      <c r="Q9971" s="893">
        <f t="shared" ref="Q9971:Q10034" si="803">IF(P9971=0,0,P9971+Q9972)</f>
        <v>9</v>
      </c>
      <c r="R9971" s="894">
        <f t="shared" ref="R9971:R10034" si="804">IF(Q9971=0,Q9972,0)</f>
        <v>0</v>
      </c>
    </row>
    <row r="9972" spans="1:18">
      <c r="A9972" s="905"/>
      <c r="B9972" s="952"/>
      <c r="C9972" s="907">
        <v>699</v>
      </c>
      <c r="D9972" s="907" t="s">
        <v>279</v>
      </c>
      <c r="E9972" s="992" t="s">
        <v>4006</v>
      </c>
      <c r="F9972" s="905" t="s">
        <v>4007</v>
      </c>
      <c r="G9972" s="1005"/>
      <c r="H9972" s="911">
        <v>10</v>
      </c>
      <c r="I9972" s="912">
        <f>VLOOKUP(E9972,[3]VLP!$B$7:$K$300,10,0)</f>
        <v>5000</v>
      </c>
      <c r="J9972" s="912">
        <f>I9972*H9972</f>
        <v>50000</v>
      </c>
      <c r="K9972" s="912" t="s">
        <v>274</v>
      </c>
      <c r="L9972" s="912"/>
      <c r="M9972" s="912"/>
      <c r="N9972" s="912"/>
      <c r="O9972" s="892">
        <f t="shared" si="801"/>
        <v>0</v>
      </c>
      <c r="P9972" s="903">
        <f t="shared" si="802"/>
        <v>1</v>
      </c>
      <c r="Q9972" s="893">
        <f t="shared" si="803"/>
        <v>8</v>
      </c>
      <c r="R9972" s="894">
        <f t="shared" si="804"/>
        <v>0</v>
      </c>
    </row>
    <row r="9973" spans="1:18" s="847" customFormat="1">
      <c r="A9973" s="895"/>
      <c r="B9973" s="896"/>
      <c r="C9973" s="897"/>
      <c r="D9973" s="897"/>
      <c r="E9973" s="1002" t="s">
        <v>276</v>
      </c>
      <c r="F9973" s="1003"/>
      <c r="G9973" s="1004"/>
      <c r="H9973" s="901"/>
      <c r="I9973" s="902"/>
      <c r="J9973" s="902"/>
      <c r="K9973" s="912" t="s">
        <v>274</v>
      </c>
      <c r="L9973" s="902"/>
      <c r="M9973" s="902"/>
      <c r="N9973" s="902"/>
      <c r="O9973" s="892">
        <f t="shared" si="801"/>
        <v>0</v>
      </c>
      <c r="P9973" s="903">
        <f t="shared" si="802"/>
        <v>1</v>
      </c>
      <c r="Q9973" s="893">
        <f t="shared" si="803"/>
        <v>7</v>
      </c>
      <c r="R9973" s="894">
        <f t="shared" si="804"/>
        <v>0</v>
      </c>
    </row>
    <row r="9974" spans="1:18" s="904" customFormat="1">
      <c r="A9974" s="905"/>
      <c r="B9974" s="952"/>
      <c r="C9974" s="907">
        <v>740</v>
      </c>
      <c r="D9974" s="907" t="s">
        <v>12</v>
      </c>
      <c r="E9974" s="992" t="s">
        <v>4008</v>
      </c>
      <c r="F9974" s="905" t="s">
        <v>2674</v>
      </c>
      <c r="G9974" s="1005"/>
      <c r="H9974" s="911">
        <v>2.5</v>
      </c>
      <c r="I9974" s="912"/>
      <c r="J9974" s="912"/>
      <c r="K9974" s="912">
        <f>VLOOKUP(E9974,[5]ĐMNC!$A$7:$F$67,4,0)</f>
        <v>221125</v>
      </c>
      <c r="L9974" s="912">
        <f>H9974*K9974</f>
        <v>552812.5</v>
      </c>
      <c r="M9974" s="912"/>
      <c r="N9974" s="912"/>
      <c r="O9974" s="892">
        <f t="shared" si="801"/>
        <v>0</v>
      </c>
      <c r="P9974" s="903">
        <f t="shared" si="802"/>
        <v>1</v>
      </c>
      <c r="Q9974" s="893">
        <f t="shared" si="803"/>
        <v>6</v>
      </c>
      <c r="R9974" s="894">
        <f t="shared" si="804"/>
        <v>0</v>
      </c>
    </row>
    <row r="9975" spans="1:18">
      <c r="A9975" s="895"/>
      <c r="B9975" s="896"/>
      <c r="C9975" s="897"/>
      <c r="D9975" s="897"/>
      <c r="E9975" s="1002" t="s">
        <v>3914</v>
      </c>
      <c r="F9975" s="895"/>
      <c r="G9975" s="1004"/>
      <c r="H9975" s="901"/>
      <c r="I9975" s="902"/>
      <c r="J9975" s="902"/>
      <c r="K9975" s="912" t="s">
        <v>274</v>
      </c>
      <c r="L9975" s="902"/>
      <c r="M9975" s="902"/>
      <c r="N9975" s="902"/>
      <c r="O9975" s="892">
        <f t="shared" si="801"/>
        <v>0</v>
      </c>
      <c r="P9975" s="903">
        <f t="shared" si="802"/>
        <v>1</v>
      </c>
      <c r="Q9975" s="893">
        <f t="shared" si="803"/>
        <v>5</v>
      </c>
      <c r="R9975" s="894">
        <f t="shared" si="804"/>
        <v>0</v>
      </c>
    </row>
    <row r="9976" spans="1:18" s="847" customFormat="1">
      <c r="A9976" s="905"/>
      <c r="B9976" s="952" t="s">
        <v>6408</v>
      </c>
      <c r="C9976" s="907">
        <v>913</v>
      </c>
      <c r="D9976" s="907" t="s">
        <v>93</v>
      </c>
      <c r="E9976" s="992" t="s">
        <v>6409</v>
      </c>
      <c r="F9976" s="905" t="s">
        <v>2673</v>
      </c>
      <c r="G9976" s="1005"/>
      <c r="H9976" s="911">
        <v>0.72</v>
      </c>
      <c r="I9976" s="912"/>
      <c r="J9976" s="912"/>
      <c r="K9976" s="912"/>
      <c r="L9976" s="912"/>
      <c r="M9976" s="912">
        <f>VLOOKUP(B9976,MTC!$B$9:$S$933,12,0)</f>
        <v>0</v>
      </c>
      <c r="N9976" s="912">
        <f>M9976*H9976</f>
        <v>0</v>
      </c>
      <c r="O9976" s="892">
        <f t="shared" si="801"/>
        <v>0</v>
      </c>
      <c r="P9976" s="903">
        <f t="shared" si="802"/>
        <v>1</v>
      </c>
      <c r="Q9976" s="893">
        <f t="shared" si="803"/>
        <v>4</v>
      </c>
      <c r="R9976" s="894">
        <f t="shared" si="804"/>
        <v>0</v>
      </c>
    </row>
    <row r="9977" spans="1:18" s="904" customFormat="1">
      <c r="A9977" s="905"/>
      <c r="B9977" s="952" t="s">
        <v>6410</v>
      </c>
      <c r="C9977" s="907">
        <v>906</v>
      </c>
      <c r="D9977" s="907" t="s">
        <v>93</v>
      </c>
      <c r="E9977" s="992" t="s">
        <v>6411</v>
      </c>
      <c r="F9977" s="905" t="s">
        <v>2673</v>
      </c>
      <c r="G9977" s="1005"/>
      <c r="H9977" s="911">
        <v>0.23</v>
      </c>
      <c r="I9977" s="912"/>
      <c r="J9977" s="912"/>
      <c r="K9977" s="912"/>
      <c r="L9977" s="912"/>
      <c r="M9977" s="912">
        <f>VLOOKUP(B9977,MTC!$B$9:$S$933,12,0)</f>
        <v>0</v>
      </c>
      <c r="N9977" s="912">
        <f>M9977*H9977</f>
        <v>0</v>
      </c>
      <c r="O9977" s="892">
        <f t="shared" si="801"/>
        <v>0</v>
      </c>
      <c r="P9977" s="903">
        <f t="shared" si="802"/>
        <v>1</v>
      </c>
      <c r="Q9977" s="893">
        <f t="shared" si="803"/>
        <v>3</v>
      </c>
      <c r="R9977" s="894">
        <f t="shared" si="804"/>
        <v>0</v>
      </c>
    </row>
    <row r="9978" spans="1:18">
      <c r="A9978" s="905"/>
      <c r="B9978" s="952" t="s">
        <v>6412</v>
      </c>
      <c r="C9978" s="907">
        <v>905</v>
      </c>
      <c r="D9978" s="907" t="s">
        <v>93</v>
      </c>
      <c r="E9978" s="992" t="s">
        <v>6413</v>
      </c>
      <c r="F9978" s="905" t="s">
        <v>2673</v>
      </c>
      <c r="G9978" s="1005"/>
      <c r="H9978" s="911">
        <v>0.23</v>
      </c>
      <c r="I9978" s="912"/>
      <c r="J9978" s="912"/>
      <c r="K9978" s="912"/>
      <c r="L9978" s="912"/>
      <c r="M9978" s="912">
        <f>VLOOKUP(B9978,MTC!$B$9:$S$933,12,0)</f>
        <v>225936</v>
      </c>
      <c r="N9978" s="912">
        <f>M9978*H9978</f>
        <v>51965.279999999999</v>
      </c>
      <c r="O9978" s="892">
        <f t="shared" si="801"/>
        <v>0</v>
      </c>
      <c r="P9978" s="903">
        <f t="shared" si="802"/>
        <v>1</v>
      </c>
      <c r="Q9978" s="893">
        <f t="shared" si="803"/>
        <v>2</v>
      </c>
      <c r="R9978" s="894">
        <f t="shared" si="804"/>
        <v>0</v>
      </c>
    </row>
    <row r="9979" spans="1:18" s="847" customFormat="1">
      <c r="A9979" s="905"/>
      <c r="B9979" s="952" t="s">
        <v>6414</v>
      </c>
      <c r="C9979" s="907">
        <v>914</v>
      </c>
      <c r="D9979" s="907" t="s">
        <v>93</v>
      </c>
      <c r="E9979" s="992" t="s">
        <v>6415</v>
      </c>
      <c r="F9979" s="905" t="s">
        <v>2673</v>
      </c>
      <c r="G9979" s="1005"/>
      <c r="H9979" s="911">
        <v>0.1</v>
      </c>
      <c r="I9979" s="912"/>
      <c r="J9979" s="912"/>
      <c r="K9979" s="912"/>
      <c r="L9979" s="912"/>
      <c r="M9979" s="912">
        <f>VLOOKUP(B9979,MTC!$B$9:$S$933,12,0)</f>
        <v>0</v>
      </c>
      <c r="N9979" s="912">
        <f>M9979*H9979</f>
        <v>0</v>
      </c>
      <c r="O9979" s="892">
        <f t="shared" si="801"/>
        <v>0</v>
      </c>
      <c r="P9979" s="903">
        <f t="shared" si="802"/>
        <v>1</v>
      </c>
      <c r="Q9979" s="893">
        <f t="shared" si="803"/>
        <v>1</v>
      </c>
      <c r="R9979" s="894">
        <f t="shared" si="804"/>
        <v>0</v>
      </c>
    </row>
    <row r="9980" spans="1:18" s="904" customFormat="1" ht="31.5">
      <c r="A9980" s="905">
        <v>125</v>
      </c>
      <c r="B9980" s="914" t="s">
        <v>6602</v>
      </c>
      <c r="C9980" s="915"/>
      <c r="D9980" s="915"/>
      <c r="E9980" s="1006" t="s">
        <v>6603</v>
      </c>
      <c r="F9980" s="1007" t="s">
        <v>136</v>
      </c>
      <c r="G9980" s="1008"/>
      <c r="H9980" s="919"/>
      <c r="I9980" s="920"/>
      <c r="J9980" s="891">
        <f>SUM(J9981:J9991)</f>
        <v>55500</v>
      </c>
      <c r="K9980" s="891" t="s">
        <v>274</v>
      </c>
      <c r="L9980" s="891">
        <f>SUM(L9981:L9991)</f>
        <v>685487.5</v>
      </c>
      <c r="M9980" s="891"/>
      <c r="N9980" s="891">
        <f>SUM(N9981:N9991)</f>
        <v>61002.720000000001</v>
      </c>
      <c r="O9980" s="892">
        <f t="shared" si="801"/>
        <v>1</v>
      </c>
      <c r="P9980" s="903">
        <f t="shared" si="802"/>
        <v>0</v>
      </c>
      <c r="Q9980" s="893">
        <f t="shared" si="803"/>
        <v>0</v>
      </c>
      <c r="R9980" s="894">
        <f t="shared" si="804"/>
        <v>11</v>
      </c>
    </row>
    <row r="9981" spans="1:18">
      <c r="A9981" s="895"/>
      <c r="B9981" s="896"/>
      <c r="C9981" s="897"/>
      <c r="D9981" s="897"/>
      <c r="E9981" s="1002" t="s">
        <v>108</v>
      </c>
      <c r="F9981" s="895"/>
      <c r="G9981" s="1004"/>
      <c r="H9981" s="901"/>
      <c r="I9981" s="902"/>
      <c r="J9981" s="902"/>
      <c r="K9981" s="912" t="s">
        <v>274</v>
      </c>
      <c r="L9981" s="902"/>
      <c r="M9981" s="902"/>
      <c r="N9981" s="902"/>
      <c r="O9981" s="892">
        <f t="shared" si="801"/>
        <v>0</v>
      </c>
      <c r="P9981" s="903">
        <f t="shared" si="802"/>
        <v>1</v>
      </c>
      <c r="Q9981" s="893">
        <f t="shared" si="803"/>
        <v>11</v>
      </c>
      <c r="R9981" s="894">
        <f t="shared" si="804"/>
        <v>0</v>
      </c>
    </row>
    <row r="9982" spans="1:18" s="847" customFormat="1">
      <c r="A9982" s="905"/>
      <c r="B9982" s="952"/>
      <c r="C9982" s="907">
        <v>315</v>
      </c>
      <c r="D9982" s="907" t="s">
        <v>279</v>
      </c>
      <c r="E9982" s="992" t="s">
        <v>6316</v>
      </c>
      <c r="F9982" s="905" t="s">
        <v>49</v>
      </c>
      <c r="G9982" s="1005"/>
      <c r="H9982" s="911">
        <v>0.5</v>
      </c>
      <c r="I9982" s="912">
        <f>VLOOKUP(E9982,[3]VLP!$B$7:$K$300,10,0)</f>
        <v>8000</v>
      </c>
      <c r="J9982" s="912">
        <f>I9982*H9982</f>
        <v>4000</v>
      </c>
      <c r="K9982" s="912" t="s">
        <v>274</v>
      </c>
      <c r="L9982" s="912"/>
      <c r="M9982" s="912"/>
      <c r="N9982" s="912"/>
      <c r="O9982" s="892">
        <f t="shared" si="801"/>
        <v>0</v>
      </c>
      <c r="P9982" s="903">
        <f t="shared" si="802"/>
        <v>1</v>
      </c>
      <c r="Q9982" s="893">
        <f t="shared" si="803"/>
        <v>10</v>
      </c>
      <c r="R9982" s="894">
        <f t="shared" si="804"/>
        <v>0</v>
      </c>
    </row>
    <row r="9983" spans="1:18" s="904" customFormat="1">
      <c r="A9983" s="905"/>
      <c r="B9983" s="952"/>
      <c r="C9983" s="907">
        <v>235</v>
      </c>
      <c r="D9983" s="907" t="s">
        <v>279</v>
      </c>
      <c r="E9983" s="992" t="s">
        <v>2682</v>
      </c>
      <c r="F9983" s="905" t="s">
        <v>45</v>
      </c>
      <c r="G9983" s="1005"/>
      <c r="H9983" s="911">
        <v>0.3</v>
      </c>
      <c r="I9983" s="912">
        <f>VLOOKUP(E9983,[3]VLP!$B$7:$K$300,10,0)</f>
        <v>5000</v>
      </c>
      <c r="J9983" s="912">
        <f>I9983*H9983</f>
        <v>1500</v>
      </c>
      <c r="K9983" s="912" t="s">
        <v>274</v>
      </c>
      <c r="L9983" s="912"/>
      <c r="M9983" s="912"/>
      <c r="N9983" s="912"/>
      <c r="O9983" s="892">
        <f t="shared" si="801"/>
        <v>0</v>
      </c>
      <c r="P9983" s="903">
        <f t="shared" si="802"/>
        <v>1</v>
      </c>
      <c r="Q9983" s="893">
        <f t="shared" si="803"/>
        <v>9</v>
      </c>
      <c r="R9983" s="894">
        <f t="shared" si="804"/>
        <v>0</v>
      </c>
    </row>
    <row r="9984" spans="1:18">
      <c r="A9984" s="905"/>
      <c r="B9984" s="952"/>
      <c r="C9984" s="907">
        <v>699</v>
      </c>
      <c r="D9984" s="907" t="s">
        <v>279</v>
      </c>
      <c r="E9984" s="992" t="s">
        <v>4006</v>
      </c>
      <c r="F9984" s="905" t="s">
        <v>4007</v>
      </c>
      <c r="G9984" s="1005"/>
      <c r="H9984" s="911">
        <v>10</v>
      </c>
      <c r="I9984" s="912">
        <f>VLOOKUP(E9984,[3]VLP!$B$7:$K$300,10,0)</f>
        <v>5000</v>
      </c>
      <c r="J9984" s="912">
        <f>I9984*H9984</f>
        <v>50000</v>
      </c>
      <c r="K9984" s="912" t="s">
        <v>274</v>
      </c>
      <c r="L9984" s="912"/>
      <c r="M9984" s="912"/>
      <c r="N9984" s="912"/>
      <c r="O9984" s="892">
        <f t="shared" si="801"/>
        <v>0</v>
      </c>
      <c r="P9984" s="903">
        <f t="shared" si="802"/>
        <v>1</v>
      </c>
      <c r="Q9984" s="893">
        <f t="shared" si="803"/>
        <v>8</v>
      </c>
      <c r="R9984" s="894">
        <f t="shared" si="804"/>
        <v>0</v>
      </c>
    </row>
    <row r="9985" spans="1:18" s="847" customFormat="1">
      <c r="A9985" s="895"/>
      <c r="B9985" s="896"/>
      <c r="C9985" s="897"/>
      <c r="D9985" s="897"/>
      <c r="E9985" s="1002" t="s">
        <v>276</v>
      </c>
      <c r="F9985" s="1003"/>
      <c r="G9985" s="1004"/>
      <c r="H9985" s="901"/>
      <c r="I9985" s="902"/>
      <c r="J9985" s="902"/>
      <c r="K9985" s="912" t="s">
        <v>274</v>
      </c>
      <c r="L9985" s="902"/>
      <c r="M9985" s="902"/>
      <c r="N9985" s="902"/>
      <c r="O9985" s="892">
        <f t="shared" si="801"/>
        <v>0</v>
      </c>
      <c r="P9985" s="903">
        <f t="shared" si="802"/>
        <v>1</v>
      </c>
      <c r="Q9985" s="893">
        <f t="shared" si="803"/>
        <v>7</v>
      </c>
      <c r="R9985" s="894">
        <f t="shared" si="804"/>
        <v>0</v>
      </c>
    </row>
    <row r="9986" spans="1:18" s="904" customFormat="1">
      <c r="A9986" s="905"/>
      <c r="B9986" s="952"/>
      <c r="C9986" s="907">
        <v>740</v>
      </c>
      <c r="D9986" s="907" t="s">
        <v>12</v>
      </c>
      <c r="E9986" s="992" t="s">
        <v>4008</v>
      </c>
      <c r="F9986" s="905" t="s">
        <v>2674</v>
      </c>
      <c r="G9986" s="1005"/>
      <c r="H9986" s="911">
        <v>3.1</v>
      </c>
      <c r="I9986" s="912"/>
      <c r="J9986" s="912"/>
      <c r="K9986" s="912">
        <f>VLOOKUP(E9986,[5]ĐMNC!$A$7:$F$67,4,0)</f>
        <v>221125</v>
      </c>
      <c r="L9986" s="912">
        <f>H9986*K9986</f>
        <v>685487.5</v>
      </c>
      <c r="M9986" s="912"/>
      <c r="N9986" s="912"/>
      <c r="O9986" s="892">
        <f t="shared" si="801"/>
        <v>0</v>
      </c>
      <c r="P9986" s="903">
        <f t="shared" si="802"/>
        <v>1</v>
      </c>
      <c r="Q9986" s="893">
        <f t="shared" si="803"/>
        <v>6</v>
      </c>
      <c r="R9986" s="894">
        <f t="shared" si="804"/>
        <v>0</v>
      </c>
    </row>
    <row r="9987" spans="1:18">
      <c r="A9987" s="895"/>
      <c r="B9987" s="896"/>
      <c r="C9987" s="897"/>
      <c r="D9987" s="897"/>
      <c r="E9987" s="1002" t="s">
        <v>3914</v>
      </c>
      <c r="F9987" s="895"/>
      <c r="G9987" s="1004"/>
      <c r="H9987" s="901"/>
      <c r="I9987" s="902"/>
      <c r="J9987" s="902"/>
      <c r="K9987" s="912" t="s">
        <v>274</v>
      </c>
      <c r="L9987" s="902"/>
      <c r="M9987" s="902"/>
      <c r="N9987" s="902"/>
      <c r="O9987" s="892">
        <f t="shared" si="801"/>
        <v>0</v>
      </c>
      <c r="P9987" s="903">
        <f t="shared" si="802"/>
        <v>1</v>
      </c>
      <c r="Q9987" s="893">
        <f t="shared" si="803"/>
        <v>5</v>
      </c>
      <c r="R9987" s="894">
        <f t="shared" si="804"/>
        <v>0</v>
      </c>
    </row>
    <row r="9988" spans="1:18" s="847" customFormat="1">
      <c r="A9988" s="905"/>
      <c r="B9988" s="952" t="s">
        <v>6408</v>
      </c>
      <c r="C9988" s="907">
        <v>913</v>
      </c>
      <c r="D9988" s="907" t="s">
        <v>93</v>
      </c>
      <c r="E9988" s="992" t="s">
        <v>6409</v>
      </c>
      <c r="F9988" s="905" t="s">
        <v>2673</v>
      </c>
      <c r="G9988" s="1005"/>
      <c r="H9988" s="911">
        <v>0.86</v>
      </c>
      <c r="I9988" s="912"/>
      <c r="J9988" s="912"/>
      <c r="K9988" s="912"/>
      <c r="L9988" s="912"/>
      <c r="M9988" s="912">
        <f>VLOOKUP(B9988,MTC!$B$9:$S$933,12,0)</f>
        <v>0</v>
      </c>
      <c r="N9988" s="912">
        <f>M9988*H9988</f>
        <v>0</v>
      </c>
      <c r="O9988" s="892">
        <f t="shared" si="801"/>
        <v>0</v>
      </c>
      <c r="P9988" s="903">
        <f t="shared" si="802"/>
        <v>1</v>
      </c>
      <c r="Q9988" s="893">
        <f t="shared" si="803"/>
        <v>4</v>
      </c>
      <c r="R9988" s="894">
        <f t="shared" si="804"/>
        <v>0</v>
      </c>
    </row>
    <row r="9989" spans="1:18" s="904" customFormat="1">
      <c r="A9989" s="905"/>
      <c r="B9989" s="952" t="s">
        <v>6410</v>
      </c>
      <c r="C9989" s="907">
        <v>906</v>
      </c>
      <c r="D9989" s="907" t="s">
        <v>93</v>
      </c>
      <c r="E9989" s="992" t="s">
        <v>6411</v>
      </c>
      <c r="F9989" s="905" t="s">
        <v>2673</v>
      </c>
      <c r="G9989" s="1005"/>
      <c r="H9989" s="911">
        <v>0.27</v>
      </c>
      <c r="I9989" s="912"/>
      <c r="J9989" s="912"/>
      <c r="K9989" s="912"/>
      <c r="L9989" s="912"/>
      <c r="M9989" s="912">
        <f>VLOOKUP(B9989,MTC!$B$9:$S$933,12,0)</f>
        <v>0</v>
      </c>
      <c r="N9989" s="912">
        <f>M9989*H9989</f>
        <v>0</v>
      </c>
      <c r="O9989" s="892">
        <f t="shared" si="801"/>
        <v>0</v>
      </c>
      <c r="P9989" s="903">
        <f t="shared" si="802"/>
        <v>1</v>
      </c>
      <c r="Q9989" s="893">
        <f t="shared" si="803"/>
        <v>3</v>
      </c>
      <c r="R9989" s="894">
        <f t="shared" si="804"/>
        <v>0</v>
      </c>
    </row>
    <row r="9990" spans="1:18">
      <c r="A9990" s="905"/>
      <c r="B9990" s="952" t="s">
        <v>6412</v>
      </c>
      <c r="C9990" s="907">
        <v>905</v>
      </c>
      <c r="D9990" s="907" t="s">
        <v>93</v>
      </c>
      <c r="E9990" s="992" t="s">
        <v>6413</v>
      </c>
      <c r="F9990" s="905" t="s">
        <v>2673</v>
      </c>
      <c r="G9990" s="1005"/>
      <c r="H9990" s="911">
        <v>0.27</v>
      </c>
      <c r="I9990" s="912"/>
      <c r="J9990" s="912"/>
      <c r="K9990" s="912"/>
      <c r="L9990" s="912"/>
      <c r="M9990" s="912">
        <f>VLOOKUP(B9990,MTC!$B$9:$S$933,12,0)</f>
        <v>225936</v>
      </c>
      <c r="N9990" s="912">
        <f>M9990*H9990</f>
        <v>61002.720000000001</v>
      </c>
      <c r="O9990" s="892">
        <f t="shared" si="801"/>
        <v>0</v>
      </c>
      <c r="P9990" s="903">
        <f t="shared" si="802"/>
        <v>1</v>
      </c>
      <c r="Q9990" s="893">
        <f t="shared" si="803"/>
        <v>2</v>
      </c>
      <c r="R9990" s="894">
        <f t="shared" si="804"/>
        <v>0</v>
      </c>
    </row>
    <row r="9991" spans="1:18" s="847" customFormat="1">
      <c r="A9991" s="905"/>
      <c r="B9991" s="952" t="s">
        <v>6414</v>
      </c>
      <c r="C9991" s="907">
        <v>914</v>
      </c>
      <c r="D9991" s="907" t="s">
        <v>93</v>
      </c>
      <c r="E9991" s="992" t="s">
        <v>6415</v>
      </c>
      <c r="F9991" s="905" t="s">
        <v>2673</v>
      </c>
      <c r="G9991" s="1005"/>
      <c r="H9991" s="911">
        <v>0.1</v>
      </c>
      <c r="I9991" s="912"/>
      <c r="J9991" s="912"/>
      <c r="K9991" s="912"/>
      <c r="L9991" s="912"/>
      <c r="M9991" s="912">
        <f>VLOOKUP(B9991,MTC!$B$9:$S$933,12,0)</f>
        <v>0</v>
      </c>
      <c r="N9991" s="912">
        <f>M9991*H9991</f>
        <v>0</v>
      </c>
      <c r="O9991" s="892">
        <f t="shared" si="801"/>
        <v>0</v>
      </c>
      <c r="P9991" s="903">
        <f t="shared" si="802"/>
        <v>1</v>
      </c>
      <c r="Q9991" s="893">
        <f t="shared" si="803"/>
        <v>1</v>
      </c>
      <c r="R9991" s="894">
        <f t="shared" si="804"/>
        <v>0</v>
      </c>
    </row>
    <row r="9992" spans="1:18" s="904" customFormat="1" ht="31.5">
      <c r="A9992" s="905">
        <v>126</v>
      </c>
      <c r="B9992" s="914" t="s">
        <v>6604</v>
      </c>
      <c r="C9992" s="915"/>
      <c r="D9992" s="915"/>
      <c r="E9992" s="1006" t="s">
        <v>6605</v>
      </c>
      <c r="F9992" s="1007" t="s">
        <v>136</v>
      </c>
      <c r="G9992" s="1008"/>
      <c r="H9992" s="919"/>
      <c r="I9992" s="920"/>
      <c r="J9992" s="891">
        <f>SUM(J9993:J10003)</f>
        <v>55500</v>
      </c>
      <c r="K9992" s="891" t="s">
        <v>274</v>
      </c>
      <c r="L9992" s="891">
        <f>SUM(L9993:L10003)</f>
        <v>773937.5</v>
      </c>
      <c r="M9992" s="891"/>
      <c r="N9992" s="891">
        <f>SUM(N9993:N10003)</f>
        <v>81336.959999999992</v>
      </c>
      <c r="O9992" s="892">
        <f t="shared" si="801"/>
        <v>1</v>
      </c>
      <c r="P9992" s="903">
        <f t="shared" si="802"/>
        <v>0</v>
      </c>
      <c r="Q9992" s="893">
        <f t="shared" si="803"/>
        <v>0</v>
      </c>
      <c r="R9992" s="894">
        <f t="shared" si="804"/>
        <v>11</v>
      </c>
    </row>
    <row r="9993" spans="1:18">
      <c r="A9993" s="895"/>
      <c r="B9993" s="896"/>
      <c r="C9993" s="897"/>
      <c r="D9993" s="897"/>
      <c r="E9993" s="1002" t="s">
        <v>108</v>
      </c>
      <c r="F9993" s="895"/>
      <c r="G9993" s="1004"/>
      <c r="H9993" s="901"/>
      <c r="I9993" s="902"/>
      <c r="J9993" s="902"/>
      <c r="K9993" s="912" t="s">
        <v>274</v>
      </c>
      <c r="L9993" s="902"/>
      <c r="M9993" s="902"/>
      <c r="N9993" s="902"/>
      <c r="O9993" s="892">
        <f t="shared" si="801"/>
        <v>0</v>
      </c>
      <c r="P9993" s="903">
        <f t="shared" si="802"/>
        <v>1</v>
      </c>
      <c r="Q9993" s="893">
        <f t="shared" si="803"/>
        <v>11</v>
      </c>
      <c r="R9993" s="894">
        <f t="shared" si="804"/>
        <v>0</v>
      </c>
    </row>
    <row r="9994" spans="1:18" s="847" customFormat="1">
      <c r="A9994" s="905"/>
      <c r="B9994" s="952"/>
      <c r="C9994" s="907">
        <v>315</v>
      </c>
      <c r="D9994" s="907" t="s">
        <v>279</v>
      </c>
      <c r="E9994" s="992" t="s">
        <v>6316</v>
      </c>
      <c r="F9994" s="905" t="s">
        <v>49</v>
      </c>
      <c r="G9994" s="1005"/>
      <c r="H9994" s="911">
        <v>0.5</v>
      </c>
      <c r="I9994" s="912">
        <f>VLOOKUP(E9994,[3]VLP!$B$7:$K$300,10,0)</f>
        <v>8000</v>
      </c>
      <c r="J9994" s="912">
        <f>I9994*H9994</f>
        <v>4000</v>
      </c>
      <c r="K9994" s="912" t="s">
        <v>274</v>
      </c>
      <c r="L9994" s="912"/>
      <c r="M9994" s="912"/>
      <c r="N9994" s="912"/>
      <c r="O9994" s="892">
        <f t="shared" si="801"/>
        <v>0</v>
      </c>
      <c r="P9994" s="903">
        <f t="shared" si="802"/>
        <v>1</v>
      </c>
      <c r="Q9994" s="893">
        <f t="shared" si="803"/>
        <v>10</v>
      </c>
      <c r="R9994" s="894">
        <f t="shared" si="804"/>
        <v>0</v>
      </c>
    </row>
    <row r="9995" spans="1:18" s="904" customFormat="1">
      <c r="A9995" s="905"/>
      <c r="B9995" s="952"/>
      <c r="C9995" s="907">
        <v>235</v>
      </c>
      <c r="D9995" s="907" t="s">
        <v>279</v>
      </c>
      <c r="E9995" s="992" t="s">
        <v>2682</v>
      </c>
      <c r="F9995" s="905" t="s">
        <v>45</v>
      </c>
      <c r="G9995" s="1005"/>
      <c r="H9995" s="911">
        <v>0.3</v>
      </c>
      <c r="I9995" s="912">
        <f>VLOOKUP(E9995,[3]VLP!$B$7:$K$300,10,0)</f>
        <v>5000</v>
      </c>
      <c r="J9995" s="912">
        <f>I9995*H9995</f>
        <v>1500</v>
      </c>
      <c r="K9995" s="912" t="s">
        <v>274</v>
      </c>
      <c r="L9995" s="912"/>
      <c r="M9995" s="912"/>
      <c r="N9995" s="912"/>
      <c r="O9995" s="892">
        <f t="shared" si="801"/>
        <v>0</v>
      </c>
      <c r="P9995" s="903">
        <f t="shared" si="802"/>
        <v>1</v>
      </c>
      <c r="Q9995" s="893">
        <f t="shared" si="803"/>
        <v>9</v>
      </c>
      <c r="R9995" s="894">
        <f t="shared" si="804"/>
        <v>0</v>
      </c>
    </row>
    <row r="9996" spans="1:18">
      <c r="A9996" s="905"/>
      <c r="B9996" s="952"/>
      <c r="C9996" s="907">
        <v>699</v>
      </c>
      <c r="D9996" s="907" t="s">
        <v>279</v>
      </c>
      <c r="E9996" s="992" t="s">
        <v>4006</v>
      </c>
      <c r="F9996" s="905" t="s">
        <v>4007</v>
      </c>
      <c r="G9996" s="1005"/>
      <c r="H9996" s="911">
        <v>10</v>
      </c>
      <c r="I9996" s="912">
        <f>VLOOKUP(E9996,[3]VLP!$B$7:$K$300,10,0)</f>
        <v>5000</v>
      </c>
      <c r="J9996" s="912">
        <f>I9996*H9996</f>
        <v>50000</v>
      </c>
      <c r="K9996" s="912" t="s">
        <v>274</v>
      </c>
      <c r="L9996" s="912"/>
      <c r="M9996" s="912"/>
      <c r="N9996" s="912"/>
      <c r="O9996" s="892">
        <f t="shared" si="801"/>
        <v>0</v>
      </c>
      <c r="P9996" s="903">
        <f t="shared" si="802"/>
        <v>1</v>
      </c>
      <c r="Q9996" s="893">
        <f t="shared" si="803"/>
        <v>8</v>
      </c>
      <c r="R9996" s="894">
        <f t="shared" si="804"/>
        <v>0</v>
      </c>
    </row>
    <row r="9997" spans="1:18" s="847" customFormat="1">
      <c r="A9997" s="895"/>
      <c r="B9997" s="896"/>
      <c r="C9997" s="897"/>
      <c r="D9997" s="897"/>
      <c r="E9997" s="1002" t="s">
        <v>276</v>
      </c>
      <c r="F9997" s="1003"/>
      <c r="G9997" s="1004"/>
      <c r="H9997" s="901"/>
      <c r="I9997" s="902"/>
      <c r="J9997" s="902"/>
      <c r="K9997" s="912" t="s">
        <v>274</v>
      </c>
      <c r="L9997" s="902"/>
      <c r="M9997" s="902"/>
      <c r="N9997" s="902"/>
      <c r="O9997" s="892">
        <f t="shared" si="801"/>
        <v>0</v>
      </c>
      <c r="P9997" s="903">
        <f t="shared" si="802"/>
        <v>1</v>
      </c>
      <c r="Q9997" s="893">
        <f t="shared" si="803"/>
        <v>7</v>
      </c>
      <c r="R9997" s="894">
        <f t="shared" si="804"/>
        <v>0</v>
      </c>
    </row>
    <row r="9998" spans="1:18" s="904" customFormat="1">
      <c r="A9998" s="905"/>
      <c r="B9998" s="952"/>
      <c r="C9998" s="907">
        <v>740</v>
      </c>
      <c r="D9998" s="907" t="s">
        <v>12</v>
      </c>
      <c r="E9998" s="992" t="s">
        <v>4008</v>
      </c>
      <c r="F9998" s="905" t="s">
        <v>2674</v>
      </c>
      <c r="G9998" s="1005"/>
      <c r="H9998" s="911">
        <v>3.5</v>
      </c>
      <c r="I9998" s="912"/>
      <c r="J9998" s="912"/>
      <c r="K9998" s="912">
        <f>VLOOKUP(E9998,[5]ĐMNC!$A$7:$F$67,4,0)</f>
        <v>221125</v>
      </c>
      <c r="L9998" s="912">
        <f>H9998*K9998</f>
        <v>773937.5</v>
      </c>
      <c r="M9998" s="912"/>
      <c r="N9998" s="912"/>
      <c r="O9998" s="892">
        <f t="shared" si="801"/>
        <v>0</v>
      </c>
      <c r="P9998" s="903">
        <f t="shared" si="802"/>
        <v>1</v>
      </c>
      <c r="Q9998" s="893">
        <f t="shared" si="803"/>
        <v>6</v>
      </c>
      <c r="R9998" s="894">
        <f t="shared" si="804"/>
        <v>0</v>
      </c>
    </row>
    <row r="9999" spans="1:18">
      <c r="A9999" s="895"/>
      <c r="B9999" s="896"/>
      <c r="C9999" s="897"/>
      <c r="D9999" s="897"/>
      <c r="E9999" s="1002" t="s">
        <v>3914</v>
      </c>
      <c r="F9999" s="895"/>
      <c r="G9999" s="1004"/>
      <c r="H9999" s="901"/>
      <c r="I9999" s="902"/>
      <c r="J9999" s="902"/>
      <c r="K9999" s="912" t="s">
        <v>274</v>
      </c>
      <c r="L9999" s="902"/>
      <c r="M9999" s="902"/>
      <c r="N9999" s="902"/>
      <c r="O9999" s="892">
        <f t="shared" si="801"/>
        <v>0</v>
      </c>
      <c r="P9999" s="903">
        <f t="shared" si="802"/>
        <v>1</v>
      </c>
      <c r="Q9999" s="893">
        <f t="shared" si="803"/>
        <v>5</v>
      </c>
      <c r="R9999" s="894">
        <f t="shared" si="804"/>
        <v>0</v>
      </c>
    </row>
    <row r="10000" spans="1:18" s="847" customFormat="1">
      <c r="A10000" s="905"/>
      <c r="B10000" s="952" t="s">
        <v>6408</v>
      </c>
      <c r="C10000" s="907">
        <v>913</v>
      </c>
      <c r="D10000" s="907" t="s">
        <v>93</v>
      </c>
      <c r="E10000" s="992" t="s">
        <v>6409</v>
      </c>
      <c r="F10000" s="905" t="s">
        <v>2673</v>
      </c>
      <c r="G10000" s="1005"/>
      <c r="H10000" s="911">
        <v>1.03</v>
      </c>
      <c r="I10000" s="912"/>
      <c r="J10000" s="912"/>
      <c r="K10000" s="912"/>
      <c r="L10000" s="912"/>
      <c r="M10000" s="912">
        <f>VLOOKUP(B10000,MTC!$B$9:$S$933,12,0)</f>
        <v>0</v>
      </c>
      <c r="N10000" s="912">
        <f>M10000*H10000</f>
        <v>0</v>
      </c>
      <c r="O10000" s="892">
        <f t="shared" si="801"/>
        <v>0</v>
      </c>
      <c r="P10000" s="903">
        <f t="shared" si="802"/>
        <v>1</v>
      </c>
      <c r="Q10000" s="893">
        <f t="shared" si="803"/>
        <v>4</v>
      </c>
      <c r="R10000" s="894">
        <f t="shared" si="804"/>
        <v>0</v>
      </c>
    </row>
    <row r="10001" spans="1:18" s="904" customFormat="1">
      <c r="A10001" s="905"/>
      <c r="B10001" s="952" t="s">
        <v>6410</v>
      </c>
      <c r="C10001" s="907">
        <v>906</v>
      </c>
      <c r="D10001" s="907" t="s">
        <v>93</v>
      </c>
      <c r="E10001" s="992" t="s">
        <v>6411</v>
      </c>
      <c r="F10001" s="905" t="s">
        <v>2673</v>
      </c>
      <c r="G10001" s="1005"/>
      <c r="H10001" s="911">
        <v>0.36</v>
      </c>
      <c r="I10001" s="912"/>
      <c r="J10001" s="912"/>
      <c r="K10001" s="912"/>
      <c r="L10001" s="912"/>
      <c r="M10001" s="912">
        <f>VLOOKUP(B10001,MTC!$B$9:$S$933,12,0)</f>
        <v>0</v>
      </c>
      <c r="N10001" s="912">
        <f>M10001*H10001</f>
        <v>0</v>
      </c>
      <c r="O10001" s="892">
        <f t="shared" si="801"/>
        <v>0</v>
      </c>
      <c r="P10001" s="903">
        <f t="shared" si="802"/>
        <v>1</v>
      </c>
      <c r="Q10001" s="893">
        <f t="shared" si="803"/>
        <v>3</v>
      </c>
      <c r="R10001" s="894">
        <f t="shared" si="804"/>
        <v>0</v>
      </c>
    </row>
    <row r="10002" spans="1:18">
      <c r="A10002" s="905"/>
      <c r="B10002" s="952" t="s">
        <v>6412</v>
      </c>
      <c r="C10002" s="907">
        <v>905</v>
      </c>
      <c r="D10002" s="907" t="s">
        <v>93</v>
      </c>
      <c r="E10002" s="992" t="s">
        <v>6413</v>
      </c>
      <c r="F10002" s="905" t="s">
        <v>2673</v>
      </c>
      <c r="G10002" s="1005"/>
      <c r="H10002" s="911">
        <v>0.36</v>
      </c>
      <c r="I10002" s="912"/>
      <c r="J10002" s="912"/>
      <c r="K10002" s="912"/>
      <c r="L10002" s="912"/>
      <c r="M10002" s="912">
        <f>VLOOKUP(B10002,MTC!$B$9:$S$933,12,0)</f>
        <v>225936</v>
      </c>
      <c r="N10002" s="912">
        <f>M10002*H10002</f>
        <v>81336.959999999992</v>
      </c>
      <c r="O10002" s="892">
        <f t="shared" si="801"/>
        <v>0</v>
      </c>
      <c r="P10002" s="903">
        <f t="shared" si="802"/>
        <v>1</v>
      </c>
      <c r="Q10002" s="893">
        <f t="shared" si="803"/>
        <v>2</v>
      </c>
      <c r="R10002" s="894">
        <f t="shared" si="804"/>
        <v>0</v>
      </c>
    </row>
    <row r="10003" spans="1:18" s="847" customFormat="1">
      <c r="A10003" s="905"/>
      <c r="B10003" s="952" t="s">
        <v>6414</v>
      </c>
      <c r="C10003" s="907">
        <v>914</v>
      </c>
      <c r="D10003" s="907" t="s">
        <v>93</v>
      </c>
      <c r="E10003" s="992" t="s">
        <v>6415</v>
      </c>
      <c r="F10003" s="905" t="s">
        <v>2673</v>
      </c>
      <c r="G10003" s="1005"/>
      <c r="H10003" s="911">
        <v>0.1</v>
      </c>
      <c r="I10003" s="912"/>
      <c r="J10003" s="912"/>
      <c r="K10003" s="912"/>
      <c r="L10003" s="912"/>
      <c r="M10003" s="912">
        <f>VLOOKUP(B10003,MTC!$B$9:$S$933,12,0)</f>
        <v>0</v>
      </c>
      <c r="N10003" s="912">
        <f>M10003*H10003</f>
        <v>0</v>
      </c>
      <c r="O10003" s="892">
        <f t="shared" si="801"/>
        <v>0</v>
      </c>
      <c r="P10003" s="903">
        <f t="shared" si="802"/>
        <v>1</v>
      </c>
      <c r="Q10003" s="893">
        <f t="shared" si="803"/>
        <v>1</v>
      </c>
      <c r="R10003" s="894">
        <f t="shared" si="804"/>
        <v>0</v>
      </c>
    </row>
    <row r="10004" spans="1:18" s="904" customFormat="1" ht="47.25">
      <c r="A10004" s="905" t="s">
        <v>6597</v>
      </c>
      <c r="B10004" s="914" t="s">
        <v>6606</v>
      </c>
      <c r="C10004" s="915"/>
      <c r="D10004" s="915"/>
      <c r="E10004" s="1006" t="s">
        <v>6607</v>
      </c>
      <c r="F10004" s="1007" t="s">
        <v>136</v>
      </c>
      <c r="G10004" s="1008"/>
      <c r="H10004" s="919"/>
      <c r="I10004" s="920"/>
      <c r="J10004" s="962">
        <f>SUM(J10005:J10013)</f>
        <v>55500</v>
      </c>
      <c r="K10004" s="891" t="s">
        <v>274</v>
      </c>
      <c r="L10004" s="962">
        <f>SUM(L10005:L10013)</f>
        <v>442250</v>
      </c>
      <c r="M10004" s="962"/>
      <c r="N10004" s="962">
        <f>SUM(N10005:N10013)</f>
        <v>0</v>
      </c>
      <c r="O10004" s="892">
        <f t="shared" si="801"/>
        <v>1</v>
      </c>
      <c r="P10004" s="903">
        <f t="shared" si="802"/>
        <v>0</v>
      </c>
      <c r="Q10004" s="893">
        <f t="shared" si="803"/>
        <v>0</v>
      </c>
      <c r="R10004" s="894">
        <f t="shared" si="804"/>
        <v>9</v>
      </c>
    </row>
    <row r="10005" spans="1:18">
      <c r="A10005" s="895"/>
      <c r="B10005" s="896"/>
      <c r="C10005" s="897"/>
      <c r="D10005" s="897"/>
      <c r="E10005" s="1002" t="s">
        <v>108</v>
      </c>
      <c r="F10005" s="895"/>
      <c r="G10005" s="1004"/>
      <c r="H10005" s="901"/>
      <c r="I10005" s="902"/>
      <c r="J10005" s="902"/>
      <c r="K10005" s="912" t="s">
        <v>274</v>
      </c>
      <c r="L10005" s="902"/>
      <c r="M10005" s="902"/>
      <c r="N10005" s="902"/>
      <c r="O10005" s="892">
        <f t="shared" si="801"/>
        <v>0</v>
      </c>
      <c r="P10005" s="903">
        <f t="shared" si="802"/>
        <v>1</v>
      </c>
      <c r="Q10005" s="893">
        <f t="shared" si="803"/>
        <v>9</v>
      </c>
      <c r="R10005" s="894">
        <f t="shared" si="804"/>
        <v>0</v>
      </c>
    </row>
    <row r="10006" spans="1:18" s="847" customFormat="1">
      <c r="A10006" s="905"/>
      <c r="B10006" s="952"/>
      <c r="C10006" s="907">
        <v>315</v>
      </c>
      <c r="D10006" s="907" t="s">
        <v>279</v>
      </c>
      <c r="E10006" s="992" t="s">
        <v>6316</v>
      </c>
      <c r="F10006" s="905" t="s">
        <v>49</v>
      </c>
      <c r="G10006" s="1005"/>
      <c r="H10006" s="911">
        <v>0.5</v>
      </c>
      <c r="I10006" s="912">
        <f>VLOOKUP(E10006,[3]VLP!$B$7:$K$300,10,0)</f>
        <v>8000</v>
      </c>
      <c r="J10006" s="912">
        <f>I10006*H10006</f>
        <v>4000</v>
      </c>
      <c r="K10006" s="912" t="s">
        <v>274</v>
      </c>
      <c r="L10006" s="912"/>
      <c r="M10006" s="912"/>
      <c r="N10006" s="912"/>
      <c r="O10006" s="892">
        <f t="shared" si="801"/>
        <v>0</v>
      </c>
      <c r="P10006" s="903">
        <f t="shared" si="802"/>
        <v>1</v>
      </c>
      <c r="Q10006" s="893">
        <f t="shared" si="803"/>
        <v>8</v>
      </c>
      <c r="R10006" s="894">
        <f t="shared" si="804"/>
        <v>0</v>
      </c>
    </row>
    <row r="10007" spans="1:18" s="904" customFormat="1">
      <c r="A10007" s="905"/>
      <c r="B10007" s="952"/>
      <c r="C10007" s="907">
        <v>235</v>
      </c>
      <c r="D10007" s="907" t="s">
        <v>279</v>
      </c>
      <c r="E10007" s="992" t="s">
        <v>2682</v>
      </c>
      <c r="F10007" s="905" t="s">
        <v>45</v>
      </c>
      <c r="G10007" s="1005"/>
      <c r="H10007" s="911">
        <v>0.3</v>
      </c>
      <c r="I10007" s="912">
        <f>VLOOKUP(E10007,[3]VLP!$B$7:$K$300,10,0)</f>
        <v>5000</v>
      </c>
      <c r="J10007" s="912">
        <f>I10007*H10007</f>
        <v>1500</v>
      </c>
      <c r="K10007" s="912" t="s">
        <v>274</v>
      </c>
      <c r="L10007" s="912"/>
      <c r="M10007" s="912"/>
      <c r="N10007" s="912"/>
      <c r="O10007" s="892">
        <f t="shared" si="801"/>
        <v>0</v>
      </c>
      <c r="P10007" s="903">
        <f t="shared" si="802"/>
        <v>1</v>
      </c>
      <c r="Q10007" s="893">
        <f t="shared" si="803"/>
        <v>7</v>
      </c>
      <c r="R10007" s="894">
        <f t="shared" si="804"/>
        <v>0</v>
      </c>
    </row>
    <row r="10008" spans="1:18">
      <c r="A10008" s="905"/>
      <c r="B10008" s="952"/>
      <c r="C10008" s="907">
        <v>699</v>
      </c>
      <c r="D10008" s="907" t="s">
        <v>279</v>
      </c>
      <c r="E10008" s="992" t="s">
        <v>4006</v>
      </c>
      <c r="F10008" s="905" t="s">
        <v>4007</v>
      </c>
      <c r="G10008" s="1005"/>
      <c r="H10008" s="911">
        <v>10</v>
      </c>
      <c r="I10008" s="912">
        <f>VLOOKUP(E10008,[3]VLP!$B$7:$K$300,10,0)</f>
        <v>5000</v>
      </c>
      <c r="J10008" s="912">
        <f>I10008*H10008</f>
        <v>50000</v>
      </c>
      <c r="K10008" s="912" t="s">
        <v>274</v>
      </c>
      <c r="L10008" s="912"/>
      <c r="M10008" s="912"/>
      <c r="N10008" s="912"/>
      <c r="O10008" s="892">
        <f t="shared" si="801"/>
        <v>0</v>
      </c>
      <c r="P10008" s="903">
        <f t="shared" si="802"/>
        <v>1</v>
      </c>
      <c r="Q10008" s="893">
        <f t="shared" si="803"/>
        <v>6</v>
      </c>
      <c r="R10008" s="894">
        <f t="shared" si="804"/>
        <v>0</v>
      </c>
    </row>
    <row r="10009" spans="1:18" s="847" customFormat="1">
      <c r="A10009" s="895"/>
      <c r="B10009" s="896"/>
      <c r="C10009" s="897"/>
      <c r="D10009" s="897"/>
      <c r="E10009" s="1002" t="s">
        <v>276</v>
      </c>
      <c r="F10009" s="1003"/>
      <c r="G10009" s="1004"/>
      <c r="H10009" s="901"/>
      <c r="I10009" s="902"/>
      <c r="J10009" s="902"/>
      <c r="K10009" s="912" t="s">
        <v>274</v>
      </c>
      <c r="L10009" s="902"/>
      <c r="M10009" s="902"/>
      <c r="N10009" s="902"/>
      <c r="O10009" s="892">
        <f t="shared" si="801"/>
        <v>0</v>
      </c>
      <c r="P10009" s="903">
        <f t="shared" si="802"/>
        <v>1</v>
      </c>
      <c r="Q10009" s="893">
        <f t="shared" si="803"/>
        <v>5</v>
      </c>
      <c r="R10009" s="894">
        <f t="shared" si="804"/>
        <v>0</v>
      </c>
    </row>
    <row r="10010" spans="1:18" s="904" customFormat="1">
      <c r="A10010" s="905"/>
      <c r="B10010" s="952"/>
      <c r="C10010" s="907">
        <v>740</v>
      </c>
      <c r="D10010" s="907" t="s">
        <v>12</v>
      </c>
      <c r="E10010" s="992" t="s">
        <v>4008</v>
      </c>
      <c r="F10010" s="905" t="s">
        <v>2674</v>
      </c>
      <c r="G10010" s="1005"/>
      <c r="H10010" s="911">
        <v>2</v>
      </c>
      <c r="I10010" s="912"/>
      <c r="J10010" s="912"/>
      <c r="K10010" s="912">
        <f>VLOOKUP(E10010,[5]ĐMNC!$A$7:$F$67,4,0)</f>
        <v>221125</v>
      </c>
      <c r="L10010" s="912">
        <f>H10010*K10010</f>
        <v>442250</v>
      </c>
      <c r="M10010" s="912"/>
      <c r="N10010" s="912"/>
      <c r="O10010" s="892">
        <f t="shared" si="801"/>
        <v>0</v>
      </c>
      <c r="P10010" s="903">
        <f t="shared" si="802"/>
        <v>1</v>
      </c>
      <c r="Q10010" s="893">
        <f t="shared" si="803"/>
        <v>4</v>
      </c>
      <c r="R10010" s="894">
        <f t="shared" si="804"/>
        <v>0</v>
      </c>
    </row>
    <row r="10011" spans="1:18">
      <c r="A10011" s="895"/>
      <c r="B10011" s="896"/>
      <c r="C10011" s="897"/>
      <c r="D10011" s="897"/>
      <c r="E10011" s="1002" t="s">
        <v>3914</v>
      </c>
      <c r="F10011" s="895"/>
      <c r="G10011" s="1004"/>
      <c r="H10011" s="901"/>
      <c r="I10011" s="902"/>
      <c r="J10011" s="902"/>
      <c r="K10011" s="912" t="s">
        <v>274</v>
      </c>
      <c r="L10011" s="902"/>
      <c r="M10011" s="902"/>
      <c r="N10011" s="902"/>
      <c r="O10011" s="892">
        <f t="shared" si="801"/>
        <v>0</v>
      </c>
      <c r="P10011" s="903">
        <f t="shared" si="802"/>
        <v>1</v>
      </c>
      <c r="Q10011" s="893">
        <f t="shared" si="803"/>
        <v>3</v>
      </c>
      <c r="R10011" s="894">
        <f t="shared" si="804"/>
        <v>0</v>
      </c>
    </row>
    <row r="10012" spans="1:18" s="847" customFormat="1">
      <c r="A10012" s="905"/>
      <c r="B10012" s="952" t="s">
        <v>6424</v>
      </c>
      <c r="C10012" s="907">
        <v>911</v>
      </c>
      <c r="D10012" s="907" t="s">
        <v>93</v>
      </c>
      <c r="E10012" s="992" t="s">
        <v>6425</v>
      </c>
      <c r="F10012" s="905" t="s">
        <v>2673</v>
      </c>
      <c r="G10012" s="1005"/>
      <c r="H10012" s="911">
        <v>0.37</v>
      </c>
      <c r="I10012" s="912"/>
      <c r="J10012" s="912"/>
      <c r="K10012" s="912"/>
      <c r="L10012" s="912"/>
      <c r="M10012" s="912">
        <f>VLOOKUP(B10012,MTC!$B$9:$S$933,12,0)</f>
        <v>0</v>
      </c>
      <c r="N10012" s="912">
        <f>M10012*H10012</f>
        <v>0</v>
      </c>
      <c r="O10012" s="892">
        <f t="shared" si="801"/>
        <v>0</v>
      </c>
      <c r="P10012" s="903">
        <f t="shared" si="802"/>
        <v>1</v>
      </c>
      <c r="Q10012" s="893">
        <f t="shared" si="803"/>
        <v>2</v>
      </c>
      <c r="R10012" s="894">
        <f t="shared" si="804"/>
        <v>0</v>
      </c>
    </row>
    <row r="10013" spans="1:18" s="904" customFormat="1">
      <c r="A10013" s="905"/>
      <c r="B10013" s="952" t="s">
        <v>6414</v>
      </c>
      <c r="C10013" s="907">
        <v>914</v>
      </c>
      <c r="D10013" s="907" t="s">
        <v>93</v>
      </c>
      <c r="E10013" s="992" t="s">
        <v>6415</v>
      </c>
      <c r="F10013" s="905" t="s">
        <v>2673</v>
      </c>
      <c r="G10013" s="1005"/>
      <c r="H10013" s="911">
        <v>0.1</v>
      </c>
      <c r="I10013" s="912"/>
      <c r="J10013" s="912"/>
      <c r="K10013" s="912"/>
      <c r="L10013" s="912"/>
      <c r="M10013" s="912">
        <f>VLOOKUP(B10013,MTC!$B$9:$S$933,12,0)</f>
        <v>0</v>
      </c>
      <c r="N10013" s="912">
        <f>M10013*H10013</f>
        <v>0</v>
      </c>
      <c r="O10013" s="892">
        <f t="shared" si="801"/>
        <v>0</v>
      </c>
      <c r="P10013" s="903">
        <f t="shared" si="802"/>
        <v>1</v>
      </c>
      <c r="Q10013" s="893">
        <f t="shared" si="803"/>
        <v>1</v>
      </c>
      <c r="R10013" s="894">
        <f t="shared" si="804"/>
        <v>0</v>
      </c>
    </row>
    <row r="10014" spans="1:18" ht="47.25">
      <c r="A10014" s="905">
        <v>128</v>
      </c>
      <c r="B10014" s="914" t="s">
        <v>6608</v>
      </c>
      <c r="C10014" s="915"/>
      <c r="D10014" s="915"/>
      <c r="E10014" s="1006" t="s">
        <v>6609</v>
      </c>
      <c r="F10014" s="1007" t="s">
        <v>136</v>
      </c>
      <c r="G10014" s="1008"/>
      <c r="H10014" s="919"/>
      <c r="I10014" s="920"/>
      <c r="J10014" s="962">
        <f>SUM(J10015:J10023)</f>
        <v>55500</v>
      </c>
      <c r="K10014" s="891" t="s">
        <v>274</v>
      </c>
      <c r="L10014" s="962">
        <f>SUM(L10015:L10023)</f>
        <v>552812.5</v>
      </c>
      <c r="M10014" s="962"/>
      <c r="N10014" s="962">
        <f>SUM(N10015:N10023)</f>
        <v>0</v>
      </c>
      <c r="O10014" s="892">
        <f t="shared" si="801"/>
        <v>1</v>
      </c>
      <c r="P10014" s="903">
        <f t="shared" si="802"/>
        <v>0</v>
      </c>
      <c r="Q10014" s="893">
        <f t="shared" si="803"/>
        <v>0</v>
      </c>
      <c r="R10014" s="894">
        <f t="shared" si="804"/>
        <v>9</v>
      </c>
    </row>
    <row r="10015" spans="1:18" s="847" customFormat="1">
      <c r="A10015" s="895"/>
      <c r="B10015" s="896"/>
      <c r="C10015" s="897"/>
      <c r="D10015" s="897"/>
      <c r="E10015" s="1002" t="s">
        <v>108</v>
      </c>
      <c r="F10015" s="895"/>
      <c r="G10015" s="1004"/>
      <c r="H10015" s="901"/>
      <c r="I10015" s="902"/>
      <c r="J10015" s="902"/>
      <c r="K10015" s="912" t="s">
        <v>274</v>
      </c>
      <c r="L10015" s="902"/>
      <c r="M10015" s="902"/>
      <c r="N10015" s="902"/>
      <c r="O10015" s="892">
        <f t="shared" ref="O10015:O10078" si="805">IF(AND(B10015&lt;&gt;"",D10015=""),1,0)</f>
        <v>0</v>
      </c>
      <c r="P10015" s="903">
        <f t="shared" si="802"/>
        <v>1</v>
      </c>
      <c r="Q10015" s="893">
        <f t="shared" si="803"/>
        <v>9</v>
      </c>
      <c r="R10015" s="894">
        <f t="shared" si="804"/>
        <v>0</v>
      </c>
    </row>
    <row r="10016" spans="1:18" s="904" customFormat="1">
      <c r="A10016" s="905"/>
      <c r="B10016" s="952"/>
      <c r="C10016" s="907">
        <v>315</v>
      </c>
      <c r="D10016" s="907" t="s">
        <v>279</v>
      </c>
      <c r="E10016" s="992" t="s">
        <v>6316</v>
      </c>
      <c r="F10016" s="905" t="s">
        <v>49</v>
      </c>
      <c r="G10016" s="1005"/>
      <c r="H10016" s="911">
        <v>0.5</v>
      </c>
      <c r="I10016" s="912">
        <f>VLOOKUP(E10016,[3]VLP!$B$7:$K$300,10,0)</f>
        <v>8000</v>
      </c>
      <c r="J10016" s="912">
        <f>I10016*H10016</f>
        <v>4000</v>
      </c>
      <c r="K10016" s="912" t="s">
        <v>274</v>
      </c>
      <c r="L10016" s="912"/>
      <c r="M10016" s="912"/>
      <c r="N10016" s="912"/>
      <c r="O10016" s="892">
        <f t="shared" si="805"/>
        <v>0</v>
      </c>
      <c r="P10016" s="903">
        <f t="shared" si="802"/>
        <v>1</v>
      </c>
      <c r="Q10016" s="893">
        <f t="shared" si="803"/>
        <v>8</v>
      </c>
      <c r="R10016" s="894">
        <f t="shared" si="804"/>
        <v>0</v>
      </c>
    </row>
    <row r="10017" spans="1:18">
      <c r="A10017" s="905"/>
      <c r="B10017" s="952"/>
      <c r="C10017" s="907">
        <v>235</v>
      </c>
      <c r="D10017" s="907" t="s">
        <v>279</v>
      </c>
      <c r="E10017" s="992" t="s">
        <v>2682</v>
      </c>
      <c r="F10017" s="905" t="s">
        <v>45</v>
      </c>
      <c r="G10017" s="1005"/>
      <c r="H10017" s="911">
        <v>0.3</v>
      </c>
      <c r="I10017" s="912">
        <f>VLOOKUP(E10017,[3]VLP!$B$7:$K$300,10,0)</f>
        <v>5000</v>
      </c>
      <c r="J10017" s="912">
        <f>I10017*H10017</f>
        <v>1500</v>
      </c>
      <c r="K10017" s="912" t="s">
        <v>274</v>
      </c>
      <c r="L10017" s="912"/>
      <c r="M10017" s="912"/>
      <c r="N10017" s="912"/>
      <c r="O10017" s="892">
        <f t="shared" si="805"/>
        <v>0</v>
      </c>
      <c r="P10017" s="903">
        <f t="shared" si="802"/>
        <v>1</v>
      </c>
      <c r="Q10017" s="893">
        <f t="shared" si="803"/>
        <v>7</v>
      </c>
      <c r="R10017" s="894">
        <f t="shared" si="804"/>
        <v>0</v>
      </c>
    </row>
    <row r="10018" spans="1:18" s="847" customFormat="1">
      <c r="A10018" s="905"/>
      <c r="B10018" s="952"/>
      <c r="C10018" s="907">
        <v>699</v>
      </c>
      <c r="D10018" s="907" t="s">
        <v>279</v>
      </c>
      <c r="E10018" s="992" t="s">
        <v>4006</v>
      </c>
      <c r="F10018" s="905" t="s">
        <v>4007</v>
      </c>
      <c r="G10018" s="1005"/>
      <c r="H10018" s="911">
        <v>10</v>
      </c>
      <c r="I10018" s="912">
        <f>VLOOKUP(E10018,[3]VLP!$B$7:$K$300,10,0)</f>
        <v>5000</v>
      </c>
      <c r="J10018" s="912">
        <f>I10018*H10018</f>
        <v>50000</v>
      </c>
      <c r="K10018" s="912" t="s">
        <v>274</v>
      </c>
      <c r="L10018" s="912"/>
      <c r="M10018" s="912"/>
      <c r="N10018" s="912"/>
      <c r="O10018" s="892">
        <f t="shared" si="805"/>
        <v>0</v>
      </c>
      <c r="P10018" s="903">
        <f t="shared" si="802"/>
        <v>1</v>
      </c>
      <c r="Q10018" s="893">
        <f t="shared" si="803"/>
        <v>6</v>
      </c>
      <c r="R10018" s="894">
        <f t="shared" si="804"/>
        <v>0</v>
      </c>
    </row>
    <row r="10019" spans="1:18" s="904" customFormat="1">
      <c r="A10019" s="895"/>
      <c r="B10019" s="896"/>
      <c r="C10019" s="897"/>
      <c r="D10019" s="897"/>
      <c r="E10019" s="1002" t="s">
        <v>276</v>
      </c>
      <c r="F10019" s="1003"/>
      <c r="G10019" s="1004"/>
      <c r="H10019" s="901"/>
      <c r="I10019" s="902"/>
      <c r="J10019" s="902"/>
      <c r="K10019" s="912" t="s">
        <v>274</v>
      </c>
      <c r="L10019" s="902"/>
      <c r="M10019" s="902"/>
      <c r="N10019" s="902"/>
      <c r="O10019" s="892">
        <f t="shared" si="805"/>
        <v>0</v>
      </c>
      <c r="P10019" s="903">
        <f t="shared" si="802"/>
        <v>1</v>
      </c>
      <c r="Q10019" s="893">
        <f t="shared" si="803"/>
        <v>5</v>
      </c>
      <c r="R10019" s="894">
        <f t="shared" si="804"/>
        <v>0</v>
      </c>
    </row>
    <row r="10020" spans="1:18">
      <c r="A10020" s="905"/>
      <c r="B10020" s="952"/>
      <c r="C10020" s="907">
        <v>740</v>
      </c>
      <c r="D10020" s="907" t="s">
        <v>12</v>
      </c>
      <c r="E10020" s="992" t="s">
        <v>4008</v>
      </c>
      <c r="F10020" s="905" t="s">
        <v>2674</v>
      </c>
      <c r="G10020" s="1005"/>
      <c r="H10020" s="911">
        <v>2.5</v>
      </c>
      <c r="I10020" s="912"/>
      <c r="J10020" s="912"/>
      <c r="K10020" s="912">
        <f>VLOOKUP(E10020,[5]ĐMNC!$A$7:$F$67,4,0)</f>
        <v>221125</v>
      </c>
      <c r="L10020" s="912">
        <f>H10020*K10020</f>
        <v>552812.5</v>
      </c>
      <c r="M10020" s="912"/>
      <c r="N10020" s="912"/>
      <c r="O10020" s="892">
        <f t="shared" si="805"/>
        <v>0</v>
      </c>
      <c r="P10020" s="903">
        <f t="shared" si="802"/>
        <v>1</v>
      </c>
      <c r="Q10020" s="893">
        <f t="shared" si="803"/>
        <v>4</v>
      </c>
      <c r="R10020" s="894">
        <f t="shared" si="804"/>
        <v>0</v>
      </c>
    </row>
    <row r="10021" spans="1:18" s="847" customFormat="1">
      <c r="A10021" s="895"/>
      <c r="B10021" s="896"/>
      <c r="C10021" s="897"/>
      <c r="D10021" s="897"/>
      <c r="E10021" s="1002" t="s">
        <v>3914</v>
      </c>
      <c r="F10021" s="895"/>
      <c r="G10021" s="1004"/>
      <c r="H10021" s="901"/>
      <c r="I10021" s="902"/>
      <c r="J10021" s="902"/>
      <c r="K10021" s="912" t="s">
        <v>274</v>
      </c>
      <c r="L10021" s="902"/>
      <c r="M10021" s="902"/>
      <c r="N10021" s="902"/>
      <c r="O10021" s="892">
        <f t="shared" si="805"/>
        <v>0</v>
      </c>
      <c r="P10021" s="903">
        <f t="shared" si="802"/>
        <v>1</v>
      </c>
      <c r="Q10021" s="893">
        <f t="shared" si="803"/>
        <v>3</v>
      </c>
      <c r="R10021" s="894">
        <f t="shared" si="804"/>
        <v>0</v>
      </c>
    </row>
    <row r="10022" spans="1:18" s="904" customFormat="1">
      <c r="A10022" s="905"/>
      <c r="B10022" s="952" t="s">
        <v>6424</v>
      </c>
      <c r="C10022" s="907">
        <v>911</v>
      </c>
      <c r="D10022" s="907" t="s">
        <v>93</v>
      </c>
      <c r="E10022" s="992" t="s">
        <v>6425</v>
      </c>
      <c r="F10022" s="905" t="s">
        <v>2673</v>
      </c>
      <c r="G10022" s="1005"/>
      <c r="H10022" s="911">
        <v>0.43</v>
      </c>
      <c r="I10022" s="912"/>
      <c r="J10022" s="912"/>
      <c r="K10022" s="912"/>
      <c r="L10022" s="912"/>
      <c r="M10022" s="912">
        <f>VLOOKUP(B10022,MTC!$B$9:$S$933,12,0)</f>
        <v>0</v>
      </c>
      <c r="N10022" s="912">
        <f>M10022*H10022</f>
        <v>0</v>
      </c>
      <c r="O10022" s="892">
        <f t="shared" si="805"/>
        <v>0</v>
      </c>
      <c r="P10022" s="903">
        <f t="shared" si="802"/>
        <v>1</v>
      </c>
      <c r="Q10022" s="893">
        <f t="shared" si="803"/>
        <v>2</v>
      </c>
      <c r="R10022" s="894">
        <f t="shared" si="804"/>
        <v>0</v>
      </c>
    </row>
    <row r="10023" spans="1:18">
      <c r="A10023" s="905"/>
      <c r="B10023" s="952" t="s">
        <v>6414</v>
      </c>
      <c r="C10023" s="907">
        <v>914</v>
      </c>
      <c r="D10023" s="907" t="s">
        <v>93</v>
      </c>
      <c r="E10023" s="992" t="s">
        <v>6415</v>
      </c>
      <c r="F10023" s="905" t="s">
        <v>2673</v>
      </c>
      <c r="G10023" s="1005"/>
      <c r="H10023" s="911">
        <v>0.1</v>
      </c>
      <c r="I10023" s="912"/>
      <c r="J10023" s="912"/>
      <c r="K10023" s="912"/>
      <c r="L10023" s="912"/>
      <c r="M10023" s="912">
        <f>VLOOKUP(B10023,MTC!$B$9:$S$933,12,0)</f>
        <v>0</v>
      </c>
      <c r="N10023" s="912">
        <f>M10023*H10023</f>
        <v>0</v>
      </c>
      <c r="O10023" s="892">
        <f t="shared" si="805"/>
        <v>0</v>
      </c>
      <c r="P10023" s="903">
        <f t="shared" si="802"/>
        <v>1</v>
      </c>
      <c r="Q10023" s="893">
        <f t="shared" si="803"/>
        <v>1</v>
      </c>
      <c r="R10023" s="894">
        <f t="shared" si="804"/>
        <v>0</v>
      </c>
    </row>
    <row r="10024" spans="1:18" s="847" customFormat="1" ht="47.25">
      <c r="A10024" s="905">
        <v>129</v>
      </c>
      <c r="B10024" s="914" t="s">
        <v>6610</v>
      </c>
      <c r="C10024" s="915"/>
      <c r="D10024" s="915"/>
      <c r="E10024" s="1006" t="s">
        <v>6611</v>
      </c>
      <c r="F10024" s="1007" t="s">
        <v>136</v>
      </c>
      <c r="G10024" s="1008"/>
      <c r="H10024" s="919"/>
      <c r="I10024" s="920"/>
      <c r="J10024" s="962">
        <f>SUM(J10025:J10033)</f>
        <v>55500</v>
      </c>
      <c r="K10024" s="891" t="s">
        <v>274</v>
      </c>
      <c r="L10024" s="962">
        <f>SUM(L10025:L10033)</f>
        <v>685487.5</v>
      </c>
      <c r="M10024" s="962"/>
      <c r="N10024" s="962">
        <f>SUM(N10025:N10033)</f>
        <v>0</v>
      </c>
      <c r="O10024" s="892">
        <f t="shared" si="805"/>
        <v>1</v>
      </c>
      <c r="P10024" s="903">
        <f t="shared" si="802"/>
        <v>0</v>
      </c>
      <c r="Q10024" s="893">
        <f t="shared" si="803"/>
        <v>0</v>
      </c>
      <c r="R10024" s="894">
        <f t="shared" si="804"/>
        <v>9</v>
      </c>
    </row>
    <row r="10025" spans="1:18" s="904" customFormat="1">
      <c r="A10025" s="895"/>
      <c r="B10025" s="896"/>
      <c r="C10025" s="897"/>
      <c r="D10025" s="897"/>
      <c r="E10025" s="1002" t="s">
        <v>108</v>
      </c>
      <c r="F10025" s="895"/>
      <c r="G10025" s="1004"/>
      <c r="H10025" s="901"/>
      <c r="I10025" s="902"/>
      <c r="J10025" s="902"/>
      <c r="K10025" s="912" t="s">
        <v>274</v>
      </c>
      <c r="L10025" s="902"/>
      <c r="M10025" s="902"/>
      <c r="N10025" s="902"/>
      <c r="O10025" s="892">
        <f t="shared" si="805"/>
        <v>0</v>
      </c>
      <c r="P10025" s="903">
        <f t="shared" si="802"/>
        <v>1</v>
      </c>
      <c r="Q10025" s="893">
        <f t="shared" si="803"/>
        <v>9</v>
      </c>
      <c r="R10025" s="894">
        <f t="shared" si="804"/>
        <v>0</v>
      </c>
    </row>
    <row r="10026" spans="1:18">
      <c r="A10026" s="905"/>
      <c r="B10026" s="952"/>
      <c r="C10026" s="907">
        <v>315</v>
      </c>
      <c r="D10026" s="907" t="s">
        <v>279</v>
      </c>
      <c r="E10026" s="992" t="s">
        <v>6316</v>
      </c>
      <c r="F10026" s="905" t="s">
        <v>49</v>
      </c>
      <c r="G10026" s="1005"/>
      <c r="H10026" s="911">
        <v>0.5</v>
      </c>
      <c r="I10026" s="912">
        <f>VLOOKUP(E10026,[3]VLP!$B$7:$K$300,10,0)</f>
        <v>8000</v>
      </c>
      <c r="J10026" s="912">
        <f>I10026*H10026</f>
        <v>4000</v>
      </c>
      <c r="K10026" s="912" t="s">
        <v>274</v>
      </c>
      <c r="L10026" s="912"/>
      <c r="M10026" s="912"/>
      <c r="N10026" s="912"/>
      <c r="O10026" s="892">
        <f t="shared" si="805"/>
        <v>0</v>
      </c>
      <c r="P10026" s="903">
        <f t="shared" si="802"/>
        <v>1</v>
      </c>
      <c r="Q10026" s="893">
        <f t="shared" si="803"/>
        <v>8</v>
      </c>
      <c r="R10026" s="894">
        <f t="shared" si="804"/>
        <v>0</v>
      </c>
    </row>
    <row r="10027" spans="1:18" s="847" customFormat="1">
      <c r="A10027" s="905"/>
      <c r="B10027" s="952"/>
      <c r="C10027" s="907">
        <v>235</v>
      </c>
      <c r="D10027" s="907" t="s">
        <v>279</v>
      </c>
      <c r="E10027" s="992" t="s">
        <v>2682</v>
      </c>
      <c r="F10027" s="905" t="s">
        <v>45</v>
      </c>
      <c r="G10027" s="1005"/>
      <c r="H10027" s="911">
        <v>0.3</v>
      </c>
      <c r="I10027" s="912">
        <f>VLOOKUP(E10027,[3]VLP!$B$7:$K$300,10,0)</f>
        <v>5000</v>
      </c>
      <c r="J10027" s="912">
        <f>I10027*H10027</f>
        <v>1500</v>
      </c>
      <c r="K10027" s="912" t="s">
        <v>274</v>
      </c>
      <c r="L10027" s="912"/>
      <c r="M10027" s="912"/>
      <c r="N10027" s="912"/>
      <c r="O10027" s="892">
        <f t="shared" si="805"/>
        <v>0</v>
      </c>
      <c r="P10027" s="903">
        <f t="shared" si="802"/>
        <v>1</v>
      </c>
      <c r="Q10027" s="893">
        <f t="shared" si="803"/>
        <v>7</v>
      </c>
      <c r="R10027" s="894">
        <f t="shared" si="804"/>
        <v>0</v>
      </c>
    </row>
    <row r="10028" spans="1:18" s="904" customFormat="1">
      <c r="A10028" s="905"/>
      <c r="B10028" s="952"/>
      <c r="C10028" s="907">
        <v>699</v>
      </c>
      <c r="D10028" s="907" t="s">
        <v>279</v>
      </c>
      <c r="E10028" s="992" t="s">
        <v>4006</v>
      </c>
      <c r="F10028" s="905" t="s">
        <v>4007</v>
      </c>
      <c r="G10028" s="1005"/>
      <c r="H10028" s="911">
        <v>10</v>
      </c>
      <c r="I10028" s="912">
        <f>VLOOKUP(E10028,[3]VLP!$B$7:$K$300,10,0)</f>
        <v>5000</v>
      </c>
      <c r="J10028" s="912">
        <f>I10028*H10028</f>
        <v>50000</v>
      </c>
      <c r="K10028" s="912" t="s">
        <v>274</v>
      </c>
      <c r="L10028" s="912"/>
      <c r="M10028" s="912"/>
      <c r="N10028" s="912"/>
      <c r="O10028" s="892">
        <f t="shared" si="805"/>
        <v>0</v>
      </c>
      <c r="P10028" s="903">
        <f t="shared" si="802"/>
        <v>1</v>
      </c>
      <c r="Q10028" s="893">
        <f t="shared" si="803"/>
        <v>6</v>
      </c>
      <c r="R10028" s="894">
        <f t="shared" si="804"/>
        <v>0</v>
      </c>
    </row>
    <row r="10029" spans="1:18">
      <c r="A10029" s="895"/>
      <c r="B10029" s="896"/>
      <c r="C10029" s="897"/>
      <c r="D10029" s="897"/>
      <c r="E10029" s="1002" t="s">
        <v>276</v>
      </c>
      <c r="F10029" s="1003"/>
      <c r="G10029" s="1004"/>
      <c r="H10029" s="901"/>
      <c r="I10029" s="902"/>
      <c r="J10029" s="902"/>
      <c r="K10029" s="912" t="s">
        <v>274</v>
      </c>
      <c r="L10029" s="902"/>
      <c r="M10029" s="902"/>
      <c r="N10029" s="902"/>
      <c r="O10029" s="892">
        <f t="shared" si="805"/>
        <v>0</v>
      </c>
      <c r="P10029" s="903">
        <f t="shared" si="802"/>
        <v>1</v>
      </c>
      <c r="Q10029" s="893">
        <f t="shared" si="803"/>
        <v>5</v>
      </c>
      <c r="R10029" s="894">
        <f t="shared" si="804"/>
        <v>0</v>
      </c>
    </row>
    <row r="10030" spans="1:18" s="847" customFormat="1">
      <c r="A10030" s="905"/>
      <c r="B10030" s="952"/>
      <c r="C10030" s="907">
        <v>740</v>
      </c>
      <c r="D10030" s="907" t="s">
        <v>12</v>
      </c>
      <c r="E10030" s="992" t="s">
        <v>4008</v>
      </c>
      <c r="F10030" s="905" t="s">
        <v>2674</v>
      </c>
      <c r="G10030" s="1005"/>
      <c r="H10030" s="911">
        <v>3.1</v>
      </c>
      <c r="I10030" s="912"/>
      <c r="J10030" s="912"/>
      <c r="K10030" s="912">
        <f>VLOOKUP(E10030,[5]ĐMNC!$A$7:$F$67,4,0)</f>
        <v>221125</v>
      </c>
      <c r="L10030" s="912">
        <f>H10030*K10030</f>
        <v>685487.5</v>
      </c>
      <c r="M10030" s="912"/>
      <c r="N10030" s="912"/>
      <c r="O10030" s="892">
        <f t="shared" si="805"/>
        <v>0</v>
      </c>
      <c r="P10030" s="903">
        <f t="shared" si="802"/>
        <v>1</v>
      </c>
      <c r="Q10030" s="893">
        <f t="shared" si="803"/>
        <v>4</v>
      </c>
      <c r="R10030" s="894">
        <f t="shared" si="804"/>
        <v>0</v>
      </c>
    </row>
    <row r="10031" spans="1:18" s="904" customFormat="1">
      <c r="A10031" s="895"/>
      <c r="B10031" s="896"/>
      <c r="C10031" s="897"/>
      <c r="D10031" s="897"/>
      <c r="E10031" s="1002" t="s">
        <v>3914</v>
      </c>
      <c r="F10031" s="895"/>
      <c r="G10031" s="1004"/>
      <c r="H10031" s="901"/>
      <c r="I10031" s="902"/>
      <c r="J10031" s="902"/>
      <c r="K10031" s="912" t="s">
        <v>274</v>
      </c>
      <c r="L10031" s="902"/>
      <c r="M10031" s="902"/>
      <c r="N10031" s="902"/>
      <c r="O10031" s="892">
        <f t="shared" si="805"/>
        <v>0</v>
      </c>
      <c r="P10031" s="903">
        <f t="shared" si="802"/>
        <v>1</v>
      </c>
      <c r="Q10031" s="893">
        <f t="shared" si="803"/>
        <v>3</v>
      </c>
      <c r="R10031" s="894">
        <f t="shared" si="804"/>
        <v>0</v>
      </c>
    </row>
    <row r="10032" spans="1:18">
      <c r="A10032" s="905"/>
      <c r="B10032" s="952" t="s">
        <v>6424</v>
      </c>
      <c r="C10032" s="907">
        <v>911</v>
      </c>
      <c r="D10032" s="907" t="s">
        <v>93</v>
      </c>
      <c r="E10032" s="992" t="s">
        <v>6425</v>
      </c>
      <c r="F10032" s="905" t="s">
        <v>2673</v>
      </c>
      <c r="G10032" s="1005"/>
      <c r="H10032" s="911">
        <v>0.52</v>
      </c>
      <c r="I10032" s="912"/>
      <c r="J10032" s="912"/>
      <c r="K10032" s="912"/>
      <c r="L10032" s="912"/>
      <c r="M10032" s="912">
        <f>VLOOKUP(B10032,MTC!$B$9:$S$933,12,0)</f>
        <v>0</v>
      </c>
      <c r="N10032" s="912">
        <f>M10032*H10032</f>
        <v>0</v>
      </c>
      <c r="O10032" s="892">
        <f t="shared" si="805"/>
        <v>0</v>
      </c>
      <c r="P10032" s="903">
        <f t="shared" si="802"/>
        <v>1</v>
      </c>
      <c r="Q10032" s="893">
        <f t="shared" si="803"/>
        <v>2</v>
      </c>
      <c r="R10032" s="894">
        <f t="shared" si="804"/>
        <v>0</v>
      </c>
    </row>
    <row r="10033" spans="1:18" s="847" customFormat="1">
      <c r="A10033" s="905"/>
      <c r="B10033" s="952" t="s">
        <v>6414</v>
      </c>
      <c r="C10033" s="907">
        <v>914</v>
      </c>
      <c r="D10033" s="907" t="s">
        <v>93</v>
      </c>
      <c r="E10033" s="992" t="s">
        <v>6415</v>
      </c>
      <c r="F10033" s="905" t="s">
        <v>2673</v>
      </c>
      <c r="G10033" s="1005"/>
      <c r="H10033" s="911">
        <v>0.1</v>
      </c>
      <c r="I10033" s="912"/>
      <c r="J10033" s="912"/>
      <c r="K10033" s="912"/>
      <c r="L10033" s="912"/>
      <c r="M10033" s="912">
        <f>VLOOKUP(B10033,MTC!$B$9:$S$933,12,0)</f>
        <v>0</v>
      </c>
      <c r="N10033" s="912">
        <f>M10033*H10033</f>
        <v>0</v>
      </c>
      <c r="O10033" s="892">
        <f t="shared" si="805"/>
        <v>0</v>
      </c>
      <c r="P10033" s="903">
        <f t="shared" si="802"/>
        <v>1</v>
      </c>
      <c r="Q10033" s="893">
        <f t="shared" si="803"/>
        <v>1</v>
      </c>
      <c r="R10033" s="894">
        <f t="shared" si="804"/>
        <v>0</v>
      </c>
    </row>
    <row r="10034" spans="1:18" s="904" customFormat="1" ht="47.25">
      <c r="A10034" s="905">
        <v>130</v>
      </c>
      <c r="B10034" s="914" t="s">
        <v>6612</v>
      </c>
      <c r="C10034" s="915"/>
      <c r="D10034" s="915"/>
      <c r="E10034" s="1006" t="s">
        <v>6613</v>
      </c>
      <c r="F10034" s="1007" t="s">
        <v>136</v>
      </c>
      <c r="G10034" s="1008"/>
      <c r="H10034" s="919"/>
      <c r="I10034" s="920"/>
      <c r="J10034" s="962">
        <f>SUM(J10035:J10043)</f>
        <v>55500</v>
      </c>
      <c r="K10034" s="891" t="s">
        <v>274</v>
      </c>
      <c r="L10034" s="962">
        <f>SUM(L10035:L10043)</f>
        <v>773937.5</v>
      </c>
      <c r="M10034" s="962"/>
      <c r="N10034" s="962">
        <f>SUM(N10035:N10043)</f>
        <v>0</v>
      </c>
      <c r="O10034" s="892">
        <f t="shared" si="805"/>
        <v>1</v>
      </c>
      <c r="P10034" s="903">
        <f t="shared" si="802"/>
        <v>0</v>
      </c>
      <c r="Q10034" s="893">
        <f t="shared" si="803"/>
        <v>0</v>
      </c>
      <c r="R10034" s="894">
        <f t="shared" si="804"/>
        <v>9</v>
      </c>
    </row>
    <row r="10035" spans="1:18">
      <c r="A10035" s="895"/>
      <c r="B10035" s="896"/>
      <c r="C10035" s="897"/>
      <c r="D10035" s="897"/>
      <c r="E10035" s="1002" t="s">
        <v>108</v>
      </c>
      <c r="F10035" s="895"/>
      <c r="G10035" s="1004"/>
      <c r="H10035" s="901"/>
      <c r="I10035" s="902"/>
      <c r="J10035" s="902"/>
      <c r="K10035" s="912" t="s">
        <v>274</v>
      </c>
      <c r="L10035" s="902"/>
      <c r="M10035" s="902"/>
      <c r="N10035" s="902"/>
      <c r="O10035" s="892">
        <f t="shared" si="805"/>
        <v>0</v>
      </c>
      <c r="P10035" s="903">
        <f t="shared" ref="P10035:P10098" si="806">IF(O10035=0,1,0)</f>
        <v>1</v>
      </c>
      <c r="Q10035" s="893">
        <f t="shared" ref="Q10035:Q10098" si="807">IF(P10035=0,0,P10035+Q10036)</f>
        <v>9</v>
      </c>
      <c r="R10035" s="894">
        <f t="shared" ref="R10035:R10098" si="808">IF(Q10035=0,Q10036,0)</f>
        <v>0</v>
      </c>
    </row>
    <row r="10036" spans="1:18" s="847" customFormat="1">
      <c r="A10036" s="905"/>
      <c r="B10036" s="952"/>
      <c r="C10036" s="907">
        <v>315</v>
      </c>
      <c r="D10036" s="907" t="s">
        <v>279</v>
      </c>
      <c r="E10036" s="992" t="s">
        <v>6316</v>
      </c>
      <c r="F10036" s="905" t="s">
        <v>49</v>
      </c>
      <c r="G10036" s="1005"/>
      <c r="H10036" s="911">
        <v>0.5</v>
      </c>
      <c r="I10036" s="912">
        <f>VLOOKUP(E10036,[3]VLP!$B$7:$K$300,10,0)</f>
        <v>8000</v>
      </c>
      <c r="J10036" s="912">
        <f>I10036*H10036</f>
        <v>4000</v>
      </c>
      <c r="K10036" s="912" t="s">
        <v>274</v>
      </c>
      <c r="L10036" s="912"/>
      <c r="M10036" s="912"/>
      <c r="N10036" s="912"/>
      <c r="O10036" s="892">
        <f t="shared" si="805"/>
        <v>0</v>
      </c>
      <c r="P10036" s="903">
        <f t="shared" si="806"/>
        <v>1</v>
      </c>
      <c r="Q10036" s="893">
        <f t="shared" si="807"/>
        <v>8</v>
      </c>
      <c r="R10036" s="894">
        <f t="shared" si="808"/>
        <v>0</v>
      </c>
    </row>
    <row r="10037" spans="1:18" s="904" customFormat="1">
      <c r="A10037" s="905"/>
      <c r="B10037" s="952"/>
      <c r="C10037" s="907">
        <v>235</v>
      </c>
      <c r="D10037" s="907" t="s">
        <v>279</v>
      </c>
      <c r="E10037" s="992" t="s">
        <v>2682</v>
      </c>
      <c r="F10037" s="905" t="s">
        <v>45</v>
      </c>
      <c r="G10037" s="1005"/>
      <c r="H10037" s="911">
        <v>0.3</v>
      </c>
      <c r="I10037" s="912">
        <f>VLOOKUP(E10037,[3]VLP!$B$7:$K$300,10,0)</f>
        <v>5000</v>
      </c>
      <c r="J10037" s="912">
        <f>I10037*H10037</f>
        <v>1500</v>
      </c>
      <c r="K10037" s="912" t="s">
        <v>274</v>
      </c>
      <c r="L10037" s="912"/>
      <c r="M10037" s="912"/>
      <c r="N10037" s="912"/>
      <c r="O10037" s="892">
        <f t="shared" si="805"/>
        <v>0</v>
      </c>
      <c r="P10037" s="903">
        <f t="shared" si="806"/>
        <v>1</v>
      </c>
      <c r="Q10037" s="893">
        <f t="shared" si="807"/>
        <v>7</v>
      </c>
      <c r="R10037" s="894">
        <f t="shared" si="808"/>
        <v>0</v>
      </c>
    </row>
    <row r="10038" spans="1:18">
      <c r="A10038" s="905"/>
      <c r="B10038" s="952"/>
      <c r="C10038" s="907">
        <v>699</v>
      </c>
      <c r="D10038" s="907" t="s">
        <v>279</v>
      </c>
      <c r="E10038" s="992" t="s">
        <v>4006</v>
      </c>
      <c r="F10038" s="905" t="s">
        <v>4007</v>
      </c>
      <c r="G10038" s="1005"/>
      <c r="H10038" s="911">
        <v>10</v>
      </c>
      <c r="I10038" s="912">
        <f>VLOOKUP(E10038,[3]VLP!$B$7:$K$300,10,0)</f>
        <v>5000</v>
      </c>
      <c r="J10038" s="912">
        <f>I10038*H10038</f>
        <v>50000</v>
      </c>
      <c r="K10038" s="912" t="s">
        <v>274</v>
      </c>
      <c r="L10038" s="912"/>
      <c r="M10038" s="912"/>
      <c r="N10038" s="912"/>
      <c r="O10038" s="892">
        <f t="shared" si="805"/>
        <v>0</v>
      </c>
      <c r="P10038" s="903">
        <f t="shared" si="806"/>
        <v>1</v>
      </c>
      <c r="Q10038" s="893">
        <f t="shared" si="807"/>
        <v>6</v>
      </c>
      <c r="R10038" s="894">
        <f t="shared" si="808"/>
        <v>0</v>
      </c>
    </row>
    <row r="10039" spans="1:18" s="847" customFormat="1">
      <c r="A10039" s="895"/>
      <c r="B10039" s="896"/>
      <c r="C10039" s="897"/>
      <c r="D10039" s="897"/>
      <c r="E10039" s="1002" t="s">
        <v>276</v>
      </c>
      <c r="F10039" s="1003"/>
      <c r="G10039" s="1004"/>
      <c r="H10039" s="901"/>
      <c r="I10039" s="902"/>
      <c r="J10039" s="902"/>
      <c r="K10039" s="912" t="s">
        <v>274</v>
      </c>
      <c r="L10039" s="902"/>
      <c r="M10039" s="902"/>
      <c r="N10039" s="902"/>
      <c r="O10039" s="892">
        <f t="shared" si="805"/>
        <v>0</v>
      </c>
      <c r="P10039" s="903">
        <f t="shared" si="806"/>
        <v>1</v>
      </c>
      <c r="Q10039" s="893">
        <f t="shared" si="807"/>
        <v>5</v>
      </c>
      <c r="R10039" s="894">
        <f t="shared" si="808"/>
        <v>0</v>
      </c>
    </row>
    <row r="10040" spans="1:18" s="904" customFormat="1">
      <c r="A10040" s="905"/>
      <c r="B10040" s="952"/>
      <c r="C10040" s="907">
        <v>740</v>
      </c>
      <c r="D10040" s="907" t="s">
        <v>12</v>
      </c>
      <c r="E10040" s="992" t="s">
        <v>4008</v>
      </c>
      <c r="F10040" s="905" t="s">
        <v>2674</v>
      </c>
      <c r="G10040" s="1005"/>
      <c r="H10040" s="911">
        <v>3.5</v>
      </c>
      <c r="I10040" s="912"/>
      <c r="J10040" s="912"/>
      <c r="K10040" s="912">
        <f>VLOOKUP(E10040,[5]ĐMNC!$A$7:$F$67,4,0)</f>
        <v>221125</v>
      </c>
      <c r="L10040" s="912">
        <f>H10040*K10040</f>
        <v>773937.5</v>
      </c>
      <c r="M10040" s="912"/>
      <c r="N10040" s="912"/>
      <c r="O10040" s="892">
        <f t="shared" si="805"/>
        <v>0</v>
      </c>
      <c r="P10040" s="903">
        <f t="shared" si="806"/>
        <v>1</v>
      </c>
      <c r="Q10040" s="893">
        <f t="shared" si="807"/>
        <v>4</v>
      </c>
      <c r="R10040" s="894">
        <f t="shared" si="808"/>
        <v>0</v>
      </c>
    </row>
    <row r="10041" spans="1:18">
      <c r="A10041" s="895"/>
      <c r="B10041" s="896"/>
      <c r="C10041" s="897"/>
      <c r="D10041" s="897"/>
      <c r="E10041" s="1002" t="s">
        <v>3914</v>
      </c>
      <c r="F10041" s="895"/>
      <c r="G10041" s="1004"/>
      <c r="H10041" s="901"/>
      <c r="I10041" s="902"/>
      <c r="J10041" s="902"/>
      <c r="K10041" s="912" t="s">
        <v>274</v>
      </c>
      <c r="L10041" s="902"/>
      <c r="M10041" s="902"/>
      <c r="N10041" s="902"/>
      <c r="O10041" s="892">
        <f t="shared" si="805"/>
        <v>0</v>
      </c>
      <c r="P10041" s="903">
        <f t="shared" si="806"/>
        <v>1</v>
      </c>
      <c r="Q10041" s="893">
        <f t="shared" si="807"/>
        <v>3</v>
      </c>
      <c r="R10041" s="894">
        <f t="shared" si="808"/>
        <v>0</v>
      </c>
    </row>
    <row r="10042" spans="1:18" s="847" customFormat="1">
      <c r="A10042" s="905"/>
      <c r="B10042" s="952" t="s">
        <v>6424</v>
      </c>
      <c r="C10042" s="907">
        <v>911</v>
      </c>
      <c r="D10042" s="907" t="s">
        <v>93</v>
      </c>
      <c r="E10042" s="992" t="s">
        <v>6425</v>
      </c>
      <c r="F10042" s="905" t="s">
        <v>2673</v>
      </c>
      <c r="G10042" s="1005"/>
      <c r="H10042" s="911">
        <v>0.62</v>
      </c>
      <c r="I10042" s="912"/>
      <c r="J10042" s="912"/>
      <c r="K10042" s="912"/>
      <c r="L10042" s="912"/>
      <c r="M10042" s="912">
        <f>VLOOKUP(B10042,MTC!$B$9:$S$933,12,0)</f>
        <v>0</v>
      </c>
      <c r="N10042" s="912">
        <f>M10042*H10042</f>
        <v>0</v>
      </c>
      <c r="O10042" s="892">
        <f t="shared" si="805"/>
        <v>0</v>
      </c>
      <c r="P10042" s="903">
        <f t="shared" si="806"/>
        <v>1</v>
      </c>
      <c r="Q10042" s="893">
        <f t="shared" si="807"/>
        <v>2</v>
      </c>
      <c r="R10042" s="894">
        <f t="shared" si="808"/>
        <v>0</v>
      </c>
    </row>
    <row r="10043" spans="1:18" s="904" customFormat="1">
      <c r="A10043" s="905"/>
      <c r="B10043" s="952" t="s">
        <v>6414</v>
      </c>
      <c r="C10043" s="907">
        <v>914</v>
      </c>
      <c r="D10043" s="907" t="s">
        <v>93</v>
      </c>
      <c r="E10043" s="992" t="s">
        <v>6415</v>
      </c>
      <c r="F10043" s="905" t="s">
        <v>2673</v>
      </c>
      <c r="G10043" s="1005"/>
      <c r="H10043" s="911">
        <v>0.1</v>
      </c>
      <c r="I10043" s="912"/>
      <c r="J10043" s="912"/>
      <c r="K10043" s="912"/>
      <c r="L10043" s="912"/>
      <c r="M10043" s="912">
        <f>VLOOKUP(B10043,MTC!$B$9:$S$933,12,0)</f>
        <v>0</v>
      </c>
      <c r="N10043" s="912">
        <f>M10043*H10043</f>
        <v>0</v>
      </c>
      <c r="O10043" s="892">
        <f t="shared" si="805"/>
        <v>0</v>
      </c>
      <c r="P10043" s="903">
        <f t="shared" si="806"/>
        <v>1</v>
      </c>
      <c r="Q10043" s="893">
        <f t="shared" si="807"/>
        <v>1</v>
      </c>
      <c r="R10043" s="894">
        <f t="shared" si="808"/>
        <v>0</v>
      </c>
    </row>
    <row r="10044" spans="1:18" ht="47.25">
      <c r="A10044" s="905" t="s">
        <v>6597</v>
      </c>
      <c r="B10044" s="914" t="s">
        <v>6614</v>
      </c>
      <c r="C10044" s="915"/>
      <c r="D10044" s="915"/>
      <c r="E10044" s="1006" t="s">
        <v>6615</v>
      </c>
      <c r="F10044" s="1007" t="s">
        <v>136</v>
      </c>
      <c r="G10044" s="1008"/>
      <c r="H10044" s="919"/>
      <c r="I10044" s="920"/>
      <c r="J10044" s="962">
        <f>SUM(J10045:J10053)</f>
        <v>55500</v>
      </c>
      <c r="K10044" s="891" t="s">
        <v>274</v>
      </c>
      <c r="L10044" s="962">
        <f>SUM(L10045:L10053)</f>
        <v>442250</v>
      </c>
      <c r="M10044" s="962"/>
      <c r="N10044" s="962">
        <f>SUM(N10045:N10053)</f>
        <v>0</v>
      </c>
      <c r="O10044" s="892">
        <f t="shared" si="805"/>
        <v>1</v>
      </c>
      <c r="P10044" s="903">
        <f t="shared" si="806"/>
        <v>0</v>
      </c>
      <c r="Q10044" s="893">
        <f t="shared" si="807"/>
        <v>0</v>
      </c>
      <c r="R10044" s="894">
        <f t="shared" si="808"/>
        <v>9</v>
      </c>
    </row>
    <row r="10045" spans="1:18" s="847" customFormat="1">
      <c r="A10045" s="895"/>
      <c r="B10045" s="896"/>
      <c r="C10045" s="897"/>
      <c r="D10045" s="897"/>
      <c r="E10045" s="1002" t="s">
        <v>108</v>
      </c>
      <c r="F10045" s="895"/>
      <c r="G10045" s="1004"/>
      <c r="H10045" s="901"/>
      <c r="I10045" s="902"/>
      <c r="J10045" s="902"/>
      <c r="K10045" s="912" t="s">
        <v>274</v>
      </c>
      <c r="L10045" s="902"/>
      <c r="M10045" s="902"/>
      <c r="N10045" s="902"/>
      <c r="O10045" s="892">
        <f t="shared" si="805"/>
        <v>0</v>
      </c>
      <c r="P10045" s="903">
        <f t="shared" si="806"/>
        <v>1</v>
      </c>
      <c r="Q10045" s="893">
        <f t="shared" si="807"/>
        <v>9</v>
      </c>
      <c r="R10045" s="894">
        <f t="shared" si="808"/>
        <v>0</v>
      </c>
    </row>
    <row r="10046" spans="1:18" s="904" customFormat="1">
      <c r="A10046" s="905"/>
      <c r="B10046" s="952"/>
      <c r="C10046" s="907">
        <v>315</v>
      </c>
      <c r="D10046" s="907" t="s">
        <v>279</v>
      </c>
      <c r="E10046" s="992" t="s">
        <v>6316</v>
      </c>
      <c r="F10046" s="905" t="s">
        <v>49</v>
      </c>
      <c r="G10046" s="1005"/>
      <c r="H10046" s="911">
        <v>0.5</v>
      </c>
      <c r="I10046" s="912">
        <f>VLOOKUP(E10046,[3]VLP!$B$7:$K$300,10,0)</f>
        <v>8000</v>
      </c>
      <c r="J10046" s="912">
        <f>I10046*H10046</f>
        <v>4000</v>
      </c>
      <c r="K10046" s="912" t="s">
        <v>274</v>
      </c>
      <c r="L10046" s="912"/>
      <c r="M10046" s="912"/>
      <c r="N10046" s="912"/>
      <c r="O10046" s="892">
        <f t="shared" si="805"/>
        <v>0</v>
      </c>
      <c r="P10046" s="903">
        <f t="shared" si="806"/>
        <v>1</v>
      </c>
      <c r="Q10046" s="893">
        <f t="shared" si="807"/>
        <v>8</v>
      </c>
      <c r="R10046" s="894">
        <f t="shared" si="808"/>
        <v>0</v>
      </c>
    </row>
    <row r="10047" spans="1:18">
      <c r="A10047" s="905"/>
      <c r="B10047" s="952"/>
      <c r="C10047" s="907">
        <v>235</v>
      </c>
      <c r="D10047" s="907" t="s">
        <v>279</v>
      </c>
      <c r="E10047" s="992" t="s">
        <v>2682</v>
      </c>
      <c r="F10047" s="905" t="s">
        <v>45</v>
      </c>
      <c r="G10047" s="1005"/>
      <c r="H10047" s="911">
        <v>0.3</v>
      </c>
      <c r="I10047" s="912">
        <f>VLOOKUP(E10047,[3]VLP!$B$7:$K$300,10,0)</f>
        <v>5000</v>
      </c>
      <c r="J10047" s="912">
        <f>I10047*H10047</f>
        <v>1500</v>
      </c>
      <c r="K10047" s="912" t="s">
        <v>274</v>
      </c>
      <c r="L10047" s="912"/>
      <c r="M10047" s="912"/>
      <c r="N10047" s="912"/>
      <c r="O10047" s="892">
        <f t="shared" si="805"/>
        <v>0</v>
      </c>
      <c r="P10047" s="903">
        <f t="shared" si="806"/>
        <v>1</v>
      </c>
      <c r="Q10047" s="893">
        <f t="shared" si="807"/>
        <v>7</v>
      </c>
      <c r="R10047" s="894">
        <f t="shared" si="808"/>
        <v>0</v>
      </c>
    </row>
    <row r="10048" spans="1:18" s="847" customFormat="1">
      <c r="A10048" s="905"/>
      <c r="B10048" s="952"/>
      <c r="C10048" s="907">
        <v>699</v>
      </c>
      <c r="D10048" s="907" t="s">
        <v>279</v>
      </c>
      <c r="E10048" s="992" t="s">
        <v>4006</v>
      </c>
      <c r="F10048" s="905" t="s">
        <v>4007</v>
      </c>
      <c r="G10048" s="1005"/>
      <c r="H10048" s="911">
        <v>10</v>
      </c>
      <c r="I10048" s="912">
        <f>VLOOKUP(E10048,[3]VLP!$B$7:$K$300,10,0)</f>
        <v>5000</v>
      </c>
      <c r="J10048" s="912">
        <f>I10048*H10048</f>
        <v>50000</v>
      </c>
      <c r="K10048" s="912" t="s">
        <v>274</v>
      </c>
      <c r="L10048" s="912"/>
      <c r="M10048" s="912"/>
      <c r="N10048" s="912"/>
      <c r="O10048" s="892">
        <f t="shared" si="805"/>
        <v>0</v>
      </c>
      <c r="P10048" s="903">
        <f t="shared" si="806"/>
        <v>1</v>
      </c>
      <c r="Q10048" s="893">
        <f t="shared" si="807"/>
        <v>6</v>
      </c>
      <c r="R10048" s="894">
        <f t="shared" si="808"/>
        <v>0</v>
      </c>
    </row>
    <row r="10049" spans="1:18" s="904" customFormat="1">
      <c r="A10049" s="895"/>
      <c r="B10049" s="896"/>
      <c r="C10049" s="897"/>
      <c r="D10049" s="897"/>
      <c r="E10049" s="1002" t="s">
        <v>276</v>
      </c>
      <c r="F10049" s="1003"/>
      <c r="G10049" s="1004"/>
      <c r="H10049" s="901"/>
      <c r="I10049" s="902"/>
      <c r="J10049" s="902"/>
      <c r="K10049" s="912" t="s">
        <v>274</v>
      </c>
      <c r="L10049" s="902"/>
      <c r="M10049" s="902"/>
      <c r="N10049" s="902"/>
      <c r="O10049" s="892">
        <f t="shared" si="805"/>
        <v>0</v>
      </c>
      <c r="P10049" s="903">
        <f t="shared" si="806"/>
        <v>1</v>
      </c>
      <c r="Q10049" s="893">
        <f t="shared" si="807"/>
        <v>5</v>
      </c>
      <c r="R10049" s="894">
        <f t="shared" si="808"/>
        <v>0</v>
      </c>
    </row>
    <row r="10050" spans="1:18">
      <c r="A10050" s="905"/>
      <c r="B10050" s="952"/>
      <c r="C10050" s="907">
        <v>740</v>
      </c>
      <c r="D10050" s="907" t="s">
        <v>12</v>
      </c>
      <c r="E10050" s="992" t="s">
        <v>4008</v>
      </c>
      <c r="F10050" s="905" t="s">
        <v>2674</v>
      </c>
      <c r="G10050" s="1005"/>
      <c r="H10050" s="911">
        <v>2</v>
      </c>
      <c r="I10050" s="912"/>
      <c r="J10050" s="912"/>
      <c r="K10050" s="912">
        <f>VLOOKUP(E10050,[5]ĐMNC!$A$7:$F$67,4,0)</f>
        <v>221125</v>
      </c>
      <c r="L10050" s="912">
        <f>H10050*K10050</f>
        <v>442250</v>
      </c>
      <c r="M10050" s="912"/>
      <c r="N10050" s="912"/>
      <c r="O10050" s="892">
        <f t="shared" si="805"/>
        <v>0</v>
      </c>
      <c r="P10050" s="903">
        <f t="shared" si="806"/>
        <v>1</v>
      </c>
      <c r="Q10050" s="893">
        <f t="shared" si="807"/>
        <v>4</v>
      </c>
      <c r="R10050" s="894">
        <f t="shared" si="808"/>
        <v>0</v>
      </c>
    </row>
    <row r="10051" spans="1:18" s="847" customFormat="1">
      <c r="A10051" s="895"/>
      <c r="B10051" s="896"/>
      <c r="C10051" s="897"/>
      <c r="D10051" s="897"/>
      <c r="E10051" s="1002" t="s">
        <v>3914</v>
      </c>
      <c r="F10051" s="895"/>
      <c r="G10051" s="1004"/>
      <c r="H10051" s="901"/>
      <c r="I10051" s="902"/>
      <c r="J10051" s="902"/>
      <c r="K10051" s="912" t="s">
        <v>274</v>
      </c>
      <c r="L10051" s="902"/>
      <c r="M10051" s="902"/>
      <c r="N10051" s="902"/>
      <c r="O10051" s="892">
        <f t="shared" si="805"/>
        <v>0</v>
      </c>
      <c r="P10051" s="903">
        <f t="shared" si="806"/>
        <v>1</v>
      </c>
      <c r="Q10051" s="893">
        <f t="shared" si="807"/>
        <v>3</v>
      </c>
      <c r="R10051" s="894">
        <f t="shared" si="808"/>
        <v>0</v>
      </c>
    </row>
    <row r="10052" spans="1:18" s="904" customFormat="1">
      <c r="A10052" s="905"/>
      <c r="B10052" s="952" t="s">
        <v>6434</v>
      </c>
      <c r="C10052" s="907">
        <v>912</v>
      </c>
      <c r="D10052" s="907" t="s">
        <v>93</v>
      </c>
      <c r="E10052" s="992" t="s">
        <v>6435</v>
      </c>
      <c r="F10052" s="905" t="s">
        <v>2673</v>
      </c>
      <c r="G10052" s="1005"/>
      <c r="H10052" s="911">
        <v>0.185</v>
      </c>
      <c r="I10052" s="912"/>
      <c r="J10052" s="912"/>
      <c r="K10052" s="912"/>
      <c r="L10052" s="912"/>
      <c r="M10052" s="912">
        <f>VLOOKUP(B10052,MTC!$B$9:$S$933,12,0)</f>
        <v>0</v>
      </c>
      <c r="N10052" s="912">
        <f>M10052*H10052</f>
        <v>0</v>
      </c>
      <c r="O10052" s="892">
        <f t="shared" si="805"/>
        <v>0</v>
      </c>
      <c r="P10052" s="903">
        <f t="shared" si="806"/>
        <v>1</v>
      </c>
      <c r="Q10052" s="893">
        <f t="shared" si="807"/>
        <v>2</v>
      </c>
      <c r="R10052" s="894">
        <f t="shared" si="808"/>
        <v>0</v>
      </c>
    </row>
    <row r="10053" spans="1:18">
      <c r="A10053" s="905"/>
      <c r="B10053" s="952" t="s">
        <v>6414</v>
      </c>
      <c r="C10053" s="907">
        <v>914</v>
      </c>
      <c r="D10053" s="907" t="s">
        <v>93</v>
      </c>
      <c r="E10053" s="992" t="s">
        <v>6415</v>
      </c>
      <c r="F10053" s="905" t="s">
        <v>2673</v>
      </c>
      <c r="G10053" s="1005"/>
      <c r="H10053" s="911">
        <v>0.1</v>
      </c>
      <c r="I10053" s="912"/>
      <c r="J10053" s="912"/>
      <c r="K10053" s="912"/>
      <c r="L10053" s="912"/>
      <c r="M10053" s="912">
        <f>VLOOKUP(B10053,MTC!$B$9:$S$933,12,0)</f>
        <v>0</v>
      </c>
      <c r="N10053" s="912">
        <f>M10053*H10053</f>
        <v>0</v>
      </c>
      <c r="O10053" s="892">
        <f t="shared" si="805"/>
        <v>0</v>
      </c>
      <c r="P10053" s="903">
        <f t="shared" si="806"/>
        <v>1</v>
      </c>
      <c r="Q10053" s="893">
        <f t="shared" si="807"/>
        <v>1</v>
      </c>
      <c r="R10053" s="894">
        <f t="shared" si="808"/>
        <v>0</v>
      </c>
    </row>
    <row r="10054" spans="1:18" s="847" customFormat="1" ht="47.25">
      <c r="A10054" s="905">
        <v>132</v>
      </c>
      <c r="B10054" s="914" t="s">
        <v>6616</v>
      </c>
      <c r="C10054" s="915"/>
      <c r="D10054" s="915"/>
      <c r="E10054" s="1006" t="s">
        <v>6617</v>
      </c>
      <c r="F10054" s="1007" t="s">
        <v>136</v>
      </c>
      <c r="G10054" s="1008"/>
      <c r="H10054" s="919"/>
      <c r="I10054" s="920"/>
      <c r="J10054" s="962">
        <f>SUM(J10055:J10063)</f>
        <v>55500</v>
      </c>
      <c r="K10054" s="891" t="s">
        <v>274</v>
      </c>
      <c r="L10054" s="962">
        <f>SUM(L10055:L10063)</f>
        <v>552812.5</v>
      </c>
      <c r="M10054" s="962"/>
      <c r="N10054" s="962">
        <f>SUM(N10055:N10063)</f>
        <v>0</v>
      </c>
      <c r="O10054" s="892">
        <f t="shared" si="805"/>
        <v>1</v>
      </c>
      <c r="P10054" s="903">
        <f t="shared" si="806"/>
        <v>0</v>
      </c>
      <c r="Q10054" s="893">
        <f t="shared" si="807"/>
        <v>0</v>
      </c>
      <c r="R10054" s="894">
        <f t="shared" si="808"/>
        <v>9</v>
      </c>
    </row>
    <row r="10055" spans="1:18" s="904" customFormat="1">
      <c r="A10055" s="895"/>
      <c r="B10055" s="896"/>
      <c r="C10055" s="897"/>
      <c r="D10055" s="897"/>
      <c r="E10055" s="1002" t="s">
        <v>108</v>
      </c>
      <c r="F10055" s="895"/>
      <c r="G10055" s="1004"/>
      <c r="H10055" s="901"/>
      <c r="I10055" s="902"/>
      <c r="J10055" s="902"/>
      <c r="K10055" s="912" t="s">
        <v>274</v>
      </c>
      <c r="L10055" s="902"/>
      <c r="M10055" s="902"/>
      <c r="N10055" s="902"/>
      <c r="O10055" s="892">
        <f t="shared" si="805"/>
        <v>0</v>
      </c>
      <c r="P10055" s="903">
        <f t="shared" si="806"/>
        <v>1</v>
      </c>
      <c r="Q10055" s="893">
        <f t="shared" si="807"/>
        <v>9</v>
      </c>
      <c r="R10055" s="894">
        <f t="shared" si="808"/>
        <v>0</v>
      </c>
    </row>
    <row r="10056" spans="1:18">
      <c r="A10056" s="905"/>
      <c r="B10056" s="952"/>
      <c r="C10056" s="907">
        <v>315</v>
      </c>
      <c r="D10056" s="907" t="s">
        <v>279</v>
      </c>
      <c r="E10056" s="992" t="s">
        <v>6316</v>
      </c>
      <c r="F10056" s="905" t="s">
        <v>49</v>
      </c>
      <c r="G10056" s="1005"/>
      <c r="H10056" s="911">
        <v>0.5</v>
      </c>
      <c r="I10056" s="912">
        <f>VLOOKUP(E10056,[3]VLP!$B$7:$K$300,10,0)</f>
        <v>8000</v>
      </c>
      <c r="J10056" s="912">
        <f>I10056*H10056</f>
        <v>4000</v>
      </c>
      <c r="K10056" s="912" t="s">
        <v>274</v>
      </c>
      <c r="L10056" s="912"/>
      <c r="M10056" s="912"/>
      <c r="N10056" s="912"/>
      <c r="O10056" s="892">
        <f t="shared" si="805"/>
        <v>0</v>
      </c>
      <c r="P10056" s="903">
        <f t="shared" si="806"/>
        <v>1</v>
      </c>
      <c r="Q10056" s="893">
        <f t="shared" si="807"/>
        <v>8</v>
      </c>
      <c r="R10056" s="894">
        <f t="shared" si="808"/>
        <v>0</v>
      </c>
    </row>
    <row r="10057" spans="1:18" s="847" customFormat="1">
      <c r="A10057" s="905"/>
      <c r="B10057" s="952"/>
      <c r="C10057" s="907">
        <v>235</v>
      </c>
      <c r="D10057" s="907" t="s">
        <v>279</v>
      </c>
      <c r="E10057" s="992" t="s">
        <v>2682</v>
      </c>
      <c r="F10057" s="905" t="s">
        <v>45</v>
      </c>
      <c r="G10057" s="1005"/>
      <c r="H10057" s="911">
        <v>0.3</v>
      </c>
      <c r="I10057" s="912">
        <f>VLOOKUP(E10057,[3]VLP!$B$7:$K$300,10,0)</f>
        <v>5000</v>
      </c>
      <c r="J10057" s="912">
        <f>I10057*H10057</f>
        <v>1500</v>
      </c>
      <c r="K10057" s="912" t="s">
        <v>274</v>
      </c>
      <c r="L10057" s="912"/>
      <c r="M10057" s="912"/>
      <c r="N10057" s="912"/>
      <c r="O10057" s="892">
        <f t="shared" si="805"/>
        <v>0</v>
      </c>
      <c r="P10057" s="903">
        <f t="shared" si="806"/>
        <v>1</v>
      </c>
      <c r="Q10057" s="893">
        <f t="shared" si="807"/>
        <v>7</v>
      </c>
      <c r="R10057" s="894">
        <f t="shared" si="808"/>
        <v>0</v>
      </c>
    </row>
    <row r="10058" spans="1:18" s="904" customFormat="1">
      <c r="A10058" s="905"/>
      <c r="B10058" s="952"/>
      <c r="C10058" s="907">
        <v>699</v>
      </c>
      <c r="D10058" s="907" t="s">
        <v>279</v>
      </c>
      <c r="E10058" s="992" t="s">
        <v>4006</v>
      </c>
      <c r="F10058" s="905" t="s">
        <v>4007</v>
      </c>
      <c r="G10058" s="1005"/>
      <c r="H10058" s="911">
        <v>10</v>
      </c>
      <c r="I10058" s="912">
        <f>VLOOKUP(E10058,[3]VLP!$B$7:$K$300,10,0)</f>
        <v>5000</v>
      </c>
      <c r="J10058" s="912">
        <f>I10058*H10058</f>
        <v>50000</v>
      </c>
      <c r="K10058" s="912" t="s">
        <v>274</v>
      </c>
      <c r="L10058" s="912"/>
      <c r="M10058" s="912"/>
      <c r="N10058" s="912"/>
      <c r="O10058" s="892">
        <f t="shared" si="805"/>
        <v>0</v>
      </c>
      <c r="P10058" s="903">
        <f t="shared" si="806"/>
        <v>1</v>
      </c>
      <c r="Q10058" s="893">
        <f t="shared" si="807"/>
        <v>6</v>
      </c>
      <c r="R10058" s="894">
        <f t="shared" si="808"/>
        <v>0</v>
      </c>
    </row>
    <row r="10059" spans="1:18">
      <c r="A10059" s="895"/>
      <c r="B10059" s="896"/>
      <c r="C10059" s="897"/>
      <c r="D10059" s="897"/>
      <c r="E10059" s="1002" t="s">
        <v>276</v>
      </c>
      <c r="F10059" s="1003"/>
      <c r="G10059" s="1004"/>
      <c r="H10059" s="901"/>
      <c r="I10059" s="902"/>
      <c r="J10059" s="902"/>
      <c r="K10059" s="912" t="s">
        <v>274</v>
      </c>
      <c r="L10059" s="902"/>
      <c r="M10059" s="902"/>
      <c r="N10059" s="902"/>
      <c r="O10059" s="892">
        <f t="shared" si="805"/>
        <v>0</v>
      </c>
      <c r="P10059" s="903">
        <f t="shared" si="806"/>
        <v>1</v>
      </c>
      <c r="Q10059" s="893">
        <f t="shared" si="807"/>
        <v>5</v>
      </c>
      <c r="R10059" s="894">
        <f t="shared" si="808"/>
        <v>0</v>
      </c>
    </row>
    <row r="10060" spans="1:18" s="847" customFormat="1">
      <c r="A10060" s="905"/>
      <c r="B10060" s="952"/>
      <c r="C10060" s="907">
        <v>740</v>
      </c>
      <c r="D10060" s="907" t="s">
        <v>12</v>
      </c>
      <c r="E10060" s="992" t="s">
        <v>4008</v>
      </c>
      <c r="F10060" s="905" t="s">
        <v>2674</v>
      </c>
      <c r="G10060" s="1005"/>
      <c r="H10060" s="911">
        <v>2.5</v>
      </c>
      <c r="I10060" s="912"/>
      <c r="J10060" s="912"/>
      <c r="K10060" s="912">
        <f>VLOOKUP(E10060,[5]ĐMNC!$A$7:$F$67,4,0)</f>
        <v>221125</v>
      </c>
      <c r="L10060" s="912">
        <f>H10060*K10060</f>
        <v>552812.5</v>
      </c>
      <c r="M10060" s="912"/>
      <c r="N10060" s="912"/>
      <c r="O10060" s="892">
        <f t="shared" si="805"/>
        <v>0</v>
      </c>
      <c r="P10060" s="903">
        <f t="shared" si="806"/>
        <v>1</v>
      </c>
      <c r="Q10060" s="893">
        <f t="shared" si="807"/>
        <v>4</v>
      </c>
      <c r="R10060" s="894">
        <f t="shared" si="808"/>
        <v>0</v>
      </c>
    </row>
    <row r="10061" spans="1:18" s="904" customFormat="1">
      <c r="A10061" s="895"/>
      <c r="B10061" s="896"/>
      <c r="C10061" s="897"/>
      <c r="D10061" s="897"/>
      <c r="E10061" s="1002" t="s">
        <v>3914</v>
      </c>
      <c r="F10061" s="895"/>
      <c r="G10061" s="1004"/>
      <c r="H10061" s="901"/>
      <c r="I10061" s="902"/>
      <c r="J10061" s="902"/>
      <c r="K10061" s="912" t="s">
        <v>274</v>
      </c>
      <c r="L10061" s="902"/>
      <c r="M10061" s="902"/>
      <c r="N10061" s="902"/>
      <c r="O10061" s="892">
        <f t="shared" si="805"/>
        <v>0</v>
      </c>
      <c r="P10061" s="903">
        <f t="shared" si="806"/>
        <v>1</v>
      </c>
      <c r="Q10061" s="893">
        <f t="shared" si="807"/>
        <v>3</v>
      </c>
      <c r="R10061" s="894">
        <f t="shared" si="808"/>
        <v>0</v>
      </c>
    </row>
    <row r="10062" spans="1:18">
      <c r="A10062" s="905"/>
      <c r="B10062" s="952" t="s">
        <v>6434</v>
      </c>
      <c r="C10062" s="907">
        <v>912</v>
      </c>
      <c r="D10062" s="907" t="s">
        <v>93</v>
      </c>
      <c r="E10062" s="992" t="s">
        <v>6435</v>
      </c>
      <c r="F10062" s="905" t="s">
        <v>2673</v>
      </c>
      <c r="G10062" s="1005"/>
      <c r="H10062" s="911">
        <v>0.23300000000000001</v>
      </c>
      <c r="I10062" s="912"/>
      <c r="J10062" s="912"/>
      <c r="K10062" s="912"/>
      <c r="L10062" s="912"/>
      <c r="M10062" s="912">
        <f>VLOOKUP(B10062,MTC!$B$9:$S$933,12,0)</f>
        <v>0</v>
      </c>
      <c r="N10062" s="912">
        <f>M10062*H10062</f>
        <v>0</v>
      </c>
      <c r="O10062" s="892">
        <f t="shared" si="805"/>
        <v>0</v>
      </c>
      <c r="P10062" s="903">
        <f t="shared" si="806"/>
        <v>1</v>
      </c>
      <c r="Q10062" s="893">
        <f t="shared" si="807"/>
        <v>2</v>
      </c>
      <c r="R10062" s="894">
        <f t="shared" si="808"/>
        <v>0</v>
      </c>
    </row>
    <row r="10063" spans="1:18" s="847" customFormat="1">
      <c r="A10063" s="905"/>
      <c r="B10063" s="952" t="s">
        <v>6414</v>
      </c>
      <c r="C10063" s="907">
        <v>914</v>
      </c>
      <c r="D10063" s="907" t="s">
        <v>93</v>
      </c>
      <c r="E10063" s="992" t="s">
        <v>6415</v>
      </c>
      <c r="F10063" s="905" t="s">
        <v>2673</v>
      </c>
      <c r="G10063" s="1005"/>
      <c r="H10063" s="911">
        <v>0.1</v>
      </c>
      <c r="I10063" s="912"/>
      <c r="J10063" s="912"/>
      <c r="K10063" s="912"/>
      <c r="L10063" s="912"/>
      <c r="M10063" s="912">
        <f>VLOOKUP(B10063,MTC!$B$9:$S$933,12,0)</f>
        <v>0</v>
      </c>
      <c r="N10063" s="912">
        <f>M10063*H10063</f>
        <v>0</v>
      </c>
      <c r="O10063" s="892">
        <f t="shared" si="805"/>
        <v>0</v>
      </c>
      <c r="P10063" s="903">
        <f t="shared" si="806"/>
        <v>1</v>
      </c>
      <c r="Q10063" s="893">
        <f t="shared" si="807"/>
        <v>1</v>
      </c>
      <c r="R10063" s="894">
        <f t="shared" si="808"/>
        <v>0</v>
      </c>
    </row>
    <row r="10064" spans="1:18" s="904" customFormat="1" ht="47.25">
      <c r="A10064" s="905">
        <v>133</v>
      </c>
      <c r="B10064" s="914" t="s">
        <v>6618</v>
      </c>
      <c r="C10064" s="915"/>
      <c r="D10064" s="915"/>
      <c r="E10064" s="1006" t="s">
        <v>6619</v>
      </c>
      <c r="F10064" s="1007" t="s">
        <v>136</v>
      </c>
      <c r="G10064" s="1008"/>
      <c r="H10064" s="919"/>
      <c r="I10064" s="920"/>
      <c r="J10064" s="962">
        <f>SUM(J10065:J10073)</f>
        <v>55500</v>
      </c>
      <c r="K10064" s="891" t="s">
        <v>274</v>
      </c>
      <c r="L10064" s="962">
        <f>SUM(L10065:L10073)</f>
        <v>685487.5</v>
      </c>
      <c r="M10064" s="962"/>
      <c r="N10064" s="962">
        <f>SUM(N10065:N10073)</f>
        <v>0</v>
      </c>
      <c r="O10064" s="892">
        <f t="shared" si="805"/>
        <v>1</v>
      </c>
      <c r="P10064" s="903">
        <f t="shared" si="806"/>
        <v>0</v>
      </c>
      <c r="Q10064" s="893">
        <f t="shared" si="807"/>
        <v>0</v>
      </c>
      <c r="R10064" s="894">
        <f t="shared" si="808"/>
        <v>9</v>
      </c>
    </row>
    <row r="10065" spans="1:18">
      <c r="A10065" s="895"/>
      <c r="B10065" s="896"/>
      <c r="C10065" s="897"/>
      <c r="D10065" s="897"/>
      <c r="E10065" s="1002" t="s">
        <v>108</v>
      </c>
      <c r="F10065" s="895"/>
      <c r="G10065" s="1004"/>
      <c r="H10065" s="901"/>
      <c r="I10065" s="902"/>
      <c r="J10065" s="902"/>
      <c r="K10065" s="912" t="s">
        <v>274</v>
      </c>
      <c r="L10065" s="902"/>
      <c r="M10065" s="902"/>
      <c r="N10065" s="902"/>
      <c r="O10065" s="892">
        <f t="shared" si="805"/>
        <v>0</v>
      </c>
      <c r="P10065" s="903">
        <f t="shared" si="806"/>
        <v>1</v>
      </c>
      <c r="Q10065" s="893">
        <f t="shared" si="807"/>
        <v>9</v>
      </c>
      <c r="R10065" s="894">
        <f t="shared" si="808"/>
        <v>0</v>
      </c>
    </row>
    <row r="10066" spans="1:18" s="847" customFormat="1">
      <c r="A10066" s="905"/>
      <c r="B10066" s="952"/>
      <c r="C10066" s="907">
        <v>315</v>
      </c>
      <c r="D10066" s="907" t="s">
        <v>279</v>
      </c>
      <c r="E10066" s="992" t="s">
        <v>6316</v>
      </c>
      <c r="F10066" s="905" t="s">
        <v>49</v>
      </c>
      <c r="G10066" s="1005"/>
      <c r="H10066" s="911">
        <v>0.5</v>
      </c>
      <c r="I10066" s="912">
        <f>VLOOKUP(E10066,[3]VLP!$B$7:$K$300,10,0)</f>
        <v>8000</v>
      </c>
      <c r="J10066" s="912">
        <f>I10066*H10066</f>
        <v>4000</v>
      </c>
      <c r="K10066" s="912" t="s">
        <v>274</v>
      </c>
      <c r="L10066" s="912"/>
      <c r="M10066" s="912"/>
      <c r="N10066" s="912"/>
      <c r="O10066" s="892">
        <f t="shared" si="805"/>
        <v>0</v>
      </c>
      <c r="P10066" s="903">
        <f t="shared" si="806"/>
        <v>1</v>
      </c>
      <c r="Q10066" s="893">
        <f t="shared" si="807"/>
        <v>8</v>
      </c>
      <c r="R10066" s="894">
        <f t="shared" si="808"/>
        <v>0</v>
      </c>
    </row>
    <row r="10067" spans="1:18" s="904" customFormat="1">
      <c r="A10067" s="905"/>
      <c r="B10067" s="952"/>
      <c r="C10067" s="907">
        <v>235</v>
      </c>
      <c r="D10067" s="907" t="s">
        <v>279</v>
      </c>
      <c r="E10067" s="992" t="s">
        <v>2682</v>
      </c>
      <c r="F10067" s="905" t="s">
        <v>45</v>
      </c>
      <c r="G10067" s="1005"/>
      <c r="H10067" s="911">
        <v>0.3</v>
      </c>
      <c r="I10067" s="912">
        <f>VLOOKUP(E10067,[3]VLP!$B$7:$K$300,10,0)</f>
        <v>5000</v>
      </c>
      <c r="J10067" s="912">
        <f>I10067*H10067</f>
        <v>1500</v>
      </c>
      <c r="K10067" s="912" t="s">
        <v>274</v>
      </c>
      <c r="L10067" s="912"/>
      <c r="M10067" s="912"/>
      <c r="N10067" s="912"/>
      <c r="O10067" s="892">
        <f t="shared" si="805"/>
        <v>0</v>
      </c>
      <c r="P10067" s="903">
        <f t="shared" si="806"/>
        <v>1</v>
      </c>
      <c r="Q10067" s="893">
        <f t="shared" si="807"/>
        <v>7</v>
      </c>
      <c r="R10067" s="894">
        <f t="shared" si="808"/>
        <v>0</v>
      </c>
    </row>
    <row r="10068" spans="1:18">
      <c r="A10068" s="905"/>
      <c r="B10068" s="952"/>
      <c r="C10068" s="907">
        <v>699</v>
      </c>
      <c r="D10068" s="907" t="s">
        <v>279</v>
      </c>
      <c r="E10068" s="992" t="s">
        <v>4006</v>
      </c>
      <c r="F10068" s="905" t="s">
        <v>4007</v>
      </c>
      <c r="G10068" s="1005"/>
      <c r="H10068" s="911">
        <v>10</v>
      </c>
      <c r="I10068" s="912">
        <f>VLOOKUP(E10068,[3]VLP!$B$7:$K$300,10,0)</f>
        <v>5000</v>
      </c>
      <c r="J10068" s="912">
        <f>I10068*H10068</f>
        <v>50000</v>
      </c>
      <c r="K10068" s="912" t="s">
        <v>274</v>
      </c>
      <c r="L10068" s="912"/>
      <c r="M10068" s="912"/>
      <c r="N10068" s="912"/>
      <c r="O10068" s="892">
        <f t="shared" si="805"/>
        <v>0</v>
      </c>
      <c r="P10068" s="903">
        <f t="shared" si="806"/>
        <v>1</v>
      </c>
      <c r="Q10068" s="893">
        <f t="shared" si="807"/>
        <v>6</v>
      </c>
      <c r="R10068" s="894">
        <f t="shared" si="808"/>
        <v>0</v>
      </c>
    </row>
    <row r="10069" spans="1:18" s="847" customFormat="1">
      <c r="A10069" s="895"/>
      <c r="B10069" s="896"/>
      <c r="C10069" s="897"/>
      <c r="D10069" s="897"/>
      <c r="E10069" s="1002" t="s">
        <v>276</v>
      </c>
      <c r="F10069" s="1003"/>
      <c r="G10069" s="1004"/>
      <c r="H10069" s="901"/>
      <c r="I10069" s="902"/>
      <c r="J10069" s="902"/>
      <c r="K10069" s="912" t="s">
        <v>274</v>
      </c>
      <c r="L10069" s="902"/>
      <c r="M10069" s="902"/>
      <c r="N10069" s="902"/>
      <c r="O10069" s="892">
        <f t="shared" si="805"/>
        <v>0</v>
      </c>
      <c r="P10069" s="903">
        <f t="shared" si="806"/>
        <v>1</v>
      </c>
      <c r="Q10069" s="893">
        <f t="shared" si="807"/>
        <v>5</v>
      </c>
      <c r="R10069" s="894">
        <f t="shared" si="808"/>
        <v>0</v>
      </c>
    </row>
    <row r="10070" spans="1:18" s="904" customFormat="1">
      <c r="A10070" s="905"/>
      <c r="B10070" s="952"/>
      <c r="C10070" s="907">
        <v>740</v>
      </c>
      <c r="D10070" s="907" t="s">
        <v>12</v>
      </c>
      <c r="E10070" s="992" t="s">
        <v>4008</v>
      </c>
      <c r="F10070" s="905" t="s">
        <v>2674</v>
      </c>
      <c r="G10070" s="1005"/>
      <c r="H10070" s="911">
        <v>3.1</v>
      </c>
      <c r="I10070" s="912"/>
      <c r="J10070" s="912"/>
      <c r="K10070" s="912">
        <f>VLOOKUP(E10070,[5]ĐMNC!$A$7:$F$67,4,0)</f>
        <v>221125</v>
      </c>
      <c r="L10070" s="912">
        <f>H10070*K10070</f>
        <v>685487.5</v>
      </c>
      <c r="M10070" s="912"/>
      <c r="N10070" s="912"/>
      <c r="O10070" s="892">
        <f t="shared" si="805"/>
        <v>0</v>
      </c>
      <c r="P10070" s="903">
        <f t="shared" si="806"/>
        <v>1</v>
      </c>
      <c r="Q10070" s="893">
        <f t="shared" si="807"/>
        <v>4</v>
      </c>
      <c r="R10070" s="894">
        <f t="shared" si="808"/>
        <v>0</v>
      </c>
    </row>
    <row r="10071" spans="1:18">
      <c r="A10071" s="895"/>
      <c r="B10071" s="896"/>
      <c r="C10071" s="897"/>
      <c r="D10071" s="897"/>
      <c r="E10071" s="1002" t="s">
        <v>3914</v>
      </c>
      <c r="F10071" s="895"/>
      <c r="G10071" s="1004"/>
      <c r="H10071" s="901"/>
      <c r="I10071" s="902"/>
      <c r="J10071" s="902"/>
      <c r="K10071" s="912" t="s">
        <v>274</v>
      </c>
      <c r="L10071" s="902"/>
      <c r="M10071" s="902"/>
      <c r="N10071" s="902"/>
      <c r="O10071" s="892">
        <f t="shared" si="805"/>
        <v>0</v>
      </c>
      <c r="P10071" s="903">
        <f t="shared" si="806"/>
        <v>1</v>
      </c>
      <c r="Q10071" s="893">
        <f t="shared" si="807"/>
        <v>3</v>
      </c>
      <c r="R10071" s="894">
        <f t="shared" si="808"/>
        <v>0</v>
      </c>
    </row>
    <row r="10072" spans="1:18" s="847" customFormat="1">
      <c r="A10072" s="905"/>
      <c r="B10072" s="952" t="s">
        <v>6434</v>
      </c>
      <c r="C10072" s="907">
        <v>912</v>
      </c>
      <c r="D10072" s="907" t="s">
        <v>93</v>
      </c>
      <c r="E10072" s="992" t="s">
        <v>6435</v>
      </c>
      <c r="F10072" s="905" t="s">
        <v>2673</v>
      </c>
      <c r="G10072" s="1005"/>
      <c r="H10072" s="911">
        <v>0.28399999999999997</v>
      </c>
      <c r="I10072" s="912"/>
      <c r="J10072" s="912"/>
      <c r="K10072" s="912"/>
      <c r="L10072" s="912"/>
      <c r="M10072" s="912">
        <f>VLOOKUP(B10072,MTC!$B$9:$S$933,12,0)</f>
        <v>0</v>
      </c>
      <c r="N10072" s="912">
        <f>M10072*H10072</f>
        <v>0</v>
      </c>
      <c r="O10072" s="892">
        <f t="shared" si="805"/>
        <v>0</v>
      </c>
      <c r="P10072" s="903">
        <f t="shared" si="806"/>
        <v>1</v>
      </c>
      <c r="Q10072" s="893">
        <f t="shared" si="807"/>
        <v>2</v>
      </c>
      <c r="R10072" s="894">
        <f t="shared" si="808"/>
        <v>0</v>
      </c>
    </row>
    <row r="10073" spans="1:18" s="904" customFormat="1">
      <c r="A10073" s="905"/>
      <c r="B10073" s="952" t="s">
        <v>6414</v>
      </c>
      <c r="C10073" s="907">
        <v>914</v>
      </c>
      <c r="D10073" s="907" t="s">
        <v>93</v>
      </c>
      <c r="E10073" s="992" t="s">
        <v>6415</v>
      </c>
      <c r="F10073" s="905" t="s">
        <v>2673</v>
      </c>
      <c r="G10073" s="1005"/>
      <c r="H10073" s="911">
        <v>0.1</v>
      </c>
      <c r="I10073" s="912"/>
      <c r="J10073" s="912"/>
      <c r="K10073" s="912"/>
      <c r="L10073" s="912"/>
      <c r="M10073" s="912">
        <f>VLOOKUP(B10073,MTC!$B$9:$S$933,12,0)</f>
        <v>0</v>
      </c>
      <c r="N10073" s="912">
        <f>M10073*H10073</f>
        <v>0</v>
      </c>
      <c r="O10073" s="892">
        <f t="shared" si="805"/>
        <v>0</v>
      </c>
      <c r="P10073" s="903">
        <f t="shared" si="806"/>
        <v>1</v>
      </c>
      <c r="Q10073" s="893">
        <f t="shared" si="807"/>
        <v>1</v>
      </c>
      <c r="R10073" s="894">
        <f t="shared" si="808"/>
        <v>0</v>
      </c>
    </row>
    <row r="10074" spans="1:18" ht="47.25">
      <c r="A10074" s="905">
        <v>134</v>
      </c>
      <c r="B10074" s="914" t="s">
        <v>6620</v>
      </c>
      <c r="C10074" s="915"/>
      <c r="D10074" s="915"/>
      <c r="E10074" s="1006" t="s">
        <v>6621</v>
      </c>
      <c r="F10074" s="1007" t="s">
        <v>136</v>
      </c>
      <c r="G10074" s="1008"/>
      <c r="H10074" s="919"/>
      <c r="I10074" s="920"/>
      <c r="J10074" s="962">
        <f>SUM(J10075:J10083)</f>
        <v>55500</v>
      </c>
      <c r="K10074" s="891" t="s">
        <v>274</v>
      </c>
      <c r="L10074" s="962">
        <f>SUM(L10075:L10083)</f>
        <v>773937.5</v>
      </c>
      <c r="M10074" s="962"/>
      <c r="N10074" s="962">
        <f>SUM(N10075:N10083)</f>
        <v>0</v>
      </c>
      <c r="O10074" s="892">
        <f t="shared" si="805"/>
        <v>1</v>
      </c>
      <c r="P10074" s="903">
        <f t="shared" si="806"/>
        <v>0</v>
      </c>
      <c r="Q10074" s="893">
        <f t="shared" si="807"/>
        <v>0</v>
      </c>
      <c r="R10074" s="894">
        <f t="shared" si="808"/>
        <v>9</v>
      </c>
    </row>
    <row r="10075" spans="1:18" s="847" customFormat="1">
      <c r="A10075" s="895"/>
      <c r="B10075" s="896"/>
      <c r="C10075" s="897"/>
      <c r="D10075" s="897"/>
      <c r="E10075" s="1002" t="s">
        <v>108</v>
      </c>
      <c r="F10075" s="895"/>
      <c r="G10075" s="1004"/>
      <c r="H10075" s="901"/>
      <c r="I10075" s="902"/>
      <c r="J10075" s="902"/>
      <c r="K10075" s="912" t="s">
        <v>274</v>
      </c>
      <c r="L10075" s="902"/>
      <c r="M10075" s="902"/>
      <c r="N10075" s="902"/>
      <c r="O10075" s="892">
        <f t="shared" si="805"/>
        <v>0</v>
      </c>
      <c r="P10075" s="903">
        <f t="shared" si="806"/>
        <v>1</v>
      </c>
      <c r="Q10075" s="893">
        <f t="shared" si="807"/>
        <v>9</v>
      </c>
      <c r="R10075" s="894">
        <f t="shared" si="808"/>
        <v>0</v>
      </c>
    </row>
    <row r="10076" spans="1:18" s="904" customFormat="1">
      <c r="A10076" s="905"/>
      <c r="B10076" s="952"/>
      <c r="C10076" s="907">
        <v>315</v>
      </c>
      <c r="D10076" s="907" t="s">
        <v>279</v>
      </c>
      <c r="E10076" s="992" t="s">
        <v>6316</v>
      </c>
      <c r="F10076" s="905" t="s">
        <v>49</v>
      </c>
      <c r="G10076" s="1005"/>
      <c r="H10076" s="911">
        <v>0.5</v>
      </c>
      <c r="I10076" s="912">
        <f>VLOOKUP(E10076,[3]VLP!$B$7:$K$300,10,0)</f>
        <v>8000</v>
      </c>
      <c r="J10076" s="912">
        <f>I10076*H10076</f>
        <v>4000</v>
      </c>
      <c r="K10076" s="912" t="s">
        <v>274</v>
      </c>
      <c r="L10076" s="912"/>
      <c r="M10076" s="912"/>
      <c r="N10076" s="912"/>
      <c r="O10076" s="892">
        <f t="shared" si="805"/>
        <v>0</v>
      </c>
      <c r="P10076" s="903">
        <f t="shared" si="806"/>
        <v>1</v>
      </c>
      <c r="Q10076" s="893">
        <f t="shared" si="807"/>
        <v>8</v>
      </c>
      <c r="R10076" s="894">
        <f t="shared" si="808"/>
        <v>0</v>
      </c>
    </row>
    <row r="10077" spans="1:18">
      <c r="A10077" s="905"/>
      <c r="B10077" s="952"/>
      <c r="C10077" s="907">
        <v>235</v>
      </c>
      <c r="D10077" s="907" t="s">
        <v>279</v>
      </c>
      <c r="E10077" s="992" t="s">
        <v>2682</v>
      </c>
      <c r="F10077" s="905" t="s">
        <v>45</v>
      </c>
      <c r="G10077" s="1005"/>
      <c r="H10077" s="911">
        <v>0.3</v>
      </c>
      <c r="I10077" s="912">
        <f>VLOOKUP(E10077,[3]VLP!$B$7:$K$300,10,0)</f>
        <v>5000</v>
      </c>
      <c r="J10077" s="912">
        <f>I10077*H10077</f>
        <v>1500</v>
      </c>
      <c r="K10077" s="912" t="s">
        <v>274</v>
      </c>
      <c r="L10077" s="912"/>
      <c r="M10077" s="912"/>
      <c r="N10077" s="912"/>
      <c r="O10077" s="892">
        <f t="shared" si="805"/>
        <v>0</v>
      </c>
      <c r="P10077" s="903">
        <f t="shared" si="806"/>
        <v>1</v>
      </c>
      <c r="Q10077" s="893">
        <f t="shared" si="807"/>
        <v>7</v>
      </c>
      <c r="R10077" s="894">
        <f t="shared" si="808"/>
        <v>0</v>
      </c>
    </row>
    <row r="10078" spans="1:18" s="847" customFormat="1">
      <c r="A10078" s="905"/>
      <c r="B10078" s="952"/>
      <c r="C10078" s="907">
        <v>699</v>
      </c>
      <c r="D10078" s="907" t="s">
        <v>279</v>
      </c>
      <c r="E10078" s="992" t="s">
        <v>4006</v>
      </c>
      <c r="F10078" s="905" t="s">
        <v>4007</v>
      </c>
      <c r="G10078" s="1005"/>
      <c r="H10078" s="911">
        <v>10</v>
      </c>
      <c r="I10078" s="912">
        <f>VLOOKUP(E10078,[3]VLP!$B$7:$K$300,10,0)</f>
        <v>5000</v>
      </c>
      <c r="J10078" s="912">
        <f>I10078*H10078</f>
        <v>50000</v>
      </c>
      <c r="K10078" s="912" t="s">
        <v>274</v>
      </c>
      <c r="L10078" s="912"/>
      <c r="M10078" s="912"/>
      <c r="N10078" s="912"/>
      <c r="O10078" s="892">
        <f t="shared" si="805"/>
        <v>0</v>
      </c>
      <c r="P10078" s="903">
        <f t="shared" si="806"/>
        <v>1</v>
      </c>
      <c r="Q10078" s="893">
        <f t="shared" si="807"/>
        <v>6</v>
      </c>
      <c r="R10078" s="894">
        <f t="shared" si="808"/>
        <v>0</v>
      </c>
    </row>
    <row r="10079" spans="1:18" s="904" customFormat="1">
      <c r="A10079" s="895"/>
      <c r="B10079" s="896"/>
      <c r="C10079" s="897"/>
      <c r="D10079" s="897"/>
      <c r="E10079" s="1002" t="s">
        <v>276</v>
      </c>
      <c r="F10079" s="1003"/>
      <c r="G10079" s="1004"/>
      <c r="H10079" s="901"/>
      <c r="I10079" s="902"/>
      <c r="J10079" s="902"/>
      <c r="K10079" s="912" t="s">
        <v>274</v>
      </c>
      <c r="L10079" s="902"/>
      <c r="M10079" s="902"/>
      <c r="N10079" s="902"/>
      <c r="O10079" s="892">
        <f t="shared" ref="O10079:O10142" si="809">IF(AND(B10079&lt;&gt;"",D10079=""),1,0)</f>
        <v>0</v>
      </c>
      <c r="P10079" s="903">
        <f t="shared" si="806"/>
        <v>1</v>
      </c>
      <c r="Q10079" s="893">
        <f t="shared" si="807"/>
        <v>5</v>
      </c>
      <c r="R10079" s="894">
        <f t="shared" si="808"/>
        <v>0</v>
      </c>
    </row>
    <row r="10080" spans="1:18">
      <c r="A10080" s="905"/>
      <c r="B10080" s="952"/>
      <c r="C10080" s="907">
        <v>740</v>
      </c>
      <c r="D10080" s="907" t="s">
        <v>12</v>
      </c>
      <c r="E10080" s="992" t="s">
        <v>4008</v>
      </c>
      <c r="F10080" s="905" t="s">
        <v>2674</v>
      </c>
      <c r="G10080" s="1005"/>
      <c r="H10080" s="911">
        <v>3.5</v>
      </c>
      <c r="I10080" s="912"/>
      <c r="J10080" s="912"/>
      <c r="K10080" s="912">
        <f>VLOOKUP(E10080,[5]ĐMNC!$A$7:$F$67,4,0)</f>
        <v>221125</v>
      </c>
      <c r="L10080" s="912">
        <f>H10080*K10080</f>
        <v>773937.5</v>
      </c>
      <c r="M10080" s="912"/>
      <c r="N10080" s="912"/>
      <c r="O10080" s="892">
        <f t="shared" si="809"/>
        <v>0</v>
      </c>
      <c r="P10080" s="903">
        <f t="shared" si="806"/>
        <v>1</v>
      </c>
      <c r="Q10080" s="893">
        <f t="shared" si="807"/>
        <v>4</v>
      </c>
      <c r="R10080" s="894">
        <f t="shared" si="808"/>
        <v>0</v>
      </c>
    </row>
    <row r="10081" spans="1:18" s="847" customFormat="1">
      <c r="A10081" s="895"/>
      <c r="B10081" s="896"/>
      <c r="C10081" s="897"/>
      <c r="D10081" s="897"/>
      <c r="E10081" s="1002" t="s">
        <v>3914</v>
      </c>
      <c r="F10081" s="895"/>
      <c r="G10081" s="1004"/>
      <c r="H10081" s="901"/>
      <c r="I10081" s="902"/>
      <c r="J10081" s="902"/>
      <c r="K10081" s="912" t="s">
        <v>274</v>
      </c>
      <c r="L10081" s="902"/>
      <c r="M10081" s="902"/>
      <c r="N10081" s="902"/>
      <c r="O10081" s="892">
        <f t="shared" si="809"/>
        <v>0</v>
      </c>
      <c r="P10081" s="903">
        <f t="shared" si="806"/>
        <v>1</v>
      </c>
      <c r="Q10081" s="893">
        <f t="shared" si="807"/>
        <v>3</v>
      </c>
      <c r="R10081" s="894">
        <f t="shared" si="808"/>
        <v>0</v>
      </c>
    </row>
    <row r="10082" spans="1:18" s="904" customFormat="1">
      <c r="A10082" s="905"/>
      <c r="B10082" s="952" t="s">
        <v>6434</v>
      </c>
      <c r="C10082" s="907">
        <v>912</v>
      </c>
      <c r="D10082" s="907" t="s">
        <v>93</v>
      </c>
      <c r="E10082" s="992" t="s">
        <v>6435</v>
      </c>
      <c r="F10082" s="905" t="s">
        <v>2673</v>
      </c>
      <c r="G10082" s="1005"/>
      <c r="H10082" s="911">
        <v>0.34</v>
      </c>
      <c r="I10082" s="912"/>
      <c r="J10082" s="912"/>
      <c r="K10082" s="912"/>
      <c r="L10082" s="912"/>
      <c r="M10082" s="912">
        <f>VLOOKUP(B10082,MTC!$B$9:$S$933,12,0)</f>
        <v>0</v>
      </c>
      <c r="N10082" s="912">
        <f>M10082*H10082</f>
        <v>0</v>
      </c>
      <c r="O10082" s="892">
        <f t="shared" si="809"/>
        <v>0</v>
      </c>
      <c r="P10082" s="903">
        <f t="shared" si="806"/>
        <v>1</v>
      </c>
      <c r="Q10082" s="893">
        <f t="shared" si="807"/>
        <v>2</v>
      </c>
      <c r="R10082" s="894">
        <f t="shared" si="808"/>
        <v>0</v>
      </c>
    </row>
    <row r="10083" spans="1:18">
      <c r="A10083" s="905"/>
      <c r="B10083" s="952" t="s">
        <v>6414</v>
      </c>
      <c r="C10083" s="907">
        <v>914</v>
      </c>
      <c r="D10083" s="907" t="s">
        <v>93</v>
      </c>
      <c r="E10083" s="992" t="s">
        <v>6415</v>
      </c>
      <c r="F10083" s="905" t="s">
        <v>2673</v>
      </c>
      <c r="G10083" s="1005"/>
      <c r="H10083" s="911">
        <v>0.1</v>
      </c>
      <c r="I10083" s="912"/>
      <c r="J10083" s="912"/>
      <c r="K10083" s="912"/>
      <c r="L10083" s="912"/>
      <c r="M10083" s="912">
        <f>VLOOKUP(B10083,MTC!$B$9:$S$933,12,0)</f>
        <v>0</v>
      </c>
      <c r="N10083" s="912">
        <f>M10083*H10083</f>
        <v>0</v>
      </c>
      <c r="O10083" s="892">
        <f t="shared" si="809"/>
        <v>0</v>
      </c>
      <c r="P10083" s="903">
        <f t="shared" si="806"/>
        <v>1</v>
      </c>
      <c r="Q10083" s="893">
        <f t="shared" si="807"/>
        <v>1</v>
      </c>
      <c r="R10083" s="894">
        <f t="shared" si="808"/>
        <v>0</v>
      </c>
    </row>
    <row r="10084" spans="1:18" s="847" customFormat="1" ht="31.5">
      <c r="A10084" s="905" t="s">
        <v>6622</v>
      </c>
      <c r="B10084" s="914" t="s">
        <v>6623</v>
      </c>
      <c r="C10084" s="915"/>
      <c r="D10084" s="915"/>
      <c r="E10084" s="1006" t="s">
        <v>6624</v>
      </c>
      <c r="F10084" s="1007" t="s">
        <v>136</v>
      </c>
      <c r="G10084" s="1008"/>
      <c r="H10084" s="919"/>
      <c r="I10084" s="920"/>
      <c r="J10084" s="891">
        <f>SUM(J10085:J10095)</f>
        <v>55500</v>
      </c>
      <c r="K10084" s="891" t="s">
        <v>274</v>
      </c>
      <c r="L10084" s="891">
        <f>SUM(L10085:L10095)</f>
        <v>687698.75</v>
      </c>
      <c r="M10084" s="891"/>
      <c r="N10084" s="891">
        <f>SUM(N10085:N10095)</f>
        <v>51965.279999999999</v>
      </c>
      <c r="O10084" s="892">
        <f t="shared" si="809"/>
        <v>1</v>
      </c>
      <c r="P10084" s="903">
        <f t="shared" si="806"/>
        <v>0</v>
      </c>
      <c r="Q10084" s="893">
        <f t="shared" si="807"/>
        <v>0</v>
      </c>
      <c r="R10084" s="894">
        <f t="shared" si="808"/>
        <v>11</v>
      </c>
    </row>
    <row r="10085" spans="1:18" s="904" customFormat="1">
      <c r="A10085" s="895"/>
      <c r="B10085" s="922"/>
      <c r="C10085" s="897"/>
      <c r="D10085" s="897"/>
      <c r="E10085" s="1002" t="s">
        <v>108</v>
      </c>
      <c r="F10085" s="895"/>
      <c r="G10085" s="1004"/>
      <c r="H10085" s="901"/>
      <c r="I10085" s="902"/>
      <c r="J10085" s="902"/>
      <c r="K10085" s="912" t="s">
        <v>274</v>
      </c>
      <c r="L10085" s="902"/>
      <c r="M10085" s="902"/>
      <c r="N10085" s="902"/>
      <c r="O10085" s="892">
        <f t="shared" si="809"/>
        <v>0</v>
      </c>
      <c r="P10085" s="903">
        <f t="shared" si="806"/>
        <v>1</v>
      </c>
      <c r="Q10085" s="893">
        <f t="shared" si="807"/>
        <v>11</v>
      </c>
      <c r="R10085" s="894">
        <f t="shared" si="808"/>
        <v>0</v>
      </c>
    </row>
    <row r="10086" spans="1:18">
      <c r="A10086" s="905"/>
      <c r="B10086" s="952"/>
      <c r="C10086" s="907">
        <v>315</v>
      </c>
      <c r="D10086" s="907" t="s">
        <v>279</v>
      </c>
      <c r="E10086" s="992" t="s">
        <v>6316</v>
      </c>
      <c r="F10086" s="905" t="s">
        <v>49</v>
      </c>
      <c r="G10086" s="1005"/>
      <c r="H10086" s="911">
        <v>0.5</v>
      </c>
      <c r="I10086" s="912">
        <f>VLOOKUP(E10086,[3]VLP!$B$7:$K$300,10,0)</f>
        <v>8000</v>
      </c>
      <c r="J10086" s="912">
        <f>I10086*H10086</f>
        <v>4000</v>
      </c>
      <c r="K10086" s="912" t="s">
        <v>274</v>
      </c>
      <c r="L10086" s="912"/>
      <c r="M10086" s="912"/>
      <c r="N10086" s="912"/>
      <c r="O10086" s="892">
        <f t="shared" si="809"/>
        <v>0</v>
      </c>
      <c r="P10086" s="903">
        <f t="shared" si="806"/>
        <v>1</v>
      </c>
      <c r="Q10086" s="893">
        <f t="shared" si="807"/>
        <v>10</v>
      </c>
      <c r="R10086" s="894">
        <f t="shared" si="808"/>
        <v>0</v>
      </c>
    </row>
    <row r="10087" spans="1:18" s="847" customFormat="1">
      <c r="A10087" s="905"/>
      <c r="B10087" s="952"/>
      <c r="C10087" s="907">
        <v>235</v>
      </c>
      <c r="D10087" s="907" t="s">
        <v>279</v>
      </c>
      <c r="E10087" s="992" t="s">
        <v>2682</v>
      </c>
      <c r="F10087" s="905" t="s">
        <v>45</v>
      </c>
      <c r="G10087" s="1005"/>
      <c r="H10087" s="911">
        <v>0.3</v>
      </c>
      <c r="I10087" s="912">
        <f>VLOOKUP(E10087,[3]VLP!$B$7:$K$300,10,0)</f>
        <v>5000</v>
      </c>
      <c r="J10087" s="912">
        <f>I10087*H10087</f>
        <v>1500</v>
      </c>
      <c r="K10087" s="912" t="s">
        <v>274</v>
      </c>
      <c r="L10087" s="912"/>
      <c r="M10087" s="912"/>
      <c r="N10087" s="912"/>
      <c r="O10087" s="892">
        <f t="shared" si="809"/>
        <v>0</v>
      </c>
      <c r="P10087" s="903">
        <f t="shared" si="806"/>
        <v>1</v>
      </c>
      <c r="Q10087" s="893">
        <f t="shared" si="807"/>
        <v>9</v>
      </c>
      <c r="R10087" s="894">
        <f t="shared" si="808"/>
        <v>0</v>
      </c>
    </row>
    <row r="10088" spans="1:18" s="904" customFormat="1">
      <c r="A10088" s="905"/>
      <c r="B10088" s="952"/>
      <c r="C10088" s="907">
        <v>699</v>
      </c>
      <c r="D10088" s="907" t="s">
        <v>279</v>
      </c>
      <c r="E10088" s="992" t="s">
        <v>4006</v>
      </c>
      <c r="F10088" s="905" t="s">
        <v>4007</v>
      </c>
      <c r="G10088" s="1005"/>
      <c r="H10088" s="911">
        <v>10</v>
      </c>
      <c r="I10088" s="912">
        <f>VLOOKUP(E10088,[3]VLP!$B$7:$K$300,10,0)</f>
        <v>5000</v>
      </c>
      <c r="J10088" s="912">
        <f>I10088*H10088</f>
        <v>50000</v>
      </c>
      <c r="K10088" s="912" t="s">
        <v>274</v>
      </c>
      <c r="L10088" s="912"/>
      <c r="M10088" s="912"/>
      <c r="N10088" s="912"/>
      <c r="O10088" s="892">
        <f t="shared" si="809"/>
        <v>0</v>
      </c>
      <c r="P10088" s="903">
        <f t="shared" si="806"/>
        <v>1</v>
      </c>
      <c r="Q10088" s="893">
        <f t="shared" si="807"/>
        <v>8</v>
      </c>
      <c r="R10088" s="894">
        <f t="shared" si="808"/>
        <v>0</v>
      </c>
    </row>
    <row r="10089" spans="1:18">
      <c r="A10089" s="895"/>
      <c r="B10089" s="896"/>
      <c r="C10089" s="897"/>
      <c r="D10089" s="897"/>
      <c r="E10089" s="1002" t="s">
        <v>276</v>
      </c>
      <c r="F10089" s="1003"/>
      <c r="G10089" s="1004"/>
      <c r="H10089" s="901"/>
      <c r="I10089" s="902"/>
      <c r="J10089" s="902"/>
      <c r="K10089" s="912" t="s">
        <v>274</v>
      </c>
      <c r="L10089" s="902"/>
      <c r="M10089" s="902"/>
      <c r="N10089" s="902"/>
      <c r="O10089" s="892">
        <f t="shared" si="809"/>
        <v>0</v>
      </c>
      <c r="P10089" s="903">
        <f t="shared" si="806"/>
        <v>1</v>
      </c>
      <c r="Q10089" s="893">
        <f t="shared" si="807"/>
        <v>7</v>
      </c>
      <c r="R10089" s="894">
        <f t="shared" si="808"/>
        <v>0</v>
      </c>
    </row>
    <row r="10090" spans="1:18" s="847" customFormat="1">
      <c r="A10090" s="905"/>
      <c r="B10090" s="952"/>
      <c r="C10090" s="907">
        <v>740</v>
      </c>
      <c r="D10090" s="907" t="s">
        <v>12</v>
      </c>
      <c r="E10090" s="992" t="s">
        <v>4008</v>
      </c>
      <c r="F10090" s="905" t="s">
        <v>2674</v>
      </c>
      <c r="G10090" s="1005"/>
      <c r="H10090" s="911">
        <v>3.11</v>
      </c>
      <c r="I10090" s="912"/>
      <c r="J10090" s="912"/>
      <c r="K10090" s="912">
        <f>VLOOKUP(E10090,[5]ĐMNC!$A$7:$F$67,4,0)</f>
        <v>221125</v>
      </c>
      <c r="L10090" s="912">
        <f>H10090*K10090</f>
        <v>687698.75</v>
      </c>
      <c r="M10090" s="912"/>
      <c r="N10090" s="912"/>
      <c r="O10090" s="892">
        <f t="shared" si="809"/>
        <v>0</v>
      </c>
      <c r="P10090" s="903">
        <f t="shared" si="806"/>
        <v>1</v>
      </c>
      <c r="Q10090" s="893">
        <f t="shared" si="807"/>
        <v>6</v>
      </c>
      <c r="R10090" s="894">
        <f t="shared" si="808"/>
        <v>0</v>
      </c>
    </row>
    <row r="10091" spans="1:18" s="904" customFormat="1">
      <c r="A10091" s="895"/>
      <c r="B10091" s="896"/>
      <c r="C10091" s="897"/>
      <c r="D10091" s="897"/>
      <c r="E10091" s="1002" t="s">
        <v>3914</v>
      </c>
      <c r="F10091" s="895"/>
      <c r="G10091" s="1004"/>
      <c r="H10091" s="901"/>
      <c r="I10091" s="902"/>
      <c r="J10091" s="902"/>
      <c r="K10091" s="912" t="s">
        <v>274</v>
      </c>
      <c r="L10091" s="902"/>
      <c r="M10091" s="902"/>
      <c r="N10091" s="902"/>
      <c r="O10091" s="892">
        <f t="shared" si="809"/>
        <v>0</v>
      </c>
      <c r="P10091" s="903">
        <f t="shared" si="806"/>
        <v>1</v>
      </c>
      <c r="Q10091" s="893">
        <f t="shared" si="807"/>
        <v>5</v>
      </c>
      <c r="R10091" s="894">
        <f t="shared" si="808"/>
        <v>0</v>
      </c>
    </row>
    <row r="10092" spans="1:18">
      <c r="A10092" s="905"/>
      <c r="B10092" s="952" t="s">
        <v>6408</v>
      </c>
      <c r="C10092" s="907">
        <v>913</v>
      </c>
      <c r="D10092" s="907" t="s">
        <v>93</v>
      </c>
      <c r="E10092" s="992" t="s">
        <v>6409</v>
      </c>
      <c r="F10092" s="905" t="s">
        <v>2673</v>
      </c>
      <c r="G10092" s="1005"/>
      <c r="H10092" s="911">
        <v>0.72</v>
      </c>
      <c r="I10092" s="912"/>
      <c r="J10092" s="912"/>
      <c r="K10092" s="912"/>
      <c r="L10092" s="912"/>
      <c r="M10092" s="912">
        <f>VLOOKUP(B10092,MTC!$B$9:$S$933,12,0)</f>
        <v>0</v>
      </c>
      <c r="N10092" s="912">
        <f>M10092*H10092</f>
        <v>0</v>
      </c>
      <c r="O10092" s="892">
        <f t="shared" si="809"/>
        <v>0</v>
      </c>
      <c r="P10092" s="903">
        <f t="shared" si="806"/>
        <v>1</v>
      </c>
      <c r="Q10092" s="893">
        <f t="shared" si="807"/>
        <v>4</v>
      </c>
      <c r="R10092" s="894">
        <f t="shared" si="808"/>
        <v>0</v>
      </c>
    </row>
    <row r="10093" spans="1:18" s="847" customFormat="1">
      <c r="A10093" s="905"/>
      <c r="B10093" s="952" t="s">
        <v>6410</v>
      </c>
      <c r="C10093" s="907">
        <v>906</v>
      </c>
      <c r="D10093" s="907" t="s">
        <v>93</v>
      </c>
      <c r="E10093" s="992" t="s">
        <v>6411</v>
      </c>
      <c r="F10093" s="905" t="s">
        <v>2673</v>
      </c>
      <c r="G10093" s="1005"/>
      <c r="H10093" s="911">
        <v>0.23</v>
      </c>
      <c r="I10093" s="912"/>
      <c r="J10093" s="912"/>
      <c r="K10093" s="912"/>
      <c r="L10093" s="912"/>
      <c r="M10093" s="912">
        <f>VLOOKUP(B10093,MTC!$B$9:$S$933,12,0)</f>
        <v>0</v>
      </c>
      <c r="N10093" s="912">
        <f>M10093*H10093</f>
        <v>0</v>
      </c>
      <c r="O10093" s="892">
        <f t="shared" si="809"/>
        <v>0</v>
      </c>
      <c r="P10093" s="903">
        <f t="shared" si="806"/>
        <v>1</v>
      </c>
      <c r="Q10093" s="893">
        <f t="shared" si="807"/>
        <v>3</v>
      </c>
      <c r="R10093" s="894">
        <f t="shared" si="808"/>
        <v>0</v>
      </c>
    </row>
    <row r="10094" spans="1:18" s="904" customFormat="1">
      <c r="A10094" s="905"/>
      <c r="B10094" s="952" t="s">
        <v>6412</v>
      </c>
      <c r="C10094" s="907">
        <v>905</v>
      </c>
      <c r="D10094" s="907" t="s">
        <v>93</v>
      </c>
      <c r="E10094" s="992" t="s">
        <v>6413</v>
      </c>
      <c r="F10094" s="905" t="s">
        <v>2673</v>
      </c>
      <c r="G10094" s="1005"/>
      <c r="H10094" s="911">
        <v>0.23</v>
      </c>
      <c r="I10094" s="912"/>
      <c r="J10094" s="912"/>
      <c r="K10094" s="912"/>
      <c r="L10094" s="912"/>
      <c r="M10094" s="912">
        <f>VLOOKUP(B10094,MTC!$B$9:$S$933,12,0)</f>
        <v>225936</v>
      </c>
      <c r="N10094" s="912">
        <f>M10094*H10094</f>
        <v>51965.279999999999</v>
      </c>
      <c r="O10094" s="892">
        <f t="shared" si="809"/>
        <v>0</v>
      </c>
      <c r="P10094" s="903">
        <f t="shared" si="806"/>
        <v>1</v>
      </c>
      <c r="Q10094" s="893">
        <f t="shared" si="807"/>
        <v>2</v>
      </c>
      <c r="R10094" s="894">
        <f t="shared" si="808"/>
        <v>0</v>
      </c>
    </row>
    <row r="10095" spans="1:18">
      <c r="A10095" s="905"/>
      <c r="B10095" s="952" t="s">
        <v>6414</v>
      </c>
      <c r="C10095" s="907">
        <v>914</v>
      </c>
      <c r="D10095" s="907" t="s">
        <v>93</v>
      </c>
      <c r="E10095" s="992" t="s">
        <v>6415</v>
      </c>
      <c r="F10095" s="905" t="s">
        <v>2673</v>
      </c>
      <c r="G10095" s="1005"/>
      <c r="H10095" s="911">
        <v>0.1</v>
      </c>
      <c r="I10095" s="912"/>
      <c r="J10095" s="912"/>
      <c r="K10095" s="912"/>
      <c r="L10095" s="912"/>
      <c r="M10095" s="912">
        <f>VLOOKUP(B10095,MTC!$B$9:$S$933,12,0)</f>
        <v>0</v>
      </c>
      <c r="N10095" s="912">
        <f>M10095*H10095</f>
        <v>0</v>
      </c>
      <c r="O10095" s="892">
        <f t="shared" si="809"/>
        <v>0</v>
      </c>
      <c r="P10095" s="903">
        <f t="shared" si="806"/>
        <v>1</v>
      </c>
      <c r="Q10095" s="893">
        <f t="shared" si="807"/>
        <v>1</v>
      </c>
      <c r="R10095" s="894">
        <f t="shared" si="808"/>
        <v>0</v>
      </c>
    </row>
    <row r="10096" spans="1:18" s="847" customFormat="1" ht="31.5">
      <c r="A10096" s="905">
        <v>136</v>
      </c>
      <c r="B10096" s="914" t="s">
        <v>6625</v>
      </c>
      <c r="C10096" s="915"/>
      <c r="D10096" s="915"/>
      <c r="E10096" s="1006" t="s">
        <v>6626</v>
      </c>
      <c r="F10096" s="1007" t="s">
        <v>136</v>
      </c>
      <c r="G10096" s="1008"/>
      <c r="H10096" s="919"/>
      <c r="I10096" s="920"/>
      <c r="J10096" s="891">
        <f>SUM(J10097:J10107)</f>
        <v>55500</v>
      </c>
      <c r="K10096" s="891" t="s">
        <v>274</v>
      </c>
      <c r="L10096" s="891">
        <f>SUM(L10097:L10107)</f>
        <v>754036.25</v>
      </c>
      <c r="M10096" s="891"/>
      <c r="N10096" s="891">
        <f>SUM(N10097:N10107)</f>
        <v>56484</v>
      </c>
      <c r="O10096" s="892">
        <f t="shared" si="809"/>
        <v>1</v>
      </c>
      <c r="P10096" s="903">
        <f t="shared" si="806"/>
        <v>0</v>
      </c>
      <c r="Q10096" s="893">
        <f t="shared" si="807"/>
        <v>0</v>
      </c>
      <c r="R10096" s="894">
        <f t="shared" si="808"/>
        <v>11</v>
      </c>
    </row>
    <row r="10097" spans="1:18" s="904" customFormat="1">
      <c r="A10097" s="895"/>
      <c r="B10097" s="896"/>
      <c r="C10097" s="897"/>
      <c r="D10097" s="897"/>
      <c r="E10097" s="1002" t="s">
        <v>108</v>
      </c>
      <c r="F10097" s="895"/>
      <c r="G10097" s="1004"/>
      <c r="H10097" s="901"/>
      <c r="I10097" s="902"/>
      <c r="J10097" s="902"/>
      <c r="K10097" s="912" t="s">
        <v>274</v>
      </c>
      <c r="L10097" s="902"/>
      <c r="M10097" s="902"/>
      <c r="N10097" s="902"/>
      <c r="O10097" s="892">
        <f t="shared" si="809"/>
        <v>0</v>
      </c>
      <c r="P10097" s="903">
        <f t="shared" si="806"/>
        <v>1</v>
      </c>
      <c r="Q10097" s="893">
        <f t="shared" si="807"/>
        <v>11</v>
      </c>
      <c r="R10097" s="894">
        <f t="shared" si="808"/>
        <v>0</v>
      </c>
    </row>
    <row r="10098" spans="1:18">
      <c r="A10098" s="905"/>
      <c r="B10098" s="952"/>
      <c r="C10098" s="907">
        <v>315</v>
      </c>
      <c r="D10098" s="907" t="s">
        <v>279</v>
      </c>
      <c r="E10098" s="992" t="s">
        <v>6316</v>
      </c>
      <c r="F10098" s="905" t="s">
        <v>49</v>
      </c>
      <c r="G10098" s="1005"/>
      <c r="H10098" s="911">
        <v>0.5</v>
      </c>
      <c r="I10098" s="912">
        <f>VLOOKUP(E10098,[3]VLP!$B$7:$K$300,10,0)</f>
        <v>8000</v>
      </c>
      <c r="J10098" s="912">
        <f>I10098*H10098</f>
        <v>4000</v>
      </c>
      <c r="K10098" s="912" t="s">
        <v>274</v>
      </c>
      <c r="L10098" s="912"/>
      <c r="M10098" s="912"/>
      <c r="N10098" s="912"/>
      <c r="O10098" s="892">
        <f t="shared" si="809"/>
        <v>0</v>
      </c>
      <c r="P10098" s="903">
        <f t="shared" si="806"/>
        <v>1</v>
      </c>
      <c r="Q10098" s="893">
        <f t="shared" si="807"/>
        <v>10</v>
      </c>
      <c r="R10098" s="894">
        <f t="shared" si="808"/>
        <v>0</v>
      </c>
    </row>
    <row r="10099" spans="1:18" s="847" customFormat="1">
      <c r="A10099" s="905"/>
      <c r="B10099" s="952"/>
      <c r="C10099" s="907">
        <v>235</v>
      </c>
      <c r="D10099" s="907" t="s">
        <v>279</v>
      </c>
      <c r="E10099" s="992" t="s">
        <v>2682</v>
      </c>
      <c r="F10099" s="905" t="s">
        <v>45</v>
      </c>
      <c r="G10099" s="1005"/>
      <c r="H10099" s="911">
        <v>0.3</v>
      </c>
      <c r="I10099" s="912">
        <f>VLOOKUP(E10099,[3]VLP!$B$7:$K$300,10,0)</f>
        <v>5000</v>
      </c>
      <c r="J10099" s="912">
        <f>I10099*H10099</f>
        <v>1500</v>
      </c>
      <c r="K10099" s="912" t="s">
        <v>274</v>
      </c>
      <c r="L10099" s="912"/>
      <c r="M10099" s="912"/>
      <c r="N10099" s="912"/>
      <c r="O10099" s="892">
        <f t="shared" si="809"/>
        <v>0</v>
      </c>
      <c r="P10099" s="903">
        <f t="shared" ref="P10099:P10162" si="810">IF(O10099=0,1,0)</f>
        <v>1</v>
      </c>
      <c r="Q10099" s="893">
        <f t="shared" ref="Q10099:Q10162" si="811">IF(P10099=0,0,P10099+Q10100)</f>
        <v>9</v>
      </c>
      <c r="R10099" s="894">
        <f t="shared" ref="R10099:R10162" si="812">IF(Q10099=0,Q10100,0)</f>
        <v>0</v>
      </c>
    </row>
    <row r="10100" spans="1:18" s="904" customFormat="1">
      <c r="A10100" s="905"/>
      <c r="B10100" s="952"/>
      <c r="C10100" s="907">
        <v>699</v>
      </c>
      <c r="D10100" s="907" t="s">
        <v>279</v>
      </c>
      <c r="E10100" s="992" t="s">
        <v>4006</v>
      </c>
      <c r="F10100" s="905" t="s">
        <v>4007</v>
      </c>
      <c r="G10100" s="1005"/>
      <c r="H10100" s="911">
        <v>10</v>
      </c>
      <c r="I10100" s="912">
        <f>VLOOKUP(E10100,[3]VLP!$B$7:$K$300,10,0)</f>
        <v>5000</v>
      </c>
      <c r="J10100" s="912">
        <f>I10100*H10100</f>
        <v>50000</v>
      </c>
      <c r="K10100" s="912" t="s">
        <v>274</v>
      </c>
      <c r="L10100" s="912"/>
      <c r="M10100" s="912"/>
      <c r="N10100" s="912"/>
      <c r="O10100" s="892">
        <f t="shared" si="809"/>
        <v>0</v>
      </c>
      <c r="P10100" s="903">
        <f t="shared" si="810"/>
        <v>1</v>
      </c>
      <c r="Q10100" s="893">
        <f t="shared" si="811"/>
        <v>8</v>
      </c>
      <c r="R10100" s="894">
        <f t="shared" si="812"/>
        <v>0</v>
      </c>
    </row>
    <row r="10101" spans="1:18">
      <c r="A10101" s="895"/>
      <c r="B10101" s="896"/>
      <c r="C10101" s="897"/>
      <c r="D10101" s="897"/>
      <c r="E10101" s="1002" t="s">
        <v>276</v>
      </c>
      <c r="F10101" s="1003"/>
      <c r="G10101" s="1004"/>
      <c r="H10101" s="901"/>
      <c r="I10101" s="902"/>
      <c r="J10101" s="902"/>
      <c r="K10101" s="912" t="s">
        <v>274</v>
      </c>
      <c r="L10101" s="902"/>
      <c r="M10101" s="902"/>
      <c r="N10101" s="902"/>
      <c r="O10101" s="892">
        <f t="shared" si="809"/>
        <v>0</v>
      </c>
      <c r="P10101" s="903">
        <f t="shared" si="810"/>
        <v>1</v>
      </c>
      <c r="Q10101" s="893">
        <f t="shared" si="811"/>
        <v>7</v>
      </c>
      <c r="R10101" s="894">
        <f t="shared" si="812"/>
        <v>0</v>
      </c>
    </row>
    <row r="10102" spans="1:18" s="847" customFormat="1">
      <c r="A10102" s="905"/>
      <c r="B10102" s="952"/>
      <c r="C10102" s="907">
        <v>740</v>
      </c>
      <c r="D10102" s="907" t="s">
        <v>12</v>
      </c>
      <c r="E10102" s="992" t="s">
        <v>4008</v>
      </c>
      <c r="F10102" s="905" t="s">
        <v>2674</v>
      </c>
      <c r="G10102" s="1005"/>
      <c r="H10102" s="911">
        <v>3.41</v>
      </c>
      <c r="I10102" s="912"/>
      <c r="J10102" s="912"/>
      <c r="K10102" s="912">
        <f>VLOOKUP(E10102,[5]ĐMNC!$A$7:$F$67,4,0)</f>
        <v>221125</v>
      </c>
      <c r="L10102" s="912">
        <f>H10102*K10102</f>
        <v>754036.25</v>
      </c>
      <c r="M10102" s="912"/>
      <c r="N10102" s="912"/>
      <c r="O10102" s="892">
        <f t="shared" si="809"/>
        <v>0</v>
      </c>
      <c r="P10102" s="903">
        <f t="shared" si="810"/>
        <v>1</v>
      </c>
      <c r="Q10102" s="893">
        <f t="shared" si="811"/>
        <v>6</v>
      </c>
      <c r="R10102" s="894">
        <f t="shared" si="812"/>
        <v>0</v>
      </c>
    </row>
    <row r="10103" spans="1:18" s="904" customFormat="1">
      <c r="A10103" s="895"/>
      <c r="B10103" s="896"/>
      <c r="C10103" s="897"/>
      <c r="D10103" s="897"/>
      <c r="E10103" s="1002" t="s">
        <v>3914</v>
      </c>
      <c r="F10103" s="895"/>
      <c r="G10103" s="1004"/>
      <c r="H10103" s="901"/>
      <c r="I10103" s="902"/>
      <c r="J10103" s="902"/>
      <c r="K10103" s="912" t="s">
        <v>274</v>
      </c>
      <c r="L10103" s="902"/>
      <c r="M10103" s="902"/>
      <c r="N10103" s="902"/>
      <c r="O10103" s="892">
        <f t="shared" si="809"/>
        <v>0</v>
      </c>
      <c r="P10103" s="903">
        <f t="shared" si="810"/>
        <v>1</v>
      </c>
      <c r="Q10103" s="893">
        <f t="shared" si="811"/>
        <v>5</v>
      </c>
      <c r="R10103" s="894">
        <f t="shared" si="812"/>
        <v>0</v>
      </c>
    </row>
    <row r="10104" spans="1:18">
      <c r="A10104" s="905"/>
      <c r="B10104" s="952" t="s">
        <v>6408</v>
      </c>
      <c r="C10104" s="907">
        <v>913</v>
      </c>
      <c r="D10104" s="907" t="s">
        <v>93</v>
      </c>
      <c r="E10104" s="992" t="s">
        <v>6409</v>
      </c>
      <c r="F10104" s="905" t="s">
        <v>2673</v>
      </c>
      <c r="G10104" s="1005"/>
      <c r="H10104" s="911">
        <v>0.79</v>
      </c>
      <c r="I10104" s="912"/>
      <c r="J10104" s="912"/>
      <c r="K10104" s="912"/>
      <c r="L10104" s="912"/>
      <c r="M10104" s="912">
        <f>VLOOKUP(B10104,MTC!$B$9:$S$933,12,0)</f>
        <v>0</v>
      </c>
      <c r="N10104" s="912">
        <f>M10104*H10104</f>
        <v>0</v>
      </c>
      <c r="O10104" s="892">
        <f t="shared" si="809"/>
        <v>0</v>
      </c>
      <c r="P10104" s="903">
        <f t="shared" si="810"/>
        <v>1</v>
      </c>
      <c r="Q10104" s="893">
        <f t="shared" si="811"/>
        <v>4</v>
      </c>
      <c r="R10104" s="894">
        <f t="shared" si="812"/>
        <v>0</v>
      </c>
    </row>
    <row r="10105" spans="1:18" s="847" customFormat="1">
      <c r="A10105" s="905"/>
      <c r="B10105" s="952" t="s">
        <v>6410</v>
      </c>
      <c r="C10105" s="907">
        <v>906</v>
      </c>
      <c r="D10105" s="907" t="s">
        <v>93</v>
      </c>
      <c r="E10105" s="992" t="s">
        <v>6411</v>
      </c>
      <c r="F10105" s="905" t="s">
        <v>2673</v>
      </c>
      <c r="G10105" s="1005"/>
      <c r="H10105" s="911">
        <v>0.25</v>
      </c>
      <c r="I10105" s="912"/>
      <c r="J10105" s="912"/>
      <c r="K10105" s="912"/>
      <c r="L10105" s="912"/>
      <c r="M10105" s="912">
        <f>VLOOKUP(B10105,MTC!$B$9:$S$933,12,0)</f>
        <v>0</v>
      </c>
      <c r="N10105" s="912">
        <f>M10105*H10105</f>
        <v>0</v>
      </c>
      <c r="O10105" s="892">
        <f t="shared" si="809"/>
        <v>0</v>
      </c>
      <c r="P10105" s="903">
        <f t="shared" si="810"/>
        <v>1</v>
      </c>
      <c r="Q10105" s="893">
        <f t="shared" si="811"/>
        <v>3</v>
      </c>
      <c r="R10105" s="894">
        <f t="shared" si="812"/>
        <v>0</v>
      </c>
    </row>
    <row r="10106" spans="1:18" s="904" customFormat="1">
      <c r="A10106" s="905"/>
      <c r="B10106" s="952" t="s">
        <v>6412</v>
      </c>
      <c r="C10106" s="907">
        <v>905</v>
      </c>
      <c r="D10106" s="907" t="s">
        <v>93</v>
      </c>
      <c r="E10106" s="992" t="s">
        <v>6413</v>
      </c>
      <c r="F10106" s="905" t="s">
        <v>2673</v>
      </c>
      <c r="G10106" s="1005"/>
      <c r="H10106" s="911">
        <v>0.25</v>
      </c>
      <c r="I10106" s="912"/>
      <c r="J10106" s="912"/>
      <c r="K10106" s="912"/>
      <c r="L10106" s="912"/>
      <c r="M10106" s="912">
        <f>VLOOKUP(B10106,MTC!$B$9:$S$933,12,0)</f>
        <v>225936</v>
      </c>
      <c r="N10106" s="912">
        <f>M10106*H10106</f>
        <v>56484</v>
      </c>
      <c r="O10106" s="892">
        <f t="shared" si="809"/>
        <v>0</v>
      </c>
      <c r="P10106" s="903">
        <f t="shared" si="810"/>
        <v>1</v>
      </c>
      <c r="Q10106" s="893">
        <f t="shared" si="811"/>
        <v>2</v>
      </c>
      <c r="R10106" s="894">
        <f t="shared" si="812"/>
        <v>0</v>
      </c>
    </row>
    <row r="10107" spans="1:18">
      <c r="A10107" s="905"/>
      <c r="B10107" s="952" t="s">
        <v>6414</v>
      </c>
      <c r="C10107" s="907">
        <v>914</v>
      </c>
      <c r="D10107" s="907" t="s">
        <v>93</v>
      </c>
      <c r="E10107" s="992" t="s">
        <v>6415</v>
      </c>
      <c r="F10107" s="905" t="s">
        <v>2673</v>
      </c>
      <c r="G10107" s="1005"/>
      <c r="H10107" s="911">
        <v>0.1</v>
      </c>
      <c r="I10107" s="912"/>
      <c r="J10107" s="912"/>
      <c r="K10107" s="912"/>
      <c r="L10107" s="912"/>
      <c r="M10107" s="912">
        <f>VLOOKUP(B10107,MTC!$B$9:$S$933,12,0)</f>
        <v>0</v>
      </c>
      <c r="N10107" s="912">
        <f>M10107*H10107</f>
        <v>0</v>
      </c>
      <c r="O10107" s="892">
        <f t="shared" si="809"/>
        <v>0</v>
      </c>
      <c r="P10107" s="903">
        <f t="shared" si="810"/>
        <v>1</v>
      </c>
      <c r="Q10107" s="893">
        <f t="shared" si="811"/>
        <v>1</v>
      </c>
      <c r="R10107" s="894">
        <f t="shared" si="812"/>
        <v>0</v>
      </c>
    </row>
    <row r="10108" spans="1:18" s="847" customFormat="1" ht="31.5">
      <c r="A10108" s="905">
        <v>137</v>
      </c>
      <c r="B10108" s="914" t="s">
        <v>6627</v>
      </c>
      <c r="C10108" s="915"/>
      <c r="D10108" s="915"/>
      <c r="E10108" s="1006" t="s">
        <v>6628</v>
      </c>
      <c r="F10108" s="1007" t="s">
        <v>136</v>
      </c>
      <c r="G10108" s="1008"/>
      <c r="H10108" s="919"/>
      <c r="I10108" s="920"/>
      <c r="J10108" s="891">
        <f>SUM(J10109:J10119)</f>
        <v>55500</v>
      </c>
      <c r="K10108" s="891" t="s">
        <v>274</v>
      </c>
      <c r="L10108" s="891">
        <f>SUM(L10109:L10119)</f>
        <v>822585</v>
      </c>
      <c r="M10108" s="891"/>
      <c r="N10108" s="891">
        <f>SUM(N10109:N10119)</f>
        <v>61002.720000000001</v>
      </c>
      <c r="O10108" s="892">
        <f t="shared" si="809"/>
        <v>1</v>
      </c>
      <c r="P10108" s="903">
        <f t="shared" si="810"/>
        <v>0</v>
      </c>
      <c r="Q10108" s="893">
        <f t="shared" si="811"/>
        <v>0</v>
      </c>
      <c r="R10108" s="894">
        <f t="shared" si="812"/>
        <v>11</v>
      </c>
    </row>
    <row r="10109" spans="1:18" s="904" customFormat="1">
      <c r="A10109" s="895"/>
      <c r="B10109" s="896"/>
      <c r="C10109" s="897"/>
      <c r="D10109" s="897"/>
      <c r="E10109" s="1002" t="s">
        <v>108</v>
      </c>
      <c r="F10109" s="895"/>
      <c r="G10109" s="1004"/>
      <c r="H10109" s="901"/>
      <c r="I10109" s="902"/>
      <c r="J10109" s="902"/>
      <c r="K10109" s="912" t="s">
        <v>274</v>
      </c>
      <c r="L10109" s="902"/>
      <c r="M10109" s="902"/>
      <c r="N10109" s="902"/>
      <c r="O10109" s="892">
        <f t="shared" si="809"/>
        <v>0</v>
      </c>
      <c r="P10109" s="903">
        <f t="shared" si="810"/>
        <v>1</v>
      </c>
      <c r="Q10109" s="893">
        <f t="shared" si="811"/>
        <v>11</v>
      </c>
      <c r="R10109" s="894">
        <f t="shared" si="812"/>
        <v>0</v>
      </c>
    </row>
    <row r="10110" spans="1:18">
      <c r="A10110" s="905"/>
      <c r="B10110" s="952"/>
      <c r="C10110" s="907">
        <v>315</v>
      </c>
      <c r="D10110" s="907" t="s">
        <v>279</v>
      </c>
      <c r="E10110" s="992" t="s">
        <v>6316</v>
      </c>
      <c r="F10110" s="905" t="s">
        <v>49</v>
      </c>
      <c r="G10110" s="1005"/>
      <c r="H10110" s="911">
        <v>0.5</v>
      </c>
      <c r="I10110" s="912">
        <f>VLOOKUP(E10110,[3]VLP!$B$7:$K$300,10,0)</f>
        <v>8000</v>
      </c>
      <c r="J10110" s="912">
        <f>I10110*H10110</f>
        <v>4000</v>
      </c>
      <c r="K10110" s="912" t="s">
        <v>274</v>
      </c>
      <c r="L10110" s="912"/>
      <c r="M10110" s="912"/>
      <c r="N10110" s="912"/>
      <c r="O10110" s="892">
        <f t="shared" si="809"/>
        <v>0</v>
      </c>
      <c r="P10110" s="903">
        <f t="shared" si="810"/>
        <v>1</v>
      </c>
      <c r="Q10110" s="893">
        <f t="shared" si="811"/>
        <v>10</v>
      </c>
      <c r="R10110" s="894">
        <f t="shared" si="812"/>
        <v>0</v>
      </c>
    </row>
    <row r="10111" spans="1:18" s="847" customFormat="1">
      <c r="A10111" s="905"/>
      <c r="B10111" s="952"/>
      <c r="C10111" s="907">
        <v>235</v>
      </c>
      <c r="D10111" s="907" t="s">
        <v>279</v>
      </c>
      <c r="E10111" s="992" t="s">
        <v>2682</v>
      </c>
      <c r="F10111" s="905" t="s">
        <v>45</v>
      </c>
      <c r="G10111" s="1005"/>
      <c r="H10111" s="911">
        <v>0.3</v>
      </c>
      <c r="I10111" s="912">
        <f>VLOOKUP(E10111,[3]VLP!$B$7:$K$300,10,0)</f>
        <v>5000</v>
      </c>
      <c r="J10111" s="912">
        <f>I10111*H10111</f>
        <v>1500</v>
      </c>
      <c r="K10111" s="912" t="s">
        <v>274</v>
      </c>
      <c r="L10111" s="912"/>
      <c r="M10111" s="912"/>
      <c r="N10111" s="912"/>
      <c r="O10111" s="892">
        <f t="shared" si="809"/>
        <v>0</v>
      </c>
      <c r="P10111" s="903">
        <f t="shared" si="810"/>
        <v>1</v>
      </c>
      <c r="Q10111" s="893">
        <f t="shared" si="811"/>
        <v>9</v>
      </c>
      <c r="R10111" s="894">
        <f t="shared" si="812"/>
        <v>0</v>
      </c>
    </row>
    <row r="10112" spans="1:18" s="904" customFormat="1">
      <c r="A10112" s="905"/>
      <c r="B10112" s="952"/>
      <c r="C10112" s="907">
        <v>699</v>
      </c>
      <c r="D10112" s="907" t="s">
        <v>279</v>
      </c>
      <c r="E10112" s="992" t="s">
        <v>4006</v>
      </c>
      <c r="F10112" s="905" t="s">
        <v>4007</v>
      </c>
      <c r="G10112" s="1005"/>
      <c r="H10112" s="911">
        <v>10</v>
      </c>
      <c r="I10112" s="912">
        <f>VLOOKUP(E10112,[3]VLP!$B$7:$K$300,10,0)</f>
        <v>5000</v>
      </c>
      <c r="J10112" s="912">
        <f>I10112*H10112</f>
        <v>50000</v>
      </c>
      <c r="K10112" s="912" t="s">
        <v>274</v>
      </c>
      <c r="L10112" s="912"/>
      <c r="M10112" s="912"/>
      <c r="N10112" s="912"/>
      <c r="O10112" s="892">
        <f t="shared" si="809"/>
        <v>0</v>
      </c>
      <c r="P10112" s="903">
        <f t="shared" si="810"/>
        <v>1</v>
      </c>
      <c r="Q10112" s="893">
        <f t="shared" si="811"/>
        <v>8</v>
      </c>
      <c r="R10112" s="894">
        <f t="shared" si="812"/>
        <v>0</v>
      </c>
    </row>
    <row r="10113" spans="1:18">
      <c r="A10113" s="895"/>
      <c r="B10113" s="896"/>
      <c r="C10113" s="897"/>
      <c r="D10113" s="897"/>
      <c r="E10113" s="1002" t="s">
        <v>276</v>
      </c>
      <c r="F10113" s="1003"/>
      <c r="G10113" s="1004"/>
      <c r="H10113" s="901"/>
      <c r="I10113" s="902"/>
      <c r="J10113" s="902"/>
      <c r="K10113" s="912" t="s">
        <v>274</v>
      </c>
      <c r="L10113" s="902"/>
      <c r="M10113" s="902"/>
      <c r="N10113" s="902"/>
      <c r="O10113" s="892">
        <f t="shared" si="809"/>
        <v>0</v>
      </c>
      <c r="P10113" s="903">
        <f t="shared" si="810"/>
        <v>1</v>
      </c>
      <c r="Q10113" s="893">
        <f t="shared" si="811"/>
        <v>7</v>
      </c>
      <c r="R10113" s="894">
        <f t="shared" si="812"/>
        <v>0</v>
      </c>
    </row>
    <row r="10114" spans="1:18" s="847" customFormat="1">
      <c r="A10114" s="905"/>
      <c r="B10114" s="952"/>
      <c r="C10114" s="907">
        <v>740</v>
      </c>
      <c r="D10114" s="907" t="s">
        <v>12</v>
      </c>
      <c r="E10114" s="992" t="s">
        <v>4008</v>
      </c>
      <c r="F10114" s="905" t="s">
        <v>2674</v>
      </c>
      <c r="G10114" s="1005"/>
      <c r="H10114" s="911">
        <v>3.72</v>
      </c>
      <c r="I10114" s="912"/>
      <c r="J10114" s="912"/>
      <c r="K10114" s="912">
        <f>VLOOKUP(E10114,[5]ĐMNC!$A$7:$F$67,4,0)</f>
        <v>221125</v>
      </c>
      <c r="L10114" s="912">
        <f>H10114*K10114</f>
        <v>822585</v>
      </c>
      <c r="M10114" s="912"/>
      <c r="N10114" s="912"/>
      <c r="O10114" s="892">
        <f t="shared" si="809"/>
        <v>0</v>
      </c>
      <c r="P10114" s="903">
        <f t="shared" si="810"/>
        <v>1</v>
      </c>
      <c r="Q10114" s="893">
        <f t="shared" si="811"/>
        <v>6</v>
      </c>
      <c r="R10114" s="894">
        <f t="shared" si="812"/>
        <v>0</v>
      </c>
    </row>
    <row r="10115" spans="1:18" s="904" customFormat="1">
      <c r="A10115" s="895"/>
      <c r="B10115" s="896"/>
      <c r="C10115" s="897"/>
      <c r="D10115" s="897"/>
      <c r="E10115" s="1002" t="s">
        <v>3914</v>
      </c>
      <c r="F10115" s="895"/>
      <c r="G10115" s="1004"/>
      <c r="H10115" s="901"/>
      <c r="I10115" s="902"/>
      <c r="J10115" s="902"/>
      <c r="K10115" s="912" t="s">
        <v>274</v>
      </c>
      <c r="L10115" s="902"/>
      <c r="M10115" s="902"/>
      <c r="N10115" s="902"/>
      <c r="O10115" s="892">
        <f t="shared" si="809"/>
        <v>0</v>
      </c>
      <c r="P10115" s="903">
        <f t="shared" si="810"/>
        <v>1</v>
      </c>
      <c r="Q10115" s="893">
        <f t="shared" si="811"/>
        <v>5</v>
      </c>
      <c r="R10115" s="894">
        <f t="shared" si="812"/>
        <v>0</v>
      </c>
    </row>
    <row r="10116" spans="1:18">
      <c r="A10116" s="905"/>
      <c r="B10116" s="952" t="s">
        <v>6408</v>
      </c>
      <c r="C10116" s="907">
        <v>913</v>
      </c>
      <c r="D10116" s="907" t="s">
        <v>93</v>
      </c>
      <c r="E10116" s="992" t="s">
        <v>6409</v>
      </c>
      <c r="F10116" s="905" t="s">
        <v>2673</v>
      </c>
      <c r="G10116" s="1005"/>
      <c r="H10116" s="911">
        <v>0.86</v>
      </c>
      <c r="I10116" s="912"/>
      <c r="J10116" s="912"/>
      <c r="K10116" s="912"/>
      <c r="L10116" s="912"/>
      <c r="M10116" s="912">
        <f>VLOOKUP(B10116,MTC!$B$9:$S$933,12,0)</f>
        <v>0</v>
      </c>
      <c r="N10116" s="912">
        <f>M10116*H10116</f>
        <v>0</v>
      </c>
      <c r="O10116" s="892">
        <f t="shared" si="809"/>
        <v>0</v>
      </c>
      <c r="P10116" s="903">
        <f t="shared" si="810"/>
        <v>1</v>
      </c>
      <c r="Q10116" s="893">
        <f t="shared" si="811"/>
        <v>4</v>
      </c>
      <c r="R10116" s="894">
        <f t="shared" si="812"/>
        <v>0</v>
      </c>
    </row>
    <row r="10117" spans="1:18" s="847" customFormat="1">
      <c r="A10117" s="905"/>
      <c r="B10117" s="952" t="s">
        <v>6410</v>
      </c>
      <c r="C10117" s="907">
        <v>906</v>
      </c>
      <c r="D10117" s="907" t="s">
        <v>93</v>
      </c>
      <c r="E10117" s="992" t="s">
        <v>6411</v>
      </c>
      <c r="F10117" s="905" t="s">
        <v>2673</v>
      </c>
      <c r="G10117" s="1005"/>
      <c r="H10117" s="911">
        <v>0.27</v>
      </c>
      <c r="I10117" s="912"/>
      <c r="J10117" s="912"/>
      <c r="K10117" s="912"/>
      <c r="L10117" s="912"/>
      <c r="M10117" s="912">
        <f>VLOOKUP(B10117,MTC!$B$9:$S$933,12,0)</f>
        <v>0</v>
      </c>
      <c r="N10117" s="912">
        <f>M10117*H10117</f>
        <v>0</v>
      </c>
      <c r="O10117" s="892">
        <f t="shared" si="809"/>
        <v>0</v>
      </c>
      <c r="P10117" s="903">
        <f t="shared" si="810"/>
        <v>1</v>
      </c>
      <c r="Q10117" s="893">
        <f t="shared" si="811"/>
        <v>3</v>
      </c>
      <c r="R10117" s="894">
        <f t="shared" si="812"/>
        <v>0</v>
      </c>
    </row>
    <row r="10118" spans="1:18" s="904" customFormat="1">
      <c r="A10118" s="905"/>
      <c r="B10118" s="952" t="s">
        <v>6412</v>
      </c>
      <c r="C10118" s="907">
        <v>905</v>
      </c>
      <c r="D10118" s="907" t="s">
        <v>93</v>
      </c>
      <c r="E10118" s="992" t="s">
        <v>6413</v>
      </c>
      <c r="F10118" s="905" t="s">
        <v>2673</v>
      </c>
      <c r="G10118" s="1005"/>
      <c r="H10118" s="911">
        <v>0.27</v>
      </c>
      <c r="I10118" s="912"/>
      <c r="J10118" s="912"/>
      <c r="K10118" s="912"/>
      <c r="L10118" s="912"/>
      <c r="M10118" s="912">
        <f>VLOOKUP(B10118,MTC!$B$9:$S$933,12,0)</f>
        <v>225936</v>
      </c>
      <c r="N10118" s="912">
        <f>M10118*H10118</f>
        <v>61002.720000000001</v>
      </c>
      <c r="O10118" s="892">
        <f t="shared" si="809"/>
        <v>0</v>
      </c>
      <c r="P10118" s="903">
        <f t="shared" si="810"/>
        <v>1</v>
      </c>
      <c r="Q10118" s="893">
        <f t="shared" si="811"/>
        <v>2</v>
      </c>
      <c r="R10118" s="894">
        <f t="shared" si="812"/>
        <v>0</v>
      </c>
    </row>
    <row r="10119" spans="1:18">
      <c r="A10119" s="905"/>
      <c r="B10119" s="952" t="s">
        <v>6414</v>
      </c>
      <c r="C10119" s="907">
        <v>914</v>
      </c>
      <c r="D10119" s="907" t="s">
        <v>93</v>
      </c>
      <c r="E10119" s="992" t="s">
        <v>6415</v>
      </c>
      <c r="F10119" s="905" t="s">
        <v>2673</v>
      </c>
      <c r="G10119" s="1005"/>
      <c r="H10119" s="911">
        <v>0.1</v>
      </c>
      <c r="I10119" s="912"/>
      <c r="J10119" s="912"/>
      <c r="K10119" s="912"/>
      <c r="L10119" s="912"/>
      <c r="M10119" s="912">
        <f>VLOOKUP(B10119,MTC!$B$9:$S$933,12,0)</f>
        <v>0</v>
      </c>
      <c r="N10119" s="912">
        <f>M10119*H10119</f>
        <v>0</v>
      </c>
      <c r="O10119" s="892">
        <f t="shared" si="809"/>
        <v>0</v>
      </c>
      <c r="P10119" s="903">
        <f t="shared" si="810"/>
        <v>1</v>
      </c>
      <c r="Q10119" s="893">
        <f t="shared" si="811"/>
        <v>1</v>
      </c>
      <c r="R10119" s="894">
        <f t="shared" si="812"/>
        <v>0</v>
      </c>
    </row>
    <row r="10120" spans="1:18" s="847" customFormat="1" ht="31.5">
      <c r="A10120" s="905">
        <v>138</v>
      </c>
      <c r="B10120" s="914" t="s">
        <v>6629</v>
      </c>
      <c r="C10120" s="915"/>
      <c r="D10120" s="915"/>
      <c r="E10120" s="1006" t="s">
        <v>6630</v>
      </c>
      <c r="F10120" s="1007" t="s">
        <v>136</v>
      </c>
      <c r="G10120" s="1008"/>
      <c r="H10120" s="919"/>
      <c r="I10120" s="920"/>
      <c r="J10120" s="891">
        <f>SUM(J10121:J10131)</f>
        <v>55500</v>
      </c>
      <c r="K10120" s="891" t="s">
        <v>274</v>
      </c>
      <c r="L10120" s="891">
        <f>SUM(L10121:L10131)</f>
        <v>959682.5</v>
      </c>
      <c r="M10120" s="891"/>
      <c r="N10120" s="891">
        <f>SUM(N10121:N10131)</f>
        <v>72299.520000000004</v>
      </c>
      <c r="O10120" s="892">
        <f t="shared" si="809"/>
        <v>1</v>
      </c>
      <c r="P10120" s="903">
        <f t="shared" si="810"/>
        <v>0</v>
      </c>
      <c r="Q10120" s="893">
        <f t="shared" si="811"/>
        <v>0</v>
      </c>
      <c r="R10120" s="894">
        <f t="shared" si="812"/>
        <v>11</v>
      </c>
    </row>
    <row r="10121" spans="1:18" s="904" customFormat="1">
      <c r="A10121" s="895"/>
      <c r="B10121" s="896"/>
      <c r="C10121" s="897"/>
      <c r="D10121" s="897"/>
      <c r="E10121" s="1002" t="s">
        <v>108</v>
      </c>
      <c r="F10121" s="895"/>
      <c r="G10121" s="1004"/>
      <c r="H10121" s="901"/>
      <c r="I10121" s="902"/>
      <c r="J10121" s="902"/>
      <c r="K10121" s="912" t="s">
        <v>274</v>
      </c>
      <c r="L10121" s="902"/>
      <c r="M10121" s="902"/>
      <c r="N10121" s="902"/>
      <c r="O10121" s="892">
        <f t="shared" si="809"/>
        <v>0</v>
      </c>
      <c r="P10121" s="903">
        <f t="shared" si="810"/>
        <v>1</v>
      </c>
      <c r="Q10121" s="893">
        <f t="shared" si="811"/>
        <v>11</v>
      </c>
      <c r="R10121" s="894">
        <f t="shared" si="812"/>
        <v>0</v>
      </c>
    </row>
    <row r="10122" spans="1:18">
      <c r="A10122" s="905"/>
      <c r="B10122" s="952"/>
      <c r="C10122" s="907">
        <v>315</v>
      </c>
      <c r="D10122" s="907" t="s">
        <v>279</v>
      </c>
      <c r="E10122" s="992" t="s">
        <v>6316</v>
      </c>
      <c r="F10122" s="905" t="s">
        <v>49</v>
      </c>
      <c r="G10122" s="1005"/>
      <c r="H10122" s="911">
        <v>0.5</v>
      </c>
      <c r="I10122" s="912">
        <f>VLOOKUP(E10122,[3]VLP!$B$7:$K$300,10,0)</f>
        <v>8000</v>
      </c>
      <c r="J10122" s="912">
        <f>I10122*H10122</f>
        <v>4000</v>
      </c>
      <c r="K10122" s="912" t="s">
        <v>274</v>
      </c>
      <c r="L10122" s="912"/>
      <c r="M10122" s="912"/>
      <c r="N10122" s="912"/>
      <c r="O10122" s="892">
        <f t="shared" si="809"/>
        <v>0</v>
      </c>
      <c r="P10122" s="903">
        <f t="shared" si="810"/>
        <v>1</v>
      </c>
      <c r="Q10122" s="893">
        <f t="shared" si="811"/>
        <v>10</v>
      </c>
      <c r="R10122" s="894">
        <f t="shared" si="812"/>
        <v>0</v>
      </c>
    </row>
    <row r="10123" spans="1:18" s="847" customFormat="1">
      <c r="A10123" s="905"/>
      <c r="B10123" s="952"/>
      <c r="C10123" s="907">
        <v>235</v>
      </c>
      <c r="D10123" s="907" t="s">
        <v>279</v>
      </c>
      <c r="E10123" s="992" t="s">
        <v>2682</v>
      </c>
      <c r="F10123" s="905" t="s">
        <v>45</v>
      </c>
      <c r="G10123" s="1005"/>
      <c r="H10123" s="911">
        <v>0.3</v>
      </c>
      <c r="I10123" s="912">
        <f>VLOOKUP(E10123,[3]VLP!$B$7:$K$300,10,0)</f>
        <v>5000</v>
      </c>
      <c r="J10123" s="912">
        <f>I10123*H10123</f>
        <v>1500</v>
      </c>
      <c r="K10123" s="912" t="s">
        <v>274</v>
      </c>
      <c r="L10123" s="912"/>
      <c r="M10123" s="912"/>
      <c r="N10123" s="912"/>
      <c r="O10123" s="892">
        <f t="shared" si="809"/>
        <v>0</v>
      </c>
      <c r="P10123" s="903">
        <f t="shared" si="810"/>
        <v>1</v>
      </c>
      <c r="Q10123" s="893">
        <f t="shared" si="811"/>
        <v>9</v>
      </c>
      <c r="R10123" s="894">
        <f t="shared" si="812"/>
        <v>0</v>
      </c>
    </row>
    <row r="10124" spans="1:18" s="904" customFormat="1">
      <c r="A10124" s="905"/>
      <c r="B10124" s="952"/>
      <c r="C10124" s="907">
        <v>699</v>
      </c>
      <c r="D10124" s="907" t="s">
        <v>279</v>
      </c>
      <c r="E10124" s="992" t="s">
        <v>4006</v>
      </c>
      <c r="F10124" s="905" t="s">
        <v>4007</v>
      </c>
      <c r="G10124" s="1005"/>
      <c r="H10124" s="911">
        <v>10</v>
      </c>
      <c r="I10124" s="912">
        <f>VLOOKUP(E10124,[3]VLP!$B$7:$K$300,10,0)</f>
        <v>5000</v>
      </c>
      <c r="J10124" s="912">
        <f>I10124*H10124</f>
        <v>50000</v>
      </c>
      <c r="K10124" s="912" t="s">
        <v>274</v>
      </c>
      <c r="L10124" s="912"/>
      <c r="M10124" s="912"/>
      <c r="N10124" s="912"/>
      <c r="O10124" s="892">
        <f t="shared" si="809"/>
        <v>0</v>
      </c>
      <c r="P10124" s="903">
        <f t="shared" si="810"/>
        <v>1</v>
      </c>
      <c r="Q10124" s="893">
        <f t="shared" si="811"/>
        <v>8</v>
      </c>
      <c r="R10124" s="894">
        <f t="shared" si="812"/>
        <v>0</v>
      </c>
    </row>
    <row r="10125" spans="1:18">
      <c r="A10125" s="895"/>
      <c r="B10125" s="896"/>
      <c r="C10125" s="897"/>
      <c r="D10125" s="897"/>
      <c r="E10125" s="1002" t="s">
        <v>276</v>
      </c>
      <c r="F10125" s="1003"/>
      <c r="G10125" s="1004"/>
      <c r="H10125" s="901"/>
      <c r="I10125" s="902"/>
      <c r="J10125" s="902"/>
      <c r="K10125" s="912" t="s">
        <v>274</v>
      </c>
      <c r="L10125" s="902"/>
      <c r="M10125" s="902"/>
      <c r="N10125" s="902"/>
      <c r="O10125" s="892">
        <f t="shared" si="809"/>
        <v>0</v>
      </c>
      <c r="P10125" s="903">
        <f t="shared" si="810"/>
        <v>1</v>
      </c>
      <c r="Q10125" s="893">
        <f t="shared" si="811"/>
        <v>7</v>
      </c>
      <c r="R10125" s="894">
        <f t="shared" si="812"/>
        <v>0</v>
      </c>
    </row>
    <row r="10126" spans="1:18" s="847" customFormat="1">
      <c r="A10126" s="905"/>
      <c r="B10126" s="952"/>
      <c r="C10126" s="907">
        <v>740</v>
      </c>
      <c r="D10126" s="907" t="s">
        <v>12</v>
      </c>
      <c r="E10126" s="992" t="s">
        <v>4008</v>
      </c>
      <c r="F10126" s="905" t="s">
        <v>2674</v>
      </c>
      <c r="G10126" s="1005"/>
      <c r="H10126" s="911">
        <v>4.34</v>
      </c>
      <c r="I10126" s="912"/>
      <c r="J10126" s="912"/>
      <c r="K10126" s="912">
        <f>VLOOKUP(E10126,[5]ĐMNC!$A$7:$F$67,4,0)</f>
        <v>221125</v>
      </c>
      <c r="L10126" s="912">
        <f>H10126*K10126</f>
        <v>959682.5</v>
      </c>
      <c r="M10126" s="912"/>
      <c r="N10126" s="912"/>
      <c r="O10126" s="892">
        <f t="shared" si="809"/>
        <v>0</v>
      </c>
      <c r="P10126" s="903">
        <f t="shared" si="810"/>
        <v>1</v>
      </c>
      <c r="Q10126" s="893">
        <f t="shared" si="811"/>
        <v>6</v>
      </c>
      <c r="R10126" s="894">
        <f t="shared" si="812"/>
        <v>0</v>
      </c>
    </row>
    <row r="10127" spans="1:18" s="904" customFormat="1">
      <c r="A10127" s="895"/>
      <c r="B10127" s="896"/>
      <c r="C10127" s="897"/>
      <c r="D10127" s="897"/>
      <c r="E10127" s="1002" t="s">
        <v>3914</v>
      </c>
      <c r="F10127" s="895"/>
      <c r="G10127" s="1004"/>
      <c r="H10127" s="901"/>
      <c r="I10127" s="902"/>
      <c r="J10127" s="902"/>
      <c r="K10127" s="912" t="s">
        <v>274</v>
      </c>
      <c r="L10127" s="902"/>
      <c r="M10127" s="902"/>
      <c r="N10127" s="902"/>
      <c r="O10127" s="892">
        <f t="shared" si="809"/>
        <v>0</v>
      </c>
      <c r="P10127" s="903">
        <f t="shared" si="810"/>
        <v>1</v>
      </c>
      <c r="Q10127" s="893">
        <f t="shared" si="811"/>
        <v>5</v>
      </c>
      <c r="R10127" s="894">
        <f t="shared" si="812"/>
        <v>0</v>
      </c>
    </row>
    <row r="10128" spans="1:18">
      <c r="A10128" s="905"/>
      <c r="B10128" s="952" t="s">
        <v>6408</v>
      </c>
      <c r="C10128" s="907">
        <v>913</v>
      </c>
      <c r="D10128" s="907" t="s">
        <v>93</v>
      </c>
      <c r="E10128" s="992" t="s">
        <v>6409</v>
      </c>
      <c r="F10128" s="905" t="s">
        <v>2673</v>
      </c>
      <c r="G10128" s="1005"/>
      <c r="H10128" s="911">
        <v>1.1100000000000001</v>
      </c>
      <c r="I10128" s="912"/>
      <c r="J10128" s="912"/>
      <c r="K10128" s="912"/>
      <c r="L10128" s="912"/>
      <c r="M10128" s="912">
        <f>VLOOKUP(B10128,MTC!$B$9:$S$933,12,0)</f>
        <v>0</v>
      </c>
      <c r="N10128" s="912">
        <f>M10128*H10128</f>
        <v>0</v>
      </c>
      <c r="O10128" s="892">
        <f t="shared" si="809"/>
        <v>0</v>
      </c>
      <c r="P10128" s="903">
        <f t="shared" si="810"/>
        <v>1</v>
      </c>
      <c r="Q10128" s="893">
        <f t="shared" si="811"/>
        <v>4</v>
      </c>
      <c r="R10128" s="894">
        <f t="shared" si="812"/>
        <v>0</v>
      </c>
    </row>
    <row r="10129" spans="1:18" s="847" customFormat="1">
      <c r="A10129" s="905"/>
      <c r="B10129" s="952" t="s">
        <v>6410</v>
      </c>
      <c r="C10129" s="907">
        <v>906</v>
      </c>
      <c r="D10129" s="907" t="s">
        <v>93</v>
      </c>
      <c r="E10129" s="992" t="s">
        <v>6411</v>
      </c>
      <c r="F10129" s="905" t="s">
        <v>2673</v>
      </c>
      <c r="G10129" s="1005"/>
      <c r="H10129" s="911">
        <v>0.32</v>
      </c>
      <c r="I10129" s="912"/>
      <c r="J10129" s="912"/>
      <c r="K10129" s="912"/>
      <c r="L10129" s="912"/>
      <c r="M10129" s="912">
        <f>VLOOKUP(B10129,MTC!$B$9:$S$933,12,0)</f>
        <v>0</v>
      </c>
      <c r="N10129" s="912">
        <f>M10129*H10129</f>
        <v>0</v>
      </c>
      <c r="O10129" s="892">
        <f t="shared" si="809"/>
        <v>0</v>
      </c>
      <c r="P10129" s="903">
        <f t="shared" si="810"/>
        <v>1</v>
      </c>
      <c r="Q10129" s="893">
        <f t="shared" si="811"/>
        <v>3</v>
      </c>
      <c r="R10129" s="894">
        <f t="shared" si="812"/>
        <v>0</v>
      </c>
    </row>
    <row r="10130" spans="1:18" s="904" customFormat="1">
      <c r="A10130" s="905"/>
      <c r="B10130" s="952" t="s">
        <v>6412</v>
      </c>
      <c r="C10130" s="907">
        <v>905</v>
      </c>
      <c r="D10130" s="907" t="s">
        <v>93</v>
      </c>
      <c r="E10130" s="992" t="s">
        <v>6413</v>
      </c>
      <c r="F10130" s="905" t="s">
        <v>2673</v>
      </c>
      <c r="G10130" s="1005"/>
      <c r="H10130" s="911">
        <v>0.32</v>
      </c>
      <c r="I10130" s="912"/>
      <c r="J10130" s="912"/>
      <c r="K10130" s="912"/>
      <c r="L10130" s="912"/>
      <c r="M10130" s="912">
        <f>VLOOKUP(B10130,MTC!$B$9:$S$933,12,0)</f>
        <v>225936</v>
      </c>
      <c r="N10130" s="912">
        <f>M10130*H10130</f>
        <v>72299.520000000004</v>
      </c>
      <c r="O10130" s="892">
        <f t="shared" si="809"/>
        <v>0</v>
      </c>
      <c r="P10130" s="903">
        <f t="shared" si="810"/>
        <v>1</v>
      </c>
      <c r="Q10130" s="893">
        <f t="shared" si="811"/>
        <v>2</v>
      </c>
      <c r="R10130" s="894">
        <f t="shared" si="812"/>
        <v>0</v>
      </c>
    </row>
    <row r="10131" spans="1:18">
      <c r="A10131" s="905"/>
      <c r="B10131" s="952" t="s">
        <v>6414</v>
      </c>
      <c r="C10131" s="907">
        <v>914</v>
      </c>
      <c r="D10131" s="907" t="s">
        <v>93</v>
      </c>
      <c r="E10131" s="992" t="s">
        <v>6415</v>
      </c>
      <c r="F10131" s="905" t="s">
        <v>2673</v>
      </c>
      <c r="G10131" s="1005"/>
      <c r="H10131" s="911">
        <v>0.1</v>
      </c>
      <c r="I10131" s="912"/>
      <c r="J10131" s="912"/>
      <c r="K10131" s="912"/>
      <c r="L10131" s="912"/>
      <c r="M10131" s="912">
        <f>VLOOKUP(B10131,MTC!$B$9:$S$933,12,0)</f>
        <v>0</v>
      </c>
      <c r="N10131" s="912">
        <f>M10131*H10131</f>
        <v>0</v>
      </c>
      <c r="O10131" s="892">
        <f t="shared" si="809"/>
        <v>0</v>
      </c>
      <c r="P10131" s="903">
        <f t="shared" si="810"/>
        <v>1</v>
      </c>
      <c r="Q10131" s="893">
        <f t="shared" si="811"/>
        <v>1</v>
      </c>
      <c r="R10131" s="894">
        <f t="shared" si="812"/>
        <v>0</v>
      </c>
    </row>
    <row r="10132" spans="1:18" s="847" customFormat="1" ht="47.25">
      <c r="A10132" s="905" t="s">
        <v>6622</v>
      </c>
      <c r="B10132" s="914" t="s">
        <v>6631</v>
      </c>
      <c r="C10132" s="915"/>
      <c r="D10132" s="915"/>
      <c r="E10132" s="1006" t="s">
        <v>6632</v>
      </c>
      <c r="F10132" s="1007" t="s">
        <v>136</v>
      </c>
      <c r="G10132" s="1008"/>
      <c r="H10132" s="919"/>
      <c r="I10132" s="920"/>
      <c r="J10132" s="962">
        <f>SUM(J10133:J10141)</f>
        <v>55500</v>
      </c>
      <c r="K10132" s="891" t="s">
        <v>274</v>
      </c>
      <c r="L10132" s="962">
        <f>SUM(L10133:L10141)</f>
        <v>687698.75</v>
      </c>
      <c r="M10132" s="962"/>
      <c r="N10132" s="962">
        <f>SUM(N10133:N10141)</f>
        <v>0</v>
      </c>
      <c r="O10132" s="892">
        <f t="shared" si="809"/>
        <v>1</v>
      </c>
      <c r="P10132" s="903">
        <f t="shared" si="810"/>
        <v>0</v>
      </c>
      <c r="Q10132" s="893">
        <f t="shared" si="811"/>
        <v>0</v>
      </c>
      <c r="R10132" s="894">
        <f t="shared" si="812"/>
        <v>9</v>
      </c>
    </row>
    <row r="10133" spans="1:18" s="904" customFormat="1">
      <c r="A10133" s="895"/>
      <c r="B10133" s="922"/>
      <c r="C10133" s="897"/>
      <c r="D10133" s="897"/>
      <c r="E10133" s="1002" t="s">
        <v>108</v>
      </c>
      <c r="F10133" s="895"/>
      <c r="G10133" s="1004"/>
      <c r="H10133" s="901"/>
      <c r="I10133" s="902"/>
      <c r="J10133" s="902"/>
      <c r="K10133" s="912" t="s">
        <v>274</v>
      </c>
      <c r="L10133" s="902"/>
      <c r="M10133" s="902"/>
      <c r="N10133" s="902"/>
      <c r="O10133" s="892">
        <f t="shared" si="809"/>
        <v>0</v>
      </c>
      <c r="P10133" s="903">
        <f t="shared" si="810"/>
        <v>1</v>
      </c>
      <c r="Q10133" s="893">
        <f t="shared" si="811"/>
        <v>9</v>
      </c>
      <c r="R10133" s="894">
        <f t="shared" si="812"/>
        <v>0</v>
      </c>
    </row>
    <row r="10134" spans="1:18">
      <c r="A10134" s="905"/>
      <c r="B10134" s="952"/>
      <c r="C10134" s="907">
        <v>315</v>
      </c>
      <c r="D10134" s="907" t="s">
        <v>279</v>
      </c>
      <c r="E10134" s="992" t="s">
        <v>6316</v>
      </c>
      <c r="F10134" s="905" t="s">
        <v>49</v>
      </c>
      <c r="G10134" s="1005"/>
      <c r="H10134" s="911">
        <v>0.5</v>
      </c>
      <c r="I10134" s="912">
        <f>VLOOKUP(E10134,[3]VLP!$B$7:$K$300,10,0)</f>
        <v>8000</v>
      </c>
      <c r="J10134" s="912">
        <f>I10134*H10134</f>
        <v>4000</v>
      </c>
      <c r="K10134" s="912" t="s">
        <v>274</v>
      </c>
      <c r="L10134" s="912"/>
      <c r="M10134" s="912"/>
      <c r="N10134" s="912"/>
      <c r="O10134" s="892">
        <f t="shared" si="809"/>
        <v>0</v>
      </c>
      <c r="P10134" s="903">
        <f t="shared" si="810"/>
        <v>1</v>
      </c>
      <c r="Q10134" s="893">
        <f t="shared" si="811"/>
        <v>8</v>
      </c>
      <c r="R10134" s="894">
        <f t="shared" si="812"/>
        <v>0</v>
      </c>
    </row>
    <row r="10135" spans="1:18" s="847" customFormat="1">
      <c r="A10135" s="905"/>
      <c r="B10135" s="952"/>
      <c r="C10135" s="907">
        <v>235</v>
      </c>
      <c r="D10135" s="907" t="s">
        <v>279</v>
      </c>
      <c r="E10135" s="992" t="s">
        <v>2682</v>
      </c>
      <c r="F10135" s="905" t="s">
        <v>45</v>
      </c>
      <c r="G10135" s="1005"/>
      <c r="H10135" s="911">
        <v>0.3</v>
      </c>
      <c r="I10135" s="912">
        <f>VLOOKUP(E10135,[3]VLP!$B$7:$K$300,10,0)</f>
        <v>5000</v>
      </c>
      <c r="J10135" s="912">
        <f>I10135*H10135</f>
        <v>1500</v>
      </c>
      <c r="K10135" s="912" t="s">
        <v>274</v>
      </c>
      <c r="L10135" s="912"/>
      <c r="M10135" s="912"/>
      <c r="N10135" s="912"/>
      <c r="O10135" s="892">
        <f t="shared" si="809"/>
        <v>0</v>
      </c>
      <c r="P10135" s="903">
        <f t="shared" si="810"/>
        <v>1</v>
      </c>
      <c r="Q10135" s="893">
        <f t="shared" si="811"/>
        <v>7</v>
      </c>
      <c r="R10135" s="894">
        <f t="shared" si="812"/>
        <v>0</v>
      </c>
    </row>
    <row r="10136" spans="1:18" s="904" customFormat="1">
      <c r="A10136" s="905"/>
      <c r="B10136" s="952"/>
      <c r="C10136" s="907">
        <v>699</v>
      </c>
      <c r="D10136" s="907" t="s">
        <v>279</v>
      </c>
      <c r="E10136" s="992" t="s">
        <v>4006</v>
      </c>
      <c r="F10136" s="905" t="s">
        <v>4007</v>
      </c>
      <c r="G10136" s="1005"/>
      <c r="H10136" s="911">
        <v>10</v>
      </c>
      <c r="I10136" s="912">
        <f>VLOOKUP(E10136,[3]VLP!$B$7:$K$300,10,0)</f>
        <v>5000</v>
      </c>
      <c r="J10136" s="912">
        <f>I10136*H10136</f>
        <v>50000</v>
      </c>
      <c r="K10136" s="912" t="s">
        <v>274</v>
      </c>
      <c r="L10136" s="912"/>
      <c r="M10136" s="912"/>
      <c r="N10136" s="912"/>
      <c r="O10136" s="892">
        <f t="shared" si="809"/>
        <v>0</v>
      </c>
      <c r="P10136" s="903">
        <f t="shared" si="810"/>
        <v>1</v>
      </c>
      <c r="Q10136" s="893">
        <f t="shared" si="811"/>
        <v>6</v>
      </c>
      <c r="R10136" s="894">
        <f t="shared" si="812"/>
        <v>0</v>
      </c>
    </row>
    <row r="10137" spans="1:18">
      <c r="A10137" s="895"/>
      <c r="B10137" s="896"/>
      <c r="C10137" s="897"/>
      <c r="D10137" s="897"/>
      <c r="E10137" s="1002" t="s">
        <v>276</v>
      </c>
      <c r="F10137" s="1003"/>
      <c r="G10137" s="1004"/>
      <c r="H10137" s="901"/>
      <c r="I10137" s="902"/>
      <c r="J10137" s="902"/>
      <c r="K10137" s="912" t="s">
        <v>274</v>
      </c>
      <c r="L10137" s="902"/>
      <c r="M10137" s="902"/>
      <c r="N10137" s="902"/>
      <c r="O10137" s="892">
        <f t="shared" si="809"/>
        <v>0</v>
      </c>
      <c r="P10137" s="903">
        <f t="shared" si="810"/>
        <v>1</v>
      </c>
      <c r="Q10137" s="893">
        <f t="shared" si="811"/>
        <v>5</v>
      </c>
      <c r="R10137" s="894">
        <f t="shared" si="812"/>
        <v>0</v>
      </c>
    </row>
    <row r="10138" spans="1:18" s="847" customFormat="1">
      <c r="A10138" s="905"/>
      <c r="B10138" s="952"/>
      <c r="C10138" s="907">
        <v>740</v>
      </c>
      <c r="D10138" s="907" t="s">
        <v>12</v>
      </c>
      <c r="E10138" s="992" t="s">
        <v>4008</v>
      </c>
      <c r="F10138" s="905" t="s">
        <v>2674</v>
      </c>
      <c r="G10138" s="1005"/>
      <c r="H10138" s="911">
        <v>3.11</v>
      </c>
      <c r="I10138" s="912"/>
      <c r="J10138" s="912"/>
      <c r="K10138" s="912">
        <f>VLOOKUP(E10138,[5]ĐMNC!$A$7:$F$67,4,0)</f>
        <v>221125</v>
      </c>
      <c r="L10138" s="912">
        <f>H10138*K10138</f>
        <v>687698.75</v>
      </c>
      <c r="M10138" s="912"/>
      <c r="N10138" s="912"/>
      <c r="O10138" s="892">
        <f t="shared" si="809"/>
        <v>0</v>
      </c>
      <c r="P10138" s="903">
        <f t="shared" si="810"/>
        <v>1</v>
      </c>
      <c r="Q10138" s="893">
        <f t="shared" si="811"/>
        <v>4</v>
      </c>
      <c r="R10138" s="894">
        <f t="shared" si="812"/>
        <v>0</v>
      </c>
    </row>
    <row r="10139" spans="1:18" s="904" customFormat="1">
      <c r="A10139" s="895"/>
      <c r="B10139" s="896"/>
      <c r="C10139" s="897"/>
      <c r="D10139" s="897"/>
      <c r="E10139" s="1002" t="s">
        <v>3914</v>
      </c>
      <c r="F10139" s="895"/>
      <c r="G10139" s="1004"/>
      <c r="H10139" s="901"/>
      <c r="I10139" s="902"/>
      <c r="J10139" s="902"/>
      <c r="K10139" s="912" t="s">
        <v>274</v>
      </c>
      <c r="L10139" s="902"/>
      <c r="M10139" s="902"/>
      <c r="N10139" s="902"/>
      <c r="O10139" s="892">
        <f t="shared" si="809"/>
        <v>0</v>
      </c>
      <c r="P10139" s="903">
        <f t="shared" si="810"/>
        <v>1</v>
      </c>
      <c r="Q10139" s="893">
        <f t="shared" si="811"/>
        <v>3</v>
      </c>
      <c r="R10139" s="894">
        <f t="shared" si="812"/>
        <v>0</v>
      </c>
    </row>
    <row r="10140" spans="1:18">
      <c r="A10140" s="905"/>
      <c r="B10140" s="952" t="s">
        <v>6424</v>
      </c>
      <c r="C10140" s="907">
        <v>911</v>
      </c>
      <c r="D10140" s="907" t="s">
        <v>93</v>
      </c>
      <c r="E10140" s="992" t="s">
        <v>6425</v>
      </c>
      <c r="F10140" s="905" t="s">
        <v>2673</v>
      </c>
      <c r="G10140" s="1005"/>
      <c r="H10140" s="911">
        <v>0.43</v>
      </c>
      <c r="I10140" s="912"/>
      <c r="J10140" s="912"/>
      <c r="K10140" s="912"/>
      <c r="L10140" s="912"/>
      <c r="M10140" s="912">
        <f>VLOOKUP(B10140,MTC!$B$9:$S$933,12,0)</f>
        <v>0</v>
      </c>
      <c r="N10140" s="912">
        <f>M10140*H10140</f>
        <v>0</v>
      </c>
      <c r="O10140" s="892">
        <f t="shared" si="809"/>
        <v>0</v>
      </c>
      <c r="P10140" s="903">
        <f t="shared" si="810"/>
        <v>1</v>
      </c>
      <c r="Q10140" s="893">
        <f t="shared" si="811"/>
        <v>2</v>
      </c>
      <c r="R10140" s="894">
        <f t="shared" si="812"/>
        <v>0</v>
      </c>
    </row>
    <row r="10141" spans="1:18" s="847" customFormat="1">
      <c r="A10141" s="905"/>
      <c r="B10141" s="952" t="s">
        <v>6414</v>
      </c>
      <c r="C10141" s="907">
        <v>914</v>
      </c>
      <c r="D10141" s="907" t="s">
        <v>93</v>
      </c>
      <c r="E10141" s="992" t="s">
        <v>6415</v>
      </c>
      <c r="F10141" s="905" t="s">
        <v>2673</v>
      </c>
      <c r="G10141" s="1005"/>
      <c r="H10141" s="911">
        <v>0.1</v>
      </c>
      <c r="I10141" s="912"/>
      <c r="J10141" s="912"/>
      <c r="K10141" s="912"/>
      <c r="L10141" s="912"/>
      <c r="M10141" s="912">
        <f>VLOOKUP(B10141,MTC!$B$9:$S$933,12,0)</f>
        <v>0</v>
      </c>
      <c r="N10141" s="912">
        <f>M10141*H10141</f>
        <v>0</v>
      </c>
      <c r="O10141" s="892">
        <f t="shared" si="809"/>
        <v>0</v>
      </c>
      <c r="P10141" s="903">
        <f t="shared" si="810"/>
        <v>1</v>
      </c>
      <c r="Q10141" s="893">
        <f t="shared" si="811"/>
        <v>1</v>
      </c>
      <c r="R10141" s="894">
        <f t="shared" si="812"/>
        <v>0</v>
      </c>
    </row>
    <row r="10142" spans="1:18" s="904" customFormat="1" ht="47.25">
      <c r="A10142" s="905">
        <v>140</v>
      </c>
      <c r="B10142" s="914" t="s">
        <v>6633</v>
      </c>
      <c r="C10142" s="915"/>
      <c r="D10142" s="915"/>
      <c r="E10142" s="1006" t="s">
        <v>6634</v>
      </c>
      <c r="F10142" s="1007" t="s">
        <v>136</v>
      </c>
      <c r="G10142" s="1008"/>
      <c r="H10142" s="919"/>
      <c r="I10142" s="920"/>
      <c r="J10142" s="962">
        <f>SUM(J10143:J10151)</f>
        <v>55500</v>
      </c>
      <c r="K10142" s="891" t="s">
        <v>274</v>
      </c>
      <c r="L10142" s="962">
        <f>SUM(L10143:L10151)</f>
        <v>754036.25</v>
      </c>
      <c r="M10142" s="962"/>
      <c r="N10142" s="962">
        <f>SUM(N10143:N10151)</f>
        <v>0</v>
      </c>
      <c r="O10142" s="892">
        <f t="shared" si="809"/>
        <v>1</v>
      </c>
      <c r="P10142" s="903">
        <f t="shared" si="810"/>
        <v>0</v>
      </c>
      <c r="Q10142" s="893">
        <f t="shared" si="811"/>
        <v>0</v>
      </c>
      <c r="R10142" s="894">
        <f t="shared" si="812"/>
        <v>9</v>
      </c>
    </row>
    <row r="10143" spans="1:18">
      <c r="A10143" s="895"/>
      <c r="B10143" s="896"/>
      <c r="C10143" s="897"/>
      <c r="D10143" s="897"/>
      <c r="E10143" s="1002" t="s">
        <v>108</v>
      </c>
      <c r="F10143" s="895"/>
      <c r="G10143" s="1004"/>
      <c r="H10143" s="901"/>
      <c r="I10143" s="902"/>
      <c r="J10143" s="902"/>
      <c r="K10143" s="912" t="s">
        <v>274</v>
      </c>
      <c r="L10143" s="902"/>
      <c r="M10143" s="902"/>
      <c r="N10143" s="902"/>
      <c r="O10143" s="892">
        <f t="shared" ref="O10143:O10206" si="813">IF(AND(B10143&lt;&gt;"",D10143=""),1,0)</f>
        <v>0</v>
      </c>
      <c r="P10143" s="903">
        <f t="shared" si="810"/>
        <v>1</v>
      </c>
      <c r="Q10143" s="893">
        <f t="shared" si="811"/>
        <v>9</v>
      </c>
      <c r="R10143" s="894">
        <f t="shared" si="812"/>
        <v>0</v>
      </c>
    </row>
    <row r="10144" spans="1:18" s="847" customFormat="1">
      <c r="A10144" s="905"/>
      <c r="B10144" s="952"/>
      <c r="C10144" s="907">
        <v>315</v>
      </c>
      <c r="D10144" s="907" t="s">
        <v>279</v>
      </c>
      <c r="E10144" s="992" t="s">
        <v>6316</v>
      </c>
      <c r="F10144" s="905" t="s">
        <v>49</v>
      </c>
      <c r="G10144" s="1005"/>
      <c r="H10144" s="911">
        <v>0.5</v>
      </c>
      <c r="I10144" s="912">
        <f>VLOOKUP(E10144,[3]VLP!$B$7:$K$300,10,0)</f>
        <v>8000</v>
      </c>
      <c r="J10144" s="912">
        <f>I10144*H10144</f>
        <v>4000</v>
      </c>
      <c r="K10144" s="912" t="s">
        <v>274</v>
      </c>
      <c r="L10144" s="912"/>
      <c r="M10144" s="912"/>
      <c r="N10144" s="912"/>
      <c r="O10144" s="892">
        <f t="shared" si="813"/>
        <v>0</v>
      </c>
      <c r="P10144" s="903">
        <f t="shared" si="810"/>
        <v>1</v>
      </c>
      <c r="Q10144" s="893">
        <f t="shared" si="811"/>
        <v>8</v>
      </c>
      <c r="R10144" s="894">
        <f t="shared" si="812"/>
        <v>0</v>
      </c>
    </row>
    <row r="10145" spans="1:18" s="904" customFormat="1">
      <c r="A10145" s="905"/>
      <c r="B10145" s="952"/>
      <c r="C10145" s="907">
        <v>235</v>
      </c>
      <c r="D10145" s="907" t="s">
        <v>279</v>
      </c>
      <c r="E10145" s="992" t="s">
        <v>2682</v>
      </c>
      <c r="F10145" s="905" t="s">
        <v>45</v>
      </c>
      <c r="G10145" s="1005"/>
      <c r="H10145" s="911">
        <v>0.3</v>
      </c>
      <c r="I10145" s="912">
        <f>VLOOKUP(E10145,[3]VLP!$B$7:$K$300,10,0)</f>
        <v>5000</v>
      </c>
      <c r="J10145" s="912">
        <f>I10145*H10145</f>
        <v>1500</v>
      </c>
      <c r="K10145" s="912" t="s">
        <v>274</v>
      </c>
      <c r="L10145" s="912"/>
      <c r="M10145" s="912"/>
      <c r="N10145" s="912"/>
      <c r="O10145" s="892">
        <f t="shared" si="813"/>
        <v>0</v>
      </c>
      <c r="P10145" s="903">
        <f t="shared" si="810"/>
        <v>1</v>
      </c>
      <c r="Q10145" s="893">
        <f t="shared" si="811"/>
        <v>7</v>
      </c>
      <c r="R10145" s="894">
        <f t="shared" si="812"/>
        <v>0</v>
      </c>
    </row>
    <row r="10146" spans="1:18">
      <c r="A10146" s="905"/>
      <c r="B10146" s="952"/>
      <c r="C10146" s="907">
        <v>699</v>
      </c>
      <c r="D10146" s="907" t="s">
        <v>279</v>
      </c>
      <c r="E10146" s="992" t="s">
        <v>4006</v>
      </c>
      <c r="F10146" s="905" t="s">
        <v>4007</v>
      </c>
      <c r="G10146" s="1005"/>
      <c r="H10146" s="911">
        <v>10</v>
      </c>
      <c r="I10146" s="912">
        <f>VLOOKUP(E10146,[3]VLP!$B$7:$K$300,10,0)</f>
        <v>5000</v>
      </c>
      <c r="J10146" s="912">
        <f>I10146*H10146</f>
        <v>50000</v>
      </c>
      <c r="K10146" s="912" t="s">
        <v>274</v>
      </c>
      <c r="L10146" s="912"/>
      <c r="M10146" s="912"/>
      <c r="N10146" s="912"/>
      <c r="O10146" s="892">
        <f t="shared" si="813"/>
        <v>0</v>
      </c>
      <c r="P10146" s="903">
        <f t="shared" si="810"/>
        <v>1</v>
      </c>
      <c r="Q10146" s="893">
        <f t="shared" si="811"/>
        <v>6</v>
      </c>
      <c r="R10146" s="894">
        <f t="shared" si="812"/>
        <v>0</v>
      </c>
    </row>
    <row r="10147" spans="1:18" s="847" customFormat="1">
      <c r="A10147" s="895"/>
      <c r="B10147" s="896"/>
      <c r="C10147" s="897"/>
      <c r="D10147" s="897"/>
      <c r="E10147" s="1002" t="s">
        <v>276</v>
      </c>
      <c r="F10147" s="1003"/>
      <c r="G10147" s="1004"/>
      <c r="H10147" s="901"/>
      <c r="I10147" s="902"/>
      <c r="J10147" s="902"/>
      <c r="K10147" s="912" t="s">
        <v>274</v>
      </c>
      <c r="L10147" s="902"/>
      <c r="M10147" s="902"/>
      <c r="N10147" s="902"/>
      <c r="O10147" s="892">
        <f t="shared" si="813"/>
        <v>0</v>
      </c>
      <c r="P10147" s="903">
        <f t="shared" si="810"/>
        <v>1</v>
      </c>
      <c r="Q10147" s="893">
        <f t="shared" si="811"/>
        <v>5</v>
      </c>
      <c r="R10147" s="894">
        <f t="shared" si="812"/>
        <v>0</v>
      </c>
    </row>
    <row r="10148" spans="1:18" s="904" customFormat="1">
      <c r="A10148" s="905"/>
      <c r="B10148" s="952"/>
      <c r="C10148" s="907">
        <v>740</v>
      </c>
      <c r="D10148" s="907" t="s">
        <v>12</v>
      </c>
      <c r="E10148" s="992" t="s">
        <v>4008</v>
      </c>
      <c r="F10148" s="905" t="s">
        <v>2674</v>
      </c>
      <c r="G10148" s="1005"/>
      <c r="H10148" s="911">
        <v>3.41</v>
      </c>
      <c r="I10148" s="912"/>
      <c r="J10148" s="912"/>
      <c r="K10148" s="912">
        <f>VLOOKUP(E10148,[5]ĐMNC!$A$7:$F$67,4,0)</f>
        <v>221125</v>
      </c>
      <c r="L10148" s="912">
        <f>H10148*K10148</f>
        <v>754036.25</v>
      </c>
      <c r="M10148" s="912"/>
      <c r="N10148" s="912"/>
      <c r="O10148" s="892">
        <f t="shared" si="813"/>
        <v>0</v>
      </c>
      <c r="P10148" s="903">
        <f t="shared" si="810"/>
        <v>1</v>
      </c>
      <c r="Q10148" s="893">
        <f t="shared" si="811"/>
        <v>4</v>
      </c>
      <c r="R10148" s="894">
        <f t="shared" si="812"/>
        <v>0</v>
      </c>
    </row>
    <row r="10149" spans="1:18">
      <c r="A10149" s="895"/>
      <c r="B10149" s="896"/>
      <c r="C10149" s="897"/>
      <c r="D10149" s="897"/>
      <c r="E10149" s="1002" t="s">
        <v>3914</v>
      </c>
      <c r="F10149" s="895"/>
      <c r="G10149" s="1004"/>
      <c r="H10149" s="901"/>
      <c r="I10149" s="902"/>
      <c r="J10149" s="902"/>
      <c r="K10149" s="912" t="s">
        <v>274</v>
      </c>
      <c r="L10149" s="902"/>
      <c r="M10149" s="902"/>
      <c r="N10149" s="902"/>
      <c r="O10149" s="892">
        <f t="shared" si="813"/>
        <v>0</v>
      </c>
      <c r="P10149" s="903">
        <f t="shared" si="810"/>
        <v>1</v>
      </c>
      <c r="Q10149" s="893">
        <f t="shared" si="811"/>
        <v>3</v>
      </c>
      <c r="R10149" s="894">
        <f t="shared" si="812"/>
        <v>0</v>
      </c>
    </row>
    <row r="10150" spans="1:18" s="847" customFormat="1">
      <c r="A10150" s="905"/>
      <c r="B10150" s="952" t="s">
        <v>6424</v>
      </c>
      <c r="C10150" s="907">
        <v>911</v>
      </c>
      <c r="D10150" s="907" t="s">
        <v>93</v>
      </c>
      <c r="E10150" s="992" t="s">
        <v>6425</v>
      </c>
      <c r="F10150" s="905" t="s">
        <v>2673</v>
      </c>
      <c r="G10150" s="1005"/>
      <c r="H10150" s="911">
        <v>0.47</v>
      </c>
      <c r="I10150" s="912"/>
      <c r="J10150" s="912"/>
      <c r="K10150" s="912"/>
      <c r="L10150" s="912"/>
      <c r="M10150" s="912">
        <f>VLOOKUP(B10150,MTC!$B$9:$S$933,12,0)</f>
        <v>0</v>
      </c>
      <c r="N10150" s="912">
        <f>M10150*H10150</f>
        <v>0</v>
      </c>
      <c r="O10150" s="892">
        <f t="shared" si="813"/>
        <v>0</v>
      </c>
      <c r="P10150" s="903">
        <f t="shared" si="810"/>
        <v>1</v>
      </c>
      <c r="Q10150" s="893">
        <f t="shared" si="811"/>
        <v>2</v>
      </c>
      <c r="R10150" s="894">
        <f t="shared" si="812"/>
        <v>0</v>
      </c>
    </row>
    <row r="10151" spans="1:18" s="904" customFormat="1">
      <c r="A10151" s="905"/>
      <c r="B10151" s="952" t="s">
        <v>6414</v>
      </c>
      <c r="C10151" s="907">
        <v>914</v>
      </c>
      <c r="D10151" s="907" t="s">
        <v>93</v>
      </c>
      <c r="E10151" s="992" t="s">
        <v>6415</v>
      </c>
      <c r="F10151" s="905" t="s">
        <v>2673</v>
      </c>
      <c r="G10151" s="1005"/>
      <c r="H10151" s="911">
        <v>0.1</v>
      </c>
      <c r="I10151" s="912"/>
      <c r="J10151" s="912"/>
      <c r="K10151" s="912"/>
      <c r="L10151" s="912"/>
      <c r="M10151" s="912">
        <f>VLOOKUP(B10151,MTC!$B$9:$S$933,12,0)</f>
        <v>0</v>
      </c>
      <c r="N10151" s="912">
        <f>M10151*H10151</f>
        <v>0</v>
      </c>
      <c r="O10151" s="892">
        <f t="shared" si="813"/>
        <v>0</v>
      </c>
      <c r="P10151" s="903">
        <f t="shared" si="810"/>
        <v>1</v>
      </c>
      <c r="Q10151" s="893">
        <f t="shared" si="811"/>
        <v>1</v>
      </c>
      <c r="R10151" s="894">
        <f t="shared" si="812"/>
        <v>0</v>
      </c>
    </row>
    <row r="10152" spans="1:18" ht="47.25">
      <c r="A10152" s="905">
        <v>141</v>
      </c>
      <c r="B10152" s="914" t="s">
        <v>6635</v>
      </c>
      <c r="C10152" s="915"/>
      <c r="D10152" s="915"/>
      <c r="E10152" s="1006" t="s">
        <v>6636</v>
      </c>
      <c r="F10152" s="1007" t="s">
        <v>136</v>
      </c>
      <c r="G10152" s="1008"/>
      <c r="H10152" s="919"/>
      <c r="I10152" s="920"/>
      <c r="J10152" s="962">
        <f>SUM(J10153:J10161)</f>
        <v>55500</v>
      </c>
      <c r="K10152" s="891" t="s">
        <v>274</v>
      </c>
      <c r="L10152" s="962">
        <f>SUM(L10153:L10161)</f>
        <v>822585</v>
      </c>
      <c r="M10152" s="962"/>
      <c r="N10152" s="962">
        <f>SUM(N10153:N10161)</f>
        <v>0</v>
      </c>
      <c r="O10152" s="892">
        <f t="shared" si="813"/>
        <v>1</v>
      </c>
      <c r="P10152" s="903">
        <f t="shared" si="810"/>
        <v>0</v>
      </c>
      <c r="Q10152" s="893">
        <f t="shared" si="811"/>
        <v>0</v>
      </c>
      <c r="R10152" s="894">
        <f t="shared" si="812"/>
        <v>9</v>
      </c>
    </row>
    <row r="10153" spans="1:18" s="847" customFormat="1">
      <c r="A10153" s="895"/>
      <c r="B10153" s="896"/>
      <c r="C10153" s="897"/>
      <c r="D10153" s="897"/>
      <c r="E10153" s="1002" t="s">
        <v>108</v>
      </c>
      <c r="F10153" s="895"/>
      <c r="G10153" s="1004"/>
      <c r="H10153" s="901"/>
      <c r="I10153" s="902"/>
      <c r="J10153" s="902"/>
      <c r="K10153" s="912" t="s">
        <v>274</v>
      </c>
      <c r="L10153" s="902"/>
      <c r="M10153" s="902"/>
      <c r="N10153" s="902"/>
      <c r="O10153" s="892">
        <f t="shared" si="813"/>
        <v>0</v>
      </c>
      <c r="P10153" s="903">
        <f t="shared" si="810"/>
        <v>1</v>
      </c>
      <c r="Q10153" s="893">
        <f t="shared" si="811"/>
        <v>9</v>
      </c>
      <c r="R10153" s="894">
        <f t="shared" si="812"/>
        <v>0</v>
      </c>
    </row>
    <row r="10154" spans="1:18" s="904" customFormat="1">
      <c r="A10154" s="905"/>
      <c r="B10154" s="952"/>
      <c r="C10154" s="907">
        <v>315</v>
      </c>
      <c r="D10154" s="907" t="s">
        <v>279</v>
      </c>
      <c r="E10154" s="992" t="s">
        <v>6316</v>
      </c>
      <c r="F10154" s="905" t="s">
        <v>49</v>
      </c>
      <c r="G10154" s="1005"/>
      <c r="H10154" s="911">
        <v>0.5</v>
      </c>
      <c r="I10154" s="912">
        <f>VLOOKUP(E10154,[3]VLP!$B$7:$K$300,10,0)</f>
        <v>8000</v>
      </c>
      <c r="J10154" s="912">
        <f>I10154*H10154</f>
        <v>4000</v>
      </c>
      <c r="K10154" s="912" t="s">
        <v>274</v>
      </c>
      <c r="L10154" s="912"/>
      <c r="M10154" s="912"/>
      <c r="N10154" s="912"/>
      <c r="O10154" s="892">
        <f t="shared" si="813"/>
        <v>0</v>
      </c>
      <c r="P10154" s="903">
        <f t="shared" si="810"/>
        <v>1</v>
      </c>
      <c r="Q10154" s="893">
        <f t="shared" si="811"/>
        <v>8</v>
      </c>
      <c r="R10154" s="894">
        <f t="shared" si="812"/>
        <v>0</v>
      </c>
    </row>
    <row r="10155" spans="1:18">
      <c r="A10155" s="905"/>
      <c r="B10155" s="952"/>
      <c r="C10155" s="907">
        <v>235</v>
      </c>
      <c r="D10155" s="907" t="s">
        <v>279</v>
      </c>
      <c r="E10155" s="992" t="s">
        <v>2682</v>
      </c>
      <c r="F10155" s="905" t="s">
        <v>45</v>
      </c>
      <c r="G10155" s="1005"/>
      <c r="H10155" s="911">
        <v>0.3</v>
      </c>
      <c r="I10155" s="912">
        <f>VLOOKUP(E10155,[3]VLP!$B$7:$K$300,10,0)</f>
        <v>5000</v>
      </c>
      <c r="J10155" s="912">
        <f>I10155*H10155</f>
        <v>1500</v>
      </c>
      <c r="K10155" s="912" t="s">
        <v>274</v>
      </c>
      <c r="L10155" s="912"/>
      <c r="M10155" s="912"/>
      <c r="N10155" s="912"/>
      <c r="O10155" s="892">
        <f t="shared" si="813"/>
        <v>0</v>
      </c>
      <c r="P10155" s="903">
        <f t="shared" si="810"/>
        <v>1</v>
      </c>
      <c r="Q10155" s="893">
        <f t="shared" si="811"/>
        <v>7</v>
      </c>
      <c r="R10155" s="894">
        <f t="shared" si="812"/>
        <v>0</v>
      </c>
    </row>
    <row r="10156" spans="1:18" s="847" customFormat="1">
      <c r="A10156" s="905"/>
      <c r="B10156" s="952"/>
      <c r="C10156" s="907">
        <v>699</v>
      </c>
      <c r="D10156" s="907" t="s">
        <v>279</v>
      </c>
      <c r="E10156" s="992" t="s">
        <v>4006</v>
      </c>
      <c r="F10156" s="905" t="s">
        <v>4007</v>
      </c>
      <c r="G10156" s="1005"/>
      <c r="H10156" s="911">
        <v>10</v>
      </c>
      <c r="I10156" s="912">
        <f>VLOOKUP(E10156,[3]VLP!$B$7:$K$300,10,0)</f>
        <v>5000</v>
      </c>
      <c r="J10156" s="912">
        <f>I10156*H10156</f>
        <v>50000</v>
      </c>
      <c r="K10156" s="912" t="s">
        <v>274</v>
      </c>
      <c r="L10156" s="912"/>
      <c r="M10156" s="912"/>
      <c r="N10156" s="912"/>
      <c r="O10156" s="892">
        <f t="shared" si="813"/>
        <v>0</v>
      </c>
      <c r="P10156" s="903">
        <f t="shared" si="810"/>
        <v>1</v>
      </c>
      <c r="Q10156" s="893">
        <f t="shared" si="811"/>
        <v>6</v>
      </c>
      <c r="R10156" s="894">
        <f t="shared" si="812"/>
        <v>0</v>
      </c>
    </row>
    <row r="10157" spans="1:18" s="904" customFormat="1">
      <c r="A10157" s="895"/>
      <c r="B10157" s="896"/>
      <c r="C10157" s="897"/>
      <c r="D10157" s="897"/>
      <c r="E10157" s="1002" t="s">
        <v>276</v>
      </c>
      <c r="F10157" s="1003"/>
      <c r="G10157" s="1004"/>
      <c r="H10157" s="901"/>
      <c r="I10157" s="902"/>
      <c r="J10157" s="902"/>
      <c r="K10157" s="912" t="s">
        <v>274</v>
      </c>
      <c r="L10157" s="902"/>
      <c r="M10157" s="902"/>
      <c r="N10157" s="902"/>
      <c r="O10157" s="892">
        <f t="shared" si="813"/>
        <v>0</v>
      </c>
      <c r="P10157" s="903">
        <f t="shared" si="810"/>
        <v>1</v>
      </c>
      <c r="Q10157" s="893">
        <f t="shared" si="811"/>
        <v>5</v>
      </c>
      <c r="R10157" s="894">
        <f t="shared" si="812"/>
        <v>0</v>
      </c>
    </row>
    <row r="10158" spans="1:18">
      <c r="A10158" s="905"/>
      <c r="B10158" s="952"/>
      <c r="C10158" s="907">
        <v>740</v>
      </c>
      <c r="D10158" s="907" t="s">
        <v>12</v>
      </c>
      <c r="E10158" s="992" t="s">
        <v>4008</v>
      </c>
      <c r="F10158" s="905" t="s">
        <v>2674</v>
      </c>
      <c r="G10158" s="1005"/>
      <c r="H10158" s="911">
        <v>3.72</v>
      </c>
      <c r="I10158" s="912"/>
      <c r="J10158" s="912"/>
      <c r="K10158" s="912">
        <f>VLOOKUP(E10158,[5]ĐMNC!$A$7:$F$67,4,0)</f>
        <v>221125</v>
      </c>
      <c r="L10158" s="912">
        <f>H10158*K10158</f>
        <v>822585</v>
      </c>
      <c r="M10158" s="912"/>
      <c r="N10158" s="912"/>
      <c r="O10158" s="892">
        <f t="shared" si="813"/>
        <v>0</v>
      </c>
      <c r="P10158" s="903">
        <f t="shared" si="810"/>
        <v>1</v>
      </c>
      <c r="Q10158" s="893">
        <f t="shared" si="811"/>
        <v>4</v>
      </c>
      <c r="R10158" s="894">
        <f t="shared" si="812"/>
        <v>0</v>
      </c>
    </row>
    <row r="10159" spans="1:18" s="847" customFormat="1">
      <c r="A10159" s="895"/>
      <c r="B10159" s="896"/>
      <c r="C10159" s="897"/>
      <c r="D10159" s="897"/>
      <c r="E10159" s="1002" t="s">
        <v>3914</v>
      </c>
      <c r="F10159" s="895"/>
      <c r="G10159" s="1004"/>
      <c r="H10159" s="901"/>
      <c r="I10159" s="902"/>
      <c r="J10159" s="902"/>
      <c r="K10159" s="912" t="s">
        <v>274</v>
      </c>
      <c r="L10159" s="902"/>
      <c r="M10159" s="902"/>
      <c r="N10159" s="902"/>
      <c r="O10159" s="892">
        <f t="shared" si="813"/>
        <v>0</v>
      </c>
      <c r="P10159" s="903">
        <f t="shared" si="810"/>
        <v>1</v>
      </c>
      <c r="Q10159" s="893">
        <f t="shared" si="811"/>
        <v>3</v>
      </c>
      <c r="R10159" s="894">
        <f t="shared" si="812"/>
        <v>0</v>
      </c>
    </row>
    <row r="10160" spans="1:18" s="904" customFormat="1">
      <c r="A10160" s="905"/>
      <c r="B10160" s="952" t="s">
        <v>6424</v>
      </c>
      <c r="C10160" s="907">
        <v>911</v>
      </c>
      <c r="D10160" s="907" t="s">
        <v>93</v>
      </c>
      <c r="E10160" s="992" t="s">
        <v>6425</v>
      </c>
      <c r="F10160" s="905" t="s">
        <v>2673</v>
      </c>
      <c r="G10160" s="1005"/>
      <c r="H10160" s="911">
        <v>0.52</v>
      </c>
      <c r="I10160" s="912"/>
      <c r="J10160" s="912"/>
      <c r="K10160" s="912"/>
      <c r="L10160" s="912"/>
      <c r="M10160" s="912">
        <f>VLOOKUP(B10160,MTC!$B$9:$S$933,12,0)</f>
        <v>0</v>
      </c>
      <c r="N10160" s="912">
        <f>M10160*H10160</f>
        <v>0</v>
      </c>
      <c r="O10160" s="892">
        <f t="shared" si="813"/>
        <v>0</v>
      </c>
      <c r="P10160" s="903">
        <f t="shared" si="810"/>
        <v>1</v>
      </c>
      <c r="Q10160" s="893">
        <f t="shared" si="811"/>
        <v>2</v>
      </c>
      <c r="R10160" s="894">
        <f t="shared" si="812"/>
        <v>0</v>
      </c>
    </row>
    <row r="10161" spans="1:18">
      <c r="A10161" s="905"/>
      <c r="B10161" s="952" t="s">
        <v>6414</v>
      </c>
      <c r="C10161" s="907">
        <v>914</v>
      </c>
      <c r="D10161" s="907" t="s">
        <v>93</v>
      </c>
      <c r="E10161" s="992" t="s">
        <v>6415</v>
      </c>
      <c r="F10161" s="905" t="s">
        <v>2673</v>
      </c>
      <c r="G10161" s="1005"/>
      <c r="H10161" s="911">
        <v>0.1</v>
      </c>
      <c r="I10161" s="912"/>
      <c r="J10161" s="912"/>
      <c r="K10161" s="912"/>
      <c r="L10161" s="912"/>
      <c r="M10161" s="912">
        <f>VLOOKUP(B10161,MTC!$B$9:$S$933,12,0)</f>
        <v>0</v>
      </c>
      <c r="N10161" s="912">
        <f>M10161*H10161</f>
        <v>0</v>
      </c>
      <c r="O10161" s="892">
        <f t="shared" si="813"/>
        <v>0</v>
      </c>
      <c r="P10161" s="903">
        <f t="shared" si="810"/>
        <v>1</v>
      </c>
      <c r="Q10161" s="893">
        <f t="shared" si="811"/>
        <v>1</v>
      </c>
      <c r="R10161" s="894">
        <f t="shared" si="812"/>
        <v>0</v>
      </c>
    </row>
    <row r="10162" spans="1:18" s="847" customFormat="1" ht="47.25">
      <c r="A10162" s="905">
        <v>142</v>
      </c>
      <c r="B10162" s="914" t="s">
        <v>6637</v>
      </c>
      <c r="C10162" s="915"/>
      <c r="D10162" s="915"/>
      <c r="E10162" s="1006" t="s">
        <v>6638</v>
      </c>
      <c r="F10162" s="1007" t="s">
        <v>136</v>
      </c>
      <c r="G10162" s="1008"/>
      <c r="H10162" s="919"/>
      <c r="I10162" s="920"/>
      <c r="J10162" s="962">
        <f>SUM(J10163:J10171)</f>
        <v>55500</v>
      </c>
      <c r="K10162" s="891" t="s">
        <v>274</v>
      </c>
      <c r="L10162" s="962">
        <f>SUM(L10163:L10171)</f>
        <v>959682.5</v>
      </c>
      <c r="M10162" s="962"/>
      <c r="N10162" s="962">
        <f>SUM(N10163:N10171)</f>
        <v>0</v>
      </c>
      <c r="O10162" s="892">
        <f t="shared" si="813"/>
        <v>1</v>
      </c>
      <c r="P10162" s="903">
        <f t="shared" si="810"/>
        <v>0</v>
      </c>
      <c r="Q10162" s="893">
        <f t="shared" si="811"/>
        <v>0</v>
      </c>
      <c r="R10162" s="894">
        <f t="shared" si="812"/>
        <v>9</v>
      </c>
    </row>
    <row r="10163" spans="1:18" s="904" customFormat="1">
      <c r="A10163" s="895"/>
      <c r="B10163" s="896"/>
      <c r="C10163" s="897"/>
      <c r="D10163" s="897"/>
      <c r="E10163" s="1002" t="s">
        <v>108</v>
      </c>
      <c r="F10163" s="895"/>
      <c r="G10163" s="1004"/>
      <c r="H10163" s="901"/>
      <c r="I10163" s="902"/>
      <c r="J10163" s="902"/>
      <c r="K10163" s="912" t="s">
        <v>274</v>
      </c>
      <c r="L10163" s="902"/>
      <c r="M10163" s="902"/>
      <c r="N10163" s="902"/>
      <c r="O10163" s="892">
        <f t="shared" si="813"/>
        <v>0</v>
      </c>
      <c r="P10163" s="903">
        <f t="shared" ref="P10163:P10226" si="814">IF(O10163=0,1,0)</f>
        <v>1</v>
      </c>
      <c r="Q10163" s="893">
        <f t="shared" ref="Q10163:Q10226" si="815">IF(P10163=0,0,P10163+Q10164)</f>
        <v>9</v>
      </c>
      <c r="R10163" s="894">
        <f t="shared" ref="R10163:R10226" si="816">IF(Q10163=0,Q10164,0)</f>
        <v>0</v>
      </c>
    </row>
    <row r="10164" spans="1:18">
      <c r="A10164" s="905"/>
      <c r="B10164" s="952"/>
      <c r="C10164" s="907">
        <v>315</v>
      </c>
      <c r="D10164" s="907" t="s">
        <v>279</v>
      </c>
      <c r="E10164" s="992" t="s">
        <v>6316</v>
      </c>
      <c r="F10164" s="905" t="s">
        <v>49</v>
      </c>
      <c r="G10164" s="1005"/>
      <c r="H10164" s="911">
        <v>0.5</v>
      </c>
      <c r="I10164" s="912">
        <f>VLOOKUP(E10164,[3]VLP!$B$7:$K$300,10,0)</f>
        <v>8000</v>
      </c>
      <c r="J10164" s="912">
        <f>I10164*H10164</f>
        <v>4000</v>
      </c>
      <c r="K10164" s="912" t="s">
        <v>274</v>
      </c>
      <c r="L10164" s="912"/>
      <c r="M10164" s="912"/>
      <c r="N10164" s="912"/>
      <c r="O10164" s="892">
        <f t="shared" si="813"/>
        <v>0</v>
      </c>
      <c r="P10164" s="903">
        <f t="shared" si="814"/>
        <v>1</v>
      </c>
      <c r="Q10164" s="893">
        <f t="shared" si="815"/>
        <v>8</v>
      </c>
      <c r="R10164" s="894">
        <f t="shared" si="816"/>
        <v>0</v>
      </c>
    </row>
    <row r="10165" spans="1:18" s="847" customFormat="1">
      <c r="A10165" s="905"/>
      <c r="B10165" s="952"/>
      <c r="C10165" s="907">
        <v>235</v>
      </c>
      <c r="D10165" s="907" t="s">
        <v>279</v>
      </c>
      <c r="E10165" s="992" t="s">
        <v>2682</v>
      </c>
      <c r="F10165" s="905" t="s">
        <v>45</v>
      </c>
      <c r="G10165" s="1005"/>
      <c r="H10165" s="911">
        <v>0.3</v>
      </c>
      <c r="I10165" s="912">
        <f>VLOOKUP(E10165,[3]VLP!$B$7:$K$300,10,0)</f>
        <v>5000</v>
      </c>
      <c r="J10165" s="912">
        <f>I10165*H10165</f>
        <v>1500</v>
      </c>
      <c r="K10165" s="912" t="s">
        <v>274</v>
      </c>
      <c r="L10165" s="912"/>
      <c r="M10165" s="912"/>
      <c r="N10165" s="912"/>
      <c r="O10165" s="892">
        <f t="shared" si="813"/>
        <v>0</v>
      </c>
      <c r="P10165" s="903">
        <f t="shared" si="814"/>
        <v>1</v>
      </c>
      <c r="Q10165" s="893">
        <f t="shared" si="815"/>
        <v>7</v>
      </c>
      <c r="R10165" s="894">
        <f t="shared" si="816"/>
        <v>0</v>
      </c>
    </row>
    <row r="10166" spans="1:18" s="904" customFormat="1">
      <c r="A10166" s="905"/>
      <c r="B10166" s="952"/>
      <c r="C10166" s="907">
        <v>699</v>
      </c>
      <c r="D10166" s="907" t="s">
        <v>279</v>
      </c>
      <c r="E10166" s="992" t="s">
        <v>4006</v>
      </c>
      <c r="F10166" s="905" t="s">
        <v>4007</v>
      </c>
      <c r="G10166" s="1005"/>
      <c r="H10166" s="911">
        <v>10</v>
      </c>
      <c r="I10166" s="912">
        <f>VLOOKUP(E10166,[3]VLP!$B$7:$K$300,10,0)</f>
        <v>5000</v>
      </c>
      <c r="J10166" s="912">
        <f>I10166*H10166</f>
        <v>50000</v>
      </c>
      <c r="K10166" s="912" t="s">
        <v>274</v>
      </c>
      <c r="L10166" s="912"/>
      <c r="M10166" s="912"/>
      <c r="N10166" s="912"/>
      <c r="O10166" s="892">
        <f t="shared" si="813"/>
        <v>0</v>
      </c>
      <c r="P10166" s="903">
        <f t="shared" si="814"/>
        <v>1</v>
      </c>
      <c r="Q10166" s="893">
        <f t="shared" si="815"/>
        <v>6</v>
      </c>
      <c r="R10166" s="894">
        <f t="shared" si="816"/>
        <v>0</v>
      </c>
    </row>
    <row r="10167" spans="1:18">
      <c r="A10167" s="895"/>
      <c r="B10167" s="896"/>
      <c r="C10167" s="897"/>
      <c r="D10167" s="897"/>
      <c r="E10167" s="1002" t="s">
        <v>276</v>
      </c>
      <c r="F10167" s="1003"/>
      <c r="G10167" s="1004"/>
      <c r="H10167" s="901"/>
      <c r="I10167" s="902"/>
      <c r="J10167" s="902"/>
      <c r="K10167" s="912" t="s">
        <v>274</v>
      </c>
      <c r="L10167" s="902"/>
      <c r="M10167" s="902"/>
      <c r="N10167" s="902"/>
      <c r="O10167" s="892">
        <f t="shared" si="813"/>
        <v>0</v>
      </c>
      <c r="P10167" s="903">
        <f t="shared" si="814"/>
        <v>1</v>
      </c>
      <c r="Q10167" s="893">
        <f t="shared" si="815"/>
        <v>5</v>
      </c>
      <c r="R10167" s="894">
        <f t="shared" si="816"/>
        <v>0</v>
      </c>
    </row>
    <row r="10168" spans="1:18" s="847" customFormat="1">
      <c r="A10168" s="905"/>
      <c r="B10168" s="952"/>
      <c r="C10168" s="907">
        <v>740</v>
      </c>
      <c r="D10168" s="907" t="s">
        <v>12</v>
      </c>
      <c r="E10168" s="992" t="s">
        <v>4008</v>
      </c>
      <c r="F10168" s="905" t="s">
        <v>2674</v>
      </c>
      <c r="G10168" s="1005"/>
      <c r="H10168" s="911">
        <v>4.34</v>
      </c>
      <c r="I10168" s="912"/>
      <c r="J10168" s="912"/>
      <c r="K10168" s="912">
        <f>VLOOKUP(E10168,[5]ĐMNC!$A$7:$F$67,4,0)</f>
        <v>221125</v>
      </c>
      <c r="L10168" s="912">
        <f>H10168*K10168</f>
        <v>959682.5</v>
      </c>
      <c r="M10168" s="912"/>
      <c r="N10168" s="912"/>
      <c r="O10168" s="892">
        <f t="shared" si="813"/>
        <v>0</v>
      </c>
      <c r="P10168" s="903">
        <f t="shared" si="814"/>
        <v>1</v>
      </c>
      <c r="Q10168" s="893">
        <f t="shared" si="815"/>
        <v>4</v>
      </c>
      <c r="R10168" s="894">
        <f t="shared" si="816"/>
        <v>0</v>
      </c>
    </row>
    <row r="10169" spans="1:18" s="904" customFormat="1">
      <c r="A10169" s="895"/>
      <c r="B10169" s="896"/>
      <c r="C10169" s="897"/>
      <c r="D10169" s="897"/>
      <c r="E10169" s="1002" t="s">
        <v>3914</v>
      </c>
      <c r="F10169" s="895"/>
      <c r="G10169" s="1004"/>
      <c r="H10169" s="901"/>
      <c r="I10169" s="902"/>
      <c r="J10169" s="902"/>
      <c r="K10169" s="912" t="s">
        <v>274</v>
      </c>
      <c r="L10169" s="902"/>
      <c r="M10169" s="902"/>
      <c r="N10169" s="902"/>
      <c r="O10169" s="892">
        <f t="shared" si="813"/>
        <v>0</v>
      </c>
      <c r="P10169" s="903">
        <f t="shared" si="814"/>
        <v>1</v>
      </c>
      <c r="Q10169" s="893">
        <f t="shared" si="815"/>
        <v>3</v>
      </c>
      <c r="R10169" s="894">
        <f t="shared" si="816"/>
        <v>0</v>
      </c>
    </row>
    <row r="10170" spans="1:18">
      <c r="A10170" s="905"/>
      <c r="B10170" s="952" t="s">
        <v>6424</v>
      </c>
      <c r="C10170" s="907">
        <v>911</v>
      </c>
      <c r="D10170" s="907" t="s">
        <v>93</v>
      </c>
      <c r="E10170" s="992" t="s">
        <v>6425</v>
      </c>
      <c r="F10170" s="905" t="s">
        <v>2673</v>
      </c>
      <c r="G10170" s="1005"/>
      <c r="H10170" s="911">
        <v>0.66</v>
      </c>
      <c r="I10170" s="912"/>
      <c r="J10170" s="912"/>
      <c r="K10170" s="912"/>
      <c r="L10170" s="912"/>
      <c r="M10170" s="912">
        <f>VLOOKUP(B10170,MTC!$B$9:$S$933,12,0)</f>
        <v>0</v>
      </c>
      <c r="N10170" s="912">
        <f>M10170*H10170</f>
        <v>0</v>
      </c>
      <c r="O10170" s="892">
        <f t="shared" si="813"/>
        <v>0</v>
      </c>
      <c r="P10170" s="903">
        <f t="shared" si="814"/>
        <v>1</v>
      </c>
      <c r="Q10170" s="893">
        <f t="shared" si="815"/>
        <v>2</v>
      </c>
      <c r="R10170" s="894">
        <f t="shared" si="816"/>
        <v>0</v>
      </c>
    </row>
    <row r="10171" spans="1:18" s="847" customFormat="1">
      <c r="A10171" s="905"/>
      <c r="B10171" s="952" t="s">
        <v>6414</v>
      </c>
      <c r="C10171" s="907">
        <v>914</v>
      </c>
      <c r="D10171" s="907" t="s">
        <v>93</v>
      </c>
      <c r="E10171" s="992" t="s">
        <v>6415</v>
      </c>
      <c r="F10171" s="905" t="s">
        <v>2673</v>
      </c>
      <c r="G10171" s="1005"/>
      <c r="H10171" s="911">
        <v>0.1</v>
      </c>
      <c r="I10171" s="912"/>
      <c r="J10171" s="912"/>
      <c r="K10171" s="912"/>
      <c r="L10171" s="912"/>
      <c r="M10171" s="912">
        <f>VLOOKUP(B10171,MTC!$B$9:$S$933,12,0)</f>
        <v>0</v>
      </c>
      <c r="N10171" s="912">
        <f>M10171*H10171</f>
        <v>0</v>
      </c>
      <c r="O10171" s="892">
        <f t="shared" si="813"/>
        <v>0</v>
      </c>
      <c r="P10171" s="903">
        <f t="shared" si="814"/>
        <v>1</v>
      </c>
      <c r="Q10171" s="893">
        <f t="shared" si="815"/>
        <v>1</v>
      </c>
      <c r="R10171" s="894">
        <f t="shared" si="816"/>
        <v>0</v>
      </c>
    </row>
    <row r="10172" spans="1:18" s="904" customFormat="1" ht="47.25">
      <c r="A10172" s="905" t="s">
        <v>6622</v>
      </c>
      <c r="B10172" s="914" t="s">
        <v>6639</v>
      </c>
      <c r="C10172" s="915"/>
      <c r="D10172" s="915"/>
      <c r="E10172" s="1006" t="s">
        <v>6640</v>
      </c>
      <c r="F10172" s="1007" t="s">
        <v>136</v>
      </c>
      <c r="G10172" s="1008"/>
      <c r="H10172" s="919"/>
      <c r="I10172" s="920"/>
      <c r="J10172" s="962">
        <f>SUM(J10173:J10181)</f>
        <v>55500</v>
      </c>
      <c r="K10172" s="891" t="s">
        <v>274</v>
      </c>
      <c r="L10172" s="962">
        <f>SUM(L10173:L10181)</f>
        <v>687698.75</v>
      </c>
      <c r="M10172" s="962"/>
      <c r="N10172" s="962">
        <f>SUM(N10173:N10181)</f>
        <v>0</v>
      </c>
      <c r="O10172" s="892">
        <f t="shared" si="813"/>
        <v>1</v>
      </c>
      <c r="P10172" s="903">
        <f t="shared" si="814"/>
        <v>0</v>
      </c>
      <c r="Q10172" s="893">
        <f t="shared" si="815"/>
        <v>0</v>
      </c>
      <c r="R10172" s="894">
        <f t="shared" si="816"/>
        <v>9</v>
      </c>
    </row>
    <row r="10173" spans="1:18">
      <c r="A10173" s="895"/>
      <c r="B10173" s="922"/>
      <c r="C10173" s="897"/>
      <c r="D10173" s="897"/>
      <c r="E10173" s="1002" t="s">
        <v>108</v>
      </c>
      <c r="F10173" s="895"/>
      <c r="G10173" s="1004"/>
      <c r="H10173" s="901"/>
      <c r="I10173" s="902"/>
      <c r="J10173" s="902"/>
      <c r="K10173" s="912" t="s">
        <v>274</v>
      </c>
      <c r="L10173" s="902"/>
      <c r="M10173" s="902"/>
      <c r="N10173" s="902"/>
      <c r="O10173" s="892">
        <f t="shared" si="813"/>
        <v>0</v>
      </c>
      <c r="P10173" s="903">
        <f t="shared" si="814"/>
        <v>1</v>
      </c>
      <c r="Q10173" s="893">
        <f t="shared" si="815"/>
        <v>9</v>
      </c>
      <c r="R10173" s="894">
        <f t="shared" si="816"/>
        <v>0</v>
      </c>
    </row>
    <row r="10174" spans="1:18" s="847" customFormat="1">
      <c r="A10174" s="905"/>
      <c r="B10174" s="952"/>
      <c r="C10174" s="907">
        <v>315</v>
      </c>
      <c r="D10174" s="907" t="s">
        <v>279</v>
      </c>
      <c r="E10174" s="992" t="s">
        <v>6316</v>
      </c>
      <c r="F10174" s="905" t="s">
        <v>49</v>
      </c>
      <c r="G10174" s="1005"/>
      <c r="H10174" s="911">
        <v>0.5</v>
      </c>
      <c r="I10174" s="912">
        <f>VLOOKUP(E10174,[3]VLP!$B$7:$K$300,10,0)</f>
        <v>8000</v>
      </c>
      <c r="J10174" s="912">
        <f>I10174*H10174</f>
        <v>4000</v>
      </c>
      <c r="K10174" s="912" t="s">
        <v>274</v>
      </c>
      <c r="L10174" s="912"/>
      <c r="M10174" s="912"/>
      <c r="N10174" s="912"/>
      <c r="O10174" s="892">
        <f t="shared" si="813"/>
        <v>0</v>
      </c>
      <c r="P10174" s="903">
        <f t="shared" si="814"/>
        <v>1</v>
      </c>
      <c r="Q10174" s="893">
        <f t="shared" si="815"/>
        <v>8</v>
      </c>
      <c r="R10174" s="894">
        <f t="shared" si="816"/>
        <v>0</v>
      </c>
    </row>
    <row r="10175" spans="1:18" s="904" customFormat="1">
      <c r="A10175" s="905"/>
      <c r="B10175" s="952"/>
      <c r="C10175" s="907">
        <v>235</v>
      </c>
      <c r="D10175" s="907" t="s">
        <v>279</v>
      </c>
      <c r="E10175" s="992" t="s">
        <v>2682</v>
      </c>
      <c r="F10175" s="905" t="s">
        <v>45</v>
      </c>
      <c r="G10175" s="1005"/>
      <c r="H10175" s="911">
        <v>0.3</v>
      </c>
      <c r="I10175" s="912">
        <f>VLOOKUP(E10175,[3]VLP!$B$7:$K$300,10,0)</f>
        <v>5000</v>
      </c>
      <c r="J10175" s="912">
        <f>I10175*H10175</f>
        <v>1500</v>
      </c>
      <c r="K10175" s="912" t="s">
        <v>274</v>
      </c>
      <c r="L10175" s="912"/>
      <c r="M10175" s="912"/>
      <c r="N10175" s="912"/>
      <c r="O10175" s="892">
        <f t="shared" si="813"/>
        <v>0</v>
      </c>
      <c r="P10175" s="903">
        <f t="shared" si="814"/>
        <v>1</v>
      </c>
      <c r="Q10175" s="893">
        <f t="shared" si="815"/>
        <v>7</v>
      </c>
      <c r="R10175" s="894">
        <f t="shared" si="816"/>
        <v>0</v>
      </c>
    </row>
    <row r="10176" spans="1:18">
      <c r="A10176" s="905"/>
      <c r="B10176" s="952"/>
      <c r="C10176" s="907">
        <v>699</v>
      </c>
      <c r="D10176" s="907" t="s">
        <v>279</v>
      </c>
      <c r="E10176" s="992" t="s">
        <v>4006</v>
      </c>
      <c r="F10176" s="905" t="s">
        <v>4007</v>
      </c>
      <c r="G10176" s="1005"/>
      <c r="H10176" s="911">
        <v>10</v>
      </c>
      <c r="I10176" s="912">
        <f>VLOOKUP(E10176,[3]VLP!$B$7:$K$300,10,0)</f>
        <v>5000</v>
      </c>
      <c r="J10176" s="912">
        <f>I10176*H10176</f>
        <v>50000</v>
      </c>
      <c r="K10176" s="912" t="s">
        <v>274</v>
      </c>
      <c r="L10176" s="912"/>
      <c r="M10176" s="912"/>
      <c r="N10176" s="912"/>
      <c r="O10176" s="892">
        <f t="shared" si="813"/>
        <v>0</v>
      </c>
      <c r="P10176" s="903">
        <f t="shared" si="814"/>
        <v>1</v>
      </c>
      <c r="Q10176" s="893">
        <f t="shared" si="815"/>
        <v>6</v>
      </c>
      <c r="R10176" s="894">
        <f t="shared" si="816"/>
        <v>0</v>
      </c>
    </row>
    <row r="10177" spans="1:18" s="847" customFormat="1">
      <c r="A10177" s="895"/>
      <c r="B10177" s="896"/>
      <c r="C10177" s="897"/>
      <c r="D10177" s="897"/>
      <c r="E10177" s="1002" t="s">
        <v>276</v>
      </c>
      <c r="F10177" s="1003"/>
      <c r="G10177" s="1004"/>
      <c r="H10177" s="901"/>
      <c r="I10177" s="902"/>
      <c r="J10177" s="902"/>
      <c r="K10177" s="912" t="s">
        <v>274</v>
      </c>
      <c r="L10177" s="902"/>
      <c r="M10177" s="902"/>
      <c r="N10177" s="902"/>
      <c r="O10177" s="892">
        <f t="shared" si="813"/>
        <v>0</v>
      </c>
      <c r="P10177" s="903">
        <f t="shared" si="814"/>
        <v>1</v>
      </c>
      <c r="Q10177" s="893">
        <f t="shared" si="815"/>
        <v>5</v>
      </c>
      <c r="R10177" s="894">
        <f t="shared" si="816"/>
        <v>0</v>
      </c>
    </row>
    <row r="10178" spans="1:18" s="904" customFormat="1">
      <c r="A10178" s="905"/>
      <c r="B10178" s="952"/>
      <c r="C10178" s="907">
        <v>740</v>
      </c>
      <c r="D10178" s="907" t="s">
        <v>12</v>
      </c>
      <c r="E10178" s="992" t="s">
        <v>4008</v>
      </c>
      <c r="F10178" s="905" t="s">
        <v>2674</v>
      </c>
      <c r="G10178" s="1005"/>
      <c r="H10178" s="911">
        <v>3.11</v>
      </c>
      <c r="I10178" s="912"/>
      <c r="J10178" s="912"/>
      <c r="K10178" s="912">
        <f>VLOOKUP(E10178,[5]ĐMNC!$A$7:$F$67,4,0)</f>
        <v>221125</v>
      </c>
      <c r="L10178" s="912">
        <f>H10178*K10178</f>
        <v>687698.75</v>
      </c>
      <c r="M10178" s="912"/>
      <c r="N10178" s="912"/>
      <c r="O10178" s="892">
        <f t="shared" si="813"/>
        <v>0</v>
      </c>
      <c r="P10178" s="903">
        <f t="shared" si="814"/>
        <v>1</v>
      </c>
      <c r="Q10178" s="893">
        <f t="shared" si="815"/>
        <v>4</v>
      </c>
      <c r="R10178" s="894">
        <f t="shared" si="816"/>
        <v>0</v>
      </c>
    </row>
    <row r="10179" spans="1:18">
      <c r="A10179" s="895"/>
      <c r="B10179" s="896"/>
      <c r="C10179" s="897"/>
      <c r="D10179" s="897"/>
      <c r="E10179" s="1002" t="s">
        <v>3914</v>
      </c>
      <c r="F10179" s="895"/>
      <c r="G10179" s="1004"/>
      <c r="H10179" s="901"/>
      <c r="I10179" s="902"/>
      <c r="J10179" s="902"/>
      <c r="K10179" s="912" t="s">
        <v>274</v>
      </c>
      <c r="L10179" s="902"/>
      <c r="M10179" s="902"/>
      <c r="N10179" s="902"/>
      <c r="O10179" s="892">
        <f t="shared" si="813"/>
        <v>0</v>
      </c>
      <c r="P10179" s="903">
        <f t="shared" si="814"/>
        <v>1</v>
      </c>
      <c r="Q10179" s="893">
        <f t="shared" si="815"/>
        <v>3</v>
      </c>
      <c r="R10179" s="894">
        <f t="shared" si="816"/>
        <v>0</v>
      </c>
    </row>
    <row r="10180" spans="1:18" s="847" customFormat="1">
      <c r="A10180" s="905"/>
      <c r="B10180" s="952" t="s">
        <v>6434</v>
      </c>
      <c r="C10180" s="907">
        <v>912</v>
      </c>
      <c r="D10180" s="907" t="s">
        <v>93</v>
      </c>
      <c r="E10180" s="992" t="s">
        <v>6435</v>
      </c>
      <c r="F10180" s="905" t="s">
        <v>2673</v>
      </c>
      <c r="G10180" s="1005"/>
      <c r="H10180" s="911">
        <v>0.187</v>
      </c>
      <c r="I10180" s="912"/>
      <c r="J10180" s="912"/>
      <c r="K10180" s="912"/>
      <c r="L10180" s="912"/>
      <c r="M10180" s="912">
        <f>VLOOKUP(B10180,MTC!$B$9:$S$933,12,0)</f>
        <v>0</v>
      </c>
      <c r="N10180" s="912">
        <f>M10180*H10180</f>
        <v>0</v>
      </c>
      <c r="O10180" s="892">
        <f t="shared" si="813"/>
        <v>0</v>
      </c>
      <c r="P10180" s="903">
        <f t="shared" si="814"/>
        <v>1</v>
      </c>
      <c r="Q10180" s="893">
        <f t="shared" si="815"/>
        <v>2</v>
      </c>
      <c r="R10180" s="894">
        <f t="shared" si="816"/>
        <v>0</v>
      </c>
    </row>
    <row r="10181" spans="1:18" s="904" customFormat="1">
      <c r="A10181" s="905"/>
      <c r="B10181" s="952" t="s">
        <v>6414</v>
      </c>
      <c r="C10181" s="907">
        <v>914</v>
      </c>
      <c r="D10181" s="907" t="s">
        <v>93</v>
      </c>
      <c r="E10181" s="992" t="s">
        <v>6415</v>
      </c>
      <c r="F10181" s="905" t="s">
        <v>2673</v>
      </c>
      <c r="G10181" s="1005"/>
      <c r="H10181" s="911">
        <v>0.1</v>
      </c>
      <c r="I10181" s="912"/>
      <c r="J10181" s="912"/>
      <c r="K10181" s="912"/>
      <c r="L10181" s="912"/>
      <c r="M10181" s="912">
        <f>VLOOKUP(B10181,MTC!$B$9:$S$933,12,0)</f>
        <v>0</v>
      </c>
      <c r="N10181" s="912">
        <f>M10181*H10181</f>
        <v>0</v>
      </c>
      <c r="O10181" s="892">
        <f t="shared" si="813"/>
        <v>0</v>
      </c>
      <c r="P10181" s="903">
        <f t="shared" si="814"/>
        <v>1</v>
      </c>
      <c r="Q10181" s="893">
        <f t="shared" si="815"/>
        <v>1</v>
      </c>
      <c r="R10181" s="894">
        <f t="shared" si="816"/>
        <v>0</v>
      </c>
    </row>
    <row r="10182" spans="1:18" ht="47.25">
      <c r="A10182" s="905">
        <v>144</v>
      </c>
      <c r="B10182" s="914" t="s">
        <v>6641</v>
      </c>
      <c r="C10182" s="915"/>
      <c r="D10182" s="915"/>
      <c r="E10182" s="1006" t="s">
        <v>6642</v>
      </c>
      <c r="F10182" s="1007" t="s">
        <v>136</v>
      </c>
      <c r="G10182" s="1008"/>
      <c r="H10182" s="919"/>
      <c r="I10182" s="920"/>
      <c r="J10182" s="962">
        <f>SUM(J10183:J10191)</f>
        <v>55500</v>
      </c>
      <c r="K10182" s="891" t="s">
        <v>274</v>
      </c>
      <c r="L10182" s="962">
        <f>SUM(L10183:L10191)</f>
        <v>754036.25</v>
      </c>
      <c r="M10182" s="962"/>
      <c r="N10182" s="962">
        <f>SUM(N10183:N10191)</f>
        <v>0</v>
      </c>
      <c r="O10182" s="892">
        <f t="shared" si="813"/>
        <v>1</v>
      </c>
      <c r="P10182" s="903">
        <f t="shared" si="814"/>
        <v>0</v>
      </c>
      <c r="Q10182" s="893">
        <f t="shared" si="815"/>
        <v>0</v>
      </c>
      <c r="R10182" s="894">
        <f t="shared" si="816"/>
        <v>9</v>
      </c>
    </row>
    <row r="10183" spans="1:18" s="847" customFormat="1">
      <c r="A10183" s="895"/>
      <c r="B10183" s="896"/>
      <c r="C10183" s="897"/>
      <c r="D10183" s="897"/>
      <c r="E10183" s="1002" t="s">
        <v>108</v>
      </c>
      <c r="F10183" s="895"/>
      <c r="G10183" s="1004"/>
      <c r="H10183" s="901"/>
      <c r="I10183" s="902"/>
      <c r="J10183" s="902"/>
      <c r="K10183" s="912" t="s">
        <v>274</v>
      </c>
      <c r="L10183" s="902"/>
      <c r="M10183" s="902"/>
      <c r="N10183" s="902"/>
      <c r="O10183" s="892">
        <f t="shared" si="813"/>
        <v>0</v>
      </c>
      <c r="P10183" s="903">
        <f t="shared" si="814"/>
        <v>1</v>
      </c>
      <c r="Q10183" s="893">
        <f t="shared" si="815"/>
        <v>9</v>
      </c>
      <c r="R10183" s="894">
        <f t="shared" si="816"/>
        <v>0</v>
      </c>
    </row>
    <row r="10184" spans="1:18" s="904" customFormat="1">
      <c r="A10184" s="905"/>
      <c r="B10184" s="952"/>
      <c r="C10184" s="907">
        <v>315</v>
      </c>
      <c r="D10184" s="907" t="s">
        <v>279</v>
      </c>
      <c r="E10184" s="992" t="s">
        <v>6316</v>
      </c>
      <c r="F10184" s="905" t="s">
        <v>49</v>
      </c>
      <c r="G10184" s="1005"/>
      <c r="H10184" s="911">
        <v>0.5</v>
      </c>
      <c r="I10184" s="912">
        <f>VLOOKUP(E10184,[3]VLP!$B$7:$K$300,10,0)</f>
        <v>8000</v>
      </c>
      <c r="J10184" s="912">
        <f>I10184*H10184</f>
        <v>4000</v>
      </c>
      <c r="K10184" s="912" t="s">
        <v>274</v>
      </c>
      <c r="L10184" s="912"/>
      <c r="M10184" s="912"/>
      <c r="N10184" s="912"/>
      <c r="O10184" s="892">
        <f t="shared" si="813"/>
        <v>0</v>
      </c>
      <c r="P10184" s="903">
        <f t="shared" si="814"/>
        <v>1</v>
      </c>
      <c r="Q10184" s="893">
        <f t="shared" si="815"/>
        <v>8</v>
      </c>
      <c r="R10184" s="894">
        <f t="shared" si="816"/>
        <v>0</v>
      </c>
    </row>
    <row r="10185" spans="1:18">
      <c r="A10185" s="905"/>
      <c r="B10185" s="952"/>
      <c r="C10185" s="907">
        <v>235</v>
      </c>
      <c r="D10185" s="907" t="s">
        <v>279</v>
      </c>
      <c r="E10185" s="992" t="s">
        <v>2682</v>
      </c>
      <c r="F10185" s="905" t="s">
        <v>45</v>
      </c>
      <c r="G10185" s="1005"/>
      <c r="H10185" s="911">
        <v>0.3</v>
      </c>
      <c r="I10185" s="912">
        <f>VLOOKUP(E10185,[3]VLP!$B$7:$K$300,10,0)</f>
        <v>5000</v>
      </c>
      <c r="J10185" s="912">
        <f>I10185*H10185</f>
        <v>1500</v>
      </c>
      <c r="K10185" s="912" t="s">
        <v>274</v>
      </c>
      <c r="L10185" s="912"/>
      <c r="M10185" s="912"/>
      <c r="N10185" s="912"/>
      <c r="O10185" s="892">
        <f t="shared" si="813"/>
        <v>0</v>
      </c>
      <c r="P10185" s="903">
        <f t="shared" si="814"/>
        <v>1</v>
      </c>
      <c r="Q10185" s="893">
        <f t="shared" si="815"/>
        <v>7</v>
      </c>
      <c r="R10185" s="894">
        <f t="shared" si="816"/>
        <v>0</v>
      </c>
    </row>
    <row r="10186" spans="1:18" s="847" customFormat="1">
      <c r="A10186" s="905"/>
      <c r="B10186" s="952"/>
      <c r="C10186" s="907">
        <v>699</v>
      </c>
      <c r="D10186" s="907" t="s">
        <v>279</v>
      </c>
      <c r="E10186" s="992" t="s">
        <v>4006</v>
      </c>
      <c r="F10186" s="905" t="s">
        <v>4007</v>
      </c>
      <c r="G10186" s="1005"/>
      <c r="H10186" s="911">
        <v>10</v>
      </c>
      <c r="I10186" s="912">
        <f>VLOOKUP(E10186,[3]VLP!$B$7:$K$300,10,0)</f>
        <v>5000</v>
      </c>
      <c r="J10186" s="912">
        <f>I10186*H10186</f>
        <v>50000</v>
      </c>
      <c r="K10186" s="912" t="s">
        <v>274</v>
      </c>
      <c r="L10186" s="912"/>
      <c r="M10186" s="912"/>
      <c r="N10186" s="912"/>
      <c r="O10186" s="892">
        <f t="shared" si="813"/>
        <v>0</v>
      </c>
      <c r="P10186" s="903">
        <f t="shared" si="814"/>
        <v>1</v>
      </c>
      <c r="Q10186" s="893">
        <f t="shared" si="815"/>
        <v>6</v>
      </c>
      <c r="R10186" s="894">
        <f t="shared" si="816"/>
        <v>0</v>
      </c>
    </row>
    <row r="10187" spans="1:18" s="904" customFormat="1">
      <c r="A10187" s="895"/>
      <c r="B10187" s="896"/>
      <c r="C10187" s="897"/>
      <c r="D10187" s="897"/>
      <c r="E10187" s="1002" t="s">
        <v>276</v>
      </c>
      <c r="F10187" s="1003"/>
      <c r="G10187" s="1004"/>
      <c r="H10187" s="901"/>
      <c r="I10187" s="902"/>
      <c r="J10187" s="902"/>
      <c r="K10187" s="912" t="s">
        <v>274</v>
      </c>
      <c r="L10187" s="902"/>
      <c r="M10187" s="902"/>
      <c r="N10187" s="902"/>
      <c r="O10187" s="892">
        <f t="shared" si="813"/>
        <v>0</v>
      </c>
      <c r="P10187" s="903">
        <f t="shared" si="814"/>
        <v>1</v>
      </c>
      <c r="Q10187" s="893">
        <f t="shared" si="815"/>
        <v>5</v>
      </c>
      <c r="R10187" s="894">
        <f t="shared" si="816"/>
        <v>0</v>
      </c>
    </row>
    <row r="10188" spans="1:18">
      <c r="A10188" s="905"/>
      <c r="B10188" s="952"/>
      <c r="C10188" s="907">
        <v>740</v>
      </c>
      <c r="D10188" s="907" t="s">
        <v>12</v>
      </c>
      <c r="E10188" s="992" t="s">
        <v>4008</v>
      </c>
      <c r="F10188" s="905" t="s">
        <v>2674</v>
      </c>
      <c r="G10188" s="1005"/>
      <c r="H10188" s="911">
        <v>3.41</v>
      </c>
      <c r="I10188" s="912"/>
      <c r="J10188" s="912"/>
      <c r="K10188" s="912">
        <f>VLOOKUP(E10188,[5]ĐMNC!$A$7:$F$67,4,0)</f>
        <v>221125</v>
      </c>
      <c r="L10188" s="912">
        <f>H10188*K10188</f>
        <v>754036.25</v>
      </c>
      <c r="M10188" s="912"/>
      <c r="N10188" s="912"/>
      <c r="O10188" s="892">
        <f t="shared" si="813"/>
        <v>0</v>
      </c>
      <c r="P10188" s="903">
        <f t="shared" si="814"/>
        <v>1</v>
      </c>
      <c r="Q10188" s="893">
        <f t="shared" si="815"/>
        <v>4</v>
      </c>
      <c r="R10188" s="894">
        <f t="shared" si="816"/>
        <v>0</v>
      </c>
    </row>
    <row r="10189" spans="1:18" s="847" customFormat="1">
      <c r="A10189" s="895"/>
      <c r="B10189" s="896"/>
      <c r="C10189" s="897"/>
      <c r="D10189" s="897"/>
      <c r="E10189" s="1002" t="s">
        <v>3914</v>
      </c>
      <c r="F10189" s="895"/>
      <c r="G10189" s="1004"/>
      <c r="H10189" s="901"/>
      <c r="I10189" s="902"/>
      <c r="J10189" s="902"/>
      <c r="K10189" s="912" t="s">
        <v>274</v>
      </c>
      <c r="L10189" s="902"/>
      <c r="M10189" s="902"/>
      <c r="N10189" s="902"/>
      <c r="O10189" s="892">
        <f t="shared" si="813"/>
        <v>0</v>
      </c>
      <c r="P10189" s="903">
        <f t="shared" si="814"/>
        <v>1</v>
      </c>
      <c r="Q10189" s="893">
        <f t="shared" si="815"/>
        <v>3</v>
      </c>
      <c r="R10189" s="894">
        <f t="shared" si="816"/>
        <v>0</v>
      </c>
    </row>
    <row r="10190" spans="1:18" s="904" customFormat="1">
      <c r="A10190" s="905"/>
      <c r="B10190" s="952" t="s">
        <v>6434</v>
      </c>
      <c r="C10190" s="907">
        <v>912</v>
      </c>
      <c r="D10190" s="907" t="s">
        <v>93</v>
      </c>
      <c r="E10190" s="992" t="s">
        <v>6435</v>
      </c>
      <c r="F10190" s="905" t="s">
        <v>2673</v>
      </c>
      <c r="G10190" s="1005"/>
      <c r="H10190" s="911">
        <v>0.23400000000000001</v>
      </c>
      <c r="I10190" s="912"/>
      <c r="J10190" s="912"/>
      <c r="K10190" s="912"/>
      <c r="L10190" s="912"/>
      <c r="M10190" s="912">
        <f>VLOOKUP(B10190,MTC!$B$9:$S$933,12,0)</f>
        <v>0</v>
      </c>
      <c r="N10190" s="912">
        <f>M10190*H10190</f>
        <v>0</v>
      </c>
      <c r="O10190" s="892">
        <f t="shared" si="813"/>
        <v>0</v>
      </c>
      <c r="P10190" s="903">
        <f t="shared" si="814"/>
        <v>1</v>
      </c>
      <c r="Q10190" s="893">
        <f t="shared" si="815"/>
        <v>2</v>
      </c>
      <c r="R10190" s="894">
        <f t="shared" si="816"/>
        <v>0</v>
      </c>
    </row>
    <row r="10191" spans="1:18">
      <c r="A10191" s="905"/>
      <c r="B10191" s="952" t="s">
        <v>6414</v>
      </c>
      <c r="C10191" s="907">
        <v>914</v>
      </c>
      <c r="D10191" s="907" t="s">
        <v>93</v>
      </c>
      <c r="E10191" s="992" t="s">
        <v>6415</v>
      </c>
      <c r="F10191" s="905" t="s">
        <v>2673</v>
      </c>
      <c r="G10191" s="1005"/>
      <c r="H10191" s="911">
        <v>0.1</v>
      </c>
      <c r="I10191" s="912"/>
      <c r="J10191" s="912"/>
      <c r="K10191" s="912"/>
      <c r="L10191" s="912"/>
      <c r="M10191" s="912">
        <f>VLOOKUP(B10191,MTC!$B$9:$S$933,12,0)</f>
        <v>0</v>
      </c>
      <c r="N10191" s="912">
        <f>M10191*H10191</f>
        <v>0</v>
      </c>
      <c r="O10191" s="892">
        <f t="shared" si="813"/>
        <v>0</v>
      </c>
      <c r="P10191" s="903">
        <f t="shared" si="814"/>
        <v>1</v>
      </c>
      <c r="Q10191" s="893">
        <f t="shared" si="815"/>
        <v>1</v>
      </c>
      <c r="R10191" s="894">
        <f t="shared" si="816"/>
        <v>0</v>
      </c>
    </row>
    <row r="10192" spans="1:18" s="847" customFormat="1" ht="47.25">
      <c r="A10192" s="905">
        <v>145</v>
      </c>
      <c r="B10192" s="914" t="s">
        <v>6643</v>
      </c>
      <c r="C10192" s="915"/>
      <c r="D10192" s="915"/>
      <c r="E10192" s="1006" t="s">
        <v>6644</v>
      </c>
      <c r="F10192" s="1007" t="s">
        <v>136</v>
      </c>
      <c r="G10192" s="1008"/>
      <c r="H10192" s="919"/>
      <c r="I10192" s="920"/>
      <c r="J10192" s="962">
        <f>SUM(J10193:J10201)</f>
        <v>55500</v>
      </c>
      <c r="K10192" s="891" t="s">
        <v>274</v>
      </c>
      <c r="L10192" s="962">
        <f>SUM(L10193:L10201)</f>
        <v>822585</v>
      </c>
      <c r="M10192" s="962"/>
      <c r="N10192" s="962">
        <f>SUM(N10193:N10201)</f>
        <v>0</v>
      </c>
      <c r="O10192" s="892">
        <f t="shared" si="813"/>
        <v>1</v>
      </c>
      <c r="P10192" s="903">
        <f t="shared" si="814"/>
        <v>0</v>
      </c>
      <c r="Q10192" s="893">
        <f t="shared" si="815"/>
        <v>0</v>
      </c>
      <c r="R10192" s="894">
        <f t="shared" si="816"/>
        <v>9</v>
      </c>
    </row>
    <row r="10193" spans="1:18" s="904" customFormat="1">
      <c r="A10193" s="895"/>
      <c r="B10193" s="896"/>
      <c r="C10193" s="897"/>
      <c r="D10193" s="897"/>
      <c r="E10193" s="1002" t="s">
        <v>108</v>
      </c>
      <c r="F10193" s="895"/>
      <c r="G10193" s="1004"/>
      <c r="H10193" s="901"/>
      <c r="I10193" s="902"/>
      <c r="J10193" s="902"/>
      <c r="K10193" s="912" t="s">
        <v>274</v>
      </c>
      <c r="L10193" s="902"/>
      <c r="M10193" s="902"/>
      <c r="N10193" s="902"/>
      <c r="O10193" s="892">
        <f t="shared" si="813"/>
        <v>0</v>
      </c>
      <c r="P10193" s="903">
        <f t="shared" si="814"/>
        <v>1</v>
      </c>
      <c r="Q10193" s="893">
        <f t="shared" si="815"/>
        <v>9</v>
      </c>
      <c r="R10193" s="894">
        <f t="shared" si="816"/>
        <v>0</v>
      </c>
    </row>
    <row r="10194" spans="1:18">
      <c r="A10194" s="905"/>
      <c r="B10194" s="952"/>
      <c r="C10194" s="907">
        <v>315</v>
      </c>
      <c r="D10194" s="907" t="s">
        <v>279</v>
      </c>
      <c r="E10194" s="992" t="s">
        <v>6316</v>
      </c>
      <c r="F10194" s="905" t="s">
        <v>49</v>
      </c>
      <c r="G10194" s="1005"/>
      <c r="H10194" s="911">
        <v>0.5</v>
      </c>
      <c r="I10194" s="912">
        <f>VLOOKUP(E10194,[3]VLP!$B$7:$K$300,10,0)</f>
        <v>8000</v>
      </c>
      <c r="J10194" s="912">
        <f>I10194*H10194</f>
        <v>4000</v>
      </c>
      <c r="K10194" s="912" t="s">
        <v>274</v>
      </c>
      <c r="L10194" s="912"/>
      <c r="M10194" s="912"/>
      <c r="N10194" s="912"/>
      <c r="O10194" s="892">
        <f t="shared" si="813"/>
        <v>0</v>
      </c>
      <c r="P10194" s="903">
        <f t="shared" si="814"/>
        <v>1</v>
      </c>
      <c r="Q10194" s="893">
        <f t="shared" si="815"/>
        <v>8</v>
      </c>
      <c r="R10194" s="894">
        <f t="shared" si="816"/>
        <v>0</v>
      </c>
    </row>
    <row r="10195" spans="1:18" s="847" customFormat="1">
      <c r="A10195" s="905"/>
      <c r="B10195" s="952"/>
      <c r="C10195" s="907">
        <v>235</v>
      </c>
      <c r="D10195" s="907" t="s">
        <v>279</v>
      </c>
      <c r="E10195" s="992" t="s">
        <v>2682</v>
      </c>
      <c r="F10195" s="905" t="s">
        <v>45</v>
      </c>
      <c r="G10195" s="1005"/>
      <c r="H10195" s="911">
        <v>0.3</v>
      </c>
      <c r="I10195" s="912">
        <f>VLOOKUP(E10195,[3]VLP!$B$7:$K$300,10,0)</f>
        <v>5000</v>
      </c>
      <c r="J10195" s="912">
        <f>I10195*H10195</f>
        <v>1500</v>
      </c>
      <c r="K10195" s="912" t="s">
        <v>274</v>
      </c>
      <c r="L10195" s="912"/>
      <c r="M10195" s="912"/>
      <c r="N10195" s="912"/>
      <c r="O10195" s="892">
        <f t="shared" si="813"/>
        <v>0</v>
      </c>
      <c r="P10195" s="903">
        <f t="shared" si="814"/>
        <v>1</v>
      </c>
      <c r="Q10195" s="893">
        <f t="shared" si="815"/>
        <v>7</v>
      </c>
      <c r="R10195" s="894">
        <f t="shared" si="816"/>
        <v>0</v>
      </c>
    </row>
    <row r="10196" spans="1:18" s="904" customFormat="1">
      <c r="A10196" s="905"/>
      <c r="B10196" s="952"/>
      <c r="C10196" s="907">
        <v>699</v>
      </c>
      <c r="D10196" s="907" t="s">
        <v>279</v>
      </c>
      <c r="E10196" s="992" t="s">
        <v>4006</v>
      </c>
      <c r="F10196" s="905" t="s">
        <v>4007</v>
      </c>
      <c r="G10196" s="1005"/>
      <c r="H10196" s="911">
        <v>10</v>
      </c>
      <c r="I10196" s="912">
        <f>VLOOKUP(E10196,[3]VLP!$B$7:$K$300,10,0)</f>
        <v>5000</v>
      </c>
      <c r="J10196" s="912">
        <f>I10196*H10196</f>
        <v>50000</v>
      </c>
      <c r="K10196" s="912" t="s">
        <v>274</v>
      </c>
      <c r="L10196" s="912"/>
      <c r="M10196" s="912"/>
      <c r="N10196" s="912"/>
      <c r="O10196" s="892">
        <f t="shared" si="813"/>
        <v>0</v>
      </c>
      <c r="P10196" s="903">
        <f t="shared" si="814"/>
        <v>1</v>
      </c>
      <c r="Q10196" s="893">
        <f t="shared" si="815"/>
        <v>6</v>
      </c>
      <c r="R10196" s="894">
        <f t="shared" si="816"/>
        <v>0</v>
      </c>
    </row>
    <row r="10197" spans="1:18">
      <c r="A10197" s="895"/>
      <c r="B10197" s="896"/>
      <c r="C10197" s="897"/>
      <c r="D10197" s="897"/>
      <c r="E10197" s="1002" t="s">
        <v>276</v>
      </c>
      <c r="F10197" s="1003"/>
      <c r="G10197" s="1004"/>
      <c r="H10197" s="901"/>
      <c r="I10197" s="902"/>
      <c r="J10197" s="902"/>
      <c r="K10197" s="912" t="s">
        <v>274</v>
      </c>
      <c r="L10197" s="902"/>
      <c r="M10197" s="902"/>
      <c r="N10197" s="902"/>
      <c r="O10197" s="892">
        <f t="shared" si="813"/>
        <v>0</v>
      </c>
      <c r="P10197" s="903">
        <f t="shared" si="814"/>
        <v>1</v>
      </c>
      <c r="Q10197" s="893">
        <f t="shared" si="815"/>
        <v>5</v>
      </c>
      <c r="R10197" s="894">
        <f t="shared" si="816"/>
        <v>0</v>
      </c>
    </row>
    <row r="10198" spans="1:18" s="847" customFormat="1">
      <c r="A10198" s="905"/>
      <c r="B10198" s="952"/>
      <c r="C10198" s="907">
        <v>740</v>
      </c>
      <c r="D10198" s="907" t="s">
        <v>12</v>
      </c>
      <c r="E10198" s="992" t="s">
        <v>4008</v>
      </c>
      <c r="F10198" s="905" t="s">
        <v>2674</v>
      </c>
      <c r="G10198" s="1005"/>
      <c r="H10198" s="911">
        <v>3.72</v>
      </c>
      <c r="I10198" s="912"/>
      <c r="J10198" s="912"/>
      <c r="K10198" s="912">
        <f>VLOOKUP(E10198,[5]ĐMNC!$A$7:$F$67,4,0)</f>
        <v>221125</v>
      </c>
      <c r="L10198" s="912">
        <f>H10198*K10198</f>
        <v>822585</v>
      </c>
      <c r="M10198" s="912"/>
      <c r="N10198" s="912"/>
      <c r="O10198" s="892">
        <f t="shared" si="813"/>
        <v>0</v>
      </c>
      <c r="P10198" s="903">
        <f t="shared" si="814"/>
        <v>1</v>
      </c>
      <c r="Q10198" s="893">
        <f t="shared" si="815"/>
        <v>4</v>
      </c>
      <c r="R10198" s="894">
        <f t="shared" si="816"/>
        <v>0</v>
      </c>
    </row>
    <row r="10199" spans="1:18" s="904" customFormat="1">
      <c r="A10199" s="895"/>
      <c r="B10199" s="896"/>
      <c r="C10199" s="897"/>
      <c r="D10199" s="897"/>
      <c r="E10199" s="1002" t="s">
        <v>3914</v>
      </c>
      <c r="F10199" s="895"/>
      <c r="G10199" s="1004"/>
      <c r="H10199" s="901"/>
      <c r="I10199" s="902"/>
      <c r="J10199" s="902"/>
      <c r="K10199" s="912" t="s">
        <v>274</v>
      </c>
      <c r="L10199" s="902"/>
      <c r="M10199" s="902"/>
      <c r="N10199" s="902"/>
      <c r="O10199" s="892">
        <f t="shared" si="813"/>
        <v>0</v>
      </c>
      <c r="P10199" s="903">
        <f t="shared" si="814"/>
        <v>1</v>
      </c>
      <c r="Q10199" s="893">
        <f t="shared" si="815"/>
        <v>3</v>
      </c>
      <c r="R10199" s="894">
        <f t="shared" si="816"/>
        <v>0</v>
      </c>
    </row>
    <row r="10200" spans="1:18">
      <c r="A10200" s="905"/>
      <c r="B10200" s="952" t="s">
        <v>6434</v>
      </c>
      <c r="C10200" s="907">
        <v>912</v>
      </c>
      <c r="D10200" s="907" t="s">
        <v>93</v>
      </c>
      <c r="E10200" s="992" t="s">
        <v>6435</v>
      </c>
      <c r="F10200" s="905" t="s">
        <v>2673</v>
      </c>
      <c r="G10200" s="1005"/>
      <c r="H10200" s="911">
        <v>0.28499999999999998</v>
      </c>
      <c r="I10200" s="912"/>
      <c r="J10200" s="912"/>
      <c r="K10200" s="912"/>
      <c r="L10200" s="912"/>
      <c r="M10200" s="912">
        <f>VLOOKUP(B10200,MTC!$B$9:$S$933,12,0)</f>
        <v>0</v>
      </c>
      <c r="N10200" s="912">
        <f>M10200*H10200</f>
        <v>0</v>
      </c>
      <c r="O10200" s="892">
        <f t="shared" si="813"/>
        <v>0</v>
      </c>
      <c r="P10200" s="903">
        <f t="shared" si="814"/>
        <v>1</v>
      </c>
      <c r="Q10200" s="893">
        <f t="shared" si="815"/>
        <v>2</v>
      </c>
      <c r="R10200" s="894">
        <f t="shared" si="816"/>
        <v>0</v>
      </c>
    </row>
    <row r="10201" spans="1:18" s="847" customFormat="1">
      <c r="A10201" s="905"/>
      <c r="B10201" s="952" t="s">
        <v>6414</v>
      </c>
      <c r="C10201" s="907">
        <v>914</v>
      </c>
      <c r="D10201" s="907" t="s">
        <v>93</v>
      </c>
      <c r="E10201" s="992" t="s">
        <v>6415</v>
      </c>
      <c r="F10201" s="905" t="s">
        <v>2673</v>
      </c>
      <c r="G10201" s="1005"/>
      <c r="H10201" s="911">
        <v>0.1</v>
      </c>
      <c r="I10201" s="912"/>
      <c r="J10201" s="912"/>
      <c r="K10201" s="912"/>
      <c r="L10201" s="912"/>
      <c r="M10201" s="912">
        <f>VLOOKUP(B10201,MTC!$B$9:$S$933,12,0)</f>
        <v>0</v>
      </c>
      <c r="N10201" s="912">
        <f>M10201*H10201</f>
        <v>0</v>
      </c>
      <c r="O10201" s="892">
        <f t="shared" si="813"/>
        <v>0</v>
      </c>
      <c r="P10201" s="903">
        <f t="shared" si="814"/>
        <v>1</v>
      </c>
      <c r="Q10201" s="893">
        <f t="shared" si="815"/>
        <v>1</v>
      </c>
      <c r="R10201" s="894">
        <f t="shared" si="816"/>
        <v>0</v>
      </c>
    </row>
    <row r="10202" spans="1:18" s="904" customFormat="1" ht="47.25">
      <c r="A10202" s="905">
        <v>146</v>
      </c>
      <c r="B10202" s="914" t="s">
        <v>6645</v>
      </c>
      <c r="C10202" s="915"/>
      <c r="D10202" s="915"/>
      <c r="E10202" s="1006" t="s">
        <v>6646</v>
      </c>
      <c r="F10202" s="1007" t="s">
        <v>136</v>
      </c>
      <c r="G10202" s="1008"/>
      <c r="H10202" s="919"/>
      <c r="I10202" s="920"/>
      <c r="J10202" s="962">
        <f>SUM(J10203:J10211)</f>
        <v>55500</v>
      </c>
      <c r="K10202" s="891" t="s">
        <v>274</v>
      </c>
      <c r="L10202" s="962">
        <f>SUM(L10203:L10211)</f>
        <v>959682.5</v>
      </c>
      <c r="M10202" s="962"/>
      <c r="N10202" s="962">
        <f>SUM(N10203:N10211)</f>
        <v>0</v>
      </c>
      <c r="O10202" s="892">
        <f t="shared" si="813"/>
        <v>1</v>
      </c>
      <c r="P10202" s="903">
        <f t="shared" si="814"/>
        <v>0</v>
      </c>
      <c r="Q10202" s="893">
        <f t="shared" si="815"/>
        <v>0</v>
      </c>
      <c r="R10202" s="894">
        <f t="shared" si="816"/>
        <v>9</v>
      </c>
    </row>
    <row r="10203" spans="1:18">
      <c r="A10203" s="895"/>
      <c r="B10203" s="896"/>
      <c r="C10203" s="897"/>
      <c r="D10203" s="897"/>
      <c r="E10203" s="1002" t="s">
        <v>108</v>
      </c>
      <c r="F10203" s="895"/>
      <c r="G10203" s="1004"/>
      <c r="H10203" s="901"/>
      <c r="I10203" s="902"/>
      <c r="J10203" s="902"/>
      <c r="K10203" s="912" t="s">
        <v>274</v>
      </c>
      <c r="L10203" s="902"/>
      <c r="M10203" s="902"/>
      <c r="N10203" s="902"/>
      <c r="O10203" s="892">
        <f t="shared" si="813"/>
        <v>0</v>
      </c>
      <c r="P10203" s="903">
        <f t="shared" si="814"/>
        <v>1</v>
      </c>
      <c r="Q10203" s="893">
        <f t="shared" si="815"/>
        <v>9</v>
      </c>
      <c r="R10203" s="894">
        <f t="shared" si="816"/>
        <v>0</v>
      </c>
    </row>
    <row r="10204" spans="1:18" s="847" customFormat="1">
      <c r="A10204" s="905"/>
      <c r="B10204" s="952"/>
      <c r="C10204" s="907">
        <v>315</v>
      </c>
      <c r="D10204" s="907" t="s">
        <v>279</v>
      </c>
      <c r="E10204" s="992" t="s">
        <v>6316</v>
      </c>
      <c r="F10204" s="905" t="s">
        <v>49</v>
      </c>
      <c r="G10204" s="1005"/>
      <c r="H10204" s="911">
        <v>0.5</v>
      </c>
      <c r="I10204" s="912">
        <f>VLOOKUP(E10204,[3]VLP!$B$7:$K$300,10,0)</f>
        <v>8000</v>
      </c>
      <c r="J10204" s="912">
        <f>I10204*H10204</f>
        <v>4000</v>
      </c>
      <c r="K10204" s="912" t="s">
        <v>274</v>
      </c>
      <c r="L10204" s="912"/>
      <c r="M10204" s="912"/>
      <c r="N10204" s="912"/>
      <c r="O10204" s="892">
        <f t="shared" si="813"/>
        <v>0</v>
      </c>
      <c r="P10204" s="903">
        <f t="shared" si="814"/>
        <v>1</v>
      </c>
      <c r="Q10204" s="893">
        <f t="shared" si="815"/>
        <v>8</v>
      </c>
      <c r="R10204" s="894">
        <f t="shared" si="816"/>
        <v>0</v>
      </c>
    </row>
    <row r="10205" spans="1:18" s="904" customFormat="1">
      <c r="A10205" s="905"/>
      <c r="B10205" s="952"/>
      <c r="C10205" s="907">
        <v>235</v>
      </c>
      <c r="D10205" s="907" t="s">
        <v>279</v>
      </c>
      <c r="E10205" s="992" t="s">
        <v>2682</v>
      </c>
      <c r="F10205" s="905" t="s">
        <v>45</v>
      </c>
      <c r="G10205" s="1005"/>
      <c r="H10205" s="911">
        <v>0.3</v>
      </c>
      <c r="I10205" s="912">
        <f>VLOOKUP(E10205,[3]VLP!$B$7:$K$300,10,0)</f>
        <v>5000</v>
      </c>
      <c r="J10205" s="912">
        <f>I10205*H10205</f>
        <v>1500</v>
      </c>
      <c r="K10205" s="912" t="s">
        <v>274</v>
      </c>
      <c r="L10205" s="912"/>
      <c r="M10205" s="912"/>
      <c r="N10205" s="912"/>
      <c r="O10205" s="892">
        <f t="shared" si="813"/>
        <v>0</v>
      </c>
      <c r="P10205" s="903">
        <f t="shared" si="814"/>
        <v>1</v>
      </c>
      <c r="Q10205" s="893">
        <f t="shared" si="815"/>
        <v>7</v>
      </c>
      <c r="R10205" s="894">
        <f t="shared" si="816"/>
        <v>0</v>
      </c>
    </row>
    <row r="10206" spans="1:18">
      <c r="A10206" s="905"/>
      <c r="B10206" s="952"/>
      <c r="C10206" s="907">
        <v>699</v>
      </c>
      <c r="D10206" s="907" t="s">
        <v>279</v>
      </c>
      <c r="E10206" s="992" t="s">
        <v>4006</v>
      </c>
      <c r="F10206" s="905" t="s">
        <v>4007</v>
      </c>
      <c r="G10206" s="1005"/>
      <c r="H10206" s="911">
        <v>10</v>
      </c>
      <c r="I10206" s="912">
        <f>VLOOKUP(E10206,[3]VLP!$B$7:$K$300,10,0)</f>
        <v>5000</v>
      </c>
      <c r="J10206" s="912">
        <f>I10206*H10206</f>
        <v>50000</v>
      </c>
      <c r="K10206" s="912" t="s">
        <v>274</v>
      </c>
      <c r="L10206" s="912"/>
      <c r="M10206" s="912"/>
      <c r="N10206" s="912"/>
      <c r="O10206" s="892">
        <f t="shared" si="813"/>
        <v>0</v>
      </c>
      <c r="P10206" s="903">
        <f t="shared" si="814"/>
        <v>1</v>
      </c>
      <c r="Q10206" s="893">
        <f t="shared" si="815"/>
        <v>6</v>
      </c>
      <c r="R10206" s="894">
        <f t="shared" si="816"/>
        <v>0</v>
      </c>
    </row>
    <row r="10207" spans="1:18" s="847" customFormat="1">
      <c r="A10207" s="895"/>
      <c r="B10207" s="896"/>
      <c r="C10207" s="897"/>
      <c r="D10207" s="897"/>
      <c r="E10207" s="1002" t="s">
        <v>276</v>
      </c>
      <c r="F10207" s="1003"/>
      <c r="G10207" s="1004"/>
      <c r="H10207" s="901"/>
      <c r="I10207" s="902"/>
      <c r="J10207" s="902"/>
      <c r="K10207" s="912" t="s">
        <v>274</v>
      </c>
      <c r="L10207" s="902"/>
      <c r="M10207" s="902"/>
      <c r="N10207" s="902"/>
      <c r="O10207" s="892">
        <f t="shared" ref="O10207:O10270" si="817">IF(AND(B10207&lt;&gt;"",D10207=""),1,0)</f>
        <v>0</v>
      </c>
      <c r="P10207" s="903">
        <f t="shared" si="814"/>
        <v>1</v>
      </c>
      <c r="Q10207" s="893">
        <f t="shared" si="815"/>
        <v>5</v>
      </c>
      <c r="R10207" s="894">
        <f t="shared" si="816"/>
        <v>0</v>
      </c>
    </row>
    <row r="10208" spans="1:18" s="904" customFormat="1">
      <c r="A10208" s="905"/>
      <c r="B10208" s="952"/>
      <c r="C10208" s="907">
        <v>740</v>
      </c>
      <c r="D10208" s="907" t="s">
        <v>12</v>
      </c>
      <c r="E10208" s="992" t="s">
        <v>4008</v>
      </c>
      <c r="F10208" s="905" t="s">
        <v>2674</v>
      </c>
      <c r="G10208" s="1005"/>
      <c r="H10208" s="911">
        <v>4.34</v>
      </c>
      <c r="I10208" s="912"/>
      <c r="J10208" s="912"/>
      <c r="K10208" s="912">
        <f>VLOOKUP(E10208,[5]ĐMNC!$A$7:$F$67,4,0)</f>
        <v>221125</v>
      </c>
      <c r="L10208" s="912">
        <f>H10208*K10208</f>
        <v>959682.5</v>
      </c>
      <c r="M10208" s="912"/>
      <c r="N10208" s="912"/>
      <c r="O10208" s="892">
        <f t="shared" si="817"/>
        <v>0</v>
      </c>
      <c r="P10208" s="903">
        <f t="shared" si="814"/>
        <v>1</v>
      </c>
      <c r="Q10208" s="893">
        <f t="shared" si="815"/>
        <v>4</v>
      </c>
      <c r="R10208" s="894">
        <f t="shared" si="816"/>
        <v>0</v>
      </c>
    </row>
    <row r="10209" spans="1:18">
      <c r="A10209" s="895"/>
      <c r="B10209" s="896"/>
      <c r="C10209" s="897"/>
      <c r="D10209" s="897"/>
      <c r="E10209" s="1002" t="s">
        <v>3914</v>
      </c>
      <c r="F10209" s="895"/>
      <c r="G10209" s="1004"/>
      <c r="H10209" s="901"/>
      <c r="I10209" s="902"/>
      <c r="J10209" s="902"/>
      <c r="K10209" s="912" t="s">
        <v>274</v>
      </c>
      <c r="L10209" s="902"/>
      <c r="M10209" s="902"/>
      <c r="N10209" s="902"/>
      <c r="O10209" s="892">
        <f t="shared" si="817"/>
        <v>0</v>
      </c>
      <c r="P10209" s="903">
        <f t="shared" si="814"/>
        <v>1</v>
      </c>
      <c r="Q10209" s="893">
        <f t="shared" si="815"/>
        <v>3</v>
      </c>
      <c r="R10209" s="894">
        <f t="shared" si="816"/>
        <v>0</v>
      </c>
    </row>
    <row r="10210" spans="1:18" s="847" customFormat="1">
      <c r="A10210" s="905"/>
      <c r="B10210" s="952" t="s">
        <v>6434</v>
      </c>
      <c r="C10210" s="907">
        <v>912</v>
      </c>
      <c r="D10210" s="907" t="s">
        <v>93</v>
      </c>
      <c r="E10210" s="992" t="s">
        <v>6435</v>
      </c>
      <c r="F10210" s="905" t="s">
        <v>2673</v>
      </c>
      <c r="G10210" s="1005"/>
      <c r="H10210" s="911">
        <v>0.34</v>
      </c>
      <c r="I10210" s="912"/>
      <c r="J10210" s="912"/>
      <c r="K10210" s="912"/>
      <c r="L10210" s="912"/>
      <c r="M10210" s="912">
        <f>VLOOKUP(B10210,MTC!$B$9:$S$933,12,0)</f>
        <v>0</v>
      </c>
      <c r="N10210" s="912">
        <f>M10210*H10210</f>
        <v>0</v>
      </c>
      <c r="O10210" s="892">
        <f t="shared" si="817"/>
        <v>0</v>
      </c>
      <c r="P10210" s="903">
        <f t="shared" si="814"/>
        <v>1</v>
      </c>
      <c r="Q10210" s="893">
        <f t="shared" si="815"/>
        <v>2</v>
      </c>
      <c r="R10210" s="894">
        <f t="shared" si="816"/>
        <v>0</v>
      </c>
    </row>
    <row r="10211" spans="1:18" s="904" customFormat="1">
      <c r="A10211" s="905"/>
      <c r="B10211" s="952" t="s">
        <v>6414</v>
      </c>
      <c r="C10211" s="907">
        <v>914</v>
      </c>
      <c r="D10211" s="907" t="s">
        <v>93</v>
      </c>
      <c r="E10211" s="992" t="s">
        <v>6415</v>
      </c>
      <c r="F10211" s="905" t="s">
        <v>2673</v>
      </c>
      <c r="G10211" s="1005"/>
      <c r="H10211" s="911">
        <v>0.1</v>
      </c>
      <c r="I10211" s="912"/>
      <c r="J10211" s="912"/>
      <c r="K10211" s="912"/>
      <c r="L10211" s="912"/>
      <c r="M10211" s="912">
        <f>VLOOKUP(B10211,MTC!$B$9:$S$933,12,0)</f>
        <v>0</v>
      </c>
      <c r="N10211" s="912">
        <f>M10211*H10211</f>
        <v>0</v>
      </c>
      <c r="O10211" s="892">
        <f t="shared" si="817"/>
        <v>0</v>
      </c>
      <c r="P10211" s="903">
        <f t="shared" si="814"/>
        <v>1</v>
      </c>
      <c r="Q10211" s="893">
        <f t="shared" si="815"/>
        <v>1</v>
      </c>
      <c r="R10211" s="894">
        <f t="shared" si="816"/>
        <v>0</v>
      </c>
    </row>
    <row r="10212" spans="1:18" ht="31.5">
      <c r="A10212" s="905" t="s">
        <v>6647</v>
      </c>
      <c r="B10212" s="914" t="s">
        <v>6648</v>
      </c>
      <c r="C10212" s="915"/>
      <c r="D10212" s="915"/>
      <c r="E10212" s="1006" t="s">
        <v>6649</v>
      </c>
      <c r="F10212" s="1007" t="s">
        <v>136</v>
      </c>
      <c r="G10212" s="1008"/>
      <c r="H10212" s="919"/>
      <c r="I10212" s="920"/>
      <c r="J10212" s="891">
        <f>SUM(J10213:J10223)</f>
        <v>55500</v>
      </c>
      <c r="K10212" s="891" t="s">
        <v>274</v>
      </c>
      <c r="L10212" s="891">
        <f>SUM(L10213:L10223)</f>
        <v>707600</v>
      </c>
      <c r="M10212" s="891"/>
      <c r="N10212" s="891">
        <f>SUM(N10213:N10223)</f>
        <v>51965.279999999999</v>
      </c>
      <c r="O10212" s="892">
        <f t="shared" si="817"/>
        <v>1</v>
      </c>
      <c r="P10212" s="903">
        <f t="shared" si="814"/>
        <v>0</v>
      </c>
      <c r="Q10212" s="893">
        <f t="shared" si="815"/>
        <v>0</v>
      </c>
      <c r="R10212" s="894">
        <f t="shared" si="816"/>
        <v>11</v>
      </c>
    </row>
    <row r="10213" spans="1:18" s="847" customFormat="1">
      <c r="A10213" s="895"/>
      <c r="B10213" s="922"/>
      <c r="C10213" s="897"/>
      <c r="D10213" s="897"/>
      <c r="E10213" s="1002" t="s">
        <v>108</v>
      </c>
      <c r="F10213" s="895"/>
      <c r="G10213" s="1004"/>
      <c r="H10213" s="901"/>
      <c r="I10213" s="902"/>
      <c r="J10213" s="902"/>
      <c r="K10213" s="912" t="s">
        <v>274</v>
      </c>
      <c r="L10213" s="902"/>
      <c r="M10213" s="902"/>
      <c r="N10213" s="902"/>
      <c r="O10213" s="892">
        <f t="shared" si="817"/>
        <v>0</v>
      </c>
      <c r="P10213" s="903">
        <f t="shared" si="814"/>
        <v>1</v>
      </c>
      <c r="Q10213" s="893">
        <f t="shared" si="815"/>
        <v>11</v>
      </c>
      <c r="R10213" s="894">
        <f t="shared" si="816"/>
        <v>0</v>
      </c>
    </row>
    <row r="10214" spans="1:18" s="904" customFormat="1">
      <c r="A10214" s="905"/>
      <c r="B10214" s="952"/>
      <c r="C10214" s="907">
        <v>315</v>
      </c>
      <c r="D10214" s="907" t="s">
        <v>279</v>
      </c>
      <c r="E10214" s="992" t="s">
        <v>6316</v>
      </c>
      <c r="F10214" s="905" t="s">
        <v>49</v>
      </c>
      <c r="G10214" s="1005"/>
      <c r="H10214" s="911">
        <v>0.5</v>
      </c>
      <c r="I10214" s="912">
        <f>VLOOKUP(E10214,[3]VLP!$B$7:$K$300,10,0)</f>
        <v>8000</v>
      </c>
      <c r="J10214" s="912">
        <f>I10214*H10214</f>
        <v>4000</v>
      </c>
      <c r="K10214" s="912" t="s">
        <v>274</v>
      </c>
      <c r="L10214" s="912"/>
      <c r="M10214" s="912"/>
      <c r="N10214" s="912"/>
      <c r="O10214" s="892">
        <f t="shared" si="817"/>
        <v>0</v>
      </c>
      <c r="P10214" s="903">
        <f t="shared" si="814"/>
        <v>1</v>
      </c>
      <c r="Q10214" s="893">
        <f t="shared" si="815"/>
        <v>10</v>
      </c>
      <c r="R10214" s="894">
        <f t="shared" si="816"/>
        <v>0</v>
      </c>
    </row>
    <row r="10215" spans="1:18">
      <c r="A10215" s="905"/>
      <c r="B10215" s="952"/>
      <c r="C10215" s="907">
        <v>235</v>
      </c>
      <c r="D10215" s="907" t="s">
        <v>279</v>
      </c>
      <c r="E10215" s="992" t="s">
        <v>2682</v>
      </c>
      <c r="F10215" s="905" t="s">
        <v>45</v>
      </c>
      <c r="G10215" s="1005"/>
      <c r="H10215" s="911">
        <v>0.3</v>
      </c>
      <c r="I10215" s="912">
        <f>VLOOKUP(E10215,[3]VLP!$B$7:$K$300,10,0)</f>
        <v>5000</v>
      </c>
      <c r="J10215" s="912">
        <f>I10215*H10215</f>
        <v>1500</v>
      </c>
      <c r="K10215" s="912" t="s">
        <v>274</v>
      </c>
      <c r="L10215" s="912"/>
      <c r="M10215" s="912"/>
      <c r="N10215" s="912"/>
      <c r="O10215" s="892">
        <f t="shared" si="817"/>
        <v>0</v>
      </c>
      <c r="P10215" s="903">
        <f t="shared" si="814"/>
        <v>1</v>
      </c>
      <c r="Q10215" s="893">
        <f t="shared" si="815"/>
        <v>9</v>
      </c>
      <c r="R10215" s="894">
        <f t="shared" si="816"/>
        <v>0</v>
      </c>
    </row>
    <row r="10216" spans="1:18" s="847" customFormat="1">
      <c r="A10216" s="905"/>
      <c r="B10216" s="952"/>
      <c r="C10216" s="907">
        <v>699</v>
      </c>
      <c r="D10216" s="907" t="s">
        <v>279</v>
      </c>
      <c r="E10216" s="992" t="s">
        <v>4006</v>
      </c>
      <c r="F10216" s="905" t="s">
        <v>4007</v>
      </c>
      <c r="G10216" s="1005"/>
      <c r="H10216" s="911">
        <v>10</v>
      </c>
      <c r="I10216" s="912">
        <f>VLOOKUP(E10216,[3]VLP!$B$7:$K$300,10,0)</f>
        <v>5000</v>
      </c>
      <c r="J10216" s="912">
        <f>I10216*H10216</f>
        <v>50000</v>
      </c>
      <c r="K10216" s="912" t="s">
        <v>274</v>
      </c>
      <c r="L10216" s="912"/>
      <c r="M10216" s="912"/>
      <c r="N10216" s="912"/>
      <c r="O10216" s="892">
        <f t="shared" si="817"/>
        <v>0</v>
      </c>
      <c r="P10216" s="903">
        <f t="shared" si="814"/>
        <v>1</v>
      </c>
      <c r="Q10216" s="893">
        <f t="shared" si="815"/>
        <v>8</v>
      </c>
      <c r="R10216" s="894">
        <f t="shared" si="816"/>
        <v>0</v>
      </c>
    </row>
    <row r="10217" spans="1:18" s="904" customFormat="1">
      <c r="A10217" s="895"/>
      <c r="B10217" s="896"/>
      <c r="C10217" s="897"/>
      <c r="D10217" s="897"/>
      <c r="E10217" s="1002" t="s">
        <v>276</v>
      </c>
      <c r="F10217" s="1003"/>
      <c r="G10217" s="1004"/>
      <c r="H10217" s="901"/>
      <c r="I10217" s="902"/>
      <c r="J10217" s="902"/>
      <c r="K10217" s="912" t="s">
        <v>274</v>
      </c>
      <c r="L10217" s="902"/>
      <c r="M10217" s="902"/>
      <c r="N10217" s="902"/>
      <c r="O10217" s="892">
        <f t="shared" si="817"/>
        <v>0</v>
      </c>
      <c r="P10217" s="903">
        <f t="shared" si="814"/>
        <v>1</v>
      </c>
      <c r="Q10217" s="893">
        <f t="shared" si="815"/>
        <v>7</v>
      </c>
      <c r="R10217" s="894">
        <f t="shared" si="816"/>
        <v>0</v>
      </c>
    </row>
    <row r="10218" spans="1:18">
      <c r="A10218" s="905"/>
      <c r="B10218" s="952"/>
      <c r="C10218" s="907">
        <v>740</v>
      </c>
      <c r="D10218" s="907" t="s">
        <v>12</v>
      </c>
      <c r="E10218" s="992" t="s">
        <v>4008</v>
      </c>
      <c r="F10218" s="905" t="s">
        <v>2674</v>
      </c>
      <c r="G10218" s="1005"/>
      <c r="H10218" s="911">
        <v>3.2</v>
      </c>
      <c r="I10218" s="912"/>
      <c r="J10218" s="912"/>
      <c r="K10218" s="912">
        <f>VLOOKUP(E10218,[5]ĐMNC!$A$7:$F$67,4,0)</f>
        <v>221125</v>
      </c>
      <c r="L10218" s="912">
        <f>H10218*K10218</f>
        <v>707600</v>
      </c>
      <c r="M10218" s="912"/>
      <c r="N10218" s="912"/>
      <c r="O10218" s="892">
        <f t="shared" si="817"/>
        <v>0</v>
      </c>
      <c r="P10218" s="903">
        <f t="shared" si="814"/>
        <v>1</v>
      </c>
      <c r="Q10218" s="893">
        <f t="shared" si="815"/>
        <v>6</v>
      </c>
      <c r="R10218" s="894">
        <f t="shared" si="816"/>
        <v>0</v>
      </c>
    </row>
    <row r="10219" spans="1:18" s="847" customFormat="1">
      <c r="A10219" s="895"/>
      <c r="B10219" s="896"/>
      <c r="C10219" s="897"/>
      <c r="D10219" s="897"/>
      <c r="E10219" s="1002" t="s">
        <v>3914</v>
      </c>
      <c r="F10219" s="895"/>
      <c r="G10219" s="1004"/>
      <c r="H10219" s="901"/>
      <c r="I10219" s="902"/>
      <c r="J10219" s="902"/>
      <c r="K10219" s="912" t="s">
        <v>274</v>
      </c>
      <c r="L10219" s="902"/>
      <c r="M10219" s="902"/>
      <c r="N10219" s="902"/>
      <c r="O10219" s="892">
        <f t="shared" si="817"/>
        <v>0</v>
      </c>
      <c r="P10219" s="903">
        <f t="shared" si="814"/>
        <v>1</v>
      </c>
      <c r="Q10219" s="893">
        <f t="shared" si="815"/>
        <v>5</v>
      </c>
      <c r="R10219" s="894">
        <f t="shared" si="816"/>
        <v>0</v>
      </c>
    </row>
    <row r="10220" spans="1:18" s="904" customFormat="1">
      <c r="A10220" s="905"/>
      <c r="B10220" s="952" t="s">
        <v>6408</v>
      </c>
      <c r="C10220" s="907">
        <v>913</v>
      </c>
      <c r="D10220" s="907" t="s">
        <v>93</v>
      </c>
      <c r="E10220" s="992" t="s">
        <v>6409</v>
      </c>
      <c r="F10220" s="905" t="s">
        <v>2673</v>
      </c>
      <c r="G10220" s="1005"/>
      <c r="H10220" s="911">
        <v>0.72</v>
      </c>
      <c r="I10220" s="912"/>
      <c r="J10220" s="912"/>
      <c r="K10220" s="912"/>
      <c r="L10220" s="912"/>
      <c r="M10220" s="912">
        <f>VLOOKUP(B10220,MTC!$B$9:$S$933,12,0)</f>
        <v>0</v>
      </c>
      <c r="N10220" s="912">
        <f>M10220*H10220</f>
        <v>0</v>
      </c>
      <c r="O10220" s="892">
        <f t="shared" si="817"/>
        <v>0</v>
      </c>
      <c r="P10220" s="903">
        <f t="shared" si="814"/>
        <v>1</v>
      </c>
      <c r="Q10220" s="893">
        <f t="shared" si="815"/>
        <v>4</v>
      </c>
      <c r="R10220" s="894">
        <f t="shared" si="816"/>
        <v>0</v>
      </c>
    </row>
    <row r="10221" spans="1:18">
      <c r="A10221" s="905"/>
      <c r="B10221" s="952" t="s">
        <v>6410</v>
      </c>
      <c r="C10221" s="907">
        <v>906</v>
      </c>
      <c r="D10221" s="907" t="s">
        <v>93</v>
      </c>
      <c r="E10221" s="992" t="s">
        <v>6411</v>
      </c>
      <c r="F10221" s="905" t="s">
        <v>2673</v>
      </c>
      <c r="G10221" s="1005"/>
      <c r="H10221" s="911">
        <v>0.23</v>
      </c>
      <c r="I10221" s="912"/>
      <c r="J10221" s="912"/>
      <c r="K10221" s="912"/>
      <c r="L10221" s="912"/>
      <c r="M10221" s="912">
        <f>VLOOKUP(B10221,MTC!$B$9:$S$933,12,0)</f>
        <v>0</v>
      </c>
      <c r="N10221" s="912">
        <f>M10221*H10221</f>
        <v>0</v>
      </c>
      <c r="O10221" s="892">
        <f t="shared" si="817"/>
        <v>0</v>
      </c>
      <c r="P10221" s="903">
        <f t="shared" si="814"/>
        <v>1</v>
      </c>
      <c r="Q10221" s="893">
        <f t="shared" si="815"/>
        <v>3</v>
      </c>
      <c r="R10221" s="894">
        <f t="shared" si="816"/>
        <v>0</v>
      </c>
    </row>
    <row r="10222" spans="1:18" s="847" customFormat="1">
      <c r="A10222" s="905"/>
      <c r="B10222" s="952" t="s">
        <v>6412</v>
      </c>
      <c r="C10222" s="907">
        <v>905</v>
      </c>
      <c r="D10222" s="907" t="s">
        <v>93</v>
      </c>
      <c r="E10222" s="992" t="s">
        <v>6413</v>
      </c>
      <c r="F10222" s="905" t="s">
        <v>2673</v>
      </c>
      <c r="G10222" s="1005"/>
      <c r="H10222" s="911">
        <v>0.23</v>
      </c>
      <c r="I10222" s="912"/>
      <c r="J10222" s="912"/>
      <c r="K10222" s="912"/>
      <c r="L10222" s="912"/>
      <c r="M10222" s="912">
        <f>VLOOKUP(B10222,MTC!$B$9:$S$933,12,0)</f>
        <v>225936</v>
      </c>
      <c r="N10222" s="912">
        <f>M10222*H10222</f>
        <v>51965.279999999999</v>
      </c>
      <c r="O10222" s="892">
        <f t="shared" si="817"/>
        <v>0</v>
      </c>
      <c r="P10222" s="903">
        <f t="shared" si="814"/>
        <v>1</v>
      </c>
      <c r="Q10222" s="893">
        <f t="shared" si="815"/>
        <v>2</v>
      </c>
      <c r="R10222" s="894">
        <f t="shared" si="816"/>
        <v>0</v>
      </c>
    </row>
    <row r="10223" spans="1:18" s="904" customFormat="1">
      <c r="A10223" s="905"/>
      <c r="B10223" s="952" t="s">
        <v>6414</v>
      </c>
      <c r="C10223" s="907">
        <v>914</v>
      </c>
      <c r="D10223" s="907" t="s">
        <v>93</v>
      </c>
      <c r="E10223" s="992" t="s">
        <v>6415</v>
      </c>
      <c r="F10223" s="905" t="s">
        <v>2673</v>
      </c>
      <c r="G10223" s="1005"/>
      <c r="H10223" s="911">
        <v>0.1</v>
      </c>
      <c r="I10223" s="912"/>
      <c r="J10223" s="912"/>
      <c r="K10223" s="912"/>
      <c r="L10223" s="912"/>
      <c r="M10223" s="912">
        <f>VLOOKUP(B10223,MTC!$B$9:$S$933,12,0)</f>
        <v>0</v>
      </c>
      <c r="N10223" s="912">
        <f>M10223*H10223</f>
        <v>0</v>
      </c>
      <c r="O10223" s="892">
        <f t="shared" si="817"/>
        <v>0</v>
      </c>
      <c r="P10223" s="903">
        <f t="shared" si="814"/>
        <v>1</v>
      </c>
      <c r="Q10223" s="893">
        <f t="shared" si="815"/>
        <v>1</v>
      </c>
      <c r="R10223" s="894">
        <f t="shared" si="816"/>
        <v>0</v>
      </c>
    </row>
    <row r="10224" spans="1:18" ht="31.5">
      <c r="A10224" s="905">
        <v>148</v>
      </c>
      <c r="B10224" s="914" t="s">
        <v>6650</v>
      </c>
      <c r="C10224" s="915"/>
      <c r="D10224" s="915"/>
      <c r="E10224" s="1006" t="s">
        <v>6651</v>
      </c>
      <c r="F10224" s="1007" t="s">
        <v>136</v>
      </c>
      <c r="G10224" s="1008"/>
      <c r="H10224" s="919"/>
      <c r="I10224" s="920"/>
      <c r="J10224" s="891">
        <f>SUM(J10225:J10235)</f>
        <v>55500</v>
      </c>
      <c r="K10224" s="891" t="s">
        <v>274</v>
      </c>
      <c r="L10224" s="891">
        <f>SUM(L10225:L10235)</f>
        <v>771726.25</v>
      </c>
      <c r="M10224" s="891"/>
      <c r="N10224" s="891">
        <f>SUM(N10225:N10235)</f>
        <v>56484</v>
      </c>
      <c r="O10224" s="892">
        <f t="shared" si="817"/>
        <v>1</v>
      </c>
      <c r="P10224" s="903">
        <f t="shared" si="814"/>
        <v>0</v>
      </c>
      <c r="Q10224" s="893">
        <f t="shared" si="815"/>
        <v>0</v>
      </c>
      <c r="R10224" s="894">
        <f t="shared" si="816"/>
        <v>11</v>
      </c>
    </row>
    <row r="10225" spans="1:18" s="847" customFormat="1">
      <c r="A10225" s="895"/>
      <c r="B10225" s="896"/>
      <c r="C10225" s="897"/>
      <c r="D10225" s="897"/>
      <c r="E10225" s="1002" t="s">
        <v>108</v>
      </c>
      <c r="F10225" s="895"/>
      <c r="G10225" s="1004"/>
      <c r="H10225" s="901"/>
      <c r="I10225" s="902"/>
      <c r="J10225" s="902"/>
      <c r="K10225" s="912" t="s">
        <v>274</v>
      </c>
      <c r="L10225" s="902"/>
      <c r="M10225" s="902"/>
      <c r="N10225" s="902"/>
      <c r="O10225" s="892">
        <f t="shared" si="817"/>
        <v>0</v>
      </c>
      <c r="P10225" s="903">
        <f t="shared" si="814"/>
        <v>1</v>
      </c>
      <c r="Q10225" s="893">
        <f t="shared" si="815"/>
        <v>11</v>
      </c>
      <c r="R10225" s="894">
        <f t="shared" si="816"/>
        <v>0</v>
      </c>
    </row>
    <row r="10226" spans="1:18" s="904" customFormat="1">
      <c r="A10226" s="905"/>
      <c r="B10226" s="952"/>
      <c r="C10226" s="907">
        <v>315</v>
      </c>
      <c r="D10226" s="907" t="s">
        <v>279</v>
      </c>
      <c r="E10226" s="992" t="s">
        <v>6316</v>
      </c>
      <c r="F10226" s="905" t="s">
        <v>49</v>
      </c>
      <c r="G10226" s="1005"/>
      <c r="H10226" s="911">
        <v>0.5</v>
      </c>
      <c r="I10226" s="912">
        <f>VLOOKUP(E10226,[3]VLP!$B$7:$K$300,10,0)</f>
        <v>8000</v>
      </c>
      <c r="J10226" s="912">
        <f>I10226*H10226</f>
        <v>4000</v>
      </c>
      <c r="K10226" s="912" t="s">
        <v>274</v>
      </c>
      <c r="L10226" s="912"/>
      <c r="M10226" s="912"/>
      <c r="N10226" s="912"/>
      <c r="O10226" s="892">
        <f t="shared" si="817"/>
        <v>0</v>
      </c>
      <c r="P10226" s="903">
        <f t="shared" si="814"/>
        <v>1</v>
      </c>
      <c r="Q10226" s="893">
        <f t="shared" si="815"/>
        <v>10</v>
      </c>
      <c r="R10226" s="894">
        <f t="shared" si="816"/>
        <v>0</v>
      </c>
    </row>
    <row r="10227" spans="1:18">
      <c r="A10227" s="905"/>
      <c r="B10227" s="952"/>
      <c r="C10227" s="907">
        <v>235</v>
      </c>
      <c r="D10227" s="907" t="s">
        <v>279</v>
      </c>
      <c r="E10227" s="992" t="s">
        <v>2682</v>
      </c>
      <c r="F10227" s="905" t="s">
        <v>45</v>
      </c>
      <c r="G10227" s="1005"/>
      <c r="H10227" s="911">
        <v>0.3</v>
      </c>
      <c r="I10227" s="912">
        <f>VLOOKUP(E10227,[3]VLP!$B$7:$K$300,10,0)</f>
        <v>5000</v>
      </c>
      <c r="J10227" s="912">
        <f>I10227*H10227</f>
        <v>1500</v>
      </c>
      <c r="K10227" s="912" t="s">
        <v>274</v>
      </c>
      <c r="L10227" s="912"/>
      <c r="M10227" s="912"/>
      <c r="N10227" s="912"/>
      <c r="O10227" s="892">
        <f t="shared" si="817"/>
        <v>0</v>
      </c>
      <c r="P10227" s="903">
        <f t="shared" ref="P10227:P10290" si="818">IF(O10227=0,1,0)</f>
        <v>1</v>
      </c>
      <c r="Q10227" s="893">
        <f t="shared" ref="Q10227:Q10290" si="819">IF(P10227=0,0,P10227+Q10228)</f>
        <v>9</v>
      </c>
      <c r="R10227" s="894">
        <f t="shared" ref="R10227:R10290" si="820">IF(Q10227=0,Q10228,0)</f>
        <v>0</v>
      </c>
    </row>
    <row r="10228" spans="1:18" s="847" customFormat="1">
      <c r="A10228" s="905"/>
      <c r="B10228" s="952"/>
      <c r="C10228" s="907">
        <v>699</v>
      </c>
      <c r="D10228" s="907" t="s">
        <v>279</v>
      </c>
      <c r="E10228" s="992" t="s">
        <v>4006</v>
      </c>
      <c r="F10228" s="905" t="s">
        <v>4007</v>
      </c>
      <c r="G10228" s="1005"/>
      <c r="H10228" s="911">
        <v>10</v>
      </c>
      <c r="I10228" s="912">
        <f>VLOOKUP(E10228,[3]VLP!$B$7:$K$300,10,0)</f>
        <v>5000</v>
      </c>
      <c r="J10228" s="912">
        <f>I10228*H10228</f>
        <v>50000</v>
      </c>
      <c r="K10228" s="912" t="s">
        <v>274</v>
      </c>
      <c r="L10228" s="912"/>
      <c r="M10228" s="912"/>
      <c r="N10228" s="912"/>
      <c r="O10228" s="892">
        <f t="shared" si="817"/>
        <v>0</v>
      </c>
      <c r="P10228" s="903">
        <f t="shared" si="818"/>
        <v>1</v>
      </c>
      <c r="Q10228" s="893">
        <f t="shared" si="819"/>
        <v>8</v>
      </c>
      <c r="R10228" s="894">
        <f t="shared" si="820"/>
        <v>0</v>
      </c>
    </row>
    <row r="10229" spans="1:18" s="904" customFormat="1">
      <c r="A10229" s="895"/>
      <c r="B10229" s="896"/>
      <c r="C10229" s="897"/>
      <c r="D10229" s="897"/>
      <c r="E10229" s="1002" t="s">
        <v>276</v>
      </c>
      <c r="F10229" s="1003"/>
      <c r="G10229" s="1004"/>
      <c r="H10229" s="901"/>
      <c r="I10229" s="902"/>
      <c r="J10229" s="902"/>
      <c r="K10229" s="912" t="s">
        <v>274</v>
      </c>
      <c r="L10229" s="902"/>
      <c r="M10229" s="902"/>
      <c r="N10229" s="902"/>
      <c r="O10229" s="892">
        <f t="shared" si="817"/>
        <v>0</v>
      </c>
      <c r="P10229" s="903">
        <f t="shared" si="818"/>
        <v>1</v>
      </c>
      <c r="Q10229" s="893">
        <f t="shared" si="819"/>
        <v>7</v>
      </c>
      <c r="R10229" s="894">
        <f t="shared" si="820"/>
        <v>0</v>
      </c>
    </row>
    <row r="10230" spans="1:18">
      <c r="A10230" s="905"/>
      <c r="B10230" s="952"/>
      <c r="C10230" s="907">
        <v>740</v>
      </c>
      <c r="D10230" s="907" t="s">
        <v>12</v>
      </c>
      <c r="E10230" s="992" t="s">
        <v>4008</v>
      </c>
      <c r="F10230" s="905" t="s">
        <v>2674</v>
      </c>
      <c r="G10230" s="1005"/>
      <c r="H10230" s="911">
        <v>3.49</v>
      </c>
      <c r="I10230" s="912"/>
      <c r="J10230" s="912"/>
      <c r="K10230" s="912">
        <f>VLOOKUP(E10230,[5]ĐMNC!$A$7:$F$67,4,0)</f>
        <v>221125</v>
      </c>
      <c r="L10230" s="912">
        <f>H10230*K10230</f>
        <v>771726.25</v>
      </c>
      <c r="M10230" s="912"/>
      <c r="N10230" s="912"/>
      <c r="O10230" s="892">
        <f t="shared" si="817"/>
        <v>0</v>
      </c>
      <c r="P10230" s="903">
        <f t="shared" si="818"/>
        <v>1</v>
      </c>
      <c r="Q10230" s="893">
        <f t="shared" si="819"/>
        <v>6</v>
      </c>
      <c r="R10230" s="894">
        <f t="shared" si="820"/>
        <v>0</v>
      </c>
    </row>
    <row r="10231" spans="1:18" s="847" customFormat="1">
      <c r="A10231" s="895"/>
      <c r="B10231" s="896"/>
      <c r="C10231" s="897"/>
      <c r="D10231" s="897"/>
      <c r="E10231" s="1002" t="s">
        <v>3914</v>
      </c>
      <c r="F10231" s="895"/>
      <c r="G10231" s="1004"/>
      <c r="H10231" s="901"/>
      <c r="I10231" s="902"/>
      <c r="J10231" s="902"/>
      <c r="K10231" s="912" t="s">
        <v>274</v>
      </c>
      <c r="L10231" s="902"/>
      <c r="M10231" s="902"/>
      <c r="N10231" s="902"/>
      <c r="O10231" s="892">
        <f t="shared" si="817"/>
        <v>0</v>
      </c>
      <c r="P10231" s="903">
        <f t="shared" si="818"/>
        <v>1</v>
      </c>
      <c r="Q10231" s="893">
        <f t="shared" si="819"/>
        <v>5</v>
      </c>
      <c r="R10231" s="894">
        <f t="shared" si="820"/>
        <v>0</v>
      </c>
    </row>
    <row r="10232" spans="1:18" s="904" customFormat="1">
      <c r="A10232" s="905"/>
      <c r="B10232" s="952" t="s">
        <v>6408</v>
      </c>
      <c r="C10232" s="907">
        <v>913</v>
      </c>
      <c r="D10232" s="907" t="s">
        <v>93</v>
      </c>
      <c r="E10232" s="992" t="s">
        <v>6409</v>
      </c>
      <c r="F10232" s="905" t="s">
        <v>2673</v>
      </c>
      <c r="G10232" s="1005"/>
      <c r="H10232" s="911">
        <v>0.79</v>
      </c>
      <c r="I10232" s="912"/>
      <c r="J10232" s="912"/>
      <c r="K10232" s="912"/>
      <c r="L10232" s="912"/>
      <c r="M10232" s="912">
        <f>VLOOKUP(B10232,MTC!$B$9:$S$933,12,0)</f>
        <v>0</v>
      </c>
      <c r="N10232" s="912">
        <f>M10232*H10232</f>
        <v>0</v>
      </c>
      <c r="O10232" s="892">
        <f t="shared" si="817"/>
        <v>0</v>
      </c>
      <c r="P10232" s="903">
        <f t="shared" si="818"/>
        <v>1</v>
      </c>
      <c r="Q10232" s="893">
        <f t="shared" si="819"/>
        <v>4</v>
      </c>
      <c r="R10232" s="894">
        <f t="shared" si="820"/>
        <v>0</v>
      </c>
    </row>
    <row r="10233" spans="1:18">
      <c r="A10233" s="905"/>
      <c r="B10233" s="952" t="s">
        <v>6410</v>
      </c>
      <c r="C10233" s="907">
        <v>906</v>
      </c>
      <c r="D10233" s="907" t="s">
        <v>93</v>
      </c>
      <c r="E10233" s="992" t="s">
        <v>6411</v>
      </c>
      <c r="F10233" s="905" t="s">
        <v>2673</v>
      </c>
      <c r="G10233" s="1005"/>
      <c r="H10233" s="911">
        <v>0.25</v>
      </c>
      <c r="I10233" s="912"/>
      <c r="J10233" s="912"/>
      <c r="K10233" s="912"/>
      <c r="L10233" s="912"/>
      <c r="M10233" s="912">
        <f>VLOOKUP(B10233,MTC!$B$9:$S$933,12,0)</f>
        <v>0</v>
      </c>
      <c r="N10233" s="912">
        <f>M10233*H10233</f>
        <v>0</v>
      </c>
      <c r="O10233" s="892">
        <f t="shared" si="817"/>
        <v>0</v>
      </c>
      <c r="P10233" s="903">
        <f t="shared" si="818"/>
        <v>1</v>
      </c>
      <c r="Q10233" s="893">
        <f t="shared" si="819"/>
        <v>3</v>
      </c>
      <c r="R10233" s="894">
        <f t="shared" si="820"/>
        <v>0</v>
      </c>
    </row>
    <row r="10234" spans="1:18" s="847" customFormat="1">
      <c r="A10234" s="905"/>
      <c r="B10234" s="952" t="s">
        <v>6412</v>
      </c>
      <c r="C10234" s="907">
        <v>905</v>
      </c>
      <c r="D10234" s="907" t="s">
        <v>93</v>
      </c>
      <c r="E10234" s="992" t="s">
        <v>6413</v>
      </c>
      <c r="F10234" s="905" t="s">
        <v>2673</v>
      </c>
      <c r="G10234" s="1005"/>
      <c r="H10234" s="911">
        <v>0.25</v>
      </c>
      <c r="I10234" s="912"/>
      <c r="J10234" s="912"/>
      <c r="K10234" s="912"/>
      <c r="L10234" s="912"/>
      <c r="M10234" s="912">
        <f>VLOOKUP(B10234,MTC!$B$9:$S$933,12,0)</f>
        <v>225936</v>
      </c>
      <c r="N10234" s="912">
        <f>M10234*H10234</f>
        <v>56484</v>
      </c>
      <c r="O10234" s="892">
        <f t="shared" si="817"/>
        <v>0</v>
      </c>
      <c r="P10234" s="903">
        <f t="shared" si="818"/>
        <v>1</v>
      </c>
      <c r="Q10234" s="893">
        <f t="shared" si="819"/>
        <v>2</v>
      </c>
      <c r="R10234" s="894">
        <f t="shared" si="820"/>
        <v>0</v>
      </c>
    </row>
    <row r="10235" spans="1:18" s="904" customFormat="1">
      <c r="A10235" s="905"/>
      <c r="B10235" s="952" t="s">
        <v>6414</v>
      </c>
      <c r="C10235" s="907">
        <v>914</v>
      </c>
      <c r="D10235" s="907" t="s">
        <v>93</v>
      </c>
      <c r="E10235" s="992" t="s">
        <v>6415</v>
      </c>
      <c r="F10235" s="905" t="s">
        <v>2673</v>
      </c>
      <c r="G10235" s="1005"/>
      <c r="H10235" s="911">
        <v>0.1</v>
      </c>
      <c r="I10235" s="912"/>
      <c r="J10235" s="912"/>
      <c r="K10235" s="912"/>
      <c r="L10235" s="912"/>
      <c r="M10235" s="912">
        <f>VLOOKUP(B10235,MTC!$B$9:$S$933,12,0)</f>
        <v>0</v>
      </c>
      <c r="N10235" s="912">
        <f>M10235*H10235</f>
        <v>0</v>
      </c>
      <c r="O10235" s="892">
        <f t="shared" si="817"/>
        <v>0</v>
      </c>
      <c r="P10235" s="903">
        <f t="shared" si="818"/>
        <v>1</v>
      </c>
      <c r="Q10235" s="893">
        <f t="shared" si="819"/>
        <v>1</v>
      </c>
      <c r="R10235" s="894">
        <f t="shared" si="820"/>
        <v>0</v>
      </c>
    </row>
    <row r="10236" spans="1:18" ht="31.5">
      <c r="A10236" s="905">
        <v>149</v>
      </c>
      <c r="B10236" s="914" t="s">
        <v>6652</v>
      </c>
      <c r="C10236" s="915"/>
      <c r="D10236" s="915"/>
      <c r="E10236" s="1006" t="s">
        <v>6653</v>
      </c>
      <c r="F10236" s="1007" t="s">
        <v>136</v>
      </c>
      <c r="G10236" s="1008"/>
      <c r="H10236" s="919"/>
      <c r="I10236" s="920"/>
      <c r="J10236" s="891">
        <f>SUM(J10237:J10247)</f>
        <v>55500</v>
      </c>
      <c r="K10236" s="891" t="s">
        <v>274</v>
      </c>
      <c r="L10236" s="891">
        <f>SUM(L10237:L10247)</f>
        <v>899978.75000000012</v>
      </c>
      <c r="M10236" s="891"/>
      <c r="N10236" s="891">
        <f>SUM(N10237:N10247)</f>
        <v>61002.720000000001</v>
      </c>
      <c r="O10236" s="892">
        <f t="shared" si="817"/>
        <v>1</v>
      </c>
      <c r="P10236" s="903">
        <f t="shared" si="818"/>
        <v>0</v>
      </c>
      <c r="Q10236" s="893">
        <f t="shared" si="819"/>
        <v>0</v>
      </c>
      <c r="R10236" s="894">
        <f t="shared" si="820"/>
        <v>11</v>
      </c>
    </row>
    <row r="10237" spans="1:18" s="847" customFormat="1">
      <c r="A10237" s="895"/>
      <c r="B10237" s="896"/>
      <c r="C10237" s="897"/>
      <c r="D10237" s="897"/>
      <c r="E10237" s="1002" t="s">
        <v>108</v>
      </c>
      <c r="F10237" s="895"/>
      <c r="G10237" s="1004"/>
      <c r="H10237" s="901"/>
      <c r="I10237" s="902"/>
      <c r="J10237" s="902"/>
      <c r="K10237" s="912" t="s">
        <v>274</v>
      </c>
      <c r="L10237" s="902"/>
      <c r="M10237" s="902"/>
      <c r="N10237" s="902"/>
      <c r="O10237" s="892">
        <f t="shared" si="817"/>
        <v>0</v>
      </c>
      <c r="P10237" s="903">
        <f t="shared" si="818"/>
        <v>1</v>
      </c>
      <c r="Q10237" s="893">
        <f t="shared" si="819"/>
        <v>11</v>
      </c>
      <c r="R10237" s="894">
        <f t="shared" si="820"/>
        <v>0</v>
      </c>
    </row>
    <row r="10238" spans="1:18" s="904" customFormat="1">
      <c r="A10238" s="905"/>
      <c r="B10238" s="952"/>
      <c r="C10238" s="907">
        <v>315</v>
      </c>
      <c r="D10238" s="907" t="s">
        <v>279</v>
      </c>
      <c r="E10238" s="992" t="s">
        <v>6316</v>
      </c>
      <c r="F10238" s="905" t="s">
        <v>49</v>
      </c>
      <c r="G10238" s="1005"/>
      <c r="H10238" s="911">
        <v>0.5</v>
      </c>
      <c r="I10238" s="912">
        <f>VLOOKUP(E10238,[3]VLP!$B$7:$K$300,10,0)</f>
        <v>8000</v>
      </c>
      <c r="J10238" s="912">
        <f>I10238*H10238</f>
        <v>4000</v>
      </c>
      <c r="K10238" s="912" t="s">
        <v>274</v>
      </c>
      <c r="L10238" s="912"/>
      <c r="M10238" s="912"/>
      <c r="N10238" s="912"/>
      <c r="O10238" s="892">
        <f t="shared" si="817"/>
        <v>0</v>
      </c>
      <c r="P10238" s="903">
        <f t="shared" si="818"/>
        <v>1</v>
      </c>
      <c r="Q10238" s="893">
        <f t="shared" si="819"/>
        <v>10</v>
      </c>
      <c r="R10238" s="894">
        <f t="shared" si="820"/>
        <v>0</v>
      </c>
    </row>
    <row r="10239" spans="1:18">
      <c r="A10239" s="905"/>
      <c r="B10239" s="952"/>
      <c r="C10239" s="907">
        <v>235</v>
      </c>
      <c r="D10239" s="907" t="s">
        <v>279</v>
      </c>
      <c r="E10239" s="992" t="s">
        <v>2682</v>
      </c>
      <c r="F10239" s="905" t="s">
        <v>45</v>
      </c>
      <c r="G10239" s="1005"/>
      <c r="H10239" s="911">
        <v>0.3</v>
      </c>
      <c r="I10239" s="912">
        <f>VLOOKUP(E10239,[3]VLP!$B$7:$K$300,10,0)</f>
        <v>5000</v>
      </c>
      <c r="J10239" s="912">
        <f>I10239*H10239</f>
        <v>1500</v>
      </c>
      <c r="K10239" s="912" t="s">
        <v>274</v>
      </c>
      <c r="L10239" s="912"/>
      <c r="M10239" s="912"/>
      <c r="N10239" s="912"/>
      <c r="O10239" s="892">
        <f t="shared" si="817"/>
        <v>0</v>
      </c>
      <c r="P10239" s="903">
        <f t="shared" si="818"/>
        <v>1</v>
      </c>
      <c r="Q10239" s="893">
        <f t="shared" si="819"/>
        <v>9</v>
      </c>
      <c r="R10239" s="894">
        <f t="shared" si="820"/>
        <v>0</v>
      </c>
    </row>
    <row r="10240" spans="1:18" s="847" customFormat="1">
      <c r="A10240" s="905"/>
      <c r="B10240" s="952"/>
      <c r="C10240" s="907">
        <v>699</v>
      </c>
      <c r="D10240" s="907" t="s">
        <v>279</v>
      </c>
      <c r="E10240" s="992" t="s">
        <v>4006</v>
      </c>
      <c r="F10240" s="905" t="s">
        <v>4007</v>
      </c>
      <c r="G10240" s="1005"/>
      <c r="H10240" s="911">
        <v>10</v>
      </c>
      <c r="I10240" s="912">
        <f>VLOOKUP(E10240,[3]VLP!$B$7:$K$300,10,0)</f>
        <v>5000</v>
      </c>
      <c r="J10240" s="912">
        <f>I10240*H10240</f>
        <v>50000</v>
      </c>
      <c r="K10240" s="912" t="s">
        <v>274</v>
      </c>
      <c r="L10240" s="912"/>
      <c r="M10240" s="912"/>
      <c r="N10240" s="912"/>
      <c r="O10240" s="892">
        <f t="shared" si="817"/>
        <v>0</v>
      </c>
      <c r="P10240" s="903">
        <f t="shared" si="818"/>
        <v>1</v>
      </c>
      <c r="Q10240" s="893">
        <f t="shared" si="819"/>
        <v>8</v>
      </c>
      <c r="R10240" s="894">
        <f t="shared" si="820"/>
        <v>0</v>
      </c>
    </row>
    <row r="10241" spans="1:18" s="904" customFormat="1">
      <c r="A10241" s="895"/>
      <c r="B10241" s="896"/>
      <c r="C10241" s="897"/>
      <c r="D10241" s="897"/>
      <c r="E10241" s="1002" t="s">
        <v>276</v>
      </c>
      <c r="F10241" s="1003"/>
      <c r="G10241" s="1004"/>
      <c r="H10241" s="901"/>
      <c r="I10241" s="902"/>
      <c r="J10241" s="902"/>
      <c r="K10241" s="912" t="s">
        <v>274</v>
      </c>
      <c r="L10241" s="902"/>
      <c r="M10241" s="902"/>
      <c r="N10241" s="902"/>
      <c r="O10241" s="892">
        <f t="shared" si="817"/>
        <v>0</v>
      </c>
      <c r="P10241" s="903">
        <f t="shared" si="818"/>
        <v>1</v>
      </c>
      <c r="Q10241" s="893">
        <f t="shared" si="819"/>
        <v>7</v>
      </c>
      <c r="R10241" s="894">
        <f t="shared" si="820"/>
        <v>0</v>
      </c>
    </row>
    <row r="10242" spans="1:18">
      <c r="A10242" s="905"/>
      <c r="B10242" s="952"/>
      <c r="C10242" s="907">
        <v>740</v>
      </c>
      <c r="D10242" s="907" t="s">
        <v>12</v>
      </c>
      <c r="E10242" s="992" t="s">
        <v>4008</v>
      </c>
      <c r="F10242" s="905" t="s">
        <v>2674</v>
      </c>
      <c r="G10242" s="1005"/>
      <c r="H10242" s="911">
        <v>4.07</v>
      </c>
      <c r="I10242" s="912"/>
      <c r="J10242" s="912"/>
      <c r="K10242" s="912">
        <f>VLOOKUP(E10242,[5]ĐMNC!$A$7:$F$67,4,0)</f>
        <v>221125</v>
      </c>
      <c r="L10242" s="912">
        <f>H10242*K10242</f>
        <v>899978.75000000012</v>
      </c>
      <c r="M10242" s="912"/>
      <c r="N10242" s="912"/>
      <c r="O10242" s="892">
        <f t="shared" si="817"/>
        <v>0</v>
      </c>
      <c r="P10242" s="903">
        <f t="shared" si="818"/>
        <v>1</v>
      </c>
      <c r="Q10242" s="893">
        <f t="shared" si="819"/>
        <v>6</v>
      </c>
      <c r="R10242" s="894">
        <f t="shared" si="820"/>
        <v>0</v>
      </c>
    </row>
    <row r="10243" spans="1:18" s="847" customFormat="1">
      <c r="A10243" s="895"/>
      <c r="B10243" s="896"/>
      <c r="C10243" s="897"/>
      <c r="D10243" s="897"/>
      <c r="E10243" s="1002" t="s">
        <v>3914</v>
      </c>
      <c r="F10243" s="895"/>
      <c r="G10243" s="1004"/>
      <c r="H10243" s="901"/>
      <c r="I10243" s="902"/>
      <c r="J10243" s="902"/>
      <c r="K10243" s="912" t="s">
        <v>274</v>
      </c>
      <c r="L10243" s="902"/>
      <c r="M10243" s="902"/>
      <c r="N10243" s="902"/>
      <c r="O10243" s="892">
        <f t="shared" si="817"/>
        <v>0</v>
      </c>
      <c r="P10243" s="903">
        <f t="shared" si="818"/>
        <v>1</v>
      </c>
      <c r="Q10243" s="893">
        <f t="shared" si="819"/>
        <v>5</v>
      </c>
      <c r="R10243" s="894">
        <f t="shared" si="820"/>
        <v>0</v>
      </c>
    </row>
    <row r="10244" spans="1:18" s="904" customFormat="1">
      <c r="A10244" s="905"/>
      <c r="B10244" s="952" t="s">
        <v>6408</v>
      </c>
      <c r="C10244" s="907">
        <v>913</v>
      </c>
      <c r="D10244" s="907" t="s">
        <v>93</v>
      </c>
      <c r="E10244" s="992" t="s">
        <v>6409</v>
      </c>
      <c r="F10244" s="905" t="s">
        <v>2673</v>
      </c>
      <c r="G10244" s="1005"/>
      <c r="H10244" s="911">
        <v>0.86</v>
      </c>
      <c r="I10244" s="912"/>
      <c r="J10244" s="912"/>
      <c r="K10244" s="912"/>
      <c r="L10244" s="912"/>
      <c r="M10244" s="912">
        <f>VLOOKUP(B10244,MTC!$B$9:$S$933,12,0)</f>
        <v>0</v>
      </c>
      <c r="N10244" s="912">
        <f>M10244*H10244</f>
        <v>0</v>
      </c>
      <c r="O10244" s="892">
        <f t="shared" si="817"/>
        <v>0</v>
      </c>
      <c r="P10244" s="903">
        <f t="shared" si="818"/>
        <v>1</v>
      </c>
      <c r="Q10244" s="893">
        <f t="shared" si="819"/>
        <v>4</v>
      </c>
      <c r="R10244" s="894">
        <f t="shared" si="820"/>
        <v>0</v>
      </c>
    </row>
    <row r="10245" spans="1:18">
      <c r="A10245" s="905"/>
      <c r="B10245" s="952" t="s">
        <v>6410</v>
      </c>
      <c r="C10245" s="907">
        <v>906</v>
      </c>
      <c r="D10245" s="907" t="s">
        <v>93</v>
      </c>
      <c r="E10245" s="992" t="s">
        <v>6411</v>
      </c>
      <c r="F10245" s="905" t="s">
        <v>2673</v>
      </c>
      <c r="G10245" s="1005"/>
      <c r="H10245" s="911">
        <v>0.27</v>
      </c>
      <c r="I10245" s="912"/>
      <c r="J10245" s="912"/>
      <c r="K10245" s="912"/>
      <c r="L10245" s="912"/>
      <c r="M10245" s="912">
        <f>VLOOKUP(B10245,MTC!$B$9:$S$933,12,0)</f>
        <v>0</v>
      </c>
      <c r="N10245" s="912">
        <f>M10245*H10245</f>
        <v>0</v>
      </c>
      <c r="O10245" s="892">
        <f t="shared" si="817"/>
        <v>0</v>
      </c>
      <c r="P10245" s="903">
        <f t="shared" si="818"/>
        <v>1</v>
      </c>
      <c r="Q10245" s="893">
        <f t="shared" si="819"/>
        <v>3</v>
      </c>
      <c r="R10245" s="894">
        <f t="shared" si="820"/>
        <v>0</v>
      </c>
    </row>
    <row r="10246" spans="1:18" s="847" customFormat="1">
      <c r="A10246" s="905"/>
      <c r="B10246" s="952" t="s">
        <v>6412</v>
      </c>
      <c r="C10246" s="907">
        <v>905</v>
      </c>
      <c r="D10246" s="907" t="s">
        <v>93</v>
      </c>
      <c r="E10246" s="992" t="s">
        <v>6413</v>
      </c>
      <c r="F10246" s="905" t="s">
        <v>2673</v>
      </c>
      <c r="G10246" s="1005"/>
      <c r="H10246" s="911">
        <v>0.27</v>
      </c>
      <c r="I10246" s="912"/>
      <c r="J10246" s="912"/>
      <c r="K10246" s="912"/>
      <c r="L10246" s="912"/>
      <c r="M10246" s="912">
        <f>VLOOKUP(B10246,MTC!$B$9:$S$933,12,0)</f>
        <v>225936</v>
      </c>
      <c r="N10246" s="912">
        <f>M10246*H10246</f>
        <v>61002.720000000001</v>
      </c>
      <c r="O10246" s="892">
        <f t="shared" si="817"/>
        <v>0</v>
      </c>
      <c r="P10246" s="903">
        <f t="shared" si="818"/>
        <v>1</v>
      </c>
      <c r="Q10246" s="893">
        <f t="shared" si="819"/>
        <v>2</v>
      </c>
      <c r="R10246" s="894">
        <f t="shared" si="820"/>
        <v>0</v>
      </c>
    </row>
    <row r="10247" spans="1:18" s="904" customFormat="1">
      <c r="A10247" s="905"/>
      <c r="B10247" s="952" t="s">
        <v>6414</v>
      </c>
      <c r="C10247" s="907">
        <v>914</v>
      </c>
      <c r="D10247" s="907" t="s">
        <v>93</v>
      </c>
      <c r="E10247" s="992" t="s">
        <v>6415</v>
      </c>
      <c r="F10247" s="905" t="s">
        <v>2673</v>
      </c>
      <c r="G10247" s="1005"/>
      <c r="H10247" s="911">
        <v>0.1</v>
      </c>
      <c r="I10247" s="912"/>
      <c r="J10247" s="912"/>
      <c r="K10247" s="912"/>
      <c r="L10247" s="912"/>
      <c r="M10247" s="912">
        <f>VLOOKUP(B10247,MTC!$B$9:$S$933,12,0)</f>
        <v>0</v>
      </c>
      <c r="N10247" s="912">
        <f>M10247*H10247</f>
        <v>0</v>
      </c>
      <c r="O10247" s="892">
        <f t="shared" si="817"/>
        <v>0</v>
      </c>
      <c r="P10247" s="903">
        <f t="shared" si="818"/>
        <v>1</v>
      </c>
      <c r="Q10247" s="893">
        <f t="shared" si="819"/>
        <v>1</v>
      </c>
      <c r="R10247" s="894">
        <f t="shared" si="820"/>
        <v>0</v>
      </c>
    </row>
    <row r="10248" spans="1:18" ht="47.25">
      <c r="A10248" s="905" t="s">
        <v>6647</v>
      </c>
      <c r="B10248" s="914" t="s">
        <v>6654</v>
      </c>
      <c r="C10248" s="915"/>
      <c r="D10248" s="915"/>
      <c r="E10248" s="1006" t="s">
        <v>6655</v>
      </c>
      <c r="F10248" s="1007" t="s">
        <v>136</v>
      </c>
      <c r="G10248" s="1008"/>
      <c r="H10248" s="919"/>
      <c r="I10248" s="920"/>
      <c r="J10248" s="962">
        <f>SUM(J10249:J10257)</f>
        <v>55500</v>
      </c>
      <c r="K10248" s="891" t="s">
        <v>274</v>
      </c>
      <c r="L10248" s="962">
        <f>SUM(L10249:L10257)</f>
        <v>707600</v>
      </c>
      <c r="M10248" s="962"/>
      <c r="N10248" s="962">
        <f>SUM(N10249:N10257)</f>
        <v>0</v>
      </c>
      <c r="O10248" s="892">
        <f t="shared" si="817"/>
        <v>1</v>
      </c>
      <c r="P10248" s="903">
        <f t="shared" si="818"/>
        <v>0</v>
      </c>
      <c r="Q10248" s="893">
        <f t="shared" si="819"/>
        <v>0</v>
      </c>
      <c r="R10248" s="894">
        <f t="shared" si="820"/>
        <v>9</v>
      </c>
    </row>
    <row r="10249" spans="1:18" s="847" customFormat="1">
      <c r="A10249" s="895"/>
      <c r="B10249" s="896"/>
      <c r="C10249" s="897"/>
      <c r="D10249" s="897"/>
      <c r="E10249" s="1002" t="s">
        <v>108</v>
      </c>
      <c r="F10249" s="895"/>
      <c r="G10249" s="1004"/>
      <c r="H10249" s="901"/>
      <c r="I10249" s="902"/>
      <c r="J10249" s="902"/>
      <c r="K10249" s="912" t="s">
        <v>274</v>
      </c>
      <c r="L10249" s="902"/>
      <c r="M10249" s="902"/>
      <c r="N10249" s="902"/>
      <c r="O10249" s="892">
        <f t="shared" si="817"/>
        <v>0</v>
      </c>
      <c r="P10249" s="903">
        <f t="shared" si="818"/>
        <v>1</v>
      </c>
      <c r="Q10249" s="893">
        <f t="shared" si="819"/>
        <v>9</v>
      </c>
      <c r="R10249" s="894">
        <f t="shared" si="820"/>
        <v>0</v>
      </c>
    </row>
    <row r="10250" spans="1:18" s="904" customFormat="1">
      <c r="A10250" s="905"/>
      <c r="B10250" s="952"/>
      <c r="C10250" s="907">
        <v>315</v>
      </c>
      <c r="D10250" s="907" t="s">
        <v>279</v>
      </c>
      <c r="E10250" s="992" t="s">
        <v>6316</v>
      </c>
      <c r="F10250" s="905" t="s">
        <v>49</v>
      </c>
      <c r="G10250" s="1005"/>
      <c r="H10250" s="911">
        <v>0.5</v>
      </c>
      <c r="I10250" s="912">
        <f>VLOOKUP(E10250,[3]VLP!$B$7:$K$300,10,0)</f>
        <v>8000</v>
      </c>
      <c r="J10250" s="912">
        <f>I10250*H10250</f>
        <v>4000</v>
      </c>
      <c r="K10250" s="912" t="s">
        <v>274</v>
      </c>
      <c r="L10250" s="912"/>
      <c r="M10250" s="912"/>
      <c r="N10250" s="912"/>
      <c r="O10250" s="892">
        <f t="shared" si="817"/>
        <v>0</v>
      </c>
      <c r="P10250" s="903">
        <f t="shared" si="818"/>
        <v>1</v>
      </c>
      <c r="Q10250" s="893">
        <f t="shared" si="819"/>
        <v>8</v>
      </c>
      <c r="R10250" s="894">
        <f t="shared" si="820"/>
        <v>0</v>
      </c>
    </row>
    <row r="10251" spans="1:18">
      <c r="A10251" s="905"/>
      <c r="B10251" s="952"/>
      <c r="C10251" s="907">
        <v>235</v>
      </c>
      <c r="D10251" s="907" t="s">
        <v>279</v>
      </c>
      <c r="E10251" s="992" t="s">
        <v>2682</v>
      </c>
      <c r="F10251" s="905" t="s">
        <v>45</v>
      </c>
      <c r="G10251" s="1005"/>
      <c r="H10251" s="911">
        <v>0.3</v>
      </c>
      <c r="I10251" s="912">
        <f>VLOOKUP(E10251,[3]VLP!$B$7:$K$300,10,0)</f>
        <v>5000</v>
      </c>
      <c r="J10251" s="912">
        <f>I10251*H10251</f>
        <v>1500</v>
      </c>
      <c r="K10251" s="912" t="s">
        <v>274</v>
      </c>
      <c r="L10251" s="912"/>
      <c r="M10251" s="912"/>
      <c r="N10251" s="912"/>
      <c r="O10251" s="892">
        <f t="shared" si="817"/>
        <v>0</v>
      </c>
      <c r="P10251" s="903">
        <f t="shared" si="818"/>
        <v>1</v>
      </c>
      <c r="Q10251" s="893">
        <f t="shared" si="819"/>
        <v>7</v>
      </c>
      <c r="R10251" s="894">
        <f t="shared" si="820"/>
        <v>0</v>
      </c>
    </row>
    <row r="10252" spans="1:18" s="847" customFormat="1">
      <c r="A10252" s="905"/>
      <c r="B10252" s="952"/>
      <c r="C10252" s="907">
        <v>699</v>
      </c>
      <c r="D10252" s="907" t="s">
        <v>279</v>
      </c>
      <c r="E10252" s="992" t="s">
        <v>4006</v>
      </c>
      <c r="F10252" s="905" t="s">
        <v>4007</v>
      </c>
      <c r="G10252" s="1005"/>
      <c r="H10252" s="911">
        <v>10</v>
      </c>
      <c r="I10252" s="912">
        <f>VLOOKUP(E10252,[3]VLP!$B$7:$K$300,10,0)</f>
        <v>5000</v>
      </c>
      <c r="J10252" s="912">
        <f>I10252*H10252</f>
        <v>50000</v>
      </c>
      <c r="K10252" s="912" t="s">
        <v>274</v>
      </c>
      <c r="L10252" s="912"/>
      <c r="M10252" s="912"/>
      <c r="N10252" s="912"/>
      <c r="O10252" s="892">
        <f t="shared" si="817"/>
        <v>0</v>
      </c>
      <c r="P10252" s="903">
        <f t="shared" si="818"/>
        <v>1</v>
      </c>
      <c r="Q10252" s="893">
        <f t="shared" si="819"/>
        <v>6</v>
      </c>
      <c r="R10252" s="894">
        <f t="shared" si="820"/>
        <v>0</v>
      </c>
    </row>
    <row r="10253" spans="1:18" s="904" customFormat="1">
      <c r="A10253" s="895"/>
      <c r="B10253" s="896"/>
      <c r="C10253" s="897"/>
      <c r="D10253" s="897"/>
      <c r="E10253" s="1002" t="s">
        <v>276</v>
      </c>
      <c r="F10253" s="1003"/>
      <c r="G10253" s="1004"/>
      <c r="H10253" s="901"/>
      <c r="I10253" s="902"/>
      <c r="J10253" s="902"/>
      <c r="K10253" s="912" t="s">
        <v>274</v>
      </c>
      <c r="L10253" s="902"/>
      <c r="M10253" s="902"/>
      <c r="N10253" s="902"/>
      <c r="O10253" s="892">
        <f t="shared" si="817"/>
        <v>0</v>
      </c>
      <c r="P10253" s="903">
        <f t="shared" si="818"/>
        <v>1</v>
      </c>
      <c r="Q10253" s="893">
        <f t="shared" si="819"/>
        <v>5</v>
      </c>
      <c r="R10253" s="894">
        <f t="shared" si="820"/>
        <v>0</v>
      </c>
    </row>
    <row r="10254" spans="1:18">
      <c r="A10254" s="905"/>
      <c r="B10254" s="952"/>
      <c r="C10254" s="907">
        <v>740</v>
      </c>
      <c r="D10254" s="907" t="s">
        <v>12</v>
      </c>
      <c r="E10254" s="992" t="s">
        <v>4008</v>
      </c>
      <c r="F10254" s="905" t="s">
        <v>2674</v>
      </c>
      <c r="G10254" s="1005"/>
      <c r="H10254" s="911">
        <v>3.2</v>
      </c>
      <c r="I10254" s="912"/>
      <c r="J10254" s="912"/>
      <c r="K10254" s="912">
        <f>VLOOKUP(E10254,[5]ĐMNC!$A$7:$F$67,4,0)</f>
        <v>221125</v>
      </c>
      <c r="L10254" s="912">
        <f>H10254*K10254</f>
        <v>707600</v>
      </c>
      <c r="M10254" s="912"/>
      <c r="N10254" s="912"/>
      <c r="O10254" s="892">
        <f t="shared" si="817"/>
        <v>0</v>
      </c>
      <c r="P10254" s="903">
        <f t="shared" si="818"/>
        <v>1</v>
      </c>
      <c r="Q10254" s="893">
        <f t="shared" si="819"/>
        <v>4</v>
      </c>
      <c r="R10254" s="894">
        <f t="shared" si="820"/>
        <v>0</v>
      </c>
    </row>
    <row r="10255" spans="1:18" s="847" customFormat="1">
      <c r="A10255" s="895"/>
      <c r="B10255" s="896"/>
      <c r="C10255" s="897"/>
      <c r="D10255" s="897"/>
      <c r="E10255" s="1002" t="s">
        <v>3914</v>
      </c>
      <c r="F10255" s="895"/>
      <c r="G10255" s="1004"/>
      <c r="H10255" s="901"/>
      <c r="I10255" s="902"/>
      <c r="J10255" s="902"/>
      <c r="K10255" s="912" t="s">
        <v>274</v>
      </c>
      <c r="L10255" s="902"/>
      <c r="M10255" s="902"/>
      <c r="N10255" s="902"/>
      <c r="O10255" s="892">
        <f t="shared" si="817"/>
        <v>0</v>
      </c>
      <c r="P10255" s="903">
        <f t="shared" si="818"/>
        <v>1</v>
      </c>
      <c r="Q10255" s="893">
        <f t="shared" si="819"/>
        <v>3</v>
      </c>
      <c r="R10255" s="894">
        <f t="shared" si="820"/>
        <v>0</v>
      </c>
    </row>
    <row r="10256" spans="1:18" s="904" customFormat="1">
      <c r="A10256" s="905"/>
      <c r="B10256" s="952" t="s">
        <v>6424</v>
      </c>
      <c r="C10256" s="907">
        <v>911</v>
      </c>
      <c r="D10256" s="907" t="s">
        <v>93</v>
      </c>
      <c r="E10256" s="992" t="s">
        <v>6425</v>
      </c>
      <c r="F10256" s="905" t="s">
        <v>2673</v>
      </c>
      <c r="G10256" s="1005"/>
      <c r="H10256" s="911">
        <v>0.43</v>
      </c>
      <c r="I10256" s="912"/>
      <c r="J10256" s="912"/>
      <c r="K10256" s="912"/>
      <c r="L10256" s="912"/>
      <c r="M10256" s="912">
        <f>VLOOKUP(B10256,MTC!$B$9:$S$933,12,0)</f>
        <v>0</v>
      </c>
      <c r="N10256" s="912">
        <f>M10256*H10256</f>
        <v>0</v>
      </c>
      <c r="O10256" s="892">
        <f t="shared" si="817"/>
        <v>0</v>
      </c>
      <c r="P10256" s="903">
        <f t="shared" si="818"/>
        <v>1</v>
      </c>
      <c r="Q10256" s="893">
        <f t="shared" si="819"/>
        <v>2</v>
      </c>
      <c r="R10256" s="894">
        <f t="shared" si="820"/>
        <v>0</v>
      </c>
    </row>
    <row r="10257" spans="1:18">
      <c r="A10257" s="905"/>
      <c r="B10257" s="952" t="s">
        <v>6414</v>
      </c>
      <c r="C10257" s="907">
        <v>914</v>
      </c>
      <c r="D10257" s="907" t="s">
        <v>93</v>
      </c>
      <c r="E10257" s="992" t="s">
        <v>6415</v>
      </c>
      <c r="F10257" s="905" t="s">
        <v>2673</v>
      </c>
      <c r="G10257" s="1005"/>
      <c r="H10257" s="911">
        <v>0.1</v>
      </c>
      <c r="I10257" s="912"/>
      <c r="J10257" s="912"/>
      <c r="K10257" s="912"/>
      <c r="L10257" s="912"/>
      <c r="M10257" s="912">
        <f>VLOOKUP(B10257,MTC!$B$9:$S$933,12,0)</f>
        <v>0</v>
      </c>
      <c r="N10257" s="912">
        <f>M10257*H10257</f>
        <v>0</v>
      </c>
      <c r="O10257" s="892">
        <f t="shared" si="817"/>
        <v>0</v>
      </c>
      <c r="P10257" s="903">
        <f t="shared" si="818"/>
        <v>1</v>
      </c>
      <c r="Q10257" s="893">
        <f t="shared" si="819"/>
        <v>1</v>
      </c>
      <c r="R10257" s="894">
        <f t="shared" si="820"/>
        <v>0</v>
      </c>
    </row>
    <row r="10258" spans="1:18" s="847" customFormat="1" ht="47.25">
      <c r="A10258" s="905">
        <v>151</v>
      </c>
      <c r="B10258" s="914" t="s">
        <v>6656</v>
      </c>
      <c r="C10258" s="915"/>
      <c r="D10258" s="915"/>
      <c r="E10258" s="1006" t="s">
        <v>6657</v>
      </c>
      <c r="F10258" s="1007" t="s">
        <v>136</v>
      </c>
      <c r="G10258" s="1008"/>
      <c r="H10258" s="919"/>
      <c r="I10258" s="920"/>
      <c r="J10258" s="962">
        <f>SUM(J10259:J10267)</f>
        <v>55500</v>
      </c>
      <c r="K10258" s="891" t="s">
        <v>274</v>
      </c>
      <c r="L10258" s="962">
        <f>SUM(L10259:L10267)</f>
        <v>771726.25</v>
      </c>
      <c r="M10258" s="962"/>
      <c r="N10258" s="962">
        <f>SUM(N10259:N10267)</f>
        <v>0</v>
      </c>
      <c r="O10258" s="892">
        <f t="shared" si="817"/>
        <v>1</v>
      </c>
      <c r="P10258" s="903">
        <f t="shared" si="818"/>
        <v>0</v>
      </c>
      <c r="Q10258" s="893">
        <f t="shared" si="819"/>
        <v>0</v>
      </c>
      <c r="R10258" s="894">
        <f t="shared" si="820"/>
        <v>9</v>
      </c>
    </row>
    <row r="10259" spans="1:18" s="904" customFormat="1">
      <c r="A10259" s="895"/>
      <c r="B10259" s="896"/>
      <c r="C10259" s="897"/>
      <c r="D10259" s="897"/>
      <c r="E10259" s="1002" t="s">
        <v>108</v>
      </c>
      <c r="F10259" s="895"/>
      <c r="G10259" s="1004"/>
      <c r="H10259" s="901"/>
      <c r="I10259" s="902"/>
      <c r="J10259" s="902"/>
      <c r="K10259" s="912" t="s">
        <v>274</v>
      </c>
      <c r="L10259" s="902"/>
      <c r="M10259" s="902"/>
      <c r="N10259" s="902"/>
      <c r="O10259" s="892">
        <f t="shared" si="817"/>
        <v>0</v>
      </c>
      <c r="P10259" s="903">
        <f t="shared" si="818"/>
        <v>1</v>
      </c>
      <c r="Q10259" s="893">
        <f t="shared" si="819"/>
        <v>9</v>
      </c>
      <c r="R10259" s="894">
        <f t="shared" si="820"/>
        <v>0</v>
      </c>
    </row>
    <row r="10260" spans="1:18">
      <c r="A10260" s="905"/>
      <c r="B10260" s="952"/>
      <c r="C10260" s="907">
        <v>315</v>
      </c>
      <c r="D10260" s="907" t="s">
        <v>279</v>
      </c>
      <c r="E10260" s="992" t="s">
        <v>6316</v>
      </c>
      <c r="F10260" s="905" t="s">
        <v>49</v>
      </c>
      <c r="G10260" s="1005"/>
      <c r="H10260" s="911">
        <v>0.5</v>
      </c>
      <c r="I10260" s="912">
        <f>VLOOKUP(E10260,[3]VLP!$B$7:$K$300,10,0)</f>
        <v>8000</v>
      </c>
      <c r="J10260" s="912">
        <f>I10260*H10260</f>
        <v>4000</v>
      </c>
      <c r="K10260" s="912" t="s">
        <v>274</v>
      </c>
      <c r="L10260" s="912"/>
      <c r="M10260" s="912"/>
      <c r="N10260" s="912"/>
      <c r="O10260" s="892">
        <f t="shared" si="817"/>
        <v>0</v>
      </c>
      <c r="P10260" s="903">
        <f t="shared" si="818"/>
        <v>1</v>
      </c>
      <c r="Q10260" s="893">
        <f t="shared" si="819"/>
        <v>8</v>
      </c>
      <c r="R10260" s="894">
        <f t="shared" si="820"/>
        <v>0</v>
      </c>
    </row>
    <row r="10261" spans="1:18" s="847" customFormat="1">
      <c r="A10261" s="905"/>
      <c r="B10261" s="952"/>
      <c r="C10261" s="907">
        <v>235</v>
      </c>
      <c r="D10261" s="907" t="s">
        <v>279</v>
      </c>
      <c r="E10261" s="992" t="s">
        <v>2682</v>
      </c>
      <c r="F10261" s="905" t="s">
        <v>45</v>
      </c>
      <c r="G10261" s="1005"/>
      <c r="H10261" s="911">
        <v>0.3</v>
      </c>
      <c r="I10261" s="912">
        <f>VLOOKUP(E10261,[3]VLP!$B$7:$K$300,10,0)</f>
        <v>5000</v>
      </c>
      <c r="J10261" s="912">
        <f>I10261*H10261</f>
        <v>1500</v>
      </c>
      <c r="K10261" s="912" t="s">
        <v>274</v>
      </c>
      <c r="L10261" s="912"/>
      <c r="M10261" s="912"/>
      <c r="N10261" s="912"/>
      <c r="O10261" s="892">
        <f t="shared" si="817"/>
        <v>0</v>
      </c>
      <c r="P10261" s="903">
        <f t="shared" si="818"/>
        <v>1</v>
      </c>
      <c r="Q10261" s="893">
        <f t="shared" si="819"/>
        <v>7</v>
      </c>
      <c r="R10261" s="894">
        <f t="shared" si="820"/>
        <v>0</v>
      </c>
    </row>
    <row r="10262" spans="1:18" s="904" customFormat="1">
      <c r="A10262" s="905"/>
      <c r="B10262" s="952"/>
      <c r="C10262" s="907">
        <v>699</v>
      </c>
      <c r="D10262" s="907" t="s">
        <v>279</v>
      </c>
      <c r="E10262" s="992" t="s">
        <v>4006</v>
      </c>
      <c r="F10262" s="905" t="s">
        <v>4007</v>
      </c>
      <c r="G10262" s="1005"/>
      <c r="H10262" s="911">
        <v>10</v>
      </c>
      <c r="I10262" s="912">
        <f>VLOOKUP(E10262,[3]VLP!$B$7:$K$300,10,0)</f>
        <v>5000</v>
      </c>
      <c r="J10262" s="912">
        <f>I10262*H10262</f>
        <v>50000</v>
      </c>
      <c r="K10262" s="912" t="s">
        <v>274</v>
      </c>
      <c r="L10262" s="912"/>
      <c r="M10262" s="912"/>
      <c r="N10262" s="912"/>
      <c r="O10262" s="892">
        <f t="shared" si="817"/>
        <v>0</v>
      </c>
      <c r="P10262" s="903">
        <f t="shared" si="818"/>
        <v>1</v>
      </c>
      <c r="Q10262" s="893">
        <f t="shared" si="819"/>
        <v>6</v>
      </c>
      <c r="R10262" s="894">
        <f t="shared" si="820"/>
        <v>0</v>
      </c>
    </row>
    <row r="10263" spans="1:18">
      <c r="A10263" s="895"/>
      <c r="B10263" s="896"/>
      <c r="C10263" s="897"/>
      <c r="D10263" s="897"/>
      <c r="E10263" s="1002" t="s">
        <v>276</v>
      </c>
      <c r="F10263" s="1003"/>
      <c r="G10263" s="1004"/>
      <c r="H10263" s="901"/>
      <c r="I10263" s="902"/>
      <c r="J10263" s="902"/>
      <c r="K10263" s="912" t="s">
        <v>274</v>
      </c>
      <c r="L10263" s="902"/>
      <c r="M10263" s="902"/>
      <c r="N10263" s="902"/>
      <c r="O10263" s="892">
        <f t="shared" si="817"/>
        <v>0</v>
      </c>
      <c r="P10263" s="903">
        <f t="shared" si="818"/>
        <v>1</v>
      </c>
      <c r="Q10263" s="893">
        <f t="shared" si="819"/>
        <v>5</v>
      </c>
      <c r="R10263" s="894">
        <f t="shared" si="820"/>
        <v>0</v>
      </c>
    </row>
    <row r="10264" spans="1:18" s="847" customFormat="1">
      <c r="A10264" s="905"/>
      <c r="B10264" s="952"/>
      <c r="C10264" s="907">
        <v>740</v>
      </c>
      <c r="D10264" s="907" t="s">
        <v>12</v>
      </c>
      <c r="E10264" s="992" t="s">
        <v>4008</v>
      </c>
      <c r="F10264" s="905" t="s">
        <v>2674</v>
      </c>
      <c r="G10264" s="1005"/>
      <c r="H10264" s="911">
        <v>3.49</v>
      </c>
      <c r="I10264" s="912"/>
      <c r="J10264" s="912"/>
      <c r="K10264" s="912">
        <f>VLOOKUP(E10264,[5]ĐMNC!$A$7:$F$67,4,0)</f>
        <v>221125</v>
      </c>
      <c r="L10264" s="912">
        <f>H10264*K10264</f>
        <v>771726.25</v>
      </c>
      <c r="M10264" s="912"/>
      <c r="N10264" s="912"/>
      <c r="O10264" s="892">
        <f t="shared" si="817"/>
        <v>0</v>
      </c>
      <c r="P10264" s="903">
        <f t="shared" si="818"/>
        <v>1</v>
      </c>
      <c r="Q10264" s="893">
        <f t="shared" si="819"/>
        <v>4</v>
      </c>
      <c r="R10264" s="894">
        <f t="shared" si="820"/>
        <v>0</v>
      </c>
    </row>
    <row r="10265" spans="1:18" s="904" customFormat="1">
      <c r="A10265" s="895"/>
      <c r="B10265" s="896"/>
      <c r="C10265" s="897"/>
      <c r="D10265" s="897"/>
      <c r="E10265" s="1002" t="s">
        <v>3914</v>
      </c>
      <c r="F10265" s="895"/>
      <c r="G10265" s="1004"/>
      <c r="H10265" s="901"/>
      <c r="I10265" s="902"/>
      <c r="J10265" s="902"/>
      <c r="K10265" s="912" t="s">
        <v>274</v>
      </c>
      <c r="L10265" s="902"/>
      <c r="M10265" s="902"/>
      <c r="N10265" s="902"/>
      <c r="O10265" s="892">
        <f t="shared" si="817"/>
        <v>0</v>
      </c>
      <c r="P10265" s="903">
        <f t="shared" si="818"/>
        <v>1</v>
      </c>
      <c r="Q10265" s="893">
        <f t="shared" si="819"/>
        <v>3</v>
      </c>
      <c r="R10265" s="894">
        <f t="shared" si="820"/>
        <v>0</v>
      </c>
    </row>
    <row r="10266" spans="1:18">
      <c r="A10266" s="905"/>
      <c r="B10266" s="952" t="s">
        <v>6424</v>
      </c>
      <c r="C10266" s="907">
        <v>911</v>
      </c>
      <c r="D10266" s="907" t="s">
        <v>93</v>
      </c>
      <c r="E10266" s="992" t="s">
        <v>6425</v>
      </c>
      <c r="F10266" s="905" t="s">
        <v>2673</v>
      </c>
      <c r="G10266" s="1005"/>
      <c r="H10266" s="911">
        <v>0.47</v>
      </c>
      <c r="I10266" s="912"/>
      <c r="J10266" s="912"/>
      <c r="K10266" s="912"/>
      <c r="L10266" s="912"/>
      <c r="M10266" s="912">
        <f>VLOOKUP(B10266,MTC!$B$9:$S$933,12,0)</f>
        <v>0</v>
      </c>
      <c r="N10266" s="912">
        <f>M10266*H10266</f>
        <v>0</v>
      </c>
      <c r="O10266" s="892">
        <f t="shared" si="817"/>
        <v>0</v>
      </c>
      <c r="P10266" s="903">
        <f t="shared" si="818"/>
        <v>1</v>
      </c>
      <c r="Q10266" s="893">
        <f t="shared" si="819"/>
        <v>2</v>
      </c>
      <c r="R10266" s="894">
        <f t="shared" si="820"/>
        <v>0</v>
      </c>
    </row>
    <row r="10267" spans="1:18" s="847" customFormat="1">
      <c r="A10267" s="905"/>
      <c r="B10267" s="952" t="s">
        <v>6414</v>
      </c>
      <c r="C10267" s="907">
        <v>914</v>
      </c>
      <c r="D10267" s="907" t="s">
        <v>93</v>
      </c>
      <c r="E10267" s="992" t="s">
        <v>6415</v>
      </c>
      <c r="F10267" s="905" t="s">
        <v>2673</v>
      </c>
      <c r="G10267" s="1005"/>
      <c r="H10267" s="911">
        <v>0.1</v>
      </c>
      <c r="I10267" s="912"/>
      <c r="J10267" s="912"/>
      <c r="K10267" s="912"/>
      <c r="L10267" s="912"/>
      <c r="M10267" s="912">
        <f>VLOOKUP(B10267,MTC!$B$9:$S$933,12,0)</f>
        <v>0</v>
      </c>
      <c r="N10267" s="912">
        <f>M10267*H10267</f>
        <v>0</v>
      </c>
      <c r="O10267" s="892">
        <f t="shared" si="817"/>
        <v>0</v>
      </c>
      <c r="P10267" s="903">
        <f t="shared" si="818"/>
        <v>1</v>
      </c>
      <c r="Q10267" s="893">
        <f t="shared" si="819"/>
        <v>1</v>
      </c>
      <c r="R10267" s="894">
        <f t="shared" si="820"/>
        <v>0</v>
      </c>
    </row>
    <row r="10268" spans="1:18" s="904" customFormat="1" ht="47.25">
      <c r="A10268" s="905">
        <v>152</v>
      </c>
      <c r="B10268" s="914" t="s">
        <v>6658</v>
      </c>
      <c r="C10268" s="915"/>
      <c r="D10268" s="915"/>
      <c r="E10268" s="1006" t="s">
        <v>6659</v>
      </c>
      <c r="F10268" s="1007" t="s">
        <v>136</v>
      </c>
      <c r="G10268" s="1008"/>
      <c r="H10268" s="919"/>
      <c r="I10268" s="920"/>
      <c r="J10268" s="962">
        <f>SUM(J10269:J10277)</f>
        <v>55500</v>
      </c>
      <c r="K10268" s="891" t="s">
        <v>274</v>
      </c>
      <c r="L10268" s="962">
        <f>SUM(L10269:L10277)</f>
        <v>899978.75000000012</v>
      </c>
      <c r="M10268" s="962"/>
      <c r="N10268" s="962">
        <f>SUM(N10269:N10277)</f>
        <v>0</v>
      </c>
      <c r="O10268" s="892">
        <f t="shared" si="817"/>
        <v>1</v>
      </c>
      <c r="P10268" s="903">
        <f t="shared" si="818"/>
        <v>0</v>
      </c>
      <c r="Q10268" s="893">
        <f t="shared" si="819"/>
        <v>0</v>
      </c>
      <c r="R10268" s="894">
        <f t="shared" si="820"/>
        <v>9</v>
      </c>
    </row>
    <row r="10269" spans="1:18">
      <c r="A10269" s="895"/>
      <c r="B10269" s="896"/>
      <c r="C10269" s="897"/>
      <c r="D10269" s="897"/>
      <c r="E10269" s="1002" t="s">
        <v>108</v>
      </c>
      <c r="F10269" s="895"/>
      <c r="G10269" s="1004"/>
      <c r="H10269" s="901"/>
      <c r="I10269" s="902"/>
      <c r="J10269" s="902"/>
      <c r="K10269" s="912" t="s">
        <v>274</v>
      </c>
      <c r="L10269" s="902"/>
      <c r="M10269" s="902"/>
      <c r="N10269" s="902"/>
      <c r="O10269" s="892">
        <f t="shared" si="817"/>
        <v>0</v>
      </c>
      <c r="P10269" s="903">
        <f t="shared" si="818"/>
        <v>1</v>
      </c>
      <c r="Q10269" s="893">
        <f t="shared" si="819"/>
        <v>9</v>
      </c>
      <c r="R10269" s="894">
        <f t="shared" si="820"/>
        <v>0</v>
      </c>
    </row>
    <row r="10270" spans="1:18" s="847" customFormat="1">
      <c r="A10270" s="905"/>
      <c r="B10270" s="952"/>
      <c r="C10270" s="907">
        <v>315</v>
      </c>
      <c r="D10270" s="907" t="s">
        <v>279</v>
      </c>
      <c r="E10270" s="992" t="s">
        <v>6316</v>
      </c>
      <c r="F10270" s="905" t="s">
        <v>49</v>
      </c>
      <c r="G10270" s="1005"/>
      <c r="H10270" s="911">
        <v>0.5</v>
      </c>
      <c r="I10270" s="912">
        <f>VLOOKUP(E10270,[3]VLP!$B$7:$K$300,10,0)</f>
        <v>8000</v>
      </c>
      <c r="J10270" s="912">
        <f>I10270*H10270</f>
        <v>4000</v>
      </c>
      <c r="K10270" s="912" t="s">
        <v>274</v>
      </c>
      <c r="L10270" s="912"/>
      <c r="M10270" s="912"/>
      <c r="N10270" s="912"/>
      <c r="O10270" s="892">
        <f t="shared" si="817"/>
        <v>0</v>
      </c>
      <c r="P10270" s="903">
        <f t="shared" si="818"/>
        <v>1</v>
      </c>
      <c r="Q10270" s="893">
        <f t="shared" si="819"/>
        <v>8</v>
      </c>
      <c r="R10270" s="894">
        <f t="shared" si="820"/>
        <v>0</v>
      </c>
    </row>
    <row r="10271" spans="1:18" s="904" customFormat="1">
      <c r="A10271" s="905"/>
      <c r="B10271" s="952"/>
      <c r="C10271" s="907">
        <v>235</v>
      </c>
      <c r="D10271" s="907" t="s">
        <v>279</v>
      </c>
      <c r="E10271" s="992" t="s">
        <v>2682</v>
      </c>
      <c r="F10271" s="905" t="s">
        <v>45</v>
      </c>
      <c r="G10271" s="1005"/>
      <c r="H10271" s="911">
        <v>0.3</v>
      </c>
      <c r="I10271" s="912">
        <f>VLOOKUP(E10271,[3]VLP!$B$7:$K$300,10,0)</f>
        <v>5000</v>
      </c>
      <c r="J10271" s="912">
        <f>I10271*H10271</f>
        <v>1500</v>
      </c>
      <c r="K10271" s="912" t="s">
        <v>274</v>
      </c>
      <c r="L10271" s="912"/>
      <c r="M10271" s="912"/>
      <c r="N10271" s="912"/>
      <c r="O10271" s="892">
        <f t="shared" ref="O10271:O10334" si="821">IF(AND(B10271&lt;&gt;"",D10271=""),1,0)</f>
        <v>0</v>
      </c>
      <c r="P10271" s="903">
        <f t="shared" si="818"/>
        <v>1</v>
      </c>
      <c r="Q10271" s="893">
        <f t="shared" si="819"/>
        <v>7</v>
      </c>
      <c r="R10271" s="894">
        <f t="shared" si="820"/>
        <v>0</v>
      </c>
    </row>
    <row r="10272" spans="1:18">
      <c r="A10272" s="905"/>
      <c r="B10272" s="952"/>
      <c r="C10272" s="907">
        <v>699</v>
      </c>
      <c r="D10272" s="907" t="s">
        <v>279</v>
      </c>
      <c r="E10272" s="992" t="s">
        <v>4006</v>
      </c>
      <c r="F10272" s="905" t="s">
        <v>4007</v>
      </c>
      <c r="G10272" s="1005"/>
      <c r="H10272" s="911">
        <v>10</v>
      </c>
      <c r="I10272" s="912">
        <f>VLOOKUP(E10272,[3]VLP!$B$7:$K$300,10,0)</f>
        <v>5000</v>
      </c>
      <c r="J10272" s="912">
        <f>I10272*H10272</f>
        <v>50000</v>
      </c>
      <c r="K10272" s="912" t="s">
        <v>274</v>
      </c>
      <c r="L10272" s="912"/>
      <c r="M10272" s="912"/>
      <c r="N10272" s="912"/>
      <c r="O10272" s="892">
        <f t="shared" si="821"/>
        <v>0</v>
      </c>
      <c r="P10272" s="903">
        <f t="shared" si="818"/>
        <v>1</v>
      </c>
      <c r="Q10272" s="893">
        <f t="shared" si="819"/>
        <v>6</v>
      </c>
      <c r="R10272" s="894">
        <f t="shared" si="820"/>
        <v>0</v>
      </c>
    </row>
    <row r="10273" spans="1:18" s="847" customFormat="1">
      <c r="A10273" s="895"/>
      <c r="B10273" s="896"/>
      <c r="C10273" s="897"/>
      <c r="D10273" s="897"/>
      <c r="E10273" s="1002" t="s">
        <v>276</v>
      </c>
      <c r="F10273" s="1003"/>
      <c r="G10273" s="1004"/>
      <c r="H10273" s="901"/>
      <c r="I10273" s="902"/>
      <c r="J10273" s="902"/>
      <c r="K10273" s="912" t="s">
        <v>274</v>
      </c>
      <c r="L10273" s="902"/>
      <c r="M10273" s="902"/>
      <c r="N10273" s="902"/>
      <c r="O10273" s="892">
        <f t="shared" si="821"/>
        <v>0</v>
      </c>
      <c r="P10273" s="903">
        <f t="shared" si="818"/>
        <v>1</v>
      </c>
      <c r="Q10273" s="893">
        <f t="shared" si="819"/>
        <v>5</v>
      </c>
      <c r="R10273" s="894">
        <f t="shared" si="820"/>
        <v>0</v>
      </c>
    </row>
    <row r="10274" spans="1:18" s="904" customFormat="1">
      <c r="A10274" s="905"/>
      <c r="B10274" s="952"/>
      <c r="C10274" s="907">
        <v>740</v>
      </c>
      <c r="D10274" s="907" t="s">
        <v>12</v>
      </c>
      <c r="E10274" s="992" t="s">
        <v>4008</v>
      </c>
      <c r="F10274" s="905" t="s">
        <v>2674</v>
      </c>
      <c r="G10274" s="1005"/>
      <c r="H10274" s="911">
        <v>4.07</v>
      </c>
      <c r="I10274" s="912"/>
      <c r="J10274" s="912"/>
      <c r="K10274" s="912">
        <f>VLOOKUP(E10274,[5]ĐMNC!$A$7:$F$67,4,0)</f>
        <v>221125</v>
      </c>
      <c r="L10274" s="912">
        <f>H10274*K10274</f>
        <v>899978.75000000012</v>
      </c>
      <c r="M10274" s="912"/>
      <c r="N10274" s="912"/>
      <c r="O10274" s="892">
        <f t="shared" si="821"/>
        <v>0</v>
      </c>
      <c r="P10274" s="903">
        <f t="shared" si="818"/>
        <v>1</v>
      </c>
      <c r="Q10274" s="893">
        <f t="shared" si="819"/>
        <v>4</v>
      </c>
      <c r="R10274" s="894">
        <f t="shared" si="820"/>
        <v>0</v>
      </c>
    </row>
    <row r="10275" spans="1:18">
      <c r="A10275" s="895"/>
      <c r="B10275" s="896"/>
      <c r="C10275" s="897"/>
      <c r="D10275" s="897"/>
      <c r="E10275" s="1002" t="s">
        <v>3914</v>
      </c>
      <c r="F10275" s="895"/>
      <c r="G10275" s="1004"/>
      <c r="H10275" s="901"/>
      <c r="I10275" s="902"/>
      <c r="J10275" s="902"/>
      <c r="K10275" s="912" t="s">
        <v>274</v>
      </c>
      <c r="L10275" s="902"/>
      <c r="M10275" s="902"/>
      <c r="N10275" s="902"/>
      <c r="O10275" s="892">
        <f t="shared" si="821"/>
        <v>0</v>
      </c>
      <c r="P10275" s="903">
        <f t="shared" si="818"/>
        <v>1</v>
      </c>
      <c r="Q10275" s="893">
        <f t="shared" si="819"/>
        <v>3</v>
      </c>
      <c r="R10275" s="894">
        <f t="shared" si="820"/>
        <v>0</v>
      </c>
    </row>
    <row r="10276" spans="1:18" s="847" customFormat="1">
      <c r="A10276" s="905"/>
      <c r="B10276" s="952" t="s">
        <v>6424</v>
      </c>
      <c r="C10276" s="907">
        <v>911</v>
      </c>
      <c r="D10276" s="907" t="s">
        <v>93</v>
      </c>
      <c r="E10276" s="992" t="s">
        <v>6425</v>
      </c>
      <c r="F10276" s="905" t="s">
        <v>2673</v>
      </c>
      <c r="G10276" s="1005"/>
      <c r="H10276" s="911">
        <v>0.52</v>
      </c>
      <c r="I10276" s="912"/>
      <c r="J10276" s="912"/>
      <c r="K10276" s="912"/>
      <c r="L10276" s="912"/>
      <c r="M10276" s="912">
        <f>VLOOKUP(B10276,MTC!$B$9:$S$933,12,0)</f>
        <v>0</v>
      </c>
      <c r="N10276" s="912">
        <f>M10276*H10276</f>
        <v>0</v>
      </c>
      <c r="O10276" s="892">
        <f t="shared" si="821"/>
        <v>0</v>
      </c>
      <c r="P10276" s="903">
        <f t="shared" si="818"/>
        <v>1</v>
      </c>
      <c r="Q10276" s="893">
        <f t="shared" si="819"/>
        <v>2</v>
      </c>
      <c r="R10276" s="894">
        <f t="shared" si="820"/>
        <v>0</v>
      </c>
    </row>
    <row r="10277" spans="1:18" s="904" customFormat="1">
      <c r="A10277" s="905"/>
      <c r="B10277" s="952" t="s">
        <v>6414</v>
      </c>
      <c r="C10277" s="907">
        <v>914</v>
      </c>
      <c r="D10277" s="907" t="s">
        <v>93</v>
      </c>
      <c r="E10277" s="992" t="s">
        <v>6415</v>
      </c>
      <c r="F10277" s="905" t="s">
        <v>2673</v>
      </c>
      <c r="G10277" s="1005"/>
      <c r="H10277" s="911">
        <v>0.1</v>
      </c>
      <c r="I10277" s="912"/>
      <c r="J10277" s="912"/>
      <c r="K10277" s="912"/>
      <c r="L10277" s="912"/>
      <c r="M10277" s="912">
        <f>VLOOKUP(B10277,MTC!$B$9:$S$933,12,0)</f>
        <v>0</v>
      </c>
      <c r="N10277" s="912">
        <f>M10277*H10277</f>
        <v>0</v>
      </c>
      <c r="O10277" s="892">
        <f t="shared" si="821"/>
        <v>0</v>
      </c>
      <c r="P10277" s="903">
        <f t="shared" si="818"/>
        <v>1</v>
      </c>
      <c r="Q10277" s="893">
        <f t="shared" si="819"/>
        <v>1</v>
      </c>
      <c r="R10277" s="894">
        <f t="shared" si="820"/>
        <v>0</v>
      </c>
    </row>
    <row r="10278" spans="1:18" ht="47.25">
      <c r="A10278" s="905" t="s">
        <v>6660</v>
      </c>
      <c r="B10278" s="914" t="s">
        <v>6661</v>
      </c>
      <c r="C10278" s="915"/>
      <c r="D10278" s="915"/>
      <c r="E10278" s="1006" t="s">
        <v>6662</v>
      </c>
      <c r="F10278" s="1007" t="s">
        <v>136</v>
      </c>
      <c r="G10278" s="1008"/>
      <c r="H10278" s="919"/>
      <c r="I10278" s="920"/>
      <c r="J10278" s="962">
        <f>SUM(J10279:J10287)</f>
        <v>55500</v>
      </c>
      <c r="K10278" s="891" t="s">
        <v>274</v>
      </c>
      <c r="L10278" s="962">
        <f>SUM(L10279:L10287)</f>
        <v>707600</v>
      </c>
      <c r="M10278" s="962"/>
      <c r="N10278" s="962">
        <f>SUM(N10279:N10287)</f>
        <v>0</v>
      </c>
      <c r="O10278" s="892">
        <f t="shared" si="821"/>
        <v>1</v>
      </c>
      <c r="P10278" s="903">
        <f t="shared" si="818"/>
        <v>0</v>
      </c>
      <c r="Q10278" s="893">
        <f t="shared" si="819"/>
        <v>0</v>
      </c>
      <c r="R10278" s="894">
        <f t="shared" si="820"/>
        <v>9</v>
      </c>
    </row>
    <row r="10279" spans="1:18" s="847" customFormat="1">
      <c r="A10279" s="895"/>
      <c r="B10279" s="896"/>
      <c r="C10279" s="897"/>
      <c r="D10279" s="897"/>
      <c r="E10279" s="1002" t="s">
        <v>108</v>
      </c>
      <c r="F10279" s="895"/>
      <c r="G10279" s="1004"/>
      <c r="H10279" s="901"/>
      <c r="I10279" s="902"/>
      <c r="J10279" s="902"/>
      <c r="K10279" s="912" t="s">
        <v>274</v>
      </c>
      <c r="L10279" s="902"/>
      <c r="M10279" s="902"/>
      <c r="N10279" s="902"/>
      <c r="O10279" s="892">
        <f t="shared" si="821"/>
        <v>0</v>
      </c>
      <c r="P10279" s="903">
        <f t="shared" si="818"/>
        <v>1</v>
      </c>
      <c r="Q10279" s="893">
        <f t="shared" si="819"/>
        <v>9</v>
      </c>
      <c r="R10279" s="894">
        <f t="shared" si="820"/>
        <v>0</v>
      </c>
    </row>
    <row r="10280" spans="1:18" s="904" customFormat="1">
      <c r="A10280" s="905"/>
      <c r="B10280" s="952"/>
      <c r="C10280" s="907">
        <v>315</v>
      </c>
      <c r="D10280" s="907" t="s">
        <v>279</v>
      </c>
      <c r="E10280" s="992" t="s">
        <v>6316</v>
      </c>
      <c r="F10280" s="905" t="s">
        <v>49</v>
      </c>
      <c r="G10280" s="1005"/>
      <c r="H10280" s="911">
        <v>0.5</v>
      </c>
      <c r="I10280" s="912">
        <f>VLOOKUP(E10280,[3]VLP!$B$7:$K$300,10,0)</f>
        <v>8000</v>
      </c>
      <c r="J10280" s="912">
        <f>I10280*H10280</f>
        <v>4000</v>
      </c>
      <c r="K10280" s="912" t="s">
        <v>274</v>
      </c>
      <c r="L10280" s="912"/>
      <c r="M10280" s="912"/>
      <c r="N10280" s="912"/>
      <c r="O10280" s="892">
        <f t="shared" si="821"/>
        <v>0</v>
      </c>
      <c r="P10280" s="903">
        <f t="shared" si="818"/>
        <v>1</v>
      </c>
      <c r="Q10280" s="893">
        <f t="shared" si="819"/>
        <v>8</v>
      </c>
      <c r="R10280" s="894">
        <f t="shared" si="820"/>
        <v>0</v>
      </c>
    </row>
    <row r="10281" spans="1:18">
      <c r="A10281" s="905"/>
      <c r="B10281" s="952"/>
      <c r="C10281" s="907">
        <v>235</v>
      </c>
      <c r="D10281" s="907" t="s">
        <v>279</v>
      </c>
      <c r="E10281" s="992" t="s">
        <v>2682</v>
      </c>
      <c r="F10281" s="905" t="s">
        <v>45</v>
      </c>
      <c r="G10281" s="1005"/>
      <c r="H10281" s="911">
        <v>0.3</v>
      </c>
      <c r="I10281" s="912">
        <f>VLOOKUP(E10281,[3]VLP!$B$7:$K$300,10,0)</f>
        <v>5000</v>
      </c>
      <c r="J10281" s="912">
        <f>I10281*H10281</f>
        <v>1500</v>
      </c>
      <c r="K10281" s="912" t="s">
        <v>274</v>
      </c>
      <c r="L10281" s="912"/>
      <c r="M10281" s="912"/>
      <c r="N10281" s="912"/>
      <c r="O10281" s="892">
        <f t="shared" si="821"/>
        <v>0</v>
      </c>
      <c r="P10281" s="903">
        <f t="shared" si="818"/>
        <v>1</v>
      </c>
      <c r="Q10281" s="893">
        <f t="shared" si="819"/>
        <v>7</v>
      </c>
      <c r="R10281" s="894">
        <f t="shared" si="820"/>
        <v>0</v>
      </c>
    </row>
    <row r="10282" spans="1:18" s="847" customFormat="1">
      <c r="A10282" s="905"/>
      <c r="B10282" s="952"/>
      <c r="C10282" s="907">
        <v>699</v>
      </c>
      <c r="D10282" s="907" t="s">
        <v>279</v>
      </c>
      <c r="E10282" s="992" t="s">
        <v>4006</v>
      </c>
      <c r="F10282" s="905" t="s">
        <v>4007</v>
      </c>
      <c r="G10282" s="1005"/>
      <c r="H10282" s="911">
        <v>10</v>
      </c>
      <c r="I10282" s="912">
        <f>VLOOKUP(E10282,[3]VLP!$B$7:$K$300,10,0)</f>
        <v>5000</v>
      </c>
      <c r="J10282" s="912">
        <f>I10282*H10282</f>
        <v>50000</v>
      </c>
      <c r="K10282" s="912" t="s">
        <v>274</v>
      </c>
      <c r="L10282" s="912"/>
      <c r="M10282" s="912"/>
      <c r="N10282" s="912"/>
      <c r="O10282" s="892">
        <f t="shared" si="821"/>
        <v>0</v>
      </c>
      <c r="P10282" s="903">
        <f t="shared" si="818"/>
        <v>1</v>
      </c>
      <c r="Q10282" s="893">
        <f t="shared" si="819"/>
        <v>6</v>
      </c>
      <c r="R10282" s="894">
        <f t="shared" si="820"/>
        <v>0</v>
      </c>
    </row>
    <row r="10283" spans="1:18" s="904" customFormat="1">
      <c r="A10283" s="895"/>
      <c r="B10283" s="896"/>
      <c r="C10283" s="897"/>
      <c r="D10283" s="897"/>
      <c r="E10283" s="1002" t="s">
        <v>276</v>
      </c>
      <c r="F10283" s="1003"/>
      <c r="G10283" s="1004"/>
      <c r="H10283" s="901"/>
      <c r="I10283" s="902"/>
      <c r="J10283" s="902"/>
      <c r="K10283" s="912" t="s">
        <v>274</v>
      </c>
      <c r="L10283" s="902"/>
      <c r="M10283" s="902"/>
      <c r="N10283" s="902"/>
      <c r="O10283" s="892">
        <f t="shared" si="821"/>
        <v>0</v>
      </c>
      <c r="P10283" s="903">
        <f t="shared" si="818"/>
        <v>1</v>
      </c>
      <c r="Q10283" s="893">
        <f t="shared" si="819"/>
        <v>5</v>
      </c>
      <c r="R10283" s="894">
        <f t="shared" si="820"/>
        <v>0</v>
      </c>
    </row>
    <row r="10284" spans="1:18">
      <c r="A10284" s="905"/>
      <c r="B10284" s="952"/>
      <c r="C10284" s="907">
        <v>740</v>
      </c>
      <c r="D10284" s="907" t="s">
        <v>12</v>
      </c>
      <c r="E10284" s="992" t="s">
        <v>4008</v>
      </c>
      <c r="F10284" s="905" t="s">
        <v>2674</v>
      </c>
      <c r="G10284" s="1005"/>
      <c r="H10284" s="911">
        <v>3.2</v>
      </c>
      <c r="I10284" s="912"/>
      <c r="J10284" s="912"/>
      <c r="K10284" s="912">
        <f>VLOOKUP(E10284,[5]ĐMNC!$A$7:$F$67,4,0)</f>
        <v>221125</v>
      </c>
      <c r="L10284" s="912">
        <f>H10284*K10284</f>
        <v>707600</v>
      </c>
      <c r="M10284" s="912"/>
      <c r="N10284" s="912"/>
      <c r="O10284" s="892">
        <f t="shared" si="821"/>
        <v>0</v>
      </c>
      <c r="P10284" s="903">
        <f t="shared" si="818"/>
        <v>1</v>
      </c>
      <c r="Q10284" s="893">
        <f t="shared" si="819"/>
        <v>4</v>
      </c>
      <c r="R10284" s="894">
        <f t="shared" si="820"/>
        <v>0</v>
      </c>
    </row>
    <row r="10285" spans="1:18" s="847" customFormat="1">
      <c r="A10285" s="895"/>
      <c r="B10285" s="896"/>
      <c r="C10285" s="897"/>
      <c r="D10285" s="897"/>
      <c r="E10285" s="1002" t="s">
        <v>3914</v>
      </c>
      <c r="F10285" s="895"/>
      <c r="G10285" s="1004"/>
      <c r="H10285" s="901"/>
      <c r="I10285" s="902"/>
      <c r="J10285" s="902"/>
      <c r="K10285" s="912" t="s">
        <v>274</v>
      </c>
      <c r="L10285" s="902"/>
      <c r="M10285" s="902"/>
      <c r="N10285" s="902"/>
      <c r="O10285" s="892">
        <f t="shared" si="821"/>
        <v>0</v>
      </c>
      <c r="P10285" s="903">
        <f t="shared" si="818"/>
        <v>1</v>
      </c>
      <c r="Q10285" s="893">
        <f t="shared" si="819"/>
        <v>3</v>
      </c>
      <c r="R10285" s="894">
        <f t="shared" si="820"/>
        <v>0</v>
      </c>
    </row>
    <row r="10286" spans="1:18" s="904" customFormat="1">
      <c r="A10286" s="905"/>
      <c r="B10286" s="952" t="s">
        <v>6434</v>
      </c>
      <c r="C10286" s="907">
        <v>912</v>
      </c>
      <c r="D10286" s="907" t="s">
        <v>93</v>
      </c>
      <c r="E10286" s="992" t="s">
        <v>6435</v>
      </c>
      <c r="F10286" s="905" t="s">
        <v>2673</v>
      </c>
      <c r="G10286" s="1005"/>
      <c r="H10286" s="911">
        <v>0.19800000000000001</v>
      </c>
      <c r="I10286" s="912"/>
      <c r="J10286" s="912"/>
      <c r="K10286" s="912"/>
      <c r="L10286" s="912"/>
      <c r="M10286" s="912">
        <f>VLOOKUP(B10286,MTC!$B$9:$S$933,12,0)</f>
        <v>0</v>
      </c>
      <c r="N10286" s="912">
        <f>M10286*H10286</f>
        <v>0</v>
      </c>
      <c r="O10286" s="892">
        <f t="shared" si="821"/>
        <v>0</v>
      </c>
      <c r="P10286" s="903">
        <f t="shared" si="818"/>
        <v>1</v>
      </c>
      <c r="Q10286" s="893">
        <f t="shared" si="819"/>
        <v>2</v>
      </c>
      <c r="R10286" s="894">
        <f t="shared" si="820"/>
        <v>0</v>
      </c>
    </row>
    <row r="10287" spans="1:18">
      <c r="A10287" s="905"/>
      <c r="B10287" s="952" t="s">
        <v>6414</v>
      </c>
      <c r="C10287" s="907">
        <v>914</v>
      </c>
      <c r="D10287" s="907" t="s">
        <v>93</v>
      </c>
      <c r="E10287" s="992" t="s">
        <v>6415</v>
      </c>
      <c r="F10287" s="905" t="s">
        <v>2673</v>
      </c>
      <c r="G10287" s="1005"/>
      <c r="H10287" s="911">
        <v>0.1</v>
      </c>
      <c r="I10287" s="912"/>
      <c r="J10287" s="912"/>
      <c r="K10287" s="912"/>
      <c r="L10287" s="912"/>
      <c r="M10287" s="912">
        <f>VLOOKUP(B10287,MTC!$B$9:$S$933,12,0)</f>
        <v>0</v>
      </c>
      <c r="N10287" s="912">
        <f>M10287*H10287</f>
        <v>0</v>
      </c>
      <c r="O10287" s="892">
        <f t="shared" si="821"/>
        <v>0</v>
      </c>
      <c r="P10287" s="903">
        <f t="shared" si="818"/>
        <v>1</v>
      </c>
      <c r="Q10287" s="893">
        <f t="shared" si="819"/>
        <v>1</v>
      </c>
      <c r="R10287" s="894">
        <f t="shared" si="820"/>
        <v>0</v>
      </c>
    </row>
    <row r="10288" spans="1:18" s="847" customFormat="1" ht="47.25">
      <c r="A10288" s="905">
        <v>154</v>
      </c>
      <c r="B10288" s="914" t="s">
        <v>6663</v>
      </c>
      <c r="C10288" s="915"/>
      <c r="D10288" s="915"/>
      <c r="E10288" s="1006" t="s">
        <v>6664</v>
      </c>
      <c r="F10288" s="1007" t="s">
        <v>136</v>
      </c>
      <c r="G10288" s="1008"/>
      <c r="H10288" s="919"/>
      <c r="I10288" s="920"/>
      <c r="J10288" s="962">
        <f>SUM(J10289:J10297)</f>
        <v>80500</v>
      </c>
      <c r="K10288" s="891" t="s">
        <v>274</v>
      </c>
      <c r="L10288" s="962">
        <f>SUM(L10289:L10297)</f>
        <v>771726.25</v>
      </c>
      <c r="M10288" s="962"/>
      <c r="N10288" s="962">
        <f>SUM(N10289:N10297)</f>
        <v>0</v>
      </c>
      <c r="O10288" s="892">
        <f t="shared" si="821"/>
        <v>1</v>
      </c>
      <c r="P10288" s="903">
        <f t="shared" si="818"/>
        <v>0</v>
      </c>
      <c r="Q10288" s="893">
        <f t="shared" si="819"/>
        <v>0</v>
      </c>
      <c r="R10288" s="894">
        <f t="shared" si="820"/>
        <v>9</v>
      </c>
    </row>
    <row r="10289" spans="1:18" s="904" customFormat="1">
      <c r="A10289" s="895"/>
      <c r="B10289" s="896"/>
      <c r="C10289" s="897"/>
      <c r="D10289" s="897"/>
      <c r="E10289" s="1002" t="s">
        <v>108</v>
      </c>
      <c r="F10289" s="895"/>
      <c r="G10289" s="1004"/>
      <c r="H10289" s="901"/>
      <c r="I10289" s="902"/>
      <c r="J10289" s="902"/>
      <c r="K10289" s="912" t="s">
        <v>274</v>
      </c>
      <c r="L10289" s="902"/>
      <c r="M10289" s="902"/>
      <c r="N10289" s="902"/>
      <c r="O10289" s="892">
        <f t="shared" si="821"/>
        <v>0</v>
      </c>
      <c r="P10289" s="903">
        <f t="shared" si="818"/>
        <v>1</v>
      </c>
      <c r="Q10289" s="893">
        <f t="shared" si="819"/>
        <v>9</v>
      </c>
      <c r="R10289" s="894">
        <f t="shared" si="820"/>
        <v>0</v>
      </c>
    </row>
    <row r="10290" spans="1:18">
      <c r="A10290" s="905"/>
      <c r="B10290" s="952"/>
      <c r="C10290" s="907">
        <v>315</v>
      </c>
      <c r="D10290" s="907" t="s">
        <v>279</v>
      </c>
      <c r="E10290" s="992" t="s">
        <v>6316</v>
      </c>
      <c r="F10290" s="905" t="s">
        <v>49</v>
      </c>
      <c r="G10290" s="1005"/>
      <c r="H10290" s="911">
        <v>0.5</v>
      </c>
      <c r="I10290" s="912">
        <f>VLOOKUP(E10290,[3]VLP!$B$7:$K$300,10,0)</f>
        <v>8000</v>
      </c>
      <c r="J10290" s="912">
        <f>I10290*H10290</f>
        <v>4000</v>
      </c>
      <c r="K10290" s="912" t="s">
        <v>274</v>
      </c>
      <c r="L10290" s="912"/>
      <c r="M10290" s="912"/>
      <c r="N10290" s="912"/>
      <c r="O10290" s="892">
        <f t="shared" si="821"/>
        <v>0</v>
      </c>
      <c r="P10290" s="903">
        <f t="shared" si="818"/>
        <v>1</v>
      </c>
      <c r="Q10290" s="893">
        <f t="shared" si="819"/>
        <v>8</v>
      </c>
      <c r="R10290" s="894">
        <f t="shared" si="820"/>
        <v>0</v>
      </c>
    </row>
    <row r="10291" spans="1:18" s="847" customFormat="1">
      <c r="A10291" s="905"/>
      <c r="B10291" s="952"/>
      <c r="C10291" s="907">
        <v>235</v>
      </c>
      <c r="D10291" s="907" t="s">
        <v>279</v>
      </c>
      <c r="E10291" s="992" t="s">
        <v>2682</v>
      </c>
      <c r="F10291" s="905" t="s">
        <v>45</v>
      </c>
      <c r="G10291" s="1005"/>
      <c r="H10291" s="911">
        <v>0.3</v>
      </c>
      <c r="I10291" s="912">
        <f>VLOOKUP(E10291,[3]VLP!$B$7:$K$300,10,0)</f>
        <v>5000</v>
      </c>
      <c r="J10291" s="912">
        <f>I10291*H10291</f>
        <v>1500</v>
      </c>
      <c r="K10291" s="912" t="s">
        <v>274</v>
      </c>
      <c r="L10291" s="912"/>
      <c r="M10291" s="912"/>
      <c r="N10291" s="912"/>
      <c r="O10291" s="892">
        <f t="shared" si="821"/>
        <v>0</v>
      </c>
      <c r="P10291" s="903">
        <f t="shared" ref="P10291:P10354" si="822">IF(O10291=0,1,0)</f>
        <v>1</v>
      </c>
      <c r="Q10291" s="893">
        <f t="shared" ref="Q10291:Q10354" si="823">IF(P10291=0,0,P10291+Q10292)</f>
        <v>7</v>
      </c>
      <c r="R10291" s="894">
        <f t="shared" ref="R10291:R10354" si="824">IF(Q10291=0,Q10292,0)</f>
        <v>0</v>
      </c>
    </row>
    <row r="10292" spans="1:18" s="904" customFormat="1">
      <c r="A10292" s="905"/>
      <c r="B10292" s="952"/>
      <c r="C10292" s="907">
        <v>699</v>
      </c>
      <c r="D10292" s="907" t="s">
        <v>279</v>
      </c>
      <c r="E10292" s="992" t="s">
        <v>4006</v>
      </c>
      <c r="F10292" s="905" t="s">
        <v>4007</v>
      </c>
      <c r="G10292" s="1005"/>
      <c r="H10292" s="911">
        <v>15</v>
      </c>
      <c r="I10292" s="912">
        <f>VLOOKUP(E10292,[3]VLP!$B$7:$K$300,10,0)</f>
        <v>5000</v>
      </c>
      <c r="J10292" s="912">
        <f>I10292*H10292</f>
        <v>75000</v>
      </c>
      <c r="K10292" s="912" t="s">
        <v>274</v>
      </c>
      <c r="L10292" s="912"/>
      <c r="M10292" s="912"/>
      <c r="N10292" s="912"/>
      <c r="O10292" s="892">
        <f t="shared" si="821"/>
        <v>0</v>
      </c>
      <c r="P10292" s="903">
        <f t="shared" si="822"/>
        <v>1</v>
      </c>
      <c r="Q10292" s="893">
        <f t="shared" si="823"/>
        <v>6</v>
      </c>
      <c r="R10292" s="894">
        <f t="shared" si="824"/>
        <v>0</v>
      </c>
    </row>
    <row r="10293" spans="1:18">
      <c r="A10293" s="895"/>
      <c r="B10293" s="896"/>
      <c r="C10293" s="897"/>
      <c r="D10293" s="897"/>
      <c r="E10293" s="1002" t="s">
        <v>276</v>
      </c>
      <c r="F10293" s="1003"/>
      <c r="G10293" s="1004"/>
      <c r="H10293" s="901"/>
      <c r="I10293" s="902"/>
      <c r="J10293" s="902"/>
      <c r="K10293" s="912" t="s">
        <v>274</v>
      </c>
      <c r="L10293" s="902"/>
      <c r="M10293" s="902"/>
      <c r="N10293" s="902"/>
      <c r="O10293" s="892">
        <f t="shared" si="821"/>
        <v>0</v>
      </c>
      <c r="P10293" s="903">
        <f t="shared" si="822"/>
        <v>1</v>
      </c>
      <c r="Q10293" s="893">
        <f t="shared" si="823"/>
        <v>5</v>
      </c>
      <c r="R10293" s="894">
        <f t="shared" si="824"/>
        <v>0</v>
      </c>
    </row>
    <row r="10294" spans="1:18" s="847" customFormat="1">
      <c r="A10294" s="905"/>
      <c r="B10294" s="952"/>
      <c r="C10294" s="907">
        <v>740</v>
      </c>
      <c r="D10294" s="907" t="s">
        <v>12</v>
      </c>
      <c r="E10294" s="992" t="s">
        <v>4008</v>
      </c>
      <c r="F10294" s="905" t="s">
        <v>2674</v>
      </c>
      <c r="G10294" s="1005"/>
      <c r="H10294" s="911">
        <v>3.49</v>
      </c>
      <c r="I10294" s="912"/>
      <c r="J10294" s="912"/>
      <c r="K10294" s="912">
        <f>VLOOKUP(E10294,[5]ĐMNC!$A$7:$F$67,4,0)</f>
        <v>221125</v>
      </c>
      <c r="L10294" s="912">
        <f>H10294*K10294</f>
        <v>771726.25</v>
      </c>
      <c r="M10294" s="912"/>
      <c r="N10294" s="912"/>
      <c r="O10294" s="892">
        <f t="shared" si="821"/>
        <v>0</v>
      </c>
      <c r="P10294" s="903">
        <f t="shared" si="822"/>
        <v>1</v>
      </c>
      <c r="Q10294" s="893">
        <f t="shared" si="823"/>
        <v>4</v>
      </c>
      <c r="R10294" s="894">
        <f t="shared" si="824"/>
        <v>0</v>
      </c>
    </row>
    <row r="10295" spans="1:18" s="904" customFormat="1">
      <c r="A10295" s="895"/>
      <c r="B10295" s="896"/>
      <c r="C10295" s="897"/>
      <c r="D10295" s="897"/>
      <c r="E10295" s="1002" t="s">
        <v>3914</v>
      </c>
      <c r="F10295" s="895"/>
      <c r="G10295" s="1004"/>
      <c r="H10295" s="901"/>
      <c r="I10295" s="902"/>
      <c r="J10295" s="902"/>
      <c r="K10295" s="912" t="s">
        <v>274</v>
      </c>
      <c r="L10295" s="902"/>
      <c r="M10295" s="902"/>
      <c r="N10295" s="902"/>
      <c r="O10295" s="892">
        <f t="shared" si="821"/>
        <v>0</v>
      </c>
      <c r="P10295" s="903">
        <f t="shared" si="822"/>
        <v>1</v>
      </c>
      <c r="Q10295" s="893">
        <f t="shared" si="823"/>
        <v>3</v>
      </c>
      <c r="R10295" s="894">
        <f t="shared" si="824"/>
        <v>0</v>
      </c>
    </row>
    <row r="10296" spans="1:18">
      <c r="A10296" s="905"/>
      <c r="B10296" s="952" t="s">
        <v>6434</v>
      </c>
      <c r="C10296" s="907">
        <v>912</v>
      </c>
      <c r="D10296" s="907" t="s">
        <v>93</v>
      </c>
      <c r="E10296" s="992" t="s">
        <v>6435</v>
      </c>
      <c r="F10296" s="905" t="s">
        <v>2673</v>
      </c>
      <c r="G10296" s="1005"/>
      <c r="H10296" s="911">
        <v>0.247</v>
      </c>
      <c r="I10296" s="912"/>
      <c r="J10296" s="912"/>
      <c r="K10296" s="912"/>
      <c r="L10296" s="912"/>
      <c r="M10296" s="912">
        <f>VLOOKUP(B10296,MTC!$B$9:$S$933,12,0)</f>
        <v>0</v>
      </c>
      <c r="N10296" s="912">
        <f>M10296*H10296</f>
        <v>0</v>
      </c>
      <c r="O10296" s="892">
        <f t="shared" si="821"/>
        <v>0</v>
      </c>
      <c r="P10296" s="903">
        <f t="shared" si="822"/>
        <v>1</v>
      </c>
      <c r="Q10296" s="893">
        <f t="shared" si="823"/>
        <v>2</v>
      </c>
      <c r="R10296" s="894">
        <f t="shared" si="824"/>
        <v>0</v>
      </c>
    </row>
    <row r="10297" spans="1:18" s="847" customFormat="1">
      <c r="A10297" s="905"/>
      <c r="B10297" s="952" t="s">
        <v>6414</v>
      </c>
      <c r="C10297" s="907">
        <v>914</v>
      </c>
      <c r="D10297" s="907" t="s">
        <v>93</v>
      </c>
      <c r="E10297" s="992" t="s">
        <v>6415</v>
      </c>
      <c r="F10297" s="905" t="s">
        <v>2673</v>
      </c>
      <c r="G10297" s="1005"/>
      <c r="H10297" s="911">
        <v>0.1</v>
      </c>
      <c r="I10297" s="912"/>
      <c r="J10297" s="912"/>
      <c r="K10297" s="912"/>
      <c r="L10297" s="912"/>
      <c r="M10297" s="912">
        <f>VLOOKUP(B10297,MTC!$B$9:$S$933,12,0)</f>
        <v>0</v>
      </c>
      <c r="N10297" s="912">
        <f>M10297*H10297</f>
        <v>0</v>
      </c>
      <c r="O10297" s="892">
        <f t="shared" si="821"/>
        <v>0</v>
      </c>
      <c r="P10297" s="903">
        <f t="shared" si="822"/>
        <v>1</v>
      </c>
      <c r="Q10297" s="893">
        <f t="shared" si="823"/>
        <v>1</v>
      </c>
      <c r="R10297" s="894">
        <f t="shared" si="824"/>
        <v>0</v>
      </c>
    </row>
    <row r="10298" spans="1:18" s="904" customFormat="1" ht="47.25">
      <c r="A10298" s="905">
        <v>155</v>
      </c>
      <c r="B10298" s="914" t="s">
        <v>6665</v>
      </c>
      <c r="C10298" s="915"/>
      <c r="D10298" s="915"/>
      <c r="E10298" s="1006" t="s">
        <v>6666</v>
      </c>
      <c r="F10298" s="1007" t="s">
        <v>136</v>
      </c>
      <c r="G10298" s="1008"/>
      <c r="H10298" s="919"/>
      <c r="I10298" s="920"/>
      <c r="J10298" s="962">
        <f>SUM(J10299:J10307)</f>
        <v>90500</v>
      </c>
      <c r="K10298" s="891" t="s">
        <v>274</v>
      </c>
      <c r="L10298" s="962">
        <f>SUM(L10299:L10307)</f>
        <v>899978.75000000012</v>
      </c>
      <c r="M10298" s="962"/>
      <c r="N10298" s="962">
        <f>SUM(N10299:N10307)</f>
        <v>0</v>
      </c>
      <c r="O10298" s="892">
        <f t="shared" si="821"/>
        <v>1</v>
      </c>
      <c r="P10298" s="903">
        <f t="shared" si="822"/>
        <v>0</v>
      </c>
      <c r="Q10298" s="893">
        <f t="shared" si="823"/>
        <v>0</v>
      </c>
      <c r="R10298" s="894">
        <f t="shared" si="824"/>
        <v>9</v>
      </c>
    </row>
    <row r="10299" spans="1:18">
      <c r="A10299" s="895"/>
      <c r="B10299" s="896"/>
      <c r="C10299" s="897"/>
      <c r="D10299" s="897"/>
      <c r="E10299" s="1002" t="s">
        <v>108</v>
      </c>
      <c r="F10299" s="895"/>
      <c r="G10299" s="1004"/>
      <c r="H10299" s="901"/>
      <c r="I10299" s="902"/>
      <c r="J10299" s="902"/>
      <c r="K10299" s="912" t="s">
        <v>274</v>
      </c>
      <c r="L10299" s="902"/>
      <c r="M10299" s="902"/>
      <c r="N10299" s="902"/>
      <c r="O10299" s="892">
        <f t="shared" si="821"/>
        <v>0</v>
      </c>
      <c r="P10299" s="903">
        <f t="shared" si="822"/>
        <v>1</v>
      </c>
      <c r="Q10299" s="893">
        <f t="shared" si="823"/>
        <v>9</v>
      </c>
      <c r="R10299" s="894">
        <f t="shared" si="824"/>
        <v>0</v>
      </c>
    </row>
    <row r="10300" spans="1:18" s="847" customFormat="1">
      <c r="A10300" s="905"/>
      <c r="B10300" s="952"/>
      <c r="C10300" s="907">
        <v>315</v>
      </c>
      <c r="D10300" s="907" t="s">
        <v>279</v>
      </c>
      <c r="E10300" s="992" t="s">
        <v>6316</v>
      </c>
      <c r="F10300" s="905" t="s">
        <v>49</v>
      </c>
      <c r="G10300" s="1005"/>
      <c r="H10300" s="911">
        <v>0.5</v>
      </c>
      <c r="I10300" s="912">
        <f>VLOOKUP(E10300,[3]VLP!$B$7:$K$300,10,0)</f>
        <v>8000</v>
      </c>
      <c r="J10300" s="912">
        <f>I10300*H10300</f>
        <v>4000</v>
      </c>
      <c r="K10300" s="912" t="s">
        <v>274</v>
      </c>
      <c r="L10300" s="912"/>
      <c r="M10300" s="912"/>
      <c r="N10300" s="912"/>
      <c r="O10300" s="892">
        <f t="shared" si="821"/>
        <v>0</v>
      </c>
      <c r="P10300" s="903">
        <f t="shared" si="822"/>
        <v>1</v>
      </c>
      <c r="Q10300" s="893">
        <f t="shared" si="823"/>
        <v>8</v>
      </c>
      <c r="R10300" s="894">
        <f t="shared" si="824"/>
        <v>0</v>
      </c>
    </row>
    <row r="10301" spans="1:18" s="904" customFormat="1">
      <c r="A10301" s="905"/>
      <c r="B10301" s="952"/>
      <c r="C10301" s="907">
        <v>235</v>
      </c>
      <c r="D10301" s="907" t="s">
        <v>279</v>
      </c>
      <c r="E10301" s="992" t="s">
        <v>2682</v>
      </c>
      <c r="F10301" s="905" t="s">
        <v>45</v>
      </c>
      <c r="G10301" s="1005"/>
      <c r="H10301" s="911">
        <v>0.3</v>
      </c>
      <c r="I10301" s="912">
        <f>VLOOKUP(E10301,[3]VLP!$B$7:$K$300,10,0)</f>
        <v>5000</v>
      </c>
      <c r="J10301" s="912">
        <f>I10301*H10301</f>
        <v>1500</v>
      </c>
      <c r="K10301" s="912" t="s">
        <v>274</v>
      </c>
      <c r="L10301" s="912"/>
      <c r="M10301" s="912"/>
      <c r="N10301" s="912"/>
      <c r="O10301" s="892">
        <f t="shared" si="821"/>
        <v>0</v>
      </c>
      <c r="P10301" s="903">
        <f t="shared" si="822"/>
        <v>1</v>
      </c>
      <c r="Q10301" s="893">
        <f t="shared" si="823"/>
        <v>7</v>
      </c>
      <c r="R10301" s="894">
        <f t="shared" si="824"/>
        <v>0</v>
      </c>
    </row>
    <row r="10302" spans="1:18">
      <c r="A10302" s="905"/>
      <c r="B10302" s="952"/>
      <c r="C10302" s="907">
        <v>699</v>
      </c>
      <c r="D10302" s="907" t="s">
        <v>279</v>
      </c>
      <c r="E10302" s="992" t="s">
        <v>4006</v>
      </c>
      <c r="F10302" s="905" t="s">
        <v>4007</v>
      </c>
      <c r="G10302" s="1005"/>
      <c r="H10302" s="911">
        <v>17</v>
      </c>
      <c r="I10302" s="912">
        <f>VLOOKUP(E10302,[3]VLP!$B$7:$K$300,10,0)</f>
        <v>5000</v>
      </c>
      <c r="J10302" s="912">
        <f>I10302*H10302</f>
        <v>85000</v>
      </c>
      <c r="K10302" s="912" t="s">
        <v>274</v>
      </c>
      <c r="L10302" s="912"/>
      <c r="M10302" s="912"/>
      <c r="N10302" s="912"/>
      <c r="O10302" s="892">
        <f t="shared" si="821"/>
        <v>0</v>
      </c>
      <c r="P10302" s="903">
        <f t="shared" si="822"/>
        <v>1</v>
      </c>
      <c r="Q10302" s="893">
        <f t="shared" si="823"/>
        <v>6</v>
      </c>
      <c r="R10302" s="894">
        <f t="shared" si="824"/>
        <v>0</v>
      </c>
    </row>
    <row r="10303" spans="1:18" s="847" customFormat="1">
      <c r="A10303" s="895"/>
      <c r="B10303" s="896"/>
      <c r="C10303" s="897"/>
      <c r="D10303" s="897"/>
      <c r="E10303" s="1002" t="s">
        <v>276</v>
      </c>
      <c r="F10303" s="1003"/>
      <c r="G10303" s="1004"/>
      <c r="H10303" s="901"/>
      <c r="I10303" s="902"/>
      <c r="J10303" s="902"/>
      <c r="K10303" s="912" t="s">
        <v>274</v>
      </c>
      <c r="L10303" s="902"/>
      <c r="M10303" s="902"/>
      <c r="N10303" s="902"/>
      <c r="O10303" s="892">
        <f t="shared" si="821"/>
        <v>0</v>
      </c>
      <c r="P10303" s="903">
        <f t="shared" si="822"/>
        <v>1</v>
      </c>
      <c r="Q10303" s="893">
        <f t="shared" si="823"/>
        <v>5</v>
      </c>
      <c r="R10303" s="894">
        <f t="shared" si="824"/>
        <v>0</v>
      </c>
    </row>
    <row r="10304" spans="1:18" s="904" customFormat="1">
      <c r="A10304" s="905"/>
      <c r="B10304" s="952"/>
      <c r="C10304" s="907">
        <v>740</v>
      </c>
      <c r="D10304" s="907" t="s">
        <v>12</v>
      </c>
      <c r="E10304" s="992" t="s">
        <v>4008</v>
      </c>
      <c r="F10304" s="905" t="s">
        <v>2674</v>
      </c>
      <c r="G10304" s="1005"/>
      <c r="H10304" s="911">
        <v>4.07</v>
      </c>
      <c r="I10304" s="912"/>
      <c r="J10304" s="912"/>
      <c r="K10304" s="912">
        <f>VLOOKUP(E10304,[5]ĐMNC!$A$7:$F$67,4,0)</f>
        <v>221125</v>
      </c>
      <c r="L10304" s="912">
        <f>H10304*K10304</f>
        <v>899978.75000000012</v>
      </c>
      <c r="M10304" s="912"/>
      <c r="N10304" s="912"/>
      <c r="O10304" s="892">
        <f t="shared" si="821"/>
        <v>0</v>
      </c>
      <c r="P10304" s="903">
        <f t="shared" si="822"/>
        <v>1</v>
      </c>
      <c r="Q10304" s="893">
        <f t="shared" si="823"/>
        <v>4</v>
      </c>
      <c r="R10304" s="894">
        <f t="shared" si="824"/>
        <v>0</v>
      </c>
    </row>
    <row r="10305" spans="1:18">
      <c r="A10305" s="895"/>
      <c r="B10305" s="896"/>
      <c r="C10305" s="897"/>
      <c r="D10305" s="897"/>
      <c r="E10305" s="1002" t="s">
        <v>3914</v>
      </c>
      <c r="F10305" s="895"/>
      <c r="G10305" s="1004"/>
      <c r="H10305" s="901"/>
      <c r="I10305" s="902"/>
      <c r="J10305" s="902"/>
      <c r="K10305" s="912" t="s">
        <v>274</v>
      </c>
      <c r="L10305" s="902"/>
      <c r="M10305" s="902"/>
      <c r="N10305" s="902"/>
      <c r="O10305" s="892">
        <f t="shared" si="821"/>
        <v>0</v>
      </c>
      <c r="P10305" s="903">
        <f t="shared" si="822"/>
        <v>1</v>
      </c>
      <c r="Q10305" s="893">
        <f t="shared" si="823"/>
        <v>3</v>
      </c>
      <c r="R10305" s="894">
        <f t="shared" si="824"/>
        <v>0</v>
      </c>
    </row>
    <row r="10306" spans="1:18" s="847" customFormat="1">
      <c r="A10306" s="905"/>
      <c r="B10306" s="952" t="s">
        <v>6434</v>
      </c>
      <c r="C10306" s="907">
        <v>912</v>
      </c>
      <c r="D10306" s="907" t="s">
        <v>93</v>
      </c>
      <c r="E10306" s="992" t="s">
        <v>6435</v>
      </c>
      <c r="F10306" s="905" t="s">
        <v>2673</v>
      </c>
      <c r="G10306" s="1005"/>
      <c r="H10306" s="911">
        <v>0.34</v>
      </c>
      <c r="I10306" s="912"/>
      <c r="J10306" s="912"/>
      <c r="K10306" s="912"/>
      <c r="L10306" s="912"/>
      <c r="M10306" s="912">
        <f>VLOOKUP(B10306,MTC!$B$9:$S$933,12,0)</f>
        <v>0</v>
      </c>
      <c r="N10306" s="912">
        <f>M10306*H10306</f>
        <v>0</v>
      </c>
      <c r="O10306" s="892">
        <f t="shared" si="821"/>
        <v>0</v>
      </c>
      <c r="P10306" s="903">
        <f t="shared" si="822"/>
        <v>1</v>
      </c>
      <c r="Q10306" s="893">
        <f t="shared" si="823"/>
        <v>2</v>
      </c>
      <c r="R10306" s="894">
        <f t="shared" si="824"/>
        <v>0</v>
      </c>
    </row>
    <row r="10307" spans="1:18" s="904" customFormat="1">
      <c r="A10307" s="905"/>
      <c r="B10307" s="952" t="s">
        <v>6414</v>
      </c>
      <c r="C10307" s="907">
        <v>914</v>
      </c>
      <c r="D10307" s="907" t="s">
        <v>93</v>
      </c>
      <c r="E10307" s="992" t="s">
        <v>6415</v>
      </c>
      <c r="F10307" s="905" t="s">
        <v>2673</v>
      </c>
      <c r="G10307" s="1005"/>
      <c r="H10307" s="911">
        <v>0.1</v>
      </c>
      <c r="I10307" s="912"/>
      <c r="J10307" s="912"/>
      <c r="K10307" s="912"/>
      <c r="L10307" s="912"/>
      <c r="M10307" s="912">
        <f>VLOOKUP(B10307,MTC!$B$9:$S$933,12,0)</f>
        <v>0</v>
      </c>
      <c r="N10307" s="912">
        <f>M10307*H10307</f>
        <v>0</v>
      </c>
      <c r="O10307" s="892">
        <f t="shared" si="821"/>
        <v>0</v>
      </c>
      <c r="P10307" s="903">
        <f t="shared" si="822"/>
        <v>1</v>
      </c>
      <c r="Q10307" s="893">
        <f t="shared" si="823"/>
        <v>1</v>
      </c>
      <c r="R10307" s="894">
        <f t="shared" si="824"/>
        <v>0</v>
      </c>
    </row>
    <row r="10308" spans="1:18" ht="31.5">
      <c r="A10308" s="905">
        <v>156</v>
      </c>
      <c r="B10308" s="914" t="s">
        <v>6667</v>
      </c>
      <c r="C10308" s="915"/>
      <c r="D10308" s="915"/>
      <c r="E10308" s="1006" t="s">
        <v>6668</v>
      </c>
      <c r="F10308" s="1007" t="s">
        <v>136</v>
      </c>
      <c r="G10308" s="1008"/>
      <c r="H10308" s="919"/>
      <c r="I10308" s="920"/>
      <c r="J10308" s="891">
        <f>SUM(J10309:J10319)</f>
        <v>55500</v>
      </c>
      <c r="K10308" s="891" t="s">
        <v>274</v>
      </c>
      <c r="L10308" s="891">
        <f>SUM(L10309:L10319)</f>
        <v>725290</v>
      </c>
      <c r="M10308" s="891"/>
      <c r="N10308" s="891">
        <f>SUM(N10309:N10319)</f>
        <v>51965.279999999999</v>
      </c>
      <c r="O10308" s="892">
        <f t="shared" si="821"/>
        <v>1</v>
      </c>
      <c r="P10308" s="903">
        <f t="shared" si="822"/>
        <v>0</v>
      </c>
      <c r="Q10308" s="893">
        <f t="shared" si="823"/>
        <v>0</v>
      </c>
      <c r="R10308" s="894">
        <f t="shared" si="824"/>
        <v>11</v>
      </c>
    </row>
    <row r="10309" spans="1:18" s="847" customFormat="1">
      <c r="A10309" s="895"/>
      <c r="B10309" s="896"/>
      <c r="C10309" s="897"/>
      <c r="D10309" s="897"/>
      <c r="E10309" s="1002" t="s">
        <v>108</v>
      </c>
      <c r="F10309" s="895"/>
      <c r="G10309" s="1004"/>
      <c r="H10309" s="901"/>
      <c r="I10309" s="902"/>
      <c r="J10309" s="902"/>
      <c r="K10309" s="912" t="s">
        <v>274</v>
      </c>
      <c r="L10309" s="902"/>
      <c r="M10309" s="902"/>
      <c r="N10309" s="902"/>
      <c r="O10309" s="892">
        <f t="shared" si="821"/>
        <v>0</v>
      </c>
      <c r="P10309" s="903">
        <f t="shared" si="822"/>
        <v>1</v>
      </c>
      <c r="Q10309" s="893">
        <f t="shared" si="823"/>
        <v>11</v>
      </c>
      <c r="R10309" s="894">
        <f t="shared" si="824"/>
        <v>0</v>
      </c>
    </row>
    <row r="10310" spans="1:18" s="904" customFormat="1">
      <c r="A10310" s="905"/>
      <c r="B10310" s="952"/>
      <c r="C10310" s="907">
        <v>315</v>
      </c>
      <c r="D10310" s="907" t="s">
        <v>279</v>
      </c>
      <c r="E10310" s="992" t="s">
        <v>6316</v>
      </c>
      <c r="F10310" s="905" t="s">
        <v>49</v>
      </c>
      <c r="G10310" s="1005"/>
      <c r="H10310" s="911">
        <v>0.5</v>
      </c>
      <c r="I10310" s="912">
        <f>VLOOKUP(E10310,[3]VLP!$B$7:$K$300,10,0)</f>
        <v>8000</v>
      </c>
      <c r="J10310" s="912">
        <f>I10310*H10310</f>
        <v>4000</v>
      </c>
      <c r="K10310" s="912" t="s">
        <v>274</v>
      </c>
      <c r="L10310" s="912"/>
      <c r="M10310" s="912"/>
      <c r="N10310" s="912"/>
      <c r="O10310" s="892">
        <f t="shared" si="821"/>
        <v>0</v>
      </c>
      <c r="P10310" s="903">
        <f t="shared" si="822"/>
        <v>1</v>
      </c>
      <c r="Q10310" s="893">
        <f t="shared" si="823"/>
        <v>10</v>
      </c>
      <c r="R10310" s="894">
        <f t="shared" si="824"/>
        <v>0</v>
      </c>
    </row>
    <row r="10311" spans="1:18">
      <c r="A10311" s="905"/>
      <c r="B10311" s="952"/>
      <c r="C10311" s="907">
        <v>235</v>
      </c>
      <c r="D10311" s="907" t="s">
        <v>279</v>
      </c>
      <c r="E10311" s="992" t="s">
        <v>2682</v>
      </c>
      <c r="F10311" s="905" t="s">
        <v>45</v>
      </c>
      <c r="G10311" s="1005"/>
      <c r="H10311" s="911">
        <v>0.3</v>
      </c>
      <c r="I10311" s="912">
        <f>VLOOKUP(E10311,[3]VLP!$B$7:$K$300,10,0)</f>
        <v>5000</v>
      </c>
      <c r="J10311" s="912">
        <f>I10311*H10311</f>
        <v>1500</v>
      </c>
      <c r="K10311" s="912" t="s">
        <v>274</v>
      </c>
      <c r="L10311" s="912"/>
      <c r="M10311" s="912"/>
      <c r="N10311" s="912"/>
      <c r="O10311" s="892">
        <f t="shared" si="821"/>
        <v>0</v>
      </c>
      <c r="P10311" s="903">
        <f t="shared" si="822"/>
        <v>1</v>
      </c>
      <c r="Q10311" s="893">
        <f t="shared" si="823"/>
        <v>9</v>
      </c>
      <c r="R10311" s="894">
        <f t="shared" si="824"/>
        <v>0</v>
      </c>
    </row>
    <row r="10312" spans="1:18" s="847" customFormat="1">
      <c r="A10312" s="905"/>
      <c r="B10312" s="952"/>
      <c r="C10312" s="907">
        <v>699</v>
      </c>
      <c r="D10312" s="907" t="s">
        <v>279</v>
      </c>
      <c r="E10312" s="992" t="s">
        <v>4006</v>
      </c>
      <c r="F10312" s="905" t="s">
        <v>4007</v>
      </c>
      <c r="G10312" s="1005"/>
      <c r="H10312" s="911">
        <v>10</v>
      </c>
      <c r="I10312" s="912">
        <f>VLOOKUP(E10312,[3]VLP!$B$7:$K$300,10,0)</f>
        <v>5000</v>
      </c>
      <c r="J10312" s="912">
        <f>I10312*H10312</f>
        <v>50000</v>
      </c>
      <c r="K10312" s="912" t="s">
        <v>274</v>
      </c>
      <c r="L10312" s="912"/>
      <c r="M10312" s="912"/>
      <c r="N10312" s="912"/>
      <c r="O10312" s="892">
        <f t="shared" si="821"/>
        <v>0</v>
      </c>
      <c r="P10312" s="903">
        <f t="shared" si="822"/>
        <v>1</v>
      </c>
      <c r="Q10312" s="893">
        <f t="shared" si="823"/>
        <v>8</v>
      </c>
      <c r="R10312" s="894">
        <f t="shared" si="824"/>
        <v>0</v>
      </c>
    </row>
    <row r="10313" spans="1:18" s="904" customFormat="1">
      <c r="A10313" s="895"/>
      <c r="B10313" s="896"/>
      <c r="C10313" s="897"/>
      <c r="D10313" s="897"/>
      <c r="E10313" s="1002" t="s">
        <v>276</v>
      </c>
      <c r="F10313" s="1003"/>
      <c r="G10313" s="1004"/>
      <c r="H10313" s="901"/>
      <c r="I10313" s="902"/>
      <c r="J10313" s="902"/>
      <c r="K10313" s="912" t="s">
        <v>274</v>
      </c>
      <c r="L10313" s="902"/>
      <c r="M10313" s="902"/>
      <c r="N10313" s="902"/>
      <c r="O10313" s="892">
        <f t="shared" si="821"/>
        <v>0</v>
      </c>
      <c r="P10313" s="903">
        <f t="shared" si="822"/>
        <v>1</v>
      </c>
      <c r="Q10313" s="893">
        <f t="shared" si="823"/>
        <v>7</v>
      </c>
      <c r="R10313" s="894">
        <f t="shared" si="824"/>
        <v>0</v>
      </c>
    </row>
    <row r="10314" spans="1:18">
      <c r="A10314" s="905"/>
      <c r="B10314" s="952"/>
      <c r="C10314" s="907">
        <v>740</v>
      </c>
      <c r="D10314" s="907" t="s">
        <v>12</v>
      </c>
      <c r="E10314" s="992" t="s">
        <v>4008</v>
      </c>
      <c r="F10314" s="905" t="s">
        <v>2674</v>
      </c>
      <c r="G10314" s="1005"/>
      <c r="H10314" s="911">
        <v>3.28</v>
      </c>
      <c r="I10314" s="912"/>
      <c r="J10314" s="912"/>
      <c r="K10314" s="912">
        <f>VLOOKUP(E10314,[5]ĐMNC!$A$7:$F$67,4,0)</f>
        <v>221125</v>
      </c>
      <c r="L10314" s="912">
        <f>H10314*K10314</f>
        <v>725290</v>
      </c>
      <c r="M10314" s="912"/>
      <c r="N10314" s="912"/>
      <c r="O10314" s="892">
        <f t="shared" si="821"/>
        <v>0</v>
      </c>
      <c r="P10314" s="903">
        <f t="shared" si="822"/>
        <v>1</v>
      </c>
      <c r="Q10314" s="893">
        <f t="shared" si="823"/>
        <v>6</v>
      </c>
      <c r="R10314" s="894">
        <f t="shared" si="824"/>
        <v>0</v>
      </c>
    </row>
    <row r="10315" spans="1:18" s="847" customFormat="1">
      <c r="A10315" s="895"/>
      <c r="B10315" s="896"/>
      <c r="C10315" s="897"/>
      <c r="D10315" s="897"/>
      <c r="E10315" s="1002" t="s">
        <v>3914</v>
      </c>
      <c r="F10315" s="895"/>
      <c r="G10315" s="1004"/>
      <c r="H10315" s="901"/>
      <c r="I10315" s="902"/>
      <c r="J10315" s="902"/>
      <c r="K10315" s="912" t="s">
        <v>274</v>
      </c>
      <c r="L10315" s="902"/>
      <c r="M10315" s="902"/>
      <c r="N10315" s="902"/>
      <c r="O10315" s="892">
        <f t="shared" si="821"/>
        <v>0</v>
      </c>
      <c r="P10315" s="903">
        <f t="shared" si="822"/>
        <v>1</v>
      </c>
      <c r="Q10315" s="893">
        <f t="shared" si="823"/>
        <v>5</v>
      </c>
      <c r="R10315" s="894">
        <f t="shared" si="824"/>
        <v>0</v>
      </c>
    </row>
    <row r="10316" spans="1:18" s="904" customFormat="1">
      <c r="A10316" s="905"/>
      <c r="B10316" s="952" t="s">
        <v>6408</v>
      </c>
      <c r="C10316" s="907">
        <v>913</v>
      </c>
      <c r="D10316" s="907" t="s">
        <v>93</v>
      </c>
      <c r="E10316" s="992" t="s">
        <v>6409</v>
      </c>
      <c r="F10316" s="905" t="s">
        <v>2673</v>
      </c>
      <c r="G10316" s="1005"/>
      <c r="H10316" s="911">
        <v>0.72</v>
      </c>
      <c r="I10316" s="912"/>
      <c r="J10316" s="912"/>
      <c r="K10316" s="912"/>
      <c r="L10316" s="912"/>
      <c r="M10316" s="912">
        <f>VLOOKUP(B10316,MTC!$B$9:$S$933,12,0)</f>
        <v>0</v>
      </c>
      <c r="N10316" s="912">
        <f>M10316*H10316</f>
        <v>0</v>
      </c>
      <c r="O10316" s="892">
        <f t="shared" si="821"/>
        <v>0</v>
      </c>
      <c r="P10316" s="903">
        <f t="shared" si="822"/>
        <v>1</v>
      </c>
      <c r="Q10316" s="893">
        <f t="shared" si="823"/>
        <v>4</v>
      </c>
      <c r="R10316" s="894">
        <f t="shared" si="824"/>
        <v>0</v>
      </c>
    </row>
    <row r="10317" spans="1:18">
      <c r="A10317" s="905"/>
      <c r="B10317" s="952" t="s">
        <v>6410</v>
      </c>
      <c r="C10317" s="907">
        <v>906</v>
      </c>
      <c r="D10317" s="907" t="s">
        <v>93</v>
      </c>
      <c r="E10317" s="992" t="s">
        <v>6411</v>
      </c>
      <c r="F10317" s="905" t="s">
        <v>2673</v>
      </c>
      <c r="G10317" s="1005"/>
      <c r="H10317" s="911">
        <v>0.23</v>
      </c>
      <c r="I10317" s="912"/>
      <c r="J10317" s="912"/>
      <c r="K10317" s="912"/>
      <c r="L10317" s="912"/>
      <c r="M10317" s="912">
        <f>VLOOKUP(B10317,MTC!$B$9:$S$933,12,0)</f>
        <v>0</v>
      </c>
      <c r="N10317" s="912">
        <f>M10317*H10317</f>
        <v>0</v>
      </c>
      <c r="O10317" s="892">
        <f t="shared" si="821"/>
        <v>0</v>
      </c>
      <c r="P10317" s="903">
        <f t="shared" si="822"/>
        <v>1</v>
      </c>
      <c r="Q10317" s="893">
        <f t="shared" si="823"/>
        <v>3</v>
      </c>
      <c r="R10317" s="894">
        <f t="shared" si="824"/>
        <v>0</v>
      </c>
    </row>
    <row r="10318" spans="1:18" s="847" customFormat="1">
      <c r="A10318" s="905"/>
      <c r="B10318" s="952" t="s">
        <v>6412</v>
      </c>
      <c r="C10318" s="907">
        <v>905</v>
      </c>
      <c r="D10318" s="907" t="s">
        <v>93</v>
      </c>
      <c r="E10318" s="992" t="s">
        <v>6413</v>
      </c>
      <c r="F10318" s="905" t="s">
        <v>2673</v>
      </c>
      <c r="G10318" s="1005"/>
      <c r="H10318" s="911">
        <v>0.23</v>
      </c>
      <c r="I10318" s="912"/>
      <c r="J10318" s="912"/>
      <c r="K10318" s="912"/>
      <c r="L10318" s="912"/>
      <c r="M10318" s="912">
        <f>VLOOKUP(B10318,MTC!$B$9:$S$933,12,0)</f>
        <v>225936</v>
      </c>
      <c r="N10318" s="912">
        <f>M10318*H10318</f>
        <v>51965.279999999999</v>
      </c>
      <c r="O10318" s="892">
        <f t="shared" si="821"/>
        <v>0</v>
      </c>
      <c r="P10318" s="903">
        <f t="shared" si="822"/>
        <v>1</v>
      </c>
      <c r="Q10318" s="893">
        <f t="shared" si="823"/>
        <v>2</v>
      </c>
      <c r="R10318" s="894">
        <f t="shared" si="824"/>
        <v>0</v>
      </c>
    </row>
    <row r="10319" spans="1:18" s="904" customFormat="1">
      <c r="A10319" s="905"/>
      <c r="B10319" s="952" t="s">
        <v>6414</v>
      </c>
      <c r="C10319" s="907">
        <v>914</v>
      </c>
      <c r="D10319" s="907" t="s">
        <v>93</v>
      </c>
      <c r="E10319" s="992" t="s">
        <v>6415</v>
      </c>
      <c r="F10319" s="905" t="s">
        <v>2673</v>
      </c>
      <c r="G10319" s="1005"/>
      <c r="H10319" s="911">
        <v>0.1</v>
      </c>
      <c r="I10319" s="912"/>
      <c r="J10319" s="912"/>
      <c r="K10319" s="912"/>
      <c r="L10319" s="912"/>
      <c r="M10319" s="912">
        <f>VLOOKUP(B10319,MTC!$B$9:$S$933,12,0)</f>
        <v>0</v>
      </c>
      <c r="N10319" s="912">
        <f>M10319*H10319</f>
        <v>0</v>
      </c>
      <c r="O10319" s="892">
        <f t="shared" si="821"/>
        <v>0</v>
      </c>
      <c r="P10319" s="903">
        <f t="shared" si="822"/>
        <v>1</v>
      </c>
      <c r="Q10319" s="893">
        <f t="shared" si="823"/>
        <v>1</v>
      </c>
      <c r="R10319" s="894">
        <f t="shared" si="824"/>
        <v>0</v>
      </c>
    </row>
    <row r="10320" spans="1:18" ht="31.5">
      <c r="A10320" s="905">
        <v>157</v>
      </c>
      <c r="B10320" s="914" t="s">
        <v>6669</v>
      </c>
      <c r="C10320" s="915"/>
      <c r="D10320" s="915"/>
      <c r="E10320" s="1006" t="s">
        <v>6670</v>
      </c>
      <c r="F10320" s="1007" t="s">
        <v>136</v>
      </c>
      <c r="G10320" s="1008"/>
      <c r="H10320" s="919"/>
      <c r="I10320" s="920"/>
      <c r="J10320" s="891">
        <f>SUM(J10321:J10331)</f>
        <v>68000</v>
      </c>
      <c r="K10320" s="891" t="s">
        <v>274</v>
      </c>
      <c r="L10320" s="891">
        <f>SUM(L10321:L10331)</f>
        <v>846908.75</v>
      </c>
      <c r="M10320" s="891"/>
      <c r="N10320" s="891">
        <f>SUM(N10321:N10331)</f>
        <v>56484</v>
      </c>
      <c r="O10320" s="892">
        <f t="shared" si="821"/>
        <v>1</v>
      </c>
      <c r="P10320" s="903">
        <f t="shared" si="822"/>
        <v>0</v>
      </c>
      <c r="Q10320" s="893">
        <f t="shared" si="823"/>
        <v>0</v>
      </c>
      <c r="R10320" s="894">
        <f t="shared" si="824"/>
        <v>11</v>
      </c>
    </row>
    <row r="10321" spans="1:18" s="847" customFormat="1">
      <c r="A10321" s="895"/>
      <c r="B10321" s="896"/>
      <c r="C10321" s="897"/>
      <c r="D10321" s="897"/>
      <c r="E10321" s="1002" t="s">
        <v>108</v>
      </c>
      <c r="F10321" s="895"/>
      <c r="G10321" s="1004"/>
      <c r="H10321" s="901"/>
      <c r="I10321" s="902"/>
      <c r="J10321" s="902"/>
      <c r="K10321" s="912" t="s">
        <v>274</v>
      </c>
      <c r="L10321" s="902"/>
      <c r="M10321" s="902"/>
      <c r="N10321" s="902"/>
      <c r="O10321" s="892">
        <f t="shared" si="821"/>
        <v>0</v>
      </c>
      <c r="P10321" s="903">
        <f t="shared" si="822"/>
        <v>1</v>
      </c>
      <c r="Q10321" s="893">
        <f t="shared" si="823"/>
        <v>11</v>
      </c>
      <c r="R10321" s="894">
        <f t="shared" si="824"/>
        <v>0</v>
      </c>
    </row>
    <row r="10322" spans="1:18" s="904" customFormat="1">
      <c r="A10322" s="905"/>
      <c r="B10322" s="952"/>
      <c r="C10322" s="907">
        <v>315</v>
      </c>
      <c r="D10322" s="907" t="s">
        <v>279</v>
      </c>
      <c r="E10322" s="992" t="s">
        <v>6316</v>
      </c>
      <c r="F10322" s="905" t="s">
        <v>49</v>
      </c>
      <c r="G10322" s="1005"/>
      <c r="H10322" s="911">
        <v>0.5</v>
      </c>
      <c r="I10322" s="912">
        <f>VLOOKUP(E10322,[3]VLP!$B$7:$K$300,10,0)</f>
        <v>8000</v>
      </c>
      <c r="J10322" s="912">
        <f>I10322*H10322</f>
        <v>4000</v>
      </c>
      <c r="K10322" s="912" t="s">
        <v>274</v>
      </c>
      <c r="L10322" s="912"/>
      <c r="M10322" s="912"/>
      <c r="N10322" s="912"/>
      <c r="O10322" s="892">
        <f t="shared" si="821"/>
        <v>0</v>
      </c>
      <c r="P10322" s="903">
        <f t="shared" si="822"/>
        <v>1</v>
      </c>
      <c r="Q10322" s="893">
        <f t="shared" si="823"/>
        <v>10</v>
      </c>
      <c r="R10322" s="894">
        <f t="shared" si="824"/>
        <v>0</v>
      </c>
    </row>
    <row r="10323" spans="1:18">
      <c r="A10323" s="905"/>
      <c r="B10323" s="952"/>
      <c r="C10323" s="907">
        <v>235</v>
      </c>
      <c r="D10323" s="907" t="s">
        <v>279</v>
      </c>
      <c r="E10323" s="992" t="s">
        <v>2682</v>
      </c>
      <c r="F10323" s="905" t="s">
        <v>45</v>
      </c>
      <c r="G10323" s="1005"/>
      <c r="H10323" s="911">
        <v>0.3</v>
      </c>
      <c r="I10323" s="912">
        <f>VLOOKUP(E10323,[3]VLP!$B$7:$K$300,10,0)</f>
        <v>5000</v>
      </c>
      <c r="J10323" s="912">
        <f>I10323*H10323</f>
        <v>1500</v>
      </c>
      <c r="K10323" s="912" t="s">
        <v>274</v>
      </c>
      <c r="L10323" s="912"/>
      <c r="M10323" s="912"/>
      <c r="N10323" s="912"/>
      <c r="O10323" s="892">
        <f t="shared" si="821"/>
        <v>0</v>
      </c>
      <c r="P10323" s="903">
        <f t="shared" si="822"/>
        <v>1</v>
      </c>
      <c r="Q10323" s="893">
        <f t="shared" si="823"/>
        <v>9</v>
      </c>
      <c r="R10323" s="894">
        <f t="shared" si="824"/>
        <v>0</v>
      </c>
    </row>
    <row r="10324" spans="1:18" s="847" customFormat="1">
      <c r="A10324" s="905"/>
      <c r="B10324" s="952"/>
      <c r="C10324" s="907">
        <v>699</v>
      </c>
      <c r="D10324" s="907" t="s">
        <v>279</v>
      </c>
      <c r="E10324" s="992" t="s">
        <v>4006</v>
      </c>
      <c r="F10324" s="905" t="s">
        <v>4007</v>
      </c>
      <c r="G10324" s="1005"/>
      <c r="H10324" s="911">
        <v>12.5</v>
      </c>
      <c r="I10324" s="912">
        <f>VLOOKUP(E10324,[3]VLP!$B$7:$K$300,10,0)</f>
        <v>5000</v>
      </c>
      <c r="J10324" s="912">
        <f>I10324*H10324</f>
        <v>62500</v>
      </c>
      <c r="K10324" s="912" t="s">
        <v>274</v>
      </c>
      <c r="L10324" s="912"/>
      <c r="M10324" s="912"/>
      <c r="N10324" s="912"/>
      <c r="O10324" s="892">
        <f t="shared" si="821"/>
        <v>0</v>
      </c>
      <c r="P10324" s="903">
        <f t="shared" si="822"/>
        <v>1</v>
      </c>
      <c r="Q10324" s="893">
        <f t="shared" si="823"/>
        <v>8</v>
      </c>
      <c r="R10324" s="894">
        <f t="shared" si="824"/>
        <v>0</v>
      </c>
    </row>
    <row r="10325" spans="1:18" s="904" customFormat="1">
      <c r="A10325" s="895"/>
      <c r="B10325" s="896"/>
      <c r="C10325" s="897"/>
      <c r="D10325" s="897"/>
      <c r="E10325" s="1002" t="s">
        <v>276</v>
      </c>
      <c r="F10325" s="1003"/>
      <c r="G10325" s="1004"/>
      <c r="H10325" s="901"/>
      <c r="I10325" s="902"/>
      <c r="J10325" s="902"/>
      <c r="K10325" s="912" t="s">
        <v>274</v>
      </c>
      <c r="L10325" s="902"/>
      <c r="M10325" s="902"/>
      <c r="N10325" s="902"/>
      <c r="O10325" s="892">
        <f t="shared" si="821"/>
        <v>0</v>
      </c>
      <c r="P10325" s="903">
        <f t="shared" si="822"/>
        <v>1</v>
      </c>
      <c r="Q10325" s="893">
        <f t="shared" si="823"/>
        <v>7</v>
      </c>
      <c r="R10325" s="894">
        <f t="shared" si="824"/>
        <v>0</v>
      </c>
    </row>
    <row r="10326" spans="1:18">
      <c r="A10326" s="905"/>
      <c r="B10326" s="952"/>
      <c r="C10326" s="907">
        <v>740</v>
      </c>
      <c r="D10326" s="907" t="s">
        <v>12</v>
      </c>
      <c r="E10326" s="992" t="s">
        <v>4008</v>
      </c>
      <c r="F10326" s="905" t="s">
        <v>2674</v>
      </c>
      <c r="G10326" s="1005"/>
      <c r="H10326" s="911">
        <v>3.83</v>
      </c>
      <c r="I10326" s="912"/>
      <c r="J10326" s="912"/>
      <c r="K10326" s="912">
        <f>VLOOKUP(E10326,[5]ĐMNC!$A$7:$F$67,4,0)</f>
        <v>221125</v>
      </c>
      <c r="L10326" s="912">
        <f>H10326*K10326</f>
        <v>846908.75</v>
      </c>
      <c r="M10326" s="912"/>
      <c r="N10326" s="912"/>
      <c r="O10326" s="892">
        <f t="shared" si="821"/>
        <v>0</v>
      </c>
      <c r="P10326" s="903">
        <f t="shared" si="822"/>
        <v>1</v>
      </c>
      <c r="Q10326" s="893">
        <f t="shared" si="823"/>
        <v>6</v>
      </c>
      <c r="R10326" s="894">
        <f t="shared" si="824"/>
        <v>0</v>
      </c>
    </row>
    <row r="10327" spans="1:18" s="847" customFormat="1">
      <c r="A10327" s="895"/>
      <c r="B10327" s="896"/>
      <c r="C10327" s="897"/>
      <c r="D10327" s="897"/>
      <c r="E10327" s="1002" t="s">
        <v>3914</v>
      </c>
      <c r="F10327" s="895"/>
      <c r="G10327" s="1004"/>
      <c r="H10327" s="901"/>
      <c r="I10327" s="902"/>
      <c r="J10327" s="902"/>
      <c r="K10327" s="912" t="s">
        <v>274</v>
      </c>
      <c r="L10327" s="902"/>
      <c r="M10327" s="902"/>
      <c r="N10327" s="902"/>
      <c r="O10327" s="892">
        <f t="shared" si="821"/>
        <v>0</v>
      </c>
      <c r="P10327" s="903">
        <f t="shared" si="822"/>
        <v>1</v>
      </c>
      <c r="Q10327" s="893">
        <f t="shared" si="823"/>
        <v>5</v>
      </c>
      <c r="R10327" s="894">
        <f t="shared" si="824"/>
        <v>0</v>
      </c>
    </row>
    <row r="10328" spans="1:18" s="904" customFormat="1">
      <c r="A10328" s="905"/>
      <c r="B10328" s="952" t="s">
        <v>6408</v>
      </c>
      <c r="C10328" s="907">
        <v>913</v>
      </c>
      <c r="D10328" s="907" t="s">
        <v>93</v>
      </c>
      <c r="E10328" s="992" t="s">
        <v>6409</v>
      </c>
      <c r="F10328" s="905" t="s">
        <v>2673</v>
      </c>
      <c r="G10328" s="1005"/>
      <c r="H10328" s="911">
        <v>0.79</v>
      </c>
      <c r="I10328" s="912"/>
      <c r="J10328" s="912"/>
      <c r="K10328" s="912"/>
      <c r="L10328" s="912"/>
      <c r="M10328" s="912">
        <f>VLOOKUP(B10328,MTC!$B$9:$S$933,12,0)</f>
        <v>0</v>
      </c>
      <c r="N10328" s="912">
        <f>M10328*H10328</f>
        <v>0</v>
      </c>
      <c r="O10328" s="892">
        <f t="shared" si="821"/>
        <v>0</v>
      </c>
      <c r="P10328" s="903">
        <f t="shared" si="822"/>
        <v>1</v>
      </c>
      <c r="Q10328" s="893">
        <f t="shared" si="823"/>
        <v>4</v>
      </c>
      <c r="R10328" s="894">
        <f t="shared" si="824"/>
        <v>0</v>
      </c>
    </row>
    <row r="10329" spans="1:18">
      <c r="A10329" s="905"/>
      <c r="B10329" s="952" t="s">
        <v>6410</v>
      </c>
      <c r="C10329" s="907">
        <v>906</v>
      </c>
      <c r="D10329" s="907" t="s">
        <v>93</v>
      </c>
      <c r="E10329" s="992" t="s">
        <v>6411</v>
      </c>
      <c r="F10329" s="905" t="s">
        <v>2673</v>
      </c>
      <c r="G10329" s="1005"/>
      <c r="H10329" s="911">
        <v>0.25</v>
      </c>
      <c r="I10329" s="912"/>
      <c r="J10329" s="912"/>
      <c r="K10329" s="912"/>
      <c r="L10329" s="912"/>
      <c r="M10329" s="912">
        <f>VLOOKUP(B10329,MTC!$B$9:$S$933,12,0)</f>
        <v>0</v>
      </c>
      <c r="N10329" s="912">
        <f>M10329*H10329</f>
        <v>0</v>
      </c>
      <c r="O10329" s="892">
        <f t="shared" si="821"/>
        <v>0</v>
      </c>
      <c r="P10329" s="903">
        <f t="shared" si="822"/>
        <v>1</v>
      </c>
      <c r="Q10329" s="893">
        <f t="shared" si="823"/>
        <v>3</v>
      </c>
      <c r="R10329" s="894">
        <f t="shared" si="824"/>
        <v>0</v>
      </c>
    </row>
    <row r="10330" spans="1:18" s="847" customFormat="1">
      <c r="A10330" s="905"/>
      <c r="B10330" s="952" t="s">
        <v>6412</v>
      </c>
      <c r="C10330" s="907">
        <v>905</v>
      </c>
      <c r="D10330" s="907" t="s">
        <v>93</v>
      </c>
      <c r="E10330" s="992" t="s">
        <v>6413</v>
      </c>
      <c r="F10330" s="905" t="s">
        <v>2673</v>
      </c>
      <c r="G10330" s="1005"/>
      <c r="H10330" s="911">
        <v>0.25</v>
      </c>
      <c r="I10330" s="912"/>
      <c r="J10330" s="912"/>
      <c r="K10330" s="912"/>
      <c r="L10330" s="912"/>
      <c r="M10330" s="912">
        <f>VLOOKUP(B10330,MTC!$B$9:$S$933,12,0)</f>
        <v>225936</v>
      </c>
      <c r="N10330" s="912">
        <f>M10330*H10330</f>
        <v>56484</v>
      </c>
      <c r="O10330" s="892">
        <f t="shared" si="821"/>
        <v>0</v>
      </c>
      <c r="P10330" s="903">
        <f t="shared" si="822"/>
        <v>1</v>
      </c>
      <c r="Q10330" s="893">
        <f t="shared" si="823"/>
        <v>2</v>
      </c>
      <c r="R10330" s="894">
        <f t="shared" si="824"/>
        <v>0</v>
      </c>
    </row>
    <row r="10331" spans="1:18" s="904" customFormat="1">
      <c r="A10331" s="905"/>
      <c r="B10331" s="952" t="s">
        <v>6414</v>
      </c>
      <c r="C10331" s="907">
        <v>914</v>
      </c>
      <c r="D10331" s="907" t="s">
        <v>93</v>
      </c>
      <c r="E10331" s="992" t="s">
        <v>6415</v>
      </c>
      <c r="F10331" s="905" t="s">
        <v>2673</v>
      </c>
      <c r="G10331" s="1005"/>
      <c r="H10331" s="911">
        <v>0.1</v>
      </c>
      <c r="I10331" s="912"/>
      <c r="J10331" s="912"/>
      <c r="K10331" s="912"/>
      <c r="L10331" s="912"/>
      <c r="M10331" s="912">
        <f>VLOOKUP(B10331,MTC!$B$9:$S$933,12,0)</f>
        <v>0</v>
      </c>
      <c r="N10331" s="912">
        <f>M10331*H10331</f>
        <v>0</v>
      </c>
      <c r="O10331" s="892">
        <f t="shared" si="821"/>
        <v>0</v>
      </c>
      <c r="P10331" s="903">
        <f t="shared" si="822"/>
        <v>1</v>
      </c>
      <c r="Q10331" s="893">
        <f t="shared" si="823"/>
        <v>1</v>
      </c>
      <c r="R10331" s="894">
        <f t="shared" si="824"/>
        <v>0</v>
      </c>
    </row>
    <row r="10332" spans="1:18" ht="31.5">
      <c r="A10332" s="905">
        <v>158</v>
      </c>
      <c r="B10332" s="914" t="s">
        <v>6671</v>
      </c>
      <c r="C10332" s="915"/>
      <c r="D10332" s="915"/>
      <c r="E10332" s="1006" t="s">
        <v>6672</v>
      </c>
      <c r="F10332" s="1007" t="s">
        <v>136</v>
      </c>
      <c r="G10332" s="1008"/>
      <c r="H10332" s="919"/>
      <c r="I10332" s="920"/>
      <c r="J10332" s="891">
        <f>SUM(J10333:J10343)</f>
        <v>55500</v>
      </c>
      <c r="K10332" s="891" t="s">
        <v>274</v>
      </c>
      <c r="L10332" s="891">
        <f>SUM(L10333:L10343)</f>
        <v>884500</v>
      </c>
      <c r="M10332" s="891"/>
      <c r="N10332" s="891">
        <f>SUM(N10333:N10343)</f>
        <v>56484</v>
      </c>
      <c r="O10332" s="892">
        <f t="shared" si="821"/>
        <v>1</v>
      </c>
      <c r="P10332" s="903">
        <f t="shared" si="822"/>
        <v>0</v>
      </c>
      <c r="Q10332" s="893">
        <f t="shared" si="823"/>
        <v>0</v>
      </c>
      <c r="R10332" s="894">
        <f t="shared" si="824"/>
        <v>11</v>
      </c>
    </row>
    <row r="10333" spans="1:18" s="847" customFormat="1">
      <c r="A10333" s="895"/>
      <c r="B10333" s="896"/>
      <c r="C10333" s="897"/>
      <c r="D10333" s="897"/>
      <c r="E10333" s="1002" t="s">
        <v>108</v>
      </c>
      <c r="F10333" s="895"/>
      <c r="G10333" s="1004"/>
      <c r="H10333" s="901"/>
      <c r="I10333" s="902"/>
      <c r="J10333" s="902"/>
      <c r="K10333" s="912" t="s">
        <v>274</v>
      </c>
      <c r="L10333" s="902"/>
      <c r="M10333" s="902"/>
      <c r="N10333" s="902"/>
      <c r="O10333" s="892">
        <f t="shared" si="821"/>
        <v>0</v>
      </c>
      <c r="P10333" s="903">
        <f t="shared" si="822"/>
        <v>1</v>
      </c>
      <c r="Q10333" s="893">
        <f t="shared" si="823"/>
        <v>11</v>
      </c>
      <c r="R10333" s="894">
        <f t="shared" si="824"/>
        <v>0</v>
      </c>
    </row>
    <row r="10334" spans="1:18" s="904" customFormat="1">
      <c r="A10334" s="905"/>
      <c r="B10334" s="952"/>
      <c r="C10334" s="907">
        <v>315</v>
      </c>
      <c r="D10334" s="907" t="s">
        <v>279</v>
      </c>
      <c r="E10334" s="992" t="s">
        <v>6316</v>
      </c>
      <c r="F10334" s="905" t="s">
        <v>49</v>
      </c>
      <c r="G10334" s="1005"/>
      <c r="H10334" s="911">
        <v>0.5</v>
      </c>
      <c r="I10334" s="912">
        <f>VLOOKUP(E10334,[3]VLP!$B$7:$K$300,10,0)</f>
        <v>8000</v>
      </c>
      <c r="J10334" s="912">
        <f>I10334*H10334</f>
        <v>4000</v>
      </c>
      <c r="K10334" s="912" t="s">
        <v>274</v>
      </c>
      <c r="L10334" s="912"/>
      <c r="M10334" s="912"/>
      <c r="N10334" s="912"/>
      <c r="O10334" s="892">
        <f t="shared" si="821"/>
        <v>0</v>
      </c>
      <c r="P10334" s="903">
        <f t="shared" si="822"/>
        <v>1</v>
      </c>
      <c r="Q10334" s="893">
        <f t="shared" si="823"/>
        <v>10</v>
      </c>
      <c r="R10334" s="894">
        <f t="shared" si="824"/>
        <v>0</v>
      </c>
    </row>
    <row r="10335" spans="1:18">
      <c r="A10335" s="905"/>
      <c r="B10335" s="952"/>
      <c r="C10335" s="907">
        <v>235</v>
      </c>
      <c r="D10335" s="907" t="s">
        <v>279</v>
      </c>
      <c r="E10335" s="992" t="s">
        <v>2682</v>
      </c>
      <c r="F10335" s="905" t="s">
        <v>45</v>
      </c>
      <c r="G10335" s="1005"/>
      <c r="H10335" s="911">
        <v>0.3</v>
      </c>
      <c r="I10335" s="912">
        <f>VLOOKUP(E10335,[3]VLP!$B$7:$K$300,10,0)</f>
        <v>5000</v>
      </c>
      <c r="J10335" s="912">
        <f>I10335*H10335</f>
        <v>1500</v>
      </c>
      <c r="K10335" s="912" t="s">
        <v>274</v>
      </c>
      <c r="L10335" s="912"/>
      <c r="M10335" s="912"/>
      <c r="N10335" s="912"/>
      <c r="O10335" s="892">
        <f t="shared" ref="O10335:O10398" si="825">IF(AND(B10335&lt;&gt;"",D10335=""),1,0)</f>
        <v>0</v>
      </c>
      <c r="P10335" s="903">
        <f t="shared" si="822"/>
        <v>1</v>
      </c>
      <c r="Q10335" s="893">
        <f t="shared" si="823"/>
        <v>9</v>
      </c>
      <c r="R10335" s="894">
        <f t="shared" si="824"/>
        <v>0</v>
      </c>
    </row>
    <row r="10336" spans="1:18" s="847" customFormat="1">
      <c r="A10336" s="905"/>
      <c r="B10336" s="952"/>
      <c r="C10336" s="907">
        <v>699</v>
      </c>
      <c r="D10336" s="907" t="s">
        <v>279</v>
      </c>
      <c r="E10336" s="992" t="s">
        <v>4006</v>
      </c>
      <c r="F10336" s="905" t="s">
        <v>4007</v>
      </c>
      <c r="G10336" s="1005"/>
      <c r="H10336" s="911">
        <v>10</v>
      </c>
      <c r="I10336" s="912">
        <f>VLOOKUP(E10336,[3]VLP!$B$7:$K$300,10,0)</f>
        <v>5000</v>
      </c>
      <c r="J10336" s="912">
        <f>I10336*H10336</f>
        <v>50000</v>
      </c>
      <c r="K10336" s="912" t="s">
        <v>274</v>
      </c>
      <c r="L10336" s="912"/>
      <c r="M10336" s="912"/>
      <c r="N10336" s="912"/>
      <c r="O10336" s="892">
        <f t="shared" si="825"/>
        <v>0</v>
      </c>
      <c r="P10336" s="903">
        <f t="shared" si="822"/>
        <v>1</v>
      </c>
      <c r="Q10336" s="893">
        <f t="shared" si="823"/>
        <v>8</v>
      </c>
      <c r="R10336" s="894">
        <f t="shared" si="824"/>
        <v>0</v>
      </c>
    </row>
    <row r="10337" spans="1:18" s="904" customFormat="1">
      <c r="A10337" s="895"/>
      <c r="B10337" s="896"/>
      <c r="C10337" s="897"/>
      <c r="D10337" s="897"/>
      <c r="E10337" s="1002" t="s">
        <v>276</v>
      </c>
      <c r="F10337" s="1003"/>
      <c r="G10337" s="1004"/>
      <c r="H10337" s="901"/>
      <c r="I10337" s="902"/>
      <c r="J10337" s="902"/>
      <c r="K10337" s="912" t="s">
        <v>274</v>
      </c>
      <c r="L10337" s="902"/>
      <c r="M10337" s="902"/>
      <c r="N10337" s="902"/>
      <c r="O10337" s="892">
        <f t="shared" si="825"/>
        <v>0</v>
      </c>
      <c r="P10337" s="903">
        <f t="shared" si="822"/>
        <v>1</v>
      </c>
      <c r="Q10337" s="893">
        <f t="shared" si="823"/>
        <v>7</v>
      </c>
      <c r="R10337" s="894">
        <f t="shared" si="824"/>
        <v>0</v>
      </c>
    </row>
    <row r="10338" spans="1:18">
      <c r="A10338" s="905"/>
      <c r="B10338" s="952"/>
      <c r="C10338" s="907">
        <v>740</v>
      </c>
      <c r="D10338" s="907" t="s">
        <v>12</v>
      </c>
      <c r="E10338" s="992" t="s">
        <v>4008</v>
      </c>
      <c r="F10338" s="905" t="s">
        <v>2674</v>
      </c>
      <c r="G10338" s="1005"/>
      <c r="H10338" s="911">
        <v>4</v>
      </c>
      <c r="I10338" s="912"/>
      <c r="J10338" s="912"/>
      <c r="K10338" s="912">
        <f>VLOOKUP(E10338,[5]ĐMNC!$A$7:$F$67,4,0)</f>
        <v>221125</v>
      </c>
      <c r="L10338" s="912">
        <f>H10338*K10338</f>
        <v>884500</v>
      </c>
      <c r="M10338" s="912"/>
      <c r="N10338" s="912"/>
      <c r="O10338" s="892">
        <f t="shared" si="825"/>
        <v>0</v>
      </c>
      <c r="P10338" s="903">
        <f t="shared" si="822"/>
        <v>1</v>
      </c>
      <c r="Q10338" s="893">
        <f t="shared" si="823"/>
        <v>6</v>
      </c>
      <c r="R10338" s="894">
        <f t="shared" si="824"/>
        <v>0</v>
      </c>
    </row>
    <row r="10339" spans="1:18" s="847" customFormat="1">
      <c r="A10339" s="895"/>
      <c r="B10339" s="896"/>
      <c r="C10339" s="897"/>
      <c r="D10339" s="897"/>
      <c r="E10339" s="1002" t="s">
        <v>3914</v>
      </c>
      <c r="F10339" s="895"/>
      <c r="G10339" s="1004"/>
      <c r="H10339" s="901"/>
      <c r="I10339" s="902"/>
      <c r="J10339" s="902"/>
      <c r="K10339" s="912" t="s">
        <v>274</v>
      </c>
      <c r="L10339" s="902"/>
      <c r="M10339" s="902"/>
      <c r="N10339" s="902"/>
      <c r="O10339" s="892">
        <f t="shared" si="825"/>
        <v>0</v>
      </c>
      <c r="P10339" s="903">
        <f t="shared" si="822"/>
        <v>1</v>
      </c>
      <c r="Q10339" s="893">
        <f t="shared" si="823"/>
        <v>5</v>
      </c>
      <c r="R10339" s="894">
        <f t="shared" si="824"/>
        <v>0</v>
      </c>
    </row>
    <row r="10340" spans="1:18" s="904" customFormat="1">
      <c r="A10340" s="905"/>
      <c r="B10340" s="952" t="s">
        <v>6408</v>
      </c>
      <c r="C10340" s="907">
        <v>913</v>
      </c>
      <c r="D10340" s="907" t="s">
        <v>93</v>
      </c>
      <c r="E10340" s="992" t="s">
        <v>6409</v>
      </c>
      <c r="F10340" s="905" t="s">
        <v>2673</v>
      </c>
      <c r="G10340" s="1005"/>
      <c r="H10340" s="911">
        <v>0.79</v>
      </c>
      <c r="I10340" s="912"/>
      <c r="J10340" s="912"/>
      <c r="K10340" s="912"/>
      <c r="L10340" s="912"/>
      <c r="M10340" s="912">
        <f>VLOOKUP(B10340,MTC!$B$9:$S$933,12,0)</f>
        <v>0</v>
      </c>
      <c r="N10340" s="912">
        <f>M10340*H10340</f>
        <v>0</v>
      </c>
      <c r="O10340" s="892">
        <f t="shared" si="825"/>
        <v>0</v>
      </c>
      <c r="P10340" s="903">
        <f t="shared" si="822"/>
        <v>1</v>
      </c>
      <c r="Q10340" s="893">
        <f t="shared" si="823"/>
        <v>4</v>
      </c>
      <c r="R10340" s="894">
        <f t="shared" si="824"/>
        <v>0</v>
      </c>
    </row>
    <row r="10341" spans="1:18">
      <c r="A10341" s="905"/>
      <c r="B10341" s="952" t="s">
        <v>6410</v>
      </c>
      <c r="C10341" s="907">
        <v>906</v>
      </c>
      <c r="D10341" s="907" t="s">
        <v>93</v>
      </c>
      <c r="E10341" s="992" t="s">
        <v>6411</v>
      </c>
      <c r="F10341" s="905" t="s">
        <v>2673</v>
      </c>
      <c r="G10341" s="1005"/>
      <c r="H10341" s="911">
        <v>0.25</v>
      </c>
      <c r="I10341" s="912"/>
      <c r="J10341" s="912"/>
      <c r="K10341" s="912"/>
      <c r="L10341" s="912"/>
      <c r="M10341" s="912">
        <f>VLOOKUP(B10341,MTC!$B$9:$S$933,12,0)</f>
        <v>0</v>
      </c>
      <c r="N10341" s="912">
        <f>M10341*H10341</f>
        <v>0</v>
      </c>
      <c r="O10341" s="892">
        <f t="shared" si="825"/>
        <v>0</v>
      </c>
      <c r="P10341" s="903">
        <f t="shared" si="822"/>
        <v>1</v>
      </c>
      <c r="Q10341" s="893">
        <f t="shared" si="823"/>
        <v>3</v>
      </c>
      <c r="R10341" s="894">
        <f t="shared" si="824"/>
        <v>0</v>
      </c>
    </row>
    <row r="10342" spans="1:18" s="904" customFormat="1">
      <c r="A10342" s="905"/>
      <c r="B10342" s="952" t="s">
        <v>6412</v>
      </c>
      <c r="C10342" s="907">
        <v>905</v>
      </c>
      <c r="D10342" s="907" t="s">
        <v>93</v>
      </c>
      <c r="E10342" s="992" t="s">
        <v>6413</v>
      </c>
      <c r="F10342" s="905" t="s">
        <v>2673</v>
      </c>
      <c r="G10342" s="1005"/>
      <c r="H10342" s="911">
        <v>0.25</v>
      </c>
      <c r="I10342" s="912"/>
      <c r="J10342" s="912"/>
      <c r="K10342" s="912"/>
      <c r="L10342" s="912"/>
      <c r="M10342" s="912">
        <f>VLOOKUP(B10342,MTC!$B$9:$S$933,12,0)</f>
        <v>225936</v>
      </c>
      <c r="N10342" s="912">
        <f>M10342*H10342</f>
        <v>56484</v>
      </c>
      <c r="O10342" s="892">
        <f t="shared" si="825"/>
        <v>0</v>
      </c>
      <c r="P10342" s="903">
        <f t="shared" si="822"/>
        <v>1</v>
      </c>
      <c r="Q10342" s="893">
        <f t="shared" si="823"/>
        <v>2</v>
      </c>
      <c r="R10342" s="894">
        <f t="shared" si="824"/>
        <v>0</v>
      </c>
    </row>
    <row r="10343" spans="1:18">
      <c r="A10343" s="905"/>
      <c r="B10343" s="952" t="s">
        <v>6414</v>
      </c>
      <c r="C10343" s="907">
        <v>914</v>
      </c>
      <c r="D10343" s="907" t="s">
        <v>93</v>
      </c>
      <c r="E10343" s="992" t="s">
        <v>6415</v>
      </c>
      <c r="F10343" s="905" t="s">
        <v>2673</v>
      </c>
      <c r="G10343" s="1005"/>
      <c r="H10343" s="911">
        <v>0.1</v>
      </c>
      <c r="I10343" s="912"/>
      <c r="J10343" s="912"/>
      <c r="K10343" s="912"/>
      <c r="L10343" s="912"/>
      <c r="M10343" s="912">
        <f>VLOOKUP(B10343,MTC!$B$9:$S$933,12,0)</f>
        <v>0</v>
      </c>
      <c r="N10343" s="912">
        <f>M10343*H10343</f>
        <v>0</v>
      </c>
      <c r="O10343" s="892">
        <f t="shared" si="825"/>
        <v>0</v>
      </c>
      <c r="P10343" s="903">
        <f t="shared" si="822"/>
        <v>1</v>
      </c>
      <c r="Q10343" s="893">
        <f t="shared" si="823"/>
        <v>1</v>
      </c>
      <c r="R10343" s="894">
        <f t="shared" si="824"/>
        <v>0</v>
      </c>
    </row>
    <row r="10344" spans="1:18" s="847" customFormat="1" ht="47.25">
      <c r="A10344" s="905">
        <v>159</v>
      </c>
      <c r="B10344" s="914" t="s">
        <v>6673</v>
      </c>
      <c r="C10344" s="915"/>
      <c r="D10344" s="915"/>
      <c r="E10344" s="1006" t="s">
        <v>6674</v>
      </c>
      <c r="F10344" s="1007" t="s">
        <v>136</v>
      </c>
      <c r="G10344" s="1008"/>
      <c r="H10344" s="919"/>
      <c r="I10344" s="920"/>
      <c r="J10344" s="962">
        <f>SUM(J10345:J10353)</f>
        <v>55500</v>
      </c>
      <c r="K10344" s="891" t="s">
        <v>274</v>
      </c>
      <c r="L10344" s="962">
        <f>SUM(L10345:L10353)</f>
        <v>725290</v>
      </c>
      <c r="M10344" s="962"/>
      <c r="N10344" s="962">
        <f>SUM(N10345:N10353)</f>
        <v>0</v>
      </c>
      <c r="O10344" s="892">
        <f t="shared" si="825"/>
        <v>1</v>
      </c>
      <c r="P10344" s="903">
        <f t="shared" si="822"/>
        <v>0</v>
      </c>
      <c r="Q10344" s="893">
        <f t="shared" si="823"/>
        <v>0</v>
      </c>
      <c r="R10344" s="894">
        <f t="shared" si="824"/>
        <v>9</v>
      </c>
    </row>
    <row r="10345" spans="1:18" s="904" customFormat="1">
      <c r="A10345" s="895"/>
      <c r="B10345" s="896"/>
      <c r="C10345" s="897"/>
      <c r="D10345" s="897"/>
      <c r="E10345" s="1002" t="s">
        <v>108</v>
      </c>
      <c r="F10345" s="895"/>
      <c r="G10345" s="1004"/>
      <c r="H10345" s="901"/>
      <c r="I10345" s="902"/>
      <c r="J10345" s="902"/>
      <c r="K10345" s="912" t="s">
        <v>274</v>
      </c>
      <c r="L10345" s="902"/>
      <c r="M10345" s="902"/>
      <c r="N10345" s="902"/>
      <c r="O10345" s="892">
        <f t="shared" si="825"/>
        <v>0</v>
      </c>
      <c r="P10345" s="903">
        <f t="shared" si="822"/>
        <v>1</v>
      </c>
      <c r="Q10345" s="893">
        <f t="shared" si="823"/>
        <v>9</v>
      </c>
      <c r="R10345" s="894">
        <f t="shared" si="824"/>
        <v>0</v>
      </c>
    </row>
    <row r="10346" spans="1:18">
      <c r="A10346" s="905"/>
      <c r="B10346" s="952"/>
      <c r="C10346" s="907">
        <v>315</v>
      </c>
      <c r="D10346" s="907" t="s">
        <v>279</v>
      </c>
      <c r="E10346" s="992" t="s">
        <v>6316</v>
      </c>
      <c r="F10346" s="905" t="s">
        <v>49</v>
      </c>
      <c r="G10346" s="1005"/>
      <c r="H10346" s="911">
        <v>0.5</v>
      </c>
      <c r="I10346" s="912">
        <f>VLOOKUP(E10346,[3]VLP!$B$7:$K$300,10,0)</f>
        <v>8000</v>
      </c>
      <c r="J10346" s="912">
        <f>I10346*H10346</f>
        <v>4000</v>
      </c>
      <c r="K10346" s="912" t="s">
        <v>274</v>
      </c>
      <c r="L10346" s="912"/>
      <c r="M10346" s="912"/>
      <c r="N10346" s="912"/>
      <c r="O10346" s="892">
        <f t="shared" si="825"/>
        <v>0</v>
      </c>
      <c r="P10346" s="903">
        <f t="shared" si="822"/>
        <v>1</v>
      </c>
      <c r="Q10346" s="893">
        <f t="shared" si="823"/>
        <v>8</v>
      </c>
      <c r="R10346" s="894">
        <f t="shared" si="824"/>
        <v>0</v>
      </c>
    </row>
    <row r="10347" spans="1:18" s="904" customFormat="1">
      <c r="A10347" s="905"/>
      <c r="B10347" s="952"/>
      <c r="C10347" s="907">
        <v>235</v>
      </c>
      <c r="D10347" s="907" t="s">
        <v>279</v>
      </c>
      <c r="E10347" s="992" t="s">
        <v>2682</v>
      </c>
      <c r="F10347" s="905" t="s">
        <v>45</v>
      </c>
      <c r="G10347" s="1005"/>
      <c r="H10347" s="911">
        <v>0.3</v>
      </c>
      <c r="I10347" s="912">
        <f>VLOOKUP(E10347,[3]VLP!$B$7:$K$300,10,0)</f>
        <v>5000</v>
      </c>
      <c r="J10347" s="912">
        <f>I10347*H10347</f>
        <v>1500</v>
      </c>
      <c r="K10347" s="912" t="s">
        <v>274</v>
      </c>
      <c r="L10347" s="912"/>
      <c r="M10347" s="912"/>
      <c r="N10347" s="912"/>
      <c r="O10347" s="892">
        <f t="shared" si="825"/>
        <v>0</v>
      </c>
      <c r="P10347" s="903">
        <f t="shared" si="822"/>
        <v>1</v>
      </c>
      <c r="Q10347" s="893">
        <f t="shared" si="823"/>
        <v>7</v>
      </c>
      <c r="R10347" s="894">
        <f t="shared" si="824"/>
        <v>0</v>
      </c>
    </row>
    <row r="10348" spans="1:18">
      <c r="A10348" s="905"/>
      <c r="B10348" s="952"/>
      <c r="C10348" s="907">
        <v>699</v>
      </c>
      <c r="D10348" s="907" t="s">
        <v>279</v>
      </c>
      <c r="E10348" s="992" t="s">
        <v>4006</v>
      </c>
      <c r="F10348" s="905" t="s">
        <v>4007</v>
      </c>
      <c r="G10348" s="1005"/>
      <c r="H10348" s="911">
        <v>10</v>
      </c>
      <c r="I10348" s="912">
        <f>VLOOKUP(E10348,[3]VLP!$B$7:$K$300,10,0)</f>
        <v>5000</v>
      </c>
      <c r="J10348" s="912">
        <f>I10348*H10348</f>
        <v>50000</v>
      </c>
      <c r="K10348" s="912" t="s">
        <v>274</v>
      </c>
      <c r="L10348" s="912"/>
      <c r="M10348" s="912"/>
      <c r="N10348" s="912"/>
      <c r="O10348" s="892">
        <f t="shared" si="825"/>
        <v>0</v>
      </c>
      <c r="P10348" s="903">
        <f t="shared" si="822"/>
        <v>1</v>
      </c>
      <c r="Q10348" s="893">
        <f t="shared" si="823"/>
        <v>6</v>
      </c>
      <c r="R10348" s="894">
        <f t="shared" si="824"/>
        <v>0</v>
      </c>
    </row>
    <row r="10349" spans="1:18" s="847" customFormat="1">
      <c r="A10349" s="895"/>
      <c r="B10349" s="896"/>
      <c r="C10349" s="897"/>
      <c r="D10349" s="897"/>
      <c r="E10349" s="1002" t="s">
        <v>276</v>
      </c>
      <c r="F10349" s="1003"/>
      <c r="G10349" s="1004"/>
      <c r="H10349" s="901"/>
      <c r="I10349" s="902"/>
      <c r="J10349" s="902"/>
      <c r="K10349" s="912" t="s">
        <v>274</v>
      </c>
      <c r="L10349" s="902"/>
      <c r="M10349" s="902"/>
      <c r="N10349" s="902"/>
      <c r="O10349" s="892">
        <f t="shared" si="825"/>
        <v>0</v>
      </c>
      <c r="P10349" s="903">
        <f t="shared" si="822"/>
        <v>1</v>
      </c>
      <c r="Q10349" s="893">
        <f t="shared" si="823"/>
        <v>5</v>
      </c>
      <c r="R10349" s="894">
        <f t="shared" si="824"/>
        <v>0</v>
      </c>
    </row>
    <row r="10350" spans="1:18" s="904" customFormat="1">
      <c r="A10350" s="905"/>
      <c r="B10350" s="952"/>
      <c r="C10350" s="907">
        <v>740</v>
      </c>
      <c r="D10350" s="907" t="s">
        <v>12</v>
      </c>
      <c r="E10350" s="992" t="s">
        <v>4008</v>
      </c>
      <c r="F10350" s="905" t="s">
        <v>2674</v>
      </c>
      <c r="G10350" s="1005"/>
      <c r="H10350" s="911">
        <v>3.28</v>
      </c>
      <c r="I10350" s="912"/>
      <c r="J10350" s="912"/>
      <c r="K10350" s="912">
        <f>VLOOKUP(E10350,[5]ĐMNC!$A$7:$F$67,4,0)</f>
        <v>221125</v>
      </c>
      <c r="L10350" s="912">
        <f>H10350*K10350</f>
        <v>725290</v>
      </c>
      <c r="M10350" s="912"/>
      <c r="N10350" s="912"/>
      <c r="O10350" s="892">
        <f t="shared" si="825"/>
        <v>0</v>
      </c>
      <c r="P10350" s="903">
        <f t="shared" si="822"/>
        <v>1</v>
      </c>
      <c r="Q10350" s="893">
        <f t="shared" si="823"/>
        <v>4</v>
      </c>
      <c r="R10350" s="894">
        <f t="shared" si="824"/>
        <v>0</v>
      </c>
    </row>
    <row r="10351" spans="1:18">
      <c r="A10351" s="895"/>
      <c r="B10351" s="896"/>
      <c r="C10351" s="897"/>
      <c r="D10351" s="897"/>
      <c r="E10351" s="1002" t="s">
        <v>3914</v>
      </c>
      <c r="F10351" s="895"/>
      <c r="G10351" s="1004"/>
      <c r="H10351" s="901"/>
      <c r="I10351" s="902"/>
      <c r="J10351" s="902"/>
      <c r="K10351" s="912" t="s">
        <v>274</v>
      </c>
      <c r="L10351" s="902"/>
      <c r="M10351" s="902"/>
      <c r="N10351" s="902"/>
      <c r="O10351" s="892">
        <f t="shared" si="825"/>
        <v>0</v>
      </c>
      <c r="P10351" s="903">
        <f t="shared" si="822"/>
        <v>1</v>
      </c>
      <c r="Q10351" s="893">
        <f t="shared" si="823"/>
        <v>3</v>
      </c>
      <c r="R10351" s="894">
        <f t="shared" si="824"/>
        <v>0</v>
      </c>
    </row>
    <row r="10352" spans="1:18" s="904" customFormat="1">
      <c r="A10352" s="905"/>
      <c r="B10352" s="952" t="s">
        <v>6424</v>
      </c>
      <c r="C10352" s="907">
        <v>911</v>
      </c>
      <c r="D10352" s="907" t="s">
        <v>93</v>
      </c>
      <c r="E10352" s="992" t="s">
        <v>6425</v>
      </c>
      <c r="F10352" s="905" t="s">
        <v>2673</v>
      </c>
      <c r="G10352" s="1005"/>
      <c r="H10352" s="911">
        <v>0.43</v>
      </c>
      <c r="I10352" s="912"/>
      <c r="J10352" s="912"/>
      <c r="K10352" s="912"/>
      <c r="L10352" s="912"/>
      <c r="M10352" s="912">
        <f>VLOOKUP(B10352,MTC!$B$9:$S$933,12,0)</f>
        <v>0</v>
      </c>
      <c r="N10352" s="912">
        <f>M10352*H10352</f>
        <v>0</v>
      </c>
      <c r="O10352" s="892">
        <f t="shared" si="825"/>
        <v>0</v>
      </c>
      <c r="P10352" s="903">
        <f t="shared" si="822"/>
        <v>1</v>
      </c>
      <c r="Q10352" s="893">
        <f t="shared" si="823"/>
        <v>2</v>
      </c>
      <c r="R10352" s="894">
        <f t="shared" si="824"/>
        <v>0</v>
      </c>
    </row>
    <row r="10353" spans="1:18">
      <c r="A10353" s="905"/>
      <c r="B10353" s="952" t="s">
        <v>6414</v>
      </c>
      <c r="C10353" s="907">
        <v>914</v>
      </c>
      <c r="D10353" s="907" t="s">
        <v>93</v>
      </c>
      <c r="E10353" s="992" t="s">
        <v>6415</v>
      </c>
      <c r="F10353" s="905" t="s">
        <v>2673</v>
      </c>
      <c r="G10353" s="1005"/>
      <c r="H10353" s="911">
        <v>0.1</v>
      </c>
      <c r="I10353" s="912"/>
      <c r="J10353" s="912"/>
      <c r="K10353" s="912"/>
      <c r="L10353" s="912"/>
      <c r="M10353" s="912">
        <f>VLOOKUP(B10353,MTC!$B$9:$S$933,12,0)</f>
        <v>0</v>
      </c>
      <c r="N10353" s="912">
        <f>M10353*H10353</f>
        <v>0</v>
      </c>
      <c r="O10353" s="892">
        <f t="shared" si="825"/>
        <v>0</v>
      </c>
      <c r="P10353" s="903">
        <f t="shared" si="822"/>
        <v>1</v>
      </c>
      <c r="Q10353" s="893">
        <f t="shared" si="823"/>
        <v>1</v>
      </c>
      <c r="R10353" s="894">
        <f t="shared" si="824"/>
        <v>0</v>
      </c>
    </row>
    <row r="10354" spans="1:18" s="847" customFormat="1" ht="47.25">
      <c r="A10354" s="905">
        <v>160</v>
      </c>
      <c r="B10354" s="914" t="s">
        <v>6675</v>
      </c>
      <c r="C10354" s="915"/>
      <c r="D10354" s="915"/>
      <c r="E10354" s="1006" t="s">
        <v>6676</v>
      </c>
      <c r="F10354" s="1007" t="s">
        <v>136</v>
      </c>
      <c r="G10354" s="1008"/>
      <c r="H10354" s="919"/>
      <c r="I10354" s="920"/>
      <c r="J10354" s="962">
        <f>SUM(J10355:J10363)</f>
        <v>68000</v>
      </c>
      <c r="K10354" s="891" t="s">
        <v>274</v>
      </c>
      <c r="L10354" s="962">
        <f>SUM(L10355:L10363)</f>
        <v>846908.75</v>
      </c>
      <c r="M10354" s="962"/>
      <c r="N10354" s="962">
        <f>SUM(N10355:N10363)</f>
        <v>0</v>
      </c>
      <c r="O10354" s="892">
        <f t="shared" si="825"/>
        <v>1</v>
      </c>
      <c r="P10354" s="903">
        <f t="shared" si="822"/>
        <v>0</v>
      </c>
      <c r="Q10354" s="893">
        <f t="shared" si="823"/>
        <v>0</v>
      </c>
      <c r="R10354" s="894">
        <f t="shared" si="824"/>
        <v>9</v>
      </c>
    </row>
    <row r="10355" spans="1:18" s="904" customFormat="1">
      <c r="A10355" s="895"/>
      <c r="B10355" s="896"/>
      <c r="C10355" s="897"/>
      <c r="D10355" s="897"/>
      <c r="E10355" s="1002" t="s">
        <v>108</v>
      </c>
      <c r="F10355" s="895"/>
      <c r="G10355" s="1004"/>
      <c r="H10355" s="901"/>
      <c r="I10355" s="902"/>
      <c r="J10355" s="902"/>
      <c r="K10355" s="912" t="s">
        <v>274</v>
      </c>
      <c r="L10355" s="902"/>
      <c r="M10355" s="902"/>
      <c r="N10355" s="902"/>
      <c r="O10355" s="892">
        <f t="shared" si="825"/>
        <v>0</v>
      </c>
      <c r="P10355" s="903">
        <f t="shared" ref="P10355:P10418" si="826">IF(O10355=0,1,0)</f>
        <v>1</v>
      </c>
      <c r="Q10355" s="893">
        <f t="shared" ref="Q10355:Q10418" si="827">IF(P10355=0,0,P10355+Q10356)</f>
        <v>9</v>
      </c>
      <c r="R10355" s="894">
        <f t="shared" ref="R10355:R10418" si="828">IF(Q10355=0,Q10356,0)</f>
        <v>0</v>
      </c>
    </row>
    <row r="10356" spans="1:18">
      <c r="A10356" s="905"/>
      <c r="B10356" s="952"/>
      <c r="C10356" s="907">
        <v>315</v>
      </c>
      <c r="D10356" s="907" t="s">
        <v>279</v>
      </c>
      <c r="E10356" s="992" t="s">
        <v>6316</v>
      </c>
      <c r="F10356" s="905" t="s">
        <v>49</v>
      </c>
      <c r="G10356" s="1005"/>
      <c r="H10356" s="911">
        <v>0.5</v>
      </c>
      <c r="I10356" s="912">
        <f>VLOOKUP(E10356,[3]VLP!$B$7:$K$300,10,0)</f>
        <v>8000</v>
      </c>
      <c r="J10356" s="912">
        <f>I10356*H10356</f>
        <v>4000</v>
      </c>
      <c r="K10356" s="912" t="s">
        <v>274</v>
      </c>
      <c r="L10356" s="912"/>
      <c r="M10356" s="912"/>
      <c r="N10356" s="912"/>
      <c r="O10356" s="892">
        <f t="shared" si="825"/>
        <v>0</v>
      </c>
      <c r="P10356" s="903">
        <f t="shared" si="826"/>
        <v>1</v>
      </c>
      <c r="Q10356" s="893">
        <f t="shared" si="827"/>
        <v>8</v>
      </c>
      <c r="R10356" s="894">
        <f t="shared" si="828"/>
        <v>0</v>
      </c>
    </row>
    <row r="10357" spans="1:18" s="904" customFormat="1">
      <c r="A10357" s="905"/>
      <c r="B10357" s="952"/>
      <c r="C10357" s="907">
        <v>235</v>
      </c>
      <c r="D10357" s="907" t="s">
        <v>279</v>
      </c>
      <c r="E10357" s="992" t="s">
        <v>2682</v>
      </c>
      <c r="F10357" s="905" t="s">
        <v>45</v>
      </c>
      <c r="G10357" s="1005"/>
      <c r="H10357" s="911">
        <v>0.3</v>
      </c>
      <c r="I10357" s="912">
        <f>VLOOKUP(E10357,[3]VLP!$B$7:$K$300,10,0)</f>
        <v>5000</v>
      </c>
      <c r="J10357" s="912">
        <f>I10357*H10357</f>
        <v>1500</v>
      </c>
      <c r="K10357" s="912" t="s">
        <v>274</v>
      </c>
      <c r="L10357" s="912"/>
      <c r="M10357" s="912"/>
      <c r="N10357" s="912"/>
      <c r="O10357" s="892">
        <f t="shared" si="825"/>
        <v>0</v>
      </c>
      <c r="P10357" s="903">
        <f t="shared" si="826"/>
        <v>1</v>
      </c>
      <c r="Q10357" s="893">
        <f t="shared" si="827"/>
        <v>7</v>
      </c>
      <c r="R10357" s="894">
        <f t="shared" si="828"/>
        <v>0</v>
      </c>
    </row>
    <row r="10358" spans="1:18">
      <c r="A10358" s="905"/>
      <c r="B10358" s="952"/>
      <c r="C10358" s="907">
        <v>699</v>
      </c>
      <c r="D10358" s="907" t="s">
        <v>279</v>
      </c>
      <c r="E10358" s="992" t="s">
        <v>4006</v>
      </c>
      <c r="F10358" s="905" t="s">
        <v>4007</v>
      </c>
      <c r="G10358" s="1005"/>
      <c r="H10358" s="911">
        <v>12.5</v>
      </c>
      <c r="I10358" s="912">
        <f>VLOOKUP(E10358,[3]VLP!$B$7:$K$300,10,0)</f>
        <v>5000</v>
      </c>
      <c r="J10358" s="912">
        <f>I10358*H10358</f>
        <v>62500</v>
      </c>
      <c r="K10358" s="912" t="s">
        <v>274</v>
      </c>
      <c r="L10358" s="912"/>
      <c r="M10358" s="912"/>
      <c r="N10358" s="912"/>
      <c r="O10358" s="892">
        <f t="shared" si="825"/>
        <v>0</v>
      </c>
      <c r="P10358" s="903">
        <f t="shared" si="826"/>
        <v>1</v>
      </c>
      <c r="Q10358" s="893">
        <f t="shared" si="827"/>
        <v>6</v>
      </c>
      <c r="R10358" s="894">
        <f t="shared" si="828"/>
        <v>0</v>
      </c>
    </row>
    <row r="10359" spans="1:18" s="847" customFormat="1">
      <c r="A10359" s="895"/>
      <c r="B10359" s="896"/>
      <c r="C10359" s="897"/>
      <c r="D10359" s="897"/>
      <c r="E10359" s="1002" t="s">
        <v>276</v>
      </c>
      <c r="F10359" s="1003"/>
      <c r="G10359" s="1004"/>
      <c r="H10359" s="901"/>
      <c r="I10359" s="902"/>
      <c r="J10359" s="902"/>
      <c r="K10359" s="912" t="s">
        <v>274</v>
      </c>
      <c r="L10359" s="902"/>
      <c r="M10359" s="902"/>
      <c r="N10359" s="902"/>
      <c r="O10359" s="892">
        <f t="shared" si="825"/>
        <v>0</v>
      </c>
      <c r="P10359" s="903">
        <f t="shared" si="826"/>
        <v>1</v>
      </c>
      <c r="Q10359" s="893">
        <f t="shared" si="827"/>
        <v>5</v>
      </c>
      <c r="R10359" s="894">
        <f t="shared" si="828"/>
        <v>0</v>
      </c>
    </row>
    <row r="10360" spans="1:18" s="904" customFormat="1">
      <c r="A10360" s="905"/>
      <c r="B10360" s="952"/>
      <c r="C10360" s="907">
        <v>740</v>
      </c>
      <c r="D10360" s="907" t="s">
        <v>12</v>
      </c>
      <c r="E10360" s="992" t="s">
        <v>4008</v>
      </c>
      <c r="F10360" s="905" t="s">
        <v>2674</v>
      </c>
      <c r="G10360" s="1005"/>
      <c r="H10360" s="911">
        <v>3.83</v>
      </c>
      <c r="I10360" s="912"/>
      <c r="J10360" s="912"/>
      <c r="K10360" s="912">
        <f>VLOOKUP(E10360,[5]ĐMNC!$A$7:$F$67,4,0)</f>
        <v>221125</v>
      </c>
      <c r="L10360" s="912">
        <f>H10360*K10360</f>
        <v>846908.75</v>
      </c>
      <c r="M10360" s="912"/>
      <c r="N10360" s="912"/>
      <c r="O10360" s="892">
        <f t="shared" si="825"/>
        <v>0</v>
      </c>
      <c r="P10360" s="903">
        <f t="shared" si="826"/>
        <v>1</v>
      </c>
      <c r="Q10360" s="893">
        <f t="shared" si="827"/>
        <v>4</v>
      </c>
      <c r="R10360" s="894">
        <f t="shared" si="828"/>
        <v>0</v>
      </c>
    </row>
    <row r="10361" spans="1:18">
      <c r="A10361" s="895"/>
      <c r="B10361" s="896"/>
      <c r="C10361" s="897"/>
      <c r="D10361" s="897"/>
      <c r="E10361" s="1002" t="s">
        <v>3914</v>
      </c>
      <c r="F10361" s="895"/>
      <c r="G10361" s="1004"/>
      <c r="H10361" s="901"/>
      <c r="I10361" s="902"/>
      <c r="J10361" s="902"/>
      <c r="K10361" s="912" t="s">
        <v>274</v>
      </c>
      <c r="L10361" s="902"/>
      <c r="M10361" s="902"/>
      <c r="N10361" s="902"/>
      <c r="O10361" s="892">
        <f t="shared" si="825"/>
        <v>0</v>
      </c>
      <c r="P10361" s="903">
        <f t="shared" si="826"/>
        <v>1</v>
      </c>
      <c r="Q10361" s="893">
        <f t="shared" si="827"/>
        <v>3</v>
      </c>
      <c r="R10361" s="894">
        <f t="shared" si="828"/>
        <v>0</v>
      </c>
    </row>
    <row r="10362" spans="1:18" s="904" customFormat="1">
      <c r="A10362" s="905"/>
      <c r="B10362" s="952" t="s">
        <v>6424</v>
      </c>
      <c r="C10362" s="907">
        <v>911</v>
      </c>
      <c r="D10362" s="907" t="s">
        <v>93</v>
      </c>
      <c r="E10362" s="992" t="s">
        <v>6425</v>
      </c>
      <c r="F10362" s="905" t="s">
        <v>2673</v>
      </c>
      <c r="G10362" s="1005"/>
      <c r="H10362" s="911">
        <v>0.47</v>
      </c>
      <c r="I10362" s="912"/>
      <c r="J10362" s="912"/>
      <c r="K10362" s="912"/>
      <c r="L10362" s="912"/>
      <c r="M10362" s="912">
        <f>VLOOKUP(B10362,MTC!$B$9:$S$933,12,0)</f>
        <v>0</v>
      </c>
      <c r="N10362" s="912">
        <f>M10362*H10362</f>
        <v>0</v>
      </c>
      <c r="O10362" s="892">
        <f t="shared" si="825"/>
        <v>0</v>
      </c>
      <c r="P10362" s="903">
        <f t="shared" si="826"/>
        <v>1</v>
      </c>
      <c r="Q10362" s="893">
        <f t="shared" si="827"/>
        <v>2</v>
      </c>
      <c r="R10362" s="894">
        <f t="shared" si="828"/>
        <v>0</v>
      </c>
    </row>
    <row r="10363" spans="1:18">
      <c r="A10363" s="905"/>
      <c r="B10363" s="952" t="s">
        <v>6414</v>
      </c>
      <c r="C10363" s="907">
        <v>914</v>
      </c>
      <c r="D10363" s="907" t="s">
        <v>93</v>
      </c>
      <c r="E10363" s="992" t="s">
        <v>6415</v>
      </c>
      <c r="F10363" s="905" t="s">
        <v>2673</v>
      </c>
      <c r="G10363" s="1005"/>
      <c r="H10363" s="911">
        <v>0.1</v>
      </c>
      <c r="I10363" s="912"/>
      <c r="J10363" s="912"/>
      <c r="K10363" s="912"/>
      <c r="L10363" s="912"/>
      <c r="M10363" s="912">
        <f>VLOOKUP(B10363,MTC!$B$9:$S$933,12,0)</f>
        <v>0</v>
      </c>
      <c r="N10363" s="912">
        <f>M10363*H10363</f>
        <v>0</v>
      </c>
      <c r="O10363" s="892">
        <f t="shared" si="825"/>
        <v>0</v>
      </c>
      <c r="P10363" s="903">
        <f t="shared" si="826"/>
        <v>1</v>
      </c>
      <c r="Q10363" s="893">
        <f t="shared" si="827"/>
        <v>1</v>
      </c>
      <c r="R10363" s="894">
        <f t="shared" si="828"/>
        <v>0</v>
      </c>
    </row>
    <row r="10364" spans="1:18" s="988" customFormat="1" ht="47.25">
      <c r="A10364" s="987">
        <v>161</v>
      </c>
      <c r="B10364" s="914" t="s">
        <v>6677</v>
      </c>
      <c r="C10364" s="1010"/>
      <c r="D10364" s="1010"/>
      <c r="E10364" s="1011" t="s">
        <v>6678</v>
      </c>
      <c r="F10364" s="987" t="s">
        <v>136</v>
      </c>
      <c r="G10364" s="1012"/>
      <c r="H10364" s="1013"/>
      <c r="I10364" s="1014"/>
      <c r="J10364" s="962">
        <f>SUM(J10365:J10373)</f>
        <v>55500</v>
      </c>
      <c r="K10364" s="891" t="s">
        <v>274</v>
      </c>
      <c r="L10364" s="962">
        <f>SUM(L10365:L10373)</f>
        <v>884500</v>
      </c>
      <c r="M10364" s="962"/>
      <c r="N10364" s="962">
        <f>SUM(N10365:N10373)</f>
        <v>0</v>
      </c>
      <c r="O10364" s="892">
        <f t="shared" si="825"/>
        <v>1</v>
      </c>
      <c r="P10364" s="903">
        <f t="shared" si="826"/>
        <v>0</v>
      </c>
      <c r="Q10364" s="893">
        <f t="shared" si="827"/>
        <v>0</v>
      </c>
      <c r="R10364" s="894">
        <f t="shared" si="828"/>
        <v>9</v>
      </c>
    </row>
    <row r="10365" spans="1:18" s="904" customFormat="1">
      <c r="A10365" s="895"/>
      <c r="B10365" s="896"/>
      <c r="C10365" s="897"/>
      <c r="D10365" s="897"/>
      <c r="E10365" s="1002" t="s">
        <v>108</v>
      </c>
      <c r="F10365" s="895"/>
      <c r="G10365" s="1004"/>
      <c r="H10365" s="901"/>
      <c r="I10365" s="902"/>
      <c r="J10365" s="902"/>
      <c r="K10365" s="912" t="s">
        <v>274</v>
      </c>
      <c r="L10365" s="902"/>
      <c r="M10365" s="902"/>
      <c r="N10365" s="902"/>
      <c r="O10365" s="892">
        <f t="shared" si="825"/>
        <v>0</v>
      </c>
      <c r="P10365" s="903">
        <f t="shared" si="826"/>
        <v>1</v>
      </c>
      <c r="Q10365" s="893">
        <f t="shared" si="827"/>
        <v>9</v>
      </c>
      <c r="R10365" s="894">
        <f t="shared" si="828"/>
        <v>0</v>
      </c>
    </row>
    <row r="10366" spans="1:18">
      <c r="A10366" s="905"/>
      <c r="B10366" s="952"/>
      <c r="C10366" s="907">
        <v>315</v>
      </c>
      <c r="D10366" s="907" t="s">
        <v>279</v>
      </c>
      <c r="E10366" s="992" t="s">
        <v>6316</v>
      </c>
      <c r="F10366" s="905" t="s">
        <v>49</v>
      </c>
      <c r="G10366" s="1005"/>
      <c r="H10366" s="911">
        <v>0.5</v>
      </c>
      <c r="I10366" s="912">
        <f>VLOOKUP(E10366,[3]VLP!$B$7:$K$300,10,0)</f>
        <v>8000</v>
      </c>
      <c r="J10366" s="912">
        <f>I10366*H10366</f>
        <v>4000</v>
      </c>
      <c r="K10366" s="912" t="s">
        <v>274</v>
      </c>
      <c r="L10366" s="912"/>
      <c r="M10366" s="912"/>
      <c r="N10366" s="912"/>
      <c r="O10366" s="892">
        <f t="shared" si="825"/>
        <v>0</v>
      </c>
      <c r="P10366" s="903">
        <f t="shared" si="826"/>
        <v>1</v>
      </c>
      <c r="Q10366" s="893">
        <f t="shared" si="827"/>
        <v>8</v>
      </c>
      <c r="R10366" s="894">
        <f t="shared" si="828"/>
        <v>0</v>
      </c>
    </row>
    <row r="10367" spans="1:18" s="904" customFormat="1">
      <c r="A10367" s="905"/>
      <c r="B10367" s="952"/>
      <c r="C10367" s="907">
        <v>235</v>
      </c>
      <c r="D10367" s="907" t="s">
        <v>279</v>
      </c>
      <c r="E10367" s="992" t="s">
        <v>2682</v>
      </c>
      <c r="F10367" s="905" t="s">
        <v>45</v>
      </c>
      <c r="G10367" s="1005"/>
      <c r="H10367" s="911">
        <v>0.3</v>
      </c>
      <c r="I10367" s="912">
        <f>VLOOKUP(E10367,[3]VLP!$B$7:$K$300,10,0)</f>
        <v>5000</v>
      </c>
      <c r="J10367" s="912">
        <f>I10367*H10367</f>
        <v>1500</v>
      </c>
      <c r="K10367" s="912" t="s">
        <v>274</v>
      </c>
      <c r="L10367" s="912"/>
      <c r="M10367" s="912"/>
      <c r="N10367" s="912"/>
      <c r="O10367" s="892">
        <f t="shared" si="825"/>
        <v>0</v>
      </c>
      <c r="P10367" s="903">
        <f t="shared" si="826"/>
        <v>1</v>
      </c>
      <c r="Q10367" s="893">
        <f t="shared" si="827"/>
        <v>7</v>
      </c>
      <c r="R10367" s="894">
        <f t="shared" si="828"/>
        <v>0</v>
      </c>
    </row>
    <row r="10368" spans="1:18">
      <c r="A10368" s="905"/>
      <c r="B10368" s="952"/>
      <c r="C10368" s="907">
        <v>699</v>
      </c>
      <c r="D10368" s="907" t="s">
        <v>279</v>
      </c>
      <c r="E10368" s="992" t="s">
        <v>4006</v>
      </c>
      <c r="F10368" s="905" t="s">
        <v>4007</v>
      </c>
      <c r="G10368" s="1005"/>
      <c r="H10368" s="911">
        <v>10</v>
      </c>
      <c r="I10368" s="912">
        <f>VLOOKUP(E10368,[3]VLP!$B$7:$K$300,10,0)</f>
        <v>5000</v>
      </c>
      <c r="J10368" s="912">
        <f>I10368*H10368</f>
        <v>50000</v>
      </c>
      <c r="K10368" s="912" t="s">
        <v>274</v>
      </c>
      <c r="L10368" s="912"/>
      <c r="M10368" s="912"/>
      <c r="N10368" s="912"/>
      <c r="O10368" s="892">
        <f t="shared" si="825"/>
        <v>0</v>
      </c>
      <c r="P10368" s="903">
        <f t="shared" si="826"/>
        <v>1</v>
      </c>
      <c r="Q10368" s="893">
        <f t="shared" si="827"/>
        <v>6</v>
      </c>
      <c r="R10368" s="894">
        <f t="shared" si="828"/>
        <v>0</v>
      </c>
    </row>
    <row r="10369" spans="1:18" s="847" customFormat="1">
      <c r="A10369" s="895"/>
      <c r="B10369" s="896"/>
      <c r="C10369" s="897"/>
      <c r="D10369" s="897"/>
      <c r="E10369" s="1002" t="s">
        <v>276</v>
      </c>
      <c r="F10369" s="1003"/>
      <c r="G10369" s="1004"/>
      <c r="H10369" s="901"/>
      <c r="I10369" s="902"/>
      <c r="J10369" s="902"/>
      <c r="K10369" s="912" t="s">
        <v>274</v>
      </c>
      <c r="L10369" s="902"/>
      <c r="M10369" s="902"/>
      <c r="N10369" s="902"/>
      <c r="O10369" s="892">
        <f t="shared" si="825"/>
        <v>0</v>
      </c>
      <c r="P10369" s="903">
        <f t="shared" si="826"/>
        <v>1</v>
      </c>
      <c r="Q10369" s="893">
        <f t="shared" si="827"/>
        <v>5</v>
      </c>
      <c r="R10369" s="894">
        <f t="shared" si="828"/>
        <v>0</v>
      </c>
    </row>
    <row r="10370" spans="1:18" s="904" customFormat="1">
      <c r="A10370" s="905"/>
      <c r="B10370" s="952"/>
      <c r="C10370" s="907">
        <v>740</v>
      </c>
      <c r="D10370" s="907" t="s">
        <v>12</v>
      </c>
      <c r="E10370" s="992" t="s">
        <v>4008</v>
      </c>
      <c r="F10370" s="905" t="s">
        <v>2674</v>
      </c>
      <c r="G10370" s="1005"/>
      <c r="H10370" s="911">
        <v>4</v>
      </c>
      <c r="I10370" s="912"/>
      <c r="J10370" s="912"/>
      <c r="K10370" s="912">
        <f>VLOOKUP(E10370,[5]ĐMNC!$A$7:$F$67,4,0)</f>
        <v>221125</v>
      </c>
      <c r="L10370" s="912">
        <f>H10370*K10370</f>
        <v>884500</v>
      </c>
      <c r="M10370" s="912"/>
      <c r="N10370" s="912"/>
      <c r="O10370" s="892">
        <f t="shared" si="825"/>
        <v>0</v>
      </c>
      <c r="P10370" s="903">
        <f t="shared" si="826"/>
        <v>1</v>
      </c>
      <c r="Q10370" s="893">
        <f t="shared" si="827"/>
        <v>4</v>
      </c>
      <c r="R10370" s="894">
        <f t="shared" si="828"/>
        <v>0</v>
      </c>
    </row>
    <row r="10371" spans="1:18">
      <c r="A10371" s="895"/>
      <c r="B10371" s="896"/>
      <c r="C10371" s="897"/>
      <c r="D10371" s="897"/>
      <c r="E10371" s="1002" t="s">
        <v>3914</v>
      </c>
      <c r="F10371" s="895"/>
      <c r="G10371" s="1004"/>
      <c r="H10371" s="901"/>
      <c r="I10371" s="902"/>
      <c r="J10371" s="902"/>
      <c r="K10371" s="912" t="s">
        <v>274</v>
      </c>
      <c r="L10371" s="902"/>
      <c r="M10371" s="902"/>
      <c r="N10371" s="902"/>
      <c r="O10371" s="892">
        <f t="shared" si="825"/>
        <v>0</v>
      </c>
      <c r="P10371" s="903">
        <f t="shared" si="826"/>
        <v>1</v>
      </c>
      <c r="Q10371" s="893">
        <f t="shared" si="827"/>
        <v>3</v>
      </c>
      <c r="R10371" s="894">
        <f t="shared" si="828"/>
        <v>0</v>
      </c>
    </row>
    <row r="10372" spans="1:18" s="904" customFormat="1">
      <c r="A10372" s="905"/>
      <c r="B10372" s="952" t="s">
        <v>6408</v>
      </c>
      <c r="C10372" s="907">
        <v>913</v>
      </c>
      <c r="D10372" s="907" t="s">
        <v>93</v>
      </c>
      <c r="E10372" s="992" t="s">
        <v>6409</v>
      </c>
      <c r="F10372" s="905" t="s">
        <v>2673</v>
      </c>
      <c r="G10372" s="1005"/>
      <c r="H10372" s="911">
        <v>0.47</v>
      </c>
      <c r="I10372" s="912"/>
      <c r="J10372" s="912"/>
      <c r="K10372" s="912"/>
      <c r="L10372" s="912"/>
      <c r="M10372" s="912">
        <f>VLOOKUP(B10372,MTC!$B$9:$S$933,12,0)</f>
        <v>0</v>
      </c>
      <c r="N10372" s="912">
        <f>M10372*H10372</f>
        <v>0</v>
      </c>
      <c r="O10372" s="892">
        <f t="shared" si="825"/>
        <v>0</v>
      </c>
      <c r="P10372" s="903">
        <f t="shared" si="826"/>
        <v>1</v>
      </c>
      <c r="Q10372" s="893">
        <f t="shared" si="827"/>
        <v>2</v>
      </c>
      <c r="R10372" s="894">
        <f t="shared" si="828"/>
        <v>0</v>
      </c>
    </row>
    <row r="10373" spans="1:18">
      <c r="A10373" s="905"/>
      <c r="B10373" s="952" t="s">
        <v>6414</v>
      </c>
      <c r="C10373" s="907">
        <v>914</v>
      </c>
      <c r="D10373" s="907" t="s">
        <v>93</v>
      </c>
      <c r="E10373" s="992" t="s">
        <v>6415</v>
      </c>
      <c r="F10373" s="905" t="s">
        <v>2673</v>
      </c>
      <c r="G10373" s="1005"/>
      <c r="H10373" s="911">
        <v>0.1</v>
      </c>
      <c r="I10373" s="912"/>
      <c r="J10373" s="912"/>
      <c r="K10373" s="912"/>
      <c r="L10373" s="912"/>
      <c r="M10373" s="912">
        <f>VLOOKUP(B10373,MTC!$B$9:$S$933,12,0)</f>
        <v>0</v>
      </c>
      <c r="N10373" s="912">
        <f>M10373*H10373</f>
        <v>0</v>
      </c>
      <c r="O10373" s="892">
        <f t="shared" si="825"/>
        <v>0</v>
      </c>
      <c r="P10373" s="903">
        <f t="shared" si="826"/>
        <v>1</v>
      </c>
      <c r="Q10373" s="893">
        <f t="shared" si="827"/>
        <v>1</v>
      </c>
      <c r="R10373" s="894">
        <f t="shared" si="828"/>
        <v>0</v>
      </c>
    </row>
    <row r="10374" spans="1:18" s="847" customFormat="1" ht="47.25">
      <c r="A10374" s="905">
        <v>162</v>
      </c>
      <c r="B10374" s="914" t="s">
        <v>6679</v>
      </c>
      <c r="C10374" s="915"/>
      <c r="D10374" s="915"/>
      <c r="E10374" s="1006" t="s">
        <v>6680</v>
      </c>
      <c r="F10374" s="1007" t="s">
        <v>136</v>
      </c>
      <c r="G10374" s="1008"/>
      <c r="H10374" s="919"/>
      <c r="I10374" s="920"/>
      <c r="J10374" s="962">
        <f>SUM(J10375:J10383)</f>
        <v>55500</v>
      </c>
      <c r="K10374" s="891" t="s">
        <v>274</v>
      </c>
      <c r="L10374" s="962">
        <f>SUM(L10375:L10383)</f>
        <v>725290</v>
      </c>
      <c r="M10374" s="962"/>
      <c r="N10374" s="962">
        <f>SUM(N10375:N10383)</f>
        <v>0</v>
      </c>
      <c r="O10374" s="892">
        <f t="shared" si="825"/>
        <v>1</v>
      </c>
      <c r="P10374" s="903">
        <f t="shared" si="826"/>
        <v>0</v>
      </c>
      <c r="Q10374" s="893">
        <f t="shared" si="827"/>
        <v>0</v>
      </c>
      <c r="R10374" s="894">
        <f t="shared" si="828"/>
        <v>9</v>
      </c>
    </row>
    <row r="10375" spans="1:18" s="904" customFormat="1">
      <c r="A10375" s="895"/>
      <c r="B10375" s="896"/>
      <c r="C10375" s="897"/>
      <c r="D10375" s="897"/>
      <c r="E10375" s="1002" t="s">
        <v>108</v>
      </c>
      <c r="F10375" s="895"/>
      <c r="G10375" s="1004"/>
      <c r="H10375" s="901"/>
      <c r="I10375" s="902"/>
      <c r="J10375" s="902"/>
      <c r="K10375" s="912" t="s">
        <v>274</v>
      </c>
      <c r="L10375" s="902"/>
      <c r="M10375" s="902"/>
      <c r="N10375" s="902"/>
      <c r="O10375" s="892">
        <f t="shared" si="825"/>
        <v>0</v>
      </c>
      <c r="P10375" s="903">
        <f t="shared" si="826"/>
        <v>1</v>
      </c>
      <c r="Q10375" s="893">
        <f t="shared" si="827"/>
        <v>9</v>
      </c>
      <c r="R10375" s="894">
        <f t="shared" si="828"/>
        <v>0</v>
      </c>
    </row>
    <row r="10376" spans="1:18">
      <c r="A10376" s="905"/>
      <c r="B10376" s="952"/>
      <c r="C10376" s="907">
        <v>315</v>
      </c>
      <c r="D10376" s="907" t="s">
        <v>279</v>
      </c>
      <c r="E10376" s="992" t="s">
        <v>6316</v>
      </c>
      <c r="F10376" s="905" t="s">
        <v>49</v>
      </c>
      <c r="G10376" s="1005"/>
      <c r="H10376" s="911">
        <v>0.5</v>
      </c>
      <c r="I10376" s="912">
        <f>VLOOKUP(E10376,[3]VLP!$B$7:$K$300,10,0)</f>
        <v>8000</v>
      </c>
      <c r="J10376" s="912">
        <f>I10376*H10376</f>
        <v>4000</v>
      </c>
      <c r="K10376" s="912" t="s">
        <v>274</v>
      </c>
      <c r="L10376" s="912"/>
      <c r="M10376" s="912"/>
      <c r="N10376" s="912"/>
      <c r="O10376" s="892">
        <f t="shared" si="825"/>
        <v>0</v>
      </c>
      <c r="P10376" s="903">
        <f t="shared" si="826"/>
        <v>1</v>
      </c>
      <c r="Q10376" s="893">
        <f t="shared" si="827"/>
        <v>8</v>
      </c>
      <c r="R10376" s="894">
        <f t="shared" si="828"/>
        <v>0</v>
      </c>
    </row>
    <row r="10377" spans="1:18" s="904" customFormat="1">
      <c r="A10377" s="905"/>
      <c r="B10377" s="952"/>
      <c r="C10377" s="907">
        <v>235</v>
      </c>
      <c r="D10377" s="907" t="s">
        <v>279</v>
      </c>
      <c r="E10377" s="992" t="s">
        <v>2682</v>
      </c>
      <c r="F10377" s="905" t="s">
        <v>45</v>
      </c>
      <c r="G10377" s="1005"/>
      <c r="H10377" s="911">
        <v>0.3</v>
      </c>
      <c r="I10377" s="912">
        <f>VLOOKUP(E10377,[3]VLP!$B$7:$K$300,10,0)</f>
        <v>5000</v>
      </c>
      <c r="J10377" s="912">
        <f>I10377*H10377</f>
        <v>1500</v>
      </c>
      <c r="K10377" s="912" t="s">
        <v>274</v>
      </c>
      <c r="L10377" s="912"/>
      <c r="M10377" s="912"/>
      <c r="N10377" s="912"/>
      <c r="O10377" s="892">
        <f t="shared" si="825"/>
        <v>0</v>
      </c>
      <c r="P10377" s="903">
        <f t="shared" si="826"/>
        <v>1</v>
      </c>
      <c r="Q10377" s="893">
        <f t="shared" si="827"/>
        <v>7</v>
      </c>
      <c r="R10377" s="894">
        <f t="shared" si="828"/>
        <v>0</v>
      </c>
    </row>
    <row r="10378" spans="1:18">
      <c r="A10378" s="905"/>
      <c r="B10378" s="952"/>
      <c r="C10378" s="907">
        <v>699</v>
      </c>
      <c r="D10378" s="907" t="s">
        <v>279</v>
      </c>
      <c r="E10378" s="992" t="s">
        <v>4006</v>
      </c>
      <c r="F10378" s="905" t="s">
        <v>4007</v>
      </c>
      <c r="G10378" s="1005"/>
      <c r="H10378" s="911">
        <v>10</v>
      </c>
      <c r="I10378" s="912">
        <f>VLOOKUP(E10378,[3]VLP!$B$7:$K$300,10,0)</f>
        <v>5000</v>
      </c>
      <c r="J10378" s="912">
        <f>I10378*H10378</f>
        <v>50000</v>
      </c>
      <c r="K10378" s="912" t="s">
        <v>274</v>
      </c>
      <c r="L10378" s="912"/>
      <c r="M10378" s="912"/>
      <c r="N10378" s="912"/>
      <c r="O10378" s="892">
        <f t="shared" si="825"/>
        <v>0</v>
      </c>
      <c r="P10378" s="903">
        <f t="shared" si="826"/>
        <v>1</v>
      </c>
      <c r="Q10378" s="893">
        <f t="shared" si="827"/>
        <v>6</v>
      </c>
      <c r="R10378" s="894">
        <f t="shared" si="828"/>
        <v>0</v>
      </c>
    </row>
    <row r="10379" spans="1:18" s="847" customFormat="1">
      <c r="A10379" s="895"/>
      <c r="B10379" s="896"/>
      <c r="C10379" s="897"/>
      <c r="D10379" s="897"/>
      <c r="E10379" s="1002" t="s">
        <v>276</v>
      </c>
      <c r="F10379" s="1003"/>
      <c r="G10379" s="1004"/>
      <c r="H10379" s="901"/>
      <c r="I10379" s="902"/>
      <c r="J10379" s="902"/>
      <c r="K10379" s="912" t="s">
        <v>274</v>
      </c>
      <c r="L10379" s="902"/>
      <c r="M10379" s="902"/>
      <c r="N10379" s="902"/>
      <c r="O10379" s="892">
        <f t="shared" si="825"/>
        <v>0</v>
      </c>
      <c r="P10379" s="903">
        <f t="shared" si="826"/>
        <v>1</v>
      </c>
      <c r="Q10379" s="893">
        <f t="shared" si="827"/>
        <v>5</v>
      </c>
      <c r="R10379" s="894">
        <f t="shared" si="828"/>
        <v>0</v>
      </c>
    </row>
    <row r="10380" spans="1:18" s="904" customFormat="1">
      <c r="A10380" s="905"/>
      <c r="B10380" s="952"/>
      <c r="C10380" s="907">
        <v>740</v>
      </c>
      <c r="D10380" s="907" t="s">
        <v>12</v>
      </c>
      <c r="E10380" s="992" t="s">
        <v>4008</v>
      </c>
      <c r="F10380" s="905" t="s">
        <v>2674</v>
      </c>
      <c r="G10380" s="1005"/>
      <c r="H10380" s="911">
        <v>3.28</v>
      </c>
      <c r="I10380" s="912"/>
      <c r="J10380" s="912"/>
      <c r="K10380" s="912">
        <f>VLOOKUP(E10380,[5]ĐMNC!$A$7:$F$67,4,0)</f>
        <v>221125</v>
      </c>
      <c r="L10380" s="912">
        <f>H10380*K10380</f>
        <v>725290</v>
      </c>
      <c r="M10380" s="912"/>
      <c r="N10380" s="912"/>
      <c r="O10380" s="892">
        <f t="shared" si="825"/>
        <v>0</v>
      </c>
      <c r="P10380" s="903">
        <f t="shared" si="826"/>
        <v>1</v>
      </c>
      <c r="Q10380" s="893">
        <f t="shared" si="827"/>
        <v>4</v>
      </c>
      <c r="R10380" s="894">
        <f t="shared" si="828"/>
        <v>0</v>
      </c>
    </row>
    <row r="10381" spans="1:18">
      <c r="A10381" s="895"/>
      <c r="B10381" s="896"/>
      <c r="C10381" s="897"/>
      <c r="D10381" s="897"/>
      <c r="E10381" s="1002" t="s">
        <v>3914</v>
      </c>
      <c r="F10381" s="895"/>
      <c r="G10381" s="1004"/>
      <c r="H10381" s="901"/>
      <c r="I10381" s="902"/>
      <c r="J10381" s="902"/>
      <c r="K10381" s="912" t="s">
        <v>274</v>
      </c>
      <c r="L10381" s="902"/>
      <c r="M10381" s="902"/>
      <c r="N10381" s="902"/>
      <c r="O10381" s="892">
        <f t="shared" si="825"/>
        <v>0</v>
      </c>
      <c r="P10381" s="903">
        <f t="shared" si="826"/>
        <v>1</v>
      </c>
      <c r="Q10381" s="893">
        <f t="shared" si="827"/>
        <v>3</v>
      </c>
      <c r="R10381" s="894">
        <f t="shared" si="828"/>
        <v>0</v>
      </c>
    </row>
    <row r="10382" spans="1:18" s="904" customFormat="1">
      <c r="A10382" s="905"/>
      <c r="B10382" s="952" t="s">
        <v>6434</v>
      </c>
      <c r="C10382" s="907">
        <v>912</v>
      </c>
      <c r="D10382" s="907" t="s">
        <v>93</v>
      </c>
      <c r="E10382" s="992" t="s">
        <v>6435</v>
      </c>
      <c r="F10382" s="905" t="s">
        <v>2673</v>
      </c>
      <c r="G10382" s="1005"/>
      <c r="H10382" s="911">
        <v>0.19900000000000001</v>
      </c>
      <c r="I10382" s="912"/>
      <c r="J10382" s="912"/>
      <c r="K10382" s="912"/>
      <c r="L10382" s="912"/>
      <c r="M10382" s="912">
        <f>VLOOKUP(B10382,MTC!$B$9:$S$933,12,0)</f>
        <v>0</v>
      </c>
      <c r="N10382" s="912">
        <f>M10382*H10382</f>
        <v>0</v>
      </c>
      <c r="O10382" s="892">
        <f t="shared" si="825"/>
        <v>0</v>
      </c>
      <c r="P10382" s="903">
        <f t="shared" si="826"/>
        <v>1</v>
      </c>
      <c r="Q10382" s="893">
        <f t="shared" si="827"/>
        <v>2</v>
      </c>
      <c r="R10382" s="894">
        <f t="shared" si="828"/>
        <v>0</v>
      </c>
    </row>
    <row r="10383" spans="1:18">
      <c r="A10383" s="905"/>
      <c r="B10383" s="952" t="s">
        <v>6414</v>
      </c>
      <c r="C10383" s="907">
        <v>914</v>
      </c>
      <c r="D10383" s="907" t="s">
        <v>93</v>
      </c>
      <c r="E10383" s="992" t="s">
        <v>6415</v>
      </c>
      <c r="F10383" s="905" t="s">
        <v>2673</v>
      </c>
      <c r="G10383" s="1005"/>
      <c r="H10383" s="911">
        <v>0.1</v>
      </c>
      <c r="I10383" s="912"/>
      <c r="J10383" s="912"/>
      <c r="K10383" s="912"/>
      <c r="L10383" s="912"/>
      <c r="M10383" s="912">
        <f>VLOOKUP(B10383,MTC!$B$9:$S$933,12,0)</f>
        <v>0</v>
      </c>
      <c r="N10383" s="912">
        <f>M10383*H10383</f>
        <v>0</v>
      </c>
      <c r="O10383" s="892">
        <f t="shared" si="825"/>
        <v>0</v>
      </c>
      <c r="P10383" s="903">
        <f t="shared" si="826"/>
        <v>1</v>
      </c>
      <c r="Q10383" s="893">
        <f t="shared" si="827"/>
        <v>1</v>
      </c>
      <c r="R10383" s="894">
        <f t="shared" si="828"/>
        <v>0</v>
      </c>
    </row>
    <row r="10384" spans="1:18" s="847" customFormat="1" ht="47.25">
      <c r="A10384" s="905">
        <v>163</v>
      </c>
      <c r="B10384" s="914" t="s">
        <v>6681</v>
      </c>
      <c r="C10384" s="915"/>
      <c r="D10384" s="915"/>
      <c r="E10384" s="1006" t="s">
        <v>6682</v>
      </c>
      <c r="F10384" s="1007" t="s">
        <v>136</v>
      </c>
      <c r="G10384" s="1008"/>
      <c r="H10384" s="919"/>
      <c r="I10384" s="920"/>
      <c r="J10384" s="962">
        <f>SUM(J10385:J10393)</f>
        <v>68000</v>
      </c>
      <c r="K10384" s="891" t="s">
        <v>274</v>
      </c>
      <c r="L10384" s="962">
        <f>SUM(L10385:L10393)</f>
        <v>846908.75</v>
      </c>
      <c r="M10384" s="962"/>
      <c r="N10384" s="962">
        <f>SUM(N10385:N10393)</f>
        <v>0</v>
      </c>
      <c r="O10384" s="892">
        <f t="shared" si="825"/>
        <v>1</v>
      </c>
      <c r="P10384" s="903">
        <f t="shared" si="826"/>
        <v>0</v>
      </c>
      <c r="Q10384" s="893">
        <f t="shared" si="827"/>
        <v>0</v>
      </c>
      <c r="R10384" s="894">
        <f t="shared" si="828"/>
        <v>9</v>
      </c>
    </row>
    <row r="10385" spans="1:18" s="904" customFormat="1">
      <c r="A10385" s="895"/>
      <c r="B10385" s="896"/>
      <c r="C10385" s="897"/>
      <c r="D10385" s="897"/>
      <c r="E10385" s="1002" t="s">
        <v>108</v>
      </c>
      <c r="F10385" s="895"/>
      <c r="G10385" s="1004"/>
      <c r="H10385" s="901"/>
      <c r="I10385" s="902"/>
      <c r="J10385" s="902"/>
      <c r="K10385" s="912" t="s">
        <v>274</v>
      </c>
      <c r="L10385" s="902"/>
      <c r="M10385" s="902"/>
      <c r="N10385" s="902"/>
      <c r="O10385" s="892">
        <f t="shared" si="825"/>
        <v>0</v>
      </c>
      <c r="P10385" s="903">
        <f t="shared" si="826"/>
        <v>1</v>
      </c>
      <c r="Q10385" s="893">
        <f t="shared" si="827"/>
        <v>9</v>
      </c>
      <c r="R10385" s="894">
        <f t="shared" si="828"/>
        <v>0</v>
      </c>
    </row>
    <row r="10386" spans="1:18">
      <c r="A10386" s="905"/>
      <c r="B10386" s="952"/>
      <c r="C10386" s="907">
        <v>315</v>
      </c>
      <c r="D10386" s="907" t="s">
        <v>279</v>
      </c>
      <c r="E10386" s="992" t="s">
        <v>6316</v>
      </c>
      <c r="F10386" s="905" t="s">
        <v>49</v>
      </c>
      <c r="G10386" s="1005"/>
      <c r="H10386" s="911">
        <v>0.5</v>
      </c>
      <c r="I10386" s="912">
        <f>VLOOKUP(E10386,[3]VLP!$B$7:$K$300,10,0)</f>
        <v>8000</v>
      </c>
      <c r="J10386" s="912">
        <f>I10386*H10386</f>
        <v>4000</v>
      </c>
      <c r="K10386" s="912" t="s">
        <v>274</v>
      </c>
      <c r="L10386" s="912"/>
      <c r="M10386" s="912"/>
      <c r="N10386" s="912"/>
      <c r="O10386" s="892">
        <f t="shared" si="825"/>
        <v>0</v>
      </c>
      <c r="P10386" s="903">
        <f t="shared" si="826"/>
        <v>1</v>
      </c>
      <c r="Q10386" s="893">
        <f t="shared" si="827"/>
        <v>8</v>
      </c>
      <c r="R10386" s="894">
        <f t="shared" si="828"/>
        <v>0</v>
      </c>
    </row>
    <row r="10387" spans="1:18" s="904" customFormat="1">
      <c r="A10387" s="905"/>
      <c r="B10387" s="952"/>
      <c r="C10387" s="907">
        <v>235</v>
      </c>
      <c r="D10387" s="907" t="s">
        <v>279</v>
      </c>
      <c r="E10387" s="992" t="s">
        <v>2682</v>
      </c>
      <c r="F10387" s="905" t="s">
        <v>45</v>
      </c>
      <c r="G10387" s="1005"/>
      <c r="H10387" s="911">
        <v>0.3</v>
      </c>
      <c r="I10387" s="912">
        <f>VLOOKUP(E10387,[3]VLP!$B$7:$K$300,10,0)</f>
        <v>5000</v>
      </c>
      <c r="J10387" s="912">
        <f>I10387*H10387</f>
        <v>1500</v>
      </c>
      <c r="K10387" s="912" t="s">
        <v>274</v>
      </c>
      <c r="L10387" s="912"/>
      <c r="M10387" s="912"/>
      <c r="N10387" s="912"/>
      <c r="O10387" s="892">
        <f t="shared" si="825"/>
        <v>0</v>
      </c>
      <c r="P10387" s="903">
        <f t="shared" si="826"/>
        <v>1</v>
      </c>
      <c r="Q10387" s="893">
        <f t="shared" si="827"/>
        <v>7</v>
      </c>
      <c r="R10387" s="894">
        <f t="shared" si="828"/>
        <v>0</v>
      </c>
    </row>
    <row r="10388" spans="1:18">
      <c r="A10388" s="905"/>
      <c r="B10388" s="952"/>
      <c r="C10388" s="907">
        <v>699</v>
      </c>
      <c r="D10388" s="907" t="s">
        <v>279</v>
      </c>
      <c r="E10388" s="992" t="s">
        <v>4006</v>
      </c>
      <c r="F10388" s="905" t="s">
        <v>4007</v>
      </c>
      <c r="G10388" s="1005"/>
      <c r="H10388" s="911">
        <v>12.5</v>
      </c>
      <c r="I10388" s="912">
        <f>VLOOKUP(E10388,[3]VLP!$B$7:$K$300,10,0)</f>
        <v>5000</v>
      </c>
      <c r="J10388" s="912">
        <f>I10388*H10388</f>
        <v>62500</v>
      </c>
      <c r="K10388" s="912" t="s">
        <v>274</v>
      </c>
      <c r="L10388" s="912"/>
      <c r="M10388" s="912"/>
      <c r="N10388" s="912"/>
      <c r="O10388" s="892">
        <f t="shared" si="825"/>
        <v>0</v>
      </c>
      <c r="P10388" s="903">
        <f t="shared" si="826"/>
        <v>1</v>
      </c>
      <c r="Q10388" s="893">
        <f t="shared" si="827"/>
        <v>6</v>
      </c>
      <c r="R10388" s="894">
        <f t="shared" si="828"/>
        <v>0</v>
      </c>
    </row>
    <row r="10389" spans="1:18" s="847" customFormat="1">
      <c r="A10389" s="895"/>
      <c r="B10389" s="896"/>
      <c r="C10389" s="897"/>
      <c r="D10389" s="897"/>
      <c r="E10389" s="1002" t="s">
        <v>276</v>
      </c>
      <c r="F10389" s="1003"/>
      <c r="G10389" s="1004"/>
      <c r="H10389" s="901"/>
      <c r="I10389" s="902"/>
      <c r="J10389" s="902"/>
      <c r="K10389" s="912" t="s">
        <v>274</v>
      </c>
      <c r="L10389" s="902"/>
      <c r="M10389" s="902"/>
      <c r="N10389" s="902"/>
      <c r="O10389" s="892">
        <f t="shared" si="825"/>
        <v>0</v>
      </c>
      <c r="P10389" s="903">
        <f t="shared" si="826"/>
        <v>1</v>
      </c>
      <c r="Q10389" s="893">
        <f t="shared" si="827"/>
        <v>5</v>
      </c>
      <c r="R10389" s="894">
        <f t="shared" si="828"/>
        <v>0</v>
      </c>
    </row>
    <row r="10390" spans="1:18" s="904" customFormat="1">
      <c r="A10390" s="905"/>
      <c r="B10390" s="952"/>
      <c r="C10390" s="907">
        <v>740</v>
      </c>
      <c r="D10390" s="907" t="s">
        <v>12</v>
      </c>
      <c r="E10390" s="992" t="s">
        <v>4008</v>
      </c>
      <c r="F10390" s="905" t="s">
        <v>2674</v>
      </c>
      <c r="G10390" s="1005"/>
      <c r="H10390" s="911">
        <v>3.83</v>
      </c>
      <c r="I10390" s="912"/>
      <c r="J10390" s="912"/>
      <c r="K10390" s="912">
        <f>VLOOKUP(E10390,[5]ĐMNC!$A$7:$F$67,4,0)</f>
        <v>221125</v>
      </c>
      <c r="L10390" s="912">
        <f>H10390*K10390</f>
        <v>846908.75</v>
      </c>
      <c r="M10390" s="912"/>
      <c r="N10390" s="912"/>
      <c r="O10390" s="892">
        <f t="shared" si="825"/>
        <v>0</v>
      </c>
      <c r="P10390" s="903">
        <f t="shared" si="826"/>
        <v>1</v>
      </c>
      <c r="Q10390" s="893">
        <f t="shared" si="827"/>
        <v>4</v>
      </c>
      <c r="R10390" s="894">
        <f t="shared" si="828"/>
        <v>0</v>
      </c>
    </row>
    <row r="10391" spans="1:18">
      <c r="A10391" s="895"/>
      <c r="B10391" s="896"/>
      <c r="C10391" s="897"/>
      <c r="D10391" s="897"/>
      <c r="E10391" s="1002" t="s">
        <v>3914</v>
      </c>
      <c r="F10391" s="895"/>
      <c r="G10391" s="1004"/>
      <c r="H10391" s="901"/>
      <c r="I10391" s="902"/>
      <c r="J10391" s="902"/>
      <c r="K10391" s="912" t="s">
        <v>274</v>
      </c>
      <c r="L10391" s="902"/>
      <c r="M10391" s="902"/>
      <c r="N10391" s="902"/>
      <c r="O10391" s="892">
        <f t="shared" si="825"/>
        <v>0</v>
      </c>
      <c r="P10391" s="903">
        <f t="shared" si="826"/>
        <v>1</v>
      </c>
      <c r="Q10391" s="893">
        <f t="shared" si="827"/>
        <v>3</v>
      </c>
      <c r="R10391" s="894">
        <f t="shared" si="828"/>
        <v>0</v>
      </c>
    </row>
    <row r="10392" spans="1:18" s="904" customFormat="1">
      <c r="A10392" s="905"/>
      <c r="B10392" s="952" t="s">
        <v>6434</v>
      </c>
      <c r="C10392" s="907">
        <v>912</v>
      </c>
      <c r="D10392" s="907" t="s">
        <v>93</v>
      </c>
      <c r="E10392" s="992" t="s">
        <v>6435</v>
      </c>
      <c r="F10392" s="905" t="s">
        <v>2673</v>
      </c>
      <c r="G10392" s="1005"/>
      <c r="H10392" s="911">
        <v>0.28699999999999998</v>
      </c>
      <c r="I10392" s="912"/>
      <c r="J10392" s="912"/>
      <c r="K10392" s="912"/>
      <c r="L10392" s="912"/>
      <c r="M10392" s="912">
        <f>VLOOKUP(B10392,MTC!$B$9:$S$933,12,0)</f>
        <v>0</v>
      </c>
      <c r="N10392" s="912">
        <f>M10392*H10392</f>
        <v>0</v>
      </c>
      <c r="O10392" s="892">
        <f t="shared" si="825"/>
        <v>0</v>
      </c>
      <c r="P10392" s="903">
        <f t="shared" si="826"/>
        <v>1</v>
      </c>
      <c r="Q10392" s="893">
        <f t="shared" si="827"/>
        <v>2</v>
      </c>
      <c r="R10392" s="894">
        <f t="shared" si="828"/>
        <v>0</v>
      </c>
    </row>
    <row r="10393" spans="1:18">
      <c r="A10393" s="905"/>
      <c r="B10393" s="952" t="s">
        <v>6414</v>
      </c>
      <c r="C10393" s="907">
        <v>914</v>
      </c>
      <c r="D10393" s="907" t="s">
        <v>93</v>
      </c>
      <c r="E10393" s="992" t="s">
        <v>6415</v>
      </c>
      <c r="F10393" s="905" t="s">
        <v>2673</v>
      </c>
      <c r="G10393" s="1005"/>
      <c r="H10393" s="911">
        <v>0.1</v>
      </c>
      <c r="I10393" s="912"/>
      <c r="J10393" s="912"/>
      <c r="K10393" s="912"/>
      <c r="L10393" s="912"/>
      <c r="M10393" s="912">
        <f>VLOOKUP(B10393,MTC!$B$9:$S$933,12,0)</f>
        <v>0</v>
      </c>
      <c r="N10393" s="912">
        <f>M10393*H10393</f>
        <v>0</v>
      </c>
      <c r="O10393" s="892">
        <f t="shared" si="825"/>
        <v>0</v>
      </c>
      <c r="P10393" s="903">
        <f t="shared" si="826"/>
        <v>1</v>
      </c>
      <c r="Q10393" s="893">
        <f t="shared" si="827"/>
        <v>1</v>
      </c>
      <c r="R10393" s="894">
        <f t="shared" si="828"/>
        <v>0</v>
      </c>
    </row>
    <row r="10394" spans="1:18" s="847" customFormat="1" ht="47.25">
      <c r="A10394" s="905">
        <v>164</v>
      </c>
      <c r="B10394" s="914" t="s">
        <v>6683</v>
      </c>
      <c r="C10394" s="915"/>
      <c r="D10394" s="915"/>
      <c r="E10394" s="1006" t="s">
        <v>6684</v>
      </c>
      <c r="F10394" s="1007" t="s">
        <v>136</v>
      </c>
      <c r="G10394" s="1008"/>
      <c r="H10394" s="919"/>
      <c r="I10394" s="920"/>
      <c r="J10394" s="962">
        <f>SUM(J10395:J10403)</f>
        <v>55500</v>
      </c>
      <c r="K10394" s="891" t="s">
        <v>274</v>
      </c>
      <c r="L10394" s="962">
        <f>SUM(L10395:L10403)</f>
        <v>884500</v>
      </c>
      <c r="M10394" s="962"/>
      <c r="N10394" s="962">
        <f>SUM(N10395:N10403)</f>
        <v>0</v>
      </c>
      <c r="O10394" s="892">
        <f t="shared" si="825"/>
        <v>1</v>
      </c>
      <c r="P10394" s="903">
        <f t="shared" si="826"/>
        <v>0</v>
      </c>
      <c r="Q10394" s="893">
        <f t="shared" si="827"/>
        <v>0</v>
      </c>
      <c r="R10394" s="894">
        <f t="shared" si="828"/>
        <v>9</v>
      </c>
    </row>
    <row r="10395" spans="1:18" s="904" customFormat="1">
      <c r="A10395" s="895"/>
      <c r="B10395" s="896"/>
      <c r="C10395" s="897"/>
      <c r="D10395" s="897"/>
      <c r="E10395" s="1002" t="s">
        <v>108</v>
      </c>
      <c r="F10395" s="895"/>
      <c r="G10395" s="1004"/>
      <c r="H10395" s="901"/>
      <c r="I10395" s="902"/>
      <c r="J10395" s="902"/>
      <c r="K10395" s="912" t="s">
        <v>274</v>
      </c>
      <c r="L10395" s="902"/>
      <c r="M10395" s="902"/>
      <c r="N10395" s="902"/>
      <c r="O10395" s="892">
        <f t="shared" si="825"/>
        <v>0</v>
      </c>
      <c r="P10395" s="903">
        <f t="shared" si="826"/>
        <v>1</v>
      </c>
      <c r="Q10395" s="893">
        <f t="shared" si="827"/>
        <v>9</v>
      </c>
      <c r="R10395" s="894">
        <f t="shared" si="828"/>
        <v>0</v>
      </c>
    </row>
    <row r="10396" spans="1:18">
      <c r="A10396" s="905"/>
      <c r="B10396" s="952"/>
      <c r="C10396" s="907">
        <v>315</v>
      </c>
      <c r="D10396" s="907" t="s">
        <v>279</v>
      </c>
      <c r="E10396" s="992" t="s">
        <v>6316</v>
      </c>
      <c r="F10396" s="905" t="s">
        <v>49</v>
      </c>
      <c r="G10396" s="1005"/>
      <c r="H10396" s="911">
        <v>0.5</v>
      </c>
      <c r="I10396" s="912">
        <f>VLOOKUP(E10396,[3]VLP!$B$7:$K$300,10,0)</f>
        <v>8000</v>
      </c>
      <c r="J10396" s="912">
        <f>I10396*H10396</f>
        <v>4000</v>
      </c>
      <c r="K10396" s="912" t="s">
        <v>274</v>
      </c>
      <c r="L10396" s="912"/>
      <c r="M10396" s="912"/>
      <c r="N10396" s="912"/>
      <c r="O10396" s="892">
        <f t="shared" si="825"/>
        <v>0</v>
      </c>
      <c r="P10396" s="903">
        <f t="shared" si="826"/>
        <v>1</v>
      </c>
      <c r="Q10396" s="893">
        <f t="shared" si="827"/>
        <v>8</v>
      </c>
      <c r="R10396" s="894">
        <f t="shared" si="828"/>
        <v>0</v>
      </c>
    </row>
    <row r="10397" spans="1:18" s="904" customFormat="1">
      <c r="A10397" s="905"/>
      <c r="B10397" s="952"/>
      <c r="C10397" s="907">
        <v>235</v>
      </c>
      <c r="D10397" s="907" t="s">
        <v>279</v>
      </c>
      <c r="E10397" s="992" t="s">
        <v>2682</v>
      </c>
      <c r="F10397" s="905" t="s">
        <v>45</v>
      </c>
      <c r="G10397" s="1005"/>
      <c r="H10397" s="911">
        <v>0.3</v>
      </c>
      <c r="I10397" s="912">
        <f>VLOOKUP(E10397,[3]VLP!$B$7:$K$300,10,0)</f>
        <v>5000</v>
      </c>
      <c r="J10397" s="912">
        <f>I10397*H10397</f>
        <v>1500</v>
      </c>
      <c r="K10397" s="912" t="s">
        <v>274</v>
      </c>
      <c r="L10397" s="912"/>
      <c r="M10397" s="912"/>
      <c r="N10397" s="912"/>
      <c r="O10397" s="892">
        <f t="shared" si="825"/>
        <v>0</v>
      </c>
      <c r="P10397" s="903">
        <f t="shared" si="826"/>
        <v>1</v>
      </c>
      <c r="Q10397" s="893">
        <f t="shared" si="827"/>
        <v>7</v>
      </c>
      <c r="R10397" s="894">
        <f t="shared" si="828"/>
        <v>0</v>
      </c>
    </row>
    <row r="10398" spans="1:18">
      <c r="A10398" s="905"/>
      <c r="B10398" s="952"/>
      <c r="C10398" s="907">
        <v>699</v>
      </c>
      <c r="D10398" s="907" t="s">
        <v>279</v>
      </c>
      <c r="E10398" s="992" t="s">
        <v>4006</v>
      </c>
      <c r="F10398" s="905" t="s">
        <v>4007</v>
      </c>
      <c r="G10398" s="1005"/>
      <c r="H10398" s="911">
        <v>10</v>
      </c>
      <c r="I10398" s="912">
        <f>VLOOKUP(E10398,[3]VLP!$B$7:$K$300,10,0)</f>
        <v>5000</v>
      </c>
      <c r="J10398" s="912">
        <f>I10398*H10398</f>
        <v>50000</v>
      </c>
      <c r="K10398" s="912" t="s">
        <v>274</v>
      </c>
      <c r="L10398" s="912"/>
      <c r="M10398" s="912"/>
      <c r="N10398" s="912"/>
      <c r="O10398" s="892">
        <f t="shared" si="825"/>
        <v>0</v>
      </c>
      <c r="P10398" s="903">
        <f t="shared" si="826"/>
        <v>1</v>
      </c>
      <c r="Q10398" s="893">
        <f t="shared" si="827"/>
        <v>6</v>
      </c>
      <c r="R10398" s="894">
        <f t="shared" si="828"/>
        <v>0</v>
      </c>
    </row>
    <row r="10399" spans="1:18" s="847" customFormat="1">
      <c r="A10399" s="895"/>
      <c r="B10399" s="896"/>
      <c r="C10399" s="897"/>
      <c r="D10399" s="897"/>
      <c r="E10399" s="1002" t="s">
        <v>276</v>
      </c>
      <c r="F10399" s="1003"/>
      <c r="G10399" s="1004"/>
      <c r="H10399" s="901"/>
      <c r="I10399" s="902"/>
      <c r="J10399" s="902"/>
      <c r="K10399" s="912" t="s">
        <v>274</v>
      </c>
      <c r="L10399" s="902"/>
      <c r="M10399" s="902"/>
      <c r="N10399" s="902"/>
      <c r="O10399" s="892">
        <f t="shared" ref="O10399:O10462" si="829">IF(AND(B10399&lt;&gt;"",D10399=""),1,0)</f>
        <v>0</v>
      </c>
      <c r="P10399" s="903">
        <f t="shared" si="826"/>
        <v>1</v>
      </c>
      <c r="Q10399" s="893">
        <f t="shared" si="827"/>
        <v>5</v>
      </c>
      <c r="R10399" s="894">
        <f t="shared" si="828"/>
        <v>0</v>
      </c>
    </row>
    <row r="10400" spans="1:18" s="904" customFormat="1">
      <c r="A10400" s="905"/>
      <c r="B10400" s="952"/>
      <c r="C10400" s="907">
        <v>740</v>
      </c>
      <c r="D10400" s="907" t="s">
        <v>12</v>
      </c>
      <c r="E10400" s="992" t="s">
        <v>4008</v>
      </c>
      <c r="F10400" s="905" t="s">
        <v>2674</v>
      </c>
      <c r="G10400" s="1005"/>
      <c r="H10400" s="911">
        <v>4</v>
      </c>
      <c r="I10400" s="912"/>
      <c r="J10400" s="912"/>
      <c r="K10400" s="912">
        <f>VLOOKUP(E10400,[5]ĐMNC!$A$7:$F$67,4,0)</f>
        <v>221125</v>
      </c>
      <c r="L10400" s="912">
        <f>H10400*K10400</f>
        <v>884500</v>
      </c>
      <c r="M10400" s="912"/>
      <c r="N10400" s="912"/>
      <c r="O10400" s="892">
        <f t="shared" si="829"/>
        <v>0</v>
      </c>
      <c r="P10400" s="903">
        <f t="shared" si="826"/>
        <v>1</v>
      </c>
      <c r="Q10400" s="893">
        <f t="shared" si="827"/>
        <v>4</v>
      </c>
      <c r="R10400" s="894">
        <f t="shared" si="828"/>
        <v>0</v>
      </c>
    </row>
    <row r="10401" spans="1:18">
      <c r="A10401" s="895"/>
      <c r="B10401" s="896"/>
      <c r="C10401" s="897"/>
      <c r="D10401" s="897"/>
      <c r="E10401" s="1002" t="s">
        <v>3914</v>
      </c>
      <c r="F10401" s="895"/>
      <c r="G10401" s="1004"/>
      <c r="H10401" s="901"/>
      <c r="I10401" s="902"/>
      <c r="J10401" s="902"/>
      <c r="K10401" s="912" t="s">
        <v>274</v>
      </c>
      <c r="L10401" s="902"/>
      <c r="M10401" s="902"/>
      <c r="N10401" s="902"/>
      <c r="O10401" s="892">
        <f t="shared" si="829"/>
        <v>0</v>
      </c>
      <c r="P10401" s="903">
        <f t="shared" si="826"/>
        <v>1</v>
      </c>
      <c r="Q10401" s="893">
        <f t="shared" si="827"/>
        <v>3</v>
      </c>
      <c r="R10401" s="894">
        <f t="shared" si="828"/>
        <v>0</v>
      </c>
    </row>
    <row r="10402" spans="1:18" s="904" customFormat="1">
      <c r="A10402" s="905"/>
      <c r="B10402" s="952" t="s">
        <v>6434</v>
      </c>
      <c r="C10402" s="907">
        <v>912</v>
      </c>
      <c r="D10402" s="907" t="s">
        <v>93</v>
      </c>
      <c r="E10402" s="992" t="s">
        <v>6435</v>
      </c>
      <c r="F10402" s="905" t="s">
        <v>2673</v>
      </c>
      <c r="G10402" s="1005"/>
      <c r="H10402" s="911">
        <v>0.27300000000000002</v>
      </c>
      <c r="I10402" s="912"/>
      <c r="J10402" s="912"/>
      <c r="K10402" s="912"/>
      <c r="L10402" s="912"/>
      <c r="M10402" s="912">
        <f>VLOOKUP(B10402,MTC!$B$9:$S$933,12,0)</f>
        <v>0</v>
      </c>
      <c r="N10402" s="912">
        <f>M10402*H10402</f>
        <v>0</v>
      </c>
      <c r="O10402" s="892">
        <f t="shared" si="829"/>
        <v>0</v>
      </c>
      <c r="P10402" s="903">
        <f t="shared" si="826"/>
        <v>1</v>
      </c>
      <c r="Q10402" s="893">
        <f t="shared" si="827"/>
        <v>2</v>
      </c>
      <c r="R10402" s="894">
        <f t="shared" si="828"/>
        <v>0</v>
      </c>
    </row>
    <row r="10403" spans="1:18">
      <c r="A10403" s="905"/>
      <c r="B10403" s="952" t="s">
        <v>6414</v>
      </c>
      <c r="C10403" s="907">
        <v>914</v>
      </c>
      <c r="D10403" s="907" t="s">
        <v>93</v>
      </c>
      <c r="E10403" s="992" t="s">
        <v>6415</v>
      </c>
      <c r="F10403" s="905" t="s">
        <v>2673</v>
      </c>
      <c r="G10403" s="1005"/>
      <c r="H10403" s="911">
        <v>0.1</v>
      </c>
      <c r="I10403" s="912"/>
      <c r="J10403" s="912"/>
      <c r="K10403" s="912"/>
      <c r="L10403" s="912"/>
      <c r="M10403" s="912">
        <f>VLOOKUP(B10403,MTC!$B$9:$S$933,12,0)</f>
        <v>0</v>
      </c>
      <c r="N10403" s="912">
        <f>M10403*H10403</f>
        <v>0</v>
      </c>
      <c r="O10403" s="892">
        <f t="shared" si="829"/>
        <v>0</v>
      </c>
      <c r="P10403" s="903">
        <f t="shared" si="826"/>
        <v>1</v>
      </c>
      <c r="Q10403" s="893">
        <f t="shared" si="827"/>
        <v>1</v>
      </c>
      <c r="R10403" s="894">
        <f t="shared" si="828"/>
        <v>0</v>
      </c>
    </row>
    <row r="10404" spans="1:18" s="847" customFormat="1">
      <c r="A10404" s="905" t="s">
        <v>6660</v>
      </c>
      <c r="B10404" s="914" t="s">
        <v>6685</v>
      </c>
      <c r="C10404" s="915"/>
      <c r="D10404" s="915"/>
      <c r="E10404" s="1006" t="s">
        <v>6686</v>
      </c>
      <c r="F10404" s="1007" t="s">
        <v>139</v>
      </c>
      <c r="G10404" s="1008"/>
      <c r="H10404" s="919"/>
      <c r="I10404" s="920"/>
      <c r="J10404" s="891">
        <f>SUM(J10405:J10416)</f>
        <v>113369.75</v>
      </c>
      <c r="K10404" s="891"/>
      <c r="L10404" s="891">
        <f>SUM(L10405:L10416)</f>
        <v>2432375</v>
      </c>
      <c r="M10404" s="891"/>
      <c r="N10404" s="891">
        <f>SUM(N10405:N10416)</f>
        <v>1262334.5</v>
      </c>
      <c r="O10404" s="892">
        <f t="shared" si="829"/>
        <v>1</v>
      </c>
      <c r="P10404" s="903">
        <f t="shared" si="826"/>
        <v>0</v>
      </c>
      <c r="Q10404" s="893">
        <f t="shared" si="827"/>
        <v>0</v>
      </c>
      <c r="R10404" s="894">
        <f t="shared" si="828"/>
        <v>12</v>
      </c>
    </row>
    <row r="10405" spans="1:18" s="904" customFormat="1">
      <c r="A10405" s="895"/>
      <c r="B10405" s="896"/>
      <c r="C10405" s="897"/>
      <c r="D10405" s="897"/>
      <c r="E10405" s="1002" t="s">
        <v>108</v>
      </c>
      <c r="F10405" s="1003"/>
      <c r="G10405" s="1004"/>
      <c r="H10405" s="901"/>
      <c r="I10405" s="902"/>
      <c r="J10405" s="902"/>
      <c r="K10405" s="912" t="s">
        <v>274</v>
      </c>
      <c r="L10405" s="902"/>
      <c r="M10405" s="902"/>
      <c r="N10405" s="902"/>
      <c r="O10405" s="892">
        <f t="shared" si="829"/>
        <v>0</v>
      </c>
      <c r="P10405" s="903">
        <f t="shared" si="826"/>
        <v>1</v>
      </c>
      <c r="Q10405" s="893">
        <f t="shared" si="827"/>
        <v>12</v>
      </c>
      <c r="R10405" s="894">
        <f t="shared" si="828"/>
        <v>0</v>
      </c>
    </row>
    <row r="10406" spans="1:18">
      <c r="A10406" s="905"/>
      <c r="B10406" s="952"/>
      <c r="C10406" s="907">
        <v>212</v>
      </c>
      <c r="D10406" s="907" t="s">
        <v>279</v>
      </c>
      <c r="E10406" s="992" t="s">
        <v>2681</v>
      </c>
      <c r="F10406" s="905" t="s">
        <v>45</v>
      </c>
      <c r="G10406" s="1005"/>
      <c r="H10406" s="911">
        <v>0.45</v>
      </c>
      <c r="I10406" s="912">
        <f>VLOOKUP(E10406,[3]VLP!$B$7:$K$300,10,0)</f>
        <v>23000</v>
      </c>
      <c r="J10406" s="912">
        <f t="shared" ref="J10406:J10411" si="830">I10406*H10406</f>
        <v>10350</v>
      </c>
      <c r="K10406" s="912" t="s">
        <v>274</v>
      </c>
      <c r="L10406" s="912"/>
      <c r="M10406" s="912"/>
      <c r="N10406" s="912"/>
      <c r="O10406" s="892">
        <f t="shared" si="829"/>
        <v>0</v>
      </c>
      <c r="P10406" s="903">
        <f t="shared" si="826"/>
        <v>1</v>
      </c>
      <c r="Q10406" s="893">
        <f t="shared" si="827"/>
        <v>11</v>
      </c>
      <c r="R10406" s="894">
        <f t="shared" si="828"/>
        <v>0</v>
      </c>
    </row>
    <row r="10407" spans="1:18" s="904" customFormat="1">
      <c r="A10407" s="905"/>
      <c r="B10407" s="952"/>
      <c r="C10407" s="907">
        <v>318</v>
      </c>
      <c r="D10407" s="907" t="s">
        <v>279</v>
      </c>
      <c r="E10407" s="992" t="s">
        <v>5657</v>
      </c>
      <c r="F10407" s="905" t="s">
        <v>45</v>
      </c>
      <c r="G10407" s="1005"/>
      <c r="H10407" s="911">
        <v>0.45</v>
      </c>
      <c r="I10407" s="912">
        <f>VLOOKUP(E10407,[3]VLP!$B$7:$K$300,10,0)</f>
        <v>25155</v>
      </c>
      <c r="J10407" s="912">
        <f t="shared" si="830"/>
        <v>11319.75</v>
      </c>
      <c r="K10407" s="912" t="s">
        <v>274</v>
      </c>
      <c r="L10407" s="912"/>
      <c r="M10407" s="912"/>
      <c r="N10407" s="912"/>
      <c r="O10407" s="892">
        <f t="shared" si="829"/>
        <v>0</v>
      </c>
      <c r="P10407" s="903">
        <f t="shared" si="826"/>
        <v>1</v>
      </c>
      <c r="Q10407" s="893">
        <f t="shared" si="827"/>
        <v>10</v>
      </c>
      <c r="R10407" s="894">
        <f t="shared" si="828"/>
        <v>0</v>
      </c>
    </row>
    <row r="10408" spans="1:18">
      <c r="A10408" s="905"/>
      <c r="B10408" s="952"/>
      <c r="C10408" s="907">
        <v>289</v>
      </c>
      <c r="D10408" s="907" t="s">
        <v>279</v>
      </c>
      <c r="E10408" s="992" t="s">
        <v>3147</v>
      </c>
      <c r="F10408" s="905" t="s">
        <v>45</v>
      </c>
      <c r="G10408" s="1005"/>
      <c r="H10408" s="911">
        <v>0.16</v>
      </c>
      <c r="I10408" s="912">
        <f>VLOOKUP(E10408,[3]VLP!$B$7:$K$300,10,0)</f>
        <v>45000</v>
      </c>
      <c r="J10408" s="912">
        <f t="shared" si="830"/>
        <v>7200</v>
      </c>
      <c r="K10408" s="912" t="s">
        <v>274</v>
      </c>
      <c r="L10408" s="912"/>
      <c r="M10408" s="912"/>
      <c r="N10408" s="912"/>
      <c r="O10408" s="892">
        <f t="shared" si="829"/>
        <v>0</v>
      </c>
      <c r="P10408" s="903">
        <f t="shared" si="826"/>
        <v>1</v>
      </c>
      <c r="Q10408" s="893">
        <f t="shared" si="827"/>
        <v>9</v>
      </c>
      <c r="R10408" s="894">
        <f t="shared" si="828"/>
        <v>0</v>
      </c>
    </row>
    <row r="10409" spans="1:18" s="847" customFormat="1">
      <c r="A10409" s="905"/>
      <c r="B10409" s="952"/>
      <c r="C10409" s="907">
        <v>234</v>
      </c>
      <c r="D10409" s="907" t="s">
        <v>279</v>
      </c>
      <c r="E10409" s="992" t="s">
        <v>5983</v>
      </c>
      <c r="F10409" s="905" t="s">
        <v>3144</v>
      </c>
      <c r="G10409" s="1005"/>
      <c r="H10409" s="911">
        <v>3</v>
      </c>
      <c r="I10409" s="912">
        <f>VLOOKUP(E10409,[3]VLP!$B$7:$K$300,10,0)</f>
        <v>14000</v>
      </c>
      <c r="J10409" s="912">
        <f t="shared" si="830"/>
        <v>42000</v>
      </c>
      <c r="K10409" s="912" t="s">
        <v>274</v>
      </c>
      <c r="L10409" s="912"/>
      <c r="M10409" s="912"/>
      <c r="N10409" s="912"/>
      <c r="O10409" s="892">
        <f t="shared" si="829"/>
        <v>0</v>
      </c>
      <c r="P10409" s="903">
        <f t="shared" si="826"/>
        <v>1</v>
      </c>
      <c r="Q10409" s="893">
        <f t="shared" si="827"/>
        <v>8</v>
      </c>
      <c r="R10409" s="894">
        <f t="shared" si="828"/>
        <v>0</v>
      </c>
    </row>
    <row r="10410" spans="1:18" s="904" customFormat="1">
      <c r="A10410" s="905"/>
      <c r="B10410" s="952"/>
      <c r="C10410" s="907">
        <v>235</v>
      </c>
      <c r="D10410" s="907" t="s">
        <v>279</v>
      </c>
      <c r="E10410" s="992" t="s">
        <v>2682</v>
      </c>
      <c r="F10410" s="905" t="s">
        <v>45</v>
      </c>
      <c r="G10410" s="1005"/>
      <c r="H10410" s="911">
        <v>3.5</v>
      </c>
      <c r="I10410" s="912">
        <f>VLOOKUP(E10410,[3]VLP!$B$7:$K$300,10,0)</f>
        <v>5000</v>
      </c>
      <c r="J10410" s="912">
        <f t="shared" si="830"/>
        <v>17500</v>
      </c>
      <c r="K10410" s="912" t="s">
        <v>274</v>
      </c>
      <c r="L10410" s="912"/>
      <c r="M10410" s="912"/>
      <c r="N10410" s="912"/>
      <c r="O10410" s="892">
        <f t="shared" si="829"/>
        <v>0</v>
      </c>
      <c r="P10410" s="903">
        <f t="shared" si="826"/>
        <v>1</v>
      </c>
      <c r="Q10410" s="893">
        <f t="shared" si="827"/>
        <v>7</v>
      </c>
      <c r="R10410" s="894">
        <f t="shared" si="828"/>
        <v>0</v>
      </c>
    </row>
    <row r="10411" spans="1:18">
      <c r="A10411" s="905"/>
      <c r="B10411" s="946"/>
      <c r="C10411" s="907">
        <v>699</v>
      </c>
      <c r="D10411" s="907" t="s">
        <v>279</v>
      </c>
      <c r="E10411" s="992" t="s">
        <v>4006</v>
      </c>
      <c r="F10411" s="905" t="s">
        <v>4007</v>
      </c>
      <c r="G10411" s="1005"/>
      <c r="H10411" s="911">
        <v>5</v>
      </c>
      <c r="I10411" s="912">
        <f>VLOOKUP(E10411,[3]VLP!$B$7:$K$300,10,0)</f>
        <v>5000</v>
      </c>
      <c r="J10411" s="912">
        <f t="shared" si="830"/>
        <v>25000</v>
      </c>
      <c r="K10411" s="912" t="s">
        <v>274</v>
      </c>
      <c r="L10411" s="912"/>
      <c r="M10411" s="912"/>
      <c r="N10411" s="912"/>
      <c r="O10411" s="892">
        <f t="shared" si="829"/>
        <v>0</v>
      </c>
      <c r="P10411" s="903">
        <f t="shared" si="826"/>
        <v>1</v>
      </c>
      <c r="Q10411" s="893">
        <f t="shared" si="827"/>
        <v>6</v>
      </c>
      <c r="R10411" s="894">
        <f t="shared" si="828"/>
        <v>0</v>
      </c>
    </row>
    <row r="10412" spans="1:18" s="904" customFormat="1">
      <c r="A10412" s="895"/>
      <c r="B10412" s="896"/>
      <c r="C10412" s="897"/>
      <c r="D10412" s="897"/>
      <c r="E10412" s="1002" t="s">
        <v>276</v>
      </c>
      <c r="F10412" s="1003"/>
      <c r="G10412" s="1004"/>
      <c r="H10412" s="901"/>
      <c r="I10412" s="902"/>
      <c r="J10412" s="902"/>
      <c r="K10412" s="912" t="s">
        <v>274</v>
      </c>
      <c r="L10412" s="902"/>
      <c r="M10412" s="902"/>
      <c r="N10412" s="902"/>
      <c r="O10412" s="892">
        <f t="shared" si="829"/>
        <v>0</v>
      </c>
      <c r="P10412" s="903">
        <f t="shared" si="826"/>
        <v>1</v>
      </c>
      <c r="Q10412" s="893">
        <f t="shared" si="827"/>
        <v>5</v>
      </c>
      <c r="R10412" s="894">
        <f t="shared" si="828"/>
        <v>0</v>
      </c>
    </row>
    <row r="10413" spans="1:18">
      <c r="A10413" s="905"/>
      <c r="B10413" s="952"/>
      <c r="C10413" s="907">
        <v>740</v>
      </c>
      <c r="D10413" s="907" t="s">
        <v>12</v>
      </c>
      <c r="E10413" s="992" t="s">
        <v>4008</v>
      </c>
      <c r="F10413" s="905" t="s">
        <v>2674</v>
      </c>
      <c r="G10413" s="1005"/>
      <c r="H10413" s="911">
        <v>11</v>
      </c>
      <c r="I10413" s="912"/>
      <c r="J10413" s="912"/>
      <c r="K10413" s="912">
        <f>VLOOKUP(E10413,[5]ĐMNC!$A$7:$F$67,4,0)</f>
        <v>221125</v>
      </c>
      <c r="L10413" s="912">
        <f>H10413*K10413</f>
        <v>2432375</v>
      </c>
      <c r="M10413" s="912"/>
      <c r="N10413" s="912"/>
      <c r="O10413" s="892">
        <f t="shared" si="829"/>
        <v>0</v>
      </c>
      <c r="P10413" s="903">
        <f t="shared" si="826"/>
        <v>1</v>
      </c>
      <c r="Q10413" s="893">
        <f t="shared" si="827"/>
        <v>4</v>
      </c>
      <c r="R10413" s="894">
        <f t="shared" si="828"/>
        <v>0</v>
      </c>
    </row>
    <row r="10414" spans="1:18" s="847" customFormat="1">
      <c r="A10414" s="895"/>
      <c r="B10414" s="896"/>
      <c r="C10414" s="897"/>
      <c r="D10414" s="897"/>
      <c r="E10414" s="1002" t="s">
        <v>3914</v>
      </c>
      <c r="F10414" s="1003"/>
      <c r="G10414" s="1004"/>
      <c r="H10414" s="901"/>
      <c r="I10414" s="902"/>
      <c r="J10414" s="902"/>
      <c r="K10414" s="912" t="s">
        <v>274</v>
      </c>
      <c r="L10414" s="902"/>
      <c r="M10414" s="902"/>
      <c r="N10414" s="902"/>
      <c r="O10414" s="892">
        <f t="shared" si="829"/>
        <v>0</v>
      </c>
      <c r="P10414" s="903">
        <f t="shared" si="826"/>
        <v>1</v>
      </c>
      <c r="Q10414" s="893">
        <f t="shared" si="827"/>
        <v>3</v>
      </c>
      <c r="R10414" s="894">
        <f t="shared" si="828"/>
        <v>0</v>
      </c>
    </row>
    <row r="10415" spans="1:18" s="904" customFormat="1">
      <c r="A10415" s="905"/>
      <c r="B10415" s="952" t="s">
        <v>6332</v>
      </c>
      <c r="C10415" s="907">
        <v>901</v>
      </c>
      <c r="D10415" s="907" t="s">
        <v>93</v>
      </c>
      <c r="E10415" s="992" t="s">
        <v>6333</v>
      </c>
      <c r="F10415" s="905" t="s">
        <v>2673</v>
      </c>
      <c r="G10415" s="1005"/>
      <c r="H10415" s="911">
        <v>0.5</v>
      </c>
      <c r="I10415" s="912"/>
      <c r="J10415" s="912"/>
      <c r="K10415" s="912"/>
      <c r="L10415" s="912"/>
      <c r="M10415" s="912">
        <f>VLOOKUP(B10415,MTC!$B$9:$S$933,12,0)</f>
        <v>1967433</v>
      </c>
      <c r="N10415" s="912">
        <f>M10415*H10415</f>
        <v>983716.5</v>
      </c>
      <c r="O10415" s="892">
        <f t="shared" si="829"/>
        <v>0</v>
      </c>
      <c r="P10415" s="903">
        <f t="shared" si="826"/>
        <v>1</v>
      </c>
      <c r="Q10415" s="893">
        <f t="shared" si="827"/>
        <v>2</v>
      </c>
      <c r="R10415" s="894">
        <f t="shared" si="828"/>
        <v>0</v>
      </c>
    </row>
    <row r="10416" spans="1:18">
      <c r="A10416" s="905"/>
      <c r="B10416" s="952" t="s">
        <v>4993</v>
      </c>
      <c r="C10416" s="907">
        <v>904</v>
      </c>
      <c r="D10416" s="907" t="s">
        <v>93</v>
      </c>
      <c r="E10416" s="992" t="s">
        <v>4994</v>
      </c>
      <c r="F10416" s="905" t="s">
        <v>2673</v>
      </c>
      <c r="G10416" s="1005"/>
      <c r="H10416" s="911">
        <v>0.2</v>
      </c>
      <c r="I10416" s="912"/>
      <c r="J10416" s="912"/>
      <c r="K10416" s="912"/>
      <c r="L10416" s="912"/>
      <c r="M10416" s="912">
        <f>VLOOKUP(B10416,MTC!$B$9:$S$933,12,0)</f>
        <v>1393090</v>
      </c>
      <c r="N10416" s="912">
        <f>M10416*H10416</f>
        <v>278618</v>
      </c>
      <c r="O10416" s="892">
        <f t="shared" si="829"/>
        <v>0</v>
      </c>
      <c r="P10416" s="903">
        <f t="shared" si="826"/>
        <v>1</v>
      </c>
      <c r="Q10416" s="893">
        <f t="shared" si="827"/>
        <v>1</v>
      </c>
      <c r="R10416" s="894">
        <f t="shared" si="828"/>
        <v>0</v>
      </c>
    </row>
    <row r="10417" spans="1:18" s="904" customFormat="1">
      <c r="A10417" s="905">
        <v>166</v>
      </c>
      <c r="B10417" s="914" t="s">
        <v>6687</v>
      </c>
      <c r="C10417" s="915"/>
      <c r="D10417" s="915"/>
      <c r="E10417" s="1006" t="s">
        <v>6688</v>
      </c>
      <c r="F10417" s="1007" t="s">
        <v>139</v>
      </c>
      <c r="G10417" s="1008"/>
      <c r="H10417" s="919"/>
      <c r="I10417" s="920"/>
      <c r="J10417" s="891">
        <f>SUM(J10418:J10429)</f>
        <v>83896.5</v>
      </c>
      <c r="K10417" s="891"/>
      <c r="L10417" s="891">
        <f>SUM(L10418:L10429)</f>
        <v>2113955</v>
      </c>
      <c r="M10417" s="891"/>
      <c r="N10417" s="891">
        <f>SUM(N10418:N10429)</f>
        <v>926282.20000000007</v>
      </c>
      <c r="O10417" s="892">
        <f t="shared" si="829"/>
        <v>1</v>
      </c>
      <c r="P10417" s="903">
        <f t="shared" si="826"/>
        <v>0</v>
      </c>
      <c r="Q10417" s="893">
        <f t="shared" si="827"/>
        <v>0</v>
      </c>
      <c r="R10417" s="894">
        <f t="shared" si="828"/>
        <v>12</v>
      </c>
    </row>
    <row r="10418" spans="1:18">
      <c r="A10418" s="895"/>
      <c r="B10418" s="896"/>
      <c r="C10418" s="897"/>
      <c r="D10418" s="897"/>
      <c r="E10418" s="1002" t="s">
        <v>108</v>
      </c>
      <c r="F10418" s="1003"/>
      <c r="G10418" s="1004"/>
      <c r="H10418" s="901"/>
      <c r="I10418" s="902"/>
      <c r="J10418" s="902"/>
      <c r="K10418" s="912" t="s">
        <v>274</v>
      </c>
      <c r="L10418" s="902"/>
      <c r="M10418" s="902"/>
      <c r="N10418" s="902"/>
      <c r="O10418" s="892">
        <f t="shared" si="829"/>
        <v>0</v>
      </c>
      <c r="P10418" s="903">
        <f t="shared" si="826"/>
        <v>1</v>
      </c>
      <c r="Q10418" s="893">
        <f t="shared" si="827"/>
        <v>12</v>
      </c>
      <c r="R10418" s="894">
        <f t="shared" si="828"/>
        <v>0</v>
      </c>
    </row>
    <row r="10419" spans="1:18" s="847" customFormat="1">
      <c r="A10419" s="905"/>
      <c r="B10419" s="952"/>
      <c r="C10419" s="907">
        <v>212</v>
      </c>
      <c r="D10419" s="907" t="s">
        <v>279</v>
      </c>
      <c r="E10419" s="992" t="s">
        <v>2681</v>
      </c>
      <c r="F10419" s="905" t="s">
        <v>45</v>
      </c>
      <c r="G10419" s="1005"/>
      <c r="H10419" s="911">
        <v>0.3</v>
      </c>
      <c r="I10419" s="912">
        <f>VLOOKUP(E10419,[3]VLP!$B$7:$K$300,10,0)</f>
        <v>23000</v>
      </c>
      <c r="J10419" s="912">
        <f t="shared" ref="J10419:J10424" si="831">I10419*H10419</f>
        <v>6900</v>
      </c>
      <c r="K10419" s="912" t="s">
        <v>274</v>
      </c>
      <c r="L10419" s="912"/>
      <c r="M10419" s="912"/>
      <c r="N10419" s="912"/>
      <c r="O10419" s="892">
        <f t="shared" si="829"/>
        <v>0</v>
      </c>
      <c r="P10419" s="903">
        <f t="shared" ref="P10419:P10482" si="832">IF(O10419=0,1,0)</f>
        <v>1</v>
      </c>
      <c r="Q10419" s="893">
        <f t="shared" ref="Q10419:Q10482" si="833">IF(P10419=0,0,P10419+Q10420)</f>
        <v>11</v>
      </c>
      <c r="R10419" s="894">
        <f t="shared" ref="R10419:R10482" si="834">IF(Q10419=0,Q10420,0)</f>
        <v>0</v>
      </c>
    </row>
    <row r="10420" spans="1:18" s="904" customFormat="1">
      <c r="A10420" s="905"/>
      <c r="B10420" s="952"/>
      <c r="C10420" s="907">
        <v>318</v>
      </c>
      <c r="D10420" s="907" t="s">
        <v>279</v>
      </c>
      <c r="E10420" s="992" t="s">
        <v>5657</v>
      </c>
      <c r="F10420" s="905" t="s">
        <v>45</v>
      </c>
      <c r="G10420" s="1005"/>
      <c r="H10420" s="911">
        <v>0.3</v>
      </c>
      <c r="I10420" s="912">
        <f>VLOOKUP(E10420,[3]VLP!$B$7:$K$300,10,0)</f>
        <v>25155</v>
      </c>
      <c r="J10420" s="912">
        <f t="shared" si="831"/>
        <v>7546.5</v>
      </c>
      <c r="K10420" s="912" t="s">
        <v>274</v>
      </c>
      <c r="L10420" s="912"/>
      <c r="M10420" s="912"/>
      <c r="N10420" s="912"/>
      <c r="O10420" s="892">
        <f t="shared" si="829"/>
        <v>0</v>
      </c>
      <c r="P10420" s="903">
        <f t="shared" si="832"/>
        <v>1</v>
      </c>
      <c r="Q10420" s="893">
        <f t="shared" si="833"/>
        <v>10</v>
      </c>
      <c r="R10420" s="894">
        <f t="shared" si="834"/>
        <v>0</v>
      </c>
    </row>
    <row r="10421" spans="1:18">
      <c r="A10421" s="905"/>
      <c r="B10421" s="952"/>
      <c r="C10421" s="907">
        <v>289</v>
      </c>
      <c r="D10421" s="907" t="s">
        <v>279</v>
      </c>
      <c r="E10421" s="992" t="s">
        <v>3147</v>
      </c>
      <c r="F10421" s="905" t="s">
        <v>45</v>
      </c>
      <c r="G10421" s="1005"/>
      <c r="H10421" s="911">
        <v>0.11</v>
      </c>
      <c r="I10421" s="912">
        <f>VLOOKUP(E10421,[3]VLP!$B$7:$K$300,10,0)</f>
        <v>45000</v>
      </c>
      <c r="J10421" s="912">
        <f t="shared" si="831"/>
        <v>4950</v>
      </c>
      <c r="K10421" s="912" t="s">
        <v>274</v>
      </c>
      <c r="L10421" s="912"/>
      <c r="M10421" s="912"/>
      <c r="N10421" s="912"/>
      <c r="O10421" s="892">
        <f t="shared" si="829"/>
        <v>0</v>
      </c>
      <c r="P10421" s="903">
        <f t="shared" si="832"/>
        <v>1</v>
      </c>
      <c r="Q10421" s="893">
        <f t="shared" si="833"/>
        <v>9</v>
      </c>
      <c r="R10421" s="894">
        <f t="shared" si="834"/>
        <v>0</v>
      </c>
    </row>
    <row r="10422" spans="1:18" s="904" customFormat="1">
      <c r="A10422" s="905"/>
      <c r="B10422" s="952"/>
      <c r="C10422" s="907">
        <v>234</v>
      </c>
      <c r="D10422" s="907" t="s">
        <v>279</v>
      </c>
      <c r="E10422" s="992" t="s">
        <v>5983</v>
      </c>
      <c r="F10422" s="905" t="s">
        <v>3144</v>
      </c>
      <c r="G10422" s="1005"/>
      <c r="H10422" s="911">
        <v>2</v>
      </c>
      <c r="I10422" s="912">
        <f>VLOOKUP(E10422,[3]VLP!$B$7:$K$300,10,0)</f>
        <v>14000</v>
      </c>
      <c r="J10422" s="912">
        <f t="shared" si="831"/>
        <v>28000</v>
      </c>
      <c r="K10422" s="912" t="s">
        <v>274</v>
      </c>
      <c r="L10422" s="912"/>
      <c r="M10422" s="912"/>
      <c r="N10422" s="912"/>
      <c r="O10422" s="892">
        <f t="shared" si="829"/>
        <v>0</v>
      </c>
      <c r="P10422" s="903">
        <f t="shared" si="832"/>
        <v>1</v>
      </c>
      <c r="Q10422" s="893">
        <f t="shared" si="833"/>
        <v>8</v>
      </c>
      <c r="R10422" s="894">
        <f t="shared" si="834"/>
        <v>0</v>
      </c>
    </row>
    <row r="10423" spans="1:18">
      <c r="A10423" s="905"/>
      <c r="B10423" s="952"/>
      <c r="C10423" s="907">
        <v>235</v>
      </c>
      <c r="D10423" s="907" t="s">
        <v>279</v>
      </c>
      <c r="E10423" s="992" t="s">
        <v>2682</v>
      </c>
      <c r="F10423" s="905" t="s">
        <v>45</v>
      </c>
      <c r="G10423" s="1005"/>
      <c r="H10423" s="911">
        <v>2.2999999999999998</v>
      </c>
      <c r="I10423" s="912">
        <f>VLOOKUP(E10423,[3]VLP!$B$7:$K$300,10,0)</f>
        <v>5000</v>
      </c>
      <c r="J10423" s="912">
        <f t="shared" si="831"/>
        <v>11500</v>
      </c>
      <c r="K10423" s="912" t="s">
        <v>274</v>
      </c>
      <c r="L10423" s="912"/>
      <c r="M10423" s="912"/>
      <c r="N10423" s="912"/>
      <c r="O10423" s="892">
        <f t="shared" si="829"/>
        <v>0</v>
      </c>
      <c r="P10423" s="903">
        <f t="shared" si="832"/>
        <v>1</v>
      </c>
      <c r="Q10423" s="893">
        <f t="shared" si="833"/>
        <v>7</v>
      </c>
      <c r="R10423" s="894">
        <f t="shared" si="834"/>
        <v>0</v>
      </c>
    </row>
    <row r="10424" spans="1:18" s="847" customFormat="1">
      <c r="A10424" s="905"/>
      <c r="B10424" s="952"/>
      <c r="C10424" s="907">
        <v>699</v>
      </c>
      <c r="D10424" s="907" t="s">
        <v>279</v>
      </c>
      <c r="E10424" s="992" t="s">
        <v>4006</v>
      </c>
      <c r="F10424" s="905" t="s">
        <v>4007</v>
      </c>
      <c r="G10424" s="1005"/>
      <c r="H10424" s="911">
        <v>5</v>
      </c>
      <c r="I10424" s="912">
        <f>VLOOKUP(E10424,[3]VLP!$B$7:$K$300,10,0)</f>
        <v>5000</v>
      </c>
      <c r="J10424" s="912">
        <f t="shared" si="831"/>
        <v>25000</v>
      </c>
      <c r="K10424" s="912" t="s">
        <v>274</v>
      </c>
      <c r="L10424" s="912"/>
      <c r="M10424" s="912"/>
      <c r="N10424" s="912"/>
      <c r="O10424" s="892">
        <f t="shared" si="829"/>
        <v>0</v>
      </c>
      <c r="P10424" s="903">
        <f t="shared" si="832"/>
        <v>1</v>
      </c>
      <c r="Q10424" s="893">
        <f t="shared" si="833"/>
        <v>6</v>
      </c>
      <c r="R10424" s="894">
        <f t="shared" si="834"/>
        <v>0</v>
      </c>
    </row>
    <row r="10425" spans="1:18" s="904" customFormat="1">
      <c r="A10425" s="895"/>
      <c r="B10425" s="896"/>
      <c r="C10425" s="897"/>
      <c r="D10425" s="897"/>
      <c r="E10425" s="1002" t="s">
        <v>276</v>
      </c>
      <c r="F10425" s="1003"/>
      <c r="G10425" s="1004"/>
      <c r="H10425" s="901"/>
      <c r="I10425" s="902"/>
      <c r="J10425" s="902"/>
      <c r="K10425" s="912" t="s">
        <v>274</v>
      </c>
      <c r="L10425" s="902"/>
      <c r="M10425" s="902"/>
      <c r="N10425" s="902"/>
      <c r="O10425" s="892">
        <f t="shared" si="829"/>
        <v>0</v>
      </c>
      <c r="P10425" s="903">
        <f t="shared" si="832"/>
        <v>1</v>
      </c>
      <c r="Q10425" s="893">
        <f t="shared" si="833"/>
        <v>5</v>
      </c>
      <c r="R10425" s="894">
        <f t="shared" si="834"/>
        <v>0</v>
      </c>
    </row>
    <row r="10426" spans="1:18">
      <c r="A10426" s="905"/>
      <c r="B10426" s="952"/>
      <c r="C10426" s="907">
        <v>740</v>
      </c>
      <c r="D10426" s="907" t="s">
        <v>12</v>
      </c>
      <c r="E10426" s="992" t="s">
        <v>4008</v>
      </c>
      <c r="F10426" s="905" t="s">
        <v>2674</v>
      </c>
      <c r="G10426" s="1005"/>
      <c r="H10426" s="911">
        <v>9.56</v>
      </c>
      <c r="I10426" s="912"/>
      <c r="J10426" s="912"/>
      <c r="K10426" s="912">
        <f>VLOOKUP(E10426,[5]ĐMNC!$A$7:$F$67,4,0)</f>
        <v>221125</v>
      </c>
      <c r="L10426" s="912">
        <f>H10426*K10426</f>
        <v>2113955</v>
      </c>
      <c r="M10426" s="912"/>
      <c r="N10426" s="912"/>
      <c r="O10426" s="892">
        <f t="shared" si="829"/>
        <v>0</v>
      </c>
      <c r="P10426" s="903">
        <f t="shared" si="832"/>
        <v>1</v>
      </c>
      <c r="Q10426" s="893">
        <f t="shared" si="833"/>
        <v>4</v>
      </c>
      <c r="R10426" s="894">
        <f t="shared" si="834"/>
        <v>0</v>
      </c>
    </row>
    <row r="10427" spans="1:18" s="904" customFormat="1">
      <c r="A10427" s="895"/>
      <c r="B10427" s="896"/>
      <c r="C10427" s="897"/>
      <c r="D10427" s="897"/>
      <c r="E10427" s="1002" t="s">
        <v>3914</v>
      </c>
      <c r="F10427" s="1003"/>
      <c r="G10427" s="1004"/>
      <c r="H10427" s="901"/>
      <c r="I10427" s="902"/>
      <c r="J10427" s="902"/>
      <c r="K10427" s="912" t="s">
        <v>274</v>
      </c>
      <c r="L10427" s="902"/>
      <c r="M10427" s="902"/>
      <c r="N10427" s="902"/>
      <c r="O10427" s="892">
        <f t="shared" si="829"/>
        <v>0</v>
      </c>
      <c r="P10427" s="903">
        <f t="shared" si="832"/>
        <v>1</v>
      </c>
      <c r="Q10427" s="893">
        <f t="shared" si="833"/>
        <v>3</v>
      </c>
      <c r="R10427" s="894">
        <f t="shared" si="834"/>
        <v>0</v>
      </c>
    </row>
    <row r="10428" spans="1:18">
      <c r="A10428" s="905"/>
      <c r="B10428" s="952" t="s">
        <v>6332</v>
      </c>
      <c r="C10428" s="907">
        <v>901</v>
      </c>
      <c r="D10428" s="907" t="s">
        <v>93</v>
      </c>
      <c r="E10428" s="992" t="s">
        <v>6333</v>
      </c>
      <c r="F10428" s="905" t="s">
        <v>2673</v>
      </c>
      <c r="G10428" s="1005"/>
      <c r="H10428" s="911">
        <v>0.4</v>
      </c>
      <c r="I10428" s="912"/>
      <c r="J10428" s="912"/>
      <c r="K10428" s="912"/>
      <c r="L10428" s="912"/>
      <c r="M10428" s="912">
        <f>VLOOKUP(B10428,MTC!$B$9:$S$933,12,0)</f>
        <v>1967433</v>
      </c>
      <c r="N10428" s="912">
        <f>M10428*H10428</f>
        <v>786973.20000000007</v>
      </c>
      <c r="O10428" s="892">
        <f t="shared" si="829"/>
        <v>0</v>
      </c>
      <c r="P10428" s="903">
        <f t="shared" si="832"/>
        <v>1</v>
      </c>
      <c r="Q10428" s="893">
        <f t="shared" si="833"/>
        <v>2</v>
      </c>
      <c r="R10428" s="894">
        <f t="shared" si="834"/>
        <v>0</v>
      </c>
    </row>
    <row r="10429" spans="1:18" s="847" customFormat="1">
      <c r="A10429" s="905"/>
      <c r="B10429" s="952" t="s">
        <v>4993</v>
      </c>
      <c r="C10429" s="907">
        <v>904</v>
      </c>
      <c r="D10429" s="907" t="s">
        <v>93</v>
      </c>
      <c r="E10429" s="992" t="s">
        <v>4994</v>
      </c>
      <c r="F10429" s="905" t="s">
        <v>2673</v>
      </c>
      <c r="G10429" s="1005"/>
      <c r="H10429" s="911">
        <v>0.1</v>
      </c>
      <c r="I10429" s="912"/>
      <c r="J10429" s="912"/>
      <c r="K10429" s="912"/>
      <c r="L10429" s="912"/>
      <c r="M10429" s="912">
        <f>VLOOKUP(B10429,MTC!$B$9:$S$933,12,0)</f>
        <v>1393090</v>
      </c>
      <c r="N10429" s="912">
        <f>M10429*H10429</f>
        <v>139309</v>
      </c>
      <c r="O10429" s="892">
        <f t="shared" si="829"/>
        <v>0</v>
      </c>
      <c r="P10429" s="903">
        <f t="shared" si="832"/>
        <v>1</v>
      </c>
      <c r="Q10429" s="893">
        <f t="shared" si="833"/>
        <v>1</v>
      </c>
      <c r="R10429" s="894">
        <f t="shared" si="834"/>
        <v>0</v>
      </c>
    </row>
    <row r="10430" spans="1:18" s="904" customFormat="1">
      <c r="A10430" s="905">
        <v>167</v>
      </c>
      <c r="B10430" s="914" t="s">
        <v>6689</v>
      </c>
      <c r="C10430" s="915"/>
      <c r="D10430" s="915"/>
      <c r="E10430" s="1006" t="s">
        <v>6690</v>
      </c>
      <c r="F10430" s="1007" t="s">
        <v>139</v>
      </c>
      <c r="G10430" s="1008"/>
      <c r="H10430" s="919"/>
      <c r="I10430" s="920"/>
      <c r="J10430" s="891">
        <f>SUM(J10431:J10442)</f>
        <v>59281</v>
      </c>
      <c r="K10430" s="891"/>
      <c r="L10430" s="891">
        <f>SUM(L10431:L10442)</f>
        <v>1658437.5</v>
      </c>
      <c r="M10430" s="891"/>
      <c r="N10430" s="891">
        <f>SUM(N10431:N10442)</f>
        <v>581889.39999999991</v>
      </c>
      <c r="O10430" s="892">
        <f t="shared" si="829"/>
        <v>1</v>
      </c>
      <c r="P10430" s="903">
        <f t="shared" si="832"/>
        <v>0</v>
      </c>
      <c r="Q10430" s="893">
        <f t="shared" si="833"/>
        <v>0</v>
      </c>
      <c r="R10430" s="894">
        <f t="shared" si="834"/>
        <v>12</v>
      </c>
    </row>
    <row r="10431" spans="1:18">
      <c r="A10431" s="895"/>
      <c r="B10431" s="896"/>
      <c r="C10431" s="897"/>
      <c r="D10431" s="897"/>
      <c r="E10431" s="1002" t="s">
        <v>108</v>
      </c>
      <c r="F10431" s="1003"/>
      <c r="G10431" s="1004"/>
      <c r="H10431" s="901"/>
      <c r="I10431" s="902"/>
      <c r="J10431" s="902"/>
      <c r="K10431" s="912" t="s">
        <v>274</v>
      </c>
      <c r="L10431" s="902"/>
      <c r="M10431" s="902"/>
      <c r="N10431" s="902"/>
      <c r="O10431" s="892">
        <f t="shared" si="829"/>
        <v>0</v>
      </c>
      <c r="P10431" s="903">
        <f t="shared" si="832"/>
        <v>1</v>
      </c>
      <c r="Q10431" s="893">
        <f t="shared" si="833"/>
        <v>12</v>
      </c>
      <c r="R10431" s="894">
        <f t="shared" si="834"/>
        <v>0</v>
      </c>
    </row>
    <row r="10432" spans="1:18" s="904" customFormat="1">
      <c r="A10432" s="905"/>
      <c r="B10432" s="952"/>
      <c r="C10432" s="907">
        <v>212</v>
      </c>
      <c r="D10432" s="907" t="s">
        <v>279</v>
      </c>
      <c r="E10432" s="992" t="s">
        <v>2681</v>
      </c>
      <c r="F10432" s="905" t="s">
        <v>45</v>
      </c>
      <c r="G10432" s="1005"/>
      <c r="H10432" s="911">
        <v>0.2</v>
      </c>
      <c r="I10432" s="912">
        <f>VLOOKUP(E10432,[3]VLP!$B$7:$K$300,10,0)</f>
        <v>23000</v>
      </c>
      <c r="J10432" s="912">
        <f t="shared" ref="J10432:J10437" si="835">I10432*H10432</f>
        <v>4600</v>
      </c>
      <c r="K10432" s="912" t="s">
        <v>274</v>
      </c>
      <c r="L10432" s="912"/>
      <c r="M10432" s="912"/>
      <c r="N10432" s="912"/>
      <c r="O10432" s="892">
        <f t="shared" si="829"/>
        <v>0</v>
      </c>
      <c r="P10432" s="903">
        <f t="shared" si="832"/>
        <v>1</v>
      </c>
      <c r="Q10432" s="893">
        <f t="shared" si="833"/>
        <v>11</v>
      </c>
      <c r="R10432" s="894">
        <f t="shared" si="834"/>
        <v>0</v>
      </c>
    </row>
    <row r="10433" spans="1:18">
      <c r="A10433" s="905"/>
      <c r="B10433" s="952"/>
      <c r="C10433" s="907">
        <v>318</v>
      </c>
      <c r="D10433" s="907" t="s">
        <v>279</v>
      </c>
      <c r="E10433" s="992" t="s">
        <v>5657</v>
      </c>
      <c r="F10433" s="905" t="s">
        <v>45</v>
      </c>
      <c r="G10433" s="1005"/>
      <c r="H10433" s="911">
        <v>0.2</v>
      </c>
      <c r="I10433" s="912">
        <f>VLOOKUP(E10433,[3]VLP!$B$7:$K$300,10,0)</f>
        <v>25155</v>
      </c>
      <c r="J10433" s="912">
        <f t="shared" si="835"/>
        <v>5031</v>
      </c>
      <c r="K10433" s="912" t="s">
        <v>274</v>
      </c>
      <c r="L10433" s="912"/>
      <c r="M10433" s="912"/>
      <c r="N10433" s="912"/>
      <c r="O10433" s="892">
        <f t="shared" si="829"/>
        <v>0</v>
      </c>
      <c r="P10433" s="903">
        <f t="shared" si="832"/>
        <v>1</v>
      </c>
      <c r="Q10433" s="893">
        <f t="shared" si="833"/>
        <v>10</v>
      </c>
      <c r="R10433" s="894">
        <f t="shared" si="834"/>
        <v>0</v>
      </c>
    </row>
    <row r="10434" spans="1:18" s="847" customFormat="1">
      <c r="A10434" s="905"/>
      <c r="B10434" s="952"/>
      <c r="C10434" s="907">
        <v>289</v>
      </c>
      <c r="D10434" s="907" t="s">
        <v>279</v>
      </c>
      <c r="E10434" s="992" t="s">
        <v>3147</v>
      </c>
      <c r="F10434" s="905" t="s">
        <v>45</v>
      </c>
      <c r="G10434" s="1005"/>
      <c r="H10434" s="911">
        <v>7.0000000000000007E-2</v>
      </c>
      <c r="I10434" s="912">
        <f>VLOOKUP(E10434,[3]VLP!$B$7:$K$300,10,0)</f>
        <v>45000</v>
      </c>
      <c r="J10434" s="912">
        <f t="shared" si="835"/>
        <v>3150.0000000000005</v>
      </c>
      <c r="K10434" s="912" t="s">
        <v>274</v>
      </c>
      <c r="L10434" s="912"/>
      <c r="M10434" s="912"/>
      <c r="N10434" s="912"/>
      <c r="O10434" s="892">
        <f t="shared" si="829"/>
        <v>0</v>
      </c>
      <c r="P10434" s="903">
        <f t="shared" si="832"/>
        <v>1</v>
      </c>
      <c r="Q10434" s="893">
        <f t="shared" si="833"/>
        <v>9</v>
      </c>
      <c r="R10434" s="894">
        <f t="shared" si="834"/>
        <v>0</v>
      </c>
    </row>
    <row r="10435" spans="1:18" s="904" customFormat="1">
      <c r="A10435" s="905"/>
      <c r="B10435" s="952"/>
      <c r="C10435" s="907">
        <v>234</v>
      </c>
      <c r="D10435" s="907" t="s">
        <v>279</v>
      </c>
      <c r="E10435" s="992" t="s">
        <v>5983</v>
      </c>
      <c r="F10435" s="905" t="s">
        <v>3144</v>
      </c>
      <c r="G10435" s="1005"/>
      <c r="H10435" s="911">
        <v>1</v>
      </c>
      <c r="I10435" s="912">
        <f>VLOOKUP(E10435,[3]VLP!$B$7:$K$300,10,0)</f>
        <v>14000</v>
      </c>
      <c r="J10435" s="912">
        <f t="shared" si="835"/>
        <v>14000</v>
      </c>
      <c r="K10435" s="912" t="s">
        <v>274</v>
      </c>
      <c r="L10435" s="912"/>
      <c r="M10435" s="912"/>
      <c r="N10435" s="912"/>
      <c r="O10435" s="892">
        <f t="shared" si="829"/>
        <v>0</v>
      </c>
      <c r="P10435" s="903">
        <f t="shared" si="832"/>
        <v>1</v>
      </c>
      <c r="Q10435" s="893">
        <f t="shared" si="833"/>
        <v>8</v>
      </c>
      <c r="R10435" s="894">
        <f t="shared" si="834"/>
        <v>0</v>
      </c>
    </row>
    <row r="10436" spans="1:18">
      <c r="A10436" s="905"/>
      <c r="B10436" s="952"/>
      <c r="C10436" s="907">
        <v>235</v>
      </c>
      <c r="D10436" s="907" t="s">
        <v>279</v>
      </c>
      <c r="E10436" s="992" t="s">
        <v>2682</v>
      </c>
      <c r="F10436" s="905" t="s">
        <v>45</v>
      </c>
      <c r="G10436" s="1005"/>
      <c r="H10436" s="911">
        <v>1.5</v>
      </c>
      <c r="I10436" s="912">
        <f>VLOOKUP(E10436,[3]VLP!$B$7:$K$300,10,0)</f>
        <v>5000</v>
      </c>
      <c r="J10436" s="912">
        <f t="shared" si="835"/>
        <v>7500</v>
      </c>
      <c r="K10436" s="912" t="s">
        <v>274</v>
      </c>
      <c r="L10436" s="912"/>
      <c r="M10436" s="912"/>
      <c r="N10436" s="912"/>
      <c r="O10436" s="892">
        <f t="shared" si="829"/>
        <v>0</v>
      </c>
      <c r="P10436" s="903">
        <f t="shared" si="832"/>
        <v>1</v>
      </c>
      <c r="Q10436" s="893">
        <f t="shared" si="833"/>
        <v>7</v>
      </c>
      <c r="R10436" s="894">
        <f t="shared" si="834"/>
        <v>0</v>
      </c>
    </row>
    <row r="10437" spans="1:18" s="904" customFormat="1">
      <c r="A10437" s="905"/>
      <c r="B10437" s="952"/>
      <c r="C10437" s="907">
        <v>699</v>
      </c>
      <c r="D10437" s="907" t="s">
        <v>279</v>
      </c>
      <c r="E10437" s="992" t="s">
        <v>4006</v>
      </c>
      <c r="F10437" s="905" t="s">
        <v>4007</v>
      </c>
      <c r="G10437" s="1005"/>
      <c r="H10437" s="911">
        <v>5</v>
      </c>
      <c r="I10437" s="912">
        <f>VLOOKUP(E10437,[3]VLP!$B$7:$K$300,10,0)</f>
        <v>5000</v>
      </c>
      <c r="J10437" s="912">
        <f t="shared" si="835"/>
        <v>25000</v>
      </c>
      <c r="K10437" s="912" t="s">
        <v>274</v>
      </c>
      <c r="L10437" s="912"/>
      <c r="M10437" s="912"/>
      <c r="N10437" s="912"/>
      <c r="O10437" s="892">
        <f t="shared" si="829"/>
        <v>0</v>
      </c>
      <c r="P10437" s="903">
        <f t="shared" si="832"/>
        <v>1</v>
      </c>
      <c r="Q10437" s="893">
        <f t="shared" si="833"/>
        <v>6</v>
      </c>
      <c r="R10437" s="894">
        <f t="shared" si="834"/>
        <v>0</v>
      </c>
    </row>
    <row r="10438" spans="1:18">
      <c r="A10438" s="895"/>
      <c r="B10438" s="896"/>
      <c r="C10438" s="897"/>
      <c r="D10438" s="897"/>
      <c r="E10438" s="1002" t="s">
        <v>276</v>
      </c>
      <c r="F10438" s="1003"/>
      <c r="G10438" s="1004"/>
      <c r="H10438" s="901"/>
      <c r="I10438" s="902"/>
      <c r="J10438" s="902"/>
      <c r="K10438" s="912" t="s">
        <v>274</v>
      </c>
      <c r="L10438" s="902"/>
      <c r="M10438" s="902"/>
      <c r="N10438" s="902"/>
      <c r="O10438" s="892">
        <f t="shared" si="829"/>
        <v>0</v>
      </c>
      <c r="P10438" s="903">
        <f t="shared" si="832"/>
        <v>1</v>
      </c>
      <c r="Q10438" s="893">
        <f t="shared" si="833"/>
        <v>5</v>
      </c>
      <c r="R10438" s="894">
        <f t="shared" si="834"/>
        <v>0</v>
      </c>
    </row>
    <row r="10439" spans="1:18" s="847" customFormat="1">
      <c r="A10439" s="905"/>
      <c r="B10439" s="952"/>
      <c r="C10439" s="907">
        <v>740</v>
      </c>
      <c r="D10439" s="907" t="s">
        <v>12</v>
      </c>
      <c r="E10439" s="992" t="s">
        <v>4008</v>
      </c>
      <c r="F10439" s="905" t="s">
        <v>2674</v>
      </c>
      <c r="G10439" s="1005"/>
      <c r="H10439" s="911">
        <v>7.5</v>
      </c>
      <c r="I10439" s="912"/>
      <c r="J10439" s="912"/>
      <c r="K10439" s="912">
        <f>VLOOKUP(E10439,[5]ĐMNC!$A$7:$F$67,4,0)</f>
        <v>221125</v>
      </c>
      <c r="L10439" s="912">
        <f>H10439*K10439</f>
        <v>1658437.5</v>
      </c>
      <c r="M10439" s="912"/>
      <c r="N10439" s="912"/>
      <c r="O10439" s="892">
        <f t="shared" si="829"/>
        <v>0</v>
      </c>
      <c r="P10439" s="903">
        <f t="shared" si="832"/>
        <v>1</v>
      </c>
      <c r="Q10439" s="893">
        <f t="shared" si="833"/>
        <v>4</v>
      </c>
      <c r="R10439" s="894">
        <f t="shared" si="834"/>
        <v>0</v>
      </c>
    </row>
    <row r="10440" spans="1:18" s="904" customFormat="1">
      <c r="A10440" s="895"/>
      <c r="B10440" s="896"/>
      <c r="C10440" s="897"/>
      <c r="D10440" s="897"/>
      <c r="E10440" s="1002" t="s">
        <v>3914</v>
      </c>
      <c r="F10440" s="1003"/>
      <c r="G10440" s="1004"/>
      <c r="H10440" s="901"/>
      <c r="I10440" s="902"/>
      <c r="J10440" s="902"/>
      <c r="K10440" s="912" t="s">
        <v>274</v>
      </c>
      <c r="L10440" s="902"/>
      <c r="M10440" s="902"/>
      <c r="N10440" s="902"/>
      <c r="O10440" s="892">
        <f t="shared" si="829"/>
        <v>0</v>
      </c>
      <c r="P10440" s="903">
        <f t="shared" si="832"/>
        <v>1</v>
      </c>
      <c r="Q10440" s="893">
        <f t="shared" si="833"/>
        <v>3</v>
      </c>
      <c r="R10440" s="894">
        <f t="shared" si="834"/>
        <v>0</v>
      </c>
    </row>
    <row r="10441" spans="1:18">
      <c r="A10441" s="905"/>
      <c r="B10441" s="946" t="s">
        <v>6321</v>
      </c>
      <c r="C10441" s="907">
        <v>900</v>
      </c>
      <c r="D10441" s="907" t="s">
        <v>93</v>
      </c>
      <c r="E10441" s="992" t="s">
        <v>6322</v>
      </c>
      <c r="F10441" s="905" t="s">
        <v>2673</v>
      </c>
      <c r="G10441" s="1005"/>
      <c r="H10441" s="911">
        <v>0.3</v>
      </c>
      <c r="I10441" s="912"/>
      <c r="J10441" s="912"/>
      <c r="K10441" s="912"/>
      <c r="L10441" s="912"/>
      <c r="M10441" s="912">
        <f>VLOOKUP(B10441,MTC!$B$9:$S$933,12,0)</f>
        <v>1475268</v>
      </c>
      <c r="N10441" s="912">
        <f>M10441*H10441</f>
        <v>442580.39999999997</v>
      </c>
      <c r="O10441" s="892">
        <f t="shared" si="829"/>
        <v>0</v>
      </c>
      <c r="P10441" s="903">
        <f t="shared" si="832"/>
        <v>1</v>
      </c>
      <c r="Q10441" s="893">
        <f t="shared" si="833"/>
        <v>2</v>
      </c>
      <c r="R10441" s="894">
        <f t="shared" si="834"/>
        <v>0</v>
      </c>
    </row>
    <row r="10442" spans="1:18" s="904" customFormat="1">
      <c r="A10442" s="905"/>
      <c r="B10442" s="952" t="s">
        <v>4993</v>
      </c>
      <c r="C10442" s="907">
        <v>904</v>
      </c>
      <c r="D10442" s="907" t="s">
        <v>93</v>
      </c>
      <c r="E10442" s="992" t="s">
        <v>4994</v>
      </c>
      <c r="F10442" s="905" t="s">
        <v>2673</v>
      </c>
      <c r="G10442" s="1005"/>
      <c r="H10442" s="911">
        <v>0.1</v>
      </c>
      <c r="I10442" s="912"/>
      <c r="J10442" s="912"/>
      <c r="K10442" s="912"/>
      <c r="L10442" s="912"/>
      <c r="M10442" s="912">
        <f>VLOOKUP(B10442,MTC!$B$9:$S$933,12,0)</f>
        <v>1393090</v>
      </c>
      <c r="N10442" s="912">
        <f>M10442*H10442</f>
        <v>139309</v>
      </c>
      <c r="O10442" s="892">
        <f t="shared" si="829"/>
        <v>0</v>
      </c>
      <c r="P10442" s="903">
        <f t="shared" si="832"/>
        <v>1</v>
      </c>
      <c r="Q10442" s="893">
        <f t="shared" si="833"/>
        <v>1</v>
      </c>
      <c r="R10442" s="894">
        <f t="shared" si="834"/>
        <v>0</v>
      </c>
    </row>
    <row r="10443" spans="1:18">
      <c r="A10443" s="905">
        <v>168</v>
      </c>
      <c r="B10443" s="914" t="s">
        <v>6691</v>
      </c>
      <c r="C10443" s="915"/>
      <c r="D10443" s="915"/>
      <c r="E10443" s="1006" t="s">
        <v>6692</v>
      </c>
      <c r="F10443" s="1007" t="s">
        <v>139</v>
      </c>
      <c r="G10443" s="1008"/>
      <c r="H10443" s="919"/>
      <c r="I10443" s="920"/>
      <c r="J10443" s="891">
        <f>SUM(J10444:J10454)</f>
        <v>52215.5</v>
      </c>
      <c r="K10443" s="891" t="s">
        <v>274</v>
      </c>
      <c r="L10443" s="891">
        <f>SUM(L10444:L10454)</f>
        <v>663375</v>
      </c>
      <c r="M10443" s="891"/>
      <c r="N10443" s="891">
        <f>SUM(N10444:N10454)</f>
        <v>295053.60000000003</v>
      </c>
      <c r="O10443" s="892">
        <f t="shared" si="829"/>
        <v>1</v>
      </c>
      <c r="P10443" s="903">
        <f t="shared" si="832"/>
        <v>0</v>
      </c>
      <c r="Q10443" s="893">
        <f t="shared" si="833"/>
        <v>0</v>
      </c>
      <c r="R10443" s="894">
        <f t="shared" si="834"/>
        <v>11</v>
      </c>
    </row>
    <row r="10444" spans="1:18" s="847" customFormat="1">
      <c r="A10444" s="895"/>
      <c r="B10444" s="896"/>
      <c r="C10444" s="897"/>
      <c r="D10444" s="897"/>
      <c r="E10444" s="1002" t="s">
        <v>108</v>
      </c>
      <c r="F10444" s="1003"/>
      <c r="G10444" s="1004"/>
      <c r="H10444" s="901"/>
      <c r="I10444" s="902"/>
      <c r="J10444" s="902"/>
      <c r="K10444" s="912" t="s">
        <v>274</v>
      </c>
      <c r="L10444" s="902"/>
      <c r="M10444" s="902"/>
      <c r="N10444" s="902"/>
      <c r="O10444" s="892">
        <f t="shared" si="829"/>
        <v>0</v>
      </c>
      <c r="P10444" s="903">
        <f t="shared" si="832"/>
        <v>1</v>
      </c>
      <c r="Q10444" s="893">
        <f t="shared" si="833"/>
        <v>11</v>
      </c>
      <c r="R10444" s="894">
        <f t="shared" si="834"/>
        <v>0</v>
      </c>
    </row>
    <row r="10445" spans="1:18" s="904" customFormat="1">
      <c r="A10445" s="905"/>
      <c r="B10445" s="952"/>
      <c r="C10445" s="907">
        <v>212</v>
      </c>
      <c r="D10445" s="907" t="s">
        <v>279</v>
      </c>
      <c r="E10445" s="992" t="s">
        <v>2681</v>
      </c>
      <c r="F10445" s="905" t="s">
        <v>45</v>
      </c>
      <c r="G10445" s="1005"/>
      <c r="H10445" s="911">
        <v>0.15</v>
      </c>
      <c r="I10445" s="912">
        <f>VLOOKUP(E10445,[3]VLP!$B$7:$K$300,10,0)</f>
        <v>23000</v>
      </c>
      <c r="J10445" s="912">
        <f t="shared" ref="J10445:J10450" si="836">I10445*H10445</f>
        <v>3450</v>
      </c>
      <c r="K10445" s="912" t="s">
        <v>274</v>
      </c>
      <c r="L10445" s="912"/>
      <c r="M10445" s="912"/>
      <c r="N10445" s="912"/>
      <c r="O10445" s="892">
        <f t="shared" si="829"/>
        <v>0</v>
      </c>
      <c r="P10445" s="903">
        <f t="shared" si="832"/>
        <v>1</v>
      </c>
      <c r="Q10445" s="893">
        <f t="shared" si="833"/>
        <v>10</v>
      </c>
      <c r="R10445" s="894">
        <f t="shared" si="834"/>
        <v>0</v>
      </c>
    </row>
    <row r="10446" spans="1:18">
      <c r="A10446" s="905"/>
      <c r="B10446" s="952"/>
      <c r="C10446" s="907">
        <v>318</v>
      </c>
      <c r="D10446" s="907" t="s">
        <v>279</v>
      </c>
      <c r="E10446" s="992" t="s">
        <v>5657</v>
      </c>
      <c r="F10446" s="905" t="s">
        <v>45</v>
      </c>
      <c r="G10446" s="1005"/>
      <c r="H10446" s="911">
        <v>0.1</v>
      </c>
      <c r="I10446" s="912">
        <f>VLOOKUP(E10446,[3]VLP!$B$7:$K$300,10,0)</f>
        <v>25155</v>
      </c>
      <c r="J10446" s="912">
        <f t="shared" si="836"/>
        <v>2515.5</v>
      </c>
      <c r="K10446" s="912" t="s">
        <v>274</v>
      </c>
      <c r="L10446" s="912"/>
      <c r="M10446" s="912"/>
      <c r="N10446" s="912"/>
      <c r="O10446" s="892">
        <f t="shared" si="829"/>
        <v>0</v>
      </c>
      <c r="P10446" s="903">
        <f t="shared" si="832"/>
        <v>1</v>
      </c>
      <c r="Q10446" s="893">
        <f t="shared" si="833"/>
        <v>9</v>
      </c>
      <c r="R10446" s="894">
        <f t="shared" si="834"/>
        <v>0</v>
      </c>
    </row>
    <row r="10447" spans="1:18" s="904" customFormat="1">
      <c r="A10447" s="905"/>
      <c r="B10447" s="952"/>
      <c r="C10447" s="907">
        <v>289</v>
      </c>
      <c r="D10447" s="907" t="s">
        <v>279</v>
      </c>
      <c r="E10447" s="992" t="s">
        <v>3147</v>
      </c>
      <c r="F10447" s="905" t="s">
        <v>45</v>
      </c>
      <c r="G10447" s="1005"/>
      <c r="H10447" s="911">
        <v>0.05</v>
      </c>
      <c r="I10447" s="912">
        <f>VLOOKUP(E10447,[3]VLP!$B$7:$K$300,10,0)</f>
        <v>45000</v>
      </c>
      <c r="J10447" s="912">
        <f t="shared" si="836"/>
        <v>2250</v>
      </c>
      <c r="K10447" s="912" t="s">
        <v>274</v>
      </c>
      <c r="L10447" s="912"/>
      <c r="M10447" s="912"/>
      <c r="N10447" s="912"/>
      <c r="O10447" s="892">
        <f t="shared" si="829"/>
        <v>0</v>
      </c>
      <c r="P10447" s="903">
        <f t="shared" si="832"/>
        <v>1</v>
      </c>
      <c r="Q10447" s="893">
        <f t="shared" si="833"/>
        <v>8</v>
      </c>
      <c r="R10447" s="894">
        <f t="shared" si="834"/>
        <v>0</v>
      </c>
    </row>
    <row r="10448" spans="1:18">
      <c r="A10448" s="905"/>
      <c r="B10448" s="952"/>
      <c r="C10448" s="907">
        <v>234</v>
      </c>
      <c r="D10448" s="907" t="s">
        <v>279</v>
      </c>
      <c r="E10448" s="992" t="s">
        <v>5983</v>
      </c>
      <c r="F10448" s="905" t="s">
        <v>3144</v>
      </c>
      <c r="G10448" s="1005"/>
      <c r="H10448" s="911">
        <v>1</v>
      </c>
      <c r="I10448" s="912">
        <f>VLOOKUP(E10448,[3]VLP!$B$7:$K$300,10,0)</f>
        <v>14000</v>
      </c>
      <c r="J10448" s="912">
        <f t="shared" si="836"/>
        <v>14000</v>
      </c>
      <c r="K10448" s="912" t="s">
        <v>274</v>
      </c>
      <c r="L10448" s="912"/>
      <c r="M10448" s="912"/>
      <c r="N10448" s="912"/>
      <c r="O10448" s="892">
        <f t="shared" si="829"/>
        <v>0</v>
      </c>
      <c r="P10448" s="903">
        <f t="shared" si="832"/>
        <v>1</v>
      </c>
      <c r="Q10448" s="893">
        <f t="shared" si="833"/>
        <v>7</v>
      </c>
      <c r="R10448" s="894">
        <f t="shared" si="834"/>
        <v>0</v>
      </c>
    </row>
    <row r="10449" spans="1:18" s="847" customFormat="1">
      <c r="A10449" s="905"/>
      <c r="B10449" s="952"/>
      <c r="C10449" s="907">
        <v>235</v>
      </c>
      <c r="D10449" s="907" t="s">
        <v>279</v>
      </c>
      <c r="E10449" s="992" t="s">
        <v>2682</v>
      </c>
      <c r="F10449" s="905" t="s">
        <v>45</v>
      </c>
      <c r="G10449" s="1005"/>
      <c r="H10449" s="911">
        <v>1</v>
      </c>
      <c r="I10449" s="912">
        <f>VLOOKUP(E10449,[3]VLP!$B$7:$K$300,10,0)</f>
        <v>5000</v>
      </c>
      <c r="J10449" s="912">
        <f t="shared" si="836"/>
        <v>5000</v>
      </c>
      <c r="K10449" s="912" t="s">
        <v>274</v>
      </c>
      <c r="L10449" s="912"/>
      <c r="M10449" s="912"/>
      <c r="N10449" s="912"/>
      <c r="O10449" s="892">
        <f t="shared" si="829"/>
        <v>0</v>
      </c>
      <c r="P10449" s="903">
        <f t="shared" si="832"/>
        <v>1</v>
      </c>
      <c r="Q10449" s="893">
        <f t="shared" si="833"/>
        <v>6</v>
      </c>
      <c r="R10449" s="894">
        <f t="shared" si="834"/>
        <v>0</v>
      </c>
    </row>
    <row r="10450" spans="1:18" s="904" customFormat="1">
      <c r="A10450" s="905"/>
      <c r="B10450" s="952"/>
      <c r="C10450" s="907">
        <v>699</v>
      </c>
      <c r="D10450" s="907" t="s">
        <v>279</v>
      </c>
      <c r="E10450" s="992" t="s">
        <v>4006</v>
      </c>
      <c r="F10450" s="905" t="s">
        <v>4007</v>
      </c>
      <c r="G10450" s="1005"/>
      <c r="H10450" s="911">
        <v>5</v>
      </c>
      <c r="I10450" s="912">
        <f>VLOOKUP(E10450,[3]VLP!$B$7:$K$300,10,0)</f>
        <v>5000</v>
      </c>
      <c r="J10450" s="912">
        <f t="shared" si="836"/>
        <v>25000</v>
      </c>
      <c r="K10450" s="912" t="s">
        <v>274</v>
      </c>
      <c r="L10450" s="912"/>
      <c r="M10450" s="912"/>
      <c r="N10450" s="912"/>
      <c r="O10450" s="892">
        <f t="shared" si="829"/>
        <v>0</v>
      </c>
      <c r="P10450" s="903">
        <f t="shared" si="832"/>
        <v>1</v>
      </c>
      <c r="Q10450" s="893">
        <f t="shared" si="833"/>
        <v>5</v>
      </c>
      <c r="R10450" s="894">
        <f t="shared" si="834"/>
        <v>0</v>
      </c>
    </row>
    <row r="10451" spans="1:18">
      <c r="A10451" s="895"/>
      <c r="B10451" s="896"/>
      <c r="C10451" s="897"/>
      <c r="D10451" s="897"/>
      <c r="E10451" s="1002" t="s">
        <v>276</v>
      </c>
      <c r="F10451" s="1003"/>
      <c r="G10451" s="1004"/>
      <c r="H10451" s="901"/>
      <c r="I10451" s="902"/>
      <c r="J10451" s="902"/>
      <c r="K10451" s="912" t="s">
        <v>274</v>
      </c>
      <c r="L10451" s="902"/>
      <c r="M10451" s="902"/>
      <c r="N10451" s="902"/>
      <c r="O10451" s="892">
        <f t="shared" si="829"/>
        <v>0</v>
      </c>
      <c r="P10451" s="903">
        <f t="shared" si="832"/>
        <v>1</v>
      </c>
      <c r="Q10451" s="893">
        <f t="shared" si="833"/>
        <v>4</v>
      </c>
      <c r="R10451" s="894">
        <f t="shared" si="834"/>
        <v>0</v>
      </c>
    </row>
    <row r="10452" spans="1:18" s="904" customFormat="1">
      <c r="A10452" s="905"/>
      <c r="B10452" s="952"/>
      <c r="C10452" s="907">
        <v>740</v>
      </c>
      <c r="D10452" s="907" t="s">
        <v>12</v>
      </c>
      <c r="E10452" s="992" t="s">
        <v>4008</v>
      </c>
      <c r="F10452" s="905" t="s">
        <v>2674</v>
      </c>
      <c r="G10452" s="1005"/>
      <c r="H10452" s="911">
        <v>3</v>
      </c>
      <c r="I10452" s="912"/>
      <c r="J10452" s="912"/>
      <c r="K10452" s="912">
        <f>VLOOKUP(E10452,[5]ĐMNC!$A$7:$F$67,4,0)</f>
        <v>221125</v>
      </c>
      <c r="L10452" s="912">
        <f>H10452*K10452</f>
        <v>663375</v>
      </c>
      <c r="M10452" s="912"/>
      <c r="N10452" s="912"/>
      <c r="O10452" s="892">
        <f t="shared" si="829"/>
        <v>0</v>
      </c>
      <c r="P10452" s="903">
        <f t="shared" si="832"/>
        <v>1</v>
      </c>
      <c r="Q10452" s="893">
        <f t="shared" si="833"/>
        <v>3</v>
      </c>
      <c r="R10452" s="894">
        <f t="shared" si="834"/>
        <v>0</v>
      </c>
    </row>
    <row r="10453" spans="1:18">
      <c r="A10453" s="895"/>
      <c r="B10453" s="896"/>
      <c r="C10453" s="897"/>
      <c r="D10453" s="897"/>
      <c r="E10453" s="1002" t="s">
        <v>3914</v>
      </c>
      <c r="F10453" s="1003"/>
      <c r="G10453" s="1004"/>
      <c r="H10453" s="901"/>
      <c r="I10453" s="902"/>
      <c r="J10453" s="902"/>
      <c r="K10453" s="912" t="s">
        <v>274</v>
      </c>
      <c r="L10453" s="902"/>
      <c r="M10453" s="902"/>
      <c r="N10453" s="902"/>
      <c r="O10453" s="892">
        <f t="shared" si="829"/>
        <v>0</v>
      </c>
      <c r="P10453" s="903">
        <f t="shared" si="832"/>
        <v>1</v>
      </c>
      <c r="Q10453" s="893">
        <f t="shared" si="833"/>
        <v>2</v>
      </c>
      <c r="R10453" s="894">
        <f t="shared" si="834"/>
        <v>0</v>
      </c>
    </row>
    <row r="10454" spans="1:18" s="847" customFormat="1">
      <c r="A10454" s="905"/>
      <c r="B10454" s="946" t="s">
        <v>6321</v>
      </c>
      <c r="C10454" s="907">
        <v>900</v>
      </c>
      <c r="D10454" s="907" t="s">
        <v>93</v>
      </c>
      <c r="E10454" s="992" t="s">
        <v>6322</v>
      </c>
      <c r="F10454" s="905" t="s">
        <v>2673</v>
      </c>
      <c r="G10454" s="1005"/>
      <c r="H10454" s="911">
        <v>0.2</v>
      </c>
      <c r="I10454" s="912"/>
      <c r="J10454" s="912"/>
      <c r="K10454" s="912"/>
      <c r="L10454" s="912"/>
      <c r="M10454" s="912">
        <f>VLOOKUP(B10454,MTC!$B$9:$S$933,12,0)</f>
        <v>1475268</v>
      </c>
      <c r="N10454" s="912">
        <f>M10454*H10454</f>
        <v>295053.60000000003</v>
      </c>
      <c r="O10454" s="892">
        <f t="shared" si="829"/>
        <v>0</v>
      </c>
      <c r="P10454" s="903">
        <f t="shared" si="832"/>
        <v>1</v>
      </c>
      <c r="Q10454" s="893">
        <f t="shared" si="833"/>
        <v>1</v>
      </c>
      <c r="R10454" s="894">
        <f t="shared" si="834"/>
        <v>0</v>
      </c>
    </row>
    <row r="10455" spans="1:18" s="904" customFormat="1">
      <c r="A10455" s="905">
        <v>169</v>
      </c>
      <c r="B10455" s="914" t="s">
        <v>6693</v>
      </c>
      <c r="C10455" s="915"/>
      <c r="D10455" s="915"/>
      <c r="E10455" s="1006" t="s">
        <v>6694</v>
      </c>
      <c r="F10455" s="1007" t="s">
        <v>139</v>
      </c>
      <c r="G10455" s="1008"/>
      <c r="H10455" s="919"/>
      <c r="I10455" s="920"/>
      <c r="J10455" s="891">
        <f>SUM(J10456:J10466)</f>
        <v>40665.5</v>
      </c>
      <c r="K10455" s="891" t="s">
        <v>274</v>
      </c>
      <c r="L10455" s="891">
        <f>SUM(L10456:L10466)</f>
        <v>530700</v>
      </c>
      <c r="M10455" s="891"/>
      <c r="N10455" s="891">
        <f>SUM(N10456:N10466)</f>
        <v>295053.60000000003</v>
      </c>
      <c r="O10455" s="892">
        <f t="shared" si="829"/>
        <v>1</v>
      </c>
      <c r="P10455" s="903">
        <f t="shared" si="832"/>
        <v>0</v>
      </c>
      <c r="Q10455" s="893">
        <f t="shared" si="833"/>
        <v>0</v>
      </c>
      <c r="R10455" s="894">
        <f t="shared" si="834"/>
        <v>11</v>
      </c>
    </row>
    <row r="10456" spans="1:18">
      <c r="A10456" s="895"/>
      <c r="B10456" s="896"/>
      <c r="C10456" s="897"/>
      <c r="D10456" s="897"/>
      <c r="E10456" s="1002" t="s">
        <v>108</v>
      </c>
      <c r="F10456" s="1003"/>
      <c r="G10456" s="1004"/>
      <c r="H10456" s="901"/>
      <c r="I10456" s="902"/>
      <c r="J10456" s="902"/>
      <c r="K10456" s="912" t="s">
        <v>274</v>
      </c>
      <c r="L10456" s="902"/>
      <c r="M10456" s="902"/>
      <c r="N10456" s="902"/>
      <c r="O10456" s="892">
        <f t="shared" si="829"/>
        <v>0</v>
      </c>
      <c r="P10456" s="903">
        <f t="shared" si="832"/>
        <v>1</v>
      </c>
      <c r="Q10456" s="893">
        <f t="shared" si="833"/>
        <v>11</v>
      </c>
      <c r="R10456" s="894">
        <f t="shared" si="834"/>
        <v>0</v>
      </c>
    </row>
    <row r="10457" spans="1:18" s="904" customFormat="1">
      <c r="A10457" s="905"/>
      <c r="B10457" s="952"/>
      <c r="C10457" s="907">
        <v>212</v>
      </c>
      <c r="D10457" s="907" t="s">
        <v>279</v>
      </c>
      <c r="E10457" s="992" t="s">
        <v>2681</v>
      </c>
      <c r="F10457" s="905" t="s">
        <v>45</v>
      </c>
      <c r="G10457" s="1005"/>
      <c r="H10457" s="911">
        <v>0.1</v>
      </c>
      <c r="I10457" s="912">
        <f>VLOOKUP(E10457,[3]VLP!$B$7:$K$300,10,0)</f>
        <v>23000</v>
      </c>
      <c r="J10457" s="912">
        <f t="shared" ref="J10457:J10462" si="837">I10457*H10457</f>
        <v>2300</v>
      </c>
      <c r="K10457" s="912" t="s">
        <v>274</v>
      </c>
      <c r="L10457" s="912"/>
      <c r="M10457" s="912"/>
      <c r="N10457" s="912"/>
      <c r="O10457" s="892">
        <f t="shared" si="829"/>
        <v>0</v>
      </c>
      <c r="P10457" s="903">
        <f t="shared" si="832"/>
        <v>1</v>
      </c>
      <c r="Q10457" s="893">
        <f t="shared" si="833"/>
        <v>10</v>
      </c>
      <c r="R10457" s="894">
        <f t="shared" si="834"/>
        <v>0</v>
      </c>
    </row>
    <row r="10458" spans="1:18">
      <c r="A10458" s="905"/>
      <c r="B10458" s="952"/>
      <c r="C10458" s="907">
        <v>318</v>
      </c>
      <c r="D10458" s="907" t="s">
        <v>279</v>
      </c>
      <c r="E10458" s="992" t="s">
        <v>5657</v>
      </c>
      <c r="F10458" s="905" t="s">
        <v>45</v>
      </c>
      <c r="G10458" s="1005"/>
      <c r="H10458" s="911">
        <v>0.1</v>
      </c>
      <c r="I10458" s="912">
        <f>VLOOKUP(E10458,[3]VLP!$B$7:$K$300,10,0)</f>
        <v>25155</v>
      </c>
      <c r="J10458" s="912">
        <f t="shared" si="837"/>
        <v>2515.5</v>
      </c>
      <c r="K10458" s="912" t="s">
        <v>274</v>
      </c>
      <c r="L10458" s="912"/>
      <c r="M10458" s="912"/>
      <c r="N10458" s="912"/>
      <c r="O10458" s="892">
        <f t="shared" si="829"/>
        <v>0</v>
      </c>
      <c r="P10458" s="903">
        <f t="shared" si="832"/>
        <v>1</v>
      </c>
      <c r="Q10458" s="893">
        <f t="shared" si="833"/>
        <v>9</v>
      </c>
      <c r="R10458" s="894">
        <f t="shared" si="834"/>
        <v>0</v>
      </c>
    </row>
    <row r="10459" spans="1:18" s="847" customFormat="1">
      <c r="A10459" s="905"/>
      <c r="B10459" s="952"/>
      <c r="C10459" s="907">
        <v>289</v>
      </c>
      <c r="D10459" s="907" t="s">
        <v>279</v>
      </c>
      <c r="E10459" s="992" t="s">
        <v>3147</v>
      </c>
      <c r="F10459" s="905" t="s">
        <v>45</v>
      </c>
      <c r="G10459" s="1005"/>
      <c r="H10459" s="911">
        <v>0.03</v>
      </c>
      <c r="I10459" s="912">
        <f>VLOOKUP(E10459,[3]VLP!$B$7:$K$300,10,0)</f>
        <v>45000</v>
      </c>
      <c r="J10459" s="912">
        <f t="shared" si="837"/>
        <v>1350</v>
      </c>
      <c r="K10459" s="912" t="s">
        <v>274</v>
      </c>
      <c r="L10459" s="912"/>
      <c r="M10459" s="912"/>
      <c r="N10459" s="912"/>
      <c r="O10459" s="892">
        <f t="shared" si="829"/>
        <v>0</v>
      </c>
      <c r="P10459" s="903">
        <f t="shared" si="832"/>
        <v>1</v>
      </c>
      <c r="Q10459" s="893">
        <f t="shared" si="833"/>
        <v>8</v>
      </c>
      <c r="R10459" s="894">
        <f t="shared" si="834"/>
        <v>0</v>
      </c>
    </row>
    <row r="10460" spans="1:18" s="904" customFormat="1">
      <c r="A10460" s="905"/>
      <c r="B10460" s="952"/>
      <c r="C10460" s="907">
        <v>234</v>
      </c>
      <c r="D10460" s="907" t="s">
        <v>279</v>
      </c>
      <c r="E10460" s="992" t="s">
        <v>5983</v>
      </c>
      <c r="F10460" s="905" t="s">
        <v>3144</v>
      </c>
      <c r="G10460" s="1005"/>
      <c r="H10460" s="911">
        <v>0.5</v>
      </c>
      <c r="I10460" s="912">
        <f>VLOOKUP(E10460,[3]VLP!$B$7:$K$300,10,0)</f>
        <v>14000</v>
      </c>
      <c r="J10460" s="912">
        <f t="shared" si="837"/>
        <v>7000</v>
      </c>
      <c r="K10460" s="912" t="s">
        <v>274</v>
      </c>
      <c r="L10460" s="912"/>
      <c r="M10460" s="912"/>
      <c r="N10460" s="912"/>
      <c r="O10460" s="892">
        <f t="shared" si="829"/>
        <v>0</v>
      </c>
      <c r="P10460" s="903">
        <f t="shared" si="832"/>
        <v>1</v>
      </c>
      <c r="Q10460" s="893">
        <f t="shared" si="833"/>
        <v>7</v>
      </c>
      <c r="R10460" s="894">
        <f t="shared" si="834"/>
        <v>0</v>
      </c>
    </row>
    <row r="10461" spans="1:18">
      <c r="A10461" s="905"/>
      <c r="B10461" s="952"/>
      <c r="C10461" s="907">
        <v>235</v>
      </c>
      <c r="D10461" s="907" t="s">
        <v>279</v>
      </c>
      <c r="E10461" s="992" t="s">
        <v>2682</v>
      </c>
      <c r="F10461" s="905" t="s">
        <v>45</v>
      </c>
      <c r="G10461" s="1005"/>
      <c r="H10461" s="911">
        <v>0.5</v>
      </c>
      <c r="I10461" s="912">
        <f>VLOOKUP(E10461,[3]VLP!$B$7:$K$300,10,0)</f>
        <v>5000</v>
      </c>
      <c r="J10461" s="912">
        <f t="shared" si="837"/>
        <v>2500</v>
      </c>
      <c r="K10461" s="912" t="s">
        <v>274</v>
      </c>
      <c r="L10461" s="912"/>
      <c r="M10461" s="912"/>
      <c r="N10461" s="912"/>
      <c r="O10461" s="892">
        <f t="shared" si="829"/>
        <v>0</v>
      </c>
      <c r="P10461" s="903">
        <f t="shared" si="832"/>
        <v>1</v>
      </c>
      <c r="Q10461" s="893">
        <f t="shared" si="833"/>
        <v>6</v>
      </c>
      <c r="R10461" s="894">
        <f t="shared" si="834"/>
        <v>0</v>
      </c>
    </row>
    <row r="10462" spans="1:18" s="904" customFormat="1">
      <c r="A10462" s="905"/>
      <c r="B10462" s="952"/>
      <c r="C10462" s="907">
        <v>699</v>
      </c>
      <c r="D10462" s="907" t="s">
        <v>279</v>
      </c>
      <c r="E10462" s="992" t="s">
        <v>4006</v>
      </c>
      <c r="F10462" s="905" t="s">
        <v>4007</v>
      </c>
      <c r="G10462" s="1005"/>
      <c r="H10462" s="911">
        <v>5</v>
      </c>
      <c r="I10462" s="912">
        <f>VLOOKUP(E10462,[3]VLP!$B$7:$K$300,10,0)</f>
        <v>5000</v>
      </c>
      <c r="J10462" s="912">
        <f t="shared" si="837"/>
        <v>25000</v>
      </c>
      <c r="K10462" s="912" t="s">
        <v>274</v>
      </c>
      <c r="L10462" s="912"/>
      <c r="M10462" s="912"/>
      <c r="N10462" s="912"/>
      <c r="O10462" s="892">
        <f t="shared" si="829"/>
        <v>0</v>
      </c>
      <c r="P10462" s="903">
        <f t="shared" si="832"/>
        <v>1</v>
      </c>
      <c r="Q10462" s="893">
        <f t="shared" si="833"/>
        <v>5</v>
      </c>
      <c r="R10462" s="894">
        <f t="shared" si="834"/>
        <v>0</v>
      </c>
    </row>
    <row r="10463" spans="1:18">
      <c r="A10463" s="895"/>
      <c r="B10463" s="896"/>
      <c r="C10463" s="897"/>
      <c r="D10463" s="897"/>
      <c r="E10463" s="1002" t="s">
        <v>276</v>
      </c>
      <c r="F10463" s="1003"/>
      <c r="G10463" s="1004"/>
      <c r="H10463" s="901"/>
      <c r="I10463" s="902"/>
      <c r="J10463" s="902"/>
      <c r="K10463" s="912" t="s">
        <v>274</v>
      </c>
      <c r="L10463" s="902"/>
      <c r="M10463" s="902"/>
      <c r="N10463" s="902"/>
      <c r="O10463" s="892">
        <f t="shared" ref="O10463:O10526" si="838">IF(AND(B10463&lt;&gt;"",D10463=""),1,0)</f>
        <v>0</v>
      </c>
      <c r="P10463" s="903">
        <f t="shared" si="832"/>
        <v>1</v>
      </c>
      <c r="Q10463" s="893">
        <f t="shared" si="833"/>
        <v>4</v>
      </c>
      <c r="R10463" s="894">
        <f t="shared" si="834"/>
        <v>0</v>
      </c>
    </row>
    <row r="10464" spans="1:18" s="847" customFormat="1">
      <c r="A10464" s="905"/>
      <c r="B10464" s="952"/>
      <c r="C10464" s="907">
        <v>740</v>
      </c>
      <c r="D10464" s="907" t="s">
        <v>12</v>
      </c>
      <c r="E10464" s="992" t="s">
        <v>4008</v>
      </c>
      <c r="F10464" s="905" t="s">
        <v>2674</v>
      </c>
      <c r="G10464" s="1005"/>
      <c r="H10464" s="911">
        <v>2.4</v>
      </c>
      <c r="I10464" s="912"/>
      <c r="J10464" s="912"/>
      <c r="K10464" s="912">
        <f>VLOOKUP(E10464,[5]ĐMNC!$A$7:$F$67,4,0)</f>
        <v>221125</v>
      </c>
      <c r="L10464" s="912">
        <f>H10464*K10464</f>
        <v>530700</v>
      </c>
      <c r="M10464" s="912"/>
      <c r="N10464" s="912"/>
      <c r="O10464" s="892">
        <f t="shared" si="838"/>
        <v>0</v>
      </c>
      <c r="P10464" s="903">
        <f t="shared" si="832"/>
        <v>1</v>
      </c>
      <c r="Q10464" s="893">
        <f t="shared" si="833"/>
        <v>3</v>
      </c>
      <c r="R10464" s="894">
        <f t="shared" si="834"/>
        <v>0</v>
      </c>
    </row>
    <row r="10465" spans="1:18" s="904" customFormat="1">
      <c r="A10465" s="895"/>
      <c r="B10465" s="896"/>
      <c r="C10465" s="897"/>
      <c r="D10465" s="897"/>
      <c r="E10465" s="1002" t="s">
        <v>3914</v>
      </c>
      <c r="F10465" s="1003"/>
      <c r="G10465" s="1004"/>
      <c r="H10465" s="901"/>
      <c r="I10465" s="902"/>
      <c r="J10465" s="902"/>
      <c r="K10465" s="912" t="s">
        <v>274</v>
      </c>
      <c r="L10465" s="902"/>
      <c r="M10465" s="902"/>
      <c r="N10465" s="902"/>
      <c r="O10465" s="892">
        <f t="shared" si="838"/>
        <v>0</v>
      </c>
      <c r="P10465" s="903">
        <f t="shared" si="832"/>
        <v>1</v>
      </c>
      <c r="Q10465" s="893">
        <f t="shared" si="833"/>
        <v>2</v>
      </c>
      <c r="R10465" s="894">
        <f t="shared" si="834"/>
        <v>0</v>
      </c>
    </row>
    <row r="10466" spans="1:18">
      <c r="A10466" s="905"/>
      <c r="B10466" s="946" t="s">
        <v>6321</v>
      </c>
      <c r="C10466" s="907">
        <v>900</v>
      </c>
      <c r="D10466" s="907" t="s">
        <v>93</v>
      </c>
      <c r="E10466" s="992" t="s">
        <v>6322</v>
      </c>
      <c r="F10466" s="905" t="s">
        <v>2673</v>
      </c>
      <c r="G10466" s="1005"/>
      <c r="H10466" s="911">
        <v>0.2</v>
      </c>
      <c r="I10466" s="912"/>
      <c r="J10466" s="912"/>
      <c r="K10466" s="912"/>
      <c r="L10466" s="912"/>
      <c r="M10466" s="912">
        <f>VLOOKUP(B10466,MTC!$B$9:$S$933,12,0)</f>
        <v>1475268</v>
      </c>
      <c r="N10466" s="912">
        <f>M10466*H10466</f>
        <v>295053.60000000003</v>
      </c>
      <c r="O10466" s="892">
        <f t="shared" si="838"/>
        <v>0</v>
      </c>
      <c r="P10466" s="903">
        <f t="shared" si="832"/>
        <v>1</v>
      </c>
      <c r="Q10466" s="893">
        <f t="shared" si="833"/>
        <v>1</v>
      </c>
      <c r="R10466" s="894">
        <f t="shared" si="834"/>
        <v>0</v>
      </c>
    </row>
    <row r="10467" spans="1:18" s="904" customFormat="1">
      <c r="A10467" s="905">
        <v>170</v>
      </c>
      <c r="B10467" s="914" t="s">
        <v>6695</v>
      </c>
      <c r="C10467" s="915"/>
      <c r="D10467" s="915"/>
      <c r="E10467" s="1006" t="s">
        <v>6696</v>
      </c>
      <c r="F10467" s="1007" t="s">
        <v>139</v>
      </c>
      <c r="G10467" s="1008"/>
      <c r="H10467" s="919"/>
      <c r="I10467" s="920"/>
      <c r="J10467" s="891">
        <f>SUM(J10468:J10478)</f>
        <v>46772.4</v>
      </c>
      <c r="K10467" s="891" t="s">
        <v>274</v>
      </c>
      <c r="L10467" s="891">
        <f>SUM(L10468:L10478)</f>
        <v>530700</v>
      </c>
      <c r="M10467" s="891"/>
      <c r="N10467" s="891">
        <f>SUM(N10468:N10478)</f>
        <v>221290.19999999998</v>
      </c>
      <c r="O10467" s="892">
        <f t="shared" si="838"/>
        <v>1</v>
      </c>
      <c r="P10467" s="903">
        <f t="shared" si="832"/>
        <v>0</v>
      </c>
      <c r="Q10467" s="893">
        <f t="shared" si="833"/>
        <v>0</v>
      </c>
      <c r="R10467" s="894">
        <f t="shared" si="834"/>
        <v>11</v>
      </c>
    </row>
    <row r="10468" spans="1:18">
      <c r="A10468" s="895"/>
      <c r="B10468" s="896"/>
      <c r="C10468" s="897"/>
      <c r="D10468" s="897"/>
      <c r="E10468" s="1002" t="s">
        <v>108</v>
      </c>
      <c r="F10468" s="1003"/>
      <c r="G10468" s="1004"/>
      <c r="H10468" s="901"/>
      <c r="I10468" s="902"/>
      <c r="J10468" s="902"/>
      <c r="K10468" s="912" t="s">
        <v>274</v>
      </c>
      <c r="L10468" s="902"/>
      <c r="M10468" s="902"/>
      <c r="N10468" s="902"/>
      <c r="O10468" s="892">
        <f t="shared" si="838"/>
        <v>0</v>
      </c>
      <c r="P10468" s="903">
        <f t="shared" si="832"/>
        <v>1</v>
      </c>
      <c r="Q10468" s="893">
        <f t="shared" si="833"/>
        <v>11</v>
      </c>
      <c r="R10468" s="894">
        <f t="shared" si="834"/>
        <v>0</v>
      </c>
    </row>
    <row r="10469" spans="1:18" s="847" customFormat="1">
      <c r="A10469" s="905"/>
      <c r="B10469" s="952"/>
      <c r="C10469" s="907">
        <v>212</v>
      </c>
      <c r="D10469" s="907" t="s">
        <v>279</v>
      </c>
      <c r="E10469" s="992" t="s">
        <v>2681</v>
      </c>
      <c r="F10469" s="905" t="s">
        <v>45</v>
      </c>
      <c r="G10469" s="1005"/>
      <c r="H10469" s="911">
        <v>0.12</v>
      </c>
      <c r="I10469" s="912">
        <f>VLOOKUP(E10469,[3]VLP!$B$7:$K$300,10,0)</f>
        <v>23000</v>
      </c>
      <c r="J10469" s="912">
        <f t="shared" ref="J10469:J10474" si="839">I10469*H10469</f>
        <v>2760</v>
      </c>
      <c r="K10469" s="912" t="s">
        <v>274</v>
      </c>
      <c r="L10469" s="912"/>
      <c r="M10469" s="912"/>
      <c r="N10469" s="912"/>
      <c r="O10469" s="892">
        <f t="shared" si="838"/>
        <v>0</v>
      </c>
      <c r="P10469" s="903">
        <f t="shared" si="832"/>
        <v>1</v>
      </c>
      <c r="Q10469" s="893">
        <f t="shared" si="833"/>
        <v>10</v>
      </c>
      <c r="R10469" s="894">
        <f t="shared" si="834"/>
        <v>0</v>
      </c>
    </row>
    <row r="10470" spans="1:18" s="904" customFormat="1">
      <c r="A10470" s="905"/>
      <c r="B10470" s="952"/>
      <c r="C10470" s="907">
        <v>318</v>
      </c>
      <c r="D10470" s="907" t="s">
        <v>279</v>
      </c>
      <c r="E10470" s="992" t="s">
        <v>5657</v>
      </c>
      <c r="F10470" s="905" t="s">
        <v>45</v>
      </c>
      <c r="G10470" s="1005"/>
      <c r="H10470" s="911">
        <v>0.08</v>
      </c>
      <c r="I10470" s="912">
        <f>VLOOKUP(E10470,[3]VLP!$B$7:$K$300,10,0)</f>
        <v>25155</v>
      </c>
      <c r="J10470" s="912">
        <f t="shared" si="839"/>
        <v>2012.4</v>
      </c>
      <c r="K10470" s="912" t="s">
        <v>274</v>
      </c>
      <c r="L10470" s="912"/>
      <c r="M10470" s="912"/>
      <c r="N10470" s="912"/>
      <c r="O10470" s="892">
        <f t="shared" si="838"/>
        <v>0</v>
      </c>
      <c r="P10470" s="903">
        <f t="shared" si="832"/>
        <v>1</v>
      </c>
      <c r="Q10470" s="893">
        <f t="shared" si="833"/>
        <v>9</v>
      </c>
      <c r="R10470" s="894">
        <f t="shared" si="834"/>
        <v>0</v>
      </c>
    </row>
    <row r="10471" spans="1:18">
      <c r="A10471" s="905"/>
      <c r="B10471" s="952"/>
      <c r="C10471" s="907">
        <v>289</v>
      </c>
      <c r="D10471" s="907" t="s">
        <v>279</v>
      </c>
      <c r="E10471" s="992" t="s">
        <v>3147</v>
      </c>
      <c r="F10471" s="905" t="s">
        <v>45</v>
      </c>
      <c r="G10471" s="1005"/>
      <c r="H10471" s="911">
        <v>0.04</v>
      </c>
      <c r="I10471" s="912">
        <f>VLOOKUP(E10471,[3]VLP!$B$7:$K$300,10,0)</f>
        <v>45000</v>
      </c>
      <c r="J10471" s="912">
        <f t="shared" si="839"/>
        <v>1800</v>
      </c>
      <c r="K10471" s="912" t="s">
        <v>274</v>
      </c>
      <c r="L10471" s="912"/>
      <c r="M10471" s="912"/>
      <c r="N10471" s="912"/>
      <c r="O10471" s="892">
        <f t="shared" si="838"/>
        <v>0</v>
      </c>
      <c r="P10471" s="903">
        <f t="shared" si="832"/>
        <v>1</v>
      </c>
      <c r="Q10471" s="893">
        <f t="shared" si="833"/>
        <v>8</v>
      </c>
      <c r="R10471" s="894">
        <f t="shared" si="834"/>
        <v>0</v>
      </c>
    </row>
    <row r="10472" spans="1:18" s="904" customFormat="1">
      <c r="A10472" s="905"/>
      <c r="B10472" s="952"/>
      <c r="C10472" s="907">
        <v>234</v>
      </c>
      <c r="D10472" s="907" t="s">
        <v>279</v>
      </c>
      <c r="E10472" s="992" t="s">
        <v>5983</v>
      </c>
      <c r="F10472" s="905" t="s">
        <v>3144</v>
      </c>
      <c r="G10472" s="1005"/>
      <c r="H10472" s="911">
        <v>0.8</v>
      </c>
      <c r="I10472" s="912">
        <f>VLOOKUP(E10472,[3]VLP!$B$7:$K$300,10,0)</f>
        <v>14000</v>
      </c>
      <c r="J10472" s="912">
        <f t="shared" si="839"/>
        <v>11200</v>
      </c>
      <c r="K10472" s="912" t="s">
        <v>274</v>
      </c>
      <c r="L10472" s="912"/>
      <c r="M10472" s="912"/>
      <c r="N10472" s="912"/>
      <c r="O10472" s="892">
        <f t="shared" si="838"/>
        <v>0</v>
      </c>
      <c r="P10472" s="903">
        <f t="shared" si="832"/>
        <v>1</v>
      </c>
      <c r="Q10472" s="893">
        <f t="shared" si="833"/>
        <v>7</v>
      </c>
      <c r="R10472" s="894">
        <f t="shared" si="834"/>
        <v>0</v>
      </c>
    </row>
    <row r="10473" spans="1:18">
      <c r="A10473" s="905"/>
      <c r="B10473" s="952"/>
      <c r="C10473" s="907">
        <v>235</v>
      </c>
      <c r="D10473" s="907" t="s">
        <v>279</v>
      </c>
      <c r="E10473" s="992" t="s">
        <v>2682</v>
      </c>
      <c r="F10473" s="905" t="s">
        <v>45</v>
      </c>
      <c r="G10473" s="1005"/>
      <c r="H10473" s="911">
        <v>0.8</v>
      </c>
      <c r="I10473" s="912">
        <f>VLOOKUP(E10473,[3]VLP!$B$7:$K$300,10,0)</f>
        <v>5000</v>
      </c>
      <c r="J10473" s="912">
        <f t="shared" si="839"/>
        <v>4000</v>
      </c>
      <c r="K10473" s="912" t="s">
        <v>274</v>
      </c>
      <c r="L10473" s="912"/>
      <c r="M10473" s="912"/>
      <c r="N10473" s="912"/>
      <c r="O10473" s="892">
        <f t="shared" si="838"/>
        <v>0</v>
      </c>
      <c r="P10473" s="903">
        <f t="shared" si="832"/>
        <v>1</v>
      </c>
      <c r="Q10473" s="893">
        <f t="shared" si="833"/>
        <v>6</v>
      </c>
      <c r="R10473" s="894">
        <f t="shared" si="834"/>
        <v>0</v>
      </c>
    </row>
    <row r="10474" spans="1:18" s="847" customFormat="1">
      <c r="A10474" s="905"/>
      <c r="B10474" s="952"/>
      <c r="C10474" s="907">
        <v>699</v>
      </c>
      <c r="D10474" s="907" t="s">
        <v>279</v>
      </c>
      <c r="E10474" s="992" t="s">
        <v>4006</v>
      </c>
      <c r="F10474" s="905" t="s">
        <v>4007</v>
      </c>
      <c r="G10474" s="1005"/>
      <c r="H10474" s="911">
        <v>5</v>
      </c>
      <c r="I10474" s="912">
        <f>VLOOKUP(E10474,[3]VLP!$B$7:$K$300,10,0)</f>
        <v>5000</v>
      </c>
      <c r="J10474" s="912">
        <f t="shared" si="839"/>
        <v>25000</v>
      </c>
      <c r="K10474" s="912" t="s">
        <v>274</v>
      </c>
      <c r="L10474" s="912"/>
      <c r="M10474" s="912"/>
      <c r="N10474" s="912"/>
      <c r="O10474" s="892">
        <f t="shared" si="838"/>
        <v>0</v>
      </c>
      <c r="P10474" s="903">
        <f t="shared" si="832"/>
        <v>1</v>
      </c>
      <c r="Q10474" s="893">
        <f t="shared" si="833"/>
        <v>5</v>
      </c>
      <c r="R10474" s="894">
        <f t="shared" si="834"/>
        <v>0</v>
      </c>
    </row>
    <row r="10475" spans="1:18" s="904" customFormat="1">
      <c r="A10475" s="895"/>
      <c r="B10475" s="896"/>
      <c r="C10475" s="897"/>
      <c r="D10475" s="897"/>
      <c r="E10475" s="1002" t="s">
        <v>276</v>
      </c>
      <c r="F10475" s="1003"/>
      <c r="G10475" s="1004"/>
      <c r="H10475" s="901"/>
      <c r="I10475" s="902"/>
      <c r="J10475" s="902"/>
      <c r="K10475" s="912" t="s">
        <v>274</v>
      </c>
      <c r="L10475" s="902"/>
      <c r="M10475" s="902"/>
      <c r="N10475" s="902"/>
      <c r="O10475" s="892">
        <f t="shared" si="838"/>
        <v>0</v>
      </c>
      <c r="P10475" s="903">
        <f t="shared" si="832"/>
        <v>1</v>
      </c>
      <c r="Q10475" s="893">
        <f t="shared" si="833"/>
        <v>4</v>
      </c>
      <c r="R10475" s="894">
        <f t="shared" si="834"/>
        <v>0</v>
      </c>
    </row>
    <row r="10476" spans="1:18">
      <c r="A10476" s="905"/>
      <c r="B10476" s="952"/>
      <c r="C10476" s="907">
        <v>740</v>
      </c>
      <c r="D10476" s="907" t="s">
        <v>12</v>
      </c>
      <c r="E10476" s="992" t="s">
        <v>4008</v>
      </c>
      <c r="F10476" s="905" t="s">
        <v>2674</v>
      </c>
      <c r="G10476" s="1005"/>
      <c r="H10476" s="911">
        <v>2.4</v>
      </c>
      <c r="I10476" s="912"/>
      <c r="J10476" s="912"/>
      <c r="K10476" s="912">
        <f>VLOOKUP(E10476,[5]ĐMNC!$A$7:$F$67,4,0)</f>
        <v>221125</v>
      </c>
      <c r="L10476" s="912">
        <f>H10476*K10476</f>
        <v>530700</v>
      </c>
      <c r="M10476" s="912"/>
      <c r="N10476" s="912"/>
      <c r="O10476" s="892">
        <f t="shared" si="838"/>
        <v>0</v>
      </c>
      <c r="P10476" s="903">
        <f t="shared" si="832"/>
        <v>1</v>
      </c>
      <c r="Q10476" s="893">
        <f t="shared" si="833"/>
        <v>3</v>
      </c>
      <c r="R10476" s="894">
        <f t="shared" si="834"/>
        <v>0</v>
      </c>
    </row>
    <row r="10477" spans="1:18" s="904" customFormat="1">
      <c r="A10477" s="895"/>
      <c r="B10477" s="896"/>
      <c r="C10477" s="897"/>
      <c r="D10477" s="897"/>
      <c r="E10477" s="1002" t="s">
        <v>3914</v>
      </c>
      <c r="F10477" s="1003"/>
      <c r="G10477" s="1004"/>
      <c r="H10477" s="901"/>
      <c r="I10477" s="902"/>
      <c r="J10477" s="902"/>
      <c r="K10477" s="912" t="s">
        <v>274</v>
      </c>
      <c r="L10477" s="902"/>
      <c r="M10477" s="902"/>
      <c r="N10477" s="902"/>
      <c r="O10477" s="892">
        <f t="shared" si="838"/>
        <v>0</v>
      </c>
      <c r="P10477" s="903">
        <f t="shared" si="832"/>
        <v>1</v>
      </c>
      <c r="Q10477" s="893">
        <f t="shared" si="833"/>
        <v>2</v>
      </c>
      <c r="R10477" s="894">
        <f t="shared" si="834"/>
        <v>0</v>
      </c>
    </row>
    <row r="10478" spans="1:18">
      <c r="A10478" s="905"/>
      <c r="B10478" s="946" t="s">
        <v>6321</v>
      </c>
      <c r="C10478" s="907">
        <v>900</v>
      </c>
      <c r="D10478" s="907" t="s">
        <v>93</v>
      </c>
      <c r="E10478" s="992" t="s">
        <v>6322</v>
      </c>
      <c r="F10478" s="905" t="s">
        <v>2673</v>
      </c>
      <c r="G10478" s="1005"/>
      <c r="H10478" s="911">
        <v>0.15</v>
      </c>
      <c r="I10478" s="912"/>
      <c r="J10478" s="912"/>
      <c r="K10478" s="912"/>
      <c r="L10478" s="912"/>
      <c r="M10478" s="912">
        <f>VLOOKUP(B10478,MTC!$B$9:$S$933,12,0)</f>
        <v>1475268</v>
      </c>
      <c r="N10478" s="912">
        <f>M10478*H10478</f>
        <v>221290.19999999998</v>
      </c>
      <c r="O10478" s="892">
        <f t="shared" si="838"/>
        <v>0</v>
      </c>
      <c r="P10478" s="903">
        <f t="shared" si="832"/>
        <v>1</v>
      </c>
      <c r="Q10478" s="893">
        <f t="shared" si="833"/>
        <v>1</v>
      </c>
      <c r="R10478" s="894">
        <f t="shared" si="834"/>
        <v>0</v>
      </c>
    </row>
    <row r="10479" spans="1:18" s="847" customFormat="1">
      <c r="A10479" s="905">
        <v>171</v>
      </c>
      <c r="B10479" s="914" t="s">
        <v>6697</v>
      </c>
      <c r="C10479" s="915"/>
      <c r="D10479" s="915"/>
      <c r="E10479" s="1006" t="s">
        <v>6698</v>
      </c>
      <c r="F10479" s="1007" t="s">
        <v>139</v>
      </c>
      <c r="G10479" s="1008"/>
      <c r="H10479" s="919"/>
      <c r="I10479" s="920"/>
      <c r="J10479" s="891">
        <f>SUM(J10480:J10490)</f>
        <v>37532.400000000001</v>
      </c>
      <c r="K10479" s="891" t="s">
        <v>274</v>
      </c>
      <c r="L10479" s="891">
        <f>SUM(L10480:L10490)</f>
        <v>424560</v>
      </c>
      <c r="M10479" s="891"/>
      <c r="N10479" s="891">
        <f>SUM(N10480:N10490)</f>
        <v>221290.19999999998</v>
      </c>
      <c r="O10479" s="892">
        <f t="shared" si="838"/>
        <v>1</v>
      </c>
      <c r="P10479" s="903">
        <f t="shared" si="832"/>
        <v>0</v>
      </c>
      <c r="Q10479" s="893">
        <f t="shared" si="833"/>
        <v>0</v>
      </c>
      <c r="R10479" s="894">
        <f t="shared" si="834"/>
        <v>11</v>
      </c>
    </row>
    <row r="10480" spans="1:18" s="904" customFormat="1">
      <c r="A10480" s="895"/>
      <c r="B10480" s="896"/>
      <c r="C10480" s="897"/>
      <c r="D10480" s="897"/>
      <c r="E10480" s="1002" t="s">
        <v>108</v>
      </c>
      <c r="F10480" s="1003"/>
      <c r="G10480" s="1004"/>
      <c r="H10480" s="901"/>
      <c r="I10480" s="902"/>
      <c r="J10480" s="902"/>
      <c r="K10480" s="912" t="s">
        <v>274</v>
      </c>
      <c r="L10480" s="902"/>
      <c r="M10480" s="902"/>
      <c r="N10480" s="902"/>
      <c r="O10480" s="892">
        <f t="shared" si="838"/>
        <v>0</v>
      </c>
      <c r="P10480" s="903">
        <f t="shared" si="832"/>
        <v>1</v>
      </c>
      <c r="Q10480" s="893">
        <f t="shared" si="833"/>
        <v>11</v>
      </c>
      <c r="R10480" s="894">
        <f t="shared" si="834"/>
        <v>0</v>
      </c>
    </row>
    <row r="10481" spans="1:18">
      <c r="A10481" s="905"/>
      <c r="B10481" s="952"/>
      <c r="C10481" s="907">
        <v>212</v>
      </c>
      <c r="D10481" s="907" t="s">
        <v>279</v>
      </c>
      <c r="E10481" s="992" t="s">
        <v>2681</v>
      </c>
      <c r="F10481" s="905" t="s">
        <v>45</v>
      </c>
      <c r="G10481" s="1005"/>
      <c r="H10481" s="911">
        <v>0.08</v>
      </c>
      <c r="I10481" s="912">
        <f>VLOOKUP(E10481,[3]VLP!$B$7:$K$300,10,0)</f>
        <v>23000</v>
      </c>
      <c r="J10481" s="912">
        <f t="shared" ref="J10481:J10486" si="840">I10481*H10481</f>
        <v>1840</v>
      </c>
      <c r="K10481" s="912" t="s">
        <v>274</v>
      </c>
      <c r="L10481" s="912"/>
      <c r="M10481" s="912"/>
      <c r="N10481" s="912"/>
      <c r="O10481" s="892">
        <f t="shared" si="838"/>
        <v>0</v>
      </c>
      <c r="P10481" s="903">
        <f t="shared" si="832"/>
        <v>1</v>
      </c>
      <c r="Q10481" s="893">
        <f t="shared" si="833"/>
        <v>10</v>
      </c>
      <c r="R10481" s="894">
        <f t="shared" si="834"/>
        <v>0</v>
      </c>
    </row>
    <row r="10482" spans="1:18" s="904" customFormat="1">
      <c r="A10482" s="905"/>
      <c r="B10482" s="952"/>
      <c r="C10482" s="907">
        <v>318</v>
      </c>
      <c r="D10482" s="907" t="s">
        <v>279</v>
      </c>
      <c r="E10482" s="992" t="s">
        <v>5657</v>
      </c>
      <c r="F10482" s="905" t="s">
        <v>45</v>
      </c>
      <c r="G10482" s="1005"/>
      <c r="H10482" s="911">
        <v>0.08</v>
      </c>
      <c r="I10482" s="912">
        <f>VLOOKUP(E10482,[3]VLP!$B$7:$K$300,10,0)</f>
        <v>25155</v>
      </c>
      <c r="J10482" s="912">
        <f t="shared" si="840"/>
        <v>2012.4</v>
      </c>
      <c r="K10482" s="912" t="s">
        <v>274</v>
      </c>
      <c r="L10482" s="912"/>
      <c r="M10482" s="912"/>
      <c r="N10482" s="912"/>
      <c r="O10482" s="892">
        <f t="shared" si="838"/>
        <v>0</v>
      </c>
      <c r="P10482" s="903">
        <f t="shared" si="832"/>
        <v>1</v>
      </c>
      <c r="Q10482" s="893">
        <f t="shared" si="833"/>
        <v>9</v>
      </c>
      <c r="R10482" s="894">
        <f t="shared" si="834"/>
        <v>0</v>
      </c>
    </row>
    <row r="10483" spans="1:18">
      <c r="A10483" s="905"/>
      <c r="B10483" s="952"/>
      <c r="C10483" s="907">
        <v>289</v>
      </c>
      <c r="D10483" s="907" t="s">
        <v>279</v>
      </c>
      <c r="E10483" s="992" t="s">
        <v>3147</v>
      </c>
      <c r="F10483" s="905" t="s">
        <v>45</v>
      </c>
      <c r="G10483" s="1005"/>
      <c r="H10483" s="911">
        <v>2.4E-2</v>
      </c>
      <c r="I10483" s="912">
        <f>VLOOKUP(E10483,[3]VLP!$B$7:$K$300,10,0)</f>
        <v>45000</v>
      </c>
      <c r="J10483" s="912">
        <f t="shared" si="840"/>
        <v>1080</v>
      </c>
      <c r="K10483" s="912" t="s">
        <v>274</v>
      </c>
      <c r="L10483" s="912"/>
      <c r="M10483" s="912"/>
      <c r="N10483" s="912"/>
      <c r="O10483" s="892">
        <f t="shared" si="838"/>
        <v>0</v>
      </c>
      <c r="P10483" s="903">
        <f t="shared" ref="P10483:P10546" si="841">IF(O10483=0,1,0)</f>
        <v>1</v>
      </c>
      <c r="Q10483" s="893">
        <f t="shared" ref="Q10483:Q10546" si="842">IF(P10483=0,0,P10483+Q10484)</f>
        <v>8</v>
      </c>
      <c r="R10483" s="894">
        <f t="shared" ref="R10483:R10546" si="843">IF(Q10483=0,Q10484,0)</f>
        <v>0</v>
      </c>
    </row>
    <row r="10484" spans="1:18" s="847" customFormat="1">
      <c r="A10484" s="905"/>
      <c r="B10484" s="952"/>
      <c r="C10484" s="907">
        <v>234</v>
      </c>
      <c r="D10484" s="907" t="s">
        <v>279</v>
      </c>
      <c r="E10484" s="992" t="s">
        <v>5983</v>
      </c>
      <c r="F10484" s="905" t="s">
        <v>3144</v>
      </c>
      <c r="G10484" s="1005"/>
      <c r="H10484" s="911">
        <v>0.4</v>
      </c>
      <c r="I10484" s="912">
        <f>VLOOKUP(E10484,[3]VLP!$B$7:$K$300,10,0)</f>
        <v>14000</v>
      </c>
      <c r="J10484" s="912">
        <f t="shared" si="840"/>
        <v>5600</v>
      </c>
      <c r="K10484" s="912" t="s">
        <v>274</v>
      </c>
      <c r="L10484" s="912"/>
      <c r="M10484" s="912"/>
      <c r="N10484" s="912"/>
      <c r="O10484" s="892">
        <f t="shared" si="838"/>
        <v>0</v>
      </c>
      <c r="P10484" s="903">
        <f t="shared" si="841"/>
        <v>1</v>
      </c>
      <c r="Q10484" s="893">
        <f t="shared" si="842"/>
        <v>7</v>
      </c>
      <c r="R10484" s="894">
        <f t="shared" si="843"/>
        <v>0</v>
      </c>
    </row>
    <row r="10485" spans="1:18" s="904" customFormat="1">
      <c r="A10485" s="905"/>
      <c r="B10485" s="952"/>
      <c r="C10485" s="907">
        <v>235</v>
      </c>
      <c r="D10485" s="907" t="s">
        <v>279</v>
      </c>
      <c r="E10485" s="992" t="s">
        <v>2682</v>
      </c>
      <c r="F10485" s="905" t="s">
        <v>45</v>
      </c>
      <c r="G10485" s="1005"/>
      <c r="H10485" s="911">
        <v>0.4</v>
      </c>
      <c r="I10485" s="912">
        <f>VLOOKUP(E10485,[3]VLP!$B$7:$K$300,10,0)</f>
        <v>5000</v>
      </c>
      <c r="J10485" s="912">
        <f t="shared" si="840"/>
        <v>2000</v>
      </c>
      <c r="K10485" s="912" t="s">
        <v>274</v>
      </c>
      <c r="L10485" s="912"/>
      <c r="M10485" s="912"/>
      <c r="N10485" s="912"/>
      <c r="O10485" s="892">
        <f t="shared" si="838"/>
        <v>0</v>
      </c>
      <c r="P10485" s="903">
        <f t="shared" si="841"/>
        <v>1</v>
      </c>
      <c r="Q10485" s="893">
        <f t="shared" si="842"/>
        <v>6</v>
      </c>
      <c r="R10485" s="894">
        <f t="shared" si="843"/>
        <v>0</v>
      </c>
    </row>
    <row r="10486" spans="1:18">
      <c r="A10486" s="905"/>
      <c r="B10486" s="952"/>
      <c r="C10486" s="907">
        <v>699</v>
      </c>
      <c r="D10486" s="907" t="s">
        <v>279</v>
      </c>
      <c r="E10486" s="992" t="s">
        <v>4006</v>
      </c>
      <c r="F10486" s="905" t="s">
        <v>4007</v>
      </c>
      <c r="G10486" s="1005"/>
      <c r="H10486" s="911">
        <v>5</v>
      </c>
      <c r="I10486" s="912">
        <f>VLOOKUP(E10486,[3]VLP!$B$7:$K$300,10,0)</f>
        <v>5000</v>
      </c>
      <c r="J10486" s="912">
        <f t="shared" si="840"/>
        <v>25000</v>
      </c>
      <c r="K10486" s="912" t="s">
        <v>274</v>
      </c>
      <c r="L10486" s="912"/>
      <c r="M10486" s="912"/>
      <c r="N10486" s="912"/>
      <c r="O10486" s="892">
        <f t="shared" si="838"/>
        <v>0</v>
      </c>
      <c r="P10486" s="903">
        <f t="shared" si="841"/>
        <v>1</v>
      </c>
      <c r="Q10486" s="893">
        <f t="shared" si="842"/>
        <v>5</v>
      </c>
      <c r="R10486" s="894">
        <f t="shared" si="843"/>
        <v>0</v>
      </c>
    </row>
    <row r="10487" spans="1:18" s="904" customFormat="1">
      <c r="A10487" s="895"/>
      <c r="B10487" s="896"/>
      <c r="C10487" s="897"/>
      <c r="D10487" s="897"/>
      <c r="E10487" s="1002" t="s">
        <v>276</v>
      </c>
      <c r="F10487" s="1003"/>
      <c r="G10487" s="1004"/>
      <c r="H10487" s="901"/>
      <c r="I10487" s="902"/>
      <c r="J10487" s="902"/>
      <c r="K10487" s="912" t="s">
        <v>274</v>
      </c>
      <c r="L10487" s="902"/>
      <c r="M10487" s="902"/>
      <c r="N10487" s="902"/>
      <c r="O10487" s="892">
        <f t="shared" si="838"/>
        <v>0</v>
      </c>
      <c r="P10487" s="903">
        <f t="shared" si="841"/>
        <v>1</v>
      </c>
      <c r="Q10487" s="893">
        <f t="shared" si="842"/>
        <v>4</v>
      </c>
      <c r="R10487" s="894">
        <f t="shared" si="843"/>
        <v>0</v>
      </c>
    </row>
    <row r="10488" spans="1:18">
      <c r="A10488" s="905"/>
      <c r="B10488" s="952"/>
      <c r="C10488" s="907">
        <v>740</v>
      </c>
      <c r="D10488" s="907" t="s">
        <v>12</v>
      </c>
      <c r="E10488" s="992" t="s">
        <v>4008</v>
      </c>
      <c r="F10488" s="905" t="s">
        <v>2674</v>
      </c>
      <c r="G10488" s="1005"/>
      <c r="H10488" s="911">
        <v>1.92</v>
      </c>
      <c r="I10488" s="912"/>
      <c r="J10488" s="912"/>
      <c r="K10488" s="912">
        <f>VLOOKUP(E10488,[5]ĐMNC!$A$7:$F$67,4,0)</f>
        <v>221125</v>
      </c>
      <c r="L10488" s="912">
        <f>H10488*K10488</f>
        <v>424560</v>
      </c>
      <c r="M10488" s="912"/>
      <c r="N10488" s="912"/>
      <c r="O10488" s="892">
        <f t="shared" si="838"/>
        <v>0</v>
      </c>
      <c r="P10488" s="903">
        <f t="shared" si="841"/>
        <v>1</v>
      </c>
      <c r="Q10488" s="893">
        <f t="shared" si="842"/>
        <v>3</v>
      </c>
      <c r="R10488" s="894">
        <f t="shared" si="843"/>
        <v>0</v>
      </c>
    </row>
    <row r="10489" spans="1:18" s="847" customFormat="1">
      <c r="A10489" s="895"/>
      <c r="B10489" s="896"/>
      <c r="C10489" s="897"/>
      <c r="D10489" s="897"/>
      <c r="E10489" s="1002" t="s">
        <v>3914</v>
      </c>
      <c r="F10489" s="1003"/>
      <c r="G10489" s="1004"/>
      <c r="H10489" s="901"/>
      <c r="I10489" s="902"/>
      <c r="J10489" s="902"/>
      <c r="K10489" s="912" t="s">
        <v>274</v>
      </c>
      <c r="L10489" s="902"/>
      <c r="M10489" s="902"/>
      <c r="N10489" s="902"/>
      <c r="O10489" s="892">
        <f t="shared" si="838"/>
        <v>0</v>
      </c>
      <c r="P10489" s="903">
        <f t="shared" si="841"/>
        <v>1</v>
      </c>
      <c r="Q10489" s="893">
        <f t="shared" si="842"/>
        <v>2</v>
      </c>
      <c r="R10489" s="894">
        <f t="shared" si="843"/>
        <v>0</v>
      </c>
    </row>
    <row r="10490" spans="1:18" s="904" customFormat="1">
      <c r="A10490" s="905"/>
      <c r="B10490" s="946" t="s">
        <v>6321</v>
      </c>
      <c r="C10490" s="907">
        <v>900</v>
      </c>
      <c r="D10490" s="907" t="s">
        <v>93</v>
      </c>
      <c r="E10490" s="992" t="s">
        <v>6322</v>
      </c>
      <c r="F10490" s="905" t="s">
        <v>2673</v>
      </c>
      <c r="G10490" s="1005"/>
      <c r="H10490" s="911">
        <v>0.15</v>
      </c>
      <c r="I10490" s="912"/>
      <c r="J10490" s="912"/>
      <c r="K10490" s="912"/>
      <c r="L10490" s="912"/>
      <c r="M10490" s="912">
        <f>VLOOKUP(B10490,MTC!$B$9:$S$933,12,0)</f>
        <v>1475268</v>
      </c>
      <c r="N10490" s="912">
        <f>M10490*H10490</f>
        <v>221290.19999999998</v>
      </c>
      <c r="O10490" s="892">
        <f t="shared" si="838"/>
        <v>0</v>
      </c>
      <c r="P10490" s="903">
        <f t="shared" si="841"/>
        <v>1</v>
      </c>
      <c r="Q10490" s="893">
        <f t="shared" si="842"/>
        <v>1</v>
      </c>
      <c r="R10490" s="894">
        <f t="shared" si="843"/>
        <v>0</v>
      </c>
    </row>
    <row r="10491" spans="1:18">
      <c r="A10491" s="955" t="s">
        <v>6699</v>
      </c>
      <c r="B10491" s="914" t="s">
        <v>6700</v>
      </c>
      <c r="C10491" s="915"/>
      <c r="D10491" s="915"/>
      <c r="E10491" s="1006" t="s">
        <v>6701</v>
      </c>
      <c r="F10491" s="1007" t="s">
        <v>139</v>
      </c>
      <c r="G10491" s="1008"/>
      <c r="H10491" s="919"/>
      <c r="I10491" s="920"/>
      <c r="J10491" s="891">
        <f>SUM(J10492:J10503)</f>
        <v>113369.75</v>
      </c>
      <c r="K10491" s="891"/>
      <c r="L10491" s="891">
        <f>SUM(L10492:L10503)</f>
        <v>2432375</v>
      </c>
      <c r="M10491" s="891"/>
      <c r="N10491" s="891">
        <f>SUM(N10492:N10503)</f>
        <v>1262334.5</v>
      </c>
      <c r="O10491" s="892">
        <f t="shared" si="838"/>
        <v>1</v>
      </c>
      <c r="P10491" s="903">
        <f t="shared" si="841"/>
        <v>0</v>
      </c>
      <c r="Q10491" s="893">
        <f t="shared" si="842"/>
        <v>0</v>
      </c>
      <c r="R10491" s="894">
        <f t="shared" si="843"/>
        <v>12</v>
      </c>
    </row>
    <row r="10492" spans="1:18" s="904" customFormat="1">
      <c r="A10492" s="895"/>
      <c r="B10492" s="896"/>
      <c r="C10492" s="897"/>
      <c r="D10492" s="897"/>
      <c r="E10492" s="1002" t="s">
        <v>108</v>
      </c>
      <c r="F10492" s="1003"/>
      <c r="G10492" s="1004"/>
      <c r="H10492" s="901"/>
      <c r="I10492" s="902"/>
      <c r="J10492" s="902"/>
      <c r="K10492" s="912" t="s">
        <v>274</v>
      </c>
      <c r="L10492" s="902"/>
      <c r="M10492" s="902"/>
      <c r="N10492" s="902"/>
      <c r="O10492" s="892">
        <f t="shared" si="838"/>
        <v>0</v>
      </c>
      <c r="P10492" s="903">
        <f t="shared" si="841"/>
        <v>1</v>
      </c>
      <c r="Q10492" s="893">
        <f t="shared" si="842"/>
        <v>12</v>
      </c>
      <c r="R10492" s="894">
        <f t="shared" si="843"/>
        <v>0</v>
      </c>
    </row>
    <row r="10493" spans="1:18">
      <c r="A10493" s="905"/>
      <c r="B10493" s="952"/>
      <c r="C10493" s="907">
        <v>212</v>
      </c>
      <c r="D10493" s="907" t="s">
        <v>279</v>
      </c>
      <c r="E10493" s="992" t="s">
        <v>2681</v>
      </c>
      <c r="F10493" s="905" t="s">
        <v>45</v>
      </c>
      <c r="G10493" s="1005"/>
      <c r="H10493" s="911">
        <v>0.45</v>
      </c>
      <c r="I10493" s="912">
        <f>VLOOKUP(E10493,[3]VLP!$B$7:$K$300,10,0)</f>
        <v>23000</v>
      </c>
      <c r="J10493" s="912">
        <f t="shared" ref="J10493:J10498" si="844">I10493*H10493</f>
        <v>10350</v>
      </c>
      <c r="K10493" s="912" t="s">
        <v>274</v>
      </c>
      <c r="L10493" s="912"/>
      <c r="M10493" s="912"/>
      <c r="N10493" s="912"/>
      <c r="O10493" s="892">
        <f t="shared" si="838"/>
        <v>0</v>
      </c>
      <c r="P10493" s="903">
        <f t="shared" si="841"/>
        <v>1</v>
      </c>
      <c r="Q10493" s="893">
        <f t="shared" si="842"/>
        <v>11</v>
      </c>
      <c r="R10493" s="894">
        <f t="shared" si="843"/>
        <v>0</v>
      </c>
    </row>
    <row r="10494" spans="1:18" s="847" customFormat="1">
      <c r="A10494" s="905"/>
      <c r="B10494" s="952"/>
      <c r="C10494" s="907">
        <v>318</v>
      </c>
      <c r="D10494" s="907" t="s">
        <v>279</v>
      </c>
      <c r="E10494" s="992" t="s">
        <v>5657</v>
      </c>
      <c r="F10494" s="905" t="s">
        <v>45</v>
      </c>
      <c r="G10494" s="1005"/>
      <c r="H10494" s="911">
        <v>0.45</v>
      </c>
      <c r="I10494" s="912">
        <f>VLOOKUP(E10494,[3]VLP!$B$7:$K$300,10,0)</f>
        <v>25155</v>
      </c>
      <c r="J10494" s="912">
        <f t="shared" si="844"/>
        <v>11319.75</v>
      </c>
      <c r="K10494" s="912" t="s">
        <v>274</v>
      </c>
      <c r="L10494" s="912"/>
      <c r="M10494" s="912"/>
      <c r="N10494" s="912"/>
      <c r="O10494" s="892">
        <f t="shared" si="838"/>
        <v>0</v>
      </c>
      <c r="P10494" s="903">
        <f t="shared" si="841"/>
        <v>1</v>
      </c>
      <c r="Q10494" s="893">
        <f t="shared" si="842"/>
        <v>10</v>
      </c>
      <c r="R10494" s="894">
        <f t="shared" si="843"/>
        <v>0</v>
      </c>
    </row>
    <row r="10495" spans="1:18" s="904" customFormat="1">
      <c r="A10495" s="905"/>
      <c r="B10495" s="952"/>
      <c r="C10495" s="907">
        <v>289</v>
      </c>
      <c r="D10495" s="907" t="s">
        <v>279</v>
      </c>
      <c r="E10495" s="992" t="s">
        <v>3147</v>
      </c>
      <c r="F10495" s="905" t="s">
        <v>45</v>
      </c>
      <c r="G10495" s="1005"/>
      <c r="H10495" s="911">
        <v>0.16</v>
      </c>
      <c r="I10495" s="912">
        <f>VLOOKUP(E10495,[3]VLP!$B$7:$K$300,10,0)</f>
        <v>45000</v>
      </c>
      <c r="J10495" s="912">
        <f t="shared" si="844"/>
        <v>7200</v>
      </c>
      <c r="K10495" s="912" t="s">
        <v>274</v>
      </c>
      <c r="L10495" s="912"/>
      <c r="M10495" s="912"/>
      <c r="N10495" s="912"/>
      <c r="O10495" s="892">
        <f t="shared" si="838"/>
        <v>0</v>
      </c>
      <c r="P10495" s="903">
        <f t="shared" si="841"/>
        <v>1</v>
      </c>
      <c r="Q10495" s="893">
        <f t="shared" si="842"/>
        <v>9</v>
      </c>
      <c r="R10495" s="894">
        <f t="shared" si="843"/>
        <v>0</v>
      </c>
    </row>
    <row r="10496" spans="1:18">
      <c r="A10496" s="905"/>
      <c r="B10496" s="952"/>
      <c r="C10496" s="907">
        <v>234</v>
      </c>
      <c r="D10496" s="907" t="s">
        <v>279</v>
      </c>
      <c r="E10496" s="992" t="s">
        <v>5983</v>
      </c>
      <c r="F10496" s="905" t="s">
        <v>3144</v>
      </c>
      <c r="G10496" s="1005"/>
      <c r="H10496" s="911">
        <v>3</v>
      </c>
      <c r="I10496" s="912">
        <f>VLOOKUP(E10496,[3]VLP!$B$7:$K$300,10,0)</f>
        <v>14000</v>
      </c>
      <c r="J10496" s="912">
        <f t="shared" si="844"/>
        <v>42000</v>
      </c>
      <c r="K10496" s="912" t="s">
        <v>274</v>
      </c>
      <c r="L10496" s="912"/>
      <c r="M10496" s="912"/>
      <c r="N10496" s="912"/>
      <c r="O10496" s="892">
        <f t="shared" si="838"/>
        <v>0</v>
      </c>
      <c r="P10496" s="903">
        <f t="shared" si="841"/>
        <v>1</v>
      </c>
      <c r="Q10496" s="893">
        <f t="shared" si="842"/>
        <v>8</v>
      </c>
      <c r="R10496" s="894">
        <f t="shared" si="843"/>
        <v>0</v>
      </c>
    </row>
    <row r="10497" spans="1:18" s="904" customFormat="1">
      <c r="A10497" s="905"/>
      <c r="B10497" s="952"/>
      <c r="C10497" s="907">
        <v>235</v>
      </c>
      <c r="D10497" s="907" t="s">
        <v>279</v>
      </c>
      <c r="E10497" s="992" t="s">
        <v>2682</v>
      </c>
      <c r="F10497" s="905" t="s">
        <v>45</v>
      </c>
      <c r="G10497" s="1005"/>
      <c r="H10497" s="911">
        <v>3.5</v>
      </c>
      <c r="I10497" s="912">
        <f>VLOOKUP(E10497,[3]VLP!$B$7:$K$300,10,0)</f>
        <v>5000</v>
      </c>
      <c r="J10497" s="912">
        <f t="shared" si="844"/>
        <v>17500</v>
      </c>
      <c r="K10497" s="912" t="s">
        <v>274</v>
      </c>
      <c r="L10497" s="912"/>
      <c r="M10497" s="912"/>
      <c r="N10497" s="912"/>
      <c r="O10497" s="892">
        <f t="shared" si="838"/>
        <v>0</v>
      </c>
      <c r="P10497" s="903">
        <f t="shared" si="841"/>
        <v>1</v>
      </c>
      <c r="Q10497" s="893">
        <f t="shared" si="842"/>
        <v>7</v>
      </c>
      <c r="R10497" s="894">
        <f t="shared" si="843"/>
        <v>0</v>
      </c>
    </row>
    <row r="10498" spans="1:18">
      <c r="A10498" s="905"/>
      <c r="B10498" s="952"/>
      <c r="C10498" s="907">
        <v>699</v>
      </c>
      <c r="D10498" s="907" t="s">
        <v>279</v>
      </c>
      <c r="E10498" s="992" t="s">
        <v>4006</v>
      </c>
      <c r="F10498" s="905" t="s">
        <v>4007</v>
      </c>
      <c r="G10498" s="1005"/>
      <c r="H10498" s="911">
        <v>5</v>
      </c>
      <c r="I10498" s="912">
        <f>VLOOKUP(E10498,[3]VLP!$B$7:$K$300,10,0)</f>
        <v>5000</v>
      </c>
      <c r="J10498" s="912">
        <f t="shared" si="844"/>
        <v>25000</v>
      </c>
      <c r="K10498" s="912" t="s">
        <v>274</v>
      </c>
      <c r="L10498" s="912"/>
      <c r="M10498" s="912"/>
      <c r="N10498" s="912"/>
      <c r="O10498" s="892">
        <f t="shared" si="838"/>
        <v>0</v>
      </c>
      <c r="P10498" s="903">
        <f t="shared" si="841"/>
        <v>1</v>
      </c>
      <c r="Q10498" s="893">
        <f t="shared" si="842"/>
        <v>6</v>
      </c>
      <c r="R10498" s="894">
        <f t="shared" si="843"/>
        <v>0</v>
      </c>
    </row>
    <row r="10499" spans="1:18" s="847" customFormat="1">
      <c r="A10499" s="895"/>
      <c r="B10499" s="896"/>
      <c r="C10499" s="897"/>
      <c r="D10499" s="897"/>
      <c r="E10499" s="1002" t="s">
        <v>276</v>
      </c>
      <c r="F10499" s="1003"/>
      <c r="G10499" s="1004"/>
      <c r="H10499" s="901"/>
      <c r="I10499" s="902"/>
      <c r="J10499" s="902"/>
      <c r="K10499" s="912" t="s">
        <v>274</v>
      </c>
      <c r="L10499" s="902"/>
      <c r="M10499" s="902"/>
      <c r="N10499" s="902"/>
      <c r="O10499" s="892">
        <f t="shared" si="838"/>
        <v>0</v>
      </c>
      <c r="P10499" s="903">
        <f t="shared" si="841"/>
        <v>1</v>
      </c>
      <c r="Q10499" s="893">
        <f t="shared" si="842"/>
        <v>5</v>
      </c>
      <c r="R10499" s="894">
        <f t="shared" si="843"/>
        <v>0</v>
      </c>
    </row>
    <row r="10500" spans="1:18" s="904" customFormat="1">
      <c r="A10500" s="905"/>
      <c r="B10500" s="952"/>
      <c r="C10500" s="907">
        <v>740</v>
      </c>
      <c r="D10500" s="907" t="s">
        <v>12</v>
      </c>
      <c r="E10500" s="992" t="s">
        <v>4008</v>
      </c>
      <c r="F10500" s="905" t="s">
        <v>2674</v>
      </c>
      <c r="G10500" s="1005"/>
      <c r="H10500" s="911">
        <v>11</v>
      </c>
      <c r="I10500" s="912"/>
      <c r="J10500" s="912"/>
      <c r="K10500" s="912">
        <f>VLOOKUP(E10500,[5]ĐMNC!$A$7:$F$67,4,0)</f>
        <v>221125</v>
      </c>
      <c r="L10500" s="912">
        <f>H10500*K10500</f>
        <v>2432375</v>
      </c>
      <c r="M10500" s="912"/>
      <c r="N10500" s="912"/>
      <c r="O10500" s="892">
        <f t="shared" si="838"/>
        <v>0</v>
      </c>
      <c r="P10500" s="903">
        <f t="shared" si="841"/>
        <v>1</v>
      </c>
      <c r="Q10500" s="893">
        <f t="shared" si="842"/>
        <v>4</v>
      </c>
      <c r="R10500" s="894">
        <f t="shared" si="843"/>
        <v>0</v>
      </c>
    </row>
    <row r="10501" spans="1:18">
      <c r="A10501" s="895"/>
      <c r="B10501" s="896"/>
      <c r="C10501" s="897"/>
      <c r="D10501" s="897"/>
      <c r="E10501" s="1002" t="s">
        <v>3914</v>
      </c>
      <c r="F10501" s="1003"/>
      <c r="G10501" s="1004"/>
      <c r="H10501" s="901"/>
      <c r="I10501" s="902"/>
      <c r="J10501" s="902"/>
      <c r="K10501" s="912" t="s">
        <v>274</v>
      </c>
      <c r="L10501" s="902"/>
      <c r="M10501" s="902"/>
      <c r="N10501" s="902"/>
      <c r="O10501" s="892">
        <f t="shared" si="838"/>
        <v>0</v>
      </c>
      <c r="P10501" s="903">
        <f t="shared" si="841"/>
        <v>1</v>
      </c>
      <c r="Q10501" s="893">
        <f t="shared" si="842"/>
        <v>3</v>
      </c>
      <c r="R10501" s="894">
        <f t="shared" si="843"/>
        <v>0</v>
      </c>
    </row>
    <row r="10502" spans="1:18" s="904" customFormat="1">
      <c r="A10502" s="905"/>
      <c r="B10502" s="952" t="s">
        <v>6332</v>
      </c>
      <c r="C10502" s="907">
        <v>901</v>
      </c>
      <c r="D10502" s="907" t="s">
        <v>93</v>
      </c>
      <c r="E10502" s="992" t="s">
        <v>6333</v>
      </c>
      <c r="F10502" s="905" t="s">
        <v>2673</v>
      </c>
      <c r="G10502" s="1005"/>
      <c r="H10502" s="911">
        <v>0.5</v>
      </c>
      <c r="I10502" s="912"/>
      <c r="J10502" s="912"/>
      <c r="K10502" s="912"/>
      <c r="L10502" s="912"/>
      <c r="M10502" s="912">
        <f>VLOOKUP(B10502,MTC!$B$9:$S$933,12,0)</f>
        <v>1967433</v>
      </c>
      <c r="N10502" s="912">
        <f>M10502*H10502</f>
        <v>983716.5</v>
      </c>
      <c r="O10502" s="892">
        <f t="shared" si="838"/>
        <v>0</v>
      </c>
      <c r="P10502" s="903">
        <f t="shared" si="841"/>
        <v>1</v>
      </c>
      <c r="Q10502" s="893">
        <f t="shared" si="842"/>
        <v>2</v>
      </c>
      <c r="R10502" s="894">
        <f t="shared" si="843"/>
        <v>0</v>
      </c>
    </row>
    <row r="10503" spans="1:18">
      <c r="A10503" s="905"/>
      <c r="B10503" s="952" t="s">
        <v>4993</v>
      </c>
      <c r="C10503" s="907">
        <v>904</v>
      </c>
      <c r="D10503" s="907" t="s">
        <v>93</v>
      </c>
      <c r="E10503" s="992" t="s">
        <v>4994</v>
      </c>
      <c r="F10503" s="905" t="s">
        <v>2673</v>
      </c>
      <c r="G10503" s="1005"/>
      <c r="H10503" s="911">
        <v>0.2</v>
      </c>
      <c r="I10503" s="912"/>
      <c r="J10503" s="912"/>
      <c r="K10503" s="912"/>
      <c r="L10503" s="912"/>
      <c r="M10503" s="912">
        <f>VLOOKUP(B10503,MTC!$B$9:$S$933,12,0)</f>
        <v>1393090</v>
      </c>
      <c r="N10503" s="912">
        <f>M10503*H10503</f>
        <v>278618</v>
      </c>
      <c r="O10503" s="892">
        <f t="shared" si="838"/>
        <v>0</v>
      </c>
      <c r="P10503" s="903">
        <f t="shared" si="841"/>
        <v>1</v>
      </c>
      <c r="Q10503" s="893">
        <f t="shared" si="842"/>
        <v>1</v>
      </c>
      <c r="R10503" s="894">
        <f t="shared" si="843"/>
        <v>0</v>
      </c>
    </row>
    <row r="10504" spans="1:18">
      <c r="A10504" s="905">
        <v>173</v>
      </c>
      <c r="B10504" s="914" t="s">
        <v>6702</v>
      </c>
      <c r="C10504" s="915"/>
      <c r="D10504" s="915"/>
      <c r="E10504" s="1006" t="s">
        <v>6703</v>
      </c>
      <c r="F10504" s="1007" t="s">
        <v>139</v>
      </c>
      <c r="G10504" s="1008"/>
      <c r="H10504" s="919"/>
      <c r="I10504" s="920"/>
      <c r="J10504" s="891">
        <f>SUM(J10505:J10516)</f>
        <v>83896.5</v>
      </c>
      <c r="K10504" s="891"/>
      <c r="L10504" s="891">
        <f>SUM(L10505:L10516)</f>
        <v>2113955</v>
      </c>
      <c r="M10504" s="891"/>
      <c r="N10504" s="891">
        <f>SUM(N10505:N10516)</f>
        <v>926282.20000000007</v>
      </c>
      <c r="O10504" s="892">
        <f t="shared" si="838"/>
        <v>1</v>
      </c>
      <c r="P10504" s="903">
        <f t="shared" si="841"/>
        <v>0</v>
      </c>
      <c r="Q10504" s="893">
        <f t="shared" si="842"/>
        <v>0</v>
      </c>
      <c r="R10504" s="894">
        <f t="shared" si="843"/>
        <v>12</v>
      </c>
    </row>
    <row r="10505" spans="1:18" s="847" customFormat="1">
      <c r="A10505" s="895"/>
      <c r="B10505" s="896"/>
      <c r="C10505" s="897"/>
      <c r="D10505" s="897"/>
      <c r="E10505" s="1002" t="s">
        <v>108</v>
      </c>
      <c r="F10505" s="1003"/>
      <c r="G10505" s="1004"/>
      <c r="H10505" s="901"/>
      <c r="I10505" s="902"/>
      <c r="J10505" s="902"/>
      <c r="K10505" s="912" t="s">
        <v>274</v>
      </c>
      <c r="L10505" s="902"/>
      <c r="M10505" s="902"/>
      <c r="N10505" s="902"/>
      <c r="O10505" s="892">
        <f t="shared" si="838"/>
        <v>0</v>
      </c>
      <c r="P10505" s="903">
        <f t="shared" si="841"/>
        <v>1</v>
      </c>
      <c r="Q10505" s="893">
        <f t="shared" si="842"/>
        <v>12</v>
      </c>
      <c r="R10505" s="894">
        <f t="shared" si="843"/>
        <v>0</v>
      </c>
    </row>
    <row r="10506" spans="1:18" s="904" customFormat="1">
      <c r="A10506" s="905"/>
      <c r="B10506" s="952"/>
      <c r="C10506" s="907">
        <v>212</v>
      </c>
      <c r="D10506" s="907" t="s">
        <v>279</v>
      </c>
      <c r="E10506" s="992" t="s">
        <v>2681</v>
      </c>
      <c r="F10506" s="905" t="s">
        <v>45</v>
      </c>
      <c r="G10506" s="1005"/>
      <c r="H10506" s="911">
        <v>0.3</v>
      </c>
      <c r="I10506" s="912">
        <f>VLOOKUP(E10506,[3]VLP!$B$7:$K$300,10,0)</f>
        <v>23000</v>
      </c>
      <c r="J10506" s="912">
        <f t="shared" ref="J10506:J10511" si="845">I10506*H10506</f>
        <v>6900</v>
      </c>
      <c r="K10506" s="912" t="s">
        <v>274</v>
      </c>
      <c r="L10506" s="912"/>
      <c r="M10506" s="912"/>
      <c r="N10506" s="912"/>
      <c r="O10506" s="892">
        <f t="shared" si="838"/>
        <v>0</v>
      </c>
      <c r="P10506" s="903">
        <f t="shared" si="841"/>
        <v>1</v>
      </c>
      <c r="Q10506" s="893">
        <f t="shared" si="842"/>
        <v>11</v>
      </c>
      <c r="R10506" s="894">
        <f t="shared" si="843"/>
        <v>0</v>
      </c>
    </row>
    <row r="10507" spans="1:18">
      <c r="A10507" s="905"/>
      <c r="B10507" s="952"/>
      <c r="C10507" s="907">
        <v>318</v>
      </c>
      <c r="D10507" s="907" t="s">
        <v>279</v>
      </c>
      <c r="E10507" s="992" t="s">
        <v>5657</v>
      </c>
      <c r="F10507" s="905" t="s">
        <v>45</v>
      </c>
      <c r="G10507" s="1005"/>
      <c r="H10507" s="911">
        <v>0.3</v>
      </c>
      <c r="I10507" s="912">
        <f>VLOOKUP(E10507,[3]VLP!$B$7:$K$300,10,0)</f>
        <v>25155</v>
      </c>
      <c r="J10507" s="912">
        <f t="shared" si="845"/>
        <v>7546.5</v>
      </c>
      <c r="K10507" s="912" t="s">
        <v>274</v>
      </c>
      <c r="L10507" s="912"/>
      <c r="M10507" s="912"/>
      <c r="N10507" s="912"/>
      <c r="O10507" s="892">
        <f t="shared" si="838"/>
        <v>0</v>
      </c>
      <c r="P10507" s="903">
        <f t="shared" si="841"/>
        <v>1</v>
      </c>
      <c r="Q10507" s="893">
        <f t="shared" si="842"/>
        <v>10</v>
      </c>
      <c r="R10507" s="894">
        <f t="shared" si="843"/>
        <v>0</v>
      </c>
    </row>
    <row r="10508" spans="1:18" s="904" customFormat="1">
      <c r="A10508" s="905"/>
      <c r="B10508" s="952"/>
      <c r="C10508" s="907">
        <v>289</v>
      </c>
      <c r="D10508" s="907" t="s">
        <v>279</v>
      </c>
      <c r="E10508" s="992" t="s">
        <v>3147</v>
      </c>
      <c r="F10508" s="905" t="s">
        <v>45</v>
      </c>
      <c r="G10508" s="1005"/>
      <c r="H10508" s="911">
        <v>0.11</v>
      </c>
      <c r="I10508" s="912">
        <f>VLOOKUP(E10508,[3]VLP!$B$7:$K$300,10,0)</f>
        <v>45000</v>
      </c>
      <c r="J10508" s="912">
        <f t="shared" si="845"/>
        <v>4950</v>
      </c>
      <c r="K10508" s="912" t="s">
        <v>274</v>
      </c>
      <c r="L10508" s="912"/>
      <c r="M10508" s="912"/>
      <c r="N10508" s="912"/>
      <c r="O10508" s="892">
        <f t="shared" si="838"/>
        <v>0</v>
      </c>
      <c r="P10508" s="903">
        <f t="shared" si="841"/>
        <v>1</v>
      </c>
      <c r="Q10508" s="893">
        <f t="shared" si="842"/>
        <v>9</v>
      </c>
      <c r="R10508" s="894">
        <f t="shared" si="843"/>
        <v>0</v>
      </c>
    </row>
    <row r="10509" spans="1:18">
      <c r="A10509" s="905"/>
      <c r="B10509" s="952"/>
      <c r="C10509" s="907">
        <v>234</v>
      </c>
      <c r="D10509" s="907" t="s">
        <v>279</v>
      </c>
      <c r="E10509" s="992" t="s">
        <v>5983</v>
      </c>
      <c r="F10509" s="905" t="s">
        <v>3144</v>
      </c>
      <c r="G10509" s="1005"/>
      <c r="H10509" s="911">
        <v>2</v>
      </c>
      <c r="I10509" s="912">
        <f>VLOOKUP(E10509,[3]VLP!$B$7:$K$300,10,0)</f>
        <v>14000</v>
      </c>
      <c r="J10509" s="912">
        <f t="shared" si="845"/>
        <v>28000</v>
      </c>
      <c r="K10509" s="912" t="s">
        <v>274</v>
      </c>
      <c r="L10509" s="912"/>
      <c r="M10509" s="912"/>
      <c r="N10509" s="912"/>
      <c r="O10509" s="892">
        <f t="shared" si="838"/>
        <v>0</v>
      </c>
      <c r="P10509" s="903">
        <f t="shared" si="841"/>
        <v>1</v>
      </c>
      <c r="Q10509" s="893">
        <f t="shared" si="842"/>
        <v>8</v>
      </c>
      <c r="R10509" s="894">
        <f t="shared" si="843"/>
        <v>0</v>
      </c>
    </row>
    <row r="10510" spans="1:18">
      <c r="A10510" s="905"/>
      <c r="B10510" s="952"/>
      <c r="C10510" s="907">
        <v>235</v>
      </c>
      <c r="D10510" s="907" t="s">
        <v>279</v>
      </c>
      <c r="E10510" s="992" t="s">
        <v>2682</v>
      </c>
      <c r="F10510" s="905" t="s">
        <v>45</v>
      </c>
      <c r="G10510" s="1005"/>
      <c r="H10510" s="911">
        <v>2.2999999999999998</v>
      </c>
      <c r="I10510" s="912">
        <f>VLOOKUP(E10510,[3]VLP!$B$7:$K$300,10,0)</f>
        <v>5000</v>
      </c>
      <c r="J10510" s="912">
        <f t="shared" si="845"/>
        <v>11500</v>
      </c>
      <c r="K10510" s="912" t="s">
        <v>274</v>
      </c>
      <c r="L10510" s="912"/>
      <c r="M10510" s="912"/>
      <c r="N10510" s="912"/>
      <c r="O10510" s="892">
        <f t="shared" si="838"/>
        <v>0</v>
      </c>
      <c r="P10510" s="903">
        <f t="shared" si="841"/>
        <v>1</v>
      </c>
      <c r="Q10510" s="893">
        <f t="shared" si="842"/>
        <v>7</v>
      </c>
      <c r="R10510" s="894">
        <f t="shared" si="843"/>
        <v>0</v>
      </c>
    </row>
    <row r="10511" spans="1:18" s="847" customFormat="1">
      <c r="A10511" s="905"/>
      <c r="B10511" s="952"/>
      <c r="C10511" s="907">
        <v>699</v>
      </c>
      <c r="D10511" s="907" t="s">
        <v>279</v>
      </c>
      <c r="E10511" s="992" t="s">
        <v>4006</v>
      </c>
      <c r="F10511" s="905" t="s">
        <v>4007</v>
      </c>
      <c r="G10511" s="1005"/>
      <c r="H10511" s="911">
        <v>5</v>
      </c>
      <c r="I10511" s="912">
        <f>VLOOKUP(E10511,[3]VLP!$B$7:$K$300,10,0)</f>
        <v>5000</v>
      </c>
      <c r="J10511" s="912">
        <f t="shared" si="845"/>
        <v>25000</v>
      </c>
      <c r="K10511" s="912" t="s">
        <v>274</v>
      </c>
      <c r="L10511" s="912"/>
      <c r="M10511" s="912"/>
      <c r="N10511" s="912"/>
      <c r="O10511" s="892">
        <f t="shared" si="838"/>
        <v>0</v>
      </c>
      <c r="P10511" s="903">
        <f t="shared" si="841"/>
        <v>1</v>
      </c>
      <c r="Q10511" s="893">
        <f t="shared" si="842"/>
        <v>6</v>
      </c>
      <c r="R10511" s="894">
        <f t="shared" si="843"/>
        <v>0</v>
      </c>
    </row>
    <row r="10512" spans="1:18" s="904" customFormat="1">
      <c r="A10512" s="895"/>
      <c r="B10512" s="896"/>
      <c r="C10512" s="897"/>
      <c r="D10512" s="897"/>
      <c r="E10512" s="1002" t="s">
        <v>276</v>
      </c>
      <c r="F10512" s="1003"/>
      <c r="G10512" s="1004"/>
      <c r="H10512" s="901"/>
      <c r="I10512" s="902"/>
      <c r="J10512" s="902"/>
      <c r="K10512" s="912" t="s">
        <v>274</v>
      </c>
      <c r="L10512" s="902"/>
      <c r="M10512" s="902"/>
      <c r="N10512" s="902"/>
      <c r="O10512" s="892">
        <f t="shared" si="838"/>
        <v>0</v>
      </c>
      <c r="P10512" s="903">
        <f t="shared" si="841"/>
        <v>1</v>
      </c>
      <c r="Q10512" s="893">
        <f t="shared" si="842"/>
        <v>5</v>
      </c>
      <c r="R10512" s="894">
        <f t="shared" si="843"/>
        <v>0</v>
      </c>
    </row>
    <row r="10513" spans="1:18">
      <c r="A10513" s="905"/>
      <c r="B10513" s="952"/>
      <c r="C10513" s="907">
        <v>740</v>
      </c>
      <c r="D10513" s="907" t="s">
        <v>12</v>
      </c>
      <c r="E10513" s="992" t="s">
        <v>4008</v>
      </c>
      <c r="F10513" s="905" t="s">
        <v>2674</v>
      </c>
      <c r="G10513" s="1005"/>
      <c r="H10513" s="911">
        <v>9.56</v>
      </c>
      <c r="I10513" s="912"/>
      <c r="J10513" s="912"/>
      <c r="K10513" s="912">
        <f>VLOOKUP(E10513,[5]ĐMNC!$A$7:$F$67,4,0)</f>
        <v>221125</v>
      </c>
      <c r="L10513" s="912">
        <f>H10513*K10513</f>
        <v>2113955</v>
      </c>
      <c r="M10513" s="912"/>
      <c r="N10513" s="912"/>
      <c r="O10513" s="892">
        <f t="shared" si="838"/>
        <v>0</v>
      </c>
      <c r="P10513" s="903">
        <f t="shared" si="841"/>
        <v>1</v>
      </c>
      <c r="Q10513" s="893">
        <f t="shared" si="842"/>
        <v>4</v>
      </c>
      <c r="R10513" s="894">
        <f t="shared" si="843"/>
        <v>0</v>
      </c>
    </row>
    <row r="10514" spans="1:18" s="904" customFormat="1">
      <c r="A10514" s="895"/>
      <c r="B10514" s="896"/>
      <c r="C10514" s="897"/>
      <c r="D10514" s="897"/>
      <c r="E10514" s="1002" t="s">
        <v>3914</v>
      </c>
      <c r="F10514" s="1003"/>
      <c r="G10514" s="1004"/>
      <c r="H10514" s="901"/>
      <c r="I10514" s="902"/>
      <c r="J10514" s="902"/>
      <c r="K10514" s="912" t="s">
        <v>274</v>
      </c>
      <c r="L10514" s="902"/>
      <c r="M10514" s="902"/>
      <c r="N10514" s="902"/>
      <c r="O10514" s="892">
        <f t="shared" si="838"/>
        <v>0</v>
      </c>
      <c r="P10514" s="903">
        <f t="shared" si="841"/>
        <v>1</v>
      </c>
      <c r="Q10514" s="893">
        <f t="shared" si="842"/>
        <v>3</v>
      </c>
      <c r="R10514" s="894">
        <f t="shared" si="843"/>
        <v>0</v>
      </c>
    </row>
    <row r="10515" spans="1:18">
      <c r="A10515" s="905"/>
      <c r="B10515" s="952" t="s">
        <v>6332</v>
      </c>
      <c r="C10515" s="907">
        <v>901</v>
      </c>
      <c r="D10515" s="907" t="s">
        <v>93</v>
      </c>
      <c r="E10515" s="992" t="s">
        <v>6333</v>
      </c>
      <c r="F10515" s="905" t="s">
        <v>2673</v>
      </c>
      <c r="G10515" s="1005"/>
      <c r="H10515" s="911">
        <v>0.4</v>
      </c>
      <c r="I10515" s="912"/>
      <c r="J10515" s="912"/>
      <c r="K10515" s="912"/>
      <c r="L10515" s="912"/>
      <c r="M10515" s="912">
        <f>VLOOKUP(B10515,MTC!$B$9:$S$933,12,0)</f>
        <v>1967433</v>
      </c>
      <c r="N10515" s="912">
        <f>M10515*H10515</f>
        <v>786973.20000000007</v>
      </c>
      <c r="O10515" s="892">
        <f t="shared" si="838"/>
        <v>0</v>
      </c>
      <c r="P10515" s="903">
        <f t="shared" si="841"/>
        <v>1</v>
      </c>
      <c r="Q10515" s="893">
        <f t="shared" si="842"/>
        <v>2</v>
      </c>
      <c r="R10515" s="894">
        <f t="shared" si="843"/>
        <v>0</v>
      </c>
    </row>
    <row r="10516" spans="1:18">
      <c r="A10516" s="905"/>
      <c r="B10516" s="952" t="s">
        <v>4993</v>
      </c>
      <c r="C10516" s="907">
        <v>904</v>
      </c>
      <c r="D10516" s="907" t="s">
        <v>93</v>
      </c>
      <c r="E10516" s="992" t="s">
        <v>4994</v>
      </c>
      <c r="F10516" s="905" t="s">
        <v>2673</v>
      </c>
      <c r="G10516" s="1005"/>
      <c r="H10516" s="911">
        <v>0.1</v>
      </c>
      <c r="I10516" s="912"/>
      <c r="J10516" s="912"/>
      <c r="K10516" s="912"/>
      <c r="L10516" s="912"/>
      <c r="M10516" s="912">
        <f>VLOOKUP(B10516,MTC!$B$9:$S$933,12,0)</f>
        <v>1393090</v>
      </c>
      <c r="N10516" s="912">
        <f>M10516*H10516</f>
        <v>139309</v>
      </c>
      <c r="O10516" s="892">
        <f t="shared" si="838"/>
        <v>0</v>
      </c>
      <c r="P10516" s="903">
        <f t="shared" si="841"/>
        <v>1</v>
      </c>
      <c r="Q10516" s="893">
        <f t="shared" si="842"/>
        <v>1</v>
      </c>
      <c r="R10516" s="894">
        <f t="shared" si="843"/>
        <v>0</v>
      </c>
    </row>
    <row r="10517" spans="1:18" s="847" customFormat="1">
      <c r="A10517" s="905">
        <v>174</v>
      </c>
      <c r="B10517" s="914" t="s">
        <v>6704</v>
      </c>
      <c r="C10517" s="915"/>
      <c r="D10517" s="915"/>
      <c r="E10517" s="1006" t="s">
        <v>6705</v>
      </c>
      <c r="F10517" s="1007" t="s">
        <v>139</v>
      </c>
      <c r="G10517" s="1008"/>
      <c r="H10517" s="919"/>
      <c r="I10517" s="920"/>
      <c r="J10517" s="891">
        <f>SUM(J10518:J10529)</f>
        <v>59281</v>
      </c>
      <c r="K10517" s="891"/>
      <c r="L10517" s="891">
        <f>SUM(L10518:L10529)</f>
        <v>1658437.5</v>
      </c>
      <c r="M10517" s="891"/>
      <c r="N10517" s="891">
        <f>SUM(N10518:N10529)</f>
        <v>581889.39999999991</v>
      </c>
      <c r="O10517" s="892">
        <f t="shared" si="838"/>
        <v>1</v>
      </c>
      <c r="P10517" s="903">
        <f t="shared" si="841"/>
        <v>0</v>
      </c>
      <c r="Q10517" s="893">
        <f t="shared" si="842"/>
        <v>0</v>
      </c>
      <c r="R10517" s="894">
        <f t="shared" si="843"/>
        <v>12</v>
      </c>
    </row>
    <row r="10518" spans="1:18" s="904" customFormat="1">
      <c r="A10518" s="895"/>
      <c r="B10518" s="896"/>
      <c r="C10518" s="897"/>
      <c r="D10518" s="897"/>
      <c r="E10518" s="1002" t="s">
        <v>108</v>
      </c>
      <c r="F10518" s="1003"/>
      <c r="G10518" s="1004"/>
      <c r="H10518" s="901"/>
      <c r="I10518" s="902"/>
      <c r="J10518" s="902"/>
      <c r="K10518" s="912" t="s">
        <v>274</v>
      </c>
      <c r="L10518" s="902"/>
      <c r="M10518" s="902"/>
      <c r="N10518" s="902"/>
      <c r="O10518" s="892">
        <f t="shared" si="838"/>
        <v>0</v>
      </c>
      <c r="P10518" s="903">
        <f t="shared" si="841"/>
        <v>1</v>
      </c>
      <c r="Q10518" s="893">
        <f t="shared" si="842"/>
        <v>12</v>
      </c>
      <c r="R10518" s="894">
        <f t="shared" si="843"/>
        <v>0</v>
      </c>
    </row>
    <row r="10519" spans="1:18">
      <c r="A10519" s="905"/>
      <c r="B10519" s="952"/>
      <c r="C10519" s="907">
        <v>212</v>
      </c>
      <c r="D10519" s="907" t="s">
        <v>279</v>
      </c>
      <c r="E10519" s="992" t="s">
        <v>2681</v>
      </c>
      <c r="F10519" s="905" t="s">
        <v>45</v>
      </c>
      <c r="G10519" s="1005"/>
      <c r="H10519" s="911">
        <v>0.2</v>
      </c>
      <c r="I10519" s="912">
        <f>VLOOKUP(E10519,[3]VLP!$B$7:$K$300,10,0)</f>
        <v>23000</v>
      </c>
      <c r="J10519" s="912">
        <f t="shared" ref="J10519:J10524" si="846">I10519*H10519</f>
        <v>4600</v>
      </c>
      <c r="K10519" s="912" t="s">
        <v>274</v>
      </c>
      <c r="L10519" s="912"/>
      <c r="M10519" s="912"/>
      <c r="N10519" s="912"/>
      <c r="O10519" s="892">
        <f t="shared" si="838"/>
        <v>0</v>
      </c>
      <c r="P10519" s="903">
        <f t="shared" si="841"/>
        <v>1</v>
      </c>
      <c r="Q10519" s="893">
        <f t="shared" si="842"/>
        <v>11</v>
      </c>
      <c r="R10519" s="894">
        <f t="shared" si="843"/>
        <v>0</v>
      </c>
    </row>
    <row r="10520" spans="1:18" s="904" customFormat="1">
      <c r="A10520" s="905"/>
      <c r="B10520" s="952"/>
      <c r="C10520" s="907">
        <v>318</v>
      </c>
      <c r="D10520" s="907" t="s">
        <v>279</v>
      </c>
      <c r="E10520" s="992" t="s">
        <v>5657</v>
      </c>
      <c r="F10520" s="905" t="s">
        <v>45</v>
      </c>
      <c r="G10520" s="1005"/>
      <c r="H10520" s="911">
        <v>0.2</v>
      </c>
      <c r="I10520" s="912">
        <f>VLOOKUP(E10520,[3]VLP!$B$7:$K$300,10,0)</f>
        <v>25155</v>
      </c>
      <c r="J10520" s="912">
        <f t="shared" si="846"/>
        <v>5031</v>
      </c>
      <c r="K10520" s="912" t="s">
        <v>274</v>
      </c>
      <c r="L10520" s="912"/>
      <c r="M10520" s="912"/>
      <c r="N10520" s="912"/>
      <c r="O10520" s="892">
        <f t="shared" si="838"/>
        <v>0</v>
      </c>
      <c r="P10520" s="903">
        <f t="shared" si="841"/>
        <v>1</v>
      </c>
      <c r="Q10520" s="893">
        <f t="shared" si="842"/>
        <v>10</v>
      </c>
      <c r="R10520" s="894">
        <f t="shared" si="843"/>
        <v>0</v>
      </c>
    </row>
    <row r="10521" spans="1:18">
      <c r="A10521" s="905"/>
      <c r="B10521" s="952"/>
      <c r="C10521" s="907">
        <v>289</v>
      </c>
      <c r="D10521" s="907" t="s">
        <v>279</v>
      </c>
      <c r="E10521" s="992" t="s">
        <v>3147</v>
      </c>
      <c r="F10521" s="905" t="s">
        <v>45</v>
      </c>
      <c r="G10521" s="1005"/>
      <c r="H10521" s="911">
        <v>7.0000000000000007E-2</v>
      </c>
      <c r="I10521" s="912">
        <f>VLOOKUP(E10521,[3]VLP!$B$7:$K$300,10,0)</f>
        <v>45000</v>
      </c>
      <c r="J10521" s="912">
        <f t="shared" si="846"/>
        <v>3150.0000000000005</v>
      </c>
      <c r="K10521" s="912" t="s">
        <v>274</v>
      </c>
      <c r="L10521" s="912"/>
      <c r="M10521" s="912"/>
      <c r="N10521" s="912"/>
      <c r="O10521" s="892">
        <f t="shared" si="838"/>
        <v>0</v>
      </c>
      <c r="P10521" s="903">
        <f t="shared" si="841"/>
        <v>1</v>
      </c>
      <c r="Q10521" s="893">
        <f t="shared" si="842"/>
        <v>9</v>
      </c>
      <c r="R10521" s="894">
        <f t="shared" si="843"/>
        <v>0</v>
      </c>
    </row>
    <row r="10522" spans="1:18">
      <c r="A10522" s="905"/>
      <c r="B10522" s="952"/>
      <c r="C10522" s="907">
        <v>234</v>
      </c>
      <c r="D10522" s="907" t="s">
        <v>279</v>
      </c>
      <c r="E10522" s="992" t="s">
        <v>5983</v>
      </c>
      <c r="F10522" s="905" t="s">
        <v>3144</v>
      </c>
      <c r="G10522" s="1005"/>
      <c r="H10522" s="911">
        <v>1</v>
      </c>
      <c r="I10522" s="912">
        <f>VLOOKUP(E10522,[3]VLP!$B$7:$K$300,10,0)</f>
        <v>14000</v>
      </c>
      <c r="J10522" s="912">
        <f t="shared" si="846"/>
        <v>14000</v>
      </c>
      <c r="K10522" s="912" t="s">
        <v>274</v>
      </c>
      <c r="L10522" s="912"/>
      <c r="M10522" s="912"/>
      <c r="N10522" s="912"/>
      <c r="O10522" s="892">
        <f t="shared" si="838"/>
        <v>0</v>
      </c>
      <c r="P10522" s="903">
        <f t="shared" si="841"/>
        <v>1</v>
      </c>
      <c r="Q10522" s="893">
        <f t="shared" si="842"/>
        <v>8</v>
      </c>
      <c r="R10522" s="894">
        <f t="shared" si="843"/>
        <v>0</v>
      </c>
    </row>
    <row r="10523" spans="1:18" s="847" customFormat="1">
      <c r="A10523" s="905"/>
      <c r="B10523" s="952"/>
      <c r="C10523" s="907">
        <v>235</v>
      </c>
      <c r="D10523" s="907" t="s">
        <v>279</v>
      </c>
      <c r="E10523" s="992" t="s">
        <v>2682</v>
      </c>
      <c r="F10523" s="905" t="s">
        <v>45</v>
      </c>
      <c r="G10523" s="1005"/>
      <c r="H10523" s="911">
        <v>1.5</v>
      </c>
      <c r="I10523" s="912">
        <f>VLOOKUP(E10523,[3]VLP!$B$7:$K$300,10,0)</f>
        <v>5000</v>
      </c>
      <c r="J10523" s="912">
        <f t="shared" si="846"/>
        <v>7500</v>
      </c>
      <c r="K10523" s="912" t="s">
        <v>274</v>
      </c>
      <c r="L10523" s="912"/>
      <c r="M10523" s="912"/>
      <c r="N10523" s="912"/>
      <c r="O10523" s="892">
        <f t="shared" si="838"/>
        <v>0</v>
      </c>
      <c r="P10523" s="903">
        <f t="shared" si="841"/>
        <v>1</v>
      </c>
      <c r="Q10523" s="893">
        <f t="shared" si="842"/>
        <v>7</v>
      </c>
      <c r="R10523" s="894">
        <f t="shared" si="843"/>
        <v>0</v>
      </c>
    </row>
    <row r="10524" spans="1:18" s="904" customFormat="1">
      <c r="A10524" s="905"/>
      <c r="B10524" s="952"/>
      <c r="C10524" s="907">
        <v>699</v>
      </c>
      <c r="D10524" s="907" t="s">
        <v>279</v>
      </c>
      <c r="E10524" s="992" t="s">
        <v>4006</v>
      </c>
      <c r="F10524" s="905" t="s">
        <v>4007</v>
      </c>
      <c r="G10524" s="1005"/>
      <c r="H10524" s="911">
        <v>5</v>
      </c>
      <c r="I10524" s="912">
        <f>VLOOKUP(E10524,[3]VLP!$B$7:$K$300,10,0)</f>
        <v>5000</v>
      </c>
      <c r="J10524" s="912">
        <f t="shared" si="846"/>
        <v>25000</v>
      </c>
      <c r="K10524" s="912" t="s">
        <v>274</v>
      </c>
      <c r="L10524" s="912"/>
      <c r="M10524" s="912"/>
      <c r="N10524" s="912"/>
      <c r="O10524" s="892">
        <f t="shared" si="838"/>
        <v>0</v>
      </c>
      <c r="P10524" s="903">
        <f t="shared" si="841"/>
        <v>1</v>
      </c>
      <c r="Q10524" s="893">
        <f t="shared" si="842"/>
        <v>6</v>
      </c>
      <c r="R10524" s="894">
        <f t="shared" si="843"/>
        <v>0</v>
      </c>
    </row>
    <row r="10525" spans="1:18">
      <c r="A10525" s="895"/>
      <c r="B10525" s="896"/>
      <c r="C10525" s="897"/>
      <c r="D10525" s="897"/>
      <c r="E10525" s="1002" t="s">
        <v>276</v>
      </c>
      <c r="F10525" s="1003"/>
      <c r="G10525" s="1004"/>
      <c r="H10525" s="901"/>
      <c r="I10525" s="902"/>
      <c r="J10525" s="902"/>
      <c r="K10525" s="912" t="s">
        <v>274</v>
      </c>
      <c r="L10525" s="902"/>
      <c r="M10525" s="902"/>
      <c r="N10525" s="902"/>
      <c r="O10525" s="892">
        <f t="shared" si="838"/>
        <v>0</v>
      </c>
      <c r="P10525" s="903">
        <f t="shared" si="841"/>
        <v>1</v>
      </c>
      <c r="Q10525" s="893">
        <f t="shared" si="842"/>
        <v>5</v>
      </c>
      <c r="R10525" s="894">
        <f t="shared" si="843"/>
        <v>0</v>
      </c>
    </row>
    <row r="10526" spans="1:18" s="904" customFormat="1">
      <c r="A10526" s="905"/>
      <c r="B10526" s="952"/>
      <c r="C10526" s="907">
        <v>740</v>
      </c>
      <c r="D10526" s="907" t="s">
        <v>12</v>
      </c>
      <c r="E10526" s="992" t="s">
        <v>4008</v>
      </c>
      <c r="F10526" s="905" t="s">
        <v>2674</v>
      </c>
      <c r="G10526" s="1005"/>
      <c r="H10526" s="911">
        <v>7.5</v>
      </c>
      <c r="I10526" s="912"/>
      <c r="J10526" s="912"/>
      <c r="K10526" s="912">
        <f>VLOOKUP(E10526,[5]ĐMNC!$A$7:$F$67,4,0)</f>
        <v>221125</v>
      </c>
      <c r="L10526" s="912">
        <f>H10526*K10526</f>
        <v>1658437.5</v>
      </c>
      <c r="M10526" s="912"/>
      <c r="N10526" s="912"/>
      <c r="O10526" s="892">
        <f t="shared" si="838"/>
        <v>0</v>
      </c>
      <c r="P10526" s="903">
        <f t="shared" si="841"/>
        <v>1</v>
      </c>
      <c r="Q10526" s="893">
        <f t="shared" si="842"/>
        <v>4</v>
      </c>
      <c r="R10526" s="894">
        <f t="shared" si="843"/>
        <v>0</v>
      </c>
    </row>
    <row r="10527" spans="1:18">
      <c r="A10527" s="895"/>
      <c r="B10527" s="896"/>
      <c r="C10527" s="897"/>
      <c r="D10527" s="897"/>
      <c r="E10527" s="1002" t="s">
        <v>3914</v>
      </c>
      <c r="F10527" s="1003"/>
      <c r="G10527" s="1004"/>
      <c r="H10527" s="901"/>
      <c r="I10527" s="902"/>
      <c r="J10527" s="902"/>
      <c r="K10527" s="912" t="s">
        <v>274</v>
      </c>
      <c r="L10527" s="902"/>
      <c r="M10527" s="902"/>
      <c r="N10527" s="902"/>
      <c r="O10527" s="892">
        <f t="shared" ref="O10527:O10590" si="847">IF(AND(B10527&lt;&gt;"",D10527=""),1,0)</f>
        <v>0</v>
      </c>
      <c r="P10527" s="903">
        <f t="shared" si="841"/>
        <v>1</v>
      </c>
      <c r="Q10527" s="893">
        <f t="shared" si="842"/>
        <v>3</v>
      </c>
      <c r="R10527" s="894">
        <f t="shared" si="843"/>
        <v>0</v>
      </c>
    </row>
    <row r="10528" spans="1:18">
      <c r="A10528" s="905"/>
      <c r="B10528" s="946" t="s">
        <v>6321</v>
      </c>
      <c r="C10528" s="907">
        <v>900</v>
      </c>
      <c r="D10528" s="907" t="s">
        <v>93</v>
      </c>
      <c r="E10528" s="992" t="s">
        <v>6322</v>
      </c>
      <c r="F10528" s="905" t="s">
        <v>2673</v>
      </c>
      <c r="G10528" s="1005"/>
      <c r="H10528" s="911">
        <v>0.3</v>
      </c>
      <c r="I10528" s="912"/>
      <c r="J10528" s="912"/>
      <c r="K10528" s="912"/>
      <c r="L10528" s="912"/>
      <c r="M10528" s="912">
        <f>VLOOKUP(B10528,MTC!$B$9:$S$933,12,0)</f>
        <v>1475268</v>
      </c>
      <c r="N10528" s="912">
        <f>M10528*H10528</f>
        <v>442580.39999999997</v>
      </c>
      <c r="O10528" s="892">
        <f t="shared" si="847"/>
        <v>0</v>
      </c>
      <c r="P10528" s="903">
        <f t="shared" si="841"/>
        <v>1</v>
      </c>
      <c r="Q10528" s="893">
        <f t="shared" si="842"/>
        <v>2</v>
      </c>
      <c r="R10528" s="894">
        <f t="shared" si="843"/>
        <v>0</v>
      </c>
    </row>
    <row r="10529" spans="1:18" s="847" customFormat="1">
      <c r="A10529" s="905"/>
      <c r="B10529" s="952" t="s">
        <v>4993</v>
      </c>
      <c r="C10529" s="907">
        <v>904</v>
      </c>
      <c r="D10529" s="907" t="s">
        <v>93</v>
      </c>
      <c r="E10529" s="992" t="s">
        <v>4994</v>
      </c>
      <c r="F10529" s="905" t="s">
        <v>2673</v>
      </c>
      <c r="G10529" s="1005"/>
      <c r="H10529" s="911">
        <v>0.1</v>
      </c>
      <c r="I10529" s="912"/>
      <c r="J10529" s="912"/>
      <c r="K10529" s="912"/>
      <c r="L10529" s="912"/>
      <c r="M10529" s="912">
        <f>VLOOKUP(B10529,MTC!$B$9:$S$933,12,0)</f>
        <v>1393090</v>
      </c>
      <c r="N10529" s="912">
        <f>M10529*H10529</f>
        <v>139309</v>
      </c>
      <c r="O10529" s="892">
        <f t="shared" si="847"/>
        <v>0</v>
      </c>
      <c r="P10529" s="903">
        <f t="shared" si="841"/>
        <v>1</v>
      </c>
      <c r="Q10529" s="893">
        <f t="shared" si="842"/>
        <v>1</v>
      </c>
      <c r="R10529" s="894">
        <f t="shared" si="843"/>
        <v>0</v>
      </c>
    </row>
    <row r="10530" spans="1:18" s="904" customFormat="1">
      <c r="A10530" s="905">
        <v>175</v>
      </c>
      <c r="B10530" s="914" t="s">
        <v>6706</v>
      </c>
      <c r="C10530" s="915"/>
      <c r="D10530" s="915"/>
      <c r="E10530" s="1006" t="s">
        <v>6707</v>
      </c>
      <c r="F10530" s="1007" t="s">
        <v>139</v>
      </c>
      <c r="G10530" s="1008"/>
      <c r="H10530" s="919"/>
      <c r="I10530" s="920"/>
      <c r="J10530" s="891">
        <f>SUM(J10531:J10541)</f>
        <v>52215.5</v>
      </c>
      <c r="K10530" s="891" t="s">
        <v>274</v>
      </c>
      <c r="L10530" s="891">
        <f>SUM(L10531:L10541)</f>
        <v>663375</v>
      </c>
      <c r="M10530" s="891"/>
      <c r="N10530" s="891">
        <f>SUM(N10531:N10541)</f>
        <v>295053.60000000003</v>
      </c>
      <c r="O10530" s="892">
        <f t="shared" si="847"/>
        <v>1</v>
      </c>
      <c r="P10530" s="903">
        <f t="shared" si="841"/>
        <v>0</v>
      </c>
      <c r="Q10530" s="893">
        <f t="shared" si="842"/>
        <v>0</v>
      </c>
      <c r="R10530" s="894">
        <f t="shared" si="843"/>
        <v>11</v>
      </c>
    </row>
    <row r="10531" spans="1:18">
      <c r="A10531" s="895"/>
      <c r="B10531" s="896"/>
      <c r="C10531" s="897"/>
      <c r="D10531" s="897"/>
      <c r="E10531" s="1002" t="s">
        <v>108</v>
      </c>
      <c r="F10531" s="1003"/>
      <c r="G10531" s="1004"/>
      <c r="H10531" s="901"/>
      <c r="I10531" s="902"/>
      <c r="J10531" s="902"/>
      <c r="K10531" s="912" t="s">
        <v>274</v>
      </c>
      <c r="L10531" s="902"/>
      <c r="M10531" s="902"/>
      <c r="N10531" s="902"/>
      <c r="O10531" s="892">
        <f t="shared" si="847"/>
        <v>0</v>
      </c>
      <c r="P10531" s="903">
        <f t="shared" si="841"/>
        <v>1</v>
      </c>
      <c r="Q10531" s="893">
        <f t="shared" si="842"/>
        <v>11</v>
      </c>
      <c r="R10531" s="894">
        <f t="shared" si="843"/>
        <v>0</v>
      </c>
    </row>
    <row r="10532" spans="1:18" s="904" customFormat="1">
      <c r="A10532" s="905"/>
      <c r="B10532" s="952"/>
      <c r="C10532" s="907">
        <v>212</v>
      </c>
      <c r="D10532" s="907" t="s">
        <v>279</v>
      </c>
      <c r="E10532" s="992" t="s">
        <v>2681</v>
      </c>
      <c r="F10532" s="905" t="s">
        <v>45</v>
      </c>
      <c r="G10532" s="1005"/>
      <c r="H10532" s="911">
        <v>0.15</v>
      </c>
      <c r="I10532" s="912">
        <f>VLOOKUP(E10532,[3]VLP!$B$7:$K$300,10,0)</f>
        <v>23000</v>
      </c>
      <c r="J10532" s="912">
        <f t="shared" ref="J10532:J10537" si="848">I10532*H10532</f>
        <v>3450</v>
      </c>
      <c r="K10532" s="912" t="s">
        <v>274</v>
      </c>
      <c r="L10532" s="912"/>
      <c r="M10532" s="912"/>
      <c r="N10532" s="912"/>
      <c r="O10532" s="892">
        <f t="shared" si="847"/>
        <v>0</v>
      </c>
      <c r="P10532" s="903">
        <f t="shared" si="841"/>
        <v>1</v>
      </c>
      <c r="Q10532" s="893">
        <f t="shared" si="842"/>
        <v>10</v>
      </c>
      <c r="R10532" s="894">
        <f t="shared" si="843"/>
        <v>0</v>
      </c>
    </row>
    <row r="10533" spans="1:18">
      <c r="A10533" s="905"/>
      <c r="B10533" s="952"/>
      <c r="C10533" s="907">
        <v>318</v>
      </c>
      <c r="D10533" s="907" t="s">
        <v>279</v>
      </c>
      <c r="E10533" s="992" t="s">
        <v>5657</v>
      </c>
      <c r="F10533" s="905" t="s">
        <v>45</v>
      </c>
      <c r="G10533" s="1005"/>
      <c r="H10533" s="911">
        <v>0.1</v>
      </c>
      <c r="I10533" s="912">
        <f>VLOOKUP(E10533,[3]VLP!$B$7:$K$300,10,0)</f>
        <v>25155</v>
      </c>
      <c r="J10533" s="912">
        <f t="shared" si="848"/>
        <v>2515.5</v>
      </c>
      <c r="K10533" s="912" t="s">
        <v>274</v>
      </c>
      <c r="L10533" s="912"/>
      <c r="M10533" s="912"/>
      <c r="N10533" s="912"/>
      <c r="O10533" s="892">
        <f t="shared" si="847"/>
        <v>0</v>
      </c>
      <c r="P10533" s="903">
        <f t="shared" si="841"/>
        <v>1</v>
      </c>
      <c r="Q10533" s="893">
        <f t="shared" si="842"/>
        <v>9</v>
      </c>
      <c r="R10533" s="894">
        <f t="shared" si="843"/>
        <v>0</v>
      </c>
    </row>
    <row r="10534" spans="1:18">
      <c r="A10534" s="905"/>
      <c r="B10534" s="952"/>
      <c r="C10534" s="907">
        <v>289</v>
      </c>
      <c r="D10534" s="907" t="s">
        <v>279</v>
      </c>
      <c r="E10534" s="992" t="s">
        <v>3147</v>
      </c>
      <c r="F10534" s="905" t="s">
        <v>45</v>
      </c>
      <c r="G10534" s="1005"/>
      <c r="H10534" s="911">
        <v>0.05</v>
      </c>
      <c r="I10534" s="912">
        <f>VLOOKUP(E10534,[3]VLP!$B$7:$K$300,10,0)</f>
        <v>45000</v>
      </c>
      <c r="J10534" s="912">
        <f t="shared" si="848"/>
        <v>2250</v>
      </c>
      <c r="K10534" s="912" t="s">
        <v>274</v>
      </c>
      <c r="L10534" s="912"/>
      <c r="M10534" s="912"/>
      <c r="N10534" s="912"/>
      <c r="O10534" s="892">
        <f t="shared" si="847"/>
        <v>0</v>
      </c>
      <c r="P10534" s="903">
        <f t="shared" si="841"/>
        <v>1</v>
      </c>
      <c r="Q10534" s="893">
        <f t="shared" si="842"/>
        <v>8</v>
      </c>
      <c r="R10534" s="894">
        <f t="shared" si="843"/>
        <v>0</v>
      </c>
    </row>
    <row r="10535" spans="1:18" s="847" customFormat="1">
      <c r="A10535" s="905"/>
      <c r="B10535" s="952"/>
      <c r="C10535" s="907">
        <v>234</v>
      </c>
      <c r="D10535" s="907" t="s">
        <v>279</v>
      </c>
      <c r="E10535" s="992" t="s">
        <v>5983</v>
      </c>
      <c r="F10535" s="905" t="s">
        <v>3144</v>
      </c>
      <c r="G10535" s="1005"/>
      <c r="H10535" s="911">
        <v>1</v>
      </c>
      <c r="I10535" s="912">
        <f>VLOOKUP(E10535,[3]VLP!$B$7:$K$300,10,0)</f>
        <v>14000</v>
      </c>
      <c r="J10535" s="912">
        <f t="shared" si="848"/>
        <v>14000</v>
      </c>
      <c r="K10535" s="912" t="s">
        <v>274</v>
      </c>
      <c r="L10535" s="912"/>
      <c r="M10535" s="912"/>
      <c r="N10535" s="912"/>
      <c r="O10535" s="892">
        <f t="shared" si="847"/>
        <v>0</v>
      </c>
      <c r="P10535" s="903">
        <f t="shared" si="841"/>
        <v>1</v>
      </c>
      <c r="Q10535" s="893">
        <f t="shared" si="842"/>
        <v>7</v>
      </c>
      <c r="R10535" s="894">
        <f t="shared" si="843"/>
        <v>0</v>
      </c>
    </row>
    <row r="10536" spans="1:18" s="904" customFormat="1">
      <c r="A10536" s="905"/>
      <c r="B10536" s="952"/>
      <c r="C10536" s="907">
        <v>235</v>
      </c>
      <c r="D10536" s="907" t="s">
        <v>279</v>
      </c>
      <c r="E10536" s="992" t="s">
        <v>2682</v>
      </c>
      <c r="F10536" s="905" t="s">
        <v>45</v>
      </c>
      <c r="G10536" s="1005"/>
      <c r="H10536" s="911">
        <v>1</v>
      </c>
      <c r="I10536" s="912">
        <f>VLOOKUP(E10536,[3]VLP!$B$7:$K$300,10,0)</f>
        <v>5000</v>
      </c>
      <c r="J10536" s="912">
        <f t="shared" si="848"/>
        <v>5000</v>
      </c>
      <c r="K10536" s="912" t="s">
        <v>274</v>
      </c>
      <c r="L10536" s="912"/>
      <c r="M10536" s="912"/>
      <c r="N10536" s="912"/>
      <c r="O10536" s="892">
        <f t="shared" si="847"/>
        <v>0</v>
      </c>
      <c r="P10536" s="903">
        <f t="shared" si="841"/>
        <v>1</v>
      </c>
      <c r="Q10536" s="893">
        <f t="shared" si="842"/>
        <v>6</v>
      </c>
      <c r="R10536" s="894">
        <f t="shared" si="843"/>
        <v>0</v>
      </c>
    </row>
    <row r="10537" spans="1:18">
      <c r="A10537" s="905"/>
      <c r="B10537" s="952"/>
      <c r="C10537" s="907">
        <v>699</v>
      </c>
      <c r="D10537" s="907" t="s">
        <v>279</v>
      </c>
      <c r="E10537" s="992" t="s">
        <v>4006</v>
      </c>
      <c r="F10537" s="905" t="s">
        <v>4007</v>
      </c>
      <c r="G10537" s="1005"/>
      <c r="H10537" s="911">
        <v>5</v>
      </c>
      <c r="I10537" s="912">
        <f>VLOOKUP(E10537,[3]VLP!$B$7:$K$300,10,0)</f>
        <v>5000</v>
      </c>
      <c r="J10537" s="912">
        <f t="shared" si="848"/>
        <v>25000</v>
      </c>
      <c r="K10537" s="912" t="s">
        <v>274</v>
      </c>
      <c r="L10537" s="912"/>
      <c r="M10537" s="912"/>
      <c r="N10537" s="912"/>
      <c r="O10537" s="892">
        <f t="shared" si="847"/>
        <v>0</v>
      </c>
      <c r="P10537" s="903">
        <f t="shared" si="841"/>
        <v>1</v>
      </c>
      <c r="Q10537" s="893">
        <f t="shared" si="842"/>
        <v>5</v>
      </c>
      <c r="R10537" s="894">
        <f t="shared" si="843"/>
        <v>0</v>
      </c>
    </row>
    <row r="10538" spans="1:18" s="904" customFormat="1">
      <c r="A10538" s="895"/>
      <c r="B10538" s="896"/>
      <c r="C10538" s="897"/>
      <c r="D10538" s="897"/>
      <c r="E10538" s="1002" t="s">
        <v>276</v>
      </c>
      <c r="F10538" s="1003"/>
      <c r="G10538" s="1004"/>
      <c r="H10538" s="901"/>
      <c r="I10538" s="902"/>
      <c r="J10538" s="902"/>
      <c r="K10538" s="912" t="s">
        <v>274</v>
      </c>
      <c r="L10538" s="902"/>
      <c r="M10538" s="902"/>
      <c r="N10538" s="902"/>
      <c r="O10538" s="892">
        <f t="shared" si="847"/>
        <v>0</v>
      </c>
      <c r="P10538" s="903">
        <f t="shared" si="841"/>
        <v>1</v>
      </c>
      <c r="Q10538" s="893">
        <f t="shared" si="842"/>
        <v>4</v>
      </c>
      <c r="R10538" s="894">
        <f t="shared" si="843"/>
        <v>0</v>
      </c>
    </row>
    <row r="10539" spans="1:18">
      <c r="A10539" s="905"/>
      <c r="B10539" s="952"/>
      <c r="C10539" s="907">
        <v>740</v>
      </c>
      <c r="D10539" s="907" t="s">
        <v>12</v>
      </c>
      <c r="E10539" s="992" t="s">
        <v>4008</v>
      </c>
      <c r="F10539" s="905" t="s">
        <v>2674</v>
      </c>
      <c r="G10539" s="1005"/>
      <c r="H10539" s="911">
        <v>3</v>
      </c>
      <c r="I10539" s="912"/>
      <c r="J10539" s="912"/>
      <c r="K10539" s="912">
        <f>VLOOKUP(E10539,[5]ĐMNC!$A$7:$F$67,4,0)</f>
        <v>221125</v>
      </c>
      <c r="L10539" s="912">
        <f>H10539*K10539</f>
        <v>663375</v>
      </c>
      <c r="M10539" s="912"/>
      <c r="N10539" s="912"/>
      <c r="O10539" s="892">
        <f t="shared" si="847"/>
        <v>0</v>
      </c>
      <c r="P10539" s="903">
        <f t="shared" si="841"/>
        <v>1</v>
      </c>
      <c r="Q10539" s="893">
        <f t="shared" si="842"/>
        <v>3</v>
      </c>
      <c r="R10539" s="894">
        <f t="shared" si="843"/>
        <v>0</v>
      </c>
    </row>
    <row r="10540" spans="1:18">
      <c r="A10540" s="895"/>
      <c r="B10540" s="896"/>
      <c r="C10540" s="897"/>
      <c r="D10540" s="897"/>
      <c r="E10540" s="1002" t="s">
        <v>3914</v>
      </c>
      <c r="F10540" s="1003"/>
      <c r="G10540" s="1004"/>
      <c r="H10540" s="901"/>
      <c r="I10540" s="902"/>
      <c r="J10540" s="902"/>
      <c r="K10540" s="912" t="s">
        <v>274</v>
      </c>
      <c r="L10540" s="902"/>
      <c r="M10540" s="902"/>
      <c r="N10540" s="902"/>
      <c r="O10540" s="892">
        <f t="shared" si="847"/>
        <v>0</v>
      </c>
      <c r="P10540" s="903">
        <f t="shared" si="841"/>
        <v>1</v>
      </c>
      <c r="Q10540" s="893">
        <f t="shared" si="842"/>
        <v>2</v>
      </c>
      <c r="R10540" s="894">
        <f t="shared" si="843"/>
        <v>0</v>
      </c>
    </row>
    <row r="10541" spans="1:18" s="847" customFormat="1">
      <c r="A10541" s="905"/>
      <c r="B10541" s="946" t="s">
        <v>6321</v>
      </c>
      <c r="C10541" s="907">
        <v>900</v>
      </c>
      <c r="D10541" s="907" t="s">
        <v>93</v>
      </c>
      <c r="E10541" s="992" t="s">
        <v>6322</v>
      </c>
      <c r="F10541" s="905" t="s">
        <v>2673</v>
      </c>
      <c r="G10541" s="1005"/>
      <c r="H10541" s="911">
        <v>0.2</v>
      </c>
      <c r="I10541" s="912"/>
      <c r="J10541" s="912"/>
      <c r="K10541" s="912"/>
      <c r="L10541" s="912"/>
      <c r="M10541" s="912">
        <f>VLOOKUP(B10541,MTC!$B$9:$S$933,12,0)</f>
        <v>1475268</v>
      </c>
      <c r="N10541" s="912">
        <f>M10541*H10541</f>
        <v>295053.60000000003</v>
      </c>
      <c r="O10541" s="892">
        <f t="shared" si="847"/>
        <v>0</v>
      </c>
      <c r="P10541" s="903">
        <f t="shared" si="841"/>
        <v>1</v>
      </c>
      <c r="Q10541" s="893">
        <f t="shared" si="842"/>
        <v>1</v>
      </c>
      <c r="R10541" s="894">
        <f t="shared" si="843"/>
        <v>0</v>
      </c>
    </row>
    <row r="10542" spans="1:18" s="904" customFormat="1">
      <c r="A10542" s="905">
        <v>176</v>
      </c>
      <c r="B10542" s="914" t="s">
        <v>6708</v>
      </c>
      <c r="C10542" s="915"/>
      <c r="D10542" s="915"/>
      <c r="E10542" s="1006" t="s">
        <v>6709</v>
      </c>
      <c r="F10542" s="1007" t="s">
        <v>139</v>
      </c>
      <c r="G10542" s="1008"/>
      <c r="H10542" s="919"/>
      <c r="I10542" s="920"/>
      <c r="J10542" s="891">
        <f>SUM(J10543:J10553)</f>
        <v>40665.5</v>
      </c>
      <c r="K10542" s="891" t="s">
        <v>274</v>
      </c>
      <c r="L10542" s="891">
        <f>SUM(L10543:L10553)</f>
        <v>530700</v>
      </c>
      <c r="M10542" s="891"/>
      <c r="N10542" s="891">
        <f>SUM(N10543:N10553)</f>
        <v>295053.60000000003</v>
      </c>
      <c r="O10542" s="892">
        <f t="shared" si="847"/>
        <v>1</v>
      </c>
      <c r="P10542" s="903">
        <f t="shared" si="841"/>
        <v>0</v>
      </c>
      <c r="Q10542" s="893">
        <f t="shared" si="842"/>
        <v>0</v>
      </c>
      <c r="R10542" s="894">
        <f t="shared" si="843"/>
        <v>11</v>
      </c>
    </row>
    <row r="10543" spans="1:18">
      <c r="A10543" s="895"/>
      <c r="B10543" s="896"/>
      <c r="C10543" s="897"/>
      <c r="D10543" s="897"/>
      <c r="E10543" s="1002" t="s">
        <v>108</v>
      </c>
      <c r="F10543" s="1003"/>
      <c r="G10543" s="1004"/>
      <c r="H10543" s="901"/>
      <c r="I10543" s="902"/>
      <c r="J10543" s="902"/>
      <c r="K10543" s="912" t="s">
        <v>274</v>
      </c>
      <c r="L10543" s="902"/>
      <c r="M10543" s="902"/>
      <c r="N10543" s="902"/>
      <c r="O10543" s="892">
        <f t="shared" si="847"/>
        <v>0</v>
      </c>
      <c r="P10543" s="903">
        <f t="shared" si="841"/>
        <v>1</v>
      </c>
      <c r="Q10543" s="893">
        <f t="shared" si="842"/>
        <v>11</v>
      </c>
      <c r="R10543" s="894">
        <f t="shared" si="843"/>
        <v>0</v>
      </c>
    </row>
    <row r="10544" spans="1:18" s="904" customFormat="1">
      <c r="A10544" s="905"/>
      <c r="B10544" s="952"/>
      <c r="C10544" s="907">
        <v>212</v>
      </c>
      <c r="D10544" s="907" t="s">
        <v>279</v>
      </c>
      <c r="E10544" s="992" t="s">
        <v>2681</v>
      </c>
      <c r="F10544" s="905" t="s">
        <v>45</v>
      </c>
      <c r="G10544" s="1005"/>
      <c r="H10544" s="911">
        <v>0.1</v>
      </c>
      <c r="I10544" s="912">
        <f>VLOOKUP(E10544,[3]VLP!$B$7:$K$300,10,0)</f>
        <v>23000</v>
      </c>
      <c r="J10544" s="912">
        <f t="shared" ref="J10544:J10549" si="849">I10544*H10544</f>
        <v>2300</v>
      </c>
      <c r="K10544" s="912" t="s">
        <v>274</v>
      </c>
      <c r="L10544" s="912"/>
      <c r="M10544" s="912"/>
      <c r="N10544" s="912"/>
      <c r="O10544" s="892">
        <f t="shared" si="847"/>
        <v>0</v>
      </c>
      <c r="P10544" s="903">
        <f t="shared" si="841"/>
        <v>1</v>
      </c>
      <c r="Q10544" s="893">
        <f t="shared" si="842"/>
        <v>10</v>
      </c>
      <c r="R10544" s="894">
        <f t="shared" si="843"/>
        <v>0</v>
      </c>
    </row>
    <row r="10545" spans="1:18">
      <c r="A10545" s="905"/>
      <c r="B10545" s="952"/>
      <c r="C10545" s="907">
        <v>318</v>
      </c>
      <c r="D10545" s="907" t="s">
        <v>279</v>
      </c>
      <c r="E10545" s="992" t="s">
        <v>5657</v>
      </c>
      <c r="F10545" s="905" t="s">
        <v>45</v>
      </c>
      <c r="G10545" s="1005"/>
      <c r="H10545" s="911">
        <v>0.1</v>
      </c>
      <c r="I10545" s="912">
        <f>VLOOKUP(E10545,[3]VLP!$B$7:$K$300,10,0)</f>
        <v>25155</v>
      </c>
      <c r="J10545" s="912">
        <f t="shared" si="849"/>
        <v>2515.5</v>
      </c>
      <c r="K10545" s="912" t="s">
        <v>274</v>
      </c>
      <c r="L10545" s="912"/>
      <c r="M10545" s="912"/>
      <c r="N10545" s="912"/>
      <c r="O10545" s="892">
        <f t="shared" si="847"/>
        <v>0</v>
      </c>
      <c r="P10545" s="903">
        <f t="shared" si="841"/>
        <v>1</v>
      </c>
      <c r="Q10545" s="893">
        <f t="shared" si="842"/>
        <v>9</v>
      </c>
      <c r="R10545" s="894">
        <f t="shared" si="843"/>
        <v>0</v>
      </c>
    </row>
    <row r="10546" spans="1:18">
      <c r="A10546" s="905"/>
      <c r="B10546" s="952"/>
      <c r="C10546" s="907">
        <v>289</v>
      </c>
      <c r="D10546" s="907" t="s">
        <v>279</v>
      </c>
      <c r="E10546" s="992" t="s">
        <v>3147</v>
      </c>
      <c r="F10546" s="905" t="s">
        <v>45</v>
      </c>
      <c r="G10546" s="1005"/>
      <c r="H10546" s="911">
        <v>0.03</v>
      </c>
      <c r="I10546" s="912">
        <f>VLOOKUP(E10546,[3]VLP!$B$7:$K$300,10,0)</f>
        <v>45000</v>
      </c>
      <c r="J10546" s="912">
        <f t="shared" si="849"/>
        <v>1350</v>
      </c>
      <c r="K10546" s="912" t="s">
        <v>274</v>
      </c>
      <c r="L10546" s="912"/>
      <c r="M10546" s="912"/>
      <c r="N10546" s="912"/>
      <c r="O10546" s="892">
        <f t="shared" si="847"/>
        <v>0</v>
      </c>
      <c r="P10546" s="903">
        <f t="shared" si="841"/>
        <v>1</v>
      </c>
      <c r="Q10546" s="893">
        <f t="shared" si="842"/>
        <v>8</v>
      </c>
      <c r="R10546" s="894">
        <f t="shared" si="843"/>
        <v>0</v>
      </c>
    </row>
    <row r="10547" spans="1:18" s="847" customFormat="1">
      <c r="A10547" s="905"/>
      <c r="B10547" s="952"/>
      <c r="C10547" s="907">
        <v>234</v>
      </c>
      <c r="D10547" s="907" t="s">
        <v>279</v>
      </c>
      <c r="E10547" s="992" t="s">
        <v>5983</v>
      </c>
      <c r="F10547" s="905" t="s">
        <v>3144</v>
      </c>
      <c r="G10547" s="1005"/>
      <c r="H10547" s="911">
        <v>0.5</v>
      </c>
      <c r="I10547" s="912">
        <f>VLOOKUP(E10547,[3]VLP!$B$7:$K$300,10,0)</f>
        <v>14000</v>
      </c>
      <c r="J10547" s="912">
        <f t="shared" si="849"/>
        <v>7000</v>
      </c>
      <c r="K10547" s="912" t="s">
        <v>274</v>
      </c>
      <c r="L10547" s="912"/>
      <c r="M10547" s="912"/>
      <c r="N10547" s="912"/>
      <c r="O10547" s="892">
        <f t="shared" si="847"/>
        <v>0</v>
      </c>
      <c r="P10547" s="903">
        <f t="shared" ref="P10547:P10610" si="850">IF(O10547=0,1,0)</f>
        <v>1</v>
      </c>
      <c r="Q10547" s="893">
        <f t="shared" ref="Q10547:Q10610" si="851">IF(P10547=0,0,P10547+Q10548)</f>
        <v>7</v>
      </c>
      <c r="R10547" s="894">
        <f t="shared" ref="R10547:R10610" si="852">IF(Q10547=0,Q10548,0)</f>
        <v>0</v>
      </c>
    </row>
    <row r="10548" spans="1:18" s="904" customFormat="1">
      <c r="A10548" s="905"/>
      <c r="B10548" s="952"/>
      <c r="C10548" s="907">
        <v>235</v>
      </c>
      <c r="D10548" s="907" t="s">
        <v>279</v>
      </c>
      <c r="E10548" s="992" t="s">
        <v>2682</v>
      </c>
      <c r="F10548" s="905" t="s">
        <v>45</v>
      </c>
      <c r="G10548" s="1005"/>
      <c r="H10548" s="911">
        <v>0.5</v>
      </c>
      <c r="I10548" s="912">
        <f>VLOOKUP(E10548,[3]VLP!$B$7:$K$300,10,0)</f>
        <v>5000</v>
      </c>
      <c r="J10548" s="912">
        <f t="shared" si="849"/>
        <v>2500</v>
      </c>
      <c r="K10548" s="912" t="s">
        <v>274</v>
      </c>
      <c r="L10548" s="912"/>
      <c r="M10548" s="912"/>
      <c r="N10548" s="912"/>
      <c r="O10548" s="892">
        <f t="shared" si="847"/>
        <v>0</v>
      </c>
      <c r="P10548" s="903">
        <f t="shared" si="850"/>
        <v>1</v>
      </c>
      <c r="Q10548" s="893">
        <f t="shared" si="851"/>
        <v>6</v>
      </c>
      <c r="R10548" s="894">
        <f t="shared" si="852"/>
        <v>0</v>
      </c>
    </row>
    <row r="10549" spans="1:18">
      <c r="A10549" s="905"/>
      <c r="B10549" s="952"/>
      <c r="C10549" s="907">
        <v>699</v>
      </c>
      <c r="D10549" s="907" t="s">
        <v>279</v>
      </c>
      <c r="E10549" s="992" t="s">
        <v>4006</v>
      </c>
      <c r="F10549" s="905" t="s">
        <v>4007</v>
      </c>
      <c r="G10549" s="1005"/>
      <c r="H10549" s="911">
        <v>5</v>
      </c>
      <c r="I10549" s="912">
        <f>VLOOKUP(E10549,[3]VLP!$B$7:$K$300,10,0)</f>
        <v>5000</v>
      </c>
      <c r="J10549" s="912">
        <f t="shared" si="849"/>
        <v>25000</v>
      </c>
      <c r="K10549" s="912" t="s">
        <v>274</v>
      </c>
      <c r="L10549" s="912"/>
      <c r="M10549" s="912"/>
      <c r="N10549" s="912"/>
      <c r="O10549" s="892">
        <f t="shared" si="847"/>
        <v>0</v>
      </c>
      <c r="P10549" s="903">
        <f t="shared" si="850"/>
        <v>1</v>
      </c>
      <c r="Q10549" s="893">
        <f t="shared" si="851"/>
        <v>5</v>
      </c>
      <c r="R10549" s="894">
        <f t="shared" si="852"/>
        <v>0</v>
      </c>
    </row>
    <row r="10550" spans="1:18" s="904" customFormat="1">
      <c r="A10550" s="895"/>
      <c r="B10550" s="896"/>
      <c r="C10550" s="897"/>
      <c r="D10550" s="897"/>
      <c r="E10550" s="1002" t="s">
        <v>276</v>
      </c>
      <c r="F10550" s="1003"/>
      <c r="G10550" s="1004"/>
      <c r="H10550" s="901"/>
      <c r="I10550" s="902"/>
      <c r="J10550" s="902"/>
      <c r="K10550" s="912" t="s">
        <v>274</v>
      </c>
      <c r="L10550" s="902"/>
      <c r="M10550" s="902"/>
      <c r="N10550" s="902"/>
      <c r="O10550" s="892">
        <f t="shared" si="847"/>
        <v>0</v>
      </c>
      <c r="P10550" s="903">
        <f t="shared" si="850"/>
        <v>1</v>
      </c>
      <c r="Q10550" s="893">
        <f t="shared" si="851"/>
        <v>4</v>
      </c>
      <c r="R10550" s="894">
        <f t="shared" si="852"/>
        <v>0</v>
      </c>
    </row>
    <row r="10551" spans="1:18">
      <c r="A10551" s="905"/>
      <c r="B10551" s="952"/>
      <c r="C10551" s="907">
        <v>740</v>
      </c>
      <c r="D10551" s="907" t="s">
        <v>12</v>
      </c>
      <c r="E10551" s="992" t="s">
        <v>4008</v>
      </c>
      <c r="F10551" s="905" t="s">
        <v>2674</v>
      </c>
      <c r="G10551" s="1005"/>
      <c r="H10551" s="911">
        <v>2.4</v>
      </c>
      <c r="I10551" s="912"/>
      <c r="J10551" s="912"/>
      <c r="K10551" s="912">
        <f>VLOOKUP(E10551,[5]ĐMNC!$A$7:$F$67,4,0)</f>
        <v>221125</v>
      </c>
      <c r="L10551" s="912">
        <f>H10551*K10551</f>
        <v>530700</v>
      </c>
      <c r="M10551" s="912"/>
      <c r="N10551" s="912"/>
      <c r="O10551" s="892">
        <f t="shared" si="847"/>
        <v>0</v>
      </c>
      <c r="P10551" s="903">
        <f t="shared" si="850"/>
        <v>1</v>
      </c>
      <c r="Q10551" s="893">
        <f t="shared" si="851"/>
        <v>3</v>
      </c>
      <c r="R10551" s="894">
        <f t="shared" si="852"/>
        <v>0</v>
      </c>
    </row>
    <row r="10552" spans="1:18">
      <c r="A10552" s="895"/>
      <c r="B10552" s="896"/>
      <c r="C10552" s="897"/>
      <c r="D10552" s="897"/>
      <c r="E10552" s="1002" t="s">
        <v>3914</v>
      </c>
      <c r="F10552" s="1003"/>
      <c r="G10552" s="1004"/>
      <c r="H10552" s="901"/>
      <c r="I10552" s="902"/>
      <c r="J10552" s="902"/>
      <c r="K10552" s="912" t="s">
        <v>274</v>
      </c>
      <c r="L10552" s="902"/>
      <c r="M10552" s="902"/>
      <c r="N10552" s="902"/>
      <c r="O10552" s="892">
        <f t="shared" si="847"/>
        <v>0</v>
      </c>
      <c r="P10552" s="903">
        <f t="shared" si="850"/>
        <v>1</v>
      </c>
      <c r="Q10552" s="893">
        <f t="shared" si="851"/>
        <v>2</v>
      </c>
      <c r="R10552" s="894">
        <f t="shared" si="852"/>
        <v>0</v>
      </c>
    </row>
    <row r="10553" spans="1:18" s="847" customFormat="1">
      <c r="A10553" s="905"/>
      <c r="B10553" s="946" t="s">
        <v>6321</v>
      </c>
      <c r="C10553" s="907">
        <v>900</v>
      </c>
      <c r="D10553" s="907" t="s">
        <v>93</v>
      </c>
      <c r="E10553" s="992" t="s">
        <v>6322</v>
      </c>
      <c r="F10553" s="905" t="s">
        <v>2673</v>
      </c>
      <c r="G10553" s="1005"/>
      <c r="H10553" s="911">
        <v>0.2</v>
      </c>
      <c r="I10553" s="912"/>
      <c r="J10553" s="912"/>
      <c r="K10553" s="912"/>
      <c r="L10553" s="912"/>
      <c r="M10553" s="912">
        <f>VLOOKUP(B10553,MTC!$B$9:$S$933,12,0)</f>
        <v>1475268</v>
      </c>
      <c r="N10553" s="912">
        <f>M10553*H10553</f>
        <v>295053.60000000003</v>
      </c>
      <c r="O10553" s="892">
        <f t="shared" si="847"/>
        <v>0</v>
      </c>
      <c r="P10553" s="903">
        <f t="shared" si="850"/>
        <v>1</v>
      </c>
      <c r="Q10553" s="893">
        <f t="shared" si="851"/>
        <v>1</v>
      </c>
      <c r="R10553" s="894">
        <f t="shared" si="852"/>
        <v>0</v>
      </c>
    </row>
    <row r="10554" spans="1:18" s="904" customFormat="1">
      <c r="A10554" s="905" t="s">
        <v>6710</v>
      </c>
      <c r="B10554" s="953" t="s">
        <v>6711</v>
      </c>
      <c r="C10554" s="915"/>
      <c r="D10554" s="915"/>
      <c r="E10554" s="1006" t="s">
        <v>6712</v>
      </c>
      <c r="F10554" s="917" t="s">
        <v>160</v>
      </c>
      <c r="G10554" s="1008"/>
      <c r="H10554" s="919"/>
      <c r="I10554" s="920"/>
      <c r="J10554" s="891">
        <f>SUM(J10555:J10567)</f>
        <v>388697.78</v>
      </c>
      <c r="K10554" s="891"/>
      <c r="L10554" s="891">
        <f>SUM(L10555:L10567)</f>
        <v>18282332</v>
      </c>
      <c r="M10554" s="891"/>
      <c r="N10554" s="891">
        <f>SUM(N10555:N10567)</f>
        <v>1774445.6</v>
      </c>
      <c r="O10554" s="892">
        <f t="shared" si="847"/>
        <v>1</v>
      </c>
      <c r="P10554" s="903">
        <f t="shared" si="850"/>
        <v>0</v>
      </c>
      <c r="Q10554" s="893">
        <f t="shared" si="851"/>
        <v>0</v>
      </c>
      <c r="R10554" s="894">
        <f t="shared" si="852"/>
        <v>13</v>
      </c>
    </row>
    <row r="10555" spans="1:18">
      <c r="A10555" s="895"/>
      <c r="B10555" s="896"/>
      <c r="C10555" s="897"/>
      <c r="D10555" s="897"/>
      <c r="E10555" s="1002" t="s">
        <v>108</v>
      </c>
      <c r="F10555" s="1003"/>
      <c r="G10555" s="1004"/>
      <c r="H10555" s="901"/>
      <c r="I10555" s="902"/>
      <c r="J10555" s="902"/>
      <c r="K10555" s="912" t="s">
        <v>274</v>
      </c>
      <c r="L10555" s="902"/>
      <c r="M10555" s="902"/>
      <c r="N10555" s="902"/>
      <c r="O10555" s="892">
        <f t="shared" si="847"/>
        <v>0</v>
      </c>
      <c r="P10555" s="903">
        <f t="shared" si="850"/>
        <v>1</v>
      </c>
      <c r="Q10555" s="893">
        <f t="shared" si="851"/>
        <v>13</v>
      </c>
      <c r="R10555" s="894">
        <f t="shared" si="852"/>
        <v>0</v>
      </c>
    </row>
    <row r="10556" spans="1:18" s="904" customFormat="1">
      <c r="A10556" s="905"/>
      <c r="B10556" s="952"/>
      <c r="C10556" s="907">
        <v>212</v>
      </c>
      <c r="D10556" s="907" t="s">
        <v>279</v>
      </c>
      <c r="E10556" s="992" t="s">
        <v>2681</v>
      </c>
      <c r="F10556" s="905" t="s">
        <v>45</v>
      </c>
      <c r="G10556" s="1005"/>
      <c r="H10556" s="911">
        <v>3.6</v>
      </c>
      <c r="I10556" s="912">
        <f>VLOOKUP(E10556,[3]VLP!$B$7:$K$300,10,0)</f>
        <v>23000</v>
      </c>
      <c r="J10556" s="912">
        <f t="shared" ref="J10556:J10563" si="853">I10556*H10556</f>
        <v>82800</v>
      </c>
      <c r="K10556" s="912" t="s">
        <v>274</v>
      </c>
      <c r="L10556" s="912"/>
      <c r="M10556" s="912"/>
      <c r="N10556" s="912"/>
      <c r="O10556" s="892">
        <f t="shared" si="847"/>
        <v>0</v>
      </c>
      <c r="P10556" s="903">
        <f t="shared" si="850"/>
        <v>1</v>
      </c>
      <c r="Q10556" s="893">
        <f t="shared" si="851"/>
        <v>12</v>
      </c>
      <c r="R10556" s="894">
        <f t="shared" si="852"/>
        <v>0</v>
      </c>
    </row>
    <row r="10557" spans="1:18">
      <c r="A10557" s="905"/>
      <c r="B10557" s="952"/>
      <c r="C10557" s="907">
        <v>309</v>
      </c>
      <c r="D10557" s="907" t="s">
        <v>279</v>
      </c>
      <c r="E10557" s="992" t="s">
        <v>3262</v>
      </c>
      <c r="F10557" s="905" t="s">
        <v>45</v>
      </c>
      <c r="G10557" s="1005"/>
      <c r="H10557" s="911">
        <v>1.1000000000000001</v>
      </c>
      <c r="I10557" s="912">
        <f>VLOOKUP(E10557,[3]VLP!$B$7:$K$300,10,0)</f>
        <v>66300</v>
      </c>
      <c r="J10557" s="912">
        <f t="shared" si="853"/>
        <v>72930</v>
      </c>
      <c r="K10557" s="912" t="s">
        <v>274</v>
      </c>
      <c r="L10557" s="912"/>
      <c r="M10557" s="912"/>
      <c r="N10557" s="912"/>
      <c r="O10557" s="892">
        <f t="shared" si="847"/>
        <v>0</v>
      </c>
      <c r="P10557" s="903">
        <f t="shared" si="850"/>
        <v>1</v>
      </c>
      <c r="Q10557" s="893">
        <f t="shared" si="851"/>
        <v>11</v>
      </c>
      <c r="R10557" s="894">
        <f t="shared" si="852"/>
        <v>0</v>
      </c>
    </row>
    <row r="10558" spans="1:18">
      <c r="A10558" s="905"/>
      <c r="B10558" s="952"/>
      <c r="C10558" s="907">
        <v>234</v>
      </c>
      <c r="D10558" s="907" t="s">
        <v>279</v>
      </c>
      <c r="E10558" s="992" t="s">
        <v>5983</v>
      </c>
      <c r="F10558" s="905" t="s">
        <v>3144</v>
      </c>
      <c r="G10558" s="1005"/>
      <c r="H10558" s="911">
        <v>5.4</v>
      </c>
      <c r="I10558" s="912">
        <f>VLOOKUP(E10558,[3]VLP!$B$7:$K$300,10,0)</f>
        <v>14000</v>
      </c>
      <c r="J10558" s="912">
        <f t="shared" si="853"/>
        <v>75600</v>
      </c>
      <c r="K10558" s="912" t="s">
        <v>274</v>
      </c>
      <c r="L10558" s="912"/>
      <c r="M10558" s="912"/>
      <c r="N10558" s="912"/>
      <c r="O10558" s="892">
        <f t="shared" si="847"/>
        <v>0</v>
      </c>
      <c r="P10558" s="903">
        <f t="shared" si="850"/>
        <v>1</v>
      </c>
      <c r="Q10558" s="893">
        <f t="shared" si="851"/>
        <v>10</v>
      </c>
      <c r="R10558" s="894">
        <f t="shared" si="852"/>
        <v>0</v>
      </c>
    </row>
    <row r="10559" spans="1:18" s="847" customFormat="1">
      <c r="A10559" s="905"/>
      <c r="B10559" s="952"/>
      <c r="C10559" s="907">
        <v>317</v>
      </c>
      <c r="D10559" s="907" t="s">
        <v>279</v>
      </c>
      <c r="E10559" s="992" t="s">
        <v>3273</v>
      </c>
      <c r="F10559" s="905" t="s">
        <v>45</v>
      </c>
      <c r="G10559" s="1005"/>
      <c r="H10559" s="911">
        <v>0.5</v>
      </c>
      <c r="I10559" s="912">
        <f>VLOOKUP(E10559,[3]VLP!$B$7:$K$300,10,0)</f>
        <v>25000</v>
      </c>
      <c r="J10559" s="912">
        <f t="shared" si="853"/>
        <v>12500</v>
      </c>
      <c r="K10559" s="912" t="s">
        <v>274</v>
      </c>
      <c r="L10559" s="912"/>
      <c r="M10559" s="912"/>
      <c r="N10559" s="912"/>
      <c r="O10559" s="892">
        <f t="shared" si="847"/>
        <v>0</v>
      </c>
      <c r="P10559" s="903">
        <f t="shared" si="850"/>
        <v>1</v>
      </c>
      <c r="Q10559" s="893">
        <f t="shared" si="851"/>
        <v>9</v>
      </c>
      <c r="R10559" s="894">
        <f t="shared" si="852"/>
        <v>0</v>
      </c>
    </row>
    <row r="10560" spans="1:18" s="904" customFormat="1">
      <c r="A10560" s="905"/>
      <c r="B10560" s="952"/>
      <c r="C10560" s="907">
        <v>315</v>
      </c>
      <c r="D10560" s="907" t="s">
        <v>279</v>
      </c>
      <c r="E10560" s="992" t="s">
        <v>6316</v>
      </c>
      <c r="F10560" s="905" t="s">
        <v>49</v>
      </c>
      <c r="G10560" s="1005"/>
      <c r="H10560" s="911">
        <v>3.6</v>
      </c>
      <c r="I10560" s="912">
        <f>VLOOKUP(E10560,[3]VLP!$B$7:$K$300,10,0)</f>
        <v>8000</v>
      </c>
      <c r="J10560" s="912">
        <f t="shared" si="853"/>
        <v>28800</v>
      </c>
      <c r="K10560" s="912" t="s">
        <v>274</v>
      </c>
      <c r="L10560" s="912"/>
      <c r="M10560" s="912"/>
      <c r="N10560" s="912"/>
      <c r="O10560" s="892">
        <f t="shared" si="847"/>
        <v>0</v>
      </c>
      <c r="P10560" s="903">
        <f t="shared" si="850"/>
        <v>1</v>
      </c>
      <c r="Q10560" s="893">
        <f t="shared" si="851"/>
        <v>8</v>
      </c>
      <c r="R10560" s="894">
        <f t="shared" si="852"/>
        <v>0</v>
      </c>
    </row>
    <row r="10561" spans="1:18">
      <c r="A10561" s="905"/>
      <c r="B10561" s="952"/>
      <c r="C10561" s="907">
        <v>321</v>
      </c>
      <c r="D10561" s="907" t="s">
        <v>279</v>
      </c>
      <c r="E10561" s="992" t="s">
        <v>6317</v>
      </c>
      <c r="F10561" s="905" t="s">
        <v>45</v>
      </c>
      <c r="G10561" s="1005"/>
      <c r="H10561" s="911">
        <v>0.54</v>
      </c>
      <c r="I10561" s="912">
        <f>VLOOKUP(E10561,[3]VLP!$B$7:$K$300,10,0)</f>
        <v>38182</v>
      </c>
      <c r="J10561" s="912">
        <f t="shared" si="853"/>
        <v>20618.280000000002</v>
      </c>
      <c r="K10561" s="912" t="s">
        <v>274</v>
      </c>
      <c r="L10561" s="912"/>
      <c r="M10561" s="912"/>
      <c r="N10561" s="912"/>
      <c r="O10561" s="892">
        <f t="shared" si="847"/>
        <v>0</v>
      </c>
      <c r="P10561" s="903">
        <f t="shared" si="850"/>
        <v>1</v>
      </c>
      <c r="Q10561" s="893">
        <f t="shared" si="851"/>
        <v>7</v>
      </c>
      <c r="R10561" s="894">
        <f t="shared" si="852"/>
        <v>0</v>
      </c>
    </row>
    <row r="10562" spans="1:18" s="904" customFormat="1">
      <c r="A10562" s="905"/>
      <c r="B10562" s="952"/>
      <c r="C10562" s="907">
        <v>235</v>
      </c>
      <c r="D10562" s="907" t="s">
        <v>279</v>
      </c>
      <c r="E10562" s="992" t="s">
        <v>2682</v>
      </c>
      <c r="F10562" s="905" t="s">
        <v>45</v>
      </c>
      <c r="G10562" s="1005"/>
      <c r="H10562" s="911">
        <v>4.5</v>
      </c>
      <c r="I10562" s="912">
        <f>VLOOKUP(E10562,[3]VLP!$B$7:$K$300,10,0)</f>
        <v>5000</v>
      </c>
      <c r="J10562" s="912">
        <f t="shared" si="853"/>
        <v>22500</v>
      </c>
      <c r="K10562" s="912" t="s">
        <v>274</v>
      </c>
      <c r="L10562" s="912"/>
      <c r="M10562" s="912"/>
      <c r="N10562" s="912"/>
      <c r="O10562" s="892">
        <f t="shared" si="847"/>
        <v>0</v>
      </c>
      <c r="P10562" s="903">
        <f t="shared" si="850"/>
        <v>1</v>
      </c>
      <c r="Q10562" s="893">
        <f t="shared" si="851"/>
        <v>6</v>
      </c>
      <c r="R10562" s="894">
        <f t="shared" si="852"/>
        <v>0</v>
      </c>
    </row>
    <row r="10563" spans="1:18">
      <c r="A10563" s="905"/>
      <c r="B10563" s="952"/>
      <c r="C10563" s="907">
        <v>318</v>
      </c>
      <c r="D10563" s="907" t="s">
        <v>279</v>
      </c>
      <c r="E10563" s="992" t="s">
        <v>5657</v>
      </c>
      <c r="F10563" s="905" t="s">
        <v>45</v>
      </c>
      <c r="G10563" s="1005"/>
      <c r="H10563" s="911">
        <v>2.9</v>
      </c>
      <c r="I10563" s="912">
        <f>VLOOKUP(E10563,[3]VLP!$B$7:$K$300,10,0)</f>
        <v>25155</v>
      </c>
      <c r="J10563" s="912">
        <f t="shared" si="853"/>
        <v>72949.5</v>
      </c>
      <c r="K10563" s="912" t="s">
        <v>274</v>
      </c>
      <c r="L10563" s="912"/>
      <c r="M10563" s="912"/>
      <c r="N10563" s="912"/>
      <c r="O10563" s="892">
        <f t="shared" si="847"/>
        <v>0</v>
      </c>
      <c r="P10563" s="903">
        <f t="shared" si="850"/>
        <v>1</v>
      </c>
      <c r="Q10563" s="893">
        <f t="shared" si="851"/>
        <v>5</v>
      </c>
      <c r="R10563" s="894">
        <f t="shared" si="852"/>
        <v>0</v>
      </c>
    </row>
    <row r="10564" spans="1:18">
      <c r="A10564" s="895"/>
      <c r="B10564" s="896"/>
      <c r="C10564" s="897"/>
      <c r="D10564" s="897"/>
      <c r="E10564" s="1002" t="s">
        <v>276</v>
      </c>
      <c r="F10564" s="1003"/>
      <c r="G10564" s="1004"/>
      <c r="H10564" s="901"/>
      <c r="I10564" s="902"/>
      <c r="J10564" s="902"/>
      <c r="K10564" s="912" t="s">
        <v>274</v>
      </c>
      <c r="L10564" s="902"/>
      <c r="M10564" s="902"/>
      <c r="N10564" s="902"/>
      <c r="O10564" s="892">
        <f t="shared" si="847"/>
        <v>0</v>
      </c>
      <c r="P10564" s="903">
        <f t="shared" si="850"/>
        <v>1</v>
      </c>
      <c r="Q10564" s="893">
        <f t="shared" si="851"/>
        <v>4</v>
      </c>
      <c r="R10564" s="894">
        <f t="shared" si="852"/>
        <v>0</v>
      </c>
    </row>
    <row r="10565" spans="1:18" s="847" customFormat="1">
      <c r="A10565" s="905"/>
      <c r="B10565" s="952"/>
      <c r="C10565" s="907">
        <v>745</v>
      </c>
      <c r="D10565" s="907" t="s">
        <v>12</v>
      </c>
      <c r="E10565" s="992" t="s">
        <v>5518</v>
      </c>
      <c r="F10565" s="905" t="s">
        <v>2674</v>
      </c>
      <c r="G10565" s="1005"/>
      <c r="H10565" s="911">
        <v>76</v>
      </c>
      <c r="I10565" s="912"/>
      <c r="J10565" s="912"/>
      <c r="K10565" s="912">
        <f>VLOOKUP(E10565,[5]ĐMNC!$A$7:$F$67,4,0)</f>
        <v>240557</v>
      </c>
      <c r="L10565" s="912">
        <f>H10565*K10565</f>
        <v>18282332</v>
      </c>
      <c r="M10565" s="912"/>
      <c r="N10565" s="912"/>
      <c r="O10565" s="892">
        <f t="shared" si="847"/>
        <v>0</v>
      </c>
      <c r="P10565" s="903">
        <f t="shared" si="850"/>
        <v>1</v>
      </c>
      <c r="Q10565" s="893">
        <f t="shared" si="851"/>
        <v>3</v>
      </c>
      <c r="R10565" s="894">
        <f t="shared" si="852"/>
        <v>0</v>
      </c>
    </row>
    <row r="10566" spans="1:18" s="904" customFormat="1">
      <c r="A10566" s="895"/>
      <c r="B10566" s="896"/>
      <c r="C10566" s="897"/>
      <c r="D10566" s="897"/>
      <c r="E10566" s="1002" t="s">
        <v>3914</v>
      </c>
      <c r="F10566" s="1003"/>
      <c r="G10566" s="1004"/>
      <c r="H10566" s="901"/>
      <c r="I10566" s="902"/>
      <c r="J10566" s="902"/>
      <c r="K10566" s="912" t="s">
        <v>274</v>
      </c>
      <c r="L10566" s="902"/>
      <c r="M10566" s="902"/>
      <c r="N10566" s="902"/>
      <c r="O10566" s="892">
        <f t="shared" si="847"/>
        <v>0</v>
      </c>
      <c r="P10566" s="903">
        <f t="shared" si="850"/>
        <v>1</v>
      </c>
      <c r="Q10566" s="893">
        <f t="shared" si="851"/>
        <v>2</v>
      </c>
      <c r="R10566" s="894">
        <f t="shared" si="852"/>
        <v>0</v>
      </c>
    </row>
    <row r="10567" spans="1:18">
      <c r="A10567" s="905"/>
      <c r="B10567" s="952" t="s">
        <v>6326</v>
      </c>
      <c r="C10567" s="907">
        <v>902</v>
      </c>
      <c r="D10567" s="907" t="s">
        <v>93</v>
      </c>
      <c r="E10567" s="992" t="s">
        <v>6327</v>
      </c>
      <c r="F10567" s="905" t="s">
        <v>2673</v>
      </c>
      <c r="G10567" s="1005"/>
      <c r="H10567" s="911">
        <v>0.8</v>
      </c>
      <c r="I10567" s="912"/>
      <c r="J10567" s="912"/>
      <c r="K10567" s="912"/>
      <c r="L10567" s="912"/>
      <c r="M10567" s="912">
        <f>VLOOKUP(B10567,MTC!$B$9:$S$933,12,0)</f>
        <v>2218057</v>
      </c>
      <c r="N10567" s="912">
        <f>M10567*H10567</f>
        <v>1774445.6</v>
      </c>
      <c r="O10567" s="892">
        <f t="shared" si="847"/>
        <v>0</v>
      </c>
      <c r="P10567" s="903">
        <f t="shared" si="850"/>
        <v>1</v>
      </c>
      <c r="Q10567" s="893">
        <f t="shared" si="851"/>
        <v>1</v>
      </c>
      <c r="R10567" s="894">
        <f t="shared" si="852"/>
        <v>0</v>
      </c>
    </row>
    <row r="10568" spans="1:18" s="904" customFormat="1">
      <c r="A10568" s="905">
        <v>178</v>
      </c>
      <c r="B10568" s="914" t="s">
        <v>6713</v>
      </c>
      <c r="C10568" s="915"/>
      <c r="D10568" s="915"/>
      <c r="E10568" s="1006" t="s">
        <v>6714</v>
      </c>
      <c r="F10568" s="917" t="s">
        <v>160</v>
      </c>
      <c r="G10568" s="1008"/>
      <c r="H10568" s="919"/>
      <c r="I10568" s="920"/>
      <c r="J10568" s="891">
        <f>SUM(J10569:J10581)</f>
        <v>217982.6</v>
      </c>
      <c r="K10568" s="891"/>
      <c r="L10568" s="891">
        <f>SUM(L10569:L10581)</f>
        <v>7144542.8999999994</v>
      </c>
      <c r="M10568" s="891"/>
      <c r="N10568" s="891">
        <f>SUM(N10569:N10581)</f>
        <v>1180459.8</v>
      </c>
      <c r="O10568" s="892">
        <f t="shared" si="847"/>
        <v>1</v>
      </c>
      <c r="P10568" s="903">
        <f t="shared" si="850"/>
        <v>0</v>
      </c>
      <c r="Q10568" s="893">
        <f t="shared" si="851"/>
        <v>0</v>
      </c>
      <c r="R10568" s="894">
        <f t="shared" si="852"/>
        <v>13</v>
      </c>
    </row>
    <row r="10569" spans="1:18">
      <c r="A10569" s="895"/>
      <c r="B10569" s="896"/>
      <c r="C10569" s="897"/>
      <c r="D10569" s="897"/>
      <c r="E10569" s="1002" t="s">
        <v>108</v>
      </c>
      <c r="F10569" s="1003"/>
      <c r="G10569" s="1004"/>
      <c r="H10569" s="901"/>
      <c r="I10569" s="902"/>
      <c r="J10569" s="902"/>
      <c r="K10569" s="912" t="s">
        <v>274</v>
      </c>
      <c r="L10569" s="902"/>
      <c r="M10569" s="902"/>
      <c r="N10569" s="902"/>
      <c r="O10569" s="892">
        <f t="shared" si="847"/>
        <v>0</v>
      </c>
      <c r="P10569" s="903">
        <f t="shared" si="850"/>
        <v>1</v>
      </c>
      <c r="Q10569" s="893">
        <f t="shared" si="851"/>
        <v>13</v>
      </c>
      <c r="R10569" s="894">
        <f t="shared" si="852"/>
        <v>0</v>
      </c>
    </row>
    <row r="10570" spans="1:18">
      <c r="A10570" s="905"/>
      <c r="B10570" s="952"/>
      <c r="C10570" s="907">
        <v>212</v>
      </c>
      <c r="D10570" s="907" t="s">
        <v>279</v>
      </c>
      <c r="E10570" s="992" t="s">
        <v>2681</v>
      </c>
      <c r="F10570" s="905" t="s">
        <v>45</v>
      </c>
      <c r="G10570" s="1005"/>
      <c r="H10570" s="911">
        <v>2</v>
      </c>
      <c r="I10570" s="912">
        <f>VLOOKUP(E10570,[3]VLP!$B$7:$K$300,10,0)</f>
        <v>23000</v>
      </c>
      <c r="J10570" s="912">
        <f t="shared" ref="J10570:J10577" si="854">I10570*H10570</f>
        <v>46000</v>
      </c>
      <c r="K10570" s="912" t="s">
        <v>274</v>
      </c>
      <c r="L10570" s="912"/>
      <c r="M10570" s="912"/>
      <c r="N10570" s="912"/>
      <c r="O10570" s="892">
        <f t="shared" si="847"/>
        <v>0</v>
      </c>
      <c r="P10570" s="903">
        <f t="shared" si="850"/>
        <v>1</v>
      </c>
      <c r="Q10570" s="893">
        <f t="shared" si="851"/>
        <v>12</v>
      </c>
      <c r="R10570" s="894">
        <f t="shared" si="852"/>
        <v>0</v>
      </c>
    </row>
    <row r="10571" spans="1:18" s="847" customFormat="1">
      <c r="A10571" s="905"/>
      <c r="B10571" s="952"/>
      <c r="C10571" s="907">
        <v>309</v>
      </c>
      <c r="D10571" s="907" t="s">
        <v>279</v>
      </c>
      <c r="E10571" s="992" t="s">
        <v>3262</v>
      </c>
      <c r="F10571" s="905" t="s">
        <v>45</v>
      </c>
      <c r="G10571" s="1005"/>
      <c r="H10571" s="911">
        <v>0.6</v>
      </c>
      <c r="I10571" s="912">
        <f>VLOOKUP(E10571,[3]VLP!$B$7:$K$300,10,0)</f>
        <v>66300</v>
      </c>
      <c r="J10571" s="912">
        <f t="shared" si="854"/>
        <v>39780</v>
      </c>
      <c r="K10571" s="912" t="s">
        <v>274</v>
      </c>
      <c r="L10571" s="912"/>
      <c r="M10571" s="912"/>
      <c r="N10571" s="912"/>
      <c r="O10571" s="892">
        <f t="shared" si="847"/>
        <v>0</v>
      </c>
      <c r="P10571" s="903">
        <f t="shared" si="850"/>
        <v>1</v>
      </c>
      <c r="Q10571" s="893">
        <f t="shared" si="851"/>
        <v>11</v>
      </c>
      <c r="R10571" s="894">
        <f t="shared" si="852"/>
        <v>0</v>
      </c>
    </row>
    <row r="10572" spans="1:18" s="904" customFormat="1">
      <c r="A10572" s="905"/>
      <c r="B10572" s="952"/>
      <c r="C10572" s="907">
        <v>234</v>
      </c>
      <c r="D10572" s="907" t="s">
        <v>279</v>
      </c>
      <c r="E10572" s="992" t="s">
        <v>5983</v>
      </c>
      <c r="F10572" s="905" t="s">
        <v>3144</v>
      </c>
      <c r="G10572" s="1005"/>
      <c r="H10572" s="911">
        <v>3</v>
      </c>
      <c r="I10572" s="912">
        <f>VLOOKUP(E10572,[3]VLP!$B$7:$K$300,10,0)</f>
        <v>14000</v>
      </c>
      <c r="J10572" s="912">
        <f t="shared" si="854"/>
        <v>42000</v>
      </c>
      <c r="K10572" s="912" t="s">
        <v>274</v>
      </c>
      <c r="L10572" s="912"/>
      <c r="M10572" s="912"/>
      <c r="N10572" s="912"/>
      <c r="O10572" s="892">
        <f t="shared" si="847"/>
        <v>0</v>
      </c>
      <c r="P10572" s="903">
        <f t="shared" si="850"/>
        <v>1</v>
      </c>
      <c r="Q10572" s="893">
        <f t="shared" si="851"/>
        <v>10</v>
      </c>
      <c r="R10572" s="894">
        <f t="shared" si="852"/>
        <v>0</v>
      </c>
    </row>
    <row r="10573" spans="1:18">
      <c r="A10573" s="905"/>
      <c r="B10573" s="952"/>
      <c r="C10573" s="907">
        <v>317</v>
      </c>
      <c r="D10573" s="907" t="s">
        <v>279</v>
      </c>
      <c r="E10573" s="992" t="s">
        <v>3273</v>
      </c>
      <c r="F10573" s="905" t="s">
        <v>45</v>
      </c>
      <c r="G10573" s="1005"/>
      <c r="H10573" s="911">
        <v>0.3</v>
      </c>
      <c r="I10573" s="912">
        <f>VLOOKUP(E10573,[3]VLP!$B$7:$K$300,10,0)</f>
        <v>25000</v>
      </c>
      <c r="J10573" s="912">
        <f t="shared" si="854"/>
        <v>7500</v>
      </c>
      <c r="K10573" s="912" t="s">
        <v>274</v>
      </c>
      <c r="L10573" s="912"/>
      <c r="M10573" s="912"/>
      <c r="N10573" s="912"/>
      <c r="O10573" s="892">
        <f t="shared" si="847"/>
        <v>0</v>
      </c>
      <c r="P10573" s="903">
        <f t="shared" si="850"/>
        <v>1</v>
      </c>
      <c r="Q10573" s="893">
        <f t="shared" si="851"/>
        <v>9</v>
      </c>
      <c r="R10573" s="894">
        <f t="shared" si="852"/>
        <v>0</v>
      </c>
    </row>
    <row r="10574" spans="1:18" s="904" customFormat="1">
      <c r="A10574" s="905"/>
      <c r="B10574" s="952"/>
      <c r="C10574" s="907">
        <v>315</v>
      </c>
      <c r="D10574" s="907" t="s">
        <v>279</v>
      </c>
      <c r="E10574" s="992" t="s">
        <v>6316</v>
      </c>
      <c r="F10574" s="905" t="s">
        <v>49</v>
      </c>
      <c r="G10574" s="1005"/>
      <c r="H10574" s="911">
        <v>2</v>
      </c>
      <c r="I10574" s="912">
        <f>VLOOKUP(E10574,[3]VLP!$B$7:$K$300,10,0)</f>
        <v>8000</v>
      </c>
      <c r="J10574" s="912">
        <f t="shared" si="854"/>
        <v>16000</v>
      </c>
      <c r="K10574" s="912" t="s">
        <v>274</v>
      </c>
      <c r="L10574" s="912"/>
      <c r="M10574" s="912"/>
      <c r="N10574" s="912"/>
      <c r="O10574" s="892">
        <f t="shared" si="847"/>
        <v>0</v>
      </c>
      <c r="P10574" s="903">
        <f t="shared" si="850"/>
        <v>1</v>
      </c>
      <c r="Q10574" s="893">
        <f t="shared" si="851"/>
        <v>8</v>
      </c>
      <c r="R10574" s="894">
        <f t="shared" si="852"/>
        <v>0</v>
      </c>
    </row>
    <row r="10575" spans="1:18">
      <c r="A10575" s="905"/>
      <c r="B10575" s="952"/>
      <c r="C10575" s="907">
        <v>321</v>
      </c>
      <c r="D10575" s="907" t="s">
        <v>279</v>
      </c>
      <c r="E10575" s="992" t="s">
        <v>6317</v>
      </c>
      <c r="F10575" s="905" t="s">
        <v>45</v>
      </c>
      <c r="G10575" s="1005"/>
      <c r="H10575" s="911">
        <v>0.3</v>
      </c>
      <c r="I10575" s="912">
        <f>VLOOKUP(E10575,[3]VLP!$B$7:$K$300,10,0)</f>
        <v>38182</v>
      </c>
      <c r="J10575" s="912">
        <f t="shared" si="854"/>
        <v>11454.6</v>
      </c>
      <c r="K10575" s="912" t="s">
        <v>274</v>
      </c>
      <c r="L10575" s="912"/>
      <c r="M10575" s="912"/>
      <c r="N10575" s="912"/>
      <c r="O10575" s="892">
        <f t="shared" si="847"/>
        <v>0</v>
      </c>
      <c r="P10575" s="903">
        <f t="shared" si="850"/>
        <v>1</v>
      </c>
      <c r="Q10575" s="893">
        <f t="shared" si="851"/>
        <v>7</v>
      </c>
      <c r="R10575" s="894">
        <f t="shared" si="852"/>
        <v>0</v>
      </c>
    </row>
    <row r="10576" spans="1:18">
      <c r="A10576" s="905"/>
      <c r="B10576" s="952"/>
      <c r="C10576" s="907">
        <v>235</v>
      </c>
      <c r="D10576" s="907" t="s">
        <v>279</v>
      </c>
      <c r="E10576" s="992" t="s">
        <v>2682</v>
      </c>
      <c r="F10576" s="905" t="s">
        <v>45</v>
      </c>
      <c r="G10576" s="1005"/>
      <c r="H10576" s="911">
        <v>3</v>
      </c>
      <c r="I10576" s="912">
        <f>VLOOKUP(E10576,[3]VLP!$B$7:$K$300,10,0)</f>
        <v>5000</v>
      </c>
      <c r="J10576" s="912">
        <f t="shared" si="854"/>
        <v>15000</v>
      </c>
      <c r="K10576" s="912" t="s">
        <v>274</v>
      </c>
      <c r="L10576" s="912"/>
      <c r="M10576" s="912"/>
      <c r="N10576" s="912"/>
      <c r="O10576" s="892">
        <f t="shared" si="847"/>
        <v>0</v>
      </c>
      <c r="P10576" s="903">
        <f t="shared" si="850"/>
        <v>1</v>
      </c>
      <c r="Q10576" s="893">
        <f t="shared" si="851"/>
        <v>6</v>
      </c>
      <c r="R10576" s="894">
        <f t="shared" si="852"/>
        <v>0</v>
      </c>
    </row>
    <row r="10577" spans="1:18" s="847" customFormat="1">
      <c r="A10577" s="905"/>
      <c r="B10577" s="952"/>
      <c r="C10577" s="907">
        <v>318</v>
      </c>
      <c r="D10577" s="907" t="s">
        <v>279</v>
      </c>
      <c r="E10577" s="992" t="s">
        <v>5657</v>
      </c>
      <c r="F10577" s="905" t="s">
        <v>45</v>
      </c>
      <c r="G10577" s="1005"/>
      <c r="H10577" s="911">
        <v>1.6</v>
      </c>
      <c r="I10577" s="912">
        <f>VLOOKUP(E10577,[3]VLP!$B$7:$K$300,10,0)</f>
        <v>25155</v>
      </c>
      <c r="J10577" s="912">
        <f t="shared" si="854"/>
        <v>40248</v>
      </c>
      <c r="K10577" s="912" t="s">
        <v>274</v>
      </c>
      <c r="L10577" s="912"/>
      <c r="M10577" s="912"/>
      <c r="N10577" s="912"/>
      <c r="O10577" s="892">
        <f t="shared" si="847"/>
        <v>0</v>
      </c>
      <c r="P10577" s="903">
        <f t="shared" si="850"/>
        <v>1</v>
      </c>
      <c r="Q10577" s="893">
        <f t="shared" si="851"/>
        <v>5</v>
      </c>
      <c r="R10577" s="894">
        <f t="shared" si="852"/>
        <v>0</v>
      </c>
    </row>
    <row r="10578" spans="1:18" s="904" customFormat="1">
      <c r="A10578" s="895"/>
      <c r="B10578" s="896"/>
      <c r="C10578" s="897"/>
      <c r="D10578" s="897"/>
      <c r="E10578" s="1002" t="s">
        <v>276</v>
      </c>
      <c r="F10578" s="1003"/>
      <c r="G10578" s="1004"/>
      <c r="H10578" s="901"/>
      <c r="I10578" s="902"/>
      <c r="J10578" s="902"/>
      <c r="K10578" s="912" t="s">
        <v>274</v>
      </c>
      <c r="L10578" s="902"/>
      <c r="M10578" s="902"/>
      <c r="N10578" s="902"/>
      <c r="O10578" s="892">
        <f t="shared" si="847"/>
        <v>0</v>
      </c>
      <c r="P10578" s="903">
        <f t="shared" si="850"/>
        <v>1</v>
      </c>
      <c r="Q10578" s="893">
        <f t="shared" si="851"/>
        <v>4</v>
      </c>
      <c r="R10578" s="894">
        <f t="shared" si="852"/>
        <v>0</v>
      </c>
    </row>
    <row r="10579" spans="1:18">
      <c r="A10579" s="905"/>
      <c r="B10579" s="952"/>
      <c r="C10579" s="907">
        <v>745</v>
      </c>
      <c r="D10579" s="907" t="s">
        <v>12</v>
      </c>
      <c r="E10579" s="992" t="s">
        <v>5518</v>
      </c>
      <c r="F10579" s="905" t="s">
        <v>2674</v>
      </c>
      <c r="G10579" s="1005"/>
      <c r="H10579" s="911">
        <v>29.7</v>
      </c>
      <c r="I10579" s="912"/>
      <c r="J10579" s="912"/>
      <c r="K10579" s="912">
        <f>VLOOKUP(E10579,[5]ĐMNC!$A$7:$F$67,4,0)</f>
        <v>240557</v>
      </c>
      <c r="L10579" s="912">
        <f>H10579*K10579</f>
        <v>7144542.8999999994</v>
      </c>
      <c r="M10579" s="912"/>
      <c r="N10579" s="912"/>
      <c r="O10579" s="892">
        <f t="shared" si="847"/>
        <v>0</v>
      </c>
      <c r="P10579" s="903">
        <f t="shared" si="850"/>
        <v>1</v>
      </c>
      <c r="Q10579" s="893">
        <f t="shared" si="851"/>
        <v>3</v>
      </c>
      <c r="R10579" s="894">
        <f t="shared" si="852"/>
        <v>0</v>
      </c>
    </row>
    <row r="10580" spans="1:18" s="904" customFormat="1">
      <c r="A10580" s="895"/>
      <c r="B10580" s="896"/>
      <c r="C10580" s="897"/>
      <c r="D10580" s="897"/>
      <c r="E10580" s="1002" t="s">
        <v>3914</v>
      </c>
      <c r="F10580" s="1003"/>
      <c r="G10580" s="1004"/>
      <c r="H10580" s="901"/>
      <c r="I10580" s="902"/>
      <c r="J10580" s="902"/>
      <c r="K10580" s="912" t="s">
        <v>274</v>
      </c>
      <c r="L10580" s="902"/>
      <c r="M10580" s="902"/>
      <c r="N10580" s="902"/>
      <c r="O10580" s="892">
        <f t="shared" si="847"/>
        <v>0</v>
      </c>
      <c r="P10580" s="903">
        <f t="shared" si="850"/>
        <v>1</v>
      </c>
      <c r="Q10580" s="893">
        <f t="shared" si="851"/>
        <v>2</v>
      </c>
      <c r="R10580" s="894">
        <f t="shared" si="852"/>
        <v>0</v>
      </c>
    </row>
    <row r="10581" spans="1:18">
      <c r="A10581" s="905"/>
      <c r="B10581" s="952" t="s">
        <v>6332</v>
      </c>
      <c r="C10581" s="907">
        <v>901</v>
      </c>
      <c r="D10581" s="907" t="s">
        <v>93</v>
      </c>
      <c r="E10581" s="992" t="s">
        <v>6333</v>
      </c>
      <c r="F10581" s="905" t="s">
        <v>2673</v>
      </c>
      <c r="G10581" s="1005"/>
      <c r="H10581" s="911">
        <v>0.6</v>
      </c>
      <c r="I10581" s="912"/>
      <c r="J10581" s="912"/>
      <c r="K10581" s="912"/>
      <c r="L10581" s="912"/>
      <c r="M10581" s="912">
        <f>VLOOKUP(B10581,MTC!$B$9:$S$933,12,0)</f>
        <v>1967433</v>
      </c>
      <c r="N10581" s="912">
        <f>M10581*H10581</f>
        <v>1180459.8</v>
      </c>
      <c r="O10581" s="892">
        <f t="shared" si="847"/>
        <v>0</v>
      </c>
      <c r="P10581" s="903">
        <f t="shared" si="850"/>
        <v>1</v>
      </c>
      <c r="Q10581" s="893">
        <f t="shared" si="851"/>
        <v>1</v>
      </c>
      <c r="R10581" s="894">
        <f t="shared" si="852"/>
        <v>0</v>
      </c>
    </row>
    <row r="10582" spans="1:18">
      <c r="A10582" s="905">
        <v>179</v>
      </c>
      <c r="B10582" s="914" t="s">
        <v>2005</v>
      </c>
      <c r="C10582" s="915"/>
      <c r="D10582" s="915"/>
      <c r="E10582" s="1006" t="s">
        <v>6715</v>
      </c>
      <c r="F10582" s="917" t="s">
        <v>160</v>
      </c>
      <c r="G10582" s="1008"/>
      <c r="H10582" s="919"/>
      <c r="I10582" s="920"/>
      <c r="J10582" s="891">
        <f>SUM(J10583:J10595)</f>
        <v>108150.39999999999</v>
      </c>
      <c r="K10582" s="891"/>
      <c r="L10582" s="891">
        <f>SUM(L10583:L10595)</f>
        <v>3439965.1</v>
      </c>
      <c r="M10582" s="891"/>
      <c r="N10582" s="891">
        <f>SUM(N10583:N10595)</f>
        <v>590107.20000000007</v>
      </c>
      <c r="O10582" s="892">
        <f t="shared" si="847"/>
        <v>1</v>
      </c>
      <c r="P10582" s="903">
        <f t="shared" si="850"/>
        <v>0</v>
      </c>
      <c r="Q10582" s="893">
        <f t="shared" si="851"/>
        <v>0</v>
      </c>
      <c r="R10582" s="894">
        <f t="shared" si="852"/>
        <v>13</v>
      </c>
    </row>
    <row r="10583" spans="1:18" s="847" customFormat="1">
      <c r="A10583" s="895"/>
      <c r="B10583" s="896"/>
      <c r="C10583" s="897"/>
      <c r="D10583" s="897"/>
      <c r="E10583" s="1002" t="s">
        <v>108</v>
      </c>
      <c r="F10583" s="1003"/>
      <c r="G10583" s="1004"/>
      <c r="H10583" s="901"/>
      <c r="I10583" s="902"/>
      <c r="J10583" s="902"/>
      <c r="K10583" s="912" t="s">
        <v>274</v>
      </c>
      <c r="L10583" s="902"/>
      <c r="M10583" s="902"/>
      <c r="N10583" s="902"/>
      <c r="O10583" s="892">
        <f t="shared" si="847"/>
        <v>0</v>
      </c>
      <c r="P10583" s="903">
        <f t="shared" si="850"/>
        <v>1</v>
      </c>
      <c r="Q10583" s="893">
        <f t="shared" si="851"/>
        <v>13</v>
      </c>
      <c r="R10583" s="894">
        <f t="shared" si="852"/>
        <v>0</v>
      </c>
    </row>
    <row r="10584" spans="1:18" s="904" customFormat="1">
      <c r="A10584" s="905"/>
      <c r="B10584" s="952"/>
      <c r="C10584" s="907">
        <v>212</v>
      </c>
      <c r="D10584" s="907" t="s">
        <v>279</v>
      </c>
      <c r="E10584" s="992" t="s">
        <v>2681</v>
      </c>
      <c r="F10584" s="905" t="s">
        <v>45</v>
      </c>
      <c r="G10584" s="1005"/>
      <c r="H10584" s="911">
        <v>1</v>
      </c>
      <c r="I10584" s="912">
        <f>VLOOKUP(E10584,[3]VLP!$B$7:$K$300,10,0)</f>
        <v>23000</v>
      </c>
      <c r="J10584" s="912">
        <f t="shared" ref="J10584:J10591" si="855">I10584*H10584</f>
        <v>23000</v>
      </c>
      <c r="K10584" s="912" t="s">
        <v>274</v>
      </c>
      <c r="L10584" s="912"/>
      <c r="M10584" s="912"/>
      <c r="N10584" s="912"/>
      <c r="O10584" s="892">
        <f t="shared" si="847"/>
        <v>0</v>
      </c>
      <c r="P10584" s="903">
        <f t="shared" si="850"/>
        <v>1</v>
      </c>
      <c r="Q10584" s="893">
        <f t="shared" si="851"/>
        <v>12</v>
      </c>
      <c r="R10584" s="894">
        <f t="shared" si="852"/>
        <v>0</v>
      </c>
    </row>
    <row r="10585" spans="1:18">
      <c r="A10585" s="905"/>
      <c r="B10585" s="952"/>
      <c r="C10585" s="907">
        <v>309</v>
      </c>
      <c r="D10585" s="907" t="s">
        <v>279</v>
      </c>
      <c r="E10585" s="992" t="s">
        <v>3262</v>
      </c>
      <c r="F10585" s="905" t="s">
        <v>45</v>
      </c>
      <c r="G10585" s="1005"/>
      <c r="H10585" s="911">
        <v>0.3</v>
      </c>
      <c r="I10585" s="912">
        <f>VLOOKUP(E10585,[3]VLP!$B$7:$K$300,10,0)</f>
        <v>66300</v>
      </c>
      <c r="J10585" s="912">
        <f t="shared" si="855"/>
        <v>19890</v>
      </c>
      <c r="K10585" s="912" t="s">
        <v>274</v>
      </c>
      <c r="L10585" s="912"/>
      <c r="M10585" s="912"/>
      <c r="N10585" s="912"/>
      <c r="O10585" s="892">
        <f t="shared" si="847"/>
        <v>0</v>
      </c>
      <c r="P10585" s="903">
        <f t="shared" si="850"/>
        <v>1</v>
      </c>
      <c r="Q10585" s="893">
        <f t="shared" si="851"/>
        <v>11</v>
      </c>
      <c r="R10585" s="894">
        <f t="shared" si="852"/>
        <v>0</v>
      </c>
    </row>
    <row r="10586" spans="1:18" s="904" customFormat="1">
      <c r="A10586" s="905"/>
      <c r="B10586" s="952"/>
      <c r="C10586" s="907">
        <v>234</v>
      </c>
      <c r="D10586" s="907" t="s">
        <v>279</v>
      </c>
      <c r="E10586" s="992" t="s">
        <v>5983</v>
      </c>
      <c r="F10586" s="905" t="s">
        <v>3144</v>
      </c>
      <c r="G10586" s="1005"/>
      <c r="H10586" s="911">
        <v>1</v>
      </c>
      <c r="I10586" s="912">
        <f>VLOOKUP(E10586,[3]VLP!$B$7:$K$300,10,0)</f>
        <v>14000</v>
      </c>
      <c r="J10586" s="912">
        <f t="shared" si="855"/>
        <v>14000</v>
      </c>
      <c r="K10586" s="912" t="s">
        <v>274</v>
      </c>
      <c r="L10586" s="912"/>
      <c r="M10586" s="912"/>
      <c r="N10586" s="912"/>
      <c r="O10586" s="892">
        <f t="shared" si="847"/>
        <v>0</v>
      </c>
      <c r="P10586" s="903">
        <f t="shared" si="850"/>
        <v>1</v>
      </c>
      <c r="Q10586" s="893">
        <f t="shared" si="851"/>
        <v>10</v>
      </c>
      <c r="R10586" s="894">
        <f t="shared" si="852"/>
        <v>0</v>
      </c>
    </row>
    <row r="10587" spans="1:18">
      <c r="A10587" s="905"/>
      <c r="B10587" s="952"/>
      <c r="C10587" s="907">
        <v>317</v>
      </c>
      <c r="D10587" s="907" t="s">
        <v>279</v>
      </c>
      <c r="E10587" s="992" t="s">
        <v>3273</v>
      </c>
      <c r="F10587" s="905" t="s">
        <v>45</v>
      </c>
      <c r="G10587" s="1005"/>
      <c r="H10587" s="911">
        <v>0.2</v>
      </c>
      <c r="I10587" s="912">
        <f>VLOOKUP(E10587,[3]VLP!$B$7:$K$300,10,0)</f>
        <v>25000</v>
      </c>
      <c r="J10587" s="912">
        <f t="shared" si="855"/>
        <v>5000</v>
      </c>
      <c r="K10587" s="912" t="s">
        <v>274</v>
      </c>
      <c r="L10587" s="912"/>
      <c r="M10587" s="912"/>
      <c r="N10587" s="912"/>
      <c r="O10587" s="892">
        <f t="shared" si="847"/>
        <v>0</v>
      </c>
      <c r="P10587" s="903">
        <f t="shared" si="850"/>
        <v>1</v>
      </c>
      <c r="Q10587" s="893">
        <f t="shared" si="851"/>
        <v>9</v>
      </c>
      <c r="R10587" s="894">
        <f t="shared" si="852"/>
        <v>0</v>
      </c>
    </row>
    <row r="10588" spans="1:18">
      <c r="A10588" s="905"/>
      <c r="B10588" s="952"/>
      <c r="C10588" s="907">
        <v>315</v>
      </c>
      <c r="D10588" s="907" t="s">
        <v>279</v>
      </c>
      <c r="E10588" s="992" t="s">
        <v>6316</v>
      </c>
      <c r="F10588" s="905" t="s">
        <v>49</v>
      </c>
      <c r="G10588" s="1005"/>
      <c r="H10588" s="911">
        <v>1</v>
      </c>
      <c r="I10588" s="912">
        <f>VLOOKUP(E10588,[3]VLP!$B$7:$K$300,10,0)</f>
        <v>8000</v>
      </c>
      <c r="J10588" s="912">
        <f t="shared" si="855"/>
        <v>8000</v>
      </c>
      <c r="K10588" s="912" t="s">
        <v>274</v>
      </c>
      <c r="L10588" s="912"/>
      <c r="M10588" s="912"/>
      <c r="N10588" s="912"/>
      <c r="O10588" s="892">
        <f t="shared" si="847"/>
        <v>0</v>
      </c>
      <c r="P10588" s="903">
        <f t="shared" si="850"/>
        <v>1</v>
      </c>
      <c r="Q10588" s="893">
        <f t="shared" si="851"/>
        <v>8</v>
      </c>
      <c r="R10588" s="894">
        <f t="shared" si="852"/>
        <v>0</v>
      </c>
    </row>
    <row r="10589" spans="1:18" s="847" customFormat="1">
      <c r="A10589" s="905"/>
      <c r="B10589" s="952"/>
      <c r="C10589" s="907">
        <v>321</v>
      </c>
      <c r="D10589" s="907" t="s">
        <v>279</v>
      </c>
      <c r="E10589" s="992" t="s">
        <v>6317</v>
      </c>
      <c r="F10589" s="905" t="s">
        <v>45</v>
      </c>
      <c r="G10589" s="1005"/>
      <c r="H10589" s="911">
        <v>0.2</v>
      </c>
      <c r="I10589" s="912">
        <f>VLOOKUP(E10589,[3]VLP!$B$7:$K$300,10,0)</f>
        <v>38182</v>
      </c>
      <c r="J10589" s="912">
        <f t="shared" si="855"/>
        <v>7636.4000000000005</v>
      </c>
      <c r="K10589" s="912" t="s">
        <v>274</v>
      </c>
      <c r="L10589" s="912"/>
      <c r="M10589" s="912"/>
      <c r="N10589" s="912"/>
      <c r="O10589" s="892">
        <f t="shared" si="847"/>
        <v>0</v>
      </c>
      <c r="P10589" s="903">
        <f t="shared" si="850"/>
        <v>1</v>
      </c>
      <c r="Q10589" s="893">
        <f t="shared" si="851"/>
        <v>7</v>
      </c>
      <c r="R10589" s="894">
        <f t="shared" si="852"/>
        <v>0</v>
      </c>
    </row>
    <row r="10590" spans="1:18" s="904" customFormat="1">
      <c r="A10590" s="905"/>
      <c r="B10590" s="952"/>
      <c r="C10590" s="907">
        <v>235</v>
      </c>
      <c r="D10590" s="907" t="s">
        <v>279</v>
      </c>
      <c r="E10590" s="992" t="s">
        <v>2682</v>
      </c>
      <c r="F10590" s="905" t="s">
        <v>45</v>
      </c>
      <c r="G10590" s="1005"/>
      <c r="H10590" s="911">
        <v>2.1</v>
      </c>
      <c r="I10590" s="912">
        <f>VLOOKUP(E10590,[3]VLP!$B$7:$K$300,10,0)</f>
        <v>5000</v>
      </c>
      <c r="J10590" s="912">
        <f t="shared" si="855"/>
        <v>10500</v>
      </c>
      <c r="K10590" s="912" t="s">
        <v>274</v>
      </c>
      <c r="L10590" s="912"/>
      <c r="M10590" s="912"/>
      <c r="N10590" s="912"/>
      <c r="O10590" s="892">
        <f t="shared" si="847"/>
        <v>0</v>
      </c>
      <c r="P10590" s="903">
        <f t="shared" si="850"/>
        <v>1</v>
      </c>
      <c r="Q10590" s="893">
        <f t="shared" si="851"/>
        <v>6</v>
      </c>
      <c r="R10590" s="894">
        <f t="shared" si="852"/>
        <v>0</v>
      </c>
    </row>
    <row r="10591" spans="1:18">
      <c r="A10591" s="905"/>
      <c r="B10591" s="952"/>
      <c r="C10591" s="907">
        <v>318</v>
      </c>
      <c r="D10591" s="907" t="s">
        <v>279</v>
      </c>
      <c r="E10591" s="992" t="s">
        <v>5657</v>
      </c>
      <c r="F10591" s="905" t="s">
        <v>45</v>
      </c>
      <c r="G10591" s="1005"/>
      <c r="H10591" s="911">
        <v>0.8</v>
      </c>
      <c r="I10591" s="912">
        <f>VLOOKUP(E10591,[3]VLP!$B$7:$K$300,10,0)</f>
        <v>25155</v>
      </c>
      <c r="J10591" s="912">
        <f t="shared" si="855"/>
        <v>20124</v>
      </c>
      <c r="K10591" s="912" t="s">
        <v>274</v>
      </c>
      <c r="L10591" s="912"/>
      <c r="M10591" s="912"/>
      <c r="N10591" s="912"/>
      <c r="O10591" s="892">
        <f t="shared" ref="O10591:O10654" si="856">IF(AND(B10591&lt;&gt;"",D10591=""),1,0)</f>
        <v>0</v>
      </c>
      <c r="P10591" s="903">
        <f t="shared" si="850"/>
        <v>1</v>
      </c>
      <c r="Q10591" s="893">
        <f t="shared" si="851"/>
        <v>5</v>
      </c>
      <c r="R10591" s="894">
        <f t="shared" si="852"/>
        <v>0</v>
      </c>
    </row>
    <row r="10592" spans="1:18" s="904" customFormat="1">
      <c r="A10592" s="895"/>
      <c r="B10592" s="896"/>
      <c r="C10592" s="897"/>
      <c r="D10592" s="897"/>
      <c r="E10592" s="1002" t="s">
        <v>276</v>
      </c>
      <c r="F10592" s="1003"/>
      <c r="G10592" s="1004"/>
      <c r="H10592" s="901"/>
      <c r="I10592" s="902"/>
      <c r="J10592" s="902"/>
      <c r="K10592" s="912" t="s">
        <v>274</v>
      </c>
      <c r="L10592" s="902"/>
      <c r="M10592" s="902"/>
      <c r="N10592" s="902"/>
      <c r="O10592" s="892">
        <f t="shared" si="856"/>
        <v>0</v>
      </c>
      <c r="P10592" s="903">
        <f t="shared" si="850"/>
        <v>1</v>
      </c>
      <c r="Q10592" s="893">
        <f t="shared" si="851"/>
        <v>4</v>
      </c>
      <c r="R10592" s="894">
        <f t="shared" si="852"/>
        <v>0</v>
      </c>
    </row>
    <row r="10593" spans="1:18">
      <c r="A10593" s="905"/>
      <c r="B10593" s="952"/>
      <c r="C10593" s="907">
        <v>745</v>
      </c>
      <c r="D10593" s="907" t="s">
        <v>12</v>
      </c>
      <c r="E10593" s="992" t="s">
        <v>5518</v>
      </c>
      <c r="F10593" s="905" t="s">
        <v>2674</v>
      </c>
      <c r="G10593" s="1005"/>
      <c r="H10593" s="911">
        <v>14.3</v>
      </c>
      <c r="I10593" s="912"/>
      <c r="J10593" s="912"/>
      <c r="K10593" s="912">
        <f>VLOOKUP(E10593,[5]ĐMNC!$A$7:$F$67,4,0)</f>
        <v>240557</v>
      </c>
      <c r="L10593" s="912">
        <f>H10593*K10593</f>
        <v>3439965.1</v>
      </c>
      <c r="M10593" s="912"/>
      <c r="N10593" s="912"/>
      <c r="O10593" s="892">
        <f t="shared" si="856"/>
        <v>0</v>
      </c>
      <c r="P10593" s="903">
        <f t="shared" si="850"/>
        <v>1</v>
      </c>
      <c r="Q10593" s="893">
        <f t="shared" si="851"/>
        <v>3</v>
      </c>
      <c r="R10593" s="894">
        <f t="shared" si="852"/>
        <v>0</v>
      </c>
    </row>
    <row r="10594" spans="1:18">
      <c r="A10594" s="895"/>
      <c r="B10594" s="896"/>
      <c r="C10594" s="897"/>
      <c r="D10594" s="897"/>
      <c r="E10594" s="1002" t="s">
        <v>3914</v>
      </c>
      <c r="F10594" s="1003"/>
      <c r="G10594" s="1004"/>
      <c r="H10594" s="901"/>
      <c r="I10594" s="902"/>
      <c r="J10594" s="902"/>
      <c r="K10594" s="912" t="s">
        <v>274</v>
      </c>
      <c r="L10594" s="902"/>
      <c r="M10594" s="902"/>
      <c r="N10594" s="902"/>
      <c r="O10594" s="892">
        <f t="shared" si="856"/>
        <v>0</v>
      </c>
      <c r="P10594" s="903">
        <f t="shared" si="850"/>
        <v>1</v>
      </c>
      <c r="Q10594" s="893">
        <f t="shared" si="851"/>
        <v>2</v>
      </c>
      <c r="R10594" s="894">
        <f t="shared" si="852"/>
        <v>0</v>
      </c>
    </row>
    <row r="10595" spans="1:18" s="847" customFormat="1">
      <c r="A10595" s="905"/>
      <c r="B10595" s="946" t="s">
        <v>6321</v>
      </c>
      <c r="C10595" s="907">
        <v>900</v>
      </c>
      <c r="D10595" s="907" t="s">
        <v>93</v>
      </c>
      <c r="E10595" s="992" t="s">
        <v>6322</v>
      </c>
      <c r="F10595" s="905" t="s">
        <v>2673</v>
      </c>
      <c r="G10595" s="1005"/>
      <c r="H10595" s="911">
        <v>0.4</v>
      </c>
      <c r="I10595" s="912"/>
      <c r="J10595" s="912"/>
      <c r="K10595" s="912"/>
      <c r="L10595" s="912"/>
      <c r="M10595" s="912">
        <f>VLOOKUP(B10595,MTC!$B$9:$S$933,12,0)</f>
        <v>1475268</v>
      </c>
      <c r="N10595" s="912">
        <f>M10595*H10595</f>
        <v>590107.20000000007</v>
      </c>
      <c r="O10595" s="892">
        <f t="shared" si="856"/>
        <v>0</v>
      </c>
      <c r="P10595" s="903">
        <f t="shared" si="850"/>
        <v>1</v>
      </c>
      <c r="Q10595" s="893">
        <f t="shared" si="851"/>
        <v>1</v>
      </c>
      <c r="R10595" s="894">
        <f t="shared" si="852"/>
        <v>0</v>
      </c>
    </row>
    <row r="10596" spans="1:18" s="904" customFormat="1">
      <c r="A10596" s="905" t="s">
        <v>6716</v>
      </c>
      <c r="B10596" s="914" t="s">
        <v>6717</v>
      </c>
      <c r="C10596" s="915"/>
      <c r="D10596" s="915"/>
      <c r="E10596" s="1006" t="s">
        <v>6718</v>
      </c>
      <c r="F10596" s="917" t="s">
        <v>160</v>
      </c>
      <c r="G10596" s="1008"/>
      <c r="H10596" s="919"/>
      <c r="I10596" s="920"/>
      <c r="J10596" s="891">
        <f>SUM(J10597:J10609)</f>
        <v>442176.8</v>
      </c>
      <c r="K10596" s="891"/>
      <c r="L10596" s="891">
        <f>SUM(L10597:L10609)</f>
        <v>23237806.199999999</v>
      </c>
      <c r="M10596" s="891"/>
      <c r="N10596" s="891">
        <f>SUM(N10597:N10609)</f>
        <v>1109028.5</v>
      </c>
      <c r="O10596" s="892">
        <f t="shared" si="856"/>
        <v>1</v>
      </c>
      <c r="P10596" s="903">
        <f t="shared" si="850"/>
        <v>0</v>
      </c>
      <c r="Q10596" s="893">
        <f t="shared" si="851"/>
        <v>0</v>
      </c>
      <c r="R10596" s="894">
        <f t="shared" si="852"/>
        <v>13</v>
      </c>
    </row>
    <row r="10597" spans="1:18">
      <c r="A10597" s="895"/>
      <c r="B10597" s="896"/>
      <c r="C10597" s="897"/>
      <c r="D10597" s="897"/>
      <c r="E10597" s="1002" t="s">
        <v>108</v>
      </c>
      <c r="F10597" s="1003"/>
      <c r="G10597" s="1004"/>
      <c r="H10597" s="901"/>
      <c r="I10597" s="902"/>
      <c r="J10597" s="902"/>
      <c r="K10597" s="912" t="s">
        <v>274</v>
      </c>
      <c r="L10597" s="902"/>
      <c r="M10597" s="902"/>
      <c r="N10597" s="902"/>
      <c r="O10597" s="892">
        <f t="shared" si="856"/>
        <v>0</v>
      </c>
      <c r="P10597" s="903">
        <f t="shared" si="850"/>
        <v>1</v>
      </c>
      <c r="Q10597" s="893">
        <f t="shared" si="851"/>
        <v>13</v>
      </c>
      <c r="R10597" s="894">
        <f t="shared" si="852"/>
        <v>0</v>
      </c>
    </row>
    <row r="10598" spans="1:18" s="904" customFormat="1">
      <c r="A10598" s="905"/>
      <c r="B10598" s="952"/>
      <c r="C10598" s="907">
        <v>212</v>
      </c>
      <c r="D10598" s="907" t="s">
        <v>279</v>
      </c>
      <c r="E10598" s="992" t="s">
        <v>2681</v>
      </c>
      <c r="F10598" s="905" t="s">
        <v>45</v>
      </c>
      <c r="G10598" s="1005"/>
      <c r="H10598" s="911">
        <v>4.3</v>
      </c>
      <c r="I10598" s="912">
        <f>VLOOKUP(E10598,[3]VLP!$B$7:$K$300,10,0)</f>
        <v>23000</v>
      </c>
      <c r="J10598" s="912">
        <f t="shared" ref="J10598:J10605" si="857">I10598*H10598</f>
        <v>98900</v>
      </c>
      <c r="K10598" s="912" t="s">
        <v>274</v>
      </c>
      <c r="L10598" s="912"/>
      <c r="M10598" s="912"/>
      <c r="N10598" s="912"/>
      <c r="O10598" s="892">
        <f t="shared" si="856"/>
        <v>0</v>
      </c>
      <c r="P10598" s="903">
        <f t="shared" si="850"/>
        <v>1</v>
      </c>
      <c r="Q10598" s="893">
        <f t="shared" si="851"/>
        <v>12</v>
      </c>
      <c r="R10598" s="894">
        <f t="shared" si="852"/>
        <v>0</v>
      </c>
    </row>
    <row r="10599" spans="1:18">
      <c r="A10599" s="905"/>
      <c r="B10599" s="952"/>
      <c r="C10599" s="907">
        <v>309</v>
      </c>
      <c r="D10599" s="907" t="s">
        <v>279</v>
      </c>
      <c r="E10599" s="992" t="s">
        <v>3262</v>
      </c>
      <c r="F10599" s="905" t="s">
        <v>45</v>
      </c>
      <c r="G10599" s="1005"/>
      <c r="H10599" s="911">
        <v>1.32</v>
      </c>
      <c r="I10599" s="912">
        <f>VLOOKUP(E10599,[3]VLP!$B$7:$K$300,10,0)</f>
        <v>66300</v>
      </c>
      <c r="J10599" s="912">
        <f t="shared" si="857"/>
        <v>87516</v>
      </c>
      <c r="K10599" s="912" t="s">
        <v>274</v>
      </c>
      <c r="L10599" s="912"/>
      <c r="M10599" s="912"/>
      <c r="N10599" s="912"/>
      <c r="O10599" s="892">
        <f t="shared" si="856"/>
        <v>0</v>
      </c>
      <c r="P10599" s="903">
        <f t="shared" si="850"/>
        <v>1</v>
      </c>
      <c r="Q10599" s="893">
        <f t="shared" si="851"/>
        <v>11</v>
      </c>
      <c r="R10599" s="894">
        <f t="shared" si="852"/>
        <v>0</v>
      </c>
    </row>
    <row r="10600" spans="1:18">
      <c r="A10600" s="905"/>
      <c r="B10600" s="952"/>
      <c r="C10600" s="907">
        <v>234</v>
      </c>
      <c r="D10600" s="907" t="s">
        <v>279</v>
      </c>
      <c r="E10600" s="992" t="s">
        <v>5983</v>
      </c>
      <c r="F10600" s="905" t="s">
        <v>3144</v>
      </c>
      <c r="G10600" s="1005"/>
      <c r="H10600" s="911">
        <v>6.5</v>
      </c>
      <c r="I10600" s="912">
        <f>VLOOKUP(E10600,[3]VLP!$B$7:$K$300,10,0)</f>
        <v>14000</v>
      </c>
      <c r="J10600" s="912">
        <f t="shared" si="857"/>
        <v>91000</v>
      </c>
      <c r="K10600" s="912" t="s">
        <v>274</v>
      </c>
      <c r="L10600" s="912"/>
      <c r="M10600" s="912"/>
      <c r="N10600" s="912"/>
      <c r="O10600" s="892">
        <f t="shared" si="856"/>
        <v>0</v>
      </c>
      <c r="P10600" s="903">
        <f t="shared" si="850"/>
        <v>1</v>
      </c>
      <c r="Q10600" s="893">
        <f t="shared" si="851"/>
        <v>10</v>
      </c>
      <c r="R10600" s="894">
        <f t="shared" si="852"/>
        <v>0</v>
      </c>
    </row>
    <row r="10601" spans="1:18" s="847" customFormat="1">
      <c r="A10601" s="905"/>
      <c r="B10601" s="952"/>
      <c r="C10601" s="907">
        <v>317</v>
      </c>
      <c r="D10601" s="907" t="s">
        <v>279</v>
      </c>
      <c r="E10601" s="992" t="s">
        <v>3273</v>
      </c>
      <c r="F10601" s="905" t="s">
        <v>45</v>
      </c>
      <c r="G10601" s="1005"/>
      <c r="H10601" s="911">
        <v>0.6</v>
      </c>
      <c r="I10601" s="912">
        <f>VLOOKUP(E10601,[3]VLP!$B$7:$K$300,10,0)</f>
        <v>25000</v>
      </c>
      <c r="J10601" s="912">
        <f t="shared" si="857"/>
        <v>15000</v>
      </c>
      <c r="K10601" s="912" t="s">
        <v>274</v>
      </c>
      <c r="L10601" s="912"/>
      <c r="M10601" s="912"/>
      <c r="N10601" s="912"/>
      <c r="O10601" s="892">
        <f t="shared" si="856"/>
        <v>0</v>
      </c>
      <c r="P10601" s="903">
        <f t="shared" si="850"/>
        <v>1</v>
      </c>
      <c r="Q10601" s="893">
        <f t="shared" si="851"/>
        <v>9</v>
      </c>
      <c r="R10601" s="894">
        <f t="shared" si="852"/>
        <v>0</v>
      </c>
    </row>
    <row r="10602" spans="1:18" s="904" customFormat="1">
      <c r="A10602" s="905"/>
      <c r="B10602" s="952"/>
      <c r="C10602" s="907">
        <v>315</v>
      </c>
      <c r="D10602" s="907" t="s">
        <v>279</v>
      </c>
      <c r="E10602" s="992" t="s">
        <v>6316</v>
      </c>
      <c r="F10602" s="905" t="s">
        <v>49</v>
      </c>
      <c r="G10602" s="1005"/>
      <c r="H10602" s="911">
        <v>4.3</v>
      </c>
      <c r="I10602" s="912">
        <f>VLOOKUP(E10602,[3]VLP!$B$7:$K$300,10,0)</f>
        <v>8000</v>
      </c>
      <c r="J10602" s="912">
        <f t="shared" si="857"/>
        <v>34400</v>
      </c>
      <c r="K10602" s="912" t="s">
        <v>274</v>
      </c>
      <c r="L10602" s="912"/>
      <c r="M10602" s="912"/>
      <c r="N10602" s="912"/>
      <c r="O10602" s="892">
        <f t="shared" si="856"/>
        <v>0</v>
      </c>
      <c r="P10602" s="903">
        <f t="shared" si="850"/>
        <v>1</v>
      </c>
      <c r="Q10602" s="893">
        <f t="shared" si="851"/>
        <v>8</v>
      </c>
      <c r="R10602" s="894">
        <f t="shared" si="852"/>
        <v>0</v>
      </c>
    </row>
    <row r="10603" spans="1:18">
      <c r="A10603" s="905"/>
      <c r="B10603" s="952"/>
      <c r="C10603" s="907">
        <v>321</v>
      </c>
      <c r="D10603" s="907" t="s">
        <v>279</v>
      </c>
      <c r="E10603" s="992" t="s">
        <v>6317</v>
      </c>
      <c r="F10603" s="905" t="s">
        <v>45</v>
      </c>
      <c r="G10603" s="1005"/>
      <c r="H10603" s="911">
        <v>0.65</v>
      </c>
      <c r="I10603" s="912">
        <f>VLOOKUP(E10603,[3]VLP!$B$7:$K$300,10,0)</f>
        <v>38182</v>
      </c>
      <c r="J10603" s="912">
        <f t="shared" si="857"/>
        <v>24818.3</v>
      </c>
      <c r="K10603" s="912" t="s">
        <v>274</v>
      </c>
      <c r="L10603" s="912"/>
      <c r="M10603" s="912"/>
      <c r="N10603" s="912"/>
      <c r="O10603" s="892">
        <f t="shared" si="856"/>
        <v>0</v>
      </c>
      <c r="P10603" s="903">
        <f t="shared" si="850"/>
        <v>1</v>
      </c>
      <c r="Q10603" s="893">
        <f t="shared" si="851"/>
        <v>7</v>
      </c>
      <c r="R10603" s="894">
        <f t="shared" si="852"/>
        <v>0</v>
      </c>
    </row>
    <row r="10604" spans="1:18" s="904" customFormat="1">
      <c r="A10604" s="905"/>
      <c r="B10604" s="952"/>
      <c r="C10604" s="907">
        <v>235</v>
      </c>
      <c r="D10604" s="907" t="s">
        <v>279</v>
      </c>
      <c r="E10604" s="992" t="s">
        <v>2682</v>
      </c>
      <c r="F10604" s="905" t="s">
        <v>45</v>
      </c>
      <c r="G10604" s="1005"/>
      <c r="H10604" s="911">
        <v>0.5</v>
      </c>
      <c r="I10604" s="912">
        <f>VLOOKUP(E10604,[3]VLP!$B$7:$K$300,10,0)</f>
        <v>5000</v>
      </c>
      <c r="J10604" s="912">
        <f t="shared" si="857"/>
        <v>2500</v>
      </c>
      <c r="K10604" s="912" t="s">
        <v>274</v>
      </c>
      <c r="L10604" s="912"/>
      <c r="M10604" s="912"/>
      <c r="N10604" s="912"/>
      <c r="O10604" s="892">
        <f t="shared" si="856"/>
        <v>0</v>
      </c>
      <c r="P10604" s="903">
        <f t="shared" si="850"/>
        <v>1</v>
      </c>
      <c r="Q10604" s="893">
        <f t="shared" si="851"/>
        <v>6</v>
      </c>
      <c r="R10604" s="894">
        <f t="shared" si="852"/>
        <v>0</v>
      </c>
    </row>
    <row r="10605" spans="1:18">
      <c r="A10605" s="905"/>
      <c r="B10605" s="952"/>
      <c r="C10605" s="907">
        <v>318</v>
      </c>
      <c r="D10605" s="907" t="s">
        <v>279</v>
      </c>
      <c r="E10605" s="992" t="s">
        <v>5657</v>
      </c>
      <c r="F10605" s="905" t="s">
        <v>45</v>
      </c>
      <c r="G10605" s="1005"/>
      <c r="H10605" s="911">
        <v>3.5</v>
      </c>
      <c r="I10605" s="912">
        <f>VLOOKUP(E10605,[3]VLP!$B$7:$K$300,10,0)</f>
        <v>25155</v>
      </c>
      <c r="J10605" s="912">
        <f t="shared" si="857"/>
        <v>88042.5</v>
      </c>
      <c r="K10605" s="912" t="s">
        <v>274</v>
      </c>
      <c r="L10605" s="912"/>
      <c r="M10605" s="912"/>
      <c r="N10605" s="912"/>
      <c r="O10605" s="892">
        <f t="shared" si="856"/>
        <v>0</v>
      </c>
      <c r="P10605" s="903">
        <f t="shared" si="850"/>
        <v>1</v>
      </c>
      <c r="Q10605" s="893">
        <f t="shared" si="851"/>
        <v>5</v>
      </c>
      <c r="R10605" s="894">
        <f t="shared" si="852"/>
        <v>0</v>
      </c>
    </row>
    <row r="10606" spans="1:18">
      <c r="A10606" s="895"/>
      <c r="B10606" s="896"/>
      <c r="C10606" s="897"/>
      <c r="D10606" s="897"/>
      <c r="E10606" s="1002" t="s">
        <v>276</v>
      </c>
      <c r="F10606" s="1003"/>
      <c r="G10606" s="1004"/>
      <c r="H10606" s="901"/>
      <c r="I10606" s="902"/>
      <c r="J10606" s="902"/>
      <c r="K10606" s="912" t="s">
        <v>274</v>
      </c>
      <c r="L10606" s="902"/>
      <c r="M10606" s="902"/>
      <c r="N10606" s="902"/>
      <c r="O10606" s="892">
        <f t="shared" si="856"/>
        <v>0</v>
      </c>
      <c r="P10606" s="903">
        <f t="shared" si="850"/>
        <v>1</v>
      </c>
      <c r="Q10606" s="893">
        <f t="shared" si="851"/>
        <v>4</v>
      </c>
      <c r="R10606" s="894">
        <f t="shared" si="852"/>
        <v>0</v>
      </c>
    </row>
    <row r="10607" spans="1:18" s="847" customFormat="1">
      <c r="A10607" s="905"/>
      <c r="B10607" s="952"/>
      <c r="C10607" s="907">
        <v>745</v>
      </c>
      <c r="D10607" s="907" t="s">
        <v>12</v>
      </c>
      <c r="E10607" s="992" t="s">
        <v>5518</v>
      </c>
      <c r="F10607" s="905" t="s">
        <v>2674</v>
      </c>
      <c r="G10607" s="1005"/>
      <c r="H10607" s="911">
        <v>96.6</v>
      </c>
      <c r="I10607" s="912"/>
      <c r="J10607" s="912"/>
      <c r="K10607" s="912">
        <f>VLOOKUP(E10607,[5]ĐMNC!$A$7:$F$67,4,0)</f>
        <v>240557</v>
      </c>
      <c r="L10607" s="912">
        <f>H10607*K10607</f>
        <v>23237806.199999999</v>
      </c>
      <c r="M10607" s="912"/>
      <c r="N10607" s="912"/>
      <c r="O10607" s="892">
        <f t="shared" si="856"/>
        <v>0</v>
      </c>
      <c r="P10607" s="903">
        <f t="shared" si="850"/>
        <v>1</v>
      </c>
      <c r="Q10607" s="893">
        <f t="shared" si="851"/>
        <v>3</v>
      </c>
      <c r="R10607" s="894">
        <f t="shared" si="852"/>
        <v>0</v>
      </c>
    </row>
    <row r="10608" spans="1:18" s="904" customFormat="1">
      <c r="A10608" s="895"/>
      <c r="B10608" s="896"/>
      <c r="C10608" s="897"/>
      <c r="D10608" s="897"/>
      <c r="E10608" s="1002" t="s">
        <v>3914</v>
      </c>
      <c r="F10608" s="1003"/>
      <c r="G10608" s="1004"/>
      <c r="H10608" s="901"/>
      <c r="I10608" s="902"/>
      <c r="J10608" s="902"/>
      <c r="K10608" s="912" t="s">
        <v>274</v>
      </c>
      <c r="L10608" s="902"/>
      <c r="M10608" s="902"/>
      <c r="N10608" s="902"/>
      <c r="O10608" s="892">
        <f t="shared" si="856"/>
        <v>0</v>
      </c>
      <c r="P10608" s="903">
        <f t="shared" si="850"/>
        <v>1</v>
      </c>
      <c r="Q10608" s="893">
        <f t="shared" si="851"/>
        <v>2</v>
      </c>
      <c r="R10608" s="894">
        <f t="shared" si="852"/>
        <v>0</v>
      </c>
    </row>
    <row r="10609" spans="1:18">
      <c r="A10609" s="905"/>
      <c r="B10609" s="952" t="s">
        <v>6326</v>
      </c>
      <c r="C10609" s="907">
        <v>902</v>
      </c>
      <c r="D10609" s="907" t="s">
        <v>93</v>
      </c>
      <c r="E10609" s="992" t="s">
        <v>6327</v>
      </c>
      <c r="F10609" s="905" t="s">
        <v>2673</v>
      </c>
      <c r="G10609" s="1005"/>
      <c r="H10609" s="911">
        <v>0.5</v>
      </c>
      <c r="I10609" s="912"/>
      <c r="J10609" s="912"/>
      <c r="K10609" s="912"/>
      <c r="L10609" s="912"/>
      <c r="M10609" s="912">
        <f>VLOOKUP(B10609,MTC!$B$9:$S$933,12,0)</f>
        <v>2218057</v>
      </c>
      <c r="N10609" s="912">
        <f>M10609*H10609</f>
        <v>1109028.5</v>
      </c>
      <c r="O10609" s="892">
        <f t="shared" si="856"/>
        <v>0</v>
      </c>
      <c r="P10609" s="903">
        <f t="shared" si="850"/>
        <v>1</v>
      </c>
      <c r="Q10609" s="893">
        <f t="shared" si="851"/>
        <v>1</v>
      </c>
      <c r="R10609" s="894">
        <f t="shared" si="852"/>
        <v>0</v>
      </c>
    </row>
    <row r="10610" spans="1:18" s="904" customFormat="1">
      <c r="A10610" s="905">
        <v>181</v>
      </c>
      <c r="B10610" s="914" t="s">
        <v>6719</v>
      </c>
      <c r="C10610" s="915"/>
      <c r="D10610" s="915"/>
      <c r="E10610" s="1006" t="s">
        <v>6720</v>
      </c>
      <c r="F10610" s="917" t="s">
        <v>160</v>
      </c>
      <c r="G10610" s="1008"/>
      <c r="H10610" s="919"/>
      <c r="I10610" s="920"/>
      <c r="J10610" s="891">
        <f>SUM(J10611:J10623)</f>
        <v>388697.78</v>
      </c>
      <c r="K10610" s="891"/>
      <c r="L10610" s="891">
        <f>SUM(L10611:L10623)</f>
        <v>12797632.4</v>
      </c>
      <c r="M10610" s="891"/>
      <c r="N10610" s="891">
        <f>SUM(N10611:N10623)</f>
        <v>887222.8</v>
      </c>
      <c r="O10610" s="892">
        <f t="shared" si="856"/>
        <v>1</v>
      </c>
      <c r="P10610" s="903">
        <f t="shared" si="850"/>
        <v>0</v>
      </c>
      <c r="Q10610" s="893">
        <f t="shared" si="851"/>
        <v>0</v>
      </c>
      <c r="R10610" s="894">
        <f t="shared" si="852"/>
        <v>13</v>
      </c>
    </row>
    <row r="10611" spans="1:18">
      <c r="A10611" s="895"/>
      <c r="B10611" s="896"/>
      <c r="C10611" s="897"/>
      <c r="D10611" s="897"/>
      <c r="E10611" s="1002" t="s">
        <v>108</v>
      </c>
      <c r="F10611" s="1003"/>
      <c r="G10611" s="1004"/>
      <c r="H10611" s="901"/>
      <c r="I10611" s="902"/>
      <c r="J10611" s="902"/>
      <c r="K10611" s="912" t="s">
        <v>274</v>
      </c>
      <c r="L10611" s="902"/>
      <c r="M10611" s="902"/>
      <c r="N10611" s="902"/>
      <c r="O10611" s="892">
        <f t="shared" si="856"/>
        <v>0</v>
      </c>
      <c r="P10611" s="903">
        <f t="shared" ref="P10611:P10674" si="858">IF(O10611=0,1,0)</f>
        <v>1</v>
      </c>
      <c r="Q10611" s="893">
        <f t="shared" ref="Q10611:Q10674" si="859">IF(P10611=0,0,P10611+Q10612)</f>
        <v>13</v>
      </c>
      <c r="R10611" s="894">
        <f t="shared" ref="R10611:R10674" si="860">IF(Q10611=0,Q10612,0)</f>
        <v>0</v>
      </c>
    </row>
    <row r="10612" spans="1:18">
      <c r="A10612" s="905"/>
      <c r="B10612" s="952"/>
      <c r="C10612" s="907">
        <v>212</v>
      </c>
      <c r="D10612" s="907" t="s">
        <v>279</v>
      </c>
      <c r="E10612" s="992" t="s">
        <v>2681</v>
      </c>
      <c r="F10612" s="905" t="s">
        <v>45</v>
      </c>
      <c r="G10612" s="1005"/>
      <c r="H10612" s="911">
        <v>3.6</v>
      </c>
      <c r="I10612" s="912">
        <f>VLOOKUP(E10612,[3]VLP!$B$7:$K$300,10,0)</f>
        <v>23000</v>
      </c>
      <c r="J10612" s="912">
        <f t="shared" ref="J10612:J10619" si="861">I10612*H10612</f>
        <v>82800</v>
      </c>
      <c r="K10612" s="912" t="s">
        <v>274</v>
      </c>
      <c r="L10612" s="912"/>
      <c r="M10612" s="912"/>
      <c r="N10612" s="912"/>
      <c r="O10612" s="892">
        <f t="shared" si="856"/>
        <v>0</v>
      </c>
      <c r="P10612" s="903">
        <f t="shared" si="858"/>
        <v>1</v>
      </c>
      <c r="Q10612" s="893">
        <f t="shared" si="859"/>
        <v>12</v>
      </c>
      <c r="R10612" s="894">
        <f t="shared" si="860"/>
        <v>0</v>
      </c>
    </row>
    <row r="10613" spans="1:18" s="847" customFormat="1">
      <c r="A10613" s="905"/>
      <c r="B10613" s="952"/>
      <c r="C10613" s="907">
        <v>309</v>
      </c>
      <c r="D10613" s="907" t="s">
        <v>279</v>
      </c>
      <c r="E10613" s="992" t="s">
        <v>3262</v>
      </c>
      <c r="F10613" s="905" t="s">
        <v>45</v>
      </c>
      <c r="G10613" s="1005"/>
      <c r="H10613" s="911">
        <v>1.1000000000000001</v>
      </c>
      <c r="I10613" s="912">
        <f>VLOOKUP(E10613,[3]VLP!$B$7:$K$300,10,0)</f>
        <v>66300</v>
      </c>
      <c r="J10613" s="912">
        <f t="shared" si="861"/>
        <v>72930</v>
      </c>
      <c r="K10613" s="912" t="s">
        <v>274</v>
      </c>
      <c r="L10613" s="912"/>
      <c r="M10613" s="912"/>
      <c r="N10613" s="912"/>
      <c r="O10613" s="892">
        <f t="shared" si="856"/>
        <v>0</v>
      </c>
      <c r="P10613" s="903">
        <f t="shared" si="858"/>
        <v>1</v>
      </c>
      <c r="Q10613" s="893">
        <f t="shared" si="859"/>
        <v>11</v>
      </c>
      <c r="R10613" s="894">
        <f t="shared" si="860"/>
        <v>0</v>
      </c>
    </row>
    <row r="10614" spans="1:18" s="904" customFormat="1">
      <c r="A10614" s="905"/>
      <c r="B10614" s="952"/>
      <c r="C10614" s="907">
        <v>234</v>
      </c>
      <c r="D10614" s="907" t="s">
        <v>279</v>
      </c>
      <c r="E10614" s="992" t="s">
        <v>5983</v>
      </c>
      <c r="F10614" s="905" t="s">
        <v>3144</v>
      </c>
      <c r="G10614" s="1005"/>
      <c r="H10614" s="911">
        <v>5.4</v>
      </c>
      <c r="I10614" s="912">
        <f>VLOOKUP(E10614,[3]VLP!$B$7:$K$300,10,0)</f>
        <v>14000</v>
      </c>
      <c r="J10614" s="912">
        <f t="shared" si="861"/>
        <v>75600</v>
      </c>
      <c r="K10614" s="912" t="s">
        <v>274</v>
      </c>
      <c r="L10614" s="912"/>
      <c r="M10614" s="912"/>
      <c r="N10614" s="912"/>
      <c r="O10614" s="892">
        <f t="shared" si="856"/>
        <v>0</v>
      </c>
      <c r="P10614" s="903">
        <f t="shared" si="858"/>
        <v>1</v>
      </c>
      <c r="Q10614" s="893">
        <f t="shared" si="859"/>
        <v>10</v>
      </c>
      <c r="R10614" s="894">
        <f t="shared" si="860"/>
        <v>0</v>
      </c>
    </row>
    <row r="10615" spans="1:18">
      <c r="A10615" s="905"/>
      <c r="B10615" s="952"/>
      <c r="C10615" s="907">
        <v>317</v>
      </c>
      <c r="D10615" s="907" t="s">
        <v>279</v>
      </c>
      <c r="E10615" s="992" t="s">
        <v>3273</v>
      </c>
      <c r="F10615" s="905" t="s">
        <v>45</v>
      </c>
      <c r="G10615" s="1005"/>
      <c r="H10615" s="911">
        <v>0.5</v>
      </c>
      <c r="I10615" s="912">
        <f>VLOOKUP(E10615,[3]VLP!$B$7:$K$300,10,0)</f>
        <v>25000</v>
      </c>
      <c r="J10615" s="912">
        <f t="shared" si="861"/>
        <v>12500</v>
      </c>
      <c r="K10615" s="912" t="s">
        <v>274</v>
      </c>
      <c r="L10615" s="912"/>
      <c r="M10615" s="912"/>
      <c r="N10615" s="912"/>
      <c r="O10615" s="892">
        <f t="shared" si="856"/>
        <v>0</v>
      </c>
      <c r="P10615" s="903">
        <f t="shared" si="858"/>
        <v>1</v>
      </c>
      <c r="Q10615" s="893">
        <f t="shared" si="859"/>
        <v>9</v>
      </c>
      <c r="R10615" s="894">
        <f t="shared" si="860"/>
        <v>0</v>
      </c>
    </row>
    <row r="10616" spans="1:18" s="904" customFormat="1">
      <c r="A10616" s="905"/>
      <c r="B10616" s="952"/>
      <c r="C10616" s="907">
        <v>315</v>
      </c>
      <c r="D10616" s="907" t="s">
        <v>279</v>
      </c>
      <c r="E10616" s="992" t="s">
        <v>6316</v>
      </c>
      <c r="F10616" s="905" t="s">
        <v>49</v>
      </c>
      <c r="G10616" s="1005"/>
      <c r="H10616" s="911">
        <v>3.6</v>
      </c>
      <c r="I10616" s="912">
        <f>VLOOKUP(E10616,[3]VLP!$B$7:$K$300,10,0)</f>
        <v>8000</v>
      </c>
      <c r="J10616" s="912">
        <f t="shared" si="861"/>
        <v>28800</v>
      </c>
      <c r="K10616" s="912" t="s">
        <v>274</v>
      </c>
      <c r="L10616" s="912"/>
      <c r="M10616" s="912"/>
      <c r="N10616" s="912"/>
      <c r="O10616" s="892">
        <f t="shared" si="856"/>
        <v>0</v>
      </c>
      <c r="P10616" s="903">
        <f t="shared" si="858"/>
        <v>1</v>
      </c>
      <c r="Q10616" s="893">
        <f t="shared" si="859"/>
        <v>8</v>
      </c>
      <c r="R10616" s="894">
        <f t="shared" si="860"/>
        <v>0</v>
      </c>
    </row>
    <row r="10617" spans="1:18">
      <c r="A10617" s="905"/>
      <c r="B10617" s="952"/>
      <c r="C10617" s="907">
        <v>321</v>
      </c>
      <c r="D10617" s="907" t="s">
        <v>279</v>
      </c>
      <c r="E10617" s="992" t="s">
        <v>6317</v>
      </c>
      <c r="F10617" s="905" t="s">
        <v>45</v>
      </c>
      <c r="G10617" s="1005"/>
      <c r="H10617" s="911">
        <v>0.54</v>
      </c>
      <c r="I10617" s="912">
        <f>VLOOKUP(E10617,[3]VLP!$B$7:$K$300,10,0)</f>
        <v>38182</v>
      </c>
      <c r="J10617" s="912">
        <f t="shared" si="861"/>
        <v>20618.280000000002</v>
      </c>
      <c r="K10617" s="912" t="s">
        <v>274</v>
      </c>
      <c r="L10617" s="912"/>
      <c r="M10617" s="912"/>
      <c r="N10617" s="912"/>
      <c r="O10617" s="892">
        <f t="shared" si="856"/>
        <v>0</v>
      </c>
      <c r="P10617" s="903">
        <f t="shared" si="858"/>
        <v>1</v>
      </c>
      <c r="Q10617" s="893">
        <f t="shared" si="859"/>
        <v>7</v>
      </c>
      <c r="R10617" s="894">
        <f t="shared" si="860"/>
        <v>0</v>
      </c>
    </row>
    <row r="10618" spans="1:18">
      <c r="A10618" s="905"/>
      <c r="B10618" s="952"/>
      <c r="C10618" s="907">
        <v>235</v>
      </c>
      <c r="D10618" s="907" t="s">
        <v>279</v>
      </c>
      <c r="E10618" s="992" t="s">
        <v>2682</v>
      </c>
      <c r="F10618" s="905" t="s">
        <v>45</v>
      </c>
      <c r="G10618" s="1005"/>
      <c r="H10618" s="911">
        <v>4.5</v>
      </c>
      <c r="I10618" s="912">
        <f>VLOOKUP(E10618,[3]VLP!$B$7:$K$300,10,0)</f>
        <v>5000</v>
      </c>
      <c r="J10618" s="912">
        <f t="shared" si="861"/>
        <v>22500</v>
      </c>
      <c r="K10618" s="912" t="s">
        <v>274</v>
      </c>
      <c r="L10618" s="912"/>
      <c r="M10618" s="912"/>
      <c r="N10618" s="912"/>
      <c r="O10618" s="892">
        <f t="shared" si="856"/>
        <v>0</v>
      </c>
      <c r="P10618" s="903">
        <f t="shared" si="858"/>
        <v>1</v>
      </c>
      <c r="Q10618" s="893">
        <f t="shared" si="859"/>
        <v>6</v>
      </c>
      <c r="R10618" s="894">
        <f t="shared" si="860"/>
        <v>0</v>
      </c>
    </row>
    <row r="10619" spans="1:18" s="847" customFormat="1">
      <c r="A10619" s="905"/>
      <c r="B10619" s="952"/>
      <c r="C10619" s="907">
        <v>318</v>
      </c>
      <c r="D10619" s="907" t="s">
        <v>279</v>
      </c>
      <c r="E10619" s="992" t="s">
        <v>5657</v>
      </c>
      <c r="F10619" s="905" t="s">
        <v>45</v>
      </c>
      <c r="G10619" s="1005"/>
      <c r="H10619" s="911">
        <v>2.9</v>
      </c>
      <c r="I10619" s="912">
        <f>VLOOKUP(E10619,[3]VLP!$B$7:$K$300,10,0)</f>
        <v>25155</v>
      </c>
      <c r="J10619" s="912">
        <f t="shared" si="861"/>
        <v>72949.5</v>
      </c>
      <c r="K10619" s="912" t="s">
        <v>274</v>
      </c>
      <c r="L10619" s="912"/>
      <c r="M10619" s="912"/>
      <c r="N10619" s="912"/>
      <c r="O10619" s="892">
        <f t="shared" si="856"/>
        <v>0</v>
      </c>
      <c r="P10619" s="903">
        <f t="shared" si="858"/>
        <v>1</v>
      </c>
      <c r="Q10619" s="893">
        <f t="shared" si="859"/>
        <v>5</v>
      </c>
      <c r="R10619" s="894">
        <f t="shared" si="860"/>
        <v>0</v>
      </c>
    </row>
    <row r="10620" spans="1:18" s="904" customFormat="1">
      <c r="A10620" s="895"/>
      <c r="B10620" s="896"/>
      <c r="C10620" s="897"/>
      <c r="D10620" s="897"/>
      <c r="E10620" s="1002" t="s">
        <v>276</v>
      </c>
      <c r="F10620" s="1003"/>
      <c r="G10620" s="1004"/>
      <c r="H10620" s="901"/>
      <c r="I10620" s="902"/>
      <c r="J10620" s="902"/>
      <c r="K10620" s="912" t="s">
        <v>274</v>
      </c>
      <c r="L10620" s="902"/>
      <c r="M10620" s="902"/>
      <c r="N10620" s="902"/>
      <c r="O10620" s="892">
        <f t="shared" si="856"/>
        <v>0</v>
      </c>
      <c r="P10620" s="903">
        <f t="shared" si="858"/>
        <v>1</v>
      </c>
      <c r="Q10620" s="893">
        <f t="shared" si="859"/>
        <v>4</v>
      </c>
      <c r="R10620" s="894">
        <f t="shared" si="860"/>
        <v>0</v>
      </c>
    </row>
    <row r="10621" spans="1:18">
      <c r="A10621" s="905"/>
      <c r="B10621" s="952"/>
      <c r="C10621" s="907">
        <v>745</v>
      </c>
      <c r="D10621" s="907" t="s">
        <v>12</v>
      </c>
      <c r="E10621" s="992" t="s">
        <v>5518</v>
      </c>
      <c r="F10621" s="905" t="s">
        <v>2674</v>
      </c>
      <c r="G10621" s="1005"/>
      <c r="H10621" s="911">
        <v>53.2</v>
      </c>
      <c r="I10621" s="912"/>
      <c r="J10621" s="912"/>
      <c r="K10621" s="912">
        <f>VLOOKUP(E10621,[5]ĐMNC!$A$7:$F$67,4,0)</f>
        <v>240557</v>
      </c>
      <c r="L10621" s="912">
        <f>H10621*K10621</f>
        <v>12797632.4</v>
      </c>
      <c r="M10621" s="912"/>
      <c r="N10621" s="912"/>
      <c r="O10621" s="892">
        <f t="shared" si="856"/>
        <v>0</v>
      </c>
      <c r="P10621" s="903">
        <f t="shared" si="858"/>
        <v>1</v>
      </c>
      <c r="Q10621" s="893">
        <f t="shared" si="859"/>
        <v>3</v>
      </c>
      <c r="R10621" s="894">
        <f t="shared" si="860"/>
        <v>0</v>
      </c>
    </row>
    <row r="10622" spans="1:18" s="904" customFormat="1">
      <c r="A10622" s="895"/>
      <c r="B10622" s="896"/>
      <c r="C10622" s="897"/>
      <c r="D10622" s="897"/>
      <c r="E10622" s="1002" t="s">
        <v>3914</v>
      </c>
      <c r="F10622" s="1003"/>
      <c r="G10622" s="1004"/>
      <c r="H10622" s="901"/>
      <c r="I10622" s="902"/>
      <c r="J10622" s="902"/>
      <c r="K10622" s="912" t="s">
        <v>274</v>
      </c>
      <c r="L10622" s="902"/>
      <c r="M10622" s="902"/>
      <c r="N10622" s="902"/>
      <c r="O10622" s="892">
        <f t="shared" si="856"/>
        <v>0</v>
      </c>
      <c r="P10622" s="903">
        <f t="shared" si="858"/>
        <v>1</v>
      </c>
      <c r="Q10622" s="893">
        <f t="shared" si="859"/>
        <v>2</v>
      </c>
      <c r="R10622" s="894">
        <f t="shared" si="860"/>
        <v>0</v>
      </c>
    </row>
    <row r="10623" spans="1:18">
      <c r="A10623" s="905"/>
      <c r="B10623" s="952" t="s">
        <v>6326</v>
      </c>
      <c r="C10623" s="907">
        <v>902</v>
      </c>
      <c r="D10623" s="907" t="s">
        <v>93</v>
      </c>
      <c r="E10623" s="992" t="s">
        <v>6327</v>
      </c>
      <c r="F10623" s="905" t="s">
        <v>2673</v>
      </c>
      <c r="G10623" s="1005"/>
      <c r="H10623" s="911">
        <v>0.4</v>
      </c>
      <c r="I10623" s="912"/>
      <c r="J10623" s="912"/>
      <c r="K10623" s="912"/>
      <c r="L10623" s="912"/>
      <c r="M10623" s="912">
        <f>VLOOKUP(B10623,MTC!$B$9:$S$933,12,0)</f>
        <v>2218057</v>
      </c>
      <c r="N10623" s="912">
        <f>M10623*H10623</f>
        <v>887222.8</v>
      </c>
      <c r="O10623" s="892">
        <f t="shared" si="856"/>
        <v>0</v>
      </c>
      <c r="P10623" s="903">
        <f t="shared" si="858"/>
        <v>1</v>
      </c>
      <c r="Q10623" s="893">
        <f t="shared" si="859"/>
        <v>1</v>
      </c>
      <c r="R10623" s="894">
        <f t="shared" si="860"/>
        <v>0</v>
      </c>
    </row>
    <row r="10624" spans="1:18">
      <c r="A10624" s="905">
        <v>182</v>
      </c>
      <c r="B10624" s="914" t="s">
        <v>6721</v>
      </c>
      <c r="C10624" s="915"/>
      <c r="D10624" s="915"/>
      <c r="E10624" s="1006" t="s">
        <v>6722</v>
      </c>
      <c r="F10624" s="917" t="s">
        <v>160</v>
      </c>
      <c r="G10624" s="1008"/>
      <c r="H10624" s="919"/>
      <c r="I10624" s="920"/>
      <c r="J10624" s="891">
        <f>SUM(J10625:J10637)</f>
        <v>217982.6</v>
      </c>
      <c r="K10624" s="891"/>
      <c r="L10624" s="891">
        <f>SUM(L10625:L10637)</f>
        <v>5001180.0299999993</v>
      </c>
      <c r="M10624" s="891"/>
      <c r="N10624" s="891">
        <f>SUM(N10625:N10637)</f>
        <v>590229.9</v>
      </c>
      <c r="O10624" s="892">
        <f t="shared" si="856"/>
        <v>1</v>
      </c>
      <c r="P10624" s="903">
        <f t="shared" si="858"/>
        <v>0</v>
      </c>
      <c r="Q10624" s="893">
        <f t="shared" si="859"/>
        <v>0</v>
      </c>
      <c r="R10624" s="894">
        <f t="shared" si="860"/>
        <v>13</v>
      </c>
    </row>
    <row r="10625" spans="1:18" s="847" customFormat="1">
      <c r="A10625" s="895"/>
      <c r="B10625" s="896"/>
      <c r="C10625" s="897"/>
      <c r="D10625" s="897"/>
      <c r="E10625" s="1002" t="s">
        <v>108</v>
      </c>
      <c r="F10625" s="1003"/>
      <c r="G10625" s="1004"/>
      <c r="H10625" s="901"/>
      <c r="I10625" s="902"/>
      <c r="J10625" s="902"/>
      <c r="K10625" s="912" t="s">
        <v>274</v>
      </c>
      <c r="L10625" s="902"/>
      <c r="M10625" s="902"/>
      <c r="N10625" s="902"/>
      <c r="O10625" s="892">
        <f t="shared" si="856"/>
        <v>0</v>
      </c>
      <c r="P10625" s="903">
        <f t="shared" si="858"/>
        <v>1</v>
      </c>
      <c r="Q10625" s="893">
        <f t="shared" si="859"/>
        <v>13</v>
      </c>
      <c r="R10625" s="894">
        <f t="shared" si="860"/>
        <v>0</v>
      </c>
    </row>
    <row r="10626" spans="1:18" s="904" customFormat="1">
      <c r="A10626" s="905"/>
      <c r="B10626" s="952"/>
      <c r="C10626" s="907">
        <v>212</v>
      </c>
      <c r="D10626" s="907" t="s">
        <v>279</v>
      </c>
      <c r="E10626" s="992" t="s">
        <v>2681</v>
      </c>
      <c r="F10626" s="905" t="s">
        <v>45</v>
      </c>
      <c r="G10626" s="1005"/>
      <c r="H10626" s="911">
        <v>2</v>
      </c>
      <c r="I10626" s="912">
        <f>VLOOKUP(E10626,[3]VLP!$B$7:$K$300,10,0)</f>
        <v>23000</v>
      </c>
      <c r="J10626" s="912">
        <f t="shared" ref="J10626:J10633" si="862">I10626*H10626</f>
        <v>46000</v>
      </c>
      <c r="K10626" s="912" t="s">
        <v>274</v>
      </c>
      <c r="L10626" s="912"/>
      <c r="M10626" s="912"/>
      <c r="N10626" s="912"/>
      <c r="O10626" s="892">
        <f t="shared" si="856"/>
        <v>0</v>
      </c>
      <c r="P10626" s="903">
        <f t="shared" si="858"/>
        <v>1</v>
      </c>
      <c r="Q10626" s="893">
        <f t="shared" si="859"/>
        <v>12</v>
      </c>
      <c r="R10626" s="894">
        <f t="shared" si="860"/>
        <v>0</v>
      </c>
    </row>
    <row r="10627" spans="1:18">
      <c r="A10627" s="905"/>
      <c r="B10627" s="952"/>
      <c r="C10627" s="907">
        <v>309</v>
      </c>
      <c r="D10627" s="907" t="s">
        <v>279</v>
      </c>
      <c r="E10627" s="992" t="s">
        <v>3262</v>
      </c>
      <c r="F10627" s="905" t="s">
        <v>45</v>
      </c>
      <c r="G10627" s="1005"/>
      <c r="H10627" s="911">
        <v>0.6</v>
      </c>
      <c r="I10627" s="912">
        <f>VLOOKUP(E10627,[3]VLP!$B$7:$K$300,10,0)</f>
        <v>66300</v>
      </c>
      <c r="J10627" s="912">
        <f t="shared" si="862"/>
        <v>39780</v>
      </c>
      <c r="K10627" s="912" t="s">
        <v>274</v>
      </c>
      <c r="L10627" s="912"/>
      <c r="M10627" s="912"/>
      <c r="N10627" s="912"/>
      <c r="O10627" s="892">
        <f t="shared" si="856"/>
        <v>0</v>
      </c>
      <c r="P10627" s="903">
        <f t="shared" si="858"/>
        <v>1</v>
      </c>
      <c r="Q10627" s="893">
        <f t="shared" si="859"/>
        <v>11</v>
      </c>
      <c r="R10627" s="894">
        <f t="shared" si="860"/>
        <v>0</v>
      </c>
    </row>
    <row r="10628" spans="1:18" s="904" customFormat="1">
      <c r="A10628" s="905"/>
      <c r="B10628" s="952"/>
      <c r="C10628" s="907">
        <v>234</v>
      </c>
      <c r="D10628" s="907" t="s">
        <v>279</v>
      </c>
      <c r="E10628" s="992" t="s">
        <v>5983</v>
      </c>
      <c r="F10628" s="905" t="s">
        <v>3144</v>
      </c>
      <c r="G10628" s="1005"/>
      <c r="H10628" s="911">
        <v>3</v>
      </c>
      <c r="I10628" s="912">
        <f>VLOOKUP(E10628,[3]VLP!$B$7:$K$300,10,0)</f>
        <v>14000</v>
      </c>
      <c r="J10628" s="912">
        <f t="shared" si="862"/>
        <v>42000</v>
      </c>
      <c r="K10628" s="912" t="s">
        <v>274</v>
      </c>
      <c r="L10628" s="912"/>
      <c r="M10628" s="912"/>
      <c r="N10628" s="912"/>
      <c r="O10628" s="892">
        <f t="shared" si="856"/>
        <v>0</v>
      </c>
      <c r="P10628" s="903">
        <f t="shared" si="858"/>
        <v>1</v>
      </c>
      <c r="Q10628" s="893">
        <f t="shared" si="859"/>
        <v>10</v>
      </c>
      <c r="R10628" s="894">
        <f t="shared" si="860"/>
        <v>0</v>
      </c>
    </row>
    <row r="10629" spans="1:18">
      <c r="A10629" s="905"/>
      <c r="B10629" s="952"/>
      <c r="C10629" s="907">
        <v>317</v>
      </c>
      <c r="D10629" s="907" t="s">
        <v>279</v>
      </c>
      <c r="E10629" s="992" t="s">
        <v>3273</v>
      </c>
      <c r="F10629" s="905" t="s">
        <v>45</v>
      </c>
      <c r="G10629" s="1005"/>
      <c r="H10629" s="911">
        <v>0.3</v>
      </c>
      <c r="I10629" s="912">
        <f>VLOOKUP(E10629,[3]VLP!$B$7:$K$300,10,0)</f>
        <v>25000</v>
      </c>
      <c r="J10629" s="912">
        <f t="shared" si="862"/>
        <v>7500</v>
      </c>
      <c r="K10629" s="912" t="s">
        <v>274</v>
      </c>
      <c r="L10629" s="912"/>
      <c r="M10629" s="912"/>
      <c r="N10629" s="912"/>
      <c r="O10629" s="892">
        <f t="shared" si="856"/>
        <v>0</v>
      </c>
      <c r="P10629" s="903">
        <f t="shared" si="858"/>
        <v>1</v>
      </c>
      <c r="Q10629" s="893">
        <f t="shared" si="859"/>
        <v>9</v>
      </c>
      <c r="R10629" s="894">
        <f t="shared" si="860"/>
        <v>0</v>
      </c>
    </row>
    <row r="10630" spans="1:18">
      <c r="A10630" s="905"/>
      <c r="B10630" s="952"/>
      <c r="C10630" s="907">
        <v>315</v>
      </c>
      <c r="D10630" s="907" t="s">
        <v>279</v>
      </c>
      <c r="E10630" s="992" t="s">
        <v>6316</v>
      </c>
      <c r="F10630" s="905" t="s">
        <v>49</v>
      </c>
      <c r="G10630" s="1005"/>
      <c r="H10630" s="911">
        <v>2</v>
      </c>
      <c r="I10630" s="912">
        <f>VLOOKUP(E10630,[3]VLP!$B$7:$K$300,10,0)</f>
        <v>8000</v>
      </c>
      <c r="J10630" s="912">
        <f t="shared" si="862"/>
        <v>16000</v>
      </c>
      <c r="K10630" s="912" t="s">
        <v>274</v>
      </c>
      <c r="L10630" s="912"/>
      <c r="M10630" s="912"/>
      <c r="N10630" s="912"/>
      <c r="O10630" s="892">
        <f t="shared" si="856"/>
        <v>0</v>
      </c>
      <c r="P10630" s="903">
        <f t="shared" si="858"/>
        <v>1</v>
      </c>
      <c r="Q10630" s="893">
        <f t="shared" si="859"/>
        <v>8</v>
      </c>
      <c r="R10630" s="894">
        <f t="shared" si="860"/>
        <v>0</v>
      </c>
    </row>
    <row r="10631" spans="1:18" s="847" customFormat="1">
      <c r="A10631" s="905"/>
      <c r="B10631" s="952"/>
      <c r="C10631" s="907">
        <v>321</v>
      </c>
      <c r="D10631" s="907" t="s">
        <v>279</v>
      </c>
      <c r="E10631" s="992" t="s">
        <v>6317</v>
      </c>
      <c r="F10631" s="905" t="s">
        <v>45</v>
      </c>
      <c r="G10631" s="1005"/>
      <c r="H10631" s="911">
        <v>0.3</v>
      </c>
      <c r="I10631" s="912">
        <f>VLOOKUP(E10631,[3]VLP!$B$7:$K$300,10,0)</f>
        <v>38182</v>
      </c>
      <c r="J10631" s="912">
        <f t="shared" si="862"/>
        <v>11454.6</v>
      </c>
      <c r="K10631" s="912" t="s">
        <v>274</v>
      </c>
      <c r="L10631" s="912"/>
      <c r="M10631" s="912"/>
      <c r="N10631" s="912"/>
      <c r="O10631" s="892">
        <f t="shared" si="856"/>
        <v>0</v>
      </c>
      <c r="P10631" s="903">
        <f t="shared" si="858"/>
        <v>1</v>
      </c>
      <c r="Q10631" s="893">
        <f t="shared" si="859"/>
        <v>7</v>
      </c>
      <c r="R10631" s="894">
        <f t="shared" si="860"/>
        <v>0</v>
      </c>
    </row>
    <row r="10632" spans="1:18" s="904" customFormat="1">
      <c r="A10632" s="905"/>
      <c r="B10632" s="952"/>
      <c r="C10632" s="907">
        <v>235</v>
      </c>
      <c r="D10632" s="907" t="s">
        <v>279</v>
      </c>
      <c r="E10632" s="992" t="s">
        <v>2682</v>
      </c>
      <c r="F10632" s="905" t="s">
        <v>45</v>
      </c>
      <c r="G10632" s="1005"/>
      <c r="H10632" s="911">
        <v>3</v>
      </c>
      <c r="I10632" s="912">
        <f>VLOOKUP(E10632,[3]VLP!$B$7:$K$300,10,0)</f>
        <v>5000</v>
      </c>
      <c r="J10632" s="912">
        <f t="shared" si="862"/>
        <v>15000</v>
      </c>
      <c r="K10632" s="912" t="s">
        <v>274</v>
      </c>
      <c r="L10632" s="912"/>
      <c r="M10632" s="912"/>
      <c r="N10632" s="912"/>
      <c r="O10632" s="892">
        <f t="shared" si="856"/>
        <v>0</v>
      </c>
      <c r="P10632" s="903">
        <f t="shared" si="858"/>
        <v>1</v>
      </c>
      <c r="Q10632" s="893">
        <f t="shared" si="859"/>
        <v>6</v>
      </c>
      <c r="R10632" s="894">
        <f t="shared" si="860"/>
        <v>0</v>
      </c>
    </row>
    <row r="10633" spans="1:18">
      <c r="A10633" s="905"/>
      <c r="B10633" s="952"/>
      <c r="C10633" s="907">
        <v>318</v>
      </c>
      <c r="D10633" s="907" t="s">
        <v>279</v>
      </c>
      <c r="E10633" s="992" t="s">
        <v>5657</v>
      </c>
      <c r="F10633" s="905" t="s">
        <v>45</v>
      </c>
      <c r="G10633" s="1005"/>
      <c r="H10633" s="911">
        <v>1.6</v>
      </c>
      <c r="I10633" s="912">
        <f>VLOOKUP(E10633,[3]VLP!$B$7:$K$300,10,0)</f>
        <v>25155</v>
      </c>
      <c r="J10633" s="912">
        <f t="shared" si="862"/>
        <v>40248</v>
      </c>
      <c r="K10633" s="912" t="s">
        <v>274</v>
      </c>
      <c r="L10633" s="912"/>
      <c r="M10633" s="912"/>
      <c r="N10633" s="912"/>
      <c r="O10633" s="892">
        <f t="shared" si="856"/>
        <v>0</v>
      </c>
      <c r="P10633" s="903">
        <f t="shared" si="858"/>
        <v>1</v>
      </c>
      <c r="Q10633" s="893">
        <f t="shared" si="859"/>
        <v>5</v>
      </c>
      <c r="R10633" s="894">
        <f t="shared" si="860"/>
        <v>0</v>
      </c>
    </row>
    <row r="10634" spans="1:18" s="904" customFormat="1">
      <c r="A10634" s="895"/>
      <c r="B10634" s="896"/>
      <c r="C10634" s="897"/>
      <c r="D10634" s="897"/>
      <c r="E10634" s="1002" t="s">
        <v>276</v>
      </c>
      <c r="F10634" s="1003"/>
      <c r="G10634" s="1004"/>
      <c r="H10634" s="901"/>
      <c r="I10634" s="902"/>
      <c r="J10634" s="902"/>
      <c r="K10634" s="912" t="s">
        <v>274</v>
      </c>
      <c r="L10634" s="902"/>
      <c r="M10634" s="902"/>
      <c r="N10634" s="902"/>
      <c r="O10634" s="892">
        <f t="shared" si="856"/>
        <v>0</v>
      </c>
      <c r="P10634" s="903">
        <f t="shared" si="858"/>
        <v>1</v>
      </c>
      <c r="Q10634" s="893">
        <f t="shared" si="859"/>
        <v>4</v>
      </c>
      <c r="R10634" s="894">
        <f t="shared" si="860"/>
        <v>0</v>
      </c>
    </row>
    <row r="10635" spans="1:18">
      <c r="A10635" s="905"/>
      <c r="B10635" s="952"/>
      <c r="C10635" s="907">
        <v>745</v>
      </c>
      <c r="D10635" s="907" t="s">
        <v>12</v>
      </c>
      <c r="E10635" s="992" t="s">
        <v>5518</v>
      </c>
      <c r="F10635" s="905" t="s">
        <v>2674</v>
      </c>
      <c r="G10635" s="1005"/>
      <c r="H10635" s="911">
        <v>20.79</v>
      </c>
      <c r="I10635" s="912"/>
      <c r="J10635" s="912"/>
      <c r="K10635" s="912">
        <f>VLOOKUP(E10635,[5]ĐMNC!$A$7:$F$67,4,0)</f>
        <v>240557</v>
      </c>
      <c r="L10635" s="912">
        <f>H10635*K10635</f>
        <v>5001180.0299999993</v>
      </c>
      <c r="M10635" s="912"/>
      <c r="N10635" s="912"/>
      <c r="O10635" s="892">
        <f t="shared" si="856"/>
        <v>0</v>
      </c>
      <c r="P10635" s="903">
        <f t="shared" si="858"/>
        <v>1</v>
      </c>
      <c r="Q10635" s="893">
        <f t="shared" si="859"/>
        <v>3</v>
      </c>
      <c r="R10635" s="894">
        <f t="shared" si="860"/>
        <v>0</v>
      </c>
    </row>
    <row r="10636" spans="1:18">
      <c r="A10636" s="895"/>
      <c r="B10636" s="896"/>
      <c r="C10636" s="897"/>
      <c r="D10636" s="897"/>
      <c r="E10636" s="1002" t="s">
        <v>3914</v>
      </c>
      <c r="F10636" s="1003"/>
      <c r="G10636" s="1004"/>
      <c r="H10636" s="901"/>
      <c r="I10636" s="902"/>
      <c r="J10636" s="902"/>
      <c r="K10636" s="912" t="s">
        <v>274</v>
      </c>
      <c r="L10636" s="902"/>
      <c r="M10636" s="902"/>
      <c r="N10636" s="902"/>
      <c r="O10636" s="892">
        <f t="shared" si="856"/>
        <v>0</v>
      </c>
      <c r="P10636" s="903">
        <f t="shared" si="858"/>
        <v>1</v>
      </c>
      <c r="Q10636" s="893">
        <f t="shared" si="859"/>
        <v>2</v>
      </c>
      <c r="R10636" s="894">
        <f t="shared" si="860"/>
        <v>0</v>
      </c>
    </row>
    <row r="10637" spans="1:18" s="847" customFormat="1">
      <c r="A10637" s="905"/>
      <c r="B10637" s="952" t="s">
        <v>6332</v>
      </c>
      <c r="C10637" s="907">
        <v>901</v>
      </c>
      <c r="D10637" s="907" t="s">
        <v>93</v>
      </c>
      <c r="E10637" s="992" t="s">
        <v>6333</v>
      </c>
      <c r="F10637" s="905" t="s">
        <v>2673</v>
      </c>
      <c r="G10637" s="1005"/>
      <c r="H10637" s="911">
        <v>0.3</v>
      </c>
      <c r="I10637" s="912"/>
      <c r="J10637" s="912"/>
      <c r="K10637" s="912"/>
      <c r="L10637" s="912"/>
      <c r="M10637" s="912">
        <f>VLOOKUP(B10637,MTC!$B$9:$S$933,12,0)</f>
        <v>1967433</v>
      </c>
      <c r="N10637" s="912">
        <f>M10637*H10637</f>
        <v>590229.9</v>
      </c>
      <c r="O10637" s="892">
        <f t="shared" si="856"/>
        <v>0</v>
      </c>
      <c r="P10637" s="903">
        <f t="shared" si="858"/>
        <v>1</v>
      </c>
      <c r="Q10637" s="893">
        <f t="shared" si="859"/>
        <v>1</v>
      </c>
      <c r="R10637" s="894">
        <f t="shared" si="860"/>
        <v>0</v>
      </c>
    </row>
    <row r="10638" spans="1:18" s="904" customFormat="1">
      <c r="A10638" s="905">
        <v>183</v>
      </c>
      <c r="B10638" s="914" t="s">
        <v>6723</v>
      </c>
      <c r="C10638" s="915"/>
      <c r="D10638" s="915"/>
      <c r="E10638" s="1006" t="s">
        <v>6724</v>
      </c>
      <c r="F10638" s="917" t="s">
        <v>160</v>
      </c>
      <c r="G10638" s="1008"/>
      <c r="H10638" s="919"/>
      <c r="I10638" s="920"/>
      <c r="J10638" s="891">
        <f>SUM(J10639:J10651)</f>
        <v>108150.39999999999</v>
      </c>
      <c r="K10638" s="891"/>
      <c r="L10638" s="891">
        <f>SUM(L10639:L10651)</f>
        <v>2407975.5699999998</v>
      </c>
      <c r="M10638" s="891"/>
      <c r="N10638" s="891">
        <f>SUM(N10639:N10651)</f>
        <v>393486.60000000003</v>
      </c>
      <c r="O10638" s="892">
        <f t="shared" si="856"/>
        <v>1</v>
      </c>
      <c r="P10638" s="903">
        <f t="shared" si="858"/>
        <v>0</v>
      </c>
      <c r="Q10638" s="893">
        <f t="shared" si="859"/>
        <v>0</v>
      </c>
      <c r="R10638" s="894">
        <f t="shared" si="860"/>
        <v>13</v>
      </c>
    </row>
    <row r="10639" spans="1:18">
      <c r="A10639" s="895"/>
      <c r="B10639" s="896"/>
      <c r="C10639" s="897"/>
      <c r="D10639" s="897"/>
      <c r="E10639" s="1002" t="s">
        <v>108</v>
      </c>
      <c r="F10639" s="1003"/>
      <c r="G10639" s="1004"/>
      <c r="H10639" s="901"/>
      <c r="I10639" s="902"/>
      <c r="J10639" s="902"/>
      <c r="K10639" s="912" t="s">
        <v>274</v>
      </c>
      <c r="L10639" s="902"/>
      <c r="M10639" s="902"/>
      <c r="N10639" s="902"/>
      <c r="O10639" s="892">
        <f t="shared" si="856"/>
        <v>0</v>
      </c>
      <c r="P10639" s="903">
        <f t="shared" si="858"/>
        <v>1</v>
      </c>
      <c r="Q10639" s="893">
        <f t="shared" si="859"/>
        <v>13</v>
      </c>
      <c r="R10639" s="894">
        <f t="shared" si="860"/>
        <v>0</v>
      </c>
    </row>
    <row r="10640" spans="1:18" s="904" customFormat="1">
      <c r="A10640" s="905"/>
      <c r="B10640" s="952"/>
      <c r="C10640" s="907">
        <v>212</v>
      </c>
      <c r="D10640" s="907" t="s">
        <v>279</v>
      </c>
      <c r="E10640" s="992" t="s">
        <v>2681</v>
      </c>
      <c r="F10640" s="905" t="s">
        <v>45</v>
      </c>
      <c r="G10640" s="1005"/>
      <c r="H10640" s="911">
        <v>1</v>
      </c>
      <c r="I10640" s="912">
        <f>VLOOKUP(E10640,[3]VLP!$B$7:$K$300,10,0)</f>
        <v>23000</v>
      </c>
      <c r="J10640" s="912">
        <f t="shared" ref="J10640:J10647" si="863">I10640*H10640</f>
        <v>23000</v>
      </c>
      <c r="K10640" s="912" t="s">
        <v>274</v>
      </c>
      <c r="L10640" s="912"/>
      <c r="M10640" s="912"/>
      <c r="N10640" s="912"/>
      <c r="O10640" s="892">
        <f t="shared" si="856"/>
        <v>0</v>
      </c>
      <c r="P10640" s="903">
        <f t="shared" si="858"/>
        <v>1</v>
      </c>
      <c r="Q10640" s="893">
        <f t="shared" si="859"/>
        <v>12</v>
      </c>
      <c r="R10640" s="894">
        <f t="shared" si="860"/>
        <v>0</v>
      </c>
    </row>
    <row r="10641" spans="1:18">
      <c r="A10641" s="905"/>
      <c r="B10641" s="952"/>
      <c r="C10641" s="907">
        <v>309</v>
      </c>
      <c r="D10641" s="907" t="s">
        <v>279</v>
      </c>
      <c r="E10641" s="992" t="s">
        <v>3262</v>
      </c>
      <c r="F10641" s="905" t="s">
        <v>45</v>
      </c>
      <c r="G10641" s="1005"/>
      <c r="H10641" s="911">
        <v>0.3</v>
      </c>
      <c r="I10641" s="912">
        <f>VLOOKUP(E10641,[3]VLP!$B$7:$K$300,10,0)</f>
        <v>66300</v>
      </c>
      <c r="J10641" s="912">
        <f t="shared" si="863"/>
        <v>19890</v>
      </c>
      <c r="K10641" s="912" t="s">
        <v>274</v>
      </c>
      <c r="L10641" s="912"/>
      <c r="M10641" s="912"/>
      <c r="N10641" s="912"/>
      <c r="O10641" s="892">
        <f t="shared" si="856"/>
        <v>0</v>
      </c>
      <c r="P10641" s="903">
        <f t="shared" si="858"/>
        <v>1</v>
      </c>
      <c r="Q10641" s="893">
        <f t="shared" si="859"/>
        <v>11</v>
      </c>
      <c r="R10641" s="894">
        <f t="shared" si="860"/>
        <v>0</v>
      </c>
    </row>
    <row r="10642" spans="1:18">
      <c r="A10642" s="905"/>
      <c r="B10642" s="952"/>
      <c r="C10642" s="907">
        <v>234</v>
      </c>
      <c r="D10642" s="907" t="s">
        <v>279</v>
      </c>
      <c r="E10642" s="992" t="s">
        <v>5983</v>
      </c>
      <c r="F10642" s="905" t="s">
        <v>3144</v>
      </c>
      <c r="G10642" s="1005"/>
      <c r="H10642" s="911">
        <v>1</v>
      </c>
      <c r="I10642" s="912">
        <f>VLOOKUP(E10642,[3]VLP!$B$7:$K$300,10,0)</f>
        <v>14000</v>
      </c>
      <c r="J10642" s="912">
        <f t="shared" si="863"/>
        <v>14000</v>
      </c>
      <c r="K10642" s="912" t="s">
        <v>274</v>
      </c>
      <c r="L10642" s="912"/>
      <c r="M10642" s="912"/>
      <c r="N10642" s="912"/>
      <c r="O10642" s="892">
        <f t="shared" si="856"/>
        <v>0</v>
      </c>
      <c r="P10642" s="903">
        <f t="shared" si="858"/>
        <v>1</v>
      </c>
      <c r="Q10642" s="893">
        <f t="shared" si="859"/>
        <v>10</v>
      </c>
      <c r="R10642" s="894">
        <f t="shared" si="860"/>
        <v>0</v>
      </c>
    </row>
    <row r="10643" spans="1:18" s="847" customFormat="1">
      <c r="A10643" s="905"/>
      <c r="B10643" s="952"/>
      <c r="C10643" s="907">
        <v>317</v>
      </c>
      <c r="D10643" s="907" t="s">
        <v>279</v>
      </c>
      <c r="E10643" s="992" t="s">
        <v>3273</v>
      </c>
      <c r="F10643" s="905" t="s">
        <v>45</v>
      </c>
      <c r="G10643" s="1005"/>
      <c r="H10643" s="911">
        <v>0.2</v>
      </c>
      <c r="I10643" s="912">
        <f>VLOOKUP(E10643,[3]VLP!$B$7:$K$300,10,0)</f>
        <v>25000</v>
      </c>
      <c r="J10643" s="912">
        <f t="shared" si="863"/>
        <v>5000</v>
      </c>
      <c r="K10643" s="912" t="s">
        <v>274</v>
      </c>
      <c r="L10643" s="912"/>
      <c r="M10643" s="912"/>
      <c r="N10643" s="912"/>
      <c r="O10643" s="892">
        <f t="shared" si="856"/>
        <v>0</v>
      </c>
      <c r="P10643" s="903">
        <f t="shared" si="858"/>
        <v>1</v>
      </c>
      <c r="Q10643" s="893">
        <f t="shared" si="859"/>
        <v>9</v>
      </c>
      <c r="R10643" s="894">
        <f t="shared" si="860"/>
        <v>0</v>
      </c>
    </row>
    <row r="10644" spans="1:18" s="904" customFormat="1">
      <c r="A10644" s="905"/>
      <c r="B10644" s="952"/>
      <c r="C10644" s="907">
        <v>315</v>
      </c>
      <c r="D10644" s="907" t="s">
        <v>279</v>
      </c>
      <c r="E10644" s="992" t="s">
        <v>6316</v>
      </c>
      <c r="F10644" s="905" t="s">
        <v>49</v>
      </c>
      <c r="G10644" s="1005"/>
      <c r="H10644" s="911">
        <v>1</v>
      </c>
      <c r="I10644" s="912">
        <f>VLOOKUP(E10644,[3]VLP!$B$7:$K$300,10,0)</f>
        <v>8000</v>
      </c>
      <c r="J10644" s="912">
        <f t="shared" si="863"/>
        <v>8000</v>
      </c>
      <c r="K10644" s="912" t="s">
        <v>274</v>
      </c>
      <c r="L10644" s="912"/>
      <c r="M10644" s="912"/>
      <c r="N10644" s="912"/>
      <c r="O10644" s="892">
        <f t="shared" si="856"/>
        <v>0</v>
      </c>
      <c r="P10644" s="903">
        <f t="shared" si="858"/>
        <v>1</v>
      </c>
      <c r="Q10644" s="893">
        <f t="shared" si="859"/>
        <v>8</v>
      </c>
      <c r="R10644" s="894">
        <f t="shared" si="860"/>
        <v>0</v>
      </c>
    </row>
    <row r="10645" spans="1:18">
      <c r="A10645" s="905"/>
      <c r="B10645" s="952"/>
      <c r="C10645" s="907">
        <v>321</v>
      </c>
      <c r="D10645" s="907" t="s">
        <v>279</v>
      </c>
      <c r="E10645" s="992" t="s">
        <v>6317</v>
      </c>
      <c r="F10645" s="905" t="s">
        <v>45</v>
      </c>
      <c r="G10645" s="1005"/>
      <c r="H10645" s="911">
        <v>0.2</v>
      </c>
      <c r="I10645" s="912">
        <f>VLOOKUP(E10645,[3]VLP!$B$7:$K$300,10,0)</f>
        <v>38182</v>
      </c>
      <c r="J10645" s="912">
        <f t="shared" si="863"/>
        <v>7636.4000000000005</v>
      </c>
      <c r="K10645" s="912" t="s">
        <v>274</v>
      </c>
      <c r="L10645" s="912"/>
      <c r="M10645" s="912"/>
      <c r="N10645" s="912"/>
      <c r="O10645" s="892">
        <f t="shared" si="856"/>
        <v>0</v>
      </c>
      <c r="P10645" s="903">
        <f t="shared" si="858"/>
        <v>1</v>
      </c>
      <c r="Q10645" s="893">
        <f t="shared" si="859"/>
        <v>7</v>
      </c>
      <c r="R10645" s="894">
        <f t="shared" si="860"/>
        <v>0</v>
      </c>
    </row>
    <row r="10646" spans="1:18" s="904" customFormat="1">
      <c r="A10646" s="905"/>
      <c r="B10646" s="952"/>
      <c r="C10646" s="907">
        <v>235</v>
      </c>
      <c r="D10646" s="907" t="s">
        <v>279</v>
      </c>
      <c r="E10646" s="992" t="s">
        <v>2682</v>
      </c>
      <c r="F10646" s="905" t="s">
        <v>45</v>
      </c>
      <c r="G10646" s="1005"/>
      <c r="H10646" s="911">
        <v>2.1</v>
      </c>
      <c r="I10646" s="912">
        <f>VLOOKUP(E10646,[3]VLP!$B$7:$K$300,10,0)</f>
        <v>5000</v>
      </c>
      <c r="J10646" s="912">
        <f t="shared" si="863"/>
        <v>10500</v>
      </c>
      <c r="K10646" s="912" t="s">
        <v>274</v>
      </c>
      <c r="L10646" s="912"/>
      <c r="M10646" s="912"/>
      <c r="N10646" s="912"/>
      <c r="O10646" s="892">
        <f t="shared" si="856"/>
        <v>0</v>
      </c>
      <c r="P10646" s="903">
        <f t="shared" si="858"/>
        <v>1</v>
      </c>
      <c r="Q10646" s="893">
        <f t="shared" si="859"/>
        <v>6</v>
      </c>
      <c r="R10646" s="894">
        <f t="shared" si="860"/>
        <v>0</v>
      </c>
    </row>
    <row r="10647" spans="1:18">
      <c r="A10647" s="905"/>
      <c r="B10647" s="952"/>
      <c r="C10647" s="907">
        <v>318</v>
      </c>
      <c r="D10647" s="907" t="s">
        <v>279</v>
      </c>
      <c r="E10647" s="992" t="s">
        <v>5657</v>
      </c>
      <c r="F10647" s="905" t="s">
        <v>45</v>
      </c>
      <c r="G10647" s="1005"/>
      <c r="H10647" s="911">
        <v>0.8</v>
      </c>
      <c r="I10647" s="912">
        <f>VLOOKUP(E10647,[3]VLP!$B$7:$K$300,10,0)</f>
        <v>25155</v>
      </c>
      <c r="J10647" s="912">
        <f t="shared" si="863"/>
        <v>20124</v>
      </c>
      <c r="K10647" s="912" t="s">
        <v>274</v>
      </c>
      <c r="L10647" s="912"/>
      <c r="M10647" s="912"/>
      <c r="N10647" s="912"/>
      <c r="O10647" s="892">
        <f t="shared" si="856"/>
        <v>0</v>
      </c>
      <c r="P10647" s="903">
        <f t="shared" si="858"/>
        <v>1</v>
      </c>
      <c r="Q10647" s="893">
        <f t="shared" si="859"/>
        <v>5</v>
      </c>
      <c r="R10647" s="894">
        <f t="shared" si="860"/>
        <v>0</v>
      </c>
    </row>
    <row r="10648" spans="1:18">
      <c r="A10648" s="895"/>
      <c r="B10648" s="896"/>
      <c r="C10648" s="897"/>
      <c r="D10648" s="897"/>
      <c r="E10648" s="1002" t="s">
        <v>276</v>
      </c>
      <c r="F10648" s="1003"/>
      <c r="G10648" s="1004"/>
      <c r="H10648" s="901"/>
      <c r="I10648" s="902"/>
      <c r="J10648" s="902"/>
      <c r="K10648" s="912" t="s">
        <v>274</v>
      </c>
      <c r="L10648" s="902"/>
      <c r="M10648" s="902"/>
      <c r="N10648" s="902"/>
      <c r="O10648" s="892">
        <f t="shared" si="856"/>
        <v>0</v>
      </c>
      <c r="P10648" s="903">
        <f t="shared" si="858"/>
        <v>1</v>
      </c>
      <c r="Q10648" s="893">
        <f t="shared" si="859"/>
        <v>4</v>
      </c>
      <c r="R10648" s="894">
        <f t="shared" si="860"/>
        <v>0</v>
      </c>
    </row>
    <row r="10649" spans="1:18" s="847" customFormat="1">
      <c r="A10649" s="905"/>
      <c r="B10649" s="952"/>
      <c r="C10649" s="907">
        <v>745</v>
      </c>
      <c r="D10649" s="907" t="s">
        <v>12</v>
      </c>
      <c r="E10649" s="992" t="s">
        <v>5518</v>
      </c>
      <c r="F10649" s="905" t="s">
        <v>2674</v>
      </c>
      <c r="G10649" s="1005"/>
      <c r="H10649" s="911">
        <v>10.01</v>
      </c>
      <c r="I10649" s="912"/>
      <c r="J10649" s="912"/>
      <c r="K10649" s="912">
        <f>VLOOKUP(E10649,[5]ĐMNC!$A$7:$F$67,4,0)</f>
        <v>240557</v>
      </c>
      <c r="L10649" s="912">
        <f>H10649*K10649</f>
        <v>2407975.5699999998</v>
      </c>
      <c r="M10649" s="912"/>
      <c r="N10649" s="912"/>
      <c r="O10649" s="892">
        <f t="shared" si="856"/>
        <v>0</v>
      </c>
      <c r="P10649" s="903">
        <f t="shared" si="858"/>
        <v>1</v>
      </c>
      <c r="Q10649" s="893">
        <f t="shared" si="859"/>
        <v>3</v>
      </c>
      <c r="R10649" s="894">
        <f t="shared" si="860"/>
        <v>0</v>
      </c>
    </row>
    <row r="10650" spans="1:18" s="904" customFormat="1">
      <c r="A10650" s="895"/>
      <c r="B10650" s="896"/>
      <c r="C10650" s="897"/>
      <c r="D10650" s="897"/>
      <c r="E10650" s="1002" t="s">
        <v>3914</v>
      </c>
      <c r="F10650" s="1003"/>
      <c r="G10650" s="1004"/>
      <c r="H10650" s="901"/>
      <c r="I10650" s="902"/>
      <c r="J10650" s="902"/>
      <c r="K10650" s="912" t="s">
        <v>274</v>
      </c>
      <c r="L10650" s="902"/>
      <c r="M10650" s="902"/>
      <c r="N10650" s="902"/>
      <c r="O10650" s="892">
        <f t="shared" si="856"/>
        <v>0</v>
      </c>
      <c r="P10650" s="903">
        <f t="shared" si="858"/>
        <v>1</v>
      </c>
      <c r="Q10650" s="893">
        <f t="shared" si="859"/>
        <v>2</v>
      </c>
      <c r="R10650" s="894">
        <f t="shared" si="860"/>
        <v>0</v>
      </c>
    </row>
    <row r="10651" spans="1:18">
      <c r="A10651" s="905"/>
      <c r="B10651" s="952" t="s">
        <v>6332</v>
      </c>
      <c r="C10651" s="907">
        <v>901</v>
      </c>
      <c r="D10651" s="907" t="s">
        <v>93</v>
      </c>
      <c r="E10651" s="992" t="s">
        <v>6333</v>
      </c>
      <c r="F10651" s="905" t="s">
        <v>2673</v>
      </c>
      <c r="G10651" s="1005"/>
      <c r="H10651" s="911">
        <v>0.2</v>
      </c>
      <c r="I10651" s="912"/>
      <c r="J10651" s="912"/>
      <c r="K10651" s="912"/>
      <c r="L10651" s="912"/>
      <c r="M10651" s="912">
        <f>VLOOKUP(B10651,MTC!$B$9:$S$933,12,0)</f>
        <v>1967433</v>
      </c>
      <c r="N10651" s="912">
        <f>M10651*H10651</f>
        <v>393486.60000000003</v>
      </c>
      <c r="O10651" s="892">
        <f t="shared" si="856"/>
        <v>0</v>
      </c>
      <c r="P10651" s="903">
        <f t="shared" si="858"/>
        <v>1</v>
      </c>
      <c r="Q10651" s="893">
        <f t="shared" si="859"/>
        <v>1</v>
      </c>
      <c r="R10651" s="894">
        <f t="shared" si="860"/>
        <v>0</v>
      </c>
    </row>
    <row r="10652" spans="1:18" s="904" customFormat="1" ht="31.5">
      <c r="A10652" s="905" t="s">
        <v>6725</v>
      </c>
      <c r="B10652" s="914" t="s">
        <v>6726</v>
      </c>
      <c r="C10652" s="915"/>
      <c r="D10652" s="915"/>
      <c r="E10652" s="1006" t="s">
        <v>6727</v>
      </c>
      <c r="F10652" s="917" t="s">
        <v>160</v>
      </c>
      <c r="G10652" s="1008"/>
      <c r="H10652" s="919"/>
      <c r="I10652" s="920"/>
      <c r="J10652" s="962">
        <f>SUM(J10653:J10662)</f>
        <v>79468.240000000005</v>
      </c>
      <c r="K10652" s="891" t="s">
        <v>274</v>
      </c>
      <c r="L10652" s="962">
        <f>SUM(L10653:L10662)</f>
        <v>2718294.1</v>
      </c>
      <c r="M10652" s="962"/>
      <c r="N10652" s="962">
        <f>SUM(N10653:N10662)</f>
        <v>472183.92</v>
      </c>
      <c r="O10652" s="892">
        <f t="shared" si="856"/>
        <v>1</v>
      </c>
      <c r="P10652" s="903">
        <f t="shared" si="858"/>
        <v>0</v>
      </c>
      <c r="Q10652" s="893">
        <f t="shared" si="859"/>
        <v>0</v>
      </c>
      <c r="R10652" s="894">
        <f t="shared" si="860"/>
        <v>10</v>
      </c>
    </row>
    <row r="10653" spans="1:18">
      <c r="A10653" s="895"/>
      <c r="B10653" s="896"/>
      <c r="C10653" s="897"/>
      <c r="D10653" s="897"/>
      <c r="E10653" s="1002" t="s">
        <v>108</v>
      </c>
      <c r="F10653" s="1003"/>
      <c r="G10653" s="1004"/>
      <c r="H10653" s="901"/>
      <c r="I10653" s="902"/>
      <c r="J10653" s="902"/>
      <c r="K10653" s="912" t="s">
        <v>274</v>
      </c>
      <c r="L10653" s="902"/>
      <c r="M10653" s="902"/>
      <c r="N10653" s="902"/>
      <c r="O10653" s="892">
        <f t="shared" si="856"/>
        <v>0</v>
      </c>
      <c r="P10653" s="903">
        <f t="shared" si="858"/>
        <v>1</v>
      </c>
      <c r="Q10653" s="893">
        <f t="shared" si="859"/>
        <v>10</v>
      </c>
      <c r="R10653" s="894">
        <f t="shared" si="860"/>
        <v>0</v>
      </c>
    </row>
    <row r="10654" spans="1:18">
      <c r="A10654" s="905"/>
      <c r="B10654" s="952"/>
      <c r="C10654" s="907">
        <v>234</v>
      </c>
      <c r="D10654" s="907" t="s">
        <v>279</v>
      </c>
      <c r="E10654" s="992" t="s">
        <v>5983</v>
      </c>
      <c r="F10654" s="905" t="s">
        <v>3144</v>
      </c>
      <c r="G10654" s="1005"/>
      <c r="H10654" s="911">
        <v>4</v>
      </c>
      <c r="I10654" s="912">
        <f>VLOOKUP(E10654,[3]VLP!$B$7:$K$300,10,0)</f>
        <v>14000</v>
      </c>
      <c r="J10654" s="912">
        <f>I10654*H10654</f>
        <v>56000</v>
      </c>
      <c r="K10654" s="912" t="s">
        <v>274</v>
      </c>
      <c r="L10654" s="912"/>
      <c r="M10654" s="912"/>
      <c r="N10654" s="912"/>
      <c r="O10654" s="892">
        <f t="shared" si="856"/>
        <v>0</v>
      </c>
      <c r="P10654" s="903">
        <f t="shared" si="858"/>
        <v>1</v>
      </c>
      <c r="Q10654" s="893">
        <f t="shared" si="859"/>
        <v>9</v>
      </c>
      <c r="R10654" s="894">
        <f t="shared" si="860"/>
        <v>0</v>
      </c>
    </row>
    <row r="10655" spans="1:18" s="847" customFormat="1">
      <c r="A10655" s="905"/>
      <c r="B10655" s="952"/>
      <c r="C10655" s="907">
        <v>317</v>
      </c>
      <c r="D10655" s="907" t="s">
        <v>279</v>
      </c>
      <c r="E10655" s="992" t="s">
        <v>3273</v>
      </c>
      <c r="F10655" s="905" t="s">
        <v>45</v>
      </c>
      <c r="G10655" s="1005"/>
      <c r="H10655" s="911">
        <v>0.15</v>
      </c>
      <c r="I10655" s="912">
        <f>VLOOKUP(E10655,[3]VLP!$B$7:$K$300,10,0)</f>
        <v>25000</v>
      </c>
      <c r="J10655" s="912">
        <f>I10655*H10655</f>
        <v>3750</v>
      </c>
      <c r="K10655" s="912" t="s">
        <v>274</v>
      </c>
      <c r="L10655" s="912"/>
      <c r="M10655" s="912"/>
      <c r="N10655" s="912"/>
      <c r="O10655" s="892">
        <f t="shared" ref="O10655:O10718" si="864">IF(AND(B10655&lt;&gt;"",D10655=""),1,0)</f>
        <v>0</v>
      </c>
      <c r="P10655" s="903">
        <f t="shared" si="858"/>
        <v>1</v>
      </c>
      <c r="Q10655" s="893">
        <f t="shared" si="859"/>
        <v>8</v>
      </c>
      <c r="R10655" s="894">
        <f t="shared" si="860"/>
        <v>0</v>
      </c>
    </row>
    <row r="10656" spans="1:18" s="904" customFormat="1">
      <c r="A10656" s="905"/>
      <c r="B10656" s="952"/>
      <c r="C10656" s="907">
        <v>321</v>
      </c>
      <c r="D10656" s="907" t="s">
        <v>279</v>
      </c>
      <c r="E10656" s="992" t="s">
        <v>6317</v>
      </c>
      <c r="F10656" s="905" t="s">
        <v>45</v>
      </c>
      <c r="G10656" s="1005"/>
      <c r="H10656" s="911">
        <v>0.32</v>
      </c>
      <c r="I10656" s="912">
        <f>VLOOKUP(E10656,[3]VLP!$B$7:$K$300,10,0)</f>
        <v>38182</v>
      </c>
      <c r="J10656" s="912">
        <f>I10656*H10656</f>
        <v>12218.24</v>
      </c>
      <c r="K10656" s="912" t="s">
        <v>274</v>
      </c>
      <c r="L10656" s="912"/>
      <c r="M10656" s="912"/>
      <c r="N10656" s="912"/>
      <c r="O10656" s="892">
        <f t="shared" si="864"/>
        <v>0</v>
      </c>
      <c r="P10656" s="903">
        <f t="shared" si="858"/>
        <v>1</v>
      </c>
      <c r="Q10656" s="893">
        <f t="shared" si="859"/>
        <v>7</v>
      </c>
      <c r="R10656" s="894">
        <f t="shared" si="860"/>
        <v>0</v>
      </c>
    </row>
    <row r="10657" spans="1:18">
      <c r="A10657" s="905"/>
      <c r="B10657" s="952"/>
      <c r="C10657" s="907">
        <v>235</v>
      </c>
      <c r="D10657" s="907" t="s">
        <v>279</v>
      </c>
      <c r="E10657" s="992" t="s">
        <v>2682</v>
      </c>
      <c r="F10657" s="905" t="s">
        <v>45</v>
      </c>
      <c r="G10657" s="1005"/>
      <c r="H10657" s="911">
        <v>1.5</v>
      </c>
      <c r="I10657" s="912">
        <f>VLOOKUP(E10657,[3]VLP!$B$7:$K$300,10,0)</f>
        <v>5000</v>
      </c>
      <c r="J10657" s="912">
        <f>I10657*H10657</f>
        <v>7500</v>
      </c>
      <c r="K10657" s="912" t="s">
        <v>274</v>
      </c>
      <c r="L10657" s="912"/>
      <c r="M10657" s="912"/>
      <c r="N10657" s="912"/>
      <c r="O10657" s="892">
        <f t="shared" si="864"/>
        <v>0</v>
      </c>
      <c r="P10657" s="903">
        <f t="shared" si="858"/>
        <v>1</v>
      </c>
      <c r="Q10657" s="893">
        <f t="shared" si="859"/>
        <v>6</v>
      </c>
      <c r="R10657" s="894">
        <f t="shared" si="860"/>
        <v>0</v>
      </c>
    </row>
    <row r="10658" spans="1:18" s="904" customFormat="1">
      <c r="A10658" s="895"/>
      <c r="B10658" s="896"/>
      <c r="C10658" s="897"/>
      <c r="D10658" s="897"/>
      <c r="E10658" s="1002" t="s">
        <v>276</v>
      </c>
      <c r="F10658" s="1003"/>
      <c r="G10658" s="1004"/>
      <c r="H10658" s="901"/>
      <c r="I10658" s="902"/>
      <c r="J10658" s="902"/>
      <c r="K10658" s="912" t="s">
        <v>274</v>
      </c>
      <c r="L10658" s="902"/>
      <c r="M10658" s="902"/>
      <c r="N10658" s="902"/>
      <c r="O10658" s="892">
        <f t="shared" si="864"/>
        <v>0</v>
      </c>
      <c r="P10658" s="903">
        <f t="shared" si="858"/>
        <v>1</v>
      </c>
      <c r="Q10658" s="893">
        <f t="shared" si="859"/>
        <v>5</v>
      </c>
      <c r="R10658" s="894">
        <f t="shared" si="860"/>
        <v>0</v>
      </c>
    </row>
    <row r="10659" spans="1:18">
      <c r="A10659" s="905"/>
      <c r="B10659" s="952"/>
      <c r="C10659" s="907">
        <v>745</v>
      </c>
      <c r="D10659" s="907" t="s">
        <v>12</v>
      </c>
      <c r="E10659" s="992" t="s">
        <v>5518</v>
      </c>
      <c r="F10659" s="905" t="s">
        <v>2674</v>
      </c>
      <c r="G10659" s="1005"/>
      <c r="H10659" s="911">
        <v>11.3</v>
      </c>
      <c r="I10659" s="912"/>
      <c r="J10659" s="912"/>
      <c r="K10659" s="912">
        <f>VLOOKUP(E10659,[5]ĐMNC!$A$7:$F$67,4,0)</f>
        <v>240557</v>
      </c>
      <c r="L10659" s="912">
        <f>H10659*K10659</f>
        <v>2718294.1</v>
      </c>
      <c r="M10659" s="912"/>
      <c r="N10659" s="912"/>
      <c r="O10659" s="892">
        <f t="shared" si="864"/>
        <v>0</v>
      </c>
      <c r="P10659" s="903">
        <f t="shared" si="858"/>
        <v>1</v>
      </c>
      <c r="Q10659" s="893">
        <f t="shared" si="859"/>
        <v>4</v>
      </c>
      <c r="R10659" s="894">
        <f t="shared" si="860"/>
        <v>0</v>
      </c>
    </row>
    <row r="10660" spans="1:18">
      <c r="A10660" s="895"/>
      <c r="B10660" s="896"/>
      <c r="C10660" s="897"/>
      <c r="D10660" s="897"/>
      <c r="E10660" s="1002" t="s">
        <v>3914</v>
      </c>
      <c r="F10660" s="1003"/>
      <c r="G10660" s="1004"/>
      <c r="H10660" s="901"/>
      <c r="I10660" s="902"/>
      <c r="J10660" s="902"/>
      <c r="K10660" s="912" t="s">
        <v>274</v>
      </c>
      <c r="L10660" s="902"/>
      <c r="M10660" s="902"/>
      <c r="N10660" s="902"/>
      <c r="O10660" s="892">
        <f t="shared" si="864"/>
        <v>0</v>
      </c>
      <c r="P10660" s="903">
        <f t="shared" si="858"/>
        <v>1</v>
      </c>
      <c r="Q10660" s="893">
        <f t="shared" si="859"/>
        <v>3</v>
      </c>
      <c r="R10660" s="894">
        <f t="shared" si="860"/>
        <v>0</v>
      </c>
    </row>
    <row r="10661" spans="1:18" s="847" customFormat="1">
      <c r="A10661" s="905"/>
      <c r="B10661" s="952" t="s">
        <v>6332</v>
      </c>
      <c r="C10661" s="907">
        <v>901</v>
      </c>
      <c r="D10661" s="907" t="s">
        <v>93</v>
      </c>
      <c r="E10661" s="992" t="s">
        <v>6333</v>
      </c>
      <c r="F10661" s="905" t="s">
        <v>2673</v>
      </c>
      <c r="G10661" s="1005"/>
      <c r="H10661" s="911">
        <v>0.24</v>
      </c>
      <c r="I10661" s="912"/>
      <c r="J10661" s="912"/>
      <c r="K10661" s="912"/>
      <c r="L10661" s="912"/>
      <c r="M10661" s="912">
        <f>VLOOKUP(B10661,MTC!$B$9:$S$933,12,0)</f>
        <v>1967433</v>
      </c>
      <c r="N10661" s="912">
        <f>M10661*H10661</f>
        <v>472183.92</v>
      </c>
      <c r="O10661" s="892">
        <f t="shared" si="864"/>
        <v>0</v>
      </c>
      <c r="P10661" s="903">
        <f t="shared" si="858"/>
        <v>1</v>
      </c>
      <c r="Q10661" s="893">
        <f t="shared" si="859"/>
        <v>2</v>
      </c>
      <c r="R10661" s="894">
        <f t="shared" si="860"/>
        <v>0</v>
      </c>
    </row>
    <row r="10662" spans="1:18" s="904" customFormat="1">
      <c r="A10662" s="905"/>
      <c r="B10662" s="1015" t="s">
        <v>6728</v>
      </c>
      <c r="C10662" s="907">
        <v>999</v>
      </c>
      <c r="D10662" s="907" t="s">
        <v>93</v>
      </c>
      <c r="E10662" s="992" t="s">
        <v>6729</v>
      </c>
      <c r="F10662" s="905" t="s">
        <v>4007</v>
      </c>
      <c r="G10662" s="1005"/>
      <c r="H10662" s="911">
        <v>3</v>
      </c>
      <c r="I10662" s="912"/>
      <c r="J10662" s="912"/>
      <c r="K10662" s="912"/>
      <c r="L10662" s="912"/>
      <c r="M10662" s="912">
        <f>VLOOKUP(B10662,MTC!$B$9:$S$933,12,0)</f>
        <v>0</v>
      </c>
      <c r="N10662" s="912">
        <f>M10662*H10662</f>
        <v>0</v>
      </c>
      <c r="O10662" s="892">
        <f t="shared" si="864"/>
        <v>0</v>
      </c>
      <c r="P10662" s="903">
        <f t="shared" si="858"/>
        <v>1</v>
      </c>
      <c r="Q10662" s="893">
        <f t="shared" si="859"/>
        <v>1</v>
      </c>
      <c r="R10662" s="894">
        <f t="shared" si="860"/>
        <v>0</v>
      </c>
    </row>
    <row r="10663" spans="1:18">
      <c r="A10663" s="905">
        <v>185</v>
      </c>
      <c r="B10663" s="914" t="s">
        <v>6730</v>
      </c>
      <c r="C10663" s="915"/>
      <c r="D10663" s="915"/>
      <c r="E10663" s="1006" t="s">
        <v>6731</v>
      </c>
      <c r="F10663" s="917" t="s">
        <v>160</v>
      </c>
      <c r="G10663" s="1008"/>
      <c r="H10663" s="919"/>
      <c r="I10663" s="920"/>
      <c r="J10663" s="962">
        <f>SUM(J10664:J10673)</f>
        <v>79468.240000000005</v>
      </c>
      <c r="K10663" s="891" t="s">
        <v>274</v>
      </c>
      <c r="L10663" s="962">
        <f>SUM(L10664:L10673)</f>
        <v>3776744.9</v>
      </c>
      <c r="M10663" s="962"/>
      <c r="N10663" s="962">
        <f>SUM(N10664:N10673)</f>
        <v>472183.92</v>
      </c>
      <c r="O10663" s="892">
        <f t="shared" si="864"/>
        <v>1</v>
      </c>
      <c r="P10663" s="903">
        <f t="shared" si="858"/>
        <v>0</v>
      </c>
      <c r="Q10663" s="893">
        <f t="shared" si="859"/>
        <v>0</v>
      </c>
      <c r="R10663" s="894">
        <f t="shared" si="860"/>
        <v>10</v>
      </c>
    </row>
    <row r="10664" spans="1:18" s="904" customFormat="1">
      <c r="A10664" s="895"/>
      <c r="B10664" s="896"/>
      <c r="C10664" s="897"/>
      <c r="D10664" s="897"/>
      <c r="E10664" s="1002" t="s">
        <v>108</v>
      </c>
      <c r="F10664" s="1003"/>
      <c r="G10664" s="1004"/>
      <c r="H10664" s="901"/>
      <c r="I10664" s="902"/>
      <c r="J10664" s="902"/>
      <c r="K10664" s="912" t="s">
        <v>274</v>
      </c>
      <c r="L10664" s="902"/>
      <c r="M10664" s="902"/>
      <c r="N10664" s="902"/>
      <c r="O10664" s="892">
        <f t="shared" si="864"/>
        <v>0</v>
      </c>
      <c r="P10664" s="903">
        <f t="shared" si="858"/>
        <v>1</v>
      </c>
      <c r="Q10664" s="893">
        <f t="shared" si="859"/>
        <v>10</v>
      </c>
      <c r="R10664" s="894">
        <f t="shared" si="860"/>
        <v>0</v>
      </c>
    </row>
    <row r="10665" spans="1:18">
      <c r="A10665" s="905"/>
      <c r="B10665" s="952"/>
      <c r="C10665" s="907">
        <v>234</v>
      </c>
      <c r="D10665" s="907" t="s">
        <v>279</v>
      </c>
      <c r="E10665" s="992" t="s">
        <v>5983</v>
      </c>
      <c r="F10665" s="905" t="s">
        <v>3144</v>
      </c>
      <c r="G10665" s="1005"/>
      <c r="H10665" s="911">
        <v>4</v>
      </c>
      <c r="I10665" s="912">
        <f>VLOOKUP(E10665,[3]VLP!$B$7:$K$300,10,0)</f>
        <v>14000</v>
      </c>
      <c r="J10665" s="912">
        <f>I10665*H10665</f>
        <v>56000</v>
      </c>
      <c r="K10665" s="912" t="s">
        <v>274</v>
      </c>
      <c r="L10665" s="912"/>
      <c r="M10665" s="912"/>
      <c r="N10665" s="912"/>
      <c r="O10665" s="892">
        <f t="shared" si="864"/>
        <v>0</v>
      </c>
      <c r="P10665" s="903">
        <f t="shared" si="858"/>
        <v>1</v>
      </c>
      <c r="Q10665" s="893">
        <f t="shared" si="859"/>
        <v>9</v>
      </c>
      <c r="R10665" s="894">
        <f t="shared" si="860"/>
        <v>0</v>
      </c>
    </row>
    <row r="10666" spans="1:18">
      <c r="A10666" s="905"/>
      <c r="B10666" s="952"/>
      <c r="C10666" s="907">
        <v>317</v>
      </c>
      <c r="D10666" s="907" t="s">
        <v>279</v>
      </c>
      <c r="E10666" s="992" t="s">
        <v>3273</v>
      </c>
      <c r="F10666" s="905" t="s">
        <v>45</v>
      </c>
      <c r="G10666" s="1005"/>
      <c r="H10666" s="911">
        <v>0.15</v>
      </c>
      <c r="I10666" s="912">
        <f>VLOOKUP(E10666,[3]VLP!$B$7:$K$300,10,0)</f>
        <v>25000</v>
      </c>
      <c r="J10666" s="912">
        <f>I10666*H10666</f>
        <v>3750</v>
      </c>
      <c r="K10666" s="912" t="s">
        <v>274</v>
      </c>
      <c r="L10666" s="912"/>
      <c r="M10666" s="912"/>
      <c r="N10666" s="912"/>
      <c r="O10666" s="892">
        <f t="shared" si="864"/>
        <v>0</v>
      </c>
      <c r="P10666" s="903">
        <f t="shared" si="858"/>
        <v>1</v>
      </c>
      <c r="Q10666" s="893">
        <f t="shared" si="859"/>
        <v>8</v>
      </c>
      <c r="R10666" s="894">
        <f t="shared" si="860"/>
        <v>0</v>
      </c>
    </row>
    <row r="10667" spans="1:18" s="847" customFormat="1">
      <c r="A10667" s="905"/>
      <c r="B10667" s="952"/>
      <c r="C10667" s="907">
        <v>321</v>
      </c>
      <c r="D10667" s="907" t="s">
        <v>279</v>
      </c>
      <c r="E10667" s="992" t="s">
        <v>6317</v>
      </c>
      <c r="F10667" s="905" t="s">
        <v>45</v>
      </c>
      <c r="G10667" s="1005"/>
      <c r="H10667" s="911">
        <v>0.32</v>
      </c>
      <c r="I10667" s="912">
        <f>VLOOKUP(E10667,[3]VLP!$B$7:$K$300,10,0)</f>
        <v>38182</v>
      </c>
      <c r="J10667" s="912">
        <f>I10667*H10667</f>
        <v>12218.24</v>
      </c>
      <c r="K10667" s="912" t="s">
        <v>274</v>
      </c>
      <c r="L10667" s="912"/>
      <c r="M10667" s="912"/>
      <c r="N10667" s="912"/>
      <c r="O10667" s="892">
        <f t="shared" si="864"/>
        <v>0</v>
      </c>
      <c r="P10667" s="903">
        <f t="shared" si="858"/>
        <v>1</v>
      </c>
      <c r="Q10667" s="893">
        <f t="shared" si="859"/>
        <v>7</v>
      </c>
      <c r="R10667" s="894">
        <f t="shared" si="860"/>
        <v>0</v>
      </c>
    </row>
    <row r="10668" spans="1:18" s="904" customFormat="1">
      <c r="A10668" s="905"/>
      <c r="B10668" s="952"/>
      <c r="C10668" s="907">
        <v>235</v>
      </c>
      <c r="D10668" s="907" t="s">
        <v>279</v>
      </c>
      <c r="E10668" s="992" t="s">
        <v>2682</v>
      </c>
      <c r="F10668" s="905" t="s">
        <v>45</v>
      </c>
      <c r="G10668" s="1005"/>
      <c r="H10668" s="911">
        <v>1.5</v>
      </c>
      <c r="I10668" s="912">
        <f>VLOOKUP(E10668,[3]VLP!$B$7:$K$300,10,0)</f>
        <v>5000</v>
      </c>
      <c r="J10668" s="912">
        <f>I10668*H10668</f>
        <v>7500</v>
      </c>
      <c r="K10668" s="912" t="s">
        <v>274</v>
      </c>
      <c r="L10668" s="912"/>
      <c r="M10668" s="912"/>
      <c r="N10668" s="912"/>
      <c r="O10668" s="892">
        <f t="shared" si="864"/>
        <v>0</v>
      </c>
      <c r="P10668" s="903">
        <f t="shared" si="858"/>
        <v>1</v>
      </c>
      <c r="Q10668" s="893">
        <f t="shared" si="859"/>
        <v>6</v>
      </c>
      <c r="R10668" s="894">
        <f t="shared" si="860"/>
        <v>0</v>
      </c>
    </row>
    <row r="10669" spans="1:18">
      <c r="A10669" s="895"/>
      <c r="B10669" s="896"/>
      <c r="C10669" s="897"/>
      <c r="D10669" s="897"/>
      <c r="E10669" s="1002" t="s">
        <v>276</v>
      </c>
      <c r="F10669" s="1003"/>
      <c r="G10669" s="1004"/>
      <c r="H10669" s="901"/>
      <c r="I10669" s="902"/>
      <c r="J10669" s="902"/>
      <c r="K10669" s="912" t="s">
        <v>274</v>
      </c>
      <c r="L10669" s="902"/>
      <c r="M10669" s="902"/>
      <c r="N10669" s="902"/>
      <c r="O10669" s="892">
        <f t="shared" si="864"/>
        <v>0</v>
      </c>
      <c r="P10669" s="903">
        <f t="shared" si="858"/>
        <v>1</v>
      </c>
      <c r="Q10669" s="893">
        <f t="shared" si="859"/>
        <v>5</v>
      </c>
      <c r="R10669" s="894">
        <f t="shared" si="860"/>
        <v>0</v>
      </c>
    </row>
    <row r="10670" spans="1:18" s="904" customFormat="1">
      <c r="A10670" s="905"/>
      <c r="B10670" s="952"/>
      <c r="C10670" s="907">
        <v>745</v>
      </c>
      <c r="D10670" s="907" t="s">
        <v>12</v>
      </c>
      <c r="E10670" s="992" t="s">
        <v>5518</v>
      </c>
      <c r="F10670" s="905" t="s">
        <v>2674</v>
      </c>
      <c r="G10670" s="1005"/>
      <c r="H10670" s="911">
        <v>15.7</v>
      </c>
      <c r="I10670" s="912"/>
      <c r="J10670" s="912"/>
      <c r="K10670" s="912">
        <f>VLOOKUP(E10670,[5]ĐMNC!$A$7:$F$67,4,0)</f>
        <v>240557</v>
      </c>
      <c r="L10670" s="912">
        <f>H10670*K10670</f>
        <v>3776744.9</v>
      </c>
      <c r="M10670" s="912"/>
      <c r="N10670" s="912"/>
      <c r="O10670" s="892">
        <f t="shared" si="864"/>
        <v>0</v>
      </c>
      <c r="P10670" s="903">
        <f t="shared" si="858"/>
        <v>1</v>
      </c>
      <c r="Q10670" s="893">
        <f t="shared" si="859"/>
        <v>4</v>
      </c>
      <c r="R10670" s="894">
        <f t="shared" si="860"/>
        <v>0</v>
      </c>
    </row>
    <row r="10671" spans="1:18">
      <c r="A10671" s="895"/>
      <c r="B10671" s="896"/>
      <c r="C10671" s="897"/>
      <c r="D10671" s="897"/>
      <c r="E10671" s="1002" t="s">
        <v>3914</v>
      </c>
      <c r="F10671" s="1003"/>
      <c r="G10671" s="1004"/>
      <c r="H10671" s="901"/>
      <c r="I10671" s="902"/>
      <c r="J10671" s="902"/>
      <c r="K10671" s="912" t="s">
        <v>274</v>
      </c>
      <c r="L10671" s="902"/>
      <c r="M10671" s="902"/>
      <c r="N10671" s="902"/>
      <c r="O10671" s="892">
        <f t="shared" si="864"/>
        <v>0</v>
      </c>
      <c r="P10671" s="903">
        <f t="shared" si="858"/>
        <v>1</v>
      </c>
      <c r="Q10671" s="893">
        <f t="shared" si="859"/>
        <v>3</v>
      </c>
      <c r="R10671" s="894">
        <f t="shared" si="860"/>
        <v>0</v>
      </c>
    </row>
    <row r="10672" spans="1:18">
      <c r="A10672" s="905"/>
      <c r="B10672" s="952" t="s">
        <v>6332</v>
      </c>
      <c r="C10672" s="907">
        <v>901</v>
      </c>
      <c r="D10672" s="907" t="s">
        <v>93</v>
      </c>
      <c r="E10672" s="992" t="s">
        <v>6333</v>
      </c>
      <c r="F10672" s="905" t="s">
        <v>2673</v>
      </c>
      <c r="G10672" s="1005"/>
      <c r="H10672" s="911">
        <v>0.24</v>
      </c>
      <c r="I10672" s="912"/>
      <c r="J10672" s="912"/>
      <c r="K10672" s="912"/>
      <c r="L10672" s="912"/>
      <c r="M10672" s="912">
        <f>VLOOKUP(B10672,MTC!$B$9:$S$933,12,0)</f>
        <v>1967433</v>
      </c>
      <c r="N10672" s="912">
        <f>M10672*H10672</f>
        <v>472183.92</v>
      </c>
      <c r="O10672" s="892">
        <f t="shared" si="864"/>
        <v>0</v>
      </c>
      <c r="P10672" s="903">
        <f t="shared" si="858"/>
        <v>1</v>
      </c>
      <c r="Q10672" s="893">
        <f t="shared" si="859"/>
        <v>2</v>
      </c>
      <c r="R10672" s="894">
        <f t="shared" si="860"/>
        <v>0</v>
      </c>
    </row>
    <row r="10673" spans="1:18" s="847" customFormat="1">
      <c r="A10673" s="905"/>
      <c r="B10673" s="1015" t="s">
        <v>6728</v>
      </c>
      <c r="C10673" s="907">
        <v>999</v>
      </c>
      <c r="D10673" s="907" t="s">
        <v>93</v>
      </c>
      <c r="E10673" s="992" t="s">
        <v>6729</v>
      </c>
      <c r="F10673" s="905" t="s">
        <v>4007</v>
      </c>
      <c r="G10673" s="1005"/>
      <c r="H10673" s="911">
        <v>3</v>
      </c>
      <c r="I10673" s="912"/>
      <c r="J10673" s="912"/>
      <c r="K10673" s="912"/>
      <c r="L10673" s="912"/>
      <c r="M10673" s="912">
        <f>VLOOKUP(B10673,MTC!$B$9:$S$933,12,0)</f>
        <v>0</v>
      </c>
      <c r="N10673" s="912">
        <f>M10673*H10673</f>
        <v>0</v>
      </c>
      <c r="O10673" s="892">
        <f t="shared" si="864"/>
        <v>0</v>
      </c>
      <c r="P10673" s="903">
        <f t="shared" si="858"/>
        <v>1</v>
      </c>
      <c r="Q10673" s="893">
        <f t="shared" si="859"/>
        <v>1</v>
      </c>
      <c r="R10673" s="894">
        <f t="shared" si="860"/>
        <v>0</v>
      </c>
    </row>
    <row r="10674" spans="1:18" s="904" customFormat="1">
      <c r="A10674" s="905">
        <v>186</v>
      </c>
      <c r="B10674" s="914" t="s">
        <v>6732</v>
      </c>
      <c r="C10674" s="915"/>
      <c r="D10674" s="915"/>
      <c r="E10674" s="1006" t="s">
        <v>6733</v>
      </c>
      <c r="F10674" s="917" t="s">
        <v>160</v>
      </c>
      <c r="G10674" s="1008"/>
      <c r="H10674" s="919"/>
      <c r="I10674" s="920"/>
      <c r="J10674" s="962">
        <f>SUM(J10675:J10684)</f>
        <v>79468.240000000005</v>
      </c>
      <c r="K10674" s="891" t="s">
        <v>274</v>
      </c>
      <c r="L10674" s="962">
        <f>SUM(L10675:L10684)</f>
        <v>4532093.88</v>
      </c>
      <c r="M10674" s="962"/>
      <c r="N10674" s="962">
        <f>SUM(N10675:N10684)</f>
        <v>472183.92</v>
      </c>
      <c r="O10674" s="892">
        <f t="shared" si="864"/>
        <v>1</v>
      </c>
      <c r="P10674" s="903">
        <f t="shared" si="858"/>
        <v>0</v>
      </c>
      <c r="Q10674" s="893">
        <f t="shared" si="859"/>
        <v>0</v>
      </c>
      <c r="R10674" s="894">
        <f t="shared" si="860"/>
        <v>10</v>
      </c>
    </row>
    <row r="10675" spans="1:18">
      <c r="A10675" s="895"/>
      <c r="B10675" s="896"/>
      <c r="C10675" s="897"/>
      <c r="D10675" s="897"/>
      <c r="E10675" s="1002" t="s">
        <v>108</v>
      </c>
      <c r="F10675" s="1003"/>
      <c r="G10675" s="1004"/>
      <c r="H10675" s="901"/>
      <c r="I10675" s="902"/>
      <c r="J10675" s="902"/>
      <c r="K10675" s="912" t="s">
        <v>274</v>
      </c>
      <c r="L10675" s="902"/>
      <c r="M10675" s="902"/>
      <c r="N10675" s="902"/>
      <c r="O10675" s="892">
        <f t="shared" si="864"/>
        <v>0</v>
      </c>
      <c r="P10675" s="903">
        <f t="shared" ref="P10675:P10738" si="865">IF(O10675=0,1,0)</f>
        <v>1</v>
      </c>
      <c r="Q10675" s="893">
        <f t="shared" ref="Q10675:Q10738" si="866">IF(P10675=0,0,P10675+Q10676)</f>
        <v>10</v>
      </c>
      <c r="R10675" s="894">
        <f t="shared" ref="R10675:R10738" si="867">IF(Q10675=0,Q10676,0)</f>
        <v>0</v>
      </c>
    </row>
    <row r="10676" spans="1:18" s="904" customFormat="1">
      <c r="A10676" s="905"/>
      <c r="B10676" s="952"/>
      <c r="C10676" s="907">
        <v>234</v>
      </c>
      <c r="D10676" s="907" t="s">
        <v>279</v>
      </c>
      <c r="E10676" s="992" t="s">
        <v>5983</v>
      </c>
      <c r="F10676" s="905" t="s">
        <v>3144</v>
      </c>
      <c r="G10676" s="1005"/>
      <c r="H10676" s="911">
        <v>4</v>
      </c>
      <c r="I10676" s="912">
        <f>VLOOKUP(E10676,[3]VLP!$B$7:$K$300,10,0)</f>
        <v>14000</v>
      </c>
      <c r="J10676" s="912">
        <f>I10676*H10676</f>
        <v>56000</v>
      </c>
      <c r="K10676" s="912" t="s">
        <v>274</v>
      </c>
      <c r="L10676" s="912"/>
      <c r="M10676" s="912"/>
      <c r="N10676" s="912"/>
      <c r="O10676" s="892">
        <f t="shared" si="864"/>
        <v>0</v>
      </c>
      <c r="P10676" s="903">
        <f t="shared" si="865"/>
        <v>1</v>
      </c>
      <c r="Q10676" s="893">
        <f t="shared" si="866"/>
        <v>9</v>
      </c>
      <c r="R10676" s="894">
        <f t="shared" si="867"/>
        <v>0</v>
      </c>
    </row>
    <row r="10677" spans="1:18">
      <c r="A10677" s="905"/>
      <c r="B10677" s="952"/>
      <c r="C10677" s="907">
        <v>317</v>
      </c>
      <c r="D10677" s="907" t="s">
        <v>279</v>
      </c>
      <c r="E10677" s="992" t="s">
        <v>3273</v>
      </c>
      <c r="F10677" s="905" t="s">
        <v>45</v>
      </c>
      <c r="G10677" s="1005"/>
      <c r="H10677" s="911">
        <v>0.15</v>
      </c>
      <c r="I10677" s="912">
        <f>VLOOKUP(E10677,[3]VLP!$B$7:$K$300,10,0)</f>
        <v>25000</v>
      </c>
      <c r="J10677" s="912">
        <f>I10677*H10677</f>
        <v>3750</v>
      </c>
      <c r="K10677" s="912" t="s">
        <v>274</v>
      </c>
      <c r="L10677" s="912"/>
      <c r="M10677" s="912"/>
      <c r="N10677" s="912"/>
      <c r="O10677" s="892">
        <f t="shared" si="864"/>
        <v>0</v>
      </c>
      <c r="P10677" s="903">
        <f t="shared" si="865"/>
        <v>1</v>
      </c>
      <c r="Q10677" s="893">
        <f t="shared" si="866"/>
        <v>8</v>
      </c>
      <c r="R10677" s="894">
        <f t="shared" si="867"/>
        <v>0</v>
      </c>
    </row>
    <row r="10678" spans="1:18">
      <c r="A10678" s="905"/>
      <c r="B10678" s="952"/>
      <c r="C10678" s="907">
        <v>321</v>
      </c>
      <c r="D10678" s="907" t="s">
        <v>279</v>
      </c>
      <c r="E10678" s="992" t="s">
        <v>6317</v>
      </c>
      <c r="F10678" s="905" t="s">
        <v>45</v>
      </c>
      <c r="G10678" s="1005"/>
      <c r="H10678" s="911">
        <v>0.32</v>
      </c>
      <c r="I10678" s="912">
        <f>VLOOKUP(E10678,[3]VLP!$B$7:$K$300,10,0)</f>
        <v>38182</v>
      </c>
      <c r="J10678" s="912">
        <f>I10678*H10678</f>
        <v>12218.24</v>
      </c>
      <c r="K10678" s="912" t="s">
        <v>274</v>
      </c>
      <c r="L10678" s="912"/>
      <c r="M10678" s="912"/>
      <c r="N10678" s="912"/>
      <c r="O10678" s="892">
        <f t="shared" si="864"/>
        <v>0</v>
      </c>
      <c r="P10678" s="903">
        <f t="shared" si="865"/>
        <v>1</v>
      </c>
      <c r="Q10678" s="893">
        <f t="shared" si="866"/>
        <v>7</v>
      </c>
      <c r="R10678" s="894">
        <f t="shared" si="867"/>
        <v>0</v>
      </c>
    </row>
    <row r="10679" spans="1:18" s="847" customFormat="1">
      <c r="A10679" s="905"/>
      <c r="B10679" s="952"/>
      <c r="C10679" s="907">
        <v>235</v>
      </c>
      <c r="D10679" s="907" t="s">
        <v>279</v>
      </c>
      <c r="E10679" s="992" t="s">
        <v>2682</v>
      </c>
      <c r="F10679" s="905" t="s">
        <v>45</v>
      </c>
      <c r="G10679" s="1005"/>
      <c r="H10679" s="911">
        <v>1.5</v>
      </c>
      <c r="I10679" s="912">
        <f>VLOOKUP(E10679,[3]VLP!$B$7:$K$300,10,0)</f>
        <v>5000</v>
      </c>
      <c r="J10679" s="912">
        <f>I10679*H10679</f>
        <v>7500</v>
      </c>
      <c r="K10679" s="912" t="s">
        <v>274</v>
      </c>
      <c r="L10679" s="912"/>
      <c r="M10679" s="912"/>
      <c r="N10679" s="912"/>
      <c r="O10679" s="892">
        <f t="shared" si="864"/>
        <v>0</v>
      </c>
      <c r="P10679" s="903">
        <f t="shared" si="865"/>
        <v>1</v>
      </c>
      <c r="Q10679" s="893">
        <f t="shared" si="866"/>
        <v>6</v>
      </c>
      <c r="R10679" s="894">
        <f t="shared" si="867"/>
        <v>0</v>
      </c>
    </row>
    <row r="10680" spans="1:18" s="904" customFormat="1">
      <c r="A10680" s="895"/>
      <c r="B10680" s="896"/>
      <c r="C10680" s="897"/>
      <c r="D10680" s="897"/>
      <c r="E10680" s="1002" t="s">
        <v>276</v>
      </c>
      <c r="F10680" s="1003"/>
      <c r="G10680" s="1004"/>
      <c r="H10680" s="901"/>
      <c r="I10680" s="902"/>
      <c r="J10680" s="902"/>
      <c r="K10680" s="912" t="s">
        <v>274</v>
      </c>
      <c r="L10680" s="902"/>
      <c r="M10680" s="902"/>
      <c r="N10680" s="902"/>
      <c r="O10680" s="892">
        <f t="shared" si="864"/>
        <v>0</v>
      </c>
      <c r="P10680" s="903">
        <f t="shared" si="865"/>
        <v>1</v>
      </c>
      <c r="Q10680" s="893">
        <f t="shared" si="866"/>
        <v>5</v>
      </c>
      <c r="R10680" s="894">
        <f t="shared" si="867"/>
        <v>0</v>
      </c>
    </row>
    <row r="10681" spans="1:18">
      <c r="A10681" s="905"/>
      <c r="B10681" s="952"/>
      <c r="C10681" s="907">
        <v>745</v>
      </c>
      <c r="D10681" s="907" t="s">
        <v>12</v>
      </c>
      <c r="E10681" s="992" t="s">
        <v>5518</v>
      </c>
      <c r="F10681" s="905" t="s">
        <v>2674</v>
      </c>
      <c r="G10681" s="1005"/>
      <c r="H10681" s="911">
        <v>18.84</v>
      </c>
      <c r="I10681" s="912"/>
      <c r="J10681" s="912"/>
      <c r="K10681" s="912">
        <f>VLOOKUP(E10681,[5]ĐMNC!$A$7:$F$67,4,0)</f>
        <v>240557</v>
      </c>
      <c r="L10681" s="912">
        <f>H10681*K10681</f>
        <v>4532093.88</v>
      </c>
      <c r="M10681" s="912"/>
      <c r="N10681" s="912"/>
      <c r="O10681" s="892">
        <f t="shared" si="864"/>
        <v>0</v>
      </c>
      <c r="P10681" s="903">
        <f t="shared" si="865"/>
        <v>1</v>
      </c>
      <c r="Q10681" s="893">
        <f t="shared" si="866"/>
        <v>4</v>
      </c>
      <c r="R10681" s="894">
        <f t="shared" si="867"/>
        <v>0</v>
      </c>
    </row>
    <row r="10682" spans="1:18" s="904" customFormat="1">
      <c r="A10682" s="895"/>
      <c r="B10682" s="896"/>
      <c r="C10682" s="897"/>
      <c r="D10682" s="897"/>
      <c r="E10682" s="1002" t="s">
        <v>3914</v>
      </c>
      <c r="F10682" s="1003"/>
      <c r="G10682" s="1004"/>
      <c r="H10682" s="901"/>
      <c r="I10682" s="902"/>
      <c r="J10682" s="902"/>
      <c r="K10682" s="912" t="s">
        <v>274</v>
      </c>
      <c r="L10682" s="902"/>
      <c r="M10682" s="902"/>
      <c r="N10682" s="902"/>
      <c r="O10682" s="892">
        <f t="shared" si="864"/>
        <v>0</v>
      </c>
      <c r="P10682" s="903">
        <f t="shared" si="865"/>
        <v>1</v>
      </c>
      <c r="Q10682" s="893">
        <f t="shared" si="866"/>
        <v>3</v>
      </c>
      <c r="R10682" s="894">
        <f t="shared" si="867"/>
        <v>0</v>
      </c>
    </row>
    <row r="10683" spans="1:18">
      <c r="A10683" s="905"/>
      <c r="B10683" s="952" t="s">
        <v>6332</v>
      </c>
      <c r="C10683" s="907">
        <v>901</v>
      </c>
      <c r="D10683" s="907" t="s">
        <v>93</v>
      </c>
      <c r="E10683" s="992" t="s">
        <v>6333</v>
      </c>
      <c r="F10683" s="905" t="s">
        <v>2673</v>
      </c>
      <c r="G10683" s="1005"/>
      <c r="H10683" s="911">
        <v>0.24</v>
      </c>
      <c r="I10683" s="912"/>
      <c r="J10683" s="912"/>
      <c r="K10683" s="912"/>
      <c r="L10683" s="912"/>
      <c r="M10683" s="912">
        <f>VLOOKUP(B10683,MTC!$B$9:$S$933,12,0)</f>
        <v>1967433</v>
      </c>
      <c r="N10683" s="912">
        <f>M10683*H10683</f>
        <v>472183.92</v>
      </c>
      <c r="O10683" s="892">
        <f t="shared" si="864"/>
        <v>0</v>
      </c>
      <c r="P10683" s="903">
        <f t="shared" si="865"/>
        <v>1</v>
      </c>
      <c r="Q10683" s="893">
        <f t="shared" si="866"/>
        <v>2</v>
      </c>
      <c r="R10683" s="894">
        <f t="shared" si="867"/>
        <v>0</v>
      </c>
    </row>
    <row r="10684" spans="1:18">
      <c r="A10684" s="905"/>
      <c r="B10684" s="1015" t="s">
        <v>6728</v>
      </c>
      <c r="C10684" s="907">
        <v>999</v>
      </c>
      <c r="D10684" s="907" t="s">
        <v>93</v>
      </c>
      <c r="E10684" s="992" t="s">
        <v>6729</v>
      </c>
      <c r="F10684" s="905" t="s">
        <v>4007</v>
      </c>
      <c r="G10684" s="1005"/>
      <c r="H10684" s="911">
        <v>3</v>
      </c>
      <c r="I10684" s="912"/>
      <c r="J10684" s="912"/>
      <c r="K10684" s="912"/>
      <c r="L10684" s="912"/>
      <c r="M10684" s="912">
        <f>VLOOKUP(B10684,MTC!$B$9:$S$933,12,0)</f>
        <v>0</v>
      </c>
      <c r="N10684" s="912">
        <f>M10684*H10684</f>
        <v>0</v>
      </c>
      <c r="O10684" s="892">
        <f t="shared" si="864"/>
        <v>0</v>
      </c>
      <c r="P10684" s="903">
        <f t="shared" si="865"/>
        <v>1</v>
      </c>
      <c r="Q10684" s="893">
        <f t="shared" si="866"/>
        <v>1</v>
      </c>
      <c r="R10684" s="894">
        <f t="shared" si="867"/>
        <v>0</v>
      </c>
    </row>
    <row r="10685" spans="1:18" s="847" customFormat="1" ht="31.5">
      <c r="A10685" s="905">
        <v>187</v>
      </c>
      <c r="B10685" s="914" t="s">
        <v>6734</v>
      </c>
      <c r="C10685" s="915"/>
      <c r="D10685" s="915"/>
      <c r="E10685" s="1006" t="s">
        <v>6735</v>
      </c>
      <c r="F10685" s="917" t="s">
        <v>160</v>
      </c>
      <c r="G10685" s="1008"/>
      <c r="H10685" s="919"/>
      <c r="I10685" s="920"/>
      <c r="J10685" s="962">
        <f>SUM(J10686:J10695)</f>
        <v>49954.6</v>
      </c>
      <c r="K10685" s="891" t="s">
        <v>274</v>
      </c>
      <c r="L10685" s="962">
        <f>SUM(L10686:L10695)</f>
        <v>1828233.2</v>
      </c>
      <c r="M10685" s="962"/>
      <c r="N10685" s="962">
        <f>SUM(N10686:N10695)</f>
        <v>393486.60000000003</v>
      </c>
      <c r="O10685" s="892">
        <f t="shared" si="864"/>
        <v>1</v>
      </c>
      <c r="P10685" s="903">
        <f t="shared" si="865"/>
        <v>0</v>
      </c>
      <c r="Q10685" s="893">
        <f t="shared" si="866"/>
        <v>0</v>
      </c>
      <c r="R10685" s="894">
        <f t="shared" si="867"/>
        <v>10</v>
      </c>
    </row>
    <row r="10686" spans="1:18" s="904" customFormat="1">
      <c r="A10686" s="895"/>
      <c r="B10686" s="896"/>
      <c r="C10686" s="897"/>
      <c r="D10686" s="897"/>
      <c r="E10686" s="1002" t="s">
        <v>108</v>
      </c>
      <c r="F10686" s="1003"/>
      <c r="G10686" s="1004"/>
      <c r="H10686" s="901"/>
      <c r="I10686" s="902"/>
      <c r="J10686" s="902"/>
      <c r="K10686" s="912" t="s">
        <v>274</v>
      </c>
      <c r="L10686" s="902"/>
      <c r="M10686" s="902"/>
      <c r="N10686" s="902"/>
      <c r="O10686" s="892">
        <f t="shared" si="864"/>
        <v>0</v>
      </c>
      <c r="P10686" s="903">
        <f t="shared" si="865"/>
        <v>1</v>
      </c>
      <c r="Q10686" s="893">
        <f t="shared" si="866"/>
        <v>10</v>
      </c>
      <c r="R10686" s="894">
        <f t="shared" si="867"/>
        <v>0</v>
      </c>
    </row>
    <row r="10687" spans="1:18">
      <c r="A10687" s="905"/>
      <c r="B10687" s="952"/>
      <c r="C10687" s="907">
        <v>234</v>
      </c>
      <c r="D10687" s="907" t="s">
        <v>279</v>
      </c>
      <c r="E10687" s="992" t="s">
        <v>5983</v>
      </c>
      <c r="F10687" s="905" t="s">
        <v>3144</v>
      </c>
      <c r="G10687" s="1005"/>
      <c r="H10687" s="911">
        <v>2</v>
      </c>
      <c r="I10687" s="912">
        <f>VLOOKUP(E10687,[3]VLP!$B$7:$K$300,10,0)</f>
        <v>14000</v>
      </c>
      <c r="J10687" s="912">
        <f>I10687*H10687</f>
        <v>28000</v>
      </c>
      <c r="K10687" s="912" t="s">
        <v>274</v>
      </c>
      <c r="L10687" s="912"/>
      <c r="M10687" s="912"/>
      <c r="N10687" s="912"/>
      <c r="O10687" s="892">
        <f t="shared" si="864"/>
        <v>0</v>
      </c>
      <c r="P10687" s="903">
        <f t="shared" si="865"/>
        <v>1</v>
      </c>
      <c r="Q10687" s="893">
        <f t="shared" si="866"/>
        <v>9</v>
      </c>
      <c r="R10687" s="894">
        <f t="shared" si="867"/>
        <v>0</v>
      </c>
    </row>
    <row r="10688" spans="1:18" s="904" customFormat="1">
      <c r="A10688" s="905"/>
      <c r="B10688" s="952"/>
      <c r="C10688" s="907">
        <v>317</v>
      </c>
      <c r="D10688" s="907" t="s">
        <v>279</v>
      </c>
      <c r="E10688" s="992" t="s">
        <v>3273</v>
      </c>
      <c r="F10688" s="905" t="s">
        <v>45</v>
      </c>
      <c r="G10688" s="1005"/>
      <c r="H10688" s="911">
        <v>0.12</v>
      </c>
      <c r="I10688" s="912">
        <f>VLOOKUP(E10688,[3]VLP!$B$7:$K$300,10,0)</f>
        <v>25000</v>
      </c>
      <c r="J10688" s="912">
        <f>I10688*H10688</f>
        <v>3000</v>
      </c>
      <c r="K10688" s="912" t="s">
        <v>274</v>
      </c>
      <c r="L10688" s="912"/>
      <c r="M10688" s="912"/>
      <c r="N10688" s="912"/>
      <c r="O10688" s="892">
        <f t="shared" si="864"/>
        <v>0</v>
      </c>
      <c r="P10688" s="903">
        <f t="shared" si="865"/>
        <v>1</v>
      </c>
      <c r="Q10688" s="893">
        <f t="shared" si="866"/>
        <v>8</v>
      </c>
      <c r="R10688" s="894">
        <f t="shared" si="867"/>
        <v>0</v>
      </c>
    </row>
    <row r="10689" spans="1:18">
      <c r="A10689" s="905"/>
      <c r="B10689" s="952"/>
      <c r="C10689" s="907">
        <v>321</v>
      </c>
      <c r="D10689" s="907" t="s">
        <v>279</v>
      </c>
      <c r="E10689" s="992" t="s">
        <v>6317</v>
      </c>
      <c r="F10689" s="905" t="s">
        <v>45</v>
      </c>
      <c r="G10689" s="1005"/>
      <c r="H10689" s="911">
        <v>0.3</v>
      </c>
      <c r="I10689" s="912">
        <f>VLOOKUP(E10689,[3]VLP!$B$7:$K$300,10,0)</f>
        <v>38182</v>
      </c>
      <c r="J10689" s="912">
        <f>I10689*H10689</f>
        <v>11454.6</v>
      </c>
      <c r="K10689" s="912" t="s">
        <v>274</v>
      </c>
      <c r="L10689" s="912"/>
      <c r="M10689" s="912"/>
      <c r="N10689" s="912"/>
      <c r="O10689" s="892">
        <f t="shared" si="864"/>
        <v>0</v>
      </c>
      <c r="P10689" s="903">
        <f t="shared" si="865"/>
        <v>1</v>
      </c>
      <c r="Q10689" s="893">
        <f t="shared" si="866"/>
        <v>7</v>
      </c>
      <c r="R10689" s="894">
        <f t="shared" si="867"/>
        <v>0</v>
      </c>
    </row>
    <row r="10690" spans="1:18">
      <c r="A10690" s="905"/>
      <c r="B10690" s="952"/>
      <c r="C10690" s="907">
        <v>235</v>
      </c>
      <c r="D10690" s="907" t="s">
        <v>279</v>
      </c>
      <c r="E10690" s="992" t="s">
        <v>2682</v>
      </c>
      <c r="F10690" s="905" t="s">
        <v>45</v>
      </c>
      <c r="G10690" s="1005"/>
      <c r="H10690" s="911">
        <v>1.5</v>
      </c>
      <c r="I10690" s="912">
        <f>VLOOKUP(E10690,[3]VLP!$B$7:$K$300,10,0)</f>
        <v>5000</v>
      </c>
      <c r="J10690" s="912">
        <f>I10690*H10690</f>
        <v>7500</v>
      </c>
      <c r="K10690" s="912" t="s">
        <v>274</v>
      </c>
      <c r="L10690" s="912"/>
      <c r="M10690" s="912"/>
      <c r="N10690" s="912"/>
      <c r="O10690" s="892">
        <f t="shared" si="864"/>
        <v>0</v>
      </c>
      <c r="P10690" s="903">
        <f t="shared" si="865"/>
        <v>1</v>
      </c>
      <c r="Q10690" s="893">
        <f t="shared" si="866"/>
        <v>6</v>
      </c>
      <c r="R10690" s="894">
        <f t="shared" si="867"/>
        <v>0</v>
      </c>
    </row>
    <row r="10691" spans="1:18" s="847" customFormat="1">
      <c r="A10691" s="895"/>
      <c r="B10691" s="896"/>
      <c r="C10691" s="897"/>
      <c r="D10691" s="897"/>
      <c r="E10691" s="1002" t="s">
        <v>276</v>
      </c>
      <c r="F10691" s="1003"/>
      <c r="G10691" s="1004"/>
      <c r="H10691" s="901"/>
      <c r="I10691" s="902"/>
      <c r="J10691" s="902"/>
      <c r="K10691" s="912" t="s">
        <v>274</v>
      </c>
      <c r="L10691" s="902"/>
      <c r="M10691" s="902"/>
      <c r="N10691" s="902"/>
      <c r="O10691" s="892">
        <f t="shared" si="864"/>
        <v>0</v>
      </c>
      <c r="P10691" s="903">
        <f t="shared" si="865"/>
        <v>1</v>
      </c>
      <c r="Q10691" s="893">
        <f t="shared" si="866"/>
        <v>5</v>
      </c>
      <c r="R10691" s="894">
        <f t="shared" si="867"/>
        <v>0</v>
      </c>
    </row>
    <row r="10692" spans="1:18" s="904" customFormat="1">
      <c r="A10692" s="905"/>
      <c r="B10692" s="952"/>
      <c r="C10692" s="907">
        <v>745</v>
      </c>
      <c r="D10692" s="907" t="s">
        <v>12</v>
      </c>
      <c r="E10692" s="992" t="s">
        <v>5518</v>
      </c>
      <c r="F10692" s="905" t="s">
        <v>2674</v>
      </c>
      <c r="G10692" s="1005"/>
      <c r="H10692" s="911">
        <v>7.6</v>
      </c>
      <c r="I10692" s="912"/>
      <c r="J10692" s="912"/>
      <c r="K10692" s="912">
        <f>VLOOKUP(E10692,[5]ĐMNC!$A$7:$F$67,4,0)</f>
        <v>240557</v>
      </c>
      <c r="L10692" s="912">
        <f>H10692*K10692</f>
        <v>1828233.2</v>
      </c>
      <c r="M10692" s="912"/>
      <c r="N10692" s="912"/>
      <c r="O10692" s="892">
        <f t="shared" si="864"/>
        <v>0</v>
      </c>
      <c r="P10692" s="903">
        <f t="shared" si="865"/>
        <v>1</v>
      </c>
      <c r="Q10692" s="893">
        <f t="shared" si="866"/>
        <v>4</v>
      </c>
      <c r="R10692" s="894">
        <f t="shared" si="867"/>
        <v>0</v>
      </c>
    </row>
    <row r="10693" spans="1:18">
      <c r="A10693" s="895"/>
      <c r="B10693" s="896"/>
      <c r="C10693" s="897"/>
      <c r="D10693" s="897"/>
      <c r="E10693" s="1002" t="s">
        <v>3914</v>
      </c>
      <c r="F10693" s="1003"/>
      <c r="G10693" s="1004"/>
      <c r="H10693" s="901"/>
      <c r="I10693" s="902"/>
      <c r="J10693" s="902"/>
      <c r="K10693" s="912" t="s">
        <v>274</v>
      </c>
      <c r="L10693" s="902"/>
      <c r="M10693" s="902"/>
      <c r="N10693" s="902"/>
      <c r="O10693" s="892">
        <f t="shared" si="864"/>
        <v>0</v>
      </c>
      <c r="P10693" s="903">
        <f t="shared" si="865"/>
        <v>1</v>
      </c>
      <c r="Q10693" s="893">
        <f t="shared" si="866"/>
        <v>3</v>
      </c>
      <c r="R10693" s="894">
        <f t="shared" si="867"/>
        <v>0</v>
      </c>
    </row>
    <row r="10694" spans="1:18" s="847" customFormat="1">
      <c r="A10694" s="905"/>
      <c r="B10694" s="952" t="s">
        <v>6332</v>
      </c>
      <c r="C10694" s="907">
        <v>901</v>
      </c>
      <c r="D10694" s="907" t="s">
        <v>93</v>
      </c>
      <c r="E10694" s="992" t="s">
        <v>6333</v>
      </c>
      <c r="F10694" s="905" t="s">
        <v>2673</v>
      </c>
      <c r="G10694" s="1005"/>
      <c r="H10694" s="911">
        <v>0.2</v>
      </c>
      <c r="I10694" s="912"/>
      <c r="J10694" s="912"/>
      <c r="K10694" s="912"/>
      <c r="L10694" s="912"/>
      <c r="M10694" s="912">
        <f>VLOOKUP(B10694,MTC!$B$9:$S$933,12,0)</f>
        <v>1967433</v>
      </c>
      <c r="N10694" s="912">
        <f>M10694*H10694</f>
        <v>393486.60000000003</v>
      </c>
      <c r="O10694" s="892">
        <f t="shared" si="864"/>
        <v>0</v>
      </c>
      <c r="P10694" s="903">
        <f t="shared" si="865"/>
        <v>1</v>
      </c>
      <c r="Q10694" s="893">
        <f t="shared" si="866"/>
        <v>2</v>
      </c>
      <c r="R10694" s="894">
        <f t="shared" si="867"/>
        <v>0</v>
      </c>
    </row>
    <row r="10695" spans="1:18" s="904" customFormat="1">
      <c r="A10695" s="905"/>
      <c r="B10695" s="1015" t="s">
        <v>6728</v>
      </c>
      <c r="C10695" s="907">
        <v>999</v>
      </c>
      <c r="D10695" s="907" t="s">
        <v>93</v>
      </c>
      <c r="E10695" s="992" t="s">
        <v>6729</v>
      </c>
      <c r="F10695" s="905" t="s">
        <v>4007</v>
      </c>
      <c r="G10695" s="1005"/>
      <c r="H10695" s="911">
        <v>3</v>
      </c>
      <c r="I10695" s="912"/>
      <c r="J10695" s="912"/>
      <c r="K10695" s="912"/>
      <c r="L10695" s="912"/>
      <c r="M10695" s="912">
        <f>VLOOKUP(B10695,MTC!$B$9:$S$933,12,0)</f>
        <v>0</v>
      </c>
      <c r="N10695" s="912">
        <f>M10695*H10695</f>
        <v>0</v>
      </c>
      <c r="O10695" s="892">
        <f t="shared" si="864"/>
        <v>0</v>
      </c>
      <c r="P10695" s="903">
        <f t="shared" si="865"/>
        <v>1</v>
      </c>
      <c r="Q10695" s="893">
        <f t="shared" si="866"/>
        <v>1</v>
      </c>
      <c r="R10695" s="894">
        <f t="shared" si="867"/>
        <v>0</v>
      </c>
    </row>
    <row r="10696" spans="1:18">
      <c r="A10696" s="905">
        <v>188</v>
      </c>
      <c r="B10696" s="914" t="s">
        <v>6736</v>
      </c>
      <c r="C10696" s="915"/>
      <c r="D10696" s="915"/>
      <c r="E10696" s="1006" t="s">
        <v>6737</v>
      </c>
      <c r="F10696" s="917" t="s">
        <v>160</v>
      </c>
      <c r="G10696" s="1008"/>
      <c r="H10696" s="919"/>
      <c r="I10696" s="920"/>
      <c r="J10696" s="962">
        <f>SUM(J10697:J10706)</f>
        <v>49954.6</v>
      </c>
      <c r="K10696" s="891" t="s">
        <v>274</v>
      </c>
      <c r="L10696" s="962">
        <f>SUM(L10697:L10706)</f>
        <v>2513820.65</v>
      </c>
      <c r="M10696" s="962"/>
      <c r="N10696" s="962">
        <f>SUM(N10697:N10706)</f>
        <v>393486.60000000003</v>
      </c>
      <c r="O10696" s="892">
        <f t="shared" si="864"/>
        <v>1</v>
      </c>
      <c r="P10696" s="903">
        <f t="shared" si="865"/>
        <v>0</v>
      </c>
      <c r="Q10696" s="893">
        <f t="shared" si="866"/>
        <v>0</v>
      </c>
      <c r="R10696" s="894">
        <f t="shared" si="867"/>
        <v>10</v>
      </c>
    </row>
    <row r="10697" spans="1:18" s="847" customFormat="1">
      <c r="A10697" s="895"/>
      <c r="B10697" s="896"/>
      <c r="C10697" s="897"/>
      <c r="D10697" s="897"/>
      <c r="E10697" s="1002" t="s">
        <v>108</v>
      </c>
      <c r="F10697" s="1003"/>
      <c r="G10697" s="1004"/>
      <c r="H10697" s="901"/>
      <c r="I10697" s="902"/>
      <c r="J10697" s="902"/>
      <c r="K10697" s="912" t="s">
        <v>274</v>
      </c>
      <c r="L10697" s="902"/>
      <c r="M10697" s="902"/>
      <c r="N10697" s="902"/>
      <c r="O10697" s="892">
        <f t="shared" si="864"/>
        <v>0</v>
      </c>
      <c r="P10697" s="903">
        <f t="shared" si="865"/>
        <v>1</v>
      </c>
      <c r="Q10697" s="893">
        <f t="shared" si="866"/>
        <v>10</v>
      </c>
      <c r="R10697" s="894">
        <f t="shared" si="867"/>
        <v>0</v>
      </c>
    </row>
    <row r="10698" spans="1:18" s="904" customFormat="1">
      <c r="A10698" s="905"/>
      <c r="B10698" s="952"/>
      <c r="C10698" s="907">
        <v>234</v>
      </c>
      <c r="D10698" s="907" t="s">
        <v>279</v>
      </c>
      <c r="E10698" s="992" t="s">
        <v>5983</v>
      </c>
      <c r="F10698" s="905" t="s">
        <v>3144</v>
      </c>
      <c r="G10698" s="1005"/>
      <c r="H10698" s="911">
        <v>2</v>
      </c>
      <c r="I10698" s="912">
        <f>VLOOKUP(E10698,[3]VLP!$B$7:$K$300,10,0)</f>
        <v>14000</v>
      </c>
      <c r="J10698" s="912">
        <f>I10698*H10698</f>
        <v>28000</v>
      </c>
      <c r="K10698" s="912" t="s">
        <v>274</v>
      </c>
      <c r="L10698" s="912"/>
      <c r="M10698" s="912"/>
      <c r="N10698" s="912"/>
      <c r="O10698" s="892">
        <f t="shared" si="864"/>
        <v>0</v>
      </c>
      <c r="P10698" s="903">
        <f t="shared" si="865"/>
        <v>1</v>
      </c>
      <c r="Q10698" s="893">
        <f t="shared" si="866"/>
        <v>9</v>
      </c>
      <c r="R10698" s="894">
        <f t="shared" si="867"/>
        <v>0</v>
      </c>
    </row>
    <row r="10699" spans="1:18">
      <c r="A10699" s="905"/>
      <c r="B10699" s="952"/>
      <c r="C10699" s="907">
        <v>317</v>
      </c>
      <c r="D10699" s="907" t="s">
        <v>279</v>
      </c>
      <c r="E10699" s="992" t="s">
        <v>3273</v>
      </c>
      <c r="F10699" s="905" t="s">
        <v>45</v>
      </c>
      <c r="G10699" s="1005"/>
      <c r="H10699" s="911">
        <v>0.12</v>
      </c>
      <c r="I10699" s="912">
        <f>VLOOKUP(E10699,[3]VLP!$B$7:$K$300,10,0)</f>
        <v>25000</v>
      </c>
      <c r="J10699" s="912">
        <f>I10699*H10699</f>
        <v>3000</v>
      </c>
      <c r="K10699" s="912" t="s">
        <v>274</v>
      </c>
      <c r="L10699" s="912"/>
      <c r="M10699" s="912"/>
      <c r="N10699" s="912"/>
      <c r="O10699" s="892">
        <f t="shared" si="864"/>
        <v>0</v>
      </c>
      <c r="P10699" s="903">
        <f t="shared" si="865"/>
        <v>1</v>
      </c>
      <c r="Q10699" s="893">
        <f t="shared" si="866"/>
        <v>8</v>
      </c>
      <c r="R10699" s="894">
        <f t="shared" si="867"/>
        <v>0</v>
      </c>
    </row>
    <row r="10700" spans="1:18" s="847" customFormat="1">
      <c r="A10700" s="905"/>
      <c r="B10700" s="952"/>
      <c r="C10700" s="907">
        <v>321</v>
      </c>
      <c r="D10700" s="907" t="s">
        <v>279</v>
      </c>
      <c r="E10700" s="992" t="s">
        <v>6317</v>
      </c>
      <c r="F10700" s="905" t="s">
        <v>45</v>
      </c>
      <c r="G10700" s="1005"/>
      <c r="H10700" s="911">
        <v>0.3</v>
      </c>
      <c r="I10700" s="912">
        <f>VLOOKUP(E10700,[3]VLP!$B$7:$K$300,10,0)</f>
        <v>38182</v>
      </c>
      <c r="J10700" s="912">
        <f>I10700*H10700</f>
        <v>11454.6</v>
      </c>
      <c r="K10700" s="912" t="s">
        <v>274</v>
      </c>
      <c r="L10700" s="912"/>
      <c r="M10700" s="912"/>
      <c r="N10700" s="912"/>
      <c r="O10700" s="892">
        <f t="shared" si="864"/>
        <v>0</v>
      </c>
      <c r="P10700" s="903">
        <f t="shared" si="865"/>
        <v>1</v>
      </c>
      <c r="Q10700" s="893">
        <f t="shared" si="866"/>
        <v>7</v>
      </c>
      <c r="R10700" s="894">
        <f t="shared" si="867"/>
        <v>0</v>
      </c>
    </row>
    <row r="10701" spans="1:18" s="904" customFormat="1">
      <c r="A10701" s="905"/>
      <c r="B10701" s="952"/>
      <c r="C10701" s="907">
        <v>235</v>
      </c>
      <c r="D10701" s="907" t="s">
        <v>279</v>
      </c>
      <c r="E10701" s="992" t="s">
        <v>2682</v>
      </c>
      <c r="F10701" s="905" t="s">
        <v>45</v>
      </c>
      <c r="G10701" s="1005"/>
      <c r="H10701" s="911">
        <v>1.5</v>
      </c>
      <c r="I10701" s="912">
        <f>VLOOKUP(E10701,[3]VLP!$B$7:$K$300,10,0)</f>
        <v>5000</v>
      </c>
      <c r="J10701" s="912">
        <f>I10701*H10701</f>
        <v>7500</v>
      </c>
      <c r="K10701" s="912" t="s">
        <v>274</v>
      </c>
      <c r="L10701" s="912"/>
      <c r="M10701" s="912"/>
      <c r="N10701" s="912"/>
      <c r="O10701" s="892">
        <f t="shared" si="864"/>
        <v>0</v>
      </c>
      <c r="P10701" s="903">
        <f t="shared" si="865"/>
        <v>1</v>
      </c>
      <c r="Q10701" s="893">
        <f t="shared" si="866"/>
        <v>6</v>
      </c>
      <c r="R10701" s="894">
        <f t="shared" si="867"/>
        <v>0</v>
      </c>
    </row>
    <row r="10702" spans="1:18">
      <c r="A10702" s="895"/>
      <c r="B10702" s="896"/>
      <c r="C10702" s="897"/>
      <c r="D10702" s="897"/>
      <c r="E10702" s="1002" t="s">
        <v>276</v>
      </c>
      <c r="F10702" s="1003"/>
      <c r="G10702" s="1004"/>
      <c r="H10702" s="901"/>
      <c r="I10702" s="902"/>
      <c r="J10702" s="902"/>
      <c r="K10702" s="912" t="s">
        <v>274</v>
      </c>
      <c r="L10702" s="902"/>
      <c r="M10702" s="902"/>
      <c r="N10702" s="902"/>
      <c r="O10702" s="892">
        <f t="shared" si="864"/>
        <v>0</v>
      </c>
      <c r="P10702" s="903">
        <f t="shared" si="865"/>
        <v>1</v>
      </c>
      <c r="Q10702" s="893">
        <f t="shared" si="866"/>
        <v>5</v>
      </c>
      <c r="R10702" s="894">
        <f t="shared" si="867"/>
        <v>0</v>
      </c>
    </row>
    <row r="10703" spans="1:18" s="847" customFormat="1">
      <c r="A10703" s="905"/>
      <c r="B10703" s="952"/>
      <c r="C10703" s="907">
        <v>745</v>
      </c>
      <c r="D10703" s="907" t="s">
        <v>12</v>
      </c>
      <c r="E10703" s="992" t="s">
        <v>5518</v>
      </c>
      <c r="F10703" s="905" t="s">
        <v>2674</v>
      </c>
      <c r="G10703" s="1005"/>
      <c r="H10703" s="911">
        <v>10.45</v>
      </c>
      <c r="I10703" s="912"/>
      <c r="J10703" s="912"/>
      <c r="K10703" s="912">
        <f>VLOOKUP(E10703,[5]ĐMNC!$A$7:$F$67,4,0)</f>
        <v>240557</v>
      </c>
      <c r="L10703" s="912">
        <f>H10703*K10703</f>
        <v>2513820.65</v>
      </c>
      <c r="M10703" s="912"/>
      <c r="N10703" s="912"/>
      <c r="O10703" s="892">
        <f t="shared" si="864"/>
        <v>0</v>
      </c>
      <c r="P10703" s="903">
        <f t="shared" si="865"/>
        <v>1</v>
      </c>
      <c r="Q10703" s="893">
        <f t="shared" si="866"/>
        <v>4</v>
      </c>
      <c r="R10703" s="894">
        <f t="shared" si="867"/>
        <v>0</v>
      </c>
    </row>
    <row r="10704" spans="1:18" s="904" customFormat="1">
      <c r="A10704" s="895"/>
      <c r="B10704" s="896"/>
      <c r="C10704" s="897"/>
      <c r="D10704" s="897"/>
      <c r="E10704" s="1002" t="s">
        <v>3914</v>
      </c>
      <c r="F10704" s="1003"/>
      <c r="G10704" s="1004"/>
      <c r="H10704" s="901"/>
      <c r="I10704" s="902"/>
      <c r="J10704" s="902"/>
      <c r="K10704" s="912" t="s">
        <v>274</v>
      </c>
      <c r="L10704" s="902"/>
      <c r="M10704" s="902"/>
      <c r="N10704" s="902"/>
      <c r="O10704" s="892">
        <f t="shared" si="864"/>
        <v>0</v>
      </c>
      <c r="P10704" s="903">
        <f t="shared" si="865"/>
        <v>1</v>
      </c>
      <c r="Q10704" s="893">
        <f t="shared" si="866"/>
        <v>3</v>
      </c>
      <c r="R10704" s="894">
        <f t="shared" si="867"/>
        <v>0</v>
      </c>
    </row>
    <row r="10705" spans="1:18">
      <c r="A10705" s="905"/>
      <c r="B10705" s="952" t="s">
        <v>6332</v>
      </c>
      <c r="C10705" s="907">
        <v>901</v>
      </c>
      <c r="D10705" s="907" t="s">
        <v>93</v>
      </c>
      <c r="E10705" s="992" t="s">
        <v>6333</v>
      </c>
      <c r="F10705" s="905" t="s">
        <v>2673</v>
      </c>
      <c r="G10705" s="1005"/>
      <c r="H10705" s="911">
        <v>0.2</v>
      </c>
      <c r="I10705" s="912"/>
      <c r="J10705" s="912"/>
      <c r="K10705" s="912"/>
      <c r="L10705" s="912"/>
      <c r="M10705" s="912">
        <f>VLOOKUP(B10705,MTC!$B$9:$S$933,12,0)</f>
        <v>1967433</v>
      </c>
      <c r="N10705" s="912">
        <f>M10705*H10705</f>
        <v>393486.60000000003</v>
      </c>
      <c r="O10705" s="892">
        <f t="shared" si="864"/>
        <v>0</v>
      </c>
      <c r="P10705" s="903">
        <f t="shared" si="865"/>
        <v>1</v>
      </c>
      <c r="Q10705" s="893">
        <f t="shared" si="866"/>
        <v>2</v>
      </c>
      <c r="R10705" s="894">
        <f t="shared" si="867"/>
        <v>0</v>
      </c>
    </row>
    <row r="10706" spans="1:18" s="847" customFormat="1">
      <c r="A10706" s="905"/>
      <c r="B10706" s="1015" t="s">
        <v>6728</v>
      </c>
      <c r="C10706" s="907">
        <v>999</v>
      </c>
      <c r="D10706" s="907" t="s">
        <v>93</v>
      </c>
      <c r="E10706" s="992" t="s">
        <v>6729</v>
      </c>
      <c r="F10706" s="905" t="s">
        <v>4007</v>
      </c>
      <c r="G10706" s="1005"/>
      <c r="H10706" s="911">
        <v>3</v>
      </c>
      <c r="I10706" s="912"/>
      <c r="J10706" s="912"/>
      <c r="K10706" s="912"/>
      <c r="L10706" s="912"/>
      <c r="M10706" s="912">
        <f>VLOOKUP(B10706,MTC!$B$9:$S$933,12,0)</f>
        <v>0</v>
      </c>
      <c r="N10706" s="912">
        <f>M10706*H10706</f>
        <v>0</v>
      </c>
      <c r="O10706" s="892">
        <f t="shared" si="864"/>
        <v>0</v>
      </c>
      <c r="P10706" s="903">
        <f t="shared" si="865"/>
        <v>1</v>
      </c>
      <c r="Q10706" s="893">
        <f t="shared" si="866"/>
        <v>1</v>
      </c>
      <c r="R10706" s="894">
        <f t="shared" si="867"/>
        <v>0</v>
      </c>
    </row>
    <row r="10707" spans="1:18" s="904" customFormat="1">
      <c r="A10707" s="905">
        <v>189</v>
      </c>
      <c r="B10707" s="914" t="s">
        <v>6738</v>
      </c>
      <c r="C10707" s="915"/>
      <c r="D10707" s="915"/>
      <c r="E10707" s="1006" t="s">
        <v>6739</v>
      </c>
      <c r="F10707" s="917" t="s">
        <v>160</v>
      </c>
      <c r="G10707" s="1008"/>
      <c r="H10707" s="919"/>
      <c r="I10707" s="920"/>
      <c r="J10707" s="962">
        <f>SUM(J10708:J10717)</f>
        <v>49954.6</v>
      </c>
      <c r="K10707" s="891" t="s">
        <v>274</v>
      </c>
      <c r="L10707" s="962">
        <f>SUM(L10708:L10717)</f>
        <v>3016584.78</v>
      </c>
      <c r="M10707" s="962"/>
      <c r="N10707" s="962">
        <f>SUM(N10708:N10717)</f>
        <v>393486.60000000003</v>
      </c>
      <c r="O10707" s="892">
        <f t="shared" si="864"/>
        <v>1</v>
      </c>
      <c r="P10707" s="903">
        <f t="shared" si="865"/>
        <v>0</v>
      </c>
      <c r="Q10707" s="893">
        <f t="shared" si="866"/>
        <v>0</v>
      </c>
      <c r="R10707" s="894">
        <f t="shared" si="867"/>
        <v>10</v>
      </c>
    </row>
    <row r="10708" spans="1:18">
      <c r="A10708" s="895"/>
      <c r="B10708" s="896"/>
      <c r="C10708" s="897"/>
      <c r="D10708" s="897"/>
      <c r="E10708" s="1002" t="s">
        <v>108</v>
      </c>
      <c r="F10708" s="1003"/>
      <c r="G10708" s="1004"/>
      <c r="H10708" s="901"/>
      <c r="I10708" s="902"/>
      <c r="J10708" s="902"/>
      <c r="K10708" s="912" t="s">
        <v>274</v>
      </c>
      <c r="L10708" s="902"/>
      <c r="M10708" s="902"/>
      <c r="N10708" s="902"/>
      <c r="O10708" s="892">
        <f t="shared" si="864"/>
        <v>0</v>
      </c>
      <c r="P10708" s="903">
        <f t="shared" si="865"/>
        <v>1</v>
      </c>
      <c r="Q10708" s="893">
        <f t="shared" si="866"/>
        <v>10</v>
      </c>
      <c r="R10708" s="894">
        <f t="shared" si="867"/>
        <v>0</v>
      </c>
    </row>
    <row r="10709" spans="1:18" s="847" customFormat="1">
      <c r="A10709" s="905"/>
      <c r="B10709" s="952"/>
      <c r="C10709" s="907">
        <v>234</v>
      </c>
      <c r="D10709" s="907" t="s">
        <v>279</v>
      </c>
      <c r="E10709" s="992" t="s">
        <v>5983</v>
      </c>
      <c r="F10709" s="905" t="s">
        <v>3144</v>
      </c>
      <c r="G10709" s="1005"/>
      <c r="H10709" s="911">
        <v>2</v>
      </c>
      <c r="I10709" s="912">
        <f>VLOOKUP(E10709,[3]VLP!$B$7:$K$300,10,0)</f>
        <v>14000</v>
      </c>
      <c r="J10709" s="912">
        <f>I10709*H10709</f>
        <v>28000</v>
      </c>
      <c r="K10709" s="912" t="s">
        <v>274</v>
      </c>
      <c r="L10709" s="912"/>
      <c r="M10709" s="912"/>
      <c r="N10709" s="912"/>
      <c r="O10709" s="892">
        <f t="shared" si="864"/>
        <v>0</v>
      </c>
      <c r="P10709" s="903">
        <f t="shared" si="865"/>
        <v>1</v>
      </c>
      <c r="Q10709" s="893">
        <f t="shared" si="866"/>
        <v>9</v>
      </c>
      <c r="R10709" s="894">
        <f t="shared" si="867"/>
        <v>0</v>
      </c>
    </row>
    <row r="10710" spans="1:18" s="904" customFormat="1">
      <c r="A10710" s="905"/>
      <c r="B10710" s="952"/>
      <c r="C10710" s="907">
        <v>317</v>
      </c>
      <c r="D10710" s="907" t="s">
        <v>279</v>
      </c>
      <c r="E10710" s="992" t="s">
        <v>3273</v>
      </c>
      <c r="F10710" s="905" t="s">
        <v>45</v>
      </c>
      <c r="G10710" s="1005"/>
      <c r="H10710" s="911">
        <v>0.12</v>
      </c>
      <c r="I10710" s="912">
        <f>VLOOKUP(E10710,[3]VLP!$B$7:$K$300,10,0)</f>
        <v>25000</v>
      </c>
      <c r="J10710" s="912">
        <f>I10710*H10710</f>
        <v>3000</v>
      </c>
      <c r="K10710" s="912" t="s">
        <v>274</v>
      </c>
      <c r="L10710" s="912"/>
      <c r="M10710" s="912"/>
      <c r="N10710" s="912"/>
      <c r="O10710" s="892">
        <f t="shared" si="864"/>
        <v>0</v>
      </c>
      <c r="P10710" s="903">
        <f t="shared" si="865"/>
        <v>1</v>
      </c>
      <c r="Q10710" s="893">
        <f t="shared" si="866"/>
        <v>8</v>
      </c>
      <c r="R10710" s="894">
        <f t="shared" si="867"/>
        <v>0</v>
      </c>
    </row>
    <row r="10711" spans="1:18">
      <c r="A10711" s="905"/>
      <c r="B10711" s="952"/>
      <c r="C10711" s="907">
        <v>321</v>
      </c>
      <c r="D10711" s="907" t="s">
        <v>279</v>
      </c>
      <c r="E10711" s="992" t="s">
        <v>6317</v>
      </c>
      <c r="F10711" s="905" t="s">
        <v>45</v>
      </c>
      <c r="G10711" s="1005"/>
      <c r="H10711" s="911">
        <v>0.3</v>
      </c>
      <c r="I10711" s="912">
        <f>VLOOKUP(E10711,[3]VLP!$B$7:$K$300,10,0)</f>
        <v>38182</v>
      </c>
      <c r="J10711" s="912">
        <f>I10711*H10711</f>
        <v>11454.6</v>
      </c>
      <c r="K10711" s="912" t="s">
        <v>274</v>
      </c>
      <c r="L10711" s="912"/>
      <c r="M10711" s="912"/>
      <c r="N10711" s="912"/>
      <c r="O10711" s="892">
        <f t="shared" si="864"/>
        <v>0</v>
      </c>
      <c r="P10711" s="903">
        <f t="shared" si="865"/>
        <v>1</v>
      </c>
      <c r="Q10711" s="893">
        <f t="shared" si="866"/>
        <v>7</v>
      </c>
      <c r="R10711" s="894">
        <f t="shared" si="867"/>
        <v>0</v>
      </c>
    </row>
    <row r="10712" spans="1:18" s="847" customFormat="1">
      <c r="A10712" s="905"/>
      <c r="B10712" s="952"/>
      <c r="C10712" s="907">
        <v>235</v>
      </c>
      <c r="D10712" s="907" t="s">
        <v>279</v>
      </c>
      <c r="E10712" s="992" t="s">
        <v>2682</v>
      </c>
      <c r="F10712" s="905" t="s">
        <v>45</v>
      </c>
      <c r="G10712" s="1005"/>
      <c r="H10712" s="911">
        <v>1.5</v>
      </c>
      <c r="I10712" s="912">
        <f>VLOOKUP(E10712,[3]VLP!$B$7:$K$300,10,0)</f>
        <v>5000</v>
      </c>
      <c r="J10712" s="912">
        <f>I10712*H10712</f>
        <v>7500</v>
      </c>
      <c r="K10712" s="912" t="s">
        <v>274</v>
      </c>
      <c r="L10712" s="912"/>
      <c r="M10712" s="912"/>
      <c r="N10712" s="912"/>
      <c r="O10712" s="892">
        <f t="shared" si="864"/>
        <v>0</v>
      </c>
      <c r="P10712" s="903">
        <f t="shared" si="865"/>
        <v>1</v>
      </c>
      <c r="Q10712" s="893">
        <f t="shared" si="866"/>
        <v>6</v>
      </c>
      <c r="R10712" s="894">
        <f t="shared" si="867"/>
        <v>0</v>
      </c>
    </row>
    <row r="10713" spans="1:18" s="904" customFormat="1">
      <c r="A10713" s="895"/>
      <c r="B10713" s="896"/>
      <c r="C10713" s="897"/>
      <c r="D10713" s="897"/>
      <c r="E10713" s="1002" t="s">
        <v>276</v>
      </c>
      <c r="F10713" s="1003"/>
      <c r="G10713" s="1004"/>
      <c r="H10713" s="901"/>
      <c r="I10713" s="902"/>
      <c r="J10713" s="902"/>
      <c r="K10713" s="912" t="s">
        <v>274</v>
      </c>
      <c r="L10713" s="902"/>
      <c r="M10713" s="902"/>
      <c r="N10713" s="902"/>
      <c r="O10713" s="892">
        <f t="shared" si="864"/>
        <v>0</v>
      </c>
      <c r="P10713" s="903">
        <f t="shared" si="865"/>
        <v>1</v>
      </c>
      <c r="Q10713" s="893">
        <f t="shared" si="866"/>
        <v>5</v>
      </c>
      <c r="R10713" s="894">
        <f t="shared" si="867"/>
        <v>0</v>
      </c>
    </row>
    <row r="10714" spans="1:18">
      <c r="A10714" s="905"/>
      <c r="B10714" s="952"/>
      <c r="C10714" s="907">
        <v>745</v>
      </c>
      <c r="D10714" s="907" t="s">
        <v>12</v>
      </c>
      <c r="E10714" s="992" t="s">
        <v>5518</v>
      </c>
      <c r="F10714" s="905" t="s">
        <v>2674</v>
      </c>
      <c r="G10714" s="1005"/>
      <c r="H10714" s="911">
        <v>12.54</v>
      </c>
      <c r="I10714" s="912"/>
      <c r="J10714" s="912"/>
      <c r="K10714" s="912">
        <f>VLOOKUP(E10714,[5]ĐMNC!$A$7:$F$67,4,0)</f>
        <v>240557</v>
      </c>
      <c r="L10714" s="912">
        <f>H10714*K10714</f>
        <v>3016584.78</v>
      </c>
      <c r="M10714" s="912"/>
      <c r="N10714" s="912"/>
      <c r="O10714" s="892">
        <f t="shared" si="864"/>
        <v>0</v>
      </c>
      <c r="P10714" s="903">
        <f t="shared" si="865"/>
        <v>1</v>
      </c>
      <c r="Q10714" s="893">
        <f t="shared" si="866"/>
        <v>4</v>
      </c>
      <c r="R10714" s="894">
        <f t="shared" si="867"/>
        <v>0</v>
      </c>
    </row>
    <row r="10715" spans="1:18" s="847" customFormat="1">
      <c r="A10715" s="895"/>
      <c r="B10715" s="896"/>
      <c r="C10715" s="897"/>
      <c r="D10715" s="897"/>
      <c r="E10715" s="1002" t="s">
        <v>3914</v>
      </c>
      <c r="F10715" s="1003"/>
      <c r="G10715" s="1004"/>
      <c r="H10715" s="901"/>
      <c r="I10715" s="902"/>
      <c r="J10715" s="902"/>
      <c r="K10715" s="912" t="s">
        <v>274</v>
      </c>
      <c r="L10715" s="902"/>
      <c r="M10715" s="902"/>
      <c r="N10715" s="902"/>
      <c r="O10715" s="892">
        <f t="shared" si="864"/>
        <v>0</v>
      </c>
      <c r="P10715" s="903">
        <f t="shared" si="865"/>
        <v>1</v>
      </c>
      <c r="Q10715" s="893">
        <f t="shared" si="866"/>
        <v>3</v>
      </c>
      <c r="R10715" s="894">
        <f t="shared" si="867"/>
        <v>0</v>
      </c>
    </row>
    <row r="10716" spans="1:18" s="904" customFormat="1">
      <c r="A10716" s="905"/>
      <c r="B10716" s="952" t="s">
        <v>6332</v>
      </c>
      <c r="C10716" s="907">
        <v>901</v>
      </c>
      <c r="D10716" s="907" t="s">
        <v>93</v>
      </c>
      <c r="E10716" s="992" t="s">
        <v>6333</v>
      </c>
      <c r="F10716" s="905" t="s">
        <v>2673</v>
      </c>
      <c r="G10716" s="1005"/>
      <c r="H10716" s="911">
        <v>0.2</v>
      </c>
      <c r="I10716" s="912"/>
      <c r="J10716" s="912"/>
      <c r="K10716" s="912"/>
      <c r="L10716" s="912"/>
      <c r="M10716" s="912">
        <f>VLOOKUP(B10716,MTC!$B$9:$S$933,12,0)</f>
        <v>1967433</v>
      </c>
      <c r="N10716" s="912">
        <f>M10716*H10716</f>
        <v>393486.60000000003</v>
      </c>
      <c r="O10716" s="892">
        <f t="shared" si="864"/>
        <v>0</v>
      </c>
      <c r="P10716" s="903">
        <f t="shared" si="865"/>
        <v>1</v>
      </c>
      <c r="Q10716" s="893">
        <f t="shared" si="866"/>
        <v>2</v>
      </c>
      <c r="R10716" s="894">
        <f t="shared" si="867"/>
        <v>0</v>
      </c>
    </row>
    <row r="10717" spans="1:18">
      <c r="A10717" s="905"/>
      <c r="B10717" s="1015" t="s">
        <v>6728</v>
      </c>
      <c r="C10717" s="907">
        <v>999</v>
      </c>
      <c r="D10717" s="907" t="s">
        <v>93</v>
      </c>
      <c r="E10717" s="992" t="s">
        <v>6729</v>
      </c>
      <c r="F10717" s="905" t="s">
        <v>4007</v>
      </c>
      <c r="G10717" s="1005"/>
      <c r="H10717" s="911">
        <v>3</v>
      </c>
      <c r="I10717" s="912"/>
      <c r="J10717" s="912"/>
      <c r="K10717" s="912"/>
      <c r="L10717" s="912"/>
      <c r="M10717" s="912">
        <f>VLOOKUP(B10717,MTC!$B$9:$S$933,12,0)</f>
        <v>0</v>
      </c>
      <c r="N10717" s="912">
        <f>M10717*H10717</f>
        <v>0</v>
      </c>
      <c r="O10717" s="892">
        <f t="shared" si="864"/>
        <v>0</v>
      </c>
      <c r="P10717" s="903">
        <f t="shared" si="865"/>
        <v>1</v>
      </c>
      <c r="Q10717" s="893">
        <f t="shared" si="866"/>
        <v>1</v>
      </c>
      <c r="R10717" s="894">
        <f t="shared" si="867"/>
        <v>0</v>
      </c>
    </row>
    <row r="10718" spans="1:18" s="847" customFormat="1" ht="31.5">
      <c r="A10718" s="905">
        <v>190</v>
      </c>
      <c r="B10718" s="914" t="s">
        <v>6740</v>
      </c>
      <c r="C10718" s="915"/>
      <c r="D10718" s="915"/>
      <c r="E10718" s="1006" t="s">
        <v>6741</v>
      </c>
      <c r="F10718" s="917" t="s">
        <v>139</v>
      </c>
      <c r="G10718" s="1008"/>
      <c r="H10718" s="919"/>
      <c r="I10718" s="920"/>
      <c r="J10718" s="962">
        <f>SUM(J10719:J10728)</f>
        <v>29136.400000000001</v>
      </c>
      <c r="K10718" s="891" t="s">
        <v>274</v>
      </c>
      <c r="L10718" s="962">
        <f>SUM(L10719:L10728)</f>
        <v>1096939.92</v>
      </c>
      <c r="M10718" s="962"/>
      <c r="N10718" s="962">
        <f>SUM(N10719:N10728)</f>
        <v>265548.24</v>
      </c>
      <c r="O10718" s="892">
        <f t="shared" si="864"/>
        <v>1</v>
      </c>
      <c r="P10718" s="903">
        <f t="shared" si="865"/>
        <v>0</v>
      </c>
      <c r="Q10718" s="893">
        <f t="shared" si="866"/>
        <v>0</v>
      </c>
      <c r="R10718" s="894">
        <f t="shared" si="867"/>
        <v>10</v>
      </c>
    </row>
    <row r="10719" spans="1:18" s="904" customFormat="1">
      <c r="A10719" s="895"/>
      <c r="B10719" s="922"/>
      <c r="C10719" s="897"/>
      <c r="D10719" s="897"/>
      <c r="E10719" s="1002" t="s">
        <v>108</v>
      </c>
      <c r="F10719" s="1003"/>
      <c r="G10719" s="1004"/>
      <c r="H10719" s="901"/>
      <c r="I10719" s="902"/>
      <c r="J10719" s="902"/>
      <c r="K10719" s="912" t="s">
        <v>274</v>
      </c>
      <c r="L10719" s="902"/>
      <c r="M10719" s="902"/>
      <c r="N10719" s="902"/>
      <c r="O10719" s="892">
        <f t="shared" ref="O10719:O10782" si="868">IF(AND(B10719&lt;&gt;"",D10719=""),1,0)</f>
        <v>0</v>
      </c>
      <c r="P10719" s="903">
        <f t="shared" si="865"/>
        <v>1</v>
      </c>
      <c r="Q10719" s="893">
        <f t="shared" si="866"/>
        <v>10</v>
      </c>
      <c r="R10719" s="894">
        <f t="shared" si="867"/>
        <v>0</v>
      </c>
    </row>
    <row r="10720" spans="1:18">
      <c r="A10720" s="905"/>
      <c r="B10720" s="952"/>
      <c r="C10720" s="907">
        <v>234</v>
      </c>
      <c r="D10720" s="907" t="s">
        <v>279</v>
      </c>
      <c r="E10720" s="992" t="s">
        <v>5983</v>
      </c>
      <c r="F10720" s="905" t="s">
        <v>3144</v>
      </c>
      <c r="G10720" s="1005"/>
      <c r="H10720" s="911">
        <v>1</v>
      </c>
      <c r="I10720" s="912">
        <f>VLOOKUP(E10720,[3]VLP!$B$7:$K$300,10,0)</f>
        <v>14000</v>
      </c>
      <c r="J10720" s="912">
        <f>I10720*H10720</f>
        <v>14000</v>
      </c>
      <c r="K10720" s="912" t="s">
        <v>274</v>
      </c>
      <c r="L10720" s="912"/>
      <c r="M10720" s="912"/>
      <c r="N10720" s="912"/>
      <c r="O10720" s="892">
        <f t="shared" si="868"/>
        <v>0</v>
      </c>
      <c r="P10720" s="903">
        <f t="shared" si="865"/>
        <v>1</v>
      </c>
      <c r="Q10720" s="893">
        <f t="shared" si="866"/>
        <v>9</v>
      </c>
      <c r="R10720" s="894">
        <f t="shared" si="867"/>
        <v>0</v>
      </c>
    </row>
    <row r="10721" spans="1:18" s="847" customFormat="1">
      <c r="A10721" s="905"/>
      <c r="B10721" s="952"/>
      <c r="C10721" s="907">
        <v>317</v>
      </c>
      <c r="D10721" s="907" t="s">
        <v>279</v>
      </c>
      <c r="E10721" s="992" t="s">
        <v>3273</v>
      </c>
      <c r="F10721" s="905" t="s">
        <v>45</v>
      </c>
      <c r="G10721" s="1005"/>
      <c r="H10721" s="911">
        <v>0.1</v>
      </c>
      <c r="I10721" s="912">
        <f>VLOOKUP(E10721,[3]VLP!$B$7:$K$300,10,0)</f>
        <v>25000</v>
      </c>
      <c r="J10721" s="912">
        <f>I10721*H10721</f>
        <v>2500</v>
      </c>
      <c r="K10721" s="912" t="s">
        <v>274</v>
      </c>
      <c r="L10721" s="912"/>
      <c r="M10721" s="912"/>
      <c r="N10721" s="912"/>
      <c r="O10721" s="892">
        <f t="shared" si="868"/>
        <v>0</v>
      </c>
      <c r="P10721" s="903">
        <f t="shared" si="865"/>
        <v>1</v>
      </c>
      <c r="Q10721" s="893">
        <f t="shared" si="866"/>
        <v>8</v>
      </c>
      <c r="R10721" s="894">
        <f t="shared" si="867"/>
        <v>0</v>
      </c>
    </row>
    <row r="10722" spans="1:18" s="904" customFormat="1">
      <c r="A10722" s="905"/>
      <c r="B10722" s="952"/>
      <c r="C10722" s="907">
        <v>321</v>
      </c>
      <c r="D10722" s="907" t="s">
        <v>279</v>
      </c>
      <c r="E10722" s="992" t="s">
        <v>6317</v>
      </c>
      <c r="F10722" s="905" t="s">
        <v>45</v>
      </c>
      <c r="G10722" s="1005"/>
      <c r="H10722" s="911">
        <v>0.2</v>
      </c>
      <c r="I10722" s="912">
        <f>VLOOKUP(E10722,[3]VLP!$B$7:$K$300,10,0)</f>
        <v>38182</v>
      </c>
      <c r="J10722" s="912">
        <f>I10722*H10722</f>
        <v>7636.4000000000005</v>
      </c>
      <c r="K10722" s="912" t="s">
        <v>274</v>
      </c>
      <c r="L10722" s="912"/>
      <c r="M10722" s="912"/>
      <c r="N10722" s="912"/>
      <c r="O10722" s="892">
        <f t="shared" si="868"/>
        <v>0</v>
      </c>
      <c r="P10722" s="903">
        <f t="shared" si="865"/>
        <v>1</v>
      </c>
      <c r="Q10722" s="893">
        <f t="shared" si="866"/>
        <v>7</v>
      </c>
      <c r="R10722" s="894">
        <f t="shared" si="867"/>
        <v>0</v>
      </c>
    </row>
    <row r="10723" spans="1:18">
      <c r="A10723" s="905"/>
      <c r="B10723" s="952"/>
      <c r="C10723" s="907">
        <v>235</v>
      </c>
      <c r="D10723" s="907" t="s">
        <v>279</v>
      </c>
      <c r="E10723" s="992" t="s">
        <v>2682</v>
      </c>
      <c r="F10723" s="905" t="s">
        <v>45</v>
      </c>
      <c r="G10723" s="1005"/>
      <c r="H10723" s="911">
        <v>1</v>
      </c>
      <c r="I10723" s="912">
        <f>VLOOKUP(E10723,[3]VLP!$B$7:$K$300,10,0)</f>
        <v>5000</v>
      </c>
      <c r="J10723" s="912">
        <f>I10723*H10723</f>
        <v>5000</v>
      </c>
      <c r="K10723" s="912" t="s">
        <v>274</v>
      </c>
      <c r="L10723" s="912"/>
      <c r="M10723" s="912"/>
      <c r="N10723" s="912"/>
      <c r="O10723" s="892">
        <f t="shared" si="868"/>
        <v>0</v>
      </c>
      <c r="P10723" s="903">
        <f t="shared" si="865"/>
        <v>1</v>
      </c>
      <c r="Q10723" s="893">
        <f t="shared" si="866"/>
        <v>6</v>
      </c>
      <c r="R10723" s="894">
        <f t="shared" si="867"/>
        <v>0</v>
      </c>
    </row>
    <row r="10724" spans="1:18" s="847" customFormat="1">
      <c r="A10724" s="895"/>
      <c r="B10724" s="896"/>
      <c r="C10724" s="897"/>
      <c r="D10724" s="897"/>
      <c r="E10724" s="1002" t="s">
        <v>276</v>
      </c>
      <c r="F10724" s="1003"/>
      <c r="G10724" s="1004"/>
      <c r="H10724" s="901"/>
      <c r="I10724" s="902"/>
      <c r="J10724" s="902"/>
      <c r="K10724" s="912" t="s">
        <v>274</v>
      </c>
      <c r="L10724" s="902"/>
      <c r="M10724" s="902"/>
      <c r="N10724" s="902"/>
      <c r="O10724" s="892">
        <f t="shared" si="868"/>
        <v>0</v>
      </c>
      <c r="P10724" s="903">
        <f t="shared" si="865"/>
        <v>1</v>
      </c>
      <c r="Q10724" s="893">
        <f t="shared" si="866"/>
        <v>5</v>
      </c>
      <c r="R10724" s="894">
        <f t="shared" si="867"/>
        <v>0</v>
      </c>
    </row>
    <row r="10725" spans="1:18" s="904" customFormat="1">
      <c r="A10725" s="905"/>
      <c r="B10725" s="952"/>
      <c r="C10725" s="907">
        <v>745</v>
      </c>
      <c r="D10725" s="907" t="s">
        <v>12</v>
      </c>
      <c r="E10725" s="992" t="s">
        <v>5518</v>
      </c>
      <c r="F10725" s="905" t="s">
        <v>2674</v>
      </c>
      <c r="G10725" s="1005"/>
      <c r="H10725" s="911">
        <v>4.5599999999999996</v>
      </c>
      <c r="I10725" s="912"/>
      <c r="J10725" s="912"/>
      <c r="K10725" s="912">
        <f>VLOOKUP(E10725,[5]ĐMNC!$A$7:$F$67,4,0)</f>
        <v>240557</v>
      </c>
      <c r="L10725" s="912">
        <f>H10725*K10725</f>
        <v>1096939.92</v>
      </c>
      <c r="M10725" s="912"/>
      <c r="N10725" s="912"/>
      <c r="O10725" s="892">
        <f t="shared" si="868"/>
        <v>0</v>
      </c>
      <c r="P10725" s="903">
        <f t="shared" si="865"/>
        <v>1</v>
      </c>
      <c r="Q10725" s="893">
        <f t="shared" si="866"/>
        <v>4</v>
      </c>
      <c r="R10725" s="894">
        <f t="shared" si="867"/>
        <v>0</v>
      </c>
    </row>
    <row r="10726" spans="1:18">
      <c r="A10726" s="895"/>
      <c r="B10726" s="896"/>
      <c r="C10726" s="897"/>
      <c r="D10726" s="897"/>
      <c r="E10726" s="1002" t="s">
        <v>3914</v>
      </c>
      <c r="F10726" s="1003"/>
      <c r="G10726" s="1004"/>
      <c r="H10726" s="901"/>
      <c r="I10726" s="902"/>
      <c r="J10726" s="902"/>
      <c r="K10726" s="912" t="s">
        <v>274</v>
      </c>
      <c r="L10726" s="902"/>
      <c r="M10726" s="902"/>
      <c r="N10726" s="902"/>
      <c r="O10726" s="892">
        <f t="shared" si="868"/>
        <v>0</v>
      </c>
      <c r="P10726" s="903">
        <f t="shared" si="865"/>
        <v>1</v>
      </c>
      <c r="Q10726" s="893">
        <f t="shared" si="866"/>
        <v>3</v>
      </c>
      <c r="R10726" s="894">
        <f t="shared" si="867"/>
        <v>0</v>
      </c>
    </row>
    <row r="10727" spans="1:18" s="847" customFormat="1">
      <c r="A10727" s="905"/>
      <c r="B10727" s="946" t="s">
        <v>6321</v>
      </c>
      <c r="C10727" s="907">
        <v>900</v>
      </c>
      <c r="D10727" s="907" t="s">
        <v>93</v>
      </c>
      <c r="E10727" s="992" t="s">
        <v>6322</v>
      </c>
      <c r="F10727" s="905" t="s">
        <v>2673</v>
      </c>
      <c r="G10727" s="1005"/>
      <c r="H10727" s="911">
        <v>0.18</v>
      </c>
      <c r="I10727" s="912"/>
      <c r="J10727" s="912"/>
      <c r="K10727" s="912"/>
      <c r="L10727" s="912"/>
      <c r="M10727" s="912">
        <f>VLOOKUP(B10727,MTC!$B$9:$S$933,12,0)</f>
        <v>1475268</v>
      </c>
      <c r="N10727" s="912">
        <f>M10727*H10727</f>
        <v>265548.24</v>
      </c>
      <c r="O10727" s="892">
        <f t="shared" si="868"/>
        <v>0</v>
      </c>
      <c r="P10727" s="903">
        <f t="shared" si="865"/>
        <v>1</v>
      </c>
      <c r="Q10727" s="893">
        <f t="shared" si="866"/>
        <v>2</v>
      </c>
      <c r="R10727" s="894">
        <f t="shared" si="867"/>
        <v>0</v>
      </c>
    </row>
    <row r="10728" spans="1:18" s="904" customFormat="1">
      <c r="A10728" s="905"/>
      <c r="B10728" s="1015" t="s">
        <v>6728</v>
      </c>
      <c r="C10728" s="907">
        <v>999</v>
      </c>
      <c r="D10728" s="907" t="s">
        <v>93</v>
      </c>
      <c r="E10728" s="992" t="s">
        <v>6729</v>
      </c>
      <c r="F10728" s="905" t="s">
        <v>4007</v>
      </c>
      <c r="G10728" s="1005"/>
      <c r="H10728" s="911">
        <v>3</v>
      </c>
      <c r="I10728" s="912"/>
      <c r="J10728" s="912"/>
      <c r="K10728" s="912"/>
      <c r="L10728" s="912"/>
      <c r="M10728" s="912">
        <f>VLOOKUP(B10728,MTC!$B$9:$S$933,12,0)</f>
        <v>0</v>
      </c>
      <c r="N10728" s="912">
        <f>M10728*H10728</f>
        <v>0</v>
      </c>
      <c r="O10728" s="892">
        <f t="shared" si="868"/>
        <v>0</v>
      </c>
      <c r="P10728" s="903">
        <f t="shared" si="865"/>
        <v>1</v>
      </c>
      <c r="Q10728" s="893">
        <f t="shared" si="866"/>
        <v>1</v>
      </c>
      <c r="R10728" s="894">
        <f t="shared" si="867"/>
        <v>0</v>
      </c>
    </row>
    <row r="10729" spans="1:18" ht="31.5">
      <c r="A10729" s="905">
        <v>191</v>
      </c>
      <c r="B10729" s="914" t="s">
        <v>6742</v>
      </c>
      <c r="C10729" s="915"/>
      <c r="D10729" s="915"/>
      <c r="E10729" s="1006" t="s">
        <v>6743</v>
      </c>
      <c r="F10729" s="917" t="s">
        <v>139</v>
      </c>
      <c r="G10729" s="1008"/>
      <c r="H10729" s="919"/>
      <c r="I10729" s="920"/>
      <c r="J10729" s="962">
        <f>SUM(J10730:J10739)</f>
        <v>29136.400000000001</v>
      </c>
      <c r="K10729" s="891" t="s">
        <v>274</v>
      </c>
      <c r="L10729" s="962">
        <f>SUM(L10730:L10739)</f>
        <v>1578053.92</v>
      </c>
      <c r="M10729" s="962"/>
      <c r="N10729" s="962">
        <f>SUM(N10730:N10739)</f>
        <v>265548.24</v>
      </c>
      <c r="O10729" s="892">
        <f t="shared" si="868"/>
        <v>1</v>
      </c>
      <c r="P10729" s="903">
        <f t="shared" si="865"/>
        <v>0</v>
      </c>
      <c r="Q10729" s="893">
        <f t="shared" si="866"/>
        <v>0</v>
      </c>
      <c r="R10729" s="894">
        <f t="shared" si="867"/>
        <v>10</v>
      </c>
    </row>
    <row r="10730" spans="1:18" s="847" customFormat="1">
      <c r="A10730" s="895"/>
      <c r="B10730" s="896"/>
      <c r="C10730" s="897"/>
      <c r="D10730" s="897"/>
      <c r="E10730" s="1002" t="s">
        <v>108</v>
      </c>
      <c r="F10730" s="1003"/>
      <c r="G10730" s="1004"/>
      <c r="H10730" s="901"/>
      <c r="I10730" s="902"/>
      <c r="J10730" s="902"/>
      <c r="K10730" s="912" t="s">
        <v>274</v>
      </c>
      <c r="L10730" s="902"/>
      <c r="M10730" s="902"/>
      <c r="N10730" s="902"/>
      <c r="O10730" s="892">
        <f t="shared" si="868"/>
        <v>0</v>
      </c>
      <c r="P10730" s="903">
        <f t="shared" si="865"/>
        <v>1</v>
      </c>
      <c r="Q10730" s="893">
        <f t="shared" si="866"/>
        <v>10</v>
      </c>
      <c r="R10730" s="894">
        <f t="shared" si="867"/>
        <v>0</v>
      </c>
    </row>
    <row r="10731" spans="1:18" s="904" customFormat="1">
      <c r="A10731" s="905"/>
      <c r="B10731" s="952"/>
      <c r="C10731" s="907">
        <v>234</v>
      </c>
      <c r="D10731" s="907" t="s">
        <v>279</v>
      </c>
      <c r="E10731" s="992" t="s">
        <v>5983</v>
      </c>
      <c r="F10731" s="905" t="s">
        <v>3144</v>
      </c>
      <c r="G10731" s="1005"/>
      <c r="H10731" s="911">
        <v>1</v>
      </c>
      <c r="I10731" s="912">
        <f>VLOOKUP(E10731,[3]VLP!$B$7:$K$300,10,0)</f>
        <v>14000</v>
      </c>
      <c r="J10731" s="912">
        <f>I10731*H10731</f>
        <v>14000</v>
      </c>
      <c r="K10731" s="912" t="s">
        <v>274</v>
      </c>
      <c r="L10731" s="912"/>
      <c r="M10731" s="912"/>
      <c r="N10731" s="912"/>
      <c r="O10731" s="892">
        <f t="shared" si="868"/>
        <v>0</v>
      </c>
      <c r="P10731" s="903">
        <f t="shared" si="865"/>
        <v>1</v>
      </c>
      <c r="Q10731" s="893">
        <f t="shared" si="866"/>
        <v>9</v>
      </c>
      <c r="R10731" s="894">
        <f t="shared" si="867"/>
        <v>0</v>
      </c>
    </row>
    <row r="10732" spans="1:18">
      <c r="A10732" s="905"/>
      <c r="B10732" s="952"/>
      <c r="C10732" s="907">
        <v>317</v>
      </c>
      <c r="D10732" s="907" t="s">
        <v>279</v>
      </c>
      <c r="E10732" s="992" t="s">
        <v>3273</v>
      </c>
      <c r="F10732" s="905" t="s">
        <v>45</v>
      </c>
      <c r="G10732" s="1005"/>
      <c r="H10732" s="911">
        <v>0.1</v>
      </c>
      <c r="I10732" s="912">
        <f>VLOOKUP(E10732,[3]VLP!$B$7:$K$300,10,0)</f>
        <v>25000</v>
      </c>
      <c r="J10732" s="912">
        <f>I10732*H10732</f>
        <v>2500</v>
      </c>
      <c r="K10732" s="912" t="s">
        <v>274</v>
      </c>
      <c r="L10732" s="912"/>
      <c r="M10732" s="912"/>
      <c r="N10732" s="912"/>
      <c r="O10732" s="892">
        <f t="shared" si="868"/>
        <v>0</v>
      </c>
      <c r="P10732" s="903">
        <f t="shared" si="865"/>
        <v>1</v>
      </c>
      <c r="Q10732" s="893">
        <f t="shared" si="866"/>
        <v>8</v>
      </c>
      <c r="R10732" s="894">
        <f t="shared" si="867"/>
        <v>0</v>
      </c>
    </row>
    <row r="10733" spans="1:18" s="847" customFormat="1">
      <c r="A10733" s="905"/>
      <c r="B10733" s="952"/>
      <c r="C10733" s="907">
        <v>321</v>
      </c>
      <c r="D10733" s="907" t="s">
        <v>279</v>
      </c>
      <c r="E10733" s="992" t="s">
        <v>6317</v>
      </c>
      <c r="F10733" s="905" t="s">
        <v>45</v>
      </c>
      <c r="G10733" s="1005"/>
      <c r="H10733" s="911">
        <v>0.2</v>
      </c>
      <c r="I10733" s="912">
        <f>VLOOKUP(E10733,[3]VLP!$B$7:$K$300,10,0)</f>
        <v>38182</v>
      </c>
      <c r="J10733" s="912">
        <f>I10733*H10733</f>
        <v>7636.4000000000005</v>
      </c>
      <c r="K10733" s="912" t="s">
        <v>274</v>
      </c>
      <c r="L10733" s="912"/>
      <c r="M10733" s="912"/>
      <c r="N10733" s="912"/>
      <c r="O10733" s="892">
        <f t="shared" si="868"/>
        <v>0</v>
      </c>
      <c r="P10733" s="903">
        <f t="shared" si="865"/>
        <v>1</v>
      </c>
      <c r="Q10733" s="893">
        <f t="shared" si="866"/>
        <v>7</v>
      </c>
      <c r="R10733" s="894">
        <f t="shared" si="867"/>
        <v>0</v>
      </c>
    </row>
    <row r="10734" spans="1:18" s="904" customFormat="1">
      <c r="A10734" s="905"/>
      <c r="B10734" s="952"/>
      <c r="C10734" s="907">
        <v>235</v>
      </c>
      <c r="D10734" s="907" t="s">
        <v>279</v>
      </c>
      <c r="E10734" s="992" t="s">
        <v>2682</v>
      </c>
      <c r="F10734" s="905" t="s">
        <v>45</v>
      </c>
      <c r="G10734" s="1005"/>
      <c r="H10734" s="911">
        <v>1</v>
      </c>
      <c r="I10734" s="912">
        <f>VLOOKUP(E10734,[3]VLP!$B$7:$K$300,10,0)</f>
        <v>5000</v>
      </c>
      <c r="J10734" s="912">
        <f>I10734*H10734</f>
        <v>5000</v>
      </c>
      <c r="K10734" s="912" t="s">
        <v>274</v>
      </c>
      <c r="L10734" s="912"/>
      <c r="M10734" s="912"/>
      <c r="N10734" s="912"/>
      <c r="O10734" s="892">
        <f t="shared" si="868"/>
        <v>0</v>
      </c>
      <c r="P10734" s="903">
        <f t="shared" si="865"/>
        <v>1</v>
      </c>
      <c r="Q10734" s="893">
        <f t="shared" si="866"/>
        <v>6</v>
      </c>
      <c r="R10734" s="894">
        <f t="shared" si="867"/>
        <v>0</v>
      </c>
    </row>
    <row r="10735" spans="1:18">
      <c r="A10735" s="895"/>
      <c r="B10735" s="896"/>
      <c r="C10735" s="897"/>
      <c r="D10735" s="897"/>
      <c r="E10735" s="1002" t="s">
        <v>276</v>
      </c>
      <c r="F10735" s="1003"/>
      <c r="G10735" s="1004"/>
      <c r="H10735" s="901"/>
      <c r="I10735" s="902"/>
      <c r="J10735" s="902"/>
      <c r="K10735" s="912" t="s">
        <v>274</v>
      </c>
      <c r="L10735" s="902"/>
      <c r="M10735" s="902"/>
      <c r="N10735" s="902"/>
      <c r="O10735" s="892">
        <f t="shared" si="868"/>
        <v>0</v>
      </c>
      <c r="P10735" s="903">
        <f t="shared" si="865"/>
        <v>1</v>
      </c>
      <c r="Q10735" s="893">
        <f t="shared" si="866"/>
        <v>5</v>
      </c>
      <c r="R10735" s="894">
        <f t="shared" si="867"/>
        <v>0</v>
      </c>
    </row>
    <row r="10736" spans="1:18" s="847" customFormat="1">
      <c r="A10736" s="905"/>
      <c r="B10736" s="952"/>
      <c r="C10736" s="907">
        <v>745</v>
      </c>
      <c r="D10736" s="907" t="s">
        <v>12</v>
      </c>
      <c r="E10736" s="992" t="s">
        <v>5518</v>
      </c>
      <c r="F10736" s="905" t="s">
        <v>2674</v>
      </c>
      <c r="G10736" s="1005"/>
      <c r="H10736" s="911">
        <v>6.56</v>
      </c>
      <c r="I10736" s="912"/>
      <c r="J10736" s="912"/>
      <c r="K10736" s="912">
        <f>VLOOKUP(E10736,[5]ĐMNC!$A$7:$F$67,4,0)</f>
        <v>240557</v>
      </c>
      <c r="L10736" s="912">
        <f>H10736*K10736</f>
        <v>1578053.92</v>
      </c>
      <c r="M10736" s="912"/>
      <c r="N10736" s="912"/>
      <c r="O10736" s="892">
        <f t="shared" si="868"/>
        <v>0</v>
      </c>
      <c r="P10736" s="903">
        <f t="shared" si="865"/>
        <v>1</v>
      </c>
      <c r="Q10736" s="893">
        <f t="shared" si="866"/>
        <v>4</v>
      </c>
      <c r="R10736" s="894">
        <f t="shared" si="867"/>
        <v>0</v>
      </c>
    </row>
    <row r="10737" spans="1:18" s="904" customFormat="1">
      <c r="A10737" s="895"/>
      <c r="B10737" s="896"/>
      <c r="C10737" s="897"/>
      <c r="D10737" s="897"/>
      <c r="E10737" s="1002" t="s">
        <v>3914</v>
      </c>
      <c r="F10737" s="1003"/>
      <c r="G10737" s="1004"/>
      <c r="H10737" s="901"/>
      <c r="I10737" s="902"/>
      <c r="J10737" s="902"/>
      <c r="K10737" s="912" t="s">
        <v>274</v>
      </c>
      <c r="L10737" s="902"/>
      <c r="M10737" s="902"/>
      <c r="N10737" s="902"/>
      <c r="O10737" s="892">
        <f t="shared" si="868"/>
        <v>0</v>
      </c>
      <c r="P10737" s="903">
        <f t="shared" si="865"/>
        <v>1</v>
      </c>
      <c r="Q10737" s="893">
        <f t="shared" si="866"/>
        <v>3</v>
      </c>
      <c r="R10737" s="894">
        <f t="shared" si="867"/>
        <v>0</v>
      </c>
    </row>
    <row r="10738" spans="1:18">
      <c r="A10738" s="905"/>
      <c r="B10738" s="946" t="s">
        <v>6321</v>
      </c>
      <c r="C10738" s="907">
        <v>900</v>
      </c>
      <c r="D10738" s="907" t="s">
        <v>93</v>
      </c>
      <c r="E10738" s="992" t="s">
        <v>6322</v>
      </c>
      <c r="F10738" s="905" t="s">
        <v>2673</v>
      </c>
      <c r="G10738" s="1005"/>
      <c r="H10738" s="911">
        <v>0.18</v>
      </c>
      <c r="I10738" s="912"/>
      <c r="J10738" s="912"/>
      <c r="K10738" s="912"/>
      <c r="L10738" s="912"/>
      <c r="M10738" s="912">
        <f>VLOOKUP(B10738,MTC!$B$9:$S$933,12,0)</f>
        <v>1475268</v>
      </c>
      <c r="N10738" s="912">
        <f>M10738*H10738</f>
        <v>265548.24</v>
      </c>
      <c r="O10738" s="892">
        <f t="shared" si="868"/>
        <v>0</v>
      </c>
      <c r="P10738" s="903">
        <f t="shared" si="865"/>
        <v>1</v>
      </c>
      <c r="Q10738" s="893">
        <f t="shared" si="866"/>
        <v>2</v>
      </c>
      <c r="R10738" s="894">
        <f t="shared" si="867"/>
        <v>0</v>
      </c>
    </row>
    <row r="10739" spans="1:18" s="847" customFormat="1">
      <c r="A10739" s="905"/>
      <c r="B10739" s="1015" t="s">
        <v>6728</v>
      </c>
      <c r="C10739" s="907">
        <v>999</v>
      </c>
      <c r="D10739" s="907" t="s">
        <v>93</v>
      </c>
      <c r="E10739" s="992" t="s">
        <v>6729</v>
      </c>
      <c r="F10739" s="905" t="s">
        <v>4007</v>
      </c>
      <c r="G10739" s="1005"/>
      <c r="H10739" s="911">
        <v>3</v>
      </c>
      <c r="I10739" s="912"/>
      <c r="J10739" s="912"/>
      <c r="K10739" s="912"/>
      <c r="L10739" s="912"/>
      <c r="M10739" s="912">
        <f>VLOOKUP(B10739,MTC!$B$9:$S$933,12,0)</f>
        <v>0</v>
      </c>
      <c r="N10739" s="912">
        <f>M10739*H10739</f>
        <v>0</v>
      </c>
      <c r="O10739" s="892">
        <f t="shared" si="868"/>
        <v>0</v>
      </c>
      <c r="P10739" s="903">
        <f t="shared" ref="P10739:P10802" si="869">IF(O10739=0,1,0)</f>
        <v>1</v>
      </c>
      <c r="Q10739" s="893">
        <f t="shared" ref="Q10739:Q10802" si="870">IF(P10739=0,0,P10739+Q10740)</f>
        <v>1</v>
      </c>
      <c r="R10739" s="894">
        <f t="shared" ref="R10739:R10802" si="871">IF(Q10739=0,Q10740,0)</f>
        <v>0</v>
      </c>
    </row>
    <row r="10740" spans="1:18" s="904" customFormat="1">
      <c r="A10740" s="905">
        <v>192</v>
      </c>
      <c r="B10740" s="914" t="s">
        <v>6744</v>
      </c>
      <c r="C10740" s="915"/>
      <c r="D10740" s="915"/>
      <c r="E10740" s="1006" t="s">
        <v>6745</v>
      </c>
      <c r="F10740" s="917" t="s">
        <v>139</v>
      </c>
      <c r="G10740" s="1008"/>
      <c r="H10740" s="919"/>
      <c r="I10740" s="920"/>
      <c r="J10740" s="962">
        <f>SUM(J10741:J10750)</f>
        <v>29136.400000000001</v>
      </c>
      <c r="K10740" s="891" t="s">
        <v>274</v>
      </c>
      <c r="L10740" s="962">
        <f>SUM(L10741:L10750)</f>
        <v>1893183.59</v>
      </c>
      <c r="M10740" s="962"/>
      <c r="N10740" s="962">
        <f>SUM(N10741:N10750)</f>
        <v>265548.24</v>
      </c>
      <c r="O10740" s="892">
        <f t="shared" si="868"/>
        <v>1</v>
      </c>
      <c r="P10740" s="903">
        <f t="shared" si="869"/>
        <v>0</v>
      </c>
      <c r="Q10740" s="893">
        <f t="shared" si="870"/>
        <v>0</v>
      </c>
      <c r="R10740" s="894">
        <f t="shared" si="871"/>
        <v>10</v>
      </c>
    </row>
    <row r="10741" spans="1:18">
      <c r="A10741" s="895"/>
      <c r="B10741" s="896"/>
      <c r="C10741" s="897"/>
      <c r="D10741" s="897"/>
      <c r="E10741" s="1002" t="s">
        <v>108</v>
      </c>
      <c r="F10741" s="1003"/>
      <c r="G10741" s="1004"/>
      <c r="H10741" s="901"/>
      <c r="I10741" s="902"/>
      <c r="J10741" s="902"/>
      <c r="K10741" s="912" t="s">
        <v>274</v>
      </c>
      <c r="L10741" s="902"/>
      <c r="M10741" s="902"/>
      <c r="N10741" s="902"/>
      <c r="O10741" s="892">
        <f t="shared" si="868"/>
        <v>0</v>
      </c>
      <c r="P10741" s="903">
        <f t="shared" si="869"/>
        <v>1</v>
      </c>
      <c r="Q10741" s="893">
        <f t="shared" si="870"/>
        <v>10</v>
      </c>
      <c r="R10741" s="894">
        <f t="shared" si="871"/>
        <v>0</v>
      </c>
    </row>
    <row r="10742" spans="1:18" s="847" customFormat="1">
      <c r="A10742" s="905"/>
      <c r="B10742" s="952"/>
      <c r="C10742" s="907">
        <v>234</v>
      </c>
      <c r="D10742" s="907" t="s">
        <v>279</v>
      </c>
      <c r="E10742" s="992" t="s">
        <v>5983</v>
      </c>
      <c r="F10742" s="905" t="s">
        <v>3144</v>
      </c>
      <c r="G10742" s="1005"/>
      <c r="H10742" s="911">
        <v>1</v>
      </c>
      <c r="I10742" s="912">
        <f>VLOOKUP(E10742,[3]VLP!$B$7:$K$300,10,0)</f>
        <v>14000</v>
      </c>
      <c r="J10742" s="912">
        <f>I10742*H10742</f>
        <v>14000</v>
      </c>
      <c r="K10742" s="912" t="s">
        <v>274</v>
      </c>
      <c r="L10742" s="912"/>
      <c r="M10742" s="912"/>
      <c r="N10742" s="912"/>
      <c r="O10742" s="892">
        <f t="shared" si="868"/>
        <v>0</v>
      </c>
      <c r="P10742" s="903">
        <f t="shared" si="869"/>
        <v>1</v>
      </c>
      <c r="Q10742" s="893">
        <f t="shared" si="870"/>
        <v>9</v>
      </c>
      <c r="R10742" s="894">
        <f t="shared" si="871"/>
        <v>0</v>
      </c>
    </row>
    <row r="10743" spans="1:18" s="904" customFormat="1">
      <c r="A10743" s="905"/>
      <c r="B10743" s="952"/>
      <c r="C10743" s="907">
        <v>317</v>
      </c>
      <c r="D10743" s="907" t="s">
        <v>279</v>
      </c>
      <c r="E10743" s="992" t="s">
        <v>3273</v>
      </c>
      <c r="F10743" s="905" t="s">
        <v>45</v>
      </c>
      <c r="G10743" s="1005"/>
      <c r="H10743" s="911">
        <v>0.1</v>
      </c>
      <c r="I10743" s="912">
        <f>VLOOKUP(E10743,[3]VLP!$B$7:$K$300,10,0)</f>
        <v>25000</v>
      </c>
      <c r="J10743" s="912">
        <f>I10743*H10743</f>
        <v>2500</v>
      </c>
      <c r="K10743" s="912" t="s">
        <v>274</v>
      </c>
      <c r="L10743" s="912"/>
      <c r="M10743" s="912"/>
      <c r="N10743" s="912"/>
      <c r="O10743" s="892">
        <f t="shared" si="868"/>
        <v>0</v>
      </c>
      <c r="P10743" s="903">
        <f t="shared" si="869"/>
        <v>1</v>
      </c>
      <c r="Q10743" s="893">
        <f t="shared" si="870"/>
        <v>8</v>
      </c>
      <c r="R10743" s="894">
        <f t="shared" si="871"/>
        <v>0</v>
      </c>
    </row>
    <row r="10744" spans="1:18">
      <c r="A10744" s="905"/>
      <c r="B10744" s="952"/>
      <c r="C10744" s="907">
        <v>321</v>
      </c>
      <c r="D10744" s="907" t="s">
        <v>279</v>
      </c>
      <c r="E10744" s="992" t="s">
        <v>6317</v>
      </c>
      <c r="F10744" s="905" t="s">
        <v>45</v>
      </c>
      <c r="G10744" s="1005"/>
      <c r="H10744" s="911">
        <v>0.2</v>
      </c>
      <c r="I10744" s="912">
        <f>VLOOKUP(E10744,[3]VLP!$B$7:$K$300,10,0)</f>
        <v>38182</v>
      </c>
      <c r="J10744" s="912">
        <f>I10744*H10744</f>
        <v>7636.4000000000005</v>
      </c>
      <c r="K10744" s="912" t="s">
        <v>274</v>
      </c>
      <c r="L10744" s="912"/>
      <c r="M10744" s="912"/>
      <c r="N10744" s="912"/>
      <c r="O10744" s="892">
        <f t="shared" si="868"/>
        <v>0</v>
      </c>
      <c r="P10744" s="903">
        <f t="shared" si="869"/>
        <v>1</v>
      </c>
      <c r="Q10744" s="893">
        <f t="shared" si="870"/>
        <v>7</v>
      </c>
      <c r="R10744" s="894">
        <f t="shared" si="871"/>
        <v>0</v>
      </c>
    </row>
    <row r="10745" spans="1:18" s="847" customFormat="1">
      <c r="A10745" s="905"/>
      <c r="B10745" s="952"/>
      <c r="C10745" s="907">
        <v>235</v>
      </c>
      <c r="D10745" s="907" t="s">
        <v>279</v>
      </c>
      <c r="E10745" s="992" t="s">
        <v>2682</v>
      </c>
      <c r="F10745" s="905" t="s">
        <v>45</v>
      </c>
      <c r="G10745" s="1005"/>
      <c r="H10745" s="911">
        <v>1</v>
      </c>
      <c r="I10745" s="912">
        <f>VLOOKUP(E10745,[3]VLP!$B$7:$K$300,10,0)</f>
        <v>5000</v>
      </c>
      <c r="J10745" s="912">
        <f>I10745*H10745</f>
        <v>5000</v>
      </c>
      <c r="K10745" s="912" t="s">
        <v>274</v>
      </c>
      <c r="L10745" s="912"/>
      <c r="M10745" s="912"/>
      <c r="N10745" s="912"/>
      <c r="O10745" s="892">
        <f t="shared" si="868"/>
        <v>0</v>
      </c>
      <c r="P10745" s="903">
        <f t="shared" si="869"/>
        <v>1</v>
      </c>
      <c r="Q10745" s="893">
        <f t="shared" si="870"/>
        <v>6</v>
      </c>
      <c r="R10745" s="894">
        <f t="shared" si="871"/>
        <v>0</v>
      </c>
    </row>
    <row r="10746" spans="1:18" s="904" customFormat="1">
      <c r="A10746" s="895"/>
      <c r="B10746" s="896"/>
      <c r="C10746" s="897"/>
      <c r="D10746" s="897"/>
      <c r="E10746" s="1002" t="s">
        <v>276</v>
      </c>
      <c r="F10746" s="1003"/>
      <c r="G10746" s="1004"/>
      <c r="H10746" s="901"/>
      <c r="I10746" s="902"/>
      <c r="J10746" s="902"/>
      <c r="K10746" s="912" t="s">
        <v>274</v>
      </c>
      <c r="L10746" s="902"/>
      <c r="M10746" s="902"/>
      <c r="N10746" s="902"/>
      <c r="O10746" s="892">
        <f t="shared" si="868"/>
        <v>0</v>
      </c>
      <c r="P10746" s="903">
        <f t="shared" si="869"/>
        <v>1</v>
      </c>
      <c r="Q10746" s="893">
        <f t="shared" si="870"/>
        <v>5</v>
      </c>
      <c r="R10746" s="894">
        <f t="shared" si="871"/>
        <v>0</v>
      </c>
    </row>
    <row r="10747" spans="1:18">
      <c r="A10747" s="905"/>
      <c r="B10747" s="952"/>
      <c r="C10747" s="907">
        <v>745</v>
      </c>
      <c r="D10747" s="907" t="s">
        <v>12</v>
      </c>
      <c r="E10747" s="992" t="s">
        <v>5518</v>
      </c>
      <c r="F10747" s="905" t="s">
        <v>2674</v>
      </c>
      <c r="G10747" s="1005"/>
      <c r="H10747" s="911">
        <v>7.87</v>
      </c>
      <c r="I10747" s="912"/>
      <c r="J10747" s="912"/>
      <c r="K10747" s="912">
        <f>VLOOKUP(E10747,[5]ĐMNC!$A$7:$F$67,4,0)</f>
        <v>240557</v>
      </c>
      <c r="L10747" s="912">
        <f>H10747*K10747</f>
        <v>1893183.59</v>
      </c>
      <c r="M10747" s="912"/>
      <c r="N10747" s="912"/>
      <c r="O10747" s="892">
        <f t="shared" si="868"/>
        <v>0</v>
      </c>
      <c r="P10747" s="903">
        <f t="shared" si="869"/>
        <v>1</v>
      </c>
      <c r="Q10747" s="893">
        <f t="shared" si="870"/>
        <v>4</v>
      </c>
      <c r="R10747" s="894">
        <f t="shared" si="871"/>
        <v>0</v>
      </c>
    </row>
    <row r="10748" spans="1:18" s="847" customFormat="1">
      <c r="A10748" s="895"/>
      <c r="B10748" s="896"/>
      <c r="C10748" s="897"/>
      <c r="D10748" s="897"/>
      <c r="E10748" s="1002" t="s">
        <v>3914</v>
      </c>
      <c r="F10748" s="1003"/>
      <c r="G10748" s="1004"/>
      <c r="H10748" s="901"/>
      <c r="I10748" s="902"/>
      <c r="J10748" s="902"/>
      <c r="K10748" s="912" t="s">
        <v>274</v>
      </c>
      <c r="L10748" s="902"/>
      <c r="M10748" s="902"/>
      <c r="N10748" s="902"/>
      <c r="O10748" s="892">
        <f t="shared" si="868"/>
        <v>0</v>
      </c>
      <c r="P10748" s="903">
        <f t="shared" si="869"/>
        <v>1</v>
      </c>
      <c r="Q10748" s="893">
        <f t="shared" si="870"/>
        <v>3</v>
      </c>
      <c r="R10748" s="894">
        <f t="shared" si="871"/>
        <v>0</v>
      </c>
    </row>
    <row r="10749" spans="1:18" s="904" customFormat="1">
      <c r="A10749" s="905"/>
      <c r="B10749" s="946" t="s">
        <v>6321</v>
      </c>
      <c r="C10749" s="907">
        <v>900</v>
      </c>
      <c r="D10749" s="907" t="s">
        <v>93</v>
      </c>
      <c r="E10749" s="992" t="s">
        <v>6322</v>
      </c>
      <c r="F10749" s="905" t="s">
        <v>2673</v>
      </c>
      <c r="G10749" s="1005"/>
      <c r="H10749" s="911">
        <v>0.18</v>
      </c>
      <c r="I10749" s="912"/>
      <c r="J10749" s="912"/>
      <c r="K10749" s="912"/>
      <c r="L10749" s="912"/>
      <c r="M10749" s="912">
        <f>VLOOKUP(B10749,MTC!$B$9:$S$933,12,0)</f>
        <v>1475268</v>
      </c>
      <c r="N10749" s="912">
        <f>M10749*H10749</f>
        <v>265548.24</v>
      </c>
      <c r="O10749" s="892">
        <f t="shared" si="868"/>
        <v>0</v>
      </c>
      <c r="P10749" s="903">
        <f t="shared" si="869"/>
        <v>1</v>
      </c>
      <c r="Q10749" s="893">
        <f t="shared" si="870"/>
        <v>2</v>
      </c>
      <c r="R10749" s="894">
        <f t="shared" si="871"/>
        <v>0</v>
      </c>
    </row>
    <row r="10750" spans="1:18">
      <c r="A10750" s="905"/>
      <c r="B10750" s="1015" t="s">
        <v>6728</v>
      </c>
      <c r="C10750" s="907">
        <v>999</v>
      </c>
      <c r="D10750" s="907" t="s">
        <v>93</v>
      </c>
      <c r="E10750" s="992" t="s">
        <v>6729</v>
      </c>
      <c r="F10750" s="905" t="s">
        <v>4007</v>
      </c>
      <c r="G10750" s="1005"/>
      <c r="H10750" s="911">
        <v>3</v>
      </c>
      <c r="I10750" s="912"/>
      <c r="J10750" s="912"/>
      <c r="K10750" s="912"/>
      <c r="L10750" s="912"/>
      <c r="M10750" s="912">
        <f>VLOOKUP(B10750,MTC!$B$9:$S$933,12,0)</f>
        <v>0</v>
      </c>
      <c r="N10750" s="912">
        <f>M10750*H10750</f>
        <v>0</v>
      </c>
      <c r="O10750" s="892">
        <f t="shared" si="868"/>
        <v>0</v>
      </c>
      <c r="P10750" s="903">
        <f t="shared" si="869"/>
        <v>1</v>
      </c>
      <c r="Q10750" s="893">
        <f t="shared" si="870"/>
        <v>1</v>
      </c>
      <c r="R10750" s="894">
        <f t="shared" si="871"/>
        <v>0</v>
      </c>
    </row>
    <row r="10751" spans="1:18" s="847" customFormat="1" ht="31.5">
      <c r="A10751" s="905">
        <v>193</v>
      </c>
      <c r="B10751" s="914" t="s">
        <v>2009</v>
      </c>
      <c r="C10751" s="915"/>
      <c r="D10751" s="915"/>
      <c r="E10751" s="1006" t="s">
        <v>6746</v>
      </c>
      <c r="F10751" s="917" t="s">
        <v>139</v>
      </c>
      <c r="G10751" s="1008"/>
      <c r="H10751" s="919"/>
      <c r="I10751" s="920"/>
      <c r="J10751" s="962">
        <f>SUM(J10752:J10761)</f>
        <v>16331.84</v>
      </c>
      <c r="K10751" s="891" t="s">
        <v>274</v>
      </c>
      <c r="L10751" s="962">
        <f>SUM(L10752:L10761)</f>
        <v>548469.96</v>
      </c>
      <c r="M10751" s="962"/>
      <c r="N10751" s="962">
        <f>SUM(N10752:N10761)</f>
        <v>177032.16</v>
      </c>
      <c r="O10751" s="892">
        <f t="shared" si="868"/>
        <v>1</v>
      </c>
      <c r="P10751" s="903">
        <f t="shared" si="869"/>
        <v>0</v>
      </c>
      <c r="Q10751" s="893">
        <f t="shared" si="870"/>
        <v>0</v>
      </c>
      <c r="R10751" s="894">
        <f t="shared" si="871"/>
        <v>10</v>
      </c>
    </row>
    <row r="10752" spans="1:18" s="904" customFormat="1">
      <c r="A10752" s="895"/>
      <c r="B10752" s="922"/>
      <c r="C10752" s="897"/>
      <c r="D10752" s="897"/>
      <c r="E10752" s="1002" t="s">
        <v>108</v>
      </c>
      <c r="F10752" s="1003"/>
      <c r="G10752" s="1004"/>
      <c r="H10752" s="901"/>
      <c r="I10752" s="902"/>
      <c r="J10752" s="902"/>
      <c r="K10752" s="912" t="s">
        <v>274</v>
      </c>
      <c r="L10752" s="902"/>
      <c r="M10752" s="902"/>
      <c r="N10752" s="902"/>
      <c r="O10752" s="892">
        <f t="shared" si="868"/>
        <v>0</v>
      </c>
      <c r="P10752" s="903">
        <f t="shared" si="869"/>
        <v>1</v>
      </c>
      <c r="Q10752" s="893">
        <f t="shared" si="870"/>
        <v>10</v>
      </c>
      <c r="R10752" s="894">
        <f t="shared" si="871"/>
        <v>0</v>
      </c>
    </row>
    <row r="10753" spans="1:18">
      <c r="A10753" s="905"/>
      <c r="B10753" s="952"/>
      <c r="C10753" s="907">
        <v>234</v>
      </c>
      <c r="D10753" s="907" t="s">
        <v>279</v>
      </c>
      <c r="E10753" s="992" t="s">
        <v>5983</v>
      </c>
      <c r="F10753" s="905" t="s">
        <v>3144</v>
      </c>
      <c r="G10753" s="1005"/>
      <c r="H10753" s="911">
        <v>0.5</v>
      </c>
      <c r="I10753" s="912">
        <f>VLOOKUP(E10753,[3]VLP!$B$7:$K$300,10,0)</f>
        <v>14000</v>
      </c>
      <c r="J10753" s="912">
        <f>I10753*H10753</f>
        <v>7000</v>
      </c>
      <c r="K10753" s="912" t="s">
        <v>274</v>
      </c>
      <c r="L10753" s="912"/>
      <c r="M10753" s="912"/>
      <c r="N10753" s="912"/>
      <c r="O10753" s="892">
        <f t="shared" si="868"/>
        <v>0</v>
      </c>
      <c r="P10753" s="903">
        <f t="shared" si="869"/>
        <v>1</v>
      </c>
      <c r="Q10753" s="893">
        <f t="shared" si="870"/>
        <v>9</v>
      </c>
      <c r="R10753" s="894">
        <f t="shared" si="871"/>
        <v>0</v>
      </c>
    </row>
    <row r="10754" spans="1:18" s="847" customFormat="1">
      <c r="A10754" s="905"/>
      <c r="B10754" s="952"/>
      <c r="C10754" s="907">
        <v>317</v>
      </c>
      <c r="D10754" s="907" t="s">
        <v>279</v>
      </c>
      <c r="E10754" s="992" t="s">
        <v>3273</v>
      </c>
      <c r="F10754" s="905" t="s">
        <v>45</v>
      </c>
      <c r="G10754" s="1005"/>
      <c r="H10754" s="911">
        <v>0.05</v>
      </c>
      <c r="I10754" s="912">
        <f>VLOOKUP(E10754,[3]VLP!$B$7:$K$300,10,0)</f>
        <v>25000</v>
      </c>
      <c r="J10754" s="912">
        <f>I10754*H10754</f>
        <v>1250</v>
      </c>
      <c r="K10754" s="912" t="s">
        <v>274</v>
      </c>
      <c r="L10754" s="912"/>
      <c r="M10754" s="912"/>
      <c r="N10754" s="912"/>
      <c r="O10754" s="892">
        <f t="shared" si="868"/>
        <v>0</v>
      </c>
      <c r="P10754" s="903">
        <f t="shared" si="869"/>
        <v>1</v>
      </c>
      <c r="Q10754" s="893">
        <f t="shared" si="870"/>
        <v>8</v>
      </c>
      <c r="R10754" s="894">
        <f t="shared" si="871"/>
        <v>0</v>
      </c>
    </row>
    <row r="10755" spans="1:18" s="904" customFormat="1">
      <c r="A10755" s="905"/>
      <c r="B10755" s="952"/>
      <c r="C10755" s="907">
        <v>321</v>
      </c>
      <c r="D10755" s="907" t="s">
        <v>279</v>
      </c>
      <c r="E10755" s="992" t="s">
        <v>6317</v>
      </c>
      <c r="F10755" s="905" t="s">
        <v>45</v>
      </c>
      <c r="G10755" s="1005"/>
      <c r="H10755" s="911">
        <v>0.12</v>
      </c>
      <c r="I10755" s="912">
        <f>VLOOKUP(E10755,[3]VLP!$B$7:$K$300,10,0)</f>
        <v>38182</v>
      </c>
      <c r="J10755" s="912">
        <f>I10755*H10755</f>
        <v>4581.84</v>
      </c>
      <c r="K10755" s="912" t="s">
        <v>274</v>
      </c>
      <c r="L10755" s="912"/>
      <c r="M10755" s="912"/>
      <c r="N10755" s="912"/>
      <c r="O10755" s="892">
        <f t="shared" si="868"/>
        <v>0</v>
      </c>
      <c r="P10755" s="903">
        <f t="shared" si="869"/>
        <v>1</v>
      </c>
      <c r="Q10755" s="893">
        <f t="shared" si="870"/>
        <v>7</v>
      </c>
      <c r="R10755" s="894">
        <f t="shared" si="871"/>
        <v>0</v>
      </c>
    </row>
    <row r="10756" spans="1:18">
      <c r="A10756" s="905"/>
      <c r="B10756" s="952"/>
      <c r="C10756" s="907">
        <v>235</v>
      </c>
      <c r="D10756" s="907" t="s">
        <v>279</v>
      </c>
      <c r="E10756" s="992" t="s">
        <v>2682</v>
      </c>
      <c r="F10756" s="905" t="s">
        <v>45</v>
      </c>
      <c r="G10756" s="1005"/>
      <c r="H10756" s="911">
        <v>0.7</v>
      </c>
      <c r="I10756" s="912">
        <f>VLOOKUP(E10756,[3]VLP!$B$7:$K$300,10,0)</f>
        <v>5000</v>
      </c>
      <c r="J10756" s="912">
        <f>I10756*H10756</f>
        <v>3500</v>
      </c>
      <c r="K10756" s="912" t="s">
        <v>274</v>
      </c>
      <c r="L10756" s="912"/>
      <c r="M10756" s="912"/>
      <c r="N10756" s="912"/>
      <c r="O10756" s="892">
        <f t="shared" si="868"/>
        <v>0</v>
      </c>
      <c r="P10756" s="903">
        <f t="shared" si="869"/>
        <v>1</v>
      </c>
      <c r="Q10756" s="893">
        <f t="shared" si="870"/>
        <v>6</v>
      </c>
      <c r="R10756" s="894">
        <f t="shared" si="871"/>
        <v>0</v>
      </c>
    </row>
    <row r="10757" spans="1:18" s="847" customFormat="1">
      <c r="A10757" s="895"/>
      <c r="B10757" s="896"/>
      <c r="C10757" s="897"/>
      <c r="D10757" s="897"/>
      <c r="E10757" s="1002" t="s">
        <v>276</v>
      </c>
      <c r="F10757" s="1003"/>
      <c r="G10757" s="1004"/>
      <c r="H10757" s="901"/>
      <c r="I10757" s="902"/>
      <c r="J10757" s="902"/>
      <c r="K10757" s="912" t="s">
        <v>274</v>
      </c>
      <c r="L10757" s="902"/>
      <c r="M10757" s="902"/>
      <c r="N10757" s="902"/>
      <c r="O10757" s="892">
        <f t="shared" si="868"/>
        <v>0</v>
      </c>
      <c r="P10757" s="903">
        <f t="shared" si="869"/>
        <v>1</v>
      </c>
      <c r="Q10757" s="893">
        <f t="shared" si="870"/>
        <v>5</v>
      </c>
      <c r="R10757" s="894">
        <f t="shared" si="871"/>
        <v>0</v>
      </c>
    </row>
    <row r="10758" spans="1:18" s="904" customFormat="1">
      <c r="A10758" s="905"/>
      <c r="B10758" s="952"/>
      <c r="C10758" s="907">
        <v>745</v>
      </c>
      <c r="D10758" s="907" t="s">
        <v>12</v>
      </c>
      <c r="E10758" s="992" t="s">
        <v>5518</v>
      </c>
      <c r="F10758" s="905" t="s">
        <v>2674</v>
      </c>
      <c r="G10758" s="1005"/>
      <c r="H10758" s="911">
        <v>2.2799999999999998</v>
      </c>
      <c r="I10758" s="912"/>
      <c r="J10758" s="912"/>
      <c r="K10758" s="912">
        <f>VLOOKUP(E10758,[5]ĐMNC!$A$7:$F$67,4,0)</f>
        <v>240557</v>
      </c>
      <c r="L10758" s="912">
        <f>H10758*K10758</f>
        <v>548469.96</v>
      </c>
      <c r="M10758" s="912"/>
      <c r="N10758" s="912"/>
      <c r="O10758" s="892">
        <f t="shared" si="868"/>
        <v>0</v>
      </c>
      <c r="P10758" s="903">
        <f t="shared" si="869"/>
        <v>1</v>
      </c>
      <c r="Q10758" s="893">
        <f t="shared" si="870"/>
        <v>4</v>
      </c>
      <c r="R10758" s="894">
        <f t="shared" si="871"/>
        <v>0</v>
      </c>
    </row>
    <row r="10759" spans="1:18">
      <c r="A10759" s="895"/>
      <c r="B10759" s="896"/>
      <c r="C10759" s="897"/>
      <c r="D10759" s="897"/>
      <c r="E10759" s="1002" t="s">
        <v>3914</v>
      </c>
      <c r="F10759" s="1003"/>
      <c r="G10759" s="1004"/>
      <c r="H10759" s="901"/>
      <c r="I10759" s="902"/>
      <c r="J10759" s="902"/>
      <c r="K10759" s="912" t="s">
        <v>274</v>
      </c>
      <c r="L10759" s="902"/>
      <c r="M10759" s="902"/>
      <c r="N10759" s="902"/>
      <c r="O10759" s="892">
        <f t="shared" si="868"/>
        <v>0</v>
      </c>
      <c r="P10759" s="903">
        <f t="shared" si="869"/>
        <v>1</v>
      </c>
      <c r="Q10759" s="893">
        <f t="shared" si="870"/>
        <v>3</v>
      </c>
      <c r="R10759" s="894">
        <f t="shared" si="871"/>
        <v>0</v>
      </c>
    </row>
    <row r="10760" spans="1:18" s="847" customFormat="1">
      <c r="A10760" s="905"/>
      <c r="B10760" s="946" t="s">
        <v>6321</v>
      </c>
      <c r="C10760" s="907">
        <v>900</v>
      </c>
      <c r="D10760" s="907" t="s">
        <v>93</v>
      </c>
      <c r="E10760" s="992" t="s">
        <v>6322</v>
      </c>
      <c r="F10760" s="905" t="s">
        <v>2673</v>
      </c>
      <c r="G10760" s="1005"/>
      <c r="H10760" s="911">
        <v>0.12</v>
      </c>
      <c r="I10760" s="912"/>
      <c r="J10760" s="912"/>
      <c r="K10760" s="912"/>
      <c r="L10760" s="912"/>
      <c r="M10760" s="912">
        <f>VLOOKUP(B10760,MTC!$B$9:$S$933,12,0)</f>
        <v>1475268</v>
      </c>
      <c r="N10760" s="912">
        <f>M10760*H10760</f>
        <v>177032.16</v>
      </c>
      <c r="O10760" s="892">
        <f t="shared" si="868"/>
        <v>0</v>
      </c>
      <c r="P10760" s="903">
        <f t="shared" si="869"/>
        <v>1</v>
      </c>
      <c r="Q10760" s="893">
        <f t="shared" si="870"/>
        <v>2</v>
      </c>
      <c r="R10760" s="894">
        <f t="shared" si="871"/>
        <v>0</v>
      </c>
    </row>
    <row r="10761" spans="1:18" s="904" customFormat="1">
      <c r="A10761" s="905"/>
      <c r="B10761" s="1015" t="s">
        <v>6728</v>
      </c>
      <c r="C10761" s="907">
        <v>999</v>
      </c>
      <c r="D10761" s="907" t="s">
        <v>93</v>
      </c>
      <c r="E10761" s="992" t="s">
        <v>6729</v>
      </c>
      <c r="F10761" s="905" t="s">
        <v>4007</v>
      </c>
      <c r="G10761" s="1005"/>
      <c r="H10761" s="911">
        <v>3</v>
      </c>
      <c r="I10761" s="912"/>
      <c r="J10761" s="912"/>
      <c r="K10761" s="912"/>
      <c r="L10761" s="912"/>
      <c r="M10761" s="912">
        <f>VLOOKUP(B10761,MTC!$B$9:$S$933,12,0)</f>
        <v>0</v>
      </c>
      <c r="N10761" s="912">
        <f>M10761*H10761</f>
        <v>0</v>
      </c>
      <c r="O10761" s="892">
        <f t="shared" si="868"/>
        <v>0</v>
      </c>
      <c r="P10761" s="903">
        <f t="shared" si="869"/>
        <v>1</v>
      </c>
      <c r="Q10761" s="893">
        <f t="shared" si="870"/>
        <v>1</v>
      </c>
      <c r="R10761" s="894">
        <f t="shared" si="871"/>
        <v>0</v>
      </c>
    </row>
    <row r="10762" spans="1:18">
      <c r="A10762" s="905">
        <v>194</v>
      </c>
      <c r="B10762" s="914" t="s">
        <v>6747</v>
      </c>
      <c r="C10762" s="915"/>
      <c r="D10762" s="915"/>
      <c r="E10762" s="1006" t="s">
        <v>6748</v>
      </c>
      <c r="F10762" s="917" t="s">
        <v>139</v>
      </c>
      <c r="G10762" s="1008"/>
      <c r="H10762" s="919"/>
      <c r="I10762" s="920"/>
      <c r="J10762" s="962">
        <f>SUM(J10763:J10772)</f>
        <v>16331.84</v>
      </c>
      <c r="K10762" s="891" t="s">
        <v>274</v>
      </c>
      <c r="L10762" s="962">
        <f>SUM(L10763:L10772)</f>
        <v>1029583.9600000001</v>
      </c>
      <c r="M10762" s="962"/>
      <c r="N10762" s="962">
        <f>SUM(N10763:N10772)</f>
        <v>236091.96</v>
      </c>
      <c r="O10762" s="892">
        <f t="shared" si="868"/>
        <v>1</v>
      </c>
      <c r="P10762" s="903">
        <f t="shared" si="869"/>
        <v>0</v>
      </c>
      <c r="Q10762" s="893">
        <f t="shared" si="870"/>
        <v>0</v>
      </c>
      <c r="R10762" s="894">
        <f t="shared" si="871"/>
        <v>10</v>
      </c>
    </row>
    <row r="10763" spans="1:18" s="847" customFormat="1">
      <c r="A10763" s="895"/>
      <c r="B10763" s="896"/>
      <c r="C10763" s="897"/>
      <c r="D10763" s="897"/>
      <c r="E10763" s="1002" t="s">
        <v>108</v>
      </c>
      <c r="F10763" s="1003"/>
      <c r="G10763" s="1004"/>
      <c r="H10763" s="901"/>
      <c r="I10763" s="902"/>
      <c r="J10763" s="902"/>
      <c r="K10763" s="912" t="s">
        <v>274</v>
      </c>
      <c r="L10763" s="902"/>
      <c r="M10763" s="902"/>
      <c r="N10763" s="902"/>
      <c r="O10763" s="892">
        <f t="shared" si="868"/>
        <v>0</v>
      </c>
      <c r="P10763" s="903">
        <f t="shared" si="869"/>
        <v>1</v>
      </c>
      <c r="Q10763" s="893">
        <f t="shared" si="870"/>
        <v>10</v>
      </c>
      <c r="R10763" s="894">
        <f t="shared" si="871"/>
        <v>0</v>
      </c>
    </row>
    <row r="10764" spans="1:18" s="904" customFormat="1">
      <c r="A10764" s="905"/>
      <c r="B10764" s="952"/>
      <c r="C10764" s="907">
        <v>234</v>
      </c>
      <c r="D10764" s="907" t="s">
        <v>279</v>
      </c>
      <c r="E10764" s="992" t="s">
        <v>5983</v>
      </c>
      <c r="F10764" s="905" t="s">
        <v>3144</v>
      </c>
      <c r="G10764" s="1005"/>
      <c r="H10764" s="911">
        <v>0.5</v>
      </c>
      <c r="I10764" s="912">
        <f>VLOOKUP(E10764,[3]VLP!$B$7:$K$300,10,0)</f>
        <v>14000</v>
      </c>
      <c r="J10764" s="912">
        <f>I10764*H10764</f>
        <v>7000</v>
      </c>
      <c r="K10764" s="912" t="s">
        <v>274</v>
      </c>
      <c r="L10764" s="912"/>
      <c r="M10764" s="912"/>
      <c r="N10764" s="912"/>
      <c r="O10764" s="892">
        <f t="shared" si="868"/>
        <v>0</v>
      </c>
      <c r="P10764" s="903">
        <f t="shared" si="869"/>
        <v>1</v>
      </c>
      <c r="Q10764" s="893">
        <f t="shared" si="870"/>
        <v>9</v>
      </c>
      <c r="R10764" s="894">
        <f t="shared" si="871"/>
        <v>0</v>
      </c>
    </row>
    <row r="10765" spans="1:18">
      <c r="A10765" s="905"/>
      <c r="B10765" s="952"/>
      <c r="C10765" s="907">
        <v>317</v>
      </c>
      <c r="D10765" s="907" t="s">
        <v>279</v>
      </c>
      <c r="E10765" s="992" t="s">
        <v>3273</v>
      </c>
      <c r="F10765" s="905" t="s">
        <v>45</v>
      </c>
      <c r="G10765" s="1005"/>
      <c r="H10765" s="911">
        <v>0.05</v>
      </c>
      <c r="I10765" s="912">
        <f>VLOOKUP(E10765,[3]VLP!$B$7:$K$300,10,0)</f>
        <v>25000</v>
      </c>
      <c r="J10765" s="912">
        <f>I10765*H10765</f>
        <v>1250</v>
      </c>
      <c r="K10765" s="912" t="s">
        <v>274</v>
      </c>
      <c r="L10765" s="912"/>
      <c r="M10765" s="912"/>
      <c r="N10765" s="912"/>
      <c r="O10765" s="892">
        <f t="shared" si="868"/>
        <v>0</v>
      </c>
      <c r="P10765" s="903">
        <f t="shared" si="869"/>
        <v>1</v>
      </c>
      <c r="Q10765" s="893">
        <f t="shared" si="870"/>
        <v>8</v>
      </c>
      <c r="R10765" s="894">
        <f t="shared" si="871"/>
        <v>0</v>
      </c>
    </row>
    <row r="10766" spans="1:18" s="847" customFormat="1">
      <c r="A10766" s="905"/>
      <c r="B10766" s="952"/>
      <c r="C10766" s="907">
        <v>321</v>
      </c>
      <c r="D10766" s="907" t="s">
        <v>279</v>
      </c>
      <c r="E10766" s="992" t="s">
        <v>6317</v>
      </c>
      <c r="F10766" s="905" t="s">
        <v>45</v>
      </c>
      <c r="G10766" s="1005"/>
      <c r="H10766" s="911">
        <v>0.12</v>
      </c>
      <c r="I10766" s="912">
        <f>VLOOKUP(E10766,[3]VLP!$B$7:$K$300,10,0)</f>
        <v>38182</v>
      </c>
      <c r="J10766" s="912">
        <f>I10766*H10766</f>
        <v>4581.84</v>
      </c>
      <c r="K10766" s="912" t="s">
        <v>274</v>
      </c>
      <c r="L10766" s="912"/>
      <c r="M10766" s="912"/>
      <c r="N10766" s="912"/>
      <c r="O10766" s="892">
        <f t="shared" si="868"/>
        <v>0</v>
      </c>
      <c r="P10766" s="903">
        <f t="shared" si="869"/>
        <v>1</v>
      </c>
      <c r="Q10766" s="893">
        <f t="shared" si="870"/>
        <v>7</v>
      </c>
      <c r="R10766" s="894">
        <f t="shared" si="871"/>
        <v>0</v>
      </c>
    </row>
    <row r="10767" spans="1:18" s="904" customFormat="1">
      <c r="A10767" s="905"/>
      <c r="B10767" s="952"/>
      <c r="C10767" s="907">
        <v>235</v>
      </c>
      <c r="D10767" s="907" t="s">
        <v>279</v>
      </c>
      <c r="E10767" s="992" t="s">
        <v>2682</v>
      </c>
      <c r="F10767" s="905" t="s">
        <v>45</v>
      </c>
      <c r="G10767" s="1005"/>
      <c r="H10767" s="911">
        <v>0.7</v>
      </c>
      <c r="I10767" s="912">
        <f>VLOOKUP(E10767,[3]VLP!$B$7:$K$300,10,0)</f>
        <v>5000</v>
      </c>
      <c r="J10767" s="912">
        <f>I10767*H10767</f>
        <v>3500</v>
      </c>
      <c r="K10767" s="912" t="s">
        <v>274</v>
      </c>
      <c r="L10767" s="912"/>
      <c r="M10767" s="912"/>
      <c r="N10767" s="912"/>
      <c r="O10767" s="892">
        <f t="shared" si="868"/>
        <v>0</v>
      </c>
      <c r="P10767" s="903">
        <f t="shared" si="869"/>
        <v>1</v>
      </c>
      <c r="Q10767" s="893">
        <f t="shared" si="870"/>
        <v>6</v>
      </c>
      <c r="R10767" s="894">
        <f t="shared" si="871"/>
        <v>0</v>
      </c>
    </row>
    <row r="10768" spans="1:18">
      <c r="A10768" s="895"/>
      <c r="B10768" s="896"/>
      <c r="C10768" s="897"/>
      <c r="D10768" s="897"/>
      <c r="E10768" s="1002" t="s">
        <v>276</v>
      </c>
      <c r="F10768" s="1003"/>
      <c r="G10768" s="1004"/>
      <c r="H10768" s="901"/>
      <c r="I10768" s="902"/>
      <c r="J10768" s="902"/>
      <c r="K10768" s="912" t="s">
        <v>274</v>
      </c>
      <c r="L10768" s="902"/>
      <c r="M10768" s="902"/>
      <c r="N10768" s="902"/>
      <c r="O10768" s="892">
        <f t="shared" si="868"/>
        <v>0</v>
      </c>
      <c r="P10768" s="903">
        <f t="shared" si="869"/>
        <v>1</v>
      </c>
      <c r="Q10768" s="893">
        <f t="shared" si="870"/>
        <v>5</v>
      </c>
      <c r="R10768" s="894">
        <f t="shared" si="871"/>
        <v>0</v>
      </c>
    </row>
    <row r="10769" spans="1:18" s="847" customFormat="1">
      <c r="A10769" s="905"/>
      <c r="B10769" s="952"/>
      <c r="C10769" s="907">
        <v>745</v>
      </c>
      <c r="D10769" s="907" t="s">
        <v>12</v>
      </c>
      <c r="E10769" s="992" t="s">
        <v>5518</v>
      </c>
      <c r="F10769" s="905" t="s">
        <v>2674</v>
      </c>
      <c r="G10769" s="1005"/>
      <c r="H10769" s="911">
        <v>4.28</v>
      </c>
      <c r="I10769" s="912"/>
      <c r="J10769" s="912"/>
      <c r="K10769" s="912">
        <f>VLOOKUP(E10769,[5]ĐMNC!$A$7:$F$67,4,0)</f>
        <v>240557</v>
      </c>
      <c r="L10769" s="912">
        <f>H10769*K10769</f>
        <v>1029583.9600000001</v>
      </c>
      <c r="M10769" s="912"/>
      <c r="N10769" s="912"/>
      <c r="O10769" s="892">
        <f t="shared" si="868"/>
        <v>0</v>
      </c>
      <c r="P10769" s="903">
        <f t="shared" si="869"/>
        <v>1</v>
      </c>
      <c r="Q10769" s="893">
        <f t="shared" si="870"/>
        <v>4</v>
      </c>
      <c r="R10769" s="894">
        <f t="shared" si="871"/>
        <v>0</v>
      </c>
    </row>
    <row r="10770" spans="1:18" s="904" customFormat="1">
      <c r="A10770" s="895"/>
      <c r="B10770" s="896"/>
      <c r="C10770" s="897"/>
      <c r="D10770" s="897"/>
      <c r="E10770" s="1002" t="s">
        <v>3914</v>
      </c>
      <c r="F10770" s="1003"/>
      <c r="G10770" s="1004"/>
      <c r="H10770" s="901"/>
      <c r="I10770" s="902"/>
      <c r="J10770" s="902"/>
      <c r="K10770" s="912" t="s">
        <v>274</v>
      </c>
      <c r="L10770" s="902"/>
      <c r="M10770" s="902"/>
      <c r="N10770" s="902"/>
      <c r="O10770" s="892">
        <f t="shared" si="868"/>
        <v>0</v>
      </c>
      <c r="P10770" s="903">
        <f t="shared" si="869"/>
        <v>1</v>
      </c>
      <c r="Q10770" s="893">
        <f t="shared" si="870"/>
        <v>3</v>
      </c>
      <c r="R10770" s="894">
        <f t="shared" si="871"/>
        <v>0</v>
      </c>
    </row>
    <row r="10771" spans="1:18">
      <c r="A10771" s="905"/>
      <c r="B10771" s="952" t="s">
        <v>6332</v>
      </c>
      <c r="C10771" s="907">
        <v>901</v>
      </c>
      <c r="D10771" s="907" t="s">
        <v>93</v>
      </c>
      <c r="E10771" s="992" t="s">
        <v>6333</v>
      </c>
      <c r="F10771" s="905" t="s">
        <v>2673</v>
      </c>
      <c r="G10771" s="1005"/>
      <c r="H10771" s="911">
        <v>0.12</v>
      </c>
      <c r="I10771" s="912"/>
      <c r="J10771" s="912"/>
      <c r="K10771" s="912"/>
      <c r="L10771" s="912"/>
      <c r="M10771" s="912">
        <f>VLOOKUP(B10771,MTC!$B$9:$S$933,12,0)</f>
        <v>1967433</v>
      </c>
      <c r="N10771" s="912">
        <f>M10771*H10771</f>
        <v>236091.96</v>
      </c>
      <c r="O10771" s="892">
        <f t="shared" si="868"/>
        <v>0</v>
      </c>
      <c r="P10771" s="903">
        <f t="shared" si="869"/>
        <v>1</v>
      </c>
      <c r="Q10771" s="893">
        <f t="shared" si="870"/>
        <v>2</v>
      </c>
      <c r="R10771" s="894">
        <f t="shared" si="871"/>
        <v>0</v>
      </c>
    </row>
    <row r="10772" spans="1:18" s="847" customFormat="1">
      <c r="A10772" s="905"/>
      <c r="B10772" s="1015" t="s">
        <v>6728</v>
      </c>
      <c r="C10772" s="907">
        <v>999</v>
      </c>
      <c r="D10772" s="907" t="s">
        <v>93</v>
      </c>
      <c r="E10772" s="992" t="s">
        <v>6729</v>
      </c>
      <c r="F10772" s="905" t="s">
        <v>4007</v>
      </c>
      <c r="G10772" s="1005"/>
      <c r="H10772" s="911">
        <v>3</v>
      </c>
      <c r="I10772" s="912"/>
      <c r="J10772" s="912"/>
      <c r="K10772" s="912"/>
      <c r="L10772" s="912"/>
      <c r="M10772" s="912">
        <f>VLOOKUP(B10772,MTC!$B$9:$S$933,12,0)</f>
        <v>0</v>
      </c>
      <c r="N10772" s="912">
        <f>M10772*H10772</f>
        <v>0</v>
      </c>
      <c r="O10772" s="892">
        <f t="shared" si="868"/>
        <v>0</v>
      </c>
      <c r="P10772" s="903">
        <f t="shared" si="869"/>
        <v>1</v>
      </c>
      <c r="Q10772" s="893">
        <f t="shared" si="870"/>
        <v>1</v>
      </c>
      <c r="R10772" s="894">
        <f t="shared" si="871"/>
        <v>0</v>
      </c>
    </row>
    <row r="10773" spans="1:18" s="904" customFormat="1">
      <c r="A10773" s="905">
        <v>195</v>
      </c>
      <c r="B10773" s="914" t="s">
        <v>6749</v>
      </c>
      <c r="C10773" s="915"/>
      <c r="D10773" s="915"/>
      <c r="E10773" s="1006" t="s">
        <v>6750</v>
      </c>
      <c r="F10773" s="917" t="s">
        <v>139</v>
      </c>
      <c r="G10773" s="1008"/>
      <c r="H10773" s="919"/>
      <c r="I10773" s="920"/>
      <c r="J10773" s="962">
        <f>SUM(J10774:J10783)</f>
        <v>16331.84</v>
      </c>
      <c r="K10773" s="891" t="s">
        <v>274</v>
      </c>
      <c r="L10773" s="962">
        <f>SUM(L10774:L10783)</f>
        <v>1236462.98</v>
      </c>
      <c r="M10773" s="962"/>
      <c r="N10773" s="962">
        <f>SUM(N10774:N10783)</f>
        <v>236091.96</v>
      </c>
      <c r="O10773" s="892">
        <f t="shared" si="868"/>
        <v>1</v>
      </c>
      <c r="P10773" s="903">
        <f t="shared" si="869"/>
        <v>0</v>
      </c>
      <c r="Q10773" s="893">
        <f t="shared" si="870"/>
        <v>0</v>
      </c>
      <c r="R10773" s="894">
        <f t="shared" si="871"/>
        <v>10</v>
      </c>
    </row>
    <row r="10774" spans="1:18">
      <c r="A10774" s="895"/>
      <c r="B10774" s="896"/>
      <c r="C10774" s="897"/>
      <c r="D10774" s="897"/>
      <c r="E10774" s="1002" t="s">
        <v>108</v>
      </c>
      <c r="F10774" s="1003"/>
      <c r="G10774" s="1004"/>
      <c r="H10774" s="901"/>
      <c r="I10774" s="902"/>
      <c r="J10774" s="902"/>
      <c r="K10774" s="912" t="s">
        <v>274</v>
      </c>
      <c r="L10774" s="902"/>
      <c r="M10774" s="902"/>
      <c r="N10774" s="902"/>
      <c r="O10774" s="892">
        <f t="shared" si="868"/>
        <v>0</v>
      </c>
      <c r="P10774" s="903">
        <f t="shared" si="869"/>
        <v>1</v>
      </c>
      <c r="Q10774" s="893">
        <f t="shared" si="870"/>
        <v>10</v>
      </c>
      <c r="R10774" s="894">
        <f t="shared" si="871"/>
        <v>0</v>
      </c>
    </row>
    <row r="10775" spans="1:18" s="847" customFormat="1">
      <c r="A10775" s="905"/>
      <c r="B10775" s="952"/>
      <c r="C10775" s="907">
        <v>234</v>
      </c>
      <c r="D10775" s="907" t="s">
        <v>279</v>
      </c>
      <c r="E10775" s="992" t="s">
        <v>5983</v>
      </c>
      <c r="F10775" s="905" t="s">
        <v>3144</v>
      </c>
      <c r="G10775" s="1005"/>
      <c r="H10775" s="911">
        <v>0.5</v>
      </c>
      <c r="I10775" s="912">
        <f>VLOOKUP(E10775,[3]VLP!$B$7:$K$300,10,0)</f>
        <v>14000</v>
      </c>
      <c r="J10775" s="912">
        <f>I10775*H10775</f>
        <v>7000</v>
      </c>
      <c r="K10775" s="912" t="s">
        <v>274</v>
      </c>
      <c r="L10775" s="912"/>
      <c r="M10775" s="912"/>
      <c r="N10775" s="912"/>
      <c r="O10775" s="892">
        <f t="shared" si="868"/>
        <v>0</v>
      </c>
      <c r="P10775" s="903">
        <f t="shared" si="869"/>
        <v>1</v>
      </c>
      <c r="Q10775" s="893">
        <f t="shared" si="870"/>
        <v>9</v>
      </c>
      <c r="R10775" s="894">
        <f t="shared" si="871"/>
        <v>0</v>
      </c>
    </row>
    <row r="10776" spans="1:18" s="904" customFormat="1">
      <c r="A10776" s="905"/>
      <c r="B10776" s="952"/>
      <c r="C10776" s="907">
        <v>317</v>
      </c>
      <c r="D10776" s="907" t="s">
        <v>279</v>
      </c>
      <c r="E10776" s="992" t="s">
        <v>3273</v>
      </c>
      <c r="F10776" s="905" t="s">
        <v>45</v>
      </c>
      <c r="G10776" s="1005"/>
      <c r="H10776" s="911">
        <v>0.05</v>
      </c>
      <c r="I10776" s="912">
        <f>VLOOKUP(E10776,[3]VLP!$B$7:$K$300,10,0)</f>
        <v>25000</v>
      </c>
      <c r="J10776" s="912">
        <f>I10776*H10776</f>
        <v>1250</v>
      </c>
      <c r="K10776" s="912" t="s">
        <v>274</v>
      </c>
      <c r="L10776" s="912"/>
      <c r="M10776" s="912"/>
      <c r="N10776" s="912"/>
      <c r="O10776" s="892">
        <f t="shared" si="868"/>
        <v>0</v>
      </c>
      <c r="P10776" s="903">
        <f t="shared" si="869"/>
        <v>1</v>
      </c>
      <c r="Q10776" s="893">
        <f t="shared" si="870"/>
        <v>8</v>
      </c>
      <c r="R10776" s="894">
        <f t="shared" si="871"/>
        <v>0</v>
      </c>
    </row>
    <row r="10777" spans="1:18">
      <c r="A10777" s="905"/>
      <c r="B10777" s="952"/>
      <c r="C10777" s="907">
        <v>321</v>
      </c>
      <c r="D10777" s="907" t="s">
        <v>279</v>
      </c>
      <c r="E10777" s="992" t="s">
        <v>6317</v>
      </c>
      <c r="F10777" s="905" t="s">
        <v>45</v>
      </c>
      <c r="G10777" s="1005"/>
      <c r="H10777" s="911">
        <v>0.12</v>
      </c>
      <c r="I10777" s="912">
        <f>VLOOKUP(E10777,[3]VLP!$B$7:$K$300,10,0)</f>
        <v>38182</v>
      </c>
      <c r="J10777" s="912">
        <f>I10777*H10777</f>
        <v>4581.84</v>
      </c>
      <c r="K10777" s="912" t="s">
        <v>274</v>
      </c>
      <c r="L10777" s="912"/>
      <c r="M10777" s="912"/>
      <c r="N10777" s="912"/>
      <c r="O10777" s="892">
        <f t="shared" si="868"/>
        <v>0</v>
      </c>
      <c r="P10777" s="903">
        <f t="shared" si="869"/>
        <v>1</v>
      </c>
      <c r="Q10777" s="893">
        <f t="shared" si="870"/>
        <v>7</v>
      </c>
      <c r="R10777" s="894">
        <f t="shared" si="871"/>
        <v>0</v>
      </c>
    </row>
    <row r="10778" spans="1:18" s="847" customFormat="1">
      <c r="A10778" s="905"/>
      <c r="B10778" s="952"/>
      <c r="C10778" s="907">
        <v>235</v>
      </c>
      <c r="D10778" s="907" t="s">
        <v>279</v>
      </c>
      <c r="E10778" s="992" t="s">
        <v>2682</v>
      </c>
      <c r="F10778" s="905" t="s">
        <v>45</v>
      </c>
      <c r="G10778" s="1005"/>
      <c r="H10778" s="911">
        <v>0.7</v>
      </c>
      <c r="I10778" s="912">
        <f>VLOOKUP(E10778,[3]VLP!$B$7:$K$300,10,0)</f>
        <v>5000</v>
      </c>
      <c r="J10778" s="912">
        <f>I10778*H10778</f>
        <v>3500</v>
      </c>
      <c r="K10778" s="912" t="s">
        <v>274</v>
      </c>
      <c r="L10778" s="912"/>
      <c r="M10778" s="912"/>
      <c r="N10778" s="912"/>
      <c r="O10778" s="892">
        <f t="shared" si="868"/>
        <v>0</v>
      </c>
      <c r="P10778" s="903">
        <f t="shared" si="869"/>
        <v>1</v>
      </c>
      <c r="Q10778" s="893">
        <f t="shared" si="870"/>
        <v>6</v>
      </c>
      <c r="R10778" s="894">
        <f t="shared" si="871"/>
        <v>0</v>
      </c>
    </row>
    <row r="10779" spans="1:18" s="904" customFormat="1">
      <c r="A10779" s="895"/>
      <c r="B10779" s="896"/>
      <c r="C10779" s="897"/>
      <c r="D10779" s="897"/>
      <c r="E10779" s="1002" t="s">
        <v>276</v>
      </c>
      <c r="F10779" s="1003"/>
      <c r="G10779" s="1004"/>
      <c r="H10779" s="901"/>
      <c r="I10779" s="902"/>
      <c r="J10779" s="902"/>
      <c r="K10779" s="912" t="s">
        <v>274</v>
      </c>
      <c r="L10779" s="902"/>
      <c r="M10779" s="902"/>
      <c r="N10779" s="902"/>
      <c r="O10779" s="892">
        <f t="shared" si="868"/>
        <v>0</v>
      </c>
      <c r="P10779" s="903">
        <f t="shared" si="869"/>
        <v>1</v>
      </c>
      <c r="Q10779" s="893">
        <f t="shared" si="870"/>
        <v>5</v>
      </c>
      <c r="R10779" s="894">
        <f t="shared" si="871"/>
        <v>0</v>
      </c>
    </row>
    <row r="10780" spans="1:18">
      <c r="A10780" s="905"/>
      <c r="B10780" s="952"/>
      <c r="C10780" s="907">
        <v>745</v>
      </c>
      <c r="D10780" s="907" t="s">
        <v>12</v>
      </c>
      <c r="E10780" s="992" t="s">
        <v>5518</v>
      </c>
      <c r="F10780" s="905" t="s">
        <v>2674</v>
      </c>
      <c r="G10780" s="1005"/>
      <c r="H10780" s="911">
        <v>5.14</v>
      </c>
      <c r="I10780" s="912"/>
      <c r="J10780" s="912"/>
      <c r="K10780" s="912">
        <f>VLOOKUP(E10780,[5]ĐMNC!$A$7:$F$67,4,0)</f>
        <v>240557</v>
      </c>
      <c r="L10780" s="912">
        <f>H10780*K10780</f>
        <v>1236462.98</v>
      </c>
      <c r="M10780" s="912"/>
      <c r="N10780" s="912"/>
      <c r="O10780" s="892">
        <f t="shared" si="868"/>
        <v>0</v>
      </c>
      <c r="P10780" s="903">
        <f t="shared" si="869"/>
        <v>1</v>
      </c>
      <c r="Q10780" s="893">
        <f t="shared" si="870"/>
        <v>4</v>
      </c>
      <c r="R10780" s="894">
        <f t="shared" si="871"/>
        <v>0</v>
      </c>
    </row>
    <row r="10781" spans="1:18" s="847" customFormat="1">
      <c r="A10781" s="895"/>
      <c r="B10781" s="896"/>
      <c r="C10781" s="897"/>
      <c r="D10781" s="897"/>
      <c r="E10781" s="1002" t="s">
        <v>3914</v>
      </c>
      <c r="F10781" s="1003"/>
      <c r="G10781" s="1004"/>
      <c r="H10781" s="901"/>
      <c r="I10781" s="902"/>
      <c r="J10781" s="902"/>
      <c r="K10781" s="912" t="s">
        <v>274</v>
      </c>
      <c r="L10781" s="902"/>
      <c r="M10781" s="902"/>
      <c r="N10781" s="902"/>
      <c r="O10781" s="892">
        <f t="shared" si="868"/>
        <v>0</v>
      </c>
      <c r="P10781" s="903">
        <f t="shared" si="869"/>
        <v>1</v>
      </c>
      <c r="Q10781" s="893">
        <f t="shared" si="870"/>
        <v>3</v>
      </c>
      <c r="R10781" s="894">
        <f t="shared" si="871"/>
        <v>0</v>
      </c>
    </row>
    <row r="10782" spans="1:18" s="904" customFormat="1">
      <c r="A10782" s="905"/>
      <c r="B10782" s="952" t="s">
        <v>6332</v>
      </c>
      <c r="C10782" s="907">
        <v>901</v>
      </c>
      <c r="D10782" s="907" t="s">
        <v>93</v>
      </c>
      <c r="E10782" s="992" t="s">
        <v>6333</v>
      </c>
      <c r="F10782" s="905" t="s">
        <v>2673</v>
      </c>
      <c r="G10782" s="1005"/>
      <c r="H10782" s="911">
        <v>0.12</v>
      </c>
      <c r="I10782" s="912"/>
      <c r="J10782" s="912"/>
      <c r="K10782" s="912"/>
      <c r="L10782" s="912"/>
      <c r="M10782" s="912">
        <f>VLOOKUP(B10782,MTC!$B$9:$S$933,12,0)</f>
        <v>1967433</v>
      </c>
      <c r="N10782" s="912">
        <f>M10782*H10782</f>
        <v>236091.96</v>
      </c>
      <c r="O10782" s="892">
        <f t="shared" si="868"/>
        <v>0</v>
      </c>
      <c r="P10782" s="903">
        <f t="shared" si="869"/>
        <v>1</v>
      </c>
      <c r="Q10782" s="893">
        <f t="shared" si="870"/>
        <v>2</v>
      </c>
      <c r="R10782" s="894">
        <f t="shared" si="871"/>
        <v>0</v>
      </c>
    </row>
    <row r="10783" spans="1:18">
      <c r="A10783" s="905"/>
      <c r="B10783" s="1015" t="s">
        <v>6728</v>
      </c>
      <c r="C10783" s="907">
        <v>999</v>
      </c>
      <c r="D10783" s="907" t="s">
        <v>93</v>
      </c>
      <c r="E10783" s="992" t="s">
        <v>6729</v>
      </c>
      <c r="F10783" s="905" t="s">
        <v>4007</v>
      </c>
      <c r="G10783" s="1005"/>
      <c r="H10783" s="911">
        <v>3</v>
      </c>
      <c r="I10783" s="912"/>
      <c r="J10783" s="912"/>
      <c r="K10783" s="912"/>
      <c r="L10783" s="912"/>
      <c r="M10783" s="912">
        <f>VLOOKUP(B10783,MTC!$B$9:$S$933,12,0)</f>
        <v>0</v>
      </c>
      <c r="N10783" s="912">
        <f>M10783*H10783</f>
        <v>0</v>
      </c>
      <c r="O10783" s="892">
        <f t="shared" ref="O10783:O10846" si="872">IF(AND(B10783&lt;&gt;"",D10783=""),1,0)</f>
        <v>0</v>
      </c>
      <c r="P10783" s="903">
        <f t="shared" si="869"/>
        <v>1</v>
      </c>
      <c r="Q10783" s="893">
        <f t="shared" si="870"/>
        <v>1</v>
      </c>
      <c r="R10783" s="894">
        <f t="shared" si="871"/>
        <v>0</v>
      </c>
    </row>
    <row r="10784" spans="1:18">
      <c r="A10784" s="905">
        <v>196</v>
      </c>
      <c r="B10784" s="914" t="s">
        <v>6751</v>
      </c>
      <c r="C10784" s="915"/>
      <c r="D10784" s="915"/>
      <c r="E10784" s="1006" t="s">
        <v>6752</v>
      </c>
      <c r="F10784" s="917" t="s">
        <v>139</v>
      </c>
      <c r="G10784" s="1008"/>
      <c r="H10784" s="919"/>
      <c r="I10784" s="920"/>
      <c r="J10784" s="891">
        <f>SUM(J10785:J10791)</f>
        <v>16331.84</v>
      </c>
      <c r="K10784" s="891"/>
      <c r="L10784" s="891">
        <f>SUM(L10785:L10791)</f>
        <v>457058.3</v>
      </c>
      <c r="M10784" s="891"/>
      <c r="N10784" s="891">
        <f>SUM(N10785:N10791)</f>
        <v>0</v>
      </c>
      <c r="O10784" s="892">
        <f t="shared" si="872"/>
        <v>1</v>
      </c>
      <c r="P10784" s="903">
        <f t="shared" si="869"/>
        <v>0</v>
      </c>
      <c r="Q10784" s="893">
        <f t="shared" si="870"/>
        <v>0</v>
      </c>
      <c r="R10784" s="894">
        <f t="shared" si="871"/>
        <v>7</v>
      </c>
    </row>
    <row r="10785" spans="1:18" s="904" customFormat="1">
      <c r="A10785" s="895"/>
      <c r="B10785" s="922"/>
      <c r="C10785" s="897"/>
      <c r="D10785" s="897"/>
      <c r="E10785" s="1002" t="s">
        <v>108</v>
      </c>
      <c r="F10785" s="1003"/>
      <c r="G10785" s="1004"/>
      <c r="H10785" s="901"/>
      <c r="I10785" s="902"/>
      <c r="J10785" s="902"/>
      <c r="K10785" s="912" t="s">
        <v>274</v>
      </c>
      <c r="L10785" s="902"/>
      <c r="M10785" s="902"/>
      <c r="N10785" s="902"/>
      <c r="O10785" s="892">
        <f t="shared" si="872"/>
        <v>0</v>
      </c>
      <c r="P10785" s="903">
        <f t="shared" si="869"/>
        <v>1</v>
      </c>
      <c r="Q10785" s="893">
        <f t="shared" si="870"/>
        <v>7</v>
      </c>
      <c r="R10785" s="894">
        <f t="shared" si="871"/>
        <v>0</v>
      </c>
    </row>
    <row r="10786" spans="1:18">
      <c r="A10786" s="905"/>
      <c r="B10786" s="952"/>
      <c r="C10786" s="907">
        <v>234</v>
      </c>
      <c r="D10786" s="907" t="s">
        <v>279</v>
      </c>
      <c r="E10786" s="992" t="s">
        <v>5983</v>
      </c>
      <c r="F10786" s="905" t="s">
        <v>3144</v>
      </c>
      <c r="G10786" s="1005"/>
      <c r="H10786" s="911">
        <v>0.5</v>
      </c>
      <c r="I10786" s="912">
        <f>VLOOKUP(E10786,[3]VLP!$B$7:$K$300,10,0)</f>
        <v>14000</v>
      </c>
      <c r="J10786" s="912">
        <f>I10786*H10786</f>
        <v>7000</v>
      </c>
      <c r="K10786" s="912" t="s">
        <v>274</v>
      </c>
      <c r="L10786" s="912"/>
      <c r="M10786" s="912"/>
      <c r="N10786" s="912"/>
      <c r="O10786" s="892">
        <f t="shared" si="872"/>
        <v>0</v>
      </c>
      <c r="P10786" s="903">
        <f t="shared" si="869"/>
        <v>1</v>
      </c>
      <c r="Q10786" s="893">
        <f t="shared" si="870"/>
        <v>6</v>
      </c>
      <c r="R10786" s="894">
        <f t="shared" si="871"/>
        <v>0</v>
      </c>
    </row>
    <row r="10787" spans="1:18" s="847" customFormat="1">
      <c r="A10787" s="905"/>
      <c r="B10787" s="952"/>
      <c r="C10787" s="907">
        <v>317</v>
      </c>
      <c r="D10787" s="907" t="s">
        <v>279</v>
      </c>
      <c r="E10787" s="992" t="s">
        <v>3273</v>
      </c>
      <c r="F10787" s="905" t="s">
        <v>45</v>
      </c>
      <c r="G10787" s="1005"/>
      <c r="H10787" s="911">
        <v>0.05</v>
      </c>
      <c r="I10787" s="912">
        <f>VLOOKUP(E10787,[3]VLP!$B$7:$K$300,10,0)</f>
        <v>25000</v>
      </c>
      <c r="J10787" s="912">
        <f>I10787*H10787</f>
        <v>1250</v>
      </c>
      <c r="K10787" s="912" t="s">
        <v>274</v>
      </c>
      <c r="L10787" s="912"/>
      <c r="M10787" s="912"/>
      <c r="N10787" s="912"/>
      <c r="O10787" s="892">
        <f t="shared" si="872"/>
        <v>0</v>
      </c>
      <c r="P10787" s="903">
        <f t="shared" si="869"/>
        <v>1</v>
      </c>
      <c r="Q10787" s="893">
        <f t="shared" si="870"/>
        <v>5</v>
      </c>
      <c r="R10787" s="894">
        <f t="shared" si="871"/>
        <v>0</v>
      </c>
    </row>
    <row r="10788" spans="1:18" s="904" customFormat="1">
      <c r="A10788" s="905"/>
      <c r="B10788" s="952"/>
      <c r="C10788" s="907">
        <v>321</v>
      </c>
      <c r="D10788" s="907" t="s">
        <v>279</v>
      </c>
      <c r="E10788" s="992" t="s">
        <v>6317</v>
      </c>
      <c r="F10788" s="905" t="s">
        <v>45</v>
      </c>
      <c r="G10788" s="1005"/>
      <c r="H10788" s="911">
        <v>0.12</v>
      </c>
      <c r="I10788" s="912">
        <f>VLOOKUP(E10788,[3]VLP!$B$7:$K$300,10,0)</f>
        <v>38182</v>
      </c>
      <c r="J10788" s="912">
        <f>I10788*H10788</f>
        <v>4581.84</v>
      </c>
      <c r="K10788" s="912" t="s">
        <v>274</v>
      </c>
      <c r="L10788" s="912"/>
      <c r="M10788" s="912"/>
      <c r="N10788" s="912"/>
      <c r="O10788" s="892">
        <f t="shared" si="872"/>
        <v>0</v>
      </c>
      <c r="P10788" s="903">
        <f t="shared" si="869"/>
        <v>1</v>
      </c>
      <c r="Q10788" s="893">
        <f t="shared" si="870"/>
        <v>4</v>
      </c>
      <c r="R10788" s="894">
        <f t="shared" si="871"/>
        <v>0</v>
      </c>
    </row>
    <row r="10789" spans="1:18">
      <c r="A10789" s="905"/>
      <c r="B10789" s="952"/>
      <c r="C10789" s="907">
        <v>235</v>
      </c>
      <c r="D10789" s="907" t="s">
        <v>279</v>
      </c>
      <c r="E10789" s="992" t="s">
        <v>2682</v>
      </c>
      <c r="F10789" s="905" t="s">
        <v>45</v>
      </c>
      <c r="G10789" s="1005"/>
      <c r="H10789" s="911">
        <v>0.7</v>
      </c>
      <c r="I10789" s="912">
        <f>VLOOKUP(E10789,[3]VLP!$B$7:$K$300,10,0)</f>
        <v>5000</v>
      </c>
      <c r="J10789" s="912">
        <f>I10789*H10789</f>
        <v>3500</v>
      </c>
      <c r="K10789" s="912" t="s">
        <v>274</v>
      </c>
      <c r="L10789" s="912"/>
      <c r="M10789" s="912"/>
      <c r="N10789" s="912"/>
      <c r="O10789" s="892">
        <f t="shared" si="872"/>
        <v>0</v>
      </c>
      <c r="P10789" s="903">
        <f t="shared" si="869"/>
        <v>1</v>
      </c>
      <c r="Q10789" s="893">
        <f t="shared" si="870"/>
        <v>3</v>
      </c>
      <c r="R10789" s="894">
        <f t="shared" si="871"/>
        <v>0</v>
      </c>
    </row>
    <row r="10790" spans="1:18" s="904" customFormat="1">
      <c r="A10790" s="895"/>
      <c r="B10790" s="896"/>
      <c r="C10790" s="897"/>
      <c r="D10790" s="897"/>
      <c r="E10790" s="1002" t="s">
        <v>276</v>
      </c>
      <c r="F10790" s="1003"/>
      <c r="G10790" s="1004"/>
      <c r="H10790" s="901"/>
      <c r="I10790" s="902"/>
      <c r="J10790" s="902"/>
      <c r="K10790" s="912" t="s">
        <v>274</v>
      </c>
      <c r="L10790" s="902"/>
      <c r="M10790" s="902"/>
      <c r="N10790" s="902"/>
      <c r="O10790" s="892">
        <f t="shared" si="872"/>
        <v>0</v>
      </c>
      <c r="P10790" s="903">
        <f t="shared" si="869"/>
        <v>1</v>
      </c>
      <c r="Q10790" s="893">
        <f t="shared" si="870"/>
        <v>2</v>
      </c>
      <c r="R10790" s="894">
        <f t="shared" si="871"/>
        <v>0</v>
      </c>
    </row>
    <row r="10791" spans="1:18">
      <c r="A10791" s="905"/>
      <c r="B10791" s="952"/>
      <c r="C10791" s="907">
        <v>745</v>
      </c>
      <c r="D10791" s="907" t="s">
        <v>12</v>
      </c>
      <c r="E10791" s="992" t="s">
        <v>5518</v>
      </c>
      <c r="F10791" s="905" t="s">
        <v>2674</v>
      </c>
      <c r="G10791" s="1005"/>
      <c r="H10791" s="911">
        <v>1.9</v>
      </c>
      <c r="I10791" s="912"/>
      <c r="J10791" s="912"/>
      <c r="K10791" s="912">
        <f>VLOOKUP(E10791,[5]ĐMNC!$A$7:$F$67,4,0)</f>
        <v>240557</v>
      </c>
      <c r="L10791" s="912">
        <f>H10791*K10791</f>
        <v>457058.3</v>
      </c>
      <c r="M10791" s="912"/>
      <c r="N10791" s="912"/>
      <c r="O10791" s="892">
        <f t="shared" si="872"/>
        <v>0</v>
      </c>
      <c r="P10791" s="903">
        <f t="shared" si="869"/>
        <v>1</v>
      </c>
      <c r="Q10791" s="893">
        <f t="shared" si="870"/>
        <v>1</v>
      </c>
      <c r="R10791" s="894">
        <f t="shared" si="871"/>
        <v>0</v>
      </c>
    </row>
    <row r="10792" spans="1:18" s="847" customFormat="1">
      <c r="A10792" s="905">
        <v>197</v>
      </c>
      <c r="B10792" s="914" t="s">
        <v>6753</v>
      </c>
      <c r="C10792" s="915"/>
      <c r="D10792" s="915"/>
      <c r="E10792" s="1006" t="s">
        <v>6754</v>
      </c>
      <c r="F10792" s="917" t="s">
        <v>139</v>
      </c>
      <c r="G10792" s="1008"/>
      <c r="H10792" s="919"/>
      <c r="I10792" s="920"/>
      <c r="J10792" s="891">
        <f>SUM(J10793:J10799)</f>
        <v>16331.84</v>
      </c>
      <c r="K10792" s="891"/>
      <c r="L10792" s="891">
        <f>SUM(L10793:L10799)</f>
        <v>841949.5</v>
      </c>
      <c r="M10792" s="891"/>
      <c r="N10792" s="891">
        <f>SUM(N10793:N10799)</f>
        <v>0</v>
      </c>
      <c r="O10792" s="892">
        <f t="shared" si="872"/>
        <v>1</v>
      </c>
      <c r="P10792" s="903">
        <f t="shared" si="869"/>
        <v>0</v>
      </c>
      <c r="Q10792" s="893">
        <f t="shared" si="870"/>
        <v>0</v>
      </c>
      <c r="R10792" s="894">
        <f t="shared" si="871"/>
        <v>7</v>
      </c>
    </row>
    <row r="10793" spans="1:18" s="904" customFormat="1">
      <c r="A10793" s="895"/>
      <c r="B10793" s="896"/>
      <c r="C10793" s="897"/>
      <c r="D10793" s="897"/>
      <c r="E10793" s="1002" t="s">
        <v>108</v>
      </c>
      <c r="F10793" s="1003"/>
      <c r="G10793" s="1004"/>
      <c r="H10793" s="901"/>
      <c r="I10793" s="902"/>
      <c r="J10793" s="902"/>
      <c r="K10793" s="912" t="s">
        <v>274</v>
      </c>
      <c r="L10793" s="902"/>
      <c r="M10793" s="902"/>
      <c r="N10793" s="902"/>
      <c r="O10793" s="892">
        <f t="shared" si="872"/>
        <v>0</v>
      </c>
      <c r="P10793" s="903">
        <f t="shared" si="869"/>
        <v>1</v>
      </c>
      <c r="Q10793" s="893">
        <f t="shared" si="870"/>
        <v>7</v>
      </c>
      <c r="R10793" s="894">
        <f t="shared" si="871"/>
        <v>0</v>
      </c>
    </row>
    <row r="10794" spans="1:18">
      <c r="A10794" s="905"/>
      <c r="B10794" s="952"/>
      <c r="C10794" s="907">
        <v>234</v>
      </c>
      <c r="D10794" s="907" t="s">
        <v>279</v>
      </c>
      <c r="E10794" s="992" t="s">
        <v>5983</v>
      </c>
      <c r="F10794" s="905" t="s">
        <v>3144</v>
      </c>
      <c r="G10794" s="1005"/>
      <c r="H10794" s="911">
        <v>0.5</v>
      </c>
      <c r="I10794" s="912">
        <f>VLOOKUP(E10794,[3]VLP!$B$7:$K$300,10,0)</f>
        <v>14000</v>
      </c>
      <c r="J10794" s="912">
        <f>I10794*H10794</f>
        <v>7000</v>
      </c>
      <c r="K10794" s="912" t="s">
        <v>274</v>
      </c>
      <c r="L10794" s="912"/>
      <c r="M10794" s="912"/>
      <c r="N10794" s="912"/>
      <c r="O10794" s="892">
        <f t="shared" si="872"/>
        <v>0</v>
      </c>
      <c r="P10794" s="903">
        <f t="shared" si="869"/>
        <v>1</v>
      </c>
      <c r="Q10794" s="893">
        <f t="shared" si="870"/>
        <v>6</v>
      </c>
      <c r="R10794" s="894">
        <f t="shared" si="871"/>
        <v>0</v>
      </c>
    </row>
    <row r="10795" spans="1:18" s="904" customFormat="1">
      <c r="A10795" s="905"/>
      <c r="B10795" s="1016"/>
      <c r="C10795" s="907">
        <v>317</v>
      </c>
      <c r="D10795" s="907" t="s">
        <v>279</v>
      </c>
      <c r="E10795" s="992" t="s">
        <v>3273</v>
      </c>
      <c r="F10795" s="905" t="s">
        <v>45</v>
      </c>
      <c r="G10795" s="1005"/>
      <c r="H10795" s="911">
        <v>0.05</v>
      </c>
      <c r="I10795" s="912">
        <f>VLOOKUP(E10795,[3]VLP!$B$7:$K$300,10,0)</f>
        <v>25000</v>
      </c>
      <c r="J10795" s="912">
        <f>I10795*H10795</f>
        <v>1250</v>
      </c>
      <c r="K10795" s="912" t="s">
        <v>274</v>
      </c>
      <c r="L10795" s="912"/>
      <c r="M10795" s="912"/>
      <c r="N10795" s="912"/>
      <c r="O10795" s="892">
        <f t="shared" si="872"/>
        <v>0</v>
      </c>
      <c r="P10795" s="903">
        <f t="shared" si="869"/>
        <v>1</v>
      </c>
      <c r="Q10795" s="893">
        <f t="shared" si="870"/>
        <v>5</v>
      </c>
      <c r="R10795" s="894">
        <f t="shared" si="871"/>
        <v>0</v>
      </c>
    </row>
    <row r="10796" spans="1:18">
      <c r="A10796" s="905"/>
      <c r="B10796" s="952"/>
      <c r="C10796" s="907">
        <v>321</v>
      </c>
      <c r="D10796" s="907" t="s">
        <v>279</v>
      </c>
      <c r="E10796" s="992" t="s">
        <v>6317</v>
      </c>
      <c r="F10796" s="905" t="s">
        <v>45</v>
      </c>
      <c r="G10796" s="1005"/>
      <c r="H10796" s="911">
        <v>0.12</v>
      </c>
      <c r="I10796" s="912">
        <f>VLOOKUP(E10796,[3]VLP!$B$7:$K$300,10,0)</f>
        <v>38182</v>
      </c>
      <c r="J10796" s="912">
        <f>I10796*H10796</f>
        <v>4581.84</v>
      </c>
      <c r="K10796" s="912" t="s">
        <v>274</v>
      </c>
      <c r="L10796" s="912"/>
      <c r="M10796" s="912"/>
      <c r="N10796" s="912"/>
      <c r="O10796" s="892">
        <f t="shared" si="872"/>
        <v>0</v>
      </c>
      <c r="P10796" s="903">
        <f t="shared" si="869"/>
        <v>1</v>
      </c>
      <c r="Q10796" s="893">
        <f t="shared" si="870"/>
        <v>4</v>
      </c>
      <c r="R10796" s="894">
        <f t="shared" si="871"/>
        <v>0</v>
      </c>
    </row>
    <row r="10797" spans="1:18" s="847" customFormat="1">
      <c r="A10797" s="905"/>
      <c r="B10797" s="952"/>
      <c r="C10797" s="907">
        <v>235</v>
      </c>
      <c r="D10797" s="907" t="s">
        <v>279</v>
      </c>
      <c r="E10797" s="992" t="s">
        <v>2682</v>
      </c>
      <c r="F10797" s="905" t="s">
        <v>45</v>
      </c>
      <c r="G10797" s="1005"/>
      <c r="H10797" s="911">
        <v>0.7</v>
      </c>
      <c r="I10797" s="912">
        <f>VLOOKUP(E10797,[3]VLP!$B$7:$K$300,10,0)</f>
        <v>5000</v>
      </c>
      <c r="J10797" s="912">
        <f>I10797*H10797</f>
        <v>3500</v>
      </c>
      <c r="K10797" s="912" t="s">
        <v>274</v>
      </c>
      <c r="L10797" s="912"/>
      <c r="M10797" s="912"/>
      <c r="N10797" s="912"/>
      <c r="O10797" s="892">
        <f t="shared" si="872"/>
        <v>0</v>
      </c>
      <c r="P10797" s="903">
        <f t="shared" si="869"/>
        <v>1</v>
      </c>
      <c r="Q10797" s="893">
        <f t="shared" si="870"/>
        <v>3</v>
      </c>
      <c r="R10797" s="894">
        <f t="shared" si="871"/>
        <v>0</v>
      </c>
    </row>
    <row r="10798" spans="1:18" s="904" customFormat="1">
      <c r="A10798" s="895"/>
      <c r="B10798" s="896"/>
      <c r="C10798" s="897"/>
      <c r="D10798" s="897"/>
      <c r="E10798" s="1002" t="s">
        <v>276</v>
      </c>
      <c r="F10798" s="1003"/>
      <c r="G10798" s="1004"/>
      <c r="H10798" s="901"/>
      <c r="I10798" s="902"/>
      <c r="J10798" s="902"/>
      <c r="K10798" s="912" t="s">
        <v>274</v>
      </c>
      <c r="L10798" s="902"/>
      <c r="M10798" s="902"/>
      <c r="N10798" s="902"/>
      <c r="O10798" s="892">
        <f t="shared" si="872"/>
        <v>0</v>
      </c>
      <c r="P10798" s="903">
        <f t="shared" si="869"/>
        <v>1</v>
      </c>
      <c r="Q10798" s="893">
        <f t="shared" si="870"/>
        <v>2</v>
      </c>
      <c r="R10798" s="894">
        <f t="shared" si="871"/>
        <v>0</v>
      </c>
    </row>
    <row r="10799" spans="1:18">
      <c r="A10799" s="905"/>
      <c r="B10799" s="952"/>
      <c r="C10799" s="907">
        <v>745</v>
      </c>
      <c r="D10799" s="907" t="s">
        <v>12</v>
      </c>
      <c r="E10799" s="992" t="s">
        <v>5518</v>
      </c>
      <c r="F10799" s="905" t="s">
        <v>2674</v>
      </c>
      <c r="G10799" s="1005"/>
      <c r="H10799" s="911">
        <v>3.5</v>
      </c>
      <c r="I10799" s="912"/>
      <c r="J10799" s="912"/>
      <c r="K10799" s="912">
        <f>VLOOKUP(E10799,[5]ĐMNC!$A$7:$F$67,4,0)</f>
        <v>240557</v>
      </c>
      <c r="L10799" s="912">
        <f>H10799*K10799</f>
        <v>841949.5</v>
      </c>
      <c r="M10799" s="912"/>
      <c r="N10799" s="912"/>
      <c r="O10799" s="892">
        <f t="shared" si="872"/>
        <v>0</v>
      </c>
      <c r="P10799" s="903">
        <f t="shared" si="869"/>
        <v>1</v>
      </c>
      <c r="Q10799" s="893">
        <f t="shared" si="870"/>
        <v>1</v>
      </c>
      <c r="R10799" s="894">
        <f t="shared" si="871"/>
        <v>0</v>
      </c>
    </row>
    <row r="10800" spans="1:18" s="904" customFormat="1">
      <c r="A10800" s="905">
        <v>198</v>
      </c>
      <c r="B10800" s="914" t="s">
        <v>6755</v>
      </c>
      <c r="C10800" s="915"/>
      <c r="D10800" s="915"/>
      <c r="E10800" s="1006" t="s">
        <v>6756</v>
      </c>
      <c r="F10800" s="917" t="s">
        <v>139</v>
      </c>
      <c r="G10800" s="1008"/>
      <c r="H10800" s="919"/>
      <c r="I10800" s="920"/>
      <c r="J10800" s="891">
        <f>SUM(J10801:J10807)</f>
        <v>16331.84</v>
      </c>
      <c r="K10800" s="891"/>
      <c r="L10800" s="891">
        <f>SUM(L10801:L10807)</f>
        <v>1010339.4</v>
      </c>
      <c r="M10800" s="891"/>
      <c r="N10800" s="891">
        <f>SUM(N10801:N10807)</f>
        <v>0</v>
      </c>
      <c r="O10800" s="892">
        <f t="shared" si="872"/>
        <v>1</v>
      </c>
      <c r="P10800" s="903">
        <f t="shared" si="869"/>
        <v>0</v>
      </c>
      <c r="Q10800" s="893">
        <f t="shared" si="870"/>
        <v>0</v>
      </c>
      <c r="R10800" s="894">
        <f t="shared" si="871"/>
        <v>7</v>
      </c>
    </row>
    <row r="10801" spans="1:18">
      <c r="A10801" s="895"/>
      <c r="B10801" s="896"/>
      <c r="C10801" s="897"/>
      <c r="D10801" s="897"/>
      <c r="E10801" s="1002" t="s">
        <v>108</v>
      </c>
      <c r="F10801" s="1003"/>
      <c r="G10801" s="1004"/>
      <c r="H10801" s="901"/>
      <c r="I10801" s="902"/>
      <c r="J10801" s="902"/>
      <c r="K10801" s="912" t="s">
        <v>274</v>
      </c>
      <c r="L10801" s="902"/>
      <c r="M10801" s="902"/>
      <c r="N10801" s="902"/>
      <c r="O10801" s="892">
        <f t="shared" si="872"/>
        <v>0</v>
      </c>
      <c r="P10801" s="903">
        <f t="shared" si="869"/>
        <v>1</v>
      </c>
      <c r="Q10801" s="893">
        <f t="shared" si="870"/>
        <v>7</v>
      </c>
      <c r="R10801" s="894">
        <f t="shared" si="871"/>
        <v>0</v>
      </c>
    </row>
    <row r="10802" spans="1:18" s="847" customFormat="1">
      <c r="A10802" s="905"/>
      <c r="B10802" s="952"/>
      <c r="C10802" s="907">
        <v>234</v>
      </c>
      <c r="D10802" s="907" t="s">
        <v>279</v>
      </c>
      <c r="E10802" s="992" t="s">
        <v>5983</v>
      </c>
      <c r="F10802" s="905" t="s">
        <v>3144</v>
      </c>
      <c r="G10802" s="1005"/>
      <c r="H10802" s="911">
        <v>0.5</v>
      </c>
      <c r="I10802" s="912">
        <f>VLOOKUP(E10802,[3]VLP!$B$7:$K$300,10,0)</f>
        <v>14000</v>
      </c>
      <c r="J10802" s="912">
        <f>I10802*H10802</f>
        <v>7000</v>
      </c>
      <c r="K10802" s="912" t="s">
        <v>274</v>
      </c>
      <c r="L10802" s="912"/>
      <c r="M10802" s="912"/>
      <c r="N10802" s="912"/>
      <c r="O10802" s="892">
        <f t="shared" si="872"/>
        <v>0</v>
      </c>
      <c r="P10802" s="903">
        <f t="shared" si="869"/>
        <v>1</v>
      </c>
      <c r="Q10802" s="893">
        <f t="shared" si="870"/>
        <v>6</v>
      </c>
      <c r="R10802" s="894">
        <f t="shared" si="871"/>
        <v>0</v>
      </c>
    </row>
    <row r="10803" spans="1:18" s="904" customFormat="1">
      <c r="A10803" s="905"/>
      <c r="B10803" s="952"/>
      <c r="C10803" s="907">
        <v>317</v>
      </c>
      <c r="D10803" s="907" t="s">
        <v>279</v>
      </c>
      <c r="E10803" s="992" t="s">
        <v>3273</v>
      </c>
      <c r="F10803" s="905" t="s">
        <v>45</v>
      </c>
      <c r="G10803" s="1005"/>
      <c r="H10803" s="911">
        <v>0.05</v>
      </c>
      <c r="I10803" s="912">
        <f>VLOOKUP(E10803,[3]VLP!$B$7:$K$300,10,0)</f>
        <v>25000</v>
      </c>
      <c r="J10803" s="912">
        <f>I10803*H10803</f>
        <v>1250</v>
      </c>
      <c r="K10803" s="912" t="s">
        <v>274</v>
      </c>
      <c r="L10803" s="912"/>
      <c r="M10803" s="912"/>
      <c r="N10803" s="912"/>
      <c r="O10803" s="892">
        <f t="shared" si="872"/>
        <v>0</v>
      </c>
      <c r="P10803" s="903">
        <f t="shared" ref="P10803:P10866" si="873">IF(O10803=0,1,0)</f>
        <v>1</v>
      </c>
      <c r="Q10803" s="893">
        <f t="shared" ref="Q10803:Q10866" si="874">IF(P10803=0,0,P10803+Q10804)</f>
        <v>5</v>
      </c>
      <c r="R10803" s="894">
        <f t="shared" ref="R10803:R10866" si="875">IF(Q10803=0,Q10804,0)</f>
        <v>0</v>
      </c>
    </row>
    <row r="10804" spans="1:18">
      <c r="A10804" s="905"/>
      <c r="B10804" s="952"/>
      <c r="C10804" s="907">
        <v>321</v>
      </c>
      <c r="D10804" s="907" t="s">
        <v>279</v>
      </c>
      <c r="E10804" s="992" t="s">
        <v>6317</v>
      </c>
      <c r="F10804" s="905" t="s">
        <v>45</v>
      </c>
      <c r="G10804" s="1005"/>
      <c r="H10804" s="911">
        <v>0.12</v>
      </c>
      <c r="I10804" s="912">
        <f>VLOOKUP(E10804,[3]VLP!$B$7:$K$300,10,0)</f>
        <v>38182</v>
      </c>
      <c r="J10804" s="912">
        <f>I10804*H10804</f>
        <v>4581.84</v>
      </c>
      <c r="K10804" s="912" t="s">
        <v>274</v>
      </c>
      <c r="L10804" s="912"/>
      <c r="M10804" s="912"/>
      <c r="N10804" s="912"/>
      <c r="O10804" s="892">
        <f t="shared" si="872"/>
        <v>0</v>
      </c>
      <c r="P10804" s="903">
        <f t="shared" si="873"/>
        <v>1</v>
      </c>
      <c r="Q10804" s="893">
        <f t="shared" si="874"/>
        <v>4</v>
      </c>
      <c r="R10804" s="894">
        <f t="shared" si="875"/>
        <v>0</v>
      </c>
    </row>
    <row r="10805" spans="1:18" s="904" customFormat="1">
      <c r="A10805" s="905"/>
      <c r="B10805" s="952"/>
      <c r="C10805" s="907">
        <v>235</v>
      </c>
      <c r="D10805" s="907" t="s">
        <v>279</v>
      </c>
      <c r="E10805" s="992" t="s">
        <v>2682</v>
      </c>
      <c r="F10805" s="905" t="s">
        <v>45</v>
      </c>
      <c r="G10805" s="1005"/>
      <c r="H10805" s="911">
        <v>0.7</v>
      </c>
      <c r="I10805" s="912">
        <f>VLOOKUP(E10805,[3]VLP!$B$7:$K$300,10,0)</f>
        <v>5000</v>
      </c>
      <c r="J10805" s="912">
        <f>I10805*H10805</f>
        <v>3500</v>
      </c>
      <c r="K10805" s="912" t="s">
        <v>274</v>
      </c>
      <c r="L10805" s="912"/>
      <c r="M10805" s="912"/>
      <c r="N10805" s="912"/>
      <c r="O10805" s="892">
        <f t="shared" si="872"/>
        <v>0</v>
      </c>
      <c r="P10805" s="903">
        <f t="shared" si="873"/>
        <v>1</v>
      </c>
      <c r="Q10805" s="893">
        <f t="shared" si="874"/>
        <v>3</v>
      </c>
      <c r="R10805" s="894">
        <f t="shared" si="875"/>
        <v>0</v>
      </c>
    </row>
    <row r="10806" spans="1:18">
      <c r="A10806" s="895"/>
      <c r="B10806" s="1017"/>
      <c r="C10806" s="897"/>
      <c r="D10806" s="897"/>
      <c r="E10806" s="1002" t="s">
        <v>276</v>
      </c>
      <c r="F10806" s="1003"/>
      <c r="G10806" s="1004"/>
      <c r="H10806" s="901"/>
      <c r="I10806" s="902"/>
      <c r="J10806" s="902"/>
      <c r="K10806" s="912" t="s">
        <v>274</v>
      </c>
      <c r="L10806" s="902"/>
      <c r="M10806" s="902"/>
      <c r="N10806" s="902"/>
      <c r="O10806" s="892">
        <f t="shared" si="872"/>
        <v>0</v>
      </c>
      <c r="P10806" s="903">
        <f t="shared" si="873"/>
        <v>1</v>
      </c>
      <c r="Q10806" s="893">
        <f t="shared" si="874"/>
        <v>2</v>
      </c>
      <c r="R10806" s="894">
        <f t="shared" si="875"/>
        <v>0</v>
      </c>
    </row>
    <row r="10807" spans="1:18" s="904" customFormat="1">
      <c r="A10807" s="905"/>
      <c r="B10807" s="952"/>
      <c r="C10807" s="907">
        <v>745</v>
      </c>
      <c r="D10807" s="907" t="s">
        <v>12</v>
      </c>
      <c r="E10807" s="992" t="s">
        <v>5518</v>
      </c>
      <c r="F10807" s="905" t="s">
        <v>2674</v>
      </c>
      <c r="G10807" s="1005"/>
      <c r="H10807" s="911">
        <v>4.2</v>
      </c>
      <c r="I10807" s="912"/>
      <c r="J10807" s="912"/>
      <c r="K10807" s="912">
        <f>VLOOKUP(E10807,[5]ĐMNC!$A$7:$F$67,4,0)</f>
        <v>240557</v>
      </c>
      <c r="L10807" s="912">
        <f>H10807*K10807</f>
        <v>1010339.4</v>
      </c>
      <c r="M10807" s="912"/>
      <c r="N10807" s="912"/>
      <c r="O10807" s="892">
        <f t="shared" si="872"/>
        <v>0</v>
      </c>
      <c r="P10807" s="903">
        <f t="shared" si="873"/>
        <v>1</v>
      </c>
      <c r="Q10807" s="893">
        <f t="shared" si="874"/>
        <v>1</v>
      </c>
      <c r="R10807" s="894">
        <f t="shared" si="875"/>
        <v>0</v>
      </c>
    </row>
    <row r="10808" spans="1:18" ht="31.5">
      <c r="A10808" s="905" t="s">
        <v>6757</v>
      </c>
      <c r="B10808" s="914" t="s">
        <v>6758</v>
      </c>
      <c r="C10808" s="915"/>
      <c r="D10808" s="915"/>
      <c r="E10808" s="1006" t="s">
        <v>6759</v>
      </c>
      <c r="F10808" s="917" t="s">
        <v>139</v>
      </c>
      <c r="G10808" s="1008"/>
      <c r="H10808" s="919"/>
      <c r="I10808" s="920"/>
      <c r="J10808" s="962">
        <f>SUM(J10809:J10818)</f>
        <v>126045.6</v>
      </c>
      <c r="K10808" s="891" t="s">
        <v>274</v>
      </c>
      <c r="L10808" s="962">
        <f>SUM(L10809:L10818)</f>
        <v>3728633.5</v>
      </c>
      <c r="M10808" s="962"/>
      <c r="N10808" s="962">
        <f>SUM(N10809:N10818)</f>
        <v>786973.20000000007</v>
      </c>
      <c r="O10808" s="892">
        <f t="shared" si="872"/>
        <v>1</v>
      </c>
      <c r="P10808" s="903">
        <f t="shared" si="873"/>
        <v>0</v>
      </c>
      <c r="Q10808" s="893">
        <f t="shared" si="874"/>
        <v>0</v>
      </c>
      <c r="R10808" s="894">
        <f t="shared" si="875"/>
        <v>10</v>
      </c>
    </row>
    <row r="10809" spans="1:18">
      <c r="A10809" s="895"/>
      <c r="B10809" s="922"/>
      <c r="C10809" s="897"/>
      <c r="D10809" s="897"/>
      <c r="E10809" s="1002" t="s">
        <v>108</v>
      </c>
      <c r="F10809" s="1003"/>
      <c r="G10809" s="1004"/>
      <c r="H10809" s="901"/>
      <c r="I10809" s="902"/>
      <c r="J10809" s="902"/>
      <c r="K10809" s="912" t="s">
        <v>274</v>
      </c>
      <c r="L10809" s="902"/>
      <c r="M10809" s="902"/>
      <c r="N10809" s="902"/>
      <c r="O10809" s="892">
        <f t="shared" si="872"/>
        <v>0</v>
      </c>
      <c r="P10809" s="903">
        <f t="shared" si="873"/>
        <v>1</v>
      </c>
      <c r="Q10809" s="893">
        <f t="shared" si="874"/>
        <v>10</v>
      </c>
      <c r="R10809" s="894">
        <f t="shared" si="875"/>
        <v>0</v>
      </c>
    </row>
    <row r="10810" spans="1:18" s="847" customFormat="1">
      <c r="A10810" s="905"/>
      <c r="B10810" s="952"/>
      <c r="C10810" s="907">
        <v>234</v>
      </c>
      <c r="D10810" s="907" t="s">
        <v>279</v>
      </c>
      <c r="E10810" s="992" t="s">
        <v>5983</v>
      </c>
      <c r="F10810" s="905" t="s">
        <v>3144</v>
      </c>
      <c r="G10810" s="1005"/>
      <c r="H10810" s="911">
        <v>5</v>
      </c>
      <c r="I10810" s="912">
        <f>VLOOKUP(E10810,[3]VLP!$B$7:$K$300,10,0)</f>
        <v>14000</v>
      </c>
      <c r="J10810" s="912">
        <f>I10810*H10810</f>
        <v>70000</v>
      </c>
      <c r="K10810" s="912" t="s">
        <v>274</v>
      </c>
      <c r="L10810" s="912"/>
      <c r="M10810" s="912"/>
      <c r="N10810" s="912"/>
      <c r="O10810" s="892">
        <f t="shared" si="872"/>
        <v>0</v>
      </c>
      <c r="P10810" s="903">
        <f t="shared" si="873"/>
        <v>1</v>
      </c>
      <c r="Q10810" s="893">
        <f t="shared" si="874"/>
        <v>9</v>
      </c>
      <c r="R10810" s="894">
        <f t="shared" si="875"/>
        <v>0</v>
      </c>
    </row>
    <row r="10811" spans="1:18" s="904" customFormat="1">
      <c r="A10811" s="905"/>
      <c r="B10811" s="952"/>
      <c r="C10811" s="907">
        <v>317</v>
      </c>
      <c r="D10811" s="907" t="s">
        <v>279</v>
      </c>
      <c r="E10811" s="992" t="s">
        <v>3273</v>
      </c>
      <c r="F10811" s="905" t="s">
        <v>45</v>
      </c>
      <c r="G10811" s="1005"/>
      <c r="H10811" s="911">
        <v>0.3</v>
      </c>
      <c r="I10811" s="912">
        <f>VLOOKUP(E10811,[3]VLP!$B$7:$K$300,10,0)</f>
        <v>25000</v>
      </c>
      <c r="J10811" s="912">
        <f>I10811*H10811</f>
        <v>7500</v>
      </c>
      <c r="K10811" s="912" t="s">
        <v>274</v>
      </c>
      <c r="L10811" s="912"/>
      <c r="M10811" s="912"/>
      <c r="N10811" s="912"/>
      <c r="O10811" s="892">
        <f t="shared" si="872"/>
        <v>0</v>
      </c>
      <c r="P10811" s="903">
        <f t="shared" si="873"/>
        <v>1</v>
      </c>
      <c r="Q10811" s="893">
        <f t="shared" si="874"/>
        <v>8</v>
      </c>
      <c r="R10811" s="894">
        <f t="shared" si="875"/>
        <v>0</v>
      </c>
    </row>
    <row r="10812" spans="1:18">
      <c r="A10812" s="905"/>
      <c r="B10812" s="952"/>
      <c r="C10812" s="907">
        <v>321</v>
      </c>
      <c r="D10812" s="907" t="s">
        <v>279</v>
      </c>
      <c r="E10812" s="992" t="s">
        <v>6317</v>
      </c>
      <c r="F10812" s="905" t="s">
        <v>45</v>
      </c>
      <c r="G10812" s="1005"/>
      <c r="H10812" s="911">
        <v>0.8</v>
      </c>
      <c r="I10812" s="912">
        <f>VLOOKUP(E10812,[3]VLP!$B$7:$K$300,10,0)</f>
        <v>38182</v>
      </c>
      <c r="J10812" s="912">
        <f>I10812*H10812</f>
        <v>30545.600000000002</v>
      </c>
      <c r="K10812" s="912" t="s">
        <v>274</v>
      </c>
      <c r="L10812" s="912"/>
      <c r="M10812" s="912"/>
      <c r="N10812" s="912"/>
      <c r="O10812" s="892">
        <f t="shared" si="872"/>
        <v>0</v>
      </c>
      <c r="P10812" s="903">
        <f t="shared" si="873"/>
        <v>1</v>
      </c>
      <c r="Q10812" s="893">
        <f t="shared" si="874"/>
        <v>7</v>
      </c>
      <c r="R10812" s="894">
        <f t="shared" si="875"/>
        <v>0</v>
      </c>
    </row>
    <row r="10813" spans="1:18" s="904" customFormat="1">
      <c r="A10813" s="905"/>
      <c r="B10813" s="952"/>
      <c r="C10813" s="907">
        <v>235</v>
      </c>
      <c r="D10813" s="907" t="s">
        <v>279</v>
      </c>
      <c r="E10813" s="992" t="s">
        <v>2682</v>
      </c>
      <c r="F10813" s="905" t="s">
        <v>45</v>
      </c>
      <c r="G10813" s="1005"/>
      <c r="H10813" s="911">
        <v>3.6</v>
      </c>
      <c r="I10813" s="912">
        <f>VLOOKUP(E10813,[3]VLP!$B$7:$K$300,10,0)</f>
        <v>5000</v>
      </c>
      <c r="J10813" s="912">
        <f>I10813*H10813</f>
        <v>18000</v>
      </c>
      <c r="K10813" s="912" t="s">
        <v>274</v>
      </c>
      <c r="L10813" s="912"/>
      <c r="M10813" s="912"/>
      <c r="N10813" s="912"/>
      <c r="O10813" s="892">
        <f t="shared" si="872"/>
        <v>0</v>
      </c>
      <c r="P10813" s="903">
        <f t="shared" si="873"/>
        <v>1</v>
      </c>
      <c r="Q10813" s="893">
        <f t="shared" si="874"/>
        <v>6</v>
      </c>
      <c r="R10813" s="894">
        <f t="shared" si="875"/>
        <v>0</v>
      </c>
    </row>
    <row r="10814" spans="1:18">
      <c r="A10814" s="895"/>
      <c r="B10814" s="896"/>
      <c r="C10814" s="897"/>
      <c r="D10814" s="897"/>
      <c r="E10814" s="1002" t="s">
        <v>276</v>
      </c>
      <c r="F10814" s="1003"/>
      <c r="G10814" s="1004"/>
      <c r="H10814" s="901"/>
      <c r="I10814" s="902"/>
      <c r="J10814" s="902"/>
      <c r="K10814" s="912" t="s">
        <v>274</v>
      </c>
      <c r="L10814" s="902"/>
      <c r="M10814" s="902"/>
      <c r="N10814" s="902"/>
      <c r="O10814" s="892">
        <f t="shared" si="872"/>
        <v>0</v>
      </c>
      <c r="P10814" s="903">
        <f t="shared" si="873"/>
        <v>1</v>
      </c>
      <c r="Q10814" s="893">
        <f t="shared" si="874"/>
        <v>5</v>
      </c>
      <c r="R10814" s="894">
        <f t="shared" si="875"/>
        <v>0</v>
      </c>
    </row>
    <row r="10815" spans="1:18" s="904" customFormat="1">
      <c r="A10815" s="905"/>
      <c r="B10815" s="952"/>
      <c r="C10815" s="907">
        <v>745</v>
      </c>
      <c r="D10815" s="907" t="s">
        <v>12</v>
      </c>
      <c r="E10815" s="992" t="s">
        <v>5518</v>
      </c>
      <c r="F10815" s="905" t="s">
        <v>2674</v>
      </c>
      <c r="G10815" s="1005"/>
      <c r="H10815" s="911">
        <v>15.5</v>
      </c>
      <c r="I10815" s="912"/>
      <c r="J10815" s="912"/>
      <c r="K10815" s="912">
        <f>VLOOKUP(E10815,[5]ĐMNC!$A$7:$F$67,4,0)</f>
        <v>240557</v>
      </c>
      <c r="L10815" s="912">
        <f>H10815*K10815</f>
        <v>3728633.5</v>
      </c>
      <c r="M10815" s="912"/>
      <c r="N10815" s="912"/>
      <c r="O10815" s="892">
        <f t="shared" si="872"/>
        <v>0</v>
      </c>
      <c r="P10815" s="903">
        <f t="shared" si="873"/>
        <v>1</v>
      </c>
      <c r="Q10815" s="893">
        <f t="shared" si="874"/>
        <v>4</v>
      </c>
      <c r="R10815" s="894">
        <f t="shared" si="875"/>
        <v>0</v>
      </c>
    </row>
    <row r="10816" spans="1:18">
      <c r="A10816" s="895"/>
      <c r="B10816" s="896"/>
      <c r="C10816" s="897"/>
      <c r="D10816" s="897"/>
      <c r="E10816" s="1002" t="s">
        <v>3914</v>
      </c>
      <c r="F10816" s="1003"/>
      <c r="G10816" s="1004"/>
      <c r="H10816" s="901"/>
      <c r="I10816" s="902"/>
      <c r="J10816" s="902"/>
      <c r="K10816" s="912" t="s">
        <v>274</v>
      </c>
      <c r="L10816" s="902"/>
      <c r="M10816" s="902"/>
      <c r="N10816" s="902"/>
      <c r="O10816" s="892">
        <f t="shared" si="872"/>
        <v>0</v>
      </c>
      <c r="P10816" s="903">
        <f t="shared" si="873"/>
        <v>1</v>
      </c>
      <c r="Q10816" s="893">
        <f t="shared" si="874"/>
        <v>3</v>
      </c>
      <c r="R10816" s="894">
        <f t="shared" si="875"/>
        <v>0</v>
      </c>
    </row>
    <row r="10817" spans="1:18">
      <c r="A10817" s="905"/>
      <c r="B10817" s="952" t="s">
        <v>6332</v>
      </c>
      <c r="C10817" s="907">
        <v>901</v>
      </c>
      <c r="D10817" s="907" t="s">
        <v>93</v>
      </c>
      <c r="E10817" s="992" t="s">
        <v>6333</v>
      </c>
      <c r="F10817" s="905" t="s">
        <v>2673</v>
      </c>
      <c r="G10817" s="1005"/>
      <c r="H10817" s="911">
        <v>0.4</v>
      </c>
      <c r="I10817" s="912"/>
      <c r="J10817" s="912"/>
      <c r="K10817" s="912"/>
      <c r="L10817" s="912"/>
      <c r="M10817" s="912">
        <f>VLOOKUP(B10817,MTC!$B$9:$S$933,12,0)</f>
        <v>1967433</v>
      </c>
      <c r="N10817" s="912">
        <f>M10817*H10817</f>
        <v>786973.20000000007</v>
      </c>
      <c r="O10817" s="892">
        <f t="shared" si="872"/>
        <v>0</v>
      </c>
      <c r="P10817" s="903">
        <f t="shared" si="873"/>
        <v>1</v>
      </c>
      <c r="Q10817" s="893">
        <f t="shared" si="874"/>
        <v>2</v>
      </c>
      <c r="R10817" s="894">
        <f t="shared" si="875"/>
        <v>0</v>
      </c>
    </row>
    <row r="10818" spans="1:18" s="847" customFormat="1">
      <c r="A10818" s="905"/>
      <c r="B10818" s="1015" t="s">
        <v>6728</v>
      </c>
      <c r="C10818" s="907">
        <v>999</v>
      </c>
      <c r="D10818" s="907" t="s">
        <v>93</v>
      </c>
      <c r="E10818" s="992" t="s">
        <v>6729</v>
      </c>
      <c r="F10818" s="905" t="s">
        <v>4007</v>
      </c>
      <c r="G10818" s="1005"/>
      <c r="H10818" s="911">
        <v>3</v>
      </c>
      <c r="I10818" s="912"/>
      <c r="J10818" s="912"/>
      <c r="K10818" s="912"/>
      <c r="L10818" s="912"/>
      <c r="M10818" s="912">
        <f>VLOOKUP(B10818,MTC!$B$9:$S$933,12,0)</f>
        <v>0</v>
      </c>
      <c r="N10818" s="912">
        <f>M10818*H10818</f>
        <v>0</v>
      </c>
      <c r="O10818" s="892">
        <f t="shared" si="872"/>
        <v>0</v>
      </c>
      <c r="P10818" s="903">
        <f t="shared" si="873"/>
        <v>1</v>
      </c>
      <c r="Q10818" s="893">
        <f t="shared" si="874"/>
        <v>1</v>
      </c>
      <c r="R10818" s="894">
        <f t="shared" si="875"/>
        <v>0</v>
      </c>
    </row>
    <row r="10819" spans="1:18" s="904" customFormat="1">
      <c r="A10819" s="905">
        <v>200</v>
      </c>
      <c r="B10819" s="914" t="s">
        <v>6760</v>
      </c>
      <c r="C10819" s="915"/>
      <c r="D10819" s="915"/>
      <c r="E10819" s="1006" t="s">
        <v>6761</v>
      </c>
      <c r="F10819" s="917" t="s">
        <v>139</v>
      </c>
      <c r="G10819" s="1008"/>
      <c r="H10819" s="919"/>
      <c r="I10819" s="920"/>
      <c r="J10819" s="962">
        <f>SUM(J10820:J10829)</f>
        <v>126045.6</v>
      </c>
      <c r="K10819" s="891" t="s">
        <v>274</v>
      </c>
      <c r="L10819" s="962">
        <f>SUM(L10820:L10829)</f>
        <v>5075752.7</v>
      </c>
      <c r="M10819" s="962"/>
      <c r="N10819" s="962">
        <f>SUM(N10820:N10829)</f>
        <v>786973.20000000007</v>
      </c>
      <c r="O10819" s="892">
        <f t="shared" si="872"/>
        <v>1</v>
      </c>
      <c r="P10819" s="903">
        <f t="shared" si="873"/>
        <v>0</v>
      </c>
      <c r="Q10819" s="893">
        <f t="shared" si="874"/>
        <v>0</v>
      </c>
      <c r="R10819" s="894">
        <f t="shared" si="875"/>
        <v>10</v>
      </c>
    </row>
    <row r="10820" spans="1:18">
      <c r="A10820" s="895"/>
      <c r="B10820" s="896"/>
      <c r="C10820" s="897"/>
      <c r="D10820" s="897"/>
      <c r="E10820" s="1002" t="s">
        <v>108</v>
      </c>
      <c r="F10820" s="1003"/>
      <c r="G10820" s="1004"/>
      <c r="H10820" s="901"/>
      <c r="I10820" s="902"/>
      <c r="J10820" s="902"/>
      <c r="K10820" s="912" t="s">
        <v>274</v>
      </c>
      <c r="L10820" s="902"/>
      <c r="M10820" s="902"/>
      <c r="N10820" s="902"/>
      <c r="O10820" s="892">
        <f t="shared" si="872"/>
        <v>0</v>
      </c>
      <c r="P10820" s="903">
        <f t="shared" si="873"/>
        <v>1</v>
      </c>
      <c r="Q10820" s="893">
        <f t="shared" si="874"/>
        <v>10</v>
      </c>
      <c r="R10820" s="894">
        <f t="shared" si="875"/>
        <v>0</v>
      </c>
    </row>
    <row r="10821" spans="1:18" s="904" customFormat="1">
      <c r="A10821" s="905"/>
      <c r="B10821" s="952"/>
      <c r="C10821" s="907">
        <v>234</v>
      </c>
      <c r="D10821" s="907" t="s">
        <v>279</v>
      </c>
      <c r="E10821" s="992" t="s">
        <v>5983</v>
      </c>
      <c r="F10821" s="905" t="s">
        <v>3144</v>
      </c>
      <c r="G10821" s="1005"/>
      <c r="H10821" s="911">
        <v>5</v>
      </c>
      <c r="I10821" s="912">
        <f>VLOOKUP(E10821,[3]VLP!$B$7:$K$300,10,0)</f>
        <v>14000</v>
      </c>
      <c r="J10821" s="912">
        <f>I10821*H10821</f>
        <v>70000</v>
      </c>
      <c r="K10821" s="912" t="s">
        <v>274</v>
      </c>
      <c r="L10821" s="912"/>
      <c r="M10821" s="912"/>
      <c r="N10821" s="912"/>
      <c r="O10821" s="892">
        <f t="shared" si="872"/>
        <v>0</v>
      </c>
      <c r="P10821" s="903">
        <f t="shared" si="873"/>
        <v>1</v>
      </c>
      <c r="Q10821" s="893">
        <f t="shared" si="874"/>
        <v>9</v>
      </c>
      <c r="R10821" s="894">
        <f t="shared" si="875"/>
        <v>0</v>
      </c>
    </row>
    <row r="10822" spans="1:18">
      <c r="A10822" s="905"/>
      <c r="B10822" s="952"/>
      <c r="C10822" s="907">
        <v>317</v>
      </c>
      <c r="D10822" s="907" t="s">
        <v>279</v>
      </c>
      <c r="E10822" s="992" t="s">
        <v>3273</v>
      </c>
      <c r="F10822" s="905" t="s">
        <v>45</v>
      </c>
      <c r="G10822" s="1005"/>
      <c r="H10822" s="911">
        <v>0.3</v>
      </c>
      <c r="I10822" s="912">
        <f>VLOOKUP(E10822,[3]VLP!$B$7:$K$300,10,0)</f>
        <v>25000</v>
      </c>
      <c r="J10822" s="912">
        <f>I10822*H10822</f>
        <v>7500</v>
      </c>
      <c r="K10822" s="912" t="s">
        <v>274</v>
      </c>
      <c r="L10822" s="912"/>
      <c r="M10822" s="912"/>
      <c r="N10822" s="912"/>
      <c r="O10822" s="892">
        <f t="shared" si="872"/>
        <v>0</v>
      </c>
      <c r="P10822" s="903">
        <f t="shared" si="873"/>
        <v>1</v>
      </c>
      <c r="Q10822" s="893">
        <f t="shared" si="874"/>
        <v>8</v>
      </c>
      <c r="R10822" s="894">
        <f t="shared" si="875"/>
        <v>0</v>
      </c>
    </row>
    <row r="10823" spans="1:18" s="904" customFormat="1">
      <c r="A10823" s="905"/>
      <c r="B10823" s="952"/>
      <c r="C10823" s="907">
        <v>321</v>
      </c>
      <c r="D10823" s="907" t="s">
        <v>279</v>
      </c>
      <c r="E10823" s="992" t="s">
        <v>6317</v>
      </c>
      <c r="F10823" s="905" t="s">
        <v>45</v>
      </c>
      <c r="G10823" s="1005"/>
      <c r="H10823" s="911">
        <v>0.8</v>
      </c>
      <c r="I10823" s="912">
        <f>VLOOKUP(E10823,[3]VLP!$B$7:$K$300,10,0)</f>
        <v>38182</v>
      </c>
      <c r="J10823" s="912">
        <f>I10823*H10823</f>
        <v>30545.600000000002</v>
      </c>
      <c r="K10823" s="912" t="s">
        <v>274</v>
      </c>
      <c r="L10823" s="912"/>
      <c r="M10823" s="912"/>
      <c r="N10823" s="912"/>
      <c r="O10823" s="892">
        <f t="shared" si="872"/>
        <v>0</v>
      </c>
      <c r="P10823" s="903">
        <f t="shared" si="873"/>
        <v>1</v>
      </c>
      <c r="Q10823" s="893">
        <f t="shared" si="874"/>
        <v>7</v>
      </c>
      <c r="R10823" s="894">
        <f t="shared" si="875"/>
        <v>0</v>
      </c>
    </row>
    <row r="10824" spans="1:18">
      <c r="A10824" s="905"/>
      <c r="B10824" s="952"/>
      <c r="C10824" s="907">
        <v>235</v>
      </c>
      <c r="D10824" s="907" t="s">
        <v>279</v>
      </c>
      <c r="E10824" s="992" t="s">
        <v>2682</v>
      </c>
      <c r="F10824" s="905" t="s">
        <v>45</v>
      </c>
      <c r="G10824" s="1005"/>
      <c r="H10824" s="911">
        <v>3.6</v>
      </c>
      <c r="I10824" s="912">
        <f>VLOOKUP(E10824,[3]VLP!$B$7:$K$300,10,0)</f>
        <v>5000</v>
      </c>
      <c r="J10824" s="912">
        <f>I10824*H10824</f>
        <v>18000</v>
      </c>
      <c r="K10824" s="912" t="s">
        <v>274</v>
      </c>
      <c r="L10824" s="912"/>
      <c r="M10824" s="912"/>
      <c r="N10824" s="912"/>
      <c r="O10824" s="892">
        <f t="shared" si="872"/>
        <v>0</v>
      </c>
      <c r="P10824" s="903">
        <f t="shared" si="873"/>
        <v>1</v>
      </c>
      <c r="Q10824" s="893">
        <f t="shared" si="874"/>
        <v>6</v>
      </c>
      <c r="R10824" s="894">
        <f t="shared" si="875"/>
        <v>0</v>
      </c>
    </row>
    <row r="10825" spans="1:18">
      <c r="A10825" s="895"/>
      <c r="B10825" s="896"/>
      <c r="C10825" s="897"/>
      <c r="D10825" s="897"/>
      <c r="E10825" s="1002" t="s">
        <v>276</v>
      </c>
      <c r="F10825" s="1003"/>
      <c r="G10825" s="1004"/>
      <c r="H10825" s="901"/>
      <c r="I10825" s="902"/>
      <c r="J10825" s="902"/>
      <c r="K10825" s="912" t="s">
        <v>274</v>
      </c>
      <c r="L10825" s="902"/>
      <c r="M10825" s="902"/>
      <c r="N10825" s="902"/>
      <c r="O10825" s="892">
        <f t="shared" si="872"/>
        <v>0</v>
      </c>
      <c r="P10825" s="903">
        <f t="shared" si="873"/>
        <v>1</v>
      </c>
      <c r="Q10825" s="893">
        <f t="shared" si="874"/>
        <v>5</v>
      </c>
      <c r="R10825" s="894">
        <f t="shared" si="875"/>
        <v>0</v>
      </c>
    </row>
    <row r="10826" spans="1:18" s="847" customFormat="1">
      <c r="A10826" s="905"/>
      <c r="B10826" s="952"/>
      <c r="C10826" s="907">
        <v>745</v>
      </c>
      <c r="D10826" s="907" t="s">
        <v>12</v>
      </c>
      <c r="E10826" s="992" t="s">
        <v>5518</v>
      </c>
      <c r="F10826" s="905" t="s">
        <v>2674</v>
      </c>
      <c r="G10826" s="1005"/>
      <c r="H10826" s="911">
        <v>21.1</v>
      </c>
      <c r="I10826" s="912"/>
      <c r="J10826" s="912"/>
      <c r="K10826" s="912">
        <f>VLOOKUP(E10826,[5]ĐMNC!$A$7:$F$67,4,0)</f>
        <v>240557</v>
      </c>
      <c r="L10826" s="912">
        <f>H10826*K10826</f>
        <v>5075752.7</v>
      </c>
      <c r="M10826" s="912"/>
      <c r="N10826" s="912"/>
      <c r="O10826" s="892">
        <f t="shared" si="872"/>
        <v>0</v>
      </c>
      <c r="P10826" s="903">
        <f t="shared" si="873"/>
        <v>1</v>
      </c>
      <c r="Q10826" s="893">
        <f t="shared" si="874"/>
        <v>4</v>
      </c>
      <c r="R10826" s="894">
        <f t="shared" si="875"/>
        <v>0</v>
      </c>
    </row>
    <row r="10827" spans="1:18" s="904" customFormat="1">
      <c r="A10827" s="895"/>
      <c r="B10827" s="896"/>
      <c r="C10827" s="897"/>
      <c r="D10827" s="897"/>
      <c r="E10827" s="1002" t="s">
        <v>3914</v>
      </c>
      <c r="F10827" s="1003"/>
      <c r="G10827" s="1004"/>
      <c r="H10827" s="901"/>
      <c r="I10827" s="902"/>
      <c r="J10827" s="902"/>
      <c r="K10827" s="912" t="s">
        <v>274</v>
      </c>
      <c r="L10827" s="902"/>
      <c r="M10827" s="902"/>
      <c r="N10827" s="902"/>
      <c r="O10827" s="892">
        <f t="shared" si="872"/>
        <v>0</v>
      </c>
      <c r="P10827" s="903">
        <f t="shared" si="873"/>
        <v>1</v>
      </c>
      <c r="Q10827" s="893">
        <f t="shared" si="874"/>
        <v>3</v>
      </c>
      <c r="R10827" s="894">
        <f t="shared" si="875"/>
        <v>0</v>
      </c>
    </row>
    <row r="10828" spans="1:18">
      <c r="A10828" s="905"/>
      <c r="B10828" s="952" t="s">
        <v>6332</v>
      </c>
      <c r="C10828" s="907">
        <v>901</v>
      </c>
      <c r="D10828" s="907" t="s">
        <v>93</v>
      </c>
      <c r="E10828" s="992" t="s">
        <v>6333</v>
      </c>
      <c r="F10828" s="905" t="s">
        <v>2673</v>
      </c>
      <c r="G10828" s="1005"/>
      <c r="H10828" s="911">
        <v>0.4</v>
      </c>
      <c r="I10828" s="912"/>
      <c r="J10828" s="912"/>
      <c r="K10828" s="912"/>
      <c r="L10828" s="912"/>
      <c r="M10828" s="912">
        <f>VLOOKUP(B10828,MTC!$B$9:$S$933,12,0)</f>
        <v>1967433</v>
      </c>
      <c r="N10828" s="912">
        <f>M10828*H10828</f>
        <v>786973.20000000007</v>
      </c>
      <c r="O10828" s="892">
        <f t="shared" si="872"/>
        <v>0</v>
      </c>
      <c r="P10828" s="903">
        <f t="shared" si="873"/>
        <v>1</v>
      </c>
      <c r="Q10828" s="893">
        <f t="shared" si="874"/>
        <v>2</v>
      </c>
      <c r="R10828" s="894">
        <f t="shared" si="875"/>
        <v>0</v>
      </c>
    </row>
    <row r="10829" spans="1:18" s="904" customFormat="1">
      <c r="A10829" s="905"/>
      <c r="B10829" s="1015" t="s">
        <v>6728</v>
      </c>
      <c r="C10829" s="907">
        <v>999</v>
      </c>
      <c r="D10829" s="907" t="s">
        <v>93</v>
      </c>
      <c r="E10829" s="992" t="s">
        <v>6729</v>
      </c>
      <c r="F10829" s="905" t="s">
        <v>4007</v>
      </c>
      <c r="G10829" s="1005"/>
      <c r="H10829" s="911">
        <v>3</v>
      </c>
      <c r="I10829" s="912"/>
      <c r="J10829" s="912"/>
      <c r="K10829" s="912"/>
      <c r="L10829" s="912"/>
      <c r="M10829" s="912">
        <f>VLOOKUP(B10829,MTC!$B$9:$S$933,12,0)</f>
        <v>0</v>
      </c>
      <c r="N10829" s="912">
        <f>M10829*H10829</f>
        <v>0</v>
      </c>
      <c r="O10829" s="892">
        <f t="shared" si="872"/>
        <v>0</v>
      </c>
      <c r="P10829" s="903">
        <f t="shared" si="873"/>
        <v>1</v>
      </c>
      <c r="Q10829" s="893">
        <f t="shared" si="874"/>
        <v>1</v>
      </c>
      <c r="R10829" s="894">
        <f t="shared" si="875"/>
        <v>0</v>
      </c>
    </row>
    <row r="10830" spans="1:18">
      <c r="A10830" s="905">
        <v>201</v>
      </c>
      <c r="B10830" s="914" t="s">
        <v>6762</v>
      </c>
      <c r="C10830" s="915"/>
      <c r="D10830" s="915"/>
      <c r="E10830" s="1006" t="s">
        <v>6763</v>
      </c>
      <c r="F10830" s="917" t="s">
        <v>139</v>
      </c>
      <c r="G10830" s="1008"/>
      <c r="H10830" s="919"/>
      <c r="I10830" s="920"/>
      <c r="J10830" s="962">
        <f>SUM(J10831:J10840)</f>
        <v>126045.6</v>
      </c>
      <c r="K10830" s="891" t="s">
        <v>274</v>
      </c>
      <c r="L10830" s="962">
        <f>SUM(L10831:L10840)</f>
        <v>6090903.2400000002</v>
      </c>
      <c r="M10830" s="962"/>
      <c r="N10830" s="962">
        <f>SUM(N10831:N10840)</f>
        <v>786973.20000000007</v>
      </c>
      <c r="O10830" s="892">
        <f t="shared" si="872"/>
        <v>1</v>
      </c>
      <c r="P10830" s="903">
        <f t="shared" si="873"/>
        <v>0</v>
      </c>
      <c r="Q10830" s="893">
        <f t="shared" si="874"/>
        <v>0</v>
      </c>
      <c r="R10830" s="894">
        <f t="shared" si="875"/>
        <v>10</v>
      </c>
    </row>
    <row r="10831" spans="1:18" s="904" customFormat="1">
      <c r="A10831" s="895"/>
      <c r="B10831" s="896"/>
      <c r="C10831" s="897"/>
      <c r="D10831" s="897"/>
      <c r="E10831" s="1002" t="s">
        <v>108</v>
      </c>
      <c r="F10831" s="1003"/>
      <c r="G10831" s="1004"/>
      <c r="H10831" s="901"/>
      <c r="I10831" s="902"/>
      <c r="J10831" s="902"/>
      <c r="K10831" s="912" t="s">
        <v>274</v>
      </c>
      <c r="L10831" s="902"/>
      <c r="M10831" s="902"/>
      <c r="N10831" s="902"/>
      <c r="O10831" s="892">
        <f t="shared" si="872"/>
        <v>0</v>
      </c>
      <c r="P10831" s="903">
        <f t="shared" si="873"/>
        <v>1</v>
      </c>
      <c r="Q10831" s="893">
        <f t="shared" si="874"/>
        <v>10</v>
      </c>
      <c r="R10831" s="894">
        <f t="shared" si="875"/>
        <v>0</v>
      </c>
    </row>
    <row r="10832" spans="1:18">
      <c r="A10832" s="905"/>
      <c r="B10832" s="952"/>
      <c r="C10832" s="907">
        <v>234</v>
      </c>
      <c r="D10832" s="907" t="s">
        <v>279</v>
      </c>
      <c r="E10832" s="992" t="s">
        <v>5983</v>
      </c>
      <c r="F10832" s="905" t="s">
        <v>3144</v>
      </c>
      <c r="G10832" s="1005"/>
      <c r="H10832" s="911">
        <v>5</v>
      </c>
      <c r="I10832" s="912">
        <f>VLOOKUP(E10832,[3]VLP!$B$7:$K$300,10,0)</f>
        <v>14000</v>
      </c>
      <c r="J10832" s="912">
        <f>I10832*H10832</f>
        <v>70000</v>
      </c>
      <c r="K10832" s="912" t="s">
        <v>274</v>
      </c>
      <c r="L10832" s="912"/>
      <c r="M10832" s="912"/>
      <c r="N10832" s="912"/>
      <c r="O10832" s="892">
        <f t="shared" si="872"/>
        <v>0</v>
      </c>
      <c r="P10832" s="903">
        <f t="shared" si="873"/>
        <v>1</v>
      </c>
      <c r="Q10832" s="893">
        <f t="shared" si="874"/>
        <v>9</v>
      </c>
      <c r="R10832" s="894">
        <f t="shared" si="875"/>
        <v>0</v>
      </c>
    </row>
    <row r="10833" spans="1:18">
      <c r="A10833" s="905"/>
      <c r="B10833" s="952"/>
      <c r="C10833" s="907">
        <v>317</v>
      </c>
      <c r="D10833" s="907" t="s">
        <v>279</v>
      </c>
      <c r="E10833" s="992" t="s">
        <v>3273</v>
      </c>
      <c r="F10833" s="905" t="s">
        <v>45</v>
      </c>
      <c r="G10833" s="1005"/>
      <c r="H10833" s="911">
        <v>0.3</v>
      </c>
      <c r="I10833" s="912">
        <f>VLOOKUP(E10833,[3]VLP!$B$7:$K$300,10,0)</f>
        <v>25000</v>
      </c>
      <c r="J10833" s="912">
        <f>I10833*H10833</f>
        <v>7500</v>
      </c>
      <c r="K10833" s="912" t="s">
        <v>274</v>
      </c>
      <c r="L10833" s="912"/>
      <c r="M10833" s="912"/>
      <c r="N10833" s="912"/>
      <c r="O10833" s="892">
        <f t="shared" si="872"/>
        <v>0</v>
      </c>
      <c r="P10833" s="903">
        <f t="shared" si="873"/>
        <v>1</v>
      </c>
      <c r="Q10833" s="893">
        <f t="shared" si="874"/>
        <v>8</v>
      </c>
      <c r="R10833" s="894">
        <f t="shared" si="875"/>
        <v>0</v>
      </c>
    </row>
    <row r="10834" spans="1:18" s="847" customFormat="1">
      <c r="A10834" s="905"/>
      <c r="B10834" s="952"/>
      <c r="C10834" s="907">
        <v>321</v>
      </c>
      <c r="D10834" s="907" t="s">
        <v>279</v>
      </c>
      <c r="E10834" s="992" t="s">
        <v>6317</v>
      </c>
      <c r="F10834" s="905" t="s">
        <v>45</v>
      </c>
      <c r="G10834" s="1005"/>
      <c r="H10834" s="911">
        <v>0.8</v>
      </c>
      <c r="I10834" s="912">
        <f>VLOOKUP(E10834,[3]VLP!$B$7:$K$300,10,0)</f>
        <v>38182</v>
      </c>
      <c r="J10834" s="912">
        <f>I10834*H10834</f>
        <v>30545.600000000002</v>
      </c>
      <c r="K10834" s="912" t="s">
        <v>274</v>
      </c>
      <c r="L10834" s="912"/>
      <c r="M10834" s="912"/>
      <c r="N10834" s="912"/>
      <c r="O10834" s="892">
        <f t="shared" si="872"/>
        <v>0</v>
      </c>
      <c r="P10834" s="903">
        <f t="shared" si="873"/>
        <v>1</v>
      </c>
      <c r="Q10834" s="893">
        <f t="shared" si="874"/>
        <v>7</v>
      </c>
      <c r="R10834" s="894">
        <f t="shared" si="875"/>
        <v>0</v>
      </c>
    </row>
    <row r="10835" spans="1:18" s="904" customFormat="1">
      <c r="A10835" s="905"/>
      <c r="B10835" s="952"/>
      <c r="C10835" s="907">
        <v>235</v>
      </c>
      <c r="D10835" s="907" t="s">
        <v>279</v>
      </c>
      <c r="E10835" s="992" t="s">
        <v>2682</v>
      </c>
      <c r="F10835" s="905" t="s">
        <v>45</v>
      </c>
      <c r="G10835" s="1005"/>
      <c r="H10835" s="911">
        <v>3.6</v>
      </c>
      <c r="I10835" s="912">
        <f>VLOOKUP(E10835,[3]VLP!$B$7:$K$300,10,0)</f>
        <v>5000</v>
      </c>
      <c r="J10835" s="912">
        <f>I10835*H10835</f>
        <v>18000</v>
      </c>
      <c r="K10835" s="912" t="s">
        <v>274</v>
      </c>
      <c r="L10835" s="912"/>
      <c r="M10835" s="912"/>
      <c r="N10835" s="912"/>
      <c r="O10835" s="892">
        <f t="shared" si="872"/>
        <v>0</v>
      </c>
      <c r="P10835" s="903">
        <f t="shared" si="873"/>
        <v>1</v>
      </c>
      <c r="Q10835" s="893">
        <f t="shared" si="874"/>
        <v>6</v>
      </c>
      <c r="R10835" s="894">
        <f t="shared" si="875"/>
        <v>0</v>
      </c>
    </row>
    <row r="10836" spans="1:18">
      <c r="A10836" s="895"/>
      <c r="B10836" s="896"/>
      <c r="C10836" s="897"/>
      <c r="D10836" s="897"/>
      <c r="E10836" s="1002" t="s">
        <v>276</v>
      </c>
      <c r="F10836" s="1003"/>
      <c r="G10836" s="1004"/>
      <c r="H10836" s="901"/>
      <c r="I10836" s="902"/>
      <c r="J10836" s="902"/>
      <c r="K10836" s="912" t="s">
        <v>274</v>
      </c>
      <c r="L10836" s="902"/>
      <c r="M10836" s="902"/>
      <c r="N10836" s="902"/>
      <c r="O10836" s="892">
        <f t="shared" si="872"/>
        <v>0</v>
      </c>
      <c r="P10836" s="903">
        <f t="shared" si="873"/>
        <v>1</v>
      </c>
      <c r="Q10836" s="893">
        <f t="shared" si="874"/>
        <v>5</v>
      </c>
      <c r="R10836" s="894">
        <f t="shared" si="875"/>
        <v>0</v>
      </c>
    </row>
    <row r="10837" spans="1:18" s="847" customFormat="1">
      <c r="A10837" s="905"/>
      <c r="B10837" s="952"/>
      <c r="C10837" s="907">
        <v>745</v>
      </c>
      <c r="D10837" s="907" t="s">
        <v>12</v>
      </c>
      <c r="E10837" s="992" t="s">
        <v>5518</v>
      </c>
      <c r="F10837" s="905" t="s">
        <v>2674</v>
      </c>
      <c r="G10837" s="1005"/>
      <c r="H10837" s="911">
        <v>25.32</v>
      </c>
      <c r="I10837" s="912"/>
      <c r="J10837" s="912"/>
      <c r="K10837" s="912">
        <f>VLOOKUP(E10837,[5]ĐMNC!$A$7:$F$67,4,0)</f>
        <v>240557</v>
      </c>
      <c r="L10837" s="912">
        <f>H10837*K10837</f>
        <v>6090903.2400000002</v>
      </c>
      <c r="M10837" s="912"/>
      <c r="N10837" s="912"/>
      <c r="O10837" s="892">
        <f t="shared" si="872"/>
        <v>0</v>
      </c>
      <c r="P10837" s="903">
        <f t="shared" si="873"/>
        <v>1</v>
      </c>
      <c r="Q10837" s="893">
        <f t="shared" si="874"/>
        <v>4</v>
      </c>
      <c r="R10837" s="894">
        <f t="shared" si="875"/>
        <v>0</v>
      </c>
    </row>
    <row r="10838" spans="1:18" s="904" customFormat="1">
      <c r="A10838" s="895"/>
      <c r="B10838" s="896"/>
      <c r="C10838" s="897"/>
      <c r="D10838" s="897"/>
      <c r="E10838" s="1002" t="s">
        <v>3914</v>
      </c>
      <c r="F10838" s="1003"/>
      <c r="G10838" s="1004"/>
      <c r="H10838" s="901"/>
      <c r="I10838" s="902"/>
      <c r="J10838" s="902"/>
      <c r="K10838" s="912" t="s">
        <v>274</v>
      </c>
      <c r="L10838" s="902"/>
      <c r="M10838" s="902"/>
      <c r="N10838" s="902"/>
      <c r="O10838" s="892">
        <f t="shared" si="872"/>
        <v>0</v>
      </c>
      <c r="P10838" s="903">
        <f t="shared" si="873"/>
        <v>1</v>
      </c>
      <c r="Q10838" s="893">
        <f t="shared" si="874"/>
        <v>3</v>
      </c>
      <c r="R10838" s="894">
        <f t="shared" si="875"/>
        <v>0</v>
      </c>
    </row>
    <row r="10839" spans="1:18">
      <c r="A10839" s="905"/>
      <c r="B10839" s="952" t="s">
        <v>6332</v>
      </c>
      <c r="C10839" s="907">
        <v>901</v>
      </c>
      <c r="D10839" s="907" t="s">
        <v>93</v>
      </c>
      <c r="E10839" s="992" t="s">
        <v>6333</v>
      </c>
      <c r="F10839" s="905" t="s">
        <v>2673</v>
      </c>
      <c r="G10839" s="1005"/>
      <c r="H10839" s="911">
        <v>0.4</v>
      </c>
      <c r="I10839" s="912"/>
      <c r="J10839" s="912"/>
      <c r="K10839" s="912"/>
      <c r="L10839" s="912"/>
      <c r="M10839" s="912">
        <f>VLOOKUP(B10839,MTC!$B$9:$S$933,12,0)</f>
        <v>1967433</v>
      </c>
      <c r="N10839" s="912">
        <f>M10839*H10839</f>
        <v>786973.20000000007</v>
      </c>
      <c r="O10839" s="892">
        <f t="shared" si="872"/>
        <v>0</v>
      </c>
      <c r="P10839" s="903">
        <f t="shared" si="873"/>
        <v>1</v>
      </c>
      <c r="Q10839" s="893">
        <f t="shared" si="874"/>
        <v>2</v>
      </c>
      <c r="R10839" s="894">
        <f t="shared" si="875"/>
        <v>0</v>
      </c>
    </row>
    <row r="10840" spans="1:18" s="847" customFormat="1">
      <c r="A10840" s="905"/>
      <c r="B10840" s="1015" t="s">
        <v>6728</v>
      </c>
      <c r="C10840" s="907">
        <v>999</v>
      </c>
      <c r="D10840" s="907" t="s">
        <v>93</v>
      </c>
      <c r="E10840" s="992" t="s">
        <v>6729</v>
      </c>
      <c r="F10840" s="905" t="s">
        <v>4007</v>
      </c>
      <c r="G10840" s="1005"/>
      <c r="H10840" s="911">
        <v>3</v>
      </c>
      <c r="I10840" s="912"/>
      <c r="J10840" s="912"/>
      <c r="K10840" s="912"/>
      <c r="L10840" s="912"/>
      <c r="M10840" s="912">
        <f>VLOOKUP(B10840,MTC!$B$9:$S$933,12,0)</f>
        <v>0</v>
      </c>
      <c r="N10840" s="912">
        <f>M10840*H10840</f>
        <v>0</v>
      </c>
      <c r="O10840" s="892">
        <f t="shared" si="872"/>
        <v>0</v>
      </c>
      <c r="P10840" s="903">
        <f t="shared" si="873"/>
        <v>1</v>
      </c>
      <c r="Q10840" s="893">
        <f t="shared" si="874"/>
        <v>1</v>
      </c>
      <c r="R10840" s="894">
        <f t="shared" si="875"/>
        <v>0</v>
      </c>
    </row>
    <row r="10841" spans="1:18" s="904" customFormat="1" ht="31.5">
      <c r="A10841" s="905">
        <v>202</v>
      </c>
      <c r="B10841" s="914" t="s">
        <v>6764</v>
      </c>
      <c r="C10841" s="915"/>
      <c r="D10841" s="915"/>
      <c r="E10841" s="1006" t="s">
        <v>6765</v>
      </c>
      <c r="F10841" s="917" t="s">
        <v>139</v>
      </c>
      <c r="G10841" s="1008"/>
      <c r="H10841" s="919"/>
      <c r="I10841" s="920"/>
      <c r="J10841" s="962">
        <f>SUM(J10842:J10851)</f>
        <v>75341</v>
      </c>
      <c r="K10841" s="891" t="s">
        <v>274</v>
      </c>
      <c r="L10841" s="962">
        <f>SUM(L10842:L10851)</f>
        <v>2193879.84</v>
      </c>
      <c r="M10841" s="962"/>
      <c r="N10841" s="962">
        <f>SUM(N10842:N10851)</f>
        <v>531096.48</v>
      </c>
      <c r="O10841" s="892">
        <f t="shared" si="872"/>
        <v>1</v>
      </c>
      <c r="P10841" s="903">
        <f t="shared" si="873"/>
        <v>0</v>
      </c>
      <c r="Q10841" s="893">
        <f t="shared" si="874"/>
        <v>0</v>
      </c>
      <c r="R10841" s="894">
        <f t="shared" si="875"/>
        <v>10</v>
      </c>
    </row>
    <row r="10842" spans="1:18">
      <c r="A10842" s="895"/>
      <c r="B10842" s="896"/>
      <c r="C10842" s="897"/>
      <c r="D10842" s="897"/>
      <c r="E10842" s="1002" t="s">
        <v>108</v>
      </c>
      <c r="F10842" s="1003"/>
      <c r="G10842" s="1004"/>
      <c r="H10842" s="901"/>
      <c r="I10842" s="902"/>
      <c r="J10842" s="902"/>
      <c r="K10842" s="912" t="s">
        <v>274</v>
      </c>
      <c r="L10842" s="902"/>
      <c r="M10842" s="902"/>
      <c r="N10842" s="902"/>
      <c r="O10842" s="892">
        <f t="shared" si="872"/>
        <v>0</v>
      </c>
      <c r="P10842" s="903">
        <f t="shared" si="873"/>
        <v>1</v>
      </c>
      <c r="Q10842" s="893">
        <f t="shared" si="874"/>
        <v>10</v>
      </c>
      <c r="R10842" s="894">
        <f t="shared" si="875"/>
        <v>0</v>
      </c>
    </row>
    <row r="10843" spans="1:18" s="847" customFormat="1">
      <c r="A10843" s="905"/>
      <c r="B10843" s="952"/>
      <c r="C10843" s="907">
        <v>234</v>
      </c>
      <c r="D10843" s="907" t="s">
        <v>279</v>
      </c>
      <c r="E10843" s="992" t="s">
        <v>5983</v>
      </c>
      <c r="F10843" s="905" t="s">
        <v>3144</v>
      </c>
      <c r="G10843" s="1005"/>
      <c r="H10843" s="911">
        <v>2.5</v>
      </c>
      <c r="I10843" s="912">
        <f>VLOOKUP(E10843,[3]VLP!$B$7:$K$300,10,0)</f>
        <v>14000</v>
      </c>
      <c r="J10843" s="912">
        <f>I10843*H10843</f>
        <v>35000</v>
      </c>
      <c r="K10843" s="912" t="s">
        <v>274</v>
      </c>
      <c r="L10843" s="912"/>
      <c r="M10843" s="912"/>
      <c r="N10843" s="912"/>
      <c r="O10843" s="892">
        <f t="shared" si="872"/>
        <v>0</v>
      </c>
      <c r="P10843" s="903">
        <f t="shared" si="873"/>
        <v>1</v>
      </c>
      <c r="Q10843" s="893">
        <f t="shared" si="874"/>
        <v>9</v>
      </c>
      <c r="R10843" s="894">
        <f t="shared" si="875"/>
        <v>0</v>
      </c>
    </row>
    <row r="10844" spans="1:18" s="904" customFormat="1">
      <c r="A10844" s="905"/>
      <c r="B10844" s="952"/>
      <c r="C10844" s="907">
        <v>317</v>
      </c>
      <c r="D10844" s="907" t="s">
        <v>279</v>
      </c>
      <c r="E10844" s="992" t="s">
        <v>3273</v>
      </c>
      <c r="F10844" s="905" t="s">
        <v>45</v>
      </c>
      <c r="G10844" s="1005"/>
      <c r="H10844" s="911">
        <v>0.25</v>
      </c>
      <c r="I10844" s="912">
        <f>VLOOKUP(E10844,[3]VLP!$B$7:$K$300,10,0)</f>
        <v>25000</v>
      </c>
      <c r="J10844" s="912">
        <f>I10844*H10844</f>
        <v>6250</v>
      </c>
      <c r="K10844" s="912" t="s">
        <v>274</v>
      </c>
      <c r="L10844" s="912"/>
      <c r="M10844" s="912"/>
      <c r="N10844" s="912"/>
      <c r="O10844" s="892">
        <f t="shared" si="872"/>
        <v>0</v>
      </c>
      <c r="P10844" s="903">
        <f t="shared" si="873"/>
        <v>1</v>
      </c>
      <c r="Q10844" s="893">
        <f t="shared" si="874"/>
        <v>8</v>
      </c>
      <c r="R10844" s="894">
        <f t="shared" si="875"/>
        <v>0</v>
      </c>
    </row>
    <row r="10845" spans="1:18">
      <c r="A10845" s="905"/>
      <c r="B10845" s="952"/>
      <c r="C10845" s="907">
        <v>321</v>
      </c>
      <c r="D10845" s="907" t="s">
        <v>279</v>
      </c>
      <c r="E10845" s="992" t="s">
        <v>6317</v>
      </c>
      <c r="F10845" s="905" t="s">
        <v>45</v>
      </c>
      <c r="G10845" s="1005"/>
      <c r="H10845" s="911">
        <v>0.5</v>
      </c>
      <c r="I10845" s="912">
        <f>VLOOKUP(E10845,[3]VLP!$B$7:$K$300,10,0)</f>
        <v>38182</v>
      </c>
      <c r="J10845" s="912">
        <f>I10845*H10845</f>
        <v>19091</v>
      </c>
      <c r="K10845" s="912" t="s">
        <v>274</v>
      </c>
      <c r="L10845" s="912"/>
      <c r="M10845" s="912"/>
      <c r="N10845" s="912"/>
      <c r="O10845" s="892">
        <f t="shared" si="872"/>
        <v>0</v>
      </c>
      <c r="P10845" s="903">
        <f t="shared" si="873"/>
        <v>1</v>
      </c>
      <c r="Q10845" s="893">
        <f t="shared" si="874"/>
        <v>7</v>
      </c>
      <c r="R10845" s="894">
        <f t="shared" si="875"/>
        <v>0</v>
      </c>
    </row>
    <row r="10846" spans="1:18" s="847" customFormat="1">
      <c r="A10846" s="905"/>
      <c r="B10846" s="952"/>
      <c r="C10846" s="907">
        <v>235</v>
      </c>
      <c r="D10846" s="907" t="s">
        <v>279</v>
      </c>
      <c r="E10846" s="992" t="s">
        <v>2682</v>
      </c>
      <c r="F10846" s="905" t="s">
        <v>45</v>
      </c>
      <c r="G10846" s="1005"/>
      <c r="H10846" s="911">
        <v>3</v>
      </c>
      <c r="I10846" s="912">
        <f>VLOOKUP(E10846,[3]VLP!$B$7:$K$300,10,0)</f>
        <v>5000</v>
      </c>
      <c r="J10846" s="912">
        <f>I10846*H10846</f>
        <v>15000</v>
      </c>
      <c r="K10846" s="912" t="s">
        <v>274</v>
      </c>
      <c r="L10846" s="912"/>
      <c r="M10846" s="912"/>
      <c r="N10846" s="912"/>
      <c r="O10846" s="892">
        <f t="shared" si="872"/>
        <v>0</v>
      </c>
      <c r="P10846" s="903">
        <f t="shared" si="873"/>
        <v>1</v>
      </c>
      <c r="Q10846" s="893">
        <f t="shared" si="874"/>
        <v>6</v>
      </c>
      <c r="R10846" s="894">
        <f t="shared" si="875"/>
        <v>0</v>
      </c>
    </row>
    <row r="10847" spans="1:18" s="904" customFormat="1">
      <c r="A10847" s="895"/>
      <c r="B10847" s="896"/>
      <c r="C10847" s="897"/>
      <c r="D10847" s="897"/>
      <c r="E10847" s="1002" t="s">
        <v>276</v>
      </c>
      <c r="F10847" s="1003"/>
      <c r="G10847" s="1004"/>
      <c r="H10847" s="901"/>
      <c r="I10847" s="902"/>
      <c r="J10847" s="902"/>
      <c r="K10847" s="912" t="s">
        <v>274</v>
      </c>
      <c r="L10847" s="902"/>
      <c r="M10847" s="902"/>
      <c r="N10847" s="902"/>
      <c r="O10847" s="892">
        <f t="shared" ref="O10847:O10910" si="876">IF(AND(B10847&lt;&gt;"",D10847=""),1,0)</f>
        <v>0</v>
      </c>
      <c r="P10847" s="903">
        <f t="shared" si="873"/>
        <v>1</v>
      </c>
      <c r="Q10847" s="893">
        <f t="shared" si="874"/>
        <v>5</v>
      </c>
      <c r="R10847" s="894">
        <f t="shared" si="875"/>
        <v>0</v>
      </c>
    </row>
    <row r="10848" spans="1:18">
      <c r="A10848" s="905"/>
      <c r="B10848" s="952"/>
      <c r="C10848" s="907">
        <v>745</v>
      </c>
      <c r="D10848" s="907" t="s">
        <v>12</v>
      </c>
      <c r="E10848" s="992" t="s">
        <v>5518</v>
      </c>
      <c r="F10848" s="905" t="s">
        <v>2674</v>
      </c>
      <c r="G10848" s="1005"/>
      <c r="H10848" s="911">
        <v>9.1199999999999992</v>
      </c>
      <c r="I10848" s="912"/>
      <c r="J10848" s="912"/>
      <c r="K10848" s="912">
        <f>VLOOKUP(E10848,[5]ĐMNC!$A$7:$F$67,4,0)</f>
        <v>240557</v>
      </c>
      <c r="L10848" s="912">
        <f>H10848*K10848</f>
        <v>2193879.84</v>
      </c>
      <c r="M10848" s="912"/>
      <c r="N10848" s="912"/>
      <c r="O10848" s="892">
        <f t="shared" si="876"/>
        <v>0</v>
      </c>
      <c r="P10848" s="903">
        <f t="shared" si="873"/>
        <v>1</v>
      </c>
      <c r="Q10848" s="893">
        <f t="shared" si="874"/>
        <v>4</v>
      </c>
      <c r="R10848" s="894">
        <f t="shared" si="875"/>
        <v>0</v>
      </c>
    </row>
    <row r="10849" spans="1:18" s="847" customFormat="1">
      <c r="A10849" s="895"/>
      <c r="B10849" s="896"/>
      <c r="C10849" s="897"/>
      <c r="D10849" s="897"/>
      <c r="E10849" s="1002" t="s">
        <v>3914</v>
      </c>
      <c r="F10849" s="1003"/>
      <c r="G10849" s="1004"/>
      <c r="H10849" s="901"/>
      <c r="I10849" s="902"/>
      <c r="J10849" s="902"/>
      <c r="K10849" s="912" t="s">
        <v>274</v>
      </c>
      <c r="L10849" s="902"/>
      <c r="M10849" s="902"/>
      <c r="N10849" s="902"/>
      <c r="O10849" s="892">
        <f t="shared" si="876"/>
        <v>0</v>
      </c>
      <c r="P10849" s="903">
        <f t="shared" si="873"/>
        <v>1</v>
      </c>
      <c r="Q10849" s="893">
        <f t="shared" si="874"/>
        <v>3</v>
      </c>
      <c r="R10849" s="894">
        <f t="shared" si="875"/>
        <v>0</v>
      </c>
    </row>
    <row r="10850" spans="1:18" s="904" customFormat="1">
      <c r="A10850" s="905"/>
      <c r="B10850" s="946" t="s">
        <v>6321</v>
      </c>
      <c r="C10850" s="907">
        <v>900</v>
      </c>
      <c r="D10850" s="907" t="s">
        <v>93</v>
      </c>
      <c r="E10850" s="992" t="s">
        <v>6322</v>
      </c>
      <c r="F10850" s="905" t="s">
        <v>2673</v>
      </c>
      <c r="G10850" s="1005"/>
      <c r="H10850" s="911">
        <v>0.36</v>
      </c>
      <c r="I10850" s="912"/>
      <c r="J10850" s="912"/>
      <c r="K10850" s="912"/>
      <c r="L10850" s="912"/>
      <c r="M10850" s="912">
        <f>VLOOKUP(B10850,MTC!$B$9:$S$933,12,0)</f>
        <v>1475268</v>
      </c>
      <c r="N10850" s="912">
        <f>M10850*H10850</f>
        <v>531096.48</v>
      </c>
      <c r="O10850" s="892">
        <f t="shared" si="876"/>
        <v>0</v>
      </c>
      <c r="P10850" s="903">
        <f t="shared" si="873"/>
        <v>1</v>
      </c>
      <c r="Q10850" s="893">
        <f t="shared" si="874"/>
        <v>2</v>
      </c>
      <c r="R10850" s="894">
        <f t="shared" si="875"/>
        <v>0</v>
      </c>
    </row>
    <row r="10851" spans="1:18">
      <c r="A10851" s="905"/>
      <c r="B10851" s="1015" t="s">
        <v>6728</v>
      </c>
      <c r="C10851" s="907">
        <v>999</v>
      </c>
      <c r="D10851" s="907" t="s">
        <v>93</v>
      </c>
      <c r="E10851" s="992" t="s">
        <v>6729</v>
      </c>
      <c r="F10851" s="905" t="s">
        <v>4007</v>
      </c>
      <c r="G10851" s="1005"/>
      <c r="H10851" s="911">
        <v>3</v>
      </c>
      <c r="I10851" s="912"/>
      <c r="J10851" s="912"/>
      <c r="K10851" s="912"/>
      <c r="L10851" s="912"/>
      <c r="M10851" s="912">
        <f>VLOOKUP(B10851,MTC!$B$9:$S$933,12,0)</f>
        <v>0</v>
      </c>
      <c r="N10851" s="912">
        <f>M10851*H10851</f>
        <v>0</v>
      </c>
      <c r="O10851" s="892">
        <f t="shared" si="876"/>
        <v>0</v>
      </c>
      <c r="P10851" s="903">
        <f t="shared" si="873"/>
        <v>1</v>
      </c>
      <c r="Q10851" s="893">
        <f t="shared" si="874"/>
        <v>1</v>
      </c>
      <c r="R10851" s="894">
        <f t="shared" si="875"/>
        <v>0</v>
      </c>
    </row>
    <row r="10852" spans="1:18" s="847" customFormat="1">
      <c r="A10852" s="905">
        <v>203</v>
      </c>
      <c r="B10852" s="914" t="s">
        <v>6766</v>
      </c>
      <c r="C10852" s="915"/>
      <c r="D10852" s="915"/>
      <c r="E10852" s="1006" t="s">
        <v>6767</v>
      </c>
      <c r="F10852" s="917" t="s">
        <v>139</v>
      </c>
      <c r="G10852" s="1008"/>
      <c r="H10852" s="919"/>
      <c r="I10852" s="920"/>
      <c r="J10852" s="962">
        <f>SUM(J10853:J10862)</f>
        <v>75341</v>
      </c>
      <c r="K10852" s="891" t="s">
        <v>274</v>
      </c>
      <c r="L10852" s="962">
        <f>SUM(L10853:L10862)</f>
        <v>3156107.84</v>
      </c>
      <c r="M10852" s="962"/>
      <c r="N10852" s="962">
        <f>SUM(N10853:N10862)</f>
        <v>531096.48</v>
      </c>
      <c r="O10852" s="892">
        <f t="shared" si="876"/>
        <v>1</v>
      </c>
      <c r="P10852" s="903">
        <f t="shared" si="873"/>
        <v>0</v>
      </c>
      <c r="Q10852" s="893">
        <f t="shared" si="874"/>
        <v>0</v>
      </c>
      <c r="R10852" s="894">
        <f t="shared" si="875"/>
        <v>10</v>
      </c>
    </row>
    <row r="10853" spans="1:18" s="904" customFormat="1">
      <c r="A10853" s="895"/>
      <c r="B10853" s="896"/>
      <c r="C10853" s="897"/>
      <c r="D10853" s="897"/>
      <c r="E10853" s="1002" t="s">
        <v>108</v>
      </c>
      <c r="F10853" s="1003"/>
      <c r="G10853" s="1004"/>
      <c r="H10853" s="901"/>
      <c r="I10853" s="902"/>
      <c r="J10853" s="902"/>
      <c r="K10853" s="912" t="s">
        <v>274</v>
      </c>
      <c r="L10853" s="902"/>
      <c r="M10853" s="902"/>
      <c r="N10853" s="902"/>
      <c r="O10853" s="892">
        <f t="shared" si="876"/>
        <v>0</v>
      </c>
      <c r="P10853" s="903">
        <f t="shared" si="873"/>
        <v>1</v>
      </c>
      <c r="Q10853" s="893">
        <f t="shared" si="874"/>
        <v>10</v>
      </c>
      <c r="R10853" s="894">
        <f t="shared" si="875"/>
        <v>0</v>
      </c>
    </row>
    <row r="10854" spans="1:18">
      <c r="A10854" s="905"/>
      <c r="B10854" s="952"/>
      <c r="C10854" s="907">
        <v>234</v>
      </c>
      <c r="D10854" s="907" t="s">
        <v>279</v>
      </c>
      <c r="E10854" s="992" t="s">
        <v>5983</v>
      </c>
      <c r="F10854" s="905" t="s">
        <v>3144</v>
      </c>
      <c r="G10854" s="1005"/>
      <c r="H10854" s="911">
        <v>2.5</v>
      </c>
      <c r="I10854" s="912">
        <f>VLOOKUP(E10854,[3]VLP!$B$7:$K$300,10,0)</f>
        <v>14000</v>
      </c>
      <c r="J10854" s="912">
        <f>I10854*H10854</f>
        <v>35000</v>
      </c>
      <c r="K10854" s="912" t="s">
        <v>274</v>
      </c>
      <c r="L10854" s="912"/>
      <c r="M10854" s="912"/>
      <c r="N10854" s="912"/>
      <c r="O10854" s="892">
        <f t="shared" si="876"/>
        <v>0</v>
      </c>
      <c r="P10854" s="903">
        <f t="shared" si="873"/>
        <v>1</v>
      </c>
      <c r="Q10854" s="893">
        <f t="shared" si="874"/>
        <v>9</v>
      </c>
      <c r="R10854" s="894">
        <f t="shared" si="875"/>
        <v>0</v>
      </c>
    </row>
    <row r="10855" spans="1:18" s="847" customFormat="1">
      <c r="A10855" s="905"/>
      <c r="B10855" s="952"/>
      <c r="C10855" s="907">
        <v>317</v>
      </c>
      <c r="D10855" s="907" t="s">
        <v>279</v>
      </c>
      <c r="E10855" s="992" t="s">
        <v>3273</v>
      </c>
      <c r="F10855" s="905" t="s">
        <v>45</v>
      </c>
      <c r="G10855" s="1005"/>
      <c r="H10855" s="911">
        <v>0.25</v>
      </c>
      <c r="I10855" s="912">
        <f>VLOOKUP(E10855,[3]VLP!$B$7:$K$300,10,0)</f>
        <v>25000</v>
      </c>
      <c r="J10855" s="912">
        <f>I10855*H10855</f>
        <v>6250</v>
      </c>
      <c r="K10855" s="912" t="s">
        <v>274</v>
      </c>
      <c r="L10855" s="912"/>
      <c r="M10855" s="912"/>
      <c r="N10855" s="912"/>
      <c r="O10855" s="892">
        <f t="shared" si="876"/>
        <v>0</v>
      </c>
      <c r="P10855" s="903">
        <f t="shared" si="873"/>
        <v>1</v>
      </c>
      <c r="Q10855" s="893">
        <f t="shared" si="874"/>
        <v>8</v>
      </c>
      <c r="R10855" s="894">
        <f t="shared" si="875"/>
        <v>0</v>
      </c>
    </row>
    <row r="10856" spans="1:18" s="904" customFormat="1">
      <c r="A10856" s="905"/>
      <c r="B10856" s="952"/>
      <c r="C10856" s="907">
        <v>321</v>
      </c>
      <c r="D10856" s="907" t="s">
        <v>279</v>
      </c>
      <c r="E10856" s="992" t="s">
        <v>6317</v>
      </c>
      <c r="F10856" s="905" t="s">
        <v>45</v>
      </c>
      <c r="G10856" s="1005"/>
      <c r="H10856" s="911">
        <v>0.5</v>
      </c>
      <c r="I10856" s="912">
        <f>VLOOKUP(E10856,[3]VLP!$B$7:$K$300,10,0)</f>
        <v>38182</v>
      </c>
      <c r="J10856" s="912">
        <f>I10856*H10856</f>
        <v>19091</v>
      </c>
      <c r="K10856" s="912" t="s">
        <v>274</v>
      </c>
      <c r="L10856" s="912"/>
      <c r="M10856" s="912"/>
      <c r="N10856" s="912"/>
      <c r="O10856" s="892">
        <f t="shared" si="876"/>
        <v>0</v>
      </c>
      <c r="P10856" s="903">
        <f t="shared" si="873"/>
        <v>1</v>
      </c>
      <c r="Q10856" s="893">
        <f t="shared" si="874"/>
        <v>7</v>
      </c>
      <c r="R10856" s="894">
        <f t="shared" si="875"/>
        <v>0</v>
      </c>
    </row>
    <row r="10857" spans="1:18">
      <c r="A10857" s="905"/>
      <c r="B10857" s="952"/>
      <c r="C10857" s="907">
        <v>235</v>
      </c>
      <c r="D10857" s="907" t="s">
        <v>279</v>
      </c>
      <c r="E10857" s="992" t="s">
        <v>2682</v>
      </c>
      <c r="F10857" s="905" t="s">
        <v>45</v>
      </c>
      <c r="G10857" s="1005"/>
      <c r="H10857" s="911">
        <v>3</v>
      </c>
      <c r="I10857" s="912">
        <f>VLOOKUP(E10857,[3]VLP!$B$7:$K$300,10,0)</f>
        <v>5000</v>
      </c>
      <c r="J10857" s="912">
        <f>I10857*H10857</f>
        <v>15000</v>
      </c>
      <c r="K10857" s="912" t="s">
        <v>274</v>
      </c>
      <c r="L10857" s="912"/>
      <c r="M10857" s="912"/>
      <c r="N10857" s="912"/>
      <c r="O10857" s="892">
        <f t="shared" si="876"/>
        <v>0</v>
      </c>
      <c r="P10857" s="903">
        <f t="shared" si="873"/>
        <v>1</v>
      </c>
      <c r="Q10857" s="893">
        <f t="shared" si="874"/>
        <v>6</v>
      </c>
      <c r="R10857" s="894">
        <f t="shared" si="875"/>
        <v>0</v>
      </c>
    </row>
    <row r="10858" spans="1:18" s="847" customFormat="1">
      <c r="A10858" s="895"/>
      <c r="B10858" s="896"/>
      <c r="C10858" s="897"/>
      <c r="D10858" s="897"/>
      <c r="E10858" s="1002" t="s">
        <v>276</v>
      </c>
      <c r="F10858" s="1003"/>
      <c r="G10858" s="1004"/>
      <c r="H10858" s="901"/>
      <c r="I10858" s="902"/>
      <c r="J10858" s="902"/>
      <c r="K10858" s="912" t="s">
        <v>274</v>
      </c>
      <c r="L10858" s="902"/>
      <c r="M10858" s="902"/>
      <c r="N10858" s="902"/>
      <c r="O10858" s="892">
        <f t="shared" si="876"/>
        <v>0</v>
      </c>
      <c r="P10858" s="903">
        <f t="shared" si="873"/>
        <v>1</v>
      </c>
      <c r="Q10858" s="893">
        <f t="shared" si="874"/>
        <v>5</v>
      </c>
      <c r="R10858" s="894">
        <f t="shared" si="875"/>
        <v>0</v>
      </c>
    </row>
    <row r="10859" spans="1:18" s="904" customFormat="1">
      <c r="A10859" s="905"/>
      <c r="B10859" s="952"/>
      <c r="C10859" s="907">
        <v>745</v>
      </c>
      <c r="D10859" s="907" t="s">
        <v>12</v>
      </c>
      <c r="E10859" s="992" t="s">
        <v>5518</v>
      </c>
      <c r="F10859" s="905" t="s">
        <v>2674</v>
      </c>
      <c r="G10859" s="1005"/>
      <c r="H10859" s="911">
        <v>13.12</v>
      </c>
      <c r="I10859" s="912"/>
      <c r="J10859" s="912"/>
      <c r="K10859" s="912">
        <f>VLOOKUP(E10859,[5]ĐMNC!$A$7:$F$67,4,0)</f>
        <v>240557</v>
      </c>
      <c r="L10859" s="912">
        <f>H10859*K10859</f>
        <v>3156107.84</v>
      </c>
      <c r="M10859" s="912"/>
      <c r="N10859" s="912"/>
      <c r="O10859" s="892">
        <f t="shared" si="876"/>
        <v>0</v>
      </c>
      <c r="P10859" s="903">
        <f t="shared" si="873"/>
        <v>1</v>
      </c>
      <c r="Q10859" s="893">
        <f t="shared" si="874"/>
        <v>4</v>
      </c>
      <c r="R10859" s="894">
        <f t="shared" si="875"/>
        <v>0</v>
      </c>
    </row>
    <row r="10860" spans="1:18">
      <c r="A10860" s="895"/>
      <c r="B10860" s="896"/>
      <c r="C10860" s="897"/>
      <c r="D10860" s="897"/>
      <c r="E10860" s="1002" t="s">
        <v>3914</v>
      </c>
      <c r="F10860" s="1003"/>
      <c r="G10860" s="1004"/>
      <c r="H10860" s="901"/>
      <c r="I10860" s="902"/>
      <c r="J10860" s="902"/>
      <c r="K10860" s="912" t="s">
        <v>274</v>
      </c>
      <c r="L10860" s="902"/>
      <c r="M10860" s="902"/>
      <c r="N10860" s="902"/>
      <c r="O10860" s="892">
        <f t="shared" si="876"/>
        <v>0</v>
      </c>
      <c r="P10860" s="903">
        <f t="shared" si="873"/>
        <v>1</v>
      </c>
      <c r="Q10860" s="893">
        <f t="shared" si="874"/>
        <v>3</v>
      </c>
      <c r="R10860" s="894">
        <f t="shared" si="875"/>
        <v>0</v>
      </c>
    </row>
    <row r="10861" spans="1:18" s="847" customFormat="1">
      <c r="A10861" s="905"/>
      <c r="B10861" s="946" t="s">
        <v>6321</v>
      </c>
      <c r="C10861" s="907">
        <v>900</v>
      </c>
      <c r="D10861" s="907" t="s">
        <v>93</v>
      </c>
      <c r="E10861" s="992" t="s">
        <v>6322</v>
      </c>
      <c r="F10861" s="905" t="s">
        <v>2673</v>
      </c>
      <c r="G10861" s="1005"/>
      <c r="H10861" s="911">
        <v>0.36</v>
      </c>
      <c r="I10861" s="912"/>
      <c r="J10861" s="912"/>
      <c r="K10861" s="912"/>
      <c r="L10861" s="912"/>
      <c r="M10861" s="912">
        <f>VLOOKUP(B10861,MTC!$B$9:$S$933,12,0)</f>
        <v>1475268</v>
      </c>
      <c r="N10861" s="912">
        <f>M10861*H10861</f>
        <v>531096.48</v>
      </c>
      <c r="O10861" s="892">
        <f t="shared" si="876"/>
        <v>0</v>
      </c>
      <c r="P10861" s="903">
        <f t="shared" si="873"/>
        <v>1</v>
      </c>
      <c r="Q10861" s="893">
        <f t="shared" si="874"/>
        <v>2</v>
      </c>
      <c r="R10861" s="894">
        <f t="shared" si="875"/>
        <v>0</v>
      </c>
    </row>
    <row r="10862" spans="1:18" s="904" customFormat="1">
      <c r="A10862" s="905"/>
      <c r="B10862" s="1015" t="s">
        <v>6728</v>
      </c>
      <c r="C10862" s="907">
        <v>999</v>
      </c>
      <c r="D10862" s="907" t="s">
        <v>93</v>
      </c>
      <c r="E10862" s="992" t="s">
        <v>6729</v>
      </c>
      <c r="F10862" s="905" t="s">
        <v>4007</v>
      </c>
      <c r="G10862" s="1005"/>
      <c r="H10862" s="911">
        <v>3</v>
      </c>
      <c r="I10862" s="912"/>
      <c r="J10862" s="912"/>
      <c r="K10862" s="912"/>
      <c r="L10862" s="912"/>
      <c r="M10862" s="912">
        <f>VLOOKUP(B10862,MTC!$B$9:$S$933,12,0)</f>
        <v>0</v>
      </c>
      <c r="N10862" s="912">
        <f>M10862*H10862</f>
        <v>0</v>
      </c>
      <c r="O10862" s="892">
        <f t="shared" si="876"/>
        <v>0</v>
      </c>
      <c r="P10862" s="903">
        <f t="shared" si="873"/>
        <v>1</v>
      </c>
      <c r="Q10862" s="893">
        <f t="shared" si="874"/>
        <v>1</v>
      </c>
      <c r="R10862" s="894">
        <f t="shared" si="875"/>
        <v>0</v>
      </c>
    </row>
    <row r="10863" spans="1:18">
      <c r="A10863" s="905">
        <v>204</v>
      </c>
      <c r="B10863" s="914" t="s">
        <v>6768</v>
      </c>
      <c r="C10863" s="915"/>
      <c r="D10863" s="915"/>
      <c r="E10863" s="1006" t="s">
        <v>6769</v>
      </c>
      <c r="F10863" s="917" t="s">
        <v>139</v>
      </c>
      <c r="G10863" s="1008"/>
      <c r="H10863" s="919"/>
      <c r="I10863" s="920"/>
      <c r="J10863" s="962">
        <f>SUM(J10864:J10873)</f>
        <v>75341</v>
      </c>
      <c r="K10863" s="891" t="s">
        <v>274</v>
      </c>
      <c r="L10863" s="962">
        <f>SUM(L10864:L10873)</f>
        <v>3714200.08</v>
      </c>
      <c r="M10863" s="962"/>
      <c r="N10863" s="962">
        <f>SUM(N10864:N10873)</f>
        <v>531096.48</v>
      </c>
      <c r="O10863" s="892">
        <f t="shared" si="876"/>
        <v>1</v>
      </c>
      <c r="P10863" s="903">
        <f t="shared" si="873"/>
        <v>0</v>
      </c>
      <c r="Q10863" s="893">
        <f t="shared" si="874"/>
        <v>0</v>
      </c>
      <c r="R10863" s="894">
        <f t="shared" si="875"/>
        <v>10</v>
      </c>
    </row>
    <row r="10864" spans="1:18" s="847" customFormat="1">
      <c r="A10864" s="895"/>
      <c r="B10864" s="896"/>
      <c r="C10864" s="897"/>
      <c r="D10864" s="897"/>
      <c r="E10864" s="1002" t="s">
        <v>108</v>
      </c>
      <c r="F10864" s="1003"/>
      <c r="G10864" s="1004"/>
      <c r="H10864" s="901"/>
      <c r="I10864" s="902"/>
      <c r="J10864" s="902"/>
      <c r="K10864" s="912" t="s">
        <v>274</v>
      </c>
      <c r="L10864" s="902"/>
      <c r="M10864" s="902"/>
      <c r="N10864" s="902"/>
      <c r="O10864" s="892">
        <f t="shared" si="876"/>
        <v>0</v>
      </c>
      <c r="P10864" s="903">
        <f t="shared" si="873"/>
        <v>1</v>
      </c>
      <c r="Q10864" s="893">
        <f t="shared" si="874"/>
        <v>10</v>
      </c>
      <c r="R10864" s="894">
        <f t="shared" si="875"/>
        <v>0</v>
      </c>
    </row>
    <row r="10865" spans="1:18" s="904" customFormat="1">
      <c r="A10865" s="905"/>
      <c r="B10865" s="952"/>
      <c r="C10865" s="907">
        <v>234</v>
      </c>
      <c r="D10865" s="907" t="s">
        <v>279</v>
      </c>
      <c r="E10865" s="992" t="s">
        <v>5983</v>
      </c>
      <c r="F10865" s="905" t="s">
        <v>3144</v>
      </c>
      <c r="G10865" s="1005"/>
      <c r="H10865" s="911">
        <v>2.5</v>
      </c>
      <c r="I10865" s="912">
        <f>VLOOKUP(E10865,[3]VLP!$B$7:$K$300,10,0)</f>
        <v>14000</v>
      </c>
      <c r="J10865" s="912">
        <f>I10865*H10865</f>
        <v>35000</v>
      </c>
      <c r="K10865" s="912" t="s">
        <v>274</v>
      </c>
      <c r="L10865" s="912"/>
      <c r="M10865" s="912"/>
      <c r="N10865" s="912"/>
      <c r="O10865" s="892">
        <f t="shared" si="876"/>
        <v>0</v>
      </c>
      <c r="P10865" s="903">
        <f t="shared" si="873"/>
        <v>1</v>
      </c>
      <c r="Q10865" s="893">
        <f t="shared" si="874"/>
        <v>9</v>
      </c>
      <c r="R10865" s="894">
        <f t="shared" si="875"/>
        <v>0</v>
      </c>
    </row>
    <row r="10866" spans="1:18">
      <c r="A10866" s="905"/>
      <c r="B10866" s="952"/>
      <c r="C10866" s="907">
        <v>317</v>
      </c>
      <c r="D10866" s="907" t="s">
        <v>279</v>
      </c>
      <c r="E10866" s="992" t="s">
        <v>3273</v>
      </c>
      <c r="F10866" s="905" t="s">
        <v>45</v>
      </c>
      <c r="G10866" s="1005"/>
      <c r="H10866" s="911">
        <v>0.25</v>
      </c>
      <c r="I10866" s="912">
        <f>VLOOKUP(E10866,[3]VLP!$B$7:$K$300,10,0)</f>
        <v>25000</v>
      </c>
      <c r="J10866" s="912">
        <f>I10866*H10866</f>
        <v>6250</v>
      </c>
      <c r="K10866" s="912" t="s">
        <v>274</v>
      </c>
      <c r="L10866" s="912"/>
      <c r="M10866" s="912"/>
      <c r="N10866" s="912"/>
      <c r="O10866" s="892">
        <f t="shared" si="876"/>
        <v>0</v>
      </c>
      <c r="P10866" s="903">
        <f t="shared" si="873"/>
        <v>1</v>
      </c>
      <c r="Q10866" s="893">
        <f t="shared" si="874"/>
        <v>8</v>
      </c>
      <c r="R10866" s="894">
        <f t="shared" si="875"/>
        <v>0</v>
      </c>
    </row>
    <row r="10867" spans="1:18" s="847" customFormat="1">
      <c r="A10867" s="905"/>
      <c r="B10867" s="952"/>
      <c r="C10867" s="907">
        <v>321</v>
      </c>
      <c r="D10867" s="907" t="s">
        <v>279</v>
      </c>
      <c r="E10867" s="992" t="s">
        <v>6317</v>
      </c>
      <c r="F10867" s="905" t="s">
        <v>45</v>
      </c>
      <c r="G10867" s="1005"/>
      <c r="H10867" s="911">
        <v>0.5</v>
      </c>
      <c r="I10867" s="912">
        <f>VLOOKUP(E10867,[3]VLP!$B$7:$K$300,10,0)</f>
        <v>38182</v>
      </c>
      <c r="J10867" s="912">
        <f>I10867*H10867</f>
        <v>19091</v>
      </c>
      <c r="K10867" s="912" t="s">
        <v>274</v>
      </c>
      <c r="L10867" s="912"/>
      <c r="M10867" s="912"/>
      <c r="N10867" s="912"/>
      <c r="O10867" s="892">
        <f t="shared" si="876"/>
        <v>0</v>
      </c>
      <c r="P10867" s="903">
        <f t="shared" ref="P10867:P10930" si="877">IF(O10867=0,1,0)</f>
        <v>1</v>
      </c>
      <c r="Q10867" s="893">
        <f t="shared" ref="Q10867:Q10930" si="878">IF(P10867=0,0,P10867+Q10868)</f>
        <v>7</v>
      </c>
      <c r="R10867" s="894">
        <f t="shared" ref="R10867:R10930" si="879">IF(Q10867=0,Q10868,0)</f>
        <v>0</v>
      </c>
    </row>
    <row r="10868" spans="1:18" s="904" customFormat="1">
      <c r="A10868" s="905"/>
      <c r="B10868" s="952"/>
      <c r="C10868" s="907">
        <v>235</v>
      </c>
      <c r="D10868" s="907" t="s">
        <v>279</v>
      </c>
      <c r="E10868" s="992" t="s">
        <v>2682</v>
      </c>
      <c r="F10868" s="905" t="s">
        <v>45</v>
      </c>
      <c r="G10868" s="1005"/>
      <c r="H10868" s="911">
        <v>3</v>
      </c>
      <c r="I10868" s="912">
        <f>VLOOKUP(E10868,[3]VLP!$B$7:$K$300,10,0)</f>
        <v>5000</v>
      </c>
      <c r="J10868" s="912">
        <f>I10868*H10868</f>
        <v>15000</v>
      </c>
      <c r="K10868" s="912" t="s">
        <v>274</v>
      </c>
      <c r="L10868" s="912"/>
      <c r="M10868" s="912"/>
      <c r="N10868" s="912"/>
      <c r="O10868" s="892">
        <f t="shared" si="876"/>
        <v>0</v>
      </c>
      <c r="P10868" s="903">
        <f t="shared" si="877"/>
        <v>1</v>
      </c>
      <c r="Q10868" s="893">
        <f t="shared" si="878"/>
        <v>6</v>
      </c>
      <c r="R10868" s="894">
        <f t="shared" si="879"/>
        <v>0</v>
      </c>
    </row>
    <row r="10869" spans="1:18">
      <c r="A10869" s="895"/>
      <c r="B10869" s="896"/>
      <c r="C10869" s="897"/>
      <c r="D10869" s="897"/>
      <c r="E10869" s="1002" t="s">
        <v>276</v>
      </c>
      <c r="F10869" s="1003"/>
      <c r="G10869" s="1004"/>
      <c r="H10869" s="901"/>
      <c r="I10869" s="902"/>
      <c r="J10869" s="902"/>
      <c r="K10869" s="912" t="s">
        <v>274</v>
      </c>
      <c r="L10869" s="902"/>
      <c r="M10869" s="902"/>
      <c r="N10869" s="902"/>
      <c r="O10869" s="892">
        <f t="shared" si="876"/>
        <v>0</v>
      </c>
      <c r="P10869" s="903">
        <f t="shared" si="877"/>
        <v>1</v>
      </c>
      <c r="Q10869" s="893">
        <f t="shared" si="878"/>
        <v>5</v>
      </c>
      <c r="R10869" s="894">
        <f t="shared" si="879"/>
        <v>0</v>
      </c>
    </row>
    <row r="10870" spans="1:18" s="847" customFormat="1">
      <c r="A10870" s="905"/>
      <c r="B10870" s="952"/>
      <c r="C10870" s="907">
        <v>745</v>
      </c>
      <c r="D10870" s="907" t="s">
        <v>12</v>
      </c>
      <c r="E10870" s="992" t="s">
        <v>5518</v>
      </c>
      <c r="F10870" s="905" t="s">
        <v>2674</v>
      </c>
      <c r="G10870" s="1005"/>
      <c r="H10870" s="911">
        <v>15.44</v>
      </c>
      <c r="I10870" s="912"/>
      <c r="J10870" s="912"/>
      <c r="K10870" s="912">
        <f>VLOOKUP(E10870,[5]ĐMNC!$A$7:$F$67,4,0)</f>
        <v>240557</v>
      </c>
      <c r="L10870" s="912">
        <f>H10870*K10870</f>
        <v>3714200.08</v>
      </c>
      <c r="M10870" s="912"/>
      <c r="N10870" s="912"/>
      <c r="O10870" s="892">
        <f t="shared" si="876"/>
        <v>0</v>
      </c>
      <c r="P10870" s="903">
        <f t="shared" si="877"/>
        <v>1</v>
      </c>
      <c r="Q10870" s="893">
        <f t="shared" si="878"/>
        <v>4</v>
      </c>
      <c r="R10870" s="894">
        <f t="shared" si="879"/>
        <v>0</v>
      </c>
    </row>
    <row r="10871" spans="1:18" s="904" customFormat="1">
      <c r="A10871" s="895"/>
      <c r="B10871" s="896"/>
      <c r="C10871" s="897"/>
      <c r="D10871" s="897"/>
      <c r="E10871" s="1002" t="s">
        <v>3914</v>
      </c>
      <c r="F10871" s="1003"/>
      <c r="G10871" s="1004"/>
      <c r="H10871" s="901"/>
      <c r="I10871" s="902"/>
      <c r="J10871" s="902"/>
      <c r="K10871" s="912" t="s">
        <v>274</v>
      </c>
      <c r="L10871" s="902"/>
      <c r="M10871" s="902"/>
      <c r="N10871" s="902"/>
      <c r="O10871" s="892">
        <f t="shared" si="876"/>
        <v>0</v>
      </c>
      <c r="P10871" s="903">
        <f t="shared" si="877"/>
        <v>1</v>
      </c>
      <c r="Q10871" s="893">
        <f t="shared" si="878"/>
        <v>3</v>
      </c>
      <c r="R10871" s="894">
        <f t="shared" si="879"/>
        <v>0</v>
      </c>
    </row>
    <row r="10872" spans="1:18">
      <c r="A10872" s="905"/>
      <c r="B10872" s="946" t="s">
        <v>6321</v>
      </c>
      <c r="C10872" s="907">
        <v>900</v>
      </c>
      <c r="D10872" s="907" t="s">
        <v>93</v>
      </c>
      <c r="E10872" s="992" t="s">
        <v>6322</v>
      </c>
      <c r="F10872" s="905" t="s">
        <v>2673</v>
      </c>
      <c r="G10872" s="1005"/>
      <c r="H10872" s="911">
        <v>0.36</v>
      </c>
      <c r="I10872" s="912"/>
      <c r="J10872" s="912"/>
      <c r="K10872" s="912"/>
      <c r="L10872" s="912"/>
      <c r="M10872" s="912">
        <f>VLOOKUP(B10872,MTC!$B$9:$S$933,12,0)</f>
        <v>1475268</v>
      </c>
      <c r="N10872" s="912">
        <f>M10872*H10872</f>
        <v>531096.48</v>
      </c>
      <c r="O10872" s="892">
        <f t="shared" si="876"/>
        <v>0</v>
      </c>
      <c r="P10872" s="903">
        <f t="shared" si="877"/>
        <v>1</v>
      </c>
      <c r="Q10872" s="893">
        <f t="shared" si="878"/>
        <v>2</v>
      </c>
      <c r="R10872" s="894">
        <f t="shared" si="879"/>
        <v>0</v>
      </c>
    </row>
    <row r="10873" spans="1:18" s="847" customFormat="1">
      <c r="A10873" s="905"/>
      <c r="B10873" s="1015" t="s">
        <v>6728</v>
      </c>
      <c r="C10873" s="907">
        <v>999</v>
      </c>
      <c r="D10873" s="907" t="s">
        <v>93</v>
      </c>
      <c r="E10873" s="992" t="s">
        <v>6729</v>
      </c>
      <c r="F10873" s="905" t="s">
        <v>4007</v>
      </c>
      <c r="G10873" s="1005"/>
      <c r="H10873" s="911">
        <v>3</v>
      </c>
      <c r="I10873" s="912"/>
      <c r="J10873" s="912"/>
      <c r="K10873" s="912"/>
      <c r="L10873" s="912"/>
      <c r="M10873" s="912">
        <f>VLOOKUP(B10873,MTC!$B$9:$S$933,12,0)</f>
        <v>0</v>
      </c>
      <c r="N10873" s="912">
        <f>M10873*H10873</f>
        <v>0</v>
      </c>
      <c r="O10873" s="892">
        <f t="shared" si="876"/>
        <v>0</v>
      </c>
      <c r="P10873" s="903">
        <f t="shared" si="877"/>
        <v>1</v>
      </c>
      <c r="Q10873" s="893">
        <f t="shared" si="878"/>
        <v>1</v>
      </c>
      <c r="R10873" s="894">
        <f t="shared" si="879"/>
        <v>0</v>
      </c>
    </row>
    <row r="10874" spans="1:18" s="904" customFormat="1" ht="31.5">
      <c r="A10874" s="905">
        <v>205</v>
      </c>
      <c r="B10874" s="914" t="s">
        <v>2015</v>
      </c>
      <c r="C10874" s="915"/>
      <c r="D10874" s="915"/>
      <c r="E10874" s="1006" t="s">
        <v>6770</v>
      </c>
      <c r="F10874" s="917" t="s">
        <v>139</v>
      </c>
      <c r="G10874" s="1008"/>
      <c r="H10874" s="919"/>
      <c r="I10874" s="920"/>
      <c r="J10874" s="962">
        <f>SUM(J10875:J10884)</f>
        <v>45454.6</v>
      </c>
      <c r="K10874" s="891" t="s">
        <v>274</v>
      </c>
      <c r="L10874" s="962">
        <f>SUM(L10875:L10884)</f>
        <v>1096939.92</v>
      </c>
      <c r="M10874" s="962"/>
      <c r="N10874" s="962">
        <f>SUM(N10875:N10884)</f>
        <v>354064.32</v>
      </c>
      <c r="O10874" s="892">
        <f t="shared" si="876"/>
        <v>1</v>
      </c>
      <c r="P10874" s="903">
        <f t="shared" si="877"/>
        <v>0</v>
      </c>
      <c r="Q10874" s="893">
        <f t="shared" si="878"/>
        <v>0</v>
      </c>
      <c r="R10874" s="894">
        <f t="shared" si="879"/>
        <v>10</v>
      </c>
    </row>
    <row r="10875" spans="1:18">
      <c r="A10875" s="895"/>
      <c r="B10875" s="922"/>
      <c r="C10875" s="897"/>
      <c r="D10875" s="897"/>
      <c r="E10875" s="1002" t="s">
        <v>108</v>
      </c>
      <c r="F10875" s="1003"/>
      <c r="G10875" s="1004"/>
      <c r="H10875" s="901"/>
      <c r="I10875" s="902"/>
      <c r="J10875" s="902"/>
      <c r="K10875" s="912" t="s">
        <v>274</v>
      </c>
      <c r="L10875" s="902"/>
      <c r="M10875" s="902"/>
      <c r="N10875" s="902"/>
      <c r="O10875" s="892">
        <f t="shared" si="876"/>
        <v>0</v>
      </c>
      <c r="P10875" s="903">
        <f t="shared" si="877"/>
        <v>1</v>
      </c>
      <c r="Q10875" s="893">
        <f t="shared" si="878"/>
        <v>10</v>
      </c>
      <c r="R10875" s="894">
        <f t="shared" si="879"/>
        <v>0</v>
      </c>
    </row>
    <row r="10876" spans="1:18" s="847" customFormat="1">
      <c r="A10876" s="905"/>
      <c r="B10876" s="952"/>
      <c r="C10876" s="907">
        <v>234</v>
      </c>
      <c r="D10876" s="907" t="s">
        <v>279</v>
      </c>
      <c r="E10876" s="992" t="s">
        <v>5983</v>
      </c>
      <c r="F10876" s="905" t="s">
        <v>3144</v>
      </c>
      <c r="G10876" s="1005"/>
      <c r="H10876" s="911">
        <v>1.5</v>
      </c>
      <c r="I10876" s="912">
        <f>VLOOKUP(E10876,[3]VLP!$B$7:$K$300,10,0)</f>
        <v>14000</v>
      </c>
      <c r="J10876" s="912">
        <f>I10876*H10876</f>
        <v>21000</v>
      </c>
      <c r="K10876" s="912" t="s">
        <v>274</v>
      </c>
      <c r="L10876" s="912"/>
      <c r="M10876" s="912"/>
      <c r="N10876" s="912"/>
      <c r="O10876" s="892">
        <f t="shared" si="876"/>
        <v>0</v>
      </c>
      <c r="P10876" s="903">
        <f t="shared" si="877"/>
        <v>1</v>
      </c>
      <c r="Q10876" s="893">
        <f t="shared" si="878"/>
        <v>9</v>
      </c>
      <c r="R10876" s="894">
        <f t="shared" si="879"/>
        <v>0</v>
      </c>
    </row>
    <row r="10877" spans="1:18" s="904" customFormat="1">
      <c r="A10877" s="905"/>
      <c r="B10877" s="952"/>
      <c r="C10877" s="907">
        <v>317</v>
      </c>
      <c r="D10877" s="907" t="s">
        <v>279</v>
      </c>
      <c r="E10877" s="992" t="s">
        <v>3273</v>
      </c>
      <c r="F10877" s="905" t="s">
        <v>45</v>
      </c>
      <c r="G10877" s="1005"/>
      <c r="H10877" s="911">
        <v>0.12</v>
      </c>
      <c r="I10877" s="912">
        <f>VLOOKUP(E10877,[3]VLP!$B$7:$K$300,10,0)</f>
        <v>25000</v>
      </c>
      <c r="J10877" s="912">
        <f>I10877*H10877</f>
        <v>3000</v>
      </c>
      <c r="K10877" s="912" t="s">
        <v>274</v>
      </c>
      <c r="L10877" s="912"/>
      <c r="M10877" s="912"/>
      <c r="N10877" s="912"/>
      <c r="O10877" s="892">
        <f t="shared" si="876"/>
        <v>0</v>
      </c>
      <c r="P10877" s="903">
        <f t="shared" si="877"/>
        <v>1</v>
      </c>
      <c r="Q10877" s="893">
        <f t="shared" si="878"/>
        <v>8</v>
      </c>
      <c r="R10877" s="894">
        <f t="shared" si="879"/>
        <v>0</v>
      </c>
    </row>
    <row r="10878" spans="1:18">
      <c r="A10878" s="905"/>
      <c r="B10878" s="952"/>
      <c r="C10878" s="907">
        <v>321</v>
      </c>
      <c r="D10878" s="907" t="s">
        <v>279</v>
      </c>
      <c r="E10878" s="992" t="s">
        <v>6317</v>
      </c>
      <c r="F10878" s="905" t="s">
        <v>45</v>
      </c>
      <c r="G10878" s="1005"/>
      <c r="H10878" s="911">
        <v>0.3</v>
      </c>
      <c r="I10878" s="912">
        <f>VLOOKUP(E10878,[3]VLP!$B$7:$K$300,10,0)</f>
        <v>38182</v>
      </c>
      <c r="J10878" s="912">
        <f>I10878*H10878</f>
        <v>11454.6</v>
      </c>
      <c r="K10878" s="912" t="s">
        <v>274</v>
      </c>
      <c r="L10878" s="912"/>
      <c r="M10878" s="912"/>
      <c r="N10878" s="912"/>
      <c r="O10878" s="892">
        <f t="shared" si="876"/>
        <v>0</v>
      </c>
      <c r="P10878" s="903">
        <f t="shared" si="877"/>
        <v>1</v>
      </c>
      <c r="Q10878" s="893">
        <f t="shared" si="878"/>
        <v>7</v>
      </c>
      <c r="R10878" s="894">
        <f t="shared" si="879"/>
        <v>0</v>
      </c>
    </row>
    <row r="10879" spans="1:18" s="847" customFormat="1">
      <c r="A10879" s="905"/>
      <c r="B10879" s="952"/>
      <c r="C10879" s="907">
        <v>235</v>
      </c>
      <c r="D10879" s="907" t="s">
        <v>279</v>
      </c>
      <c r="E10879" s="992" t="s">
        <v>2682</v>
      </c>
      <c r="F10879" s="905" t="s">
        <v>45</v>
      </c>
      <c r="G10879" s="1005"/>
      <c r="H10879" s="911">
        <v>2</v>
      </c>
      <c r="I10879" s="912">
        <f>VLOOKUP(E10879,[3]VLP!$B$7:$K$300,10,0)</f>
        <v>5000</v>
      </c>
      <c r="J10879" s="912">
        <f>I10879*H10879</f>
        <v>10000</v>
      </c>
      <c r="K10879" s="912" t="s">
        <v>274</v>
      </c>
      <c r="L10879" s="912"/>
      <c r="M10879" s="912"/>
      <c r="N10879" s="912"/>
      <c r="O10879" s="892">
        <f t="shared" si="876"/>
        <v>0</v>
      </c>
      <c r="P10879" s="903">
        <f t="shared" si="877"/>
        <v>1</v>
      </c>
      <c r="Q10879" s="893">
        <f t="shared" si="878"/>
        <v>6</v>
      </c>
      <c r="R10879" s="894">
        <f t="shared" si="879"/>
        <v>0</v>
      </c>
    </row>
    <row r="10880" spans="1:18" s="904" customFormat="1">
      <c r="A10880" s="895"/>
      <c r="B10880" s="896"/>
      <c r="C10880" s="897"/>
      <c r="D10880" s="897"/>
      <c r="E10880" s="1002" t="s">
        <v>276</v>
      </c>
      <c r="F10880" s="1003"/>
      <c r="G10880" s="1004"/>
      <c r="H10880" s="901"/>
      <c r="I10880" s="902"/>
      <c r="J10880" s="902"/>
      <c r="K10880" s="912" t="s">
        <v>274</v>
      </c>
      <c r="L10880" s="902"/>
      <c r="M10880" s="902"/>
      <c r="N10880" s="902"/>
      <c r="O10880" s="892">
        <f t="shared" si="876"/>
        <v>0</v>
      </c>
      <c r="P10880" s="903">
        <f t="shared" si="877"/>
        <v>1</v>
      </c>
      <c r="Q10880" s="893">
        <f t="shared" si="878"/>
        <v>5</v>
      </c>
      <c r="R10880" s="894">
        <f t="shared" si="879"/>
        <v>0</v>
      </c>
    </row>
    <row r="10881" spans="1:18">
      <c r="A10881" s="905"/>
      <c r="B10881" s="952"/>
      <c r="C10881" s="907">
        <v>745</v>
      </c>
      <c r="D10881" s="907" t="s">
        <v>12</v>
      </c>
      <c r="E10881" s="992" t="s">
        <v>5518</v>
      </c>
      <c r="F10881" s="905" t="s">
        <v>2674</v>
      </c>
      <c r="G10881" s="1005"/>
      <c r="H10881" s="911">
        <v>4.5599999999999996</v>
      </c>
      <c r="I10881" s="912"/>
      <c r="J10881" s="912"/>
      <c r="K10881" s="912">
        <f>VLOOKUP(E10881,[5]ĐMNC!$A$7:$F$67,4,0)</f>
        <v>240557</v>
      </c>
      <c r="L10881" s="912">
        <f>H10881*K10881</f>
        <v>1096939.92</v>
      </c>
      <c r="M10881" s="912"/>
      <c r="N10881" s="912"/>
      <c r="O10881" s="892">
        <f t="shared" si="876"/>
        <v>0</v>
      </c>
      <c r="P10881" s="903">
        <f t="shared" si="877"/>
        <v>1</v>
      </c>
      <c r="Q10881" s="893">
        <f t="shared" si="878"/>
        <v>4</v>
      </c>
      <c r="R10881" s="894">
        <f t="shared" si="879"/>
        <v>0</v>
      </c>
    </row>
    <row r="10882" spans="1:18" s="847" customFormat="1">
      <c r="A10882" s="895"/>
      <c r="B10882" s="896"/>
      <c r="C10882" s="897"/>
      <c r="D10882" s="897"/>
      <c r="E10882" s="1002" t="s">
        <v>3914</v>
      </c>
      <c r="F10882" s="1003"/>
      <c r="G10882" s="1004"/>
      <c r="H10882" s="901"/>
      <c r="I10882" s="902"/>
      <c r="J10882" s="902"/>
      <c r="K10882" s="912" t="s">
        <v>274</v>
      </c>
      <c r="L10882" s="902"/>
      <c r="M10882" s="902"/>
      <c r="N10882" s="902"/>
      <c r="O10882" s="892">
        <f t="shared" si="876"/>
        <v>0</v>
      </c>
      <c r="P10882" s="903">
        <f t="shared" si="877"/>
        <v>1</v>
      </c>
      <c r="Q10882" s="893">
        <f t="shared" si="878"/>
        <v>3</v>
      </c>
      <c r="R10882" s="894">
        <f t="shared" si="879"/>
        <v>0</v>
      </c>
    </row>
    <row r="10883" spans="1:18" s="904" customFormat="1">
      <c r="A10883" s="905"/>
      <c r="B10883" s="946" t="s">
        <v>6321</v>
      </c>
      <c r="C10883" s="907">
        <v>900</v>
      </c>
      <c r="D10883" s="907" t="s">
        <v>93</v>
      </c>
      <c r="E10883" s="992" t="s">
        <v>6322</v>
      </c>
      <c r="F10883" s="905" t="s">
        <v>2673</v>
      </c>
      <c r="G10883" s="1005"/>
      <c r="H10883" s="911">
        <v>0.24</v>
      </c>
      <c r="I10883" s="912"/>
      <c r="J10883" s="912"/>
      <c r="K10883" s="912"/>
      <c r="L10883" s="912"/>
      <c r="M10883" s="912">
        <f>VLOOKUP(B10883,MTC!$B$9:$S$933,12,0)</f>
        <v>1475268</v>
      </c>
      <c r="N10883" s="912">
        <f>M10883*H10883</f>
        <v>354064.32</v>
      </c>
      <c r="O10883" s="892">
        <f t="shared" si="876"/>
        <v>0</v>
      </c>
      <c r="P10883" s="903">
        <f t="shared" si="877"/>
        <v>1</v>
      </c>
      <c r="Q10883" s="893">
        <f t="shared" si="878"/>
        <v>2</v>
      </c>
      <c r="R10883" s="894">
        <f t="shared" si="879"/>
        <v>0</v>
      </c>
    </row>
    <row r="10884" spans="1:18">
      <c r="A10884" s="905"/>
      <c r="B10884" s="1015" t="s">
        <v>6728</v>
      </c>
      <c r="C10884" s="907">
        <v>999</v>
      </c>
      <c r="D10884" s="907" t="s">
        <v>93</v>
      </c>
      <c r="E10884" s="992" t="s">
        <v>6729</v>
      </c>
      <c r="F10884" s="905" t="s">
        <v>4007</v>
      </c>
      <c r="G10884" s="1005"/>
      <c r="H10884" s="911">
        <v>3</v>
      </c>
      <c r="I10884" s="912"/>
      <c r="J10884" s="912"/>
      <c r="K10884" s="912"/>
      <c r="L10884" s="912"/>
      <c r="M10884" s="912">
        <f>VLOOKUP(B10884,MTC!$B$9:$S$933,12,0)</f>
        <v>0</v>
      </c>
      <c r="N10884" s="912">
        <f>M10884*H10884</f>
        <v>0</v>
      </c>
      <c r="O10884" s="892">
        <f t="shared" si="876"/>
        <v>0</v>
      </c>
      <c r="P10884" s="903">
        <f t="shared" si="877"/>
        <v>1</v>
      </c>
      <c r="Q10884" s="893">
        <f t="shared" si="878"/>
        <v>1</v>
      </c>
      <c r="R10884" s="894">
        <f t="shared" si="879"/>
        <v>0</v>
      </c>
    </row>
    <row r="10885" spans="1:18" s="847" customFormat="1">
      <c r="A10885" s="905">
        <v>206</v>
      </c>
      <c r="B10885" s="914" t="s">
        <v>6771</v>
      </c>
      <c r="C10885" s="915"/>
      <c r="D10885" s="915"/>
      <c r="E10885" s="1006" t="s">
        <v>6772</v>
      </c>
      <c r="F10885" s="917" t="s">
        <v>139</v>
      </c>
      <c r="G10885" s="1008"/>
      <c r="H10885" s="919"/>
      <c r="I10885" s="920"/>
      <c r="J10885" s="962">
        <f>SUM(J10886:J10895)</f>
        <v>45454.6</v>
      </c>
      <c r="K10885" s="891" t="s">
        <v>274</v>
      </c>
      <c r="L10885" s="962">
        <f>SUM(L10886:L10895)</f>
        <v>2059167.9200000002</v>
      </c>
      <c r="M10885" s="962"/>
      <c r="N10885" s="962">
        <f>SUM(N10886:N10895)</f>
        <v>472183.92</v>
      </c>
      <c r="O10885" s="892">
        <f t="shared" si="876"/>
        <v>1</v>
      </c>
      <c r="P10885" s="903">
        <f t="shared" si="877"/>
        <v>0</v>
      </c>
      <c r="Q10885" s="893">
        <f t="shared" si="878"/>
        <v>0</v>
      </c>
      <c r="R10885" s="894">
        <f t="shared" si="879"/>
        <v>10</v>
      </c>
    </row>
    <row r="10886" spans="1:18" s="904" customFormat="1">
      <c r="A10886" s="895"/>
      <c r="B10886" s="896"/>
      <c r="C10886" s="897"/>
      <c r="D10886" s="897"/>
      <c r="E10886" s="1002" t="s">
        <v>108</v>
      </c>
      <c r="F10886" s="1003"/>
      <c r="G10886" s="1004"/>
      <c r="H10886" s="901"/>
      <c r="I10886" s="902"/>
      <c r="J10886" s="902"/>
      <c r="K10886" s="912" t="s">
        <v>274</v>
      </c>
      <c r="L10886" s="902"/>
      <c r="M10886" s="902"/>
      <c r="N10886" s="902"/>
      <c r="O10886" s="892">
        <f t="shared" si="876"/>
        <v>0</v>
      </c>
      <c r="P10886" s="903">
        <f t="shared" si="877"/>
        <v>1</v>
      </c>
      <c r="Q10886" s="893">
        <f t="shared" si="878"/>
        <v>10</v>
      </c>
      <c r="R10886" s="894">
        <f t="shared" si="879"/>
        <v>0</v>
      </c>
    </row>
    <row r="10887" spans="1:18">
      <c r="A10887" s="905"/>
      <c r="B10887" s="952"/>
      <c r="C10887" s="907">
        <v>234</v>
      </c>
      <c r="D10887" s="907" t="s">
        <v>279</v>
      </c>
      <c r="E10887" s="992" t="s">
        <v>5983</v>
      </c>
      <c r="F10887" s="905" t="s">
        <v>3144</v>
      </c>
      <c r="G10887" s="1005"/>
      <c r="H10887" s="911">
        <v>1.5</v>
      </c>
      <c r="I10887" s="912">
        <f>VLOOKUP(E10887,[3]VLP!$B$7:$K$300,10,0)</f>
        <v>14000</v>
      </c>
      <c r="J10887" s="912">
        <f>I10887*H10887</f>
        <v>21000</v>
      </c>
      <c r="K10887" s="912" t="s">
        <v>274</v>
      </c>
      <c r="L10887" s="912"/>
      <c r="M10887" s="912"/>
      <c r="N10887" s="912"/>
      <c r="O10887" s="892">
        <f t="shared" si="876"/>
        <v>0</v>
      </c>
      <c r="P10887" s="903">
        <f t="shared" si="877"/>
        <v>1</v>
      </c>
      <c r="Q10887" s="893">
        <f t="shared" si="878"/>
        <v>9</v>
      </c>
      <c r="R10887" s="894">
        <f t="shared" si="879"/>
        <v>0</v>
      </c>
    </row>
    <row r="10888" spans="1:18" s="847" customFormat="1">
      <c r="A10888" s="905"/>
      <c r="B10888" s="952"/>
      <c r="C10888" s="907">
        <v>317</v>
      </c>
      <c r="D10888" s="907" t="s">
        <v>279</v>
      </c>
      <c r="E10888" s="992" t="s">
        <v>3273</v>
      </c>
      <c r="F10888" s="905" t="s">
        <v>45</v>
      </c>
      <c r="G10888" s="1005"/>
      <c r="H10888" s="911">
        <v>0.12</v>
      </c>
      <c r="I10888" s="912">
        <f>VLOOKUP(E10888,[3]VLP!$B$7:$K$300,10,0)</f>
        <v>25000</v>
      </c>
      <c r="J10888" s="912">
        <f>I10888*H10888</f>
        <v>3000</v>
      </c>
      <c r="K10888" s="912" t="s">
        <v>274</v>
      </c>
      <c r="L10888" s="912"/>
      <c r="M10888" s="912"/>
      <c r="N10888" s="912"/>
      <c r="O10888" s="892">
        <f t="shared" si="876"/>
        <v>0</v>
      </c>
      <c r="P10888" s="903">
        <f t="shared" si="877"/>
        <v>1</v>
      </c>
      <c r="Q10888" s="893">
        <f t="shared" si="878"/>
        <v>8</v>
      </c>
      <c r="R10888" s="894">
        <f t="shared" si="879"/>
        <v>0</v>
      </c>
    </row>
    <row r="10889" spans="1:18" s="904" customFormat="1">
      <c r="A10889" s="905"/>
      <c r="B10889" s="952"/>
      <c r="C10889" s="907">
        <v>321</v>
      </c>
      <c r="D10889" s="907" t="s">
        <v>279</v>
      </c>
      <c r="E10889" s="992" t="s">
        <v>6317</v>
      </c>
      <c r="F10889" s="905" t="s">
        <v>45</v>
      </c>
      <c r="G10889" s="1005"/>
      <c r="H10889" s="911">
        <v>0.3</v>
      </c>
      <c r="I10889" s="912">
        <f>VLOOKUP(E10889,[3]VLP!$B$7:$K$300,10,0)</f>
        <v>38182</v>
      </c>
      <c r="J10889" s="912">
        <f>I10889*H10889</f>
        <v>11454.6</v>
      </c>
      <c r="K10889" s="912" t="s">
        <v>274</v>
      </c>
      <c r="L10889" s="912"/>
      <c r="M10889" s="912"/>
      <c r="N10889" s="912"/>
      <c r="O10889" s="892">
        <f t="shared" si="876"/>
        <v>0</v>
      </c>
      <c r="P10889" s="903">
        <f t="shared" si="877"/>
        <v>1</v>
      </c>
      <c r="Q10889" s="893">
        <f t="shared" si="878"/>
        <v>7</v>
      </c>
      <c r="R10889" s="894">
        <f t="shared" si="879"/>
        <v>0</v>
      </c>
    </row>
    <row r="10890" spans="1:18">
      <c r="A10890" s="905"/>
      <c r="B10890" s="952"/>
      <c r="C10890" s="907">
        <v>235</v>
      </c>
      <c r="D10890" s="907" t="s">
        <v>279</v>
      </c>
      <c r="E10890" s="992" t="s">
        <v>2682</v>
      </c>
      <c r="F10890" s="905" t="s">
        <v>45</v>
      </c>
      <c r="G10890" s="1005"/>
      <c r="H10890" s="911">
        <v>2</v>
      </c>
      <c r="I10890" s="912">
        <f>VLOOKUP(E10890,[3]VLP!$B$7:$K$300,10,0)</f>
        <v>5000</v>
      </c>
      <c r="J10890" s="912">
        <f>I10890*H10890</f>
        <v>10000</v>
      </c>
      <c r="K10890" s="912" t="s">
        <v>274</v>
      </c>
      <c r="L10890" s="912"/>
      <c r="M10890" s="912"/>
      <c r="N10890" s="912"/>
      <c r="O10890" s="892">
        <f t="shared" si="876"/>
        <v>0</v>
      </c>
      <c r="P10890" s="903">
        <f t="shared" si="877"/>
        <v>1</v>
      </c>
      <c r="Q10890" s="893">
        <f t="shared" si="878"/>
        <v>6</v>
      </c>
      <c r="R10890" s="894">
        <f t="shared" si="879"/>
        <v>0</v>
      </c>
    </row>
    <row r="10891" spans="1:18" s="847" customFormat="1">
      <c r="A10891" s="895"/>
      <c r="B10891" s="896"/>
      <c r="C10891" s="897"/>
      <c r="D10891" s="897"/>
      <c r="E10891" s="1002" t="s">
        <v>276</v>
      </c>
      <c r="F10891" s="1003"/>
      <c r="G10891" s="1004"/>
      <c r="H10891" s="901"/>
      <c r="I10891" s="902"/>
      <c r="J10891" s="902"/>
      <c r="K10891" s="912" t="s">
        <v>274</v>
      </c>
      <c r="L10891" s="902"/>
      <c r="M10891" s="902"/>
      <c r="N10891" s="902"/>
      <c r="O10891" s="892">
        <f t="shared" si="876"/>
        <v>0</v>
      </c>
      <c r="P10891" s="903">
        <f t="shared" si="877"/>
        <v>1</v>
      </c>
      <c r="Q10891" s="893">
        <f t="shared" si="878"/>
        <v>5</v>
      </c>
      <c r="R10891" s="894">
        <f t="shared" si="879"/>
        <v>0</v>
      </c>
    </row>
    <row r="10892" spans="1:18" s="904" customFormat="1">
      <c r="A10892" s="905"/>
      <c r="B10892" s="952"/>
      <c r="C10892" s="907">
        <v>745</v>
      </c>
      <c r="D10892" s="907" t="s">
        <v>12</v>
      </c>
      <c r="E10892" s="992" t="s">
        <v>5518</v>
      </c>
      <c r="F10892" s="905" t="s">
        <v>2674</v>
      </c>
      <c r="G10892" s="1005"/>
      <c r="H10892" s="911">
        <v>8.56</v>
      </c>
      <c r="I10892" s="912"/>
      <c r="J10892" s="912"/>
      <c r="K10892" s="912">
        <f>VLOOKUP(E10892,[5]ĐMNC!$A$7:$F$67,4,0)</f>
        <v>240557</v>
      </c>
      <c r="L10892" s="912">
        <f>H10892*K10892</f>
        <v>2059167.9200000002</v>
      </c>
      <c r="M10892" s="912"/>
      <c r="N10892" s="912"/>
      <c r="O10892" s="892">
        <f t="shared" si="876"/>
        <v>0</v>
      </c>
      <c r="P10892" s="903">
        <f t="shared" si="877"/>
        <v>1</v>
      </c>
      <c r="Q10892" s="893">
        <f t="shared" si="878"/>
        <v>4</v>
      </c>
      <c r="R10892" s="894">
        <f t="shared" si="879"/>
        <v>0</v>
      </c>
    </row>
    <row r="10893" spans="1:18">
      <c r="A10893" s="895"/>
      <c r="B10893" s="896"/>
      <c r="C10893" s="897"/>
      <c r="D10893" s="897"/>
      <c r="E10893" s="1002" t="s">
        <v>3914</v>
      </c>
      <c r="F10893" s="1003"/>
      <c r="G10893" s="1004"/>
      <c r="H10893" s="901"/>
      <c r="I10893" s="902"/>
      <c r="J10893" s="902"/>
      <c r="K10893" s="912" t="s">
        <v>274</v>
      </c>
      <c r="L10893" s="902"/>
      <c r="M10893" s="902"/>
      <c r="N10893" s="902"/>
      <c r="O10893" s="892">
        <f t="shared" si="876"/>
        <v>0</v>
      </c>
      <c r="P10893" s="903">
        <f t="shared" si="877"/>
        <v>1</v>
      </c>
      <c r="Q10893" s="893">
        <f t="shared" si="878"/>
        <v>3</v>
      </c>
      <c r="R10893" s="894">
        <f t="shared" si="879"/>
        <v>0</v>
      </c>
    </row>
    <row r="10894" spans="1:18" s="847" customFormat="1">
      <c r="A10894" s="905"/>
      <c r="B10894" s="952" t="s">
        <v>6332</v>
      </c>
      <c r="C10894" s="907">
        <v>901</v>
      </c>
      <c r="D10894" s="907" t="s">
        <v>93</v>
      </c>
      <c r="E10894" s="992" t="s">
        <v>6333</v>
      </c>
      <c r="F10894" s="905" t="s">
        <v>2673</v>
      </c>
      <c r="G10894" s="1005"/>
      <c r="H10894" s="911">
        <v>0.24</v>
      </c>
      <c r="I10894" s="912"/>
      <c r="J10894" s="912"/>
      <c r="K10894" s="912"/>
      <c r="L10894" s="912"/>
      <c r="M10894" s="912">
        <f>VLOOKUP(B10894,MTC!$B$9:$S$933,12,0)</f>
        <v>1967433</v>
      </c>
      <c r="N10894" s="912">
        <f>M10894*H10894</f>
        <v>472183.92</v>
      </c>
      <c r="O10894" s="892">
        <f t="shared" si="876"/>
        <v>0</v>
      </c>
      <c r="P10894" s="903">
        <f t="shared" si="877"/>
        <v>1</v>
      </c>
      <c r="Q10894" s="893">
        <f t="shared" si="878"/>
        <v>2</v>
      </c>
      <c r="R10894" s="894">
        <f t="shared" si="879"/>
        <v>0</v>
      </c>
    </row>
    <row r="10895" spans="1:18" s="904" customFormat="1">
      <c r="A10895" s="905"/>
      <c r="B10895" s="1015" t="s">
        <v>6728</v>
      </c>
      <c r="C10895" s="907">
        <v>999</v>
      </c>
      <c r="D10895" s="907" t="s">
        <v>93</v>
      </c>
      <c r="E10895" s="992" t="s">
        <v>6729</v>
      </c>
      <c r="F10895" s="905" t="s">
        <v>4007</v>
      </c>
      <c r="G10895" s="1005"/>
      <c r="H10895" s="911">
        <v>3</v>
      </c>
      <c r="I10895" s="912"/>
      <c r="J10895" s="912"/>
      <c r="K10895" s="912"/>
      <c r="L10895" s="912"/>
      <c r="M10895" s="912">
        <f>VLOOKUP(B10895,MTC!$B$9:$S$933,12,0)</f>
        <v>0</v>
      </c>
      <c r="N10895" s="912">
        <f>M10895*H10895</f>
        <v>0</v>
      </c>
      <c r="O10895" s="892">
        <f t="shared" si="876"/>
        <v>0</v>
      </c>
      <c r="P10895" s="903">
        <f t="shared" si="877"/>
        <v>1</v>
      </c>
      <c r="Q10895" s="893">
        <f t="shared" si="878"/>
        <v>1</v>
      </c>
      <c r="R10895" s="894">
        <f t="shared" si="879"/>
        <v>0</v>
      </c>
    </row>
    <row r="10896" spans="1:18">
      <c r="A10896" s="905">
        <v>207</v>
      </c>
      <c r="B10896" s="914" t="s">
        <v>6773</v>
      </c>
      <c r="C10896" s="915"/>
      <c r="D10896" s="915"/>
      <c r="E10896" s="1006" t="s">
        <v>6774</v>
      </c>
      <c r="F10896" s="917" t="s">
        <v>139</v>
      </c>
      <c r="G10896" s="1008"/>
      <c r="H10896" s="919"/>
      <c r="I10896" s="920"/>
      <c r="J10896" s="962">
        <f>SUM(J10897:J10906)</f>
        <v>45454.6</v>
      </c>
      <c r="K10896" s="891" t="s">
        <v>274</v>
      </c>
      <c r="L10896" s="962">
        <f>SUM(L10897:L10906)</f>
        <v>2434436.84</v>
      </c>
      <c r="M10896" s="962"/>
      <c r="N10896" s="962">
        <f>SUM(N10897:N10906)</f>
        <v>472183.92</v>
      </c>
      <c r="O10896" s="892">
        <f t="shared" si="876"/>
        <v>1</v>
      </c>
      <c r="P10896" s="903">
        <f t="shared" si="877"/>
        <v>0</v>
      </c>
      <c r="Q10896" s="893">
        <f t="shared" si="878"/>
        <v>0</v>
      </c>
      <c r="R10896" s="894">
        <f t="shared" si="879"/>
        <v>10</v>
      </c>
    </row>
    <row r="10897" spans="1:18" s="847" customFormat="1">
      <c r="A10897" s="895"/>
      <c r="B10897" s="896"/>
      <c r="C10897" s="897"/>
      <c r="D10897" s="897"/>
      <c r="E10897" s="1002" t="s">
        <v>108</v>
      </c>
      <c r="F10897" s="1003"/>
      <c r="G10897" s="1004"/>
      <c r="H10897" s="901"/>
      <c r="I10897" s="902"/>
      <c r="J10897" s="902"/>
      <c r="K10897" s="912" t="s">
        <v>274</v>
      </c>
      <c r="L10897" s="902"/>
      <c r="M10897" s="902"/>
      <c r="N10897" s="902"/>
      <c r="O10897" s="892">
        <f t="shared" si="876"/>
        <v>0</v>
      </c>
      <c r="P10897" s="903">
        <f t="shared" si="877"/>
        <v>1</v>
      </c>
      <c r="Q10897" s="893">
        <f t="shared" si="878"/>
        <v>10</v>
      </c>
      <c r="R10897" s="894">
        <f t="shared" si="879"/>
        <v>0</v>
      </c>
    </row>
    <row r="10898" spans="1:18" s="904" customFormat="1">
      <c r="A10898" s="905"/>
      <c r="B10898" s="952"/>
      <c r="C10898" s="907">
        <v>234</v>
      </c>
      <c r="D10898" s="907" t="s">
        <v>279</v>
      </c>
      <c r="E10898" s="992" t="s">
        <v>5983</v>
      </c>
      <c r="F10898" s="905" t="s">
        <v>3144</v>
      </c>
      <c r="G10898" s="1005"/>
      <c r="H10898" s="911">
        <v>1.5</v>
      </c>
      <c r="I10898" s="912">
        <f>VLOOKUP(E10898,[3]VLP!$B$7:$K$300,10,0)</f>
        <v>14000</v>
      </c>
      <c r="J10898" s="912">
        <f>I10898*H10898</f>
        <v>21000</v>
      </c>
      <c r="K10898" s="912" t="s">
        <v>274</v>
      </c>
      <c r="L10898" s="912"/>
      <c r="M10898" s="912"/>
      <c r="N10898" s="912"/>
      <c r="O10898" s="892">
        <f t="shared" si="876"/>
        <v>0</v>
      </c>
      <c r="P10898" s="903">
        <f t="shared" si="877"/>
        <v>1</v>
      </c>
      <c r="Q10898" s="893">
        <f t="shared" si="878"/>
        <v>9</v>
      </c>
      <c r="R10898" s="894">
        <f t="shared" si="879"/>
        <v>0</v>
      </c>
    </row>
    <row r="10899" spans="1:18">
      <c r="A10899" s="905"/>
      <c r="B10899" s="952"/>
      <c r="C10899" s="907">
        <v>317</v>
      </c>
      <c r="D10899" s="907" t="s">
        <v>279</v>
      </c>
      <c r="E10899" s="992" t="s">
        <v>3273</v>
      </c>
      <c r="F10899" s="905" t="s">
        <v>45</v>
      </c>
      <c r="G10899" s="1005"/>
      <c r="H10899" s="911">
        <v>0.12</v>
      </c>
      <c r="I10899" s="912">
        <f>VLOOKUP(E10899,[3]VLP!$B$7:$K$300,10,0)</f>
        <v>25000</v>
      </c>
      <c r="J10899" s="912">
        <f>I10899*H10899</f>
        <v>3000</v>
      </c>
      <c r="K10899" s="912" t="s">
        <v>274</v>
      </c>
      <c r="L10899" s="912"/>
      <c r="M10899" s="912"/>
      <c r="N10899" s="912"/>
      <c r="O10899" s="892">
        <f t="shared" si="876"/>
        <v>0</v>
      </c>
      <c r="P10899" s="903">
        <f t="shared" si="877"/>
        <v>1</v>
      </c>
      <c r="Q10899" s="893">
        <f t="shared" si="878"/>
        <v>8</v>
      </c>
      <c r="R10899" s="894">
        <f t="shared" si="879"/>
        <v>0</v>
      </c>
    </row>
    <row r="10900" spans="1:18" s="847" customFormat="1">
      <c r="A10900" s="905"/>
      <c r="B10900" s="952"/>
      <c r="C10900" s="907">
        <v>321</v>
      </c>
      <c r="D10900" s="907" t="s">
        <v>279</v>
      </c>
      <c r="E10900" s="992" t="s">
        <v>6317</v>
      </c>
      <c r="F10900" s="905" t="s">
        <v>45</v>
      </c>
      <c r="G10900" s="1005"/>
      <c r="H10900" s="911">
        <v>0.3</v>
      </c>
      <c r="I10900" s="912">
        <f>VLOOKUP(E10900,[3]VLP!$B$7:$K$300,10,0)</f>
        <v>38182</v>
      </c>
      <c r="J10900" s="912">
        <f>I10900*H10900</f>
        <v>11454.6</v>
      </c>
      <c r="K10900" s="912" t="s">
        <v>274</v>
      </c>
      <c r="L10900" s="912"/>
      <c r="M10900" s="912"/>
      <c r="N10900" s="912"/>
      <c r="O10900" s="892">
        <f t="shared" si="876"/>
        <v>0</v>
      </c>
      <c r="P10900" s="903">
        <f t="shared" si="877"/>
        <v>1</v>
      </c>
      <c r="Q10900" s="893">
        <f t="shared" si="878"/>
        <v>7</v>
      </c>
      <c r="R10900" s="894">
        <f t="shared" si="879"/>
        <v>0</v>
      </c>
    </row>
    <row r="10901" spans="1:18" s="904" customFormat="1">
      <c r="A10901" s="905"/>
      <c r="B10901" s="952"/>
      <c r="C10901" s="907">
        <v>235</v>
      </c>
      <c r="D10901" s="907" t="s">
        <v>279</v>
      </c>
      <c r="E10901" s="992" t="s">
        <v>2682</v>
      </c>
      <c r="F10901" s="905" t="s">
        <v>45</v>
      </c>
      <c r="G10901" s="1005"/>
      <c r="H10901" s="911">
        <v>2</v>
      </c>
      <c r="I10901" s="912">
        <f>VLOOKUP(E10901,[3]VLP!$B$7:$K$300,10,0)</f>
        <v>5000</v>
      </c>
      <c r="J10901" s="912">
        <f>I10901*H10901</f>
        <v>10000</v>
      </c>
      <c r="K10901" s="912" t="s">
        <v>274</v>
      </c>
      <c r="L10901" s="912"/>
      <c r="M10901" s="912"/>
      <c r="N10901" s="912"/>
      <c r="O10901" s="892">
        <f t="shared" si="876"/>
        <v>0</v>
      </c>
      <c r="P10901" s="903">
        <f t="shared" si="877"/>
        <v>1</v>
      </c>
      <c r="Q10901" s="893">
        <f t="shared" si="878"/>
        <v>6</v>
      </c>
      <c r="R10901" s="894">
        <f t="shared" si="879"/>
        <v>0</v>
      </c>
    </row>
    <row r="10902" spans="1:18">
      <c r="A10902" s="895"/>
      <c r="B10902" s="896"/>
      <c r="C10902" s="897"/>
      <c r="D10902" s="897"/>
      <c r="E10902" s="1002" t="s">
        <v>276</v>
      </c>
      <c r="F10902" s="1003"/>
      <c r="G10902" s="1004"/>
      <c r="H10902" s="901"/>
      <c r="I10902" s="902"/>
      <c r="J10902" s="902"/>
      <c r="K10902" s="912" t="s">
        <v>274</v>
      </c>
      <c r="L10902" s="902"/>
      <c r="M10902" s="902"/>
      <c r="N10902" s="902"/>
      <c r="O10902" s="892">
        <f t="shared" si="876"/>
        <v>0</v>
      </c>
      <c r="P10902" s="903">
        <f t="shared" si="877"/>
        <v>1</v>
      </c>
      <c r="Q10902" s="893">
        <f t="shared" si="878"/>
        <v>5</v>
      </c>
      <c r="R10902" s="894">
        <f t="shared" si="879"/>
        <v>0</v>
      </c>
    </row>
    <row r="10903" spans="1:18" s="847" customFormat="1">
      <c r="A10903" s="905"/>
      <c r="B10903" s="952"/>
      <c r="C10903" s="907">
        <v>745</v>
      </c>
      <c r="D10903" s="907" t="s">
        <v>12</v>
      </c>
      <c r="E10903" s="992" t="s">
        <v>5518</v>
      </c>
      <c r="F10903" s="905" t="s">
        <v>2674</v>
      </c>
      <c r="G10903" s="1005"/>
      <c r="H10903" s="911">
        <v>10.119999999999999</v>
      </c>
      <c r="I10903" s="912"/>
      <c r="J10903" s="912"/>
      <c r="K10903" s="912">
        <f>VLOOKUP(E10903,[5]ĐMNC!$A$7:$F$67,4,0)</f>
        <v>240557</v>
      </c>
      <c r="L10903" s="912">
        <f>H10903*K10903</f>
        <v>2434436.84</v>
      </c>
      <c r="M10903" s="912"/>
      <c r="N10903" s="912"/>
      <c r="O10903" s="892">
        <f t="shared" si="876"/>
        <v>0</v>
      </c>
      <c r="P10903" s="903">
        <f t="shared" si="877"/>
        <v>1</v>
      </c>
      <c r="Q10903" s="893">
        <f t="shared" si="878"/>
        <v>4</v>
      </c>
      <c r="R10903" s="894">
        <f t="shared" si="879"/>
        <v>0</v>
      </c>
    </row>
    <row r="10904" spans="1:18" s="904" customFormat="1">
      <c r="A10904" s="895"/>
      <c r="B10904" s="896"/>
      <c r="C10904" s="897"/>
      <c r="D10904" s="897"/>
      <c r="E10904" s="1002" t="s">
        <v>3914</v>
      </c>
      <c r="F10904" s="1003"/>
      <c r="G10904" s="1004"/>
      <c r="H10904" s="901"/>
      <c r="I10904" s="902"/>
      <c r="J10904" s="902"/>
      <c r="K10904" s="912" t="s">
        <v>274</v>
      </c>
      <c r="L10904" s="902"/>
      <c r="M10904" s="902"/>
      <c r="N10904" s="902"/>
      <c r="O10904" s="892">
        <f t="shared" si="876"/>
        <v>0</v>
      </c>
      <c r="P10904" s="903">
        <f t="shared" si="877"/>
        <v>1</v>
      </c>
      <c r="Q10904" s="893">
        <f t="shared" si="878"/>
        <v>3</v>
      </c>
      <c r="R10904" s="894">
        <f t="shared" si="879"/>
        <v>0</v>
      </c>
    </row>
    <row r="10905" spans="1:18">
      <c r="A10905" s="905"/>
      <c r="B10905" s="952" t="s">
        <v>6332</v>
      </c>
      <c r="C10905" s="907">
        <v>901</v>
      </c>
      <c r="D10905" s="907" t="s">
        <v>93</v>
      </c>
      <c r="E10905" s="992" t="s">
        <v>6333</v>
      </c>
      <c r="F10905" s="905" t="s">
        <v>2673</v>
      </c>
      <c r="G10905" s="1005"/>
      <c r="H10905" s="911">
        <v>0.24</v>
      </c>
      <c r="I10905" s="912"/>
      <c r="J10905" s="912"/>
      <c r="K10905" s="912"/>
      <c r="L10905" s="912"/>
      <c r="M10905" s="912">
        <f>VLOOKUP(B10905,MTC!$B$9:$S$933,12,0)</f>
        <v>1967433</v>
      </c>
      <c r="N10905" s="912">
        <f>M10905*H10905</f>
        <v>472183.92</v>
      </c>
      <c r="O10905" s="892">
        <f t="shared" si="876"/>
        <v>0</v>
      </c>
      <c r="P10905" s="903">
        <f t="shared" si="877"/>
        <v>1</v>
      </c>
      <c r="Q10905" s="893">
        <f t="shared" si="878"/>
        <v>2</v>
      </c>
      <c r="R10905" s="894">
        <f t="shared" si="879"/>
        <v>0</v>
      </c>
    </row>
    <row r="10906" spans="1:18" s="847" customFormat="1">
      <c r="A10906" s="905"/>
      <c r="B10906" s="1015" t="s">
        <v>6728</v>
      </c>
      <c r="C10906" s="907">
        <v>999</v>
      </c>
      <c r="D10906" s="907" t="s">
        <v>93</v>
      </c>
      <c r="E10906" s="992" t="s">
        <v>6729</v>
      </c>
      <c r="F10906" s="905" t="s">
        <v>4007</v>
      </c>
      <c r="G10906" s="1005"/>
      <c r="H10906" s="911">
        <v>3</v>
      </c>
      <c r="I10906" s="912"/>
      <c r="J10906" s="912"/>
      <c r="K10906" s="912"/>
      <c r="L10906" s="912"/>
      <c r="M10906" s="912">
        <f>VLOOKUP(B10906,MTC!$B$9:$S$933,12,0)</f>
        <v>0</v>
      </c>
      <c r="N10906" s="912">
        <f>M10906*H10906</f>
        <v>0</v>
      </c>
      <c r="O10906" s="892">
        <f t="shared" si="876"/>
        <v>0</v>
      </c>
      <c r="P10906" s="903">
        <f t="shared" si="877"/>
        <v>1</v>
      </c>
      <c r="Q10906" s="893">
        <f t="shared" si="878"/>
        <v>1</v>
      </c>
      <c r="R10906" s="894">
        <f t="shared" si="879"/>
        <v>0</v>
      </c>
    </row>
    <row r="10907" spans="1:18" s="904" customFormat="1">
      <c r="A10907" s="905">
        <v>208</v>
      </c>
      <c r="B10907" s="914" t="s">
        <v>6775</v>
      </c>
      <c r="C10907" s="915"/>
      <c r="D10907" s="915"/>
      <c r="E10907" s="1006" t="s">
        <v>6776</v>
      </c>
      <c r="F10907" s="917" t="s">
        <v>139</v>
      </c>
      <c r="G10907" s="1008"/>
      <c r="H10907" s="919"/>
      <c r="I10907" s="920"/>
      <c r="J10907" s="891">
        <f>SUM(J10908:J10914)</f>
        <v>38454.6</v>
      </c>
      <c r="K10907" s="891"/>
      <c r="L10907" s="891">
        <f>SUM(L10908:L10914)</f>
        <v>914116.6</v>
      </c>
      <c r="M10907" s="891"/>
      <c r="N10907" s="891">
        <f>SUM(N10908:N10914)</f>
        <v>0</v>
      </c>
      <c r="O10907" s="892">
        <f t="shared" si="876"/>
        <v>1</v>
      </c>
      <c r="P10907" s="903">
        <f t="shared" si="877"/>
        <v>0</v>
      </c>
      <c r="Q10907" s="893">
        <f t="shared" si="878"/>
        <v>0</v>
      </c>
      <c r="R10907" s="894">
        <f t="shared" si="879"/>
        <v>7</v>
      </c>
    </row>
    <row r="10908" spans="1:18">
      <c r="A10908" s="895"/>
      <c r="B10908" s="922"/>
      <c r="C10908" s="897"/>
      <c r="D10908" s="897"/>
      <c r="E10908" s="1002" t="s">
        <v>108</v>
      </c>
      <c r="F10908" s="1003"/>
      <c r="G10908" s="1004"/>
      <c r="H10908" s="901"/>
      <c r="I10908" s="902"/>
      <c r="J10908" s="902"/>
      <c r="K10908" s="912" t="s">
        <v>274</v>
      </c>
      <c r="L10908" s="902"/>
      <c r="M10908" s="902"/>
      <c r="N10908" s="902"/>
      <c r="O10908" s="892">
        <f t="shared" si="876"/>
        <v>0</v>
      </c>
      <c r="P10908" s="903">
        <f t="shared" si="877"/>
        <v>1</v>
      </c>
      <c r="Q10908" s="893">
        <f t="shared" si="878"/>
        <v>7</v>
      </c>
      <c r="R10908" s="894">
        <f t="shared" si="879"/>
        <v>0</v>
      </c>
    </row>
    <row r="10909" spans="1:18" s="847" customFormat="1">
      <c r="A10909" s="905"/>
      <c r="B10909" s="952"/>
      <c r="C10909" s="907">
        <v>234</v>
      </c>
      <c r="D10909" s="907" t="s">
        <v>279</v>
      </c>
      <c r="E10909" s="992" t="s">
        <v>5983</v>
      </c>
      <c r="F10909" s="905" t="s">
        <v>3144</v>
      </c>
      <c r="G10909" s="1005"/>
      <c r="H10909" s="911">
        <v>1</v>
      </c>
      <c r="I10909" s="912">
        <f>VLOOKUP(E10909,[3]VLP!$B$7:$K$300,10,0)</f>
        <v>14000</v>
      </c>
      <c r="J10909" s="912">
        <f>I10909*H10909</f>
        <v>14000</v>
      </c>
      <c r="K10909" s="912" t="s">
        <v>274</v>
      </c>
      <c r="L10909" s="912"/>
      <c r="M10909" s="912"/>
      <c r="N10909" s="912"/>
      <c r="O10909" s="892">
        <f t="shared" si="876"/>
        <v>0</v>
      </c>
      <c r="P10909" s="903">
        <f t="shared" si="877"/>
        <v>1</v>
      </c>
      <c r="Q10909" s="893">
        <f t="shared" si="878"/>
        <v>6</v>
      </c>
      <c r="R10909" s="894">
        <f t="shared" si="879"/>
        <v>0</v>
      </c>
    </row>
    <row r="10910" spans="1:18" s="904" customFormat="1">
      <c r="A10910" s="905"/>
      <c r="B10910" s="952"/>
      <c r="C10910" s="907">
        <v>317</v>
      </c>
      <c r="D10910" s="907" t="s">
        <v>279</v>
      </c>
      <c r="E10910" s="992" t="s">
        <v>3273</v>
      </c>
      <c r="F10910" s="905" t="s">
        <v>45</v>
      </c>
      <c r="G10910" s="1005"/>
      <c r="H10910" s="911">
        <v>0.12</v>
      </c>
      <c r="I10910" s="912">
        <f>VLOOKUP(E10910,[3]VLP!$B$7:$K$300,10,0)</f>
        <v>25000</v>
      </c>
      <c r="J10910" s="912">
        <f>I10910*H10910</f>
        <v>3000</v>
      </c>
      <c r="K10910" s="912" t="s">
        <v>274</v>
      </c>
      <c r="L10910" s="912"/>
      <c r="M10910" s="912"/>
      <c r="N10910" s="912"/>
      <c r="O10910" s="892">
        <f t="shared" si="876"/>
        <v>0</v>
      </c>
      <c r="P10910" s="903">
        <f t="shared" si="877"/>
        <v>1</v>
      </c>
      <c r="Q10910" s="893">
        <f t="shared" si="878"/>
        <v>5</v>
      </c>
      <c r="R10910" s="894">
        <f t="shared" si="879"/>
        <v>0</v>
      </c>
    </row>
    <row r="10911" spans="1:18">
      <c r="A10911" s="905"/>
      <c r="B10911" s="952"/>
      <c r="C10911" s="907">
        <v>321</v>
      </c>
      <c r="D10911" s="907" t="s">
        <v>279</v>
      </c>
      <c r="E10911" s="992" t="s">
        <v>6317</v>
      </c>
      <c r="F10911" s="905" t="s">
        <v>45</v>
      </c>
      <c r="G10911" s="1005"/>
      <c r="H10911" s="911">
        <v>0.3</v>
      </c>
      <c r="I10911" s="912">
        <f>VLOOKUP(E10911,[3]VLP!$B$7:$K$300,10,0)</f>
        <v>38182</v>
      </c>
      <c r="J10911" s="912">
        <f>I10911*H10911</f>
        <v>11454.6</v>
      </c>
      <c r="K10911" s="912" t="s">
        <v>274</v>
      </c>
      <c r="L10911" s="912"/>
      <c r="M10911" s="912"/>
      <c r="N10911" s="912"/>
      <c r="O10911" s="892">
        <f t="shared" ref="O10911:O10974" si="880">IF(AND(B10911&lt;&gt;"",D10911=""),1,0)</f>
        <v>0</v>
      </c>
      <c r="P10911" s="903">
        <f t="shared" si="877"/>
        <v>1</v>
      </c>
      <c r="Q10911" s="893">
        <f t="shared" si="878"/>
        <v>4</v>
      </c>
      <c r="R10911" s="894">
        <f t="shared" si="879"/>
        <v>0</v>
      </c>
    </row>
    <row r="10912" spans="1:18" s="847" customFormat="1">
      <c r="A10912" s="905"/>
      <c r="B10912" s="952"/>
      <c r="C10912" s="907">
        <v>235</v>
      </c>
      <c r="D10912" s="907" t="s">
        <v>279</v>
      </c>
      <c r="E10912" s="992" t="s">
        <v>2682</v>
      </c>
      <c r="F10912" s="905" t="s">
        <v>45</v>
      </c>
      <c r="G10912" s="1005"/>
      <c r="H10912" s="911">
        <v>2</v>
      </c>
      <c r="I10912" s="912">
        <f>VLOOKUP(E10912,[3]VLP!$B$7:$K$300,10,0)</f>
        <v>5000</v>
      </c>
      <c r="J10912" s="912">
        <f>I10912*H10912</f>
        <v>10000</v>
      </c>
      <c r="K10912" s="912" t="s">
        <v>274</v>
      </c>
      <c r="L10912" s="912"/>
      <c r="M10912" s="912"/>
      <c r="N10912" s="912"/>
      <c r="O10912" s="892">
        <f t="shared" si="880"/>
        <v>0</v>
      </c>
      <c r="P10912" s="903">
        <f t="shared" si="877"/>
        <v>1</v>
      </c>
      <c r="Q10912" s="893">
        <f t="shared" si="878"/>
        <v>3</v>
      </c>
      <c r="R10912" s="894">
        <f t="shared" si="879"/>
        <v>0</v>
      </c>
    </row>
    <row r="10913" spans="1:18" s="904" customFormat="1">
      <c r="A10913" s="895"/>
      <c r="B10913" s="896"/>
      <c r="C10913" s="897"/>
      <c r="D10913" s="897"/>
      <c r="E10913" s="1002" t="s">
        <v>276</v>
      </c>
      <c r="F10913" s="1003"/>
      <c r="G10913" s="1004"/>
      <c r="H10913" s="901"/>
      <c r="I10913" s="902"/>
      <c r="J10913" s="902"/>
      <c r="K10913" s="912" t="s">
        <v>274</v>
      </c>
      <c r="L10913" s="902"/>
      <c r="M10913" s="902"/>
      <c r="N10913" s="902"/>
      <c r="O10913" s="892">
        <f t="shared" si="880"/>
        <v>0</v>
      </c>
      <c r="P10913" s="903">
        <f t="shared" si="877"/>
        <v>1</v>
      </c>
      <c r="Q10913" s="893">
        <f t="shared" si="878"/>
        <v>2</v>
      </c>
      <c r="R10913" s="894">
        <f t="shared" si="879"/>
        <v>0</v>
      </c>
    </row>
    <row r="10914" spans="1:18">
      <c r="A10914" s="905"/>
      <c r="B10914" s="952"/>
      <c r="C10914" s="907">
        <v>745</v>
      </c>
      <c r="D10914" s="907" t="s">
        <v>12</v>
      </c>
      <c r="E10914" s="992" t="s">
        <v>5518</v>
      </c>
      <c r="F10914" s="905" t="s">
        <v>2674</v>
      </c>
      <c r="G10914" s="1005"/>
      <c r="H10914" s="911">
        <v>3.8</v>
      </c>
      <c r="I10914" s="912"/>
      <c r="J10914" s="912"/>
      <c r="K10914" s="912">
        <f>VLOOKUP(E10914,[5]ĐMNC!$A$7:$F$67,4,0)</f>
        <v>240557</v>
      </c>
      <c r="L10914" s="912">
        <f>H10914*K10914</f>
        <v>914116.6</v>
      </c>
      <c r="M10914" s="912"/>
      <c r="N10914" s="912"/>
      <c r="O10914" s="892">
        <f t="shared" si="880"/>
        <v>0</v>
      </c>
      <c r="P10914" s="903">
        <f t="shared" si="877"/>
        <v>1</v>
      </c>
      <c r="Q10914" s="893">
        <f t="shared" si="878"/>
        <v>1</v>
      </c>
      <c r="R10914" s="894">
        <f t="shared" si="879"/>
        <v>0</v>
      </c>
    </row>
    <row r="10915" spans="1:18" s="847" customFormat="1">
      <c r="A10915" s="905">
        <v>209</v>
      </c>
      <c r="B10915" s="914" t="s">
        <v>6777</v>
      </c>
      <c r="C10915" s="915"/>
      <c r="D10915" s="915"/>
      <c r="E10915" s="1006" t="s">
        <v>6778</v>
      </c>
      <c r="F10915" s="917" t="s">
        <v>139</v>
      </c>
      <c r="G10915" s="1008"/>
      <c r="H10915" s="919"/>
      <c r="I10915" s="920"/>
      <c r="J10915" s="891">
        <f>SUM(J10916:J10922)</f>
        <v>38454.6</v>
      </c>
      <c r="K10915" s="891"/>
      <c r="L10915" s="891">
        <f>SUM(L10916:L10922)</f>
        <v>1683899</v>
      </c>
      <c r="M10915" s="891"/>
      <c r="N10915" s="891">
        <f>SUM(N10916:N10922)</f>
        <v>0</v>
      </c>
      <c r="O10915" s="892">
        <f t="shared" si="880"/>
        <v>1</v>
      </c>
      <c r="P10915" s="903">
        <f t="shared" si="877"/>
        <v>0</v>
      </c>
      <c r="Q10915" s="893">
        <f t="shared" si="878"/>
        <v>0</v>
      </c>
      <c r="R10915" s="894">
        <f t="shared" si="879"/>
        <v>7</v>
      </c>
    </row>
    <row r="10916" spans="1:18" s="904" customFormat="1">
      <c r="A10916" s="895"/>
      <c r="B10916" s="896"/>
      <c r="C10916" s="897"/>
      <c r="D10916" s="897"/>
      <c r="E10916" s="1002" t="s">
        <v>108</v>
      </c>
      <c r="F10916" s="1003"/>
      <c r="G10916" s="1004"/>
      <c r="H10916" s="901"/>
      <c r="I10916" s="902"/>
      <c r="J10916" s="902"/>
      <c r="K10916" s="912" t="s">
        <v>274</v>
      </c>
      <c r="L10916" s="902"/>
      <c r="M10916" s="902"/>
      <c r="N10916" s="902"/>
      <c r="O10916" s="892">
        <f t="shared" si="880"/>
        <v>0</v>
      </c>
      <c r="P10916" s="903">
        <f t="shared" si="877"/>
        <v>1</v>
      </c>
      <c r="Q10916" s="893">
        <f t="shared" si="878"/>
        <v>7</v>
      </c>
      <c r="R10916" s="894">
        <f t="shared" si="879"/>
        <v>0</v>
      </c>
    </row>
    <row r="10917" spans="1:18">
      <c r="A10917" s="905"/>
      <c r="B10917" s="952"/>
      <c r="C10917" s="907">
        <v>234</v>
      </c>
      <c r="D10917" s="907" t="s">
        <v>279</v>
      </c>
      <c r="E10917" s="992" t="s">
        <v>5983</v>
      </c>
      <c r="F10917" s="905" t="s">
        <v>3144</v>
      </c>
      <c r="G10917" s="1005"/>
      <c r="H10917" s="911">
        <v>1</v>
      </c>
      <c r="I10917" s="912">
        <f>VLOOKUP(E10917,[3]VLP!$B$7:$K$300,10,0)</f>
        <v>14000</v>
      </c>
      <c r="J10917" s="912">
        <f>I10917*H10917</f>
        <v>14000</v>
      </c>
      <c r="K10917" s="912" t="s">
        <v>274</v>
      </c>
      <c r="L10917" s="912"/>
      <c r="M10917" s="912"/>
      <c r="N10917" s="912"/>
      <c r="O10917" s="892">
        <f t="shared" si="880"/>
        <v>0</v>
      </c>
      <c r="P10917" s="903">
        <f t="shared" si="877"/>
        <v>1</v>
      </c>
      <c r="Q10917" s="893">
        <f t="shared" si="878"/>
        <v>6</v>
      </c>
      <c r="R10917" s="894">
        <f t="shared" si="879"/>
        <v>0</v>
      </c>
    </row>
    <row r="10918" spans="1:18" s="847" customFormat="1">
      <c r="A10918" s="905"/>
      <c r="B10918" s="1016"/>
      <c r="C10918" s="907">
        <v>317</v>
      </c>
      <c r="D10918" s="907" t="s">
        <v>279</v>
      </c>
      <c r="E10918" s="992" t="s">
        <v>3273</v>
      </c>
      <c r="F10918" s="905" t="s">
        <v>45</v>
      </c>
      <c r="G10918" s="1005"/>
      <c r="H10918" s="911">
        <v>0.12</v>
      </c>
      <c r="I10918" s="912">
        <f>VLOOKUP(E10918,[3]VLP!$B$7:$K$300,10,0)</f>
        <v>25000</v>
      </c>
      <c r="J10918" s="912">
        <f>I10918*H10918</f>
        <v>3000</v>
      </c>
      <c r="K10918" s="912" t="s">
        <v>274</v>
      </c>
      <c r="L10918" s="912"/>
      <c r="M10918" s="912"/>
      <c r="N10918" s="912"/>
      <c r="O10918" s="892">
        <f t="shared" si="880"/>
        <v>0</v>
      </c>
      <c r="P10918" s="903">
        <f t="shared" si="877"/>
        <v>1</v>
      </c>
      <c r="Q10918" s="893">
        <f t="shared" si="878"/>
        <v>5</v>
      </c>
      <c r="R10918" s="894">
        <f t="shared" si="879"/>
        <v>0</v>
      </c>
    </row>
    <row r="10919" spans="1:18" s="904" customFormat="1">
      <c r="A10919" s="905"/>
      <c r="B10919" s="952"/>
      <c r="C10919" s="907">
        <v>321</v>
      </c>
      <c r="D10919" s="907" t="s">
        <v>279</v>
      </c>
      <c r="E10919" s="992" t="s">
        <v>6317</v>
      </c>
      <c r="F10919" s="905" t="s">
        <v>45</v>
      </c>
      <c r="G10919" s="1005"/>
      <c r="H10919" s="911">
        <v>0.3</v>
      </c>
      <c r="I10919" s="912">
        <f>VLOOKUP(E10919,[3]VLP!$B$7:$K$300,10,0)</f>
        <v>38182</v>
      </c>
      <c r="J10919" s="912">
        <f>I10919*H10919</f>
        <v>11454.6</v>
      </c>
      <c r="K10919" s="912" t="s">
        <v>274</v>
      </c>
      <c r="L10919" s="912"/>
      <c r="M10919" s="912"/>
      <c r="N10919" s="912"/>
      <c r="O10919" s="892">
        <f t="shared" si="880"/>
        <v>0</v>
      </c>
      <c r="P10919" s="903">
        <f t="shared" si="877"/>
        <v>1</v>
      </c>
      <c r="Q10919" s="893">
        <f t="shared" si="878"/>
        <v>4</v>
      </c>
      <c r="R10919" s="894">
        <f t="shared" si="879"/>
        <v>0</v>
      </c>
    </row>
    <row r="10920" spans="1:18">
      <c r="A10920" s="905"/>
      <c r="B10920" s="952"/>
      <c r="C10920" s="907">
        <v>235</v>
      </c>
      <c r="D10920" s="907" t="s">
        <v>279</v>
      </c>
      <c r="E10920" s="992" t="s">
        <v>2682</v>
      </c>
      <c r="F10920" s="905" t="s">
        <v>45</v>
      </c>
      <c r="G10920" s="1005"/>
      <c r="H10920" s="911">
        <v>2</v>
      </c>
      <c r="I10920" s="912">
        <f>VLOOKUP(E10920,[3]VLP!$B$7:$K$300,10,0)</f>
        <v>5000</v>
      </c>
      <c r="J10920" s="912">
        <f>I10920*H10920</f>
        <v>10000</v>
      </c>
      <c r="K10920" s="912" t="s">
        <v>274</v>
      </c>
      <c r="L10920" s="912"/>
      <c r="M10920" s="912"/>
      <c r="N10920" s="912"/>
      <c r="O10920" s="892">
        <f t="shared" si="880"/>
        <v>0</v>
      </c>
      <c r="P10920" s="903">
        <f t="shared" si="877"/>
        <v>1</v>
      </c>
      <c r="Q10920" s="893">
        <f t="shared" si="878"/>
        <v>3</v>
      </c>
      <c r="R10920" s="894">
        <f t="shared" si="879"/>
        <v>0</v>
      </c>
    </row>
    <row r="10921" spans="1:18" s="847" customFormat="1">
      <c r="A10921" s="895"/>
      <c r="B10921" s="896"/>
      <c r="C10921" s="897"/>
      <c r="D10921" s="897"/>
      <c r="E10921" s="1002" t="s">
        <v>276</v>
      </c>
      <c r="F10921" s="1003"/>
      <c r="G10921" s="1004"/>
      <c r="H10921" s="901"/>
      <c r="I10921" s="902"/>
      <c r="J10921" s="902"/>
      <c r="K10921" s="912" t="s">
        <v>274</v>
      </c>
      <c r="L10921" s="902"/>
      <c r="M10921" s="902"/>
      <c r="N10921" s="902"/>
      <c r="O10921" s="892">
        <f t="shared" si="880"/>
        <v>0</v>
      </c>
      <c r="P10921" s="903">
        <f t="shared" si="877"/>
        <v>1</v>
      </c>
      <c r="Q10921" s="893">
        <f t="shared" si="878"/>
        <v>2</v>
      </c>
      <c r="R10921" s="894">
        <f t="shared" si="879"/>
        <v>0</v>
      </c>
    </row>
    <row r="10922" spans="1:18" s="904" customFormat="1">
      <c r="A10922" s="905"/>
      <c r="B10922" s="952"/>
      <c r="C10922" s="907">
        <v>745</v>
      </c>
      <c r="D10922" s="907" t="s">
        <v>12</v>
      </c>
      <c r="E10922" s="992" t="s">
        <v>5518</v>
      </c>
      <c r="F10922" s="905" t="s">
        <v>2674</v>
      </c>
      <c r="G10922" s="1005"/>
      <c r="H10922" s="911">
        <v>7</v>
      </c>
      <c r="I10922" s="912"/>
      <c r="J10922" s="912"/>
      <c r="K10922" s="912">
        <f>VLOOKUP(E10922,[5]ĐMNC!$A$7:$F$67,4,0)</f>
        <v>240557</v>
      </c>
      <c r="L10922" s="912">
        <f>H10922*K10922</f>
        <v>1683899</v>
      </c>
      <c r="M10922" s="912"/>
      <c r="N10922" s="912"/>
      <c r="O10922" s="892">
        <f t="shared" si="880"/>
        <v>0</v>
      </c>
      <c r="P10922" s="903">
        <f t="shared" si="877"/>
        <v>1</v>
      </c>
      <c r="Q10922" s="893">
        <f t="shared" si="878"/>
        <v>1</v>
      </c>
      <c r="R10922" s="894">
        <f t="shared" si="879"/>
        <v>0</v>
      </c>
    </row>
    <row r="10923" spans="1:18">
      <c r="A10923" s="905">
        <v>210</v>
      </c>
      <c r="B10923" s="914" t="s">
        <v>6779</v>
      </c>
      <c r="C10923" s="915"/>
      <c r="D10923" s="915"/>
      <c r="E10923" s="1006" t="s">
        <v>6780</v>
      </c>
      <c r="F10923" s="917" t="s">
        <v>139</v>
      </c>
      <c r="G10923" s="1008"/>
      <c r="H10923" s="919"/>
      <c r="I10923" s="920"/>
      <c r="J10923" s="891">
        <f>SUM(J10924:J10930)</f>
        <v>38454.6</v>
      </c>
      <c r="K10923" s="891"/>
      <c r="L10923" s="891">
        <f>SUM(L10924:L10930)</f>
        <v>2020678.8</v>
      </c>
      <c r="M10923" s="891"/>
      <c r="N10923" s="891">
        <f>SUM(N10924:N10930)</f>
        <v>0</v>
      </c>
      <c r="O10923" s="892">
        <f t="shared" si="880"/>
        <v>1</v>
      </c>
      <c r="P10923" s="903">
        <f t="shared" si="877"/>
        <v>0</v>
      </c>
      <c r="Q10923" s="893">
        <f t="shared" si="878"/>
        <v>0</v>
      </c>
      <c r="R10923" s="894">
        <f t="shared" si="879"/>
        <v>7</v>
      </c>
    </row>
    <row r="10924" spans="1:18" s="847" customFormat="1">
      <c r="A10924" s="895"/>
      <c r="B10924" s="896"/>
      <c r="C10924" s="897"/>
      <c r="D10924" s="897"/>
      <c r="E10924" s="1002" t="s">
        <v>108</v>
      </c>
      <c r="F10924" s="1003"/>
      <c r="G10924" s="1004"/>
      <c r="H10924" s="901"/>
      <c r="I10924" s="902"/>
      <c r="J10924" s="902"/>
      <c r="K10924" s="912" t="s">
        <v>274</v>
      </c>
      <c r="L10924" s="902"/>
      <c r="M10924" s="902"/>
      <c r="N10924" s="902"/>
      <c r="O10924" s="892">
        <f t="shared" si="880"/>
        <v>0</v>
      </c>
      <c r="P10924" s="903">
        <f t="shared" si="877"/>
        <v>1</v>
      </c>
      <c r="Q10924" s="893">
        <f t="shared" si="878"/>
        <v>7</v>
      </c>
      <c r="R10924" s="894">
        <f t="shared" si="879"/>
        <v>0</v>
      </c>
    </row>
    <row r="10925" spans="1:18" s="904" customFormat="1">
      <c r="A10925" s="905"/>
      <c r="B10925" s="952"/>
      <c r="C10925" s="907">
        <v>234</v>
      </c>
      <c r="D10925" s="907" t="s">
        <v>279</v>
      </c>
      <c r="E10925" s="992" t="s">
        <v>5983</v>
      </c>
      <c r="F10925" s="905" t="s">
        <v>3144</v>
      </c>
      <c r="G10925" s="1005"/>
      <c r="H10925" s="911">
        <v>1</v>
      </c>
      <c r="I10925" s="912">
        <f>VLOOKUP(E10925,[3]VLP!$B$7:$K$300,10,0)</f>
        <v>14000</v>
      </c>
      <c r="J10925" s="912">
        <f>I10925*H10925</f>
        <v>14000</v>
      </c>
      <c r="K10925" s="912" t="s">
        <v>274</v>
      </c>
      <c r="L10925" s="912"/>
      <c r="M10925" s="912"/>
      <c r="N10925" s="912"/>
      <c r="O10925" s="892">
        <f t="shared" si="880"/>
        <v>0</v>
      </c>
      <c r="P10925" s="903">
        <f t="shared" si="877"/>
        <v>1</v>
      </c>
      <c r="Q10925" s="893">
        <f t="shared" si="878"/>
        <v>6</v>
      </c>
      <c r="R10925" s="894">
        <f t="shared" si="879"/>
        <v>0</v>
      </c>
    </row>
    <row r="10926" spans="1:18">
      <c r="A10926" s="905"/>
      <c r="B10926" s="952"/>
      <c r="C10926" s="907">
        <v>317</v>
      </c>
      <c r="D10926" s="907" t="s">
        <v>279</v>
      </c>
      <c r="E10926" s="992" t="s">
        <v>3273</v>
      </c>
      <c r="F10926" s="905" t="s">
        <v>45</v>
      </c>
      <c r="G10926" s="1005"/>
      <c r="H10926" s="911">
        <v>0.12</v>
      </c>
      <c r="I10926" s="912">
        <f>VLOOKUP(E10926,[3]VLP!$B$7:$K$300,10,0)</f>
        <v>25000</v>
      </c>
      <c r="J10926" s="912">
        <f>I10926*H10926</f>
        <v>3000</v>
      </c>
      <c r="K10926" s="912" t="s">
        <v>274</v>
      </c>
      <c r="L10926" s="912"/>
      <c r="M10926" s="912"/>
      <c r="N10926" s="912"/>
      <c r="O10926" s="892">
        <f t="shared" si="880"/>
        <v>0</v>
      </c>
      <c r="P10926" s="903">
        <f t="shared" si="877"/>
        <v>1</v>
      </c>
      <c r="Q10926" s="893">
        <f t="shared" si="878"/>
        <v>5</v>
      </c>
      <c r="R10926" s="894">
        <f t="shared" si="879"/>
        <v>0</v>
      </c>
    </row>
    <row r="10927" spans="1:18" s="847" customFormat="1">
      <c r="A10927" s="905"/>
      <c r="B10927" s="952"/>
      <c r="C10927" s="907">
        <v>321</v>
      </c>
      <c r="D10927" s="907" t="s">
        <v>279</v>
      </c>
      <c r="E10927" s="992" t="s">
        <v>6317</v>
      </c>
      <c r="F10927" s="905" t="s">
        <v>45</v>
      </c>
      <c r="G10927" s="1005"/>
      <c r="H10927" s="911">
        <v>0.3</v>
      </c>
      <c r="I10927" s="912">
        <f>VLOOKUP(E10927,[3]VLP!$B$7:$K$300,10,0)</f>
        <v>38182</v>
      </c>
      <c r="J10927" s="912">
        <f>I10927*H10927</f>
        <v>11454.6</v>
      </c>
      <c r="K10927" s="912" t="s">
        <v>274</v>
      </c>
      <c r="L10927" s="912"/>
      <c r="M10927" s="912"/>
      <c r="N10927" s="912"/>
      <c r="O10927" s="892">
        <f t="shared" si="880"/>
        <v>0</v>
      </c>
      <c r="P10927" s="903">
        <f t="shared" si="877"/>
        <v>1</v>
      </c>
      <c r="Q10927" s="893">
        <f t="shared" si="878"/>
        <v>4</v>
      </c>
      <c r="R10927" s="894">
        <f t="shared" si="879"/>
        <v>0</v>
      </c>
    </row>
    <row r="10928" spans="1:18" s="904" customFormat="1">
      <c r="A10928" s="905"/>
      <c r="B10928" s="952"/>
      <c r="C10928" s="907">
        <v>235</v>
      </c>
      <c r="D10928" s="907" t="s">
        <v>279</v>
      </c>
      <c r="E10928" s="992" t="s">
        <v>2682</v>
      </c>
      <c r="F10928" s="905" t="s">
        <v>45</v>
      </c>
      <c r="G10928" s="1005"/>
      <c r="H10928" s="911">
        <v>2</v>
      </c>
      <c r="I10928" s="912">
        <f>VLOOKUP(E10928,[3]VLP!$B$7:$K$300,10,0)</f>
        <v>5000</v>
      </c>
      <c r="J10928" s="912">
        <f>I10928*H10928</f>
        <v>10000</v>
      </c>
      <c r="K10928" s="912" t="s">
        <v>274</v>
      </c>
      <c r="L10928" s="912"/>
      <c r="M10928" s="912"/>
      <c r="N10928" s="912"/>
      <c r="O10928" s="892">
        <f t="shared" si="880"/>
        <v>0</v>
      </c>
      <c r="P10928" s="903">
        <f t="shared" si="877"/>
        <v>1</v>
      </c>
      <c r="Q10928" s="893">
        <f t="shared" si="878"/>
        <v>3</v>
      </c>
      <c r="R10928" s="894">
        <f t="shared" si="879"/>
        <v>0</v>
      </c>
    </row>
    <row r="10929" spans="1:18">
      <c r="A10929" s="895"/>
      <c r="B10929" s="1017"/>
      <c r="C10929" s="897"/>
      <c r="D10929" s="897"/>
      <c r="E10929" s="1002" t="s">
        <v>276</v>
      </c>
      <c r="F10929" s="1003"/>
      <c r="G10929" s="1004"/>
      <c r="H10929" s="901"/>
      <c r="I10929" s="902"/>
      <c r="J10929" s="902"/>
      <c r="K10929" s="912" t="s">
        <v>274</v>
      </c>
      <c r="L10929" s="902"/>
      <c r="M10929" s="902"/>
      <c r="N10929" s="902"/>
      <c r="O10929" s="892">
        <f t="shared" si="880"/>
        <v>0</v>
      </c>
      <c r="P10929" s="903">
        <f t="shared" si="877"/>
        <v>1</v>
      </c>
      <c r="Q10929" s="893">
        <f t="shared" si="878"/>
        <v>2</v>
      </c>
      <c r="R10929" s="894">
        <f t="shared" si="879"/>
        <v>0</v>
      </c>
    </row>
    <row r="10930" spans="1:18" s="847" customFormat="1">
      <c r="A10930" s="905"/>
      <c r="B10930" s="952"/>
      <c r="C10930" s="907">
        <v>745</v>
      </c>
      <c r="D10930" s="907" t="s">
        <v>12</v>
      </c>
      <c r="E10930" s="992" t="s">
        <v>5518</v>
      </c>
      <c r="F10930" s="905" t="s">
        <v>2674</v>
      </c>
      <c r="G10930" s="1005"/>
      <c r="H10930" s="911">
        <v>8.4</v>
      </c>
      <c r="I10930" s="912"/>
      <c r="J10930" s="912"/>
      <c r="K10930" s="912">
        <f>VLOOKUP(E10930,[5]ĐMNC!$A$7:$F$67,4,0)</f>
        <v>240557</v>
      </c>
      <c r="L10930" s="912">
        <f>H10930*K10930</f>
        <v>2020678.8</v>
      </c>
      <c r="M10930" s="912"/>
      <c r="N10930" s="912"/>
      <c r="O10930" s="892">
        <f t="shared" si="880"/>
        <v>0</v>
      </c>
      <c r="P10930" s="903">
        <f t="shared" si="877"/>
        <v>1</v>
      </c>
      <c r="Q10930" s="893">
        <f t="shared" si="878"/>
        <v>1</v>
      </c>
      <c r="R10930" s="894">
        <f t="shared" si="879"/>
        <v>0</v>
      </c>
    </row>
    <row r="10931" spans="1:18" s="904" customFormat="1" ht="31.5">
      <c r="A10931" s="905" t="s">
        <v>6781</v>
      </c>
      <c r="B10931" s="914" t="s">
        <v>6782</v>
      </c>
      <c r="C10931" s="915"/>
      <c r="D10931" s="915"/>
      <c r="E10931" s="1006" t="s">
        <v>6783</v>
      </c>
      <c r="F10931" s="917" t="s">
        <v>139</v>
      </c>
      <c r="G10931" s="1008"/>
      <c r="H10931" s="919"/>
      <c r="I10931" s="920"/>
      <c r="J10931" s="891">
        <f>SUM(J10932:J10938)</f>
        <v>40227.300000000003</v>
      </c>
      <c r="K10931" s="891"/>
      <c r="L10931" s="891">
        <f>SUM(L10932:L10938)</f>
        <v>1315846.79</v>
      </c>
      <c r="M10931" s="891"/>
      <c r="N10931" s="891">
        <f>SUM(N10932:N10938)</f>
        <v>0</v>
      </c>
      <c r="O10931" s="892">
        <f t="shared" si="880"/>
        <v>1</v>
      </c>
      <c r="P10931" s="903">
        <f t="shared" ref="P10931:P10994" si="881">IF(O10931=0,1,0)</f>
        <v>0</v>
      </c>
      <c r="Q10931" s="893">
        <f t="shared" ref="Q10931:Q10994" si="882">IF(P10931=0,0,P10931+Q10932)</f>
        <v>0</v>
      </c>
      <c r="R10931" s="894">
        <f t="shared" ref="R10931:R10994" si="883">IF(Q10931=0,Q10932,0)</f>
        <v>7</v>
      </c>
    </row>
    <row r="10932" spans="1:18">
      <c r="A10932" s="895"/>
      <c r="B10932" s="896"/>
      <c r="C10932" s="897"/>
      <c r="D10932" s="897"/>
      <c r="E10932" s="1002" t="s">
        <v>108</v>
      </c>
      <c r="F10932" s="1003"/>
      <c r="G10932" s="1004"/>
      <c r="H10932" s="901"/>
      <c r="I10932" s="902"/>
      <c r="J10932" s="902"/>
      <c r="K10932" s="912" t="s">
        <v>274</v>
      </c>
      <c r="L10932" s="902"/>
      <c r="M10932" s="902"/>
      <c r="N10932" s="902"/>
      <c r="O10932" s="892">
        <f t="shared" si="880"/>
        <v>0</v>
      </c>
      <c r="P10932" s="903">
        <f t="shared" si="881"/>
        <v>1</v>
      </c>
      <c r="Q10932" s="893">
        <f t="shared" si="882"/>
        <v>7</v>
      </c>
      <c r="R10932" s="894">
        <f t="shared" si="883"/>
        <v>0</v>
      </c>
    </row>
    <row r="10933" spans="1:18" s="847" customFormat="1">
      <c r="A10933" s="905"/>
      <c r="B10933" s="952"/>
      <c r="C10933" s="907">
        <v>234</v>
      </c>
      <c r="D10933" s="907" t="s">
        <v>279</v>
      </c>
      <c r="E10933" s="992" t="s">
        <v>5983</v>
      </c>
      <c r="F10933" s="905" t="s">
        <v>3144</v>
      </c>
      <c r="G10933" s="1005"/>
      <c r="H10933" s="911">
        <v>0.75</v>
      </c>
      <c r="I10933" s="912">
        <f>VLOOKUP(E10933,[3]VLP!$B$7:$K$300,10,0)</f>
        <v>14000</v>
      </c>
      <c r="J10933" s="912">
        <f>I10933*H10933</f>
        <v>10500</v>
      </c>
      <c r="K10933" s="912" t="s">
        <v>274</v>
      </c>
      <c r="L10933" s="912"/>
      <c r="M10933" s="912"/>
      <c r="N10933" s="912"/>
      <c r="O10933" s="892">
        <f t="shared" si="880"/>
        <v>0</v>
      </c>
      <c r="P10933" s="903">
        <f t="shared" si="881"/>
        <v>1</v>
      </c>
      <c r="Q10933" s="893">
        <f t="shared" si="882"/>
        <v>6</v>
      </c>
      <c r="R10933" s="894">
        <f t="shared" si="883"/>
        <v>0</v>
      </c>
    </row>
    <row r="10934" spans="1:18" s="904" customFormat="1">
      <c r="A10934" s="905"/>
      <c r="B10934" s="952"/>
      <c r="C10934" s="907">
        <v>317</v>
      </c>
      <c r="D10934" s="907" t="s">
        <v>279</v>
      </c>
      <c r="E10934" s="992" t="s">
        <v>3273</v>
      </c>
      <c r="F10934" s="905" t="s">
        <v>45</v>
      </c>
      <c r="G10934" s="1005"/>
      <c r="H10934" s="911">
        <v>0.9</v>
      </c>
      <c r="I10934" s="912">
        <f>VLOOKUP(E10934,[3]VLP!$B$7:$K$300,10,0)</f>
        <v>25000</v>
      </c>
      <c r="J10934" s="912">
        <f>I10934*H10934</f>
        <v>22500</v>
      </c>
      <c r="K10934" s="912" t="s">
        <v>274</v>
      </c>
      <c r="L10934" s="912"/>
      <c r="M10934" s="912"/>
      <c r="N10934" s="912"/>
      <c r="O10934" s="892">
        <f t="shared" si="880"/>
        <v>0</v>
      </c>
      <c r="P10934" s="903">
        <f t="shared" si="881"/>
        <v>1</v>
      </c>
      <c r="Q10934" s="893">
        <f t="shared" si="882"/>
        <v>5</v>
      </c>
      <c r="R10934" s="894">
        <f t="shared" si="883"/>
        <v>0</v>
      </c>
    </row>
    <row r="10935" spans="1:18">
      <c r="A10935" s="905"/>
      <c r="B10935" s="952"/>
      <c r="C10935" s="907">
        <v>321</v>
      </c>
      <c r="D10935" s="907" t="s">
        <v>279</v>
      </c>
      <c r="E10935" s="992" t="s">
        <v>6317</v>
      </c>
      <c r="F10935" s="905" t="s">
        <v>45</v>
      </c>
      <c r="G10935" s="1005"/>
      <c r="H10935" s="911">
        <v>0.15</v>
      </c>
      <c r="I10935" s="912">
        <f>VLOOKUP(E10935,[3]VLP!$B$7:$K$300,10,0)</f>
        <v>38182</v>
      </c>
      <c r="J10935" s="912">
        <f>I10935*H10935</f>
        <v>5727.3</v>
      </c>
      <c r="K10935" s="912" t="s">
        <v>274</v>
      </c>
      <c r="L10935" s="912"/>
      <c r="M10935" s="912"/>
      <c r="N10935" s="912"/>
      <c r="O10935" s="892">
        <f t="shared" si="880"/>
        <v>0</v>
      </c>
      <c r="P10935" s="903">
        <f t="shared" si="881"/>
        <v>1</v>
      </c>
      <c r="Q10935" s="893">
        <f t="shared" si="882"/>
        <v>4</v>
      </c>
      <c r="R10935" s="894">
        <f t="shared" si="883"/>
        <v>0</v>
      </c>
    </row>
    <row r="10936" spans="1:18" s="847" customFormat="1">
      <c r="A10936" s="905"/>
      <c r="B10936" s="952"/>
      <c r="C10936" s="907">
        <v>235</v>
      </c>
      <c r="D10936" s="907" t="s">
        <v>279</v>
      </c>
      <c r="E10936" s="992" t="s">
        <v>2682</v>
      </c>
      <c r="F10936" s="905" t="s">
        <v>45</v>
      </c>
      <c r="G10936" s="1005"/>
      <c r="H10936" s="911">
        <v>0.3</v>
      </c>
      <c r="I10936" s="912">
        <f>VLOOKUP(E10936,[3]VLP!$B$7:$K$300,10,0)</f>
        <v>5000</v>
      </c>
      <c r="J10936" s="912">
        <f>I10936*H10936</f>
        <v>1500</v>
      </c>
      <c r="K10936" s="912" t="s">
        <v>274</v>
      </c>
      <c r="L10936" s="912"/>
      <c r="M10936" s="912"/>
      <c r="N10936" s="912"/>
      <c r="O10936" s="892">
        <f t="shared" si="880"/>
        <v>0</v>
      </c>
      <c r="P10936" s="903">
        <f t="shared" si="881"/>
        <v>1</v>
      </c>
      <c r="Q10936" s="893">
        <f t="shared" si="882"/>
        <v>3</v>
      </c>
      <c r="R10936" s="894">
        <f t="shared" si="883"/>
        <v>0</v>
      </c>
    </row>
    <row r="10937" spans="1:18" s="904" customFormat="1">
      <c r="A10937" s="895"/>
      <c r="B10937" s="896"/>
      <c r="C10937" s="897"/>
      <c r="D10937" s="897"/>
      <c r="E10937" s="1002" t="s">
        <v>276</v>
      </c>
      <c r="F10937" s="1003"/>
      <c r="G10937" s="1004"/>
      <c r="H10937" s="901"/>
      <c r="I10937" s="902"/>
      <c r="J10937" s="902"/>
      <c r="K10937" s="912" t="s">
        <v>274</v>
      </c>
      <c r="L10937" s="902"/>
      <c r="M10937" s="902"/>
      <c r="N10937" s="902"/>
      <c r="O10937" s="892">
        <f t="shared" si="880"/>
        <v>0</v>
      </c>
      <c r="P10937" s="903">
        <f t="shared" si="881"/>
        <v>1</v>
      </c>
      <c r="Q10937" s="893">
        <f t="shared" si="882"/>
        <v>2</v>
      </c>
      <c r="R10937" s="894">
        <f t="shared" si="883"/>
        <v>0</v>
      </c>
    </row>
    <row r="10938" spans="1:18">
      <c r="A10938" s="905"/>
      <c r="B10938" s="952"/>
      <c r="C10938" s="907">
        <v>745</v>
      </c>
      <c r="D10938" s="907" t="s">
        <v>12</v>
      </c>
      <c r="E10938" s="992" t="s">
        <v>5518</v>
      </c>
      <c r="F10938" s="905" t="s">
        <v>2674</v>
      </c>
      <c r="G10938" s="1005"/>
      <c r="H10938" s="911">
        <v>5.47</v>
      </c>
      <c r="I10938" s="912"/>
      <c r="J10938" s="912"/>
      <c r="K10938" s="912">
        <f>VLOOKUP(E10938,[5]ĐMNC!$A$7:$F$67,4,0)</f>
        <v>240557</v>
      </c>
      <c r="L10938" s="912">
        <f>H10938*K10938</f>
        <v>1315846.79</v>
      </c>
      <c r="M10938" s="912"/>
      <c r="N10938" s="912"/>
      <c r="O10938" s="892">
        <f t="shared" si="880"/>
        <v>0</v>
      </c>
      <c r="P10938" s="903">
        <f t="shared" si="881"/>
        <v>1</v>
      </c>
      <c r="Q10938" s="893">
        <f t="shared" si="882"/>
        <v>1</v>
      </c>
      <c r="R10938" s="894">
        <f t="shared" si="883"/>
        <v>0</v>
      </c>
    </row>
    <row r="10939" spans="1:18" s="847" customFormat="1">
      <c r="A10939" s="905">
        <v>212</v>
      </c>
      <c r="B10939" s="914" t="s">
        <v>6784</v>
      </c>
      <c r="C10939" s="915"/>
      <c r="D10939" s="915"/>
      <c r="E10939" s="1006" t="s">
        <v>6785</v>
      </c>
      <c r="F10939" s="917" t="s">
        <v>139</v>
      </c>
      <c r="G10939" s="1008"/>
      <c r="H10939" s="919"/>
      <c r="I10939" s="920"/>
      <c r="J10939" s="891">
        <f>SUM(J10940:J10946)</f>
        <v>40227.300000000003</v>
      </c>
      <c r="K10939" s="891"/>
      <c r="L10939" s="891">
        <f>SUM(L10940:L10946)</f>
        <v>2453681.4</v>
      </c>
      <c r="M10939" s="891"/>
      <c r="N10939" s="891">
        <f>SUM(N10940:N10946)</f>
        <v>0</v>
      </c>
      <c r="O10939" s="892">
        <f t="shared" si="880"/>
        <v>1</v>
      </c>
      <c r="P10939" s="903">
        <f t="shared" si="881"/>
        <v>0</v>
      </c>
      <c r="Q10939" s="893">
        <f t="shared" si="882"/>
        <v>0</v>
      </c>
      <c r="R10939" s="894">
        <f t="shared" si="883"/>
        <v>7</v>
      </c>
    </row>
    <row r="10940" spans="1:18" s="904" customFormat="1">
      <c r="A10940" s="895"/>
      <c r="B10940" s="896"/>
      <c r="C10940" s="897"/>
      <c r="D10940" s="897"/>
      <c r="E10940" s="1002" t="s">
        <v>108</v>
      </c>
      <c r="F10940" s="1003"/>
      <c r="G10940" s="1004"/>
      <c r="H10940" s="901"/>
      <c r="I10940" s="902"/>
      <c r="J10940" s="902"/>
      <c r="K10940" s="912" t="s">
        <v>274</v>
      </c>
      <c r="L10940" s="902"/>
      <c r="M10940" s="902"/>
      <c r="N10940" s="902"/>
      <c r="O10940" s="892">
        <f t="shared" si="880"/>
        <v>0</v>
      </c>
      <c r="P10940" s="903">
        <f t="shared" si="881"/>
        <v>1</v>
      </c>
      <c r="Q10940" s="893">
        <f t="shared" si="882"/>
        <v>7</v>
      </c>
      <c r="R10940" s="894">
        <f t="shared" si="883"/>
        <v>0</v>
      </c>
    </row>
    <row r="10941" spans="1:18">
      <c r="A10941" s="905"/>
      <c r="B10941" s="952"/>
      <c r="C10941" s="907">
        <v>234</v>
      </c>
      <c r="D10941" s="907" t="s">
        <v>279</v>
      </c>
      <c r="E10941" s="992" t="s">
        <v>5983</v>
      </c>
      <c r="F10941" s="905" t="s">
        <v>3144</v>
      </c>
      <c r="G10941" s="1005"/>
      <c r="H10941" s="911">
        <v>0.75</v>
      </c>
      <c r="I10941" s="912">
        <f>VLOOKUP(E10941,[3]VLP!$B$7:$K$300,10,0)</f>
        <v>14000</v>
      </c>
      <c r="J10941" s="912">
        <f>I10941*H10941</f>
        <v>10500</v>
      </c>
      <c r="K10941" s="912" t="s">
        <v>274</v>
      </c>
      <c r="L10941" s="912"/>
      <c r="M10941" s="912"/>
      <c r="N10941" s="912"/>
      <c r="O10941" s="892">
        <f t="shared" si="880"/>
        <v>0</v>
      </c>
      <c r="P10941" s="903">
        <f t="shared" si="881"/>
        <v>1</v>
      </c>
      <c r="Q10941" s="893">
        <f t="shared" si="882"/>
        <v>6</v>
      </c>
      <c r="R10941" s="894">
        <f t="shared" si="883"/>
        <v>0</v>
      </c>
    </row>
    <row r="10942" spans="1:18" s="847" customFormat="1">
      <c r="A10942" s="905"/>
      <c r="B10942" s="952"/>
      <c r="C10942" s="907">
        <v>317</v>
      </c>
      <c r="D10942" s="907" t="s">
        <v>279</v>
      </c>
      <c r="E10942" s="992" t="s">
        <v>3273</v>
      </c>
      <c r="F10942" s="905" t="s">
        <v>45</v>
      </c>
      <c r="G10942" s="1005"/>
      <c r="H10942" s="911">
        <v>0.9</v>
      </c>
      <c r="I10942" s="912">
        <f>VLOOKUP(E10942,[3]VLP!$B$7:$K$300,10,0)</f>
        <v>25000</v>
      </c>
      <c r="J10942" s="912">
        <f>I10942*H10942</f>
        <v>22500</v>
      </c>
      <c r="K10942" s="912" t="s">
        <v>274</v>
      </c>
      <c r="L10942" s="912"/>
      <c r="M10942" s="912"/>
      <c r="N10942" s="912"/>
      <c r="O10942" s="892">
        <f t="shared" si="880"/>
        <v>0</v>
      </c>
      <c r="P10942" s="903">
        <f t="shared" si="881"/>
        <v>1</v>
      </c>
      <c r="Q10942" s="893">
        <f t="shared" si="882"/>
        <v>5</v>
      </c>
      <c r="R10942" s="894">
        <f t="shared" si="883"/>
        <v>0</v>
      </c>
    </row>
    <row r="10943" spans="1:18" s="904" customFormat="1">
      <c r="A10943" s="905"/>
      <c r="B10943" s="952"/>
      <c r="C10943" s="907">
        <v>321</v>
      </c>
      <c r="D10943" s="907" t="s">
        <v>279</v>
      </c>
      <c r="E10943" s="992" t="s">
        <v>6317</v>
      </c>
      <c r="F10943" s="905" t="s">
        <v>45</v>
      </c>
      <c r="G10943" s="1005"/>
      <c r="H10943" s="911">
        <v>0.15</v>
      </c>
      <c r="I10943" s="912">
        <f>VLOOKUP(E10943,[3]VLP!$B$7:$K$300,10,0)</f>
        <v>38182</v>
      </c>
      <c r="J10943" s="912">
        <f>I10943*H10943</f>
        <v>5727.3</v>
      </c>
      <c r="K10943" s="912" t="s">
        <v>274</v>
      </c>
      <c r="L10943" s="912"/>
      <c r="M10943" s="912"/>
      <c r="N10943" s="912"/>
      <c r="O10943" s="892">
        <f t="shared" si="880"/>
        <v>0</v>
      </c>
      <c r="P10943" s="903">
        <f t="shared" si="881"/>
        <v>1</v>
      </c>
      <c r="Q10943" s="893">
        <f t="shared" si="882"/>
        <v>4</v>
      </c>
      <c r="R10943" s="894">
        <f t="shared" si="883"/>
        <v>0</v>
      </c>
    </row>
    <row r="10944" spans="1:18">
      <c r="A10944" s="905"/>
      <c r="B10944" s="952"/>
      <c r="C10944" s="907">
        <v>235</v>
      </c>
      <c r="D10944" s="907" t="s">
        <v>279</v>
      </c>
      <c r="E10944" s="992" t="s">
        <v>2682</v>
      </c>
      <c r="F10944" s="905" t="s">
        <v>45</v>
      </c>
      <c r="G10944" s="1005"/>
      <c r="H10944" s="911">
        <v>0.3</v>
      </c>
      <c r="I10944" s="912">
        <f>VLOOKUP(E10944,[3]VLP!$B$7:$K$300,10,0)</f>
        <v>5000</v>
      </c>
      <c r="J10944" s="912">
        <f>I10944*H10944</f>
        <v>1500</v>
      </c>
      <c r="K10944" s="912" t="s">
        <v>274</v>
      </c>
      <c r="L10944" s="912"/>
      <c r="M10944" s="912"/>
      <c r="N10944" s="912"/>
      <c r="O10944" s="892">
        <f t="shared" si="880"/>
        <v>0</v>
      </c>
      <c r="P10944" s="903">
        <f t="shared" si="881"/>
        <v>1</v>
      </c>
      <c r="Q10944" s="893">
        <f t="shared" si="882"/>
        <v>3</v>
      </c>
      <c r="R10944" s="894">
        <f t="shared" si="883"/>
        <v>0</v>
      </c>
    </row>
    <row r="10945" spans="1:18" s="847" customFormat="1">
      <c r="A10945" s="895"/>
      <c r="B10945" s="896"/>
      <c r="C10945" s="897"/>
      <c r="D10945" s="897"/>
      <c r="E10945" s="1002" t="s">
        <v>276</v>
      </c>
      <c r="F10945" s="1003"/>
      <c r="G10945" s="1004"/>
      <c r="H10945" s="901"/>
      <c r="I10945" s="902"/>
      <c r="J10945" s="902"/>
      <c r="K10945" s="912" t="s">
        <v>274</v>
      </c>
      <c r="L10945" s="902"/>
      <c r="M10945" s="902"/>
      <c r="N10945" s="902"/>
      <c r="O10945" s="892">
        <f t="shared" si="880"/>
        <v>0</v>
      </c>
      <c r="P10945" s="903">
        <f t="shared" si="881"/>
        <v>1</v>
      </c>
      <c r="Q10945" s="893">
        <f t="shared" si="882"/>
        <v>2</v>
      </c>
      <c r="R10945" s="894">
        <f t="shared" si="883"/>
        <v>0</v>
      </c>
    </row>
    <row r="10946" spans="1:18" s="904" customFormat="1">
      <c r="A10946" s="905"/>
      <c r="B10946" s="952"/>
      <c r="C10946" s="907">
        <v>745</v>
      </c>
      <c r="D10946" s="907" t="s">
        <v>12</v>
      </c>
      <c r="E10946" s="992" t="s">
        <v>5518</v>
      </c>
      <c r="F10946" s="905" t="s">
        <v>2674</v>
      </c>
      <c r="G10946" s="1005"/>
      <c r="H10946" s="911">
        <v>10.199999999999999</v>
      </c>
      <c r="I10946" s="912"/>
      <c r="J10946" s="912"/>
      <c r="K10946" s="912">
        <f>VLOOKUP(E10946,[5]ĐMNC!$A$7:$F$67,4,0)</f>
        <v>240557</v>
      </c>
      <c r="L10946" s="912">
        <f>H10946*K10946</f>
        <v>2453681.4</v>
      </c>
      <c r="M10946" s="912"/>
      <c r="N10946" s="912"/>
      <c r="O10946" s="892">
        <f t="shared" si="880"/>
        <v>0</v>
      </c>
      <c r="P10946" s="903">
        <f t="shared" si="881"/>
        <v>1</v>
      </c>
      <c r="Q10946" s="893">
        <f t="shared" si="882"/>
        <v>1</v>
      </c>
      <c r="R10946" s="894">
        <f t="shared" si="883"/>
        <v>0</v>
      </c>
    </row>
    <row r="10947" spans="1:18">
      <c r="A10947" s="905">
        <v>213</v>
      </c>
      <c r="B10947" s="914" t="s">
        <v>6786</v>
      </c>
      <c r="C10947" s="915"/>
      <c r="D10947" s="915"/>
      <c r="E10947" s="1006" t="s">
        <v>6787</v>
      </c>
      <c r="F10947" s="917" t="s">
        <v>139</v>
      </c>
      <c r="G10947" s="1008"/>
      <c r="H10947" s="919"/>
      <c r="I10947" s="920"/>
      <c r="J10947" s="891">
        <f>SUM(J10948:J10954)</f>
        <v>40227.300000000003</v>
      </c>
      <c r="K10947" s="891"/>
      <c r="L10947" s="891">
        <f>SUM(L10948:L10954)</f>
        <v>2920361.98</v>
      </c>
      <c r="M10947" s="891"/>
      <c r="N10947" s="891">
        <f>SUM(N10948:N10954)</f>
        <v>0</v>
      </c>
      <c r="O10947" s="892">
        <f t="shared" si="880"/>
        <v>1</v>
      </c>
      <c r="P10947" s="903">
        <f t="shared" si="881"/>
        <v>0</v>
      </c>
      <c r="Q10947" s="893">
        <f t="shared" si="882"/>
        <v>0</v>
      </c>
      <c r="R10947" s="894">
        <f t="shared" si="883"/>
        <v>7</v>
      </c>
    </row>
    <row r="10948" spans="1:18" s="847" customFormat="1">
      <c r="A10948" s="895"/>
      <c r="B10948" s="896"/>
      <c r="C10948" s="897"/>
      <c r="D10948" s="897"/>
      <c r="E10948" s="1002" t="s">
        <v>108</v>
      </c>
      <c r="F10948" s="1003"/>
      <c r="G10948" s="1004"/>
      <c r="H10948" s="901"/>
      <c r="I10948" s="902"/>
      <c r="J10948" s="902"/>
      <c r="K10948" s="912" t="s">
        <v>274</v>
      </c>
      <c r="L10948" s="902"/>
      <c r="M10948" s="902"/>
      <c r="N10948" s="902"/>
      <c r="O10948" s="892">
        <f t="shared" si="880"/>
        <v>0</v>
      </c>
      <c r="P10948" s="903">
        <f t="shared" si="881"/>
        <v>1</v>
      </c>
      <c r="Q10948" s="893">
        <f t="shared" si="882"/>
        <v>7</v>
      </c>
      <c r="R10948" s="894">
        <f t="shared" si="883"/>
        <v>0</v>
      </c>
    </row>
    <row r="10949" spans="1:18" s="904" customFormat="1">
      <c r="A10949" s="905"/>
      <c r="B10949" s="952"/>
      <c r="C10949" s="907">
        <v>234</v>
      </c>
      <c r="D10949" s="907" t="s">
        <v>279</v>
      </c>
      <c r="E10949" s="992" t="s">
        <v>5983</v>
      </c>
      <c r="F10949" s="905" t="s">
        <v>3144</v>
      </c>
      <c r="G10949" s="1005"/>
      <c r="H10949" s="911">
        <v>0.75</v>
      </c>
      <c r="I10949" s="912">
        <f>VLOOKUP(E10949,[3]VLP!$B$7:$K$300,10,0)</f>
        <v>14000</v>
      </c>
      <c r="J10949" s="912">
        <f>I10949*H10949</f>
        <v>10500</v>
      </c>
      <c r="K10949" s="912" t="s">
        <v>274</v>
      </c>
      <c r="L10949" s="912"/>
      <c r="M10949" s="912"/>
      <c r="N10949" s="912"/>
      <c r="O10949" s="892">
        <f t="shared" si="880"/>
        <v>0</v>
      </c>
      <c r="P10949" s="903">
        <f t="shared" si="881"/>
        <v>1</v>
      </c>
      <c r="Q10949" s="893">
        <f t="shared" si="882"/>
        <v>6</v>
      </c>
      <c r="R10949" s="894">
        <f t="shared" si="883"/>
        <v>0</v>
      </c>
    </row>
    <row r="10950" spans="1:18">
      <c r="A10950" s="905"/>
      <c r="B10950" s="952"/>
      <c r="C10950" s="907">
        <v>317</v>
      </c>
      <c r="D10950" s="907" t="s">
        <v>279</v>
      </c>
      <c r="E10950" s="992" t="s">
        <v>3273</v>
      </c>
      <c r="F10950" s="905" t="s">
        <v>45</v>
      </c>
      <c r="G10950" s="1005"/>
      <c r="H10950" s="911">
        <v>0.9</v>
      </c>
      <c r="I10950" s="912">
        <f>VLOOKUP(E10950,[3]VLP!$B$7:$K$300,10,0)</f>
        <v>25000</v>
      </c>
      <c r="J10950" s="912">
        <f>I10950*H10950</f>
        <v>22500</v>
      </c>
      <c r="K10950" s="912" t="s">
        <v>274</v>
      </c>
      <c r="L10950" s="912"/>
      <c r="M10950" s="912"/>
      <c r="N10950" s="912"/>
      <c r="O10950" s="892">
        <f t="shared" si="880"/>
        <v>0</v>
      </c>
      <c r="P10950" s="903">
        <f t="shared" si="881"/>
        <v>1</v>
      </c>
      <c r="Q10950" s="893">
        <f t="shared" si="882"/>
        <v>5</v>
      </c>
      <c r="R10950" s="894">
        <f t="shared" si="883"/>
        <v>0</v>
      </c>
    </row>
    <row r="10951" spans="1:18" s="847" customFormat="1">
      <c r="A10951" s="905"/>
      <c r="B10951" s="952"/>
      <c r="C10951" s="907">
        <v>321</v>
      </c>
      <c r="D10951" s="907" t="s">
        <v>279</v>
      </c>
      <c r="E10951" s="992" t="s">
        <v>6317</v>
      </c>
      <c r="F10951" s="905" t="s">
        <v>45</v>
      </c>
      <c r="G10951" s="1005"/>
      <c r="H10951" s="911">
        <v>0.15</v>
      </c>
      <c r="I10951" s="912">
        <f>VLOOKUP(E10951,[3]VLP!$B$7:$K$300,10,0)</f>
        <v>38182</v>
      </c>
      <c r="J10951" s="912">
        <f>I10951*H10951</f>
        <v>5727.3</v>
      </c>
      <c r="K10951" s="912" t="s">
        <v>274</v>
      </c>
      <c r="L10951" s="912"/>
      <c r="M10951" s="912"/>
      <c r="N10951" s="912"/>
      <c r="O10951" s="892">
        <f t="shared" si="880"/>
        <v>0</v>
      </c>
      <c r="P10951" s="903">
        <f t="shared" si="881"/>
        <v>1</v>
      </c>
      <c r="Q10951" s="893">
        <f t="shared" si="882"/>
        <v>4</v>
      </c>
      <c r="R10951" s="894">
        <f t="shared" si="883"/>
        <v>0</v>
      </c>
    </row>
    <row r="10952" spans="1:18" s="904" customFormat="1">
      <c r="A10952" s="905"/>
      <c r="B10952" s="952"/>
      <c r="C10952" s="907">
        <v>235</v>
      </c>
      <c r="D10952" s="907" t="s">
        <v>279</v>
      </c>
      <c r="E10952" s="992" t="s">
        <v>2682</v>
      </c>
      <c r="F10952" s="905" t="s">
        <v>45</v>
      </c>
      <c r="G10952" s="1005"/>
      <c r="H10952" s="911">
        <v>0.3</v>
      </c>
      <c r="I10952" s="912">
        <f>VLOOKUP(E10952,[3]VLP!$B$7:$K$300,10,0)</f>
        <v>5000</v>
      </c>
      <c r="J10952" s="912">
        <f>I10952*H10952</f>
        <v>1500</v>
      </c>
      <c r="K10952" s="912" t="s">
        <v>274</v>
      </c>
      <c r="L10952" s="912"/>
      <c r="M10952" s="912"/>
      <c r="N10952" s="912"/>
      <c r="O10952" s="892">
        <f t="shared" si="880"/>
        <v>0</v>
      </c>
      <c r="P10952" s="903">
        <f t="shared" si="881"/>
        <v>1</v>
      </c>
      <c r="Q10952" s="893">
        <f t="shared" si="882"/>
        <v>3</v>
      </c>
      <c r="R10952" s="894">
        <f t="shared" si="883"/>
        <v>0</v>
      </c>
    </row>
    <row r="10953" spans="1:18">
      <c r="A10953" s="895"/>
      <c r="B10953" s="896"/>
      <c r="C10953" s="897"/>
      <c r="D10953" s="897"/>
      <c r="E10953" s="1002" t="s">
        <v>276</v>
      </c>
      <c r="F10953" s="1003"/>
      <c r="G10953" s="1004"/>
      <c r="H10953" s="901"/>
      <c r="I10953" s="902"/>
      <c r="J10953" s="902"/>
      <c r="K10953" s="912" t="s">
        <v>274</v>
      </c>
      <c r="L10953" s="902"/>
      <c r="M10953" s="902"/>
      <c r="N10953" s="902"/>
      <c r="O10953" s="892">
        <f t="shared" si="880"/>
        <v>0</v>
      </c>
      <c r="P10953" s="903">
        <f t="shared" si="881"/>
        <v>1</v>
      </c>
      <c r="Q10953" s="893">
        <f t="shared" si="882"/>
        <v>2</v>
      </c>
      <c r="R10953" s="894">
        <f t="shared" si="883"/>
        <v>0</v>
      </c>
    </row>
    <row r="10954" spans="1:18" s="847" customFormat="1">
      <c r="A10954" s="905"/>
      <c r="B10954" s="952"/>
      <c r="C10954" s="907">
        <v>745</v>
      </c>
      <c r="D10954" s="907" t="s">
        <v>12</v>
      </c>
      <c r="E10954" s="992" t="s">
        <v>5518</v>
      </c>
      <c r="F10954" s="905" t="s">
        <v>2674</v>
      </c>
      <c r="G10954" s="1005"/>
      <c r="H10954" s="911">
        <v>12.14</v>
      </c>
      <c r="I10954" s="912"/>
      <c r="J10954" s="912"/>
      <c r="K10954" s="912">
        <f>VLOOKUP(E10954,[5]ĐMNC!$A$7:$F$67,4,0)</f>
        <v>240557</v>
      </c>
      <c r="L10954" s="912">
        <f>H10954*K10954</f>
        <v>2920361.98</v>
      </c>
      <c r="M10954" s="912"/>
      <c r="N10954" s="912"/>
      <c r="O10954" s="892">
        <f t="shared" si="880"/>
        <v>0</v>
      </c>
      <c r="P10954" s="903">
        <f t="shared" si="881"/>
        <v>1</v>
      </c>
      <c r="Q10954" s="893">
        <f t="shared" si="882"/>
        <v>1</v>
      </c>
      <c r="R10954" s="894">
        <f t="shared" si="883"/>
        <v>0</v>
      </c>
    </row>
    <row r="10955" spans="1:18" s="904" customFormat="1">
      <c r="A10955" s="905">
        <v>214</v>
      </c>
      <c r="B10955" s="914" t="s">
        <v>6788</v>
      </c>
      <c r="C10955" s="915"/>
      <c r="D10955" s="915"/>
      <c r="E10955" s="1006" t="s">
        <v>6789</v>
      </c>
      <c r="F10955" s="917" t="s">
        <v>139</v>
      </c>
      <c r="G10955" s="1008"/>
      <c r="H10955" s="919"/>
      <c r="I10955" s="920"/>
      <c r="J10955" s="891">
        <f>SUM(J10956:J10962)</f>
        <v>26818.2</v>
      </c>
      <c r="K10955" s="891"/>
      <c r="L10955" s="891">
        <f>SUM(L10956:L10962)</f>
        <v>1096939.92</v>
      </c>
      <c r="M10955" s="891"/>
      <c r="N10955" s="891">
        <f>SUM(N10956:N10962)</f>
        <v>0</v>
      </c>
      <c r="O10955" s="892">
        <f t="shared" si="880"/>
        <v>1</v>
      </c>
      <c r="P10955" s="903">
        <f t="shared" si="881"/>
        <v>0</v>
      </c>
      <c r="Q10955" s="893">
        <f t="shared" si="882"/>
        <v>0</v>
      </c>
      <c r="R10955" s="894">
        <f t="shared" si="883"/>
        <v>7</v>
      </c>
    </row>
    <row r="10956" spans="1:18">
      <c r="A10956" s="895"/>
      <c r="B10956" s="922"/>
      <c r="C10956" s="897"/>
      <c r="D10956" s="897"/>
      <c r="E10956" s="1002" t="s">
        <v>108</v>
      </c>
      <c r="F10956" s="1003"/>
      <c r="G10956" s="1004"/>
      <c r="H10956" s="901"/>
      <c r="I10956" s="902"/>
      <c r="J10956" s="902"/>
      <c r="K10956" s="912" t="s">
        <v>274</v>
      </c>
      <c r="L10956" s="902"/>
      <c r="M10956" s="902"/>
      <c r="N10956" s="902"/>
      <c r="O10956" s="892">
        <f t="shared" si="880"/>
        <v>0</v>
      </c>
      <c r="P10956" s="903">
        <f t="shared" si="881"/>
        <v>1</v>
      </c>
      <c r="Q10956" s="893">
        <f t="shared" si="882"/>
        <v>7</v>
      </c>
      <c r="R10956" s="894">
        <f t="shared" si="883"/>
        <v>0</v>
      </c>
    </row>
    <row r="10957" spans="1:18" s="847" customFormat="1">
      <c r="A10957" s="905"/>
      <c r="B10957" s="952"/>
      <c r="C10957" s="907">
        <v>234</v>
      </c>
      <c r="D10957" s="907" t="s">
        <v>279</v>
      </c>
      <c r="E10957" s="992" t="s">
        <v>5983</v>
      </c>
      <c r="F10957" s="905" t="s">
        <v>3144</v>
      </c>
      <c r="G10957" s="1005"/>
      <c r="H10957" s="911">
        <v>0.5</v>
      </c>
      <c r="I10957" s="912">
        <f>VLOOKUP(E10957,[3]VLP!$B$7:$K$300,10,0)</f>
        <v>14000</v>
      </c>
      <c r="J10957" s="912">
        <f>I10957*H10957</f>
        <v>7000</v>
      </c>
      <c r="K10957" s="912" t="s">
        <v>274</v>
      </c>
      <c r="L10957" s="912"/>
      <c r="M10957" s="912"/>
      <c r="N10957" s="912"/>
      <c r="O10957" s="892">
        <f t="shared" si="880"/>
        <v>0</v>
      </c>
      <c r="P10957" s="903">
        <f t="shared" si="881"/>
        <v>1</v>
      </c>
      <c r="Q10957" s="893">
        <f t="shared" si="882"/>
        <v>6</v>
      </c>
      <c r="R10957" s="894">
        <f t="shared" si="883"/>
        <v>0</v>
      </c>
    </row>
    <row r="10958" spans="1:18" s="904" customFormat="1">
      <c r="A10958" s="905"/>
      <c r="B10958" s="952"/>
      <c r="C10958" s="907">
        <v>317</v>
      </c>
      <c r="D10958" s="907" t="s">
        <v>279</v>
      </c>
      <c r="E10958" s="992" t="s">
        <v>3273</v>
      </c>
      <c r="F10958" s="905" t="s">
        <v>45</v>
      </c>
      <c r="G10958" s="1005"/>
      <c r="H10958" s="911">
        <v>0.6</v>
      </c>
      <c r="I10958" s="912">
        <f>VLOOKUP(E10958,[3]VLP!$B$7:$K$300,10,0)</f>
        <v>25000</v>
      </c>
      <c r="J10958" s="912">
        <f>I10958*H10958</f>
        <v>15000</v>
      </c>
      <c r="K10958" s="912" t="s">
        <v>274</v>
      </c>
      <c r="L10958" s="912"/>
      <c r="M10958" s="912"/>
      <c r="N10958" s="912"/>
      <c r="O10958" s="892">
        <f t="shared" si="880"/>
        <v>0</v>
      </c>
      <c r="P10958" s="903">
        <f t="shared" si="881"/>
        <v>1</v>
      </c>
      <c r="Q10958" s="893">
        <f t="shared" si="882"/>
        <v>5</v>
      </c>
      <c r="R10958" s="894">
        <f t="shared" si="883"/>
        <v>0</v>
      </c>
    </row>
    <row r="10959" spans="1:18">
      <c r="A10959" s="905"/>
      <c r="B10959" s="952"/>
      <c r="C10959" s="907">
        <v>321</v>
      </c>
      <c r="D10959" s="907" t="s">
        <v>279</v>
      </c>
      <c r="E10959" s="992" t="s">
        <v>6317</v>
      </c>
      <c r="F10959" s="905" t="s">
        <v>45</v>
      </c>
      <c r="G10959" s="1005"/>
      <c r="H10959" s="911">
        <v>0.1</v>
      </c>
      <c r="I10959" s="912">
        <f>VLOOKUP(E10959,[3]VLP!$B$7:$K$300,10,0)</f>
        <v>38182</v>
      </c>
      <c r="J10959" s="912">
        <f>I10959*H10959</f>
        <v>3818.2000000000003</v>
      </c>
      <c r="K10959" s="912" t="s">
        <v>274</v>
      </c>
      <c r="L10959" s="912"/>
      <c r="M10959" s="912"/>
      <c r="N10959" s="912"/>
      <c r="O10959" s="892">
        <f t="shared" si="880"/>
        <v>0</v>
      </c>
      <c r="P10959" s="903">
        <f t="shared" si="881"/>
        <v>1</v>
      </c>
      <c r="Q10959" s="893">
        <f t="shared" si="882"/>
        <v>4</v>
      </c>
      <c r="R10959" s="894">
        <f t="shared" si="883"/>
        <v>0</v>
      </c>
    </row>
    <row r="10960" spans="1:18" s="847" customFormat="1">
      <c r="A10960" s="905"/>
      <c r="B10960" s="952"/>
      <c r="C10960" s="907">
        <v>235</v>
      </c>
      <c r="D10960" s="907" t="s">
        <v>279</v>
      </c>
      <c r="E10960" s="992" t="s">
        <v>2682</v>
      </c>
      <c r="F10960" s="905" t="s">
        <v>45</v>
      </c>
      <c r="G10960" s="1005"/>
      <c r="H10960" s="911">
        <v>0.2</v>
      </c>
      <c r="I10960" s="912">
        <f>VLOOKUP(E10960,[3]VLP!$B$7:$K$300,10,0)</f>
        <v>5000</v>
      </c>
      <c r="J10960" s="912">
        <f>I10960*H10960</f>
        <v>1000</v>
      </c>
      <c r="K10960" s="912" t="s">
        <v>274</v>
      </c>
      <c r="L10960" s="912"/>
      <c r="M10960" s="912"/>
      <c r="N10960" s="912"/>
      <c r="O10960" s="892">
        <f t="shared" si="880"/>
        <v>0</v>
      </c>
      <c r="P10960" s="903">
        <f t="shared" si="881"/>
        <v>1</v>
      </c>
      <c r="Q10960" s="893">
        <f t="shared" si="882"/>
        <v>3</v>
      </c>
      <c r="R10960" s="894">
        <f t="shared" si="883"/>
        <v>0</v>
      </c>
    </row>
    <row r="10961" spans="1:18" s="904" customFormat="1">
      <c r="A10961" s="895"/>
      <c r="B10961" s="896"/>
      <c r="C10961" s="897"/>
      <c r="D10961" s="897"/>
      <c r="E10961" s="1002" t="s">
        <v>276</v>
      </c>
      <c r="F10961" s="1003"/>
      <c r="G10961" s="1004"/>
      <c r="H10961" s="901"/>
      <c r="I10961" s="902"/>
      <c r="J10961" s="902"/>
      <c r="K10961" s="912" t="s">
        <v>274</v>
      </c>
      <c r="L10961" s="902"/>
      <c r="M10961" s="902"/>
      <c r="N10961" s="902"/>
      <c r="O10961" s="892">
        <f t="shared" si="880"/>
        <v>0</v>
      </c>
      <c r="P10961" s="903">
        <f t="shared" si="881"/>
        <v>1</v>
      </c>
      <c r="Q10961" s="893">
        <f t="shared" si="882"/>
        <v>2</v>
      </c>
      <c r="R10961" s="894">
        <f t="shared" si="883"/>
        <v>0</v>
      </c>
    </row>
    <row r="10962" spans="1:18">
      <c r="A10962" s="905"/>
      <c r="B10962" s="952"/>
      <c r="C10962" s="907">
        <v>745</v>
      </c>
      <c r="D10962" s="907" t="s">
        <v>12</v>
      </c>
      <c r="E10962" s="992" t="s">
        <v>5518</v>
      </c>
      <c r="F10962" s="905" t="s">
        <v>2674</v>
      </c>
      <c r="G10962" s="1005"/>
      <c r="H10962" s="911">
        <v>4.5599999999999996</v>
      </c>
      <c r="I10962" s="912"/>
      <c r="J10962" s="912"/>
      <c r="K10962" s="912">
        <f>VLOOKUP(E10962,[5]ĐMNC!$A$7:$F$67,4,0)</f>
        <v>240557</v>
      </c>
      <c r="L10962" s="912">
        <f>H10962*K10962</f>
        <v>1096939.92</v>
      </c>
      <c r="M10962" s="912"/>
      <c r="N10962" s="912"/>
      <c r="O10962" s="892">
        <f t="shared" si="880"/>
        <v>0</v>
      </c>
      <c r="P10962" s="903">
        <f t="shared" si="881"/>
        <v>1</v>
      </c>
      <c r="Q10962" s="893">
        <f t="shared" si="882"/>
        <v>1</v>
      </c>
      <c r="R10962" s="894">
        <f t="shared" si="883"/>
        <v>0</v>
      </c>
    </row>
    <row r="10963" spans="1:18" s="847" customFormat="1">
      <c r="A10963" s="905">
        <v>215</v>
      </c>
      <c r="B10963" s="914" t="s">
        <v>6790</v>
      </c>
      <c r="C10963" s="915"/>
      <c r="D10963" s="915"/>
      <c r="E10963" s="1006" t="s">
        <v>6791</v>
      </c>
      <c r="F10963" s="917" t="s">
        <v>139</v>
      </c>
      <c r="G10963" s="1008"/>
      <c r="H10963" s="919"/>
      <c r="I10963" s="920"/>
      <c r="J10963" s="891">
        <f>SUM(J10964:J10970)</f>
        <v>26818.2</v>
      </c>
      <c r="K10963" s="891"/>
      <c r="L10963" s="891">
        <f>SUM(L10964:L10970)</f>
        <v>2020678.8</v>
      </c>
      <c r="M10963" s="891"/>
      <c r="N10963" s="891">
        <f>SUM(N10964:N10970)</f>
        <v>0</v>
      </c>
      <c r="O10963" s="892">
        <f t="shared" si="880"/>
        <v>1</v>
      </c>
      <c r="P10963" s="903">
        <f t="shared" si="881"/>
        <v>0</v>
      </c>
      <c r="Q10963" s="893">
        <f t="shared" si="882"/>
        <v>0</v>
      </c>
      <c r="R10963" s="894">
        <f t="shared" si="883"/>
        <v>7</v>
      </c>
    </row>
    <row r="10964" spans="1:18" s="904" customFormat="1">
      <c r="A10964" s="895"/>
      <c r="B10964" s="896"/>
      <c r="C10964" s="897"/>
      <c r="D10964" s="897"/>
      <c r="E10964" s="1002" t="s">
        <v>108</v>
      </c>
      <c r="F10964" s="1003"/>
      <c r="G10964" s="1004"/>
      <c r="H10964" s="901"/>
      <c r="I10964" s="902"/>
      <c r="J10964" s="902"/>
      <c r="K10964" s="912" t="s">
        <v>274</v>
      </c>
      <c r="L10964" s="902"/>
      <c r="M10964" s="902"/>
      <c r="N10964" s="902"/>
      <c r="O10964" s="892">
        <f t="shared" si="880"/>
        <v>0</v>
      </c>
      <c r="P10964" s="903">
        <f t="shared" si="881"/>
        <v>1</v>
      </c>
      <c r="Q10964" s="893">
        <f t="shared" si="882"/>
        <v>7</v>
      </c>
      <c r="R10964" s="894">
        <f t="shared" si="883"/>
        <v>0</v>
      </c>
    </row>
    <row r="10965" spans="1:18">
      <c r="A10965" s="905"/>
      <c r="B10965" s="952"/>
      <c r="C10965" s="907">
        <v>234</v>
      </c>
      <c r="D10965" s="907" t="s">
        <v>279</v>
      </c>
      <c r="E10965" s="992" t="s">
        <v>5983</v>
      </c>
      <c r="F10965" s="905" t="s">
        <v>3144</v>
      </c>
      <c r="G10965" s="1005"/>
      <c r="H10965" s="911">
        <v>0.5</v>
      </c>
      <c r="I10965" s="912">
        <f>VLOOKUP(E10965,[3]VLP!$B$7:$K$300,10,0)</f>
        <v>14000</v>
      </c>
      <c r="J10965" s="912">
        <f>I10965*H10965</f>
        <v>7000</v>
      </c>
      <c r="K10965" s="912" t="s">
        <v>274</v>
      </c>
      <c r="L10965" s="912"/>
      <c r="M10965" s="912"/>
      <c r="N10965" s="912"/>
      <c r="O10965" s="892">
        <f t="shared" si="880"/>
        <v>0</v>
      </c>
      <c r="P10965" s="903">
        <f t="shared" si="881"/>
        <v>1</v>
      </c>
      <c r="Q10965" s="893">
        <f t="shared" si="882"/>
        <v>6</v>
      </c>
      <c r="R10965" s="894">
        <f t="shared" si="883"/>
        <v>0</v>
      </c>
    </row>
    <row r="10966" spans="1:18" s="847" customFormat="1">
      <c r="A10966" s="905"/>
      <c r="B10966" s="952"/>
      <c r="C10966" s="907">
        <v>317</v>
      </c>
      <c r="D10966" s="907" t="s">
        <v>279</v>
      </c>
      <c r="E10966" s="992" t="s">
        <v>3273</v>
      </c>
      <c r="F10966" s="905" t="s">
        <v>45</v>
      </c>
      <c r="G10966" s="1005"/>
      <c r="H10966" s="911">
        <v>0.6</v>
      </c>
      <c r="I10966" s="912">
        <f>VLOOKUP(E10966,[3]VLP!$B$7:$K$300,10,0)</f>
        <v>25000</v>
      </c>
      <c r="J10966" s="912">
        <f>I10966*H10966</f>
        <v>15000</v>
      </c>
      <c r="K10966" s="912" t="s">
        <v>274</v>
      </c>
      <c r="L10966" s="912"/>
      <c r="M10966" s="912"/>
      <c r="N10966" s="912"/>
      <c r="O10966" s="892">
        <f t="shared" si="880"/>
        <v>0</v>
      </c>
      <c r="P10966" s="903">
        <f t="shared" si="881"/>
        <v>1</v>
      </c>
      <c r="Q10966" s="893">
        <f t="shared" si="882"/>
        <v>5</v>
      </c>
      <c r="R10966" s="894">
        <f t="shared" si="883"/>
        <v>0</v>
      </c>
    </row>
    <row r="10967" spans="1:18" s="904" customFormat="1">
      <c r="A10967" s="905"/>
      <c r="B10967" s="952"/>
      <c r="C10967" s="907">
        <v>321</v>
      </c>
      <c r="D10967" s="907" t="s">
        <v>279</v>
      </c>
      <c r="E10967" s="992" t="s">
        <v>6317</v>
      </c>
      <c r="F10967" s="905" t="s">
        <v>45</v>
      </c>
      <c r="G10967" s="1005"/>
      <c r="H10967" s="911">
        <v>0.1</v>
      </c>
      <c r="I10967" s="912">
        <f>VLOOKUP(E10967,[3]VLP!$B$7:$K$300,10,0)</f>
        <v>38182</v>
      </c>
      <c r="J10967" s="912">
        <f>I10967*H10967</f>
        <v>3818.2000000000003</v>
      </c>
      <c r="K10967" s="912" t="s">
        <v>274</v>
      </c>
      <c r="L10967" s="912"/>
      <c r="M10967" s="912"/>
      <c r="N10967" s="912"/>
      <c r="O10967" s="892">
        <f t="shared" si="880"/>
        <v>0</v>
      </c>
      <c r="P10967" s="903">
        <f t="shared" si="881"/>
        <v>1</v>
      </c>
      <c r="Q10967" s="893">
        <f t="shared" si="882"/>
        <v>4</v>
      </c>
      <c r="R10967" s="894">
        <f t="shared" si="883"/>
        <v>0</v>
      </c>
    </row>
    <row r="10968" spans="1:18">
      <c r="A10968" s="905"/>
      <c r="B10968" s="952"/>
      <c r="C10968" s="907">
        <v>235</v>
      </c>
      <c r="D10968" s="907" t="s">
        <v>279</v>
      </c>
      <c r="E10968" s="992" t="s">
        <v>2682</v>
      </c>
      <c r="F10968" s="905" t="s">
        <v>45</v>
      </c>
      <c r="G10968" s="1005"/>
      <c r="H10968" s="911">
        <v>0.2</v>
      </c>
      <c r="I10968" s="912">
        <f>VLOOKUP(E10968,[3]VLP!$B$7:$K$300,10,0)</f>
        <v>5000</v>
      </c>
      <c r="J10968" s="912">
        <f>I10968*H10968</f>
        <v>1000</v>
      </c>
      <c r="K10968" s="912" t="s">
        <v>274</v>
      </c>
      <c r="L10968" s="912"/>
      <c r="M10968" s="912"/>
      <c r="N10968" s="912"/>
      <c r="O10968" s="892">
        <f t="shared" si="880"/>
        <v>0</v>
      </c>
      <c r="P10968" s="903">
        <f t="shared" si="881"/>
        <v>1</v>
      </c>
      <c r="Q10968" s="893">
        <f t="shared" si="882"/>
        <v>3</v>
      </c>
      <c r="R10968" s="894">
        <f t="shared" si="883"/>
        <v>0</v>
      </c>
    </row>
    <row r="10969" spans="1:18" s="904" customFormat="1">
      <c r="A10969" s="895"/>
      <c r="B10969" s="896"/>
      <c r="C10969" s="897"/>
      <c r="D10969" s="897"/>
      <c r="E10969" s="1002" t="s">
        <v>276</v>
      </c>
      <c r="F10969" s="1003"/>
      <c r="G10969" s="1004"/>
      <c r="H10969" s="901"/>
      <c r="I10969" s="902"/>
      <c r="J10969" s="902"/>
      <c r="K10969" s="912" t="s">
        <v>274</v>
      </c>
      <c r="L10969" s="902"/>
      <c r="M10969" s="902"/>
      <c r="N10969" s="902"/>
      <c r="O10969" s="892">
        <f t="shared" si="880"/>
        <v>0</v>
      </c>
      <c r="P10969" s="903">
        <f t="shared" si="881"/>
        <v>1</v>
      </c>
      <c r="Q10969" s="893">
        <f t="shared" si="882"/>
        <v>2</v>
      </c>
      <c r="R10969" s="894">
        <f t="shared" si="883"/>
        <v>0</v>
      </c>
    </row>
    <row r="10970" spans="1:18">
      <c r="A10970" s="905"/>
      <c r="B10970" s="952"/>
      <c r="C10970" s="907">
        <v>745</v>
      </c>
      <c r="D10970" s="907" t="s">
        <v>12</v>
      </c>
      <c r="E10970" s="992" t="s">
        <v>5518</v>
      </c>
      <c r="F10970" s="905" t="s">
        <v>2674</v>
      </c>
      <c r="G10970" s="1005"/>
      <c r="H10970" s="911">
        <v>8.4</v>
      </c>
      <c r="I10970" s="912"/>
      <c r="J10970" s="912"/>
      <c r="K10970" s="912">
        <f>VLOOKUP(E10970,[5]ĐMNC!$A$7:$F$67,4,0)</f>
        <v>240557</v>
      </c>
      <c r="L10970" s="912">
        <f>H10970*K10970</f>
        <v>2020678.8</v>
      </c>
      <c r="M10970" s="912"/>
      <c r="N10970" s="912"/>
      <c r="O10970" s="892">
        <f t="shared" si="880"/>
        <v>0</v>
      </c>
      <c r="P10970" s="903">
        <f t="shared" si="881"/>
        <v>1</v>
      </c>
      <c r="Q10970" s="893">
        <f t="shared" si="882"/>
        <v>1</v>
      </c>
      <c r="R10970" s="894">
        <f t="shared" si="883"/>
        <v>0</v>
      </c>
    </row>
    <row r="10971" spans="1:18">
      <c r="A10971" s="905">
        <v>216</v>
      </c>
      <c r="B10971" s="914" t="s">
        <v>6792</v>
      </c>
      <c r="C10971" s="915"/>
      <c r="D10971" s="915"/>
      <c r="E10971" s="1006" t="s">
        <v>6793</v>
      </c>
      <c r="F10971" s="917" t="s">
        <v>139</v>
      </c>
      <c r="G10971" s="1008"/>
      <c r="H10971" s="919"/>
      <c r="I10971" s="920"/>
      <c r="J10971" s="891">
        <f>SUM(J10972:J10978)</f>
        <v>26818.2</v>
      </c>
      <c r="K10971" s="891"/>
      <c r="L10971" s="891">
        <f>SUM(L10972:L10978)</f>
        <v>2598015.6</v>
      </c>
      <c r="M10971" s="891"/>
      <c r="N10971" s="891">
        <f>SUM(N10972:N10978)</f>
        <v>0</v>
      </c>
      <c r="O10971" s="892">
        <f t="shared" si="880"/>
        <v>1</v>
      </c>
      <c r="P10971" s="903">
        <f t="shared" si="881"/>
        <v>0</v>
      </c>
      <c r="Q10971" s="893">
        <f t="shared" si="882"/>
        <v>0</v>
      </c>
      <c r="R10971" s="894">
        <f t="shared" si="883"/>
        <v>7</v>
      </c>
    </row>
    <row r="10972" spans="1:18" s="847" customFormat="1">
      <c r="A10972" s="895"/>
      <c r="B10972" s="896"/>
      <c r="C10972" s="897"/>
      <c r="D10972" s="897"/>
      <c r="E10972" s="1002" t="s">
        <v>108</v>
      </c>
      <c r="F10972" s="1003"/>
      <c r="G10972" s="1004"/>
      <c r="H10972" s="901"/>
      <c r="I10972" s="902"/>
      <c r="J10972" s="902"/>
      <c r="K10972" s="912" t="s">
        <v>274</v>
      </c>
      <c r="L10972" s="902"/>
      <c r="M10972" s="902"/>
      <c r="N10972" s="902"/>
      <c r="O10972" s="892">
        <f t="shared" si="880"/>
        <v>0</v>
      </c>
      <c r="P10972" s="903">
        <f t="shared" si="881"/>
        <v>1</v>
      </c>
      <c r="Q10972" s="893">
        <f t="shared" si="882"/>
        <v>7</v>
      </c>
      <c r="R10972" s="894">
        <f t="shared" si="883"/>
        <v>0</v>
      </c>
    </row>
    <row r="10973" spans="1:18" s="904" customFormat="1">
      <c r="A10973" s="905"/>
      <c r="B10973" s="952"/>
      <c r="C10973" s="907">
        <v>234</v>
      </c>
      <c r="D10973" s="907" t="s">
        <v>279</v>
      </c>
      <c r="E10973" s="992" t="s">
        <v>5983</v>
      </c>
      <c r="F10973" s="905" t="s">
        <v>3144</v>
      </c>
      <c r="G10973" s="1005"/>
      <c r="H10973" s="911">
        <v>0.5</v>
      </c>
      <c r="I10973" s="912">
        <f>VLOOKUP(E10973,[3]VLP!$B$7:$K$300,10,0)</f>
        <v>14000</v>
      </c>
      <c r="J10973" s="912">
        <f>I10973*H10973</f>
        <v>7000</v>
      </c>
      <c r="K10973" s="912" t="s">
        <v>274</v>
      </c>
      <c r="L10973" s="912"/>
      <c r="M10973" s="912"/>
      <c r="N10973" s="912"/>
      <c r="O10973" s="892">
        <f t="shared" si="880"/>
        <v>0</v>
      </c>
      <c r="P10973" s="903">
        <f t="shared" si="881"/>
        <v>1</v>
      </c>
      <c r="Q10973" s="893">
        <f t="shared" si="882"/>
        <v>6</v>
      </c>
      <c r="R10973" s="894">
        <f t="shared" si="883"/>
        <v>0</v>
      </c>
    </row>
    <row r="10974" spans="1:18">
      <c r="A10974" s="905"/>
      <c r="B10974" s="952"/>
      <c r="C10974" s="907">
        <v>317</v>
      </c>
      <c r="D10974" s="907" t="s">
        <v>279</v>
      </c>
      <c r="E10974" s="992" t="s">
        <v>3273</v>
      </c>
      <c r="F10974" s="905" t="s">
        <v>45</v>
      </c>
      <c r="G10974" s="1005"/>
      <c r="H10974" s="911">
        <v>0.6</v>
      </c>
      <c r="I10974" s="912">
        <f>VLOOKUP(E10974,[3]VLP!$B$7:$K$300,10,0)</f>
        <v>25000</v>
      </c>
      <c r="J10974" s="912">
        <f>I10974*H10974</f>
        <v>15000</v>
      </c>
      <c r="K10974" s="912" t="s">
        <v>274</v>
      </c>
      <c r="L10974" s="912"/>
      <c r="M10974" s="912"/>
      <c r="N10974" s="912"/>
      <c r="O10974" s="892">
        <f t="shared" si="880"/>
        <v>0</v>
      </c>
      <c r="P10974" s="903">
        <f t="shared" si="881"/>
        <v>1</v>
      </c>
      <c r="Q10974" s="893">
        <f t="shared" si="882"/>
        <v>5</v>
      </c>
      <c r="R10974" s="894">
        <f t="shared" si="883"/>
        <v>0</v>
      </c>
    </row>
    <row r="10975" spans="1:18" s="904" customFormat="1">
      <c r="A10975" s="905"/>
      <c r="B10975" s="952"/>
      <c r="C10975" s="907">
        <v>321</v>
      </c>
      <c r="D10975" s="907" t="s">
        <v>279</v>
      </c>
      <c r="E10975" s="992" t="s">
        <v>6317</v>
      </c>
      <c r="F10975" s="905" t="s">
        <v>45</v>
      </c>
      <c r="G10975" s="1005"/>
      <c r="H10975" s="911">
        <v>0.1</v>
      </c>
      <c r="I10975" s="912">
        <f>VLOOKUP(E10975,[3]VLP!$B$7:$K$300,10,0)</f>
        <v>38182</v>
      </c>
      <c r="J10975" s="912">
        <f>I10975*H10975</f>
        <v>3818.2000000000003</v>
      </c>
      <c r="K10975" s="912" t="s">
        <v>274</v>
      </c>
      <c r="L10975" s="912"/>
      <c r="M10975" s="912"/>
      <c r="N10975" s="912"/>
      <c r="O10975" s="892">
        <f t="shared" ref="O10975:O11038" si="884">IF(AND(B10975&lt;&gt;"",D10975=""),1,0)</f>
        <v>0</v>
      </c>
      <c r="P10975" s="903">
        <f t="shared" si="881"/>
        <v>1</v>
      </c>
      <c r="Q10975" s="893">
        <f t="shared" si="882"/>
        <v>4</v>
      </c>
      <c r="R10975" s="894">
        <f t="shared" si="883"/>
        <v>0</v>
      </c>
    </row>
    <row r="10976" spans="1:18">
      <c r="A10976" s="905"/>
      <c r="B10976" s="952"/>
      <c r="C10976" s="907">
        <v>235</v>
      </c>
      <c r="D10976" s="907" t="s">
        <v>279</v>
      </c>
      <c r="E10976" s="992" t="s">
        <v>2682</v>
      </c>
      <c r="F10976" s="905" t="s">
        <v>45</v>
      </c>
      <c r="G10976" s="1005"/>
      <c r="H10976" s="911">
        <v>0.2</v>
      </c>
      <c r="I10976" s="912">
        <f>VLOOKUP(E10976,[3]VLP!$B$7:$K$300,10,0)</f>
        <v>5000</v>
      </c>
      <c r="J10976" s="912">
        <f>I10976*H10976</f>
        <v>1000</v>
      </c>
      <c r="K10976" s="912" t="s">
        <v>274</v>
      </c>
      <c r="L10976" s="912"/>
      <c r="M10976" s="912"/>
      <c r="N10976" s="912"/>
      <c r="O10976" s="892">
        <f t="shared" si="884"/>
        <v>0</v>
      </c>
      <c r="P10976" s="903">
        <f t="shared" si="881"/>
        <v>1</v>
      </c>
      <c r="Q10976" s="893">
        <f t="shared" si="882"/>
        <v>3</v>
      </c>
      <c r="R10976" s="894">
        <f t="shared" si="883"/>
        <v>0</v>
      </c>
    </row>
    <row r="10977" spans="1:18">
      <c r="A10977" s="895"/>
      <c r="B10977" s="896"/>
      <c r="C10977" s="897"/>
      <c r="D10977" s="897"/>
      <c r="E10977" s="1002" t="s">
        <v>276</v>
      </c>
      <c r="F10977" s="1003"/>
      <c r="G10977" s="1004"/>
      <c r="H10977" s="901"/>
      <c r="I10977" s="902"/>
      <c r="J10977" s="902"/>
      <c r="K10977" s="912" t="s">
        <v>274</v>
      </c>
      <c r="L10977" s="902"/>
      <c r="M10977" s="902"/>
      <c r="N10977" s="902"/>
      <c r="O10977" s="892">
        <f t="shared" si="884"/>
        <v>0</v>
      </c>
      <c r="P10977" s="903">
        <f t="shared" si="881"/>
        <v>1</v>
      </c>
      <c r="Q10977" s="893">
        <f t="shared" si="882"/>
        <v>2</v>
      </c>
      <c r="R10977" s="894">
        <f t="shared" si="883"/>
        <v>0</v>
      </c>
    </row>
    <row r="10978" spans="1:18" s="847" customFormat="1">
      <c r="A10978" s="905"/>
      <c r="B10978" s="952"/>
      <c r="C10978" s="907">
        <v>745</v>
      </c>
      <c r="D10978" s="907" t="s">
        <v>12</v>
      </c>
      <c r="E10978" s="992" t="s">
        <v>5518</v>
      </c>
      <c r="F10978" s="905" t="s">
        <v>2674</v>
      </c>
      <c r="G10978" s="1005"/>
      <c r="H10978" s="911">
        <v>10.8</v>
      </c>
      <c r="I10978" s="912"/>
      <c r="J10978" s="912"/>
      <c r="K10978" s="912">
        <f>VLOOKUP(E10978,[5]ĐMNC!$A$7:$F$67,4,0)</f>
        <v>240557</v>
      </c>
      <c r="L10978" s="912">
        <f>H10978*K10978</f>
        <v>2598015.6</v>
      </c>
      <c r="M10978" s="912"/>
      <c r="N10978" s="912"/>
      <c r="O10978" s="892">
        <f t="shared" si="884"/>
        <v>0</v>
      </c>
      <c r="P10978" s="903">
        <f t="shared" si="881"/>
        <v>1</v>
      </c>
      <c r="Q10978" s="893">
        <f t="shared" si="882"/>
        <v>1</v>
      </c>
      <c r="R10978" s="894">
        <f t="shared" si="883"/>
        <v>0</v>
      </c>
    </row>
    <row r="10979" spans="1:18" s="904" customFormat="1">
      <c r="A10979" s="905" t="s">
        <v>6781</v>
      </c>
      <c r="B10979" s="914" t="s">
        <v>6794</v>
      </c>
      <c r="C10979" s="915"/>
      <c r="D10979" s="915"/>
      <c r="E10979" s="1006" t="s">
        <v>6795</v>
      </c>
      <c r="F10979" s="917" t="s">
        <v>139</v>
      </c>
      <c r="G10979" s="1008"/>
      <c r="H10979" s="919"/>
      <c r="I10979" s="920"/>
      <c r="J10979" s="891">
        <f>SUM(J10980:J10983)</f>
        <v>500</v>
      </c>
      <c r="K10979" s="891"/>
      <c r="L10979" s="891">
        <f>SUM(L10980:L10983)</f>
        <v>110562.5</v>
      </c>
      <c r="M10979" s="891"/>
      <c r="N10979" s="891">
        <f>SUM(N10980:N10983)</f>
        <v>0</v>
      </c>
      <c r="O10979" s="892">
        <f t="shared" si="884"/>
        <v>1</v>
      </c>
      <c r="P10979" s="903">
        <f t="shared" si="881"/>
        <v>0</v>
      </c>
      <c r="Q10979" s="893">
        <f t="shared" si="882"/>
        <v>0</v>
      </c>
      <c r="R10979" s="894">
        <f t="shared" si="883"/>
        <v>4</v>
      </c>
    </row>
    <row r="10980" spans="1:18">
      <c r="A10980" s="895"/>
      <c r="B10980" s="922"/>
      <c r="C10980" s="897"/>
      <c r="D10980" s="897"/>
      <c r="E10980" s="1002" t="s">
        <v>108</v>
      </c>
      <c r="F10980" s="1003"/>
      <c r="G10980" s="1004"/>
      <c r="H10980" s="901"/>
      <c r="I10980" s="902"/>
      <c r="J10980" s="902"/>
      <c r="K10980" s="912" t="s">
        <v>274</v>
      </c>
      <c r="L10980" s="902"/>
      <c r="M10980" s="902"/>
      <c r="N10980" s="902"/>
      <c r="O10980" s="892">
        <f t="shared" si="884"/>
        <v>0</v>
      </c>
      <c r="P10980" s="903">
        <f t="shared" si="881"/>
        <v>1</v>
      </c>
      <c r="Q10980" s="893">
        <f t="shared" si="882"/>
        <v>4</v>
      </c>
      <c r="R10980" s="894">
        <f t="shared" si="883"/>
        <v>0</v>
      </c>
    </row>
    <row r="10981" spans="1:18" s="904" customFormat="1">
      <c r="A10981" s="905"/>
      <c r="B10981" s="952"/>
      <c r="C10981" s="907">
        <v>203</v>
      </c>
      <c r="D10981" s="907" t="s">
        <v>279</v>
      </c>
      <c r="E10981" s="992" t="s">
        <v>5656</v>
      </c>
      <c r="F10981" s="905" t="s">
        <v>6796</v>
      </c>
      <c r="G10981" s="1005"/>
      <c r="H10981" s="911">
        <v>0.1</v>
      </c>
      <c r="I10981" s="912">
        <f>VLOOKUP(E10981,[3]VLP!$B$7:$K$300,10,0)</f>
        <v>5000</v>
      </c>
      <c r="J10981" s="912">
        <f>I10981*H10981</f>
        <v>500</v>
      </c>
      <c r="K10981" s="912" t="s">
        <v>274</v>
      </c>
      <c r="L10981" s="912"/>
      <c r="M10981" s="912"/>
      <c r="N10981" s="912"/>
      <c r="O10981" s="892">
        <f t="shared" si="884"/>
        <v>0</v>
      </c>
      <c r="P10981" s="903">
        <f t="shared" si="881"/>
        <v>1</v>
      </c>
      <c r="Q10981" s="893">
        <f t="shared" si="882"/>
        <v>3</v>
      </c>
      <c r="R10981" s="894">
        <f t="shared" si="883"/>
        <v>0</v>
      </c>
    </row>
    <row r="10982" spans="1:18">
      <c r="A10982" s="895"/>
      <c r="B10982" s="896"/>
      <c r="C10982" s="897"/>
      <c r="D10982" s="897"/>
      <c r="E10982" s="1002" t="s">
        <v>276</v>
      </c>
      <c r="F10982" s="1003"/>
      <c r="G10982" s="1004"/>
      <c r="H10982" s="901"/>
      <c r="I10982" s="902"/>
      <c r="J10982" s="902"/>
      <c r="K10982" s="912" t="s">
        <v>274</v>
      </c>
      <c r="L10982" s="902"/>
      <c r="M10982" s="902"/>
      <c r="N10982" s="902"/>
      <c r="O10982" s="892">
        <f t="shared" si="884"/>
        <v>0</v>
      </c>
      <c r="P10982" s="903">
        <f t="shared" si="881"/>
        <v>1</v>
      </c>
      <c r="Q10982" s="893">
        <f t="shared" si="882"/>
        <v>2</v>
      </c>
      <c r="R10982" s="894">
        <f t="shared" si="883"/>
        <v>0</v>
      </c>
    </row>
    <row r="10983" spans="1:18">
      <c r="A10983" s="905"/>
      <c r="B10983" s="952"/>
      <c r="C10983" s="907">
        <v>740</v>
      </c>
      <c r="D10983" s="907" t="s">
        <v>12</v>
      </c>
      <c r="E10983" s="992" t="s">
        <v>4008</v>
      </c>
      <c r="F10983" s="905" t="s">
        <v>2674</v>
      </c>
      <c r="G10983" s="1005"/>
      <c r="H10983" s="911">
        <v>0.5</v>
      </c>
      <c r="I10983" s="912"/>
      <c r="J10983" s="912"/>
      <c r="K10983" s="912">
        <f>VLOOKUP(E10983,[5]ĐMNC!$A$7:$F$67,4,0)</f>
        <v>221125</v>
      </c>
      <c r="L10983" s="912">
        <f>H10983*K10983</f>
        <v>110562.5</v>
      </c>
      <c r="M10983" s="912"/>
      <c r="N10983" s="912"/>
      <c r="O10983" s="892">
        <f t="shared" si="884"/>
        <v>0</v>
      </c>
      <c r="P10983" s="903">
        <f t="shared" si="881"/>
        <v>1</v>
      </c>
      <c r="Q10983" s="893">
        <f t="shared" si="882"/>
        <v>1</v>
      </c>
      <c r="R10983" s="894">
        <f t="shared" si="883"/>
        <v>0</v>
      </c>
    </row>
    <row r="10984" spans="1:18" s="847" customFormat="1">
      <c r="A10984" s="905">
        <v>218</v>
      </c>
      <c r="B10984" s="914" t="s">
        <v>6797</v>
      </c>
      <c r="C10984" s="915"/>
      <c r="D10984" s="915"/>
      <c r="E10984" s="1006" t="s">
        <v>6798</v>
      </c>
      <c r="F10984" s="917" t="s">
        <v>139</v>
      </c>
      <c r="G10984" s="1008"/>
      <c r="H10984" s="919"/>
      <c r="I10984" s="920"/>
      <c r="J10984" s="891">
        <f>SUM(J10985:J10988)</f>
        <v>500</v>
      </c>
      <c r="K10984" s="891"/>
      <c r="L10984" s="891">
        <f>SUM(L10985:L10988)</f>
        <v>154787.5</v>
      </c>
      <c r="M10984" s="891"/>
      <c r="N10984" s="891">
        <f>SUM(N10985:N10988)</f>
        <v>0</v>
      </c>
      <c r="O10984" s="892">
        <f t="shared" si="884"/>
        <v>1</v>
      </c>
      <c r="P10984" s="903">
        <f t="shared" si="881"/>
        <v>0</v>
      </c>
      <c r="Q10984" s="893">
        <f t="shared" si="882"/>
        <v>0</v>
      </c>
      <c r="R10984" s="894">
        <f t="shared" si="883"/>
        <v>4</v>
      </c>
    </row>
    <row r="10985" spans="1:18" s="904" customFormat="1">
      <c r="A10985" s="895"/>
      <c r="B10985" s="896"/>
      <c r="C10985" s="897"/>
      <c r="D10985" s="897"/>
      <c r="E10985" s="1002" t="s">
        <v>108</v>
      </c>
      <c r="F10985" s="1003"/>
      <c r="G10985" s="1004"/>
      <c r="H10985" s="901"/>
      <c r="I10985" s="902"/>
      <c r="J10985" s="902"/>
      <c r="K10985" s="912" t="s">
        <v>274</v>
      </c>
      <c r="L10985" s="902"/>
      <c r="M10985" s="902"/>
      <c r="N10985" s="902"/>
      <c r="O10985" s="892">
        <f t="shared" si="884"/>
        <v>0</v>
      </c>
      <c r="P10985" s="903">
        <f t="shared" si="881"/>
        <v>1</v>
      </c>
      <c r="Q10985" s="893">
        <f t="shared" si="882"/>
        <v>4</v>
      </c>
      <c r="R10985" s="894">
        <f t="shared" si="883"/>
        <v>0</v>
      </c>
    </row>
    <row r="10986" spans="1:18">
      <c r="A10986" s="905"/>
      <c r="B10986" s="952"/>
      <c r="C10986" s="907">
        <v>203</v>
      </c>
      <c r="D10986" s="907" t="s">
        <v>279</v>
      </c>
      <c r="E10986" s="992" t="s">
        <v>5656</v>
      </c>
      <c r="F10986" s="905" t="s">
        <v>6796</v>
      </c>
      <c r="G10986" s="1005"/>
      <c r="H10986" s="911">
        <v>0.1</v>
      </c>
      <c r="I10986" s="912">
        <f>VLOOKUP(E10986,[3]VLP!$B$7:$K$300,10,0)</f>
        <v>5000</v>
      </c>
      <c r="J10986" s="912">
        <f>I10986*H10986</f>
        <v>500</v>
      </c>
      <c r="K10986" s="912" t="s">
        <v>274</v>
      </c>
      <c r="L10986" s="912"/>
      <c r="M10986" s="912"/>
      <c r="N10986" s="912"/>
      <c r="O10986" s="892">
        <f t="shared" si="884"/>
        <v>0</v>
      </c>
      <c r="P10986" s="903">
        <f t="shared" si="881"/>
        <v>1</v>
      </c>
      <c r="Q10986" s="893">
        <f t="shared" si="882"/>
        <v>3</v>
      </c>
      <c r="R10986" s="894">
        <f t="shared" si="883"/>
        <v>0</v>
      </c>
    </row>
    <row r="10987" spans="1:18" s="904" customFormat="1">
      <c r="A10987" s="895"/>
      <c r="B10987" s="896"/>
      <c r="C10987" s="897"/>
      <c r="D10987" s="897"/>
      <c r="E10987" s="1002" t="s">
        <v>276</v>
      </c>
      <c r="F10987" s="1003"/>
      <c r="G10987" s="1004"/>
      <c r="H10987" s="901"/>
      <c r="I10987" s="902"/>
      <c r="J10987" s="902"/>
      <c r="K10987" s="912" t="s">
        <v>274</v>
      </c>
      <c r="L10987" s="902"/>
      <c r="M10987" s="902"/>
      <c r="N10987" s="902"/>
      <c r="O10987" s="892">
        <f t="shared" si="884"/>
        <v>0</v>
      </c>
      <c r="P10987" s="903">
        <f t="shared" si="881"/>
        <v>1</v>
      </c>
      <c r="Q10987" s="893">
        <f t="shared" si="882"/>
        <v>2</v>
      </c>
      <c r="R10987" s="894">
        <f t="shared" si="883"/>
        <v>0</v>
      </c>
    </row>
    <row r="10988" spans="1:18">
      <c r="A10988" s="905"/>
      <c r="B10988" s="952"/>
      <c r="C10988" s="907">
        <v>740</v>
      </c>
      <c r="D10988" s="907" t="s">
        <v>12</v>
      </c>
      <c r="E10988" s="992" t="s">
        <v>4008</v>
      </c>
      <c r="F10988" s="905" t="s">
        <v>2674</v>
      </c>
      <c r="G10988" s="1005"/>
      <c r="H10988" s="911">
        <v>0.7</v>
      </c>
      <c r="I10988" s="912"/>
      <c r="J10988" s="912"/>
      <c r="K10988" s="912">
        <f>VLOOKUP(E10988,[5]ĐMNC!$A$7:$F$67,4,0)</f>
        <v>221125</v>
      </c>
      <c r="L10988" s="912">
        <f>H10988*K10988</f>
        <v>154787.5</v>
      </c>
      <c r="M10988" s="912"/>
      <c r="N10988" s="912"/>
      <c r="O10988" s="892">
        <f t="shared" si="884"/>
        <v>0</v>
      </c>
      <c r="P10988" s="903">
        <f t="shared" si="881"/>
        <v>1</v>
      </c>
      <c r="Q10988" s="893">
        <f t="shared" si="882"/>
        <v>1</v>
      </c>
      <c r="R10988" s="894">
        <f t="shared" si="883"/>
        <v>0</v>
      </c>
    </row>
    <row r="10989" spans="1:18">
      <c r="A10989" s="905">
        <v>219</v>
      </c>
      <c r="B10989" s="914" t="s">
        <v>6799</v>
      </c>
      <c r="C10989" s="915"/>
      <c r="D10989" s="915"/>
      <c r="E10989" s="1006" t="s">
        <v>6800</v>
      </c>
      <c r="F10989" s="917" t="s">
        <v>139</v>
      </c>
      <c r="G10989" s="1008"/>
      <c r="H10989" s="919"/>
      <c r="I10989" s="920"/>
      <c r="J10989" s="891">
        <f>SUM(J10990:J10993)</f>
        <v>1000</v>
      </c>
      <c r="K10989" s="891"/>
      <c r="L10989" s="891">
        <f>SUM(L10990:L10993)</f>
        <v>221125</v>
      </c>
      <c r="M10989" s="891"/>
      <c r="N10989" s="891">
        <f>SUM(N10990:N10993)</f>
        <v>0</v>
      </c>
      <c r="O10989" s="892">
        <f t="shared" si="884"/>
        <v>1</v>
      </c>
      <c r="P10989" s="903">
        <f t="shared" si="881"/>
        <v>0</v>
      </c>
      <c r="Q10989" s="893">
        <f t="shared" si="882"/>
        <v>0</v>
      </c>
      <c r="R10989" s="894">
        <f t="shared" si="883"/>
        <v>4</v>
      </c>
    </row>
    <row r="10990" spans="1:18" s="847" customFormat="1">
      <c r="A10990" s="895"/>
      <c r="B10990" s="896"/>
      <c r="C10990" s="897"/>
      <c r="D10990" s="897"/>
      <c r="E10990" s="1002" t="s">
        <v>108</v>
      </c>
      <c r="F10990" s="1003"/>
      <c r="G10990" s="1004"/>
      <c r="H10990" s="901"/>
      <c r="I10990" s="902"/>
      <c r="J10990" s="902"/>
      <c r="K10990" s="912" t="s">
        <v>274</v>
      </c>
      <c r="L10990" s="902"/>
      <c r="M10990" s="902"/>
      <c r="N10990" s="902"/>
      <c r="O10990" s="892">
        <f t="shared" si="884"/>
        <v>0</v>
      </c>
      <c r="P10990" s="903">
        <f t="shared" si="881"/>
        <v>1</v>
      </c>
      <c r="Q10990" s="893">
        <f t="shared" si="882"/>
        <v>4</v>
      </c>
      <c r="R10990" s="894">
        <f t="shared" si="883"/>
        <v>0</v>
      </c>
    </row>
    <row r="10991" spans="1:18" s="904" customFormat="1">
      <c r="A10991" s="905"/>
      <c r="B10991" s="952"/>
      <c r="C10991" s="907">
        <v>203</v>
      </c>
      <c r="D10991" s="907" t="s">
        <v>279</v>
      </c>
      <c r="E10991" s="992" t="s">
        <v>5656</v>
      </c>
      <c r="F10991" s="905" t="s">
        <v>6796</v>
      </c>
      <c r="G10991" s="1005"/>
      <c r="H10991" s="911">
        <v>0.2</v>
      </c>
      <c r="I10991" s="912">
        <f>VLOOKUP(E10991,[3]VLP!$B$7:$K$300,10,0)</f>
        <v>5000</v>
      </c>
      <c r="J10991" s="912">
        <f>I10991*H10991</f>
        <v>1000</v>
      </c>
      <c r="K10991" s="912" t="s">
        <v>274</v>
      </c>
      <c r="L10991" s="912"/>
      <c r="M10991" s="912"/>
      <c r="N10991" s="912"/>
      <c r="O10991" s="892">
        <f t="shared" si="884"/>
        <v>0</v>
      </c>
      <c r="P10991" s="903">
        <f t="shared" si="881"/>
        <v>1</v>
      </c>
      <c r="Q10991" s="893">
        <f t="shared" si="882"/>
        <v>3</v>
      </c>
      <c r="R10991" s="894">
        <f t="shared" si="883"/>
        <v>0</v>
      </c>
    </row>
    <row r="10992" spans="1:18">
      <c r="A10992" s="895"/>
      <c r="B10992" s="896"/>
      <c r="C10992" s="897"/>
      <c r="D10992" s="897"/>
      <c r="E10992" s="1002" t="s">
        <v>276</v>
      </c>
      <c r="F10992" s="1003"/>
      <c r="G10992" s="1004"/>
      <c r="H10992" s="901"/>
      <c r="I10992" s="902"/>
      <c r="J10992" s="902"/>
      <c r="K10992" s="912" t="s">
        <v>274</v>
      </c>
      <c r="L10992" s="902"/>
      <c r="M10992" s="902"/>
      <c r="N10992" s="902"/>
      <c r="O10992" s="892">
        <f t="shared" si="884"/>
        <v>0</v>
      </c>
      <c r="P10992" s="903">
        <f t="shared" si="881"/>
        <v>1</v>
      </c>
      <c r="Q10992" s="893">
        <f t="shared" si="882"/>
        <v>2</v>
      </c>
      <c r="R10992" s="894">
        <f t="shared" si="883"/>
        <v>0</v>
      </c>
    </row>
    <row r="10993" spans="1:18">
      <c r="A10993" s="905"/>
      <c r="B10993" s="952"/>
      <c r="C10993" s="907">
        <v>740</v>
      </c>
      <c r="D10993" s="907" t="s">
        <v>12</v>
      </c>
      <c r="E10993" s="992" t="s">
        <v>4008</v>
      </c>
      <c r="F10993" s="905" t="s">
        <v>2674</v>
      </c>
      <c r="G10993" s="1005"/>
      <c r="H10993" s="911">
        <v>1</v>
      </c>
      <c r="I10993" s="912"/>
      <c r="J10993" s="912"/>
      <c r="K10993" s="912">
        <f>VLOOKUP(E10993,[5]ĐMNC!$A$7:$F$67,4,0)</f>
        <v>221125</v>
      </c>
      <c r="L10993" s="912">
        <f>H10993*K10993</f>
        <v>221125</v>
      </c>
      <c r="M10993" s="912"/>
      <c r="N10993" s="912"/>
      <c r="O10993" s="892">
        <f t="shared" si="884"/>
        <v>0</v>
      </c>
      <c r="P10993" s="903">
        <f t="shared" si="881"/>
        <v>1</v>
      </c>
      <c r="Q10993" s="893">
        <f t="shared" si="882"/>
        <v>1</v>
      </c>
      <c r="R10993" s="894">
        <f t="shared" si="883"/>
        <v>0</v>
      </c>
    </row>
    <row r="10994" spans="1:18">
      <c r="A10994" s="905">
        <v>220</v>
      </c>
      <c r="B10994" s="914" t="s">
        <v>6801</v>
      </c>
      <c r="C10994" s="915"/>
      <c r="D10994" s="915"/>
      <c r="E10994" s="1006" t="s">
        <v>6802</v>
      </c>
      <c r="F10994" s="917" t="s">
        <v>139</v>
      </c>
      <c r="G10994" s="1008"/>
      <c r="H10994" s="919"/>
      <c r="I10994" s="920"/>
      <c r="J10994" s="891">
        <f>SUM(J10995:J10998)</f>
        <v>1000</v>
      </c>
      <c r="K10994" s="891"/>
      <c r="L10994" s="891">
        <f>SUM(L10995:L10998)</f>
        <v>265350</v>
      </c>
      <c r="M10994" s="891"/>
      <c r="N10994" s="891">
        <f>SUM(N10995:N10998)</f>
        <v>0</v>
      </c>
      <c r="O10994" s="892">
        <f t="shared" si="884"/>
        <v>1</v>
      </c>
      <c r="P10994" s="903">
        <f t="shared" si="881"/>
        <v>0</v>
      </c>
      <c r="Q10994" s="893">
        <f t="shared" si="882"/>
        <v>0</v>
      </c>
      <c r="R10994" s="894">
        <f t="shared" si="883"/>
        <v>4</v>
      </c>
    </row>
    <row r="10995" spans="1:18">
      <c r="A10995" s="895"/>
      <c r="B10995" s="896"/>
      <c r="C10995" s="897"/>
      <c r="D10995" s="897"/>
      <c r="E10995" s="1002" t="s">
        <v>108</v>
      </c>
      <c r="F10995" s="1003"/>
      <c r="G10995" s="1004"/>
      <c r="H10995" s="901"/>
      <c r="I10995" s="902"/>
      <c r="J10995" s="902"/>
      <c r="K10995" s="912" t="s">
        <v>274</v>
      </c>
      <c r="L10995" s="902"/>
      <c r="M10995" s="902"/>
      <c r="N10995" s="902"/>
      <c r="O10995" s="892">
        <f t="shared" si="884"/>
        <v>0</v>
      </c>
      <c r="P10995" s="903">
        <f t="shared" ref="P10995:P11058" si="885">IF(O10995=0,1,0)</f>
        <v>1</v>
      </c>
      <c r="Q10995" s="893">
        <f t="shared" ref="Q10995:Q11058" si="886">IF(P10995=0,0,P10995+Q10996)</f>
        <v>4</v>
      </c>
      <c r="R10995" s="894">
        <f t="shared" ref="R10995:R11058" si="887">IF(Q10995=0,Q10996,0)</f>
        <v>0</v>
      </c>
    </row>
    <row r="10996" spans="1:18">
      <c r="A10996" s="905"/>
      <c r="B10996" s="952"/>
      <c r="C10996" s="907">
        <v>203</v>
      </c>
      <c r="D10996" s="907" t="s">
        <v>279</v>
      </c>
      <c r="E10996" s="992" t="s">
        <v>5656</v>
      </c>
      <c r="F10996" s="905" t="s">
        <v>6796</v>
      </c>
      <c r="G10996" s="1005"/>
      <c r="H10996" s="911">
        <v>0.2</v>
      </c>
      <c r="I10996" s="912">
        <f>VLOOKUP(E10996,[3]VLP!$B$7:$K$300,10,0)</f>
        <v>5000</v>
      </c>
      <c r="J10996" s="912">
        <f>I10996*H10996</f>
        <v>1000</v>
      </c>
      <c r="K10996" s="912" t="s">
        <v>274</v>
      </c>
      <c r="L10996" s="912"/>
      <c r="M10996" s="912"/>
      <c r="N10996" s="912"/>
      <c r="O10996" s="892">
        <f t="shared" si="884"/>
        <v>0</v>
      </c>
      <c r="P10996" s="903">
        <f t="shared" si="885"/>
        <v>1</v>
      </c>
      <c r="Q10996" s="893">
        <f t="shared" si="886"/>
        <v>3</v>
      </c>
      <c r="R10996" s="894">
        <f t="shared" si="887"/>
        <v>0</v>
      </c>
    </row>
    <row r="10997" spans="1:18">
      <c r="A10997" s="895"/>
      <c r="B10997" s="896"/>
      <c r="C10997" s="897"/>
      <c r="D10997" s="897"/>
      <c r="E10997" s="1002" t="s">
        <v>276</v>
      </c>
      <c r="F10997" s="1003"/>
      <c r="G10997" s="1004"/>
      <c r="H10997" s="901"/>
      <c r="I10997" s="902"/>
      <c r="J10997" s="902"/>
      <c r="K10997" s="912" t="s">
        <v>274</v>
      </c>
      <c r="L10997" s="902"/>
      <c r="M10997" s="902"/>
      <c r="N10997" s="902"/>
      <c r="O10997" s="892">
        <f t="shared" si="884"/>
        <v>0</v>
      </c>
      <c r="P10997" s="903">
        <f t="shared" si="885"/>
        <v>1</v>
      </c>
      <c r="Q10997" s="893">
        <f t="shared" si="886"/>
        <v>2</v>
      </c>
      <c r="R10997" s="894">
        <f t="shared" si="887"/>
        <v>0</v>
      </c>
    </row>
    <row r="10998" spans="1:18">
      <c r="A10998" s="905"/>
      <c r="B10998" s="952"/>
      <c r="C10998" s="907">
        <v>740</v>
      </c>
      <c r="D10998" s="907" t="s">
        <v>12</v>
      </c>
      <c r="E10998" s="992" t="s">
        <v>4008</v>
      </c>
      <c r="F10998" s="905" t="s">
        <v>2674</v>
      </c>
      <c r="G10998" s="1005"/>
      <c r="H10998" s="911">
        <v>1.2</v>
      </c>
      <c r="I10998" s="912"/>
      <c r="J10998" s="912"/>
      <c r="K10998" s="912">
        <f>VLOOKUP(E10998,[5]ĐMNC!$A$7:$F$67,4,0)</f>
        <v>221125</v>
      </c>
      <c r="L10998" s="912">
        <f>H10998*K10998</f>
        <v>265350</v>
      </c>
      <c r="M10998" s="912"/>
      <c r="N10998" s="912"/>
      <c r="O10998" s="892">
        <f t="shared" si="884"/>
        <v>0</v>
      </c>
      <c r="P10998" s="903">
        <f t="shared" si="885"/>
        <v>1</v>
      </c>
      <c r="Q10998" s="893">
        <f t="shared" si="886"/>
        <v>1</v>
      </c>
      <c r="R10998" s="894">
        <f t="shared" si="887"/>
        <v>0</v>
      </c>
    </row>
    <row r="10999" spans="1:18" s="904" customFormat="1">
      <c r="A10999" s="905">
        <v>221</v>
      </c>
      <c r="B10999" s="914" t="s">
        <v>6803</v>
      </c>
      <c r="C10999" s="915"/>
      <c r="D10999" s="915"/>
      <c r="E10999" s="1006" t="s">
        <v>6804</v>
      </c>
      <c r="F10999" s="917" t="s">
        <v>139</v>
      </c>
      <c r="G10999" s="1008"/>
      <c r="H10999" s="919"/>
      <c r="I10999" s="920"/>
      <c r="J10999" s="891">
        <f>SUM(J11000:J11003)</f>
        <v>1000</v>
      </c>
      <c r="K10999" s="891"/>
      <c r="L10999" s="891">
        <f>SUM(L11000:L11003)</f>
        <v>309575</v>
      </c>
      <c r="M10999" s="891"/>
      <c r="N10999" s="891">
        <f>SUM(N11000:N11003)</f>
        <v>0</v>
      </c>
      <c r="O10999" s="892">
        <f t="shared" si="884"/>
        <v>1</v>
      </c>
      <c r="P10999" s="903">
        <f t="shared" si="885"/>
        <v>0</v>
      </c>
      <c r="Q10999" s="893">
        <f t="shared" si="886"/>
        <v>0</v>
      </c>
      <c r="R10999" s="894">
        <f t="shared" si="887"/>
        <v>4</v>
      </c>
    </row>
    <row r="11000" spans="1:18">
      <c r="A11000" s="895"/>
      <c r="B11000" s="896"/>
      <c r="C11000" s="897"/>
      <c r="D11000" s="897"/>
      <c r="E11000" s="1002" t="s">
        <v>108</v>
      </c>
      <c r="F11000" s="1003"/>
      <c r="G11000" s="1004"/>
      <c r="H11000" s="901"/>
      <c r="I11000" s="902"/>
      <c r="J11000" s="902"/>
      <c r="K11000" s="912" t="s">
        <v>274</v>
      </c>
      <c r="L11000" s="902"/>
      <c r="M11000" s="902"/>
      <c r="N11000" s="902"/>
      <c r="O11000" s="892">
        <f t="shared" si="884"/>
        <v>0</v>
      </c>
      <c r="P11000" s="903">
        <f t="shared" si="885"/>
        <v>1</v>
      </c>
      <c r="Q11000" s="893">
        <f t="shared" si="886"/>
        <v>4</v>
      </c>
      <c r="R11000" s="894">
        <f t="shared" si="887"/>
        <v>0</v>
      </c>
    </row>
    <row r="11001" spans="1:18" s="904" customFormat="1">
      <c r="A11001" s="905"/>
      <c r="B11001" s="952"/>
      <c r="C11001" s="907">
        <v>203</v>
      </c>
      <c r="D11001" s="907" t="s">
        <v>279</v>
      </c>
      <c r="E11001" s="992" t="s">
        <v>5656</v>
      </c>
      <c r="F11001" s="905" t="s">
        <v>6796</v>
      </c>
      <c r="G11001" s="1005"/>
      <c r="H11001" s="911">
        <v>0.2</v>
      </c>
      <c r="I11001" s="912">
        <f>VLOOKUP(E11001,[3]VLP!$B$7:$K$300,10,0)</f>
        <v>5000</v>
      </c>
      <c r="J11001" s="912">
        <f>I11001*H11001</f>
        <v>1000</v>
      </c>
      <c r="K11001" s="912" t="s">
        <v>274</v>
      </c>
      <c r="L11001" s="912"/>
      <c r="M11001" s="912"/>
      <c r="N11001" s="912"/>
      <c r="O11001" s="892">
        <f t="shared" si="884"/>
        <v>0</v>
      </c>
      <c r="P11001" s="903">
        <f t="shared" si="885"/>
        <v>1</v>
      </c>
      <c r="Q11001" s="893">
        <f t="shared" si="886"/>
        <v>3</v>
      </c>
      <c r="R11001" s="894">
        <f t="shared" si="887"/>
        <v>0</v>
      </c>
    </row>
    <row r="11002" spans="1:18">
      <c r="A11002" s="895"/>
      <c r="B11002" s="896"/>
      <c r="C11002" s="897"/>
      <c r="D11002" s="897"/>
      <c r="E11002" s="1002" t="s">
        <v>276</v>
      </c>
      <c r="F11002" s="1003"/>
      <c r="G11002" s="1004"/>
      <c r="H11002" s="901"/>
      <c r="I11002" s="902"/>
      <c r="J11002" s="902"/>
      <c r="K11002" s="912" t="s">
        <v>274</v>
      </c>
      <c r="L11002" s="902"/>
      <c r="M11002" s="902"/>
      <c r="N11002" s="902"/>
      <c r="O11002" s="892">
        <f t="shared" si="884"/>
        <v>0</v>
      </c>
      <c r="P11002" s="903">
        <f t="shared" si="885"/>
        <v>1</v>
      </c>
      <c r="Q11002" s="893">
        <f t="shared" si="886"/>
        <v>2</v>
      </c>
      <c r="R11002" s="894">
        <f t="shared" si="887"/>
        <v>0</v>
      </c>
    </row>
    <row r="11003" spans="1:18">
      <c r="A11003" s="905"/>
      <c r="B11003" s="952"/>
      <c r="C11003" s="907">
        <v>740</v>
      </c>
      <c r="D11003" s="907" t="s">
        <v>12</v>
      </c>
      <c r="E11003" s="992" t="s">
        <v>4008</v>
      </c>
      <c r="F11003" s="905" t="s">
        <v>2674</v>
      </c>
      <c r="G11003" s="1005"/>
      <c r="H11003" s="911">
        <v>1.4</v>
      </c>
      <c r="I11003" s="912"/>
      <c r="J11003" s="912"/>
      <c r="K11003" s="912">
        <f>VLOOKUP(E11003,[5]ĐMNC!$A$7:$F$67,4,0)</f>
        <v>221125</v>
      </c>
      <c r="L11003" s="912">
        <f>H11003*K11003</f>
        <v>309575</v>
      </c>
      <c r="M11003" s="912"/>
      <c r="N11003" s="912"/>
      <c r="O11003" s="892">
        <f t="shared" si="884"/>
        <v>0</v>
      </c>
      <c r="P11003" s="903">
        <f t="shared" si="885"/>
        <v>1</v>
      </c>
      <c r="Q11003" s="893">
        <f t="shared" si="886"/>
        <v>1</v>
      </c>
      <c r="R11003" s="894">
        <f t="shared" si="887"/>
        <v>0</v>
      </c>
    </row>
    <row r="11004" spans="1:18">
      <c r="A11004" s="905" t="s">
        <v>6805</v>
      </c>
      <c r="B11004" s="914" t="s">
        <v>6806</v>
      </c>
      <c r="C11004" s="915"/>
      <c r="D11004" s="915"/>
      <c r="E11004" s="1009" t="s">
        <v>6807</v>
      </c>
      <c r="F11004" s="917" t="s">
        <v>6808</v>
      </c>
      <c r="G11004" s="1008"/>
      <c r="H11004" s="919"/>
      <c r="I11004" s="920"/>
      <c r="J11004" s="891">
        <f>SUM(J11005:J11010)</f>
        <v>76965</v>
      </c>
      <c r="K11004" s="891"/>
      <c r="L11004" s="891">
        <f>SUM(L11005:L11010)</f>
        <v>530700</v>
      </c>
      <c r="M11004" s="891"/>
      <c r="N11004" s="891">
        <f>SUM(N11005:N11010)</f>
        <v>0</v>
      </c>
      <c r="O11004" s="892">
        <f t="shared" si="884"/>
        <v>1</v>
      </c>
      <c r="P11004" s="903">
        <f t="shared" si="885"/>
        <v>0</v>
      </c>
      <c r="Q11004" s="893">
        <f t="shared" si="886"/>
        <v>0</v>
      </c>
      <c r="R11004" s="894">
        <f t="shared" si="887"/>
        <v>6</v>
      </c>
    </row>
    <row r="11005" spans="1:18" s="847" customFormat="1">
      <c r="A11005" s="895"/>
      <c r="B11005" s="896"/>
      <c r="C11005" s="897"/>
      <c r="D11005" s="897"/>
      <c r="E11005" s="1002" t="s">
        <v>108</v>
      </c>
      <c r="F11005" s="1003"/>
      <c r="G11005" s="1004"/>
      <c r="H11005" s="901"/>
      <c r="I11005" s="902"/>
      <c r="J11005" s="902"/>
      <c r="K11005" s="912" t="s">
        <v>274</v>
      </c>
      <c r="L11005" s="902"/>
      <c r="M11005" s="902"/>
      <c r="N11005" s="902"/>
      <c r="O11005" s="892">
        <f t="shared" si="884"/>
        <v>0</v>
      </c>
      <c r="P11005" s="903">
        <f t="shared" si="885"/>
        <v>1</v>
      </c>
      <c r="Q11005" s="893">
        <f t="shared" si="886"/>
        <v>6</v>
      </c>
      <c r="R11005" s="894">
        <f t="shared" si="887"/>
        <v>0</v>
      </c>
    </row>
    <row r="11006" spans="1:18">
      <c r="A11006" s="905"/>
      <c r="B11006" s="952"/>
      <c r="C11006" s="907">
        <v>314</v>
      </c>
      <c r="D11006" s="907" t="s">
        <v>279</v>
      </c>
      <c r="E11006" s="992" t="s">
        <v>3148</v>
      </c>
      <c r="F11006" s="905" t="s">
        <v>310</v>
      </c>
      <c r="G11006" s="1005"/>
      <c r="H11006" s="911">
        <v>0.1</v>
      </c>
      <c r="I11006" s="912">
        <f>VLOOKUP(E11006,[3]VLP!$B$7:$K$300,10,0)</f>
        <v>10000</v>
      </c>
      <c r="J11006" s="912">
        <f>I11006*H11006</f>
        <v>1000</v>
      </c>
      <c r="K11006" s="912" t="s">
        <v>274</v>
      </c>
      <c r="L11006" s="912"/>
      <c r="M11006" s="912"/>
      <c r="N11006" s="912"/>
      <c r="O11006" s="892">
        <f t="shared" si="884"/>
        <v>0</v>
      </c>
      <c r="P11006" s="903">
        <f t="shared" si="885"/>
        <v>1</v>
      </c>
      <c r="Q11006" s="893">
        <f t="shared" si="886"/>
        <v>5</v>
      </c>
      <c r="R11006" s="894">
        <f t="shared" si="887"/>
        <v>0</v>
      </c>
    </row>
    <row r="11007" spans="1:18">
      <c r="A11007" s="905"/>
      <c r="B11007" s="952"/>
      <c r="C11007" s="907">
        <v>203</v>
      </c>
      <c r="D11007" s="907" t="s">
        <v>279</v>
      </c>
      <c r="E11007" s="992" t="s">
        <v>5656</v>
      </c>
      <c r="F11007" s="905" t="s">
        <v>6796</v>
      </c>
      <c r="G11007" s="1005"/>
      <c r="H11007" s="911">
        <v>0.1</v>
      </c>
      <c r="I11007" s="912">
        <f>VLOOKUP(E11007,[3]VLP!$B$7:$K$300,10,0)</f>
        <v>5000</v>
      </c>
      <c r="J11007" s="912">
        <f>I11007*H11007</f>
        <v>500</v>
      </c>
      <c r="K11007" s="912" t="s">
        <v>274</v>
      </c>
      <c r="L11007" s="912"/>
      <c r="M11007" s="912"/>
      <c r="N11007" s="912"/>
      <c r="O11007" s="892">
        <f t="shared" si="884"/>
        <v>0</v>
      </c>
      <c r="P11007" s="903">
        <f t="shared" si="885"/>
        <v>1</v>
      </c>
      <c r="Q11007" s="893">
        <f t="shared" si="886"/>
        <v>4</v>
      </c>
      <c r="R11007" s="894">
        <f t="shared" si="887"/>
        <v>0</v>
      </c>
    </row>
    <row r="11008" spans="1:18">
      <c r="A11008" s="905"/>
      <c r="B11008" s="952"/>
      <c r="C11008" s="907">
        <v>318</v>
      </c>
      <c r="D11008" s="907" t="s">
        <v>279</v>
      </c>
      <c r="E11008" s="992" t="s">
        <v>5657</v>
      </c>
      <c r="F11008" s="905" t="s">
        <v>45</v>
      </c>
      <c r="G11008" s="1005"/>
      <c r="H11008" s="911">
        <v>3</v>
      </c>
      <c r="I11008" s="912">
        <f>VLOOKUP(E11008,[3]VLP!$B$7:$K$300,10,0)</f>
        <v>25155</v>
      </c>
      <c r="J11008" s="912">
        <f>I11008*H11008</f>
        <v>75465</v>
      </c>
      <c r="K11008" s="912" t="s">
        <v>274</v>
      </c>
      <c r="L11008" s="912"/>
      <c r="M11008" s="912"/>
      <c r="N11008" s="912"/>
      <c r="O11008" s="892">
        <f t="shared" si="884"/>
        <v>0</v>
      </c>
      <c r="P11008" s="903">
        <f t="shared" si="885"/>
        <v>1</v>
      </c>
      <c r="Q11008" s="893">
        <f t="shared" si="886"/>
        <v>3</v>
      </c>
      <c r="R11008" s="894">
        <f t="shared" si="887"/>
        <v>0</v>
      </c>
    </row>
    <row r="11009" spans="1:18">
      <c r="A11009" s="895"/>
      <c r="B11009" s="896"/>
      <c r="C11009" s="897"/>
      <c r="D11009" s="897"/>
      <c r="E11009" s="1002" t="s">
        <v>276</v>
      </c>
      <c r="F11009" s="1003"/>
      <c r="G11009" s="1004"/>
      <c r="H11009" s="901"/>
      <c r="I11009" s="902"/>
      <c r="J11009" s="902"/>
      <c r="K11009" s="912" t="s">
        <v>274</v>
      </c>
      <c r="L11009" s="902"/>
      <c r="M11009" s="902"/>
      <c r="N11009" s="902"/>
      <c r="O11009" s="892">
        <f t="shared" si="884"/>
        <v>0</v>
      </c>
      <c r="P11009" s="903">
        <f t="shared" si="885"/>
        <v>1</v>
      </c>
      <c r="Q11009" s="893">
        <f t="shared" si="886"/>
        <v>2</v>
      </c>
      <c r="R11009" s="894">
        <f t="shared" si="887"/>
        <v>0</v>
      </c>
    </row>
    <row r="11010" spans="1:18">
      <c r="A11010" s="905"/>
      <c r="B11010" s="952"/>
      <c r="C11010" s="907">
        <v>740</v>
      </c>
      <c r="D11010" s="907" t="s">
        <v>12</v>
      </c>
      <c r="E11010" s="992" t="s">
        <v>4008</v>
      </c>
      <c r="F11010" s="905" t="s">
        <v>2674</v>
      </c>
      <c r="G11010" s="1005"/>
      <c r="H11010" s="911">
        <v>2.4</v>
      </c>
      <c r="I11010" s="912"/>
      <c r="J11010" s="912"/>
      <c r="K11010" s="912">
        <f>VLOOKUP(E11010,[5]ĐMNC!$A$7:$F$67,4,0)</f>
        <v>221125</v>
      </c>
      <c r="L11010" s="912">
        <f>H11010*K11010</f>
        <v>530700</v>
      </c>
      <c r="M11010" s="912"/>
      <c r="N11010" s="912"/>
      <c r="O11010" s="892">
        <f t="shared" si="884"/>
        <v>0</v>
      </c>
      <c r="P11010" s="903">
        <f t="shared" si="885"/>
        <v>1</v>
      </c>
      <c r="Q11010" s="893">
        <f t="shared" si="886"/>
        <v>1</v>
      </c>
      <c r="R11010" s="894">
        <f t="shared" si="887"/>
        <v>0</v>
      </c>
    </row>
    <row r="11011" spans="1:18">
      <c r="A11011" s="905">
        <v>223</v>
      </c>
      <c r="B11011" s="914" t="s">
        <v>6809</v>
      </c>
      <c r="C11011" s="915"/>
      <c r="D11011" s="915"/>
      <c r="E11011" s="1006" t="s">
        <v>6810</v>
      </c>
      <c r="F11011" s="917" t="s">
        <v>6808</v>
      </c>
      <c r="G11011" s="1008"/>
      <c r="H11011" s="919"/>
      <c r="I11011" s="920"/>
      <c r="J11011" s="891">
        <f>SUM(J11012:J11017)</f>
        <v>76965</v>
      </c>
      <c r="K11011" s="891"/>
      <c r="L11011" s="891">
        <f>SUM(L11012:L11017)</f>
        <v>398025</v>
      </c>
      <c r="M11011" s="891"/>
      <c r="N11011" s="891">
        <f>SUM(N11012:N11017)</f>
        <v>0</v>
      </c>
      <c r="O11011" s="892">
        <f t="shared" si="884"/>
        <v>1</v>
      </c>
      <c r="P11011" s="903">
        <f t="shared" si="885"/>
        <v>0</v>
      </c>
      <c r="Q11011" s="893">
        <f t="shared" si="886"/>
        <v>0</v>
      </c>
      <c r="R11011" s="894">
        <f t="shared" si="887"/>
        <v>6</v>
      </c>
    </row>
    <row r="11012" spans="1:18">
      <c r="A11012" s="895"/>
      <c r="B11012" s="896"/>
      <c r="C11012" s="897"/>
      <c r="D11012" s="897"/>
      <c r="E11012" s="1002" t="s">
        <v>108</v>
      </c>
      <c r="F11012" s="1003"/>
      <c r="G11012" s="1004"/>
      <c r="H11012" s="901"/>
      <c r="I11012" s="902"/>
      <c r="J11012" s="902"/>
      <c r="K11012" s="912" t="s">
        <v>274</v>
      </c>
      <c r="L11012" s="902"/>
      <c r="M11012" s="902"/>
      <c r="N11012" s="902"/>
      <c r="O11012" s="892">
        <f t="shared" si="884"/>
        <v>0</v>
      </c>
      <c r="P11012" s="903">
        <f t="shared" si="885"/>
        <v>1</v>
      </c>
      <c r="Q11012" s="893">
        <f t="shared" si="886"/>
        <v>6</v>
      </c>
      <c r="R11012" s="894">
        <f t="shared" si="887"/>
        <v>0</v>
      </c>
    </row>
    <row r="11013" spans="1:18">
      <c r="A11013" s="905"/>
      <c r="B11013" s="952"/>
      <c r="C11013" s="907">
        <v>314</v>
      </c>
      <c r="D11013" s="907" t="s">
        <v>279</v>
      </c>
      <c r="E11013" s="992" t="s">
        <v>3148</v>
      </c>
      <c r="F11013" s="905" t="s">
        <v>310</v>
      </c>
      <c r="G11013" s="1005"/>
      <c r="H11013" s="911">
        <v>0.1</v>
      </c>
      <c r="I11013" s="912">
        <f>VLOOKUP(E11013,[3]VLP!$B$7:$K$300,10,0)</f>
        <v>10000</v>
      </c>
      <c r="J11013" s="912">
        <f>I11013*H11013</f>
        <v>1000</v>
      </c>
      <c r="K11013" s="912" t="s">
        <v>274</v>
      </c>
      <c r="L11013" s="912"/>
      <c r="M11013" s="912"/>
      <c r="N11013" s="912"/>
      <c r="O11013" s="892">
        <f t="shared" si="884"/>
        <v>0</v>
      </c>
      <c r="P11013" s="903">
        <f t="shared" si="885"/>
        <v>1</v>
      </c>
      <c r="Q11013" s="893">
        <f t="shared" si="886"/>
        <v>5</v>
      </c>
      <c r="R11013" s="894">
        <f t="shared" si="887"/>
        <v>0</v>
      </c>
    </row>
    <row r="11014" spans="1:18" s="904" customFormat="1">
      <c r="A11014" s="905"/>
      <c r="B11014" s="952"/>
      <c r="C11014" s="907">
        <v>203</v>
      </c>
      <c r="D11014" s="907" t="s">
        <v>279</v>
      </c>
      <c r="E11014" s="992" t="s">
        <v>5656</v>
      </c>
      <c r="F11014" s="905" t="s">
        <v>6796</v>
      </c>
      <c r="G11014" s="1005"/>
      <c r="H11014" s="911">
        <v>0.1</v>
      </c>
      <c r="I11014" s="912">
        <f>VLOOKUP(E11014,[3]VLP!$B$7:$K$300,10,0)</f>
        <v>5000</v>
      </c>
      <c r="J11014" s="912">
        <f>I11014*H11014</f>
        <v>500</v>
      </c>
      <c r="K11014" s="912" t="s">
        <v>274</v>
      </c>
      <c r="L11014" s="912"/>
      <c r="M11014" s="912"/>
      <c r="N11014" s="912"/>
      <c r="O11014" s="892">
        <f t="shared" si="884"/>
        <v>0</v>
      </c>
      <c r="P11014" s="903">
        <f t="shared" si="885"/>
        <v>1</v>
      </c>
      <c r="Q11014" s="893">
        <f t="shared" si="886"/>
        <v>4</v>
      </c>
      <c r="R11014" s="894">
        <f t="shared" si="887"/>
        <v>0</v>
      </c>
    </row>
    <row r="11015" spans="1:18">
      <c r="A11015" s="905"/>
      <c r="B11015" s="952"/>
      <c r="C11015" s="907">
        <v>318</v>
      </c>
      <c r="D11015" s="907" t="s">
        <v>279</v>
      </c>
      <c r="E11015" s="992" t="s">
        <v>5657</v>
      </c>
      <c r="F11015" s="905" t="s">
        <v>45</v>
      </c>
      <c r="G11015" s="1005"/>
      <c r="H11015" s="911">
        <v>3</v>
      </c>
      <c r="I11015" s="912">
        <f>VLOOKUP(E11015,[3]VLP!$B$7:$K$300,10,0)</f>
        <v>25155</v>
      </c>
      <c r="J11015" s="912">
        <f>I11015*H11015</f>
        <v>75465</v>
      </c>
      <c r="K11015" s="912" t="s">
        <v>274</v>
      </c>
      <c r="L11015" s="912"/>
      <c r="M11015" s="912"/>
      <c r="N11015" s="912"/>
      <c r="O11015" s="892">
        <f t="shared" si="884"/>
        <v>0</v>
      </c>
      <c r="P11015" s="903">
        <f t="shared" si="885"/>
        <v>1</v>
      </c>
      <c r="Q11015" s="893">
        <f t="shared" si="886"/>
        <v>3</v>
      </c>
      <c r="R11015" s="894">
        <f t="shared" si="887"/>
        <v>0</v>
      </c>
    </row>
    <row r="11016" spans="1:18">
      <c r="A11016" s="895"/>
      <c r="B11016" s="896"/>
      <c r="C11016" s="897"/>
      <c r="D11016" s="897"/>
      <c r="E11016" s="1002" t="s">
        <v>276</v>
      </c>
      <c r="F11016" s="1003"/>
      <c r="G11016" s="1004"/>
      <c r="H11016" s="901"/>
      <c r="I11016" s="902"/>
      <c r="J11016" s="902"/>
      <c r="K11016" s="912" t="s">
        <v>274</v>
      </c>
      <c r="L11016" s="902"/>
      <c r="M11016" s="902"/>
      <c r="N11016" s="902"/>
      <c r="O11016" s="892">
        <f t="shared" si="884"/>
        <v>0</v>
      </c>
      <c r="P11016" s="903">
        <f t="shared" si="885"/>
        <v>1</v>
      </c>
      <c r="Q11016" s="893">
        <f t="shared" si="886"/>
        <v>2</v>
      </c>
      <c r="R11016" s="894">
        <f t="shared" si="887"/>
        <v>0</v>
      </c>
    </row>
    <row r="11017" spans="1:18">
      <c r="A11017" s="905"/>
      <c r="B11017" s="952"/>
      <c r="C11017" s="907">
        <v>740</v>
      </c>
      <c r="D11017" s="907" t="s">
        <v>12</v>
      </c>
      <c r="E11017" s="992" t="s">
        <v>4008</v>
      </c>
      <c r="F11017" s="905" t="s">
        <v>2674</v>
      </c>
      <c r="G11017" s="1005"/>
      <c r="H11017" s="911">
        <v>1.8</v>
      </c>
      <c r="I11017" s="912"/>
      <c r="J11017" s="912"/>
      <c r="K11017" s="912">
        <f>VLOOKUP(E11017,[5]ĐMNC!$A$7:$F$67,4,0)</f>
        <v>221125</v>
      </c>
      <c r="L11017" s="912">
        <f>H11017*K11017</f>
        <v>398025</v>
      </c>
      <c r="M11017" s="912"/>
      <c r="N11017" s="912"/>
      <c r="O11017" s="892">
        <f t="shared" si="884"/>
        <v>0</v>
      </c>
      <c r="P11017" s="903">
        <f t="shared" si="885"/>
        <v>1</v>
      </c>
      <c r="Q11017" s="893">
        <f t="shared" si="886"/>
        <v>1</v>
      </c>
      <c r="R11017" s="894">
        <f t="shared" si="887"/>
        <v>0</v>
      </c>
    </row>
    <row r="11018" spans="1:18" s="847" customFormat="1">
      <c r="A11018" s="905">
        <v>224</v>
      </c>
      <c r="B11018" s="914" t="s">
        <v>6811</v>
      </c>
      <c r="C11018" s="915"/>
      <c r="D11018" s="915"/>
      <c r="E11018" s="1006" t="s">
        <v>6812</v>
      </c>
      <c r="F11018" s="917" t="s">
        <v>6808</v>
      </c>
      <c r="G11018" s="1008"/>
      <c r="H11018" s="919"/>
      <c r="I11018" s="920"/>
      <c r="J11018" s="891">
        <f>SUM(J11019:J11023)</f>
        <v>1500</v>
      </c>
      <c r="K11018" s="891"/>
      <c r="L11018" s="891">
        <f>SUM(L11019:L11023)</f>
        <v>796050</v>
      </c>
      <c r="M11018" s="891"/>
      <c r="N11018" s="891">
        <f>SUM(N11019:N11023)</f>
        <v>0</v>
      </c>
      <c r="O11018" s="892">
        <f t="shared" si="884"/>
        <v>1</v>
      </c>
      <c r="P11018" s="903">
        <f t="shared" si="885"/>
        <v>0</v>
      </c>
      <c r="Q11018" s="893">
        <f t="shared" si="886"/>
        <v>0</v>
      </c>
      <c r="R11018" s="894">
        <f t="shared" si="887"/>
        <v>5</v>
      </c>
    </row>
    <row r="11019" spans="1:18" s="904" customFormat="1">
      <c r="A11019" s="895"/>
      <c r="B11019" s="896"/>
      <c r="C11019" s="897"/>
      <c r="D11019" s="897"/>
      <c r="E11019" s="1002" t="s">
        <v>108</v>
      </c>
      <c r="F11019" s="1003"/>
      <c r="G11019" s="1004"/>
      <c r="H11019" s="901"/>
      <c r="I11019" s="902"/>
      <c r="J11019" s="902"/>
      <c r="K11019" s="912" t="s">
        <v>274</v>
      </c>
      <c r="L11019" s="902"/>
      <c r="M11019" s="902"/>
      <c r="N11019" s="902"/>
      <c r="O11019" s="892">
        <f t="shared" si="884"/>
        <v>0</v>
      </c>
      <c r="P11019" s="903">
        <f t="shared" si="885"/>
        <v>1</v>
      </c>
      <c r="Q11019" s="893">
        <f t="shared" si="886"/>
        <v>5</v>
      </c>
      <c r="R11019" s="894">
        <f t="shared" si="887"/>
        <v>0</v>
      </c>
    </row>
    <row r="11020" spans="1:18">
      <c r="A11020" s="905"/>
      <c r="B11020" s="952"/>
      <c r="C11020" s="907">
        <v>314</v>
      </c>
      <c r="D11020" s="907" t="s">
        <v>279</v>
      </c>
      <c r="E11020" s="992" t="s">
        <v>3148</v>
      </c>
      <c r="F11020" s="905" t="s">
        <v>310</v>
      </c>
      <c r="G11020" s="1005"/>
      <c r="H11020" s="911">
        <v>0.1</v>
      </c>
      <c r="I11020" s="912">
        <f>VLOOKUP(E11020,[3]VLP!$B$7:$K$300,10,0)</f>
        <v>10000</v>
      </c>
      <c r="J11020" s="912">
        <f>I11020*H11020</f>
        <v>1000</v>
      </c>
      <c r="K11020" s="912" t="s">
        <v>274</v>
      </c>
      <c r="L11020" s="912"/>
      <c r="M11020" s="912"/>
      <c r="N11020" s="912"/>
      <c r="O11020" s="892">
        <f t="shared" si="884"/>
        <v>0</v>
      </c>
      <c r="P11020" s="903">
        <f t="shared" si="885"/>
        <v>1</v>
      </c>
      <c r="Q11020" s="893">
        <f t="shared" si="886"/>
        <v>4</v>
      </c>
      <c r="R11020" s="894">
        <f t="shared" si="887"/>
        <v>0</v>
      </c>
    </row>
    <row r="11021" spans="1:18">
      <c r="A11021" s="905"/>
      <c r="B11021" s="952"/>
      <c r="C11021" s="907">
        <v>203</v>
      </c>
      <c r="D11021" s="907" t="s">
        <v>279</v>
      </c>
      <c r="E11021" s="992" t="s">
        <v>5656</v>
      </c>
      <c r="F11021" s="905" t="s">
        <v>6796</v>
      </c>
      <c r="G11021" s="1005"/>
      <c r="H11021" s="911">
        <v>0.1</v>
      </c>
      <c r="I11021" s="912">
        <f>VLOOKUP(E11021,[3]VLP!$B$7:$K$300,10,0)</f>
        <v>5000</v>
      </c>
      <c r="J11021" s="912">
        <f>I11021*H11021</f>
        <v>500</v>
      </c>
      <c r="K11021" s="912" t="s">
        <v>274</v>
      </c>
      <c r="L11021" s="912"/>
      <c r="M11021" s="912"/>
      <c r="N11021" s="912"/>
      <c r="O11021" s="892">
        <f t="shared" si="884"/>
        <v>0</v>
      </c>
      <c r="P11021" s="903">
        <f t="shared" si="885"/>
        <v>1</v>
      </c>
      <c r="Q11021" s="893">
        <f t="shared" si="886"/>
        <v>3</v>
      </c>
      <c r="R11021" s="894">
        <f t="shared" si="887"/>
        <v>0</v>
      </c>
    </row>
    <row r="11022" spans="1:18">
      <c r="A11022" s="895"/>
      <c r="B11022" s="896"/>
      <c r="C11022" s="897"/>
      <c r="D11022" s="897"/>
      <c r="E11022" s="1002" t="s">
        <v>276</v>
      </c>
      <c r="F11022" s="1003"/>
      <c r="G11022" s="1004"/>
      <c r="H11022" s="901"/>
      <c r="I11022" s="902"/>
      <c r="J11022" s="902"/>
      <c r="K11022" s="912" t="s">
        <v>274</v>
      </c>
      <c r="L11022" s="902"/>
      <c r="M11022" s="902"/>
      <c r="N11022" s="902"/>
      <c r="O11022" s="892">
        <f t="shared" si="884"/>
        <v>0</v>
      </c>
      <c r="P11022" s="903">
        <f t="shared" si="885"/>
        <v>1</v>
      </c>
      <c r="Q11022" s="893">
        <f t="shared" si="886"/>
        <v>2</v>
      </c>
      <c r="R11022" s="894">
        <f t="shared" si="887"/>
        <v>0</v>
      </c>
    </row>
    <row r="11023" spans="1:18">
      <c r="A11023" s="905"/>
      <c r="B11023" s="952"/>
      <c r="C11023" s="907">
        <v>740</v>
      </c>
      <c r="D11023" s="907" t="s">
        <v>12</v>
      </c>
      <c r="E11023" s="992" t="s">
        <v>4008</v>
      </c>
      <c r="F11023" s="905" t="s">
        <v>2674</v>
      </c>
      <c r="G11023" s="1005"/>
      <c r="H11023" s="911">
        <v>3.6</v>
      </c>
      <c r="I11023" s="912"/>
      <c r="J11023" s="912"/>
      <c r="K11023" s="912">
        <f>VLOOKUP(E11023,[5]ĐMNC!$A$7:$F$67,4,0)</f>
        <v>221125</v>
      </c>
      <c r="L11023" s="912">
        <f>H11023*K11023</f>
        <v>796050</v>
      </c>
      <c r="M11023" s="912"/>
      <c r="N11023" s="912"/>
      <c r="O11023" s="892">
        <f t="shared" si="884"/>
        <v>0</v>
      </c>
      <c r="P11023" s="903">
        <f t="shared" si="885"/>
        <v>1</v>
      </c>
      <c r="Q11023" s="893">
        <f t="shared" si="886"/>
        <v>1</v>
      </c>
      <c r="R11023" s="894">
        <f t="shared" si="887"/>
        <v>0</v>
      </c>
    </row>
    <row r="11024" spans="1:18">
      <c r="A11024" s="905">
        <v>225</v>
      </c>
      <c r="B11024" s="914" t="s">
        <v>164</v>
      </c>
      <c r="C11024" s="915"/>
      <c r="D11024" s="915"/>
      <c r="E11024" s="1009" t="s">
        <v>6813</v>
      </c>
      <c r="F11024" s="917" t="s">
        <v>6808</v>
      </c>
      <c r="G11024" s="1008"/>
      <c r="H11024" s="919"/>
      <c r="I11024" s="920"/>
      <c r="J11024" s="891">
        <f>SUM(J11025:J11029)</f>
        <v>1500</v>
      </c>
      <c r="K11024" s="891"/>
      <c r="L11024" s="891">
        <f>SUM(L11025:L11029)</f>
        <v>398025</v>
      </c>
      <c r="M11024" s="891"/>
      <c r="N11024" s="891">
        <f>SUM(N11025:N11029)</f>
        <v>0</v>
      </c>
      <c r="O11024" s="892">
        <f t="shared" si="884"/>
        <v>1</v>
      </c>
      <c r="P11024" s="903">
        <f t="shared" si="885"/>
        <v>0</v>
      </c>
      <c r="Q11024" s="893">
        <f t="shared" si="886"/>
        <v>0</v>
      </c>
      <c r="R11024" s="894">
        <f t="shared" si="887"/>
        <v>5</v>
      </c>
    </row>
    <row r="11025" spans="1:18" s="904" customFormat="1">
      <c r="A11025" s="895"/>
      <c r="B11025" s="896"/>
      <c r="C11025" s="897"/>
      <c r="D11025" s="897"/>
      <c r="E11025" s="1002" t="s">
        <v>108</v>
      </c>
      <c r="F11025" s="1003"/>
      <c r="G11025" s="1004"/>
      <c r="H11025" s="901"/>
      <c r="I11025" s="902"/>
      <c r="J11025" s="902"/>
      <c r="K11025" s="912" t="s">
        <v>274</v>
      </c>
      <c r="L11025" s="902"/>
      <c r="M11025" s="902"/>
      <c r="N11025" s="902"/>
      <c r="O11025" s="892">
        <f t="shared" si="884"/>
        <v>0</v>
      </c>
      <c r="P11025" s="903">
        <f t="shared" si="885"/>
        <v>1</v>
      </c>
      <c r="Q11025" s="893">
        <f t="shared" si="886"/>
        <v>5</v>
      </c>
      <c r="R11025" s="894">
        <f t="shared" si="887"/>
        <v>0</v>
      </c>
    </row>
    <row r="11026" spans="1:18" s="904" customFormat="1">
      <c r="A11026" s="905"/>
      <c r="B11026" s="952"/>
      <c r="C11026" s="907">
        <v>314</v>
      </c>
      <c r="D11026" s="907" t="s">
        <v>279</v>
      </c>
      <c r="E11026" s="992" t="s">
        <v>3148</v>
      </c>
      <c r="F11026" s="905" t="s">
        <v>310</v>
      </c>
      <c r="G11026" s="1005"/>
      <c r="H11026" s="911">
        <v>0.1</v>
      </c>
      <c r="I11026" s="912">
        <f>VLOOKUP(E11026,[3]VLP!$B$7:$K$300,10,0)</f>
        <v>10000</v>
      </c>
      <c r="J11026" s="912">
        <f>I11026*H11026</f>
        <v>1000</v>
      </c>
      <c r="K11026" s="912" t="s">
        <v>274</v>
      </c>
      <c r="L11026" s="912"/>
      <c r="M11026" s="912"/>
      <c r="N11026" s="912"/>
      <c r="O11026" s="892">
        <f t="shared" si="884"/>
        <v>0</v>
      </c>
      <c r="P11026" s="903">
        <f t="shared" si="885"/>
        <v>1</v>
      </c>
      <c r="Q11026" s="893">
        <f t="shared" si="886"/>
        <v>4</v>
      </c>
      <c r="R11026" s="894">
        <f t="shared" si="887"/>
        <v>0</v>
      </c>
    </row>
    <row r="11027" spans="1:18">
      <c r="A11027" s="905"/>
      <c r="B11027" s="952"/>
      <c r="C11027" s="907">
        <v>203</v>
      </c>
      <c r="D11027" s="907" t="s">
        <v>279</v>
      </c>
      <c r="E11027" s="992" t="s">
        <v>5656</v>
      </c>
      <c r="F11027" s="905" t="s">
        <v>6796</v>
      </c>
      <c r="G11027" s="1005"/>
      <c r="H11027" s="911">
        <v>0.1</v>
      </c>
      <c r="I11027" s="912">
        <f>VLOOKUP(E11027,[3]VLP!$B$7:$K$300,10,0)</f>
        <v>5000</v>
      </c>
      <c r="J11027" s="912">
        <f>I11027*H11027</f>
        <v>500</v>
      </c>
      <c r="K11027" s="912" t="s">
        <v>274</v>
      </c>
      <c r="L11027" s="912"/>
      <c r="M11027" s="912"/>
      <c r="N11027" s="912"/>
      <c r="O11027" s="892">
        <f t="shared" si="884"/>
        <v>0</v>
      </c>
      <c r="P11027" s="903">
        <f t="shared" si="885"/>
        <v>1</v>
      </c>
      <c r="Q11027" s="893">
        <f t="shared" si="886"/>
        <v>3</v>
      </c>
      <c r="R11027" s="894">
        <f t="shared" si="887"/>
        <v>0</v>
      </c>
    </row>
    <row r="11028" spans="1:18" s="847" customFormat="1">
      <c r="A11028" s="895"/>
      <c r="B11028" s="896"/>
      <c r="C11028" s="897"/>
      <c r="D11028" s="897"/>
      <c r="E11028" s="1002" t="s">
        <v>276</v>
      </c>
      <c r="F11028" s="1003"/>
      <c r="G11028" s="1004"/>
      <c r="H11028" s="901"/>
      <c r="I11028" s="902"/>
      <c r="J11028" s="902"/>
      <c r="K11028" s="912" t="s">
        <v>274</v>
      </c>
      <c r="L11028" s="902"/>
      <c r="M11028" s="902"/>
      <c r="N11028" s="902"/>
      <c r="O11028" s="892">
        <f t="shared" si="884"/>
        <v>0</v>
      </c>
      <c r="P11028" s="903">
        <f t="shared" si="885"/>
        <v>1</v>
      </c>
      <c r="Q11028" s="893">
        <f t="shared" si="886"/>
        <v>2</v>
      </c>
      <c r="R11028" s="894">
        <f t="shared" si="887"/>
        <v>0</v>
      </c>
    </row>
    <row r="11029" spans="1:18" s="904" customFormat="1">
      <c r="A11029" s="905"/>
      <c r="B11029" s="952"/>
      <c r="C11029" s="907">
        <v>740</v>
      </c>
      <c r="D11029" s="907" t="s">
        <v>12</v>
      </c>
      <c r="E11029" s="992" t="s">
        <v>4008</v>
      </c>
      <c r="F11029" s="905" t="s">
        <v>2674</v>
      </c>
      <c r="G11029" s="1005"/>
      <c r="H11029" s="911">
        <v>1.8</v>
      </c>
      <c r="I11029" s="912"/>
      <c r="J11029" s="912"/>
      <c r="K11029" s="912">
        <f>VLOOKUP(E11029,[5]ĐMNC!$A$7:$F$67,4,0)</f>
        <v>221125</v>
      </c>
      <c r="L11029" s="912">
        <f>H11029*K11029</f>
        <v>398025</v>
      </c>
      <c r="M11029" s="912"/>
      <c r="N11029" s="912"/>
      <c r="O11029" s="892">
        <f t="shared" si="884"/>
        <v>0</v>
      </c>
      <c r="P11029" s="903">
        <f t="shared" si="885"/>
        <v>1</v>
      </c>
      <c r="Q11029" s="893">
        <f t="shared" si="886"/>
        <v>1</v>
      </c>
      <c r="R11029" s="894">
        <f t="shared" si="887"/>
        <v>0</v>
      </c>
    </row>
    <row r="11030" spans="1:18">
      <c r="A11030" s="905">
        <v>226</v>
      </c>
      <c r="B11030" s="914" t="s">
        <v>2062</v>
      </c>
      <c r="C11030" s="915"/>
      <c r="D11030" s="915"/>
      <c r="E11030" s="1009" t="s">
        <v>6814</v>
      </c>
      <c r="F11030" s="917" t="s">
        <v>6808</v>
      </c>
      <c r="G11030" s="1008"/>
      <c r="H11030" s="919"/>
      <c r="I11030" s="920"/>
      <c r="J11030" s="891">
        <f>SUM(J11031:J11035)</f>
        <v>1500</v>
      </c>
      <c r="K11030" s="891"/>
      <c r="L11030" s="891">
        <f>SUM(L11031:L11035)</f>
        <v>530700</v>
      </c>
      <c r="M11030" s="891"/>
      <c r="N11030" s="891">
        <f>SUM(N11031:N11035)</f>
        <v>0</v>
      </c>
      <c r="O11030" s="892">
        <f t="shared" si="884"/>
        <v>1</v>
      </c>
      <c r="P11030" s="903">
        <f t="shared" si="885"/>
        <v>0</v>
      </c>
      <c r="Q11030" s="893">
        <f t="shared" si="886"/>
        <v>0</v>
      </c>
      <c r="R11030" s="894">
        <f t="shared" si="887"/>
        <v>5</v>
      </c>
    </row>
    <row r="11031" spans="1:18">
      <c r="A11031" s="895"/>
      <c r="B11031" s="896"/>
      <c r="C11031" s="897"/>
      <c r="D11031" s="897"/>
      <c r="E11031" s="1002" t="s">
        <v>108</v>
      </c>
      <c r="F11031" s="1003"/>
      <c r="G11031" s="1004"/>
      <c r="H11031" s="901"/>
      <c r="I11031" s="902"/>
      <c r="J11031" s="902"/>
      <c r="K11031" s="912" t="s">
        <v>274</v>
      </c>
      <c r="L11031" s="902"/>
      <c r="M11031" s="902"/>
      <c r="N11031" s="902"/>
      <c r="O11031" s="892">
        <f t="shared" si="884"/>
        <v>0</v>
      </c>
      <c r="P11031" s="903">
        <f t="shared" si="885"/>
        <v>1</v>
      </c>
      <c r="Q11031" s="893">
        <f t="shared" si="886"/>
        <v>5</v>
      </c>
      <c r="R11031" s="894">
        <f t="shared" si="887"/>
        <v>0</v>
      </c>
    </row>
    <row r="11032" spans="1:18">
      <c r="A11032" s="905"/>
      <c r="B11032" s="952"/>
      <c r="C11032" s="907">
        <v>314</v>
      </c>
      <c r="D11032" s="907" t="s">
        <v>279</v>
      </c>
      <c r="E11032" s="992" t="s">
        <v>3148</v>
      </c>
      <c r="F11032" s="905" t="s">
        <v>310</v>
      </c>
      <c r="G11032" s="1005"/>
      <c r="H11032" s="911">
        <v>0.1</v>
      </c>
      <c r="I11032" s="912">
        <f>VLOOKUP(E11032,[3]VLP!$B$7:$K$300,10,0)</f>
        <v>10000</v>
      </c>
      <c r="J11032" s="912">
        <f>I11032*H11032</f>
        <v>1000</v>
      </c>
      <c r="K11032" s="912" t="s">
        <v>274</v>
      </c>
      <c r="L11032" s="912"/>
      <c r="M11032" s="912"/>
      <c r="N11032" s="912"/>
      <c r="O11032" s="892">
        <f t="shared" si="884"/>
        <v>0</v>
      </c>
      <c r="P11032" s="903">
        <f t="shared" si="885"/>
        <v>1</v>
      </c>
      <c r="Q11032" s="893">
        <f t="shared" si="886"/>
        <v>4</v>
      </c>
      <c r="R11032" s="894">
        <f t="shared" si="887"/>
        <v>0</v>
      </c>
    </row>
    <row r="11033" spans="1:18">
      <c r="A11033" s="905"/>
      <c r="B11033" s="952"/>
      <c r="C11033" s="907">
        <v>203</v>
      </c>
      <c r="D11033" s="907" t="s">
        <v>279</v>
      </c>
      <c r="E11033" s="992" t="s">
        <v>5656</v>
      </c>
      <c r="F11033" s="905" t="s">
        <v>6796</v>
      </c>
      <c r="G11033" s="1005"/>
      <c r="H11033" s="911">
        <v>0.1</v>
      </c>
      <c r="I11033" s="912">
        <f>VLOOKUP(E11033,[3]VLP!$B$7:$K$300,10,0)</f>
        <v>5000</v>
      </c>
      <c r="J11033" s="912">
        <f>I11033*H11033</f>
        <v>500</v>
      </c>
      <c r="K11033" s="912" t="s">
        <v>274</v>
      </c>
      <c r="L11033" s="912"/>
      <c r="M11033" s="912"/>
      <c r="N11033" s="912"/>
      <c r="O11033" s="892">
        <f t="shared" si="884"/>
        <v>0</v>
      </c>
      <c r="P11033" s="903">
        <f t="shared" si="885"/>
        <v>1</v>
      </c>
      <c r="Q11033" s="893">
        <f t="shared" si="886"/>
        <v>3</v>
      </c>
      <c r="R11033" s="894">
        <f t="shared" si="887"/>
        <v>0</v>
      </c>
    </row>
    <row r="11034" spans="1:18" s="904" customFormat="1">
      <c r="A11034" s="895"/>
      <c r="B11034" s="896"/>
      <c r="C11034" s="897"/>
      <c r="D11034" s="897"/>
      <c r="E11034" s="1002" t="s">
        <v>276</v>
      </c>
      <c r="F11034" s="1003"/>
      <c r="G11034" s="1004"/>
      <c r="H11034" s="901"/>
      <c r="I11034" s="902"/>
      <c r="J11034" s="902"/>
      <c r="K11034" s="912" t="s">
        <v>274</v>
      </c>
      <c r="L11034" s="902"/>
      <c r="M11034" s="902"/>
      <c r="N11034" s="902"/>
      <c r="O11034" s="892">
        <f t="shared" si="884"/>
        <v>0</v>
      </c>
      <c r="P11034" s="903">
        <f t="shared" si="885"/>
        <v>1</v>
      </c>
      <c r="Q11034" s="893">
        <f t="shared" si="886"/>
        <v>2</v>
      </c>
      <c r="R11034" s="894">
        <f t="shared" si="887"/>
        <v>0</v>
      </c>
    </row>
    <row r="11035" spans="1:18">
      <c r="A11035" s="905"/>
      <c r="B11035" s="952"/>
      <c r="C11035" s="907">
        <v>740</v>
      </c>
      <c r="D11035" s="907" t="s">
        <v>12</v>
      </c>
      <c r="E11035" s="992" t="s">
        <v>4008</v>
      </c>
      <c r="F11035" s="905" t="s">
        <v>2674</v>
      </c>
      <c r="G11035" s="1005"/>
      <c r="H11035" s="911">
        <v>2.4</v>
      </c>
      <c r="I11035" s="912"/>
      <c r="J11035" s="912"/>
      <c r="K11035" s="912">
        <f>VLOOKUP(E11035,[5]ĐMNC!$A$7:$F$67,4,0)</f>
        <v>221125</v>
      </c>
      <c r="L11035" s="912">
        <f>H11035*K11035</f>
        <v>530700</v>
      </c>
      <c r="M11035" s="912"/>
      <c r="N11035" s="912"/>
      <c r="O11035" s="892">
        <f t="shared" si="884"/>
        <v>0</v>
      </c>
      <c r="P11035" s="903">
        <f t="shared" si="885"/>
        <v>1</v>
      </c>
      <c r="Q11035" s="893">
        <f t="shared" si="886"/>
        <v>1</v>
      </c>
      <c r="R11035" s="894">
        <f t="shared" si="887"/>
        <v>0</v>
      </c>
    </row>
    <row r="11036" spans="1:18" s="904" customFormat="1">
      <c r="A11036" s="905" t="s">
        <v>6805</v>
      </c>
      <c r="B11036" s="914" t="s">
        <v>6815</v>
      </c>
      <c r="C11036" s="915"/>
      <c r="D11036" s="915"/>
      <c r="E11036" s="1006" t="s">
        <v>6816</v>
      </c>
      <c r="F11036" s="917" t="s">
        <v>6808</v>
      </c>
      <c r="G11036" s="1008"/>
      <c r="H11036" s="919"/>
      <c r="I11036" s="920"/>
      <c r="J11036" s="962">
        <f>SUM(J11037:J11046)</f>
        <v>96326.22</v>
      </c>
      <c r="K11036" s="891" t="s">
        <v>274</v>
      </c>
      <c r="L11036" s="962">
        <f>SUM(L11037:L11046)</f>
        <v>1470481.25</v>
      </c>
      <c r="M11036" s="962"/>
      <c r="N11036" s="962">
        <f>SUM(N11037:N11046)</f>
        <v>393486.60000000003</v>
      </c>
      <c r="O11036" s="892">
        <f t="shared" si="884"/>
        <v>1</v>
      </c>
      <c r="P11036" s="903">
        <f t="shared" si="885"/>
        <v>0</v>
      </c>
      <c r="Q11036" s="893">
        <f t="shared" si="886"/>
        <v>0</v>
      </c>
      <c r="R11036" s="894">
        <f t="shared" si="887"/>
        <v>10</v>
      </c>
    </row>
    <row r="11037" spans="1:18">
      <c r="A11037" s="895"/>
      <c r="B11037" s="896"/>
      <c r="C11037" s="897"/>
      <c r="D11037" s="897"/>
      <c r="E11037" s="1002" t="s">
        <v>108</v>
      </c>
      <c r="F11037" s="895"/>
      <c r="G11037" s="1004"/>
      <c r="H11037" s="901"/>
      <c r="I11037" s="902"/>
      <c r="J11037" s="902"/>
      <c r="K11037" s="912" t="s">
        <v>274</v>
      </c>
      <c r="L11037" s="902"/>
      <c r="M11037" s="902"/>
      <c r="N11037" s="902"/>
      <c r="O11037" s="892">
        <f t="shared" si="884"/>
        <v>0</v>
      </c>
      <c r="P11037" s="903">
        <f t="shared" si="885"/>
        <v>1</v>
      </c>
      <c r="Q11037" s="893">
        <f t="shared" si="886"/>
        <v>10</v>
      </c>
      <c r="R11037" s="894">
        <f t="shared" si="887"/>
        <v>0</v>
      </c>
    </row>
    <row r="11038" spans="1:18">
      <c r="A11038" s="905"/>
      <c r="B11038" s="952"/>
      <c r="C11038" s="907">
        <v>235</v>
      </c>
      <c r="D11038" s="907" t="s">
        <v>279</v>
      </c>
      <c r="E11038" s="992" t="s">
        <v>2682</v>
      </c>
      <c r="F11038" s="905" t="s">
        <v>45</v>
      </c>
      <c r="G11038" s="1005"/>
      <c r="H11038" s="911">
        <v>0.7</v>
      </c>
      <c r="I11038" s="912">
        <f>VLOOKUP(E11038,[3]VLP!$B$7:$K$300,10,0)</f>
        <v>5000</v>
      </c>
      <c r="J11038" s="912">
        <f>I11038*H11038</f>
        <v>3500</v>
      </c>
      <c r="K11038" s="912" t="s">
        <v>274</v>
      </c>
      <c r="L11038" s="912"/>
      <c r="M11038" s="912"/>
      <c r="N11038" s="912"/>
      <c r="O11038" s="892">
        <f t="shared" si="884"/>
        <v>0</v>
      </c>
      <c r="P11038" s="903">
        <f t="shared" si="885"/>
        <v>1</v>
      </c>
      <c r="Q11038" s="893">
        <f t="shared" si="886"/>
        <v>9</v>
      </c>
      <c r="R11038" s="894">
        <f t="shared" si="887"/>
        <v>0</v>
      </c>
    </row>
    <row r="11039" spans="1:18">
      <c r="A11039" s="905"/>
      <c r="B11039" s="952"/>
      <c r="C11039" s="907">
        <v>319</v>
      </c>
      <c r="D11039" s="907" t="s">
        <v>279</v>
      </c>
      <c r="E11039" s="992" t="s">
        <v>5705</v>
      </c>
      <c r="F11039" s="905" t="s">
        <v>45</v>
      </c>
      <c r="G11039" s="1005"/>
      <c r="H11039" s="911">
        <v>16</v>
      </c>
      <c r="I11039" s="912">
        <f>VLOOKUP(E11039,[3]VLP!$B$7:$K$300,10,0)</f>
        <v>1436</v>
      </c>
      <c r="J11039" s="912">
        <f>I11039*H11039</f>
        <v>22976</v>
      </c>
      <c r="K11039" s="912" t="s">
        <v>274</v>
      </c>
      <c r="L11039" s="912"/>
      <c r="M11039" s="912"/>
      <c r="N11039" s="912"/>
      <c r="O11039" s="892">
        <f t="shared" ref="O11039:O11102" si="888">IF(AND(B11039&lt;&gt;"",D11039=""),1,0)</f>
        <v>0</v>
      </c>
      <c r="P11039" s="903">
        <f t="shared" si="885"/>
        <v>1</v>
      </c>
      <c r="Q11039" s="893">
        <f t="shared" si="886"/>
        <v>8</v>
      </c>
      <c r="R11039" s="894">
        <f t="shared" si="887"/>
        <v>0</v>
      </c>
    </row>
    <row r="11040" spans="1:18" s="847" customFormat="1">
      <c r="A11040" s="905"/>
      <c r="B11040" s="952"/>
      <c r="C11040" s="907">
        <v>207</v>
      </c>
      <c r="D11040" s="907" t="s">
        <v>279</v>
      </c>
      <c r="E11040" s="992" t="s">
        <v>5709</v>
      </c>
      <c r="F11040" s="905" t="s">
        <v>47</v>
      </c>
      <c r="G11040" s="1005"/>
      <c r="H11040" s="911">
        <v>0.02</v>
      </c>
      <c r="I11040" s="912">
        <f>VLOOKUP(E11040,[3]VLP!$B$7:$K$300,10,0)</f>
        <v>363636</v>
      </c>
      <c r="J11040" s="912">
        <f>I11040*H11040</f>
        <v>7272.72</v>
      </c>
      <c r="K11040" s="912" t="s">
        <v>274</v>
      </c>
      <c r="L11040" s="912"/>
      <c r="M11040" s="912"/>
      <c r="N11040" s="912"/>
      <c r="O11040" s="892">
        <f t="shared" si="888"/>
        <v>0</v>
      </c>
      <c r="P11040" s="903">
        <f t="shared" si="885"/>
        <v>1</v>
      </c>
      <c r="Q11040" s="893">
        <f t="shared" si="886"/>
        <v>7</v>
      </c>
      <c r="R11040" s="894">
        <f t="shared" si="887"/>
        <v>0</v>
      </c>
    </row>
    <row r="11041" spans="1:18" s="904" customFormat="1">
      <c r="A11041" s="905"/>
      <c r="B11041" s="952"/>
      <c r="C11041" s="907">
        <v>318</v>
      </c>
      <c r="D11041" s="907" t="s">
        <v>279</v>
      </c>
      <c r="E11041" s="992" t="s">
        <v>5657</v>
      </c>
      <c r="F11041" s="905" t="s">
        <v>45</v>
      </c>
      <c r="G11041" s="1005"/>
      <c r="H11041" s="911">
        <v>0.5</v>
      </c>
      <c r="I11041" s="912">
        <f>VLOOKUP(E11041,[3]VLP!$B$7:$K$300,10,0)</f>
        <v>25155</v>
      </c>
      <c r="J11041" s="912">
        <f>I11041*H11041</f>
        <v>12577.5</v>
      </c>
      <c r="K11041" s="912" t="s">
        <v>274</v>
      </c>
      <c r="L11041" s="912"/>
      <c r="M11041" s="912"/>
      <c r="N11041" s="912"/>
      <c r="O11041" s="892">
        <f t="shared" si="888"/>
        <v>0</v>
      </c>
      <c r="P11041" s="903">
        <f t="shared" si="885"/>
        <v>1</v>
      </c>
      <c r="Q11041" s="893">
        <f t="shared" si="886"/>
        <v>6</v>
      </c>
      <c r="R11041" s="894">
        <f t="shared" si="887"/>
        <v>0</v>
      </c>
    </row>
    <row r="11042" spans="1:18">
      <c r="A11042" s="905"/>
      <c r="B11042" s="952"/>
      <c r="C11042" s="907">
        <v>699</v>
      </c>
      <c r="D11042" s="907" t="s">
        <v>279</v>
      </c>
      <c r="E11042" s="992" t="s">
        <v>4006</v>
      </c>
      <c r="F11042" s="905" t="s">
        <v>4007</v>
      </c>
      <c r="G11042" s="1005"/>
      <c r="H11042" s="911">
        <v>10</v>
      </c>
      <c r="I11042" s="912">
        <f>VLOOKUP(E11042,[3]VLP!$B$7:$K$300,10,0)</f>
        <v>5000</v>
      </c>
      <c r="J11042" s="912">
        <f>I11042*H11042</f>
        <v>50000</v>
      </c>
      <c r="K11042" s="912" t="s">
        <v>274</v>
      </c>
      <c r="L11042" s="912"/>
      <c r="M11042" s="912"/>
      <c r="N11042" s="912"/>
      <c r="O11042" s="892">
        <f t="shared" si="888"/>
        <v>0</v>
      </c>
      <c r="P11042" s="903">
        <f t="shared" si="885"/>
        <v>1</v>
      </c>
      <c r="Q11042" s="893">
        <f t="shared" si="886"/>
        <v>5</v>
      </c>
      <c r="R11042" s="894">
        <f t="shared" si="887"/>
        <v>0</v>
      </c>
    </row>
    <row r="11043" spans="1:18">
      <c r="A11043" s="895"/>
      <c r="B11043" s="896"/>
      <c r="C11043" s="897"/>
      <c r="D11043" s="897"/>
      <c r="E11043" s="1002" t="s">
        <v>276</v>
      </c>
      <c r="F11043" s="895"/>
      <c r="G11043" s="1004"/>
      <c r="H11043" s="901"/>
      <c r="I11043" s="902"/>
      <c r="J11043" s="902"/>
      <c r="K11043" s="912" t="s">
        <v>274</v>
      </c>
      <c r="L11043" s="902"/>
      <c r="M11043" s="902"/>
      <c r="N11043" s="902"/>
      <c r="O11043" s="892">
        <f t="shared" si="888"/>
        <v>0</v>
      </c>
      <c r="P11043" s="903">
        <f t="shared" si="885"/>
        <v>1</v>
      </c>
      <c r="Q11043" s="893">
        <f t="shared" si="886"/>
        <v>4</v>
      </c>
      <c r="R11043" s="894">
        <f t="shared" si="887"/>
        <v>0</v>
      </c>
    </row>
    <row r="11044" spans="1:18">
      <c r="A11044" s="905"/>
      <c r="B11044" s="952"/>
      <c r="C11044" s="907">
        <v>740</v>
      </c>
      <c r="D11044" s="907" t="s">
        <v>12</v>
      </c>
      <c r="E11044" s="992" t="s">
        <v>4008</v>
      </c>
      <c r="F11044" s="905" t="s">
        <v>2674</v>
      </c>
      <c r="G11044" s="1005"/>
      <c r="H11044" s="911">
        <v>6.65</v>
      </c>
      <c r="I11044" s="912"/>
      <c r="J11044" s="912"/>
      <c r="K11044" s="912">
        <f>VLOOKUP(E11044,[5]ĐMNC!$A$7:$F$67,4,0)</f>
        <v>221125</v>
      </c>
      <c r="L11044" s="912">
        <f>H11044*K11044</f>
        <v>1470481.25</v>
      </c>
      <c r="M11044" s="912"/>
      <c r="N11044" s="912"/>
      <c r="O11044" s="892">
        <f t="shared" si="888"/>
        <v>0</v>
      </c>
      <c r="P11044" s="903">
        <f t="shared" si="885"/>
        <v>1</v>
      </c>
      <c r="Q11044" s="893">
        <f t="shared" si="886"/>
        <v>3</v>
      </c>
      <c r="R11044" s="894">
        <f t="shared" si="887"/>
        <v>0</v>
      </c>
    </row>
    <row r="11045" spans="1:18">
      <c r="A11045" s="895"/>
      <c r="B11045" s="896"/>
      <c r="C11045" s="897"/>
      <c r="D11045" s="897"/>
      <c r="E11045" s="1002" t="s">
        <v>3914</v>
      </c>
      <c r="F11045" s="895"/>
      <c r="G11045" s="1004"/>
      <c r="H11045" s="901"/>
      <c r="I11045" s="902"/>
      <c r="J11045" s="902"/>
      <c r="K11045" s="912" t="s">
        <v>274</v>
      </c>
      <c r="L11045" s="902"/>
      <c r="M11045" s="902"/>
      <c r="N11045" s="902"/>
      <c r="O11045" s="892">
        <f t="shared" si="888"/>
        <v>0</v>
      </c>
      <c r="P11045" s="903">
        <f t="shared" si="885"/>
        <v>1</v>
      </c>
      <c r="Q11045" s="893">
        <f t="shared" si="886"/>
        <v>2</v>
      </c>
      <c r="R11045" s="894">
        <f t="shared" si="887"/>
        <v>0</v>
      </c>
    </row>
    <row r="11046" spans="1:18" s="904" customFormat="1">
      <c r="A11046" s="905"/>
      <c r="B11046" s="952" t="s">
        <v>6332</v>
      </c>
      <c r="C11046" s="907">
        <v>901</v>
      </c>
      <c r="D11046" s="907" t="s">
        <v>93</v>
      </c>
      <c r="E11046" s="992" t="s">
        <v>6333</v>
      </c>
      <c r="F11046" s="905" t="s">
        <v>2673</v>
      </c>
      <c r="G11046" s="1005"/>
      <c r="H11046" s="911">
        <v>0.2</v>
      </c>
      <c r="I11046" s="912"/>
      <c r="J11046" s="912"/>
      <c r="K11046" s="912"/>
      <c r="L11046" s="912"/>
      <c r="M11046" s="912">
        <f>VLOOKUP(B11046,MTC!$B$9:$S$933,12,0)</f>
        <v>1967433</v>
      </c>
      <c r="N11046" s="912">
        <f>M11046*H11046</f>
        <v>393486.60000000003</v>
      </c>
      <c r="O11046" s="892">
        <f t="shared" si="888"/>
        <v>0</v>
      </c>
      <c r="P11046" s="903">
        <f t="shared" si="885"/>
        <v>1</v>
      </c>
      <c r="Q11046" s="893">
        <f t="shared" si="886"/>
        <v>1</v>
      </c>
      <c r="R11046" s="894">
        <f t="shared" si="887"/>
        <v>0</v>
      </c>
    </row>
    <row r="11047" spans="1:18">
      <c r="A11047" s="905">
        <v>228</v>
      </c>
      <c r="B11047" s="914" t="s">
        <v>6817</v>
      </c>
      <c r="C11047" s="915"/>
      <c r="D11047" s="915"/>
      <c r="E11047" s="1006" t="s">
        <v>6818</v>
      </c>
      <c r="F11047" s="917" t="s">
        <v>6808</v>
      </c>
      <c r="G11047" s="1008"/>
      <c r="H11047" s="919"/>
      <c r="I11047" s="920"/>
      <c r="J11047" s="962">
        <f>SUM(J11048:J11057)</f>
        <v>116930.22</v>
      </c>
      <c r="K11047" s="891" t="s">
        <v>274</v>
      </c>
      <c r="L11047" s="962">
        <f>SUM(L11048:L11057)</f>
        <v>1742465</v>
      </c>
      <c r="M11047" s="962"/>
      <c r="N11047" s="962">
        <f>SUM(N11048:N11057)</f>
        <v>393486.60000000003</v>
      </c>
      <c r="O11047" s="892">
        <f t="shared" si="888"/>
        <v>1</v>
      </c>
      <c r="P11047" s="903">
        <f t="shared" si="885"/>
        <v>0</v>
      </c>
      <c r="Q11047" s="893">
        <f t="shared" si="886"/>
        <v>0</v>
      </c>
      <c r="R11047" s="894">
        <f t="shared" si="887"/>
        <v>10</v>
      </c>
    </row>
    <row r="11048" spans="1:18" s="847" customFormat="1">
      <c r="A11048" s="895"/>
      <c r="B11048" s="896"/>
      <c r="C11048" s="897"/>
      <c r="D11048" s="897"/>
      <c r="E11048" s="1002" t="s">
        <v>108</v>
      </c>
      <c r="F11048" s="895"/>
      <c r="G11048" s="1004"/>
      <c r="H11048" s="901"/>
      <c r="I11048" s="902"/>
      <c r="J11048" s="902"/>
      <c r="K11048" s="912" t="s">
        <v>274</v>
      </c>
      <c r="L11048" s="902"/>
      <c r="M11048" s="902"/>
      <c r="N11048" s="902"/>
      <c r="O11048" s="892">
        <f t="shared" si="888"/>
        <v>0</v>
      </c>
      <c r="P11048" s="903">
        <f t="shared" si="885"/>
        <v>1</v>
      </c>
      <c r="Q11048" s="893">
        <f t="shared" si="886"/>
        <v>10</v>
      </c>
      <c r="R11048" s="894">
        <f t="shared" si="887"/>
        <v>0</v>
      </c>
    </row>
    <row r="11049" spans="1:18" s="904" customFormat="1">
      <c r="A11049" s="905"/>
      <c r="B11049" s="952"/>
      <c r="C11049" s="907">
        <v>235</v>
      </c>
      <c r="D11049" s="907" t="s">
        <v>279</v>
      </c>
      <c r="E11049" s="992" t="s">
        <v>2682</v>
      </c>
      <c r="F11049" s="905" t="s">
        <v>45</v>
      </c>
      <c r="G11049" s="1005"/>
      <c r="H11049" s="911">
        <v>0.8</v>
      </c>
      <c r="I11049" s="912">
        <f>VLOOKUP(E11049,[3]VLP!$B$7:$K$300,10,0)</f>
        <v>5000</v>
      </c>
      <c r="J11049" s="912">
        <f>I11049*H11049</f>
        <v>4000</v>
      </c>
      <c r="K11049" s="912" t="s">
        <v>274</v>
      </c>
      <c r="L11049" s="912"/>
      <c r="M11049" s="912"/>
      <c r="N11049" s="912"/>
      <c r="O11049" s="892">
        <f t="shared" si="888"/>
        <v>0</v>
      </c>
      <c r="P11049" s="903">
        <f t="shared" si="885"/>
        <v>1</v>
      </c>
      <c r="Q11049" s="893">
        <f t="shared" si="886"/>
        <v>9</v>
      </c>
      <c r="R11049" s="894">
        <f t="shared" si="887"/>
        <v>0</v>
      </c>
    </row>
    <row r="11050" spans="1:18">
      <c r="A11050" s="905"/>
      <c r="B11050" s="952"/>
      <c r="C11050" s="907">
        <v>319</v>
      </c>
      <c r="D11050" s="907" t="s">
        <v>279</v>
      </c>
      <c r="E11050" s="992" t="s">
        <v>5705</v>
      </c>
      <c r="F11050" s="905" t="s">
        <v>45</v>
      </c>
      <c r="G11050" s="1005"/>
      <c r="H11050" s="911">
        <v>30</v>
      </c>
      <c r="I11050" s="912">
        <f>VLOOKUP(E11050,[3]VLP!$B$7:$K$300,10,0)</f>
        <v>1436</v>
      </c>
      <c r="J11050" s="912">
        <f>I11050*H11050</f>
        <v>43080</v>
      </c>
      <c r="K11050" s="912" t="s">
        <v>274</v>
      </c>
      <c r="L11050" s="912"/>
      <c r="M11050" s="912"/>
      <c r="N11050" s="912"/>
      <c r="O11050" s="892">
        <f t="shared" si="888"/>
        <v>0</v>
      </c>
      <c r="P11050" s="903">
        <f t="shared" si="885"/>
        <v>1</v>
      </c>
      <c r="Q11050" s="893">
        <f t="shared" si="886"/>
        <v>8</v>
      </c>
      <c r="R11050" s="894">
        <f t="shared" si="887"/>
        <v>0</v>
      </c>
    </row>
    <row r="11051" spans="1:18">
      <c r="A11051" s="905"/>
      <c r="B11051" s="952"/>
      <c r="C11051" s="907">
        <v>207</v>
      </c>
      <c r="D11051" s="907" t="s">
        <v>279</v>
      </c>
      <c r="E11051" s="992" t="s">
        <v>5709</v>
      </c>
      <c r="F11051" s="905" t="s">
        <v>47</v>
      </c>
      <c r="G11051" s="1005"/>
      <c r="H11051" s="911">
        <v>0.02</v>
      </c>
      <c r="I11051" s="912">
        <f>VLOOKUP(E11051,[3]VLP!$B$7:$K$300,10,0)</f>
        <v>363636</v>
      </c>
      <c r="J11051" s="912">
        <f>I11051*H11051</f>
        <v>7272.72</v>
      </c>
      <c r="K11051" s="912" t="s">
        <v>274</v>
      </c>
      <c r="L11051" s="912"/>
      <c r="M11051" s="912"/>
      <c r="N11051" s="912"/>
      <c r="O11051" s="892">
        <f t="shared" si="888"/>
        <v>0</v>
      </c>
      <c r="P11051" s="903">
        <f t="shared" si="885"/>
        <v>1</v>
      </c>
      <c r="Q11051" s="893">
        <f t="shared" si="886"/>
        <v>7</v>
      </c>
      <c r="R11051" s="894">
        <f t="shared" si="887"/>
        <v>0</v>
      </c>
    </row>
    <row r="11052" spans="1:18">
      <c r="A11052" s="905"/>
      <c r="B11052" s="952"/>
      <c r="C11052" s="907">
        <v>318</v>
      </c>
      <c r="D11052" s="907" t="s">
        <v>279</v>
      </c>
      <c r="E11052" s="992" t="s">
        <v>5657</v>
      </c>
      <c r="F11052" s="905" t="s">
        <v>45</v>
      </c>
      <c r="G11052" s="1005"/>
      <c r="H11052" s="911">
        <v>0.5</v>
      </c>
      <c r="I11052" s="912">
        <f>VLOOKUP(E11052,[3]VLP!$B$7:$K$300,10,0)</f>
        <v>25155</v>
      </c>
      <c r="J11052" s="912">
        <f>I11052*H11052</f>
        <v>12577.5</v>
      </c>
      <c r="K11052" s="912" t="s">
        <v>274</v>
      </c>
      <c r="L11052" s="912"/>
      <c r="M11052" s="912"/>
      <c r="N11052" s="912"/>
      <c r="O11052" s="892">
        <f t="shared" si="888"/>
        <v>0</v>
      </c>
      <c r="P11052" s="903">
        <f t="shared" si="885"/>
        <v>1</v>
      </c>
      <c r="Q11052" s="893">
        <f t="shared" si="886"/>
        <v>6</v>
      </c>
      <c r="R11052" s="894">
        <f t="shared" si="887"/>
        <v>0</v>
      </c>
    </row>
    <row r="11053" spans="1:18">
      <c r="A11053" s="905"/>
      <c r="B11053" s="952"/>
      <c r="C11053" s="907">
        <v>699</v>
      </c>
      <c r="D11053" s="907" t="s">
        <v>279</v>
      </c>
      <c r="E11053" s="992" t="s">
        <v>4006</v>
      </c>
      <c r="F11053" s="905" t="s">
        <v>4007</v>
      </c>
      <c r="G11053" s="1005"/>
      <c r="H11053" s="911">
        <v>10</v>
      </c>
      <c r="I11053" s="912">
        <f>VLOOKUP(E11053,[3]VLP!$B$7:$K$300,10,0)</f>
        <v>5000</v>
      </c>
      <c r="J11053" s="912">
        <f>I11053*H11053</f>
        <v>50000</v>
      </c>
      <c r="K11053" s="912" t="s">
        <v>274</v>
      </c>
      <c r="L11053" s="912"/>
      <c r="M11053" s="912"/>
      <c r="N11053" s="912"/>
      <c r="O11053" s="892">
        <f t="shared" si="888"/>
        <v>0</v>
      </c>
      <c r="P11053" s="903">
        <f t="shared" si="885"/>
        <v>1</v>
      </c>
      <c r="Q11053" s="893">
        <f t="shared" si="886"/>
        <v>5</v>
      </c>
      <c r="R11053" s="894">
        <f t="shared" si="887"/>
        <v>0</v>
      </c>
    </row>
    <row r="11054" spans="1:18" s="904" customFormat="1">
      <c r="A11054" s="895"/>
      <c r="B11054" s="896"/>
      <c r="C11054" s="897"/>
      <c r="D11054" s="897"/>
      <c r="E11054" s="1002" t="s">
        <v>276</v>
      </c>
      <c r="F11054" s="895"/>
      <c r="G11054" s="1004"/>
      <c r="H11054" s="901"/>
      <c r="I11054" s="902"/>
      <c r="J11054" s="902"/>
      <c r="K11054" s="912" t="s">
        <v>274</v>
      </c>
      <c r="L11054" s="902"/>
      <c r="M11054" s="902"/>
      <c r="N11054" s="902"/>
      <c r="O11054" s="892">
        <f t="shared" si="888"/>
        <v>0</v>
      </c>
      <c r="P11054" s="903">
        <f t="shared" si="885"/>
        <v>1</v>
      </c>
      <c r="Q11054" s="893">
        <f t="shared" si="886"/>
        <v>4</v>
      </c>
      <c r="R11054" s="894">
        <f t="shared" si="887"/>
        <v>0</v>
      </c>
    </row>
    <row r="11055" spans="1:18">
      <c r="A11055" s="905"/>
      <c r="B11055" s="952"/>
      <c r="C11055" s="907">
        <v>740</v>
      </c>
      <c r="D11055" s="907" t="s">
        <v>12</v>
      </c>
      <c r="E11055" s="992" t="s">
        <v>4008</v>
      </c>
      <c r="F11055" s="905" t="s">
        <v>2674</v>
      </c>
      <c r="G11055" s="1005"/>
      <c r="H11055" s="911">
        <v>7.88</v>
      </c>
      <c r="I11055" s="912"/>
      <c r="J11055" s="912"/>
      <c r="K11055" s="912">
        <f>VLOOKUP(E11055,[5]ĐMNC!$A$7:$F$67,4,0)</f>
        <v>221125</v>
      </c>
      <c r="L11055" s="912">
        <f>H11055*K11055</f>
        <v>1742465</v>
      </c>
      <c r="M11055" s="912"/>
      <c r="N11055" s="912"/>
      <c r="O11055" s="892">
        <f t="shared" si="888"/>
        <v>0</v>
      </c>
      <c r="P11055" s="903">
        <f t="shared" si="885"/>
        <v>1</v>
      </c>
      <c r="Q11055" s="893">
        <f t="shared" si="886"/>
        <v>3</v>
      </c>
      <c r="R11055" s="894">
        <f t="shared" si="887"/>
        <v>0</v>
      </c>
    </row>
    <row r="11056" spans="1:18" s="847" customFormat="1">
      <c r="A11056" s="895"/>
      <c r="B11056" s="896"/>
      <c r="C11056" s="897"/>
      <c r="D11056" s="897"/>
      <c r="E11056" s="1002" t="s">
        <v>3914</v>
      </c>
      <c r="F11056" s="895"/>
      <c r="G11056" s="1004"/>
      <c r="H11056" s="901"/>
      <c r="I11056" s="902"/>
      <c r="J11056" s="902"/>
      <c r="K11056" s="912" t="s">
        <v>274</v>
      </c>
      <c r="L11056" s="902"/>
      <c r="M11056" s="902"/>
      <c r="N11056" s="902"/>
      <c r="O11056" s="892">
        <f t="shared" si="888"/>
        <v>0</v>
      </c>
      <c r="P11056" s="903">
        <f t="shared" si="885"/>
        <v>1</v>
      </c>
      <c r="Q11056" s="893">
        <f t="shared" si="886"/>
        <v>2</v>
      </c>
      <c r="R11056" s="894">
        <f t="shared" si="887"/>
        <v>0</v>
      </c>
    </row>
    <row r="11057" spans="1:18" s="904" customFormat="1">
      <c r="A11057" s="905"/>
      <c r="B11057" s="952" t="s">
        <v>6332</v>
      </c>
      <c r="C11057" s="907">
        <v>901</v>
      </c>
      <c r="D11057" s="907" t="s">
        <v>93</v>
      </c>
      <c r="E11057" s="992" t="s">
        <v>6333</v>
      </c>
      <c r="F11057" s="905" t="s">
        <v>2673</v>
      </c>
      <c r="G11057" s="1005"/>
      <c r="H11057" s="911">
        <v>0.2</v>
      </c>
      <c r="I11057" s="912"/>
      <c r="J11057" s="912"/>
      <c r="K11057" s="912"/>
      <c r="L11057" s="912"/>
      <c r="M11057" s="912">
        <f>VLOOKUP(B11057,MTC!$B$9:$S$933,12,0)</f>
        <v>1967433</v>
      </c>
      <c r="N11057" s="912">
        <f>M11057*H11057</f>
        <v>393486.60000000003</v>
      </c>
      <c r="O11057" s="892">
        <f t="shared" si="888"/>
        <v>0</v>
      </c>
      <c r="P11057" s="903">
        <f t="shared" si="885"/>
        <v>1</v>
      </c>
      <c r="Q11057" s="893">
        <f t="shared" si="886"/>
        <v>1</v>
      </c>
      <c r="R11057" s="894">
        <f t="shared" si="887"/>
        <v>0</v>
      </c>
    </row>
    <row r="11058" spans="1:18">
      <c r="A11058" s="905">
        <v>229</v>
      </c>
      <c r="B11058" s="914" t="s">
        <v>6819</v>
      </c>
      <c r="C11058" s="915"/>
      <c r="D11058" s="915"/>
      <c r="E11058" s="1006" t="s">
        <v>6820</v>
      </c>
      <c r="F11058" s="917" t="s">
        <v>6808</v>
      </c>
      <c r="G11058" s="1008"/>
      <c r="H11058" s="919"/>
      <c r="I11058" s="920"/>
      <c r="J11058" s="962">
        <f>SUM(J11059:J11068)</f>
        <v>124702.94</v>
      </c>
      <c r="K11058" s="891" t="s">
        <v>274</v>
      </c>
      <c r="L11058" s="962">
        <f>SUM(L11059:L11068)</f>
        <v>1934843.75</v>
      </c>
      <c r="M11058" s="962"/>
      <c r="N11058" s="962">
        <f>SUM(N11059:N11068)</f>
        <v>393486.60000000003</v>
      </c>
      <c r="O11058" s="892">
        <f t="shared" si="888"/>
        <v>1</v>
      </c>
      <c r="P11058" s="903">
        <f t="shared" si="885"/>
        <v>0</v>
      </c>
      <c r="Q11058" s="893">
        <f t="shared" si="886"/>
        <v>0</v>
      </c>
      <c r="R11058" s="894">
        <f t="shared" si="887"/>
        <v>10</v>
      </c>
    </row>
    <row r="11059" spans="1:18">
      <c r="A11059" s="895"/>
      <c r="B11059" s="896"/>
      <c r="C11059" s="897"/>
      <c r="D11059" s="897"/>
      <c r="E11059" s="1002" t="s">
        <v>108</v>
      </c>
      <c r="F11059" s="895"/>
      <c r="G11059" s="1004"/>
      <c r="H11059" s="901"/>
      <c r="I11059" s="902"/>
      <c r="J11059" s="902"/>
      <c r="K11059" s="912" t="s">
        <v>274</v>
      </c>
      <c r="L11059" s="902"/>
      <c r="M11059" s="902"/>
      <c r="N11059" s="902"/>
      <c r="O11059" s="892">
        <f t="shared" si="888"/>
        <v>0</v>
      </c>
      <c r="P11059" s="903">
        <f t="shared" ref="P11059:P11122" si="889">IF(O11059=0,1,0)</f>
        <v>1</v>
      </c>
      <c r="Q11059" s="893">
        <f t="shared" ref="Q11059:Q11122" si="890">IF(P11059=0,0,P11059+Q11060)</f>
        <v>10</v>
      </c>
      <c r="R11059" s="894">
        <f t="shared" ref="R11059:R11122" si="891">IF(Q11059=0,Q11060,0)</f>
        <v>0</v>
      </c>
    </row>
    <row r="11060" spans="1:18">
      <c r="A11060" s="905"/>
      <c r="B11060" s="952"/>
      <c r="C11060" s="907">
        <v>235</v>
      </c>
      <c r="D11060" s="907" t="s">
        <v>279</v>
      </c>
      <c r="E11060" s="992" t="s">
        <v>2682</v>
      </c>
      <c r="F11060" s="905" t="s">
        <v>45</v>
      </c>
      <c r="G11060" s="1005"/>
      <c r="H11060" s="911">
        <v>0.9</v>
      </c>
      <c r="I11060" s="912">
        <f>VLOOKUP(E11060,[3]VLP!$B$7:$K$300,10,0)</f>
        <v>5000</v>
      </c>
      <c r="J11060" s="912">
        <f>I11060*H11060</f>
        <v>4500</v>
      </c>
      <c r="K11060" s="912" t="s">
        <v>274</v>
      </c>
      <c r="L11060" s="912"/>
      <c r="M11060" s="912"/>
      <c r="N11060" s="912"/>
      <c r="O11060" s="892">
        <f t="shared" si="888"/>
        <v>0</v>
      </c>
      <c r="P11060" s="903">
        <f t="shared" si="889"/>
        <v>1</v>
      </c>
      <c r="Q11060" s="893">
        <f t="shared" si="890"/>
        <v>9</v>
      </c>
      <c r="R11060" s="894">
        <f t="shared" si="891"/>
        <v>0</v>
      </c>
    </row>
    <row r="11061" spans="1:18">
      <c r="A11061" s="905"/>
      <c r="B11061" s="952"/>
      <c r="C11061" s="907">
        <v>319</v>
      </c>
      <c r="D11061" s="907" t="s">
        <v>279</v>
      </c>
      <c r="E11061" s="992" t="s">
        <v>5705</v>
      </c>
      <c r="F11061" s="905" t="s">
        <v>45</v>
      </c>
      <c r="G11061" s="1005"/>
      <c r="H11061" s="911">
        <v>30</v>
      </c>
      <c r="I11061" s="912">
        <f>VLOOKUP(E11061,[3]VLP!$B$7:$K$300,10,0)</f>
        <v>1436</v>
      </c>
      <c r="J11061" s="912">
        <f>I11061*H11061</f>
        <v>43080</v>
      </c>
      <c r="K11061" s="912" t="s">
        <v>274</v>
      </c>
      <c r="L11061" s="912"/>
      <c r="M11061" s="912"/>
      <c r="N11061" s="912"/>
      <c r="O11061" s="892">
        <f t="shared" si="888"/>
        <v>0</v>
      </c>
      <c r="P11061" s="903">
        <f t="shared" si="889"/>
        <v>1</v>
      </c>
      <c r="Q11061" s="893">
        <f t="shared" si="890"/>
        <v>8</v>
      </c>
      <c r="R11061" s="894">
        <f t="shared" si="891"/>
        <v>0</v>
      </c>
    </row>
    <row r="11062" spans="1:18" s="904" customFormat="1">
      <c r="A11062" s="905"/>
      <c r="B11062" s="952"/>
      <c r="C11062" s="907">
        <v>207</v>
      </c>
      <c r="D11062" s="907" t="s">
        <v>279</v>
      </c>
      <c r="E11062" s="992" t="s">
        <v>5709</v>
      </c>
      <c r="F11062" s="905" t="s">
        <v>47</v>
      </c>
      <c r="G11062" s="1005"/>
      <c r="H11062" s="911">
        <v>0.04</v>
      </c>
      <c r="I11062" s="912">
        <f>VLOOKUP(E11062,[3]VLP!$B$7:$K$300,10,0)</f>
        <v>363636</v>
      </c>
      <c r="J11062" s="912">
        <f>I11062*H11062</f>
        <v>14545.44</v>
      </c>
      <c r="K11062" s="912" t="s">
        <v>274</v>
      </c>
      <c r="L11062" s="912"/>
      <c r="M11062" s="912"/>
      <c r="N11062" s="912"/>
      <c r="O11062" s="892">
        <f t="shared" si="888"/>
        <v>0</v>
      </c>
      <c r="P11062" s="903">
        <f t="shared" si="889"/>
        <v>1</v>
      </c>
      <c r="Q11062" s="893">
        <f t="shared" si="890"/>
        <v>7</v>
      </c>
      <c r="R11062" s="894">
        <f t="shared" si="891"/>
        <v>0</v>
      </c>
    </row>
    <row r="11063" spans="1:18">
      <c r="A11063" s="905"/>
      <c r="B11063" s="952"/>
      <c r="C11063" s="907">
        <v>318</v>
      </c>
      <c r="D11063" s="907" t="s">
        <v>279</v>
      </c>
      <c r="E11063" s="992" t="s">
        <v>5657</v>
      </c>
      <c r="F11063" s="905" t="s">
        <v>45</v>
      </c>
      <c r="G11063" s="1005"/>
      <c r="H11063" s="911">
        <v>0.5</v>
      </c>
      <c r="I11063" s="912">
        <f>VLOOKUP(E11063,[3]VLP!$B$7:$K$300,10,0)</f>
        <v>25155</v>
      </c>
      <c r="J11063" s="912">
        <f>I11063*H11063</f>
        <v>12577.5</v>
      </c>
      <c r="K11063" s="912" t="s">
        <v>274</v>
      </c>
      <c r="L11063" s="912"/>
      <c r="M11063" s="912"/>
      <c r="N11063" s="912"/>
      <c r="O11063" s="892">
        <f t="shared" si="888"/>
        <v>0</v>
      </c>
      <c r="P11063" s="903">
        <f t="shared" si="889"/>
        <v>1</v>
      </c>
      <c r="Q11063" s="893">
        <f t="shared" si="890"/>
        <v>6</v>
      </c>
      <c r="R11063" s="894">
        <f t="shared" si="891"/>
        <v>0</v>
      </c>
    </row>
    <row r="11064" spans="1:18" s="847" customFormat="1">
      <c r="A11064" s="905"/>
      <c r="B11064" s="952"/>
      <c r="C11064" s="907">
        <v>699</v>
      </c>
      <c r="D11064" s="907" t="s">
        <v>279</v>
      </c>
      <c r="E11064" s="992" t="s">
        <v>4006</v>
      </c>
      <c r="F11064" s="905" t="s">
        <v>4007</v>
      </c>
      <c r="G11064" s="1005"/>
      <c r="H11064" s="911">
        <v>10</v>
      </c>
      <c r="I11064" s="912">
        <f>VLOOKUP(E11064,[3]VLP!$B$7:$K$300,10,0)</f>
        <v>5000</v>
      </c>
      <c r="J11064" s="912">
        <f>I11064*H11064</f>
        <v>50000</v>
      </c>
      <c r="K11064" s="912" t="s">
        <v>274</v>
      </c>
      <c r="L11064" s="912"/>
      <c r="M11064" s="912"/>
      <c r="N11064" s="912"/>
      <c r="O11064" s="892">
        <f t="shared" si="888"/>
        <v>0</v>
      </c>
      <c r="P11064" s="903">
        <f t="shared" si="889"/>
        <v>1</v>
      </c>
      <c r="Q11064" s="893">
        <f t="shared" si="890"/>
        <v>5</v>
      </c>
      <c r="R11064" s="894">
        <f t="shared" si="891"/>
        <v>0</v>
      </c>
    </row>
    <row r="11065" spans="1:18" s="904" customFormat="1">
      <c r="A11065" s="895"/>
      <c r="B11065" s="896"/>
      <c r="C11065" s="897"/>
      <c r="D11065" s="897"/>
      <c r="E11065" s="1002" t="s">
        <v>276</v>
      </c>
      <c r="F11065" s="895"/>
      <c r="G11065" s="1004"/>
      <c r="H11065" s="901"/>
      <c r="I11065" s="902"/>
      <c r="J11065" s="902"/>
      <c r="K11065" s="912" t="s">
        <v>274</v>
      </c>
      <c r="L11065" s="902"/>
      <c r="M11065" s="902"/>
      <c r="N11065" s="902"/>
      <c r="O11065" s="892">
        <f t="shared" si="888"/>
        <v>0</v>
      </c>
      <c r="P11065" s="903">
        <f t="shared" si="889"/>
        <v>1</v>
      </c>
      <c r="Q11065" s="893">
        <f t="shared" si="890"/>
        <v>4</v>
      </c>
      <c r="R11065" s="894">
        <f t="shared" si="891"/>
        <v>0</v>
      </c>
    </row>
    <row r="11066" spans="1:18">
      <c r="A11066" s="905"/>
      <c r="B11066" s="952"/>
      <c r="C11066" s="907">
        <v>740</v>
      </c>
      <c r="D11066" s="907" t="s">
        <v>12</v>
      </c>
      <c r="E11066" s="992" t="s">
        <v>4008</v>
      </c>
      <c r="F11066" s="905" t="s">
        <v>2674</v>
      </c>
      <c r="G11066" s="1005"/>
      <c r="H11066" s="911">
        <v>8.75</v>
      </c>
      <c r="I11066" s="912"/>
      <c r="J11066" s="912"/>
      <c r="K11066" s="912">
        <f>VLOOKUP(E11066,[5]ĐMNC!$A$7:$F$67,4,0)</f>
        <v>221125</v>
      </c>
      <c r="L11066" s="912">
        <f>H11066*K11066</f>
        <v>1934843.75</v>
      </c>
      <c r="M11066" s="912"/>
      <c r="N11066" s="912"/>
      <c r="O11066" s="892">
        <f t="shared" si="888"/>
        <v>0</v>
      </c>
      <c r="P11066" s="903">
        <f t="shared" si="889"/>
        <v>1</v>
      </c>
      <c r="Q11066" s="893">
        <f t="shared" si="890"/>
        <v>3</v>
      </c>
      <c r="R11066" s="894">
        <f t="shared" si="891"/>
        <v>0</v>
      </c>
    </row>
    <row r="11067" spans="1:18">
      <c r="A11067" s="895"/>
      <c r="B11067" s="896"/>
      <c r="C11067" s="897"/>
      <c r="D11067" s="897"/>
      <c r="E11067" s="1002" t="s">
        <v>3914</v>
      </c>
      <c r="F11067" s="895"/>
      <c r="G11067" s="1004"/>
      <c r="H11067" s="901"/>
      <c r="I11067" s="902"/>
      <c r="J11067" s="902"/>
      <c r="K11067" s="912" t="s">
        <v>274</v>
      </c>
      <c r="L11067" s="902"/>
      <c r="M11067" s="902"/>
      <c r="N11067" s="902"/>
      <c r="O11067" s="892">
        <f t="shared" si="888"/>
        <v>0</v>
      </c>
      <c r="P11067" s="903">
        <f t="shared" si="889"/>
        <v>1</v>
      </c>
      <c r="Q11067" s="893">
        <f t="shared" si="890"/>
        <v>2</v>
      </c>
      <c r="R11067" s="894">
        <f t="shared" si="891"/>
        <v>0</v>
      </c>
    </row>
    <row r="11068" spans="1:18">
      <c r="A11068" s="905"/>
      <c r="B11068" s="952" t="s">
        <v>6332</v>
      </c>
      <c r="C11068" s="907">
        <v>901</v>
      </c>
      <c r="D11068" s="907" t="s">
        <v>93</v>
      </c>
      <c r="E11068" s="992" t="s">
        <v>6333</v>
      </c>
      <c r="F11068" s="905" t="s">
        <v>2673</v>
      </c>
      <c r="G11068" s="1005"/>
      <c r="H11068" s="911">
        <v>0.2</v>
      </c>
      <c r="I11068" s="912"/>
      <c r="J11068" s="912"/>
      <c r="K11068" s="912"/>
      <c r="L11068" s="912"/>
      <c r="M11068" s="912">
        <f>VLOOKUP(B11068,MTC!$B$9:$S$933,12,0)</f>
        <v>1967433</v>
      </c>
      <c r="N11068" s="912">
        <f>M11068*H11068</f>
        <v>393486.60000000003</v>
      </c>
      <c r="O11068" s="892">
        <f t="shared" si="888"/>
        <v>0</v>
      </c>
      <c r="P11068" s="903">
        <f t="shared" si="889"/>
        <v>1</v>
      </c>
      <c r="Q11068" s="893">
        <f t="shared" si="890"/>
        <v>1</v>
      </c>
      <c r="R11068" s="894">
        <f t="shared" si="891"/>
        <v>0</v>
      </c>
    </row>
    <row r="11069" spans="1:18">
      <c r="A11069" s="905">
        <v>230</v>
      </c>
      <c r="B11069" s="914" t="s">
        <v>6821</v>
      </c>
      <c r="C11069" s="915"/>
      <c r="D11069" s="915"/>
      <c r="E11069" s="1006" t="s">
        <v>6822</v>
      </c>
      <c r="F11069" s="917" t="s">
        <v>6808</v>
      </c>
      <c r="G11069" s="1008"/>
      <c r="H11069" s="919"/>
      <c r="I11069" s="920"/>
      <c r="J11069" s="962">
        <f>SUM(J11070:J11079)</f>
        <v>156515.66</v>
      </c>
      <c r="K11069" s="891" t="s">
        <v>274</v>
      </c>
      <c r="L11069" s="962">
        <f>SUM(L11070:L11079)</f>
        <v>2494290</v>
      </c>
      <c r="M11069" s="962"/>
      <c r="N11069" s="962">
        <f>SUM(N11070:N11079)</f>
        <v>393486.60000000003</v>
      </c>
      <c r="O11069" s="892">
        <f t="shared" si="888"/>
        <v>1</v>
      </c>
      <c r="P11069" s="903">
        <f t="shared" si="889"/>
        <v>0</v>
      </c>
      <c r="Q11069" s="893">
        <f t="shared" si="890"/>
        <v>0</v>
      </c>
      <c r="R11069" s="894">
        <f t="shared" si="891"/>
        <v>10</v>
      </c>
    </row>
    <row r="11070" spans="1:18" s="904" customFormat="1">
      <c r="A11070" s="895"/>
      <c r="B11070" s="896"/>
      <c r="C11070" s="897"/>
      <c r="D11070" s="897"/>
      <c r="E11070" s="1002" t="s">
        <v>108</v>
      </c>
      <c r="F11070" s="895"/>
      <c r="G11070" s="1004"/>
      <c r="H11070" s="901"/>
      <c r="I11070" s="902"/>
      <c r="J11070" s="902"/>
      <c r="K11070" s="912" t="s">
        <v>274</v>
      </c>
      <c r="L11070" s="902"/>
      <c r="M11070" s="902"/>
      <c r="N11070" s="902"/>
      <c r="O11070" s="892">
        <f t="shared" si="888"/>
        <v>0</v>
      </c>
      <c r="P11070" s="903">
        <f t="shared" si="889"/>
        <v>1</v>
      </c>
      <c r="Q11070" s="893">
        <f t="shared" si="890"/>
        <v>10</v>
      </c>
      <c r="R11070" s="894">
        <f t="shared" si="891"/>
        <v>0</v>
      </c>
    </row>
    <row r="11071" spans="1:18">
      <c r="A11071" s="905"/>
      <c r="B11071" s="952"/>
      <c r="C11071" s="907">
        <v>235</v>
      </c>
      <c r="D11071" s="907" t="s">
        <v>279</v>
      </c>
      <c r="E11071" s="992" t="s">
        <v>2682</v>
      </c>
      <c r="F11071" s="905" t="s">
        <v>45</v>
      </c>
      <c r="G11071" s="1005"/>
      <c r="H11071" s="911">
        <v>1.5</v>
      </c>
      <c r="I11071" s="912">
        <f>VLOOKUP(E11071,[3]VLP!$B$7:$K$300,10,0)</f>
        <v>5000</v>
      </c>
      <c r="J11071" s="912">
        <f>I11071*H11071</f>
        <v>7500</v>
      </c>
      <c r="K11071" s="912" t="s">
        <v>274</v>
      </c>
      <c r="L11071" s="912"/>
      <c r="M11071" s="912"/>
      <c r="N11071" s="912"/>
      <c r="O11071" s="892">
        <f t="shared" si="888"/>
        <v>0</v>
      </c>
      <c r="P11071" s="903">
        <f t="shared" si="889"/>
        <v>1</v>
      </c>
      <c r="Q11071" s="893">
        <f t="shared" si="890"/>
        <v>9</v>
      </c>
      <c r="R11071" s="894">
        <f t="shared" si="891"/>
        <v>0</v>
      </c>
    </row>
    <row r="11072" spans="1:18" s="847" customFormat="1">
      <c r="A11072" s="905"/>
      <c r="B11072" s="952"/>
      <c r="C11072" s="907">
        <v>319</v>
      </c>
      <c r="D11072" s="907" t="s">
        <v>279</v>
      </c>
      <c r="E11072" s="992" t="s">
        <v>5705</v>
      </c>
      <c r="F11072" s="905" t="s">
        <v>45</v>
      </c>
      <c r="G11072" s="1005"/>
      <c r="H11072" s="911">
        <v>45</v>
      </c>
      <c r="I11072" s="912">
        <f>VLOOKUP(E11072,[3]VLP!$B$7:$K$300,10,0)</f>
        <v>1436</v>
      </c>
      <c r="J11072" s="912">
        <f>I11072*H11072</f>
        <v>64620</v>
      </c>
      <c r="K11072" s="912" t="s">
        <v>274</v>
      </c>
      <c r="L11072" s="912"/>
      <c r="M11072" s="912"/>
      <c r="N11072" s="912"/>
      <c r="O11072" s="892">
        <f t="shared" si="888"/>
        <v>0</v>
      </c>
      <c r="P11072" s="903">
        <f t="shared" si="889"/>
        <v>1</v>
      </c>
      <c r="Q11072" s="893">
        <f t="shared" si="890"/>
        <v>8</v>
      </c>
      <c r="R11072" s="894">
        <f t="shared" si="891"/>
        <v>0</v>
      </c>
    </row>
    <row r="11073" spans="1:18" s="904" customFormat="1">
      <c r="A11073" s="905"/>
      <c r="B11073" s="952"/>
      <c r="C11073" s="907">
        <v>207</v>
      </c>
      <c r="D11073" s="907" t="s">
        <v>279</v>
      </c>
      <c r="E11073" s="992" t="s">
        <v>5709</v>
      </c>
      <c r="F11073" s="905" t="s">
        <v>47</v>
      </c>
      <c r="G11073" s="1005"/>
      <c r="H11073" s="911">
        <v>0.06</v>
      </c>
      <c r="I11073" s="912">
        <f>VLOOKUP(E11073,[3]VLP!$B$7:$K$300,10,0)</f>
        <v>363636</v>
      </c>
      <c r="J11073" s="912">
        <f>I11073*H11073</f>
        <v>21818.16</v>
      </c>
      <c r="K11073" s="912" t="s">
        <v>274</v>
      </c>
      <c r="L11073" s="912"/>
      <c r="M11073" s="912"/>
      <c r="N11073" s="912"/>
      <c r="O11073" s="892">
        <f t="shared" si="888"/>
        <v>0</v>
      </c>
      <c r="P11073" s="903">
        <f t="shared" si="889"/>
        <v>1</v>
      </c>
      <c r="Q11073" s="893">
        <f t="shared" si="890"/>
        <v>7</v>
      </c>
      <c r="R11073" s="894">
        <f t="shared" si="891"/>
        <v>0</v>
      </c>
    </row>
    <row r="11074" spans="1:18">
      <c r="A11074" s="905"/>
      <c r="B11074" s="952"/>
      <c r="C11074" s="907">
        <v>318</v>
      </c>
      <c r="D11074" s="907" t="s">
        <v>279</v>
      </c>
      <c r="E11074" s="992" t="s">
        <v>5657</v>
      </c>
      <c r="F11074" s="905" t="s">
        <v>45</v>
      </c>
      <c r="G11074" s="1005"/>
      <c r="H11074" s="911">
        <v>0.5</v>
      </c>
      <c r="I11074" s="912">
        <f>VLOOKUP(E11074,[3]VLP!$B$7:$K$300,10,0)</f>
        <v>25155</v>
      </c>
      <c r="J11074" s="912">
        <f>I11074*H11074</f>
        <v>12577.5</v>
      </c>
      <c r="K11074" s="912" t="s">
        <v>274</v>
      </c>
      <c r="L11074" s="912"/>
      <c r="M11074" s="912"/>
      <c r="N11074" s="912"/>
      <c r="O11074" s="892">
        <f t="shared" si="888"/>
        <v>0</v>
      </c>
      <c r="P11074" s="903">
        <f t="shared" si="889"/>
        <v>1</v>
      </c>
      <c r="Q11074" s="893">
        <f t="shared" si="890"/>
        <v>6</v>
      </c>
      <c r="R11074" s="894">
        <f t="shared" si="891"/>
        <v>0</v>
      </c>
    </row>
    <row r="11075" spans="1:18">
      <c r="A11075" s="905"/>
      <c r="B11075" s="952"/>
      <c r="C11075" s="907">
        <v>699</v>
      </c>
      <c r="D11075" s="907" t="s">
        <v>279</v>
      </c>
      <c r="E11075" s="992" t="s">
        <v>4006</v>
      </c>
      <c r="F11075" s="905" t="s">
        <v>4007</v>
      </c>
      <c r="G11075" s="1005"/>
      <c r="H11075" s="911">
        <v>10</v>
      </c>
      <c r="I11075" s="912">
        <f>VLOOKUP(E11075,[3]VLP!$B$7:$K$300,10,0)</f>
        <v>5000</v>
      </c>
      <c r="J11075" s="912">
        <f>I11075*H11075</f>
        <v>50000</v>
      </c>
      <c r="K11075" s="912" t="s">
        <v>274</v>
      </c>
      <c r="L11075" s="912"/>
      <c r="M11075" s="912"/>
      <c r="N11075" s="912"/>
      <c r="O11075" s="892">
        <f t="shared" si="888"/>
        <v>0</v>
      </c>
      <c r="P11075" s="903">
        <f t="shared" si="889"/>
        <v>1</v>
      </c>
      <c r="Q11075" s="893">
        <f t="shared" si="890"/>
        <v>5</v>
      </c>
      <c r="R11075" s="894">
        <f t="shared" si="891"/>
        <v>0</v>
      </c>
    </row>
    <row r="11076" spans="1:18">
      <c r="A11076" s="895"/>
      <c r="B11076" s="896"/>
      <c r="C11076" s="897"/>
      <c r="D11076" s="897"/>
      <c r="E11076" s="1002" t="s">
        <v>276</v>
      </c>
      <c r="F11076" s="895"/>
      <c r="G11076" s="1004"/>
      <c r="H11076" s="901"/>
      <c r="I11076" s="902"/>
      <c r="J11076" s="902"/>
      <c r="K11076" s="912" t="s">
        <v>274</v>
      </c>
      <c r="L11076" s="902"/>
      <c r="M11076" s="902"/>
      <c r="N11076" s="902"/>
      <c r="O11076" s="892">
        <f t="shared" si="888"/>
        <v>0</v>
      </c>
      <c r="P11076" s="903">
        <f t="shared" si="889"/>
        <v>1</v>
      </c>
      <c r="Q11076" s="893">
        <f t="shared" si="890"/>
        <v>4</v>
      </c>
      <c r="R11076" s="894">
        <f t="shared" si="891"/>
        <v>0</v>
      </c>
    </row>
    <row r="11077" spans="1:18">
      <c r="A11077" s="905"/>
      <c r="B11077" s="952"/>
      <c r="C11077" s="907">
        <v>740</v>
      </c>
      <c r="D11077" s="907" t="s">
        <v>12</v>
      </c>
      <c r="E11077" s="992" t="s">
        <v>4008</v>
      </c>
      <c r="F11077" s="905" t="s">
        <v>2674</v>
      </c>
      <c r="G11077" s="1005"/>
      <c r="H11077" s="911">
        <v>11.28</v>
      </c>
      <c r="I11077" s="912"/>
      <c r="J11077" s="912"/>
      <c r="K11077" s="912">
        <f>VLOOKUP(E11077,[5]ĐMNC!$A$7:$F$67,4,0)</f>
        <v>221125</v>
      </c>
      <c r="L11077" s="912">
        <f>H11077*K11077</f>
        <v>2494290</v>
      </c>
      <c r="M11077" s="912"/>
      <c r="N11077" s="912"/>
      <c r="O11077" s="892">
        <f t="shared" si="888"/>
        <v>0</v>
      </c>
      <c r="P11077" s="903">
        <f t="shared" si="889"/>
        <v>1</v>
      </c>
      <c r="Q11077" s="893">
        <f t="shared" si="890"/>
        <v>3</v>
      </c>
      <c r="R11077" s="894">
        <f t="shared" si="891"/>
        <v>0</v>
      </c>
    </row>
    <row r="11078" spans="1:18" s="904" customFormat="1">
      <c r="A11078" s="895"/>
      <c r="B11078" s="896"/>
      <c r="C11078" s="897"/>
      <c r="D11078" s="897"/>
      <c r="E11078" s="1002" t="s">
        <v>3914</v>
      </c>
      <c r="F11078" s="895"/>
      <c r="G11078" s="1004"/>
      <c r="H11078" s="901"/>
      <c r="I11078" s="902"/>
      <c r="J11078" s="902"/>
      <c r="K11078" s="912" t="s">
        <v>274</v>
      </c>
      <c r="L11078" s="902"/>
      <c r="M11078" s="902"/>
      <c r="N11078" s="902"/>
      <c r="O11078" s="892">
        <f t="shared" si="888"/>
        <v>0</v>
      </c>
      <c r="P11078" s="903">
        <f t="shared" si="889"/>
        <v>1</v>
      </c>
      <c r="Q11078" s="893">
        <f t="shared" si="890"/>
        <v>2</v>
      </c>
      <c r="R11078" s="894">
        <f t="shared" si="891"/>
        <v>0</v>
      </c>
    </row>
    <row r="11079" spans="1:18">
      <c r="A11079" s="905"/>
      <c r="B11079" s="952" t="s">
        <v>6332</v>
      </c>
      <c r="C11079" s="907">
        <v>901</v>
      </c>
      <c r="D11079" s="907" t="s">
        <v>93</v>
      </c>
      <c r="E11079" s="992" t="s">
        <v>6333</v>
      </c>
      <c r="F11079" s="905" t="s">
        <v>2673</v>
      </c>
      <c r="G11079" s="1005"/>
      <c r="H11079" s="911">
        <v>0.2</v>
      </c>
      <c r="I11079" s="912"/>
      <c r="J11079" s="912"/>
      <c r="K11079" s="912"/>
      <c r="L11079" s="912"/>
      <c r="M11079" s="912">
        <f>VLOOKUP(B11079,MTC!$B$9:$S$933,12,0)</f>
        <v>1967433</v>
      </c>
      <c r="N11079" s="912">
        <f>M11079*H11079</f>
        <v>393486.60000000003</v>
      </c>
      <c r="O11079" s="892">
        <f t="shared" si="888"/>
        <v>0</v>
      </c>
      <c r="P11079" s="903">
        <f t="shared" si="889"/>
        <v>1</v>
      </c>
      <c r="Q11079" s="893">
        <f t="shared" si="890"/>
        <v>1</v>
      </c>
      <c r="R11079" s="894">
        <f t="shared" si="891"/>
        <v>0</v>
      </c>
    </row>
    <row r="11080" spans="1:18" s="847" customFormat="1">
      <c r="A11080" s="905" t="s">
        <v>6823</v>
      </c>
      <c r="B11080" s="914" t="s">
        <v>6824</v>
      </c>
      <c r="C11080" s="915"/>
      <c r="D11080" s="915"/>
      <c r="E11080" s="1006" t="s">
        <v>6825</v>
      </c>
      <c r="F11080" s="917" t="s">
        <v>139</v>
      </c>
      <c r="G11080" s="1008"/>
      <c r="H11080" s="919"/>
      <c r="I11080" s="920"/>
      <c r="J11080" s="891">
        <f>SUM(J11081:J11093)</f>
        <v>1971396.65</v>
      </c>
      <c r="K11080" s="891"/>
      <c r="L11080" s="891">
        <f>SUM(L11081:L11093)</f>
        <v>102380875</v>
      </c>
      <c r="M11080" s="891"/>
      <c r="N11080" s="891">
        <f>SUM(N11081:N11093)</f>
        <v>5115325.8</v>
      </c>
      <c r="O11080" s="892">
        <f t="shared" si="888"/>
        <v>1</v>
      </c>
      <c r="P11080" s="903">
        <f t="shared" si="889"/>
        <v>0</v>
      </c>
      <c r="Q11080" s="893">
        <f t="shared" si="890"/>
        <v>0</v>
      </c>
      <c r="R11080" s="894">
        <f t="shared" si="891"/>
        <v>13</v>
      </c>
    </row>
    <row r="11081" spans="1:18" s="904" customFormat="1">
      <c r="A11081" s="895"/>
      <c r="B11081" s="922"/>
      <c r="C11081" s="897"/>
      <c r="D11081" s="897"/>
      <c r="E11081" s="1002" t="s">
        <v>108</v>
      </c>
      <c r="F11081" s="895"/>
      <c r="G11081" s="1004"/>
      <c r="H11081" s="901"/>
      <c r="I11081" s="902"/>
      <c r="J11081" s="902"/>
      <c r="K11081" s="912" t="s">
        <v>274</v>
      </c>
      <c r="L11081" s="902"/>
      <c r="M11081" s="902"/>
      <c r="N11081" s="902"/>
      <c r="O11081" s="892">
        <f t="shared" si="888"/>
        <v>0</v>
      </c>
      <c r="P11081" s="903">
        <f t="shared" si="889"/>
        <v>1</v>
      </c>
      <c r="Q11081" s="893">
        <f t="shared" si="890"/>
        <v>13</v>
      </c>
      <c r="R11081" s="894">
        <f t="shared" si="891"/>
        <v>0</v>
      </c>
    </row>
    <row r="11082" spans="1:18">
      <c r="A11082" s="905"/>
      <c r="B11082" s="952"/>
      <c r="C11082" s="907">
        <v>235</v>
      </c>
      <c r="D11082" s="907" t="s">
        <v>279</v>
      </c>
      <c r="E11082" s="992" t="s">
        <v>2682</v>
      </c>
      <c r="F11082" s="905" t="s">
        <v>45</v>
      </c>
      <c r="G11082" s="1005"/>
      <c r="H11082" s="911">
        <v>9</v>
      </c>
      <c r="I11082" s="912">
        <f>VLOOKUP(E11082,[3]VLP!$B$7:$K$300,10,0)</f>
        <v>5000</v>
      </c>
      <c r="J11082" s="912">
        <f t="shared" ref="J11082:J11089" si="892">I11082*H11082</f>
        <v>45000</v>
      </c>
      <c r="K11082" s="912" t="s">
        <v>274</v>
      </c>
      <c r="L11082" s="912"/>
      <c r="M11082" s="912"/>
      <c r="N11082" s="912"/>
      <c r="O11082" s="892">
        <f t="shared" si="888"/>
        <v>0</v>
      </c>
      <c r="P11082" s="903">
        <f t="shared" si="889"/>
        <v>1</v>
      </c>
      <c r="Q11082" s="893">
        <f t="shared" si="890"/>
        <v>12</v>
      </c>
      <c r="R11082" s="894">
        <f t="shared" si="891"/>
        <v>0</v>
      </c>
    </row>
    <row r="11083" spans="1:18">
      <c r="A11083" s="905"/>
      <c r="B11083" s="952"/>
      <c r="C11083" s="907">
        <v>229</v>
      </c>
      <c r="D11083" s="907" t="s">
        <v>279</v>
      </c>
      <c r="E11083" s="992" t="s">
        <v>6318</v>
      </c>
      <c r="F11083" s="905" t="s">
        <v>45</v>
      </c>
      <c r="G11083" s="1005"/>
      <c r="H11083" s="911">
        <v>4.7</v>
      </c>
      <c r="I11083" s="912">
        <f>VLOOKUP(E11083,[3]VLP!$B$7:$K$300,10,0)</f>
        <v>14762</v>
      </c>
      <c r="J11083" s="912">
        <f t="shared" si="892"/>
        <v>69381.400000000009</v>
      </c>
      <c r="K11083" s="912" t="s">
        <v>274</v>
      </c>
      <c r="L11083" s="912"/>
      <c r="M11083" s="912"/>
      <c r="N11083" s="912"/>
      <c r="O11083" s="892">
        <f t="shared" si="888"/>
        <v>0</v>
      </c>
      <c r="P11083" s="903">
        <f t="shared" si="889"/>
        <v>1</v>
      </c>
      <c r="Q11083" s="893">
        <f t="shared" si="890"/>
        <v>11</v>
      </c>
      <c r="R11083" s="894">
        <f t="shared" si="891"/>
        <v>0</v>
      </c>
    </row>
    <row r="11084" spans="1:18">
      <c r="A11084" s="905"/>
      <c r="B11084" s="952"/>
      <c r="C11084" s="907">
        <v>318</v>
      </c>
      <c r="D11084" s="907" t="s">
        <v>279</v>
      </c>
      <c r="E11084" s="992" t="s">
        <v>5657</v>
      </c>
      <c r="F11084" s="905" t="s">
        <v>45</v>
      </c>
      <c r="G11084" s="1005"/>
      <c r="H11084" s="911">
        <v>11.3</v>
      </c>
      <c r="I11084" s="912">
        <f>VLOOKUP(E11084,[3]VLP!$B$7:$K$300,10,0)</f>
        <v>25155</v>
      </c>
      <c r="J11084" s="912">
        <f t="shared" si="892"/>
        <v>284251.5</v>
      </c>
      <c r="K11084" s="912" t="s">
        <v>274</v>
      </c>
      <c r="L11084" s="912"/>
      <c r="M11084" s="912"/>
      <c r="N11084" s="912"/>
      <c r="O11084" s="892">
        <f t="shared" si="888"/>
        <v>0</v>
      </c>
      <c r="P11084" s="903">
        <f t="shared" si="889"/>
        <v>1</v>
      </c>
      <c r="Q11084" s="893">
        <f t="shared" si="890"/>
        <v>10</v>
      </c>
      <c r="R11084" s="894">
        <f t="shared" si="891"/>
        <v>0</v>
      </c>
    </row>
    <row r="11085" spans="1:18">
      <c r="A11085" s="905"/>
      <c r="B11085" s="952"/>
      <c r="C11085" s="907">
        <v>212</v>
      </c>
      <c r="D11085" s="907" t="s">
        <v>279</v>
      </c>
      <c r="E11085" s="992" t="s">
        <v>2681</v>
      </c>
      <c r="F11085" s="905" t="s">
        <v>45</v>
      </c>
      <c r="G11085" s="1005"/>
      <c r="H11085" s="911">
        <v>1.8</v>
      </c>
      <c r="I11085" s="912">
        <f>VLOOKUP(E11085,[3]VLP!$B$7:$K$300,10,0)</f>
        <v>23000</v>
      </c>
      <c r="J11085" s="912">
        <f t="shared" si="892"/>
        <v>41400</v>
      </c>
      <c r="K11085" s="912" t="s">
        <v>274</v>
      </c>
      <c r="L11085" s="912"/>
      <c r="M11085" s="912"/>
      <c r="N11085" s="912"/>
      <c r="O11085" s="892">
        <f t="shared" si="888"/>
        <v>0</v>
      </c>
      <c r="P11085" s="903">
        <f t="shared" si="889"/>
        <v>1</v>
      </c>
      <c r="Q11085" s="893">
        <f t="shared" si="890"/>
        <v>9</v>
      </c>
      <c r="R11085" s="894">
        <f t="shared" si="891"/>
        <v>0</v>
      </c>
    </row>
    <row r="11086" spans="1:18" s="904" customFormat="1">
      <c r="A11086" s="905"/>
      <c r="B11086" s="952"/>
      <c r="C11086" s="907">
        <v>315</v>
      </c>
      <c r="D11086" s="907" t="s">
        <v>279</v>
      </c>
      <c r="E11086" s="992" t="s">
        <v>6316</v>
      </c>
      <c r="F11086" s="905" t="s">
        <v>49</v>
      </c>
      <c r="G11086" s="1005"/>
      <c r="H11086" s="911">
        <v>13</v>
      </c>
      <c r="I11086" s="912">
        <f>VLOOKUP(E11086,[3]VLP!$B$7:$K$300,10,0)</f>
        <v>8000</v>
      </c>
      <c r="J11086" s="912">
        <f t="shared" si="892"/>
        <v>104000</v>
      </c>
      <c r="K11086" s="912" t="s">
        <v>274</v>
      </c>
      <c r="L11086" s="912"/>
      <c r="M11086" s="912"/>
      <c r="N11086" s="912"/>
      <c r="O11086" s="892">
        <f t="shared" si="888"/>
        <v>0</v>
      </c>
      <c r="P11086" s="903">
        <f t="shared" si="889"/>
        <v>1</v>
      </c>
      <c r="Q11086" s="893">
        <f t="shared" si="890"/>
        <v>8</v>
      </c>
      <c r="R11086" s="894">
        <f t="shared" si="891"/>
        <v>0</v>
      </c>
    </row>
    <row r="11087" spans="1:18">
      <c r="A11087" s="905"/>
      <c r="B11087" s="952"/>
      <c r="C11087" s="907">
        <v>237</v>
      </c>
      <c r="D11087" s="907" t="s">
        <v>279</v>
      </c>
      <c r="E11087" s="992" t="s">
        <v>6312</v>
      </c>
      <c r="F11087" s="905" t="s">
        <v>47</v>
      </c>
      <c r="G11087" s="1005"/>
      <c r="H11087" s="911">
        <v>0.25</v>
      </c>
      <c r="I11087" s="912">
        <f>VLOOKUP(E11087,[3]VLP!$B$7:$K$300,10,0)</f>
        <v>4545455</v>
      </c>
      <c r="J11087" s="912">
        <f t="shared" si="892"/>
        <v>1136363.75</v>
      </c>
      <c r="K11087" s="912" t="s">
        <v>274</v>
      </c>
      <c r="L11087" s="912"/>
      <c r="M11087" s="912"/>
      <c r="N11087" s="912"/>
      <c r="O11087" s="892">
        <f t="shared" si="888"/>
        <v>0</v>
      </c>
      <c r="P11087" s="903">
        <f t="shared" si="889"/>
        <v>1</v>
      </c>
      <c r="Q11087" s="893">
        <f t="shared" si="890"/>
        <v>7</v>
      </c>
      <c r="R11087" s="894">
        <f t="shared" si="891"/>
        <v>0</v>
      </c>
    </row>
    <row r="11088" spans="1:18" s="847" customFormat="1">
      <c r="A11088" s="905"/>
      <c r="B11088" s="952"/>
      <c r="C11088" s="907">
        <v>314</v>
      </c>
      <c r="D11088" s="907" t="s">
        <v>279</v>
      </c>
      <c r="E11088" s="992" t="s">
        <v>3148</v>
      </c>
      <c r="F11088" s="905" t="s">
        <v>310</v>
      </c>
      <c r="G11088" s="1005"/>
      <c r="H11088" s="911">
        <v>26.6</v>
      </c>
      <c r="I11088" s="912">
        <f>VLOOKUP(E11088,[3]VLP!$B$7:$K$300,10,0)</f>
        <v>10000</v>
      </c>
      <c r="J11088" s="912">
        <f t="shared" si="892"/>
        <v>266000</v>
      </c>
      <c r="K11088" s="912" t="s">
        <v>274</v>
      </c>
      <c r="L11088" s="912"/>
      <c r="M11088" s="912"/>
      <c r="N11088" s="912"/>
      <c r="O11088" s="892">
        <f t="shared" si="888"/>
        <v>0</v>
      </c>
      <c r="P11088" s="903">
        <f t="shared" si="889"/>
        <v>1</v>
      </c>
      <c r="Q11088" s="893">
        <f t="shared" si="890"/>
        <v>6</v>
      </c>
      <c r="R11088" s="894">
        <f t="shared" si="891"/>
        <v>0</v>
      </c>
    </row>
    <row r="11089" spans="1:18" s="904" customFormat="1">
      <c r="A11089" s="905"/>
      <c r="B11089" s="952"/>
      <c r="C11089" s="907">
        <v>699</v>
      </c>
      <c r="D11089" s="907" t="s">
        <v>279</v>
      </c>
      <c r="E11089" s="992" t="s">
        <v>4006</v>
      </c>
      <c r="F11089" s="905" t="s">
        <v>4007</v>
      </c>
      <c r="G11089" s="1005"/>
      <c r="H11089" s="911">
        <v>5</v>
      </c>
      <c r="I11089" s="912">
        <f>VLOOKUP(E11089,[3]VLP!$B$7:$K$300,10,0)</f>
        <v>5000</v>
      </c>
      <c r="J11089" s="912">
        <f t="shared" si="892"/>
        <v>25000</v>
      </c>
      <c r="K11089" s="912" t="s">
        <v>274</v>
      </c>
      <c r="L11089" s="912"/>
      <c r="M11089" s="912"/>
      <c r="N11089" s="912"/>
      <c r="O11089" s="892">
        <f t="shared" si="888"/>
        <v>0</v>
      </c>
      <c r="P11089" s="903">
        <f t="shared" si="889"/>
        <v>1</v>
      </c>
      <c r="Q11089" s="893">
        <f t="shared" si="890"/>
        <v>5</v>
      </c>
      <c r="R11089" s="894">
        <f t="shared" si="891"/>
        <v>0</v>
      </c>
    </row>
    <row r="11090" spans="1:18">
      <c r="A11090" s="895"/>
      <c r="B11090" s="896"/>
      <c r="C11090" s="897"/>
      <c r="D11090" s="897"/>
      <c r="E11090" s="1002" t="s">
        <v>276</v>
      </c>
      <c r="F11090" s="895"/>
      <c r="G11090" s="1004"/>
      <c r="H11090" s="901"/>
      <c r="I11090" s="902"/>
      <c r="J11090" s="902"/>
      <c r="K11090" s="912" t="s">
        <v>274</v>
      </c>
      <c r="L11090" s="902"/>
      <c r="M11090" s="902"/>
      <c r="N11090" s="902"/>
      <c r="O11090" s="892">
        <f t="shared" si="888"/>
        <v>0</v>
      </c>
      <c r="P11090" s="903">
        <f t="shared" si="889"/>
        <v>1</v>
      </c>
      <c r="Q11090" s="893">
        <f t="shared" si="890"/>
        <v>4</v>
      </c>
      <c r="R11090" s="894">
        <f t="shared" si="891"/>
        <v>0</v>
      </c>
    </row>
    <row r="11091" spans="1:18">
      <c r="A11091" s="905"/>
      <c r="B11091" s="952"/>
      <c r="C11091" s="907">
        <v>740</v>
      </c>
      <c r="D11091" s="907" t="s">
        <v>12</v>
      </c>
      <c r="E11091" s="992" t="s">
        <v>4008</v>
      </c>
      <c r="F11091" s="905" t="s">
        <v>2674</v>
      </c>
      <c r="G11091" s="1005"/>
      <c r="H11091" s="911">
        <v>463</v>
      </c>
      <c r="I11091" s="912"/>
      <c r="J11091" s="912"/>
      <c r="K11091" s="912">
        <f>VLOOKUP(E11091,[5]ĐMNC!$A$7:$F$67,4,0)</f>
        <v>221125</v>
      </c>
      <c r="L11091" s="912">
        <f>H11091*K11091</f>
        <v>102380875</v>
      </c>
      <c r="M11091" s="912"/>
      <c r="N11091" s="912"/>
      <c r="O11091" s="892">
        <f t="shared" si="888"/>
        <v>0</v>
      </c>
      <c r="P11091" s="903">
        <f t="shared" si="889"/>
        <v>1</v>
      </c>
      <c r="Q11091" s="893">
        <f t="shared" si="890"/>
        <v>3</v>
      </c>
      <c r="R11091" s="894">
        <f t="shared" si="891"/>
        <v>0</v>
      </c>
    </row>
    <row r="11092" spans="1:18">
      <c r="A11092" s="895"/>
      <c r="B11092" s="896"/>
      <c r="C11092" s="897"/>
      <c r="D11092" s="897"/>
      <c r="E11092" s="1002" t="s">
        <v>3914</v>
      </c>
      <c r="F11092" s="895"/>
      <c r="G11092" s="1004"/>
      <c r="H11092" s="901"/>
      <c r="I11092" s="902"/>
      <c r="J11092" s="902"/>
      <c r="K11092" s="912" t="s">
        <v>274</v>
      </c>
      <c r="L11092" s="902"/>
      <c r="M11092" s="902"/>
      <c r="N11092" s="902"/>
      <c r="O11092" s="892">
        <f t="shared" si="888"/>
        <v>0</v>
      </c>
      <c r="P11092" s="903">
        <f t="shared" si="889"/>
        <v>1</v>
      </c>
      <c r="Q11092" s="893">
        <f t="shared" si="890"/>
        <v>2</v>
      </c>
      <c r="R11092" s="894">
        <f t="shared" si="891"/>
        <v>0</v>
      </c>
    </row>
    <row r="11093" spans="1:18">
      <c r="A11093" s="905"/>
      <c r="B11093" s="952" t="s">
        <v>6332</v>
      </c>
      <c r="C11093" s="907">
        <v>901</v>
      </c>
      <c r="D11093" s="907" t="s">
        <v>93</v>
      </c>
      <c r="E11093" s="992" t="s">
        <v>6333</v>
      </c>
      <c r="F11093" s="905" t="s">
        <v>2673</v>
      </c>
      <c r="G11093" s="1005"/>
      <c r="H11093" s="911">
        <v>2.6</v>
      </c>
      <c r="I11093" s="912"/>
      <c r="J11093" s="912"/>
      <c r="K11093" s="912"/>
      <c r="L11093" s="912"/>
      <c r="M11093" s="912">
        <f>VLOOKUP(B11093,MTC!$B$9:$S$933,12,0)</f>
        <v>1967433</v>
      </c>
      <c r="N11093" s="912">
        <f>M11093*H11093</f>
        <v>5115325.8</v>
      </c>
      <c r="O11093" s="892">
        <f t="shared" si="888"/>
        <v>0</v>
      </c>
      <c r="P11093" s="903">
        <f t="shared" si="889"/>
        <v>1</v>
      </c>
      <c r="Q11093" s="893">
        <f t="shared" si="890"/>
        <v>1</v>
      </c>
      <c r="R11093" s="894">
        <f t="shared" si="891"/>
        <v>0</v>
      </c>
    </row>
    <row r="11094" spans="1:18">
      <c r="A11094" s="905">
        <v>232</v>
      </c>
      <c r="B11094" s="914" t="s">
        <v>6826</v>
      </c>
      <c r="C11094" s="915"/>
      <c r="D11094" s="915"/>
      <c r="E11094" s="1006" t="s">
        <v>6827</v>
      </c>
      <c r="F11094" s="917" t="s">
        <v>139</v>
      </c>
      <c r="G11094" s="1008"/>
      <c r="H11094" s="919"/>
      <c r="I11094" s="920"/>
      <c r="J11094" s="891">
        <f>SUM(J11095:J11107)</f>
        <v>1529852.7999999998</v>
      </c>
      <c r="K11094" s="891"/>
      <c r="L11094" s="891">
        <f>SUM(L11095:L11107)</f>
        <v>63241750</v>
      </c>
      <c r="M11094" s="891"/>
      <c r="N11094" s="891">
        <f>SUM(N11095:N11107)</f>
        <v>2754406.1999999997</v>
      </c>
      <c r="O11094" s="892">
        <f t="shared" si="888"/>
        <v>1</v>
      </c>
      <c r="P11094" s="903">
        <f t="shared" si="889"/>
        <v>0</v>
      </c>
      <c r="Q11094" s="893">
        <f t="shared" si="890"/>
        <v>0</v>
      </c>
      <c r="R11094" s="894">
        <f t="shared" si="891"/>
        <v>13</v>
      </c>
    </row>
    <row r="11095" spans="1:18" s="904" customFormat="1">
      <c r="A11095" s="895"/>
      <c r="B11095" s="896"/>
      <c r="C11095" s="897"/>
      <c r="D11095" s="897"/>
      <c r="E11095" s="1002" t="s">
        <v>108</v>
      </c>
      <c r="F11095" s="895"/>
      <c r="G11095" s="1004"/>
      <c r="H11095" s="901"/>
      <c r="I11095" s="902"/>
      <c r="J11095" s="902"/>
      <c r="K11095" s="912" t="s">
        <v>274</v>
      </c>
      <c r="L11095" s="902"/>
      <c r="M11095" s="902"/>
      <c r="N11095" s="902"/>
      <c r="O11095" s="892">
        <f t="shared" si="888"/>
        <v>0</v>
      </c>
      <c r="P11095" s="903">
        <f t="shared" si="889"/>
        <v>1</v>
      </c>
      <c r="Q11095" s="893">
        <f t="shared" si="890"/>
        <v>13</v>
      </c>
      <c r="R11095" s="894">
        <f t="shared" si="891"/>
        <v>0</v>
      </c>
    </row>
    <row r="11096" spans="1:18">
      <c r="A11096" s="905"/>
      <c r="B11096" s="952"/>
      <c r="C11096" s="907">
        <v>235</v>
      </c>
      <c r="D11096" s="907" t="s">
        <v>279</v>
      </c>
      <c r="E11096" s="992" t="s">
        <v>2682</v>
      </c>
      <c r="F11096" s="905" t="s">
        <v>45</v>
      </c>
      <c r="G11096" s="1005"/>
      <c r="H11096" s="911">
        <v>6.7</v>
      </c>
      <c r="I11096" s="912">
        <f>VLOOKUP(E11096,[3]VLP!$B$7:$K$300,10,0)</f>
        <v>5000</v>
      </c>
      <c r="J11096" s="912">
        <f t="shared" ref="J11096:J11103" si="893">I11096*H11096</f>
        <v>33500</v>
      </c>
      <c r="K11096" s="912" t="s">
        <v>274</v>
      </c>
      <c r="L11096" s="912"/>
      <c r="M11096" s="912"/>
      <c r="N11096" s="912"/>
      <c r="O11096" s="892">
        <f t="shared" si="888"/>
        <v>0</v>
      </c>
      <c r="P11096" s="903">
        <f t="shared" si="889"/>
        <v>1</v>
      </c>
      <c r="Q11096" s="893">
        <f t="shared" si="890"/>
        <v>12</v>
      </c>
      <c r="R11096" s="894">
        <f t="shared" si="891"/>
        <v>0</v>
      </c>
    </row>
    <row r="11097" spans="1:18" s="847" customFormat="1">
      <c r="A11097" s="905"/>
      <c r="B11097" s="952"/>
      <c r="C11097" s="907">
        <v>229</v>
      </c>
      <c r="D11097" s="907" t="s">
        <v>279</v>
      </c>
      <c r="E11097" s="992" t="s">
        <v>6318</v>
      </c>
      <c r="F11097" s="905" t="s">
        <v>45</v>
      </c>
      <c r="G11097" s="1005"/>
      <c r="H11097" s="911">
        <v>3.4</v>
      </c>
      <c r="I11097" s="912">
        <f>VLOOKUP(E11097,[3]VLP!$B$7:$K$300,10,0)</f>
        <v>14762</v>
      </c>
      <c r="J11097" s="912">
        <f t="shared" si="893"/>
        <v>50190.799999999996</v>
      </c>
      <c r="K11097" s="912" t="s">
        <v>274</v>
      </c>
      <c r="L11097" s="912"/>
      <c r="M11097" s="912"/>
      <c r="N11097" s="912"/>
      <c r="O11097" s="892">
        <f t="shared" si="888"/>
        <v>0</v>
      </c>
      <c r="P11097" s="903">
        <f t="shared" si="889"/>
        <v>1</v>
      </c>
      <c r="Q11097" s="893">
        <f t="shared" si="890"/>
        <v>11</v>
      </c>
      <c r="R11097" s="894">
        <f t="shared" si="891"/>
        <v>0</v>
      </c>
    </row>
    <row r="11098" spans="1:18" s="904" customFormat="1">
      <c r="A11098" s="905"/>
      <c r="B11098" s="952"/>
      <c r="C11098" s="907">
        <v>318</v>
      </c>
      <c r="D11098" s="907" t="s">
        <v>279</v>
      </c>
      <c r="E11098" s="992" t="s">
        <v>5657</v>
      </c>
      <c r="F11098" s="905" t="s">
        <v>45</v>
      </c>
      <c r="G11098" s="1005"/>
      <c r="H11098" s="911">
        <v>8.1999999999999993</v>
      </c>
      <c r="I11098" s="912">
        <f>VLOOKUP(E11098,[3]VLP!$B$7:$K$300,10,0)</f>
        <v>25155</v>
      </c>
      <c r="J11098" s="912">
        <f t="shared" si="893"/>
        <v>206270.99999999997</v>
      </c>
      <c r="K11098" s="912" t="s">
        <v>274</v>
      </c>
      <c r="L11098" s="912"/>
      <c r="M11098" s="912"/>
      <c r="N11098" s="912"/>
      <c r="O11098" s="892">
        <f t="shared" si="888"/>
        <v>0</v>
      </c>
      <c r="P11098" s="903">
        <f t="shared" si="889"/>
        <v>1</v>
      </c>
      <c r="Q11098" s="893">
        <f t="shared" si="890"/>
        <v>10</v>
      </c>
      <c r="R11098" s="894">
        <f t="shared" si="891"/>
        <v>0</v>
      </c>
    </row>
    <row r="11099" spans="1:18">
      <c r="A11099" s="905"/>
      <c r="B11099" s="952"/>
      <c r="C11099" s="907">
        <v>212</v>
      </c>
      <c r="D11099" s="907" t="s">
        <v>279</v>
      </c>
      <c r="E11099" s="992" t="s">
        <v>2681</v>
      </c>
      <c r="F11099" s="905" t="s">
        <v>45</v>
      </c>
      <c r="G11099" s="1005"/>
      <c r="H11099" s="911">
        <v>1.4</v>
      </c>
      <c r="I11099" s="912">
        <f>VLOOKUP(E11099,[3]VLP!$B$7:$K$300,10,0)</f>
        <v>23000</v>
      </c>
      <c r="J11099" s="912">
        <f t="shared" si="893"/>
        <v>32199.999999999996</v>
      </c>
      <c r="K11099" s="912" t="s">
        <v>274</v>
      </c>
      <c r="L11099" s="912"/>
      <c r="M11099" s="912"/>
      <c r="N11099" s="912"/>
      <c r="O11099" s="892">
        <f t="shared" si="888"/>
        <v>0</v>
      </c>
      <c r="P11099" s="903">
        <f t="shared" si="889"/>
        <v>1</v>
      </c>
      <c r="Q11099" s="893">
        <f t="shared" si="890"/>
        <v>9</v>
      </c>
      <c r="R11099" s="894">
        <f t="shared" si="891"/>
        <v>0</v>
      </c>
    </row>
    <row r="11100" spans="1:18">
      <c r="A11100" s="905"/>
      <c r="B11100" s="952"/>
      <c r="C11100" s="907">
        <v>315</v>
      </c>
      <c r="D11100" s="907" t="s">
        <v>279</v>
      </c>
      <c r="E11100" s="992" t="s">
        <v>6316</v>
      </c>
      <c r="F11100" s="905" t="s">
        <v>49</v>
      </c>
      <c r="G11100" s="1005"/>
      <c r="H11100" s="911">
        <v>9</v>
      </c>
      <c r="I11100" s="912">
        <f>VLOOKUP(E11100,[3]VLP!$B$7:$K$300,10,0)</f>
        <v>8000</v>
      </c>
      <c r="J11100" s="912">
        <f t="shared" si="893"/>
        <v>72000</v>
      </c>
      <c r="K11100" s="912" t="s">
        <v>274</v>
      </c>
      <c r="L11100" s="912"/>
      <c r="M11100" s="912"/>
      <c r="N11100" s="912"/>
      <c r="O11100" s="892">
        <f t="shared" si="888"/>
        <v>0</v>
      </c>
      <c r="P11100" s="903">
        <f t="shared" si="889"/>
        <v>1</v>
      </c>
      <c r="Q11100" s="893">
        <f t="shared" si="890"/>
        <v>8</v>
      </c>
      <c r="R11100" s="894">
        <f t="shared" si="891"/>
        <v>0</v>
      </c>
    </row>
    <row r="11101" spans="1:18">
      <c r="A11101" s="905"/>
      <c r="B11101" s="952"/>
      <c r="C11101" s="907">
        <v>237</v>
      </c>
      <c r="D11101" s="907" t="s">
        <v>279</v>
      </c>
      <c r="E11101" s="992" t="s">
        <v>6312</v>
      </c>
      <c r="F11101" s="905" t="s">
        <v>47</v>
      </c>
      <c r="G11101" s="1005"/>
      <c r="H11101" s="911">
        <v>0.2</v>
      </c>
      <c r="I11101" s="912">
        <f>VLOOKUP(E11101,[3]VLP!$B$7:$K$300,10,0)</f>
        <v>4545455</v>
      </c>
      <c r="J11101" s="912">
        <f t="shared" si="893"/>
        <v>909091</v>
      </c>
      <c r="K11101" s="912" t="s">
        <v>274</v>
      </c>
      <c r="L11101" s="912"/>
      <c r="M11101" s="912"/>
      <c r="N11101" s="912"/>
      <c r="O11101" s="892">
        <f t="shared" si="888"/>
        <v>0</v>
      </c>
      <c r="P11101" s="903">
        <f t="shared" si="889"/>
        <v>1</v>
      </c>
      <c r="Q11101" s="893">
        <f t="shared" si="890"/>
        <v>7</v>
      </c>
      <c r="R11101" s="894">
        <f t="shared" si="891"/>
        <v>0</v>
      </c>
    </row>
    <row r="11102" spans="1:18">
      <c r="A11102" s="905"/>
      <c r="B11102" s="952"/>
      <c r="C11102" s="907">
        <v>314</v>
      </c>
      <c r="D11102" s="907" t="s">
        <v>279</v>
      </c>
      <c r="E11102" s="992" t="s">
        <v>3148</v>
      </c>
      <c r="F11102" s="905" t="s">
        <v>310</v>
      </c>
      <c r="G11102" s="1005"/>
      <c r="H11102" s="911">
        <v>20.16</v>
      </c>
      <c r="I11102" s="912">
        <f>VLOOKUP(E11102,[3]VLP!$B$7:$K$300,10,0)</f>
        <v>10000</v>
      </c>
      <c r="J11102" s="912">
        <f t="shared" si="893"/>
        <v>201600</v>
      </c>
      <c r="K11102" s="912" t="s">
        <v>274</v>
      </c>
      <c r="L11102" s="912"/>
      <c r="M11102" s="912"/>
      <c r="N11102" s="912"/>
      <c r="O11102" s="892">
        <f t="shared" si="888"/>
        <v>0</v>
      </c>
      <c r="P11102" s="903">
        <f t="shared" si="889"/>
        <v>1</v>
      </c>
      <c r="Q11102" s="893">
        <f t="shared" si="890"/>
        <v>6</v>
      </c>
      <c r="R11102" s="894">
        <f t="shared" si="891"/>
        <v>0</v>
      </c>
    </row>
    <row r="11103" spans="1:18">
      <c r="A11103" s="905"/>
      <c r="B11103" s="952"/>
      <c r="C11103" s="907">
        <v>699</v>
      </c>
      <c r="D11103" s="907" t="s">
        <v>279</v>
      </c>
      <c r="E11103" s="992" t="s">
        <v>4006</v>
      </c>
      <c r="F11103" s="905" t="s">
        <v>4007</v>
      </c>
      <c r="G11103" s="1005"/>
      <c r="H11103" s="911">
        <v>5</v>
      </c>
      <c r="I11103" s="912">
        <f>VLOOKUP(E11103,[3]VLP!$B$7:$K$300,10,0)</f>
        <v>5000</v>
      </c>
      <c r="J11103" s="912">
        <f t="shared" si="893"/>
        <v>25000</v>
      </c>
      <c r="K11103" s="912" t="s">
        <v>274</v>
      </c>
      <c r="L11103" s="912"/>
      <c r="M11103" s="912"/>
      <c r="N11103" s="912"/>
      <c r="O11103" s="892">
        <f t="shared" ref="O11103:O11166" si="894">IF(AND(B11103&lt;&gt;"",D11103=""),1,0)</f>
        <v>0</v>
      </c>
      <c r="P11103" s="903">
        <f t="shared" si="889"/>
        <v>1</v>
      </c>
      <c r="Q11103" s="893">
        <f t="shared" si="890"/>
        <v>5</v>
      </c>
      <c r="R11103" s="894">
        <f t="shared" si="891"/>
        <v>0</v>
      </c>
    </row>
    <row r="11104" spans="1:18" s="904" customFormat="1">
      <c r="A11104" s="895"/>
      <c r="B11104" s="896"/>
      <c r="C11104" s="897"/>
      <c r="D11104" s="897"/>
      <c r="E11104" s="1002" t="s">
        <v>276</v>
      </c>
      <c r="F11104" s="895"/>
      <c r="G11104" s="1004"/>
      <c r="H11104" s="901"/>
      <c r="I11104" s="902"/>
      <c r="J11104" s="902"/>
      <c r="K11104" s="912" t="s">
        <v>274</v>
      </c>
      <c r="L11104" s="902"/>
      <c r="M11104" s="902"/>
      <c r="N11104" s="902"/>
      <c r="O11104" s="892">
        <f t="shared" si="894"/>
        <v>0</v>
      </c>
      <c r="P11104" s="903">
        <f t="shared" si="889"/>
        <v>1</v>
      </c>
      <c r="Q11104" s="893">
        <f t="shared" si="890"/>
        <v>4</v>
      </c>
      <c r="R11104" s="894">
        <f t="shared" si="891"/>
        <v>0</v>
      </c>
    </row>
    <row r="11105" spans="1:18">
      <c r="A11105" s="905"/>
      <c r="B11105" s="952"/>
      <c r="C11105" s="907">
        <v>740</v>
      </c>
      <c r="D11105" s="907" t="s">
        <v>12</v>
      </c>
      <c r="E11105" s="992" t="s">
        <v>4008</v>
      </c>
      <c r="F11105" s="905" t="s">
        <v>2674</v>
      </c>
      <c r="G11105" s="1005"/>
      <c r="H11105" s="911">
        <v>286</v>
      </c>
      <c r="I11105" s="912"/>
      <c r="J11105" s="912"/>
      <c r="K11105" s="912">
        <f>VLOOKUP(E11105,[5]ĐMNC!$A$7:$F$67,4,0)</f>
        <v>221125</v>
      </c>
      <c r="L11105" s="912">
        <f>H11105*K11105</f>
        <v>63241750</v>
      </c>
      <c r="M11105" s="912"/>
      <c r="N11105" s="912"/>
      <c r="O11105" s="892">
        <f t="shared" si="894"/>
        <v>0</v>
      </c>
      <c r="P11105" s="903">
        <f t="shared" si="889"/>
        <v>1</v>
      </c>
      <c r="Q11105" s="893">
        <f t="shared" si="890"/>
        <v>3</v>
      </c>
      <c r="R11105" s="894">
        <f t="shared" si="891"/>
        <v>0</v>
      </c>
    </row>
    <row r="11106" spans="1:18" s="847" customFormat="1">
      <c r="A11106" s="895"/>
      <c r="B11106" s="896"/>
      <c r="C11106" s="897"/>
      <c r="D11106" s="897"/>
      <c r="E11106" s="1002" t="s">
        <v>3914</v>
      </c>
      <c r="F11106" s="895"/>
      <c r="G11106" s="1004"/>
      <c r="H11106" s="901"/>
      <c r="I11106" s="902"/>
      <c r="J11106" s="902"/>
      <c r="K11106" s="912" t="s">
        <v>274</v>
      </c>
      <c r="L11106" s="902"/>
      <c r="M11106" s="902"/>
      <c r="N11106" s="902"/>
      <c r="O11106" s="892">
        <f t="shared" si="894"/>
        <v>0</v>
      </c>
      <c r="P11106" s="903">
        <f t="shared" si="889"/>
        <v>1</v>
      </c>
      <c r="Q11106" s="893">
        <f t="shared" si="890"/>
        <v>2</v>
      </c>
      <c r="R11106" s="894">
        <f t="shared" si="891"/>
        <v>0</v>
      </c>
    </row>
    <row r="11107" spans="1:18" s="904" customFormat="1">
      <c r="A11107" s="905"/>
      <c r="B11107" s="952" t="s">
        <v>6332</v>
      </c>
      <c r="C11107" s="907">
        <v>901</v>
      </c>
      <c r="D11107" s="907" t="s">
        <v>93</v>
      </c>
      <c r="E11107" s="992" t="s">
        <v>6333</v>
      </c>
      <c r="F11107" s="905" t="s">
        <v>2673</v>
      </c>
      <c r="G11107" s="1005"/>
      <c r="H11107" s="911">
        <v>1.4</v>
      </c>
      <c r="I11107" s="912"/>
      <c r="J11107" s="912"/>
      <c r="K11107" s="912"/>
      <c r="L11107" s="912"/>
      <c r="M11107" s="912">
        <f>VLOOKUP(B11107,MTC!$B$9:$S$933,12,0)</f>
        <v>1967433</v>
      </c>
      <c r="N11107" s="912">
        <f>M11107*H11107</f>
        <v>2754406.1999999997</v>
      </c>
      <c r="O11107" s="892">
        <f t="shared" si="894"/>
        <v>0</v>
      </c>
      <c r="P11107" s="903">
        <f t="shared" si="889"/>
        <v>1</v>
      </c>
      <c r="Q11107" s="893">
        <f t="shared" si="890"/>
        <v>1</v>
      </c>
      <c r="R11107" s="894">
        <f t="shared" si="891"/>
        <v>0</v>
      </c>
    </row>
    <row r="11108" spans="1:18">
      <c r="A11108" s="905">
        <v>233</v>
      </c>
      <c r="B11108" s="914" t="s">
        <v>6828</v>
      </c>
      <c r="C11108" s="915"/>
      <c r="D11108" s="915"/>
      <c r="E11108" s="1006" t="s">
        <v>6829</v>
      </c>
      <c r="F11108" s="917" t="s">
        <v>139</v>
      </c>
      <c r="G11108" s="1008"/>
      <c r="H11108" s="919"/>
      <c r="I11108" s="920"/>
      <c r="J11108" s="891">
        <f>SUM(J11109:J11121)</f>
        <v>1465202.4</v>
      </c>
      <c r="K11108" s="891"/>
      <c r="L11108" s="891">
        <f>SUM(L11109:L11121)</f>
        <v>23881500</v>
      </c>
      <c r="M11108" s="891"/>
      <c r="N11108" s="891">
        <f>SUM(N11109:N11121)</f>
        <v>708275.88</v>
      </c>
      <c r="O11108" s="892">
        <f t="shared" si="894"/>
        <v>1</v>
      </c>
      <c r="P11108" s="903">
        <f t="shared" si="889"/>
        <v>0</v>
      </c>
      <c r="Q11108" s="893">
        <f t="shared" si="890"/>
        <v>0</v>
      </c>
      <c r="R11108" s="894">
        <f t="shared" si="891"/>
        <v>13</v>
      </c>
    </row>
    <row r="11109" spans="1:18">
      <c r="A11109" s="895"/>
      <c r="B11109" s="896"/>
      <c r="C11109" s="897"/>
      <c r="D11109" s="897"/>
      <c r="E11109" s="1002" t="s">
        <v>108</v>
      </c>
      <c r="F11109" s="895"/>
      <c r="G11109" s="1004"/>
      <c r="H11109" s="901"/>
      <c r="I11109" s="902"/>
      <c r="J11109" s="902"/>
      <c r="K11109" s="912" t="s">
        <v>274</v>
      </c>
      <c r="L11109" s="902"/>
      <c r="M11109" s="902"/>
      <c r="N11109" s="902"/>
      <c r="O11109" s="892">
        <f t="shared" si="894"/>
        <v>0</v>
      </c>
      <c r="P11109" s="903">
        <f t="shared" si="889"/>
        <v>1</v>
      </c>
      <c r="Q11109" s="893">
        <f t="shared" si="890"/>
        <v>13</v>
      </c>
      <c r="R11109" s="894">
        <f t="shared" si="891"/>
        <v>0</v>
      </c>
    </row>
    <row r="11110" spans="1:18">
      <c r="A11110" s="905"/>
      <c r="B11110" s="952"/>
      <c r="C11110" s="907">
        <v>235</v>
      </c>
      <c r="D11110" s="907" t="s">
        <v>279</v>
      </c>
      <c r="E11110" s="992" t="s">
        <v>2682</v>
      </c>
      <c r="F11110" s="905" t="s">
        <v>45</v>
      </c>
      <c r="G11110" s="1005"/>
      <c r="H11110" s="911">
        <v>5.4</v>
      </c>
      <c r="I11110" s="912">
        <f>VLOOKUP(E11110,[3]VLP!$B$7:$K$300,10,0)</f>
        <v>5000</v>
      </c>
      <c r="J11110" s="912">
        <f t="shared" ref="J11110:J11117" si="895">I11110*H11110</f>
        <v>27000</v>
      </c>
      <c r="K11110" s="912" t="s">
        <v>274</v>
      </c>
      <c r="L11110" s="912"/>
      <c r="M11110" s="912"/>
      <c r="N11110" s="912"/>
      <c r="O11110" s="892">
        <f t="shared" si="894"/>
        <v>0</v>
      </c>
      <c r="P11110" s="903">
        <f t="shared" si="889"/>
        <v>1</v>
      </c>
      <c r="Q11110" s="893">
        <f t="shared" si="890"/>
        <v>12</v>
      </c>
      <c r="R11110" s="894">
        <f t="shared" si="891"/>
        <v>0</v>
      </c>
    </row>
    <row r="11111" spans="1:18">
      <c r="A11111" s="905"/>
      <c r="B11111" s="952"/>
      <c r="C11111" s="907">
        <v>229</v>
      </c>
      <c r="D11111" s="907" t="s">
        <v>279</v>
      </c>
      <c r="E11111" s="992" t="s">
        <v>6318</v>
      </c>
      <c r="F11111" s="905" t="s">
        <v>45</v>
      </c>
      <c r="G11111" s="1005"/>
      <c r="H11111" s="911">
        <v>2.7</v>
      </c>
      <c r="I11111" s="912">
        <f>VLOOKUP(E11111,[3]VLP!$B$7:$K$300,10,0)</f>
        <v>14762</v>
      </c>
      <c r="J11111" s="912">
        <f t="shared" si="895"/>
        <v>39857.4</v>
      </c>
      <c r="K11111" s="912" t="s">
        <v>274</v>
      </c>
      <c r="L11111" s="912"/>
      <c r="M11111" s="912"/>
      <c r="N11111" s="912"/>
      <c r="O11111" s="892">
        <f t="shared" si="894"/>
        <v>0</v>
      </c>
      <c r="P11111" s="903">
        <f t="shared" si="889"/>
        <v>1</v>
      </c>
      <c r="Q11111" s="893">
        <f t="shared" si="890"/>
        <v>11</v>
      </c>
      <c r="R11111" s="894">
        <f t="shared" si="891"/>
        <v>0</v>
      </c>
    </row>
    <row r="11112" spans="1:18">
      <c r="A11112" s="905"/>
      <c r="B11112" s="952"/>
      <c r="C11112" s="907">
        <v>318</v>
      </c>
      <c r="D11112" s="907" t="s">
        <v>279</v>
      </c>
      <c r="E11112" s="992" t="s">
        <v>5657</v>
      </c>
      <c r="F11112" s="905" t="s">
        <v>45</v>
      </c>
      <c r="G11112" s="1005"/>
      <c r="H11112" s="911">
        <v>6.8</v>
      </c>
      <c r="I11112" s="912">
        <f>VLOOKUP(E11112,[3]VLP!$B$7:$K$300,10,0)</f>
        <v>25155</v>
      </c>
      <c r="J11112" s="912">
        <f t="shared" si="895"/>
        <v>171054</v>
      </c>
      <c r="K11112" s="912" t="s">
        <v>274</v>
      </c>
      <c r="L11112" s="912"/>
      <c r="M11112" s="912"/>
      <c r="N11112" s="912"/>
      <c r="O11112" s="892">
        <f t="shared" si="894"/>
        <v>0</v>
      </c>
      <c r="P11112" s="903">
        <f t="shared" si="889"/>
        <v>1</v>
      </c>
      <c r="Q11112" s="893">
        <f t="shared" si="890"/>
        <v>10</v>
      </c>
      <c r="R11112" s="894">
        <f t="shared" si="891"/>
        <v>0</v>
      </c>
    </row>
    <row r="11113" spans="1:18" s="904" customFormat="1">
      <c r="A11113" s="905"/>
      <c r="B11113" s="952"/>
      <c r="C11113" s="907">
        <v>212</v>
      </c>
      <c r="D11113" s="907" t="s">
        <v>279</v>
      </c>
      <c r="E11113" s="992" t="s">
        <v>2681</v>
      </c>
      <c r="F11113" s="905" t="s">
        <v>45</v>
      </c>
      <c r="G11113" s="1005"/>
      <c r="H11113" s="911">
        <v>1.2</v>
      </c>
      <c r="I11113" s="912">
        <f>VLOOKUP(E11113,[3]VLP!$B$7:$K$300,10,0)</f>
        <v>23000</v>
      </c>
      <c r="J11113" s="912">
        <f t="shared" si="895"/>
        <v>27600</v>
      </c>
      <c r="K11113" s="912" t="s">
        <v>274</v>
      </c>
      <c r="L11113" s="912"/>
      <c r="M11113" s="912"/>
      <c r="N11113" s="912"/>
      <c r="O11113" s="892">
        <f t="shared" si="894"/>
        <v>0</v>
      </c>
      <c r="P11113" s="903">
        <f t="shared" si="889"/>
        <v>1</v>
      </c>
      <c r="Q11113" s="893">
        <f t="shared" si="890"/>
        <v>9</v>
      </c>
      <c r="R11113" s="894">
        <f t="shared" si="891"/>
        <v>0</v>
      </c>
    </row>
    <row r="11114" spans="1:18">
      <c r="A11114" s="905"/>
      <c r="B11114" s="952"/>
      <c r="C11114" s="907">
        <v>315</v>
      </c>
      <c r="D11114" s="907" t="s">
        <v>279</v>
      </c>
      <c r="E11114" s="992" t="s">
        <v>6316</v>
      </c>
      <c r="F11114" s="905" t="s">
        <v>49</v>
      </c>
      <c r="G11114" s="1005"/>
      <c r="H11114" s="911">
        <v>8</v>
      </c>
      <c r="I11114" s="912">
        <f>VLOOKUP(E11114,[3]VLP!$B$7:$K$300,10,0)</f>
        <v>8000</v>
      </c>
      <c r="J11114" s="912">
        <f t="shared" si="895"/>
        <v>64000</v>
      </c>
      <c r="K11114" s="912" t="s">
        <v>274</v>
      </c>
      <c r="L11114" s="912"/>
      <c r="M11114" s="912"/>
      <c r="N11114" s="912"/>
      <c r="O11114" s="892">
        <f t="shared" si="894"/>
        <v>0</v>
      </c>
      <c r="P11114" s="903">
        <f t="shared" si="889"/>
        <v>1</v>
      </c>
      <c r="Q11114" s="893">
        <f t="shared" si="890"/>
        <v>8</v>
      </c>
      <c r="R11114" s="894">
        <f t="shared" si="891"/>
        <v>0</v>
      </c>
    </row>
    <row r="11115" spans="1:18" s="847" customFormat="1">
      <c r="A11115" s="905"/>
      <c r="B11115" s="952"/>
      <c r="C11115" s="907">
        <v>237</v>
      </c>
      <c r="D11115" s="907" t="s">
        <v>279</v>
      </c>
      <c r="E11115" s="992" t="s">
        <v>6312</v>
      </c>
      <c r="F11115" s="905" t="s">
        <v>47</v>
      </c>
      <c r="G11115" s="1005"/>
      <c r="H11115" s="911">
        <v>0.2</v>
      </c>
      <c r="I11115" s="912">
        <f>VLOOKUP(E11115,[3]VLP!$B$7:$K$300,10,0)</f>
        <v>4545455</v>
      </c>
      <c r="J11115" s="912">
        <f t="shared" si="895"/>
        <v>909091</v>
      </c>
      <c r="K11115" s="912" t="s">
        <v>274</v>
      </c>
      <c r="L11115" s="912"/>
      <c r="M11115" s="912"/>
      <c r="N11115" s="912"/>
      <c r="O11115" s="892">
        <f t="shared" si="894"/>
        <v>0</v>
      </c>
      <c r="P11115" s="903">
        <f t="shared" si="889"/>
        <v>1</v>
      </c>
      <c r="Q11115" s="893">
        <f t="shared" si="890"/>
        <v>7</v>
      </c>
      <c r="R11115" s="894">
        <f t="shared" si="891"/>
        <v>0</v>
      </c>
    </row>
    <row r="11116" spans="1:18" s="904" customFormat="1">
      <c r="A11116" s="905"/>
      <c r="B11116" s="952"/>
      <c r="C11116" s="907">
        <v>314</v>
      </c>
      <c r="D11116" s="907" t="s">
        <v>279</v>
      </c>
      <c r="E11116" s="992" t="s">
        <v>3148</v>
      </c>
      <c r="F11116" s="905" t="s">
        <v>310</v>
      </c>
      <c r="G11116" s="1005"/>
      <c r="H11116" s="911">
        <v>20.16</v>
      </c>
      <c r="I11116" s="912">
        <f>VLOOKUP(E11116,[3]VLP!$B$7:$K$300,10,0)</f>
        <v>10000</v>
      </c>
      <c r="J11116" s="912">
        <f t="shared" si="895"/>
        <v>201600</v>
      </c>
      <c r="K11116" s="912" t="s">
        <v>274</v>
      </c>
      <c r="L11116" s="912"/>
      <c r="M11116" s="912"/>
      <c r="N11116" s="912"/>
      <c r="O11116" s="892">
        <f t="shared" si="894"/>
        <v>0</v>
      </c>
      <c r="P11116" s="903">
        <f t="shared" si="889"/>
        <v>1</v>
      </c>
      <c r="Q11116" s="893">
        <f t="shared" si="890"/>
        <v>6</v>
      </c>
      <c r="R11116" s="894">
        <f t="shared" si="891"/>
        <v>0</v>
      </c>
    </row>
    <row r="11117" spans="1:18">
      <c r="A11117" s="905"/>
      <c r="B11117" s="952"/>
      <c r="C11117" s="907">
        <v>699</v>
      </c>
      <c r="D11117" s="907" t="s">
        <v>279</v>
      </c>
      <c r="E11117" s="992" t="s">
        <v>4006</v>
      </c>
      <c r="F11117" s="905" t="s">
        <v>4007</v>
      </c>
      <c r="G11117" s="1005"/>
      <c r="H11117" s="911">
        <v>5</v>
      </c>
      <c r="I11117" s="912">
        <f>VLOOKUP(E11117,[3]VLP!$B$7:$K$300,10,0)</f>
        <v>5000</v>
      </c>
      <c r="J11117" s="912">
        <f t="shared" si="895"/>
        <v>25000</v>
      </c>
      <c r="K11117" s="912" t="s">
        <v>274</v>
      </c>
      <c r="L11117" s="912"/>
      <c r="M11117" s="912"/>
      <c r="N11117" s="912"/>
      <c r="O11117" s="892">
        <f t="shared" si="894"/>
        <v>0</v>
      </c>
      <c r="P11117" s="903">
        <f t="shared" si="889"/>
        <v>1</v>
      </c>
      <c r="Q11117" s="893">
        <f t="shared" si="890"/>
        <v>5</v>
      </c>
      <c r="R11117" s="894">
        <f t="shared" si="891"/>
        <v>0</v>
      </c>
    </row>
    <row r="11118" spans="1:18">
      <c r="A11118" s="895"/>
      <c r="B11118" s="896"/>
      <c r="C11118" s="897"/>
      <c r="D11118" s="897"/>
      <c r="E11118" s="1002" t="s">
        <v>276</v>
      </c>
      <c r="F11118" s="895"/>
      <c r="G11118" s="1004"/>
      <c r="H11118" s="901"/>
      <c r="I11118" s="902"/>
      <c r="J11118" s="902"/>
      <c r="K11118" s="912" t="s">
        <v>274</v>
      </c>
      <c r="L11118" s="902"/>
      <c r="M11118" s="902"/>
      <c r="N11118" s="902"/>
      <c r="O11118" s="892">
        <f t="shared" si="894"/>
        <v>0</v>
      </c>
      <c r="P11118" s="903">
        <f t="shared" si="889"/>
        <v>1</v>
      </c>
      <c r="Q11118" s="893">
        <f t="shared" si="890"/>
        <v>4</v>
      </c>
      <c r="R11118" s="894">
        <f t="shared" si="891"/>
        <v>0</v>
      </c>
    </row>
    <row r="11119" spans="1:18">
      <c r="A11119" s="905"/>
      <c r="B11119" s="952"/>
      <c r="C11119" s="907">
        <v>740</v>
      </c>
      <c r="D11119" s="907" t="s">
        <v>12</v>
      </c>
      <c r="E11119" s="992" t="s">
        <v>4008</v>
      </c>
      <c r="F11119" s="905" t="s">
        <v>2674</v>
      </c>
      <c r="G11119" s="1005"/>
      <c r="H11119" s="911">
        <v>108</v>
      </c>
      <c r="I11119" s="912"/>
      <c r="J11119" s="912"/>
      <c r="K11119" s="912">
        <f>VLOOKUP(E11119,[5]ĐMNC!$A$7:$F$67,4,0)</f>
        <v>221125</v>
      </c>
      <c r="L11119" s="912">
        <f>H11119*K11119</f>
        <v>23881500</v>
      </c>
      <c r="M11119" s="912"/>
      <c r="N11119" s="912"/>
      <c r="O11119" s="892">
        <f t="shared" si="894"/>
        <v>0</v>
      </c>
      <c r="P11119" s="903">
        <f t="shared" si="889"/>
        <v>1</v>
      </c>
      <c r="Q11119" s="893">
        <f t="shared" si="890"/>
        <v>3</v>
      </c>
      <c r="R11119" s="894">
        <f t="shared" si="891"/>
        <v>0</v>
      </c>
    </row>
    <row r="11120" spans="1:18">
      <c r="A11120" s="895"/>
      <c r="B11120" s="896"/>
      <c r="C11120" s="897"/>
      <c r="D11120" s="897"/>
      <c r="E11120" s="1002" t="s">
        <v>3914</v>
      </c>
      <c r="F11120" s="895"/>
      <c r="G11120" s="1004"/>
      <c r="H11120" s="901"/>
      <c r="I11120" s="902"/>
      <c r="J11120" s="902"/>
      <c r="K11120" s="912" t="s">
        <v>274</v>
      </c>
      <c r="L11120" s="902"/>
      <c r="M11120" s="902"/>
      <c r="N11120" s="902"/>
      <c r="O11120" s="892">
        <f t="shared" si="894"/>
        <v>0</v>
      </c>
      <c r="P11120" s="903">
        <f t="shared" si="889"/>
        <v>1</v>
      </c>
      <c r="Q11120" s="893">
        <f t="shared" si="890"/>
        <v>2</v>
      </c>
      <c r="R11120" s="894">
        <f t="shared" si="891"/>
        <v>0</v>
      </c>
    </row>
    <row r="11121" spans="1:18">
      <c r="A11121" s="905"/>
      <c r="B11121" s="952" t="s">
        <v>6332</v>
      </c>
      <c r="C11121" s="907">
        <v>901</v>
      </c>
      <c r="D11121" s="907" t="s">
        <v>93</v>
      </c>
      <c r="E11121" s="992" t="s">
        <v>6333</v>
      </c>
      <c r="F11121" s="905" t="s">
        <v>2673</v>
      </c>
      <c r="G11121" s="1005"/>
      <c r="H11121" s="911">
        <v>0.36</v>
      </c>
      <c r="I11121" s="912"/>
      <c r="J11121" s="912"/>
      <c r="K11121" s="912"/>
      <c r="L11121" s="912"/>
      <c r="M11121" s="912">
        <f>VLOOKUP(B11121,MTC!$B$9:$S$933,12,0)</f>
        <v>1967433</v>
      </c>
      <c r="N11121" s="912">
        <f>M11121*H11121</f>
        <v>708275.88</v>
      </c>
      <c r="O11121" s="892">
        <f t="shared" si="894"/>
        <v>0</v>
      </c>
      <c r="P11121" s="903">
        <f t="shared" si="889"/>
        <v>1</v>
      </c>
      <c r="Q11121" s="893">
        <f t="shared" si="890"/>
        <v>1</v>
      </c>
      <c r="R11121" s="894">
        <f t="shared" si="891"/>
        <v>0</v>
      </c>
    </row>
    <row r="11122" spans="1:18">
      <c r="A11122" s="905">
        <v>234</v>
      </c>
      <c r="B11122" s="914" t="s">
        <v>6830</v>
      </c>
      <c r="C11122" s="915"/>
      <c r="D11122" s="915"/>
      <c r="E11122" s="1006" t="s">
        <v>6831</v>
      </c>
      <c r="F11122" s="917" t="s">
        <v>139</v>
      </c>
      <c r="G11122" s="1008"/>
      <c r="H11122" s="919"/>
      <c r="I11122" s="920"/>
      <c r="J11122" s="891">
        <f>SUM(J11123:J11135)</f>
        <v>1321142.1600000001</v>
      </c>
      <c r="K11122" s="891"/>
      <c r="L11122" s="891">
        <f>SUM(L11123:L11135)</f>
        <v>17911125</v>
      </c>
      <c r="M11122" s="891"/>
      <c r="N11122" s="891">
        <f>SUM(N11123:N11135)</f>
        <v>295114.95</v>
      </c>
      <c r="O11122" s="892">
        <f t="shared" si="894"/>
        <v>1</v>
      </c>
      <c r="P11122" s="903">
        <f t="shared" si="889"/>
        <v>0</v>
      </c>
      <c r="Q11122" s="893">
        <f t="shared" si="890"/>
        <v>0</v>
      </c>
      <c r="R11122" s="894">
        <f t="shared" si="891"/>
        <v>13</v>
      </c>
    </row>
    <row r="11123" spans="1:18">
      <c r="A11123" s="895"/>
      <c r="B11123" s="896"/>
      <c r="C11123" s="897"/>
      <c r="D11123" s="897"/>
      <c r="E11123" s="1002" t="s">
        <v>108</v>
      </c>
      <c r="F11123" s="895"/>
      <c r="G11123" s="1004"/>
      <c r="H11123" s="901"/>
      <c r="I11123" s="902"/>
      <c r="J11123" s="902"/>
      <c r="K11123" s="912" t="s">
        <v>274</v>
      </c>
      <c r="L11123" s="902"/>
      <c r="M11123" s="902"/>
      <c r="N11123" s="902"/>
      <c r="O11123" s="892">
        <f t="shared" si="894"/>
        <v>0</v>
      </c>
      <c r="P11123" s="903">
        <f t="shared" ref="P11123:P11186" si="896">IF(O11123=0,1,0)</f>
        <v>1</v>
      </c>
      <c r="Q11123" s="893">
        <f t="shared" ref="Q11123:Q11186" si="897">IF(P11123=0,0,P11123+Q11124)</f>
        <v>13</v>
      </c>
      <c r="R11123" s="894">
        <f t="shared" ref="R11123:R11186" si="898">IF(Q11123=0,Q11124,0)</f>
        <v>0</v>
      </c>
    </row>
    <row r="11124" spans="1:18" s="904" customFormat="1">
      <c r="A11124" s="905"/>
      <c r="B11124" s="952"/>
      <c r="C11124" s="907">
        <v>235</v>
      </c>
      <c r="D11124" s="907" t="s">
        <v>279</v>
      </c>
      <c r="E11124" s="992" t="s">
        <v>2682</v>
      </c>
      <c r="F11124" s="905" t="s">
        <v>45</v>
      </c>
      <c r="G11124" s="1005"/>
      <c r="H11124" s="911">
        <v>4.8600000000000003</v>
      </c>
      <c r="I11124" s="912">
        <f>VLOOKUP(E11124,[3]VLP!$B$7:$K$300,10,0)</f>
        <v>5000</v>
      </c>
      <c r="J11124" s="912">
        <f t="shared" ref="J11124:J11131" si="899">I11124*H11124</f>
        <v>24300</v>
      </c>
      <c r="K11124" s="912" t="s">
        <v>274</v>
      </c>
      <c r="L11124" s="912"/>
      <c r="M11124" s="912"/>
      <c r="N11124" s="912"/>
      <c r="O11124" s="892">
        <f t="shared" si="894"/>
        <v>0</v>
      </c>
      <c r="P11124" s="903">
        <f t="shared" si="896"/>
        <v>1</v>
      </c>
      <c r="Q11124" s="893">
        <f t="shared" si="897"/>
        <v>12</v>
      </c>
      <c r="R11124" s="894">
        <f t="shared" si="898"/>
        <v>0</v>
      </c>
    </row>
    <row r="11125" spans="1:18">
      <c r="A11125" s="905"/>
      <c r="B11125" s="952"/>
      <c r="C11125" s="907">
        <v>229</v>
      </c>
      <c r="D11125" s="907" t="s">
        <v>279</v>
      </c>
      <c r="E11125" s="992" t="s">
        <v>6318</v>
      </c>
      <c r="F11125" s="905" t="s">
        <v>45</v>
      </c>
      <c r="G11125" s="1005"/>
      <c r="H11125" s="911">
        <v>2.4300000000000002</v>
      </c>
      <c r="I11125" s="912">
        <f>VLOOKUP(E11125,[3]VLP!$B$7:$K$300,10,0)</f>
        <v>14762</v>
      </c>
      <c r="J11125" s="912">
        <f t="shared" si="899"/>
        <v>35871.660000000003</v>
      </c>
      <c r="K11125" s="912" t="s">
        <v>274</v>
      </c>
      <c r="L11125" s="912"/>
      <c r="M11125" s="912"/>
      <c r="N11125" s="912"/>
      <c r="O11125" s="892">
        <f t="shared" si="894"/>
        <v>0</v>
      </c>
      <c r="P11125" s="903">
        <f t="shared" si="896"/>
        <v>1</v>
      </c>
      <c r="Q11125" s="893">
        <f t="shared" si="897"/>
        <v>11</v>
      </c>
      <c r="R11125" s="894">
        <f t="shared" si="898"/>
        <v>0</v>
      </c>
    </row>
    <row r="11126" spans="1:18" s="847" customFormat="1">
      <c r="A11126" s="905"/>
      <c r="B11126" s="952"/>
      <c r="C11126" s="907">
        <v>318</v>
      </c>
      <c r="D11126" s="907" t="s">
        <v>279</v>
      </c>
      <c r="E11126" s="992" t="s">
        <v>5657</v>
      </c>
      <c r="F11126" s="905" t="s">
        <v>45</v>
      </c>
      <c r="G11126" s="1005"/>
      <c r="H11126" s="911">
        <v>6.12</v>
      </c>
      <c r="I11126" s="912">
        <f>VLOOKUP(E11126,[3]VLP!$B$7:$K$300,10,0)</f>
        <v>25155</v>
      </c>
      <c r="J11126" s="912">
        <f t="shared" si="899"/>
        <v>153948.6</v>
      </c>
      <c r="K11126" s="912" t="s">
        <v>274</v>
      </c>
      <c r="L11126" s="912"/>
      <c r="M11126" s="912"/>
      <c r="N11126" s="912"/>
      <c r="O11126" s="892">
        <f t="shared" si="894"/>
        <v>0</v>
      </c>
      <c r="P11126" s="903">
        <f t="shared" si="896"/>
        <v>1</v>
      </c>
      <c r="Q11126" s="893">
        <f t="shared" si="897"/>
        <v>10</v>
      </c>
      <c r="R11126" s="894">
        <f t="shared" si="898"/>
        <v>0</v>
      </c>
    </row>
    <row r="11127" spans="1:18" s="904" customFormat="1">
      <c r="A11127" s="905"/>
      <c r="B11127" s="952"/>
      <c r="C11127" s="907">
        <v>212</v>
      </c>
      <c r="D11127" s="907" t="s">
        <v>279</v>
      </c>
      <c r="E11127" s="992" t="s">
        <v>2681</v>
      </c>
      <c r="F11127" s="905" t="s">
        <v>45</v>
      </c>
      <c r="G11127" s="1005"/>
      <c r="H11127" s="911">
        <v>1.08</v>
      </c>
      <c r="I11127" s="912">
        <f>VLOOKUP(E11127,[3]VLP!$B$7:$K$300,10,0)</f>
        <v>23000</v>
      </c>
      <c r="J11127" s="912">
        <f t="shared" si="899"/>
        <v>24840</v>
      </c>
      <c r="K11127" s="912" t="s">
        <v>274</v>
      </c>
      <c r="L11127" s="912"/>
      <c r="M11127" s="912"/>
      <c r="N11127" s="912"/>
      <c r="O11127" s="892">
        <f t="shared" si="894"/>
        <v>0</v>
      </c>
      <c r="P11127" s="903">
        <f t="shared" si="896"/>
        <v>1</v>
      </c>
      <c r="Q11127" s="893">
        <f t="shared" si="897"/>
        <v>9</v>
      </c>
      <c r="R11127" s="894">
        <f t="shared" si="898"/>
        <v>0</v>
      </c>
    </row>
    <row r="11128" spans="1:18">
      <c r="A11128" s="905"/>
      <c r="B11128" s="952"/>
      <c r="C11128" s="907">
        <v>315</v>
      </c>
      <c r="D11128" s="907" t="s">
        <v>279</v>
      </c>
      <c r="E11128" s="992" t="s">
        <v>6316</v>
      </c>
      <c r="F11128" s="905" t="s">
        <v>49</v>
      </c>
      <c r="G11128" s="1005"/>
      <c r="H11128" s="911">
        <v>7.2</v>
      </c>
      <c r="I11128" s="912">
        <f>VLOOKUP(E11128,[3]VLP!$B$7:$K$300,10,0)</f>
        <v>8000</v>
      </c>
      <c r="J11128" s="912">
        <f t="shared" si="899"/>
        <v>57600</v>
      </c>
      <c r="K11128" s="912" t="s">
        <v>274</v>
      </c>
      <c r="L11128" s="912"/>
      <c r="M11128" s="912"/>
      <c r="N11128" s="912"/>
      <c r="O11128" s="892">
        <f t="shared" si="894"/>
        <v>0</v>
      </c>
      <c r="P11128" s="903">
        <f t="shared" si="896"/>
        <v>1</v>
      </c>
      <c r="Q11128" s="893">
        <f t="shared" si="897"/>
        <v>8</v>
      </c>
      <c r="R11128" s="894">
        <f t="shared" si="898"/>
        <v>0</v>
      </c>
    </row>
    <row r="11129" spans="1:18">
      <c r="A11129" s="905"/>
      <c r="B11129" s="952"/>
      <c r="C11129" s="907">
        <v>237</v>
      </c>
      <c r="D11129" s="907" t="s">
        <v>279</v>
      </c>
      <c r="E11129" s="992" t="s">
        <v>6312</v>
      </c>
      <c r="F11129" s="905" t="s">
        <v>47</v>
      </c>
      <c r="G11129" s="1005"/>
      <c r="H11129" s="911">
        <v>0.18</v>
      </c>
      <c r="I11129" s="912">
        <f>VLOOKUP(E11129,[3]VLP!$B$7:$K$300,10,0)</f>
        <v>4545455</v>
      </c>
      <c r="J11129" s="912">
        <f t="shared" si="899"/>
        <v>818181.9</v>
      </c>
      <c r="K11129" s="912" t="s">
        <v>274</v>
      </c>
      <c r="L11129" s="912"/>
      <c r="M11129" s="912"/>
      <c r="N11129" s="912"/>
      <c r="O11129" s="892">
        <f t="shared" si="894"/>
        <v>0</v>
      </c>
      <c r="P11129" s="903">
        <f t="shared" si="896"/>
        <v>1</v>
      </c>
      <c r="Q11129" s="893">
        <f t="shared" si="897"/>
        <v>7</v>
      </c>
      <c r="R11129" s="894">
        <f t="shared" si="898"/>
        <v>0</v>
      </c>
    </row>
    <row r="11130" spans="1:18">
      <c r="A11130" s="905"/>
      <c r="B11130" s="952"/>
      <c r="C11130" s="907">
        <v>314</v>
      </c>
      <c r="D11130" s="907" t="s">
        <v>279</v>
      </c>
      <c r="E11130" s="992" t="s">
        <v>3148</v>
      </c>
      <c r="F11130" s="905" t="s">
        <v>310</v>
      </c>
      <c r="G11130" s="1005"/>
      <c r="H11130" s="911">
        <v>18.14</v>
      </c>
      <c r="I11130" s="912">
        <f>VLOOKUP(E11130,[3]VLP!$B$7:$K$300,10,0)</f>
        <v>10000</v>
      </c>
      <c r="J11130" s="912">
        <f t="shared" si="899"/>
        <v>181400</v>
      </c>
      <c r="K11130" s="912" t="s">
        <v>274</v>
      </c>
      <c r="L11130" s="912"/>
      <c r="M11130" s="912"/>
      <c r="N11130" s="912"/>
      <c r="O11130" s="892">
        <f t="shared" si="894"/>
        <v>0</v>
      </c>
      <c r="P11130" s="903">
        <f t="shared" si="896"/>
        <v>1</v>
      </c>
      <c r="Q11130" s="893">
        <f t="shared" si="897"/>
        <v>6</v>
      </c>
      <c r="R11130" s="894">
        <f t="shared" si="898"/>
        <v>0</v>
      </c>
    </row>
    <row r="11131" spans="1:18">
      <c r="A11131" s="905"/>
      <c r="B11131" s="952"/>
      <c r="C11131" s="907">
        <v>699</v>
      </c>
      <c r="D11131" s="907" t="s">
        <v>279</v>
      </c>
      <c r="E11131" s="992" t="s">
        <v>4006</v>
      </c>
      <c r="F11131" s="905" t="s">
        <v>4007</v>
      </c>
      <c r="G11131" s="1005"/>
      <c r="H11131" s="911">
        <v>5</v>
      </c>
      <c r="I11131" s="912">
        <f>VLOOKUP(E11131,[3]VLP!$B$7:$K$300,10,0)</f>
        <v>5000</v>
      </c>
      <c r="J11131" s="912">
        <f t="shared" si="899"/>
        <v>25000</v>
      </c>
      <c r="K11131" s="912" t="s">
        <v>274</v>
      </c>
      <c r="L11131" s="912"/>
      <c r="M11131" s="912"/>
      <c r="N11131" s="912"/>
      <c r="O11131" s="892">
        <f t="shared" si="894"/>
        <v>0</v>
      </c>
      <c r="P11131" s="903">
        <f t="shared" si="896"/>
        <v>1</v>
      </c>
      <c r="Q11131" s="893">
        <f t="shared" si="897"/>
        <v>5</v>
      </c>
      <c r="R11131" s="894">
        <f t="shared" si="898"/>
        <v>0</v>
      </c>
    </row>
    <row r="11132" spans="1:18">
      <c r="A11132" s="895"/>
      <c r="B11132" s="896"/>
      <c r="C11132" s="897"/>
      <c r="D11132" s="897"/>
      <c r="E11132" s="1002" t="s">
        <v>276</v>
      </c>
      <c r="F11132" s="895"/>
      <c r="G11132" s="1004"/>
      <c r="H11132" s="901"/>
      <c r="I11132" s="902"/>
      <c r="J11132" s="902"/>
      <c r="K11132" s="912" t="s">
        <v>274</v>
      </c>
      <c r="L11132" s="902"/>
      <c r="M11132" s="902"/>
      <c r="N11132" s="902"/>
      <c r="O11132" s="892">
        <f t="shared" si="894"/>
        <v>0</v>
      </c>
      <c r="P11132" s="903">
        <f t="shared" si="896"/>
        <v>1</v>
      </c>
      <c r="Q11132" s="893">
        <f t="shared" si="897"/>
        <v>4</v>
      </c>
      <c r="R11132" s="894">
        <f t="shared" si="898"/>
        <v>0</v>
      </c>
    </row>
    <row r="11133" spans="1:18">
      <c r="A11133" s="905"/>
      <c r="B11133" s="952"/>
      <c r="C11133" s="907">
        <v>740</v>
      </c>
      <c r="D11133" s="907" t="s">
        <v>12</v>
      </c>
      <c r="E11133" s="992" t="s">
        <v>4008</v>
      </c>
      <c r="F11133" s="905" t="s">
        <v>2674</v>
      </c>
      <c r="G11133" s="1005"/>
      <c r="H11133" s="911">
        <v>81</v>
      </c>
      <c r="I11133" s="912"/>
      <c r="J11133" s="912"/>
      <c r="K11133" s="912">
        <f>VLOOKUP(E11133,[5]ĐMNC!$A$7:$F$67,4,0)</f>
        <v>221125</v>
      </c>
      <c r="L11133" s="912">
        <f>H11133*K11133</f>
        <v>17911125</v>
      </c>
      <c r="M11133" s="912"/>
      <c r="N11133" s="912"/>
      <c r="O11133" s="892">
        <f t="shared" si="894"/>
        <v>0</v>
      </c>
      <c r="P11133" s="903">
        <f t="shared" si="896"/>
        <v>1</v>
      </c>
      <c r="Q11133" s="893">
        <f t="shared" si="897"/>
        <v>3</v>
      </c>
      <c r="R11133" s="894">
        <f t="shared" si="898"/>
        <v>0</v>
      </c>
    </row>
    <row r="11134" spans="1:18">
      <c r="A11134" s="895"/>
      <c r="B11134" s="896"/>
      <c r="C11134" s="897"/>
      <c r="D11134" s="897"/>
      <c r="E11134" s="1002" t="s">
        <v>3914</v>
      </c>
      <c r="F11134" s="895"/>
      <c r="G11134" s="1004"/>
      <c r="H11134" s="901"/>
      <c r="I11134" s="902"/>
      <c r="J11134" s="902"/>
      <c r="K11134" s="912" t="s">
        <v>274</v>
      </c>
      <c r="L11134" s="902"/>
      <c r="M11134" s="902"/>
      <c r="N11134" s="902"/>
      <c r="O11134" s="892">
        <f t="shared" si="894"/>
        <v>0</v>
      </c>
      <c r="P11134" s="903">
        <f t="shared" si="896"/>
        <v>1</v>
      </c>
      <c r="Q11134" s="893">
        <f t="shared" si="897"/>
        <v>2</v>
      </c>
      <c r="R11134" s="894">
        <f t="shared" si="898"/>
        <v>0</v>
      </c>
    </row>
    <row r="11135" spans="1:18" s="904" customFormat="1">
      <c r="A11135" s="905"/>
      <c r="B11135" s="952" t="s">
        <v>6332</v>
      </c>
      <c r="C11135" s="907">
        <v>901</v>
      </c>
      <c r="D11135" s="907" t="s">
        <v>93</v>
      </c>
      <c r="E11135" s="992" t="s">
        <v>6333</v>
      </c>
      <c r="F11135" s="905" t="s">
        <v>2673</v>
      </c>
      <c r="G11135" s="1005"/>
      <c r="H11135" s="911">
        <v>0.15</v>
      </c>
      <c r="I11135" s="912"/>
      <c r="J11135" s="912"/>
      <c r="K11135" s="912"/>
      <c r="L11135" s="912"/>
      <c r="M11135" s="912">
        <f>VLOOKUP(B11135,MTC!$B$9:$S$933,12,0)</f>
        <v>1967433</v>
      </c>
      <c r="N11135" s="912">
        <f>M11135*H11135</f>
        <v>295114.95</v>
      </c>
      <c r="O11135" s="892">
        <f t="shared" si="894"/>
        <v>0</v>
      </c>
      <c r="P11135" s="903">
        <f t="shared" si="896"/>
        <v>1</v>
      </c>
      <c r="Q11135" s="893">
        <f t="shared" si="897"/>
        <v>1</v>
      </c>
      <c r="R11135" s="894">
        <f t="shared" si="898"/>
        <v>0</v>
      </c>
    </row>
    <row r="11136" spans="1:18">
      <c r="A11136" s="905">
        <v>235</v>
      </c>
      <c r="B11136" s="914" t="s">
        <v>6832</v>
      </c>
      <c r="C11136" s="915"/>
      <c r="D11136" s="915"/>
      <c r="E11136" s="1006" t="s">
        <v>6833</v>
      </c>
      <c r="F11136" s="917" t="s">
        <v>139</v>
      </c>
      <c r="G11136" s="1008"/>
      <c r="H11136" s="919"/>
      <c r="I11136" s="920"/>
      <c r="J11136" s="891">
        <f>SUM(J11137:J11149)</f>
        <v>1092185.5</v>
      </c>
      <c r="K11136" s="891"/>
      <c r="L11136" s="891">
        <f>SUM(L11137:L11149)</f>
        <v>2089631.2499999998</v>
      </c>
      <c r="M11136" s="891"/>
      <c r="N11136" s="891">
        <f>SUM(N11137:N11149)</f>
        <v>236091.96</v>
      </c>
      <c r="O11136" s="892">
        <f t="shared" si="894"/>
        <v>1</v>
      </c>
      <c r="P11136" s="903">
        <f t="shared" si="896"/>
        <v>0</v>
      </c>
      <c r="Q11136" s="893">
        <f t="shared" si="897"/>
        <v>0</v>
      </c>
      <c r="R11136" s="894">
        <f t="shared" si="898"/>
        <v>13</v>
      </c>
    </row>
    <row r="11137" spans="1:18" s="847" customFormat="1">
      <c r="A11137" s="895"/>
      <c r="B11137" s="896"/>
      <c r="C11137" s="897"/>
      <c r="D11137" s="897"/>
      <c r="E11137" s="1002" t="s">
        <v>108</v>
      </c>
      <c r="F11137" s="895"/>
      <c r="G11137" s="1004"/>
      <c r="H11137" s="901"/>
      <c r="I11137" s="902"/>
      <c r="J11137" s="902"/>
      <c r="K11137" s="912" t="s">
        <v>274</v>
      </c>
      <c r="L11137" s="902"/>
      <c r="M11137" s="902"/>
      <c r="N11137" s="902"/>
      <c r="O11137" s="892">
        <f t="shared" si="894"/>
        <v>0</v>
      </c>
      <c r="P11137" s="903">
        <f t="shared" si="896"/>
        <v>1</v>
      </c>
      <c r="Q11137" s="893">
        <f t="shared" si="897"/>
        <v>13</v>
      </c>
      <c r="R11137" s="894">
        <f t="shared" si="898"/>
        <v>0</v>
      </c>
    </row>
    <row r="11138" spans="1:18" s="904" customFormat="1">
      <c r="A11138" s="905"/>
      <c r="B11138" s="952"/>
      <c r="C11138" s="907">
        <v>235</v>
      </c>
      <c r="D11138" s="907" t="s">
        <v>279</v>
      </c>
      <c r="E11138" s="992" t="s">
        <v>2682</v>
      </c>
      <c r="F11138" s="905" t="s">
        <v>45</v>
      </c>
      <c r="G11138" s="1005"/>
      <c r="H11138" s="911">
        <v>2</v>
      </c>
      <c r="I11138" s="912">
        <f>VLOOKUP(E11138,[3]VLP!$B$7:$K$300,10,0)</f>
        <v>5000</v>
      </c>
      <c r="J11138" s="912">
        <f t="shared" ref="J11138:J11145" si="900">I11138*H11138</f>
        <v>10000</v>
      </c>
      <c r="K11138" s="912" t="s">
        <v>274</v>
      </c>
      <c r="L11138" s="912"/>
      <c r="M11138" s="912"/>
      <c r="N11138" s="912"/>
      <c r="O11138" s="892">
        <f t="shared" si="894"/>
        <v>0</v>
      </c>
      <c r="P11138" s="903">
        <f t="shared" si="896"/>
        <v>1</v>
      </c>
      <c r="Q11138" s="893">
        <f t="shared" si="897"/>
        <v>12</v>
      </c>
      <c r="R11138" s="894">
        <f t="shared" si="898"/>
        <v>0</v>
      </c>
    </row>
    <row r="11139" spans="1:18">
      <c r="A11139" s="905"/>
      <c r="B11139" s="952"/>
      <c r="C11139" s="907">
        <v>229</v>
      </c>
      <c r="D11139" s="907" t="s">
        <v>279</v>
      </c>
      <c r="E11139" s="992" t="s">
        <v>6318</v>
      </c>
      <c r="F11139" s="905" t="s">
        <v>45</v>
      </c>
      <c r="G11139" s="1005"/>
      <c r="H11139" s="911">
        <v>1</v>
      </c>
      <c r="I11139" s="912">
        <f>VLOOKUP(E11139,[3]VLP!$B$7:$K$300,10,0)</f>
        <v>14762</v>
      </c>
      <c r="J11139" s="912">
        <f t="shared" si="900"/>
        <v>14762</v>
      </c>
      <c r="K11139" s="912" t="s">
        <v>274</v>
      </c>
      <c r="L11139" s="912"/>
      <c r="M11139" s="912"/>
      <c r="N11139" s="912"/>
      <c r="O11139" s="892">
        <f t="shared" si="894"/>
        <v>0</v>
      </c>
      <c r="P11139" s="903">
        <f t="shared" si="896"/>
        <v>1</v>
      </c>
      <c r="Q11139" s="893">
        <f t="shared" si="897"/>
        <v>11</v>
      </c>
      <c r="R11139" s="894">
        <f t="shared" si="898"/>
        <v>0</v>
      </c>
    </row>
    <row r="11140" spans="1:18">
      <c r="A11140" s="905"/>
      <c r="B11140" s="952"/>
      <c r="C11140" s="907">
        <v>318</v>
      </c>
      <c r="D11140" s="907" t="s">
        <v>279</v>
      </c>
      <c r="E11140" s="992" t="s">
        <v>5657</v>
      </c>
      <c r="F11140" s="905" t="s">
        <v>45</v>
      </c>
      <c r="G11140" s="1005"/>
      <c r="H11140" s="911">
        <v>1.5</v>
      </c>
      <c r="I11140" s="912">
        <f>VLOOKUP(E11140,[3]VLP!$B$7:$K$300,10,0)</f>
        <v>25155</v>
      </c>
      <c r="J11140" s="912">
        <f t="shared" si="900"/>
        <v>37732.5</v>
      </c>
      <c r="K11140" s="912" t="s">
        <v>274</v>
      </c>
      <c r="L11140" s="912"/>
      <c r="M11140" s="912"/>
      <c r="N11140" s="912"/>
      <c r="O11140" s="892">
        <f t="shared" si="894"/>
        <v>0</v>
      </c>
      <c r="P11140" s="903">
        <f t="shared" si="896"/>
        <v>1</v>
      </c>
      <c r="Q11140" s="893">
        <f t="shared" si="897"/>
        <v>10</v>
      </c>
      <c r="R11140" s="894">
        <f t="shared" si="898"/>
        <v>0</v>
      </c>
    </row>
    <row r="11141" spans="1:18">
      <c r="A11141" s="905"/>
      <c r="B11141" s="952"/>
      <c r="C11141" s="907">
        <v>212</v>
      </c>
      <c r="D11141" s="907" t="s">
        <v>279</v>
      </c>
      <c r="E11141" s="992" t="s">
        <v>2681</v>
      </c>
      <c r="F11141" s="905" t="s">
        <v>45</v>
      </c>
      <c r="G11141" s="1005"/>
      <c r="H11141" s="911">
        <v>0.4</v>
      </c>
      <c r="I11141" s="912">
        <f>VLOOKUP(E11141,[3]VLP!$B$7:$K$300,10,0)</f>
        <v>23000</v>
      </c>
      <c r="J11141" s="912">
        <f t="shared" si="900"/>
        <v>9200</v>
      </c>
      <c r="K11141" s="912" t="s">
        <v>274</v>
      </c>
      <c r="L11141" s="912"/>
      <c r="M11141" s="912"/>
      <c r="N11141" s="912"/>
      <c r="O11141" s="892">
        <f t="shared" si="894"/>
        <v>0</v>
      </c>
      <c r="P11141" s="903">
        <f t="shared" si="896"/>
        <v>1</v>
      </c>
      <c r="Q11141" s="893">
        <f t="shared" si="897"/>
        <v>9</v>
      </c>
      <c r="R11141" s="894">
        <f t="shared" si="898"/>
        <v>0</v>
      </c>
    </row>
    <row r="11142" spans="1:18">
      <c r="A11142" s="905"/>
      <c r="B11142" s="952"/>
      <c r="C11142" s="907">
        <v>315</v>
      </c>
      <c r="D11142" s="907" t="s">
        <v>279</v>
      </c>
      <c r="E11142" s="992" t="s">
        <v>6316</v>
      </c>
      <c r="F11142" s="905" t="s">
        <v>49</v>
      </c>
      <c r="G11142" s="1005"/>
      <c r="H11142" s="911">
        <v>4</v>
      </c>
      <c r="I11142" s="912">
        <f>VLOOKUP(E11142,[3]VLP!$B$7:$K$300,10,0)</f>
        <v>8000</v>
      </c>
      <c r="J11142" s="912">
        <f t="shared" si="900"/>
        <v>32000</v>
      </c>
      <c r="K11142" s="912" t="s">
        <v>274</v>
      </c>
      <c r="L11142" s="912"/>
      <c r="M11142" s="912"/>
      <c r="N11142" s="912"/>
      <c r="O11142" s="892">
        <f t="shared" si="894"/>
        <v>0</v>
      </c>
      <c r="P11142" s="903">
        <f t="shared" si="896"/>
        <v>1</v>
      </c>
      <c r="Q11142" s="893">
        <f t="shared" si="897"/>
        <v>8</v>
      </c>
      <c r="R11142" s="894">
        <f t="shared" si="898"/>
        <v>0</v>
      </c>
    </row>
    <row r="11143" spans="1:18">
      <c r="A11143" s="905"/>
      <c r="B11143" s="952"/>
      <c r="C11143" s="907">
        <v>237</v>
      </c>
      <c r="D11143" s="907" t="s">
        <v>279</v>
      </c>
      <c r="E11143" s="992" t="s">
        <v>6312</v>
      </c>
      <c r="F11143" s="905" t="s">
        <v>47</v>
      </c>
      <c r="G11143" s="1005"/>
      <c r="H11143" s="911">
        <v>0.2</v>
      </c>
      <c r="I11143" s="912">
        <f>VLOOKUP(E11143,[3]VLP!$B$7:$K$300,10,0)</f>
        <v>4545455</v>
      </c>
      <c r="J11143" s="912">
        <f t="shared" si="900"/>
        <v>909091</v>
      </c>
      <c r="K11143" s="912" t="s">
        <v>274</v>
      </c>
      <c r="L11143" s="912"/>
      <c r="M11143" s="912"/>
      <c r="N11143" s="912"/>
      <c r="O11143" s="892">
        <f t="shared" si="894"/>
        <v>0</v>
      </c>
      <c r="P11143" s="903">
        <f t="shared" si="896"/>
        <v>1</v>
      </c>
      <c r="Q11143" s="893">
        <f t="shared" si="897"/>
        <v>7</v>
      </c>
      <c r="R11143" s="894">
        <f t="shared" si="898"/>
        <v>0</v>
      </c>
    </row>
    <row r="11144" spans="1:18">
      <c r="A11144" s="905"/>
      <c r="B11144" s="952"/>
      <c r="C11144" s="907">
        <v>314</v>
      </c>
      <c r="D11144" s="907" t="s">
        <v>279</v>
      </c>
      <c r="E11144" s="992" t="s">
        <v>3148</v>
      </c>
      <c r="F11144" s="905" t="s">
        <v>310</v>
      </c>
      <c r="G11144" s="1005"/>
      <c r="H11144" s="911">
        <v>5.44</v>
      </c>
      <c r="I11144" s="912">
        <f>VLOOKUP(E11144,[3]VLP!$B$7:$K$300,10,0)</f>
        <v>10000</v>
      </c>
      <c r="J11144" s="912">
        <f t="shared" si="900"/>
        <v>54400.000000000007</v>
      </c>
      <c r="K11144" s="912" t="s">
        <v>274</v>
      </c>
      <c r="L11144" s="912"/>
      <c r="M11144" s="912"/>
      <c r="N11144" s="912"/>
      <c r="O11144" s="892">
        <f t="shared" si="894"/>
        <v>0</v>
      </c>
      <c r="P11144" s="903">
        <f t="shared" si="896"/>
        <v>1</v>
      </c>
      <c r="Q11144" s="893">
        <f t="shared" si="897"/>
        <v>6</v>
      </c>
      <c r="R11144" s="894">
        <f t="shared" si="898"/>
        <v>0</v>
      </c>
    </row>
    <row r="11145" spans="1:18">
      <c r="A11145" s="905"/>
      <c r="B11145" s="952"/>
      <c r="C11145" s="907">
        <v>699</v>
      </c>
      <c r="D11145" s="907" t="s">
        <v>279</v>
      </c>
      <c r="E11145" s="992" t="s">
        <v>4006</v>
      </c>
      <c r="F11145" s="905" t="s">
        <v>4007</v>
      </c>
      <c r="G11145" s="1005"/>
      <c r="H11145" s="911">
        <v>5</v>
      </c>
      <c r="I11145" s="912">
        <f>VLOOKUP(E11145,[3]VLP!$B$7:$K$300,10,0)</f>
        <v>5000</v>
      </c>
      <c r="J11145" s="912">
        <f t="shared" si="900"/>
        <v>25000</v>
      </c>
      <c r="K11145" s="912" t="s">
        <v>274</v>
      </c>
      <c r="L11145" s="912"/>
      <c r="M11145" s="912"/>
      <c r="N11145" s="912"/>
      <c r="O11145" s="892">
        <f t="shared" si="894"/>
        <v>0</v>
      </c>
      <c r="P11145" s="903">
        <f t="shared" si="896"/>
        <v>1</v>
      </c>
      <c r="Q11145" s="893">
        <f t="shared" si="897"/>
        <v>5</v>
      </c>
      <c r="R11145" s="894">
        <f t="shared" si="898"/>
        <v>0</v>
      </c>
    </row>
    <row r="11146" spans="1:18" s="904" customFormat="1">
      <c r="A11146" s="895"/>
      <c r="B11146" s="896"/>
      <c r="C11146" s="897"/>
      <c r="D11146" s="897"/>
      <c r="E11146" s="1002" t="s">
        <v>276</v>
      </c>
      <c r="F11146" s="895"/>
      <c r="G11146" s="1004"/>
      <c r="H11146" s="901"/>
      <c r="I11146" s="902"/>
      <c r="J11146" s="902"/>
      <c r="K11146" s="912" t="s">
        <v>274</v>
      </c>
      <c r="L11146" s="902"/>
      <c r="M11146" s="902"/>
      <c r="N11146" s="902"/>
      <c r="O11146" s="892">
        <f t="shared" si="894"/>
        <v>0</v>
      </c>
      <c r="P11146" s="903">
        <f t="shared" si="896"/>
        <v>1</v>
      </c>
      <c r="Q11146" s="893">
        <f t="shared" si="897"/>
        <v>4</v>
      </c>
      <c r="R11146" s="894">
        <f t="shared" si="898"/>
        <v>0</v>
      </c>
    </row>
    <row r="11147" spans="1:18">
      <c r="A11147" s="905"/>
      <c r="B11147" s="952"/>
      <c r="C11147" s="907">
        <v>740</v>
      </c>
      <c r="D11147" s="907" t="s">
        <v>12</v>
      </c>
      <c r="E11147" s="992" t="s">
        <v>4008</v>
      </c>
      <c r="F11147" s="905" t="s">
        <v>2674</v>
      </c>
      <c r="G11147" s="1005"/>
      <c r="H11147" s="911">
        <v>9.4499999999999993</v>
      </c>
      <c r="I11147" s="912"/>
      <c r="J11147" s="912"/>
      <c r="K11147" s="912">
        <f>VLOOKUP(E11147,[5]ĐMNC!$A$7:$F$67,4,0)</f>
        <v>221125</v>
      </c>
      <c r="L11147" s="912">
        <f>H11147*K11147</f>
        <v>2089631.2499999998</v>
      </c>
      <c r="M11147" s="912"/>
      <c r="N11147" s="912"/>
      <c r="O11147" s="892">
        <f t="shared" si="894"/>
        <v>0</v>
      </c>
      <c r="P11147" s="903">
        <f t="shared" si="896"/>
        <v>1</v>
      </c>
      <c r="Q11147" s="893">
        <f t="shared" si="897"/>
        <v>3</v>
      </c>
      <c r="R11147" s="894">
        <f t="shared" si="898"/>
        <v>0</v>
      </c>
    </row>
    <row r="11148" spans="1:18" s="847" customFormat="1">
      <c r="A11148" s="895"/>
      <c r="B11148" s="896"/>
      <c r="C11148" s="897"/>
      <c r="D11148" s="897"/>
      <c r="E11148" s="1002" t="s">
        <v>3914</v>
      </c>
      <c r="F11148" s="895"/>
      <c r="G11148" s="1004"/>
      <c r="H11148" s="901"/>
      <c r="I11148" s="902"/>
      <c r="J11148" s="902"/>
      <c r="K11148" s="912" t="s">
        <v>274</v>
      </c>
      <c r="L11148" s="902"/>
      <c r="M11148" s="902"/>
      <c r="N11148" s="902"/>
      <c r="O11148" s="892">
        <f t="shared" si="894"/>
        <v>0</v>
      </c>
      <c r="P11148" s="903">
        <f t="shared" si="896"/>
        <v>1</v>
      </c>
      <c r="Q11148" s="893">
        <f t="shared" si="897"/>
        <v>2</v>
      </c>
      <c r="R11148" s="894">
        <f t="shared" si="898"/>
        <v>0</v>
      </c>
    </row>
    <row r="11149" spans="1:18" s="904" customFormat="1">
      <c r="A11149" s="905"/>
      <c r="B11149" s="952" t="s">
        <v>6332</v>
      </c>
      <c r="C11149" s="907">
        <v>901</v>
      </c>
      <c r="D11149" s="907" t="s">
        <v>93</v>
      </c>
      <c r="E11149" s="992" t="s">
        <v>6333</v>
      </c>
      <c r="F11149" s="905" t="s">
        <v>2673</v>
      </c>
      <c r="G11149" s="1005"/>
      <c r="H11149" s="911">
        <v>0.12</v>
      </c>
      <c r="I11149" s="912"/>
      <c r="J11149" s="912"/>
      <c r="K11149" s="912"/>
      <c r="L11149" s="912"/>
      <c r="M11149" s="912">
        <f>VLOOKUP(B11149,MTC!$B$9:$S$933,12,0)</f>
        <v>1967433</v>
      </c>
      <c r="N11149" s="912">
        <f>M11149*H11149</f>
        <v>236091.96</v>
      </c>
      <c r="O11149" s="892">
        <f t="shared" si="894"/>
        <v>0</v>
      </c>
      <c r="P11149" s="903">
        <f t="shared" si="896"/>
        <v>1</v>
      </c>
      <c r="Q11149" s="893">
        <f t="shared" si="897"/>
        <v>1</v>
      </c>
      <c r="R11149" s="894">
        <f t="shared" si="898"/>
        <v>0</v>
      </c>
    </row>
    <row r="11150" spans="1:18" ht="31.5">
      <c r="A11150" s="905" t="s">
        <v>6834</v>
      </c>
      <c r="B11150" s="914" t="s">
        <v>6835</v>
      </c>
      <c r="C11150" s="915"/>
      <c r="D11150" s="915"/>
      <c r="E11150" s="1006" t="s">
        <v>6836</v>
      </c>
      <c r="F11150" s="917" t="s">
        <v>139</v>
      </c>
      <c r="G11150" s="1008"/>
      <c r="H11150" s="919"/>
      <c r="I11150" s="920"/>
      <c r="J11150" s="962">
        <f>SUM(J11151:J11159)</f>
        <v>26418.2</v>
      </c>
      <c r="K11150" s="891" t="s">
        <v>274</v>
      </c>
      <c r="L11150" s="962">
        <f>SUM(L11151:L11159)</f>
        <v>928725</v>
      </c>
      <c r="M11150" s="962"/>
      <c r="N11150" s="962">
        <f>SUM(N11151:N11159)</f>
        <v>221290.19999999998</v>
      </c>
      <c r="O11150" s="892">
        <f t="shared" si="894"/>
        <v>1</v>
      </c>
      <c r="P11150" s="903">
        <f t="shared" si="896"/>
        <v>0</v>
      </c>
      <c r="Q11150" s="893">
        <f t="shared" si="897"/>
        <v>0</v>
      </c>
      <c r="R11150" s="894">
        <f t="shared" si="898"/>
        <v>9</v>
      </c>
    </row>
    <row r="11151" spans="1:18">
      <c r="A11151" s="895"/>
      <c r="B11151" s="896"/>
      <c r="C11151" s="897"/>
      <c r="D11151" s="897"/>
      <c r="E11151" s="1002" t="s">
        <v>108</v>
      </c>
      <c r="F11151" s="895"/>
      <c r="G11151" s="1004"/>
      <c r="H11151" s="901"/>
      <c r="I11151" s="902"/>
      <c r="J11151" s="902"/>
      <c r="K11151" s="912" t="s">
        <v>274</v>
      </c>
      <c r="L11151" s="902"/>
      <c r="M11151" s="902"/>
      <c r="N11151" s="902"/>
      <c r="O11151" s="892">
        <f t="shared" si="894"/>
        <v>0</v>
      </c>
      <c r="P11151" s="903">
        <f t="shared" si="896"/>
        <v>1</v>
      </c>
      <c r="Q11151" s="893">
        <f t="shared" si="897"/>
        <v>9</v>
      </c>
      <c r="R11151" s="894">
        <f t="shared" si="898"/>
        <v>0</v>
      </c>
    </row>
    <row r="11152" spans="1:18">
      <c r="A11152" s="905"/>
      <c r="B11152" s="952"/>
      <c r="C11152" s="907">
        <v>234</v>
      </c>
      <c r="D11152" s="907" t="s">
        <v>279</v>
      </c>
      <c r="E11152" s="992" t="s">
        <v>5983</v>
      </c>
      <c r="F11152" s="905" t="s">
        <v>3144</v>
      </c>
      <c r="G11152" s="1005"/>
      <c r="H11152" s="911">
        <v>1</v>
      </c>
      <c r="I11152" s="912">
        <f>VLOOKUP(E11152,[3]VLP!$B$7:$K$300,10,0)</f>
        <v>14000</v>
      </c>
      <c r="J11152" s="912">
        <f>I11152*H11152</f>
        <v>14000</v>
      </c>
      <c r="K11152" s="912" t="s">
        <v>274</v>
      </c>
      <c r="L11152" s="912"/>
      <c r="M11152" s="912"/>
      <c r="N11152" s="912"/>
      <c r="O11152" s="892">
        <f t="shared" si="894"/>
        <v>0</v>
      </c>
      <c r="P11152" s="903">
        <f t="shared" si="896"/>
        <v>1</v>
      </c>
      <c r="Q11152" s="893">
        <f t="shared" si="897"/>
        <v>8</v>
      </c>
      <c r="R11152" s="894">
        <f t="shared" si="898"/>
        <v>0</v>
      </c>
    </row>
    <row r="11153" spans="1:18">
      <c r="A11153" s="905"/>
      <c r="B11153" s="952"/>
      <c r="C11153" s="907">
        <v>212</v>
      </c>
      <c r="D11153" s="907" t="s">
        <v>279</v>
      </c>
      <c r="E11153" s="992" t="s">
        <v>2681</v>
      </c>
      <c r="F11153" s="905" t="s">
        <v>45</v>
      </c>
      <c r="G11153" s="1005"/>
      <c r="H11153" s="911">
        <v>0.2</v>
      </c>
      <c r="I11153" s="912">
        <f>VLOOKUP(E11153,[3]VLP!$B$7:$K$300,10,0)</f>
        <v>23000</v>
      </c>
      <c r="J11153" s="912">
        <f>I11153*H11153</f>
        <v>4600</v>
      </c>
      <c r="K11153" s="912" t="s">
        <v>274</v>
      </c>
      <c r="L11153" s="912"/>
      <c r="M11153" s="912"/>
      <c r="N11153" s="912"/>
      <c r="O11153" s="892">
        <f t="shared" si="894"/>
        <v>0</v>
      </c>
      <c r="P11153" s="903">
        <f t="shared" si="896"/>
        <v>1</v>
      </c>
      <c r="Q11153" s="893">
        <f t="shared" si="897"/>
        <v>7</v>
      </c>
      <c r="R11153" s="894">
        <f t="shared" si="898"/>
        <v>0</v>
      </c>
    </row>
    <row r="11154" spans="1:18">
      <c r="A11154" s="905"/>
      <c r="B11154" s="952"/>
      <c r="C11154" s="907">
        <v>321</v>
      </c>
      <c r="D11154" s="907" t="s">
        <v>279</v>
      </c>
      <c r="E11154" s="992" t="s">
        <v>6317</v>
      </c>
      <c r="F11154" s="905" t="s">
        <v>45</v>
      </c>
      <c r="G11154" s="1005"/>
      <c r="H11154" s="911">
        <v>0.1</v>
      </c>
      <c r="I11154" s="912">
        <f>VLOOKUP(E11154,[3]VLP!$B$7:$K$300,10,0)</f>
        <v>38182</v>
      </c>
      <c r="J11154" s="912">
        <f>I11154*H11154</f>
        <v>3818.2000000000003</v>
      </c>
      <c r="K11154" s="912" t="s">
        <v>274</v>
      </c>
      <c r="L11154" s="912"/>
      <c r="M11154" s="912"/>
      <c r="N11154" s="912"/>
      <c r="O11154" s="892">
        <f t="shared" si="894"/>
        <v>0</v>
      </c>
      <c r="P11154" s="903">
        <f t="shared" si="896"/>
        <v>1</v>
      </c>
      <c r="Q11154" s="893">
        <f t="shared" si="897"/>
        <v>6</v>
      </c>
      <c r="R11154" s="894">
        <f t="shared" si="898"/>
        <v>0</v>
      </c>
    </row>
    <row r="11155" spans="1:18">
      <c r="A11155" s="905"/>
      <c r="B11155" s="952"/>
      <c r="C11155" s="907">
        <v>235</v>
      </c>
      <c r="D11155" s="907" t="s">
        <v>279</v>
      </c>
      <c r="E11155" s="992" t="s">
        <v>2682</v>
      </c>
      <c r="F11155" s="905" t="s">
        <v>45</v>
      </c>
      <c r="G11155" s="1005"/>
      <c r="H11155" s="911">
        <v>0.8</v>
      </c>
      <c r="I11155" s="912">
        <f>VLOOKUP(E11155,[3]VLP!$B$7:$K$300,10,0)</f>
        <v>5000</v>
      </c>
      <c r="J11155" s="912">
        <f>I11155*H11155</f>
        <v>4000</v>
      </c>
      <c r="K11155" s="912" t="s">
        <v>274</v>
      </c>
      <c r="L11155" s="912"/>
      <c r="M11155" s="912"/>
      <c r="N11155" s="912"/>
      <c r="O11155" s="892">
        <f t="shared" si="894"/>
        <v>0</v>
      </c>
      <c r="P11155" s="903">
        <f t="shared" si="896"/>
        <v>1</v>
      </c>
      <c r="Q11155" s="893">
        <f t="shared" si="897"/>
        <v>5</v>
      </c>
      <c r="R11155" s="894">
        <f t="shared" si="898"/>
        <v>0</v>
      </c>
    </row>
    <row r="11156" spans="1:18">
      <c r="A11156" s="895"/>
      <c r="B11156" s="896"/>
      <c r="C11156" s="897"/>
      <c r="D11156" s="897"/>
      <c r="E11156" s="1002" t="s">
        <v>276</v>
      </c>
      <c r="F11156" s="895"/>
      <c r="G11156" s="1004"/>
      <c r="H11156" s="901"/>
      <c r="I11156" s="902"/>
      <c r="J11156" s="902"/>
      <c r="K11156" s="912" t="s">
        <v>274</v>
      </c>
      <c r="L11156" s="902"/>
      <c r="M11156" s="902"/>
      <c r="N11156" s="902"/>
      <c r="O11156" s="892">
        <f t="shared" si="894"/>
        <v>0</v>
      </c>
      <c r="P11156" s="903">
        <f t="shared" si="896"/>
        <v>1</v>
      </c>
      <c r="Q11156" s="893">
        <f t="shared" si="897"/>
        <v>4</v>
      </c>
      <c r="R11156" s="894">
        <f t="shared" si="898"/>
        <v>0</v>
      </c>
    </row>
    <row r="11157" spans="1:18" s="904" customFormat="1">
      <c r="A11157" s="905"/>
      <c r="B11157" s="952"/>
      <c r="C11157" s="907">
        <v>740</v>
      </c>
      <c r="D11157" s="907" t="s">
        <v>12</v>
      </c>
      <c r="E11157" s="992" t="s">
        <v>4008</v>
      </c>
      <c r="F11157" s="905" t="s">
        <v>2674</v>
      </c>
      <c r="G11157" s="1005"/>
      <c r="H11157" s="911">
        <v>4.2</v>
      </c>
      <c r="I11157" s="912"/>
      <c r="J11157" s="912"/>
      <c r="K11157" s="912">
        <f>VLOOKUP(E11157,[5]ĐMNC!$A$7:$F$67,4,0)</f>
        <v>221125</v>
      </c>
      <c r="L11157" s="912">
        <f>H11157*K11157</f>
        <v>928725</v>
      </c>
      <c r="M11157" s="912"/>
      <c r="N11157" s="912"/>
      <c r="O11157" s="892">
        <f t="shared" si="894"/>
        <v>0</v>
      </c>
      <c r="P11157" s="903">
        <f t="shared" si="896"/>
        <v>1</v>
      </c>
      <c r="Q11157" s="893">
        <f t="shared" si="897"/>
        <v>3</v>
      </c>
      <c r="R11157" s="894">
        <f t="shared" si="898"/>
        <v>0</v>
      </c>
    </row>
    <row r="11158" spans="1:18">
      <c r="A11158" s="895"/>
      <c r="B11158" s="896"/>
      <c r="C11158" s="897"/>
      <c r="D11158" s="897"/>
      <c r="E11158" s="1002" t="s">
        <v>3914</v>
      </c>
      <c r="F11158" s="895"/>
      <c r="G11158" s="1004"/>
      <c r="H11158" s="901"/>
      <c r="I11158" s="902"/>
      <c r="J11158" s="902"/>
      <c r="K11158" s="912" t="s">
        <v>274</v>
      </c>
      <c r="L11158" s="902"/>
      <c r="M11158" s="902"/>
      <c r="N11158" s="902"/>
      <c r="O11158" s="892">
        <f t="shared" si="894"/>
        <v>0</v>
      </c>
      <c r="P11158" s="903">
        <f t="shared" si="896"/>
        <v>1</v>
      </c>
      <c r="Q11158" s="893">
        <f t="shared" si="897"/>
        <v>2</v>
      </c>
      <c r="R11158" s="894">
        <f t="shared" si="898"/>
        <v>0</v>
      </c>
    </row>
    <row r="11159" spans="1:18" s="847" customFormat="1">
      <c r="A11159" s="905"/>
      <c r="B11159" s="946" t="s">
        <v>6321</v>
      </c>
      <c r="C11159" s="907">
        <v>900</v>
      </c>
      <c r="D11159" s="907" t="s">
        <v>93</v>
      </c>
      <c r="E11159" s="992" t="s">
        <v>6322</v>
      </c>
      <c r="F11159" s="905" t="s">
        <v>2673</v>
      </c>
      <c r="G11159" s="1005"/>
      <c r="H11159" s="911">
        <v>0.15</v>
      </c>
      <c r="I11159" s="912"/>
      <c r="J11159" s="912"/>
      <c r="K11159" s="912"/>
      <c r="L11159" s="912"/>
      <c r="M11159" s="912">
        <f>VLOOKUP(B11159,MTC!$B$9:$S$933,12,0)</f>
        <v>1475268</v>
      </c>
      <c r="N11159" s="912">
        <f>M11159*H11159</f>
        <v>221290.19999999998</v>
      </c>
      <c r="O11159" s="892">
        <f t="shared" si="894"/>
        <v>0</v>
      </c>
      <c r="P11159" s="903">
        <f t="shared" si="896"/>
        <v>1</v>
      </c>
      <c r="Q11159" s="893">
        <f t="shared" si="897"/>
        <v>1</v>
      </c>
      <c r="R11159" s="894">
        <f t="shared" si="898"/>
        <v>0</v>
      </c>
    </row>
    <row r="11160" spans="1:18" s="904" customFormat="1" ht="31.5">
      <c r="A11160" s="905">
        <v>237</v>
      </c>
      <c r="B11160" s="914" t="s">
        <v>6837</v>
      </c>
      <c r="C11160" s="915"/>
      <c r="D11160" s="915"/>
      <c r="E11160" s="1006" t="s">
        <v>6838</v>
      </c>
      <c r="F11160" s="917" t="s">
        <v>139</v>
      </c>
      <c r="G11160" s="1008"/>
      <c r="H11160" s="919"/>
      <c r="I11160" s="920"/>
      <c r="J11160" s="962">
        <f>SUM(J11161:J11169)</f>
        <v>29718.2</v>
      </c>
      <c r="K11160" s="891" t="s">
        <v>274</v>
      </c>
      <c r="L11160" s="962">
        <f>SUM(L11161:L11169)</f>
        <v>1094568.75</v>
      </c>
      <c r="M11160" s="962"/>
      <c r="N11160" s="962">
        <f>SUM(N11161:N11169)</f>
        <v>221290.19999999998</v>
      </c>
      <c r="O11160" s="892">
        <f t="shared" si="894"/>
        <v>1</v>
      </c>
      <c r="P11160" s="903">
        <f t="shared" si="896"/>
        <v>0</v>
      </c>
      <c r="Q11160" s="893">
        <f t="shared" si="897"/>
        <v>0</v>
      </c>
      <c r="R11160" s="894">
        <f t="shared" si="898"/>
        <v>9</v>
      </c>
    </row>
    <row r="11161" spans="1:18">
      <c r="A11161" s="895"/>
      <c r="B11161" s="896"/>
      <c r="C11161" s="897"/>
      <c r="D11161" s="897"/>
      <c r="E11161" s="1002" t="s">
        <v>108</v>
      </c>
      <c r="F11161" s="895"/>
      <c r="G11161" s="1004"/>
      <c r="H11161" s="901"/>
      <c r="I11161" s="902"/>
      <c r="J11161" s="902"/>
      <c r="K11161" s="912" t="s">
        <v>274</v>
      </c>
      <c r="L11161" s="902"/>
      <c r="M11161" s="902"/>
      <c r="N11161" s="902"/>
      <c r="O11161" s="892">
        <f t="shared" si="894"/>
        <v>0</v>
      </c>
      <c r="P11161" s="903">
        <f t="shared" si="896"/>
        <v>1</v>
      </c>
      <c r="Q11161" s="893">
        <f t="shared" si="897"/>
        <v>9</v>
      </c>
      <c r="R11161" s="894">
        <f t="shared" si="898"/>
        <v>0</v>
      </c>
    </row>
    <row r="11162" spans="1:18">
      <c r="A11162" s="905"/>
      <c r="B11162" s="952"/>
      <c r="C11162" s="907">
        <v>234</v>
      </c>
      <c r="D11162" s="907" t="s">
        <v>279</v>
      </c>
      <c r="E11162" s="992" t="s">
        <v>5983</v>
      </c>
      <c r="F11162" s="905" t="s">
        <v>3144</v>
      </c>
      <c r="G11162" s="1005"/>
      <c r="H11162" s="911">
        <v>1</v>
      </c>
      <c r="I11162" s="912">
        <f>VLOOKUP(E11162,[3]VLP!$B$7:$K$300,10,0)</f>
        <v>14000</v>
      </c>
      <c r="J11162" s="912">
        <f>I11162*H11162</f>
        <v>14000</v>
      </c>
      <c r="K11162" s="912" t="s">
        <v>274</v>
      </c>
      <c r="L11162" s="912"/>
      <c r="M11162" s="912"/>
      <c r="N11162" s="912"/>
      <c r="O11162" s="892">
        <f t="shared" si="894"/>
        <v>0</v>
      </c>
      <c r="P11162" s="903">
        <f t="shared" si="896"/>
        <v>1</v>
      </c>
      <c r="Q11162" s="893">
        <f t="shared" si="897"/>
        <v>8</v>
      </c>
      <c r="R11162" s="894">
        <f t="shared" si="898"/>
        <v>0</v>
      </c>
    </row>
    <row r="11163" spans="1:18">
      <c r="A11163" s="905"/>
      <c r="B11163" s="952"/>
      <c r="C11163" s="907">
        <v>212</v>
      </c>
      <c r="D11163" s="907" t="s">
        <v>279</v>
      </c>
      <c r="E11163" s="992" t="s">
        <v>2681</v>
      </c>
      <c r="F11163" s="905" t="s">
        <v>45</v>
      </c>
      <c r="G11163" s="1005"/>
      <c r="H11163" s="911">
        <v>0.3</v>
      </c>
      <c r="I11163" s="912">
        <f>VLOOKUP(E11163,[3]VLP!$B$7:$K$300,10,0)</f>
        <v>23000</v>
      </c>
      <c r="J11163" s="912">
        <f>I11163*H11163</f>
        <v>6900</v>
      </c>
      <c r="K11163" s="912" t="s">
        <v>274</v>
      </c>
      <c r="L11163" s="912"/>
      <c r="M11163" s="912"/>
      <c r="N11163" s="912"/>
      <c r="O11163" s="892">
        <f t="shared" si="894"/>
        <v>0</v>
      </c>
      <c r="P11163" s="903">
        <f t="shared" si="896"/>
        <v>1</v>
      </c>
      <c r="Q11163" s="893">
        <f t="shared" si="897"/>
        <v>7</v>
      </c>
      <c r="R11163" s="894">
        <f t="shared" si="898"/>
        <v>0</v>
      </c>
    </row>
    <row r="11164" spans="1:18">
      <c r="A11164" s="905"/>
      <c r="B11164" s="952"/>
      <c r="C11164" s="907">
        <v>321</v>
      </c>
      <c r="D11164" s="907" t="s">
        <v>279</v>
      </c>
      <c r="E11164" s="992" t="s">
        <v>6317</v>
      </c>
      <c r="F11164" s="905" t="s">
        <v>45</v>
      </c>
      <c r="G11164" s="1005"/>
      <c r="H11164" s="911">
        <v>0.1</v>
      </c>
      <c r="I11164" s="912">
        <f>VLOOKUP(E11164,[3]VLP!$B$7:$K$300,10,0)</f>
        <v>38182</v>
      </c>
      <c r="J11164" s="912">
        <f>I11164*H11164</f>
        <v>3818.2000000000003</v>
      </c>
      <c r="K11164" s="912" t="s">
        <v>274</v>
      </c>
      <c r="L11164" s="912"/>
      <c r="M11164" s="912"/>
      <c r="N11164" s="912"/>
      <c r="O11164" s="892">
        <f t="shared" si="894"/>
        <v>0</v>
      </c>
      <c r="P11164" s="903">
        <f t="shared" si="896"/>
        <v>1</v>
      </c>
      <c r="Q11164" s="893">
        <f t="shared" si="897"/>
        <v>6</v>
      </c>
      <c r="R11164" s="894">
        <f t="shared" si="898"/>
        <v>0</v>
      </c>
    </row>
    <row r="11165" spans="1:18">
      <c r="A11165" s="905"/>
      <c r="B11165" s="952"/>
      <c r="C11165" s="907">
        <v>235</v>
      </c>
      <c r="D11165" s="907" t="s">
        <v>279</v>
      </c>
      <c r="E11165" s="992" t="s">
        <v>2682</v>
      </c>
      <c r="F11165" s="905" t="s">
        <v>45</v>
      </c>
      <c r="G11165" s="1005"/>
      <c r="H11165" s="911">
        <v>1</v>
      </c>
      <c r="I11165" s="912">
        <f>VLOOKUP(E11165,[3]VLP!$B$7:$K$300,10,0)</f>
        <v>5000</v>
      </c>
      <c r="J11165" s="912">
        <f>I11165*H11165</f>
        <v>5000</v>
      </c>
      <c r="K11165" s="912" t="s">
        <v>274</v>
      </c>
      <c r="L11165" s="912"/>
      <c r="M11165" s="912"/>
      <c r="N11165" s="912"/>
      <c r="O11165" s="892">
        <f t="shared" si="894"/>
        <v>0</v>
      </c>
      <c r="P11165" s="903">
        <f t="shared" si="896"/>
        <v>1</v>
      </c>
      <c r="Q11165" s="893">
        <f t="shared" si="897"/>
        <v>5</v>
      </c>
      <c r="R11165" s="894">
        <f t="shared" si="898"/>
        <v>0</v>
      </c>
    </row>
    <row r="11166" spans="1:18">
      <c r="A11166" s="895"/>
      <c r="B11166" s="896"/>
      <c r="C11166" s="897"/>
      <c r="D11166" s="897"/>
      <c r="E11166" s="1002" t="s">
        <v>276</v>
      </c>
      <c r="F11166" s="895"/>
      <c r="G11166" s="1004"/>
      <c r="H11166" s="901"/>
      <c r="I11166" s="902"/>
      <c r="J11166" s="902"/>
      <c r="K11166" s="912" t="s">
        <v>274</v>
      </c>
      <c r="L11166" s="902"/>
      <c r="M11166" s="902"/>
      <c r="N11166" s="902"/>
      <c r="O11166" s="892">
        <f t="shared" si="894"/>
        <v>0</v>
      </c>
      <c r="P11166" s="903">
        <f t="shared" si="896"/>
        <v>1</v>
      </c>
      <c r="Q11166" s="893">
        <f t="shared" si="897"/>
        <v>4</v>
      </c>
      <c r="R11166" s="894">
        <f t="shared" si="898"/>
        <v>0</v>
      </c>
    </row>
    <row r="11167" spans="1:18">
      <c r="A11167" s="905"/>
      <c r="B11167" s="952"/>
      <c r="C11167" s="907">
        <v>740</v>
      </c>
      <c r="D11167" s="907" t="s">
        <v>12</v>
      </c>
      <c r="E11167" s="992" t="s">
        <v>4008</v>
      </c>
      <c r="F11167" s="905" t="s">
        <v>2674</v>
      </c>
      <c r="G11167" s="1005"/>
      <c r="H11167" s="911">
        <v>4.95</v>
      </c>
      <c r="I11167" s="912"/>
      <c r="J11167" s="912"/>
      <c r="K11167" s="912">
        <f>VLOOKUP(E11167,[5]ĐMNC!$A$7:$F$67,4,0)</f>
        <v>221125</v>
      </c>
      <c r="L11167" s="912">
        <f>H11167*K11167</f>
        <v>1094568.75</v>
      </c>
      <c r="M11167" s="912"/>
      <c r="N11167" s="912"/>
      <c r="O11167" s="892">
        <f t="shared" ref="O11167:O11230" si="901">IF(AND(B11167&lt;&gt;"",D11167=""),1,0)</f>
        <v>0</v>
      </c>
      <c r="P11167" s="903">
        <f t="shared" si="896"/>
        <v>1</v>
      </c>
      <c r="Q11167" s="893">
        <f t="shared" si="897"/>
        <v>3</v>
      </c>
      <c r="R11167" s="894">
        <f t="shared" si="898"/>
        <v>0</v>
      </c>
    </row>
    <row r="11168" spans="1:18" s="904" customFormat="1">
      <c r="A11168" s="895"/>
      <c r="B11168" s="896"/>
      <c r="C11168" s="897"/>
      <c r="D11168" s="897"/>
      <c r="E11168" s="1002" t="s">
        <v>3914</v>
      </c>
      <c r="F11168" s="895"/>
      <c r="G11168" s="1004"/>
      <c r="H11168" s="901"/>
      <c r="I11168" s="902"/>
      <c r="J11168" s="902"/>
      <c r="K11168" s="912" t="s">
        <v>274</v>
      </c>
      <c r="L11168" s="902"/>
      <c r="M11168" s="902"/>
      <c r="N11168" s="902"/>
      <c r="O11168" s="892">
        <f t="shared" si="901"/>
        <v>0</v>
      </c>
      <c r="P11168" s="903">
        <f t="shared" si="896"/>
        <v>1</v>
      </c>
      <c r="Q11168" s="893">
        <f t="shared" si="897"/>
        <v>2</v>
      </c>
      <c r="R11168" s="894">
        <f t="shared" si="898"/>
        <v>0</v>
      </c>
    </row>
    <row r="11169" spans="1:18">
      <c r="A11169" s="905"/>
      <c r="B11169" s="946" t="s">
        <v>6321</v>
      </c>
      <c r="C11169" s="907">
        <v>900</v>
      </c>
      <c r="D11169" s="907" t="s">
        <v>93</v>
      </c>
      <c r="E11169" s="992" t="s">
        <v>6322</v>
      </c>
      <c r="F11169" s="905" t="s">
        <v>2673</v>
      </c>
      <c r="G11169" s="1005"/>
      <c r="H11169" s="911">
        <v>0.15</v>
      </c>
      <c r="I11169" s="912"/>
      <c r="J11169" s="912"/>
      <c r="K11169" s="912"/>
      <c r="L11169" s="912"/>
      <c r="M11169" s="912">
        <f>VLOOKUP(B11169,MTC!$B$9:$S$933,12,0)</f>
        <v>1475268</v>
      </c>
      <c r="N11169" s="912">
        <f>M11169*H11169</f>
        <v>221290.19999999998</v>
      </c>
      <c r="O11169" s="892">
        <f t="shared" si="901"/>
        <v>0</v>
      </c>
      <c r="P11169" s="903">
        <f t="shared" si="896"/>
        <v>1</v>
      </c>
      <c r="Q11169" s="893">
        <f t="shared" si="897"/>
        <v>1</v>
      </c>
      <c r="R11169" s="894">
        <f t="shared" si="898"/>
        <v>0</v>
      </c>
    </row>
    <row r="11170" spans="1:18" s="847" customFormat="1" ht="31.5">
      <c r="A11170" s="905">
        <v>238</v>
      </c>
      <c r="B11170" s="914" t="s">
        <v>6839</v>
      </c>
      <c r="C11170" s="915"/>
      <c r="D11170" s="915"/>
      <c r="E11170" s="1006" t="s">
        <v>6840</v>
      </c>
      <c r="F11170" s="917" t="s">
        <v>139</v>
      </c>
      <c r="G11170" s="1008"/>
      <c r="H11170" s="919"/>
      <c r="I11170" s="920"/>
      <c r="J11170" s="962">
        <f>SUM(J11171:J11179)</f>
        <v>33018.199999999997</v>
      </c>
      <c r="K11170" s="891" t="s">
        <v>274</v>
      </c>
      <c r="L11170" s="962">
        <f>SUM(L11171:L11179)</f>
        <v>1410777.5</v>
      </c>
      <c r="M11170" s="962"/>
      <c r="N11170" s="962">
        <f>SUM(N11171:N11179)</f>
        <v>393486.60000000003</v>
      </c>
      <c r="O11170" s="892">
        <f t="shared" si="901"/>
        <v>1</v>
      </c>
      <c r="P11170" s="903">
        <f t="shared" si="896"/>
        <v>0</v>
      </c>
      <c r="Q11170" s="893">
        <f t="shared" si="897"/>
        <v>0</v>
      </c>
      <c r="R11170" s="894">
        <f t="shared" si="898"/>
        <v>9</v>
      </c>
    </row>
    <row r="11171" spans="1:18" s="904" customFormat="1">
      <c r="A11171" s="895"/>
      <c r="B11171" s="896"/>
      <c r="C11171" s="897"/>
      <c r="D11171" s="897"/>
      <c r="E11171" s="1002" t="s">
        <v>108</v>
      </c>
      <c r="F11171" s="895"/>
      <c r="G11171" s="1004"/>
      <c r="H11171" s="901"/>
      <c r="I11171" s="902"/>
      <c r="J11171" s="902"/>
      <c r="K11171" s="912" t="s">
        <v>274</v>
      </c>
      <c r="L11171" s="902"/>
      <c r="M11171" s="902"/>
      <c r="N11171" s="902"/>
      <c r="O11171" s="892">
        <f t="shared" si="901"/>
        <v>0</v>
      </c>
      <c r="P11171" s="903">
        <f t="shared" si="896"/>
        <v>1</v>
      </c>
      <c r="Q11171" s="893">
        <f t="shared" si="897"/>
        <v>9</v>
      </c>
      <c r="R11171" s="894">
        <f t="shared" si="898"/>
        <v>0</v>
      </c>
    </row>
    <row r="11172" spans="1:18">
      <c r="A11172" s="905"/>
      <c r="B11172" s="952"/>
      <c r="C11172" s="907">
        <v>234</v>
      </c>
      <c r="D11172" s="907" t="s">
        <v>279</v>
      </c>
      <c r="E11172" s="992" t="s">
        <v>5983</v>
      </c>
      <c r="F11172" s="905" t="s">
        <v>3144</v>
      </c>
      <c r="G11172" s="1005"/>
      <c r="H11172" s="911">
        <v>1</v>
      </c>
      <c r="I11172" s="912">
        <f>VLOOKUP(E11172,[3]VLP!$B$7:$K$300,10,0)</f>
        <v>14000</v>
      </c>
      <c r="J11172" s="912">
        <f>I11172*H11172</f>
        <v>14000</v>
      </c>
      <c r="K11172" s="912" t="s">
        <v>274</v>
      </c>
      <c r="L11172" s="912"/>
      <c r="M11172" s="912"/>
      <c r="N11172" s="912"/>
      <c r="O11172" s="892">
        <f t="shared" si="901"/>
        <v>0</v>
      </c>
      <c r="P11172" s="903">
        <f t="shared" si="896"/>
        <v>1</v>
      </c>
      <c r="Q11172" s="893">
        <f t="shared" si="897"/>
        <v>8</v>
      </c>
      <c r="R11172" s="894">
        <f t="shared" si="898"/>
        <v>0</v>
      </c>
    </row>
    <row r="11173" spans="1:18">
      <c r="A11173" s="905"/>
      <c r="B11173" s="952"/>
      <c r="C11173" s="907">
        <v>212</v>
      </c>
      <c r="D11173" s="907" t="s">
        <v>279</v>
      </c>
      <c r="E11173" s="992" t="s">
        <v>2681</v>
      </c>
      <c r="F11173" s="905" t="s">
        <v>45</v>
      </c>
      <c r="G11173" s="1005"/>
      <c r="H11173" s="911">
        <v>0.4</v>
      </c>
      <c r="I11173" s="912">
        <f>VLOOKUP(E11173,[3]VLP!$B$7:$K$300,10,0)</f>
        <v>23000</v>
      </c>
      <c r="J11173" s="912">
        <f>I11173*H11173</f>
        <v>9200</v>
      </c>
      <c r="K11173" s="912" t="s">
        <v>274</v>
      </c>
      <c r="L11173" s="912"/>
      <c r="M11173" s="912"/>
      <c r="N11173" s="912"/>
      <c r="O11173" s="892">
        <f t="shared" si="901"/>
        <v>0</v>
      </c>
      <c r="P11173" s="903">
        <f t="shared" si="896"/>
        <v>1</v>
      </c>
      <c r="Q11173" s="893">
        <f t="shared" si="897"/>
        <v>7</v>
      </c>
      <c r="R11173" s="894">
        <f t="shared" si="898"/>
        <v>0</v>
      </c>
    </row>
    <row r="11174" spans="1:18">
      <c r="A11174" s="905"/>
      <c r="B11174" s="952"/>
      <c r="C11174" s="907">
        <v>321</v>
      </c>
      <c r="D11174" s="907" t="s">
        <v>279</v>
      </c>
      <c r="E11174" s="992" t="s">
        <v>6317</v>
      </c>
      <c r="F11174" s="905" t="s">
        <v>45</v>
      </c>
      <c r="G11174" s="1005"/>
      <c r="H11174" s="911">
        <v>0.1</v>
      </c>
      <c r="I11174" s="912">
        <f>VLOOKUP(E11174,[3]VLP!$B$7:$K$300,10,0)</f>
        <v>38182</v>
      </c>
      <c r="J11174" s="912">
        <f>I11174*H11174</f>
        <v>3818.2000000000003</v>
      </c>
      <c r="K11174" s="912" t="s">
        <v>274</v>
      </c>
      <c r="L11174" s="912"/>
      <c r="M11174" s="912"/>
      <c r="N11174" s="912"/>
      <c r="O11174" s="892">
        <f t="shared" si="901"/>
        <v>0</v>
      </c>
      <c r="P11174" s="903">
        <f t="shared" si="896"/>
        <v>1</v>
      </c>
      <c r="Q11174" s="893">
        <f t="shared" si="897"/>
        <v>6</v>
      </c>
      <c r="R11174" s="894">
        <f t="shared" si="898"/>
        <v>0</v>
      </c>
    </row>
    <row r="11175" spans="1:18">
      <c r="A11175" s="905"/>
      <c r="B11175" s="952"/>
      <c r="C11175" s="907">
        <v>235</v>
      </c>
      <c r="D11175" s="907" t="s">
        <v>279</v>
      </c>
      <c r="E11175" s="992" t="s">
        <v>2682</v>
      </c>
      <c r="F11175" s="905" t="s">
        <v>45</v>
      </c>
      <c r="G11175" s="1005"/>
      <c r="H11175" s="911">
        <v>1.2</v>
      </c>
      <c r="I11175" s="912">
        <f>VLOOKUP(E11175,[3]VLP!$B$7:$K$300,10,0)</f>
        <v>5000</v>
      </c>
      <c r="J11175" s="912">
        <f>I11175*H11175</f>
        <v>6000</v>
      </c>
      <c r="K11175" s="912" t="s">
        <v>274</v>
      </c>
      <c r="L11175" s="912"/>
      <c r="M11175" s="912"/>
      <c r="N11175" s="912"/>
      <c r="O11175" s="892">
        <f t="shared" si="901"/>
        <v>0</v>
      </c>
      <c r="P11175" s="903">
        <f t="shared" si="896"/>
        <v>1</v>
      </c>
      <c r="Q11175" s="893">
        <f t="shared" si="897"/>
        <v>5</v>
      </c>
      <c r="R11175" s="894">
        <f t="shared" si="898"/>
        <v>0</v>
      </c>
    </row>
    <row r="11176" spans="1:18">
      <c r="A11176" s="895"/>
      <c r="B11176" s="896"/>
      <c r="C11176" s="897"/>
      <c r="D11176" s="897"/>
      <c r="E11176" s="1002" t="s">
        <v>276</v>
      </c>
      <c r="F11176" s="895"/>
      <c r="G11176" s="1004"/>
      <c r="H11176" s="901"/>
      <c r="I11176" s="902"/>
      <c r="J11176" s="902"/>
      <c r="K11176" s="912" t="s">
        <v>274</v>
      </c>
      <c r="L11176" s="902"/>
      <c r="M11176" s="902"/>
      <c r="N11176" s="902"/>
      <c r="O11176" s="892">
        <f t="shared" si="901"/>
        <v>0</v>
      </c>
      <c r="P11176" s="903">
        <f t="shared" si="896"/>
        <v>1</v>
      </c>
      <c r="Q11176" s="893">
        <f t="shared" si="897"/>
        <v>4</v>
      </c>
      <c r="R11176" s="894">
        <f t="shared" si="898"/>
        <v>0</v>
      </c>
    </row>
    <row r="11177" spans="1:18">
      <c r="A11177" s="905"/>
      <c r="B11177" s="952"/>
      <c r="C11177" s="907">
        <v>740</v>
      </c>
      <c r="D11177" s="907" t="s">
        <v>12</v>
      </c>
      <c r="E11177" s="992" t="s">
        <v>4008</v>
      </c>
      <c r="F11177" s="905" t="s">
        <v>2674</v>
      </c>
      <c r="G11177" s="1005"/>
      <c r="H11177" s="911">
        <v>6.38</v>
      </c>
      <c r="I11177" s="912"/>
      <c r="J11177" s="912"/>
      <c r="K11177" s="912">
        <f>VLOOKUP(E11177,[5]ĐMNC!$A$7:$F$67,4,0)</f>
        <v>221125</v>
      </c>
      <c r="L11177" s="912">
        <f>H11177*K11177</f>
        <v>1410777.5</v>
      </c>
      <c r="M11177" s="912"/>
      <c r="N11177" s="912"/>
      <c r="O11177" s="892">
        <f t="shared" si="901"/>
        <v>0</v>
      </c>
      <c r="P11177" s="903">
        <f t="shared" si="896"/>
        <v>1</v>
      </c>
      <c r="Q11177" s="893">
        <f t="shared" si="897"/>
        <v>3</v>
      </c>
      <c r="R11177" s="894">
        <f t="shared" si="898"/>
        <v>0</v>
      </c>
    </row>
    <row r="11178" spans="1:18">
      <c r="A11178" s="895"/>
      <c r="B11178" s="896"/>
      <c r="C11178" s="897"/>
      <c r="D11178" s="897"/>
      <c r="E11178" s="1002" t="s">
        <v>3914</v>
      </c>
      <c r="F11178" s="895"/>
      <c r="G11178" s="1004"/>
      <c r="H11178" s="901"/>
      <c r="I11178" s="902"/>
      <c r="J11178" s="902"/>
      <c r="K11178" s="912" t="s">
        <v>274</v>
      </c>
      <c r="L11178" s="902"/>
      <c r="M11178" s="902"/>
      <c r="N11178" s="902"/>
      <c r="O11178" s="892">
        <f t="shared" si="901"/>
        <v>0</v>
      </c>
      <c r="P11178" s="903">
        <f t="shared" si="896"/>
        <v>1</v>
      </c>
      <c r="Q11178" s="893">
        <f t="shared" si="897"/>
        <v>2</v>
      </c>
      <c r="R11178" s="894">
        <f t="shared" si="898"/>
        <v>0</v>
      </c>
    </row>
    <row r="11179" spans="1:18" s="904" customFormat="1">
      <c r="A11179" s="905"/>
      <c r="B11179" s="952" t="s">
        <v>6332</v>
      </c>
      <c r="C11179" s="907">
        <v>901</v>
      </c>
      <c r="D11179" s="907" t="s">
        <v>93</v>
      </c>
      <c r="E11179" s="992" t="s">
        <v>6333</v>
      </c>
      <c r="F11179" s="905" t="s">
        <v>2673</v>
      </c>
      <c r="G11179" s="1005"/>
      <c r="H11179" s="911">
        <v>0.2</v>
      </c>
      <c r="I11179" s="912"/>
      <c r="J11179" s="912"/>
      <c r="K11179" s="912"/>
      <c r="L11179" s="912"/>
      <c r="M11179" s="912">
        <f>VLOOKUP(B11179,MTC!$B$9:$S$933,12,0)</f>
        <v>1967433</v>
      </c>
      <c r="N11179" s="912">
        <f>M11179*H11179</f>
        <v>393486.60000000003</v>
      </c>
      <c r="O11179" s="892">
        <f t="shared" si="901"/>
        <v>0</v>
      </c>
      <c r="P11179" s="903">
        <f t="shared" si="896"/>
        <v>1</v>
      </c>
      <c r="Q11179" s="893">
        <f t="shared" si="897"/>
        <v>1</v>
      </c>
      <c r="R11179" s="894">
        <f t="shared" si="898"/>
        <v>0</v>
      </c>
    </row>
    <row r="11180" spans="1:18" ht="31.5">
      <c r="A11180" s="905">
        <v>239</v>
      </c>
      <c r="B11180" s="914" t="s">
        <v>6841</v>
      </c>
      <c r="C11180" s="915"/>
      <c r="D11180" s="915"/>
      <c r="E11180" s="1006" t="s">
        <v>6842</v>
      </c>
      <c r="F11180" s="917" t="s">
        <v>139</v>
      </c>
      <c r="G11180" s="1008"/>
      <c r="H11180" s="919"/>
      <c r="I11180" s="920"/>
      <c r="J11180" s="962">
        <f>SUM(J11181:J11189)</f>
        <v>36318.199999999997</v>
      </c>
      <c r="K11180" s="891" t="s">
        <v>274</v>
      </c>
      <c r="L11180" s="962">
        <f>SUM(L11181:L11189)</f>
        <v>1757943.75</v>
      </c>
      <c r="M11180" s="962"/>
      <c r="N11180" s="962">
        <f>SUM(N11181:N11189)</f>
        <v>393486.60000000003</v>
      </c>
      <c r="O11180" s="892">
        <f t="shared" si="901"/>
        <v>1</v>
      </c>
      <c r="P11180" s="903">
        <f t="shared" si="896"/>
        <v>0</v>
      </c>
      <c r="Q11180" s="893">
        <f t="shared" si="897"/>
        <v>0</v>
      </c>
      <c r="R11180" s="894">
        <f t="shared" si="898"/>
        <v>9</v>
      </c>
    </row>
    <row r="11181" spans="1:18" s="847" customFormat="1">
      <c r="A11181" s="895"/>
      <c r="B11181" s="896"/>
      <c r="C11181" s="897"/>
      <c r="D11181" s="897"/>
      <c r="E11181" s="1002" t="s">
        <v>108</v>
      </c>
      <c r="F11181" s="895"/>
      <c r="G11181" s="1004"/>
      <c r="H11181" s="901"/>
      <c r="I11181" s="902"/>
      <c r="J11181" s="902"/>
      <c r="K11181" s="912" t="s">
        <v>274</v>
      </c>
      <c r="L11181" s="902"/>
      <c r="M11181" s="902"/>
      <c r="N11181" s="902"/>
      <c r="O11181" s="892">
        <f t="shared" si="901"/>
        <v>0</v>
      </c>
      <c r="P11181" s="903">
        <f t="shared" si="896"/>
        <v>1</v>
      </c>
      <c r="Q11181" s="893">
        <f t="shared" si="897"/>
        <v>9</v>
      </c>
      <c r="R11181" s="894">
        <f t="shared" si="898"/>
        <v>0</v>
      </c>
    </row>
    <row r="11182" spans="1:18" s="904" customFormat="1">
      <c r="A11182" s="905"/>
      <c r="B11182" s="952"/>
      <c r="C11182" s="907">
        <v>234</v>
      </c>
      <c r="D11182" s="907" t="s">
        <v>279</v>
      </c>
      <c r="E11182" s="992" t="s">
        <v>5983</v>
      </c>
      <c r="F11182" s="905" t="s">
        <v>3144</v>
      </c>
      <c r="G11182" s="1005"/>
      <c r="H11182" s="911">
        <v>1</v>
      </c>
      <c r="I11182" s="912">
        <f>VLOOKUP(E11182,[3]VLP!$B$7:$K$300,10,0)</f>
        <v>14000</v>
      </c>
      <c r="J11182" s="912">
        <f>I11182*H11182</f>
        <v>14000</v>
      </c>
      <c r="K11182" s="912" t="s">
        <v>274</v>
      </c>
      <c r="L11182" s="912"/>
      <c r="M11182" s="912"/>
      <c r="N11182" s="912"/>
      <c r="O11182" s="892">
        <f t="shared" si="901"/>
        <v>0</v>
      </c>
      <c r="P11182" s="903">
        <f t="shared" si="896"/>
        <v>1</v>
      </c>
      <c r="Q11182" s="893">
        <f t="shared" si="897"/>
        <v>8</v>
      </c>
      <c r="R11182" s="894">
        <f t="shared" si="898"/>
        <v>0</v>
      </c>
    </row>
    <row r="11183" spans="1:18">
      <c r="A11183" s="905"/>
      <c r="B11183" s="952"/>
      <c r="C11183" s="907">
        <v>212</v>
      </c>
      <c r="D11183" s="907" t="s">
        <v>279</v>
      </c>
      <c r="E11183" s="992" t="s">
        <v>2681</v>
      </c>
      <c r="F11183" s="905" t="s">
        <v>45</v>
      </c>
      <c r="G11183" s="1005"/>
      <c r="H11183" s="911">
        <v>0.5</v>
      </c>
      <c r="I11183" s="912">
        <f>VLOOKUP(E11183,[3]VLP!$B$7:$K$300,10,0)</f>
        <v>23000</v>
      </c>
      <c r="J11183" s="912">
        <f>I11183*H11183</f>
        <v>11500</v>
      </c>
      <c r="K11183" s="912" t="s">
        <v>274</v>
      </c>
      <c r="L11183" s="912"/>
      <c r="M11183" s="912"/>
      <c r="N11183" s="912"/>
      <c r="O11183" s="892">
        <f t="shared" si="901"/>
        <v>0</v>
      </c>
      <c r="P11183" s="903">
        <f t="shared" si="896"/>
        <v>1</v>
      </c>
      <c r="Q11183" s="893">
        <f t="shared" si="897"/>
        <v>7</v>
      </c>
      <c r="R11183" s="894">
        <f t="shared" si="898"/>
        <v>0</v>
      </c>
    </row>
    <row r="11184" spans="1:18">
      <c r="A11184" s="905"/>
      <c r="B11184" s="952"/>
      <c r="C11184" s="907">
        <v>321</v>
      </c>
      <c r="D11184" s="907" t="s">
        <v>279</v>
      </c>
      <c r="E11184" s="992" t="s">
        <v>6317</v>
      </c>
      <c r="F11184" s="905" t="s">
        <v>45</v>
      </c>
      <c r="G11184" s="1005"/>
      <c r="H11184" s="911">
        <v>0.1</v>
      </c>
      <c r="I11184" s="912">
        <f>VLOOKUP(E11184,[3]VLP!$B$7:$K$300,10,0)</f>
        <v>38182</v>
      </c>
      <c r="J11184" s="912">
        <f>I11184*H11184</f>
        <v>3818.2000000000003</v>
      </c>
      <c r="K11184" s="912" t="s">
        <v>274</v>
      </c>
      <c r="L11184" s="912"/>
      <c r="M11184" s="912"/>
      <c r="N11184" s="912"/>
      <c r="O11184" s="892">
        <f t="shared" si="901"/>
        <v>0</v>
      </c>
      <c r="P11184" s="903">
        <f t="shared" si="896"/>
        <v>1</v>
      </c>
      <c r="Q11184" s="893">
        <f t="shared" si="897"/>
        <v>6</v>
      </c>
      <c r="R11184" s="894">
        <f t="shared" si="898"/>
        <v>0</v>
      </c>
    </row>
    <row r="11185" spans="1:18">
      <c r="A11185" s="905"/>
      <c r="B11185" s="952"/>
      <c r="C11185" s="907">
        <v>235</v>
      </c>
      <c r="D11185" s="907" t="s">
        <v>279</v>
      </c>
      <c r="E11185" s="992" t="s">
        <v>2682</v>
      </c>
      <c r="F11185" s="905" t="s">
        <v>45</v>
      </c>
      <c r="G11185" s="1005"/>
      <c r="H11185" s="911">
        <v>1.4</v>
      </c>
      <c r="I11185" s="912">
        <f>VLOOKUP(E11185,[3]VLP!$B$7:$K$300,10,0)</f>
        <v>5000</v>
      </c>
      <c r="J11185" s="912">
        <f>I11185*H11185</f>
        <v>7000</v>
      </c>
      <c r="K11185" s="912" t="s">
        <v>274</v>
      </c>
      <c r="L11185" s="912"/>
      <c r="M11185" s="912"/>
      <c r="N11185" s="912"/>
      <c r="O11185" s="892">
        <f t="shared" si="901"/>
        <v>0</v>
      </c>
      <c r="P11185" s="903">
        <f t="shared" si="896"/>
        <v>1</v>
      </c>
      <c r="Q11185" s="893">
        <f t="shared" si="897"/>
        <v>5</v>
      </c>
      <c r="R11185" s="894">
        <f t="shared" si="898"/>
        <v>0</v>
      </c>
    </row>
    <row r="11186" spans="1:18">
      <c r="A11186" s="895"/>
      <c r="B11186" s="896"/>
      <c r="C11186" s="897"/>
      <c r="D11186" s="897"/>
      <c r="E11186" s="1002" t="s">
        <v>276</v>
      </c>
      <c r="F11186" s="895"/>
      <c r="G11186" s="1004"/>
      <c r="H11186" s="901"/>
      <c r="I11186" s="902"/>
      <c r="J11186" s="902"/>
      <c r="K11186" s="912" t="s">
        <v>274</v>
      </c>
      <c r="L11186" s="902"/>
      <c r="M11186" s="902"/>
      <c r="N11186" s="902"/>
      <c r="O11186" s="892">
        <f t="shared" si="901"/>
        <v>0</v>
      </c>
      <c r="P11186" s="903">
        <f t="shared" si="896"/>
        <v>1</v>
      </c>
      <c r="Q11186" s="893">
        <f t="shared" si="897"/>
        <v>4</v>
      </c>
      <c r="R11186" s="894">
        <f t="shared" si="898"/>
        <v>0</v>
      </c>
    </row>
    <row r="11187" spans="1:18">
      <c r="A11187" s="905"/>
      <c r="B11187" s="952"/>
      <c r="C11187" s="907">
        <v>740</v>
      </c>
      <c r="D11187" s="907" t="s">
        <v>12</v>
      </c>
      <c r="E11187" s="992" t="s">
        <v>4008</v>
      </c>
      <c r="F11187" s="905" t="s">
        <v>2674</v>
      </c>
      <c r="G11187" s="1005"/>
      <c r="H11187" s="911">
        <v>7.95</v>
      </c>
      <c r="I11187" s="912"/>
      <c r="J11187" s="912"/>
      <c r="K11187" s="912">
        <f>VLOOKUP(E11187,[5]ĐMNC!$A$7:$F$67,4,0)</f>
        <v>221125</v>
      </c>
      <c r="L11187" s="912">
        <f>H11187*K11187</f>
        <v>1757943.75</v>
      </c>
      <c r="M11187" s="912"/>
      <c r="N11187" s="912"/>
      <c r="O11187" s="892">
        <f t="shared" si="901"/>
        <v>0</v>
      </c>
      <c r="P11187" s="903">
        <f t="shared" ref="P11187:P11250" si="902">IF(O11187=0,1,0)</f>
        <v>1</v>
      </c>
      <c r="Q11187" s="893">
        <f t="shared" ref="Q11187:Q11250" si="903">IF(P11187=0,0,P11187+Q11188)</f>
        <v>3</v>
      </c>
      <c r="R11187" s="894">
        <f t="shared" ref="R11187:R11250" si="904">IF(Q11187=0,Q11188,0)</f>
        <v>0</v>
      </c>
    </row>
    <row r="11188" spans="1:18" s="904" customFormat="1">
      <c r="A11188" s="895"/>
      <c r="B11188" s="896"/>
      <c r="C11188" s="897"/>
      <c r="D11188" s="897"/>
      <c r="E11188" s="1002" t="s">
        <v>3914</v>
      </c>
      <c r="F11188" s="895"/>
      <c r="G11188" s="1004"/>
      <c r="H11188" s="901"/>
      <c r="I11188" s="902"/>
      <c r="J11188" s="902"/>
      <c r="K11188" s="912" t="s">
        <v>274</v>
      </c>
      <c r="L11188" s="902"/>
      <c r="M11188" s="902"/>
      <c r="N11188" s="902"/>
      <c r="O11188" s="892">
        <f t="shared" si="901"/>
        <v>0</v>
      </c>
      <c r="P11188" s="903">
        <f t="shared" si="902"/>
        <v>1</v>
      </c>
      <c r="Q11188" s="893">
        <f t="shared" si="903"/>
        <v>2</v>
      </c>
      <c r="R11188" s="894">
        <f t="shared" si="904"/>
        <v>0</v>
      </c>
    </row>
    <row r="11189" spans="1:18">
      <c r="A11189" s="905"/>
      <c r="B11189" s="952" t="s">
        <v>6332</v>
      </c>
      <c r="C11189" s="907">
        <v>901</v>
      </c>
      <c r="D11189" s="907" t="s">
        <v>93</v>
      </c>
      <c r="E11189" s="992" t="s">
        <v>6333</v>
      </c>
      <c r="F11189" s="905" t="s">
        <v>2673</v>
      </c>
      <c r="G11189" s="1005"/>
      <c r="H11189" s="911">
        <v>0.2</v>
      </c>
      <c r="I11189" s="912"/>
      <c r="J11189" s="912"/>
      <c r="K11189" s="912"/>
      <c r="L11189" s="912"/>
      <c r="M11189" s="912">
        <f>VLOOKUP(B11189,MTC!$B$9:$S$933,12,0)</f>
        <v>1967433</v>
      </c>
      <c r="N11189" s="912">
        <f>M11189*H11189</f>
        <v>393486.60000000003</v>
      </c>
      <c r="O11189" s="892">
        <f t="shared" si="901"/>
        <v>0</v>
      </c>
      <c r="P11189" s="903">
        <f t="shared" si="902"/>
        <v>1</v>
      </c>
      <c r="Q11189" s="893">
        <f t="shared" si="903"/>
        <v>1</v>
      </c>
      <c r="R11189" s="894">
        <f t="shared" si="904"/>
        <v>0</v>
      </c>
    </row>
    <row r="11190" spans="1:18" s="904" customFormat="1" ht="31.5">
      <c r="A11190" s="905">
        <v>240</v>
      </c>
      <c r="B11190" s="914" t="s">
        <v>6843</v>
      </c>
      <c r="C11190" s="915"/>
      <c r="D11190" s="915"/>
      <c r="E11190" s="1006" t="s">
        <v>6844</v>
      </c>
      <c r="F11190" s="917" t="s">
        <v>139</v>
      </c>
      <c r="G11190" s="1008"/>
      <c r="H11190" s="919"/>
      <c r="I11190" s="920"/>
      <c r="J11190" s="962">
        <f>SUM(J11191:J11199)</f>
        <v>29718.2</v>
      </c>
      <c r="K11190" s="891" t="s">
        <v>274</v>
      </c>
      <c r="L11190" s="962">
        <f>SUM(L11191:L11199)</f>
        <v>1021597.5</v>
      </c>
      <c r="M11190" s="962"/>
      <c r="N11190" s="962">
        <f>SUM(N11191:N11199)</f>
        <v>221290.19999999998</v>
      </c>
      <c r="O11190" s="892">
        <f t="shared" si="901"/>
        <v>1</v>
      </c>
      <c r="P11190" s="903">
        <f t="shared" si="902"/>
        <v>0</v>
      </c>
      <c r="Q11190" s="893">
        <f t="shared" si="903"/>
        <v>0</v>
      </c>
      <c r="R11190" s="894">
        <f t="shared" si="904"/>
        <v>9</v>
      </c>
    </row>
    <row r="11191" spans="1:18">
      <c r="A11191" s="895"/>
      <c r="B11191" s="896"/>
      <c r="C11191" s="897"/>
      <c r="D11191" s="897"/>
      <c r="E11191" s="1002" t="s">
        <v>108</v>
      </c>
      <c r="F11191" s="895"/>
      <c r="G11191" s="1004"/>
      <c r="H11191" s="901"/>
      <c r="I11191" s="902"/>
      <c r="J11191" s="902"/>
      <c r="K11191" s="912" t="s">
        <v>274</v>
      </c>
      <c r="L11191" s="902"/>
      <c r="M11191" s="902"/>
      <c r="N11191" s="902"/>
      <c r="O11191" s="892">
        <f t="shared" si="901"/>
        <v>0</v>
      </c>
      <c r="P11191" s="903">
        <f t="shared" si="902"/>
        <v>1</v>
      </c>
      <c r="Q11191" s="893">
        <f t="shared" si="903"/>
        <v>9</v>
      </c>
      <c r="R11191" s="894">
        <f t="shared" si="904"/>
        <v>0</v>
      </c>
    </row>
    <row r="11192" spans="1:18" s="847" customFormat="1">
      <c r="A11192" s="905"/>
      <c r="B11192" s="952"/>
      <c r="C11192" s="907">
        <v>234</v>
      </c>
      <c r="D11192" s="907" t="s">
        <v>279</v>
      </c>
      <c r="E11192" s="992" t="s">
        <v>5983</v>
      </c>
      <c r="F11192" s="905" t="s">
        <v>3144</v>
      </c>
      <c r="G11192" s="1005"/>
      <c r="H11192" s="911">
        <v>1</v>
      </c>
      <c r="I11192" s="912">
        <f>VLOOKUP(E11192,[3]VLP!$B$7:$K$300,10,0)</f>
        <v>14000</v>
      </c>
      <c r="J11192" s="912">
        <f>I11192*H11192</f>
        <v>14000</v>
      </c>
      <c r="K11192" s="912" t="s">
        <v>274</v>
      </c>
      <c r="L11192" s="912"/>
      <c r="M11192" s="912"/>
      <c r="N11192" s="912"/>
      <c r="O11192" s="892">
        <f t="shared" si="901"/>
        <v>0</v>
      </c>
      <c r="P11192" s="903">
        <f t="shared" si="902"/>
        <v>1</v>
      </c>
      <c r="Q11192" s="893">
        <f t="shared" si="903"/>
        <v>8</v>
      </c>
      <c r="R11192" s="894">
        <f t="shared" si="904"/>
        <v>0</v>
      </c>
    </row>
    <row r="11193" spans="1:18" s="904" customFormat="1">
      <c r="A11193" s="905"/>
      <c r="B11193" s="952"/>
      <c r="C11193" s="907">
        <v>212</v>
      </c>
      <c r="D11193" s="907" t="s">
        <v>279</v>
      </c>
      <c r="E11193" s="992" t="s">
        <v>2681</v>
      </c>
      <c r="F11193" s="905" t="s">
        <v>45</v>
      </c>
      <c r="G11193" s="1005"/>
      <c r="H11193" s="911">
        <v>0.3</v>
      </c>
      <c r="I11193" s="912">
        <f>VLOOKUP(E11193,[3]VLP!$B$7:$K$300,10,0)</f>
        <v>23000</v>
      </c>
      <c r="J11193" s="912">
        <f>I11193*H11193</f>
        <v>6900</v>
      </c>
      <c r="K11193" s="912" t="s">
        <v>274</v>
      </c>
      <c r="L11193" s="912"/>
      <c r="M11193" s="912"/>
      <c r="N11193" s="912"/>
      <c r="O11193" s="892">
        <f t="shared" si="901"/>
        <v>0</v>
      </c>
      <c r="P11193" s="903">
        <f t="shared" si="902"/>
        <v>1</v>
      </c>
      <c r="Q11193" s="893">
        <f t="shared" si="903"/>
        <v>7</v>
      </c>
      <c r="R11193" s="894">
        <f t="shared" si="904"/>
        <v>0</v>
      </c>
    </row>
    <row r="11194" spans="1:18">
      <c r="A11194" s="905"/>
      <c r="B11194" s="952"/>
      <c r="C11194" s="907">
        <v>321</v>
      </c>
      <c r="D11194" s="907" t="s">
        <v>279</v>
      </c>
      <c r="E11194" s="992" t="s">
        <v>6317</v>
      </c>
      <c r="F11194" s="905" t="s">
        <v>45</v>
      </c>
      <c r="G11194" s="1005"/>
      <c r="H11194" s="911">
        <v>0.1</v>
      </c>
      <c r="I11194" s="912">
        <f>VLOOKUP(E11194,[3]VLP!$B$7:$K$300,10,0)</f>
        <v>38182</v>
      </c>
      <c r="J11194" s="912">
        <f>I11194*H11194</f>
        <v>3818.2000000000003</v>
      </c>
      <c r="K11194" s="912" t="s">
        <v>274</v>
      </c>
      <c r="L11194" s="912"/>
      <c r="M11194" s="912"/>
      <c r="N11194" s="912"/>
      <c r="O11194" s="892">
        <f t="shared" si="901"/>
        <v>0</v>
      </c>
      <c r="P11194" s="903">
        <f t="shared" si="902"/>
        <v>1</v>
      </c>
      <c r="Q11194" s="893">
        <f t="shared" si="903"/>
        <v>6</v>
      </c>
      <c r="R11194" s="894">
        <f t="shared" si="904"/>
        <v>0</v>
      </c>
    </row>
    <row r="11195" spans="1:18">
      <c r="A11195" s="905"/>
      <c r="B11195" s="952"/>
      <c r="C11195" s="907">
        <v>235</v>
      </c>
      <c r="D11195" s="907" t="s">
        <v>279</v>
      </c>
      <c r="E11195" s="992" t="s">
        <v>2682</v>
      </c>
      <c r="F11195" s="905" t="s">
        <v>45</v>
      </c>
      <c r="G11195" s="1005"/>
      <c r="H11195" s="911">
        <v>1</v>
      </c>
      <c r="I11195" s="912">
        <f>VLOOKUP(E11195,[3]VLP!$B$7:$K$300,10,0)</f>
        <v>5000</v>
      </c>
      <c r="J11195" s="912">
        <f>I11195*H11195</f>
        <v>5000</v>
      </c>
      <c r="K11195" s="912" t="s">
        <v>274</v>
      </c>
      <c r="L11195" s="912"/>
      <c r="M11195" s="912"/>
      <c r="N11195" s="912"/>
      <c r="O11195" s="892">
        <f t="shared" si="901"/>
        <v>0</v>
      </c>
      <c r="P11195" s="903">
        <f t="shared" si="902"/>
        <v>1</v>
      </c>
      <c r="Q11195" s="893">
        <f t="shared" si="903"/>
        <v>5</v>
      </c>
      <c r="R11195" s="894">
        <f t="shared" si="904"/>
        <v>0</v>
      </c>
    </row>
    <row r="11196" spans="1:18">
      <c r="A11196" s="895"/>
      <c r="B11196" s="896"/>
      <c r="C11196" s="897"/>
      <c r="D11196" s="897"/>
      <c r="E11196" s="1002" t="s">
        <v>276</v>
      </c>
      <c r="F11196" s="895"/>
      <c r="G11196" s="1004"/>
      <c r="H11196" s="901"/>
      <c r="I11196" s="902"/>
      <c r="J11196" s="902"/>
      <c r="K11196" s="912" t="s">
        <v>274</v>
      </c>
      <c r="L11196" s="902"/>
      <c r="M11196" s="902"/>
      <c r="N11196" s="902"/>
      <c r="O11196" s="892">
        <f t="shared" si="901"/>
        <v>0</v>
      </c>
      <c r="P11196" s="903">
        <f t="shared" si="902"/>
        <v>1</v>
      </c>
      <c r="Q11196" s="893">
        <f t="shared" si="903"/>
        <v>4</v>
      </c>
      <c r="R11196" s="894">
        <f t="shared" si="904"/>
        <v>0</v>
      </c>
    </row>
    <row r="11197" spans="1:18">
      <c r="A11197" s="905"/>
      <c r="B11197" s="952"/>
      <c r="C11197" s="907">
        <v>740</v>
      </c>
      <c r="D11197" s="907" t="s">
        <v>12</v>
      </c>
      <c r="E11197" s="992" t="s">
        <v>4008</v>
      </c>
      <c r="F11197" s="905" t="s">
        <v>2674</v>
      </c>
      <c r="G11197" s="1005"/>
      <c r="H11197" s="911">
        <v>4.62</v>
      </c>
      <c r="I11197" s="912"/>
      <c r="J11197" s="912"/>
      <c r="K11197" s="912">
        <f>VLOOKUP(E11197,[5]ĐMNC!$A$7:$F$67,4,0)</f>
        <v>221125</v>
      </c>
      <c r="L11197" s="912">
        <f>H11197*K11197</f>
        <v>1021597.5</v>
      </c>
      <c r="M11197" s="912"/>
      <c r="N11197" s="912"/>
      <c r="O11197" s="892">
        <f t="shared" si="901"/>
        <v>0</v>
      </c>
      <c r="P11197" s="903">
        <f t="shared" si="902"/>
        <v>1</v>
      </c>
      <c r="Q11197" s="893">
        <f t="shared" si="903"/>
        <v>3</v>
      </c>
      <c r="R11197" s="894">
        <f t="shared" si="904"/>
        <v>0</v>
      </c>
    </row>
    <row r="11198" spans="1:18">
      <c r="A11198" s="895"/>
      <c r="B11198" s="896"/>
      <c r="C11198" s="897"/>
      <c r="D11198" s="897"/>
      <c r="E11198" s="1002" t="s">
        <v>3914</v>
      </c>
      <c r="F11198" s="895"/>
      <c r="G11198" s="1004"/>
      <c r="H11198" s="901"/>
      <c r="I11198" s="902"/>
      <c r="J11198" s="902"/>
      <c r="K11198" s="912" t="s">
        <v>274</v>
      </c>
      <c r="L11198" s="902"/>
      <c r="M11198" s="902"/>
      <c r="N11198" s="902"/>
      <c r="O11198" s="892">
        <f t="shared" si="901"/>
        <v>0</v>
      </c>
      <c r="P11198" s="903">
        <f t="shared" si="902"/>
        <v>1</v>
      </c>
      <c r="Q11198" s="893">
        <f t="shared" si="903"/>
        <v>2</v>
      </c>
      <c r="R11198" s="894">
        <f t="shared" si="904"/>
        <v>0</v>
      </c>
    </row>
    <row r="11199" spans="1:18" s="904" customFormat="1">
      <c r="A11199" s="905"/>
      <c r="B11199" s="946" t="s">
        <v>6321</v>
      </c>
      <c r="C11199" s="907">
        <v>900</v>
      </c>
      <c r="D11199" s="907" t="s">
        <v>93</v>
      </c>
      <c r="E11199" s="992" t="s">
        <v>6322</v>
      </c>
      <c r="F11199" s="905" t="s">
        <v>2673</v>
      </c>
      <c r="G11199" s="1005"/>
      <c r="H11199" s="911">
        <v>0.15</v>
      </c>
      <c r="I11199" s="912"/>
      <c r="J11199" s="912"/>
      <c r="K11199" s="912"/>
      <c r="L11199" s="912"/>
      <c r="M11199" s="912">
        <f>VLOOKUP(B11199,MTC!$B$9:$S$933,12,0)</f>
        <v>1475268</v>
      </c>
      <c r="N11199" s="912">
        <f>M11199*H11199</f>
        <v>221290.19999999998</v>
      </c>
      <c r="O11199" s="892">
        <f t="shared" si="901"/>
        <v>0</v>
      </c>
      <c r="P11199" s="903">
        <f t="shared" si="902"/>
        <v>1</v>
      </c>
      <c r="Q11199" s="893">
        <f t="shared" si="903"/>
        <v>1</v>
      </c>
      <c r="R11199" s="894">
        <f t="shared" si="904"/>
        <v>0</v>
      </c>
    </row>
    <row r="11200" spans="1:18" ht="31.5">
      <c r="A11200" s="905">
        <v>241</v>
      </c>
      <c r="B11200" s="914" t="s">
        <v>6845</v>
      </c>
      <c r="C11200" s="915"/>
      <c r="D11200" s="915"/>
      <c r="E11200" s="1006" t="s">
        <v>6846</v>
      </c>
      <c r="F11200" s="917" t="s">
        <v>139</v>
      </c>
      <c r="G11200" s="1008"/>
      <c r="H11200" s="919"/>
      <c r="I11200" s="920"/>
      <c r="J11200" s="962">
        <f>SUM(J11201:J11209)</f>
        <v>33018.199999999997</v>
      </c>
      <c r="K11200" s="891" t="s">
        <v>274</v>
      </c>
      <c r="L11200" s="962">
        <f>SUM(L11201:L11209)</f>
        <v>1616423.75</v>
      </c>
      <c r="M11200" s="962"/>
      <c r="N11200" s="962">
        <f>SUM(N11201:N11209)</f>
        <v>221290.19999999998</v>
      </c>
      <c r="O11200" s="892">
        <f t="shared" si="901"/>
        <v>1</v>
      </c>
      <c r="P11200" s="903">
        <f t="shared" si="902"/>
        <v>0</v>
      </c>
      <c r="Q11200" s="893">
        <f t="shared" si="903"/>
        <v>0</v>
      </c>
      <c r="R11200" s="894">
        <f t="shared" si="904"/>
        <v>9</v>
      </c>
    </row>
    <row r="11201" spans="1:18" s="904" customFormat="1">
      <c r="A11201" s="895"/>
      <c r="B11201" s="896"/>
      <c r="C11201" s="897"/>
      <c r="D11201" s="897"/>
      <c r="E11201" s="1002" t="s">
        <v>108</v>
      </c>
      <c r="F11201" s="895"/>
      <c r="G11201" s="1004"/>
      <c r="H11201" s="901"/>
      <c r="I11201" s="902"/>
      <c r="J11201" s="902"/>
      <c r="K11201" s="912" t="s">
        <v>274</v>
      </c>
      <c r="L11201" s="902"/>
      <c r="M11201" s="902"/>
      <c r="N11201" s="902"/>
      <c r="O11201" s="892">
        <f t="shared" si="901"/>
        <v>0</v>
      </c>
      <c r="P11201" s="903">
        <f t="shared" si="902"/>
        <v>1</v>
      </c>
      <c r="Q11201" s="893">
        <f t="shared" si="903"/>
        <v>9</v>
      </c>
      <c r="R11201" s="894">
        <f t="shared" si="904"/>
        <v>0</v>
      </c>
    </row>
    <row r="11202" spans="1:18">
      <c r="A11202" s="905"/>
      <c r="B11202" s="952"/>
      <c r="C11202" s="907">
        <v>234</v>
      </c>
      <c r="D11202" s="907" t="s">
        <v>279</v>
      </c>
      <c r="E11202" s="992" t="s">
        <v>5983</v>
      </c>
      <c r="F11202" s="905" t="s">
        <v>3144</v>
      </c>
      <c r="G11202" s="1005"/>
      <c r="H11202" s="911">
        <v>1</v>
      </c>
      <c r="I11202" s="912">
        <f>VLOOKUP(E11202,[3]VLP!$B$7:$K$300,10,0)</f>
        <v>14000</v>
      </c>
      <c r="J11202" s="912">
        <f>I11202*H11202</f>
        <v>14000</v>
      </c>
      <c r="K11202" s="912" t="s">
        <v>274</v>
      </c>
      <c r="L11202" s="912"/>
      <c r="M11202" s="912"/>
      <c r="N11202" s="912"/>
      <c r="O11202" s="892">
        <f t="shared" si="901"/>
        <v>0</v>
      </c>
      <c r="P11202" s="903">
        <f t="shared" si="902"/>
        <v>1</v>
      </c>
      <c r="Q11202" s="893">
        <f t="shared" si="903"/>
        <v>8</v>
      </c>
      <c r="R11202" s="894">
        <f t="shared" si="904"/>
        <v>0</v>
      </c>
    </row>
    <row r="11203" spans="1:18" s="847" customFormat="1">
      <c r="A11203" s="905"/>
      <c r="B11203" s="952"/>
      <c r="C11203" s="907">
        <v>212</v>
      </c>
      <c r="D11203" s="907" t="s">
        <v>279</v>
      </c>
      <c r="E11203" s="992" t="s">
        <v>2681</v>
      </c>
      <c r="F11203" s="905" t="s">
        <v>45</v>
      </c>
      <c r="G11203" s="1005"/>
      <c r="H11203" s="911">
        <v>0.4</v>
      </c>
      <c r="I11203" s="912">
        <f>VLOOKUP(E11203,[3]VLP!$B$7:$K$300,10,0)</f>
        <v>23000</v>
      </c>
      <c r="J11203" s="912">
        <f>I11203*H11203</f>
        <v>9200</v>
      </c>
      <c r="K11203" s="912" t="s">
        <v>274</v>
      </c>
      <c r="L11203" s="912"/>
      <c r="M11203" s="912"/>
      <c r="N11203" s="912"/>
      <c r="O11203" s="892">
        <f t="shared" si="901"/>
        <v>0</v>
      </c>
      <c r="P11203" s="903">
        <f t="shared" si="902"/>
        <v>1</v>
      </c>
      <c r="Q11203" s="893">
        <f t="shared" si="903"/>
        <v>7</v>
      </c>
      <c r="R11203" s="894">
        <f t="shared" si="904"/>
        <v>0</v>
      </c>
    </row>
    <row r="11204" spans="1:18" s="904" customFormat="1">
      <c r="A11204" s="905"/>
      <c r="B11204" s="952"/>
      <c r="C11204" s="907">
        <v>321</v>
      </c>
      <c r="D11204" s="907" t="s">
        <v>279</v>
      </c>
      <c r="E11204" s="992" t="s">
        <v>6317</v>
      </c>
      <c r="F11204" s="905" t="s">
        <v>45</v>
      </c>
      <c r="G11204" s="1005"/>
      <c r="H11204" s="911">
        <v>0.1</v>
      </c>
      <c r="I11204" s="912">
        <f>VLOOKUP(E11204,[3]VLP!$B$7:$K$300,10,0)</f>
        <v>38182</v>
      </c>
      <c r="J11204" s="912">
        <f>I11204*H11204</f>
        <v>3818.2000000000003</v>
      </c>
      <c r="K11204" s="912" t="s">
        <v>274</v>
      </c>
      <c r="L11204" s="912"/>
      <c r="M11204" s="912"/>
      <c r="N11204" s="912"/>
      <c r="O11204" s="892">
        <f t="shared" si="901"/>
        <v>0</v>
      </c>
      <c r="P11204" s="903">
        <f t="shared" si="902"/>
        <v>1</v>
      </c>
      <c r="Q11204" s="893">
        <f t="shared" si="903"/>
        <v>6</v>
      </c>
      <c r="R11204" s="894">
        <f t="shared" si="904"/>
        <v>0</v>
      </c>
    </row>
    <row r="11205" spans="1:18">
      <c r="A11205" s="905"/>
      <c r="B11205" s="952"/>
      <c r="C11205" s="907">
        <v>235</v>
      </c>
      <c r="D11205" s="907" t="s">
        <v>279</v>
      </c>
      <c r="E11205" s="992" t="s">
        <v>2682</v>
      </c>
      <c r="F11205" s="905" t="s">
        <v>45</v>
      </c>
      <c r="G11205" s="1005"/>
      <c r="H11205" s="911">
        <v>1.2</v>
      </c>
      <c r="I11205" s="912">
        <f>VLOOKUP(E11205,[3]VLP!$B$7:$K$300,10,0)</f>
        <v>5000</v>
      </c>
      <c r="J11205" s="912">
        <f>I11205*H11205</f>
        <v>6000</v>
      </c>
      <c r="K11205" s="912" t="s">
        <v>274</v>
      </c>
      <c r="L11205" s="912"/>
      <c r="M11205" s="912"/>
      <c r="N11205" s="912"/>
      <c r="O11205" s="892">
        <f t="shared" si="901"/>
        <v>0</v>
      </c>
      <c r="P11205" s="903">
        <f t="shared" si="902"/>
        <v>1</v>
      </c>
      <c r="Q11205" s="893">
        <f t="shared" si="903"/>
        <v>5</v>
      </c>
      <c r="R11205" s="894">
        <f t="shared" si="904"/>
        <v>0</v>
      </c>
    </row>
    <row r="11206" spans="1:18">
      <c r="A11206" s="895"/>
      <c r="B11206" s="896"/>
      <c r="C11206" s="897"/>
      <c r="D11206" s="897"/>
      <c r="E11206" s="1002" t="s">
        <v>276</v>
      </c>
      <c r="F11206" s="895"/>
      <c r="G11206" s="1004"/>
      <c r="H11206" s="901"/>
      <c r="I11206" s="902"/>
      <c r="J11206" s="902"/>
      <c r="K11206" s="912" t="s">
        <v>274</v>
      </c>
      <c r="L11206" s="902"/>
      <c r="M11206" s="902"/>
      <c r="N11206" s="902"/>
      <c r="O11206" s="892">
        <f t="shared" si="901"/>
        <v>0</v>
      </c>
      <c r="P11206" s="903">
        <f t="shared" si="902"/>
        <v>1</v>
      </c>
      <c r="Q11206" s="893">
        <f t="shared" si="903"/>
        <v>4</v>
      </c>
      <c r="R11206" s="894">
        <f t="shared" si="904"/>
        <v>0</v>
      </c>
    </row>
    <row r="11207" spans="1:18">
      <c r="A11207" s="905"/>
      <c r="B11207" s="952"/>
      <c r="C11207" s="907">
        <v>740</v>
      </c>
      <c r="D11207" s="907" t="s">
        <v>12</v>
      </c>
      <c r="E11207" s="992" t="s">
        <v>4008</v>
      </c>
      <c r="F11207" s="905" t="s">
        <v>2674</v>
      </c>
      <c r="G11207" s="1005"/>
      <c r="H11207" s="911">
        <v>7.31</v>
      </c>
      <c r="I11207" s="912"/>
      <c r="J11207" s="912"/>
      <c r="K11207" s="912">
        <f>VLOOKUP(E11207,[5]ĐMNC!$A$7:$F$67,4,0)</f>
        <v>221125</v>
      </c>
      <c r="L11207" s="912">
        <f>H11207*K11207</f>
        <v>1616423.75</v>
      </c>
      <c r="M11207" s="912"/>
      <c r="N11207" s="912"/>
      <c r="O11207" s="892">
        <f t="shared" si="901"/>
        <v>0</v>
      </c>
      <c r="P11207" s="903">
        <f t="shared" si="902"/>
        <v>1</v>
      </c>
      <c r="Q11207" s="893">
        <f t="shared" si="903"/>
        <v>3</v>
      </c>
      <c r="R11207" s="894">
        <f t="shared" si="904"/>
        <v>0</v>
      </c>
    </row>
    <row r="11208" spans="1:18">
      <c r="A11208" s="895"/>
      <c r="B11208" s="896"/>
      <c r="C11208" s="897"/>
      <c r="D11208" s="897"/>
      <c r="E11208" s="1002" t="s">
        <v>3914</v>
      </c>
      <c r="F11208" s="895"/>
      <c r="G11208" s="1004"/>
      <c r="H11208" s="901"/>
      <c r="I11208" s="902"/>
      <c r="J11208" s="902"/>
      <c r="K11208" s="912" t="s">
        <v>274</v>
      </c>
      <c r="L11208" s="902"/>
      <c r="M11208" s="902"/>
      <c r="N11208" s="902"/>
      <c r="O11208" s="892">
        <f t="shared" si="901"/>
        <v>0</v>
      </c>
      <c r="P11208" s="903">
        <f t="shared" si="902"/>
        <v>1</v>
      </c>
      <c r="Q11208" s="893">
        <f t="shared" si="903"/>
        <v>2</v>
      </c>
      <c r="R11208" s="894">
        <f t="shared" si="904"/>
        <v>0</v>
      </c>
    </row>
    <row r="11209" spans="1:18">
      <c r="A11209" s="905"/>
      <c r="B11209" s="946" t="s">
        <v>6321</v>
      </c>
      <c r="C11209" s="907">
        <v>900</v>
      </c>
      <c r="D11209" s="907" t="s">
        <v>93</v>
      </c>
      <c r="E11209" s="992" t="s">
        <v>6322</v>
      </c>
      <c r="F11209" s="905" t="s">
        <v>2673</v>
      </c>
      <c r="G11209" s="1005"/>
      <c r="H11209" s="911">
        <v>0.15</v>
      </c>
      <c r="I11209" s="912"/>
      <c r="J11209" s="912"/>
      <c r="K11209" s="912"/>
      <c r="L11209" s="912"/>
      <c r="M11209" s="912">
        <f>VLOOKUP(B11209,MTC!$B$9:$S$933,12,0)</f>
        <v>1475268</v>
      </c>
      <c r="N11209" s="912">
        <f>M11209*H11209</f>
        <v>221290.19999999998</v>
      </c>
      <c r="O11209" s="892">
        <f t="shared" si="901"/>
        <v>0</v>
      </c>
      <c r="P11209" s="903">
        <f t="shared" si="902"/>
        <v>1</v>
      </c>
      <c r="Q11209" s="893">
        <f t="shared" si="903"/>
        <v>1</v>
      </c>
      <c r="R11209" s="894">
        <f t="shared" si="904"/>
        <v>0</v>
      </c>
    </row>
    <row r="11210" spans="1:18" s="904" customFormat="1" ht="31.5">
      <c r="A11210" s="905">
        <v>242</v>
      </c>
      <c r="B11210" s="914" t="s">
        <v>6847</v>
      </c>
      <c r="C11210" s="915"/>
      <c r="D11210" s="915"/>
      <c r="E11210" s="1006" t="s">
        <v>6848</v>
      </c>
      <c r="F11210" s="917" t="s">
        <v>139</v>
      </c>
      <c r="G11210" s="1008"/>
      <c r="H11210" s="919"/>
      <c r="I11210" s="920"/>
      <c r="J11210" s="962">
        <f>SUM(J11211:J11219)</f>
        <v>36318.199999999997</v>
      </c>
      <c r="K11210" s="891" t="s">
        <v>274</v>
      </c>
      <c r="L11210" s="962">
        <f>SUM(L11211:L11219)</f>
        <v>1658437.5</v>
      </c>
      <c r="M11210" s="962"/>
      <c r="N11210" s="962">
        <f>SUM(N11211:N11219)</f>
        <v>393486.60000000003</v>
      </c>
      <c r="O11210" s="892">
        <f t="shared" si="901"/>
        <v>1</v>
      </c>
      <c r="P11210" s="903">
        <f t="shared" si="902"/>
        <v>0</v>
      </c>
      <c r="Q11210" s="893">
        <f t="shared" si="903"/>
        <v>0</v>
      </c>
      <c r="R11210" s="894">
        <f t="shared" si="904"/>
        <v>9</v>
      </c>
    </row>
    <row r="11211" spans="1:18">
      <c r="A11211" s="895"/>
      <c r="B11211" s="922"/>
      <c r="C11211" s="897"/>
      <c r="D11211" s="897"/>
      <c r="E11211" s="1002" t="s">
        <v>108</v>
      </c>
      <c r="F11211" s="895"/>
      <c r="G11211" s="1004"/>
      <c r="H11211" s="901"/>
      <c r="I11211" s="902"/>
      <c r="J11211" s="902"/>
      <c r="K11211" s="912" t="s">
        <v>274</v>
      </c>
      <c r="L11211" s="902"/>
      <c r="M11211" s="902"/>
      <c r="N11211" s="902"/>
      <c r="O11211" s="892">
        <f t="shared" si="901"/>
        <v>0</v>
      </c>
      <c r="P11211" s="903">
        <f t="shared" si="902"/>
        <v>1</v>
      </c>
      <c r="Q11211" s="893">
        <f t="shared" si="903"/>
        <v>9</v>
      </c>
      <c r="R11211" s="894">
        <f t="shared" si="904"/>
        <v>0</v>
      </c>
    </row>
    <row r="11212" spans="1:18" s="904" customFormat="1">
      <c r="A11212" s="905"/>
      <c r="B11212" s="952"/>
      <c r="C11212" s="907">
        <v>234</v>
      </c>
      <c r="D11212" s="907" t="s">
        <v>279</v>
      </c>
      <c r="E11212" s="992" t="s">
        <v>5983</v>
      </c>
      <c r="F11212" s="905" t="s">
        <v>3144</v>
      </c>
      <c r="G11212" s="1005"/>
      <c r="H11212" s="911">
        <v>1</v>
      </c>
      <c r="I11212" s="912">
        <f>VLOOKUP(E11212,[3]VLP!$B$7:$K$300,10,0)</f>
        <v>14000</v>
      </c>
      <c r="J11212" s="912">
        <f>I11212*H11212</f>
        <v>14000</v>
      </c>
      <c r="K11212" s="912" t="s">
        <v>274</v>
      </c>
      <c r="L11212" s="912"/>
      <c r="M11212" s="912"/>
      <c r="N11212" s="912"/>
      <c r="O11212" s="892">
        <f t="shared" si="901"/>
        <v>0</v>
      </c>
      <c r="P11212" s="903">
        <f t="shared" si="902"/>
        <v>1</v>
      </c>
      <c r="Q11212" s="893">
        <f t="shared" si="903"/>
        <v>8</v>
      </c>
      <c r="R11212" s="894">
        <f t="shared" si="904"/>
        <v>0</v>
      </c>
    </row>
    <row r="11213" spans="1:18">
      <c r="A11213" s="905"/>
      <c r="B11213" s="952"/>
      <c r="C11213" s="907">
        <v>212</v>
      </c>
      <c r="D11213" s="907" t="s">
        <v>279</v>
      </c>
      <c r="E11213" s="992" t="s">
        <v>2681</v>
      </c>
      <c r="F11213" s="905" t="s">
        <v>45</v>
      </c>
      <c r="G11213" s="1005"/>
      <c r="H11213" s="911">
        <v>0.5</v>
      </c>
      <c r="I11213" s="912">
        <f>VLOOKUP(E11213,[3]VLP!$B$7:$K$300,10,0)</f>
        <v>23000</v>
      </c>
      <c r="J11213" s="912">
        <f>I11213*H11213</f>
        <v>11500</v>
      </c>
      <c r="K11213" s="912" t="s">
        <v>274</v>
      </c>
      <c r="L11213" s="912"/>
      <c r="M11213" s="912"/>
      <c r="N11213" s="912"/>
      <c r="O11213" s="892">
        <f t="shared" si="901"/>
        <v>0</v>
      </c>
      <c r="P11213" s="903">
        <f t="shared" si="902"/>
        <v>1</v>
      </c>
      <c r="Q11213" s="893">
        <f t="shared" si="903"/>
        <v>7</v>
      </c>
      <c r="R11213" s="894">
        <f t="shared" si="904"/>
        <v>0</v>
      </c>
    </row>
    <row r="11214" spans="1:18" s="847" customFormat="1">
      <c r="A11214" s="905"/>
      <c r="B11214" s="952"/>
      <c r="C11214" s="907">
        <v>321</v>
      </c>
      <c r="D11214" s="907" t="s">
        <v>279</v>
      </c>
      <c r="E11214" s="992" t="s">
        <v>6317</v>
      </c>
      <c r="F11214" s="905" t="s">
        <v>45</v>
      </c>
      <c r="G11214" s="1005"/>
      <c r="H11214" s="911">
        <v>0.1</v>
      </c>
      <c r="I11214" s="912">
        <f>VLOOKUP(E11214,[3]VLP!$B$7:$K$300,10,0)</f>
        <v>38182</v>
      </c>
      <c r="J11214" s="912">
        <f>I11214*H11214</f>
        <v>3818.2000000000003</v>
      </c>
      <c r="K11214" s="912" t="s">
        <v>274</v>
      </c>
      <c r="L11214" s="912"/>
      <c r="M11214" s="912"/>
      <c r="N11214" s="912"/>
      <c r="O11214" s="892">
        <f t="shared" si="901"/>
        <v>0</v>
      </c>
      <c r="P11214" s="903">
        <f t="shared" si="902"/>
        <v>1</v>
      </c>
      <c r="Q11214" s="893">
        <f t="shared" si="903"/>
        <v>6</v>
      </c>
      <c r="R11214" s="894">
        <f t="shared" si="904"/>
        <v>0</v>
      </c>
    </row>
    <row r="11215" spans="1:18" s="904" customFormat="1">
      <c r="A11215" s="905"/>
      <c r="B11215" s="952"/>
      <c r="C11215" s="907">
        <v>235</v>
      </c>
      <c r="D11215" s="907" t="s">
        <v>279</v>
      </c>
      <c r="E11215" s="992" t="s">
        <v>2682</v>
      </c>
      <c r="F11215" s="905" t="s">
        <v>45</v>
      </c>
      <c r="G11215" s="1005"/>
      <c r="H11215" s="911">
        <v>1.4</v>
      </c>
      <c r="I11215" s="912">
        <f>VLOOKUP(E11215,[3]VLP!$B$7:$K$300,10,0)</f>
        <v>5000</v>
      </c>
      <c r="J11215" s="912">
        <f>I11215*H11215</f>
        <v>7000</v>
      </c>
      <c r="K11215" s="912" t="s">
        <v>274</v>
      </c>
      <c r="L11215" s="912"/>
      <c r="M11215" s="912"/>
      <c r="N11215" s="912"/>
      <c r="O11215" s="892">
        <f t="shared" si="901"/>
        <v>0</v>
      </c>
      <c r="P11215" s="903">
        <f t="shared" si="902"/>
        <v>1</v>
      </c>
      <c r="Q11215" s="893">
        <f t="shared" si="903"/>
        <v>5</v>
      </c>
      <c r="R11215" s="894">
        <f t="shared" si="904"/>
        <v>0</v>
      </c>
    </row>
    <row r="11216" spans="1:18">
      <c r="A11216" s="895"/>
      <c r="B11216" s="896"/>
      <c r="C11216" s="897"/>
      <c r="D11216" s="897"/>
      <c r="E11216" s="1002" t="s">
        <v>276</v>
      </c>
      <c r="F11216" s="895"/>
      <c r="G11216" s="1004"/>
      <c r="H11216" s="901"/>
      <c r="I11216" s="902"/>
      <c r="J11216" s="902"/>
      <c r="K11216" s="912" t="s">
        <v>274</v>
      </c>
      <c r="L11216" s="902"/>
      <c r="M11216" s="902"/>
      <c r="N11216" s="902"/>
      <c r="O11216" s="892">
        <f t="shared" si="901"/>
        <v>0</v>
      </c>
      <c r="P11216" s="903">
        <f t="shared" si="902"/>
        <v>1</v>
      </c>
      <c r="Q11216" s="893">
        <f t="shared" si="903"/>
        <v>4</v>
      </c>
      <c r="R11216" s="894">
        <f t="shared" si="904"/>
        <v>0</v>
      </c>
    </row>
    <row r="11217" spans="1:18">
      <c r="A11217" s="905"/>
      <c r="B11217" s="952"/>
      <c r="C11217" s="907">
        <v>740</v>
      </c>
      <c r="D11217" s="907" t="s">
        <v>12</v>
      </c>
      <c r="E11217" s="992" t="s">
        <v>4008</v>
      </c>
      <c r="F11217" s="905" t="s">
        <v>2674</v>
      </c>
      <c r="G11217" s="1005"/>
      <c r="H11217" s="911">
        <v>7.5</v>
      </c>
      <c r="I11217" s="912"/>
      <c r="J11217" s="912"/>
      <c r="K11217" s="912">
        <f>VLOOKUP(E11217,[5]ĐMNC!$A$7:$F$67,4,0)</f>
        <v>221125</v>
      </c>
      <c r="L11217" s="912">
        <f>H11217*K11217</f>
        <v>1658437.5</v>
      </c>
      <c r="M11217" s="912"/>
      <c r="N11217" s="912"/>
      <c r="O11217" s="892">
        <f t="shared" si="901"/>
        <v>0</v>
      </c>
      <c r="P11217" s="903">
        <f t="shared" si="902"/>
        <v>1</v>
      </c>
      <c r="Q11217" s="893">
        <f t="shared" si="903"/>
        <v>3</v>
      </c>
      <c r="R11217" s="894">
        <f t="shared" si="904"/>
        <v>0</v>
      </c>
    </row>
    <row r="11218" spans="1:18">
      <c r="A11218" s="895"/>
      <c r="B11218" s="896"/>
      <c r="C11218" s="897"/>
      <c r="D11218" s="897"/>
      <c r="E11218" s="1002" t="s">
        <v>3914</v>
      </c>
      <c r="F11218" s="895"/>
      <c r="G11218" s="1004"/>
      <c r="H11218" s="901"/>
      <c r="I11218" s="902"/>
      <c r="J11218" s="902"/>
      <c r="K11218" s="912" t="s">
        <v>274</v>
      </c>
      <c r="L11218" s="902"/>
      <c r="M11218" s="902"/>
      <c r="N11218" s="902"/>
      <c r="O11218" s="892">
        <f t="shared" si="901"/>
        <v>0</v>
      </c>
      <c r="P11218" s="903">
        <f t="shared" si="902"/>
        <v>1</v>
      </c>
      <c r="Q11218" s="893">
        <f t="shared" si="903"/>
        <v>2</v>
      </c>
      <c r="R11218" s="894">
        <f t="shared" si="904"/>
        <v>0</v>
      </c>
    </row>
    <row r="11219" spans="1:18">
      <c r="A11219" s="905"/>
      <c r="B11219" s="952" t="s">
        <v>6332</v>
      </c>
      <c r="C11219" s="907">
        <v>901</v>
      </c>
      <c r="D11219" s="907" t="s">
        <v>93</v>
      </c>
      <c r="E11219" s="992" t="s">
        <v>6333</v>
      </c>
      <c r="F11219" s="905" t="s">
        <v>2673</v>
      </c>
      <c r="G11219" s="1005"/>
      <c r="H11219" s="911">
        <v>0.2</v>
      </c>
      <c r="I11219" s="912"/>
      <c r="J11219" s="912"/>
      <c r="K11219" s="912"/>
      <c r="L11219" s="912"/>
      <c r="M11219" s="912">
        <f>VLOOKUP(B11219,MTC!$B$9:$S$933,12,0)</f>
        <v>1967433</v>
      </c>
      <c r="N11219" s="912">
        <f>M11219*H11219</f>
        <v>393486.60000000003</v>
      </c>
      <c r="O11219" s="892">
        <f t="shared" si="901"/>
        <v>0</v>
      </c>
      <c r="P11219" s="903">
        <f t="shared" si="902"/>
        <v>1</v>
      </c>
      <c r="Q11219" s="893">
        <f t="shared" si="903"/>
        <v>1</v>
      </c>
      <c r="R11219" s="894">
        <f t="shared" si="904"/>
        <v>0</v>
      </c>
    </row>
    <row r="11220" spans="1:18" ht="31.5">
      <c r="A11220" s="905">
        <v>243</v>
      </c>
      <c r="B11220" s="914" t="s">
        <v>6849</v>
      </c>
      <c r="C11220" s="915"/>
      <c r="D11220" s="915"/>
      <c r="E11220" s="1006" t="s">
        <v>6850</v>
      </c>
      <c r="F11220" s="917" t="s">
        <v>139</v>
      </c>
      <c r="G11220" s="1008"/>
      <c r="H11220" s="919"/>
      <c r="I11220" s="920"/>
      <c r="J11220" s="962">
        <f>SUM(J11221:J11229)</f>
        <v>40118.199999999997</v>
      </c>
      <c r="K11220" s="891" t="s">
        <v>274</v>
      </c>
      <c r="L11220" s="962">
        <f>SUM(L11221:L11229)</f>
        <v>1970223.75</v>
      </c>
      <c r="M11220" s="962"/>
      <c r="N11220" s="962">
        <f>SUM(N11221:N11229)</f>
        <v>393486.60000000003</v>
      </c>
      <c r="O11220" s="892">
        <f t="shared" si="901"/>
        <v>1</v>
      </c>
      <c r="P11220" s="903">
        <f t="shared" si="902"/>
        <v>0</v>
      </c>
      <c r="Q11220" s="893">
        <f t="shared" si="903"/>
        <v>0</v>
      </c>
      <c r="R11220" s="894">
        <f t="shared" si="904"/>
        <v>9</v>
      </c>
    </row>
    <row r="11221" spans="1:18">
      <c r="A11221" s="895"/>
      <c r="B11221" s="896"/>
      <c r="C11221" s="897"/>
      <c r="D11221" s="897"/>
      <c r="E11221" s="1002" t="s">
        <v>108</v>
      </c>
      <c r="F11221" s="895"/>
      <c r="G11221" s="1004"/>
      <c r="H11221" s="901"/>
      <c r="I11221" s="902"/>
      <c r="J11221" s="902"/>
      <c r="K11221" s="912" t="s">
        <v>274</v>
      </c>
      <c r="L11221" s="902"/>
      <c r="M11221" s="902"/>
      <c r="N11221" s="902"/>
      <c r="O11221" s="892">
        <f t="shared" si="901"/>
        <v>0</v>
      </c>
      <c r="P11221" s="903">
        <f t="shared" si="902"/>
        <v>1</v>
      </c>
      <c r="Q11221" s="893">
        <f t="shared" si="903"/>
        <v>9</v>
      </c>
      <c r="R11221" s="894">
        <f t="shared" si="904"/>
        <v>0</v>
      </c>
    </row>
    <row r="11222" spans="1:18">
      <c r="A11222" s="905"/>
      <c r="B11222" s="952"/>
      <c r="C11222" s="907">
        <v>234</v>
      </c>
      <c r="D11222" s="907" t="s">
        <v>279</v>
      </c>
      <c r="E11222" s="992" t="s">
        <v>5983</v>
      </c>
      <c r="F11222" s="905" t="s">
        <v>3144</v>
      </c>
      <c r="G11222" s="1005"/>
      <c r="H11222" s="911">
        <v>1</v>
      </c>
      <c r="I11222" s="912">
        <f>VLOOKUP(E11222,[3]VLP!$B$7:$K$300,10,0)</f>
        <v>14000</v>
      </c>
      <c r="J11222" s="912">
        <f>I11222*H11222</f>
        <v>14000</v>
      </c>
      <c r="K11222" s="912" t="s">
        <v>274</v>
      </c>
      <c r="L11222" s="912"/>
      <c r="M11222" s="912"/>
      <c r="N11222" s="912"/>
      <c r="O11222" s="892">
        <f t="shared" si="901"/>
        <v>0</v>
      </c>
      <c r="P11222" s="903">
        <f t="shared" si="902"/>
        <v>1</v>
      </c>
      <c r="Q11222" s="893">
        <f t="shared" si="903"/>
        <v>8</v>
      </c>
      <c r="R11222" s="894">
        <f t="shared" si="904"/>
        <v>0</v>
      </c>
    </row>
    <row r="11223" spans="1:18" s="904" customFormat="1">
      <c r="A11223" s="905"/>
      <c r="B11223" s="952"/>
      <c r="C11223" s="907">
        <v>212</v>
      </c>
      <c r="D11223" s="907" t="s">
        <v>279</v>
      </c>
      <c r="E11223" s="992" t="s">
        <v>2681</v>
      </c>
      <c r="F11223" s="905" t="s">
        <v>45</v>
      </c>
      <c r="G11223" s="1005"/>
      <c r="H11223" s="911">
        <v>0.6</v>
      </c>
      <c r="I11223" s="912">
        <f>VLOOKUP(E11223,[3]VLP!$B$7:$K$300,10,0)</f>
        <v>23000</v>
      </c>
      <c r="J11223" s="912">
        <f>I11223*H11223</f>
        <v>13800</v>
      </c>
      <c r="K11223" s="912" t="s">
        <v>274</v>
      </c>
      <c r="L11223" s="912"/>
      <c r="M11223" s="912"/>
      <c r="N11223" s="912"/>
      <c r="O11223" s="892">
        <f t="shared" si="901"/>
        <v>0</v>
      </c>
      <c r="P11223" s="903">
        <f t="shared" si="902"/>
        <v>1</v>
      </c>
      <c r="Q11223" s="893">
        <f t="shared" si="903"/>
        <v>7</v>
      </c>
      <c r="R11223" s="894">
        <f t="shared" si="904"/>
        <v>0</v>
      </c>
    </row>
    <row r="11224" spans="1:18">
      <c r="A11224" s="905"/>
      <c r="B11224" s="952"/>
      <c r="C11224" s="907">
        <v>321</v>
      </c>
      <c r="D11224" s="907" t="s">
        <v>279</v>
      </c>
      <c r="E11224" s="992" t="s">
        <v>6317</v>
      </c>
      <c r="F11224" s="905" t="s">
        <v>45</v>
      </c>
      <c r="G11224" s="1005"/>
      <c r="H11224" s="911">
        <v>0.1</v>
      </c>
      <c r="I11224" s="912">
        <f>VLOOKUP(E11224,[3]VLP!$B$7:$K$300,10,0)</f>
        <v>38182</v>
      </c>
      <c r="J11224" s="912">
        <f>I11224*H11224</f>
        <v>3818.2000000000003</v>
      </c>
      <c r="K11224" s="912" t="s">
        <v>274</v>
      </c>
      <c r="L11224" s="912"/>
      <c r="M11224" s="912"/>
      <c r="N11224" s="912"/>
      <c r="O11224" s="892">
        <f t="shared" si="901"/>
        <v>0</v>
      </c>
      <c r="P11224" s="903">
        <f t="shared" si="902"/>
        <v>1</v>
      </c>
      <c r="Q11224" s="893">
        <f t="shared" si="903"/>
        <v>6</v>
      </c>
      <c r="R11224" s="894">
        <f t="shared" si="904"/>
        <v>0</v>
      </c>
    </row>
    <row r="11225" spans="1:18" s="904" customFormat="1">
      <c r="A11225" s="905"/>
      <c r="B11225" s="952"/>
      <c r="C11225" s="907">
        <v>235</v>
      </c>
      <c r="D11225" s="907" t="s">
        <v>279</v>
      </c>
      <c r="E11225" s="992" t="s">
        <v>2682</v>
      </c>
      <c r="F11225" s="905" t="s">
        <v>45</v>
      </c>
      <c r="G11225" s="1005"/>
      <c r="H11225" s="911">
        <v>1.7</v>
      </c>
      <c r="I11225" s="912">
        <f>VLOOKUP(E11225,[3]VLP!$B$7:$K$300,10,0)</f>
        <v>5000</v>
      </c>
      <c r="J11225" s="912">
        <f>I11225*H11225</f>
        <v>8500</v>
      </c>
      <c r="K11225" s="912" t="s">
        <v>274</v>
      </c>
      <c r="L11225" s="912"/>
      <c r="M11225" s="912"/>
      <c r="N11225" s="912"/>
      <c r="O11225" s="892">
        <f t="shared" si="901"/>
        <v>0</v>
      </c>
      <c r="P11225" s="903">
        <f t="shared" si="902"/>
        <v>1</v>
      </c>
      <c r="Q11225" s="893">
        <f t="shared" si="903"/>
        <v>5</v>
      </c>
      <c r="R11225" s="894">
        <f t="shared" si="904"/>
        <v>0</v>
      </c>
    </row>
    <row r="11226" spans="1:18">
      <c r="A11226" s="895"/>
      <c r="B11226" s="896"/>
      <c r="C11226" s="897"/>
      <c r="D11226" s="897"/>
      <c r="E11226" s="1002" t="s">
        <v>276</v>
      </c>
      <c r="F11226" s="895"/>
      <c r="G11226" s="1004"/>
      <c r="H11226" s="901"/>
      <c r="I11226" s="902"/>
      <c r="J11226" s="902"/>
      <c r="K11226" s="912" t="s">
        <v>274</v>
      </c>
      <c r="L11226" s="902"/>
      <c r="M11226" s="902"/>
      <c r="N11226" s="902"/>
      <c r="O11226" s="892">
        <f t="shared" si="901"/>
        <v>0</v>
      </c>
      <c r="P11226" s="903">
        <f t="shared" si="902"/>
        <v>1</v>
      </c>
      <c r="Q11226" s="893">
        <f t="shared" si="903"/>
        <v>4</v>
      </c>
      <c r="R11226" s="894">
        <f t="shared" si="904"/>
        <v>0</v>
      </c>
    </row>
    <row r="11227" spans="1:18" s="847" customFormat="1">
      <c r="A11227" s="905"/>
      <c r="B11227" s="952"/>
      <c r="C11227" s="907">
        <v>740</v>
      </c>
      <c r="D11227" s="907" t="s">
        <v>12</v>
      </c>
      <c r="E11227" s="992" t="s">
        <v>4008</v>
      </c>
      <c r="F11227" s="905" t="s">
        <v>2674</v>
      </c>
      <c r="G11227" s="1005"/>
      <c r="H11227" s="911">
        <v>8.91</v>
      </c>
      <c r="I11227" s="912"/>
      <c r="J11227" s="912"/>
      <c r="K11227" s="912">
        <f>VLOOKUP(E11227,[5]ĐMNC!$A$7:$F$67,4,0)</f>
        <v>221125</v>
      </c>
      <c r="L11227" s="912">
        <f>H11227*K11227</f>
        <v>1970223.75</v>
      </c>
      <c r="M11227" s="912"/>
      <c r="N11227" s="912"/>
      <c r="O11227" s="892">
        <f t="shared" si="901"/>
        <v>0</v>
      </c>
      <c r="P11227" s="903">
        <f t="shared" si="902"/>
        <v>1</v>
      </c>
      <c r="Q11227" s="893">
        <f t="shared" si="903"/>
        <v>3</v>
      </c>
      <c r="R11227" s="894">
        <f t="shared" si="904"/>
        <v>0</v>
      </c>
    </row>
    <row r="11228" spans="1:18" s="904" customFormat="1">
      <c r="A11228" s="895"/>
      <c r="B11228" s="896"/>
      <c r="C11228" s="897"/>
      <c r="D11228" s="897"/>
      <c r="E11228" s="1002" t="s">
        <v>3914</v>
      </c>
      <c r="F11228" s="895"/>
      <c r="G11228" s="1004"/>
      <c r="H11228" s="901"/>
      <c r="I11228" s="902"/>
      <c r="J11228" s="902"/>
      <c r="K11228" s="912" t="s">
        <v>274</v>
      </c>
      <c r="L11228" s="902"/>
      <c r="M11228" s="902"/>
      <c r="N11228" s="902"/>
      <c r="O11228" s="892">
        <f t="shared" si="901"/>
        <v>0</v>
      </c>
      <c r="P11228" s="903">
        <f t="shared" si="902"/>
        <v>1</v>
      </c>
      <c r="Q11228" s="893">
        <f t="shared" si="903"/>
        <v>2</v>
      </c>
      <c r="R11228" s="894">
        <f t="shared" si="904"/>
        <v>0</v>
      </c>
    </row>
    <row r="11229" spans="1:18">
      <c r="A11229" s="905"/>
      <c r="B11229" s="952" t="s">
        <v>6332</v>
      </c>
      <c r="C11229" s="907">
        <v>901</v>
      </c>
      <c r="D11229" s="907" t="s">
        <v>93</v>
      </c>
      <c r="E11229" s="992" t="s">
        <v>6333</v>
      </c>
      <c r="F11229" s="905" t="s">
        <v>2673</v>
      </c>
      <c r="G11229" s="1005"/>
      <c r="H11229" s="911">
        <v>0.2</v>
      </c>
      <c r="I11229" s="912"/>
      <c r="J11229" s="912"/>
      <c r="K11229" s="912"/>
      <c r="L11229" s="912"/>
      <c r="M11229" s="912">
        <f>VLOOKUP(B11229,MTC!$B$9:$S$933,12,0)</f>
        <v>1967433</v>
      </c>
      <c r="N11229" s="912">
        <f>M11229*H11229</f>
        <v>393486.60000000003</v>
      </c>
      <c r="O11229" s="892">
        <f t="shared" si="901"/>
        <v>0</v>
      </c>
      <c r="P11229" s="903">
        <f t="shared" si="902"/>
        <v>1</v>
      </c>
      <c r="Q11229" s="893">
        <f t="shared" si="903"/>
        <v>1</v>
      </c>
      <c r="R11229" s="894">
        <f t="shared" si="904"/>
        <v>0</v>
      </c>
    </row>
    <row r="11230" spans="1:18">
      <c r="A11230" s="905" t="s">
        <v>6851</v>
      </c>
      <c r="B11230" s="914" t="s">
        <v>6852</v>
      </c>
      <c r="C11230" s="915"/>
      <c r="D11230" s="915"/>
      <c r="E11230" s="1006" t="s">
        <v>6853</v>
      </c>
      <c r="F11230" s="917" t="s">
        <v>139</v>
      </c>
      <c r="G11230" s="1008"/>
      <c r="H11230" s="919"/>
      <c r="I11230" s="920"/>
      <c r="J11230" s="962">
        <f>SUM(J11231:J11239)</f>
        <v>130093</v>
      </c>
      <c r="K11230" s="891" t="s">
        <v>274</v>
      </c>
      <c r="L11230" s="962">
        <f>SUM(L11231:L11239)</f>
        <v>2653500</v>
      </c>
      <c r="M11230" s="962"/>
      <c r="N11230" s="962">
        <f>SUM(N11231:N11239)</f>
        <v>590229.9</v>
      </c>
      <c r="O11230" s="892">
        <f t="shared" si="901"/>
        <v>1</v>
      </c>
      <c r="P11230" s="903">
        <f t="shared" si="902"/>
        <v>0</v>
      </c>
      <c r="Q11230" s="893">
        <f t="shared" si="903"/>
        <v>0</v>
      </c>
      <c r="R11230" s="894">
        <f t="shared" si="904"/>
        <v>9</v>
      </c>
    </row>
    <row r="11231" spans="1:18">
      <c r="A11231" s="895"/>
      <c r="B11231" s="896"/>
      <c r="C11231" s="897"/>
      <c r="D11231" s="897"/>
      <c r="E11231" s="1002" t="s">
        <v>108</v>
      </c>
      <c r="F11231" s="1003"/>
      <c r="G11231" s="1004"/>
      <c r="H11231" s="901"/>
      <c r="I11231" s="902"/>
      <c r="J11231" s="902"/>
      <c r="K11231" s="912" t="s">
        <v>274</v>
      </c>
      <c r="L11231" s="902"/>
      <c r="M11231" s="902"/>
      <c r="N11231" s="902"/>
      <c r="O11231" s="892">
        <f t="shared" ref="O11231:O11294" si="905">IF(AND(B11231&lt;&gt;"",D11231=""),1,0)</f>
        <v>0</v>
      </c>
      <c r="P11231" s="903">
        <f t="shared" si="902"/>
        <v>1</v>
      </c>
      <c r="Q11231" s="893">
        <f t="shared" si="903"/>
        <v>9</v>
      </c>
      <c r="R11231" s="894">
        <f t="shared" si="904"/>
        <v>0</v>
      </c>
    </row>
    <row r="11232" spans="1:18">
      <c r="A11232" s="905"/>
      <c r="B11232" s="952"/>
      <c r="C11232" s="907">
        <v>318</v>
      </c>
      <c r="D11232" s="907" t="s">
        <v>279</v>
      </c>
      <c r="E11232" s="992" t="s">
        <v>5657</v>
      </c>
      <c r="F11232" s="905" t="s">
        <v>45</v>
      </c>
      <c r="G11232" s="1005"/>
      <c r="H11232" s="911">
        <v>0.6</v>
      </c>
      <c r="I11232" s="912">
        <f>VLOOKUP(E11232,[3]VLP!$B$7:$K$300,10,0)</f>
        <v>25155</v>
      </c>
      <c r="J11232" s="912">
        <f>I11232*H11232</f>
        <v>15093</v>
      </c>
      <c r="K11232" s="912" t="s">
        <v>274</v>
      </c>
      <c r="L11232" s="912"/>
      <c r="M11232" s="912"/>
      <c r="N11232" s="912"/>
      <c r="O11232" s="892">
        <f t="shared" si="905"/>
        <v>0</v>
      </c>
      <c r="P11232" s="903">
        <f t="shared" si="902"/>
        <v>1</v>
      </c>
      <c r="Q11232" s="893">
        <f t="shared" si="903"/>
        <v>8</v>
      </c>
      <c r="R11232" s="894">
        <f t="shared" si="904"/>
        <v>0</v>
      </c>
    </row>
    <row r="11233" spans="1:18">
      <c r="A11233" s="905"/>
      <c r="B11233" s="952"/>
      <c r="C11233" s="907">
        <v>317</v>
      </c>
      <c r="D11233" s="907" t="s">
        <v>279</v>
      </c>
      <c r="E11233" s="992" t="s">
        <v>3273</v>
      </c>
      <c r="F11233" s="905" t="s">
        <v>45</v>
      </c>
      <c r="G11233" s="1005"/>
      <c r="H11233" s="911">
        <v>0.8</v>
      </c>
      <c r="I11233" s="912">
        <f>VLOOKUP(E11233,[3]VLP!$B$7:$K$300,10,0)</f>
        <v>25000</v>
      </c>
      <c r="J11233" s="912">
        <f>I11233*H11233</f>
        <v>20000</v>
      </c>
      <c r="K11233" s="912" t="s">
        <v>274</v>
      </c>
      <c r="L11233" s="912"/>
      <c r="M11233" s="912"/>
      <c r="N11233" s="912"/>
      <c r="O11233" s="892">
        <f t="shared" si="905"/>
        <v>0</v>
      </c>
      <c r="P11233" s="903">
        <f t="shared" si="902"/>
        <v>1</v>
      </c>
      <c r="Q11233" s="893">
        <f t="shared" si="903"/>
        <v>7</v>
      </c>
      <c r="R11233" s="894">
        <f t="shared" si="904"/>
        <v>0</v>
      </c>
    </row>
    <row r="11234" spans="1:18">
      <c r="A11234" s="905"/>
      <c r="B11234" s="952"/>
      <c r="C11234" s="907">
        <v>234</v>
      </c>
      <c r="D11234" s="907" t="s">
        <v>279</v>
      </c>
      <c r="E11234" s="992" t="s">
        <v>5983</v>
      </c>
      <c r="F11234" s="905" t="s">
        <v>3144</v>
      </c>
      <c r="G11234" s="1005"/>
      <c r="H11234" s="911">
        <v>5</v>
      </c>
      <c r="I11234" s="912">
        <f>VLOOKUP(E11234,[3]VLP!$B$7:$K$300,10,0)</f>
        <v>14000</v>
      </c>
      <c r="J11234" s="912">
        <f>I11234*H11234</f>
        <v>70000</v>
      </c>
      <c r="K11234" s="912" t="s">
        <v>274</v>
      </c>
      <c r="L11234" s="912"/>
      <c r="M11234" s="912"/>
      <c r="N11234" s="912"/>
      <c r="O11234" s="892">
        <f t="shared" si="905"/>
        <v>0</v>
      </c>
      <c r="P11234" s="903">
        <f t="shared" si="902"/>
        <v>1</v>
      </c>
      <c r="Q11234" s="893">
        <f t="shared" si="903"/>
        <v>6</v>
      </c>
      <c r="R11234" s="894">
        <f t="shared" si="904"/>
        <v>0</v>
      </c>
    </row>
    <row r="11235" spans="1:18">
      <c r="A11235" s="905"/>
      <c r="B11235" s="952"/>
      <c r="C11235" s="907">
        <v>699</v>
      </c>
      <c r="D11235" s="907" t="s">
        <v>279</v>
      </c>
      <c r="E11235" s="992" t="s">
        <v>4006</v>
      </c>
      <c r="F11235" s="905" t="s">
        <v>4007</v>
      </c>
      <c r="G11235" s="1005"/>
      <c r="H11235" s="911">
        <v>5</v>
      </c>
      <c r="I11235" s="912">
        <f>VLOOKUP(E11235,[3]VLP!$B$7:$K$300,10,0)</f>
        <v>5000</v>
      </c>
      <c r="J11235" s="912">
        <f>I11235*H11235</f>
        <v>25000</v>
      </c>
      <c r="K11235" s="912" t="s">
        <v>274</v>
      </c>
      <c r="L11235" s="912"/>
      <c r="M11235" s="912"/>
      <c r="N11235" s="912"/>
      <c r="O11235" s="892">
        <f t="shared" si="905"/>
        <v>0</v>
      </c>
      <c r="P11235" s="903">
        <f t="shared" si="902"/>
        <v>1</v>
      </c>
      <c r="Q11235" s="893">
        <f t="shared" si="903"/>
        <v>5</v>
      </c>
      <c r="R11235" s="894">
        <f t="shared" si="904"/>
        <v>0</v>
      </c>
    </row>
    <row r="11236" spans="1:18" s="904" customFormat="1">
      <c r="A11236" s="895"/>
      <c r="B11236" s="896"/>
      <c r="C11236" s="897"/>
      <c r="D11236" s="897"/>
      <c r="E11236" s="1002" t="s">
        <v>276</v>
      </c>
      <c r="F11236" s="1003"/>
      <c r="G11236" s="1004"/>
      <c r="H11236" s="901"/>
      <c r="I11236" s="902"/>
      <c r="J11236" s="902"/>
      <c r="K11236" s="912" t="s">
        <v>274</v>
      </c>
      <c r="L11236" s="902"/>
      <c r="M11236" s="902"/>
      <c r="N11236" s="902"/>
      <c r="O11236" s="892">
        <f t="shared" si="905"/>
        <v>0</v>
      </c>
      <c r="P11236" s="903">
        <f t="shared" si="902"/>
        <v>1</v>
      </c>
      <c r="Q11236" s="893">
        <f t="shared" si="903"/>
        <v>4</v>
      </c>
      <c r="R11236" s="894">
        <f t="shared" si="904"/>
        <v>0</v>
      </c>
    </row>
    <row r="11237" spans="1:18">
      <c r="A11237" s="905"/>
      <c r="B11237" s="952"/>
      <c r="C11237" s="907">
        <v>740</v>
      </c>
      <c r="D11237" s="907" t="s">
        <v>12</v>
      </c>
      <c r="E11237" s="992" t="s">
        <v>4008</v>
      </c>
      <c r="F11237" s="905" t="s">
        <v>2674</v>
      </c>
      <c r="G11237" s="1005"/>
      <c r="H11237" s="911">
        <v>12</v>
      </c>
      <c r="I11237" s="912"/>
      <c r="J11237" s="912"/>
      <c r="K11237" s="912">
        <f>VLOOKUP(E11237,[5]ĐMNC!$A$7:$F$67,4,0)</f>
        <v>221125</v>
      </c>
      <c r="L11237" s="912">
        <f>H11237*K11237</f>
        <v>2653500</v>
      </c>
      <c r="M11237" s="912"/>
      <c r="N11237" s="912"/>
      <c r="O11237" s="892">
        <f t="shared" si="905"/>
        <v>0</v>
      </c>
      <c r="P11237" s="903">
        <f t="shared" si="902"/>
        <v>1</v>
      </c>
      <c r="Q11237" s="893">
        <f t="shared" si="903"/>
        <v>3</v>
      </c>
      <c r="R11237" s="894">
        <f t="shared" si="904"/>
        <v>0</v>
      </c>
    </row>
    <row r="11238" spans="1:18" s="904" customFormat="1">
      <c r="A11238" s="895"/>
      <c r="B11238" s="896"/>
      <c r="C11238" s="897"/>
      <c r="D11238" s="897"/>
      <c r="E11238" s="1002" t="s">
        <v>3914</v>
      </c>
      <c r="F11238" s="1003"/>
      <c r="G11238" s="1004"/>
      <c r="H11238" s="901"/>
      <c r="I11238" s="902"/>
      <c r="J11238" s="902"/>
      <c r="K11238" s="912" t="s">
        <v>274</v>
      </c>
      <c r="L11238" s="902"/>
      <c r="M11238" s="902"/>
      <c r="N11238" s="902"/>
      <c r="O11238" s="892">
        <f t="shared" si="905"/>
        <v>0</v>
      </c>
      <c r="P11238" s="903">
        <f t="shared" si="902"/>
        <v>1</v>
      </c>
      <c r="Q11238" s="893">
        <f t="shared" si="903"/>
        <v>2</v>
      </c>
      <c r="R11238" s="894">
        <f t="shared" si="904"/>
        <v>0</v>
      </c>
    </row>
    <row r="11239" spans="1:18">
      <c r="A11239" s="905"/>
      <c r="B11239" s="952" t="s">
        <v>6332</v>
      </c>
      <c r="C11239" s="907">
        <v>901</v>
      </c>
      <c r="D11239" s="907" t="s">
        <v>93</v>
      </c>
      <c r="E11239" s="992" t="s">
        <v>6333</v>
      </c>
      <c r="F11239" s="905" t="s">
        <v>2673</v>
      </c>
      <c r="G11239" s="1005"/>
      <c r="H11239" s="911">
        <v>0.3</v>
      </c>
      <c r="I11239" s="912"/>
      <c r="J11239" s="912"/>
      <c r="K11239" s="912"/>
      <c r="L11239" s="912"/>
      <c r="M11239" s="912">
        <f>VLOOKUP(B11239,MTC!$B$9:$S$933,12,0)</f>
        <v>1967433</v>
      </c>
      <c r="N11239" s="912">
        <f>M11239*H11239</f>
        <v>590229.9</v>
      </c>
      <c r="O11239" s="892">
        <f t="shared" si="905"/>
        <v>0</v>
      </c>
      <c r="P11239" s="903">
        <f t="shared" si="902"/>
        <v>1</v>
      </c>
      <c r="Q11239" s="893">
        <f t="shared" si="903"/>
        <v>1</v>
      </c>
      <c r="R11239" s="894">
        <f t="shared" si="904"/>
        <v>0</v>
      </c>
    </row>
    <row r="11240" spans="1:18" s="847" customFormat="1">
      <c r="A11240" s="905">
        <v>245</v>
      </c>
      <c r="B11240" s="914" t="s">
        <v>6854</v>
      </c>
      <c r="C11240" s="915"/>
      <c r="D11240" s="915"/>
      <c r="E11240" s="1006" t="s">
        <v>6855</v>
      </c>
      <c r="F11240" s="917" t="s">
        <v>139</v>
      </c>
      <c r="G11240" s="1008"/>
      <c r="H11240" s="919"/>
      <c r="I11240" s="920"/>
      <c r="J11240" s="962">
        <f>SUM(J11241:J11249)</f>
        <v>111077.5</v>
      </c>
      <c r="K11240" s="891" t="s">
        <v>274</v>
      </c>
      <c r="L11240" s="962">
        <f>SUM(L11241:L11249)</f>
        <v>1990125</v>
      </c>
      <c r="M11240" s="962"/>
      <c r="N11240" s="962">
        <f>SUM(N11241:N11249)</f>
        <v>393486.60000000003</v>
      </c>
      <c r="O11240" s="892">
        <f t="shared" si="905"/>
        <v>1</v>
      </c>
      <c r="P11240" s="903">
        <f t="shared" si="902"/>
        <v>0</v>
      </c>
      <c r="Q11240" s="893">
        <f t="shared" si="903"/>
        <v>0</v>
      </c>
      <c r="R11240" s="894">
        <f t="shared" si="904"/>
        <v>9</v>
      </c>
    </row>
    <row r="11241" spans="1:18" s="904" customFormat="1">
      <c r="A11241" s="895"/>
      <c r="B11241" s="896"/>
      <c r="C11241" s="897"/>
      <c r="D11241" s="897"/>
      <c r="E11241" s="1002" t="s">
        <v>108</v>
      </c>
      <c r="F11241" s="1003"/>
      <c r="G11241" s="1004"/>
      <c r="H11241" s="901"/>
      <c r="I11241" s="902"/>
      <c r="J11241" s="902"/>
      <c r="K11241" s="912" t="s">
        <v>274</v>
      </c>
      <c r="L11241" s="902"/>
      <c r="M11241" s="902"/>
      <c r="N11241" s="902"/>
      <c r="O11241" s="892">
        <f t="shared" si="905"/>
        <v>0</v>
      </c>
      <c r="P11241" s="903">
        <f t="shared" si="902"/>
        <v>1</v>
      </c>
      <c r="Q11241" s="893">
        <f t="shared" si="903"/>
        <v>9</v>
      </c>
      <c r="R11241" s="894">
        <f t="shared" si="904"/>
        <v>0</v>
      </c>
    </row>
    <row r="11242" spans="1:18">
      <c r="A11242" s="905"/>
      <c r="B11242" s="952"/>
      <c r="C11242" s="907">
        <v>318</v>
      </c>
      <c r="D11242" s="907" t="s">
        <v>279</v>
      </c>
      <c r="E11242" s="992" t="s">
        <v>5657</v>
      </c>
      <c r="F11242" s="905" t="s">
        <v>45</v>
      </c>
      <c r="G11242" s="1005"/>
      <c r="H11242" s="911">
        <v>0.5</v>
      </c>
      <c r="I11242" s="912">
        <f>VLOOKUP(E11242,[3]VLP!$B$7:$K$300,10,0)</f>
        <v>25155</v>
      </c>
      <c r="J11242" s="912">
        <f>I11242*H11242</f>
        <v>12577.5</v>
      </c>
      <c r="K11242" s="912" t="s">
        <v>274</v>
      </c>
      <c r="L11242" s="912"/>
      <c r="M11242" s="912"/>
      <c r="N11242" s="912"/>
      <c r="O11242" s="892">
        <f t="shared" si="905"/>
        <v>0</v>
      </c>
      <c r="P11242" s="903">
        <f t="shared" si="902"/>
        <v>1</v>
      </c>
      <c r="Q11242" s="893">
        <f t="shared" si="903"/>
        <v>8</v>
      </c>
      <c r="R11242" s="894">
        <f t="shared" si="904"/>
        <v>0</v>
      </c>
    </row>
    <row r="11243" spans="1:18">
      <c r="A11243" s="905"/>
      <c r="B11243" s="952"/>
      <c r="C11243" s="907">
        <v>317</v>
      </c>
      <c r="D11243" s="907" t="s">
        <v>279</v>
      </c>
      <c r="E11243" s="992" t="s">
        <v>3273</v>
      </c>
      <c r="F11243" s="905" t="s">
        <v>45</v>
      </c>
      <c r="G11243" s="1005"/>
      <c r="H11243" s="911">
        <v>0.7</v>
      </c>
      <c r="I11243" s="912">
        <f>VLOOKUP(E11243,[3]VLP!$B$7:$K$300,10,0)</f>
        <v>25000</v>
      </c>
      <c r="J11243" s="912">
        <f>I11243*H11243</f>
        <v>17500</v>
      </c>
      <c r="K11243" s="912" t="s">
        <v>274</v>
      </c>
      <c r="L11243" s="912"/>
      <c r="M11243" s="912"/>
      <c r="N11243" s="912"/>
      <c r="O11243" s="892">
        <f t="shared" si="905"/>
        <v>0</v>
      </c>
      <c r="P11243" s="903">
        <f t="shared" si="902"/>
        <v>1</v>
      </c>
      <c r="Q11243" s="893">
        <f t="shared" si="903"/>
        <v>7</v>
      </c>
      <c r="R11243" s="894">
        <f t="shared" si="904"/>
        <v>0</v>
      </c>
    </row>
    <row r="11244" spans="1:18">
      <c r="A11244" s="905"/>
      <c r="B11244" s="952"/>
      <c r="C11244" s="907">
        <v>234</v>
      </c>
      <c r="D11244" s="907" t="s">
        <v>279</v>
      </c>
      <c r="E11244" s="992" t="s">
        <v>5983</v>
      </c>
      <c r="F11244" s="905" t="s">
        <v>3144</v>
      </c>
      <c r="G11244" s="1005"/>
      <c r="H11244" s="911">
        <v>4</v>
      </c>
      <c r="I11244" s="912">
        <f>VLOOKUP(E11244,[3]VLP!$B$7:$K$300,10,0)</f>
        <v>14000</v>
      </c>
      <c r="J11244" s="912">
        <f>I11244*H11244</f>
        <v>56000</v>
      </c>
      <c r="K11244" s="912" t="s">
        <v>274</v>
      </c>
      <c r="L11244" s="912"/>
      <c r="M11244" s="912"/>
      <c r="N11244" s="912"/>
      <c r="O11244" s="892">
        <f t="shared" si="905"/>
        <v>0</v>
      </c>
      <c r="P11244" s="903">
        <f t="shared" si="902"/>
        <v>1</v>
      </c>
      <c r="Q11244" s="893">
        <f t="shared" si="903"/>
        <v>6</v>
      </c>
      <c r="R11244" s="894">
        <f t="shared" si="904"/>
        <v>0</v>
      </c>
    </row>
    <row r="11245" spans="1:18">
      <c r="A11245" s="905"/>
      <c r="B11245" s="952"/>
      <c r="C11245" s="907">
        <v>699</v>
      </c>
      <c r="D11245" s="907" t="s">
        <v>279</v>
      </c>
      <c r="E11245" s="992" t="s">
        <v>4006</v>
      </c>
      <c r="F11245" s="905" t="s">
        <v>4007</v>
      </c>
      <c r="G11245" s="1005"/>
      <c r="H11245" s="911">
        <v>5</v>
      </c>
      <c r="I11245" s="912">
        <f>VLOOKUP(E11245,[3]VLP!$B$7:$K$300,10,0)</f>
        <v>5000</v>
      </c>
      <c r="J11245" s="912">
        <f>I11245*H11245</f>
        <v>25000</v>
      </c>
      <c r="K11245" s="912" t="s">
        <v>274</v>
      </c>
      <c r="L11245" s="912"/>
      <c r="M11245" s="912"/>
      <c r="N11245" s="912"/>
      <c r="O11245" s="892">
        <f t="shared" si="905"/>
        <v>0</v>
      </c>
      <c r="P11245" s="903">
        <f t="shared" si="902"/>
        <v>1</v>
      </c>
      <c r="Q11245" s="893">
        <f t="shared" si="903"/>
        <v>5</v>
      </c>
      <c r="R11245" s="894">
        <f t="shared" si="904"/>
        <v>0</v>
      </c>
    </row>
    <row r="11246" spans="1:18">
      <c r="A11246" s="895"/>
      <c r="B11246" s="896"/>
      <c r="C11246" s="897"/>
      <c r="D11246" s="897"/>
      <c r="E11246" s="1002" t="s">
        <v>276</v>
      </c>
      <c r="F11246" s="1003"/>
      <c r="G11246" s="1004"/>
      <c r="H11246" s="901"/>
      <c r="I11246" s="902"/>
      <c r="J11246" s="902"/>
      <c r="K11246" s="912" t="s">
        <v>274</v>
      </c>
      <c r="L11246" s="902"/>
      <c r="M11246" s="902"/>
      <c r="N11246" s="902"/>
      <c r="O11246" s="892">
        <f t="shared" si="905"/>
        <v>0</v>
      </c>
      <c r="P11246" s="903">
        <f t="shared" si="902"/>
        <v>1</v>
      </c>
      <c r="Q11246" s="893">
        <f t="shared" si="903"/>
        <v>4</v>
      </c>
      <c r="R11246" s="894">
        <f t="shared" si="904"/>
        <v>0</v>
      </c>
    </row>
    <row r="11247" spans="1:18">
      <c r="A11247" s="905"/>
      <c r="B11247" s="952"/>
      <c r="C11247" s="907">
        <v>740</v>
      </c>
      <c r="D11247" s="907" t="s">
        <v>12</v>
      </c>
      <c r="E11247" s="992" t="s">
        <v>4008</v>
      </c>
      <c r="F11247" s="905" t="s">
        <v>2674</v>
      </c>
      <c r="G11247" s="1005"/>
      <c r="H11247" s="911">
        <v>9</v>
      </c>
      <c r="I11247" s="912"/>
      <c r="J11247" s="912"/>
      <c r="K11247" s="912">
        <f>VLOOKUP(E11247,[5]ĐMNC!$A$7:$F$67,4,0)</f>
        <v>221125</v>
      </c>
      <c r="L11247" s="912">
        <f>H11247*K11247</f>
        <v>1990125</v>
      </c>
      <c r="M11247" s="912"/>
      <c r="N11247" s="912"/>
      <c r="O11247" s="892">
        <f t="shared" si="905"/>
        <v>0</v>
      </c>
      <c r="P11247" s="903">
        <f t="shared" si="902"/>
        <v>1</v>
      </c>
      <c r="Q11247" s="893">
        <f t="shared" si="903"/>
        <v>3</v>
      </c>
      <c r="R11247" s="894">
        <f t="shared" si="904"/>
        <v>0</v>
      </c>
    </row>
    <row r="11248" spans="1:18">
      <c r="A11248" s="895"/>
      <c r="B11248" s="896"/>
      <c r="C11248" s="897"/>
      <c r="D11248" s="897"/>
      <c r="E11248" s="1002" t="s">
        <v>3914</v>
      </c>
      <c r="F11248" s="1003"/>
      <c r="G11248" s="1004"/>
      <c r="H11248" s="901"/>
      <c r="I11248" s="902"/>
      <c r="J11248" s="902"/>
      <c r="K11248" s="912" t="s">
        <v>274</v>
      </c>
      <c r="L11248" s="902"/>
      <c r="M11248" s="902"/>
      <c r="N11248" s="902"/>
      <c r="O11248" s="892">
        <f t="shared" si="905"/>
        <v>0</v>
      </c>
      <c r="P11248" s="903">
        <f t="shared" si="902"/>
        <v>1</v>
      </c>
      <c r="Q11248" s="893">
        <f t="shared" si="903"/>
        <v>2</v>
      </c>
      <c r="R11248" s="894">
        <f t="shared" si="904"/>
        <v>0</v>
      </c>
    </row>
    <row r="11249" spans="1:18" s="904" customFormat="1">
      <c r="A11249" s="905"/>
      <c r="B11249" s="952" t="s">
        <v>6332</v>
      </c>
      <c r="C11249" s="907">
        <v>901</v>
      </c>
      <c r="D11249" s="907" t="s">
        <v>93</v>
      </c>
      <c r="E11249" s="992" t="s">
        <v>6333</v>
      </c>
      <c r="F11249" s="905" t="s">
        <v>2673</v>
      </c>
      <c r="G11249" s="1005"/>
      <c r="H11249" s="911">
        <v>0.2</v>
      </c>
      <c r="I11249" s="912"/>
      <c r="J11249" s="912"/>
      <c r="K11249" s="912"/>
      <c r="L11249" s="912"/>
      <c r="M11249" s="912">
        <f>VLOOKUP(B11249,MTC!$B$9:$S$933,12,0)</f>
        <v>1967433</v>
      </c>
      <c r="N11249" s="912">
        <f>M11249*H11249</f>
        <v>393486.60000000003</v>
      </c>
      <c r="O11249" s="892">
        <f t="shared" si="905"/>
        <v>0</v>
      </c>
      <c r="P11249" s="903">
        <f t="shared" si="902"/>
        <v>1</v>
      </c>
      <c r="Q11249" s="893">
        <f t="shared" si="903"/>
        <v>1</v>
      </c>
      <c r="R11249" s="894">
        <f t="shared" si="904"/>
        <v>0</v>
      </c>
    </row>
    <row r="11250" spans="1:18">
      <c r="A11250" s="905">
        <v>246</v>
      </c>
      <c r="B11250" s="914" t="s">
        <v>6856</v>
      </c>
      <c r="C11250" s="915"/>
      <c r="D11250" s="915"/>
      <c r="E11250" s="1006" t="s">
        <v>6857</v>
      </c>
      <c r="F11250" s="917" t="s">
        <v>139</v>
      </c>
      <c r="G11250" s="1008"/>
      <c r="H11250" s="919"/>
      <c r="I11250" s="920"/>
      <c r="J11250" s="962">
        <f>SUM(J11251:J11259)</f>
        <v>70546.5</v>
      </c>
      <c r="K11250" s="891" t="s">
        <v>274</v>
      </c>
      <c r="L11250" s="962">
        <f>SUM(L11251:L11259)</f>
        <v>1194075</v>
      </c>
      <c r="M11250" s="962"/>
      <c r="N11250" s="962">
        <f>SUM(N11251:N11259)</f>
        <v>393486.60000000003</v>
      </c>
      <c r="O11250" s="892">
        <f t="shared" si="905"/>
        <v>1</v>
      </c>
      <c r="P11250" s="903">
        <f t="shared" si="902"/>
        <v>0</v>
      </c>
      <c r="Q11250" s="893">
        <f t="shared" si="903"/>
        <v>0</v>
      </c>
      <c r="R11250" s="894">
        <f t="shared" si="904"/>
        <v>9</v>
      </c>
    </row>
    <row r="11251" spans="1:18" s="904" customFormat="1">
      <c r="A11251" s="895"/>
      <c r="B11251" s="896"/>
      <c r="C11251" s="897"/>
      <c r="D11251" s="897"/>
      <c r="E11251" s="1002" t="s">
        <v>108</v>
      </c>
      <c r="F11251" s="1003"/>
      <c r="G11251" s="1004"/>
      <c r="H11251" s="901"/>
      <c r="I11251" s="902"/>
      <c r="J11251" s="902"/>
      <c r="K11251" s="912" t="s">
        <v>274</v>
      </c>
      <c r="L11251" s="902"/>
      <c r="M11251" s="902"/>
      <c r="N11251" s="902"/>
      <c r="O11251" s="892">
        <f t="shared" si="905"/>
        <v>0</v>
      </c>
      <c r="P11251" s="903">
        <f t="shared" ref="P11251:P11314" si="906">IF(O11251=0,1,0)</f>
        <v>1</v>
      </c>
      <c r="Q11251" s="893">
        <f t="shared" ref="Q11251:Q11314" si="907">IF(P11251=0,0,P11251+Q11252)</f>
        <v>9</v>
      </c>
      <c r="R11251" s="894">
        <f t="shared" ref="R11251:R11314" si="908">IF(Q11251=0,Q11252,0)</f>
        <v>0</v>
      </c>
    </row>
    <row r="11252" spans="1:18">
      <c r="A11252" s="905"/>
      <c r="B11252" s="952"/>
      <c r="C11252" s="907">
        <v>318</v>
      </c>
      <c r="D11252" s="907" t="s">
        <v>279</v>
      </c>
      <c r="E11252" s="992" t="s">
        <v>5657</v>
      </c>
      <c r="F11252" s="905" t="s">
        <v>45</v>
      </c>
      <c r="G11252" s="1005"/>
      <c r="H11252" s="911">
        <v>0.3</v>
      </c>
      <c r="I11252" s="912">
        <f>VLOOKUP(E11252,[3]VLP!$B$7:$K$300,10,0)</f>
        <v>25155</v>
      </c>
      <c r="J11252" s="912">
        <f>I11252*H11252</f>
        <v>7546.5</v>
      </c>
      <c r="K11252" s="912" t="s">
        <v>274</v>
      </c>
      <c r="L11252" s="912"/>
      <c r="M11252" s="912"/>
      <c r="N11252" s="912"/>
      <c r="O11252" s="892">
        <f t="shared" si="905"/>
        <v>0</v>
      </c>
      <c r="P11252" s="903">
        <f t="shared" si="906"/>
        <v>1</v>
      </c>
      <c r="Q11252" s="893">
        <f t="shared" si="907"/>
        <v>8</v>
      </c>
      <c r="R11252" s="894">
        <f t="shared" si="908"/>
        <v>0</v>
      </c>
    </row>
    <row r="11253" spans="1:18" s="847" customFormat="1">
      <c r="A11253" s="905"/>
      <c r="B11253" s="952"/>
      <c r="C11253" s="907">
        <v>317</v>
      </c>
      <c r="D11253" s="907" t="s">
        <v>279</v>
      </c>
      <c r="E11253" s="992" t="s">
        <v>3273</v>
      </c>
      <c r="F11253" s="905" t="s">
        <v>45</v>
      </c>
      <c r="G11253" s="1005"/>
      <c r="H11253" s="911">
        <v>0.4</v>
      </c>
      <c r="I11253" s="912">
        <f>VLOOKUP(E11253,[3]VLP!$B$7:$K$300,10,0)</f>
        <v>25000</v>
      </c>
      <c r="J11253" s="912">
        <f>I11253*H11253</f>
        <v>10000</v>
      </c>
      <c r="K11253" s="912" t="s">
        <v>274</v>
      </c>
      <c r="L11253" s="912"/>
      <c r="M11253" s="912"/>
      <c r="N11253" s="912"/>
      <c r="O11253" s="892">
        <f t="shared" si="905"/>
        <v>0</v>
      </c>
      <c r="P11253" s="903">
        <f t="shared" si="906"/>
        <v>1</v>
      </c>
      <c r="Q11253" s="893">
        <f t="shared" si="907"/>
        <v>7</v>
      </c>
      <c r="R11253" s="894">
        <f t="shared" si="908"/>
        <v>0</v>
      </c>
    </row>
    <row r="11254" spans="1:18" s="904" customFormat="1">
      <c r="A11254" s="905"/>
      <c r="B11254" s="952"/>
      <c r="C11254" s="907">
        <v>234</v>
      </c>
      <c r="D11254" s="907" t="s">
        <v>279</v>
      </c>
      <c r="E11254" s="992" t="s">
        <v>5983</v>
      </c>
      <c r="F11254" s="905" t="s">
        <v>3144</v>
      </c>
      <c r="G11254" s="1005"/>
      <c r="H11254" s="911">
        <v>2</v>
      </c>
      <c r="I11254" s="912">
        <f>VLOOKUP(E11254,[3]VLP!$B$7:$K$300,10,0)</f>
        <v>14000</v>
      </c>
      <c r="J11254" s="912">
        <f>I11254*H11254</f>
        <v>28000</v>
      </c>
      <c r="K11254" s="912" t="s">
        <v>274</v>
      </c>
      <c r="L11254" s="912"/>
      <c r="M11254" s="912"/>
      <c r="N11254" s="912"/>
      <c r="O11254" s="892">
        <f t="shared" si="905"/>
        <v>0</v>
      </c>
      <c r="P11254" s="903">
        <f t="shared" si="906"/>
        <v>1</v>
      </c>
      <c r="Q11254" s="893">
        <f t="shared" si="907"/>
        <v>6</v>
      </c>
      <c r="R11254" s="894">
        <f t="shared" si="908"/>
        <v>0</v>
      </c>
    </row>
    <row r="11255" spans="1:18">
      <c r="A11255" s="905"/>
      <c r="B11255" s="952"/>
      <c r="C11255" s="907">
        <v>699</v>
      </c>
      <c r="D11255" s="907" t="s">
        <v>279</v>
      </c>
      <c r="E11255" s="992" t="s">
        <v>4006</v>
      </c>
      <c r="F11255" s="905" t="s">
        <v>4007</v>
      </c>
      <c r="G11255" s="1005"/>
      <c r="H11255" s="911">
        <v>5</v>
      </c>
      <c r="I11255" s="912">
        <f>VLOOKUP(E11255,[3]VLP!$B$7:$K$300,10,0)</f>
        <v>5000</v>
      </c>
      <c r="J11255" s="912">
        <f>I11255*H11255</f>
        <v>25000</v>
      </c>
      <c r="K11255" s="912" t="s">
        <v>274</v>
      </c>
      <c r="L11255" s="912"/>
      <c r="M11255" s="912"/>
      <c r="N11255" s="912"/>
      <c r="O11255" s="892">
        <f t="shared" si="905"/>
        <v>0</v>
      </c>
      <c r="P11255" s="903">
        <f t="shared" si="906"/>
        <v>1</v>
      </c>
      <c r="Q11255" s="893">
        <f t="shared" si="907"/>
        <v>5</v>
      </c>
      <c r="R11255" s="894">
        <f t="shared" si="908"/>
        <v>0</v>
      </c>
    </row>
    <row r="11256" spans="1:18">
      <c r="A11256" s="895"/>
      <c r="B11256" s="896"/>
      <c r="C11256" s="897"/>
      <c r="D11256" s="897"/>
      <c r="E11256" s="1002" t="s">
        <v>276</v>
      </c>
      <c r="F11256" s="1003"/>
      <c r="G11256" s="1004"/>
      <c r="H11256" s="901"/>
      <c r="I11256" s="902"/>
      <c r="J11256" s="902"/>
      <c r="K11256" s="912" t="s">
        <v>274</v>
      </c>
      <c r="L11256" s="902"/>
      <c r="M11256" s="902"/>
      <c r="N11256" s="902"/>
      <c r="O11256" s="892">
        <f t="shared" si="905"/>
        <v>0</v>
      </c>
      <c r="P11256" s="903">
        <f t="shared" si="906"/>
        <v>1</v>
      </c>
      <c r="Q11256" s="893">
        <f t="shared" si="907"/>
        <v>4</v>
      </c>
      <c r="R11256" s="894">
        <f t="shared" si="908"/>
        <v>0</v>
      </c>
    </row>
    <row r="11257" spans="1:18">
      <c r="A11257" s="905"/>
      <c r="B11257" s="952"/>
      <c r="C11257" s="907">
        <v>740</v>
      </c>
      <c r="D11257" s="907" t="s">
        <v>12</v>
      </c>
      <c r="E11257" s="992" t="s">
        <v>4008</v>
      </c>
      <c r="F11257" s="905" t="s">
        <v>2674</v>
      </c>
      <c r="G11257" s="1005"/>
      <c r="H11257" s="911">
        <v>5.4</v>
      </c>
      <c r="I11257" s="912"/>
      <c r="J11257" s="912"/>
      <c r="K11257" s="912">
        <f>VLOOKUP(E11257,[5]ĐMNC!$A$7:$F$67,4,0)</f>
        <v>221125</v>
      </c>
      <c r="L11257" s="912">
        <f>H11257*K11257</f>
        <v>1194075</v>
      </c>
      <c r="M11257" s="912"/>
      <c r="N11257" s="912"/>
      <c r="O11257" s="892">
        <f t="shared" si="905"/>
        <v>0</v>
      </c>
      <c r="P11257" s="903">
        <f t="shared" si="906"/>
        <v>1</v>
      </c>
      <c r="Q11257" s="893">
        <f t="shared" si="907"/>
        <v>3</v>
      </c>
      <c r="R11257" s="894">
        <f t="shared" si="908"/>
        <v>0</v>
      </c>
    </row>
    <row r="11258" spans="1:18">
      <c r="A11258" s="895"/>
      <c r="B11258" s="896"/>
      <c r="C11258" s="897"/>
      <c r="D11258" s="897"/>
      <c r="E11258" s="1002" t="s">
        <v>3914</v>
      </c>
      <c r="F11258" s="1003"/>
      <c r="G11258" s="1004"/>
      <c r="H11258" s="901"/>
      <c r="I11258" s="902"/>
      <c r="J11258" s="902"/>
      <c r="K11258" s="912" t="s">
        <v>274</v>
      </c>
      <c r="L11258" s="902"/>
      <c r="M11258" s="902"/>
      <c r="N11258" s="902"/>
      <c r="O11258" s="892">
        <f t="shared" si="905"/>
        <v>0</v>
      </c>
      <c r="P11258" s="903">
        <f t="shared" si="906"/>
        <v>1</v>
      </c>
      <c r="Q11258" s="893">
        <f t="shared" si="907"/>
        <v>2</v>
      </c>
      <c r="R11258" s="894">
        <f t="shared" si="908"/>
        <v>0</v>
      </c>
    </row>
    <row r="11259" spans="1:18">
      <c r="A11259" s="905"/>
      <c r="B11259" s="952" t="s">
        <v>6332</v>
      </c>
      <c r="C11259" s="907">
        <v>901</v>
      </c>
      <c r="D11259" s="907" t="s">
        <v>93</v>
      </c>
      <c r="E11259" s="992" t="s">
        <v>6333</v>
      </c>
      <c r="F11259" s="905" t="s">
        <v>2673</v>
      </c>
      <c r="G11259" s="1005"/>
      <c r="H11259" s="911">
        <v>0.2</v>
      </c>
      <c r="I11259" s="912"/>
      <c r="J11259" s="912"/>
      <c r="K11259" s="912"/>
      <c r="L11259" s="912"/>
      <c r="M11259" s="912">
        <f>VLOOKUP(B11259,MTC!$B$9:$S$933,12,0)</f>
        <v>1967433</v>
      </c>
      <c r="N11259" s="912">
        <f>M11259*H11259</f>
        <v>393486.60000000003</v>
      </c>
      <c r="O11259" s="892">
        <f t="shared" si="905"/>
        <v>0</v>
      </c>
      <c r="P11259" s="903">
        <f t="shared" si="906"/>
        <v>1</v>
      </c>
      <c r="Q11259" s="893">
        <f t="shared" si="907"/>
        <v>1</v>
      </c>
      <c r="R11259" s="894">
        <f t="shared" si="908"/>
        <v>0</v>
      </c>
    </row>
    <row r="11260" spans="1:18">
      <c r="A11260" s="905">
        <v>247</v>
      </c>
      <c r="B11260" s="914" t="s">
        <v>2068</v>
      </c>
      <c r="C11260" s="915"/>
      <c r="D11260" s="915"/>
      <c r="E11260" s="1009" t="s">
        <v>6858</v>
      </c>
      <c r="F11260" s="917" t="s">
        <v>139</v>
      </c>
      <c r="G11260" s="1008"/>
      <c r="H11260" s="919"/>
      <c r="I11260" s="920"/>
      <c r="J11260" s="891">
        <f>SUM(J11261:J11267)</f>
        <v>51531</v>
      </c>
      <c r="K11260" s="891"/>
      <c r="L11260" s="891">
        <f>SUM(L11261:L11267)</f>
        <v>331687.5</v>
      </c>
      <c r="M11260" s="891"/>
      <c r="N11260" s="891">
        <f>SUM(N11261:N11267)</f>
        <v>0</v>
      </c>
      <c r="O11260" s="892">
        <f t="shared" si="905"/>
        <v>1</v>
      </c>
      <c r="P11260" s="903">
        <f t="shared" si="906"/>
        <v>0</v>
      </c>
      <c r="Q11260" s="893">
        <f t="shared" si="907"/>
        <v>0</v>
      </c>
      <c r="R11260" s="894">
        <f t="shared" si="908"/>
        <v>7</v>
      </c>
    </row>
    <row r="11261" spans="1:18">
      <c r="A11261" s="895"/>
      <c r="B11261" s="896"/>
      <c r="C11261" s="897"/>
      <c r="D11261" s="897"/>
      <c r="E11261" s="1002" t="s">
        <v>108</v>
      </c>
      <c r="F11261" s="1003"/>
      <c r="G11261" s="1004"/>
      <c r="H11261" s="901"/>
      <c r="I11261" s="902"/>
      <c r="J11261" s="902"/>
      <c r="K11261" s="912" t="s">
        <v>274</v>
      </c>
      <c r="L11261" s="902"/>
      <c r="M11261" s="902"/>
      <c r="N11261" s="902"/>
      <c r="O11261" s="892">
        <f t="shared" si="905"/>
        <v>0</v>
      </c>
      <c r="P11261" s="903">
        <f t="shared" si="906"/>
        <v>1</v>
      </c>
      <c r="Q11261" s="893">
        <f t="shared" si="907"/>
        <v>7</v>
      </c>
      <c r="R11261" s="894">
        <f t="shared" si="908"/>
        <v>0</v>
      </c>
    </row>
    <row r="11262" spans="1:18" s="904" customFormat="1">
      <c r="A11262" s="905"/>
      <c r="B11262" s="952"/>
      <c r="C11262" s="907">
        <v>318</v>
      </c>
      <c r="D11262" s="907" t="s">
        <v>279</v>
      </c>
      <c r="E11262" s="992" t="s">
        <v>5657</v>
      </c>
      <c r="F11262" s="905" t="s">
        <v>45</v>
      </c>
      <c r="G11262" s="1005"/>
      <c r="H11262" s="911">
        <v>0.2</v>
      </c>
      <c r="I11262" s="912">
        <f>VLOOKUP(E11262,[3]VLP!$B$7:$K$300,10,0)</f>
        <v>25155</v>
      </c>
      <c r="J11262" s="912">
        <f>I11262*H11262</f>
        <v>5031</v>
      </c>
      <c r="K11262" s="912" t="s">
        <v>274</v>
      </c>
      <c r="L11262" s="912"/>
      <c r="M11262" s="912"/>
      <c r="N11262" s="912"/>
      <c r="O11262" s="892">
        <f t="shared" si="905"/>
        <v>0</v>
      </c>
      <c r="P11262" s="903">
        <f t="shared" si="906"/>
        <v>1</v>
      </c>
      <c r="Q11262" s="893">
        <f t="shared" si="907"/>
        <v>6</v>
      </c>
      <c r="R11262" s="894">
        <f t="shared" si="908"/>
        <v>0</v>
      </c>
    </row>
    <row r="11263" spans="1:18">
      <c r="A11263" s="905"/>
      <c r="B11263" s="952"/>
      <c r="C11263" s="907">
        <v>317</v>
      </c>
      <c r="D11263" s="907" t="s">
        <v>279</v>
      </c>
      <c r="E11263" s="992" t="s">
        <v>3273</v>
      </c>
      <c r="F11263" s="905" t="s">
        <v>45</v>
      </c>
      <c r="G11263" s="1005"/>
      <c r="H11263" s="911">
        <v>0.3</v>
      </c>
      <c r="I11263" s="912">
        <f>VLOOKUP(E11263,[3]VLP!$B$7:$K$300,10,0)</f>
        <v>25000</v>
      </c>
      <c r="J11263" s="912">
        <f>I11263*H11263</f>
        <v>7500</v>
      </c>
      <c r="K11263" s="912" t="s">
        <v>274</v>
      </c>
      <c r="L11263" s="912"/>
      <c r="M11263" s="912"/>
      <c r="N11263" s="912"/>
      <c r="O11263" s="892">
        <f t="shared" si="905"/>
        <v>0</v>
      </c>
      <c r="P11263" s="903">
        <f t="shared" si="906"/>
        <v>1</v>
      </c>
      <c r="Q11263" s="893">
        <f t="shared" si="907"/>
        <v>5</v>
      </c>
      <c r="R11263" s="894">
        <f t="shared" si="908"/>
        <v>0</v>
      </c>
    </row>
    <row r="11264" spans="1:18" s="904" customFormat="1">
      <c r="A11264" s="905"/>
      <c r="B11264" s="952"/>
      <c r="C11264" s="907">
        <v>234</v>
      </c>
      <c r="D11264" s="907" t="s">
        <v>279</v>
      </c>
      <c r="E11264" s="992" t="s">
        <v>5983</v>
      </c>
      <c r="F11264" s="905" t="s">
        <v>3144</v>
      </c>
      <c r="G11264" s="1005"/>
      <c r="H11264" s="911">
        <v>1</v>
      </c>
      <c r="I11264" s="912">
        <f>VLOOKUP(E11264,[3]VLP!$B$7:$K$300,10,0)</f>
        <v>14000</v>
      </c>
      <c r="J11264" s="912">
        <f>I11264*H11264</f>
        <v>14000</v>
      </c>
      <c r="K11264" s="912" t="s">
        <v>274</v>
      </c>
      <c r="L11264" s="912"/>
      <c r="M11264" s="912"/>
      <c r="N11264" s="912"/>
      <c r="O11264" s="892">
        <f t="shared" si="905"/>
        <v>0</v>
      </c>
      <c r="P11264" s="903">
        <f t="shared" si="906"/>
        <v>1</v>
      </c>
      <c r="Q11264" s="893">
        <f t="shared" si="907"/>
        <v>4</v>
      </c>
      <c r="R11264" s="894">
        <f t="shared" si="908"/>
        <v>0</v>
      </c>
    </row>
    <row r="11265" spans="1:18">
      <c r="A11265" s="905"/>
      <c r="B11265" s="952"/>
      <c r="C11265" s="907">
        <v>699</v>
      </c>
      <c r="D11265" s="907" t="s">
        <v>279</v>
      </c>
      <c r="E11265" s="992" t="s">
        <v>4006</v>
      </c>
      <c r="F11265" s="905" t="s">
        <v>4007</v>
      </c>
      <c r="G11265" s="1005"/>
      <c r="H11265" s="911">
        <v>5</v>
      </c>
      <c r="I11265" s="912">
        <f>VLOOKUP(E11265,[3]VLP!$B$7:$K$300,10,0)</f>
        <v>5000</v>
      </c>
      <c r="J11265" s="912">
        <f>I11265*H11265</f>
        <v>25000</v>
      </c>
      <c r="K11265" s="912" t="s">
        <v>274</v>
      </c>
      <c r="L11265" s="912"/>
      <c r="M11265" s="912"/>
      <c r="N11265" s="912"/>
      <c r="O11265" s="892">
        <f t="shared" si="905"/>
        <v>0</v>
      </c>
      <c r="P11265" s="903">
        <f t="shared" si="906"/>
        <v>1</v>
      </c>
      <c r="Q11265" s="893">
        <f t="shared" si="907"/>
        <v>3</v>
      </c>
      <c r="R11265" s="894">
        <f t="shared" si="908"/>
        <v>0</v>
      </c>
    </row>
    <row r="11266" spans="1:18" s="847" customFormat="1">
      <c r="A11266" s="895"/>
      <c r="B11266" s="896"/>
      <c r="C11266" s="897"/>
      <c r="D11266" s="897"/>
      <c r="E11266" s="1002" t="s">
        <v>276</v>
      </c>
      <c r="F11266" s="1003"/>
      <c r="G11266" s="1004"/>
      <c r="H11266" s="901"/>
      <c r="I11266" s="902"/>
      <c r="J11266" s="902"/>
      <c r="K11266" s="912" t="s">
        <v>274</v>
      </c>
      <c r="L11266" s="902"/>
      <c r="M11266" s="902"/>
      <c r="N11266" s="902"/>
      <c r="O11266" s="892">
        <f t="shared" si="905"/>
        <v>0</v>
      </c>
      <c r="P11266" s="903">
        <f t="shared" si="906"/>
        <v>1</v>
      </c>
      <c r="Q11266" s="893">
        <f t="shared" si="907"/>
        <v>2</v>
      </c>
      <c r="R11266" s="894">
        <f t="shared" si="908"/>
        <v>0</v>
      </c>
    </row>
    <row r="11267" spans="1:18" s="904" customFormat="1">
      <c r="A11267" s="905"/>
      <c r="B11267" s="952"/>
      <c r="C11267" s="907">
        <v>740</v>
      </c>
      <c r="D11267" s="907" t="s">
        <v>12</v>
      </c>
      <c r="E11267" s="992" t="s">
        <v>4008</v>
      </c>
      <c r="F11267" s="905" t="s">
        <v>2674</v>
      </c>
      <c r="G11267" s="1005"/>
      <c r="H11267" s="911">
        <v>1.5</v>
      </c>
      <c r="I11267" s="912"/>
      <c r="J11267" s="912"/>
      <c r="K11267" s="912">
        <f>VLOOKUP(E11267,[5]ĐMNC!$A$7:$F$67,4,0)</f>
        <v>221125</v>
      </c>
      <c r="L11267" s="912">
        <f>H11267*K11267</f>
        <v>331687.5</v>
      </c>
      <c r="M11267" s="912"/>
      <c r="N11267" s="912"/>
      <c r="O11267" s="892">
        <f t="shared" si="905"/>
        <v>0</v>
      </c>
      <c r="P11267" s="903">
        <f t="shared" si="906"/>
        <v>1</v>
      </c>
      <c r="Q11267" s="893">
        <f t="shared" si="907"/>
        <v>1</v>
      </c>
      <c r="R11267" s="894">
        <f t="shared" si="908"/>
        <v>0</v>
      </c>
    </row>
    <row r="11268" spans="1:18">
      <c r="A11268" s="905">
        <v>248</v>
      </c>
      <c r="B11268" s="914" t="s">
        <v>6859</v>
      </c>
      <c r="C11268" s="915"/>
      <c r="D11268" s="915"/>
      <c r="E11268" s="1006" t="s">
        <v>6860</v>
      </c>
      <c r="F11268" s="917" t="s">
        <v>139</v>
      </c>
      <c r="G11268" s="1008"/>
      <c r="H11268" s="919"/>
      <c r="I11268" s="920"/>
      <c r="J11268" s="891">
        <f>SUM(J11269:J11275)</f>
        <v>49031</v>
      </c>
      <c r="K11268" s="891"/>
      <c r="L11268" s="891">
        <f>SUM(L11269:L11275)</f>
        <v>99506.25</v>
      </c>
      <c r="M11268" s="891"/>
      <c r="N11268" s="891">
        <f>SUM(N11269:N11275)</f>
        <v>0</v>
      </c>
      <c r="O11268" s="892">
        <f t="shared" si="905"/>
        <v>1</v>
      </c>
      <c r="P11268" s="903">
        <f t="shared" si="906"/>
        <v>0</v>
      </c>
      <c r="Q11268" s="893">
        <f t="shared" si="907"/>
        <v>0</v>
      </c>
      <c r="R11268" s="894">
        <f t="shared" si="908"/>
        <v>7</v>
      </c>
    </row>
    <row r="11269" spans="1:18">
      <c r="A11269" s="895"/>
      <c r="B11269" s="896"/>
      <c r="C11269" s="897"/>
      <c r="D11269" s="897"/>
      <c r="E11269" s="1002" t="s">
        <v>108</v>
      </c>
      <c r="F11269" s="1003"/>
      <c r="G11269" s="1004"/>
      <c r="H11269" s="901"/>
      <c r="I11269" s="902"/>
      <c r="J11269" s="902"/>
      <c r="K11269" s="912" t="s">
        <v>274</v>
      </c>
      <c r="L11269" s="902"/>
      <c r="M11269" s="902"/>
      <c r="N11269" s="902"/>
      <c r="O11269" s="892">
        <f t="shared" si="905"/>
        <v>0</v>
      </c>
      <c r="P11269" s="903">
        <f t="shared" si="906"/>
        <v>1</v>
      </c>
      <c r="Q11269" s="893">
        <f t="shared" si="907"/>
        <v>7</v>
      </c>
      <c r="R11269" s="894">
        <f t="shared" si="908"/>
        <v>0</v>
      </c>
    </row>
    <row r="11270" spans="1:18">
      <c r="A11270" s="905"/>
      <c r="B11270" s="952"/>
      <c r="C11270" s="907">
        <v>318</v>
      </c>
      <c r="D11270" s="907" t="s">
        <v>279</v>
      </c>
      <c r="E11270" s="992" t="s">
        <v>5657</v>
      </c>
      <c r="F11270" s="905" t="s">
        <v>45</v>
      </c>
      <c r="G11270" s="1005"/>
      <c r="H11270" s="911">
        <v>0.2</v>
      </c>
      <c r="I11270" s="912">
        <f>VLOOKUP(E11270,[3]VLP!$B$7:$K$300,10,0)</f>
        <v>25155</v>
      </c>
      <c r="J11270" s="912">
        <f>I11270*H11270</f>
        <v>5031</v>
      </c>
      <c r="K11270" s="912" t="s">
        <v>274</v>
      </c>
      <c r="L11270" s="912"/>
      <c r="M11270" s="912"/>
      <c r="N11270" s="912"/>
      <c r="O11270" s="892">
        <f t="shared" si="905"/>
        <v>0</v>
      </c>
      <c r="P11270" s="903">
        <f t="shared" si="906"/>
        <v>1</v>
      </c>
      <c r="Q11270" s="893">
        <f t="shared" si="907"/>
        <v>6</v>
      </c>
      <c r="R11270" s="894">
        <f t="shared" si="908"/>
        <v>0</v>
      </c>
    </row>
    <row r="11271" spans="1:18">
      <c r="A11271" s="905"/>
      <c r="B11271" s="952"/>
      <c r="C11271" s="907">
        <v>317</v>
      </c>
      <c r="D11271" s="907" t="s">
        <v>279</v>
      </c>
      <c r="E11271" s="992" t="s">
        <v>3273</v>
      </c>
      <c r="F11271" s="905" t="s">
        <v>45</v>
      </c>
      <c r="G11271" s="1005"/>
      <c r="H11271" s="911">
        <v>0.2</v>
      </c>
      <c r="I11271" s="912">
        <f>VLOOKUP(E11271,[3]VLP!$B$7:$K$300,10,0)</f>
        <v>25000</v>
      </c>
      <c r="J11271" s="912">
        <f>I11271*H11271</f>
        <v>5000</v>
      </c>
      <c r="K11271" s="912" t="s">
        <v>274</v>
      </c>
      <c r="L11271" s="912"/>
      <c r="M11271" s="912"/>
      <c r="N11271" s="912"/>
      <c r="O11271" s="892">
        <f t="shared" si="905"/>
        <v>0</v>
      </c>
      <c r="P11271" s="903">
        <f t="shared" si="906"/>
        <v>1</v>
      </c>
      <c r="Q11271" s="893">
        <f t="shared" si="907"/>
        <v>5</v>
      </c>
      <c r="R11271" s="894">
        <f t="shared" si="908"/>
        <v>0</v>
      </c>
    </row>
    <row r="11272" spans="1:18">
      <c r="A11272" s="905"/>
      <c r="B11272" s="952"/>
      <c r="C11272" s="907">
        <v>234</v>
      </c>
      <c r="D11272" s="907" t="s">
        <v>279</v>
      </c>
      <c r="E11272" s="992" t="s">
        <v>5983</v>
      </c>
      <c r="F11272" s="905" t="s">
        <v>3144</v>
      </c>
      <c r="G11272" s="1005"/>
      <c r="H11272" s="911">
        <v>1</v>
      </c>
      <c r="I11272" s="912">
        <f>VLOOKUP(E11272,[3]VLP!$B$7:$K$300,10,0)</f>
        <v>14000</v>
      </c>
      <c r="J11272" s="912">
        <f>I11272*H11272</f>
        <v>14000</v>
      </c>
      <c r="K11272" s="912" t="s">
        <v>274</v>
      </c>
      <c r="L11272" s="912"/>
      <c r="M11272" s="912"/>
      <c r="N11272" s="912"/>
      <c r="O11272" s="892">
        <f t="shared" si="905"/>
        <v>0</v>
      </c>
      <c r="P11272" s="903">
        <f t="shared" si="906"/>
        <v>1</v>
      </c>
      <c r="Q11272" s="893">
        <f t="shared" si="907"/>
        <v>4</v>
      </c>
      <c r="R11272" s="894">
        <f t="shared" si="908"/>
        <v>0</v>
      </c>
    </row>
    <row r="11273" spans="1:18">
      <c r="A11273" s="905"/>
      <c r="B11273" s="952"/>
      <c r="C11273" s="907">
        <v>699</v>
      </c>
      <c r="D11273" s="907" t="s">
        <v>279</v>
      </c>
      <c r="E11273" s="992" t="s">
        <v>4006</v>
      </c>
      <c r="F11273" s="905" t="s">
        <v>4007</v>
      </c>
      <c r="G11273" s="1005"/>
      <c r="H11273" s="911">
        <v>5</v>
      </c>
      <c r="I11273" s="912">
        <f>VLOOKUP(E11273,[3]VLP!$B$7:$K$300,10,0)</f>
        <v>5000</v>
      </c>
      <c r="J11273" s="912">
        <f>I11273*H11273</f>
        <v>25000</v>
      </c>
      <c r="K11273" s="912" t="s">
        <v>274</v>
      </c>
      <c r="L11273" s="912"/>
      <c r="M11273" s="912"/>
      <c r="N11273" s="912"/>
      <c r="O11273" s="892">
        <f t="shared" si="905"/>
        <v>0</v>
      </c>
      <c r="P11273" s="903">
        <f t="shared" si="906"/>
        <v>1</v>
      </c>
      <c r="Q11273" s="893">
        <f t="shared" si="907"/>
        <v>3</v>
      </c>
      <c r="R11273" s="894">
        <f t="shared" si="908"/>
        <v>0</v>
      </c>
    </row>
    <row r="11274" spans="1:18">
      <c r="A11274" s="895"/>
      <c r="B11274" s="896"/>
      <c r="C11274" s="897"/>
      <c r="D11274" s="897"/>
      <c r="E11274" s="1002" t="s">
        <v>276</v>
      </c>
      <c r="F11274" s="1003"/>
      <c r="G11274" s="1004"/>
      <c r="H11274" s="901"/>
      <c r="I11274" s="902"/>
      <c r="J11274" s="902"/>
      <c r="K11274" s="912" t="s">
        <v>274</v>
      </c>
      <c r="L11274" s="902"/>
      <c r="M11274" s="902"/>
      <c r="N11274" s="902"/>
      <c r="O11274" s="892">
        <f t="shared" si="905"/>
        <v>0</v>
      </c>
      <c r="P11274" s="903">
        <f t="shared" si="906"/>
        <v>1</v>
      </c>
      <c r="Q11274" s="893">
        <f t="shared" si="907"/>
        <v>2</v>
      </c>
      <c r="R11274" s="894">
        <f t="shared" si="908"/>
        <v>0</v>
      </c>
    </row>
    <row r="11275" spans="1:18" s="904" customFormat="1">
      <c r="A11275" s="905"/>
      <c r="B11275" s="952"/>
      <c r="C11275" s="907">
        <v>740</v>
      </c>
      <c r="D11275" s="907" t="s">
        <v>12</v>
      </c>
      <c r="E11275" s="992" t="s">
        <v>4008</v>
      </c>
      <c r="F11275" s="905" t="s">
        <v>2674</v>
      </c>
      <c r="G11275" s="1005"/>
      <c r="H11275" s="911">
        <v>0.45</v>
      </c>
      <c r="I11275" s="912"/>
      <c r="J11275" s="912"/>
      <c r="K11275" s="912">
        <f>VLOOKUP(E11275,[5]ĐMNC!$A$7:$F$67,4,0)</f>
        <v>221125</v>
      </c>
      <c r="L11275" s="912">
        <f>H11275*K11275</f>
        <v>99506.25</v>
      </c>
      <c r="M11275" s="912"/>
      <c r="N11275" s="912"/>
      <c r="O11275" s="892">
        <f t="shared" si="905"/>
        <v>0</v>
      </c>
      <c r="P11275" s="903">
        <f t="shared" si="906"/>
        <v>1</v>
      </c>
      <c r="Q11275" s="893">
        <f t="shared" si="907"/>
        <v>1</v>
      </c>
      <c r="R11275" s="894">
        <f t="shared" si="908"/>
        <v>0</v>
      </c>
    </row>
    <row r="11276" spans="1:18">
      <c r="A11276" s="905">
        <v>249</v>
      </c>
      <c r="B11276" s="914" t="s">
        <v>6861</v>
      </c>
      <c r="C11276" s="915"/>
      <c r="D11276" s="915"/>
      <c r="E11276" s="1006" t="s">
        <v>6862</v>
      </c>
      <c r="F11276" s="917" t="s">
        <v>139</v>
      </c>
      <c r="G11276" s="1008"/>
      <c r="H11276" s="919"/>
      <c r="I11276" s="920"/>
      <c r="J11276" s="962">
        <f>SUM(J11277:J11285)</f>
        <v>153841</v>
      </c>
      <c r="K11276" s="891" t="s">
        <v>274</v>
      </c>
      <c r="L11276" s="962">
        <f>SUM(L11277:L11285)</f>
        <v>2211250</v>
      </c>
      <c r="M11276" s="962"/>
      <c r="N11276" s="962">
        <f>SUM(N11277:N11285)</f>
        <v>196743.30000000002</v>
      </c>
      <c r="O11276" s="892">
        <f t="shared" si="905"/>
        <v>1</v>
      </c>
      <c r="P11276" s="903">
        <f t="shared" si="906"/>
        <v>0</v>
      </c>
      <c r="Q11276" s="893">
        <f t="shared" si="907"/>
        <v>0</v>
      </c>
      <c r="R11276" s="894">
        <f t="shared" si="908"/>
        <v>9</v>
      </c>
    </row>
    <row r="11277" spans="1:18" s="904" customFormat="1">
      <c r="A11277" s="895"/>
      <c r="B11277" s="896"/>
      <c r="C11277" s="897"/>
      <c r="D11277" s="897"/>
      <c r="E11277" s="1002" t="s">
        <v>108</v>
      </c>
      <c r="F11277" s="1003"/>
      <c r="G11277" s="1004"/>
      <c r="H11277" s="901"/>
      <c r="I11277" s="902"/>
      <c r="J11277" s="902"/>
      <c r="K11277" s="912" t="s">
        <v>274</v>
      </c>
      <c r="L11277" s="902"/>
      <c r="M11277" s="902"/>
      <c r="N11277" s="902"/>
      <c r="O11277" s="892">
        <f t="shared" si="905"/>
        <v>0</v>
      </c>
      <c r="P11277" s="903">
        <f t="shared" si="906"/>
        <v>1</v>
      </c>
      <c r="Q11277" s="893">
        <f t="shared" si="907"/>
        <v>9</v>
      </c>
      <c r="R11277" s="894">
        <f t="shared" si="908"/>
        <v>0</v>
      </c>
    </row>
    <row r="11278" spans="1:18">
      <c r="A11278" s="905"/>
      <c r="B11278" s="952"/>
      <c r="C11278" s="907">
        <v>318</v>
      </c>
      <c r="D11278" s="907" t="s">
        <v>279</v>
      </c>
      <c r="E11278" s="992" t="s">
        <v>5657</v>
      </c>
      <c r="F11278" s="905" t="s">
        <v>45</v>
      </c>
      <c r="G11278" s="1005"/>
      <c r="H11278" s="911">
        <v>2.2000000000000002</v>
      </c>
      <c r="I11278" s="912">
        <f>VLOOKUP(E11278,[3]VLP!$B$7:$K$300,10,0)</f>
        <v>25155</v>
      </c>
      <c r="J11278" s="912">
        <f>I11278*H11278</f>
        <v>55341.000000000007</v>
      </c>
      <c r="K11278" s="912" t="s">
        <v>274</v>
      </c>
      <c r="L11278" s="912"/>
      <c r="M11278" s="912"/>
      <c r="N11278" s="912"/>
      <c r="O11278" s="892">
        <f t="shared" si="905"/>
        <v>0</v>
      </c>
      <c r="P11278" s="903">
        <f t="shared" si="906"/>
        <v>1</v>
      </c>
      <c r="Q11278" s="893">
        <f t="shared" si="907"/>
        <v>8</v>
      </c>
      <c r="R11278" s="894">
        <f t="shared" si="908"/>
        <v>0</v>
      </c>
    </row>
    <row r="11279" spans="1:18" s="847" customFormat="1">
      <c r="A11279" s="905"/>
      <c r="B11279" s="952"/>
      <c r="C11279" s="907">
        <v>317</v>
      </c>
      <c r="D11279" s="907" t="s">
        <v>279</v>
      </c>
      <c r="E11279" s="992" t="s">
        <v>3273</v>
      </c>
      <c r="F11279" s="905" t="s">
        <v>45</v>
      </c>
      <c r="G11279" s="1005"/>
      <c r="H11279" s="911">
        <v>0.7</v>
      </c>
      <c r="I11279" s="912">
        <f>VLOOKUP(E11279,[3]VLP!$B$7:$K$300,10,0)</f>
        <v>25000</v>
      </c>
      <c r="J11279" s="912">
        <f>I11279*H11279</f>
        <v>17500</v>
      </c>
      <c r="K11279" s="912" t="s">
        <v>274</v>
      </c>
      <c r="L11279" s="912"/>
      <c r="M11279" s="912"/>
      <c r="N11279" s="912"/>
      <c r="O11279" s="892">
        <f t="shared" si="905"/>
        <v>0</v>
      </c>
      <c r="P11279" s="903">
        <f t="shared" si="906"/>
        <v>1</v>
      </c>
      <c r="Q11279" s="893">
        <f t="shared" si="907"/>
        <v>7</v>
      </c>
      <c r="R11279" s="894">
        <f t="shared" si="908"/>
        <v>0</v>
      </c>
    </row>
    <row r="11280" spans="1:18" s="904" customFormat="1">
      <c r="A11280" s="905"/>
      <c r="B11280" s="952"/>
      <c r="C11280" s="907">
        <v>234</v>
      </c>
      <c r="D11280" s="907" t="s">
        <v>279</v>
      </c>
      <c r="E11280" s="992" t="s">
        <v>5983</v>
      </c>
      <c r="F11280" s="905" t="s">
        <v>3144</v>
      </c>
      <c r="G11280" s="1005"/>
      <c r="H11280" s="911">
        <v>4</v>
      </c>
      <c r="I11280" s="912">
        <f>VLOOKUP(E11280,[3]VLP!$B$7:$K$300,10,0)</f>
        <v>14000</v>
      </c>
      <c r="J11280" s="912">
        <f>I11280*H11280</f>
        <v>56000</v>
      </c>
      <c r="K11280" s="912" t="s">
        <v>274</v>
      </c>
      <c r="L11280" s="912"/>
      <c r="M11280" s="912"/>
      <c r="N11280" s="912"/>
      <c r="O11280" s="892">
        <f t="shared" si="905"/>
        <v>0</v>
      </c>
      <c r="P11280" s="903">
        <f t="shared" si="906"/>
        <v>1</v>
      </c>
      <c r="Q11280" s="893">
        <f t="shared" si="907"/>
        <v>6</v>
      </c>
      <c r="R11280" s="894">
        <f t="shared" si="908"/>
        <v>0</v>
      </c>
    </row>
    <row r="11281" spans="1:18">
      <c r="A11281" s="905"/>
      <c r="B11281" s="952"/>
      <c r="C11281" s="907">
        <v>699</v>
      </c>
      <c r="D11281" s="907" t="s">
        <v>279</v>
      </c>
      <c r="E11281" s="992" t="s">
        <v>4006</v>
      </c>
      <c r="F11281" s="905" t="s">
        <v>4007</v>
      </c>
      <c r="G11281" s="1005"/>
      <c r="H11281" s="911">
        <v>5</v>
      </c>
      <c r="I11281" s="912">
        <f>VLOOKUP(E11281,[3]VLP!$B$7:$K$300,10,0)</f>
        <v>5000</v>
      </c>
      <c r="J11281" s="912">
        <f>I11281*H11281</f>
        <v>25000</v>
      </c>
      <c r="K11281" s="912" t="s">
        <v>274</v>
      </c>
      <c r="L11281" s="912"/>
      <c r="M11281" s="912"/>
      <c r="N11281" s="912"/>
      <c r="O11281" s="892">
        <f t="shared" si="905"/>
        <v>0</v>
      </c>
      <c r="P11281" s="903">
        <f t="shared" si="906"/>
        <v>1</v>
      </c>
      <c r="Q11281" s="893">
        <f t="shared" si="907"/>
        <v>5</v>
      </c>
      <c r="R11281" s="894">
        <f t="shared" si="908"/>
        <v>0</v>
      </c>
    </row>
    <row r="11282" spans="1:18">
      <c r="A11282" s="895"/>
      <c r="B11282" s="896"/>
      <c r="C11282" s="897"/>
      <c r="D11282" s="897"/>
      <c r="E11282" s="1002" t="s">
        <v>276</v>
      </c>
      <c r="F11282" s="1003"/>
      <c r="G11282" s="1004"/>
      <c r="H11282" s="901"/>
      <c r="I11282" s="902"/>
      <c r="J11282" s="902"/>
      <c r="K11282" s="912" t="s">
        <v>274</v>
      </c>
      <c r="L11282" s="902"/>
      <c r="M11282" s="902"/>
      <c r="N11282" s="902"/>
      <c r="O11282" s="892">
        <f t="shared" si="905"/>
        <v>0</v>
      </c>
      <c r="P11282" s="903">
        <f t="shared" si="906"/>
        <v>1</v>
      </c>
      <c r="Q11282" s="893">
        <f t="shared" si="907"/>
        <v>4</v>
      </c>
      <c r="R11282" s="894">
        <f t="shared" si="908"/>
        <v>0</v>
      </c>
    </row>
    <row r="11283" spans="1:18">
      <c r="A11283" s="905"/>
      <c r="B11283" s="952"/>
      <c r="C11283" s="907">
        <v>740</v>
      </c>
      <c r="D11283" s="907" t="s">
        <v>12</v>
      </c>
      <c r="E11283" s="992" t="s">
        <v>4008</v>
      </c>
      <c r="F11283" s="905" t="s">
        <v>2674</v>
      </c>
      <c r="G11283" s="1005"/>
      <c r="H11283" s="911">
        <v>10</v>
      </c>
      <c r="I11283" s="912"/>
      <c r="J11283" s="912"/>
      <c r="K11283" s="912">
        <f>VLOOKUP(E11283,[5]ĐMNC!$A$7:$F$67,4,0)</f>
        <v>221125</v>
      </c>
      <c r="L11283" s="912">
        <f>H11283*K11283</f>
        <v>2211250</v>
      </c>
      <c r="M11283" s="912"/>
      <c r="N11283" s="912"/>
      <c r="O11283" s="892">
        <f t="shared" si="905"/>
        <v>0</v>
      </c>
      <c r="P11283" s="903">
        <f t="shared" si="906"/>
        <v>1</v>
      </c>
      <c r="Q11283" s="893">
        <f t="shared" si="907"/>
        <v>3</v>
      </c>
      <c r="R11283" s="894">
        <f t="shared" si="908"/>
        <v>0</v>
      </c>
    </row>
    <row r="11284" spans="1:18">
      <c r="A11284" s="895"/>
      <c r="B11284" s="896"/>
      <c r="C11284" s="897"/>
      <c r="D11284" s="897"/>
      <c r="E11284" s="1002" t="s">
        <v>3914</v>
      </c>
      <c r="F11284" s="1003"/>
      <c r="G11284" s="1004"/>
      <c r="H11284" s="901"/>
      <c r="I11284" s="902"/>
      <c r="J11284" s="902"/>
      <c r="K11284" s="912" t="s">
        <v>274</v>
      </c>
      <c r="L11284" s="902"/>
      <c r="M11284" s="902"/>
      <c r="N11284" s="902"/>
      <c r="O11284" s="892">
        <f t="shared" si="905"/>
        <v>0</v>
      </c>
      <c r="P11284" s="903">
        <f t="shared" si="906"/>
        <v>1</v>
      </c>
      <c r="Q11284" s="893">
        <f t="shared" si="907"/>
        <v>2</v>
      </c>
      <c r="R11284" s="894">
        <f t="shared" si="908"/>
        <v>0</v>
      </c>
    </row>
    <row r="11285" spans="1:18">
      <c r="A11285" s="905"/>
      <c r="B11285" s="952" t="s">
        <v>6332</v>
      </c>
      <c r="C11285" s="907">
        <v>901</v>
      </c>
      <c r="D11285" s="907" t="s">
        <v>93</v>
      </c>
      <c r="E11285" s="992" t="s">
        <v>6333</v>
      </c>
      <c r="F11285" s="905" t="s">
        <v>2673</v>
      </c>
      <c r="G11285" s="1005"/>
      <c r="H11285" s="911">
        <v>0.1</v>
      </c>
      <c r="I11285" s="912"/>
      <c r="J11285" s="912"/>
      <c r="K11285" s="912"/>
      <c r="L11285" s="912"/>
      <c r="M11285" s="912">
        <f>VLOOKUP(B11285,MTC!$B$9:$S$933,12,0)</f>
        <v>1967433</v>
      </c>
      <c r="N11285" s="912">
        <f>M11285*H11285</f>
        <v>196743.30000000002</v>
      </c>
      <c r="O11285" s="892">
        <f t="shared" si="905"/>
        <v>0</v>
      </c>
      <c r="P11285" s="903">
        <f t="shared" si="906"/>
        <v>1</v>
      </c>
      <c r="Q11285" s="893">
        <f t="shared" si="907"/>
        <v>1</v>
      </c>
      <c r="R11285" s="894">
        <f t="shared" si="908"/>
        <v>0</v>
      </c>
    </row>
    <row r="11286" spans="1:18">
      <c r="A11286" s="905">
        <v>250</v>
      </c>
      <c r="B11286" s="914" t="s">
        <v>6863</v>
      </c>
      <c r="C11286" s="915"/>
      <c r="D11286" s="915"/>
      <c r="E11286" s="1006" t="s">
        <v>6864</v>
      </c>
      <c r="F11286" s="917" t="s">
        <v>139</v>
      </c>
      <c r="G11286" s="1008"/>
      <c r="H11286" s="919"/>
      <c r="I11286" s="920"/>
      <c r="J11286" s="891">
        <f>SUM(J11287:J11293)</f>
        <v>61046.5</v>
      </c>
      <c r="K11286" s="891"/>
      <c r="L11286" s="891">
        <f>SUM(L11287:L11293)</f>
        <v>199012.5</v>
      </c>
      <c r="M11286" s="891"/>
      <c r="N11286" s="891">
        <f>SUM(N11287:N11293)</f>
        <v>0</v>
      </c>
      <c r="O11286" s="892">
        <f t="shared" si="905"/>
        <v>1</v>
      </c>
      <c r="P11286" s="903">
        <f t="shared" si="906"/>
        <v>0</v>
      </c>
      <c r="Q11286" s="893">
        <f t="shared" si="907"/>
        <v>0</v>
      </c>
      <c r="R11286" s="894">
        <f t="shared" si="908"/>
        <v>7</v>
      </c>
    </row>
    <row r="11287" spans="1:18">
      <c r="A11287" s="895"/>
      <c r="B11287" s="896"/>
      <c r="C11287" s="897"/>
      <c r="D11287" s="897"/>
      <c r="E11287" s="1002" t="s">
        <v>108</v>
      </c>
      <c r="F11287" s="1003"/>
      <c r="G11287" s="1004"/>
      <c r="H11287" s="901"/>
      <c r="I11287" s="902"/>
      <c r="J11287" s="902"/>
      <c r="K11287" s="912" t="s">
        <v>274</v>
      </c>
      <c r="L11287" s="902"/>
      <c r="M11287" s="902"/>
      <c r="N11287" s="902"/>
      <c r="O11287" s="892">
        <f t="shared" si="905"/>
        <v>0</v>
      </c>
      <c r="P11287" s="903">
        <f t="shared" si="906"/>
        <v>1</v>
      </c>
      <c r="Q11287" s="893">
        <f t="shared" si="907"/>
        <v>7</v>
      </c>
      <c r="R11287" s="894">
        <f t="shared" si="908"/>
        <v>0</v>
      </c>
    </row>
    <row r="11288" spans="1:18" s="904" customFormat="1">
      <c r="A11288" s="905"/>
      <c r="B11288" s="952"/>
      <c r="C11288" s="907">
        <v>318</v>
      </c>
      <c r="D11288" s="907" t="s">
        <v>279</v>
      </c>
      <c r="E11288" s="992" t="s">
        <v>5657</v>
      </c>
      <c r="F11288" s="905" t="s">
        <v>45</v>
      </c>
      <c r="G11288" s="1005"/>
      <c r="H11288" s="911">
        <v>0.3</v>
      </c>
      <c r="I11288" s="912">
        <f>VLOOKUP(E11288,[3]VLP!$B$7:$K$300,10,0)</f>
        <v>25155</v>
      </c>
      <c r="J11288" s="912">
        <f>I11288*H11288</f>
        <v>7546.5</v>
      </c>
      <c r="K11288" s="912" t="s">
        <v>274</v>
      </c>
      <c r="L11288" s="912"/>
      <c r="M11288" s="912"/>
      <c r="N11288" s="912"/>
      <c r="O11288" s="892">
        <f t="shared" si="905"/>
        <v>0</v>
      </c>
      <c r="P11288" s="903">
        <f t="shared" si="906"/>
        <v>1</v>
      </c>
      <c r="Q11288" s="893">
        <f t="shared" si="907"/>
        <v>6</v>
      </c>
      <c r="R11288" s="894">
        <f t="shared" si="908"/>
        <v>0</v>
      </c>
    </row>
    <row r="11289" spans="1:18">
      <c r="A11289" s="905"/>
      <c r="B11289" s="952"/>
      <c r="C11289" s="907">
        <v>317</v>
      </c>
      <c r="D11289" s="907" t="s">
        <v>279</v>
      </c>
      <c r="E11289" s="992" t="s">
        <v>3273</v>
      </c>
      <c r="F11289" s="905" t="s">
        <v>45</v>
      </c>
      <c r="G11289" s="1005"/>
      <c r="H11289" s="911">
        <v>0.3</v>
      </c>
      <c r="I11289" s="912">
        <f>VLOOKUP(E11289,[3]VLP!$B$7:$K$300,10,0)</f>
        <v>25000</v>
      </c>
      <c r="J11289" s="912">
        <f>I11289*H11289</f>
        <v>7500</v>
      </c>
      <c r="K11289" s="912" t="s">
        <v>274</v>
      </c>
      <c r="L11289" s="912"/>
      <c r="M11289" s="912"/>
      <c r="N11289" s="912"/>
      <c r="O11289" s="892">
        <f t="shared" si="905"/>
        <v>0</v>
      </c>
      <c r="P11289" s="903">
        <f t="shared" si="906"/>
        <v>1</v>
      </c>
      <c r="Q11289" s="893">
        <f t="shared" si="907"/>
        <v>5</v>
      </c>
      <c r="R11289" s="894">
        <f t="shared" si="908"/>
        <v>0</v>
      </c>
    </row>
    <row r="11290" spans="1:18" s="904" customFormat="1">
      <c r="A11290" s="905"/>
      <c r="B11290" s="952"/>
      <c r="C11290" s="907">
        <v>234</v>
      </c>
      <c r="D11290" s="907" t="s">
        <v>279</v>
      </c>
      <c r="E11290" s="992" t="s">
        <v>5983</v>
      </c>
      <c r="F11290" s="905" t="s">
        <v>3144</v>
      </c>
      <c r="G11290" s="1005"/>
      <c r="H11290" s="911">
        <v>1.5</v>
      </c>
      <c r="I11290" s="912">
        <f>VLOOKUP(E11290,[3]VLP!$B$7:$K$300,10,0)</f>
        <v>14000</v>
      </c>
      <c r="J11290" s="912">
        <f>I11290*H11290</f>
        <v>21000</v>
      </c>
      <c r="K11290" s="912" t="s">
        <v>274</v>
      </c>
      <c r="L11290" s="912"/>
      <c r="M11290" s="912"/>
      <c r="N11290" s="912"/>
      <c r="O11290" s="892">
        <f t="shared" si="905"/>
        <v>0</v>
      </c>
      <c r="P11290" s="903">
        <f t="shared" si="906"/>
        <v>1</v>
      </c>
      <c r="Q11290" s="893">
        <f t="shared" si="907"/>
        <v>4</v>
      </c>
      <c r="R11290" s="894">
        <f t="shared" si="908"/>
        <v>0</v>
      </c>
    </row>
    <row r="11291" spans="1:18">
      <c r="A11291" s="905"/>
      <c r="B11291" s="952"/>
      <c r="C11291" s="907">
        <v>699</v>
      </c>
      <c r="D11291" s="907" t="s">
        <v>279</v>
      </c>
      <c r="E11291" s="992" t="s">
        <v>4006</v>
      </c>
      <c r="F11291" s="905" t="s">
        <v>4007</v>
      </c>
      <c r="G11291" s="1005"/>
      <c r="H11291" s="911">
        <v>5</v>
      </c>
      <c r="I11291" s="912">
        <f>VLOOKUP(E11291,[3]VLP!$B$7:$K$300,10,0)</f>
        <v>5000</v>
      </c>
      <c r="J11291" s="912">
        <f>I11291*H11291</f>
        <v>25000</v>
      </c>
      <c r="K11291" s="912" t="s">
        <v>274</v>
      </c>
      <c r="L11291" s="912"/>
      <c r="M11291" s="912"/>
      <c r="N11291" s="912"/>
      <c r="O11291" s="892">
        <f t="shared" si="905"/>
        <v>0</v>
      </c>
      <c r="P11291" s="903">
        <f t="shared" si="906"/>
        <v>1</v>
      </c>
      <c r="Q11291" s="893">
        <f t="shared" si="907"/>
        <v>3</v>
      </c>
      <c r="R11291" s="894">
        <f t="shared" si="908"/>
        <v>0</v>
      </c>
    </row>
    <row r="11292" spans="1:18" s="847" customFormat="1">
      <c r="A11292" s="895"/>
      <c r="B11292" s="896"/>
      <c r="C11292" s="897"/>
      <c r="D11292" s="897"/>
      <c r="E11292" s="1002" t="s">
        <v>276</v>
      </c>
      <c r="F11292" s="1003"/>
      <c r="G11292" s="1004"/>
      <c r="H11292" s="901"/>
      <c r="I11292" s="902"/>
      <c r="J11292" s="902"/>
      <c r="K11292" s="912" t="s">
        <v>274</v>
      </c>
      <c r="L11292" s="902"/>
      <c r="M11292" s="902"/>
      <c r="N11292" s="902"/>
      <c r="O11292" s="892">
        <f t="shared" si="905"/>
        <v>0</v>
      </c>
      <c r="P11292" s="903">
        <f t="shared" si="906"/>
        <v>1</v>
      </c>
      <c r="Q11292" s="893">
        <f t="shared" si="907"/>
        <v>2</v>
      </c>
      <c r="R11292" s="894">
        <f t="shared" si="908"/>
        <v>0</v>
      </c>
    </row>
    <row r="11293" spans="1:18" s="904" customFormat="1">
      <c r="A11293" s="905"/>
      <c r="B11293" s="952"/>
      <c r="C11293" s="907">
        <v>740</v>
      </c>
      <c r="D11293" s="907" t="s">
        <v>12</v>
      </c>
      <c r="E11293" s="992" t="s">
        <v>4008</v>
      </c>
      <c r="F11293" s="905" t="s">
        <v>2674</v>
      </c>
      <c r="G11293" s="1005"/>
      <c r="H11293" s="911">
        <v>0.9</v>
      </c>
      <c r="I11293" s="912"/>
      <c r="J11293" s="912"/>
      <c r="K11293" s="912">
        <f>VLOOKUP(E11293,[5]ĐMNC!$A$7:$F$67,4,0)</f>
        <v>221125</v>
      </c>
      <c r="L11293" s="912">
        <f>H11293*K11293</f>
        <v>199012.5</v>
      </c>
      <c r="M11293" s="912"/>
      <c r="N11293" s="912"/>
      <c r="O11293" s="892">
        <f t="shared" si="905"/>
        <v>0</v>
      </c>
      <c r="P11293" s="903">
        <f t="shared" si="906"/>
        <v>1</v>
      </c>
      <c r="Q11293" s="893">
        <f t="shared" si="907"/>
        <v>1</v>
      </c>
      <c r="R11293" s="894">
        <f t="shared" si="908"/>
        <v>0</v>
      </c>
    </row>
    <row r="11294" spans="1:18">
      <c r="A11294" s="905">
        <v>251</v>
      </c>
      <c r="B11294" s="914" t="s">
        <v>6865</v>
      </c>
      <c r="C11294" s="915"/>
      <c r="D11294" s="915"/>
      <c r="E11294" s="1006" t="s">
        <v>6866</v>
      </c>
      <c r="F11294" s="917" t="s">
        <v>139</v>
      </c>
      <c r="G11294" s="1008"/>
      <c r="H11294" s="919"/>
      <c r="I11294" s="920"/>
      <c r="J11294" s="891">
        <f>SUM(J11295:J11301)</f>
        <v>61046.5</v>
      </c>
      <c r="K11294" s="891"/>
      <c r="L11294" s="891">
        <f>SUM(L11295:L11301)</f>
        <v>199012.5</v>
      </c>
      <c r="M11294" s="891"/>
      <c r="N11294" s="891">
        <f>SUM(N11295:N11301)</f>
        <v>0</v>
      </c>
      <c r="O11294" s="892">
        <f t="shared" si="905"/>
        <v>1</v>
      </c>
      <c r="P11294" s="903">
        <f t="shared" si="906"/>
        <v>0</v>
      </c>
      <c r="Q11294" s="893">
        <f t="shared" si="907"/>
        <v>0</v>
      </c>
      <c r="R11294" s="894">
        <f t="shared" si="908"/>
        <v>7</v>
      </c>
    </row>
    <row r="11295" spans="1:18">
      <c r="A11295" s="895"/>
      <c r="B11295" s="896"/>
      <c r="C11295" s="897"/>
      <c r="D11295" s="897"/>
      <c r="E11295" s="1002" t="s">
        <v>108</v>
      </c>
      <c r="F11295" s="1003"/>
      <c r="G11295" s="1004"/>
      <c r="H11295" s="901"/>
      <c r="I11295" s="902"/>
      <c r="J11295" s="902"/>
      <c r="K11295" s="912" t="s">
        <v>274</v>
      </c>
      <c r="L11295" s="902"/>
      <c r="M11295" s="902"/>
      <c r="N11295" s="902"/>
      <c r="O11295" s="892">
        <f t="shared" ref="O11295:O11358" si="909">IF(AND(B11295&lt;&gt;"",D11295=""),1,0)</f>
        <v>0</v>
      </c>
      <c r="P11295" s="903">
        <f t="shared" si="906"/>
        <v>1</v>
      </c>
      <c r="Q11295" s="893">
        <f t="shared" si="907"/>
        <v>7</v>
      </c>
      <c r="R11295" s="894">
        <f t="shared" si="908"/>
        <v>0</v>
      </c>
    </row>
    <row r="11296" spans="1:18">
      <c r="A11296" s="905"/>
      <c r="B11296" s="952"/>
      <c r="C11296" s="907">
        <v>318</v>
      </c>
      <c r="D11296" s="907" t="s">
        <v>279</v>
      </c>
      <c r="E11296" s="992" t="s">
        <v>5657</v>
      </c>
      <c r="F11296" s="905" t="s">
        <v>45</v>
      </c>
      <c r="G11296" s="1005"/>
      <c r="H11296" s="911">
        <v>0.3</v>
      </c>
      <c r="I11296" s="912">
        <f>VLOOKUP(E11296,[3]VLP!$B$7:$K$300,10,0)</f>
        <v>25155</v>
      </c>
      <c r="J11296" s="912">
        <f>I11296*H11296</f>
        <v>7546.5</v>
      </c>
      <c r="K11296" s="912" t="s">
        <v>274</v>
      </c>
      <c r="L11296" s="912"/>
      <c r="M11296" s="912"/>
      <c r="N11296" s="912"/>
      <c r="O11296" s="892">
        <f t="shared" si="909"/>
        <v>0</v>
      </c>
      <c r="P11296" s="903">
        <f t="shared" si="906"/>
        <v>1</v>
      </c>
      <c r="Q11296" s="893">
        <f t="shared" si="907"/>
        <v>6</v>
      </c>
      <c r="R11296" s="894">
        <f t="shared" si="908"/>
        <v>0</v>
      </c>
    </row>
    <row r="11297" spans="1:18">
      <c r="A11297" s="905"/>
      <c r="B11297" s="952"/>
      <c r="C11297" s="907">
        <v>317</v>
      </c>
      <c r="D11297" s="907" t="s">
        <v>279</v>
      </c>
      <c r="E11297" s="992" t="s">
        <v>3273</v>
      </c>
      <c r="F11297" s="905" t="s">
        <v>45</v>
      </c>
      <c r="G11297" s="1005"/>
      <c r="H11297" s="911">
        <v>0.3</v>
      </c>
      <c r="I11297" s="912">
        <f>VLOOKUP(E11297,[3]VLP!$B$7:$K$300,10,0)</f>
        <v>25000</v>
      </c>
      <c r="J11297" s="912">
        <f>I11297*H11297</f>
        <v>7500</v>
      </c>
      <c r="K11297" s="912" t="s">
        <v>274</v>
      </c>
      <c r="L11297" s="912"/>
      <c r="M11297" s="912"/>
      <c r="N11297" s="912"/>
      <c r="O11297" s="892">
        <f t="shared" si="909"/>
        <v>0</v>
      </c>
      <c r="P11297" s="903">
        <f t="shared" si="906"/>
        <v>1</v>
      </c>
      <c r="Q11297" s="893">
        <f t="shared" si="907"/>
        <v>5</v>
      </c>
      <c r="R11297" s="894">
        <f t="shared" si="908"/>
        <v>0</v>
      </c>
    </row>
    <row r="11298" spans="1:18">
      <c r="A11298" s="905"/>
      <c r="B11298" s="952"/>
      <c r="C11298" s="907">
        <v>234</v>
      </c>
      <c r="D11298" s="907" t="s">
        <v>279</v>
      </c>
      <c r="E11298" s="992" t="s">
        <v>5983</v>
      </c>
      <c r="F11298" s="905" t="s">
        <v>3144</v>
      </c>
      <c r="G11298" s="1005"/>
      <c r="H11298" s="911">
        <v>1.5</v>
      </c>
      <c r="I11298" s="912">
        <f>VLOOKUP(E11298,[3]VLP!$B$7:$K$300,10,0)</f>
        <v>14000</v>
      </c>
      <c r="J11298" s="912">
        <f>I11298*H11298</f>
        <v>21000</v>
      </c>
      <c r="K11298" s="912" t="s">
        <v>274</v>
      </c>
      <c r="L11298" s="912"/>
      <c r="M11298" s="912"/>
      <c r="N11298" s="912"/>
      <c r="O11298" s="892">
        <f t="shared" si="909"/>
        <v>0</v>
      </c>
      <c r="P11298" s="903">
        <f t="shared" si="906"/>
        <v>1</v>
      </c>
      <c r="Q11298" s="893">
        <f t="shared" si="907"/>
        <v>4</v>
      </c>
      <c r="R11298" s="894">
        <f t="shared" si="908"/>
        <v>0</v>
      </c>
    </row>
    <row r="11299" spans="1:18" s="904" customFormat="1">
      <c r="A11299" s="905"/>
      <c r="B11299" s="952"/>
      <c r="C11299" s="907">
        <v>699</v>
      </c>
      <c r="D11299" s="907" t="s">
        <v>279</v>
      </c>
      <c r="E11299" s="992" t="s">
        <v>4006</v>
      </c>
      <c r="F11299" s="905" t="s">
        <v>4007</v>
      </c>
      <c r="G11299" s="1005"/>
      <c r="H11299" s="911">
        <v>5</v>
      </c>
      <c r="I11299" s="912">
        <f>VLOOKUP(E11299,[3]VLP!$B$7:$K$300,10,0)</f>
        <v>5000</v>
      </c>
      <c r="J11299" s="912">
        <f>I11299*H11299</f>
        <v>25000</v>
      </c>
      <c r="K11299" s="912" t="s">
        <v>274</v>
      </c>
      <c r="L11299" s="912"/>
      <c r="M11299" s="912"/>
      <c r="N11299" s="912"/>
      <c r="O11299" s="892">
        <f t="shared" si="909"/>
        <v>0</v>
      </c>
      <c r="P11299" s="903">
        <f t="shared" si="906"/>
        <v>1</v>
      </c>
      <c r="Q11299" s="893">
        <f t="shared" si="907"/>
        <v>3</v>
      </c>
      <c r="R11299" s="894">
        <f t="shared" si="908"/>
        <v>0</v>
      </c>
    </row>
    <row r="11300" spans="1:18">
      <c r="A11300" s="895"/>
      <c r="B11300" s="896"/>
      <c r="C11300" s="897"/>
      <c r="D11300" s="897"/>
      <c r="E11300" s="1002" t="s">
        <v>276</v>
      </c>
      <c r="F11300" s="1003"/>
      <c r="G11300" s="1004"/>
      <c r="H11300" s="901"/>
      <c r="I11300" s="902"/>
      <c r="J11300" s="902"/>
      <c r="K11300" s="912" t="s">
        <v>274</v>
      </c>
      <c r="L11300" s="902"/>
      <c r="M11300" s="902"/>
      <c r="N11300" s="902"/>
      <c r="O11300" s="892">
        <f t="shared" si="909"/>
        <v>0</v>
      </c>
      <c r="P11300" s="903">
        <f t="shared" si="906"/>
        <v>1</v>
      </c>
      <c r="Q11300" s="893">
        <f t="shared" si="907"/>
        <v>2</v>
      </c>
      <c r="R11300" s="894">
        <f t="shared" si="908"/>
        <v>0</v>
      </c>
    </row>
    <row r="11301" spans="1:18" s="847" customFormat="1">
      <c r="A11301" s="905"/>
      <c r="B11301" s="952"/>
      <c r="C11301" s="907">
        <v>740</v>
      </c>
      <c r="D11301" s="907" t="s">
        <v>12</v>
      </c>
      <c r="E11301" s="992" t="s">
        <v>4008</v>
      </c>
      <c r="F11301" s="905" t="s">
        <v>2674</v>
      </c>
      <c r="G11301" s="1005"/>
      <c r="H11301" s="911">
        <v>0.9</v>
      </c>
      <c r="I11301" s="912"/>
      <c r="J11301" s="912"/>
      <c r="K11301" s="912">
        <f>VLOOKUP(E11301,[5]ĐMNC!$A$7:$F$67,4,0)</f>
        <v>221125</v>
      </c>
      <c r="L11301" s="912">
        <f>H11301*K11301</f>
        <v>199012.5</v>
      </c>
      <c r="M11301" s="912"/>
      <c r="N11301" s="912"/>
      <c r="O11301" s="892">
        <f t="shared" si="909"/>
        <v>0</v>
      </c>
      <c r="P11301" s="903">
        <f t="shared" si="906"/>
        <v>1</v>
      </c>
      <c r="Q11301" s="893">
        <f t="shared" si="907"/>
        <v>1</v>
      </c>
      <c r="R11301" s="894">
        <f t="shared" si="908"/>
        <v>0</v>
      </c>
    </row>
    <row r="11302" spans="1:18" s="904" customFormat="1">
      <c r="A11302" s="905" t="s">
        <v>6867</v>
      </c>
      <c r="B11302" s="1018" t="s">
        <v>6868</v>
      </c>
      <c r="C11302" s="915"/>
      <c r="D11302" s="915"/>
      <c r="E11302" s="1006" t="s">
        <v>6869</v>
      </c>
      <c r="F11302" s="917" t="s">
        <v>139</v>
      </c>
      <c r="G11302" s="1008"/>
      <c r="H11302" s="919"/>
      <c r="I11302" s="920"/>
      <c r="J11302" s="962">
        <f>SUM(J11303:J11312)</f>
        <v>18118.2</v>
      </c>
      <c r="K11302" s="891" t="s">
        <v>274</v>
      </c>
      <c r="L11302" s="962">
        <f>SUM(L11303:L11312)</f>
        <v>331687.5</v>
      </c>
      <c r="M11302" s="962"/>
      <c r="N11302" s="962">
        <f>SUM(N11303:N11312)</f>
        <v>221805.7</v>
      </c>
      <c r="O11302" s="892">
        <f t="shared" si="909"/>
        <v>1</v>
      </c>
      <c r="P11302" s="903">
        <f t="shared" si="906"/>
        <v>0</v>
      </c>
      <c r="Q11302" s="893">
        <f t="shared" si="907"/>
        <v>0</v>
      </c>
      <c r="R11302" s="894">
        <f t="shared" si="908"/>
        <v>10</v>
      </c>
    </row>
    <row r="11303" spans="1:18">
      <c r="A11303" s="895"/>
      <c r="B11303" s="896"/>
      <c r="C11303" s="897"/>
      <c r="D11303" s="897"/>
      <c r="E11303" s="1002" t="s">
        <v>108</v>
      </c>
      <c r="F11303" s="1003"/>
      <c r="G11303" s="1004"/>
      <c r="H11303" s="901"/>
      <c r="I11303" s="902"/>
      <c r="J11303" s="902"/>
      <c r="K11303" s="912" t="s">
        <v>274</v>
      </c>
      <c r="L11303" s="902"/>
      <c r="M11303" s="902"/>
      <c r="N11303" s="902"/>
      <c r="O11303" s="892">
        <f t="shared" si="909"/>
        <v>0</v>
      </c>
      <c r="P11303" s="903">
        <f t="shared" si="906"/>
        <v>1</v>
      </c>
      <c r="Q11303" s="893">
        <f t="shared" si="907"/>
        <v>10</v>
      </c>
      <c r="R11303" s="894">
        <f t="shared" si="908"/>
        <v>0</v>
      </c>
    </row>
    <row r="11304" spans="1:18">
      <c r="A11304" s="905"/>
      <c r="B11304" s="952"/>
      <c r="C11304" s="907">
        <v>212</v>
      </c>
      <c r="D11304" s="907" t="s">
        <v>279</v>
      </c>
      <c r="E11304" s="992" t="s">
        <v>2681</v>
      </c>
      <c r="F11304" s="905" t="s">
        <v>45</v>
      </c>
      <c r="G11304" s="1005"/>
      <c r="H11304" s="911">
        <v>0.1</v>
      </c>
      <c r="I11304" s="912">
        <f>VLOOKUP(E11304,[3]VLP!$B$7:$K$300,10,0)</f>
        <v>23000</v>
      </c>
      <c r="J11304" s="912">
        <f>I11304*H11304</f>
        <v>2300</v>
      </c>
      <c r="K11304" s="912" t="s">
        <v>274</v>
      </c>
      <c r="L11304" s="912"/>
      <c r="M11304" s="912"/>
      <c r="N11304" s="912"/>
      <c r="O11304" s="892">
        <f t="shared" si="909"/>
        <v>0</v>
      </c>
      <c r="P11304" s="903">
        <f t="shared" si="906"/>
        <v>1</v>
      </c>
      <c r="Q11304" s="893">
        <f t="shared" si="907"/>
        <v>9</v>
      </c>
      <c r="R11304" s="894">
        <f t="shared" si="908"/>
        <v>0</v>
      </c>
    </row>
    <row r="11305" spans="1:18">
      <c r="A11305" s="905"/>
      <c r="B11305" s="952"/>
      <c r="C11305" s="907">
        <v>317</v>
      </c>
      <c r="D11305" s="907" t="s">
        <v>279</v>
      </c>
      <c r="E11305" s="992" t="s">
        <v>3273</v>
      </c>
      <c r="F11305" s="905" t="s">
        <v>45</v>
      </c>
      <c r="G11305" s="1005"/>
      <c r="H11305" s="911">
        <v>0.1</v>
      </c>
      <c r="I11305" s="912">
        <f>VLOOKUP(E11305,[3]VLP!$B$7:$K$300,10,0)</f>
        <v>25000</v>
      </c>
      <c r="J11305" s="912">
        <f>I11305*H11305</f>
        <v>2500</v>
      </c>
      <c r="K11305" s="912" t="s">
        <v>274</v>
      </c>
      <c r="L11305" s="912"/>
      <c r="M11305" s="912"/>
      <c r="N11305" s="912"/>
      <c r="O11305" s="892">
        <f t="shared" si="909"/>
        <v>0</v>
      </c>
      <c r="P11305" s="903">
        <f t="shared" si="906"/>
        <v>1</v>
      </c>
      <c r="Q11305" s="893">
        <f t="shared" si="907"/>
        <v>8</v>
      </c>
      <c r="R11305" s="894">
        <f t="shared" si="908"/>
        <v>0</v>
      </c>
    </row>
    <row r="11306" spans="1:18">
      <c r="A11306" s="905"/>
      <c r="B11306" s="952"/>
      <c r="C11306" s="907">
        <v>321</v>
      </c>
      <c r="D11306" s="907" t="s">
        <v>279</v>
      </c>
      <c r="E11306" s="992" t="s">
        <v>6317</v>
      </c>
      <c r="F11306" s="905" t="s">
        <v>45</v>
      </c>
      <c r="G11306" s="1005"/>
      <c r="H11306" s="911">
        <v>0.1</v>
      </c>
      <c r="I11306" s="912">
        <f>VLOOKUP(E11306,[3]VLP!$B$7:$K$300,10,0)</f>
        <v>38182</v>
      </c>
      <c r="J11306" s="912">
        <f>I11306*H11306</f>
        <v>3818.2000000000003</v>
      </c>
      <c r="K11306" s="912" t="s">
        <v>274</v>
      </c>
      <c r="L11306" s="912"/>
      <c r="M11306" s="912"/>
      <c r="N11306" s="912"/>
      <c r="O11306" s="892">
        <f t="shared" si="909"/>
        <v>0</v>
      </c>
      <c r="P11306" s="903">
        <f t="shared" si="906"/>
        <v>1</v>
      </c>
      <c r="Q11306" s="893">
        <f t="shared" si="907"/>
        <v>7</v>
      </c>
      <c r="R11306" s="894">
        <f t="shared" si="908"/>
        <v>0</v>
      </c>
    </row>
    <row r="11307" spans="1:18">
      <c r="A11307" s="905"/>
      <c r="B11307" s="952"/>
      <c r="C11307" s="907">
        <v>234</v>
      </c>
      <c r="D11307" s="907" t="s">
        <v>279</v>
      </c>
      <c r="E11307" s="992" t="s">
        <v>5983</v>
      </c>
      <c r="F11307" s="905" t="s">
        <v>3144</v>
      </c>
      <c r="G11307" s="1005"/>
      <c r="H11307" s="911">
        <v>0.5</v>
      </c>
      <c r="I11307" s="912">
        <f>VLOOKUP(E11307,[3]VLP!$B$7:$K$300,10,0)</f>
        <v>14000</v>
      </c>
      <c r="J11307" s="912">
        <f>I11307*H11307</f>
        <v>7000</v>
      </c>
      <c r="K11307" s="912" t="s">
        <v>274</v>
      </c>
      <c r="L11307" s="912"/>
      <c r="M11307" s="912"/>
      <c r="N11307" s="912"/>
      <c r="O11307" s="892">
        <f t="shared" si="909"/>
        <v>0</v>
      </c>
      <c r="P11307" s="903">
        <f t="shared" si="906"/>
        <v>1</v>
      </c>
      <c r="Q11307" s="893">
        <f t="shared" si="907"/>
        <v>6</v>
      </c>
      <c r="R11307" s="894">
        <f t="shared" si="908"/>
        <v>0</v>
      </c>
    </row>
    <row r="11308" spans="1:18" s="904" customFormat="1">
      <c r="A11308" s="905"/>
      <c r="B11308" s="952"/>
      <c r="C11308" s="907">
        <v>235</v>
      </c>
      <c r="D11308" s="907" t="s">
        <v>279</v>
      </c>
      <c r="E11308" s="992" t="s">
        <v>2682</v>
      </c>
      <c r="F11308" s="905" t="s">
        <v>45</v>
      </c>
      <c r="G11308" s="1005"/>
      <c r="H11308" s="911">
        <v>0.5</v>
      </c>
      <c r="I11308" s="912">
        <f>VLOOKUP(E11308,[3]VLP!$B$7:$K$300,10,0)</f>
        <v>5000</v>
      </c>
      <c r="J11308" s="912">
        <f>I11308*H11308</f>
        <v>2500</v>
      </c>
      <c r="K11308" s="912" t="s">
        <v>274</v>
      </c>
      <c r="L11308" s="912"/>
      <c r="M11308" s="912"/>
      <c r="N11308" s="912"/>
      <c r="O11308" s="892">
        <f t="shared" si="909"/>
        <v>0</v>
      </c>
      <c r="P11308" s="903">
        <f t="shared" si="906"/>
        <v>1</v>
      </c>
      <c r="Q11308" s="893">
        <f t="shared" si="907"/>
        <v>5</v>
      </c>
      <c r="R11308" s="894">
        <f t="shared" si="908"/>
        <v>0</v>
      </c>
    </row>
    <row r="11309" spans="1:18">
      <c r="A11309" s="895"/>
      <c r="B11309" s="896"/>
      <c r="C11309" s="897"/>
      <c r="D11309" s="897"/>
      <c r="E11309" s="1002" t="s">
        <v>276</v>
      </c>
      <c r="F11309" s="1003"/>
      <c r="G11309" s="1004"/>
      <c r="H11309" s="901"/>
      <c r="I11309" s="902"/>
      <c r="J11309" s="902"/>
      <c r="K11309" s="912" t="s">
        <v>274</v>
      </c>
      <c r="L11309" s="902"/>
      <c r="M11309" s="902"/>
      <c r="N11309" s="902"/>
      <c r="O11309" s="892">
        <f t="shared" si="909"/>
        <v>0</v>
      </c>
      <c r="P11309" s="903">
        <f t="shared" si="906"/>
        <v>1</v>
      </c>
      <c r="Q11309" s="893">
        <f t="shared" si="907"/>
        <v>4</v>
      </c>
      <c r="R11309" s="894">
        <f t="shared" si="908"/>
        <v>0</v>
      </c>
    </row>
    <row r="11310" spans="1:18" s="847" customFormat="1">
      <c r="A11310" s="905"/>
      <c r="B11310" s="952"/>
      <c r="C11310" s="907">
        <v>740</v>
      </c>
      <c r="D11310" s="907" t="s">
        <v>12</v>
      </c>
      <c r="E11310" s="992" t="s">
        <v>4008</v>
      </c>
      <c r="F11310" s="905" t="s">
        <v>2674</v>
      </c>
      <c r="G11310" s="1005"/>
      <c r="H11310" s="911">
        <v>1.5</v>
      </c>
      <c r="I11310" s="912"/>
      <c r="J11310" s="912"/>
      <c r="K11310" s="912">
        <f>VLOOKUP(E11310,[5]ĐMNC!$A$7:$F$67,4,0)</f>
        <v>221125</v>
      </c>
      <c r="L11310" s="912">
        <f>H11310*K11310</f>
        <v>331687.5</v>
      </c>
      <c r="M11310" s="912"/>
      <c r="N11310" s="912"/>
      <c r="O11310" s="892">
        <f t="shared" si="909"/>
        <v>0</v>
      </c>
      <c r="P11310" s="903">
        <f t="shared" si="906"/>
        <v>1</v>
      </c>
      <c r="Q11310" s="893">
        <f t="shared" si="907"/>
        <v>3</v>
      </c>
      <c r="R11310" s="894">
        <f t="shared" si="908"/>
        <v>0</v>
      </c>
    </row>
    <row r="11311" spans="1:18" s="904" customFormat="1">
      <c r="A11311" s="895"/>
      <c r="B11311" s="896"/>
      <c r="C11311" s="897"/>
      <c r="D11311" s="897"/>
      <c r="E11311" s="1002" t="s">
        <v>3914</v>
      </c>
      <c r="F11311" s="1003"/>
      <c r="G11311" s="1004"/>
      <c r="H11311" s="901"/>
      <c r="I11311" s="902"/>
      <c r="J11311" s="902"/>
      <c r="K11311" s="912" t="s">
        <v>274</v>
      </c>
      <c r="L11311" s="902"/>
      <c r="M11311" s="902"/>
      <c r="N11311" s="902"/>
      <c r="O11311" s="892">
        <f t="shared" si="909"/>
        <v>0</v>
      </c>
      <c r="P11311" s="903">
        <f t="shared" si="906"/>
        <v>1</v>
      </c>
      <c r="Q11311" s="893">
        <f t="shared" si="907"/>
        <v>2</v>
      </c>
      <c r="R11311" s="894">
        <f t="shared" si="908"/>
        <v>0</v>
      </c>
    </row>
    <row r="11312" spans="1:18">
      <c r="A11312" s="905"/>
      <c r="B11312" s="952" t="s">
        <v>6326</v>
      </c>
      <c r="C11312" s="907">
        <v>902</v>
      </c>
      <c r="D11312" s="907" t="s">
        <v>93</v>
      </c>
      <c r="E11312" s="992" t="s">
        <v>6327</v>
      </c>
      <c r="F11312" s="905" t="s">
        <v>2673</v>
      </c>
      <c r="G11312" s="1005"/>
      <c r="H11312" s="911">
        <v>0.1</v>
      </c>
      <c r="I11312" s="912"/>
      <c r="J11312" s="912"/>
      <c r="K11312" s="912"/>
      <c r="L11312" s="912"/>
      <c r="M11312" s="912">
        <f>VLOOKUP(B11312,MTC!$B$9:$S$933,12,0)</f>
        <v>2218057</v>
      </c>
      <c r="N11312" s="912">
        <f>M11312*H11312</f>
        <v>221805.7</v>
      </c>
      <c r="O11312" s="892">
        <f t="shared" si="909"/>
        <v>0</v>
      </c>
      <c r="P11312" s="903">
        <f t="shared" si="906"/>
        <v>1</v>
      </c>
      <c r="Q11312" s="893">
        <f t="shared" si="907"/>
        <v>1</v>
      </c>
      <c r="R11312" s="894">
        <f t="shared" si="908"/>
        <v>0</v>
      </c>
    </row>
    <row r="11313" spans="1:18">
      <c r="A11313" s="905">
        <v>253</v>
      </c>
      <c r="B11313" s="1018" t="s">
        <v>6870</v>
      </c>
      <c r="C11313" s="915"/>
      <c r="D11313" s="915"/>
      <c r="E11313" s="1006" t="s">
        <v>6871</v>
      </c>
      <c r="F11313" s="917" t="s">
        <v>139</v>
      </c>
      <c r="G11313" s="1008"/>
      <c r="H11313" s="919"/>
      <c r="I11313" s="920"/>
      <c r="J11313" s="962">
        <f>SUM(J11314:J11323)</f>
        <v>28918.2</v>
      </c>
      <c r="K11313" s="891" t="s">
        <v>274</v>
      </c>
      <c r="L11313" s="962">
        <f>SUM(L11314:L11323)</f>
        <v>663375</v>
      </c>
      <c r="M11313" s="962"/>
      <c r="N11313" s="962">
        <f>SUM(N11314:N11323)</f>
        <v>221805.7</v>
      </c>
      <c r="O11313" s="892">
        <f t="shared" si="909"/>
        <v>1</v>
      </c>
      <c r="P11313" s="903">
        <f t="shared" si="906"/>
        <v>0</v>
      </c>
      <c r="Q11313" s="893">
        <f t="shared" si="907"/>
        <v>0</v>
      </c>
      <c r="R11313" s="894">
        <f t="shared" si="908"/>
        <v>10</v>
      </c>
    </row>
    <row r="11314" spans="1:18">
      <c r="A11314" s="895"/>
      <c r="B11314" s="896"/>
      <c r="C11314" s="897"/>
      <c r="D11314" s="897"/>
      <c r="E11314" s="1002" t="s">
        <v>108</v>
      </c>
      <c r="F11314" s="1003"/>
      <c r="G11314" s="1004"/>
      <c r="H11314" s="901"/>
      <c r="I11314" s="902"/>
      <c r="J11314" s="902"/>
      <c r="K11314" s="912" t="s">
        <v>274</v>
      </c>
      <c r="L11314" s="902"/>
      <c r="M11314" s="902"/>
      <c r="N11314" s="902"/>
      <c r="O11314" s="892">
        <f t="shared" si="909"/>
        <v>0</v>
      </c>
      <c r="P11314" s="903">
        <f t="shared" si="906"/>
        <v>1</v>
      </c>
      <c r="Q11314" s="893">
        <f t="shared" si="907"/>
        <v>10</v>
      </c>
      <c r="R11314" s="894">
        <f t="shared" si="908"/>
        <v>0</v>
      </c>
    </row>
    <row r="11315" spans="1:18">
      <c r="A11315" s="905"/>
      <c r="B11315" s="952"/>
      <c r="C11315" s="907">
        <v>212</v>
      </c>
      <c r="D11315" s="907" t="s">
        <v>279</v>
      </c>
      <c r="E11315" s="992" t="s">
        <v>2681</v>
      </c>
      <c r="F11315" s="905" t="s">
        <v>45</v>
      </c>
      <c r="G11315" s="1005"/>
      <c r="H11315" s="911">
        <v>0.2</v>
      </c>
      <c r="I11315" s="912">
        <f>VLOOKUP(E11315,[3]VLP!$B$7:$K$300,10,0)</f>
        <v>23000</v>
      </c>
      <c r="J11315" s="912">
        <f>I11315*H11315</f>
        <v>4600</v>
      </c>
      <c r="K11315" s="912" t="s">
        <v>274</v>
      </c>
      <c r="L11315" s="912"/>
      <c r="M11315" s="912"/>
      <c r="N11315" s="912"/>
      <c r="O11315" s="892">
        <f t="shared" si="909"/>
        <v>0</v>
      </c>
      <c r="P11315" s="903">
        <f t="shared" ref="P11315:P11378" si="910">IF(O11315=0,1,0)</f>
        <v>1</v>
      </c>
      <c r="Q11315" s="893">
        <f t="shared" ref="Q11315:Q11378" si="911">IF(P11315=0,0,P11315+Q11316)</f>
        <v>9</v>
      </c>
      <c r="R11315" s="894">
        <f t="shared" ref="R11315:R11378" si="912">IF(Q11315=0,Q11316,0)</f>
        <v>0</v>
      </c>
    </row>
    <row r="11316" spans="1:18">
      <c r="A11316" s="905"/>
      <c r="B11316" s="952"/>
      <c r="C11316" s="907">
        <v>317</v>
      </c>
      <c r="D11316" s="907" t="s">
        <v>279</v>
      </c>
      <c r="E11316" s="992" t="s">
        <v>3273</v>
      </c>
      <c r="F11316" s="905" t="s">
        <v>45</v>
      </c>
      <c r="G11316" s="1005"/>
      <c r="H11316" s="911">
        <v>0.1</v>
      </c>
      <c r="I11316" s="912">
        <f>VLOOKUP(E11316,[3]VLP!$B$7:$K$300,10,0)</f>
        <v>25000</v>
      </c>
      <c r="J11316" s="912">
        <f>I11316*H11316</f>
        <v>2500</v>
      </c>
      <c r="K11316" s="912" t="s">
        <v>274</v>
      </c>
      <c r="L11316" s="912"/>
      <c r="M11316" s="912"/>
      <c r="N11316" s="912"/>
      <c r="O11316" s="892">
        <f t="shared" si="909"/>
        <v>0</v>
      </c>
      <c r="P11316" s="903">
        <f t="shared" si="910"/>
        <v>1</v>
      </c>
      <c r="Q11316" s="893">
        <f t="shared" si="911"/>
        <v>8</v>
      </c>
      <c r="R11316" s="894">
        <f t="shared" si="912"/>
        <v>0</v>
      </c>
    </row>
    <row r="11317" spans="1:18" s="904" customFormat="1">
      <c r="A11317" s="905"/>
      <c r="B11317" s="952"/>
      <c r="C11317" s="907">
        <v>321</v>
      </c>
      <c r="D11317" s="907" t="s">
        <v>279</v>
      </c>
      <c r="E11317" s="992" t="s">
        <v>6317</v>
      </c>
      <c r="F11317" s="905" t="s">
        <v>45</v>
      </c>
      <c r="G11317" s="1005"/>
      <c r="H11317" s="911">
        <v>0.1</v>
      </c>
      <c r="I11317" s="912">
        <f>VLOOKUP(E11317,[3]VLP!$B$7:$K$300,10,0)</f>
        <v>38182</v>
      </c>
      <c r="J11317" s="912">
        <f>I11317*H11317</f>
        <v>3818.2000000000003</v>
      </c>
      <c r="K11317" s="912" t="s">
        <v>274</v>
      </c>
      <c r="L11317" s="912"/>
      <c r="M11317" s="912"/>
      <c r="N11317" s="912"/>
      <c r="O11317" s="892">
        <f t="shared" si="909"/>
        <v>0</v>
      </c>
      <c r="P11317" s="903">
        <f t="shared" si="910"/>
        <v>1</v>
      </c>
      <c r="Q11317" s="893">
        <f t="shared" si="911"/>
        <v>7</v>
      </c>
      <c r="R11317" s="894">
        <f t="shared" si="912"/>
        <v>0</v>
      </c>
    </row>
    <row r="11318" spans="1:18">
      <c r="A11318" s="905"/>
      <c r="B11318" s="952"/>
      <c r="C11318" s="907">
        <v>234</v>
      </c>
      <c r="D11318" s="907" t="s">
        <v>279</v>
      </c>
      <c r="E11318" s="992" t="s">
        <v>5983</v>
      </c>
      <c r="F11318" s="905" t="s">
        <v>3144</v>
      </c>
      <c r="G11318" s="1005"/>
      <c r="H11318" s="911">
        <v>1</v>
      </c>
      <c r="I11318" s="912">
        <f>VLOOKUP(E11318,[3]VLP!$B$7:$K$300,10,0)</f>
        <v>14000</v>
      </c>
      <c r="J11318" s="912">
        <f>I11318*H11318</f>
        <v>14000</v>
      </c>
      <c r="K11318" s="912" t="s">
        <v>274</v>
      </c>
      <c r="L11318" s="912"/>
      <c r="M11318" s="912"/>
      <c r="N11318" s="912"/>
      <c r="O11318" s="892">
        <f t="shared" si="909"/>
        <v>0</v>
      </c>
      <c r="P11318" s="903">
        <f t="shared" si="910"/>
        <v>1</v>
      </c>
      <c r="Q11318" s="893">
        <f t="shared" si="911"/>
        <v>6</v>
      </c>
      <c r="R11318" s="894">
        <f t="shared" si="912"/>
        <v>0</v>
      </c>
    </row>
    <row r="11319" spans="1:18" s="847" customFormat="1">
      <c r="A11319" s="905"/>
      <c r="B11319" s="952"/>
      <c r="C11319" s="907">
        <v>235</v>
      </c>
      <c r="D11319" s="907" t="s">
        <v>279</v>
      </c>
      <c r="E11319" s="992" t="s">
        <v>2682</v>
      </c>
      <c r="F11319" s="905" t="s">
        <v>45</v>
      </c>
      <c r="G11319" s="1005"/>
      <c r="H11319" s="911">
        <v>0.8</v>
      </c>
      <c r="I11319" s="912">
        <f>VLOOKUP(E11319,[3]VLP!$B$7:$K$300,10,0)</f>
        <v>5000</v>
      </c>
      <c r="J11319" s="912">
        <f>I11319*H11319</f>
        <v>4000</v>
      </c>
      <c r="K11319" s="912" t="s">
        <v>274</v>
      </c>
      <c r="L11319" s="912"/>
      <c r="M11319" s="912"/>
      <c r="N11319" s="912"/>
      <c r="O11319" s="892">
        <f t="shared" si="909"/>
        <v>0</v>
      </c>
      <c r="P11319" s="903">
        <f t="shared" si="910"/>
        <v>1</v>
      </c>
      <c r="Q11319" s="893">
        <f t="shared" si="911"/>
        <v>5</v>
      </c>
      <c r="R11319" s="894">
        <f t="shared" si="912"/>
        <v>0</v>
      </c>
    </row>
    <row r="11320" spans="1:18" s="904" customFormat="1">
      <c r="A11320" s="895"/>
      <c r="B11320" s="896"/>
      <c r="C11320" s="897"/>
      <c r="D11320" s="897"/>
      <c r="E11320" s="1002" t="s">
        <v>276</v>
      </c>
      <c r="F11320" s="1003"/>
      <c r="G11320" s="1004"/>
      <c r="H11320" s="901"/>
      <c r="I11320" s="902"/>
      <c r="J11320" s="902"/>
      <c r="K11320" s="912" t="s">
        <v>274</v>
      </c>
      <c r="L11320" s="902"/>
      <c r="M11320" s="902"/>
      <c r="N11320" s="902"/>
      <c r="O11320" s="892">
        <f t="shared" si="909"/>
        <v>0</v>
      </c>
      <c r="P11320" s="903">
        <f t="shared" si="910"/>
        <v>1</v>
      </c>
      <c r="Q11320" s="893">
        <f t="shared" si="911"/>
        <v>4</v>
      </c>
      <c r="R11320" s="894">
        <f t="shared" si="912"/>
        <v>0</v>
      </c>
    </row>
    <row r="11321" spans="1:18">
      <c r="A11321" s="905"/>
      <c r="B11321" s="952"/>
      <c r="C11321" s="907">
        <v>740</v>
      </c>
      <c r="D11321" s="907" t="s">
        <v>12</v>
      </c>
      <c r="E11321" s="992" t="s">
        <v>4008</v>
      </c>
      <c r="F11321" s="905" t="s">
        <v>2674</v>
      </c>
      <c r="G11321" s="1005"/>
      <c r="H11321" s="911">
        <v>3</v>
      </c>
      <c r="I11321" s="912"/>
      <c r="J11321" s="912"/>
      <c r="K11321" s="912">
        <f>VLOOKUP(E11321,[5]ĐMNC!$A$7:$F$67,4,0)</f>
        <v>221125</v>
      </c>
      <c r="L11321" s="912">
        <f>H11321*K11321</f>
        <v>663375</v>
      </c>
      <c r="M11321" s="912"/>
      <c r="N11321" s="912"/>
      <c r="O11321" s="892">
        <f t="shared" si="909"/>
        <v>0</v>
      </c>
      <c r="P11321" s="903">
        <f t="shared" si="910"/>
        <v>1</v>
      </c>
      <c r="Q11321" s="893">
        <f t="shared" si="911"/>
        <v>3</v>
      </c>
      <c r="R11321" s="894">
        <f t="shared" si="912"/>
        <v>0</v>
      </c>
    </row>
    <row r="11322" spans="1:18">
      <c r="A11322" s="895"/>
      <c r="B11322" s="896"/>
      <c r="C11322" s="897"/>
      <c r="D11322" s="897"/>
      <c r="E11322" s="1002" t="s">
        <v>3914</v>
      </c>
      <c r="F11322" s="1003"/>
      <c r="G11322" s="1004"/>
      <c r="H11322" s="901"/>
      <c r="I11322" s="902"/>
      <c r="J11322" s="902"/>
      <c r="K11322" s="912" t="s">
        <v>274</v>
      </c>
      <c r="L11322" s="902"/>
      <c r="M11322" s="902"/>
      <c r="N11322" s="902"/>
      <c r="O11322" s="892">
        <f t="shared" si="909"/>
        <v>0</v>
      </c>
      <c r="P11322" s="903">
        <f t="shared" si="910"/>
        <v>1</v>
      </c>
      <c r="Q11322" s="893">
        <f t="shared" si="911"/>
        <v>2</v>
      </c>
      <c r="R11322" s="894">
        <f t="shared" si="912"/>
        <v>0</v>
      </c>
    </row>
    <row r="11323" spans="1:18">
      <c r="A11323" s="905"/>
      <c r="B11323" s="952" t="s">
        <v>6326</v>
      </c>
      <c r="C11323" s="907">
        <v>902</v>
      </c>
      <c r="D11323" s="907" t="s">
        <v>93</v>
      </c>
      <c r="E11323" s="992" t="s">
        <v>6327</v>
      </c>
      <c r="F11323" s="905" t="s">
        <v>2673</v>
      </c>
      <c r="G11323" s="1005"/>
      <c r="H11323" s="911">
        <v>0.1</v>
      </c>
      <c r="I11323" s="912"/>
      <c r="J11323" s="912"/>
      <c r="K11323" s="912"/>
      <c r="L11323" s="912"/>
      <c r="M11323" s="912">
        <f>VLOOKUP(B11323,MTC!$B$9:$S$933,12,0)</f>
        <v>2218057</v>
      </c>
      <c r="N11323" s="912">
        <f>M11323*H11323</f>
        <v>221805.7</v>
      </c>
      <c r="O11323" s="892">
        <f t="shared" si="909"/>
        <v>0</v>
      </c>
      <c r="P11323" s="903">
        <f t="shared" si="910"/>
        <v>1</v>
      </c>
      <c r="Q11323" s="893">
        <f t="shared" si="911"/>
        <v>1</v>
      </c>
      <c r="R11323" s="894">
        <f t="shared" si="912"/>
        <v>0</v>
      </c>
    </row>
    <row r="11324" spans="1:18">
      <c r="A11324" s="905">
        <v>254</v>
      </c>
      <c r="B11324" s="1018" t="s">
        <v>6872</v>
      </c>
      <c r="C11324" s="915"/>
      <c r="D11324" s="915"/>
      <c r="E11324" s="1006" t="s">
        <v>6873</v>
      </c>
      <c r="F11324" s="917" t="s">
        <v>139</v>
      </c>
      <c r="G11324" s="1008"/>
      <c r="H11324" s="919"/>
      <c r="I11324" s="920"/>
      <c r="J11324" s="962">
        <f>SUM(J11325:J11334)</f>
        <v>50309.119999999995</v>
      </c>
      <c r="K11324" s="891" t="s">
        <v>274</v>
      </c>
      <c r="L11324" s="962">
        <f>SUM(L11325:L11334)</f>
        <v>619150</v>
      </c>
      <c r="M11324" s="962"/>
      <c r="N11324" s="962">
        <f>SUM(N11325:N11334)</f>
        <v>399250.26</v>
      </c>
      <c r="O11324" s="892">
        <f t="shared" si="909"/>
        <v>1</v>
      </c>
      <c r="P11324" s="903">
        <f t="shared" si="910"/>
        <v>0</v>
      </c>
      <c r="Q11324" s="893">
        <f t="shared" si="911"/>
        <v>0</v>
      </c>
      <c r="R11324" s="894">
        <f t="shared" si="912"/>
        <v>10</v>
      </c>
    </row>
    <row r="11325" spans="1:18" s="904" customFormat="1">
      <c r="A11325" s="895"/>
      <c r="B11325" s="896"/>
      <c r="C11325" s="897"/>
      <c r="D11325" s="897"/>
      <c r="E11325" s="1002" t="s">
        <v>108</v>
      </c>
      <c r="F11325" s="1003"/>
      <c r="G11325" s="1004"/>
      <c r="H11325" s="901"/>
      <c r="I11325" s="902"/>
      <c r="J11325" s="902"/>
      <c r="K11325" s="912" t="s">
        <v>274</v>
      </c>
      <c r="L11325" s="902"/>
      <c r="M11325" s="902"/>
      <c r="N11325" s="902"/>
      <c r="O11325" s="892">
        <f t="shared" si="909"/>
        <v>0</v>
      </c>
      <c r="P11325" s="903">
        <f t="shared" si="910"/>
        <v>1</v>
      </c>
      <c r="Q11325" s="893">
        <f t="shared" si="911"/>
        <v>10</v>
      </c>
      <c r="R11325" s="894">
        <f t="shared" si="912"/>
        <v>0</v>
      </c>
    </row>
    <row r="11326" spans="1:18">
      <c r="A11326" s="905"/>
      <c r="B11326" s="952"/>
      <c r="C11326" s="907">
        <v>212</v>
      </c>
      <c r="D11326" s="907" t="s">
        <v>279</v>
      </c>
      <c r="E11326" s="992" t="s">
        <v>2681</v>
      </c>
      <c r="F11326" s="905" t="s">
        <v>45</v>
      </c>
      <c r="G11326" s="1005"/>
      <c r="H11326" s="911">
        <v>0.5</v>
      </c>
      <c r="I11326" s="912">
        <f>VLOOKUP(E11326,[3]VLP!$B$7:$K$300,10,0)</f>
        <v>23000</v>
      </c>
      <c r="J11326" s="912">
        <f>I11326*H11326</f>
        <v>11500</v>
      </c>
      <c r="K11326" s="912" t="s">
        <v>274</v>
      </c>
      <c r="L11326" s="912"/>
      <c r="M11326" s="912"/>
      <c r="N11326" s="912"/>
      <c r="O11326" s="892">
        <f t="shared" si="909"/>
        <v>0</v>
      </c>
      <c r="P11326" s="903">
        <f t="shared" si="910"/>
        <v>1</v>
      </c>
      <c r="Q11326" s="893">
        <f t="shared" si="911"/>
        <v>9</v>
      </c>
      <c r="R11326" s="894">
        <f t="shared" si="912"/>
        <v>0</v>
      </c>
    </row>
    <row r="11327" spans="1:18" s="904" customFormat="1">
      <c r="A11327" s="905"/>
      <c r="B11327" s="952"/>
      <c r="C11327" s="907">
        <v>317</v>
      </c>
      <c r="D11327" s="907" t="s">
        <v>279</v>
      </c>
      <c r="E11327" s="992" t="s">
        <v>3273</v>
      </c>
      <c r="F11327" s="905" t="s">
        <v>45</v>
      </c>
      <c r="G11327" s="1005"/>
      <c r="H11327" s="911">
        <v>0.1</v>
      </c>
      <c r="I11327" s="912">
        <f>VLOOKUP(E11327,[3]VLP!$B$7:$K$300,10,0)</f>
        <v>25000</v>
      </c>
      <c r="J11327" s="912">
        <f>I11327*H11327</f>
        <v>2500</v>
      </c>
      <c r="K11327" s="912" t="s">
        <v>274</v>
      </c>
      <c r="L11327" s="912"/>
      <c r="M11327" s="912"/>
      <c r="N11327" s="912"/>
      <c r="O11327" s="892">
        <f t="shared" si="909"/>
        <v>0</v>
      </c>
      <c r="P11327" s="903">
        <f t="shared" si="910"/>
        <v>1</v>
      </c>
      <c r="Q11327" s="893">
        <f t="shared" si="911"/>
        <v>8</v>
      </c>
      <c r="R11327" s="894">
        <f t="shared" si="912"/>
        <v>0</v>
      </c>
    </row>
    <row r="11328" spans="1:18">
      <c r="A11328" s="905"/>
      <c r="B11328" s="952"/>
      <c r="C11328" s="907">
        <v>321</v>
      </c>
      <c r="D11328" s="907" t="s">
        <v>279</v>
      </c>
      <c r="E11328" s="992" t="s">
        <v>6317</v>
      </c>
      <c r="F11328" s="905" t="s">
        <v>45</v>
      </c>
      <c r="G11328" s="1005"/>
      <c r="H11328" s="911">
        <v>0.16</v>
      </c>
      <c r="I11328" s="912">
        <f>VLOOKUP(E11328,[3]VLP!$B$7:$K$300,10,0)</f>
        <v>38182</v>
      </c>
      <c r="J11328" s="912">
        <f>I11328*H11328</f>
        <v>6109.12</v>
      </c>
      <c r="K11328" s="912" t="s">
        <v>274</v>
      </c>
      <c r="L11328" s="912"/>
      <c r="M11328" s="912"/>
      <c r="N11328" s="912"/>
      <c r="O11328" s="892">
        <f t="shared" si="909"/>
        <v>0</v>
      </c>
      <c r="P11328" s="903">
        <f t="shared" si="910"/>
        <v>1</v>
      </c>
      <c r="Q11328" s="893">
        <f t="shared" si="911"/>
        <v>7</v>
      </c>
      <c r="R11328" s="894">
        <f t="shared" si="912"/>
        <v>0</v>
      </c>
    </row>
    <row r="11329" spans="1:18">
      <c r="A11329" s="905"/>
      <c r="B11329" s="952"/>
      <c r="C11329" s="907">
        <v>234</v>
      </c>
      <c r="D11329" s="907" t="s">
        <v>279</v>
      </c>
      <c r="E11329" s="992" t="s">
        <v>5983</v>
      </c>
      <c r="F11329" s="905" t="s">
        <v>3144</v>
      </c>
      <c r="G11329" s="1005"/>
      <c r="H11329" s="911">
        <v>1.8</v>
      </c>
      <c r="I11329" s="912">
        <f>VLOOKUP(E11329,[3]VLP!$B$7:$K$300,10,0)</f>
        <v>14000</v>
      </c>
      <c r="J11329" s="912">
        <f>I11329*H11329</f>
        <v>25200</v>
      </c>
      <c r="K11329" s="912" t="s">
        <v>274</v>
      </c>
      <c r="L11329" s="912"/>
      <c r="M11329" s="912"/>
      <c r="N11329" s="912"/>
      <c r="O11329" s="892">
        <f t="shared" si="909"/>
        <v>0</v>
      </c>
      <c r="P11329" s="903">
        <f t="shared" si="910"/>
        <v>1</v>
      </c>
      <c r="Q11329" s="893">
        <f t="shared" si="911"/>
        <v>6</v>
      </c>
      <c r="R11329" s="894">
        <f t="shared" si="912"/>
        <v>0</v>
      </c>
    </row>
    <row r="11330" spans="1:18" s="847" customFormat="1">
      <c r="A11330" s="905"/>
      <c r="B11330" s="952"/>
      <c r="C11330" s="907">
        <v>235</v>
      </c>
      <c r="D11330" s="907" t="s">
        <v>279</v>
      </c>
      <c r="E11330" s="992" t="s">
        <v>2682</v>
      </c>
      <c r="F11330" s="905" t="s">
        <v>45</v>
      </c>
      <c r="G11330" s="1005"/>
      <c r="H11330" s="911">
        <v>1</v>
      </c>
      <c r="I11330" s="912">
        <f>VLOOKUP(E11330,[3]VLP!$B$7:$K$300,10,0)</f>
        <v>5000</v>
      </c>
      <c r="J11330" s="912">
        <f>I11330*H11330</f>
        <v>5000</v>
      </c>
      <c r="K11330" s="912" t="s">
        <v>274</v>
      </c>
      <c r="L11330" s="912"/>
      <c r="M11330" s="912"/>
      <c r="N11330" s="912"/>
      <c r="O11330" s="892">
        <f t="shared" si="909"/>
        <v>0</v>
      </c>
      <c r="P11330" s="903">
        <f t="shared" si="910"/>
        <v>1</v>
      </c>
      <c r="Q11330" s="893">
        <f t="shared" si="911"/>
        <v>5</v>
      </c>
      <c r="R11330" s="894">
        <f t="shared" si="912"/>
        <v>0</v>
      </c>
    </row>
    <row r="11331" spans="1:18" s="904" customFormat="1">
      <c r="A11331" s="895"/>
      <c r="B11331" s="896"/>
      <c r="C11331" s="897"/>
      <c r="D11331" s="897"/>
      <c r="E11331" s="1002" t="s">
        <v>276</v>
      </c>
      <c r="F11331" s="1003"/>
      <c r="G11331" s="1004"/>
      <c r="H11331" s="901"/>
      <c r="I11331" s="902"/>
      <c r="J11331" s="902"/>
      <c r="K11331" s="912" t="s">
        <v>274</v>
      </c>
      <c r="L11331" s="902"/>
      <c r="M11331" s="902"/>
      <c r="N11331" s="902"/>
      <c r="O11331" s="892">
        <f t="shared" si="909"/>
        <v>0</v>
      </c>
      <c r="P11331" s="903">
        <f t="shared" si="910"/>
        <v>1</v>
      </c>
      <c r="Q11331" s="893">
        <f t="shared" si="911"/>
        <v>4</v>
      </c>
      <c r="R11331" s="894">
        <f t="shared" si="912"/>
        <v>0</v>
      </c>
    </row>
    <row r="11332" spans="1:18">
      <c r="A11332" s="905"/>
      <c r="B11332" s="952"/>
      <c r="C11332" s="907">
        <v>740</v>
      </c>
      <c r="D11332" s="907" t="s">
        <v>12</v>
      </c>
      <c r="E11332" s="992" t="s">
        <v>4008</v>
      </c>
      <c r="F11332" s="905" t="s">
        <v>2674</v>
      </c>
      <c r="G11332" s="1005"/>
      <c r="H11332" s="911">
        <v>2.8</v>
      </c>
      <c r="I11332" s="912"/>
      <c r="J11332" s="912"/>
      <c r="K11332" s="912">
        <f>VLOOKUP(E11332,[5]ĐMNC!$A$7:$F$67,4,0)</f>
        <v>221125</v>
      </c>
      <c r="L11332" s="912">
        <f>H11332*K11332</f>
        <v>619150</v>
      </c>
      <c r="M11332" s="912"/>
      <c r="N11332" s="912"/>
      <c r="O11332" s="892">
        <f t="shared" si="909"/>
        <v>0</v>
      </c>
      <c r="P11332" s="903">
        <f t="shared" si="910"/>
        <v>1</v>
      </c>
      <c r="Q11332" s="893">
        <f t="shared" si="911"/>
        <v>3</v>
      </c>
      <c r="R11332" s="894">
        <f t="shared" si="912"/>
        <v>0</v>
      </c>
    </row>
    <row r="11333" spans="1:18">
      <c r="A11333" s="895"/>
      <c r="B11333" s="896"/>
      <c r="C11333" s="897"/>
      <c r="D11333" s="897"/>
      <c r="E11333" s="1002" t="s">
        <v>3914</v>
      </c>
      <c r="F11333" s="1003"/>
      <c r="G11333" s="1004"/>
      <c r="H11333" s="901"/>
      <c r="I11333" s="902"/>
      <c r="J11333" s="902"/>
      <c r="K11333" s="912" t="s">
        <v>274</v>
      </c>
      <c r="L11333" s="902"/>
      <c r="M11333" s="902"/>
      <c r="N11333" s="902"/>
      <c r="O11333" s="892">
        <f t="shared" si="909"/>
        <v>0</v>
      </c>
      <c r="P11333" s="903">
        <f t="shared" si="910"/>
        <v>1</v>
      </c>
      <c r="Q11333" s="893">
        <f t="shared" si="911"/>
        <v>2</v>
      </c>
      <c r="R11333" s="894">
        <f t="shared" si="912"/>
        <v>0</v>
      </c>
    </row>
    <row r="11334" spans="1:18">
      <c r="A11334" s="905"/>
      <c r="B11334" s="952" t="s">
        <v>6326</v>
      </c>
      <c r="C11334" s="907">
        <v>902</v>
      </c>
      <c r="D11334" s="907" t="s">
        <v>93</v>
      </c>
      <c r="E11334" s="992" t="s">
        <v>6327</v>
      </c>
      <c r="F11334" s="905" t="s">
        <v>2673</v>
      </c>
      <c r="G11334" s="1005"/>
      <c r="H11334" s="911">
        <v>0.18</v>
      </c>
      <c r="I11334" s="912"/>
      <c r="J11334" s="912"/>
      <c r="K11334" s="912"/>
      <c r="L11334" s="912"/>
      <c r="M11334" s="912">
        <f>VLOOKUP(B11334,MTC!$B$9:$S$933,12,0)</f>
        <v>2218057</v>
      </c>
      <c r="N11334" s="912">
        <f>M11334*H11334</f>
        <v>399250.26</v>
      </c>
      <c r="O11334" s="892">
        <f t="shared" si="909"/>
        <v>0</v>
      </c>
      <c r="P11334" s="903">
        <f t="shared" si="910"/>
        <v>1</v>
      </c>
      <c r="Q11334" s="893">
        <f t="shared" si="911"/>
        <v>1</v>
      </c>
      <c r="R11334" s="894">
        <f t="shared" si="912"/>
        <v>0</v>
      </c>
    </row>
    <row r="11335" spans="1:18">
      <c r="A11335" s="905" t="s">
        <v>6874</v>
      </c>
      <c r="B11335" s="1018" t="s">
        <v>6875</v>
      </c>
      <c r="C11335" s="915"/>
      <c r="D11335" s="915"/>
      <c r="E11335" s="1006" t="s">
        <v>6876</v>
      </c>
      <c r="F11335" s="917" t="s">
        <v>6877</v>
      </c>
      <c r="G11335" s="1008"/>
      <c r="H11335" s="919"/>
      <c r="I11335" s="920"/>
      <c r="J11335" s="891">
        <f>SUM(J11336:J11343)</f>
        <v>22227.200000000001</v>
      </c>
      <c r="K11335" s="891"/>
      <c r="L11335" s="891">
        <f>SUM(L11336:L11343)</f>
        <v>254628.75</v>
      </c>
      <c r="M11335" s="891"/>
      <c r="N11335" s="891">
        <f>SUM(N11336:N11343)</f>
        <v>2387.6</v>
      </c>
      <c r="O11335" s="892">
        <f t="shared" si="909"/>
        <v>1</v>
      </c>
      <c r="P11335" s="903">
        <f t="shared" si="910"/>
        <v>0</v>
      </c>
      <c r="Q11335" s="893">
        <f t="shared" si="911"/>
        <v>0</v>
      </c>
      <c r="R11335" s="894">
        <f t="shared" si="912"/>
        <v>8</v>
      </c>
    </row>
    <row r="11336" spans="1:18" s="904" customFormat="1">
      <c r="A11336" s="895"/>
      <c r="B11336" s="896"/>
      <c r="C11336" s="897"/>
      <c r="D11336" s="897"/>
      <c r="E11336" s="1002" t="s">
        <v>108</v>
      </c>
      <c r="F11336" s="1003"/>
      <c r="G11336" s="1004"/>
      <c r="H11336" s="901"/>
      <c r="I11336" s="902"/>
      <c r="J11336" s="902"/>
      <c r="K11336" s="912" t="s">
        <v>274</v>
      </c>
      <c r="L11336" s="902"/>
      <c r="M11336" s="902"/>
      <c r="N11336" s="902"/>
      <c r="O11336" s="892">
        <f t="shared" si="909"/>
        <v>0</v>
      </c>
      <c r="P11336" s="903">
        <f t="shared" si="910"/>
        <v>1</v>
      </c>
      <c r="Q11336" s="893">
        <f t="shared" si="911"/>
        <v>8</v>
      </c>
      <c r="R11336" s="894">
        <f t="shared" si="912"/>
        <v>0</v>
      </c>
    </row>
    <row r="11337" spans="1:18">
      <c r="A11337" s="905"/>
      <c r="B11337" s="952"/>
      <c r="C11337" s="907">
        <v>311</v>
      </c>
      <c r="D11337" s="907" t="s">
        <v>279</v>
      </c>
      <c r="E11337" s="992" t="s">
        <v>6878</v>
      </c>
      <c r="F11337" s="905" t="s">
        <v>45</v>
      </c>
      <c r="G11337" s="1005"/>
      <c r="H11337" s="911">
        <v>0.2</v>
      </c>
      <c r="I11337" s="912">
        <f>VLOOKUP(E11337,[3]VLP!$B$7:$K$300,10,0)</f>
        <v>73636</v>
      </c>
      <c r="J11337" s="912">
        <f>I11337*H11337</f>
        <v>14727.2</v>
      </c>
      <c r="K11337" s="912" t="s">
        <v>274</v>
      </c>
      <c r="L11337" s="912"/>
      <c r="M11337" s="912"/>
      <c r="N11337" s="912"/>
      <c r="O11337" s="892">
        <f t="shared" si="909"/>
        <v>0</v>
      </c>
      <c r="P11337" s="903">
        <f t="shared" si="910"/>
        <v>1</v>
      </c>
      <c r="Q11337" s="893">
        <f t="shared" si="911"/>
        <v>7</v>
      </c>
      <c r="R11337" s="894">
        <f t="shared" si="912"/>
        <v>0</v>
      </c>
    </row>
    <row r="11338" spans="1:18" s="904" customFormat="1">
      <c r="A11338" s="905"/>
      <c r="B11338" s="952"/>
      <c r="C11338" s="907">
        <v>234</v>
      </c>
      <c r="D11338" s="907" t="s">
        <v>279</v>
      </c>
      <c r="E11338" s="992" t="s">
        <v>5983</v>
      </c>
      <c r="F11338" s="905" t="s">
        <v>3144</v>
      </c>
      <c r="G11338" s="1005"/>
      <c r="H11338" s="911">
        <v>0.5</v>
      </c>
      <c r="I11338" s="912">
        <f>VLOOKUP(E11338,[3]VLP!$B$7:$K$300,10,0)</f>
        <v>14000</v>
      </c>
      <c r="J11338" s="912">
        <f>I11338*H11338</f>
        <v>7000</v>
      </c>
      <c r="K11338" s="912" t="s">
        <v>274</v>
      </c>
      <c r="L11338" s="912"/>
      <c r="M11338" s="912"/>
      <c r="N11338" s="912"/>
      <c r="O11338" s="892">
        <f t="shared" si="909"/>
        <v>0</v>
      </c>
      <c r="P11338" s="903">
        <f t="shared" si="910"/>
        <v>1</v>
      </c>
      <c r="Q11338" s="893">
        <f t="shared" si="911"/>
        <v>6</v>
      </c>
      <c r="R11338" s="894">
        <f t="shared" si="912"/>
        <v>0</v>
      </c>
    </row>
    <row r="11339" spans="1:18">
      <c r="A11339" s="905"/>
      <c r="B11339" s="952"/>
      <c r="C11339" s="907">
        <v>235</v>
      </c>
      <c r="D11339" s="907" t="s">
        <v>279</v>
      </c>
      <c r="E11339" s="992" t="s">
        <v>2682</v>
      </c>
      <c r="F11339" s="905" t="s">
        <v>45</v>
      </c>
      <c r="G11339" s="1005"/>
      <c r="H11339" s="911">
        <v>0.1</v>
      </c>
      <c r="I11339" s="912">
        <f>VLOOKUP(E11339,[3]VLP!$B$7:$K$300,10,0)</f>
        <v>5000</v>
      </c>
      <c r="J11339" s="912">
        <f>I11339*H11339</f>
        <v>500</v>
      </c>
      <c r="K11339" s="912" t="s">
        <v>274</v>
      </c>
      <c r="L11339" s="912"/>
      <c r="M11339" s="912"/>
      <c r="N11339" s="912"/>
      <c r="O11339" s="892">
        <f t="shared" si="909"/>
        <v>0</v>
      </c>
      <c r="P11339" s="903">
        <f t="shared" si="910"/>
        <v>1</v>
      </c>
      <c r="Q11339" s="893">
        <f t="shared" si="911"/>
        <v>5</v>
      </c>
      <c r="R11339" s="894">
        <f t="shared" si="912"/>
        <v>0</v>
      </c>
    </row>
    <row r="11340" spans="1:18">
      <c r="A11340" s="895"/>
      <c r="B11340" s="896"/>
      <c r="C11340" s="897"/>
      <c r="D11340" s="897"/>
      <c r="E11340" s="1002" t="s">
        <v>276</v>
      </c>
      <c r="F11340" s="1003"/>
      <c r="G11340" s="1004"/>
      <c r="H11340" s="901"/>
      <c r="I11340" s="902"/>
      <c r="J11340" s="902"/>
      <c r="K11340" s="912" t="s">
        <v>274</v>
      </c>
      <c r="L11340" s="902"/>
      <c r="M11340" s="902"/>
      <c r="N11340" s="902"/>
      <c r="O11340" s="892">
        <f t="shared" si="909"/>
        <v>0</v>
      </c>
      <c r="P11340" s="903">
        <f t="shared" si="910"/>
        <v>1</v>
      </c>
      <c r="Q11340" s="893">
        <f t="shared" si="911"/>
        <v>4</v>
      </c>
      <c r="R11340" s="894">
        <f t="shared" si="912"/>
        <v>0</v>
      </c>
    </row>
    <row r="11341" spans="1:18" s="847" customFormat="1">
      <c r="A11341" s="905"/>
      <c r="B11341" s="952"/>
      <c r="C11341" s="907">
        <v>735</v>
      </c>
      <c r="D11341" s="907" t="s">
        <v>12</v>
      </c>
      <c r="E11341" s="992" t="s">
        <v>4065</v>
      </c>
      <c r="F11341" s="905" t="s">
        <v>2674</v>
      </c>
      <c r="G11341" s="1005"/>
      <c r="H11341" s="911">
        <v>1.25</v>
      </c>
      <c r="I11341" s="912"/>
      <c r="J11341" s="912"/>
      <c r="K11341" s="912">
        <f>VLOOKUP(E11341,[5]ĐMNC!$A$7:$F$67,4,0)</f>
        <v>203703</v>
      </c>
      <c r="L11341" s="912">
        <f>H11341*K11341</f>
        <v>254628.75</v>
      </c>
      <c r="M11341" s="912"/>
      <c r="N11341" s="912"/>
      <c r="O11341" s="892">
        <f t="shared" si="909"/>
        <v>0</v>
      </c>
      <c r="P11341" s="903">
        <f t="shared" si="910"/>
        <v>1</v>
      </c>
      <c r="Q11341" s="893">
        <f t="shared" si="911"/>
        <v>3</v>
      </c>
      <c r="R11341" s="894">
        <f t="shared" si="912"/>
        <v>0</v>
      </c>
    </row>
    <row r="11342" spans="1:18" s="904" customFormat="1">
      <c r="A11342" s="895"/>
      <c r="B11342" s="896"/>
      <c r="C11342" s="897"/>
      <c r="D11342" s="897"/>
      <c r="E11342" s="1002" t="s">
        <v>3914</v>
      </c>
      <c r="F11342" s="1003"/>
      <c r="G11342" s="1004"/>
      <c r="H11342" s="901"/>
      <c r="I11342" s="902"/>
      <c r="J11342" s="902"/>
      <c r="K11342" s="912" t="s">
        <v>274</v>
      </c>
      <c r="L11342" s="902"/>
      <c r="M11342" s="902"/>
      <c r="N11342" s="902"/>
      <c r="O11342" s="892">
        <f t="shared" si="909"/>
        <v>0</v>
      </c>
      <c r="P11342" s="903">
        <f t="shared" si="910"/>
        <v>1</v>
      </c>
      <c r="Q11342" s="893">
        <f t="shared" si="911"/>
        <v>2</v>
      </c>
      <c r="R11342" s="894">
        <f t="shared" si="912"/>
        <v>0</v>
      </c>
    </row>
    <row r="11343" spans="1:18">
      <c r="A11343" s="905"/>
      <c r="B11343" s="952" t="s">
        <v>6879</v>
      </c>
      <c r="C11343" s="907">
        <v>910</v>
      </c>
      <c r="D11343" s="907" t="s">
        <v>93</v>
      </c>
      <c r="E11343" s="992" t="s">
        <v>6880</v>
      </c>
      <c r="F11343" s="905" t="s">
        <v>2673</v>
      </c>
      <c r="G11343" s="1005"/>
      <c r="H11343" s="911">
        <v>0.05</v>
      </c>
      <c r="I11343" s="912"/>
      <c r="J11343" s="912"/>
      <c r="K11343" s="912"/>
      <c r="L11343" s="912"/>
      <c r="M11343" s="912">
        <f>VLOOKUP(B11343,MTC!$B$9:$S$933,12,0)</f>
        <v>47752</v>
      </c>
      <c r="N11343" s="912">
        <f>M11343*H11343</f>
        <v>2387.6</v>
      </c>
      <c r="O11343" s="892">
        <f t="shared" si="909"/>
        <v>0</v>
      </c>
      <c r="P11343" s="903">
        <f t="shared" si="910"/>
        <v>1</v>
      </c>
      <c r="Q11343" s="893">
        <f t="shared" si="911"/>
        <v>1</v>
      </c>
      <c r="R11343" s="894">
        <f t="shared" si="912"/>
        <v>0</v>
      </c>
    </row>
    <row r="11344" spans="1:18">
      <c r="A11344" s="905">
        <v>256</v>
      </c>
      <c r="B11344" s="1018" t="s">
        <v>6881</v>
      </c>
      <c r="C11344" s="915"/>
      <c r="D11344" s="915"/>
      <c r="E11344" s="1006" t="s">
        <v>6882</v>
      </c>
      <c r="F11344" s="917" t="s">
        <v>6877</v>
      </c>
      <c r="G11344" s="1008"/>
      <c r="H11344" s="919"/>
      <c r="I11344" s="920"/>
      <c r="J11344" s="891">
        <f>SUM(J11345:J11352)</f>
        <v>22227.200000000001</v>
      </c>
      <c r="K11344" s="891"/>
      <c r="L11344" s="891">
        <f>SUM(L11345:L11352)</f>
        <v>268887.96000000002</v>
      </c>
      <c r="M11344" s="891"/>
      <c r="N11344" s="891">
        <f>SUM(N11345:N11352)</f>
        <v>4775.2</v>
      </c>
      <c r="O11344" s="892">
        <f t="shared" si="909"/>
        <v>1</v>
      </c>
      <c r="P11344" s="903">
        <f t="shared" si="910"/>
        <v>0</v>
      </c>
      <c r="Q11344" s="893">
        <f t="shared" si="911"/>
        <v>0</v>
      </c>
      <c r="R11344" s="894">
        <f t="shared" si="912"/>
        <v>8</v>
      </c>
    </row>
    <row r="11345" spans="1:18">
      <c r="A11345" s="895"/>
      <c r="B11345" s="896"/>
      <c r="C11345" s="897"/>
      <c r="D11345" s="897"/>
      <c r="E11345" s="1002" t="s">
        <v>108</v>
      </c>
      <c r="F11345" s="1003"/>
      <c r="G11345" s="1004"/>
      <c r="H11345" s="901"/>
      <c r="I11345" s="902"/>
      <c r="J11345" s="902"/>
      <c r="K11345" s="912" t="s">
        <v>274</v>
      </c>
      <c r="L11345" s="902"/>
      <c r="M11345" s="902"/>
      <c r="N11345" s="902"/>
      <c r="O11345" s="892">
        <f t="shared" si="909"/>
        <v>0</v>
      </c>
      <c r="P11345" s="903">
        <f t="shared" si="910"/>
        <v>1</v>
      </c>
      <c r="Q11345" s="893">
        <f t="shared" si="911"/>
        <v>8</v>
      </c>
      <c r="R11345" s="894">
        <f t="shared" si="912"/>
        <v>0</v>
      </c>
    </row>
    <row r="11346" spans="1:18">
      <c r="A11346" s="905"/>
      <c r="B11346" s="952"/>
      <c r="C11346" s="907">
        <v>311</v>
      </c>
      <c r="D11346" s="907" t="s">
        <v>279</v>
      </c>
      <c r="E11346" s="992" t="s">
        <v>6878</v>
      </c>
      <c r="F11346" s="905" t="s">
        <v>45</v>
      </c>
      <c r="G11346" s="1005"/>
      <c r="H11346" s="911">
        <v>0.2</v>
      </c>
      <c r="I11346" s="912">
        <f>VLOOKUP(E11346,[3]VLP!$B$7:$K$300,10,0)</f>
        <v>73636</v>
      </c>
      <c r="J11346" s="912">
        <f>I11346*H11346</f>
        <v>14727.2</v>
      </c>
      <c r="K11346" s="912" t="s">
        <v>274</v>
      </c>
      <c r="L11346" s="912"/>
      <c r="M11346" s="912"/>
      <c r="N11346" s="912"/>
      <c r="O11346" s="892">
        <f t="shared" si="909"/>
        <v>0</v>
      </c>
      <c r="P11346" s="903">
        <f t="shared" si="910"/>
        <v>1</v>
      </c>
      <c r="Q11346" s="893">
        <f t="shared" si="911"/>
        <v>7</v>
      </c>
      <c r="R11346" s="894">
        <f t="shared" si="912"/>
        <v>0</v>
      </c>
    </row>
    <row r="11347" spans="1:18" s="904" customFormat="1">
      <c r="A11347" s="905"/>
      <c r="B11347" s="952"/>
      <c r="C11347" s="907">
        <v>234</v>
      </c>
      <c r="D11347" s="907" t="s">
        <v>279</v>
      </c>
      <c r="E11347" s="992" t="s">
        <v>5983</v>
      </c>
      <c r="F11347" s="905" t="s">
        <v>3144</v>
      </c>
      <c r="G11347" s="1005"/>
      <c r="H11347" s="911">
        <v>0.5</v>
      </c>
      <c r="I11347" s="912">
        <f>VLOOKUP(E11347,[3]VLP!$B$7:$K$300,10,0)</f>
        <v>14000</v>
      </c>
      <c r="J11347" s="912">
        <f>I11347*H11347</f>
        <v>7000</v>
      </c>
      <c r="K11347" s="912" t="s">
        <v>274</v>
      </c>
      <c r="L11347" s="912"/>
      <c r="M11347" s="912"/>
      <c r="N11347" s="912"/>
      <c r="O11347" s="892">
        <f t="shared" si="909"/>
        <v>0</v>
      </c>
      <c r="P11347" s="903">
        <f t="shared" si="910"/>
        <v>1</v>
      </c>
      <c r="Q11347" s="893">
        <f t="shared" si="911"/>
        <v>6</v>
      </c>
      <c r="R11347" s="894">
        <f t="shared" si="912"/>
        <v>0</v>
      </c>
    </row>
    <row r="11348" spans="1:18">
      <c r="A11348" s="905"/>
      <c r="B11348" s="952"/>
      <c r="C11348" s="907">
        <v>235</v>
      </c>
      <c r="D11348" s="907" t="s">
        <v>279</v>
      </c>
      <c r="E11348" s="992" t="s">
        <v>2682</v>
      </c>
      <c r="F11348" s="905" t="s">
        <v>45</v>
      </c>
      <c r="G11348" s="1005"/>
      <c r="H11348" s="911">
        <v>0.1</v>
      </c>
      <c r="I11348" s="912">
        <f>VLOOKUP(E11348,[3]VLP!$B$7:$K$300,10,0)</f>
        <v>5000</v>
      </c>
      <c r="J11348" s="912">
        <f>I11348*H11348</f>
        <v>500</v>
      </c>
      <c r="K11348" s="912" t="s">
        <v>274</v>
      </c>
      <c r="L11348" s="912"/>
      <c r="M11348" s="912"/>
      <c r="N11348" s="912"/>
      <c r="O11348" s="892">
        <f t="shared" si="909"/>
        <v>0</v>
      </c>
      <c r="P11348" s="903">
        <f t="shared" si="910"/>
        <v>1</v>
      </c>
      <c r="Q11348" s="893">
        <f t="shared" si="911"/>
        <v>5</v>
      </c>
      <c r="R11348" s="894">
        <f t="shared" si="912"/>
        <v>0</v>
      </c>
    </row>
    <row r="11349" spans="1:18" s="904" customFormat="1">
      <c r="A11349" s="895"/>
      <c r="B11349" s="896"/>
      <c r="C11349" s="897"/>
      <c r="D11349" s="897"/>
      <c r="E11349" s="1002" t="s">
        <v>276</v>
      </c>
      <c r="F11349" s="1003"/>
      <c r="G11349" s="1004"/>
      <c r="H11349" s="901"/>
      <c r="I11349" s="902"/>
      <c r="J11349" s="902"/>
      <c r="K11349" s="912" t="s">
        <v>274</v>
      </c>
      <c r="L11349" s="902"/>
      <c r="M11349" s="902"/>
      <c r="N11349" s="902"/>
      <c r="O11349" s="892">
        <f t="shared" si="909"/>
        <v>0</v>
      </c>
      <c r="P11349" s="903">
        <f t="shared" si="910"/>
        <v>1</v>
      </c>
      <c r="Q11349" s="893">
        <f t="shared" si="911"/>
        <v>4</v>
      </c>
      <c r="R11349" s="894">
        <f t="shared" si="912"/>
        <v>0</v>
      </c>
    </row>
    <row r="11350" spans="1:18">
      <c r="A11350" s="905"/>
      <c r="B11350" s="952"/>
      <c r="C11350" s="907">
        <v>735</v>
      </c>
      <c r="D11350" s="907" t="s">
        <v>12</v>
      </c>
      <c r="E11350" s="992" t="s">
        <v>4065</v>
      </c>
      <c r="F11350" s="905" t="s">
        <v>2674</v>
      </c>
      <c r="G11350" s="1005"/>
      <c r="H11350" s="911">
        <v>1.32</v>
      </c>
      <c r="I11350" s="912"/>
      <c r="J11350" s="912"/>
      <c r="K11350" s="912">
        <f>VLOOKUP(E11350,[5]ĐMNC!$A$7:$F$67,4,0)</f>
        <v>203703</v>
      </c>
      <c r="L11350" s="912">
        <f>H11350*K11350</f>
        <v>268887.96000000002</v>
      </c>
      <c r="M11350" s="912"/>
      <c r="N11350" s="912"/>
      <c r="O11350" s="892">
        <f t="shared" si="909"/>
        <v>0</v>
      </c>
      <c r="P11350" s="903">
        <f t="shared" si="910"/>
        <v>1</v>
      </c>
      <c r="Q11350" s="893">
        <f t="shared" si="911"/>
        <v>3</v>
      </c>
      <c r="R11350" s="894">
        <f t="shared" si="912"/>
        <v>0</v>
      </c>
    </row>
    <row r="11351" spans="1:18">
      <c r="A11351" s="895"/>
      <c r="B11351" s="896"/>
      <c r="C11351" s="897"/>
      <c r="D11351" s="897"/>
      <c r="E11351" s="1002" t="s">
        <v>3914</v>
      </c>
      <c r="F11351" s="1003"/>
      <c r="G11351" s="1004"/>
      <c r="H11351" s="901"/>
      <c r="I11351" s="902"/>
      <c r="J11351" s="902"/>
      <c r="K11351" s="912" t="s">
        <v>274</v>
      </c>
      <c r="L11351" s="902"/>
      <c r="M11351" s="902"/>
      <c r="N11351" s="902"/>
      <c r="O11351" s="892">
        <f t="shared" si="909"/>
        <v>0</v>
      </c>
      <c r="P11351" s="903">
        <f t="shared" si="910"/>
        <v>1</v>
      </c>
      <c r="Q11351" s="893">
        <f t="shared" si="911"/>
        <v>2</v>
      </c>
      <c r="R11351" s="894">
        <f t="shared" si="912"/>
        <v>0</v>
      </c>
    </row>
    <row r="11352" spans="1:18" s="847" customFormat="1">
      <c r="A11352" s="905"/>
      <c r="B11352" s="952" t="s">
        <v>6879</v>
      </c>
      <c r="C11352" s="907">
        <v>910</v>
      </c>
      <c r="D11352" s="907" t="s">
        <v>93</v>
      </c>
      <c r="E11352" s="992" t="s">
        <v>6880</v>
      </c>
      <c r="F11352" s="905" t="s">
        <v>2673</v>
      </c>
      <c r="G11352" s="1005"/>
      <c r="H11352" s="911">
        <v>0.1</v>
      </c>
      <c r="I11352" s="912"/>
      <c r="J11352" s="912"/>
      <c r="K11352" s="912"/>
      <c r="L11352" s="912"/>
      <c r="M11352" s="912">
        <f>VLOOKUP(B11352,MTC!$B$9:$S$933,12,0)</f>
        <v>47752</v>
      </c>
      <c r="N11352" s="912">
        <f>M11352*H11352</f>
        <v>4775.2</v>
      </c>
      <c r="O11352" s="892">
        <f t="shared" si="909"/>
        <v>0</v>
      </c>
      <c r="P11352" s="903">
        <f t="shared" si="910"/>
        <v>1</v>
      </c>
      <c r="Q11352" s="893">
        <f t="shared" si="911"/>
        <v>1</v>
      </c>
      <c r="R11352" s="894">
        <f t="shared" si="912"/>
        <v>0</v>
      </c>
    </row>
    <row r="11353" spans="1:18" s="904" customFormat="1">
      <c r="A11353" s="905">
        <v>257</v>
      </c>
      <c r="B11353" s="1018" t="s">
        <v>6883</v>
      </c>
      <c r="C11353" s="915"/>
      <c r="D11353" s="915"/>
      <c r="E11353" s="1006" t="s">
        <v>6884</v>
      </c>
      <c r="F11353" s="917" t="s">
        <v>1828</v>
      </c>
      <c r="G11353" s="1008"/>
      <c r="H11353" s="919"/>
      <c r="I11353" s="920"/>
      <c r="J11353" s="891">
        <f>SUM(J11354:J11360)</f>
        <v>34704.699999999997</v>
      </c>
      <c r="K11353" s="891"/>
      <c r="L11353" s="891">
        <f>SUM(L11354:L11360)</f>
        <v>509257.5</v>
      </c>
      <c r="M11353" s="891"/>
      <c r="N11353" s="891">
        <f>SUM(N11354:N11360)</f>
        <v>0</v>
      </c>
      <c r="O11353" s="892">
        <f t="shared" si="909"/>
        <v>1</v>
      </c>
      <c r="P11353" s="903">
        <f t="shared" si="910"/>
        <v>0</v>
      </c>
      <c r="Q11353" s="893">
        <f t="shared" si="911"/>
        <v>0</v>
      </c>
      <c r="R11353" s="894">
        <f t="shared" si="912"/>
        <v>7</v>
      </c>
    </row>
    <row r="11354" spans="1:18">
      <c r="A11354" s="895"/>
      <c r="B11354" s="896"/>
      <c r="C11354" s="897"/>
      <c r="D11354" s="897"/>
      <c r="E11354" s="1002" t="s">
        <v>108</v>
      </c>
      <c r="F11354" s="1003"/>
      <c r="G11354" s="1004"/>
      <c r="H11354" s="901"/>
      <c r="I11354" s="902"/>
      <c r="J11354" s="902"/>
      <c r="K11354" s="912" t="s">
        <v>274</v>
      </c>
      <c r="L11354" s="902"/>
      <c r="M11354" s="902"/>
      <c r="N11354" s="902"/>
      <c r="O11354" s="892">
        <f t="shared" si="909"/>
        <v>0</v>
      </c>
      <c r="P11354" s="903">
        <f t="shared" si="910"/>
        <v>1</v>
      </c>
      <c r="Q11354" s="893">
        <f t="shared" si="911"/>
        <v>7</v>
      </c>
      <c r="R11354" s="894">
        <f t="shared" si="912"/>
        <v>0</v>
      </c>
    </row>
    <row r="11355" spans="1:18">
      <c r="A11355" s="905"/>
      <c r="B11355" s="952"/>
      <c r="C11355" s="907">
        <v>311</v>
      </c>
      <c r="D11355" s="907" t="s">
        <v>279</v>
      </c>
      <c r="E11355" s="992" t="s">
        <v>6878</v>
      </c>
      <c r="F11355" s="905" t="s">
        <v>45</v>
      </c>
      <c r="G11355" s="1005"/>
      <c r="H11355" s="911">
        <v>0.2</v>
      </c>
      <c r="I11355" s="912">
        <f>VLOOKUP(E11355,[3]VLP!$B$7:$K$300,10,0)</f>
        <v>73636</v>
      </c>
      <c r="J11355" s="912">
        <f>I11355*H11355</f>
        <v>14727.2</v>
      </c>
      <c r="K11355" s="912" t="s">
        <v>274</v>
      </c>
      <c r="L11355" s="912"/>
      <c r="M11355" s="912"/>
      <c r="N11355" s="912"/>
      <c r="O11355" s="892">
        <f t="shared" si="909"/>
        <v>0</v>
      </c>
      <c r="P11355" s="903">
        <f t="shared" si="910"/>
        <v>1</v>
      </c>
      <c r="Q11355" s="893">
        <f t="shared" si="911"/>
        <v>6</v>
      </c>
      <c r="R11355" s="894">
        <f t="shared" si="912"/>
        <v>0</v>
      </c>
    </row>
    <row r="11356" spans="1:18">
      <c r="A11356" s="905"/>
      <c r="B11356" s="952"/>
      <c r="C11356" s="907">
        <v>318</v>
      </c>
      <c r="D11356" s="907" t="s">
        <v>279</v>
      </c>
      <c r="E11356" s="992" t="s">
        <v>5657</v>
      </c>
      <c r="F11356" s="905" t="s">
        <v>45</v>
      </c>
      <c r="G11356" s="1005"/>
      <c r="H11356" s="911">
        <v>0.5</v>
      </c>
      <c r="I11356" s="912">
        <f>VLOOKUP(E11356,[3]VLP!$B$7:$K$300,10,0)</f>
        <v>25155</v>
      </c>
      <c r="J11356" s="912">
        <f>I11356*H11356</f>
        <v>12577.5</v>
      </c>
      <c r="K11356" s="912" t="s">
        <v>274</v>
      </c>
      <c r="L11356" s="912"/>
      <c r="M11356" s="912"/>
      <c r="N11356" s="912"/>
      <c r="O11356" s="892">
        <f t="shared" si="909"/>
        <v>0</v>
      </c>
      <c r="P11356" s="903">
        <f t="shared" si="910"/>
        <v>1</v>
      </c>
      <c r="Q11356" s="893">
        <f t="shared" si="911"/>
        <v>5</v>
      </c>
      <c r="R11356" s="894">
        <f t="shared" si="912"/>
        <v>0</v>
      </c>
    </row>
    <row r="11357" spans="1:18">
      <c r="A11357" s="905"/>
      <c r="B11357" s="952"/>
      <c r="C11357" s="907">
        <v>234</v>
      </c>
      <c r="D11357" s="907" t="s">
        <v>279</v>
      </c>
      <c r="E11357" s="992" t="s">
        <v>5983</v>
      </c>
      <c r="F11357" s="905" t="s">
        <v>3144</v>
      </c>
      <c r="G11357" s="1005"/>
      <c r="H11357" s="911">
        <v>0.5</v>
      </c>
      <c r="I11357" s="912">
        <f>VLOOKUP(E11357,[3]VLP!$B$7:$K$300,10,0)</f>
        <v>14000</v>
      </c>
      <c r="J11357" s="912">
        <f>I11357*H11357</f>
        <v>7000</v>
      </c>
      <c r="K11357" s="912" t="s">
        <v>274</v>
      </c>
      <c r="L11357" s="912"/>
      <c r="M11357" s="912"/>
      <c r="N11357" s="912"/>
      <c r="O11357" s="892">
        <f t="shared" si="909"/>
        <v>0</v>
      </c>
      <c r="P11357" s="903">
        <f t="shared" si="910"/>
        <v>1</v>
      </c>
      <c r="Q11357" s="893">
        <f t="shared" si="911"/>
        <v>4</v>
      </c>
      <c r="R11357" s="894">
        <f t="shared" si="912"/>
        <v>0</v>
      </c>
    </row>
    <row r="11358" spans="1:18" s="904" customFormat="1">
      <c r="A11358" s="905"/>
      <c r="B11358" s="952"/>
      <c r="C11358" s="907">
        <v>235</v>
      </c>
      <c r="D11358" s="907" t="s">
        <v>279</v>
      </c>
      <c r="E11358" s="992" t="s">
        <v>2682</v>
      </c>
      <c r="F11358" s="905" t="s">
        <v>45</v>
      </c>
      <c r="G11358" s="1005"/>
      <c r="H11358" s="911">
        <v>0.08</v>
      </c>
      <c r="I11358" s="912">
        <f>VLOOKUP(E11358,[3]VLP!$B$7:$K$300,10,0)</f>
        <v>5000</v>
      </c>
      <c r="J11358" s="912">
        <f>I11358*H11358</f>
        <v>400</v>
      </c>
      <c r="K11358" s="912" t="s">
        <v>274</v>
      </c>
      <c r="L11358" s="912"/>
      <c r="M11358" s="912"/>
      <c r="N11358" s="912"/>
      <c r="O11358" s="892">
        <f t="shared" si="909"/>
        <v>0</v>
      </c>
      <c r="P11358" s="903">
        <f t="shared" si="910"/>
        <v>1</v>
      </c>
      <c r="Q11358" s="893">
        <f t="shared" si="911"/>
        <v>3</v>
      </c>
      <c r="R11358" s="894">
        <f t="shared" si="912"/>
        <v>0</v>
      </c>
    </row>
    <row r="11359" spans="1:18">
      <c r="A11359" s="895"/>
      <c r="B11359" s="896"/>
      <c r="C11359" s="897"/>
      <c r="D11359" s="897"/>
      <c r="E11359" s="1002" t="s">
        <v>276</v>
      </c>
      <c r="F11359" s="1003"/>
      <c r="G11359" s="1004"/>
      <c r="H11359" s="901"/>
      <c r="I11359" s="902"/>
      <c r="J11359" s="902"/>
      <c r="K11359" s="912" t="s">
        <v>274</v>
      </c>
      <c r="L11359" s="902"/>
      <c r="M11359" s="902"/>
      <c r="N11359" s="902"/>
      <c r="O11359" s="892">
        <f t="shared" ref="O11359:O11422" si="913">IF(AND(B11359&lt;&gt;"",D11359=""),1,0)</f>
        <v>0</v>
      </c>
      <c r="P11359" s="903">
        <f t="shared" si="910"/>
        <v>1</v>
      </c>
      <c r="Q11359" s="893">
        <f t="shared" si="911"/>
        <v>2</v>
      </c>
      <c r="R11359" s="894">
        <f t="shared" si="912"/>
        <v>0</v>
      </c>
    </row>
    <row r="11360" spans="1:18" s="904" customFormat="1">
      <c r="A11360" s="905"/>
      <c r="B11360" s="952"/>
      <c r="C11360" s="907">
        <v>735</v>
      </c>
      <c r="D11360" s="907" t="s">
        <v>12</v>
      </c>
      <c r="E11360" s="992" t="s">
        <v>4065</v>
      </c>
      <c r="F11360" s="905" t="s">
        <v>2674</v>
      </c>
      <c r="G11360" s="1005"/>
      <c r="H11360" s="911">
        <v>2.5</v>
      </c>
      <c r="I11360" s="912"/>
      <c r="J11360" s="912"/>
      <c r="K11360" s="912">
        <f>VLOOKUP(E11360,[5]ĐMNC!$A$7:$F$67,4,0)</f>
        <v>203703</v>
      </c>
      <c r="L11360" s="912">
        <f>H11360*K11360</f>
        <v>509257.5</v>
      </c>
      <c r="M11360" s="912"/>
      <c r="N11360" s="912"/>
      <c r="O11360" s="892">
        <f t="shared" si="913"/>
        <v>0</v>
      </c>
      <c r="P11360" s="903">
        <f t="shared" si="910"/>
        <v>1</v>
      </c>
      <c r="Q11360" s="893">
        <f t="shared" si="911"/>
        <v>1</v>
      </c>
      <c r="R11360" s="894">
        <f t="shared" si="912"/>
        <v>0</v>
      </c>
    </row>
    <row r="11361" spans="1:18">
      <c r="A11361" s="905" t="s">
        <v>6885</v>
      </c>
      <c r="B11361" s="1018" t="s">
        <v>6886</v>
      </c>
      <c r="C11361" s="915"/>
      <c r="D11361" s="915"/>
      <c r="E11361" s="1006" t="s">
        <v>6887</v>
      </c>
      <c r="F11361" s="917" t="s">
        <v>6888</v>
      </c>
      <c r="G11361" s="1008"/>
      <c r="H11361" s="919"/>
      <c r="I11361" s="920"/>
      <c r="J11361" s="891">
        <f>SUM(J11362:J11368)</f>
        <v>147682.20000000001</v>
      </c>
      <c r="K11361" s="891"/>
      <c r="L11361" s="891">
        <f>SUM(L11362:L11368)</f>
        <v>1012752.5</v>
      </c>
      <c r="M11361" s="891"/>
      <c r="N11361" s="891">
        <f>SUM(N11362:N11368)</f>
        <v>0</v>
      </c>
      <c r="O11361" s="892">
        <f t="shared" si="913"/>
        <v>1</v>
      </c>
      <c r="P11361" s="903">
        <f t="shared" si="910"/>
        <v>0</v>
      </c>
      <c r="Q11361" s="893">
        <f t="shared" si="911"/>
        <v>0</v>
      </c>
      <c r="R11361" s="894">
        <f t="shared" si="912"/>
        <v>7</v>
      </c>
    </row>
    <row r="11362" spans="1:18">
      <c r="A11362" s="895"/>
      <c r="B11362" s="896"/>
      <c r="C11362" s="897"/>
      <c r="D11362" s="897"/>
      <c r="E11362" s="1002" t="s">
        <v>108</v>
      </c>
      <c r="F11362" s="1003"/>
      <c r="G11362" s="1004"/>
      <c r="H11362" s="901"/>
      <c r="I11362" s="902"/>
      <c r="J11362" s="902"/>
      <c r="K11362" s="912" t="s">
        <v>274</v>
      </c>
      <c r="L11362" s="902"/>
      <c r="M11362" s="902"/>
      <c r="N11362" s="902"/>
      <c r="O11362" s="892">
        <f t="shared" si="913"/>
        <v>0</v>
      </c>
      <c r="P11362" s="903">
        <f t="shared" si="910"/>
        <v>1</v>
      </c>
      <c r="Q11362" s="893">
        <f t="shared" si="911"/>
        <v>7</v>
      </c>
      <c r="R11362" s="894">
        <f t="shared" si="912"/>
        <v>0</v>
      </c>
    </row>
    <row r="11363" spans="1:18" s="847" customFormat="1">
      <c r="A11363" s="905"/>
      <c r="B11363" s="952"/>
      <c r="C11363" s="907">
        <v>308</v>
      </c>
      <c r="D11363" s="907" t="s">
        <v>279</v>
      </c>
      <c r="E11363" s="992" t="s">
        <v>6889</v>
      </c>
      <c r="F11363" s="905" t="s">
        <v>45</v>
      </c>
      <c r="G11363" s="1005"/>
      <c r="H11363" s="911">
        <v>0.2</v>
      </c>
      <c r="I11363" s="912">
        <f>VLOOKUP(E11363,[3]VLP!$B$7:$K$300,10,0)</f>
        <v>447636</v>
      </c>
      <c r="J11363" s="912">
        <f>I11363*H11363</f>
        <v>89527.200000000012</v>
      </c>
      <c r="K11363" s="912" t="s">
        <v>274</v>
      </c>
      <c r="L11363" s="912"/>
      <c r="M11363" s="912"/>
      <c r="N11363" s="912"/>
      <c r="O11363" s="892">
        <f t="shared" si="913"/>
        <v>0</v>
      </c>
      <c r="P11363" s="903">
        <f t="shared" si="910"/>
        <v>1</v>
      </c>
      <c r="Q11363" s="893">
        <f t="shared" si="911"/>
        <v>6</v>
      </c>
      <c r="R11363" s="894">
        <f t="shared" si="912"/>
        <v>0</v>
      </c>
    </row>
    <row r="11364" spans="1:18" s="904" customFormat="1">
      <c r="A11364" s="905"/>
      <c r="B11364" s="952"/>
      <c r="C11364" s="907">
        <v>318</v>
      </c>
      <c r="D11364" s="907" t="s">
        <v>279</v>
      </c>
      <c r="E11364" s="992" t="s">
        <v>5657</v>
      </c>
      <c r="F11364" s="905" t="s">
        <v>45</v>
      </c>
      <c r="G11364" s="1005"/>
      <c r="H11364" s="911">
        <v>1</v>
      </c>
      <c r="I11364" s="912">
        <f>VLOOKUP(E11364,[3]VLP!$B$7:$K$300,10,0)</f>
        <v>25155</v>
      </c>
      <c r="J11364" s="912">
        <f>I11364*H11364</f>
        <v>25155</v>
      </c>
      <c r="K11364" s="912" t="s">
        <v>274</v>
      </c>
      <c r="L11364" s="912"/>
      <c r="M11364" s="912"/>
      <c r="N11364" s="912"/>
      <c r="O11364" s="892">
        <f t="shared" si="913"/>
        <v>0</v>
      </c>
      <c r="P11364" s="903">
        <f t="shared" si="910"/>
        <v>1</v>
      </c>
      <c r="Q11364" s="893">
        <f t="shared" si="911"/>
        <v>5</v>
      </c>
      <c r="R11364" s="894">
        <f t="shared" si="912"/>
        <v>0</v>
      </c>
    </row>
    <row r="11365" spans="1:18">
      <c r="A11365" s="905"/>
      <c r="B11365" s="952"/>
      <c r="C11365" s="907">
        <v>234</v>
      </c>
      <c r="D11365" s="907" t="s">
        <v>279</v>
      </c>
      <c r="E11365" s="992" t="s">
        <v>5983</v>
      </c>
      <c r="F11365" s="905" t="s">
        <v>3144</v>
      </c>
      <c r="G11365" s="1005"/>
      <c r="H11365" s="911">
        <v>2</v>
      </c>
      <c r="I11365" s="912">
        <f>VLOOKUP(E11365,[3]VLP!$B$7:$K$300,10,0)</f>
        <v>14000</v>
      </c>
      <c r="J11365" s="912">
        <f>I11365*H11365</f>
        <v>28000</v>
      </c>
      <c r="K11365" s="912" t="s">
        <v>274</v>
      </c>
      <c r="L11365" s="912"/>
      <c r="M11365" s="912"/>
      <c r="N11365" s="912"/>
      <c r="O11365" s="892">
        <f t="shared" si="913"/>
        <v>0</v>
      </c>
      <c r="P11365" s="903">
        <f t="shared" si="910"/>
        <v>1</v>
      </c>
      <c r="Q11365" s="893">
        <f t="shared" si="911"/>
        <v>4</v>
      </c>
      <c r="R11365" s="894">
        <f t="shared" si="912"/>
        <v>0</v>
      </c>
    </row>
    <row r="11366" spans="1:18">
      <c r="A11366" s="905"/>
      <c r="B11366" s="952"/>
      <c r="C11366" s="907">
        <v>235</v>
      </c>
      <c r="D11366" s="907" t="s">
        <v>279</v>
      </c>
      <c r="E11366" s="992" t="s">
        <v>2682</v>
      </c>
      <c r="F11366" s="905" t="s">
        <v>45</v>
      </c>
      <c r="G11366" s="1005"/>
      <c r="H11366" s="911">
        <v>1</v>
      </c>
      <c r="I11366" s="912">
        <f>VLOOKUP(E11366,[3]VLP!$B$7:$K$300,10,0)</f>
        <v>5000</v>
      </c>
      <c r="J11366" s="912">
        <f>I11366*H11366</f>
        <v>5000</v>
      </c>
      <c r="K11366" s="912" t="s">
        <v>274</v>
      </c>
      <c r="L11366" s="912"/>
      <c r="M11366" s="912"/>
      <c r="N11366" s="912"/>
      <c r="O11366" s="892">
        <f t="shared" si="913"/>
        <v>0</v>
      </c>
      <c r="P11366" s="903">
        <f t="shared" si="910"/>
        <v>1</v>
      </c>
      <c r="Q11366" s="893">
        <f t="shared" si="911"/>
        <v>3</v>
      </c>
      <c r="R11366" s="894">
        <f t="shared" si="912"/>
        <v>0</v>
      </c>
    </row>
    <row r="11367" spans="1:18">
      <c r="A11367" s="895"/>
      <c r="B11367" s="896"/>
      <c r="C11367" s="897"/>
      <c r="D11367" s="897"/>
      <c r="E11367" s="1002" t="s">
        <v>276</v>
      </c>
      <c r="F11367" s="1003"/>
      <c r="G11367" s="1004"/>
      <c r="H11367" s="901"/>
      <c r="I11367" s="902"/>
      <c r="J11367" s="902"/>
      <c r="K11367" s="912" t="s">
        <v>274</v>
      </c>
      <c r="L11367" s="902"/>
      <c r="M11367" s="902"/>
      <c r="N11367" s="902"/>
      <c r="O11367" s="892">
        <f t="shared" si="913"/>
        <v>0</v>
      </c>
      <c r="P11367" s="903">
        <f t="shared" si="910"/>
        <v>1</v>
      </c>
      <c r="Q11367" s="893">
        <f t="shared" si="911"/>
        <v>2</v>
      </c>
      <c r="R11367" s="894">
        <f t="shared" si="912"/>
        <v>0</v>
      </c>
    </row>
    <row r="11368" spans="1:18">
      <c r="A11368" s="905"/>
      <c r="B11368" s="952"/>
      <c r="C11368" s="907">
        <v>740</v>
      </c>
      <c r="D11368" s="907" t="s">
        <v>12</v>
      </c>
      <c r="E11368" s="992" t="s">
        <v>4008</v>
      </c>
      <c r="F11368" s="905" t="s">
        <v>2674</v>
      </c>
      <c r="G11368" s="1005"/>
      <c r="H11368" s="911">
        <v>4.58</v>
      </c>
      <c r="I11368" s="912"/>
      <c r="J11368" s="912"/>
      <c r="K11368" s="912">
        <f>VLOOKUP(E11368,[5]ĐMNC!$A$7:$F$67,4,0)</f>
        <v>221125</v>
      </c>
      <c r="L11368" s="912">
        <f>H11368*K11368</f>
        <v>1012752.5</v>
      </c>
      <c r="M11368" s="912"/>
      <c r="N11368" s="912"/>
      <c r="O11368" s="892">
        <f t="shared" si="913"/>
        <v>0</v>
      </c>
      <c r="P11368" s="903">
        <f t="shared" si="910"/>
        <v>1</v>
      </c>
      <c r="Q11368" s="893">
        <f t="shared" si="911"/>
        <v>1</v>
      </c>
      <c r="R11368" s="894">
        <f t="shared" si="912"/>
        <v>0</v>
      </c>
    </row>
    <row r="11369" spans="1:18" s="904" customFormat="1">
      <c r="A11369" s="905">
        <v>259</v>
      </c>
      <c r="B11369" s="1018" t="s">
        <v>6890</v>
      </c>
      <c r="C11369" s="915"/>
      <c r="D11369" s="915"/>
      <c r="E11369" s="1006" t="s">
        <v>6891</v>
      </c>
      <c r="F11369" s="917" t="s">
        <v>211</v>
      </c>
      <c r="G11369" s="1008"/>
      <c r="H11369" s="919"/>
      <c r="I11369" s="920"/>
      <c r="J11369" s="891">
        <f>SUM(J11370:J11374)</f>
        <v>201444</v>
      </c>
      <c r="K11369" s="891"/>
      <c r="L11369" s="891">
        <f>SUM(L11370:L11374)</f>
        <v>8845000</v>
      </c>
      <c r="M11369" s="891"/>
      <c r="N11369" s="891">
        <f>SUM(N11370:N11374)</f>
        <v>0</v>
      </c>
      <c r="O11369" s="892">
        <f t="shared" si="913"/>
        <v>1</v>
      </c>
      <c r="P11369" s="903">
        <f t="shared" si="910"/>
        <v>0</v>
      </c>
      <c r="Q11369" s="893">
        <f t="shared" si="911"/>
        <v>0</v>
      </c>
      <c r="R11369" s="894">
        <f t="shared" si="912"/>
        <v>5</v>
      </c>
    </row>
    <row r="11370" spans="1:18">
      <c r="A11370" s="895"/>
      <c r="B11370" s="896"/>
      <c r="C11370" s="897"/>
      <c r="D11370" s="897"/>
      <c r="E11370" s="1002" t="s">
        <v>108</v>
      </c>
      <c r="F11370" s="1003"/>
      <c r="G11370" s="1004"/>
      <c r="H11370" s="901"/>
      <c r="I11370" s="902"/>
      <c r="J11370" s="902"/>
      <c r="K11370" s="912" t="s">
        <v>274</v>
      </c>
      <c r="L11370" s="902"/>
      <c r="M11370" s="902"/>
      <c r="N11370" s="902"/>
      <c r="O11370" s="892">
        <f t="shared" si="913"/>
        <v>0</v>
      </c>
      <c r="P11370" s="903">
        <f t="shared" si="910"/>
        <v>1</v>
      </c>
      <c r="Q11370" s="893">
        <f t="shared" si="911"/>
        <v>5</v>
      </c>
      <c r="R11370" s="894">
        <f t="shared" si="912"/>
        <v>0</v>
      </c>
    </row>
    <row r="11371" spans="1:18" s="904" customFormat="1">
      <c r="A11371" s="905"/>
      <c r="B11371" s="952"/>
      <c r="C11371" s="907">
        <v>322</v>
      </c>
      <c r="D11371" s="907" t="s">
        <v>279</v>
      </c>
      <c r="E11371" s="992" t="s">
        <v>2677</v>
      </c>
      <c r="F11371" s="905" t="s">
        <v>6892</v>
      </c>
      <c r="G11371" s="1005"/>
      <c r="H11371" s="911">
        <v>100</v>
      </c>
      <c r="I11371" s="912">
        <f>VLOOKUP(E11371,[3]VLP!$B$7:$K$300,10,0)</f>
        <v>1864.44</v>
      </c>
      <c r="J11371" s="912">
        <f>I11371*H11371</f>
        <v>186444</v>
      </c>
      <c r="K11371" s="912" t="s">
        <v>274</v>
      </c>
      <c r="L11371" s="912"/>
      <c r="M11371" s="912"/>
      <c r="N11371" s="912"/>
      <c r="O11371" s="892">
        <f t="shared" si="913"/>
        <v>0</v>
      </c>
      <c r="P11371" s="903">
        <f t="shared" si="910"/>
        <v>1</v>
      </c>
      <c r="Q11371" s="893">
        <f t="shared" si="911"/>
        <v>4</v>
      </c>
      <c r="R11371" s="894">
        <f t="shared" si="912"/>
        <v>0</v>
      </c>
    </row>
    <row r="11372" spans="1:18">
      <c r="A11372" s="905"/>
      <c r="B11372" s="952"/>
      <c r="C11372" s="907">
        <v>235</v>
      </c>
      <c r="D11372" s="907" t="s">
        <v>279</v>
      </c>
      <c r="E11372" s="992" t="s">
        <v>2682</v>
      </c>
      <c r="F11372" s="905" t="s">
        <v>45</v>
      </c>
      <c r="G11372" s="1005"/>
      <c r="H11372" s="911">
        <v>3</v>
      </c>
      <c r="I11372" s="912">
        <f>VLOOKUP(E11372,[3]VLP!$B$7:$K$300,10,0)</f>
        <v>5000</v>
      </c>
      <c r="J11372" s="912">
        <f>I11372*H11372</f>
        <v>15000</v>
      </c>
      <c r="K11372" s="912" t="s">
        <v>274</v>
      </c>
      <c r="L11372" s="912"/>
      <c r="M11372" s="912"/>
      <c r="N11372" s="912"/>
      <c r="O11372" s="892">
        <f t="shared" si="913"/>
        <v>0</v>
      </c>
      <c r="P11372" s="903">
        <f t="shared" si="910"/>
        <v>1</v>
      </c>
      <c r="Q11372" s="893">
        <f t="shared" si="911"/>
        <v>3</v>
      </c>
      <c r="R11372" s="894">
        <f t="shared" si="912"/>
        <v>0</v>
      </c>
    </row>
    <row r="11373" spans="1:18">
      <c r="A11373" s="895"/>
      <c r="B11373" s="896"/>
      <c r="C11373" s="897"/>
      <c r="D11373" s="897"/>
      <c r="E11373" s="1002" t="s">
        <v>276</v>
      </c>
      <c r="F11373" s="1003"/>
      <c r="G11373" s="1004"/>
      <c r="H11373" s="901"/>
      <c r="I11373" s="902"/>
      <c r="J11373" s="902"/>
      <c r="K11373" s="912" t="s">
        <v>274</v>
      </c>
      <c r="L11373" s="902"/>
      <c r="M11373" s="902"/>
      <c r="N11373" s="902"/>
      <c r="O11373" s="892">
        <f t="shared" si="913"/>
        <v>0</v>
      </c>
      <c r="P11373" s="903">
        <f t="shared" si="910"/>
        <v>1</v>
      </c>
      <c r="Q11373" s="893">
        <f t="shared" si="911"/>
        <v>2</v>
      </c>
      <c r="R11373" s="894">
        <f t="shared" si="912"/>
        <v>0</v>
      </c>
    </row>
    <row r="11374" spans="1:18" s="847" customFormat="1">
      <c r="A11374" s="905"/>
      <c r="B11374" s="952"/>
      <c r="C11374" s="907">
        <v>740</v>
      </c>
      <c r="D11374" s="907" t="s">
        <v>12</v>
      </c>
      <c r="E11374" s="992" t="s">
        <v>4008</v>
      </c>
      <c r="F11374" s="905" t="s">
        <v>2674</v>
      </c>
      <c r="G11374" s="1005"/>
      <c r="H11374" s="911">
        <v>40</v>
      </c>
      <c r="I11374" s="912"/>
      <c r="J11374" s="912"/>
      <c r="K11374" s="912">
        <f>VLOOKUP(E11374,[5]ĐMNC!$A$7:$F$67,4,0)</f>
        <v>221125</v>
      </c>
      <c r="L11374" s="912">
        <f>H11374*K11374</f>
        <v>8845000</v>
      </c>
      <c r="M11374" s="912"/>
      <c r="N11374" s="912"/>
      <c r="O11374" s="892">
        <f t="shared" si="913"/>
        <v>0</v>
      </c>
      <c r="P11374" s="903">
        <f t="shared" si="910"/>
        <v>1</v>
      </c>
      <c r="Q11374" s="893">
        <f t="shared" si="911"/>
        <v>1</v>
      </c>
      <c r="R11374" s="894">
        <f t="shared" si="912"/>
        <v>0</v>
      </c>
    </row>
    <row r="11375" spans="1:18" s="904" customFormat="1">
      <c r="A11375" s="905">
        <v>260</v>
      </c>
      <c r="B11375" s="1018" t="s">
        <v>6893</v>
      </c>
      <c r="C11375" s="915"/>
      <c r="D11375" s="915"/>
      <c r="E11375" s="1006" t="s">
        <v>6894</v>
      </c>
      <c r="F11375" s="917" t="s">
        <v>6895</v>
      </c>
      <c r="G11375" s="1008"/>
      <c r="H11375" s="919"/>
      <c r="I11375" s="920"/>
      <c r="J11375" s="891">
        <f>SUM(J11376:J11383)</f>
        <v>64000</v>
      </c>
      <c r="K11375" s="891"/>
      <c r="L11375" s="891">
        <f>SUM(L11376:L11383)</f>
        <v>1625268.75</v>
      </c>
      <c r="M11375" s="891"/>
      <c r="N11375" s="891">
        <f>SUM(N11376:N11383)</f>
        <v>278618</v>
      </c>
      <c r="O11375" s="892">
        <f t="shared" si="913"/>
        <v>1</v>
      </c>
      <c r="P11375" s="903">
        <f t="shared" si="910"/>
        <v>0</v>
      </c>
      <c r="Q11375" s="893">
        <f t="shared" si="911"/>
        <v>0</v>
      </c>
      <c r="R11375" s="894">
        <f t="shared" si="912"/>
        <v>8</v>
      </c>
    </row>
    <row r="11376" spans="1:18">
      <c r="A11376" s="895"/>
      <c r="B11376" s="896"/>
      <c r="C11376" s="897"/>
      <c r="D11376" s="897"/>
      <c r="E11376" s="1002" t="s">
        <v>108</v>
      </c>
      <c r="F11376" s="1003"/>
      <c r="G11376" s="1004"/>
      <c r="H11376" s="901"/>
      <c r="I11376" s="902"/>
      <c r="J11376" s="902"/>
      <c r="K11376" s="912" t="s">
        <v>274</v>
      </c>
      <c r="L11376" s="902"/>
      <c r="M11376" s="902"/>
      <c r="N11376" s="902"/>
      <c r="O11376" s="892">
        <f t="shared" si="913"/>
        <v>0</v>
      </c>
      <c r="P11376" s="903">
        <f t="shared" si="910"/>
        <v>1</v>
      </c>
      <c r="Q11376" s="893">
        <f t="shared" si="911"/>
        <v>8</v>
      </c>
      <c r="R11376" s="894">
        <f t="shared" si="912"/>
        <v>0</v>
      </c>
    </row>
    <row r="11377" spans="1:18">
      <c r="A11377" s="905"/>
      <c r="B11377" s="952"/>
      <c r="C11377" s="907">
        <v>235</v>
      </c>
      <c r="D11377" s="907" t="s">
        <v>279</v>
      </c>
      <c r="E11377" s="992" t="s">
        <v>2682</v>
      </c>
      <c r="F11377" s="905" t="s">
        <v>45</v>
      </c>
      <c r="G11377" s="1005"/>
      <c r="H11377" s="911">
        <v>0.5</v>
      </c>
      <c r="I11377" s="912">
        <f>VLOOKUP(E11377,[3]VLP!$B$7:$K$300,10,0)</f>
        <v>5000</v>
      </c>
      <c r="J11377" s="912">
        <f>I11377*H11377</f>
        <v>2500</v>
      </c>
      <c r="K11377" s="912" t="s">
        <v>274</v>
      </c>
      <c r="L11377" s="912"/>
      <c r="M11377" s="912"/>
      <c r="N11377" s="912"/>
      <c r="O11377" s="892">
        <f t="shared" si="913"/>
        <v>0</v>
      </c>
      <c r="P11377" s="903">
        <f t="shared" si="910"/>
        <v>1</v>
      </c>
      <c r="Q11377" s="893">
        <f t="shared" si="911"/>
        <v>7</v>
      </c>
      <c r="R11377" s="894">
        <f t="shared" si="912"/>
        <v>0</v>
      </c>
    </row>
    <row r="11378" spans="1:18">
      <c r="A11378" s="905"/>
      <c r="B11378" s="952"/>
      <c r="C11378" s="907">
        <v>212</v>
      </c>
      <c r="D11378" s="907" t="s">
        <v>279</v>
      </c>
      <c r="E11378" s="992" t="s">
        <v>2681</v>
      </c>
      <c r="F11378" s="905" t="s">
        <v>45</v>
      </c>
      <c r="G11378" s="1005"/>
      <c r="H11378" s="911">
        <v>0.5</v>
      </c>
      <c r="I11378" s="912">
        <f>VLOOKUP(E11378,[3]VLP!$B$7:$K$300,10,0)</f>
        <v>23000</v>
      </c>
      <c r="J11378" s="912">
        <f>I11378*H11378</f>
        <v>11500</v>
      </c>
      <c r="K11378" s="912" t="s">
        <v>274</v>
      </c>
      <c r="L11378" s="912"/>
      <c r="M11378" s="912"/>
      <c r="N11378" s="912"/>
      <c r="O11378" s="892">
        <f t="shared" si="913"/>
        <v>0</v>
      </c>
      <c r="P11378" s="903">
        <f t="shared" si="910"/>
        <v>1</v>
      </c>
      <c r="Q11378" s="893">
        <f t="shared" si="911"/>
        <v>6</v>
      </c>
      <c r="R11378" s="894">
        <f t="shared" si="912"/>
        <v>0</v>
      </c>
    </row>
    <row r="11379" spans="1:18">
      <c r="A11379" s="905"/>
      <c r="B11379" s="952"/>
      <c r="C11379" s="907">
        <v>699</v>
      </c>
      <c r="D11379" s="907" t="s">
        <v>279</v>
      </c>
      <c r="E11379" s="992" t="s">
        <v>4006</v>
      </c>
      <c r="F11379" s="905" t="s">
        <v>4007</v>
      </c>
      <c r="G11379" s="1005"/>
      <c r="H11379" s="911">
        <v>10</v>
      </c>
      <c r="I11379" s="912">
        <f>VLOOKUP(E11379,[3]VLP!$B$7:$K$300,10,0)</f>
        <v>5000</v>
      </c>
      <c r="J11379" s="912">
        <f>I11379*H11379</f>
        <v>50000</v>
      </c>
      <c r="K11379" s="912" t="s">
        <v>274</v>
      </c>
      <c r="L11379" s="912"/>
      <c r="M11379" s="912"/>
      <c r="N11379" s="912"/>
      <c r="O11379" s="892">
        <f t="shared" si="913"/>
        <v>0</v>
      </c>
      <c r="P11379" s="903">
        <f t="shared" ref="P11379:P11442" si="914">IF(O11379=0,1,0)</f>
        <v>1</v>
      </c>
      <c r="Q11379" s="893">
        <f t="shared" ref="Q11379:Q11442" si="915">IF(P11379=0,0,P11379+Q11380)</f>
        <v>5</v>
      </c>
      <c r="R11379" s="894">
        <f t="shared" ref="R11379:R11442" si="916">IF(Q11379=0,Q11380,0)</f>
        <v>0</v>
      </c>
    </row>
    <row r="11380" spans="1:18">
      <c r="A11380" s="895"/>
      <c r="B11380" s="896"/>
      <c r="C11380" s="897"/>
      <c r="D11380" s="897"/>
      <c r="E11380" s="1002" t="s">
        <v>276</v>
      </c>
      <c r="F11380" s="1003"/>
      <c r="G11380" s="1004"/>
      <c r="H11380" s="901"/>
      <c r="I11380" s="902"/>
      <c r="J11380" s="902"/>
      <c r="K11380" s="912" t="s">
        <v>274</v>
      </c>
      <c r="L11380" s="902"/>
      <c r="M11380" s="902"/>
      <c r="N11380" s="902"/>
      <c r="O11380" s="892">
        <f t="shared" si="913"/>
        <v>0</v>
      </c>
      <c r="P11380" s="903">
        <f t="shared" si="914"/>
        <v>1</v>
      </c>
      <c r="Q11380" s="893">
        <f t="shared" si="915"/>
        <v>4</v>
      </c>
      <c r="R11380" s="894">
        <f t="shared" si="916"/>
        <v>0</v>
      </c>
    </row>
    <row r="11381" spans="1:18" s="904" customFormat="1">
      <c r="A11381" s="905"/>
      <c r="B11381" s="952"/>
      <c r="C11381" s="907">
        <v>740</v>
      </c>
      <c r="D11381" s="907" t="s">
        <v>12</v>
      </c>
      <c r="E11381" s="992" t="s">
        <v>4008</v>
      </c>
      <c r="F11381" s="905" t="s">
        <v>2674</v>
      </c>
      <c r="G11381" s="1005"/>
      <c r="H11381" s="911">
        <v>7.35</v>
      </c>
      <c r="I11381" s="912"/>
      <c r="J11381" s="912"/>
      <c r="K11381" s="912">
        <f>VLOOKUP(E11381,[5]ĐMNC!$A$7:$F$67,4,0)</f>
        <v>221125</v>
      </c>
      <c r="L11381" s="912">
        <f>H11381*K11381</f>
        <v>1625268.75</v>
      </c>
      <c r="M11381" s="912"/>
      <c r="N11381" s="912"/>
      <c r="O11381" s="892">
        <f t="shared" si="913"/>
        <v>0</v>
      </c>
      <c r="P11381" s="903">
        <f t="shared" si="914"/>
        <v>1</v>
      </c>
      <c r="Q11381" s="893">
        <f t="shared" si="915"/>
        <v>3</v>
      </c>
      <c r="R11381" s="894">
        <f t="shared" si="916"/>
        <v>0</v>
      </c>
    </row>
    <row r="11382" spans="1:18">
      <c r="A11382" s="895"/>
      <c r="B11382" s="896"/>
      <c r="C11382" s="897"/>
      <c r="D11382" s="897"/>
      <c r="E11382" s="1002" t="s">
        <v>3914</v>
      </c>
      <c r="F11382" s="1003"/>
      <c r="G11382" s="1004"/>
      <c r="H11382" s="901"/>
      <c r="I11382" s="902"/>
      <c r="J11382" s="902"/>
      <c r="K11382" s="912" t="s">
        <v>274</v>
      </c>
      <c r="L11382" s="902"/>
      <c r="M11382" s="902"/>
      <c r="N11382" s="902"/>
      <c r="O11382" s="892">
        <f t="shared" si="913"/>
        <v>0</v>
      </c>
      <c r="P11382" s="903">
        <f t="shared" si="914"/>
        <v>1</v>
      </c>
      <c r="Q11382" s="893">
        <f t="shared" si="915"/>
        <v>2</v>
      </c>
      <c r="R11382" s="894">
        <f t="shared" si="916"/>
        <v>0</v>
      </c>
    </row>
    <row r="11383" spans="1:18" s="904" customFormat="1">
      <c r="A11383" s="905"/>
      <c r="B11383" s="952" t="s">
        <v>4993</v>
      </c>
      <c r="C11383" s="907">
        <v>904</v>
      </c>
      <c r="D11383" s="907" t="s">
        <v>93</v>
      </c>
      <c r="E11383" s="992" t="s">
        <v>4994</v>
      </c>
      <c r="F11383" s="905" t="s">
        <v>2673</v>
      </c>
      <c r="G11383" s="1005"/>
      <c r="H11383" s="911">
        <v>0.2</v>
      </c>
      <c r="I11383" s="912"/>
      <c r="J11383" s="912"/>
      <c r="K11383" s="912"/>
      <c r="L11383" s="912"/>
      <c r="M11383" s="912">
        <f>VLOOKUP(B11383,MTC!$B$9:$S$933,12,0)</f>
        <v>1393090</v>
      </c>
      <c r="N11383" s="912">
        <f>M11383*H11383</f>
        <v>278618</v>
      </c>
      <c r="O11383" s="892">
        <f t="shared" si="913"/>
        <v>0</v>
      </c>
      <c r="P11383" s="903">
        <f t="shared" si="914"/>
        <v>1</v>
      </c>
      <c r="Q11383" s="893">
        <f t="shared" si="915"/>
        <v>1</v>
      </c>
      <c r="R11383" s="894">
        <f t="shared" si="916"/>
        <v>0</v>
      </c>
    </row>
    <row r="11384" spans="1:18">
      <c r="A11384" s="905">
        <v>261</v>
      </c>
      <c r="B11384" s="1018" t="s">
        <v>6896</v>
      </c>
      <c r="C11384" s="915"/>
      <c r="D11384" s="915"/>
      <c r="E11384" s="1006" t="s">
        <v>6897</v>
      </c>
      <c r="F11384" s="917" t="s">
        <v>6895</v>
      </c>
      <c r="G11384" s="1008"/>
      <c r="H11384" s="919"/>
      <c r="I11384" s="920"/>
      <c r="J11384" s="891">
        <f>SUM(J11385:J11392)</f>
        <v>64000</v>
      </c>
      <c r="K11384" s="891"/>
      <c r="L11384" s="891">
        <f>SUM(L11385:L11392)</f>
        <v>1300215</v>
      </c>
      <c r="M11384" s="891"/>
      <c r="N11384" s="891">
        <f>SUM(N11385:N11392)</f>
        <v>278618</v>
      </c>
      <c r="O11384" s="892">
        <f t="shared" si="913"/>
        <v>1</v>
      </c>
      <c r="P11384" s="903">
        <f t="shared" si="914"/>
        <v>0</v>
      </c>
      <c r="Q11384" s="893">
        <f t="shared" si="915"/>
        <v>0</v>
      </c>
      <c r="R11384" s="894">
        <f t="shared" si="916"/>
        <v>8</v>
      </c>
    </row>
    <row r="11385" spans="1:18">
      <c r="A11385" s="895"/>
      <c r="B11385" s="896"/>
      <c r="C11385" s="897"/>
      <c r="D11385" s="897"/>
      <c r="E11385" s="1002" t="s">
        <v>108</v>
      </c>
      <c r="F11385" s="1003"/>
      <c r="G11385" s="1004"/>
      <c r="H11385" s="901"/>
      <c r="I11385" s="902"/>
      <c r="J11385" s="902"/>
      <c r="K11385" s="912" t="s">
        <v>274</v>
      </c>
      <c r="L11385" s="902"/>
      <c r="M11385" s="902"/>
      <c r="N11385" s="902"/>
      <c r="O11385" s="892">
        <f t="shared" si="913"/>
        <v>0</v>
      </c>
      <c r="P11385" s="903">
        <f t="shared" si="914"/>
        <v>1</v>
      </c>
      <c r="Q11385" s="893">
        <f t="shared" si="915"/>
        <v>8</v>
      </c>
      <c r="R11385" s="894">
        <f t="shared" si="916"/>
        <v>0</v>
      </c>
    </row>
    <row r="11386" spans="1:18">
      <c r="A11386" s="905"/>
      <c r="B11386" s="952"/>
      <c r="C11386" s="907">
        <v>235</v>
      </c>
      <c r="D11386" s="907" t="s">
        <v>279</v>
      </c>
      <c r="E11386" s="992" t="s">
        <v>2682</v>
      </c>
      <c r="F11386" s="905" t="s">
        <v>45</v>
      </c>
      <c r="G11386" s="1005"/>
      <c r="H11386" s="911">
        <v>0.5</v>
      </c>
      <c r="I11386" s="912">
        <f>VLOOKUP(E11386,[3]VLP!$B$7:$K$300,10,0)</f>
        <v>5000</v>
      </c>
      <c r="J11386" s="912">
        <f>I11386*H11386</f>
        <v>2500</v>
      </c>
      <c r="K11386" s="912" t="s">
        <v>274</v>
      </c>
      <c r="L11386" s="912"/>
      <c r="M11386" s="912"/>
      <c r="N11386" s="912"/>
      <c r="O11386" s="892">
        <f t="shared" si="913"/>
        <v>0</v>
      </c>
      <c r="P11386" s="903">
        <f t="shared" si="914"/>
        <v>1</v>
      </c>
      <c r="Q11386" s="893">
        <f t="shared" si="915"/>
        <v>7</v>
      </c>
      <c r="R11386" s="894">
        <f t="shared" si="916"/>
        <v>0</v>
      </c>
    </row>
    <row r="11387" spans="1:18">
      <c r="A11387" s="905"/>
      <c r="B11387" s="952"/>
      <c r="C11387" s="907">
        <v>212</v>
      </c>
      <c r="D11387" s="907" t="s">
        <v>279</v>
      </c>
      <c r="E11387" s="992" t="s">
        <v>2681</v>
      </c>
      <c r="F11387" s="905" t="s">
        <v>45</v>
      </c>
      <c r="G11387" s="1005"/>
      <c r="H11387" s="911">
        <v>0.5</v>
      </c>
      <c r="I11387" s="912">
        <f>VLOOKUP(E11387,[3]VLP!$B$7:$K$300,10,0)</f>
        <v>23000</v>
      </c>
      <c r="J11387" s="912">
        <f>I11387*H11387</f>
        <v>11500</v>
      </c>
      <c r="K11387" s="912" t="s">
        <v>274</v>
      </c>
      <c r="L11387" s="912"/>
      <c r="M11387" s="912"/>
      <c r="N11387" s="912"/>
      <c r="O11387" s="892">
        <f t="shared" si="913"/>
        <v>0</v>
      </c>
      <c r="P11387" s="903">
        <f t="shared" si="914"/>
        <v>1</v>
      </c>
      <c r="Q11387" s="893">
        <f t="shared" si="915"/>
        <v>6</v>
      </c>
      <c r="R11387" s="894">
        <f t="shared" si="916"/>
        <v>0</v>
      </c>
    </row>
    <row r="11388" spans="1:18">
      <c r="A11388" s="905"/>
      <c r="B11388" s="952"/>
      <c r="C11388" s="907">
        <v>699</v>
      </c>
      <c r="D11388" s="907" t="s">
        <v>279</v>
      </c>
      <c r="E11388" s="992" t="s">
        <v>4006</v>
      </c>
      <c r="F11388" s="905" t="s">
        <v>4007</v>
      </c>
      <c r="G11388" s="1005"/>
      <c r="H11388" s="911">
        <v>10</v>
      </c>
      <c r="I11388" s="912">
        <f>VLOOKUP(E11388,[3]VLP!$B$7:$K$300,10,0)</f>
        <v>5000</v>
      </c>
      <c r="J11388" s="912">
        <f>I11388*H11388</f>
        <v>50000</v>
      </c>
      <c r="K11388" s="912" t="s">
        <v>274</v>
      </c>
      <c r="L11388" s="912"/>
      <c r="M11388" s="912"/>
      <c r="N11388" s="912"/>
      <c r="O11388" s="892">
        <f t="shared" si="913"/>
        <v>0</v>
      </c>
      <c r="P11388" s="903">
        <f t="shared" si="914"/>
        <v>1</v>
      </c>
      <c r="Q11388" s="893">
        <f t="shared" si="915"/>
        <v>5</v>
      </c>
      <c r="R11388" s="894">
        <f t="shared" si="916"/>
        <v>0</v>
      </c>
    </row>
    <row r="11389" spans="1:18">
      <c r="A11389" s="895"/>
      <c r="B11389" s="896"/>
      <c r="C11389" s="897"/>
      <c r="D11389" s="897"/>
      <c r="E11389" s="1002" t="s">
        <v>276</v>
      </c>
      <c r="F11389" s="1003"/>
      <c r="G11389" s="1004"/>
      <c r="H11389" s="901"/>
      <c r="I11389" s="902"/>
      <c r="J11389" s="902"/>
      <c r="K11389" s="912" t="s">
        <v>274</v>
      </c>
      <c r="L11389" s="902"/>
      <c r="M11389" s="902"/>
      <c r="N11389" s="902"/>
      <c r="O11389" s="892">
        <f t="shared" si="913"/>
        <v>0</v>
      </c>
      <c r="P11389" s="903">
        <f t="shared" si="914"/>
        <v>1</v>
      </c>
      <c r="Q11389" s="893">
        <f t="shared" si="915"/>
        <v>4</v>
      </c>
      <c r="R11389" s="894">
        <f t="shared" si="916"/>
        <v>0</v>
      </c>
    </row>
    <row r="11390" spans="1:18">
      <c r="A11390" s="905"/>
      <c r="B11390" s="952"/>
      <c r="C11390" s="907">
        <v>740</v>
      </c>
      <c r="D11390" s="907" t="s">
        <v>12</v>
      </c>
      <c r="E11390" s="992" t="s">
        <v>4008</v>
      </c>
      <c r="F11390" s="905" t="s">
        <v>2674</v>
      </c>
      <c r="G11390" s="1005"/>
      <c r="H11390" s="911">
        <v>5.88</v>
      </c>
      <c r="I11390" s="912"/>
      <c r="J11390" s="912"/>
      <c r="K11390" s="912">
        <f>VLOOKUP(E11390,[5]ĐMNC!$A$7:$F$67,4,0)</f>
        <v>221125</v>
      </c>
      <c r="L11390" s="912">
        <f>H11390*K11390</f>
        <v>1300215</v>
      </c>
      <c r="M11390" s="912"/>
      <c r="N11390" s="912"/>
      <c r="O11390" s="892">
        <f t="shared" si="913"/>
        <v>0</v>
      </c>
      <c r="P11390" s="903">
        <f t="shared" si="914"/>
        <v>1</v>
      </c>
      <c r="Q11390" s="893">
        <f t="shared" si="915"/>
        <v>3</v>
      </c>
      <c r="R11390" s="894">
        <f t="shared" si="916"/>
        <v>0</v>
      </c>
    </row>
    <row r="11391" spans="1:18">
      <c r="A11391" s="895"/>
      <c r="B11391" s="896"/>
      <c r="C11391" s="897"/>
      <c r="D11391" s="897"/>
      <c r="E11391" s="1002" t="s">
        <v>3914</v>
      </c>
      <c r="F11391" s="1003"/>
      <c r="G11391" s="1004"/>
      <c r="H11391" s="901"/>
      <c r="I11391" s="902"/>
      <c r="J11391" s="902"/>
      <c r="K11391" s="912" t="s">
        <v>274</v>
      </c>
      <c r="L11391" s="902"/>
      <c r="M11391" s="902"/>
      <c r="N11391" s="902"/>
      <c r="O11391" s="892">
        <f t="shared" si="913"/>
        <v>0</v>
      </c>
      <c r="P11391" s="903">
        <f t="shared" si="914"/>
        <v>1</v>
      </c>
      <c r="Q11391" s="893">
        <f t="shared" si="915"/>
        <v>2</v>
      </c>
      <c r="R11391" s="894">
        <f t="shared" si="916"/>
        <v>0</v>
      </c>
    </row>
    <row r="11392" spans="1:18">
      <c r="A11392" s="905"/>
      <c r="B11392" s="952" t="s">
        <v>4993</v>
      </c>
      <c r="C11392" s="907">
        <v>904</v>
      </c>
      <c r="D11392" s="907" t="s">
        <v>93</v>
      </c>
      <c r="E11392" s="992" t="s">
        <v>4994</v>
      </c>
      <c r="F11392" s="905" t="s">
        <v>2673</v>
      </c>
      <c r="G11392" s="1005"/>
      <c r="H11392" s="911">
        <v>0.2</v>
      </c>
      <c r="I11392" s="912"/>
      <c r="J11392" s="912"/>
      <c r="K11392" s="912"/>
      <c r="L11392" s="912"/>
      <c r="M11392" s="912">
        <f>VLOOKUP(B11392,MTC!$B$9:$S$933,12,0)</f>
        <v>1393090</v>
      </c>
      <c r="N11392" s="912">
        <f>M11392*H11392</f>
        <v>278618</v>
      </c>
      <c r="O11392" s="892">
        <f t="shared" si="913"/>
        <v>0</v>
      </c>
      <c r="P11392" s="903">
        <f t="shared" si="914"/>
        <v>1</v>
      </c>
      <c r="Q11392" s="893">
        <f t="shared" si="915"/>
        <v>1</v>
      </c>
      <c r="R11392" s="894">
        <f t="shared" si="916"/>
        <v>0</v>
      </c>
    </row>
    <row r="11393" spans="1:18">
      <c r="A11393" s="905" t="s">
        <v>6898</v>
      </c>
      <c r="B11393" s="1018" t="s">
        <v>3773</v>
      </c>
      <c r="C11393" s="915"/>
      <c r="D11393" s="915"/>
      <c r="E11393" s="1006" t="s">
        <v>6899</v>
      </c>
      <c r="F11393" s="917" t="s">
        <v>136</v>
      </c>
      <c r="G11393" s="1008"/>
      <c r="H11393" s="919"/>
      <c r="I11393" s="920"/>
      <c r="J11393" s="891">
        <f>SUM(J11394:J11407)</f>
        <v>272548.40000000002</v>
      </c>
      <c r="K11393" s="891" t="s">
        <v>274</v>
      </c>
      <c r="L11393" s="891">
        <f>SUM(L11394:L11407)</f>
        <v>1260412.5</v>
      </c>
      <c r="M11393" s="891"/>
      <c r="N11393" s="891">
        <f>SUM(N11394:N11407)</f>
        <v>16232.550000000001</v>
      </c>
      <c r="O11393" s="892">
        <f t="shared" si="913"/>
        <v>1</v>
      </c>
      <c r="P11393" s="903">
        <f t="shared" si="914"/>
        <v>0</v>
      </c>
      <c r="Q11393" s="893">
        <f t="shared" si="915"/>
        <v>0</v>
      </c>
      <c r="R11393" s="894">
        <f t="shared" si="916"/>
        <v>14</v>
      </c>
    </row>
    <row r="11394" spans="1:18" s="904" customFormat="1">
      <c r="A11394" s="895"/>
      <c r="B11394" s="896"/>
      <c r="C11394" s="897"/>
      <c r="D11394" s="897"/>
      <c r="E11394" s="1002" t="s">
        <v>108</v>
      </c>
      <c r="F11394" s="1003"/>
      <c r="G11394" s="1004"/>
      <c r="H11394" s="901"/>
      <c r="I11394" s="902"/>
      <c r="J11394" s="902"/>
      <c r="K11394" s="912" t="s">
        <v>274</v>
      </c>
      <c r="L11394" s="902"/>
      <c r="M11394" s="902"/>
      <c r="N11394" s="902"/>
      <c r="O11394" s="892">
        <f t="shared" si="913"/>
        <v>0</v>
      </c>
      <c r="P11394" s="903">
        <f t="shared" si="914"/>
        <v>1</v>
      </c>
      <c r="Q11394" s="893">
        <f t="shared" si="915"/>
        <v>14</v>
      </c>
      <c r="R11394" s="894">
        <f t="shared" si="916"/>
        <v>0</v>
      </c>
    </row>
    <row r="11395" spans="1:18">
      <c r="A11395" s="905"/>
      <c r="B11395" s="952"/>
      <c r="C11395" s="907">
        <v>321</v>
      </c>
      <c r="D11395" s="907" t="s">
        <v>279</v>
      </c>
      <c r="E11395" s="992" t="s">
        <v>6317</v>
      </c>
      <c r="F11395" s="905" t="s">
        <v>45</v>
      </c>
      <c r="G11395" s="1005"/>
      <c r="H11395" s="911">
        <v>0.5</v>
      </c>
      <c r="I11395" s="912">
        <f>VLOOKUP(E11395,[3]VLP!$B$7:$K$300,10,0)</f>
        <v>38182</v>
      </c>
      <c r="J11395" s="912">
        <f t="shared" ref="J11395:J11403" si="917">I11395*H11395</f>
        <v>19091</v>
      </c>
      <c r="K11395" s="912" t="s">
        <v>274</v>
      </c>
      <c r="L11395" s="912"/>
      <c r="M11395" s="912"/>
      <c r="N11395" s="912"/>
      <c r="O11395" s="892">
        <f t="shared" si="913"/>
        <v>0</v>
      </c>
      <c r="P11395" s="903">
        <f t="shared" si="914"/>
        <v>1</v>
      </c>
      <c r="Q11395" s="893">
        <f t="shared" si="915"/>
        <v>13</v>
      </c>
      <c r="R11395" s="894">
        <f t="shared" si="916"/>
        <v>0</v>
      </c>
    </row>
    <row r="11396" spans="1:18" s="904" customFormat="1">
      <c r="A11396" s="905"/>
      <c r="B11396" s="952"/>
      <c r="C11396" s="907">
        <v>226</v>
      </c>
      <c r="D11396" s="907" t="s">
        <v>279</v>
      </c>
      <c r="E11396" s="992" t="s">
        <v>6900</v>
      </c>
      <c r="F11396" s="905" t="s">
        <v>45</v>
      </c>
      <c r="G11396" s="1005"/>
      <c r="H11396" s="911">
        <v>5</v>
      </c>
      <c r="I11396" s="912">
        <f>VLOOKUP(E11396,[3]VLP!$B$7:$K$300,10,0)</f>
        <v>11600</v>
      </c>
      <c r="J11396" s="912">
        <f t="shared" si="917"/>
        <v>58000</v>
      </c>
      <c r="K11396" s="912" t="s">
        <v>274</v>
      </c>
      <c r="L11396" s="912"/>
      <c r="M11396" s="912"/>
      <c r="N11396" s="912"/>
      <c r="O11396" s="892">
        <f t="shared" si="913"/>
        <v>0</v>
      </c>
      <c r="P11396" s="903">
        <f t="shared" si="914"/>
        <v>1</v>
      </c>
      <c r="Q11396" s="893">
        <f t="shared" si="915"/>
        <v>12</v>
      </c>
      <c r="R11396" s="894">
        <f t="shared" si="916"/>
        <v>0</v>
      </c>
    </row>
    <row r="11397" spans="1:18">
      <c r="A11397" s="905"/>
      <c r="B11397" s="952"/>
      <c r="C11397" s="907">
        <v>225</v>
      </c>
      <c r="D11397" s="907" t="s">
        <v>279</v>
      </c>
      <c r="E11397" s="992" t="s">
        <v>6901</v>
      </c>
      <c r="F11397" s="905" t="s">
        <v>45</v>
      </c>
      <c r="G11397" s="1005"/>
      <c r="H11397" s="911">
        <v>2</v>
      </c>
      <c r="I11397" s="912">
        <f>VLOOKUP(E11397,[3]VLP!$B$7:$K$300,10,0)</f>
        <v>11009</v>
      </c>
      <c r="J11397" s="912">
        <f t="shared" si="917"/>
        <v>22018</v>
      </c>
      <c r="K11397" s="912" t="s">
        <v>274</v>
      </c>
      <c r="L11397" s="912"/>
      <c r="M11397" s="912"/>
      <c r="N11397" s="912"/>
      <c r="O11397" s="892">
        <f t="shared" si="913"/>
        <v>0</v>
      </c>
      <c r="P11397" s="903">
        <f t="shared" si="914"/>
        <v>1</v>
      </c>
      <c r="Q11397" s="893">
        <f t="shared" si="915"/>
        <v>11</v>
      </c>
      <c r="R11397" s="894">
        <f t="shared" si="916"/>
        <v>0</v>
      </c>
    </row>
    <row r="11398" spans="1:18">
      <c r="A11398" s="905"/>
      <c r="B11398" s="952"/>
      <c r="C11398" s="907">
        <v>312</v>
      </c>
      <c r="D11398" s="907" t="s">
        <v>279</v>
      </c>
      <c r="E11398" s="992" t="s">
        <v>3269</v>
      </c>
      <c r="F11398" s="905" t="s">
        <v>45</v>
      </c>
      <c r="G11398" s="1005"/>
      <c r="H11398" s="911">
        <v>10</v>
      </c>
      <c r="I11398" s="912">
        <f>VLOOKUP(E11398,[3]VLP!$B$7:$K$300,10,0)</f>
        <v>14545</v>
      </c>
      <c r="J11398" s="912">
        <f t="shared" si="917"/>
        <v>145450</v>
      </c>
      <c r="K11398" s="912" t="s">
        <v>274</v>
      </c>
      <c r="L11398" s="912"/>
      <c r="M11398" s="912"/>
      <c r="N11398" s="912"/>
      <c r="O11398" s="892">
        <f t="shared" si="913"/>
        <v>0</v>
      </c>
      <c r="P11398" s="903">
        <f t="shared" si="914"/>
        <v>1</v>
      </c>
      <c r="Q11398" s="893">
        <f t="shared" si="915"/>
        <v>10</v>
      </c>
      <c r="R11398" s="894">
        <f t="shared" si="916"/>
        <v>0</v>
      </c>
    </row>
    <row r="11399" spans="1:18" s="847" customFormat="1">
      <c r="A11399" s="905"/>
      <c r="B11399" s="952"/>
      <c r="C11399" s="907">
        <v>306</v>
      </c>
      <c r="D11399" s="907" t="s">
        <v>279</v>
      </c>
      <c r="E11399" s="992" t="s">
        <v>4116</v>
      </c>
      <c r="F11399" s="905" t="s">
        <v>45</v>
      </c>
      <c r="G11399" s="1005"/>
      <c r="H11399" s="911">
        <v>0.2</v>
      </c>
      <c r="I11399" s="912">
        <f>VLOOKUP(E11399,[3]VLP!$B$7:$K$300,10,0)</f>
        <v>28182</v>
      </c>
      <c r="J11399" s="912">
        <f t="shared" si="917"/>
        <v>5636.4000000000005</v>
      </c>
      <c r="K11399" s="912" t="s">
        <v>274</v>
      </c>
      <c r="L11399" s="912"/>
      <c r="M11399" s="912"/>
      <c r="N11399" s="912"/>
      <c r="O11399" s="892">
        <f t="shared" si="913"/>
        <v>0</v>
      </c>
      <c r="P11399" s="903">
        <f t="shared" si="914"/>
        <v>1</v>
      </c>
      <c r="Q11399" s="893">
        <f t="shared" si="915"/>
        <v>9</v>
      </c>
      <c r="R11399" s="894">
        <f t="shared" si="916"/>
        <v>0</v>
      </c>
    </row>
    <row r="11400" spans="1:18" s="904" customFormat="1">
      <c r="A11400" s="905"/>
      <c r="B11400" s="952"/>
      <c r="C11400" s="907">
        <v>318</v>
      </c>
      <c r="D11400" s="907" t="s">
        <v>279</v>
      </c>
      <c r="E11400" s="992" t="s">
        <v>5657</v>
      </c>
      <c r="F11400" s="905" t="s">
        <v>45</v>
      </c>
      <c r="G11400" s="1005"/>
      <c r="H11400" s="911">
        <v>0.5</v>
      </c>
      <c r="I11400" s="912">
        <f>VLOOKUP(E11400,[3]VLP!$B$7:$K$300,10,0)</f>
        <v>25155</v>
      </c>
      <c r="J11400" s="912">
        <f t="shared" si="917"/>
        <v>12577.5</v>
      </c>
      <c r="K11400" s="912" t="s">
        <v>274</v>
      </c>
      <c r="L11400" s="912"/>
      <c r="M11400" s="912"/>
      <c r="N11400" s="912"/>
      <c r="O11400" s="892">
        <f t="shared" si="913"/>
        <v>0</v>
      </c>
      <c r="P11400" s="903">
        <f t="shared" si="914"/>
        <v>1</v>
      </c>
      <c r="Q11400" s="893">
        <f t="shared" si="915"/>
        <v>8</v>
      </c>
      <c r="R11400" s="894">
        <f t="shared" si="916"/>
        <v>0</v>
      </c>
    </row>
    <row r="11401" spans="1:18">
      <c r="A11401" s="905"/>
      <c r="B11401" s="952"/>
      <c r="C11401" s="907">
        <v>232</v>
      </c>
      <c r="D11401" s="907" t="s">
        <v>279</v>
      </c>
      <c r="E11401" s="992" t="s">
        <v>6902</v>
      </c>
      <c r="F11401" s="905" t="s">
        <v>45</v>
      </c>
      <c r="G11401" s="1005"/>
      <c r="H11401" s="911">
        <v>0.05</v>
      </c>
      <c r="I11401" s="912">
        <f>VLOOKUP(E11401,[3]VLP!$B$7:$K$300,10,0)</f>
        <v>100000</v>
      </c>
      <c r="J11401" s="912">
        <f t="shared" si="917"/>
        <v>5000</v>
      </c>
      <c r="K11401" s="912" t="s">
        <v>274</v>
      </c>
      <c r="L11401" s="912"/>
      <c r="M11401" s="912"/>
      <c r="N11401" s="912"/>
      <c r="O11401" s="892">
        <f t="shared" si="913"/>
        <v>0</v>
      </c>
      <c r="P11401" s="903">
        <f t="shared" si="914"/>
        <v>1</v>
      </c>
      <c r="Q11401" s="893">
        <f t="shared" si="915"/>
        <v>7</v>
      </c>
      <c r="R11401" s="894">
        <f t="shared" si="916"/>
        <v>0</v>
      </c>
    </row>
    <row r="11402" spans="1:18">
      <c r="A11402" s="905"/>
      <c r="B11402" s="952"/>
      <c r="C11402" s="907">
        <v>212</v>
      </c>
      <c r="D11402" s="907" t="s">
        <v>279</v>
      </c>
      <c r="E11402" s="992" t="s">
        <v>2681</v>
      </c>
      <c r="F11402" s="905" t="s">
        <v>45</v>
      </c>
      <c r="G11402" s="1005"/>
      <c r="H11402" s="911">
        <v>0.01</v>
      </c>
      <c r="I11402" s="912">
        <f>VLOOKUP(E11402,[3]VLP!$B$7:$K$300,10,0)</f>
        <v>23000</v>
      </c>
      <c r="J11402" s="912">
        <f t="shared" si="917"/>
        <v>230</v>
      </c>
      <c r="K11402" s="912" t="s">
        <v>274</v>
      </c>
      <c r="L11402" s="912"/>
      <c r="M11402" s="912"/>
      <c r="N11402" s="912"/>
      <c r="O11402" s="892">
        <f t="shared" si="913"/>
        <v>0</v>
      </c>
      <c r="P11402" s="903">
        <f t="shared" si="914"/>
        <v>1</v>
      </c>
      <c r="Q11402" s="893">
        <f t="shared" si="915"/>
        <v>6</v>
      </c>
      <c r="R11402" s="894">
        <f t="shared" si="916"/>
        <v>0</v>
      </c>
    </row>
    <row r="11403" spans="1:18">
      <c r="A11403" s="905"/>
      <c r="B11403" s="952"/>
      <c r="C11403" s="907">
        <v>201</v>
      </c>
      <c r="D11403" s="907" t="s">
        <v>279</v>
      </c>
      <c r="E11403" s="992" t="s">
        <v>5706</v>
      </c>
      <c r="F11403" s="905" t="s">
        <v>45</v>
      </c>
      <c r="G11403" s="1005"/>
      <c r="H11403" s="911">
        <v>0.1</v>
      </c>
      <c r="I11403" s="912">
        <f>VLOOKUP(E11403,[3]VLP!$B$7:$K$300,10,0)</f>
        <v>45455</v>
      </c>
      <c r="J11403" s="912">
        <f t="shared" si="917"/>
        <v>4545.5</v>
      </c>
      <c r="K11403" s="912" t="s">
        <v>274</v>
      </c>
      <c r="L11403" s="912"/>
      <c r="M11403" s="912"/>
      <c r="N11403" s="912"/>
      <c r="O11403" s="892">
        <f t="shared" si="913"/>
        <v>0</v>
      </c>
      <c r="P11403" s="903">
        <f t="shared" si="914"/>
        <v>1</v>
      </c>
      <c r="Q11403" s="893">
        <f t="shared" si="915"/>
        <v>5</v>
      </c>
      <c r="R11403" s="894">
        <f t="shared" si="916"/>
        <v>0</v>
      </c>
    </row>
    <row r="11404" spans="1:18">
      <c r="A11404" s="895"/>
      <c r="B11404" s="896"/>
      <c r="C11404" s="897"/>
      <c r="D11404" s="897"/>
      <c r="E11404" s="1002" t="s">
        <v>276</v>
      </c>
      <c r="F11404" s="1003"/>
      <c r="G11404" s="1004"/>
      <c r="H11404" s="901"/>
      <c r="I11404" s="902"/>
      <c r="J11404" s="902"/>
      <c r="K11404" s="912" t="s">
        <v>274</v>
      </c>
      <c r="L11404" s="902"/>
      <c r="M11404" s="902"/>
      <c r="N11404" s="902"/>
      <c r="O11404" s="892">
        <f t="shared" si="913"/>
        <v>0</v>
      </c>
      <c r="P11404" s="903">
        <f t="shared" si="914"/>
        <v>1</v>
      </c>
      <c r="Q11404" s="893">
        <f t="shared" si="915"/>
        <v>4</v>
      </c>
      <c r="R11404" s="894">
        <f t="shared" si="916"/>
        <v>0</v>
      </c>
    </row>
    <row r="11405" spans="1:18">
      <c r="A11405" s="905"/>
      <c r="B11405" s="952"/>
      <c r="C11405" s="907">
        <v>740</v>
      </c>
      <c r="D11405" s="907" t="s">
        <v>12</v>
      </c>
      <c r="E11405" s="992" t="s">
        <v>4008</v>
      </c>
      <c r="F11405" s="905" t="s">
        <v>2674</v>
      </c>
      <c r="G11405" s="1005"/>
      <c r="H11405" s="911">
        <v>5.7</v>
      </c>
      <c r="I11405" s="912"/>
      <c r="J11405" s="912"/>
      <c r="K11405" s="912">
        <f>VLOOKUP(E11405,[5]ĐMNC!$A$7:$F$67,4,0)</f>
        <v>221125</v>
      </c>
      <c r="L11405" s="912">
        <f>H11405*K11405</f>
        <v>1260412.5</v>
      </c>
      <c r="M11405" s="912"/>
      <c r="N11405" s="912"/>
      <c r="O11405" s="892">
        <f t="shared" si="913"/>
        <v>0</v>
      </c>
      <c r="P11405" s="903">
        <f t="shared" si="914"/>
        <v>1</v>
      </c>
      <c r="Q11405" s="893">
        <f t="shared" si="915"/>
        <v>3</v>
      </c>
      <c r="R11405" s="894">
        <f t="shared" si="916"/>
        <v>0</v>
      </c>
    </row>
    <row r="11406" spans="1:18" s="904" customFormat="1">
      <c r="A11406" s="895"/>
      <c r="B11406" s="896"/>
      <c r="C11406" s="897"/>
      <c r="D11406" s="897"/>
      <c r="E11406" s="1002" t="s">
        <v>3914</v>
      </c>
      <c r="F11406" s="895"/>
      <c r="G11406" s="1004"/>
      <c r="H11406" s="901"/>
      <c r="I11406" s="902"/>
      <c r="J11406" s="902"/>
      <c r="K11406" s="912" t="s">
        <v>274</v>
      </c>
      <c r="L11406" s="902"/>
      <c r="M11406" s="902"/>
      <c r="N11406" s="902"/>
      <c r="O11406" s="892">
        <f t="shared" si="913"/>
        <v>0</v>
      </c>
      <c r="P11406" s="903">
        <f t="shared" si="914"/>
        <v>1</v>
      </c>
      <c r="Q11406" s="893">
        <f t="shared" si="915"/>
        <v>2</v>
      </c>
      <c r="R11406" s="894">
        <f t="shared" si="916"/>
        <v>0</v>
      </c>
    </row>
    <row r="11407" spans="1:18">
      <c r="A11407" s="905"/>
      <c r="B11407" s="906" t="s">
        <v>4117</v>
      </c>
      <c r="C11407" s="907">
        <v>908</v>
      </c>
      <c r="D11407" s="907" t="s">
        <v>93</v>
      </c>
      <c r="E11407" s="992" t="s">
        <v>4118</v>
      </c>
      <c r="F11407" s="905" t="s">
        <v>2673</v>
      </c>
      <c r="G11407" s="1005"/>
      <c r="H11407" s="911">
        <v>0.05</v>
      </c>
      <c r="I11407" s="912"/>
      <c r="J11407" s="912"/>
      <c r="K11407" s="912"/>
      <c r="L11407" s="912"/>
      <c r="M11407" s="912">
        <f>VLOOKUP(B11407,MTC!$B$9:$S$933,12,0)</f>
        <v>324651</v>
      </c>
      <c r="N11407" s="912">
        <f>M11407*H11407</f>
        <v>16232.550000000001</v>
      </c>
      <c r="O11407" s="892">
        <f t="shared" si="913"/>
        <v>0</v>
      </c>
      <c r="P11407" s="903">
        <f t="shared" si="914"/>
        <v>1</v>
      </c>
      <c r="Q11407" s="893">
        <f t="shared" si="915"/>
        <v>1</v>
      </c>
      <c r="R11407" s="894">
        <f t="shared" si="916"/>
        <v>0</v>
      </c>
    </row>
    <row r="11408" spans="1:18" s="904" customFormat="1">
      <c r="A11408" s="905">
        <v>263</v>
      </c>
      <c r="B11408" s="1018" t="s">
        <v>6903</v>
      </c>
      <c r="C11408" s="915"/>
      <c r="D11408" s="915"/>
      <c r="E11408" s="1006" t="s">
        <v>6904</v>
      </c>
      <c r="F11408" s="917" t="s">
        <v>6905</v>
      </c>
      <c r="G11408" s="1008"/>
      <c r="H11408" s="919"/>
      <c r="I11408" s="920"/>
      <c r="J11408" s="891">
        <f>SUM(J11409:J11416)</f>
        <v>29386.5</v>
      </c>
      <c r="K11408" s="891"/>
      <c r="L11408" s="891">
        <f>SUM(L11409:L11416)</f>
        <v>221125</v>
      </c>
      <c r="M11408" s="891"/>
      <c r="N11408" s="891">
        <f>SUM(N11409:N11416)</f>
        <v>0</v>
      </c>
      <c r="O11408" s="892">
        <f t="shared" si="913"/>
        <v>1</v>
      </c>
      <c r="P11408" s="903">
        <f t="shared" si="914"/>
        <v>0</v>
      </c>
      <c r="Q11408" s="893">
        <f t="shared" si="915"/>
        <v>0</v>
      </c>
      <c r="R11408" s="894">
        <f t="shared" si="916"/>
        <v>8</v>
      </c>
    </row>
    <row r="11409" spans="1:18">
      <c r="A11409" s="895"/>
      <c r="B11409" s="896"/>
      <c r="C11409" s="897"/>
      <c r="D11409" s="897"/>
      <c r="E11409" s="1002" t="s">
        <v>108</v>
      </c>
      <c r="F11409" s="1003"/>
      <c r="G11409" s="1004"/>
      <c r="H11409" s="901"/>
      <c r="I11409" s="902"/>
      <c r="J11409" s="902"/>
      <c r="K11409" s="912" t="s">
        <v>274</v>
      </c>
      <c r="L11409" s="902"/>
      <c r="M11409" s="902"/>
      <c r="N11409" s="902"/>
      <c r="O11409" s="892">
        <f t="shared" si="913"/>
        <v>0</v>
      </c>
      <c r="P11409" s="903">
        <f t="shared" si="914"/>
        <v>1</v>
      </c>
      <c r="Q11409" s="893">
        <f t="shared" si="915"/>
        <v>8</v>
      </c>
      <c r="R11409" s="894">
        <f t="shared" si="916"/>
        <v>0</v>
      </c>
    </row>
    <row r="11410" spans="1:18">
      <c r="A11410" s="905"/>
      <c r="B11410" s="952"/>
      <c r="C11410" s="907">
        <v>321</v>
      </c>
      <c r="D11410" s="907" t="s">
        <v>279</v>
      </c>
      <c r="E11410" s="992" t="s">
        <v>6317</v>
      </c>
      <c r="F11410" s="905" t="s">
        <v>45</v>
      </c>
      <c r="G11410" s="1005"/>
      <c r="H11410" s="911">
        <v>0.2</v>
      </c>
      <c r="I11410" s="912">
        <f>VLOOKUP(E11410,[3]VLP!$B$7:$K$300,10,0)</f>
        <v>38182</v>
      </c>
      <c r="J11410" s="912">
        <f>I11410*H11410</f>
        <v>7636.4000000000005</v>
      </c>
      <c r="K11410" s="912" t="s">
        <v>274</v>
      </c>
      <c r="L11410" s="912"/>
      <c r="M11410" s="912"/>
      <c r="N11410" s="912"/>
      <c r="O11410" s="892">
        <f t="shared" si="913"/>
        <v>0</v>
      </c>
      <c r="P11410" s="903">
        <f t="shared" si="914"/>
        <v>1</v>
      </c>
      <c r="Q11410" s="893">
        <f t="shared" si="915"/>
        <v>7</v>
      </c>
      <c r="R11410" s="894">
        <f t="shared" si="916"/>
        <v>0</v>
      </c>
    </row>
    <row r="11411" spans="1:18" s="847" customFormat="1">
      <c r="A11411" s="905"/>
      <c r="B11411" s="952"/>
      <c r="C11411" s="907">
        <v>318</v>
      </c>
      <c r="D11411" s="907" t="s">
        <v>279</v>
      </c>
      <c r="E11411" s="992" t="s">
        <v>5657</v>
      </c>
      <c r="F11411" s="905" t="s">
        <v>45</v>
      </c>
      <c r="G11411" s="1005"/>
      <c r="H11411" s="911">
        <v>0.3</v>
      </c>
      <c r="I11411" s="912">
        <f>VLOOKUP(E11411,[3]VLP!$B$7:$K$300,10,0)</f>
        <v>25155</v>
      </c>
      <c r="J11411" s="912">
        <f>I11411*H11411</f>
        <v>7546.5</v>
      </c>
      <c r="K11411" s="912" t="s">
        <v>274</v>
      </c>
      <c r="L11411" s="912"/>
      <c r="M11411" s="912"/>
      <c r="N11411" s="912"/>
      <c r="O11411" s="892">
        <f t="shared" si="913"/>
        <v>0</v>
      </c>
      <c r="P11411" s="903">
        <f t="shared" si="914"/>
        <v>1</v>
      </c>
      <c r="Q11411" s="893">
        <f t="shared" si="915"/>
        <v>6</v>
      </c>
      <c r="R11411" s="894">
        <f t="shared" si="916"/>
        <v>0</v>
      </c>
    </row>
    <row r="11412" spans="1:18" s="904" customFormat="1">
      <c r="A11412" s="905"/>
      <c r="B11412" s="952"/>
      <c r="C11412" s="907">
        <v>313</v>
      </c>
      <c r="D11412" s="907" t="s">
        <v>279</v>
      </c>
      <c r="E11412" s="992" t="s">
        <v>3267</v>
      </c>
      <c r="F11412" s="905" t="s">
        <v>45</v>
      </c>
      <c r="G11412" s="1005"/>
      <c r="H11412" s="911">
        <v>0.2</v>
      </c>
      <c r="I11412" s="912">
        <f>VLOOKUP(E11412,[3]VLP!$B$7:$K$300,10,0)</f>
        <v>30000</v>
      </c>
      <c r="J11412" s="912">
        <f>I11412*H11412</f>
        <v>6000</v>
      </c>
      <c r="K11412" s="912" t="s">
        <v>274</v>
      </c>
      <c r="L11412" s="912"/>
      <c r="M11412" s="912"/>
      <c r="N11412" s="912"/>
      <c r="O11412" s="892">
        <f t="shared" si="913"/>
        <v>0</v>
      </c>
      <c r="P11412" s="903">
        <f t="shared" si="914"/>
        <v>1</v>
      </c>
      <c r="Q11412" s="893">
        <f t="shared" si="915"/>
        <v>5</v>
      </c>
      <c r="R11412" s="894">
        <f t="shared" si="916"/>
        <v>0</v>
      </c>
    </row>
    <row r="11413" spans="1:18">
      <c r="A11413" s="905"/>
      <c r="B11413" s="952"/>
      <c r="C11413" s="907">
        <v>291</v>
      </c>
      <c r="D11413" s="907" t="s">
        <v>279</v>
      </c>
      <c r="E11413" s="992" t="s">
        <v>6111</v>
      </c>
      <c r="F11413" s="905" t="s">
        <v>45</v>
      </c>
      <c r="G11413" s="1005"/>
      <c r="H11413" s="911">
        <v>0.02</v>
      </c>
      <c r="I11413" s="912">
        <f>VLOOKUP(E11413,[3]VLP!$B$7:$K$300,10,0)</f>
        <v>42000</v>
      </c>
      <c r="J11413" s="912">
        <f>I11413*H11413</f>
        <v>840</v>
      </c>
      <c r="K11413" s="912" t="s">
        <v>274</v>
      </c>
      <c r="L11413" s="912"/>
      <c r="M11413" s="912"/>
      <c r="N11413" s="912"/>
      <c r="O11413" s="892">
        <f t="shared" si="913"/>
        <v>0</v>
      </c>
      <c r="P11413" s="903">
        <f t="shared" si="914"/>
        <v>1</v>
      </c>
      <c r="Q11413" s="893">
        <f t="shared" si="915"/>
        <v>4</v>
      </c>
      <c r="R11413" s="894">
        <f t="shared" si="916"/>
        <v>0</v>
      </c>
    </row>
    <row r="11414" spans="1:18">
      <c r="A11414" s="905"/>
      <c r="B11414" s="952"/>
      <c r="C11414" s="907">
        <v>311</v>
      </c>
      <c r="D11414" s="907" t="s">
        <v>279</v>
      </c>
      <c r="E11414" s="992" t="s">
        <v>6878</v>
      </c>
      <c r="F11414" s="905" t="s">
        <v>45</v>
      </c>
      <c r="G11414" s="1005"/>
      <c r="H11414" s="911">
        <v>0.1</v>
      </c>
      <c r="I11414" s="912">
        <f>VLOOKUP(E11414,[3]VLP!$B$7:$K$300,10,0)</f>
        <v>73636</v>
      </c>
      <c r="J11414" s="912">
        <f>I11414*H11414</f>
        <v>7363.6</v>
      </c>
      <c r="K11414" s="912" t="s">
        <v>274</v>
      </c>
      <c r="L11414" s="912"/>
      <c r="M11414" s="912"/>
      <c r="N11414" s="912"/>
      <c r="O11414" s="892">
        <f t="shared" si="913"/>
        <v>0</v>
      </c>
      <c r="P11414" s="903">
        <f t="shared" si="914"/>
        <v>1</v>
      </c>
      <c r="Q11414" s="893">
        <f t="shared" si="915"/>
        <v>3</v>
      </c>
      <c r="R11414" s="894">
        <f t="shared" si="916"/>
        <v>0</v>
      </c>
    </row>
    <row r="11415" spans="1:18">
      <c r="A11415" s="895"/>
      <c r="B11415" s="896"/>
      <c r="C11415" s="897"/>
      <c r="D11415" s="897"/>
      <c r="E11415" s="1002" t="s">
        <v>276</v>
      </c>
      <c r="F11415" s="1003"/>
      <c r="G11415" s="1004"/>
      <c r="H11415" s="901"/>
      <c r="I11415" s="902"/>
      <c r="J11415" s="902"/>
      <c r="K11415" s="912" t="s">
        <v>274</v>
      </c>
      <c r="L11415" s="902"/>
      <c r="M11415" s="902"/>
      <c r="N11415" s="902"/>
      <c r="O11415" s="892">
        <f t="shared" si="913"/>
        <v>0</v>
      </c>
      <c r="P11415" s="903">
        <f t="shared" si="914"/>
        <v>1</v>
      </c>
      <c r="Q11415" s="893">
        <f t="shared" si="915"/>
        <v>2</v>
      </c>
      <c r="R11415" s="894">
        <f t="shared" si="916"/>
        <v>0</v>
      </c>
    </row>
    <row r="11416" spans="1:18">
      <c r="A11416" s="905"/>
      <c r="B11416" s="952"/>
      <c r="C11416" s="907">
        <v>740</v>
      </c>
      <c r="D11416" s="907" t="s">
        <v>12</v>
      </c>
      <c r="E11416" s="992" t="s">
        <v>4008</v>
      </c>
      <c r="F11416" s="905" t="s">
        <v>2674</v>
      </c>
      <c r="G11416" s="1005"/>
      <c r="H11416" s="911">
        <v>1</v>
      </c>
      <c r="I11416" s="912"/>
      <c r="J11416" s="912"/>
      <c r="K11416" s="912">
        <f>VLOOKUP(E11416,[5]ĐMNC!$A$7:$F$67,4,0)</f>
        <v>221125</v>
      </c>
      <c r="L11416" s="912">
        <f>H11416*K11416</f>
        <v>221125</v>
      </c>
      <c r="M11416" s="912"/>
      <c r="N11416" s="912"/>
      <c r="O11416" s="892">
        <f t="shared" si="913"/>
        <v>0</v>
      </c>
      <c r="P11416" s="903">
        <f t="shared" si="914"/>
        <v>1</v>
      </c>
      <c r="Q11416" s="893">
        <f t="shared" si="915"/>
        <v>1</v>
      </c>
      <c r="R11416" s="894">
        <f t="shared" si="916"/>
        <v>0</v>
      </c>
    </row>
    <row r="11417" spans="1:18">
      <c r="A11417" s="905">
        <v>264</v>
      </c>
      <c r="B11417" s="1018" t="s">
        <v>6906</v>
      </c>
      <c r="C11417" s="915"/>
      <c r="D11417" s="915"/>
      <c r="E11417" s="1006" t="s">
        <v>6907</v>
      </c>
      <c r="F11417" s="917" t="s">
        <v>6905</v>
      </c>
      <c r="G11417" s="1008"/>
      <c r="H11417" s="919"/>
      <c r="I11417" s="920"/>
      <c r="J11417" s="891">
        <f>SUM(J11418:J11425)</f>
        <v>41750.1</v>
      </c>
      <c r="K11417" s="891"/>
      <c r="L11417" s="891">
        <f>SUM(L11418:L11425)</f>
        <v>442250</v>
      </c>
      <c r="M11417" s="891"/>
      <c r="N11417" s="891">
        <f>SUM(N11418:N11425)</f>
        <v>0</v>
      </c>
      <c r="O11417" s="892">
        <f t="shared" si="913"/>
        <v>1</v>
      </c>
      <c r="P11417" s="903">
        <f t="shared" si="914"/>
        <v>0</v>
      </c>
      <c r="Q11417" s="893">
        <f t="shared" si="915"/>
        <v>0</v>
      </c>
      <c r="R11417" s="894">
        <f t="shared" si="916"/>
        <v>8</v>
      </c>
    </row>
    <row r="11418" spans="1:18" s="904" customFormat="1">
      <c r="A11418" s="895"/>
      <c r="B11418" s="1017"/>
      <c r="C11418" s="897"/>
      <c r="D11418" s="897"/>
      <c r="E11418" s="1002" t="s">
        <v>108</v>
      </c>
      <c r="F11418" s="1003"/>
      <c r="G11418" s="1004"/>
      <c r="H11418" s="901"/>
      <c r="I11418" s="902"/>
      <c r="J11418" s="902"/>
      <c r="K11418" s="912" t="s">
        <v>274</v>
      </c>
      <c r="L11418" s="902"/>
      <c r="M11418" s="902"/>
      <c r="N11418" s="902"/>
      <c r="O11418" s="892">
        <f t="shared" si="913"/>
        <v>0</v>
      </c>
      <c r="P11418" s="903">
        <f t="shared" si="914"/>
        <v>1</v>
      </c>
      <c r="Q11418" s="893">
        <f t="shared" si="915"/>
        <v>8</v>
      </c>
      <c r="R11418" s="894">
        <f t="shared" si="916"/>
        <v>0</v>
      </c>
    </row>
    <row r="11419" spans="1:18">
      <c r="A11419" s="905"/>
      <c r="B11419" s="952"/>
      <c r="C11419" s="907">
        <v>320</v>
      </c>
      <c r="D11419" s="907" t="s">
        <v>279</v>
      </c>
      <c r="E11419" s="992" t="s">
        <v>6908</v>
      </c>
      <c r="F11419" s="905" t="s">
        <v>45</v>
      </c>
      <c r="G11419" s="1005"/>
      <c r="H11419" s="911">
        <v>0.4</v>
      </c>
      <c r="I11419" s="912">
        <f>VLOOKUP(E11419,[3]VLP!$B$7:$K$300,10,0)</f>
        <v>50000</v>
      </c>
      <c r="J11419" s="912">
        <f>I11419*H11419</f>
        <v>20000</v>
      </c>
      <c r="K11419" s="912" t="s">
        <v>274</v>
      </c>
      <c r="L11419" s="912"/>
      <c r="M11419" s="912"/>
      <c r="N11419" s="912"/>
      <c r="O11419" s="892">
        <f t="shared" si="913"/>
        <v>0</v>
      </c>
      <c r="P11419" s="903">
        <f t="shared" si="914"/>
        <v>1</v>
      </c>
      <c r="Q11419" s="893">
        <f t="shared" si="915"/>
        <v>7</v>
      </c>
      <c r="R11419" s="894">
        <f t="shared" si="916"/>
        <v>0</v>
      </c>
    </row>
    <row r="11420" spans="1:18" s="904" customFormat="1">
      <c r="A11420" s="905"/>
      <c r="B11420" s="952"/>
      <c r="C11420" s="907">
        <v>318</v>
      </c>
      <c r="D11420" s="907" t="s">
        <v>279</v>
      </c>
      <c r="E11420" s="992" t="s">
        <v>5657</v>
      </c>
      <c r="F11420" s="905" t="s">
        <v>45</v>
      </c>
      <c r="G11420" s="1005"/>
      <c r="H11420" s="911">
        <v>0.3</v>
      </c>
      <c r="I11420" s="912">
        <f>VLOOKUP(E11420,[3]VLP!$B$7:$K$300,10,0)</f>
        <v>25155</v>
      </c>
      <c r="J11420" s="912">
        <f>I11420*H11420</f>
        <v>7546.5</v>
      </c>
      <c r="K11420" s="912" t="s">
        <v>274</v>
      </c>
      <c r="L11420" s="912"/>
      <c r="M11420" s="912"/>
      <c r="N11420" s="912"/>
      <c r="O11420" s="892">
        <f t="shared" si="913"/>
        <v>0</v>
      </c>
      <c r="P11420" s="903">
        <f t="shared" si="914"/>
        <v>1</v>
      </c>
      <c r="Q11420" s="893">
        <f t="shared" si="915"/>
        <v>6</v>
      </c>
      <c r="R11420" s="894">
        <f t="shared" si="916"/>
        <v>0</v>
      </c>
    </row>
    <row r="11421" spans="1:18">
      <c r="A11421" s="905"/>
      <c r="B11421" s="952"/>
      <c r="C11421" s="907">
        <v>313</v>
      </c>
      <c r="D11421" s="907" t="s">
        <v>279</v>
      </c>
      <c r="E11421" s="992" t="s">
        <v>3267</v>
      </c>
      <c r="F11421" s="905" t="s">
        <v>45</v>
      </c>
      <c r="G11421" s="1005"/>
      <c r="H11421" s="911">
        <v>0.2</v>
      </c>
      <c r="I11421" s="912">
        <f>VLOOKUP(E11421,[3]VLP!$B$7:$K$300,10,0)</f>
        <v>30000</v>
      </c>
      <c r="J11421" s="912">
        <f>I11421*H11421</f>
        <v>6000</v>
      </c>
      <c r="K11421" s="912" t="s">
        <v>274</v>
      </c>
      <c r="L11421" s="912"/>
      <c r="M11421" s="912"/>
      <c r="N11421" s="912"/>
      <c r="O11421" s="892">
        <f t="shared" si="913"/>
        <v>0</v>
      </c>
      <c r="P11421" s="903">
        <f t="shared" si="914"/>
        <v>1</v>
      </c>
      <c r="Q11421" s="893">
        <f t="shared" si="915"/>
        <v>5</v>
      </c>
      <c r="R11421" s="894">
        <f t="shared" si="916"/>
        <v>0</v>
      </c>
    </row>
    <row r="11422" spans="1:18">
      <c r="A11422" s="905"/>
      <c r="B11422" s="952"/>
      <c r="C11422" s="907">
        <v>291</v>
      </c>
      <c r="D11422" s="907" t="s">
        <v>279</v>
      </c>
      <c r="E11422" s="992" t="s">
        <v>6111</v>
      </c>
      <c r="F11422" s="905" t="s">
        <v>45</v>
      </c>
      <c r="G11422" s="1005"/>
      <c r="H11422" s="911">
        <v>0.02</v>
      </c>
      <c r="I11422" s="912">
        <f>VLOOKUP(E11422,[3]VLP!$B$7:$K$300,10,0)</f>
        <v>42000</v>
      </c>
      <c r="J11422" s="912">
        <f>I11422*H11422</f>
        <v>840</v>
      </c>
      <c r="K11422" s="912" t="s">
        <v>274</v>
      </c>
      <c r="L11422" s="912"/>
      <c r="M11422" s="912"/>
      <c r="N11422" s="912"/>
      <c r="O11422" s="892">
        <f t="shared" si="913"/>
        <v>0</v>
      </c>
      <c r="P11422" s="903">
        <f t="shared" si="914"/>
        <v>1</v>
      </c>
      <c r="Q11422" s="893">
        <f t="shared" si="915"/>
        <v>4</v>
      </c>
      <c r="R11422" s="894">
        <f t="shared" si="916"/>
        <v>0</v>
      </c>
    </row>
    <row r="11423" spans="1:18" s="847" customFormat="1">
      <c r="A11423" s="905"/>
      <c r="B11423" s="952"/>
      <c r="C11423" s="907">
        <v>311</v>
      </c>
      <c r="D11423" s="907" t="s">
        <v>279</v>
      </c>
      <c r="E11423" s="992" t="s">
        <v>6878</v>
      </c>
      <c r="F11423" s="905" t="s">
        <v>45</v>
      </c>
      <c r="G11423" s="1005"/>
      <c r="H11423" s="911">
        <v>0.1</v>
      </c>
      <c r="I11423" s="912">
        <f>VLOOKUP(E11423,[3]VLP!$B$7:$K$300,10,0)</f>
        <v>73636</v>
      </c>
      <c r="J11423" s="912">
        <f>I11423*H11423</f>
        <v>7363.6</v>
      </c>
      <c r="K11423" s="912" t="s">
        <v>274</v>
      </c>
      <c r="L11423" s="912"/>
      <c r="M11423" s="912"/>
      <c r="N11423" s="912"/>
      <c r="O11423" s="892">
        <f t="shared" ref="O11423:O11486" si="918">IF(AND(B11423&lt;&gt;"",D11423=""),1,0)</f>
        <v>0</v>
      </c>
      <c r="P11423" s="903">
        <f t="shared" si="914"/>
        <v>1</v>
      </c>
      <c r="Q11423" s="893">
        <f t="shared" si="915"/>
        <v>3</v>
      </c>
      <c r="R11423" s="894">
        <f t="shared" si="916"/>
        <v>0</v>
      </c>
    </row>
    <row r="11424" spans="1:18" s="904" customFormat="1">
      <c r="A11424" s="895"/>
      <c r="B11424" s="1017"/>
      <c r="C11424" s="897"/>
      <c r="D11424" s="897"/>
      <c r="E11424" s="1002" t="s">
        <v>276</v>
      </c>
      <c r="F11424" s="1003"/>
      <c r="G11424" s="1004"/>
      <c r="H11424" s="901"/>
      <c r="I11424" s="902"/>
      <c r="J11424" s="902"/>
      <c r="K11424" s="912" t="s">
        <v>274</v>
      </c>
      <c r="L11424" s="902"/>
      <c r="M11424" s="902"/>
      <c r="N11424" s="902"/>
      <c r="O11424" s="892">
        <f t="shared" si="918"/>
        <v>0</v>
      </c>
      <c r="P11424" s="903">
        <f t="shared" si="914"/>
        <v>1</v>
      </c>
      <c r="Q11424" s="893">
        <f t="shared" si="915"/>
        <v>2</v>
      </c>
      <c r="R11424" s="894">
        <f t="shared" si="916"/>
        <v>0</v>
      </c>
    </row>
    <row r="11425" spans="1:18">
      <c r="A11425" s="905"/>
      <c r="B11425" s="952"/>
      <c r="C11425" s="907">
        <v>740</v>
      </c>
      <c r="D11425" s="907" t="s">
        <v>12</v>
      </c>
      <c r="E11425" s="992" t="s">
        <v>4008</v>
      </c>
      <c r="F11425" s="905" t="s">
        <v>2674</v>
      </c>
      <c r="G11425" s="1005"/>
      <c r="H11425" s="911">
        <v>2</v>
      </c>
      <c r="I11425" s="912"/>
      <c r="J11425" s="912"/>
      <c r="K11425" s="912">
        <f>VLOOKUP(E11425,[5]ĐMNC!$A$7:$F$67,4,0)</f>
        <v>221125</v>
      </c>
      <c r="L11425" s="912">
        <f>H11425*K11425</f>
        <v>442250</v>
      </c>
      <c r="M11425" s="912"/>
      <c r="N11425" s="912"/>
      <c r="O11425" s="892">
        <f t="shared" si="918"/>
        <v>0</v>
      </c>
      <c r="P11425" s="903">
        <f t="shared" si="914"/>
        <v>1</v>
      </c>
      <c r="Q11425" s="893">
        <f t="shared" si="915"/>
        <v>1</v>
      </c>
      <c r="R11425" s="894">
        <f t="shared" si="916"/>
        <v>0</v>
      </c>
    </row>
    <row r="11426" spans="1:18">
      <c r="A11426" s="905">
        <v>265</v>
      </c>
      <c r="B11426" s="1018" t="s">
        <v>6909</v>
      </c>
      <c r="C11426" s="915"/>
      <c r="D11426" s="915"/>
      <c r="E11426" s="1006" t="s">
        <v>6910</v>
      </c>
      <c r="F11426" s="917" t="s">
        <v>6905</v>
      </c>
      <c r="G11426" s="1008"/>
      <c r="H11426" s="919"/>
      <c r="I11426" s="920"/>
      <c r="J11426" s="891">
        <f>SUM(J11427:J11434)</f>
        <v>41750.1</v>
      </c>
      <c r="K11426" s="891"/>
      <c r="L11426" s="891">
        <f>SUM(L11427:L11434)</f>
        <v>574925</v>
      </c>
      <c r="M11426" s="891"/>
      <c r="N11426" s="891">
        <f>SUM(N11427:N11434)</f>
        <v>0</v>
      </c>
      <c r="O11426" s="892">
        <f t="shared" si="918"/>
        <v>1</v>
      </c>
      <c r="P11426" s="903">
        <f t="shared" si="914"/>
        <v>0</v>
      </c>
      <c r="Q11426" s="893">
        <f t="shared" si="915"/>
        <v>0</v>
      </c>
      <c r="R11426" s="894">
        <f t="shared" si="916"/>
        <v>8</v>
      </c>
    </row>
    <row r="11427" spans="1:18">
      <c r="A11427" s="895"/>
      <c r="B11427" s="1017"/>
      <c r="C11427" s="897"/>
      <c r="D11427" s="897"/>
      <c r="E11427" s="1002" t="s">
        <v>108</v>
      </c>
      <c r="F11427" s="1003"/>
      <c r="G11427" s="1004"/>
      <c r="H11427" s="901"/>
      <c r="I11427" s="902"/>
      <c r="J11427" s="902"/>
      <c r="K11427" s="912" t="s">
        <v>274</v>
      </c>
      <c r="L11427" s="902"/>
      <c r="M11427" s="902"/>
      <c r="N11427" s="902"/>
      <c r="O11427" s="892">
        <f t="shared" si="918"/>
        <v>0</v>
      </c>
      <c r="P11427" s="903">
        <f t="shared" si="914"/>
        <v>1</v>
      </c>
      <c r="Q11427" s="893">
        <f t="shared" si="915"/>
        <v>8</v>
      </c>
      <c r="R11427" s="894">
        <f t="shared" si="916"/>
        <v>0</v>
      </c>
    </row>
    <row r="11428" spans="1:18">
      <c r="A11428" s="905"/>
      <c r="B11428" s="952"/>
      <c r="C11428" s="907">
        <v>320</v>
      </c>
      <c r="D11428" s="907" t="s">
        <v>279</v>
      </c>
      <c r="E11428" s="992" t="s">
        <v>6908</v>
      </c>
      <c r="F11428" s="905" t="s">
        <v>45</v>
      </c>
      <c r="G11428" s="1005"/>
      <c r="H11428" s="911">
        <v>0.4</v>
      </c>
      <c r="I11428" s="912">
        <f>VLOOKUP(E11428,[3]VLP!$B$7:$K$300,10,0)</f>
        <v>50000</v>
      </c>
      <c r="J11428" s="912">
        <f>I11428*H11428</f>
        <v>20000</v>
      </c>
      <c r="K11428" s="912" t="s">
        <v>274</v>
      </c>
      <c r="L11428" s="912"/>
      <c r="M11428" s="912"/>
      <c r="N11428" s="912"/>
      <c r="O11428" s="892">
        <f t="shared" si="918"/>
        <v>0</v>
      </c>
      <c r="P11428" s="903">
        <f t="shared" si="914"/>
        <v>1</v>
      </c>
      <c r="Q11428" s="893">
        <f t="shared" si="915"/>
        <v>7</v>
      </c>
      <c r="R11428" s="894">
        <f t="shared" si="916"/>
        <v>0</v>
      </c>
    </row>
    <row r="11429" spans="1:18">
      <c r="A11429" s="905"/>
      <c r="B11429" s="952"/>
      <c r="C11429" s="907">
        <v>318</v>
      </c>
      <c r="D11429" s="907" t="s">
        <v>279</v>
      </c>
      <c r="E11429" s="992" t="s">
        <v>5657</v>
      </c>
      <c r="F11429" s="905" t="s">
        <v>45</v>
      </c>
      <c r="G11429" s="1005"/>
      <c r="H11429" s="911">
        <v>0.3</v>
      </c>
      <c r="I11429" s="912">
        <f>VLOOKUP(E11429,[3]VLP!$B$7:$K$300,10,0)</f>
        <v>25155</v>
      </c>
      <c r="J11429" s="912">
        <f>I11429*H11429</f>
        <v>7546.5</v>
      </c>
      <c r="K11429" s="912" t="s">
        <v>274</v>
      </c>
      <c r="L11429" s="912"/>
      <c r="M11429" s="912"/>
      <c r="N11429" s="912"/>
      <c r="O11429" s="892">
        <f t="shared" si="918"/>
        <v>0</v>
      </c>
      <c r="P11429" s="903">
        <f t="shared" si="914"/>
        <v>1</v>
      </c>
      <c r="Q11429" s="893">
        <f t="shared" si="915"/>
        <v>6</v>
      </c>
      <c r="R11429" s="894">
        <f t="shared" si="916"/>
        <v>0</v>
      </c>
    </row>
    <row r="11430" spans="1:18">
      <c r="A11430" s="905"/>
      <c r="B11430" s="952"/>
      <c r="C11430" s="907">
        <v>313</v>
      </c>
      <c r="D11430" s="907" t="s">
        <v>279</v>
      </c>
      <c r="E11430" s="992" t="s">
        <v>3267</v>
      </c>
      <c r="F11430" s="905" t="s">
        <v>45</v>
      </c>
      <c r="G11430" s="1005"/>
      <c r="H11430" s="911">
        <v>0.2</v>
      </c>
      <c r="I11430" s="912">
        <f>VLOOKUP(E11430,[3]VLP!$B$7:$K$300,10,0)</f>
        <v>30000</v>
      </c>
      <c r="J11430" s="912">
        <f>I11430*H11430</f>
        <v>6000</v>
      </c>
      <c r="K11430" s="912" t="s">
        <v>274</v>
      </c>
      <c r="L11430" s="912"/>
      <c r="M11430" s="912"/>
      <c r="N11430" s="912"/>
      <c r="O11430" s="892">
        <f t="shared" si="918"/>
        <v>0</v>
      </c>
      <c r="P11430" s="903">
        <f t="shared" si="914"/>
        <v>1</v>
      </c>
      <c r="Q11430" s="893">
        <f t="shared" si="915"/>
        <v>5</v>
      </c>
      <c r="R11430" s="894">
        <f t="shared" si="916"/>
        <v>0</v>
      </c>
    </row>
    <row r="11431" spans="1:18">
      <c r="A11431" s="905"/>
      <c r="B11431" s="952"/>
      <c r="C11431" s="907">
        <v>291</v>
      </c>
      <c r="D11431" s="907" t="s">
        <v>279</v>
      </c>
      <c r="E11431" s="992" t="s">
        <v>6111</v>
      </c>
      <c r="F11431" s="905" t="s">
        <v>45</v>
      </c>
      <c r="G11431" s="1005"/>
      <c r="H11431" s="911">
        <v>0.02</v>
      </c>
      <c r="I11431" s="912">
        <f>VLOOKUP(E11431,[3]VLP!$B$7:$K$300,10,0)</f>
        <v>42000</v>
      </c>
      <c r="J11431" s="912">
        <f>I11431*H11431</f>
        <v>840</v>
      </c>
      <c r="K11431" s="912" t="s">
        <v>274</v>
      </c>
      <c r="L11431" s="912"/>
      <c r="M11431" s="912"/>
      <c r="N11431" s="912"/>
      <c r="O11431" s="892">
        <f t="shared" si="918"/>
        <v>0</v>
      </c>
      <c r="P11431" s="903">
        <f t="shared" si="914"/>
        <v>1</v>
      </c>
      <c r="Q11431" s="893">
        <f t="shared" si="915"/>
        <v>4</v>
      </c>
      <c r="R11431" s="894">
        <f t="shared" si="916"/>
        <v>0</v>
      </c>
    </row>
    <row r="11432" spans="1:18" s="904" customFormat="1">
      <c r="A11432" s="905"/>
      <c r="B11432" s="952"/>
      <c r="C11432" s="907">
        <v>311</v>
      </c>
      <c r="D11432" s="907" t="s">
        <v>279</v>
      </c>
      <c r="E11432" s="992" t="s">
        <v>6878</v>
      </c>
      <c r="F11432" s="905" t="s">
        <v>45</v>
      </c>
      <c r="G11432" s="1005"/>
      <c r="H11432" s="911">
        <v>0.1</v>
      </c>
      <c r="I11432" s="912">
        <f>VLOOKUP(E11432,[3]VLP!$B$7:$K$300,10,0)</f>
        <v>73636</v>
      </c>
      <c r="J11432" s="912">
        <f>I11432*H11432</f>
        <v>7363.6</v>
      </c>
      <c r="K11432" s="912" t="s">
        <v>274</v>
      </c>
      <c r="L11432" s="912"/>
      <c r="M11432" s="912"/>
      <c r="N11432" s="912"/>
      <c r="O11432" s="892">
        <f t="shared" si="918"/>
        <v>0</v>
      </c>
      <c r="P11432" s="903">
        <f t="shared" si="914"/>
        <v>1</v>
      </c>
      <c r="Q11432" s="893">
        <f t="shared" si="915"/>
        <v>3</v>
      </c>
      <c r="R11432" s="894">
        <f t="shared" si="916"/>
        <v>0</v>
      </c>
    </row>
    <row r="11433" spans="1:18">
      <c r="A11433" s="895"/>
      <c r="B11433" s="1017"/>
      <c r="C11433" s="897"/>
      <c r="D11433" s="897"/>
      <c r="E11433" s="1002" t="s">
        <v>276</v>
      </c>
      <c r="F11433" s="1003"/>
      <c r="G11433" s="1004"/>
      <c r="H11433" s="901"/>
      <c r="I11433" s="902"/>
      <c r="J11433" s="902"/>
      <c r="K11433" s="912" t="s">
        <v>274</v>
      </c>
      <c r="L11433" s="902"/>
      <c r="M11433" s="902"/>
      <c r="N11433" s="902"/>
      <c r="O11433" s="892">
        <f t="shared" si="918"/>
        <v>0</v>
      </c>
      <c r="P11433" s="903">
        <f t="shared" si="914"/>
        <v>1</v>
      </c>
      <c r="Q11433" s="893">
        <f t="shared" si="915"/>
        <v>2</v>
      </c>
      <c r="R11433" s="894">
        <f t="shared" si="916"/>
        <v>0</v>
      </c>
    </row>
    <row r="11434" spans="1:18" s="904" customFormat="1">
      <c r="A11434" s="905"/>
      <c r="B11434" s="952"/>
      <c r="C11434" s="907">
        <v>740</v>
      </c>
      <c r="D11434" s="907" t="s">
        <v>12</v>
      </c>
      <c r="E11434" s="992" t="s">
        <v>4008</v>
      </c>
      <c r="F11434" s="905" t="s">
        <v>2674</v>
      </c>
      <c r="G11434" s="1005"/>
      <c r="H11434" s="911">
        <v>2.6</v>
      </c>
      <c r="I11434" s="912"/>
      <c r="J11434" s="912"/>
      <c r="K11434" s="912">
        <f>VLOOKUP(E11434,[5]ĐMNC!$A$7:$F$67,4,0)</f>
        <v>221125</v>
      </c>
      <c r="L11434" s="912">
        <f>H11434*K11434</f>
        <v>574925</v>
      </c>
      <c r="M11434" s="912"/>
      <c r="N11434" s="912"/>
      <c r="O11434" s="892">
        <f t="shared" si="918"/>
        <v>0</v>
      </c>
      <c r="P11434" s="903">
        <f t="shared" si="914"/>
        <v>1</v>
      </c>
      <c r="Q11434" s="893">
        <f t="shared" si="915"/>
        <v>1</v>
      </c>
      <c r="R11434" s="894">
        <f t="shared" si="916"/>
        <v>0</v>
      </c>
    </row>
    <row r="11435" spans="1:18">
      <c r="A11435" s="905" t="s">
        <v>6911</v>
      </c>
      <c r="B11435" s="1018" t="s">
        <v>6912</v>
      </c>
      <c r="C11435" s="915"/>
      <c r="D11435" s="915"/>
      <c r="E11435" s="1006" t="s">
        <v>6913</v>
      </c>
      <c r="F11435" s="917" t="s">
        <v>51</v>
      </c>
      <c r="G11435" s="1008"/>
      <c r="H11435" s="919"/>
      <c r="I11435" s="920"/>
      <c r="J11435" s="891">
        <f>SUM(J11436:J11443)</f>
        <v>40410.1</v>
      </c>
      <c r="K11435" s="891"/>
      <c r="L11435" s="891">
        <f>SUM(L11436:L11443)</f>
        <v>619150</v>
      </c>
      <c r="M11435" s="891"/>
      <c r="N11435" s="891">
        <f>SUM(N11436:N11443)</f>
        <v>0</v>
      </c>
      <c r="O11435" s="892">
        <f t="shared" si="918"/>
        <v>1</v>
      </c>
      <c r="P11435" s="903">
        <f t="shared" si="914"/>
        <v>0</v>
      </c>
      <c r="Q11435" s="893">
        <f t="shared" si="915"/>
        <v>0</v>
      </c>
      <c r="R11435" s="894">
        <f t="shared" si="916"/>
        <v>8</v>
      </c>
    </row>
    <row r="11436" spans="1:18">
      <c r="A11436" s="895"/>
      <c r="B11436" s="1019"/>
      <c r="C11436" s="897"/>
      <c r="D11436" s="897"/>
      <c r="E11436" s="1002" t="s">
        <v>108</v>
      </c>
      <c r="F11436" s="1003"/>
      <c r="G11436" s="1004"/>
      <c r="H11436" s="901"/>
      <c r="I11436" s="902"/>
      <c r="J11436" s="902"/>
      <c r="K11436" s="912" t="s">
        <v>274</v>
      </c>
      <c r="L11436" s="902"/>
      <c r="M11436" s="902"/>
      <c r="N11436" s="902"/>
      <c r="O11436" s="892">
        <f t="shared" si="918"/>
        <v>0</v>
      </c>
      <c r="P11436" s="903">
        <f t="shared" si="914"/>
        <v>1</v>
      </c>
      <c r="Q11436" s="893">
        <f t="shared" si="915"/>
        <v>8</v>
      </c>
      <c r="R11436" s="894">
        <f t="shared" si="916"/>
        <v>0</v>
      </c>
    </row>
    <row r="11437" spans="1:18" s="847" customFormat="1">
      <c r="A11437" s="905"/>
      <c r="B11437" s="952"/>
      <c r="C11437" s="907">
        <v>318</v>
      </c>
      <c r="D11437" s="907" t="s">
        <v>279</v>
      </c>
      <c r="E11437" s="992" t="s">
        <v>5657</v>
      </c>
      <c r="F11437" s="905" t="s">
        <v>45</v>
      </c>
      <c r="G11437" s="1005"/>
      <c r="H11437" s="911">
        <v>0.3</v>
      </c>
      <c r="I11437" s="912">
        <f>VLOOKUP(E11437,[3]VLP!$B$7:$K$300,10,0)</f>
        <v>25155</v>
      </c>
      <c r="J11437" s="912">
        <f>I11437*H11437</f>
        <v>7546.5</v>
      </c>
      <c r="K11437" s="912" t="s">
        <v>274</v>
      </c>
      <c r="L11437" s="912"/>
      <c r="M11437" s="912"/>
      <c r="N11437" s="912"/>
      <c r="O11437" s="892">
        <f t="shared" si="918"/>
        <v>0</v>
      </c>
      <c r="P11437" s="903">
        <f t="shared" si="914"/>
        <v>1</v>
      </c>
      <c r="Q11437" s="893">
        <f t="shared" si="915"/>
        <v>7</v>
      </c>
      <c r="R11437" s="894">
        <f t="shared" si="916"/>
        <v>0</v>
      </c>
    </row>
    <row r="11438" spans="1:18" s="904" customFormat="1">
      <c r="A11438" s="905"/>
      <c r="B11438" s="952"/>
      <c r="C11438" s="907">
        <v>320</v>
      </c>
      <c r="D11438" s="907" t="s">
        <v>279</v>
      </c>
      <c r="E11438" s="992" t="s">
        <v>6908</v>
      </c>
      <c r="F11438" s="905" t="s">
        <v>45</v>
      </c>
      <c r="G11438" s="1005"/>
      <c r="H11438" s="911">
        <v>0.4</v>
      </c>
      <c r="I11438" s="912">
        <f>VLOOKUP(E11438,[3]VLP!$B$7:$K$300,10,0)</f>
        <v>50000</v>
      </c>
      <c r="J11438" s="912">
        <f>I11438*H11438</f>
        <v>20000</v>
      </c>
      <c r="K11438" s="912" t="s">
        <v>274</v>
      </c>
      <c r="L11438" s="912"/>
      <c r="M11438" s="912"/>
      <c r="N11438" s="912"/>
      <c r="O11438" s="892">
        <f t="shared" si="918"/>
        <v>0</v>
      </c>
      <c r="P11438" s="903">
        <f t="shared" si="914"/>
        <v>1</v>
      </c>
      <c r="Q11438" s="893">
        <f t="shared" si="915"/>
        <v>6</v>
      </c>
      <c r="R11438" s="894">
        <f t="shared" si="916"/>
        <v>0</v>
      </c>
    </row>
    <row r="11439" spans="1:18">
      <c r="A11439" s="905"/>
      <c r="B11439" s="952"/>
      <c r="C11439" s="907">
        <v>311</v>
      </c>
      <c r="D11439" s="907" t="s">
        <v>279</v>
      </c>
      <c r="E11439" s="992" t="s">
        <v>6878</v>
      </c>
      <c r="F11439" s="905" t="s">
        <v>45</v>
      </c>
      <c r="G11439" s="1005"/>
      <c r="H11439" s="911">
        <v>0.1</v>
      </c>
      <c r="I11439" s="912">
        <f>VLOOKUP(E11439,[3]VLP!$B$7:$K$300,10,0)</f>
        <v>73636</v>
      </c>
      <c r="J11439" s="912">
        <f>I11439*H11439</f>
        <v>7363.6</v>
      </c>
      <c r="K11439" s="912" t="s">
        <v>274</v>
      </c>
      <c r="L11439" s="912"/>
      <c r="M11439" s="912"/>
      <c r="N11439" s="912"/>
      <c r="O11439" s="892">
        <f t="shared" si="918"/>
        <v>0</v>
      </c>
      <c r="P11439" s="903">
        <f t="shared" si="914"/>
        <v>1</v>
      </c>
      <c r="Q11439" s="893">
        <f t="shared" si="915"/>
        <v>5</v>
      </c>
      <c r="R11439" s="894">
        <f t="shared" si="916"/>
        <v>0</v>
      </c>
    </row>
    <row r="11440" spans="1:18">
      <c r="A11440" s="905"/>
      <c r="B11440" s="952"/>
      <c r="C11440" s="907">
        <v>203</v>
      </c>
      <c r="D11440" s="907" t="s">
        <v>279</v>
      </c>
      <c r="E11440" s="992" t="s">
        <v>5656</v>
      </c>
      <c r="F11440" s="905" t="s">
        <v>6796</v>
      </c>
      <c r="G11440" s="1005"/>
      <c r="H11440" s="911">
        <v>0.3</v>
      </c>
      <c r="I11440" s="912">
        <f>VLOOKUP(E11440,[3]VLP!$B$7:$K$300,10,0)</f>
        <v>5000</v>
      </c>
      <c r="J11440" s="912">
        <f>I11440*H11440</f>
        <v>1500</v>
      </c>
      <c r="K11440" s="912" t="s">
        <v>274</v>
      </c>
      <c r="L11440" s="912"/>
      <c r="M11440" s="912"/>
      <c r="N11440" s="912"/>
      <c r="O11440" s="892">
        <f t="shared" si="918"/>
        <v>0</v>
      </c>
      <c r="P11440" s="903">
        <f t="shared" si="914"/>
        <v>1</v>
      </c>
      <c r="Q11440" s="893">
        <f t="shared" si="915"/>
        <v>4</v>
      </c>
      <c r="R11440" s="894">
        <f t="shared" si="916"/>
        <v>0</v>
      </c>
    </row>
    <row r="11441" spans="1:18">
      <c r="A11441" s="905"/>
      <c r="B11441" s="952"/>
      <c r="C11441" s="907">
        <v>315</v>
      </c>
      <c r="D11441" s="907" t="s">
        <v>279</v>
      </c>
      <c r="E11441" s="992" t="s">
        <v>6316</v>
      </c>
      <c r="F11441" s="905" t="s">
        <v>49</v>
      </c>
      <c r="G11441" s="1005"/>
      <c r="H11441" s="911">
        <v>0.5</v>
      </c>
      <c r="I11441" s="912">
        <f>VLOOKUP(E11441,[3]VLP!$B$7:$K$300,10,0)</f>
        <v>8000</v>
      </c>
      <c r="J11441" s="912">
        <f>I11441*H11441</f>
        <v>4000</v>
      </c>
      <c r="K11441" s="912" t="s">
        <v>274</v>
      </c>
      <c r="L11441" s="912"/>
      <c r="M11441" s="912"/>
      <c r="N11441" s="912"/>
      <c r="O11441" s="892">
        <f t="shared" si="918"/>
        <v>0</v>
      </c>
      <c r="P11441" s="903">
        <f t="shared" si="914"/>
        <v>1</v>
      </c>
      <c r="Q11441" s="893">
        <f t="shared" si="915"/>
        <v>3</v>
      </c>
      <c r="R11441" s="894">
        <f t="shared" si="916"/>
        <v>0</v>
      </c>
    </row>
    <row r="11442" spans="1:18">
      <c r="A11442" s="895"/>
      <c r="B11442" s="1017"/>
      <c r="C11442" s="897"/>
      <c r="D11442" s="897"/>
      <c r="E11442" s="1002" t="s">
        <v>276</v>
      </c>
      <c r="F11442" s="1003"/>
      <c r="G11442" s="1004"/>
      <c r="H11442" s="901"/>
      <c r="I11442" s="902"/>
      <c r="J11442" s="902"/>
      <c r="K11442" s="912" t="s">
        <v>274</v>
      </c>
      <c r="L11442" s="902"/>
      <c r="M11442" s="902"/>
      <c r="N11442" s="902"/>
      <c r="O11442" s="892">
        <f t="shared" si="918"/>
        <v>0</v>
      </c>
      <c r="P11442" s="903">
        <f t="shared" si="914"/>
        <v>1</v>
      </c>
      <c r="Q11442" s="893">
        <f t="shared" si="915"/>
        <v>2</v>
      </c>
      <c r="R11442" s="894">
        <f t="shared" si="916"/>
        <v>0</v>
      </c>
    </row>
    <row r="11443" spans="1:18">
      <c r="A11443" s="905"/>
      <c r="B11443" s="952"/>
      <c r="C11443" s="907">
        <v>740</v>
      </c>
      <c r="D11443" s="907" t="s">
        <v>12</v>
      </c>
      <c r="E11443" s="992" t="s">
        <v>4008</v>
      </c>
      <c r="F11443" s="905" t="s">
        <v>2674</v>
      </c>
      <c r="G11443" s="1005"/>
      <c r="H11443" s="911">
        <v>2.8</v>
      </c>
      <c r="I11443" s="912"/>
      <c r="J11443" s="912"/>
      <c r="K11443" s="912">
        <f>VLOOKUP(E11443,[5]ĐMNC!$A$7:$F$67,4,0)</f>
        <v>221125</v>
      </c>
      <c r="L11443" s="912">
        <f>H11443*K11443</f>
        <v>619150</v>
      </c>
      <c r="M11443" s="912"/>
      <c r="N11443" s="912"/>
      <c r="O11443" s="892">
        <f t="shared" si="918"/>
        <v>0</v>
      </c>
      <c r="P11443" s="903">
        <f t="shared" ref="P11443:P11506" si="919">IF(O11443=0,1,0)</f>
        <v>1</v>
      </c>
      <c r="Q11443" s="893">
        <f t="shared" ref="Q11443:Q11506" si="920">IF(P11443=0,0,P11443+Q11444)</f>
        <v>1</v>
      </c>
      <c r="R11443" s="894">
        <f t="shared" ref="R11443:R11506" si="921">IF(Q11443=0,Q11444,0)</f>
        <v>0</v>
      </c>
    </row>
    <row r="11444" spans="1:18">
      <c r="A11444" s="905">
        <v>267</v>
      </c>
      <c r="B11444" s="1018" t="s">
        <v>6914</v>
      </c>
      <c r="C11444" s="915"/>
      <c r="D11444" s="915"/>
      <c r="E11444" s="1006" t="s">
        <v>6915</v>
      </c>
      <c r="F11444" s="917" t="s">
        <v>51</v>
      </c>
      <c r="G11444" s="1008"/>
      <c r="H11444" s="919"/>
      <c r="I11444" s="920"/>
      <c r="J11444" s="891">
        <f>SUM(J11445:J11452)</f>
        <v>53425.599999999999</v>
      </c>
      <c r="K11444" s="891"/>
      <c r="L11444" s="891">
        <f>SUM(L11445:L11452)</f>
        <v>773937.5</v>
      </c>
      <c r="M11444" s="891"/>
      <c r="N11444" s="891">
        <f>SUM(N11445:N11452)</f>
        <v>0</v>
      </c>
      <c r="O11444" s="892">
        <f t="shared" si="918"/>
        <v>1</v>
      </c>
      <c r="P11444" s="903">
        <f t="shared" si="919"/>
        <v>0</v>
      </c>
      <c r="Q11444" s="893">
        <f t="shared" si="920"/>
        <v>0</v>
      </c>
      <c r="R11444" s="894">
        <f t="shared" si="921"/>
        <v>8</v>
      </c>
    </row>
    <row r="11445" spans="1:18">
      <c r="A11445" s="895"/>
      <c r="B11445" s="1017"/>
      <c r="C11445" s="897"/>
      <c r="D11445" s="897"/>
      <c r="E11445" s="1002" t="s">
        <v>108</v>
      </c>
      <c r="F11445" s="1003"/>
      <c r="G11445" s="1004"/>
      <c r="H11445" s="901"/>
      <c r="I11445" s="902"/>
      <c r="J11445" s="902"/>
      <c r="K11445" s="912" t="s">
        <v>274</v>
      </c>
      <c r="L11445" s="902"/>
      <c r="M11445" s="902"/>
      <c r="N11445" s="902"/>
      <c r="O11445" s="892">
        <f t="shared" si="918"/>
        <v>0</v>
      </c>
      <c r="P11445" s="903">
        <f t="shared" si="919"/>
        <v>1</v>
      </c>
      <c r="Q11445" s="893">
        <f t="shared" si="920"/>
        <v>8</v>
      </c>
      <c r="R11445" s="894">
        <f t="shared" si="921"/>
        <v>0</v>
      </c>
    </row>
    <row r="11446" spans="1:18" s="904" customFormat="1">
      <c r="A11446" s="905"/>
      <c r="B11446" s="952"/>
      <c r="C11446" s="907">
        <v>318</v>
      </c>
      <c r="D11446" s="907" t="s">
        <v>279</v>
      </c>
      <c r="E11446" s="992" t="s">
        <v>5657</v>
      </c>
      <c r="F11446" s="905" t="s">
        <v>45</v>
      </c>
      <c r="G11446" s="1005"/>
      <c r="H11446" s="911">
        <v>0.4</v>
      </c>
      <c r="I11446" s="912">
        <f>VLOOKUP(E11446,[3]VLP!$B$7:$K$300,10,0)</f>
        <v>25155</v>
      </c>
      <c r="J11446" s="912">
        <f>I11446*H11446</f>
        <v>10062</v>
      </c>
      <c r="K11446" s="912" t="s">
        <v>274</v>
      </c>
      <c r="L11446" s="912"/>
      <c r="M11446" s="912"/>
      <c r="N11446" s="912"/>
      <c r="O11446" s="892">
        <f t="shared" si="918"/>
        <v>0</v>
      </c>
      <c r="P11446" s="903">
        <f t="shared" si="919"/>
        <v>1</v>
      </c>
      <c r="Q11446" s="893">
        <f t="shared" si="920"/>
        <v>7</v>
      </c>
      <c r="R11446" s="894">
        <f t="shared" si="921"/>
        <v>0</v>
      </c>
    </row>
    <row r="11447" spans="1:18">
      <c r="A11447" s="905"/>
      <c r="B11447" s="952"/>
      <c r="C11447" s="907">
        <v>320</v>
      </c>
      <c r="D11447" s="907" t="s">
        <v>279</v>
      </c>
      <c r="E11447" s="992" t="s">
        <v>6908</v>
      </c>
      <c r="F11447" s="905" t="s">
        <v>45</v>
      </c>
      <c r="G11447" s="1005"/>
      <c r="H11447" s="911">
        <v>0.6</v>
      </c>
      <c r="I11447" s="912">
        <f>VLOOKUP(E11447,[3]VLP!$B$7:$K$300,10,0)</f>
        <v>50000</v>
      </c>
      <c r="J11447" s="912">
        <f>I11447*H11447</f>
        <v>30000</v>
      </c>
      <c r="K11447" s="912" t="s">
        <v>274</v>
      </c>
      <c r="L11447" s="912"/>
      <c r="M11447" s="912"/>
      <c r="N11447" s="912"/>
      <c r="O11447" s="892">
        <f t="shared" si="918"/>
        <v>0</v>
      </c>
      <c r="P11447" s="903">
        <f t="shared" si="919"/>
        <v>1</v>
      </c>
      <c r="Q11447" s="893">
        <f t="shared" si="920"/>
        <v>6</v>
      </c>
      <c r="R11447" s="894">
        <f t="shared" si="921"/>
        <v>0</v>
      </c>
    </row>
    <row r="11448" spans="1:18" s="904" customFormat="1">
      <c r="A11448" s="905"/>
      <c r="B11448" s="952"/>
      <c r="C11448" s="907">
        <v>311</v>
      </c>
      <c r="D11448" s="907" t="s">
        <v>279</v>
      </c>
      <c r="E11448" s="992" t="s">
        <v>6878</v>
      </c>
      <c r="F11448" s="905" t="s">
        <v>45</v>
      </c>
      <c r="G11448" s="1005"/>
      <c r="H11448" s="911">
        <v>0.1</v>
      </c>
      <c r="I11448" s="912">
        <f>VLOOKUP(E11448,[3]VLP!$B$7:$K$300,10,0)</f>
        <v>73636</v>
      </c>
      <c r="J11448" s="912">
        <f>I11448*H11448</f>
        <v>7363.6</v>
      </c>
      <c r="K11448" s="912" t="s">
        <v>274</v>
      </c>
      <c r="L11448" s="912"/>
      <c r="M11448" s="912"/>
      <c r="N11448" s="912"/>
      <c r="O11448" s="892">
        <f t="shared" si="918"/>
        <v>0</v>
      </c>
      <c r="P11448" s="903">
        <f t="shared" si="919"/>
        <v>1</v>
      </c>
      <c r="Q11448" s="893">
        <f t="shared" si="920"/>
        <v>5</v>
      </c>
      <c r="R11448" s="894">
        <f t="shared" si="921"/>
        <v>0</v>
      </c>
    </row>
    <row r="11449" spans="1:18">
      <c r="A11449" s="905"/>
      <c r="B11449" s="952"/>
      <c r="C11449" s="907">
        <v>203</v>
      </c>
      <c r="D11449" s="907" t="s">
        <v>279</v>
      </c>
      <c r="E11449" s="992" t="s">
        <v>5656</v>
      </c>
      <c r="F11449" s="905" t="s">
        <v>6796</v>
      </c>
      <c r="G11449" s="1005"/>
      <c r="H11449" s="911">
        <v>0.4</v>
      </c>
      <c r="I11449" s="912">
        <f>VLOOKUP(E11449,[3]VLP!$B$7:$K$300,10,0)</f>
        <v>5000</v>
      </c>
      <c r="J11449" s="912">
        <f>I11449*H11449</f>
        <v>2000</v>
      </c>
      <c r="K11449" s="912" t="s">
        <v>274</v>
      </c>
      <c r="L11449" s="912"/>
      <c r="M11449" s="912"/>
      <c r="N11449" s="912"/>
      <c r="O11449" s="892">
        <f t="shared" si="918"/>
        <v>0</v>
      </c>
      <c r="P11449" s="903">
        <f t="shared" si="919"/>
        <v>1</v>
      </c>
      <c r="Q11449" s="893">
        <f t="shared" si="920"/>
        <v>4</v>
      </c>
      <c r="R11449" s="894">
        <f t="shared" si="921"/>
        <v>0</v>
      </c>
    </row>
    <row r="11450" spans="1:18">
      <c r="A11450" s="905"/>
      <c r="B11450" s="952"/>
      <c r="C11450" s="907">
        <v>315</v>
      </c>
      <c r="D11450" s="907" t="s">
        <v>279</v>
      </c>
      <c r="E11450" s="992" t="s">
        <v>6316</v>
      </c>
      <c r="F11450" s="905" t="s">
        <v>49</v>
      </c>
      <c r="G11450" s="1005"/>
      <c r="H11450" s="911">
        <v>0.5</v>
      </c>
      <c r="I11450" s="912">
        <f>VLOOKUP(E11450,[3]VLP!$B$7:$K$300,10,0)</f>
        <v>8000</v>
      </c>
      <c r="J11450" s="912">
        <f>I11450*H11450</f>
        <v>4000</v>
      </c>
      <c r="K11450" s="912" t="s">
        <v>274</v>
      </c>
      <c r="L11450" s="912"/>
      <c r="M11450" s="912"/>
      <c r="N11450" s="912"/>
      <c r="O11450" s="892">
        <f t="shared" si="918"/>
        <v>0</v>
      </c>
      <c r="P11450" s="903">
        <f t="shared" si="919"/>
        <v>1</v>
      </c>
      <c r="Q11450" s="893">
        <f t="shared" si="920"/>
        <v>3</v>
      </c>
      <c r="R11450" s="894">
        <f t="shared" si="921"/>
        <v>0</v>
      </c>
    </row>
    <row r="11451" spans="1:18" s="847" customFormat="1">
      <c r="A11451" s="895"/>
      <c r="B11451" s="1017"/>
      <c r="C11451" s="897"/>
      <c r="D11451" s="897"/>
      <c r="E11451" s="1002" t="s">
        <v>276</v>
      </c>
      <c r="F11451" s="1003"/>
      <c r="G11451" s="1004"/>
      <c r="H11451" s="901"/>
      <c r="I11451" s="902"/>
      <c r="J11451" s="902"/>
      <c r="K11451" s="912" t="s">
        <v>274</v>
      </c>
      <c r="L11451" s="902"/>
      <c r="M11451" s="902"/>
      <c r="N11451" s="902"/>
      <c r="O11451" s="892">
        <f t="shared" si="918"/>
        <v>0</v>
      </c>
      <c r="P11451" s="903">
        <f t="shared" si="919"/>
        <v>1</v>
      </c>
      <c r="Q11451" s="893">
        <f t="shared" si="920"/>
        <v>2</v>
      </c>
      <c r="R11451" s="894">
        <f t="shared" si="921"/>
        <v>0</v>
      </c>
    </row>
    <row r="11452" spans="1:18" s="904" customFormat="1">
      <c r="A11452" s="905"/>
      <c r="B11452" s="952"/>
      <c r="C11452" s="907">
        <v>740</v>
      </c>
      <c r="D11452" s="907" t="s">
        <v>12</v>
      </c>
      <c r="E11452" s="992" t="s">
        <v>4008</v>
      </c>
      <c r="F11452" s="905" t="s">
        <v>2674</v>
      </c>
      <c r="G11452" s="1005"/>
      <c r="H11452" s="911">
        <v>3.5</v>
      </c>
      <c r="I11452" s="912"/>
      <c r="J11452" s="912"/>
      <c r="K11452" s="912">
        <f>VLOOKUP(E11452,[5]ĐMNC!$A$7:$F$67,4,0)</f>
        <v>221125</v>
      </c>
      <c r="L11452" s="912">
        <f>H11452*K11452</f>
        <v>773937.5</v>
      </c>
      <c r="M11452" s="912"/>
      <c r="N11452" s="912"/>
      <c r="O11452" s="892">
        <f t="shared" si="918"/>
        <v>0</v>
      </c>
      <c r="P11452" s="903">
        <f t="shared" si="919"/>
        <v>1</v>
      </c>
      <c r="Q11452" s="893">
        <f t="shared" si="920"/>
        <v>1</v>
      </c>
      <c r="R11452" s="894">
        <f t="shared" si="921"/>
        <v>0</v>
      </c>
    </row>
    <row r="11453" spans="1:18">
      <c r="A11453" s="905">
        <v>268</v>
      </c>
      <c r="B11453" s="1018" t="s">
        <v>6916</v>
      </c>
      <c r="C11453" s="915"/>
      <c r="D11453" s="915"/>
      <c r="E11453" s="1006" t="s">
        <v>6917</v>
      </c>
      <c r="F11453" s="917" t="s">
        <v>51</v>
      </c>
      <c r="G11453" s="1008"/>
      <c r="H11453" s="919"/>
      <c r="I11453" s="920"/>
      <c r="J11453" s="891">
        <f>SUM(J11454:J11461)</f>
        <v>53425.599999999999</v>
      </c>
      <c r="K11453" s="891"/>
      <c r="L11453" s="891">
        <f>SUM(L11454:L11461)</f>
        <v>995062.5</v>
      </c>
      <c r="M11453" s="891"/>
      <c r="N11453" s="891">
        <f>SUM(N11454:N11461)</f>
        <v>0</v>
      </c>
      <c r="O11453" s="892">
        <f t="shared" si="918"/>
        <v>1</v>
      </c>
      <c r="P11453" s="903">
        <f t="shared" si="919"/>
        <v>0</v>
      </c>
      <c r="Q11453" s="893">
        <f t="shared" si="920"/>
        <v>0</v>
      </c>
      <c r="R11453" s="894">
        <f t="shared" si="921"/>
        <v>8</v>
      </c>
    </row>
    <row r="11454" spans="1:18">
      <c r="A11454" s="895"/>
      <c r="B11454" s="1017"/>
      <c r="C11454" s="897"/>
      <c r="D11454" s="897"/>
      <c r="E11454" s="1002" t="s">
        <v>108</v>
      </c>
      <c r="F11454" s="1003"/>
      <c r="G11454" s="1004"/>
      <c r="H11454" s="901"/>
      <c r="I11454" s="902"/>
      <c r="J11454" s="902"/>
      <c r="K11454" s="912" t="s">
        <v>274</v>
      </c>
      <c r="L11454" s="902"/>
      <c r="M11454" s="902"/>
      <c r="N11454" s="902"/>
      <c r="O11454" s="892">
        <f t="shared" si="918"/>
        <v>0</v>
      </c>
      <c r="P11454" s="903">
        <f t="shared" si="919"/>
        <v>1</v>
      </c>
      <c r="Q11454" s="893">
        <f t="shared" si="920"/>
        <v>8</v>
      </c>
      <c r="R11454" s="894">
        <f t="shared" si="921"/>
        <v>0</v>
      </c>
    </row>
    <row r="11455" spans="1:18">
      <c r="A11455" s="905"/>
      <c r="B11455" s="952"/>
      <c r="C11455" s="907">
        <v>318</v>
      </c>
      <c r="D11455" s="907" t="s">
        <v>279</v>
      </c>
      <c r="E11455" s="992" t="s">
        <v>5657</v>
      </c>
      <c r="F11455" s="905" t="s">
        <v>45</v>
      </c>
      <c r="G11455" s="1005"/>
      <c r="H11455" s="911">
        <v>0.4</v>
      </c>
      <c r="I11455" s="912">
        <f>VLOOKUP(E11455,[3]VLP!$B$7:$K$300,10,0)</f>
        <v>25155</v>
      </c>
      <c r="J11455" s="912">
        <f>I11455*H11455</f>
        <v>10062</v>
      </c>
      <c r="K11455" s="912" t="s">
        <v>274</v>
      </c>
      <c r="L11455" s="912"/>
      <c r="M11455" s="912"/>
      <c r="N11455" s="912"/>
      <c r="O11455" s="892">
        <f t="shared" si="918"/>
        <v>0</v>
      </c>
      <c r="P11455" s="903">
        <f t="shared" si="919"/>
        <v>1</v>
      </c>
      <c r="Q11455" s="893">
        <f t="shared" si="920"/>
        <v>7</v>
      </c>
      <c r="R11455" s="894">
        <f t="shared" si="921"/>
        <v>0</v>
      </c>
    </row>
    <row r="11456" spans="1:18">
      <c r="A11456" s="905"/>
      <c r="B11456" s="952"/>
      <c r="C11456" s="907">
        <v>320</v>
      </c>
      <c r="D11456" s="907" t="s">
        <v>279</v>
      </c>
      <c r="E11456" s="992" t="s">
        <v>6908</v>
      </c>
      <c r="F11456" s="905" t="s">
        <v>45</v>
      </c>
      <c r="G11456" s="1005"/>
      <c r="H11456" s="911">
        <v>0.6</v>
      </c>
      <c r="I11456" s="912">
        <f>VLOOKUP(E11456,[3]VLP!$B$7:$K$300,10,0)</f>
        <v>50000</v>
      </c>
      <c r="J11456" s="912">
        <f>I11456*H11456</f>
        <v>30000</v>
      </c>
      <c r="K11456" s="912" t="s">
        <v>274</v>
      </c>
      <c r="L11456" s="912"/>
      <c r="M11456" s="912"/>
      <c r="N11456" s="912"/>
      <c r="O11456" s="892">
        <f t="shared" si="918"/>
        <v>0</v>
      </c>
      <c r="P11456" s="903">
        <f t="shared" si="919"/>
        <v>1</v>
      </c>
      <c r="Q11456" s="893">
        <f t="shared" si="920"/>
        <v>6</v>
      </c>
      <c r="R11456" s="894">
        <f t="shared" si="921"/>
        <v>0</v>
      </c>
    </row>
    <row r="11457" spans="1:18">
      <c r="A11457" s="905"/>
      <c r="B11457" s="952"/>
      <c r="C11457" s="907">
        <v>311</v>
      </c>
      <c r="D11457" s="907" t="s">
        <v>279</v>
      </c>
      <c r="E11457" s="992" t="s">
        <v>6878</v>
      </c>
      <c r="F11457" s="905" t="s">
        <v>45</v>
      </c>
      <c r="G11457" s="1005"/>
      <c r="H11457" s="911">
        <v>0.1</v>
      </c>
      <c r="I11457" s="912">
        <f>VLOOKUP(E11457,[3]VLP!$B$7:$K$300,10,0)</f>
        <v>73636</v>
      </c>
      <c r="J11457" s="912">
        <f>I11457*H11457</f>
        <v>7363.6</v>
      </c>
      <c r="K11457" s="912" t="s">
        <v>274</v>
      </c>
      <c r="L11457" s="912"/>
      <c r="M11457" s="912"/>
      <c r="N11457" s="912"/>
      <c r="O11457" s="892">
        <f t="shared" si="918"/>
        <v>0</v>
      </c>
      <c r="P11457" s="903">
        <f t="shared" si="919"/>
        <v>1</v>
      </c>
      <c r="Q11457" s="893">
        <f t="shared" si="920"/>
        <v>5</v>
      </c>
      <c r="R11457" s="894">
        <f t="shared" si="921"/>
        <v>0</v>
      </c>
    </row>
    <row r="11458" spans="1:18">
      <c r="A11458" s="905"/>
      <c r="B11458" s="952"/>
      <c r="C11458" s="907">
        <v>203</v>
      </c>
      <c r="D11458" s="907" t="s">
        <v>279</v>
      </c>
      <c r="E11458" s="992" t="s">
        <v>5656</v>
      </c>
      <c r="F11458" s="905" t="s">
        <v>6796</v>
      </c>
      <c r="G11458" s="1005"/>
      <c r="H11458" s="911">
        <v>0.4</v>
      </c>
      <c r="I11458" s="912">
        <f>VLOOKUP(E11458,[3]VLP!$B$7:$K$300,10,0)</f>
        <v>5000</v>
      </c>
      <c r="J11458" s="912">
        <f>I11458*H11458</f>
        <v>2000</v>
      </c>
      <c r="K11458" s="912" t="s">
        <v>274</v>
      </c>
      <c r="L11458" s="912"/>
      <c r="M11458" s="912"/>
      <c r="N11458" s="912"/>
      <c r="O11458" s="892">
        <f t="shared" si="918"/>
        <v>0</v>
      </c>
      <c r="P11458" s="903">
        <f t="shared" si="919"/>
        <v>1</v>
      </c>
      <c r="Q11458" s="893">
        <f t="shared" si="920"/>
        <v>4</v>
      </c>
      <c r="R11458" s="894">
        <f t="shared" si="921"/>
        <v>0</v>
      </c>
    </row>
    <row r="11459" spans="1:18">
      <c r="A11459" s="905"/>
      <c r="B11459" s="952"/>
      <c r="C11459" s="907">
        <v>315</v>
      </c>
      <c r="D11459" s="907" t="s">
        <v>279</v>
      </c>
      <c r="E11459" s="992" t="s">
        <v>6316</v>
      </c>
      <c r="F11459" s="905" t="s">
        <v>49</v>
      </c>
      <c r="G11459" s="1005"/>
      <c r="H11459" s="911">
        <v>0.5</v>
      </c>
      <c r="I11459" s="912">
        <f>VLOOKUP(E11459,[3]VLP!$B$7:$K$300,10,0)</f>
        <v>8000</v>
      </c>
      <c r="J11459" s="912">
        <f>I11459*H11459</f>
        <v>4000</v>
      </c>
      <c r="K11459" s="912" t="s">
        <v>274</v>
      </c>
      <c r="L11459" s="912"/>
      <c r="M11459" s="912"/>
      <c r="N11459" s="912"/>
      <c r="O11459" s="892">
        <f t="shared" si="918"/>
        <v>0</v>
      </c>
      <c r="P11459" s="903">
        <f t="shared" si="919"/>
        <v>1</v>
      </c>
      <c r="Q11459" s="893">
        <f t="shared" si="920"/>
        <v>3</v>
      </c>
      <c r="R11459" s="894">
        <f t="shared" si="921"/>
        <v>0</v>
      </c>
    </row>
    <row r="11460" spans="1:18" s="904" customFormat="1">
      <c r="A11460" s="895"/>
      <c r="B11460" s="1017"/>
      <c r="C11460" s="897"/>
      <c r="D11460" s="897"/>
      <c r="E11460" s="1002" t="s">
        <v>276</v>
      </c>
      <c r="F11460" s="1003"/>
      <c r="G11460" s="1004"/>
      <c r="H11460" s="901"/>
      <c r="I11460" s="902"/>
      <c r="J11460" s="902"/>
      <c r="K11460" s="912" t="s">
        <v>274</v>
      </c>
      <c r="L11460" s="902"/>
      <c r="M11460" s="902"/>
      <c r="N11460" s="902"/>
      <c r="O11460" s="892">
        <f t="shared" si="918"/>
        <v>0</v>
      </c>
      <c r="P11460" s="903">
        <f t="shared" si="919"/>
        <v>1</v>
      </c>
      <c r="Q11460" s="893">
        <f t="shared" si="920"/>
        <v>2</v>
      </c>
      <c r="R11460" s="894">
        <f t="shared" si="921"/>
        <v>0</v>
      </c>
    </row>
    <row r="11461" spans="1:18">
      <c r="A11461" s="905"/>
      <c r="B11461" s="952"/>
      <c r="C11461" s="907">
        <v>740</v>
      </c>
      <c r="D11461" s="907" t="s">
        <v>12</v>
      </c>
      <c r="E11461" s="992" t="s">
        <v>4008</v>
      </c>
      <c r="F11461" s="905" t="s">
        <v>2674</v>
      </c>
      <c r="G11461" s="1005"/>
      <c r="H11461" s="911">
        <v>4.5</v>
      </c>
      <c r="I11461" s="912"/>
      <c r="J11461" s="912"/>
      <c r="K11461" s="912">
        <f>VLOOKUP(E11461,[5]ĐMNC!$A$7:$F$67,4,0)</f>
        <v>221125</v>
      </c>
      <c r="L11461" s="912">
        <f>H11461*K11461</f>
        <v>995062.5</v>
      </c>
      <c r="M11461" s="912"/>
      <c r="N11461" s="912"/>
      <c r="O11461" s="892">
        <f t="shared" si="918"/>
        <v>0</v>
      </c>
      <c r="P11461" s="903">
        <f t="shared" si="919"/>
        <v>1</v>
      </c>
      <c r="Q11461" s="893">
        <f t="shared" si="920"/>
        <v>1</v>
      </c>
      <c r="R11461" s="894">
        <f t="shared" si="921"/>
        <v>0</v>
      </c>
    </row>
    <row r="11462" spans="1:18" s="904" customFormat="1">
      <c r="A11462" s="905">
        <v>269</v>
      </c>
      <c r="B11462" s="1018" t="s">
        <v>6918</v>
      </c>
      <c r="C11462" s="915"/>
      <c r="D11462" s="915"/>
      <c r="E11462" s="1006" t="s">
        <v>6919</v>
      </c>
      <c r="F11462" s="917" t="s">
        <v>51</v>
      </c>
      <c r="G11462" s="1008"/>
      <c r="H11462" s="919"/>
      <c r="I11462" s="920"/>
      <c r="J11462" s="891">
        <f>SUM(J11463:J11470)</f>
        <v>55941.1</v>
      </c>
      <c r="K11462" s="891"/>
      <c r="L11462" s="891">
        <f>SUM(L11463:L11470)</f>
        <v>1171962.5</v>
      </c>
      <c r="M11462" s="891"/>
      <c r="N11462" s="891">
        <f>SUM(N11463:N11470)</f>
        <v>0</v>
      </c>
      <c r="O11462" s="892">
        <f t="shared" si="918"/>
        <v>1</v>
      </c>
      <c r="P11462" s="903">
        <f t="shared" si="919"/>
        <v>0</v>
      </c>
      <c r="Q11462" s="893">
        <f t="shared" si="920"/>
        <v>0</v>
      </c>
      <c r="R11462" s="894">
        <f t="shared" si="921"/>
        <v>8</v>
      </c>
    </row>
    <row r="11463" spans="1:18">
      <c r="A11463" s="895"/>
      <c r="B11463" s="1017"/>
      <c r="C11463" s="897"/>
      <c r="D11463" s="897"/>
      <c r="E11463" s="1002" t="s">
        <v>108</v>
      </c>
      <c r="F11463" s="1003"/>
      <c r="G11463" s="1004"/>
      <c r="H11463" s="901"/>
      <c r="I11463" s="902"/>
      <c r="J11463" s="902"/>
      <c r="K11463" s="912" t="s">
        <v>274</v>
      </c>
      <c r="L11463" s="902"/>
      <c r="M11463" s="902"/>
      <c r="N11463" s="902"/>
      <c r="O11463" s="892">
        <f t="shared" si="918"/>
        <v>0</v>
      </c>
      <c r="P11463" s="903">
        <f t="shared" si="919"/>
        <v>1</v>
      </c>
      <c r="Q11463" s="893">
        <f t="shared" si="920"/>
        <v>8</v>
      </c>
      <c r="R11463" s="894">
        <f t="shared" si="921"/>
        <v>0</v>
      </c>
    </row>
    <row r="11464" spans="1:18">
      <c r="A11464" s="905"/>
      <c r="B11464" s="952"/>
      <c r="C11464" s="907">
        <v>318</v>
      </c>
      <c r="D11464" s="907" t="s">
        <v>279</v>
      </c>
      <c r="E11464" s="992" t="s">
        <v>5657</v>
      </c>
      <c r="F11464" s="905" t="s">
        <v>45</v>
      </c>
      <c r="G11464" s="1005"/>
      <c r="H11464" s="911">
        <v>0.5</v>
      </c>
      <c r="I11464" s="912">
        <f>VLOOKUP(E11464,[3]VLP!$B$7:$K$300,10,0)</f>
        <v>25155</v>
      </c>
      <c r="J11464" s="912">
        <f>I11464*H11464</f>
        <v>12577.5</v>
      </c>
      <c r="K11464" s="912" t="s">
        <v>274</v>
      </c>
      <c r="L11464" s="912"/>
      <c r="M11464" s="912"/>
      <c r="N11464" s="912"/>
      <c r="O11464" s="892">
        <f t="shared" si="918"/>
        <v>0</v>
      </c>
      <c r="P11464" s="903">
        <f t="shared" si="919"/>
        <v>1</v>
      </c>
      <c r="Q11464" s="893">
        <f t="shared" si="920"/>
        <v>7</v>
      </c>
      <c r="R11464" s="894">
        <f t="shared" si="921"/>
        <v>0</v>
      </c>
    </row>
    <row r="11465" spans="1:18" s="847" customFormat="1">
      <c r="A11465" s="905"/>
      <c r="B11465" s="952"/>
      <c r="C11465" s="907">
        <v>320</v>
      </c>
      <c r="D11465" s="907" t="s">
        <v>279</v>
      </c>
      <c r="E11465" s="992" t="s">
        <v>6908</v>
      </c>
      <c r="F11465" s="905" t="s">
        <v>45</v>
      </c>
      <c r="G11465" s="1005"/>
      <c r="H11465" s="911">
        <v>0.6</v>
      </c>
      <c r="I11465" s="912">
        <f>VLOOKUP(E11465,[3]VLP!$B$7:$K$300,10,0)</f>
        <v>50000</v>
      </c>
      <c r="J11465" s="912">
        <f>I11465*H11465</f>
        <v>30000</v>
      </c>
      <c r="K11465" s="912" t="s">
        <v>274</v>
      </c>
      <c r="L11465" s="912"/>
      <c r="M11465" s="912"/>
      <c r="N11465" s="912"/>
      <c r="O11465" s="892">
        <f t="shared" si="918"/>
        <v>0</v>
      </c>
      <c r="P11465" s="903">
        <f t="shared" si="919"/>
        <v>1</v>
      </c>
      <c r="Q11465" s="893">
        <f t="shared" si="920"/>
        <v>6</v>
      </c>
      <c r="R11465" s="894">
        <f t="shared" si="921"/>
        <v>0</v>
      </c>
    </row>
    <row r="11466" spans="1:18" s="904" customFormat="1">
      <c r="A11466" s="905"/>
      <c r="B11466" s="952"/>
      <c r="C11466" s="907">
        <v>311</v>
      </c>
      <c r="D11466" s="907" t="s">
        <v>279</v>
      </c>
      <c r="E11466" s="992" t="s">
        <v>6878</v>
      </c>
      <c r="F11466" s="905" t="s">
        <v>45</v>
      </c>
      <c r="G11466" s="1005"/>
      <c r="H11466" s="911">
        <v>0.1</v>
      </c>
      <c r="I11466" s="912">
        <f>VLOOKUP(E11466,[3]VLP!$B$7:$K$300,10,0)</f>
        <v>73636</v>
      </c>
      <c r="J11466" s="912">
        <f>I11466*H11466</f>
        <v>7363.6</v>
      </c>
      <c r="K11466" s="912" t="s">
        <v>274</v>
      </c>
      <c r="L11466" s="912"/>
      <c r="M11466" s="912"/>
      <c r="N11466" s="912"/>
      <c r="O11466" s="892">
        <f t="shared" si="918"/>
        <v>0</v>
      </c>
      <c r="P11466" s="903">
        <f t="shared" si="919"/>
        <v>1</v>
      </c>
      <c r="Q11466" s="893">
        <f t="shared" si="920"/>
        <v>5</v>
      </c>
      <c r="R11466" s="894">
        <f t="shared" si="921"/>
        <v>0</v>
      </c>
    </row>
    <row r="11467" spans="1:18">
      <c r="A11467" s="905"/>
      <c r="B11467" s="952"/>
      <c r="C11467" s="907">
        <v>203</v>
      </c>
      <c r="D11467" s="907" t="s">
        <v>279</v>
      </c>
      <c r="E11467" s="992" t="s">
        <v>5656</v>
      </c>
      <c r="F11467" s="905" t="s">
        <v>6796</v>
      </c>
      <c r="G11467" s="1005"/>
      <c r="H11467" s="911">
        <v>0.4</v>
      </c>
      <c r="I11467" s="912">
        <f>VLOOKUP(E11467,[3]VLP!$B$7:$K$300,10,0)</f>
        <v>5000</v>
      </c>
      <c r="J11467" s="912">
        <f>I11467*H11467</f>
        <v>2000</v>
      </c>
      <c r="K11467" s="912" t="s">
        <v>274</v>
      </c>
      <c r="L11467" s="912"/>
      <c r="M11467" s="912"/>
      <c r="N11467" s="912"/>
      <c r="O11467" s="892">
        <f t="shared" si="918"/>
        <v>0</v>
      </c>
      <c r="P11467" s="903">
        <f t="shared" si="919"/>
        <v>1</v>
      </c>
      <c r="Q11467" s="893">
        <f t="shared" si="920"/>
        <v>4</v>
      </c>
      <c r="R11467" s="894">
        <f t="shared" si="921"/>
        <v>0</v>
      </c>
    </row>
    <row r="11468" spans="1:18">
      <c r="A11468" s="905"/>
      <c r="B11468" s="952"/>
      <c r="C11468" s="907">
        <v>315</v>
      </c>
      <c r="D11468" s="907" t="s">
        <v>279</v>
      </c>
      <c r="E11468" s="992" t="s">
        <v>6316</v>
      </c>
      <c r="F11468" s="905" t="s">
        <v>49</v>
      </c>
      <c r="G11468" s="1005"/>
      <c r="H11468" s="911">
        <v>0.5</v>
      </c>
      <c r="I11468" s="912">
        <f>VLOOKUP(E11468,[3]VLP!$B$7:$K$300,10,0)</f>
        <v>8000</v>
      </c>
      <c r="J11468" s="912">
        <f>I11468*H11468</f>
        <v>4000</v>
      </c>
      <c r="K11468" s="912" t="s">
        <v>274</v>
      </c>
      <c r="L11468" s="912"/>
      <c r="M11468" s="912"/>
      <c r="N11468" s="912"/>
      <c r="O11468" s="892">
        <f t="shared" si="918"/>
        <v>0</v>
      </c>
      <c r="P11468" s="903">
        <f t="shared" si="919"/>
        <v>1</v>
      </c>
      <c r="Q11468" s="893">
        <f t="shared" si="920"/>
        <v>3</v>
      </c>
      <c r="R11468" s="894">
        <f t="shared" si="921"/>
        <v>0</v>
      </c>
    </row>
    <row r="11469" spans="1:18">
      <c r="A11469" s="895"/>
      <c r="B11469" s="1017"/>
      <c r="C11469" s="897"/>
      <c r="D11469" s="897"/>
      <c r="E11469" s="1002" t="s">
        <v>276</v>
      </c>
      <c r="F11469" s="1003"/>
      <c r="G11469" s="1004"/>
      <c r="H11469" s="901"/>
      <c r="I11469" s="902"/>
      <c r="J11469" s="902"/>
      <c r="K11469" s="912" t="s">
        <v>274</v>
      </c>
      <c r="L11469" s="902"/>
      <c r="M11469" s="902"/>
      <c r="N11469" s="902"/>
      <c r="O11469" s="892">
        <f t="shared" si="918"/>
        <v>0</v>
      </c>
      <c r="P11469" s="903">
        <f t="shared" si="919"/>
        <v>1</v>
      </c>
      <c r="Q11469" s="893">
        <f t="shared" si="920"/>
        <v>2</v>
      </c>
      <c r="R11469" s="894">
        <f t="shared" si="921"/>
        <v>0</v>
      </c>
    </row>
    <row r="11470" spans="1:18">
      <c r="A11470" s="905"/>
      <c r="B11470" s="952"/>
      <c r="C11470" s="907">
        <v>740</v>
      </c>
      <c r="D11470" s="907" t="s">
        <v>12</v>
      </c>
      <c r="E11470" s="992" t="s">
        <v>4008</v>
      </c>
      <c r="F11470" s="905" t="s">
        <v>2674</v>
      </c>
      <c r="G11470" s="1005"/>
      <c r="H11470" s="911">
        <v>5.3</v>
      </c>
      <c r="I11470" s="912"/>
      <c r="J11470" s="912"/>
      <c r="K11470" s="912">
        <f>VLOOKUP(E11470,[5]ĐMNC!$A$7:$F$67,4,0)</f>
        <v>221125</v>
      </c>
      <c r="L11470" s="912">
        <f>H11470*K11470</f>
        <v>1171962.5</v>
      </c>
      <c r="M11470" s="912"/>
      <c r="N11470" s="912"/>
      <c r="O11470" s="892">
        <f t="shared" si="918"/>
        <v>0</v>
      </c>
      <c r="P11470" s="903">
        <f t="shared" si="919"/>
        <v>1</v>
      </c>
      <c r="Q11470" s="893">
        <f t="shared" si="920"/>
        <v>1</v>
      </c>
      <c r="R11470" s="894">
        <f t="shared" si="921"/>
        <v>0</v>
      </c>
    </row>
    <row r="11471" spans="1:18">
      <c r="A11471" s="905">
        <v>270</v>
      </c>
      <c r="B11471" s="1018" t="s">
        <v>6920</v>
      </c>
      <c r="C11471" s="915"/>
      <c r="D11471" s="915"/>
      <c r="E11471" s="1006" t="s">
        <v>6921</v>
      </c>
      <c r="F11471" s="917" t="s">
        <v>51</v>
      </c>
      <c r="G11471" s="1008"/>
      <c r="H11471" s="919"/>
      <c r="I11471" s="920"/>
      <c r="J11471" s="891">
        <f>SUM(J11472:J11479)</f>
        <v>56441.1</v>
      </c>
      <c r="K11471" s="891"/>
      <c r="L11471" s="891">
        <f>SUM(L11472:L11479)</f>
        <v>1547875</v>
      </c>
      <c r="M11471" s="891"/>
      <c r="N11471" s="891">
        <f>SUM(N11472:N11479)</f>
        <v>0</v>
      </c>
      <c r="O11471" s="892">
        <f t="shared" si="918"/>
        <v>1</v>
      </c>
      <c r="P11471" s="903">
        <f t="shared" si="919"/>
        <v>0</v>
      </c>
      <c r="Q11471" s="893">
        <f t="shared" si="920"/>
        <v>0</v>
      </c>
      <c r="R11471" s="894">
        <f t="shared" si="921"/>
        <v>8</v>
      </c>
    </row>
    <row r="11472" spans="1:18">
      <c r="A11472" s="895"/>
      <c r="B11472" s="1017"/>
      <c r="C11472" s="897"/>
      <c r="D11472" s="897"/>
      <c r="E11472" s="1002" t="s">
        <v>108</v>
      </c>
      <c r="F11472" s="1003"/>
      <c r="G11472" s="1004"/>
      <c r="H11472" s="901"/>
      <c r="I11472" s="902"/>
      <c r="J11472" s="902"/>
      <c r="K11472" s="912" t="s">
        <v>274</v>
      </c>
      <c r="L11472" s="902"/>
      <c r="M11472" s="902"/>
      <c r="N11472" s="902"/>
      <c r="O11472" s="892">
        <f t="shared" si="918"/>
        <v>0</v>
      </c>
      <c r="P11472" s="903">
        <f t="shared" si="919"/>
        <v>1</v>
      </c>
      <c r="Q11472" s="893">
        <f t="shared" si="920"/>
        <v>8</v>
      </c>
      <c r="R11472" s="894">
        <f t="shared" si="921"/>
        <v>0</v>
      </c>
    </row>
    <row r="11473" spans="1:18">
      <c r="A11473" s="905"/>
      <c r="B11473" s="952"/>
      <c r="C11473" s="907">
        <v>318</v>
      </c>
      <c r="D11473" s="907" t="s">
        <v>279</v>
      </c>
      <c r="E11473" s="992" t="s">
        <v>5657</v>
      </c>
      <c r="F11473" s="905" t="s">
        <v>45</v>
      </c>
      <c r="G11473" s="1005"/>
      <c r="H11473" s="911">
        <v>0.5</v>
      </c>
      <c r="I11473" s="912">
        <f>VLOOKUP(E11473,[3]VLP!$B$7:$K$300,10,0)</f>
        <v>25155</v>
      </c>
      <c r="J11473" s="912">
        <f>I11473*H11473</f>
        <v>12577.5</v>
      </c>
      <c r="K11473" s="912" t="s">
        <v>274</v>
      </c>
      <c r="L11473" s="912"/>
      <c r="M11473" s="912"/>
      <c r="N11473" s="912"/>
      <c r="O11473" s="892">
        <f t="shared" si="918"/>
        <v>0</v>
      </c>
      <c r="P11473" s="903">
        <f t="shared" si="919"/>
        <v>1</v>
      </c>
      <c r="Q11473" s="893">
        <f t="shared" si="920"/>
        <v>7</v>
      </c>
      <c r="R11473" s="894">
        <f t="shared" si="921"/>
        <v>0</v>
      </c>
    </row>
    <row r="11474" spans="1:18" s="904" customFormat="1">
      <c r="A11474" s="905"/>
      <c r="B11474" s="952"/>
      <c r="C11474" s="907">
        <v>320</v>
      </c>
      <c r="D11474" s="907" t="s">
        <v>279</v>
      </c>
      <c r="E11474" s="992" t="s">
        <v>6908</v>
      </c>
      <c r="F11474" s="905" t="s">
        <v>45</v>
      </c>
      <c r="G11474" s="1005"/>
      <c r="H11474" s="911">
        <v>0.6</v>
      </c>
      <c r="I11474" s="912">
        <f>VLOOKUP(E11474,[3]VLP!$B$7:$K$300,10,0)</f>
        <v>50000</v>
      </c>
      <c r="J11474" s="912">
        <f>I11474*H11474</f>
        <v>30000</v>
      </c>
      <c r="K11474" s="912" t="s">
        <v>274</v>
      </c>
      <c r="L11474" s="912"/>
      <c r="M11474" s="912"/>
      <c r="N11474" s="912"/>
      <c r="O11474" s="892">
        <f t="shared" si="918"/>
        <v>0</v>
      </c>
      <c r="P11474" s="903">
        <f t="shared" si="919"/>
        <v>1</v>
      </c>
      <c r="Q11474" s="893">
        <f t="shared" si="920"/>
        <v>6</v>
      </c>
      <c r="R11474" s="894">
        <f t="shared" si="921"/>
        <v>0</v>
      </c>
    </row>
    <row r="11475" spans="1:18">
      <c r="A11475" s="905"/>
      <c r="B11475" s="952"/>
      <c r="C11475" s="907">
        <v>311</v>
      </c>
      <c r="D11475" s="907" t="s">
        <v>279</v>
      </c>
      <c r="E11475" s="992" t="s">
        <v>6878</v>
      </c>
      <c r="F11475" s="905" t="s">
        <v>45</v>
      </c>
      <c r="G11475" s="1005"/>
      <c r="H11475" s="911">
        <v>0.1</v>
      </c>
      <c r="I11475" s="912">
        <f>VLOOKUP(E11475,[3]VLP!$B$7:$K$300,10,0)</f>
        <v>73636</v>
      </c>
      <c r="J11475" s="912">
        <f>I11475*H11475</f>
        <v>7363.6</v>
      </c>
      <c r="K11475" s="912" t="s">
        <v>274</v>
      </c>
      <c r="L11475" s="912"/>
      <c r="M11475" s="912"/>
      <c r="N11475" s="912"/>
      <c r="O11475" s="892">
        <f t="shared" si="918"/>
        <v>0</v>
      </c>
      <c r="P11475" s="903">
        <f t="shared" si="919"/>
        <v>1</v>
      </c>
      <c r="Q11475" s="893">
        <f t="shared" si="920"/>
        <v>5</v>
      </c>
      <c r="R11475" s="894">
        <f t="shared" si="921"/>
        <v>0</v>
      </c>
    </row>
    <row r="11476" spans="1:18" s="904" customFormat="1">
      <c r="A11476" s="905"/>
      <c r="B11476" s="952"/>
      <c r="C11476" s="907">
        <v>203</v>
      </c>
      <c r="D11476" s="907" t="s">
        <v>279</v>
      </c>
      <c r="E11476" s="992" t="s">
        <v>5656</v>
      </c>
      <c r="F11476" s="905" t="s">
        <v>6796</v>
      </c>
      <c r="G11476" s="1005"/>
      <c r="H11476" s="911">
        <v>0.5</v>
      </c>
      <c r="I11476" s="912">
        <f>VLOOKUP(E11476,[3]VLP!$B$7:$K$300,10,0)</f>
        <v>5000</v>
      </c>
      <c r="J11476" s="912">
        <f>I11476*H11476</f>
        <v>2500</v>
      </c>
      <c r="K11476" s="912" t="s">
        <v>274</v>
      </c>
      <c r="L11476" s="912"/>
      <c r="M11476" s="912"/>
      <c r="N11476" s="912"/>
      <c r="O11476" s="892">
        <f t="shared" si="918"/>
        <v>0</v>
      </c>
      <c r="P11476" s="903">
        <f t="shared" si="919"/>
        <v>1</v>
      </c>
      <c r="Q11476" s="893">
        <f t="shared" si="920"/>
        <v>4</v>
      </c>
      <c r="R11476" s="894">
        <f t="shared" si="921"/>
        <v>0</v>
      </c>
    </row>
    <row r="11477" spans="1:18">
      <c r="A11477" s="905"/>
      <c r="B11477" s="952"/>
      <c r="C11477" s="907">
        <v>315</v>
      </c>
      <c r="D11477" s="907" t="s">
        <v>279</v>
      </c>
      <c r="E11477" s="992" t="s">
        <v>6316</v>
      </c>
      <c r="F11477" s="905" t="s">
        <v>49</v>
      </c>
      <c r="G11477" s="1005"/>
      <c r="H11477" s="911">
        <v>0.5</v>
      </c>
      <c r="I11477" s="912">
        <f>VLOOKUP(E11477,[3]VLP!$B$7:$K$300,10,0)</f>
        <v>8000</v>
      </c>
      <c r="J11477" s="912">
        <f>I11477*H11477</f>
        <v>4000</v>
      </c>
      <c r="K11477" s="912" t="s">
        <v>274</v>
      </c>
      <c r="L11477" s="912"/>
      <c r="M11477" s="912"/>
      <c r="N11477" s="912"/>
      <c r="O11477" s="892">
        <f t="shared" si="918"/>
        <v>0</v>
      </c>
      <c r="P11477" s="903">
        <f t="shared" si="919"/>
        <v>1</v>
      </c>
      <c r="Q11477" s="893">
        <f t="shared" si="920"/>
        <v>3</v>
      </c>
      <c r="R11477" s="894">
        <f t="shared" si="921"/>
        <v>0</v>
      </c>
    </row>
    <row r="11478" spans="1:18">
      <c r="A11478" s="895"/>
      <c r="B11478" s="1017"/>
      <c r="C11478" s="897"/>
      <c r="D11478" s="897"/>
      <c r="E11478" s="1002" t="s">
        <v>276</v>
      </c>
      <c r="F11478" s="1003"/>
      <c r="G11478" s="1004"/>
      <c r="H11478" s="901"/>
      <c r="I11478" s="902"/>
      <c r="J11478" s="902"/>
      <c r="K11478" s="912" t="s">
        <v>274</v>
      </c>
      <c r="L11478" s="902"/>
      <c r="M11478" s="902"/>
      <c r="N11478" s="902"/>
      <c r="O11478" s="892">
        <f t="shared" si="918"/>
        <v>0</v>
      </c>
      <c r="P11478" s="903">
        <f t="shared" si="919"/>
        <v>1</v>
      </c>
      <c r="Q11478" s="893">
        <f t="shared" si="920"/>
        <v>2</v>
      </c>
      <c r="R11478" s="894">
        <f t="shared" si="921"/>
        <v>0</v>
      </c>
    </row>
    <row r="11479" spans="1:18" s="847" customFormat="1">
      <c r="A11479" s="905"/>
      <c r="B11479" s="952"/>
      <c r="C11479" s="907">
        <v>740</v>
      </c>
      <c r="D11479" s="907" t="s">
        <v>12</v>
      </c>
      <c r="E11479" s="992" t="s">
        <v>4008</v>
      </c>
      <c r="F11479" s="905" t="s">
        <v>2674</v>
      </c>
      <c r="G11479" s="1005"/>
      <c r="H11479" s="911">
        <v>7</v>
      </c>
      <c r="I11479" s="912"/>
      <c r="J11479" s="912"/>
      <c r="K11479" s="912">
        <f>VLOOKUP(E11479,[5]ĐMNC!$A$7:$F$67,4,0)</f>
        <v>221125</v>
      </c>
      <c r="L11479" s="912">
        <f>H11479*K11479</f>
        <v>1547875</v>
      </c>
      <c r="M11479" s="912"/>
      <c r="N11479" s="912"/>
      <c r="O11479" s="892">
        <f t="shared" si="918"/>
        <v>0</v>
      </c>
      <c r="P11479" s="903">
        <f t="shared" si="919"/>
        <v>1</v>
      </c>
      <c r="Q11479" s="893">
        <f t="shared" si="920"/>
        <v>1</v>
      </c>
      <c r="R11479" s="894">
        <f t="shared" si="921"/>
        <v>0</v>
      </c>
    </row>
    <row r="11480" spans="1:18" s="904" customFormat="1">
      <c r="A11480" s="905">
        <v>271</v>
      </c>
      <c r="B11480" s="1018" t="s">
        <v>6922</v>
      </c>
      <c r="C11480" s="915"/>
      <c r="D11480" s="915"/>
      <c r="E11480" s="1006" t="s">
        <v>6923</v>
      </c>
      <c r="F11480" s="917" t="s">
        <v>51</v>
      </c>
      <c r="G11480" s="1008"/>
      <c r="H11480" s="919"/>
      <c r="I11480" s="920"/>
      <c r="J11480" s="891">
        <f>SUM(J11481:J11488)</f>
        <v>56441.1</v>
      </c>
      <c r="K11480" s="891"/>
      <c r="L11480" s="891">
        <f>SUM(L11481:L11488)</f>
        <v>1990125</v>
      </c>
      <c r="M11480" s="891"/>
      <c r="N11480" s="891">
        <f>SUM(N11481:N11488)</f>
        <v>0</v>
      </c>
      <c r="O11480" s="892">
        <f t="shared" si="918"/>
        <v>1</v>
      </c>
      <c r="P11480" s="903">
        <f t="shared" si="919"/>
        <v>0</v>
      </c>
      <c r="Q11480" s="893">
        <f t="shared" si="920"/>
        <v>0</v>
      </c>
      <c r="R11480" s="894">
        <f t="shared" si="921"/>
        <v>8</v>
      </c>
    </row>
    <row r="11481" spans="1:18">
      <c r="A11481" s="895"/>
      <c r="B11481" s="1017"/>
      <c r="C11481" s="897"/>
      <c r="D11481" s="897"/>
      <c r="E11481" s="1002" t="s">
        <v>108</v>
      </c>
      <c r="F11481" s="1003"/>
      <c r="G11481" s="1004"/>
      <c r="H11481" s="901"/>
      <c r="I11481" s="902"/>
      <c r="J11481" s="902"/>
      <c r="K11481" s="912" t="s">
        <v>274</v>
      </c>
      <c r="L11481" s="902"/>
      <c r="M11481" s="902"/>
      <c r="N11481" s="902"/>
      <c r="O11481" s="892">
        <f t="shared" si="918"/>
        <v>0</v>
      </c>
      <c r="P11481" s="903">
        <f t="shared" si="919"/>
        <v>1</v>
      </c>
      <c r="Q11481" s="893">
        <f t="shared" si="920"/>
        <v>8</v>
      </c>
      <c r="R11481" s="894">
        <f t="shared" si="921"/>
        <v>0</v>
      </c>
    </row>
    <row r="11482" spans="1:18">
      <c r="A11482" s="905"/>
      <c r="B11482" s="952"/>
      <c r="C11482" s="907">
        <v>318</v>
      </c>
      <c r="D11482" s="907" t="s">
        <v>279</v>
      </c>
      <c r="E11482" s="992" t="s">
        <v>5657</v>
      </c>
      <c r="F11482" s="905" t="s">
        <v>45</v>
      </c>
      <c r="G11482" s="1005"/>
      <c r="H11482" s="911">
        <v>0.5</v>
      </c>
      <c r="I11482" s="912">
        <f>VLOOKUP(E11482,[3]VLP!$B$7:$K$300,10,0)</f>
        <v>25155</v>
      </c>
      <c r="J11482" s="912">
        <f>I11482*H11482</f>
        <v>12577.5</v>
      </c>
      <c r="K11482" s="912" t="s">
        <v>274</v>
      </c>
      <c r="L11482" s="912"/>
      <c r="M11482" s="912"/>
      <c r="N11482" s="912"/>
      <c r="O11482" s="892">
        <f t="shared" si="918"/>
        <v>0</v>
      </c>
      <c r="P11482" s="903">
        <f t="shared" si="919"/>
        <v>1</v>
      </c>
      <c r="Q11482" s="893">
        <f t="shared" si="920"/>
        <v>7</v>
      </c>
      <c r="R11482" s="894">
        <f t="shared" si="921"/>
        <v>0</v>
      </c>
    </row>
    <row r="11483" spans="1:18">
      <c r="A11483" s="905"/>
      <c r="B11483" s="952"/>
      <c r="C11483" s="907">
        <v>320</v>
      </c>
      <c r="D11483" s="907" t="s">
        <v>279</v>
      </c>
      <c r="E11483" s="992" t="s">
        <v>6908</v>
      </c>
      <c r="F11483" s="905" t="s">
        <v>45</v>
      </c>
      <c r="G11483" s="1005"/>
      <c r="H11483" s="911">
        <v>0.6</v>
      </c>
      <c r="I11483" s="912">
        <f>VLOOKUP(E11483,[3]VLP!$B$7:$K$300,10,0)</f>
        <v>50000</v>
      </c>
      <c r="J11483" s="912">
        <f>I11483*H11483</f>
        <v>30000</v>
      </c>
      <c r="K11483" s="912" t="s">
        <v>274</v>
      </c>
      <c r="L11483" s="912"/>
      <c r="M11483" s="912"/>
      <c r="N11483" s="912"/>
      <c r="O11483" s="892">
        <f t="shared" si="918"/>
        <v>0</v>
      </c>
      <c r="P11483" s="903">
        <f t="shared" si="919"/>
        <v>1</v>
      </c>
      <c r="Q11483" s="893">
        <f t="shared" si="920"/>
        <v>6</v>
      </c>
      <c r="R11483" s="894">
        <f t="shared" si="921"/>
        <v>0</v>
      </c>
    </row>
    <row r="11484" spans="1:18">
      <c r="A11484" s="905"/>
      <c r="B11484" s="952"/>
      <c r="C11484" s="907">
        <v>311</v>
      </c>
      <c r="D11484" s="907" t="s">
        <v>279</v>
      </c>
      <c r="E11484" s="992" t="s">
        <v>6878</v>
      </c>
      <c r="F11484" s="905" t="s">
        <v>45</v>
      </c>
      <c r="G11484" s="1005"/>
      <c r="H11484" s="911">
        <v>0.1</v>
      </c>
      <c r="I11484" s="912">
        <f>VLOOKUP(E11484,[3]VLP!$B$7:$K$300,10,0)</f>
        <v>73636</v>
      </c>
      <c r="J11484" s="912">
        <f>I11484*H11484</f>
        <v>7363.6</v>
      </c>
      <c r="K11484" s="912" t="s">
        <v>274</v>
      </c>
      <c r="L11484" s="912"/>
      <c r="M11484" s="912"/>
      <c r="N11484" s="912"/>
      <c r="O11484" s="892">
        <f t="shared" si="918"/>
        <v>0</v>
      </c>
      <c r="P11484" s="903">
        <f t="shared" si="919"/>
        <v>1</v>
      </c>
      <c r="Q11484" s="893">
        <f t="shared" si="920"/>
        <v>5</v>
      </c>
      <c r="R11484" s="894">
        <f t="shared" si="921"/>
        <v>0</v>
      </c>
    </row>
    <row r="11485" spans="1:18">
      <c r="A11485" s="905"/>
      <c r="B11485" s="952"/>
      <c r="C11485" s="907">
        <v>203</v>
      </c>
      <c r="D11485" s="907" t="s">
        <v>279</v>
      </c>
      <c r="E11485" s="992" t="s">
        <v>5656</v>
      </c>
      <c r="F11485" s="905" t="s">
        <v>6796</v>
      </c>
      <c r="G11485" s="1005"/>
      <c r="H11485" s="911">
        <v>0.5</v>
      </c>
      <c r="I11485" s="912">
        <f>VLOOKUP(E11485,[3]VLP!$B$7:$K$300,10,0)</f>
        <v>5000</v>
      </c>
      <c r="J11485" s="912">
        <f>I11485*H11485</f>
        <v>2500</v>
      </c>
      <c r="K11485" s="912" t="s">
        <v>274</v>
      </c>
      <c r="L11485" s="912"/>
      <c r="M11485" s="912"/>
      <c r="N11485" s="912"/>
      <c r="O11485" s="892">
        <f t="shared" si="918"/>
        <v>0</v>
      </c>
      <c r="P11485" s="903">
        <f t="shared" si="919"/>
        <v>1</v>
      </c>
      <c r="Q11485" s="893">
        <f t="shared" si="920"/>
        <v>4</v>
      </c>
      <c r="R11485" s="894">
        <f t="shared" si="921"/>
        <v>0</v>
      </c>
    </row>
    <row r="11486" spans="1:18">
      <c r="A11486" s="905"/>
      <c r="B11486" s="952"/>
      <c r="C11486" s="907">
        <v>315</v>
      </c>
      <c r="D11486" s="907" t="s">
        <v>279</v>
      </c>
      <c r="E11486" s="992" t="s">
        <v>6316</v>
      </c>
      <c r="F11486" s="905" t="s">
        <v>49</v>
      </c>
      <c r="G11486" s="1005"/>
      <c r="H11486" s="911">
        <v>0.5</v>
      </c>
      <c r="I11486" s="912">
        <f>VLOOKUP(E11486,[3]VLP!$B$7:$K$300,10,0)</f>
        <v>8000</v>
      </c>
      <c r="J11486" s="912">
        <f>I11486*H11486</f>
        <v>4000</v>
      </c>
      <c r="K11486" s="912" t="s">
        <v>274</v>
      </c>
      <c r="L11486" s="912"/>
      <c r="M11486" s="912"/>
      <c r="N11486" s="912"/>
      <c r="O11486" s="892">
        <f t="shared" si="918"/>
        <v>0</v>
      </c>
      <c r="P11486" s="903">
        <f t="shared" si="919"/>
        <v>1</v>
      </c>
      <c r="Q11486" s="893">
        <f t="shared" si="920"/>
        <v>3</v>
      </c>
      <c r="R11486" s="894">
        <f t="shared" si="921"/>
        <v>0</v>
      </c>
    </row>
    <row r="11487" spans="1:18">
      <c r="A11487" s="895"/>
      <c r="B11487" s="1017"/>
      <c r="C11487" s="897"/>
      <c r="D11487" s="897"/>
      <c r="E11487" s="1002" t="s">
        <v>276</v>
      </c>
      <c r="F11487" s="1003"/>
      <c r="G11487" s="1004"/>
      <c r="H11487" s="901"/>
      <c r="I11487" s="902"/>
      <c r="J11487" s="902"/>
      <c r="K11487" s="912" t="s">
        <v>274</v>
      </c>
      <c r="L11487" s="902"/>
      <c r="M11487" s="902"/>
      <c r="N11487" s="902"/>
      <c r="O11487" s="892">
        <f t="shared" ref="O11487:O11550" si="922">IF(AND(B11487&lt;&gt;"",D11487=""),1,0)</f>
        <v>0</v>
      </c>
      <c r="P11487" s="903">
        <f t="shared" si="919"/>
        <v>1</v>
      </c>
      <c r="Q11487" s="893">
        <f t="shared" si="920"/>
        <v>2</v>
      </c>
      <c r="R11487" s="894">
        <f t="shared" si="921"/>
        <v>0</v>
      </c>
    </row>
    <row r="11488" spans="1:18" s="904" customFormat="1">
      <c r="A11488" s="905"/>
      <c r="B11488" s="952"/>
      <c r="C11488" s="907">
        <v>740</v>
      </c>
      <c r="D11488" s="907" t="s">
        <v>12</v>
      </c>
      <c r="E11488" s="992" t="s">
        <v>4008</v>
      </c>
      <c r="F11488" s="905" t="s">
        <v>2674</v>
      </c>
      <c r="G11488" s="1005"/>
      <c r="H11488" s="911">
        <v>9</v>
      </c>
      <c r="I11488" s="912"/>
      <c r="J11488" s="912"/>
      <c r="K11488" s="912">
        <f>VLOOKUP(E11488,[5]ĐMNC!$A$7:$F$67,4,0)</f>
        <v>221125</v>
      </c>
      <c r="L11488" s="912">
        <f>H11488*K11488</f>
        <v>1990125</v>
      </c>
      <c r="M11488" s="912"/>
      <c r="N11488" s="912"/>
      <c r="O11488" s="892">
        <f t="shared" si="922"/>
        <v>0</v>
      </c>
      <c r="P11488" s="903">
        <f t="shared" si="919"/>
        <v>1</v>
      </c>
      <c r="Q11488" s="893">
        <f t="shared" si="920"/>
        <v>1</v>
      </c>
      <c r="R11488" s="894">
        <f t="shared" si="921"/>
        <v>0</v>
      </c>
    </row>
    <row r="11489" spans="1:18">
      <c r="A11489" s="905">
        <v>272</v>
      </c>
      <c r="B11489" s="1018" t="s">
        <v>6924</v>
      </c>
      <c r="C11489" s="915"/>
      <c r="D11489" s="915"/>
      <c r="E11489" s="1006" t="s">
        <v>6925</v>
      </c>
      <c r="F11489" s="917" t="s">
        <v>51</v>
      </c>
      <c r="G11489" s="1008"/>
      <c r="H11489" s="919"/>
      <c r="I11489" s="920"/>
      <c r="J11489" s="891">
        <f>SUM(J11490:J11497)</f>
        <v>68956.600000000006</v>
      </c>
      <c r="K11489" s="891"/>
      <c r="L11489" s="891">
        <f>SUM(L11490:L11497)</f>
        <v>2211250</v>
      </c>
      <c r="M11489" s="891"/>
      <c r="N11489" s="891">
        <f>SUM(N11490:N11497)</f>
        <v>0</v>
      </c>
      <c r="O11489" s="892">
        <f t="shared" si="922"/>
        <v>1</v>
      </c>
      <c r="P11489" s="903">
        <f t="shared" si="919"/>
        <v>0</v>
      </c>
      <c r="Q11489" s="893">
        <f t="shared" si="920"/>
        <v>0</v>
      </c>
      <c r="R11489" s="894">
        <f t="shared" si="921"/>
        <v>8</v>
      </c>
    </row>
    <row r="11490" spans="1:18" s="904" customFormat="1">
      <c r="A11490" s="895"/>
      <c r="B11490" s="1017"/>
      <c r="C11490" s="897"/>
      <c r="D11490" s="897"/>
      <c r="E11490" s="1002" t="s">
        <v>108</v>
      </c>
      <c r="F11490" s="1003"/>
      <c r="G11490" s="1004"/>
      <c r="H11490" s="901"/>
      <c r="I11490" s="902"/>
      <c r="J11490" s="902"/>
      <c r="K11490" s="912" t="s">
        <v>274</v>
      </c>
      <c r="L11490" s="902"/>
      <c r="M11490" s="902"/>
      <c r="N11490" s="902"/>
      <c r="O11490" s="892">
        <f t="shared" si="922"/>
        <v>0</v>
      </c>
      <c r="P11490" s="903">
        <f t="shared" si="919"/>
        <v>1</v>
      </c>
      <c r="Q11490" s="893">
        <f t="shared" si="920"/>
        <v>8</v>
      </c>
      <c r="R11490" s="894">
        <f t="shared" si="921"/>
        <v>0</v>
      </c>
    </row>
    <row r="11491" spans="1:18">
      <c r="A11491" s="905"/>
      <c r="B11491" s="952"/>
      <c r="C11491" s="907">
        <v>318</v>
      </c>
      <c r="D11491" s="907" t="s">
        <v>279</v>
      </c>
      <c r="E11491" s="992" t="s">
        <v>5657</v>
      </c>
      <c r="F11491" s="905" t="s">
        <v>45</v>
      </c>
      <c r="G11491" s="1005"/>
      <c r="H11491" s="911">
        <v>0.6</v>
      </c>
      <c r="I11491" s="912">
        <f>VLOOKUP(E11491,[3]VLP!$B$7:$K$300,10,0)</f>
        <v>25155</v>
      </c>
      <c r="J11491" s="912">
        <f>I11491*H11491</f>
        <v>15093</v>
      </c>
      <c r="K11491" s="912" t="s">
        <v>274</v>
      </c>
      <c r="L11491" s="912"/>
      <c r="M11491" s="912"/>
      <c r="N11491" s="912"/>
      <c r="O11491" s="892">
        <f t="shared" si="922"/>
        <v>0</v>
      </c>
      <c r="P11491" s="903">
        <f t="shared" si="919"/>
        <v>1</v>
      </c>
      <c r="Q11491" s="893">
        <f t="shared" si="920"/>
        <v>7</v>
      </c>
      <c r="R11491" s="894">
        <f t="shared" si="921"/>
        <v>0</v>
      </c>
    </row>
    <row r="11492" spans="1:18">
      <c r="A11492" s="905"/>
      <c r="B11492" s="952"/>
      <c r="C11492" s="907">
        <v>320</v>
      </c>
      <c r="D11492" s="907" t="s">
        <v>279</v>
      </c>
      <c r="E11492" s="992" t="s">
        <v>6908</v>
      </c>
      <c r="F11492" s="905" t="s">
        <v>45</v>
      </c>
      <c r="G11492" s="1005"/>
      <c r="H11492" s="911">
        <v>0.8</v>
      </c>
      <c r="I11492" s="912">
        <f>VLOOKUP(E11492,[3]VLP!$B$7:$K$300,10,0)</f>
        <v>50000</v>
      </c>
      <c r="J11492" s="912">
        <f>I11492*H11492</f>
        <v>40000</v>
      </c>
      <c r="K11492" s="912" t="s">
        <v>274</v>
      </c>
      <c r="L11492" s="912"/>
      <c r="M11492" s="912"/>
      <c r="N11492" s="912"/>
      <c r="O11492" s="892">
        <f t="shared" si="922"/>
        <v>0</v>
      </c>
      <c r="P11492" s="903">
        <f t="shared" si="919"/>
        <v>1</v>
      </c>
      <c r="Q11492" s="893">
        <f t="shared" si="920"/>
        <v>6</v>
      </c>
      <c r="R11492" s="894">
        <f t="shared" si="921"/>
        <v>0</v>
      </c>
    </row>
    <row r="11493" spans="1:18" s="847" customFormat="1">
      <c r="A11493" s="905"/>
      <c r="B11493" s="952"/>
      <c r="C11493" s="907">
        <v>311</v>
      </c>
      <c r="D11493" s="907" t="s">
        <v>279</v>
      </c>
      <c r="E11493" s="992" t="s">
        <v>6878</v>
      </c>
      <c r="F11493" s="905" t="s">
        <v>45</v>
      </c>
      <c r="G11493" s="1005"/>
      <c r="H11493" s="911">
        <v>0.1</v>
      </c>
      <c r="I11493" s="912">
        <f>VLOOKUP(E11493,[3]VLP!$B$7:$K$300,10,0)</f>
        <v>73636</v>
      </c>
      <c r="J11493" s="912">
        <f>I11493*H11493</f>
        <v>7363.6</v>
      </c>
      <c r="K11493" s="912" t="s">
        <v>274</v>
      </c>
      <c r="L11493" s="912"/>
      <c r="M11493" s="912"/>
      <c r="N11493" s="912"/>
      <c r="O11493" s="892">
        <f t="shared" si="922"/>
        <v>0</v>
      </c>
      <c r="P11493" s="903">
        <f t="shared" si="919"/>
        <v>1</v>
      </c>
      <c r="Q11493" s="893">
        <f t="shared" si="920"/>
        <v>5</v>
      </c>
      <c r="R11493" s="894">
        <f t="shared" si="921"/>
        <v>0</v>
      </c>
    </row>
    <row r="11494" spans="1:18" s="904" customFormat="1">
      <c r="A11494" s="905"/>
      <c r="B11494" s="952"/>
      <c r="C11494" s="907">
        <v>203</v>
      </c>
      <c r="D11494" s="907" t="s">
        <v>279</v>
      </c>
      <c r="E11494" s="992" t="s">
        <v>5656</v>
      </c>
      <c r="F11494" s="905" t="s">
        <v>6796</v>
      </c>
      <c r="G11494" s="1005"/>
      <c r="H11494" s="911">
        <v>0.5</v>
      </c>
      <c r="I11494" s="912">
        <f>VLOOKUP(E11494,[3]VLP!$B$7:$K$300,10,0)</f>
        <v>5000</v>
      </c>
      <c r="J11494" s="912">
        <f>I11494*H11494</f>
        <v>2500</v>
      </c>
      <c r="K11494" s="912" t="s">
        <v>274</v>
      </c>
      <c r="L11494" s="912"/>
      <c r="M11494" s="912"/>
      <c r="N11494" s="912"/>
      <c r="O11494" s="892">
        <f t="shared" si="922"/>
        <v>0</v>
      </c>
      <c r="P11494" s="903">
        <f t="shared" si="919"/>
        <v>1</v>
      </c>
      <c r="Q11494" s="893">
        <f t="shared" si="920"/>
        <v>4</v>
      </c>
      <c r="R11494" s="894">
        <f t="shared" si="921"/>
        <v>0</v>
      </c>
    </row>
    <row r="11495" spans="1:18">
      <c r="A11495" s="905"/>
      <c r="B11495" s="952"/>
      <c r="C11495" s="907">
        <v>315</v>
      </c>
      <c r="D11495" s="907" t="s">
        <v>279</v>
      </c>
      <c r="E11495" s="992" t="s">
        <v>6316</v>
      </c>
      <c r="F11495" s="905" t="s">
        <v>49</v>
      </c>
      <c r="G11495" s="1005"/>
      <c r="H11495" s="911">
        <v>0.5</v>
      </c>
      <c r="I11495" s="912">
        <f>VLOOKUP(E11495,[3]VLP!$B$7:$K$300,10,0)</f>
        <v>8000</v>
      </c>
      <c r="J11495" s="912">
        <f>I11495*H11495</f>
        <v>4000</v>
      </c>
      <c r="K11495" s="912" t="s">
        <v>274</v>
      </c>
      <c r="L11495" s="912"/>
      <c r="M11495" s="912"/>
      <c r="N11495" s="912"/>
      <c r="O11495" s="892">
        <f t="shared" si="922"/>
        <v>0</v>
      </c>
      <c r="P11495" s="903">
        <f t="shared" si="919"/>
        <v>1</v>
      </c>
      <c r="Q11495" s="893">
        <f t="shared" si="920"/>
        <v>3</v>
      </c>
      <c r="R11495" s="894">
        <f t="shared" si="921"/>
        <v>0</v>
      </c>
    </row>
    <row r="11496" spans="1:18">
      <c r="A11496" s="895"/>
      <c r="B11496" s="1017"/>
      <c r="C11496" s="897"/>
      <c r="D11496" s="897"/>
      <c r="E11496" s="1002" t="s">
        <v>276</v>
      </c>
      <c r="F11496" s="1003"/>
      <c r="G11496" s="1004"/>
      <c r="H11496" s="901"/>
      <c r="I11496" s="902"/>
      <c r="J11496" s="902"/>
      <c r="K11496" s="912" t="s">
        <v>274</v>
      </c>
      <c r="L11496" s="902"/>
      <c r="M11496" s="902"/>
      <c r="N11496" s="902"/>
      <c r="O11496" s="892">
        <f t="shared" si="922"/>
        <v>0</v>
      </c>
      <c r="P11496" s="903">
        <f t="shared" si="919"/>
        <v>1</v>
      </c>
      <c r="Q11496" s="893">
        <f t="shared" si="920"/>
        <v>2</v>
      </c>
      <c r="R11496" s="894">
        <f t="shared" si="921"/>
        <v>0</v>
      </c>
    </row>
    <row r="11497" spans="1:18">
      <c r="A11497" s="905"/>
      <c r="B11497" s="952"/>
      <c r="C11497" s="907">
        <v>740</v>
      </c>
      <c r="D11497" s="907" t="s">
        <v>12</v>
      </c>
      <c r="E11497" s="992" t="s">
        <v>4008</v>
      </c>
      <c r="F11497" s="905" t="s">
        <v>2674</v>
      </c>
      <c r="G11497" s="1005"/>
      <c r="H11497" s="911">
        <v>10</v>
      </c>
      <c r="I11497" s="912"/>
      <c r="J11497" s="912"/>
      <c r="K11497" s="912">
        <f>VLOOKUP(E11497,[5]ĐMNC!$A$7:$F$67,4,0)</f>
        <v>221125</v>
      </c>
      <c r="L11497" s="912">
        <f>H11497*K11497</f>
        <v>2211250</v>
      </c>
      <c r="M11497" s="912"/>
      <c r="N11497" s="912"/>
      <c r="O11497" s="892">
        <f t="shared" si="922"/>
        <v>0</v>
      </c>
      <c r="P11497" s="903">
        <f t="shared" si="919"/>
        <v>1</v>
      </c>
      <c r="Q11497" s="893">
        <f t="shared" si="920"/>
        <v>1</v>
      </c>
      <c r="R11497" s="894">
        <f t="shared" si="921"/>
        <v>0</v>
      </c>
    </row>
    <row r="11498" spans="1:18">
      <c r="A11498" s="905">
        <v>273</v>
      </c>
      <c r="B11498" s="1018" t="s">
        <v>6926</v>
      </c>
      <c r="C11498" s="915"/>
      <c r="D11498" s="915"/>
      <c r="E11498" s="1006" t="s">
        <v>6927</v>
      </c>
      <c r="F11498" s="917" t="s">
        <v>51</v>
      </c>
      <c r="G11498" s="1008"/>
      <c r="H11498" s="919"/>
      <c r="I11498" s="920"/>
      <c r="J11498" s="891">
        <f>SUM(J11499:J11506)</f>
        <v>71472.100000000006</v>
      </c>
      <c r="K11498" s="891"/>
      <c r="L11498" s="891">
        <f>SUM(L11499:L11506)</f>
        <v>2874625</v>
      </c>
      <c r="M11498" s="891"/>
      <c r="N11498" s="891">
        <f>SUM(N11499:N11506)</f>
        <v>0</v>
      </c>
      <c r="O11498" s="892">
        <f t="shared" si="922"/>
        <v>1</v>
      </c>
      <c r="P11498" s="903">
        <f t="shared" si="919"/>
        <v>0</v>
      </c>
      <c r="Q11498" s="893">
        <f t="shared" si="920"/>
        <v>0</v>
      </c>
      <c r="R11498" s="894">
        <f t="shared" si="921"/>
        <v>8</v>
      </c>
    </row>
    <row r="11499" spans="1:18">
      <c r="A11499" s="895"/>
      <c r="B11499" s="1017"/>
      <c r="C11499" s="897"/>
      <c r="D11499" s="897"/>
      <c r="E11499" s="1002" t="s">
        <v>108</v>
      </c>
      <c r="F11499" s="1003"/>
      <c r="G11499" s="1004"/>
      <c r="H11499" s="901"/>
      <c r="I11499" s="902"/>
      <c r="J11499" s="902"/>
      <c r="K11499" s="912" t="s">
        <v>274</v>
      </c>
      <c r="L11499" s="902"/>
      <c r="M11499" s="902"/>
      <c r="N11499" s="902"/>
      <c r="O11499" s="892">
        <f t="shared" si="922"/>
        <v>0</v>
      </c>
      <c r="P11499" s="903">
        <f t="shared" si="919"/>
        <v>1</v>
      </c>
      <c r="Q11499" s="893">
        <f t="shared" si="920"/>
        <v>8</v>
      </c>
      <c r="R11499" s="894">
        <f t="shared" si="921"/>
        <v>0</v>
      </c>
    </row>
    <row r="11500" spans="1:18">
      <c r="A11500" s="905"/>
      <c r="B11500" s="952"/>
      <c r="C11500" s="907">
        <v>318</v>
      </c>
      <c r="D11500" s="907" t="s">
        <v>279</v>
      </c>
      <c r="E11500" s="992" t="s">
        <v>5657</v>
      </c>
      <c r="F11500" s="905" t="s">
        <v>45</v>
      </c>
      <c r="G11500" s="1005"/>
      <c r="H11500" s="911">
        <v>0.7</v>
      </c>
      <c r="I11500" s="912">
        <f>VLOOKUP(E11500,[3]VLP!$B$7:$K$300,10,0)</f>
        <v>25155</v>
      </c>
      <c r="J11500" s="912">
        <f>I11500*H11500</f>
        <v>17608.5</v>
      </c>
      <c r="K11500" s="912" t="s">
        <v>274</v>
      </c>
      <c r="L11500" s="912"/>
      <c r="M11500" s="912"/>
      <c r="N11500" s="912"/>
      <c r="O11500" s="892">
        <f t="shared" si="922"/>
        <v>0</v>
      </c>
      <c r="P11500" s="903">
        <f t="shared" si="919"/>
        <v>1</v>
      </c>
      <c r="Q11500" s="893">
        <f t="shared" si="920"/>
        <v>7</v>
      </c>
      <c r="R11500" s="894">
        <f t="shared" si="921"/>
        <v>0</v>
      </c>
    </row>
    <row r="11501" spans="1:18">
      <c r="A11501" s="905"/>
      <c r="B11501" s="952"/>
      <c r="C11501" s="907">
        <v>320</v>
      </c>
      <c r="D11501" s="907" t="s">
        <v>279</v>
      </c>
      <c r="E11501" s="992" t="s">
        <v>6908</v>
      </c>
      <c r="F11501" s="905" t="s">
        <v>45</v>
      </c>
      <c r="G11501" s="1005"/>
      <c r="H11501" s="911">
        <v>0.8</v>
      </c>
      <c r="I11501" s="912">
        <f>VLOOKUP(E11501,[3]VLP!$B$7:$K$300,10,0)</f>
        <v>50000</v>
      </c>
      <c r="J11501" s="912">
        <f>I11501*H11501</f>
        <v>40000</v>
      </c>
      <c r="K11501" s="912" t="s">
        <v>274</v>
      </c>
      <c r="L11501" s="912"/>
      <c r="M11501" s="912"/>
      <c r="N11501" s="912"/>
      <c r="O11501" s="892">
        <f t="shared" si="922"/>
        <v>0</v>
      </c>
      <c r="P11501" s="903">
        <f t="shared" si="919"/>
        <v>1</v>
      </c>
      <c r="Q11501" s="893">
        <f t="shared" si="920"/>
        <v>6</v>
      </c>
      <c r="R11501" s="894">
        <f t="shared" si="921"/>
        <v>0</v>
      </c>
    </row>
    <row r="11502" spans="1:18" s="904" customFormat="1">
      <c r="A11502" s="905"/>
      <c r="B11502" s="952"/>
      <c r="C11502" s="907">
        <v>311</v>
      </c>
      <c r="D11502" s="907" t="s">
        <v>279</v>
      </c>
      <c r="E11502" s="992" t="s">
        <v>6878</v>
      </c>
      <c r="F11502" s="905" t="s">
        <v>45</v>
      </c>
      <c r="G11502" s="1005"/>
      <c r="H11502" s="911">
        <v>0.1</v>
      </c>
      <c r="I11502" s="912">
        <f>VLOOKUP(E11502,[3]VLP!$B$7:$K$300,10,0)</f>
        <v>73636</v>
      </c>
      <c r="J11502" s="912">
        <f>I11502*H11502</f>
        <v>7363.6</v>
      </c>
      <c r="K11502" s="912" t="s">
        <v>274</v>
      </c>
      <c r="L11502" s="912"/>
      <c r="M11502" s="912"/>
      <c r="N11502" s="912"/>
      <c r="O11502" s="892">
        <f t="shared" si="922"/>
        <v>0</v>
      </c>
      <c r="P11502" s="903">
        <f t="shared" si="919"/>
        <v>1</v>
      </c>
      <c r="Q11502" s="893">
        <f t="shared" si="920"/>
        <v>5</v>
      </c>
      <c r="R11502" s="894">
        <f t="shared" si="921"/>
        <v>0</v>
      </c>
    </row>
    <row r="11503" spans="1:18">
      <c r="A11503" s="905"/>
      <c r="B11503" s="952"/>
      <c r="C11503" s="907">
        <v>203</v>
      </c>
      <c r="D11503" s="907" t="s">
        <v>279</v>
      </c>
      <c r="E11503" s="992" t="s">
        <v>5656</v>
      </c>
      <c r="F11503" s="905" t="s">
        <v>6796</v>
      </c>
      <c r="G11503" s="1005"/>
      <c r="H11503" s="911">
        <v>0.5</v>
      </c>
      <c r="I11503" s="912">
        <f>VLOOKUP(E11503,[3]VLP!$B$7:$K$300,10,0)</f>
        <v>5000</v>
      </c>
      <c r="J11503" s="912">
        <f>I11503*H11503</f>
        <v>2500</v>
      </c>
      <c r="K11503" s="912" t="s">
        <v>274</v>
      </c>
      <c r="L11503" s="912"/>
      <c r="M11503" s="912"/>
      <c r="N11503" s="912"/>
      <c r="O11503" s="892">
        <f t="shared" si="922"/>
        <v>0</v>
      </c>
      <c r="P11503" s="903">
        <f t="shared" si="919"/>
        <v>1</v>
      </c>
      <c r="Q11503" s="893">
        <f t="shared" si="920"/>
        <v>4</v>
      </c>
      <c r="R11503" s="894">
        <f t="shared" si="921"/>
        <v>0</v>
      </c>
    </row>
    <row r="11504" spans="1:18" s="904" customFormat="1">
      <c r="A11504" s="905"/>
      <c r="B11504" s="952"/>
      <c r="C11504" s="907">
        <v>315</v>
      </c>
      <c r="D11504" s="907" t="s">
        <v>279</v>
      </c>
      <c r="E11504" s="992" t="s">
        <v>6316</v>
      </c>
      <c r="F11504" s="905" t="s">
        <v>49</v>
      </c>
      <c r="G11504" s="1005"/>
      <c r="H11504" s="911">
        <v>0.5</v>
      </c>
      <c r="I11504" s="912">
        <f>VLOOKUP(E11504,[3]VLP!$B$7:$K$300,10,0)</f>
        <v>8000</v>
      </c>
      <c r="J11504" s="912">
        <f>I11504*H11504</f>
        <v>4000</v>
      </c>
      <c r="K11504" s="912" t="s">
        <v>274</v>
      </c>
      <c r="L11504" s="912"/>
      <c r="M11504" s="912"/>
      <c r="N11504" s="912"/>
      <c r="O11504" s="892">
        <f t="shared" si="922"/>
        <v>0</v>
      </c>
      <c r="P11504" s="903">
        <f t="shared" si="919"/>
        <v>1</v>
      </c>
      <c r="Q11504" s="893">
        <f t="shared" si="920"/>
        <v>3</v>
      </c>
      <c r="R11504" s="894">
        <f t="shared" si="921"/>
        <v>0</v>
      </c>
    </row>
    <row r="11505" spans="1:18">
      <c r="A11505" s="895"/>
      <c r="B11505" s="1017"/>
      <c r="C11505" s="897"/>
      <c r="D11505" s="897"/>
      <c r="E11505" s="1002" t="s">
        <v>276</v>
      </c>
      <c r="F11505" s="1003"/>
      <c r="G11505" s="1004"/>
      <c r="H11505" s="901"/>
      <c r="I11505" s="902"/>
      <c r="J11505" s="902"/>
      <c r="K11505" s="912" t="s">
        <v>274</v>
      </c>
      <c r="L11505" s="902"/>
      <c r="M11505" s="902"/>
      <c r="N11505" s="902"/>
      <c r="O11505" s="892">
        <f t="shared" si="922"/>
        <v>0</v>
      </c>
      <c r="P11505" s="903">
        <f t="shared" si="919"/>
        <v>1</v>
      </c>
      <c r="Q11505" s="893">
        <f t="shared" si="920"/>
        <v>2</v>
      </c>
      <c r="R11505" s="894">
        <f t="shared" si="921"/>
        <v>0</v>
      </c>
    </row>
    <row r="11506" spans="1:18">
      <c r="A11506" s="905"/>
      <c r="B11506" s="952"/>
      <c r="C11506" s="907">
        <v>740</v>
      </c>
      <c r="D11506" s="907" t="s">
        <v>12</v>
      </c>
      <c r="E11506" s="992" t="s">
        <v>4008</v>
      </c>
      <c r="F11506" s="905" t="s">
        <v>2674</v>
      </c>
      <c r="G11506" s="1005"/>
      <c r="H11506" s="911">
        <v>13</v>
      </c>
      <c r="I11506" s="912"/>
      <c r="J11506" s="912"/>
      <c r="K11506" s="912">
        <f>VLOOKUP(E11506,[5]ĐMNC!$A$7:$F$67,4,0)</f>
        <v>221125</v>
      </c>
      <c r="L11506" s="912">
        <f>H11506*K11506</f>
        <v>2874625</v>
      </c>
      <c r="M11506" s="912"/>
      <c r="N11506" s="912"/>
      <c r="O11506" s="892">
        <f t="shared" si="922"/>
        <v>0</v>
      </c>
      <c r="P11506" s="903">
        <f t="shared" si="919"/>
        <v>1</v>
      </c>
      <c r="Q11506" s="893">
        <f t="shared" si="920"/>
        <v>1</v>
      </c>
      <c r="R11506" s="894">
        <f t="shared" si="921"/>
        <v>0</v>
      </c>
    </row>
    <row r="11507" spans="1:18" s="847" customFormat="1">
      <c r="A11507" s="905">
        <v>274</v>
      </c>
      <c r="B11507" s="1018" t="s">
        <v>6928</v>
      </c>
      <c r="C11507" s="915"/>
      <c r="D11507" s="915"/>
      <c r="E11507" s="1006" t="s">
        <v>6929</v>
      </c>
      <c r="F11507" s="917" t="s">
        <v>51</v>
      </c>
      <c r="G11507" s="1008"/>
      <c r="H11507" s="919"/>
      <c r="I11507" s="920"/>
      <c r="J11507" s="891">
        <f>SUM(J11508:J11515)</f>
        <v>71472.100000000006</v>
      </c>
      <c r="K11507" s="891"/>
      <c r="L11507" s="891">
        <f>SUM(L11508:L11515)</f>
        <v>3648562.5</v>
      </c>
      <c r="M11507" s="891"/>
      <c r="N11507" s="891">
        <f>SUM(N11508:N11515)</f>
        <v>0</v>
      </c>
      <c r="O11507" s="892">
        <f t="shared" si="922"/>
        <v>1</v>
      </c>
      <c r="P11507" s="903">
        <f t="shared" ref="P11507:P11570" si="923">IF(O11507=0,1,0)</f>
        <v>0</v>
      </c>
      <c r="Q11507" s="893">
        <f t="shared" ref="Q11507:Q11570" si="924">IF(P11507=0,0,P11507+Q11508)</f>
        <v>0</v>
      </c>
      <c r="R11507" s="894">
        <f t="shared" ref="R11507:R11570" si="925">IF(Q11507=0,Q11508,0)</f>
        <v>8</v>
      </c>
    </row>
    <row r="11508" spans="1:18" s="904" customFormat="1">
      <c r="A11508" s="895"/>
      <c r="B11508" s="1017"/>
      <c r="C11508" s="897"/>
      <c r="D11508" s="897"/>
      <c r="E11508" s="1002" t="s">
        <v>108</v>
      </c>
      <c r="F11508" s="1003"/>
      <c r="G11508" s="1004"/>
      <c r="H11508" s="901"/>
      <c r="I11508" s="902"/>
      <c r="J11508" s="902"/>
      <c r="K11508" s="912" t="s">
        <v>274</v>
      </c>
      <c r="L11508" s="902"/>
      <c r="M11508" s="902"/>
      <c r="N11508" s="902"/>
      <c r="O11508" s="892">
        <f t="shared" si="922"/>
        <v>0</v>
      </c>
      <c r="P11508" s="903">
        <f t="shared" si="923"/>
        <v>1</v>
      </c>
      <c r="Q11508" s="893">
        <f t="shared" si="924"/>
        <v>8</v>
      </c>
      <c r="R11508" s="894">
        <f t="shared" si="925"/>
        <v>0</v>
      </c>
    </row>
    <row r="11509" spans="1:18">
      <c r="A11509" s="905"/>
      <c r="B11509" s="952"/>
      <c r="C11509" s="907">
        <v>318</v>
      </c>
      <c r="D11509" s="907" t="s">
        <v>279</v>
      </c>
      <c r="E11509" s="992" t="s">
        <v>5657</v>
      </c>
      <c r="F11509" s="905" t="s">
        <v>45</v>
      </c>
      <c r="G11509" s="1005"/>
      <c r="H11509" s="911">
        <v>0.7</v>
      </c>
      <c r="I11509" s="912">
        <f>VLOOKUP(E11509,[3]VLP!$B$7:$K$300,10,0)</f>
        <v>25155</v>
      </c>
      <c r="J11509" s="912">
        <f>I11509*H11509</f>
        <v>17608.5</v>
      </c>
      <c r="K11509" s="912" t="s">
        <v>274</v>
      </c>
      <c r="L11509" s="912"/>
      <c r="M11509" s="912"/>
      <c r="N11509" s="912"/>
      <c r="O11509" s="892">
        <f t="shared" si="922"/>
        <v>0</v>
      </c>
      <c r="P11509" s="903">
        <f t="shared" si="923"/>
        <v>1</v>
      </c>
      <c r="Q11509" s="893">
        <f t="shared" si="924"/>
        <v>7</v>
      </c>
      <c r="R11509" s="894">
        <f t="shared" si="925"/>
        <v>0</v>
      </c>
    </row>
    <row r="11510" spans="1:18">
      <c r="A11510" s="905"/>
      <c r="B11510" s="952"/>
      <c r="C11510" s="907">
        <v>320</v>
      </c>
      <c r="D11510" s="907" t="s">
        <v>279</v>
      </c>
      <c r="E11510" s="992" t="s">
        <v>6908</v>
      </c>
      <c r="F11510" s="905" t="s">
        <v>45</v>
      </c>
      <c r="G11510" s="1005"/>
      <c r="H11510" s="911">
        <v>0.8</v>
      </c>
      <c r="I11510" s="912">
        <f>VLOOKUP(E11510,[3]VLP!$B$7:$K$300,10,0)</f>
        <v>50000</v>
      </c>
      <c r="J11510" s="912">
        <f>I11510*H11510</f>
        <v>40000</v>
      </c>
      <c r="K11510" s="912" t="s">
        <v>274</v>
      </c>
      <c r="L11510" s="912"/>
      <c r="M11510" s="912"/>
      <c r="N11510" s="912"/>
      <c r="O11510" s="892">
        <f t="shared" si="922"/>
        <v>0</v>
      </c>
      <c r="P11510" s="903">
        <f t="shared" si="923"/>
        <v>1</v>
      </c>
      <c r="Q11510" s="893">
        <f t="shared" si="924"/>
        <v>6</v>
      </c>
      <c r="R11510" s="894">
        <f t="shared" si="925"/>
        <v>0</v>
      </c>
    </row>
    <row r="11511" spans="1:18">
      <c r="A11511" s="905"/>
      <c r="B11511" s="952"/>
      <c r="C11511" s="907">
        <v>311</v>
      </c>
      <c r="D11511" s="907" t="s">
        <v>279</v>
      </c>
      <c r="E11511" s="992" t="s">
        <v>6878</v>
      </c>
      <c r="F11511" s="905" t="s">
        <v>45</v>
      </c>
      <c r="G11511" s="1005"/>
      <c r="H11511" s="911">
        <v>0.1</v>
      </c>
      <c r="I11511" s="912">
        <f>VLOOKUP(E11511,[3]VLP!$B$7:$K$300,10,0)</f>
        <v>73636</v>
      </c>
      <c r="J11511" s="912">
        <f>I11511*H11511</f>
        <v>7363.6</v>
      </c>
      <c r="K11511" s="912" t="s">
        <v>274</v>
      </c>
      <c r="L11511" s="912"/>
      <c r="M11511" s="912"/>
      <c r="N11511" s="912"/>
      <c r="O11511" s="892">
        <f t="shared" si="922"/>
        <v>0</v>
      </c>
      <c r="P11511" s="903">
        <f t="shared" si="923"/>
        <v>1</v>
      </c>
      <c r="Q11511" s="893">
        <f t="shared" si="924"/>
        <v>5</v>
      </c>
      <c r="R11511" s="894">
        <f t="shared" si="925"/>
        <v>0</v>
      </c>
    </row>
    <row r="11512" spans="1:18">
      <c r="A11512" s="905"/>
      <c r="B11512" s="952"/>
      <c r="C11512" s="907">
        <v>203</v>
      </c>
      <c r="D11512" s="907" t="s">
        <v>279</v>
      </c>
      <c r="E11512" s="992" t="s">
        <v>5656</v>
      </c>
      <c r="F11512" s="905" t="s">
        <v>6796</v>
      </c>
      <c r="G11512" s="1005"/>
      <c r="H11512" s="911">
        <v>0.5</v>
      </c>
      <c r="I11512" s="912">
        <f>VLOOKUP(E11512,[3]VLP!$B$7:$K$300,10,0)</f>
        <v>5000</v>
      </c>
      <c r="J11512" s="912">
        <f>I11512*H11512</f>
        <v>2500</v>
      </c>
      <c r="K11512" s="912" t="s">
        <v>274</v>
      </c>
      <c r="L11512" s="912"/>
      <c r="M11512" s="912"/>
      <c r="N11512" s="912"/>
      <c r="O11512" s="892">
        <f t="shared" si="922"/>
        <v>0</v>
      </c>
      <c r="P11512" s="903">
        <f t="shared" si="923"/>
        <v>1</v>
      </c>
      <c r="Q11512" s="893">
        <f t="shared" si="924"/>
        <v>4</v>
      </c>
      <c r="R11512" s="894">
        <f t="shared" si="925"/>
        <v>0</v>
      </c>
    </row>
    <row r="11513" spans="1:18">
      <c r="A11513" s="905"/>
      <c r="B11513" s="952"/>
      <c r="C11513" s="907">
        <v>315</v>
      </c>
      <c r="D11513" s="907" t="s">
        <v>279</v>
      </c>
      <c r="E11513" s="992" t="s">
        <v>6316</v>
      </c>
      <c r="F11513" s="905" t="s">
        <v>49</v>
      </c>
      <c r="G11513" s="1005"/>
      <c r="H11513" s="911">
        <v>0.5</v>
      </c>
      <c r="I11513" s="912">
        <f>VLOOKUP(E11513,[3]VLP!$B$7:$K$300,10,0)</f>
        <v>8000</v>
      </c>
      <c r="J11513" s="912">
        <f>I11513*H11513</f>
        <v>4000</v>
      </c>
      <c r="K11513" s="912" t="s">
        <v>274</v>
      </c>
      <c r="L11513" s="912"/>
      <c r="M11513" s="912"/>
      <c r="N11513" s="912"/>
      <c r="O11513" s="892">
        <f t="shared" si="922"/>
        <v>0</v>
      </c>
      <c r="P11513" s="903">
        <f t="shared" si="923"/>
        <v>1</v>
      </c>
      <c r="Q11513" s="893">
        <f t="shared" si="924"/>
        <v>3</v>
      </c>
      <c r="R11513" s="894">
        <f t="shared" si="925"/>
        <v>0</v>
      </c>
    </row>
    <row r="11514" spans="1:18" s="904" customFormat="1">
      <c r="A11514" s="895"/>
      <c r="B11514" s="1017"/>
      <c r="C11514" s="897"/>
      <c r="D11514" s="897"/>
      <c r="E11514" s="1002" t="s">
        <v>276</v>
      </c>
      <c r="F11514" s="1003"/>
      <c r="G11514" s="1004"/>
      <c r="H11514" s="901"/>
      <c r="I11514" s="902"/>
      <c r="J11514" s="902"/>
      <c r="K11514" s="912" t="s">
        <v>274</v>
      </c>
      <c r="L11514" s="902"/>
      <c r="M11514" s="902"/>
      <c r="N11514" s="902"/>
      <c r="O11514" s="892">
        <f t="shared" si="922"/>
        <v>0</v>
      </c>
      <c r="P11514" s="903">
        <f t="shared" si="923"/>
        <v>1</v>
      </c>
      <c r="Q11514" s="893">
        <f t="shared" si="924"/>
        <v>2</v>
      </c>
      <c r="R11514" s="894">
        <f t="shared" si="925"/>
        <v>0</v>
      </c>
    </row>
    <row r="11515" spans="1:18">
      <c r="A11515" s="905"/>
      <c r="B11515" s="952"/>
      <c r="C11515" s="907">
        <v>740</v>
      </c>
      <c r="D11515" s="907" t="s">
        <v>12</v>
      </c>
      <c r="E11515" s="992" t="s">
        <v>4008</v>
      </c>
      <c r="F11515" s="905" t="s">
        <v>2674</v>
      </c>
      <c r="G11515" s="1005"/>
      <c r="H11515" s="911">
        <v>16.5</v>
      </c>
      <c r="I11515" s="912"/>
      <c r="J11515" s="912"/>
      <c r="K11515" s="912">
        <f>VLOOKUP(E11515,[5]ĐMNC!$A$7:$F$67,4,0)</f>
        <v>221125</v>
      </c>
      <c r="L11515" s="912">
        <f>H11515*K11515</f>
        <v>3648562.5</v>
      </c>
      <c r="M11515" s="912"/>
      <c r="N11515" s="912"/>
      <c r="O11515" s="892">
        <f t="shared" si="922"/>
        <v>0</v>
      </c>
      <c r="P11515" s="903">
        <f t="shared" si="923"/>
        <v>1</v>
      </c>
      <c r="Q11515" s="893">
        <f t="shared" si="924"/>
        <v>1</v>
      </c>
      <c r="R11515" s="894">
        <f t="shared" si="925"/>
        <v>0</v>
      </c>
    </row>
    <row r="11516" spans="1:18" s="904" customFormat="1">
      <c r="A11516" s="905" t="s">
        <v>6911</v>
      </c>
      <c r="B11516" s="1018" t="s">
        <v>6930</v>
      </c>
      <c r="C11516" s="915"/>
      <c r="D11516" s="915"/>
      <c r="E11516" s="1006" t="s">
        <v>6931</v>
      </c>
      <c r="F11516" s="917" t="s">
        <v>51</v>
      </c>
      <c r="G11516" s="1008"/>
      <c r="H11516" s="919"/>
      <c r="I11516" s="920"/>
      <c r="J11516" s="962">
        <f>SUM(J11517:J11525)</f>
        <v>72658.200000000012</v>
      </c>
      <c r="K11516" s="891" t="s">
        <v>274</v>
      </c>
      <c r="L11516" s="962">
        <f>SUM(L11517:L11525)</f>
        <v>221125</v>
      </c>
      <c r="M11516" s="962"/>
      <c r="N11516" s="962">
        <f>SUM(N11517:N11525)</f>
        <v>0</v>
      </c>
      <c r="O11516" s="892">
        <f t="shared" si="922"/>
        <v>1</v>
      </c>
      <c r="P11516" s="903">
        <f t="shared" si="923"/>
        <v>0</v>
      </c>
      <c r="Q11516" s="893">
        <f t="shared" si="924"/>
        <v>0</v>
      </c>
      <c r="R11516" s="894">
        <f t="shared" si="925"/>
        <v>9</v>
      </c>
    </row>
    <row r="11517" spans="1:18">
      <c r="A11517" s="895"/>
      <c r="B11517" s="896"/>
      <c r="C11517" s="897"/>
      <c r="D11517" s="897"/>
      <c r="E11517" s="1002" t="s">
        <v>108</v>
      </c>
      <c r="F11517" s="1003"/>
      <c r="G11517" s="1004"/>
      <c r="H11517" s="901"/>
      <c r="I11517" s="902"/>
      <c r="J11517" s="902"/>
      <c r="K11517" s="912" t="s">
        <v>274</v>
      </c>
      <c r="L11517" s="902"/>
      <c r="M11517" s="902"/>
      <c r="N11517" s="902"/>
      <c r="O11517" s="892">
        <f t="shared" si="922"/>
        <v>0</v>
      </c>
      <c r="P11517" s="903">
        <f t="shared" si="923"/>
        <v>1</v>
      </c>
      <c r="Q11517" s="893">
        <f t="shared" si="924"/>
        <v>9</v>
      </c>
      <c r="R11517" s="894">
        <f t="shared" si="925"/>
        <v>0</v>
      </c>
    </row>
    <row r="11518" spans="1:18">
      <c r="A11518" s="905"/>
      <c r="B11518" s="952"/>
      <c r="C11518" s="907">
        <v>318</v>
      </c>
      <c r="D11518" s="907" t="s">
        <v>279</v>
      </c>
      <c r="E11518" s="992" t="s">
        <v>5657</v>
      </c>
      <c r="F11518" s="905" t="s">
        <v>45</v>
      </c>
      <c r="G11518" s="1005"/>
      <c r="H11518" s="911">
        <v>0.2</v>
      </c>
      <c r="I11518" s="912">
        <f>VLOOKUP(E11518,[3]VLP!$B$7:$K$300,10,0)</f>
        <v>25155</v>
      </c>
      <c r="J11518" s="912">
        <f t="shared" ref="J11518:J11523" si="926">I11518*H11518</f>
        <v>5031</v>
      </c>
      <c r="K11518" s="912" t="s">
        <v>274</v>
      </c>
      <c r="L11518" s="912"/>
      <c r="M11518" s="912"/>
      <c r="N11518" s="912"/>
      <c r="O11518" s="892">
        <f t="shared" si="922"/>
        <v>0</v>
      </c>
      <c r="P11518" s="903">
        <f t="shared" si="923"/>
        <v>1</v>
      </c>
      <c r="Q11518" s="893">
        <f t="shared" si="924"/>
        <v>8</v>
      </c>
      <c r="R11518" s="894">
        <f t="shared" si="925"/>
        <v>0</v>
      </c>
    </row>
    <row r="11519" spans="1:18">
      <c r="A11519" s="905"/>
      <c r="B11519" s="952"/>
      <c r="C11519" s="907">
        <v>320</v>
      </c>
      <c r="D11519" s="907" t="s">
        <v>279</v>
      </c>
      <c r="E11519" s="992" t="s">
        <v>6908</v>
      </c>
      <c r="F11519" s="905" t="s">
        <v>45</v>
      </c>
      <c r="G11519" s="1005"/>
      <c r="H11519" s="911">
        <v>0.2</v>
      </c>
      <c r="I11519" s="912">
        <f>VLOOKUP(E11519,[3]VLP!$B$7:$K$300,10,0)</f>
        <v>50000</v>
      </c>
      <c r="J11519" s="912">
        <f t="shared" si="926"/>
        <v>10000</v>
      </c>
      <c r="K11519" s="912" t="s">
        <v>274</v>
      </c>
      <c r="L11519" s="912"/>
      <c r="M11519" s="912"/>
      <c r="N11519" s="912"/>
      <c r="O11519" s="892">
        <f t="shared" si="922"/>
        <v>0</v>
      </c>
      <c r="P11519" s="903">
        <f t="shared" si="923"/>
        <v>1</v>
      </c>
      <c r="Q11519" s="893">
        <f t="shared" si="924"/>
        <v>7</v>
      </c>
      <c r="R11519" s="894">
        <f t="shared" si="925"/>
        <v>0</v>
      </c>
    </row>
    <row r="11520" spans="1:18" s="847" customFormat="1">
      <c r="A11520" s="905"/>
      <c r="B11520" s="952"/>
      <c r="C11520" s="907">
        <v>311</v>
      </c>
      <c r="D11520" s="907" t="s">
        <v>279</v>
      </c>
      <c r="E11520" s="992" t="s">
        <v>6878</v>
      </c>
      <c r="F11520" s="905" t="s">
        <v>45</v>
      </c>
      <c r="G11520" s="1005"/>
      <c r="H11520" s="911">
        <v>0.1</v>
      </c>
      <c r="I11520" s="912">
        <f>VLOOKUP(E11520,[3]VLP!$B$7:$K$300,10,0)</f>
        <v>73636</v>
      </c>
      <c r="J11520" s="912">
        <f t="shared" si="926"/>
        <v>7363.6</v>
      </c>
      <c r="K11520" s="912" t="s">
        <v>274</v>
      </c>
      <c r="L11520" s="912"/>
      <c r="M11520" s="912"/>
      <c r="N11520" s="912"/>
      <c r="O11520" s="892">
        <f t="shared" si="922"/>
        <v>0</v>
      </c>
      <c r="P11520" s="903">
        <f t="shared" si="923"/>
        <v>1</v>
      </c>
      <c r="Q11520" s="893">
        <f t="shared" si="924"/>
        <v>6</v>
      </c>
      <c r="R11520" s="894">
        <f t="shared" si="925"/>
        <v>0</v>
      </c>
    </row>
    <row r="11521" spans="1:18" s="904" customFormat="1">
      <c r="A11521" s="905"/>
      <c r="B11521" s="952"/>
      <c r="C11521" s="907">
        <v>307</v>
      </c>
      <c r="D11521" s="907" t="s">
        <v>279</v>
      </c>
      <c r="E11521" s="992" t="s">
        <v>6932</v>
      </c>
      <c r="F11521" s="905" t="s">
        <v>45</v>
      </c>
      <c r="G11521" s="1005"/>
      <c r="H11521" s="911">
        <v>0.1</v>
      </c>
      <c r="I11521" s="912">
        <f>VLOOKUP(E11521,[3]VLP!$B$7:$K$300,10,0)</f>
        <v>447636</v>
      </c>
      <c r="J11521" s="912">
        <f t="shared" si="926"/>
        <v>44763.600000000006</v>
      </c>
      <c r="K11521" s="912" t="s">
        <v>274</v>
      </c>
      <c r="L11521" s="912"/>
      <c r="M11521" s="912"/>
      <c r="N11521" s="912"/>
      <c r="O11521" s="892">
        <f t="shared" si="922"/>
        <v>0</v>
      </c>
      <c r="P11521" s="903">
        <f t="shared" si="923"/>
        <v>1</v>
      </c>
      <c r="Q11521" s="893">
        <f t="shared" si="924"/>
        <v>5</v>
      </c>
      <c r="R11521" s="894">
        <f t="shared" si="925"/>
        <v>0</v>
      </c>
    </row>
    <row r="11522" spans="1:18">
      <c r="A11522" s="905"/>
      <c r="B11522" s="952"/>
      <c r="C11522" s="907">
        <v>203</v>
      </c>
      <c r="D11522" s="907" t="s">
        <v>279</v>
      </c>
      <c r="E11522" s="992" t="s">
        <v>5656</v>
      </c>
      <c r="F11522" s="905" t="s">
        <v>6796</v>
      </c>
      <c r="G11522" s="1005"/>
      <c r="H11522" s="911">
        <v>0.3</v>
      </c>
      <c r="I11522" s="912">
        <f>VLOOKUP(E11522,[3]VLP!$B$7:$K$300,10,0)</f>
        <v>5000</v>
      </c>
      <c r="J11522" s="912">
        <f t="shared" si="926"/>
        <v>1500</v>
      </c>
      <c r="K11522" s="912" t="s">
        <v>274</v>
      </c>
      <c r="L11522" s="912"/>
      <c r="M11522" s="912"/>
      <c r="N11522" s="912"/>
      <c r="O11522" s="892">
        <f t="shared" si="922"/>
        <v>0</v>
      </c>
      <c r="P11522" s="903">
        <f t="shared" si="923"/>
        <v>1</v>
      </c>
      <c r="Q11522" s="893">
        <f t="shared" si="924"/>
        <v>4</v>
      </c>
      <c r="R11522" s="894">
        <f t="shared" si="925"/>
        <v>0</v>
      </c>
    </row>
    <row r="11523" spans="1:18">
      <c r="A11523" s="905"/>
      <c r="B11523" s="952"/>
      <c r="C11523" s="907">
        <v>315</v>
      </c>
      <c r="D11523" s="907" t="s">
        <v>279</v>
      </c>
      <c r="E11523" s="992" t="s">
        <v>6316</v>
      </c>
      <c r="F11523" s="905" t="s">
        <v>49</v>
      </c>
      <c r="G11523" s="1005"/>
      <c r="H11523" s="911">
        <v>0.5</v>
      </c>
      <c r="I11523" s="912">
        <f>VLOOKUP(E11523,[3]VLP!$B$7:$K$300,10,0)</f>
        <v>8000</v>
      </c>
      <c r="J11523" s="912">
        <f t="shared" si="926"/>
        <v>4000</v>
      </c>
      <c r="K11523" s="912" t="s">
        <v>274</v>
      </c>
      <c r="L11523" s="912"/>
      <c r="M11523" s="912"/>
      <c r="N11523" s="912"/>
      <c r="O11523" s="892">
        <f t="shared" si="922"/>
        <v>0</v>
      </c>
      <c r="P11523" s="903">
        <f t="shared" si="923"/>
        <v>1</v>
      </c>
      <c r="Q11523" s="893">
        <f t="shared" si="924"/>
        <v>3</v>
      </c>
      <c r="R11523" s="894">
        <f t="shared" si="925"/>
        <v>0</v>
      </c>
    </row>
    <row r="11524" spans="1:18">
      <c r="A11524" s="895"/>
      <c r="B11524" s="896"/>
      <c r="C11524" s="897"/>
      <c r="D11524" s="897"/>
      <c r="E11524" s="1002" t="s">
        <v>276</v>
      </c>
      <c r="F11524" s="1003"/>
      <c r="G11524" s="1004"/>
      <c r="H11524" s="901"/>
      <c r="I11524" s="902"/>
      <c r="J11524" s="902"/>
      <c r="K11524" s="912" t="s">
        <v>274</v>
      </c>
      <c r="L11524" s="902"/>
      <c r="M11524" s="902"/>
      <c r="N11524" s="902"/>
      <c r="O11524" s="892">
        <f t="shared" si="922"/>
        <v>0</v>
      </c>
      <c r="P11524" s="903">
        <f t="shared" si="923"/>
        <v>1</v>
      </c>
      <c r="Q11524" s="893">
        <f t="shared" si="924"/>
        <v>2</v>
      </c>
      <c r="R11524" s="894">
        <f t="shared" si="925"/>
        <v>0</v>
      </c>
    </row>
    <row r="11525" spans="1:18">
      <c r="A11525" s="905"/>
      <c r="B11525" s="952"/>
      <c r="C11525" s="907">
        <v>740</v>
      </c>
      <c r="D11525" s="907" t="s">
        <v>12</v>
      </c>
      <c r="E11525" s="992" t="s">
        <v>4008</v>
      </c>
      <c r="F11525" s="905" t="s">
        <v>2674</v>
      </c>
      <c r="G11525" s="1005"/>
      <c r="H11525" s="911">
        <v>1</v>
      </c>
      <c r="I11525" s="912"/>
      <c r="J11525" s="912"/>
      <c r="K11525" s="912">
        <f>VLOOKUP(E11525,[5]ĐMNC!$A$7:$F$67,4,0)</f>
        <v>221125</v>
      </c>
      <c r="L11525" s="912">
        <f>H11525*K11525</f>
        <v>221125</v>
      </c>
      <c r="M11525" s="912"/>
      <c r="N11525" s="912"/>
      <c r="O11525" s="892">
        <f t="shared" si="922"/>
        <v>0</v>
      </c>
      <c r="P11525" s="903">
        <f t="shared" si="923"/>
        <v>1</v>
      </c>
      <c r="Q11525" s="893">
        <f t="shared" si="924"/>
        <v>1</v>
      </c>
      <c r="R11525" s="894">
        <f t="shared" si="925"/>
        <v>0</v>
      </c>
    </row>
    <row r="11526" spans="1:18">
      <c r="A11526" s="905">
        <v>276</v>
      </c>
      <c r="B11526" s="1018" t="s">
        <v>6933</v>
      </c>
      <c r="C11526" s="915"/>
      <c r="D11526" s="915"/>
      <c r="E11526" s="1006" t="s">
        <v>6934</v>
      </c>
      <c r="F11526" s="917" t="s">
        <v>51</v>
      </c>
      <c r="G11526" s="1008"/>
      <c r="H11526" s="919"/>
      <c r="I11526" s="920"/>
      <c r="J11526" s="962">
        <f>SUM(J11527:J11535)</f>
        <v>72658.200000000012</v>
      </c>
      <c r="K11526" s="891" t="s">
        <v>274</v>
      </c>
      <c r="L11526" s="962">
        <f>SUM(L11527:L11535)</f>
        <v>442250</v>
      </c>
      <c r="M11526" s="962"/>
      <c r="N11526" s="962">
        <f>SUM(N11527:N11535)</f>
        <v>0</v>
      </c>
      <c r="O11526" s="892">
        <f t="shared" si="922"/>
        <v>1</v>
      </c>
      <c r="P11526" s="903">
        <f t="shared" si="923"/>
        <v>0</v>
      </c>
      <c r="Q11526" s="893">
        <f t="shared" si="924"/>
        <v>0</v>
      </c>
      <c r="R11526" s="894">
        <f t="shared" si="925"/>
        <v>9</v>
      </c>
    </row>
    <row r="11527" spans="1:18" s="904" customFormat="1">
      <c r="A11527" s="895"/>
      <c r="B11527" s="896"/>
      <c r="C11527" s="897"/>
      <c r="D11527" s="897"/>
      <c r="E11527" s="1002" t="s">
        <v>108</v>
      </c>
      <c r="F11527" s="1003"/>
      <c r="G11527" s="1004"/>
      <c r="H11527" s="901"/>
      <c r="I11527" s="902"/>
      <c r="J11527" s="902"/>
      <c r="K11527" s="912" t="s">
        <v>274</v>
      </c>
      <c r="L11527" s="902"/>
      <c r="M11527" s="902"/>
      <c r="N11527" s="902"/>
      <c r="O11527" s="892">
        <f t="shared" si="922"/>
        <v>0</v>
      </c>
      <c r="P11527" s="903">
        <f t="shared" si="923"/>
        <v>1</v>
      </c>
      <c r="Q11527" s="893">
        <f t="shared" si="924"/>
        <v>9</v>
      </c>
      <c r="R11527" s="894">
        <f t="shared" si="925"/>
        <v>0</v>
      </c>
    </row>
    <row r="11528" spans="1:18">
      <c r="A11528" s="905"/>
      <c r="B11528" s="952"/>
      <c r="C11528" s="907">
        <v>318</v>
      </c>
      <c r="D11528" s="907" t="s">
        <v>279</v>
      </c>
      <c r="E11528" s="992" t="s">
        <v>5657</v>
      </c>
      <c r="F11528" s="905" t="s">
        <v>45</v>
      </c>
      <c r="G11528" s="1005"/>
      <c r="H11528" s="911">
        <v>0.2</v>
      </c>
      <c r="I11528" s="912">
        <f>VLOOKUP(E11528,[3]VLP!$B$7:$K$300,10,0)</f>
        <v>25155</v>
      </c>
      <c r="J11528" s="912">
        <f t="shared" ref="J11528:J11533" si="927">I11528*H11528</f>
        <v>5031</v>
      </c>
      <c r="K11528" s="912" t="s">
        <v>274</v>
      </c>
      <c r="L11528" s="912"/>
      <c r="M11528" s="912"/>
      <c r="N11528" s="912"/>
      <c r="O11528" s="892">
        <f t="shared" si="922"/>
        <v>0</v>
      </c>
      <c r="P11528" s="903">
        <f t="shared" si="923"/>
        <v>1</v>
      </c>
      <c r="Q11528" s="893">
        <f t="shared" si="924"/>
        <v>8</v>
      </c>
      <c r="R11528" s="894">
        <f t="shared" si="925"/>
        <v>0</v>
      </c>
    </row>
    <row r="11529" spans="1:18" s="904" customFormat="1">
      <c r="A11529" s="905"/>
      <c r="B11529" s="952"/>
      <c r="C11529" s="907">
        <v>320</v>
      </c>
      <c r="D11529" s="907" t="s">
        <v>279</v>
      </c>
      <c r="E11529" s="992" t="s">
        <v>6908</v>
      </c>
      <c r="F11529" s="905" t="s">
        <v>45</v>
      </c>
      <c r="G11529" s="1005"/>
      <c r="H11529" s="911">
        <v>0.2</v>
      </c>
      <c r="I11529" s="912">
        <f>VLOOKUP(E11529,[3]VLP!$B$7:$K$300,10,0)</f>
        <v>50000</v>
      </c>
      <c r="J11529" s="912">
        <f t="shared" si="927"/>
        <v>10000</v>
      </c>
      <c r="K11529" s="912" t="s">
        <v>274</v>
      </c>
      <c r="L11529" s="912"/>
      <c r="M11529" s="912"/>
      <c r="N11529" s="912"/>
      <c r="O11529" s="892">
        <f t="shared" si="922"/>
        <v>0</v>
      </c>
      <c r="P11529" s="903">
        <f t="shared" si="923"/>
        <v>1</v>
      </c>
      <c r="Q11529" s="893">
        <f t="shared" si="924"/>
        <v>7</v>
      </c>
      <c r="R11529" s="894">
        <f t="shared" si="925"/>
        <v>0</v>
      </c>
    </row>
    <row r="11530" spans="1:18">
      <c r="A11530" s="905"/>
      <c r="B11530" s="952"/>
      <c r="C11530" s="907">
        <v>311</v>
      </c>
      <c r="D11530" s="907" t="s">
        <v>279</v>
      </c>
      <c r="E11530" s="992" t="s">
        <v>6878</v>
      </c>
      <c r="F11530" s="905" t="s">
        <v>45</v>
      </c>
      <c r="G11530" s="1005"/>
      <c r="H11530" s="911">
        <v>0.1</v>
      </c>
      <c r="I11530" s="912">
        <f>VLOOKUP(E11530,[3]VLP!$B$7:$K$300,10,0)</f>
        <v>73636</v>
      </c>
      <c r="J11530" s="912">
        <f t="shared" si="927"/>
        <v>7363.6</v>
      </c>
      <c r="K11530" s="912" t="s">
        <v>274</v>
      </c>
      <c r="L11530" s="912"/>
      <c r="M11530" s="912"/>
      <c r="N11530" s="912"/>
      <c r="O11530" s="892">
        <f t="shared" si="922"/>
        <v>0</v>
      </c>
      <c r="P11530" s="903">
        <f t="shared" si="923"/>
        <v>1</v>
      </c>
      <c r="Q11530" s="893">
        <f t="shared" si="924"/>
        <v>6</v>
      </c>
      <c r="R11530" s="894">
        <f t="shared" si="925"/>
        <v>0</v>
      </c>
    </row>
    <row r="11531" spans="1:18">
      <c r="A11531" s="905"/>
      <c r="B11531" s="952"/>
      <c r="C11531" s="907">
        <v>307</v>
      </c>
      <c r="D11531" s="907" t="s">
        <v>279</v>
      </c>
      <c r="E11531" s="992" t="s">
        <v>6932</v>
      </c>
      <c r="F11531" s="905" t="s">
        <v>45</v>
      </c>
      <c r="G11531" s="1005"/>
      <c r="H11531" s="911">
        <v>0.1</v>
      </c>
      <c r="I11531" s="912">
        <f>VLOOKUP(E11531,[3]VLP!$B$7:$K$300,10,0)</f>
        <v>447636</v>
      </c>
      <c r="J11531" s="912">
        <f t="shared" si="927"/>
        <v>44763.600000000006</v>
      </c>
      <c r="K11531" s="912" t="s">
        <v>274</v>
      </c>
      <c r="L11531" s="912"/>
      <c r="M11531" s="912"/>
      <c r="N11531" s="912"/>
      <c r="O11531" s="892">
        <f t="shared" si="922"/>
        <v>0</v>
      </c>
      <c r="P11531" s="903">
        <f t="shared" si="923"/>
        <v>1</v>
      </c>
      <c r="Q11531" s="893">
        <f t="shared" si="924"/>
        <v>5</v>
      </c>
      <c r="R11531" s="894">
        <f t="shared" si="925"/>
        <v>0</v>
      </c>
    </row>
    <row r="11532" spans="1:18">
      <c r="A11532" s="905"/>
      <c r="B11532" s="952"/>
      <c r="C11532" s="907">
        <v>203</v>
      </c>
      <c r="D11532" s="907" t="s">
        <v>279</v>
      </c>
      <c r="E11532" s="992" t="s">
        <v>5656</v>
      </c>
      <c r="F11532" s="905" t="s">
        <v>6796</v>
      </c>
      <c r="G11532" s="1005"/>
      <c r="H11532" s="911">
        <v>0.3</v>
      </c>
      <c r="I11532" s="912">
        <f>VLOOKUP(E11532,[3]VLP!$B$7:$K$300,10,0)</f>
        <v>5000</v>
      </c>
      <c r="J11532" s="912">
        <f t="shared" si="927"/>
        <v>1500</v>
      </c>
      <c r="K11532" s="912" t="s">
        <v>274</v>
      </c>
      <c r="L11532" s="912"/>
      <c r="M11532" s="912"/>
      <c r="N11532" s="912"/>
      <c r="O11532" s="892">
        <f t="shared" si="922"/>
        <v>0</v>
      </c>
      <c r="P11532" s="903">
        <f t="shared" si="923"/>
        <v>1</v>
      </c>
      <c r="Q11532" s="893">
        <f t="shared" si="924"/>
        <v>4</v>
      </c>
      <c r="R11532" s="894">
        <f t="shared" si="925"/>
        <v>0</v>
      </c>
    </row>
    <row r="11533" spans="1:18" s="847" customFormat="1">
      <c r="A11533" s="905"/>
      <c r="B11533" s="952"/>
      <c r="C11533" s="907">
        <v>315</v>
      </c>
      <c r="D11533" s="907" t="s">
        <v>279</v>
      </c>
      <c r="E11533" s="992" t="s">
        <v>6316</v>
      </c>
      <c r="F11533" s="905" t="s">
        <v>49</v>
      </c>
      <c r="G11533" s="1005"/>
      <c r="H11533" s="911">
        <v>0.5</v>
      </c>
      <c r="I11533" s="912">
        <f>VLOOKUP(E11533,[3]VLP!$B$7:$K$300,10,0)</f>
        <v>8000</v>
      </c>
      <c r="J11533" s="912">
        <f t="shared" si="927"/>
        <v>4000</v>
      </c>
      <c r="K11533" s="912" t="s">
        <v>274</v>
      </c>
      <c r="L11533" s="912"/>
      <c r="M11533" s="912"/>
      <c r="N11533" s="912"/>
      <c r="O11533" s="892">
        <f t="shared" si="922"/>
        <v>0</v>
      </c>
      <c r="P11533" s="903">
        <f t="shared" si="923"/>
        <v>1</v>
      </c>
      <c r="Q11533" s="893">
        <f t="shared" si="924"/>
        <v>3</v>
      </c>
      <c r="R11533" s="894">
        <f t="shared" si="925"/>
        <v>0</v>
      </c>
    </row>
    <row r="11534" spans="1:18" s="904" customFormat="1">
      <c r="A11534" s="895"/>
      <c r="B11534" s="896"/>
      <c r="C11534" s="897"/>
      <c r="D11534" s="897"/>
      <c r="E11534" s="1002" t="s">
        <v>276</v>
      </c>
      <c r="F11534" s="1003"/>
      <c r="G11534" s="1004"/>
      <c r="H11534" s="901"/>
      <c r="I11534" s="902"/>
      <c r="J11534" s="902"/>
      <c r="K11534" s="912" t="s">
        <v>274</v>
      </c>
      <c r="L11534" s="902"/>
      <c r="M11534" s="902"/>
      <c r="N11534" s="902"/>
      <c r="O11534" s="892">
        <f t="shared" si="922"/>
        <v>0</v>
      </c>
      <c r="P11534" s="903">
        <f t="shared" si="923"/>
        <v>1</v>
      </c>
      <c r="Q11534" s="893">
        <f t="shared" si="924"/>
        <v>2</v>
      </c>
      <c r="R11534" s="894">
        <f t="shared" si="925"/>
        <v>0</v>
      </c>
    </row>
    <row r="11535" spans="1:18">
      <c r="A11535" s="905"/>
      <c r="B11535" s="952"/>
      <c r="C11535" s="907">
        <v>740</v>
      </c>
      <c r="D11535" s="907" t="s">
        <v>12</v>
      </c>
      <c r="E11535" s="992" t="s">
        <v>4008</v>
      </c>
      <c r="F11535" s="905" t="s">
        <v>2674</v>
      </c>
      <c r="G11535" s="1005"/>
      <c r="H11535" s="911">
        <v>2</v>
      </c>
      <c r="I11535" s="912"/>
      <c r="J11535" s="912"/>
      <c r="K11535" s="912">
        <f>VLOOKUP(E11535,[5]ĐMNC!$A$7:$F$67,4,0)</f>
        <v>221125</v>
      </c>
      <c r="L11535" s="912">
        <f>H11535*K11535</f>
        <v>442250</v>
      </c>
      <c r="M11535" s="912"/>
      <c r="N11535" s="912"/>
      <c r="O11535" s="892">
        <f t="shared" si="922"/>
        <v>0</v>
      </c>
      <c r="P11535" s="903">
        <f t="shared" si="923"/>
        <v>1</v>
      </c>
      <c r="Q11535" s="893">
        <f t="shared" si="924"/>
        <v>1</v>
      </c>
      <c r="R11535" s="894">
        <f t="shared" si="925"/>
        <v>0</v>
      </c>
    </row>
    <row r="11536" spans="1:18">
      <c r="A11536" s="905">
        <v>277</v>
      </c>
      <c r="B11536" s="1018" t="s">
        <v>6935</v>
      </c>
      <c r="C11536" s="915"/>
      <c r="D11536" s="915"/>
      <c r="E11536" s="1006" t="s">
        <v>6936</v>
      </c>
      <c r="F11536" s="917" t="s">
        <v>51</v>
      </c>
      <c r="G11536" s="1008"/>
      <c r="H11536" s="919"/>
      <c r="I11536" s="920"/>
      <c r="J11536" s="962">
        <f>SUM(J11537:J11545)</f>
        <v>75173.700000000012</v>
      </c>
      <c r="K11536" s="891" t="s">
        <v>274</v>
      </c>
      <c r="L11536" s="962">
        <f>SUM(L11537:L11545)</f>
        <v>552812.5</v>
      </c>
      <c r="M11536" s="962"/>
      <c r="N11536" s="962">
        <f>SUM(N11537:N11545)</f>
        <v>0</v>
      </c>
      <c r="O11536" s="892">
        <f t="shared" si="922"/>
        <v>1</v>
      </c>
      <c r="P11536" s="903">
        <f t="shared" si="923"/>
        <v>0</v>
      </c>
      <c r="Q11536" s="893">
        <f t="shared" si="924"/>
        <v>0</v>
      </c>
      <c r="R11536" s="894">
        <f t="shared" si="925"/>
        <v>9</v>
      </c>
    </row>
    <row r="11537" spans="1:18">
      <c r="A11537" s="895"/>
      <c r="B11537" s="896"/>
      <c r="C11537" s="897"/>
      <c r="D11537" s="897"/>
      <c r="E11537" s="1002" t="s">
        <v>108</v>
      </c>
      <c r="F11537" s="1003"/>
      <c r="G11537" s="1004"/>
      <c r="H11537" s="901"/>
      <c r="I11537" s="902"/>
      <c r="J11537" s="902"/>
      <c r="K11537" s="912" t="s">
        <v>274</v>
      </c>
      <c r="L11537" s="902"/>
      <c r="M11537" s="902"/>
      <c r="N11537" s="902"/>
      <c r="O11537" s="892">
        <f t="shared" si="922"/>
        <v>0</v>
      </c>
      <c r="P11537" s="903">
        <f t="shared" si="923"/>
        <v>1</v>
      </c>
      <c r="Q11537" s="893">
        <f t="shared" si="924"/>
        <v>9</v>
      </c>
      <c r="R11537" s="894">
        <f t="shared" si="925"/>
        <v>0</v>
      </c>
    </row>
    <row r="11538" spans="1:18">
      <c r="A11538" s="905"/>
      <c r="B11538" s="952"/>
      <c r="C11538" s="907">
        <v>318</v>
      </c>
      <c r="D11538" s="907" t="s">
        <v>279</v>
      </c>
      <c r="E11538" s="992" t="s">
        <v>5657</v>
      </c>
      <c r="F11538" s="905" t="s">
        <v>45</v>
      </c>
      <c r="G11538" s="1005"/>
      <c r="H11538" s="911">
        <v>0.3</v>
      </c>
      <c r="I11538" s="912">
        <f>VLOOKUP(E11538,[3]VLP!$B$7:$K$300,10,0)</f>
        <v>25155</v>
      </c>
      <c r="J11538" s="912">
        <f t="shared" ref="J11538:J11543" si="928">I11538*H11538</f>
        <v>7546.5</v>
      </c>
      <c r="K11538" s="912" t="s">
        <v>274</v>
      </c>
      <c r="L11538" s="912"/>
      <c r="M11538" s="912"/>
      <c r="N11538" s="912"/>
      <c r="O11538" s="892">
        <f t="shared" si="922"/>
        <v>0</v>
      </c>
      <c r="P11538" s="903">
        <f t="shared" si="923"/>
        <v>1</v>
      </c>
      <c r="Q11538" s="893">
        <f t="shared" si="924"/>
        <v>8</v>
      </c>
      <c r="R11538" s="894">
        <f t="shared" si="925"/>
        <v>0</v>
      </c>
    </row>
    <row r="11539" spans="1:18">
      <c r="A11539" s="905"/>
      <c r="B11539" s="952"/>
      <c r="C11539" s="907">
        <v>320</v>
      </c>
      <c r="D11539" s="907" t="s">
        <v>279</v>
      </c>
      <c r="E11539" s="992" t="s">
        <v>6908</v>
      </c>
      <c r="F11539" s="905" t="s">
        <v>45</v>
      </c>
      <c r="G11539" s="1005"/>
      <c r="H11539" s="911">
        <v>0.2</v>
      </c>
      <c r="I11539" s="912">
        <f>VLOOKUP(E11539,[3]VLP!$B$7:$K$300,10,0)</f>
        <v>50000</v>
      </c>
      <c r="J11539" s="912">
        <f t="shared" si="928"/>
        <v>10000</v>
      </c>
      <c r="K11539" s="912" t="s">
        <v>274</v>
      </c>
      <c r="L11539" s="912"/>
      <c r="M11539" s="912"/>
      <c r="N11539" s="912"/>
      <c r="O11539" s="892">
        <f t="shared" si="922"/>
        <v>0</v>
      </c>
      <c r="P11539" s="903">
        <f t="shared" si="923"/>
        <v>1</v>
      </c>
      <c r="Q11539" s="893">
        <f t="shared" si="924"/>
        <v>7</v>
      </c>
      <c r="R11539" s="894">
        <f t="shared" si="925"/>
        <v>0</v>
      </c>
    </row>
    <row r="11540" spans="1:18" s="904" customFormat="1">
      <c r="A11540" s="905"/>
      <c r="B11540" s="952"/>
      <c r="C11540" s="907">
        <v>311</v>
      </c>
      <c r="D11540" s="907" t="s">
        <v>279</v>
      </c>
      <c r="E11540" s="992" t="s">
        <v>6878</v>
      </c>
      <c r="F11540" s="905" t="s">
        <v>45</v>
      </c>
      <c r="G11540" s="1005"/>
      <c r="H11540" s="911">
        <v>0.1</v>
      </c>
      <c r="I11540" s="912">
        <f>VLOOKUP(E11540,[3]VLP!$B$7:$K$300,10,0)</f>
        <v>73636</v>
      </c>
      <c r="J11540" s="912">
        <f t="shared" si="928"/>
        <v>7363.6</v>
      </c>
      <c r="K11540" s="912" t="s">
        <v>274</v>
      </c>
      <c r="L11540" s="912"/>
      <c r="M11540" s="912"/>
      <c r="N11540" s="912"/>
      <c r="O11540" s="892">
        <f t="shared" si="922"/>
        <v>0</v>
      </c>
      <c r="P11540" s="903">
        <f t="shared" si="923"/>
        <v>1</v>
      </c>
      <c r="Q11540" s="893">
        <f t="shared" si="924"/>
        <v>6</v>
      </c>
      <c r="R11540" s="894">
        <f t="shared" si="925"/>
        <v>0</v>
      </c>
    </row>
    <row r="11541" spans="1:18">
      <c r="A11541" s="905"/>
      <c r="B11541" s="952"/>
      <c r="C11541" s="907">
        <v>307</v>
      </c>
      <c r="D11541" s="907" t="s">
        <v>279</v>
      </c>
      <c r="E11541" s="992" t="s">
        <v>6932</v>
      </c>
      <c r="F11541" s="905" t="s">
        <v>45</v>
      </c>
      <c r="G11541" s="1005"/>
      <c r="H11541" s="911">
        <v>0.1</v>
      </c>
      <c r="I11541" s="912">
        <f>VLOOKUP(E11541,[3]VLP!$B$7:$K$300,10,0)</f>
        <v>447636</v>
      </c>
      <c r="J11541" s="912">
        <f t="shared" si="928"/>
        <v>44763.600000000006</v>
      </c>
      <c r="K11541" s="912" t="s">
        <v>274</v>
      </c>
      <c r="L11541" s="912"/>
      <c r="M11541" s="912"/>
      <c r="N11541" s="912"/>
      <c r="O11541" s="892">
        <f t="shared" si="922"/>
        <v>0</v>
      </c>
      <c r="P11541" s="903">
        <f t="shared" si="923"/>
        <v>1</v>
      </c>
      <c r="Q11541" s="893">
        <f t="shared" si="924"/>
        <v>5</v>
      </c>
      <c r="R11541" s="894">
        <f t="shared" si="925"/>
        <v>0</v>
      </c>
    </row>
    <row r="11542" spans="1:18" s="904" customFormat="1">
      <c r="A11542" s="905"/>
      <c r="B11542" s="952"/>
      <c r="C11542" s="907">
        <v>203</v>
      </c>
      <c r="D11542" s="907" t="s">
        <v>279</v>
      </c>
      <c r="E11542" s="992" t="s">
        <v>5656</v>
      </c>
      <c r="F11542" s="905" t="s">
        <v>6796</v>
      </c>
      <c r="G11542" s="1005"/>
      <c r="H11542" s="911">
        <v>0.3</v>
      </c>
      <c r="I11542" s="912">
        <f>VLOOKUP(E11542,[3]VLP!$B$7:$K$300,10,0)</f>
        <v>5000</v>
      </c>
      <c r="J11542" s="912">
        <f t="shared" si="928"/>
        <v>1500</v>
      </c>
      <c r="K11542" s="912" t="s">
        <v>274</v>
      </c>
      <c r="L11542" s="912"/>
      <c r="M11542" s="912"/>
      <c r="N11542" s="912"/>
      <c r="O11542" s="892">
        <f t="shared" si="922"/>
        <v>0</v>
      </c>
      <c r="P11542" s="903">
        <f t="shared" si="923"/>
        <v>1</v>
      </c>
      <c r="Q11542" s="893">
        <f t="shared" si="924"/>
        <v>4</v>
      </c>
      <c r="R11542" s="894">
        <f t="shared" si="925"/>
        <v>0</v>
      </c>
    </row>
    <row r="11543" spans="1:18">
      <c r="A11543" s="905"/>
      <c r="B11543" s="952"/>
      <c r="C11543" s="907">
        <v>315</v>
      </c>
      <c r="D11543" s="907" t="s">
        <v>279</v>
      </c>
      <c r="E11543" s="992" t="s">
        <v>6316</v>
      </c>
      <c r="F11543" s="905" t="s">
        <v>49</v>
      </c>
      <c r="G11543" s="1005"/>
      <c r="H11543" s="911">
        <v>0.5</v>
      </c>
      <c r="I11543" s="912">
        <f>VLOOKUP(E11543,[3]VLP!$B$7:$K$300,10,0)</f>
        <v>8000</v>
      </c>
      <c r="J11543" s="912">
        <f t="shared" si="928"/>
        <v>4000</v>
      </c>
      <c r="K11543" s="912" t="s">
        <v>274</v>
      </c>
      <c r="L11543" s="912"/>
      <c r="M11543" s="912"/>
      <c r="N11543" s="912"/>
      <c r="O11543" s="892">
        <f t="shared" si="922"/>
        <v>0</v>
      </c>
      <c r="P11543" s="903">
        <f t="shared" si="923"/>
        <v>1</v>
      </c>
      <c r="Q11543" s="893">
        <f t="shared" si="924"/>
        <v>3</v>
      </c>
      <c r="R11543" s="894">
        <f t="shared" si="925"/>
        <v>0</v>
      </c>
    </row>
    <row r="11544" spans="1:18">
      <c r="A11544" s="895"/>
      <c r="B11544" s="896"/>
      <c r="C11544" s="897"/>
      <c r="D11544" s="897"/>
      <c r="E11544" s="1002" t="s">
        <v>276</v>
      </c>
      <c r="F11544" s="1003"/>
      <c r="G11544" s="1004"/>
      <c r="H11544" s="901"/>
      <c r="I11544" s="902"/>
      <c r="J11544" s="902"/>
      <c r="K11544" s="912" t="s">
        <v>274</v>
      </c>
      <c r="L11544" s="902"/>
      <c r="M11544" s="902"/>
      <c r="N11544" s="902"/>
      <c r="O11544" s="892">
        <f t="shared" si="922"/>
        <v>0</v>
      </c>
      <c r="P11544" s="903">
        <f t="shared" si="923"/>
        <v>1</v>
      </c>
      <c r="Q11544" s="893">
        <f t="shared" si="924"/>
        <v>2</v>
      </c>
      <c r="R11544" s="894">
        <f t="shared" si="925"/>
        <v>0</v>
      </c>
    </row>
    <row r="11545" spans="1:18">
      <c r="A11545" s="905"/>
      <c r="B11545" s="952"/>
      <c r="C11545" s="907">
        <v>740</v>
      </c>
      <c r="D11545" s="907" t="s">
        <v>12</v>
      </c>
      <c r="E11545" s="992" t="s">
        <v>4008</v>
      </c>
      <c r="F11545" s="905" t="s">
        <v>2674</v>
      </c>
      <c r="G11545" s="1005"/>
      <c r="H11545" s="911">
        <v>2.5</v>
      </c>
      <c r="I11545" s="912"/>
      <c r="J11545" s="912"/>
      <c r="K11545" s="912">
        <f>VLOOKUP(E11545,[5]ĐMNC!$A$7:$F$67,4,0)</f>
        <v>221125</v>
      </c>
      <c r="L11545" s="912">
        <f>H11545*K11545</f>
        <v>552812.5</v>
      </c>
      <c r="M11545" s="912"/>
      <c r="N11545" s="912"/>
      <c r="O11545" s="892">
        <f t="shared" si="922"/>
        <v>0</v>
      </c>
      <c r="P11545" s="903">
        <f t="shared" si="923"/>
        <v>1</v>
      </c>
      <c r="Q11545" s="893">
        <f t="shared" si="924"/>
        <v>1</v>
      </c>
      <c r="R11545" s="894">
        <f t="shared" si="925"/>
        <v>0</v>
      </c>
    </row>
    <row r="11546" spans="1:18" s="847" customFormat="1">
      <c r="A11546" s="905">
        <v>278</v>
      </c>
      <c r="B11546" s="1018" t="s">
        <v>6937</v>
      </c>
      <c r="C11546" s="915"/>
      <c r="D11546" s="915"/>
      <c r="E11546" s="1006" t="s">
        <v>6938</v>
      </c>
      <c r="F11546" s="917" t="s">
        <v>51</v>
      </c>
      <c r="G11546" s="1008"/>
      <c r="H11546" s="919"/>
      <c r="I11546" s="920"/>
      <c r="J11546" s="962">
        <f>SUM(J11547:J11555)</f>
        <v>85173.700000000012</v>
      </c>
      <c r="K11546" s="891" t="s">
        <v>274</v>
      </c>
      <c r="L11546" s="962">
        <f>SUM(L11547:L11555)</f>
        <v>773937.5</v>
      </c>
      <c r="M11546" s="962"/>
      <c r="N11546" s="962">
        <f>SUM(N11547:N11555)</f>
        <v>0</v>
      </c>
      <c r="O11546" s="892">
        <f t="shared" si="922"/>
        <v>1</v>
      </c>
      <c r="P11546" s="903">
        <f t="shared" si="923"/>
        <v>0</v>
      </c>
      <c r="Q11546" s="893">
        <f t="shared" si="924"/>
        <v>0</v>
      </c>
      <c r="R11546" s="894">
        <f t="shared" si="925"/>
        <v>9</v>
      </c>
    </row>
    <row r="11547" spans="1:18" s="904" customFormat="1">
      <c r="A11547" s="895"/>
      <c r="B11547" s="896"/>
      <c r="C11547" s="897"/>
      <c r="D11547" s="897"/>
      <c r="E11547" s="1002" t="s">
        <v>108</v>
      </c>
      <c r="F11547" s="1003"/>
      <c r="G11547" s="1004"/>
      <c r="H11547" s="901"/>
      <c r="I11547" s="902"/>
      <c r="J11547" s="902"/>
      <c r="K11547" s="912" t="s">
        <v>274</v>
      </c>
      <c r="L11547" s="902"/>
      <c r="M11547" s="902"/>
      <c r="N11547" s="902"/>
      <c r="O11547" s="892">
        <f t="shared" si="922"/>
        <v>0</v>
      </c>
      <c r="P11547" s="903">
        <f t="shared" si="923"/>
        <v>1</v>
      </c>
      <c r="Q11547" s="893">
        <f t="shared" si="924"/>
        <v>9</v>
      </c>
      <c r="R11547" s="894">
        <f t="shared" si="925"/>
        <v>0</v>
      </c>
    </row>
    <row r="11548" spans="1:18">
      <c r="A11548" s="905"/>
      <c r="B11548" s="952"/>
      <c r="C11548" s="907">
        <v>318</v>
      </c>
      <c r="D11548" s="907" t="s">
        <v>279</v>
      </c>
      <c r="E11548" s="992" t="s">
        <v>5657</v>
      </c>
      <c r="F11548" s="905" t="s">
        <v>45</v>
      </c>
      <c r="G11548" s="1005"/>
      <c r="H11548" s="911">
        <v>0.3</v>
      </c>
      <c r="I11548" s="912">
        <f>VLOOKUP(E11548,[3]VLP!$B$7:$K$300,10,0)</f>
        <v>25155</v>
      </c>
      <c r="J11548" s="912">
        <f t="shared" ref="J11548:J11553" si="929">I11548*H11548</f>
        <v>7546.5</v>
      </c>
      <c r="K11548" s="912" t="s">
        <v>274</v>
      </c>
      <c r="L11548" s="912"/>
      <c r="M11548" s="912"/>
      <c r="N11548" s="912"/>
      <c r="O11548" s="892">
        <f t="shared" si="922"/>
        <v>0</v>
      </c>
      <c r="P11548" s="903">
        <f t="shared" si="923"/>
        <v>1</v>
      </c>
      <c r="Q11548" s="893">
        <f t="shared" si="924"/>
        <v>8</v>
      </c>
      <c r="R11548" s="894">
        <f t="shared" si="925"/>
        <v>0</v>
      </c>
    </row>
    <row r="11549" spans="1:18">
      <c r="A11549" s="905"/>
      <c r="B11549" s="952"/>
      <c r="C11549" s="907">
        <v>320</v>
      </c>
      <c r="D11549" s="907" t="s">
        <v>279</v>
      </c>
      <c r="E11549" s="992" t="s">
        <v>6908</v>
      </c>
      <c r="F11549" s="905" t="s">
        <v>45</v>
      </c>
      <c r="G11549" s="1005"/>
      <c r="H11549" s="911">
        <v>0.4</v>
      </c>
      <c r="I11549" s="912">
        <f>VLOOKUP(E11549,[3]VLP!$B$7:$K$300,10,0)</f>
        <v>50000</v>
      </c>
      <c r="J11549" s="912">
        <f t="shared" si="929"/>
        <v>20000</v>
      </c>
      <c r="K11549" s="912" t="s">
        <v>274</v>
      </c>
      <c r="L11549" s="912"/>
      <c r="M11549" s="912"/>
      <c r="N11549" s="912"/>
      <c r="O11549" s="892">
        <f t="shared" si="922"/>
        <v>0</v>
      </c>
      <c r="P11549" s="903">
        <f t="shared" si="923"/>
        <v>1</v>
      </c>
      <c r="Q11549" s="893">
        <f t="shared" si="924"/>
        <v>7</v>
      </c>
      <c r="R11549" s="894">
        <f t="shared" si="925"/>
        <v>0</v>
      </c>
    </row>
    <row r="11550" spans="1:18">
      <c r="A11550" s="905"/>
      <c r="B11550" s="952"/>
      <c r="C11550" s="907">
        <v>311</v>
      </c>
      <c r="D11550" s="907" t="s">
        <v>279</v>
      </c>
      <c r="E11550" s="992" t="s">
        <v>6878</v>
      </c>
      <c r="F11550" s="905" t="s">
        <v>45</v>
      </c>
      <c r="G11550" s="1005"/>
      <c r="H11550" s="911">
        <v>0.1</v>
      </c>
      <c r="I11550" s="912">
        <f>VLOOKUP(E11550,[3]VLP!$B$7:$K$300,10,0)</f>
        <v>73636</v>
      </c>
      <c r="J11550" s="912">
        <f t="shared" si="929"/>
        <v>7363.6</v>
      </c>
      <c r="K11550" s="912" t="s">
        <v>274</v>
      </c>
      <c r="L11550" s="912"/>
      <c r="M11550" s="912"/>
      <c r="N11550" s="912"/>
      <c r="O11550" s="892">
        <f t="shared" si="922"/>
        <v>0</v>
      </c>
      <c r="P11550" s="903">
        <f t="shared" si="923"/>
        <v>1</v>
      </c>
      <c r="Q11550" s="893">
        <f t="shared" si="924"/>
        <v>6</v>
      </c>
      <c r="R11550" s="894">
        <f t="shared" si="925"/>
        <v>0</v>
      </c>
    </row>
    <row r="11551" spans="1:18" s="904" customFormat="1">
      <c r="A11551" s="905"/>
      <c r="B11551" s="952"/>
      <c r="C11551" s="907">
        <v>307</v>
      </c>
      <c r="D11551" s="907" t="s">
        <v>279</v>
      </c>
      <c r="E11551" s="992" t="s">
        <v>6932</v>
      </c>
      <c r="F11551" s="905" t="s">
        <v>45</v>
      </c>
      <c r="G11551" s="1005"/>
      <c r="H11551" s="911">
        <v>0.1</v>
      </c>
      <c r="I11551" s="912">
        <f>VLOOKUP(E11551,[3]VLP!$B$7:$K$300,10,0)</f>
        <v>447636</v>
      </c>
      <c r="J11551" s="912">
        <f t="shared" si="929"/>
        <v>44763.600000000006</v>
      </c>
      <c r="K11551" s="912" t="s">
        <v>274</v>
      </c>
      <c r="L11551" s="912"/>
      <c r="M11551" s="912"/>
      <c r="N11551" s="912"/>
      <c r="O11551" s="892">
        <f t="shared" ref="O11551:O11614" si="930">IF(AND(B11551&lt;&gt;"",D11551=""),1,0)</f>
        <v>0</v>
      </c>
      <c r="P11551" s="903">
        <f t="shared" si="923"/>
        <v>1</v>
      </c>
      <c r="Q11551" s="893">
        <f t="shared" si="924"/>
        <v>5</v>
      </c>
      <c r="R11551" s="894">
        <f t="shared" si="925"/>
        <v>0</v>
      </c>
    </row>
    <row r="11552" spans="1:18">
      <c r="A11552" s="905"/>
      <c r="B11552" s="952"/>
      <c r="C11552" s="907">
        <v>203</v>
      </c>
      <c r="D11552" s="907" t="s">
        <v>279</v>
      </c>
      <c r="E11552" s="992" t="s">
        <v>5656</v>
      </c>
      <c r="F11552" s="905" t="s">
        <v>6796</v>
      </c>
      <c r="G11552" s="1005"/>
      <c r="H11552" s="911">
        <v>0.3</v>
      </c>
      <c r="I11552" s="912">
        <f>VLOOKUP(E11552,[3]VLP!$B$7:$K$300,10,0)</f>
        <v>5000</v>
      </c>
      <c r="J11552" s="912">
        <f t="shared" si="929"/>
        <v>1500</v>
      </c>
      <c r="K11552" s="912" t="s">
        <v>274</v>
      </c>
      <c r="L11552" s="912"/>
      <c r="M11552" s="912"/>
      <c r="N11552" s="912"/>
      <c r="O11552" s="892">
        <f t="shared" si="930"/>
        <v>0</v>
      </c>
      <c r="P11552" s="903">
        <f t="shared" si="923"/>
        <v>1</v>
      </c>
      <c r="Q11552" s="893">
        <f t="shared" si="924"/>
        <v>4</v>
      </c>
      <c r="R11552" s="894">
        <f t="shared" si="925"/>
        <v>0</v>
      </c>
    </row>
    <row r="11553" spans="1:18" s="847" customFormat="1">
      <c r="A11553" s="905"/>
      <c r="B11553" s="952"/>
      <c r="C11553" s="907">
        <v>315</v>
      </c>
      <c r="D11553" s="907" t="s">
        <v>279</v>
      </c>
      <c r="E11553" s="992" t="s">
        <v>6316</v>
      </c>
      <c r="F11553" s="905" t="s">
        <v>49</v>
      </c>
      <c r="G11553" s="1005"/>
      <c r="H11553" s="911">
        <v>0.5</v>
      </c>
      <c r="I11553" s="912">
        <f>VLOOKUP(E11553,[3]VLP!$B$7:$K$300,10,0)</f>
        <v>8000</v>
      </c>
      <c r="J11553" s="912">
        <f t="shared" si="929"/>
        <v>4000</v>
      </c>
      <c r="K11553" s="912" t="s">
        <v>274</v>
      </c>
      <c r="L11553" s="912"/>
      <c r="M11553" s="912"/>
      <c r="N11553" s="912"/>
      <c r="O11553" s="892">
        <f t="shared" si="930"/>
        <v>0</v>
      </c>
      <c r="P11553" s="903">
        <f t="shared" si="923"/>
        <v>1</v>
      </c>
      <c r="Q11553" s="893">
        <f t="shared" si="924"/>
        <v>3</v>
      </c>
      <c r="R11553" s="894">
        <f t="shared" si="925"/>
        <v>0</v>
      </c>
    </row>
    <row r="11554" spans="1:18" s="904" customFormat="1">
      <c r="A11554" s="895"/>
      <c r="B11554" s="896"/>
      <c r="C11554" s="897"/>
      <c r="D11554" s="897"/>
      <c r="E11554" s="1002" t="s">
        <v>276</v>
      </c>
      <c r="F11554" s="1003"/>
      <c r="G11554" s="1004"/>
      <c r="H11554" s="901"/>
      <c r="I11554" s="902"/>
      <c r="J11554" s="902"/>
      <c r="K11554" s="912" t="s">
        <v>274</v>
      </c>
      <c r="L11554" s="902"/>
      <c r="M11554" s="902"/>
      <c r="N11554" s="902"/>
      <c r="O11554" s="892">
        <f t="shared" si="930"/>
        <v>0</v>
      </c>
      <c r="P11554" s="903">
        <f t="shared" si="923"/>
        <v>1</v>
      </c>
      <c r="Q11554" s="893">
        <f t="shared" si="924"/>
        <v>2</v>
      </c>
      <c r="R11554" s="894">
        <f t="shared" si="925"/>
        <v>0</v>
      </c>
    </row>
    <row r="11555" spans="1:18">
      <c r="A11555" s="905"/>
      <c r="B11555" s="952"/>
      <c r="C11555" s="907">
        <v>740</v>
      </c>
      <c r="D11555" s="907" t="s">
        <v>12</v>
      </c>
      <c r="E11555" s="992" t="s">
        <v>4008</v>
      </c>
      <c r="F11555" s="905" t="s">
        <v>2674</v>
      </c>
      <c r="G11555" s="1005"/>
      <c r="H11555" s="911">
        <v>3.5</v>
      </c>
      <c r="I11555" s="912"/>
      <c r="J11555" s="912"/>
      <c r="K11555" s="912">
        <f>VLOOKUP(E11555,[5]ĐMNC!$A$7:$F$67,4,0)</f>
        <v>221125</v>
      </c>
      <c r="L11555" s="912">
        <f>H11555*K11555</f>
        <v>773937.5</v>
      </c>
      <c r="M11555" s="912"/>
      <c r="N11555" s="912"/>
      <c r="O11555" s="892">
        <f t="shared" si="930"/>
        <v>0</v>
      </c>
      <c r="P11555" s="903">
        <f t="shared" si="923"/>
        <v>1</v>
      </c>
      <c r="Q11555" s="893">
        <f t="shared" si="924"/>
        <v>1</v>
      </c>
      <c r="R11555" s="894">
        <f t="shared" si="925"/>
        <v>0</v>
      </c>
    </row>
    <row r="11556" spans="1:18">
      <c r="A11556" s="905">
        <v>279</v>
      </c>
      <c r="B11556" s="1018" t="s">
        <v>6939</v>
      </c>
      <c r="C11556" s="915"/>
      <c r="D11556" s="915"/>
      <c r="E11556" s="1006" t="s">
        <v>6940</v>
      </c>
      <c r="F11556" s="917" t="s">
        <v>51</v>
      </c>
      <c r="G11556" s="1008"/>
      <c r="H11556" s="919"/>
      <c r="I11556" s="920"/>
      <c r="J11556" s="962">
        <f>SUM(J11557:J11565)</f>
        <v>98189.200000000012</v>
      </c>
      <c r="K11556" s="891" t="s">
        <v>274</v>
      </c>
      <c r="L11556" s="962">
        <f>SUM(L11557:L11565)</f>
        <v>884500</v>
      </c>
      <c r="M11556" s="962"/>
      <c r="N11556" s="962">
        <f>SUM(N11557:N11565)</f>
        <v>0</v>
      </c>
      <c r="O11556" s="892">
        <f t="shared" si="930"/>
        <v>1</v>
      </c>
      <c r="P11556" s="903">
        <f t="shared" si="923"/>
        <v>0</v>
      </c>
      <c r="Q11556" s="893">
        <f t="shared" si="924"/>
        <v>0</v>
      </c>
      <c r="R11556" s="894">
        <f t="shared" si="925"/>
        <v>9</v>
      </c>
    </row>
    <row r="11557" spans="1:18">
      <c r="A11557" s="895"/>
      <c r="B11557" s="896"/>
      <c r="C11557" s="897"/>
      <c r="D11557" s="897"/>
      <c r="E11557" s="1002" t="s">
        <v>108</v>
      </c>
      <c r="F11557" s="1003"/>
      <c r="G11557" s="1004"/>
      <c r="H11557" s="901"/>
      <c r="I11557" s="902"/>
      <c r="J11557" s="902"/>
      <c r="K11557" s="912" t="s">
        <v>274</v>
      </c>
      <c r="L11557" s="902"/>
      <c r="M11557" s="902"/>
      <c r="N11557" s="902"/>
      <c r="O11557" s="892">
        <f t="shared" si="930"/>
        <v>0</v>
      </c>
      <c r="P11557" s="903">
        <f t="shared" si="923"/>
        <v>1</v>
      </c>
      <c r="Q11557" s="893">
        <f t="shared" si="924"/>
        <v>9</v>
      </c>
      <c r="R11557" s="894">
        <f t="shared" si="925"/>
        <v>0</v>
      </c>
    </row>
    <row r="11558" spans="1:18" s="904" customFormat="1">
      <c r="A11558" s="905"/>
      <c r="B11558" s="952"/>
      <c r="C11558" s="907">
        <v>318</v>
      </c>
      <c r="D11558" s="907" t="s">
        <v>279</v>
      </c>
      <c r="E11558" s="992" t="s">
        <v>5657</v>
      </c>
      <c r="F11558" s="905" t="s">
        <v>45</v>
      </c>
      <c r="G11558" s="1005"/>
      <c r="H11558" s="911">
        <v>0.4</v>
      </c>
      <c r="I11558" s="912">
        <f>VLOOKUP(E11558,[3]VLP!$B$7:$K$300,10,0)</f>
        <v>25155</v>
      </c>
      <c r="J11558" s="912">
        <f t="shared" ref="J11558:J11563" si="931">I11558*H11558</f>
        <v>10062</v>
      </c>
      <c r="K11558" s="912" t="s">
        <v>274</v>
      </c>
      <c r="L11558" s="912"/>
      <c r="M11558" s="912"/>
      <c r="N11558" s="912"/>
      <c r="O11558" s="892">
        <f t="shared" si="930"/>
        <v>0</v>
      </c>
      <c r="P11558" s="903">
        <f t="shared" si="923"/>
        <v>1</v>
      </c>
      <c r="Q11558" s="893">
        <f t="shared" si="924"/>
        <v>8</v>
      </c>
      <c r="R11558" s="894">
        <f t="shared" si="925"/>
        <v>0</v>
      </c>
    </row>
    <row r="11559" spans="1:18">
      <c r="A11559" s="905"/>
      <c r="B11559" s="952"/>
      <c r="C11559" s="907">
        <v>320</v>
      </c>
      <c r="D11559" s="907" t="s">
        <v>279</v>
      </c>
      <c r="E11559" s="992" t="s">
        <v>6908</v>
      </c>
      <c r="F11559" s="905" t="s">
        <v>45</v>
      </c>
      <c r="G11559" s="1005"/>
      <c r="H11559" s="911">
        <v>0.6</v>
      </c>
      <c r="I11559" s="912">
        <f>VLOOKUP(E11559,[3]VLP!$B$7:$K$300,10,0)</f>
        <v>50000</v>
      </c>
      <c r="J11559" s="912">
        <f t="shared" si="931"/>
        <v>30000</v>
      </c>
      <c r="K11559" s="912" t="s">
        <v>274</v>
      </c>
      <c r="L11559" s="912"/>
      <c r="M11559" s="912"/>
      <c r="N11559" s="912"/>
      <c r="O11559" s="892">
        <f t="shared" si="930"/>
        <v>0</v>
      </c>
      <c r="P11559" s="903">
        <f t="shared" si="923"/>
        <v>1</v>
      </c>
      <c r="Q11559" s="893">
        <f t="shared" si="924"/>
        <v>7</v>
      </c>
      <c r="R11559" s="894">
        <f t="shared" si="925"/>
        <v>0</v>
      </c>
    </row>
    <row r="11560" spans="1:18" s="847" customFormat="1">
      <c r="A11560" s="905"/>
      <c r="B11560" s="952"/>
      <c r="C11560" s="907">
        <v>311</v>
      </c>
      <c r="D11560" s="907" t="s">
        <v>279</v>
      </c>
      <c r="E11560" s="992" t="s">
        <v>6878</v>
      </c>
      <c r="F11560" s="905" t="s">
        <v>45</v>
      </c>
      <c r="G11560" s="1005"/>
      <c r="H11560" s="911">
        <v>0.1</v>
      </c>
      <c r="I11560" s="912">
        <f>VLOOKUP(E11560,[3]VLP!$B$7:$K$300,10,0)</f>
        <v>73636</v>
      </c>
      <c r="J11560" s="912">
        <f t="shared" si="931"/>
        <v>7363.6</v>
      </c>
      <c r="K11560" s="912" t="s">
        <v>274</v>
      </c>
      <c r="L11560" s="912"/>
      <c r="M11560" s="912"/>
      <c r="N11560" s="912"/>
      <c r="O11560" s="892">
        <f t="shared" si="930"/>
        <v>0</v>
      </c>
      <c r="P11560" s="903">
        <f t="shared" si="923"/>
        <v>1</v>
      </c>
      <c r="Q11560" s="893">
        <f t="shared" si="924"/>
        <v>6</v>
      </c>
      <c r="R11560" s="894">
        <f t="shared" si="925"/>
        <v>0</v>
      </c>
    </row>
    <row r="11561" spans="1:18" s="904" customFormat="1">
      <c r="A11561" s="905"/>
      <c r="B11561" s="952"/>
      <c r="C11561" s="907">
        <v>307</v>
      </c>
      <c r="D11561" s="907" t="s">
        <v>279</v>
      </c>
      <c r="E11561" s="992" t="s">
        <v>6932</v>
      </c>
      <c r="F11561" s="905" t="s">
        <v>45</v>
      </c>
      <c r="G11561" s="1005"/>
      <c r="H11561" s="911">
        <v>0.1</v>
      </c>
      <c r="I11561" s="912">
        <f>VLOOKUP(E11561,[3]VLP!$B$7:$K$300,10,0)</f>
        <v>447636</v>
      </c>
      <c r="J11561" s="912">
        <f t="shared" si="931"/>
        <v>44763.600000000006</v>
      </c>
      <c r="K11561" s="912" t="s">
        <v>274</v>
      </c>
      <c r="L11561" s="912"/>
      <c r="M11561" s="912"/>
      <c r="N11561" s="912"/>
      <c r="O11561" s="892">
        <f t="shared" si="930"/>
        <v>0</v>
      </c>
      <c r="P11561" s="903">
        <f t="shared" si="923"/>
        <v>1</v>
      </c>
      <c r="Q11561" s="893">
        <f t="shared" si="924"/>
        <v>5</v>
      </c>
      <c r="R11561" s="894">
        <f t="shared" si="925"/>
        <v>0</v>
      </c>
    </row>
    <row r="11562" spans="1:18">
      <c r="A11562" s="905"/>
      <c r="B11562" s="952"/>
      <c r="C11562" s="907">
        <v>203</v>
      </c>
      <c r="D11562" s="907" t="s">
        <v>279</v>
      </c>
      <c r="E11562" s="992" t="s">
        <v>5656</v>
      </c>
      <c r="F11562" s="905" t="s">
        <v>6796</v>
      </c>
      <c r="G11562" s="1005"/>
      <c r="H11562" s="911">
        <v>0.4</v>
      </c>
      <c r="I11562" s="912">
        <f>VLOOKUP(E11562,[3]VLP!$B$7:$K$300,10,0)</f>
        <v>5000</v>
      </c>
      <c r="J11562" s="912">
        <f t="shared" si="931"/>
        <v>2000</v>
      </c>
      <c r="K11562" s="912" t="s">
        <v>274</v>
      </c>
      <c r="L11562" s="912"/>
      <c r="M11562" s="912"/>
      <c r="N11562" s="912"/>
      <c r="O11562" s="892">
        <f t="shared" si="930"/>
        <v>0</v>
      </c>
      <c r="P11562" s="903">
        <f t="shared" si="923"/>
        <v>1</v>
      </c>
      <c r="Q11562" s="893">
        <f t="shared" si="924"/>
        <v>4</v>
      </c>
      <c r="R11562" s="894">
        <f t="shared" si="925"/>
        <v>0</v>
      </c>
    </row>
    <row r="11563" spans="1:18">
      <c r="A11563" s="905"/>
      <c r="B11563" s="952"/>
      <c r="C11563" s="907">
        <v>315</v>
      </c>
      <c r="D11563" s="907" t="s">
        <v>279</v>
      </c>
      <c r="E11563" s="992" t="s">
        <v>6316</v>
      </c>
      <c r="F11563" s="905" t="s">
        <v>49</v>
      </c>
      <c r="G11563" s="1005"/>
      <c r="H11563" s="911">
        <v>0.5</v>
      </c>
      <c r="I11563" s="912">
        <f>VLOOKUP(E11563,[3]VLP!$B$7:$K$300,10,0)</f>
        <v>8000</v>
      </c>
      <c r="J11563" s="912">
        <f t="shared" si="931"/>
        <v>4000</v>
      </c>
      <c r="K11563" s="912" t="s">
        <v>274</v>
      </c>
      <c r="L11563" s="912"/>
      <c r="M11563" s="912"/>
      <c r="N11563" s="912"/>
      <c r="O11563" s="892">
        <f t="shared" si="930"/>
        <v>0</v>
      </c>
      <c r="P11563" s="903">
        <f t="shared" si="923"/>
        <v>1</v>
      </c>
      <c r="Q11563" s="893">
        <f t="shared" si="924"/>
        <v>3</v>
      </c>
      <c r="R11563" s="894">
        <f t="shared" si="925"/>
        <v>0</v>
      </c>
    </row>
    <row r="11564" spans="1:18">
      <c r="A11564" s="895"/>
      <c r="B11564" s="896"/>
      <c r="C11564" s="897"/>
      <c r="D11564" s="897"/>
      <c r="E11564" s="1002" t="s">
        <v>276</v>
      </c>
      <c r="F11564" s="1003"/>
      <c r="G11564" s="1004"/>
      <c r="H11564" s="901"/>
      <c r="I11564" s="902"/>
      <c r="J11564" s="902"/>
      <c r="K11564" s="912" t="s">
        <v>274</v>
      </c>
      <c r="L11564" s="902"/>
      <c r="M11564" s="902"/>
      <c r="N11564" s="902"/>
      <c r="O11564" s="892">
        <f t="shared" si="930"/>
        <v>0</v>
      </c>
      <c r="P11564" s="903">
        <f t="shared" si="923"/>
        <v>1</v>
      </c>
      <c r="Q11564" s="893">
        <f t="shared" si="924"/>
        <v>2</v>
      </c>
      <c r="R11564" s="894">
        <f t="shared" si="925"/>
        <v>0</v>
      </c>
    </row>
    <row r="11565" spans="1:18" s="904" customFormat="1">
      <c r="A11565" s="905"/>
      <c r="B11565" s="952"/>
      <c r="C11565" s="907">
        <v>740</v>
      </c>
      <c r="D11565" s="907" t="s">
        <v>12</v>
      </c>
      <c r="E11565" s="992" t="s">
        <v>4008</v>
      </c>
      <c r="F11565" s="905" t="s">
        <v>2674</v>
      </c>
      <c r="G11565" s="1005"/>
      <c r="H11565" s="911">
        <v>4</v>
      </c>
      <c r="I11565" s="912"/>
      <c r="J11565" s="912"/>
      <c r="K11565" s="912">
        <f>VLOOKUP(E11565,[5]ĐMNC!$A$7:$F$67,4,0)</f>
        <v>221125</v>
      </c>
      <c r="L11565" s="912">
        <f>H11565*K11565</f>
        <v>884500</v>
      </c>
      <c r="M11565" s="912"/>
      <c r="N11565" s="912"/>
      <c r="O11565" s="892">
        <f t="shared" si="930"/>
        <v>0</v>
      </c>
      <c r="P11565" s="903">
        <f t="shared" si="923"/>
        <v>1</v>
      </c>
      <c r="Q11565" s="893">
        <f t="shared" si="924"/>
        <v>1</v>
      </c>
      <c r="R11565" s="894">
        <f t="shared" si="925"/>
        <v>0</v>
      </c>
    </row>
    <row r="11566" spans="1:18">
      <c r="A11566" s="905">
        <v>280</v>
      </c>
      <c r="B11566" s="1018" t="s">
        <v>6941</v>
      </c>
      <c r="C11566" s="915"/>
      <c r="D11566" s="915"/>
      <c r="E11566" s="1006" t="s">
        <v>6942</v>
      </c>
      <c r="F11566" s="917" t="s">
        <v>51</v>
      </c>
      <c r="G11566" s="1008"/>
      <c r="H11566" s="919"/>
      <c r="I11566" s="920"/>
      <c r="J11566" s="962">
        <f>SUM(J11567:J11575)</f>
        <v>98189.200000000012</v>
      </c>
      <c r="K11566" s="891" t="s">
        <v>274</v>
      </c>
      <c r="L11566" s="962">
        <f>SUM(L11567:L11575)</f>
        <v>1216187.5</v>
      </c>
      <c r="M11566" s="962"/>
      <c r="N11566" s="962">
        <f>SUM(N11567:N11575)</f>
        <v>0</v>
      </c>
      <c r="O11566" s="892">
        <f t="shared" si="930"/>
        <v>1</v>
      </c>
      <c r="P11566" s="903">
        <f t="shared" si="923"/>
        <v>0</v>
      </c>
      <c r="Q11566" s="893">
        <f t="shared" si="924"/>
        <v>0</v>
      </c>
      <c r="R11566" s="894">
        <f t="shared" si="925"/>
        <v>9</v>
      </c>
    </row>
    <row r="11567" spans="1:18" s="847" customFormat="1">
      <c r="A11567" s="895"/>
      <c r="B11567" s="896"/>
      <c r="C11567" s="897"/>
      <c r="D11567" s="897"/>
      <c r="E11567" s="1002" t="s">
        <v>108</v>
      </c>
      <c r="F11567" s="1003"/>
      <c r="G11567" s="1004"/>
      <c r="H11567" s="901"/>
      <c r="I11567" s="902"/>
      <c r="J11567" s="902"/>
      <c r="K11567" s="912" t="s">
        <v>274</v>
      </c>
      <c r="L11567" s="902"/>
      <c r="M11567" s="902"/>
      <c r="N11567" s="902"/>
      <c r="O11567" s="892">
        <f t="shared" si="930"/>
        <v>0</v>
      </c>
      <c r="P11567" s="903">
        <f t="shared" si="923"/>
        <v>1</v>
      </c>
      <c r="Q11567" s="893">
        <f t="shared" si="924"/>
        <v>9</v>
      </c>
      <c r="R11567" s="894">
        <f t="shared" si="925"/>
        <v>0</v>
      </c>
    </row>
    <row r="11568" spans="1:18" s="904" customFormat="1">
      <c r="A11568" s="905"/>
      <c r="B11568" s="952"/>
      <c r="C11568" s="907">
        <v>318</v>
      </c>
      <c r="D11568" s="907" t="s">
        <v>279</v>
      </c>
      <c r="E11568" s="992" t="s">
        <v>5657</v>
      </c>
      <c r="F11568" s="905" t="s">
        <v>45</v>
      </c>
      <c r="G11568" s="1005"/>
      <c r="H11568" s="911">
        <v>0.4</v>
      </c>
      <c r="I11568" s="912">
        <f>VLOOKUP(E11568,[3]VLP!$B$7:$K$300,10,0)</f>
        <v>25155</v>
      </c>
      <c r="J11568" s="912">
        <f t="shared" ref="J11568:J11573" si="932">I11568*H11568</f>
        <v>10062</v>
      </c>
      <c r="K11568" s="912" t="s">
        <v>274</v>
      </c>
      <c r="L11568" s="912"/>
      <c r="M11568" s="912"/>
      <c r="N11568" s="912"/>
      <c r="O11568" s="892">
        <f t="shared" si="930"/>
        <v>0</v>
      </c>
      <c r="P11568" s="903">
        <f t="shared" si="923"/>
        <v>1</v>
      </c>
      <c r="Q11568" s="893">
        <f t="shared" si="924"/>
        <v>8</v>
      </c>
      <c r="R11568" s="894">
        <f t="shared" si="925"/>
        <v>0</v>
      </c>
    </row>
    <row r="11569" spans="1:18">
      <c r="A11569" s="905"/>
      <c r="B11569" s="952"/>
      <c r="C11569" s="907">
        <v>320</v>
      </c>
      <c r="D11569" s="907" t="s">
        <v>279</v>
      </c>
      <c r="E11569" s="992" t="s">
        <v>6908</v>
      </c>
      <c r="F11569" s="905" t="s">
        <v>45</v>
      </c>
      <c r="G11569" s="1005"/>
      <c r="H11569" s="911">
        <v>0.6</v>
      </c>
      <c r="I11569" s="912">
        <f>VLOOKUP(E11569,[3]VLP!$B$7:$K$300,10,0)</f>
        <v>50000</v>
      </c>
      <c r="J11569" s="912">
        <f t="shared" si="932"/>
        <v>30000</v>
      </c>
      <c r="K11569" s="912" t="s">
        <v>274</v>
      </c>
      <c r="L11569" s="912"/>
      <c r="M11569" s="912"/>
      <c r="N11569" s="912"/>
      <c r="O11569" s="892">
        <f t="shared" si="930"/>
        <v>0</v>
      </c>
      <c r="P11569" s="903">
        <f t="shared" si="923"/>
        <v>1</v>
      </c>
      <c r="Q11569" s="893">
        <f t="shared" si="924"/>
        <v>7</v>
      </c>
      <c r="R11569" s="894">
        <f t="shared" si="925"/>
        <v>0</v>
      </c>
    </row>
    <row r="11570" spans="1:18">
      <c r="A11570" s="905"/>
      <c r="B11570" s="952"/>
      <c r="C11570" s="907">
        <v>311</v>
      </c>
      <c r="D11570" s="907" t="s">
        <v>279</v>
      </c>
      <c r="E11570" s="992" t="s">
        <v>6878</v>
      </c>
      <c r="F11570" s="905" t="s">
        <v>45</v>
      </c>
      <c r="G11570" s="1005"/>
      <c r="H11570" s="911">
        <v>0.1</v>
      </c>
      <c r="I11570" s="912">
        <f>VLOOKUP(E11570,[3]VLP!$B$7:$K$300,10,0)</f>
        <v>73636</v>
      </c>
      <c r="J11570" s="912">
        <f t="shared" si="932"/>
        <v>7363.6</v>
      </c>
      <c r="K11570" s="912" t="s">
        <v>274</v>
      </c>
      <c r="L11570" s="912"/>
      <c r="M11570" s="912"/>
      <c r="N11570" s="912"/>
      <c r="O11570" s="892">
        <f t="shared" si="930"/>
        <v>0</v>
      </c>
      <c r="P11570" s="903">
        <f t="shared" si="923"/>
        <v>1</v>
      </c>
      <c r="Q11570" s="893">
        <f t="shared" si="924"/>
        <v>6</v>
      </c>
      <c r="R11570" s="894">
        <f t="shared" si="925"/>
        <v>0</v>
      </c>
    </row>
    <row r="11571" spans="1:18">
      <c r="A11571" s="905"/>
      <c r="B11571" s="952"/>
      <c r="C11571" s="907">
        <v>307</v>
      </c>
      <c r="D11571" s="907" t="s">
        <v>279</v>
      </c>
      <c r="E11571" s="992" t="s">
        <v>6932</v>
      </c>
      <c r="F11571" s="905" t="s">
        <v>45</v>
      </c>
      <c r="G11571" s="1005"/>
      <c r="H11571" s="911">
        <v>0.1</v>
      </c>
      <c r="I11571" s="912">
        <f>VLOOKUP(E11571,[3]VLP!$B$7:$K$300,10,0)</f>
        <v>447636</v>
      </c>
      <c r="J11571" s="912">
        <f t="shared" si="932"/>
        <v>44763.600000000006</v>
      </c>
      <c r="K11571" s="912" t="s">
        <v>274</v>
      </c>
      <c r="L11571" s="912"/>
      <c r="M11571" s="912"/>
      <c r="N11571" s="912"/>
      <c r="O11571" s="892">
        <f t="shared" si="930"/>
        <v>0</v>
      </c>
      <c r="P11571" s="903">
        <f t="shared" ref="P11571:P11634" si="933">IF(O11571=0,1,0)</f>
        <v>1</v>
      </c>
      <c r="Q11571" s="893">
        <f t="shared" ref="Q11571:Q11634" si="934">IF(P11571=0,0,P11571+Q11572)</f>
        <v>5</v>
      </c>
      <c r="R11571" s="894">
        <f t="shared" ref="R11571:R11634" si="935">IF(Q11571=0,Q11572,0)</f>
        <v>0</v>
      </c>
    </row>
    <row r="11572" spans="1:18" s="904" customFormat="1">
      <c r="A11572" s="905"/>
      <c r="B11572" s="952"/>
      <c r="C11572" s="907">
        <v>203</v>
      </c>
      <c r="D11572" s="907" t="s">
        <v>279</v>
      </c>
      <c r="E11572" s="992" t="s">
        <v>5656</v>
      </c>
      <c r="F11572" s="905" t="s">
        <v>6796</v>
      </c>
      <c r="G11572" s="1005"/>
      <c r="H11572" s="911">
        <v>0.4</v>
      </c>
      <c r="I11572" s="912">
        <f>VLOOKUP(E11572,[3]VLP!$B$7:$K$300,10,0)</f>
        <v>5000</v>
      </c>
      <c r="J11572" s="912">
        <f t="shared" si="932"/>
        <v>2000</v>
      </c>
      <c r="K11572" s="912" t="s">
        <v>274</v>
      </c>
      <c r="L11572" s="912"/>
      <c r="M11572" s="912"/>
      <c r="N11572" s="912"/>
      <c r="O11572" s="892">
        <f t="shared" si="930"/>
        <v>0</v>
      </c>
      <c r="P11572" s="903">
        <f t="shared" si="933"/>
        <v>1</v>
      </c>
      <c r="Q11572" s="893">
        <f t="shared" si="934"/>
        <v>4</v>
      </c>
      <c r="R11572" s="894">
        <f t="shared" si="935"/>
        <v>0</v>
      </c>
    </row>
    <row r="11573" spans="1:18">
      <c r="A11573" s="905"/>
      <c r="B11573" s="952"/>
      <c r="C11573" s="907">
        <v>315</v>
      </c>
      <c r="D11573" s="907" t="s">
        <v>279</v>
      </c>
      <c r="E11573" s="992" t="s">
        <v>6316</v>
      </c>
      <c r="F11573" s="905" t="s">
        <v>49</v>
      </c>
      <c r="G11573" s="1005"/>
      <c r="H11573" s="911">
        <v>0.5</v>
      </c>
      <c r="I11573" s="912">
        <f>VLOOKUP(E11573,[3]VLP!$B$7:$K$300,10,0)</f>
        <v>8000</v>
      </c>
      <c r="J11573" s="912">
        <f t="shared" si="932"/>
        <v>4000</v>
      </c>
      <c r="K11573" s="912" t="s">
        <v>274</v>
      </c>
      <c r="L11573" s="912"/>
      <c r="M11573" s="912"/>
      <c r="N11573" s="912"/>
      <c r="O11573" s="892">
        <f t="shared" si="930"/>
        <v>0</v>
      </c>
      <c r="P11573" s="903">
        <f t="shared" si="933"/>
        <v>1</v>
      </c>
      <c r="Q11573" s="893">
        <f t="shared" si="934"/>
        <v>3</v>
      </c>
      <c r="R11573" s="894">
        <f t="shared" si="935"/>
        <v>0</v>
      </c>
    </row>
    <row r="11574" spans="1:18" s="847" customFormat="1">
      <c r="A11574" s="895"/>
      <c r="B11574" s="896"/>
      <c r="C11574" s="897"/>
      <c r="D11574" s="897"/>
      <c r="E11574" s="1002" t="s">
        <v>276</v>
      </c>
      <c r="F11574" s="1003"/>
      <c r="G11574" s="1004"/>
      <c r="H11574" s="901"/>
      <c r="I11574" s="902"/>
      <c r="J11574" s="902"/>
      <c r="K11574" s="912" t="s">
        <v>274</v>
      </c>
      <c r="L11574" s="902"/>
      <c r="M11574" s="902"/>
      <c r="N11574" s="902"/>
      <c r="O11574" s="892">
        <f t="shared" si="930"/>
        <v>0</v>
      </c>
      <c r="P11574" s="903">
        <f t="shared" si="933"/>
        <v>1</v>
      </c>
      <c r="Q11574" s="893">
        <f t="shared" si="934"/>
        <v>2</v>
      </c>
      <c r="R11574" s="894">
        <f t="shared" si="935"/>
        <v>0</v>
      </c>
    </row>
    <row r="11575" spans="1:18" s="904" customFormat="1">
      <c r="A11575" s="905"/>
      <c r="B11575" s="952"/>
      <c r="C11575" s="907">
        <v>740</v>
      </c>
      <c r="D11575" s="907" t="s">
        <v>12</v>
      </c>
      <c r="E11575" s="992" t="s">
        <v>4008</v>
      </c>
      <c r="F11575" s="905" t="s">
        <v>2674</v>
      </c>
      <c r="G11575" s="1005"/>
      <c r="H11575" s="911">
        <v>5.5</v>
      </c>
      <c r="I11575" s="912"/>
      <c r="J11575" s="912"/>
      <c r="K11575" s="912">
        <f>VLOOKUP(E11575,[5]ĐMNC!$A$7:$F$67,4,0)</f>
        <v>221125</v>
      </c>
      <c r="L11575" s="912">
        <f>H11575*K11575</f>
        <v>1216187.5</v>
      </c>
      <c r="M11575" s="912"/>
      <c r="N11575" s="912"/>
      <c r="O11575" s="892">
        <f t="shared" si="930"/>
        <v>0</v>
      </c>
      <c r="P11575" s="903">
        <f t="shared" si="933"/>
        <v>1</v>
      </c>
      <c r="Q11575" s="893">
        <f t="shared" si="934"/>
        <v>1</v>
      </c>
      <c r="R11575" s="894">
        <f t="shared" si="935"/>
        <v>0</v>
      </c>
    </row>
    <row r="11576" spans="1:18">
      <c r="A11576" s="905">
        <v>281</v>
      </c>
      <c r="B11576" s="1018" t="s">
        <v>6943</v>
      </c>
      <c r="C11576" s="915"/>
      <c r="D11576" s="915"/>
      <c r="E11576" s="1006" t="s">
        <v>6944</v>
      </c>
      <c r="F11576" s="917" t="s">
        <v>51</v>
      </c>
      <c r="G11576" s="1008"/>
      <c r="H11576" s="919"/>
      <c r="I11576" s="920"/>
      <c r="J11576" s="962">
        <f>SUM(J11577:J11585)</f>
        <v>100704.70000000001</v>
      </c>
      <c r="K11576" s="891" t="s">
        <v>274</v>
      </c>
      <c r="L11576" s="962">
        <f>SUM(L11577:L11585)</f>
        <v>1547875</v>
      </c>
      <c r="M11576" s="962"/>
      <c r="N11576" s="962">
        <f>SUM(N11577:N11585)</f>
        <v>0</v>
      </c>
      <c r="O11576" s="892">
        <f t="shared" si="930"/>
        <v>1</v>
      </c>
      <c r="P11576" s="903">
        <f t="shared" si="933"/>
        <v>0</v>
      </c>
      <c r="Q11576" s="893">
        <f t="shared" si="934"/>
        <v>0</v>
      </c>
      <c r="R11576" s="894">
        <f t="shared" si="935"/>
        <v>9</v>
      </c>
    </row>
    <row r="11577" spans="1:18">
      <c r="A11577" s="895"/>
      <c r="B11577" s="896"/>
      <c r="C11577" s="897"/>
      <c r="D11577" s="897"/>
      <c r="E11577" s="1002" t="s">
        <v>108</v>
      </c>
      <c r="F11577" s="1003"/>
      <c r="G11577" s="1004"/>
      <c r="H11577" s="901"/>
      <c r="I11577" s="902"/>
      <c r="J11577" s="902"/>
      <c r="K11577" s="912" t="s">
        <v>274</v>
      </c>
      <c r="L11577" s="902"/>
      <c r="M11577" s="902"/>
      <c r="N11577" s="902"/>
      <c r="O11577" s="892">
        <f t="shared" si="930"/>
        <v>0</v>
      </c>
      <c r="P11577" s="903">
        <f t="shared" si="933"/>
        <v>1</v>
      </c>
      <c r="Q11577" s="893">
        <f t="shared" si="934"/>
        <v>9</v>
      </c>
      <c r="R11577" s="894">
        <f t="shared" si="935"/>
        <v>0</v>
      </c>
    </row>
    <row r="11578" spans="1:18">
      <c r="A11578" s="905"/>
      <c r="B11578" s="952"/>
      <c r="C11578" s="907">
        <v>318</v>
      </c>
      <c r="D11578" s="907" t="s">
        <v>279</v>
      </c>
      <c r="E11578" s="992" t="s">
        <v>5657</v>
      </c>
      <c r="F11578" s="905" t="s">
        <v>45</v>
      </c>
      <c r="G11578" s="1005"/>
      <c r="H11578" s="911">
        <v>0.5</v>
      </c>
      <c r="I11578" s="912">
        <f>VLOOKUP(E11578,[3]VLP!$B$7:$K$300,10,0)</f>
        <v>25155</v>
      </c>
      <c r="J11578" s="912">
        <f t="shared" ref="J11578:J11583" si="936">I11578*H11578</f>
        <v>12577.5</v>
      </c>
      <c r="K11578" s="912" t="s">
        <v>274</v>
      </c>
      <c r="L11578" s="912"/>
      <c r="M11578" s="912"/>
      <c r="N11578" s="912"/>
      <c r="O11578" s="892">
        <f t="shared" si="930"/>
        <v>0</v>
      </c>
      <c r="P11578" s="903">
        <f t="shared" si="933"/>
        <v>1</v>
      </c>
      <c r="Q11578" s="893">
        <f t="shared" si="934"/>
        <v>8</v>
      </c>
      <c r="R11578" s="894">
        <f t="shared" si="935"/>
        <v>0</v>
      </c>
    </row>
    <row r="11579" spans="1:18" s="904" customFormat="1">
      <c r="A11579" s="905"/>
      <c r="B11579" s="952"/>
      <c r="C11579" s="907">
        <v>320</v>
      </c>
      <c r="D11579" s="907" t="s">
        <v>279</v>
      </c>
      <c r="E11579" s="992" t="s">
        <v>6908</v>
      </c>
      <c r="F11579" s="905" t="s">
        <v>45</v>
      </c>
      <c r="G11579" s="1005"/>
      <c r="H11579" s="911">
        <v>0.6</v>
      </c>
      <c r="I11579" s="912">
        <f>VLOOKUP(E11579,[3]VLP!$B$7:$K$300,10,0)</f>
        <v>50000</v>
      </c>
      <c r="J11579" s="912">
        <f t="shared" si="936"/>
        <v>30000</v>
      </c>
      <c r="K11579" s="912" t="s">
        <v>274</v>
      </c>
      <c r="L11579" s="912"/>
      <c r="M11579" s="912"/>
      <c r="N11579" s="912"/>
      <c r="O11579" s="892">
        <f t="shared" si="930"/>
        <v>0</v>
      </c>
      <c r="P11579" s="903">
        <f t="shared" si="933"/>
        <v>1</v>
      </c>
      <c r="Q11579" s="893">
        <f t="shared" si="934"/>
        <v>7</v>
      </c>
      <c r="R11579" s="894">
        <f t="shared" si="935"/>
        <v>0</v>
      </c>
    </row>
    <row r="11580" spans="1:18">
      <c r="A11580" s="905"/>
      <c r="B11580" s="952"/>
      <c r="C11580" s="907">
        <v>311</v>
      </c>
      <c r="D11580" s="907" t="s">
        <v>279</v>
      </c>
      <c r="E11580" s="992" t="s">
        <v>6878</v>
      </c>
      <c r="F11580" s="905" t="s">
        <v>45</v>
      </c>
      <c r="G11580" s="1005"/>
      <c r="H11580" s="911">
        <v>0.1</v>
      </c>
      <c r="I11580" s="912">
        <f>VLOOKUP(E11580,[3]VLP!$B$7:$K$300,10,0)</f>
        <v>73636</v>
      </c>
      <c r="J11580" s="912">
        <f t="shared" si="936"/>
        <v>7363.6</v>
      </c>
      <c r="K11580" s="912" t="s">
        <v>274</v>
      </c>
      <c r="L11580" s="912"/>
      <c r="M11580" s="912"/>
      <c r="N11580" s="912"/>
      <c r="O11580" s="892">
        <f t="shared" si="930"/>
        <v>0</v>
      </c>
      <c r="P11580" s="903">
        <f t="shared" si="933"/>
        <v>1</v>
      </c>
      <c r="Q11580" s="893">
        <f t="shared" si="934"/>
        <v>6</v>
      </c>
      <c r="R11580" s="894">
        <f t="shared" si="935"/>
        <v>0</v>
      </c>
    </row>
    <row r="11581" spans="1:18" s="847" customFormat="1">
      <c r="A11581" s="905"/>
      <c r="B11581" s="952"/>
      <c r="C11581" s="907">
        <v>307</v>
      </c>
      <c r="D11581" s="907" t="s">
        <v>279</v>
      </c>
      <c r="E11581" s="992" t="s">
        <v>6932</v>
      </c>
      <c r="F11581" s="905" t="s">
        <v>45</v>
      </c>
      <c r="G11581" s="1005"/>
      <c r="H11581" s="911">
        <v>0.1</v>
      </c>
      <c r="I11581" s="912">
        <f>VLOOKUP(E11581,[3]VLP!$B$7:$K$300,10,0)</f>
        <v>447636</v>
      </c>
      <c r="J11581" s="912">
        <f t="shared" si="936"/>
        <v>44763.600000000006</v>
      </c>
      <c r="K11581" s="912" t="s">
        <v>274</v>
      </c>
      <c r="L11581" s="912"/>
      <c r="M11581" s="912"/>
      <c r="N11581" s="912"/>
      <c r="O11581" s="892">
        <f t="shared" si="930"/>
        <v>0</v>
      </c>
      <c r="P11581" s="903">
        <f t="shared" si="933"/>
        <v>1</v>
      </c>
      <c r="Q11581" s="893">
        <f t="shared" si="934"/>
        <v>5</v>
      </c>
      <c r="R11581" s="894">
        <f t="shared" si="935"/>
        <v>0</v>
      </c>
    </row>
    <row r="11582" spans="1:18" s="904" customFormat="1">
      <c r="A11582" s="905"/>
      <c r="B11582" s="952"/>
      <c r="C11582" s="907">
        <v>203</v>
      </c>
      <c r="D11582" s="907" t="s">
        <v>279</v>
      </c>
      <c r="E11582" s="992" t="s">
        <v>5656</v>
      </c>
      <c r="F11582" s="905" t="s">
        <v>6796</v>
      </c>
      <c r="G11582" s="1005"/>
      <c r="H11582" s="911">
        <v>0.4</v>
      </c>
      <c r="I11582" s="912">
        <f>VLOOKUP(E11582,[3]VLP!$B$7:$K$300,10,0)</f>
        <v>5000</v>
      </c>
      <c r="J11582" s="912">
        <f t="shared" si="936"/>
        <v>2000</v>
      </c>
      <c r="K11582" s="912" t="s">
        <v>274</v>
      </c>
      <c r="L11582" s="912"/>
      <c r="M11582" s="912"/>
      <c r="N11582" s="912"/>
      <c r="O11582" s="892">
        <f t="shared" si="930"/>
        <v>0</v>
      </c>
      <c r="P11582" s="903">
        <f t="shared" si="933"/>
        <v>1</v>
      </c>
      <c r="Q11582" s="893">
        <f t="shared" si="934"/>
        <v>4</v>
      </c>
      <c r="R11582" s="894">
        <f t="shared" si="935"/>
        <v>0</v>
      </c>
    </row>
    <row r="11583" spans="1:18">
      <c r="A11583" s="905"/>
      <c r="B11583" s="952"/>
      <c r="C11583" s="907">
        <v>315</v>
      </c>
      <c r="D11583" s="907" t="s">
        <v>279</v>
      </c>
      <c r="E11583" s="992" t="s">
        <v>6316</v>
      </c>
      <c r="F11583" s="905" t="s">
        <v>49</v>
      </c>
      <c r="G11583" s="1005"/>
      <c r="H11583" s="911">
        <v>0.5</v>
      </c>
      <c r="I11583" s="912">
        <f>VLOOKUP(E11583,[3]VLP!$B$7:$K$300,10,0)</f>
        <v>8000</v>
      </c>
      <c r="J11583" s="912">
        <f t="shared" si="936"/>
        <v>4000</v>
      </c>
      <c r="K11583" s="912" t="s">
        <v>274</v>
      </c>
      <c r="L11583" s="912"/>
      <c r="M11583" s="912"/>
      <c r="N11583" s="912"/>
      <c r="O11583" s="892">
        <f t="shared" si="930"/>
        <v>0</v>
      </c>
      <c r="P11583" s="903">
        <f t="shared" si="933"/>
        <v>1</v>
      </c>
      <c r="Q11583" s="893">
        <f t="shared" si="934"/>
        <v>3</v>
      </c>
      <c r="R11583" s="894">
        <f t="shared" si="935"/>
        <v>0</v>
      </c>
    </row>
    <row r="11584" spans="1:18">
      <c r="A11584" s="895"/>
      <c r="B11584" s="896"/>
      <c r="C11584" s="897"/>
      <c r="D11584" s="897"/>
      <c r="E11584" s="1002" t="s">
        <v>276</v>
      </c>
      <c r="F11584" s="1003"/>
      <c r="G11584" s="1004"/>
      <c r="H11584" s="901"/>
      <c r="I11584" s="902"/>
      <c r="J11584" s="902"/>
      <c r="K11584" s="912" t="s">
        <v>274</v>
      </c>
      <c r="L11584" s="902"/>
      <c r="M11584" s="902"/>
      <c r="N11584" s="902"/>
      <c r="O11584" s="892">
        <f t="shared" si="930"/>
        <v>0</v>
      </c>
      <c r="P11584" s="903">
        <f t="shared" si="933"/>
        <v>1</v>
      </c>
      <c r="Q11584" s="893">
        <f t="shared" si="934"/>
        <v>2</v>
      </c>
      <c r="R11584" s="894">
        <f t="shared" si="935"/>
        <v>0</v>
      </c>
    </row>
    <row r="11585" spans="1:18">
      <c r="A11585" s="905"/>
      <c r="B11585" s="952"/>
      <c r="C11585" s="907">
        <v>740</v>
      </c>
      <c r="D11585" s="907" t="s">
        <v>12</v>
      </c>
      <c r="E11585" s="992" t="s">
        <v>4008</v>
      </c>
      <c r="F11585" s="905" t="s">
        <v>2674</v>
      </c>
      <c r="G11585" s="1005"/>
      <c r="H11585" s="911">
        <v>7</v>
      </c>
      <c r="I11585" s="912"/>
      <c r="J11585" s="912"/>
      <c r="K11585" s="912">
        <f>VLOOKUP(E11585,[5]ĐMNC!$A$7:$F$67,4,0)</f>
        <v>221125</v>
      </c>
      <c r="L11585" s="912">
        <f>H11585*K11585</f>
        <v>1547875</v>
      </c>
      <c r="M11585" s="912"/>
      <c r="N11585" s="912"/>
      <c r="O11585" s="892">
        <f t="shared" si="930"/>
        <v>0</v>
      </c>
      <c r="P11585" s="903">
        <f t="shared" si="933"/>
        <v>1</v>
      </c>
      <c r="Q11585" s="893">
        <f t="shared" si="934"/>
        <v>1</v>
      </c>
      <c r="R11585" s="894">
        <f t="shared" si="935"/>
        <v>0</v>
      </c>
    </row>
    <row r="11586" spans="1:18" s="904" customFormat="1">
      <c r="A11586" s="905">
        <v>282</v>
      </c>
      <c r="B11586" s="1018" t="s">
        <v>6945</v>
      </c>
      <c r="C11586" s="915"/>
      <c r="D11586" s="915"/>
      <c r="E11586" s="1006" t="s">
        <v>6946</v>
      </c>
      <c r="F11586" s="917" t="s">
        <v>51</v>
      </c>
      <c r="G11586" s="1008"/>
      <c r="H11586" s="919"/>
      <c r="I11586" s="920"/>
      <c r="J11586" s="962">
        <f>SUM(J11587:J11595)</f>
        <v>101204.70000000001</v>
      </c>
      <c r="K11586" s="891" t="s">
        <v>274</v>
      </c>
      <c r="L11586" s="962">
        <f>SUM(L11587:L11595)</f>
        <v>1769000</v>
      </c>
      <c r="M11586" s="962"/>
      <c r="N11586" s="962">
        <f>SUM(N11587:N11595)</f>
        <v>0</v>
      </c>
      <c r="O11586" s="892">
        <f t="shared" si="930"/>
        <v>1</v>
      </c>
      <c r="P11586" s="903">
        <f t="shared" si="933"/>
        <v>0</v>
      </c>
      <c r="Q11586" s="893">
        <f t="shared" si="934"/>
        <v>0</v>
      </c>
      <c r="R11586" s="894">
        <f t="shared" si="935"/>
        <v>9</v>
      </c>
    </row>
    <row r="11587" spans="1:18">
      <c r="A11587" s="895"/>
      <c r="B11587" s="896"/>
      <c r="C11587" s="897"/>
      <c r="D11587" s="897"/>
      <c r="E11587" s="1002" t="s">
        <v>108</v>
      </c>
      <c r="F11587" s="1003"/>
      <c r="G11587" s="1004"/>
      <c r="H11587" s="901"/>
      <c r="I11587" s="902"/>
      <c r="J11587" s="902"/>
      <c r="K11587" s="912" t="s">
        <v>274</v>
      </c>
      <c r="L11587" s="902"/>
      <c r="M11587" s="902"/>
      <c r="N11587" s="902"/>
      <c r="O11587" s="892">
        <f t="shared" si="930"/>
        <v>0</v>
      </c>
      <c r="P11587" s="903">
        <f t="shared" si="933"/>
        <v>1</v>
      </c>
      <c r="Q11587" s="893">
        <f t="shared" si="934"/>
        <v>9</v>
      </c>
      <c r="R11587" s="894">
        <f t="shared" si="935"/>
        <v>0</v>
      </c>
    </row>
    <row r="11588" spans="1:18" s="847" customFormat="1">
      <c r="A11588" s="905"/>
      <c r="B11588" s="952"/>
      <c r="C11588" s="907">
        <v>318</v>
      </c>
      <c r="D11588" s="907" t="s">
        <v>279</v>
      </c>
      <c r="E11588" s="992" t="s">
        <v>5657</v>
      </c>
      <c r="F11588" s="905" t="s">
        <v>45</v>
      </c>
      <c r="G11588" s="1005"/>
      <c r="H11588" s="911">
        <v>0.5</v>
      </c>
      <c r="I11588" s="912">
        <f>VLOOKUP(E11588,[3]VLP!$B$7:$K$300,10,0)</f>
        <v>25155</v>
      </c>
      <c r="J11588" s="912">
        <f t="shared" ref="J11588:J11593" si="937">I11588*H11588</f>
        <v>12577.5</v>
      </c>
      <c r="K11588" s="912" t="s">
        <v>274</v>
      </c>
      <c r="L11588" s="912"/>
      <c r="M11588" s="912"/>
      <c r="N11588" s="912"/>
      <c r="O11588" s="892">
        <f t="shared" si="930"/>
        <v>0</v>
      </c>
      <c r="P11588" s="903">
        <f t="shared" si="933"/>
        <v>1</v>
      </c>
      <c r="Q11588" s="893">
        <f t="shared" si="934"/>
        <v>8</v>
      </c>
      <c r="R11588" s="894">
        <f t="shared" si="935"/>
        <v>0</v>
      </c>
    </row>
    <row r="11589" spans="1:18" s="904" customFormat="1">
      <c r="A11589" s="905"/>
      <c r="B11589" s="952"/>
      <c r="C11589" s="907">
        <v>320</v>
      </c>
      <c r="D11589" s="907" t="s">
        <v>279</v>
      </c>
      <c r="E11589" s="992" t="s">
        <v>6908</v>
      </c>
      <c r="F11589" s="905" t="s">
        <v>45</v>
      </c>
      <c r="G11589" s="1005"/>
      <c r="H11589" s="911">
        <v>0.6</v>
      </c>
      <c r="I11589" s="912">
        <f>VLOOKUP(E11589,[3]VLP!$B$7:$K$300,10,0)</f>
        <v>50000</v>
      </c>
      <c r="J11589" s="912">
        <f t="shared" si="937"/>
        <v>30000</v>
      </c>
      <c r="K11589" s="912" t="s">
        <v>274</v>
      </c>
      <c r="L11589" s="912"/>
      <c r="M11589" s="912"/>
      <c r="N11589" s="912"/>
      <c r="O11589" s="892">
        <f t="shared" si="930"/>
        <v>0</v>
      </c>
      <c r="P11589" s="903">
        <f t="shared" si="933"/>
        <v>1</v>
      </c>
      <c r="Q11589" s="893">
        <f t="shared" si="934"/>
        <v>7</v>
      </c>
      <c r="R11589" s="894">
        <f t="shared" si="935"/>
        <v>0</v>
      </c>
    </row>
    <row r="11590" spans="1:18">
      <c r="A11590" s="905"/>
      <c r="B11590" s="952"/>
      <c r="C11590" s="907">
        <v>311</v>
      </c>
      <c r="D11590" s="907" t="s">
        <v>279</v>
      </c>
      <c r="E11590" s="992" t="s">
        <v>6878</v>
      </c>
      <c r="F11590" s="905" t="s">
        <v>45</v>
      </c>
      <c r="G11590" s="1005"/>
      <c r="H11590" s="911">
        <v>0.1</v>
      </c>
      <c r="I11590" s="912">
        <f>VLOOKUP(E11590,[3]VLP!$B$7:$K$300,10,0)</f>
        <v>73636</v>
      </c>
      <c r="J11590" s="912">
        <f t="shared" si="937"/>
        <v>7363.6</v>
      </c>
      <c r="K11590" s="912" t="s">
        <v>274</v>
      </c>
      <c r="L11590" s="912"/>
      <c r="M11590" s="912"/>
      <c r="N11590" s="912"/>
      <c r="O11590" s="892">
        <f t="shared" si="930"/>
        <v>0</v>
      </c>
      <c r="P11590" s="903">
        <f t="shared" si="933"/>
        <v>1</v>
      </c>
      <c r="Q11590" s="893">
        <f t="shared" si="934"/>
        <v>6</v>
      </c>
      <c r="R11590" s="894">
        <f t="shared" si="935"/>
        <v>0</v>
      </c>
    </row>
    <row r="11591" spans="1:18" s="847" customFormat="1">
      <c r="A11591" s="905"/>
      <c r="B11591" s="952"/>
      <c r="C11591" s="907">
        <v>307</v>
      </c>
      <c r="D11591" s="907" t="s">
        <v>279</v>
      </c>
      <c r="E11591" s="992" t="s">
        <v>6932</v>
      </c>
      <c r="F11591" s="905" t="s">
        <v>45</v>
      </c>
      <c r="G11591" s="1005"/>
      <c r="H11591" s="911">
        <v>0.1</v>
      </c>
      <c r="I11591" s="912">
        <f>VLOOKUP(E11591,[3]VLP!$B$7:$K$300,10,0)</f>
        <v>447636</v>
      </c>
      <c r="J11591" s="912">
        <f t="shared" si="937"/>
        <v>44763.600000000006</v>
      </c>
      <c r="K11591" s="912" t="s">
        <v>274</v>
      </c>
      <c r="L11591" s="912"/>
      <c r="M11591" s="912"/>
      <c r="N11591" s="912"/>
      <c r="O11591" s="892">
        <f t="shared" si="930"/>
        <v>0</v>
      </c>
      <c r="P11591" s="903">
        <f t="shared" si="933"/>
        <v>1</v>
      </c>
      <c r="Q11591" s="893">
        <f t="shared" si="934"/>
        <v>5</v>
      </c>
      <c r="R11591" s="894">
        <f t="shared" si="935"/>
        <v>0</v>
      </c>
    </row>
    <row r="11592" spans="1:18" s="904" customFormat="1">
      <c r="A11592" s="905"/>
      <c r="B11592" s="952"/>
      <c r="C11592" s="907">
        <v>203</v>
      </c>
      <c r="D11592" s="907" t="s">
        <v>279</v>
      </c>
      <c r="E11592" s="992" t="s">
        <v>5656</v>
      </c>
      <c r="F11592" s="905" t="s">
        <v>6796</v>
      </c>
      <c r="G11592" s="1005"/>
      <c r="H11592" s="911">
        <v>0.5</v>
      </c>
      <c r="I11592" s="912">
        <f>VLOOKUP(E11592,[3]VLP!$B$7:$K$300,10,0)</f>
        <v>5000</v>
      </c>
      <c r="J11592" s="912">
        <f t="shared" si="937"/>
        <v>2500</v>
      </c>
      <c r="K11592" s="912" t="s">
        <v>274</v>
      </c>
      <c r="L11592" s="912"/>
      <c r="M11592" s="912"/>
      <c r="N11592" s="912"/>
      <c r="O11592" s="892">
        <f t="shared" si="930"/>
        <v>0</v>
      </c>
      <c r="P11592" s="903">
        <f t="shared" si="933"/>
        <v>1</v>
      </c>
      <c r="Q11592" s="893">
        <f t="shared" si="934"/>
        <v>4</v>
      </c>
      <c r="R11592" s="894">
        <f t="shared" si="935"/>
        <v>0</v>
      </c>
    </row>
    <row r="11593" spans="1:18">
      <c r="A11593" s="905"/>
      <c r="B11593" s="952"/>
      <c r="C11593" s="907">
        <v>315</v>
      </c>
      <c r="D11593" s="907" t="s">
        <v>279</v>
      </c>
      <c r="E11593" s="992" t="s">
        <v>6316</v>
      </c>
      <c r="F11593" s="905" t="s">
        <v>49</v>
      </c>
      <c r="G11593" s="1005"/>
      <c r="H11593" s="911">
        <v>0.5</v>
      </c>
      <c r="I11593" s="912">
        <f>VLOOKUP(E11593,[3]VLP!$B$7:$K$300,10,0)</f>
        <v>8000</v>
      </c>
      <c r="J11593" s="912">
        <f t="shared" si="937"/>
        <v>4000</v>
      </c>
      <c r="K11593" s="912" t="s">
        <v>274</v>
      </c>
      <c r="L11593" s="912"/>
      <c r="M11593" s="912"/>
      <c r="N11593" s="912"/>
      <c r="O11593" s="892">
        <f t="shared" si="930"/>
        <v>0</v>
      </c>
      <c r="P11593" s="903">
        <f t="shared" si="933"/>
        <v>1</v>
      </c>
      <c r="Q11593" s="893">
        <f t="shared" si="934"/>
        <v>3</v>
      </c>
      <c r="R11593" s="894">
        <f t="shared" si="935"/>
        <v>0</v>
      </c>
    </row>
    <row r="11594" spans="1:18" s="847" customFormat="1">
      <c r="A11594" s="895"/>
      <c r="B11594" s="896"/>
      <c r="C11594" s="897"/>
      <c r="D11594" s="897"/>
      <c r="E11594" s="1002" t="s">
        <v>276</v>
      </c>
      <c r="F11594" s="1003"/>
      <c r="G11594" s="1004"/>
      <c r="H11594" s="901"/>
      <c r="I11594" s="902"/>
      <c r="J11594" s="902"/>
      <c r="K11594" s="912" t="s">
        <v>274</v>
      </c>
      <c r="L11594" s="902"/>
      <c r="M11594" s="902"/>
      <c r="N11594" s="902"/>
      <c r="O11594" s="892">
        <f t="shared" si="930"/>
        <v>0</v>
      </c>
      <c r="P11594" s="903">
        <f t="shared" si="933"/>
        <v>1</v>
      </c>
      <c r="Q11594" s="893">
        <f t="shared" si="934"/>
        <v>2</v>
      </c>
      <c r="R11594" s="894">
        <f t="shared" si="935"/>
        <v>0</v>
      </c>
    </row>
    <row r="11595" spans="1:18" s="904" customFormat="1">
      <c r="A11595" s="905"/>
      <c r="B11595" s="952"/>
      <c r="C11595" s="907">
        <v>740</v>
      </c>
      <c r="D11595" s="907" t="s">
        <v>12</v>
      </c>
      <c r="E11595" s="992" t="s">
        <v>4008</v>
      </c>
      <c r="F11595" s="905" t="s">
        <v>2674</v>
      </c>
      <c r="G11595" s="1005"/>
      <c r="H11595" s="911">
        <v>8</v>
      </c>
      <c r="I11595" s="912"/>
      <c r="J11595" s="912"/>
      <c r="K11595" s="912">
        <f>VLOOKUP(E11595,[5]ĐMNC!$A$7:$F$67,4,0)</f>
        <v>221125</v>
      </c>
      <c r="L11595" s="912">
        <f>H11595*K11595</f>
        <v>1769000</v>
      </c>
      <c r="M11595" s="912"/>
      <c r="N11595" s="912"/>
      <c r="O11595" s="892">
        <f t="shared" si="930"/>
        <v>0</v>
      </c>
      <c r="P11595" s="903">
        <f t="shared" si="933"/>
        <v>1</v>
      </c>
      <c r="Q11595" s="893">
        <f t="shared" si="934"/>
        <v>1</v>
      </c>
      <c r="R11595" s="894">
        <f t="shared" si="935"/>
        <v>0</v>
      </c>
    </row>
    <row r="11596" spans="1:18">
      <c r="A11596" s="905" t="s">
        <v>6947</v>
      </c>
      <c r="B11596" s="1018" t="s">
        <v>6948</v>
      </c>
      <c r="C11596" s="915"/>
      <c r="D11596" s="915"/>
      <c r="E11596" s="1006" t="s">
        <v>6949</v>
      </c>
      <c r="F11596" s="917" t="s">
        <v>51</v>
      </c>
      <c r="G11596" s="1008"/>
      <c r="H11596" s="919"/>
      <c r="I11596" s="920"/>
      <c r="J11596" s="962">
        <f>SUM(J11597:J11605)</f>
        <v>101204.70000000001</v>
      </c>
      <c r="K11596" s="891" t="s">
        <v>274</v>
      </c>
      <c r="L11596" s="962">
        <f>SUM(L11597:L11605)</f>
        <v>2211250</v>
      </c>
      <c r="M11596" s="962"/>
      <c r="N11596" s="962">
        <f>SUM(N11597:N11605)</f>
        <v>0</v>
      </c>
      <c r="O11596" s="892">
        <f t="shared" si="930"/>
        <v>1</v>
      </c>
      <c r="P11596" s="903">
        <f t="shared" si="933"/>
        <v>0</v>
      </c>
      <c r="Q11596" s="893">
        <f t="shared" si="934"/>
        <v>0</v>
      </c>
      <c r="R11596" s="894">
        <f t="shared" si="935"/>
        <v>9</v>
      </c>
    </row>
    <row r="11597" spans="1:18" s="847" customFormat="1">
      <c r="A11597" s="895"/>
      <c r="B11597" s="896"/>
      <c r="C11597" s="897"/>
      <c r="D11597" s="897"/>
      <c r="E11597" s="1002" t="s">
        <v>108</v>
      </c>
      <c r="F11597" s="1003"/>
      <c r="G11597" s="1004"/>
      <c r="H11597" s="901"/>
      <c r="I11597" s="902"/>
      <c r="J11597" s="902"/>
      <c r="K11597" s="912" t="s">
        <v>274</v>
      </c>
      <c r="L11597" s="902"/>
      <c r="M11597" s="902"/>
      <c r="N11597" s="902"/>
      <c r="O11597" s="892">
        <f t="shared" si="930"/>
        <v>0</v>
      </c>
      <c r="P11597" s="903">
        <f t="shared" si="933"/>
        <v>1</v>
      </c>
      <c r="Q11597" s="893">
        <f t="shared" si="934"/>
        <v>9</v>
      </c>
      <c r="R11597" s="894">
        <f t="shared" si="935"/>
        <v>0</v>
      </c>
    </row>
    <row r="11598" spans="1:18" s="904" customFormat="1">
      <c r="A11598" s="905"/>
      <c r="B11598" s="952"/>
      <c r="C11598" s="907">
        <v>318</v>
      </c>
      <c r="D11598" s="907" t="s">
        <v>279</v>
      </c>
      <c r="E11598" s="992" t="s">
        <v>5657</v>
      </c>
      <c r="F11598" s="905" t="s">
        <v>45</v>
      </c>
      <c r="G11598" s="1005"/>
      <c r="H11598" s="911">
        <v>0.5</v>
      </c>
      <c r="I11598" s="912">
        <f>VLOOKUP(E11598,[3]VLP!$B$7:$K$300,10,0)</f>
        <v>25155</v>
      </c>
      <c r="J11598" s="912">
        <f t="shared" ref="J11598:J11603" si="938">I11598*H11598</f>
        <v>12577.5</v>
      </c>
      <c r="K11598" s="912" t="s">
        <v>274</v>
      </c>
      <c r="L11598" s="912"/>
      <c r="M11598" s="912"/>
      <c r="N11598" s="912"/>
      <c r="O11598" s="892">
        <f t="shared" si="930"/>
        <v>0</v>
      </c>
      <c r="P11598" s="903">
        <f t="shared" si="933"/>
        <v>1</v>
      </c>
      <c r="Q11598" s="893">
        <f t="shared" si="934"/>
        <v>8</v>
      </c>
      <c r="R11598" s="894">
        <f t="shared" si="935"/>
        <v>0</v>
      </c>
    </row>
    <row r="11599" spans="1:18">
      <c r="A11599" s="905"/>
      <c r="B11599" s="952"/>
      <c r="C11599" s="907">
        <v>320</v>
      </c>
      <c r="D11599" s="907" t="s">
        <v>279</v>
      </c>
      <c r="E11599" s="992" t="s">
        <v>6908</v>
      </c>
      <c r="F11599" s="905" t="s">
        <v>45</v>
      </c>
      <c r="G11599" s="1005"/>
      <c r="H11599" s="911">
        <v>0.6</v>
      </c>
      <c r="I11599" s="912">
        <f>VLOOKUP(E11599,[3]VLP!$B$7:$K$300,10,0)</f>
        <v>50000</v>
      </c>
      <c r="J11599" s="912">
        <f t="shared" si="938"/>
        <v>30000</v>
      </c>
      <c r="K11599" s="912" t="s">
        <v>274</v>
      </c>
      <c r="L11599" s="912"/>
      <c r="M11599" s="912"/>
      <c r="N11599" s="912"/>
      <c r="O11599" s="892">
        <f t="shared" si="930"/>
        <v>0</v>
      </c>
      <c r="P11599" s="903">
        <f t="shared" si="933"/>
        <v>1</v>
      </c>
      <c r="Q11599" s="893">
        <f t="shared" si="934"/>
        <v>7</v>
      </c>
      <c r="R11599" s="894">
        <f t="shared" si="935"/>
        <v>0</v>
      </c>
    </row>
    <row r="11600" spans="1:18">
      <c r="A11600" s="905"/>
      <c r="B11600" s="952"/>
      <c r="C11600" s="907">
        <v>311</v>
      </c>
      <c r="D11600" s="907" t="s">
        <v>279</v>
      </c>
      <c r="E11600" s="992" t="s">
        <v>6878</v>
      </c>
      <c r="F11600" s="905" t="s">
        <v>45</v>
      </c>
      <c r="G11600" s="1005"/>
      <c r="H11600" s="911">
        <v>0.1</v>
      </c>
      <c r="I11600" s="912">
        <f>VLOOKUP(E11600,[3]VLP!$B$7:$K$300,10,0)</f>
        <v>73636</v>
      </c>
      <c r="J11600" s="912">
        <f t="shared" si="938"/>
        <v>7363.6</v>
      </c>
      <c r="K11600" s="912" t="s">
        <v>274</v>
      </c>
      <c r="L11600" s="912"/>
      <c r="M11600" s="912"/>
      <c r="N11600" s="912"/>
      <c r="O11600" s="892">
        <f t="shared" si="930"/>
        <v>0</v>
      </c>
      <c r="P11600" s="903">
        <f t="shared" si="933"/>
        <v>1</v>
      </c>
      <c r="Q11600" s="893">
        <f t="shared" si="934"/>
        <v>6</v>
      </c>
      <c r="R11600" s="894">
        <f t="shared" si="935"/>
        <v>0</v>
      </c>
    </row>
    <row r="11601" spans="1:18" s="904" customFormat="1">
      <c r="A11601" s="905"/>
      <c r="B11601" s="952"/>
      <c r="C11601" s="907">
        <v>307</v>
      </c>
      <c r="D11601" s="907" t="s">
        <v>279</v>
      </c>
      <c r="E11601" s="992" t="s">
        <v>6932</v>
      </c>
      <c r="F11601" s="905" t="s">
        <v>45</v>
      </c>
      <c r="G11601" s="1005"/>
      <c r="H11601" s="911">
        <v>0.1</v>
      </c>
      <c r="I11601" s="912">
        <f>VLOOKUP(E11601,[3]VLP!$B$7:$K$300,10,0)</f>
        <v>447636</v>
      </c>
      <c r="J11601" s="912">
        <f t="shared" si="938"/>
        <v>44763.600000000006</v>
      </c>
      <c r="K11601" s="912" t="s">
        <v>274</v>
      </c>
      <c r="L11601" s="912"/>
      <c r="M11601" s="912"/>
      <c r="N11601" s="912"/>
      <c r="O11601" s="892">
        <f t="shared" si="930"/>
        <v>0</v>
      </c>
      <c r="P11601" s="903">
        <f t="shared" si="933"/>
        <v>1</v>
      </c>
      <c r="Q11601" s="893">
        <f t="shared" si="934"/>
        <v>5</v>
      </c>
      <c r="R11601" s="894">
        <f t="shared" si="935"/>
        <v>0</v>
      </c>
    </row>
    <row r="11602" spans="1:18">
      <c r="A11602" s="905"/>
      <c r="B11602" s="952"/>
      <c r="C11602" s="907">
        <v>203</v>
      </c>
      <c r="D11602" s="907" t="s">
        <v>279</v>
      </c>
      <c r="E11602" s="992" t="s">
        <v>5656</v>
      </c>
      <c r="F11602" s="905" t="s">
        <v>6796</v>
      </c>
      <c r="G11602" s="1005"/>
      <c r="H11602" s="911">
        <v>0.5</v>
      </c>
      <c r="I11602" s="912">
        <f>VLOOKUP(E11602,[3]VLP!$B$7:$K$300,10,0)</f>
        <v>5000</v>
      </c>
      <c r="J11602" s="912">
        <f t="shared" si="938"/>
        <v>2500</v>
      </c>
      <c r="K11602" s="912" t="s">
        <v>274</v>
      </c>
      <c r="L11602" s="912"/>
      <c r="M11602" s="912"/>
      <c r="N11602" s="912"/>
      <c r="O11602" s="892">
        <f t="shared" si="930"/>
        <v>0</v>
      </c>
      <c r="P11602" s="903">
        <f t="shared" si="933"/>
        <v>1</v>
      </c>
      <c r="Q11602" s="893">
        <f t="shared" si="934"/>
        <v>4</v>
      </c>
      <c r="R11602" s="894">
        <f t="shared" si="935"/>
        <v>0</v>
      </c>
    </row>
    <row r="11603" spans="1:18" s="904" customFormat="1">
      <c r="A11603" s="905"/>
      <c r="B11603" s="952"/>
      <c r="C11603" s="907">
        <v>315</v>
      </c>
      <c r="D11603" s="907" t="s">
        <v>279</v>
      </c>
      <c r="E11603" s="992" t="s">
        <v>6316</v>
      </c>
      <c r="F11603" s="905" t="s">
        <v>49</v>
      </c>
      <c r="G11603" s="1005"/>
      <c r="H11603" s="911">
        <v>0.5</v>
      </c>
      <c r="I11603" s="912">
        <f>VLOOKUP(E11603,[3]VLP!$B$7:$K$300,10,0)</f>
        <v>8000</v>
      </c>
      <c r="J11603" s="912">
        <f t="shared" si="938"/>
        <v>4000</v>
      </c>
      <c r="K11603" s="912" t="s">
        <v>274</v>
      </c>
      <c r="L11603" s="912"/>
      <c r="M11603" s="912"/>
      <c r="N11603" s="912"/>
      <c r="O11603" s="892">
        <f t="shared" si="930"/>
        <v>0</v>
      </c>
      <c r="P11603" s="903">
        <f t="shared" si="933"/>
        <v>1</v>
      </c>
      <c r="Q11603" s="893">
        <f t="shared" si="934"/>
        <v>3</v>
      </c>
      <c r="R11603" s="894">
        <f t="shared" si="935"/>
        <v>0</v>
      </c>
    </row>
    <row r="11604" spans="1:18">
      <c r="A11604" s="895"/>
      <c r="B11604" s="896"/>
      <c r="C11604" s="897"/>
      <c r="D11604" s="897"/>
      <c r="E11604" s="1002" t="s">
        <v>276</v>
      </c>
      <c r="F11604" s="1003"/>
      <c r="G11604" s="1004"/>
      <c r="H11604" s="901"/>
      <c r="I11604" s="902"/>
      <c r="J11604" s="902"/>
      <c r="K11604" s="912" t="s">
        <v>274</v>
      </c>
      <c r="L11604" s="902"/>
      <c r="M11604" s="902"/>
      <c r="N11604" s="902"/>
      <c r="O11604" s="892">
        <f t="shared" si="930"/>
        <v>0</v>
      </c>
      <c r="P11604" s="903">
        <f t="shared" si="933"/>
        <v>1</v>
      </c>
      <c r="Q11604" s="893">
        <f t="shared" si="934"/>
        <v>2</v>
      </c>
      <c r="R11604" s="894">
        <f t="shared" si="935"/>
        <v>0</v>
      </c>
    </row>
    <row r="11605" spans="1:18" s="847" customFormat="1">
      <c r="A11605" s="905"/>
      <c r="B11605" s="952"/>
      <c r="C11605" s="907">
        <v>740</v>
      </c>
      <c r="D11605" s="907" t="s">
        <v>12</v>
      </c>
      <c r="E11605" s="992" t="s">
        <v>4008</v>
      </c>
      <c r="F11605" s="905" t="s">
        <v>2674</v>
      </c>
      <c r="G11605" s="1005"/>
      <c r="H11605" s="911">
        <v>10</v>
      </c>
      <c r="I11605" s="912"/>
      <c r="J11605" s="912"/>
      <c r="K11605" s="912">
        <f>VLOOKUP(E11605,[5]ĐMNC!$A$7:$F$67,4,0)</f>
        <v>221125</v>
      </c>
      <c r="L11605" s="912">
        <f>H11605*K11605</f>
        <v>2211250</v>
      </c>
      <c r="M11605" s="912"/>
      <c r="N11605" s="912"/>
      <c r="O11605" s="892">
        <f t="shared" si="930"/>
        <v>0</v>
      </c>
      <c r="P11605" s="903">
        <f t="shared" si="933"/>
        <v>1</v>
      </c>
      <c r="Q11605" s="893">
        <f t="shared" si="934"/>
        <v>1</v>
      </c>
      <c r="R11605" s="894">
        <f t="shared" si="935"/>
        <v>0</v>
      </c>
    </row>
    <row r="11606" spans="1:18" s="904" customFormat="1">
      <c r="A11606" s="905">
        <v>284</v>
      </c>
      <c r="B11606" s="1018" t="s">
        <v>6924</v>
      </c>
      <c r="C11606" s="915"/>
      <c r="D11606" s="915"/>
      <c r="E11606" s="1006" t="s">
        <v>6950</v>
      </c>
      <c r="F11606" s="917" t="s">
        <v>51</v>
      </c>
      <c r="G11606" s="1008"/>
      <c r="H11606" s="919"/>
      <c r="I11606" s="920"/>
      <c r="J11606" s="962">
        <f>SUM(J11607:J11615)</f>
        <v>113720.20000000001</v>
      </c>
      <c r="K11606" s="891" t="s">
        <v>274</v>
      </c>
      <c r="L11606" s="962">
        <f>SUM(L11607:L11615)</f>
        <v>2653500</v>
      </c>
      <c r="M11606" s="962"/>
      <c r="N11606" s="962">
        <f>SUM(N11607:N11615)</f>
        <v>0</v>
      </c>
      <c r="O11606" s="892">
        <f t="shared" si="930"/>
        <v>1</v>
      </c>
      <c r="P11606" s="903">
        <f t="shared" si="933"/>
        <v>0</v>
      </c>
      <c r="Q11606" s="893">
        <f t="shared" si="934"/>
        <v>0</v>
      </c>
      <c r="R11606" s="894">
        <f t="shared" si="935"/>
        <v>9</v>
      </c>
    </row>
    <row r="11607" spans="1:18">
      <c r="A11607" s="895"/>
      <c r="B11607" s="922"/>
      <c r="C11607" s="897"/>
      <c r="D11607" s="897"/>
      <c r="E11607" s="1002" t="s">
        <v>108</v>
      </c>
      <c r="F11607" s="1003"/>
      <c r="G11607" s="1004"/>
      <c r="H11607" s="901"/>
      <c r="I11607" s="902"/>
      <c r="J11607" s="902"/>
      <c r="K11607" s="912" t="s">
        <v>274</v>
      </c>
      <c r="L11607" s="902"/>
      <c r="M11607" s="902"/>
      <c r="N11607" s="902"/>
      <c r="O11607" s="892">
        <f t="shared" si="930"/>
        <v>0</v>
      </c>
      <c r="P11607" s="903">
        <f t="shared" si="933"/>
        <v>1</v>
      </c>
      <c r="Q11607" s="893">
        <f t="shared" si="934"/>
        <v>9</v>
      </c>
      <c r="R11607" s="894">
        <f t="shared" si="935"/>
        <v>0</v>
      </c>
    </row>
    <row r="11608" spans="1:18">
      <c r="A11608" s="905"/>
      <c r="B11608" s="952"/>
      <c r="C11608" s="907">
        <v>318</v>
      </c>
      <c r="D11608" s="907" t="s">
        <v>279</v>
      </c>
      <c r="E11608" s="992" t="s">
        <v>5657</v>
      </c>
      <c r="F11608" s="905" t="s">
        <v>45</v>
      </c>
      <c r="G11608" s="1005"/>
      <c r="H11608" s="911">
        <v>0.6</v>
      </c>
      <c r="I11608" s="912">
        <f>VLOOKUP(E11608,[3]VLP!$B$7:$K$300,10,0)</f>
        <v>25155</v>
      </c>
      <c r="J11608" s="912">
        <f t="shared" ref="J11608:J11613" si="939">I11608*H11608</f>
        <v>15093</v>
      </c>
      <c r="K11608" s="912" t="s">
        <v>274</v>
      </c>
      <c r="L11608" s="912"/>
      <c r="M11608" s="912"/>
      <c r="N11608" s="912"/>
      <c r="O11608" s="892">
        <f t="shared" si="930"/>
        <v>0</v>
      </c>
      <c r="P11608" s="903">
        <f t="shared" si="933"/>
        <v>1</v>
      </c>
      <c r="Q11608" s="893">
        <f t="shared" si="934"/>
        <v>8</v>
      </c>
      <c r="R11608" s="894">
        <f t="shared" si="935"/>
        <v>0</v>
      </c>
    </row>
    <row r="11609" spans="1:18">
      <c r="A11609" s="905"/>
      <c r="B11609" s="952"/>
      <c r="C11609" s="907">
        <v>320</v>
      </c>
      <c r="D11609" s="907" t="s">
        <v>279</v>
      </c>
      <c r="E11609" s="992" t="s">
        <v>6908</v>
      </c>
      <c r="F11609" s="905" t="s">
        <v>45</v>
      </c>
      <c r="G11609" s="1005"/>
      <c r="H11609" s="911">
        <v>0.8</v>
      </c>
      <c r="I11609" s="912">
        <f>VLOOKUP(E11609,[3]VLP!$B$7:$K$300,10,0)</f>
        <v>50000</v>
      </c>
      <c r="J11609" s="912">
        <f t="shared" si="939"/>
        <v>40000</v>
      </c>
      <c r="K11609" s="912" t="s">
        <v>274</v>
      </c>
      <c r="L11609" s="912"/>
      <c r="M11609" s="912"/>
      <c r="N11609" s="912"/>
      <c r="O11609" s="892">
        <f t="shared" si="930"/>
        <v>0</v>
      </c>
      <c r="P11609" s="903">
        <f t="shared" si="933"/>
        <v>1</v>
      </c>
      <c r="Q11609" s="893">
        <f t="shared" si="934"/>
        <v>7</v>
      </c>
      <c r="R11609" s="894">
        <f t="shared" si="935"/>
        <v>0</v>
      </c>
    </row>
    <row r="11610" spans="1:18" s="904" customFormat="1">
      <c r="A11610" s="905"/>
      <c r="B11610" s="952"/>
      <c r="C11610" s="907">
        <v>311</v>
      </c>
      <c r="D11610" s="907" t="s">
        <v>279</v>
      </c>
      <c r="E11610" s="992" t="s">
        <v>6878</v>
      </c>
      <c r="F11610" s="905" t="s">
        <v>45</v>
      </c>
      <c r="G11610" s="1005"/>
      <c r="H11610" s="911">
        <v>0.1</v>
      </c>
      <c r="I11610" s="912">
        <f>VLOOKUP(E11610,[3]VLP!$B$7:$K$300,10,0)</f>
        <v>73636</v>
      </c>
      <c r="J11610" s="912">
        <f t="shared" si="939"/>
        <v>7363.6</v>
      </c>
      <c r="K11610" s="912" t="s">
        <v>274</v>
      </c>
      <c r="L11610" s="912"/>
      <c r="M11610" s="912"/>
      <c r="N11610" s="912"/>
      <c r="O11610" s="892">
        <f t="shared" si="930"/>
        <v>0</v>
      </c>
      <c r="P11610" s="903">
        <f t="shared" si="933"/>
        <v>1</v>
      </c>
      <c r="Q11610" s="893">
        <f t="shared" si="934"/>
        <v>6</v>
      </c>
      <c r="R11610" s="894">
        <f t="shared" si="935"/>
        <v>0</v>
      </c>
    </row>
    <row r="11611" spans="1:18">
      <c r="A11611" s="905"/>
      <c r="B11611" s="952"/>
      <c r="C11611" s="907">
        <v>307</v>
      </c>
      <c r="D11611" s="907" t="s">
        <v>279</v>
      </c>
      <c r="E11611" s="992" t="s">
        <v>6932</v>
      </c>
      <c r="F11611" s="905" t="s">
        <v>45</v>
      </c>
      <c r="G11611" s="1005"/>
      <c r="H11611" s="911">
        <v>0.1</v>
      </c>
      <c r="I11611" s="912">
        <f>VLOOKUP(E11611,[3]VLP!$B$7:$K$300,10,0)</f>
        <v>447636</v>
      </c>
      <c r="J11611" s="912">
        <f t="shared" si="939"/>
        <v>44763.600000000006</v>
      </c>
      <c r="K11611" s="912" t="s">
        <v>274</v>
      </c>
      <c r="L11611" s="912"/>
      <c r="M11611" s="912"/>
      <c r="N11611" s="912"/>
      <c r="O11611" s="892">
        <f t="shared" si="930"/>
        <v>0</v>
      </c>
      <c r="P11611" s="903">
        <f t="shared" si="933"/>
        <v>1</v>
      </c>
      <c r="Q11611" s="893">
        <f t="shared" si="934"/>
        <v>5</v>
      </c>
      <c r="R11611" s="894">
        <f t="shared" si="935"/>
        <v>0</v>
      </c>
    </row>
    <row r="11612" spans="1:18" s="904" customFormat="1">
      <c r="A11612" s="905"/>
      <c r="B11612" s="952"/>
      <c r="C11612" s="907">
        <v>203</v>
      </c>
      <c r="D11612" s="907" t="s">
        <v>279</v>
      </c>
      <c r="E11612" s="992" t="s">
        <v>5656</v>
      </c>
      <c r="F11612" s="905" t="s">
        <v>6796</v>
      </c>
      <c r="G11612" s="1005"/>
      <c r="H11612" s="911">
        <v>0.5</v>
      </c>
      <c r="I11612" s="912">
        <f>VLOOKUP(E11612,[3]VLP!$B$7:$K$300,10,0)</f>
        <v>5000</v>
      </c>
      <c r="J11612" s="912">
        <f t="shared" si="939"/>
        <v>2500</v>
      </c>
      <c r="K11612" s="912" t="s">
        <v>274</v>
      </c>
      <c r="L11612" s="912"/>
      <c r="M11612" s="912"/>
      <c r="N11612" s="912"/>
      <c r="O11612" s="892">
        <f t="shared" si="930"/>
        <v>0</v>
      </c>
      <c r="P11612" s="903">
        <f t="shared" si="933"/>
        <v>1</v>
      </c>
      <c r="Q11612" s="893">
        <f t="shared" si="934"/>
        <v>4</v>
      </c>
      <c r="R11612" s="894">
        <f t="shared" si="935"/>
        <v>0</v>
      </c>
    </row>
    <row r="11613" spans="1:18">
      <c r="A11613" s="905"/>
      <c r="B11613" s="952"/>
      <c r="C11613" s="907">
        <v>315</v>
      </c>
      <c r="D11613" s="907" t="s">
        <v>279</v>
      </c>
      <c r="E11613" s="992" t="s">
        <v>6316</v>
      </c>
      <c r="F11613" s="905" t="s">
        <v>49</v>
      </c>
      <c r="G11613" s="1005"/>
      <c r="H11613" s="911">
        <v>0.5</v>
      </c>
      <c r="I11613" s="912">
        <f>VLOOKUP(E11613,[3]VLP!$B$7:$K$300,10,0)</f>
        <v>8000</v>
      </c>
      <c r="J11613" s="912">
        <f t="shared" si="939"/>
        <v>4000</v>
      </c>
      <c r="K11613" s="912" t="s">
        <v>274</v>
      </c>
      <c r="L11613" s="912"/>
      <c r="M11613" s="912"/>
      <c r="N11613" s="912"/>
      <c r="O11613" s="892">
        <f t="shared" si="930"/>
        <v>0</v>
      </c>
      <c r="P11613" s="903">
        <f t="shared" si="933"/>
        <v>1</v>
      </c>
      <c r="Q11613" s="893">
        <f t="shared" si="934"/>
        <v>3</v>
      </c>
      <c r="R11613" s="894">
        <f t="shared" si="935"/>
        <v>0</v>
      </c>
    </row>
    <row r="11614" spans="1:18">
      <c r="A11614" s="895"/>
      <c r="B11614" s="896"/>
      <c r="C11614" s="897"/>
      <c r="D11614" s="897"/>
      <c r="E11614" s="1002" t="s">
        <v>276</v>
      </c>
      <c r="F11614" s="1003"/>
      <c r="G11614" s="1004"/>
      <c r="H11614" s="901"/>
      <c r="I11614" s="902"/>
      <c r="J11614" s="902"/>
      <c r="K11614" s="912" t="s">
        <v>274</v>
      </c>
      <c r="L11614" s="902"/>
      <c r="M11614" s="902"/>
      <c r="N11614" s="902"/>
      <c r="O11614" s="892">
        <f t="shared" si="930"/>
        <v>0</v>
      </c>
      <c r="P11614" s="903">
        <f t="shared" si="933"/>
        <v>1</v>
      </c>
      <c r="Q11614" s="893">
        <f t="shared" si="934"/>
        <v>2</v>
      </c>
      <c r="R11614" s="894">
        <f t="shared" si="935"/>
        <v>0</v>
      </c>
    </row>
    <row r="11615" spans="1:18" s="847" customFormat="1">
      <c r="A11615" s="905"/>
      <c r="B11615" s="952"/>
      <c r="C11615" s="907">
        <v>740</v>
      </c>
      <c r="D11615" s="907" t="s">
        <v>12</v>
      </c>
      <c r="E11615" s="992" t="s">
        <v>4008</v>
      </c>
      <c r="F11615" s="905" t="s">
        <v>2674</v>
      </c>
      <c r="G11615" s="1005"/>
      <c r="H11615" s="911">
        <v>12</v>
      </c>
      <c r="I11615" s="912"/>
      <c r="J11615" s="912"/>
      <c r="K11615" s="912">
        <f>VLOOKUP(E11615,[5]ĐMNC!$A$7:$F$67,4,0)</f>
        <v>221125</v>
      </c>
      <c r="L11615" s="912">
        <f>H11615*K11615</f>
        <v>2653500</v>
      </c>
      <c r="M11615" s="912"/>
      <c r="N11615" s="912"/>
      <c r="O11615" s="892">
        <f t="shared" ref="O11615:O11678" si="940">IF(AND(B11615&lt;&gt;"",D11615=""),1,0)</f>
        <v>0</v>
      </c>
      <c r="P11615" s="903">
        <f t="shared" si="933"/>
        <v>1</v>
      </c>
      <c r="Q11615" s="893">
        <f t="shared" si="934"/>
        <v>1</v>
      </c>
      <c r="R11615" s="894">
        <f t="shared" si="935"/>
        <v>0</v>
      </c>
    </row>
    <row r="11616" spans="1:18" s="904" customFormat="1">
      <c r="A11616" s="905">
        <v>285</v>
      </c>
      <c r="B11616" s="1018" t="s">
        <v>6926</v>
      </c>
      <c r="C11616" s="915"/>
      <c r="D11616" s="915"/>
      <c r="E11616" s="1006" t="s">
        <v>6951</v>
      </c>
      <c r="F11616" s="917" t="s">
        <v>51</v>
      </c>
      <c r="G11616" s="1008"/>
      <c r="H11616" s="919"/>
      <c r="I11616" s="920"/>
      <c r="J11616" s="962">
        <f>SUM(J11617:J11625)</f>
        <v>116235.70000000001</v>
      </c>
      <c r="K11616" s="891" t="s">
        <v>274</v>
      </c>
      <c r="L11616" s="962">
        <f>SUM(L11617:L11625)</f>
        <v>3316875</v>
      </c>
      <c r="M11616" s="962"/>
      <c r="N11616" s="962">
        <f>SUM(N11617:N11625)</f>
        <v>0</v>
      </c>
      <c r="O11616" s="892">
        <f t="shared" si="940"/>
        <v>1</v>
      </c>
      <c r="P11616" s="903">
        <f t="shared" si="933"/>
        <v>0</v>
      </c>
      <c r="Q11616" s="893">
        <f t="shared" si="934"/>
        <v>0</v>
      </c>
      <c r="R11616" s="894">
        <f t="shared" si="935"/>
        <v>9</v>
      </c>
    </row>
    <row r="11617" spans="1:18">
      <c r="A11617" s="895"/>
      <c r="B11617" s="896"/>
      <c r="C11617" s="897"/>
      <c r="D11617" s="897"/>
      <c r="E11617" s="1002" t="s">
        <v>108</v>
      </c>
      <c r="F11617" s="1003"/>
      <c r="G11617" s="1004"/>
      <c r="H11617" s="901"/>
      <c r="I11617" s="902"/>
      <c r="J11617" s="902"/>
      <c r="K11617" s="912" t="s">
        <v>274</v>
      </c>
      <c r="L11617" s="902"/>
      <c r="M11617" s="902"/>
      <c r="N11617" s="902"/>
      <c r="O11617" s="892">
        <f t="shared" si="940"/>
        <v>0</v>
      </c>
      <c r="P11617" s="903">
        <f t="shared" si="933"/>
        <v>1</v>
      </c>
      <c r="Q11617" s="893">
        <f t="shared" si="934"/>
        <v>9</v>
      </c>
      <c r="R11617" s="894">
        <f t="shared" si="935"/>
        <v>0</v>
      </c>
    </row>
    <row r="11618" spans="1:18">
      <c r="A11618" s="905"/>
      <c r="B11618" s="952"/>
      <c r="C11618" s="907">
        <v>318</v>
      </c>
      <c r="D11618" s="907" t="s">
        <v>279</v>
      </c>
      <c r="E11618" s="992" t="s">
        <v>5657</v>
      </c>
      <c r="F11618" s="905" t="s">
        <v>45</v>
      </c>
      <c r="G11618" s="1005"/>
      <c r="H11618" s="911">
        <v>0.7</v>
      </c>
      <c r="I11618" s="912">
        <f>VLOOKUP(E11618,[3]VLP!$B$7:$K$300,10,0)</f>
        <v>25155</v>
      </c>
      <c r="J11618" s="912">
        <f t="shared" ref="J11618:J11623" si="941">I11618*H11618</f>
        <v>17608.5</v>
      </c>
      <c r="K11618" s="912" t="s">
        <v>274</v>
      </c>
      <c r="L11618" s="912"/>
      <c r="M11618" s="912"/>
      <c r="N11618" s="912"/>
      <c r="O11618" s="892">
        <f t="shared" si="940"/>
        <v>0</v>
      </c>
      <c r="P11618" s="903">
        <f t="shared" si="933"/>
        <v>1</v>
      </c>
      <c r="Q11618" s="893">
        <f t="shared" si="934"/>
        <v>8</v>
      </c>
      <c r="R11618" s="894">
        <f t="shared" si="935"/>
        <v>0</v>
      </c>
    </row>
    <row r="11619" spans="1:18">
      <c r="A11619" s="905"/>
      <c r="B11619" s="952"/>
      <c r="C11619" s="907">
        <v>320</v>
      </c>
      <c r="D11619" s="907" t="s">
        <v>279</v>
      </c>
      <c r="E11619" s="992" t="s">
        <v>6908</v>
      </c>
      <c r="F11619" s="905" t="s">
        <v>45</v>
      </c>
      <c r="G11619" s="1005"/>
      <c r="H11619" s="911">
        <v>0.8</v>
      </c>
      <c r="I11619" s="912">
        <f>VLOOKUP(E11619,[3]VLP!$B$7:$K$300,10,0)</f>
        <v>50000</v>
      </c>
      <c r="J11619" s="912">
        <f t="shared" si="941"/>
        <v>40000</v>
      </c>
      <c r="K11619" s="912" t="s">
        <v>274</v>
      </c>
      <c r="L11619" s="912"/>
      <c r="M11619" s="912"/>
      <c r="N11619" s="912"/>
      <c r="O11619" s="892">
        <f t="shared" si="940"/>
        <v>0</v>
      </c>
      <c r="P11619" s="903">
        <f t="shared" si="933"/>
        <v>1</v>
      </c>
      <c r="Q11619" s="893">
        <f t="shared" si="934"/>
        <v>7</v>
      </c>
      <c r="R11619" s="894">
        <f t="shared" si="935"/>
        <v>0</v>
      </c>
    </row>
    <row r="11620" spans="1:18" s="904" customFormat="1">
      <c r="A11620" s="905"/>
      <c r="B11620" s="952"/>
      <c r="C11620" s="907">
        <v>311</v>
      </c>
      <c r="D11620" s="907" t="s">
        <v>279</v>
      </c>
      <c r="E11620" s="992" t="s">
        <v>6878</v>
      </c>
      <c r="F11620" s="905" t="s">
        <v>45</v>
      </c>
      <c r="G11620" s="1005"/>
      <c r="H11620" s="911">
        <v>0.1</v>
      </c>
      <c r="I11620" s="912">
        <f>VLOOKUP(E11620,[3]VLP!$B$7:$K$300,10,0)</f>
        <v>73636</v>
      </c>
      <c r="J11620" s="912">
        <f t="shared" si="941"/>
        <v>7363.6</v>
      </c>
      <c r="K11620" s="912" t="s">
        <v>274</v>
      </c>
      <c r="L11620" s="912"/>
      <c r="M11620" s="912"/>
      <c r="N11620" s="912"/>
      <c r="O11620" s="892">
        <f t="shared" si="940"/>
        <v>0</v>
      </c>
      <c r="P11620" s="903">
        <f t="shared" si="933"/>
        <v>1</v>
      </c>
      <c r="Q11620" s="893">
        <f t="shared" si="934"/>
        <v>6</v>
      </c>
      <c r="R11620" s="894">
        <f t="shared" si="935"/>
        <v>0</v>
      </c>
    </row>
    <row r="11621" spans="1:18">
      <c r="A11621" s="905"/>
      <c r="B11621" s="952"/>
      <c r="C11621" s="907">
        <v>307</v>
      </c>
      <c r="D11621" s="907" t="s">
        <v>279</v>
      </c>
      <c r="E11621" s="992" t="s">
        <v>6932</v>
      </c>
      <c r="F11621" s="905" t="s">
        <v>45</v>
      </c>
      <c r="G11621" s="1005"/>
      <c r="H11621" s="911">
        <v>0.1</v>
      </c>
      <c r="I11621" s="912">
        <f>VLOOKUP(E11621,[3]VLP!$B$7:$K$300,10,0)</f>
        <v>447636</v>
      </c>
      <c r="J11621" s="912">
        <f t="shared" si="941"/>
        <v>44763.600000000006</v>
      </c>
      <c r="K11621" s="912" t="s">
        <v>274</v>
      </c>
      <c r="L11621" s="912"/>
      <c r="M11621" s="912"/>
      <c r="N11621" s="912"/>
      <c r="O11621" s="892">
        <f t="shared" si="940"/>
        <v>0</v>
      </c>
      <c r="P11621" s="903">
        <f t="shared" si="933"/>
        <v>1</v>
      </c>
      <c r="Q11621" s="893">
        <f t="shared" si="934"/>
        <v>5</v>
      </c>
      <c r="R11621" s="894">
        <f t="shared" si="935"/>
        <v>0</v>
      </c>
    </row>
    <row r="11622" spans="1:18" s="904" customFormat="1">
      <c r="A11622" s="905"/>
      <c r="B11622" s="952"/>
      <c r="C11622" s="907">
        <v>203</v>
      </c>
      <c r="D11622" s="907" t="s">
        <v>279</v>
      </c>
      <c r="E11622" s="992" t="s">
        <v>5656</v>
      </c>
      <c r="F11622" s="905" t="s">
        <v>6796</v>
      </c>
      <c r="G11622" s="1005"/>
      <c r="H11622" s="911">
        <v>0.5</v>
      </c>
      <c r="I11622" s="912">
        <f>VLOOKUP(E11622,[3]VLP!$B$7:$K$300,10,0)</f>
        <v>5000</v>
      </c>
      <c r="J11622" s="912">
        <f t="shared" si="941"/>
        <v>2500</v>
      </c>
      <c r="K11622" s="912" t="s">
        <v>274</v>
      </c>
      <c r="L11622" s="912"/>
      <c r="M11622" s="912"/>
      <c r="N11622" s="912"/>
      <c r="O11622" s="892">
        <f t="shared" si="940"/>
        <v>0</v>
      </c>
      <c r="P11622" s="903">
        <f t="shared" si="933"/>
        <v>1</v>
      </c>
      <c r="Q11622" s="893">
        <f t="shared" si="934"/>
        <v>4</v>
      </c>
      <c r="R11622" s="894">
        <f t="shared" si="935"/>
        <v>0</v>
      </c>
    </row>
    <row r="11623" spans="1:18">
      <c r="A11623" s="905"/>
      <c r="B11623" s="952"/>
      <c r="C11623" s="907">
        <v>315</v>
      </c>
      <c r="D11623" s="907" t="s">
        <v>279</v>
      </c>
      <c r="E11623" s="992" t="s">
        <v>6316</v>
      </c>
      <c r="F11623" s="905" t="s">
        <v>49</v>
      </c>
      <c r="G11623" s="1005"/>
      <c r="H11623" s="911">
        <v>0.5</v>
      </c>
      <c r="I11623" s="912">
        <f>VLOOKUP(E11623,[3]VLP!$B$7:$K$300,10,0)</f>
        <v>8000</v>
      </c>
      <c r="J11623" s="912">
        <f t="shared" si="941"/>
        <v>4000</v>
      </c>
      <c r="K11623" s="912" t="s">
        <v>274</v>
      </c>
      <c r="L11623" s="912"/>
      <c r="M11623" s="912"/>
      <c r="N11623" s="912"/>
      <c r="O11623" s="892">
        <f t="shared" si="940"/>
        <v>0</v>
      </c>
      <c r="P11623" s="903">
        <f t="shared" si="933"/>
        <v>1</v>
      </c>
      <c r="Q11623" s="893">
        <f t="shared" si="934"/>
        <v>3</v>
      </c>
      <c r="R11623" s="894">
        <f t="shared" si="935"/>
        <v>0</v>
      </c>
    </row>
    <row r="11624" spans="1:18">
      <c r="A11624" s="895"/>
      <c r="B11624" s="896"/>
      <c r="C11624" s="897"/>
      <c r="D11624" s="897"/>
      <c r="E11624" s="1002" t="s">
        <v>276</v>
      </c>
      <c r="F11624" s="1003"/>
      <c r="G11624" s="1004"/>
      <c r="H11624" s="901"/>
      <c r="I11624" s="902"/>
      <c r="J11624" s="902"/>
      <c r="K11624" s="912" t="s">
        <v>274</v>
      </c>
      <c r="L11624" s="902"/>
      <c r="M11624" s="902"/>
      <c r="N11624" s="902"/>
      <c r="O11624" s="892">
        <f t="shared" si="940"/>
        <v>0</v>
      </c>
      <c r="P11624" s="903">
        <f t="shared" si="933"/>
        <v>1</v>
      </c>
      <c r="Q11624" s="893">
        <f t="shared" si="934"/>
        <v>2</v>
      </c>
      <c r="R11624" s="894">
        <f t="shared" si="935"/>
        <v>0</v>
      </c>
    </row>
    <row r="11625" spans="1:18" s="847" customFormat="1">
      <c r="A11625" s="905"/>
      <c r="B11625" s="952"/>
      <c r="C11625" s="907">
        <v>740</v>
      </c>
      <c r="D11625" s="907" t="s">
        <v>12</v>
      </c>
      <c r="E11625" s="992" t="s">
        <v>4008</v>
      </c>
      <c r="F11625" s="905" t="s">
        <v>2674</v>
      </c>
      <c r="G11625" s="1005"/>
      <c r="H11625" s="911">
        <v>15</v>
      </c>
      <c r="I11625" s="912"/>
      <c r="J11625" s="912"/>
      <c r="K11625" s="912">
        <f>VLOOKUP(E11625,[5]ĐMNC!$A$7:$F$67,4,0)</f>
        <v>221125</v>
      </c>
      <c r="L11625" s="912">
        <f>H11625*K11625</f>
        <v>3316875</v>
      </c>
      <c r="M11625" s="912"/>
      <c r="N11625" s="912"/>
      <c r="O11625" s="892">
        <f t="shared" si="940"/>
        <v>0</v>
      </c>
      <c r="P11625" s="903">
        <f t="shared" si="933"/>
        <v>1</v>
      </c>
      <c r="Q11625" s="893">
        <f t="shared" si="934"/>
        <v>1</v>
      </c>
      <c r="R11625" s="894">
        <f t="shared" si="935"/>
        <v>0</v>
      </c>
    </row>
    <row r="11626" spans="1:18" s="904" customFormat="1">
      <c r="A11626" s="905">
        <v>286</v>
      </c>
      <c r="B11626" s="1018" t="s">
        <v>6928</v>
      </c>
      <c r="C11626" s="915"/>
      <c r="D11626" s="915"/>
      <c r="E11626" s="1006" t="s">
        <v>6952</v>
      </c>
      <c r="F11626" s="917" t="s">
        <v>51</v>
      </c>
      <c r="G11626" s="1008"/>
      <c r="H11626" s="919"/>
      <c r="I11626" s="920"/>
      <c r="J11626" s="962">
        <f>SUM(J11627:J11635)</f>
        <v>116235.70000000001</v>
      </c>
      <c r="K11626" s="891" t="s">
        <v>274</v>
      </c>
      <c r="L11626" s="962">
        <f>SUM(L11627:L11635)</f>
        <v>4422500</v>
      </c>
      <c r="M11626" s="962"/>
      <c r="N11626" s="962">
        <f>SUM(N11627:N11635)</f>
        <v>0</v>
      </c>
      <c r="O11626" s="892">
        <f t="shared" si="940"/>
        <v>1</v>
      </c>
      <c r="P11626" s="903">
        <f t="shared" si="933"/>
        <v>0</v>
      </c>
      <c r="Q11626" s="893">
        <f t="shared" si="934"/>
        <v>0</v>
      </c>
      <c r="R11626" s="894">
        <f t="shared" si="935"/>
        <v>9</v>
      </c>
    </row>
    <row r="11627" spans="1:18">
      <c r="A11627" s="895"/>
      <c r="B11627" s="896"/>
      <c r="C11627" s="897"/>
      <c r="D11627" s="897"/>
      <c r="E11627" s="1002" t="s">
        <v>108</v>
      </c>
      <c r="F11627" s="1003"/>
      <c r="G11627" s="1004"/>
      <c r="H11627" s="901"/>
      <c r="I11627" s="902"/>
      <c r="J11627" s="902"/>
      <c r="K11627" s="912" t="s">
        <v>274</v>
      </c>
      <c r="L11627" s="902"/>
      <c r="M11627" s="902"/>
      <c r="N11627" s="902"/>
      <c r="O11627" s="892">
        <f t="shared" si="940"/>
        <v>0</v>
      </c>
      <c r="P11627" s="903">
        <f t="shared" si="933"/>
        <v>1</v>
      </c>
      <c r="Q11627" s="893">
        <f t="shared" si="934"/>
        <v>9</v>
      </c>
      <c r="R11627" s="894">
        <f t="shared" si="935"/>
        <v>0</v>
      </c>
    </row>
    <row r="11628" spans="1:18">
      <c r="A11628" s="905"/>
      <c r="B11628" s="952"/>
      <c r="C11628" s="907">
        <v>318</v>
      </c>
      <c r="D11628" s="907" t="s">
        <v>279</v>
      </c>
      <c r="E11628" s="992" t="s">
        <v>5657</v>
      </c>
      <c r="F11628" s="905" t="s">
        <v>45</v>
      </c>
      <c r="G11628" s="1005"/>
      <c r="H11628" s="911">
        <v>0.7</v>
      </c>
      <c r="I11628" s="912">
        <f>VLOOKUP(E11628,[3]VLP!$B$7:$K$300,10,0)</f>
        <v>25155</v>
      </c>
      <c r="J11628" s="912">
        <f t="shared" ref="J11628:J11633" si="942">I11628*H11628</f>
        <v>17608.5</v>
      </c>
      <c r="K11628" s="912" t="s">
        <v>274</v>
      </c>
      <c r="L11628" s="912"/>
      <c r="M11628" s="912"/>
      <c r="N11628" s="912"/>
      <c r="O11628" s="892">
        <f t="shared" si="940"/>
        <v>0</v>
      </c>
      <c r="P11628" s="903">
        <f t="shared" si="933"/>
        <v>1</v>
      </c>
      <c r="Q11628" s="893">
        <f t="shared" si="934"/>
        <v>8</v>
      </c>
      <c r="R11628" s="894">
        <f t="shared" si="935"/>
        <v>0</v>
      </c>
    </row>
    <row r="11629" spans="1:18" s="904" customFormat="1">
      <c r="A11629" s="905"/>
      <c r="B11629" s="952"/>
      <c r="C11629" s="907">
        <v>320</v>
      </c>
      <c r="D11629" s="907" t="s">
        <v>279</v>
      </c>
      <c r="E11629" s="992" t="s">
        <v>6908</v>
      </c>
      <c r="F11629" s="905" t="s">
        <v>45</v>
      </c>
      <c r="G11629" s="1005"/>
      <c r="H11629" s="911">
        <v>0.8</v>
      </c>
      <c r="I11629" s="912">
        <f>VLOOKUP(E11629,[3]VLP!$B$7:$K$300,10,0)</f>
        <v>50000</v>
      </c>
      <c r="J11629" s="912">
        <f t="shared" si="942"/>
        <v>40000</v>
      </c>
      <c r="K11629" s="912" t="s">
        <v>274</v>
      </c>
      <c r="L11629" s="912"/>
      <c r="M11629" s="912"/>
      <c r="N11629" s="912"/>
      <c r="O11629" s="892">
        <f t="shared" si="940"/>
        <v>0</v>
      </c>
      <c r="P11629" s="903">
        <f t="shared" si="933"/>
        <v>1</v>
      </c>
      <c r="Q11629" s="893">
        <f t="shared" si="934"/>
        <v>7</v>
      </c>
      <c r="R11629" s="894">
        <f t="shared" si="935"/>
        <v>0</v>
      </c>
    </row>
    <row r="11630" spans="1:18">
      <c r="A11630" s="905"/>
      <c r="B11630" s="952"/>
      <c r="C11630" s="907">
        <v>311</v>
      </c>
      <c r="D11630" s="907" t="s">
        <v>279</v>
      </c>
      <c r="E11630" s="992" t="s">
        <v>6878</v>
      </c>
      <c r="F11630" s="905" t="s">
        <v>45</v>
      </c>
      <c r="G11630" s="1005"/>
      <c r="H11630" s="911">
        <v>0.1</v>
      </c>
      <c r="I11630" s="912">
        <f>VLOOKUP(E11630,[3]VLP!$B$7:$K$300,10,0)</f>
        <v>73636</v>
      </c>
      <c r="J11630" s="912">
        <f t="shared" si="942"/>
        <v>7363.6</v>
      </c>
      <c r="K11630" s="912" t="s">
        <v>274</v>
      </c>
      <c r="L11630" s="912"/>
      <c r="M11630" s="912"/>
      <c r="N11630" s="912"/>
      <c r="O11630" s="892">
        <f t="shared" si="940"/>
        <v>0</v>
      </c>
      <c r="P11630" s="903">
        <f t="shared" si="933"/>
        <v>1</v>
      </c>
      <c r="Q11630" s="893">
        <f t="shared" si="934"/>
        <v>6</v>
      </c>
      <c r="R11630" s="894">
        <f t="shared" si="935"/>
        <v>0</v>
      </c>
    </row>
    <row r="11631" spans="1:18" s="904" customFormat="1">
      <c r="A11631" s="905"/>
      <c r="B11631" s="952"/>
      <c r="C11631" s="907">
        <v>307</v>
      </c>
      <c r="D11631" s="907" t="s">
        <v>279</v>
      </c>
      <c r="E11631" s="992" t="s">
        <v>6932</v>
      </c>
      <c r="F11631" s="905" t="s">
        <v>45</v>
      </c>
      <c r="G11631" s="1005"/>
      <c r="H11631" s="911">
        <v>0.1</v>
      </c>
      <c r="I11631" s="912">
        <f>VLOOKUP(E11631,[3]VLP!$B$7:$K$300,10,0)</f>
        <v>447636</v>
      </c>
      <c r="J11631" s="912">
        <f t="shared" si="942"/>
        <v>44763.600000000006</v>
      </c>
      <c r="K11631" s="912" t="s">
        <v>274</v>
      </c>
      <c r="L11631" s="912"/>
      <c r="M11631" s="912"/>
      <c r="N11631" s="912"/>
      <c r="O11631" s="892">
        <f t="shared" si="940"/>
        <v>0</v>
      </c>
      <c r="P11631" s="903">
        <f t="shared" si="933"/>
        <v>1</v>
      </c>
      <c r="Q11631" s="893">
        <f t="shared" si="934"/>
        <v>5</v>
      </c>
      <c r="R11631" s="894">
        <f t="shared" si="935"/>
        <v>0</v>
      </c>
    </row>
    <row r="11632" spans="1:18">
      <c r="A11632" s="905"/>
      <c r="B11632" s="952"/>
      <c r="C11632" s="907">
        <v>203</v>
      </c>
      <c r="D11632" s="907" t="s">
        <v>279</v>
      </c>
      <c r="E11632" s="992" t="s">
        <v>5656</v>
      </c>
      <c r="F11632" s="905" t="s">
        <v>6796</v>
      </c>
      <c r="G11632" s="1005"/>
      <c r="H11632" s="911">
        <v>0.5</v>
      </c>
      <c r="I11632" s="912">
        <f>VLOOKUP(E11632,[3]VLP!$B$7:$K$300,10,0)</f>
        <v>5000</v>
      </c>
      <c r="J11632" s="912">
        <f t="shared" si="942"/>
        <v>2500</v>
      </c>
      <c r="K11632" s="912" t="s">
        <v>274</v>
      </c>
      <c r="L11632" s="912"/>
      <c r="M11632" s="912"/>
      <c r="N11632" s="912"/>
      <c r="O11632" s="892">
        <f t="shared" si="940"/>
        <v>0</v>
      </c>
      <c r="P11632" s="903">
        <f t="shared" si="933"/>
        <v>1</v>
      </c>
      <c r="Q11632" s="893">
        <f t="shared" si="934"/>
        <v>4</v>
      </c>
      <c r="R11632" s="894">
        <f t="shared" si="935"/>
        <v>0</v>
      </c>
    </row>
    <row r="11633" spans="1:18" s="847" customFormat="1">
      <c r="A11633" s="905"/>
      <c r="B11633" s="952"/>
      <c r="C11633" s="907">
        <v>315</v>
      </c>
      <c r="D11633" s="907" t="s">
        <v>279</v>
      </c>
      <c r="E11633" s="992" t="s">
        <v>6316</v>
      </c>
      <c r="F11633" s="905" t="s">
        <v>49</v>
      </c>
      <c r="G11633" s="1005"/>
      <c r="H11633" s="911">
        <v>0.5</v>
      </c>
      <c r="I11633" s="912">
        <f>VLOOKUP(E11633,[3]VLP!$B$7:$K$300,10,0)</f>
        <v>8000</v>
      </c>
      <c r="J11633" s="912">
        <f t="shared" si="942"/>
        <v>4000</v>
      </c>
      <c r="K11633" s="912" t="s">
        <v>274</v>
      </c>
      <c r="L11633" s="912"/>
      <c r="M11633" s="912"/>
      <c r="N11633" s="912"/>
      <c r="O11633" s="892">
        <f t="shared" si="940"/>
        <v>0</v>
      </c>
      <c r="P11633" s="903">
        <f t="shared" si="933"/>
        <v>1</v>
      </c>
      <c r="Q11633" s="893">
        <f t="shared" si="934"/>
        <v>3</v>
      </c>
      <c r="R11633" s="894">
        <f t="shared" si="935"/>
        <v>0</v>
      </c>
    </row>
    <row r="11634" spans="1:18" s="904" customFormat="1">
      <c r="A11634" s="895"/>
      <c r="B11634" s="896"/>
      <c r="C11634" s="897"/>
      <c r="D11634" s="897"/>
      <c r="E11634" s="1002" t="s">
        <v>276</v>
      </c>
      <c r="F11634" s="1003"/>
      <c r="G11634" s="1004"/>
      <c r="H11634" s="901"/>
      <c r="I11634" s="902"/>
      <c r="J11634" s="902"/>
      <c r="K11634" s="912" t="s">
        <v>274</v>
      </c>
      <c r="L11634" s="902"/>
      <c r="M11634" s="902"/>
      <c r="N11634" s="902"/>
      <c r="O11634" s="892">
        <f t="shared" si="940"/>
        <v>0</v>
      </c>
      <c r="P11634" s="903">
        <f t="shared" si="933"/>
        <v>1</v>
      </c>
      <c r="Q11634" s="893">
        <f t="shared" si="934"/>
        <v>2</v>
      </c>
      <c r="R11634" s="894">
        <f t="shared" si="935"/>
        <v>0</v>
      </c>
    </row>
    <row r="11635" spans="1:18">
      <c r="A11635" s="905"/>
      <c r="B11635" s="952"/>
      <c r="C11635" s="907">
        <v>740</v>
      </c>
      <c r="D11635" s="907" t="s">
        <v>12</v>
      </c>
      <c r="E11635" s="992" t="s">
        <v>4008</v>
      </c>
      <c r="F11635" s="905" t="s">
        <v>2674</v>
      </c>
      <c r="G11635" s="1005"/>
      <c r="H11635" s="911">
        <v>20</v>
      </c>
      <c r="I11635" s="912"/>
      <c r="J11635" s="912"/>
      <c r="K11635" s="912">
        <f>VLOOKUP(E11635,[5]ĐMNC!$A$7:$F$67,4,0)</f>
        <v>221125</v>
      </c>
      <c r="L11635" s="912">
        <f>H11635*K11635</f>
        <v>4422500</v>
      </c>
      <c r="M11635" s="912"/>
      <c r="N11635" s="912"/>
      <c r="O11635" s="892">
        <f t="shared" si="940"/>
        <v>0</v>
      </c>
      <c r="P11635" s="903">
        <f t="shared" ref="P11635:P11698" si="943">IF(O11635=0,1,0)</f>
        <v>1</v>
      </c>
      <c r="Q11635" s="893">
        <f t="shared" ref="Q11635:Q11698" si="944">IF(P11635=0,0,P11635+Q11636)</f>
        <v>1</v>
      </c>
      <c r="R11635" s="894">
        <f t="shared" ref="R11635:R11698" si="945">IF(Q11635=0,Q11636,0)</f>
        <v>0</v>
      </c>
    </row>
    <row r="11636" spans="1:18">
      <c r="A11636" s="905" t="s">
        <v>6947</v>
      </c>
      <c r="B11636" s="1020" t="s">
        <v>6953</v>
      </c>
      <c r="C11636" s="915"/>
      <c r="D11636" s="915"/>
      <c r="E11636" s="1006" t="s">
        <v>6954</v>
      </c>
      <c r="F11636" s="917" t="s">
        <v>51</v>
      </c>
      <c r="G11636" s="1008"/>
      <c r="H11636" s="919"/>
      <c r="I11636" s="920"/>
      <c r="J11636" s="891">
        <f>SUM(J11637:J11644)</f>
        <v>40793.800000000003</v>
      </c>
      <c r="K11636" s="891"/>
      <c r="L11636" s="891">
        <f>SUM(L11637:L11644)</f>
        <v>199012.5</v>
      </c>
      <c r="M11636" s="891"/>
      <c r="N11636" s="891">
        <f>SUM(N11637:N11644)</f>
        <v>0</v>
      </c>
      <c r="O11636" s="892">
        <f t="shared" si="940"/>
        <v>1</v>
      </c>
      <c r="P11636" s="903">
        <f t="shared" si="943"/>
        <v>0</v>
      </c>
      <c r="Q11636" s="893">
        <f t="shared" si="944"/>
        <v>0</v>
      </c>
      <c r="R11636" s="894">
        <f t="shared" si="945"/>
        <v>8</v>
      </c>
    </row>
    <row r="11637" spans="1:18">
      <c r="A11637" s="895"/>
      <c r="B11637" s="922"/>
      <c r="C11637" s="897"/>
      <c r="D11637" s="897"/>
      <c r="E11637" s="1002" t="s">
        <v>108</v>
      </c>
      <c r="F11637" s="1003"/>
      <c r="G11637" s="1004"/>
      <c r="H11637" s="901"/>
      <c r="I11637" s="902"/>
      <c r="J11637" s="902"/>
      <c r="K11637" s="912" t="s">
        <v>274</v>
      </c>
      <c r="L11637" s="902"/>
      <c r="M11637" s="902"/>
      <c r="N11637" s="902"/>
      <c r="O11637" s="892">
        <f t="shared" si="940"/>
        <v>0</v>
      </c>
      <c r="P11637" s="903">
        <f t="shared" si="943"/>
        <v>1</v>
      </c>
      <c r="Q11637" s="893">
        <f t="shared" si="944"/>
        <v>8</v>
      </c>
      <c r="R11637" s="894">
        <f t="shared" si="945"/>
        <v>0</v>
      </c>
    </row>
    <row r="11638" spans="1:18" s="904" customFormat="1">
      <c r="A11638" s="905"/>
      <c r="B11638" s="946"/>
      <c r="C11638" s="907">
        <v>204</v>
      </c>
      <c r="D11638" s="907" t="s">
        <v>279</v>
      </c>
      <c r="E11638" s="992" t="s">
        <v>3155</v>
      </c>
      <c r="F11638" s="905" t="s">
        <v>51</v>
      </c>
      <c r="G11638" s="1005"/>
      <c r="H11638" s="911">
        <v>4</v>
      </c>
      <c r="I11638" s="912">
        <f>VLOOKUP(E11638,[3]VLP!$B$7:$K$300,10,0)</f>
        <v>3500</v>
      </c>
      <c r="J11638" s="912">
        <f>I11638*H11638</f>
        <v>14000</v>
      </c>
      <c r="K11638" s="912" t="s">
        <v>274</v>
      </c>
      <c r="L11638" s="912"/>
      <c r="M11638" s="912"/>
      <c r="N11638" s="912"/>
      <c r="O11638" s="892">
        <f t="shared" si="940"/>
        <v>0</v>
      </c>
      <c r="P11638" s="903">
        <f t="shared" si="943"/>
        <v>1</v>
      </c>
      <c r="Q11638" s="893">
        <f t="shared" si="944"/>
        <v>7</v>
      </c>
      <c r="R11638" s="894">
        <f t="shared" si="945"/>
        <v>0</v>
      </c>
    </row>
    <row r="11639" spans="1:18">
      <c r="A11639" s="905"/>
      <c r="B11639" s="946"/>
      <c r="C11639" s="907">
        <v>319</v>
      </c>
      <c r="D11639" s="907" t="s">
        <v>279</v>
      </c>
      <c r="E11639" s="992" t="s">
        <v>5705</v>
      </c>
      <c r="F11639" s="905" t="s">
        <v>45</v>
      </c>
      <c r="G11639" s="1005"/>
      <c r="H11639" s="911">
        <v>0.3</v>
      </c>
      <c r="I11639" s="912">
        <f>VLOOKUP(E11639,[3]VLP!$B$7:$K$300,10,0)</f>
        <v>1436</v>
      </c>
      <c r="J11639" s="912">
        <f>I11639*H11639</f>
        <v>430.8</v>
      </c>
      <c r="K11639" s="912" t="s">
        <v>274</v>
      </c>
      <c r="L11639" s="912"/>
      <c r="M11639" s="912"/>
      <c r="N11639" s="912"/>
      <c r="O11639" s="892">
        <f t="shared" si="940"/>
        <v>0</v>
      </c>
      <c r="P11639" s="903">
        <f t="shared" si="943"/>
        <v>1</v>
      </c>
      <c r="Q11639" s="893">
        <f t="shared" si="944"/>
        <v>6</v>
      </c>
      <c r="R11639" s="894">
        <f t="shared" si="945"/>
        <v>0</v>
      </c>
    </row>
    <row r="11640" spans="1:18" s="904" customFormat="1">
      <c r="A11640" s="905"/>
      <c r="B11640" s="946"/>
      <c r="C11640" s="907">
        <v>312</v>
      </c>
      <c r="D11640" s="907" t="s">
        <v>279</v>
      </c>
      <c r="E11640" s="992" t="s">
        <v>3269</v>
      </c>
      <c r="F11640" s="905" t="s">
        <v>45</v>
      </c>
      <c r="G11640" s="1005"/>
      <c r="H11640" s="911">
        <v>1.4</v>
      </c>
      <c r="I11640" s="912">
        <f>VLOOKUP(E11640,[3]VLP!$B$7:$K$300,10,0)</f>
        <v>14545</v>
      </c>
      <c r="J11640" s="912">
        <f>I11640*H11640</f>
        <v>20363</v>
      </c>
      <c r="K11640" s="912" t="s">
        <v>274</v>
      </c>
      <c r="L11640" s="912"/>
      <c r="M11640" s="912"/>
      <c r="N11640" s="912"/>
      <c r="O11640" s="892">
        <f t="shared" si="940"/>
        <v>0</v>
      </c>
      <c r="P11640" s="903">
        <f t="shared" si="943"/>
        <v>1</v>
      </c>
      <c r="Q11640" s="893">
        <f t="shared" si="944"/>
        <v>5</v>
      </c>
      <c r="R11640" s="894">
        <f t="shared" si="945"/>
        <v>0</v>
      </c>
    </row>
    <row r="11641" spans="1:18">
      <c r="A11641" s="905"/>
      <c r="B11641" s="946"/>
      <c r="C11641" s="907">
        <v>203</v>
      </c>
      <c r="D11641" s="907" t="s">
        <v>279</v>
      </c>
      <c r="E11641" s="992" t="s">
        <v>5656</v>
      </c>
      <c r="F11641" s="905" t="s">
        <v>6796</v>
      </c>
      <c r="G11641" s="1005"/>
      <c r="H11641" s="911">
        <v>0.4</v>
      </c>
      <c r="I11641" s="912">
        <f>VLOOKUP(E11641,[3]VLP!$B$7:$K$300,10,0)</f>
        <v>5000</v>
      </c>
      <c r="J11641" s="912">
        <f>I11641*H11641</f>
        <v>2000</v>
      </c>
      <c r="K11641" s="912" t="s">
        <v>274</v>
      </c>
      <c r="L11641" s="912"/>
      <c r="M11641" s="912"/>
      <c r="N11641" s="912"/>
      <c r="O11641" s="892">
        <f t="shared" si="940"/>
        <v>0</v>
      </c>
      <c r="P11641" s="903">
        <f t="shared" si="943"/>
        <v>1</v>
      </c>
      <c r="Q11641" s="893">
        <f t="shared" si="944"/>
        <v>4</v>
      </c>
      <c r="R11641" s="894">
        <f t="shared" si="945"/>
        <v>0</v>
      </c>
    </row>
    <row r="11642" spans="1:18">
      <c r="A11642" s="905"/>
      <c r="B11642" s="946"/>
      <c r="C11642" s="907">
        <v>315</v>
      </c>
      <c r="D11642" s="907" t="s">
        <v>279</v>
      </c>
      <c r="E11642" s="992" t="s">
        <v>6316</v>
      </c>
      <c r="F11642" s="905" t="s">
        <v>49</v>
      </c>
      <c r="G11642" s="1005"/>
      <c r="H11642" s="911">
        <v>0.5</v>
      </c>
      <c r="I11642" s="912">
        <f>VLOOKUP(E11642,[3]VLP!$B$7:$K$300,10,0)</f>
        <v>8000</v>
      </c>
      <c r="J11642" s="912">
        <f>I11642*H11642</f>
        <v>4000</v>
      </c>
      <c r="K11642" s="912" t="s">
        <v>274</v>
      </c>
      <c r="L11642" s="912"/>
      <c r="M11642" s="912"/>
      <c r="N11642" s="912"/>
      <c r="O11642" s="892">
        <f t="shared" si="940"/>
        <v>0</v>
      </c>
      <c r="P11642" s="903">
        <f t="shared" si="943"/>
        <v>1</v>
      </c>
      <c r="Q11642" s="893">
        <f t="shared" si="944"/>
        <v>3</v>
      </c>
      <c r="R11642" s="894">
        <f t="shared" si="945"/>
        <v>0</v>
      </c>
    </row>
    <row r="11643" spans="1:18" s="847" customFormat="1">
      <c r="A11643" s="895"/>
      <c r="B11643" s="922"/>
      <c r="C11643" s="897"/>
      <c r="D11643" s="897"/>
      <c r="E11643" s="1002" t="s">
        <v>276</v>
      </c>
      <c r="F11643" s="1003"/>
      <c r="G11643" s="1004"/>
      <c r="H11643" s="901"/>
      <c r="I11643" s="902"/>
      <c r="J11643" s="902"/>
      <c r="K11643" s="912" t="s">
        <v>274</v>
      </c>
      <c r="L11643" s="902"/>
      <c r="M11643" s="902"/>
      <c r="N11643" s="902"/>
      <c r="O11643" s="892">
        <f t="shared" si="940"/>
        <v>0</v>
      </c>
      <c r="P11643" s="903">
        <f t="shared" si="943"/>
        <v>1</v>
      </c>
      <c r="Q11643" s="893">
        <f t="shared" si="944"/>
        <v>2</v>
      </c>
      <c r="R11643" s="894">
        <f t="shared" si="945"/>
        <v>0</v>
      </c>
    </row>
    <row r="11644" spans="1:18" s="904" customFormat="1">
      <c r="A11644" s="905"/>
      <c r="B11644" s="946"/>
      <c r="C11644" s="907">
        <v>740</v>
      </c>
      <c r="D11644" s="907" t="s">
        <v>12</v>
      </c>
      <c r="E11644" s="992" t="s">
        <v>4008</v>
      </c>
      <c r="F11644" s="905" t="s">
        <v>2674</v>
      </c>
      <c r="G11644" s="1005"/>
      <c r="H11644" s="911">
        <v>0.9</v>
      </c>
      <c r="I11644" s="912"/>
      <c r="J11644" s="912"/>
      <c r="K11644" s="912">
        <f>VLOOKUP(E11644,[5]ĐMNC!$A$7:$F$67,4,0)</f>
        <v>221125</v>
      </c>
      <c r="L11644" s="912">
        <f>H11644*K11644</f>
        <v>199012.5</v>
      </c>
      <c r="M11644" s="912"/>
      <c r="N11644" s="912"/>
      <c r="O11644" s="892">
        <f t="shared" si="940"/>
        <v>0</v>
      </c>
      <c r="P11644" s="903">
        <f t="shared" si="943"/>
        <v>1</v>
      </c>
      <c r="Q11644" s="893">
        <f t="shared" si="944"/>
        <v>1</v>
      </c>
      <c r="R11644" s="894">
        <f t="shared" si="945"/>
        <v>0</v>
      </c>
    </row>
    <row r="11645" spans="1:18">
      <c r="A11645" s="905" t="s">
        <v>6947</v>
      </c>
      <c r="B11645" s="1020" t="s">
        <v>6955</v>
      </c>
      <c r="C11645" s="915"/>
      <c r="D11645" s="915"/>
      <c r="E11645" s="1006" t="s">
        <v>6956</v>
      </c>
      <c r="F11645" s="917" t="s">
        <v>51</v>
      </c>
      <c r="G11645" s="1008"/>
      <c r="H11645" s="919"/>
      <c r="I11645" s="920"/>
      <c r="J11645" s="891">
        <f>SUM(J11646:J11653)</f>
        <v>40793.800000000003</v>
      </c>
      <c r="K11645" s="891"/>
      <c r="L11645" s="891">
        <f>SUM(L11646:L11653)</f>
        <v>287462.5</v>
      </c>
      <c r="M11645" s="891"/>
      <c r="N11645" s="891">
        <f>SUM(N11646:N11653)</f>
        <v>0</v>
      </c>
      <c r="O11645" s="892">
        <f t="shared" si="940"/>
        <v>1</v>
      </c>
      <c r="P11645" s="903">
        <f t="shared" si="943"/>
        <v>0</v>
      </c>
      <c r="Q11645" s="893">
        <f t="shared" si="944"/>
        <v>0</v>
      </c>
      <c r="R11645" s="894">
        <f t="shared" si="945"/>
        <v>8</v>
      </c>
    </row>
    <row r="11646" spans="1:18">
      <c r="A11646" s="895"/>
      <c r="B11646" s="896"/>
      <c r="C11646" s="897"/>
      <c r="D11646" s="897"/>
      <c r="E11646" s="1002" t="s">
        <v>108</v>
      </c>
      <c r="F11646" s="1003"/>
      <c r="G11646" s="1004"/>
      <c r="H11646" s="901"/>
      <c r="I11646" s="902"/>
      <c r="J11646" s="902"/>
      <c r="K11646" s="912" t="s">
        <v>274</v>
      </c>
      <c r="L11646" s="902"/>
      <c r="M11646" s="902"/>
      <c r="N11646" s="902"/>
      <c r="O11646" s="892">
        <f t="shared" si="940"/>
        <v>0</v>
      </c>
      <c r="P11646" s="903">
        <f t="shared" si="943"/>
        <v>1</v>
      </c>
      <c r="Q11646" s="893">
        <f t="shared" si="944"/>
        <v>8</v>
      </c>
      <c r="R11646" s="894">
        <f t="shared" si="945"/>
        <v>0</v>
      </c>
    </row>
    <row r="11647" spans="1:18" s="904" customFormat="1">
      <c r="A11647" s="905"/>
      <c r="B11647" s="952"/>
      <c r="C11647" s="907">
        <v>204</v>
      </c>
      <c r="D11647" s="907" t="s">
        <v>279</v>
      </c>
      <c r="E11647" s="992" t="s">
        <v>3155</v>
      </c>
      <c r="F11647" s="905" t="s">
        <v>51</v>
      </c>
      <c r="G11647" s="1005"/>
      <c r="H11647" s="911">
        <v>4</v>
      </c>
      <c r="I11647" s="912">
        <f>VLOOKUP(E11647,[3]VLP!$B$7:$K$300,10,0)</f>
        <v>3500</v>
      </c>
      <c r="J11647" s="912">
        <f>I11647*H11647</f>
        <v>14000</v>
      </c>
      <c r="K11647" s="912" t="s">
        <v>274</v>
      </c>
      <c r="L11647" s="912"/>
      <c r="M11647" s="912"/>
      <c r="N11647" s="912"/>
      <c r="O11647" s="892">
        <f t="shared" si="940"/>
        <v>0</v>
      </c>
      <c r="P11647" s="903">
        <f t="shared" si="943"/>
        <v>1</v>
      </c>
      <c r="Q11647" s="893">
        <f t="shared" si="944"/>
        <v>7</v>
      </c>
      <c r="R11647" s="894">
        <f t="shared" si="945"/>
        <v>0</v>
      </c>
    </row>
    <row r="11648" spans="1:18">
      <c r="A11648" s="905"/>
      <c r="B11648" s="952"/>
      <c r="C11648" s="907">
        <v>319</v>
      </c>
      <c r="D11648" s="907" t="s">
        <v>279</v>
      </c>
      <c r="E11648" s="992" t="s">
        <v>5705</v>
      </c>
      <c r="F11648" s="905" t="s">
        <v>45</v>
      </c>
      <c r="G11648" s="1005"/>
      <c r="H11648" s="911">
        <v>0.3</v>
      </c>
      <c r="I11648" s="912">
        <f>VLOOKUP(E11648,[3]VLP!$B$7:$K$300,10,0)</f>
        <v>1436</v>
      </c>
      <c r="J11648" s="912">
        <f>I11648*H11648</f>
        <v>430.8</v>
      </c>
      <c r="K11648" s="912" t="s">
        <v>274</v>
      </c>
      <c r="L11648" s="912"/>
      <c r="M11648" s="912"/>
      <c r="N11648" s="912"/>
      <c r="O11648" s="892">
        <f t="shared" si="940"/>
        <v>0</v>
      </c>
      <c r="P11648" s="903">
        <f t="shared" si="943"/>
        <v>1</v>
      </c>
      <c r="Q11648" s="893">
        <f t="shared" si="944"/>
        <v>6</v>
      </c>
      <c r="R11648" s="894">
        <f t="shared" si="945"/>
        <v>0</v>
      </c>
    </row>
    <row r="11649" spans="1:18" s="904" customFormat="1">
      <c r="A11649" s="905"/>
      <c r="B11649" s="952"/>
      <c r="C11649" s="907">
        <v>312</v>
      </c>
      <c r="D11649" s="907" t="s">
        <v>279</v>
      </c>
      <c r="E11649" s="992" t="s">
        <v>3269</v>
      </c>
      <c r="F11649" s="905" t="s">
        <v>45</v>
      </c>
      <c r="G11649" s="1005"/>
      <c r="H11649" s="911">
        <v>1.4</v>
      </c>
      <c r="I11649" s="912">
        <f>VLOOKUP(E11649,[3]VLP!$B$7:$K$300,10,0)</f>
        <v>14545</v>
      </c>
      <c r="J11649" s="912">
        <f>I11649*H11649</f>
        <v>20363</v>
      </c>
      <c r="K11649" s="912" t="s">
        <v>274</v>
      </c>
      <c r="L11649" s="912"/>
      <c r="M11649" s="912"/>
      <c r="N11649" s="912"/>
      <c r="O11649" s="892">
        <f t="shared" si="940"/>
        <v>0</v>
      </c>
      <c r="P11649" s="903">
        <f t="shared" si="943"/>
        <v>1</v>
      </c>
      <c r="Q11649" s="893">
        <f t="shared" si="944"/>
        <v>5</v>
      </c>
      <c r="R11649" s="894">
        <f t="shared" si="945"/>
        <v>0</v>
      </c>
    </row>
    <row r="11650" spans="1:18">
      <c r="A11650" s="905"/>
      <c r="B11650" s="952"/>
      <c r="C11650" s="907">
        <v>203</v>
      </c>
      <c r="D11650" s="907" t="s">
        <v>279</v>
      </c>
      <c r="E11650" s="992" t="s">
        <v>5656</v>
      </c>
      <c r="F11650" s="905" t="s">
        <v>6796</v>
      </c>
      <c r="G11650" s="1005"/>
      <c r="H11650" s="911">
        <v>0.4</v>
      </c>
      <c r="I11650" s="912">
        <f>VLOOKUP(E11650,[3]VLP!$B$7:$K$300,10,0)</f>
        <v>5000</v>
      </c>
      <c r="J11650" s="912">
        <f>I11650*H11650</f>
        <v>2000</v>
      </c>
      <c r="K11650" s="912" t="s">
        <v>274</v>
      </c>
      <c r="L11650" s="912"/>
      <c r="M11650" s="912"/>
      <c r="N11650" s="912"/>
      <c r="O11650" s="892">
        <f t="shared" si="940"/>
        <v>0</v>
      </c>
      <c r="P11650" s="903">
        <f t="shared" si="943"/>
        <v>1</v>
      </c>
      <c r="Q11650" s="893">
        <f t="shared" si="944"/>
        <v>4</v>
      </c>
      <c r="R11650" s="894">
        <f t="shared" si="945"/>
        <v>0</v>
      </c>
    </row>
    <row r="11651" spans="1:18">
      <c r="A11651" s="905"/>
      <c r="B11651" s="952"/>
      <c r="C11651" s="907">
        <v>315</v>
      </c>
      <c r="D11651" s="907" t="s">
        <v>279</v>
      </c>
      <c r="E11651" s="992" t="s">
        <v>6316</v>
      </c>
      <c r="F11651" s="905" t="s">
        <v>49</v>
      </c>
      <c r="G11651" s="1005"/>
      <c r="H11651" s="911">
        <v>0.5</v>
      </c>
      <c r="I11651" s="912">
        <f>VLOOKUP(E11651,[3]VLP!$B$7:$K$300,10,0)</f>
        <v>8000</v>
      </c>
      <c r="J11651" s="912">
        <f>I11651*H11651</f>
        <v>4000</v>
      </c>
      <c r="K11651" s="912" t="s">
        <v>274</v>
      </c>
      <c r="L11651" s="912"/>
      <c r="M11651" s="912"/>
      <c r="N11651" s="912"/>
      <c r="O11651" s="892">
        <f t="shared" si="940"/>
        <v>0</v>
      </c>
      <c r="P11651" s="903">
        <f t="shared" si="943"/>
        <v>1</v>
      </c>
      <c r="Q11651" s="893">
        <f t="shared" si="944"/>
        <v>3</v>
      </c>
      <c r="R11651" s="894">
        <f t="shared" si="945"/>
        <v>0</v>
      </c>
    </row>
    <row r="11652" spans="1:18" s="847" customFormat="1">
      <c r="A11652" s="895"/>
      <c r="B11652" s="896"/>
      <c r="C11652" s="897"/>
      <c r="D11652" s="897"/>
      <c r="E11652" s="1002" t="s">
        <v>276</v>
      </c>
      <c r="F11652" s="1003"/>
      <c r="G11652" s="1004"/>
      <c r="H11652" s="901"/>
      <c r="I11652" s="902"/>
      <c r="J11652" s="902"/>
      <c r="K11652" s="912" t="s">
        <v>274</v>
      </c>
      <c r="L11652" s="902"/>
      <c r="M11652" s="902"/>
      <c r="N11652" s="902"/>
      <c r="O11652" s="892">
        <f t="shared" si="940"/>
        <v>0</v>
      </c>
      <c r="P11652" s="903">
        <f t="shared" si="943"/>
        <v>1</v>
      </c>
      <c r="Q11652" s="893">
        <f t="shared" si="944"/>
        <v>2</v>
      </c>
      <c r="R11652" s="894">
        <f t="shared" si="945"/>
        <v>0</v>
      </c>
    </row>
    <row r="11653" spans="1:18" s="904" customFormat="1">
      <c r="A11653" s="905"/>
      <c r="B11653" s="952"/>
      <c r="C11653" s="907">
        <v>740</v>
      </c>
      <c r="D11653" s="907" t="s">
        <v>12</v>
      </c>
      <c r="E11653" s="992" t="s">
        <v>4008</v>
      </c>
      <c r="F11653" s="905" t="s">
        <v>2674</v>
      </c>
      <c r="G11653" s="1005"/>
      <c r="H11653" s="911">
        <v>1.3</v>
      </c>
      <c r="I11653" s="912"/>
      <c r="J11653" s="912"/>
      <c r="K11653" s="912">
        <f>VLOOKUP(E11653,[5]ĐMNC!$A$7:$F$67,4,0)</f>
        <v>221125</v>
      </c>
      <c r="L11653" s="912">
        <f>H11653*K11653</f>
        <v>287462.5</v>
      </c>
      <c r="M11653" s="912"/>
      <c r="N11653" s="912"/>
      <c r="O11653" s="892">
        <f t="shared" si="940"/>
        <v>0</v>
      </c>
      <c r="P11653" s="903">
        <f t="shared" si="943"/>
        <v>1</v>
      </c>
      <c r="Q11653" s="893">
        <f t="shared" si="944"/>
        <v>1</v>
      </c>
      <c r="R11653" s="894">
        <f t="shared" si="945"/>
        <v>0</v>
      </c>
    </row>
    <row r="11654" spans="1:18">
      <c r="A11654" s="905" t="s">
        <v>6947</v>
      </c>
      <c r="B11654" s="1020" t="s">
        <v>6957</v>
      </c>
      <c r="C11654" s="915"/>
      <c r="D11654" s="915"/>
      <c r="E11654" s="1006" t="s">
        <v>6958</v>
      </c>
      <c r="F11654" s="917" t="s">
        <v>51</v>
      </c>
      <c r="G11654" s="1008"/>
      <c r="H11654" s="919"/>
      <c r="I11654" s="920"/>
      <c r="J11654" s="891">
        <f>SUM(J11655:J11662)</f>
        <v>40793.800000000003</v>
      </c>
      <c r="K11654" s="891"/>
      <c r="L11654" s="891">
        <f>SUM(L11655:L11662)</f>
        <v>420137.5</v>
      </c>
      <c r="M11654" s="891"/>
      <c r="N11654" s="891">
        <f>SUM(N11655:N11662)</f>
        <v>0</v>
      </c>
      <c r="O11654" s="892">
        <f t="shared" si="940"/>
        <v>1</v>
      </c>
      <c r="P11654" s="903">
        <f t="shared" si="943"/>
        <v>0</v>
      </c>
      <c r="Q11654" s="893">
        <f t="shared" si="944"/>
        <v>0</v>
      </c>
      <c r="R11654" s="894">
        <f t="shared" si="945"/>
        <v>8</v>
      </c>
    </row>
    <row r="11655" spans="1:18">
      <c r="A11655" s="895"/>
      <c r="B11655" s="896"/>
      <c r="C11655" s="897"/>
      <c r="D11655" s="897"/>
      <c r="E11655" s="1002" t="s">
        <v>108</v>
      </c>
      <c r="F11655" s="1003"/>
      <c r="G11655" s="1004"/>
      <c r="H11655" s="901"/>
      <c r="I11655" s="902"/>
      <c r="J11655" s="902"/>
      <c r="K11655" s="912" t="s">
        <v>274</v>
      </c>
      <c r="L11655" s="902"/>
      <c r="M11655" s="902"/>
      <c r="N11655" s="902"/>
      <c r="O11655" s="892">
        <f t="shared" si="940"/>
        <v>0</v>
      </c>
      <c r="P11655" s="903">
        <f t="shared" si="943"/>
        <v>1</v>
      </c>
      <c r="Q11655" s="893">
        <f t="shared" si="944"/>
        <v>8</v>
      </c>
      <c r="R11655" s="894">
        <f t="shared" si="945"/>
        <v>0</v>
      </c>
    </row>
    <row r="11656" spans="1:18" s="904" customFormat="1">
      <c r="A11656" s="905"/>
      <c r="B11656" s="952"/>
      <c r="C11656" s="907">
        <v>204</v>
      </c>
      <c r="D11656" s="907" t="s">
        <v>279</v>
      </c>
      <c r="E11656" s="992" t="s">
        <v>3155</v>
      </c>
      <c r="F11656" s="905" t="s">
        <v>51</v>
      </c>
      <c r="G11656" s="1005"/>
      <c r="H11656" s="911">
        <v>4</v>
      </c>
      <c r="I11656" s="912">
        <f>VLOOKUP(E11656,[3]VLP!$B$7:$K$300,10,0)</f>
        <v>3500</v>
      </c>
      <c r="J11656" s="912">
        <f>I11656*H11656</f>
        <v>14000</v>
      </c>
      <c r="K11656" s="912" t="s">
        <v>274</v>
      </c>
      <c r="L11656" s="912"/>
      <c r="M11656" s="912"/>
      <c r="N11656" s="912"/>
      <c r="O11656" s="892">
        <f t="shared" si="940"/>
        <v>0</v>
      </c>
      <c r="P11656" s="903">
        <f t="shared" si="943"/>
        <v>1</v>
      </c>
      <c r="Q11656" s="893">
        <f t="shared" si="944"/>
        <v>7</v>
      </c>
      <c r="R11656" s="894">
        <f t="shared" si="945"/>
        <v>0</v>
      </c>
    </row>
    <row r="11657" spans="1:18">
      <c r="A11657" s="905"/>
      <c r="B11657" s="952"/>
      <c r="C11657" s="907">
        <v>319</v>
      </c>
      <c r="D11657" s="907" t="s">
        <v>279</v>
      </c>
      <c r="E11657" s="992" t="s">
        <v>5705</v>
      </c>
      <c r="F11657" s="905" t="s">
        <v>45</v>
      </c>
      <c r="G11657" s="1005"/>
      <c r="H11657" s="911">
        <v>0.3</v>
      </c>
      <c r="I11657" s="912">
        <f>VLOOKUP(E11657,[3]VLP!$B$7:$K$300,10,0)</f>
        <v>1436</v>
      </c>
      <c r="J11657" s="912">
        <f>I11657*H11657</f>
        <v>430.8</v>
      </c>
      <c r="K11657" s="912" t="s">
        <v>274</v>
      </c>
      <c r="L11657" s="912"/>
      <c r="M11657" s="912"/>
      <c r="N11657" s="912"/>
      <c r="O11657" s="892">
        <f t="shared" si="940"/>
        <v>0</v>
      </c>
      <c r="P11657" s="903">
        <f t="shared" si="943"/>
        <v>1</v>
      </c>
      <c r="Q11657" s="893">
        <f t="shared" si="944"/>
        <v>6</v>
      </c>
      <c r="R11657" s="894">
        <f t="shared" si="945"/>
        <v>0</v>
      </c>
    </row>
    <row r="11658" spans="1:18" s="904" customFormat="1">
      <c r="A11658" s="905"/>
      <c r="B11658" s="952"/>
      <c r="C11658" s="907">
        <v>312</v>
      </c>
      <c r="D11658" s="907" t="s">
        <v>279</v>
      </c>
      <c r="E11658" s="992" t="s">
        <v>3269</v>
      </c>
      <c r="F11658" s="905" t="s">
        <v>45</v>
      </c>
      <c r="G11658" s="1005"/>
      <c r="H11658" s="911">
        <v>1.4</v>
      </c>
      <c r="I11658" s="912">
        <f>VLOOKUP(E11658,[3]VLP!$B$7:$K$300,10,0)</f>
        <v>14545</v>
      </c>
      <c r="J11658" s="912">
        <f>I11658*H11658</f>
        <v>20363</v>
      </c>
      <c r="K11658" s="912" t="s">
        <v>274</v>
      </c>
      <c r="L11658" s="912"/>
      <c r="M11658" s="912"/>
      <c r="N11658" s="912"/>
      <c r="O11658" s="892">
        <f t="shared" si="940"/>
        <v>0</v>
      </c>
      <c r="P11658" s="903">
        <f t="shared" si="943"/>
        <v>1</v>
      </c>
      <c r="Q11658" s="893">
        <f t="shared" si="944"/>
        <v>5</v>
      </c>
      <c r="R11658" s="894">
        <f t="shared" si="945"/>
        <v>0</v>
      </c>
    </row>
    <row r="11659" spans="1:18">
      <c r="A11659" s="905"/>
      <c r="B11659" s="952"/>
      <c r="C11659" s="907">
        <v>203</v>
      </c>
      <c r="D11659" s="907" t="s">
        <v>279</v>
      </c>
      <c r="E11659" s="992" t="s">
        <v>5656</v>
      </c>
      <c r="F11659" s="905" t="s">
        <v>6796</v>
      </c>
      <c r="G11659" s="1005"/>
      <c r="H11659" s="911">
        <v>0.4</v>
      </c>
      <c r="I11659" s="912">
        <f>VLOOKUP(E11659,[3]VLP!$B$7:$K$300,10,0)</f>
        <v>5000</v>
      </c>
      <c r="J11659" s="912">
        <f>I11659*H11659</f>
        <v>2000</v>
      </c>
      <c r="K11659" s="912" t="s">
        <v>274</v>
      </c>
      <c r="L11659" s="912"/>
      <c r="M11659" s="912"/>
      <c r="N11659" s="912"/>
      <c r="O11659" s="892">
        <f t="shared" si="940"/>
        <v>0</v>
      </c>
      <c r="P11659" s="903">
        <f t="shared" si="943"/>
        <v>1</v>
      </c>
      <c r="Q11659" s="893">
        <f t="shared" si="944"/>
        <v>4</v>
      </c>
      <c r="R11659" s="894">
        <f t="shared" si="945"/>
        <v>0</v>
      </c>
    </row>
    <row r="11660" spans="1:18">
      <c r="A11660" s="905"/>
      <c r="B11660" s="952"/>
      <c r="C11660" s="907">
        <v>315</v>
      </c>
      <c r="D11660" s="907" t="s">
        <v>279</v>
      </c>
      <c r="E11660" s="992" t="s">
        <v>6316</v>
      </c>
      <c r="F11660" s="905" t="s">
        <v>49</v>
      </c>
      <c r="G11660" s="1005"/>
      <c r="H11660" s="911">
        <v>0.5</v>
      </c>
      <c r="I11660" s="912">
        <f>VLOOKUP(E11660,[3]VLP!$B$7:$K$300,10,0)</f>
        <v>8000</v>
      </c>
      <c r="J11660" s="912">
        <f>I11660*H11660</f>
        <v>4000</v>
      </c>
      <c r="K11660" s="912" t="s">
        <v>274</v>
      </c>
      <c r="L11660" s="912"/>
      <c r="M11660" s="912"/>
      <c r="N11660" s="912"/>
      <c r="O11660" s="892">
        <f t="shared" si="940"/>
        <v>0</v>
      </c>
      <c r="P11660" s="903">
        <f t="shared" si="943"/>
        <v>1</v>
      </c>
      <c r="Q11660" s="893">
        <f t="shared" si="944"/>
        <v>3</v>
      </c>
      <c r="R11660" s="894">
        <f t="shared" si="945"/>
        <v>0</v>
      </c>
    </row>
    <row r="11661" spans="1:18" s="847" customFormat="1">
      <c r="A11661" s="895"/>
      <c r="B11661" s="896"/>
      <c r="C11661" s="897"/>
      <c r="D11661" s="897"/>
      <c r="E11661" s="1002" t="s">
        <v>276</v>
      </c>
      <c r="F11661" s="1003"/>
      <c r="G11661" s="1004"/>
      <c r="H11661" s="901"/>
      <c r="I11661" s="902"/>
      <c r="J11661" s="902"/>
      <c r="K11661" s="912" t="s">
        <v>274</v>
      </c>
      <c r="L11661" s="902"/>
      <c r="M11661" s="902"/>
      <c r="N11661" s="902"/>
      <c r="O11661" s="892">
        <f t="shared" si="940"/>
        <v>0</v>
      </c>
      <c r="P11661" s="903">
        <f t="shared" si="943"/>
        <v>1</v>
      </c>
      <c r="Q11661" s="893">
        <f t="shared" si="944"/>
        <v>2</v>
      </c>
      <c r="R11661" s="894">
        <f t="shared" si="945"/>
        <v>0</v>
      </c>
    </row>
    <row r="11662" spans="1:18" s="904" customFormat="1">
      <c r="A11662" s="905"/>
      <c r="B11662" s="952"/>
      <c r="C11662" s="907">
        <v>740</v>
      </c>
      <c r="D11662" s="907" t="s">
        <v>12</v>
      </c>
      <c r="E11662" s="992" t="s">
        <v>4008</v>
      </c>
      <c r="F11662" s="905" t="s">
        <v>2674</v>
      </c>
      <c r="G11662" s="1005"/>
      <c r="H11662" s="911">
        <v>1.9</v>
      </c>
      <c r="I11662" s="912"/>
      <c r="J11662" s="912"/>
      <c r="K11662" s="912">
        <f>VLOOKUP(E11662,[5]ĐMNC!$A$7:$F$67,4,0)</f>
        <v>221125</v>
      </c>
      <c r="L11662" s="912">
        <f>H11662*K11662</f>
        <v>420137.5</v>
      </c>
      <c r="M11662" s="912"/>
      <c r="N11662" s="912"/>
      <c r="O11662" s="892">
        <f t="shared" si="940"/>
        <v>0</v>
      </c>
      <c r="P11662" s="903">
        <f t="shared" si="943"/>
        <v>1</v>
      </c>
      <c r="Q11662" s="893">
        <f t="shared" si="944"/>
        <v>1</v>
      </c>
      <c r="R11662" s="894">
        <f t="shared" si="945"/>
        <v>0</v>
      </c>
    </row>
    <row r="11663" spans="1:18">
      <c r="A11663" s="905" t="s">
        <v>6947</v>
      </c>
      <c r="B11663" s="1018" t="s">
        <v>6959</v>
      </c>
      <c r="C11663" s="915"/>
      <c r="D11663" s="915"/>
      <c r="E11663" s="1006" t="s">
        <v>6960</v>
      </c>
      <c r="F11663" s="917" t="s">
        <v>51</v>
      </c>
      <c r="G11663" s="1008"/>
      <c r="H11663" s="919"/>
      <c r="I11663" s="920"/>
      <c r="J11663" s="891">
        <f>SUM(J11664:J11671)</f>
        <v>40793.800000000003</v>
      </c>
      <c r="K11663" s="891"/>
      <c r="L11663" s="891">
        <f>SUM(L11664:L11671)</f>
        <v>552812.5</v>
      </c>
      <c r="M11663" s="891"/>
      <c r="N11663" s="891">
        <f>SUM(N11664:N11671)</f>
        <v>0</v>
      </c>
      <c r="O11663" s="892">
        <f t="shared" si="940"/>
        <v>1</v>
      </c>
      <c r="P11663" s="903">
        <f t="shared" si="943"/>
        <v>0</v>
      </c>
      <c r="Q11663" s="893">
        <f t="shared" si="944"/>
        <v>0</v>
      </c>
      <c r="R11663" s="894">
        <f t="shared" si="945"/>
        <v>8</v>
      </c>
    </row>
    <row r="11664" spans="1:18">
      <c r="A11664" s="895"/>
      <c r="B11664" s="896"/>
      <c r="C11664" s="897"/>
      <c r="D11664" s="897"/>
      <c r="E11664" s="1002" t="s">
        <v>108</v>
      </c>
      <c r="F11664" s="1003"/>
      <c r="G11664" s="1004"/>
      <c r="H11664" s="901"/>
      <c r="I11664" s="902"/>
      <c r="J11664" s="902"/>
      <c r="K11664" s="912" t="s">
        <v>274</v>
      </c>
      <c r="L11664" s="902"/>
      <c r="M11664" s="902"/>
      <c r="N11664" s="902"/>
      <c r="O11664" s="892">
        <f t="shared" si="940"/>
        <v>0</v>
      </c>
      <c r="P11664" s="903">
        <f t="shared" si="943"/>
        <v>1</v>
      </c>
      <c r="Q11664" s="893">
        <f t="shared" si="944"/>
        <v>8</v>
      </c>
      <c r="R11664" s="894">
        <f t="shared" si="945"/>
        <v>0</v>
      </c>
    </row>
    <row r="11665" spans="1:18" s="904" customFormat="1">
      <c r="A11665" s="905"/>
      <c r="B11665" s="952"/>
      <c r="C11665" s="907">
        <v>204</v>
      </c>
      <c r="D11665" s="907" t="s">
        <v>279</v>
      </c>
      <c r="E11665" s="992" t="s">
        <v>3155</v>
      </c>
      <c r="F11665" s="905" t="s">
        <v>51</v>
      </c>
      <c r="G11665" s="1005"/>
      <c r="H11665" s="911">
        <v>4</v>
      </c>
      <c r="I11665" s="912">
        <f>VLOOKUP(E11665,[3]VLP!$B$7:$K$300,10,0)</f>
        <v>3500</v>
      </c>
      <c r="J11665" s="912">
        <f>I11665*H11665</f>
        <v>14000</v>
      </c>
      <c r="K11665" s="912" t="s">
        <v>274</v>
      </c>
      <c r="L11665" s="912"/>
      <c r="M11665" s="912"/>
      <c r="N11665" s="912"/>
      <c r="O11665" s="892">
        <f t="shared" si="940"/>
        <v>0</v>
      </c>
      <c r="P11665" s="903">
        <f t="shared" si="943"/>
        <v>1</v>
      </c>
      <c r="Q11665" s="893">
        <f t="shared" si="944"/>
        <v>7</v>
      </c>
      <c r="R11665" s="894">
        <f t="shared" si="945"/>
        <v>0</v>
      </c>
    </row>
    <row r="11666" spans="1:18">
      <c r="A11666" s="905"/>
      <c r="B11666" s="952"/>
      <c r="C11666" s="907">
        <v>319</v>
      </c>
      <c r="D11666" s="907" t="s">
        <v>279</v>
      </c>
      <c r="E11666" s="992" t="s">
        <v>5705</v>
      </c>
      <c r="F11666" s="905" t="s">
        <v>45</v>
      </c>
      <c r="G11666" s="1005"/>
      <c r="H11666" s="911">
        <v>0.3</v>
      </c>
      <c r="I11666" s="912">
        <f>VLOOKUP(E11666,[3]VLP!$B$7:$K$300,10,0)</f>
        <v>1436</v>
      </c>
      <c r="J11666" s="912">
        <f>I11666*H11666</f>
        <v>430.8</v>
      </c>
      <c r="K11666" s="912" t="s">
        <v>274</v>
      </c>
      <c r="L11666" s="912"/>
      <c r="M11666" s="912"/>
      <c r="N11666" s="912"/>
      <c r="O11666" s="892">
        <f t="shared" si="940"/>
        <v>0</v>
      </c>
      <c r="P11666" s="903">
        <f t="shared" si="943"/>
        <v>1</v>
      </c>
      <c r="Q11666" s="893">
        <f t="shared" si="944"/>
        <v>6</v>
      </c>
      <c r="R11666" s="894">
        <f t="shared" si="945"/>
        <v>0</v>
      </c>
    </row>
    <row r="11667" spans="1:18" s="904" customFormat="1">
      <c r="A11667" s="905"/>
      <c r="B11667" s="952"/>
      <c r="C11667" s="907">
        <v>312</v>
      </c>
      <c r="D11667" s="907" t="s">
        <v>279</v>
      </c>
      <c r="E11667" s="992" t="s">
        <v>3269</v>
      </c>
      <c r="F11667" s="905" t="s">
        <v>45</v>
      </c>
      <c r="G11667" s="1005"/>
      <c r="H11667" s="911">
        <v>1.4</v>
      </c>
      <c r="I11667" s="912">
        <f>VLOOKUP(E11667,[3]VLP!$B$7:$K$300,10,0)</f>
        <v>14545</v>
      </c>
      <c r="J11667" s="912">
        <f>I11667*H11667</f>
        <v>20363</v>
      </c>
      <c r="K11667" s="912" t="s">
        <v>274</v>
      </c>
      <c r="L11667" s="912"/>
      <c r="M11667" s="912"/>
      <c r="N11667" s="912"/>
      <c r="O11667" s="892">
        <f t="shared" si="940"/>
        <v>0</v>
      </c>
      <c r="P11667" s="903">
        <f t="shared" si="943"/>
        <v>1</v>
      </c>
      <c r="Q11667" s="893">
        <f t="shared" si="944"/>
        <v>5</v>
      </c>
      <c r="R11667" s="894">
        <f t="shared" si="945"/>
        <v>0</v>
      </c>
    </row>
    <row r="11668" spans="1:18">
      <c r="A11668" s="905"/>
      <c r="B11668" s="952"/>
      <c r="C11668" s="907">
        <v>203</v>
      </c>
      <c r="D11668" s="907" t="s">
        <v>279</v>
      </c>
      <c r="E11668" s="992" t="s">
        <v>5656</v>
      </c>
      <c r="F11668" s="905" t="s">
        <v>6796</v>
      </c>
      <c r="G11668" s="1005"/>
      <c r="H11668" s="911">
        <v>0.4</v>
      </c>
      <c r="I11668" s="912">
        <f>VLOOKUP(E11668,[3]VLP!$B$7:$K$300,10,0)</f>
        <v>5000</v>
      </c>
      <c r="J11668" s="912">
        <f>I11668*H11668</f>
        <v>2000</v>
      </c>
      <c r="K11668" s="912" t="s">
        <v>274</v>
      </c>
      <c r="L11668" s="912"/>
      <c r="M11668" s="912"/>
      <c r="N11668" s="912"/>
      <c r="O11668" s="892">
        <f t="shared" si="940"/>
        <v>0</v>
      </c>
      <c r="P11668" s="903">
        <f t="shared" si="943"/>
        <v>1</v>
      </c>
      <c r="Q11668" s="893">
        <f t="shared" si="944"/>
        <v>4</v>
      </c>
      <c r="R11668" s="894">
        <f t="shared" si="945"/>
        <v>0</v>
      </c>
    </row>
    <row r="11669" spans="1:18">
      <c r="A11669" s="905"/>
      <c r="B11669" s="952"/>
      <c r="C11669" s="907">
        <v>315</v>
      </c>
      <c r="D11669" s="907" t="s">
        <v>279</v>
      </c>
      <c r="E11669" s="992" t="s">
        <v>6316</v>
      </c>
      <c r="F11669" s="905" t="s">
        <v>49</v>
      </c>
      <c r="G11669" s="1005"/>
      <c r="H11669" s="911">
        <v>0.5</v>
      </c>
      <c r="I11669" s="912">
        <f>VLOOKUP(E11669,[3]VLP!$B$7:$K$300,10,0)</f>
        <v>8000</v>
      </c>
      <c r="J11669" s="912">
        <f>I11669*H11669</f>
        <v>4000</v>
      </c>
      <c r="K11669" s="912" t="s">
        <v>274</v>
      </c>
      <c r="L11669" s="912"/>
      <c r="M11669" s="912"/>
      <c r="N11669" s="912"/>
      <c r="O11669" s="892">
        <f t="shared" si="940"/>
        <v>0</v>
      </c>
      <c r="P11669" s="903">
        <f t="shared" si="943"/>
        <v>1</v>
      </c>
      <c r="Q11669" s="893">
        <f t="shared" si="944"/>
        <v>3</v>
      </c>
      <c r="R11669" s="894">
        <f t="shared" si="945"/>
        <v>0</v>
      </c>
    </row>
    <row r="11670" spans="1:18" s="847" customFormat="1">
      <c r="A11670" s="895"/>
      <c r="B11670" s="896"/>
      <c r="C11670" s="897"/>
      <c r="D11670" s="897"/>
      <c r="E11670" s="1002" t="s">
        <v>276</v>
      </c>
      <c r="F11670" s="1003"/>
      <c r="G11670" s="1004"/>
      <c r="H11670" s="901"/>
      <c r="I11670" s="902"/>
      <c r="J11670" s="902"/>
      <c r="K11670" s="912" t="s">
        <v>274</v>
      </c>
      <c r="L11670" s="902"/>
      <c r="M11670" s="902"/>
      <c r="N11670" s="902"/>
      <c r="O11670" s="892">
        <f t="shared" si="940"/>
        <v>0</v>
      </c>
      <c r="P11670" s="903">
        <f t="shared" si="943"/>
        <v>1</v>
      </c>
      <c r="Q11670" s="893">
        <f t="shared" si="944"/>
        <v>2</v>
      </c>
      <c r="R11670" s="894">
        <f t="shared" si="945"/>
        <v>0</v>
      </c>
    </row>
    <row r="11671" spans="1:18" s="904" customFormat="1">
      <c r="A11671" s="905"/>
      <c r="B11671" s="952"/>
      <c r="C11671" s="907">
        <v>740</v>
      </c>
      <c r="D11671" s="907" t="s">
        <v>12</v>
      </c>
      <c r="E11671" s="992" t="s">
        <v>4008</v>
      </c>
      <c r="F11671" s="905" t="s">
        <v>2674</v>
      </c>
      <c r="G11671" s="1005"/>
      <c r="H11671" s="911">
        <v>2.5</v>
      </c>
      <c r="I11671" s="912"/>
      <c r="J11671" s="912"/>
      <c r="K11671" s="912">
        <f>VLOOKUP(E11671,[5]ĐMNC!$A$7:$F$67,4,0)</f>
        <v>221125</v>
      </c>
      <c r="L11671" s="912">
        <f>H11671*K11671</f>
        <v>552812.5</v>
      </c>
      <c r="M11671" s="912"/>
      <c r="N11671" s="912"/>
      <c r="O11671" s="892">
        <f t="shared" si="940"/>
        <v>0</v>
      </c>
      <c r="P11671" s="903">
        <f t="shared" si="943"/>
        <v>1</v>
      </c>
      <c r="Q11671" s="893">
        <f t="shared" si="944"/>
        <v>1</v>
      </c>
      <c r="R11671" s="894">
        <f t="shared" si="945"/>
        <v>0</v>
      </c>
    </row>
    <row r="11672" spans="1:18">
      <c r="A11672" s="905">
        <v>288</v>
      </c>
      <c r="B11672" s="1018" t="s">
        <v>6961</v>
      </c>
      <c r="C11672" s="915"/>
      <c r="D11672" s="915"/>
      <c r="E11672" s="1009" t="s">
        <v>6962</v>
      </c>
      <c r="F11672" s="917" t="s">
        <v>51</v>
      </c>
      <c r="G11672" s="1008"/>
      <c r="H11672" s="919"/>
      <c r="I11672" s="920"/>
      <c r="J11672" s="891">
        <f>SUM(J11673:J11679)</f>
        <v>41817.5</v>
      </c>
      <c r="K11672" s="891"/>
      <c r="L11672" s="891">
        <f>SUM(L11673:L11679)</f>
        <v>773937.5</v>
      </c>
      <c r="M11672" s="891"/>
      <c r="N11672" s="891">
        <f>SUM(N11673:N11679)</f>
        <v>0</v>
      </c>
      <c r="O11672" s="892">
        <f t="shared" si="940"/>
        <v>1</v>
      </c>
      <c r="P11672" s="903">
        <f t="shared" si="943"/>
        <v>0</v>
      </c>
      <c r="Q11672" s="893">
        <f t="shared" si="944"/>
        <v>0</v>
      </c>
      <c r="R11672" s="894">
        <f t="shared" si="945"/>
        <v>7</v>
      </c>
    </row>
    <row r="11673" spans="1:18">
      <c r="A11673" s="895"/>
      <c r="B11673" s="896"/>
      <c r="C11673" s="897"/>
      <c r="D11673" s="897"/>
      <c r="E11673" s="1002" t="s">
        <v>108</v>
      </c>
      <c r="F11673" s="1003"/>
      <c r="G11673" s="1004"/>
      <c r="H11673" s="901"/>
      <c r="I11673" s="902"/>
      <c r="J11673" s="902"/>
      <c r="K11673" s="912" t="s">
        <v>274</v>
      </c>
      <c r="L11673" s="902"/>
      <c r="M11673" s="902"/>
      <c r="N11673" s="902"/>
      <c r="O11673" s="892">
        <f t="shared" si="940"/>
        <v>0</v>
      </c>
      <c r="P11673" s="903">
        <f t="shared" si="943"/>
        <v>1</v>
      </c>
      <c r="Q11673" s="893">
        <f>IF(P11673=0,0,P11673+Q11674)</f>
        <v>7</v>
      </c>
      <c r="R11673" s="894">
        <f>IF(Q11673=0,Q11674,0)</f>
        <v>0</v>
      </c>
    </row>
    <row r="11674" spans="1:18">
      <c r="A11674" s="905"/>
      <c r="B11674" s="952"/>
      <c r="C11674" s="907">
        <v>204</v>
      </c>
      <c r="D11674" s="907" t="s">
        <v>279</v>
      </c>
      <c r="E11674" s="992" t="s">
        <v>3155</v>
      </c>
      <c r="F11674" s="905" t="s">
        <v>51</v>
      </c>
      <c r="G11674" s="1005"/>
      <c r="H11674" s="911">
        <v>4</v>
      </c>
      <c r="I11674" s="912">
        <f>VLOOKUP(E11674,[3]VLP!$B$7:$K$300,10,0)</f>
        <v>3500</v>
      </c>
      <c r="J11674" s="912">
        <f>I11674*H11674</f>
        <v>14000</v>
      </c>
      <c r="K11674" s="912" t="s">
        <v>274</v>
      </c>
      <c r="L11674" s="912"/>
      <c r="M11674" s="912"/>
      <c r="N11674" s="912"/>
      <c r="O11674" s="892">
        <f t="shared" si="940"/>
        <v>0</v>
      </c>
      <c r="P11674" s="903">
        <f t="shared" si="943"/>
        <v>1</v>
      </c>
      <c r="Q11674" s="893">
        <f>IF(P11674=0,0,P11674+Q11675)</f>
        <v>6</v>
      </c>
      <c r="R11674" s="894">
        <f>IF(Q11674=0,Q11675,0)</f>
        <v>0</v>
      </c>
    </row>
    <row r="11675" spans="1:18">
      <c r="A11675" s="905"/>
      <c r="B11675" s="952"/>
      <c r="C11675" s="907">
        <v>312</v>
      </c>
      <c r="D11675" s="907" t="s">
        <v>279</v>
      </c>
      <c r="E11675" s="992" t="s">
        <v>3269</v>
      </c>
      <c r="F11675" s="905" t="s">
        <v>45</v>
      </c>
      <c r="G11675" s="1005"/>
      <c r="H11675" s="911">
        <v>1.5</v>
      </c>
      <c r="I11675" s="912">
        <f>VLOOKUP(E11675,[3]VLP!$B$7:$K$300,10,0)</f>
        <v>14545</v>
      </c>
      <c r="J11675" s="912">
        <f>I11675*H11675</f>
        <v>21817.5</v>
      </c>
      <c r="K11675" s="912" t="s">
        <v>274</v>
      </c>
      <c r="L11675" s="912"/>
      <c r="M11675" s="912"/>
      <c r="N11675" s="912"/>
      <c r="O11675" s="892">
        <f t="shared" si="940"/>
        <v>0</v>
      </c>
      <c r="P11675" s="903">
        <f t="shared" si="943"/>
        <v>1</v>
      </c>
      <c r="Q11675" s="893">
        <f t="shared" si="944"/>
        <v>5</v>
      </c>
      <c r="R11675" s="894">
        <f t="shared" si="945"/>
        <v>0</v>
      </c>
    </row>
    <row r="11676" spans="1:18" s="904" customFormat="1">
      <c r="A11676" s="905"/>
      <c r="B11676" s="952"/>
      <c r="C11676" s="907">
        <v>203</v>
      </c>
      <c r="D11676" s="907" t="s">
        <v>279</v>
      </c>
      <c r="E11676" s="992" t="s">
        <v>5656</v>
      </c>
      <c r="F11676" s="905" t="s">
        <v>6796</v>
      </c>
      <c r="G11676" s="1005"/>
      <c r="H11676" s="911">
        <v>0.4</v>
      </c>
      <c r="I11676" s="912">
        <f>VLOOKUP(E11676,[3]VLP!$B$7:$K$300,10,0)</f>
        <v>5000</v>
      </c>
      <c r="J11676" s="912">
        <f>I11676*H11676</f>
        <v>2000</v>
      </c>
      <c r="K11676" s="912" t="s">
        <v>274</v>
      </c>
      <c r="L11676" s="912"/>
      <c r="M11676" s="912"/>
      <c r="N11676" s="912"/>
      <c r="O11676" s="892">
        <f t="shared" si="940"/>
        <v>0</v>
      </c>
      <c r="P11676" s="903">
        <f t="shared" si="943"/>
        <v>1</v>
      </c>
      <c r="Q11676" s="893">
        <f t="shared" si="944"/>
        <v>4</v>
      </c>
      <c r="R11676" s="894">
        <f t="shared" si="945"/>
        <v>0</v>
      </c>
    </row>
    <row r="11677" spans="1:18">
      <c r="A11677" s="905"/>
      <c r="B11677" s="952"/>
      <c r="C11677" s="907">
        <v>315</v>
      </c>
      <c r="D11677" s="907" t="s">
        <v>279</v>
      </c>
      <c r="E11677" s="992" t="s">
        <v>6316</v>
      </c>
      <c r="F11677" s="905" t="s">
        <v>49</v>
      </c>
      <c r="G11677" s="1005"/>
      <c r="H11677" s="911">
        <v>0.5</v>
      </c>
      <c r="I11677" s="912">
        <f>VLOOKUP(E11677,[3]VLP!$B$7:$K$300,10,0)</f>
        <v>8000</v>
      </c>
      <c r="J11677" s="912">
        <f>I11677*H11677</f>
        <v>4000</v>
      </c>
      <c r="K11677" s="912" t="s">
        <v>274</v>
      </c>
      <c r="L11677" s="912"/>
      <c r="M11677" s="912"/>
      <c r="N11677" s="912"/>
      <c r="O11677" s="892">
        <f t="shared" si="940"/>
        <v>0</v>
      </c>
      <c r="P11677" s="903">
        <f t="shared" si="943"/>
        <v>1</v>
      </c>
      <c r="Q11677" s="893">
        <f t="shared" si="944"/>
        <v>3</v>
      </c>
      <c r="R11677" s="894">
        <f t="shared" si="945"/>
        <v>0</v>
      </c>
    </row>
    <row r="11678" spans="1:18">
      <c r="A11678" s="895"/>
      <c r="B11678" s="896"/>
      <c r="C11678" s="897"/>
      <c r="D11678" s="897"/>
      <c r="E11678" s="1002" t="s">
        <v>276</v>
      </c>
      <c r="F11678" s="1003"/>
      <c r="G11678" s="1004"/>
      <c r="H11678" s="901"/>
      <c r="I11678" s="902"/>
      <c r="J11678" s="902"/>
      <c r="K11678" s="912" t="s">
        <v>274</v>
      </c>
      <c r="L11678" s="902"/>
      <c r="M11678" s="902"/>
      <c r="N11678" s="902"/>
      <c r="O11678" s="892">
        <f t="shared" si="940"/>
        <v>0</v>
      </c>
      <c r="P11678" s="903">
        <f t="shared" si="943"/>
        <v>1</v>
      </c>
      <c r="Q11678" s="893">
        <f t="shared" si="944"/>
        <v>2</v>
      </c>
      <c r="R11678" s="894">
        <f t="shared" si="945"/>
        <v>0</v>
      </c>
    </row>
    <row r="11679" spans="1:18" s="847" customFormat="1">
      <c r="A11679" s="905"/>
      <c r="B11679" s="952"/>
      <c r="C11679" s="907">
        <v>740</v>
      </c>
      <c r="D11679" s="907" t="s">
        <v>12</v>
      </c>
      <c r="E11679" s="992" t="s">
        <v>4008</v>
      </c>
      <c r="F11679" s="905" t="s">
        <v>2674</v>
      </c>
      <c r="G11679" s="1005"/>
      <c r="H11679" s="911">
        <v>3.5</v>
      </c>
      <c r="I11679" s="912"/>
      <c r="J11679" s="912"/>
      <c r="K11679" s="912">
        <f>VLOOKUP(E11679,[5]ĐMNC!$A$7:$F$67,4,0)</f>
        <v>221125</v>
      </c>
      <c r="L11679" s="912">
        <f>H11679*K11679</f>
        <v>773937.5</v>
      </c>
      <c r="M11679" s="912"/>
      <c r="N11679" s="912"/>
      <c r="O11679" s="892">
        <f t="shared" ref="O11679:O11742" si="946">IF(AND(B11679&lt;&gt;"",D11679=""),1,0)</f>
        <v>0</v>
      </c>
      <c r="P11679" s="903">
        <f t="shared" si="943"/>
        <v>1</v>
      </c>
      <c r="Q11679" s="893">
        <f t="shared" si="944"/>
        <v>1</v>
      </c>
      <c r="R11679" s="894">
        <f t="shared" si="945"/>
        <v>0</v>
      </c>
    </row>
    <row r="11680" spans="1:18" s="904" customFormat="1">
      <c r="A11680" s="905">
        <v>289</v>
      </c>
      <c r="B11680" s="1018" t="s">
        <v>6963</v>
      </c>
      <c r="C11680" s="915"/>
      <c r="D11680" s="915"/>
      <c r="E11680" s="1006" t="s">
        <v>6964</v>
      </c>
      <c r="F11680" s="917" t="s">
        <v>51</v>
      </c>
      <c r="G11680" s="1008"/>
      <c r="H11680" s="919"/>
      <c r="I11680" s="920"/>
      <c r="J11680" s="891">
        <f>SUM(J11681:J11688)</f>
        <v>49808</v>
      </c>
      <c r="K11680" s="891"/>
      <c r="L11680" s="891">
        <f>SUM(L11681:L11688)</f>
        <v>884500</v>
      </c>
      <c r="M11680" s="891"/>
      <c r="N11680" s="891">
        <f>SUM(N11681:N11688)</f>
        <v>0</v>
      </c>
      <c r="O11680" s="892">
        <f t="shared" si="946"/>
        <v>1</v>
      </c>
      <c r="P11680" s="903">
        <f t="shared" si="943"/>
        <v>0</v>
      </c>
      <c r="Q11680" s="893">
        <f t="shared" si="944"/>
        <v>0</v>
      </c>
      <c r="R11680" s="894">
        <f t="shared" si="945"/>
        <v>8</v>
      </c>
    </row>
    <row r="11681" spans="1:18">
      <c r="A11681" s="895"/>
      <c r="B11681" s="896"/>
      <c r="C11681" s="897"/>
      <c r="D11681" s="897"/>
      <c r="E11681" s="1002" t="s">
        <v>108</v>
      </c>
      <c r="F11681" s="1003"/>
      <c r="G11681" s="1004"/>
      <c r="H11681" s="901"/>
      <c r="I11681" s="902"/>
      <c r="J11681" s="902"/>
      <c r="K11681" s="912" t="s">
        <v>274</v>
      </c>
      <c r="L11681" s="902"/>
      <c r="M11681" s="902"/>
      <c r="N11681" s="902"/>
      <c r="O11681" s="892">
        <f t="shared" si="946"/>
        <v>0</v>
      </c>
      <c r="P11681" s="903">
        <f t="shared" si="943"/>
        <v>1</v>
      </c>
      <c r="Q11681" s="893">
        <f t="shared" si="944"/>
        <v>8</v>
      </c>
      <c r="R11681" s="894">
        <f t="shared" si="945"/>
        <v>0</v>
      </c>
    </row>
    <row r="11682" spans="1:18">
      <c r="A11682" s="905"/>
      <c r="B11682" s="952"/>
      <c r="C11682" s="907">
        <v>204</v>
      </c>
      <c r="D11682" s="907" t="s">
        <v>279</v>
      </c>
      <c r="E11682" s="992" t="s">
        <v>3155</v>
      </c>
      <c r="F11682" s="905" t="s">
        <v>51</v>
      </c>
      <c r="G11682" s="1005"/>
      <c r="H11682" s="911">
        <v>4</v>
      </c>
      <c r="I11682" s="912">
        <f>VLOOKUP(E11682,[3]VLP!$B$7:$K$300,10,0)</f>
        <v>3500</v>
      </c>
      <c r="J11682" s="912">
        <f>I11682*H11682</f>
        <v>14000</v>
      </c>
      <c r="K11682" s="912" t="s">
        <v>274</v>
      </c>
      <c r="L11682" s="912"/>
      <c r="M11682" s="912"/>
      <c r="N11682" s="912"/>
      <c r="O11682" s="892">
        <f t="shared" si="946"/>
        <v>0</v>
      </c>
      <c r="P11682" s="903">
        <f t="shared" si="943"/>
        <v>1</v>
      </c>
      <c r="Q11682" s="893">
        <f t="shared" si="944"/>
        <v>7</v>
      </c>
      <c r="R11682" s="894">
        <f t="shared" si="945"/>
        <v>0</v>
      </c>
    </row>
    <row r="11683" spans="1:18">
      <c r="A11683" s="905"/>
      <c r="B11683" s="952"/>
      <c r="C11683" s="907">
        <v>319</v>
      </c>
      <c r="D11683" s="907" t="s">
        <v>279</v>
      </c>
      <c r="E11683" s="992" t="s">
        <v>5705</v>
      </c>
      <c r="F11683" s="905" t="s">
        <v>45</v>
      </c>
      <c r="G11683" s="1005"/>
      <c r="H11683" s="911">
        <v>0.5</v>
      </c>
      <c r="I11683" s="912">
        <f>VLOOKUP(E11683,[3]VLP!$B$7:$K$300,10,0)</f>
        <v>1436</v>
      </c>
      <c r="J11683" s="912">
        <f>I11683*H11683</f>
        <v>718</v>
      </c>
      <c r="K11683" s="912" t="s">
        <v>274</v>
      </c>
      <c r="L11683" s="912"/>
      <c r="M11683" s="912"/>
      <c r="N11683" s="912"/>
      <c r="O11683" s="892">
        <f t="shared" si="946"/>
        <v>0</v>
      </c>
      <c r="P11683" s="903">
        <f t="shared" si="943"/>
        <v>1</v>
      </c>
      <c r="Q11683" s="893">
        <f t="shared" si="944"/>
        <v>6</v>
      </c>
      <c r="R11683" s="894">
        <f t="shared" si="945"/>
        <v>0</v>
      </c>
    </row>
    <row r="11684" spans="1:18">
      <c r="A11684" s="905"/>
      <c r="B11684" s="952"/>
      <c r="C11684" s="907">
        <v>312</v>
      </c>
      <c r="D11684" s="907" t="s">
        <v>279</v>
      </c>
      <c r="E11684" s="992" t="s">
        <v>3269</v>
      </c>
      <c r="F11684" s="905" t="s">
        <v>45</v>
      </c>
      <c r="G11684" s="1005"/>
      <c r="H11684" s="911">
        <v>2</v>
      </c>
      <c r="I11684" s="912">
        <f>VLOOKUP(E11684,[3]VLP!$B$7:$K$300,10,0)</f>
        <v>14545</v>
      </c>
      <c r="J11684" s="912">
        <f>I11684*H11684</f>
        <v>29090</v>
      </c>
      <c r="K11684" s="912" t="s">
        <v>274</v>
      </c>
      <c r="L11684" s="912"/>
      <c r="M11684" s="912"/>
      <c r="N11684" s="912"/>
      <c r="O11684" s="892">
        <f t="shared" si="946"/>
        <v>0</v>
      </c>
      <c r="P11684" s="903">
        <f t="shared" si="943"/>
        <v>1</v>
      </c>
      <c r="Q11684" s="893">
        <f t="shared" si="944"/>
        <v>5</v>
      </c>
      <c r="R11684" s="894">
        <f t="shared" si="945"/>
        <v>0</v>
      </c>
    </row>
    <row r="11685" spans="1:18">
      <c r="A11685" s="905"/>
      <c r="B11685" s="952"/>
      <c r="C11685" s="907">
        <v>203</v>
      </c>
      <c r="D11685" s="907" t="s">
        <v>279</v>
      </c>
      <c r="E11685" s="992" t="s">
        <v>5656</v>
      </c>
      <c r="F11685" s="905" t="s">
        <v>6796</v>
      </c>
      <c r="G11685" s="1005"/>
      <c r="H11685" s="911">
        <v>0.4</v>
      </c>
      <c r="I11685" s="912">
        <f>VLOOKUP(E11685,[3]VLP!$B$7:$K$300,10,0)</f>
        <v>5000</v>
      </c>
      <c r="J11685" s="912">
        <f>I11685*H11685</f>
        <v>2000</v>
      </c>
      <c r="K11685" s="912" t="s">
        <v>274</v>
      </c>
      <c r="L11685" s="912"/>
      <c r="M11685" s="912"/>
      <c r="N11685" s="912"/>
      <c r="O11685" s="892">
        <f t="shared" si="946"/>
        <v>0</v>
      </c>
      <c r="P11685" s="903">
        <f t="shared" si="943"/>
        <v>1</v>
      </c>
      <c r="Q11685" s="893">
        <f t="shared" si="944"/>
        <v>4</v>
      </c>
      <c r="R11685" s="894">
        <f t="shared" si="945"/>
        <v>0</v>
      </c>
    </row>
    <row r="11686" spans="1:18" s="904" customFormat="1">
      <c r="A11686" s="905"/>
      <c r="B11686" s="952"/>
      <c r="C11686" s="907">
        <v>315</v>
      </c>
      <c r="D11686" s="907" t="s">
        <v>279</v>
      </c>
      <c r="E11686" s="992" t="s">
        <v>6316</v>
      </c>
      <c r="F11686" s="905" t="s">
        <v>49</v>
      </c>
      <c r="G11686" s="1005"/>
      <c r="H11686" s="911">
        <v>0.5</v>
      </c>
      <c r="I11686" s="912">
        <f>VLOOKUP(E11686,[3]VLP!$B$7:$K$300,10,0)</f>
        <v>8000</v>
      </c>
      <c r="J11686" s="912">
        <f>I11686*H11686</f>
        <v>4000</v>
      </c>
      <c r="K11686" s="912" t="s">
        <v>274</v>
      </c>
      <c r="L11686" s="912"/>
      <c r="M11686" s="912"/>
      <c r="N11686" s="912"/>
      <c r="O11686" s="892">
        <f t="shared" si="946"/>
        <v>0</v>
      </c>
      <c r="P11686" s="903">
        <f t="shared" si="943"/>
        <v>1</v>
      </c>
      <c r="Q11686" s="893">
        <f t="shared" si="944"/>
        <v>3</v>
      </c>
      <c r="R11686" s="894">
        <f t="shared" si="945"/>
        <v>0</v>
      </c>
    </row>
    <row r="11687" spans="1:18">
      <c r="A11687" s="895"/>
      <c r="B11687" s="896"/>
      <c r="C11687" s="897"/>
      <c r="D11687" s="897"/>
      <c r="E11687" s="1002" t="s">
        <v>276</v>
      </c>
      <c r="F11687" s="1003"/>
      <c r="G11687" s="1004"/>
      <c r="H11687" s="901"/>
      <c r="I11687" s="902"/>
      <c r="J11687" s="902"/>
      <c r="K11687" s="912" t="s">
        <v>274</v>
      </c>
      <c r="L11687" s="902"/>
      <c r="M11687" s="902"/>
      <c r="N11687" s="902"/>
      <c r="O11687" s="892">
        <f t="shared" si="946"/>
        <v>0</v>
      </c>
      <c r="P11687" s="903">
        <f t="shared" si="943"/>
        <v>1</v>
      </c>
      <c r="Q11687" s="893">
        <f t="shared" si="944"/>
        <v>2</v>
      </c>
      <c r="R11687" s="894">
        <f t="shared" si="945"/>
        <v>0</v>
      </c>
    </row>
    <row r="11688" spans="1:18" s="847" customFormat="1">
      <c r="A11688" s="905"/>
      <c r="B11688" s="952"/>
      <c r="C11688" s="907">
        <v>740</v>
      </c>
      <c r="D11688" s="907" t="s">
        <v>12</v>
      </c>
      <c r="E11688" s="992" t="s">
        <v>4008</v>
      </c>
      <c r="F11688" s="905" t="s">
        <v>2674</v>
      </c>
      <c r="G11688" s="1005"/>
      <c r="H11688" s="911">
        <v>4</v>
      </c>
      <c r="I11688" s="912"/>
      <c r="J11688" s="912"/>
      <c r="K11688" s="912">
        <f>VLOOKUP(E11688,[5]ĐMNC!$A$7:$F$67,4,0)</f>
        <v>221125</v>
      </c>
      <c r="L11688" s="912">
        <f>H11688*K11688</f>
        <v>884500</v>
      </c>
      <c r="M11688" s="912"/>
      <c r="N11688" s="912"/>
      <c r="O11688" s="892">
        <f t="shared" si="946"/>
        <v>0</v>
      </c>
      <c r="P11688" s="903">
        <f t="shared" si="943"/>
        <v>1</v>
      </c>
      <c r="Q11688" s="893">
        <f t="shared" si="944"/>
        <v>1</v>
      </c>
      <c r="R11688" s="894">
        <f t="shared" si="945"/>
        <v>0</v>
      </c>
    </row>
    <row r="11689" spans="1:18" s="904" customFormat="1">
      <c r="A11689" s="905">
        <v>290</v>
      </c>
      <c r="B11689" s="1018" t="s">
        <v>6965</v>
      </c>
      <c r="C11689" s="915"/>
      <c r="D11689" s="915"/>
      <c r="E11689" s="1006" t="s">
        <v>6966</v>
      </c>
      <c r="F11689" s="917" t="s">
        <v>51</v>
      </c>
      <c r="G11689" s="1008"/>
      <c r="H11689" s="919"/>
      <c r="I11689" s="920"/>
      <c r="J11689" s="891">
        <f>SUM(J11690:J11697)</f>
        <v>72556.3</v>
      </c>
      <c r="K11689" s="891"/>
      <c r="L11689" s="891">
        <f>SUM(L11690:L11697)</f>
        <v>1105625</v>
      </c>
      <c r="M11689" s="891"/>
      <c r="N11689" s="891">
        <f>SUM(N11690:N11697)</f>
        <v>0</v>
      </c>
      <c r="O11689" s="892">
        <f t="shared" si="946"/>
        <v>1</v>
      </c>
      <c r="P11689" s="903">
        <f t="shared" si="943"/>
        <v>0</v>
      </c>
      <c r="Q11689" s="893">
        <f t="shared" si="944"/>
        <v>0</v>
      </c>
      <c r="R11689" s="894">
        <f t="shared" si="945"/>
        <v>8</v>
      </c>
    </row>
    <row r="11690" spans="1:18">
      <c r="A11690" s="895"/>
      <c r="B11690" s="896"/>
      <c r="C11690" s="897"/>
      <c r="D11690" s="897"/>
      <c r="E11690" s="1002" t="s">
        <v>108</v>
      </c>
      <c r="F11690" s="1003"/>
      <c r="G11690" s="1004"/>
      <c r="H11690" s="901"/>
      <c r="I11690" s="902"/>
      <c r="J11690" s="902"/>
      <c r="K11690" s="912" t="s">
        <v>274</v>
      </c>
      <c r="L11690" s="902"/>
      <c r="M11690" s="902"/>
      <c r="N11690" s="902"/>
      <c r="O11690" s="892">
        <f t="shared" si="946"/>
        <v>0</v>
      </c>
      <c r="P11690" s="903">
        <f t="shared" si="943"/>
        <v>1</v>
      </c>
      <c r="Q11690" s="893">
        <f t="shared" si="944"/>
        <v>8</v>
      </c>
      <c r="R11690" s="894">
        <f t="shared" si="945"/>
        <v>0</v>
      </c>
    </row>
    <row r="11691" spans="1:18">
      <c r="A11691" s="905"/>
      <c r="B11691" s="952"/>
      <c r="C11691" s="907">
        <v>204</v>
      </c>
      <c r="D11691" s="907" t="s">
        <v>279</v>
      </c>
      <c r="E11691" s="992" t="s">
        <v>3155</v>
      </c>
      <c r="F11691" s="905" t="s">
        <v>51</v>
      </c>
      <c r="G11691" s="1005"/>
      <c r="H11691" s="911">
        <v>4</v>
      </c>
      <c r="I11691" s="912">
        <f>VLOOKUP(E11691,[3]VLP!$B$7:$K$300,10,0)</f>
        <v>3500</v>
      </c>
      <c r="J11691" s="912">
        <f>I11691*H11691</f>
        <v>14000</v>
      </c>
      <c r="K11691" s="912" t="s">
        <v>274</v>
      </c>
      <c r="L11691" s="912"/>
      <c r="M11691" s="912"/>
      <c r="N11691" s="912"/>
      <c r="O11691" s="892">
        <f t="shared" si="946"/>
        <v>0</v>
      </c>
      <c r="P11691" s="903">
        <f t="shared" si="943"/>
        <v>1</v>
      </c>
      <c r="Q11691" s="893">
        <f t="shared" si="944"/>
        <v>7</v>
      </c>
      <c r="R11691" s="894">
        <f t="shared" si="945"/>
        <v>0</v>
      </c>
    </row>
    <row r="11692" spans="1:18">
      <c r="A11692" s="905"/>
      <c r="B11692" s="952"/>
      <c r="C11692" s="907">
        <v>319</v>
      </c>
      <c r="D11692" s="907" t="s">
        <v>279</v>
      </c>
      <c r="E11692" s="992" t="s">
        <v>5705</v>
      </c>
      <c r="F11692" s="905" t="s">
        <v>45</v>
      </c>
      <c r="G11692" s="1005"/>
      <c r="H11692" s="911">
        <v>0.8</v>
      </c>
      <c r="I11692" s="912">
        <f>VLOOKUP(E11692,[3]VLP!$B$7:$K$300,10,0)</f>
        <v>1436</v>
      </c>
      <c r="J11692" s="912">
        <f>I11692*H11692</f>
        <v>1148.8</v>
      </c>
      <c r="K11692" s="912" t="s">
        <v>274</v>
      </c>
      <c r="L11692" s="912"/>
      <c r="M11692" s="912"/>
      <c r="N11692" s="912"/>
      <c r="O11692" s="892">
        <f t="shared" si="946"/>
        <v>0</v>
      </c>
      <c r="P11692" s="903">
        <f t="shared" si="943"/>
        <v>1</v>
      </c>
      <c r="Q11692" s="893">
        <f t="shared" si="944"/>
        <v>6</v>
      </c>
      <c r="R11692" s="894">
        <f t="shared" si="945"/>
        <v>0</v>
      </c>
    </row>
    <row r="11693" spans="1:18">
      <c r="A11693" s="905"/>
      <c r="B11693" s="952"/>
      <c r="C11693" s="907">
        <v>312</v>
      </c>
      <c r="D11693" s="907" t="s">
        <v>279</v>
      </c>
      <c r="E11693" s="992" t="s">
        <v>3269</v>
      </c>
      <c r="F11693" s="905" t="s">
        <v>45</v>
      </c>
      <c r="G11693" s="1005"/>
      <c r="H11693" s="911">
        <v>3.5</v>
      </c>
      <c r="I11693" s="912">
        <f>VLOOKUP(E11693,[3]VLP!$B$7:$K$300,10,0)</f>
        <v>14545</v>
      </c>
      <c r="J11693" s="912">
        <f>I11693*H11693</f>
        <v>50907.5</v>
      </c>
      <c r="K11693" s="912" t="s">
        <v>274</v>
      </c>
      <c r="L11693" s="912"/>
      <c r="M11693" s="912"/>
      <c r="N11693" s="912"/>
      <c r="O11693" s="892">
        <f t="shared" si="946"/>
        <v>0</v>
      </c>
      <c r="P11693" s="903">
        <f t="shared" si="943"/>
        <v>1</v>
      </c>
      <c r="Q11693" s="893">
        <f t="shared" si="944"/>
        <v>5</v>
      </c>
      <c r="R11693" s="894">
        <f t="shared" si="945"/>
        <v>0</v>
      </c>
    </row>
    <row r="11694" spans="1:18">
      <c r="A11694" s="905"/>
      <c r="B11694" s="952"/>
      <c r="C11694" s="907">
        <v>203</v>
      </c>
      <c r="D11694" s="907" t="s">
        <v>279</v>
      </c>
      <c r="E11694" s="992" t="s">
        <v>5656</v>
      </c>
      <c r="F11694" s="905" t="s">
        <v>6796</v>
      </c>
      <c r="G11694" s="1005"/>
      <c r="H11694" s="911">
        <v>0.5</v>
      </c>
      <c r="I11694" s="912">
        <f>VLOOKUP(E11694,[3]VLP!$B$7:$K$300,10,0)</f>
        <v>5000</v>
      </c>
      <c r="J11694" s="912">
        <f>I11694*H11694</f>
        <v>2500</v>
      </c>
      <c r="K11694" s="912" t="s">
        <v>274</v>
      </c>
      <c r="L11694" s="912"/>
      <c r="M11694" s="912"/>
      <c r="N11694" s="912"/>
      <c r="O11694" s="892">
        <f t="shared" si="946"/>
        <v>0</v>
      </c>
      <c r="P11694" s="903">
        <f t="shared" si="943"/>
        <v>1</v>
      </c>
      <c r="Q11694" s="893">
        <f t="shared" si="944"/>
        <v>4</v>
      </c>
      <c r="R11694" s="894">
        <f t="shared" si="945"/>
        <v>0</v>
      </c>
    </row>
    <row r="11695" spans="1:18" s="904" customFormat="1">
      <c r="A11695" s="905"/>
      <c r="B11695" s="952"/>
      <c r="C11695" s="907">
        <v>315</v>
      </c>
      <c r="D11695" s="907" t="s">
        <v>279</v>
      </c>
      <c r="E11695" s="992" t="s">
        <v>6316</v>
      </c>
      <c r="F11695" s="905" t="s">
        <v>49</v>
      </c>
      <c r="G11695" s="1005"/>
      <c r="H11695" s="911">
        <v>0.5</v>
      </c>
      <c r="I11695" s="912">
        <f>VLOOKUP(E11695,[3]VLP!$B$7:$K$300,10,0)</f>
        <v>8000</v>
      </c>
      <c r="J11695" s="912">
        <f>I11695*H11695</f>
        <v>4000</v>
      </c>
      <c r="K11695" s="912" t="s">
        <v>274</v>
      </c>
      <c r="L11695" s="912"/>
      <c r="M11695" s="912"/>
      <c r="N11695" s="912"/>
      <c r="O11695" s="892">
        <f t="shared" si="946"/>
        <v>0</v>
      </c>
      <c r="P11695" s="903">
        <f t="shared" si="943"/>
        <v>1</v>
      </c>
      <c r="Q11695" s="893">
        <f t="shared" si="944"/>
        <v>3</v>
      </c>
      <c r="R11695" s="894">
        <f t="shared" si="945"/>
        <v>0</v>
      </c>
    </row>
    <row r="11696" spans="1:18">
      <c r="A11696" s="895"/>
      <c r="B11696" s="896"/>
      <c r="C11696" s="897"/>
      <c r="D11696" s="897"/>
      <c r="E11696" s="1002" t="s">
        <v>276</v>
      </c>
      <c r="F11696" s="1003"/>
      <c r="G11696" s="1004"/>
      <c r="H11696" s="901"/>
      <c r="I11696" s="902"/>
      <c r="J11696" s="902"/>
      <c r="K11696" s="912" t="s">
        <v>274</v>
      </c>
      <c r="L11696" s="902"/>
      <c r="M11696" s="902"/>
      <c r="N11696" s="902"/>
      <c r="O11696" s="892">
        <f t="shared" si="946"/>
        <v>0</v>
      </c>
      <c r="P11696" s="903">
        <f t="shared" si="943"/>
        <v>1</v>
      </c>
      <c r="Q11696" s="893">
        <f t="shared" si="944"/>
        <v>2</v>
      </c>
      <c r="R11696" s="894">
        <f t="shared" si="945"/>
        <v>0</v>
      </c>
    </row>
    <row r="11697" spans="1:18" s="847" customFormat="1">
      <c r="A11697" s="905"/>
      <c r="B11697" s="952"/>
      <c r="C11697" s="907">
        <v>740</v>
      </c>
      <c r="D11697" s="907" t="s">
        <v>12</v>
      </c>
      <c r="E11697" s="992" t="s">
        <v>4008</v>
      </c>
      <c r="F11697" s="905" t="s">
        <v>2674</v>
      </c>
      <c r="G11697" s="1005"/>
      <c r="H11697" s="911">
        <v>5</v>
      </c>
      <c r="I11697" s="912"/>
      <c r="J11697" s="912"/>
      <c r="K11697" s="912">
        <f>VLOOKUP(E11697,[5]ĐMNC!$A$7:$F$67,4,0)</f>
        <v>221125</v>
      </c>
      <c r="L11697" s="912">
        <f>H11697*K11697</f>
        <v>1105625</v>
      </c>
      <c r="M11697" s="912"/>
      <c r="N11697" s="912"/>
      <c r="O11697" s="892">
        <f t="shared" si="946"/>
        <v>0</v>
      </c>
      <c r="P11697" s="903">
        <f t="shared" si="943"/>
        <v>1</v>
      </c>
      <c r="Q11697" s="893">
        <f t="shared" si="944"/>
        <v>1</v>
      </c>
      <c r="R11697" s="894">
        <f t="shared" si="945"/>
        <v>0</v>
      </c>
    </row>
    <row r="11698" spans="1:18" s="904" customFormat="1" ht="31.5">
      <c r="A11698" s="905" t="s">
        <v>6967</v>
      </c>
      <c r="B11698" s="1018" t="s">
        <v>6968</v>
      </c>
      <c r="C11698" s="915"/>
      <c r="D11698" s="915"/>
      <c r="E11698" s="1006" t="s">
        <v>6969</v>
      </c>
      <c r="F11698" s="1007" t="s">
        <v>139</v>
      </c>
      <c r="G11698" s="1008"/>
      <c r="H11698" s="919"/>
      <c r="I11698" s="920"/>
      <c r="J11698" s="891">
        <f>SUM(J11699:J11710)</f>
        <v>81880.665999999997</v>
      </c>
      <c r="K11698" s="891"/>
      <c r="L11698" s="891">
        <f>SUM(L11699:L11710)</f>
        <v>2208313.2599999998</v>
      </c>
      <c r="M11698" s="891"/>
      <c r="N11698" s="891">
        <f>SUM(N11699:N11710)</f>
        <v>432754.18599999999</v>
      </c>
      <c r="O11698" s="892">
        <f t="shared" si="946"/>
        <v>1</v>
      </c>
      <c r="P11698" s="903">
        <f t="shared" si="943"/>
        <v>0</v>
      </c>
      <c r="Q11698" s="893">
        <f t="shared" si="944"/>
        <v>0</v>
      </c>
      <c r="R11698" s="894">
        <f t="shared" si="945"/>
        <v>12</v>
      </c>
    </row>
    <row r="11699" spans="1:18">
      <c r="A11699" s="895"/>
      <c r="B11699" s="896"/>
      <c r="C11699" s="897"/>
      <c r="D11699" s="897"/>
      <c r="E11699" s="1002" t="s">
        <v>108</v>
      </c>
      <c r="F11699" s="895"/>
      <c r="G11699" s="1004"/>
      <c r="H11699" s="901"/>
      <c r="I11699" s="902"/>
      <c r="J11699" s="902"/>
      <c r="K11699" s="912" t="s">
        <v>274</v>
      </c>
      <c r="L11699" s="902"/>
      <c r="M11699" s="902"/>
      <c r="N11699" s="902"/>
      <c r="O11699" s="892">
        <f t="shared" si="946"/>
        <v>0</v>
      </c>
      <c r="P11699" s="903">
        <f t="shared" ref="P11699:P11762" si="947">IF(O11699=0,1,0)</f>
        <v>1</v>
      </c>
      <c r="Q11699" s="893">
        <f t="shared" ref="Q11699:Q11762" si="948">IF(P11699=0,0,P11699+Q11700)</f>
        <v>12</v>
      </c>
      <c r="R11699" s="894">
        <f t="shared" ref="R11699:R11762" si="949">IF(Q11699=0,Q11700,0)</f>
        <v>0</v>
      </c>
    </row>
    <row r="11700" spans="1:18">
      <c r="A11700" s="905"/>
      <c r="B11700" s="952"/>
      <c r="C11700" s="907">
        <v>237</v>
      </c>
      <c r="D11700" s="907" t="s">
        <v>279</v>
      </c>
      <c r="E11700" s="992" t="s">
        <v>6312</v>
      </c>
      <c r="F11700" s="905" t="s">
        <v>47</v>
      </c>
      <c r="G11700" s="1005"/>
      <c r="H11700" s="911">
        <v>6.0000000000000001E-3</v>
      </c>
      <c r="I11700" s="912">
        <f>VLOOKUP(E11700,[3]VLP!$B$7:$K$300,10,0)</f>
        <v>4545455</v>
      </c>
      <c r="J11700" s="912">
        <f t="shared" ref="J11700:J11705" si="950">I11700*H11700</f>
        <v>27272.73</v>
      </c>
      <c r="K11700" s="912" t="s">
        <v>274</v>
      </c>
      <c r="L11700" s="912"/>
      <c r="M11700" s="912"/>
      <c r="N11700" s="912"/>
      <c r="O11700" s="892">
        <f t="shared" si="946"/>
        <v>0</v>
      </c>
      <c r="P11700" s="903">
        <f t="shared" si="947"/>
        <v>1</v>
      </c>
      <c r="Q11700" s="893">
        <f t="shared" si="948"/>
        <v>11</v>
      </c>
      <c r="R11700" s="894">
        <f t="shared" si="949"/>
        <v>0</v>
      </c>
    </row>
    <row r="11701" spans="1:18">
      <c r="A11701" s="905"/>
      <c r="B11701" s="952"/>
      <c r="C11701" s="907">
        <v>235</v>
      </c>
      <c r="D11701" s="907" t="s">
        <v>279</v>
      </c>
      <c r="E11701" s="992" t="s">
        <v>2682</v>
      </c>
      <c r="F11701" s="905" t="s">
        <v>45</v>
      </c>
      <c r="G11701" s="1005"/>
      <c r="H11701" s="911">
        <v>1.0329999999999999</v>
      </c>
      <c r="I11701" s="912">
        <f>VLOOKUP(E11701,[3]VLP!$B$7:$K$300,10,0)</f>
        <v>5000</v>
      </c>
      <c r="J11701" s="912">
        <f t="shared" si="950"/>
        <v>5165</v>
      </c>
      <c r="K11701" s="912" t="s">
        <v>274</v>
      </c>
      <c r="L11701" s="912"/>
      <c r="M11701" s="912"/>
      <c r="N11701" s="912"/>
      <c r="O11701" s="892">
        <f t="shared" si="946"/>
        <v>0</v>
      </c>
      <c r="P11701" s="903">
        <f t="shared" si="947"/>
        <v>1</v>
      </c>
      <c r="Q11701" s="893">
        <f t="shared" si="948"/>
        <v>10</v>
      </c>
      <c r="R11701" s="894">
        <f t="shared" si="949"/>
        <v>0</v>
      </c>
    </row>
    <row r="11702" spans="1:18">
      <c r="A11702" s="905"/>
      <c r="B11702" s="952"/>
      <c r="C11702" s="907">
        <v>321</v>
      </c>
      <c r="D11702" s="907" t="s">
        <v>279</v>
      </c>
      <c r="E11702" s="992" t="s">
        <v>6317</v>
      </c>
      <c r="F11702" s="905" t="s">
        <v>45</v>
      </c>
      <c r="G11702" s="1005"/>
      <c r="H11702" s="911">
        <v>0.14799999999999999</v>
      </c>
      <c r="I11702" s="912">
        <f>VLOOKUP(E11702,[3]VLP!$B$7:$K$300,10,0)</f>
        <v>38182</v>
      </c>
      <c r="J11702" s="912">
        <f t="shared" si="950"/>
        <v>5650.9359999999997</v>
      </c>
      <c r="K11702" s="912" t="s">
        <v>274</v>
      </c>
      <c r="L11702" s="912"/>
      <c r="M11702" s="912"/>
      <c r="N11702" s="912"/>
      <c r="O11702" s="892">
        <f t="shared" si="946"/>
        <v>0</v>
      </c>
      <c r="P11702" s="903">
        <f t="shared" si="947"/>
        <v>1</v>
      </c>
      <c r="Q11702" s="893">
        <f t="shared" si="948"/>
        <v>9</v>
      </c>
      <c r="R11702" s="894">
        <f t="shared" si="949"/>
        <v>0</v>
      </c>
    </row>
    <row r="11703" spans="1:18" s="904" customFormat="1">
      <c r="A11703" s="905"/>
      <c r="B11703" s="952"/>
      <c r="C11703" s="907">
        <v>315</v>
      </c>
      <c r="D11703" s="907" t="s">
        <v>279</v>
      </c>
      <c r="E11703" s="992" t="s">
        <v>6316</v>
      </c>
      <c r="F11703" s="905" t="s">
        <v>49</v>
      </c>
      <c r="G11703" s="1005"/>
      <c r="H11703" s="911">
        <v>0.88500000000000001</v>
      </c>
      <c r="I11703" s="912">
        <f>VLOOKUP(E11703,[3]VLP!$B$7:$K$300,10,0)</f>
        <v>8000</v>
      </c>
      <c r="J11703" s="912">
        <f t="shared" si="950"/>
        <v>7080</v>
      </c>
      <c r="K11703" s="912" t="s">
        <v>274</v>
      </c>
      <c r="L11703" s="912"/>
      <c r="M11703" s="912"/>
      <c r="N11703" s="912"/>
      <c r="O11703" s="892">
        <f t="shared" si="946"/>
        <v>0</v>
      </c>
      <c r="P11703" s="903">
        <f t="shared" si="947"/>
        <v>1</v>
      </c>
      <c r="Q11703" s="893">
        <f t="shared" si="948"/>
        <v>8</v>
      </c>
      <c r="R11703" s="894">
        <f t="shared" si="949"/>
        <v>0</v>
      </c>
    </row>
    <row r="11704" spans="1:18">
      <c r="A11704" s="905"/>
      <c r="B11704" s="952"/>
      <c r="C11704" s="907">
        <v>212</v>
      </c>
      <c r="D11704" s="907" t="s">
        <v>279</v>
      </c>
      <c r="E11704" s="992" t="s">
        <v>2681</v>
      </c>
      <c r="F11704" s="905" t="s">
        <v>45</v>
      </c>
      <c r="G11704" s="1005"/>
      <c r="H11704" s="911">
        <v>0.94399999999999995</v>
      </c>
      <c r="I11704" s="912">
        <f>VLOOKUP(E11704,[3]VLP!$B$7:$K$300,10,0)</f>
        <v>23000</v>
      </c>
      <c r="J11704" s="912">
        <f t="shared" si="950"/>
        <v>21712</v>
      </c>
      <c r="K11704" s="912" t="s">
        <v>274</v>
      </c>
      <c r="L11704" s="912"/>
      <c r="M11704" s="912"/>
      <c r="N11704" s="912"/>
      <c r="O11704" s="892">
        <f t="shared" si="946"/>
        <v>0</v>
      </c>
      <c r="P11704" s="903">
        <f t="shared" si="947"/>
        <v>1</v>
      </c>
      <c r="Q11704" s="893">
        <f t="shared" si="948"/>
        <v>7</v>
      </c>
      <c r="R11704" s="894">
        <f t="shared" si="949"/>
        <v>0</v>
      </c>
    </row>
    <row r="11705" spans="1:18" s="847" customFormat="1">
      <c r="A11705" s="905"/>
      <c r="B11705" s="952"/>
      <c r="C11705" s="907">
        <v>699</v>
      </c>
      <c r="D11705" s="907" t="s">
        <v>279</v>
      </c>
      <c r="E11705" s="992" t="s">
        <v>4006</v>
      </c>
      <c r="F11705" s="905" t="s">
        <v>4007</v>
      </c>
      <c r="G11705" s="1005"/>
      <c r="H11705" s="911">
        <v>3</v>
      </c>
      <c r="I11705" s="912">
        <f>VLOOKUP(E11705,[3]VLP!$B$7:$K$300,10,0)</f>
        <v>5000</v>
      </c>
      <c r="J11705" s="912">
        <f t="shared" si="950"/>
        <v>15000</v>
      </c>
      <c r="K11705" s="912" t="s">
        <v>274</v>
      </c>
      <c r="L11705" s="912"/>
      <c r="M11705" s="912"/>
      <c r="N11705" s="912"/>
      <c r="O11705" s="892">
        <f t="shared" si="946"/>
        <v>0</v>
      </c>
      <c r="P11705" s="903">
        <f t="shared" si="947"/>
        <v>1</v>
      </c>
      <c r="Q11705" s="893">
        <f t="shared" si="948"/>
        <v>6</v>
      </c>
      <c r="R11705" s="894">
        <f t="shared" si="949"/>
        <v>0</v>
      </c>
    </row>
    <row r="11706" spans="1:18" s="904" customFormat="1">
      <c r="A11706" s="895"/>
      <c r="B11706" s="896"/>
      <c r="C11706" s="897"/>
      <c r="D11706" s="897"/>
      <c r="E11706" s="1002" t="s">
        <v>276</v>
      </c>
      <c r="F11706" s="895"/>
      <c r="G11706" s="1004"/>
      <c r="H11706" s="901"/>
      <c r="I11706" s="902"/>
      <c r="J11706" s="902"/>
      <c r="K11706" s="912" t="s">
        <v>274</v>
      </c>
      <c r="L11706" s="902"/>
      <c r="M11706" s="902"/>
      <c r="N11706" s="902"/>
      <c r="O11706" s="892">
        <f t="shared" si="946"/>
        <v>0</v>
      </c>
      <c r="P11706" s="903">
        <f t="shared" si="947"/>
        <v>1</v>
      </c>
      <c r="Q11706" s="893">
        <f t="shared" si="948"/>
        <v>5</v>
      </c>
      <c r="R11706" s="894">
        <f t="shared" si="949"/>
        <v>0</v>
      </c>
    </row>
    <row r="11707" spans="1:18">
      <c r="A11707" s="905"/>
      <c r="B11707" s="952"/>
      <c r="C11707" s="907">
        <v>745</v>
      </c>
      <c r="D11707" s="907" t="s">
        <v>12</v>
      </c>
      <c r="E11707" s="992" t="s">
        <v>5518</v>
      </c>
      <c r="F11707" s="905" t="s">
        <v>2674</v>
      </c>
      <c r="G11707" s="1005"/>
      <c r="H11707" s="911">
        <v>9.18</v>
      </c>
      <c r="I11707" s="912"/>
      <c r="J11707" s="912"/>
      <c r="K11707" s="912">
        <f>VLOOKUP(E11707,[5]ĐMNC!$A$7:$F$67,4,0)</f>
        <v>240557</v>
      </c>
      <c r="L11707" s="912">
        <f>H11707*K11707</f>
        <v>2208313.2599999998</v>
      </c>
      <c r="M11707" s="912"/>
      <c r="N11707" s="912"/>
      <c r="O11707" s="892">
        <f t="shared" si="946"/>
        <v>0</v>
      </c>
      <c r="P11707" s="903">
        <f t="shared" si="947"/>
        <v>1</v>
      </c>
      <c r="Q11707" s="893">
        <f t="shared" si="948"/>
        <v>4</v>
      </c>
      <c r="R11707" s="894">
        <f t="shared" si="949"/>
        <v>0</v>
      </c>
    </row>
    <row r="11708" spans="1:18">
      <c r="A11708" s="895"/>
      <c r="B11708" s="896"/>
      <c r="C11708" s="897"/>
      <c r="D11708" s="897"/>
      <c r="E11708" s="1002" t="s">
        <v>3914</v>
      </c>
      <c r="F11708" s="895"/>
      <c r="G11708" s="1004"/>
      <c r="H11708" s="901"/>
      <c r="I11708" s="902"/>
      <c r="J11708" s="902"/>
      <c r="K11708" s="912" t="s">
        <v>274</v>
      </c>
      <c r="L11708" s="902"/>
      <c r="M11708" s="902"/>
      <c r="N11708" s="902"/>
      <c r="O11708" s="892">
        <f t="shared" si="946"/>
        <v>0</v>
      </c>
      <c r="P11708" s="903">
        <f t="shared" si="947"/>
        <v>1</v>
      </c>
      <c r="Q11708" s="893">
        <f t="shared" si="948"/>
        <v>3</v>
      </c>
      <c r="R11708" s="894">
        <f t="shared" si="949"/>
        <v>0</v>
      </c>
    </row>
    <row r="11709" spans="1:18">
      <c r="A11709" s="905"/>
      <c r="B11709" s="952" t="s">
        <v>6326</v>
      </c>
      <c r="C11709" s="907">
        <v>902</v>
      </c>
      <c r="D11709" s="907" t="s">
        <v>93</v>
      </c>
      <c r="E11709" s="992" t="s">
        <v>6327</v>
      </c>
      <c r="F11709" s="905" t="s">
        <v>2673</v>
      </c>
      <c r="G11709" s="1005"/>
      <c r="H11709" s="911">
        <v>0.14799999999999999</v>
      </c>
      <c r="I11709" s="912"/>
      <c r="J11709" s="912"/>
      <c r="K11709" s="912"/>
      <c r="L11709" s="912"/>
      <c r="M11709" s="912">
        <f>VLOOKUP(B11709,MTC!$B$9:$S$933,12,0)</f>
        <v>2218057</v>
      </c>
      <c r="N11709" s="912">
        <f>M11709*H11709</f>
        <v>328272.43599999999</v>
      </c>
      <c r="O11709" s="892">
        <f t="shared" si="946"/>
        <v>0</v>
      </c>
      <c r="P11709" s="903">
        <f t="shared" si="947"/>
        <v>1</v>
      </c>
      <c r="Q11709" s="893">
        <f t="shared" si="948"/>
        <v>2</v>
      </c>
      <c r="R11709" s="894">
        <f t="shared" si="949"/>
        <v>0</v>
      </c>
    </row>
    <row r="11710" spans="1:18">
      <c r="A11710" s="905"/>
      <c r="B11710" s="952" t="s">
        <v>4993</v>
      </c>
      <c r="C11710" s="907">
        <v>904</v>
      </c>
      <c r="D11710" s="907" t="s">
        <v>93</v>
      </c>
      <c r="E11710" s="992" t="s">
        <v>4994</v>
      </c>
      <c r="F11710" s="905" t="s">
        <v>2673</v>
      </c>
      <c r="G11710" s="1005"/>
      <c r="H11710" s="911">
        <v>7.4999999999999997E-2</v>
      </c>
      <c r="I11710" s="912"/>
      <c r="J11710" s="912"/>
      <c r="K11710" s="912"/>
      <c r="L11710" s="912"/>
      <c r="M11710" s="912">
        <f>VLOOKUP(B11710,MTC!$B$9:$S$933,12,0)</f>
        <v>1393090</v>
      </c>
      <c r="N11710" s="912">
        <f>M11710*H11710</f>
        <v>104481.75</v>
      </c>
      <c r="O11710" s="892">
        <f t="shared" si="946"/>
        <v>0</v>
      </c>
      <c r="P11710" s="903">
        <f t="shared" si="947"/>
        <v>1</v>
      </c>
      <c r="Q11710" s="893">
        <f t="shared" si="948"/>
        <v>1</v>
      </c>
      <c r="R11710" s="894">
        <f t="shared" si="949"/>
        <v>0</v>
      </c>
    </row>
    <row r="11711" spans="1:18" ht="31.5">
      <c r="A11711" s="905">
        <v>292</v>
      </c>
      <c r="B11711" s="1018" t="s">
        <v>6970</v>
      </c>
      <c r="C11711" s="915"/>
      <c r="D11711" s="915"/>
      <c r="E11711" s="1006" t="s">
        <v>6971</v>
      </c>
      <c r="F11711" s="1007" t="s">
        <v>139</v>
      </c>
      <c r="G11711" s="1008"/>
      <c r="H11711" s="919"/>
      <c r="I11711" s="920"/>
      <c r="J11711" s="891">
        <f>SUM(J11712:J11723)</f>
        <v>69391.751000000004</v>
      </c>
      <c r="K11711" s="891"/>
      <c r="L11711" s="891">
        <f>SUM(L11712:L11723)</f>
        <v>1765688.38</v>
      </c>
      <c r="M11711" s="891"/>
      <c r="N11711" s="891">
        <f>SUM(N11712:N11723)</f>
        <v>345316.12599999999</v>
      </c>
      <c r="O11711" s="892">
        <f t="shared" si="946"/>
        <v>1</v>
      </c>
      <c r="P11711" s="903">
        <f t="shared" si="947"/>
        <v>0</v>
      </c>
      <c r="Q11711" s="893">
        <f t="shared" si="948"/>
        <v>0</v>
      </c>
      <c r="R11711" s="894">
        <f t="shared" si="949"/>
        <v>12</v>
      </c>
    </row>
    <row r="11712" spans="1:18" s="904" customFormat="1">
      <c r="A11712" s="895"/>
      <c r="B11712" s="896"/>
      <c r="C11712" s="897"/>
      <c r="D11712" s="897"/>
      <c r="E11712" s="1002" t="s">
        <v>108</v>
      </c>
      <c r="F11712" s="895"/>
      <c r="G11712" s="1004"/>
      <c r="H11712" s="901"/>
      <c r="I11712" s="902"/>
      <c r="J11712" s="902"/>
      <c r="K11712" s="912" t="s">
        <v>274</v>
      </c>
      <c r="L11712" s="902"/>
      <c r="M11712" s="902"/>
      <c r="N11712" s="902"/>
      <c r="O11712" s="892">
        <f t="shared" si="946"/>
        <v>0</v>
      </c>
      <c r="P11712" s="903">
        <f t="shared" si="947"/>
        <v>1</v>
      </c>
      <c r="Q11712" s="893">
        <f t="shared" si="948"/>
        <v>12</v>
      </c>
      <c r="R11712" s="894">
        <f t="shared" si="949"/>
        <v>0</v>
      </c>
    </row>
    <row r="11713" spans="1:18">
      <c r="A11713" s="905"/>
      <c r="B11713" s="952"/>
      <c r="C11713" s="907">
        <v>237</v>
      </c>
      <c r="D11713" s="907" t="s">
        <v>279</v>
      </c>
      <c r="E11713" s="992" t="s">
        <v>6312</v>
      </c>
      <c r="F11713" s="905" t="s">
        <v>47</v>
      </c>
      <c r="G11713" s="1005"/>
      <c r="H11713" s="911">
        <v>5.0000000000000001E-3</v>
      </c>
      <c r="I11713" s="912">
        <f>VLOOKUP(E11713,[3]VLP!$B$7:$K$300,10,0)</f>
        <v>4545455</v>
      </c>
      <c r="J11713" s="912">
        <f t="shared" ref="J11713:J11718" si="951">I11713*H11713</f>
        <v>22727.275000000001</v>
      </c>
      <c r="K11713" s="912" t="s">
        <v>274</v>
      </c>
      <c r="L11713" s="912"/>
      <c r="M11713" s="912"/>
      <c r="N11713" s="912"/>
      <c r="O11713" s="892">
        <f t="shared" si="946"/>
        <v>0</v>
      </c>
      <c r="P11713" s="903">
        <f t="shared" si="947"/>
        <v>1</v>
      </c>
      <c r="Q11713" s="893">
        <f t="shared" si="948"/>
        <v>11</v>
      </c>
      <c r="R11713" s="894">
        <f t="shared" si="949"/>
        <v>0</v>
      </c>
    </row>
    <row r="11714" spans="1:18" s="847" customFormat="1">
      <c r="A11714" s="905"/>
      <c r="B11714" s="952"/>
      <c r="C11714" s="907">
        <v>235</v>
      </c>
      <c r="D11714" s="907" t="s">
        <v>279</v>
      </c>
      <c r="E11714" s="992" t="s">
        <v>2682</v>
      </c>
      <c r="F11714" s="905" t="s">
        <v>45</v>
      </c>
      <c r="G11714" s="1005"/>
      <c r="H11714" s="911">
        <v>0.82599999999999996</v>
      </c>
      <c r="I11714" s="912">
        <f>VLOOKUP(E11714,[3]VLP!$B$7:$K$300,10,0)</f>
        <v>5000</v>
      </c>
      <c r="J11714" s="912">
        <f t="shared" si="951"/>
        <v>4130</v>
      </c>
      <c r="K11714" s="912" t="s">
        <v>274</v>
      </c>
      <c r="L11714" s="912"/>
      <c r="M11714" s="912"/>
      <c r="N11714" s="912"/>
      <c r="O11714" s="892">
        <f t="shared" si="946"/>
        <v>0</v>
      </c>
      <c r="P11714" s="903">
        <f t="shared" si="947"/>
        <v>1</v>
      </c>
      <c r="Q11714" s="893">
        <f t="shared" si="948"/>
        <v>10</v>
      </c>
      <c r="R11714" s="894">
        <f t="shared" si="949"/>
        <v>0</v>
      </c>
    </row>
    <row r="11715" spans="1:18" s="904" customFormat="1">
      <c r="A11715" s="905"/>
      <c r="B11715" s="952"/>
      <c r="C11715" s="907">
        <v>321</v>
      </c>
      <c r="D11715" s="907" t="s">
        <v>279</v>
      </c>
      <c r="E11715" s="992" t="s">
        <v>6317</v>
      </c>
      <c r="F11715" s="905" t="s">
        <v>45</v>
      </c>
      <c r="G11715" s="1005"/>
      <c r="H11715" s="911">
        <v>0.11799999999999999</v>
      </c>
      <c r="I11715" s="912">
        <f>VLOOKUP(E11715,[3]VLP!$B$7:$K$300,10,0)</f>
        <v>38182</v>
      </c>
      <c r="J11715" s="912">
        <f t="shared" si="951"/>
        <v>4505.4759999999997</v>
      </c>
      <c r="K11715" s="912" t="s">
        <v>274</v>
      </c>
      <c r="L11715" s="912"/>
      <c r="M11715" s="912"/>
      <c r="N11715" s="912"/>
      <c r="O11715" s="892">
        <f t="shared" si="946"/>
        <v>0</v>
      </c>
      <c r="P11715" s="903">
        <f t="shared" si="947"/>
        <v>1</v>
      </c>
      <c r="Q11715" s="893">
        <f t="shared" si="948"/>
        <v>9</v>
      </c>
      <c r="R11715" s="894">
        <f t="shared" si="949"/>
        <v>0</v>
      </c>
    </row>
    <row r="11716" spans="1:18">
      <c r="A11716" s="905"/>
      <c r="B11716" s="952"/>
      <c r="C11716" s="907">
        <v>315</v>
      </c>
      <c r="D11716" s="907" t="s">
        <v>279</v>
      </c>
      <c r="E11716" s="992" t="s">
        <v>6316</v>
      </c>
      <c r="F11716" s="905" t="s">
        <v>49</v>
      </c>
      <c r="G11716" s="1005"/>
      <c r="H11716" s="911">
        <v>0.70799999999999996</v>
      </c>
      <c r="I11716" s="912">
        <f>VLOOKUP(E11716,[3]VLP!$B$7:$K$300,10,0)</f>
        <v>8000</v>
      </c>
      <c r="J11716" s="912">
        <f t="shared" si="951"/>
        <v>5664</v>
      </c>
      <c r="K11716" s="912" t="s">
        <v>274</v>
      </c>
      <c r="L11716" s="912"/>
      <c r="M11716" s="912"/>
      <c r="N11716" s="912"/>
      <c r="O11716" s="892">
        <f t="shared" si="946"/>
        <v>0</v>
      </c>
      <c r="P11716" s="903">
        <f t="shared" si="947"/>
        <v>1</v>
      </c>
      <c r="Q11716" s="893">
        <f t="shared" si="948"/>
        <v>8</v>
      </c>
      <c r="R11716" s="894">
        <f t="shared" si="949"/>
        <v>0</v>
      </c>
    </row>
    <row r="11717" spans="1:18">
      <c r="A11717" s="905"/>
      <c r="B11717" s="952"/>
      <c r="C11717" s="907">
        <v>212</v>
      </c>
      <c r="D11717" s="907" t="s">
        <v>279</v>
      </c>
      <c r="E11717" s="992" t="s">
        <v>2681</v>
      </c>
      <c r="F11717" s="905" t="s">
        <v>45</v>
      </c>
      <c r="G11717" s="1005"/>
      <c r="H11717" s="911">
        <v>0.755</v>
      </c>
      <c r="I11717" s="912">
        <f>VLOOKUP(E11717,[3]VLP!$B$7:$K$300,10,0)</f>
        <v>23000</v>
      </c>
      <c r="J11717" s="912">
        <f t="shared" si="951"/>
        <v>17365</v>
      </c>
      <c r="K11717" s="912" t="s">
        <v>274</v>
      </c>
      <c r="L11717" s="912"/>
      <c r="M11717" s="912"/>
      <c r="N11717" s="912"/>
      <c r="O11717" s="892">
        <f t="shared" si="946"/>
        <v>0</v>
      </c>
      <c r="P11717" s="903">
        <f t="shared" si="947"/>
        <v>1</v>
      </c>
      <c r="Q11717" s="893">
        <f t="shared" si="948"/>
        <v>7</v>
      </c>
      <c r="R11717" s="894">
        <f t="shared" si="949"/>
        <v>0</v>
      </c>
    </row>
    <row r="11718" spans="1:18">
      <c r="A11718" s="905"/>
      <c r="B11718" s="952"/>
      <c r="C11718" s="907">
        <v>699</v>
      </c>
      <c r="D11718" s="907" t="s">
        <v>279</v>
      </c>
      <c r="E11718" s="992" t="s">
        <v>4006</v>
      </c>
      <c r="F11718" s="905" t="s">
        <v>4007</v>
      </c>
      <c r="G11718" s="1005"/>
      <c r="H11718" s="911">
        <v>3</v>
      </c>
      <c r="I11718" s="912">
        <f>VLOOKUP(E11718,[3]VLP!$B$7:$K$300,10,0)</f>
        <v>5000</v>
      </c>
      <c r="J11718" s="912">
        <f t="shared" si="951"/>
        <v>15000</v>
      </c>
      <c r="K11718" s="912" t="s">
        <v>274</v>
      </c>
      <c r="L11718" s="912"/>
      <c r="M11718" s="912"/>
      <c r="N11718" s="912"/>
      <c r="O11718" s="892">
        <f t="shared" si="946"/>
        <v>0</v>
      </c>
      <c r="P11718" s="903">
        <f t="shared" si="947"/>
        <v>1</v>
      </c>
      <c r="Q11718" s="893">
        <f t="shared" si="948"/>
        <v>6</v>
      </c>
      <c r="R11718" s="894">
        <f t="shared" si="949"/>
        <v>0</v>
      </c>
    </row>
    <row r="11719" spans="1:18">
      <c r="A11719" s="895"/>
      <c r="B11719" s="896"/>
      <c r="C11719" s="897"/>
      <c r="D11719" s="897"/>
      <c r="E11719" s="1002" t="s">
        <v>276</v>
      </c>
      <c r="F11719" s="895"/>
      <c r="G11719" s="1004"/>
      <c r="H11719" s="901"/>
      <c r="I11719" s="902"/>
      <c r="J11719" s="902"/>
      <c r="K11719" s="912" t="s">
        <v>274</v>
      </c>
      <c r="L11719" s="902"/>
      <c r="M11719" s="902"/>
      <c r="N11719" s="902"/>
      <c r="O11719" s="892">
        <f t="shared" si="946"/>
        <v>0</v>
      </c>
      <c r="P11719" s="903">
        <f t="shared" si="947"/>
        <v>1</v>
      </c>
      <c r="Q11719" s="893">
        <f t="shared" si="948"/>
        <v>5</v>
      </c>
      <c r="R11719" s="894">
        <f t="shared" si="949"/>
        <v>0</v>
      </c>
    </row>
    <row r="11720" spans="1:18" s="904" customFormat="1">
      <c r="A11720" s="905"/>
      <c r="B11720" s="952"/>
      <c r="C11720" s="907">
        <v>745</v>
      </c>
      <c r="D11720" s="907" t="s">
        <v>12</v>
      </c>
      <c r="E11720" s="992" t="s">
        <v>5518</v>
      </c>
      <c r="F11720" s="905" t="s">
        <v>2674</v>
      </c>
      <c r="G11720" s="1005"/>
      <c r="H11720" s="911">
        <v>7.34</v>
      </c>
      <c r="I11720" s="912"/>
      <c r="J11720" s="912"/>
      <c r="K11720" s="912">
        <f>VLOOKUP(E11720,[5]ĐMNC!$A$7:$F$67,4,0)</f>
        <v>240557</v>
      </c>
      <c r="L11720" s="912">
        <f>H11720*K11720</f>
        <v>1765688.38</v>
      </c>
      <c r="M11720" s="912"/>
      <c r="N11720" s="912"/>
      <c r="O11720" s="892">
        <f t="shared" si="946"/>
        <v>0</v>
      </c>
      <c r="P11720" s="903">
        <f t="shared" si="947"/>
        <v>1</v>
      </c>
      <c r="Q11720" s="893">
        <f t="shared" si="948"/>
        <v>4</v>
      </c>
      <c r="R11720" s="894">
        <f t="shared" si="949"/>
        <v>0</v>
      </c>
    </row>
    <row r="11721" spans="1:18">
      <c r="A11721" s="895"/>
      <c r="B11721" s="896"/>
      <c r="C11721" s="897"/>
      <c r="D11721" s="897"/>
      <c r="E11721" s="1002" t="s">
        <v>3914</v>
      </c>
      <c r="F11721" s="895"/>
      <c r="G11721" s="1004"/>
      <c r="H11721" s="901"/>
      <c r="I11721" s="902"/>
      <c r="J11721" s="902"/>
      <c r="K11721" s="912" t="s">
        <v>274</v>
      </c>
      <c r="L11721" s="902"/>
      <c r="M11721" s="902"/>
      <c r="N11721" s="902"/>
      <c r="O11721" s="892">
        <f t="shared" si="946"/>
        <v>0</v>
      </c>
      <c r="P11721" s="903">
        <f t="shared" si="947"/>
        <v>1</v>
      </c>
      <c r="Q11721" s="893">
        <f t="shared" si="948"/>
        <v>3</v>
      </c>
      <c r="R11721" s="894">
        <f t="shared" si="949"/>
        <v>0</v>
      </c>
    </row>
    <row r="11722" spans="1:18" s="847" customFormat="1">
      <c r="A11722" s="905"/>
      <c r="B11722" s="952" t="s">
        <v>6326</v>
      </c>
      <c r="C11722" s="907">
        <v>902</v>
      </c>
      <c r="D11722" s="907" t="s">
        <v>93</v>
      </c>
      <c r="E11722" s="992" t="s">
        <v>6327</v>
      </c>
      <c r="F11722" s="905" t="s">
        <v>2673</v>
      </c>
      <c r="G11722" s="1005"/>
      <c r="H11722" s="911">
        <v>0.11799999999999999</v>
      </c>
      <c r="I11722" s="912"/>
      <c r="J11722" s="912"/>
      <c r="K11722" s="912"/>
      <c r="L11722" s="912"/>
      <c r="M11722" s="912">
        <f>VLOOKUP(B11722,MTC!$B$9:$S$933,12,0)</f>
        <v>2218057</v>
      </c>
      <c r="N11722" s="912">
        <f>M11722*H11722</f>
        <v>261730.726</v>
      </c>
      <c r="O11722" s="892">
        <f t="shared" si="946"/>
        <v>0</v>
      </c>
      <c r="P11722" s="903">
        <f t="shared" si="947"/>
        <v>1</v>
      </c>
      <c r="Q11722" s="893">
        <f t="shared" si="948"/>
        <v>2</v>
      </c>
      <c r="R11722" s="894">
        <f t="shared" si="949"/>
        <v>0</v>
      </c>
    </row>
    <row r="11723" spans="1:18" s="904" customFormat="1">
      <c r="A11723" s="905"/>
      <c r="B11723" s="952" t="s">
        <v>4993</v>
      </c>
      <c r="C11723" s="907">
        <v>904</v>
      </c>
      <c r="D11723" s="907" t="s">
        <v>93</v>
      </c>
      <c r="E11723" s="992" t="s">
        <v>4994</v>
      </c>
      <c r="F11723" s="905" t="s">
        <v>2673</v>
      </c>
      <c r="G11723" s="1005"/>
      <c r="H11723" s="911">
        <v>0.06</v>
      </c>
      <c r="I11723" s="912"/>
      <c r="J11723" s="912"/>
      <c r="K11723" s="912"/>
      <c r="L11723" s="912"/>
      <c r="M11723" s="912">
        <f>VLOOKUP(B11723,MTC!$B$9:$S$933,12,0)</f>
        <v>1393090</v>
      </c>
      <c r="N11723" s="912">
        <f>M11723*H11723</f>
        <v>83585.399999999994</v>
      </c>
      <c r="O11723" s="892">
        <f t="shared" si="946"/>
        <v>0</v>
      </c>
      <c r="P11723" s="903">
        <f t="shared" si="947"/>
        <v>1</v>
      </c>
      <c r="Q11723" s="893">
        <f t="shared" si="948"/>
        <v>1</v>
      </c>
      <c r="R11723" s="894">
        <f t="shared" si="949"/>
        <v>0</v>
      </c>
    </row>
    <row r="11724" spans="1:18" ht="31.5">
      <c r="A11724" s="905">
        <v>293</v>
      </c>
      <c r="B11724" s="1018" t="s">
        <v>6972</v>
      </c>
      <c r="C11724" s="915"/>
      <c r="D11724" s="915"/>
      <c r="E11724" s="1006" t="s">
        <v>6973</v>
      </c>
      <c r="F11724" s="1007" t="s">
        <v>139</v>
      </c>
      <c r="G11724" s="1008"/>
      <c r="H11724" s="919"/>
      <c r="I11724" s="920"/>
      <c r="J11724" s="891">
        <f>SUM(J11725:J11736)</f>
        <v>58495.928</v>
      </c>
      <c r="K11724" s="891"/>
      <c r="L11724" s="891">
        <f>SUM(L11725:L11736)</f>
        <v>1414475.16</v>
      </c>
      <c r="M11724" s="891"/>
      <c r="N11724" s="891">
        <f>SUM(N11725:N11736)</f>
        <v>277583.73499999999</v>
      </c>
      <c r="O11724" s="892">
        <f t="shared" si="946"/>
        <v>1</v>
      </c>
      <c r="P11724" s="903">
        <f t="shared" si="947"/>
        <v>0</v>
      </c>
      <c r="Q11724" s="893">
        <f t="shared" si="948"/>
        <v>0</v>
      </c>
      <c r="R11724" s="894">
        <f t="shared" si="949"/>
        <v>12</v>
      </c>
    </row>
    <row r="11725" spans="1:18">
      <c r="A11725" s="895"/>
      <c r="B11725" s="896"/>
      <c r="C11725" s="897"/>
      <c r="D11725" s="897"/>
      <c r="E11725" s="1002" t="s">
        <v>108</v>
      </c>
      <c r="F11725" s="895"/>
      <c r="G11725" s="1004"/>
      <c r="H11725" s="901"/>
      <c r="I11725" s="902"/>
      <c r="J11725" s="902"/>
      <c r="K11725" s="912" t="s">
        <v>274</v>
      </c>
      <c r="L11725" s="902"/>
      <c r="M11725" s="902"/>
      <c r="N11725" s="902"/>
      <c r="O11725" s="892">
        <f t="shared" si="946"/>
        <v>0</v>
      </c>
      <c r="P11725" s="903">
        <f t="shared" si="947"/>
        <v>1</v>
      </c>
      <c r="Q11725" s="893">
        <f t="shared" si="948"/>
        <v>12</v>
      </c>
      <c r="R11725" s="894">
        <f t="shared" si="949"/>
        <v>0</v>
      </c>
    </row>
    <row r="11726" spans="1:18">
      <c r="A11726" s="905"/>
      <c r="B11726" s="952"/>
      <c r="C11726" s="907">
        <v>237</v>
      </c>
      <c r="D11726" s="907" t="s">
        <v>279</v>
      </c>
      <c r="E11726" s="992" t="s">
        <v>6312</v>
      </c>
      <c r="F11726" s="905" t="s">
        <v>47</v>
      </c>
      <c r="G11726" s="1005"/>
      <c r="H11726" s="911">
        <v>4.0000000000000001E-3</v>
      </c>
      <c r="I11726" s="912">
        <f>VLOOKUP(E11726,[3]VLP!$B$7:$K$300,10,0)</f>
        <v>4545455</v>
      </c>
      <c r="J11726" s="912">
        <f t="shared" ref="J11726:J11731" si="952">I11726*H11726</f>
        <v>18181.82</v>
      </c>
      <c r="K11726" s="912" t="s">
        <v>274</v>
      </c>
      <c r="L11726" s="912"/>
      <c r="M11726" s="912"/>
      <c r="N11726" s="912"/>
      <c r="O11726" s="892">
        <f t="shared" si="946"/>
        <v>0</v>
      </c>
      <c r="P11726" s="903">
        <f t="shared" si="947"/>
        <v>1</v>
      </c>
      <c r="Q11726" s="893">
        <f t="shared" si="948"/>
        <v>11</v>
      </c>
      <c r="R11726" s="894">
        <f t="shared" si="949"/>
        <v>0</v>
      </c>
    </row>
    <row r="11727" spans="1:18">
      <c r="A11727" s="905"/>
      <c r="B11727" s="952"/>
      <c r="C11727" s="907">
        <v>235</v>
      </c>
      <c r="D11727" s="907" t="s">
        <v>279</v>
      </c>
      <c r="E11727" s="992" t="s">
        <v>2682</v>
      </c>
      <c r="F11727" s="905" t="s">
        <v>45</v>
      </c>
      <c r="G11727" s="1005"/>
      <c r="H11727" s="911">
        <v>0.66100000000000003</v>
      </c>
      <c r="I11727" s="912">
        <f>VLOOKUP(E11727,[3]VLP!$B$7:$K$300,10,0)</f>
        <v>5000</v>
      </c>
      <c r="J11727" s="912">
        <f t="shared" si="952"/>
        <v>3305</v>
      </c>
      <c r="K11727" s="912" t="s">
        <v>274</v>
      </c>
      <c r="L11727" s="912"/>
      <c r="M11727" s="912"/>
      <c r="N11727" s="912"/>
      <c r="O11727" s="892">
        <f t="shared" si="946"/>
        <v>0</v>
      </c>
      <c r="P11727" s="903">
        <f t="shared" si="947"/>
        <v>1</v>
      </c>
      <c r="Q11727" s="893">
        <f t="shared" si="948"/>
        <v>10</v>
      </c>
      <c r="R11727" s="894">
        <f t="shared" si="949"/>
        <v>0</v>
      </c>
    </row>
    <row r="11728" spans="1:18">
      <c r="A11728" s="905"/>
      <c r="B11728" s="952"/>
      <c r="C11728" s="907">
        <v>321</v>
      </c>
      <c r="D11728" s="907" t="s">
        <v>279</v>
      </c>
      <c r="E11728" s="992" t="s">
        <v>6317</v>
      </c>
      <c r="F11728" s="905" t="s">
        <v>45</v>
      </c>
      <c r="G11728" s="1005"/>
      <c r="H11728" s="911">
        <v>9.4E-2</v>
      </c>
      <c r="I11728" s="912">
        <f>VLOOKUP(E11728,[3]VLP!$B$7:$K$300,10,0)</f>
        <v>38182</v>
      </c>
      <c r="J11728" s="912">
        <f t="shared" si="952"/>
        <v>3589.1080000000002</v>
      </c>
      <c r="K11728" s="912" t="s">
        <v>274</v>
      </c>
      <c r="L11728" s="912"/>
      <c r="M11728" s="912"/>
      <c r="N11728" s="912"/>
      <c r="O11728" s="892">
        <f t="shared" si="946"/>
        <v>0</v>
      </c>
      <c r="P11728" s="903">
        <f t="shared" si="947"/>
        <v>1</v>
      </c>
      <c r="Q11728" s="893">
        <f t="shared" si="948"/>
        <v>9</v>
      </c>
      <c r="R11728" s="894">
        <f t="shared" si="949"/>
        <v>0</v>
      </c>
    </row>
    <row r="11729" spans="1:18" s="904" customFormat="1">
      <c r="A11729" s="905"/>
      <c r="B11729" s="952"/>
      <c r="C11729" s="907">
        <v>315</v>
      </c>
      <c r="D11729" s="907" t="s">
        <v>279</v>
      </c>
      <c r="E11729" s="992" t="s">
        <v>6316</v>
      </c>
      <c r="F11729" s="905" t="s">
        <v>49</v>
      </c>
      <c r="G11729" s="1005"/>
      <c r="H11729" s="911">
        <v>0.56599999999999995</v>
      </c>
      <c r="I11729" s="912">
        <f>VLOOKUP(E11729,[3]VLP!$B$7:$K$300,10,0)</f>
        <v>8000</v>
      </c>
      <c r="J11729" s="912">
        <f t="shared" si="952"/>
        <v>4528</v>
      </c>
      <c r="K11729" s="912" t="s">
        <v>274</v>
      </c>
      <c r="L11729" s="912"/>
      <c r="M11729" s="912"/>
      <c r="N11729" s="912"/>
      <c r="O11729" s="892">
        <f t="shared" si="946"/>
        <v>0</v>
      </c>
      <c r="P11729" s="903">
        <f t="shared" si="947"/>
        <v>1</v>
      </c>
      <c r="Q11729" s="893">
        <f t="shared" si="948"/>
        <v>8</v>
      </c>
      <c r="R11729" s="894">
        <f t="shared" si="949"/>
        <v>0</v>
      </c>
    </row>
    <row r="11730" spans="1:18">
      <c r="A11730" s="905"/>
      <c r="B11730" s="952"/>
      <c r="C11730" s="907">
        <v>212</v>
      </c>
      <c r="D11730" s="907" t="s">
        <v>279</v>
      </c>
      <c r="E11730" s="992" t="s">
        <v>2681</v>
      </c>
      <c r="F11730" s="905" t="s">
        <v>45</v>
      </c>
      <c r="G11730" s="1005"/>
      <c r="H11730" s="911">
        <v>0.60399999999999998</v>
      </c>
      <c r="I11730" s="912">
        <f>VLOOKUP(E11730,[3]VLP!$B$7:$K$300,10,0)</f>
        <v>23000</v>
      </c>
      <c r="J11730" s="912">
        <f t="shared" si="952"/>
        <v>13892</v>
      </c>
      <c r="K11730" s="912" t="s">
        <v>274</v>
      </c>
      <c r="L11730" s="912"/>
      <c r="M11730" s="912"/>
      <c r="N11730" s="912"/>
      <c r="O11730" s="892">
        <f t="shared" si="946"/>
        <v>0</v>
      </c>
      <c r="P11730" s="903">
        <f t="shared" si="947"/>
        <v>1</v>
      </c>
      <c r="Q11730" s="893">
        <f t="shared" si="948"/>
        <v>7</v>
      </c>
      <c r="R11730" s="894">
        <f t="shared" si="949"/>
        <v>0</v>
      </c>
    </row>
    <row r="11731" spans="1:18" s="904" customFormat="1">
      <c r="A11731" s="905"/>
      <c r="B11731" s="952"/>
      <c r="C11731" s="907">
        <v>699</v>
      </c>
      <c r="D11731" s="907" t="s">
        <v>279</v>
      </c>
      <c r="E11731" s="992" t="s">
        <v>4006</v>
      </c>
      <c r="F11731" s="905" t="s">
        <v>4007</v>
      </c>
      <c r="G11731" s="1005"/>
      <c r="H11731" s="911">
        <v>3</v>
      </c>
      <c r="I11731" s="912">
        <f>VLOOKUP(E11731,[3]VLP!$B$7:$K$300,10,0)</f>
        <v>5000</v>
      </c>
      <c r="J11731" s="912">
        <f t="shared" si="952"/>
        <v>15000</v>
      </c>
      <c r="K11731" s="912" t="s">
        <v>274</v>
      </c>
      <c r="L11731" s="912"/>
      <c r="M11731" s="912"/>
      <c r="N11731" s="912"/>
      <c r="O11731" s="892">
        <f t="shared" si="946"/>
        <v>0</v>
      </c>
      <c r="P11731" s="903">
        <f t="shared" si="947"/>
        <v>1</v>
      </c>
      <c r="Q11731" s="893">
        <f t="shared" si="948"/>
        <v>6</v>
      </c>
      <c r="R11731" s="894">
        <f t="shared" si="949"/>
        <v>0</v>
      </c>
    </row>
    <row r="11732" spans="1:18">
      <c r="A11732" s="895"/>
      <c r="B11732" s="896"/>
      <c r="C11732" s="897"/>
      <c r="D11732" s="897"/>
      <c r="E11732" s="1002" t="s">
        <v>276</v>
      </c>
      <c r="F11732" s="895"/>
      <c r="G11732" s="1004"/>
      <c r="H11732" s="901"/>
      <c r="I11732" s="902"/>
      <c r="J11732" s="902"/>
      <c r="K11732" s="912" t="s">
        <v>274</v>
      </c>
      <c r="L11732" s="902"/>
      <c r="M11732" s="902"/>
      <c r="N11732" s="902"/>
      <c r="O11732" s="892">
        <f t="shared" si="946"/>
        <v>0</v>
      </c>
      <c r="P11732" s="903">
        <f t="shared" si="947"/>
        <v>1</v>
      </c>
      <c r="Q11732" s="893">
        <f t="shared" si="948"/>
        <v>5</v>
      </c>
      <c r="R11732" s="894">
        <f t="shared" si="949"/>
        <v>0</v>
      </c>
    </row>
    <row r="11733" spans="1:18">
      <c r="A11733" s="905"/>
      <c r="B11733" s="952"/>
      <c r="C11733" s="907">
        <v>745</v>
      </c>
      <c r="D11733" s="907" t="s">
        <v>12</v>
      </c>
      <c r="E11733" s="992" t="s">
        <v>5518</v>
      </c>
      <c r="F11733" s="905" t="s">
        <v>2674</v>
      </c>
      <c r="G11733" s="1005"/>
      <c r="H11733" s="911">
        <v>5.88</v>
      </c>
      <c r="I11733" s="912"/>
      <c r="J11733" s="912"/>
      <c r="K11733" s="912">
        <f>VLOOKUP(E11733,[5]ĐMNC!$A$7:$F$67,4,0)</f>
        <v>240557</v>
      </c>
      <c r="L11733" s="912">
        <f>H11733*K11733</f>
        <v>1414475.16</v>
      </c>
      <c r="M11733" s="912"/>
      <c r="N11733" s="912"/>
      <c r="O11733" s="892">
        <f t="shared" si="946"/>
        <v>0</v>
      </c>
      <c r="P11733" s="903">
        <f t="shared" si="947"/>
        <v>1</v>
      </c>
      <c r="Q11733" s="893">
        <f t="shared" si="948"/>
        <v>4</v>
      </c>
      <c r="R11733" s="894">
        <f t="shared" si="949"/>
        <v>0</v>
      </c>
    </row>
    <row r="11734" spans="1:18" s="847" customFormat="1">
      <c r="A11734" s="895"/>
      <c r="B11734" s="896"/>
      <c r="C11734" s="897"/>
      <c r="D11734" s="897"/>
      <c r="E11734" s="1002" t="s">
        <v>3914</v>
      </c>
      <c r="F11734" s="895"/>
      <c r="G11734" s="1004"/>
      <c r="H11734" s="901"/>
      <c r="I11734" s="902"/>
      <c r="J11734" s="902"/>
      <c r="K11734" s="912" t="s">
        <v>274</v>
      </c>
      <c r="L11734" s="902"/>
      <c r="M11734" s="902"/>
      <c r="N11734" s="902"/>
      <c r="O11734" s="892">
        <f t="shared" si="946"/>
        <v>0</v>
      </c>
      <c r="P11734" s="903">
        <f t="shared" si="947"/>
        <v>1</v>
      </c>
      <c r="Q11734" s="893">
        <f t="shared" si="948"/>
        <v>3</v>
      </c>
      <c r="R11734" s="894">
        <f t="shared" si="949"/>
        <v>0</v>
      </c>
    </row>
    <row r="11735" spans="1:18" s="904" customFormat="1">
      <c r="A11735" s="905"/>
      <c r="B11735" s="952" t="s">
        <v>6326</v>
      </c>
      <c r="C11735" s="907">
        <v>902</v>
      </c>
      <c r="D11735" s="907" t="s">
        <v>93</v>
      </c>
      <c r="E11735" s="992" t="s">
        <v>6327</v>
      </c>
      <c r="F11735" s="905" t="s">
        <v>2673</v>
      </c>
      <c r="G11735" s="1005"/>
      <c r="H11735" s="911">
        <v>9.5000000000000001E-2</v>
      </c>
      <c r="I11735" s="912"/>
      <c r="J11735" s="912"/>
      <c r="K11735" s="912"/>
      <c r="L11735" s="912"/>
      <c r="M11735" s="912">
        <f>VLOOKUP(B11735,MTC!$B$9:$S$933,12,0)</f>
        <v>2218057</v>
      </c>
      <c r="N11735" s="912">
        <f>M11735*H11735</f>
        <v>210715.41500000001</v>
      </c>
      <c r="O11735" s="892">
        <f t="shared" si="946"/>
        <v>0</v>
      </c>
      <c r="P11735" s="903">
        <f t="shared" si="947"/>
        <v>1</v>
      </c>
      <c r="Q11735" s="893">
        <f t="shared" si="948"/>
        <v>2</v>
      </c>
      <c r="R11735" s="894">
        <f t="shared" si="949"/>
        <v>0</v>
      </c>
    </row>
    <row r="11736" spans="1:18">
      <c r="A11736" s="905"/>
      <c r="B11736" s="952" t="s">
        <v>4993</v>
      </c>
      <c r="C11736" s="907">
        <v>904</v>
      </c>
      <c r="D11736" s="907" t="s">
        <v>93</v>
      </c>
      <c r="E11736" s="992" t="s">
        <v>4994</v>
      </c>
      <c r="F11736" s="905" t="s">
        <v>2673</v>
      </c>
      <c r="G11736" s="1005"/>
      <c r="H11736" s="911">
        <v>4.8000000000000001E-2</v>
      </c>
      <c r="I11736" s="912"/>
      <c r="J11736" s="912"/>
      <c r="K11736" s="912"/>
      <c r="L11736" s="912"/>
      <c r="M11736" s="912">
        <f>VLOOKUP(B11736,MTC!$B$9:$S$933,12,0)</f>
        <v>1393090</v>
      </c>
      <c r="N11736" s="912">
        <f>M11736*H11736</f>
        <v>66868.320000000007</v>
      </c>
      <c r="O11736" s="892">
        <f t="shared" si="946"/>
        <v>0</v>
      </c>
      <c r="P11736" s="903">
        <f t="shared" si="947"/>
        <v>1</v>
      </c>
      <c r="Q11736" s="893">
        <f t="shared" si="948"/>
        <v>1</v>
      </c>
      <c r="R11736" s="894">
        <f t="shared" si="949"/>
        <v>0</v>
      </c>
    </row>
    <row r="11737" spans="1:18" ht="31.5">
      <c r="A11737" s="905">
        <v>294</v>
      </c>
      <c r="B11737" s="1020" t="s">
        <v>6974</v>
      </c>
      <c r="C11737" s="915"/>
      <c r="D11737" s="915"/>
      <c r="E11737" s="1006" t="s">
        <v>6975</v>
      </c>
      <c r="F11737" s="1007" t="s">
        <v>139</v>
      </c>
      <c r="G11737" s="1008"/>
      <c r="H11737" s="919"/>
      <c r="I11737" s="920"/>
      <c r="J11737" s="891">
        <f>SUM(J11738:J11748)</f>
        <v>22582.095999999998</v>
      </c>
      <c r="K11737" s="891" t="s">
        <v>274</v>
      </c>
      <c r="L11737" s="891">
        <f>SUM(L11738:L11748)</f>
        <v>423380.32</v>
      </c>
      <c r="M11737" s="891"/>
      <c r="N11737" s="891">
        <f>SUM(N11738:N11748)</f>
        <v>192105.68000000002</v>
      </c>
      <c r="O11737" s="892">
        <f t="shared" si="946"/>
        <v>1</v>
      </c>
      <c r="P11737" s="903">
        <f t="shared" si="947"/>
        <v>0</v>
      </c>
      <c r="Q11737" s="893">
        <f t="shared" si="948"/>
        <v>0</v>
      </c>
      <c r="R11737" s="894">
        <f t="shared" si="949"/>
        <v>11</v>
      </c>
    </row>
    <row r="11738" spans="1:18">
      <c r="A11738" s="895"/>
      <c r="B11738" s="896"/>
      <c r="C11738" s="897"/>
      <c r="D11738" s="897"/>
      <c r="E11738" s="1002" t="s">
        <v>108</v>
      </c>
      <c r="F11738" s="895"/>
      <c r="G11738" s="1004"/>
      <c r="H11738" s="901"/>
      <c r="I11738" s="902"/>
      <c r="J11738" s="902"/>
      <c r="K11738" s="912" t="s">
        <v>274</v>
      </c>
      <c r="L11738" s="902"/>
      <c r="M11738" s="902"/>
      <c r="N11738" s="902"/>
      <c r="O11738" s="892">
        <f t="shared" si="946"/>
        <v>0</v>
      </c>
      <c r="P11738" s="903">
        <f t="shared" si="947"/>
        <v>1</v>
      </c>
      <c r="Q11738" s="893">
        <f t="shared" si="948"/>
        <v>11</v>
      </c>
      <c r="R11738" s="894">
        <f t="shared" si="949"/>
        <v>0</v>
      </c>
    </row>
    <row r="11739" spans="1:18">
      <c r="A11739" s="905"/>
      <c r="B11739" s="952"/>
      <c r="C11739" s="907">
        <v>235</v>
      </c>
      <c r="D11739" s="907" t="s">
        <v>279</v>
      </c>
      <c r="E11739" s="992" t="s">
        <v>2682</v>
      </c>
      <c r="F11739" s="905" t="s">
        <v>45</v>
      </c>
      <c r="G11739" s="1005"/>
      <c r="H11739" s="911">
        <v>0.19800000000000001</v>
      </c>
      <c r="I11739" s="912">
        <f>VLOOKUP(E11739,[3]VLP!$B$7:$K$300,10,0)</f>
        <v>5000</v>
      </c>
      <c r="J11739" s="912">
        <f>I11739*H11739</f>
        <v>990</v>
      </c>
      <c r="K11739" s="912" t="s">
        <v>274</v>
      </c>
      <c r="L11739" s="912"/>
      <c r="M11739" s="912"/>
      <c r="N11739" s="912"/>
      <c r="O11739" s="892">
        <f t="shared" si="946"/>
        <v>0</v>
      </c>
      <c r="P11739" s="903">
        <f t="shared" si="947"/>
        <v>1</v>
      </c>
      <c r="Q11739" s="893">
        <f t="shared" si="948"/>
        <v>10</v>
      </c>
      <c r="R11739" s="894">
        <f t="shared" si="949"/>
        <v>0</v>
      </c>
    </row>
    <row r="11740" spans="1:18" s="904" customFormat="1">
      <c r="A11740" s="905"/>
      <c r="B11740" s="952"/>
      <c r="C11740" s="907">
        <v>321</v>
      </c>
      <c r="D11740" s="907" t="s">
        <v>279</v>
      </c>
      <c r="E11740" s="992" t="s">
        <v>6317</v>
      </c>
      <c r="F11740" s="905" t="s">
        <v>45</v>
      </c>
      <c r="G11740" s="1005"/>
      <c r="H11740" s="911">
        <v>2.8000000000000001E-2</v>
      </c>
      <c r="I11740" s="912">
        <f>VLOOKUP(E11740,[3]VLP!$B$7:$K$300,10,0)</f>
        <v>38182</v>
      </c>
      <c r="J11740" s="912">
        <f>I11740*H11740</f>
        <v>1069.096</v>
      </c>
      <c r="K11740" s="912" t="s">
        <v>274</v>
      </c>
      <c r="L11740" s="912"/>
      <c r="M11740" s="912"/>
      <c r="N11740" s="912"/>
      <c r="O11740" s="892">
        <f t="shared" si="946"/>
        <v>0</v>
      </c>
      <c r="P11740" s="903">
        <f t="shared" si="947"/>
        <v>1</v>
      </c>
      <c r="Q11740" s="893">
        <f t="shared" si="948"/>
        <v>9</v>
      </c>
      <c r="R11740" s="894">
        <f t="shared" si="949"/>
        <v>0</v>
      </c>
    </row>
    <row r="11741" spans="1:18">
      <c r="A11741" s="905"/>
      <c r="B11741" s="952"/>
      <c r="C11741" s="907">
        <v>315</v>
      </c>
      <c r="D11741" s="907" t="s">
        <v>279</v>
      </c>
      <c r="E11741" s="992" t="s">
        <v>6316</v>
      </c>
      <c r="F11741" s="905" t="s">
        <v>49</v>
      </c>
      <c r="G11741" s="1005"/>
      <c r="H11741" s="911">
        <v>0.17</v>
      </c>
      <c r="I11741" s="912">
        <f>VLOOKUP(E11741,[3]VLP!$B$7:$K$300,10,0)</f>
        <v>8000</v>
      </c>
      <c r="J11741" s="912">
        <f>I11741*H11741</f>
        <v>1360</v>
      </c>
      <c r="K11741" s="912" t="s">
        <v>274</v>
      </c>
      <c r="L11741" s="912"/>
      <c r="M11741" s="912"/>
      <c r="N11741" s="912"/>
      <c r="O11741" s="892">
        <f t="shared" si="946"/>
        <v>0</v>
      </c>
      <c r="P11741" s="903">
        <f t="shared" si="947"/>
        <v>1</v>
      </c>
      <c r="Q11741" s="893">
        <f t="shared" si="948"/>
        <v>8</v>
      </c>
      <c r="R11741" s="894">
        <f t="shared" si="949"/>
        <v>0</v>
      </c>
    </row>
    <row r="11742" spans="1:18" s="904" customFormat="1">
      <c r="A11742" s="905"/>
      <c r="B11742" s="952"/>
      <c r="C11742" s="907">
        <v>212</v>
      </c>
      <c r="D11742" s="907" t="s">
        <v>279</v>
      </c>
      <c r="E11742" s="992" t="s">
        <v>2681</v>
      </c>
      <c r="F11742" s="905" t="s">
        <v>45</v>
      </c>
      <c r="G11742" s="1005"/>
      <c r="H11742" s="911">
        <v>0.18099999999999999</v>
      </c>
      <c r="I11742" s="912">
        <f>VLOOKUP(E11742,[3]VLP!$B$7:$K$300,10,0)</f>
        <v>23000</v>
      </c>
      <c r="J11742" s="912">
        <f>I11742*H11742</f>
        <v>4163</v>
      </c>
      <c r="K11742" s="912" t="s">
        <v>274</v>
      </c>
      <c r="L11742" s="912"/>
      <c r="M11742" s="912"/>
      <c r="N11742" s="912"/>
      <c r="O11742" s="892">
        <f t="shared" si="946"/>
        <v>0</v>
      </c>
      <c r="P11742" s="903">
        <f t="shared" si="947"/>
        <v>1</v>
      </c>
      <c r="Q11742" s="893">
        <f t="shared" si="948"/>
        <v>7</v>
      </c>
      <c r="R11742" s="894">
        <f t="shared" si="949"/>
        <v>0</v>
      </c>
    </row>
    <row r="11743" spans="1:18">
      <c r="A11743" s="905"/>
      <c r="B11743" s="952"/>
      <c r="C11743" s="907">
        <v>699</v>
      </c>
      <c r="D11743" s="907" t="s">
        <v>279</v>
      </c>
      <c r="E11743" s="992" t="s">
        <v>4006</v>
      </c>
      <c r="F11743" s="905" t="s">
        <v>4007</v>
      </c>
      <c r="G11743" s="1005"/>
      <c r="H11743" s="911">
        <v>3</v>
      </c>
      <c r="I11743" s="912">
        <f>VLOOKUP(E11743,[3]VLP!$B$7:$K$300,10,0)</f>
        <v>5000</v>
      </c>
      <c r="J11743" s="912">
        <f>I11743*H11743</f>
        <v>15000</v>
      </c>
      <c r="K11743" s="912" t="s">
        <v>274</v>
      </c>
      <c r="L11743" s="912"/>
      <c r="M11743" s="912"/>
      <c r="N11743" s="912"/>
      <c r="O11743" s="892">
        <f t="shared" ref="O11743:O11806" si="953">IF(AND(B11743&lt;&gt;"",D11743=""),1,0)</f>
        <v>0</v>
      </c>
      <c r="P11743" s="903">
        <f t="shared" si="947"/>
        <v>1</v>
      </c>
      <c r="Q11743" s="893">
        <f t="shared" si="948"/>
        <v>6</v>
      </c>
      <c r="R11743" s="894">
        <f t="shared" si="949"/>
        <v>0</v>
      </c>
    </row>
    <row r="11744" spans="1:18">
      <c r="A11744" s="895"/>
      <c r="B11744" s="896"/>
      <c r="C11744" s="897"/>
      <c r="D11744" s="897"/>
      <c r="E11744" s="1002" t="s">
        <v>276</v>
      </c>
      <c r="F11744" s="895"/>
      <c r="G11744" s="1004"/>
      <c r="H11744" s="901"/>
      <c r="I11744" s="902"/>
      <c r="J11744" s="902"/>
      <c r="K11744" s="912" t="s">
        <v>274</v>
      </c>
      <c r="L11744" s="902"/>
      <c r="M11744" s="902"/>
      <c r="N11744" s="902"/>
      <c r="O11744" s="892">
        <f t="shared" si="953"/>
        <v>0</v>
      </c>
      <c r="P11744" s="903">
        <f t="shared" si="947"/>
        <v>1</v>
      </c>
      <c r="Q11744" s="893">
        <f t="shared" si="948"/>
        <v>5</v>
      </c>
      <c r="R11744" s="894">
        <f t="shared" si="949"/>
        <v>0</v>
      </c>
    </row>
    <row r="11745" spans="1:18" s="847" customFormat="1">
      <c r="A11745" s="905"/>
      <c r="B11745" s="952"/>
      <c r="C11745" s="907">
        <v>745</v>
      </c>
      <c r="D11745" s="907" t="s">
        <v>12</v>
      </c>
      <c r="E11745" s="992" t="s">
        <v>5518</v>
      </c>
      <c r="F11745" s="905" t="s">
        <v>2674</v>
      </c>
      <c r="G11745" s="1005"/>
      <c r="H11745" s="911">
        <v>1.76</v>
      </c>
      <c r="I11745" s="912"/>
      <c r="J11745" s="912"/>
      <c r="K11745" s="912">
        <f>VLOOKUP(E11745,[5]ĐMNC!$A$7:$F$67,4,0)</f>
        <v>240557</v>
      </c>
      <c r="L11745" s="912">
        <f>H11745*K11745</f>
        <v>423380.32</v>
      </c>
      <c r="M11745" s="912"/>
      <c r="N11745" s="912"/>
      <c r="O11745" s="892">
        <f t="shared" si="953"/>
        <v>0</v>
      </c>
      <c r="P11745" s="903">
        <f t="shared" si="947"/>
        <v>1</v>
      </c>
      <c r="Q11745" s="893">
        <f t="shared" si="948"/>
        <v>4</v>
      </c>
      <c r="R11745" s="894">
        <f t="shared" si="949"/>
        <v>0</v>
      </c>
    </row>
    <row r="11746" spans="1:18" s="904" customFormat="1">
      <c r="A11746" s="895"/>
      <c r="B11746" s="896"/>
      <c r="C11746" s="897"/>
      <c r="D11746" s="897"/>
      <c r="E11746" s="1002" t="s">
        <v>3914</v>
      </c>
      <c r="F11746" s="895"/>
      <c r="G11746" s="1004"/>
      <c r="H11746" s="901"/>
      <c r="I11746" s="902"/>
      <c r="J11746" s="902"/>
      <c r="K11746" s="912" t="s">
        <v>274</v>
      </c>
      <c r="L11746" s="902"/>
      <c r="M11746" s="902"/>
      <c r="N11746" s="902"/>
      <c r="O11746" s="892">
        <f t="shared" si="953"/>
        <v>0</v>
      </c>
      <c r="P11746" s="903">
        <f t="shared" si="947"/>
        <v>1</v>
      </c>
      <c r="Q11746" s="893">
        <f t="shared" si="948"/>
        <v>3</v>
      </c>
      <c r="R11746" s="894">
        <f t="shared" si="949"/>
        <v>0</v>
      </c>
    </row>
    <row r="11747" spans="1:18">
      <c r="A11747" s="905"/>
      <c r="B11747" s="946" t="s">
        <v>6321</v>
      </c>
      <c r="C11747" s="907">
        <v>900</v>
      </c>
      <c r="D11747" s="907" t="s">
        <v>93</v>
      </c>
      <c r="E11747" s="992" t="s">
        <v>6322</v>
      </c>
      <c r="F11747" s="905" t="s">
        <v>2673</v>
      </c>
      <c r="G11747" s="1005"/>
      <c r="H11747" s="911">
        <v>0.1</v>
      </c>
      <c r="I11747" s="912"/>
      <c r="J11747" s="912"/>
      <c r="K11747" s="912"/>
      <c r="L11747" s="912"/>
      <c r="M11747" s="912">
        <f>VLOOKUP(B11747,MTC!$B$9:$S$933,12,0)</f>
        <v>1475268</v>
      </c>
      <c r="N11747" s="912">
        <f>M11747*H11747</f>
        <v>147526.80000000002</v>
      </c>
      <c r="O11747" s="892">
        <f t="shared" si="953"/>
        <v>0</v>
      </c>
      <c r="P11747" s="903">
        <f t="shared" si="947"/>
        <v>1</v>
      </c>
      <c r="Q11747" s="893">
        <f t="shared" si="948"/>
        <v>2</v>
      </c>
      <c r="R11747" s="894">
        <f t="shared" si="949"/>
        <v>0</v>
      </c>
    </row>
    <row r="11748" spans="1:18">
      <c r="A11748" s="905"/>
      <c r="B11748" s="952" t="s">
        <v>4993</v>
      </c>
      <c r="C11748" s="907">
        <v>904</v>
      </c>
      <c r="D11748" s="907" t="s">
        <v>93</v>
      </c>
      <c r="E11748" s="992" t="s">
        <v>4994</v>
      </c>
      <c r="F11748" s="905" t="s">
        <v>2673</v>
      </c>
      <c r="G11748" s="1005"/>
      <c r="H11748" s="911">
        <v>3.2000000000000001E-2</v>
      </c>
      <c r="I11748" s="912"/>
      <c r="J11748" s="912"/>
      <c r="K11748" s="912"/>
      <c r="L11748" s="912"/>
      <c r="M11748" s="912">
        <f>VLOOKUP(B11748,MTC!$B$9:$S$933,12,0)</f>
        <v>1393090</v>
      </c>
      <c r="N11748" s="912">
        <f>M11748*H11748</f>
        <v>44578.879999999997</v>
      </c>
      <c r="O11748" s="892">
        <f t="shared" si="953"/>
        <v>0</v>
      </c>
      <c r="P11748" s="903">
        <f t="shared" si="947"/>
        <v>1</v>
      </c>
      <c r="Q11748" s="893">
        <f t="shared" si="948"/>
        <v>1</v>
      </c>
      <c r="R11748" s="894">
        <f t="shared" si="949"/>
        <v>0</v>
      </c>
    </row>
    <row r="11749" spans="1:18" ht="31.5">
      <c r="A11749" s="905">
        <v>297</v>
      </c>
      <c r="B11749" s="1020" t="s">
        <v>6976</v>
      </c>
      <c r="C11749" s="915"/>
      <c r="D11749" s="915"/>
      <c r="E11749" s="1006" t="s">
        <v>6977</v>
      </c>
      <c r="F11749" s="1007" t="s">
        <v>139</v>
      </c>
      <c r="G11749" s="1008"/>
      <c r="H11749" s="919"/>
      <c r="I11749" s="920"/>
      <c r="J11749" s="962">
        <f>SUM(J11750:J11759)</f>
        <v>21096.186000000002</v>
      </c>
      <c r="K11749" s="891" t="s">
        <v>274</v>
      </c>
      <c r="L11749" s="962">
        <f>SUM(L11750:L11759)</f>
        <v>339185.37</v>
      </c>
      <c r="M11749" s="962"/>
      <c r="N11749" s="962">
        <f>SUM(N11750:N11759)</f>
        <v>147526.80000000002</v>
      </c>
      <c r="O11749" s="892">
        <f t="shared" si="953"/>
        <v>1</v>
      </c>
      <c r="P11749" s="903">
        <f t="shared" si="947"/>
        <v>0</v>
      </c>
      <c r="Q11749" s="893">
        <f t="shared" si="948"/>
        <v>0</v>
      </c>
      <c r="R11749" s="894">
        <f t="shared" si="949"/>
        <v>10</v>
      </c>
    </row>
    <row r="11750" spans="1:18">
      <c r="A11750" s="895"/>
      <c r="B11750" s="896"/>
      <c r="C11750" s="897"/>
      <c r="D11750" s="897"/>
      <c r="E11750" s="1002" t="s">
        <v>108</v>
      </c>
      <c r="F11750" s="895"/>
      <c r="G11750" s="1004"/>
      <c r="H11750" s="901"/>
      <c r="I11750" s="902"/>
      <c r="J11750" s="902"/>
      <c r="K11750" s="912" t="s">
        <v>274</v>
      </c>
      <c r="L11750" s="902"/>
      <c r="M11750" s="902"/>
      <c r="N11750" s="902"/>
      <c r="O11750" s="892">
        <f t="shared" si="953"/>
        <v>0</v>
      </c>
      <c r="P11750" s="903">
        <f t="shared" si="947"/>
        <v>1</v>
      </c>
      <c r="Q11750" s="893">
        <f t="shared" si="948"/>
        <v>10</v>
      </c>
      <c r="R11750" s="894">
        <f t="shared" si="949"/>
        <v>0</v>
      </c>
    </row>
    <row r="11751" spans="1:18" s="904" customFormat="1">
      <c r="A11751" s="905"/>
      <c r="B11751" s="952"/>
      <c r="C11751" s="907">
        <v>235</v>
      </c>
      <c r="D11751" s="907" t="s">
        <v>279</v>
      </c>
      <c r="E11751" s="992" t="s">
        <v>2682</v>
      </c>
      <c r="F11751" s="905" t="s">
        <v>45</v>
      </c>
      <c r="G11751" s="1005"/>
      <c r="H11751" s="911">
        <v>0.159</v>
      </c>
      <c r="I11751" s="912">
        <f>VLOOKUP(E11751,[3]VLP!$B$7:$K$300,10,0)</f>
        <v>5000</v>
      </c>
      <c r="J11751" s="912">
        <f>I11751*H11751</f>
        <v>795</v>
      </c>
      <c r="K11751" s="912" t="s">
        <v>274</v>
      </c>
      <c r="L11751" s="912"/>
      <c r="M11751" s="912"/>
      <c r="N11751" s="912"/>
      <c r="O11751" s="892">
        <f t="shared" si="953"/>
        <v>0</v>
      </c>
      <c r="P11751" s="903">
        <f t="shared" si="947"/>
        <v>1</v>
      </c>
      <c r="Q11751" s="893">
        <f t="shared" si="948"/>
        <v>9</v>
      </c>
      <c r="R11751" s="894">
        <f t="shared" si="949"/>
        <v>0</v>
      </c>
    </row>
    <row r="11752" spans="1:18">
      <c r="A11752" s="905"/>
      <c r="B11752" s="952"/>
      <c r="C11752" s="907">
        <v>321</v>
      </c>
      <c r="D11752" s="907" t="s">
        <v>279</v>
      </c>
      <c r="E11752" s="992" t="s">
        <v>6317</v>
      </c>
      <c r="F11752" s="905" t="s">
        <v>45</v>
      </c>
      <c r="G11752" s="1005"/>
      <c r="H11752" s="911">
        <v>2.3E-2</v>
      </c>
      <c r="I11752" s="912">
        <f>VLOOKUP(E11752,[3]VLP!$B$7:$K$300,10,0)</f>
        <v>38182</v>
      </c>
      <c r="J11752" s="912">
        <f>I11752*H11752</f>
        <v>878.18600000000004</v>
      </c>
      <c r="K11752" s="912" t="s">
        <v>274</v>
      </c>
      <c r="L11752" s="912"/>
      <c r="M11752" s="912"/>
      <c r="N11752" s="912"/>
      <c r="O11752" s="892">
        <f t="shared" si="953"/>
        <v>0</v>
      </c>
      <c r="P11752" s="903">
        <f t="shared" si="947"/>
        <v>1</v>
      </c>
      <c r="Q11752" s="893">
        <f t="shared" si="948"/>
        <v>8</v>
      </c>
      <c r="R11752" s="894">
        <f t="shared" si="949"/>
        <v>0</v>
      </c>
    </row>
    <row r="11753" spans="1:18" s="847" customFormat="1">
      <c r="A11753" s="905"/>
      <c r="B11753" s="952"/>
      <c r="C11753" s="907">
        <v>315</v>
      </c>
      <c r="D11753" s="907" t="s">
        <v>279</v>
      </c>
      <c r="E11753" s="992" t="s">
        <v>6316</v>
      </c>
      <c r="F11753" s="905" t="s">
        <v>49</v>
      </c>
      <c r="G11753" s="1005"/>
      <c r="H11753" s="911">
        <v>0.13600000000000001</v>
      </c>
      <c r="I11753" s="912">
        <f>VLOOKUP(E11753,[3]VLP!$B$7:$K$300,10,0)</f>
        <v>8000</v>
      </c>
      <c r="J11753" s="912">
        <f>I11753*H11753</f>
        <v>1088</v>
      </c>
      <c r="K11753" s="912" t="s">
        <v>274</v>
      </c>
      <c r="L11753" s="912"/>
      <c r="M11753" s="912"/>
      <c r="N11753" s="912"/>
      <c r="O11753" s="892">
        <f t="shared" si="953"/>
        <v>0</v>
      </c>
      <c r="P11753" s="903">
        <f t="shared" si="947"/>
        <v>1</v>
      </c>
      <c r="Q11753" s="893">
        <f t="shared" si="948"/>
        <v>7</v>
      </c>
      <c r="R11753" s="894">
        <f t="shared" si="949"/>
        <v>0</v>
      </c>
    </row>
    <row r="11754" spans="1:18" s="904" customFormat="1">
      <c r="A11754" s="905"/>
      <c r="B11754" s="952"/>
      <c r="C11754" s="907">
        <v>212</v>
      </c>
      <c r="D11754" s="907" t="s">
        <v>279</v>
      </c>
      <c r="E11754" s="992" t="s">
        <v>2681</v>
      </c>
      <c r="F11754" s="905" t="s">
        <v>45</v>
      </c>
      <c r="G11754" s="1005"/>
      <c r="H11754" s="911">
        <v>0.14499999999999999</v>
      </c>
      <c r="I11754" s="912">
        <f>VLOOKUP(E11754,[3]VLP!$B$7:$K$300,10,0)</f>
        <v>23000</v>
      </c>
      <c r="J11754" s="912">
        <f>I11754*H11754</f>
        <v>3334.9999999999995</v>
      </c>
      <c r="K11754" s="912" t="s">
        <v>274</v>
      </c>
      <c r="L11754" s="912"/>
      <c r="M11754" s="912"/>
      <c r="N11754" s="912"/>
      <c r="O11754" s="892">
        <f t="shared" si="953"/>
        <v>0</v>
      </c>
      <c r="P11754" s="903">
        <f t="shared" si="947"/>
        <v>1</v>
      </c>
      <c r="Q11754" s="893">
        <f t="shared" si="948"/>
        <v>6</v>
      </c>
      <c r="R11754" s="894">
        <f t="shared" si="949"/>
        <v>0</v>
      </c>
    </row>
    <row r="11755" spans="1:18">
      <c r="A11755" s="905"/>
      <c r="B11755" s="952"/>
      <c r="C11755" s="907">
        <v>699</v>
      </c>
      <c r="D11755" s="907" t="s">
        <v>279</v>
      </c>
      <c r="E11755" s="992" t="s">
        <v>4006</v>
      </c>
      <c r="F11755" s="905" t="s">
        <v>4007</v>
      </c>
      <c r="G11755" s="1005"/>
      <c r="H11755" s="911">
        <v>3</v>
      </c>
      <c r="I11755" s="912">
        <f>VLOOKUP(E11755,[3]VLP!$B$7:$K$300,10,0)</f>
        <v>5000</v>
      </c>
      <c r="J11755" s="912">
        <f>I11755*H11755</f>
        <v>15000</v>
      </c>
      <c r="K11755" s="912" t="s">
        <v>274</v>
      </c>
      <c r="L11755" s="912"/>
      <c r="M11755" s="912"/>
      <c r="N11755" s="912"/>
      <c r="O11755" s="892">
        <f t="shared" si="953"/>
        <v>0</v>
      </c>
      <c r="P11755" s="903">
        <f t="shared" si="947"/>
        <v>1</v>
      </c>
      <c r="Q11755" s="893">
        <f t="shared" si="948"/>
        <v>5</v>
      </c>
      <c r="R11755" s="894">
        <f t="shared" si="949"/>
        <v>0</v>
      </c>
    </row>
    <row r="11756" spans="1:18">
      <c r="A11756" s="895"/>
      <c r="B11756" s="896"/>
      <c r="C11756" s="897"/>
      <c r="D11756" s="897"/>
      <c r="E11756" s="1002" t="s">
        <v>276</v>
      </c>
      <c r="F11756" s="895"/>
      <c r="G11756" s="1004"/>
      <c r="H11756" s="901"/>
      <c r="I11756" s="902"/>
      <c r="J11756" s="902"/>
      <c r="K11756" s="912" t="s">
        <v>274</v>
      </c>
      <c r="L11756" s="902"/>
      <c r="M11756" s="902"/>
      <c r="N11756" s="902"/>
      <c r="O11756" s="892">
        <f t="shared" si="953"/>
        <v>0</v>
      </c>
      <c r="P11756" s="903">
        <f t="shared" si="947"/>
        <v>1</v>
      </c>
      <c r="Q11756" s="893">
        <f t="shared" si="948"/>
        <v>4</v>
      </c>
      <c r="R11756" s="894">
        <f t="shared" si="949"/>
        <v>0</v>
      </c>
    </row>
    <row r="11757" spans="1:18">
      <c r="A11757" s="905"/>
      <c r="B11757" s="952"/>
      <c r="C11757" s="907">
        <v>745</v>
      </c>
      <c r="D11757" s="907" t="s">
        <v>12</v>
      </c>
      <c r="E11757" s="992" t="s">
        <v>5518</v>
      </c>
      <c r="F11757" s="905" t="s">
        <v>2674</v>
      </c>
      <c r="G11757" s="1005"/>
      <c r="H11757" s="911">
        <v>1.41</v>
      </c>
      <c r="I11757" s="912"/>
      <c r="J11757" s="912"/>
      <c r="K11757" s="912">
        <f>VLOOKUP(E11757,[5]ĐMNC!$A$7:$F$67,4,0)</f>
        <v>240557</v>
      </c>
      <c r="L11757" s="912">
        <f>H11757*K11757</f>
        <v>339185.37</v>
      </c>
      <c r="M11757" s="912"/>
      <c r="N11757" s="912"/>
      <c r="O11757" s="892">
        <f t="shared" si="953"/>
        <v>0</v>
      </c>
      <c r="P11757" s="903">
        <f t="shared" si="947"/>
        <v>1</v>
      </c>
      <c r="Q11757" s="893">
        <f t="shared" si="948"/>
        <v>3</v>
      </c>
      <c r="R11757" s="894">
        <f t="shared" si="949"/>
        <v>0</v>
      </c>
    </row>
    <row r="11758" spans="1:18">
      <c r="A11758" s="895"/>
      <c r="B11758" s="896"/>
      <c r="C11758" s="897"/>
      <c r="D11758" s="897"/>
      <c r="E11758" s="1002" t="s">
        <v>3914</v>
      </c>
      <c r="F11758" s="895"/>
      <c r="G11758" s="1004"/>
      <c r="H11758" s="901"/>
      <c r="I11758" s="902"/>
      <c r="J11758" s="902"/>
      <c r="K11758" s="912" t="s">
        <v>274</v>
      </c>
      <c r="L11758" s="902"/>
      <c r="M11758" s="902"/>
      <c r="N11758" s="902"/>
      <c r="O11758" s="892">
        <f t="shared" si="953"/>
        <v>0</v>
      </c>
      <c r="P11758" s="903">
        <f t="shared" si="947"/>
        <v>1</v>
      </c>
      <c r="Q11758" s="893">
        <f t="shared" si="948"/>
        <v>2</v>
      </c>
      <c r="R11758" s="894">
        <f t="shared" si="949"/>
        <v>0</v>
      </c>
    </row>
    <row r="11759" spans="1:18" s="904" customFormat="1">
      <c r="A11759" s="905"/>
      <c r="B11759" s="946" t="s">
        <v>6321</v>
      </c>
      <c r="C11759" s="907">
        <v>900</v>
      </c>
      <c r="D11759" s="907" t="s">
        <v>93</v>
      </c>
      <c r="E11759" s="992" t="s">
        <v>6322</v>
      </c>
      <c r="F11759" s="905" t="s">
        <v>2673</v>
      </c>
      <c r="G11759" s="1005"/>
      <c r="H11759" s="911">
        <v>0.1</v>
      </c>
      <c r="I11759" s="912"/>
      <c r="J11759" s="912"/>
      <c r="K11759" s="912"/>
      <c r="L11759" s="912"/>
      <c r="M11759" s="912">
        <f>VLOOKUP(B11759,MTC!$B$9:$S$933,12,0)</f>
        <v>1475268</v>
      </c>
      <c r="N11759" s="912">
        <f>M11759*H11759</f>
        <v>147526.80000000002</v>
      </c>
      <c r="O11759" s="892">
        <f t="shared" si="953"/>
        <v>0</v>
      </c>
      <c r="P11759" s="903">
        <f t="shared" si="947"/>
        <v>1</v>
      </c>
      <c r="Q11759" s="893">
        <f t="shared" si="948"/>
        <v>1</v>
      </c>
      <c r="R11759" s="894">
        <f t="shared" si="949"/>
        <v>0</v>
      </c>
    </row>
    <row r="11760" spans="1:18" ht="31.5">
      <c r="A11760" s="905">
        <v>295</v>
      </c>
      <c r="B11760" s="1020" t="s">
        <v>6978</v>
      </c>
      <c r="C11760" s="915"/>
      <c r="D11760" s="915"/>
      <c r="E11760" s="1006" t="s">
        <v>6979</v>
      </c>
      <c r="F11760" s="1007" t="s">
        <v>139</v>
      </c>
      <c r="G11760" s="1008"/>
      <c r="H11760" s="919"/>
      <c r="I11760" s="920"/>
      <c r="J11760" s="891">
        <f>SUM(J11761:J11771)</f>
        <v>22582.095999999998</v>
      </c>
      <c r="K11760" s="891" t="s">
        <v>274</v>
      </c>
      <c r="L11760" s="891">
        <f>SUM(L11761:L11771)</f>
        <v>509980.84</v>
      </c>
      <c r="M11760" s="891"/>
      <c r="N11760" s="891">
        <f>SUM(N11761:N11771)</f>
        <v>192105.68000000002</v>
      </c>
      <c r="O11760" s="892">
        <f t="shared" si="953"/>
        <v>1</v>
      </c>
      <c r="P11760" s="903">
        <f t="shared" si="947"/>
        <v>0</v>
      </c>
      <c r="Q11760" s="893">
        <f t="shared" si="948"/>
        <v>0</v>
      </c>
      <c r="R11760" s="894">
        <f t="shared" si="949"/>
        <v>11</v>
      </c>
    </row>
    <row r="11761" spans="1:18">
      <c r="A11761" s="895"/>
      <c r="B11761" s="896"/>
      <c r="C11761" s="897"/>
      <c r="D11761" s="897"/>
      <c r="E11761" s="1002" t="s">
        <v>108</v>
      </c>
      <c r="F11761" s="895"/>
      <c r="G11761" s="1004"/>
      <c r="H11761" s="901"/>
      <c r="I11761" s="902"/>
      <c r="J11761" s="902"/>
      <c r="K11761" s="912" t="s">
        <v>274</v>
      </c>
      <c r="L11761" s="902"/>
      <c r="M11761" s="902"/>
      <c r="N11761" s="902"/>
      <c r="O11761" s="892">
        <f t="shared" si="953"/>
        <v>0</v>
      </c>
      <c r="P11761" s="903">
        <f t="shared" si="947"/>
        <v>1</v>
      </c>
      <c r="Q11761" s="893">
        <f t="shared" si="948"/>
        <v>11</v>
      </c>
      <c r="R11761" s="894">
        <f t="shared" si="949"/>
        <v>0</v>
      </c>
    </row>
    <row r="11762" spans="1:18" s="904" customFormat="1">
      <c r="A11762" s="905"/>
      <c r="B11762" s="952"/>
      <c r="C11762" s="907">
        <v>235</v>
      </c>
      <c r="D11762" s="907" t="s">
        <v>279</v>
      </c>
      <c r="E11762" s="992" t="s">
        <v>2682</v>
      </c>
      <c r="F11762" s="905" t="s">
        <v>45</v>
      </c>
      <c r="G11762" s="1005"/>
      <c r="H11762" s="911">
        <v>0.19800000000000001</v>
      </c>
      <c r="I11762" s="912">
        <f>VLOOKUP(E11762,[3]VLP!$B$7:$K$300,10,0)</f>
        <v>5000</v>
      </c>
      <c r="J11762" s="912">
        <f>I11762*H11762</f>
        <v>990</v>
      </c>
      <c r="K11762" s="912" t="s">
        <v>274</v>
      </c>
      <c r="L11762" s="912"/>
      <c r="M11762" s="912"/>
      <c r="N11762" s="912"/>
      <c r="O11762" s="892">
        <f t="shared" si="953"/>
        <v>0</v>
      </c>
      <c r="P11762" s="903">
        <f t="shared" si="947"/>
        <v>1</v>
      </c>
      <c r="Q11762" s="893">
        <f t="shared" si="948"/>
        <v>10</v>
      </c>
      <c r="R11762" s="894">
        <f t="shared" si="949"/>
        <v>0</v>
      </c>
    </row>
    <row r="11763" spans="1:18">
      <c r="A11763" s="905"/>
      <c r="B11763" s="952"/>
      <c r="C11763" s="907">
        <v>321</v>
      </c>
      <c r="D11763" s="907" t="s">
        <v>279</v>
      </c>
      <c r="E11763" s="992" t="s">
        <v>6317</v>
      </c>
      <c r="F11763" s="905" t="s">
        <v>45</v>
      </c>
      <c r="G11763" s="1005"/>
      <c r="H11763" s="911">
        <v>2.8000000000000001E-2</v>
      </c>
      <c r="I11763" s="912">
        <f>VLOOKUP(E11763,[3]VLP!$B$7:$K$300,10,0)</f>
        <v>38182</v>
      </c>
      <c r="J11763" s="912">
        <f>I11763*H11763</f>
        <v>1069.096</v>
      </c>
      <c r="K11763" s="912" t="s">
        <v>274</v>
      </c>
      <c r="L11763" s="912"/>
      <c r="M11763" s="912"/>
      <c r="N11763" s="912"/>
      <c r="O11763" s="892">
        <f t="shared" si="953"/>
        <v>0</v>
      </c>
      <c r="P11763" s="903">
        <f t="shared" ref="P11763:P11826" si="954">IF(O11763=0,1,0)</f>
        <v>1</v>
      </c>
      <c r="Q11763" s="893">
        <f t="shared" ref="Q11763:Q11826" si="955">IF(P11763=0,0,P11763+Q11764)</f>
        <v>9</v>
      </c>
      <c r="R11763" s="894">
        <f t="shared" ref="R11763:R11826" si="956">IF(Q11763=0,Q11764,0)</f>
        <v>0</v>
      </c>
    </row>
    <row r="11764" spans="1:18" s="847" customFormat="1">
      <c r="A11764" s="905"/>
      <c r="B11764" s="952"/>
      <c r="C11764" s="907">
        <v>315</v>
      </c>
      <c r="D11764" s="907" t="s">
        <v>279</v>
      </c>
      <c r="E11764" s="992" t="s">
        <v>6316</v>
      </c>
      <c r="F11764" s="905" t="s">
        <v>49</v>
      </c>
      <c r="G11764" s="1005"/>
      <c r="H11764" s="911">
        <v>0.17</v>
      </c>
      <c r="I11764" s="912">
        <f>VLOOKUP(E11764,[3]VLP!$B$7:$K$300,10,0)</f>
        <v>8000</v>
      </c>
      <c r="J11764" s="912">
        <f>I11764*H11764</f>
        <v>1360</v>
      </c>
      <c r="K11764" s="912" t="s">
        <v>274</v>
      </c>
      <c r="L11764" s="912"/>
      <c r="M11764" s="912"/>
      <c r="N11764" s="912"/>
      <c r="O11764" s="892">
        <f t="shared" si="953"/>
        <v>0</v>
      </c>
      <c r="P11764" s="903">
        <f t="shared" si="954"/>
        <v>1</v>
      </c>
      <c r="Q11764" s="893">
        <f t="shared" si="955"/>
        <v>8</v>
      </c>
      <c r="R11764" s="894">
        <f t="shared" si="956"/>
        <v>0</v>
      </c>
    </row>
    <row r="11765" spans="1:18" s="904" customFormat="1">
      <c r="A11765" s="905"/>
      <c r="B11765" s="952"/>
      <c r="C11765" s="907">
        <v>212</v>
      </c>
      <c r="D11765" s="907" t="s">
        <v>279</v>
      </c>
      <c r="E11765" s="992" t="s">
        <v>2681</v>
      </c>
      <c r="F11765" s="905" t="s">
        <v>45</v>
      </c>
      <c r="G11765" s="1005"/>
      <c r="H11765" s="911">
        <v>0.18099999999999999</v>
      </c>
      <c r="I11765" s="912">
        <f>VLOOKUP(E11765,[3]VLP!$B$7:$K$300,10,0)</f>
        <v>23000</v>
      </c>
      <c r="J11765" s="912">
        <f>I11765*H11765</f>
        <v>4163</v>
      </c>
      <c r="K11765" s="912" t="s">
        <v>274</v>
      </c>
      <c r="L11765" s="912"/>
      <c r="M11765" s="912"/>
      <c r="N11765" s="912"/>
      <c r="O11765" s="892">
        <f t="shared" si="953"/>
        <v>0</v>
      </c>
      <c r="P11765" s="903">
        <f t="shared" si="954"/>
        <v>1</v>
      </c>
      <c r="Q11765" s="893">
        <f t="shared" si="955"/>
        <v>7</v>
      </c>
      <c r="R11765" s="894">
        <f t="shared" si="956"/>
        <v>0</v>
      </c>
    </row>
    <row r="11766" spans="1:18">
      <c r="A11766" s="905"/>
      <c r="B11766" s="952"/>
      <c r="C11766" s="907">
        <v>699</v>
      </c>
      <c r="D11766" s="907" t="s">
        <v>279</v>
      </c>
      <c r="E11766" s="992" t="s">
        <v>4006</v>
      </c>
      <c r="F11766" s="905" t="s">
        <v>4007</v>
      </c>
      <c r="G11766" s="1005"/>
      <c r="H11766" s="911">
        <v>3</v>
      </c>
      <c r="I11766" s="912">
        <f>VLOOKUP(E11766,[3]VLP!$B$7:$K$300,10,0)</f>
        <v>5000</v>
      </c>
      <c r="J11766" s="912">
        <f>I11766*H11766</f>
        <v>15000</v>
      </c>
      <c r="K11766" s="912" t="s">
        <v>274</v>
      </c>
      <c r="L11766" s="912"/>
      <c r="M11766" s="912"/>
      <c r="N11766" s="912"/>
      <c r="O11766" s="892">
        <f t="shared" si="953"/>
        <v>0</v>
      </c>
      <c r="P11766" s="903">
        <f t="shared" si="954"/>
        <v>1</v>
      </c>
      <c r="Q11766" s="893">
        <f t="shared" si="955"/>
        <v>6</v>
      </c>
      <c r="R11766" s="894">
        <f t="shared" si="956"/>
        <v>0</v>
      </c>
    </row>
    <row r="11767" spans="1:18">
      <c r="A11767" s="895"/>
      <c r="B11767" s="896"/>
      <c r="C11767" s="897"/>
      <c r="D11767" s="897"/>
      <c r="E11767" s="1002" t="s">
        <v>276</v>
      </c>
      <c r="F11767" s="895"/>
      <c r="G11767" s="1004"/>
      <c r="H11767" s="901"/>
      <c r="I11767" s="902"/>
      <c r="J11767" s="902"/>
      <c r="K11767" s="912" t="s">
        <v>274</v>
      </c>
      <c r="L11767" s="902"/>
      <c r="M11767" s="902"/>
      <c r="N11767" s="902"/>
      <c r="O11767" s="892">
        <f t="shared" si="953"/>
        <v>0</v>
      </c>
      <c r="P11767" s="903">
        <f t="shared" si="954"/>
        <v>1</v>
      </c>
      <c r="Q11767" s="893">
        <f t="shared" si="955"/>
        <v>5</v>
      </c>
      <c r="R11767" s="894">
        <f t="shared" si="956"/>
        <v>0</v>
      </c>
    </row>
    <row r="11768" spans="1:18">
      <c r="A11768" s="905"/>
      <c r="B11768" s="952"/>
      <c r="C11768" s="907">
        <v>745</v>
      </c>
      <c r="D11768" s="907" t="s">
        <v>12</v>
      </c>
      <c r="E11768" s="992" t="s">
        <v>5518</v>
      </c>
      <c r="F11768" s="905" t="s">
        <v>2674</v>
      </c>
      <c r="G11768" s="1005"/>
      <c r="H11768" s="911">
        <v>2.12</v>
      </c>
      <c r="I11768" s="912"/>
      <c r="J11768" s="912"/>
      <c r="K11768" s="912">
        <f>VLOOKUP(E11768,[5]ĐMNC!$A$7:$F$67,4,0)</f>
        <v>240557</v>
      </c>
      <c r="L11768" s="912">
        <f>H11768*K11768</f>
        <v>509980.84</v>
      </c>
      <c r="M11768" s="912"/>
      <c r="N11768" s="912"/>
      <c r="O11768" s="892">
        <f t="shared" si="953"/>
        <v>0</v>
      </c>
      <c r="P11768" s="903">
        <f t="shared" si="954"/>
        <v>1</v>
      </c>
      <c r="Q11768" s="893">
        <f t="shared" si="955"/>
        <v>4</v>
      </c>
      <c r="R11768" s="894">
        <f t="shared" si="956"/>
        <v>0</v>
      </c>
    </row>
    <row r="11769" spans="1:18">
      <c r="A11769" s="895"/>
      <c r="B11769" s="896"/>
      <c r="C11769" s="897"/>
      <c r="D11769" s="897"/>
      <c r="E11769" s="1002" t="s">
        <v>3914</v>
      </c>
      <c r="F11769" s="895"/>
      <c r="G11769" s="1004"/>
      <c r="H11769" s="901"/>
      <c r="I11769" s="902"/>
      <c r="J11769" s="902"/>
      <c r="K11769" s="912" t="s">
        <v>274</v>
      </c>
      <c r="L11769" s="902"/>
      <c r="M11769" s="902"/>
      <c r="N11769" s="902"/>
      <c r="O11769" s="892">
        <f t="shared" si="953"/>
        <v>0</v>
      </c>
      <c r="P11769" s="903">
        <f t="shared" si="954"/>
        <v>1</v>
      </c>
      <c r="Q11769" s="893">
        <f t="shared" si="955"/>
        <v>3</v>
      </c>
      <c r="R11769" s="894">
        <f t="shared" si="956"/>
        <v>0</v>
      </c>
    </row>
    <row r="11770" spans="1:18" s="904" customFormat="1">
      <c r="A11770" s="905"/>
      <c r="B11770" s="946" t="s">
        <v>6321</v>
      </c>
      <c r="C11770" s="907">
        <v>900</v>
      </c>
      <c r="D11770" s="907" t="s">
        <v>93</v>
      </c>
      <c r="E11770" s="992" t="s">
        <v>6322</v>
      </c>
      <c r="F11770" s="905" t="s">
        <v>2673</v>
      </c>
      <c r="G11770" s="1005"/>
      <c r="H11770" s="911">
        <v>0.1</v>
      </c>
      <c r="I11770" s="912"/>
      <c r="J11770" s="912"/>
      <c r="K11770" s="912"/>
      <c r="L11770" s="912"/>
      <c r="M11770" s="912">
        <f>VLOOKUP(B11770,MTC!$B$9:$S$933,12,0)</f>
        <v>1475268</v>
      </c>
      <c r="N11770" s="912">
        <f>M11770*H11770</f>
        <v>147526.80000000002</v>
      </c>
      <c r="O11770" s="892">
        <f t="shared" si="953"/>
        <v>0</v>
      </c>
      <c r="P11770" s="903">
        <f t="shared" si="954"/>
        <v>1</v>
      </c>
      <c r="Q11770" s="893">
        <f t="shared" si="955"/>
        <v>2</v>
      </c>
      <c r="R11770" s="894">
        <f t="shared" si="956"/>
        <v>0</v>
      </c>
    </row>
    <row r="11771" spans="1:18">
      <c r="A11771" s="905"/>
      <c r="B11771" s="952" t="s">
        <v>4993</v>
      </c>
      <c r="C11771" s="907">
        <v>904</v>
      </c>
      <c r="D11771" s="907" t="s">
        <v>93</v>
      </c>
      <c r="E11771" s="992" t="s">
        <v>4994</v>
      </c>
      <c r="F11771" s="905" t="s">
        <v>2673</v>
      </c>
      <c r="G11771" s="1005"/>
      <c r="H11771" s="911">
        <v>3.2000000000000001E-2</v>
      </c>
      <c r="I11771" s="912"/>
      <c r="J11771" s="912"/>
      <c r="K11771" s="912"/>
      <c r="L11771" s="912"/>
      <c r="M11771" s="912">
        <f>VLOOKUP(B11771,MTC!$B$9:$S$933,12,0)</f>
        <v>1393090</v>
      </c>
      <c r="N11771" s="912">
        <f>M11771*H11771</f>
        <v>44578.879999999997</v>
      </c>
      <c r="O11771" s="892">
        <f t="shared" si="953"/>
        <v>0</v>
      </c>
      <c r="P11771" s="903">
        <f t="shared" si="954"/>
        <v>1</v>
      </c>
      <c r="Q11771" s="893">
        <f t="shared" si="955"/>
        <v>1</v>
      </c>
      <c r="R11771" s="894">
        <f t="shared" si="956"/>
        <v>0</v>
      </c>
    </row>
    <row r="11772" spans="1:18" ht="31.5">
      <c r="A11772" s="905">
        <v>298</v>
      </c>
      <c r="B11772" s="1020" t="s">
        <v>6980</v>
      </c>
      <c r="C11772" s="915"/>
      <c r="D11772" s="915"/>
      <c r="E11772" s="1006" t="s">
        <v>6981</v>
      </c>
      <c r="F11772" s="1007" t="s">
        <v>139</v>
      </c>
      <c r="G11772" s="1008"/>
      <c r="H11772" s="919"/>
      <c r="I11772" s="920"/>
      <c r="J11772" s="962">
        <f>SUM(J11773:J11782)</f>
        <v>21096.186000000002</v>
      </c>
      <c r="K11772" s="891" t="s">
        <v>274</v>
      </c>
      <c r="L11772" s="962">
        <f>SUM(L11773:L11782)</f>
        <v>406541.32999999996</v>
      </c>
      <c r="M11772" s="962"/>
      <c r="N11772" s="962">
        <f>SUM(N11773:N11782)</f>
        <v>147526.80000000002</v>
      </c>
      <c r="O11772" s="892">
        <f t="shared" si="953"/>
        <v>1</v>
      </c>
      <c r="P11772" s="903">
        <f t="shared" si="954"/>
        <v>0</v>
      </c>
      <c r="Q11772" s="893">
        <f t="shared" si="955"/>
        <v>0</v>
      </c>
      <c r="R11772" s="894">
        <f t="shared" si="956"/>
        <v>10</v>
      </c>
    </row>
    <row r="11773" spans="1:18" s="847" customFormat="1">
      <c r="A11773" s="895"/>
      <c r="B11773" s="896"/>
      <c r="C11773" s="897"/>
      <c r="D11773" s="897"/>
      <c r="E11773" s="1002" t="s">
        <v>108</v>
      </c>
      <c r="F11773" s="895"/>
      <c r="G11773" s="1004"/>
      <c r="H11773" s="901"/>
      <c r="I11773" s="902"/>
      <c r="J11773" s="902"/>
      <c r="K11773" s="912" t="s">
        <v>274</v>
      </c>
      <c r="L11773" s="902"/>
      <c r="M11773" s="902"/>
      <c r="N11773" s="902"/>
      <c r="O11773" s="892">
        <f t="shared" si="953"/>
        <v>0</v>
      </c>
      <c r="P11773" s="903">
        <f t="shared" si="954"/>
        <v>1</v>
      </c>
      <c r="Q11773" s="893">
        <f t="shared" si="955"/>
        <v>10</v>
      </c>
      <c r="R11773" s="894">
        <f t="shared" si="956"/>
        <v>0</v>
      </c>
    </row>
    <row r="11774" spans="1:18" s="904" customFormat="1">
      <c r="A11774" s="905"/>
      <c r="B11774" s="952"/>
      <c r="C11774" s="907">
        <v>235</v>
      </c>
      <c r="D11774" s="907" t="s">
        <v>279</v>
      </c>
      <c r="E11774" s="992" t="s">
        <v>2682</v>
      </c>
      <c r="F11774" s="905" t="s">
        <v>45</v>
      </c>
      <c r="G11774" s="1005"/>
      <c r="H11774" s="911">
        <v>0.159</v>
      </c>
      <c r="I11774" s="912">
        <f>VLOOKUP(E11774,[3]VLP!$B$7:$K$300,10,0)</f>
        <v>5000</v>
      </c>
      <c r="J11774" s="912">
        <f>I11774*H11774</f>
        <v>795</v>
      </c>
      <c r="K11774" s="912" t="s">
        <v>274</v>
      </c>
      <c r="L11774" s="912"/>
      <c r="M11774" s="912"/>
      <c r="N11774" s="912"/>
      <c r="O11774" s="892">
        <f t="shared" si="953"/>
        <v>0</v>
      </c>
      <c r="P11774" s="903">
        <f t="shared" si="954"/>
        <v>1</v>
      </c>
      <c r="Q11774" s="893">
        <f t="shared" si="955"/>
        <v>9</v>
      </c>
      <c r="R11774" s="894">
        <f t="shared" si="956"/>
        <v>0</v>
      </c>
    </row>
    <row r="11775" spans="1:18">
      <c r="A11775" s="905"/>
      <c r="B11775" s="952"/>
      <c r="C11775" s="907">
        <v>321</v>
      </c>
      <c r="D11775" s="907" t="s">
        <v>279</v>
      </c>
      <c r="E11775" s="992" t="s">
        <v>6317</v>
      </c>
      <c r="F11775" s="905" t="s">
        <v>45</v>
      </c>
      <c r="G11775" s="1005"/>
      <c r="H11775" s="911">
        <v>2.3E-2</v>
      </c>
      <c r="I11775" s="912">
        <f>VLOOKUP(E11775,[3]VLP!$B$7:$K$300,10,0)</f>
        <v>38182</v>
      </c>
      <c r="J11775" s="912">
        <f>I11775*H11775</f>
        <v>878.18600000000004</v>
      </c>
      <c r="K11775" s="912" t="s">
        <v>274</v>
      </c>
      <c r="L11775" s="912"/>
      <c r="M11775" s="912"/>
      <c r="N11775" s="912"/>
      <c r="O11775" s="892">
        <f t="shared" si="953"/>
        <v>0</v>
      </c>
      <c r="P11775" s="903">
        <f t="shared" si="954"/>
        <v>1</v>
      </c>
      <c r="Q11775" s="893">
        <f t="shared" si="955"/>
        <v>8</v>
      </c>
      <c r="R11775" s="894">
        <f t="shared" si="956"/>
        <v>0</v>
      </c>
    </row>
    <row r="11776" spans="1:18">
      <c r="A11776" s="905"/>
      <c r="B11776" s="952"/>
      <c r="C11776" s="907">
        <v>315</v>
      </c>
      <c r="D11776" s="907" t="s">
        <v>279</v>
      </c>
      <c r="E11776" s="992" t="s">
        <v>6316</v>
      </c>
      <c r="F11776" s="905" t="s">
        <v>49</v>
      </c>
      <c r="G11776" s="1005"/>
      <c r="H11776" s="911">
        <v>0.13600000000000001</v>
      </c>
      <c r="I11776" s="912">
        <f>VLOOKUP(E11776,[3]VLP!$B$7:$K$300,10,0)</f>
        <v>8000</v>
      </c>
      <c r="J11776" s="912">
        <f>I11776*H11776</f>
        <v>1088</v>
      </c>
      <c r="K11776" s="912" t="s">
        <v>274</v>
      </c>
      <c r="L11776" s="912"/>
      <c r="M11776" s="912"/>
      <c r="N11776" s="912"/>
      <c r="O11776" s="892">
        <f t="shared" si="953"/>
        <v>0</v>
      </c>
      <c r="P11776" s="903">
        <f t="shared" si="954"/>
        <v>1</v>
      </c>
      <c r="Q11776" s="893">
        <f t="shared" si="955"/>
        <v>7</v>
      </c>
      <c r="R11776" s="894">
        <f t="shared" si="956"/>
        <v>0</v>
      </c>
    </row>
    <row r="11777" spans="1:18">
      <c r="A11777" s="905"/>
      <c r="B11777" s="952"/>
      <c r="C11777" s="907">
        <v>212</v>
      </c>
      <c r="D11777" s="907" t="s">
        <v>279</v>
      </c>
      <c r="E11777" s="992" t="s">
        <v>2681</v>
      </c>
      <c r="F11777" s="905" t="s">
        <v>45</v>
      </c>
      <c r="G11777" s="1005"/>
      <c r="H11777" s="911">
        <v>0.14499999999999999</v>
      </c>
      <c r="I11777" s="912">
        <f>VLOOKUP(E11777,[3]VLP!$B$7:$K$300,10,0)</f>
        <v>23000</v>
      </c>
      <c r="J11777" s="912">
        <f>I11777*H11777</f>
        <v>3334.9999999999995</v>
      </c>
      <c r="K11777" s="912" t="s">
        <v>274</v>
      </c>
      <c r="L11777" s="912"/>
      <c r="M11777" s="912"/>
      <c r="N11777" s="912"/>
      <c r="O11777" s="892">
        <f t="shared" si="953"/>
        <v>0</v>
      </c>
      <c r="P11777" s="903">
        <f t="shared" si="954"/>
        <v>1</v>
      </c>
      <c r="Q11777" s="893">
        <f t="shared" si="955"/>
        <v>6</v>
      </c>
      <c r="R11777" s="894">
        <f t="shared" si="956"/>
        <v>0</v>
      </c>
    </row>
    <row r="11778" spans="1:18">
      <c r="A11778" s="905"/>
      <c r="B11778" s="952"/>
      <c r="C11778" s="907">
        <v>699</v>
      </c>
      <c r="D11778" s="907" t="s">
        <v>279</v>
      </c>
      <c r="E11778" s="992" t="s">
        <v>4006</v>
      </c>
      <c r="F11778" s="905" t="s">
        <v>4007</v>
      </c>
      <c r="G11778" s="1005"/>
      <c r="H11778" s="911">
        <v>3</v>
      </c>
      <c r="I11778" s="912">
        <f>VLOOKUP(E11778,[3]VLP!$B$7:$K$300,10,0)</f>
        <v>5000</v>
      </c>
      <c r="J11778" s="912">
        <f>I11778*H11778</f>
        <v>15000</v>
      </c>
      <c r="K11778" s="912" t="s">
        <v>274</v>
      </c>
      <c r="L11778" s="912"/>
      <c r="M11778" s="912"/>
      <c r="N11778" s="912"/>
      <c r="O11778" s="892">
        <f t="shared" si="953"/>
        <v>0</v>
      </c>
      <c r="P11778" s="903">
        <f t="shared" si="954"/>
        <v>1</v>
      </c>
      <c r="Q11778" s="893">
        <f t="shared" si="955"/>
        <v>5</v>
      </c>
      <c r="R11778" s="894">
        <f t="shared" si="956"/>
        <v>0</v>
      </c>
    </row>
    <row r="11779" spans="1:18" s="904" customFormat="1">
      <c r="A11779" s="895"/>
      <c r="B11779" s="896"/>
      <c r="C11779" s="897"/>
      <c r="D11779" s="897"/>
      <c r="E11779" s="1002" t="s">
        <v>276</v>
      </c>
      <c r="F11779" s="895"/>
      <c r="G11779" s="1004"/>
      <c r="H11779" s="901"/>
      <c r="I11779" s="902"/>
      <c r="J11779" s="902"/>
      <c r="K11779" s="912" t="s">
        <v>274</v>
      </c>
      <c r="L11779" s="902"/>
      <c r="M11779" s="902"/>
      <c r="N11779" s="902"/>
      <c r="O11779" s="892">
        <f t="shared" si="953"/>
        <v>0</v>
      </c>
      <c r="P11779" s="903">
        <f t="shared" si="954"/>
        <v>1</v>
      </c>
      <c r="Q11779" s="893">
        <f t="shared" si="955"/>
        <v>4</v>
      </c>
      <c r="R11779" s="894">
        <f t="shared" si="956"/>
        <v>0</v>
      </c>
    </row>
    <row r="11780" spans="1:18">
      <c r="A11780" s="905"/>
      <c r="B11780" s="952"/>
      <c r="C11780" s="907">
        <v>745</v>
      </c>
      <c r="D11780" s="907" t="s">
        <v>12</v>
      </c>
      <c r="E11780" s="992" t="s">
        <v>5518</v>
      </c>
      <c r="F11780" s="905" t="s">
        <v>2674</v>
      </c>
      <c r="G11780" s="1005"/>
      <c r="H11780" s="911">
        <v>1.69</v>
      </c>
      <c r="I11780" s="912"/>
      <c r="J11780" s="912"/>
      <c r="K11780" s="912">
        <f>VLOOKUP(E11780,[5]ĐMNC!$A$7:$F$67,4,0)</f>
        <v>240557</v>
      </c>
      <c r="L11780" s="912">
        <f>H11780*K11780</f>
        <v>406541.32999999996</v>
      </c>
      <c r="M11780" s="912"/>
      <c r="N11780" s="912"/>
      <c r="O11780" s="892">
        <f t="shared" si="953"/>
        <v>0</v>
      </c>
      <c r="P11780" s="903">
        <f t="shared" si="954"/>
        <v>1</v>
      </c>
      <c r="Q11780" s="893">
        <f t="shared" si="955"/>
        <v>3</v>
      </c>
      <c r="R11780" s="894">
        <f t="shared" si="956"/>
        <v>0</v>
      </c>
    </row>
    <row r="11781" spans="1:18" s="847" customFormat="1">
      <c r="A11781" s="895"/>
      <c r="B11781" s="896"/>
      <c r="C11781" s="897"/>
      <c r="D11781" s="897"/>
      <c r="E11781" s="1002" t="s">
        <v>3914</v>
      </c>
      <c r="F11781" s="895"/>
      <c r="G11781" s="1004"/>
      <c r="H11781" s="901"/>
      <c r="I11781" s="902"/>
      <c r="J11781" s="902"/>
      <c r="K11781" s="912" t="s">
        <v>274</v>
      </c>
      <c r="L11781" s="902"/>
      <c r="M11781" s="902"/>
      <c r="N11781" s="902"/>
      <c r="O11781" s="892">
        <f t="shared" si="953"/>
        <v>0</v>
      </c>
      <c r="P11781" s="903">
        <f t="shared" si="954"/>
        <v>1</v>
      </c>
      <c r="Q11781" s="893">
        <f t="shared" si="955"/>
        <v>2</v>
      </c>
      <c r="R11781" s="894">
        <f t="shared" si="956"/>
        <v>0</v>
      </c>
    </row>
    <row r="11782" spans="1:18" s="904" customFormat="1">
      <c r="A11782" s="905"/>
      <c r="B11782" s="946" t="s">
        <v>6321</v>
      </c>
      <c r="C11782" s="907">
        <v>900</v>
      </c>
      <c r="D11782" s="907" t="s">
        <v>93</v>
      </c>
      <c r="E11782" s="992" t="s">
        <v>6322</v>
      </c>
      <c r="F11782" s="905" t="s">
        <v>2673</v>
      </c>
      <c r="G11782" s="1005"/>
      <c r="H11782" s="911">
        <v>0.1</v>
      </c>
      <c r="I11782" s="912"/>
      <c r="J11782" s="912"/>
      <c r="K11782" s="912"/>
      <c r="L11782" s="912"/>
      <c r="M11782" s="912">
        <f>VLOOKUP(B11782,MTC!$B$9:$S$933,12,0)</f>
        <v>1475268</v>
      </c>
      <c r="N11782" s="912">
        <f>M11782*H11782</f>
        <v>147526.80000000002</v>
      </c>
      <c r="O11782" s="892">
        <f t="shared" si="953"/>
        <v>0</v>
      </c>
      <c r="P11782" s="903">
        <f t="shared" si="954"/>
        <v>1</v>
      </c>
      <c r="Q11782" s="893">
        <f t="shared" si="955"/>
        <v>1</v>
      </c>
      <c r="R11782" s="894">
        <f t="shared" si="956"/>
        <v>0</v>
      </c>
    </row>
    <row r="11783" spans="1:18" s="847" customFormat="1" ht="31.5">
      <c r="A11783" s="905">
        <v>296</v>
      </c>
      <c r="B11783" s="1020" t="s">
        <v>6982</v>
      </c>
      <c r="C11783" s="915"/>
      <c r="D11783" s="915"/>
      <c r="E11783" s="1006" t="s">
        <v>6983</v>
      </c>
      <c r="F11783" s="1007" t="s">
        <v>139</v>
      </c>
      <c r="G11783" s="1008"/>
      <c r="H11783" s="919"/>
      <c r="I11783" s="920"/>
      <c r="J11783" s="891">
        <f>SUM(J11784:J11794)</f>
        <v>22582.095999999998</v>
      </c>
      <c r="K11783" s="891" t="s">
        <v>274</v>
      </c>
      <c r="L11783" s="891">
        <f>SUM(L11784:L11794)</f>
        <v>574931.23</v>
      </c>
      <c r="M11783" s="891"/>
      <c r="N11783" s="891">
        <f>SUM(N11784:N11794)</f>
        <v>192105.68000000002</v>
      </c>
      <c r="O11783" s="892">
        <f t="shared" si="953"/>
        <v>1</v>
      </c>
      <c r="P11783" s="903">
        <f t="shared" si="954"/>
        <v>0</v>
      </c>
      <c r="Q11783" s="893">
        <f t="shared" si="955"/>
        <v>0</v>
      </c>
      <c r="R11783" s="894">
        <f t="shared" si="956"/>
        <v>11</v>
      </c>
    </row>
    <row r="11784" spans="1:18" s="904" customFormat="1">
      <c r="A11784" s="895"/>
      <c r="B11784" s="896"/>
      <c r="C11784" s="897"/>
      <c r="D11784" s="897"/>
      <c r="E11784" s="1002" t="s">
        <v>108</v>
      </c>
      <c r="F11784" s="895"/>
      <c r="G11784" s="1004"/>
      <c r="H11784" s="901"/>
      <c r="I11784" s="902"/>
      <c r="J11784" s="902"/>
      <c r="K11784" s="912" t="s">
        <v>274</v>
      </c>
      <c r="L11784" s="902"/>
      <c r="M11784" s="902"/>
      <c r="N11784" s="902"/>
      <c r="O11784" s="892">
        <f t="shared" si="953"/>
        <v>0</v>
      </c>
      <c r="P11784" s="903">
        <f t="shared" si="954"/>
        <v>1</v>
      </c>
      <c r="Q11784" s="893">
        <f t="shared" si="955"/>
        <v>11</v>
      </c>
      <c r="R11784" s="894">
        <f t="shared" si="956"/>
        <v>0</v>
      </c>
    </row>
    <row r="11785" spans="1:18">
      <c r="A11785" s="905"/>
      <c r="B11785" s="952"/>
      <c r="C11785" s="907">
        <v>235</v>
      </c>
      <c r="D11785" s="907" t="s">
        <v>279</v>
      </c>
      <c r="E11785" s="992" t="s">
        <v>2682</v>
      </c>
      <c r="F11785" s="905" t="s">
        <v>45</v>
      </c>
      <c r="G11785" s="1005"/>
      <c r="H11785" s="911">
        <v>0.19800000000000001</v>
      </c>
      <c r="I11785" s="912">
        <f>VLOOKUP(E11785,[3]VLP!$B$7:$K$300,10,0)</f>
        <v>5000</v>
      </c>
      <c r="J11785" s="912">
        <f>I11785*H11785</f>
        <v>990</v>
      </c>
      <c r="K11785" s="912" t="s">
        <v>274</v>
      </c>
      <c r="L11785" s="912"/>
      <c r="M11785" s="912"/>
      <c r="N11785" s="912"/>
      <c r="O11785" s="892">
        <f t="shared" si="953"/>
        <v>0</v>
      </c>
      <c r="P11785" s="903">
        <f t="shared" si="954"/>
        <v>1</v>
      </c>
      <c r="Q11785" s="893">
        <f t="shared" si="955"/>
        <v>10</v>
      </c>
      <c r="R11785" s="894">
        <f t="shared" si="956"/>
        <v>0</v>
      </c>
    </row>
    <row r="11786" spans="1:18">
      <c r="A11786" s="905"/>
      <c r="B11786" s="952"/>
      <c r="C11786" s="907">
        <v>321</v>
      </c>
      <c r="D11786" s="907" t="s">
        <v>279</v>
      </c>
      <c r="E11786" s="992" t="s">
        <v>6317</v>
      </c>
      <c r="F11786" s="905" t="s">
        <v>45</v>
      </c>
      <c r="G11786" s="1005"/>
      <c r="H11786" s="911">
        <v>2.8000000000000001E-2</v>
      </c>
      <c r="I11786" s="912">
        <f>VLOOKUP(E11786,[3]VLP!$B$7:$K$300,10,0)</f>
        <v>38182</v>
      </c>
      <c r="J11786" s="912">
        <f>I11786*H11786</f>
        <v>1069.096</v>
      </c>
      <c r="K11786" s="912" t="s">
        <v>274</v>
      </c>
      <c r="L11786" s="912"/>
      <c r="M11786" s="912"/>
      <c r="N11786" s="912"/>
      <c r="O11786" s="892">
        <f t="shared" si="953"/>
        <v>0</v>
      </c>
      <c r="P11786" s="903">
        <f t="shared" si="954"/>
        <v>1</v>
      </c>
      <c r="Q11786" s="893">
        <f t="shared" si="955"/>
        <v>9</v>
      </c>
      <c r="R11786" s="894">
        <f t="shared" si="956"/>
        <v>0</v>
      </c>
    </row>
    <row r="11787" spans="1:18">
      <c r="A11787" s="905"/>
      <c r="B11787" s="952"/>
      <c r="C11787" s="907">
        <v>315</v>
      </c>
      <c r="D11787" s="907" t="s">
        <v>279</v>
      </c>
      <c r="E11787" s="992" t="s">
        <v>6316</v>
      </c>
      <c r="F11787" s="905" t="s">
        <v>49</v>
      </c>
      <c r="G11787" s="1005"/>
      <c r="H11787" s="911">
        <v>0.17</v>
      </c>
      <c r="I11787" s="912">
        <f>VLOOKUP(E11787,[3]VLP!$B$7:$K$300,10,0)</f>
        <v>8000</v>
      </c>
      <c r="J11787" s="912">
        <f>I11787*H11787</f>
        <v>1360</v>
      </c>
      <c r="K11787" s="912" t="s">
        <v>274</v>
      </c>
      <c r="L11787" s="912"/>
      <c r="M11787" s="912"/>
      <c r="N11787" s="912"/>
      <c r="O11787" s="892">
        <f t="shared" si="953"/>
        <v>0</v>
      </c>
      <c r="P11787" s="903">
        <f t="shared" si="954"/>
        <v>1</v>
      </c>
      <c r="Q11787" s="893">
        <f t="shared" si="955"/>
        <v>8</v>
      </c>
      <c r="R11787" s="894">
        <f t="shared" si="956"/>
        <v>0</v>
      </c>
    </row>
    <row r="11788" spans="1:18">
      <c r="A11788" s="905"/>
      <c r="B11788" s="952"/>
      <c r="C11788" s="907">
        <v>212</v>
      </c>
      <c r="D11788" s="907" t="s">
        <v>279</v>
      </c>
      <c r="E11788" s="992" t="s">
        <v>2681</v>
      </c>
      <c r="F11788" s="905" t="s">
        <v>45</v>
      </c>
      <c r="G11788" s="1005"/>
      <c r="H11788" s="911">
        <v>0.18099999999999999</v>
      </c>
      <c r="I11788" s="912">
        <f>VLOOKUP(E11788,[3]VLP!$B$7:$K$300,10,0)</f>
        <v>23000</v>
      </c>
      <c r="J11788" s="912">
        <f>I11788*H11788</f>
        <v>4163</v>
      </c>
      <c r="K11788" s="912" t="s">
        <v>274</v>
      </c>
      <c r="L11788" s="912"/>
      <c r="M11788" s="912"/>
      <c r="N11788" s="912"/>
      <c r="O11788" s="892">
        <f t="shared" si="953"/>
        <v>0</v>
      </c>
      <c r="P11788" s="903">
        <f t="shared" si="954"/>
        <v>1</v>
      </c>
      <c r="Q11788" s="893">
        <f t="shared" si="955"/>
        <v>7</v>
      </c>
      <c r="R11788" s="894">
        <f t="shared" si="956"/>
        <v>0</v>
      </c>
    </row>
    <row r="11789" spans="1:18" s="904" customFormat="1">
      <c r="A11789" s="905"/>
      <c r="B11789" s="952"/>
      <c r="C11789" s="907">
        <v>699</v>
      </c>
      <c r="D11789" s="907" t="s">
        <v>279</v>
      </c>
      <c r="E11789" s="992" t="s">
        <v>4006</v>
      </c>
      <c r="F11789" s="905" t="s">
        <v>4007</v>
      </c>
      <c r="G11789" s="1005"/>
      <c r="H11789" s="911">
        <v>3</v>
      </c>
      <c r="I11789" s="912">
        <f>VLOOKUP(E11789,[3]VLP!$B$7:$K$300,10,0)</f>
        <v>5000</v>
      </c>
      <c r="J11789" s="912">
        <f>I11789*H11789</f>
        <v>15000</v>
      </c>
      <c r="K11789" s="912" t="s">
        <v>274</v>
      </c>
      <c r="L11789" s="912"/>
      <c r="M11789" s="912"/>
      <c r="N11789" s="912"/>
      <c r="O11789" s="892">
        <f t="shared" si="953"/>
        <v>0</v>
      </c>
      <c r="P11789" s="903">
        <f t="shared" si="954"/>
        <v>1</v>
      </c>
      <c r="Q11789" s="893">
        <f t="shared" si="955"/>
        <v>6</v>
      </c>
      <c r="R11789" s="894">
        <f t="shared" si="956"/>
        <v>0</v>
      </c>
    </row>
    <row r="11790" spans="1:18">
      <c r="A11790" s="895"/>
      <c r="B11790" s="896"/>
      <c r="C11790" s="897"/>
      <c r="D11790" s="897"/>
      <c r="E11790" s="1002" t="s">
        <v>276</v>
      </c>
      <c r="F11790" s="895"/>
      <c r="G11790" s="1004"/>
      <c r="H11790" s="901"/>
      <c r="I11790" s="902"/>
      <c r="J11790" s="902"/>
      <c r="K11790" s="912" t="s">
        <v>274</v>
      </c>
      <c r="L11790" s="902"/>
      <c r="M11790" s="902"/>
      <c r="N11790" s="902"/>
      <c r="O11790" s="892">
        <f t="shared" si="953"/>
        <v>0</v>
      </c>
      <c r="P11790" s="903">
        <f t="shared" si="954"/>
        <v>1</v>
      </c>
      <c r="Q11790" s="893">
        <f t="shared" si="955"/>
        <v>5</v>
      </c>
      <c r="R11790" s="894">
        <f t="shared" si="956"/>
        <v>0</v>
      </c>
    </row>
    <row r="11791" spans="1:18" s="847" customFormat="1">
      <c r="A11791" s="905"/>
      <c r="B11791" s="952"/>
      <c r="C11791" s="907">
        <v>745</v>
      </c>
      <c r="D11791" s="907" t="s">
        <v>12</v>
      </c>
      <c r="E11791" s="992" t="s">
        <v>5518</v>
      </c>
      <c r="F11791" s="905" t="s">
        <v>2674</v>
      </c>
      <c r="G11791" s="1005"/>
      <c r="H11791" s="911">
        <v>2.39</v>
      </c>
      <c r="I11791" s="912"/>
      <c r="J11791" s="912"/>
      <c r="K11791" s="912">
        <f>VLOOKUP(E11791,[5]ĐMNC!$A$7:$F$67,4,0)</f>
        <v>240557</v>
      </c>
      <c r="L11791" s="912">
        <f>H11791*K11791</f>
        <v>574931.23</v>
      </c>
      <c r="M11791" s="912"/>
      <c r="N11791" s="912"/>
      <c r="O11791" s="892">
        <f t="shared" si="953"/>
        <v>0</v>
      </c>
      <c r="P11791" s="903">
        <f t="shared" si="954"/>
        <v>1</v>
      </c>
      <c r="Q11791" s="893">
        <f t="shared" si="955"/>
        <v>4</v>
      </c>
      <c r="R11791" s="894">
        <f t="shared" si="956"/>
        <v>0</v>
      </c>
    </row>
    <row r="11792" spans="1:18" s="904" customFormat="1">
      <c r="A11792" s="895"/>
      <c r="B11792" s="896"/>
      <c r="C11792" s="897"/>
      <c r="D11792" s="897"/>
      <c r="E11792" s="1002" t="s">
        <v>3914</v>
      </c>
      <c r="F11792" s="895"/>
      <c r="G11792" s="1004"/>
      <c r="H11792" s="901"/>
      <c r="I11792" s="902"/>
      <c r="J11792" s="902"/>
      <c r="K11792" s="912" t="s">
        <v>274</v>
      </c>
      <c r="L11792" s="902"/>
      <c r="M11792" s="902"/>
      <c r="N11792" s="902"/>
      <c r="O11792" s="892">
        <f t="shared" si="953"/>
        <v>0</v>
      </c>
      <c r="P11792" s="903">
        <f t="shared" si="954"/>
        <v>1</v>
      </c>
      <c r="Q11792" s="893">
        <f t="shared" si="955"/>
        <v>3</v>
      </c>
      <c r="R11792" s="894">
        <f t="shared" si="956"/>
        <v>0</v>
      </c>
    </row>
    <row r="11793" spans="1:18">
      <c r="A11793" s="905"/>
      <c r="B11793" s="946" t="s">
        <v>6321</v>
      </c>
      <c r="C11793" s="907">
        <v>900</v>
      </c>
      <c r="D11793" s="907" t="s">
        <v>93</v>
      </c>
      <c r="E11793" s="992" t="s">
        <v>6322</v>
      </c>
      <c r="F11793" s="905" t="s">
        <v>2673</v>
      </c>
      <c r="G11793" s="1005"/>
      <c r="H11793" s="911">
        <v>0.1</v>
      </c>
      <c r="I11793" s="912"/>
      <c r="J11793" s="912"/>
      <c r="K11793" s="912"/>
      <c r="L11793" s="912"/>
      <c r="M11793" s="912">
        <f>VLOOKUP(B11793,MTC!$B$9:$S$933,12,0)</f>
        <v>1475268</v>
      </c>
      <c r="N11793" s="912">
        <f>M11793*H11793</f>
        <v>147526.80000000002</v>
      </c>
      <c r="O11793" s="892">
        <f t="shared" si="953"/>
        <v>0</v>
      </c>
      <c r="P11793" s="903">
        <f t="shared" si="954"/>
        <v>1</v>
      </c>
      <c r="Q11793" s="893">
        <f t="shared" si="955"/>
        <v>2</v>
      </c>
      <c r="R11793" s="894">
        <f t="shared" si="956"/>
        <v>0</v>
      </c>
    </row>
    <row r="11794" spans="1:18">
      <c r="A11794" s="905"/>
      <c r="B11794" s="952" t="s">
        <v>4993</v>
      </c>
      <c r="C11794" s="907">
        <v>904</v>
      </c>
      <c r="D11794" s="907" t="s">
        <v>93</v>
      </c>
      <c r="E11794" s="992" t="s">
        <v>4994</v>
      </c>
      <c r="F11794" s="905" t="s">
        <v>2673</v>
      </c>
      <c r="G11794" s="1005"/>
      <c r="H11794" s="911">
        <v>3.2000000000000001E-2</v>
      </c>
      <c r="I11794" s="912"/>
      <c r="J11794" s="912"/>
      <c r="K11794" s="912"/>
      <c r="L11794" s="912"/>
      <c r="M11794" s="912">
        <f>VLOOKUP(B11794,MTC!$B$9:$S$933,12,0)</f>
        <v>1393090</v>
      </c>
      <c r="N11794" s="912">
        <f>M11794*H11794</f>
        <v>44578.879999999997</v>
      </c>
      <c r="O11794" s="892">
        <f t="shared" si="953"/>
        <v>0</v>
      </c>
      <c r="P11794" s="903">
        <f t="shared" si="954"/>
        <v>1</v>
      </c>
      <c r="Q11794" s="893">
        <f t="shared" si="955"/>
        <v>1</v>
      </c>
      <c r="R11794" s="894">
        <f t="shared" si="956"/>
        <v>0</v>
      </c>
    </row>
    <row r="11795" spans="1:18" ht="31.5">
      <c r="A11795" s="905">
        <v>299</v>
      </c>
      <c r="B11795" s="1020" t="s">
        <v>6984</v>
      </c>
      <c r="C11795" s="915"/>
      <c r="D11795" s="915"/>
      <c r="E11795" s="1006" t="s">
        <v>6985</v>
      </c>
      <c r="F11795" s="1007" t="s">
        <v>139</v>
      </c>
      <c r="G11795" s="1008"/>
      <c r="H11795" s="919"/>
      <c r="I11795" s="920"/>
      <c r="J11795" s="962">
        <f>SUM(J11796:J11805)</f>
        <v>21096.186000000002</v>
      </c>
      <c r="K11795" s="891" t="s">
        <v>274</v>
      </c>
      <c r="L11795" s="962">
        <f>SUM(L11796:L11805)</f>
        <v>459463.87</v>
      </c>
      <c r="M11795" s="962"/>
      <c r="N11795" s="962">
        <f>SUM(N11796:N11805)</f>
        <v>147526.80000000002</v>
      </c>
      <c r="O11795" s="892">
        <f t="shared" si="953"/>
        <v>1</v>
      </c>
      <c r="P11795" s="903">
        <f t="shared" si="954"/>
        <v>0</v>
      </c>
      <c r="Q11795" s="893">
        <f t="shared" si="955"/>
        <v>0</v>
      </c>
      <c r="R11795" s="894">
        <f t="shared" si="956"/>
        <v>10</v>
      </c>
    </row>
    <row r="11796" spans="1:18">
      <c r="A11796" s="895"/>
      <c r="B11796" s="896"/>
      <c r="C11796" s="897"/>
      <c r="D11796" s="897"/>
      <c r="E11796" s="1002" t="s">
        <v>108</v>
      </c>
      <c r="F11796" s="895"/>
      <c r="G11796" s="1004"/>
      <c r="H11796" s="901"/>
      <c r="I11796" s="902"/>
      <c r="J11796" s="902"/>
      <c r="K11796" s="912" t="s">
        <v>274</v>
      </c>
      <c r="L11796" s="902"/>
      <c r="M11796" s="902"/>
      <c r="N11796" s="902"/>
      <c r="O11796" s="892">
        <f t="shared" si="953"/>
        <v>0</v>
      </c>
      <c r="P11796" s="903">
        <f t="shared" si="954"/>
        <v>1</v>
      </c>
      <c r="Q11796" s="893">
        <f t="shared" si="955"/>
        <v>10</v>
      </c>
      <c r="R11796" s="894">
        <f t="shared" si="956"/>
        <v>0</v>
      </c>
    </row>
    <row r="11797" spans="1:18">
      <c r="A11797" s="905"/>
      <c r="B11797" s="952"/>
      <c r="C11797" s="907">
        <v>235</v>
      </c>
      <c r="D11797" s="907" t="s">
        <v>279</v>
      </c>
      <c r="E11797" s="992" t="s">
        <v>2682</v>
      </c>
      <c r="F11797" s="905" t="s">
        <v>45</v>
      </c>
      <c r="G11797" s="1005"/>
      <c r="H11797" s="911">
        <v>0.159</v>
      </c>
      <c r="I11797" s="912">
        <f>VLOOKUP(E11797,[3]VLP!$B$7:$K$300,10,0)</f>
        <v>5000</v>
      </c>
      <c r="J11797" s="912">
        <f>I11797*H11797</f>
        <v>795</v>
      </c>
      <c r="K11797" s="912" t="s">
        <v>274</v>
      </c>
      <c r="L11797" s="912"/>
      <c r="M11797" s="912"/>
      <c r="N11797" s="912"/>
      <c r="O11797" s="892">
        <f t="shared" si="953"/>
        <v>0</v>
      </c>
      <c r="P11797" s="903">
        <f t="shared" si="954"/>
        <v>1</v>
      </c>
      <c r="Q11797" s="893">
        <f t="shared" si="955"/>
        <v>9</v>
      </c>
      <c r="R11797" s="894">
        <f t="shared" si="956"/>
        <v>0</v>
      </c>
    </row>
    <row r="11798" spans="1:18">
      <c r="A11798" s="905"/>
      <c r="B11798" s="952"/>
      <c r="C11798" s="907">
        <v>321</v>
      </c>
      <c r="D11798" s="907" t="s">
        <v>279</v>
      </c>
      <c r="E11798" s="992" t="s">
        <v>6317</v>
      </c>
      <c r="F11798" s="905" t="s">
        <v>45</v>
      </c>
      <c r="G11798" s="1005"/>
      <c r="H11798" s="911">
        <v>2.3E-2</v>
      </c>
      <c r="I11798" s="912">
        <f>VLOOKUP(E11798,[3]VLP!$B$7:$K$300,10,0)</f>
        <v>38182</v>
      </c>
      <c r="J11798" s="912">
        <f>I11798*H11798</f>
        <v>878.18600000000004</v>
      </c>
      <c r="K11798" s="912" t="s">
        <v>274</v>
      </c>
      <c r="L11798" s="912"/>
      <c r="M11798" s="912"/>
      <c r="N11798" s="912"/>
      <c r="O11798" s="892">
        <f t="shared" si="953"/>
        <v>0</v>
      </c>
      <c r="P11798" s="903">
        <f t="shared" si="954"/>
        <v>1</v>
      </c>
      <c r="Q11798" s="893">
        <f t="shared" si="955"/>
        <v>8</v>
      </c>
      <c r="R11798" s="894">
        <f t="shared" si="956"/>
        <v>0</v>
      </c>
    </row>
    <row r="11799" spans="1:18" s="904" customFormat="1">
      <c r="A11799" s="905"/>
      <c r="B11799" s="952"/>
      <c r="C11799" s="907">
        <v>315</v>
      </c>
      <c r="D11799" s="907" t="s">
        <v>279</v>
      </c>
      <c r="E11799" s="992" t="s">
        <v>6316</v>
      </c>
      <c r="F11799" s="905" t="s">
        <v>49</v>
      </c>
      <c r="G11799" s="1005"/>
      <c r="H11799" s="911">
        <v>0.13600000000000001</v>
      </c>
      <c r="I11799" s="912">
        <f>VLOOKUP(E11799,[3]VLP!$B$7:$K$300,10,0)</f>
        <v>8000</v>
      </c>
      <c r="J11799" s="912">
        <f>I11799*H11799</f>
        <v>1088</v>
      </c>
      <c r="K11799" s="912" t="s">
        <v>274</v>
      </c>
      <c r="L11799" s="912"/>
      <c r="M11799" s="912"/>
      <c r="N11799" s="912"/>
      <c r="O11799" s="892">
        <f t="shared" si="953"/>
        <v>0</v>
      </c>
      <c r="P11799" s="903">
        <f t="shared" si="954"/>
        <v>1</v>
      </c>
      <c r="Q11799" s="893">
        <f t="shared" si="955"/>
        <v>7</v>
      </c>
      <c r="R11799" s="894">
        <f t="shared" si="956"/>
        <v>0</v>
      </c>
    </row>
    <row r="11800" spans="1:18">
      <c r="A11800" s="905"/>
      <c r="B11800" s="952"/>
      <c r="C11800" s="907">
        <v>212</v>
      </c>
      <c r="D11800" s="907" t="s">
        <v>279</v>
      </c>
      <c r="E11800" s="992" t="s">
        <v>2681</v>
      </c>
      <c r="F11800" s="905" t="s">
        <v>45</v>
      </c>
      <c r="G11800" s="1005"/>
      <c r="H11800" s="911">
        <v>0.14499999999999999</v>
      </c>
      <c r="I11800" s="912">
        <f>VLOOKUP(E11800,[3]VLP!$B$7:$K$300,10,0)</f>
        <v>23000</v>
      </c>
      <c r="J11800" s="912">
        <f>I11800*H11800</f>
        <v>3334.9999999999995</v>
      </c>
      <c r="K11800" s="912" t="s">
        <v>274</v>
      </c>
      <c r="L11800" s="912"/>
      <c r="M11800" s="912"/>
      <c r="N11800" s="912"/>
      <c r="O11800" s="892">
        <f t="shared" si="953"/>
        <v>0</v>
      </c>
      <c r="P11800" s="903">
        <f t="shared" si="954"/>
        <v>1</v>
      </c>
      <c r="Q11800" s="893">
        <f t="shared" si="955"/>
        <v>6</v>
      </c>
      <c r="R11800" s="894">
        <f t="shared" si="956"/>
        <v>0</v>
      </c>
    </row>
    <row r="11801" spans="1:18" s="847" customFormat="1">
      <c r="A11801" s="905"/>
      <c r="B11801" s="952"/>
      <c r="C11801" s="907">
        <v>699</v>
      </c>
      <c r="D11801" s="907" t="s">
        <v>279</v>
      </c>
      <c r="E11801" s="992" t="s">
        <v>4006</v>
      </c>
      <c r="F11801" s="905" t="s">
        <v>4007</v>
      </c>
      <c r="G11801" s="1005"/>
      <c r="H11801" s="911">
        <v>3</v>
      </c>
      <c r="I11801" s="912">
        <f>VLOOKUP(E11801,[3]VLP!$B$7:$K$300,10,0)</f>
        <v>5000</v>
      </c>
      <c r="J11801" s="912">
        <f>I11801*H11801</f>
        <v>15000</v>
      </c>
      <c r="K11801" s="912" t="s">
        <v>274</v>
      </c>
      <c r="L11801" s="912"/>
      <c r="M11801" s="912"/>
      <c r="N11801" s="912"/>
      <c r="O11801" s="892">
        <f t="shared" si="953"/>
        <v>0</v>
      </c>
      <c r="P11801" s="903">
        <f t="shared" si="954"/>
        <v>1</v>
      </c>
      <c r="Q11801" s="893">
        <f t="shared" si="955"/>
        <v>5</v>
      </c>
      <c r="R11801" s="894">
        <f t="shared" si="956"/>
        <v>0</v>
      </c>
    </row>
    <row r="11802" spans="1:18" s="904" customFormat="1">
      <c r="A11802" s="895"/>
      <c r="B11802" s="896"/>
      <c r="C11802" s="897"/>
      <c r="D11802" s="897"/>
      <c r="E11802" s="1002" t="s">
        <v>276</v>
      </c>
      <c r="F11802" s="895"/>
      <c r="G11802" s="1004"/>
      <c r="H11802" s="901"/>
      <c r="I11802" s="902"/>
      <c r="J11802" s="902"/>
      <c r="K11802" s="912" t="s">
        <v>274</v>
      </c>
      <c r="L11802" s="902"/>
      <c r="M11802" s="902"/>
      <c r="N11802" s="902"/>
      <c r="O11802" s="892">
        <f t="shared" si="953"/>
        <v>0</v>
      </c>
      <c r="P11802" s="903">
        <f t="shared" si="954"/>
        <v>1</v>
      </c>
      <c r="Q11802" s="893">
        <f t="shared" si="955"/>
        <v>4</v>
      </c>
      <c r="R11802" s="894">
        <f t="shared" si="956"/>
        <v>0</v>
      </c>
    </row>
    <row r="11803" spans="1:18">
      <c r="A11803" s="905"/>
      <c r="B11803" s="952"/>
      <c r="C11803" s="907">
        <v>745</v>
      </c>
      <c r="D11803" s="907" t="s">
        <v>12</v>
      </c>
      <c r="E11803" s="992" t="s">
        <v>5518</v>
      </c>
      <c r="F11803" s="905" t="s">
        <v>2674</v>
      </c>
      <c r="G11803" s="1005"/>
      <c r="H11803" s="911">
        <v>1.91</v>
      </c>
      <c r="I11803" s="912"/>
      <c r="J11803" s="912"/>
      <c r="K11803" s="912">
        <f>VLOOKUP(E11803,[5]ĐMNC!$A$7:$F$67,4,0)</f>
        <v>240557</v>
      </c>
      <c r="L11803" s="912">
        <f>H11803*K11803</f>
        <v>459463.87</v>
      </c>
      <c r="M11803" s="912"/>
      <c r="N11803" s="912"/>
      <c r="O11803" s="892">
        <f t="shared" si="953"/>
        <v>0</v>
      </c>
      <c r="P11803" s="903">
        <f t="shared" si="954"/>
        <v>1</v>
      </c>
      <c r="Q11803" s="893">
        <f t="shared" si="955"/>
        <v>3</v>
      </c>
      <c r="R11803" s="894">
        <f t="shared" si="956"/>
        <v>0</v>
      </c>
    </row>
    <row r="11804" spans="1:18">
      <c r="A11804" s="895"/>
      <c r="B11804" s="896"/>
      <c r="C11804" s="897"/>
      <c r="D11804" s="897"/>
      <c r="E11804" s="1002" t="s">
        <v>3914</v>
      </c>
      <c r="F11804" s="895"/>
      <c r="G11804" s="1004"/>
      <c r="H11804" s="901"/>
      <c r="I11804" s="902"/>
      <c r="J11804" s="902"/>
      <c r="K11804" s="912" t="s">
        <v>274</v>
      </c>
      <c r="L11804" s="902"/>
      <c r="M11804" s="902"/>
      <c r="N11804" s="902"/>
      <c r="O11804" s="892">
        <f t="shared" si="953"/>
        <v>0</v>
      </c>
      <c r="P11804" s="903">
        <f t="shared" si="954"/>
        <v>1</v>
      </c>
      <c r="Q11804" s="893">
        <f t="shared" si="955"/>
        <v>2</v>
      </c>
      <c r="R11804" s="894">
        <f t="shared" si="956"/>
        <v>0</v>
      </c>
    </row>
    <row r="11805" spans="1:18">
      <c r="A11805" s="905"/>
      <c r="B11805" s="946" t="s">
        <v>6321</v>
      </c>
      <c r="C11805" s="907">
        <v>900</v>
      </c>
      <c r="D11805" s="907" t="s">
        <v>93</v>
      </c>
      <c r="E11805" s="992" t="s">
        <v>6322</v>
      </c>
      <c r="F11805" s="905" t="s">
        <v>2673</v>
      </c>
      <c r="G11805" s="1005"/>
      <c r="H11805" s="911">
        <v>0.1</v>
      </c>
      <c r="I11805" s="912"/>
      <c r="J11805" s="912"/>
      <c r="K11805" s="912"/>
      <c r="L11805" s="912"/>
      <c r="M11805" s="912">
        <f>VLOOKUP(B11805,MTC!$B$9:$S$933,12,0)</f>
        <v>1475268</v>
      </c>
      <c r="N11805" s="912">
        <f>M11805*H11805</f>
        <v>147526.80000000002</v>
      </c>
      <c r="O11805" s="892">
        <f t="shared" si="953"/>
        <v>0</v>
      </c>
      <c r="P11805" s="903">
        <f t="shared" si="954"/>
        <v>1</v>
      </c>
      <c r="Q11805" s="893">
        <f t="shared" si="955"/>
        <v>1</v>
      </c>
      <c r="R11805" s="894">
        <f t="shared" si="956"/>
        <v>0</v>
      </c>
    </row>
    <row r="11806" spans="1:18" s="988" customFormat="1">
      <c r="A11806" s="987" t="s">
        <v>6986</v>
      </c>
      <c r="B11806" s="1018" t="s">
        <v>6987</v>
      </c>
      <c r="C11806" s="1010"/>
      <c r="D11806" s="1010"/>
      <c r="E11806" s="1011" t="s">
        <v>6988</v>
      </c>
      <c r="F11806" s="1021" t="s">
        <v>2271</v>
      </c>
      <c r="G11806" s="1012"/>
      <c r="H11806" s="1013"/>
      <c r="I11806" s="1014"/>
      <c r="J11806" s="891">
        <f>SUM(J11807:J11813)</f>
        <v>30490</v>
      </c>
      <c r="K11806" s="891"/>
      <c r="L11806" s="891">
        <f>SUM(L11807:L11813)</f>
        <v>64997.25</v>
      </c>
      <c r="M11806" s="891"/>
      <c r="N11806" s="891">
        <f>SUM(N11807:N11813)</f>
        <v>0</v>
      </c>
      <c r="O11806" s="892">
        <f t="shared" si="953"/>
        <v>1</v>
      </c>
      <c r="P11806" s="903">
        <f t="shared" si="954"/>
        <v>0</v>
      </c>
      <c r="Q11806" s="893">
        <f t="shared" si="955"/>
        <v>0</v>
      </c>
      <c r="R11806" s="894">
        <f t="shared" si="956"/>
        <v>7</v>
      </c>
    </row>
    <row r="11807" spans="1:18">
      <c r="A11807" s="895"/>
      <c r="B11807" s="1017"/>
      <c r="C11807" s="897"/>
      <c r="D11807" s="897"/>
      <c r="E11807" s="1002" t="s">
        <v>108</v>
      </c>
      <c r="F11807" s="1003"/>
      <c r="G11807" s="1004"/>
      <c r="H11807" s="901"/>
      <c r="I11807" s="902"/>
      <c r="J11807" s="902"/>
      <c r="K11807" s="912" t="s">
        <v>274</v>
      </c>
      <c r="L11807" s="902"/>
      <c r="M11807" s="902"/>
      <c r="N11807" s="902"/>
      <c r="O11807" s="892">
        <f t="shared" ref="O11807:O11870" si="957">IF(AND(B11807&lt;&gt;"",D11807=""),1,0)</f>
        <v>0</v>
      </c>
      <c r="P11807" s="903">
        <f t="shared" si="954"/>
        <v>1</v>
      </c>
      <c r="Q11807" s="893">
        <f t="shared" si="955"/>
        <v>7</v>
      </c>
      <c r="R11807" s="894">
        <f t="shared" si="956"/>
        <v>0</v>
      </c>
    </row>
    <row r="11808" spans="1:18">
      <c r="A11808" s="905"/>
      <c r="B11808" s="952"/>
      <c r="C11808" s="907">
        <v>202</v>
      </c>
      <c r="D11808" s="907" t="s">
        <v>279</v>
      </c>
      <c r="E11808" s="992" t="s">
        <v>2691</v>
      </c>
      <c r="F11808" s="905" t="s">
        <v>6796</v>
      </c>
      <c r="G11808" s="1005"/>
      <c r="H11808" s="911">
        <v>0.35</v>
      </c>
      <c r="I11808" s="912">
        <f>VLOOKUP(E11808,[3]VLP!$B$7:$K$300,10,0)</f>
        <v>6000</v>
      </c>
      <c r="J11808" s="912">
        <f>I11808*H11808</f>
        <v>2100</v>
      </c>
      <c r="K11808" s="912" t="s">
        <v>274</v>
      </c>
      <c r="L11808" s="912"/>
      <c r="M11808" s="912"/>
      <c r="N11808" s="912"/>
      <c r="O11808" s="892">
        <f t="shared" si="957"/>
        <v>0</v>
      </c>
      <c r="P11808" s="903">
        <f t="shared" si="954"/>
        <v>1</v>
      </c>
      <c r="Q11808" s="893">
        <f t="shared" si="955"/>
        <v>6</v>
      </c>
      <c r="R11808" s="894">
        <f t="shared" si="956"/>
        <v>0</v>
      </c>
    </row>
    <row r="11809" spans="1:18" s="904" customFormat="1">
      <c r="A11809" s="905"/>
      <c r="B11809" s="952"/>
      <c r="C11809" s="907">
        <v>212</v>
      </c>
      <c r="D11809" s="907" t="s">
        <v>279</v>
      </c>
      <c r="E11809" s="992" t="s">
        <v>2681</v>
      </c>
      <c r="F11809" s="905" t="s">
        <v>45</v>
      </c>
      <c r="G11809" s="1005"/>
      <c r="H11809" s="911">
        <v>0.13</v>
      </c>
      <c r="I11809" s="912">
        <f>VLOOKUP(E11809,[3]VLP!$B$7:$K$300,10,0)</f>
        <v>23000</v>
      </c>
      <c r="J11809" s="912">
        <f>I11809*H11809</f>
        <v>2990</v>
      </c>
      <c r="K11809" s="912" t="s">
        <v>274</v>
      </c>
      <c r="L11809" s="912"/>
      <c r="M11809" s="912"/>
      <c r="N11809" s="912"/>
      <c r="O11809" s="892">
        <f t="shared" si="957"/>
        <v>0</v>
      </c>
      <c r="P11809" s="903">
        <f t="shared" si="954"/>
        <v>1</v>
      </c>
      <c r="Q11809" s="893">
        <f t="shared" si="955"/>
        <v>5</v>
      </c>
      <c r="R11809" s="894">
        <f t="shared" si="956"/>
        <v>0</v>
      </c>
    </row>
    <row r="11810" spans="1:18">
      <c r="A11810" s="905"/>
      <c r="B11810" s="952"/>
      <c r="C11810" s="907">
        <v>235</v>
      </c>
      <c r="D11810" s="907" t="s">
        <v>279</v>
      </c>
      <c r="E11810" s="992" t="s">
        <v>2682</v>
      </c>
      <c r="F11810" s="905" t="s">
        <v>45</v>
      </c>
      <c r="G11810" s="1005"/>
      <c r="H11810" s="911">
        <v>0.08</v>
      </c>
      <c r="I11810" s="912">
        <f>VLOOKUP(E11810,[3]VLP!$B$7:$K$300,10,0)</f>
        <v>5000</v>
      </c>
      <c r="J11810" s="912">
        <f>I11810*H11810</f>
        <v>400</v>
      </c>
      <c r="K11810" s="912" t="s">
        <v>274</v>
      </c>
      <c r="L11810" s="912"/>
      <c r="M11810" s="912"/>
      <c r="N11810" s="912"/>
      <c r="O11810" s="892">
        <f t="shared" si="957"/>
        <v>0</v>
      </c>
      <c r="P11810" s="903">
        <f t="shared" si="954"/>
        <v>1</v>
      </c>
      <c r="Q11810" s="893">
        <f t="shared" si="955"/>
        <v>4</v>
      </c>
      <c r="R11810" s="894">
        <f t="shared" si="956"/>
        <v>0</v>
      </c>
    </row>
    <row r="11811" spans="1:18" s="847" customFormat="1">
      <c r="A11811" s="905"/>
      <c r="B11811" s="952"/>
      <c r="C11811" s="907">
        <v>699</v>
      </c>
      <c r="D11811" s="907" t="s">
        <v>279</v>
      </c>
      <c r="E11811" s="992" t="s">
        <v>4006</v>
      </c>
      <c r="F11811" s="905" t="s">
        <v>4007</v>
      </c>
      <c r="G11811" s="1005"/>
      <c r="H11811" s="911">
        <v>5</v>
      </c>
      <c r="I11811" s="912">
        <f>VLOOKUP(E11811,[3]VLP!$B$7:$K$300,10,0)</f>
        <v>5000</v>
      </c>
      <c r="J11811" s="912">
        <f>I11811*H11811</f>
        <v>25000</v>
      </c>
      <c r="K11811" s="912" t="s">
        <v>274</v>
      </c>
      <c r="L11811" s="912"/>
      <c r="M11811" s="912"/>
      <c r="N11811" s="912"/>
      <c r="O11811" s="892">
        <f t="shared" si="957"/>
        <v>0</v>
      </c>
      <c r="P11811" s="903">
        <f t="shared" si="954"/>
        <v>1</v>
      </c>
      <c r="Q11811" s="893">
        <f t="shared" si="955"/>
        <v>3</v>
      </c>
      <c r="R11811" s="894">
        <f t="shared" si="956"/>
        <v>0</v>
      </c>
    </row>
    <row r="11812" spans="1:18" s="904" customFormat="1">
      <c r="A11812" s="895"/>
      <c r="B11812" s="1017"/>
      <c r="C11812" s="897"/>
      <c r="D11812" s="897"/>
      <c r="E11812" s="1002" t="s">
        <v>276</v>
      </c>
      <c r="F11812" s="1003"/>
      <c r="G11812" s="1004"/>
      <c r="H11812" s="901"/>
      <c r="I11812" s="902"/>
      <c r="J11812" s="902"/>
      <c r="K11812" s="912" t="s">
        <v>274</v>
      </c>
      <c r="L11812" s="902"/>
      <c r="M11812" s="902"/>
      <c r="N11812" s="902"/>
      <c r="O11812" s="892">
        <f t="shared" si="957"/>
        <v>0</v>
      </c>
      <c r="P11812" s="903">
        <f t="shared" si="954"/>
        <v>1</v>
      </c>
      <c r="Q11812" s="893">
        <f t="shared" si="955"/>
        <v>2</v>
      </c>
      <c r="R11812" s="894">
        <f t="shared" si="956"/>
        <v>0</v>
      </c>
    </row>
    <row r="11813" spans="1:18">
      <c r="A11813" s="905"/>
      <c r="B11813" s="952"/>
      <c r="C11813" s="907">
        <v>750</v>
      </c>
      <c r="D11813" s="907" t="s">
        <v>12</v>
      </c>
      <c r="E11813" s="992" t="s">
        <v>5402</v>
      </c>
      <c r="F11813" s="905" t="s">
        <v>2674</v>
      </c>
      <c r="G11813" s="1005"/>
      <c r="H11813" s="911">
        <v>0.25</v>
      </c>
      <c r="I11813" s="912"/>
      <c r="J11813" s="912"/>
      <c r="K11813" s="912">
        <f>VLOOKUP(E11813,[5]ĐMNC!$A$7:$F$67,4,0)</f>
        <v>259989</v>
      </c>
      <c r="L11813" s="912">
        <f>H11813*K11813</f>
        <v>64997.25</v>
      </c>
      <c r="M11813" s="912"/>
      <c r="N11813" s="912"/>
      <c r="O11813" s="892">
        <f t="shared" si="957"/>
        <v>0</v>
      </c>
      <c r="P11813" s="903">
        <f t="shared" si="954"/>
        <v>1</v>
      </c>
      <c r="Q11813" s="893">
        <f t="shared" si="955"/>
        <v>1</v>
      </c>
      <c r="R11813" s="894">
        <f t="shared" si="956"/>
        <v>0</v>
      </c>
    </row>
    <row r="11814" spans="1:18">
      <c r="A11814" s="905">
        <v>487</v>
      </c>
      <c r="B11814" s="1018" t="s">
        <v>6989</v>
      </c>
      <c r="C11814" s="915"/>
      <c r="D11814" s="915"/>
      <c r="E11814" s="1006" t="s">
        <v>6990</v>
      </c>
      <c r="F11814" s="917" t="s">
        <v>2271</v>
      </c>
      <c r="G11814" s="1008"/>
      <c r="H11814" s="919"/>
      <c r="I11814" s="920"/>
      <c r="J11814" s="891">
        <f>SUM(J11815:J11821)</f>
        <v>31950</v>
      </c>
      <c r="K11814" s="891"/>
      <c r="L11814" s="891">
        <f>SUM(L11815:L11821)</f>
        <v>129994.5</v>
      </c>
      <c r="M11814" s="891"/>
      <c r="N11814" s="891">
        <f>SUM(N11815:N11821)</f>
        <v>0</v>
      </c>
      <c r="O11814" s="892">
        <f t="shared" si="957"/>
        <v>1</v>
      </c>
      <c r="P11814" s="903">
        <f t="shared" si="954"/>
        <v>0</v>
      </c>
      <c r="Q11814" s="893">
        <f t="shared" si="955"/>
        <v>0</v>
      </c>
      <c r="R11814" s="894">
        <f t="shared" si="956"/>
        <v>7</v>
      </c>
    </row>
    <row r="11815" spans="1:18">
      <c r="A11815" s="895"/>
      <c r="B11815" s="1017"/>
      <c r="C11815" s="897"/>
      <c r="D11815" s="897"/>
      <c r="E11815" s="1002" t="s">
        <v>108</v>
      </c>
      <c r="F11815" s="1003"/>
      <c r="G11815" s="1004"/>
      <c r="H11815" s="901"/>
      <c r="I11815" s="902"/>
      <c r="J11815" s="902"/>
      <c r="K11815" s="912" t="s">
        <v>274</v>
      </c>
      <c r="L11815" s="902"/>
      <c r="M11815" s="902"/>
      <c r="N11815" s="902"/>
      <c r="O11815" s="892">
        <f t="shared" si="957"/>
        <v>0</v>
      </c>
      <c r="P11815" s="903">
        <f t="shared" si="954"/>
        <v>1</v>
      </c>
      <c r="Q11815" s="893">
        <f t="shared" si="955"/>
        <v>7</v>
      </c>
      <c r="R11815" s="894">
        <f t="shared" si="956"/>
        <v>0</v>
      </c>
    </row>
    <row r="11816" spans="1:18" s="904" customFormat="1">
      <c r="A11816" s="905"/>
      <c r="B11816" s="952"/>
      <c r="C11816" s="907">
        <v>202</v>
      </c>
      <c r="D11816" s="907" t="s">
        <v>279</v>
      </c>
      <c r="E11816" s="992" t="s">
        <v>2691</v>
      </c>
      <c r="F11816" s="905" t="s">
        <v>6796</v>
      </c>
      <c r="G11816" s="1005"/>
      <c r="H11816" s="911">
        <v>0.5</v>
      </c>
      <c r="I11816" s="912">
        <f>VLOOKUP(E11816,[3]VLP!$B$7:$K$300,10,0)</f>
        <v>6000</v>
      </c>
      <c r="J11816" s="912">
        <f>I11816*H11816</f>
        <v>3000</v>
      </c>
      <c r="K11816" s="912" t="s">
        <v>274</v>
      </c>
      <c r="L11816" s="912"/>
      <c r="M11816" s="912"/>
      <c r="N11816" s="912"/>
      <c r="O11816" s="892">
        <f t="shared" si="957"/>
        <v>0</v>
      </c>
      <c r="P11816" s="903">
        <f t="shared" si="954"/>
        <v>1</v>
      </c>
      <c r="Q11816" s="893">
        <f t="shared" si="955"/>
        <v>6</v>
      </c>
      <c r="R11816" s="894">
        <f t="shared" si="956"/>
        <v>0</v>
      </c>
    </row>
    <row r="11817" spans="1:18">
      <c r="A11817" s="905"/>
      <c r="B11817" s="952"/>
      <c r="C11817" s="907">
        <v>212</v>
      </c>
      <c r="D11817" s="907" t="s">
        <v>279</v>
      </c>
      <c r="E11817" s="992" t="s">
        <v>2681</v>
      </c>
      <c r="F11817" s="905" t="s">
        <v>45</v>
      </c>
      <c r="G11817" s="1005"/>
      <c r="H11817" s="911">
        <v>0.15</v>
      </c>
      <c r="I11817" s="912">
        <f>VLOOKUP(E11817,[3]VLP!$B$7:$K$300,10,0)</f>
        <v>23000</v>
      </c>
      <c r="J11817" s="912">
        <f>I11817*H11817</f>
        <v>3450</v>
      </c>
      <c r="K11817" s="912" t="s">
        <v>274</v>
      </c>
      <c r="L11817" s="912"/>
      <c r="M11817" s="912"/>
      <c r="N11817" s="912"/>
      <c r="O11817" s="892">
        <f t="shared" si="957"/>
        <v>0</v>
      </c>
      <c r="P11817" s="903">
        <f t="shared" si="954"/>
        <v>1</v>
      </c>
      <c r="Q11817" s="893">
        <f t="shared" si="955"/>
        <v>5</v>
      </c>
      <c r="R11817" s="894">
        <f t="shared" si="956"/>
        <v>0</v>
      </c>
    </row>
    <row r="11818" spans="1:18" s="847" customFormat="1">
      <c r="A11818" s="905"/>
      <c r="B11818" s="952"/>
      <c r="C11818" s="907">
        <v>235</v>
      </c>
      <c r="D11818" s="907" t="s">
        <v>279</v>
      </c>
      <c r="E11818" s="992" t="s">
        <v>2682</v>
      </c>
      <c r="F11818" s="905" t="s">
        <v>45</v>
      </c>
      <c r="G11818" s="1005"/>
      <c r="H11818" s="911">
        <v>0.1</v>
      </c>
      <c r="I11818" s="912">
        <f>VLOOKUP(E11818,[3]VLP!$B$7:$K$300,10,0)</f>
        <v>5000</v>
      </c>
      <c r="J11818" s="912">
        <f>I11818*H11818</f>
        <v>500</v>
      </c>
      <c r="K11818" s="912" t="s">
        <v>274</v>
      </c>
      <c r="L11818" s="912"/>
      <c r="M11818" s="912"/>
      <c r="N11818" s="912"/>
      <c r="O11818" s="892">
        <f t="shared" si="957"/>
        <v>0</v>
      </c>
      <c r="P11818" s="903">
        <f t="shared" si="954"/>
        <v>1</v>
      </c>
      <c r="Q11818" s="893">
        <f t="shared" si="955"/>
        <v>4</v>
      </c>
      <c r="R11818" s="894">
        <f t="shared" si="956"/>
        <v>0</v>
      </c>
    </row>
    <row r="11819" spans="1:18" s="904" customFormat="1">
      <c r="A11819" s="905"/>
      <c r="B11819" s="952"/>
      <c r="C11819" s="907">
        <v>699</v>
      </c>
      <c r="D11819" s="907" t="s">
        <v>279</v>
      </c>
      <c r="E11819" s="992" t="s">
        <v>4006</v>
      </c>
      <c r="F11819" s="905" t="s">
        <v>4007</v>
      </c>
      <c r="G11819" s="1005"/>
      <c r="H11819" s="911">
        <v>5</v>
      </c>
      <c r="I11819" s="912">
        <f>VLOOKUP(E11819,[3]VLP!$B$7:$K$300,10,0)</f>
        <v>5000</v>
      </c>
      <c r="J11819" s="912">
        <f>I11819*H11819</f>
        <v>25000</v>
      </c>
      <c r="K11819" s="912" t="s">
        <v>274</v>
      </c>
      <c r="L11819" s="912"/>
      <c r="M11819" s="912"/>
      <c r="N11819" s="912"/>
      <c r="O11819" s="892">
        <f t="shared" si="957"/>
        <v>0</v>
      </c>
      <c r="P11819" s="903">
        <f t="shared" si="954"/>
        <v>1</v>
      </c>
      <c r="Q11819" s="893">
        <f t="shared" si="955"/>
        <v>3</v>
      </c>
      <c r="R11819" s="894">
        <f t="shared" si="956"/>
        <v>0</v>
      </c>
    </row>
    <row r="11820" spans="1:18">
      <c r="A11820" s="895"/>
      <c r="B11820" s="1017"/>
      <c r="C11820" s="897"/>
      <c r="D11820" s="897"/>
      <c r="E11820" s="1002" t="s">
        <v>276</v>
      </c>
      <c r="F11820" s="1003"/>
      <c r="G11820" s="1004"/>
      <c r="H11820" s="901"/>
      <c r="I11820" s="902"/>
      <c r="J11820" s="902"/>
      <c r="K11820" s="912" t="s">
        <v>274</v>
      </c>
      <c r="L11820" s="902"/>
      <c r="M11820" s="902"/>
      <c r="N11820" s="902"/>
      <c r="O11820" s="892">
        <f t="shared" si="957"/>
        <v>0</v>
      </c>
      <c r="P11820" s="903">
        <f t="shared" si="954"/>
        <v>1</v>
      </c>
      <c r="Q11820" s="893">
        <f t="shared" si="955"/>
        <v>2</v>
      </c>
      <c r="R11820" s="894">
        <f t="shared" si="956"/>
        <v>0</v>
      </c>
    </row>
    <row r="11821" spans="1:18">
      <c r="A11821" s="905"/>
      <c r="B11821" s="952"/>
      <c r="C11821" s="907">
        <v>750</v>
      </c>
      <c r="D11821" s="907" t="s">
        <v>12</v>
      </c>
      <c r="E11821" s="992" t="s">
        <v>5402</v>
      </c>
      <c r="F11821" s="905" t="s">
        <v>2674</v>
      </c>
      <c r="G11821" s="1005"/>
      <c r="H11821" s="911">
        <v>0.5</v>
      </c>
      <c r="I11821" s="912"/>
      <c r="J11821" s="912"/>
      <c r="K11821" s="912">
        <f>VLOOKUP(E11821,[5]ĐMNC!$A$7:$F$67,4,0)</f>
        <v>259989</v>
      </c>
      <c r="L11821" s="912">
        <f>H11821*K11821</f>
        <v>129994.5</v>
      </c>
      <c r="M11821" s="912"/>
      <c r="N11821" s="912"/>
      <c r="O11821" s="892">
        <f t="shared" si="957"/>
        <v>0</v>
      </c>
      <c r="P11821" s="903">
        <f t="shared" si="954"/>
        <v>1</v>
      </c>
      <c r="Q11821" s="893">
        <f t="shared" si="955"/>
        <v>1</v>
      </c>
      <c r="R11821" s="894">
        <f t="shared" si="956"/>
        <v>0</v>
      </c>
    </row>
    <row r="11822" spans="1:18">
      <c r="A11822" s="905">
        <v>488</v>
      </c>
      <c r="B11822" s="1018" t="s">
        <v>6991</v>
      </c>
      <c r="C11822" s="915"/>
      <c r="D11822" s="915"/>
      <c r="E11822" s="1006" t="s">
        <v>6992</v>
      </c>
      <c r="F11822" s="917" t="s">
        <v>2271</v>
      </c>
      <c r="G11822" s="1008"/>
      <c r="H11822" s="919"/>
      <c r="I11822" s="920"/>
      <c r="J11822" s="891">
        <f>SUM(J11823:J11829)</f>
        <v>32700</v>
      </c>
      <c r="K11822" s="891"/>
      <c r="L11822" s="891">
        <f>SUM(L11823:L11829)</f>
        <v>194991.75</v>
      </c>
      <c r="M11822" s="891"/>
      <c r="N11822" s="891">
        <f>SUM(N11823:N11829)</f>
        <v>0</v>
      </c>
      <c r="O11822" s="892">
        <f t="shared" si="957"/>
        <v>1</v>
      </c>
      <c r="P11822" s="903">
        <f t="shared" si="954"/>
        <v>0</v>
      </c>
      <c r="Q11822" s="893">
        <f t="shared" si="955"/>
        <v>0</v>
      </c>
      <c r="R11822" s="894">
        <f t="shared" si="956"/>
        <v>7</v>
      </c>
    </row>
    <row r="11823" spans="1:18" s="904" customFormat="1">
      <c r="A11823" s="895"/>
      <c r="B11823" s="1017"/>
      <c r="C11823" s="897"/>
      <c r="D11823" s="897"/>
      <c r="E11823" s="1002" t="s">
        <v>108</v>
      </c>
      <c r="F11823" s="1003"/>
      <c r="G11823" s="1004"/>
      <c r="H11823" s="901"/>
      <c r="I11823" s="902"/>
      <c r="J11823" s="902"/>
      <c r="K11823" s="912" t="s">
        <v>274</v>
      </c>
      <c r="L11823" s="902"/>
      <c r="M11823" s="902"/>
      <c r="N11823" s="902"/>
      <c r="O11823" s="892">
        <f t="shared" si="957"/>
        <v>0</v>
      </c>
      <c r="P11823" s="903">
        <f t="shared" si="954"/>
        <v>1</v>
      </c>
      <c r="Q11823" s="893">
        <f t="shared" si="955"/>
        <v>7</v>
      </c>
      <c r="R11823" s="894">
        <f t="shared" si="956"/>
        <v>0</v>
      </c>
    </row>
    <row r="11824" spans="1:18">
      <c r="A11824" s="905"/>
      <c r="B11824" s="952"/>
      <c r="C11824" s="907">
        <v>202</v>
      </c>
      <c r="D11824" s="907" t="s">
        <v>279</v>
      </c>
      <c r="E11824" s="992" t="s">
        <v>2691</v>
      </c>
      <c r="F11824" s="905" t="s">
        <v>6796</v>
      </c>
      <c r="G11824" s="1005"/>
      <c r="H11824" s="911">
        <v>0.6</v>
      </c>
      <c r="I11824" s="912">
        <f>VLOOKUP(E11824,[3]VLP!$B$7:$K$300,10,0)</f>
        <v>6000</v>
      </c>
      <c r="J11824" s="912">
        <f>I11824*H11824</f>
        <v>3600</v>
      </c>
      <c r="K11824" s="912" t="s">
        <v>274</v>
      </c>
      <c r="L11824" s="912"/>
      <c r="M11824" s="912"/>
      <c r="N11824" s="912"/>
      <c r="O11824" s="892">
        <f t="shared" si="957"/>
        <v>0</v>
      </c>
      <c r="P11824" s="903">
        <f t="shared" si="954"/>
        <v>1</v>
      </c>
      <c r="Q11824" s="893">
        <f t="shared" si="955"/>
        <v>6</v>
      </c>
      <c r="R11824" s="894">
        <f t="shared" si="956"/>
        <v>0</v>
      </c>
    </row>
    <row r="11825" spans="1:18" s="847" customFormat="1">
      <c r="A11825" s="905"/>
      <c r="B11825" s="952"/>
      <c r="C11825" s="907">
        <v>212</v>
      </c>
      <c r="D11825" s="907" t="s">
        <v>279</v>
      </c>
      <c r="E11825" s="992" t="s">
        <v>2681</v>
      </c>
      <c r="F11825" s="905" t="s">
        <v>45</v>
      </c>
      <c r="G11825" s="1005"/>
      <c r="H11825" s="911">
        <v>0.15</v>
      </c>
      <c r="I11825" s="912">
        <f>VLOOKUP(E11825,[3]VLP!$B$7:$K$300,10,0)</f>
        <v>23000</v>
      </c>
      <c r="J11825" s="912">
        <f>I11825*H11825</f>
        <v>3450</v>
      </c>
      <c r="K11825" s="912" t="s">
        <v>274</v>
      </c>
      <c r="L11825" s="912"/>
      <c r="M11825" s="912"/>
      <c r="N11825" s="912"/>
      <c r="O11825" s="892">
        <f t="shared" si="957"/>
        <v>0</v>
      </c>
      <c r="P11825" s="903">
        <f t="shared" si="954"/>
        <v>1</v>
      </c>
      <c r="Q11825" s="893">
        <f t="shared" si="955"/>
        <v>5</v>
      </c>
      <c r="R11825" s="894">
        <f t="shared" si="956"/>
        <v>0</v>
      </c>
    </row>
    <row r="11826" spans="1:18" s="904" customFormat="1">
      <c r="A11826" s="905"/>
      <c r="B11826" s="952"/>
      <c r="C11826" s="907">
        <v>235</v>
      </c>
      <c r="D11826" s="907" t="s">
        <v>279</v>
      </c>
      <c r="E11826" s="992" t="s">
        <v>2682</v>
      </c>
      <c r="F11826" s="905" t="s">
        <v>45</v>
      </c>
      <c r="G11826" s="1005"/>
      <c r="H11826" s="911">
        <v>0.13</v>
      </c>
      <c r="I11826" s="912">
        <f>VLOOKUP(E11826,[3]VLP!$B$7:$K$300,10,0)</f>
        <v>5000</v>
      </c>
      <c r="J11826" s="912">
        <f>I11826*H11826</f>
        <v>650</v>
      </c>
      <c r="K11826" s="912" t="s">
        <v>274</v>
      </c>
      <c r="L11826" s="912"/>
      <c r="M11826" s="912"/>
      <c r="N11826" s="912"/>
      <c r="O11826" s="892">
        <f t="shared" si="957"/>
        <v>0</v>
      </c>
      <c r="P11826" s="903">
        <f t="shared" si="954"/>
        <v>1</v>
      </c>
      <c r="Q11826" s="893">
        <f t="shared" si="955"/>
        <v>4</v>
      </c>
      <c r="R11826" s="894">
        <f t="shared" si="956"/>
        <v>0</v>
      </c>
    </row>
    <row r="11827" spans="1:18">
      <c r="A11827" s="905"/>
      <c r="B11827" s="952"/>
      <c r="C11827" s="907">
        <v>699</v>
      </c>
      <c r="D11827" s="907" t="s">
        <v>279</v>
      </c>
      <c r="E11827" s="992" t="s">
        <v>4006</v>
      </c>
      <c r="F11827" s="905" t="s">
        <v>4007</v>
      </c>
      <c r="G11827" s="1005"/>
      <c r="H11827" s="911">
        <v>5</v>
      </c>
      <c r="I11827" s="912">
        <f>VLOOKUP(E11827,[3]VLP!$B$7:$K$300,10,0)</f>
        <v>5000</v>
      </c>
      <c r="J11827" s="912">
        <f>I11827*H11827</f>
        <v>25000</v>
      </c>
      <c r="K11827" s="912" t="s">
        <v>274</v>
      </c>
      <c r="L11827" s="912"/>
      <c r="M11827" s="912"/>
      <c r="N11827" s="912"/>
      <c r="O11827" s="892">
        <f t="shared" si="957"/>
        <v>0</v>
      </c>
      <c r="P11827" s="903">
        <f t="shared" ref="P11827:P11890" si="958">IF(O11827=0,1,0)</f>
        <v>1</v>
      </c>
      <c r="Q11827" s="893">
        <f t="shared" ref="Q11827:Q11890" si="959">IF(P11827=0,0,P11827+Q11828)</f>
        <v>3</v>
      </c>
      <c r="R11827" s="894">
        <f t="shared" ref="R11827:R11890" si="960">IF(Q11827=0,Q11828,0)</f>
        <v>0</v>
      </c>
    </row>
    <row r="11828" spans="1:18">
      <c r="A11828" s="895"/>
      <c r="B11828" s="1017"/>
      <c r="C11828" s="897"/>
      <c r="D11828" s="897"/>
      <c r="E11828" s="1002" t="s">
        <v>276</v>
      </c>
      <c r="F11828" s="1003"/>
      <c r="G11828" s="1004"/>
      <c r="H11828" s="901"/>
      <c r="I11828" s="902"/>
      <c r="J11828" s="902"/>
      <c r="K11828" s="912" t="s">
        <v>274</v>
      </c>
      <c r="L11828" s="902"/>
      <c r="M11828" s="902"/>
      <c r="N11828" s="902"/>
      <c r="O11828" s="892">
        <f t="shared" si="957"/>
        <v>0</v>
      </c>
      <c r="P11828" s="903">
        <f t="shared" si="958"/>
        <v>1</v>
      </c>
      <c r="Q11828" s="893">
        <f t="shared" si="959"/>
        <v>2</v>
      </c>
      <c r="R11828" s="894">
        <f t="shared" si="960"/>
        <v>0</v>
      </c>
    </row>
    <row r="11829" spans="1:18">
      <c r="A11829" s="905"/>
      <c r="B11829" s="952"/>
      <c r="C11829" s="907">
        <v>750</v>
      </c>
      <c r="D11829" s="907" t="s">
        <v>12</v>
      </c>
      <c r="E11829" s="992" t="s">
        <v>5402</v>
      </c>
      <c r="F11829" s="905" t="s">
        <v>2674</v>
      </c>
      <c r="G11829" s="1005"/>
      <c r="H11829" s="911">
        <v>0.75</v>
      </c>
      <c r="I11829" s="912"/>
      <c r="J11829" s="912"/>
      <c r="K11829" s="912">
        <f>VLOOKUP(E11829,[5]ĐMNC!$A$7:$F$67,4,0)</f>
        <v>259989</v>
      </c>
      <c r="L11829" s="912">
        <f>H11829*K11829</f>
        <v>194991.75</v>
      </c>
      <c r="M11829" s="912"/>
      <c r="N11829" s="912"/>
      <c r="O11829" s="892">
        <f t="shared" si="957"/>
        <v>0</v>
      </c>
      <c r="P11829" s="903">
        <f t="shared" si="958"/>
        <v>1</v>
      </c>
      <c r="Q11829" s="893">
        <f t="shared" si="959"/>
        <v>1</v>
      </c>
      <c r="R11829" s="894">
        <f t="shared" si="960"/>
        <v>0</v>
      </c>
    </row>
    <row r="11830" spans="1:18" s="847" customFormat="1">
      <c r="A11830" s="905">
        <v>489</v>
      </c>
      <c r="B11830" s="1018" t="s">
        <v>6993</v>
      </c>
      <c r="C11830" s="915"/>
      <c r="D11830" s="915"/>
      <c r="E11830" s="1006" t="s">
        <v>6994</v>
      </c>
      <c r="F11830" s="917" t="s">
        <v>2271</v>
      </c>
      <c r="G11830" s="1008"/>
      <c r="H11830" s="919"/>
      <c r="I11830" s="920"/>
      <c r="J11830" s="891">
        <f>SUM(J11831:J11837)</f>
        <v>34390</v>
      </c>
      <c r="K11830" s="891"/>
      <c r="L11830" s="891">
        <f>SUM(L11831:L11837)</f>
        <v>259989</v>
      </c>
      <c r="M11830" s="891"/>
      <c r="N11830" s="891">
        <f>SUM(N11831:N11837)</f>
        <v>0</v>
      </c>
      <c r="O11830" s="892">
        <f t="shared" si="957"/>
        <v>1</v>
      </c>
      <c r="P11830" s="903">
        <f t="shared" si="958"/>
        <v>0</v>
      </c>
      <c r="Q11830" s="893">
        <f t="shared" si="959"/>
        <v>0</v>
      </c>
      <c r="R11830" s="894">
        <f t="shared" si="960"/>
        <v>7</v>
      </c>
    </row>
    <row r="11831" spans="1:18" s="904" customFormat="1">
      <c r="A11831" s="895"/>
      <c r="B11831" s="1017"/>
      <c r="C11831" s="897"/>
      <c r="D11831" s="897"/>
      <c r="E11831" s="1002" t="s">
        <v>108</v>
      </c>
      <c r="F11831" s="1003"/>
      <c r="G11831" s="1004"/>
      <c r="H11831" s="901"/>
      <c r="I11831" s="902"/>
      <c r="J11831" s="902"/>
      <c r="K11831" s="912" t="s">
        <v>274</v>
      </c>
      <c r="L11831" s="902"/>
      <c r="M11831" s="902"/>
      <c r="N11831" s="902"/>
      <c r="O11831" s="892">
        <f t="shared" si="957"/>
        <v>0</v>
      </c>
      <c r="P11831" s="903">
        <f t="shared" si="958"/>
        <v>1</v>
      </c>
      <c r="Q11831" s="893">
        <f t="shared" si="959"/>
        <v>7</v>
      </c>
      <c r="R11831" s="894">
        <f t="shared" si="960"/>
        <v>0</v>
      </c>
    </row>
    <row r="11832" spans="1:18">
      <c r="A11832" s="905"/>
      <c r="B11832" s="952"/>
      <c r="C11832" s="907">
        <v>202</v>
      </c>
      <c r="D11832" s="907" t="s">
        <v>279</v>
      </c>
      <c r="E11832" s="992" t="s">
        <v>2691</v>
      </c>
      <c r="F11832" s="905" t="s">
        <v>6796</v>
      </c>
      <c r="G11832" s="1005"/>
      <c r="H11832" s="911">
        <v>0.75</v>
      </c>
      <c r="I11832" s="912">
        <f>VLOOKUP(E11832,[3]VLP!$B$7:$K$300,10,0)</f>
        <v>6000</v>
      </c>
      <c r="J11832" s="912">
        <f>I11832*H11832</f>
        <v>4500</v>
      </c>
      <c r="K11832" s="912" t="s">
        <v>274</v>
      </c>
      <c r="L11832" s="912"/>
      <c r="M11832" s="912"/>
      <c r="N11832" s="912"/>
      <c r="O11832" s="892">
        <f t="shared" si="957"/>
        <v>0</v>
      </c>
      <c r="P11832" s="903">
        <f t="shared" si="958"/>
        <v>1</v>
      </c>
      <c r="Q11832" s="893">
        <f t="shared" si="959"/>
        <v>6</v>
      </c>
      <c r="R11832" s="894">
        <f t="shared" si="960"/>
        <v>0</v>
      </c>
    </row>
    <row r="11833" spans="1:18">
      <c r="A11833" s="905"/>
      <c r="B11833" s="952"/>
      <c r="C11833" s="907">
        <v>212</v>
      </c>
      <c r="D11833" s="907" t="s">
        <v>279</v>
      </c>
      <c r="E11833" s="992" t="s">
        <v>2681</v>
      </c>
      <c r="F11833" s="905" t="s">
        <v>45</v>
      </c>
      <c r="G11833" s="1005"/>
      <c r="H11833" s="911">
        <v>0.18</v>
      </c>
      <c r="I11833" s="912">
        <f>VLOOKUP(E11833,[3]VLP!$B$7:$K$300,10,0)</f>
        <v>23000</v>
      </c>
      <c r="J11833" s="912">
        <f>I11833*H11833</f>
        <v>4140</v>
      </c>
      <c r="K11833" s="912" t="s">
        <v>274</v>
      </c>
      <c r="L11833" s="912"/>
      <c r="M11833" s="912"/>
      <c r="N11833" s="912"/>
      <c r="O11833" s="892">
        <f t="shared" si="957"/>
        <v>0</v>
      </c>
      <c r="P11833" s="903">
        <f t="shared" si="958"/>
        <v>1</v>
      </c>
      <c r="Q11833" s="893">
        <f t="shared" si="959"/>
        <v>5</v>
      </c>
      <c r="R11833" s="894">
        <f t="shared" si="960"/>
        <v>0</v>
      </c>
    </row>
    <row r="11834" spans="1:18" s="904" customFormat="1">
      <c r="A11834" s="905"/>
      <c r="B11834" s="952"/>
      <c r="C11834" s="907">
        <v>235</v>
      </c>
      <c r="D11834" s="907" t="s">
        <v>279</v>
      </c>
      <c r="E11834" s="992" t="s">
        <v>2682</v>
      </c>
      <c r="F11834" s="905" t="s">
        <v>45</v>
      </c>
      <c r="G11834" s="1005"/>
      <c r="H11834" s="911">
        <v>0.15</v>
      </c>
      <c r="I11834" s="912">
        <f>VLOOKUP(E11834,[3]VLP!$B$7:$K$300,10,0)</f>
        <v>5000</v>
      </c>
      <c r="J11834" s="912">
        <f>I11834*H11834</f>
        <v>750</v>
      </c>
      <c r="K11834" s="912" t="s">
        <v>274</v>
      </c>
      <c r="L11834" s="912"/>
      <c r="M11834" s="912"/>
      <c r="N11834" s="912"/>
      <c r="O11834" s="892">
        <f t="shared" si="957"/>
        <v>0</v>
      </c>
      <c r="P11834" s="903">
        <f t="shared" si="958"/>
        <v>1</v>
      </c>
      <c r="Q11834" s="893">
        <f t="shared" si="959"/>
        <v>4</v>
      </c>
      <c r="R11834" s="894">
        <f t="shared" si="960"/>
        <v>0</v>
      </c>
    </row>
    <row r="11835" spans="1:18">
      <c r="A11835" s="905"/>
      <c r="B11835" s="952"/>
      <c r="C11835" s="907">
        <v>699</v>
      </c>
      <c r="D11835" s="907" t="s">
        <v>279</v>
      </c>
      <c r="E11835" s="992" t="s">
        <v>4006</v>
      </c>
      <c r="F11835" s="905" t="s">
        <v>4007</v>
      </c>
      <c r="G11835" s="1005"/>
      <c r="H11835" s="911">
        <v>5</v>
      </c>
      <c r="I11835" s="912">
        <f>VLOOKUP(E11835,[3]VLP!$B$7:$K$300,10,0)</f>
        <v>5000</v>
      </c>
      <c r="J11835" s="912">
        <f>I11835*H11835</f>
        <v>25000</v>
      </c>
      <c r="K11835" s="912" t="s">
        <v>274</v>
      </c>
      <c r="L11835" s="912"/>
      <c r="M11835" s="912"/>
      <c r="N11835" s="912"/>
      <c r="O11835" s="892">
        <f t="shared" si="957"/>
        <v>0</v>
      </c>
      <c r="P11835" s="903">
        <f t="shared" si="958"/>
        <v>1</v>
      </c>
      <c r="Q11835" s="893">
        <f t="shared" si="959"/>
        <v>3</v>
      </c>
      <c r="R11835" s="894">
        <f t="shared" si="960"/>
        <v>0</v>
      </c>
    </row>
    <row r="11836" spans="1:18" s="847" customFormat="1">
      <c r="A11836" s="895"/>
      <c r="B11836" s="1017"/>
      <c r="C11836" s="897"/>
      <c r="D11836" s="897"/>
      <c r="E11836" s="1002" t="s">
        <v>276</v>
      </c>
      <c r="F11836" s="1003"/>
      <c r="G11836" s="1004"/>
      <c r="H11836" s="901"/>
      <c r="I11836" s="902"/>
      <c r="J11836" s="902"/>
      <c r="K11836" s="912" t="s">
        <v>274</v>
      </c>
      <c r="L11836" s="902"/>
      <c r="M11836" s="902"/>
      <c r="N11836" s="902"/>
      <c r="O11836" s="892">
        <f t="shared" si="957"/>
        <v>0</v>
      </c>
      <c r="P11836" s="903">
        <f t="shared" si="958"/>
        <v>1</v>
      </c>
      <c r="Q11836" s="893">
        <f t="shared" si="959"/>
        <v>2</v>
      </c>
      <c r="R11836" s="894">
        <f t="shared" si="960"/>
        <v>0</v>
      </c>
    </row>
    <row r="11837" spans="1:18" s="904" customFormat="1">
      <c r="A11837" s="905"/>
      <c r="B11837" s="952"/>
      <c r="C11837" s="907">
        <v>750</v>
      </c>
      <c r="D11837" s="907" t="s">
        <v>12</v>
      </c>
      <c r="E11837" s="992" t="s">
        <v>5402</v>
      </c>
      <c r="F11837" s="905" t="s">
        <v>2674</v>
      </c>
      <c r="G11837" s="1005"/>
      <c r="H11837" s="911">
        <v>1</v>
      </c>
      <c r="I11837" s="912"/>
      <c r="J11837" s="912"/>
      <c r="K11837" s="912">
        <f>VLOOKUP(E11837,[5]ĐMNC!$A$7:$F$67,4,0)</f>
        <v>259989</v>
      </c>
      <c r="L11837" s="912">
        <f>H11837*K11837</f>
        <v>259989</v>
      </c>
      <c r="M11837" s="912"/>
      <c r="N11837" s="912"/>
      <c r="O11837" s="892">
        <f t="shared" si="957"/>
        <v>0</v>
      </c>
      <c r="P11837" s="903">
        <f t="shared" si="958"/>
        <v>1</v>
      </c>
      <c r="Q11837" s="893">
        <f t="shared" si="959"/>
        <v>1</v>
      </c>
      <c r="R11837" s="894">
        <f t="shared" si="960"/>
        <v>0</v>
      </c>
    </row>
    <row r="11838" spans="1:18">
      <c r="A11838" s="905">
        <v>490</v>
      </c>
      <c r="B11838" s="1018" t="s">
        <v>6995</v>
      </c>
      <c r="C11838" s="915"/>
      <c r="D11838" s="915"/>
      <c r="E11838" s="1006" t="s">
        <v>6996</v>
      </c>
      <c r="F11838" s="917" t="s">
        <v>2271</v>
      </c>
      <c r="G11838" s="1008"/>
      <c r="H11838" s="919"/>
      <c r="I11838" s="920"/>
      <c r="J11838" s="891">
        <f>SUM(J11839:J11845)</f>
        <v>36600</v>
      </c>
      <c r="K11838" s="891"/>
      <c r="L11838" s="891">
        <f>SUM(L11839:L11845)</f>
        <v>324986.25</v>
      </c>
      <c r="M11838" s="891"/>
      <c r="N11838" s="891">
        <f>SUM(N11839:N11845)</f>
        <v>0</v>
      </c>
      <c r="O11838" s="892">
        <f t="shared" si="957"/>
        <v>1</v>
      </c>
      <c r="P11838" s="903">
        <f t="shared" si="958"/>
        <v>0</v>
      </c>
      <c r="Q11838" s="893">
        <f t="shared" si="959"/>
        <v>0</v>
      </c>
      <c r="R11838" s="894">
        <f t="shared" si="960"/>
        <v>7</v>
      </c>
    </row>
    <row r="11839" spans="1:18">
      <c r="A11839" s="895"/>
      <c r="B11839" s="1017"/>
      <c r="C11839" s="897"/>
      <c r="D11839" s="897"/>
      <c r="E11839" s="1002" t="s">
        <v>108</v>
      </c>
      <c r="F11839" s="1003"/>
      <c r="G11839" s="1004"/>
      <c r="H11839" s="901"/>
      <c r="I11839" s="902"/>
      <c r="J11839" s="902"/>
      <c r="K11839" s="912" t="s">
        <v>274</v>
      </c>
      <c r="L11839" s="902"/>
      <c r="M11839" s="902"/>
      <c r="N11839" s="902"/>
      <c r="O11839" s="892">
        <f t="shared" si="957"/>
        <v>0</v>
      </c>
      <c r="P11839" s="903">
        <f t="shared" si="958"/>
        <v>1</v>
      </c>
      <c r="Q11839" s="893">
        <f t="shared" si="959"/>
        <v>7</v>
      </c>
      <c r="R11839" s="894">
        <f t="shared" si="960"/>
        <v>0</v>
      </c>
    </row>
    <row r="11840" spans="1:18" s="904" customFormat="1">
      <c r="A11840" s="905"/>
      <c r="B11840" s="952"/>
      <c r="C11840" s="907">
        <v>202</v>
      </c>
      <c r="D11840" s="907" t="s">
        <v>279</v>
      </c>
      <c r="E11840" s="992" t="s">
        <v>2691</v>
      </c>
      <c r="F11840" s="905" t="s">
        <v>6796</v>
      </c>
      <c r="G11840" s="1005"/>
      <c r="H11840" s="911">
        <v>1</v>
      </c>
      <c r="I11840" s="912">
        <f>VLOOKUP(E11840,[3]VLP!$B$7:$K$300,10,0)</f>
        <v>6000</v>
      </c>
      <c r="J11840" s="912">
        <f>I11840*H11840</f>
        <v>6000</v>
      </c>
      <c r="K11840" s="912" t="s">
        <v>274</v>
      </c>
      <c r="L11840" s="912"/>
      <c r="M11840" s="912"/>
      <c r="N11840" s="912"/>
      <c r="O11840" s="892">
        <f t="shared" si="957"/>
        <v>0</v>
      </c>
      <c r="P11840" s="903">
        <f t="shared" si="958"/>
        <v>1</v>
      </c>
      <c r="Q11840" s="893">
        <f t="shared" si="959"/>
        <v>6</v>
      </c>
      <c r="R11840" s="894">
        <f t="shared" si="960"/>
        <v>0</v>
      </c>
    </row>
    <row r="11841" spans="1:18">
      <c r="A11841" s="905"/>
      <c r="B11841" s="952"/>
      <c r="C11841" s="907">
        <v>212</v>
      </c>
      <c r="D11841" s="907" t="s">
        <v>279</v>
      </c>
      <c r="E11841" s="992" t="s">
        <v>2681</v>
      </c>
      <c r="F11841" s="905" t="s">
        <v>45</v>
      </c>
      <c r="G11841" s="1005"/>
      <c r="H11841" s="911">
        <v>0.2</v>
      </c>
      <c r="I11841" s="912">
        <f>VLOOKUP(E11841,[3]VLP!$B$7:$K$300,10,0)</f>
        <v>23000</v>
      </c>
      <c r="J11841" s="912">
        <f>I11841*H11841</f>
        <v>4600</v>
      </c>
      <c r="K11841" s="912" t="s">
        <v>274</v>
      </c>
      <c r="L11841" s="912"/>
      <c r="M11841" s="912"/>
      <c r="N11841" s="912"/>
      <c r="O11841" s="892">
        <f t="shared" si="957"/>
        <v>0</v>
      </c>
      <c r="P11841" s="903">
        <f t="shared" si="958"/>
        <v>1</v>
      </c>
      <c r="Q11841" s="893">
        <f t="shared" si="959"/>
        <v>5</v>
      </c>
      <c r="R11841" s="894">
        <f t="shared" si="960"/>
        <v>0</v>
      </c>
    </row>
    <row r="11842" spans="1:18" s="847" customFormat="1">
      <c r="A11842" s="905"/>
      <c r="B11842" s="952"/>
      <c r="C11842" s="907">
        <v>235</v>
      </c>
      <c r="D11842" s="907" t="s">
        <v>279</v>
      </c>
      <c r="E11842" s="992" t="s">
        <v>2682</v>
      </c>
      <c r="F11842" s="905" t="s">
        <v>45</v>
      </c>
      <c r="G11842" s="1005"/>
      <c r="H11842" s="911">
        <v>0.2</v>
      </c>
      <c r="I11842" s="912">
        <f>VLOOKUP(E11842,[3]VLP!$B$7:$K$300,10,0)</f>
        <v>5000</v>
      </c>
      <c r="J11842" s="912">
        <f>I11842*H11842</f>
        <v>1000</v>
      </c>
      <c r="K11842" s="912" t="s">
        <v>274</v>
      </c>
      <c r="L11842" s="912"/>
      <c r="M11842" s="912"/>
      <c r="N11842" s="912"/>
      <c r="O11842" s="892">
        <f t="shared" si="957"/>
        <v>0</v>
      </c>
      <c r="P11842" s="903">
        <f t="shared" si="958"/>
        <v>1</v>
      </c>
      <c r="Q11842" s="893">
        <f t="shared" si="959"/>
        <v>4</v>
      </c>
      <c r="R11842" s="894">
        <f t="shared" si="960"/>
        <v>0</v>
      </c>
    </row>
    <row r="11843" spans="1:18" s="904" customFormat="1">
      <c r="A11843" s="905"/>
      <c r="B11843" s="952"/>
      <c r="C11843" s="907">
        <v>699</v>
      </c>
      <c r="D11843" s="907" t="s">
        <v>279</v>
      </c>
      <c r="E11843" s="992" t="s">
        <v>4006</v>
      </c>
      <c r="F11843" s="905" t="s">
        <v>4007</v>
      </c>
      <c r="G11843" s="1005"/>
      <c r="H11843" s="911">
        <v>5</v>
      </c>
      <c r="I11843" s="912">
        <f>VLOOKUP(E11843,[3]VLP!$B$7:$K$300,10,0)</f>
        <v>5000</v>
      </c>
      <c r="J11843" s="912">
        <f>I11843*H11843</f>
        <v>25000</v>
      </c>
      <c r="K11843" s="912" t="s">
        <v>274</v>
      </c>
      <c r="L11843" s="912"/>
      <c r="M11843" s="912"/>
      <c r="N11843" s="912"/>
      <c r="O11843" s="892">
        <f t="shared" si="957"/>
        <v>0</v>
      </c>
      <c r="P11843" s="903">
        <f t="shared" si="958"/>
        <v>1</v>
      </c>
      <c r="Q11843" s="893">
        <f t="shared" si="959"/>
        <v>3</v>
      </c>
      <c r="R11843" s="894">
        <f t="shared" si="960"/>
        <v>0</v>
      </c>
    </row>
    <row r="11844" spans="1:18">
      <c r="A11844" s="895"/>
      <c r="B11844" s="896"/>
      <c r="C11844" s="897"/>
      <c r="D11844" s="897"/>
      <c r="E11844" s="1002" t="s">
        <v>276</v>
      </c>
      <c r="F11844" s="1003"/>
      <c r="G11844" s="1004"/>
      <c r="H11844" s="901"/>
      <c r="I11844" s="902"/>
      <c r="J11844" s="902"/>
      <c r="K11844" s="912" t="s">
        <v>274</v>
      </c>
      <c r="L11844" s="902"/>
      <c r="M11844" s="902"/>
      <c r="N11844" s="902"/>
      <c r="O11844" s="892">
        <f t="shared" si="957"/>
        <v>0</v>
      </c>
      <c r="P11844" s="903">
        <f t="shared" si="958"/>
        <v>1</v>
      </c>
      <c r="Q11844" s="893">
        <f t="shared" si="959"/>
        <v>2</v>
      </c>
      <c r="R11844" s="894">
        <f t="shared" si="960"/>
        <v>0</v>
      </c>
    </row>
    <row r="11845" spans="1:18">
      <c r="A11845" s="905"/>
      <c r="B11845" s="952"/>
      <c r="C11845" s="907">
        <v>750</v>
      </c>
      <c r="D11845" s="907" t="s">
        <v>12</v>
      </c>
      <c r="E11845" s="992" t="s">
        <v>5402</v>
      </c>
      <c r="F11845" s="905" t="s">
        <v>2674</v>
      </c>
      <c r="G11845" s="1005"/>
      <c r="H11845" s="911">
        <v>1.25</v>
      </c>
      <c r="I11845" s="912"/>
      <c r="J11845" s="912"/>
      <c r="K11845" s="912">
        <f>VLOOKUP(E11845,[5]ĐMNC!$A$7:$F$67,4,0)</f>
        <v>259989</v>
      </c>
      <c r="L11845" s="912">
        <f>H11845*K11845</f>
        <v>324986.25</v>
      </c>
      <c r="M11845" s="912"/>
      <c r="N11845" s="912"/>
      <c r="O11845" s="892">
        <f t="shared" si="957"/>
        <v>0</v>
      </c>
      <c r="P11845" s="903">
        <f t="shared" si="958"/>
        <v>1</v>
      </c>
      <c r="Q11845" s="893">
        <f t="shared" si="959"/>
        <v>1</v>
      </c>
      <c r="R11845" s="894">
        <f t="shared" si="960"/>
        <v>0</v>
      </c>
    </row>
    <row r="11846" spans="1:18">
      <c r="A11846" s="905" t="s">
        <v>6986</v>
      </c>
      <c r="B11846" s="1018" t="s">
        <v>6997</v>
      </c>
      <c r="C11846" s="915"/>
      <c r="D11846" s="915"/>
      <c r="E11846" s="1006" t="s">
        <v>6998</v>
      </c>
      <c r="F11846" s="917" t="s">
        <v>2337</v>
      </c>
      <c r="G11846" s="1008"/>
      <c r="H11846" s="919"/>
      <c r="I11846" s="920"/>
      <c r="J11846" s="891">
        <f>SUM(J11847:J11853)</f>
        <v>46350</v>
      </c>
      <c r="K11846" s="891"/>
      <c r="L11846" s="891">
        <f>SUM(L11847:L11853)</f>
        <v>48111.4</v>
      </c>
      <c r="M11846" s="891"/>
      <c r="N11846" s="891">
        <f>SUM(N11847:N11853)</f>
        <v>0</v>
      </c>
      <c r="O11846" s="892">
        <f t="shared" si="957"/>
        <v>1</v>
      </c>
      <c r="P11846" s="903">
        <f t="shared" si="958"/>
        <v>0</v>
      </c>
      <c r="Q11846" s="893">
        <f t="shared" si="959"/>
        <v>0</v>
      </c>
      <c r="R11846" s="894">
        <f t="shared" si="960"/>
        <v>7</v>
      </c>
    </row>
    <row r="11847" spans="1:18">
      <c r="A11847" s="895"/>
      <c r="B11847" s="1017"/>
      <c r="C11847" s="897"/>
      <c r="D11847" s="897"/>
      <c r="E11847" s="1002" t="s">
        <v>108</v>
      </c>
      <c r="F11847" s="1003"/>
      <c r="G11847" s="1004"/>
      <c r="H11847" s="901"/>
      <c r="I11847" s="902"/>
      <c r="J11847" s="902"/>
      <c r="K11847" s="912" t="s">
        <v>274</v>
      </c>
      <c r="L11847" s="902"/>
      <c r="M11847" s="902"/>
      <c r="N11847" s="902"/>
      <c r="O11847" s="892">
        <f t="shared" si="957"/>
        <v>0</v>
      </c>
      <c r="P11847" s="903">
        <f t="shared" si="958"/>
        <v>1</v>
      </c>
      <c r="Q11847" s="893">
        <f t="shared" si="959"/>
        <v>7</v>
      </c>
      <c r="R11847" s="894">
        <f t="shared" si="960"/>
        <v>0</v>
      </c>
    </row>
    <row r="11848" spans="1:18" s="904" customFormat="1">
      <c r="A11848" s="905"/>
      <c r="B11848" s="952"/>
      <c r="C11848" s="907">
        <v>239</v>
      </c>
      <c r="D11848" s="907" t="s">
        <v>279</v>
      </c>
      <c r="E11848" s="992" t="s">
        <v>6999</v>
      </c>
      <c r="F11848" s="905" t="s">
        <v>51</v>
      </c>
      <c r="G11848" s="1005"/>
      <c r="H11848" s="911">
        <v>1</v>
      </c>
      <c r="I11848" s="912">
        <f>VLOOKUP(E11848,[3]VLP!$B$7:$K$300,10,0)</f>
        <v>33800</v>
      </c>
      <c r="J11848" s="912">
        <f>I11848*H11848</f>
        <v>33800</v>
      </c>
      <c r="K11848" s="912" t="s">
        <v>274</v>
      </c>
      <c r="L11848" s="912"/>
      <c r="M11848" s="912"/>
      <c r="N11848" s="912"/>
      <c r="O11848" s="892">
        <f t="shared" si="957"/>
        <v>0</v>
      </c>
      <c r="P11848" s="903">
        <f t="shared" si="958"/>
        <v>1</v>
      </c>
      <c r="Q11848" s="893">
        <f t="shared" si="959"/>
        <v>6</v>
      </c>
      <c r="R11848" s="894">
        <f t="shared" si="960"/>
        <v>0</v>
      </c>
    </row>
    <row r="11849" spans="1:18">
      <c r="A11849" s="905"/>
      <c r="B11849" s="952"/>
      <c r="C11849" s="907">
        <v>212</v>
      </c>
      <c r="D11849" s="907" t="s">
        <v>279</v>
      </c>
      <c r="E11849" s="992" t="s">
        <v>2681</v>
      </c>
      <c r="F11849" s="905" t="s">
        <v>45</v>
      </c>
      <c r="G11849" s="1005"/>
      <c r="H11849" s="911">
        <v>0.1</v>
      </c>
      <c r="I11849" s="912">
        <f>VLOOKUP(E11849,[3]VLP!$B$7:$K$300,10,0)</f>
        <v>23000</v>
      </c>
      <c r="J11849" s="912">
        <f>I11849*H11849</f>
        <v>2300</v>
      </c>
      <c r="K11849" s="912" t="s">
        <v>274</v>
      </c>
      <c r="L11849" s="912"/>
      <c r="M11849" s="912"/>
      <c r="N11849" s="912"/>
      <c r="O11849" s="892">
        <f t="shared" si="957"/>
        <v>0</v>
      </c>
      <c r="P11849" s="903">
        <f t="shared" si="958"/>
        <v>1</v>
      </c>
      <c r="Q11849" s="893">
        <f t="shared" si="959"/>
        <v>5</v>
      </c>
      <c r="R11849" s="894">
        <f t="shared" si="960"/>
        <v>0</v>
      </c>
    </row>
    <row r="11850" spans="1:18" s="847" customFormat="1">
      <c r="A11850" s="905"/>
      <c r="B11850" s="952"/>
      <c r="C11850" s="907">
        <v>235</v>
      </c>
      <c r="D11850" s="907" t="s">
        <v>279</v>
      </c>
      <c r="E11850" s="992" t="s">
        <v>2682</v>
      </c>
      <c r="F11850" s="905" t="s">
        <v>45</v>
      </c>
      <c r="G11850" s="1005"/>
      <c r="H11850" s="911">
        <v>0.05</v>
      </c>
      <c r="I11850" s="912">
        <f>VLOOKUP(E11850,[3]VLP!$B$7:$K$300,10,0)</f>
        <v>5000</v>
      </c>
      <c r="J11850" s="912">
        <f>I11850*H11850</f>
        <v>250</v>
      </c>
      <c r="K11850" s="912" t="s">
        <v>274</v>
      </c>
      <c r="L11850" s="912"/>
      <c r="M11850" s="912"/>
      <c r="N11850" s="912"/>
      <c r="O11850" s="892">
        <f t="shared" si="957"/>
        <v>0</v>
      </c>
      <c r="P11850" s="903">
        <f t="shared" si="958"/>
        <v>1</v>
      </c>
      <c r="Q11850" s="893">
        <f t="shared" si="959"/>
        <v>4</v>
      </c>
      <c r="R11850" s="894">
        <f t="shared" si="960"/>
        <v>0</v>
      </c>
    </row>
    <row r="11851" spans="1:18" s="904" customFormat="1">
      <c r="A11851" s="905"/>
      <c r="B11851" s="952"/>
      <c r="C11851" s="907">
        <v>699</v>
      </c>
      <c r="D11851" s="907" t="s">
        <v>279</v>
      </c>
      <c r="E11851" s="992" t="s">
        <v>4006</v>
      </c>
      <c r="F11851" s="905" t="s">
        <v>4007</v>
      </c>
      <c r="G11851" s="1005"/>
      <c r="H11851" s="911">
        <v>2</v>
      </c>
      <c r="I11851" s="912">
        <f>VLOOKUP(E11851,[3]VLP!$B$7:$K$300,10,0)</f>
        <v>5000</v>
      </c>
      <c r="J11851" s="912">
        <f>I11851*H11851</f>
        <v>10000</v>
      </c>
      <c r="K11851" s="912" t="s">
        <v>274</v>
      </c>
      <c r="L11851" s="912"/>
      <c r="M11851" s="912"/>
      <c r="N11851" s="912"/>
      <c r="O11851" s="892">
        <f t="shared" si="957"/>
        <v>0</v>
      </c>
      <c r="P11851" s="903">
        <f t="shared" si="958"/>
        <v>1</v>
      </c>
      <c r="Q11851" s="893">
        <f t="shared" si="959"/>
        <v>3</v>
      </c>
      <c r="R11851" s="894">
        <f t="shared" si="960"/>
        <v>0</v>
      </c>
    </row>
    <row r="11852" spans="1:18">
      <c r="A11852" s="895"/>
      <c r="B11852" s="1017"/>
      <c r="C11852" s="897"/>
      <c r="D11852" s="897"/>
      <c r="E11852" s="1002" t="s">
        <v>276</v>
      </c>
      <c r="F11852" s="1003"/>
      <c r="G11852" s="1004"/>
      <c r="H11852" s="901"/>
      <c r="I11852" s="902"/>
      <c r="J11852" s="902"/>
      <c r="K11852" s="912" t="s">
        <v>274</v>
      </c>
      <c r="L11852" s="902"/>
      <c r="M11852" s="902"/>
      <c r="N11852" s="902"/>
      <c r="O11852" s="892">
        <f t="shared" si="957"/>
        <v>0</v>
      </c>
      <c r="P11852" s="903">
        <f t="shared" si="958"/>
        <v>1</v>
      </c>
      <c r="Q11852" s="893">
        <f t="shared" si="959"/>
        <v>2</v>
      </c>
      <c r="R11852" s="894">
        <f t="shared" si="960"/>
        <v>0</v>
      </c>
    </row>
    <row r="11853" spans="1:18">
      <c r="A11853" s="905"/>
      <c r="B11853" s="952"/>
      <c r="C11853" s="907">
        <v>745</v>
      </c>
      <c r="D11853" s="907" t="s">
        <v>12</v>
      </c>
      <c r="E11853" s="992" t="s">
        <v>5518</v>
      </c>
      <c r="F11853" s="905" t="s">
        <v>2674</v>
      </c>
      <c r="G11853" s="1005"/>
      <c r="H11853" s="911">
        <v>0.2</v>
      </c>
      <c r="I11853" s="912"/>
      <c r="J11853" s="912"/>
      <c r="K11853" s="912">
        <f>VLOOKUP(E11853,[5]ĐMNC!$A$7:$F$67,4,0)</f>
        <v>240557</v>
      </c>
      <c r="L11853" s="912">
        <f>H11853*K11853</f>
        <v>48111.4</v>
      </c>
      <c r="M11853" s="912"/>
      <c r="N11853" s="912"/>
      <c r="O11853" s="892">
        <f t="shared" si="957"/>
        <v>0</v>
      </c>
      <c r="P11853" s="903">
        <f t="shared" si="958"/>
        <v>1</v>
      </c>
      <c r="Q11853" s="893">
        <f t="shared" si="959"/>
        <v>1</v>
      </c>
      <c r="R11853" s="894">
        <f t="shared" si="960"/>
        <v>0</v>
      </c>
    </row>
    <row r="11854" spans="1:18" s="904" customFormat="1">
      <c r="A11854" s="905">
        <v>590</v>
      </c>
      <c r="B11854" s="1018" t="s">
        <v>7000</v>
      </c>
      <c r="C11854" s="915"/>
      <c r="D11854" s="915"/>
      <c r="E11854" s="1006" t="s">
        <v>7001</v>
      </c>
      <c r="F11854" s="917" t="s">
        <v>2337</v>
      </c>
      <c r="G11854" s="1008"/>
      <c r="H11854" s="919"/>
      <c r="I11854" s="920"/>
      <c r="J11854" s="891">
        <f>SUM(J11855:J11861)</f>
        <v>48900</v>
      </c>
      <c r="K11854" s="891"/>
      <c r="L11854" s="891">
        <f>SUM(L11855:L11861)</f>
        <v>91411.66</v>
      </c>
      <c r="M11854" s="891"/>
      <c r="N11854" s="891">
        <f>SUM(N11855:N11861)</f>
        <v>0</v>
      </c>
      <c r="O11854" s="892">
        <f t="shared" si="957"/>
        <v>1</v>
      </c>
      <c r="P11854" s="903">
        <f t="shared" si="958"/>
        <v>0</v>
      </c>
      <c r="Q11854" s="893">
        <f t="shared" si="959"/>
        <v>0</v>
      </c>
      <c r="R11854" s="894">
        <f t="shared" si="960"/>
        <v>7</v>
      </c>
    </row>
    <row r="11855" spans="1:18">
      <c r="A11855" s="895"/>
      <c r="B11855" s="1017"/>
      <c r="C11855" s="897"/>
      <c r="D11855" s="897"/>
      <c r="E11855" s="1002" t="s">
        <v>108</v>
      </c>
      <c r="F11855" s="1003"/>
      <c r="G11855" s="1004"/>
      <c r="H11855" s="901"/>
      <c r="I11855" s="902"/>
      <c r="J11855" s="902"/>
      <c r="K11855" s="912" t="s">
        <v>274</v>
      </c>
      <c r="L11855" s="902"/>
      <c r="M11855" s="902"/>
      <c r="N11855" s="902"/>
      <c r="O11855" s="892">
        <f t="shared" si="957"/>
        <v>0</v>
      </c>
      <c r="P11855" s="903">
        <f t="shared" si="958"/>
        <v>1</v>
      </c>
      <c r="Q11855" s="893">
        <f t="shared" si="959"/>
        <v>7</v>
      </c>
      <c r="R11855" s="894">
        <f t="shared" si="960"/>
        <v>0</v>
      </c>
    </row>
    <row r="11856" spans="1:18" s="847" customFormat="1">
      <c r="A11856" s="905"/>
      <c r="B11856" s="952"/>
      <c r="C11856" s="907">
        <v>239</v>
      </c>
      <c r="D11856" s="907" t="s">
        <v>279</v>
      </c>
      <c r="E11856" s="992" t="s">
        <v>6999</v>
      </c>
      <c r="F11856" s="905" t="s">
        <v>51</v>
      </c>
      <c r="G11856" s="1005"/>
      <c r="H11856" s="911">
        <v>1</v>
      </c>
      <c r="I11856" s="912">
        <f>VLOOKUP(E11856,[3]VLP!$B$7:$K$300,10,0)</f>
        <v>33800</v>
      </c>
      <c r="J11856" s="912">
        <f>I11856*H11856</f>
        <v>33800</v>
      </c>
      <c r="K11856" s="912" t="s">
        <v>274</v>
      </c>
      <c r="L11856" s="912"/>
      <c r="M11856" s="912"/>
      <c r="N11856" s="912"/>
      <c r="O11856" s="892">
        <f t="shared" si="957"/>
        <v>0</v>
      </c>
      <c r="P11856" s="903">
        <f t="shared" si="958"/>
        <v>1</v>
      </c>
      <c r="Q11856" s="893">
        <f t="shared" si="959"/>
        <v>6</v>
      </c>
      <c r="R11856" s="894">
        <f t="shared" si="960"/>
        <v>0</v>
      </c>
    </row>
    <row r="11857" spans="1:18" s="904" customFormat="1">
      <c r="A11857" s="905"/>
      <c r="B11857" s="952"/>
      <c r="C11857" s="907">
        <v>212</v>
      </c>
      <c r="D11857" s="907" t="s">
        <v>279</v>
      </c>
      <c r="E11857" s="992" t="s">
        <v>2681</v>
      </c>
      <c r="F11857" s="905" t="s">
        <v>45</v>
      </c>
      <c r="G11857" s="1005"/>
      <c r="H11857" s="911">
        <v>0.2</v>
      </c>
      <c r="I11857" s="912">
        <f>VLOOKUP(E11857,[3]VLP!$B$7:$K$300,10,0)</f>
        <v>23000</v>
      </c>
      <c r="J11857" s="912">
        <f>I11857*H11857</f>
        <v>4600</v>
      </c>
      <c r="K11857" s="912" t="s">
        <v>274</v>
      </c>
      <c r="L11857" s="912"/>
      <c r="M11857" s="912"/>
      <c r="N11857" s="912"/>
      <c r="O11857" s="892">
        <f t="shared" si="957"/>
        <v>0</v>
      </c>
      <c r="P11857" s="903">
        <f t="shared" si="958"/>
        <v>1</v>
      </c>
      <c r="Q11857" s="893">
        <f t="shared" si="959"/>
        <v>5</v>
      </c>
      <c r="R11857" s="894">
        <f t="shared" si="960"/>
        <v>0</v>
      </c>
    </row>
    <row r="11858" spans="1:18">
      <c r="A11858" s="905"/>
      <c r="B11858" s="952"/>
      <c r="C11858" s="907">
        <v>235</v>
      </c>
      <c r="D11858" s="907" t="s">
        <v>279</v>
      </c>
      <c r="E11858" s="992" t="s">
        <v>2682</v>
      </c>
      <c r="F11858" s="905" t="s">
        <v>45</v>
      </c>
      <c r="G11858" s="1005"/>
      <c r="H11858" s="911">
        <v>0.1</v>
      </c>
      <c r="I11858" s="912">
        <f>VLOOKUP(E11858,[3]VLP!$B$7:$K$300,10,0)</f>
        <v>5000</v>
      </c>
      <c r="J11858" s="912">
        <f>I11858*H11858</f>
        <v>500</v>
      </c>
      <c r="K11858" s="912" t="s">
        <v>274</v>
      </c>
      <c r="L11858" s="912"/>
      <c r="M11858" s="912"/>
      <c r="N11858" s="912"/>
      <c r="O11858" s="892">
        <f t="shared" si="957"/>
        <v>0</v>
      </c>
      <c r="P11858" s="903">
        <f t="shared" si="958"/>
        <v>1</v>
      </c>
      <c r="Q11858" s="893">
        <f t="shared" si="959"/>
        <v>4</v>
      </c>
      <c r="R11858" s="894">
        <f t="shared" si="960"/>
        <v>0</v>
      </c>
    </row>
    <row r="11859" spans="1:18">
      <c r="A11859" s="905"/>
      <c r="B11859" s="952"/>
      <c r="C11859" s="907">
        <v>699</v>
      </c>
      <c r="D11859" s="907" t="s">
        <v>279</v>
      </c>
      <c r="E11859" s="992" t="s">
        <v>4006</v>
      </c>
      <c r="F11859" s="905" t="s">
        <v>4007</v>
      </c>
      <c r="G11859" s="1005"/>
      <c r="H11859" s="911">
        <v>2</v>
      </c>
      <c r="I11859" s="912">
        <f>VLOOKUP(E11859,[3]VLP!$B$7:$K$300,10,0)</f>
        <v>5000</v>
      </c>
      <c r="J11859" s="912">
        <f>I11859*H11859</f>
        <v>10000</v>
      </c>
      <c r="K11859" s="912" t="s">
        <v>274</v>
      </c>
      <c r="L11859" s="912"/>
      <c r="M11859" s="912"/>
      <c r="N11859" s="912"/>
      <c r="O11859" s="892">
        <f t="shared" si="957"/>
        <v>0</v>
      </c>
      <c r="P11859" s="903">
        <f t="shared" si="958"/>
        <v>1</v>
      </c>
      <c r="Q11859" s="893">
        <f t="shared" si="959"/>
        <v>3</v>
      </c>
      <c r="R11859" s="894">
        <f t="shared" si="960"/>
        <v>0</v>
      </c>
    </row>
    <row r="11860" spans="1:18" s="904" customFormat="1">
      <c r="A11860" s="895"/>
      <c r="B11860" s="1017"/>
      <c r="C11860" s="897"/>
      <c r="D11860" s="897"/>
      <c r="E11860" s="1002" t="s">
        <v>276</v>
      </c>
      <c r="F11860" s="1003"/>
      <c r="G11860" s="1004"/>
      <c r="H11860" s="901"/>
      <c r="I11860" s="902"/>
      <c r="J11860" s="902"/>
      <c r="K11860" s="912" t="s">
        <v>274</v>
      </c>
      <c r="L11860" s="902"/>
      <c r="M11860" s="902"/>
      <c r="N11860" s="902"/>
      <c r="O11860" s="892">
        <f t="shared" si="957"/>
        <v>0</v>
      </c>
      <c r="P11860" s="903">
        <f t="shared" si="958"/>
        <v>1</v>
      </c>
      <c r="Q11860" s="893">
        <f t="shared" si="959"/>
        <v>2</v>
      </c>
      <c r="R11860" s="894">
        <f t="shared" si="960"/>
        <v>0</v>
      </c>
    </row>
    <row r="11861" spans="1:18">
      <c r="A11861" s="905"/>
      <c r="B11861" s="952"/>
      <c r="C11861" s="907">
        <v>745</v>
      </c>
      <c r="D11861" s="907" t="s">
        <v>12</v>
      </c>
      <c r="E11861" s="992" t="s">
        <v>5518</v>
      </c>
      <c r="F11861" s="905" t="s">
        <v>2674</v>
      </c>
      <c r="G11861" s="1005"/>
      <c r="H11861" s="911">
        <v>0.38</v>
      </c>
      <c r="I11861" s="912"/>
      <c r="J11861" s="912"/>
      <c r="K11861" s="912">
        <f>VLOOKUP(E11861,[5]ĐMNC!$A$7:$F$67,4,0)</f>
        <v>240557</v>
      </c>
      <c r="L11861" s="912">
        <f>H11861*K11861</f>
        <v>91411.66</v>
      </c>
      <c r="M11861" s="912"/>
      <c r="N11861" s="912"/>
      <c r="O11861" s="892">
        <f t="shared" si="957"/>
        <v>0</v>
      </c>
      <c r="P11861" s="903">
        <f t="shared" si="958"/>
        <v>1</v>
      </c>
      <c r="Q11861" s="893">
        <f t="shared" si="959"/>
        <v>1</v>
      </c>
      <c r="R11861" s="894">
        <f t="shared" si="960"/>
        <v>0</v>
      </c>
    </row>
    <row r="11862" spans="1:18" s="847" customFormat="1">
      <c r="A11862" s="905">
        <v>591</v>
      </c>
      <c r="B11862" s="1018" t="s">
        <v>7002</v>
      </c>
      <c r="C11862" s="915"/>
      <c r="D11862" s="915"/>
      <c r="E11862" s="1006" t="s">
        <v>7003</v>
      </c>
      <c r="F11862" s="917" t="s">
        <v>2337</v>
      </c>
      <c r="G11862" s="1008"/>
      <c r="H11862" s="919"/>
      <c r="I11862" s="920"/>
      <c r="J11862" s="891">
        <f>SUM(J11863:J11869)</f>
        <v>53750</v>
      </c>
      <c r="K11862" s="891"/>
      <c r="L11862" s="891">
        <f>SUM(L11863:L11869)</f>
        <v>182823.32</v>
      </c>
      <c r="M11862" s="891"/>
      <c r="N11862" s="891">
        <f>SUM(N11863:N11869)</f>
        <v>0</v>
      </c>
      <c r="O11862" s="892">
        <f t="shared" si="957"/>
        <v>1</v>
      </c>
      <c r="P11862" s="903">
        <f t="shared" si="958"/>
        <v>0</v>
      </c>
      <c r="Q11862" s="893">
        <f t="shared" si="959"/>
        <v>0</v>
      </c>
      <c r="R11862" s="894">
        <f t="shared" si="960"/>
        <v>7</v>
      </c>
    </row>
    <row r="11863" spans="1:18" s="904" customFormat="1">
      <c r="A11863" s="895"/>
      <c r="B11863" s="1017"/>
      <c r="C11863" s="897"/>
      <c r="D11863" s="897"/>
      <c r="E11863" s="1002" t="s">
        <v>108</v>
      </c>
      <c r="F11863" s="1003"/>
      <c r="G11863" s="1004"/>
      <c r="H11863" s="901"/>
      <c r="I11863" s="902"/>
      <c r="J11863" s="902"/>
      <c r="K11863" s="912" t="s">
        <v>274</v>
      </c>
      <c r="L11863" s="902"/>
      <c r="M11863" s="902"/>
      <c r="N11863" s="902"/>
      <c r="O11863" s="892">
        <f t="shared" si="957"/>
        <v>0</v>
      </c>
      <c r="P11863" s="903">
        <f t="shared" si="958"/>
        <v>1</v>
      </c>
      <c r="Q11863" s="893">
        <f t="shared" si="959"/>
        <v>7</v>
      </c>
      <c r="R11863" s="894">
        <f t="shared" si="960"/>
        <v>0</v>
      </c>
    </row>
    <row r="11864" spans="1:18">
      <c r="A11864" s="905"/>
      <c r="B11864" s="952"/>
      <c r="C11864" s="907">
        <v>239</v>
      </c>
      <c r="D11864" s="907" t="s">
        <v>279</v>
      </c>
      <c r="E11864" s="992" t="s">
        <v>6999</v>
      </c>
      <c r="F11864" s="905" t="s">
        <v>51</v>
      </c>
      <c r="G11864" s="1005"/>
      <c r="H11864" s="911">
        <v>1</v>
      </c>
      <c r="I11864" s="912">
        <f>VLOOKUP(E11864,[3]VLP!$B$7:$K$300,10,0)</f>
        <v>33800</v>
      </c>
      <c r="J11864" s="912">
        <f>I11864*H11864</f>
        <v>33800</v>
      </c>
      <c r="K11864" s="912" t="s">
        <v>274</v>
      </c>
      <c r="L11864" s="912"/>
      <c r="M11864" s="912"/>
      <c r="N11864" s="912"/>
      <c r="O11864" s="892">
        <f t="shared" si="957"/>
        <v>0</v>
      </c>
      <c r="P11864" s="903">
        <f t="shared" si="958"/>
        <v>1</v>
      </c>
      <c r="Q11864" s="893">
        <f t="shared" si="959"/>
        <v>6</v>
      </c>
      <c r="R11864" s="894">
        <f t="shared" si="960"/>
        <v>0</v>
      </c>
    </row>
    <row r="11865" spans="1:18">
      <c r="A11865" s="905"/>
      <c r="B11865" s="952"/>
      <c r="C11865" s="907">
        <v>212</v>
      </c>
      <c r="D11865" s="907" t="s">
        <v>279</v>
      </c>
      <c r="E11865" s="992" t="s">
        <v>2681</v>
      </c>
      <c r="F11865" s="905" t="s">
        <v>45</v>
      </c>
      <c r="G11865" s="1005"/>
      <c r="H11865" s="911">
        <v>0.4</v>
      </c>
      <c r="I11865" s="912">
        <f>VLOOKUP(E11865,[3]VLP!$B$7:$K$300,10,0)</f>
        <v>23000</v>
      </c>
      <c r="J11865" s="912">
        <f>I11865*H11865</f>
        <v>9200</v>
      </c>
      <c r="K11865" s="912" t="s">
        <v>274</v>
      </c>
      <c r="L11865" s="912"/>
      <c r="M11865" s="912"/>
      <c r="N11865" s="912"/>
      <c r="O11865" s="892">
        <f t="shared" si="957"/>
        <v>0</v>
      </c>
      <c r="P11865" s="903">
        <f t="shared" si="958"/>
        <v>1</v>
      </c>
      <c r="Q11865" s="893">
        <f t="shared" si="959"/>
        <v>5</v>
      </c>
      <c r="R11865" s="894">
        <f t="shared" si="960"/>
        <v>0</v>
      </c>
    </row>
    <row r="11866" spans="1:18" s="904" customFormat="1">
      <c r="A11866" s="905"/>
      <c r="B11866" s="952"/>
      <c r="C11866" s="907">
        <v>235</v>
      </c>
      <c r="D11866" s="907" t="s">
        <v>279</v>
      </c>
      <c r="E11866" s="992" t="s">
        <v>2682</v>
      </c>
      <c r="F11866" s="905" t="s">
        <v>45</v>
      </c>
      <c r="G11866" s="1005"/>
      <c r="H11866" s="911">
        <v>0.15</v>
      </c>
      <c r="I11866" s="912">
        <f>VLOOKUP(E11866,[3]VLP!$B$7:$K$300,10,0)</f>
        <v>5000</v>
      </c>
      <c r="J11866" s="912">
        <f>I11866*H11866</f>
        <v>750</v>
      </c>
      <c r="K11866" s="912" t="s">
        <v>274</v>
      </c>
      <c r="L11866" s="912"/>
      <c r="M11866" s="912"/>
      <c r="N11866" s="912"/>
      <c r="O11866" s="892">
        <f t="shared" si="957"/>
        <v>0</v>
      </c>
      <c r="P11866" s="903">
        <f t="shared" si="958"/>
        <v>1</v>
      </c>
      <c r="Q11866" s="893">
        <f t="shared" si="959"/>
        <v>4</v>
      </c>
      <c r="R11866" s="894">
        <f t="shared" si="960"/>
        <v>0</v>
      </c>
    </row>
    <row r="11867" spans="1:18">
      <c r="A11867" s="905"/>
      <c r="B11867" s="952"/>
      <c r="C11867" s="907">
        <v>699</v>
      </c>
      <c r="D11867" s="907" t="s">
        <v>279</v>
      </c>
      <c r="E11867" s="992" t="s">
        <v>4006</v>
      </c>
      <c r="F11867" s="905" t="s">
        <v>4007</v>
      </c>
      <c r="G11867" s="1005"/>
      <c r="H11867" s="911">
        <v>2</v>
      </c>
      <c r="I11867" s="912">
        <f>VLOOKUP(E11867,[3]VLP!$B$7:$K$300,10,0)</f>
        <v>5000</v>
      </c>
      <c r="J11867" s="912">
        <f>I11867*H11867</f>
        <v>10000</v>
      </c>
      <c r="K11867" s="912" t="s">
        <v>274</v>
      </c>
      <c r="L11867" s="912"/>
      <c r="M11867" s="912"/>
      <c r="N11867" s="912"/>
      <c r="O11867" s="892">
        <f t="shared" si="957"/>
        <v>0</v>
      </c>
      <c r="P11867" s="903">
        <f t="shared" si="958"/>
        <v>1</v>
      </c>
      <c r="Q11867" s="893">
        <f t="shared" si="959"/>
        <v>3</v>
      </c>
      <c r="R11867" s="894">
        <f t="shared" si="960"/>
        <v>0</v>
      </c>
    </row>
    <row r="11868" spans="1:18" s="847" customFormat="1">
      <c r="A11868" s="895"/>
      <c r="B11868" s="1017"/>
      <c r="C11868" s="897"/>
      <c r="D11868" s="897"/>
      <c r="E11868" s="1002" t="s">
        <v>276</v>
      </c>
      <c r="F11868" s="1003"/>
      <c r="G11868" s="1004"/>
      <c r="H11868" s="901"/>
      <c r="I11868" s="902"/>
      <c r="J11868" s="902"/>
      <c r="K11868" s="912" t="s">
        <v>274</v>
      </c>
      <c r="L11868" s="902"/>
      <c r="M11868" s="902"/>
      <c r="N11868" s="902"/>
      <c r="O11868" s="892">
        <f t="shared" si="957"/>
        <v>0</v>
      </c>
      <c r="P11868" s="903">
        <f t="shared" si="958"/>
        <v>1</v>
      </c>
      <c r="Q11868" s="893">
        <f t="shared" si="959"/>
        <v>2</v>
      </c>
      <c r="R11868" s="894">
        <f t="shared" si="960"/>
        <v>0</v>
      </c>
    </row>
    <row r="11869" spans="1:18" s="904" customFormat="1">
      <c r="A11869" s="905"/>
      <c r="B11869" s="952"/>
      <c r="C11869" s="907">
        <v>745</v>
      </c>
      <c r="D11869" s="907" t="s">
        <v>12</v>
      </c>
      <c r="E11869" s="992" t="s">
        <v>5518</v>
      </c>
      <c r="F11869" s="905" t="s">
        <v>2674</v>
      </c>
      <c r="G11869" s="1005"/>
      <c r="H11869" s="911">
        <v>0.76</v>
      </c>
      <c r="I11869" s="912"/>
      <c r="J11869" s="912"/>
      <c r="K11869" s="912">
        <f>VLOOKUP(E11869,[5]ĐMNC!$A$7:$F$67,4,0)</f>
        <v>240557</v>
      </c>
      <c r="L11869" s="912">
        <f>H11869*K11869</f>
        <v>182823.32</v>
      </c>
      <c r="M11869" s="912"/>
      <c r="N11869" s="912"/>
      <c r="O11869" s="892">
        <f t="shared" si="957"/>
        <v>0</v>
      </c>
      <c r="P11869" s="903">
        <f t="shared" si="958"/>
        <v>1</v>
      </c>
      <c r="Q11869" s="893">
        <f t="shared" si="959"/>
        <v>1</v>
      </c>
      <c r="R11869" s="894">
        <f t="shared" si="960"/>
        <v>0</v>
      </c>
    </row>
    <row r="11870" spans="1:18">
      <c r="A11870" s="905">
        <v>592</v>
      </c>
      <c r="B11870" s="1018" t="s">
        <v>7004</v>
      </c>
      <c r="C11870" s="915"/>
      <c r="D11870" s="915"/>
      <c r="E11870" s="1006" t="s">
        <v>7005</v>
      </c>
      <c r="F11870" s="917" t="s">
        <v>2337</v>
      </c>
      <c r="G11870" s="1008"/>
      <c r="H11870" s="919"/>
      <c r="I11870" s="920"/>
      <c r="J11870" s="891">
        <f>SUM(J11871:J11877)</f>
        <v>56200</v>
      </c>
      <c r="K11870" s="891"/>
      <c r="L11870" s="891">
        <f>SUM(L11871:L11877)</f>
        <v>274234.98</v>
      </c>
      <c r="M11870" s="891"/>
      <c r="N11870" s="891">
        <f>SUM(N11871:N11877)</f>
        <v>0</v>
      </c>
      <c r="O11870" s="892">
        <f t="shared" si="957"/>
        <v>1</v>
      </c>
      <c r="P11870" s="903">
        <f t="shared" si="958"/>
        <v>0</v>
      </c>
      <c r="Q11870" s="893">
        <f t="shared" si="959"/>
        <v>0</v>
      </c>
      <c r="R11870" s="894">
        <f t="shared" si="960"/>
        <v>7</v>
      </c>
    </row>
    <row r="11871" spans="1:18">
      <c r="A11871" s="895"/>
      <c r="B11871" s="1017"/>
      <c r="C11871" s="897"/>
      <c r="D11871" s="897"/>
      <c r="E11871" s="1002" t="s">
        <v>108</v>
      </c>
      <c r="F11871" s="1003"/>
      <c r="G11871" s="1004"/>
      <c r="H11871" s="901"/>
      <c r="I11871" s="902"/>
      <c r="J11871" s="902"/>
      <c r="K11871" s="912" t="s">
        <v>274</v>
      </c>
      <c r="L11871" s="902"/>
      <c r="M11871" s="902"/>
      <c r="N11871" s="902"/>
      <c r="O11871" s="892">
        <f t="shared" ref="O11871:O11934" si="961">IF(AND(B11871&lt;&gt;"",D11871=""),1,0)</f>
        <v>0</v>
      </c>
      <c r="P11871" s="903">
        <f t="shared" si="958"/>
        <v>1</v>
      </c>
      <c r="Q11871" s="893">
        <f t="shared" si="959"/>
        <v>7</v>
      </c>
      <c r="R11871" s="894">
        <f t="shared" si="960"/>
        <v>0</v>
      </c>
    </row>
    <row r="11872" spans="1:18" s="904" customFormat="1">
      <c r="A11872" s="905"/>
      <c r="B11872" s="952"/>
      <c r="C11872" s="907">
        <v>239</v>
      </c>
      <c r="D11872" s="907" t="s">
        <v>279</v>
      </c>
      <c r="E11872" s="992" t="s">
        <v>6999</v>
      </c>
      <c r="F11872" s="905" t="s">
        <v>51</v>
      </c>
      <c r="G11872" s="1005"/>
      <c r="H11872" s="911">
        <v>1</v>
      </c>
      <c r="I11872" s="912">
        <f>VLOOKUP(E11872,[3]VLP!$B$7:$K$300,10,0)</f>
        <v>33800</v>
      </c>
      <c r="J11872" s="912">
        <f>I11872*H11872</f>
        <v>33800</v>
      </c>
      <c r="K11872" s="912" t="s">
        <v>274</v>
      </c>
      <c r="L11872" s="912"/>
      <c r="M11872" s="912"/>
      <c r="N11872" s="912"/>
      <c r="O11872" s="892">
        <f t="shared" si="961"/>
        <v>0</v>
      </c>
      <c r="P11872" s="903">
        <f t="shared" si="958"/>
        <v>1</v>
      </c>
      <c r="Q11872" s="893">
        <f t="shared" si="959"/>
        <v>6</v>
      </c>
      <c r="R11872" s="894">
        <f t="shared" si="960"/>
        <v>0</v>
      </c>
    </row>
    <row r="11873" spans="1:18">
      <c r="A11873" s="905"/>
      <c r="B11873" s="952"/>
      <c r="C11873" s="907">
        <v>212</v>
      </c>
      <c r="D11873" s="907" t="s">
        <v>279</v>
      </c>
      <c r="E11873" s="992" t="s">
        <v>2681</v>
      </c>
      <c r="F11873" s="905" t="s">
        <v>45</v>
      </c>
      <c r="G11873" s="1005"/>
      <c r="H11873" s="911">
        <v>0.5</v>
      </c>
      <c r="I11873" s="912">
        <f>VLOOKUP(E11873,[3]VLP!$B$7:$K$300,10,0)</f>
        <v>23000</v>
      </c>
      <c r="J11873" s="912">
        <f>I11873*H11873</f>
        <v>11500</v>
      </c>
      <c r="K11873" s="912" t="s">
        <v>274</v>
      </c>
      <c r="L11873" s="912"/>
      <c r="M11873" s="912"/>
      <c r="N11873" s="912"/>
      <c r="O11873" s="892">
        <f t="shared" si="961"/>
        <v>0</v>
      </c>
      <c r="P11873" s="903">
        <f t="shared" si="958"/>
        <v>1</v>
      </c>
      <c r="Q11873" s="893">
        <f t="shared" si="959"/>
        <v>5</v>
      </c>
      <c r="R11873" s="894">
        <f t="shared" si="960"/>
        <v>0</v>
      </c>
    </row>
    <row r="11874" spans="1:18" s="847" customFormat="1">
      <c r="A11874" s="905"/>
      <c r="B11874" s="952"/>
      <c r="C11874" s="907">
        <v>235</v>
      </c>
      <c r="D11874" s="907" t="s">
        <v>279</v>
      </c>
      <c r="E11874" s="992" t="s">
        <v>2682</v>
      </c>
      <c r="F11874" s="905" t="s">
        <v>45</v>
      </c>
      <c r="G11874" s="1005"/>
      <c r="H11874" s="911">
        <v>0.18</v>
      </c>
      <c r="I11874" s="912">
        <f>VLOOKUP(E11874,[3]VLP!$B$7:$K$300,10,0)</f>
        <v>5000</v>
      </c>
      <c r="J11874" s="912">
        <f>I11874*H11874</f>
        <v>900</v>
      </c>
      <c r="K11874" s="912" t="s">
        <v>274</v>
      </c>
      <c r="L11874" s="912"/>
      <c r="M11874" s="912"/>
      <c r="N11874" s="912"/>
      <c r="O11874" s="892">
        <f t="shared" si="961"/>
        <v>0</v>
      </c>
      <c r="P11874" s="903">
        <f t="shared" si="958"/>
        <v>1</v>
      </c>
      <c r="Q11874" s="893">
        <f t="shared" si="959"/>
        <v>4</v>
      </c>
      <c r="R11874" s="894">
        <f t="shared" si="960"/>
        <v>0</v>
      </c>
    </row>
    <row r="11875" spans="1:18" s="904" customFormat="1">
      <c r="A11875" s="905"/>
      <c r="B11875" s="952"/>
      <c r="C11875" s="907">
        <v>699</v>
      </c>
      <c r="D11875" s="907" t="s">
        <v>279</v>
      </c>
      <c r="E11875" s="992" t="s">
        <v>4006</v>
      </c>
      <c r="F11875" s="905" t="s">
        <v>4007</v>
      </c>
      <c r="G11875" s="1005"/>
      <c r="H11875" s="911">
        <v>2</v>
      </c>
      <c r="I11875" s="912">
        <f>VLOOKUP(E11875,[3]VLP!$B$7:$K$300,10,0)</f>
        <v>5000</v>
      </c>
      <c r="J11875" s="912">
        <f>I11875*H11875</f>
        <v>10000</v>
      </c>
      <c r="K11875" s="912" t="s">
        <v>274</v>
      </c>
      <c r="L11875" s="912"/>
      <c r="M11875" s="912"/>
      <c r="N11875" s="912"/>
      <c r="O11875" s="892">
        <f t="shared" si="961"/>
        <v>0</v>
      </c>
      <c r="P11875" s="903">
        <f t="shared" si="958"/>
        <v>1</v>
      </c>
      <c r="Q11875" s="893">
        <f t="shared" si="959"/>
        <v>3</v>
      </c>
      <c r="R11875" s="894">
        <f t="shared" si="960"/>
        <v>0</v>
      </c>
    </row>
    <row r="11876" spans="1:18">
      <c r="A11876" s="895"/>
      <c r="B11876" s="1017"/>
      <c r="C11876" s="897"/>
      <c r="D11876" s="897"/>
      <c r="E11876" s="1002" t="s">
        <v>276</v>
      </c>
      <c r="F11876" s="1003"/>
      <c r="G11876" s="1004"/>
      <c r="H11876" s="901"/>
      <c r="I11876" s="902"/>
      <c r="J11876" s="902"/>
      <c r="K11876" s="912" t="s">
        <v>274</v>
      </c>
      <c r="L11876" s="902"/>
      <c r="M11876" s="902"/>
      <c r="N11876" s="902"/>
      <c r="O11876" s="892">
        <f t="shared" si="961"/>
        <v>0</v>
      </c>
      <c r="P11876" s="903">
        <f t="shared" si="958"/>
        <v>1</v>
      </c>
      <c r="Q11876" s="893">
        <f t="shared" si="959"/>
        <v>2</v>
      </c>
      <c r="R11876" s="894">
        <f t="shared" si="960"/>
        <v>0</v>
      </c>
    </row>
    <row r="11877" spans="1:18">
      <c r="A11877" s="905"/>
      <c r="B11877" s="952"/>
      <c r="C11877" s="907">
        <v>745</v>
      </c>
      <c r="D11877" s="907" t="s">
        <v>12</v>
      </c>
      <c r="E11877" s="992" t="s">
        <v>5518</v>
      </c>
      <c r="F11877" s="905" t="s">
        <v>2674</v>
      </c>
      <c r="G11877" s="1005"/>
      <c r="H11877" s="911">
        <v>1.1399999999999999</v>
      </c>
      <c r="I11877" s="912"/>
      <c r="J11877" s="912"/>
      <c r="K11877" s="912">
        <f>VLOOKUP(E11877,[5]ĐMNC!$A$7:$F$67,4,0)</f>
        <v>240557</v>
      </c>
      <c r="L11877" s="912">
        <f>H11877*K11877</f>
        <v>274234.98</v>
      </c>
      <c r="M11877" s="912"/>
      <c r="N11877" s="912"/>
      <c r="O11877" s="892">
        <f t="shared" si="961"/>
        <v>0</v>
      </c>
      <c r="P11877" s="903">
        <f t="shared" si="958"/>
        <v>1</v>
      </c>
      <c r="Q11877" s="893">
        <f t="shared" si="959"/>
        <v>1</v>
      </c>
      <c r="R11877" s="894">
        <f t="shared" si="960"/>
        <v>0</v>
      </c>
    </row>
    <row r="11878" spans="1:18" s="904" customFormat="1">
      <c r="A11878" s="905">
        <v>593</v>
      </c>
      <c r="B11878" s="1018" t="s">
        <v>7006</v>
      </c>
      <c r="C11878" s="915"/>
      <c r="D11878" s="915"/>
      <c r="E11878" s="1006" t="s">
        <v>7007</v>
      </c>
      <c r="F11878" s="917" t="s">
        <v>2337</v>
      </c>
      <c r="G11878" s="1008"/>
      <c r="H11878" s="919"/>
      <c r="I11878" s="920"/>
      <c r="J11878" s="891">
        <f>SUM(J11879:J11885)</f>
        <v>61000</v>
      </c>
      <c r="K11878" s="891"/>
      <c r="L11878" s="891">
        <f>SUM(L11879:L11885)</f>
        <v>365646.64</v>
      </c>
      <c r="M11878" s="891"/>
      <c r="N11878" s="891">
        <f>SUM(N11879:N11885)</f>
        <v>0</v>
      </c>
      <c r="O11878" s="892">
        <f t="shared" si="961"/>
        <v>1</v>
      </c>
      <c r="P11878" s="903">
        <f t="shared" si="958"/>
        <v>0</v>
      </c>
      <c r="Q11878" s="893">
        <f t="shared" si="959"/>
        <v>0</v>
      </c>
      <c r="R11878" s="894">
        <f t="shared" si="960"/>
        <v>7</v>
      </c>
    </row>
    <row r="11879" spans="1:18">
      <c r="A11879" s="895"/>
      <c r="B11879" s="1017"/>
      <c r="C11879" s="897"/>
      <c r="D11879" s="897"/>
      <c r="E11879" s="1002" t="s">
        <v>108</v>
      </c>
      <c r="F11879" s="1003"/>
      <c r="G11879" s="1004"/>
      <c r="H11879" s="901"/>
      <c r="I11879" s="902"/>
      <c r="J11879" s="902"/>
      <c r="K11879" s="912" t="s">
        <v>274</v>
      </c>
      <c r="L11879" s="902"/>
      <c r="M11879" s="902"/>
      <c r="N11879" s="902"/>
      <c r="O11879" s="892">
        <f t="shared" si="961"/>
        <v>0</v>
      </c>
      <c r="P11879" s="903">
        <f t="shared" si="958"/>
        <v>1</v>
      </c>
      <c r="Q11879" s="893">
        <f t="shared" si="959"/>
        <v>7</v>
      </c>
      <c r="R11879" s="894">
        <f t="shared" si="960"/>
        <v>0</v>
      </c>
    </row>
    <row r="11880" spans="1:18" s="847" customFormat="1">
      <c r="A11880" s="905"/>
      <c r="B11880" s="952"/>
      <c r="C11880" s="907">
        <v>239</v>
      </c>
      <c r="D11880" s="907" t="s">
        <v>279</v>
      </c>
      <c r="E11880" s="992" t="s">
        <v>6999</v>
      </c>
      <c r="F11880" s="905" t="s">
        <v>51</v>
      </c>
      <c r="G11880" s="1005"/>
      <c r="H11880" s="911">
        <v>1</v>
      </c>
      <c r="I11880" s="912">
        <f>VLOOKUP(E11880,[3]VLP!$B$7:$K$300,10,0)</f>
        <v>33800</v>
      </c>
      <c r="J11880" s="912">
        <f>I11880*H11880</f>
        <v>33800</v>
      </c>
      <c r="K11880" s="912" t="s">
        <v>274</v>
      </c>
      <c r="L11880" s="912"/>
      <c r="M11880" s="912"/>
      <c r="N11880" s="912"/>
      <c r="O11880" s="892">
        <f t="shared" si="961"/>
        <v>0</v>
      </c>
      <c r="P11880" s="903">
        <f t="shared" si="958"/>
        <v>1</v>
      </c>
      <c r="Q11880" s="893">
        <f t="shared" si="959"/>
        <v>6</v>
      </c>
      <c r="R11880" s="894">
        <f t="shared" si="960"/>
        <v>0</v>
      </c>
    </row>
    <row r="11881" spans="1:18" s="904" customFormat="1">
      <c r="A11881" s="905"/>
      <c r="B11881" s="952"/>
      <c r="C11881" s="907">
        <v>212</v>
      </c>
      <c r="D11881" s="907" t="s">
        <v>279</v>
      </c>
      <c r="E11881" s="992" t="s">
        <v>2681</v>
      </c>
      <c r="F11881" s="905" t="s">
        <v>45</v>
      </c>
      <c r="G11881" s="1005"/>
      <c r="H11881" s="911">
        <v>0.7</v>
      </c>
      <c r="I11881" s="912">
        <f>VLOOKUP(E11881,[3]VLP!$B$7:$K$300,10,0)</f>
        <v>23000</v>
      </c>
      <c r="J11881" s="912">
        <f>I11881*H11881</f>
        <v>16099.999999999998</v>
      </c>
      <c r="K11881" s="912" t="s">
        <v>274</v>
      </c>
      <c r="L11881" s="912"/>
      <c r="M11881" s="912"/>
      <c r="N11881" s="912"/>
      <c r="O11881" s="892">
        <f t="shared" si="961"/>
        <v>0</v>
      </c>
      <c r="P11881" s="903">
        <f t="shared" si="958"/>
        <v>1</v>
      </c>
      <c r="Q11881" s="893">
        <f t="shared" si="959"/>
        <v>5</v>
      </c>
      <c r="R11881" s="894">
        <f t="shared" si="960"/>
        <v>0</v>
      </c>
    </row>
    <row r="11882" spans="1:18">
      <c r="A11882" s="905"/>
      <c r="B11882" s="952"/>
      <c r="C11882" s="907">
        <v>235</v>
      </c>
      <c r="D11882" s="907" t="s">
        <v>279</v>
      </c>
      <c r="E11882" s="992" t="s">
        <v>2682</v>
      </c>
      <c r="F11882" s="905" t="s">
        <v>45</v>
      </c>
      <c r="G11882" s="1005"/>
      <c r="H11882" s="911">
        <v>0.22</v>
      </c>
      <c r="I11882" s="912">
        <f>VLOOKUP(E11882,[3]VLP!$B$7:$K$300,10,0)</f>
        <v>5000</v>
      </c>
      <c r="J11882" s="912">
        <f>I11882*H11882</f>
        <v>1100</v>
      </c>
      <c r="K11882" s="912" t="s">
        <v>274</v>
      </c>
      <c r="L11882" s="912"/>
      <c r="M11882" s="912"/>
      <c r="N11882" s="912"/>
      <c r="O11882" s="892">
        <f t="shared" si="961"/>
        <v>0</v>
      </c>
      <c r="P11882" s="903">
        <f t="shared" si="958"/>
        <v>1</v>
      </c>
      <c r="Q11882" s="893">
        <f t="shared" si="959"/>
        <v>4</v>
      </c>
      <c r="R11882" s="894">
        <f t="shared" si="960"/>
        <v>0</v>
      </c>
    </row>
    <row r="11883" spans="1:18">
      <c r="A11883" s="905"/>
      <c r="B11883" s="952"/>
      <c r="C11883" s="907">
        <v>699</v>
      </c>
      <c r="D11883" s="907" t="s">
        <v>279</v>
      </c>
      <c r="E11883" s="992" t="s">
        <v>4006</v>
      </c>
      <c r="F11883" s="905" t="s">
        <v>4007</v>
      </c>
      <c r="G11883" s="1005"/>
      <c r="H11883" s="911">
        <v>2</v>
      </c>
      <c r="I11883" s="912">
        <f>VLOOKUP(E11883,[3]VLP!$B$7:$K$300,10,0)</f>
        <v>5000</v>
      </c>
      <c r="J11883" s="912">
        <f>I11883*H11883</f>
        <v>10000</v>
      </c>
      <c r="K11883" s="912" t="s">
        <v>274</v>
      </c>
      <c r="L11883" s="912"/>
      <c r="M11883" s="912"/>
      <c r="N11883" s="912"/>
      <c r="O11883" s="892">
        <f t="shared" si="961"/>
        <v>0</v>
      </c>
      <c r="P11883" s="903">
        <f t="shared" si="958"/>
        <v>1</v>
      </c>
      <c r="Q11883" s="893">
        <f t="shared" si="959"/>
        <v>3</v>
      </c>
      <c r="R11883" s="894">
        <f t="shared" si="960"/>
        <v>0</v>
      </c>
    </row>
    <row r="11884" spans="1:18" s="904" customFormat="1">
      <c r="A11884" s="895"/>
      <c r="B11884" s="1017"/>
      <c r="C11884" s="897"/>
      <c r="D11884" s="897"/>
      <c r="E11884" s="1002" t="s">
        <v>276</v>
      </c>
      <c r="F11884" s="1003"/>
      <c r="G11884" s="1004"/>
      <c r="H11884" s="901"/>
      <c r="I11884" s="902"/>
      <c r="J11884" s="902"/>
      <c r="K11884" s="912" t="s">
        <v>274</v>
      </c>
      <c r="L11884" s="902"/>
      <c r="M11884" s="902"/>
      <c r="N11884" s="902"/>
      <c r="O11884" s="892">
        <f t="shared" si="961"/>
        <v>0</v>
      </c>
      <c r="P11884" s="903">
        <f t="shared" si="958"/>
        <v>1</v>
      </c>
      <c r="Q11884" s="893">
        <f t="shared" si="959"/>
        <v>2</v>
      </c>
      <c r="R11884" s="894">
        <f t="shared" si="960"/>
        <v>0</v>
      </c>
    </row>
    <row r="11885" spans="1:18">
      <c r="A11885" s="905"/>
      <c r="B11885" s="952"/>
      <c r="C11885" s="907">
        <v>745</v>
      </c>
      <c r="D11885" s="907" t="s">
        <v>12</v>
      </c>
      <c r="E11885" s="992" t="s">
        <v>5518</v>
      </c>
      <c r="F11885" s="905" t="s">
        <v>2674</v>
      </c>
      <c r="G11885" s="1005"/>
      <c r="H11885" s="911">
        <v>1.52</v>
      </c>
      <c r="I11885" s="912"/>
      <c r="J11885" s="912"/>
      <c r="K11885" s="912">
        <f>VLOOKUP(E11885,[5]ĐMNC!$A$7:$F$67,4,0)</f>
        <v>240557</v>
      </c>
      <c r="L11885" s="912">
        <f>H11885*K11885</f>
        <v>365646.64</v>
      </c>
      <c r="M11885" s="912"/>
      <c r="N11885" s="912"/>
      <c r="O11885" s="892">
        <f t="shared" si="961"/>
        <v>0</v>
      </c>
      <c r="P11885" s="903">
        <f t="shared" si="958"/>
        <v>1</v>
      </c>
      <c r="Q11885" s="893">
        <f t="shared" si="959"/>
        <v>1</v>
      </c>
      <c r="R11885" s="894">
        <f t="shared" si="960"/>
        <v>0</v>
      </c>
    </row>
    <row r="11886" spans="1:18" s="847" customFormat="1">
      <c r="A11886" s="905">
        <v>594</v>
      </c>
      <c r="B11886" s="1018" t="s">
        <v>7008</v>
      </c>
      <c r="C11886" s="915"/>
      <c r="D11886" s="915"/>
      <c r="E11886" s="1006" t="s">
        <v>7009</v>
      </c>
      <c r="F11886" s="917" t="s">
        <v>2337</v>
      </c>
      <c r="G11886" s="1008"/>
      <c r="H11886" s="919"/>
      <c r="I11886" s="920"/>
      <c r="J11886" s="891">
        <f>SUM(J11887:J11893)</f>
        <v>65850</v>
      </c>
      <c r="K11886" s="891"/>
      <c r="L11886" s="891">
        <f>SUM(L11887:L11893)</f>
        <v>457058.3</v>
      </c>
      <c r="M11886" s="891"/>
      <c r="N11886" s="891">
        <f>SUM(N11887:N11893)</f>
        <v>0</v>
      </c>
      <c r="O11886" s="892">
        <f t="shared" si="961"/>
        <v>1</v>
      </c>
      <c r="P11886" s="903">
        <f t="shared" si="958"/>
        <v>0</v>
      </c>
      <c r="Q11886" s="893">
        <f t="shared" si="959"/>
        <v>0</v>
      </c>
      <c r="R11886" s="894">
        <f t="shared" si="960"/>
        <v>7</v>
      </c>
    </row>
    <row r="11887" spans="1:18" s="904" customFormat="1">
      <c r="A11887" s="895"/>
      <c r="B11887" s="1017"/>
      <c r="C11887" s="897"/>
      <c r="D11887" s="897"/>
      <c r="E11887" s="1002" t="s">
        <v>108</v>
      </c>
      <c r="F11887" s="1003"/>
      <c r="G11887" s="1004"/>
      <c r="H11887" s="901"/>
      <c r="I11887" s="902"/>
      <c r="J11887" s="902"/>
      <c r="K11887" s="912" t="s">
        <v>274</v>
      </c>
      <c r="L11887" s="902"/>
      <c r="M11887" s="902"/>
      <c r="N11887" s="902"/>
      <c r="O11887" s="892">
        <f t="shared" si="961"/>
        <v>0</v>
      </c>
      <c r="P11887" s="903">
        <f t="shared" si="958"/>
        <v>1</v>
      </c>
      <c r="Q11887" s="893">
        <f t="shared" si="959"/>
        <v>7</v>
      </c>
      <c r="R11887" s="894">
        <f t="shared" si="960"/>
        <v>0</v>
      </c>
    </row>
    <row r="11888" spans="1:18">
      <c r="A11888" s="905"/>
      <c r="B11888" s="952"/>
      <c r="C11888" s="907">
        <v>239</v>
      </c>
      <c r="D11888" s="907" t="s">
        <v>279</v>
      </c>
      <c r="E11888" s="992" t="s">
        <v>6999</v>
      </c>
      <c r="F11888" s="905" t="s">
        <v>51</v>
      </c>
      <c r="G11888" s="1005"/>
      <c r="H11888" s="911">
        <v>1</v>
      </c>
      <c r="I11888" s="912">
        <f>VLOOKUP(E11888,[3]VLP!$B$7:$K$300,10,0)</f>
        <v>33800</v>
      </c>
      <c r="J11888" s="912">
        <f>I11888*H11888</f>
        <v>33800</v>
      </c>
      <c r="K11888" s="912" t="s">
        <v>274</v>
      </c>
      <c r="L11888" s="912"/>
      <c r="M11888" s="912"/>
      <c r="N11888" s="912"/>
      <c r="O11888" s="892">
        <f t="shared" si="961"/>
        <v>0</v>
      </c>
      <c r="P11888" s="903">
        <f t="shared" si="958"/>
        <v>1</v>
      </c>
      <c r="Q11888" s="893">
        <f t="shared" si="959"/>
        <v>6</v>
      </c>
      <c r="R11888" s="894">
        <f t="shared" si="960"/>
        <v>0</v>
      </c>
    </row>
    <row r="11889" spans="1:18">
      <c r="A11889" s="905"/>
      <c r="B11889" s="952"/>
      <c r="C11889" s="907">
        <v>212</v>
      </c>
      <c r="D11889" s="907" t="s">
        <v>279</v>
      </c>
      <c r="E11889" s="992" t="s">
        <v>2681</v>
      </c>
      <c r="F11889" s="905" t="s">
        <v>45</v>
      </c>
      <c r="G11889" s="1005"/>
      <c r="H11889" s="911">
        <v>0.9</v>
      </c>
      <c r="I11889" s="912">
        <f>VLOOKUP(E11889,[3]VLP!$B$7:$K$300,10,0)</f>
        <v>23000</v>
      </c>
      <c r="J11889" s="912">
        <f>I11889*H11889</f>
        <v>20700</v>
      </c>
      <c r="K11889" s="912" t="s">
        <v>274</v>
      </c>
      <c r="L11889" s="912"/>
      <c r="M11889" s="912"/>
      <c r="N11889" s="912"/>
      <c r="O11889" s="892">
        <f t="shared" si="961"/>
        <v>0</v>
      </c>
      <c r="P11889" s="903">
        <f t="shared" si="958"/>
        <v>1</v>
      </c>
      <c r="Q11889" s="893">
        <f t="shared" si="959"/>
        <v>5</v>
      </c>
      <c r="R11889" s="894">
        <f t="shared" si="960"/>
        <v>0</v>
      </c>
    </row>
    <row r="11890" spans="1:18" s="904" customFormat="1">
      <c r="A11890" s="905"/>
      <c r="B11890" s="952"/>
      <c r="C11890" s="907">
        <v>235</v>
      </c>
      <c r="D11890" s="907" t="s">
        <v>279</v>
      </c>
      <c r="E11890" s="992" t="s">
        <v>2682</v>
      </c>
      <c r="F11890" s="905" t="s">
        <v>45</v>
      </c>
      <c r="G11890" s="1005"/>
      <c r="H11890" s="911">
        <v>0.27</v>
      </c>
      <c r="I11890" s="912">
        <f>VLOOKUP(E11890,[3]VLP!$B$7:$K$300,10,0)</f>
        <v>5000</v>
      </c>
      <c r="J11890" s="912">
        <f>I11890*H11890</f>
        <v>1350</v>
      </c>
      <c r="K11890" s="912" t="s">
        <v>274</v>
      </c>
      <c r="L11890" s="912"/>
      <c r="M11890" s="912"/>
      <c r="N11890" s="912"/>
      <c r="O11890" s="892">
        <f t="shared" si="961"/>
        <v>0</v>
      </c>
      <c r="P11890" s="903">
        <f t="shared" si="958"/>
        <v>1</v>
      </c>
      <c r="Q11890" s="893">
        <f t="shared" si="959"/>
        <v>4</v>
      </c>
      <c r="R11890" s="894">
        <f t="shared" si="960"/>
        <v>0</v>
      </c>
    </row>
    <row r="11891" spans="1:18">
      <c r="A11891" s="905"/>
      <c r="B11891" s="952"/>
      <c r="C11891" s="907">
        <v>699</v>
      </c>
      <c r="D11891" s="907" t="s">
        <v>279</v>
      </c>
      <c r="E11891" s="992" t="s">
        <v>4006</v>
      </c>
      <c r="F11891" s="905" t="s">
        <v>4007</v>
      </c>
      <c r="G11891" s="1005"/>
      <c r="H11891" s="911">
        <v>2</v>
      </c>
      <c r="I11891" s="912">
        <f>VLOOKUP(E11891,[3]VLP!$B$7:$K$300,10,0)</f>
        <v>5000</v>
      </c>
      <c r="J11891" s="912">
        <f>I11891*H11891</f>
        <v>10000</v>
      </c>
      <c r="K11891" s="912" t="s">
        <v>274</v>
      </c>
      <c r="L11891" s="912"/>
      <c r="M11891" s="912"/>
      <c r="N11891" s="912"/>
      <c r="O11891" s="892">
        <f t="shared" si="961"/>
        <v>0</v>
      </c>
      <c r="P11891" s="903">
        <f t="shared" ref="P11891:P11954" si="962">IF(O11891=0,1,0)</f>
        <v>1</v>
      </c>
      <c r="Q11891" s="893">
        <f t="shared" ref="Q11891:Q11954" si="963">IF(P11891=0,0,P11891+Q11892)</f>
        <v>3</v>
      </c>
      <c r="R11891" s="894">
        <f t="shared" ref="R11891:R11954" si="964">IF(Q11891=0,Q11892,0)</f>
        <v>0</v>
      </c>
    </row>
    <row r="11892" spans="1:18" s="847" customFormat="1">
      <c r="A11892" s="895"/>
      <c r="B11892" s="896"/>
      <c r="C11892" s="897"/>
      <c r="D11892" s="897"/>
      <c r="E11892" s="1002" t="s">
        <v>276</v>
      </c>
      <c r="F11892" s="1003"/>
      <c r="G11892" s="1004"/>
      <c r="H11892" s="901"/>
      <c r="I11892" s="902"/>
      <c r="J11892" s="902"/>
      <c r="K11892" s="912" t="s">
        <v>274</v>
      </c>
      <c r="L11892" s="902"/>
      <c r="M11892" s="902"/>
      <c r="N11892" s="902"/>
      <c r="O11892" s="892">
        <f t="shared" si="961"/>
        <v>0</v>
      </c>
      <c r="P11892" s="903">
        <f t="shared" si="962"/>
        <v>1</v>
      </c>
      <c r="Q11892" s="893">
        <f t="shared" si="963"/>
        <v>2</v>
      </c>
      <c r="R11892" s="894">
        <f t="shared" si="964"/>
        <v>0</v>
      </c>
    </row>
    <row r="11893" spans="1:18" s="904" customFormat="1">
      <c r="A11893" s="905"/>
      <c r="B11893" s="952"/>
      <c r="C11893" s="907">
        <v>745</v>
      </c>
      <c r="D11893" s="907" t="s">
        <v>12</v>
      </c>
      <c r="E11893" s="992" t="s">
        <v>5518</v>
      </c>
      <c r="F11893" s="905" t="s">
        <v>2674</v>
      </c>
      <c r="G11893" s="1005"/>
      <c r="H11893" s="911">
        <v>1.9</v>
      </c>
      <c r="I11893" s="912"/>
      <c r="J11893" s="912"/>
      <c r="K11893" s="912">
        <f>VLOOKUP(E11893,[5]ĐMNC!$A$7:$F$67,4,0)</f>
        <v>240557</v>
      </c>
      <c r="L11893" s="912">
        <f>H11893*K11893</f>
        <v>457058.3</v>
      </c>
      <c r="M11893" s="912"/>
      <c r="N11893" s="912"/>
      <c r="O11893" s="892">
        <f t="shared" si="961"/>
        <v>0</v>
      </c>
      <c r="P11893" s="903">
        <f t="shared" si="962"/>
        <v>1</v>
      </c>
      <c r="Q11893" s="893">
        <f t="shared" si="963"/>
        <v>1</v>
      </c>
      <c r="R11893" s="894">
        <f t="shared" si="964"/>
        <v>0</v>
      </c>
    </row>
    <row r="11894" spans="1:18" ht="31.5">
      <c r="A11894" s="905" t="s">
        <v>7010</v>
      </c>
      <c r="B11894" s="1018" t="s">
        <v>7011</v>
      </c>
      <c r="C11894" s="915"/>
      <c r="D11894" s="915"/>
      <c r="E11894" s="1006" t="s">
        <v>7012</v>
      </c>
      <c r="F11894" s="917" t="s">
        <v>43</v>
      </c>
      <c r="G11894" s="1008"/>
      <c r="H11894" s="919"/>
      <c r="I11894" s="920"/>
      <c r="J11894" s="891">
        <f>SUM(J11895:J11899)</f>
        <v>25463.65</v>
      </c>
      <c r="K11894" s="891"/>
      <c r="L11894" s="891">
        <f>SUM(L11895:L11899)</f>
        <v>269772.5</v>
      </c>
      <c r="M11894" s="891"/>
      <c r="N11894" s="891">
        <f>SUM(N11895:N11899)</f>
        <v>0</v>
      </c>
      <c r="O11894" s="892">
        <f t="shared" si="961"/>
        <v>1</v>
      </c>
      <c r="P11894" s="903">
        <f t="shared" si="962"/>
        <v>0</v>
      </c>
      <c r="Q11894" s="893">
        <f t="shared" si="963"/>
        <v>0</v>
      </c>
      <c r="R11894" s="894">
        <f t="shared" si="964"/>
        <v>5</v>
      </c>
    </row>
    <row r="11895" spans="1:18" s="904" customFormat="1">
      <c r="A11895" s="895"/>
      <c r="B11895" s="922"/>
      <c r="C11895" s="897"/>
      <c r="D11895" s="897"/>
      <c r="E11895" s="1002" t="s">
        <v>108</v>
      </c>
      <c r="F11895" s="1003"/>
      <c r="G11895" s="1004"/>
      <c r="H11895" s="901"/>
      <c r="I11895" s="902"/>
      <c r="J11895" s="902"/>
      <c r="K11895" s="912" t="s">
        <v>274</v>
      </c>
      <c r="L11895" s="902"/>
      <c r="M11895" s="902"/>
      <c r="N11895" s="902"/>
      <c r="O11895" s="892">
        <f t="shared" si="961"/>
        <v>0</v>
      </c>
      <c r="P11895" s="903">
        <f t="shared" si="962"/>
        <v>1</v>
      </c>
      <c r="Q11895" s="893">
        <f t="shared" si="963"/>
        <v>5</v>
      </c>
      <c r="R11895" s="894">
        <f t="shared" si="964"/>
        <v>0</v>
      </c>
    </row>
    <row r="11896" spans="1:18">
      <c r="A11896" s="905"/>
      <c r="B11896" s="946"/>
      <c r="C11896" s="907">
        <v>230</v>
      </c>
      <c r="D11896" s="907" t="s">
        <v>279</v>
      </c>
      <c r="E11896" s="992" t="s">
        <v>7013</v>
      </c>
      <c r="F11896" s="905" t="s">
        <v>45</v>
      </c>
      <c r="G11896" s="1005"/>
      <c r="H11896" s="911">
        <v>0.03</v>
      </c>
      <c r="I11896" s="912">
        <f>VLOOKUP(E11896,[3]VLP!$B$7:$K$300,10,0)</f>
        <v>15455</v>
      </c>
      <c r="J11896" s="912">
        <f>I11896*H11896</f>
        <v>463.65</v>
      </c>
      <c r="K11896" s="912" t="s">
        <v>274</v>
      </c>
      <c r="L11896" s="912"/>
      <c r="M11896" s="912"/>
      <c r="N11896" s="912"/>
      <c r="O11896" s="892">
        <f t="shared" si="961"/>
        <v>0</v>
      </c>
      <c r="P11896" s="903">
        <f t="shared" si="962"/>
        <v>1</v>
      </c>
      <c r="Q11896" s="893">
        <f t="shared" si="963"/>
        <v>4</v>
      </c>
      <c r="R11896" s="894">
        <f t="shared" si="964"/>
        <v>0</v>
      </c>
    </row>
    <row r="11897" spans="1:18" s="847" customFormat="1">
      <c r="A11897" s="905"/>
      <c r="B11897" s="946"/>
      <c r="C11897" s="907">
        <v>699</v>
      </c>
      <c r="D11897" s="907" t="s">
        <v>279</v>
      </c>
      <c r="E11897" s="992" t="s">
        <v>4006</v>
      </c>
      <c r="F11897" s="905" t="s">
        <v>4007</v>
      </c>
      <c r="G11897" s="1005"/>
      <c r="H11897" s="911">
        <v>5</v>
      </c>
      <c r="I11897" s="912">
        <f>VLOOKUP(E11897,[3]VLP!$B$7:$K$300,10,0)</f>
        <v>5000</v>
      </c>
      <c r="J11897" s="912">
        <f>I11897*H11897</f>
        <v>25000</v>
      </c>
      <c r="K11897" s="912" t="s">
        <v>274</v>
      </c>
      <c r="L11897" s="912"/>
      <c r="M11897" s="912"/>
      <c r="N11897" s="912"/>
      <c r="O11897" s="892">
        <f t="shared" si="961"/>
        <v>0</v>
      </c>
      <c r="P11897" s="903">
        <f t="shared" si="962"/>
        <v>1</v>
      </c>
      <c r="Q11897" s="893">
        <f t="shared" si="963"/>
        <v>3</v>
      </c>
      <c r="R11897" s="894">
        <f t="shared" si="964"/>
        <v>0</v>
      </c>
    </row>
    <row r="11898" spans="1:18">
      <c r="A11898" s="895"/>
      <c r="B11898" s="922"/>
      <c r="C11898" s="897"/>
      <c r="D11898" s="897"/>
      <c r="E11898" s="1002" t="s">
        <v>276</v>
      </c>
      <c r="F11898" s="1003"/>
      <c r="G11898" s="1004"/>
      <c r="H11898" s="901"/>
      <c r="I11898" s="902"/>
      <c r="J11898" s="902"/>
      <c r="K11898" s="912" t="s">
        <v>274</v>
      </c>
      <c r="L11898" s="902"/>
      <c r="M11898" s="902"/>
      <c r="N11898" s="902"/>
      <c r="O11898" s="892">
        <f t="shared" si="961"/>
        <v>0</v>
      </c>
      <c r="P11898" s="903">
        <f t="shared" si="962"/>
        <v>1</v>
      </c>
      <c r="Q11898" s="893">
        <f t="shared" si="963"/>
        <v>2</v>
      </c>
      <c r="R11898" s="894">
        <f t="shared" si="964"/>
        <v>0</v>
      </c>
    </row>
    <row r="11899" spans="1:18">
      <c r="A11899" s="905"/>
      <c r="B11899" s="946"/>
      <c r="C11899" s="907">
        <v>740</v>
      </c>
      <c r="D11899" s="907" t="s">
        <v>12</v>
      </c>
      <c r="E11899" s="992" t="s">
        <v>4008</v>
      </c>
      <c r="F11899" s="905" t="s">
        <v>2674</v>
      </c>
      <c r="G11899" s="1005"/>
      <c r="H11899" s="911">
        <v>1.22</v>
      </c>
      <c r="I11899" s="912"/>
      <c r="J11899" s="912"/>
      <c r="K11899" s="912">
        <f>VLOOKUP(E11899,[5]ĐMNC!$A$7:$F$67,4,0)</f>
        <v>221125</v>
      </c>
      <c r="L11899" s="912">
        <f>H11899*K11899</f>
        <v>269772.5</v>
      </c>
      <c r="M11899" s="912"/>
      <c r="N11899" s="912"/>
      <c r="O11899" s="892">
        <f t="shared" si="961"/>
        <v>0</v>
      </c>
      <c r="P11899" s="903">
        <f t="shared" si="962"/>
        <v>1</v>
      </c>
      <c r="Q11899" s="893">
        <f t="shared" si="963"/>
        <v>1</v>
      </c>
      <c r="R11899" s="894">
        <f t="shared" si="964"/>
        <v>0</v>
      </c>
    </row>
    <row r="11900" spans="1:18" ht="31.5">
      <c r="A11900" s="905" t="s">
        <v>7010</v>
      </c>
      <c r="B11900" s="1018" t="s">
        <v>7014</v>
      </c>
      <c r="C11900" s="915"/>
      <c r="D11900" s="915"/>
      <c r="E11900" s="1006" t="s">
        <v>7015</v>
      </c>
      <c r="F11900" s="917" t="s">
        <v>43</v>
      </c>
      <c r="G11900" s="1008"/>
      <c r="H11900" s="919"/>
      <c r="I11900" s="920"/>
      <c r="J11900" s="891">
        <f>SUM(J11901:J11905)</f>
        <v>25463.65</v>
      </c>
      <c r="K11900" s="891"/>
      <c r="L11900" s="891">
        <f>SUM(L11901:L11905)</f>
        <v>356011.25</v>
      </c>
      <c r="M11900" s="891"/>
      <c r="N11900" s="891">
        <f>SUM(N11901:N11905)</f>
        <v>0</v>
      </c>
      <c r="O11900" s="892">
        <f t="shared" si="961"/>
        <v>1</v>
      </c>
      <c r="P11900" s="903">
        <f t="shared" si="962"/>
        <v>0</v>
      </c>
      <c r="Q11900" s="893">
        <f t="shared" si="963"/>
        <v>0</v>
      </c>
      <c r="R11900" s="894">
        <f t="shared" si="964"/>
        <v>5</v>
      </c>
    </row>
    <row r="11901" spans="1:18" s="904" customFormat="1">
      <c r="A11901" s="895"/>
      <c r="B11901" s="922"/>
      <c r="C11901" s="897"/>
      <c r="D11901" s="897"/>
      <c r="E11901" s="1002" t="s">
        <v>108</v>
      </c>
      <c r="F11901" s="1003"/>
      <c r="G11901" s="1004"/>
      <c r="H11901" s="901"/>
      <c r="I11901" s="902"/>
      <c r="J11901" s="902"/>
      <c r="K11901" s="912" t="s">
        <v>274</v>
      </c>
      <c r="L11901" s="902"/>
      <c r="M11901" s="902"/>
      <c r="N11901" s="902"/>
      <c r="O11901" s="892">
        <f t="shared" si="961"/>
        <v>0</v>
      </c>
      <c r="P11901" s="903">
        <f t="shared" si="962"/>
        <v>1</v>
      </c>
      <c r="Q11901" s="893">
        <f t="shared" si="963"/>
        <v>5</v>
      </c>
      <c r="R11901" s="894">
        <f t="shared" si="964"/>
        <v>0</v>
      </c>
    </row>
    <row r="11902" spans="1:18">
      <c r="A11902" s="905"/>
      <c r="B11902" s="946"/>
      <c r="C11902" s="907">
        <v>230</v>
      </c>
      <c r="D11902" s="907" t="s">
        <v>279</v>
      </c>
      <c r="E11902" s="992" t="s">
        <v>7013</v>
      </c>
      <c r="F11902" s="905" t="s">
        <v>45</v>
      </c>
      <c r="G11902" s="1005"/>
      <c r="H11902" s="911">
        <v>0.03</v>
      </c>
      <c r="I11902" s="912">
        <f>VLOOKUP(E11902,[3]VLP!$B$7:$K$300,10,0)</f>
        <v>15455</v>
      </c>
      <c r="J11902" s="912">
        <f>I11902*H11902</f>
        <v>463.65</v>
      </c>
      <c r="K11902" s="912" t="s">
        <v>274</v>
      </c>
      <c r="L11902" s="912"/>
      <c r="M11902" s="912"/>
      <c r="N11902" s="912"/>
      <c r="O11902" s="892">
        <f t="shared" si="961"/>
        <v>0</v>
      </c>
      <c r="P11902" s="903">
        <f t="shared" si="962"/>
        <v>1</v>
      </c>
      <c r="Q11902" s="893">
        <f t="shared" si="963"/>
        <v>4</v>
      </c>
      <c r="R11902" s="894">
        <f t="shared" si="964"/>
        <v>0</v>
      </c>
    </row>
    <row r="11903" spans="1:18" s="847" customFormat="1">
      <c r="A11903" s="905"/>
      <c r="B11903" s="946"/>
      <c r="C11903" s="907">
        <v>699</v>
      </c>
      <c r="D11903" s="907" t="s">
        <v>279</v>
      </c>
      <c r="E11903" s="992" t="s">
        <v>4006</v>
      </c>
      <c r="F11903" s="905" t="s">
        <v>4007</v>
      </c>
      <c r="G11903" s="1005"/>
      <c r="H11903" s="911">
        <v>5</v>
      </c>
      <c r="I11903" s="912">
        <f>VLOOKUP(E11903,[3]VLP!$B$7:$K$300,10,0)</f>
        <v>5000</v>
      </c>
      <c r="J11903" s="912">
        <f>I11903*H11903</f>
        <v>25000</v>
      </c>
      <c r="K11903" s="912" t="s">
        <v>274</v>
      </c>
      <c r="L11903" s="912"/>
      <c r="M11903" s="912"/>
      <c r="N11903" s="912"/>
      <c r="O11903" s="892">
        <f t="shared" si="961"/>
        <v>0</v>
      </c>
      <c r="P11903" s="903">
        <f t="shared" si="962"/>
        <v>1</v>
      </c>
      <c r="Q11903" s="893">
        <f t="shared" si="963"/>
        <v>3</v>
      </c>
      <c r="R11903" s="894">
        <f t="shared" si="964"/>
        <v>0</v>
      </c>
    </row>
    <row r="11904" spans="1:18">
      <c r="A11904" s="895"/>
      <c r="B11904" s="922"/>
      <c r="C11904" s="897"/>
      <c r="D11904" s="897"/>
      <c r="E11904" s="1002" t="s">
        <v>276</v>
      </c>
      <c r="F11904" s="1003"/>
      <c r="G11904" s="1004"/>
      <c r="H11904" s="901"/>
      <c r="I11904" s="902"/>
      <c r="J11904" s="902"/>
      <c r="K11904" s="912" t="s">
        <v>274</v>
      </c>
      <c r="L11904" s="902"/>
      <c r="M11904" s="902"/>
      <c r="N11904" s="902"/>
      <c r="O11904" s="892">
        <f t="shared" si="961"/>
        <v>0</v>
      </c>
      <c r="P11904" s="903">
        <f t="shared" si="962"/>
        <v>1</v>
      </c>
      <c r="Q11904" s="893">
        <f t="shared" si="963"/>
        <v>2</v>
      </c>
      <c r="R11904" s="894">
        <f t="shared" si="964"/>
        <v>0</v>
      </c>
    </row>
    <row r="11905" spans="1:18">
      <c r="A11905" s="905"/>
      <c r="B11905" s="946"/>
      <c r="C11905" s="907">
        <v>740</v>
      </c>
      <c r="D11905" s="907" t="s">
        <v>12</v>
      </c>
      <c r="E11905" s="992" t="s">
        <v>4008</v>
      </c>
      <c r="F11905" s="905" t="s">
        <v>2674</v>
      </c>
      <c r="G11905" s="1005"/>
      <c r="H11905" s="911">
        <v>1.61</v>
      </c>
      <c r="I11905" s="912"/>
      <c r="J11905" s="912"/>
      <c r="K11905" s="912">
        <f>VLOOKUP(E11905,[5]ĐMNC!$A$7:$F$67,4,0)</f>
        <v>221125</v>
      </c>
      <c r="L11905" s="912">
        <f>H11905*K11905</f>
        <v>356011.25</v>
      </c>
      <c r="M11905" s="912"/>
      <c r="N11905" s="912"/>
      <c r="O11905" s="892">
        <f t="shared" si="961"/>
        <v>0</v>
      </c>
      <c r="P11905" s="903">
        <f t="shared" si="962"/>
        <v>1</v>
      </c>
      <c r="Q11905" s="893">
        <f t="shared" si="963"/>
        <v>1</v>
      </c>
      <c r="R11905" s="894">
        <f t="shared" si="964"/>
        <v>0</v>
      </c>
    </row>
    <row r="11906" spans="1:18" ht="31.5">
      <c r="A11906" s="905" t="s">
        <v>7010</v>
      </c>
      <c r="B11906" s="1018" t="s">
        <v>7016</v>
      </c>
      <c r="C11906" s="915"/>
      <c r="D11906" s="915"/>
      <c r="E11906" s="1006" t="s">
        <v>7017</v>
      </c>
      <c r="F11906" s="917" t="s">
        <v>43</v>
      </c>
      <c r="G11906" s="1008"/>
      <c r="H11906" s="919"/>
      <c r="I11906" s="920"/>
      <c r="J11906" s="891">
        <f>SUM(J11907:J11911)</f>
        <v>25463.65</v>
      </c>
      <c r="K11906" s="891"/>
      <c r="L11906" s="891">
        <f>SUM(L11907:L11911)</f>
        <v>475418.75</v>
      </c>
      <c r="M11906" s="891"/>
      <c r="N11906" s="891">
        <f>SUM(N11907:N11911)</f>
        <v>0</v>
      </c>
      <c r="O11906" s="892">
        <f t="shared" si="961"/>
        <v>1</v>
      </c>
      <c r="P11906" s="903">
        <f t="shared" si="962"/>
        <v>0</v>
      </c>
      <c r="Q11906" s="893">
        <f t="shared" si="963"/>
        <v>0</v>
      </c>
      <c r="R11906" s="894">
        <f t="shared" si="964"/>
        <v>5</v>
      </c>
    </row>
    <row r="11907" spans="1:18" s="904" customFormat="1">
      <c r="A11907" s="895"/>
      <c r="B11907" s="922"/>
      <c r="C11907" s="897"/>
      <c r="D11907" s="897"/>
      <c r="E11907" s="1002" t="s">
        <v>108</v>
      </c>
      <c r="F11907" s="1003"/>
      <c r="G11907" s="1004"/>
      <c r="H11907" s="901"/>
      <c r="I11907" s="902"/>
      <c r="J11907" s="902"/>
      <c r="K11907" s="912" t="s">
        <v>274</v>
      </c>
      <c r="L11907" s="902"/>
      <c r="M11907" s="902"/>
      <c r="N11907" s="902"/>
      <c r="O11907" s="892">
        <f t="shared" si="961"/>
        <v>0</v>
      </c>
      <c r="P11907" s="903">
        <f t="shared" si="962"/>
        <v>1</v>
      </c>
      <c r="Q11907" s="893">
        <f t="shared" si="963"/>
        <v>5</v>
      </c>
      <c r="R11907" s="894">
        <f t="shared" si="964"/>
        <v>0</v>
      </c>
    </row>
    <row r="11908" spans="1:18">
      <c r="A11908" s="905"/>
      <c r="B11908" s="946"/>
      <c r="C11908" s="907">
        <v>230</v>
      </c>
      <c r="D11908" s="907" t="s">
        <v>279</v>
      </c>
      <c r="E11908" s="992" t="s">
        <v>7013</v>
      </c>
      <c r="F11908" s="905" t="s">
        <v>45</v>
      </c>
      <c r="G11908" s="1005"/>
      <c r="H11908" s="911">
        <v>0.03</v>
      </c>
      <c r="I11908" s="912">
        <f>VLOOKUP(E11908,[3]VLP!$B$7:$K$300,10,0)</f>
        <v>15455</v>
      </c>
      <c r="J11908" s="912">
        <f>I11908*H11908</f>
        <v>463.65</v>
      </c>
      <c r="K11908" s="912" t="s">
        <v>274</v>
      </c>
      <c r="L11908" s="912"/>
      <c r="M11908" s="912"/>
      <c r="N11908" s="912"/>
      <c r="O11908" s="892">
        <f t="shared" si="961"/>
        <v>0</v>
      </c>
      <c r="P11908" s="903">
        <f t="shared" si="962"/>
        <v>1</v>
      </c>
      <c r="Q11908" s="893">
        <f t="shared" si="963"/>
        <v>4</v>
      </c>
      <c r="R11908" s="894">
        <f t="shared" si="964"/>
        <v>0</v>
      </c>
    </row>
    <row r="11909" spans="1:18" s="847" customFormat="1">
      <c r="A11909" s="905"/>
      <c r="B11909" s="946"/>
      <c r="C11909" s="907">
        <v>699</v>
      </c>
      <c r="D11909" s="907" t="s">
        <v>279</v>
      </c>
      <c r="E11909" s="992" t="s">
        <v>4006</v>
      </c>
      <c r="F11909" s="905" t="s">
        <v>4007</v>
      </c>
      <c r="G11909" s="1005"/>
      <c r="H11909" s="911">
        <v>5</v>
      </c>
      <c r="I11909" s="912">
        <f>VLOOKUP(E11909,[3]VLP!$B$7:$K$300,10,0)</f>
        <v>5000</v>
      </c>
      <c r="J11909" s="912">
        <f>I11909*H11909</f>
        <v>25000</v>
      </c>
      <c r="K11909" s="912" t="s">
        <v>274</v>
      </c>
      <c r="L11909" s="912"/>
      <c r="M11909" s="912"/>
      <c r="N11909" s="912"/>
      <c r="O11909" s="892">
        <f t="shared" si="961"/>
        <v>0</v>
      </c>
      <c r="P11909" s="903">
        <f t="shared" si="962"/>
        <v>1</v>
      </c>
      <c r="Q11909" s="893">
        <f t="shared" si="963"/>
        <v>3</v>
      </c>
      <c r="R11909" s="894">
        <f t="shared" si="964"/>
        <v>0</v>
      </c>
    </row>
    <row r="11910" spans="1:18">
      <c r="A11910" s="895"/>
      <c r="B11910" s="922"/>
      <c r="C11910" s="897"/>
      <c r="D11910" s="897"/>
      <c r="E11910" s="1002" t="s">
        <v>276</v>
      </c>
      <c r="F11910" s="1003"/>
      <c r="G11910" s="1004"/>
      <c r="H11910" s="901"/>
      <c r="I11910" s="902"/>
      <c r="J11910" s="902"/>
      <c r="K11910" s="912" t="s">
        <v>274</v>
      </c>
      <c r="L11910" s="902"/>
      <c r="M11910" s="902"/>
      <c r="N11910" s="902"/>
      <c r="O11910" s="892">
        <f t="shared" si="961"/>
        <v>0</v>
      </c>
      <c r="P11910" s="903">
        <f t="shared" si="962"/>
        <v>1</v>
      </c>
      <c r="Q11910" s="893">
        <f t="shared" si="963"/>
        <v>2</v>
      </c>
      <c r="R11910" s="894">
        <f t="shared" si="964"/>
        <v>0</v>
      </c>
    </row>
    <row r="11911" spans="1:18">
      <c r="A11911" s="905"/>
      <c r="B11911" s="946"/>
      <c r="C11911" s="907">
        <v>740</v>
      </c>
      <c r="D11911" s="907" t="s">
        <v>12</v>
      </c>
      <c r="E11911" s="992" t="s">
        <v>4008</v>
      </c>
      <c r="F11911" s="905" t="s">
        <v>2674</v>
      </c>
      <c r="G11911" s="1005"/>
      <c r="H11911" s="911">
        <v>2.15</v>
      </c>
      <c r="I11911" s="912"/>
      <c r="J11911" s="912"/>
      <c r="K11911" s="912">
        <f>VLOOKUP(E11911,[5]ĐMNC!$A$7:$F$67,4,0)</f>
        <v>221125</v>
      </c>
      <c r="L11911" s="912">
        <f>H11911*K11911</f>
        <v>475418.75</v>
      </c>
      <c r="M11911" s="912"/>
      <c r="N11911" s="912"/>
      <c r="O11911" s="892">
        <f t="shared" si="961"/>
        <v>0</v>
      </c>
      <c r="P11911" s="903">
        <f t="shared" si="962"/>
        <v>1</v>
      </c>
      <c r="Q11911" s="893">
        <f t="shared" si="963"/>
        <v>1</v>
      </c>
      <c r="R11911" s="894">
        <f t="shared" si="964"/>
        <v>0</v>
      </c>
    </row>
    <row r="11912" spans="1:18" ht="31.5">
      <c r="A11912" s="905" t="s">
        <v>7010</v>
      </c>
      <c r="B11912" s="1018" t="s">
        <v>7018</v>
      </c>
      <c r="C11912" s="915"/>
      <c r="D11912" s="915"/>
      <c r="E11912" s="1006" t="s">
        <v>7019</v>
      </c>
      <c r="F11912" s="917" t="s">
        <v>43</v>
      </c>
      <c r="G11912" s="1008"/>
      <c r="H11912" s="919"/>
      <c r="I11912" s="920"/>
      <c r="J11912" s="891">
        <f>SUM(J11913:J11917)</f>
        <v>25463.65</v>
      </c>
      <c r="K11912" s="891"/>
      <c r="L11912" s="891">
        <f>SUM(L11913:L11917)</f>
        <v>645685</v>
      </c>
      <c r="M11912" s="891"/>
      <c r="N11912" s="891">
        <f>SUM(N11913:N11917)</f>
        <v>0</v>
      </c>
      <c r="O11912" s="892">
        <f t="shared" si="961"/>
        <v>1</v>
      </c>
      <c r="P11912" s="903">
        <f t="shared" si="962"/>
        <v>0</v>
      </c>
      <c r="Q11912" s="893">
        <f t="shared" si="963"/>
        <v>0</v>
      </c>
      <c r="R11912" s="894">
        <f t="shared" si="964"/>
        <v>5</v>
      </c>
    </row>
    <row r="11913" spans="1:18" s="904" customFormat="1">
      <c r="A11913" s="895"/>
      <c r="B11913" s="922"/>
      <c r="C11913" s="897"/>
      <c r="D11913" s="897"/>
      <c r="E11913" s="1002" t="s">
        <v>108</v>
      </c>
      <c r="F11913" s="1003"/>
      <c r="G11913" s="1004"/>
      <c r="H11913" s="901"/>
      <c r="I11913" s="902"/>
      <c r="J11913" s="902"/>
      <c r="K11913" s="912" t="s">
        <v>274</v>
      </c>
      <c r="L11913" s="902"/>
      <c r="M11913" s="902"/>
      <c r="N11913" s="902"/>
      <c r="O11913" s="892">
        <f t="shared" si="961"/>
        <v>0</v>
      </c>
      <c r="P11913" s="903">
        <f t="shared" si="962"/>
        <v>1</v>
      </c>
      <c r="Q11913" s="893">
        <f t="shared" si="963"/>
        <v>5</v>
      </c>
      <c r="R11913" s="894">
        <f t="shared" si="964"/>
        <v>0</v>
      </c>
    </row>
    <row r="11914" spans="1:18">
      <c r="A11914" s="905"/>
      <c r="B11914" s="946"/>
      <c r="C11914" s="907">
        <v>230</v>
      </c>
      <c r="D11914" s="907" t="s">
        <v>279</v>
      </c>
      <c r="E11914" s="992" t="s">
        <v>7013</v>
      </c>
      <c r="F11914" s="905" t="s">
        <v>45</v>
      </c>
      <c r="G11914" s="1005"/>
      <c r="H11914" s="911">
        <v>0.03</v>
      </c>
      <c r="I11914" s="912">
        <f>VLOOKUP(E11914,[3]VLP!$B$7:$K$300,10,0)</f>
        <v>15455</v>
      </c>
      <c r="J11914" s="912">
        <f>I11914*H11914</f>
        <v>463.65</v>
      </c>
      <c r="K11914" s="912" t="s">
        <v>274</v>
      </c>
      <c r="L11914" s="912"/>
      <c r="M11914" s="912"/>
      <c r="N11914" s="912"/>
      <c r="O11914" s="892">
        <f t="shared" si="961"/>
        <v>0</v>
      </c>
      <c r="P11914" s="903">
        <f t="shared" si="962"/>
        <v>1</v>
      </c>
      <c r="Q11914" s="893">
        <f t="shared" si="963"/>
        <v>4</v>
      </c>
      <c r="R11914" s="894">
        <f t="shared" si="964"/>
        <v>0</v>
      </c>
    </row>
    <row r="11915" spans="1:18" s="847" customFormat="1">
      <c r="A11915" s="905"/>
      <c r="B11915" s="946"/>
      <c r="C11915" s="907">
        <v>699</v>
      </c>
      <c r="D11915" s="907" t="s">
        <v>279</v>
      </c>
      <c r="E11915" s="992" t="s">
        <v>4006</v>
      </c>
      <c r="F11915" s="905" t="s">
        <v>4007</v>
      </c>
      <c r="G11915" s="1005"/>
      <c r="H11915" s="911">
        <v>5</v>
      </c>
      <c r="I11915" s="912">
        <f>VLOOKUP(E11915,[3]VLP!$B$7:$K$300,10,0)</f>
        <v>5000</v>
      </c>
      <c r="J11915" s="912">
        <f>I11915*H11915</f>
        <v>25000</v>
      </c>
      <c r="K11915" s="912" t="s">
        <v>274</v>
      </c>
      <c r="L11915" s="912"/>
      <c r="M11915" s="912"/>
      <c r="N11915" s="912"/>
      <c r="O11915" s="892">
        <f t="shared" si="961"/>
        <v>0</v>
      </c>
      <c r="P11915" s="903">
        <f t="shared" si="962"/>
        <v>1</v>
      </c>
      <c r="Q11915" s="893">
        <f t="shared" si="963"/>
        <v>3</v>
      </c>
      <c r="R11915" s="894">
        <f t="shared" si="964"/>
        <v>0</v>
      </c>
    </row>
    <row r="11916" spans="1:18">
      <c r="A11916" s="895"/>
      <c r="B11916" s="922"/>
      <c r="C11916" s="897"/>
      <c r="D11916" s="897"/>
      <c r="E11916" s="1002" t="s">
        <v>276</v>
      </c>
      <c r="F11916" s="1003"/>
      <c r="G11916" s="1004"/>
      <c r="H11916" s="901"/>
      <c r="I11916" s="902"/>
      <c r="J11916" s="902"/>
      <c r="K11916" s="912" t="s">
        <v>274</v>
      </c>
      <c r="L11916" s="902"/>
      <c r="M11916" s="902"/>
      <c r="N11916" s="902"/>
      <c r="O11916" s="892">
        <f t="shared" si="961"/>
        <v>0</v>
      </c>
      <c r="P11916" s="903">
        <f t="shared" si="962"/>
        <v>1</v>
      </c>
      <c r="Q11916" s="893">
        <f t="shared" si="963"/>
        <v>2</v>
      </c>
      <c r="R11916" s="894">
        <f t="shared" si="964"/>
        <v>0</v>
      </c>
    </row>
    <row r="11917" spans="1:18">
      <c r="A11917" s="905"/>
      <c r="B11917" s="946"/>
      <c r="C11917" s="907">
        <v>740</v>
      </c>
      <c r="D11917" s="907" t="s">
        <v>12</v>
      </c>
      <c r="E11917" s="992" t="s">
        <v>4008</v>
      </c>
      <c r="F11917" s="905" t="s">
        <v>2674</v>
      </c>
      <c r="G11917" s="1005"/>
      <c r="H11917" s="911">
        <v>2.92</v>
      </c>
      <c r="I11917" s="912"/>
      <c r="J11917" s="912"/>
      <c r="K11917" s="912">
        <f>VLOOKUP(E11917,[5]ĐMNC!$A$7:$F$67,4,0)</f>
        <v>221125</v>
      </c>
      <c r="L11917" s="912">
        <f>H11917*K11917</f>
        <v>645685</v>
      </c>
      <c r="M11917" s="912"/>
      <c r="N11917" s="912"/>
      <c r="O11917" s="892">
        <f t="shared" si="961"/>
        <v>0</v>
      </c>
      <c r="P11917" s="903">
        <f t="shared" si="962"/>
        <v>1</v>
      </c>
      <c r="Q11917" s="893">
        <f t="shared" si="963"/>
        <v>1</v>
      </c>
      <c r="R11917" s="894">
        <f t="shared" si="964"/>
        <v>0</v>
      </c>
    </row>
    <row r="11918" spans="1:18" ht="31.5">
      <c r="A11918" s="905" t="s">
        <v>7010</v>
      </c>
      <c r="B11918" s="1018" t="s">
        <v>7020</v>
      </c>
      <c r="C11918" s="915"/>
      <c r="D11918" s="915"/>
      <c r="E11918" s="1006" t="s">
        <v>7021</v>
      </c>
      <c r="F11918" s="917" t="s">
        <v>43</v>
      </c>
      <c r="G11918" s="1008"/>
      <c r="H11918" s="919"/>
      <c r="I11918" s="920"/>
      <c r="J11918" s="891">
        <f>SUM(J11919:J11923)</f>
        <v>25463.65</v>
      </c>
      <c r="K11918" s="891"/>
      <c r="L11918" s="891">
        <f>SUM(L11919:L11923)</f>
        <v>725290</v>
      </c>
      <c r="M11918" s="891"/>
      <c r="N11918" s="891">
        <f>SUM(N11919:N11923)</f>
        <v>0</v>
      </c>
      <c r="O11918" s="892">
        <f t="shared" si="961"/>
        <v>1</v>
      </c>
      <c r="P11918" s="903">
        <f t="shared" si="962"/>
        <v>0</v>
      </c>
      <c r="Q11918" s="893">
        <f t="shared" si="963"/>
        <v>0</v>
      </c>
      <c r="R11918" s="894">
        <f t="shared" si="964"/>
        <v>5</v>
      </c>
    </row>
    <row r="11919" spans="1:18" s="904" customFormat="1">
      <c r="A11919" s="895"/>
      <c r="B11919" s="922"/>
      <c r="C11919" s="897"/>
      <c r="D11919" s="897"/>
      <c r="E11919" s="1002" t="s">
        <v>108</v>
      </c>
      <c r="F11919" s="1003"/>
      <c r="G11919" s="1004"/>
      <c r="H11919" s="901"/>
      <c r="I11919" s="902"/>
      <c r="J11919" s="902"/>
      <c r="K11919" s="912" t="s">
        <v>274</v>
      </c>
      <c r="L11919" s="902"/>
      <c r="M11919" s="902"/>
      <c r="N11919" s="902"/>
      <c r="O11919" s="892">
        <f t="shared" si="961"/>
        <v>0</v>
      </c>
      <c r="P11919" s="903">
        <f t="shared" si="962"/>
        <v>1</v>
      </c>
      <c r="Q11919" s="893">
        <f t="shared" si="963"/>
        <v>5</v>
      </c>
      <c r="R11919" s="894">
        <f t="shared" si="964"/>
        <v>0</v>
      </c>
    </row>
    <row r="11920" spans="1:18">
      <c r="A11920" s="905"/>
      <c r="B11920" s="946"/>
      <c r="C11920" s="907">
        <v>230</v>
      </c>
      <c r="D11920" s="907" t="s">
        <v>279</v>
      </c>
      <c r="E11920" s="992" t="s">
        <v>7013</v>
      </c>
      <c r="F11920" s="905" t="s">
        <v>45</v>
      </c>
      <c r="G11920" s="1005"/>
      <c r="H11920" s="911">
        <v>0.03</v>
      </c>
      <c r="I11920" s="912">
        <f>VLOOKUP(E11920,[3]VLP!$B$7:$K$300,10,0)</f>
        <v>15455</v>
      </c>
      <c r="J11920" s="912">
        <f>I11920*H11920</f>
        <v>463.65</v>
      </c>
      <c r="K11920" s="912" t="s">
        <v>274</v>
      </c>
      <c r="L11920" s="912"/>
      <c r="M11920" s="912"/>
      <c r="N11920" s="912"/>
      <c r="O11920" s="892">
        <f t="shared" si="961"/>
        <v>0</v>
      </c>
      <c r="P11920" s="903">
        <f t="shared" si="962"/>
        <v>1</v>
      </c>
      <c r="Q11920" s="893">
        <f t="shared" si="963"/>
        <v>4</v>
      </c>
      <c r="R11920" s="894">
        <f t="shared" si="964"/>
        <v>0</v>
      </c>
    </row>
    <row r="11921" spans="1:18" s="847" customFormat="1">
      <c r="A11921" s="905"/>
      <c r="B11921" s="946"/>
      <c r="C11921" s="907">
        <v>699</v>
      </c>
      <c r="D11921" s="907" t="s">
        <v>279</v>
      </c>
      <c r="E11921" s="992" t="s">
        <v>4006</v>
      </c>
      <c r="F11921" s="905" t="s">
        <v>4007</v>
      </c>
      <c r="G11921" s="1005"/>
      <c r="H11921" s="911">
        <v>5</v>
      </c>
      <c r="I11921" s="912">
        <f>VLOOKUP(E11921,[3]VLP!$B$7:$K$300,10,0)</f>
        <v>5000</v>
      </c>
      <c r="J11921" s="912">
        <f>I11921*H11921</f>
        <v>25000</v>
      </c>
      <c r="K11921" s="912" t="s">
        <v>274</v>
      </c>
      <c r="L11921" s="912"/>
      <c r="M11921" s="912"/>
      <c r="N11921" s="912"/>
      <c r="O11921" s="892">
        <f t="shared" si="961"/>
        <v>0</v>
      </c>
      <c r="P11921" s="903">
        <f t="shared" si="962"/>
        <v>1</v>
      </c>
      <c r="Q11921" s="893">
        <f t="shared" si="963"/>
        <v>3</v>
      </c>
      <c r="R11921" s="894">
        <f t="shared" si="964"/>
        <v>0</v>
      </c>
    </row>
    <row r="11922" spans="1:18">
      <c r="A11922" s="895"/>
      <c r="B11922" s="922"/>
      <c r="C11922" s="897"/>
      <c r="D11922" s="897"/>
      <c r="E11922" s="1002" t="s">
        <v>276</v>
      </c>
      <c r="F11922" s="1003"/>
      <c r="G11922" s="1004"/>
      <c r="H11922" s="901"/>
      <c r="I11922" s="902"/>
      <c r="J11922" s="902"/>
      <c r="K11922" s="912" t="s">
        <v>274</v>
      </c>
      <c r="L11922" s="902"/>
      <c r="M11922" s="902"/>
      <c r="N11922" s="902"/>
      <c r="O11922" s="892">
        <f t="shared" si="961"/>
        <v>0</v>
      </c>
      <c r="P11922" s="903">
        <f t="shared" si="962"/>
        <v>1</v>
      </c>
      <c r="Q11922" s="893">
        <f t="shared" si="963"/>
        <v>2</v>
      </c>
      <c r="R11922" s="894">
        <f t="shared" si="964"/>
        <v>0</v>
      </c>
    </row>
    <row r="11923" spans="1:18">
      <c r="A11923" s="905"/>
      <c r="B11923" s="946"/>
      <c r="C11923" s="907">
        <v>740</v>
      </c>
      <c r="D11923" s="907" t="s">
        <v>12</v>
      </c>
      <c r="E11923" s="992" t="s">
        <v>4008</v>
      </c>
      <c r="F11923" s="905" t="s">
        <v>2674</v>
      </c>
      <c r="G11923" s="1005"/>
      <c r="H11923" s="911">
        <v>3.28</v>
      </c>
      <c r="I11923" s="912"/>
      <c r="J11923" s="912"/>
      <c r="K11923" s="912">
        <f>VLOOKUP(E11923,[5]ĐMNC!$A$7:$F$67,4,0)</f>
        <v>221125</v>
      </c>
      <c r="L11923" s="912">
        <f>H11923*K11923</f>
        <v>725290</v>
      </c>
      <c r="M11923" s="912"/>
      <c r="N11923" s="912"/>
      <c r="O11923" s="892">
        <f t="shared" si="961"/>
        <v>0</v>
      </c>
      <c r="P11923" s="903">
        <f t="shared" si="962"/>
        <v>1</v>
      </c>
      <c r="Q11923" s="893">
        <f t="shared" si="963"/>
        <v>1</v>
      </c>
      <c r="R11923" s="894">
        <f t="shared" si="964"/>
        <v>0</v>
      </c>
    </row>
    <row r="11924" spans="1:18" ht="31.5">
      <c r="A11924" s="905" t="s">
        <v>7010</v>
      </c>
      <c r="B11924" s="1018" t="s">
        <v>7022</v>
      </c>
      <c r="C11924" s="915"/>
      <c r="D11924" s="915"/>
      <c r="E11924" s="1006" t="s">
        <v>7023</v>
      </c>
      <c r="F11924" s="917" t="s">
        <v>43</v>
      </c>
      <c r="G11924" s="1008"/>
      <c r="H11924" s="919"/>
      <c r="I11924" s="920"/>
      <c r="J11924" s="891">
        <f>SUM(J11925:J11929)</f>
        <v>25463.65</v>
      </c>
      <c r="K11924" s="891"/>
      <c r="L11924" s="891">
        <f>SUM(L11925:L11929)</f>
        <v>877866.25</v>
      </c>
      <c r="M11924" s="891"/>
      <c r="N11924" s="891">
        <f>SUM(N11925:N11929)</f>
        <v>0</v>
      </c>
      <c r="O11924" s="892">
        <f t="shared" si="961"/>
        <v>1</v>
      </c>
      <c r="P11924" s="903">
        <f t="shared" si="962"/>
        <v>0</v>
      </c>
      <c r="Q11924" s="893">
        <f t="shared" si="963"/>
        <v>0</v>
      </c>
      <c r="R11924" s="894">
        <f t="shared" si="964"/>
        <v>5</v>
      </c>
    </row>
    <row r="11925" spans="1:18" s="904" customFormat="1">
      <c r="A11925" s="895"/>
      <c r="B11925" s="896"/>
      <c r="C11925" s="897"/>
      <c r="D11925" s="897"/>
      <c r="E11925" s="1002" t="s">
        <v>108</v>
      </c>
      <c r="F11925" s="1003"/>
      <c r="G11925" s="1004"/>
      <c r="H11925" s="901"/>
      <c r="I11925" s="902"/>
      <c r="J11925" s="902"/>
      <c r="K11925" s="912" t="s">
        <v>274</v>
      </c>
      <c r="L11925" s="902"/>
      <c r="M11925" s="902"/>
      <c r="N11925" s="902"/>
      <c r="O11925" s="892">
        <f t="shared" si="961"/>
        <v>0</v>
      </c>
      <c r="P11925" s="903">
        <f t="shared" si="962"/>
        <v>1</v>
      </c>
      <c r="Q11925" s="893">
        <f t="shared" si="963"/>
        <v>5</v>
      </c>
      <c r="R11925" s="894">
        <f t="shared" si="964"/>
        <v>0</v>
      </c>
    </row>
    <row r="11926" spans="1:18">
      <c r="A11926" s="905"/>
      <c r="B11926" s="952"/>
      <c r="C11926" s="907">
        <v>230</v>
      </c>
      <c r="D11926" s="907" t="s">
        <v>279</v>
      </c>
      <c r="E11926" s="992" t="s">
        <v>7013</v>
      </c>
      <c r="F11926" s="905" t="s">
        <v>45</v>
      </c>
      <c r="G11926" s="1005"/>
      <c r="H11926" s="911">
        <v>0.03</v>
      </c>
      <c r="I11926" s="912">
        <f>VLOOKUP(E11926,[3]VLP!$B$7:$K$300,10,0)</f>
        <v>15455</v>
      </c>
      <c r="J11926" s="912">
        <f>I11926*H11926</f>
        <v>463.65</v>
      </c>
      <c r="K11926" s="912" t="s">
        <v>274</v>
      </c>
      <c r="L11926" s="912"/>
      <c r="M11926" s="912"/>
      <c r="N11926" s="912"/>
      <c r="O11926" s="892">
        <f t="shared" si="961"/>
        <v>0</v>
      </c>
      <c r="P11926" s="903">
        <f t="shared" si="962"/>
        <v>1</v>
      </c>
      <c r="Q11926" s="893">
        <f t="shared" si="963"/>
        <v>4</v>
      </c>
      <c r="R11926" s="894">
        <f t="shared" si="964"/>
        <v>0</v>
      </c>
    </row>
    <row r="11927" spans="1:18" s="847" customFormat="1">
      <c r="A11927" s="905"/>
      <c r="B11927" s="952"/>
      <c r="C11927" s="907">
        <v>699</v>
      </c>
      <c r="D11927" s="907" t="s">
        <v>279</v>
      </c>
      <c r="E11927" s="992" t="s">
        <v>4006</v>
      </c>
      <c r="F11927" s="905" t="s">
        <v>4007</v>
      </c>
      <c r="G11927" s="1005"/>
      <c r="H11927" s="911">
        <v>5</v>
      </c>
      <c r="I11927" s="912">
        <f>VLOOKUP(E11927,[3]VLP!$B$7:$K$300,10,0)</f>
        <v>5000</v>
      </c>
      <c r="J11927" s="912">
        <f>I11927*H11927</f>
        <v>25000</v>
      </c>
      <c r="K11927" s="912" t="s">
        <v>274</v>
      </c>
      <c r="L11927" s="912"/>
      <c r="M11927" s="912"/>
      <c r="N11927" s="912"/>
      <c r="O11927" s="892">
        <f t="shared" si="961"/>
        <v>0</v>
      </c>
      <c r="P11927" s="903">
        <f t="shared" si="962"/>
        <v>1</v>
      </c>
      <c r="Q11927" s="893">
        <f t="shared" si="963"/>
        <v>3</v>
      </c>
      <c r="R11927" s="894">
        <f t="shared" si="964"/>
        <v>0</v>
      </c>
    </row>
    <row r="11928" spans="1:18">
      <c r="A11928" s="895"/>
      <c r="B11928" s="896"/>
      <c r="C11928" s="897"/>
      <c r="D11928" s="897"/>
      <c r="E11928" s="1002" t="s">
        <v>276</v>
      </c>
      <c r="F11928" s="1003"/>
      <c r="G11928" s="1004"/>
      <c r="H11928" s="901"/>
      <c r="I11928" s="902"/>
      <c r="J11928" s="902"/>
      <c r="K11928" s="912" t="s">
        <v>274</v>
      </c>
      <c r="L11928" s="902"/>
      <c r="M11928" s="902"/>
      <c r="N11928" s="902"/>
      <c r="O11928" s="892">
        <f t="shared" si="961"/>
        <v>0</v>
      </c>
      <c r="P11928" s="903">
        <f t="shared" si="962"/>
        <v>1</v>
      </c>
      <c r="Q11928" s="893">
        <f t="shared" si="963"/>
        <v>2</v>
      </c>
      <c r="R11928" s="894">
        <f t="shared" si="964"/>
        <v>0</v>
      </c>
    </row>
    <row r="11929" spans="1:18">
      <c r="A11929" s="905"/>
      <c r="B11929" s="952"/>
      <c r="C11929" s="907">
        <v>740</v>
      </c>
      <c r="D11929" s="907" t="s">
        <v>12</v>
      </c>
      <c r="E11929" s="992" t="s">
        <v>4008</v>
      </c>
      <c r="F11929" s="905" t="s">
        <v>2674</v>
      </c>
      <c r="G11929" s="1005"/>
      <c r="H11929" s="911">
        <v>3.97</v>
      </c>
      <c r="I11929" s="912"/>
      <c r="J11929" s="912"/>
      <c r="K11929" s="912">
        <f>VLOOKUP(E11929,[5]ĐMNC!$A$7:$F$67,4,0)</f>
        <v>221125</v>
      </c>
      <c r="L11929" s="912">
        <f>H11929*K11929</f>
        <v>877866.25</v>
      </c>
      <c r="M11929" s="912"/>
      <c r="N11929" s="912"/>
      <c r="O11929" s="892">
        <f t="shared" si="961"/>
        <v>0</v>
      </c>
      <c r="P11929" s="903">
        <f t="shared" si="962"/>
        <v>1</v>
      </c>
      <c r="Q11929" s="893">
        <f t="shared" si="963"/>
        <v>1</v>
      </c>
      <c r="R11929" s="894">
        <f t="shared" si="964"/>
        <v>0</v>
      </c>
    </row>
    <row r="11930" spans="1:18" ht="31.5">
      <c r="A11930" s="905" t="s">
        <v>7010</v>
      </c>
      <c r="B11930" s="1018" t="s">
        <v>7024</v>
      </c>
      <c r="C11930" s="915"/>
      <c r="D11930" s="915"/>
      <c r="E11930" s="1006" t="s">
        <v>7025</v>
      </c>
      <c r="F11930" s="917" t="s">
        <v>43</v>
      </c>
      <c r="G11930" s="1008"/>
      <c r="H11930" s="919"/>
      <c r="I11930" s="920"/>
      <c r="J11930" s="891">
        <f>SUM(J11931:J11935)</f>
        <v>25463.65</v>
      </c>
      <c r="K11930" s="891"/>
      <c r="L11930" s="891">
        <f>SUM(L11931:L11935)</f>
        <v>1037076.2500000001</v>
      </c>
      <c r="M11930" s="891"/>
      <c r="N11930" s="891">
        <f>SUM(N11931:N11935)</f>
        <v>0</v>
      </c>
      <c r="O11930" s="892">
        <f t="shared" si="961"/>
        <v>1</v>
      </c>
      <c r="P11930" s="903">
        <f t="shared" si="962"/>
        <v>0</v>
      </c>
      <c r="Q11930" s="893">
        <f t="shared" si="963"/>
        <v>0</v>
      </c>
      <c r="R11930" s="894">
        <f t="shared" si="964"/>
        <v>5</v>
      </c>
    </row>
    <row r="11931" spans="1:18" s="904" customFormat="1">
      <c r="A11931" s="895"/>
      <c r="B11931" s="896"/>
      <c r="C11931" s="897"/>
      <c r="D11931" s="897"/>
      <c r="E11931" s="1002" t="s">
        <v>108</v>
      </c>
      <c r="F11931" s="1003"/>
      <c r="G11931" s="1004"/>
      <c r="H11931" s="901"/>
      <c r="I11931" s="902"/>
      <c r="J11931" s="902"/>
      <c r="K11931" s="912" t="s">
        <v>274</v>
      </c>
      <c r="L11931" s="902"/>
      <c r="M11931" s="902"/>
      <c r="N11931" s="902"/>
      <c r="O11931" s="892">
        <f t="shared" si="961"/>
        <v>0</v>
      </c>
      <c r="P11931" s="903">
        <f t="shared" si="962"/>
        <v>1</v>
      </c>
      <c r="Q11931" s="893">
        <f t="shared" si="963"/>
        <v>5</v>
      </c>
      <c r="R11931" s="894">
        <f t="shared" si="964"/>
        <v>0</v>
      </c>
    </row>
    <row r="11932" spans="1:18">
      <c r="A11932" s="905"/>
      <c r="B11932" s="952"/>
      <c r="C11932" s="907">
        <v>230</v>
      </c>
      <c r="D11932" s="907" t="s">
        <v>279</v>
      </c>
      <c r="E11932" s="992" t="s">
        <v>7013</v>
      </c>
      <c r="F11932" s="905" t="s">
        <v>45</v>
      </c>
      <c r="G11932" s="1005"/>
      <c r="H11932" s="911">
        <v>0.03</v>
      </c>
      <c r="I11932" s="912">
        <f>VLOOKUP(E11932,[3]VLP!$B$7:$K$300,10,0)</f>
        <v>15455</v>
      </c>
      <c r="J11932" s="912">
        <f>I11932*H11932</f>
        <v>463.65</v>
      </c>
      <c r="K11932" s="912" t="s">
        <v>274</v>
      </c>
      <c r="L11932" s="912"/>
      <c r="M11932" s="912"/>
      <c r="N11932" s="912"/>
      <c r="O11932" s="892">
        <f t="shared" si="961"/>
        <v>0</v>
      </c>
      <c r="P11932" s="903">
        <f t="shared" si="962"/>
        <v>1</v>
      </c>
      <c r="Q11932" s="893">
        <f t="shared" si="963"/>
        <v>4</v>
      </c>
      <c r="R11932" s="894">
        <f t="shared" si="964"/>
        <v>0</v>
      </c>
    </row>
    <row r="11933" spans="1:18" s="847" customFormat="1">
      <c r="A11933" s="905"/>
      <c r="B11933" s="952"/>
      <c r="C11933" s="907">
        <v>699</v>
      </c>
      <c r="D11933" s="907" t="s">
        <v>279</v>
      </c>
      <c r="E11933" s="992" t="s">
        <v>4006</v>
      </c>
      <c r="F11933" s="905" t="s">
        <v>4007</v>
      </c>
      <c r="G11933" s="1005"/>
      <c r="H11933" s="911">
        <v>5</v>
      </c>
      <c r="I11933" s="912">
        <f>VLOOKUP(E11933,[3]VLP!$B$7:$K$300,10,0)</f>
        <v>5000</v>
      </c>
      <c r="J11933" s="912">
        <f>I11933*H11933</f>
        <v>25000</v>
      </c>
      <c r="K11933" s="912" t="s">
        <v>274</v>
      </c>
      <c r="L11933" s="912"/>
      <c r="M11933" s="912"/>
      <c r="N11933" s="912"/>
      <c r="O11933" s="892">
        <f t="shared" si="961"/>
        <v>0</v>
      </c>
      <c r="P11933" s="903">
        <f t="shared" si="962"/>
        <v>1</v>
      </c>
      <c r="Q11933" s="893">
        <f t="shared" si="963"/>
        <v>3</v>
      </c>
      <c r="R11933" s="894">
        <f t="shared" si="964"/>
        <v>0</v>
      </c>
    </row>
    <row r="11934" spans="1:18">
      <c r="A11934" s="895"/>
      <c r="B11934" s="896"/>
      <c r="C11934" s="897"/>
      <c r="D11934" s="897"/>
      <c r="E11934" s="1002" t="s">
        <v>276</v>
      </c>
      <c r="F11934" s="1003"/>
      <c r="G11934" s="1004"/>
      <c r="H11934" s="901"/>
      <c r="I11934" s="902"/>
      <c r="J11934" s="902"/>
      <c r="K11934" s="912" t="s">
        <v>274</v>
      </c>
      <c r="L11934" s="902"/>
      <c r="M11934" s="902"/>
      <c r="N11934" s="902"/>
      <c r="O11934" s="892">
        <f t="shared" si="961"/>
        <v>0</v>
      </c>
      <c r="P11934" s="903">
        <f t="shared" si="962"/>
        <v>1</v>
      </c>
      <c r="Q11934" s="893">
        <f t="shared" si="963"/>
        <v>2</v>
      </c>
      <c r="R11934" s="894">
        <f t="shared" si="964"/>
        <v>0</v>
      </c>
    </row>
    <row r="11935" spans="1:18">
      <c r="A11935" s="905"/>
      <c r="B11935" s="952"/>
      <c r="C11935" s="907">
        <v>740</v>
      </c>
      <c r="D11935" s="907" t="s">
        <v>12</v>
      </c>
      <c r="E11935" s="992" t="s">
        <v>4008</v>
      </c>
      <c r="F11935" s="905" t="s">
        <v>2674</v>
      </c>
      <c r="G11935" s="1005"/>
      <c r="H11935" s="911">
        <v>4.6900000000000004</v>
      </c>
      <c r="I11935" s="912"/>
      <c r="J11935" s="912"/>
      <c r="K11935" s="912">
        <f>VLOOKUP(E11935,[5]ĐMNC!$A$7:$F$67,4,0)</f>
        <v>221125</v>
      </c>
      <c r="L11935" s="912">
        <f>H11935*K11935</f>
        <v>1037076.2500000001</v>
      </c>
      <c r="M11935" s="912"/>
      <c r="N11935" s="912"/>
      <c r="O11935" s="892">
        <f t="shared" ref="O11935:O11998" si="965">IF(AND(B11935&lt;&gt;"",D11935=""),1,0)</f>
        <v>0</v>
      </c>
      <c r="P11935" s="903">
        <f t="shared" si="962"/>
        <v>1</v>
      </c>
      <c r="Q11935" s="893">
        <f t="shared" si="963"/>
        <v>1</v>
      </c>
      <c r="R11935" s="894">
        <f t="shared" si="964"/>
        <v>0</v>
      </c>
    </row>
    <row r="11936" spans="1:18" ht="31.5">
      <c r="A11936" s="905" t="s">
        <v>7010</v>
      </c>
      <c r="B11936" s="1018" t="s">
        <v>7026</v>
      </c>
      <c r="C11936" s="915"/>
      <c r="D11936" s="915"/>
      <c r="E11936" s="1006" t="s">
        <v>7027</v>
      </c>
      <c r="F11936" s="917" t="s">
        <v>43</v>
      </c>
      <c r="G11936" s="1008"/>
      <c r="H11936" s="919"/>
      <c r="I11936" s="920"/>
      <c r="J11936" s="891">
        <f>SUM(J11937:J11941)</f>
        <v>25463.65</v>
      </c>
      <c r="K11936" s="891"/>
      <c r="L11936" s="891">
        <f>SUM(L11937:L11941)</f>
        <v>1141005</v>
      </c>
      <c r="M11936" s="891"/>
      <c r="N11936" s="891">
        <f>SUM(N11937:N11941)</f>
        <v>0</v>
      </c>
      <c r="O11936" s="892">
        <f t="shared" si="965"/>
        <v>1</v>
      </c>
      <c r="P11936" s="903">
        <f t="shared" si="962"/>
        <v>0</v>
      </c>
      <c r="Q11936" s="893">
        <f t="shared" si="963"/>
        <v>0</v>
      </c>
      <c r="R11936" s="894">
        <f t="shared" si="964"/>
        <v>5</v>
      </c>
    </row>
    <row r="11937" spans="1:18" s="904" customFormat="1">
      <c r="A11937" s="895"/>
      <c r="B11937" s="896"/>
      <c r="C11937" s="897"/>
      <c r="D11937" s="897"/>
      <c r="E11937" s="1002" t="s">
        <v>108</v>
      </c>
      <c r="F11937" s="1003"/>
      <c r="G11937" s="1004"/>
      <c r="H11937" s="901"/>
      <c r="I11937" s="902"/>
      <c r="J11937" s="902"/>
      <c r="K11937" s="912" t="s">
        <v>274</v>
      </c>
      <c r="L11937" s="902"/>
      <c r="M11937" s="902"/>
      <c r="N11937" s="902"/>
      <c r="O11937" s="892">
        <f t="shared" si="965"/>
        <v>0</v>
      </c>
      <c r="P11937" s="903">
        <f t="shared" si="962"/>
        <v>1</v>
      </c>
      <c r="Q11937" s="893">
        <f t="shared" si="963"/>
        <v>5</v>
      </c>
      <c r="R11937" s="894">
        <f t="shared" si="964"/>
        <v>0</v>
      </c>
    </row>
    <row r="11938" spans="1:18">
      <c r="A11938" s="905"/>
      <c r="B11938" s="952"/>
      <c r="C11938" s="907">
        <v>230</v>
      </c>
      <c r="D11938" s="907" t="s">
        <v>279</v>
      </c>
      <c r="E11938" s="992" t="s">
        <v>7013</v>
      </c>
      <c r="F11938" s="905" t="s">
        <v>45</v>
      </c>
      <c r="G11938" s="1005"/>
      <c r="H11938" s="911">
        <v>0.03</v>
      </c>
      <c r="I11938" s="912">
        <f>VLOOKUP(E11938,[3]VLP!$B$7:$K$300,10,0)</f>
        <v>15455</v>
      </c>
      <c r="J11938" s="912">
        <f>I11938*H11938</f>
        <v>463.65</v>
      </c>
      <c r="K11938" s="912" t="s">
        <v>274</v>
      </c>
      <c r="L11938" s="912"/>
      <c r="M11938" s="912"/>
      <c r="N11938" s="912"/>
      <c r="O11938" s="892">
        <f t="shared" si="965"/>
        <v>0</v>
      </c>
      <c r="P11938" s="903">
        <f t="shared" si="962"/>
        <v>1</v>
      </c>
      <c r="Q11938" s="893">
        <f t="shared" si="963"/>
        <v>4</v>
      </c>
      <c r="R11938" s="894">
        <f t="shared" si="964"/>
        <v>0</v>
      </c>
    </row>
    <row r="11939" spans="1:18" s="847" customFormat="1">
      <c r="A11939" s="905"/>
      <c r="B11939" s="952"/>
      <c r="C11939" s="907">
        <v>699</v>
      </c>
      <c r="D11939" s="907" t="s">
        <v>279</v>
      </c>
      <c r="E11939" s="992" t="s">
        <v>4006</v>
      </c>
      <c r="F11939" s="905" t="s">
        <v>4007</v>
      </c>
      <c r="G11939" s="1005"/>
      <c r="H11939" s="911">
        <v>5</v>
      </c>
      <c r="I11939" s="912">
        <f>VLOOKUP(E11939,[3]VLP!$B$7:$K$300,10,0)</f>
        <v>5000</v>
      </c>
      <c r="J11939" s="912">
        <f>I11939*H11939</f>
        <v>25000</v>
      </c>
      <c r="K11939" s="912" t="s">
        <v>274</v>
      </c>
      <c r="L11939" s="912"/>
      <c r="M11939" s="912"/>
      <c r="N11939" s="912"/>
      <c r="O11939" s="892">
        <f t="shared" si="965"/>
        <v>0</v>
      </c>
      <c r="P11939" s="903">
        <f t="shared" si="962"/>
        <v>1</v>
      </c>
      <c r="Q11939" s="893">
        <f t="shared" si="963"/>
        <v>3</v>
      </c>
      <c r="R11939" s="894">
        <f t="shared" si="964"/>
        <v>0</v>
      </c>
    </row>
    <row r="11940" spans="1:18">
      <c r="A11940" s="895"/>
      <c r="B11940" s="896"/>
      <c r="C11940" s="897"/>
      <c r="D11940" s="897"/>
      <c r="E11940" s="1002" t="s">
        <v>276</v>
      </c>
      <c r="F11940" s="1003"/>
      <c r="G11940" s="1004"/>
      <c r="H11940" s="901"/>
      <c r="I11940" s="902"/>
      <c r="J11940" s="902"/>
      <c r="K11940" s="912" t="s">
        <v>274</v>
      </c>
      <c r="L11940" s="902"/>
      <c r="M11940" s="902"/>
      <c r="N11940" s="902"/>
      <c r="O11940" s="892">
        <f t="shared" si="965"/>
        <v>0</v>
      </c>
      <c r="P11940" s="903">
        <f t="shared" si="962"/>
        <v>1</v>
      </c>
      <c r="Q11940" s="893">
        <f t="shared" si="963"/>
        <v>2</v>
      </c>
      <c r="R11940" s="894">
        <f t="shared" si="964"/>
        <v>0</v>
      </c>
    </row>
    <row r="11941" spans="1:18">
      <c r="A11941" s="905"/>
      <c r="B11941" s="952"/>
      <c r="C11941" s="907">
        <v>740</v>
      </c>
      <c r="D11941" s="907" t="s">
        <v>12</v>
      </c>
      <c r="E11941" s="992" t="s">
        <v>4008</v>
      </c>
      <c r="F11941" s="905" t="s">
        <v>2674</v>
      </c>
      <c r="G11941" s="1005"/>
      <c r="H11941" s="911">
        <v>5.16</v>
      </c>
      <c r="I11941" s="912"/>
      <c r="J11941" s="912"/>
      <c r="K11941" s="912">
        <f>VLOOKUP(E11941,[5]ĐMNC!$A$7:$F$67,4,0)</f>
        <v>221125</v>
      </c>
      <c r="L11941" s="912">
        <f>H11941*K11941</f>
        <v>1141005</v>
      </c>
      <c r="M11941" s="912"/>
      <c r="N11941" s="912"/>
      <c r="O11941" s="892">
        <f t="shared" si="965"/>
        <v>0</v>
      </c>
      <c r="P11941" s="903">
        <f t="shared" si="962"/>
        <v>1</v>
      </c>
      <c r="Q11941" s="893">
        <f t="shared" si="963"/>
        <v>1</v>
      </c>
      <c r="R11941" s="894">
        <f t="shared" si="964"/>
        <v>0</v>
      </c>
    </row>
    <row r="11942" spans="1:18" ht="31.5">
      <c r="A11942" s="905" t="s">
        <v>7010</v>
      </c>
      <c r="B11942" s="1018" t="s">
        <v>7028</v>
      </c>
      <c r="C11942" s="915"/>
      <c r="D11942" s="915"/>
      <c r="E11942" s="1006" t="s">
        <v>7029</v>
      </c>
      <c r="F11942" s="917" t="s">
        <v>43</v>
      </c>
      <c r="G11942" s="1008"/>
      <c r="H11942" s="919"/>
      <c r="I11942" s="920"/>
      <c r="J11942" s="891">
        <f>SUM(J11943:J11947)</f>
        <v>25463.65</v>
      </c>
      <c r="K11942" s="891"/>
      <c r="L11942" s="891">
        <f>SUM(L11943:L11947)</f>
        <v>1439523.75</v>
      </c>
      <c r="M11942" s="891"/>
      <c r="N11942" s="891">
        <f>SUM(N11943:N11947)</f>
        <v>0</v>
      </c>
      <c r="O11942" s="892">
        <f t="shared" si="965"/>
        <v>1</v>
      </c>
      <c r="P11942" s="903">
        <f t="shared" si="962"/>
        <v>0</v>
      </c>
      <c r="Q11942" s="893">
        <f t="shared" si="963"/>
        <v>0</v>
      </c>
      <c r="R11942" s="894">
        <f t="shared" si="964"/>
        <v>5</v>
      </c>
    </row>
    <row r="11943" spans="1:18" s="904" customFormat="1">
      <c r="A11943" s="895"/>
      <c r="B11943" s="896"/>
      <c r="C11943" s="897"/>
      <c r="D11943" s="897"/>
      <c r="E11943" s="1002" t="s">
        <v>108</v>
      </c>
      <c r="F11943" s="1003"/>
      <c r="G11943" s="1004"/>
      <c r="H11943" s="901"/>
      <c r="I11943" s="902"/>
      <c r="J11943" s="902"/>
      <c r="K11943" s="912" t="s">
        <v>274</v>
      </c>
      <c r="L11943" s="902"/>
      <c r="M11943" s="902"/>
      <c r="N11943" s="902"/>
      <c r="O11943" s="892">
        <f t="shared" si="965"/>
        <v>0</v>
      </c>
      <c r="P11943" s="903">
        <f t="shared" si="962"/>
        <v>1</v>
      </c>
      <c r="Q11943" s="893">
        <f t="shared" si="963"/>
        <v>5</v>
      </c>
      <c r="R11943" s="894">
        <f t="shared" si="964"/>
        <v>0</v>
      </c>
    </row>
    <row r="11944" spans="1:18">
      <c r="A11944" s="905"/>
      <c r="B11944" s="952"/>
      <c r="C11944" s="907">
        <v>230</v>
      </c>
      <c r="D11944" s="907" t="s">
        <v>279</v>
      </c>
      <c r="E11944" s="992" t="s">
        <v>7013</v>
      </c>
      <c r="F11944" s="905" t="s">
        <v>45</v>
      </c>
      <c r="G11944" s="1005"/>
      <c r="H11944" s="911">
        <v>0.03</v>
      </c>
      <c r="I11944" s="912">
        <f>VLOOKUP(E11944,[3]VLP!$B$7:$K$300,10,0)</f>
        <v>15455</v>
      </c>
      <c r="J11944" s="912">
        <f>I11944*H11944</f>
        <v>463.65</v>
      </c>
      <c r="K11944" s="912" t="s">
        <v>274</v>
      </c>
      <c r="L11944" s="912"/>
      <c r="M11944" s="912"/>
      <c r="N11944" s="912"/>
      <c r="O11944" s="892">
        <f t="shared" si="965"/>
        <v>0</v>
      </c>
      <c r="P11944" s="903">
        <f t="shared" si="962"/>
        <v>1</v>
      </c>
      <c r="Q11944" s="893">
        <f t="shared" si="963"/>
        <v>4</v>
      </c>
      <c r="R11944" s="894">
        <f t="shared" si="964"/>
        <v>0</v>
      </c>
    </row>
    <row r="11945" spans="1:18" s="847" customFormat="1">
      <c r="A11945" s="905"/>
      <c r="B11945" s="952"/>
      <c r="C11945" s="907">
        <v>699</v>
      </c>
      <c r="D11945" s="907" t="s">
        <v>279</v>
      </c>
      <c r="E11945" s="992" t="s">
        <v>4006</v>
      </c>
      <c r="F11945" s="905" t="s">
        <v>4007</v>
      </c>
      <c r="G11945" s="1005"/>
      <c r="H11945" s="911">
        <v>5</v>
      </c>
      <c r="I11945" s="912">
        <f>VLOOKUP(E11945,[3]VLP!$B$7:$K$300,10,0)</f>
        <v>5000</v>
      </c>
      <c r="J11945" s="912">
        <f>I11945*H11945</f>
        <v>25000</v>
      </c>
      <c r="K11945" s="912" t="s">
        <v>274</v>
      </c>
      <c r="L11945" s="912"/>
      <c r="M11945" s="912"/>
      <c r="N11945" s="912"/>
      <c r="O11945" s="892">
        <f t="shared" si="965"/>
        <v>0</v>
      </c>
      <c r="P11945" s="903">
        <f t="shared" si="962"/>
        <v>1</v>
      </c>
      <c r="Q11945" s="893">
        <f t="shared" si="963"/>
        <v>3</v>
      </c>
      <c r="R11945" s="894">
        <f t="shared" si="964"/>
        <v>0</v>
      </c>
    </row>
    <row r="11946" spans="1:18">
      <c r="A11946" s="895"/>
      <c r="B11946" s="896"/>
      <c r="C11946" s="897"/>
      <c r="D11946" s="897"/>
      <c r="E11946" s="1002" t="s">
        <v>276</v>
      </c>
      <c r="F11946" s="1003"/>
      <c r="G11946" s="1004"/>
      <c r="H11946" s="901"/>
      <c r="I11946" s="902"/>
      <c r="J11946" s="902"/>
      <c r="K11946" s="912" t="s">
        <v>274</v>
      </c>
      <c r="L11946" s="902"/>
      <c r="M11946" s="902"/>
      <c r="N11946" s="902"/>
      <c r="O11946" s="892">
        <f t="shared" si="965"/>
        <v>0</v>
      </c>
      <c r="P11946" s="903">
        <f t="shared" si="962"/>
        <v>1</v>
      </c>
      <c r="Q11946" s="893">
        <f t="shared" si="963"/>
        <v>2</v>
      </c>
      <c r="R11946" s="894">
        <f t="shared" si="964"/>
        <v>0</v>
      </c>
    </row>
    <row r="11947" spans="1:18">
      <c r="A11947" s="905"/>
      <c r="B11947" s="952"/>
      <c r="C11947" s="907">
        <v>740</v>
      </c>
      <c r="D11947" s="907" t="s">
        <v>12</v>
      </c>
      <c r="E11947" s="992" t="s">
        <v>4008</v>
      </c>
      <c r="F11947" s="905" t="s">
        <v>2674</v>
      </c>
      <c r="G11947" s="1005"/>
      <c r="H11947" s="911">
        <v>6.51</v>
      </c>
      <c r="I11947" s="912"/>
      <c r="J11947" s="912"/>
      <c r="K11947" s="912">
        <f>VLOOKUP(E11947,[5]ĐMNC!$A$7:$F$67,4,0)</f>
        <v>221125</v>
      </c>
      <c r="L11947" s="912">
        <f>H11947*K11947</f>
        <v>1439523.75</v>
      </c>
      <c r="M11947" s="912"/>
      <c r="N11947" s="912"/>
      <c r="O11947" s="892">
        <f t="shared" si="965"/>
        <v>0</v>
      </c>
      <c r="P11947" s="903">
        <f t="shared" si="962"/>
        <v>1</v>
      </c>
      <c r="Q11947" s="893">
        <f t="shared" si="963"/>
        <v>1</v>
      </c>
      <c r="R11947" s="894">
        <f t="shared" si="964"/>
        <v>0</v>
      </c>
    </row>
    <row r="11948" spans="1:18" ht="31.5">
      <c r="A11948" s="905" t="s">
        <v>7010</v>
      </c>
      <c r="B11948" s="1018" t="s">
        <v>7030</v>
      </c>
      <c r="C11948" s="915"/>
      <c r="D11948" s="915"/>
      <c r="E11948" s="1006" t="s">
        <v>7031</v>
      </c>
      <c r="F11948" s="917" t="s">
        <v>43</v>
      </c>
      <c r="G11948" s="1008"/>
      <c r="H11948" s="919"/>
      <c r="I11948" s="920"/>
      <c r="J11948" s="891">
        <f>SUM(J11949:J11953)</f>
        <v>25463.65</v>
      </c>
      <c r="K11948" s="891"/>
      <c r="L11948" s="891">
        <f>SUM(L11949:L11953)</f>
        <v>1899463.75</v>
      </c>
      <c r="M11948" s="891"/>
      <c r="N11948" s="891">
        <f>SUM(N11949:N11953)</f>
        <v>0</v>
      </c>
      <c r="O11948" s="892">
        <f t="shared" si="965"/>
        <v>1</v>
      </c>
      <c r="P11948" s="903">
        <f t="shared" si="962"/>
        <v>0</v>
      </c>
      <c r="Q11948" s="893">
        <f t="shared" si="963"/>
        <v>0</v>
      </c>
      <c r="R11948" s="894">
        <f t="shared" si="964"/>
        <v>5</v>
      </c>
    </row>
    <row r="11949" spans="1:18" s="904" customFormat="1">
      <c r="A11949" s="895"/>
      <c r="B11949" s="896"/>
      <c r="C11949" s="897"/>
      <c r="D11949" s="897"/>
      <c r="E11949" s="1002" t="s">
        <v>108</v>
      </c>
      <c r="F11949" s="1003"/>
      <c r="G11949" s="1004"/>
      <c r="H11949" s="901"/>
      <c r="I11949" s="902"/>
      <c r="J11949" s="902"/>
      <c r="K11949" s="912" t="s">
        <v>274</v>
      </c>
      <c r="L11949" s="902"/>
      <c r="M11949" s="902"/>
      <c r="N11949" s="902"/>
      <c r="O11949" s="892">
        <f t="shared" si="965"/>
        <v>0</v>
      </c>
      <c r="P11949" s="903">
        <f t="shared" si="962"/>
        <v>1</v>
      </c>
      <c r="Q11949" s="893">
        <f t="shared" si="963"/>
        <v>5</v>
      </c>
      <c r="R11949" s="894">
        <f t="shared" si="964"/>
        <v>0</v>
      </c>
    </row>
    <row r="11950" spans="1:18">
      <c r="A11950" s="905"/>
      <c r="B11950" s="952"/>
      <c r="C11950" s="907">
        <v>230</v>
      </c>
      <c r="D11950" s="907" t="s">
        <v>279</v>
      </c>
      <c r="E11950" s="992" t="s">
        <v>7013</v>
      </c>
      <c r="F11950" s="905" t="s">
        <v>45</v>
      </c>
      <c r="G11950" s="1005"/>
      <c r="H11950" s="911">
        <v>0.03</v>
      </c>
      <c r="I11950" s="912">
        <f>VLOOKUP(E11950,[3]VLP!$B$7:$K$300,10,0)</f>
        <v>15455</v>
      </c>
      <c r="J11950" s="912">
        <f>I11950*H11950</f>
        <v>463.65</v>
      </c>
      <c r="K11950" s="912" t="s">
        <v>274</v>
      </c>
      <c r="L11950" s="912"/>
      <c r="M11950" s="912"/>
      <c r="N11950" s="912"/>
      <c r="O11950" s="892">
        <f t="shared" si="965"/>
        <v>0</v>
      </c>
      <c r="P11950" s="903">
        <f t="shared" si="962"/>
        <v>1</v>
      </c>
      <c r="Q11950" s="893">
        <f t="shared" si="963"/>
        <v>4</v>
      </c>
      <c r="R11950" s="894">
        <f t="shared" si="964"/>
        <v>0</v>
      </c>
    </row>
    <row r="11951" spans="1:18" s="847" customFormat="1">
      <c r="A11951" s="905"/>
      <c r="B11951" s="952"/>
      <c r="C11951" s="907">
        <v>699</v>
      </c>
      <c r="D11951" s="907" t="s">
        <v>279</v>
      </c>
      <c r="E11951" s="992" t="s">
        <v>4006</v>
      </c>
      <c r="F11951" s="905" t="s">
        <v>4007</v>
      </c>
      <c r="G11951" s="1005"/>
      <c r="H11951" s="911">
        <v>5</v>
      </c>
      <c r="I11951" s="912">
        <f>VLOOKUP(E11951,[3]VLP!$B$7:$K$300,10,0)</f>
        <v>5000</v>
      </c>
      <c r="J11951" s="912">
        <f>I11951*H11951</f>
        <v>25000</v>
      </c>
      <c r="K11951" s="912" t="s">
        <v>274</v>
      </c>
      <c r="L11951" s="912"/>
      <c r="M11951" s="912"/>
      <c r="N11951" s="912"/>
      <c r="O11951" s="892">
        <f t="shared" si="965"/>
        <v>0</v>
      </c>
      <c r="P11951" s="903">
        <f t="shared" si="962"/>
        <v>1</v>
      </c>
      <c r="Q11951" s="893">
        <f t="shared" si="963"/>
        <v>3</v>
      </c>
      <c r="R11951" s="894">
        <f t="shared" si="964"/>
        <v>0</v>
      </c>
    </row>
    <row r="11952" spans="1:18">
      <c r="A11952" s="895"/>
      <c r="B11952" s="896"/>
      <c r="C11952" s="897"/>
      <c r="D11952" s="897"/>
      <c r="E11952" s="1002" t="s">
        <v>276</v>
      </c>
      <c r="F11952" s="1003"/>
      <c r="G11952" s="1004"/>
      <c r="H11952" s="901"/>
      <c r="I11952" s="902"/>
      <c r="J11952" s="902"/>
      <c r="K11952" s="912" t="s">
        <v>274</v>
      </c>
      <c r="L11952" s="902"/>
      <c r="M11952" s="902"/>
      <c r="N11952" s="902"/>
      <c r="O11952" s="892">
        <f t="shared" si="965"/>
        <v>0</v>
      </c>
      <c r="P11952" s="903">
        <f t="shared" si="962"/>
        <v>1</v>
      </c>
      <c r="Q11952" s="893">
        <f t="shared" si="963"/>
        <v>2</v>
      </c>
      <c r="R11952" s="894">
        <f t="shared" si="964"/>
        <v>0</v>
      </c>
    </row>
    <row r="11953" spans="1:18">
      <c r="A11953" s="905"/>
      <c r="B11953" s="952"/>
      <c r="C11953" s="907">
        <v>740</v>
      </c>
      <c r="D11953" s="907" t="s">
        <v>12</v>
      </c>
      <c r="E11953" s="992" t="s">
        <v>4008</v>
      </c>
      <c r="F11953" s="905" t="s">
        <v>2674</v>
      </c>
      <c r="G11953" s="1005"/>
      <c r="H11953" s="911">
        <v>8.59</v>
      </c>
      <c r="I11953" s="912"/>
      <c r="J11953" s="912"/>
      <c r="K11953" s="912">
        <f>VLOOKUP(E11953,[5]ĐMNC!$A$7:$F$67,4,0)</f>
        <v>221125</v>
      </c>
      <c r="L11953" s="912">
        <f>H11953*K11953</f>
        <v>1899463.75</v>
      </c>
      <c r="M11953" s="912"/>
      <c r="N11953" s="912"/>
      <c r="O11953" s="892">
        <f t="shared" si="965"/>
        <v>0</v>
      </c>
      <c r="P11953" s="903">
        <f t="shared" si="962"/>
        <v>1</v>
      </c>
      <c r="Q11953" s="893">
        <f t="shared" si="963"/>
        <v>1</v>
      </c>
      <c r="R11953" s="894">
        <f t="shared" si="964"/>
        <v>0</v>
      </c>
    </row>
    <row r="11954" spans="1:18" ht="31.5">
      <c r="A11954" s="905" t="s">
        <v>7010</v>
      </c>
      <c r="B11954" s="1018" t="s">
        <v>7032</v>
      </c>
      <c r="C11954" s="915"/>
      <c r="D11954" s="915"/>
      <c r="E11954" s="1006" t="s">
        <v>7033</v>
      </c>
      <c r="F11954" s="917" t="s">
        <v>43</v>
      </c>
      <c r="G11954" s="1008"/>
      <c r="H11954" s="919"/>
      <c r="I11954" s="920"/>
      <c r="J11954" s="891">
        <f>SUM(J11955:J11959)</f>
        <v>25463.65</v>
      </c>
      <c r="K11954" s="891"/>
      <c r="L11954" s="891">
        <f>SUM(L11955:L11959)</f>
        <v>2226728.75</v>
      </c>
      <c r="M11954" s="891"/>
      <c r="N11954" s="891">
        <f>SUM(N11955:N11959)</f>
        <v>0</v>
      </c>
      <c r="O11954" s="892">
        <f t="shared" si="965"/>
        <v>1</v>
      </c>
      <c r="P11954" s="903">
        <f t="shared" si="962"/>
        <v>0</v>
      </c>
      <c r="Q11954" s="893">
        <f t="shared" si="963"/>
        <v>0</v>
      </c>
      <c r="R11954" s="894">
        <f t="shared" si="964"/>
        <v>5</v>
      </c>
    </row>
    <row r="11955" spans="1:18" s="904" customFormat="1">
      <c r="A11955" s="895"/>
      <c r="B11955" s="896"/>
      <c r="C11955" s="897"/>
      <c r="D11955" s="897"/>
      <c r="E11955" s="1002" t="s">
        <v>108</v>
      </c>
      <c r="F11955" s="1003"/>
      <c r="G11955" s="1004"/>
      <c r="H11955" s="901"/>
      <c r="I11955" s="902"/>
      <c r="J11955" s="902"/>
      <c r="K11955" s="912" t="s">
        <v>274</v>
      </c>
      <c r="L11955" s="902"/>
      <c r="M11955" s="902"/>
      <c r="N11955" s="902"/>
      <c r="O11955" s="892">
        <f t="shared" si="965"/>
        <v>0</v>
      </c>
      <c r="P11955" s="903">
        <f t="shared" ref="P11955:P12018" si="966">IF(O11955=0,1,0)</f>
        <v>1</v>
      </c>
      <c r="Q11955" s="893">
        <f t="shared" ref="Q11955:Q12018" si="967">IF(P11955=0,0,P11955+Q11956)</f>
        <v>5</v>
      </c>
      <c r="R11955" s="894">
        <f t="shared" ref="R11955:R12018" si="968">IF(Q11955=0,Q11956,0)</f>
        <v>0</v>
      </c>
    </row>
    <row r="11956" spans="1:18">
      <c r="A11956" s="905"/>
      <c r="B11956" s="952"/>
      <c r="C11956" s="907">
        <v>230</v>
      </c>
      <c r="D11956" s="907" t="s">
        <v>279</v>
      </c>
      <c r="E11956" s="992" t="s">
        <v>7013</v>
      </c>
      <c r="F11956" s="905" t="s">
        <v>45</v>
      </c>
      <c r="G11956" s="1005"/>
      <c r="H11956" s="911">
        <v>0.03</v>
      </c>
      <c r="I11956" s="912">
        <f>VLOOKUP(E11956,[3]VLP!$B$7:$K$300,10,0)</f>
        <v>15455</v>
      </c>
      <c r="J11956" s="912">
        <f>I11956*H11956</f>
        <v>463.65</v>
      </c>
      <c r="K11956" s="912" t="s">
        <v>274</v>
      </c>
      <c r="L11956" s="912"/>
      <c r="M11956" s="912"/>
      <c r="N11956" s="912"/>
      <c r="O11956" s="892">
        <f t="shared" si="965"/>
        <v>0</v>
      </c>
      <c r="P11956" s="903">
        <f t="shared" si="966"/>
        <v>1</v>
      </c>
      <c r="Q11956" s="893">
        <f t="shared" si="967"/>
        <v>4</v>
      </c>
      <c r="R11956" s="894">
        <f t="shared" si="968"/>
        <v>0</v>
      </c>
    </row>
    <row r="11957" spans="1:18" s="847" customFormat="1">
      <c r="A11957" s="905"/>
      <c r="B11957" s="952"/>
      <c r="C11957" s="907">
        <v>699</v>
      </c>
      <c r="D11957" s="907" t="s">
        <v>279</v>
      </c>
      <c r="E11957" s="992" t="s">
        <v>4006</v>
      </c>
      <c r="F11957" s="905" t="s">
        <v>4007</v>
      </c>
      <c r="G11957" s="1005"/>
      <c r="H11957" s="911">
        <v>5</v>
      </c>
      <c r="I11957" s="912">
        <f>VLOOKUP(E11957,[3]VLP!$B$7:$K$300,10,0)</f>
        <v>5000</v>
      </c>
      <c r="J11957" s="912">
        <f>I11957*H11957</f>
        <v>25000</v>
      </c>
      <c r="K11957" s="912" t="s">
        <v>274</v>
      </c>
      <c r="L11957" s="912"/>
      <c r="M11957" s="912"/>
      <c r="N11957" s="912"/>
      <c r="O11957" s="892">
        <f t="shared" si="965"/>
        <v>0</v>
      </c>
      <c r="P11957" s="903">
        <f t="shared" si="966"/>
        <v>1</v>
      </c>
      <c r="Q11957" s="893">
        <f t="shared" si="967"/>
        <v>3</v>
      </c>
      <c r="R11957" s="894">
        <f t="shared" si="968"/>
        <v>0</v>
      </c>
    </row>
    <row r="11958" spans="1:18">
      <c r="A11958" s="895"/>
      <c r="B11958" s="896"/>
      <c r="C11958" s="897"/>
      <c r="D11958" s="897"/>
      <c r="E11958" s="1002" t="s">
        <v>276</v>
      </c>
      <c r="F11958" s="1003"/>
      <c r="G11958" s="1004"/>
      <c r="H11958" s="901"/>
      <c r="I11958" s="902"/>
      <c r="J11958" s="902"/>
      <c r="K11958" s="912" t="s">
        <v>274</v>
      </c>
      <c r="L11958" s="902"/>
      <c r="M11958" s="902"/>
      <c r="N11958" s="902"/>
      <c r="O11958" s="892">
        <f t="shared" si="965"/>
        <v>0</v>
      </c>
      <c r="P11958" s="903">
        <f t="shared" si="966"/>
        <v>1</v>
      </c>
      <c r="Q11958" s="893">
        <f t="shared" si="967"/>
        <v>2</v>
      </c>
      <c r="R11958" s="894">
        <f t="shared" si="968"/>
        <v>0</v>
      </c>
    </row>
    <row r="11959" spans="1:18">
      <c r="A11959" s="905"/>
      <c r="B11959" s="952"/>
      <c r="C11959" s="907">
        <v>740</v>
      </c>
      <c r="D11959" s="907" t="s">
        <v>12</v>
      </c>
      <c r="E11959" s="992" t="s">
        <v>4008</v>
      </c>
      <c r="F11959" s="905" t="s">
        <v>2674</v>
      </c>
      <c r="G11959" s="1005"/>
      <c r="H11959" s="911">
        <v>10.07</v>
      </c>
      <c r="I11959" s="912"/>
      <c r="J11959" s="912"/>
      <c r="K11959" s="912">
        <f>VLOOKUP(E11959,[5]ĐMNC!$A$7:$F$67,4,0)</f>
        <v>221125</v>
      </c>
      <c r="L11959" s="912">
        <f>H11959*K11959</f>
        <v>2226728.75</v>
      </c>
      <c r="M11959" s="912"/>
      <c r="N11959" s="912"/>
      <c r="O11959" s="892">
        <f t="shared" si="965"/>
        <v>0</v>
      </c>
      <c r="P11959" s="903">
        <f t="shared" si="966"/>
        <v>1</v>
      </c>
      <c r="Q11959" s="893">
        <f t="shared" si="967"/>
        <v>1</v>
      </c>
      <c r="R11959" s="894">
        <f t="shared" si="968"/>
        <v>0</v>
      </c>
    </row>
    <row r="11960" spans="1:18" ht="31.5">
      <c r="A11960" s="905" t="s">
        <v>7010</v>
      </c>
      <c r="B11960" s="1018" t="s">
        <v>7034</v>
      </c>
      <c r="C11960" s="915"/>
      <c r="D11960" s="915"/>
      <c r="E11960" s="1006" t="s">
        <v>7035</v>
      </c>
      <c r="F11960" s="917" t="s">
        <v>43</v>
      </c>
      <c r="G11960" s="1008"/>
      <c r="H11960" s="919"/>
      <c r="I11960" s="920"/>
      <c r="J11960" s="891">
        <f>SUM(J11961:J11965)</f>
        <v>25463.65</v>
      </c>
      <c r="K11960" s="891"/>
      <c r="L11960" s="891">
        <f>SUM(L11961:L11965)</f>
        <v>2894526.25</v>
      </c>
      <c r="M11960" s="891"/>
      <c r="N11960" s="891">
        <f>SUM(N11961:N11965)</f>
        <v>0</v>
      </c>
      <c r="O11960" s="892">
        <f t="shared" si="965"/>
        <v>1</v>
      </c>
      <c r="P11960" s="903">
        <f t="shared" si="966"/>
        <v>0</v>
      </c>
      <c r="Q11960" s="893">
        <f t="shared" si="967"/>
        <v>0</v>
      </c>
      <c r="R11960" s="894">
        <f t="shared" si="968"/>
        <v>5</v>
      </c>
    </row>
    <row r="11961" spans="1:18" s="904" customFormat="1">
      <c r="A11961" s="895"/>
      <c r="B11961" s="896"/>
      <c r="C11961" s="897"/>
      <c r="D11961" s="897"/>
      <c r="E11961" s="1002" t="s">
        <v>108</v>
      </c>
      <c r="F11961" s="1003"/>
      <c r="G11961" s="1004"/>
      <c r="H11961" s="901"/>
      <c r="I11961" s="902"/>
      <c r="J11961" s="902"/>
      <c r="K11961" s="912" t="s">
        <v>274</v>
      </c>
      <c r="L11961" s="902"/>
      <c r="M11961" s="902"/>
      <c r="N11961" s="902"/>
      <c r="O11961" s="892">
        <f t="shared" si="965"/>
        <v>0</v>
      </c>
      <c r="P11961" s="903">
        <f t="shared" si="966"/>
        <v>1</v>
      </c>
      <c r="Q11961" s="893">
        <f t="shared" si="967"/>
        <v>5</v>
      </c>
      <c r="R11961" s="894">
        <f t="shared" si="968"/>
        <v>0</v>
      </c>
    </row>
    <row r="11962" spans="1:18">
      <c r="A11962" s="905"/>
      <c r="B11962" s="952"/>
      <c r="C11962" s="907">
        <v>230</v>
      </c>
      <c r="D11962" s="907" t="s">
        <v>279</v>
      </c>
      <c r="E11962" s="992" t="s">
        <v>7013</v>
      </c>
      <c r="F11962" s="905" t="s">
        <v>45</v>
      </c>
      <c r="G11962" s="1005"/>
      <c r="H11962" s="911">
        <v>0.03</v>
      </c>
      <c r="I11962" s="912">
        <f>VLOOKUP(E11962,[3]VLP!$B$7:$K$300,10,0)</f>
        <v>15455</v>
      </c>
      <c r="J11962" s="912">
        <f>I11962*H11962</f>
        <v>463.65</v>
      </c>
      <c r="K11962" s="912" t="s">
        <v>274</v>
      </c>
      <c r="L11962" s="912"/>
      <c r="M11962" s="912"/>
      <c r="N11962" s="912"/>
      <c r="O11962" s="892">
        <f t="shared" si="965"/>
        <v>0</v>
      </c>
      <c r="P11962" s="903">
        <f t="shared" si="966"/>
        <v>1</v>
      </c>
      <c r="Q11962" s="893">
        <f t="shared" si="967"/>
        <v>4</v>
      </c>
      <c r="R11962" s="894">
        <f t="shared" si="968"/>
        <v>0</v>
      </c>
    </row>
    <row r="11963" spans="1:18" s="847" customFormat="1">
      <c r="A11963" s="905"/>
      <c r="B11963" s="952"/>
      <c r="C11963" s="907">
        <v>699</v>
      </c>
      <c r="D11963" s="907" t="s">
        <v>279</v>
      </c>
      <c r="E11963" s="992" t="s">
        <v>4006</v>
      </c>
      <c r="F11963" s="905" t="s">
        <v>4007</v>
      </c>
      <c r="G11963" s="1005"/>
      <c r="H11963" s="911">
        <v>5</v>
      </c>
      <c r="I11963" s="912">
        <f>VLOOKUP(E11963,[3]VLP!$B$7:$K$300,10,0)</f>
        <v>5000</v>
      </c>
      <c r="J11963" s="912">
        <f>I11963*H11963</f>
        <v>25000</v>
      </c>
      <c r="K11963" s="912" t="s">
        <v>274</v>
      </c>
      <c r="L11963" s="912"/>
      <c r="M11963" s="912"/>
      <c r="N11963" s="912"/>
      <c r="O11963" s="892">
        <f t="shared" si="965"/>
        <v>0</v>
      </c>
      <c r="P11963" s="903">
        <f t="shared" si="966"/>
        <v>1</v>
      </c>
      <c r="Q11963" s="893">
        <f t="shared" si="967"/>
        <v>3</v>
      </c>
      <c r="R11963" s="894">
        <f t="shared" si="968"/>
        <v>0</v>
      </c>
    </row>
    <row r="11964" spans="1:18">
      <c r="A11964" s="895"/>
      <c r="B11964" s="896"/>
      <c r="C11964" s="897"/>
      <c r="D11964" s="897"/>
      <c r="E11964" s="1002" t="s">
        <v>276</v>
      </c>
      <c r="F11964" s="1003"/>
      <c r="G11964" s="1004"/>
      <c r="H11964" s="901"/>
      <c r="I11964" s="902"/>
      <c r="J11964" s="902"/>
      <c r="K11964" s="912" t="s">
        <v>274</v>
      </c>
      <c r="L11964" s="902"/>
      <c r="M11964" s="902"/>
      <c r="N11964" s="902"/>
      <c r="O11964" s="892">
        <f t="shared" si="965"/>
        <v>0</v>
      </c>
      <c r="P11964" s="903">
        <f t="shared" si="966"/>
        <v>1</v>
      </c>
      <c r="Q11964" s="893">
        <f t="shared" si="967"/>
        <v>2</v>
      </c>
      <c r="R11964" s="894">
        <f t="shared" si="968"/>
        <v>0</v>
      </c>
    </row>
    <row r="11965" spans="1:18">
      <c r="A11965" s="905"/>
      <c r="B11965" s="952"/>
      <c r="C11965" s="907">
        <v>740</v>
      </c>
      <c r="D11965" s="907" t="s">
        <v>12</v>
      </c>
      <c r="E11965" s="992" t="s">
        <v>4008</v>
      </c>
      <c r="F11965" s="905" t="s">
        <v>2674</v>
      </c>
      <c r="G11965" s="1005"/>
      <c r="H11965" s="911">
        <v>13.09</v>
      </c>
      <c r="I11965" s="912"/>
      <c r="J11965" s="912"/>
      <c r="K11965" s="912">
        <f>VLOOKUP(E11965,[5]ĐMNC!$A$7:$F$67,4,0)</f>
        <v>221125</v>
      </c>
      <c r="L11965" s="912">
        <f>H11965*K11965</f>
        <v>2894526.25</v>
      </c>
      <c r="M11965" s="912"/>
      <c r="N11965" s="912"/>
      <c r="O11965" s="892">
        <f t="shared" si="965"/>
        <v>0</v>
      </c>
      <c r="P11965" s="903">
        <f t="shared" si="966"/>
        <v>1</v>
      </c>
      <c r="Q11965" s="893">
        <f t="shared" si="967"/>
        <v>1</v>
      </c>
      <c r="R11965" s="894">
        <f t="shared" si="968"/>
        <v>0</v>
      </c>
    </row>
    <row r="11966" spans="1:18" ht="31.5">
      <c r="A11966" s="905" t="s">
        <v>7036</v>
      </c>
      <c r="B11966" s="1018" t="s">
        <v>7037</v>
      </c>
      <c r="C11966" s="915"/>
      <c r="D11966" s="915"/>
      <c r="E11966" s="1006" t="s">
        <v>7038</v>
      </c>
      <c r="F11966" s="917" t="s">
        <v>43</v>
      </c>
      <c r="G11966" s="1008"/>
      <c r="H11966" s="919"/>
      <c r="I11966" s="920"/>
      <c r="J11966" s="891">
        <f>SUM(J11967:J11971)</f>
        <v>25463.65</v>
      </c>
      <c r="K11966" s="891"/>
      <c r="L11966" s="891">
        <f>SUM(L11967:L11971)</f>
        <v>360433.75</v>
      </c>
      <c r="M11966" s="891"/>
      <c r="N11966" s="891">
        <f>SUM(N11967:N11971)</f>
        <v>0</v>
      </c>
      <c r="O11966" s="892">
        <f t="shared" si="965"/>
        <v>1</v>
      </c>
      <c r="P11966" s="903">
        <f t="shared" si="966"/>
        <v>0</v>
      </c>
      <c r="Q11966" s="893">
        <f t="shared" si="967"/>
        <v>0</v>
      </c>
      <c r="R11966" s="894">
        <f t="shared" si="968"/>
        <v>5</v>
      </c>
    </row>
    <row r="11967" spans="1:18" s="904" customFormat="1">
      <c r="A11967" s="895"/>
      <c r="B11967" s="896"/>
      <c r="C11967" s="897"/>
      <c r="D11967" s="897"/>
      <c r="E11967" s="1002" t="s">
        <v>108</v>
      </c>
      <c r="F11967" s="1003"/>
      <c r="G11967" s="1004"/>
      <c r="H11967" s="901"/>
      <c r="I11967" s="902"/>
      <c r="J11967" s="902"/>
      <c r="K11967" s="912" t="s">
        <v>274</v>
      </c>
      <c r="L11967" s="902"/>
      <c r="M11967" s="902"/>
      <c r="N11967" s="902"/>
      <c r="O11967" s="892">
        <f t="shared" si="965"/>
        <v>0</v>
      </c>
      <c r="P11967" s="903">
        <f t="shared" si="966"/>
        <v>1</v>
      </c>
      <c r="Q11967" s="893">
        <f t="shared" si="967"/>
        <v>5</v>
      </c>
      <c r="R11967" s="894">
        <f t="shared" si="968"/>
        <v>0</v>
      </c>
    </row>
    <row r="11968" spans="1:18">
      <c r="A11968" s="905"/>
      <c r="B11968" s="952"/>
      <c r="C11968" s="907">
        <v>230</v>
      </c>
      <c r="D11968" s="907" t="s">
        <v>279</v>
      </c>
      <c r="E11968" s="992" t="s">
        <v>7013</v>
      </c>
      <c r="F11968" s="905" t="s">
        <v>45</v>
      </c>
      <c r="G11968" s="1005"/>
      <c r="H11968" s="911">
        <v>0.03</v>
      </c>
      <c r="I11968" s="912">
        <f>VLOOKUP(E11968,[3]VLP!$B$7:$K$300,10,0)</f>
        <v>15455</v>
      </c>
      <c r="J11968" s="912">
        <f>I11968*H11968</f>
        <v>463.65</v>
      </c>
      <c r="K11968" s="912" t="s">
        <v>274</v>
      </c>
      <c r="L11968" s="912"/>
      <c r="M11968" s="912"/>
      <c r="N11968" s="912"/>
      <c r="O11968" s="892">
        <f t="shared" si="965"/>
        <v>0</v>
      </c>
      <c r="P11968" s="903">
        <f t="shared" si="966"/>
        <v>1</v>
      </c>
      <c r="Q11968" s="893">
        <f t="shared" si="967"/>
        <v>4</v>
      </c>
      <c r="R11968" s="894">
        <f t="shared" si="968"/>
        <v>0</v>
      </c>
    </row>
    <row r="11969" spans="1:18" s="847" customFormat="1">
      <c r="A11969" s="905"/>
      <c r="B11969" s="952"/>
      <c r="C11969" s="907">
        <v>699</v>
      </c>
      <c r="D11969" s="907" t="s">
        <v>279</v>
      </c>
      <c r="E11969" s="992" t="s">
        <v>4006</v>
      </c>
      <c r="F11969" s="905" t="s">
        <v>4007</v>
      </c>
      <c r="G11969" s="1005"/>
      <c r="H11969" s="911">
        <v>5</v>
      </c>
      <c r="I11969" s="912">
        <f>VLOOKUP(E11969,[3]VLP!$B$7:$K$300,10,0)</f>
        <v>5000</v>
      </c>
      <c r="J11969" s="912">
        <f>I11969*H11969</f>
        <v>25000</v>
      </c>
      <c r="K11969" s="912" t="s">
        <v>274</v>
      </c>
      <c r="L11969" s="912"/>
      <c r="M11969" s="912"/>
      <c r="N11969" s="912"/>
      <c r="O11969" s="892">
        <f t="shared" si="965"/>
        <v>0</v>
      </c>
      <c r="P11969" s="903">
        <f t="shared" si="966"/>
        <v>1</v>
      </c>
      <c r="Q11969" s="893">
        <f t="shared" si="967"/>
        <v>3</v>
      </c>
      <c r="R11969" s="894">
        <f t="shared" si="968"/>
        <v>0</v>
      </c>
    </row>
    <row r="11970" spans="1:18">
      <c r="A11970" s="895"/>
      <c r="B11970" s="896"/>
      <c r="C11970" s="897"/>
      <c r="D11970" s="897"/>
      <c r="E11970" s="1002" t="s">
        <v>276</v>
      </c>
      <c r="F11970" s="1003"/>
      <c r="G11970" s="1004"/>
      <c r="H11970" s="901"/>
      <c r="I11970" s="902"/>
      <c r="J11970" s="902"/>
      <c r="K11970" s="912" t="s">
        <v>274</v>
      </c>
      <c r="L11970" s="902"/>
      <c r="M11970" s="902"/>
      <c r="N11970" s="902"/>
      <c r="O11970" s="892">
        <f t="shared" si="965"/>
        <v>0</v>
      </c>
      <c r="P11970" s="903">
        <f t="shared" si="966"/>
        <v>1</v>
      </c>
      <c r="Q11970" s="893">
        <f t="shared" si="967"/>
        <v>2</v>
      </c>
      <c r="R11970" s="894">
        <f t="shared" si="968"/>
        <v>0</v>
      </c>
    </row>
    <row r="11971" spans="1:18">
      <c r="A11971" s="905"/>
      <c r="B11971" s="952"/>
      <c r="C11971" s="907">
        <v>740</v>
      </c>
      <c r="D11971" s="907" t="s">
        <v>12</v>
      </c>
      <c r="E11971" s="992" t="s">
        <v>4008</v>
      </c>
      <c r="F11971" s="905" t="s">
        <v>2674</v>
      </c>
      <c r="G11971" s="1005"/>
      <c r="H11971" s="911">
        <v>1.63</v>
      </c>
      <c r="I11971" s="912"/>
      <c r="J11971" s="912"/>
      <c r="K11971" s="912">
        <f>VLOOKUP(E11971,[5]ĐMNC!$A$7:$F$67,4,0)</f>
        <v>221125</v>
      </c>
      <c r="L11971" s="912">
        <f>H11971*K11971</f>
        <v>360433.75</v>
      </c>
      <c r="M11971" s="912"/>
      <c r="N11971" s="912"/>
      <c r="O11971" s="892">
        <f t="shared" si="965"/>
        <v>0</v>
      </c>
      <c r="P11971" s="903">
        <f t="shared" si="966"/>
        <v>1</v>
      </c>
      <c r="Q11971" s="893">
        <f t="shared" si="967"/>
        <v>1</v>
      </c>
      <c r="R11971" s="894">
        <f t="shared" si="968"/>
        <v>0</v>
      </c>
    </row>
    <row r="11972" spans="1:18" ht="31.5">
      <c r="A11972" s="905" t="s">
        <v>7036</v>
      </c>
      <c r="B11972" s="1018" t="s">
        <v>7039</v>
      </c>
      <c r="C11972" s="915"/>
      <c r="D11972" s="915"/>
      <c r="E11972" s="1006" t="s">
        <v>7040</v>
      </c>
      <c r="F11972" s="917" t="s">
        <v>43</v>
      </c>
      <c r="G11972" s="1008"/>
      <c r="H11972" s="919"/>
      <c r="I11972" s="920"/>
      <c r="J11972" s="891">
        <f>SUM(J11973:J11977)</f>
        <v>25463.65</v>
      </c>
      <c r="K11972" s="891"/>
      <c r="L11972" s="891">
        <f>SUM(L11973:L11977)</f>
        <v>442250</v>
      </c>
      <c r="M11972" s="891"/>
      <c r="N11972" s="891">
        <f>SUM(N11973:N11977)</f>
        <v>0</v>
      </c>
      <c r="O11972" s="892">
        <f t="shared" si="965"/>
        <v>1</v>
      </c>
      <c r="P11972" s="903">
        <f t="shared" si="966"/>
        <v>0</v>
      </c>
      <c r="Q11972" s="893">
        <f t="shared" si="967"/>
        <v>0</v>
      </c>
      <c r="R11972" s="894">
        <f t="shared" si="968"/>
        <v>5</v>
      </c>
    </row>
    <row r="11973" spans="1:18" s="904" customFormat="1">
      <c r="A11973" s="895"/>
      <c r="B11973" s="896"/>
      <c r="C11973" s="897"/>
      <c r="D11973" s="897"/>
      <c r="E11973" s="1002" t="s">
        <v>108</v>
      </c>
      <c r="F11973" s="1003"/>
      <c r="G11973" s="1004"/>
      <c r="H11973" s="901"/>
      <c r="I11973" s="902"/>
      <c r="J11973" s="902"/>
      <c r="K11973" s="912" t="s">
        <v>274</v>
      </c>
      <c r="L11973" s="902"/>
      <c r="M11973" s="902"/>
      <c r="N11973" s="902"/>
      <c r="O11973" s="892">
        <f t="shared" si="965"/>
        <v>0</v>
      </c>
      <c r="P11973" s="903">
        <f t="shared" si="966"/>
        <v>1</v>
      </c>
      <c r="Q11973" s="893">
        <f t="shared" si="967"/>
        <v>5</v>
      </c>
      <c r="R11973" s="894">
        <f t="shared" si="968"/>
        <v>0</v>
      </c>
    </row>
    <row r="11974" spans="1:18">
      <c r="A11974" s="905"/>
      <c r="B11974" s="952"/>
      <c r="C11974" s="907">
        <v>230</v>
      </c>
      <c r="D11974" s="907" t="s">
        <v>279</v>
      </c>
      <c r="E11974" s="992" t="s">
        <v>7013</v>
      </c>
      <c r="F11974" s="905" t="s">
        <v>45</v>
      </c>
      <c r="G11974" s="1005"/>
      <c r="H11974" s="911">
        <v>0.03</v>
      </c>
      <c r="I11974" s="912">
        <f>VLOOKUP(E11974,[3]VLP!$B$7:$K$300,10,0)</f>
        <v>15455</v>
      </c>
      <c r="J11974" s="912">
        <f>I11974*H11974</f>
        <v>463.65</v>
      </c>
      <c r="K11974" s="912" t="s">
        <v>274</v>
      </c>
      <c r="L11974" s="912"/>
      <c r="M11974" s="912"/>
      <c r="N11974" s="912"/>
      <c r="O11974" s="892">
        <f t="shared" si="965"/>
        <v>0</v>
      </c>
      <c r="P11974" s="903">
        <f t="shared" si="966"/>
        <v>1</v>
      </c>
      <c r="Q11974" s="893">
        <f t="shared" si="967"/>
        <v>4</v>
      </c>
      <c r="R11974" s="894">
        <f t="shared" si="968"/>
        <v>0</v>
      </c>
    </row>
    <row r="11975" spans="1:18" s="847" customFormat="1">
      <c r="A11975" s="905"/>
      <c r="B11975" s="952"/>
      <c r="C11975" s="907">
        <v>699</v>
      </c>
      <c r="D11975" s="907" t="s">
        <v>279</v>
      </c>
      <c r="E11975" s="992" t="s">
        <v>4006</v>
      </c>
      <c r="F11975" s="905" t="s">
        <v>4007</v>
      </c>
      <c r="G11975" s="1005"/>
      <c r="H11975" s="911">
        <v>5</v>
      </c>
      <c r="I11975" s="912">
        <f>VLOOKUP(E11975,[3]VLP!$B$7:$K$300,10,0)</f>
        <v>5000</v>
      </c>
      <c r="J11975" s="912">
        <f>I11975*H11975</f>
        <v>25000</v>
      </c>
      <c r="K11975" s="912" t="s">
        <v>274</v>
      </c>
      <c r="L11975" s="912"/>
      <c r="M11975" s="912"/>
      <c r="N11975" s="912"/>
      <c r="O11975" s="892">
        <f t="shared" si="965"/>
        <v>0</v>
      </c>
      <c r="P11975" s="903">
        <f t="shared" si="966"/>
        <v>1</v>
      </c>
      <c r="Q11975" s="893">
        <f t="shared" si="967"/>
        <v>3</v>
      </c>
      <c r="R11975" s="894">
        <f t="shared" si="968"/>
        <v>0</v>
      </c>
    </row>
    <row r="11976" spans="1:18">
      <c r="A11976" s="895"/>
      <c r="B11976" s="896"/>
      <c r="C11976" s="897"/>
      <c r="D11976" s="897"/>
      <c r="E11976" s="1002" t="s">
        <v>276</v>
      </c>
      <c r="F11976" s="1003"/>
      <c r="G11976" s="1004"/>
      <c r="H11976" s="901"/>
      <c r="I11976" s="902"/>
      <c r="J11976" s="902"/>
      <c r="K11976" s="912" t="s">
        <v>274</v>
      </c>
      <c r="L11976" s="902"/>
      <c r="M11976" s="902"/>
      <c r="N11976" s="902"/>
      <c r="O11976" s="892">
        <f t="shared" si="965"/>
        <v>0</v>
      </c>
      <c r="P11976" s="903">
        <f t="shared" si="966"/>
        <v>1</v>
      </c>
      <c r="Q11976" s="893">
        <f t="shared" si="967"/>
        <v>2</v>
      </c>
      <c r="R11976" s="894">
        <f t="shared" si="968"/>
        <v>0</v>
      </c>
    </row>
    <row r="11977" spans="1:18">
      <c r="A11977" s="905"/>
      <c r="B11977" s="952"/>
      <c r="C11977" s="907">
        <v>740</v>
      </c>
      <c r="D11977" s="907" t="s">
        <v>12</v>
      </c>
      <c r="E11977" s="992" t="s">
        <v>4008</v>
      </c>
      <c r="F11977" s="905" t="s">
        <v>2674</v>
      </c>
      <c r="G11977" s="1005"/>
      <c r="H11977" s="911">
        <v>2</v>
      </c>
      <c r="I11977" s="912"/>
      <c r="J11977" s="912"/>
      <c r="K11977" s="912">
        <f>VLOOKUP(E11977,[5]ĐMNC!$A$7:$F$67,4,0)</f>
        <v>221125</v>
      </c>
      <c r="L11977" s="912">
        <f>H11977*K11977</f>
        <v>442250</v>
      </c>
      <c r="M11977" s="912"/>
      <c r="N11977" s="912"/>
      <c r="O11977" s="892">
        <f t="shared" si="965"/>
        <v>0</v>
      </c>
      <c r="P11977" s="903">
        <f t="shared" si="966"/>
        <v>1</v>
      </c>
      <c r="Q11977" s="893">
        <f t="shared" si="967"/>
        <v>1</v>
      </c>
      <c r="R11977" s="894">
        <f t="shared" si="968"/>
        <v>0</v>
      </c>
    </row>
    <row r="11978" spans="1:18" ht="31.5">
      <c r="A11978" s="905" t="s">
        <v>7036</v>
      </c>
      <c r="B11978" s="1018" t="s">
        <v>7041</v>
      </c>
      <c r="C11978" s="915"/>
      <c r="D11978" s="915"/>
      <c r="E11978" s="1006" t="s">
        <v>7042</v>
      </c>
      <c r="F11978" s="917" t="s">
        <v>43</v>
      </c>
      <c r="G11978" s="1008"/>
      <c r="H11978" s="919"/>
      <c r="I11978" s="920"/>
      <c r="J11978" s="891">
        <f>SUM(J11979:J11983)</f>
        <v>25463.65</v>
      </c>
      <c r="K11978" s="891"/>
      <c r="L11978" s="891">
        <f>SUM(L11979:L11983)</f>
        <v>497531.25</v>
      </c>
      <c r="M11978" s="891"/>
      <c r="N11978" s="891">
        <f>SUM(N11979:N11983)</f>
        <v>0</v>
      </c>
      <c r="O11978" s="892">
        <f t="shared" si="965"/>
        <v>1</v>
      </c>
      <c r="P11978" s="903">
        <f t="shared" si="966"/>
        <v>0</v>
      </c>
      <c r="Q11978" s="893">
        <f t="shared" si="967"/>
        <v>0</v>
      </c>
      <c r="R11978" s="894">
        <f t="shared" si="968"/>
        <v>5</v>
      </c>
    </row>
    <row r="11979" spans="1:18" s="904" customFormat="1">
      <c r="A11979" s="895"/>
      <c r="B11979" s="896"/>
      <c r="C11979" s="897"/>
      <c r="D11979" s="897"/>
      <c r="E11979" s="1002" t="s">
        <v>108</v>
      </c>
      <c r="F11979" s="1003"/>
      <c r="G11979" s="1004"/>
      <c r="H11979" s="901"/>
      <c r="I11979" s="902"/>
      <c r="J11979" s="902"/>
      <c r="K11979" s="912" t="s">
        <v>274</v>
      </c>
      <c r="L11979" s="902"/>
      <c r="M11979" s="902"/>
      <c r="N11979" s="902"/>
      <c r="O11979" s="892">
        <f t="shared" si="965"/>
        <v>0</v>
      </c>
      <c r="P11979" s="903">
        <f t="shared" si="966"/>
        <v>1</v>
      </c>
      <c r="Q11979" s="893">
        <f t="shared" si="967"/>
        <v>5</v>
      </c>
      <c r="R11979" s="894">
        <f t="shared" si="968"/>
        <v>0</v>
      </c>
    </row>
    <row r="11980" spans="1:18">
      <c r="A11980" s="905"/>
      <c r="B11980" s="952"/>
      <c r="C11980" s="907">
        <v>230</v>
      </c>
      <c r="D11980" s="907" t="s">
        <v>279</v>
      </c>
      <c r="E11980" s="992" t="s">
        <v>7013</v>
      </c>
      <c r="F11980" s="905" t="s">
        <v>45</v>
      </c>
      <c r="G11980" s="1005"/>
      <c r="H11980" s="911">
        <v>0.03</v>
      </c>
      <c r="I11980" s="912">
        <f>VLOOKUP(E11980,[3]VLP!$B$7:$K$300,10,0)</f>
        <v>15455</v>
      </c>
      <c r="J11980" s="912">
        <f>I11980*H11980</f>
        <v>463.65</v>
      </c>
      <c r="K11980" s="912" t="s">
        <v>274</v>
      </c>
      <c r="L11980" s="912"/>
      <c r="M11980" s="912"/>
      <c r="N11980" s="912"/>
      <c r="O11980" s="892">
        <f t="shared" si="965"/>
        <v>0</v>
      </c>
      <c r="P11980" s="903">
        <f t="shared" si="966"/>
        <v>1</v>
      </c>
      <c r="Q11980" s="893">
        <f t="shared" si="967"/>
        <v>4</v>
      </c>
      <c r="R11980" s="894">
        <f t="shared" si="968"/>
        <v>0</v>
      </c>
    </row>
    <row r="11981" spans="1:18" s="847" customFormat="1">
      <c r="A11981" s="905"/>
      <c r="B11981" s="952"/>
      <c r="C11981" s="907">
        <v>699</v>
      </c>
      <c r="D11981" s="907" t="s">
        <v>279</v>
      </c>
      <c r="E11981" s="992" t="s">
        <v>4006</v>
      </c>
      <c r="F11981" s="905" t="s">
        <v>4007</v>
      </c>
      <c r="G11981" s="1005"/>
      <c r="H11981" s="911">
        <v>5</v>
      </c>
      <c r="I11981" s="912">
        <f>VLOOKUP(E11981,[3]VLP!$B$7:$K$300,10,0)</f>
        <v>5000</v>
      </c>
      <c r="J11981" s="912">
        <f>I11981*H11981</f>
        <v>25000</v>
      </c>
      <c r="K11981" s="912" t="s">
        <v>274</v>
      </c>
      <c r="L11981" s="912"/>
      <c r="M11981" s="912"/>
      <c r="N11981" s="912"/>
      <c r="O11981" s="892">
        <f t="shared" si="965"/>
        <v>0</v>
      </c>
      <c r="P11981" s="903">
        <f t="shared" si="966"/>
        <v>1</v>
      </c>
      <c r="Q11981" s="893">
        <f t="shared" si="967"/>
        <v>3</v>
      </c>
      <c r="R11981" s="894">
        <f t="shared" si="968"/>
        <v>0</v>
      </c>
    </row>
    <row r="11982" spans="1:18">
      <c r="A11982" s="895"/>
      <c r="B11982" s="896"/>
      <c r="C11982" s="897"/>
      <c r="D11982" s="897"/>
      <c r="E11982" s="1002" t="s">
        <v>276</v>
      </c>
      <c r="F11982" s="1003"/>
      <c r="G11982" s="1004"/>
      <c r="H11982" s="901"/>
      <c r="I11982" s="902"/>
      <c r="J11982" s="902"/>
      <c r="K11982" s="912" t="s">
        <v>274</v>
      </c>
      <c r="L11982" s="902"/>
      <c r="M11982" s="902"/>
      <c r="N11982" s="902"/>
      <c r="O11982" s="892">
        <f t="shared" si="965"/>
        <v>0</v>
      </c>
      <c r="P11982" s="903">
        <f t="shared" si="966"/>
        <v>1</v>
      </c>
      <c r="Q11982" s="893">
        <f t="shared" si="967"/>
        <v>2</v>
      </c>
      <c r="R11982" s="894">
        <f t="shared" si="968"/>
        <v>0</v>
      </c>
    </row>
    <row r="11983" spans="1:18">
      <c r="A11983" s="905"/>
      <c r="B11983" s="952"/>
      <c r="C11983" s="907">
        <v>740</v>
      </c>
      <c r="D11983" s="907" t="s">
        <v>12</v>
      </c>
      <c r="E11983" s="992" t="s">
        <v>4008</v>
      </c>
      <c r="F11983" s="905" t="s">
        <v>2674</v>
      </c>
      <c r="G11983" s="1005"/>
      <c r="H11983" s="911">
        <v>2.25</v>
      </c>
      <c r="I11983" s="912"/>
      <c r="J11983" s="912"/>
      <c r="K11983" s="912">
        <f>VLOOKUP(E11983,[5]ĐMNC!$A$7:$F$67,4,0)</f>
        <v>221125</v>
      </c>
      <c r="L11983" s="912">
        <f>H11983*K11983</f>
        <v>497531.25</v>
      </c>
      <c r="M11983" s="912"/>
      <c r="N11983" s="912"/>
      <c r="O11983" s="892">
        <f t="shared" si="965"/>
        <v>0</v>
      </c>
      <c r="P11983" s="903">
        <f t="shared" si="966"/>
        <v>1</v>
      </c>
      <c r="Q11983" s="893">
        <f t="shared" si="967"/>
        <v>1</v>
      </c>
      <c r="R11983" s="894">
        <f t="shared" si="968"/>
        <v>0</v>
      </c>
    </row>
    <row r="11984" spans="1:18" ht="31.5">
      <c r="A11984" s="905" t="s">
        <v>7036</v>
      </c>
      <c r="B11984" s="1018" t="s">
        <v>7043</v>
      </c>
      <c r="C11984" s="915"/>
      <c r="D11984" s="915"/>
      <c r="E11984" s="1006" t="s">
        <v>7044</v>
      </c>
      <c r="F11984" s="917" t="s">
        <v>43</v>
      </c>
      <c r="G11984" s="1008"/>
      <c r="H11984" s="919"/>
      <c r="I11984" s="920"/>
      <c r="J11984" s="891">
        <f>SUM(J11985:J11989)</f>
        <v>25463.65</v>
      </c>
      <c r="K11984" s="891"/>
      <c r="L11984" s="891">
        <f>SUM(L11985:L11989)</f>
        <v>557235</v>
      </c>
      <c r="M11984" s="891"/>
      <c r="N11984" s="891">
        <f>SUM(N11985:N11989)</f>
        <v>0</v>
      </c>
      <c r="O11984" s="892">
        <f t="shared" si="965"/>
        <v>1</v>
      </c>
      <c r="P11984" s="903">
        <f t="shared" si="966"/>
        <v>0</v>
      </c>
      <c r="Q11984" s="893">
        <f t="shared" si="967"/>
        <v>0</v>
      </c>
      <c r="R11984" s="894">
        <f t="shared" si="968"/>
        <v>5</v>
      </c>
    </row>
    <row r="11985" spans="1:18" s="904" customFormat="1">
      <c r="A11985" s="895"/>
      <c r="B11985" s="896"/>
      <c r="C11985" s="897"/>
      <c r="D11985" s="897"/>
      <c r="E11985" s="1002" t="s">
        <v>108</v>
      </c>
      <c r="F11985" s="1003"/>
      <c r="G11985" s="1004"/>
      <c r="H11985" s="901"/>
      <c r="I11985" s="902"/>
      <c r="J11985" s="902"/>
      <c r="K11985" s="912" t="s">
        <v>274</v>
      </c>
      <c r="L11985" s="902"/>
      <c r="M11985" s="902"/>
      <c r="N11985" s="902"/>
      <c r="O11985" s="892">
        <f t="shared" si="965"/>
        <v>0</v>
      </c>
      <c r="P11985" s="903">
        <f t="shared" si="966"/>
        <v>1</v>
      </c>
      <c r="Q11985" s="893">
        <f t="shared" si="967"/>
        <v>5</v>
      </c>
      <c r="R11985" s="894">
        <f t="shared" si="968"/>
        <v>0</v>
      </c>
    </row>
    <row r="11986" spans="1:18">
      <c r="A11986" s="905"/>
      <c r="B11986" s="952"/>
      <c r="C11986" s="907">
        <v>230</v>
      </c>
      <c r="D11986" s="907" t="s">
        <v>279</v>
      </c>
      <c r="E11986" s="992" t="s">
        <v>7013</v>
      </c>
      <c r="F11986" s="905" t="s">
        <v>45</v>
      </c>
      <c r="G11986" s="1005"/>
      <c r="H11986" s="911">
        <v>0.03</v>
      </c>
      <c r="I11986" s="912">
        <f>VLOOKUP(E11986,[3]VLP!$B$7:$K$300,10,0)</f>
        <v>15455</v>
      </c>
      <c r="J11986" s="912">
        <f>I11986*H11986</f>
        <v>463.65</v>
      </c>
      <c r="K11986" s="912" t="s">
        <v>274</v>
      </c>
      <c r="L11986" s="912"/>
      <c r="M11986" s="912"/>
      <c r="N11986" s="912"/>
      <c r="O11986" s="892">
        <f t="shared" si="965"/>
        <v>0</v>
      </c>
      <c r="P11986" s="903">
        <f t="shared" si="966"/>
        <v>1</v>
      </c>
      <c r="Q11986" s="893">
        <f t="shared" si="967"/>
        <v>4</v>
      </c>
      <c r="R11986" s="894">
        <f t="shared" si="968"/>
        <v>0</v>
      </c>
    </row>
    <row r="11987" spans="1:18" s="847" customFormat="1">
      <c r="A11987" s="905"/>
      <c r="B11987" s="952"/>
      <c r="C11987" s="907">
        <v>699</v>
      </c>
      <c r="D11987" s="907" t="s">
        <v>279</v>
      </c>
      <c r="E11987" s="992" t="s">
        <v>4006</v>
      </c>
      <c r="F11987" s="905" t="s">
        <v>4007</v>
      </c>
      <c r="G11987" s="1005"/>
      <c r="H11987" s="911">
        <v>5</v>
      </c>
      <c r="I11987" s="912">
        <f>VLOOKUP(E11987,[3]VLP!$B$7:$K$300,10,0)</f>
        <v>5000</v>
      </c>
      <c r="J11987" s="912">
        <f>I11987*H11987</f>
        <v>25000</v>
      </c>
      <c r="K11987" s="912" t="s">
        <v>274</v>
      </c>
      <c r="L11987" s="912"/>
      <c r="M11987" s="912"/>
      <c r="N11987" s="912"/>
      <c r="O11987" s="892">
        <f t="shared" si="965"/>
        <v>0</v>
      </c>
      <c r="P11987" s="903">
        <f t="shared" si="966"/>
        <v>1</v>
      </c>
      <c r="Q11987" s="893">
        <f t="shared" si="967"/>
        <v>3</v>
      </c>
      <c r="R11987" s="894">
        <f t="shared" si="968"/>
        <v>0</v>
      </c>
    </row>
    <row r="11988" spans="1:18">
      <c r="A11988" s="895"/>
      <c r="B11988" s="896"/>
      <c r="C11988" s="897"/>
      <c r="D11988" s="897"/>
      <c r="E11988" s="1002" t="s">
        <v>276</v>
      </c>
      <c r="F11988" s="1003"/>
      <c r="G11988" s="1004"/>
      <c r="H11988" s="901"/>
      <c r="I11988" s="902"/>
      <c r="J11988" s="902"/>
      <c r="K11988" s="912" t="s">
        <v>274</v>
      </c>
      <c r="L11988" s="902"/>
      <c r="M11988" s="902"/>
      <c r="N11988" s="902"/>
      <c r="O11988" s="892">
        <f t="shared" si="965"/>
        <v>0</v>
      </c>
      <c r="P11988" s="903">
        <f t="shared" si="966"/>
        <v>1</v>
      </c>
      <c r="Q11988" s="893">
        <f t="shared" si="967"/>
        <v>2</v>
      </c>
      <c r="R11988" s="894">
        <f t="shared" si="968"/>
        <v>0</v>
      </c>
    </row>
    <row r="11989" spans="1:18">
      <c r="A11989" s="905"/>
      <c r="B11989" s="952"/>
      <c r="C11989" s="907">
        <v>740</v>
      </c>
      <c r="D11989" s="907" t="s">
        <v>12</v>
      </c>
      <c r="E11989" s="992" t="s">
        <v>4008</v>
      </c>
      <c r="F11989" s="905" t="s">
        <v>2674</v>
      </c>
      <c r="G11989" s="1005"/>
      <c r="H11989" s="911">
        <v>2.52</v>
      </c>
      <c r="I11989" s="912"/>
      <c r="J11989" s="912"/>
      <c r="K11989" s="912">
        <f>VLOOKUP(E11989,[5]ĐMNC!$A$7:$F$67,4,0)</f>
        <v>221125</v>
      </c>
      <c r="L11989" s="912">
        <f>H11989*K11989</f>
        <v>557235</v>
      </c>
      <c r="M11989" s="912"/>
      <c r="N11989" s="912"/>
      <c r="O11989" s="892">
        <f t="shared" si="965"/>
        <v>0</v>
      </c>
      <c r="P11989" s="903">
        <f t="shared" si="966"/>
        <v>1</v>
      </c>
      <c r="Q11989" s="893">
        <f t="shared" si="967"/>
        <v>1</v>
      </c>
      <c r="R11989" s="894">
        <f t="shared" si="968"/>
        <v>0</v>
      </c>
    </row>
    <row r="11990" spans="1:18" ht="31.5">
      <c r="A11990" s="905" t="s">
        <v>7036</v>
      </c>
      <c r="B11990" s="1018" t="s">
        <v>7045</v>
      </c>
      <c r="C11990" s="915"/>
      <c r="D11990" s="915"/>
      <c r="E11990" s="1006" t="s">
        <v>7046</v>
      </c>
      <c r="F11990" s="917" t="s">
        <v>43</v>
      </c>
      <c r="G11990" s="1008"/>
      <c r="H11990" s="919"/>
      <c r="I11990" s="920"/>
      <c r="J11990" s="891">
        <f>SUM(J11991:J11995)</f>
        <v>25463.65</v>
      </c>
      <c r="K11990" s="891"/>
      <c r="L11990" s="891">
        <f>SUM(L11991:L11995)</f>
        <v>670008.75</v>
      </c>
      <c r="M11990" s="891"/>
      <c r="N11990" s="891">
        <f>SUM(N11991:N11995)</f>
        <v>0</v>
      </c>
      <c r="O11990" s="892">
        <f t="shared" si="965"/>
        <v>1</v>
      </c>
      <c r="P11990" s="903">
        <f t="shared" si="966"/>
        <v>0</v>
      </c>
      <c r="Q11990" s="893">
        <f t="shared" si="967"/>
        <v>0</v>
      </c>
      <c r="R11990" s="894">
        <f t="shared" si="968"/>
        <v>5</v>
      </c>
    </row>
    <row r="11991" spans="1:18" s="904" customFormat="1">
      <c r="A11991" s="895"/>
      <c r="B11991" s="896"/>
      <c r="C11991" s="897"/>
      <c r="D11991" s="897"/>
      <c r="E11991" s="1002" t="s">
        <v>108</v>
      </c>
      <c r="F11991" s="1003"/>
      <c r="G11991" s="1004"/>
      <c r="H11991" s="901"/>
      <c r="I11991" s="902"/>
      <c r="J11991" s="902"/>
      <c r="K11991" s="912" t="s">
        <v>274</v>
      </c>
      <c r="L11991" s="902"/>
      <c r="M11991" s="902"/>
      <c r="N11991" s="902"/>
      <c r="O11991" s="892">
        <f t="shared" si="965"/>
        <v>0</v>
      </c>
      <c r="P11991" s="903">
        <f t="shared" si="966"/>
        <v>1</v>
      </c>
      <c r="Q11991" s="893">
        <f t="shared" si="967"/>
        <v>5</v>
      </c>
      <c r="R11991" s="894">
        <f t="shared" si="968"/>
        <v>0</v>
      </c>
    </row>
    <row r="11992" spans="1:18">
      <c r="A11992" s="905"/>
      <c r="B11992" s="952"/>
      <c r="C11992" s="907">
        <v>230</v>
      </c>
      <c r="D11992" s="907" t="s">
        <v>279</v>
      </c>
      <c r="E11992" s="992" t="s">
        <v>7013</v>
      </c>
      <c r="F11992" s="905" t="s">
        <v>45</v>
      </c>
      <c r="G11992" s="1005"/>
      <c r="H11992" s="911">
        <v>0.03</v>
      </c>
      <c r="I11992" s="912">
        <f>VLOOKUP(E11992,[3]VLP!$B$7:$K$300,10,0)</f>
        <v>15455</v>
      </c>
      <c r="J11992" s="912">
        <f>I11992*H11992</f>
        <v>463.65</v>
      </c>
      <c r="K11992" s="912" t="s">
        <v>274</v>
      </c>
      <c r="L11992" s="912"/>
      <c r="M11992" s="912"/>
      <c r="N11992" s="912"/>
      <c r="O11992" s="892">
        <f t="shared" si="965"/>
        <v>0</v>
      </c>
      <c r="P11992" s="903">
        <f t="shared" si="966"/>
        <v>1</v>
      </c>
      <c r="Q11992" s="893">
        <f t="shared" si="967"/>
        <v>4</v>
      </c>
      <c r="R11992" s="894">
        <f t="shared" si="968"/>
        <v>0</v>
      </c>
    </row>
    <row r="11993" spans="1:18" s="847" customFormat="1">
      <c r="A11993" s="905"/>
      <c r="B11993" s="952"/>
      <c r="C11993" s="907">
        <v>699</v>
      </c>
      <c r="D11993" s="907" t="s">
        <v>279</v>
      </c>
      <c r="E11993" s="992" t="s">
        <v>4006</v>
      </c>
      <c r="F11993" s="905" t="s">
        <v>4007</v>
      </c>
      <c r="G11993" s="1005"/>
      <c r="H11993" s="911">
        <v>5</v>
      </c>
      <c r="I11993" s="912">
        <f>VLOOKUP(E11993,[3]VLP!$B$7:$K$300,10,0)</f>
        <v>5000</v>
      </c>
      <c r="J11993" s="912">
        <f>I11993*H11993</f>
        <v>25000</v>
      </c>
      <c r="K11993" s="912" t="s">
        <v>274</v>
      </c>
      <c r="L11993" s="912"/>
      <c r="M11993" s="912"/>
      <c r="N11993" s="912"/>
      <c r="O11993" s="892">
        <f t="shared" si="965"/>
        <v>0</v>
      </c>
      <c r="P11993" s="903">
        <f t="shared" si="966"/>
        <v>1</v>
      </c>
      <c r="Q11993" s="893">
        <f t="shared" si="967"/>
        <v>3</v>
      </c>
      <c r="R11993" s="894">
        <f t="shared" si="968"/>
        <v>0</v>
      </c>
    </row>
    <row r="11994" spans="1:18">
      <c r="A11994" s="895"/>
      <c r="B11994" s="896"/>
      <c r="C11994" s="897"/>
      <c r="D11994" s="897"/>
      <c r="E11994" s="1002" t="s">
        <v>276</v>
      </c>
      <c r="F11994" s="1003"/>
      <c r="G11994" s="1004"/>
      <c r="H11994" s="901"/>
      <c r="I11994" s="902"/>
      <c r="J11994" s="902"/>
      <c r="K11994" s="912" t="s">
        <v>274</v>
      </c>
      <c r="L11994" s="902"/>
      <c r="M11994" s="902"/>
      <c r="N11994" s="902"/>
      <c r="O11994" s="892">
        <f t="shared" si="965"/>
        <v>0</v>
      </c>
      <c r="P11994" s="903">
        <f t="shared" si="966"/>
        <v>1</v>
      </c>
      <c r="Q11994" s="893">
        <f t="shared" si="967"/>
        <v>2</v>
      </c>
      <c r="R11994" s="894">
        <f t="shared" si="968"/>
        <v>0</v>
      </c>
    </row>
    <row r="11995" spans="1:18">
      <c r="A11995" s="905"/>
      <c r="B11995" s="952"/>
      <c r="C11995" s="907">
        <v>740</v>
      </c>
      <c r="D11995" s="907" t="s">
        <v>12</v>
      </c>
      <c r="E11995" s="992" t="s">
        <v>4008</v>
      </c>
      <c r="F11995" s="905" t="s">
        <v>2674</v>
      </c>
      <c r="G11995" s="1005"/>
      <c r="H11995" s="911">
        <v>3.03</v>
      </c>
      <c r="I11995" s="912"/>
      <c r="J11995" s="912"/>
      <c r="K11995" s="912">
        <f>VLOOKUP(E11995,[5]ĐMNC!$A$7:$F$67,4,0)</f>
        <v>221125</v>
      </c>
      <c r="L11995" s="912">
        <f>H11995*K11995</f>
        <v>670008.75</v>
      </c>
      <c r="M11995" s="912"/>
      <c r="N11995" s="912"/>
      <c r="O11995" s="892">
        <f t="shared" si="965"/>
        <v>0</v>
      </c>
      <c r="P11995" s="903">
        <f t="shared" si="966"/>
        <v>1</v>
      </c>
      <c r="Q11995" s="893">
        <f t="shared" si="967"/>
        <v>1</v>
      </c>
      <c r="R11995" s="894">
        <f t="shared" si="968"/>
        <v>0</v>
      </c>
    </row>
    <row r="11996" spans="1:18" ht="31.5">
      <c r="A11996" s="905" t="s">
        <v>7047</v>
      </c>
      <c r="B11996" s="1018" t="s">
        <v>7048</v>
      </c>
      <c r="C11996" s="915"/>
      <c r="D11996" s="915"/>
      <c r="E11996" s="1006" t="s">
        <v>7049</v>
      </c>
      <c r="F11996" s="917" t="s">
        <v>7050</v>
      </c>
      <c r="G11996" s="1008"/>
      <c r="H11996" s="919"/>
      <c r="I11996" s="920"/>
      <c r="J11996" s="891">
        <f>SUM(J11997:J12002)</f>
        <v>11775</v>
      </c>
      <c r="K11996" s="891"/>
      <c r="L11996" s="891">
        <f>SUM(L11997:L12002)</f>
        <v>39802.5</v>
      </c>
      <c r="M11996" s="891"/>
      <c r="N11996" s="891">
        <f>SUM(N11997:N12002)</f>
        <v>0</v>
      </c>
      <c r="O11996" s="892">
        <f t="shared" si="965"/>
        <v>1</v>
      </c>
      <c r="P11996" s="903">
        <f t="shared" si="966"/>
        <v>0</v>
      </c>
      <c r="Q11996" s="893">
        <f t="shared" si="967"/>
        <v>0</v>
      </c>
      <c r="R11996" s="894">
        <f t="shared" si="968"/>
        <v>6</v>
      </c>
    </row>
    <row r="11997" spans="1:18" s="904" customFormat="1">
      <c r="A11997" s="895"/>
      <c r="B11997" s="896"/>
      <c r="C11997" s="897"/>
      <c r="D11997" s="897"/>
      <c r="E11997" s="1002" t="s">
        <v>108</v>
      </c>
      <c r="F11997" s="1003"/>
      <c r="G11997" s="1004"/>
      <c r="H11997" s="901"/>
      <c r="I11997" s="902"/>
      <c r="J11997" s="902"/>
      <c r="K11997" s="912" t="s">
        <v>274</v>
      </c>
      <c r="L11997" s="902"/>
      <c r="M11997" s="902"/>
      <c r="N11997" s="902"/>
      <c r="O11997" s="892">
        <f t="shared" si="965"/>
        <v>0</v>
      </c>
      <c r="P11997" s="903">
        <f t="shared" si="966"/>
        <v>1</v>
      </c>
      <c r="Q11997" s="893">
        <f t="shared" si="967"/>
        <v>6</v>
      </c>
      <c r="R11997" s="894">
        <f t="shared" si="968"/>
        <v>0</v>
      </c>
    </row>
    <row r="11998" spans="1:18">
      <c r="A11998" s="905"/>
      <c r="B11998" s="952"/>
      <c r="C11998" s="907">
        <v>212</v>
      </c>
      <c r="D11998" s="907" t="s">
        <v>279</v>
      </c>
      <c r="E11998" s="992" t="s">
        <v>2681</v>
      </c>
      <c r="F11998" s="905" t="s">
        <v>45</v>
      </c>
      <c r="G11998" s="1005"/>
      <c r="H11998" s="911">
        <v>7.4999999999999997E-2</v>
      </c>
      <c r="I11998" s="912">
        <f>VLOOKUP(E11998,[3]VLP!$B$7:$K$300,10,0)</f>
        <v>23000</v>
      </c>
      <c r="J11998" s="912">
        <f>I11998*H11998</f>
        <v>1725</v>
      </c>
      <c r="K11998" s="912" t="s">
        <v>274</v>
      </c>
      <c r="L11998" s="912"/>
      <c r="M11998" s="912"/>
      <c r="N11998" s="912"/>
      <c r="O11998" s="892">
        <f t="shared" si="965"/>
        <v>0</v>
      </c>
      <c r="P11998" s="903">
        <f t="shared" si="966"/>
        <v>1</v>
      </c>
      <c r="Q11998" s="893">
        <f t="shared" si="967"/>
        <v>5</v>
      </c>
      <c r="R11998" s="894">
        <f t="shared" si="968"/>
        <v>0</v>
      </c>
    </row>
    <row r="11999" spans="1:18">
      <c r="A11999" s="905"/>
      <c r="B11999" s="952"/>
      <c r="C11999" s="907">
        <v>235</v>
      </c>
      <c r="D11999" s="907" t="s">
        <v>279</v>
      </c>
      <c r="E11999" s="992" t="s">
        <v>2682</v>
      </c>
      <c r="F11999" s="905" t="s">
        <v>45</v>
      </c>
      <c r="G11999" s="1005"/>
      <c r="H11999" s="911">
        <v>0.01</v>
      </c>
      <c r="I11999" s="912">
        <f>VLOOKUP(E11999,[3]VLP!$B$7:$K$300,10,0)</f>
        <v>5000</v>
      </c>
      <c r="J11999" s="912">
        <f>I11999*H11999</f>
        <v>50</v>
      </c>
      <c r="K11999" s="912" t="s">
        <v>274</v>
      </c>
      <c r="L11999" s="912"/>
      <c r="M11999" s="912"/>
      <c r="N11999" s="912"/>
      <c r="O11999" s="892">
        <f t="shared" ref="O11999:O12062" si="969">IF(AND(B11999&lt;&gt;"",D11999=""),1,0)</f>
        <v>0</v>
      </c>
      <c r="P11999" s="903">
        <f t="shared" si="966"/>
        <v>1</v>
      </c>
      <c r="Q11999" s="893">
        <f t="shared" si="967"/>
        <v>4</v>
      </c>
      <c r="R11999" s="894">
        <f t="shared" si="968"/>
        <v>0</v>
      </c>
    </row>
    <row r="12000" spans="1:18" s="847" customFormat="1">
      <c r="A12000" s="905"/>
      <c r="B12000" s="952"/>
      <c r="C12000" s="907">
        <v>699</v>
      </c>
      <c r="D12000" s="907" t="s">
        <v>279</v>
      </c>
      <c r="E12000" s="992" t="s">
        <v>4006</v>
      </c>
      <c r="F12000" s="905" t="s">
        <v>4007</v>
      </c>
      <c r="G12000" s="1005"/>
      <c r="H12000" s="911">
        <v>2</v>
      </c>
      <c r="I12000" s="912">
        <f>VLOOKUP(E12000,[3]VLP!$B$7:$K$300,10,0)</f>
        <v>5000</v>
      </c>
      <c r="J12000" s="912">
        <f>I12000*H12000</f>
        <v>10000</v>
      </c>
      <c r="K12000" s="912" t="s">
        <v>274</v>
      </c>
      <c r="L12000" s="912"/>
      <c r="M12000" s="912"/>
      <c r="N12000" s="912"/>
      <c r="O12000" s="892">
        <f t="shared" si="969"/>
        <v>0</v>
      </c>
      <c r="P12000" s="903">
        <f t="shared" si="966"/>
        <v>1</v>
      </c>
      <c r="Q12000" s="893">
        <f t="shared" si="967"/>
        <v>3</v>
      </c>
      <c r="R12000" s="894">
        <f t="shared" si="968"/>
        <v>0</v>
      </c>
    </row>
    <row r="12001" spans="1:18">
      <c r="A12001" s="895"/>
      <c r="B12001" s="896"/>
      <c r="C12001" s="897"/>
      <c r="D12001" s="897"/>
      <c r="E12001" s="1002" t="s">
        <v>276</v>
      </c>
      <c r="F12001" s="1003"/>
      <c r="G12001" s="1004"/>
      <c r="H12001" s="901"/>
      <c r="I12001" s="902"/>
      <c r="J12001" s="902"/>
      <c r="K12001" s="912" t="s">
        <v>274</v>
      </c>
      <c r="L12001" s="902"/>
      <c r="M12001" s="902"/>
      <c r="N12001" s="902"/>
      <c r="O12001" s="892">
        <f t="shared" si="969"/>
        <v>0</v>
      </c>
      <c r="P12001" s="903">
        <f t="shared" si="966"/>
        <v>1</v>
      </c>
      <c r="Q12001" s="893">
        <f t="shared" si="967"/>
        <v>2</v>
      </c>
      <c r="R12001" s="894">
        <f t="shared" si="968"/>
        <v>0</v>
      </c>
    </row>
    <row r="12002" spans="1:18">
      <c r="A12002" s="905"/>
      <c r="B12002" s="952"/>
      <c r="C12002" s="907">
        <v>740</v>
      </c>
      <c r="D12002" s="907" t="s">
        <v>12</v>
      </c>
      <c r="E12002" s="992" t="s">
        <v>4008</v>
      </c>
      <c r="F12002" s="905" t="s">
        <v>2674</v>
      </c>
      <c r="G12002" s="1005"/>
      <c r="H12002" s="911">
        <v>0.18</v>
      </c>
      <c r="I12002" s="912"/>
      <c r="J12002" s="912"/>
      <c r="K12002" s="912">
        <f>VLOOKUP(E12002,[5]ĐMNC!$A$7:$F$67,4,0)</f>
        <v>221125</v>
      </c>
      <c r="L12002" s="912">
        <f>H12002*K12002</f>
        <v>39802.5</v>
      </c>
      <c r="M12002" s="912"/>
      <c r="N12002" s="912"/>
      <c r="O12002" s="892">
        <f t="shared" si="969"/>
        <v>0</v>
      </c>
      <c r="P12002" s="903">
        <f t="shared" si="966"/>
        <v>1</v>
      </c>
      <c r="Q12002" s="893">
        <f t="shared" si="967"/>
        <v>1</v>
      </c>
      <c r="R12002" s="894">
        <f t="shared" si="968"/>
        <v>0</v>
      </c>
    </row>
    <row r="12003" spans="1:18" ht="31.5">
      <c r="A12003" s="905" t="s">
        <v>7047</v>
      </c>
      <c r="B12003" s="1018" t="s">
        <v>7051</v>
      </c>
      <c r="C12003" s="915"/>
      <c r="D12003" s="915"/>
      <c r="E12003" s="1006" t="s">
        <v>7052</v>
      </c>
      <c r="F12003" s="917" t="s">
        <v>7050</v>
      </c>
      <c r="G12003" s="1008"/>
      <c r="H12003" s="919"/>
      <c r="I12003" s="920"/>
      <c r="J12003" s="891">
        <f>SUM(J12004:J12009)</f>
        <v>13295</v>
      </c>
      <c r="K12003" s="891"/>
      <c r="L12003" s="891">
        <f>SUM(L12004:L12009)</f>
        <v>99506.25</v>
      </c>
      <c r="M12003" s="891"/>
      <c r="N12003" s="891">
        <f>SUM(N12004:N12009)</f>
        <v>0</v>
      </c>
      <c r="O12003" s="892">
        <f t="shared" si="969"/>
        <v>1</v>
      </c>
      <c r="P12003" s="903">
        <f t="shared" si="966"/>
        <v>0</v>
      </c>
      <c r="Q12003" s="893">
        <f t="shared" si="967"/>
        <v>0</v>
      </c>
      <c r="R12003" s="894">
        <f t="shared" si="968"/>
        <v>6</v>
      </c>
    </row>
    <row r="12004" spans="1:18" s="904" customFormat="1">
      <c r="A12004" s="895"/>
      <c r="B12004" s="896"/>
      <c r="C12004" s="897"/>
      <c r="D12004" s="897"/>
      <c r="E12004" s="1002" t="s">
        <v>108</v>
      </c>
      <c r="F12004" s="1003"/>
      <c r="G12004" s="1004"/>
      <c r="H12004" s="901"/>
      <c r="I12004" s="902"/>
      <c r="J12004" s="902"/>
      <c r="K12004" s="912" t="s">
        <v>274</v>
      </c>
      <c r="L12004" s="902"/>
      <c r="M12004" s="902"/>
      <c r="N12004" s="902"/>
      <c r="O12004" s="892">
        <f t="shared" si="969"/>
        <v>0</v>
      </c>
      <c r="P12004" s="903">
        <f t="shared" si="966"/>
        <v>1</v>
      </c>
      <c r="Q12004" s="893">
        <f t="shared" si="967"/>
        <v>6</v>
      </c>
      <c r="R12004" s="894">
        <f t="shared" si="968"/>
        <v>0</v>
      </c>
    </row>
    <row r="12005" spans="1:18">
      <c r="A12005" s="905"/>
      <c r="B12005" s="952"/>
      <c r="C12005" s="907">
        <v>212</v>
      </c>
      <c r="D12005" s="907" t="s">
        <v>279</v>
      </c>
      <c r="E12005" s="992" t="s">
        <v>2681</v>
      </c>
      <c r="F12005" s="905" t="s">
        <v>45</v>
      </c>
      <c r="G12005" s="1005"/>
      <c r="H12005" s="911">
        <v>0.14000000000000001</v>
      </c>
      <c r="I12005" s="912">
        <f>VLOOKUP(E12005,[3]VLP!$B$7:$K$300,10,0)</f>
        <v>23000</v>
      </c>
      <c r="J12005" s="912">
        <f>I12005*H12005</f>
        <v>3220.0000000000005</v>
      </c>
      <c r="K12005" s="912" t="s">
        <v>274</v>
      </c>
      <c r="L12005" s="912"/>
      <c r="M12005" s="912"/>
      <c r="N12005" s="912"/>
      <c r="O12005" s="892">
        <f t="shared" si="969"/>
        <v>0</v>
      </c>
      <c r="P12005" s="903">
        <f t="shared" si="966"/>
        <v>1</v>
      </c>
      <c r="Q12005" s="893">
        <f t="shared" si="967"/>
        <v>5</v>
      </c>
      <c r="R12005" s="894">
        <f t="shared" si="968"/>
        <v>0</v>
      </c>
    </row>
    <row r="12006" spans="1:18">
      <c r="A12006" s="905"/>
      <c r="B12006" s="952"/>
      <c r="C12006" s="907">
        <v>235</v>
      </c>
      <c r="D12006" s="907" t="s">
        <v>279</v>
      </c>
      <c r="E12006" s="992" t="s">
        <v>2682</v>
      </c>
      <c r="F12006" s="905" t="s">
        <v>45</v>
      </c>
      <c r="G12006" s="1005"/>
      <c r="H12006" s="911">
        <v>1.4999999999999999E-2</v>
      </c>
      <c r="I12006" s="912">
        <f>VLOOKUP(E12006,[3]VLP!$B$7:$K$300,10,0)</f>
        <v>5000</v>
      </c>
      <c r="J12006" s="912">
        <f>I12006*H12006</f>
        <v>75</v>
      </c>
      <c r="K12006" s="912" t="s">
        <v>274</v>
      </c>
      <c r="L12006" s="912"/>
      <c r="M12006" s="912"/>
      <c r="N12006" s="912"/>
      <c r="O12006" s="892">
        <f t="shared" si="969"/>
        <v>0</v>
      </c>
      <c r="P12006" s="903">
        <f t="shared" si="966"/>
        <v>1</v>
      </c>
      <c r="Q12006" s="893">
        <f t="shared" si="967"/>
        <v>4</v>
      </c>
      <c r="R12006" s="894">
        <f t="shared" si="968"/>
        <v>0</v>
      </c>
    </row>
    <row r="12007" spans="1:18" s="847" customFormat="1">
      <c r="A12007" s="905"/>
      <c r="B12007" s="952"/>
      <c r="C12007" s="907">
        <v>699</v>
      </c>
      <c r="D12007" s="907" t="s">
        <v>279</v>
      </c>
      <c r="E12007" s="992" t="s">
        <v>4006</v>
      </c>
      <c r="F12007" s="905" t="s">
        <v>4007</v>
      </c>
      <c r="G12007" s="1005"/>
      <c r="H12007" s="911">
        <v>2</v>
      </c>
      <c r="I12007" s="912">
        <f>VLOOKUP(E12007,[3]VLP!$B$7:$K$300,10,0)</f>
        <v>5000</v>
      </c>
      <c r="J12007" s="912">
        <f>I12007*H12007</f>
        <v>10000</v>
      </c>
      <c r="K12007" s="912" t="s">
        <v>274</v>
      </c>
      <c r="L12007" s="912"/>
      <c r="M12007" s="912"/>
      <c r="N12007" s="912"/>
      <c r="O12007" s="892">
        <f t="shared" si="969"/>
        <v>0</v>
      </c>
      <c r="P12007" s="903">
        <f t="shared" si="966"/>
        <v>1</v>
      </c>
      <c r="Q12007" s="893">
        <f t="shared" si="967"/>
        <v>3</v>
      </c>
      <c r="R12007" s="894">
        <f t="shared" si="968"/>
        <v>0</v>
      </c>
    </row>
    <row r="12008" spans="1:18">
      <c r="A12008" s="895"/>
      <c r="B12008" s="896"/>
      <c r="C12008" s="897"/>
      <c r="D12008" s="897"/>
      <c r="E12008" s="1002" t="s">
        <v>276</v>
      </c>
      <c r="F12008" s="1003"/>
      <c r="G12008" s="1004"/>
      <c r="H12008" s="901"/>
      <c r="I12008" s="902"/>
      <c r="J12008" s="902"/>
      <c r="K12008" s="912" t="s">
        <v>274</v>
      </c>
      <c r="L12008" s="902"/>
      <c r="M12008" s="902"/>
      <c r="N12008" s="902"/>
      <c r="O12008" s="892">
        <f t="shared" si="969"/>
        <v>0</v>
      </c>
      <c r="P12008" s="903">
        <f t="shared" si="966"/>
        <v>1</v>
      </c>
      <c r="Q12008" s="893">
        <f t="shared" si="967"/>
        <v>2</v>
      </c>
      <c r="R12008" s="894">
        <f t="shared" si="968"/>
        <v>0</v>
      </c>
    </row>
    <row r="12009" spans="1:18">
      <c r="A12009" s="905"/>
      <c r="B12009" s="952"/>
      <c r="C12009" s="907">
        <v>740</v>
      </c>
      <c r="D12009" s="907" t="s">
        <v>12</v>
      </c>
      <c r="E12009" s="992" t="s">
        <v>4008</v>
      </c>
      <c r="F12009" s="905" t="s">
        <v>2674</v>
      </c>
      <c r="G12009" s="1005"/>
      <c r="H12009" s="911">
        <v>0.45</v>
      </c>
      <c r="I12009" s="912"/>
      <c r="J12009" s="912"/>
      <c r="K12009" s="912">
        <f>VLOOKUP(E12009,[5]ĐMNC!$A$7:$F$67,4,0)</f>
        <v>221125</v>
      </c>
      <c r="L12009" s="912">
        <f>H12009*K12009</f>
        <v>99506.25</v>
      </c>
      <c r="M12009" s="912"/>
      <c r="N12009" s="912"/>
      <c r="O12009" s="892">
        <f t="shared" si="969"/>
        <v>0</v>
      </c>
      <c r="P12009" s="903">
        <f t="shared" si="966"/>
        <v>1</v>
      </c>
      <c r="Q12009" s="893">
        <f t="shared" si="967"/>
        <v>1</v>
      </c>
      <c r="R12009" s="894">
        <f t="shared" si="968"/>
        <v>0</v>
      </c>
    </row>
    <row r="12010" spans="1:18" ht="31.5">
      <c r="A12010" s="905" t="s">
        <v>7047</v>
      </c>
      <c r="B12010" s="1018" t="s">
        <v>7053</v>
      </c>
      <c r="C12010" s="915"/>
      <c r="D12010" s="915"/>
      <c r="E12010" s="1006" t="s">
        <v>7054</v>
      </c>
      <c r="F12010" s="917" t="s">
        <v>7050</v>
      </c>
      <c r="G12010" s="1008"/>
      <c r="H12010" s="919"/>
      <c r="I12010" s="920"/>
      <c r="J12010" s="891">
        <f>SUM(J12011:J12016)</f>
        <v>15252</v>
      </c>
      <c r="K12010" s="891"/>
      <c r="L12010" s="891">
        <f>SUM(L12011:L12016)</f>
        <v>156998.75</v>
      </c>
      <c r="M12010" s="891"/>
      <c r="N12010" s="891">
        <f>SUM(N12011:N12016)</f>
        <v>0</v>
      </c>
      <c r="O12010" s="892">
        <f t="shared" si="969"/>
        <v>1</v>
      </c>
      <c r="P12010" s="903">
        <f t="shared" si="966"/>
        <v>0</v>
      </c>
      <c r="Q12010" s="893">
        <f t="shared" si="967"/>
        <v>0</v>
      </c>
      <c r="R12010" s="894">
        <f t="shared" si="968"/>
        <v>6</v>
      </c>
    </row>
    <row r="12011" spans="1:18" s="904" customFormat="1">
      <c r="A12011" s="895"/>
      <c r="B12011" s="896"/>
      <c r="C12011" s="897"/>
      <c r="D12011" s="897"/>
      <c r="E12011" s="1002" t="s">
        <v>108</v>
      </c>
      <c r="F12011" s="1003"/>
      <c r="G12011" s="1004"/>
      <c r="H12011" s="901"/>
      <c r="I12011" s="902"/>
      <c r="J12011" s="902"/>
      <c r="K12011" s="912" t="s">
        <v>274</v>
      </c>
      <c r="L12011" s="902"/>
      <c r="M12011" s="902"/>
      <c r="N12011" s="902"/>
      <c r="O12011" s="892">
        <f t="shared" si="969"/>
        <v>0</v>
      </c>
      <c r="P12011" s="903">
        <f t="shared" si="966"/>
        <v>1</v>
      </c>
      <c r="Q12011" s="893">
        <f t="shared" si="967"/>
        <v>6</v>
      </c>
      <c r="R12011" s="894">
        <f t="shared" si="968"/>
        <v>0</v>
      </c>
    </row>
    <row r="12012" spans="1:18">
      <c r="A12012" s="905"/>
      <c r="B12012" s="952"/>
      <c r="C12012" s="907">
        <v>212</v>
      </c>
      <c r="D12012" s="907" t="s">
        <v>279</v>
      </c>
      <c r="E12012" s="992" t="s">
        <v>2681</v>
      </c>
      <c r="F12012" s="905" t="s">
        <v>45</v>
      </c>
      <c r="G12012" s="1005"/>
      <c r="H12012" s="911">
        <v>0.224</v>
      </c>
      <c r="I12012" s="912">
        <f>VLOOKUP(E12012,[3]VLP!$B$7:$K$300,10,0)</f>
        <v>23000</v>
      </c>
      <c r="J12012" s="912">
        <f>I12012*H12012</f>
        <v>5152</v>
      </c>
      <c r="K12012" s="912" t="s">
        <v>274</v>
      </c>
      <c r="L12012" s="912"/>
      <c r="M12012" s="912"/>
      <c r="N12012" s="912"/>
      <c r="O12012" s="892">
        <f t="shared" si="969"/>
        <v>0</v>
      </c>
      <c r="P12012" s="903">
        <f t="shared" si="966"/>
        <v>1</v>
      </c>
      <c r="Q12012" s="893">
        <f t="shared" si="967"/>
        <v>5</v>
      </c>
      <c r="R12012" s="894">
        <f t="shared" si="968"/>
        <v>0</v>
      </c>
    </row>
    <row r="12013" spans="1:18">
      <c r="A12013" s="905"/>
      <c r="B12013" s="952"/>
      <c r="C12013" s="907">
        <v>235</v>
      </c>
      <c r="D12013" s="907" t="s">
        <v>279</v>
      </c>
      <c r="E12013" s="992" t="s">
        <v>2682</v>
      </c>
      <c r="F12013" s="905" t="s">
        <v>45</v>
      </c>
      <c r="G12013" s="1005"/>
      <c r="H12013" s="911">
        <v>0.02</v>
      </c>
      <c r="I12013" s="912">
        <f>VLOOKUP(E12013,[3]VLP!$B$7:$K$300,10,0)</f>
        <v>5000</v>
      </c>
      <c r="J12013" s="912">
        <f>I12013*H12013</f>
        <v>100</v>
      </c>
      <c r="K12013" s="912" t="s">
        <v>274</v>
      </c>
      <c r="L12013" s="912"/>
      <c r="M12013" s="912"/>
      <c r="N12013" s="912"/>
      <c r="O12013" s="892">
        <f t="shared" si="969"/>
        <v>0</v>
      </c>
      <c r="P12013" s="903">
        <f t="shared" si="966"/>
        <v>1</v>
      </c>
      <c r="Q12013" s="893">
        <f t="shared" si="967"/>
        <v>4</v>
      </c>
      <c r="R12013" s="894">
        <f t="shared" si="968"/>
        <v>0</v>
      </c>
    </row>
    <row r="12014" spans="1:18" s="847" customFormat="1">
      <c r="A12014" s="905"/>
      <c r="B12014" s="952"/>
      <c r="C12014" s="907">
        <v>699</v>
      </c>
      <c r="D12014" s="907" t="s">
        <v>279</v>
      </c>
      <c r="E12014" s="992" t="s">
        <v>4006</v>
      </c>
      <c r="F12014" s="905" t="s">
        <v>4007</v>
      </c>
      <c r="G12014" s="1005"/>
      <c r="H12014" s="911">
        <v>2</v>
      </c>
      <c r="I12014" s="912">
        <f>VLOOKUP(E12014,[3]VLP!$B$7:$K$300,10,0)</f>
        <v>5000</v>
      </c>
      <c r="J12014" s="912">
        <f>I12014*H12014</f>
        <v>10000</v>
      </c>
      <c r="K12014" s="912" t="s">
        <v>274</v>
      </c>
      <c r="L12014" s="912"/>
      <c r="M12014" s="912"/>
      <c r="N12014" s="912"/>
      <c r="O12014" s="892">
        <f t="shared" si="969"/>
        <v>0</v>
      </c>
      <c r="P12014" s="903">
        <f t="shared" si="966"/>
        <v>1</v>
      </c>
      <c r="Q12014" s="893">
        <f t="shared" si="967"/>
        <v>3</v>
      </c>
      <c r="R12014" s="894">
        <f t="shared" si="968"/>
        <v>0</v>
      </c>
    </row>
    <row r="12015" spans="1:18">
      <c r="A12015" s="895"/>
      <c r="B12015" s="896"/>
      <c r="C12015" s="897"/>
      <c r="D12015" s="897"/>
      <c r="E12015" s="1002" t="s">
        <v>276</v>
      </c>
      <c r="F12015" s="1003"/>
      <c r="G12015" s="1004"/>
      <c r="H12015" s="901"/>
      <c r="I12015" s="902"/>
      <c r="J12015" s="902"/>
      <c r="K12015" s="912" t="s">
        <v>274</v>
      </c>
      <c r="L12015" s="902"/>
      <c r="M12015" s="902"/>
      <c r="N12015" s="902"/>
      <c r="O12015" s="892">
        <f t="shared" si="969"/>
        <v>0</v>
      </c>
      <c r="P12015" s="903">
        <f t="shared" si="966"/>
        <v>1</v>
      </c>
      <c r="Q12015" s="893">
        <f t="shared" si="967"/>
        <v>2</v>
      </c>
      <c r="R12015" s="894">
        <f t="shared" si="968"/>
        <v>0</v>
      </c>
    </row>
    <row r="12016" spans="1:18">
      <c r="A12016" s="905"/>
      <c r="B12016" s="952"/>
      <c r="C12016" s="907">
        <v>740</v>
      </c>
      <c r="D12016" s="907" t="s">
        <v>12</v>
      </c>
      <c r="E12016" s="992" t="s">
        <v>4008</v>
      </c>
      <c r="F12016" s="905" t="s">
        <v>2674</v>
      </c>
      <c r="G12016" s="1005"/>
      <c r="H12016" s="911">
        <v>0.71</v>
      </c>
      <c r="I12016" s="912"/>
      <c r="J12016" s="912"/>
      <c r="K12016" s="912">
        <f>VLOOKUP(E12016,[5]ĐMNC!$A$7:$F$67,4,0)</f>
        <v>221125</v>
      </c>
      <c r="L12016" s="912">
        <f>H12016*K12016</f>
        <v>156998.75</v>
      </c>
      <c r="M12016" s="912"/>
      <c r="N12016" s="912"/>
      <c r="O12016" s="892">
        <f t="shared" si="969"/>
        <v>0</v>
      </c>
      <c r="P12016" s="903">
        <f t="shared" si="966"/>
        <v>1</v>
      </c>
      <c r="Q12016" s="893">
        <f t="shared" si="967"/>
        <v>1</v>
      </c>
      <c r="R12016" s="894">
        <f t="shared" si="968"/>
        <v>0</v>
      </c>
    </row>
    <row r="12017" spans="1:18" ht="31.5">
      <c r="A12017" s="905" t="s">
        <v>7047</v>
      </c>
      <c r="B12017" s="1018" t="s">
        <v>7055</v>
      </c>
      <c r="C12017" s="915"/>
      <c r="D12017" s="915"/>
      <c r="E12017" s="1006" t="s">
        <v>7056</v>
      </c>
      <c r="F12017" s="917" t="s">
        <v>7050</v>
      </c>
      <c r="G12017" s="1008"/>
      <c r="H12017" s="919"/>
      <c r="I12017" s="920"/>
      <c r="J12017" s="891">
        <f>SUM(J12018:J12023)</f>
        <v>17209</v>
      </c>
      <c r="K12017" s="891"/>
      <c r="L12017" s="891">
        <f>SUM(L12018:L12023)</f>
        <v>223336.25</v>
      </c>
      <c r="M12017" s="891"/>
      <c r="N12017" s="891">
        <f>SUM(N12018:N12023)</f>
        <v>0</v>
      </c>
      <c r="O12017" s="892">
        <f t="shared" si="969"/>
        <v>1</v>
      </c>
      <c r="P12017" s="903">
        <f t="shared" si="966"/>
        <v>0</v>
      </c>
      <c r="Q12017" s="893">
        <f t="shared" si="967"/>
        <v>0</v>
      </c>
      <c r="R12017" s="894">
        <f t="shared" si="968"/>
        <v>6</v>
      </c>
    </row>
    <row r="12018" spans="1:18" s="904" customFormat="1">
      <c r="A12018" s="895"/>
      <c r="B12018" s="896"/>
      <c r="C12018" s="897"/>
      <c r="D12018" s="897"/>
      <c r="E12018" s="1002" t="s">
        <v>108</v>
      </c>
      <c r="F12018" s="1003"/>
      <c r="G12018" s="1004"/>
      <c r="H12018" s="901"/>
      <c r="I12018" s="902"/>
      <c r="J12018" s="902"/>
      <c r="K12018" s="912" t="s">
        <v>274</v>
      </c>
      <c r="L12018" s="902"/>
      <c r="M12018" s="902"/>
      <c r="N12018" s="902"/>
      <c r="O12018" s="892">
        <f t="shared" si="969"/>
        <v>0</v>
      </c>
      <c r="P12018" s="903">
        <f t="shared" si="966"/>
        <v>1</v>
      </c>
      <c r="Q12018" s="893">
        <f t="shared" si="967"/>
        <v>6</v>
      </c>
      <c r="R12018" s="894">
        <f t="shared" si="968"/>
        <v>0</v>
      </c>
    </row>
    <row r="12019" spans="1:18">
      <c r="A12019" s="905"/>
      <c r="B12019" s="952"/>
      <c r="C12019" s="907">
        <v>212</v>
      </c>
      <c r="D12019" s="907" t="s">
        <v>279</v>
      </c>
      <c r="E12019" s="992" t="s">
        <v>2681</v>
      </c>
      <c r="F12019" s="905" t="s">
        <v>45</v>
      </c>
      <c r="G12019" s="1005"/>
      <c r="H12019" s="911">
        <v>0.308</v>
      </c>
      <c r="I12019" s="912">
        <f>VLOOKUP(E12019,[3]VLP!$B$7:$K$300,10,0)</f>
        <v>23000</v>
      </c>
      <c r="J12019" s="912">
        <f>I12019*H12019</f>
        <v>7084</v>
      </c>
      <c r="K12019" s="912" t="s">
        <v>274</v>
      </c>
      <c r="L12019" s="912"/>
      <c r="M12019" s="912"/>
      <c r="N12019" s="912"/>
      <c r="O12019" s="892">
        <f t="shared" si="969"/>
        <v>0</v>
      </c>
      <c r="P12019" s="903">
        <f t="shared" ref="P12019:P12082" si="970">IF(O12019=0,1,0)</f>
        <v>1</v>
      </c>
      <c r="Q12019" s="893">
        <f t="shared" ref="Q12019:Q12082" si="971">IF(P12019=0,0,P12019+Q12020)</f>
        <v>5</v>
      </c>
      <c r="R12019" s="894">
        <f t="shared" ref="R12019:R12082" si="972">IF(Q12019=0,Q12020,0)</f>
        <v>0</v>
      </c>
    </row>
    <row r="12020" spans="1:18">
      <c r="A12020" s="905"/>
      <c r="B12020" s="952"/>
      <c r="C12020" s="907">
        <v>235</v>
      </c>
      <c r="D12020" s="907" t="s">
        <v>279</v>
      </c>
      <c r="E12020" s="992" t="s">
        <v>2682</v>
      </c>
      <c r="F12020" s="905" t="s">
        <v>45</v>
      </c>
      <c r="G12020" s="1005"/>
      <c r="H12020" s="911">
        <v>2.5000000000000001E-2</v>
      </c>
      <c r="I12020" s="912">
        <f>VLOOKUP(E12020,[3]VLP!$B$7:$K$300,10,0)</f>
        <v>5000</v>
      </c>
      <c r="J12020" s="912">
        <f>I12020*H12020</f>
        <v>125</v>
      </c>
      <c r="K12020" s="912" t="s">
        <v>274</v>
      </c>
      <c r="L12020" s="912"/>
      <c r="M12020" s="912"/>
      <c r="N12020" s="912"/>
      <c r="O12020" s="892">
        <f t="shared" si="969"/>
        <v>0</v>
      </c>
      <c r="P12020" s="903">
        <f t="shared" si="970"/>
        <v>1</v>
      </c>
      <c r="Q12020" s="893">
        <f t="shared" si="971"/>
        <v>4</v>
      </c>
      <c r="R12020" s="894">
        <f t="shared" si="972"/>
        <v>0</v>
      </c>
    </row>
    <row r="12021" spans="1:18" s="847" customFormat="1">
      <c r="A12021" s="905"/>
      <c r="B12021" s="952"/>
      <c r="C12021" s="907">
        <v>699</v>
      </c>
      <c r="D12021" s="907" t="s">
        <v>279</v>
      </c>
      <c r="E12021" s="992" t="s">
        <v>4006</v>
      </c>
      <c r="F12021" s="905" t="s">
        <v>4007</v>
      </c>
      <c r="G12021" s="1005"/>
      <c r="H12021" s="911">
        <v>2</v>
      </c>
      <c r="I12021" s="912">
        <f>VLOOKUP(E12021,[3]VLP!$B$7:$K$300,10,0)</f>
        <v>5000</v>
      </c>
      <c r="J12021" s="912">
        <f>I12021*H12021</f>
        <v>10000</v>
      </c>
      <c r="K12021" s="912" t="s">
        <v>274</v>
      </c>
      <c r="L12021" s="912"/>
      <c r="M12021" s="912"/>
      <c r="N12021" s="912"/>
      <c r="O12021" s="892">
        <f t="shared" si="969"/>
        <v>0</v>
      </c>
      <c r="P12021" s="903">
        <f t="shared" si="970"/>
        <v>1</v>
      </c>
      <c r="Q12021" s="893">
        <f t="shared" si="971"/>
        <v>3</v>
      </c>
      <c r="R12021" s="894">
        <f t="shared" si="972"/>
        <v>0</v>
      </c>
    </row>
    <row r="12022" spans="1:18">
      <c r="A12022" s="895"/>
      <c r="B12022" s="896"/>
      <c r="C12022" s="897"/>
      <c r="D12022" s="897"/>
      <c r="E12022" s="1002" t="s">
        <v>276</v>
      </c>
      <c r="F12022" s="1003"/>
      <c r="G12022" s="1004"/>
      <c r="H12022" s="901"/>
      <c r="I12022" s="902"/>
      <c r="J12022" s="902"/>
      <c r="K12022" s="912" t="s">
        <v>274</v>
      </c>
      <c r="L12022" s="902"/>
      <c r="M12022" s="902"/>
      <c r="N12022" s="902"/>
      <c r="O12022" s="892">
        <f t="shared" si="969"/>
        <v>0</v>
      </c>
      <c r="P12022" s="903">
        <f t="shared" si="970"/>
        <v>1</v>
      </c>
      <c r="Q12022" s="893">
        <f t="shared" si="971"/>
        <v>2</v>
      </c>
      <c r="R12022" s="894">
        <f t="shared" si="972"/>
        <v>0</v>
      </c>
    </row>
    <row r="12023" spans="1:18">
      <c r="A12023" s="905"/>
      <c r="B12023" s="952"/>
      <c r="C12023" s="907">
        <v>740</v>
      </c>
      <c r="D12023" s="907" t="s">
        <v>12</v>
      </c>
      <c r="E12023" s="992" t="s">
        <v>4008</v>
      </c>
      <c r="F12023" s="905" t="s">
        <v>2674</v>
      </c>
      <c r="G12023" s="1005"/>
      <c r="H12023" s="911">
        <v>1.01</v>
      </c>
      <c r="I12023" s="912"/>
      <c r="J12023" s="912"/>
      <c r="K12023" s="912">
        <f>VLOOKUP(E12023,[5]ĐMNC!$A$7:$F$67,4,0)</f>
        <v>221125</v>
      </c>
      <c r="L12023" s="912">
        <f>H12023*K12023</f>
        <v>223336.25</v>
      </c>
      <c r="M12023" s="912"/>
      <c r="N12023" s="912"/>
      <c r="O12023" s="892">
        <f t="shared" si="969"/>
        <v>0</v>
      </c>
      <c r="P12023" s="903">
        <f t="shared" si="970"/>
        <v>1</v>
      </c>
      <c r="Q12023" s="893">
        <f t="shared" si="971"/>
        <v>1</v>
      </c>
      <c r="R12023" s="894">
        <f t="shared" si="972"/>
        <v>0</v>
      </c>
    </row>
    <row r="12024" spans="1:18" ht="31.5">
      <c r="A12024" s="905" t="s">
        <v>7047</v>
      </c>
      <c r="B12024" s="1018" t="s">
        <v>7057</v>
      </c>
      <c r="C12024" s="915"/>
      <c r="D12024" s="915"/>
      <c r="E12024" s="1006" t="s">
        <v>7058</v>
      </c>
      <c r="F12024" s="917" t="s">
        <v>7050</v>
      </c>
      <c r="G12024" s="1008"/>
      <c r="H12024" s="919"/>
      <c r="I12024" s="920"/>
      <c r="J12024" s="891">
        <f>SUM(J12025:J12030)</f>
        <v>19166</v>
      </c>
      <c r="K12024" s="891"/>
      <c r="L12024" s="891">
        <f>SUM(L12025:L12030)</f>
        <v>283040</v>
      </c>
      <c r="M12024" s="891"/>
      <c r="N12024" s="891">
        <f>SUM(N12025:N12030)</f>
        <v>0</v>
      </c>
      <c r="O12024" s="892">
        <f t="shared" si="969"/>
        <v>1</v>
      </c>
      <c r="P12024" s="903">
        <f t="shared" si="970"/>
        <v>0</v>
      </c>
      <c r="Q12024" s="893">
        <f t="shared" si="971"/>
        <v>0</v>
      </c>
      <c r="R12024" s="894">
        <f t="shared" si="972"/>
        <v>6</v>
      </c>
    </row>
    <row r="12025" spans="1:18" s="904" customFormat="1">
      <c r="A12025" s="895"/>
      <c r="B12025" s="896"/>
      <c r="C12025" s="897"/>
      <c r="D12025" s="897"/>
      <c r="E12025" s="1002" t="s">
        <v>108</v>
      </c>
      <c r="F12025" s="1003"/>
      <c r="G12025" s="1004"/>
      <c r="H12025" s="901"/>
      <c r="I12025" s="902"/>
      <c r="J12025" s="902"/>
      <c r="K12025" s="912" t="s">
        <v>274</v>
      </c>
      <c r="L12025" s="902"/>
      <c r="M12025" s="902"/>
      <c r="N12025" s="902"/>
      <c r="O12025" s="892">
        <f t="shared" si="969"/>
        <v>0</v>
      </c>
      <c r="P12025" s="903">
        <f t="shared" si="970"/>
        <v>1</v>
      </c>
      <c r="Q12025" s="893">
        <f t="shared" si="971"/>
        <v>6</v>
      </c>
      <c r="R12025" s="894">
        <f t="shared" si="972"/>
        <v>0</v>
      </c>
    </row>
    <row r="12026" spans="1:18">
      <c r="A12026" s="905"/>
      <c r="B12026" s="952"/>
      <c r="C12026" s="907">
        <v>212</v>
      </c>
      <c r="D12026" s="907" t="s">
        <v>279</v>
      </c>
      <c r="E12026" s="992" t="s">
        <v>2681</v>
      </c>
      <c r="F12026" s="905" t="s">
        <v>45</v>
      </c>
      <c r="G12026" s="1005"/>
      <c r="H12026" s="911">
        <v>0.39200000000000002</v>
      </c>
      <c r="I12026" s="912">
        <f>VLOOKUP(E12026,[3]VLP!$B$7:$K$300,10,0)</f>
        <v>23000</v>
      </c>
      <c r="J12026" s="912">
        <f>I12026*H12026</f>
        <v>9016</v>
      </c>
      <c r="K12026" s="912" t="s">
        <v>274</v>
      </c>
      <c r="L12026" s="912"/>
      <c r="M12026" s="912"/>
      <c r="N12026" s="912"/>
      <c r="O12026" s="892">
        <f t="shared" si="969"/>
        <v>0</v>
      </c>
      <c r="P12026" s="903">
        <f t="shared" si="970"/>
        <v>1</v>
      </c>
      <c r="Q12026" s="893">
        <f t="shared" si="971"/>
        <v>5</v>
      </c>
      <c r="R12026" s="894">
        <f t="shared" si="972"/>
        <v>0</v>
      </c>
    </row>
    <row r="12027" spans="1:18">
      <c r="A12027" s="905"/>
      <c r="B12027" s="952"/>
      <c r="C12027" s="907">
        <v>235</v>
      </c>
      <c r="D12027" s="907" t="s">
        <v>279</v>
      </c>
      <c r="E12027" s="992" t="s">
        <v>2682</v>
      </c>
      <c r="F12027" s="905" t="s">
        <v>45</v>
      </c>
      <c r="G12027" s="1005"/>
      <c r="H12027" s="911">
        <v>0.03</v>
      </c>
      <c r="I12027" s="912">
        <f>VLOOKUP(E12027,[3]VLP!$B$7:$K$300,10,0)</f>
        <v>5000</v>
      </c>
      <c r="J12027" s="912">
        <f>I12027*H12027</f>
        <v>150</v>
      </c>
      <c r="K12027" s="912" t="s">
        <v>274</v>
      </c>
      <c r="L12027" s="912"/>
      <c r="M12027" s="912"/>
      <c r="N12027" s="912"/>
      <c r="O12027" s="892">
        <f t="shared" si="969"/>
        <v>0</v>
      </c>
      <c r="P12027" s="903">
        <f t="shared" si="970"/>
        <v>1</v>
      </c>
      <c r="Q12027" s="893">
        <f t="shared" si="971"/>
        <v>4</v>
      </c>
      <c r="R12027" s="894">
        <f t="shared" si="972"/>
        <v>0</v>
      </c>
    </row>
    <row r="12028" spans="1:18" s="847" customFormat="1">
      <c r="A12028" s="905"/>
      <c r="B12028" s="952"/>
      <c r="C12028" s="907">
        <v>699</v>
      </c>
      <c r="D12028" s="907" t="s">
        <v>279</v>
      </c>
      <c r="E12028" s="992" t="s">
        <v>4006</v>
      </c>
      <c r="F12028" s="905" t="s">
        <v>4007</v>
      </c>
      <c r="G12028" s="1005"/>
      <c r="H12028" s="911">
        <v>2</v>
      </c>
      <c r="I12028" s="912">
        <f>VLOOKUP(E12028,[3]VLP!$B$7:$K$300,10,0)</f>
        <v>5000</v>
      </c>
      <c r="J12028" s="912">
        <f>I12028*H12028</f>
        <v>10000</v>
      </c>
      <c r="K12028" s="912" t="s">
        <v>274</v>
      </c>
      <c r="L12028" s="912"/>
      <c r="M12028" s="912"/>
      <c r="N12028" s="912"/>
      <c r="O12028" s="892">
        <f t="shared" si="969"/>
        <v>0</v>
      </c>
      <c r="P12028" s="903">
        <f t="shared" si="970"/>
        <v>1</v>
      </c>
      <c r="Q12028" s="893">
        <f t="shared" si="971"/>
        <v>3</v>
      </c>
      <c r="R12028" s="894">
        <f t="shared" si="972"/>
        <v>0</v>
      </c>
    </row>
    <row r="12029" spans="1:18">
      <c r="A12029" s="895"/>
      <c r="B12029" s="896"/>
      <c r="C12029" s="897"/>
      <c r="D12029" s="897"/>
      <c r="E12029" s="1002" t="s">
        <v>276</v>
      </c>
      <c r="F12029" s="1003"/>
      <c r="G12029" s="1004"/>
      <c r="H12029" s="901"/>
      <c r="I12029" s="902"/>
      <c r="J12029" s="902"/>
      <c r="K12029" s="912" t="s">
        <v>274</v>
      </c>
      <c r="L12029" s="902"/>
      <c r="M12029" s="902"/>
      <c r="N12029" s="902"/>
      <c r="O12029" s="892">
        <f t="shared" si="969"/>
        <v>0</v>
      </c>
      <c r="P12029" s="903">
        <f t="shared" si="970"/>
        <v>1</v>
      </c>
      <c r="Q12029" s="893">
        <f t="shared" si="971"/>
        <v>2</v>
      </c>
      <c r="R12029" s="894">
        <f t="shared" si="972"/>
        <v>0</v>
      </c>
    </row>
    <row r="12030" spans="1:18">
      <c r="A12030" s="905"/>
      <c r="B12030" s="952"/>
      <c r="C12030" s="907">
        <v>740</v>
      </c>
      <c r="D12030" s="907" t="s">
        <v>12</v>
      </c>
      <c r="E12030" s="992" t="s">
        <v>4008</v>
      </c>
      <c r="F12030" s="905" t="s">
        <v>2674</v>
      </c>
      <c r="G12030" s="1005"/>
      <c r="H12030" s="911">
        <v>1.28</v>
      </c>
      <c r="I12030" s="912"/>
      <c r="J12030" s="912"/>
      <c r="K12030" s="912">
        <f>VLOOKUP(E12030,[5]ĐMNC!$A$7:$F$67,4,0)</f>
        <v>221125</v>
      </c>
      <c r="L12030" s="912">
        <f>H12030*K12030</f>
        <v>283040</v>
      </c>
      <c r="M12030" s="912"/>
      <c r="N12030" s="912"/>
      <c r="O12030" s="892">
        <f t="shared" si="969"/>
        <v>0</v>
      </c>
      <c r="P12030" s="903">
        <f t="shared" si="970"/>
        <v>1</v>
      </c>
      <c r="Q12030" s="893">
        <f t="shared" si="971"/>
        <v>1</v>
      </c>
      <c r="R12030" s="894">
        <f t="shared" si="972"/>
        <v>0</v>
      </c>
    </row>
    <row r="12031" spans="1:18" ht="31.5">
      <c r="A12031" s="905" t="s">
        <v>7047</v>
      </c>
      <c r="B12031" s="1018" t="s">
        <v>7059</v>
      </c>
      <c r="C12031" s="915"/>
      <c r="D12031" s="915"/>
      <c r="E12031" s="1006" t="s">
        <v>7060</v>
      </c>
      <c r="F12031" s="917" t="s">
        <v>7050</v>
      </c>
      <c r="G12031" s="1008"/>
      <c r="H12031" s="919"/>
      <c r="I12031" s="920"/>
      <c r="J12031" s="891">
        <f>SUM(J12032:J12037)</f>
        <v>28976</v>
      </c>
      <c r="K12031" s="891"/>
      <c r="L12031" s="891">
        <f>SUM(L12032:L12037)</f>
        <v>409081.25</v>
      </c>
      <c r="M12031" s="891"/>
      <c r="N12031" s="891">
        <f>SUM(N12032:N12037)</f>
        <v>0</v>
      </c>
      <c r="O12031" s="892">
        <f t="shared" si="969"/>
        <v>1</v>
      </c>
      <c r="P12031" s="903">
        <f t="shared" si="970"/>
        <v>0</v>
      </c>
      <c r="Q12031" s="893">
        <f t="shared" si="971"/>
        <v>0</v>
      </c>
      <c r="R12031" s="894">
        <f t="shared" si="972"/>
        <v>6</v>
      </c>
    </row>
    <row r="12032" spans="1:18" s="904" customFormat="1">
      <c r="A12032" s="895"/>
      <c r="B12032" s="896"/>
      <c r="C12032" s="897"/>
      <c r="D12032" s="897"/>
      <c r="E12032" s="1002" t="s">
        <v>108</v>
      </c>
      <c r="F12032" s="1003"/>
      <c r="G12032" s="1004"/>
      <c r="H12032" s="901"/>
      <c r="I12032" s="902"/>
      <c r="J12032" s="902"/>
      <c r="K12032" s="912" t="s">
        <v>274</v>
      </c>
      <c r="L12032" s="902"/>
      <c r="M12032" s="902"/>
      <c r="N12032" s="902"/>
      <c r="O12032" s="892">
        <f t="shared" si="969"/>
        <v>0</v>
      </c>
      <c r="P12032" s="903">
        <f t="shared" si="970"/>
        <v>1</v>
      </c>
      <c r="Q12032" s="893">
        <f t="shared" si="971"/>
        <v>6</v>
      </c>
      <c r="R12032" s="894">
        <f t="shared" si="972"/>
        <v>0</v>
      </c>
    </row>
    <row r="12033" spans="1:18">
      <c r="A12033" s="905"/>
      <c r="B12033" s="952"/>
      <c r="C12033" s="907">
        <v>212</v>
      </c>
      <c r="D12033" s="907" t="s">
        <v>279</v>
      </c>
      <c r="E12033" s="992" t="s">
        <v>2681</v>
      </c>
      <c r="F12033" s="905" t="s">
        <v>45</v>
      </c>
      <c r="G12033" s="1005"/>
      <c r="H12033" s="911">
        <v>0.81200000000000006</v>
      </c>
      <c r="I12033" s="912">
        <f>VLOOKUP(E12033,[3]VLP!$B$7:$K$300,10,0)</f>
        <v>23000</v>
      </c>
      <c r="J12033" s="912">
        <f>I12033*H12033</f>
        <v>18676</v>
      </c>
      <c r="K12033" s="912" t="s">
        <v>274</v>
      </c>
      <c r="L12033" s="912"/>
      <c r="M12033" s="912"/>
      <c r="N12033" s="912"/>
      <c r="O12033" s="892">
        <f t="shared" si="969"/>
        <v>0</v>
      </c>
      <c r="P12033" s="903">
        <f t="shared" si="970"/>
        <v>1</v>
      </c>
      <c r="Q12033" s="893">
        <f t="shared" si="971"/>
        <v>5</v>
      </c>
      <c r="R12033" s="894">
        <f t="shared" si="972"/>
        <v>0</v>
      </c>
    </row>
    <row r="12034" spans="1:18">
      <c r="A12034" s="905"/>
      <c r="B12034" s="952"/>
      <c r="C12034" s="907">
        <v>235</v>
      </c>
      <c r="D12034" s="907" t="s">
        <v>279</v>
      </c>
      <c r="E12034" s="992" t="s">
        <v>2682</v>
      </c>
      <c r="F12034" s="905" t="s">
        <v>45</v>
      </c>
      <c r="G12034" s="1005"/>
      <c r="H12034" s="911">
        <v>0.06</v>
      </c>
      <c r="I12034" s="912">
        <f>VLOOKUP(E12034,[3]VLP!$B$7:$K$300,10,0)</f>
        <v>5000</v>
      </c>
      <c r="J12034" s="912">
        <f>I12034*H12034</f>
        <v>300</v>
      </c>
      <c r="K12034" s="912" t="s">
        <v>274</v>
      </c>
      <c r="L12034" s="912"/>
      <c r="M12034" s="912"/>
      <c r="N12034" s="912"/>
      <c r="O12034" s="892">
        <f t="shared" si="969"/>
        <v>0</v>
      </c>
      <c r="P12034" s="903">
        <f t="shared" si="970"/>
        <v>1</v>
      </c>
      <c r="Q12034" s="893">
        <f t="shared" si="971"/>
        <v>4</v>
      </c>
      <c r="R12034" s="894">
        <f t="shared" si="972"/>
        <v>0</v>
      </c>
    </row>
    <row r="12035" spans="1:18" s="847" customFormat="1">
      <c r="A12035" s="905"/>
      <c r="B12035" s="952"/>
      <c r="C12035" s="907">
        <v>699</v>
      </c>
      <c r="D12035" s="907" t="s">
        <v>279</v>
      </c>
      <c r="E12035" s="992" t="s">
        <v>4006</v>
      </c>
      <c r="F12035" s="905" t="s">
        <v>4007</v>
      </c>
      <c r="G12035" s="1005"/>
      <c r="H12035" s="911">
        <v>2</v>
      </c>
      <c r="I12035" s="912">
        <f>VLOOKUP(E12035,[3]VLP!$B$7:$K$300,10,0)</f>
        <v>5000</v>
      </c>
      <c r="J12035" s="912">
        <f>I12035*H12035</f>
        <v>10000</v>
      </c>
      <c r="K12035" s="912" t="s">
        <v>274</v>
      </c>
      <c r="L12035" s="912"/>
      <c r="M12035" s="912"/>
      <c r="N12035" s="912"/>
      <c r="O12035" s="892">
        <f t="shared" si="969"/>
        <v>0</v>
      </c>
      <c r="P12035" s="903">
        <f t="shared" si="970"/>
        <v>1</v>
      </c>
      <c r="Q12035" s="893">
        <f t="shared" si="971"/>
        <v>3</v>
      </c>
      <c r="R12035" s="894">
        <f t="shared" si="972"/>
        <v>0</v>
      </c>
    </row>
    <row r="12036" spans="1:18">
      <c r="A12036" s="895"/>
      <c r="B12036" s="896"/>
      <c r="C12036" s="897"/>
      <c r="D12036" s="897"/>
      <c r="E12036" s="1002" t="s">
        <v>276</v>
      </c>
      <c r="F12036" s="1003"/>
      <c r="G12036" s="1004"/>
      <c r="H12036" s="901"/>
      <c r="I12036" s="902"/>
      <c r="J12036" s="902"/>
      <c r="K12036" s="912" t="s">
        <v>274</v>
      </c>
      <c r="L12036" s="902"/>
      <c r="M12036" s="902"/>
      <c r="N12036" s="902"/>
      <c r="O12036" s="892">
        <f t="shared" si="969"/>
        <v>0</v>
      </c>
      <c r="P12036" s="903">
        <f t="shared" si="970"/>
        <v>1</v>
      </c>
      <c r="Q12036" s="893">
        <f t="shared" si="971"/>
        <v>2</v>
      </c>
      <c r="R12036" s="894">
        <f t="shared" si="972"/>
        <v>0</v>
      </c>
    </row>
    <row r="12037" spans="1:18">
      <c r="A12037" s="905"/>
      <c r="B12037" s="952"/>
      <c r="C12037" s="907">
        <v>740</v>
      </c>
      <c r="D12037" s="907" t="s">
        <v>12</v>
      </c>
      <c r="E12037" s="992" t="s">
        <v>4008</v>
      </c>
      <c r="F12037" s="905" t="s">
        <v>2674</v>
      </c>
      <c r="G12037" s="1005"/>
      <c r="H12037" s="911">
        <v>1.85</v>
      </c>
      <c r="I12037" s="912"/>
      <c r="J12037" s="912"/>
      <c r="K12037" s="912">
        <f>VLOOKUP(E12037,[5]ĐMNC!$A$7:$F$67,4,0)</f>
        <v>221125</v>
      </c>
      <c r="L12037" s="912">
        <f>H12037*K12037</f>
        <v>409081.25</v>
      </c>
      <c r="M12037" s="912"/>
      <c r="N12037" s="912"/>
      <c r="O12037" s="892">
        <f t="shared" si="969"/>
        <v>0</v>
      </c>
      <c r="P12037" s="903">
        <f t="shared" si="970"/>
        <v>1</v>
      </c>
      <c r="Q12037" s="893">
        <f t="shared" si="971"/>
        <v>1</v>
      </c>
      <c r="R12037" s="894">
        <f t="shared" si="972"/>
        <v>0</v>
      </c>
    </row>
    <row r="12038" spans="1:18">
      <c r="A12038" s="905" t="s">
        <v>7047</v>
      </c>
      <c r="B12038" s="1018" t="s">
        <v>7061</v>
      </c>
      <c r="C12038" s="915"/>
      <c r="D12038" s="915"/>
      <c r="E12038" s="1006" t="s">
        <v>7062</v>
      </c>
      <c r="F12038" s="917" t="s">
        <v>6905</v>
      </c>
      <c r="G12038" s="1008"/>
      <c r="H12038" s="919"/>
      <c r="I12038" s="920"/>
      <c r="J12038" s="891">
        <f>SUM(J12039:J12044)</f>
        <v>16590</v>
      </c>
      <c r="K12038" s="891"/>
      <c r="L12038" s="891">
        <f>SUM(L12039:L12044)</f>
        <v>50858.75</v>
      </c>
      <c r="M12038" s="891"/>
      <c r="N12038" s="891">
        <f>SUM(N12039:N12044)</f>
        <v>0</v>
      </c>
      <c r="O12038" s="892">
        <f t="shared" si="969"/>
        <v>1</v>
      </c>
      <c r="P12038" s="903">
        <f t="shared" si="970"/>
        <v>0</v>
      </c>
      <c r="Q12038" s="893">
        <f t="shared" si="971"/>
        <v>0</v>
      </c>
      <c r="R12038" s="894">
        <f t="shared" si="972"/>
        <v>6</v>
      </c>
    </row>
    <row r="12039" spans="1:18" s="904" customFormat="1">
      <c r="A12039" s="895"/>
      <c r="B12039" s="896"/>
      <c r="C12039" s="897"/>
      <c r="D12039" s="897"/>
      <c r="E12039" s="1002" t="s">
        <v>108</v>
      </c>
      <c r="F12039" s="1003"/>
      <c r="G12039" s="1004"/>
      <c r="H12039" s="901"/>
      <c r="I12039" s="902"/>
      <c r="J12039" s="902"/>
      <c r="K12039" s="912" t="s">
        <v>274</v>
      </c>
      <c r="L12039" s="902"/>
      <c r="M12039" s="902"/>
      <c r="N12039" s="902"/>
      <c r="O12039" s="892">
        <f t="shared" si="969"/>
        <v>0</v>
      </c>
      <c r="P12039" s="903">
        <f t="shared" si="970"/>
        <v>1</v>
      </c>
      <c r="Q12039" s="893">
        <f t="shared" si="971"/>
        <v>6</v>
      </c>
      <c r="R12039" s="894">
        <f t="shared" si="972"/>
        <v>0</v>
      </c>
    </row>
    <row r="12040" spans="1:18">
      <c r="A12040" s="905"/>
      <c r="B12040" s="952"/>
      <c r="C12040" s="907">
        <v>212</v>
      </c>
      <c r="D12040" s="907" t="s">
        <v>279</v>
      </c>
      <c r="E12040" s="992" t="s">
        <v>2681</v>
      </c>
      <c r="F12040" s="905" t="s">
        <v>45</v>
      </c>
      <c r="G12040" s="1005"/>
      <c r="H12040" s="911">
        <v>0.28000000000000003</v>
      </c>
      <c r="I12040" s="912">
        <f>VLOOKUP(E12040,[3]VLP!$B$7:$K$300,10,0)</f>
        <v>23000</v>
      </c>
      <c r="J12040" s="912">
        <f>I12040*H12040</f>
        <v>6440.0000000000009</v>
      </c>
      <c r="K12040" s="912" t="s">
        <v>274</v>
      </c>
      <c r="L12040" s="912"/>
      <c r="M12040" s="912"/>
      <c r="N12040" s="912"/>
      <c r="O12040" s="892">
        <f t="shared" si="969"/>
        <v>0</v>
      </c>
      <c r="P12040" s="903">
        <f t="shared" si="970"/>
        <v>1</v>
      </c>
      <c r="Q12040" s="893">
        <f t="shared" si="971"/>
        <v>5</v>
      </c>
      <c r="R12040" s="894">
        <f t="shared" si="972"/>
        <v>0</v>
      </c>
    </row>
    <row r="12041" spans="1:18">
      <c r="A12041" s="905"/>
      <c r="B12041" s="952"/>
      <c r="C12041" s="907">
        <v>235</v>
      </c>
      <c r="D12041" s="907" t="s">
        <v>279</v>
      </c>
      <c r="E12041" s="992" t="s">
        <v>2682</v>
      </c>
      <c r="F12041" s="905" t="s">
        <v>45</v>
      </c>
      <c r="G12041" s="1005"/>
      <c r="H12041" s="911">
        <v>0.03</v>
      </c>
      <c r="I12041" s="912">
        <f>VLOOKUP(E12041,[3]VLP!$B$7:$K$300,10,0)</f>
        <v>5000</v>
      </c>
      <c r="J12041" s="912">
        <f>I12041*H12041</f>
        <v>150</v>
      </c>
      <c r="K12041" s="912" t="s">
        <v>274</v>
      </c>
      <c r="L12041" s="912"/>
      <c r="M12041" s="912"/>
      <c r="N12041" s="912"/>
      <c r="O12041" s="892">
        <f t="shared" si="969"/>
        <v>0</v>
      </c>
      <c r="P12041" s="903">
        <f t="shared" si="970"/>
        <v>1</v>
      </c>
      <c r="Q12041" s="893">
        <f t="shared" si="971"/>
        <v>4</v>
      </c>
      <c r="R12041" s="894">
        <f t="shared" si="972"/>
        <v>0</v>
      </c>
    </row>
    <row r="12042" spans="1:18" s="847" customFormat="1">
      <c r="A12042" s="905"/>
      <c r="B12042" s="952"/>
      <c r="C12042" s="907">
        <v>699</v>
      </c>
      <c r="D12042" s="907" t="s">
        <v>279</v>
      </c>
      <c r="E12042" s="992" t="s">
        <v>4006</v>
      </c>
      <c r="F12042" s="905" t="s">
        <v>4007</v>
      </c>
      <c r="G12042" s="1005"/>
      <c r="H12042" s="911">
        <v>2</v>
      </c>
      <c r="I12042" s="912">
        <f>VLOOKUP(E12042,[3]VLP!$B$7:$K$300,10,0)</f>
        <v>5000</v>
      </c>
      <c r="J12042" s="912">
        <f>I12042*H12042</f>
        <v>10000</v>
      </c>
      <c r="K12042" s="912" t="s">
        <v>274</v>
      </c>
      <c r="L12042" s="912"/>
      <c r="M12042" s="912"/>
      <c r="N12042" s="912"/>
      <c r="O12042" s="892">
        <f t="shared" si="969"/>
        <v>0</v>
      </c>
      <c r="P12042" s="903">
        <f t="shared" si="970"/>
        <v>1</v>
      </c>
      <c r="Q12042" s="893">
        <f t="shared" si="971"/>
        <v>3</v>
      </c>
      <c r="R12042" s="894">
        <f t="shared" si="972"/>
        <v>0</v>
      </c>
    </row>
    <row r="12043" spans="1:18">
      <c r="A12043" s="895"/>
      <c r="B12043" s="896"/>
      <c r="C12043" s="897"/>
      <c r="D12043" s="897"/>
      <c r="E12043" s="1002" t="s">
        <v>276</v>
      </c>
      <c r="F12043" s="1003"/>
      <c r="G12043" s="1004"/>
      <c r="H12043" s="901"/>
      <c r="I12043" s="902"/>
      <c r="J12043" s="902"/>
      <c r="K12043" s="912" t="s">
        <v>274</v>
      </c>
      <c r="L12043" s="902"/>
      <c r="M12043" s="902"/>
      <c r="N12043" s="902"/>
      <c r="O12043" s="892">
        <f t="shared" si="969"/>
        <v>0</v>
      </c>
      <c r="P12043" s="903">
        <f t="shared" si="970"/>
        <v>1</v>
      </c>
      <c r="Q12043" s="893">
        <f t="shared" si="971"/>
        <v>2</v>
      </c>
      <c r="R12043" s="894">
        <f t="shared" si="972"/>
        <v>0</v>
      </c>
    </row>
    <row r="12044" spans="1:18">
      <c r="A12044" s="905"/>
      <c r="B12044" s="952"/>
      <c r="C12044" s="907">
        <v>740</v>
      </c>
      <c r="D12044" s="907" t="s">
        <v>12</v>
      </c>
      <c r="E12044" s="992" t="s">
        <v>4008</v>
      </c>
      <c r="F12044" s="905" t="s">
        <v>2674</v>
      </c>
      <c r="G12044" s="1005"/>
      <c r="H12044" s="911">
        <v>0.23</v>
      </c>
      <c r="I12044" s="912"/>
      <c r="J12044" s="912"/>
      <c r="K12044" s="912">
        <f>VLOOKUP(E12044,[5]ĐMNC!$A$7:$F$67,4,0)</f>
        <v>221125</v>
      </c>
      <c r="L12044" s="912">
        <f>H12044*K12044</f>
        <v>50858.75</v>
      </c>
      <c r="M12044" s="912"/>
      <c r="N12044" s="912"/>
      <c r="O12044" s="892">
        <f t="shared" si="969"/>
        <v>0</v>
      </c>
      <c r="P12044" s="903">
        <f t="shared" si="970"/>
        <v>1</v>
      </c>
      <c r="Q12044" s="893">
        <f t="shared" si="971"/>
        <v>1</v>
      </c>
      <c r="R12044" s="894">
        <f t="shared" si="972"/>
        <v>0</v>
      </c>
    </row>
    <row r="12045" spans="1:18">
      <c r="A12045" s="905" t="s">
        <v>7047</v>
      </c>
      <c r="B12045" s="1018" t="s">
        <v>7063</v>
      </c>
      <c r="C12045" s="915"/>
      <c r="D12045" s="915"/>
      <c r="E12045" s="1006" t="s">
        <v>7064</v>
      </c>
      <c r="F12045" s="917" t="s">
        <v>6905</v>
      </c>
      <c r="G12045" s="1008"/>
      <c r="H12045" s="919"/>
      <c r="I12045" s="920"/>
      <c r="J12045" s="891">
        <f>SUM(J12046:J12051)</f>
        <v>24418</v>
      </c>
      <c r="K12045" s="891"/>
      <c r="L12045" s="891">
        <f>SUM(L12046:L12051)</f>
        <v>486475.00000000006</v>
      </c>
      <c r="M12045" s="891"/>
      <c r="N12045" s="891">
        <f>SUM(N12046:N12051)</f>
        <v>0</v>
      </c>
      <c r="O12045" s="892">
        <f t="shared" si="969"/>
        <v>1</v>
      </c>
      <c r="P12045" s="903">
        <f t="shared" si="970"/>
        <v>0</v>
      </c>
      <c r="Q12045" s="893">
        <f t="shared" si="971"/>
        <v>0</v>
      </c>
      <c r="R12045" s="894">
        <f t="shared" si="972"/>
        <v>6</v>
      </c>
    </row>
    <row r="12046" spans="1:18" s="904" customFormat="1">
      <c r="A12046" s="895"/>
      <c r="B12046" s="896"/>
      <c r="C12046" s="897"/>
      <c r="D12046" s="897"/>
      <c r="E12046" s="1002" t="s">
        <v>108</v>
      </c>
      <c r="F12046" s="1003"/>
      <c r="G12046" s="1004"/>
      <c r="H12046" s="901"/>
      <c r="I12046" s="902"/>
      <c r="J12046" s="902"/>
      <c r="K12046" s="912" t="s">
        <v>274</v>
      </c>
      <c r="L12046" s="902"/>
      <c r="M12046" s="902"/>
      <c r="N12046" s="902"/>
      <c r="O12046" s="892">
        <f t="shared" si="969"/>
        <v>0</v>
      </c>
      <c r="P12046" s="903">
        <f t="shared" si="970"/>
        <v>1</v>
      </c>
      <c r="Q12046" s="893">
        <f t="shared" si="971"/>
        <v>6</v>
      </c>
      <c r="R12046" s="894">
        <f t="shared" si="972"/>
        <v>0</v>
      </c>
    </row>
    <row r="12047" spans="1:18">
      <c r="A12047" s="905"/>
      <c r="B12047" s="952"/>
      <c r="C12047" s="907">
        <v>212</v>
      </c>
      <c r="D12047" s="907" t="s">
        <v>279</v>
      </c>
      <c r="E12047" s="992" t="s">
        <v>2681</v>
      </c>
      <c r="F12047" s="905" t="s">
        <v>45</v>
      </c>
      <c r="G12047" s="1005"/>
      <c r="H12047" s="911">
        <v>0.61599999999999999</v>
      </c>
      <c r="I12047" s="912">
        <f>VLOOKUP(E12047,[3]VLP!$B$7:$K$300,10,0)</f>
        <v>23000</v>
      </c>
      <c r="J12047" s="912">
        <f>I12047*H12047</f>
        <v>14168</v>
      </c>
      <c r="K12047" s="912" t="s">
        <v>274</v>
      </c>
      <c r="L12047" s="912"/>
      <c r="M12047" s="912"/>
      <c r="N12047" s="912"/>
      <c r="O12047" s="892">
        <f t="shared" si="969"/>
        <v>0</v>
      </c>
      <c r="P12047" s="903">
        <f t="shared" si="970"/>
        <v>1</v>
      </c>
      <c r="Q12047" s="893">
        <f t="shared" si="971"/>
        <v>5</v>
      </c>
      <c r="R12047" s="894">
        <f t="shared" si="972"/>
        <v>0</v>
      </c>
    </row>
    <row r="12048" spans="1:18">
      <c r="A12048" s="905"/>
      <c r="B12048" s="952"/>
      <c r="C12048" s="907">
        <v>235</v>
      </c>
      <c r="D12048" s="907" t="s">
        <v>279</v>
      </c>
      <c r="E12048" s="992" t="s">
        <v>2682</v>
      </c>
      <c r="F12048" s="905" t="s">
        <v>45</v>
      </c>
      <c r="G12048" s="1005"/>
      <c r="H12048" s="911">
        <v>0.05</v>
      </c>
      <c r="I12048" s="912">
        <f>VLOOKUP(E12048,[3]VLP!$B$7:$K$300,10,0)</f>
        <v>5000</v>
      </c>
      <c r="J12048" s="912">
        <f>I12048*H12048</f>
        <v>250</v>
      </c>
      <c r="K12048" s="912" t="s">
        <v>274</v>
      </c>
      <c r="L12048" s="912"/>
      <c r="M12048" s="912"/>
      <c r="N12048" s="912"/>
      <c r="O12048" s="892">
        <f t="shared" si="969"/>
        <v>0</v>
      </c>
      <c r="P12048" s="903">
        <f t="shared" si="970"/>
        <v>1</v>
      </c>
      <c r="Q12048" s="893">
        <f t="shared" si="971"/>
        <v>4</v>
      </c>
      <c r="R12048" s="894">
        <f t="shared" si="972"/>
        <v>0</v>
      </c>
    </row>
    <row r="12049" spans="1:18" s="847" customFormat="1">
      <c r="A12049" s="905"/>
      <c r="B12049" s="952"/>
      <c r="C12049" s="907">
        <v>699</v>
      </c>
      <c r="D12049" s="907" t="s">
        <v>279</v>
      </c>
      <c r="E12049" s="992" t="s">
        <v>4006</v>
      </c>
      <c r="F12049" s="905" t="s">
        <v>4007</v>
      </c>
      <c r="G12049" s="1005"/>
      <c r="H12049" s="911">
        <v>2</v>
      </c>
      <c r="I12049" s="912">
        <f>VLOOKUP(E12049,[3]VLP!$B$7:$K$300,10,0)</f>
        <v>5000</v>
      </c>
      <c r="J12049" s="912">
        <f>I12049*H12049</f>
        <v>10000</v>
      </c>
      <c r="K12049" s="912" t="s">
        <v>274</v>
      </c>
      <c r="L12049" s="912"/>
      <c r="M12049" s="912"/>
      <c r="N12049" s="912"/>
      <c r="O12049" s="892">
        <f t="shared" si="969"/>
        <v>0</v>
      </c>
      <c r="P12049" s="903">
        <f t="shared" si="970"/>
        <v>1</v>
      </c>
      <c r="Q12049" s="893">
        <f t="shared" si="971"/>
        <v>3</v>
      </c>
      <c r="R12049" s="894">
        <f t="shared" si="972"/>
        <v>0</v>
      </c>
    </row>
    <row r="12050" spans="1:18">
      <c r="A12050" s="895"/>
      <c r="B12050" s="896"/>
      <c r="C12050" s="897"/>
      <c r="D12050" s="897"/>
      <c r="E12050" s="1002" t="s">
        <v>276</v>
      </c>
      <c r="F12050" s="1003"/>
      <c r="G12050" s="1004"/>
      <c r="H12050" s="901"/>
      <c r="I12050" s="902"/>
      <c r="J12050" s="902"/>
      <c r="K12050" s="912" t="s">
        <v>274</v>
      </c>
      <c r="L12050" s="902"/>
      <c r="M12050" s="902"/>
      <c r="N12050" s="902"/>
      <c r="O12050" s="892">
        <f t="shared" si="969"/>
        <v>0</v>
      </c>
      <c r="P12050" s="903">
        <f t="shared" si="970"/>
        <v>1</v>
      </c>
      <c r="Q12050" s="893">
        <f t="shared" si="971"/>
        <v>2</v>
      </c>
      <c r="R12050" s="894">
        <f t="shared" si="972"/>
        <v>0</v>
      </c>
    </row>
    <row r="12051" spans="1:18">
      <c r="A12051" s="905"/>
      <c r="B12051" s="952"/>
      <c r="C12051" s="907">
        <v>740</v>
      </c>
      <c r="D12051" s="907" t="s">
        <v>12</v>
      </c>
      <c r="E12051" s="992" t="s">
        <v>4008</v>
      </c>
      <c r="F12051" s="905" t="s">
        <v>2674</v>
      </c>
      <c r="G12051" s="1005"/>
      <c r="H12051" s="911">
        <v>2.2000000000000002</v>
      </c>
      <c r="I12051" s="912"/>
      <c r="J12051" s="912"/>
      <c r="K12051" s="912">
        <f>VLOOKUP(E12051,[5]ĐMNC!$A$7:$F$67,4,0)</f>
        <v>221125</v>
      </c>
      <c r="L12051" s="912">
        <f>H12051*K12051</f>
        <v>486475.00000000006</v>
      </c>
      <c r="M12051" s="912"/>
      <c r="N12051" s="912"/>
      <c r="O12051" s="892">
        <f t="shared" si="969"/>
        <v>0</v>
      </c>
      <c r="P12051" s="903">
        <f t="shared" si="970"/>
        <v>1</v>
      </c>
      <c r="Q12051" s="893">
        <f t="shared" si="971"/>
        <v>1</v>
      </c>
      <c r="R12051" s="894">
        <f t="shared" si="972"/>
        <v>0</v>
      </c>
    </row>
    <row r="12052" spans="1:18">
      <c r="A12052" s="905" t="s">
        <v>7047</v>
      </c>
      <c r="B12052" s="1018" t="s">
        <v>7065</v>
      </c>
      <c r="C12052" s="915"/>
      <c r="D12052" s="915"/>
      <c r="E12052" s="1006" t="s">
        <v>7066</v>
      </c>
      <c r="F12052" s="917" t="s">
        <v>6905</v>
      </c>
      <c r="G12052" s="1008"/>
      <c r="H12052" s="919"/>
      <c r="I12052" s="920"/>
      <c r="J12052" s="891">
        <f>SUM(J12053:J12058)</f>
        <v>47952</v>
      </c>
      <c r="K12052" s="891"/>
      <c r="L12052" s="891">
        <f>SUM(L12053:L12058)</f>
        <v>707600</v>
      </c>
      <c r="M12052" s="891"/>
      <c r="N12052" s="891">
        <f>SUM(N12053:N12058)</f>
        <v>0</v>
      </c>
      <c r="O12052" s="892">
        <f t="shared" si="969"/>
        <v>1</v>
      </c>
      <c r="P12052" s="903">
        <f t="shared" si="970"/>
        <v>0</v>
      </c>
      <c r="Q12052" s="893">
        <f t="shared" si="971"/>
        <v>0</v>
      </c>
      <c r="R12052" s="894">
        <f t="shared" si="972"/>
        <v>6</v>
      </c>
    </row>
    <row r="12053" spans="1:18" s="904" customFormat="1">
      <c r="A12053" s="895"/>
      <c r="B12053" s="896"/>
      <c r="C12053" s="897"/>
      <c r="D12053" s="897"/>
      <c r="E12053" s="1002" t="s">
        <v>108</v>
      </c>
      <c r="F12053" s="1003"/>
      <c r="G12053" s="1004"/>
      <c r="H12053" s="901"/>
      <c r="I12053" s="902"/>
      <c r="J12053" s="902"/>
      <c r="K12053" s="912" t="s">
        <v>274</v>
      </c>
      <c r="L12053" s="902"/>
      <c r="M12053" s="902"/>
      <c r="N12053" s="902"/>
      <c r="O12053" s="892">
        <f t="shared" si="969"/>
        <v>0</v>
      </c>
      <c r="P12053" s="903">
        <f t="shared" si="970"/>
        <v>1</v>
      </c>
      <c r="Q12053" s="893">
        <f t="shared" si="971"/>
        <v>6</v>
      </c>
      <c r="R12053" s="894">
        <f t="shared" si="972"/>
        <v>0</v>
      </c>
    </row>
    <row r="12054" spans="1:18">
      <c r="A12054" s="905"/>
      <c r="B12054" s="952"/>
      <c r="C12054" s="907">
        <v>212</v>
      </c>
      <c r="D12054" s="907" t="s">
        <v>279</v>
      </c>
      <c r="E12054" s="992" t="s">
        <v>2681</v>
      </c>
      <c r="F12054" s="905" t="s">
        <v>45</v>
      </c>
      <c r="G12054" s="1005"/>
      <c r="H12054" s="911">
        <v>1.6240000000000001</v>
      </c>
      <c r="I12054" s="912">
        <f>VLOOKUP(E12054,[3]VLP!$B$7:$K$300,10,0)</f>
        <v>23000</v>
      </c>
      <c r="J12054" s="912">
        <f>I12054*H12054</f>
        <v>37352</v>
      </c>
      <c r="K12054" s="912" t="s">
        <v>274</v>
      </c>
      <c r="L12054" s="912"/>
      <c r="M12054" s="912"/>
      <c r="N12054" s="912"/>
      <c r="O12054" s="892">
        <f t="shared" si="969"/>
        <v>0</v>
      </c>
      <c r="P12054" s="903">
        <f t="shared" si="970"/>
        <v>1</v>
      </c>
      <c r="Q12054" s="893">
        <f t="shared" si="971"/>
        <v>5</v>
      </c>
      <c r="R12054" s="894">
        <f t="shared" si="972"/>
        <v>0</v>
      </c>
    </row>
    <row r="12055" spans="1:18">
      <c r="A12055" s="905"/>
      <c r="B12055" s="952"/>
      <c r="C12055" s="907">
        <v>235</v>
      </c>
      <c r="D12055" s="907" t="s">
        <v>279</v>
      </c>
      <c r="E12055" s="992" t="s">
        <v>2682</v>
      </c>
      <c r="F12055" s="905" t="s">
        <v>45</v>
      </c>
      <c r="G12055" s="1005"/>
      <c r="H12055" s="911">
        <v>0.12</v>
      </c>
      <c r="I12055" s="912">
        <f>VLOOKUP(E12055,[3]VLP!$B$7:$K$300,10,0)</f>
        <v>5000</v>
      </c>
      <c r="J12055" s="912">
        <f>I12055*H12055</f>
        <v>600</v>
      </c>
      <c r="K12055" s="912" t="s">
        <v>274</v>
      </c>
      <c r="L12055" s="912"/>
      <c r="M12055" s="912"/>
      <c r="N12055" s="912"/>
      <c r="O12055" s="892">
        <f t="shared" si="969"/>
        <v>0</v>
      </c>
      <c r="P12055" s="903">
        <f t="shared" si="970"/>
        <v>1</v>
      </c>
      <c r="Q12055" s="893">
        <f t="shared" si="971"/>
        <v>4</v>
      </c>
      <c r="R12055" s="894">
        <f t="shared" si="972"/>
        <v>0</v>
      </c>
    </row>
    <row r="12056" spans="1:18" s="847" customFormat="1">
      <c r="A12056" s="905"/>
      <c r="B12056" s="952"/>
      <c r="C12056" s="907">
        <v>699</v>
      </c>
      <c r="D12056" s="907" t="s">
        <v>279</v>
      </c>
      <c r="E12056" s="992" t="s">
        <v>4006</v>
      </c>
      <c r="F12056" s="905" t="s">
        <v>4007</v>
      </c>
      <c r="G12056" s="1005"/>
      <c r="H12056" s="911">
        <v>2</v>
      </c>
      <c r="I12056" s="912">
        <f>VLOOKUP(E12056,[3]VLP!$B$7:$K$300,10,0)</f>
        <v>5000</v>
      </c>
      <c r="J12056" s="912">
        <f>I12056*H12056</f>
        <v>10000</v>
      </c>
      <c r="K12056" s="912" t="s">
        <v>274</v>
      </c>
      <c r="L12056" s="912"/>
      <c r="M12056" s="912"/>
      <c r="N12056" s="912"/>
      <c r="O12056" s="892">
        <f t="shared" si="969"/>
        <v>0</v>
      </c>
      <c r="P12056" s="903">
        <f t="shared" si="970"/>
        <v>1</v>
      </c>
      <c r="Q12056" s="893">
        <f t="shared" si="971"/>
        <v>3</v>
      </c>
      <c r="R12056" s="894">
        <f t="shared" si="972"/>
        <v>0</v>
      </c>
    </row>
    <row r="12057" spans="1:18">
      <c r="A12057" s="895"/>
      <c r="B12057" s="896"/>
      <c r="C12057" s="897"/>
      <c r="D12057" s="897"/>
      <c r="E12057" s="1002" t="s">
        <v>276</v>
      </c>
      <c r="F12057" s="1003"/>
      <c r="G12057" s="1004"/>
      <c r="H12057" s="901"/>
      <c r="I12057" s="902"/>
      <c r="J12057" s="902"/>
      <c r="K12057" s="912" t="s">
        <v>274</v>
      </c>
      <c r="L12057" s="902"/>
      <c r="M12057" s="902"/>
      <c r="N12057" s="902"/>
      <c r="O12057" s="892">
        <f t="shared" si="969"/>
        <v>0</v>
      </c>
      <c r="P12057" s="903">
        <f t="shared" si="970"/>
        <v>1</v>
      </c>
      <c r="Q12057" s="893">
        <f t="shared" si="971"/>
        <v>2</v>
      </c>
      <c r="R12057" s="894">
        <f t="shared" si="972"/>
        <v>0</v>
      </c>
    </row>
    <row r="12058" spans="1:18">
      <c r="A12058" s="905"/>
      <c r="B12058" s="952"/>
      <c r="C12058" s="907">
        <v>740</v>
      </c>
      <c r="D12058" s="907" t="s">
        <v>12</v>
      </c>
      <c r="E12058" s="992" t="s">
        <v>4008</v>
      </c>
      <c r="F12058" s="905" t="s">
        <v>2674</v>
      </c>
      <c r="G12058" s="1005"/>
      <c r="H12058" s="911">
        <v>3.2</v>
      </c>
      <c r="I12058" s="912"/>
      <c r="J12058" s="912"/>
      <c r="K12058" s="912">
        <f>VLOOKUP(E12058,[5]ĐMNC!$A$7:$F$67,4,0)</f>
        <v>221125</v>
      </c>
      <c r="L12058" s="912">
        <f>H12058*K12058</f>
        <v>707600</v>
      </c>
      <c r="M12058" s="912"/>
      <c r="N12058" s="912"/>
      <c r="O12058" s="892">
        <f t="shared" si="969"/>
        <v>0</v>
      </c>
      <c r="P12058" s="903">
        <f t="shared" si="970"/>
        <v>1</v>
      </c>
      <c r="Q12058" s="893">
        <f t="shared" si="971"/>
        <v>1</v>
      </c>
      <c r="R12058" s="894">
        <f t="shared" si="972"/>
        <v>0</v>
      </c>
    </row>
    <row r="12059" spans="1:18">
      <c r="A12059" s="905" t="s">
        <v>7047</v>
      </c>
      <c r="B12059" s="1018" t="s">
        <v>7067</v>
      </c>
      <c r="C12059" s="915"/>
      <c r="D12059" s="915"/>
      <c r="E12059" s="1006" t="s">
        <v>7068</v>
      </c>
      <c r="F12059" s="917" t="s">
        <v>6905</v>
      </c>
      <c r="G12059" s="1008"/>
      <c r="H12059" s="919"/>
      <c r="I12059" s="920"/>
      <c r="J12059" s="891">
        <f>SUM(J12060:J12065)</f>
        <v>49850</v>
      </c>
      <c r="K12059" s="891"/>
      <c r="L12059" s="891">
        <f>SUM(L12060:L12065)</f>
        <v>1658437.5</v>
      </c>
      <c r="M12059" s="891"/>
      <c r="N12059" s="891">
        <f>SUM(N12060:N12065)</f>
        <v>0</v>
      </c>
      <c r="O12059" s="892">
        <f t="shared" si="969"/>
        <v>1</v>
      </c>
      <c r="P12059" s="903">
        <f t="shared" si="970"/>
        <v>0</v>
      </c>
      <c r="Q12059" s="893">
        <f t="shared" si="971"/>
        <v>0</v>
      </c>
      <c r="R12059" s="894">
        <f t="shared" si="972"/>
        <v>6</v>
      </c>
    </row>
    <row r="12060" spans="1:18" s="904" customFormat="1">
      <c r="A12060" s="895"/>
      <c r="B12060" s="896"/>
      <c r="C12060" s="897"/>
      <c r="D12060" s="897"/>
      <c r="E12060" s="1002" t="s">
        <v>108</v>
      </c>
      <c r="F12060" s="1003"/>
      <c r="G12060" s="1004"/>
      <c r="H12060" s="901"/>
      <c r="I12060" s="902"/>
      <c r="J12060" s="902"/>
      <c r="K12060" s="912" t="s">
        <v>274</v>
      </c>
      <c r="L12060" s="902"/>
      <c r="M12060" s="902"/>
      <c r="N12060" s="902"/>
      <c r="O12060" s="892">
        <f t="shared" si="969"/>
        <v>0</v>
      </c>
      <c r="P12060" s="903">
        <f t="shared" si="970"/>
        <v>1</v>
      </c>
      <c r="Q12060" s="893">
        <f t="shared" si="971"/>
        <v>6</v>
      </c>
      <c r="R12060" s="894">
        <f t="shared" si="972"/>
        <v>0</v>
      </c>
    </row>
    <row r="12061" spans="1:18">
      <c r="A12061" s="905"/>
      <c r="B12061" s="952"/>
      <c r="C12061" s="907">
        <v>212</v>
      </c>
      <c r="D12061" s="907" t="s">
        <v>279</v>
      </c>
      <c r="E12061" s="992" t="s">
        <v>2681</v>
      </c>
      <c r="F12061" s="905" t="s">
        <v>45</v>
      </c>
      <c r="G12061" s="1005"/>
      <c r="H12061" s="911">
        <v>1.7</v>
      </c>
      <c r="I12061" s="912">
        <f>VLOOKUP(E12061,[3]VLP!$B$7:$K$300,10,0)</f>
        <v>23000</v>
      </c>
      <c r="J12061" s="912">
        <f>I12061*H12061</f>
        <v>39100</v>
      </c>
      <c r="K12061" s="912" t="s">
        <v>274</v>
      </c>
      <c r="L12061" s="912"/>
      <c r="M12061" s="912"/>
      <c r="N12061" s="912"/>
      <c r="O12061" s="892">
        <f t="shared" si="969"/>
        <v>0</v>
      </c>
      <c r="P12061" s="903">
        <f t="shared" si="970"/>
        <v>1</v>
      </c>
      <c r="Q12061" s="893">
        <f t="shared" si="971"/>
        <v>5</v>
      </c>
      <c r="R12061" s="894">
        <f t="shared" si="972"/>
        <v>0</v>
      </c>
    </row>
    <row r="12062" spans="1:18">
      <c r="A12062" s="905"/>
      <c r="B12062" s="952"/>
      <c r="C12062" s="907">
        <v>235</v>
      </c>
      <c r="D12062" s="907" t="s">
        <v>279</v>
      </c>
      <c r="E12062" s="992" t="s">
        <v>2682</v>
      </c>
      <c r="F12062" s="905" t="s">
        <v>45</v>
      </c>
      <c r="G12062" s="1005"/>
      <c r="H12062" s="911">
        <v>0.15</v>
      </c>
      <c r="I12062" s="912">
        <f>VLOOKUP(E12062,[3]VLP!$B$7:$K$300,10,0)</f>
        <v>5000</v>
      </c>
      <c r="J12062" s="912">
        <f>I12062*H12062</f>
        <v>750</v>
      </c>
      <c r="K12062" s="912" t="s">
        <v>274</v>
      </c>
      <c r="L12062" s="912"/>
      <c r="M12062" s="912"/>
      <c r="N12062" s="912"/>
      <c r="O12062" s="892">
        <f t="shared" si="969"/>
        <v>0</v>
      </c>
      <c r="P12062" s="903">
        <f t="shared" si="970"/>
        <v>1</v>
      </c>
      <c r="Q12062" s="893">
        <f t="shared" si="971"/>
        <v>4</v>
      </c>
      <c r="R12062" s="894">
        <f t="shared" si="972"/>
        <v>0</v>
      </c>
    </row>
    <row r="12063" spans="1:18" s="847" customFormat="1">
      <c r="A12063" s="905"/>
      <c r="B12063" s="952"/>
      <c r="C12063" s="907">
        <v>699</v>
      </c>
      <c r="D12063" s="907" t="s">
        <v>279</v>
      </c>
      <c r="E12063" s="992" t="s">
        <v>4006</v>
      </c>
      <c r="F12063" s="905" t="s">
        <v>4007</v>
      </c>
      <c r="G12063" s="1005"/>
      <c r="H12063" s="911">
        <v>2</v>
      </c>
      <c r="I12063" s="912">
        <f>VLOOKUP(E12063,[3]VLP!$B$7:$K$300,10,0)</f>
        <v>5000</v>
      </c>
      <c r="J12063" s="912">
        <f>I12063*H12063</f>
        <v>10000</v>
      </c>
      <c r="K12063" s="912" t="s">
        <v>274</v>
      </c>
      <c r="L12063" s="912"/>
      <c r="M12063" s="912"/>
      <c r="N12063" s="912"/>
      <c r="O12063" s="892">
        <f t="shared" ref="O12063:O12126" si="973">IF(AND(B12063&lt;&gt;"",D12063=""),1,0)</f>
        <v>0</v>
      </c>
      <c r="P12063" s="903">
        <f t="shared" si="970"/>
        <v>1</v>
      </c>
      <c r="Q12063" s="893">
        <f t="shared" si="971"/>
        <v>3</v>
      </c>
      <c r="R12063" s="894">
        <f t="shared" si="972"/>
        <v>0</v>
      </c>
    </row>
    <row r="12064" spans="1:18">
      <c r="A12064" s="895"/>
      <c r="B12064" s="896"/>
      <c r="C12064" s="897"/>
      <c r="D12064" s="897"/>
      <c r="E12064" s="1002" t="s">
        <v>276</v>
      </c>
      <c r="F12064" s="1003"/>
      <c r="G12064" s="1004"/>
      <c r="H12064" s="901"/>
      <c r="I12064" s="902"/>
      <c r="J12064" s="902"/>
      <c r="K12064" s="912" t="s">
        <v>274</v>
      </c>
      <c r="L12064" s="902"/>
      <c r="M12064" s="902"/>
      <c r="N12064" s="902"/>
      <c r="O12064" s="892">
        <f t="shared" si="973"/>
        <v>0</v>
      </c>
      <c r="P12064" s="903">
        <f t="shared" si="970"/>
        <v>1</v>
      </c>
      <c r="Q12064" s="893">
        <f t="shared" si="971"/>
        <v>2</v>
      </c>
      <c r="R12064" s="894">
        <f t="shared" si="972"/>
        <v>0</v>
      </c>
    </row>
    <row r="12065" spans="1:18">
      <c r="A12065" s="905"/>
      <c r="B12065" s="952"/>
      <c r="C12065" s="907">
        <v>740</v>
      </c>
      <c r="D12065" s="907" t="s">
        <v>12</v>
      </c>
      <c r="E12065" s="992" t="s">
        <v>4008</v>
      </c>
      <c r="F12065" s="905" t="s">
        <v>2674</v>
      </c>
      <c r="G12065" s="1005"/>
      <c r="H12065" s="911">
        <v>7.5</v>
      </c>
      <c r="I12065" s="912"/>
      <c r="J12065" s="912"/>
      <c r="K12065" s="912">
        <f>VLOOKUP(E12065,[5]ĐMNC!$A$7:$F$67,4,0)</f>
        <v>221125</v>
      </c>
      <c r="L12065" s="912">
        <f>H12065*K12065</f>
        <v>1658437.5</v>
      </c>
      <c r="M12065" s="912"/>
      <c r="N12065" s="912"/>
      <c r="O12065" s="892">
        <f t="shared" si="973"/>
        <v>0</v>
      </c>
      <c r="P12065" s="903">
        <f t="shared" si="970"/>
        <v>1</v>
      </c>
      <c r="Q12065" s="893">
        <f t="shared" si="971"/>
        <v>1</v>
      </c>
      <c r="R12065" s="894">
        <f t="shared" si="972"/>
        <v>0</v>
      </c>
    </row>
    <row r="12066" spans="1:18">
      <c r="A12066" s="905" t="s">
        <v>7069</v>
      </c>
      <c r="B12066" s="1018" t="s">
        <v>7070</v>
      </c>
      <c r="C12066" s="915"/>
      <c r="D12066" s="915"/>
      <c r="E12066" s="1006" t="s">
        <v>7071</v>
      </c>
      <c r="F12066" s="917" t="s">
        <v>6905</v>
      </c>
      <c r="G12066" s="1008"/>
      <c r="H12066" s="919"/>
      <c r="I12066" s="920"/>
      <c r="J12066" s="891">
        <f>SUM(J12067:J12072)</f>
        <v>36203</v>
      </c>
      <c r="K12066" s="891"/>
      <c r="L12066" s="891">
        <f>SUM(L12067:L12072)</f>
        <v>126041.24999999999</v>
      </c>
      <c r="M12066" s="891"/>
      <c r="N12066" s="891">
        <f>SUM(N12067:N12072)</f>
        <v>0</v>
      </c>
      <c r="O12066" s="892">
        <f t="shared" si="973"/>
        <v>1</v>
      </c>
      <c r="P12066" s="903">
        <f t="shared" si="970"/>
        <v>0</v>
      </c>
      <c r="Q12066" s="893">
        <f t="shared" si="971"/>
        <v>0</v>
      </c>
      <c r="R12066" s="894">
        <f t="shared" si="972"/>
        <v>6</v>
      </c>
    </row>
    <row r="12067" spans="1:18" s="904" customFormat="1">
      <c r="A12067" s="895"/>
      <c r="B12067" s="896"/>
      <c r="C12067" s="897"/>
      <c r="D12067" s="897"/>
      <c r="E12067" s="1002" t="s">
        <v>108</v>
      </c>
      <c r="F12067" s="1003"/>
      <c r="G12067" s="1004"/>
      <c r="H12067" s="901"/>
      <c r="I12067" s="902"/>
      <c r="J12067" s="902"/>
      <c r="K12067" s="912" t="s">
        <v>274</v>
      </c>
      <c r="L12067" s="902"/>
      <c r="M12067" s="902"/>
      <c r="N12067" s="902"/>
      <c r="O12067" s="892">
        <f t="shared" si="973"/>
        <v>0</v>
      </c>
      <c r="P12067" s="903">
        <f t="shared" si="970"/>
        <v>1</v>
      </c>
      <c r="Q12067" s="893">
        <f t="shared" si="971"/>
        <v>6</v>
      </c>
      <c r="R12067" s="894">
        <f t="shared" si="972"/>
        <v>0</v>
      </c>
    </row>
    <row r="12068" spans="1:18">
      <c r="A12068" s="905"/>
      <c r="B12068" s="952"/>
      <c r="C12068" s="907">
        <v>212</v>
      </c>
      <c r="D12068" s="907" t="s">
        <v>279</v>
      </c>
      <c r="E12068" s="992" t="s">
        <v>2681</v>
      </c>
      <c r="F12068" s="905" t="s">
        <v>45</v>
      </c>
      <c r="G12068" s="1005"/>
      <c r="H12068" s="911">
        <v>0.47599999999999998</v>
      </c>
      <c r="I12068" s="912">
        <f>VLOOKUP(E12068,[3]VLP!$B$7:$K$300,10,0)</f>
        <v>23000</v>
      </c>
      <c r="J12068" s="912">
        <f>I12068*H12068</f>
        <v>10948</v>
      </c>
      <c r="K12068" s="912" t="s">
        <v>274</v>
      </c>
      <c r="L12068" s="912"/>
      <c r="M12068" s="912"/>
      <c r="N12068" s="912"/>
      <c r="O12068" s="892">
        <f t="shared" si="973"/>
        <v>0</v>
      </c>
      <c r="P12068" s="903">
        <f t="shared" si="970"/>
        <v>1</v>
      </c>
      <c r="Q12068" s="893">
        <f t="shared" si="971"/>
        <v>5</v>
      </c>
      <c r="R12068" s="894">
        <f t="shared" si="972"/>
        <v>0</v>
      </c>
    </row>
    <row r="12069" spans="1:18">
      <c r="A12069" s="905"/>
      <c r="B12069" s="952"/>
      <c r="C12069" s="907">
        <v>235</v>
      </c>
      <c r="D12069" s="907" t="s">
        <v>279</v>
      </c>
      <c r="E12069" s="992" t="s">
        <v>2682</v>
      </c>
      <c r="F12069" s="905" t="s">
        <v>45</v>
      </c>
      <c r="G12069" s="1005"/>
      <c r="H12069" s="911">
        <v>5.0999999999999997E-2</v>
      </c>
      <c r="I12069" s="912">
        <f>VLOOKUP(E12069,[3]VLP!$B$7:$K$300,10,0)</f>
        <v>5000</v>
      </c>
      <c r="J12069" s="912">
        <f>I12069*H12069</f>
        <v>254.99999999999997</v>
      </c>
      <c r="K12069" s="912" t="s">
        <v>274</v>
      </c>
      <c r="L12069" s="912"/>
      <c r="M12069" s="912"/>
      <c r="N12069" s="912"/>
      <c r="O12069" s="892">
        <f t="shared" si="973"/>
        <v>0</v>
      </c>
      <c r="P12069" s="903">
        <f t="shared" si="970"/>
        <v>1</v>
      </c>
      <c r="Q12069" s="893">
        <f t="shared" si="971"/>
        <v>4</v>
      </c>
      <c r="R12069" s="894">
        <f t="shared" si="972"/>
        <v>0</v>
      </c>
    </row>
    <row r="12070" spans="1:18" s="847" customFormat="1">
      <c r="A12070" s="905"/>
      <c r="B12070" s="952"/>
      <c r="C12070" s="907">
        <v>699</v>
      </c>
      <c r="D12070" s="907" t="s">
        <v>279</v>
      </c>
      <c r="E12070" s="992" t="s">
        <v>4006</v>
      </c>
      <c r="F12070" s="905" t="s">
        <v>4007</v>
      </c>
      <c r="G12070" s="1005"/>
      <c r="H12070" s="911">
        <v>5</v>
      </c>
      <c r="I12070" s="912">
        <f>VLOOKUP(E12070,[3]VLP!$B$7:$K$300,10,0)</f>
        <v>5000</v>
      </c>
      <c r="J12070" s="912">
        <f>I12070*H12070</f>
        <v>25000</v>
      </c>
      <c r="K12070" s="912" t="s">
        <v>274</v>
      </c>
      <c r="L12070" s="912"/>
      <c r="M12070" s="912"/>
      <c r="N12070" s="912"/>
      <c r="O12070" s="892">
        <f t="shared" si="973"/>
        <v>0</v>
      </c>
      <c r="P12070" s="903">
        <f t="shared" si="970"/>
        <v>1</v>
      </c>
      <c r="Q12070" s="893">
        <f t="shared" si="971"/>
        <v>3</v>
      </c>
      <c r="R12070" s="894">
        <f t="shared" si="972"/>
        <v>0</v>
      </c>
    </row>
    <row r="12071" spans="1:18">
      <c r="A12071" s="895"/>
      <c r="B12071" s="896"/>
      <c r="C12071" s="897"/>
      <c r="D12071" s="897"/>
      <c r="E12071" s="1002" t="s">
        <v>276</v>
      </c>
      <c r="F12071" s="1003"/>
      <c r="G12071" s="1004"/>
      <c r="H12071" s="901"/>
      <c r="I12071" s="902"/>
      <c r="J12071" s="902"/>
      <c r="K12071" s="912" t="s">
        <v>274</v>
      </c>
      <c r="L12071" s="902"/>
      <c r="M12071" s="902"/>
      <c r="N12071" s="902"/>
      <c r="O12071" s="892">
        <f t="shared" si="973"/>
        <v>0</v>
      </c>
      <c r="P12071" s="903">
        <f t="shared" si="970"/>
        <v>1</v>
      </c>
      <c r="Q12071" s="893">
        <f t="shared" si="971"/>
        <v>2</v>
      </c>
      <c r="R12071" s="894">
        <f t="shared" si="972"/>
        <v>0</v>
      </c>
    </row>
    <row r="12072" spans="1:18">
      <c r="A12072" s="905"/>
      <c r="B12072" s="952"/>
      <c r="C12072" s="907">
        <v>740</v>
      </c>
      <c r="D12072" s="907" t="s">
        <v>12</v>
      </c>
      <c r="E12072" s="992" t="s">
        <v>4008</v>
      </c>
      <c r="F12072" s="905" t="s">
        <v>2674</v>
      </c>
      <c r="G12072" s="1005"/>
      <c r="H12072" s="911">
        <v>0.56999999999999995</v>
      </c>
      <c r="I12072" s="912"/>
      <c r="J12072" s="912"/>
      <c r="K12072" s="912">
        <f>VLOOKUP(E12072,[5]ĐMNC!$A$7:$F$67,4,0)</f>
        <v>221125</v>
      </c>
      <c r="L12072" s="912">
        <f>H12072*K12072</f>
        <v>126041.24999999999</v>
      </c>
      <c r="M12072" s="912"/>
      <c r="N12072" s="912"/>
      <c r="O12072" s="892">
        <f t="shared" si="973"/>
        <v>0</v>
      </c>
      <c r="P12072" s="903">
        <f t="shared" si="970"/>
        <v>1</v>
      </c>
      <c r="Q12072" s="893">
        <f t="shared" si="971"/>
        <v>1</v>
      </c>
      <c r="R12072" s="894">
        <f t="shared" si="972"/>
        <v>0</v>
      </c>
    </row>
    <row r="12073" spans="1:18">
      <c r="A12073" s="905" t="s">
        <v>7069</v>
      </c>
      <c r="B12073" s="1018" t="s">
        <v>7072</v>
      </c>
      <c r="C12073" s="915"/>
      <c r="D12073" s="915"/>
      <c r="E12073" s="1006" t="s">
        <v>7073</v>
      </c>
      <c r="F12073" s="917" t="s">
        <v>6905</v>
      </c>
      <c r="G12073" s="1008"/>
      <c r="H12073" s="919"/>
      <c r="I12073" s="920"/>
      <c r="J12073" s="891">
        <f>SUM(J12074:J12081)</f>
        <v>49506</v>
      </c>
      <c r="K12073" s="891"/>
      <c r="L12073" s="891">
        <f>SUM(L12074:L12081)</f>
        <v>1216187.5</v>
      </c>
      <c r="M12073" s="891"/>
      <c r="N12073" s="891">
        <f>SUM(N12074:N12081)</f>
        <v>553225.5</v>
      </c>
      <c r="O12073" s="892">
        <f t="shared" si="973"/>
        <v>1</v>
      </c>
      <c r="P12073" s="903">
        <f t="shared" si="970"/>
        <v>0</v>
      </c>
      <c r="Q12073" s="893">
        <f t="shared" si="971"/>
        <v>0</v>
      </c>
      <c r="R12073" s="894">
        <f t="shared" si="972"/>
        <v>8</v>
      </c>
    </row>
    <row r="12074" spans="1:18" s="904" customFormat="1">
      <c r="A12074" s="895"/>
      <c r="B12074" s="896"/>
      <c r="C12074" s="897"/>
      <c r="D12074" s="897"/>
      <c r="E12074" s="1002" t="s">
        <v>108</v>
      </c>
      <c r="F12074" s="1003"/>
      <c r="G12074" s="1004"/>
      <c r="H12074" s="901"/>
      <c r="I12074" s="902"/>
      <c r="J12074" s="902"/>
      <c r="K12074" s="912" t="s">
        <v>274</v>
      </c>
      <c r="L12074" s="902"/>
      <c r="M12074" s="902"/>
      <c r="N12074" s="902"/>
      <c r="O12074" s="892">
        <f t="shared" si="973"/>
        <v>0</v>
      </c>
      <c r="P12074" s="903">
        <f t="shared" si="970"/>
        <v>1</v>
      </c>
      <c r="Q12074" s="893">
        <f t="shared" si="971"/>
        <v>8</v>
      </c>
      <c r="R12074" s="894">
        <f t="shared" si="972"/>
        <v>0</v>
      </c>
    </row>
    <row r="12075" spans="1:18">
      <c r="A12075" s="905"/>
      <c r="B12075" s="952"/>
      <c r="C12075" s="907">
        <v>212</v>
      </c>
      <c r="D12075" s="907" t="s">
        <v>279</v>
      </c>
      <c r="E12075" s="992" t="s">
        <v>2681</v>
      </c>
      <c r="F12075" s="905" t="s">
        <v>45</v>
      </c>
      <c r="G12075" s="1005"/>
      <c r="H12075" s="911">
        <v>1.0469999999999999</v>
      </c>
      <c r="I12075" s="912">
        <f>VLOOKUP(E12075,[3]VLP!$B$7:$K$300,10,0)</f>
        <v>23000</v>
      </c>
      <c r="J12075" s="912">
        <f>I12075*H12075</f>
        <v>24081</v>
      </c>
      <c r="K12075" s="912" t="s">
        <v>274</v>
      </c>
      <c r="L12075" s="912"/>
      <c r="M12075" s="912"/>
      <c r="N12075" s="912"/>
      <c r="O12075" s="892">
        <f t="shared" si="973"/>
        <v>0</v>
      </c>
      <c r="P12075" s="903">
        <f t="shared" si="970"/>
        <v>1</v>
      </c>
      <c r="Q12075" s="893">
        <f t="shared" si="971"/>
        <v>7</v>
      </c>
      <c r="R12075" s="894">
        <f t="shared" si="972"/>
        <v>0</v>
      </c>
    </row>
    <row r="12076" spans="1:18">
      <c r="A12076" s="905"/>
      <c r="B12076" s="952"/>
      <c r="C12076" s="907">
        <v>235</v>
      </c>
      <c r="D12076" s="907" t="s">
        <v>279</v>
      </c>
      <c r="E12076" s="992" t="s">
        <v>2682</v>
      </c>
      <c r="F12076" s="905" t="s">
        <v>45</v>
      </c>
      <c r="G12076" s="1005"/>
      <c r="H12076" s="911">
        <v>8.5000000000000006E-2</v>
      </c>
      <c r="I12076" s="912">
        <f>VLOOKUP(E12076,[3]VLP!$B$7:$K$300,10,0)</f>
        <v>5000</v>
      </c>
      <c r="J12076" s="912">
        <f>I12076*H12076</f>
        <v>425.00000000000006</v>
      </c>
      <c r="K12076" s="912" t="s">
        <v>274</v>
      </c>
      <c r="L12076" s="912"/>
      <c r="M12076" s="912"/>
      <c r="N12076" s="912"/>
      <c r="O12076" s="892">
        <f t="shared" si="973"/>
        <v>0</v>
      </c>
      <c r="P12076" s="903">
        <f t="shared" si="970"/>
        <v>1</v>
      </c>
      <c r="Q12076" s="893">
        <f t="shared" si="971"/>
        <v>6</v>
      </c>
      <c r="R12076" s="894">
        <f t="shared" si="972"/>
        <v>0</v>
      </c>
    </row>
    <row r="12077" spans="1:18" s="847" customFormat="1">
      <c r="A12077" s="905"/>
      <c r="B12077" s="952"/>
      <c r="C12077" s="907">
        <v>699</v>
      </c>
      <c r="D12077" s="907" t="s">
        <v>279</v>
      </c>
      <c r="E12077" s="992" t="s">
        <v>4006</v>
      </c>
      <c r="F12077" s="905" t="s">
        <v>4007</v>
      </c>
      <c r="G12077" s="1005"/>
      <c r="H12077" s="911">
        <v>5</v>
      </c>
      <c r="I12077" s="912">
        <f>VLOOKUP(E12077,[3]VLP!$B$7:$K$300,10,0)</f>
        <v>5000</v>
      </c>
      <c r="J12077" s="912">
        <f>I12077*H12077</f>
        <v>25000</v>
      </c>
      <c r="K12077" s="912" t="s">
        <v>274</v>
      </c>
      <c r="L12077" s="912"/>
      <c r="M12077" s="912"/>
      <c r="N12077" s="912"/>
      <c r="O12077" s="892">
        <f t="shared" si="973"/>
        <v>0</v>
      </c>
      <c r="P12077" s="903">
        <f t="shared" si="970"/>
        <v>1</v>
      </c>
      <c r="Q12077" s="893">
        <f t="shared" si="971"/>
        <v>5</v>
      </c>
      <c r="R12077" s="894">
        <f t="shared" si="972"/>
        <v>0</v>
      </c>
    </row>
    <row r="12078" spans="1:18">
      <c r="A12078" s="895"/>
      <c r="B12078" s="896"/>
      <c r="C12078" s="897"/>
      <c r="D12078" s="897"/>
      <c r="E12078" s="1002" t="s">
        <v>276</v>
      </c>
      <c r="F12078" s="1003"/>
      <c r="G12078" s="1004"/>
      <c r="H12078" s="901"/>
      <c r="I12078" s="902"/>
      <c r="J12078" s="902"/>
      <c r="K12078" s="912" t="s">
        <v>274</v>
      </c>
      <c r="L12078" s="902"/>
      <c r="M12078" s="902"/>
      <c r="N12078" s="902"/>
      <c r="O12078" s="892">
        <f t="shared" si="973"/>
        <v>0</v>
      </c>
      <c r="P12078" s="903">
        <f t="shared" si="970"/>
        <v>1</v>
      </c>
      <c r="Q12078" s="893">
        <f t="shared" si="971"/>
        <v>4</v>
      </c>
      <c r="R12078" s="894">
        <f t="shared" si="972"/>
        <v>0</v>
      </c>
    </row>
    <row r="12079" spans="1:18">
      <c r="A12079" s="905"/>
      <c r="B12079" s="952"/>
      <c r="C12079" s="907">
        <v>740</v>
      </c>
      <c r="D12079" s="907" t="s">
        <v>12</v>
      </c>
      <c r="E12079" s="992" t="s">
        <v>4008</v>
      </c>
      <c r="F12079" s="905" t="s">
        <v>2674</v>
      </c>
      <c r="G12079" s="1005"/>
      <c r="H12079" s="911">
        <v>5.5</v>
      </c>
      <c r="I12079" s="912"/>
      <c r="J12079" s="912"/>
      <c r="K12079" s="912">
        <f>VLOOKUP(E12079,[5]ĐMNC!$A$7:$F$67,4,0)</f>
        <v>221125</v>
      </c>
      <c r="L12079" s="912">
        <f>H12079*K12079</f>
        <v>1216187.5</v>
      </c>
      <c r="M12079" s="912"/>
      <c r="N12079" s="912"/>
      <c r="O12079" s="892">
        <f t="shared" si="973"/>
        <v>0</v>
      </c>
      <c r="P12079" s="903">
        <f t="shared" si="970"/>
        <v>1</v>
      </c>
      <c r="Q12079" s="893">
        <f t="shared" si="971"/>
        <v>3</v>
      </c>
      <c r="R12079" s="894">
        <f t="shared" si="972"/>
        <v>0</v>
      </c>
    </row>
    <row r="12080" spans="1:18" s="847" customFormat="1">
      <c r="A12080" s="895"/>
      <c r="B12080" s="896"/>
      <c r="C12080" s="897"/>
      <c r="D12080" s="897"/>
      <c r="E12080" s="1002" t="s">
        <v>3914</v>
      </c>
      <c r="F12080" s="895"/>
      <c r="G12080" s="1004"/>
      <c r="H12080" s="901"/>
      <c r="I12080" s="902"/>
      <c r="J12080" s="902"/>
      <c r="K12080" s="912" t="s">
        <v>274</v>
      </c>
      <c r="L12080" s="902"/>
      <c r="M12080" s="902"/>
      <c r="N12080" s="902"/>
      <c r="O12080" s="892">
        <f t="shared" si="973"/>
        <v>0</v>
      </c>
      <c r="P12080" s="903">
        <f t="shared" si="970"/>
        <v>1</v>
      </c>
      <c r="Q12080" s="893">
        <f t="shared" si="971"/>
        <v>2</v>
      </c>
      <c r="R12080" s="894">
        <f t="shared" si="972"/>
        <v>0</v>
      </c>
    </row>
    <row r="12081" spans="1:18">
      <c r="A12081" s="905"/>
      <c r="B12081" s="946" t="s">
        <v>6321</v>
      </c>
      <c r="C12081" s="907">
        <v>900</v>
      </c>
      <c r="D12081" s="907" t="s">
        <v>93</v>
      </c>
      <c r="E12081" s="992" t="s">
        <v>6322</v>
      </c>
      <c r="F12081" s="905" t="s">
        <v>2673</v>
      </c>
      <c r="G12081" s="1005"/>
      <c r="H12081" s="911">
        <v>0.375</v>
      </c>
      <c r="I12081" s="912"/>
      <c r="J12081" s="912"/>
      <c r="K12081" s="912"/>
      <c r="L12081" s="912"/>
      <c r="M12081" s="912">
        <f>VLOOKUP(B12081,MTC!$B$9:$S$933,12,0)</f>
        <v>1475268</v>
      </c>
      <c r="N12081" s="912">
        <f>M12081*H12081</f>
        <v>553225.5</v>
      </c>
      <c r="O12081" s="892">
        <f t="shared" si="973"/>
        <v>0</v>
      </c>
      <c r="P12081" s="903">
        <f t="shared" si="970"/>
        <v>1</v>
      </c>
      <c r="Q12081" s="893">
        <f t="shared" si="971"/>
        <v>1</v>
      </c>
      <c r="R12081" s="894">
        <f t="shared" si="972"/>
        <v>0</v>
      </c>
    </row>
    <row r="12082" spans="1:18">
      <c r="A12082" s="905" t="s">
        <v>7069</v>
      </c>
      <c r="B12082" s="1018" t="s">
        <v>7074</v>
      </c>
      <c r="C12082" s="915"/>
      <c r="D12082" s="915"/>
      <c r="E12082" s="1006" t="s">
        <v>7075</v>
      </c>
      <c r="F12082" s="917" t="s">
        <v>6905</v>
      </c>
      <c r="G12082" s="1008"/>
      <c r="H12082" s="919"/>
      <c r="I12082" s="920"/>
      <c r="J12082" s="891">
        <f>SUM(J12083:J12090)</f>
        <v>89523</v>
      </c>
      <c r="K12082" s="891"/>
      <c r="L12082" s="891">
        <f>SUM(L12083:L12090)</f>
        <v>1769000</v>
      </c>
      <c r="M12082" s="891"/>
      <c r="N12082" s="891">
        <f>SUM(N12083:N12090)</f>
        <v>1106451</v>
      </c>
      <c r="O12082" s="892">
        <f t="shared" si="973"/>
        <v>1</v>
      </c>
      <c r="P12082" s="903">
        <f t="shared" si="970"/>
        <v>0</v>
      </c>
      <c r="Q12082" s="893">
        <f t="shared" si="971"/>
        <v>0</v>
      </c>
      <c r="R12082" s="894">
        <f t="shared" si="972"/>
        <v>8</v>
      </c>
    </row>
    <row r="12083" spans="1:18" s="904" customFormat="1">
      <c r="A12083" s="895"/>
      <c r="B12083" s="896"/>
      <c r="C12083" s="897"/>
      <c r="D12083" s="897"/>
      <c r="E12083" s="1002" t="s">
        <v>108</v>
      </c>
      <c r="F12083" s="1003"/>
      <c r="G12083" s="1004"/>
      <c r="H12083" s="901"/>
      <c r="I12083" s="902"/>
      <c r="J12083" s="902"/>
      <c r="K12083" s="912" t="s">
        <v>274</v>
      </c>
      <c r="L12083" s="902"/>
      <c r="M12083" s="902"/>
      <c r="N12083" s="902"/>
      <c r="O12083" s="892">
        <f t="shared" si="973"/>
        <v>0</v>
      </c>
      <c r="P12083" s="903">
        <f t="shared" ref="P12083:P12146" si="974">IF(O12083=0,1,0)</f>
        <v>1</v>
      </c>
      <c r="Q12083" s="893">
        <f t="shared" ref="Q12083:Q12146" si="975">IF(P12083=0,0,P12083+Q12084)</f>
        <v>8</v>
      </c>
      <c r="R12083" s="894">
        <f t="shared" ref="R12083:R12146" si="976">IF(Q12083=0,Q12084,0)</f>
        <v>0</v>
      </c>
    </row>
    <row r="12084" spans="1:18">
      <c r="A12084" s="905"/>
      <c r="B12084" s="952"/>
      <c r="C12084" s="907">
        <v>212</v>
      </c>
      <c r="D12084" s="907" t="s">
        <v>279</v>
      </c>
      <c r="E12084" s="992" t="s">
        <v>2681</v>
      </c>
      <c r="F12084" s="905" t="s">
        <v>45</v>
      </c>
      <c r="G12084" s="1005"/>
      <c r="H12084" s="911">
        <v>2.7610000000000001</v>
      </c>
      <c r="I12084" s="912">
        <f>VLOOKUP(E12084,[3]VLP!$B$7:$K$300,10,0)</f>
        <v>23000</v>
      </c>
      <c r="J12084" s="912">
        <f>I12084*H12084</f>
        <v>63503</v>
      </c>
      <c r="K12084" s="912" t="s">
        <v>274</v>
      </c>
      <c r="L12084" s="912"/>
      <c r="M12084" s="912"/>
      <c r="N12084" s="912"/>
      <c r="O12084" s="892">
        <f t="shared" si="973"/>
        <v>0</v>
      </c>
      <c r="P12084" s="903">
        <f t="shared" si="974"/>
        <v>1</v>
      </c>
      <c r="Q12084" s="893">
        <f t="shared" si="975"/>
        <v>7</v>
      </c>
      <c r="R12084" s="894">
        <f t="shared" si="976"/>
        <v>0</v>
      </c>
    </row>
    <row r="12085" spans="1:18">
      <c r="A12085" s="905"/>
      <c r="B12085" s="952"/>
      <c r="C12085" s="907">
        <v>235</v>
      </c>
      <c r="D12085" s="907" t="s">
        <v>279</v>
      </c>
      <c r="E12085" s="992" t="s">
        <v>2682</v>
      </c>
      <c r="F12085" s="905" t="s">
        <v>45</v>
      </c>
      <c r="G12085" s="1005"/>
      <c r="H12085" s="911">
        <v>0.20399999999999999</v>
      </c>
      <c r="I12085" s="912">
        <f>VLOOKUP(E12085,[3]VLP!$B$7:$K$300,10,0)</f>
        <v>5000</v>
      </c>
      <c r="J12085" s="912">
        <f>I12085*H12085</f>
        <v>1019.9999999999999</v>
      </c>
      <c r="K12085" s="912" t="s">
        <v>274</v>
      </c>
      <c r="L12085" s="912"/>
      <c r="M12085" s="912"/>
      <c r="N12085" s="912"/>
      <c r="O12085" s="892">
        <f t="shared" si="973"/>
        <v>0</v>
      </c>
      <c r="P12085" s="903">
        <f t="shared" si="974"/>
        <v>1</v>
      </c>
      <c r="Q12085" s="893">
        <f t="shared" si="975"/>
        <v>6</v>
      </c>
      <c r="R12085" s="894">
        <f t="shared" si="976"/>
        <v>0</v>
      </c>
    </row>
    <row r="12086" spans="1:18" s="847" customFormat="1">
      <c r="A12086" s="905"/>
      <c r="B12086" s="952"/>
      <c r="C12086" s="907">
        <v>699</v>
      </c>
      <c r="D12086" s="907" t="s">
        <v>279</v>
      </c>
      <c r="E12086" s="992" t="s">
        <v>4006</v>
      </c>
      <c r="F12086" s="905" t="s">
        <v>4007</v>
      </c>
      <c r="G12086" s="1005"/>
      <c r="H12086" s="911">
        <v>5</v>
      </c>
      <c r="I12086" s="912">
        <f>VLOOKUP(E12086,[3]VLP!$B$7:$K$300,10,0)</f>
        <v>5000</v>
      </c>
      <c r="J12086" s="912">
        <f>I12086*H12086</f>
        <v>25000</v>
      </c>
      <c r="K12086" s="912" t="s">
        <v>274</v>
      </c>
      <c r="L12086" s="912"/>
      <c r="M12086" s="912"/>
      <c r="N12086" s="912"/>
      <c r="O12086" s="892">
        <f t="shared" si="973"/>
        <v>0</v>
      </c>
      <c r="P12086" s="903">
        <f t="shared" si="974"/>
        <v>1</v>
      </c>
      <c r="Q12086" s="893">
        <f t="shared" si="975"/>
        <v>5</v>
      </c>
      <c r="R12086" s="894">
        <f t="shared" si="976"/>
        <v>0</v>
      </c>
    </row>
    <row r="12087" spans="1:18">
      <c r="A12087" s="895"/>
      <c r="B12087" s="896"/>
      <c r="C12087" s="897"/>
      <c r="D12087" s="897"/>
      <c r="E12087" s="1002" t="s">
        <v>276</v>
      </c>
      <c r="F12087" s="1003"/>
      <c r="G12087" s="1004"/>
      <c r="H12087" s="901"/>
      <c r="I12087" s="902"/>
      <c r="J12087" s="902"/>
      <c r="K12087" s="912" t="s">
        <v>274</v>
      </c>
      <c r="L12087" s="902"/>
      <c r="M12087" s="902"/>
      <c r="N12087" s="902"/>
      <c r="O12087" s="892">
        <f t="shared" si="973"/>
        <v>0</v>
      </c>
      <c r="P12087" s="903">
        <f t="shared" si="974"/>
        <v>1</v>
      </c>
      <c r="Q12087" s="893">
        <f t="shared" si="975"/>
        <v>4</v>
      </c>
      <c r="R12087" s="894">
        <f t="shared" si="976"/>
        <v>0</v>
      </c>
    </row>
    <row r="12088" spans="1:18">
      <c r="A12088" s="905"/>
      <c r="B12088" s="952"/>
      <c r="C12088" s="907">
        <v>740</v>
      </c>
      <c r="D12088" s="907" t="s">
        <v>12</v>
      </c>
      <c r="E12088" s="992" t="s">
        <v>4008</v>
      </c>
      <c r="F12088" s="905" t="s">
        <v>2674</v>
      </c>
      <c r="G12088" s="1005"/>
      <c r="H12088" s="911">
        <v>8</v>
      </c>
      <c r="I12088" s="912"/>
      <c r="J12088" s="912"/>
      <c r="K12088" s="912">
        <f>VLOOKUP(E12088,[5]ĐMNC!$A$7:$F$67,4,0)</f>
        <v>221125</v>
      </c>
      <c r="L12088" s="912">
        <f>H12088*K12088</f>
        <v>1769000</v>
      </c>
      <c r="M12088" s="912"/>
      <c r="N12088" s="912"/>
      <c r="O12088" s="892">
        <f t="shared" si="973"/>
        <v>0</v>
      </c>
      <c r="P12088" s="903">
        <f t="shared" si="974"/>
        <v>1</v>
      </c>
      <c r="Q12088" s="893">
        <f t="shared" si="975"/>
        <v>3</v>
      </c>
      <c r="R12088" s="894">
        <f t="shared" si="976"/>
        <v>0</v>
      </c>
    </row>
    <row r="12089" spans="1:18" s="847" customFormat="1">
      <c r="A12089" s="895"/>
      <c r="B12089" s="896"/>
      <c r="C12089" s="897"/>
      <c r="D12089" s="897"/>
      <c r="E12089" s="1002" t="s">
        <v>3914</v>
      </c>
      <c r="F12089" s="895"/>
      <c r="G12089" s="1004"/>
      <c r="H12089" s="901"/>
      <c r="I12089" s="902"/>
      <c r="J12089" s="902"/>
      <c r="K12089" s="912" t="s">
        <v>274</v>
      </c>
      <c r="L12089" s="902"/>
      <c r="M12089" s="902"/>
      <c r="N12089" s="902"/>
      <c r="O12089" s="892">
        <f t="shared" si="973"/>
        <v>0</v>
      </c>
      <c r="P12089" s="903">
        <f t="shared" si="974"/>
        <v>1</v>
      </c>
      <c r="Q12089" s="893">
        <f t="shared" si="975"/>
        <v>2</v>
      </c>
      <c r="R12089" s="894">
        <f t="shared" si="976"/>
        <v>0</v>
      </c>
    </row>
    <row r="12090" spans="1:18">
      <c r="A12090" s="905"/>
      <c r="B12090" s="946" t="s">
        <v>6321</v>
      </c>
      <c r="C12090" s="907">
        <v>900</v>
      </c>
      <c r="D12090" s="907" t="s">
        <v>93</v>
      </c>
      <c r="E12090" s="992" t="s">
        <v>6322</v>
      </c>
      <c r="F12090" s="905" t="s">
        <v>2673</v>
      </c>
      <c r="G12090" s="1005"/>
      <c r="H12090" s="911">
        <v>0.75</v>
      </c>
      <c r="I12090" s="912"/>
      <c r="J12090" s="912"/>
      <c r="K12090" s="912"/>
      <c r="L12090" s="912"/>
      <c r="M12090" s="912">
        <f>VLOOKUP(B12090,MTC!$B$9:$S$933,12,0)</f>
        <v>1475268</v>
      </c>
      <c r="N12090" s="912">
        <f>M12090*H12090</f>
        <v>1106451</v>
      </c>
      <c r="O12090" s="892">
        <f t="shared" si="973"/>
        <v>0</v>
      </c>
      <c r="P12090" s="903">
        <f t="shared" si="974"/>
        <v>1</v>
      </c>
      <c r="Q12090" s="893">
        <f t="shared" si="975"/>
        <v>1</v>
      </c>
      <c r="R12090" s="894">
        <f t="shared" si="976"/>
        <v>0</v>
      </c>
    </row>
    <row r="12091" spans="1:18">
      <c r="A12091" s="905" t="s">
        <v>7069</v>
      </c>
      <c r="B12091" s="1018" t="s">
        <v>7076</v>
      </c>
      <c r="C12091" s="915"/>
      <c r="D12091" s="915"/>
      <c r="E12091" s="1006" t="s">
        <v>7077</v>
      </c>
      <c r="F12091" s="917" t="s">
        <v>6905</v>
      </c>
      <c r="G12091" s="1008"/>
      <c r="H12091" s="919"/>
      <c r="I12091" s="920"/>
      <c r="J12091" s="891">
        <f>SUM(J12092:J12099)</f>
        <v>92745</v>
      </c>
      <c r="K12091" s="891"/>
      <c r="L12091" s="891">
        <f>SUM(L12092:L12099)</f>
        <v>4146093.75</v>
      </c>
      <c r="M12091" s="891"/>
      <c r="N12091" s="891">
        <f>SUM(N12092:N12099)</f>
        <v>1475268</v>
      </c>
      <c r="O12091" s="892">
        <f t="shared" si="973"/>
        <v>1</v>
      </c>
      <c r="P12091" s="903">
        <f t="shared" si="974"/>
        <v>0</v>
      </c>
      <c r="Q12091" s="893">
        <f t="shared" si="975"/>
        <v>0</v>
      </c>
      <c r="R12091" s="894">
        <f t="shared" si="976"/>
        <v>8</v>
      </c>
    </row>
    <row r="12092" spans="1:18" s="904" customFormat="1">
      <c r="A12092" s="895"/>
      <c r="B12092" s="896"/>
      <c r="C12092" s="897"/>
      <c r="D12092" s="897"/>
      <c r="E12092" s="1002" t="s">
        <v>108</v>
      </c>
      <c r="F12092" s="1003"/>
      <c r="G12092" s="1004"/>
      <c r="H12092" s="901"/>
      <c r="I12092" s="902"/>
      <c r="J12092" s="902"/>
      <c r="K12092" s="912" t="s">
        <v>274</v>
      </c>
      <c r="L12092" s="902"/>
      <c r="M12092" s="902"/>
      <c r="N12092" s="902"/>
      <c r="O12092" s="892">
        <f t="shared" si="973"/>
        <v>0</v>
      </c>
      <c r="P12092" s="903">
        <f t="shared" si="974"/>
        <v>1</v>
      </c>
      <c r="Q12092" s="893">
        <f t="shared" si="975"/>
        <v>8</v>
      </c>
      <c r="R12092" s="894">
        <f t="shared" si="976"/>
        <v>0</v>
      </c>
    </row>
    <row r="12093" spans="1:18">
      <c r="A12093" s="905"/>
      <c r="B12093" s="952"/>
      <c r="C12093" s="907">
        <v>212</v>
      </c>
      <c r="D12093" s="907" t="s">
        <v>279</v>
      </c>
      <c r="E12093" s="992" t="s">
        <v>2681</v>
      </c>
      <c r="F12093" s="905" t="s">
        <v>45</v>
      </c>
      <c r="G12093" s="1005"/>
      <c r="H12093" s="911">
        <v>2.89</v>
      </c>
      <c r="I12093" s="912">
        <f>VLOOKUP(E12093,[3]VLP!$B$7:$K$300,10,0)</f>
        <v>23000</v>
      </c>
      <c r="J12093" s="912">
        <f>I12093*H12093</f>
        <v>66470</v>
      </c>
      <c r="K12093" s="912" t="s">
        <v>274</v>
      </c>
      <c r="L12093" s="912"/>
      <c r="M12093" s="912"/>
      <c r="N12093" s="912"/>
      <c r="O12093" s="892">
        <f t="shared" si="973"/>
        <v>0</v>
      </c>
      <c r="P12093" s="903">
        <f t="shared" si="974"/>
        <v>1</v>
      </c>
      <c r="Q12093" s="893">
        <f t="shared" si="975"/>
        <v>7</v>
      </c>
      <c r="R12093" s="894">
        <f t="shared" si="976"/>
        <v>0</v>
      </c>
    </row>
    <row r="12094" spans="1:18">
      <c r="A12094" s="905"/>
      <c r="B12094" s="952"/>
      <c r="C12094" s="907">
        <v>235</v>
      </c>
      <c r="D12094" s="907" t="s">
        <v>279</v>
      </c>
      <c r="E12094" s="992" t="s">
        <v>2682</v>
      </c>
      <c r="F12094" s="905" t="s">
        <v>45</v>
      </c>
      <c r="G12094" s="1005"/>
      <c r="H12094" s="911">
        <v>0.255</v>
      </c>
      <c r="I12094" s="912">
        <f>VLOOKUP(E12094,[3]VLP!$B$7:$K$300,10,0)</f>
        <v>5000</v>
      </c>
      <c r="J12094" s="912">
        <f>I12094*H12094</f>
        <v>1275</v>
      </c>
      <c r="K12094" s="912" t="s">
        <v>274</v>
      </c>
      <c r="L12094" s="912"/>
      <c r="M12094" s="912"/>
      <c r="N12094" s="912"/>
      <c r="O12094" s="892">
        <f t="shared" si="973"/>
        <v>0</v>
      </c>
      <c r="P12094" s="903">
        <f t="shared" si="974"/>
        <v>1</v>
      </c>
      <c r="Q12094" s="893">
        <f t="shared" si="975"/>
        <v>6</v>
      </c>
      <c r="R12094" s="894">
        <f t="shared" si="976"/>
        <v>0</v>
      </c>
    </row>
    <row r="12095" spans="1:18" s="847" customFormat="1">
      <c r="A12095" s="905"/>
      <c r="B12095" s="952"/>
      <c r="C12095" s="907">
        <v>699</v>
      </c>
      <c r="D12095" s="907" t="s">
        <v>279</v>
      </c>
      <c r="E12095" s="992" t="s">
        <v>4006</v>
      </c>
      <c r="F12095" s="905" t="s">
        <v>4007</v>
      </c>
      <c r="G12095" s="1005"/>
      <c r="H12095" s="911">
        <v>5</v>
      </c>
      <c r="I12095" s="912">
        <f>VLOOKUP(E12095,[3]VLP!$B$7:$K$300,10,0)</f>
        <v>5000</v>
      </c>
      <c r="J12095" s="912">
        <f>I12095*H12095</f>
        <v>25000</v>
      </c>
      <c r="K12095" s="912" t="s">
        <v>274</v>
      </c>
      <c r="L12095" s="912"/>
      <c r="M12095" s="912"/>
      <c r="N12095" s="912"/>
      <c r="O12095" s="892">
        <f t="shared" si="973"/>
        <v>0</v>
      </c>
      <c r="P12095" s="903">
        <f t="shared" si="974"/>
        <v>1</v>
      </c>
      <c r="Q12095" s="893">
        <f t="shared" si="975"/>
        <v>5</v>
      </c>
      <c r="R12095" s="894">
        <f t="shared" si="976"/>
        <v>0</v>
      </c>
    </row>
    <row r="12096" spans="1:18">
      <c r="A12096" s="895"/>
      <c r="B12096" s="896"/>
      <c r="C12096" s="897"/>
      <c r="D12096" s="897"/>
      <c r="E12096" s="1002" t="s">
        <v>276</v>
      </c>
      <c r="F12096" s="1003"/>
      <c r="G12096" s="1004"/>
      <c r="H12096" s="901"/>
      <c r="I12096" s="902"/>
      <c r="J12096" s="902"/>
      <c r="K12096" s="912" t="s">
        <v>274</v>
      </c>
      <c r="L12096" s="902"/>
      <c r="M12096" s="902"/>
      <c r="N12096" s="902"/>
      <c r="O12096" s="892">
        <f t="shared" si="973"/>
        <v>0</v>
      </c>
      <c r="P12096" s="903">
        <f t="shared" si="974"/>
        <v>1</v>
      </c>
      <c r="Q12096" s="893">
        <f t="shared" si="975"/>
        <v>4</v>
      </c>
      <c r="R12096" s="894">
        <f t="shared" si="976"/>
        <v>0</v>
      </c>
    </row>
    <row r="12097" spans="1:18">
      <c r="A12097" s="905"/>
      <c r="B12097" s="952"/>
      <c r="C12097" s="907">
        <v>740</v>
      </c>
      <c r="D12097" s="907" t="s">
        <v>12</v>
      </c>
      <c r="E12097" s="992" t="s">
        <v>4008</v>
      </c>
      <c r="F12097" s="905" t="s">
        <v>2674</v>
      </c>
      <c r="G12097" s="1005"/>
      <c r="H12097" s="911">
        <v>18.75</v>
      </c>
      <c r="I12097" s="912"/>
      <c r="J12097" s="912"/>
      <c r="K12097" s="912">
        <f>VLOOKUP(E12097,[5]ĐMNC!$A$7:$F$67,4,0)</f>
        <v>221125</v>
      </c>
      <c r="L12097" s="912">
        <f>H12097*K12097</f>
        <v>4146093.75</v>
      </c>
      <c r="M12097" s="912"/>
      <c r="N12097" s="912"/>
      <c r="O12097" s="892">
        <f t="shared" si="973"/>
        <v>0</v>
      </c>
      <c r="P12097" s="903">
        <f t="shared" si="974"/>
        <v>1</v>
      </c>
      <c r="Q12097" s="893">
        <f t="shared" si="975"/>
        <v>3</v>
      </c>
      <c r="R12097" s="894">
        <f t="shared" si="976"/>
        <v>0</v>
      </c>
    </row>
    <row r="12098" spans="1:18" s="847" customFormat="1">
      <c r="A12098" s="895"/>
      <c r="B12098" s="896"/>
      <c r="C12098" s="897"/>
      <c r="D12098" s="897"/>
      <c r="E12098" s="1002" t="s">
        <v>3914</v>
      </c>
      <c r="F12098" s="895"/>
      <c r="G12098" s="1004"/>
      <c r="H12098" s="901"/>
      <c r="I12098" s="902"/>
      <c r="J12098" s="902"/>
      <c r="K12098" s="912" t="s">
        <v>274</v>
      </c>
      <c r="L12098" s="902"/>
      <c r="M12098" s="902"/>
      <c r="N12098" s="902"/>
      <c r="O12098" s="892">
        <f t="shared" si="973"/>
        <v>0</v>
      </c>
      <c r="P12098" s="903">
        <f t="shared" si="974"/>
        <v>1</v>
      </c>
      <c r="Q12098" s="893">
        <f t="shared" si="975"/>
        <v>2</v>
      </c>
      <c r="R12098" s="894">
        <f t="shared" si="976"/>
        <v>0</v>
      </c>
    </row>
    <row r="12099" spans="1:18">
      <c r="A12099" s="905"/>
      <c r="B12099" s="946" t="s">
        <v>6321</v>
      </c>
      <c r="C12099" s="907">
        <v>900</v>
      </c>
      <c r="D12099" s="907" t="s">
        <v>93</v>
      </c>
      <c r="E12099" s="992" t="s">
        <v>6322</v>
      </c>
      <c r="F12099" s="905" t="s">
        <v>2673</v>
      </c>
      <c r="G12099" s="1005"/>
      <c r="H12099" s="911">
        <v>1</v>
      </c>
      <c r="I12099" s="912"/>
      <c r="J12099" s="912"/>
      <c r="K12099" s="912"/>
      <c r="L12099" s="912"/>
      <c r="M12099" s="912">
        <f>VLOOKUP(B12099,MTC!$B$9:$S$933,12,0)</f>
        <v>1475268</v>
      </c>
      <c r="N12099" s="912">
        <f>M12099*H12099</f>
        <v>1475268</v>
      </c>
      <c r="O12099" s="892">
        <f t="shared" si="973"/>
        <v>0</v>
      </c>
      <c r="P12099" s="903">
        <f t="shared" si="974"/>
        <v>1</v>
      </c>
      <c r="Q12099" s="893">
        <f t="shared" si="975"/>
        <v>1</v>
      </c>
      <c r="R12099" s="894">
        <f t="shared" si="976"/>
        <v>0</v>
      </c>
    </row>
    <row r="12100" spans="1:18" s="847" customFormat="1">
      <c r="A12100" s="955" t="s">
        <v>7069</v>
      </c>
      <c r="B12100" s="1020" t="s">
        <v>7078</v>
      </c>
      <c r="C12100" s="956"/>
      <c r="D12100" s="956"/>
      <c r="E12100" s="1022" t="s">
        <v>7079</v>
      </c>
      <c r="F12100" s="958" t="s">
        <v>139</v>
      </c>
      <c r="G12100" s="1023"/>
      <c r="H12100" s="960"/>
      <c r="I12100" s="961"/>
      <c r="J12100" s="891">
        <f>SUM(J12101:J12105)</f>
        <v>50250</v>
      </c>
      <c r="K12100" s="891"/>
      <c r="L12100" s="891">
        <f>SUM(L12101:L12105)</f>
        <v>117196.25</v>
      </c>
      <c r="M12100" s="891"/>
      <c r="N12100" s="891">
        <f>SUM(N12101:N12105)</f>
        <v>0</v>
      </c>
      <c r="O12100" s="892">
        <f t="shared" si="973"/>
        <v>1</v>
      </c>
      <c r="P12100" s="903">
        <f t="shared" si="974"/>
        <v>0</v>
      </c>
      <c r="Q12100" s="893">
        <f t="shared" si="975"/>
        <v>0</v>
      </c>
      <c r="R12100" s="894">
        <f t="shared" si="976"/>
        <v>5</v>
      </c>
    </row>
    <row r="12101" spans="1:18" s="904" customFormat="1">
      <c r="A12101" s="895"/>
      <c r="B12101" s="922"/>
      <c r="C12101" s="897"/>
      <c r="D12101" s="897"/>
      <c r="E12101" s="1002" t="s">
        <v>108</v>
      </c>
      <c r="F12101" s="1003"/>
      <c r="G12101" s="1004"/>
      <c r="H12101" s="901"/>
      <c r="I12101" s="902"/>
      <c r="J12101" s="902"/>
      <c r="K12101" s="912" t="s">
        <v>274</v>
      </c>
      <c r="L12101" s="902"/>
      <c r="M12101" s="902"/>
      <c r="N12101" s="902"/>
      <c r="O12101" s="892">
        <f t="shared" si="973"/>
        <v>0</v>
      </c>
      <c r="P12101" s="903">
        <f t="shared" si="974"/>
        <v>1</v>
      </c>
      <c r="Q12101" s="893">
        <f t="shared" si="975"/>
        <v>5</v>
      </c>
      <c r="R12101" s="894">
        <f t="shared" si="976"/>
        <v>0</v>
      </c>
    </row>
    <row r="12102" spans="1:18">
      <c r="A12102" s="905"/>
      <c r="B12102" s="952"/>
      <c r="C12102" s="907">
        <v>235</v>
      </c>
      <c r="D12102" s="907" t="s">
        <v>279</v>
      </c>
      <c r="E12102" s="992" t="s">
        <v>2682</v>
      </c>
      <c r="F12102" s="905" t="s">
        <v>45</v>
      </c>
      <c r="G12102" s="1005"/>
      <c r="H12102" s="911">
        <v>0.05</v>
      </c>
      <c r="I12102" s="912">
        <f>VLOOKUP(E12102,[3]VLP!$B$7:$K$300,10,0)</f>
        <v>5000</v>
      </c>
      <c r="J12102" s="912">
        <f>I12102*H12102</f>
        <v>250</v>
      </c>
      <c r="K12102" s="912" t="s">
        <v>274</v>
      </c>
      <c r="L12102" s="912"/>
      <c r="M12102" s="912"/>
      <c r="N12102" s="912"/>
      <c r="O12102" s="892">
        <f t="shared" si="973"/>
        <v>0</v>
      </c>
      <c r="P12102" s="903">
        <f t="shared" si="974"/>
        <v>1</v>
      </c>
      <c r="Q12102" s="893">
        <f t="shared" si="975"/>
        <v>4</v>
      </c>
      <c r="R12102" s="894">
        <f t="shared" si="976"/>
        <v>0</v>
      </c>
    </row>
    <row r="12103" spans="1:18">
      <c r="A12103" s="905"/>
      <c r="B12103" s="952"/>
      <c r="C12103" s="907">
        <v>699</v>
      </c>
      <c r="D12103" s="907" t="s">
        <v>279</v>
      </c>
      <c r="E12103" s="992" t="s">
        <v>4006</v>
      </c>
      <c r="F12103" s="905" t="s">
        <v>4007</v>
      </c>
      <c r="G12103" s="1005"/>
      <c r="H12103" s="911">
        <v>10</v>
      </c>
      <c r="I12103" s="912">
        <f>VLOOKUP(E12103,[3]VLP!$B$7:$K$300,10,0)</f>
        <v>5000</v>
      </c>
      <c r="J12103" s="912">
        <f>I12103*H12103</f>
        <v>50000</v>
      </c>
      <c r="K12103" s="912" t="s">
        <v>274</v>
      </c>
      <c r="L12103" s="912"/>
      <c r="M12103" s="912"/>
      <c r="N12103" s="912"/>
      <c r="O12103" s="892">
        <f t="shared" si="973"/>
        <v>0</v>
      </c>
      <c r="P12103" s="903">
        <f t="shared" si="974"/>
        <v>1</v>
      </c>
      <c r="Q12103" s="893">
        <f t="shared" si="975"/>
        <v>3</v>
      </c>
      <c r="R12103" s="894">
        <f t="shared" si="976"/>
        <v>0</v>
      </c>
    </row>
    <row r="12104" spans="1:18" s="904" customFormat="1">
      <c r="A12104" s="895"/>
      <c r="B12104" s="896"/>
      <c r="C12104" s="897"/>
      <c r="D12104" s="897"/>
      <c r="E12104" s="1002" t="s">
        <v>276</v>
      </c>
      <c r="F12104" s="1003"/>
      <c r="G12104" s="1004"/>
      <c r="H12104" s="901"/>
      <c r="I12104" s="902"/>
      <c r="J12104" s="902"/>
      <c r="K12104" s="912" t="s">
        <v>274</v>
      </c>
      <c r="L12104" s="902"/>
      <c r="M12104" s="902"/>
      <c r="N12104" s="902"/>
      <c r="O12104" s="892">
        <f t="shared" si="973"/>
        <v>0</v>
      </c>
      <c r="P12104" s="903">
        <f t="shared" si="974"/>
        <v>1</v>
      </c>
      <c r="Q12104" s="893">
        <f t="shared" si="975"/>
        <v>2</v>
      </c>
      <c r="R12104" s="894">
        <f t="shared" si="976"/>
        <v>0</v>
      </c>
    </row>
    <row r="12105" spans="1:18">
      <c r="A12105" s="905"/>
      <c r="B12105" s="952"/>
      <c r="C12105" s="907">
        <v>740</v>
      </c>
      <c r="D12105" s="907" t="s">
        <v>12</v>
      </c>
      <c r="E12105" s="992" t="s">
        <v>4008</v>
      </c>
      <c r="F12105" s="905" t="s">
        <v>2674</v>
      </c>
      <c r="G12105" s="1005"/>
      <c r="H12105" s="911">
        <v>0.53</v>
      </c>
      <c r="I12105" s="912"/>
      <c r="J12105" s="912"/>
      <c r="K12105" s="912">
        <f>VLOOKUP(E12105,[5]ĐMNC!$A$7:$F$67,4,0)</f>
        <v>221125</v>
      </c>
      <c r="L12105" s="912">
        <f>H12105*K12105</f>
        <v>117196.25</v>
      </c>
      <c r="M12105" s="912"/>
      <c r="N12105" s="912"/>
      <c r="O12105" s="892">
        <f t="shared" si="973"/>
        <v>0</v>
      </c>
      <c r="P12105" s="903">
        <f t="shared" si="974"/>
        <v>1</v>
      </c>
      <c r="Q12105" s="893">
        <f t="shared" si="975"/>
        <v>1</v>
      </c>
      <c r="R12105" s="894">
        <f t="shared" si="976"/>
        <v>0</v>
      </c>
    </row>
    <row r="12106" spans="1:18" s="847" customFormat="1">
      <c r="A12106" s="905">
        <v>638</v>
      </c>
      <c r="B12106" s="1018" t="s">
        <v>7080</v>
      </c>
      <c r="C12106" s="915"/>
      <c r="D12106" s="915"/>
      <c r="E12106" s="1006" t="s">
        <v>7081</v>
      </c>
      <c r="F12106" s="917" t="s">
        <v>139</v>
      </c>
      <c r="G12106" s="1008"/>
      <c r="H12106" s="919"/>
      <c r="I12106" s="920"/>
      <c r="J12106" s="891">
        <f>SUM(J12107:J12111)</f>
        <v>50250</v>
      </c>
      <c r="K12106" s="891"/>
      <c r="L12106" s="891">
        <f>SUM(L12107:L12111)</f>
        <v>92872.5</v>
      </c>
      <c r="M12106" s="891"/>
      <c r="N12106" s="891">
        <f>SUM(N12107:N12111)</f>
        <v>0</v>
      </c>
      <c r="O12106" s="892">
        <f t="shared" si="973"/>
        <v>1</v>
      </c>
      <c r="P12106" s="903">
        <f t="shared" si="974"/>
        <v>0</v>
      </c>
      <c r="Q12106" s="893">
        <f t="shared" si="975"/>
        <v>0</v>
      </c>
      <c r="R12106" s="894">
        <f t="shared" si="976"/>
        <v>5</v>
      </c>
    </row>
    <row r="12107" spans="1:18" s="904" customFormat="1">
      <c r="A12107" s="895"/>
      <c r="B12107" s="896"/>
      <c r="C12107" s="897"/>
      <c r="D12107" s="897"/>
      <c r="E12107" s="1002" t="s">
        <v>108</v>
      </c>
      <c r="F12107" s="1003"/>
      <c r="G12107" s="1004"/>
      <c r="H12107" s="901"/>
      <c r="I12107" s="902"/>
      <c r="J12107" s="902"/>
      <c r="K12107" s="912" t="s">
        <v>274</v>
      </c>
      <c r="L12107" s="902"/>
      <c r="M12107" s="902"/>
      <c r="N12107" s="902"/>
      <c r="O12107" s="892">
        <f t="shared" si="973"/>
        <v>0</v>
      </c>
      <c r="P12107" s="903">
        <f t="shared" si="974"/>
        <v>1</v>
      </c>
      <c r="Q12107" s="893">
        <f t="shared" si="975"/>
        <v>5</v>
      </c>
      <c r="R12107" s="894">
        <f t="shared" si="976"/>
        <v>0</v>
      </c>
    </row>
    <row r="12108" spans="1:18">
      <c r="A12108" s="905"/>
      <c r="B12108" s="952"/>
      <c r="C12108" s="907">
        <v>235</v>
      </c>
      <c r="D12108" s="907" t="s">
        <v>279</v>
      </c>
      <c r="E12108" s="992" t="s">
        <v>2682</v>
      </c>
      <c r="F12108" s="905" t="s">
        <v>45</v>
      </c>
      <c r="G12108" s="1005"/>
      <c r="H12108" s="911">
        <v>0.05</v>
      </c>
      <c r="I12108" s="912">
        <f>VLOOKUP(E12108,[3]VLP!$B$7:$K$300,10,0)</f>
        <v>5000</v>
      </c>
      <c r="J12108" s="912">
        <f>I12108*H12108</f>
        <v>250</v>
      </c>
      <c r="K12108" s="912" t="s">
        <v>274</v>
      </c>
      <c r="L12108" s="912"/>
      <c r="M12108" s="912"/>
      <c r="N12108" s="912"/>
      <c r="O12108" s="892">
        <f t="shared" si="973"/>
        <v>0</v>
      </c>
      <c r="P12108" s="903">
        <f t="shared" si="974"/>
        <v>1</v>
      </c>
      <c r="Q12108" s="893">
        <f t="shared" si="975"/>
        <v>4</v>
      </c>
      <c r="R12108" s="894">
        <f t="shared" si="976"/>
        <v>0</v>
      </c>
    </row>
    <row r="12109" spans="1:18">
      <c r="A12109" s="905"/>
      <c r="B12109" s="952"/>
      <c r="C12109" s="907">
        <v>699</v>
      </c>
      <c r="D12109" s="907" t="s">
        <v>279</v>
      </c>
      <c r="E12109" s="992" t="s">
        <v>4006</v>
      </c>
      <c r="F12109" s="905" t="s">
        <v>4007</v>
      </c>
      <c r="G12109" s="1005"/>
      <c r="H12109" s="911">
        <v>10</v>
      </c>
      <c r="I12109" s="912">
        <f>VLOOKUP(E12109,[3]VLP!$B$7:$K$300,10,0)</f>
        <v>5000</v>
      </c>
      <c r="J12109" s="912">
        <f>I12109*H12109</f>
        <v>50000</v>
      </c>
      <c r="K12109" s="912" t="s">
        <v>274</v>
      </c>
      <c r="L12109" s="912"/>
      <c r="M12109" s="912"/>
      <c r="N12109" s="912"/>
      <c r="O12109" s="892">
        <f t="shared" si="973"/>
        <v>0</v>
      </c>
      <c r="P12109" s="903">
        <f t="shared" si="974"/>
        <v>1</v>
      </c>
      <c r="Q12109" s="893">
        <f t="shared" si="975"/>
        <v>3</v>
      </c>
      <c r="R12109" s="894">
        <f t="shared" si="976"/>
        <v>0</v>
      </c>
    </row>
    <row r="12110" spans="1:18" s="904" customFormat="1">
      <c r="A12110" s="895"/>
      <c r="B12110" s="896"/>
      <c r="C12110" s="897"/>
      <c r="D12110" s="897"/>
      <c r="E12110" s="1002" t="s">
        <v>276</v>
      </c>
      <c r="F12110" s="1003"/>
      <c r="G12110" s="1004"/>
      <c r="H12110" s="901"/>
      <c r="I12110" s="902"/>
      <c r="J12110" s="902"/>
      <c r="K12110" s="912" t="s">
        <v>274</v>
      </c>
      <c r="L12110" s="902"/>
      <c r="M12110" s="902"/>
      <c r="N12110" s="902"/>
      <c r="O12110" s="892">
        <f t="shared" si="973"/>
        <v>0</v>
      </c>
      <c r="P12110" s="903">
        <f t="shared" si="974"/>
        <v>1</v>
      </c>
      <c r="Q12110" s="893">
        <f t="shared" si="975"/>
        <v>2</v>
      </c>
      <c r="R12110" s="894">
        <f t="shared" si="976"/>
        <v>0</v>
      </c>
    </row>
    <row r="12111" spans="1:18">
      <c r="A12111" s="905"/>
      <c r="B12111" s="952"/>
      <c r="C12111" s="907">
        <v>740</v>
      </c>
      <c r="D12111" s="907" t="s">
        <v>12</v>
      </c>
      <c r="E12111" s="992" t="s">
        <v>4008</v>
      </c>
      <c r="F12111" s="905" t="s">
        <v>2674</v>
      </c>
      <c r="G12111" s="1005"/>
      <c r="H12111" s="911">
        <v>0.42</v>
      </c>
      <c r="I12111" s="912"/>
      <c r="J12111" s="912"/>
      <c r="K12111" s="912">
        <f>VLOOKUP(E12111,[5]ĐMNC!$A$7:$F$67,4,0)</f>
        <v>221125</v>
      </c>
      <c r="L12111" s="912">
        <f>H12111*K12111</f>
        <v>92872.5</v>
      </c>
      <c r="M12111" s="912"/>
      <c r="N12111" s="912"/>
      <c r="O12111" s="892">
        <f t="shared" si="973"/>
        <v>0</v>
      </c>
      <c r="P12111" s="903">
        <f t="shared" si="974"/>
        <v>1</v>
      </c>
      <c r="Q12111" s="893">
        <f t="shared" si="975"/>
        <v>1</v>
      </c>
      <c r="R12111" s="894">
        <f t="shared" si="976"/>
        <v>0</v>
      </c>
    </row>
    <row r="12112" spans="1:18" s="847" customFormat="1">
      <c r="A12112" s="905">
        <v>639</v>
      </c>
      <c r="B12112" s="1018" t="s">
        <v>7082</v>
      </c>
      <c r="C12112" s="915"/>
      <c r="D12112" s="915"/>
      <c r="E12112" s="1006" t="s">
        <v>7083</v>
      </c>
      <c r="F12112" s="917" t="s">
        <v>139</v>
      </c>
      <c r="G12112" s="1008"/>
      <c r="H12112" s="919"/>
      <c r="I12112" s="920"/>
      <c r="J12112" s="891">
        <f>SUM(J12113:J12117)</f>
        <v>50750</v>
      </c>
      <c r="K12112" s="891"/>
      <c r="L12112" s="891">
        <f>SUM(L12113:L12117)</f>
        <v>121618.75000000001</v>
      </c>
      <c r="M12112" s="891"/>
      <c r="N12112" s="891">
        <f>SUM(N12113:N12117)</f>
        <v>0</v>
      </c>
      <c r="O12112" s="892">
        <f t="shared" si="973"/>
        <v>1</v>
      </c>
      <c r="P12112" s="903">
        <f t="shared" si="974"/>
        <v>0</v>
      </c>
      <c r="Q12112" s="893">
        <f t="shared" si="975"/>
        <v>0</v>
      </c>
      <c r="R12112" s="894">
        <f t="shared" si="976"/>
        <v>5</v>
      </c>
    </row>
    <row r="12113" spans="1:18" s="904" customFormat="1">
      <c r="A12113" s="895"/>
      <c r="B12113" s="896"/>
      <c r="C12113" s="897"/>
      <c r="D12113" s="897"/>
      <c r="E12113" s="1002" t="s">
        <v>108</v>
      </c>
      <c r="F12113" s="1003"/>
      <c r="G12113" s="1004"/>
      <c r="H12113" s="901"/>
      <c r="I12113" s="902"/>
      <c r="J12113" s="902"/>
      <c r="K12113" s="912" t="s">
        <v>274</v>
      </c>
      <c r="L12113" s="902"/>
      <c r="M12113" s="902"/>
      <c r="N12113" s="902"/>
      <c r="O12113" s="892">
        <f t="shared" si="973"/>
        <v>0</v>
      </c>
      <c r="P12113" s="903">
        <f t="shared" si="974"/>
        <v>1</v>
      </c>
      <c r="Q12113" s="893">
        <f t="shared" si="975"/>
        <v>5</v>
      </c>
      <c r="R12113" s="894">
        <f t="shared" si="976"/>
        <v>0</v>
      </c>
    </row>
    <row r="12114" spans="1:18">
      <c r="A12114" s="905"/>
      <c r="B12114" s="952"/>
      <c r="C12114" s="907">
        <v>235</v>
      </c>
      <c r="D12114" s="907" t="s">
        <v>279</v>
      </c>
      <c r="E12114" s="992" t="s">
        <v>2682</v>
      </c>
      <c r="F12114" s="905" t="s">
        <v>45</v>
      </c>
      <c r="G12114" s="1005"/>
      <c r="H12114" s="911">
        <v>0.15</v>
      </c>
      <c r="I12114" s="912">
        <f>VLOOKUP(E12114,[3]VLP!$B$7:$K$300,10,0)</f>
        <v>5000</v>
      </c>
      <c r="J12114" s="912">
        <f>I12114*H12114</f>
        <v>750</v>
      </c>
      <c r="K12114" s="912" t="s">
        <v>274</v>
      </c>
      <c r="L12114" s="912"/>
      <c r="M12114" s="912"/>
      <c r="N12114" s="912"/>
      <c r="O12114" s="892">
        <f t="shared" si="973"/>
        <v>0</v>
      </c>
      <c r="P12114" s="903">
        <f t="shared" si="974"/>
        <v>1</v>
      </c>
      <c r="Q12114" s="893">
        <f t="shared" si="975"/>
        <v>4</v>
      </c>
      <c r="R12114" s="894">
        <f t="shared" si="976"/>
        <v>0</v>
      </c>
    </row>
    <row r="12115" spans="1:18">
      <c r="A12115" s="905"/>
      <c r="B12115" s="952"/>
      <c r="C12115" s="907">
        <v>699</v>
      </c>
      <c r="D12115" s="907" t="s">
        <v>279</v>
      </c>
      <c r="E12115" s="992" t="s">
        <v>4006</v>
      </c>
      <c r="F12115" s="905" t="s">
        <v>4007</v>
      </c>
      <c r="G12115" s="1005"/>
      <c r="H12115" s="911">
        <v>10</v>
      </c>
      <c r="I12115" s="912">
        <f>VLOOKUP(E12115,[3]VLP!$B$7:$K$300,10,0)</f>
        <v>5000</v>
      </c>
      <c r="J12115" s="912">
        <f>I12115*H12115</f>
        <v>50000</v>
      </c>
      <c r="K12115" s="912" t="s">
        <v>274</v>
      </c>
      <c r="L12115" s="912"/>
      <c r="M12115" s="912"/>
      <c r="N12115" s="912"/>
      <c r="O12115" s="892">
        <f t="shared" si="973"/>
        <v>0</v>
      </c>
      <c r="P12115" s="903">
        <f t="shared" si="974"/>
        <v>1</v>
      </c>
      <c r="Q12115" s="893">
        <f t="shared" si="975"/>
        <v>3</v>
      </c>
      <c r="R12115" s="894">
        <f t="shared" si="976"/>
        <v>0</v>
      </c>
    </row>
    <row r="12116" spans="1:18" s="904" customFormat="1">
      <c r="A12116" s="895"/>
      <c r="B12116" s="896"/>
      <c r="C12116" s="897"/>
      <c r="D12116" s="897"/>
      <c r="E12116" s="1002" t="s">
        <v>276</v>
      </c>
      <c r="F12116" s="1003"/>
      <c r="G12116" s="1004"/>
      <c r="H12116" s="901"/>
      <c r="I12116" s="902"/>
      <c r="J12116" s="902"/>
      <c r="K12116" s="912" t="s">
        <v>274</v>
      </c>
      <c r="L12116" s="902"/>
      <c r="M12116" s="902"/>
      <c r="N12116" s="902"/>
      <c r="O12116" s="892">
        <f t="shared" si="973"/>
        <v>0</v>
      </c>
      <c r="P12116" s="903">
        <f t="shared" si="974"/>
        <v>1</v>
      </c>
      <c r="Q12116" s="893">
        <f t="shared" si="975"/>
        <v>2</v>
      </c>
      <c r="R12116" s="894">
        <f t="shared" si="976"/>
        <v>0</v>
      </c>
    </row>
    <row r="12117" spans="1:18">
      <c r="A12117" s="905"/>
      <c r="B12117" s="952"/>
      <c r="C12117" s="907">
        <v>740</v>
      </c>
      <c r="D12117" s="907" t="s">
        <v>12</v>
      </c>
      <c r="E12117" s="992" t="s">
        <v>4008</v>
      </c>
      <c r="F12117" s="905" t="s">
        <v>2674</v>
      </c>
      <c r="G12117" s="1005"/>
      <c r="H12117" s="911">
        <v>0.55000000000000004</v>
      </c>
      <c r="I12117" s="912"/>
      <c r="J12117" s="912"/>
      <c r="K12117" s="912">
        <f>VLOOKUP(E12117,[5]ĐMNC!$A$7:$F$67,4,0)</f>
        <v>221125</v>
      </c>
      <c r="L12117" s="912">
        <f>H12117*K12117</f>
        <v>121618.75000000001</v>
      </c>
      <c r="M12117" s="912"/>
      <c r="N12117" s="912"/>
      <c r="O12117" s="892">
        <f t="shared" si="973"/>
        <v>0</v>
      </c>
      <c r="P12117" s="903">
        <f t="shared" si="974"/>
        <v>1</v>
      </c>
      <c r="Q12117" s="893">
        <f t="shared" si="975"/>
        <v>1</v>
      </c>
      <c r="R12117" s="894">
        <f t="shared" si="976"/>
        <v>0</v>
      </c>
    </row>
    <row r="12118" spans="1:18" s="847" customFormat="1">
      <c r="A12118" s="905">
        <v>640</v>
      </c>
      <c r="B12118" s="1018" t="s">
        <v>7084</v>
      </c>
      <c r="C12118" s="915"/>
      <c r="D12118" s="915"/>
      <c r="E12118" s="1006" t="s">
        <v>7085</v>
      </c>
      <c r="F12118" s="917" t="s">
        <v>139</v>
      </c>
      <c r="G12118" s="1008"/>
      <c r="H12118" s="919"/>
      <c r="I12118" s="920"/>
      <c r="J12118" s="891">
        <f>SUM(J12119:J12123)</f>
        <v>50750</v>
      </c>
      <c r="K12118" s="891"/>
      <c r="L12118" s="891">
        <f>SUM(L12119:L12123)</f>
        <v>72971.25</v>
      </c>
      <c r="M12118" s="891"/>
      <c r="N12118" s="891">
        <f>SUM(N12119:N12123)</f>
        <v>0</v>
      </c>
      <c r="O12118" s="892">
        <f t="shared" si="973"/>
        <v>1</v>
      </c>
      <c r="P12118" s="903">
        <f t="shared" si="974"/>
        <v>0</v>
      </c>
      <c r="Q12118" s="893">
        <f t="shared" si="975"/>
        <v>0</v>
      </c>
      <c r="R12118" s="894">
        <f t="shared" si="976"/>
        <v>5</v>
      </c>
    </row>
    <row r="12119" spans="1:18" s="904" customFormat="1">
      <c r="A12119" s="895"/>
      <c r="B12119" s="896"/>
      <c r="C12119" s="897"/>
      <c r="D12119" s="897"/>
      <c r="E12119" s="1002" t="s">
        <v>108</v>
      </c>
      <c r="F12119" s="1003"/>
      <c r="G12119" s="1004"/>
      <c r="H12119" s="901"/>
      <c r="I12119" s="902"/>
      <c r="J12119" s="902"/>
      <c r="K12119" s="912" t="s">
        <v>274</v>
      </c>
      <c r="L12119" s="902"/>
      <c r="M12119" s="902"/>
      <c r="N12119" s="902"/>
      <c r="O12119" s="892">
        <f t="shared" si="973"/>
        <v>0</v>
      </c>
      <c r="P12119" s="903">
        <f t="shared" si="974"/>
        <v>1</v>
      </c>
      <c r="Q12119" s="893">
        <f t="shared" si="975"/>
        <v>5</v>
      </c>
      <c r="R12119" s="894">
        <f t="shared" si="976"/>
        <v>0</v>
      </c>
    </row>
    <row r="12120" spans="1:18">
      <c r="A12120" s="905"/>
      <c r="B12120" s="952"/>
      <c r="C12120" s="907">
        <v>235</v>
      </c>
      <c r="D12120" s="907" t="s">
        <v>279</v>
      </c>
      <c r="E12120" s="992" t="s">
        <v>2682</v>
      </c>
      <c r="F12120" s="905" t="s">
        <v>45</v>
      </c>
      <c r="G12120" s="1005"/>
      <c r="H12120" s="911">
        <v>0.15</v>
      </c>
      <c r="I12120" s="912">
        <f>VLOOKUP(E12120,[3]VLP!$B$7:$K$300,10,0)</f>
        <v>5000</v>
      </c>
      <c r="J12120" s="912">
        <f>I12120*H12120</f>
        <v>750</v>
      </c>
      <c r="K12120" s="912" t="s">
        <v>274</v>
      </c>
      <c r="L12120" s="912"/>
      <c r="M12120" s="912"/>
      <c r="N12120" s="912"/>
      <c r="O12120" s="892">
        <f t="shared" si="973"/>
        <v>0</v>
      </c>
      <c r="P12120" s="903">
        <f t="shared" si="974"/>
        <v>1</v>
      </c>
      <c r="Q12120" s="893">
        <f t="shared" si="975"/>
        <v>4</v>
      </c>
      <c r="R12120" s="894">
        <f t="shared" si="976"/>
        <v>0</v>
      </c>
    </row>
    <row r="12121" spans="1:18">
      <c r="A12121" s="905"/>
      <c r="B12121" s="952"/>
      <c r="C12121" s="907">
        <v>699</v>
      </c>
      <c r="D12121" s="907" t="s">
        <v>279</v>
      </c>
      <c r="E12121" s="992" t="s">
        <v>4006</v>
      </c>
      <c r="F12121" s="905" t="s">
        <v>4007</v>
      </c>
      <c r="G12121" s="1005"/>
      <c r="H12121" s="911">
        <v>10</v>
      </c>
      <c r="I12121" s="912">
        <f>VLOOKUP(E12121,[3]VLP!$B$7:$K$300,10,0)</f>
        <v>5000</v>
      </c>
      <c r="J12121" s="912">
        <f>I12121*H12121</f>
        <v>50000</v>
      </c>
      <c r="K12121" s="912" t="s">
        <v>274</v>
      </c>
      <c r="L12121" s="912"/>
      <c r="M12121" s="912"/>
      <c r="N12121" s="912"/>
      <c r="O12121" s="892">
        <f t="shared" si="973"/>
        <v>0</v>
      </c>
      <c r="P12121" s="903">
        <f t="shared" si="974"/>
        <v>1</v>
      </c>
      <c r="Q12121" s="893">
        <f t="shared" si="975"/>
        <v>3</v>
      </c>
      <c r="R12121" s="894">
        <f t="shared" si="976"/>
        <v>0</v>
      </c>
    </row>
    <row r="12122" spans="1:18" s="904" customFormat="1">
      <c r="A12122" s="895"/>
      <c r="B12122" s="896"/>
      <c r="C12122" s="897"/>
      <c r="D12122" s="897"/>
      <c r="E12122" s="1002" t="s">
        <v>276</v>
      </c>
      <c r="F12122" s="1003"/>
      <c r="G12122" s="1004"/>
      <c r="H12122" s="901"/>
      <c r="I12122" s="902"/>
      <c r="J12122" s="902"/>
      <c r="K12122" s="912" t="s">
        <v>274</v>
      </c>
      <c r="L12122" s="902"/>
      <c r="M12122" s="902"/>
      <c r="N12122" s="902"/>
      <c r="O12122" s="892">
        <f t="shared" si="973"/>
        <v>0</v>
      </c>
      <c r="P12122" s="903">
        <f t="shared" si="974"/>
        <v>1</v>
      </c>
      <c r="Q12122" s="893">
        <f t="shared" si="975"/>
        <v>2</v>
      </c>
      <c r="R12122" s="894">
        <f t="shared" si="976"/>
        <v>0</v>
      </c>
    </row>
    <row r="12123" spans="1:18">
      <c r="A12123" s="905"/>
      <c r="B12123" s="952"/>
      <c r="C12123" s="907">
        <v>740</v>
      </c>
      <c r="D12123" s="907" t="s">
        <v>12</v>
      </c>
      <c r="E12123" s="992" t="s">
        <v>4008</v>
      </c>
      <c r="F12123" s="905" t="s">
        <v>2674</v>
      </c>
      <c r="G12123" s="1005"/>
      <c r="H12123" s="911">
        <v>0.33</v>
      </c>
      <c r="I12123" s="912"/>
      <c r="J12123" s="912"/>
      <c r="K12123" s="912">
        <f>VLOOKUP(E12123,[5]ĐMNC!$A$7:$F$67,4,0)</f>
        <v>221125</v>
      </c>
      <c r="L12123" s="912">
        <f>H12123*K12123</f>
        <v>72971.25</v>
      </c>
      <c r="M12123" s="912"/>
      <c r="N12123" s="912"/>
      <c r="O12123" s="892">
        <f t="shared" si="973"/>
        <v>0</v>
      </c>
      <c r="P12123" s="903">
        <f t="shared" si="974"/>
        <v>1</v>
      </c>
      <c r="Q12123" s="893">
        <f t="shared" si="975"/>
        <v>1</v>
      </c>
      <c r="R12123" s="894">
        <f t="shared" si="976"/>
        <v>0</v>
      </c>
    </row>
    <row r="12124" spans="1:18" s="847" customFormat="1">
      <c r="A12124" s="905">
        <v>641</v>
      </c>
      <c r="B12124" s="1018" t="s">
        <v>7086</v>
      </c>
      <c r="C12124" s="915"/>
      <c r="D12124" s="915"/>
      <c r="E12124" s="1006" t="s">
        <v>7087</v>
      </c>
      <c r="F12124" s="917" t="s">
        <v>139</v>
      </c>
      <c r="G12124" s="1008"/>
      <c r="H12124" s="919"/>
      <c r="I12124" s="920"/>
      <c r="J12124" s="891">
        <f>SUM(J12125:J12130)</f>
        <v>52765.5</v>
      </c>
      <c r="K12124" s="891"/>
      <c r="L12124" s="891">
        <f>SUM(L12125:L12130)</f>
        <v>121618.75000000001</v>
      </c>
      <c r="M12124" s="891"/>
      <c r="N12124" s="891">
        <f>SUM(N12125:N12130)</f>
        <v>0</v>
      </c>
      <c r="O12124" s="892">
        <f t="shared" si="973"/>
        <v>1</v>
      </c>
      <c r="P12124" s="903">
        <f t="shared" si="974"/>
        <v>0</v>
      </c>
      <c r="Q12124" s="893">
        <f t="shared" si="975"/>
        <v>0</v>
      </c>
      <c r="R12124" s="894">
        <f t="shared" si="976"/>
        <v>6</v>
      </c>
    </row>
    <row r="12125" spans="1:18" s="904" customFormat="1">
      <c r="A12125" s="895"/>
      <c r="B12125" s="896"/>
      <c r="C12125" s="897"/>
      <c r="D12125" s="897"/>
      <c r="E12125" s="1002" t="s">
        <v>108</v>
      </c>
      <c r="F12125" s="1003"/>
      <c r="G12125" s="1004"/>
      <c r="H12125" s="901"/>
      <c r="I12125" s="902"/>
      <c r="J12125" s="902"/>
      <c r="K12125" s="912" t="s">
        <v>274</v>
      </c>
      <c r="L12125" s="902"/>
      <c r="M12125" s="902"/>
      <c r="N12125" s="902"/>
      <c r="O12125" s="892">
        <f t="shared" si="973"/>
        <v>0</v>
      </c>
      <c r="P12125" s="903">
        <f t="shared" si="974"/>
        <v>1</v>
      </c>
      <c r="Q12125" s="893">
        <f t="shared" si="975"/>
        <v>6</v>
      </c>
      <c r="R12125" s="894">
        <f t="shared" si="976"/>
        <v>0</v>
      </c>
    </row>
    <row r="12126" spans="1:18">
      <c r="A12126" s="905"/>
      <c r="B12126" s="952"/>
      <c r="C12126" s="907">
        <v>235</v>
      </c>
      <c r="D12126" s="907" t="s">
        <v>279</v>
      </c>
      <c r="E12126" s="992" t="s">
        <v>2682</v>
      </c>
      <c r="F12126" s="905" t="s">
        <v>45</v>
      </c>
      <c r="G12126" s="1005"/>
      <c r="H12126" s="911">
        <v>0.05</v>
      </c>
      <c r="I12126" s="912">
        <f>VLOOKUP(E12126,[3]VLP!$B$7:$K$300,10,0)</f>
        <v>5000</v>
      </c>
      <c r="J12126" s="912">
        <f>I12126*H12126</f>
        <v>250</v>
      </c>
      <c r="K12126" s="912" t="s">
        <v>274</v>
      </c>
      <c r="L12126" s="912"/>
      <c r="M12126" s="912"/>
      <c r="N12126" s="912"/>
      <c r="O12126" s="892">
        <f t="shared" si="973"/>
        <v>0</v>
      </c>
      <c r="P12126" s="903">
        <f t="shared" si="974"/>
        <v>1</v>
      </c>
      <c r="Q12126" s="893">
        <f t="shared" si="975"/>
        <v>5</v>
      </c>
      <c r="R12126" s="894">
        <f t="shared" si="976"/>
        <v>0</v>
      </c>
    </row>
    <row r="12127" spans="1:18">
      <c r="A12127" s="905"/>
      <c r="B12127" s="952"/>
      <c r="C12127" s="907">
        <v>318</v>
      </c>
      <c r="D12127" s="907" t="s">
        <v>279</v>
      </c>
      <c r="E12127" s="992" t="s">
        <v>5657</v>
      </c>
      <c r="F12127" s="905" t="s">
        <v>45</v>
      </c>
      <c r="G12127" s="1005"/>
      <c r="H12127" s="911">
        <v>0.1</v>
      </c>
      <c r="I12127" s="912">
        <f>VLOOKUP(E12127,[3]VLP!$B$7:$K$300,10,0)</f>
        <v>25155</v>
      </c>
      <c r="J12127" s="912">
        <f>I12127*H12127</f>
        <v>2515.5</v>
      </c>
      <c r="K12127" s="912" t="s">
        <v>274</v>
      </c>
      <c r="L12127" s="912"/>
      <c r="M12127" s="912"/>
      <c r="N12127" s="912"/>
      <c r="O12127" s="892">
        <f t="shared" ref="O12127:O12190" si="977">IF(AND(B12127&lt;&gt;"",D12127=""),1,0)</f>
        <v>0</v>
      </c>
      <c r="P12127" s="903">
        <f t="shared" si="974"/>
        <v>1</v>
      </c>
      <c r="Q12127" s="893">
        <f t="shared" si="975"/>
        <v>4</v>
      </c>
      <c r="R12127" s="894">
        <f t="shared" si="976"/>
        <v>0</v>
      </c>
    </row>
    <row r="12128" spans="1:18" s="904" customFormat="1">
      <c r="A12128" s="905"/>
      <c r="B12128" s="952"/>
      <c r="C12128" s="907">
        <v>699</v>
      </c>
      <c r="D12128" s="907" t="s">
        <v>279</v>
      </c>
      <c r="E12128" s="992" t="s">
        <v>4006</v>
      </c>
      <c r="F12128" s="905" t="s">
        <v>4007</v>
      </c>
      <c r="G12128" s="1005"/>
      <c r="H12128" s="911">
        <v>10</v>
      </c>
      <c r="I12128" s="912">
        <f>VLOOKUP(E12128,[3]VLP!$B$7:$K$300,10,0)</f>
        <v>5000</v>
      </c>
      <c r="J12128" s="912">
        <f>I12128*H12128</f>
        <v>50000</v>
      </c>
      <c r="K12128" s="912" t="s">
        <v>274</v>
      </c>
      <c r="L12128" s="912"/>
      <c r="M12128" s="912"/>
      <c r="N12128" s="912"/>
      <c r="O12128" s="892">
        <f t="shared" si="977"/>
        <v>0</v>
      </c>
      <c r="P12128" s="903">
        <f t="shared" si="974"/>
        <v>1</v>
      </c>
      <c r="Q12128" s="893">
        <f t="shared" si="975"/>
        <v>3</v>
      </c>
      <c r="R12128" s="894">
        <f t="shared" si="976"/>
        <v>0</v>
      </c>
    </row>
    <row r="12129" spans="1:18">
      <c r="A12129" s="895"/>
      <c r="B12129" s="896"/>
      <c r="C12129" s="897"/>
      <c r="D12129" s="897"/>
      <c r="E12129" s="1002" t="s">
        <v>276</v>
      </c>
      <c r="F12129" s="1003"/>
      <c r="G12129" s="1004"/>
      <c r="H12129" s="901"/>
      <c r="I12129" s="902"/>
      <c r="J12129" s="902"/>
      <c r="K12129" s="912" t="s">
        <v>274</v>
      </c>
      <c r="L12129" s="902"/>
      <c r="M12129" s="902"/>
      <c r="N12129" s="902"/>
      <c r="O12129" s="892">
        <f t="shared" si="977"/>
        <v>0</v>
      </c>
      <c r="P12129" s="903">
        <f t="shared" si="974"/>
        <v>1</v>
      </c>
      <c r="Q12129" s="893">
        <f t="shared" si="975"/>
        <v>2</v>
      </c>
      <c r="R12129" s="894">
        <f t="shared" si="976"/>
        <v>0</v>
      </c>
    </row>
    <row r="12130" spans="1:18" s="847" customFormat="1">
      <c r="A12130" s="905"/>
      <c r="B12130" s="952"/>
      <c r="C12130" s="907">
        <v>740</v>
      </c>
      <c r="D12130" s="907" t="s">
        <v>12</v>
      </c>
      <c r="E12130" s="992" t="s">
        <v>4008</v>
      </c>
      <c r="F12130" s="905" t="s">
        <v>2674</v>
      </c>
      <c r="G12130" s="1005"/>
      <c r="H12130" s="911">
        <v>0.55000000000000004</v>
      </c>
      <c r="I12130" s="912"/>
      <c r="J12130" s="912"/>
      <c r="K12130" s="912">
        <f>VLOOKUP(E12130,[5]ĐMNC!$A$7:$F$67,4,0)</f>
        <v>221125</v>
      </c>
      <c r="L12130" s="912">
        <f>H12130*K12130</f>
        <v>121618.75000000001</v>
      </c>
      <c r="M12130" s="912"/>
      <c r="N12130" s="912"/>
      <c r="O12130" s="892">
        <f t="shared" si="977"/>
        <v>0</v>
      </c>
      <c r="P12130" s="903">
        <f t="shared" si="974"/>
        <v>1</v>
      </c>
      <c r="Q12130" s="893">
        <f t="shared" si="975"/>
        <v>1</v>
      </c>
      <c r="R12130" s="894">
        <f t="shared" si="976"/>
        <v>0</v>
      </c>
    </row>
    <row r="12131" spans="1:18" s="904" customFormat="1">
      <c r="A12131" s="905">
        <v>642</v>
      </c>
      <c r="B12131" s="1018" t="s">
        <v>7088</v>
      </c>
      <c r="C12131" s="915"/>
      <c r="D12131" s="915"/>
      <c r="E12131" s="1006" t="s">
        <v>7089</v>
      </c>
      <c r="F12131" s="917" t="s">
        <v>139</v>
      </c>
      <c r="G12131" s="1008"/>
      <c r="H12131" s="919"/>
      <c r="I12131" s="920"/>
      <c r="J12131" s="891">
        <f>SUM(J12132:J12137)</f>
        <v>52765.5</v>
      </c>
      <c r="K12131" s="891"/>
      <c r="L12131" s="891">
        <f>SUM(L12132:L12137)</f>
        <v>121618.75000000001</v>
      </c>
      <c r="M12131" s="891"/>
      <c r="N12131" s="891">
        <f>SUM(N12132:N12137)</f>
        <v>0</v>
      </c>
      <c r="O12131" s="892">
        <f t="shared" si="977"/>
        <v>1</v>
      </c>
      <c r="P12131" s="903">
        <f t="shared" si="974"/>
        <v>0</v>
      </c>
      <c r="Q12131" s="893">
        <f t="shared" si="975"/>
        <v>0</v>
      </c>
      <c r="R12131" s="894">
        <f t="shared" si="976"/>
        <v>6</v>
      </c>
    </row>
    <row r="12132" spans="1:18">
      <c r="A12132" s="895"/>
      <c r="B12132" s="896"/>
      <c r="C12132" s="897"/>
      <c r="D12132" s="897"/>
      <c r="E12132" s="1002" t="s">
        <v>108</v>
      </c>
      <c r="F12132" s="1003"/>
      <c r="G12132" s="1004"/>
      <c r="H12132" s="901"/>
      <c r="I12132" s="902"/>
      <c r="J12132" s="902"/>
      <c r="K12132" s="912" t="s">
        <v>274</v>
      </c>
      <c r="L12132" s="902"/>
      <c r="M12132" s="902"/>
      <c r="N12132" s="902"/>
      <c r="O12132" s="892">
        <f t="shared" si="977"/>
        <v>0</v>
      </c>
      <c r="P12132" s="903">
        <f t="shared" si="974"/>
        <v>1</v>
      </c>
      <c r="Q12132" s="893">
        <f t="shared" si="975"/>
        <v>6</v>
      </c>
      <c r="R12132" s="894">
        <f t="shared" si="976"/>
        <v>0</v>
      </c>
    </row>
    <row r="12133" spans="1:18">
      <c r="A12133" s="905"/>
      <c r="B12133" s="952"/>
      <c r="C12133" s="907">
        <v>235</v>
      </c>
      <c r="D12133" s="907" t="s">
        <v>279</v>
      </c>
      <c r="E12133" s="992" t="s">
        <v>2682</v>
      </c>
      <c r="F12133" s="905" t="s">
        <v>45</v>
      </c>
      <c r="G12133" s="1005"/>
      <c r="H12133" s="911">
        <v>0.05</v>
      </c>
      <c r="I12133" s="912">
        <f>VLOOKUP(E12133,[3]VLP!$B$7:$K$300,10,0)</f>
        <v>5000</v>
      </c>
      <c r="J12133" s="912">
        <f>I12133*H12133</f>
        <v>250</v>
      </c>
      <c r="K12133" s="912" t="s">
        <v>274</v>
      </c>
      <c r="L12133" s="912"/>
      <c r="M12133" s="912"/>
      <c r="N12133" s="912"/>
      <c r="O12133" s="892">
        <f t="shared" si="977"/>
        <v>0</v>
      </c>
      <c r="P12133" s="903">
        <f t="shared" si="974"/>
        <v>1</v>
      </c>
      <c r="Q12133" s="893">
        <f t="shared" si="975"/>
        <v>5</v>
      </c>
      <c r="R12133" s="894">
        <f t="shared" si="976"/>
        <v>0</v>
      </c>
    </row>
    <row r="12134" spans="1:18" s="904" customFormat="1">
      <c r="A12134" s="905"/>
      <c r="B12134" s="952"/>
      <c r="C12134" s="907">
        <v>318</v>
      </c>
      <c r="D12134" s="907" t="s">
        <v>279</v>
      </c>
      <c r="E12134" s="992" t="s">
        <v>5657</v>
      </c>
      <c r="F12134" s="905" t="s">
        <v>45</v>
      </c>
      <c r="G12134" s="1005"/>
      <c r="H12134" s="911">
        <v>0.1</v>
      </c>
      <c r="I12134" s="912">
        <f>VLOOKUP(E12134,[3]VLP!$B$7:$K$300,10,0)</f>
        <v>25155</v>
      </c>
      <c r="J12134" s="912">
        <f>I12134*H12134</f>
        <v>2515.5</v>
      </c>
      <c r="K12134" s="912" t="s">
        <v>274</v>
      </c>
      <c r="L12134" s="912"/>
      <c r="M12134" s="912"/>
      <c r="N12134" s="912"/>
      <c r="O12134" s="892">
        <f t="shared" si="977"/>
        <v>0</v>
      </c>
      <c r="P12134" s="903">
        <f t="shared" si="974"/>
        <v>1</v>
      </c>
      <c r="Q12134" s="893">
        <f t="shared" si="975"/>
        <v>4</v>
      </c>
      <c r="R12134" s="894">
        <f t="shared" si="976"/>
        <v>0</v>
      </c>
    </row>
    <row r="12135" spans="1:18">
      <c r="A12135" s="905"/>
      <c r="B12135" s="952"/>
      <c r="C12135" s="907">
        <v>699</v>
      </c>
      <c r="D12135" s="907" t="s">
        <v>279</v>
      </c>
      <c r="E12135" s="992" t="s">
        <v>4006</v>
      </c>
      <c r="F12135" s="905" t="s">
        <v>4007</v>
      </c>
      <c r="G12135" s="1005"/>
      <c r="H12135" s="911">
        <v>10</v>
      </c>
      <c r="I12135" s="912">
        <f>VLOOKUP(E12135,[3]VLP!$B$7:$K$300,10,0)</f>
        <v>5000</v>
      </c>
      <c r="J12135" s="912">
        <f>I12135*H12135</f>
        <v>50000</v>
      </c>
      <c r="K12135" s="912" t="s">
        <v>274</v>
      </c>
      <c r="L12135" s="912"/>
      <c r="M12135" s="912"/>
      <c r="N12135" s="912"/>
      <c r="O12135" s="892">
        <f t="shared" si="977"/>
        <v>0</v>
      </c>
      <c r="P12135" s="903">
        <f t="shared" si="974"/>
        <v>1</v>
      </c>
      <c r="Q12135" s="893">
        <f t="shared" si="975"/>
        <v>3</v>
      </c>
      <c r="R12135" s="894">
        <f t="shared" si="976"/>
        <v>0</v>
      </c>
    </row>
    <row r="12136" spans="1:18" s="847" customFormat="1">
      <c r="A12136" s="895"/>
      <c r="B12136" s="896"/>
      <c r="C12136" s="897"/>
      <c r="D12136" s="897"/>
      <c r="E12136" s="1002" t="s">
        <v>276</v>
      </c>
      <c r="F12136" s="1003"/>
      <c r="G12136" s="1004"/>
      <c r="H12136" s="901"/>
      <c r="I12136" s="902"/>
      <c r="J12136" s="902"/>
      <c r="K12136" s="912" t="s">
        <v>274</v>
      </c>
      <c r="L12136" s="902"/>
      <c r="M12136" s="902"/>
      <c r="N12136" s="902"/>
      <c r="O12136" s="892">
        <f t="shared" si="977"/>
        <v>0</v>
      </c>
      <c r="P12136" s="903">
        <f t="shared" si="974"/>
        <v>1</v>
      </c>
      <c r="Q12136" s="893">
        <f t="shared" si="975"/>
        <v>2</v>
      </c>
      <c r="R12136" s="894">
        <f t="shared" si="976"/>
        <v>0</v>
      </c>
    </row>
    <row r="12137" spans="1:18" s="904" customFormat="1">
      <c r="A12137" s="905"/>
      <c r="B12137" s="952"/>
      <c r="C12137" s="907">
        <v>740</v>
      </c>
      <c r="D12137" s="907" t="s">
        <v>12</v>
      </c>
      <c r="E12137" s="992" t="s">
        <v>4008</v>
      </c>
      <c r="F12137" s="905" t="s">
        <v>2674</v>
      </c>
      <c r="G12137" s="1005"/>
      <c r="H12137" s="911">
        <v>0.55000000000000004</v>
      </c>
      <c r="I12137" s="912"/>
      <c r="J12137" s="912"/>
      <c r="K12137" s="912">
        <f>VLOOKUP(E12137,[5]ĐMNC!$A$7:$F$67,4,0)</f>
        <v>221125</v>
      </c>
      <c r="L12137" s="912">
        <f>H12137*K12137</f>
        <v>121618.75000000001</v>
      </c>
      <c r="M12137" s="912"/>
      <c r="N12137" s="912"/>
      <c r="O12137" s="892">
        <f t="shared" si="977"/>
        <v>0</v>
      </c>
      <c r="P12137" s="903">
        <f t="shared" si="974"/>
        <v>1</v>
      </c>
      <c r="Q12137" s="893">
        <f t="shared" si="975"/>
        <v>1</v>
      </c>
      <c r="R12137" s="894">
        <f t="shared" si="976"/>
        <v>0</v>
      </c>
    </row>
    <row r="12138" spans="1:18">
      <c r="A12138" s="905">
        <v>643</v>
      </c>
      <c r="B12138" s="1018" t="s">
        <v>2419</v>
      </c>
      <c r="C12138" s="915"/>
      <c r="D12138" s="915"/>
      <c r="E12138" s="1006" t="s">
        <v>7090</v>
      </c>
      <c r="F12138" s="917" t="s">
        <v>139</v>
      </c>
      <c r="G12138" s="1008"/>
      <c r="H12138" s="919"/>
      <c r="I12138" s="920"/>
      <c r="J12138" s="891">
        <f>SUM(J12139:J12144)</f>
        <v>52765.5</v>
      </c>
      <c r="K12138" s="891"/>
      <c r="L12138" s="891">
        <f>SUM(L12139:L12144)</f>
        <v>92872.5</v>
      </c>
      <c r="M12138" s="891"/>
      <c r="N12138" s="891">
        <f>SUM(N12139:N12144)</f>
        <v>0</v>
      </c>
      <c r="O12138" s="892">
        <f t="shared" si="977"/>
        <v>1</v>
      </c>
      <c r="P12138" s="903">
        <f t="shared" si="974"/>
        <v>0</v>
      </c>
      <c r="Q12138" s="893">
        <f t="shared" si="975"/>
        <v>0</v>
      </c>
      <c r="R12138" s="894">
        <f t="shared" si="976"/>
        <v>6</v>
      </c>
    </row>
    <row r="12139" spans="1:18">
      <c r="A12139" s="895"/>
      <c r="B12139" s="896"/>
      <c r="C12139" s="897"/>
      <c r="D12139" s="897"/>
      <c r="E12139" s="1002" t="s">
        <v>108</v>
      </c>
      <c r="F12139" s="1003"/>
      <c r="G12139" s="1004"/>
      <c r="H12139" s="901"/>
      <c r="I12139" s="902"/>
      <c r="J12139" s="902"/>
      <c r="K12139" s="912" t="s">
        <v>274</v>
      </c>
      <c r="L12139" s="902"/>
      <c r="M12139" s="902"/>
      <c r="N12139" s="902"/>
      <c r="O12139" s="892">
        <f t="shared" si="977"/>
        <v>0</v>
      </c>
      <c r="P12139" s="903">
        <f t="shared" si="974"/>
        <v>1</v>
      </c>
      <c r="Q12139" s="893">
        <f t="shared" si="975"/>
        <v>6</v>
      </c>
      <c r="R12139" s="894">
        <f t="shared" si="976"/>
        <v>0</v>
      </c>
    </row>
    <row r="12140" spans="1:18" s="904" customFormat="1">
      <c r="A12140" s="905"/>
      <c r="B12140" s="952"/>
      <c r="C12140" s="907">
        <v>235</v>
      </c>
      <c r="D12140" s="907" t="s">
        <v>279</v>
      </c>
      <c r="E12140" s="992" t="s">
        <v>2682</v>
      </c>
      <c r="F12140" s="905" t="s">
        <v>45</v>
      </c>
      <c r="G12140" s="1005"/>
      <c r="H12140" s="911">
        <v>0.05</v>
      </c>
      <c r="I12140" s="912">
        <f>VLOOKUP(E12140,[3]VLP!$B$7:$K$300,10,0)</f>
        <v>5000</v>
      </c>
      <c r="J12140" s="912">
        <f>I12140*H12140</f>
        <v>250</v>
      </c>
      <c r="K12140" s="912" t="s">
        <v>274</v>
      </c>
      <c r="L12140" s="912"/>
      <c r="M12140" s="912"/>
      <c r="N12140" s="912"/>
      <c r="O12140" s="892">
        <f t="shared" si="977"/>
        <v>0</v>
      </c>
      <c r="P12140" s="903">
        <f t="shared" si="974"/>
        <v>1</v>
      </c>
      <c r="Q12140" s="893">
        <f t="shared" si="975"/>
        <v>5</v>
      </c>
      <c r="R12140" s="894">
        <f t="shared" si="976"/>
        <v>0</v>
      </c>
    </row>
    <row r="12141" spans="1:18">
      <c r="A12141" s="905"/>
      <c r="B12141" s="952"/>
      <c r="C12141" s="907">
        <v>318</v>
      </c>
      <c r="D12141" s="907" t="s">
        <v>279</v>
      </c>
      <c r="E12141" s="992" t="s">
        <v>5657</v>
      </c>
      <c r="F12141" s="905" t="s">
        <v>45</v>
      </c>
      <c r="G12141" s="1005"/>
      <c r="H12141" s="911">
        <v>0.1</v>
      </c>
      <c r="I12141" s="912">
        <f>VLOOKUP(E12141,[3]VLP!$B$7:$K$300,10,0)</f>
        <v>25155</v>
      </c>
      <c r="J12141" s="912">
        <f>I12141*H12141</f>
        <v>2515.5</v>
      </c>
      <c r="K12141" s="912" t="s">
        <v>274</v>
      </c>
      <c r="L12141" s="912"/>
      <c r="M12141" s="912"/>
      <c r="N12141" s="912"/>
      <c r="O12141" s="892">
        <f t="shared" si="977"/>
        <v>0</v>
      </c>
      <c r="P12141" s="903">
        <f t="shared" si="974"/>
        <v>1</v>
      </c>
      <c r="Q12141" s="893">
        <f t="shared" si="975"/>
        <v>4</v>
      </c>
      <c r="R12141" s="894">
        <f t="shared" si="976"/>
        <v>0</v>
      </c>
    </row>
    <row r="12142" spans="1:18" s="847" customFormat="1">
      <c r="A12142" s="905"/>
      <c r="B12142" s="952"/>
      <c r="C12142" s="907">
        <v>699</v>
      </c>
      <c r="D12142" s="907" t="s">
        <v>279</v>
      </c>
      <c r="E12142" s="992" t="s">
        <v>4006</v>
      </c>
      <c r="F12142" s="905" t="s">
        <v>4007</v>
      </c>
      <c r="G12142" s="1005"/>
      <c r="H12142" s="911">
        <v>10</v>
      </c>
      <c r="I12142" s="912">
        <f>VLOOKUP(E12142,[3]VLP!$B$7:$K$300,10,0)</f>
        <v>5000</v>
      </c>
      <c r="J12142" s="912">
        <f>I12142*H12142</f>
        <v>50000</v>
      </c>
      <c r="K12142" s="912" t="s">
        <v>274</v>
      </c>
      <c r="L12142" s="912"/>
      <c r="M12142" s="912"/>
      <c r="N12142" s="912"/>
      <c r="O12142" s="892">
        <f t="shared" si="977"/>
        <v>0</v>
      </c>
      <c r="P12142" s="903">
        <f t="shared" si="974"/>
        <v>1</v>
      </c>
      <c r="Q12142" s="893">
        <f t="shared" si="975"/>
        <v>3</v>
      </c>
      <c r="R12142" s="894">
        <f t="shared" si="976"/>
        <v>0</v>
      </c>
    </row>
    <row r="12143" spans="1:18" s="904" customFormat="1">
      <c r="A12143" s="895"/>
      <c r="B12143" s="896"/>
      <c r="C12143" s="897"/>
      <c r="D12143" s="897"/>
      <c r="E12143" s="1002" t="s">
        <v>276</v>
      </c>
      <c r="F12143" s="1003"/>
      <c r="G12143" s="1004"/>
      <c r="H12143" s="901"/>
      <c r="I12143" s="902"/>
      <c r="J12143" s="902"/>
      <c r="K12143" s="912" t="s">
        <v>274</v>
      </c>
      <c r="L12143" s="902"/>
      <c r="M12143" s="902"/>
      <c r="N12143" s="902"/>
      <c r="O12143" s="892">
        <f t="shared" si="977"/>
        <v>0</v>
      </c>
      <c r="P12143" s="903">
        <f t="shared" si="974"/>
        <v>1</v>
      </c>
      <c r="Q12143" s="893">
        <f t="shared" si="975"/>
        <v>2</v>
      </c>
      <c r="R12143" s="894">
        <f t="shared" si="976"/>
        <v>0</v>
      </c>
    </row>
    <row r="12144" spans="1:18">
      <c r="A12144" s="905"/>
      <c r="B12144" s="952"/>
      <c r="C12144" s="907">
        <v>740</v>
      </c>
      <c r="D12144" s="907" t="s">
        <v>12</v>
      </c>
      <c r="E12144" s="992" t="s">
        <v>4008</v>
      </c>
      <c r="F12144" s="905" t="s">
        <v>2674</v>
      </c>
      <c r="G12144" s="1005"/>
      <c r="H12144" s="911">
        <v>0.42</v>
      </c>
      <c r="I12144" s="912"/>
      <c r="J12144" s="912"/>
      <c r="K12144" s="912">
        <f>VLOOKUP(E12144,[5]ĐMNC!$A$7:$F$67,4,0)</f>
        <v>221125</v>
      </c>
      <c r="L12144" s="912">
        <f>H12144*K12144</f>
        <v>92872.5</v>
      </c>
      <c r="M12144" s="912"/>
      <c r="N12144" s="912"/>
      <c r="O12144" s="892">
        <f t="shared" si="977"/>
        <v>0</v>
      </c>
      <c r="P12144" s="903">
        <f t="shared" si="974"/>
        <v>1</v>
      </c>
      <c r="Q12144" s="893">
        <f t="shared" si="975"/>
        <v>1</v>
      </c>
      <c r="R12144" s="894">
        <f t="shared" si="976"/>
        <v>0</v>
      </c>
    </row>
    <row r="12145" spans="1:18">
      <c r="A12145" s="905">
        <v>644</v>
      </c>
      <c r="B12145" s="1018" t="s">
        <v>7091</v>
      </c>
      <c r="C12145" s="915"/>
      <c r="D12145" s="915"/>
      <c r="E12145" s="1006" t="s">
        <v>2424</v>
      </c>
      <c r="F12145" s="917" t="s">
        <v>139</v>
      </c>
      <c r="G12145" s="1008"/>
      <c r="H12145" s="919"/>
      <c r="I12145" s="920"/>
      <c r="J12145" s="891">
        <f>SUM(J12146:J12151)</f>
        <v>52765.5</v>
      </c>
      <c r="K12145" s="891"/>
      <c r="L12145" s="891">
        <f>SUM(L12146:L12151)</f>
        <v>121618.75000000001</v>
      </c>
      <c r="M12145" s="891"/>
      <c r="N12145" s="891">
        <f>SUM(N12146:N12151)</f>
        <v>0</v>
      </c>
      <c r="O12145" s="892">
        <f t="shared" si="977"/>
        <v>1</v>
      </c>
      <c r="P12145" s="903">
        <f t="shared" si="974"/>
        <v>0</v>
      </c>
      <c r="Q12145" s="893">
        <f t="shared" si="975"/>
        <v>0</v>
      </c>
      <c r="R12145" s="894">
        <f t="shared" si="976"/>
        <v>6</v>
      </c>
    </row>
    <row r="12146" spans="1:18" s="904" customFormat="1">
      <c r="A12146" s="895"/>
      <c r="B12146" s="896"/>
      <c r="C12146" s="897"/>
      <c r="D12146" s="897"/>
      <c r="E12146" s="1002" t="s">
        <v>108</v>
      </c>
      <c r="F12146" s="1003"/>
      <c r="G12146" s="1004"/>
      <c r="H12146" s="901"/>
      <c r="I12146" s="902"/>
      <c r="J12146" s="902"/>
      <c r="K12146" s="912" t="s">
        <v>274</v>
      </c>
      <c r="L12146" s="902"/>
      <c r="M12146" s="902"/>
      <c r="N12146" s="902"/>
      <c r="O12146" s="892">
        <f t="shared" si="977"/>
        <v>0</v>
      </c>
      <c r="P12146" s="903">
        <f t="shared" si="974"/>
        <v>1</v>
      </c>
      <c r="Q12146" s="893">
        <f t="shared" si="975"/>
        <v>6</v>
      </c>
      <c r="R12146" s="894">
        <f t="shared" si="976"/>
        <v>0</v>
      </c>
    </row>
    <row r="12147" spans="1:18">
      <c r="A12147" s="905"/>
      <c r="B12147" s="952"/>
      <c r="C12147" s="907">
        <v>235</v>
      </c>
      <c r="D12147" s="907" t="s">
        <v>279</v>
      </c>
      <c r="E12147" s="992" t="s">
        <v>2682</v>
      </c>
      <c r="F12147" s="905" t="s">
        <v>45</v>
      </c>
      <c r="G12147" s="1005"/>
      <c r="H12147" s="911">
        <v>0.05</v>
      </c>
      <c r="I12147" s="912">
        <f>VLOOKUP(E12147,[3]VLP!$B$7:$K$300,10,0)</f>
        <v>5000</v>
      </c>
      <c r="J12147" s="912">
        <f>I12147*H12147</f>
        <v>250</v>
      </c>
      <c r="K12147" s="912" t="s">
        <v>274</v>
      </c>
      <c r="L12147" s="912"/>
      <c r="M12147" s="912"/>
      <c r="N12147" s="912"/>
      <c r="O12147" s="892">
        <f t="shared" si="977"/>
        <v>0</v>
      </c>
      <c r="P12147" s="903">
        <f t="shared" ref="P12147:P12210" si="978">IF(O12147=0,1,0)</f>
        <v>1</v>
      </c>
      <c r="Q12147" s="893">
        <f t="shared" ref="Q12147:Q12210" si="979">IF(P12147=0,0,P12147+Q12148)</f>
        <v>5</v>
      </c>
      <c r="R12147" s="894">
        <f t="shared" ref="R12147:R12210" si="980">IF(Q12147=0,Q12148,0)</f>
        <v>0</v>
      </c>
    </row>
    <row r="12148" spans="1:18" s="847" customFormat="1">
      <c r="A12148" s="905"/>
      <c r="B12148" s="952"/>
      <c r="C12148" s="907">
        <v>318</v>
      </c>
      <c r="D12148" s="907" t="s">
        <v>279</v>
      </c>
      <c r="E12148" s="992" t="s">
        <v>5657</v>
      </c>
      <c r="F12148" s="905" t="s">
        <v>45</v>
      </c>
      <c r="G12148" s="1005"/>
      <c r="H12148" s="911">
        <v>0.1</v>
      </c>
      <c r="I12148" s="912">
        <f>VLOOKUP(E12148,[3]VLP!$B$7:$K$300,10,0)</f>
        <v>25155</v>
      </c>
      <c r="J12148" s="912">
        <f>I12148*H12148</f>
        <v>2515.5</v>
      </c>
      <c r="K12148" s="912" t="s">
        <v>274</v>
      </c>
      <c r="L12148" s="912"/>
      <c r="M12148" s="912"/>
      <c r="N12148" s="912"/>
      <c r="O12148" s="892">
        <f t="shared" si="977"/>
        <v>0</v>
      </c>
      <c r="P12148" s="903">
        <f t="shared" si="978"/>
        <v>1</v>
      </c>
      <c r="Q12148" s="893">
        <f t="shared" si="979"/>
        <v>4</v>
      </c>
      <c r="R12148" s="894">
        <f t="shared" si="980"/>
        <v>0</v>
      </c>
    </row>
    <row r="12149" spans="1:18" s="904" customFormat="1">
      <c r="A12149" s="905"/>
      <c r="B12149" s="952"/>
      <c r="C12149" s="907">
        <v>699</v>
      </c>
      <c r="D12149" s="907" t="s">
        <v>279</v>
      </c>
      <c r="E12149" s="992" t="s">
        <v>4006</v>
      </c>
      <c r="F12149" s="905" t="s">
        <v>4007</v>
      </c>
      <c r="G12149" s="1005"/>
      <c r="H12149" s="911">
        <v>10</v>
      </c>
      <c r="I12149" s="912">
        <f>VLOOKUP(E12149,[3]VLP!$B$7:$K$300,10,0)</f>
        <v>5000</v>
      </c>
      <c r="J12149" s="912">
        <f>I12149*H12149</f>
        <v>50000</v>
      </c>
      <c r="K12149" s="912" t="s">
        <v>274</v>
      </c>
      <c r="L12149" s="912"/>
      <c r="M12149" s="912"/>
      <c r="N12149" s="912"/>
      <c r="O12149" s="892">
        <f t="shared" si="977"/>
        <v>0</v>
      </c>
      <c r="P12149" s="903">
        <f t="shared" si="978"/>
        <v>1</v>
      </c>
      <c r="Q12149" s="893">
        <f t="shared" si="979"/>
        <v>3</v>
      </c>
      <c r="R12149" s="894">
        <f t="shared" si="980"/>
        <v>0</v>
      </c>
    </row>
    <row r="12150" spans="1:18">
      <c r="A12150" s="895"/>
      <c r="B12150" s="896"/>
      <c r="C12150" s="897"/>
      <c r="D12150" s="897"/>
      <c r="E12150" s="1002" t="s">
        <v>276</v>
      </c>
      <c r="F12150" s="1003"/>
      <c r="G12150" s="1004"/>
      <c r="H12150" s="901"/>
      <c r="I12150" s="902"/>
      <c r="J12150" s="902"/>
      <c r="K12150" s="912" t="s">
        <v>274</v>
      </c>
      <c r="L12150" s="902"/>
      <c r="M12150" s="902"/>
      <c r="N12150" s="902"/>
      <c r="O12150" s="892">
        <f t="shared" si="977"/>
        <v>0</v>
      </c>
      <c r="P12150" s="903">
        <f t="shared" si="978"/>
        <v>1</v>
      </c>
      <c r="Q12150" s="893">
        <f t="shared" si="979"/>
        <v>2</v>
      </c>
      <c r="R12150" s="894">
        <f t="shared" si="980"/>
        <v>0</v>
      </c>
    </row>
    <row r="12151" spans="1:18">
      <c r="A12151" s="905"/>
      <c r="B12151" s="952"/>
      <c r="C12151" s="907">
        <v>740</v>
      </c>
      <c r="D12151" s="907" t="s">
        <v>12</v>
      </c>
      <c r="E12151" s="992" t="s">
        <v>4008</v>
      </c>
      <c r="F12151" s="905" t="s">
        <v>2674</v>
      </c>
      <c r="G12151" s="1005"/>
      <c r="H12151" s="911">
        <v>0.55000000000000004</v>
      </c>
      <c r="I12151" s="912"/>
      <c r="J12151" s="912"/>
      <c r="K12151" s="912">
        <f>VLOOKUP(E12151,[5]ĐMNC!$A$7:$F$67,4,0)</f>
        <v>221125</v>
      </c>
      <c r="L12151" s="912">
        <f>H12151*K12151</f>
        <v>121618.75000000001</v>
      </c>
      <c r="M12151" s="912"/>
      <c r="N12151" s="912"/>
      <c r="O12151" s="892">
        <f t="shared" si="977"/>
        <v>0</v>
      </c>
      <c r="P12151" s="903">
        <f t="shared" si="978"/>
        <v>1</v>
      </c>
      <c r="Q12151" s="893">
        <f t="shared" si="979"/>
        <v>1</v>
      </c>
      <c r="R12151" s="894">
        <f t="shared" si="980"/>
        <v>0</v>
      </c>
    </row>
    <row r="12152" spans="1:18" s="904" customFormat="1">
      <c r="A12152" s="955" t="s">
        <v>7069</v>
      </c>
      <c r="B12152" s="1020" t="s">
        <v>7092</v>
      </c>
      <c r="C12152" s="956"/>
      <c r="D12152" s="956"/>
      <c r="E12152" s="1022" t="s">
        <v>2426</v>
      </c>
      <c r="F12152" s="958" t="s">
        <v>139</v>
      </c>
      <c r="G12152" s="1023"/>
      <c r="H12152" s="960"/>
      <c r="I12152" s="961"/>
      <c r="J12152" s="891">
        <f>SUM(J12153:J12158)</f>
        <v>52765.5</v>
      </c>
      <c r="K12152" s="891"/>
      <c r="L12152" s="891">
        <f>SUM(L12153:L12158)</f>
        <v>92872.5</v>
      </c>
      <c r="M12152" s="891"/>
      <c r="N12152" s="891">
        <f>SUM(N12153:N12158)</f>
        <v>0</v>
      </c>
      <c r="O12152" s="892">
        <f t="shared" si="977"/>
        <v>1</v>
      </c>
      <c r="P12152" s="903">
        <f t="shared" si="978"/>
        <v>0</v>
      </c>
      <c r="Q12152" s="893">
        <f t="shared" si="979"/>
        <v>0</v>
      </c>
      <c r="R12152" s="894">
        <f t="shared" si="980"/>
        <v>48</v>
      </c>
    </row>
    <row r="12153" spans="1:18">
      <c r="A12153" s="895"/>
      <c r="B12153" s="896"/>
      <c r="C12153" s="897"/>
      <c r="D12153" s="897"/>
      <c r="E12153" s="1002" t="s">
        <v>108</v>
      </c>
      <c r="F12153" s="1003"/>
      <c r="G12153" s="1004"/>
      <c r="H12153" s="901"/>
      <c r="I12153" s="902"/>
      <c r="J12153" s="902"/>
      <c r="K12153" s="912" t="s">
        <v>274</v>
      </c>
      <c r="L12153" s="902"/>
      <c r="M12153" s="902"/>
      <c r="N12153" s="902"/>
      <c r="O12153" s="892">
        <f t="shared" si="977"/>
        <v>0</v>
      </c>
      <c r="P12153" s="903">
        <f t="shared" si="978"/>
        <v>1</v>
      </c>
      <c r="Q12153" s="893">
        <f t="shared" si="979"/>
        <v>48</v>
      </c>
      <c r="R12153" s="894">
        <f t="shared" si="980"/>
        <v>0</v>
      </c>
    </row>
    <row r="12154" spans="1:18" s="847" customFormat="1">
      <c r="A12154" s="905"/>
      <c r="B12154" s="952"/>
      <c r="C12154" s="907">
        <v>235</v>
      </c>
      <c r="D12154" s="907" t="s">
        <v>279</v>
      </c>
      <c r="E12154" s="992" t="s">
        <v>2682</v>
      </c>
      <c r="F12154" s="905" t="s">
        <v>45</v>
      </c>
      <c r="G12154" s="1005"/>
      <c r="H12154" s="911">
        <v>0.05</v>
      </c>
      <c r="I12154" s="912">
        <f>VLOOKUP(E12154,[3]VLP!$B$7:$K$300,10,0)</f>
        <v>5000</v>
      </c>
      <c r="J12154" s="912">
        <f>I12154*H12154</f>
        <v>250</v>
      </c>
      <c r="K12154" s="912" t="s">
        <v>274</v>
      </c>
      <c r="L12154" s="912"/>
      <c r="M12154" s="912"/>
      <c r="N12154" s="912"/>
      <c r="O12154" s="892">
        <f t="shared" si="977"/>
        <v>0</v>
      </c>
      <c r="P12154" s="903">
        <f t="shared" si="978"/>
        <v>1</v>
      </c>
      <c r="Q12154" s="893">
        <f t="shared" si="979"/>
        <v>47</v>
      </c>
      <c r="R12154" s="894">
        <f t="shared" si="980"/>
        <v>0</v>
      </c>
    </row>
    <row r="12155" spans="1:18" s="904" customFormat="1">
      <c r="A12155" s="905"/>
      <c r="B12155" s="952"/>
      <c r="C12155" s="907">
        <v>318</v>
      </c>
      <c r="D12155" s="907" t="s">
        <v>279</v>
      </c>
      <c r="E12155" s="992" t="s">
        <v>5657</v>
      </c>
      <c r="F12155" s="905" t="s">
        <v>45</v>
      </c>
      <c r="G12155" s="1005"/>
      <c r="H12155" s="911">
        <v>0.1</v>
      </c>
      <c r="I12155" s="912">
        <f>VLOOKUP(E12155,[3]VLP!$B$7:$K$300,10,0)</f>
        <v>25155</v>
      </c>
      <c r="J12155" s="912">
        <f>I12155*H12155</f>
        <v>2515.5</v>
      </c>
      <c r="K12155" s="912" t="s">
        <v>274</v>
      </c>
      <c r="L12155" s="912"/>
      <c r="M12155" s="912"/>
      <c r="N12155" s="912"/>
      <c r="O12155" s="892">
        <f t="shared" si="977"/>
        <v>0</v>
      </c>
      <c r="P12155" s="903">
        <f t="shared" si="978"/>
        <v>1</v>
      </c>
      <c r="Q12155" s="893">
        <f t="shared" si="979"/>
        <v>46</v>
      </c>
      <c r="R12155" s="894">
        <f t="shared" si="980"/>
        <v>0</v>
      </c>
    </row>
    <row r="12156" spans="1:18">
      <c r="A12156" s="905"/>
      <c r="B12156" s="952"/>
      <c r="C12156" s="907">
        <v>699</v>
      </c>
      <c r="D12156" s="907" t="s">
        <v>279</v>
      </c>
      <c r="E12156" s="992" t="s">
        <v>4006</v>
      </c>
      <c r="F12156" s="905" t="s">
        <v>4007</v>
      </c>
      <c r="G12156" s="1005"/>
      <c r="H12156" s="911">
        <v>10</v>
      </c>
      <c r="I12156" s="912">
        <f>VLOOKUP(E12156,[3]VLP!$B$7:$K$300,10,0)</f>
        <v>5000</v>
      </c>
      <c r="J12156" s="912">
        <f>I12156*H12156</f>
        <v>50000</v>
      </c>
      <c r="K12156" s="912" t="s">
        <v>274</v>
      </c>
      <c r="L12156" s="912"/>
      <c r="M12156" s="912"/>
      <c r="N12156" s="912"/>
      <c r="O12156" s="892">
        <f t="shared" si="977"/>
        <v>0</v>
      </c>
      <c r="P12156" s="903">
        <f t="shared" si="978"/>
        <v>1</v>
      </c>
      <c r="Q12156" s="893">
        <f t="shared" si="979"/>
        <v>45</v>
      </c>
      <c r="R12156" s="894">
        <f t="shared" si="980"/>
        <v>0</v>
      </c>
    </row>
    <row r="12157" spans="1:18">
      <c r="A12157" s="895"/>
      <c r="B12157" s="896"/>
      <c r="C12157" s="897"/>
      <c r="D12157" s="897"/>
      <c r="E12157" s="1002" t="s">
        <v>276</v>
      </c>
      <c r="F12157" s="1003"/>
      <c r="G12157" s="1004"/>
      <c r="H12157" s="901"/>
      <c r="I12157" s="902"/>
      <c r="J12157" s="902"/>
      <c r="K12157" s="912" t="s">
        <v>274</v>
      </c>
      <c r="L12157" s="902"/>
      <c r="M12157" s="902"/>
      <c r="N12157" s="902"/>
      <c r="O12157" s="892">
        <f t="shared" si="977"/>
        <v>0</v>
      </c>
      <c r="P12157" s="903">
        <f t="shared" si="978"/>
        <v>1</v>
      </c>
      <c r="Q12157" s="893">
        <f t="shared" si="979"/>
        <v>44</v>
      </c>
      <c r="R12157" s="894">
        <f t="shared" si="980"/>
        <v>0</v>
      </c>
    </row>
    <row r="12158" spans="1:18" s="904" customFormat="1">
      <c r="A12158" s="905"/>
      <c r="B12158" s="952"/>
      <c r="C12158" s="907">
        <v>740</v>
      </c>
      <c r="D12158" s="907" t="s">
        <v>12</v>
      </c>
      <c r="E12158" s="992" t="s">
        <v>4008</v>
      </c>
      <c r="F12158" s="905" t="s">
        <v>2674</v>
      </c>
      <c r="G12158" s="1005"/>
      <c r="H12158" s="911">
        <v>0.42</v>
      </c>
      <c r="I12158" s="912"/>
      <c r="J12158" s="912"/>
      <c r="K12158" s="912">
        <f>VLOOKUP(E12158,[5]ĐMNC!$A$7:$F$67,4,0)</f>
        <v>221125</v>
      </c>
      <c r="L12158" s="912">
        <f>H12158*K12158</f>
        <v>92872.5</v>
      </c>
      <c r="M12158" s="912"/>
      <c r="N12158" s="912"/>
      <c r="O12158" s="892">
        <f t="shared" si="977"/>
        <v>0</v>
      </c>
      <c r="P12158" s="903">
        <f t="shared" si="978"/>
        <v>1</v>
      </c>
      <c r="Q12158" s="893">
        <f t="shared" si="979"/>
        <v>43</v>
      </c>
      <c r="R12158" s="894">
        <f t="shared" si="980"/>
        <v>0</v>
      </c>
    </row>
    <row r="12159" spans="1:18" ht="31.5">
      <c r="A12159" s="905" t="s">
        <v>7093</v>
      </c>
      <c r="B12159" s="1018"/>
      <c r="C12159" s="915"/>
      <c r="D12159" s="915"/>
      <c r="E12159" s="1006" t="s">
        <v>7094</v>
      </c>
      <c r="F12159" s="917" t="s">
        <v>49</v>
      </c>
      <c r="G12159" s="1008"/>
      <c r="H12159" s="919"/>
      <c r="I12159" s="920"/>
      <c r="J12159" s="891">
        <f>SUM(J12160:J12165)</f>
        <v>57250</v>
      </c>
      <c r="K12159" s="891"/>
      <c r="L12159" s="891">
        <f>SUM(L12160:L12165)</f>
        <v>6633.75</v>
      </c>
      <c r="M12159" s="891"/>
      <c r="N12159" s="891">
        <f>SUM(N12160:N12165)</f>
        <v>0</v>
      </c>
      <c r="O12159" s="892">
        <f t="shared" si="977"/>
        <v>0</v>
      </c>
      <c r="P12159" s="903">
        <f t="shared" si="978"/>
        <v>1</v>
      </c>
      <c r="Q12159" s="893">
        <f t="shared" si="979"/>
        <v>42</v>
      </c>
      <c r="R12159" s="894">
        <f t="shared" si="980"/>
        <v>0</v>
      </c>
    </row>
    <row r="12160" spans="1:18" s="847" customFormat="1">
      <c r="A12160" s="895"/>
      <c r="B12160" s="896"/>
      <c r="C12160" s="897"/>
      <c r="D12160" s="897"/>
      <c r="E12160" s="1002" t="s">
        <v>108</v>
      </c>
      <c r="F12160" s="1003"/>
      <c r="G12160" s="1004"/>
      <c r="H12160" s="901"/>
      <c r="I12160" s="902"/>
      <c r="J12160" s="902"/>
      <c r="K12160" s="912" t="s">
        <v>274</v>
      </c>
      <c r="L12160" s="902"/>
      <c r="M12160" s="902"/>
      <c r="N12160" s="902"/>
      <c r="O12160" s="892">
        <f t="shared" si="977"/>
        <v>0</v>
      </c>
      <c r="P12160" s="903">
        <f t="shared" si="978"/>
        <v>1</v>
      </c>
      <c r="Q12160" s="893">
        <f t="shared" si="979"/>
        <v>41</v>
      </c>
      <c r="R12160" s="894">
        <f t="shared" si="980"/>
        <v>0</v>
      </c>
    </row>
    <row r="12161" spans="1:18" s="904" customFormat="1">
      <c r="A12161" s="905"/>
      <c r="B12161" s="952"/>
      <c r="C12161" s="907">
        <v>235</v>
      </c>
      <c r="D12161" s="907" t="s">
        <v>279</v>
      </c>
      <c r="E12161" s="992" t="s">
        <v>2682</v>
      </c>
      <c r="F12161" s="905" t="s">
        <v>45</v>
      </c>
      <c r="G12161" s="1005"/>
      <c r="H12161" s="911">
        <v>0.05</v>
      </c>
      <c r="I12161" s="912">
        <f>VLOOKUP(E12161,[3]VLP!$B$7:$K$300,10,0)</f>
        <v>5000</v>
      </c>
      <c r="J12161" s="912">
        <f>I12161*H12161</f>
        <v>250</v>
      </c>
      <c r="K12161" s="912" t="s">
        <v>274</v>
      </c>
      <c r="L12161" s="912"/>
      <c r="M12161" s="912"/>
      <c r="N12161" s="912"/>
      <c r="O12161" s="892">
        <f t="shared" si="977"/>
        <v>0</v>
      </c>
      <c r="P12161" s="903">
        <f t="shared" si="978"/>
        <v>1</v>
      </c>
      <c r="Q12161" s="893">
        <f t="shared" si="979"/>
        <v>40</v>
      </c>
      <c r="R12161" s="894">
        <f t="shared" si="980"/>
        <v>0</v>
      </c>
    </row>
    <row r="12162" spans="1:18">
      <c r="A12162" s="905"/>
      <c r="B12162" s="952"/>
      <c r="C12162" s="907">
        <v>234</v>
      </c>
      <c r="D12162" s="907" t="s">
        <v>279</v>
      </c>
      <c r="E12162" s="992" t="s">
        <v>5983</v>
      </c>
      <c r="F12162" s="905" t="s">
        <v>3144</v>
      </c>
      <c r="G12162" s="1005"/>
      <c r="H12162" s="911">
        <v>0.5</v>
      </c>
      <c r="I12162" s="912">
        <f>VLOOKUP(E12162,[3]VLP!$B$7:$K$300,10,0)</f>
        <v>14000</v>
      </c>
      <c r="J12162" s="912">
        <f>I12162*H12162</f>
        <v>7000</v>
      </c>
      <c r="K12162" s="912" t="s">
        <v>274</v>
      </c>
      <c r="L12162" s="912"/>
      <c r="M12162" s="912"/>
      <c r="N12162" s="912"/>
      <c r="O12162" s="892">
        <f t="shared" si="977"/>
        <v>0</v>
      </c>
      <c r="P12162" s="903">
        <f t="shared" si="978"/>
        <v>1</v>
      </c>
      <c r="Q12162" s="893">
        <f t="shared" si="979"/>
        <v>39</v>
      </c>
      <c r="R12162" s="894">
        <f t="shared" si="980"/>
        <v>0</v>
      </c>
    </row>
    <row r="12163" spans="1:18">
      <c r="A12163" s="905"/>
      <c r="B12163" s="952"/>
      <c r="C12163" s="907">
        <v>699</v>
      </c>
      <c r="D12163" s="907" t="s">
        <v>279</v>
      </c>
      <c r="E12163" s="992" t="s">
        <v>4006</v>
      </c>
      <c r="F12163" s="905" t="s">
        <v>4007</v>
      </c>
      <c r="G12163" s="1005"/>
      <c r="H12163" s="911">
        <v>10</v>
      </c>
      <c r="I12163" s="912">
        <f>VLOOKUP(E12163,[3]VLP!$B$7:$K$300,10,0)</f>
        <v>5000</v>
      </c>
      <c r="J12163" s="912">
        <f>I12163*H12163</f>
        <v>50000</v>
      </c>
      <c r="K12163" s="912" t="s">
        <v>274</v>
      </c>
      <c r="L12163" s="912"/>
      <c r="M12163" s="912"/>
      <c r="N12163" s="912"/>
      <c r="O12163" s="892">
        <f t="shared" si="977"/>
        <v>0</v>
      </c>
      <c r="P12163" s="903">
        <f t="shared" si="978"/>
        <v>1</v>
      </c>
      <c r="Q12163" s="893">
        <f t="shared" si="979"/>
        <v>38</v>
      </c>
      <c r="R12163" s="894">
        <f t="shared" si="980"/>
        <v>0</v>
      </c>
    </row>
    <row r="12164" spans="1:18" s="904" customFormat="1">
      <c r="A12164" s="895"/>
      <c r="B12164" s="896"/>
      <c r="C12164" s="897"/>
      <c r="D12164" s="897"/>
      <c r="E12164" s="1002" t="s">
        <v>276</v>
      </c>
      <c r="F12164" s="1003"/>
      <c r="G12164" s="1004"/>
      <c r="H12164" s="901"/>
      <c r="I12164" s="902"/>
      <c r="J12164" s="902"/>
      <c r="K12164" s="912" t="s">
        <v>274</v>
      </c>
      <c r="L12164" s="902"/>
      <c r="M12164" s="902"/>
      <c r="N12164" s="902"/>
      <c r="O12164" s="892">
        <f t="shared" si="977"/>
        <v>0</v>
      </c>
      <c r="P12164" s="903">
        <f t="shared" si="978"/>
        <v>1</v>
      </c>
      <c r="Q12164" s="893">
        <f t="shared" si="979"/>
        <v>37</v>
      </c>
      <c r="R12164" s="894">
        <f t="shared" si="980"/>
        <v>0</v>
      </c>
    </row>
    <row r="12165" spans="1:18">
      <c r="A12165" s="905"/>
      <c r="B12165" s="952"/>
      <c r="C12165" s="907">
        <v>740</v>
      </c>
      <c r="D12165" s="907" t="s">
        <v>12</v>
      </c>
      <c r="E12165" s="992" t="s">
        <v>4008</v>
      </c>
      <c r="F12165" s="905" t="s">
        <v>2674</v>
      </c>
      <c r="G12165" s="1005"/>
      <c r="H12165" s="911">
        <v>0.03</v>
      </c>
      <c r="I12165" s="912"/>
      <c r="J12165" s="912"/>
      <c r="K12165" s="912">
        <f>VLOOKUP(E12165,[5]ĐMNC!$A$7:$F$67,4,0)</f>
        <v>221125</v>
      </c>
      <c r="L12165" s="912">
        <f>H12165*K12165</f>
        <v>6633.75</v>
      </c>
      <c r="M12165" s="912"/>
      <c r="N12165" s="912"/>
      <c r="O12165" s="892">
        <f t="shared" si="977"/>
        <v>0</v>
      </c>
      <c r="P12165" s="903">
        <f t="shared" si="978"/>
        <v>1</v>
      </c>
      <c r="Q12165" s="893">
        <f t="shared" si="979"/>
        <v>36</v>
      </c>
      <c r="R12165" s="894">
        <f t="shared" si="980"/>
        <v>0</v>
      </c>
    </row>
    <row r="12166" spans="1:18" s="847" customFormat="1" ht="31.5">
      <c r="A12166" s="905">
        <v>647</v>
      </c>
      <c r="B12166" s="1018"/>
      <c r="C12166" s="915"/>
      <c r="D12166" s="915"/>
      <c r="E12166" s="1006" t="s">
        <v>7095</v>
      </c>
      <c r="F12166" s="917" t="s">
        <v>49</v>
      </c>
      <c r="G12166" s="1008"/>
      <c r="H12166" s="919"/>
      <c r="I12166" s="920"/>
      <c r="J12166" s="891">
        <f>SUM(J12167:J12172)</f>
        <v>57250</v>
      </c>
      <c r="K12166" s="891"/>
      <c r="L12166" s="891">
        <f>SUM(L12167:L12172)</f>
        <v>17690</v>
      </c>
      <c r="M12166" s="891"/>
      <c r="N12166" s="891">
        <f>SUM(N12167:N12172)</f>
        <v>0</v>
      </c>
      <c r="O12166" s="892">
        <f t="shared" si="977"/>
        <v>0</v>
      </c>
      <c r="P12166" s="903">
        <f t="shared" si="978"/>
        <v>1</v>
      </c>
      <c r="Q12166" s="893">
        <f t="shared" si="979"/>
        <v>35</v>
      </c>
      <c r="R12166" s="894">
        <f t="shared" si="980"/>
        <v>0</v>
      </c>
    </row>
    <row r="12167" spans="1:18" s="904" customFormat="1">
      <c r="A12167" s="895"/>
      <c r="B12167" s="896"/>
      <c r="C12167" s="897"/>
      <c r="D12167" s="897"/>
      <c r="E12167" s="1002" t="s">
        <v>108</v>
      </c>
      <c r="F12167" s="1003"/>
      <c r="G12167" s="1004"/>
      <c r="H12167" s="901"/>
      <c r="I12167" s="902"/>
      <c r="J12167" s="902"/>
      <c r="K12167" s="912" t="s">
        <v>274</v>
      </c>
      <c r="L12167" s="902"/>
      <c r="M12167" s="902"/>
      <c r="N12167" s="902"/>
      <c r="O12167" s="892">
        <f t="shared" si="977"/>
        <v>0</v>
      </c>
      <c r="P12167" s="903">
        <f t="shared" si="978"/>
        <v>1</v>
      </c>
      <c r="Q12167" s="893">
        <f t="shared" si="979"/>
        <v>34</v>
      </c>
      <c r="R12167" s="894">
        <f t="shared" si="980"/>
        <v>0</v>
      </c>
    </row>
    <row r="12168" spans="1:18">
      <c r="A12168" s="905"/>
      <c r="B12168" s="952"/>
      <c r="C12168" s="907">
        <v>235</v>
      </c>
      <c r="D12168" s="907" t="s">
        <v>279</v>
      </c>
      <c r="E12168" s="992" t="s">
        <v>2682</v>
      </c>
      <c r="F12168" s="905" t="s">
        <v>45</v>
      </c>
      <c r="G12168" s="1005"/>
      <c r="H12168" s="911">
        <v>0.05</v>
      </c>
      <c r="I12168" s="912">
        <f>VLOOKUP(E12168,[3]VLP!$B$7:$K$300,10,0)</f>
        <v>5000</v>
      </c>
      <c r="J12168" s="912">
        <f>I12168*H12168</f>
        <v>250</v>
      </c>
      <c r="K12168" s="912" t="s">
        <v>274</v>
      </c>
      <c r="L12168" s="912"/>
      <c r="M12168" s="912"/>
      <c r="N12168" s="912"/>
      <c r="O12168" s="892">
        <f t="shared" si="977"/>
        <v>0</v>
      </c>
      <c r="P12168" s="903">
        <f t="shared" si="978"/>
        <v>1</v>
      </c>
      <c r="Q12168" s="893">
        <f t="shared" si="979"/>
        <v>33</v>
      </c>
      <c r="R12168" s="894">
        <f t="shared" si="980"/>
        <v>0</v>
      </c>
    </row>
    <row r="12169" spans="1:18">
      <c r="A12169" s="905"/>
      <c r="B12169" s="952"/>
      <c r="C12169" s="907">
        <v>234</v>
      </c>
      <c r="D12169" s="907" t="s">
        <v>279</v>
      </c>
      <c r="E12169" s="992" t="s">
        <v>5983</v>
      </c>
      <c r="F12169" s="905" t="s">
        <v>3144</v>
      </c>
      <c r="G12169" s="1005"/>
      <c r="H12169" s="911">
        <v>0.5</v>
      </c>
      <c r="I12169" s="912">
        <f>VLOOKUP(E12169,[3]VLP!$B$7:$K$300,10,0)</f>
        <v>14000</v>
      </c>
      <c r="J12169" s="912">
        <f>I12169*H12169</f>
        <v>7000</v>
      </c>
      <c r="K12169" s="912" t="s">
        <v>274</v>
      </c>
      <c r="L12169" s="912"/>
      <c r="M12169" s="912"/>
      <c r="N12169" s="912"/>
      <c r="O12169" s="892">
        <f t="shared" si="977"/>
        <v>0</v>
      </c>
      <c r="P12169" s="903">
        <f t="shared" si="978"/>
        <v>1</v>
      </c>
      <c r="Q12169" s="893">
        <f t="shared" si="979"/>
        <v>32</v>
      </c>
      <c r="R12169" s="894">
        <f t="shared" si="980"/>
        <v>0</v>
      </c>
    </row>
    <row r="12170" spans="1:18" s="904" customFormat="1">
      <c r="A12170" s="905"/>
      <c r="B12170" s="952"/>
      <c r="C12170" s="907">
        <v>699</v>
      </c>
      <c r="D12170" s="907" t="s">
        <v>279</v>
      </c>
      <c r="E12170" s="992" t="s">
        <v>4006</v>
      </c>
      <c r="F12170" s="905" t="s">
        <v>4007</v>
      </c>
      <c r="G12170" s="1005"/>
      <c r="H12170" s="911">
        <v>10</v>
      </c>
      <c r="I12170" s="912">
        <f>VLOOKUP(E12170,[3]VLP!$B$7:$K$300,10,0)</f>
        <v>5000</v>
      </c>
      <c r="J12170" s="912">
        <f>I12170*H12170</f>
        <v>50000</v>
      </c>
      <c r="K12170" s="912" t="s">
        <v>274</v>
      </c>
      <c r="L12170" s="912"/>
      <c r="M12170" s="912"/>
      <c r="N12170" s="912"/>
      <c r="O12170" s="892">
        <f t="shared" si="977"/>
        <v>0</v>
      </c>
      <c r="P12170" s="903">
        <f t="shared" si="978"/>
        <v>1</v>
      </c>
      <c r="Q12170" s="893">
        <f t="shared" si="979"/>
        <v>31</v>
      </c>
      <c r="R12170" s="894">
        <f t="shared" si="980"/>
        <v>0</v>
      </c>
    </row>
    <row r="12171" spans="1:18">
      <c r="A12171" s="895"/>
      <c r="B12171" s="896"/>
      <c r="C12171" s="897"/>
      <c r="D12171" s="897"/>
      <c r="E12171" s="1002" t="s">
        <v>276</v>
      </c>
      <c r="F12171" s="1003"/>
      <c r="G12171" s="1004"/>
      <c r="H12171" s="901"/>
      <c r="I12171" s="902"/>
      <c r="J12171" s="902"/>
      <c r="K12171" s="912" t="s">
        <v>274</v>
      </c>
      <c r="L12171" s="902"/>
      <c r="M12171" s="902"/>
      <c r="N12171" s="902"/>
      <c r="O12171" s="892">
        <f t="shared" si="977"/>
        <v>0</v>
      </c>
      <c r="P12171" s="903">
        <f t="shared" si="978"/>
        <v>1</v>
      </c>
      <c r="Q12171" s="893">
        <f t="shared" si="979"/>
        <v>30</v>
      </c>
      <c r="R12171" s="894">
        <f t="shared" si="980"/>
        <v>0</v>
      </c>
    </row>
    <row r="12172" spans="1:18" s="847" customFormat="1">
      <c r="A12172" s="905"/>
      <c r="B12172" s="952"/>
      <c r="C12172" s="907">
        <v>740</v>
      </c>
      <c r="D12172" s="907" t="s">
        <v>12</v>
      </c>
      <c r="E12172" s="992" t="s">
        <v>4008</v>
      </c>
      <c r="F12172" s="905" t="s">
        <v>2674</v>
      </c>
      <c r="G12172" s="1005"/>
      <c r="H12172" s="911">
        <v>0.08</v>
      </c>
      <c r="I12172" s="912"/>
      <c r="J12172" s="912"/>
      <c r="K12172" s="912">
        <f>VLOOKUP(E12172,[5]ĐMNC!$A$7:$F$67,4,0)</f>
        <v>221125</v>
      </c>
      <c r="L12172" s="912">
        <f>H12172*K12172</f>
        <v>17690</v>
      </c>
      <c r="M12172" s="912"/>
      <c r="N12172" s="912"/>
      <c r="O12172" s="892">
        <f t="shared" si="977"/>
        <v>0</v>
      </c>
      <c r="P12172" s="903">
        <f t="shared" si="978"/>
        <v>1</v>
      </c>
      <c r="Q12172" s="893">
        <f t="shared" si="979"/>
        <v>29</v>
      </c>
      <c r="R12172" s="894">
        <f t="shared" si="980"/>
        <v>0</v>
      </c>
    </row>
    <row r="12173" spans="1:18" s="904" customFormat="1" ht="31.5">
      <c r="A12173" s="905">
        <v>648</v>
      </c>
      <c r="B12173" s="1018"/>
      <c r="C12173" s="915"/>
      <c r="D12173" s="915"/>
      <c r="E12173" s="1006" t="s">
        <v>7096</v>
      </c>
      <c r="F12173" s="917" t="s">
        <v>49</v>
      </c>
      <c r="G12173" s="1008"/>
      <c r="H12173" s="919"/>
      <c r="I12173" s="920"/>
      <c r="J12173" s="891">
        <f>SUM(J12174:J12179)</f>
        <v>57400</v>
      </c>
      <c r="K12173" s="891"/>
      <c r="L12173" s="891">
        <f>SUM(L12174:L12179)</f>
        <v>28746.25</v>
      </c>
      <c r="M12173" s="891"/>
      <c r="N12173" s="891">
        <f>SUM(N12174:N12179)</f>
        <v>0</v>
      </c>
      <c r="O12173" s="892">
        <f t="shared" si="977"/>
        <v>0</v>
      </c>
      <c r="P12173" s="903">
        <f t="shared" si="978"/>
        <v>1</v>
      </c>
      <c r="Q12173" s="893">
        <f t="shared" si="979"/>
        <v>28</v>
      </c>
      <c r="R12173" s="894">
        <f t="shared" si="980"/>
        <v>0</v>
      </c>
    </row>
    <row r="12174" spans="1:18">
      <c r="A12174" s="895"/>
      <c r="B12174" s="896"/>
      <c r="C12174" s="897"/>
      <c r="D12174" s="897"/>
      <c r="E12174" s="1002" t="s">
        <v>108</v>
      </c>
      <c r="F12174" s="1003"/>
      <c r="G12174" s="1004"/>
      <c r="H12174" s="901"/>
      <c r="I12174" s="902"/>
      <c r="J12174" s="902"/>
      <c r="K12174" s="912" t="s">
        <v>274</v>
      </c>
      <c r="L12174" s="902"/>
      <c r="M12174" s="902"/>
      <c r="N12174" s="902"/>
      <c r="O12174" s="892">
        <f t="shared" si="977"/>
        <v>0</v>
      </c>
      <c r="P12174" s="903">
        <f t="shared" si="978"/>
        <v>1</v>
      </c>
      <c r="Q12174" s="893">
        <f t="shared" si="979"/>
        <v>27</v>
      </c>
      <c r="R12174" s="894">
        <f t="shared" si="980"/>
        <v>0</v>
      </c>
    </row>
    <row r="12175" spans="1:18">
      <c r="A12175" s="905"/>
      <c r="B12175" s="952"/>
      <c r="C12175" s="907">
        <v>235</v>
      </c>
      <c r="D12175" s="907" t="s">
        <v>279</v>
      </c>
      <c r="E12175" s="992" t="s">
        <v>2682</v>
      </c>
      <c r="F12175" s="905" t="s">
        <v>45</v>
      </c>
      <c r="G12175" s="1005"/>
      <c r="H12175" s="911">
        <v>0.08</v>
      </c>
      <c r="I12175" s="912">
        <f>VLOOKUP(E12175,[3]VLP!$B$7:$K$300,10,0)</f>
        <v>5000</v>
      </c>
      <c r="J12175" s="912">
        <f>I12175*H12175</f>
        <v>400</v>
      </c>
      <c r="K12175" s="912" t="s">
        <v>274</v>
      </c>
      <c r="L12175" s="912"/>
      <c r="M12175" s="912"/>
      <c r="N12175" s="912"/>
      <c r="O12175" s="892">
        <f t="shared" si="977"/>
        <v>0</v>
      </c>
      <c r="P12175" s="903">
        <f t="shared" si="978"/>
        <v>1</v>
      </c>
      <c r="Q12175" s="893">
        <f t="shared" si="979"/>
        <v>26</v>
      </c>
      <c r="R12175" s="894">
        <f t="shared" si="980"/>
        <v>0</v>
      </c>
    </row>
    <row r="12176" spans="1:18" s="904" customFormat="1">
      <c r="A12176" s="905"/>
      <c r="B12176" s="952"/>
      <c r="C12176" s="907">
        <v>234</v>
      </c>
      <c r="D12176" s="907" t="s">
        <v>279</v>
      </c>
      <c r="E12176" s="992" t="s">
        <v>5983</v>
      </c>
      <c r="F12176" s="905" t="s">
        <v>3144</v>
      </c>
      <c r="G12176" s="1005"/>
      <c r="H12176" s="911">
        <v>0.5</v>
      </c>
      <c r="I12176" s="912">
        <f>VLOOKUP(E12176,[3]VLP!$B$7:$K$300,10,0)</f>
        <v>14000</v>
      </c>
      <c r="J12176" s="912">
        <f>I12176*H12176</f>
        <v>7000</v>
      </c>
      <c r="K12176" s="912" t="s">
        <v>274</v>
      </c>
      <c r="L12176" s="912"/>
      <c r="M12176" s="912"/>
      <c r="N12176" s="912"/>
      <c r="O12176" s="892">
        <f t="shared" si="977"/>
        <v>0</v>
      </c>
      <c r="P12176" s="903">
        <f t="shared" si="978"/>
        <v>1</v>
      </c>
      <c r="Q12176" s="893">
        <f t="shared" si="979"/>
        <v>25</v>
      </c>
      <c r="R12176" s="894">
        <f t="shared" si="980"/>
        <v>0</v>
      </c>
    </row>
    <row r="12177" spans="1:18">
      <c r="A12177" s="905"/>
      <c r="B12177" s="952"/>
      <c r="C12177" s="907">
        <v>699</v>
      </c>
      <c r="D12177" s="907" t="s">
        <v>279</v>
      </c>
      <c r="E12177" s="992" t="s">
        <v>4006</v>
      </c>
      <c r="F12177" s="905" t="s">
        <v>4007</v>
      </c>
      <c r="G12177" s="1005"/>
      <c r="H12177" s="911">
        <v>10</v>
      </c>
      <c r="I12177" s="912">
        <f>VLOOKUP(E12177,[3]VLP!$B$7:$K$300,10,0)</f>
        <v>5000</v>
      </c>
      <c r="J12177" s="912">
        <f>I12177*H12177</f>
        <v>50000</v>
      </c>
      <c r="K12177" s="912" t="s">
        <v>274</v>
      </c>
      <c r="L12177" s="912"/>
      <c r="M12177" s="912"/>
      <c r="N12177" s="912"/>
      <c r="O12177" s="892">
        <f t="shared" si="977"/>
        <v>0</v>
      </c>
      <c r="P12177" s="903">
        <f t="shared" si="978"/>
        <v>1</v>
      </c>
      <c r="Q12177" s="893">
        <f t="shared" si="979"/>
        <v>24</v>
      </c>
      <c r="R12177" s="894">
        <f t="shared" si="980"/>
        <v>0</v>
      </c>
    </row>
    <row r="12178" spans="1:18" s="847" customFormat="1">
      <c r="A12178" s="895"/>
      <c r="B12178" s="896"/>
      <c r="C12178" s="897"/>
      <c r="D12178" s="897"/>
      <c r="E12178" s="1002" t="s">
        <v>276</v>
      </c>
      <c r="F12178" s="1003"/>
      <c r="G12178" s="1004"/>
      <c r="H12178" s="901"/>
      <c r="I12178" s="902"/>
      <c r="J12178" s="902"/>
      <c r="K12178" s="912" t="s">
        <v>274</v>
      </c>
      <c r="L12178" s="902"/>
      <c r="M12178" s="902"/>
      <c r="N12178" s="902"/>
      <c r="O12178" s="892">
        <f t="shared" si="977"/>
        <v>0</v>
      </c>
      <c r="P12178" s="903">
        <f t="shared" si="978"/>
        <v>1</v>
      </c>
      <c r="Q12178" s="893">
        <f t="shared" si="979"/>
        <v>23</v>
      </c>
      <c r="R12178" s="894">
        <f t="shared" si="980"/>
        <v>0</v>
      </c>
    </row>
    <row r="12179" spans="1:18" s="904" customFormat="1">
      <c r="A12179" s="905"/>
      <c r="B12179" s="952"/>
      <c r="C12179" s="907">
        <v>740</v>
      </c>
      <c r="D12179" s="907" t="s">
        <v>12</v>
      </c>
      <c r="E12179" s="992" t="s">
        <v>4008</v>
      </c>
      <c r="F12179" s="905" t="s">
        <v>2674</v>
      </c>
      <c r="G12179" s="1005"/>
      <c r="H12179" s="911">
        <v>0.13</v>
      </c>
      <c r="I12179" s="912"/>
      <c r="J12179" s="912"/>
      <c r="K12179" s="912">
        <f>VLOOKUP(E12179,[5]ĐMNC!$A$7:$F$67,4,0)</f>
        <v>221125</v>
      </c>
      <c r="L12179" s="912">
        <f>H12179*K12179</f>
        <v>28746.25</v>
      </c>
      <c r="M12179" s="912"/>
      <c r="N12179" s="912"/>
      <c r="O12179" s="892">
        <f t="shared" si="977"/>
        <v>0</v>
      </c>
      <c r="P12179" s="903">
        <f t="shared" si="978"/>
        <v>1</v>
      </c>
      <c r="Q12179" s="893">
        <f t="shared" si="979"/>
        <v>22</v>
      </c>
      <c r="R12179" s="894">
        <f t="shared" si="980"/>
        <v>0</v>
      </c>
    </row>
    <row r="12180" spans="1:18" ht="31.5">
      <c r="A12180" s="905">
        <v>649</v>
      </c>
      <c r="B12180" s="1018"/>
      <c r="C12180" s="915"/>
      <c r="D12180" s="915"/>
      <c r="E12180" s="1006" t="s">
        <v>7097</v>
      </c>
      <c r="F12180" s="917" t="s">
        <v>49</v>
      </c>
      <c r="G12180" s="1008"/>
      <c r="H12180" s="919"/>
      <c r="I12180" s="920"/>
      <c r="J12180" s="891">
        <f>SUM(J12181:J12186)</f>
        <v>57500</v>
      </c>
      <c r="K12180" s="891"/>
      <c r="L12180" s="891">
        <f>SUM(L12181:L12186)</f>
        <v>55281.25</v>
      </c>
      <c r="M12180" s="891"/>
      <c r="N12180" s="891">
        <f>SUM(N12181:N12186)</f>
        <v>0</v>
      </c>
      <c r="O12180" s="892">
        <f t="shared" si="977"/>
        <v>0</v>
      </c>
      <c r="P12180" s="903">
        <f t="shared" si="978"/>
        <v>1</v>
      </c>
      <c r="Q12180" s="893">
        <f t="shared" si="979"/>
        <v>21</v>
      </c>
      <c r="R12180" s="894">
        <f t="shared" si="980"/>
        <v>0</v>
      </c>
    </row>
    <row r="12181" spans="1:18">
      <c r="A12181" s="895"/>
      <c r="B12181" s="896"/>
      <c r="C12181" s="897"/>
      <c r="D12181" s="897"/>
      <c r="E12181" s="1002" t="s">
        <v>108</v>
      </c>
      <c r="F12181" s="1003"/>
      <c r="G12181" s="1004"/>
      <c r="H12181" s="901"/>
      <c r="I12181" s="902"/>
      <c r="J12181" s="902"/>
      <c r="K12181" s="912" t="s">
        <v>274</v>
      </c>
      <c r="L12181" s="902"/>
      <c r="M12181" s="902"/>
      <c r="N12181" s="902"/>
      <c r="O12181" s="892">
        <f t="shared" si="977"/>
        <v>0</v>
      </c>
      <c r="P12181" s="903">
        <f t="shared" si="978"/>
        <v>1</v>
      </c>
      <c r="Q12181" s="893">
        <f t="shared" si="979"/>
        <v>20</v>
      </c>
      <c r="R12181" s="894">
        <f t="shared" si="980"/>
        <v>0</v>
      </c>
    </row>
    <row r="12182" spans="1:18" s="904" customFormat="1">
      <c r="A12182" s="905"/>
      <c r="B12182" s="952"/>
      <c r="C12182" s="907">
        <v>235</v>
      </c>
      <c r="D12182" s="907" t="s">
        <v>279</v>
      </c>
      <c r="E12182" s="992" t="s">
        <v>2682</v>
      </c>
      <c r="F12182" s="905" t="s">
        <v>45</v>
      </c>
      <c r="G12182" s="1005"/>
      <c r="H12182" s="911">
        <v>0.1</v>
      </c>
      <c r="I12182" s="912">
        <f>VLOOKUP(E12182,[3]VLP!$B$7:$K$300,10,0)</f>
        <v>5000</v>
      </c>
      <c r="J12182" s="912">
        <f>I12182*H12182</f>
        <v>500</v>
      </c>
      <c r="K12182" s="912" t="s">
        <v>274</v>
      </c>
      <c r="L12182" s="912"/>
      <c r="M12182" s="912"/>
      <c r="N12182" s="912"/>
      <c r="O12182" s="892">
        <f t="shared" si="977"/>
        <v>0</v>
      </c>
      <c r="P12182" s="903">
        <f t="shared" si="978"/>
        <v>1</v>
      </c>
      <c r="Q12182" s="893">
        <f t="shared" si="979"/>
        <v>19</v>
      </c>
      <c r="R12182" s="894">
        <f t="shared" si="980"/>
        <v>0</v>
      </c>
    </row>
    <row r="12183" spans="1:18">
      <c r="A12183" s="905"/>
      <c r="B12183" s="952"/>
      <c r="C12183" s="907">
        <v>234</v>
      </c>
      <c r="D12183" s="907" t="s">
        <v>279</v>
      </c>
      <c r="E12183" s="992" t="s">
        <v>5983</v>
      </c>
      <c r="F12183" s="905" t="s">
        <v>3144</v>
      </c>
      <c r="G12183" s="1005"/>
      <c r="H12183" s="911">
        <v>0.5</v>
      </c>
      <c r="I12183" s="912">
        <f>VLOOKUP(E12183,[3]VLP!$B$7:$K$300,10,0)</f>
        <v>14000</v>
      </c>
      <c r="J12183" s="912">
        <f>I12183*H12183</f>
        <v>7000</v>
      </c>
      <c r="K12183" s="912" t="s">
        <v>274</v>
      </c>
      <c r="L12183" s="912"/>
      <c r="M12183" s="912"/>
      <c r="N12183" s="912"/>
      <c r="O12183" s="892">
        <f t="shared" si="977"/>
        <v>0</v>
      </c>
      <c r="P12183" s="903">
        <f t="shared" si="978"/>
        <v>1</v>
      </c>
      <c r="Q12183" s="893">
        <f t="shared" si="979"/>
        <v>18</v>
      </c>
      <c r="R12183" s="894">
        <f t="shared" si="980"/>
        <v>0</v>
      </c>
    </row>
    <row r="12184" spans="1:18" s="847" customFormat="1">
      <c r="A12184" s="905"/>
      <c r="B12184" s="952"/>
      <c r="C12184" s="907">
        <v>699</v>
      </c>
      <c r="D12184" s="907" t="s">
        <v>279</v>
      </c>
      <c r="E12184" s="992" t="s">
        <v>4006</v>
      </c>
      <c r="F12184" s="905" t="s">
        <v>4007</v>
      </c>
      <c r="G12184" s="1005"/>
      <c r="H12184" s="911">
        <v>10</v>
      </c>
      <c r="I12184" s="912">
        <f>VLOOKUP(E12184,[3]VLP!$B$7:$K$300,10,0)</f>
        <v>5000</v>
      </c>
      <c r="J12184" s="912">
        <f>I12184*H12184</f>
        <v>50000</v>
      </c>
      <c r="K12184" s="912" t="s">
        <v>274</v>
      </c>
      <c r="L12184" s="912"/>
      <c r="M12184" s="912"/>
      <c r="N12184" s="912"/>
      <c r="O12184" s="892">
        <f t="shared" si="977"/>
        <v>0</v>
      </c>
      <c r="P12184" s="903">
        <f t="shared" si="978"/>
        <v>1</v>
      </c>
      <c r="Q12184" s="893">
        <f t="shared" si="979"/>
        <v>17</v>
      </c>
      <c r="R12184" s="894">
        <f t="shared" si="980"/>
        <v>0</v>
      </c>
    </row>
    <row r="12185" spans="1:18" s="904" customFormat="1">
      <c r="A12185" s="895"/>
      <c r="B12185" s="896"/>
      <c r="C12185" s="897"/>
      <c r="D12185" s="897"/>
      <c r="E12185" s="1002" t="s">
        <v>276</v>
      </c>
      <c r="F12185" s="1003"/>
      <c r="G12185" s="1004"/>
      <c r="H12185" s="901"/>
      <c r="I12185" s="902"/>
      <c r="J12185" s="902"/>
      <c r="K12185" s="912" t="s">
        <v>274</v>
      </c>
      <c r="L12185" s="902"/>
      <c r="M12185" s="902"/>
      <c r="N12185" s="902"/>
      <c r="O12185" s="892">
        <f t="shared" si="977"/>
        <v>0</v>
      </c>
      <c r="P12185" s="903">
        <f t="shared" si="978"/>
        <v>1</v>
      </c>
      <c r="Q12185" s="893">
        <f t="shared" si="979"/>
        <v>16</v>
      </c>
      <c r="R12185" s="894">
        <f t="shared" si="980"/>
        <v>0</v>
      </c>
    </row>
    <row r="12186" spans="1:18">
      <c r="A12186" s="905"/>
      <c r="B12186" s="952"/>
      <c r="C12186" s="907">
        <v>740</v>
      </c>
      <c r="D12186" s="907" t="s">
        <v>12</v>
      </c>
      <c r="E12186" s="992" t="s">
        <v>4008</v>
      </c>
      <c r="F12186" s="905" t="s">
        <v>2674</v>
      </c>
      <c r="G12186" s="1005"/>
      <c r="H12186" s="911">
        <v>0.25</v>
      </c>
      <c r="I12186" s="912"/>
      <c r="J12186" s="912"/>
      <c r="K12186" s="912">
        <f>VLOOKUP(E12186,[5]ĐMNC!$A$7:$F$67,4,0)</f>
        <v>221125</v>
      </c>
      <c r="L12186" s="912">
        <f>H12186*K12186</f>
        <v>55281.25</v>
      </c>
      <c r="M12186" s="912"/>
      <c r="N12186" s="912"/>
      <c r="O12186" s="892">
        <f t="shared" si="977"/>
        <v>0</v>
      </c>
      <c r="P12186" s="903">
        <f t="shared" si="978"/>
        <v>1</v>
      </c>
      <c r="Q12186" s="893">
        <f t="shared" si="979"/>
        <v>15</v>
      </c>
      <c r="R12186" s="894">
        <f t="shared" si="980"/>
        <v>0</v>
      </c>
    </row>
    <row r="12187" spans="1:18" ht="31.5">
      <c r="A12187" s="905">
        <v>650</v>
      </c>
      <c r="B12187" s="1018"/>
      <c r="C12187" s="915"/>
      <c r="D12187" s="915"/>
      <c r="E12187" s="1006" t="s">
        <v>7098</v>
      </c>
      <c r="F12187" s="917" t="s">
        <v>49</v>
      </c>
      <c r="G12187" s="1008"/>
      <c r="H12187" s="919"/>
      <c r="I12187" s="920"/>
      <c r="J12187" s="891">
        <f>SUM(J12188:J12193)</f>
        <v>57750</v>
      </c>
      <c r="K12187" s="891"/>
      <c r="L12187" s="891">
        <f>SUM(L12188:L12193)</f>
        <v>95083.75</v>
      </c>
      <c r="M12187" s="891"/>
      <c r="N12187" s="891">
        <f>SUM(N12188:N12193)</f>
        <v>0</v>
      </c>
      <c r="O12187" s="892">
        <f t="shared" si="977"/>
        <v>0</v>
      </c>
      <c r="P12187" s="903">
        <f t="shared" si="978"/>
        <v>1</v>
      </c>
      <c r="Q12187" s="893">
        <f t="shared" si="979"/>
        <v>14</v>
      </c>
      <c r="R12187" s="894">
        <f t="shared" si="980"/>
        <v>0</v>
      </c>
    </row>
    <row r="12188" spans="1:18" s="904" customFormat="1">
      <c r="A12188" s="895"/>
      <c r="B12188" s="896"/>
      <c r="C12188" s="897"/>
      <c r="D12188" s="897"/>
      <c r="E12188" s="1002" t="s">
        <v>108</v>
      </c>
      <c r="F12188" s="1003"/>
      <c r="G12188" s="1004"/>
      <c r="H12188" s="901"/>
      <c r="I12188" s="902"/>
      <c r="J12188" s="902"/>
      <c r="K12188" s="912" t="s">
        <v>274</v>
      </c>
      <c r="L12188" s="902"/>
      <c r="M12188" s="902"/>
      <c r="N12188" s="902"/>
      <c r="O12188" s="892">
        <f t="shared" si="977"/>
        <v>0</v>
      </c>
      <c r="P12188" s="903">
        <f t="shared" si="978"/>
        <v>1</v>
      </c>
      <c r="Q12188" s="893">
        <f t="shared" si="979"/>
        <v>13</v>
      </c>
      <c r="R12188" s="894">
        <f t="shared" si="980"/>
        <v>0</v>
      </c>
    </row>
    <row r="12189" spans="1:18">
      <c r="A12189" s="905"/>
      <c r="B12189" s="952"/>
      <c r="C12189" s="907">
        <v>235</v>
      </c>
      <c r="D12189" s="907" t="s">
        <v>279</v>
      </c>
      <c r="E12189" s="992" t="s">
        <v>2682</v>
      </c>
      <c r="F12189" s="905" t="s">
        <v>45</v>
      </c>
      <c r="G12189" s="1005"/>
      <c r="H12189" s="911">
        <v>0.15</v>
      </c>
      <c r="I12189" s="912">
        <f>VLOOKUP(E12189,[3]VLP!$B$7:$K$300,10,0)</f>
        <v>5000</v>
      </c>
      <c r="J12189" s="912">
        <f>I12189*H12189</f>
        <v>750</v>
      </c>
      <c r="K12189" s="912" t="s">
        <v>274</v>
      </c>
      <c r="L12189" s="912"/>
      <c r="M12189" s="912"/>
      <c r="N12189" s="912"/>
      <c r="O12189" s="892">
        <f t="shared" si="977"/>
        <v>0</v>
      </c>
      <c r="P12189" s="903">
        <f t="shared" si="978"/>
        <v>1</v>
      </c>
      <c r="Q12189" s="893">
        <f t="shared" si="979"/>
        <v>12</v>
      </c>
      <c r="R12189" s="894">
        <f t="shared" si="980"/>
        <v>0</v>
      </c>
    </row>
    <row r="12190" spans="1:18" s="847" customFormat="1">
      <c r="A12190" s="905"/>
      <c r="B12190" s="952"/>
      <c r="C12190" s="907">
        <v>234</v>
      </c>
      <c r="D12190" s="907" t="s">
        <v>279</v>
      </c>
      <c r="E12190" s="992" t="s">
        <v>5983</v>
      </c>
      <c r="F12190" s="905" t="s">
        <v>3144</v>
      </c>
      <c r="G12190" s="1005"/>
      <c r="H12190" s="911">
        <v>0.5</v>
      </c>
      <c r="I12190" s="912">
        <f>VLOOKUP(E12190,[3]VLP!$B$7:$K$300,10,0)</f>
        <v>14000</v>
      </c>
      <c r="J12190" s="912">
        <f>I12190*H12190</f>
        <v>7000</v>
      </c>
      <c r="K12190" s="912" t="s">
        <v>274</v>
      </c>
      <c r="L12190" s="912"/>
      <c r="M12190" s="912"/>
      <c r="N12190" s="912"/>
      <c r="O12190" s="892">
        <f t="shared" si="977"/>
        <v>0</v>
      </c>
      <c r="P12190" s="903">
        <f t="shared" si="978"/>
        <v>1</v>
      </c>
      <c r="Q12190" s="893">
        <f t="shared" si="979"/>
        <v>11</v>
      </c>
      <c r="R12190" s="894">
        <f t="shared" si="980"/>
        <v>0</v>
      </c>
    </row>
    <row r="12191" spans="1:18" s="904" customFormat="1">
      <c r="A12191" s="905"/>
      <c r="B12191" s="952"/>
      <c r="C12191" s="907">
        <v>699</v>
      </c>
      <c r="D12191" s="907" t="s">
        <v>279</v>
      </c>
      <c r="E12191" s="992" t="s">
        <v>4006</v>
      </c>
      <c r="F12191" s="905" t="s">
        <v>4007</v>
      </c>
      <c r="G12191" s="1005"/>
      <c r="H12191" s="911">
        <v>10</v>
      </c>
      <c r="I12191" s="912">
        <f>VLOOKUP(E12191,[3]VLP!$B$7:$K$300,10,0)</f>
        <v>5000</v>
      </c>
      <c r="J12191" s="912">
        <f>I12191*H12191</f>
        <v>50000</v>
      </c>
      <c r="K12191" s="912" t="s">
        <v>274</v>
      </c>
      <c r="L12191" s="912"/>
      <c r="M12191" s="912"/>
      <c r="N12191" s="912"/>
      <c r="O12191" s="892">
        <f t="shared" ref="O12191:O12254" si="981">IF(AND(B12191&lt;&gt;"",D12191=""),1,0)</f>
        <v>0</v>
      </c>
      <c r="P12191" s="903">
        <f t="shared" si="978"/>
        <v>1</v>
      </c>
      <c r="Q12191" s="893">
        <f t="shared" si="979"/>
        <v>10</v>
      </c>
      <c r="R12191" s="894">
        <f t="shared" si="980"/>
        <v>0</v>
      </c>
    </row>
    <row r="12192" spans="1:18">
      <c r="A12192" s="895"/>
      <c r="B12192" s="896"/>
      <c r="C12192" s="897"/>
      <c r="D12192" s="897"/>
      <c r="E12192" s="1002" t="s">
        <v>276</v>
      </c>
      <c r="F12192" s="1003"/>
      <c r="G12192" s="1004"/>
      <c r="H12192" s="901"/>
      <c r="I12192" s="902"/>
      <c r="J12192" s="902"/>
      <c r="K12192" s="912" t="s">
        <v>274</v>
      </c>
      <c r="L12192" s="902"/>
      <c r="M12192" s="902"/>
      <c r="N12192" s="902"/>
      <c r="O12192" s="892">
        <f t="shared" si="981"/>
        <v>0</v>
      </c>
      <c r="P12192" s="903">
        <f t="shared" si="978"/>
        <v>1</v>
      </c>
      <c r="Q12192" s="893">
        <f t="shared" si="979"/>
        <v>9</v>
      </c>
      <c r="R12192" s="894">
        <f t="shared" si="980"/>
        <v>0</v>
      </c>
    </row>
    <row r="12193" spans="1:18">
      <c r="A12193" s="905"/>
      <c r="B12193" s="952"/>
      <c r="C12193" s="907">
        <v>740</v>
      </c>
      <c r="D12193" s="907" t="s">
        <v>12</v>
      </c>
      <c r="E12193" s="992" t="s">
        <v>4008</v>
      </c>
      <c r="F12193" s="905" t="s">
        <v>2674</v>
      </c>
      <c r="G12193" s="1005"/>
      <c r="H12193" s="911">
        <v>0.43</v>
      </c>
      <c r="I12193" s="912"/>
      <c r="J12193" s="912"/>
      <c r="K12193" s="912">
        <f>VLOOKUP(E12193,[5]ĐMNC!$A$7:$F$67,4,0)</f>
        <v>221125</v>
      </c>
      <c r="L12193" s="912">
        <f>H12193*K12193</f>
        <v>95083.75</v>
      </c>
      <c r="M12193" s="912"/>
      <c r="N12193" s="912"/>
      <c r="O12193" s="892">
        <f t="shared" si="981"/>
        <v>0</v>
      </c>
      <c r="P12193" s="903">
        <f t="shared" si="978"/>
        <v>1</v>
      </c>
      <c r="Q12193" s="893">
        <f t="shared" si="979"/>
        <v>8</v>
      </c>
      <c r="R12193" s="894">
        <f t="shared" si="980"/>
        <v>0</v>
      </c>
    </row>
    <row r="12194" spans="1:18" s="904" customFormat="1" ht="31.5">
      <c r="A12194" s="905" t="s">
        <v>7093</v>
      </c>
      <c r="B12194" s="1018"/>
      <c r="C12194" s="915"/>
      <c r="D12194" s="915"/>
      <c r="E12194" s="1006" t="s">
        <v>7099</v>
      </c>
      <c r="F12194" s="917" t="s">
        <v>49</v>
      </c>
      <c r="G12194" s="1008"/>
      <c r="H12194" s="919"/>
      <c r="I12194" s="920"/>
      <c r="J12194" s="891">
        <f>SUM(J12195:J12200)</f>
        <v>58000</v>
      </c>
      <c r="K12194" s="891"/>
      <c r="L12194" s="891">
        <f>SUM(L12195:L12200)</f>
        <v>110562.5</v>
      </c>
      <c r="M12194" s="891"/>
      <c r="N12194" s="891">
        <f>SUM(N12195:N12200)</f>
        <v>0</v>
      </c>
      <c r="O12194" s="892">
        <f t="shared" si="981"/>
        <v>0</v>
      </c>
      <c r="P12194" s="903">
        <f t="shared" si="978"/>
        <v>1</v>
      </c>
      <c r="Q12194" s="893">
        <f t="shared" si="979"/>
        <v>7</v>
      </c>
      <c r="R12194" s="894">
        <f t="shared" si="980"/>
        <v>0</v>
      </c>
    </row>
    <row r="12195" spans="1:18">
      <c r="A12195" s="895"/>
      <c r="B12195" s="896"/>
      <c r="C12195" s="897"/>
      <c r="D12195" s="897"/>
      <c r="E12195" s="1002" t="s">
        <v>108</v>
      </c>
      <c r="F12195" s="1003"/>
      <c r="G12195" s="1004"/>
      <c r="H12195" s="901"/>
      <c r="I12195" s="902"/>
      <c r="J12195" s="902"/>
      <c r="K12195" s="912" t="s">
        <v>274</v>
      </c>
      <c r="L12195" s="902"/>
      <c r="M12195" s="902"/>
      <c r="N12195" s="902"/>
      <c r="O12195" s="892">
        <f t="shared" si="981"/>
        <v>0</v>
      </c>
      <c r="P12195" s="903">
        <f t="shared" si="978"/>
        <v>1</v>
      </c>
      <c r="Q12195" s="893">
        <f t="shared" si="979"/>
        <v>6</v>
      </c>
      <c r="R12195" s="894">
        <f t="shared" si="980"/>
        <v>0</v>
      </c>
    </row>
    <row r="12196" spans="1:18" s="847" customFormat="1">
      <c r="A12196" s="905"/>
      <c r="B12196" s="952"/>
      <c r="C12196" s="907">
        <v>235</v>
      </c>
      <c r="D12196" s="907" t="s">
        <v>279</v>
      </c>
      <c r="E12196" s="992" t="s">
        <v>2682</v>
      </c>
      <c r="F12196" s="905" t="s">
        <v>45</v>
      </c>
      <c r="G12196" s="1005"/>
      <c r="H12196" s="911">
        <v>0.2</v>
      </c>
      <c r="I12196" s="912">
        <f>VLOOKUP(E12196,[3]VLP!$B$7:$K$300,10,0)</f>
        <v>5000</v>
      </c>
      <c r="J12196" s="912">
        <f>I12196*H12196</f>
        <v>1000</v>
      </c>
      <c r="K12196" s="912" t="s">
        <v>274</v>
      </c>
      <c r="L12196" s="912"/>
      <c r="M12196" s="912"/>
      <c r="N12196" s="912"/>
      <c r="O12196" s="892">
        <f t="shared" si="981"/>
        <v>0</v>
      </c>
      <c r="P12196" s="903">
        <f t="shared" si="978"/>
        <v>1</v>
      </c>
      <c r="Q12196" s="893">
        <f t="shared" si="979"/>
        <v>5</v>
      </c>
      <c r="R12196" s="894">
        <f t="shared" si="980"/>
        <v>0</v>
      </c>
    </row>
    <row r="12197" spans="1:18" s="904" customFormat="1">
      <c r="A12197" s="905"/>
      <c r="B12197" s="952"/>
      <c r="C12197" s="907">
        <v>234</v>
      </c>
      <c r="D12197" s="907" t="s">
        <v>279</v>
      </c>
      <c r="E12197" s="992" t="s">
        <v>5983</v>
      </c>
      <c r="F12197" s="905" t="s">
        <v>3144</v>
      </c>
      <c r="G12197" s="1005"/>
      <c r="H12197" s="911">
        <v>0.5</v>
      </c>
      <c r="I12197" s="912">
        <f>VLOOKUP(E12197,[3]VLP!$B$7:$K$300,10,0)</f>
        <v>14000</v>
      </c>
      <c r="J12197" s="912">
        <f>I12197*H12197</f>
        <v>7000</v>
      </c>
      <c r="K12197" s="912" t="s">
        <v>274</v>
      </c>
      <c r="L12197" s="912"/>
      <c r="M12197" s="912"/>
      <c r="N12197" s="912"/>
      <c r="O12197" s="892">
        <f t="shared" si="981"/>
        <v>0</v>
      </c>
      <c r="P12197" s="903">
        <f t="shared" si="978"/>
        <v>1</v>
      </c>
      <c r="Q12197" s="893">
        <f t="shared" si="979"/>
        <v>4</v>
      </c>
      <c r="R12197" s="894">
        <f t="shared" si="980"/>
        <v>0</v>
      </c>
    </row>
    <row r="12198" spans="1:18">
      <c r="A12198" s="905"/>
      <c r="B12198" s="952"/>
      <c r="C12198" s="907">
        <v>699</v>
      </c>
      <c r="D12198" s="907" t="s">
        <v>279</v>
      </c>
      <c r="E12198" s="992" t="s">
        <v>4006</v>
      </c>
      <c r="F12198" s="905" t="s">
        <v>4007</v>
      </c>
      <c r="G12198" s="1005"/>
      <c r="H12198" s="911">
        <v>10</v>
      </c>
      <c r="I12198" s="912">
        <f>VLOOKUP(E12198,[3]VLP!$B$7:$K$300,10,0)</f>
        <v>5000</v>
      </c>
      <c r="J12198" s="912">
        <f>I12198*H12198</f>
        <v>50000</v>
      </c>
      <c r="K12198" s="912" t="s">
        <v>274</v>
      </c>
      <c r="L12198" s="912"/>
      <c r="M12198" s="912"/>
      <c r="N12198" s="912"/>
      <c r="O12198" s="892">
        <f t="shared" si="981"/>
        <v>0</v>
      </c>
      <c r="P12198" s="903">
        <f t="shared" si="978"/>
        <v>1</v>
      </c>
      <c r="Q12198" s="893">
        <f t="shared" si="979"/>
        <v>3</v>
      </c>
      <c r="R12198" s="894">
        <f t="shared" si="980"/>
        <v>0</v>
      </c>
    </row>
    <row r="12199" spans="1:18">
      <c r="A12199" s="895"/>
      <c r="B12199" s="896"/>
      <c r="C12199" s="897"/>
      <c r="D12199" s="897"/>
      <c r="E12199" s="1002" t="s">
        <v>276</v>
      </c>
      <c r="F12199" s="1003"/>
      <c r="G12199" s="1004"/>
      <c r="H12199" s="901"/>
      <c r="I12199" s="902"/>
      <c r="J12199" s="902"/>
      <c r="K12199" s="912" t="s">
        <v>274</v>
      </c>
      <c r="L12199" s="902"/>
      <c r="M12199" s="902"/>
      <c r="N12199" s="902"/>
      <c r="O12199" s="892">
        <f t="shared" si="981"/>
        <v>0</v>
      </c>
      <c r="P12199" s="903">
        <f t="shared" si="978"/>
        <v>1</v>
      </c>
      <c r="Q12199" s="893">
        <f t="shared" si="979"/>
        <v>2</v>
      </c>
      <c r="R12199" s="894">
        <f t="shared" si="980"/>
        <v>0</v>
      </c>
    </row>
    <row r="12200" spans="1:18" s="904" customFormat="1">
      <c r="A12200" s="905"/>
      <c r="B12200" s="952"/>
      <c r="C12200" s="907">
        <v>740</v>
      </c>
      <c r="D12200" s="907" t="s">
        <v>12</v>
      </c>
      <c r="E12200" s="992" t="s">
        <v>4008</v>
      </c>
      <c r="F12200" s="905" t="s">
        <v>2674</v>
      </c>
      <c r="G12200" s="1005"/>
      <c r="H12200" s="911">
        <v>0.5</v>
      </c>
      <c r="I12200" s="912"/>
      <c r="J12200" s="912"/>
      <c r="K12200" s="912">
        <f>VLOOKUP(E12200,[5]ĐMNC!$A$7:$F$67,4,0)</f>
        <v>221125</v>
      </c>
      <c r="L12200" s="912">
        <f>H12200*K12200</f>
        <v>110562.5</v>
      </c>
      <c r="M12200" s="912"/>
      <c r="N12200" s="912"/>
      <c r="O12200" s="892">
        <f t="shared" si="981"/>
        <v>0</v>
      </c>
      <c r="P12200" s="903">
        <f t="shared" si="978"/>
        <v>1</v>
      </c>
      <c r="Q12200" s="893">
        <f t="shared" si="979"/>
        <v>1</v>
      </c>
      <c r="R12200" s="894">
        <f t="shared" si="980"/>
        <v>0</v>
      </c>
    </row>
    <row r="12201" spans="1:18">
      <c r="A12201" s="905" t="s">
        <v>7093</v>
      </c>
      <c r="B12201" s="1018" t="s">
        <v>7100</v>
      </c>
      <c r="C12201" s="915"/>
      <c r="D12201" s="915"/>
      <c r="E12201" s="1009" t="s">
        <v>7101</v>
      </c>
      <c r="F12201" s="917" t="s">
        <v>49</v>
      </c>
      <c r="G12201" s="1008"/>
      <c r="H12201" s="919"/>
      <c r="I12201" s="920"/>
      <c r="J12201" s="891">
        <f>SUM(J12202:J12207)</f>
        <v>1450</v>
      </c>
      <c r="K12201" s="891"/>
      <c r="L12201" s="891">
        <f>SUM(L12202:L12207)</f>
        <v>11056.25</v>
      </c>
      <c r="M12201" s="891"/>
      <c r="N12201" s="891">
        <f>SUM(N12202:N12207)</f>
        <v>0</v>
      </c>
      <c r="O12201" s="892">
        <f t="shared" si="981"/>
        <v>1</v>
      </c>
      <c r="P12201" s="903">
        <f t="shared" si="978"/>
        <v>0</v>
      </c>
      <c r="Q12201" s="893">
        <f t="shared" si="979"/>
        <v>0</v>
      </c>
      <c r="R12201" s="894">
        <f t="shared" si="980"/>
        <v>6</v>
      </c>
    </row>
    <row r="12202" spans="1:18" s="847" customFormat="1">
      <c r="A12202" s="895"/>
      <c r="B12202" s="922"/>
      <c r="C12202" s="897"/>
      <c r="D12202" s="897"/>
      <c r="E12202" s="1002" t="s">
        <v>108</v>
      </c>
      <c r="F12202" s="1003"/>
      <c r="G12202" s="1004"/>
      <c r="H12202" s="901"/>
      <c r="I12202" s="902"/>
      <c r="J12202" s="902"/>
      <c r="K12202" s="912" t="s">
        <v>274</v>
      </c>
      <c r="L12202" s="902"/>
      <c r="M12202" s="902"/>
      <c r="N12202" s="902"/>
      <c r="O12202" s="892">
        <f t="shared" si="981"/>
        <v>0</v>
      </c>
      <c r="P12202" s="903">
        <f t="shared" si="978"/>
        <v>1</v>
      </c>
      <c r="Q12202" s="893">
        <f t="shared" si="979"/>
        <v>6</v>
      </c>
      <c r="R12202" s="894">
        <f t="shared" si="980"/>
        <v>0</v>
      </c>
    </row>
    <row r="12203" spans="1:18" s="904" customFormat="1">
      <c r="A12203" s="905"/>
      <c r="B12203" s="952"/>
      <c r="C12203" s="907">
        <v>235</v>
      </c>
      <c r="D12203" s="907" t="s">
        <v>279</v>
      </c>
      <c r="E12203" s="992" t="s">
        <v>2682</v>
      </c>
      <c r="F12203" s="905" t="s">
        <v>45</v>
      </c>
      <c r="G12203" s="1005"/>
      <c r="H12203" s="911">
        <v>0.05</v>
      </c>
      <c r="I12203" s="912">
        <f>VLOOKUP(E12203,[3]VLP!$B$7:$K$300,10,0)</f>
        <v>5000</v>
      </c>
      <c r="J12203" s="912">
        <f>I12203*H12203</f>
        <v>250</v>
      </c>
      <c r="K12203" s="912" t="s">
        <v>274</v>
      </c>
      <c r="L12203" s="912"/>
      <c r="M12203" s="912"/>
      <c r="N12203" s="912"/>
      <c r="O12203" s="892">
        <f t="shared" si="981"/>
        <v>0</v>
      </c>
      <c r="P12203" s="903">
        <f t="shared" si="978"/>
        <v>1</v>
      </c>
      <c r="Q12203" s="893">
        <f t="shared" si="979"/>
        <v>5</v>
      </c>
      <c r="R12203" s="894">
        <f t="shared" si="980"/>
        <v>0</v>
      </c>
    </row>
    <row r="12204" spans="1:18">
      <c r="A12204" s="905"/>
      <c r="B12204" s="952"/>
      <c r="C12204" s="907">
        <v>234</v>
      </c>
      <c r="D12204" s="907" t="s">
        <v>279</v>
      </c>
      <c r="E12204" s="992" t="s">
        <v>5983</v>
      </c>
      <c r="F12204" s="905" t="s">
        <v>3144</v>
      </c>
      <c r="G12204" s="1005"/>
      <c r="H12204" s="911">
        <v>0.05</v>
      </c>
      <c r="I12204" s="912">
        <f>VLOOKUP(E12204,[3]VLP!$B$7:$K$300,10,0)</f>
        <v>14000</v>
      </c>
      <c r="J12204" s="912">
        <f>I12204*H12204</f>
        <v>700</v>
      </c>
      <c r="K12204" s="912" t="s">
        <v>274</v>
      </c>
      <c r="L12204" s="912"/>
      <c r="M12204" s="912"/>
      <c r="N12204" s="912"/>
      <c r="O12204" s="892">
        <f t="shared" si="981"/>
        <v>0</v>
      </c>
      <c r="P12204" s="903">
        <f t="shared" si="978"/>
        <v>1</v>
      </c>
      <c r="Q12204" s="893">
        <f t="shared" si="979"/>
        <v>4</v>
      </c>
      <c r="R12204" s="894">
        <f t="shared" si="980"/>
        <v>0</v>
      </c>
    </row>
    <row r="12205" spans="1:18">
      <c r="A12205" s="905"/>
      <c r="B12205" s="952"/>
      <c r="C12205" s="907">
        <v>699</v>
      </c>
      <c r="D12205" s="907" t="s">
        <v>279</v>
      </c>
      <c r="E12205" s="992" t="s">
        <v>4006</v>
      </c>
      <c r="F12205" s="905" t="s">
        <v>4007</v>
      </c>
      <c r="G12205" s="1005"/>
      <c r="H12205" s="911">
        <v>10</v>
      </c>
      <c r="I12205" s="912">
        <f>VLOOKUP(E12205,[3]VLP!$B$7:$K$300,10,0)</f>
        <v>5000</v>
      </c>
      <c r="J12205" s="912">
        <f>I12205*H12205%</f>
        <v>500</v>
      </c>
      <c r="K12205" s="912" t="s">
        <v>274</v>
      </c>
      <c r="L12205" s="912"/>
      <c r="M12205" s="912"/>
      <c r="N12205" s="912"/>
      <c r="O12205" s="892">
        <f t="shared" si="981"/>
        <v>0</v>
      </c>
      <c r="P12205" s="903">
        <f t="shared" si="978"/>
        <v>1</v>
      </c>
      <c r="Q12205" s="893">
        <f t="shared" si="979"/>
        <v>3</v>
      </c>
      <c r="R12205" s="894">
        <f t="shared" si="980"/>
        <v>0</v>
      </c>
    </row>
    <row r="12206" spans="1:18" s="904" customFormat="1">
      <c r="A12206" s="895"/>
      <c r="B12206" s="896"/>
      <c r="C12206" s="897"/>
      <c r="D12206" s="897"/>
      <c r="E12206" s="1002" t="s">
        <v>276</v>
      </c>
      <c r="F12206" s="1003"/>
      <c r="G12206" s="1004"/>
      <c r="H12206" s="901"/>
      <c r="I12206" s="902"/>
      <c r="J12206" s="902"/>
      <c r="K12206" s="912" t="s">
        <v>274</v>
      </c>
      <c r="L12206" s="902"/>
      <c r="M12206" s="902"/>
      <c r="N12206" s="902"/>
      <c r="O12206" s="892">
        <f t="shared" si="981"/>
        <v>0</v>
      </c>
      <c r="P12206" s="903">
        <f t="shared" si="978"/>
        <v>1</v>
      </c>
      <c r="Q12206" s="893">
        <f t="shared" si="979"/>
        <v>2</v>
      </c>
      <c r="R12206" s="894">
        <f t="shared" si="980"/>
        <v>0</v>
      </c>
    </row>
    <row r="12207" spans="1:18">
      <c r="A12207" s="905"/>
      <c r="B12207" s="952"/>
      <c r="C12207" s="907">
        <v>740</v>
      </c>
      <c r="D12207" s="907" t="s">
        <v>12</v>
      </c>
      <c r="E12207" s="992" t="s">
        <v>4008</v>
      </c>
      <c r="F12207" s="905" t="s">
        <v>2674</v>
      </c>
      <c r="G12207" s="1005"/>
      <c r="H12207" s="911">
        <v>0.05</v>
      </c>
      <c r="I12207" s="912"/>
      <c r="J12207" s="912"/>
      <c r="K12207" s="912">
        <f>VLOOKUP(E12207,[5]ĐMNC!$A$7:$F$67,4,0)</f>
        <v>221125</v>
      </c>
      <c r="L12207" s="912">
        <f>H12207*K12207</f>
        <v>11056.25</v>
      </c>
      <c r="M12207" s="912"/>
      <c r="N12207" s="912"/>
      <c r="O12207" s="892">
        <f t="shared" si="981"/>
        <v>0</v>
      </c>
      <c r="P12207" s="903">
        <f t="shared" si="978"/>
        <v>1</v>
      </c>
      <c r="Q12207" s="893">
        <f t="shared" si="979"/>
        <v>1</v>
      </c>
      <c r="R12207" s="894">
        <f t="shared" si="980"/>
        <v>0</v>
      </c>
    </row>
    <row r="12208" spans="1:18" s="847" customFormat="1" ht="28.15" customHeight="1">
      <c r="A12208" s="905">
        <v>653</v>
      </c>
      <c r="B12208" s="1018" t="s">
        <v>7102</v>
      </c>
      <c r="C12208" s="915"/>
      <c r="D12208" s="915"/>
      <c r="E12208" s="1009" t="s">
        <v>7103</v>
      </c>
      <c r="F12208" s="917" t="s">
        <v>49</v>
      </c>
      <c r="G12208" s="1008"/>
      <c r="H12208" s="919"/>
      <c r="I12208" s="920"/>
      <c r="J12208" s="891">
        <f>SUM(J12209:J12214)</f>
        <v>1450</v>
      </c>
      <c r="K12208" s="891"/>
      <c r="L12208" s="891">
        <f>SUM(L12209:L12214)</f>
        <v>22112.5</v>
      </c>
      <c r="M12208" s="891"/>
      <c r="N12208" s="891">
        <f>SUM(N12209:N12214)</f>
        <v>0</v>
      </c>
      <c r="O12208" s="892">
        <f t="shared" si="981"/>
        <v>1</v>
      </c>
      <c r="P12208" s="903">
        <f t="shared" si="978"/>
        <v>0</v>
      </c>
      <c r="Q12208" s="893">
        <f t="shared" si="979"/>
        <v>0</v>
      </c>
      <c r="R12208" s="894">
        <f t="shared" si="980"/>
        <v>6</v>
      </c>
    </row>
    <row r="12209" spans="1:18" s="904" customFormat="1">
      <c r="A12209" s="895"/>
      <c r="B12209" s="896"/>
      <c r="C12209" s="897"/>
      <c r="D12209" s="897"/>
      <c r="E12209" s="1002" t="s">
        <v>108</v>
      </c>
      <c r="F12209" s="1003"/>
      <c r="G12209" s="1004"/>
      <c r="H12209" s="901"/>
      <c r="I12209" s="902"/>
      <c r="J12209" s="902"/>
      <c r="K12209" s="912" t="s">
        <v>274</v>
      </c>
      <c r="L12209" s="902"/>
      <c r="M12209" s="902"/>
      <c r="N12209" s="902"/>
      <c r="O12209" s="892">
        <f t="shared" si="981"/>
        <v>0</v>
      </c>
      <c r="P12209" s="903">
        <f t="shared" si="978"/>
        <v>1</v>
      </c>
      <c r="Q12209" s="893">
        <f t="shared" si="979"/>
        <v>6</v>
      </c>
      <c r="R12209" s="894">
        <f t="shared" si="980"/>
        <v>0</v>
      </c>
    </row>
    <row r="12210" spans="1:18">
      <c r="A12210" s="905"/>
      <c r="B12210" s="952"/>
      <c r="C12210" s="907">
        <v>235</v>
      </c>
      <c r="D12210" s="907" t="s">
        <v>279</v>
      </c>
      <c r="E12210" s="992" t="s">
        <v>2682</v>
      </c>
      <c r="F12210" s="905" t="s">
        <v>45</v>
      </c>
      <c r="G12210" s="1005"/>
      <c r="H12210" s="911">
        <v>0.05</v>
      </c>
      <c r="I12210" s="912">
        <f>VLOOKUP(E12210,[3]VLP!$B$7:$K$300,10,0)</f>
        <v>5000</v>
      </c>
      <c r="J12210" s="912">
        <f>I12210*H12210</f>
        <v>250</v>
      </c>
      <c r="K12210" s="912" t="s">
        <v>274</v>
      </c>
      <c r="L12210" s="912"/>
      <c r="M12210" s="912"/>
      <c r="N12210" s="912"/>
      <c r="O12210" s="892">
        <f t="shared" si="981"/>
        <v>0</v>
      </c>
      <c r="P12210" s="903">
        <f t="shared" si="978"/>
        <v>1</v>
      </c>
      <c r="Q12210" s="893">
        <f t="shared" si="979"/>
        <v>5</v>
      </c>
      <c r="R12210" s="894">
        <f t="shared" si="980"/>
        <v>0</v>
      </c>
    </row>
    <row r="12211" spans="1:18">
      <c r="A12211" s="905"/>
      <c r="B12211" s="952"/>
      <c r="C12211" s="907">
        <v>234</v>
      </c>
      <c r="D12211" s="907" t="s">
        <v>279</v>
      </c>
      <c r="E12211" s="992" t="s">
        <v>5983</v>
      </c>
      <c r="F12211" s="905" t="s">
        <v>3144</v>
      </c>
      <c r="G12211" s="1005"/>
      <c r="H12211" s="911">
        <v>0.05</v>
      </c>
      <c r="I12211" s="912">
        <f>VLOOKUP(E12211,[3]VLP!$B$7:$K$300,10,0)</f>
        <v>14000</v>
      </c>
      <c r="J12211" s="912">
        <f>I12211*H12211</f>
        <v>700</v>
      </c>
      <c r="K12211" s="912" t="s">
        <v>274</v>
      </c>
      <c r="L12211" s="912"/>
      <c r="M12211" s="912"/>
      <c r="N12211" s="912"/>
      <c r="O12211" s="892">
        <f t="shared" si="981"/>
        <v>0</v>
      </c>
      <c r="P12211" s="903">
        <f t="shared" ref="P12211:P12274" si="982">IF(O12211=0,1,0)</f>
        <v>1</v>
      </c>
      <c r="Q12211" s="893">
        <f t="shared" ref="Q12211:Q12274" si="983">IF(P12211=0,0,P12211+Q12212)</f>
        <v>4</v>
      </c>
      <c r="R12211" s="894">
        <f t="shared" ref="R12211:R12274" si="984">IF(Q12211=0,Q12212,0)</f>
        <v>0</v>
      </c>
    </row>
    <row r="12212" spans="1:18" s="904" customFormat="1">
      <c r="A12212" s="905"/>
      <c r="B12212" s="952"/>
      <c r="C12212" s="907">
        <v>699</v>
      </c>
      <c r="D12212" s="907" t="s">
        <v>279</v>
      </c>
      <c r="E12212" s="992" t="s">
        <v>4006</v>
      </c>
      <c r="F12212" s="905" t="s">
        <v>4007</v>
      </c>
      <c r="G12212" s="1005"/>
      <c r="H12212" s="911">
        <v>10</v>
      </c>
      <c r="I12212" s="912">
        <f>VLOOKUP(E12212,[3]VLP!$B$7:$K$300,10,0)</f>
        <v>5000</v>
      </c>
      <c r="J12212" s="912">
        <f>I12212*H12212%</f>
        <v>500</v>
      </c>
      <c r="K12212" s="912" t="s">
        <v>274</v>
      </c>
      <c r="L12212" s="912"/>
      <c r="M12212" s="912"/>
      <c r="N12212" s="912"/>
      <c r="O12212" s="892">
        <f t="shared" si="981"/>
        <v>0</v>
      </c>
      <c r="P12212" s="903">
        <f t="shared" si="982"/>
        <v>1</v>
      </c>
      <c r="Q12212" s="893">
        <f t="shared" si="983"/>
        <v>3</v>
      </c>
      <c r="R12212" s="894">
        <f t="shared" si="984"/>
        <v>0</v>
      </c>
    </row>
    <row r="12213" spans="1:18">
      <c r="A12213" s="895"/>
      <c r="B12213" s="896"/>
      <c r="C12213" s="897"/>
      <c r="D12213" s="897"/>
      <c r="E12213" s="1002" t="s">
        <v>276</v>
      </c>
      <c r="F12213" s="1003"/>
      <c r="G12213" s="1004"/>
      <c r="H12213" s="901"/>
      <c r="I12213" s="902"/>
      <c r="J12213" s="902"/>
      <c r="K12213" s="912" t="s">
        <v>274</v>
      </c>
      <c r="L12213" s="902"/>
      <c r="M12213" s="902"/>
      <c r="N12213" s="902"/>
      <c r="O12213" s="892">
        <f t="shared" si="981"/>
        <v>0</v>
      </c>
      <c r="P12213" s="903">
        <f t="shared" si="982"/>
        <v>1</v>
      </c>
      <c r="Q12213" s="893">
        <f t="shared" si="983"/>
        <v>2</v>
      </c>
      <c r="R12213" s="894">
        <f t="shared" si="984"/>
        <v>0</v>
      </c>
    </row>
    <row r="12214" spans="1:18" s="847" customFormat="1">
      <c r="A12214" s="905"/>
      <c r="B12214" s="952"/>
      <c r="C12214" s="907">
        <v>740</v>
      </c>
      <c r="D12214" s="907" t="s">
        <v>12</v>
      </c>
      <c r="E12214" s="992" t="s">
        <v>4008</v>
      </c>
      <c r="F12214" s="905" t="s">
        <v>2674</v>
      </c>
      <c r="G12214" s="1005"/>
      <c r="H12214" s="911">
        <v>0.1</v>
      </c>
      <c r="I12214" s="912"/>
      <c r="J12214" s="912"/>
      <c r="K12214" s="912">
        <f>VLOOKUP(E12214,[5]ĐMNC!$A$7:$F$67,4,0)</f>
        <v>221125</v>
      </c>
      <c r="L12214" s="912">
        <f>H12214*K12214</f>
        <v>22112.5</v>
      </c>
      <c r="M12214" s="912"/>
      <c r="N12214" s="912"/>
      <c r="O12214" s="892">
        <f t="shared" si="981"/>
        <v>0</v>
      </c>
      <c r="P12214" s="903">
        <f t="shared" si="982"/>
        <v>1</v>
      </c>
      <c r="Q12214" s="893">
        <f t="shared" si="983"/>
        <v>1</v>
      </c>
      <c r="R12214" s="894">
        <f t="shared" si="984"/>
        <v>0</v>
      </c>
    </row>
    <row r="12215" spans="1:18" s="904" customFormat="1" ht="31.5">
      <c r="A12215" s="905">
        <v>654</v>
      </c>
      <c r="B12215" s="1018" t="s">
        <v>7104</v>
      </c>
      <c r="C12215" s="915"/>
      <c r="D12215" s="915"/>
      <c r="E12215" s="1006" t="s">
        <v>7105</v>
      </c>
      <c r="F12215" s="917" t="s">
        <v>49</v>
      </c>
      <c r="G12215" s="1008"/>
      <c r="H12215" s="919"/>
      <c r="I12215" s="920"/>
      <c r="J12215" s="891">
        <f>SUM(J12216:J12221)</f>
        <v>51100</v>
      </c>
      <c r="K12215" s="891"/>
      <c r="L12215" s="891">
        <f>SUM(L12216:L12221)</f>
        <v>37591.25</v>
      </c>
      <c r="M12215" s="891"/>
      <c r="N12215" s="891">
        <f>SUM(N12216:N12221)</f>
        <v>0</v>
      </c>
      <c r="O12215" s="892">
        <f t="shared" si="981"/>
        <v>1</v>
      </c>
      <c r="P12215" s="903">
        <f t="shared" si="982"/>
        <v>0</v>
      </c>
      <c r="Q12215" s="893">
        <f t="shared" si="983"/>
        <v>0</v>
      </c>
      <c r="R12215" s="894">
        <f t="shared" si="984"/>
        <v>6</v>
      </c>
    </row>
    <row r="12216" spans="1:18">
      <c r="A12216" s="895"/>
      <c r="B12216" s="896"/>
      <c r="C12216" s="897"/>
      <c r="D12216" s="897"/>
      <c r="E12216" s="1002" t="s">
        <v>108</v>
      </c>
      <c r="F12216" s="1003"/>
      <c r="G12216" s="1004"/>
      <c r="H12216" s="901"/>
      <c r="I12216" s="902"/>
      <c r="J12216" s="902"/>
      <c r="K12216" s="912" t="s">
        <v>274</v>
      </c>
      <c r="L12216" s="902"/>
      <c r="M12216" s="902"/>
      <c r="N12216" s="902"/>
      <c r="O12216" s="892">
        <f t="shared" si="981"/>
        <v>0</v>
      </c>
      <c r="P12216" s="903">
        <f t="shared" si="982"/>
        <v>1</v>
      </c>
      <c r="Q12216" s="893">
        <f t="shared" si="983"/>
        <v>6</v>
      </c>
      <c r="R12216" s="894">
        <f t="shared" si="984"/>
        <v>0</v>
      </c>
    </row>
    <row r="12217" spans="1:18">
      <c r="A12217" s="905"/>
      <c r="B12217" s="952"/>
      <c r="C12217" s="907">
        <v>235</v>
      </c>
      <c r="D12217" s="907" t="s">
        <v>279</v>
      </c>
      <c r="E12217" s="992" t="s">
        <v>2682</v>
      </c>
      <c r="F12217" s="905" t="s">
        <v>45</v>
      </c>
      <c r="G12217" s="1005"/>
      <c r="H12217" s="911">
        <v>0.08</v>
      </c>
      <c r="I12217" s="912">
        <f>VLOOKUP(E12217,[3]VLP!$B$7:$K$300,10,0)</f>
        <v>5000</v>
      </c>
      <c r="J12217" s="912">
        <f>I12217*H12217</f>
        <v>400</v>
      </c>
      <c r="K12217" s="912" t="s">
        <v>274</v>
      </c>
      <c r="L12217" s="912"/>
      <c r="M12217" s="912"/>
      <c r="N12217" s="912"/>
      <c r="O12217" s="892">
        <f t="shared" si="981"/>
        <v>0</v>
      </c>
      <c r="P12217" s="903">
        <f t="shared" si="982"/>
        <v>1</v>
      </c>
      <c r="Q12217" s="893">
        <f t="shared" si="983"/>
        <v>5</v>
      </c>
      <c r="R12217" s="894">
        <f t="shared" si="984"/>
        <v>0</v>
      </c>
    </row>
    <row r="12218" spans="1:18" s="904" customFormat="1">
      <c r="A12218" s="905"/>
      <c r="B12218" s="952"/>
      <c r="C12218" s="907">
        <v>234</v>
      </c>
      <c r="D12218" s="907" t="s">
        <v>279</v>
      </c>
      <c r="E12218" s="992" t="s">
        <v>5983</v>
      </c>
      <c r="F12218" s="905" t="s">
        <v>3144</v>
      </c>
      <c r="G12218" s="1005"/>
      <c r="H12218" s="911">
        <v>0.05</v>
      </c>
      <c r="I12218" s="912">
        <f>VLOOKUP(E12218,[3]VLP!$B$7:$K$300,10,0)</f>
        <v>14000</v>
      </c>
      <c r="J12218" s="912">
        <f>I12218*H12218</f>
        <v>700</v>
      </c>
      <c r="K12218" s="912" t="s">
        <v>274</v>
      </c>
      <c r="L12218" s="912"/>
      <c r="M12218" s="912"/>
      <c r="N12218" s="912"/>
      <c r="O12218" s="892">
        <f t="shared" si="981"/>
        <v>0</v>
      </c>
      <c r="P12218" s="903">
        <f t="shared" si="982"/>
        <v>1</v>
      </c>
      <c r="Q12218" s="893">
        <f t="shared" si="983"/>
        <v>4</v>
      </c>
      <c r="R12218" s="894">
        <f t="shared" si="984"/>
        <v>0</v>
      </c>
    </row>
    <row r="12219" spans="1:18">
      <c r="A12219" s="905"/>
      <c r="B12219" s="952"/>
      <c r="C12219" s="907">
        <v>699</v>
      </c>
      <c r="D12219" s="907" t="s">
        <v>279</v>
      </c>
      <c r="E12219" s="992" t="s">
        <v>4006</v>
      </c>
      <c r="F12219" s="905" t="s">
        <v>4007</v>
      </c>
      <c r="G12219" s="1005"/>
      <c r="H12219" s="911">
        <v>10</v>
      </c>
      <c r="I12219" s="912">
        <f>VLOOKUP(E12219,[3]VLP!$B$7:$K$300,10,0)</f>
        <v>5000</v>
      </c>
      <c r="J12219" s="912">
        <f>I12219*H12219</f>
        <v>50000</v>
      </c>
      <c r="K12219" s="912" t="s">
        <v>274</v>
      </c>
      <c r="L12219" s="912"/>
      <c r="M12219" s="912"/>
      <c r="N12219" s="912"/>
      <c r="O12219" s="892">
        <f t="shared" si="981"/>
        <v>0</v>
      </c>
      <c r="P12219" s="903">
        <f t="shared" si="982"/>
        <v>1</v>
      </c>
      <c r="Q12219" s="893">
        <f t="shared" si="983"/>
        <v>3</v>
      </c>
      <c r="R12219" s="894">
        <f t="shared" si="984"/>
        <v>0</v>
      </c>
    </row>
    <row r="12220" spans="1:18" s="847" customFormat="1">
      <c r="A12220" s="895"/>
      <c r="B12220" s="896"/>
      <c r="C12220" s="897"/>
      <c r="D12220" s="897"/>
      <c r="E12220" s="1002" t="s">
        <v>276</v>
      </c>
      <c r="F12220" s="1003"/>
      <c r="G12220" s="1004"/>
      <c r="H12220" s="901"/>
      <c r="I12220" s="902"/>
      <c r="J12220" s="902"/>
      <c r="K12220" s="912" t="s">
        <v>274</v>
      </c>
      <c r="L12220" s="902"/>
      <c r="M12220" s="902"/>
      <c r="N12220" s="902"/>
      <c r="O12220" s="892">
        <f t="shared" si="981"/>
        <v>0</v>
      </c>
      <c r="P12220" s="903">
        <f t="shared" si="982"/>
        <v>1</v>
      </c>
      <c r="Q12220" s="893">
        <f t="shared" si="983"/>
        <v>2</v>
      </c>
      <c r="R12220" s="894">
        <f t="shared" si="984"/>
        <v>0</v>
      </c>
    </row>
    <row r="12221" spans="1:18" s="904" customFormat="1">
      <c r="A12221" s="905"/>
      <c r="B12221" s="952"/>
      <c r="C12221" s="907">
        <v>740</v>
      </c>
      <c r="D12221" s="907" t="s">
        <v>12</v>
      </c>
      <c r="E12221" s="992" t="s">
        <v>4008</v>
      </c>
      <c r="F12221" s="905" t="s">
        <v>2674</v>
      </c>
      <c r="G12221" s="1005"/>
      <c r="H12221" s="911">
        <v>0.17</v>
      </c>
      <c r="I12221" s="912"/>
      <c r="J12221" s="912"/>
      <c r="K12221" s="912">
        <f>VLOOKUP(E12221,[5]ĐMNC!$A$7:$F$67,4,0)</f>
        <v>221125</v>
      </c>
      <c r="L12221" s="912">
        <f>H12221*K12221</f>
        <v>37591.25</v>
      </c>
      <c r="M12221" s="912"/>
      <c r="N12221" s="912"/>
      <c r="O12221" s="892">
        <f t="shared" si="981"/>
        <v>0</v>
      </c>
      <c r="P12221" s="903">
        <f t="shared" si="982"/>
        <v>1</v>
      </c>
      <c r="Q12221" s="893">
        <f t="shared" si="983"/>
        <v>1</v>
      </c>
      <c r="R12221" s="894">
        <f t="shared" si="984"/>
        <v>0</v>
      </c>
    </row>
    <row r="12222" spans="1:18" s="904" customFormat="1" ht="31.5">
      <c r="A12222" s="905">
        <v>654</v>
      </c>
      <c r="B12222" s="1018" t="s">
        <v>7106</v>
      </c>
      <c r="C12222" s="915"/>
      <c r="D12222" s="915"/>
      <c r="E12222" s="1006" t="s">
        <v>7107</v>
      </c>
      <c r="F12222" s="917" t="s">
        <v>49</v>
      </c>
      <c r="G12222" s="1008"/>
      <c r="H12222" s="919"/>
      <c r="I12222" s="920"/>
      <c r="J12222" s="891">
        <f>SUM(J12223:J12228)</f>
        <v>51200</v>
      </c>
      <c r="K12222" s="891"/>
      <c r="L12222" s="891">
        <f>SUM(L12223:L12228)</f>
        <v>66337.5</v>
      </c>
      <c r="M12222" s="891"/>
      <c r="N12222" s="891">
        <f>SUM(N12223:N12228)</f>
        <v>0</v>
      </c>
      <c r="O12222" s="892">
        <f t="shared" si="981"/>
        <v>1</v>
      </c>
      <c r="P12222" s="903">
        <f t="shared" si="982"/>
        <v>0</v>
      </c>
      <c r="Q12222" s="893">
        <f t="shared" si="983"/>
        <v>0</v>
      </c>
      <c r="R12222" s="894">
        <f t="shared" si="984"/>
        <v>6</v>
      </c>
    </row>
    <row r="12223" spans="1:18">
      <c r="A12223" s="895"/>
      <c r="B12223" s="896"/>
      <c r="C12223" s="897"/>
      <c r="D12223" s="897"/>
      <c r="E12223" s="1002" t="s">
        <v>108</v>
      </c>
      <c r="F12223" s="1003"/>
      <c r="G12223" s="1004"/>
      <c r="H12223" s="901"/>
      <c r="I12223" s="902"/>
      <c r="J12223" s="902"/>
      <c r="K12223" s="912" t="s">
        <v>274</v>
      </c>
      <c r="L12223" s="902"/>
      <c r="M12223" s="902"/>
      <c r="N12223" s="902"/>
      <c r="O12223" s="892">
        <f t="shared" si="981"/>
        <v>0</v>
      </c>
      <c r="P12223" s="903">
        <f t="shared" si="982"/>
        <v>1</v>
      </c>
      <c r="Q12223" s="893">
        <f t="shared" si="983"/>
        <v>6</v>
      </c>
      <c r="R12223" s="894">
        <f t="shared" si="984"/>
        <v>0</v>
      </c>
    </row>
    <row r="12224" spans="1:18">
      <c r="A12224" s="905"/>
      <c r="B12224" s="952"/>
      <c r="C12224" s="907">
        <v>235</v>
      </c>
      <c r="D12224" s="907" t="s">
        <v>279</v>
      </c>
      <c r="E12224" s="992" t="s">
        <v>2682</v>
      </c>
      <c r="F12224" s="905" t="s">
        <v>45</v>
      </c>
      <c r="G12224" s="1005"/>
      <c r="H12224" s="911">
        <v>0.1</v>
      </c>
      <c r="I12224" s="912">
        <f>VLOOKUP(E12224,[3]VLP!$B$7:$K$300,10,0)</f>
        <v>5000</v>
      </c>
      <c r="J12224" s="912">
        <f>I12224*H12224</f>
        <v>500</v>
      </c>
      <c r="K12224" s="912" t="s">
        <v>274</v>
      </c>
      <c r="L12224" s="912"/>
      <c r="M12224" s="912"/>
      <c r="N12224" s="912"/>
      <c r="O12224" s="892">
        <f t="shared" si="981"/>
        <v>0</v>
      </c>
      <c r="P12224" s="903">
        <f t="shared" si="982"/>
        <v>1</v>
      </c>
      <c r="Q12224" s="893">
        <f t="shared" si="983"/>
        <v>5</v>
      </c>
      <c r="R12224" s="894">
        <f t="shared" si="984"/>
        <v>0</v>
      </c>
    </row>
    <row r="12225" spans="1:18" s="904" customFormat="1">
      <c r="A12225" s="905"/>
      <c r="B12225" s="952"/>
      <c r="C12225" s="907">
        <v>234</v>
      </c>
      <c r="D12225" s="907" t="s">
        <v>279</v>
      </c>
      <c r="E12225" s="992" t="s">
        <v>5983</v>
      </c>
      <c r="F12225" s="905" t="s">
        <v>3144</v>
      </c>
      <c r="G12225" s="1005"/>
      <c r="H12225" s="911">
        <v>0.05</v>
      </c>
      <c r="I12225" s="912">
        <f>VLOOKUP(E12225,[3]VLP!$B$7:$K$300,10,0)</f>
        <v>14000</v>
      </c>
      <c r="J12225" s="912">
        <f>I12225*H12225</f>
        <v>700</v>
      </c>
      <c r="K12225" s="912" t="s">
        <v>274</v>
      </c>
      <c r="L12225" s="912"/>
      <c r="M12225" s="912"/>
      <c r="N12225" s="912"/>
      <c r="O12225" s="892">
        <f t="shared" si="981"/>
        <v>0</v>
      </c>
      <c r="P12225" s="903">
        <f t="shared" si="982"/>
        <v>1</v>
      </c>
      <c r="Q12225" s="893">
        <f t="shared" si="983"/>
        <v>4</v>
      </c>
      <c r="R12225" s="894">
        <f t="shared" si="984"/>
        <v>0</v>
      </c>
    </row>
    <row r="12226" spans="1:18">
      <c r="A12226" s="905"/>
      <c r="B12226" s="952"/>
      <c r="C12226" s="907">
        <v>699</v>
      </c>
      <c r="D12226" s="907" t="s">
        <v>279</v>
      </c>
      <c r="E12226" s="992" t="s">
        <v>4006</v>
      </c>
      <c r="F12226" s="905" t="s">
        <v>4007</v>
      </c>
      <c r="G12226" s="1005"/>
      <c r="H12226" s="911">
        <v>10</v>
      </c>
      <c r="I12226" s="912">
        <f>VLOOKUP(E12226,[3]VLP!$B$7:$K$300,10,0)</f>
        <v>5000</v>
      </c>
      <c r="J12226" s="912">
        <f>I12226*H12226</f>
        <v>50000</v>
      </c>
      <c r="K12226" s="912" t="s">
        <v>274</v>
      </c>
      <c r="L12226" s="912"/>
      <c r="M12226" s="912"/>
      <c r="N12226" s="912"/>
      <c r="O12226" s="892">
        <f t="shared" si="981"/>
        <v>0</v>
      </c>
      <c r="P12226" s="903">
        <f t="shared" si="982"/>
        <v>1</v>
      </c>
      <c r="Q12226" s="893">
        <f t="shared" si="983"/>
        <v>3</v>
      </c>
      <c r="R12226" s="894">
        <f t="shared" si="984"/>
        <v>0</v>
      </c>
    </row>
    <row r="12227" spans="1:18" s="847" customFormat="1">
      <c r="A12227" s="895"/>
      <c r="B12227" s="896"/>
      <c r="C12227" s="897"/>
      <c r="D12227" s="897"/>
      <c r="E12227" s="1002" t="s">
        <v>276</v>
      </c>
      <c r="F12227" s="1003"/>
      <c r="G12227" s="1004"/>
      <c r="H12227" s="901"/>
      <c r="I12227" s="902"/>
      <c r="J12227" s="902"/>
      <c r="K12227" s="912" t="s">
        <v>274</v>
      </c>
      <c r="L12227" s="902"/>
      <c r="M12227" s="902"/>
      <c r="N12227" s="902"/>
      <c r="O12227" s="892">
        <f t="shared" si="981"/>
        <v>0</v>
      </c>
      <c r="P12227" s="903">
        <f t="shared" si="982"/>
        <v>1</v>
      </c>
      <c r="Q12227" s="893">
        <f t="shared" si="983"/>
        <v>2</v>
      </c>
      <c r="R12227" s="894">
        <f t="shared" si="984"/>
        <v>0</v>
      </c>
    </row>
    <row r="12228" spans="1:18" s="904" customFormat="1">
      <c r="A12228" s="905"/>
      <c r="B12228" s="952"/>
      <c r="C12228" s="907">
        <v>740</v>
      </c>
      <c r="D12228" s="907" t="s">
        <v>12</v>
      </c>
      <c r="E12228" s="992" t="s">
        <v>4008</v>
      </c>
      <c r="F12228" s="905" t="s">
        <v>2674</v>
      </c>
      <c r="G12228" s="1005"/>
      <c r="H12228" s="911">
        <v>0.3</v>
      </c>
      <c r="I12228" s="912"/>
      <c r="J12228" s="912"/>
      <c r="K12228" s="912">
        <f>VLOOKUP(E12228,[5]ĐMNC!$A$7:$F$67,4,0)</f>
        <v>221125</v>
      </c>
      <c r="L12228" s="912">
        <f>H12228*K12228</f>
        <v>66337.5</v>
      </c>
      <c r="M12228" s="912"/>
      <c r="N12228" s="912"/>
      <c r="O12228" s="892">
        <f t="shared" si="981"/>
        <v>0</v>
      </c>
      <c r="P12228" s="903">
        <f t="shared" si="982"/>
        <v>1</v>
      </c>
      <c r="Q12228" s="893">
        <f t="shared" si="983"/>
        <v>1</v>
      </c>
      <c r="R12228" s="894">
        <f t="shared" si="984"/>
        <v>0</v>
      </c>
    </row>
    <row r="12229" spans="1:18" s="904" customFormat="1" ht="31.5">
      <c r="A12229" s="905">
        <v>654</v>
      </c>
      <c r="B12229" s="1018" t="s">
        <v>7108</v>
      </c>
      <c r="C12229" s="915"/>
      <c r="D12229" s="915"/>
      <c r="E12229" s="1006" t="s">
        <v>7109</v>
      </c>
      <c r="F12229" s="917" t="s">
        <v>49</v>
      </c>
      <c r="G12229" s="1008"/>
      <c r="H12229" s="919"/>
      <c r="I12229" s="920"/>
      <c r="J12229" s="891">
        <f>SUM(J12230:J12235)</f>
        <v>51450</v>
      </c>
      <c r="K12229" s="891"/>
      <c r="L12229" s="891">
        <f>SUM(L12230:L12235)</f>
        <v>112773.75</v>
      </c>
      <c r="M12229" s="891"/>
      <c r="N12229" s="891">
        <f>SUM(N12230:N12235)</f>
        <v>0</v>
      </c>
      <c r="O12229" s="892">
        <f t="shared" si="981"/>
        <v>1</v>
      </c>
      <c r="P12229" s="903">
        <f t="shared" si="982"/>
        <v>0</v>
      </c>
      <c r="Q12229" s="893">
        <f t="shared" si="983"/>
        <v>0</v>
      </c>
      <c r="R12229" s="894">
        <f t="shared" si="984"/>
        <v>6</v>
      </c>
    </row>
    <row r="12230" spans="1:18">
      <c r="A12230" s="895"/>
      <c r="B12230" s="896"/>
      <c r="C12230" s="897"/>
      <c r="D12230" s="897"/>
      <c r="E12230" s="1002" t="s">
        <v>108</v>
      </c>
      <c r="F12230" s="1003"/>
      <c r="G12230" s="1004"/>
      <c r="H12230" s="901"/>
      <c r="I12230" s="902"/>
      <c r="J12230" s="902"/>
      <c r="K12230" s="912" t="s">
        <v>274</v>
      </c>
      <c r="L12230" s="902"/>
      <c r="M12230" s="902"/>
      <c r="N12230" s="902"/>
      <c r="O12230" s="892">
        <f t="shared" si="981"/>
        <v>0</v>
      </c>
      <c r="P12230" s="903">
        <f t="shared" si="982"/>
        <v>1</v>
      </c>
      <c r="Q12230" s="893">
        <f t="shared" si="983"/>
        <v>6</v>
      </c>
      <c r="R12230" s="894">
        <f t="shared" si="984"/>
        <v>0</v>
      </c>
    </row>
    <row r="12231" spans="1:18">
      <c r="A12231" s="905"/>
      <c r="B12231" s="952"/>
      <c r="C12231" s="907">
        <v>235</v>
      </c>
      <c r="D12231" s="907" t="s">
        <v>279</v>
      </c>
      <c r="E12231" s="992" t="s">
        <v>2682</v>
      </c>
      <c r="F12231" s="905" t="s">
        <v>45</v>
      </c>
      <c r="G12231" s="1005"/>
      <c r="H12231" s="911">
        <v>0.15</v>
      </c>
      <c r="I12231" s="912">
        <f>VLOOKUP(E12231,[3]VLP!$B$7:$K$300,10,0)</f>
        <v>5000</v>
      </c>
      <c r="J12231" s="912">
        <f>I12231*H12231</f>
        <v>750</v>
      </c>
      <c r="K12231" s="912" t="s">
        <v>274</v>
      </c>
      <c r="L12231" s="912"/>
      <c r="M12231" s="912"/>
      <c r="N12231" s="912"/>
      <c r="O12231" s="892">
        <f t="shared" si="981"/>
        <v>0</v>
      </c>
      <c r="P12231" s="903">
        <f t="shared" si="982"/>
        <v>1</v>
      </c>
      <c r="Q12231" s="893">
        <f t="shared" si="983"/>
        <v>5</v>
      </c>
      <c r="R12231" s="894">
        <f t="shared" si="984"/>
        <v>0</v>
      </c>
    </row>
    <row r="12232" spans="1:18" s="904" customFormat="1">
      <c r="A12232" s="905"/>
      <c r="B12232" s="952"/>
      <c r="C12232" s="907">
        <v>234</v>
      </c>
      <c r="D12232" s="907" t="s">
        <v>279</v>
      </c>
      <c r="E12232" s="992" t="s">
        <v>5983</v>
      </c>
      <c r="F12232" s="905" t="s">
        <v>3144</v>
      </c>
      <c r="G12232" s="1005"/>
      <c r="H12232" s="911">
        <v>0.05</v>
      </c>
      <c r="I12232" s="912">
        <f>VLOOKUP(E12232,[3]VLP!$B$7:$K$300,10,0)</f>
        <v>14000</v>
      </c>
      <c r="J12232" s="912">
        <f>I12232*H12232</f>
        <v>700</v>
      </c>
      <c r="K12232" s="912" t="s">
        <v>274</v>
      </c>
      <c r="L12232" s="912"/>
      <c r="M12232" s="912"/>
      <c r="N12232" s="912"/>
      <c r="O12232" s="892">
        <f t="shared" si="981"/>
        <v>0</v>
      </c>
      <c r="P12232" s="903">
        <f t="shared" si="982"/>
        <v>1</v>
      </c>
      <c r="Q12232" s="893">
        <f t="shared" si="983"/>
        <v>4</v>
      </c>
      <c r="R12232" s="894">
        <f t="shared" si="984"/>
        <v>0</v>
      </c>
    </row>
    <row r="12233" spans="1:18">
      <c r="A12233" s="905"/>
      <c r="B12233" s="952"/>
      <c r="C12233" s="907">
        <v>699</v>
      </c>
      <c r="D12233" s="907" t="s">
        <v>279</v>
      </c>
      <c r="E12233" s="992" t="s">
        <v>4006</v>
      </c>
      <c r="F12233" s="905" t="s">
        <v>4007</v>
      </c>
      <c r="G12233" s="1005"/>
      <c r="H12233" s="911">
        <v>10</v>
      </c>
      <c r="I12233" s="912">
        <f>VLOOKUP(E12233,[3]VLP!$B$7:$K$300,10,0)</f>
        <v>5000</v>
      </c>
      <c r="J12233" s="912">
        <f>I12233*H12233</f>
        <v>50000</v>
      </c>
      <c r="K12233" s="912" t="s">
        <v>274</v>
      </c>
      <c r="L12233" s="912"/>
      <c r="M12233" s="912"/>
      <c r="N12233" s="912"/>
      <c r="O12233" s="892">
        <f t="shared" si="981"/>
        <v>0</v>
      </c>
      <c r="P12233" s="903">
        <f t="shared" si="982"/>
        <v>1</v>
      </c>
      <c r="Q12233" s="893">
        <f t="shared" si="983"/>
        <v>3</v>
      </c>
      <c r="R12233" s="894">
        <f t="shared" si="984"/>
        <v>0</v>
      </c>
    </row>
    <row r="12234" spans="1:18" s="847" customFormat="1">
      <c r="A12234" s="895"/>
      <c r="B12234" s="896"/>
      <c r="C12234" s="897"/>
      <c r="D12234" s="897"/>
      <c r="E12234" s="1002" t="s">
        <v>276</v>
      </c>
      <c r="F12234" s="1003"/>
      <c r="G12234" s="1004"/>
      <c r="H12234" s="901"/>
      <c r="I12234" s="902"/>
      <c r="J12234" s="902"/>
      <c r="K12234" s="912" t="s">
        <v>274</v>
      </c>
      <c r="L12234" s="902"/>
      <c r="M12234" s="902"/>
      <c r="N12234" s="902"/>
      <c r="O12234" s="892">
        <f t="shared" si="981"/>
        <v>0</v>
      </c>
      <c r="P12234" s="903">
        <f t="shared" si="982"/>
        <v>1</v>
      </c>
      <c r="Q12234" s="893">
        <f t="shared" si="983"/>
        <v>2</v>
      </c>
      <c r="R12234" s="894">
        <f t="shared" si="984"/>
        <v>0</v>
      </c>
    </row>
    <row r="12235" spans="1:18" s="904" customFormat="1">
      <c r="A12235" s="905"/>
      <c r="B12235" s="952"/>
      <c r="C12235" s="907">
        <v>740</v>
      </c>
      <c r="D12235" s="907" t="s">
        <v>12</v>
      </c>
      <c r="E12235" s="992" t="s">
        <v>4008</v>
      </c>
      <c r="F12235" s="905" t="s">
        <v>2674</v>
      </c>
      <c r="G12235" s="1005"/>
      <c r="H12235" s="911">
        <v>0.51</v>
      </c>
      <c r="I12235" s="912"/>
      <c r="J12235" s="912"/>
      <c r="K12235" s="912">
        <f>VLOOKUP(E12235,[5]ĐMNC!$A$7:$F$67,4,0)</f>
        <v>221125</v>
      </c>
      <c r="L12235" s="912">
        <f>H12235*K12235</f>
        <v>112773.75</v>
      </c>
      <c r="M12235" s="912"/>
      <c r="N12235" s="912"/>
      <c r="O12235" s="892">
        <f t="shared" si="981"/>
        <v>0</v>
      </c>
      <c r="P12235" s="903">
        <f t="shared" si="982"/>
        <v>1</v>
      </c>
      <c r="Q12235" s="893">
        <f t="shared" si="983"/>
        <v>1</v>
      </c>
      <c r="R12235" s="894">
        <f t="shared" si="984"/>
        <v>0</v>
      </c>
    </row>
    <row r="12236" spans="1:18" s="904" customFormat="1" ht="31.5">
      <c r="A12236" s="905">
        <v>654</v>
      </c>
      <c r="B12236" s="1018" t="s">
        <v>7110</v>
      </c>
      <c r="C12236" s="915"/>
      <c r="D12236" s="915"/>
      <c r="E12236" s="1006" t="s">
        <v>7109</v>
      </c>
      <c r="F12236" s="917" t="s">
        <v>49</v>
      </c>
      <c r="G12236" s="1008"/>
      <c r="H12236" s="919"/>
      <c r="I12236" s="920"/>
      <c r="J12236" s="891">
        <f>SUM(J12237:J12242)</f>
        <v>51700</v>
      </c>
      <c r="K12236" s="891"/>
      <c r="L12236" s="891">
        <f>SUM(L12237:L12242)</f>
        <v>130463.75</v>
      </c>
      <c r="M12236" s="891"/>
      <c r="N12236" s="891">
        <f>SUM(N12237:N12242)</f>
        <v>0</v>
      </c>
      <c r="O12236" s="892">
        <f t="shared" si="981"/>
        <v>1</v>
      </c>
      <c r="P12236" s="903">
        <f t="shared" si="982"/>
        <v>0</v>
      </c>
      <c r="Q12236" s="893">
        <f t="shared" si="983"/>
        <v>0</v>
      </c>
      <c r="R12236" s="894">
        <f t="shared" si="984"/>
        <v>6</v>
      </c>
    </row>
    <row r="12237" spans="1:18">
      <c r="A12237" s="895"/>
      <c r="B12237" s="896"/>
      <c r="C12237" s="897"/>
      <c r="D12237" s="897"/>
      <c r="E12237" s="1002" t="s">
        <v>108</v>
      </c>
      <c r="F12237" s="1003"/>
      <c r="G12237" s="1004"/>
      <c r="H12237" s="901"/>
      <c r="I12237" s="902"/>
      <c r="J12237" s="902"/>
      <c r="K12237" s="912" t="s">
        <v>274</v>
      </c>
      <c r="L12237" s="902"/>
      <c r="M12237" s="902"/>
      <c r="N12237" s="902"/>
      <c r="O12237" s="892">
        <f t="shared" si="981"/>
        <v>0</v>
      </c>
      <c r="P12237" s="903">
        <f t="shared" si="982"/>
        <v>1</v>
      </c>
      <c r="Q12237" s="893">
        <f t="shared" si="983"/>
        <v>6</v>
      </c>
      <c r="R12237" s="894">
        <f t="shared" si="984"/>
        <v>0</v>
      </c>
    </row>
    <row r="12238" spans="1:18">
      <c r="A12238" s="905"/>
      <c r="B12238" s="952"/>
      <c r="C12238" s="907">
        <v>235</v>
      </c>
      <c r="D12238" s="907" t="s">
        <v>279</v>
      </c>
      <c r="E12238" s="992" t="s">
        <v>2682</v>
      </c>
      <c r="F12238" s="905" t="s">
        <v>45</v>
      </c>
      <c r="G12238" s="1005"/>
      <c r="H12238" s="911">
        <v>0.2</v>
      </c>
      <c r="I12238" s="912">
        <f>VLOOKUP(E12238,[3]VLP!$B$7:$K$300,10,0)</f>
        <v>5000</v>
      </c>
      <c r="J12238" s="912">
        <f>I12238*H12238</f>
        <v>1000</v>
      </c>
      <c r="K12238" s="912" t="s">
        <v>274</v>
      </c>
      <c r="L12238" s="912"/>
      <c r="M12238" s="912"/>
      <c r="N12238" s="912"/>
      <c r="O12238" s="892">
        <f t="shared" si="981"/>
        <v>0</v>
      </c>
      <c r="P12238" s="903">
        <f t="shared" si="982"/>
        <v>1</v>
      </c>
      <c r="Q12238" s="893">
        <f t="shared" si="983"/>
        <v>5</v>
      </c>
      <c r="R12238" s="894">
        <f t="shared" si="984"/>
        <v>0</v>
      </c>
    </row>
    <row r="12239" spans="1:18" s="904" customFormat="1">
      <c r="A12239" s="905"/>
      <c r="B12239" s="952"/>
      <c r="C12239" s="907">
        <v>234</v>
      </c>
      <c r="D12239" s="907" t="s">
        <v>279</v>
      </c>
      <c r="E12239" s="992" t="s">
        <v>5983</v>
      </c>
      <c r="F12239" s="905" t="s">
        <v>3144</v>
      </c>
      <c r="G12239" s="1005"/>
      <c r="H12239" s="911">
        <v>0.05</v>
      </c>
      <c r="I12239" s="912">
        <f>VLOOKUP(E12239,[3]VLP!$B$7:$K$300,10,0)</f>
        <v>14000</v>
      </c>
      <c r="J12239" s="912">
        <f>I12239*H12239</f>
        <v>700</v>
      </c>
      <c r="K12239" s="912" t="s">
        <v>274</v>
      </c>
      <c r="L12239" s="912"/>
      <c r="M12239" s="912"/>
      <c r="N12239" s="912"/>
      <c r="O12239" s="892">
        <f t="shared" si="981"/>
        <v>0</v>
      </c>
      <c r="P12239" s="903">
        <f t="shared" si="982"/>
        <v>1</v>
      </c>
      <c r="Q12239" s="893">
        <f t="shared" si="983"/>
        <v>4</v>
      </c>
      <c r="R12239" s="894">
        <f t="shared" si="984"/>
        <v>0</v>
      </c>
    </row>
    <row r="12240" spans="1:18">
      <c r="A12240" s="905"/>
      <c r="B12240" s="952"/>
      <c r="C12240" s="907">
        <v>699</v>
      </c>
      <c r="D12240" s="907" t="s">
        <v>279</v>
      </c>
      <c r="E12240" s="992" t="s">
        <v>4006</v>
      </c>
      <c r="F12240" s="905" t="s">
        <v>4007</v>
      </c>
      <c r="G12240" s="1005"/>
      <c r="H12240" s="911">
        <v>10</v>
      </c>
      <c r="I12240" s="912">
        <f>VLOOKUP(E12240,[3]VLP!$B$7:$K$300,10,0)</f>
        <v>5000</v>
      </c>
      <c r="J12240" s="912">
        <f>I12240*H12240</f>
        <v>50000</v>
      </c>
      <c r="K12240" s="912" t="s">
        <v>274</v>
      </c>
      <c r="L12240" s="912"/>
      <c r="M12240" s="912"/>
      <c r="N12240" s="912"/>
      <c r="O12240" s="892">
        <f t="shared" si="981"/>
        <v>0</v>
      </c>
      <c r="P12240" s="903">
        <f t="shared" si="982"/>
        <v>1</v>
      </c>
      <c r="Q12240" s="893">
        <f t="shared" si="983"/>
        <v>3</v>
      </c>
      <c r="R12240" s="894">
        <f t="shared" si="984"/>
        <v>0</v>
      </c>
    </row>
    <row r="12241" spans="1:18" s="847" customFormat="1">
      <c r="A12241" s="895"/>
      <c r="B12241" s="896"/>
      <c r="C12241" s="897"/>
      <c r="D12241" s="897"/>
      <c r="E12241" s="1002" t="s">
        <v>276</v>
      </c>
      <c r="F12241" s="1003"/>
      <c r="G12241" s="1004"/>
      <c r="H12241" s="901"/>
      <c r="I12241" s="902"/>
      <c r="J12241" s="902"/>
      <c r="K12241" s="912" t="s">
        <v>274</v>
      </c>
      <c r="L12241" s="902"/>
      <c r="M12241" s="902"/>
      <c r="N12241" s="902"/>
      <c r="O12241" s="892">
        <f t="shared" si="981"/>
        <v>0</v>
      </c>
      <c r="P12241" s="903">
        <f t="shared" si="982"/>
        <v>1</v>
      </c>
      <c r="Q12241" s="893">
        <f t="shared" si="983"/>
        <v>2</v>
      </c>
      <c r="R12241" s="894">
        <f t="shared" si="984"/>
        <v>0</v>
      </c>
    </row>
    <row r="12242" spans="1:18" s="904" customFormat="1">
      <c r="A12242" s="905"/>
      <c r="B12242" s="952"/>
      <c r="C12242" s="907">
        <v>740</v>
      </c>
      <c r="D12242" s="907" t="s">
        <v>12</v>
      </c>
      <c r="E12242" s="992" t="s">
        <v>4008</v>
      </c>
      <c r="F12242" s="905" t="s">
        <v>2674</v>
      </c>
      <c r="G12242" s="1005"/>
      <c r="H12242" s="911">
        <v>0.59</v>
      </c>
      <c r="I12242" s="912"/>
      <c r="J12242" s="912"/>
      <c r="K12242" s="912">
        <f>VLOOKUP(E12242,[5]ĐMNC!$A$7:$F$67,4,0)</f>
        <v>221125</v>
      </c>
      <c r="L12242" s="912">
        <f>H12242*K12242</f>
        <v>130463.75</v>
      </c>
      <c r="M12242" s="912"/>
      <c r="N12242" s="912"/>
      <c r="O12242" s="892">
        <f t="shared" si="981"/>
        <v>0</v>
      </c>
      <c r="P12242" s="903">
        <f t="shared" si="982"/>
        <v>1</v>
      </c>
      <c r="Q12242" s="893">
        <f t="shared" si="983"/>
        <v>1</v>
      </c>
      <c r="R12242" s="894">
        <f t="shared" si="984"/>
        <v>0</v>
      </c>
    </row>
    <row r="12243" spans="1:18">
      <c r="A12243" s="905" t="s">
        <v>7111</v>
      </c>
      <c r="B12243" s="1018" t="s">
        <v>7112</v>
      </c>
      <c r="C12243" s="915"/>
      <c r="D12243" s="915"/>
      <c r="E12243" s="1006" t="s">
        <v>7113</v>
      </c>
      <c r="F12243" s="917" t="s">
        <v>1828</v>
      </c>
      <c r="G12243" s="1008"/>
      <c r="H12243" s="919"/>
      <c r="I12243" s="920"/>
      <c r="J12243" s="962">
        <f>SUM(J12244:J12252)</f>
        <v>57613.599999999999</v>
      </c>
      <c r="K12243" s="891" t="s">
        <v>274</v>
      </c>
      <c r="L12243" s="962">
        <f>SUM(L12244:L12252)</f>
        <v>154787.5</v>
      </c>
      <c r="M12243" s="962"/>
      <c r="N12243" s="962">
        <f>SUM(N12244:N12252)</f>
        <v>14408.42</v>
      </c>
      <c r="O12243" s="892">
        <f t="shared" si="981"/>
        <v>1</v>
      </c>
      <c r="P12243" s="903">
        <f t="shared" si="982"/>
        <v>0</v>
      </c>
      <c r="Q12243" s="893">
        <f t="shared" si="983"/>
        <v>0</v>
      </c>
      <c r="R12243" s="894">
        <f t="shared" si="984"/>
        <v>9</v>
      </c>
    </row>
    <row r="12244" spans="1:18">
      <c r="A12244" s="895"/>
      <c r="B12244" s="896"/>
      <c r="C12244" s="897"/>
      <c r="D12244" s="897"/>
      <c r="E12244" s="1002" t="s">
        <v>108</v>
      </c>
      <c r="F12244" s="1003"/>
      <c r="G12244" s="1004"/>
      <c r="H12244" s="901"/>
      <c r="I12244" s="902"/>
      <c r="J12244" s="902"/>
      <c r="K12244" s="912" t="s">
        <v>274</v>
      </c>
      <c r="L12244" s="902"/>
      <c r="M12244" s="902"/>
      <c r="N12244" s="902"/>
      <c r="O12244" s="892">
        <f t="shared" si="981"/>
        <v>0</v>
      </c>
      <c r="P12244" s="903">
        <f t="shared" si="982"/>
        <v>1</v>
      </c>
      <c r="Q12244" s="893">
        <f t="shared" si="983"/>
        <v>9</v>
      </c>
      <c r="R12244" s="894">
        <f t="shared" si="984"/>
        <v>0</v>
      </c>
    </row>
    <row r="12245" spans="1:18" s="904" customFormat="1">
      <c r="A12245" s="905"/>
      <c r="B12245" s="952"/>
      <c r="C12245" s="907">
        <v>235</v>
      </c>
      <c r="D12245" s="907" t="s">
        <v>279</v>
      </c>
      <c r="E12245" s="992" t="s">
        <v>2682</v>
      </c>
      <c r="F12245" s="905" t="s">
        <v>45</v>
      </c>
      <c r="G12245" s="1005"/>
      <c r="H12245" s="911">
        <v>0.05</v>
      </c>
      <c r="I12245" s="912">
        <f>VLOOKUP(E12245,[3]VLP!$B$7:$K$300,10,0)</f>
        <v>5000</v>
      </c>
      <c r="J12245" s="912">
        <f>I12245*H12245</f>
        <v>250</v>
      </c>
      <c r="K12245" s="912" t="s">
        <v>274</v>
      </c>
      <c r="L12245" s="912"/>
      <c r="M12245" s="912"/>
      <c r="N12245" s="912"/>
      <c r="O12245" s="892">
        <f t="shared" si="981"/>
        <v>0</v>
      </c>
      <c r="P12245" s="903">
        <f t="shared" si="982"/>
        <v>1</v>
      </c>
      <c r="Q12245" s="893">
        <f t="shared" si="983"/>
        <v>8</v>
      </c>
      <c r="R12245" s="894">
        <f t="shared" si="984"/>
        <v>0</v>
      </c>
    </row>
    <row r="12246" spans="1:18">
      <c r="A12246" s="905"/>
      <c r="B12246" s="952"/>
      <c r="C12246" s="907">
        <v>310</v>
      </c>
      <c r="D12246" s="907" t="s">
        <v>279</v>
      </c>
      <c r="E12246" s="992" t="s">
        <v>4017</v>
      </c>
      <c r="F12246" s="905" t="s">
        <v>45</v>
      </c>
      <c r="G12246" s="1005"/>
      <c r="H12246" s="911">
        <v>0.1</v>
      </c>
      <c r="I12246" s="912">
        <f>VLOOKUP(E12246,[3]VLP!$B$7:$K$300,10,0)</f>
        <v>73636</v>
      </c>
      <c r="J12246" s="912">
        <f>I12246*H12246</f>
        <v>7363.6</v>
      </c>
      <c r="K12246" s="912" t="s">
        <v>274</v>
      </c>
      <c r="L12246" s="912"/>
      <c r="M12246" s="912"/>
      <c r="N12246" s="912"/>
      <c r="O12246" s="892">
        <f t="shared" si="981"/>
        <v>0</v>
      </c>
      <c r="P12246" s="903">
        <f t="shared" si="982"/>
        <v>1</v>
      </c>
      <c r="Q12246" s="893">
        <f t="shared" si="983"/>
        <v>7</v>
      </c>
      <c r="R12246" s="894">
        <f t="shared" si="984"/>
        <v>0</v>
      </c>
    </row>
    <row r="12247" spans="1:18" s="847" customFormat="1">
      <c r="A12247" s="905"/>
      <c r="B12247" s="952"/>
      <c r="C12247" s="907">
        <v>699</v>
      </c>
      <c r="D12247" s="907" t="s">
        <v>279</v>
      </c>
      <c r="E12247" s="992" t="s">
        <v>4006</v>
      </c>
      <c r="F12247" s="905" t="s">
        <v>4007</v>
      </c>
      <c r="G12247" s="1005"/>
      <c r="H12247" s="911">
        <v>10</v>
      </c>
      <c r="I12247" s="912">
        <f>VLOOKUP(E12247,[3]VLP!$B$7:$K$300,10,0)</f>
        <v>5000</v>
      </c>
      <c r="J12247" s="912">
        <f>I12247*H12247</f>
        <v>50000</v>
      </c>
      <c r="K12247" s="912" t="s">
        <v>274</v>
      </c>
      <c r="L12247" s="912"/>
      <c r="M12247" s="912"/>
      <c r="N12247" s="912"/>
      <c r="O12247" s="892">
        <f t="shared" si="981"/>
        <v>0</v>
      </c>
      <c r="P12247" s="903">
        <f t="shared" si="982"/>
        <v>1</v>
      </c>
      <c r="Q12247" s="893">
        <f t="shared" si="983"/>
        <v>6</v>
      </c>
      <c r="R12247" s="894">
        <f t="shared" si="984"/>
        <v>0</v>
      </c>
    </row>
    <row r="12248" spans="1:18" s="904" customFormat="1">
      <c r="A12248" s="895"/>
      <c r="B12248" s="896"/>
      <c r="C12248" s="897"/>
      <c r="D12248" s="897"/>
      <c r="E12248" s="1002" t="s">
        <v>276</v>
      </c>
      <c r="F12248" s="1003"/>
      <c r="G12248" s="1004"/>
      <c r="H12248" s="901"/>
      <c r="I12248" s="902"/>
      <c r="J12248" s="902"/>
      <c r="K12248" s="912" t="s">
        <v>274</v>
      </c>
      <c r="L12248" s="902"/>
      <c r="M12248" s="902"/>
      <c r="N12248" s="902"/>
      <c r="O12248" s="892">
        <f t="shared" si="981"/>
        <v>0</v>
      </c>
      <c r="P12248" s="903">
        <f t="shared" si="982"/>
        <v>1</v>
      </c>
      <c r="Q12248" s="893">
        <f t="shared" si="983"/>
        <v>5</v>
      </c>
      <c r="R12248" s="894">
        <f t="shared" si="984"/>
        <v>0</v>
      </c>
    </row>
    <row r="12249" spans="1:18">
      <c r="A12249" s="905"/>
      <c r="B12249" s="952"/>
      <c r="C12249" s="907">
        <v>740</v>
      </c>
      <c r="D12249" s="907" t="s">
        <v>12</v>
      </c>
      <c r="E12249" s="992" t="s">
        <v>4008</v>
      </c>
      <c r="F12249" s="905" t="s">
        <v>2674</v>
      </c>
      <c r="G12249" s="1005"/>
      <c r="H12249" s="911">
        <v>0.7</v>
      </c>
      <c r="I12249" s="912"/>
      <c r="J12249" s="912"/>
      <c r="K12249" s="912">
        <f>VLOOKUP(E12249,[5]ĐMNC!$A$7:$F$67,4,0)</f>
        <v>221125</v>
      </c>
      <c r="L12249" s="912">
        <f>H12249*K12249</f>
        <v>154787.5</v>
      </c>
      <c r="M12249" s="912"/>
      <c r="N12249" s="912"/>
      <c r="O12249" s="892">
        <f t="shared" si="981"/>
        <v>0</v>
      </c>
      <c r="P12249" s="903">
        <f t="shared" si="982"/>
        <v>1</v>
      </c>
      <c r="Q12249" s="893">
        <f t="shared" si="983"/>
        <v>4</v>
      </c>
      <c r="R12249" s="894">
        <f t="shared" si="984"/>
        <v>0</v>
      </c>
    </row>
    <row r="12250" spans="1:18">
      <c r="A12250" s="895"/>
      <c r="B12250" s="896"/>
      <c r="C12250" s="897"/>
      <c r="D12250" s="897"/>
      <c r="E12250" s="1002" t="s">
        <v>3914</v>
      </c>
      <c r="F12250" s="1003"/>
      <c r="G12250" s="1004"/>
      <c r="H12250" s="901"/>
      <c r="I12250" s="902"/>
      <c r="J12250" s="902"/>
      <c r="K12250" s="912" t="s">
        <v>274</v>
      </c>
      <c r="L12250" s="902"/>
      <c r="M12250" s="902"/>
      <c r="N12250" s="902"/>
      <c r="O12250" s="892">
        <f t="shared" si="981"/>
        <v>0</v>
      </c>
      <c r="P12250" s="903">
        <f t="shared" si="982"/>
        <v>1</v>
      </c>
      <c r="Q12250" s="893">
        <f t="shared" si="983"/>
        <v>3</v>
      </c>
      <c r="R12250" s="894">
        <f t="shared" si="984"/>
        <v>0</v>
      </c>
    </row>
    <row r="12251" spans="1:18" s="904" customFormat="1">
      <c r="A12251" s="905"/>
      <c r="B12251" s="952" t="s">
        <v>4993</v>
      </c>
      <c r="C12251" s="907">
        <v>904</v>
      </c>
      <c r="D12251" s="907" t="s">
        <v>93</v>
      </c>
      <c r="E12251" s="992" t="s">
        <v>4994</v>
      </c>
      <c r="F12251" s="905" t="s">
        <v>2673</v>
      </c>
      <c r="G12251" s="1005"/>
      <c r="H12251" s="911">
        <v>0.01</v>
      </c>
      <c r="I12251" s="912"/>
      <c r="J12251" s="912"/>
      <c r="K12251" s="912"/>
      <c r="L12251" s="912"/>
      <c r="M12251" s="912">
        <f>VLOOKUP(B12251,MTC!$B$9:$S$933,12,0)</f>
        <v>1393090</v>
      </c>
      <c r="N12251" s="912">
        <f>M12251*H12251</f>
        <v>13930.9</v>
      </c>
      <c r="O12251" s="892">
        <f t="shared" si="981"/>
        <v>0</v>
      </c>
      <c r="P12251" s="903">
        <f t="shared" si="982"/>
        <v>1</v>
      </c>
      <c r="Q12251" s="893">
        <f t="shared" si="983"/>
        <v>2</v>
      </c>
      <c r="R12251" s="894">
        <f t="shared" si="984"/>
        <v>0</v>
      </c>
    </row>
    <row r="12252" spans="1:18">
      <c r="A12252" s="905"/>
      <c r="B12252" s="952" t="s">
        <v>6879</v>
      </c>
      <c r="C12252" s="907">
        <v>910</v>
      </c>
      <c r="D12252" s="907" t="s">
        <v>93</v>
      </c>
      <c r="E12252" s="992" t="s">
        <v>6880</v>
      </c>
      <c r="F12252" s="905" t="s">
        <v>2673</v>
      </c>
      <c r="G12252" s="1005"/>
      <c r="H12252" s="911">
        <v>0.01</v>
      </c>
      <c r="I12252" s="912"/>
      <c r="J12252" s="912"/>
      <c r="K12252" s="912"/>
      <c r="L12252" s="912"/>
      <c r="M12252" s="912">
        <f>VLOOKUP(B12252,MTC!$B$9:$S$933,12,0)</f>
        <v>47752</v>
      </c>
      <c r="N12252" s="912">
        <f>M12252*H12252</f>
        <v>477.52</v>
      </c>
      <c r="O12252" s="892">
        <f t="shared" si="981"/>
        <v>0</v>
      </c>
      <c r="P12252" s="903">
        <f t="shared" si="982"/>
        <v>1</v>
      </c>
      <c r="Q12252" s="893">
        <f t="shared" si="983"/>
        <v>1</v>
      </c>
      <c r="R12252" s="894">
        <f t="shared" si="984"/>
        <v>0</v>
      </c>
    </row>
    <row r="12253" spans="1:18" s="847" customFormat="1">
      <c r="A12253" s="905">
        <v>656</v>
      </c>
      <c r="B12253" s="1018" t="s">
        <v>7114</v>
      </c>
      <c r="C12253" s="915"/>
      <c r="D12253" s="915"/>
      <c r="E12253" s="1006" t="s">
        <v>7115</v>
      </c>
      <c r="F12253" s="917" t="s">
        <v>1828</v>
      </c>
      <c r="G12253" s="1008"/>
      <c r="H12253" s="919"/>
      <c r="I12253" s="920"/>
      <c r="J12253" s="962">
        <f>SUM(J12254:J12262)</f>
        <v>57863.6</v>
      </c>
      <c r="K12253" s="891" t="s">
        <v>274</v>
      </c>
      <c r="L12253" s="962">
        <f>SUM(L12254:L12262)</f>
        <v>216702.5</v>
      </c>
      <c r="M12253" s="962"/>
      <c r="N12253" s="962">
        <f>SUM(N12254:N12262)</f>
        <v>14408.42</v>
      </c>
      <c r="O12253" s="892">
        <f t="shared" si="981"/>
        <v>1</v>
      </c>
      <c r="P12253" s="903">
        <f t="shared" si="982"/>
        <v>0</v>
      </c>
      <c r="Q12253" s="893">
        <f t="shared" si="983"/>
        <v>0</v>
      </c>
      <c r="R12253" s="894">
        <f t="shared" si="984"/>
        <v>9</v>
      </c>
    </row>
    <row r="12254" spans="1:18" s="904" customFormat="1">
      <c r="A12254" s="895"/>
      <c r="B12254" s="896"/>
      <c r="C12254" s="897"/>
      <c r="D12254" s="897"/>
      <c r="E12254" s="1002" t="s">
        <v>108</v>
      </c>
      <c r="F12254" s="1003"/>
      <c r="G12254" s="1004"/>
      <c r="H12254" s="901"/>
      <c r="I12254" s="902"/>
      <c r="J12254" s="902"/>
      <c r="K12254" s="912" t="s">
        <v>274</v>
      </c>
      <c r="L12254" s="902"/>
      <c r="M12254" s="902"/>
      <c r="N12254" s="902"/>
      <c r="O12254" s="892">
        <f t="shared" si="981"/>
        <v>0</v>
      </c>
      <c r="P12254" s="903">
        <f t="shared" si="982"/>
        <v>1</v>
      </c>
      <c r="Q12254" s="893">
        <f t="shared" si="983"/>
        <v>9</v>
      </c>
      <c r="R12254" s="894">
        <f t="shared" si="984"/>
        <v>0</v>
      </c>
    </row>
    <row r="12255" spans="1:18">
      <c r="A12255" s="905"/>
      <c r="B12255" s="952"/>
      <c r="C12255" s="907">
        <v>235</v>
      </c>
      <c r="D12255" s="907" t="s">
        <v>279</v>
      </c>
      <c r="E12255" s="992" t="s">
        <v>2682</v>
      </c>
      <c r="F12255" s="905" t="s">
        <v>45</v>
      </c>
      <c r="G12255" s="1005"/>
      <c r="H12255" s="911">
        <v>0.1</v>
      </c>
      <c r="I12255" s="912">
        <f>VLOOKUP(E12255,[3]VLP!$B$7:$K$300,10,0)</f>
        <v>5000</v>
      </c>
      <c r="J12255" s="912">
        <f>I12255*H12255</f>
        <v>500</v>
      </c>
      <c r="K12255" s="912" t="s">
        <v>274</v>
      </c>
      <c r="L12255" s="912"/>
      <c r="M12255" s="912"/>
      <c r="N12255" s="912"/>
      <c r="O12255" s="892">
        <f t="shared" ref="O12255:O12318" si="985">IF(AND(B12255&lt;&gt;"",D12255=""),1,0)</f>
        <v>0</v>
      </c>
      <c r="P12255" s="903">
        <f t="shared" si="982"/>
        <v>1</v>
      </c>
      <c r="Q12255" s="893">
        <f t="shared" si="983"/>
        <v>8</v>
      </c>
      <c r="R12255" s="894">
        <f t="shared" si="984"/>
        <v>0</v>
      </c>
    </row>
    <row r="12256" spans="1:18">
      <c r="A12256" s="905"/>
      <c r="B12256" s="952"/>
      <c r="C12256" s="907">
        <v>310</v>
      </c>
      <c r="D12256" s="907" t="s">
        <v>279</v>
      </c>
      <c r="E12256" s="992" t="s">
        <v>4017</v>
      </c>
      <c r="F12256" s="905" t="s">
        <v>45</v>
      </c>
      <c r="G12256" s="1005"/>
      <c r="H12256" s="911">
        <v>0.1</v>
      </c>
      <c r="I12256" s="912">
        <f>VLOOKUP(E12256,[3]VLP!$B$7:$K$300,10,0)</f>
        <v>73636</v>
      </c>
      <c r="J12256" s="912">
        <f>I12256*H12256</f>
        <v>7363.6</v>
      </c>
      <c r="K12256" s="912" t="s">
        <v>274</v>
      </c>
      <c r="L12256" s="912"/>
      <c r="M12256" s="912"/>
      <c r="N12256" s="912"/>
      <c r="O12256" s="892">
        <f t="shared" si="985"/>
        <v>0</v>
      </c>
      <c r="P12256" s="903">
        <f t="shared" si="982"/>
        <v>1</v>
      </c>
      <c r="Q12256" s="893">
        <f t="shared" si="983"/>
        <v>7</v>
      </c>
      <c r="R12256" s="894">
        <f t="shared" si="984"/>
        <v>0</v>
      </c>
    </row>
    <row r="12257" spans="1:18" s="904" customFormat="1">
      <c r="A12257" s="905"/>
      <c r="B12257" s="952"/>
      <c r="C12257" s="907">
        <v>699</v>
      </c>
      <c r="D12257" s="907" t="s">
        <v>279</v>
      </c>
      <c r="E12257" s="992" t="s">
        <v>4006</v>
      </c>
      <c r="F12257" s="905" t="s">
        <v>4007</v>
      </c>
      <c r="G12257" s="1005"/>
      <c r="H12257" s="911">
        <v>10</v>
      </c>
      <c r="I12257" s="912">
        <f>VLOOKUP(E12257,[3]VLP!$B$7:$K$300,10,0)</f>
        <v>5000</v>
      </c>
      <c r="J12257" s="912">
        <f>I12257*H12257</f>
        <v>50000</v>
      </c>
      <c r="K12257" s="912" t="s">
        <v>274</v>
      </c>
      <c r="L12257" s="912"/>
      <c r="M12257" s="912"/>
      <c r="N12257" s="912"/>
      <c r="O12257" s="892">
        <f t="shared" si="985"/>
        <v>0</v>
      </c>
      <c r="P12257" s="903">
        <f t="shared" si="982"/>
        <v>1</v>
      </c>
      <c r="Q12257" s="893">
        <f t="shared" si="983"/>
        <v>6</v>
      </c>
      <c r="R12257" s="894">
        <f t="shared" si="984"/>
        <v>0</v>
      </c>
    </row>
    <row r="12258" spans="1:18">
      <c r="A12258" s="895"/>
      <c r="B12258" s="896"/>
      <c r="C12258" s="897"/>
      <c r="D12258" s="897"/>
      <c r="E12258" s="1002" t="s">
        <v>276</v>
      </c>
      <c r="F12258" s="1003"/>
      <c r="G12258" s="1004"/>
      <c r="H12258" s="901"/>
      <c r="I12258" s="902"/>
      <c r="J12258" s="902"/>
      <c r="K12258" s="912" t="s">
        <v>274</v>
      </c>
      <c r="L12258" s="902"/>
      <c r="M12258" s="902"/>
      <c r="N12258" s="902"/>
      <c r="O12258" s="892">
        <f t="shared" si="985"/>
        <v>0</v>
      </c>
      <c r="P12258" s="903">
        <f t="shared" si="982"/>
        <v>1</v>
      </c>
      <c r="Q12258" s="893">
        <f t="shared" si="983"/>
        <v>5</v>
      </c>
      <c r="R12258" s="894">
        <f t="shared" si="984"/>
        <v>0</v>
      </c>
    </row>
    <row r="12259" spans="1:18" s="847" customFormat="1">
      <c r="A12259" s="905"/>
      <c r="B12259" s="952"/>
      <c r="C12259" s="907">
        <v>740</v>
      </c>
      <c r="D12259" s="907" t="s">
        <v>12</v>
      </c>
      <c r="E12259" s="992" t="s">
        <v>4008</v>
      </c>
      <c r="F12259" s="905" t="s">
        <v>2674</v>
      </c>
      <c r="G12259" s="1005"/>
      <c r="H12259" s="911">
        <v>0.98</v>
      </c>
      <c r="I12259" s="912"/>
      <c r="J12259" s="912"/>
      <c r="K12259" s="912">
        <f>VLOOKUP(E12259,[5]ĐMNC!$A$7:$F$67,4,0)</f>
        <v>221125</v>
      </c>
      <c r="L12259" s="912">
        <f>H12259*K12259</f>
        <v>216702.5</v>
      </c>
      <c r="M12259" s="912"/>
      <c r="N12259" s="912"/>
      <c r="O12259" s="892">
        <f t="shared" si="985"/>
        <v>0</v>
      </c>
      <c r="P12259" s="903">
        <f t="shared" si="982"/>
        <v>1</v>
      </c>
      <c r="Q12259" s="893">
        <f t="shared" si="983"/>
        <v>4</v>
      </c>
      <c r="R12259" s="894">
        <f t="shared" si="984"/>
        <v>0</v>
      </c>
    </row>
    <row r="12260" spans="1:18" s="904" customFormat="1">
      <c r="A12260" s="895"/>
      <c r="B12260" s="896"/>
      <c r="C12260" s="897"/>
      <c r="D12260" s="897"/>
      <c r="E12260" s="1002" t="s">
        <v>3914</v>
      </c>
      <c r="F12260" s="1003"/>
      <c r="G12260" s="1004"/>
      <c r="H12260" s="901"/>
      <c r="I12260" s="902"/>
      <c r="J12260" s="902"/>
      <c r="K12260" s="912" t="s">
        <v>274</v>
      </c>
      <c r="L12260" s="902"/>
      <c r="M12260" s="902"/>
      <c r="N12260" s="902"/>
      <c r="O12260" s="892">
        <f t="shared" si="985"/>
        <v>0</v>
      </c>
      <c r="P12260" s="903">
        <f t="shared" si="982"/>
        <v>1</v>
      </c>
      <c r="Q12260" s="893">
        <f t="shared" si="983"/>
        <v>3</v>
      </c>
      <c r="R12260" s="894">
        <f t="shared" si="984"/>
        <v>0</v>
      </c>
    </row>
    <row r="12261" spans="1:18">
      <c r="A12261" s="905"/>
      <c r="B12261" s="952" t="s">
        <v>4993</v>
      </c>
      <c r="C12261" s="907">
        <v>904</v>
      </c>
      <c r="D12261" s="907" t="s">
        <v>93</v>
      </c>
      <c r="E12261" s="992" t="s">
        <v>4994</v>
      </c>
      <c r="F12261" s="905" t="s">
        <v>2673</v>
      </c>
      <c r="G12261" s="1005"/>
      <c r="H12261" s="911">
        <v>0.01</v>
      </c>
      <c r="I12261" s="912"/>
      <c r="J12261" s="912"/>
      <c r="K12261" s="912"/>
      <c r="L12261" s="912"/>
      <c r="M12261" s="912">
        <f>VLOOKUP(B12261,MTC!$B$9:$S$933,12,0)</f>
        <v>1393090</v>
      </c>
      <c r="N12261" s="912">
        <f>M12261*H12261</f>
        <v>13930.9</v>
      </c>
      <c r="O12261" s="892">
        <f t="shared" si="985"/>
        <v>0</v>
      </c>
      <c r="P12261" s="903">
        <f t="shared" si="982"/>
        <v>1</v>
      </c>
      <c r="Q12261" s="893">
        <f t="shared" si="983"/>
        <v>2</v>
      </c>
      <c r="R12261" s="894">
        <f t="shared" si="984"/>
        <v>0</v>
      </c>
    </row>
    <row r="12262" spans="1:18">
      <c r="A12262" s="905"/>
      <c r="B12262" s="952" t="s">
        <v>6879</v>
      </c>
      <c r="C12262" s="907">
        <v>910</v>
      </c>
      <c r="D12262" s="907" t="s">
        <v>93</v>
      </c>
      <c r="E12262" s="992" t="s">
        <v>6880</v>
      </c>
      <c r="F12262" s="905" t="s">
        <v>2673</v>
      </c>
      <c r="G12262" s="1005"/>
      <c r="H12262" s="911">
        <v>0.01</v>
      </c>
      <c r="I12262" s="912"/>
      <c r="J12262" s="912"/>
      <c r="K12262" s="912"/>
      <c r="L12262" s="912"/>
      <c r="M12262" s="912">
        <f>VLOOKUP(B12262,MTC!$B$9:$S$933,12,0)</f>
        <v>47752</v>
      </c>
      <c r="N12262" s="912">
        <f>M12262*H12262</f>
        <v>477.52</v>
      </c>
      <c r="O12262" s="892">
        <f t="shared" si="985"/>
        <v>0</v>
      </c>
      <c r="P12262" s="903">
        <f t="shared" si="982"/>
        <v>1</v>
      </c>
      <c r="Q12262" s="893">
        <f t="shared" si="983"/>
        <v>1</v>
      </c>
      <c r="R12262" s="894">
        <f t="shared" si="984"/>
        <v>0</v>
      </c>
    </row>
    <row r="12263" spans="1:18" s="904" customFormat="1">
      <c r="A12263" s="905">
        <v>657</v>
      </c>
      <c r="B12263" s="1018" t="s">
        <v>7116</v>
      </c>
      <c r="C12263" s="915"/>
      <c r="D12263" s="915"/>
      <c r="E12263" s="1006" t="s">
        <v>7117</v>
      </c>
      <c r="F12263" s="917" t="s">
        <v>1828</v>
      </c>
      <c r="G12263" s="1008"/>
      <c r="H12263" s="919"/>
      <c r="I12263" s="920"/>
      <c r="J12263" s="962">
        <f>SUM(J12264:J12272)</f>
        <v>58113.599999999999</v>
      </c>
      <c r="K12263" s="891" t="s">
        <v>274</v>
      </c>
      <c r="L12263" s="962">
        <f>SUM(L12264:L12272)</f>
        <v>249871.24999999997</v>
      </c>
      <c r="M12263" s="962"/>
      <c r="N12263" s="962">
        <f>SUM(N12264:N12272)</f>
        <v>14408.42</v>
      </c>
      <c r="O12263" s="892">
        <f t="shared" si="985"/>
        <v>1</v>
      </c>
      <c r="P12263" s="903">
        <f t="shared" si="982"/>
        <v>0</v>
      </c>
      <c r="Q12263" s="893">
        <f t="shared" si="983"/>
        <v>0</v>
      </c>
      <c r="R12263" s="894">
        <f t="shared" si="984"/>
        <v>9</v>
      </c>
    </row>
    <row r="12264" spans="1:18">
      <c r="A12264" s="895"/>
      <c r="B12264" s="896"/>
      <c r="C12264" s="897"/>
      <c r="D12264" s="897"/>
      <c r="E12264" s="1002" t="s">
        <v>108</v>
      </c>
      <c r="F12264" s="1003"/>
      <c r="G12264" s="1004"/>
      <c r="H12264" s="901"/>
      <c r="I12264" s="902"/>
      <c r="J12264" s="902"/>
      <c r="K12264" s="912" t="s">
        <v>274</v>
      </c>
      <c r="L12264" s="902"/>
      <c r="M12264" s="902"/>
      <c r="N12264" s="902"/>
      <c r="O12264" s="892">
        <f t="shared" si="985"/>
        <v>0</v>
      </c>
      <c r="P12264" s="903">
        <f t="shared" si="982"/>
        <v>1</v>
      </c>
      <c r="Q12264" s="893">
        <f t="shared" si="983"/>
        <v>9</v>
      </c>
      <c r="R12264" s="894">
        <f t="shared" si="984"/>
        <v>0</v>
      </c>
    </row>
    <row r="12265" spans="1:18" s="847" customFormat="1">
      <c r="A12265" s="905"/>
      <c r="B12265" s="952"/>
      <c r="C12265" s="907">
        <v>235</v>
      </c>
      <c r="D12265" s="907" t="s">
        <v>279</v>
      </c>
      <c r="E12265" s="992" t="s">
        <v>2682</v>
      </c>
      <c r="F12265" s="905" t="s">
        <v>45</v>
      </c>
      <c r="G12265" s="1005"/>
      <c r="H12265" s="911">
        <v>0.15</v>
      </c>
      <c r="I12265" s="912">
        <f>VLOOKUP(E12265,[3]VLP!$B$7:$K$300,10,0)</f>
        <v>5000</v>
      </c>
      <c r="J12265" s="912">
        <f>I12265*H12265</f>
        <v>750</v>
      </c>
      <c r="K12265" s="912" t="s">
        <v>274</v>
      </c>
      <c r="L12265" s="912"/>
      <c r="M12265" s="912"/>
      <c r="N12265" s="912"/>
      <c r="O12265" s="892">
        <f t="shared" si="985"/>
        <v>0</v>
      </c>
      <c r="P12265" s="903">
        <f t="shared" si="982"/>
        <v>1</v>
      </c>
      <c r="Q12265" s="893">
        <f t="shared" si="983"/>
        <v>8</v>
      </c>
      <c r="R12265" s="894">
        <f t="shared" si="984"/>
        <v>0</v>
      </c>
    </row>
    <row r="12266" spans="1:18" s="904" customFormat="1">
      <c r="A12266" s="905"/>
      <c r="B12266" s="952"/>
      <c r="C12266" s="907">
        <v>310</v>
      </c>
      <c r="D12266" s="907" t="s">
        <v>279</v>
      </c>
      <c r="E12266" s="992" t="s">
        <v>4017</v>
      </c>
      <c r="F12266" s="905" t="s">
        <v>45</v>
      </c>
      <c r="G12266" s="1005"/>
      <c r="H12266" s="911">
        <v>0.1</v>
      </c>
      <c r="I12266" s="912">
        <f>VLOOKUP(E12266,[3]VLP!$B$7:$K$300,10,0)</f>
        <v>73636</v>
      </c>
      <c r="J12266" s="912">
        <f>I12266*H12266</f>
        <v>7363.6</v>
      </c>
      <c r="K12266" s="912" t="s">
        <v>274</v>
      </c>
      <c r="L12266" s="912"/>
      <c r="M12266" s="912"/>
      <c r="N12266" s="912"/>
      <c r="O12266" s="892">
        <f t="shared" si="985"/>
        <v>0</v>
      </c>
      <c r="P12266" s="903">
        <f t="shared" si="982"/>
        <v>1</v>
      </c>
      <c r="Q12266" s="893">
        <f t="shared" si="983"/>
        <v>7</v>
      </c>
      <c r="R12266" s="894">
        <f t="shared" si="984"/>
        <v>0</v>
      </c>
    </row>
    <row r="12267" spans="1:18">
      <c r="A12267" s="905"/>
      <c r="B12267" s="952"/>
      <c r="C12267" s="907">
        <v>699</v>
      </c>
      <c r="D12267" s="907" t="s">
        <v>279</v>
      </c>
      <c r="E12267" s="992" t="s">
        <v>4006</v>
      </c>
      <c r="F12267" s="905" t="s">
        <v>4007</v>
      </c>
      <c r="G12267" s="1005"/>
      <c r="H12267" s="911">
        <v>10</v>
      </c>
      <c r="I12267" s="912">
        <f>VLOOKUP(E12267,[3]VLP!$B$7:$K$300,10,0)</f>
        <v>5000</v>
      </c>
      <c r="J12267" s="912">
        <f>I12267*H12267</f>
        <v>50000</v>
      </c>
      <c r="K12267" s="912" t="s">
        <v>274</v>
      </c>
      <c r="L12267" s="912"/>
      <c r="M12267" s="912"/>
      <c r="N12267" s="912"/>
      <c r="O12267" s="892">
        <f t="shared" si="985"/>
        <v>0</v>
      </c>
      <c r="P12267" s="903">
        <f t="shared" si="982"/>
        <v>1</v>
      </c>
      <c r="Q12267" s="893">
        <f t="shared" si="983"/>
        <v>6</v>
      </c>
      <c r="R12267" s="894">
        <f t="shared" si="984"/>
        <v>0</v>
      </c>
    </row>
    <row r="12268" spans="1:18">
      <c r="A12268" s="895"/>
      <c r="B12268" s="896"/>
      <c r="C12268" s="897"/>
      <c r="D12268" s="897"/>
      <c r="E12268" s="1002" t="s">
        <v>276</v>
      </c>
      <c r="F12268" s="1003"/>
      <c r="G12268" s="1004"/>
      <c r="H12268" s="901"/>
      <c r="I12268" s="902"/>
      <c r="J12268" s="902"/>
      <c r="K12268" s="912" t="s">
        <v>274</v>
      </c>
      <c r="L12268" s="902"/>
      <c r="M12268" s="902"/>
      <c r="N12268" s="902"/>
      <c r="O12268" s="892">
        <f t="shared" si="985"/>
        <v>0</v>
      </c>
      <c r="P12268" s="903">
        <f t="shared" si="982"/>
        <v>1</v>
      </c>
      <c r="Q12268" s="893">
        <f t="shared" si="983"/>
        <v>5</v>
      </c>
      <c r="R12268" s="894">
        <f t="shared" si="984"/>
        <v>0</v>
      </c>
    </row>
    <row r="12269" spans="1:18" s="904" customFormat="1">
      <c r="A12269" s="905"/>
      <c r="B12269" s="952"/>
      <c r="C12269" s="907">
        <v>740</v>
      </c>
      <c r="D12269" s="907" t="s">
        <v>12</v>
      </c>
      <c r="E12269" s="992" t="s">
        <v>4008</v>
      </c>
      <c r="F12269" s="905" t="s">
        <v>2674</v>
      </c>
      <c r="G12269" s="1005"/>
      <c r="H12269" s="911">
        <v>1.1299999999999999</v>
      </c>
      <c r="I12269" s="912"/>
      <c r="J12269" s="912"/>
      <c r="K12269" s="912">
        <f>VLOOKUP(E12269,[5]ĐMNC!$A$7:$F$67,4,0)</f>
        <v>221125</v>
      </c>
      <c r="L12269" s="912">
        <f>H12269*K12269</f>
        <v>249871.24999999997</v>
      </c>
      <c r="M12269" s="912"/>
      <c r="N12269" s="912"/>
      <c r="O12269" s="892">
        <f t="shared" si="985"/>
        <v>0</v>
      </c>
      <c r="P12269" s="903">
        <f t="shared" si="982"/>
        <v>1</v>
      </c>
      <c r="Q12269" s="893">
        <f t="shared" si="983"/>
        <v>4</v>
      </c>
      <c r="R12269" s="894">
        <f t="shared" si="984"/>
        <v>0</v>
      </c>
    </row>
    <row r="12270" spans="1:18">
      <c r="A12270" s="895"/>
      <c r="B12270" s="896"/>
      <c r="C12270" s="897"/>
      <c r="D12270" s="897"/>
      <c r="E12270" s="1002" t="s">
        <v>3914</v>
      </c>
      <c r="F12270" s="1003"/>
      <c r="G12270" s="1004"/>
      <c r="H12270" s="901"/>
      <c r="I12270" s="902"/>
      <c r="J12270" s="902"/>
      <c r="K12270" s="912" t="s">
        <v>274</v>
      </c>
      <c r="L12270" s="902"/>
      <c r="M12270" s="902"/>
      <c r="N12270" s="902"/>
      <c r="O12270" s="892">
        <f t="shared" si="985"/>
        <v>0</v>
      </c>
      <c r="P12270" s="903">
        <f t="shared" si="982"/>
        <v>1</v>
      </c>
      <c r="Q12270" s="893">
        <f t="shared" si="983"/>
        <v>3</v>
      </c>
      <c r="R12270" s="894">
        <f t="shared" si="984"/>
        <v>0</v>
      </c>
    </row>
    <row r="12271" spans="1:18" s="847" customFormat="1">
      <c r="A12271" s="905"/>
      <c r="B12271" s="952" t="s">
        <v>4993</v>
      </c>
      <c r="C12271" s="907">
        <v>904</v>
      </c>
      <c r="D12271" s="907" t="s">
        <v>93</v>
      </c>
      <c r="E12271" s="992" t="s">
        <v>4994</v>
      </c>
      <c r="F12271" s="905" t="s">
        <v>2673</v>
      </c>
      <c r="G12271" s="1005"/>
      <c r="H12271" s="911">
        <v>0.01</v>
      </c>
      <c r="I12271" s="912"/>
      <c r="J12271" s="912"/>
      <c r="K12271" s="912"/>
      <c r="L12271" s="912"/>
      <c r="M12271" s="912">
        <f>VLOOKUP(B12271,MTC!$B$9:$S$933,12,0)</f>
        <v>1393090</v>
      </c>
      <c r="N12271" s="912">
        <f>M12271*H12271</f>
        <v>13930.9</v>
      </c>
      <c r="O12271" s="892">
        <f t="shared" si="985"/>
        <v>0</v>
      </c>
      <c r="P12271" s="903">
        <f t="shared" si="982"/>
        <v>1</v>
      </c>
      <c r="Q12271" s="893">
        <f t="shared" si="983"/>
        <v>2</v>
      </c>
      <c r="R12271" s="894">
        <f t="shared" si="984"/>
        <v>0</v>
      </c>
    </row>
    <row r="12272" spans="1:18" s="904" customFormat="1">
      <c r="A12272" s="905"/>
      <c r="B12272" s="952" t="s">
        <v>6879</v>
      </c>
      <c r="C12272" s="907">
        <v>910</v>
      </c>
      <c r="D12272" s="907" t="s">
        <v>93</v>
      </c>
      <c r="E12272" s="992" t="s">
        <v>6880</v>
      </c>
      <c r="F12272" s="905" t="s">
        <v>2673</v>
      </c>
      <c r="G12272" s="1005"/>
      <c r="H12272" s="911">
        <v>0.01</v>
      </c>
      <c r="I12272" s="912"/>
      <c r="J12272" s="912"/>
      <c r="K12272" s="912"/>
      <c r="L12272" s="912"/>
      <c r="M12272" s="912">
        <f>VLOOKUP(B12272,MTC!$B$9:$S$933,12,0)</f>
        <v>47752</v>
      </c>
      <c r="N12272" s="912">
        <f>M12272*H12272</f>
        <v>477.52</v>
      </c>
      <c r="O12272" s="892">
        <f t="shared" si="985"/>
        <v>0</v>
      </c>
      <c r="P12272" s="903">
        <f t="shared" si="982"/>
        <v>1</v>
      </c>
      <c r="Q12272" s="893">
        <f t="shared" si="983"/>
        <v>1</v>
      </c>
      <c r="R12272" s="894">
        <f t="shared" si="984"/>
        <v>0</v>
      </c>
    </row>
    <row r="12273" spans="1:18">
      <c r="A12273" s="905">
        <v>658</v>
      </c>
      <c r="B12273" s="1018" t="s">
        <v>7118</v>
      </c>
      <c r="C12273" s="915"/>
      <c r="D12273" s="915"/>
      <c r="E12273" s="1006" t="s">
        <v>7119</v>
      </c>
      <c r="F12273" s="917" t="s">
        <v>1828</v>
      </c>
      <c r="G12273" s="1008"/>
      <c r="H12273" s="919"/>
      <c r="I12273" s="920"/>
      <c r="J12273" s="962">
        <f>SUM(J12274:J12282)</f>
        <v>58263.6</v>
      </c>
      <c r="K12273" s="891" t="s">
        <v>274</v>
      </c>
      <c r="L12273" s="962">
        <f>SUM(L12274:L12282)</f>
        <v>305152.5</v>
      </c>
      <c r="M12273" s="962"/>
      <c r="N12273" s="962">
        <f>SUM(N12274:N12282)</f>
        <v>14408.42</v>
      </c>
      <c r="O12273" s="892">
        <f t="shared" si="985"/>
        <v>1</v>
      </c>
      <c r="P12273" s="903">
        <f t="shared" si="982"/>
        <v>0</v>
      </c>
      <c r="Q12273" s="893">
        <f t="shared" si="983"/>
        <v>0</v>
      </c>
      <c r="R12273" s="894">
        <f t="shared" si="984"/>
        <v>9</v>
      </c>
    </row>
    <row r="12274" spans="1:18">
      <c r="A12274" s="895"/>
      <c r="B12274" s="896"/>
      <c r="C12274" s="897"/>
      <c r="D12274" s="897"/>
      <c r="E12274" s="1002" t="s">
        <v>108</v>
      </c>
      <c r="F12274" s="1003"/>
      <c r="G12274" s="1004"/>
      <c r="H12274" s="901"/>
      <c r="I12274" s="902"/>
      <c r="J12274" s="902"/>
      <c r="K12274" s="912" t="s">
        <v>274</v>
      </c>
      <c r="L12274" s="902"/>
      <c r="M12274" s="902"/>
      <c r="N12274" s="902"/>
      <c r="O12274" s="892">
        <f t="shared" si="985"/>
        <v>0</v>
      </c>
      <c r="P12274" s="903">
        <f t="shared" si="982"/>
        <v>1</v>
      </c>
      <c r="Q12274" s="893">
        <f t="shared" si="983"/>
        <v>9</v>
      </c>
      <c r="R12274" s="894">
        <f t="shared" si="984"/>
        <v>0</v>
      </c>
    </row>
    <row r="12275" spans="1:18" s="904" customFormat="1">
      <c r="A12275" s="905"/>
      <c r="B12275" s="952"/>
      <c r="C12275" s="907">
        <v>235</v>
      </c>
      <c r="D12275" s="907" t="s">
        <v>279</v>
      </c>
      <c r="E12275" s="992" t="s">
        <v>2682</v>
      </c>
      <c r="F12275" s="905" t="s">
        <v>45</v>
      </c>
      <c r="G12275" s="1005"/>
      <c r="H12275" s="911">
        <v>0.18</v>
      </c>
      <c r="I12275" s="912">
        <f>VLOOKUP(E12275,[3]VLP!$B$7:$K$300,10,0)</f>
        <v>5000</v>
      </c>
      <c r="J12275" s="912">
        <f>I12275*H12275</f>
        <v>900</v>
      </c>
      <c r="K12275" s="912" t="s">
        <v>274</v>
      </c>
      <c r="L12275" s="912"/>
      <c r="M12275" s="912"/>
      <c r="N12275" s="912"/>
      <c r="O12275" s="892">
        <f t="shared" si="985"/>
        <v>0</v>
      </c>
      <c r="P12275" s="903">
        <f t="shared" ref="P12275:P12338" si="986">IF(O12275=0,1,0)</f>
        <v>1</v>
      </c>
      <c r="Q12275" s="893">
        <f t="shared" ref="Q12275:Q12338" si="987">IF(P12275=0,0,P12275+Q12276)</f>
        <v>8</v>
      </c>
      <c r="R12275" s="894">
        <f t="shared" ref="R12275:R12338" si="988">IF(Q12275=0,Q12276,0)</f>
        <v>0</v>
      </c>
    </row>
    <row r="12276" spans="1:18">
      <c r="A12276" s="905"/>
      <c r="B12276" s="952"/>
      <c r="C12276" s="907">
        <v>310</v>
      </c>
      <c r="D12276" s="907" t="s">
        <v>279</v>
      </c>
      <c r="E12276" s="992" t="s">
        <v>4017</v>
      </c>
      <c r="F12276" s="905" t="s">
        <v>45</v>
      </c>
      <c r="G12276" s="1005"/>
      <c r="H12276" s="911">
        <v>0.1</v>
      </c>
      <c r="I12276" s="912">
        <f>VLOOKUP(E12276,[3]VLP!$B$7:$K$300,10,0)</f>
        <v>73636</v>
      </c>
      <c r="J12276" s="912">
        <f>I12276*H12276</f>
        <v>7363.6</v>
      </c>
      <c r="K12276" s="912" t="s">
        <v>274</v>
      </c>
      <c r="L12276" s="912"/>
      <c r="M12276" s="912"/>
      <c r="N12276" s="912"/>
      <c r="O12276" s="892">
        <f t="shared" si="985"/>
        <v>0</v>
      </c>
      <c r="P12276" s="903">
        <f t="shared" si="986"/>
        <v>1</v>
      </c>
      <c r="Q12276" s="893">
        <f t="shared" si="987"/>
        <v>7</v>
      </c>
      <c r="R12276" s="894">
        <f t="shared" si="988"/>
        <v>0</v>
      </c>
    </row>
    <row r="12277" spans="1:18" s="847" customFormat="1">
      <c r="A12277" s="905"/>
      <c r="B12277" s="952"/>
      <c r="C12277" s="907">
        <v>699</v>
      </c>
      <c r="D12277" s="907" t="s">
        <v>279</v>
      </c>
      <c r="E12277" s="992" t="s">
        <v>4006</v>
      </c>
      <c r="F12277" s="905" t="s">
        <v>4007</v>
      </c>
      <c r="G12277" s="1005"/>
      <c r="H12277" s="911">
        <v>10</v>
      </c>
      <c r="I12277" s="912">
        <f>VLOOKUP(E12277,[3]VLP!$B$7:$K$300,10,0)</f>
        <v>5000</v>
      </c>
      <c r="J12277" s="912">
        <f>I12277*H12277</f>
        <v>50000</v>
      </c>
      <c r="K12277" s="912" t="s">
        <v>274</v>
      </c>
      <c r="L12277" s="912"/>
      <c r="M12277" s="912"/>
      <c r="N12277" s="912"/>
      <c r="O12277" s="892">
        <f t="shared" si="985"/>
        <v>0</v>
      </c>
      <c r="P12277" s="903">
        <f t="shared" si="986"/>
        <v>1</v>
      </c>
      <c r="Q12277" s="893">
        <f t="shared" si="987"/>
        <v>6</v>
      </c>
      <c r="R12277" s="894">
        <f t="shared" si="988"/>
        <v>0</v>
      </c>
    </row>
    <row r="12278" spans="1:18" s="904" customFormat="1">
      <c r="A12278" s="895"/>
      <c r="B12278" s="896"/>
      <c r="C12278" s="897"/>
      <c r="D12278" s="897"/>
      <c r="E12278" s="1002" t="s">
        <v>276</v>
      </c>
      <c r="F12278" s="1003"/>
      <c r="G12278" s="1004"/>
      <c r="H12278" s="901"/>
      <c r="I12278" s="902"/>
      <c r="J12278" s="902"/>
      <c r="K12278" s="912" t="s">
        <v>274</v>
      </c>
      <c r="L12278" s="902"/>
      <c r="M12278" s="902"/>
      <c r="N12278" s="902"/>
      <c r="O12278" s="892">
        <f t="shared" si="985"/>
        <v>0</v>
      </c>
      <c r="P12278" s="903">
        <f t="shared" si="986"/>
        <v>1</v>
      </c>
      <c r="Q12278" s="893">
        <f t="shared" si="987"/>
        <v>5</v>
      </c>
      <c r="R12278" s="894">
        <f t="shared" si="988"/>
        <v>0</v>
      </c>
    </row>
    <row r="12279" spans="1:18">
      <c r="A12279" s="905"/>
      <c r="B12279" s="952"/>
      <c r="C12279" s="907">
        <v>740</v>
      </c>
      <c r="D12279" s="907" t="s">
        <v>12</v>
      </c>
      <c r="E12279" s="992" t="s">
        <v>4008</v>
      </c>
      <c r="F12279" s="905" t="s">
        <v>2674</v>
      </c>
      <c r="G12279" s="1005"/>
      <c r="H12279" s="911">
        <v>1.38</v>
      </c>
      <c r="I12279" s="912"/>
      <c r="J12279" s="912"/>
      <c r="K12279" s="912">
        <f>VLOOKUP(E12279,[5]ĐMNC!$A$7:$F$67,4,0)</f>
        <v>221125</v>
      </c>
      <c r="L12279" s="912">
        <f>H12279*K12279</f>
        <v>305152.5</v>
      </c>
      <c r="M12279" s="912"/>
      <c r="N12279" s="912"/>
      <c r="O12279" s="892">
        <f t="shared" si="985"/>
        <v>0</v>
      </c>
      <c r="P12279" s="903">
        <f t="shared" si="986"/>
        <v>1</v>
      </c>
      <c r="Q12279" s="893">
        <f t="shared" si="987"/>
        <v>4</v>
      </c>
      <c r="R12279" s="894">
        <f t="shared" si="988"/>
        <v>0</v>
      </c>
    </row>
    <row r="12280" spans="1:18">
      <c r="A12280" s="895"/>
      <c r="B12280" s="896"/>
      <c r="C12280" s="897"/>
      <c r="D12280" s="897"/>
      <c r="E12280" s="1002" t="s">
        <v>3914</v>
      </c>
      <c r="F12280" s="1003"/>
      <c r="G12280" s="1004"/>
      <c r="H12280" s="901"/>
      <c r="I12280" s="902"/>
      <c r="J12280" s="902"/>
      <c r="K12280" s="912" t="s">
        <v>274</v>
      </c>
      <c r="L12280" s="902"/>
      <c r="M12280" s="902"/>
      <c r="N12280" s="902"/>
      <c r="O12280" s="892">
        <f t="shared" si="985"/>
        <v>0</v>
      </c>
      <c r="P12280" s="903">
        <f t="shared" si="986"/>
        <v>1</v>
      </c>
      <c r="Q12280" s="893">
        <f t="shared" si="987"/>
        <v>3</v>
      </c>
      <c r="R12280" s="894">
        <f t="shared" si="988"/>
        <v>0</v>
      </c>
    </row>
    <row r="12281" spans="1:18" s="904" customFormat="1">
      <c r="A12281" s="905"/>
      <c r="B12281" s="952" t="s">
        <v>4993</v>
      </c>
      <c r="C12281" s="907">
        <v>904</v>
      </c>
      <c r="D12281" s="907" t="s">
        <v>93</v>
      </c>
      <c r="E12281" s="992" t="s">
        <v>4994</v>
      </c>
      <c r="F12281" s="905" t="s">
        <v>2673</v>
      </c>
      <c r="G12281" s="1005"/>
      <c r="H12281" s="911">
        <v>0.01</v>
      </c>
      <c r="I12281" s="912"/>
      <c r="J12281" s="912"/>
      <c r="K12281" s="912"/>
      <c r="L12281" s="912"/>
      <c r="M12281" s="912">
        <f>VLOOKUP(B12281,MTC!$B$9:$S$933,12,0)</f>
        <v>1393090</v>
      </c>
      <c r="N12281" s="912">
        <f>M12281*H12281</f>
        <v>13930.9</v>
      </c>
      <c r="O12281" s="892">
        <f t="shared" si="985"/>
        <v>0</v>
      </c>
      <c r="P12281" s="903">
        <f t="shared" si="986"/>
        <v>1</v>
      </c>
      <c r="Q12281" s="893">
        <f t="shared" si="987"/>
        <v>2</v>
      </c>
      <c r="R12281" s="894">
        <f t="shared" si="988"/>
        <v>0</v>
      </c>
    </row>
    <row r="12282" spans="1:18">
      <c r="A12282" s="905"/>
      <c r="B12282" s="952" t="s">
        <v>6879</v>
      </c>
      <c r="C12282" s="907">
        <v>910</v>
      </c>
      <c r="D12282" s="907" t="s">
        <v>93</v>
      </c>
      <c r="E12282" s="992" t="s">
        <v>6880</v>
      </c>
      <c r="F12282" s="905" t="s">
        <v>2673</v>
      </c>
      <c r="G12282" s="1005"/>
      <c r="H12282" s="911">
        <v>0.01</v>
      </c>
      <c r="I12282" s="912"/>
      <c r="J12282" s="912"/>
      <c r="K12282" s="912"/>
      <c r="L12282" s="912"/>
      <c r="M12282" s="912">
        <f>VLOOKUP(B12282,MTC!$B$9:$S$933,12,0)</f>
        <v>47752</v>
      </c>
      <c r="N12282" s="912">
        <f>M12282*H12282</f>
        <v>477.52</v>
      </c>
      <c r="O12282" s="892">
        <f t="shared" si="985"/>
        <v>0</v>
      </c>
      <c r="P12282" s="903">
        <f t="shared" si="986"/>
        <v>1</v>
      </c>
      <c r="Q12282" s="893">
        <f t="shared" si="987"/>
        <v>1</v>
      </c>
      <c r="R12282" s="894">
        <f t="shared" si="988"/>
        <v>0</v>
      </c>
    </row>
    <row r="12283" spans="1:18" s="847" customFormat="1">
      <c r="A12283" s="905">
        <v>659</v>
      </c>
      <c r="B12283" s="1018" t="s">
        <v>7120</v>
      </c>
      <c r="C12283" s="915"/>
      <c r="D12283" s="915"/>
      <c r="E12283" s="1006" t="s">
        <v>7121</v>
      </c>
      <c r="F12283" s="917" t="s">
        <v>1828</v>
      </c>
      <c r="G12283" s="1008"/>
      <c r="H12283" s="919"/>
      <c r="I12283" s="920"/>
      <c r="J12283" s="962">
        <f>SUM(J12284:J12292)</f>
        <v>58463.6</v>
      </c>
      <c r="K12283" s="891" t="s">
        <v>274</v>
      </c>
      <c r="L12283" s="962">
        <f>SUM(L12284:L12292)</f>
        <v>442250</v>
      </c>
      <c r="M12283" s="962"/>
      <c r="N12283" s="962">
        <f>SUM(N12284:N12292)</f>
        <v>14408.42</v>
      </c>
      <c r="O12283" s="892">
        <f t="shared" si="985"/>
        <v>1</v>
      </c>
      <c r="P12283" s="903">
        <f t="shared" si="986"/>
        <v>0</v>
      </c>
      <c r="Q12283" s="893">
        <f t="shared" si="987"/>
        <v>0</v>
      </c>
      <c r="R12283" s="894">
        <f t="shared" si="988"/>
        <v>9</v>
      </c>
    </row>
    <row r="12284" spans="1:18" s="904" customFormat="1">
      <c r="A12284" s="895"/>
      <c r="B12284" s="896"/>
      <c r="C12284" s="897"/>
      <c r="D12284" s="897"/>
      <c r="E12284" s="1002" t="s">
        <v>108</v>
      </c>
      <c r="F12284" s="1003"/>
      <c r="G12284" s="1004"/>
      <c r="H12284" s="901"/>
      <c r="I12284" s="902"/>
      <c r="J12284" s="902"/>
      <c r="K12284" s="912" t="s">
        <v>274</v>
      </c>
      <c r="L12284" s="902"/>
      <c r="M12284" s="902"/>
      <c r="N12284" s="902"/>
      <c r="O12284" s="892">
        <f t="shared" si="985"/>
        <v>0</v>
      </c>
      <c r="P12284" s="903">
        <f t="shared" si="986"/>
        <v>1</v>
      </c>
      <c r="Q12284" s="893">
        <f t="shared" si="987"/>
        <v>9</v>
      </c>
      <c r="R12284" s="894">
        <f t="shared" si="988"/>
        <v>0</v>
      </c>
    </row>
    <row r="12285" spans="1:18">
      <c r="A12285" s="905"/>
      <c r="B12285" s="952"/>
      <c r="C12285" s="907">
        <v>235</v>
      </c>
      <c r="D12285" s="907" t="s">
        <v>279</v>
      </c>
      <c r="E12285" s="992" t="s">
        <v>2682</v>
      </c>
      <c r="F12285" s="905" t="s">
        <v>45</v>
      </c>
      <c r="G12285" s="1005"/>
      <c r="H12285" s="911">
        <v>0.22</v>
      </c>
      <c r="I12285" s="912">
        <f>VLOOKUP(E12285,[3]VLP!$B$7:$K$300,10,0)</f>
        <v>5000</v>
      </c>
      <c r="J12285" s="912">
        <f>I12285*H12285</f>
        <v>1100</v>
      </c>
      <c r="K12285" s="912" t="s">
        <v>274</v>
      </c>
      <c r="L12285" s="912"/>
      <c r="M12285" s="912"/>
      <c r="N12285" s="912"/>
      <c r="O12285" s="892">
        <f t="shared" si="985"/>
        <v>0</v>
      </c>
      <c r="P12285" s="903">
        <f t="shared" si="986"/>
        <v>1</v>
      </c>
      <c r="Q12285" s="893">
        <f t="shared" si="987"/>
        <v>8</v>
      </c>
      <c r="R12285" s="894">
        <f t="shared" si="988"/>
        <v>0</v>
      </c>
    </row>
    <row r="12286" spans="1:18">
      <c r="A12286" s="905"/>
      <c r="B12286" s="952"/>
      <c r="C12286" s="907">
        <v>310</v>
      </c>
      <c r="D12286" s="907" t="s">
        <v>279</v>
      </c>
      <c r="E12286" s="992" t="s">
        <v>4017</v>
      </c>
      <c r="F12286" s="905" t="s">
        <v>45</v>
      </c>
      <c r="G12286" s="1005"/>
      <c r="H12286" s="911">
        <v>0.1</v>
      </c>
      <c r="I12286" s="912">
        <f>VLOOKUP(E12286,[3]VLP!$B$7:$K$300,10,0)</f>
        <v>73636</v>
      </c>
      <c r="J12286" s="912">
        <f>I12286*H12286</f>
        <v>7363.6</v>
      </c>
      <c r="K12286" s="912" t="s">
        <v>274</v>
      </c>
      <c r="L12286" s="912"/>
      <c r="M12286" s="912"/>
      <c r="N12286" s="912"/>
      <c r="O12286" s="892">
        <f t="shared" si="985"/>
        <v>0</v>
      </c>
      <c r="P12286" s="903">
        <f t="shared" si="986"/>
        <v>1</v>
      </c>
      <c r="Q12286" s="893">
        <f t="shared" si="987"/>
        <v>7</v>
      </c>
      <c r="R12286" s="894">
        <f t="shared" si="988"/>
        <v>0</v>
      </c>
    </row>
    <row r="12287" spans="1:18" s="904" customFormat="1">
      <c r="A12287" s="905"/>
      <c r="B12287" s="952"/>
      <c r="C12287" s="907">
        <v>699</v>
      </c>
      <c r="D12287" s="907" t="s">
        <v>279</v>
      </c>
      <c r="E12287" s="992" t="s">
        <v>4006</v>
      </c>
      <c r="F12287" s="905" t="s">
        <v>4007</v>
      </c>
      <c r="G12287" s="1005"/>
      <c r="H12287" s="911">
        <v>10</v>
      </c>
      <c r="I12287" s="912">
        <f>VLOOKUP(E12287,[3]VLP!$B$7:$K$300,10,0)</f>
        <v>5000</v>
      </c>
      <c r="J12287" s="912">
        <f>I12287*H12287</f>
        <v>50000</v>
      </c>
      <c r="K12287" s="912" t="s">
        <v>274</v>
      </c>
      <c r="L12287" s="912"/>
      <c r="M12287" s="912"/>
      <c r="N12287" s="912"/>
      <c r="O12287" s="892">
        <f t="shared" si="985"/>
        <v>0</v>
      </c>
      <c r="P12287" s="903">
        <f t="shared" si="986"/>
        <v>1</v>
      </c>
      <c r="Q12287" s="893">
        <f t="shared" si="987"/>
        <v>6</v>
      </c>
      <c r="R12287" s="894">
        <f t="shared" si="988"/>
        <v>0</v>
      </c>
    </row>
    <row r="12288" spans="1:18">
      <c r="A12288" s="895"/>
      <c r="B12288" s="896"/>
      <c r="C12288" s="897"/>
      <c r="D12288" s="897"/>
      <c r="E12288" s="1002" t="s">
        <v>276</v>
      </c>
      <c r="F12288" s="1003"/>
      <c r="G12288" s="1004"/>
      <c r="H12288" s="901"/>
      <c r="I12288" s="902"/>
      <c r="J12288" s="902"/>
      <c r="K12288" s="912" t="s">
        <v>274</v>
      </c>
      <c r="L12288" s="902"/>
      <c r="M12288" s="902"/>
      <c r="N12288" s="902"/>
      <c r="O12288" s="892">
        <f t="shared" si="985"/>
        <v>0</v>
      </c>
      <c r="P12288" s="903">
        <f t="shared" si="986"/>
        <v>1</v>
      </c>
      <c r="Q12288" s="893">
        <f t="shared" si="987"/>
        <v>5</v>
      </c>
      <c r="R12288" s="894">
        <f t="shared" si="988"/>
        <v>0</v>
      </c>
    </row>
    <row r="12289" spans="1:18" s="847" customFormat="1">
      <c r="A12289" s="905"/>
      <c r="B12289" s="952"/>
      <c r="C12289" s="907">
        <v>740</v>
      </c>
      <c r="D12289" s="907" t="s">
        <v>12</v>
      </c>
      <c r="E12289" s="992" t="s">
        <v>4008</v>
      </c>
      <c r="F12289" s="905" t="s">
        <v>2674</v>
      </c>
      <c r="G12289" s="1005"/>
      <c r="H12289" s="911">
        <v>2</v>
      </c>
      <c r="I12289" s="912"/>
      <c r="J12289" s="912"/>
      <c r="K12289" s="912">
        <f>VLOOKUP(E12289,[5]ĐMNC!$A$7:$F$67,4,0)</f>
        <v>221125</v>
      </c>
      <c r="L12289" s="912">
        <f>H12289*K12289</f>
        <v>442250</v>
      </c>
      <c r="M12289" s="912"/>
      <c r="N12289" s="912"/>
      <c r="O12289" s="892">
        <f t="shared" si="985"/>
        <v>0</v>
      </c>
      <c r="P12289" s="903">
        <f t="shared" si="986"/>
        <v>1</v>
      </c>
      <c r="Q12289" s="893">
        <f t="shared" si="987"/>
        <v>4</v>
      </c>
      <c r="R12289" s="894">
        <f t="shared" si="988"/>
        <v>0</v>
      </c>
    </row>
    <row r="12290" spans="1:18" s="904" customFormat="1">
      <c r="A12290" s="895"/>
      <c r="B12290" s="896"/>
      <c r="C12290" s="897"/>
      <c r="D12290" s="897"/>
      <c r="E12290" s="1002" t="s">
        <v>3914</v>
      </c>
      <c r="F12290" s="1003"/>
      <c r="G12290" s="1004"/>
      <c r="H12290" s="901"/>
      <c r="I12290" s="902"/>
      <c r="J12290" s="902"/>
      <c r="K12290" s="912" t="s">
        <v>274</v>
      </c>
      <c r="L12290" s="902"/>
      <c r="M12290" s="902"/>
      <c r="N12290" s="902"/>
      <c r="O12290" s="892">
        <f t="shared" si="985"/>
        <v>0</v>
      </c>
      <c r="P12290" s="903">
        <f t="shared" si="986"/>
        <v>1</v>
      </c>
      <c r="Q12290" s="893">
        <f t="shared" si="987"/>
        <v>3</v>
      </c>
      <c r="R12290" s="894">
        <f t="shared" si="988"/>
        <v>0</v>
      </c>
    </row>
    <row r="12291" spans="1:18">
      <c r="A12291" s="905"/>
      <c r="B12291" s="952" t="s">
        <v>4993</v>
      </c>
      <c r="C12291" s="907">
        <v>904</v>
      </c>
      <c r="D12291" s="907" t="s">
        <v>93</v>
      </c>
      <c r="E12291" s="992" t="s">
        <v>4994</v>
      </c>
      <c r="F12291" s="905" t="s">
        <v>2673</v>
      </c>
      <c r="G12291" s="1005"/>
      <c r="H12291" s="911">
        <v>0.01</v>
      </c>
      <c r="I12291" s="912"/>
      <c r="J12291" s="912"/>
      <c r="K12291" s="912"/>
      <c r="L12291" s="912"/>
      <c r="M12291" s="912">
        <f>VLOOKUP(B12291,MTC!$B$9:$S$933,12,0)</f>
        <v>1393090</v>
      </c>
      <c r="N12291" s="912">
        <f>M12291*H12291</f>
        <v>13930.9</v>
      </c>
      <c r="O12291" s="892">
        <f t="shared" si="985"/>
        <v>0</v>
      </c>
      <c r="P12291" s="903">
        <f t="shared" si="986"/>
        <v>1</v>
      </c>
      <c r="Q12291" s="893">
        <f t="shared" si="987"/>
        <v>2</v>
      </c>
      <c r="R12291" s="894">
        <f t="shared" si="988"/>
        <v>0</v>
      </c>
    </row>
    <row r="12292" spans="1:18">
      <c r="A12292" s="905"/>
      <c r="B12292" s="952" t="s">
        <v>6879</v>
      </c>
      <c r="C12292" s="907">
        <v>910</v>
      </c>
      <c r="D12292" s="907" t="s">
        <v>93</v>
      </c>
      <c r="E12292" s="992" t="s">
        <v>6880</v>
      </c>
      <c r="F12292" s="905" t="s">
        <v>2673</v>
      </c>
      <c r="G12292" s="1005"/>
      <c r="H12292" s="911">
        <v>0.01</v>
      </c>
      <c r="I12292" s="912"/>
      <c r="J12292" s="912"/>
      <c r="K12292" s="912"/>
      <c r="L12292" s="912"/>
      <c r="M12292" s="912">
        <f>VLOOKUP(B12292,MTC!$B$9:$S$933,12,0)</f>
        <v>47752</v>
      </c>
      <c r="N12292" s="912">
        <f>M12292*H12292</f>
        <v>477.52</v>
      </c>
      <c r="O12292" s="892">
        <f t="shared" si="985"/>
        <v>0</v>
      </c>
      <c r="P12292" s="903">
        <f t="shared" si="986"/>
        <v>1</v>
      </c>
      <c r="Q12292" s="893">
        <f t="shared" si="987"/>
        <v>1</v>
      </c>
      <c r="R12292" s="894">
        <f t="shared" si="988"/>
        <v>0</v>
      </c>
    </row>
    <row r="12293" spans="1:18" s="904" customFormat="1">
      <c r="A12293" s="905">
        <v>660</v>
      </c>
      <c r="B12293" s="1018" t="s">
        <v>7122</v>
      </c>
      <c r="C12293" s="915"/>
      <c r="D12293" s="915"/>
      <c r="E12293" s="1006" t="s">
        <v>7123</v>
      </c>
      <c r="F12293" s="917" t="s">
        <v>1828</v>
      </c>
      <c r="G12293" s="1008"/>
      <c r="H12293" s="919"/>
      <c r="I12293" s="920"/>
      <c r="J12293" s="962">
        <f>SUM(J12294:J12302)</f>
        <v>58613.599999999999</v>
      </c>
      <c r="K12293" s="891" t="s">
        <v>274</v>
      </c>
      <c r="L12293" s="962">
        <f>SUM(L12294:L12302)</f>
        <v>497531.25</v>
      </c>
      <c r="M12293" s="962"/>
      <c r="N12293" s="962">
        <f>SUM(N12294:N12302)</f>
        <v>14408.42</v>
      </c>
      <c r="O12293" s="892">
        <f t="shared" si="985"/>
        <v>1</v>
      </c>
      <c r="P12293" s="903">
        <f t="shared" si="986"/>
        <v>0</v>
      </c>
      <c r="Q12293" s="893">
        <f t="shared" si="987"/>
        <v>0</v>
      </c>
      <c r="R12293" s="894">
        <f t="shared" si="988"/>
        <v>9</v>
      </c>
    </row>
    <row r="12294" spans="1:18">
      <c r="A12294" s="895"/>
      <c r="B12294" s="896"/>
      <c r="C12294" s="897"/>
      <c r="D12294" s="897"/>
      <c r="E12294" s="1002" t="s">
        <v>108</v>
      </c>
      <c r="F12294" s="1003"/>
      <c r="G12294" s="1004"/>
      <c r="H12294" s="901"/>
      <c r="I12294" s="902"/>
      <c r="J12294" s="902"/>
      <c r="K12294" s="912" t="s">
        <v>274</v>
      </c>
      <c r="L12294" s="902"/>
      <c r="M12294" s="902"/>
      <c r="N12294" s="902"/>
      <c r="O12294" s="892">
        <f t="shared" si="985"/>
        <v>0</v>
      </c>
      <c r="P12294" s="903">
        <f t="shared" si="986"/>
        <v>1</v>
      </c>
      <c r="Q12294" s="893">
        <f t="shared" si="987"/>
        <v>9</v>
      </c>
      <c r="R12294" s="894">
        <f t="shared" si="988"/>
        <v>0</v>
      </c>
    </row>
    <row r="12295" spans="1:18" s="847" customFormat="1">
      <c r="A12295" s="905"/>
      <c r="B12295" s="952"/>
      <c r="C12295" s="907">
        <v>235</v>
      </c>
      <c r="D12295" s="907" t="s">
        <v>279</v>
      </c>
      <c r="E12295" s="992" t="s">
        <v>2682</v>
      </c>
      <c r="F12295" s="905" t="s">
        <v>45</v>
      </c>
      <c r="G12295" s="1005"/>
      <c r="H12295" s="911">
        <v>0.25</v>
      </c>
      <c r="I12295" s="912">
        <f>VLOOKUP(E12295,[3]VLP!$B$7:$K$300,10,0)</f>
        <v>5000</v>
      </c>
      <c r="J12295" s="912">
        <f>I12295*H12295</f>
        <v>1250</v>
      </c>
      <c r="K12295" s="912" t="s">
        <v>274</v>
      </c>
      <c r="L12295" s="912"/>
      <c r="M12295" s="912"/>
      <c r="N12295" s="912"/>
      <c r="O12295" s="892">
        <f t="shared" si="985"/>
        <v>0</v>
      </c>
      <c r="P12295" s="903">
        <f t="shared" si="986"/>
        <v>1</v>
      </c>
      <c r="Q12295" s="893">
        <f t="shared" si="987"/>
        <v>8</v>
      </c>
      <c r="R12295" s="894">
        <f t="shared" si="988"/>
        <v>0</v>
      </c>
    </row>
    <row r="12296" spans="1:18" s="904" customFormat="1">
      <c r="A12296" s="905"/>
      <c r="B12296" s="952"/>
      <c r="C12296" s="907">
        <v>310</v>
      </c>
      <c r="D12296" s="907" t="s">
        <v>279</v>
      </c>
      <c r="E12296" s="992" t="s">
        <v>4017</v>
      </c>
      <c r="F12296" s="905" t="s">
        <v>45</v>
      </c>
      <c r="G12296" s="1005"/>
      <c r="H12296" s="911">
        <v>0.1</v>
      </c>
      <c r="I12296" s="912">
        <f>VLOOKUP(E12296,[3]VLP!$B$7:$K$300,10,0)</f>
        <v>73636</v>
      </c>
      <c r="J12296" s="912">
        <f>I12296*H12296</f>
        <v>7363.6</v>
      </c>
      <c r="K12296" s="912" t="s">
        <v>274</v>
      </c>
      <c r="L12296" s="912"/>
      <c r="M12296" s="912"/>
      <c r="N12296" s="912"/>
      <c r="O12296" s="892">
        <f t="shared" si="985"/>
        <v>0</v>
      </c>
      <c r="P12296" s="903">
        <f t="shared" si="986"/>
        <v>1</v>
      </c>
      <c r="Q12296" s="893">
        <f t="shared" si="987"/>
        <v>7</v>
      </c>
      <c r="R12296" s="894">
        <f t="shared" si="988"/>
        <v>0</v>
      </c>
    </row>
    <row r="12297" spans="1:18">
      <c r="A12297" s="905"/>
      <c r="B12297" s="952"/>
      <c r="C12297" s="907">
        <v>699</v>
      </c>
      <c r="D12297" s="907" t="s">
        <v>279</v>
      </c>
      <c r="E12297" s="992" t="s">
        <v>4006</v>
      </c>
      <c r="F12297" s="905" t="s">
        <v>4007</v>
      </c>
      <c r="G12297" s="1005"/>
      <c r="H12297" s="911">
        <v>10</v>
      </c>
      <c r="I12297" s="912">
        <f>VLOOKUP(E12297,[3]VLP!$B$7:$K$300,10,0)</f>
        <v>5000</v>
      </c>
      <c r="J12297" s="912">
        <f>I12297*H12297</f>
        <v>50000</v>
      </c>
      <c r="K12297" s="912" t="s">
        <v>274</v>
      </c>
      <c r="L12297" s="912"/>
      <c r="M12297" s="912"/>
      <c r="N12297" s="912"/>
      <c r="O12297" s="892">
        <f t="shared" si="985"/>
        <v>0</v>
      </c>
      <c r="P12297" s="903">
        <f t="shared" si="986"/>
        <v>1</v>
      </c>
      <c r="Q12297" s="893">
        <f t="shared" si="987"/>
        <v>6</v>
      </c>
      <c r="R12297" s="894">
        <f t="shared" si="988"/>
        <v>0</v>
      </c>
    </row>
    <row r="12298" spans="1:18">
      <c r="A12298" s="895"/>
      <c r="B12298" s="896"/>
      <c r="C12298" s="897"/>
      <c r="D12298" s="897"/>
      <c r="E12298" s="1002" t="s">
        <v>276</v>
      </c>
      <c r="F12298" s="1003"/>
      <c r="G12298" s="1004"/>
      <c r="H12298" s="901"/>
      <c r="I12298" s="902"/>
      <c r="J12298" s="902"/>
      <c r="K12298" s="912" t="s">
        <v>274</v>
      </c>
      <c r="L12298" s="902"/>
      <c r="M12298" s="902"/>
      <c r="N12298" s="902"/>
      <c r="O12298" s="892">
        <f t="shared" si="985"/>
        <v>0</v>
      </c>
      <c r="P12298" s="903">
        <f t="shared" si="986"/>
        <v>1</v>
      </c>
      <c r="Q12298" s="893">
        <f t="shared" si="987"/>
        <v>5</v>
      </c>
      <c r="R12298" s="894">
        <f t="shared" si="988"/>
        <v>0</v>
      </c>
    </row>
    <row r="12299" spans="1:18" s="904" customFormat="1">
      <c r="A12299" s="905"/>
      <c r="B12299" s="952"/>
      <c r="C12299" s="907">
        <v>740</v>
      </c>
      <c r="D12299" s="907" t="s">
        <v>12</v>
      </c>
      <c r="E12299" s="992" t="s">
        <v>4008</v>
      </c>
      <c r="F12299" s="905" t="s">
        <v>2674</v>
      </c>
      <c r="G12299" s="1005"/>
      <c r="H12299" s="911">
        <v>2.25</v>
      </c>
      <c r="I12299" s="912"/>
      <c r="J12299" s="912"/>
      <c r="K12299" s="912">
        <f>VLOOKUP(E12299,[5]ĐMNC!$A$7:$F$67,4,0)</f>
        <v>221125</v>
      </c>
      <c r="L12299" s="912">
        <f>H12299*K12299</f>
        <v>497531.25</v>
      </c>
      <c r="M12299" s="912"/>
      <c r="N12299" s="912"/>
      <c r="O12299" s="892">
        <f t="shared" si="985"/>
        <v>0</v>
      </c>
      <c r="P12299" s="903">
        <f t="shared" si="986"/>
        <v>1</v>
      </c>
      <c r="Q12299" s="893">
        <f t="shared" si="987"/>
        <v>4</v>
      </c>
      <c r="R12299" s="894">
        <f t="shared" si="988"/>
        <v>0</v>
      </c>
    </row>
    <row r="12300" spans="1:18">
      <c r="A12300" s="895"/>
      <c r="B12300" s="896"/>
      <c r="C12300" s="897"/>
      <c r="D12300" s="897"/>
      <c r="E12300" s="1002" t="s">
        <v>3914</v>
      </c>
      <c r="F12300" s="1003"/>
      <c r="G12300" s="1004"/>
      <c r="H12300" s="901"/>
      <c r="I12300" s="902"/>
      <c r="J12300" s="902"/>
      <c r="K12300" s="912" t="s">
        <v>274</v>
      </c>
      <c r="L12300" s="902"/>
      <c r="M12300" s="902"/>
      <c r="N12300" s="902"/>
      <c r="O12300" s="892">
        <f t="shared" si="985"/>
        <v>0</v>
      </c>
      <c r="P12300" s="903">
        <f t="shared" si="986"/>
        <v>1</v>
      </c>
      <c r="Q12300" s="893">
        <f t="shared" si="987"/>
        <v>3</v>
      </c>
      <c r="R12300" s="894">
        <f t="shared" si="988"/>
        <v>0</v>
      </c>
    </row>
    <row r="12301" spans="1:18" s="847" customFormat="1">
      <c r="A12301" s="905"/>
      <c r="B12301" s="952" t="s">
        <v>4993</v>
      </c>
      <c r="C12301" s="907">
        <v>904</v>
      </c>
      <c r="D12301" s="907" t="s">
        <v>93</v>
      </c>
      <c r="E12301" s="992" t="s">
        <v>4994</v>
      </c>
      <c r="F12301" s="905" t="s">
        <v>2673</v>
      </c>
      <c r="G12301" s="1005"/>
      <c r="H12301" s="911">
        <v>0.01</v>
      </c>
      <c r="I12301" s="912"/>
      <c r="J12301" s="912"/>
      <c r="K12301" s="912"/>
      <c r="L12301" s="912"/>
      <c r="M12301" s="912">
        <f>VLOOKUP(B12301,MTC!$B$9:$S$933,12,0)</f>
        <v>1393090</v>
      </c>
      <c r="N12301" s="912">
        <f>M12301*H12301</f>
        <v>13930.9</v>
      </c>
      <c r="O12301" s="892">
        <f t="shared" si="985"/>
        <v>0</v>
      </c>
      <c r="P12301" s="903">
        <f t="shared" si="986"/>
        <v>1</v>
      </c>
      <c r="Q12301" s="893">
        <f t="shared" si="987"/>
        <v>2</v>
      </c>
      <c r="R12301" s="894">
        <f t="shared" si="988"/>
        <v>0</v>
      </c>
    </row>
    <row r="12302" spans="1:18" s="904" customFormat="1">
      <c r="A12302" s="905"/>
      <c r="B12302" s="952" t="s">
        <v>6879</v>
      </c>
      <c r="C12302" s="907">
        <v>910</v>
      </c>
      <c r="D12302" s="907" t="s">
        <v>93</v>
      </c>
      <c r="E12302" s="992" t="s">
        <v>6880</v>
      </c>
      <c r="F12302" s="905" t="s">
        <v>2673</v>
      </c>
      <c r="G12302" s="1005"/>
      <c r="H12302" s="911">
        <v>0.01</v>
      </c>
      <c r="I12302" s="912"/>
      <c r="J12302" s="912"/>
      <c r="K12302" s="912"/>
      <c r="L12302" s="912"/>
      <c r="M12302" s="912">
        <f>VLOOKUP(B12302,MTC!$B$9:$S$933,12,0)</f>
        <v>47752</v>
      </c>
      <c r="N12302" s="912">
        <f>M12302*H12302</f>
        <v>477.52</v>
      </c>
      <c r="O12302" s="892">
        <f t="shared" si="985"/>
        <v>0</v>
      </c>
      <c r="P12302" s="903">
        <f t="shared" si="986"/>
        <v>1</v>
      </c>
      <c r="Q12302" s="893">
        <f t="shared" si="987"/>
        <v>1</v>
      </c>
      <c r="R12302" s="894">
        <f t="shared" si="988"/>
        <v>0</v>
      </c>
    </row>
    <row r="12303" spans="1:18">
      <c r="A12303" s="955" t="s">
        <v>7111</v>
      </c>
      <c r="B12303" s="1020" t="s">
        <v>7124</v>
      </c>
      <c r="C12303" s="956"/>
      <c r="D12303" s="956"/>
      <c r="E12303" s="1022" t="s">
        <v>7125</v>
      </c>
      <c r="F12303" s="958" t="s">
        <v>1828</v>
      </c>
      <c r="G12303" s="1023"/>
      <c r="H12303" s="960"/>
      <c r="I12303" s="961"/>
      <c r="J12303" s="962">
        <f>SUM(J12304:J12312)</f>
        <v>58463.6</v>
      </c>
      <c r="K12303" s="891" t="s">
        <v>274</v>
      </c>
      <c r="L12303" s="962">
        <f>SUM(L12304:L12312)</f>
        <v>386968.75</v>
      </c>
      <c r="M12303" s="962"/>
      <c r="N12303" s="962">
        <f>SUM(N12304:N12312)</f>
        <v>14408.42</v>
      </c>
      <c r="O12303" s="892">
        <f t="shared" si="985"/>
        <v>1</v>
      </c>
      <c r="P12303" s="903">
        <f t="shared" si="986"/>
        <v>0</v>
      </c>
      <c r="Q12303" s="893">
        <f t="shared" si="987"/>
        <v>0</v>
      </c>
      <c r="R12303" s="894">
        <f t="shared" si="988"/>
        <v>9</v>
      </c>
    </row>
    <row r="12304" spans="1:18">
      <c r="A12304" s="895"/>
      <c r="B12304" s="896"/>
      <c r="C12304" s="897"/>
      <c r="D12304" s="897"/>
      <c r="E12304" s="1002" t="s">
        <v>108</v>
      </c>
      <c r="F12304" s="1003"/>
      <c r="G12304" s="1004"/>
      <c r="H12304" s="901"/>
      <c r="I12304" s="902"/>
      <c r="J12304" s="902"/>
      <c r="K12304" s="912" t="s">
        <v>274</v>
      </c>
      <c r="L12304" s="902"/>
      <c r="M12304" s="902"/>
      <c r="N12304" s="902"/>
      <c r="O12304" s="892">
        <f t="shared" si="985"/>
        <v>0</v>
      </c>
      <c r="P12304" s="903">
        <f t="shared" si="986"/>
        <v>1</v>
      </c>
      <c r="Q12304" s="893">
        <f t="shared" si="987"/>
        <v>9</v>
      </c>
      <c r="R12304" s="894">
        <f t="shared" si="988"/>
        <v>0</v>
      </c>
    </row>
    <row r="12305" spans="1:18" s="904" customFormat="1">
      <c r="A12305" s="905"/>
      <c r="B12305" s="952"/>
      <c r="C12305" s="907">
        <v>235</v>
      </c>
      <c r="D12305" s="907" t="s">
        <v>279</v>
      </c>
      <c r="E12305" s="992" t="s">
        <v>2682</v>
      </c>
      <c r="F12305" s="905" t="s">
        <v>45</v>
      </c>
      <c r="G12305" s="1005"/>
      <c r="H12305" s="911">
        <v>0.22</v>
      </c>
      <c r="I12305" s="912">
        <f>VLOOKUP(E12305,[3]VLP!$B$7:$K$300,10,0)</f>
        <v>5000</v>
      </c>
      <c r="J12305" s="912">
        <f>I12305*H12305</f>
        <v>1100</v>
      </c>
      <c r="K12305" s="912" t="s">
        <v>274</v>
      </c>
      <c r="L12305" s="912"/>
      <c r="M12305" s="912"/>
      <c r="N12305" s="912"/>
      <c r="O12305" s="892">
        <f t="shared" si="985"/>
        <v>0</v>
      </c>
      <c r="P12305" s="903">
        <f t="shared" si="986"/>
        <v>1</v>
      </c>
      <c r="Q12305" s="893">
        <f t="shared" si="987"/>
        <v>8</v>
      </c>
      <c r="R12305" s="894">
        <f t="shared" si="988"/>
        <v>0</v>
      </c>
    </row>
    <row r="12306" spans="1:18">
      <c r="A12306" s="905"/>
      <c r="B12306" s="952"/>
      <c r="C12306" s="907">
        <v>310</v>
      </c>
      <c r="D12306" s="907" t="s">
        <v>279</v>
      </c>
      <c r="E12306" s="992" t="s">
        <v>4017</v>
      </c>
      <c r="F12306" s="905" t="s">
        <v>45</v>
      </c>
      <c r="G12306" s="1005"/>
      <c r="H12306" s="911">
        <v>0.1</v>
      </c>
      <c r="I12306" s="912">
        <f>VLOOKUP(E12306,[3]VLP!$B$7:$K$300,10,0)</f>
        <v>73636</v>
      </c>
      <c r="J12306" s="912">
        <f>I12306*H12306</f>
        <v>7363.6</v>
      </c>
      <c r="K12306" s="912" t="s">
        <v>274</v>
      </c>
      <c r="L12306" s="912"/>
      <c r="M12306" s="912"/>
      <c r="N12306" s="912"/>
      <c r="O12306" s="892">
        <f t="shared" si="985"/>
        <v>0</v>
      </c>
      <c r="P12306" s="903">
        <f t="shared" si="986"/>
        <v>1</v>
      </c>
      <c r="Q12306" s="893">
        <f t="shared" si="987"/>
        <v>7</v>
      </c>
      <c r="R12306" s="894">
        <f t="shared" si="988"/>
        <v>0</v>
      </c>
    </row>
    <row r="12307" spans="1:18" s="847" customFormat="1">
      <c r="A12307" s="905"/>
      <c r="B12307" s="952"/>
      <c r="C12307" s="907">
        <v>699</v>
      </c>
      <c r="D12307" s="907" t="s">
        <v>279</v>
      </c>
      <c r="E12307" s="992" t="s">
        <v>4006</v>
      </c>
      <c r="F12307" s="905" t="s">
        <v>4007</v>
      </c>
      <c r="G12307" s="1005"/>
      <c r="H12307" s="911">
        <v>10</v>
      </c>
      <c r="I12307" s="912">
        <f>VLOOKUP(E12307,[3]VLP!$B$7:$K$300,10,0)</f>
        <v>5000</v>
      </c>
      <c r="J12307" s="912">
        <f>I12307*H12307</f>
        <v>50000</v>
      </c>
      <c r="K12307" s="912" t="s">
        <v>274</v>
      </c>
      <c r="L12307" s="912"/>
      <c r="M12307" s="912"/>
      <c r="N12307" s="912"/>
      <c r="O12307" s="892">
        <f t="shared" si="985"/>
        <v>0</v>
      </c>
      <c r="P12307" s="903">
        <f t="shared" si="986"/>
        <v>1</v>
      </c>
      <c r="Q12307" s="893">
        <f t="shared" si="987"/>
        <v>6</v>
      </c>
      <c r="R12307" s="894">
        <f t="shared" si="988"/>
        <v>0</v>
      </c>
    </row>
    <row r="12308" spans="1:18" s="904" customFormat="1">
      <c r="A12308" s="895"/>
      <c r="B12308" s="896"/>
      <c r="C12308" s="897"/>
      <c r="D12308" s="897"/>
      <c r="E12308" s="1002" t="s">
        <v>276</v>
      </c>
      <c r="F12308" s="1003"/>
      <c r="G12308" s="1004"/>
      <c r="H12308" s="901"/>
      <c r="I12308" s="902"/>
      <c r="J12308" s="902"/>
      <c r="K12308" s="912" t="s">
        <v>274</v>
      </c>
      <c r="L12308" s="902"/>
      <c r="M12308" s="902"/>
      <c r="N12308" s="902"/>
      <c r="O12308" s="892">
        <f t="shared" si="985"/>
        <v>0</v>
      </c>
      <c r="P12308" s="903">
        <f t="shared" si="986"/>
        <v>1</v>
      </c>
      <c r="Q12308" s="893">
        <f t="shared" si="987"/>
        <v>5</v>
      </c>
      <c r="R12308" s="894">
        <f t="shared" si="988"/>
        <v>0</v>
      </c>
    </row>
    <row r="12309" spans="1:18">
      <c r="A12309" s="905"/>
      <c r="B12309" s="952"/>
      <c r="C12309" s="907">
        <v>740</v>
      </c>
      <c r="D12309" s="907" t="s">
        <v>12</v>
      </c>
      <c r="E12309" s="992" t="s">
        <v>4008</v>
      </c>
      <c r="F12309" s="905" t="s">
        <v>2674</v>
      </c>
      <c r="G12309" s="1005"/>
      <c r="H12309" s="911">
        <v>1.75</v>
      </c>
      <c r="I12309" s="912"/>
      <c r="J12309" s="912"/>
      <c r="K12309" s="912">
        <f>VLOOKUP(E12309,[5]ĐMNC!$A$7:$F$67,4,0)</f>
        <v>221125</v>
      </c>
      <c r="L12309" s="912">
        <f>H12309*K12309</f>
        <v>386968.75</v>
      </c>
      <c r="M12309" s="912"/>
      <c r="N12309" s="912"/>
      <c r="O12309" s="892">
        <f t="shared" si="985"/>
        <v>0</v>
      </c>
      <c r="P12309" s="903">
        <f t="shared" si="986"/>
        <v>1</v>
      </c>
      <c r="Q12309" s="893">
        <f t="shared" si="987"/>
        <v>4</v>
      </c>
      <c r="R12309" s="894">
        <f t="shared" si="988"/>
        <v>0</v>
      </c>
    </row>
    <row r="12310" spans="1:18">
      <c r="A12310" s="895"/>
      <c r="B12310" s="896"/>
      <c r="C12310" s="897"/>
      <c r="D12310" s="897"/>
      <c r="E12310" s="1002" t="s">
        <v>3914</v>
      </c>
      <c r="F12310" s="1003"/>
      <c r="G12310" s="1004"/>
      <c r="H12310" s="901"/>
      <c r="I12310" s="902"/>
      <c r="J12310" s="902"/>
      <c r="K12310" s="912" t="s">
        <v>274</v>
      </c>
      <c r="L12310" s="902"/>
      <c r="M12310" s="902"/>
      <c r="N12310" s="902"/>
      <c r="O12310" s="892">
        <f t="shared" si="985"/>
        <v>0</v>
      </c>
      <c r="P12310" s="903">
        <f t="shared" si="986"/>
        <v>1</v>
      </c>
      <c r="Q12310" s="893">
        <f t="shared" si="987"/>
        <v>3</v>
      </c>
      <c r="R12310" s="894">
        <f t="shared" si="988"/>
        <v>0</v>
      </c>
    </row>
    <row r="12311" spans="1:18" s="904" customFormat="1">
      <c r="A12311" s="905"/>
      <c r="B12311" s="952" t="s">
        <v>4993</v>
      </c>
      <c r="C12311" s="907">
        <v>904</v>
      </c>
      <c r="D12311" s="907" t="s">
        <v>93</v>
      </c>
      <c r="E12311" s="992" t="s">
        <v>4994</v>
      </c>
      <c r="F12311" s="905" t="s">
        <v>2673</v>
      </c>
      <c r="G12311" s="1005"/>
      <c r="H12311" s="911">
        <v>0.01</v>
      </c>
      <c r="I12311" s="912"/>
      <c r="J12311" s="912"/>
      <c r="K12311" s="912"/>
      <c r="L12311" s="912"/>
      <c r="M12311" s="912">
        <f>VLOOKUP(B12311,MTC!$B$9:$S$933,12,0)</f>
        <v>1393090</v>
      </c>
      <c r="N12311" s="912">
        <f>M12311*H12311</f>
        <v>13930.9</v>
      </c>
      <c r="O12311" s="892">
        <f t="shared" si="985"/>
        <v>0</v>
      </c>
      <c r="P12311" s="903">
        <f t="shared" si="986"/>
        <v>1</v>
      </c>
      <c r="Q12311" s="893">
        <f t="shared" si="987"/>
        <v>2</v>
      </c>
      <c r="R12311" s="894">
        <f t="shared" si="988"/>
        <v>0</v>
      </c>
    </row>
    <row r="12312" spans="1:18">
      <c r="A12312" s="905"/>
      <c r="B12312" s="952" t="s">
        <v>6879</v>
      </c>
      <c r="C12312" s="907">
        <v>910</v>
      </c>
      <c r="D12312" s="907" t="s">
        <v>93</v>
      </c>
      <c r="E12312" s="992" t="s">
        <v>6880</v>
      </c>
      <c r="F12312" s="905" t="s">
        <v>2673</v>
      </c>
      <c r="G12312" s="1005"/>
      <c r="H12312" s="911">
        <v>0.01</v>
      </c>
      <c r="I12312" s="912"/>
      <c r="J12312" s="912"/>
      <c r="K12312" s="912"/>
      <c r="L12312" s="912"/>
      <c r="M12312" s="912">
        <f>VLOOKUP(B12312,MTC!$B$9:$S$933,12,0)</f>
        <v>47752</v>
      </c>
      <c r="N12312" s="912">
        <f>M12312*H12312</f>
        <v>477.52</v>
      </c>
      <c r="O12312" s="892">
        <f t="shared" si="985"/>
        <v>0</v>
      </c>
      <c r="P12312" s="903">
        <f t="shared" si="986"/>
        <v>1</v>
      </c>
      <c r="Q12312" s="893">
        <f t="shared" si="987"/>
        <v>1</v>
      </c>
      <c r="R12312" s="894">
        <f t="shared" si="988"/>
        <v>0</v>
      </c>
    </row>
    <row r="12313" spans="1:18" s="847" customFormat="1">
      <c r="A12313" s="905">
        <v>662</v>
      </c>
      <c r="B12313" s="1018" t="s">
        <v>7126</v>
      </c>
      <c r="C12313" s="915"/>
      <c r="D12313" s="915"/>
      <c r="E12313" s="1006" t="s">
        <v>7127</v>
      </c>
      <c r="F12313" s="917" t="s">
        <v>1828</v>
      </c>
      <c r="G12313" s="1008"/>
      <c r="H12313" s="919"/>
      <c r="I12313" s="920"/>
      <c r="J12313" s="962">
        <f>SUM(J12314:J12322)</f>
        <v>58613.599999999999</v>
      </c>
      <c r="K12313" s="891" t="s">
        <v>274</v>
      </c>
      <c r="L12313" s="962">
        <f>SUM(L12314:L12322)</f>
        <v>486475.00000000006</v>
      </c>
      <c r="M12313" s="962"/>
      <c r="N12313" s="962">
        <f>SUM(N12314:N12322)</f>
        <v>14408.42</v>
      </c>
      <c r="O12313" s="892">
        <f t="shared" si="985"/>
        <v>1</v>
      </c>
      <c r="P12313" s="903">
        <f t="shared" si="986"/>
        <v>0</v>
      </c>
      <c r="Q12313" s="893">
        <f t="shared" si="987"/>
        <v>0</v>
      </c>
      <c r="R12313" s="894">
        <f t="shared" si="988"/>
        <v>9</v>
      </c>
    </row>
    <row r="12314" spans="1:18" s="904" customFormat="1">
      <c r="A12314" s="895"/>
      <c r="B12314" s="896"/>
      <c r="C12314" s="897"/>
      <c r="D12314" s="897"/>
      <c r="E12314" s="1002" t="s">
        <v>108</v>
      </c>
      <c r="F12314" s="1003"/>
      <c r="G12314" s="1004"/>
      <c r="H12314" s="901"/>
      <c r="I12314" s="902"/>
      <c r="J12314" s="902"/>
      <c r="K12314" s="912" t="s">
        <v>274</v>
      </c>
      <c r="L12314" s="902"/>
      <c r="M12314" s="902"/>
      <c r="N12314" s="902"/>
      <c r="O12314" s="892">
        <f t="shared" si="985"/>
        <v>0</v>
      </c>
      <c r="P12314" s="903">
        <f t="shared" si="986"/>
        <v>1</v>
      </c>
      <c r="Q12314" s="893">
        <f t="shared" si="987"/>
        <v>9</v>
      </c>
      <c r="R12314" s="894">
        <f t="shared" si="988"/>
        <v>0</v>
      </c>
    </row>
    <row r="12315" spans="1:18">
      <c r="A12315" s="905"/>
      <c r="B12315" s="952"/>
      <c r="C12315" s="907">
        <v>235</v>
      </c>
      <c r="D12315" s="907" t="s">
        <v>279</v>
      </c>
      <c r="E12315" s="992" t="s">
        <v>2682</v>
      </c>
      <c r="F12315" s="905" t="s">
        <v>45</v>
      </c>
      <c r="G12315" s="1005"/>
      <c r="H12315" s="911">
        <v>0.25</v>
      </c>
      <c r="I12315" s="912">
        <f>VLOOKUP(E12315,[3]VLP!$B$7:$K$300,10,0)</f>
        <v>5000</v>
      </c>
      <c r="J12315" s="912">
        <f>I12315*H12315</f>
        <v>1250</v>
      </c>
      <c r="K12315" s="912" t="s">
        <v>274</v>
      </c>
      <c r="L12315" s="912"/>
      <c r="M12315" s="912"/>
      <c r="N12315" s="912"/>
      <c r="O12315" s="892">
        <f t="shared" si="985"/>
        <v>0</v>
      </c>
      <c r="P12315" s="903">
        <f t="shared" si="986"/>
        <v>1</v>
      </c>
      <c r="Q12315" s="893">
        <f t="shared" si="987"/>
        <v>8</v>
      </c>
      <c r="R12315" s="894">
        <f t="shared" si="988"/>
        <v>0</v>
      </c>
    </row>
    <row r="12316" spans="1:18">
      <c r="A12316" s="905"/>
      <c r="B12316" s="952"/>
      <c r="C12316" s="907">
        <v>310</v>
      </c>
      <c r="D12316" s="907" t="s">
        <v>279</v>
      </c>
      <c r="E12316" s="992" t="s">
        <v>4017</v>
      </c>
      <c r="F12316" s="905" t="s">
        <v>45</v>
      </c>
      <c r="G12316" s="1005"/>
      <c r="H12316" s="911">
        <v>0.1</v>
      </c>
      <c r="I12316" s="912">
        <f>VLOOKUP(E12316,[3]VLP!$B$7:$K$300,10,0)</f>
        <v>73636</v>
      </c>
      <c r="J12316" s="912">
        <f>I12316*H12316</f>
        <v>7363.6</v>
      </c>
      <c r="K12316" s="912" t="s">
        <v>274</v>
      </c>
      <c r="L12316" s="912"/>
      <c r="M12316" s="912"/>
      <c r="N12316" s="912"/>
      <c r="O12316" s="892">
        <f t="shared" si="985"/>
        <v>0</v>
      </c>
      <c r="P12316" s="903">
        <f t="shared" si="986"/>
        <v>1</v>
      </c>
      <c r="Q12316" s="893">
        <f t="shared" si="987"/>
        <v>7</v>
      </c>
      <c r="R12316" s="894">
        <f t="shared" si="988"/>
        <v>0</v>
      </c>
    </row>
    <row r="12317" spans="1:18" s="904" customFormat="1">
      <c r="A12317" s="905"/>
      <c r="B12317" s="952"/>
      <c r="C12317" s="907">
        <v>699</v>
      </c>
      <c r="D12317" s="907" t="s">
        <v>279</v>
      </c>
      <c r="E12317" s="992" t="s">
        <v>4006</v>
      </c>
      <c r="F12317" s="905" t="s">
        <v>4007</v>
      </c>
      <c r="G12317" s="1005"/>
      <c r="H12317" s="911">
        <v>10</v>
      </c>
      <c r="I12317" s="912">
        <f>VLOOKUP(E12317,[3]VLP!$B$7:$K$300,10,0)</f>
        <v>5000</v>
      </c>
      <c r="J12317" s="912">
        <f>I12317*H12317</f>
        <v>50000</v>
      </c>
      <c r="K12317" s="912" t="s">
        <v>274</v>
      </c>
      <c r="L12317" s="912"/>
      <c r="M12317" s="912"/>
      <c r="N12317" s="912"/>
      <c r="O12317" s="892">
        <f t="shared" si="985"/>
        <v>0</v>
      </c>
      <c r="P12317" s="903">
        <f t="shared" si="986"/>
        <v>1</v>
      </c>
      <c r="Q12317" s="893">
        <f t="shared" si="987"/>
        <v>6</v>
      </c>
      <c r="R12317" s="894">
        <f t="shared" si="988"/>
        <v>0</v>
      </c>
    </row>
    <row r="12318" spans="1:18">
      <c r="A12318" s="895"/>
      <c r="B12318" s="896"/>
      <c r="C12318" s="897"/>
      <c r="D12318" s="897"/>
      <c r="E12318" s="1002" t="s">
        <v>276</v>
      </c>
      <c r="F12318" s="1003"/>
      <c r="G12318" s="1004"/>
      <c r="H12318" s="901"/>
      <c r="I12318" s="902"/>
      <c r="J12318" s="902"/>
      <c r="K12318" s="912" t="s">
        <v>274</v>
      </c>
      <c r="L12318" s="902"/>
      <c r="M12318" s="902"/>
      <c r="N12318" s="902"/>
      <c r="O12318" s="892">
        <f t="shared" si="985"/>
        <v>0</v>
      </c>
      <c r="P12318" s="903">
        <f t="shared" si="986"/>
        <v>1</v>
      </c>
      <c r="Q12318" s="893">
        <f t="shared" si="987"/>
        <v>5</v>
      </c>
      <c r="R12318" s="894">
        <f t="shared" si="988"/>
        <v>0</v>
      </c>
    </row>
    <row r="12319" spans="1:18" s="847" customFormat="1">
      <c r="A12319" s="905"/>
      <c r="B12319" s="952"/>
      <c r="C12319" s="907">
        <v>740</v>
      </c>
      <c r="D12319" s="907" t="s">
        <v>12</v>
      </c>
      <c r="E12319" s="992" t="s">
        <v>4008</v>
      </c>
      <c r="F12319" s="905" t="s">
        <v>2674</v>
      </c>
      <c r="G12319" s="1005"/>
      <c r="H12319" s="911">
        <v>2.2000000000000002</v>
      </c>
      <c r="I12319" s="912"/>
      <c r="J12319" s="912"/>
      <c r="K12319" s="912">
        <f>VLOOKUP(E12319,[5]ĐMNC!$A$7:$F$67,4,0)</f>
        <v>221125</v>
      </c>
      <c r="L12319" s="912">
        <f>H12319*K12319</f>
        <v>486475.00000000006</v>
      </c>
      <c r="M12319" s="912"/>
      <c r="N12319" s="912"/>
      <c r="O12319" s="892">
        <f t="shared" ref="O12319:O12382" si="989">IF(AND(B12319&lt;&gt;"",D12319=""),1,0)</f>
        <v>0</v>
      </c>
      <c r="P12319" s="903">
        <f t="shared" si="986"/>
        <v>1</v>
      </c>
      <c r="Q12319" s="893">
        <f t="shared" si="987"/>
        <v>4</v>
      </c>
      <c r="R12319" s="894">
        <f t="shared" si="988"/>
        <v>0</v>
      </c>
    </row>
    <row r="12320" spans="1:18" s="904" customFormat="1">
      <c r="A12320" s="895"/>
      <c r="B12320" s="896"/>
      <c r="C12320" s="897"/>
      <c r="D12320" s="897"/>
      <c r="E12320" s="1002" t="s">
        <v>3914</v>
      </c>
      <c r="F12320" s="1003"/>
      <c r="G12320" s="1004"/>
      <c r="H12320" s="901"/>
      <c r="I12320" s="902"/>
      <c r="J12320" s="902"/>
      <c r="K12320" s="912" t="s">
        <v>274</v>
      </c>
      <c r="L12320" s="902"/>
      <c r="M12320" s="902"/>
      <c r="N12320" s="902"/>
      <c r="O12320" s="892">
        <f t="shared" si="989"/>
        <v>0</v>
      </c>
      <c r="P12320" s="903">
        <f t="shared" si="986"/>
        <v>1</v>
      </c>
      <c r="Q12320" s="893">
        <f t="shared" si="987"/>
        <v>3</v>
      </c>
      <c r="R12320" s="894">
        <f t="shared" si="988"/>
        <v>0</v>
      </c>
    </row>
    <row r="12321" spans="1:18">
      <c r="A12321" s="905"/>
      <c r="B12321" s="952" t="s">
        <v>4993</v>
      </c>
      <c r="C12321" s="907">
        <v>904</v>
      </c>
      <c r="D12321" s="907" t="s">
        <v>93</v>
      </c>
      <c r="E12321" s="992" t="s">
        <v>4994</v>
      </c>
      <c r="F12321" s="905" t="s">
        <v>2673</v>
      </c>
      <c r="G12321" s="1005"/>
      <c r="H12321" s="911">
        <v>0.01</v>
      </c>
      <c r="I12321" s="912"/>
      <c r="J12321" s="912"/>
      <c r="K12321" s="912"/>
      <c r="L12321" s="912"/>
      <c r="M12321" s="912">
        <f>VLOOKUP(B12321,MTC!$B$9:$S$933,12,0)</f>
        <v>1393090</v>
      </c>
      <c r="N12321" s="912">
        <f>M12321*H12321</f>
        <v>13930.9</v>
      </c>
      <c r="O12321" s="892">
        <f t="shared" si="989"/>
        <v>0</v>
      </c>
      <c r="P12321" s="903">
        <f t="shared" si="986"/>
        <v>1</v>
      </c>
      <c r="Q12321" s="893">
        <f t="shared" si="987"/>
        <v>2</v>
      </c>
      <c r="R12321" s="894">
        <f t="shared" si="988"/>
        <v>0</v>
      </c>
    </row>
    <row r="12322" spans="1:18">
      <c r="A12322" s="905"/>
      <c r="B12322" s="952" t="s">
        <v>6879</v>
      </c>
      <c r="C12322" s="907">
        <v>910</v>
      </c>
      <c r="D12322" s="907" t="s">
        <v>93</v>
      </c>
      <c r="E12322" s="992" t="s">
        <v>6880</v>
      </c>
      <c r="F12322" s="905" t="s">
        <v>2673</v>
      </c>
      <c r="G12322" s="1005"/>
      <c r="H12322" s="911">
        <v>0.01</v>
      </c>
      <c r="I12322" s="912"/>
      <c r="J12322" s="912"/>
      <c r="K12322" s="912"/>
      <c r="L12322" s="912"/>
      <c r="M12322" s="912">
        <f>VLOOKUP(B12322,MTC!$B$9:$S$933,12,0)</f>
        <v>47752</v>
      </c>
      <c r="N12322" s="912">
        <f>M12322*H12322</f>
        <v>477.52</v>
      </c>
      <c r="O12322" s="892">
        <f t="shared" si="989"/>
        <v>0</v>
      </c>
      <c r="P12322" s="903">
        <f t="shared" si="986"/>
        <v>1</v>
      </c>
      <c r="Q12322" s="893">
        <f t="shared" si="987"/>
        <v>1</v>
      </c>
      <c r="R12322" s="894">
        <f t="shared" si="988"/>
        <v>0</v>
      </c>
    </row>
    <row r="12323" spans="1:18" s="904" customFormat="1">
      <c r="A12323" s="905">
        <v>663</v>
      </c>
      <c r="B12323" s="1018" t="s">
        <v>7128</v>
      </c>
      <c r="C12323" s="915"/>
      <c r="D12323" s="915"/>
      <c r="E12323" s="1006" t="s">
        <v>7129</v>
      </c>
      <c r="F12323" s="917" t="s">
        <v>1828</v>
      </c>
      <c r="G12323" s="1008"/>
      <c r="H12323" s="919"/>
      <c r="I12323" s="920"/>
      <c r="J12323" s="962">
        <f>SUM(J12324:J12332)</f>
        <v>58863.6</v>
      </c>
      <c r="K12323" s="891" t="s">
        <v>274</v>
      </c>
      <c r="L12323" s="962">
        <f>SUM(L12324:L12332)</f>
        <v>597037.5</v>
      </c>
      <c r="M12323" s="962"/>
      <c r="N12323" s="962">
        <f>SUM(N12324:N12332)</f>
        <v>14408.42</v>
      </c>
      <c r="O12323" s="892">
        <f t="shared" si="989"/>
        <v>1</v>
      </c>
      <c r="P12323" s="903">
        <f t="shared" si="986"/>
        <v>0</v>
      </c>
      <c r="Q12323" s="893">
        <f t="shared" si="987"/>
        <v>0</v>
      </c>
      <c r="R12323" s="894">
        <f t="shared" si="988"/>
        <v>9</v>
      </c>
    </row>
    <row r="12324" spans="1:18">
      <c r="A12324" s="895"/>
      <c r="B12324" s="896"/>
      <c r="C12324" s="897"/>
      <c r="D12324" s="897"/>
      <c r="E12324" s="1002" t="s">
        <v>108</v>
      </c>
      <c r="F12324" s="1003"/>
      <c r="G12324" s="1004"/>
      <c r="H12324" s="901"/>
      <c r="I12324" s="902"/>
      <c r="J12324" s="902"/>
      <c r="K12324" s="912" t="s">
        <v>274</v>
      </c>
      <c r="L12324" s="902"/>
      <c r="M12324" s="902"/>
      <c r="N12324" s="902"/>
      <c r="O12324" s="892">
        <f t="shared" si="989"/>
        <v>0</v>
      </c>
      <c r="P12324" s="903">
        <f t="shared" si="986"/>
        <v>1</v>
      </c>
      <c r="Q12324" s="893">
        <f t="shared" si="987"/>
        <v>9</v>
      </c>
      <c r="R12324" s="894">
        <f t="shared" si="988"/>
        <v>0</v>
      </c>
    </row>
    <row r="12325" spans="1:18" s="847" customFormat="1">
      <c r="A12325" s="905"/>
      <c r="B12325" s="952"/>
      <c r="C12325" s="907">
        <v>235</v>
      </c>
      <c r="D12325" s="907" t="s">
        <v>279</v>
      </c>
      <c r="E12325" s="992" t="s">
        <v>2682</v>
      </c>
      <c r="F12325" s="905" t="s">
        <v>45</v>
      </c>
      <c r="G12325" s="1005"/>
      <c r="H12325" s="911">
        <v>0.3</v>
      </c>
      <c r="I12325" s="912">
        <f>VLOOKUP(E12325,[3]VLP!$B$7:$K$300,10,0)</f>
        <v>5000</v>
      </c>
      <c r="J12325" s="912">
        <f>I12325*H12325</f>
        <v>1500</v>
      </c>
      <c r="K12325" s="912" t="s">
        <v>274</v>
      </c>
      <c r="L12325" s="912"/>
      <c r="M12325" s="912"/>
      <c r="N12325" s="912"/>
      <c r="O12325" s="892">
        <f t="shared" si="989"/>
        <v>0</v>
      </c>
      <c r="P12325" s="903">
        <f t="shared" si="986"/>
        <v>1</v>
      </c>
      <c r="Q12325" s="893">
        <f t="shared" si="987"/>
        <v>8</v>
      </c>
      <c r="R12325" s="894">
        <f t="shared" si="988"/>
        <v>0</v>
      </c>
    </row>
    <row r="12326" spans="1:18" s="904" customFormat="1">
      <c r="A12326" s="905"/>
      <c r="B12326" s="952"/>
      <c r="C12326" s="907">
        <v>310</v>
      </c>
      <c r="D12326" s="907" t="s">
        <v>279</v>
      </c>
      <c r="E12326" s="992" t="s">
        <v>4017</v>
      </c>
      <c r="F12326" s="905" t="s">
        <v>45</v>
      </c>
      <c r="G12326" s="1005"/>
      <c r="H12326" s="911">
        <v>0.1</v>
      </c>
      <c r="I12326" s="912">
        <f>VLOOKUP(E12326,[3]VLP!$B$7:$K$300,10,0)</f>
        <v>73636</v>
      </c>
      <c r="J12326" s="912">
        <f>I12326*H12326</f>
        <v>7363.6</v>
      </c>
      <c r="K12326" s="912" t="s">
        <v>274</v>
      </c>
      <c r="L12326" s="912"/>
      <c r="M12326" s="912"/>
      <c r="N12326" s="912"/>
      <c r="O12326" s="892">
        <f t="shared" si="989"/>
        <v>0</v>
      </c>
      <c r="P12326" s="903">
        <f t="shared" si="986"/>
        <v>1</v>
      </c>
      <c r="Q12326" s="893">
        <f t="shared" si="987"/>
        <v>7</v>
      </c>
      <c r="R12326" s="894">
        <f t="shared" si="988"/>
        <v>0</v>
      </c>
    </row>
    <row r="12327" spans="1:18">
      <c r="A12327" s="905"/>
      <c r="B12327" s="952"/>
      <c r="C12327" s="907">
        <v>699</v>
      </c>
      <c r="D12327" s="907" t="s">
        <v>279</v>
      </c>
      <c r="E12327" s="992" t="s">
        <v>4006</v>
      </c>
      <c r="F12327" s="905" t="s">
        <v>4007</v>
      </c>
      <c r="G12327" s="1005"/>
      <c r="H12327" s="911">
        <v>10</v>
      </c>
      <c r="I12327" s="912">
        <f>VLOOKUP(E12327,[3]VLP!$B$7:$K$300,10,0)</f>
        <v>5000</v>
      </c>
      <c r="J12327" s="912">
        <f>I12327*H12327</f>
        <v>50000</v>
      </c>
      <c r="K12327" s="912" t="s">
        <v>274</v>
      </c>
      <c r="L12327" s="912"/>
      <c r="M12327" s="912"/>
      <c r="N12327" s="912"/>
      <c r="O12327" s="892">
        <f t="shared" si="989"/>
        <v>0</v>
      </c>
      <c r="P12327" s="903">
        <f t="shared" si="986"/>
        <v>1</v>
      </c>
      <c r="Q12327" s="893">
        <f t="shared" si="987"/>
        <v>6</v>
      </c>
      <c r="R12327" s="894">
        <f t="shared" si="988"/>
        <v>0</v>
      </c>
    </row>
    <row r="12328" spans="1:18">
      <c r="A12328" s="895"/>
      <c r="B12328" s="896"/>
      <c r="C12328" s="897"/>
      <c r="D12328" s="897"/>
      <c r="E12328" s="1002" t="s">
        <v>276</v>
      </c>
      <c r="F12328" s="1003"/>
      <c r="G12328" s="1004"/>
      <c r="H12328" s="901"/>
      <c r="I12328" s="902"/>
      <c r="J12328" s="902"/>
      <c r="K12328" s="912" t="s">
        <v>274</v>
      </c>
      <c r="L12328" s="902"/>
      <c r="M12328" s="902"/>
      <c r="N12328" s="902"/>
      <c r="O12328" s="892">
        <f t="shared" si="989"/>
        <v>0</v>
      </c>
      <c r="P12328" s="903">
        <f t="shared" si="986"/>
        <v>1</v>
      </c>
      <c r="Q12328" s="893">
        <f t="shared" si="987"/>
        <v>5</v>
      </c>
      <c r="R12328" s="894">
        <f t="shared" si="988"/>
        <v>0</v>
      </c>
    </row>
    <row r="12329" spans="1:18" s="904" customFormat="1">
      <c r="A12329" s="905"/>
      <c r="B12329" s="952"/>
      <c r="C12329" s="907">
        <v>740</v>
      </c>
      <c r="D12329" s="907" t="s">
        <v>12</v>
      </c>
      <c r="E12329" s="992" t="s">
        <v>4008</v>
      </c>
      <c r="F12329" s="905" t="s">
        <v>2674</v>
      </c>
      <c r="G12329" s="1005"/>
      <c r="H12329" s="911">
        <v>2.7</v>
      </c>
      <c r="I12329" s="912"/>
      <c r="J12329" s="912"/>
      <c r="K12329" s="912">
        <f>VLOOKUP(E12329,[5]ĐMNC!$A$7:$F$67,4,0)</f>
        <v>221125</v>
      </c>
      <c r="L12329" s="912">
        <f>H12329*K12329</f>
        <v>597037.5</v>
      </c>
      <c r="M12329" s="912"/>
      <c r="N12329" s="912"/>
      <c r="O12329" s="892">
        <f t="shared" si="989"/>
        <v>0</v>
      </c>
      <c r="P12329" s="903">
        <f t="shared" si="986"/>
        <v>1</v>
      </c>
      <c r="Q12329" s="893">
        <f t="shared" si="987"/>
        <v>4</v>
      </c>
      <c r="R12329" s="894">
        <f t="shared" si="988"/>
        <v>0</v>
      </c>
    </row>
    <row r="12330" spans="1:18">
      <c r="A12330" s="895"/>
      <c r="B12330" s="896"/>
      <c r="C12330" s="897"/>
      <c r="D12330" s="897"/>
      <c r="E12330" s="1002" t="s">
        <v>3914</v>
      </c>
      <c r="F12330" s="1003"/>
      <c r="G12330" s="1004"/>
      <c r="H12330" s="901"/>
      <c r="I12330" s="902"/>
      <c r="J12330" s="902"/>
      <c r="K12330" s="912" t="s">
        <v>274</v>
      </c>
      <c r="L12330" s="902"/>
      <c r="M12330" s="902"/>
      <c r="N12330" s="902"/>
      <c r="O12330" s="892">
        <f t="shared" si="989"/>
        <v>0</v>
      </c>
      <c r="P12330" s="903">
        <f t="shared" si="986"/>
        <v>1</v>
      </c>
      <c r="Q12330" s="893">
        <f t="shared" si="987"/>
        <v>3</v>
      </c>
      <c r="R12330" s="894">
        <f t="shared" si="988"/>
        <v>0</v>
      </c>
    </row>
    <row r="12331" spans="1:18" s="847" customFormat="1">
      <c r="A12331" s="905"/>
      <c r="B12331" s="952" t="s">
        <v>4993</v>
      </c>
      <c r="C12331" s="907">
        <v>904</v>
      </c>
      <c r="D12331" s="907" t="s">
        <v>93</v>
      </c>
      <c r="E12331" s="992" t="s">
        <v>4994</v>
      </c>
      <c r="F12331" s="905" t="s">
        <v>2673</v>
      </c>
      <c r="G12331" s="1005"/>
      <c r="H12331" s="911">
        <v>0.01</v>
      </c>
      <c r="I12331" s="912"/>
      <c r="J12331" s="912"/>
      <c r="K12331" s="912"/>
      <c r="L12331" s="912"/>
      <c r="M12331" s="912">
        <f>VLOOKUP(B12331,MTC!$B$9:$S$933,12,0)</f>
        <v>1393090</v>
      </c>
      <c r="N12331" s="912">
        <f>M12331*H12331</f>
        <v>13930.9</v>
      </c>
      <c r="O12331" s="892">
        <f t="shared" si="989"/>
        <v>0</v>
      </c>
      <c r="P12331" s="903">
        <f t="shared" si="986"/>
        <v>1</v>
      </c>
      <c r="Q12331" s="893">
        <f t="shared" si="987"/>
        <v>2</v>
      </c>
      <c r="R12331" s="894">
        <f t="shared" si="988"/>
        <v>0</v>
      </c>
    </row>
    <row r="12332" spans="1:18" s="904" customFormat="1">
      <c r="A12332" s="905"/>
      <c r="B12332" s="952" t="s">
        <v>6879</v>
      </c>
      <c r="C12332" s="907">
        <v>910</v>
      </c>
      <c r="D12332" s="907" t="s">
        <v>93</v>
      </c>
      <c r="E12332" s="992" t="s">
        <v>6880</v>
      </c>
      <c r="F12332" s="905" t="s">
        <v>2673</v>
      </c>
      <c r="G12332" s="1005"/>
      <c r="H12332" s="911">
        <v>0.01</v>
      </c>
      <c r="I12332" s="912"/>
      <c r="J12332" s="912"/>
      <c r="K12332" s="912"/>
      <c r="L12332" s="912"/>
      <c r="M12332" s="912">
        <f>VLOOKUP(B12332,MTC!$B$9:$S$933,12,0)</f>
        <v>47752</v>
      </c>
      <c r="N12332" s="912">
        <f>M12332*H12332</f>
        <v>477.52</v>
      </c>
      <c r="O12332" s="892">
        <f t="shared" si="989"/>
        <v>0</v>
      </c>
      <c r="P12332" s="903">
        <f t="shared" si="986"/>
        <v>1</v>
      </c>
      <c r="Q12332" s="893">
        <f t="shared" si="987"/>
        <v>1</v>
      </c>
      <c r="R12332" s="894">
        <f t="shared" si="988"/>
        <v>0</v>
      </c>
    </row>
    <row r="12333" spans="1:18">
      <c r="A12333" s="905">
        <v>664</v>
      </c>
      <c r="B12333" s="1018" t="s">
        <v>7130</v>
      </c>
      <c r="C12333" s="915"/>
      <c r="D12333" s="915"/>
      <c r="E12333" s="1006" t="s">
        <v>7131</v>
      </c>
      <c r="F12333" s="917" t="s">
        <v>1828</v>
      </c>
      <c r="G12333" s="1008"/>
      <c r="H12333" s="919"/>
      <c r="I12333" s="920"/>
      <c r="J12333" s="962">
        <f>SUM(J12334:J12342)</f>
        <v>59363.6</v>
      </c>
      <c r="K12333" s="891" t="s">
        <v>274</v>
      </c>
      <c r="L12333" s="962">
        <f>SUM(L12334:L12342)</f>
        <v>773937.5</v>
      </c>
      <c r="M12333" s="962"/>
      <c r="N12333" s="962">
        <f>SUM(N12334:N12342)</f>
        <v>14408.42</v>
      </c>
      <c r="O12333" s="892">
        <f t="shared" si="989"/>
        <v>1</v>
      </c>
      <c r="P12333" s="903">
        <f t="shared" si="986"/>
        <v>0</v>
      </c>
      <c r="Q12333" s="893">
        <f t="shared" si="987"/>
        <v>0</v>
      </c>
      <c r="R12333" s="894">
        <f t="shared" si="988"/>
        <v>9</v>
      </c>
    </row>
    <row r="12334" spans="1:18">
      <c r="A12334" s="895"/>
      <c r="B12334" s="896"/>
      <c r="C12334" s="897"/>
      <c r="D12334" s="897"/>
      <c r="E12334" s="1002" t="s">
        <v>108</v>
      </c>
      <c r="F12334" s="1003"/>
      <c r="G12334" s="1004"/>
      <c r="H12334" s="901"/>
      <c r="I12334" s="902"/>
      <c r="J12334" s="902"/>
      <c r="K12334" s="912" t="s">
        <v>274</v>
      </c>
      <c r="L12334" s="902"/>
      <c r="M12334" s="902"/>
      <c r="N12334" s="902"/>
      <c r="O12334" s="892">
        <f t="shared" si="989"/>
        <v>0</v>
      </c>
      <c r="P12334" s="903">
        <f t="shared" si="986"/>
        <v>1</v>
      </c>
      <c r="Q12334" s="893">
        <f t="shared" si="987"/>
        <v>9</v>
      </c>
      <c r="R12334" s="894">
        <f t="shared" si="988"/>
        <v>0</v>
      </c>
    </row>
    <row r="12335" spans="1:18" s="904" customFormat="1">
      <c r="A12335" s="905"/>
      <c r="B12335" s="952"/>
      <c r="C12335" s="907">
        <v>235</v>
      </c>
      <c r="D12335" s="907" t="s">
        <v>279</v>
      </c>
      <c r="E12335" s="992" t="s">
        <v>2682</v>
      </c>
      <c r="F12335" s="905" t="s">
        <v>45</v>
      </c>
      <c r="G12335" s="1005"/>
      <c r="H12335" s="911">
        <v>0.4</v>
      </c>
      <c r="I12335" s="912">
        <f>VLOOKUP(E12335,[3]VLP!$B$7:$K$300,10,0)</f>
        <v>5000</v>
      </c>
      <c r="J12335" s="912">
        <f>I12335*H12335</f>
        <v>2000</v>
      </c>
      <c r="K12335" s="912" t="s">
        <v>274</v>
      </c>
      <c r="L12335" s="912"/>
      <c r="M12335" s="912"/>
      <c r="N12335" s="912"/>
      <c r="O12335" s="892">
        <f t="shared" si="989"/>
        <v>0</v>
      </c>
      <c r="P12335" s="903">
        <f t="shared" si="986"/>
        <v>1</v>
      </c>
      <c r="Q12335" s="893">
        <f t="shared" si="987"/>
        <v>8</v>
      </c>
      <c r="R12335" s="894">
        <f t="shared" si="988"/>
        <v>0</v>
      </c>
    </row>
    <row r="12336" spans="1:18">
      <c r="A12336" s="905"/>
      <c r="B12336" s="952"/>
      <c r="C12336" s="907">
        <v>310</v>
      </c>
      <c r="D12336" s="907" t="s">
        <v>279</v>
      </c>
      <c r="E12336" s="992" t="s">
        <v>4017</v>
      </c>
      <c r="F12336" s="905" t="s">
        <v>45</v>
      </c>
      <c r="G12336" s="1005"/>
      <c r="H12336" s="911">
        <v>0.1</v>
      </c>
      <c r="I12336" s="912">
        <f>VLOOKUP(E12336,[3]VLP!$B$7:$K$300,10,0)</f>
        <v>73636</v>
      </c>
      <c r="J12336" s="912">
        <f>I12336*H12336</f>
        <v>7363.6</v>
      </c>
      <c r="K12336" s="912" t="s">
        <v>274</v>
      </c>
      <c r="L12336" s="912"/>
      <c r="M12336" s="912"/>
      <c r="N12336" s="912"/>
      <c r="O12336" s="892">
        <f t="shared" si="989"/>
        <v>0</v>
      </c>
      <c r="P12336" s="903">
        <f t="shared" si="986"/>
        <v>1</v>
      </c>
      <c r="Q12336" s="893">
        <f t="shared" si="987"/>
        <v>7</v>
      </c>
      <c r="R12336" s="894">
        <f t="shared" si="988"/>
        <v>0</v>
      </c>
    </row>
    <row r="12337" spans="1:18" s="847" customFormat="1">
      <c r="A12337" s="905"/>
      <c r="B12337" s="952"/>
      <c r="C12337" s="907">
        <v>699</v>
      </c>
      <c r="D12337" s="907" t="s">
        <v>279</v>
      </c>
      <c r="E12337" s="992" t="s">
        <v>4006</v>
      </c>
      <c r="F12337" s="905" t="s">
        <v>4007</v>
      </c>
      <c r="G12337" s="1005"/>
      <c r="H12337" s="911">
        <v>10</v>
      </c>
      <c r="I12337" s="912">
        <f>VLOOKUP(E12337,[3]VLP!$B$7:$K$300,10,0)</f>
        <v>5000</v>
      </c>
      <c r="J12337" s="912">
        <f>I12337*H12337</f>
        <v>50000</v>
      </c>
      <c r="K12337" s="912" t="s">
        <v>274</v>
      </c>
      <c r="L12337" s="912"/>
      <c r="M12337" s="912"/>
      <c r="N12337" s="912"/>
      <c r="O12337" s="892">
        <f t="shared" si="989"/>
        <v>0</v>
      </c>
      <c r="P12337" s="903">
        <f t="shared" si="986"/>
        <v>1</v>
      </c>
      <c r="Q12337" s="893">
        <f t="shared" si="987"/>
        <v>6</v>
      </c>
      <c r="R12337" s="894">
        <f t="shared" si="988"/>
        <v>0</v>
      </c>
    </row>
    <row r="12338" spans="1:18" s="904" customFormat="1">
      <c r="A12338" s="895"/>
      <c r="B12338" s="896"/>
      <c r="C12338" s="897"/>
      <c r="D12338" s="897"/>
      <c r="E12338" s="1002" t="s">
        <v>276</v>
      </c>
      <c r="F12338" s="1003"/>
      <c r="G12338" s="1004"/>
      <c r="H12338" s="901"/>
      <c r="I12338" s="902"/>
      <c r="J12338" s="902"/>
      <c r="K12338" s="912" t="s">
        <v>274</v>
      </c>
      <c r="L12338" s="902"/>
      <c r="M12338" s="902"/>
      <c r="N12338" s="902"/>
      <c r="O12338" s="892">
        <f t="shared" si="989"/>
        <v>0</v>
      </c>
      <c r="P12338" s="903">
        <f t="shared" si="986"/>
        <v>1</v>
      </c>
      <c r="Q12338" s="893">
        <f t="shared" si="987"/>
        <v>5</v>
      </c>
      <c r="R12338" s="894">
        <f t="shared" si="988"/>
        <v>0</v>
      </c>
    </row>
    <row r="12339" spans="1:18">
      <c r="A12339" s="905"/>
      <c r="B12339" s="952"/>
      <c r="C12339" s="907">
        <v>740</v>
      </c>
      <c r="D12339" s="907" t="s">
        <v>12</v>
      </c>
      <c r="E12339" s="992" t="s">
        <v>4008</v>
      </c>
      <c r="F12339" s="905" t="s">
        <v>2674</v>
      </c>
      <c r="G12339" s="1005"/>
      <c r="H12339" s="911">
        <v>3.5</v>
      </c>
      <c r="I12339" s="912"/>
      <c r="J12339" s="912"/>
      <c r="K12339" s="912">
        <f>VLOOKUP(E12339,[5]ĐMNC!$A$7:$F$67,4,0)</f>
        <v>221125</v>
      </c>
      <c r="L12339" s="912">
        <f>H12339*K12339</f>
        <v>773937.5</v>
      </c>
      <c r="M12339" s="912"/>
      <c r="N12339" s="912"/>
      <c r="O12339" s="892">
        <f t="shared" si="989"/>
        <v>0</v>
      </c>
      <c r="P12339" s="903">
        <f t="shared" ref="P12339:P12402" si="990">IF(O12339=0,1,0)</f>
        <v>1</v>
      </c>
      <c r="Q12339" s="893">
        <f t="shared" ref="Q12339:Q12402" si="991">IF(P12339=0,0,P12339+Q12340)</f>
        <v>4</v>
      </c>
      <c r="R12339" s="894">
        <f t="shared" ref="R12339:R12402" si="992">IF(Q12339=0,Q12340,0)</f>
        <v>0</v>
      </c>
    </row>
    <row r="12340" spans="1:18">
      <c r="A12340" s="895"/>
      <c r="B12340" s="896"/>
      <c r="C12340" s="897"/>
      <c r="D12340" s="897"/>
      <c r="E12340" s="1002" t="s">
        <v>3914</v>
      </c>
      <c r="F12340" s="1003"/>
      <c r="G12340" s="1004"/>
      <c r="H12340" s="901"/>
      <c r="I12340" s="902"/>
      <c r="J12340" s="902"/>
      <c r="K12340" s="912" t="s">
        <v>274</v>
      </c>
      <c r="L12340" s="902"/>
      <c r="M12340" s="902"/>
      <c r="N12340" s="902"/>
      <c r="O12340" s="892">
        <f t="shared" si="989"/>
        <v>0</v>
      </c>
      <c r="P12340" s="903">
        <f t="shared" si="990"/>
        <v>1</v>
      </c>
      <c r="Q12340" s="893">
        <f t="shared" si="991"/>
        <v>3</v>
      </c>
      <c r="R12340" s="894">
        <f t="shared" si="992"/>
        <v>0</v>
      </c>
    </row>
    <row r="12341" spans="1:18" s="904" customFormat="1">
      <c r="A12341" s="905"/>
      <c r="B12341" s="952" t="s">
        <v>4993</v>
      </c>
      <c r="C12341" s="907">
        <v>904</v>
      </c>
      <c r="D12341" s="907" t="s">
        <v>93</v>
      </c>
      <c r="E12341" s="992" t="s">
        <v>4994</v>
      </c>
      <c r="F12341" s="905" t="s">
        <v>2673</v>
      </c>
      <c r="G12341" s="1005"/>
      <c r="H12341" s="911">
        <v>0.01</v>
      </c>
      <c r="I12341" s="912"/>
      <c r="J12341" s="912"/>
      <c r="K12341" s="912"/>
      <c r="L12341" s="912"/>
      <c r="M12341" s="912">
        <f>VLOOKUP(B12341,MTC!$B$9:$S$933,12,0)</f>
        <v>1393090</v>
      </c>
      <c r="N12341" s="912">
        <f>M12341*H12341</f>
        <v>13930.9</v>
      </c>
      <c r="O12341" s="892">
        <f t="shared" si="989"/>
        <v>0</v>
      </c>
      <c r="P12341" s="903">
        <f t="shared" si="990"/>
        <v>1</v>
      </c>
      <c r="Q12341" s="893">
        <f t="shared" si="991"/>
        <v>2</v>
      </c>
      <c r="R12341" s="894">
        <f t="shared" si="992"/>
        <v>0</v>
      </c>
    </row>
    <row r="12342" spans="1:18">
      <c r="A12342" s="905"/>
      <c r="B12342" s="952" t="s">
        <v>6879</v>
      </c>
      <c r="C12342" s="907">
        <v>910</v>
      </c>
      <c r="D12342" s="907" t="s">
        <v>93</v>
      </c>
      <c r="E12342" s="992" t="s">
        <v>6880</v>
      </c>
      <c r="F12342" s="905" t="s">
        <v>2673</v>
      </c>
      <c r="G12342" s="1005"/>
      <c r="H12342" s="911">
        <v>0.01</v>
      </c>
      <c r="I12342" s="912"/>
      <c r="J12342" s="912"/>
      <c r="K12342" s="912"/>
      <c r="L12342" s="912"/>
      <c r="M12342" s="912">
        <f>VLOOKUP(B12342,MTC!$B$9:$S$933,12,0)</f>
        <v>47752</v>
      </c>
      <c r="N12342" s="912">
        <f>M12342*H12342</f>
        <v>477.52</v>
      </c>
      <c r="O12342" s="892">
        <f t="shared" si="989"/>
        <v>0</v>
      </c>
      <c r="P12342" s="903">
        <f t="shared" si="990"/>
        <v>1</v>
      </c>
      <c r="Q12342" s="893">
        <f t="shared" si="991"/>
        <v>1</v>
      </c>
      <c r="R12342" s="894">
        <f t="shared" si="992"/>
        <v>0</v>
      </c>
    </row>
    <row r="12343" spans="1:18" s="847" customFormat="1">
      <c r="A12343" s="905" t="s">
        <v>7132</v>
      </c>
      <c r="B12343" s="1018" t="s">
        <v>7133</v>
      </c>
      <c r="C12343" s="915"/>
      <c r="D12343" s="915"/>
      <c r="E12343" s="1006" t="s">
        <v>7134</v>
      </c>
      <c r="F12343" s="917" t="s">
        <v>1206</v>
      </c>
      <c r="G12343" s="1008"/>
      <c r="H12343" s="919"/>
      <c r="I12343" s="920"/>
      <c r="J12343" s="891">
        <f>SUM(J12344:J12355)</f>
        <v>103131</v>
      </c>
      <c r="K12343" s="891"/>
      <c r="L12343" s="891">
        <f>SUM(L12344:L12355)</f>
        <v>232181.25</v>
      </c>
      <c r="M12343" s="891"/>
      <c r="N12343" s="891">
        <f>SUM(N12344:N12355)</f>
        <v>16713.2</v>
      </c>
      <c r="O12343" s="892">
        <f t="shared" si="989"/>
        <v>1</v>
      </c>
      <c r="P12343" s="903">
        <f t="shared" si="990"/>
        <v>0</v>
      </c>
      <c r="Q12343" s="893">
        <f t="shared" si="991"/>
        <v>0</v>
      </c>
      <c r="R12343" s="894">
        <f t="shared" si="992"/>
        <v>12</v>
      </c>
    </row>
    <row r="12344" spans="1:18" s="904" customFormat="1">
      <c r="A12344" s="895"/>
      <c r="B12344" s="922"/>
      <c r="C12344" s="897"/>
      <c r="D12344" s="897"/>
      <c r="E12344" s="1002" t="s">
        <v>108</v>
      </c>
      <c r="F12344" s="1003"/>
      <c r="G12344" s="1004"/>
      <c r="H12344" s="901"/>
      <c r="I12344" s="902"/>
      <c r="J12344" s="902"/>
      <c r="K12344" s="912" t="s">
        <v>274</v>
      </c>
      <c r="L12344" s="902"/>
      <c r="M12344" s="902"/>
      <c r="N12344" s="902"/>
      <c r="O12344" s="892">
        <f t="shared" si="989"/>
        <v>0</v>
      </c>
      <c r="P12344" s="903">
        <f t="shared" si="990"/>
        <v>1</v>
      </c>
      <c r="Q12344" s="893">
        <f t="shared" si="991"/>
        <v>12</v>
      </c>
      <c r="R12344" s="894">
        <f t="shared" si="992"/>
        <v>0</v>
      </c>
    </row>
    <row r="12345" spans="1:18">
      <c r="A12345" s="905"/>
      <c r="B12345" s="952"/>
      <c r="C12345" s="907">
        <v>318</v>
      </c>
      <c r="D12345" s="907" t="s">
        <v>279</v>
      </c>
      <c r="E12345" s="992" t="s">
        <v>5657</v>
      </c>
      <c r="F12345" s="905" t="s">
        <v>45</v>
      </c>
      <c r="G12345" s="1005"/>
      <c r="H12345" s="911">
        <v>0.2</v>
      </c>
      <c r="I12345" s="912">
        <f>VLOOKUP(E12345,[3]VLP!$B$7:$K$300,10,0)</f>
        <v>25155</v>
      </c>
      <c r="J12345" s="912">
        <f t="shared" ref="J12345:J12350" si="993">I12345*H12345</f>
        <v>5031</v>
      </c>
      <c r="K12345" s="912" t="s">
        <v>274</v>
      </c>
      <c r="L12345" s="912"/>
      <c r="M12345" s="912"/>
      <c r="N12345" s="912"/>
      <c r="O12345" s="892">
        <f t="shared" si="989"/>
        <v>0</v>
      </c>
      <c r="P12345" s="903">
        <f t="shared" si="990"/>
        <v>1</v>
      </c>
      <c r="Q12345" s="893">
        <f t="shared" si="991"/>
        <v>11</v>
      </c>
      <c r="R12345" s="894">
        <f t="shared" si="992"/>
        <v>0</v>
      </c>
    </row>
    <row r="12346" spans="1:18">
      <c r="A12346" s="905"/>
      <c r="B12346" s="952"/>
      <c r="C12346" s="907">
        <v>313</v>
      </c>
      <c r="D12346" s="907" t="s">
        <v>279</v>
      </c>
      <c r="E12346" s="992" t="s">
        <v>3267</v>
      </c>
      <c r="F12346" s="905" t="s">
        <v>45</v>
      </c>
      <c r="G12346" s="1005"/>
      <c r="H12346" s="911">
        <v>0.2</v>
      </c>
      <c r="I12346" s="912">
        <f>VLOOKUP(E12346,[3]VLP!$B$7:$K$300,10,0)</f>
        <v>30000</v>
      </c>
      <c r="J12346" s="912">
        <f t="shared" si="993"/>
        <v>6000</v>
      </c>
      <c r="K12346" s="912" t="s">
        <v>274</v>
      </c>
      <c r="L12346" s="912"/>
      <c r="M12346" s="912"/>
      <c r="N12346" s="912"/>
      <c r="O12346" s="892">
        <f t="shared" si="989"/>
        <v>0</v>
      </c>
      <c r="P12346" s="903">
        <f t="shared" si="990"/>
        <v>1</v>
      </c>
      <c r="Q12346" s="893">
        <f t="shared" si="991"/>
        <v>10</v>
      </c>
      <c r="R12346" s="894">
        <f t="shared" si="992"/>
        <v>0</v>
      </c>
    </row>
    <row r="12347" spans="1:18" s="904" customFormat="1">
      <c r="A12347" s="905"/>
      <c r="B12347" s="952"/>
      <c r="C12347" s="907">
        <v>235</v>
      </c>
      <c r="D12347" s="907" t="s">
        <v>279</v>
      </c>
      <c r="E12347" s="992" t="s">
        <v>2682</v>
      </c>
      <c r="F12347" s="905" t="s">
        <v>45</v>
      </c>
      <c r="G12347" s="1005"/>
      <c r="H12347" s="911">
        <v>0.1</v>
      </c>
      <c r="I12347" s="912">
        <f>VLOOKUP(E12347,[3]VLP!$B$7:$K$300,10,0)</f>
        <v>5000</v>
      </c>
      <c r="J12347" s="912">
        <f t="shared" si="993"/>
        <v>500</v>
      </c>
      <c r="K12347" s="912" t="s">
        <v>274</v>
      </c>
      <c r="L12347" s="912"/>
      <c r="M12347" s="912"/>
      <c r="N12347" s="912"/>
      <c r="O12347" s="892">
        <f t="shared" si="989"/>
        <v>0</v>
      </c>
      <c r="P12347" s="903">
        <f t="shared" si="990"/>
        <v>1</v>
      </c>
      <c r="Q12347" s="893">
        <f t="shared" si="991"/>
        <v>9</v>
      </c>
      <c r="R12347" s="894">
        <f t="shared" si="992"/>
        <v>0</v>
      </c>
    </row>
    <row r="12348" spans="1:18">
      <c r="A12348" s="905"/>
      <c r="B12348" s="952"/>
      <c r="C12348" s="907">
        <v>205</v>
      </c>
      <c r="D12348" s="907" t="s">
        <v>279</v>
      </c>
      <c r="E12348" s="992" t="s">
        <v>7135</v>
      </c>
      <c r="F12348" s="905" t="s">
        <v>139</v>
      </c>
      <c r="G12348" s="1005"/>
      <c r="H12348" s="911">
        <v>40</v>
      </c>
      <c r="I12348" s="912">
        <f>VLOOKUP(E12348,[3]VLP!$B$7:$K$300,10,0)</f>
        <v>2000</v>
      </c>
      <c r="J12348" s="912">
        <f t="shared" si="993"/>
        <v>80000</v>
      </c>
      <c r="K12348" s="912" t="s">
        <v>274</v>
      </c>
      <c r="L12348" s="912"/>
      <c r="M12348" s="912"/>
      <c r="N12348" s="912"/>
      <c r="O12348" s="892">
        <f t="shared" si="989"/>
        <v>0</v>
      </c>
      <c r="P12348" s="903">
        <f t="shared" si="990"/>
        <v>1</v>
      </c>
      <c r="Q12348" s="893">
        <f t="shared" si="991"/>
        <v>8</v>
      </c>
      <c r="R12348" s="894">
        <f t="shared" si="992"/>
        <v>0</v>
      </c>
    </row>
    <row r="12349" spans="1:18" s="847" customFormat="1">
      <c r="A12349" s="905"/>
      <c r="B12349" s="952"/>
      <c r="C12349" s="907">
        <v>212</v>
      </c>
      <c r="D12349" s="907" t="s">
        <v>279</v>
      </c>
      <c r="E12349" s="992" t="s">
        <v>2681</v>
      </c>
      <c r="F12349" s="905" t="s">
        <v>45</v>
      </c>
      <c r="G12349" s="1005"/>
      <c r="H12349" s="911">
        <v>0.2</v>
      </c>
      <c r="I12349" s="912">
        <f>VLOOKUP(E12349,[3]VLP!$B$7:$K$300,10,0)</f>
        <v>23000</v>
      </c>
      <c r="J12349" s="912">
        <f t="shared" si="993"/>
        <v>4600</v>
      </c>
      <c r="K12349" s="912" t="s">
        <v>274</v>
      </c>
      <c r="L12349" s="912"/>
      <c r="M12349" s="912"/>
      <c r="N12349" s="912"/>
      <c r="O12349" s="892">
        <f t="shared" si="989"/>
        <v>0</v>
      </c>
      <c r="P12349" s="903">
        <f t="shared" si="990"/>
        <v>1</v>
      </c>
      <c r="Q12349" s="893">
        <f t="shared" si="991"/>
        <v>7</v>
      </c>
      <c r="R12349" s="894">
        <f t="shared" si="992"/>
        <v>0</v>
      </c>
    </row>
    <row r="12350" spans="1:18" s="904" customFormat="1">
      <c r="A12350" s="905"/>
      <c r="B12350" s="952"/>
      <c r="C12350" s="907">
        <v>234</v>
      </c>
      <c r="D12350" s="907" t="s">
        <v>279</v>
      </c>
      <c r="E12350" s="992" t="s">
        <v>5983</v>
      </c>
      <c r="F12350" s="905" t="s">
        <v>3144</v>
      </c>
      <c r="G12350" s="1005"/>
      <c r="H12350" s="911">
        <v>0.5</v>
      </c>
      <c r="I12350" s="912">
        <f>VLOOKUP(E12350,[3]VLP!$B$7:$K$300,10,0)</f>
        <v>14000</v>
      </c>
      <c r="J12350" s="912">
        <f t="shared" si="993"/>
        <v>7000</v>
      </c>
      <c r="K12350" s="912" t="s">
        <v>274</v>
      </c>
      <c r="L12350" s="912"/>
      <c r="M12350" s="912"/>
      <c r="N12350" s="912"/>
      <c r="O12350" s="892">
        <f t="shared" si="989"/>
        <v>0</v>
      </c>
      <c r="P12350" s="903">
        <f t="shared" si="990"/>
        <v>1</v>
      </c>
      <c r="Q12350" s="893">
        <f t="shared" si="991"/>
        <v>6</v>
      </c>
      <c r="R12350" s="894">
        <f t="shared" si="992"/>
        <v>0</v>
      </c>
    </row>
    <row r="12351" spans="1:18">
      <c r="A12351" s="895"/>
      <c r="B12351" s="896"/>
      <c r="C12351" s="897"/>
      <c r="D12351" s="897"/>
      <c r="E12351" s="1002" t="s">
        <v>276</v>
      </c>
      <c r="F12351" s="1003"/>
      <c r="G12351" s="1004"/>
      <c r="H12351" s="901"/>
      <c r="I12351" s="902"/>
      <c r="J12351" s="902"/>
      <c r="K12351" s="912" t="s">
        <v>274</v>
      </c>
      <c r="L12351" s="902"/>
      <c r="M12351" s="902"/>
      <c r="N12351" s="902"/>
      <c r="O12351" s="892">
        <f t="shared" si="989"/>
        <v>0</v>
      </c>
      <c r="P12351" s="903">
        <f t="shared" si="990"/>
        <v>1</v>
      </c>
      <c r="Q12351" s="893">
        <f t="shared" si="991"/>
        <v>5</v>
      </c>
      <c r="R12351" s="894">
        <f t="shared" si="992"/>
        <v>0</v>
      </c>
    </row>
    <row r="12352" spans="1:18">
      <c r="A12352" s="905"/>
      <c r="B12352" s="952"/>
      <c r="C12352" s="907">
        <v>740</v>
      </c>
      <c r="D12352" s="907" t="s">
        <v>12</v>
      </c>
      <c r="E12352" s="992" t="s">
        <v>4008</v>
      </c>
      <c r="F12352" s="905" t="s">
        <v>2674</v>
      </c>
      <c r="G12352" s="1005"/>
      <c r="H12352" s="911">
        <v>1.05</v>
      </c>
      <c r="I12352" s="912"/>
      <c r="J12352" s="912"/>
      <c r="K12352" s="912">
        <f>VLOOKUP(E12352,[5]ĐMNC!$A$7:$F$67,4,0)</f>
        <v>221125</v>
      </c>
      <c r="L12352" s="912">
        <f>H12352*K12352</f>
        <v>232181.25</v>
      </c>
      <c r="M12352" s="912"/>
      <c r="N12352" s="912"/>
      <c r="O12352" s="892">
        <f t="shared" si="989"/>
        <v>0</v>
      </c>
      <c r="P12352" s="903">
        <f t="shared" si="990"/>
        <v>1</v>
      </c>
      <c r="Q12352" s="893">
        <f t="shared" si="991"/>
        <v>4</v>
      </c>
      <c r="R12352" s="894">
        <f t="shared" si="992"/>
        <v>0</v>
      </c>
    </row>
    <row r="12353" spans="1:18" s="904" customFormat="1">
      <c r="A12353" s="895"/>
      <c r="B12353" s="896"/>
      <c r="C12353" s="897"/>
      <c r="D12353" s="897"/>
      <c r="E12353" s="1002" t="s">
        <v>3914</v>
      </c>
      <c r="F12353" s="1003"/>
      <c r="G12353" s="1004"/>
      <c r="H12353" s="901"/>
      <c r="I12353" s="902"/>
      <c r="J12353" s="902"/>
      <c r="K12353" s="912" t="s">
        <v>274</v>
      </c>
      <c r="L12353" s="902"/>
      <c r="M12353" s="902"/>
      <c r="N12353" s="902"/>
      <c r="O12353" s="892">
        <f t="shared" si="989"/>
        <v>0</v>
      </c>
      <c r="P12353" s="903">
        <f t="shared" si="990"/>
        <v>1</v>
      </c>
      <c r="Q12353" s="893">
        <f t="shared" si="991"/>
        <v>3</v>
      </c>
      <c r="R12353" s="894">
        <f t="shared" si="992"/>
        <v>0</v>
      </c>
    </row>
    <row r="12354" spans="1:18">
      <c r="A12354" s="905"/>
      <c r="B12354" s="952" t="s">
        <v>7136</v>
      </c>
      <c r="C12354" s="907">
        <v>909</v>
      </c>
      <c r="D12354" s="907" t="s">
        <v>93</v>
      </c>
      <c r="E12354" s="992" t="s">
        <v>7137</v>
      </c>
      <c r="F12354" s="905" t="s">
        <v>2673</v>
      </c>
      <c r="G12354" s="1005"/>
      <c r="H12354" s="911">
        <v>0.01</v>
      </c>
      <c r="I12354" s="912"/>
      <c r="J12354" s="912"/>
      <c r="K12354" s="912"/>
      <c r="L12354" s="912"/>
      <c r="M12354" s="912">
        <f>VLOOKUP(B12354,MTC!$B$9:$S$933,12,0)</f>
        <v>0</v>
      </c>
      <c r="N12354" s="912">
        <f>M12354*H12354</f>
        <v>0</v>
      </c>
      <c r="O12354" s="892">
        <f t="shared" si="989"/>
        <v>0</v>
      </c>
      <c r="P12354" s="903">
        <f t="shared" si="990"/>
        <v>1</v>
      </c>
      <c r="Q12354" s="893">
        <f t="shared" si="991"/>
        <v>2</v>
      </c>
      <c r="R12354" s="894">
        <f t="shared" si="992"/>
        <v>0</v>
      </c>
    </row>
    <row r="12355" spans="1:18" s="847" customFormat="1">
      <c r="A12355" s="905"/>
      <c r="B12355" s="952" t="s">
        <v>6879</v>
      </c>
      <c r="C12355" s="907">
        <v>910</v>
      </c>
      <c r="D12355" s="907" t="s">
        <v>93</v>
      </c>
      <c r="E12355" s="992" t="s">
        <v>6880</v>
      </c>
      <c r="F12355" s="905" t="s">
        <v>2673</v>
      </c>
      <c r="G12355" s="1005"/>
      <c r="H12355" s="911">
        <v>0.35</v>
      </c>
      <c r="I12355" s="912"/>
      <c r="J12355" s="912"/>
      <c r="K12355" s="912"/>
      <c r="L12355" s="912"/>
      <c r="M12355" s="912">
        <f>VLOOKUP(B12355,MTC!$B$9:$S$933,12,0)</f>
        <v>47752</v>
      </c>
      <c r="N12355" s="912">
        <f>M12355*H12355</f>
        <v>16713.2</v>
      </c>
      <c r="O12355" s="892">
        <f t="shared" si="989"/>
        <v>0</v>
      </c>
      <c r="P12355" s="903">
        <f t="shared" si="990"/>
        <v>1</v>
      </c>
      <c r="Q12355" s="893">
        <f t="shared" si="991"/>
        <v>1</v>
      </c>
      <c r="R12355" s="894">
        <f t="shared" si="992"/>
        <v>0</v>
      </c>
    </row>
    <row r="12356" spans="1:18" s="904" customFormat="1">
      <c r="A12356" s="905">
        <v>666</v>
      </c>
      <c r="B12356" s="1018" t="s">
        <v>7138</v>
      </c>
      <c r="C12356" s="915"/>
      <c r="D12356" s="915"/>
      <c r="E12356" s="1006" t="s">
        <v>7139</v>
      </c>
      <c r="F12356" s="917" t="s">
        <v>1206</v>
      </c>
      <c r="G12356" s="1008"/>
      <c r="H12356" s="919"/>
      <c r="I12356" s="920"/>
      <c r="J12356" s="891">
        <f>SUM(J12357:J12368)</f>
        <v>106131</v>
      </c>
      <c r="K12356" s="891"/>
      <c r="L12356" s="891">
        <f>SUM(L12357:L12368)</f>
        <v>325053.75</v>
      </c>
      <c r="M12356" s="891"/>
      <c r="N12356" s="891">
        <f>SUM(N12357:N12368)</f>
        <v>23398.48</v>
      </c>
      <c r="O12356" s="892">
        <f t="shared" si="989"/>
        <v>1</v>
      </c>
      <c r="P12356" s="903">
        <f t="shared" si="990"/>
        <v>0</v>
      </c>
      <c r="Q12356" s="893">
        <f t="shared" si="991"/>
        <v>0</v>
      </c>
      <c r="R12356" s="894">
        <f t="shared" si="992"/>
        <v>12</v>
      </c>
    </row>
    <row r="12357" spans="1:18">
      <c r="A12357" s="895"/>
      <c r="B12357" s="896"/>
      <c r="C12357" s="897"/>
      <c r="D12357" s="897"/>
      <c r="E12357" s="1002" t="s">
        <v>108</v>
      </c>
      <c r="F12357" s="1003"/>
      <c r="G12357" s="1004"/>
      <c r="H12357" s="901"/>
      <c r="I12357" s="902"/>
      <c r="J12357" s="902"/>
      <c r="K12357" s="912" t="s">
        <v>274</v>
      </c>
      <c r="L12357" s="902"/>
      <c r="M12357" s="902"/>
      <c r="N12357" s="902"/>
      <c r="O12357" s="892">
        <f t="shared" si="989"/>
        <v>0</v>
      </c>
      <c r="P12357" s="903">
        <f t="shared" si="990"/>
        <v>1</v>
      </c>
      <c r="Q12357" s="893">
        <f t="shared" si="991"/>
        <v>12</v>
      </c>
      <c r="R12357" s="894">
        <f t="shared" si="992"/>
        <v>0</v>
      </c>
    </row>
    <row r="12358" spans="1:18">
      <c r="A12358" s="905"/>
      <c r="B12358" s="952"/>
      <c r="C12358" s="907">
        <v>318</v>
      </c>
      <c r="D12358" s="907" t="s">
        <v>279</v>
      </c>
      <c r="E12358" s="992" t="s">
        <v>5657</v>
      </c>
      <c r="F12358" s="905" t="s">
        <v>45</v>
      </c>
      <c r="G12358" s="1005"/>
      <c r="H12358" s="911">
        <v>0.2</v>
      </c>
      <c r="I12358" s="912">
        <f>VLOOKUP(E12358,[3]VLP!$B$7:$K$300,10,0)</f>
        <v>25155</v>
      </c>
      <c r="J12358" s="912">
        <f t="shared" ref="J12358:J12363" si="994">I12358*H12358</f>
        <v>5031</v>
      </c>
      <c r="K12358" s="912" t="s">
        <v>274</v>
      </c>
      <c r="L12358" s="912"/>
      <c r="M12358" s="912"/>
      <c r="N12358" s="912"/>
      <c r="O12358" s="892">
        <f t="shared" si="989"/>
        <v>0</v>
      </c>
      <c r="P12358" s="903">
        <f t="shared" si="990"/>
        <v>1</v>
      </c>
      <c r="Q12358" s="893">
        <f t="shared" si="991"/>
        <v>11</v>
      </c>
      <c r="R12358" s="894">
        <f t="shared" si="992"/>
        <v>0</v>
      </c>
    </row>
    <row r="12359" spans="1:18" s="904" customFormat="1">
      <c r="A12359" s="905"/>
      <c r="B12359" s="952"/>
      <c r="C12359" s="907">
        <v>313</v>
      </c>
      <c r="D12359" s="907" t="s">
        <v>279</v>
      </c>
      <c r="E12359" s="992" t="s">
        <v>3267</v>
      </c>
      <c r="F12359" s="905" t="s">
        <v>45</v>
      </c>
      <c r="G12359" s="1005"/>
      <c r="H12359" s="911">
        <v>0.3</v>
      </c>
      <c r="I12359" s="912">
        <f>VLOOKUP(E12359,[3]VLP!$B$7:$K$300,10,0)</f>
        <v>30000</v>
      </c>
      <c r="J12359" s="912">
        <f t="shared" si="994"/>
        <v>9000</v>
      </c>
      <c r="K12359" s="912" t="s">
        <v>274</v>
      </c>
      <c r="L12359" s="912"/>
      <c r="M12359" s="912"/>
      <c r="N12359" s="912"/>
      <c r="O12359" s="892">
        <f t="shared" si="989"/>
        <v>0</v>
      </c>
      <c r="P12359" s="903">
        <f t="shared" si="990"/>
        <v>1</v>
      </c>
      <c r="Q12359" s="893">
        <f t="shared" si="991"/>
        <v>10</v>
      </c>
      <c r="R12359" s="894">
        <f t="shared" si="992"/>
        <v>0</v>
      </c>
    </row>
    <row r="12360" spans="1:18">
      <c r="A12360" s="905"/>
      <c r="B12360" s="952"/>
      <c r="C12360" s="907">
        <v>235</v>
      </c>
      <c r="D12360" s="907" t="s">
        <v>279</v>
      </c>
      <c r="E12360" s="992" t="s">
        <v>2682</v>
      </c>
      <c r="F12360" s="905" t="s">
        <v>45</v>
      </c>
      <c r="G12360" s="1005"/>
      <c r="H12360" s="911">
        <v>0.1</v>
      </c>
      <c r="I12360" s="912">
        <f>VLOOKUP(E12360,[3]VLP!$B$7:$K$300,10,0)</f>
        <v>5000</v>
      </c>
      <c r="J12360" s="912">
        <f t="shared" si="994"/>
        <v>500</v>
      </c>
      <c r="K12360" s="912" t="s">
        <v>274</v>
      </c>
      <c r="L12360" s="912"/>
      <c r="M12360" s="912"/>
      <c r="N12360" s="912"/>
      <c r="O12360" s="892">
        <f t="shared" si="989"/>
        <v>0</v>
      </c>
      <c r="P12360" s="903">
        <f t="shared" si="990"/>
        <v>1</v>
      </c>
      <c r="Q12360" s="893">
        <f t="shared" si="991"/>
        <v>9</v>
      </c>
      <c r="R12360" s="894">
        <f t="shared" si="992"/>
        <v>0</v>
      </c>
    </row>
    <row r="12361" spans="1:18" s="847" customFormat="1">
      <c r="A12361" s="905"/>
      <c r="B12361" s="952"/>
      <c r="C12361" s="907">
        <v>205</v>
      </c>
      <c r="D12361" s="907" t="s">
        <v>279</v>
      </c>
      <c r="E12361" s="992" t="s">
        <v>7135</v>
      </c>
      <c r="F12361" s="905" t="s">
        <v>139</v>
      </c>
      <c r="G12361" s="1005"/>
      <c r="H12361" s="911">
        <v>40</v>
      </c>
      <c r="I12361" s="912">
        <f>VLOOKUP(E12361,[3]VLP!$B$7:$K$300,10,0)</f>
        <v>2000</v>
      </c>
      <c r="J12361" s="912">
        <f t="shared" si="994"/>
        <v>80000</v>
      </c>
      <c r="K12361" s="912" t="s">
        <v>274</v>
      </c>
      <c r="L12361" s="912"/>
      <c r="M12361" s="912"/>
      <c r="N12361" s="912"/>
      <c r="O12361" s="892">
        <f t="shared" si="989"/>
        <v>0</v>
      </c>
      <c r="P12361" s="903">
        <f t="shared" si="990"/>
        <v>1</v>
      </c>
      <c r="Q12361" s="893">
        <f t="shared" si="991"/>
        <v>8</v>
      </c>
      <c r="R12361" s="894">
        <f t="shared" si="992"/>
        <v>0</v>
      </c>
    </row>
    <row r="12362" spans="1:18" s="904" customFormat="1">
      <c r="A12362" s="905"/>
      <c r="B12362" s="952"/>
      <c r="C12362" s="907">
        <v>212</v>
      </c>
      <c r="D12362" s="907" t="s">
        <v>279</v>
      </c>
      <c r="E12362" s="992" t="s">
        <v>2681</v>
      </c>
      <c r="F12362" s="905" t="s">
        <v>45</v>
      </c>
      <c r="G12362" s="1005"/>
      <c r="H12362" s="911">
        <v>0.2</v>
      </c>
      <c r="I12362" s="912">
        <f>VLOOKUP(E12362,[3]VLP!$B$7:$K$300,10,0)</f>
        <v>23000</v>
      </c>
      <c r="J12362" s="912">
        <f t="shared" si="994"/>
        <v>4600</v>
      </c>
      <c r="K12362" s="912" t="s">
        <v>274</v>
      </c>
      <c r="L12362" s="912"/>
      <c r="M12362" s="912"/>
      <c r="N12362" s="912"/>
      <c r="O12362" s="892">
        <f t="shared" si="989"/>
        <v>0</v>
      </c>
      <c r="P12362" s="903">
        <f t="shared" si="990"/>
        <v>1</v>
      </c>
      <c r="Q12362" s="893">
        <f t="shared" si="991"/>
        <v>7</v>
      </c>
      <c r="R12362" s="894">
        <f t="shared" si="992"/>
        <v>0</v>
      </c>
    </row>
    <row r="12363" spans="1:18">
      <c r="A12363" s="905"/>
      <c r="B12363" s="952"/>
      <c r="C12363" s="907">
        <v>234</v>
      </c>
      <c r="D12363" s="907" t="s">
        <v>279</v>
      </c>
      <c r="E12363" s="992" t="s">
        <v>5983</v>
      </c>
      <c r="F12363" s="905" t="s">
        <v>3144</v>
      </c>
      <c r="G12363" s="1005"/>
      <c r="H12363" s="911">
        <v>0.5</v>
      </c>
      <c r="I12363" s="912">
        <f>VLOOKUP(E12363,[3]VLP!$B$7:$K$300,10,0)</f>
        <v>14000</v>
      </c>
      <c r="J12363" s="912">
        <f t="shared" si="994"/>
        <v>7000</v>
      </c>
      <c r="K12363" s="912" t="s">
        <v>274</v>
      </c>
      <c r="L12363" s="912"/>
      <c r="M12363" s="912"/>
      <c r="N12363" s="912"/>
      <c r="O12363" s="892">
        <f t="shared" si="989"/>
        <v>0</v>
      </c>
      <c r="P12363" s="903">
        <f t="shared" si="990"/>
        <v>1</v>
      </c>
      <c r="Q12363" s="893">
        <f t="shared" si="991"/>
        <v>6</v>
      </c>
      <c r="R12363" s="894">
        <f t="shared" si="992"/>
        <v>0</v>
      </c>
    </row>
    <row r="12364" spans="1:18">
      <c r="A12364" s="895"/>
      <c r="B12364" s="896"/>
      <c r="C12364" s="897"/>
      <c r="D12364" s="897"/>
      <c r="E12364" s="1002" t="s">
        <v>276</v>
      </c>
      <c r="F12364" s="1003"/>
      <c r="G12364" s="1004"/>
      <c r="H12364" s="901"/>
      <c r="I12364" s="902"/>
      <c r="J12364" s="902"/>
      <c r="K12364" s="912" t="s">
        <v>274</v>
      </c>
      <c r="L12364" s="902"/>
      <c r="M12364" s="902"/>
      <c r="N12364" s="902"/>
      <c r="O12364" s="892">
        <f t="shared" si="989"/>
        <v>0</v>
      </c>
      <c r="P12364" s="903">
        <f t="shared" si="990"/>
        <v>1</v>
      </c>
      <c r="Q12364" s="893">
        <f t="shared" si="991"/>
        <v>5</v>
      </c>
      <c r="R12364" s="894">
        <f t="shared" si="992"/>
        <v>0</v>
      </c>
    </row>
    <row r="12365" spans="1:18" s="904" customFormat="1">
      <c r="A12365" s="905"/>
      <c r="B12365" s="952"/>
      <c r="C12365" s="907">
        <v>740</v>
      </c>
      <c r="D12365" s="907" t="s">
        <v>12</v>
      </c>
      <c r="E12365" s="992" t="s">
        <v>4008</v>
      </c>
      <c r="F12365" s="905" t="s">
        <v>2674</v>
      </c>
      <c r="G12365" s="1005"/>
      <c r="H12365" s="911">
        <v>1.47</v>
      </c>
      <c r="I12365" s="912"/>
      <c r="J12365" s="912"/>
      <c r="K12365" s="912">
        <f>VLOOKUP(E12365,[5]ĐMNC!$A$7:$F$67,4,0)</f>
        <v>221125</v>
      </c>
      <c r="L12365" s="912">
        <f>H12365*K12365</f>
        <v>325053.75</v>
      </c>
      <c r="M12365" s="912"/>
      <c r="N12365" s="912"/>
      <c r="O12365" s="892">
        <f t="shared" si="989"/>
        <v>0</v>
      </c>
      <c r="P12365" s="903">
        <f t="shared" si="990"/>
        <v>1</v>
      </c>
      <c r="Q12365" s="893">
        <f t="shared" si="991"/>
        <v>4</v>
      </c>
      <c r="R12365" s="894">
        <f t="shared" si="992"/>
        <v>0</v>
      </c>
    </row>
    <row r="12366" spans="1:18">
      <c r="A12366" s="895"/>
      <c r="B12366" s="896"/>
      <c r="C12366" s="897"/>
      <c r="D12366" s="897"/>
      <c r="E12366" s="1002" t="s">
        <v>3914</v>
      </c>
      <c r="F12366" s="1003"/>
      <c r="G12366" s="1004"/>
      <c r="H12366" s="901"/>
      <c r="I12366" s="902"/>
      <c r="J12366" s="902"/>
      <c r="K12366" s="912" t="s">
        <v>274</v>
      </c>
      <c r="L12366" s="902"/>
      <c r="M12366" s="902"/>
      <c r="N12366" s="902"/>
      <c r="O12366" s="892">
        <f t="shared" si="989"/>
        <v>0</v>
      </c>
      <c r="P12366" s="903">
        <f t="shared" si="990"/>
        <v>1</v>
      </c>
      <c r="Q12366" s="893">
        <f t="shared" si="991"/>
        <v>3</v>
      </c>
      <c r="R12366" s="894">
        <f t="shared" si="992"/>
        <v>0</v>
      </c>
    </row>
    <row r="12367" spans="1:18" s="847" customFormat="1">
      <c r="A12367" s="905"/>
      <c r="B12367" s="952" t="s">
        <v>7136</v>
      </c>
      <c r="C12367" s="907">
        <v>909</v>
      </c>
      <c r="D12367" s="907" t="s">
        <v>93</v>
      </c>
      <c r="E12367" s="992" t="s">
        <v>7137</v>
      </c>
      <c r="F12367" s="905" t="s">
        <v>2673</v>
      </c>
      <c r="G12367" s="1005"/>
      <c r="H12367" s="911">
        <v>0.01</v>
      </c>
      <c r="I12367" s="912"/>
      <c r="J12367" s="912"/>
      <c r="K12367" s="912"/>
      <c r="L12367" s="912"/>
      <c r="M12367" s="912">
        <f>VLOOKUP(B12367,MTC!$B$9:$S$933,12,0)</f>
        <v>0</v>
      </c>
      <c r="N12367" s="912">
        <f>M12367*H12367</f>
        <v>0</v>
      </c>
      <c r="O12367" s="892">
        <f t="shared" si="989"/>
        <v>0</v>
      </c>
      <c r="P12367" s="903">
        <f t="shared" si="990"/>
        <v>1</v>
      </c>
      <c r="Q12367" s="893">
        <f t="shared" si="991"/>
        <v>2</v>
      </c>
      <c r="R12367" s="894">
        <f t="shared" si="992"/>
        <v>0</v>
      </c>
    </row>
    <row r="12368" spans="1:18" s="904" customFormat="1">
      <c r="A12368" s="905"/>
      <c r="B12368" s="952" t="s">
        <v>6879</v>
      </c>
      <c r="C12368" s="907">
        <v>910</v>
      </c>
      <c r="D12368" s="907" t="s">
        <v>93</v>
      </c>
      <c r="E12368" s="992" t="s">
        <v>6880</v>
      </c>
      <c r="F12368" s="905" t="s">
        <v>2673</v>
      </c>
      <c r="G12368" s="1005"/>
      <c r="H12368" s="911">
        <v>0.49</v>
      </c>
      <c r="I12368" s="912"/>
      <c r="J12368" s="912"/>
      <c r="K12368" s="912"/>
      <c r="L12368" s="912"/>
      <c r="M12368" s="912">
        <f>VLOOKUP(B12368,MTC!$B$9:$S$933,12,0)</f>
        <v>47752</v>
      </c>
      <c r="N12368" s="912">
        <f>M12368*H12368</f>
        <v>23398.48</v>
      </c>
      <c r="O12368" s="892">
        <f t="shared" si="989"/>
        <v>0</v>
      </c>
      <c r="P12368" s="903">
        <f t="shared" si="990"/>
        <v>1</v>
      </c>
      <c r="Q12368" s="893">
        <f t="shared" si="991"/>
        <v>1</v>
      </c>
      <c r="R12368" s="894">
        <f t="shared" si="992"/>
        <v>0</v>
      </c>
    </row>
    <row r="12369" spans="1:18">
      <c r="A12369" s="905">
        <v>667</v>
      </c>
      <c r="B12369" s="1018" t="s">
        <v>7140</v>
      </c>
      <c r="C12369" s="915"/>
      <c r="D12369" s="915"/>
      <c r="E12369" s="1006" t="s">
        <v>7141</v>
      </c>
      <c r="F12369" s="917" t="s">
        <v>1206</v>
      </c>
      <c r="G12369" s="1008"/>
      <c r="H12369" s="919"/>
      <c r="I12369" s="920"/>
      <c r="J12369" s="891">
        <f>SUM(J12370:J12381)</f>
        <v>112231</v>
      </c>
      <c r="K12369" s="891"/>
      <c r="L12369" s="891">
        <f>SUM(L12370:L12381)</f>
        <v>375912.5</v>
      </c>
      <c r="M12369" s="891"/>
      <c r="N12369" s="891">
        <f>SUM(N12370:N12381)</f>
        <v>27218.639999999999</v>
      </c>
      <c r="O12369" s="892">
        <f t="shared" si="989"/>
        <v>1</v>
      </c>
      <c r="P12369" s="903">
        <f t="shared" si="990"/>
        <v>0</v>
      </c>
      <c r="Q12369" s="893">
        <f t="shared" si="991"/>
        <v>0</v>
      </c>
      <c r="R12369" s="894">
        <f t="shared" si="992"/>
        <v>12</v>
      </c>
    </row>
    <row r="12370" spans="1:18">
      <c r="A12370" s="895"/>
      <c r="B12370" s="896"/>
      <c r="C12370" s="897"/>
      <c r="D12370" s="897"/>
      <c r="E12370" s="1002" t="s">
        <v>108</v>
      </c>
      <c r="F12370" s="1003"/>
      <c r="G12370" s="1004"/>
      <c r="H12370" s="901"/>
      <c r="I12370" s="902"/>
      <c r="J12370" s="902"/>
      <c r="K12370" s="912" t="s">
        <v>274</v>
      </c>
      <c r="L12370" s="902"/>
      <c r="M12370" s="902"/>
      <c r="N12370" s="902"/>
      <c r="O12370" s="892">
        <f t="shared" si="989"/>
        <v>0</v>
      </c>
      <c r="P12370" s="903">
        <f t="shared" si="990"/>
        <v>1</v>
      </c>
      <c r="Q12370" s="893">
        <f t="shared" si="991"/>
        <v>12</v>
      </c>
      <c r="R12370" s="894">
        <f t="shared" si="992"/>
        <v>0</v>
      </c>
    </row>
    <row r="12371" spans="1:18" s="904" customFormat="1">
      <c r="A12371" s="905"/>
      <c r="B12371" s="952"/>
      <c r="C12371" s="907">
        <v>318</v>
      </c>
      <c r="D12371" s="907" t="s">
        <v>279</v>
      </c>
      <c r="E12371" s="992" t="s">
        <v>5657</v>
      </c>
      <c r="F12371" s="905" t="s">
        <v>45</v>
      </c>
      <c r="G12371" s="1005"/>
      <c r="H12371" s="911">
        <v>0.2</v>
      </c>
      <c r="I12371" s="912">
        <f>VLOOKUP(E12371,[3]VLP!$B$7:$K$300,10,0)</f>
        <v>25155</v>
      </c>
      <c r="J12371" s="912">
        <f t="shared" ref="J12371:J12376" si="995">I12371*H12371</f>
        <v>5031</v>
      </c>
      <c r="K12371" s="912" t="s">
        <v>274</v>
      </c>
      <c r="L12371" s="912"/>
      <c r="M12371" s="912"/>
      <c r="N12371" s="912"/>
      <c r="O12371" s="892">
        <f t="shared" si="989"/>
        <v>0</v>
      </c>
      <c r="P12371" s="903">
        <f t="shared" si="990"/>
        <v>1</v>
      </c>
      <c r="Q12371" s="893">
        <f t="shared" si="991"/>
        <v>11</v>
      </c>
      <c r="R12371" s="894">
        <f t="shared" si="992"/>
        <v>0</v>
      </c>
    </row>
    <row r="12372" spans="1:18">
      <c r="A12372" s="905"/>
      <c r="B12372" s="952"/>
      <c r="C12372" s="907">
        <v>313</v>
      </c>
      <c r="D12372" s="907" t="s">
        <v>279</v>
      </c>
      <c r="E12372" s="992" t="s">
        <v>3267</v>
      </c>
      <c r="F12372" s="905" t="s">
        <v>45</v>
      </c>
      <c r="G12372" s="1005"/>
      <c r="H12372" s="911">
        <v>0.35</v>
      </c>
      <c r="I12372" s="912">
        <f>VLOOKUP(E12372,[3]VLP!$B$7:$K$300,10,0)</f>
        <v>30000</v>
      </c>
      <c r="J12372" s="912">
        <f t="shared" si="995"/>
        <v>10500</v>
      </c>
      <c r="K12372" s="912" t="s">
        <v>274</v>
      </c>
      <c r="L12372" s="912"/>
      <c r="M12372" s="912"/>
      <c r="N12372" s="912"/>
      <c r="O12372" s="892">
        <f t="shared" si="989"/>
        <v>0</v>
      </c>
      <c r="P12372" s="903">
        <f t="shared" si="990"/>
        <v>1</v>
      </c>
      <c r="Q12372" s="893">
        <f t="shared" si="991"/>
        <v>10</v>
      </c>
      <c r="R12372" s="894">
        <f t="shared" si="992"/>
        <v>0</v>
      </c>
    </row>
    <row r="12373" spans="1:18" s="847" customFormat="1">
      <c r="A12373" s="905"/>
      <c r="B12373" s="952"/>
      <c r="C12373" s="907">
        <v>235</v>
      </c>
      <c r="D12373" s="907" t="s">
        <v>279</v>
      </c>
      <c r="E12373" s="992" t="s">
        <v>2682</v>
      </c>
      <c r="F12373" s="905" t="s">
        <v>45</v>
      </c>
      <c r="G12373" s="1005"/>
      <c r="H12373" s="911">
        <v>0.1</v>
      </c>
      <c r="I12373" s="912">
        <f>VLOOKUP(E12373,[3]VLP!$B$7:$K$300,10,0)</f>
        <v>5000</v>
      </c>
      <c r="J12373" s="912">
        <f t="shared" si="995"/>
        <v>500</v>
      </c>
      <c r="K12373" s="912" t="s">
        <v>274</v>
      </c>
      <c r="L12373" s="912"/>
      <c r="M12373" s="912"/>
      <c r="N12373" s="912"/>
      <c r="O12373" s="892">
        <f t="shared" si="989"/>
        <v>0</v>
      </c>
      <c r="P12373" s="903">
        <f t="shared" si="990"/>
        <v>1</v>
      </c>
      <c r="Q12373" s="893">
        <f t="shared" si="991"/>
        <v>9</v>
      </c>
      <c r="R12373" s="894">
        <f t="shared" si="992"/>
        <v>0</v>
      </c>
    </row>
    <row r="12374" spans="1:18" s="904" customFormat="1">
      <c r="A12374" s="905"/>
      <c r="B12374" s="952"/>
      <c r="C12374" s="907">
        <v>205</v>
      </c>
      <c r="D12374" s="907" t="s">
        <v>279</v>
      </c>
      <c r="E12374" s="992" t="s">
        <v>7135</v>
      </c>
      <c r="F12374" s="905" t="s">
        <v>139</v>
      </c>
      <c r="G12374" s="1005"/>
      <c r="H12374" s="911">
        <v>40</v>
      </c>
      <c r="I12374" s="912">
        <f>VLOOKUP(E12374,[3]VLP!$B$7:$K$300,10,0)</f>
        <v>2000</v>
      </c>
      <c r="J12374" s="912">
        <f t="shared" si="995"/>
        <v>80000</v>
      </c>
      <c r="K12374" s="912" t="s">
        <v>274</v>
      </c>
      <c r="L12374" s="912"/>
      <c r="M12374" s="912"/>
      <c r="N12374" s="912"/>
      <c r="O12374" s="892">
        <f t="shared" si="989"/>
        <v>0</v>
      </c>
      <c r="P12374" s="903">
        <f t="shared" si="990"/>
        <v>1</v>
      </c>
      <c r="Q12374" s="893">
        <f t="shared" si="991"/>
        <v>8</v>
      </c>
      <c r="R12374" s="894">
        <f t="shared" si="992"/>
        <v>0</v>
      </c>
    </row>
    <row r="12375" spans="1:18">
      <c r="A12375" s="905"/>
      <c r="B12375" s="952"/>
      <c r="C12375" s="907">
        <v>212</v>
      </c>
      <c r="D12375" s="907" t="s">
        <v>279</v>
      </c>
      <c r="E12375" s="992" t="s">
        <v>2681</v>
      </c>
      <c r="F12375" s="905" t="s">
        <v>45</v>
      </c>
      <c r="G12375" s="1005"/>
      <c r="H12375" s="911">
        <v>0.4</v>
      </c>
      <c r="I12375" s="912">
        <f>VLOOKUP(E12375,[3]VLP!$B$7:$K$300,10,0)</f>
        <v>23000</v>
      </c>
      <c r="J12375" s="912">
        <f t="shared" si="995"/>
        <v>9200</v>
      </c>
      <c r="K12375" s="912" t="s">
        <v>274</v>
      </c>
      <c r="L12375" s="912"/>
      <c r="M12375" s="912"/>
      <c r="N12375" s="912"/>
      <c r="O12375" s="892">
        <f t="shared" si="989"/>
        <v>0</v>
      </c>
      <c r="P12375" s="903">
        <f t="shared" si="990"/>
        <v>1</v>
      </c>
      <c r="Q12375" s="893">
        <f t="shared" si="991"/>
        <v>7</v>
      </c>
      <c r="R12375" s="894">
        <f t="shared" si="992"/>
        <v>0</v>
      </c>
    </row>
    <row r="12376" spans="1:18">
      <c r="A12376" s="905"/>
      <c r="B12376" s="952"/>
      <c r="C12376" s="907">
        <v>234</v>
      </c>
      <c r="D12376" s="907" t="s">
        <v>279</v>
      </c>
      <c r="E12376" s="992" t="s">
        <v>5983</v>
      </c>
      <c r="F12376" s="905" t="s">
        <v>3144</v>
      </c>
      <c r="G12376" s="1005"/>
      <c r="H12376" s="911">
        <v>0.5</v>
      </c>
      <c r="I12376" s="912">
        <f>VLOOKUP(E12376,[3]VLP!$B$7:$K$300,10,0)</f>
        <v>14000</v>
      </c>
      <c r="J12376" s="912">
        <f t="shared" si="995"/>
        <v>7000</v>
      </c>
      <c r="K12376" s="912" t="s">
        <v>274</v>
      </c>
      <c r="L12376" s="912"/>
      <c r="M12376" s="912"/>
      <c r="N12376" s="912"/>
      <c r="O12376" s="892">
        <f t="shared" si="989"/>
        <v>0</v>
      </c>
      <c r="P12376" s="903">
        <f t="shared" si="990"/>
        <v>1</v>
      </c>
      <c r="Q12376" s="893">
        <f t="shared" si="991"/>
        <v>6</v>
      </c>
      <c r="R12376" s="894">
        <f t="shared" si="992"/>
        <v>0</v>
      </c>
    </row>
    <row r="12377" spans="1:18" s="904" customFormat="1">
      <c r="A12377" s="895"/>
      <c r="B12377" s="896"/>
      <c r="C12377" s="897"/>
      <c r="D12377" s="897"/>
      <c r="E12377" s="1002" t="s">
        <v>276</v>
      </c>
      <c r="F12377" s="1003"/>
      <c r="G12377" s="1004"/>
      <c r="H12377" s="901"/>
      <c r="I12377" s="902"/>
      <c r="J12377" s="902"/>
      <c r="K12377" s="912" t="s">
        <v>274</v>
      </c>
      <c r="L12377" s="902"/>
      <c r="M12377" s="902"/>
      <c r="N12377" s="902"/>
      <c r="O12377" s="892">
        <f t="shared" si="989"/>
        <v>0</v>
      </c>
      <c r="P12377" s="903">
        <f t="shared" si="990"/>
        <v>1</v>
      </c>
      <c r="Q12377" s="893">
        <f t="shared" si="991"/>
        <v>5</v>
      </c>
      <c r="R12377" s="894">
        <f t="shared" si="992"/>
        <v>0</v>
      </c>
    </row>
    <row r="12378" spans="1:18">
      <c r="A12378" s="905"/>
      <c r="B12378" s="952"/>
      <c r="C12378" s="907">
        <v>740</v>
      </c>
      <c r="D12378" s="907" t="s">
        <v>12</v>
      </c>
      <c r="E12378" s="992" t="s">
        <v>4008</v>
      </c>
      <c r="F12378" s="905" t="s">
        <v>2674</v>
      </c>
      <c r="G12378" s="1005"/>
      <c r="H12378" s="911">
        <v>1.7</v>
      </c>
      <c r="I12378" s="912"/>
      <c r="J12378" s="912"/>
      <c r="K12378" s="912">
        <f>VLOOKUP(E12378,[5]ĐMNC!$A$7:$F$67,4,0)</f>
        <v>221125</v>
      </c>
      <c r="L12378" s="912">
        <f>H12378*K12378</f>
        <v>375912.5</v>
      </c>
      <c r="M12378" s="912"/>
      <c r="N12378" s="912"/>
      <c r="O12378" s="892">
        <f t="shared" si="989"/>
        <v>0</v>
      </c>
      <c r="P12378" s="903">
        <f t="shared" si="990"/>
        <v>1</v>
      </c>
      <c r="Q12378" s="893">
        <f t="shared" si="991"/>
        <v>4</v>
      </c>
      <c r="R12378" s="894">
        <f t="shared" si="992"/>
        <v>0</v>
      </c>
    </row>
    <row r="12379" spans="1:18" s="847" customFormat="1">
      <c r="A12379" s="895"/>
      <c r="B12379" s="896"/>
      <c r="C12379" s="897"/>
      <c r="D12379" s="897"/>
      <c r="E12379" s="1002" t="s">
        <v>3914</v>
      </c>
      <c r="F12379" s="1003"/>
      <c r="G12379" s="1004"/>
      <c r="H12379" s="901"/>
      <c r="I12379" s="902"/>
      <c r="J12379" s="902"/>
      <c r="K12379" s="912" t="s">
        <v>274</v>
      </c>
      <c r="L12379" s="902"/>
      <c r="M12379" s="902"/>
      <c r="N12379" s="902"/>
      <c r="O12379" s="892">
        <f t="shared" si="989"/>
        <v>0</v>
      </c>
      <c r="P12379" s="903">
        <f t="shared" si="990"/>
        <v>1</v>
      </c>
      <c r="Q12379" s="893">
        <f t="shared" si="991"/>
        <v>3</v>
      </c>
      <c r="R12379" s="894">
        <f t="shared" si="992"/>
        <v>0</v>
      </c>
    </row>
    <row r="12380" spans="1:18" s="904" customFormat="1">
      <c r="A12380" s="905"/>
      <c r="B12380" s="952" t="s">
        <v>7136</v>
      </c>
      <c r="C12380" s="907">
        <v>909</v>
      </c>
      <c r="D12380" s="907" t="s">
        <v>93</v>
      </c>
      <c r="E12380" s="992" t="s">
        <v>7137</v>
      </c>
      <c r="F12380" s="905" t="s">
        <v>2673</v>
      </c>
      <c r="G12380" s="1005"/>
      <c r="H12380" s="911">
        <v>0.01</v>
      </c>
      <c r="I12380" s="912"/>
      <c r="J12380" s="912"/>
      <c r="K12380" s="912"/>
      <c r="L12380" s="912"/>
      <c r="M12380" s="912">
        <f>VLOOKUP(B12380,MTC!$B$9:$S$933,12,0)</f>
        <v>0</v>
      </c>
      <c r="N12380" s="912">
        <f>M12380*H12380</f>
        <v>0</v>
      </c>
      <c r="O12380" s="892">
        <f t="shared" si="989"/>
        <v>0</v>
      </c>
      <c r="P12380" s="903">
        <f t="shared" si="990"/>
        <v>1</v>
      </c>
      <c r="Q12380" s="893">
        <f t="shared" si="991"/>
        <v>2</v>
      </c>
      <c r="R12380" s="894">
        <f t="shared" si="992"/>
        <v>0</v>
      </c>
    </row>
    <row r="12381" spans="1:18">
      <c r="A12381" s="905"/>
      <c r="B12381" s="952" t="s">
        <v>6879</v>
      </c>
      <c r="C12381" s="907">
        <v>910</v>
      </c>
      <c r="D12381" s="907" t="s">
        <v>93</v>
      </c>
      <c r="E12381" s="992" t="s">
        <v>6880</v>
      </c>
      <c r="F12381" s="905" t="s">
        <v>2673</v>
      </c>
      <c r="G12381" s="1005"/>
      <c r="H12381" s="911">
        <v>0.56999999999999995</v>
      </c>
      <c r="I12381" s="912"/>
      <c r="J12381" s="912"/>
      <c r="K12381" s="912"/>
      <c r="L12381" s="912"/>
      <c r="M12381" s="912">
        <f>VLOOKUP(B12381,MTC!$B$9:$S$933,12,0)</f>
        <v>47752</v>
      </c>
      <c r="N12381" s="912">
        <f>M12381*H12381</f>
        <v>27218.639999999999</v>
      </c>
      <c r="O12381" s="892">
        <f t="shared" si="989"/>
        <v>0</v>
      </c>
      <c r="P12381" s="903">
        <f t="shared" si="990"/>
        <v>1</v>
      </c>
      <c r="Q12381" s="893">
        <f t="shared" si="991"/>
        <v>1</v>
      </c>
      <c r="R12381" s="894">
        <f t="shared" si="992"/>
        <v>0</v>
      </c>
    </row>
    <row r="12382" spans="1:18">
      <c r="A12382" s="905">
        <v>668</v>
      </c>
      <c r="B12382" s="1018" t="s">
        <v>7142</v>
      </c>
      <c r="C12382" s="915"/>
      <c r="D12382" s="915"/>
      <c r="E12382" s="1006" t="s">
        <v>7143</v>
      </c>
      <c r="F12382" s="917" t="s">
        <v>1206</v>
      </c>
      <c r="G12382" s="1008"/>
      <c r="H12382" s="919"/>
      <c r="I12382" s="920"/>
      <c r="J12382" s="891">
        <f>SUM(J12383:J12394)</f>
        <v>123862</v>
      </c>
      <c r="K12382" s="891"/>
      <c r="L12382" s="891">
        <f>SUM(L12383:L12394)</f>
        <v>457728.74999999994</v>
      </c>
      <c r="M12382" s="891"/>
      <c r="N12382" s="891">
        <f>SUM(N12383:N12394)</f>
        <v>32948.879999999997</v>
      </c>
      <c r="O12382" s="892">
        <f t="shared" si="989"/>
        <v>1</v>
      </c>
      <c r="P12382" s="903">
        <f t="shared" si="990"/>
        <v>0</v>
      </c>
      <c r="Q12382" s="893">
        <f t="shared" si="991"/>
        <v>0</v>
      </c>
      <c r="R12382" s="894">
        <f t="shared" si="992"/>
        <v>12</v>
      </c>
    </row>
    <row r="12383" spans="1:18" s="904" customFormat="1">
      <c r="A12383" s="895"/>
      <c r="B12383" s="896"/>
      <c r="C12383" s="897"/>
      <c r="D12383" s="897"/>
      <c r="E12383" s="1002" t="s">
        <v>108</v>
      </c>
      <c r="F12383" s="1003"/>
      <c r="G12383" s="1004"/>
      <c r="H12383" s="901"/>
      <c r="I12383" s="902"/>
      <c r="J12383" s="902"/>
      <c r="K12383" s="912" t="s">
        <v>274</v>
      </c>
      <c r="L12383" s="902"/>
      <c r="M12383" s="902"/>
      <c r="N12383" s="902"/>
      <c r="O12383" s="892">
        <f t="shared" ref="O12383:O12446" si="996">IF(AND(B12383&lt;&gt;"",D12383=""),1,0)</f>
        <v>0</v>
      </c>
      <c r="P12383" s="903">
        <f t="shared" si="990"/>
        <v>1</v>
      </c>
      <c r="Q12383" s="893">
        <f t="shared" si="991"/>
        <v>12</v>
      </c>
      <c r="R12383" s="894">
        <f t="shared" si="992"/>
        <v>0</v>
      </c>
    </row>
    <row r="12384" spans="1:18">
      <c r="A12384" s="905"/>
      <c r="B12384" s="952"/>
      <c r="C12384" s="907">
        <v>318</v>
      </c>
      <c r="D12384" s="907" t="s">
        <v>279</v>
      </c>
      <c r="E12384" s="992" t="s">
        <v>5657</v>
      </c>
      <c r="F12384" s="905" t="s">
        <v>45</v>
      </c>
      <c r="G12384" s="1005"/>
      <c r="H12384" s="911">
        <v>0.4</v>
      </c>
      <c r="I12384" s="912">
        <f>VLOOKUP(E12384,[3]VLP!$B$7:$K$300,10,0)</f>
        <v>25155</v>
      </c>
      <c r="J12384" s="912">
        <f t="shared" ref="J12384:J12389" si="997">I12384*H12384</f>
        <v>10062</v>
      </c>
      <c r="K12384" s="912" t="s">
        <v>274</v>
      </c>
      <c r="L12384" s="912"/>
      <c r="M12384" s="912"/>
      <c r="N12384" s="912"/>
      <c r="O12384" s="892">
        <f t="shared" si="996"/>
        <v>0</v>
      </c>
      <c r="P12384" s="903">
        <f t="shared" si="990"/>
        <v>1</v>
      </c>
      <c r="Q12384" s="893">
        <f t="shared" si="991"/>
        <v>11</v>
      </c>
      <c r="R12384" s="894">
        <f t="shared" si="992"/>
        <v>0</v>
      </c>
    </row>
    <row r="12385" spans="1:18" s="847" customFormat="1">
      <c r="A12385" s="905"/>
      <c r="B12385" s="952"/>
      <c r="C12385" s="907">
        <v>313</v>
      </c>
      <c r="D12385" s="907" t="s">
        <v>279</v>
      </c>
      <c r="E12385" s="992" t="s">
        <v>3267</v>
      </c>
      <c r="F12385" s="905" t="s">
        <v>45</v>
      </c>
      <c r="G12385" s="1005"/>
      <c r="H12385" s="911">
        <v>0.4</v>
      </c>
      <c r="I12385" s="912">
        <f>VLOOKUP(E12385,[3]VLP!$B$7:$K$300,10,0)</f>
        <v>30000</v>
      </c>
      <c r="J12385" s="912">
        <f t="shared" si="997"/>
        <v>12000</v>
      </c>
      <c r="K12385" s="912" t="s">
        <v>274</v>
      </c>
      <c r="L12385" s="912"/>
      <c r="M12385" s="912"/>
      <c r="N12385" s="912"/>
      <c r="O12385" s="892">
        <f t="shared" si="996"/>
        <v>0</v>
      </c>
      <c r="P12385" s="903">
        <f t="shared" si="990"/>
        <v>1</v>
      </c>
      <c r="Q12385" s="893">
        <f t="shared" si="991"/>
        <v>10</v>
      </c>
      <c r="R12385" s="894">
        <f t="shared" si="992"/>
        <v>0</v>
      </c>
    </row>
    <row r="12386" spans="1:18" s="904" customFormat="1">
      <c r="A12386" s="905"/>
      <c r="B12386" s="952"/>
      <c r="C12386" s="907">
        <v>235</v>
      </c>
      <c r="D12386" s="907" t="s">
        <v>279</v>
      </c>
      <c r="E12386" s="992" t="s">
        <v>2682</v>
      </c>
      <c r="F12386" s="905" t="s">
        <v>45</v>
      </c>
      <c r="G12386" s="1005"/>
      <c r="H12386" s="911">
        <v>0.1</v>
      </c>
      <c r="I12386" s="912">
        <f>VLOOKUP(E12386,[3]VLP!$B$7:$K$300,10,0)</f>
        <v>5000</v>
      </c>
      <c r="J12386" s="912">
        <f t="shared" si="997"/>
        <v>500</v>
      </c>
      <c r="K12386" s="912" t="s">
        <v>274</v>
      </c>
      <c r="L12386" s="912"/>
      <c r="M12386" s="912"/>
      <c r="N12386" s="912"/>
      <c r="O12386" s="892">
        <f t="shared" si="996"/>
        <v>0</v>
      </c>
      <c r="P12386" s="903">
        <f t="shared" si="990"/>
        <v>1</v>
      </c>
      <c r="Q12386" s="893">
        <f t="shared" si="991"/>
        <v>9</v>
      </c>
      <c r="R12386" s="894">
        <f t="shared" si="992"/>
        <v>0</v>
      </c>
    </row>
    <row r="12387" spans="1:18">
      <c r="A12387" s="905"/>
      <c r="B12387" s="952"/>
      <c r="C12387" s="907">
        <v>205</v>
      </c>
      <c r="D12387" s="907" t="s">
        <v>279</v>
      </c>
      <c r="E12387" s="992" t="s">
        <v>7135</v>
      </c>
      <c r="F12387" s="905" t="s">
        <v>139</v>
      </c>
      <c r="G12387" s="1005"/>
      <c r="H12387" s="911">
        <v>40</v>
      </c>
      <c r="I12387" s="912">
        <f>VLOOKUP(E12387,[3]VLP!$B$7:$K$300,10,0)</f>
        <v>2000</v>
      </c>
      <c r="J12387" s="912">
        <f t="shared" si="997"/>
        <v>80000</v>
      </c>
      <c r="K12387" s="912" t="s">
        <v>274</v>
      </c>
      <c r="L12387" s="912"/>
      <c r="M12387" s="912"/>
      <c r="N12387" s="912"/>
      <c r="O12387" s="892">
        <f t="shared" si="996"/>
        <v>0</v>
      </c>
      <c r="P12387" s="903">
        <f t="shared" si="990"/>
        <v>1</v>
      </c>
      <c r="Q12387" s="893">
        <f t="shared" si="991"/>
        <v>8</v>
      </c>
      <c r="R12387" s="894">
        <f t="shared" si="992"/>
        <v>0</v>
      </c>
    </row>
    <row r="12388" spans="1:18">
      <c r="A12388" s="905"/>
      <c r="B12388" s="952"/>
      <c r="C12388" s="907">
        <v>212</v>
      </c>
      <c r="D12388" s="907" t="s">
        <v>279</v>
      </c>
      <c r="E12388" s="992" t="s">
        <v>2681</v>
      </c>
      <c r="F12388" s="905" t="s">
        <v>45</v>
      </c>
      <c r="G12388" s="1005"/>
      <c r="H12388" s="911">
        <v>0.5</v>
      </c>
      <c r="I12388" s="912">
        <f>VLOOKUP(E12388,[3]VLP!$B$7:$K$300,10,0)</f>
        <v>23000</v>
      </c>
      <c r="J12388" s="912">
        <f t="shared" si="997"/>
        <v>11500</v>
      </c>
      <c r="K12388" s="912" t="s">
        <v>274</v>
      </c>
      <c r="L12388" s="912"/>
      <c r="M12388" s="912"/>
      <c r="N12388" s="912"/>
      <c r="O12388" s="892">
        <f t="shared" si="996"/>
        <v>0</v>
      </c>
      <c r="P12388" s="903">
        <f t="shared" si="990"/>
        <v>1</v>
      </c>
      <c r="Q12388" s="893">
        <f t="shared" si="991"/>
        <v>7</v>
      </c>
      <c r="R12388" s="894">
        <f t="shared" si="992"/>
        <v>0</v>
      </c>
    </row>
    <row r="12389" spans="1:18" s="904" customFormat="1">
      <c r="A12389" s="905"/>
      <c r="B12389" s="952"/>
      <c r="C12389" s="907">
        <v>234</v>
      </c>
      <c r="D12389" s="907" t="s">
        <v>279</v>
      </c>
      <c r="E12389" s="992" t="s">
        <v>5983</v>
      </c>
      <c r="F12389" s="905" t="s">
        <v>3144</v>
      </c>
      <c r="G12389" s="1005"/>
      <c r="H12389" s="911">
        <v>0.7</v>
      </c>
      <c r="I12389" s="912">
        <f>VLOOKUP(E12389,[3]VLP!$B$7:$K$300,10,0)</f>
        <v>14000</v>
      </c>
      <c r="J12389" s="912">
        <f t="shared" si="997"/>
        <v>9800</v>
      </c>
      <c r="K12389" s="912" t="s">
        <v>274</v>
      </c>
      <c r="L12389" s="912"/>
      <c r="M12389" s="912"/>
      <c r="N12389" s="912"/>
      <c r="O12389" s="892">
        <f t="shared" si="996"/>
        <v>0</v>
      </c>
      <c r="P12389" s="903">
        <f t="shared" si="990"/>
        <v>1</v>
      </c>
      <c r="Q12389" s="893">
        <f t="shared" si="991"/>
        <v>6</v>
      </c>
      <c r="R12389" s="894">
        <f t="shared" si="992"/>
        <v>0</v>
      </c>
    </row>
    <row r="12390" spans="1:18">
      <c r="A12390" s="895"/>
      <c r="B12390" s="896"/>
      <c r="C12390" s="897"/>
      <c r="D12390" s="897"/>
      <c r="E12390" s="1002" t="s">
        <v>276</v>
      </c>
      <c r="F12390" s="1003"/>
      <c r="G12390" s="1004"/>
      <c r="H12390" s="901"/>
      <c r="I12390" s="902"/>
      <c r="J12390" s="902"/>
      <c r="K12390" s="912" t="s">
        <v>274</v>
      </c>
      <c r="L12390" s="902"/>
      <c r="M12390" s="902"/>
      <c r="N12390" s="902"/>
      <c r="O12390" s="892">
        <f t="shared" si="996"/>
        <v>0</v>
      </c>
      <c r="P12390" s="903">
        <f t="shared" si="990"/>
        <v>1</v>
      </c>
      <c r="Q12390" s="893">
        <f t="shared" si="991"/>
        <v>5</v>
      </c>
      <c r="R12390" s="894">
        <f t="shared" si="992"/>
        <v>0</v>
      </c>
    </row>
    <row r="12391" spans="1:18" s="847" customFormat="1">
      <c r="A12391" s="905"/>
      <c r="B12391" s="952"/>
      <c r="C12391" s="907">
        <v>740</v>
      </c>
      <c r="D12391" s="907" t="s">
        <v>12</v>
      </c>
      <c r="E12391" s="992" t="s">
        <v>4008</v>
      </c>
      <c r="F12391" s="905" t="s">
        <v>2674</v>
      </c>
      <c r="G12391" s="1005"/>
      <c r="H12391" s="911">
        <v>2.0699999999999998</v>
      </c>
      <c r="I12391" s="912"/>
      <c r="J12391" s="912"/>
      <c r="K12391" s="912">
        <f>VLOOKUP(E12391,[5]ĐMNC!$A$7:$F$67,4,0)</f>
        <v>221125</v>
      </c>
      <c r="L12391" s="912">
        <f>H12391*K12391</f>
        <v>457728.74999999994</v>
      </c>
      <c r="M12391" s="912"/>
      <c r="N12391" s="912"/>
      <c r="O12391" s="892">
        <f t="shared" si="996"/>
        <v>0</v>
      </c>
      <c r="P12391" s="903">
        <f t="shared" si="990"/>
        <v>1</v>
      </c>
      <c r="Q12391" s="893">
        <f t="shared" si="991"/>
        <v>4</v>
      </c>
      <c r="R12391" s="894">
        <f t="shared" si="992"/>
        <v>0</v>
      </c>
    </row>
    <row r="12392" spans="1:18" s="904" customFormat="1">
      <c r="A12392" s="895"/>
      <c r="B12392" s="896"/>
      <c r="C12392" s="897"/>
      <c r="D12392" s="897"/>
      <c r="E12392" s="1002" t="s">
        <v>3914</v>
      </c>
      <c r="F12392" s="1003"/>
      <c r="G12392" s="1004"/>
      <c r="H12392" s="901"/>
      <c r="I12392" s="902"/>
      <c r="J12392" s="902"/>
      <c r="K12392" s="912" t="s">
        <v>274</v>
      </c>
      <c r="L12392" s="902"/>
      <c r="M12392" s="902"/>
      <c r="N12392" s="902"/>
      <c r="O12392" s="892">
        <f t="shared" si="996"/>
        <v>0</v>
      </c>
      <c r="P12392" s="903">
        <f t="shared" si="990"/>
        <v>1</v>
      </c>
      <c r="Q12392" s="893">
        <f t="shared" si="991"/>
        <v>3</v>
      </c>
      <c r="R12392" s="894">
        <f t="shared" si="992"/>
        <v>0</v>
      </c>
    </row>
    <row r="12393" spans="1:18">
      <c r="A12393" s="905"/>
      <c r="B12393" s="952" t="s">
        <v>7136</v>
      </c>
      <c r="C12393" s="907">
        <v>909</v>
      </c>
      <c r="D12393" s="907" t="s">
        <v>93</v>
      </c>
      <c r="E12393" s="992" t="s">
        <v>7137</v>
      </c>
      <c r="F12393" s="905" t="s">
        <v>2673</v>
      </c>
      <c r="G12393" s="1005"/>
      <c r="H12393" s="911">
        <v>0.02</v>
      </c>
      <c r="I12393" s="912"/>
      <c r="J12393" s="912"/>
      <c r="K12393" s="912"/>
      <c r="L12393" s="912"/>
      <c r="M12393" s="912">
        <f>VLOOKUP(B12393,MTC!$B$9:$S$933,12,0)</f>
        <v>0</v>
      </c>
      <c r="N12393" s="912">
        <f>M12393*H12393</f>
        <v>0</v>
      </c>
      <c r="O12393" s="892">
        <f t="shared" si="996"/>
        <v>0</v>
      </c>
      <c r="P12393" s="903">
        <f t="shared" si="990"/>
        <v>1</v>
      </c>
      <c r="Q12393" s="893">
        <f t="shared" si="991"/>
        <v>2</v>
      </c>
      <c r="R12393" s="894">
        <f t="shared" si="992"/>
        <v>0</v>
      </c>
    </row>
    <row r="12394" spans="1:18">
      <c r="A12394" s="905"/>
      <c r="B12394" s="952" t="s">
        <v>6879</v>
      </c>
      <c r="C12394" s="907">
        <v>910</v>
      </c>
      <c r="D12394" s="907" t="s">
        <v>93</v>
      </c>
      <c r="E12394" s="992" t="s">
        <v>6880</v>
      </c>
      <c r="F12394" s="905" t="s">
        <v>2673</v>
      </c>
      <c r="G12394" s="1005"/>
      <c r="H12394" s="911">
        <v>0.69</v>
      </c>
      <c r="I12394" s="912"/>
      <c r="J12394" s="912"/>
      <c r="K12394" s="912"/>
      <c r="L12394" s="912"/>
      <c r="M12394" s="912">
        <f>VLOOKUP(B12394,MTC!$B$9:$S$933,12,0)</f>
        <v>47752</v>
      </c>
      <c r="N12394" s="912">
        <f>M12394*H12394</f>
        <v>32948.879999999997</v>
      </c>
      <c r="O12394" s="892">
        <f t="shared" si="996"/>
        <v>0</v>
      </c>
      <c r="P12394" s="903">
        <f t="shared" si="990"/>
        <v>1</v>
      </c>
      <c r="Q12394" s="893">
        <f t="shared" si="991"/>
        <v>1</v>
      </c>
      <c r="R12394" s="894">
        <f t="shared" si="992"/>
        <v>0</v>
      </c>
    </row>
    <row r="12395" spans="1:18" s="904" customFormat="1">
      <c r="A12395" s="905">
        <v>669</v>
      </c>
      <c r="B12395" s="1018" t="s">
        <v>7144</v>
      </c>
      <c r="C12395" s="915"/>
      <c r="D12395" s="915"/>
      <c r="E12395" s="1006" t="s">
        <v>7145</v>
      </c>
      <c r="F12395" s="917" t="s">
        <v>1206</v>
      </c>
      <c r="G12395" s="1008"/>
      <c r="H12395" s="919"/>
      <c r="I12395" s="920"/>
      <c r="J12395" s="891">
        <f>SUM(J12396:J12407)</f>
        <v>130112</v>
      </c>
      <c r="K12395" s="891"/>
      <c r="L12395" s="891">
        <f>SUM(L12396:L12407)</f>
        <v>663375</v>
      </c>
      <c r="M12395" s="891"/>
      <c r="N12395" s="891">
        <f>SUM(N12396:N12407)</f>
        <v>47752</v>
      </c>
      <c r="O12395" s="892">
        <f t="shared" si="996"/>
        <v>1</v>
      </c>
      <c r="P12395" s="903">
        <f t="shared" si="990"/>
        <v>0</v>
      </c>
      <c r="Q12395" s="893">
        <f t="shared" si="991"/>
        <v>0</v>
      </c>
      <c r="R12395" s="894">
        <f t="shared" si="992"/>
        <v>12</v>
      </c>
    </row>
    <row r="12396" spans="1:18">
      <c r="A12396" s="895"/>
      <c r="B12396" s="896"/>
      <c r="C12396" s="897"/>
      <c r="D12396" s="897"/>
      <c r="E12396" s="1002" t="s">
        <v>108</v>
      </c>
      <c r="F12396" s="1003"/>
      <c r="G12396" s="1004"/>
      <c r="H12396" s="901"/>
      <c r="I12396" s="902"/>
      <c r="J12396" s="902"/>
      <c r="K12396" s="912" t="s">
        <v>274</v>
      </c>
      <c r="L12396" s="902"/>
      <c r="M12396" s="902"/>
      <c r="N12396" s="902"/>
      <c r="O12396" s="892">
        <f t="shared" si="996"/>
        <v>0</v>
      </c>
      <c r="P12396" s="903">
        <f t="shared" si="990"/>
        <v>1</v>
      </c>
      <c r="Q12396" s="893">
        <f t="shared" si="991"/>
        <v>12</v>
      </c>
      <c r="R12396" s="894">
        <f t="shared" si="992"/>
        <v>0</v>
      </c>
    </row>
    <row r="12397" spans="1:18" s="847" customFormat="1">
      <c r="A12397" s="905"/>
      <c r="B12397" s="952"/>
      <c r="C12397" s="907">
        <v>318</v>
      </c>
      <c r="D12397" s="907" t="s">
        <v>279</v>
      </c>
      <c r="E12397" s="992" t="s">
        <v>5657</v>
      </c>
      <c r="F12397" s="905" t="s">
        <v>45</v>
      </c>
      <c r="G12397" s="1005"/>
      <c r="H12397" s="911">
        <v>0.4</v>
      </c>
      <c r="I12397" s="912">
        <f>VLOOKUP(E12397,[3]VLP!$B$7:$K$300,10,0)</f>
        <v>25155</v>
      </c>
      <c r="J12397" s="912">
        <f t="shared" ref="J12397:J12402" si="998">I12397*H12397</f>
        <v>10062</v>
      </c>
      <c r="K12397" s="912" t="s">
        <v>274</v>
      </c>
      <c r="L12397" s="912"/>
      <c r="M12397" s="912"/>
      <c r="N12397" s="912"/>
      <c r="O12397" s="892">
        <f t="shared" si="996"/>
        <v>0</v>
      </c>
      <c r="P12397" s="903">
        <f t="shared" si="990"/>
        <v>1</v>
      </c>
      <c r="Q12397" s="893">
        <f t="shared" si="991"/>
        <v>11</v>
      </c>
      <c r="R12397" s="894">
        <f t="shared" si="992"/>
        <v>0</v>
      </c>
    </row>
    <row r="12398" spans="1:18" s="904" customFormat="1">
      <c r="A12398" s="905"/>
      <c r="B12398" s="952"/>
      <c r="C12398" s="907">
        <v>313</v>
      </c>
      <c r="D12398" s="907" t="s">
        <v>279</v>
      </c>
      <c r="E12398" s="992" t="s">
        <v>3267</v>
      </c>
      <c r="F12398" s="905" t="s">
        <v>45</v>
      </c>
      <c r="G12398" s="1005"/>
      <c r="H12398" s="911">
        <v>0.6</v>
      </c>
      <c r="I12398" s="912">
        <f>VLOOKUP(E12398,[3]VLP!$B$7:$K$300,10,0)</f>
        <v>30000</v>
      </c>
      <c r="J12398" s="912">
        <f t="shared" si="998"/>
        <v>18000</v>
      </c>
      <c r="K12398" s="912" t="s">
        <v>274</v>
      </c>
      <c r="L12398" s="912"/>
      <c r="M12398" s="912"/>
      <c r="N12398" s="912"/>
      <c r="O12398" s="892">
        <f t="shared" si="996"/>
        <v>0</v>
      </c>
      <c r="P12398" s="903">
        <f t="shared" si="990"/>
        <v>1</v>
      </c>
      <c r="Q12398" s="893">
        <f t="shared" si="991"/>
        <v>10</v>
      </c>
      <c r="R12398" s="894">
        <f t="shared" si="992"/>
        <v>0</v>
      </c>
    </row>
    <row r="12399" spans="1:18">
      <c r="A12399" s="905"/>
      <c r="B12399" s="952"/>
      <c r="C12399" s="907">
        <v>235</v>
      </c>
      <c r="D12399" s="907" t="s">
        <v>279</v>
      </c>
      <c r="E12399" s="992" t="s">
        <v>2682</v>
      </c>
      <c r="F12399" s="905" t="s">
        <v>45</v>
      </c>
      <c r="G12399" s="1005"/>
      <c r="H12399" s="911">
        <v>0.15</v>
      </c>
      <c r="I12399" s="912">
        <f>VLOOKUP(E12399,[3]VLP!$B$7:$K$300,10,0)</f>
        <v>5000</v>
      </c>
      <c r="J12399" s="912">
        <f t="shared" si="998"/>
        <v>750</v>
      </c>
      <c r="K12399" s="912" t="s">
        <v>274</v>
      </c>
      <c r="L12399" s="912"/>
      <c r="M12399" s="912"/>
      <c r="N12399" s="912"/>
      <c r="O12399" s="892">
        <f t="shared" si="996"/>
        <v>0</v>
      </c>
      <c r="P12399" s="903">
        <f t="shared" si="990"/>
        <v>1</v>
      </c>
      <c r="Q12399" s="893">
        <f t="shared" si="991"/>
        <v>9</v>
      </c>
      <c r="R12399" s="894">
        <f t="shared" si="992"/>
        <v>0</v>
      </c>
    </row>
    <row r="12400" spans="1:18">
      <c r="A12400" s="905"/>
      <c r="B12400" s="952"/>
      <c r="C12400" s="907">
        <v>205</v>
      </c>
      <c r="D12400" s="907" t="s">
        <v>279</v>
      </c>
      <c r="E12400" s="992" t="s">
        <v>7135</v>
      </c>
      <c r="F12400" s="905" t="s">
        <v>139</v>
      </c>
      <c r="G12400" s="1005"/>
      <c r="H12400" s="911">
        <v>40</v>
      </c>
      <c r="I12400" s="912">
        <f>VLOOKUP(E12400,[3]VLP!$B$7:$K$300,10,0)</f>
        <v>2000</v>
      </c>
      <c r="J12400" s="912">
        <f t="shared" si="998"/>
        <v>80000</v>
      </c>
      <c r="K12400" s="912" t="s">
        <v>274</v>
      </c>
      <c r="L12400" s="912"/>
      <c r="M12400" s="912"/>
      <c r="N12400" s="912"/>
      <c r="O12400" s="892">
        <f t="shared" si="996"/>
        <v>0</v>
      </c>
      <c r="P12400" s="903">
        <f t="shared" si="990"/>
        <v>1</v>
      </c>
      <c r="Q12400" s="893">
        <f t="shared" si="991"/>
        <v>8</v>
      </c>
      <c r="R12400" s="894">
        <f t="shared" si="992"/>
        <v>0</v>
      </c>
    </row>
    <row r="12401" spans="1:18" s="904" customFormat="1">
      <c r="A12401" s="905"/>
      <c r="B12401" s="952"/>
      <c r="C12401" s="907">
        <v>212</v>
      </c>
      <c r="D12401" s="907" t="s">
        <v>279</v>
      </c>
      <c r="E12401" s="992" t="s">
        <v>2681</v>
      </c>
      <c r="F12401" s="905" t="s">
        <v>45</v>
      </c>
      <c r="G12401" s="1005"/>
      <c r="H12401" s="911">
        <v>0.5</v>
      </c>
      <c r="I12401" s="912">
        <f>VLOOKUP(E12401,[3]VLP!$B$7:$K$300,10,0)</f>
        <v>23000</v>
      </c>
      <c r="J12401" s="912">
        <f t="shared" si="998"/>
        <v>11500</v>
      </c>
      <c r="K12401" s="912" t="s">
        <v>274</v>
      </c>
      <c r="L12401" s="912"/>
      <c r="M12401" s="912"/>
      <c r="N12401" s="912"/>
      <c r="O12401" s="892">
        <f t="shared" si="996"/>
        <v>0</v>
      </c>
      <c r="P12401" s="903">
        <f t="shared" si="990"/>
        <v>1</v>
      </c>
      <c r="Q12401" s="893">
        <f t="shared" si="991"/>
        <v>7</v>
      </c>
      <c r="R12401" s="894">
        <f t="shared" si="992"/>
        <v>0</v>
      </c>
    </row>
    <row r="12402" spans="1:18">
      <c r="A12402" s="905"/>
      <c r="B12402" s="952"/>
      <c r="C12402" s="907">
        <v>234</v>
      </c>
      <c r="D12402" s="907" t="s">
        <v>279</v>
      </c>
      <c r="E12402" s="992" t="s">
        <v>5983</v>
      </c>
      <c r="F12402" s="905" t="s">
        <v>3144</v>
      </c>
      <c r="G12402" s="1005"/>
      <c r="H12402" s="911">
        <v>0.7</v>
      </c>
      <c r="I12402" s="912">
        <f>VLOOKUP(E12402,[3]VLP!$B$7:$K$300,10,0)</f>
        <v>14000</v>
      </c>
      <c r="J12402" s="912">
        <f t="shared" si="998"/>
        <v>9800</v>
      </c>
      <c r="K12402" s="912" t="s">
        <v>274</v>
      </c>
      <c r="L12402" s="912"/>
      <c r="M12402" s="912"/>
      <c r="N12402" s="912"/>
      <c r="O12402" s="892">
        <f t="shared" si="996"/>
        <v>0</v>
      </c>
      <c r="P12402" s="903">
        <f t="shared" si="990"/>
        <v>1</v>
      </c>
      <c r="Q12402" s="893">
        <f t="shared" si="991"/>
        <v>6</v>
      </c>
      <c r="R12402" s="894">
        <f t="shared" si="992"/>
        <v>0</v>
      </c>
    </row>
    <row r="12403" spans="1:18" s="847" customFormat="1">
      <c r="A12403" s="895"/>
      <c r="B12403" s="896"/>
      <c r="C12403" s="897"/>
      <c r="D12403" s="897"/>
      <c r="E12403" s="1002" t="s">
        <v>276</v>
      </c>
      <c r="F12403" s="1003"/>
      <c r="G12403" s="1004"/>
      <c r="H12403" s="901"/>
      <c r="I12403" s="902"/>
      <c r="J12403" s="902"/>
      <c r="K12403" s="912" t="s">
        <v>274</v>
      </c>
      <c r="L12403" s="902"/>
      <c r="M12403" s="902"/>
      <c r="N12403" s="902"/>
      <c r="O12403" s="892">
        <f t="shared" si="996"/>
        <v>0</v>
      </c>
      <c r="P12403" s="903">
        <f t="shared" ref="P12403:P12466" si="999">IF(O12403=0,1,0)</f>
        <v>1</v>
      </c>
      <c r="Q12403" s="893">
        <f t="shared" ref="Q12403:Q12466" si="1000">IF(P12403=0,0,P12403+Q12404)</f>
        <v>5</v>
      </c>
      <c r="R12403" s="894">
        <f t="shared" ref="R12403:R12466" si="1001">IF(Q12403=0,Q12404,0)</f>
        <v>0</v>
      </c>
    </row>
    <row r="12404" spans="1:18" s="904" customFormat="1">
      <c r="A12404" s="905"/>
      <c r="B12404" s="952"/>
      <c r="C12404" s="907">
        <v>740</v>
      </c>
      <c r="D12404" s="907" t="s">
        <v>12</v>
      </c>
      <c r="E12404" s="992" t="s">
        <v>4008</v>
      </c>
      <c r="F12404" s="905" t="s">
        <v>2674</v>
      </c>
      <c r="G12404" s="1005"/>
      <c r="H12404" s="911">
        <v>3</v>
      </c>
      <c r="I12404" s="912"/>
      <c r="J12404" s="912"/>
      <c r="K12404" s="912">
        <f>VLOOKUP(E12404,[5]ĐMNC!$A$7:$F$67,4,0)</f>
        <v>221125</v>
      </c>
      <c r="L12404" s="912">
        <f>H12404*K12404</f>
        <v>663375</v>
      </c>
      <c r="M12404" s="912"/>
      <c r="N12404" s="912"/>
      <c r="O12404" s="892">
        <f t="shared" si="996"/>
        <v>0</v>
      </c>
      <c r="P12404" s="903">
        <f t="shared" si="999"/>
        <v>1</v>
      </c>
      <c r="Q12404" s="893">
        <f t="shared" si="1000"/>
        <v>4</v>
      </c>
      <c r="R12404" s="894">
        <f t="shared" si="1001"/>
        <v>0</v>
      </c>
    </row>
    <row r="12405" spans="1:18">
      <c r="A12405" s="895"/>
      <c r="B12405" s="896"/>
      <c r="C12405" s="897"/>
      <c r="D12405" s="897"/>
      <c r="E12405" s="1002" t="s">
        <v>3914</v>
      </c>
      <c r="F12405" s="1003"/>
      <c r="G12405" s="1004"/>
      <c r="H12405" s="901"/>
      <c r="I12405" s="902"/>
      <c r="J12405" s="902"/>
      <c r="K12405" s="912" t="s">
        <v>274</v>
      </c>
      <c r="L12405" s="902"/>
      <c r="M12405" s="902"/>
      <c r="N12405" s="902"/>
      <c r="O12405" s="892">
        <f t="shared" si="996"/>
        <v>0</v>
      </c>
      <c r="P12405" s="903">
        <f t="shared" si="999"/>
        <v>1</v>
      </c>
      <c r="Q12405" s="893">
        <f t="shared" si="1000"/>
        <v>3</v>
      </c>
      <c r="R12405" s="894">
        <f t="shared" si="1001"/>
        <v>0</v>
      </c>
    </row>
    <row r="12406" spans="1:18">
      <c r="A12406" s="905"/>
      <c r="B12406" s="952" t="s">
        <v>7136</v>
      </c>
      <c r="C12406" s="907">
        <v>909</v>
      </c>
      <c r="D12406" s="907" t="s">
        <v>93</v>
      </c>
      <c r="E12406" s="992" t="s">
        <v>7137</v>
      </c>
      <c r="F12406" s="905" t="s">
        <v>2673</v>
      </c>
      <c r="G12406" s="1005"/>
      <c r="H12406" s="911">
        <v>0.02</v>
      </c>
      <c r="I12406" s="912"/>
      <c r="J12406" s="912"/>
      <c r="K12406" s="912"/>
      <c r="L12406" s="912"/>
      <c r="M12406" s="912">
        <f>VLOOKUP(B12406,MTC!$B$9:$S$933,12,0)</f>
        <v>0</v>
      </c>
      <c r="N12406" s="912">
        <f>M12406*H12406</f>
        <v>0</v>
      </c>
      <c r="O12406" s="892">
        <f t="shared" si="996"/>
        <v>0</v>
      </c>
      <c r="P12406" s="903">
        <f t="shared" si="999"/>
        <v>1</v>
      </c>
      <c r="Q12406" s="893">
        <f t="shared" si="1000"/>
        <v>2</v>
      </c>
      <c r="R12406" s="894">
        <f t="shared" si="1001"/>
        <v>0</v>
      </c>
    </row>
    <row r="12407" spans="1:18" s="904" customFormat="1">
      <c r="A12407" s="905"/>
      <c r="B12407" s="952" t="s">
        <v>6879</v>
      </c>
      <c r="C12407" s="907">
        <v>910</v>
      </c>
      <c r="D12407" s="907" t="s">
        <v>93</v>
      </c>
      <c r="E12407" s="992" t="s">
        <v>6880</v>
      </c>
      <c r="F12407" s="905" t="s">
        <v>2673</v>
      </c>
      <c r="G12407" s="1005"/>
      <c r="H12407" s="911">
        <v>1</v>
      </c>
      <c r="I12407" s="912"/>
      <c r="J12407" s="912"/>
      <c r="K12407" s="912"/>
      <c r="L12407" s="912"/>
      <c r="M12407" s="912">
        <f>VLOOKUP(B12407,MTC!$B$9:$S$933,12,0)</f>
        <v>47752</v>
      </c>
      <c r="N12407" s="912">
        <f>M12407*H12407</f>
        <v>47752</v>
      </c>
      <c r="O12407" s="892">
        <f t="shared" si="996"/>
        <v>0</v>
      </c>
      <c r="P12407" s="903">
        <f t="shared" si="999"/>
        <v>1</v>
      </c>
      <c r="Q12407" s="893">
        <f t="shared" si="1000"/>
        <v>1</v>
      </c>
      <c r="R12407" s="894">
        <f t="shared" si="1001"/>
        <v>0</v>
      </c>
    </row>
    <row r="12408" spans="1:18">
      <c r="A12408" s="905">
        <v>670</v>
      </c>
      <c r="B12408" s="1018" t="s">
        <v>7146</v>
      </c>
      <c r="C12408" s="915"/>
      <c r="D12408" s="915"/>
      <c r="E12408" s="1006" t="s">
        <v>7147</v>
      </c>
      <c r="F12408" s="917" t="s">
        <v>1206</v>
      </c>
      <c r="G12408" s="1008"/>
      <c r="H12408" s="919"/>
      <c r="I12408" s="920"/>
      <c r="J12408" s="891">
        <f>SUM(J12409:J12420)</f>
        <v>133012</v>
      </c>
      <c r="K12408" s="891"/>
      <c r="L12408" s="891">
        <f>SUM(L12409:L12420)</f>
        <v>747402.5</v>
      </c>
      <c r="M12408" s="891"/>
      <c r="N12408" s="891">
        <f>SUM(N12409:N12420)</f>
        <v>53959.759999999995</v>
      </c>
      <c r="O12408" s="892">
        <f t="shared" si="996"/>
        <v>1</v>
      </c>
      <c r="P12408" s="903">
        <f t="shared" si="999"/>
        <v>0</v>
      </c>
      <c r="Q12408" s="893">
        <f t="shared" si="1000"/>
        <v>0</v>
      </c>
      <c r="R12408" s="894">
        <f t="shared" si="1001"/>
        <v>12</v>
      </c>
    </row>
    <row r="12409" spans="1:18" s="847" customFormat="1">
      <c r="A12409" s="895"/>
      <c r="B12409" s="896"/>
      <c r="C12409" s="897"/>
      <c r="D12409" s="897"/>
      <c r="E12409" s="1002" t="s">
        <v>108</v>
      </c>
      <c r="F12409" s="1003"/>
      <c r="G12409" s="1004"/>
      <c r="H12409" s="901"/>
      <c r="I12409" s="902"/>
      <c r="J12409" s="902"/>
      <c r="K12409" s="912" t="s">
        <v>274</v>
      </c>
      <c r="L12409" s="902"/>
      <c r="M12409" s="902"/>
      <c r="N12409" s="902"/>
      <c r="O12409" s="892">
        <f t="shared" si="996"/>
        <v>0</v>
      </c>
      <c r="P12409" s="903">
        <f t="shared" si="999"/>
        <v>1</v>
      </c>
      <c r="Q12409" s="893">
        <f t="shared" si="1000"/>
        <v>12</v>
      </c>
      <c r="R12409" s="894">
        <f t="shared" si="1001"/>
        <v>0</v>
      </c>
    </row>
    <row r="12410" spans="1:18" s="904" customFormat="1">
      <c r="A12410" s="905"/>
      <c r="B12410" s="952"/>
      <c r="C12410" s="907">
        <v>318</v>
      </c>
      <c r="D12410" s="907" t="s">
        <v>279</v>
      </c>
      <c r="E12410" s="992" t="s">
        <v>5657</v>
      </c>
      <c r="F12410" s="905" t="s">
        <v>45</v>
      </c>
      <c r="G12410" s="1005"/>
      <c r="H12410" s="911">
        <v>0.4</v>
      </c>
      <c r="I12410" s="912">
        <f>VLOOKUP(E12410,[3]VLP!$B$7:$K$300,10,0)</f>
        <v>25155</v>
      </c>
      <c r="J12410" s="912">
        <f t="shared" ref="J12410:J12415" si="1002">I12410*H12410</f>
        <v>10062</v>
      </c>
      <c r="K12410" s="912" t="s">
        <v>274</v>
      </c>
      <c r="L12410" s="912"/>
      <c r="M12410" s="912"/>
      <c r="N12410" s="912"/>
      <c r="O12410" s="892">
        <f t="shared" si="996"/>
        <v>0</v>
      </c>
      <c r="P12410" s="903">
        <f t="shared" si="999"/>
        <v>1</v>
      </c>
      <c r="Q12410" s="893">
        <f t="shared" si="1000"/>
        <v>11</v>
      </c>
      <c r="R12410" s="894">
        <f t="shared" si="1001"/>
        <v>0</v>
      </c>
    </row>
    <row r="12411" spans="1:18">
      <c r="A12411" s="905"/>
      <c r="B12411" s="952"/>
      <c r="C12411" s="907">
        <v>313</v>
      </c>
      <c r="D12411" s="907" t="s">
        <v>279</v>
      </c>
      <c r="E12411" s="992" t="s">
        <v>3267</v>
      </c>
      <c r="F12411" s="905" t="s">
        <v>45</v>
      </c>
      <c r="G12411" s="1005"/>
      <c r="H12411" s="911">
        <v>0.65</v>
      </c>
      <c r="I12411" s="912">
        <f>VLOOKUP(E12411,[3]VLP!$B$7:$K$300,10,0)</f>
        <v>30000</v>
      </c>
      <c r="J12411" s="912">
        <f t="shared" si="1002"/>
        <v>19500</v>
      </c>
      <c r="K12411" s="912" t="s">
        <v>274</v>
      </c>
      <c r="L12411" s="912"/>
      <c r="M12411" s="912"/>
      <c r="N12411" s="912"/>
      <c r="O12411" s="892">
        <f t="shared" si="996"/>
        <v>0</v>
      </c>
      <c r="P12411" s="903">
        <f t="shared" si="999"/>
        <v>1</v>
      </c>
      <c r="Q12411" s="893">
        <f t="shared" si="1000"/>
        <v>10</v>
      </c>
      <c r="R12411" s="894">
        <f t="shared" si="1001"/>
        <v>0</v>
      </c>
    </row>
    <row r="12412" spans="1:18">
      <c r="A12412" s="905"/>
      <c r="B12412" s="952"/>
      <c r="C12412" s="907">
        <v>235</v>
      </c>
      <c r="D12412" s="907" t="s">
        <v>279</v>
      </c>
      <c r="E12412" s="992" t="s">
        <v>2682</v>
      </c>
      <c r="F12412" s="905" t="s">
        <v>45</v>
      </c>
      <c r="G12412" s="1005"/>
      <c r="H12412" s="911">
        <v>0.15</v>
      </c>
      <c r="I12412" s="912">
        <f>VLOOKUP(E12412,[3]VLP!$B$7:$K$300,10,0)</f>
        <v>5000</v>
      </c>
      <c r="J12412" s="912">
        <f t="shared" si="1002"/>
        <v>750</v>
      </c>
      <c r="K12412" s="912" t="s">
        <v>274</v>
      </c>
      <c r="L12412" s="912"/>
      <c r="M12412" s="912"/>
      <c r="N12412" s="912"/>
      <c r="O12412" s="892">
        <f t="shared" si="996"/>
        <v>0</v>
      </c>
      <c r="P12412" s="903">
        <f t="shared" si="999"/>
        <v>1</v>
      </c>
      <c r="Q12412" s="893">
        <f t="shared" si="1000"/>
        <v>9</v>
      </c>
      <c r="R12412" s="894">
        <f t="shared" si="1001"/>
        <v>0</v>
      </c>
    </row>
    <row r="12413" spans="1:18" s="904" customFormat="1">
      <c r="A12413" s="905"/>
      <c r="B12413" s="952"/>
      <c r="C12413" s="907">
        <v>205</v>
      </c>
      <c r="D12413" s="907" t="s">
        <v>279</v>
      </c>
      <c r="E12413" s="992" t="s">
        <v>7135</v>
      </c>
      <c r="F12413" s="905" t="s">
        <v>139</v>
      </c>
      <c r="G12413" s="1005"/>
      <c r="H12413" s="911">
        <v>40</v>
      </c>
      <c r="I12413" s="912">
        <f>VLOOKUP(E12413,[3]VLP!$B$7:$K$300,10,0)</f>
        <v>2000</v>
      </c>
      <c r="J12413" s="912">
        <f t="shared" si="1002"/>
        <v>80000</v>
      </c>
      <c r="K12413" s="912" t="s">
        <v>274</v>
      </c>
      <c r="L12413" s="912"/>
      <c r="M12413" s="912"/>
      <c r="N12413" s="912"/>
      <c r="O12413" s="892">
        <f t="shared" si="996"/>
        <v>0</v>
      </c>
      <c r="P12413" s="903">
        <f t="shared" si="999"/>
        <v>1</v>
      </c>
      <c r="Q12413" s="893">
        <f t="shared" si="1000"/>
        <v>8</v>
      </c>
      <c r="R12413" s="894">
        <f t="shared" si="1001"/>
        <v>0</v>
      </c>
    </row>
    <row r="12414" spans="1:18">
      <c r="A12414" s="905"/>
      <c r="B12414" s="952"/>
      <c r="C12414" s="907">
        <v>212</v>
      </c>
      <c r="D12414" s="907" t="s">
        <v>279</v>
      </c>
      <c r="E12414" s="992" t="s">
        <v>2681</v>
      </c>
      <c r="F12414" s="905" t="s">
        <v>45</v>
      </c>
      <c r="G12414" s="1005"/>
      <c r="H12414" s="911">
        <v>0.5</v>
      </c>
      <c r="I12414" s="912">
        <f>VLOOKUP(E12414,[3]VLP!$B$7:$K$300,10,0)</f>
        <v>23000</v>
      </c>
      <c r="J12414" s="912">
        <f t="shared" si="1002"/>
        <v>11500</v>
      </c>
      <c r="K12414" s="912" t="s">
        <v>274</v>
      </c>
      <c r="L12414" s="912"/>
      <c r="M12414" s="912"/>
      <c r="N12414" s="912"/>
      <c r="O12414" s="892">
        <f t="shared" si="996"/>
        <v>0</v>
      </c>
      <c r="P12414" s="903">
        <f t="shared" si="999"/>
        <v>1</v>
      </c>
      <c r="Q12414" s="893">
        <f t="shared" si="1000"/>
        <v>7</v>
      </c>
      <c r="R12414" s="894">
        <f t="shared" si="1001"/>
        <v>0</v>
      </c>
    </row>
    <row r="12415" spans="1:18" s="847" customFormat="1">
      <c r="A12415" s="905"/>
      <c r="B12415" s="952"/>
      <c r="C12415" s="907">
        <v>234</v>
      </c>
      <c r="D12415" s="907" t="s">
        <v>279</v>
      </c>
      <c r="E12415" s="992" t="s">
        <v>5983</v>
      </c>
      <c r="F12415" s="905" t="s">
        <v>3144</v>
      </c>
      <c r="G12415" s="1005"/>
      <c r="H12415" s="911">
        <v>0.8</v>
      </c>
      <c r="I12415" s="912">
        <f>VLOOKUP(E12415,[3]VLP!$B$7:$K$300,10,0)</f>
        <v>14000</v>
      </c>
      <c r="J12415" s="912">
        <f t="shared" si="1002"/>
        <v>11200</v>
      </c>
      <c r="K12415" s="912" t="s">
        <v>274</v>
      </c>
      <c r="L12415" s="912"/>
      <c r="M12415" s="912"/>
      <c r="N12415" s="912"/>
      <c r="O12415" s="892">
        <f t="shared" si="996"/>
        <v>0</v>
      </c>
      <c r="P12415" s="903">
        <f t="shared" si="999"/>
        <v>1</v>
      </c>
      <c r="Q12415" s="893">
        <f t="shared" si="1000"/>
        <v>6</v>
      </c>
      <c r="R12415" s="894">
        <f t="shared" si="1001"/>
        <v>0</v>
      </c>
    </row>
    <row r="12416" spans="1:18" s="904" customFormat="1">
      <c r="A12416" s="895"/>
      <c r="B12416" s="896"/>
      <c r="C12416" s="897"/>
      <c r="D12416" s="897"/>
      <c r="E12416" s="1002" t="s">
        <v>276</v>
      </c>
      <c r="F12416" s="1003"/>
      <c r="G12416" s="1004"/>
      <c r="H12416" s="901"/>
      <c r="I12416" s="902"/>
      <c r="J12416" s="902"/>
      <c r="K12416" s="912" t="s">
        <v>274</v>
      </c>
      <c r="L12416" s="902"/>
      <c r="M12416" s="902"/>
      <c r="N12416" s="902"/>
      <c r="O12416" s="892">
        <f t="shared" si="996"/>
        <v>0</v>
      </c>
      <c r="P12416" s="903">
        <f t="shared" si="999"/>
        <v>1</v>
      </c>
      <c r="Q12416" s="893">
        <f t="shared" si="1000"/>
        <v>5</v>
      </c>
      <c r="R12416" s="894">
        <f t="shared" si="1001"/>
        <v>0</v>
      </c>
    </row>
    <row r="12417" spans="1:18">
      <c r="A12417" s="905"/>
      <c r="B12417" s="952"/>
      <c r="C12417" s="907">
        <v>740</v>
      </c>
      <c r="D12417" s="907" t="s">
        <v>12</v>
      </c>
      <c r="E12417" s="992" t="s">
        <v>4008</v>
      </c>
      <c r="F12417" s="905" t="s">
        <v>2674</v>
      </c>
      <c r="G12417" s="1005"/>
      <c r="H12417" s="911">
        <v>3.38</v>
      </c>
      <c r="I12417" s="912"/>
      <c r="J12417" s="912"/>
      <c r="K12417" s="912">
        <f>VLOOKUP(E12417,[5]ĐMNC!$A$7:$F$67,4,0)</f>
        <v>221125</v>
      </c>
      <c r="L12417" s="912">
        <f>H12417*K12417</f>
        <v>747402.5</v>
      </c>
      <c r="M12417" s="912"/>
      <c r="N12417" s="912"/>
      <c r="O12417" s="892">
        <f t="shared" si="996"/>
        <v>0</v>
      </c>
      <c r="P12417" s="903">
        <f t="shared" si="999"/>
        <v>1</v>
      </c>
      <c r="Q12417" s="893">
        <f t="shared" si="1000"/>
        <v>4</v>
      </c>
      <c r="R12417" s="894">
        <f t="shared" si="1001"/>
        <v>0</v>
      </c>
    </row>
    <row r="12418" spans="1:18">
      <c r="A12418" s="895"/>
      <c r="B12418" s="896"/>
      <c r="C12418" s="897"/>
      <c r="D12418" s="897"/>
      <c r="E12418" s="1002" t="s">
        <v>3914</v>
      </c>
      <c r="F12418" s="1003"/>
      <c r="G12418" s="1004"/>
      <c r="H12418" s="901"/>
      <c r="I12418" s="902"/>
      <c r="J12418" s="902"/>
      <c r="K12418" s="912" t="s">
        <v>274</v>
      </c>
      <c r="L12418" s="902"/>
      <c r="M12418" s="902"/>
      <c r="N12418" s="902"/>
      <c r="O12418" s="892">
        <f t="shared" si="996"/>
        <v>0</v>
      </c>
      <c r="P12418" s="903">
        <f t="shared" si="999"/>
        <v>1</v>
      </c>
      <c r="Q12418" s="893">
        <f t="shared" si="1000"/>
        <v>3</v>
      </c>
      <c r="R12418" s="894">
        <f t="shared" si="1001"/>
        <v>0</v>
      </c>
    </row>
    <row r="12419" spans="1:18" s="904" customFormat="1">
      <c r="A12419" s="905"/>
      <c r="B12419" s="952" t="s">
        <v>7136</v>
      </c>
      <c r="C12419" s="907">
        <v>909</v>
      </c>
      <c r="D12419" s="907" t="s">
        <v>93</v>
      </c>
      <c r="E12419" s="992" t="s">
        <v>7137</v>
      </c>
      <c r="F12419" s="905" t="s">
        <v>2673</v>
      </c>
      <c r="G12419" s="1005"/>
      <c r="H12419" s="911">
        <v>0.02</v>
      </c>
      <c r="I12419" s="912"/>
      <c r="J12419" s="912"/>
      <c r="K12419" s="912"/>
      <c r="L12419" s="912"/>
      <c r="M12419" s="912">
        <f>VLOOKUP(B12419,MTC!$B$9:$S$933,12,0)</f>
        <v>0</v>
      </c>
      <c r="N12419" s="912">
        <f>M12419*H12419</f>
        <v>0</v>
      </c>
      <c r="O12419" s="892">
        <f t="shared" si="996"/>
        <v>0</v>
      </c>
      <c r="P12419" s="903">
        <f t="shared" si="999"/>
        <v>1</v>
      </c>
      <c r="Q12419" s="893">
        <f t="shared" si="1000"/>
        <v>2</v>
      </c>
      <c r="R12419" s="894">
        <f t="shared" si="1001"/>
        <v>0</v>
      </c>
    </row>
    <row r="12420" spans="1:18">
      <c r="A12420" s="905"/>
      <c r="B12420" s="952" t="s">
        <v>6879</v>
      </c>
      <c r="C12420" s="907">
        <v>910</v>
      </c>
      <c r="D12420" s="907" t="s">
        <v>93</v>
      </c>
      <c r="E12420" s="992" t="s">
        <v>6880</v>
      </c>
      <c r="F12420" s="905" t="s">
        <v>2673</v>
      </c>
      <c r="G12420" s="1005"/>
      <c r="H12420" s="911">
        <v>1.1299999999999999</v>
      </c>
      <c r="I12420" s="912"/>
      <c r="J12420" s="912"/>
      <c r="K12420" s="912"/>
      <c r="L12420" s="912"/>
      <c r="M12420" s="912">
        <f>VLOOKUP(B12420,MTC!$B$9:$S$933,12,0)</f>
        <v>47752</v>
      </c>
      <c r="N12420" s="912">
        <f>M12420*H12420</f>
        <v>53959.759999999995</v>
      </c>
      <c r="O12420" s="892">
        <f t="shared" si="996"/>
        <v>0</v>
      </c>
      <c r="P12420" s="903">
        <f t="shared" si="999"/>
        <v>1</v>
      </c>
      <c r="Q12420" s="893">
        <f t="shared" si="1000"/>
        <v>1</v>
      </c>
      <c r="R12420" s="894">
        <f t="shared" si="1001"/>
        <v>0</v>
      </c>
    </row>
    <row r="12421" spans="1:18" s="847" customFormat="1">
      <c r="A12421" s="905" t="s">
        <v>7132</v>
      </c>
      <c r="B12421" s="1018" t="s">
        <v>7148</v>
      </c>
      <c r="C12421" s="915"/>
      <c r="D12421" s="915"/>
      <c r="E12421" s="1006" t="s">
        <v>7149</v>
      </c>
      <c r="F12421" s="917" t="s">
        <v>1206</v>
      </c>
      <c r="G12421" s="1008"/>
      <c r="H12421" s="919"/>
      <c r="I12421" s="920"/>
      <c r="J12421" s="962">
        <f>SUM(J12422:J12431)</f>
        <v>120050</v>
      </c>
      <c r="K12421" s="891" t="s">
        <v>274</v>
      </c>
      <c r="L12421" s="962">
        <f>SUM(L12422:L12431)</f>
        <v>581558.75</v>
      </c>
      <c r="M12421" s="962"/>
      <c r="N12421" s="962">
        <f>SUM(N12422:N12431)</f>
        <v>42021.760000000002</v>
      </c>
      <c r="O12421" s="892">
        <f t="shared" si="996"/>
        <v>1</v>
      </c>
      <c r="P12421" s="903">
        <f t="shared" si="999"/>
        <v>0</v>
      </c>
      <c r="Q12421" s="893">
        <f t="shared" si="1000"/>
        <v>0</v>
      </c>
      <c r="R12421" s="894">
        <f t="shared" si="1001"/>
        <v>10</v>
      </c>
    </row>
    <row r="12422" spans="1:18" s="904" customFormat="1">
      <c r="A12422" s="895"/>
      <c r="B12422" s="896"/>
      <c r="C12422" s="897"/>
      <c r="D12422" s="897"/>
      <c r="E12422" s="1002" t="s">
        <v>108</v>
      </c>
      <c r="F12422" s="1003"/>
      <c r="G12422" s="1004"/>
      <c r="H12422" s="901"/>
      <c r="I12422" s="902"/>
      <c r="J12422" s="902"/>
      <c r="K12422" s="912" t="s">
        <v>274</v>
      </c>
      <c r="L12422" s="902"/>
      <c r="M12422" s="902"/>
      <c r="N12422" s="902"/>
      <c r="O12422" s="892">
        <f t="shared" si="996"/>
        <v>0</v>
      </c>
      <c r="P12422" s="903">
        <f t="shared" si="999"/>
        <v>1</v>
      </c>
      <c r="Q12422" s="893">
        <f t="shared" si="1000"/>
        <v>10</v>
      </c>
      <c r="R12422" s="894">
        <f t="shared" si="1001"/>
        <v>0</v>
      </c>
    </row>
    <row r="12423" spans="1:18">
      <c r="A12423" s="905"/>
      <c r="B12423" s="952"/>
      <c r="C12423" s="907">
        <v>313</v>
      </c>
      <c r="D12423" s="907" t="s">
        <v>279</v>
      </c>
      <c r="E12423" s="992" t="s">
        <v>3267</v>
      </c>
      <c r="F12423" s="905" t="s">
        <v>45</v>
      </c>
      <c r="G12423" s="1005"/>
      <c r="H12423" s="911">
        <v>0.6</v>
      </c>
      <c r="I12423" s="912">
        <f>VLOOKUP(E12423,[3]VLP!$B$7:$K$300,10,0)</f>
        <v>30000</v>
      </c>
      <c r="J12423" s="912">
        <f>I12423*H12423</f>
        <v>18000</v>
      </c>
      <c r="K12423" s="912" t="s">
        <v>274</v>
      </c>
      <c r="L12423" s="912"/>
      <c r="M12423" s="912"/>
      <c r="N12423" s="912"/>
      <c r="O12423" s="892">
        <f t="shared" si="996"/>
        <v>0</v>
      </c>
      <c r="P12423" s="903">
        <f t="shared" si="999"/>
        <v>1</v>
      </c>
      <c r="Q12423" s="893">
        <f t="shared" si="1000"/>
        <v>9</v>
      </c>
      <c r="R12423" s="894">
        <f t="shared" si="1001"/>
        <v>0</v>
      </c>
    </row>
    <row r="12424" spans="1:18">
      <c r="A12424" s="905"/>
      <c r="B12424" s="952"/>
      <c r="C12424" s="907">
        <v>235</v>
      </c>
      <c r="D12424" s="907" t="s">
        <v>279</v>
      </c>
      <c r="E12424" s="992" t="s">
        <v>2682</v>
      </c>
      <c r="F12424" s="905" t="s">
        <v>45</v>
      </c>
      <c r="G12424" s="1005"/>
      <c r="H12424" s="911">
        <v>0.15</v>
      </c>
      <c r="I12424" s="912">
        <f>VLOOKUP(E12424,[3]VLP!$B$7:$K$300,10,0)</f>
        <v>5000</v>
      </c>
      <c r="J12424" s="912">
        <f>I12424*H12424</f>
        <v>750</v>
      </c>
      <c r="K12424" s="912" t="s">
        <v>274</v>
      </c>
      <c r="L12424" s="912"/>
      <c r="M12424" s="912"/>
      <c r="N12424" s="912"/>
      <c r="O12424" s="892">
        <f t="shared" si="996"/>
        <v>0</v>
      </c>
      <c r="P12424" s="903">
        <f t="shared" si="999"/>
        <v>1</v>
      </c>
      <c r="Q12424" s="893">
        <f t="shared" si="1000"/>
        <v>8</v>
      </c>
      <c r="R12424" s="894">
        <f t="shared" si="1001"/>
        <v>0</v>
      </c>
    </row>
    <row r="12425" spans="1:18" s="904" customFormat="1">
      <c r="A12425" s="905"/>
      <c r="B12425" s="952"/>
      <c r="C12425" s="907">
        <v>205</v>
      </c>
      <c r="D12425" s="907" t="s">
        <v>279</v>
      </c>
      <c r="E12425" s="992" t="s">
        <v>7135</v>
      </c>
      <c r="F12425" s="905" t="s">
        <v>139</v>
      </c>
      <c r="G12425" s="1005"/>
      <c r="H12425" s="911">
        <v>40</v>
      </c>
      <c r="I12425" s="912">
        <f>VLOOKUP(E12425,[3]VLP!$B$7:$K$300,10,0)</f>
        <v>2000</v>
      </c>
      <c r="J12425" s="912">
        <f>I12425*H12425</f>
        <v>80000</v>
      </c>
      <c r="K12425" s="912" t="s">
        <v>274</v>
      </c>
      <c r="L12425" s="912"/>
      <c r="M12425" s="912"/>
      <c r="N12425" s="912"/>
      <c r="O12425" s="892">
        <f t="shared" si="996"/>
        <v>0</v>
      </c>
      <c r="P12425" s="903">
        <f t="shared" si="999"/>
        <v>1</v>
      </c>
      <c r="Q12425" s="893">
        <f t="shared" si="1000"/>
        <v>7</v>
      </c>
      <c r="R12425" s="894">
        <f t="shared" si="1001"/>
        <v>0</v>
      </c>
    </row>
    <row r="12426" spans="1:18">
      <c r="A12426" s="905"/>
      <c r="B12426" s="952"/>
      <c r="C12426" s="907">
        <v>212</v>
      </c>
      <c r="D12426" s="907" t="s">
        <v>279</v>
      </c>
      <c r="E12426" s="992" t="s">
        <v>2681</v>
      </c>
      <c r="F12426" s="905" t="s">
        <v>45</v>
      </c>
      <c r="G12426" s="1005"/>
      <c r="H12426" s="911">
        <v>0.5</v>
      </c>
      <c r="I12426" s="912">
        <f>VLOOKUP(E12426,[3]VLP!$B$7:$K$300,10,0)</f>
        <v>23000</v>
      </c>
      <c r="J12426" s="912">
        <f>I12426*H12426</f>
        <v>11500</v>
      </c>
      <c r="K12426" s="912" t="s">
        <v>274</v>
      </c>
      <c r="L12426" s="912"/>
      <c r="M12426" s="912"/>
      <c r="N12426" s="912"/>
      <c r="O12426" s="892">
        <f t="shared" si="996"/>
        <v>0</v>
      </c>
      <c r="P12426" s="903">
        <f t="shared" si="999"/>
        <v>1</v>
      </c>
      <c r="Q12426" s="893">
        <f t="shared" si="1000"/>
        <v>6</v>
      </c>
      <c r="R12426" s="894">
        <f t="shared" si="1001"/>
        <v>0</v>
      </c>
    </row>
    <row r="12427" spans="1:18" s="847" customFormat="1">
      <c r="A12427" s="905"/>
      <c r="B12427" s="952"/>
      <c r="C12427" s="907">
        <v>234</v>
      </c>
      <c r="D12427" s="907" t="s">
        <v>279</v>
      </c>
      <c r="E12427" s="992" t="s">
        <v>5983</v>
      </c>
      <c r="F12427" s="905" t="s">
        <v>3144</v>
      </c>
      <c r="G12427" s="1005"/>
      <c r="H12427" s="911">
        <v>0.7</v>
      </c>
      <c r="I12427" s="912">
        <f>VLOOKUP(E12427,[3]VLP!$B$7:$K$300,10,0)</f>
        <v>14000</v>
      </c>
      <c r="J12427" s="912">
        <f>I12427*H12427</f>
        <v>9800</v>
      </c>
      <c r="K12427" s="912" t="s">
        <v>274</v>
      </c>
      <c r="L12427" s="912"/>
      <c r="M12427" s="912"/>
      <c r="N12427" s="912"/>
      <c r="O12427" s="892">
        <f t="shared" si="996"/>
        <v>0</v>
      </c>
      <c r="P12427" s="903">
        <f t="shared" si="999"/>
        <v>1</v>
      </c>
      <c r="Q12427" s="893">
        <f t="shared" si="1000"/>
        <v>5</v>
      </c>
      <c r="R12427" s="894">
        <f t="shared" si="1001"/>
        <v>0</v>
      </c>
    </row>
    <row r="12428" spans="1:18" s="904" customFormat="1">
      <c r="A12428" s="895"/>
      <c r="B12428" s="896"/>
      <c r="C12428" s="897"/>
      <c r="D12428" s="897"/>
      <c r="E12428" s="1002" t="s">
        <v>276</v>
      </c>
      <c r="F12428" s="1003"/>
      <c r="G12428" s="1004"/>
      <c r="H12428" s="901"/>
      <c r="I12428" s="902"/>
      <c r="J12428" s="902"/>
      <c r="K12428" s="912" t="s">
        <v>274</v>
      </c>
      <c r="L12428" s="902"/>
      <c r="M12428" s="902"/>
      <c r="N12428" s="902"/>
      <c r="O12428" s="892">
        <f t="shared" si="996"/>
        <v>0</v>
      </c>
      <c r="P12428" s="903">
        <f t="shared" si="999"/>
        <v>1</v>
      </c>
      <c r="Q12428" s="893">
        <f t="shared" si="1000"/>
        <v>4</v>
      </c>
      <c r="R12428" s="894">
        <f t="shared" si="1001"/>
        <v>0</v>
      </c>
    </row>
    <row r="12429" spans="1:18">
      <c r="A12429" s="905"/>
      <c r="B12429" s="952"/>
      <c r="C12429" s="907">
        <v>740</v>
      </c>
      <c r="D12429" s="907" t="s">
        <v>12</v>
      </c>
      <c r="E12429" s="992" t="s">
        <v>4008</v>
      </c>
      <c r="F12429" s="905" t="s">
        <v>2674</v>
      </c>
      <c r="G12429" s="1005"/>
      <c r="H12429" s="911">
        <v>2.63</v>
      </c>
      <c r="I12429" s="912"/>
      <c r="J12429" s="912"/>
      <c r="K12429" s="912">
        <f>VLOOKUP(E12429,[5]ĐMNC!$A$7:$F$67,4,0)</f>
        <v>221125</v>
      </c>
      <c r="L12429" s="912">
        <f>H12429*K12429</f>
        <v>581558.75</v>
      </c>
      <c r="M12429" s="912"/>
      <c r="N12429" s="912"/>
      <c r="O12429" s="892">
        <f t="shared" si="996"/>
        <v>0</v>
      </c>
      <c r="P12429" s="903">
        <f t="shared" si="999"/>
        <v>1</v>
      </c>
      <c r="Q12429" s="893">
        <f t="shared" si="1000"/>
        <v>3</v>
      </c>
      <c r="R12429" s="894">
        <f t="shared" si="1001"/>
        <v>0</v>
      </c>
    </row>
    <row r="12430" spans="1:18">
      <c r="A12430" s="895"/>
      <c r="B12430" s="896"/>
      <c r="C12430" s="897"/>
      <c r="D12430" s="897"/>
      <c r="E12430" s="1002" t="s">
        <v>3914</v>
      </c>
      <c r="F12430" s="1003"/>
      <c r="G12430" s="1004"/>
      <c r="H12430" s="901"/>
      <c r="I12430" s="902"/>
      <c r="J12430" s="902"/>
      <c r="K12430" s="912" t="s">
        <v>274</v>
      </c>
      <c r="L12430" s="902"/>
      <c r="M12430" s="902"/>
      <c r="N12430" s="902"/>
      <c r="O12430" s="892">
        <f t="shared" si="996"/>
        <v>0</v>
      </c>
      <c r="P12430" s="903">
        <f t="shared" si="999"/>
        <v>1</v>
      </c>
      <c r="Q12430" s="893">
        <f t="shared" si="1000"/>
        <v>2</v>
      </c>
      <c r="R12430" s="894">
        <f t="shared" si="1001"/>
        <v>0</v>
      </c>
    </row>
    <row r="12431" spans="1:18" s="904" customFormat="1">
      <c r="A12431" s="905"/>
      <c r="B12431" s="952" t="s">
        <v>6879</v>
      </c>
      <c r="C12431" s="907">
        <v>910</v>
      </c>
      <c r="D12431" s="907" t="s">
        <v>93</v>
      </c>
      <c r="E12431" s="992" t="s">
        <v>6880</v>
      </c>
      <c r="F12431" s="905" t="s">
        <v>2673</v>
      </c>
      <c r="G12431" s="1005"/>
      <c r="H12431" s="911">
        <v>0.88</v>
      </c>
      <c r="I12431" s="912"/>
      <c r="J12431" s="912"/>
      <c r="K12431" s="912"/>
      <c r="L12431" s="912"/>
      <c r="M12431" s="912">
        <f>VLOOKUP(B12431,MTC!$B$9:$S$933,12,0)</f>
        <v>47752</v>
      </c>
      <c r="N12431" s="912">
        <f>M12431*H12431</f>
        <v>42021.760000000002</v>
      </c>
      <c r="O12431" s="892">
        <f t="shared" si="996"/>
        <v>0</v>
      </c>
      <c r="P12431" s="903">
        <f t="shared" si="999"/>
        <v>1</v>
      </c>
      <c r="Q12431" s="893">
        <f t="shared" si="1000"/>
        <v>1</v>
      </c>
      <c r="R12431" s="894">
        <f t="shared" si="1001"/>
        <v>0</v>
      </c>
    </row>
    <row r="12432" spans="1:18">
      <c r="A12432" s="905">
        <v>672</v>
      </c>
      <c r="B12432" s="1018" t="s">
        <v>7150</v>
      </c>
      <c r="C12432" s="915"/>
      <c r="D12432" s="915"/>
      <c r="E12432" s="1006" t="s">
        <v>7151</v>
      </c>
      <c r="F12432" s="917" t="s">
        <v>1206</v>
      </c>
      <c r="G12432" s="1008"/>
      <c r="H12432" s="919"/>
      <c r="I12432" s="920"/>
      <c r="J12432" s="962">
        <f>SUM(J12433:J12442)</f>
        <v>122950</v>
      </c>
      <c r="K12432" s="891" t="s">
        <v>274</v>
      </c>
      <c r="L12432" s="962">
        <f>SUM(L12433:L12442)</f>
        <v>729712.5</v>
      </c>
      <c r="M12432" s="962"/>
      <c r="N12432" s="962">
        <f>SUM(N12433:N12442)</f>
        <v>52527.200000000004</v>
      </c>
      <c r="O12432" s="892">
        <f t="shared" si="996"/>
        <v>1</v>
      </c>
      <c r="P12432" s="903">
        <f t="shared" si="999"/>
        <v>0</v>
      </c>
      <c r="Q12432" s="893">
        <f t="shared" si="1000"/>
        <v>0</v>
      </c>
      <c r="R12432" s="894">
        <f t="shared" si="1001"/>
        <v>10</v>
      </c>
    </row>
    <row r="12433" spans="1:18" s="847" customFormat="1">
      <c r="A12433" s="895"/>
      <c r="B12433" s="896"/>
      <c r="C12433" s="897"/>
      <c r="D12433" s="897"/>
      <c r="E12433" s="1002" t="s">
        <v>108</v>
      </c>
      <c r="F12433" s="1003"/>
      <c r="G12433" s="1004"/>
      <c r="H12433" s="901"/>
      <c r="I12433" s="902"/>
      <c r="J12433" s="902"/>
      <c r="K12433" s="912" t="s">
        <v>274</v>
      </c>
      <c r="L12433" s="902"/>
      <c r="M12433" s="902"/>
      <c r="N12433" s="902"/>
      <c r="O12433" s="892">
        <f t="shared" si="996"/>
        <v>0</v>
      </c>
      <c r="P12433" s="903">
        <f t="shared" si="999"/>
        <v>1</v>
      </c>
      <c r="Q12433" s="893">
        <f t="shared" si="1000"/>
        <v>10</v>
      </c>
      <c r="R12433" s="894">
        <f t="shared" si="1001"/>
        <v>0</v>
      </c>
    </row>
    <row r="12434" spans="1:18" s="904" customFormat="1">
      <c r="A12434" s="905"/>
      <c r="B12434" s="952"/>
      <c r="C12434" s="907">
        <v>313</v>
      </c>
      <c r="D12434" s="907" t="s">
        <v>279</v>
      </c>
      <c r="E12434" s="992" t="s">
        <v>3267</v>
      </c>
      <c r="F12434" s="905" t="s">
        <v>45</v>
      </c>
      <c r="G12434" s="1005"/>
      <c r="H12434" s="911">
        <v>0.65</v>
      </c>
      <c r="I12434" s="912">
        <f>VLOOKUP(E12434,[3]VLP!$B$7:$K$300,10,0)</f>
        <v>30000</v>
      </c>
      <c r="J12434" s="912">
        <f>I12434*H12434</f>
        <v>19500</v>
      </c>
      <c r="K12434" s="912" t="s">
        <v>274</v>
      </c>
      <c r="L12434" s="912"/>
      <c r="M12434" s="912"/>
      <c r="N12434" s="912"/>
      <c r="O12434" s="892">
        <f t="shared" si="996"/>
        <v>0</v>
      </c>
      <c r="P12434" s="903">
        <f t="shared" si="999"/>
        <v>1</v>
      </c>
      <c r="Q12434" s="893">
        <f t="shared" si="1000"/>
        <v>9</v>
      </c>
      <c r="R12434" s="894">
        <f t="shared" si="1001"/>
        <v>0</v>
      </c>
    </row>
    <row r="12435" spans="1:18">
      <c r="A12435" s="905"/>
      <c r="B12435" s="952"/>
      <c r="C12435" s="907">
        <v>235</v>
      </c>
      <c r="D12435" s="907" t="s">
        <v>279</v>
      </c>
      <c r="E12435" s="992" t="s">
        <v>2682</v>
      </c>
      <c r="F12435" s="905" t="s">
        <v>45</v>
      </c>
      <c r="G12435" s="1005"/>
      <c r="H12435" s="911">
        <v>0.15</v>
      </c>
      <c r="I12435" s="912">
        <f>VLOOKUP(E12435,[3]VLP!$B$7:$K$300,10,0)</f>
        <v>5000</v>
      </c>
      <c r="J12435" s="912">
        <f>I12435*H12435</f>
        <v>750</v>
      </c>
      <c r="K12435" s="912" t="s">
        <v>274</v>
      </c>
      <c r="L12435" s="912"/>
      <c r="M12435" s="912"/>
      <c r="N12435" s="912"/>
      <c r="O12435" s="892">
        <f t="shared" si="996"/>
        <v>0</v>
      </c>
      <c r="P12435" s="903">
        <f t="shared" si="999"/>
        <v>1</v>
      </c>
      <c r="Q12435" s="893">
        <f t="shared" si="1000"/>
        <v>8</v>
      </c>
      <c r="R12435" s="894">
        <f t="shared" si="1001"/>
        <v>0</v>
      </c>
    </row>
    <row r="12436" spans="1:18">
      <c r="A12436" s="905"/>
      <c r="B12436" s="952"/>
      <c r="C12436" s="907">
        <v>205</v>
      </c>
      <c r="D12436" s="907" t="s">
        <v>279</v>
      </c>
      <c r="E12436" s="992" t="s">
        <v>7135</v>
      </c>
      <c r="F12436" s="905" t="s">
        <v>139</v>
      </c>
      <c r="G12436" s="1005"/>
      <c r="H12436" s="911">
        <v>40</v>
      </c>
      <c r="I12436" s="912">
        <f>VLOOKUP(E12436,[3]VLP!$B$7:$K$300,10,0)</f>
        <v>2000</v>
      </c>
      <c r="J12436" s="912">
        <f>I12436*H12436</f>
        <v>80000</v>
      </c>
      <c r="K12436" s="912" t="s">
        <v>274</v>
      </c>
      <c r="L12436" s="912"/>
      <c r="M12436" s="912"/>
      <c r="N12436" s="912"/>
      <c r="O12436" s="892">
        <f t="shared" si="996"/>
        <v>0</v>
      </c>
      <c r="P12436" s="903">
        <f t="shared" si="999"/>
        <v>1</v>
      </c>
      <c r="Q12436" s="893">
        <f t="shared" si="1000"/>
        <v>7</v>
      </c>
      <c r="R12436" s="894">
        <f t="shared" si="1001"/>
        <v>0</v>
      </c>
    </row>
    <row r="12437" spans="1:18" s="904" customFormat="1">
      <c r="A12437" s="905"/>
      <c r="B12437" s="952"/>
      <c r="C12437" s="907">
        <v>212</v>
      </c>
      <c r="D12437" s="907" t="s">
        <v>279</v>
      </c>
      <c r="E12437" s="992" t="s">
        <v>2681</v>
      </c>
      <c r="F12437" s="905" t="s">
        <v>45</v>
      </c>
      <c r="G12437" s="1005"/>
      <c r="H12437" s="911">
        <v>0.5</v>
      </c>
      <c r="I12437" s="912">
        <f>VLOOKUP(E12437,[3]VLP!$B$7:$K$300,10,0)</f>
        <v>23000</v>
      </c>
      <c r="J12437" s="912">
        <f>I12437*H12437</f>
        <v>11500</v>
      </c>
      <c r="K12437" s="912" t="s">
        <v>274</v>
      </c>
      <c r="L12437" s="912"/>
      <c r="M12437" s="912"/>
      <c r="N12437" s="912"/>
      <c r="O12437" s="892">
        <f t="shared" si="996"/>
        <v>0</v>
      </c>
      <c r="P12437" s="903">
        <f t="shared" si="999"/>
        <v>1</v>
      </c>
      <c r="Q12437" s="893">
        <f t="shared" si="1000"/>
        <v>6</v>
      </c>
      <c r="R12437" s="894">
        <f t="shared" si="1001"/>
        <v>0</v>
      </c>
    </row>
    <row r="12438" spans="1:18">
      <c r="A12438" s="905"/>
      <c r="B12438" s="952"/>
      <c r="C12438" s="907">
        <v>234</v>
      </c>
      <c r="D12438" s="907" t="s">
        <v>279</v>
      </c>
      <c r="E12438" s="992" t="s">
        <v>5983</v>
      </c>
      <c r="F12438" s="905" t="s">
        <v>3144</v>
      </c>
      <c r="G12438" s="1005"/>
      <c r="H12438" s="911">
        <v>0.8</v>
      </c>
      <c r="I12438" s="912">
        <f>VLOOKUP(E12438,[3]VLP!$B$7:$K$300,10,0)</f>
        <v>14000</v>
      </c>
      <c r="J12438" s="912">
        <f>I12438*H12438</f>
        <v>11200</v>
      </c>
      <c r="K12438" s="912" t="s">
        <v>274</v>
      </c>
      <c r="L12438" s="912"/>
      <c r="M12438" s="912"/>
      <c r="N12438" s="912"/>
      <c r="O12438" s="892">
        <f t="shared" si="996"/>
        <v>0</v>
      </c>
      <c r="P12438" s="903">
        <f t="shared" si="999"/>
        <v>1</v>
      </c>
      <c r="Q12438" s="893">
        <f t="shared" si="1000"/>
        <v>5</v>
      </c>
      <c r="R12438" s="894">
        <f t="shared" si="1001"/>
        <v>0</v>
      </c>
    </row>
    <row r="12439" spans="1:18" s="847" customFormat="1">
      <c r="A12439" s="895"/>
      <c r="B12439" s="896"/>
      <c r="C12439" s="897"/>
      <c r="D12439" s="897"/>
      <c r="E12439" s="1002" t="s">
        <v>276</v>
      </c>
      <c r="F12439" s="1003"/>
      <c r="G12439" s="1004"/>
      <c r="H12439" s="901"/>
      <c r="I12439" s="902"/>
      <c r="J12439" s="902"/>
      <c r="K12439" s="912" t="s">
        <v>274</v>
      </c>
      <c r="L12439" s="902"/>
      <c r="M12439" s="902"/>
      <c r="N12439" s="902"/>
      <c r="O12439" s="892">
        <f t="shared" si="996"/>
        <v>0</v>
      </c>
      <c r="P12439" s="903">
        <f t="shared" si="999"/>
        <v>1</v>
      </c>
      <c r="Q12439" s="893">
        <f t="shared" si="1000"/>
        <v>4</v>
      </c>
      <c r="R12439" s="894">
        <f t="shared" si="1001"/>
        <v>0</v>
      </c>
    </row>
    <row r="12440" spans="1:18" s="904" customFormat="1">
      <c r="A12440" s="905"/>
      <c r="B12440" s="952"/>
      <c r="C12440" s="907">
        <v>740</v>
      </c>
      <c r="D12440" s="907" t="s">
        <v>12</v>
      </c>
      <c r="E12440" s="992" t="s">
        <v>4008</v>
      </c>
      <c r="F12440" s="905" t="s">
        <v>2674</v>
      </c>
      <c r="G12440" s="1005"/>
      <c r="H12440" s="911">
        <v>3.3</v>
      </c>
      <c r="I12440" s="912"/>
      <c r="J12440" s="912"/>
      <c r="K12440" s="912">
        <f>VLOOKUP(E12440,[5]ĐMNC!$A$7:$F$67,4,0)</f>
        <v>221125</v>
      </c>
      <c r="L12440" s="912">
        <f>H12440*K12440</f>
        <v>729712.5</v>
      </c>
      <c r="M12440" s="912"/>
      <c r="N12440" s="912"/>
      <c r="O12440" s="892">
        <f t="shared" si="996"/>
        <v>0</v>
      </c>
      <c r="P12440" s="903">
        <f t="shared" si="999"/>
        <v>1</v>
      </c>
      <c r="Q12440" s="893">
        <f t="shared" si="1000"/>
        <v>3</v>
      </c>
      <c r="R12440" s="894">
        <f t="shared" si="1001"/>
        <v>0</v>
      </c>
    </row>
    <row r="12441" spans="1:18">
      <c r="A12441" s="895"/>
      <c r="B12441" s="896"/>
      <c r="C12441" s="897"/>
      <c r="D12441" s="897"/>
      <c r="E12441" s="1002" t="s">
        <v>3914</v>
      </c>
      <c r="F12441" s="1003"/>
      <c r="G12441" s="1004"/>
      <c r="H12441" s="901"/>
      <c r="I12441" s="902"/>
      <c r="J12441" s="902"/>
      <c r="K12441" s="912" t="s">
        <v>274</v>
      </c>
      <c r="L12441" s="902"/>
      <c r="M12441" s="902"/>
      <c r="N12441" s="902"/>
      <c r="O12441" s="892">
        <f t="shared" si="996"/>
        <v>0</v>
      </c>
      <c r="P12441" s="903">
        <f t="shared" si="999"/>
        <v>1</v>
      </c>
      <c r="Q12441" s="893">
        <f t="shared" si="1000"/>
        <v>2</v>
      </c>
      <c r="R12441" s="894">
        <f t="shared" si="1001"/>
        <v>0</v>
      </c>
    </row>
    <row r="12442" spans="1:18">
      <c r="A12442" s="905"/>
      <c r="B12442" s="952" t="s">
        <v>6879</v>
      </c>
      <c r="C12442" s="907">
        <v>910</v>
      </c>
      <c r="D12442" s="907" t="s">
        <v>93</v>
      </c>
      <c r="E12442" s="992" t="s">
        <v>6880</v>
      </c>
      <c r="F12442" s="905" t="s">
        <v>2673</v>
      </c>
      <c r="G12442" s="1005"/>
      <c r="H12442" s="911">
        <v>1.1000000000000001</v>
      </c>
      <c r="I12442" s="912"/>
      <c r="J12442" s="912"/>
      <c r="K12442" s="912"/>
      <c r="L12442" s="912"/>
      <c r="M12442" s="912">
        <f>VLOOKUP(B12442,MTC!$B$9:$S$933,12,0)</f>
        <v>47752</v>
      </c>
      <c r="N12442" s="912">
        <f>M12442*H12442</f>
        <v>52527.200000000004</v>
      </c>
      <c r="O12442" s="892">
        <f t="shared" si="996"/>
        <v>0</v>
      </c>
      <c r="P12442" s="903">
        <f t="shared" si="999"/>
        <v>1</v>
      </c>
      <c r="Q12442" s="893">
        <f t="shared" si="1000"/>
        <v>1</v>
      </c>
      <c r="R12442" s="894">
        <f t="shared" si="1001"/>
        <v>0</v>
      </c>
    </row>
    <row r="12443" spans="1:18" s="904" customFormat="1">
      <c r="A12443" s="905">
        <v>673</v>
      </c>
      <c r="B12443" s="1018" t="s">
        <v>7152</v>
      </c>
      <c r="C12443" s="915"/>
      <c r="D12443" s="915"/>
      <c r="E12443" s="1006" t="s">
        <v>7153</v>
      </c>
      <c r="F12443" s="917" t="s">
        <v>1206</v>
      </c>
      <c r="G12443" s="1008"/>
      <c r="H12443" s="919"/>
      <c r="I12443" s="920"/>
      <c r="J12443" s="962">
        <f>SUM(J12444:J12453)</f>
        <v>130400</v>
      </c>
      <c r="K12443" s="891" t="s">
        <v>274</v>
      </c>
      <c r="L12443" s="962">
        <f>SUM(L12444:L12453)</f>
        <v>895556.25</v>
      </c>
      <c r="M12443" s="962"/>
      <c r="N12443" s="962">
        <f>SUM(N12444:N12453)</f>
        <v>64465.200000000004</v>
      </c>
      <c r="O12443" s="892">
        <f t="shared" si="996"/>
        <v>1</v>
      </c>
      <c r="P12443" s="903">
        <f t="shared" si="999"/>
        <v>0</v>
      </c>
      <c r="Q12443" s="893">
        <f t="shared" si="1000"/>
        <v>0</v>
      </c>
      <c r="R12443" s="894">
        <f t="shared" si="1001"/>
        <v>10</v>
      </c>
    </row>
    <row r="12444" spans="1:18">
      <c r="A12444" s="895"/>
      <c r="B12444" s="896"/>
      <c r="C12444" s="897"/>
      <c r="D12444" s="897"/>
      <c r="E12444" s="1002" t="s">
        <v>108</v>
      </c>
      <c r="F12444" s="1003"/>
      <c r="G12444" s="1004"/>
      <c r="H12444" s="901"/>
      <c r="I12444" s="902"/>
      <c r="J12444" s="902"/>
      <c r="K12444" s="912" t="s">
        <v>274</v>
      </c>
      <c r="L12444" s="902"/>
      <c r="M12444" s="902"/>
      <c r="N12444" s="902"/>
      <c r="O12444" s="892">
        <f t="shared" si="996"/>
        <v>0</v>
      </c>
      <c r="P12444" s="903">
        <f t="shared" si="999"/>
        <v>1</v>
      </c>
      <c r="Q12444" s="893">
        <f t="shared" si="1000"/>
        <v>10</v>
      </c>
      <c r="R12444" s="894">
        <f t="shared" si="1001"/>
        <v>0</v>
      </c>
    </row>
    <row r="12445" spans="1:18" s="847" customFormat="1">
      <c r="A12445" s="905"/>
      <c r="B12445" s="952"/>
      <c r="C12445" s="907">
        <v>313</v>
      </c>
      <c r="D12445" s="907" t="s">
        <v>279</v>
      </c>
      <c r="E12445" s="992" t="s">
        <v>3267</v>
      </c>
      <c r="F12445" s="905" t="s">
        <v>45</v>
      </c>
      <c r="G12445" s="1005"/>
      <c r="H12445" s="911">
        <v>0.8</v>
      </c>
      <c r="I12445" s="912">
        <f>VLOOKUP(E12445,[3]VLP!$B$7:$K$300,10,0)</f>
        <v>30000</v>
      </c>
      <c r="J12445" s="912">
        <f>I12445*H12445</f>
        <v>24000</v>
      </c>
      <c r="K12445" s="912" t="s">
        <v>274</v>
      </c>
      <c r="L12445" s="912"/>
      <c r="M12445" s="912"/>
      <c r="N12445" s="912"/>
      <c r="O12445" s="892">
        <f t="shared" si="996"/>
        <v>0</v>
      </c>
      <c r="P12445" s="903">
        <f t="shared" si="999"/>
        <v>1</v>
      </c>
      <c r="Q12445" s="893">
        <f t="shared" si="1000"/>
        <v>9</v>
      </c>
      <c r="R12445" s="894">
        <f t="shared" si="1001"/>
        <v>0</v>
      </c>
    </row>
    <row r="12446" spans="1:18" s="904" customFormat="1">
      <c r="A12446" s="905"/>
      <c r="B12446" s="952"/>
      <c r="C12446" s="907">
        <v>235</v>
      </c>
      <c r="D12446" s="907" t="s">
        <v>279</v>
      </c>
      <c r="E12446" s="992" t="s">
        <v>2682</v>
      </c>
      <c r="F12446" s="905" t="s">
        <v>45</v>
      </c>
      <c r="G12446" s="1005"/>
      <c r="H12446" s="911">
        <v>0.18</v>
      </c>
      <c r="I12446" s="912">
        <f>VLOOKUP(E12446,[3]VLP!$B$7:$K$300,10,0)</f>
        <v>5000</v>
      </c>
      <c r="J12446" s="912">
        <f>I12446*H12446</f>
        <v>900</v>
      </c>
      <c r="K12446" s="912" t="s">
        <v>274</v>
      </c>
      <c r="L12446" s="912"/>
      <c r="M12446" s="912"/>
      <c r="N12446" s="912"/>
      <c r="O12446" s="892">
        <f t="shared" si="996"/>
        <v>0</v>
      </c>
      <c r="P12446" s="903">
        <f t="shared" si="999"/>
        <v>1</v>
      </c>
      <c r="Q12446" s="893">
        <f t="shared" si="1000"/>
        <v>8</v>
      </c>
      <c r="R12446" s="894">
        <f t="shared" si="1001"/>
        <v>0</v>
      </c>
    </row>
    <row r="12447" spans="1:18">
      <c r="A12447" s="905"/>
      <c r="B12447" s="952"/>
      <c r="C12447" s="907">
        <v>205</v>
      </c>
      <c r="D12447" s="907" t="s">
        <v>279</v>
      </c>
      <c r="E12447" s="992" t="s">
        <v>7135</v>
      </c>
      <c r="F12447" s="905" t="s">
        <v>139</v>
      </c>
      <c r="G12447" s="1005"/>
      <c r="H12447" s="911">
        <v>40</v>
      </c>
      <c r="I12447" s="912">
        <f>VLOOKUP(E12447,[3]VLP!$B$7:$K$300,10,0)</f>
        <v>2000</v>
      </c>
      <c r="J12447" s="912">
        <f>I12447*H12447</f>
        <v>80000</v>
      </c>
      <c r="K12447" s="912" t="s">
        <v>274</v>
      </c>
      <c r="L12447" s="912"/>
      <c r="M12447" s="912"/>
      <c r="N12447" s="912"/>
      <c r="O12447" s="892">
        <f t="shared" ref="O12447:O12510" si="1003">IF(AND(B12447&lt;&gt;"",D12447=""),1,0)</f>
        <v>0</v>
      </c>
      <c r="P12447" s="903">
        <f t="shared" si="999"/>
        <v>1</v>
      </c>
      <c r="Q12447" s="893">
        <f t="shared" si="1000"/>
        <v>7</v>
      </c>
      <c r="R12447" s="894">
        <f t="shared" si="1001"/>
        <v>0</v>
      </c>
    </row>
    <row r="12448" spans="1:18">
      <c r="A12448" s="905"/>
      <c r="B12448" s="952"/>
      <c r="C12448" s="907">
        <v>212</v>
      </c>
      <c r="D12448" s="907" t="s">
        <v>279</v>
      </c>
      <c r="E12448" s="992" t="s">
        <v>2681</v>
      </c>
      <c r="F12448" s="905" t="s">
        <v>45</v>
      </c>
      <c r="G12448" s="1005"/>
      <c r="H12448" s="911">
        <v>0.5</v>
      </c>
      <c r="I12448" s="912">
        <f>VLOOKUP(E12448,[3]VLP!$B$7:$K$300,10,0)</f>
        <v>23000</v>
      </c>
      <c r="J12448" s="912">
        <f>I12448*H12448</f>
        <v>11500</v>
      </c>
      <c r="K12448" s="912" t="s">
        <v>274</v>
      </c>
      <c r="L12448" s="912"/>
      <c r="M12448" s="912"/>
      <c r="N12448" s="912"/>
      <c r="O12448" s="892">
        <f t="shared" si="1003"/>
        <v>0</v>
      </c>
      <c r="P12448" s="903">
        <f t="shared" si="999"/>
        <v>1</v>
      </c>
      <c r="Q12448" s="893">
        <f t="shared" si="1000"/>
        <v>6</v>
      </c>
      <c r="R12448" s="894">
        <f t="shared" si="1001"/>
        <v>0</v>
      </c>
    </row>
    <row r="12449" spans="1:18" s="904" customFormat="1">
      <c r="A12449" s="905"/>
      <c r="B12449" s="952"/>
      <c r="C12449" s="907">
        <v>234</v>
      </c>
      <c r="D12449" s="907" t="s">
        <v>279</v>
      </c>
      <c r="E12449" s="992" t="s">
        <v>5983</v>
      </c>
      <c r="F12449" s="905" t="s">
        <v>3144</v>
      </c>
      <c r="G12449" s="1005"/>
      <c r="H12449" s="911">
        <v>1</v>
      </c>
      <c r="I12449" s="912">
        <f>VLOOKUP(E12449,[3]VLP!$B$7:$K$300,10,0)</f>
        <v>14000</v>
      </c>
      <c r="J12449" s="912">
        <f>I12449*H12449</f>
        <v>14000</v>
      </c>
      <c r="K12449" s="912" t="s">
        <v>274</v>
      </c>
      <c r="L12449" s="912"/>
      <c r="M12449" s="912"/>
      <c r="N12449" s="912"/>
      <c r="O12449" s="892">
        <f t="shared" si="1003"/>
        <v>0</v>
      </c>
      <c r="P12449" s="903">
        <f t="shared" si="999"/>
        <v>1</v>
      </c>
      <c r="Q12449" s="893">
        <f t="shared" si="1000"/>
        <v>5</v>
      </c>
      <c r="R12449" s="894">
        <f t="shared" si="1001"/>
        <v>0</v>
      </c>
    </row>
    <row r="12450" spans="1:18">
      <c r="A12450" s="895"/>
      <c r="B12450" s="896"/>
      <c r="C12450" s="897"/>
      <c r="D12450" s="897"/>
      <c r="E12450" s="1002" t="s">
        <v>276</v>
      </c>
      <c r="F12450" s="1003"/>
      <c r="G12450" s="1004"/>
      <c r="H12450" s="901"/>
      <c r="I12450" s="902"/>
      <c r="J12450" s="902"/>
      <c r="K12450" s="912" t="s">
        <v>274</v>
      </c>
      <c r="L12450" s="902"/>
      <c r="M12450" s="902"/>
      <c r="N12450" s="902"/>
      <c r="O12450" s="892">
        <f t="shared" si="1003"/>
        <v>0</v>
      </c>
      <c r="P12450" s="903">
        <f t="shared" si="999"/>
        <v>1</v>
      </c>
      <c r="Q12450" s="893">
        <f t="shared" si="1000"/>
        <v>4</v>
      </c>
      <c r="R12450" s="894">
        <f t="shared" si="1001"/>
        <v>0</v>
      </c>
    </row>
    <row r="12451" spans="1:18" s="847" customFormat="1">
      <c r="A12451" s="905"/>
      <c r="B12451" s="952"/>
      <c r="C12451" s="907">
        <v>740</v>
      </c>
      <c r="D12451" s="907" t="s">
        <v>12</v>
      </c>
      <c r="E12451" s="992" t="s">
        <v>4008</v>
      </c>
      <c r="F12451" s="905" t="s">
        <v>2674</v>
      </c>
      <c r="G12451" s="1005"/>
      <c r="H12451" s="911">
        <v>4.05</v>
      </c>
      <c r="I12451" s="912"/>
      <c r="J12451" s="912"/>
      <c r="K12451" s="912">
        <f>VLOOKUP(E12451,[5]ĐMNC!$A$7:$F$67,4,0)</f>
        <v>221125</v>
      </c>
      <c r="L12451" s="912">
        <f>H12451*K12451</f>
        <v>895556.25</v>
      </c>
      <c r="M12451" s="912"/>
      <c r="N12451" s="912"/>
      <c r="O12451" s="892">
        <f t="shared" si="1003"/>
        <v>0</v>
      </c>
      <c r="P12451" s="903">
        <f t="shared" si="999"/>
        <v>1</v>
      </c>
      <c r="Q12451" s="893">
        <f t="shared" si="1000"/>
        <v>3</v>
      </c>
      <c r="R12451" s="894">
        <f t="shared" si="1001"/>
        <v>0</v>
      </c>
    </row>
    <row r="12452" spans="1:18" s="904" customFormat="1">
      <c r="A12452" s="895"/>
      <c r="B12452" s="896"/>
      <c r="C12452" s="897"/>
      <c r="D12452" s="897"/>
      <c r="E12452" s="1002" t="s">
        <v>3914</v>
      </c>
      <c r="F12452" s="1003"/>
      <c r="G12452" s="1004"/>
      <c r="H12452" s="901"/>
      <c r="I12452" s="902"/>
      <c r="J12452" s="902"/>
      <c r="K12452" s="912" t="s">
        <v>274</v>
      </c>
      <c r="L12452" s="902"/>
      <c r="M12452" s="902"/>
      <c r="N12452" s="902"/>
      <c r="O12452" s="892">
        <f t="shared" si="1003"/>
        <v>0</v>
      </c>
      <c r="P12452" s="903">
        <f t="shared" si="999"/>
        <v>1</v>
      </c>
      <c r="Q12452" s="893">
        <f t="shared" si="1000"/>
        <v>2</v>
      </c>
      <c r="R12452" s="894">
        <f t="shared" si="1001"/>
        <v>0</v>
      </c>
    </row>
    <row r="12453" spans="1:18">
      <c r="A12453" s="905"/>
      <c r="B12453" s="952" t="s">
        <v>6879</v>
      </c>
      <c r="C12453" s="907">
        <v>910</v>
      </c>
      <c r="D12453" s="907" t="s">
        <v>93</v>
      </c>
      <c r="E12453" s="992" t="s">
        <v>6880</v>
      </c>
      <c r="F12453" s="905" t="s">
        <v>2673</v>
      </c>
      <c r="G12453" s="1005"/>
      <c r="H12453" s="911">
        <v>1.35</v>
      </c>
      <c r="I12453" s="912"/>
      <c r="J12453" s="912"/>
      <c r="K12453" s="912"/>
      <c r="L12453" s="912"/>
      <c r="M12453" s="912">
        <f>VLOOKUP(B12453,MTC!$B$9:$S$933,12,0)</f>
        <v>47752</v>
      </c>
      <c r="N12453" s="912">
        <f>M12453*H12453</f>
        <v>64465.200000000004</v>
      </c>
      <c r="O12453" s="892">
        <f t="shared" si="1003"/>
        <v>0</v>
      </c>
      <c r="P12453" s="903">
        <f t="shared" si="999"/>
        <v>1</v>
      </c>
      <c r="Q12453" s="893">
        <f t="shared" si="1000"/>
        <v>1</v>
      </c>
      <c r="R12453" s="894">
        <f t="shared" si="1001"/>
        <v>0</v>
      </c>
    </row>
    <row r="12454" spans="1:18">
      <c r="A12454" s="905">
        <v>674</v>
      </c>
      <c r="B12454" s="1018" t="s">
        <v>7154</v>
      </c>
      <c r="C12454" s="915"/>
      <c r="D12454" s="915"/>
      <c r="E12454" s="1006" t="s">
        <v>7155</v>
      </c>
      <c r="F12454" s="917" t="s">
        <v>1206</v>
      </c>
      <c r="G12454" s="1008"/>
      <c r="H12454" s="919"/>
      <c r="I12454" s="920"/>
      <c r="J12454" s="962">
        <f>SUM(J12455:J12464)</f>
        <v>133500</v>
      </c>
      <c r="K12454" s="891" t="s">
        <v>274</v>
      </c>
      <c r="L12454" s="962">
        <f>SUM(L12455:L12464)</f>
        <v>1160906.25</v>
      </c>
      <c r="M12454" s="962"/>
      <c r="N12454" s="962">
        <f>SUM(N12455:N12464)</f>
        <v>83566</v>
      </c>
      <c r="O12454" s="892">
        <f t="shared" si="1003"/>
        <v>1</v>
      </c>
      <c r="P12454" s="903">
        <f t="shared" si="999"/>
        <v>0</v>
      </c>
      <c r="Q12454" s="893">
        <f t="shared" si="1000"/>
        <v>0</v>
      </c>
      <c r="R12454" s="894">
        <f t="shared" si="1001"/>
        <v>10</v>
      </c>
    </row>
    <row r="12455" spans="1:18" s="904" customFormat="1">
      <c r="A12455" s="895"/>
      <c r="B12455" s="896"/>
      <c r="C12455" s="897"/>
      <c r="D12455" s="897"/>
      <c r="E12455" s="1002" t="s">
        <v>108</v>
      </c>
      <c r="F12455" s="1003"/>
      <c r="G12455" s="1004"/>
      <c r="H12455" s="901"/>
      <c r="I12455" s="902"/>
      <c r="J12455" s="902"/>
      <c r="K12455" s="912" t="s">
        <v>274</v>
      </c>
      <c r="L12455" s="902"/>
      <c r="M12455" s="902"/>
      <c r="N12455" s="902"/>
      <c r="O12455" s="892">
        <f t="shared" si="1003"/>
        <v>0</v>
      </c>
      <c r="P12455" s="903">
        <f t="shared" si="999"/>
        <v>1</v>
      </c>
      <c r="Q12455" s="893">
        <f t="shared" si="1000"/>
        <v>10</v>
      </c>
      <c r="R12455" s="894">
        <f t="shared" si="1001"/>
        <v>0</v>
      </c>
    </row>
    <row r="12456" spans="1:18">
      <c r="A12456" s="905"/>
      <c r="B12456" s="952"/>
      <c r="C12456" s="907">
        <v>313</v>
      </c>
      <c r="D12456" s="907" t="s">
        <v>279</v>
      </c>
      <c r="E12456" s="992" t="s">
        <v>3267</v>
      </c>
      <c r="F12456" s="905" t="s">
        <v>45</v>
      </c>
      <c r="G12456" s="1005"/>
      <c r="H12456" s="911">
        <v>0.9</v>
      </c>
      <c r="I12456" s="912">
        <f>VLOOKUP(E12456,[3]VLP!$B$7:$K$300,10,0)</f>
        <v>30000</v>
      </c>
      <c r="J12456" s="912">
        <f>I12456*H12456</f>
        <v>27000</v>
      </c>
      <c r="K12456" s="912" t="s">
        <v>274</v>
      </c>
      <c r="L12456" s="912"/>
      <c r="M12456" s="912"/>
      <c r="N12456" s="912"/>
      <c r="O12456" s="892">
        <f t="shared" si="1003"/>
        <v>0</v>
      </c>
      <c r="P12456" s="903">
        <f t="shared" si="999"/>
        <v>1</v>
      </c>
      <c r="Q12456" s="893">
        <f t="shared" si="1000"/>
        <v>9</v>
      </c>
      <c r="R12456" s="894">
        <f t="shared" si="1001"/>
        <v>0</v>
      </c>
    </row>
    <row r="12457" spans="1:18" s="847" customFormat="1">
      <c r="A12457" s="905"/>
      <c r="B12457" s="952"/>
      <c r="C12457" s="907">
        <v>235</v>
      </c>
      <c r="D12457" s="907" t="s">
        <v>279</v>
      </c>
      <c r="E12457" s="992" t="s">
        <v>2682</v>
      </c>
      <c r="F12457" s="905" t="s">
        <v>45</v>
      </c>
      <c r="G12457" s="1005"/>
      <c r="H12457" s="911">
        <v>0.2</v>
      </c>
      <c r="I12457" s="912">
        <f>VLOOKUP(E12457,[3]VLP!$B$7:$K$300,10,0)</f>
        <v>5000</v>
      </c>
      <c r="J12457" s="912">
        <f>I12457*H12457</f>
        <v>1000</v>
      </c>
      <c r="K12457" s="912" t="s">
        <v>274</v>
      </c>
      <c r="L12457" s="912"/>
      <c r="M12457" s="912"/>
      <c r="N12457" s="912"/>
      <c r="O12457" s="892">
        <f t="shared" si="1003"/>
        <v>0</v>
      </c>
      <c r="P12457" s="903">
        <f t="shared" si="999"/>
        <v>1</v>
      </c>
      <c r="Q12457" s="893">
        <f t="shared" si="1000"/>
        <v>8</v>
      </c>
      <c r="R12457" s="894">
        <f t="shared" si="1001"/>
        <v>0</v>
      </c>
    </row>
    <row r="12458" spans="1:18" s="904" customFormat="1">
      <c r="A12458" s="905"/>
      <c r="B12458" s="952"/>
      <c r="C12458" s="907">
        <v>205</v>
      </c>
      <c r="D12458" s="907" t="s">
        <v>279</v>
      </c>
      <c r="E12458" s="992" t="s">
        <v>7135</v>
      </c>
      <c r="F12458" s="905" t="s">
        <v>139</v>
      </c>
      <c r="G12458" s="1005"/>
      <c r="H12458" s="911">
        <v>40</v>
      </c>
      <c r="I12458" s="912">
        <f>VLOOKUP(E12458,[3]VLP!$B$7:$K$300,10,0)</f>
        <v>2000</v>
      </c>
      <c r="J12458" s="912">
        <f>I12458*H12458</f>
        <v>80000</v>
      </c>
      <c r="K12458" s="912" t="s">
        <v>274</v>
      </c>
      <c r="L12458" s="912"/>
      <c r="M12458" s="912"/>
      <c r="N12458" s="912"/>
      <c r="O12458" s="892">
        <f t="shared" si="1003"/>
        <v>0</v>
      </c>
      <c r="P12458" s="903">
        <f t="shared" si="999"/>
        <v>1</v>
      </c>
      <c r="Q12458" s="893">
        <f t="shared" si="1000"/>
        <v>7</v>
      </c>
      <c r="R12458" s="894">
        <f t="shared" si="1001"/>
        <v>0</v>
      </c>
    </row>
    <row r="12459" spans="1:18">
      <c r="A12459" s="905"/>
      <c r="B12459" s="952"/>
      <c r="C12459" s="907">
        <v>212</v>
      </c>
      <c r="D12459" s="907" t="s">
        <v>279</v>
      </c>
      <c r="E12459" s="992" t="s">
        <v>2681</v>
      </c>
      <c r="F12459" s="905" t="s">
        <v>45</v>
      </c>
      <c r="G12459" s="1005"/>
      <c r="H12459" s="911">
        <v>0.5</v>
      </c>
      <c r="I12459" s="912">
        <f>VLOOKUP(E12459,[3]VLP!$B$7:$K$300,10,0)</f>
        <v>23000</v>
      </c>
      <c r="J12459" s="912">
        <f>I12459*H12459</f>
        <v>11500</v>
      </c>
      <c r="K12459" s="912" t="s">
        <v>274</v>
      </c>
      <c r="L12459" s="912"/>
      <c r="M12459" s="912"/>
      <c r="N12459" s="912"/>
      <c r="O12459" s="892">
        <f t="shared" si="1003"/>
        <v>0</v>
      </c>
      <c r="P12459" s="903">
        <f t="shared" si="999"/>
        <v>1</v>
      </c>
      <c r="Q12459" s="893">
        <f t="shared" si="1000"/>
        <v>6</v>
      </c>
      <c r="R12459" s="894">
        <f t="shared" si="1001"/>
        <v>0</v>
      </c>
    </row>
    <row r="12460" spans="1:18">
      <c r="A12460" s="905"/>
      <c r="B12460" s="952"/>
      <c r="C12460" s="907">
        <v>234</v>
      </c>
      <c r="D12460" s="907" t="s">
        <v>279</v>
      </c>
      <c r="E12460" s="992" t="s">
        <v>5983</v>
      </c>
      <c r="F12460" s="905" t="s">
        <v>3144</v>
      </c>
      <c r="G12460" s="1005"/>
      <c r="H12460" s="911">
        <v>1</v>
      </c>
      <c r="I12460" s="912">
        <f>VLOOKUP(E12460,[3]VLP!$B$7:$K$300,10,0)</f>
        <v>14000</v>
      </c>
      <c r="J12460" s="912">
        <f>I12460*H12460</f>
        <v>14000</v>
      </c>
      <c r="K12460" s="912" t="s">
        <v>274</v>
      </c>
      <c r="L12460" s="912"/>
      <c r="M12460" s="912"/>
      <c r="N12460" s="912"/>
      <c r="O12460" s="892">
        <f t="shared" si="1003"/>
        <v>0</v>
      </c>
      <c r="P12460" s="903">
        <f t="shared" si="999"/>
        <v>1</v>
      </c>
      <c r="Q12460" s="893">
        <f t="shared" si="1000"/>
        <v>5</v>
      </c>
      <c r="R12460" s="894">
        <f t="shared" si="1001"/>
        <v>0</v>
      </c>
    </row>
    <row r="12461" spans="1:18" s="904" customFormat="1">
      <c r="A12461" s="895"/>
      <c r="B12461" s="896"/>
      <c r="C12461" s="897"/>
      <c r="D12461" s="897"/>
      <c r="E12461" s="1002" t="s">
        <v>276</v>
      </c>
      <c r="F12461" s="1003"/>
      <c r="G12461" s="1004"/>
      <c r="H12461" s="901"/>
      <c r="I12461" s="902"/>
      <c r="J12461" s="902"/>
      <c r="K12461" s="912" t="s">
        <v>274</v>
      </c>
      <c r="L12461" s="902"/>
      <c r="M12461" s="902"/>
      <c r="N12461" s="902"/>
      <c r="O12461" s="892">
        <f t="shared" si="1003"/>
        <v>0</v>
      </c>
      <c r="P12461" s="903">
        <f t="shared" si="999"/>
        <v>1</v>
      </c>
      <c r="Q12461" s="893">
        <f t="shared" si="1000"/>
        <v>4</v>
      </c>
      <c r="R12461" s="894">
        <f t="shared" si="1001"/>
        <v>0</v>
      </c>
    </row>
    <row r="12462" spans="1:18">
      <c r="A12462" s="905"/>
      <c r="B12462" s="952"/>
      <c r="C12462" s="907">
        <v>740</v>
      </c>
      <c r="D12462" s="907" t="s">
        <v>12</v>
      </c>
      <c r="E12462" s="992" t="s">
        <v>4008</v>
      </c>
      <c r="F12462" s="905" t="s">
        <v>2674</v>
      </c>
      <c r="G12462" s="1005"/>
      <c r="H12462" s="911">
        <v>5.25</v>
      </c>
      <c r="I12462" s="912"/>
      <c r="J12462" s="912"/>
      <c r="K12462" s="912">
        <f>VLOOKUP(E12462,[5]ĐMNC!$A$7:$F$67,4,0)</f>
        <v>221125</v>
      </c>
      <c r="L12462" s="912">
        <f>H12462*K12462</f>
        <v>1160906.25</v>
      </c>
      <c r="M12462" s="912"/>
      <c r="N12462" s="912"/>
      <c r="O12462" s="892">
        <f t="shared" si="1003"/>
        <v>0</v>
      </c>
      <c r="P12462" s="903">
        <f t="shared" si="999"/>
        <v>1</v>
      </c>
      <c r="Q12462" s="893">
        <f t="shared" si="1000"/>
        <v>3</v>
      </c>
      <c r="R12462" s="894">
        <f t="shared" si="1001"/>
        <v>0</v>
      </c>
    </row>
    <row r="12463" spans="1:18" s="847" customFormat="1">
      <c r="A12463" s="895"/>
      <c r="B12463" s="896"/>
      <c r="C12463" s="897"/>
      <c r="D12463" s="897"/>
      <c r="E12463" s="1002" t="s">
        <v>3914</v>
      </c>
      <c r="F12463" s="1003"/>
      <c r="G12463" s="1004"/>
      <c r="H12463" s="901"/>
      <c r="I12463" s="902"/>
      <c r="J12463" s="902"/>
      <c r="K12463" s="912" t="s">
        <v>274</v>
      </c>
      <c r="L12463" s="902"/>
      <c r="M12463" s="902"/>
      <c r="N12463" s="902"/>
      <c r="O12463" s="892">
        <f t="shared" si="1003"/>
        <v>0</v>
      </c>
      <c r="P12463" s="903">
        <f t="shared" si="999"/>
        <v>1</v>
      </c>
      <c r="Q12463" s="893">
        <f t="shared" si="1000"/>
        <v>2</v>
      </c>
      <c r="R12463" s="894">
        <f t="shared" si="1001"/>
        <v>0</v>
      </c>
    </row>
    <row r="12464" spans="1:18" s="904" customFormat="1">
      <c r="A12464" s="905"/>
      <c r="B12464" s="952" t="s">
        <v>6879</v>
      </c>
      <c r="C12464" s="907">
        <v>910</v>
      </c>
      <c r="D12464" s="907" t="s">
        <v>93</v>
      </c>
      <c r="E12464" s="992" t="s">
        <v>6880</v>
      </c>
      <c r="F12464" s="905" t="s">
        <v>2673</v>
      </c>
      <c r="G12464" s="1005"/>
      <c r="H12464" s="911">
        <v>1.75</v>
      </c>
      <c r="I12464" s="912"/>
      <c r="J12464" s="912"/>
      <c r="K12464" s="912"/>
      <c r="L12464" s="912"/>
      <c r="M12464" s="912">
        <f>VLOOKUP(B12464,MTC!$B$9:$S$933,12,0)</f>
        <v>47752</v>
      </c>
      <c r="N12464" s="912">
        <f>M12464*H12464</f>
        <v>83566</v>
      </c>
      <c r="O12464" s="892">
        <f t="shared" si="1003"/>
        <v>0</v>
      </c>
      <c r="P12464" s="903">
        <f t="shared" si="999"/>
        <v>1</v>
      </c>
      <c r="Q12464" s="893">
        <f t="shared" si="1000"/>
        <v>1</v>
      </c>
      <c r="R12464" s="894">
        <f t="shared" si="1001"/>
        <v>0</v>
      </c>
    </row>
    <row r="12465" spans="1:18">
      <c r="A12465" s="905" t="s">
        <v>7156</v>
      </c>
      <c r="B12465" s="914" t="s">
        <v>7157</v>
      </c>
      <c r="C12465" s="915"/>
      <c r="D12465" s="915"/>
      <c r="E12465" s="1006" t="s">
        <v>7158</v>
      </c>
      <c r="F12465" s="917" t="s">
        <v>1828</v>
      </c>
      <c r="G12465" s="1008"/>
      <c r="H12465" s="919"/>
      <c r="I12465" s="920"/>
      <c r="J12465" s="891">
        <f>SUM(J12466:J12472)</f>
        <v>13663.66</v>
      </c>
      <c r="K12465" s="891"/>
      <c r="L12465" s="891">
        <f>SUM(L12466:L12472)</f>
        <v>64126.249999999993</v>
      </c>
      <c r="M12465" s="891"/>
      <c r="N12465" s="891">
        <f>SUM(N12466:N12472)</f>
        <v>21102.315000000002</v>
      </c>
      <c r="O12465" s="892">
        <f t="shared" si="1003"/>
        <v>1</v>
      </c>
      <c r="P12465" s="903">
        <f t="shared" si="999"/>
        <v>0</v>
      </c>
      <c r="Q12465" s="893">
        <f t="shared" si="1000"/>
        <v>0</v>
      </c>
      <c r="R12465" s="894">
        <f t="shared" si="1001"/>
        <v>7</v>
      </c>
    </row>
    <row r="12466" spans="1:18" s="847" customFormat="1">
      <c r="A12466" s="895"/>
      <c r="B12466" s="945"/>
      <c r="C12466" s="897"/>
      <c r="D12466" s="897"/>
      <c r="E12466" s="1002" t="s">
        <v>108</v>
      </c>
      <c r="F12466" s="1003"/>
      <c r="G12466" s="1004"/>
      <c r="H12466" s="901"/>
      <c r="I12466" s="902"/>
      <c r="J12466" s="902"/>
      <c r="K12466" s="912" t="s">
        <v>274</v>
      </c>
      <c r="L12466" s="902"/>
      <c r="M12466" s="902"/>
      <c r="N12466" s="902"/>
      <c r="O12466" s="892">
        <f t="shared" si="1003"/>
        <v>0</v>
      </c>
      <c r="P12466" s="903">
        <f t="shared" si="999"/>
        <v>1</v>
      </c>
      <c r="Q12466" s="893">
        <f t="shared" si="1000"/>
        <v>7</v>
      </c>
      <c r="R12466" s="894">
        <f t="shared" si="1001"/>
        <v>0</v>
      </c>
    </row>
    <row r="12467" spans="1:18">
      <c r="A12467" s="905"/>
      <c r="B12467" s="952"/>
      <c r="C12467" s="907">
        <v>306</v>
      </c>
      <c r="D12467" s="907" t="s">
        <v>279</v>
      </c>
      <c r="E12467" s="992" t="s">
        <v>4116</v>
      </c>
      <c r="F12467" s="905" t="s">
        <v>45</v>
      </c>
      <c r="G12467" s="1024"/>
      <c r="H12467" s="911">
        <v>0.13</v>
      </c>
      <c r="I12467" s="912">
        <f>VLOOKUP(E12467,[3]VLP!$B$7:$K$300,10,0)</f>
        <v>28182</v>
      </c>
      <c r="J12467" s="912">
        <f>I12467*H12467</f>
        <v>3663.6600000000003</v>
      </c>
      <c r="K12467" s="912" t="s">
        <v>274</v>
      </c>
      <c r="L12467" s="912"/>
      <c r="M12467" s="912"/>
      <c r="N12467" s="912"/>
      <c r="O12467" s="892">
        <f t="shared" si="1003"/>
        <v>0</v>
      </c>
      <c r="P12467" s="903">
        <f t="shared" ref="P12467:P12553" si="1004">IF(O12467=0,1,0)</f>
        <v>1</v>
      </c>
      <c r="Q12467" s="893">
        <f t="shared" ref="Q12467:Q12553" si="1005">IF(P12467=0,0,P12467+Q12468)</f>
        <v>6</v>
      </c>
      <c r="R12467" s="894">
        <f t="shared" ref="R12467:R12553" si="1006">IF(Q12467=0,Q12468,0)</f>
        <v>0</v>
      </c>
    </row>
    <row r="12468" spans="1:18">
      <c r="A12468" s="905"/>
      <c r="B12468" s="952"/>
      <c r="C12468" s="907">
        <v>699</v>
      </c>
      <c r="D12468" s="907" t="s">
        <v>279</v>
      </c>
      <c r="E12468" s="992" t="s">
        <v>4006</v>
      </c>
      <c r="F12468" s="905" t="s">
        <v>4007</v>
      </c>
      <c r="G12468" s="1005"/>
      <c r="H12468" s="911">
        <v>2</v>
      </c>
      <c r="I12468" s="912">
        <f>VLOOKUP(E12468,[3]VLP!$B$7:$K$300,10,0)</f>
        <v>5000</v>
      </c>
      <c r="J12468" s="912">
        <f>I12468*H12468</f>
        <v>10000</v>
      </c>
      <c r="K12468" s="912" t="s">
        <v>274</v>
      </c>
      <c r="L12468" s="912"/>
      <c r="M12468" s="912"/>
      <c r="N12468" s="912"/>
      <c r="O12468" s="892">
        <f t="shared" si="1003"/>
        <v>0</v>
      </c>
      <c r="P12468" s="903">
        <f t="shared" si="1004"/>
        <v>1</v>
      </c>
      <c r="Q12468" s="893">
        <f t="shared" si="1005"/>
        <v>5</v>
      </c>
      <c r="R12468" s="894">
        <f t="shared" si="1006"/>
        <v>0</v>
      </c>
    </row>
    <row r="12469" spans="1:18" s="904" customFormat="1">
      <c r="A12469" s="895"/>
      <c r="B12469" s="896"/>
      <c r="C12469" s="897"/>
      <c r="D12469" s="897"/>
      <c r="E12469" s="1002" t="s">
        <v>276</v>
      </c>
      <c r="F12469" s="1003"/>
      <c r="G12469" s="1004"/>
      <c r="H12469" s="901"/>
      <c r="I12469" s="902"/>
      <c r="J12469" s="902"/>
      <c r="K12469" s="912" t="s">
        <v>274</v>
      </c>
      <c r="L12469" s="902"/>
      <c r="M12469" s="902"/>
      <c r="N12469" s="902"/>
      <c r="O12469" s="892">
        <f t="shared" si="1003"/>
        <v>0</v>
      </c>
      <c r="P12469" s="903">
        <f t="shared" si="1004"/>
        <v>1</v>
      </c>
      <c r="Q12469" s="893">
        <f t="shared" si="1005"/>
        <v>4</v>
      </c>
      <c r="R12469" s="894">
        <f t="shared" si="1006"/>
        <v>0</v>
      </c>
    </row>
    <row r="12470" spans="1:18">
      <c r="A12470" s="905"/>
      <c r="B12470" s="952"/>
      <c r="C12470" s="907">
        <v>740</v>
      </c>
      <c r="D12470" s="907" t="s">
        <v>12</v>
      </c>
      <c r="E12470" s="992" t="s">
        <v>4008</v>
      </c>
      <c r="F12470" s="905" t="s">
        <v>2674</v>
      </c>
      <c r="G12470" s="1005"/>
      <c r="H12470" s="911">
        <v>0.28999999999999998</v>
      </c>
      <c r="I12470" s="912"/>
      <c r="J12470" s="912"/>
      <c r="K12470" s="912">
        <f>VLOOKUP(E12470,[5]ĐMNC!$A$7:$F$67,4,0)</f>
        <v>221125</v>
      </c>
      <c r="L12470" s="912">
        <f>H12470*K12470</f>
        <v>64126.249999999993</v>
      </c>
      <c r="M12470" s="912"/>
      <c r="N12470" s="912"/>
      <c r="O12470" s="892">
        <f t="shared" si="1003"/>
        <v>0</v>
      </c>
      <c r="P12470" s="903">
        <f t="shared" si="1004"/>
        <v>1</v>
      </c>
      <c r="Q12470" s="893">
        <f t="shared" si="1005"/>
        <v>3</v>
      </c>
      <c r="R12470" s="894">
        <f t="shared" si="1006"/>
        <v>0</v>
      </c>
    </row>
    <row r="12471" spans="1:18" s="847" customFormat="1">
      <c r="A12471" s="895"/>
      <c r="B12471" s="896"/>
      <c r="C12471" s="897"/>
      <c r="D12471" s="897"/>
      <c r="E12471" s="1002" t="s">
        <v>3914</v>
      </c>
      <c r="F12471" s="1003"/>
      <c r="G12471" s="1004"/>
      <c r="H12471" s="901"/>
      <c r="I12471" s="902"/>
      <c r="J12471" s="902"/>
      <c r="K12471" s="912" t="s">
        <v>274</v>
      </c>
      <c r="L12471" s="902"/>
      <c r="M12471" s="902"/>
      <c r="N12471" s="902"/>
      <c r="O12471" s="892">
        <f t="shared" si="1003"/>
        <v>0</v>
      </c>
      <c r="P12471" s="903">
        <f t="shared" si="1004"/>
        <v>1</v>
      </c>
      <c r="Q12471" s="893">
        <f t="shared" si="1005"/>
        <v>2</v>
      </c>
      <c r="R12471" s="894">
        <f t="shared" si="1006"/>
        <v>0</v>
      </c>
    </row>
    <row r="12472" spans="1:18" s="904" customFormat="1">
      <c r="A12472" s="905"/>
      <c r="B12472" s="906" t="s">
        <v>4117</v>
      </c>
      <c r="C12472" s="907">
        <v>907</v>
      </c>
      <c r="D12472" s="907" t="s">
        <v>93</v>
      </c>
      <c r="E12472" s="992" t="s">
        <v>4118</v>
      </c>
      <c r="F12472" s="905" t="s">
        <v>2673</v>
      </c>
      <c r="G12472" s="1005"/>
      <c r="H12472" s="911">
        <v>6.5000000000000002E-2</v>
      </c>
      <c r="I12472" s="912"/>
      <c r="J12472" s="912"/>
      <c r="K12472" s="912"/>
      <c r="L12472" s="912"/>
      <c r="M12472" s="912">
        <f>VLOOKUP(B12472,MTC!$B$9:$S$933,12,0)</f>
        <v>324651</v>
      </c>
      <c r="N12472" s="912">
        <f>M12472*H12472</f>
        <v>21102.315000000002</v>
      </c>
      <c r="O12472" s="892">
        <f t="shared" si="1003"/>
        <v>0</v>
      </c>
      <c r="P12472" s="903">
        <f t="shared" si="1004"/>
        <v>1</v>
      </c>
      <c r="Q12472" s="893">
        <f>IF(P12472=0,0,P12472+Q12473)</f>
        <v>1</v>
      </c>
      <c r="R12472" s="894">
        <f t="shared" si="1006"/>
        <v>0</v>
      </c>
    </row>
    <row r="12473" spans="1:18" s="904" customFormat="1">
      <c r="A12473" s="905"/>
      <c r="B12473" s="914" t="s">
        <v>7159</v>
      </c>
      <c r="C12473" s="915"/>
      <c r="D12473" s="915"/>
      <c r="E12473" s="1006" t="s">
        <v>7160</v>
      </c>
      <c r="F12473" s="917" t="s">
        <v>1828</v>
      </c>
      <c r="G12473" s="1008"/>
      <c r="H12473" s="919"/>
      <c r="I12473" s="920"/>
      <c r="J12473" s="891">
        <f>SUM(J12474:J12480)</f>
        <v>14509.119999999999</v>
      </c>
      <c r="K12473" s="891"/>
      <c r="L12473" s="891">
        <f>SUM(L12474:L12480)</f>
        <v>77393.75</v>
      </c>
      <c r="M12473" s="891"/>
      <c r="N12473" s="891">
        <f>SUM(N12474:N12480)</f>
        <v>21102.315000000002</v>
      </c>
      <c r="O12473" s="892">
        <f t="shared" si="1003"/>
        <v>1</v>
      </c>
      <c r="P12473" s="903">
        <f t="shared" si="1004"/>
        <v>0</v>
      </c>
      <c r="Q12473" s="893">
        <f t="shared" ref="Q12473:Q12489" si="1007">IF(P12473=0,0,P12473+Q12474)</f>
        <v>0</v>
      </c>
      <c r="R12473" s="894">
        <f t="shared" si="1006"/>
        <v>7</v>
      </c>
    </row>
    <row r="12474" spans="1:18" s="904" customFormat="1">
      <c r="A12474" s="905"/>
      <c r="B12474" s="945"/>
      <c r="C12474" s="897"/>
      <c r="D12474" s="897"/>
      <c r="E12474" s="1002" t="s">
        <v>108</v>
      </c>
      <c r="F12474" s="1003"/>
      <c r="G12474" s="1004"/>
      <c r="H12474" s="901"/>
      <c r="I12474" s="902"/>
      <c r="J12474" s="902"/>
      <c r="K12474" s="912" t="s">
        <v>274</v>
      </c>
      <c r="L12474" s="902"/>
      <c r="M12474" s="902"/>
      <c r="N12474" s="902"/>
      <c r="O12474" s="892">
        <f t="shared" si="1003"/>
        <v>0</v>
      </c>
      <c r="P12474" s="903">
        <f t="shared" si="1004"/>
        <v>1</v>
      </c>
      <c r="Q12474" s="893">
        <f t="shared" si="1007"/>
        <v>7</v>
      </c>
      <c r="R12474" s="894">
        <f t="shared" si="1006"/>
        <v>0</v>
      </c>
    </row>
    <row r="12475" spans="1:18" s="904" customFormat="1">
      <c r="A12475" s="905"/>
      <c r="B12475" s="952"/>
      <c r="C12475" s="907">
        <v>306</v>
      </c>
      <c r="D12475" s="907" t="s">
        <v>279</v>
      </c>
      <c r="E12475" s="992" t="s">
        <v>4116</v>
      </c>
      <c r="F12475" s="905" t="s">
        <v>45</v>
      </c>
      <c r="G12475" s="1024"/>
      <c r="H12475" s="911">
        <v>0.16</v>
      </c>
      <c r="I12475" s="912">
        <f>VLOOKUP(E12475,[3]VLP!$B$7:$K$300,10,0)</f>
        <v>28182</v>
      </c>
      <c r="J12475" s="912">
        <f>I12475*H12475</f>
        <v>4509.12</v>
      </c>
      <c r="K12475" s="912" t="s">
        <v>274</v>
      </c>
      <c r="L12475" s="912"/>
      <c r="M12475" s="912"/>
      <c r="N12475" s="912"/>
      <c r="O12475" s="892">
        <f t="shared" si="1003"/>
        <v>0</v>
      </c>
      <c r="P12475" s="903">
        <f t="shared" si="1004"/>
        <v>1</v>
      </c>
      <c r="Q12475" s="893">
        <f t="shared" si="1007"/>
        <v>6</v>
      </c>
      <c r="R12475" s="894">
        <f t="shared" si="1006"/>
        <v>0</v>
      </c>
    </row>
    <row r="12476" spans="1:18" s="904" customFormat="1">
      <c r="A12476" s="905"/>
      <c r="B12476" s="952"/>
      <c r="C12476" s="907">
        <v>699</v>
      </c>
      <c r="D12476" s="907" t="s">
        <v>279</v>
      </c>
      <c r="E12476" s="992" t="s">
        <v>4006</v>
      </c>
      <c r="F12476" s="905" t="s">
        <v>4007</v>
      </c>
      <c r="G12476" s="1005"/>
      <c r="H12476" s="911">
        <v>2</v>
      </c>
      <c r="I12476" s="912">
        <f>VLOOKUP(E12476,[3]VLP!$B$7:$K$300,10,0)</f>
        <v>5000</v>
      </c>
      <c r="J12476" s="912">
        <f>I12476*H12476</f>
        <v>10000</v>
      </c>
      <c r="K12476" s="912" t="s">
        <v>274</v>
      </c>
      <c r="L12476" s="912"/>
      <c r="M12476" s="912"/>
      <c r="N12476" s="912"/>
      <c r="O12476" s="892">
        <f t="shared" si="1003"/>
        <v>0</v>
      </c>
      <c r="P12476" s="903">
        <f t="shared" si="1004"/>
        <v>1</v>
      </c>
      <c r="Q12476" s="893">
        <f t="shared" si="1007"/>
        <v>5</v>
      </c>
      <c r="R12476" s="894">
        <f t="shared" si="1006"/>
        <v>0</v>
      </c>
    </row>
    <row r="12477" spans="1:18" s="904" customFormat="1">
      <c r="A12477" s="905"/>
      <c r="B12477" s="896"/>
      <c r="C12477" s="897"/>
      <c r="D12477" s="897"/>
      <c r="E12477" s="1002" t="s">
        <v>276</v>
      </c>
      <c r="F12477" s="1003"/>
      <c r="G12477" s="1004"/>
      <c r="H12477" s="901"/>
      <c r="I12477" s="902"/>
      <c r="J12477" s="902"/>
      <c r="K12477" s="912" t="s">
        <v>274</v>
      </c>
      <c r="L12477" s="902"/>
      <c r="M12477" s="902"/>
      <c r="N12477" s="902"/>
      <c r="O12477" s="892">
        <f t="shared" si="1003"/>
        <v>0</v>
      </c>
      <c r="P12477" s="903">
        <f t="shared" si="1004"/>
        <v>1</v>
      </c>
      <c r="Q12477" s="893">
        <f t="shared" si="1007"/>
        <v>4</v>
      </c>
      <c r="R12477" s="894">
        <f t="shared" si="1006"/>
        <v>0</v>
      </c>
    </row>
    <row r="12478" spans="1:18" s="904" customFormat="1">
      <c r="A12478" s="905"/>
      <c r="B12478" s="952"/>
      <c r="C12478" s="907">
        <v>740</v>
      </c>
      <c r="D12478" s="907" t="s">
        <v>12</v>
      </c>
      <c r="E12478" s="992" t="s">
        <v>4008</v>
      </c>
      <c r="F12478" s="905" t="s">
        <v>2674</v>
      </c>
      <c r="G12478" s="1005"/>
      <c r="H12478" s="911">
        <v>0.35</v>
      </c>
      <c r="I12478" s="912"/>
      <c r="J12478" s="912"/>
      <c r="K12478" s="912">
        <f>VLOOKUP(E12478,[5]ĐMNC!$A$7:$F$67,4,0)</f>
        <v>221125</v>
      </c>
      <c r="L12478" s="912">
        <f>H12478*K12478</f>
        <v>77393.75</v>
      </c>
      <c r="M12478" s="912"/>
      <c r="N12478" s="912"/>
      <c r="O12478" s="892">
        <f t="shared" si="1003"/>
        <v>0</v>
      </c>
      <c r="P12478" s="903">
        <f t="shared" si="1004"/>
        <v>1</v>
      </c>
      <c r="Q12478" s="893">
        <f t="shared" si="1007"/>
        <v>3</v>
      </c>
      <c r="R12478" s="894">
        <f t="shared" si="1006"/>
        <v>0</v>
      </c>
    </row>
    <row r="12479" spans="1:18" s="904" customFormat="1">
      <c r="A12479" s="905"/>
      <c r="B12479" s="896"/>
      <c r="C12479" s="897"/>
      <c r="D12479" s="897"/>
      <c r="E12479" s="1002" t="s">
        <v>3914</v>
      </c>
      <c r="F12479" s="1003"/>
      <c r="G12479" s="1004"/>
      <c r="H12479" s="901"/>
      <c r="I12479" s="902"/>
      <c r="J12479" s="902"/>
      <c r="K12479" s="912" t="s">
        <v>274</v>
      </c>
      <c r="L12479" s="902"/>
      <c r="M12479" s="902"/>
      <c r="N12479" s="902"/>
      <c r="O12479" s="892">
        <f t="shared" si="1003"/>
        <v>0</v>
      </c>
      <c r="P12479" s="903">
        <f t="shared" si="1004"/>
        <v>1</v>
      </c>
      <c r="Q12479" s="893">
        <f t="shared" si="1007"/>
        <v>2</v>
      </c>
      <c r="R12479" s="894">
        <f t="shared" si="1006"/>
        <v>0</v>
      </c>
    </row>
    <row r="12480" spans="1:18" s="904" customFormat="1">
      <c r="A12480" s="905"/>
      <c r="B12480" s="906" t="s">
        <v>4117</v>
      </c>
      <c r="C12480" s="907">
        <v>907</v>
      </c>
      <c r="D12480" s="907" t="s">
        <v>93</v>
      </c>
      <c r="E12480" s="992" t="s">
        <v>4118</v>
      </c>
      <c r="F12480" s="905" t="s">
        <v>2673</v>
      </c>
      <c r="G12480" s="1005"/>
      <c r="H12480" s="911">
        <v>6.5000000000000002E-2</v>
      </c>
      <c r="I12480" s="912"/>
      <c r="J12480" s="912"/>
      <c r="K12480" s="912"/>
      <c r="L12480" s="912"/>
      <c r="M12480" s="912">
        <f>VLOOKUP(B12480,MTC!$B$9:$S$933,12,0)</f>
        <v>324651</v>
      </c>
      <c r="N12480" s="912">
        <f>M12480*H12480</f>
        <v>21102.315000000002</v>
      </c>
      <c r="O12480" s="892">
        <f t="shared" si="1003"/>
        <v>0</v>
      </c>
      <c r="P12480" s="903">
        <f t="shared" si="1004"/>
        <v>1</v>
      </c>
      <c r="Q12480" s="893">
        <f>IF(P12480=0,0,P12480+Q12481)</f>
        <v>1</v>
      </c>
      <c r="R12480" s="894">
        <f t="shared" si="1006"/>
        <v>0</v>
      </c>
    </row>
    <row r="12481" spans="1:18" s="904" customFormat="1">
      <c r="A12481" s="905"/>
      <c r="B12481" s="914" t="s">
        <v>7161</v>
      </c>
      <c r="C12481" s="915"/>
      <c r="D12481" s="915"/>
      <c r="E12481" s="1006" t="s">
        <v>7162</v>
      </c>
      <c r="F12481" s="917" t="s">
        <v>1828</v>
      </c>
      <c r="G12481" s="1008"/>
      <c r="H12481" s="919"/>
      <c r="I12481" s="920"/>
      <c r="J12481" s="891">
        <f>SUM(J12482:J12483)</f>
        <v>0</v>
      </c>
      <c r="K12481" s="891"/>
      <c r="L12481" s="891">
        <f>SUM(L12482:L12483)</f>
        <v>33168.75</v>
      </c>
      <c r="M12481" s="891"/>
      <c r="N12481" s="891">
        <f>SUM(N12482:N12483)</f>
        <v>0</v>
      </c>
      <c r="O12481" s="892">
        <f t="shared" si="1003"/>
        <v>1</v>
      </c>
      <c r="P12481" s="903">
        <f t="shared" si="1004"/>
        <v>0</v>
      </c>
      <c r="Q12481" s="893">
        <f t="shared" si="1007"/>
        <v>0</v>
      </c>
      <c r="R12481" s="894">
        <f t="shared" si="1006"/>
        <v>2</v>
      </c>
    </row>
    <row r="12482" spans="1:18" s="904" customFormat="1">
      <c r="A12482" s="905"/>
      <c r="B12482" s="896"/>
      <c r="C12482" s="897"/>
      <c r="D12482" s="897"/>
      <c r="E12482" s="1002" t="s">
        <v>276</v>
      </c>
      <c r="F12482" s="1003"/>
      <c r="G12482" s="1004"/>
      <c r="H12482" s="901"/>
      <c r="I12482" s="902"/>
      <c r="J12482" s="902"/>
      <c r="K12482" s="912" t="s">
        <v>274</v>
      </c>
      <c r="L12482" s="902"/>
      <c r="M12482" s="902"/>
      <c r="N12482" s="902"/>
      <c r="O12482" s="892">
        <f t="shared" si="1003"/>
        <v>0</v>
      </c>
      <c r="P12482" s="903">
        <f t="shared" si="1004"/>
        <v>1</v>
      </c>
      <c r="Q12482" s="893">
        <f t="shared" si="1007"/>
        <v>2</v>
      </c>
      <c r="R12482" s="894">
        <f>IF(Q12482=0,Q12483,0)</f>
        <v>0</v>
      </c>
    </row>
    <row r="12483" spans="1:18" s="904" customFormat="1">
      <c r="A12483" s="905"/>
      <c r="B12483" s="952"/>
      <c r="C12483" s="907">
        <v>740</v>
      </c>
      <c r="D12483" s="907" t="s">
        <v>12</v>
      </c>
      <c r="E12483" s="992" t="s">
        <v>4008</v>
      </c>
      <c r="F12483" s="905" t="s">
        <v>2674</v>
      </c>
      <c r="G12483" s="1005"/>
      <c r="H12483" s="911">
        <v>0.15</v>
      </c>
      <c r="I12483" s="912"/>
      <c r="J12483" s="912"/>
      <c r="K12483" s="912">
        <f>VLOOKUP(E12483,[5]ĐMNC!$A$7:$F$67,4,0)</f>
        <v>221125</v>
      </c>
      <c r="L12483" s="912">
        <f>H12483*K12483</f>
        <v>33168.75</v>
      </c>
      <c r="M12483" s="912"/>
      <c r="N12483" s="912"/>
      <c r="O12483" s="892">
        <f t="shared" si="1003"/>
        <v>0</v>
      </c>
      <c r="P12483" s="903">
        <f t="shared" si="1004"/>
        <v>1</v>
      </c>
      <c r="Q12483" s="893">
        <f t="shared" si="1007"/>
        <v>1</v>
      </c>
      <c r="R12483" s="894">
        <f t="shared" si="1006"/>
        <v>0</v>
      </c>
    </row>
    <row r="12484" spans="1:18" s="904" customFormat="1">
      <c r="A12484" s="905"/>
      <c r="B12484" s="914" t="s">
        <v>7163</v>
      </c>
      <c r="C12484" s="915"/>
      <c r="D12484" s="915"/>
      <c r="E12484" s="1006" t="s">
        <v>7164</v>
      </c>
      <c r="F12484" s="917" t="s">
        <v>1828</v>
      </c>
      <c r="G12484" s="1008"/>
      <c r="H12484" s="919"/>
      <c r="I12484" s="920"/>
      <c r="J12484" s="891">
        <f>SUM(J12485:J12486)</f>
        <v>0</v>
      </c>
      <c r="K12484" s="891"/>
      <c r="L12484" s="891">
        <f>SUM(L12485:L12486)</f>
        <v>39802.5</v>
      </c>
      <c r="M12484" s="891"/>
      <c r="N12484" s="891">
        <f>SUM(N12485:N12486)</f>
        <v>0</v>
      </c>
      <c r="O12484" s="892">
        <f t="shared" si="1003"/>
        <v>1</v>
      </c>
      <c r="P12484" s="903">
        <f t="shared" si="1004"/>
        <v>0</v>
      </c>
      <c r="Q12484" s="893">
        <f t="shared" si="1007"/>
        <v>0</v>
      </c>
      <c r="R12484" s="894">
        <f>IF(Q12484=0,Q12485,0)</f>
        <v>2</v>
      </c>
    </row>
    <row r="12485" spans="1:18" s="904" customFormat="1">
      <c r="A12485" s="905"/>
      <c r="B12485" s="896"/>
      <c r="C12485" s="897"/>
      <c r="D12485" s="897"/>
      <c r="E12485" s="1002" t="s">
        <v>276</v>
      </c>
      <c r="F12485" s="1003"/>
      <c r="G12485" s="1004"/>
      <c r="H12485" s="901"/>
      <c r="I12485" s="902"/>
      <c r="J12485" s="902"/>
      <c r="K12485" s="912" t="s">
        <v>274</v>
      </c>
      <c r="L12485" s="902"/>
      <c r="M12485" s="902"/>
      <c r="N12485" s="902"/>
      <c r="O12485" s="892">
        <f t="shared" si="1003"/>
        <v>0</v>
      </c>
      <c r="P12485" s="903">
        <f t="shared" si="1004"/>
        <v>1</v>
      </c>
      <c r="Q12485" s="893">
        <f t="shared" si="1007"/>
        <v>2</v>
      </c>
      <c r="R12485" s="894">
        <f>IF(Q12485=0,Q12486,0)</f>
        <v>0</v>
      </c>
    </row>
    <row r="12486" spans="1:18" s="904" customFormat="1">
      <c r="A12486" s="905"/>
      <c r="B12486" s="952"/>
      <c r="C12486" s="907">
        <v>740</v>
      </c>
      <c r="D12486" s="907" t="s">
        <v>12</v>
      </c>
      <c r="E12486" s="992" t="s">
        <v>4008</v>
      </c>
      <c r="F12486" s="905" t="s">
        <v>2674</v>
      </c>
      <c r="G12486" s="1005"/>
      <c r="H12486" s="911">
        <v>0.18</v>
      </c>
      <c r="I12486" s="912"/>
      <c r="J12486" s="912"/>
      <c r="K12486" s="912">
        <f>VLOOKUP(E12486,[5]ĐMNC!$A$7:$F$67,4,0)</f>
        <v>221125</v>
      </c>
      <c r="L12486" s="912">
        <f>H12486*K12486</f>
        <v>39802.5</v>
      </c>
      <c r="M12486" s="912"/>
      <c r="N12486" s="912"/>
      <c r="O12486" s="892">
        <f t="shared" si="1003"/>
        <v>0</v>
      </c>
      <c r="P12486" s="903">
        <f t="shared" si="1004"/>
        <v>1</v>
      </c>
      <c r="Q12486" s="893">
        <f t="shared" si="1007"/>
        <v>1</v>
      </c>
      <c r="R12486" s="894">
        <f t="shared" si="1006"/>
        <v>0</v>
      </c>
    </row>
    <row r="12487" spans="1:18" s="904" customFormat="1">
      <c r="A12487" s="905"/>
      <c r="B12487" s="914" t="s">
        <v>7165</v>
      </c>
      <c r="C12487" s="915"/>
      <c r="D12487" s="915"/>
      <c r="E12487" s="1006" t="s">
        <v>7166</v>
      </c>
      <c r="F12487" s="917" t="s">
        <v>1828</v>
      </c>
      <c r="G12487" s="1008"/>
      <c r="H12487" s="919"/>
      <c r="I12487" s="920"/>
      <c r="J12487" s="891">
        <f>SUM(J12488:J12489)</f>
        <v>0</v>
      </c>
      <c r="K12487" s="891"/>
      <c r="L12487" s="891">
        <f>SUM(L12488:L12489)</f>
        <v>552812.5</v>
      </c>
      <c r="M12487" s="891"/>
      <c r="N12487" s="891">
        <f>SUM(N12488:N12489)</f>
        <v>0</v>
      </c>
      <c r="O12487" s="892">
        <f t="shared" si="1003"/>
        <v>1</v>
      </c>
      <c r="P12487" s="903">
        <f t="shared" si="1004"/>
        <v>0</v>
      </c>
      <c r="Q12487" s="893">
        <f t="shared" si="1007"/>
        <v>0</v>
      </c>
      <c r="R12487" s="894">
        <f t="shared" si="1006"/>
        <v>2</v>
      </c>
    </row>
    <row r="12488" spans="1:18" s="904" customFormat="1">
      <c r="A12488" s="905"/>
      <c r="B12488" s="896"/>
      <c r="C12488" s="897"/>
      <c r="D12488" s="897"/>
      <c r="E12488" s="1002" t="s">
        <v>276</v>
      </c>
      <c r="F12488" s="1003"/>
      <c r="G12488" s="1004"/>
      <c r="H12488" s="901"/>
      <c r="I12488" s="902"/>
      <c r="J12488" s="902"/>
      <c r="K12488" s="912" t="s">
        <v>274</v>
      </c>
      <c r="L12488" s="902"/>
      <c r="M12488" s="902"/>
      <c r="N12488" s="902"/>
      <c r="O12488" s="892">
        <f t="shared" si="1003"/>
        <v>0</v>
      </c>
      <c r="P12488" s="903">
        <f t="shared" si="1004"/>
        <v>1</v>
      </c>
      <c r="Q12488" s="893">
        <f t="shared" si="1007"/>
        <v>2</v>
      </c>
      <c r="R12488" s="894">
        <f t="shared" si="1006"/>
        <v>0</v>
      </c>
    </row>
    <row r="12489" spans="1:18" s="904" customFormat="1">
      <c r="A12489" s="905"/>
      <c r="B12489" s="952"/>
      <c r="C12489" s="907">
        <v>740</v>
      </c>
      <c r="D12489" s="907" t="s">
        <v>12</v>
      </c>
      <c r="E12489" s="992" t="s">
        <v>4008</v>
      </c>
      <c r="F12489" s="905" t="s">
        <v>2674</v>
      </c>
      <c r="G12489" s="1005"/>
      <c r="H12489" s="911">
        <v>2.5</v>
      </c>
      <c r="I12489" s="912"/>
      <c r="J12489" s="912"/>
      <c r="K12489" s="912">
        <f>VLOOKUP(E12489,[5]ĐMNC!$A$7:$F$67,4,0)</f>
        <v>221125</v>
      </c>
      <c r="L12489" s="912">
        <f>H12489*K12489</f>
        <v>552812.5</v>
      </c>
      <c r="M12489" s="912"/>
      <c r="N12489" s="912"/>
      <c r="O12489" s="892">
        <f t="shared" si="1003"/>
        <v>0</v>
      </c>
      <c r="P12489" s="903">
        <f t="shared" si="1004"/>
        <v>1</v>
      </c>
      <c r="Q12489" s="893">
        <f t="shared" si="1007"/>
        <v>1</v>
      </c>
      <c r="R12489" s="894">
        <f>IF(Q12489=0,Q12490,0)</f>
        <v>0</v>
      </c>
    </row>
    <row r="12490" spans="1:18" s="904" customFormat="1">
      <c r="A12490" s="905"/>
      <c r="B12490" s="952"/>
      <c r="C12490" s="907"/>
      <c r="D12490" s="907"/>
      <c r="E12490" s="992"/>
      <c r="F12490" s="905"/>
      <c r="G12490" s="1005"/>
      <c r="H12490" s="911"/>
      <c r="I12490" s="912"/>
      <c r="J12490" s="912"/>
      <c r="K12490" s="912"/>
      <c r="L12490" s="912"/>
      <c r="M12490" s="912"/>
      <c r="N12490" s="912"/>
      <c r="O12490" s="892"/>
      <c r="P12490" s="903"/>
      <c r="Q12490" s="893"/>
      <c r="R12490" s="894"/>
    </row>
    <row r="12491" spans="1:18" s="904" customFormat="1">
      <c r="A12491" s="905"/>
      <c r="B12491" s="952"/>
      <c r="C12491" s="907"/>
      <c r="D12491" s="907"/>
      <c r="E12491" s="992"/>
      <c r="F12491" s="905"/>
      <c r="G12491" s="1005"/>
      <c r="H12491" s="911"/>
      <c r="I12491" s="912"/>
      <c r="J12491" s="912"/>
      <c r="K12491" s="912"/>
      <c r="L12491" s="912"/>
      <c r="M12491" s="912"/>
      <c r="N12491" s="912"/>
      <c r="O12491" s="892"/>
      <c r="P12491" s="903"/>
      <c r="Q12491" s="893"/>
      <c r="R12491" s="894"/>
    </row>
    <row r="12492" spans="1:18" s="904" customFormat="1">
      <c r="A12492" s="905"/>
      <c r="B12492" s="952"/>
      <c r="C12492" s="907"/>
      <c r="D12492" s="907"/>
      <c r="E12492" s="992"/>
      <c r="F12492" s="905"/>
      <c r="G12492" s="1005"/>
      <c r="H12492" s="911"/>
      <c r="I12492" s="912"/>
      <c r="J12492" s="912"/>
      <c r="K12492" s="912"/>
      <c r="L12492" s="912"/>
      <c r="M12492" s="912"/>
      <c r="N12492" s="912"/>
      <c r="O12492" s="892"/>
      <c r="P12492" s="903"/>
      <c r="Q12492" s="893"/>
      <c r="R12492" s="894"/>
    </row>
    <row r="12493" spans="1:18" s="904" customFormat="1">
      <c r="A12493" s="905"/>
      <c r="B12493" s="952"/>
      <c r="C12493" s="907"/>
      <c r="D12493" s="907"/>
      <c r="E12493" s="992"/>
      <c r="F12493" s="905"/>
      <c r="G12493" s="1005"/>
      <c r="H12493" s="911"/>
      <c r="I12493" s="912"/>
      <c r="J12493" s="912"/>
      <c r="K12493" s="912"/>
      <c r="L12493" s="912"/>
      <c r="M12493" s="912"/>
      <c r="N12493" s="912"/>
      <c r="O12493" s="892"/>
      <c r="P12493" s="903"/>
      <c r="Q12493" s="893"/>
      <c r="R12493" s="894"/>
    </row>
    <row r="12494" spans="1:18" s="904" customFormat="1">
      <c r="A12494" s="905"/>
      <c r="B12494" s="952"/>
      <c r="C12494" s="907"/>
      <c r="D12494" s="907"/>
      <c r="E12494" s="992"/>
      <c r="F12494" s="905"/>
      <c r="G12494" s="1005"/>
      <c r="H12494" s="911"/>
      <c r="I12494" s="912"/>
      <c r="J12494" s="912"/>
      <c r="K12494" s="912"/>
      <c r="L12494" s="912"/>
      <c r="M12494" s="912"/>
      <c r="N12494" s="912"/>
      <c r="O12494" s="892"/>
      <c r="P12494" s="903"/>
      <c r="Q12494" s="893"/>
      <c r="R12494" s="894"/>
    </row>
    <row r="12495" spans="1:18" s="904" customFormat="1">
      <c r="A12495" s="905"/>
      <c r="B12495" s="952"/>
      <c r="C12495" s="907"/>
      <c r="D12495" s="907"/>
      <c r="E12495" s="992"/>
      <c r="F12495" s="905"/>
      <c r="G12495" s="1005"/>
      <c r="H12495" s="911"/>
      <c r="I12495" s="912"/>
      <c r="J12495" s="912"/>
      <c r="K12495" s="912"/>
      <c r="L12495" s="912"/>
      <c r="M12495" s="912"/>
      <c r="N12495" s="912"/>
      <c r="O12495" s="892"/>
      <c r="P12495" s="903"/>
      <c r="Q12495" s="893"/>
      <c r="R12495" s="894"/>
    </row>
    <row r="12496" spans="1:18">
      <c r="A12496" s="905">
        <v>677</v>
      </c>
      <c r="B12496" s="1018" t="s">
        <v>7167</v>
      </c>
      <c r="C12496" s="915"/>
      <c r="D12496" s="915"/>
      <c r="E12496" s="1006" t="s">
        <v>7168</v>
      </c>
      <c r="F12496" s="1007" t="s">
        <v>136</v>
      </c>
      <c r="G12496" s="1008"/>
      <c r="H12496" s="919"/>
      <c r="I12496" s="920"/>
      <c r="J12496" s="891">
        <f>SUM(J12497:J12499)</f>
        <v>0</v>
      </c>
      <c r="K12496" s="891" t="s">
        <v>274</v>
      </c>
      <c r="L12496" s="891">
        <f>SUM(L12497:L12499)</f>
        <v>2465543.75</v>
      </c>
      <c r="M12496" s="891"/>
      <c r="N12496" s="891">
        <f>SUM(N12497:N12499)</f>
        <v>0</v>
      </c>
      <c r="O12496" s="892">
        <f t="shared" si="1003"/>
        <v>1</v>
      </c>
      <c r="P12496" s="903">
        <f t="shared" si="1004"/>
        <v>0</v>
      </c>
      <c r="Q12496" s="893">
        <f t="shared" si="1005"/>
        <v>0</v>
      </c>
      <c r="R12496" s="894">
        <f t="shared" si="1006"/>
        <v>3</v>
      </c>
    </row>
    <row r="12497" spans="1:18" s="847" customFormat="1">
      <c r="A12497" s="895"/>
      <c r="B12497" s="945"/>
      <c r="C12497" s="897"/>
      <c r="D12497" s="897"/>
      <c r="E12497" s="1002" t="s">
        <v>108</v>
      </c>
      <c r="F12497" s="1003"/>
      <c r="G12497" s="1004"/>
      <c r="H12497" s="901"/>
      <c r="I12497" s="902"/>
      <c r="J12497" s="902"/>
      <c r="K12497" s="912" t="s">
        <v>274</v>
      </c>
      <c r="L12497" s="902"/>
      <c r="M12497" s="902"/>
      <c r="N12497" s="902"/>
      <c r="O12497" s="892">
        <f t="shared" si="1003"/>
        <v>0</v>
      </c>
      <c r="P12497" s="903">
        <f t="shared" si="1004"/>
        <v>1</v>
      </c>
      <c r="Q12497" s="893">
        <f t="shared" si="1005"/>
        <v>3</v>
      </c>
      <c r="R12497" s="894">
        <f t="shared" si="1006"/>
        <v>0</v>
      </c>
    </row>
    <row r="12498" spans="1:18">
      <c r="A12498" s="895"/>
      <c r="B12498" s="896"/>
      <c r="C12498" s="897"/>
      <c r="D12498" s="897"/>
      <c r="E12498" s="1002" t="s">
        <v>276</v>
      </c>
      <c r="F12498" s="1003"/>
      <c r="G12498" s="1004"/>
      <c r="H12498" s="901"/>
      <c r="I12498" s="902"/>
      <c r="J12498" s="902"/>
      <c r="K12498" s="912" t="s">
        <v>274</v>
      </c>
      <c r="L12498" s="902"/>
      <c r="M12498" s="902"/>
      <c r="N12498" s="902"/>
      <c r="O12498" s="892">
        <f t="shared" si="1003"/>
        <v>0</v>
      </c>
      <c r="P12498" s="903">
        <f t="shared" si="1004"/>
        <v>1</v>
      </c>
      <c r="Q12498" s="893">
        <f t="shared" si="1005"/>
        <v>2</v>
      </c>
      <c r="R12498" s="894">
        <f t="shared" si="1006"/>
        <v>0</v>
      </c>
    </row>
    <row r="12499" spans="1:18" s="904" customFormat="1">
      <c r="A12499" s="905"/>
      <c r="B12499" s="952"/>
      <c r="C12499" s="907">
        <v>740</v>
      </c>
      <c r="D12499" s="907" t="s">
        <v>12</v>
      </c>
      <c r="E12499" s="992" t="s">
        <v>4008</v>
      </c>
      <c r="F12499" s="905" t="s">
        <v>2674</v>
      </c>
      <c r="G12499" s="1005"/>
      <c r="H12499" s="911">
        <v>11.15</v>
      </c>
      <c r="I12499" s="912"/>
      <c r="J12499" s="912"/>
      <c r="K12499" s="912">
        <f>VLOOKUP(E12499,[5]ĐMNC!$A$7:$F$67,4,0)</f>
        <v>221125</v>
      </c>
      <c r="L12499" s="912">
        <f>H12499*K12499</f>
        <v>2465543.75</v>
      </c>
      <c r="M12499" s="912"/>
      <c r="N12499" s="912"/>
      <c r="O12499" s="892">
        <f t="shared" si="1003"/>
        <v>0</v>
      </c>
      <c r="P12499" s="903">
        <f t="shared" si="1004"/>
        <v>1</v>
      </c>
      <c r="Q12499" s="893">
        <f t="shared" si="1005"/>
        <v>1</v>
      </c>
      <c r="R12499" s="894">
        <f t="shared" si="1006"/>
        <v>0</v>
      </c>
    </row>
    <row r="12500" spans="1:18">
      <c r="A12500" s="905">
        <v>678</v>
      </c>
      <c r="B12500" s="1018" t="s">
        <v>175</v>
      </c>
      <c r="C12500" s="915"/>
      <c r="D12500" s="915"/>
      <c r="E12500" s="1006" t="s">
        <v>7169</v>
      </c>
      <c r="F12500" s="1007" t="s">
        <v>136</v>
      </c>
      <c r="G12500" s="1008"/>
      <c r="H12500" s="919"/>
      <c r="I12500" s="920"/>
      <c r="J12500" s="891">
        <f>SUM(J12501:J12502)</f>
        <v>0</v>
      </c>
      <c r="K12500" s="891"/>
      <c r="L12500" s="891">
        <f>SUM(L12501:L12502)</f>
        <v>2242207.5</v>
      </c>
      <c r="M12500" s="891"/>
      <c r="N12500" s="891">
        <f>SUM(N12501:N12502)</f>
        <v>0</v>
      </c>
      <c r="O12500" s="892">
        <f t="shared" si="1003"/>
        <v>1</v>
      </c>
      <c r="P12500" s="903">
        <f t="shared" si="1004"/>
        <v>0</v>
      </c>
      <c r="Q12500" s="893">
        <f t="shared" si="1005"/>
        <v>0</v>
      </c>
      <c r="R12500" s="894">
        <f t="shared" si="1006"/>
        <v>2</v>
      </c>
    </row>
    <row r="12501" spans="1:18" s="847" customFormat="1">
      <c r="A12501" s="895"/>
      <c r="B12501" s="896"/>
      <c r="C12501" s="897"/>
      <c r="D12501" s="897"/>
      <c r="E12501" s="1002" t="s">
        <v>276</v>
      </c>
      <c r="F12501" s="1003"/>
      <c r="G12501" s="1004"/>
      <c r="H12501" s="901"/>
      <c r="I12501" s="902"/>
      <c r="J12501" s="902"/>
      <c r="K12501" s="912" t="s">
        <v>274</v>
      </c>
      <c r="L12501" s="902"/>
      <c r="M12501" s="902"/>
      <c r="N12501" s="902"/>
      <c r="O12501" s="892">
        <f t="shared" si="1003"/>
        <v>0</v>
      </c>
      <c r="P12501" s="903">
        <f t="shared" si="1004"/>
        <v>1</v>
      </c>
      <c r="Q12501" s="893">
        <f t="shared" si="1005"/>
        <v>2</v>
      </c>
      <c r="R12501" s="894">
        <f t="shared" si="1006"/>
        <v>0</v>
      </c>
    </row>
    <row r="12502" spans="1:18" s="904" customFormat="1">
      <c r="A12502" s="905"/>
      <c r="B12502" s="952"/>
      <c r="C12502" s="907">
        <v>740</v>
      </c>
      <c r="D12502" s="907" t="s">
        <v>12</v>
      </c>
      <c r="E12502" s="992" t="s">
        <v>4008</v>
      </c>
      <c r="F12502" s="905" t="s">
        <v>2674</v>
      </c>
      <c r="G12502" s="1005"/>
      <c r="H12502" s="911">
        <v>10.14</v>
      </c>
      <c r="I12502" s="912"/>
      <c r="J12502" s="912"/>
      <c r="K12502" s="912">
        <f>VLOOKUP(E12502,[5]ĐMNC!$A$7:$F$67,4,0)</f>
        <v>221125</v>
      </c>
      <c r="L12502" s="912">
        <f>H12502*K12502</f>
        <v>2242207.5</v>
      </c>
      <c r="M12502" s="912"/>
      <c r="N12502" s="912"/>
      <c r="O12502" s="892">
        <f t="shared" si="1003"/>
        <v>0</v>
      </c>
      <c r="P12502" s="903">
        <f t="shared" si="1004"/>
        <v>1</v>
      </c>
      <c r="Q12502" s="893">
        <f t="shared" si="1005"/>
        <v>1</v>
      </c>
      <c r="R12502" s="894">
        <f t="shared" si="1006"/>
        <v>0</v>
      </c>
    </row>
    <row r="12503" spans="1:18">
      <c r="A12503" s="905">
        <v>679</v>
      </c>
      <c r="B12503" s="1018" t="s">
        <v>2462</v>
      </c>
      <c r="C12503" s="915"/>
      <c r="D12503" s="915"/>
      <c r="E12503" s="1006" t="s">
        <v>7170</v>
      </c>
      <c r="F12503" s="1007" t="s">
        <v>1828</v>
      </c>
      <c r="G12503" s="1008"/>
      <c r="H12503" s="919"/>
      <c r="I12503" s="920"/>
      <c r="J12503" s="891">
        <f>SUM(J12504:J12507)</f>
        <v>12000</v>
      </c>
      <c r="K12503" s="891"/>
      <c r="L12503" s="891">
        <f>SUM(L12504:L12507)</f>
        <v>331687.5</v>
      </c>
      <c r="M12503" s="891"/>
      <c r="N12503" s="891">
        <f>SUM(N12504:N12507)</f>
        <v>0</v>
      </c>
      <c r="O12503" s="892">
        <f t="shared" si="1003"/>
        <v>1</v>
      </c>
      <c r="P12503" s="903">
        <f t="shared" si="1004"/>
        <v>0</v>
      </c>
      <c r="Q12503" s="893">
        <f t="shared" si="1005"/>
        <v>0</v>
      </c>
      <c r="R12503" s="894">
        <f t="shared" si="1006"/>
        <v>4</v>
      </c>
    </row>
    <row r="12504" spans="1:18">
      <c r="A12504" s="895"/>
      <c r="B12504" s="896"/>
      <c r="C12504" s="897"/>
      <c r="D12504" s="897"/>
      <c r="E12504" s="1002" t="s">
        <v>108</v>
      </c>
      <c r="F12504" s="1003"/>
      <c r="G12504" s="1004"/>
      <c r="H12504" s="901"/>
      <c r="I12504" s="902"/>
      <c r="J12504" s="902"/>
      <c r="K12504" s="912" t="s">
        <v>274</v>
      </c>
      <c r="L12504" s="902"/>
      <c r="M12504" s="902"/>
      <c r="N12504" s="902"/>
      <c r="O12504" s="892">
        <f t="shared" si="1003"/>
        <v>0</v>
      </c>
      <c r="P12504" s="903">
        <f t="shared" si="1004"/>
        <v>1</v>
      </c>
      <c r="Q12504" s="893">
        <f t="shared" si="1005"/>
        <v>4</v>
      </c>
      <c r="R12504" s="894">
        <f t="shared" si="1006"/>
        <v>0</v>
      </c>
    </row>
    <row r="12505" spans="1:18" s="904" customFormat="1">
      <c r="A12505" s="905"/>
      <c r="B12505" s="952"/>
      <c r="C12505" s="907">
        <v>316</v>
      </c>
      <c r="D12505" s="907" t="s">
        <v>279</v>
      </c>
      <c r="E12505" s="992" t="s">
        <v>5698</v>
      </c>
      <c r="F12505" s="905" t="s">
        <v>51</v>
      </c>
      <c r="G12505" s="1005"/>
      <c r="H12505" s="911">
        <v>4</v>
      </c>
      <c r="I12505" s="912">
        <f>VLOOKUP(E12505,[3]VLP!$B$7:$K$300,10,0)</f>
        <v>3000</v>
      </c>
      <c r="J12505" s="912">
        <f>I12505*H12505</f>
        <v>12000</v>
      </c>
      <c r="K12505" s="912" t="s">
        <v>274</v>
      </c>
      <c r="L12505" s="912"/>
      <c r="M12505" s="912"/>
      <c r="N12505" s="912"/>
      <c r="O12505" s="892">
        <f t="shared" si="1003"/>
        <v>0</v>
      </c>
      <c r="P12505" s="903">
        <f t="shared" si="1004"/>
        <v>1</v>
      </c>
      <c r="Q12505" s="893">
        <f t="shared" si="1005"/>
        <v>3</v>
      </c>
      <c r="R12505" s="894">
        <f t="shared" si="1006"/>
        <v>0</v>
      </c>
    </row>
    <row r="12506" spans="1:18">
      <c r="A12506" s="895"/>
      <c r="B12506" s="896"/>
      <c r="C12506" s="897"/>
      <c r="D12506" s="897"/>
      <c r="E12506" s="1002" t="s">
        <v>276</v>
      </c>
      <c r="F12506" s="1003"/>
      <c r="G12506" s="1004"/>
      <c r="H12506" s="901"/>
      <c r="I12506" s="902"/>
      <c r="J12506" s="902"/>
      <c r="K12506" s="912" t="s">
        <v>274</v>
      </c>
      <c r="L12506" s="902"/>
      <c r="M12506" s="902"/>
      <c r="N12506" s="902"/>
      <c r="O12506" s="892">
        <f t="shared" si="1003"/>
        <v>0</v>
      </c>
      <c r="P12506" s="903">
        <f t="shared" si="1004"/>
        <v>1</v>
      </c>
      <c r="Q12506" s="893">
        <f t="shared" si="1005"/>
        <v>2</v>
      </c>
      <c r="R12506" s="894">
        <f t="shared" si="1006"/>
        <v>0</v>
      </c>
    </row>
    <row r="12507" spans="1:18" s="847" customFormat="1">
      <c r="A12507" s="905"/>
      <c r="B12507" s="952"/>
      <c r="C12507" s="907">
        <v>740</v>
      </c>
      <c r="D12507" s="907" t="s">
        <v>12</v>
      </c>
      <c r="E12507" s="992" t="s">
        <v>4008</v>
      </c>
      <c r="F12507" s="905" t="s">
        <v>2674</v>
      </c>
      <c r="G12507" s="1005"/>
      <c r="H12507" s="911">
        <v>1.5</v>
      </c>
      <c r="I12507" s="912"/>
      <c r="J12507" s="912"/>
      <c r="K12507" s="912">
        <f>VLOOKUP(E12507,[5]ĐMNC!$A$7:$F$67,4,0)</f>
        <v>221125</v>
      </c>
      <c r="L12507" s="912">
        <f>H12507*K12507</f>
        <v>331687.5</v>
      </c>
      <c r="M12507" s="912"/>
      <c r="N12507" s="912"/>
      <c r="O12507" s="892">
        <f t="shared" si="1003"/>
        <v>0</v>
      </c>
      <c r="P12507" s="903">
        <f t="shared" si="1004"/>
        <v>1</v>
      </c>
      <c r="Q12507" s="893">
        <f t="shared" si="1005"/>
        <v>1</v>
      </c>
      <c r="R12507" s="894">
        <f t="shared" si="1006"/>
        <v>0</v>
      </c>
    </row>
    <row r="12508" spans="1:18" s="904" customFormat="1">
      <c r="A12508" s="905">
        <v>680</v>
      </c>
      <c r="B12508" s="1018" t="s">
        <v>2464</v>
      </c>
      <c r="C12508" s="915"/>
      <c r="D12508" s="915"/>
      <c r="E12508" s="1006" t="s">
        <v>7171</v>
      </c>
      <c r="F12508" s="1007" t="s">
        <v>1828</v>
      </c>
      <c r="G12508" s="1008"/>
      <c r="H12508" s="919"/>
      <c r="I12508" s="920"/>
      <c r="J12508" s="891">
        <f>SUM(J12509:J12512)</f>
        <v>12000</v>
      </c>
      <c r="K12508" s="891"/>
      <c r="L12508" s="891">
        <f>SUM(L12509:L12512)</f>
        <v>663375</v>
      </c>
      <c r="M12508" s="891"/>
      <c r="N12508" s="891">
        <f>SUM(N12509:N12512)</f>
        <v>0</v>
      </c>
      <c r="O12508" s="892">
        <f t="shared" si="1003"/>
        <v>1</v>
      </c>
      <c r="P12508" s="903">
        <f t="shared" si="1004"/>
        <v>0</v>
      </c>
      <c r="Q12508" s="893">
        <f t="shared" si="1005"/>
        <v>0</v>
      </c>
      <c r="R12508" s="894">
        <f t="shared" si="1006"/>
        <v>4</v>
      </c>
    </row>
    <row r="12509" spans="1:18">
      <c r="A12509" s="895"/>
      <c r="B12509" s="896"/>
      <c r="C12509" s="897"/>
      <c r="D12509" s="897"/>
      <c r="E12509" s="1002" t="s">
        <v>108</v>
      </c>
      <c r="F12509" s="1003"/>
      <c r="G12509" s="1004"/>
      <c r="H12509" s="901"/>
      <c r="I12509" s="902"/>
      <c r="J12509" s="902"/>
      <c r="K12509" s="912" t="s">
        <v>274</v>
      </c>
      <c r="L12509" s="902"/>
      <c r="M12509" s="902"/>
      <c r="N12509" s="902"/>
      <c r="O12509" s="892">
        <f t="shared" si="1003"/>
        <v>0</v>
      </c>
      <c r="P12509" s="903">
        <f t="shared" si="1004"/>
        <v>1</v>
      </c>
      <c r="Q12509" s="893">
        <f t="shared" si="1005"/>
        <v>4</v>
      </c>
      <c r="R12509" s="894">
        <f t="shared" si="1006"/>
        <v>0</v>
      </c>
    </row>
    <row r="12510" spans="1:18">
      <c r="A12510" s="905"/>
      <c r="B12510" s="952"/>
      <c r="C12510" s="907">
        <v>316</v>
      </c>
      <c r="D12510" s="907" t="s">
        <v>279</v>
      </c>
      <c r="E12510" s="992" t="s">
        <v>5698</v>
      </c>
      <c r="F12510" s="905" t="s">
        <v>51</v>
      </c>
      <c r="G12510" s="1005"/>
      <c r="H12510" s="911">
        <v>4</v>
      </c>
      <c r="I12510" s="912">
        <f>VLOOKUP(E12510,[3]VLP!$B$7:$K$300,10,0)</f>
        <v>3000</v>
      </c>
      <c r="J12510" s="912">
        <f>I12510*H12510</f>
        <v>12000</v>
      </c>
      <c r="K12510" s="912" t="s">
        <v>274</v>
      </c>
      <c r="L12510" s="912"/>
      <c r="M12510" s="912"/>
      <c r="N12510" s="912"/>
      <c r="O12510" s="892">
        <f t="shared" si="1003"/>
        <v>0</v>
      </c>
      <c r="P12510" s="903">
        <f t="shared" si="1004"/>
        <v>1</v>
      </c>
      <c r="Q12510" s="893">
        <f t="shared" si="1005"/>
        <v>3</v>
      </c>
      <c r="R12510" s="894">
        <f t="shared" si="1006"/>
        <v>0</v>
      </c>
    </row>
    <row r="12511" spans="1:18" s="904" customFormat="1">
      <c r="A12511" s="895"/>
      <c r="B12511" s="896"/>
      <c r="C12511" s="897"/>
      <c r="D12511" s="897"/>
      <c r="E12511" s="1002" t="s">
        <v>276</v>
      </c>
      <c r="F12511" s="1003"/>
      <c r="G12511" s="1004"/>
      <c r="H12511" s="901"/>
      <c r="I12511" s="902"/>
      <c r="J12511" s="902"/>
      <c r="K12511" s="912" t="s">
        <v>274</v>
      </c>
      <c r="L12511" s="902"/>
      <c r="M12511" s="902"/>
      <c r="N12511" s="902"/>
      <c r="O12511" s="892">
        <f t="shared" ref="O12511:O12597" si="1008">IF(AND(B12511&lt;&gt;"",D12511=""),1,0)</f>
        <v>0</v>
      </c>
      <c r="P12511" s="903">
        <f t="shared" si="1004"/>
        <v>1</v>
      </c>
      <c r="Q12511" s="893">
        <f t="shared" si="1005"/>
        <v>2</v>
      </c>
      <c r="R12511" s="894">
        <f t="shared" si="1006"/>
        <v>0</v>
      </c>
    </row>
    <row r="12512" spans="1:18">
      <c r="A12512" s="905"/>
      <c r="B12512" s="952"/>
      <c r="C12512" s="907">
        <v>740</v>
      </c>
      <c r="D12512" s="907" t="s">
        <v>12</v>
      </c>
      <c r="E12512" s="992" t="s">
        <v>4008</v>
      </c>
      <c r="F12512" s="905" t="s">
        <v>2674</v>
      </c>
      <c r="G12512" s="1005"/>
      <c r="H12512" s="911">
        <v>3</v>
      </c>
      <c r="I12512" s="912"/>
      <c r="J12512" s="912"/>
      <c r="K12512" s="912">
        <f>VLOOKUP(E12512,[5]ĐMNC!$A$7:$F$67,4,0)</f>
        <v>221125</v>
      </c>
      <c r="L12512" s="912">
        <f>H12512*K12512</f>
        <v>663375</v>
      </c>
      <c r="M12512" s="912"/>
      <c r="N12512" s="912"/>
      <c r="O12512" s="892">
        <f t="shared" si="1008"/>
        <v>0</v>
      </c>
      <c r="P12512" s="903">
        <f t="shared" si="1004"/>
        <v>1</v>
      </c>
      <c r="Q12512" s="893">
        <f t="shared" si="1005"/>
        <v>1</v>
      </c>
      <c r="R12512" s="894">
        <f t="shared" si="1006"/>
        <v>0</v>
      </c>
    </row>
    <row r="12513" spans="1:18">
      <c r="A12513" s="905" t="s">
        <v>7172</v>
      </c>
      <c r="B12513" s="1018" t="s">
        <v>7173</v>
      </c>
      <c r="C12513" s="915"/>
      <c r="D12513" s="915"/>
      <c r="E12513" s="1006" t="s">
        <v>7174</v>
      </c>
      <c r="F12513" s="1007" t="s">
        <v>136</v>
      </c>
      <c r="G12513" s="1008"/>
      <c r="H12513" s="919"/>
      <c r="I12513" s="920"/>
      <c r="J12513" s="891">
        <f>SUM(J12514:J12527)</f>
        <v>224349.36499999999</v>
      </c>
      <c r="K12513" s="891" t="s">
        <v>274</v>
      </c>
      <c r="L12513" s="891">
        <f>SUM(L12514:L12527)</f>
        <v>3409988.2199999997</v>
      </c>
      <c r="M12513" s="891"/>
      <c r="N12513" s="891">
        <f>SUM(N12514:N12527)</f>
        <v>268557.06</v>
      </c>
      <c r="O12513" s="892">
        <f t="shared" si="1008"/>
        <v>1</v>
      </c>
      <c r="P12513" s="903">
        <f t="shared" si="1004"/>
        <v>0</v>
      </c>
      <c r="Q12513" s="893">
        <f t="shared" si="1005"/>
        <v>0</v>
      </c>
      <c r="R12513" s="894">
        <f t="shared" si="1006"/>
        <v>14</v>
      </c>
    </row>
    <row r="12514" spans="1:18" s="904" customFormat="1">
      <c r="A12514" s="895"/>
      <c r="B12514" s="896"/>
      <c r="C12514" s="897"/>
      <c r="D12514" s="897"/>
      <c r="E12514" s="1002" t="s">
        <v>108</v>
      </c>
      <c r="F12514" s="895"/>
      <c r="G12514" s="1004"/>
      <c r="H12514" s="901"/>
      <c r="I12514" s="902"/>
      <c r="J12514" s="902"/>
      <c r="K12514" s="912" t="s">
        <v>274</v>
      </c>
      <c r="L12514" s="902"/>
      <c r="M12514" s="902"/>
      <c r="N12514" s="902"/>
      <c r="O12514" s="892">
        <f t="shared" si="1008"/>
        <v>0</v>
      </c>
      <c r="P12514" s="903">
        <f t="shared" si="1004"/>
        <v>1</v>
      </c>
      <c r="Q12514" s="893">
        <f t="shared" si="1005"/>
        <v>14</v>
      </c>
      <c r="R12514" s="894">
        <f t="shared" si="1006"/>
        <v>0</v>
      </c>
    </row>
    <row r="12515" spans="1:18">
      <c r="A12515" s="905"/>
      <c r="B12515" s="952"/>
      <c r="C12515" s="907">
        <v>229</v>
      </c>
      <c r="D12515" s="907" t="s">
        <v>279</v>
      </c>
      <c r="E12515" s="992" t="s">
        <v>6318</v>
      </c>
      <c r="F12515" s="905" t="s">
        <v>45</v>
      </c>
      <c r="G12515" s="1005"/>
      <c r="H12515" s="911">
        <v>3.2</v>
      </c>
      <c r="I12515" s="912">
        <f>VLOOKUP(E12515,[3]VLP!$B$7:$K$300,10,0)</f>
        <v>14762</v>
      </c>
      <c r="J12515" s="912">
        <f t="shared" ref="J12515:J12522" si="1009">I12515*H12515</f>
        <v>47238.400000000001</v>
      </c>
      <c r="K12515" s="912" t="s">
        <v>274</v>
      </c>
      <c r="L12515" s="912"/>
      <c r="M12515" s="912"/>
      <c r="N12515" s="912"/>
      <c r="O12515" s="892">
        <f t="shared" si="1008"/>
        <v>0</v>
      </c>
      <c r="P12515" s="903">
        <f t="shared" si="1004"/>
        <v>1</v>
      </c>
      <c r="Q12515" s="893">
        <f t="shared" si="1005"/>
        <v>13</v>
      </c>
      <c r="R12515" s="894">
        <f t="shared" si="1006"/>
        <v>0</v>
      </c>
    </row>
    <row r="12516" spans="1:18" s="847" customFormat="1">
      <c r="A12516" s="905"/>
      <c r="B12516" s="952"/>
      <c r="C12516" s="907">
        <v>309</v>
      </c>
      <c r="D12516" s="907" t="s">
        <v>279</v>
      </c>
      <c r="E12516" s="992" t="s">
        <v>3262</v>
      </c>
      <c r="F12516" s="905" t="s">
        <v>45</v>
      </c>
      <c r="G12516" s="1005"/>
      <c r="H12516" s="911">
        <v>0.4</v>
      </c>
      <c r="I12516" s="912">
        <f>VLOOKUP(E12516,[3]VLP!$B$7:$K$300,10,0)</f>
        <v>66300</v>
      </c>
      <c r="J12516" s="912">
        <f t="shared" si="1009"/>
        <v>26520</v>
      </c>
      <c r="K12516" s="912" t="s">
        <v>274</v>
      </c>
      <c r="L12516" s="912"/>
      <c r="M12516" s="912"/>
      <c r="N12516" s="912"/>
      <c r="O12516" s="892">
        <f t="shared" si="1008"/>
        <v>0</v>
      </c>
      <c r="P12516" s="903">
        <f t="shared" si="1004"/>
        <v>1</v>
      </c>
      <c r="Q12516" s="893">
        <f t="shared" si="1005"/>
        <v>12</v>
      </c>
      <c r="R12516" s="894">
        <f t="shared" si="1006"/>
        <v>0</v>
      </c>
    </row>
    <row r="12517" spans="1:18" s="904" customFormat="1">
      <c r="A12517" s="905"/>
      <c r="B12517" s="952"/>
      <c r="C12517" s="907">
        <v>306</v>
      </c>
      <c r="D12517" s="907" t="s">
        <v>279</v>
      </c>
      <c r="E12517" s="992" t="s">
        <v>4116</v>
      </c>
      <c r="F12517" s="905" t="s">
        <v>45</v>
      </c>
      <c r="G12517" s="1005"/>
      <c r="H12517" s="911">
        <v>0.3</v>
      </c>
      <c r="I12517" s="912">
        <f>VLOOKUP(E12517,[3]VLP!$B$7:$K$300,10,0)</f>
        <v>28182</v>
      </c>
      <c r="J12517" s="912">
        <f t="shared" si="1009"/>
        <v>8454.6</v>
      </c>
      <c r="K12517" s="912" t="s">
        <v>274</v>
      </c>
      <c r="L12517" s="912"/>
      <c r="M12517" s="912"/>
      <c r="N12517" s="912"/>
      <c r="O12517" s="892">
        <f t="shared" si="1008"/>
        <v>0</v>
      </c>
      <c r="P12517" s="903">
        <f t="shared" si="1004"/>
        <v>1</v>
      </c>
      <c r="Q12517" s="893">
        <f t="shared" si="1005"/>
        <v>11</v>
      </c>
      <c r="R12517" s="894">
        <f t="shared" si="1006"/>
        <v>0</v>
      </c>
    </row>
    <row r="12518" spans="1:18">
      <c r="A12518" s="905"/>
      <c r="B12518" s="952"/>
      <c r="C12518" s="907">
        <v>234</v>
      </c>
      <c r="D12518" s="907" t="s">
        <v>279</v>
      </c>
      <c r="E12518" s="992" t="s">
        <v>5983</v>
      </c>
      <c r="F12518" s="905" t="s">
        <v>3144</v>
      </c>
      <c r="G12518" s="1005"/>
      <c r="H12518" s="911">
        <v>7</v>
      </c>
      <c r="I12518" s="912">
        <f>VLOOKUP(E12518,[3]VLP!$B$7:$K$300,10,0)</f>
        <v>14000</v>
      </c>
      <c r="J12518" s="912">
        <f t="shared" si="1009"/>
        <v>98000</v>
      </c>
      <c r="K12518" s="912" t="s">
        <v>274</v>
      </c>
      <c r="L12518" s="912"/>
      <c r="M12518" s="912"/>
      <c r="N12518" s="912"/>
      <c r="O12518" s="892">
        <f t="shared" si="1008"/>
        <v>0</v>
      </c>
      <c r="P12518" s="903">
        <f t="shared" si="1004"/>
        <v>1</v>
      </c>
      <c r="Q12518" s="893">
        <f t="shared" si="1005"/>
        <v>10</v>
      </c>
      <c r="R12518" s="894">
        <f t="shared" si="1006"/>
        <v>0</v>
      </c>
    </row>
    <row r="12519" spans="1:18">
      <c r="A12519" s="905"/>
      <c r="B12519" s="952"/>
      <c r="C12519" s="907">
        <v>235</v>
      </c>
      <c r="D12519" s="907" t="s">
        <v>279</v>
      </c>
      <c r="E12519" s="992" t="s">
        <v>2682</v>
      </c>
      <c r="F12519" s="905" t="s">
        <v>45</v>
      </c>
      <c r="G12519" s="1005"/>
      <c r="H12519" s="911">
        <v>0.2</v>
      </c>
      <c r="I12519" s="912">
        <f>VLOOKUP(E12519,[3]VLP!$B$7:$K$300,10,0)</f>
        <v>5000</v>
      </c>
      <c r="J12519" s="912">
        <f t="shared" si="1009"/>
        <v>1000</v>
      </c>
      <c r="K12519" s="912" t="s">
        <v>274</v>
      </c>
      <c r="L12519" s="912"/>
      <c r="M12519" s="912"/>
      <c r="N12519" s="912"/>
      <c r="O12519" s="892">
        <f t="shared" si="1008"/>
        <v>0</v>
      </c>
      <c r="P12519" s="903">
        <f t="shared" si="1004"/>
        <v>1</v>
      </c>
      <c r="Q12519" s="893">
        <f t="shared" si="1005"/>
        <v>9</v>
      </c>
      <c r="R12519" s="894">
        <f t="shared" si="1006"/>
        <v>0</v>
      </c>
    </row>
    <row r="12520" spans="1:18" s="904" customFormat="1">
      <c r="A12520" s="905"/>
      <c r="B12520" s="952"/>
      <c r="C12520" s="907">
        <v>209</v>
      </c>
      <c r="D12520" s="907" t="s">
        <v>279</v>
      </c>
      <c r="E12520" s="992" t="s">
        <v>7175</v>
      </c>
      <c r="F12520" s="905" t="s">
        <v>51</v>
      </c>
      <c r="G12520" s="1005"/>
      <c r="H12520" s="911">
        <v>1.5</v>
      </c>
      <c r="I12520" s="912">
        <f>VLOOKUP(E12520,[3]VLP!$B$7:$K$300,10,0)</f>
        <v>15000</v>
      </c>
      <c r="J12520" s="912">
        <f t="shared" si="1009"/>
        <v>22500</v>
      </c>
      <c r="K12520" s="912" t="s">
        <v>274</v>
      </c>
      <c r="L12520" s="912"/>
      <c r="M12520" s="912"/>
      <c r="N12520" s="912"/>
      <c r="O12520" s="892">
        <f t="shared" si="1008"/>
        <v>0</v>
      </c>
      <c r="P12520" s="903">
        <f t="shared" si="1004"/>
        <v>1</v>
      </c>
      <c r="Q12520" s="893">
        <f t="shared" si="1005"/>
        <v>8</v>
      </c>
      <c r="R12520" s="894">
        <f t="shared" si="1006"/>
        <v>0</v>
      </c>
    </row>
    <row r="12521" spans="1:18">
      <c r="A12521" s="905"/>
      <c r="B12521" s="952"/>
      <c r="C12521" s="907">
        <v>236</v>
      </c>
      <c r="D12521" s="907" t="s">
        <v>279</v>
      </c>
      <c r="E12521" s="992" t="s">
        <v>7176</v>
      </c>
      <c r="F12521" s="905" t="s">
        <v>47</v>
      </c>
      <c r="G12521" s="1005"/>
      <c r="H12521" s="911">
        <v>3.0000000000000001E-3</v>
      </c>
      <c r="I12521" s="912">
        <f>VLOOKUP(E12521,[3]VLP!$B$7:$K$300,10,0)</f>
        <v>3545455</v>
      </c>
      <c r="J12521" s="912">
        <f t="shared" si="1009"/>
        <v>10636.365</v>
      </c>
      <c r="K12521" s="912" t="s">
        <v>274</v>
      </c>
      <c r="L12521" s="912"/>
      <c r="M12521" s="912"/>
      <c r="N12521" s="912"/>
      <c r="O12521" s="892">
        <f t="shared" si="1008"/>
        <v>0</v>
      </c>
      <c r="P12521" s="903">
        <f t="shared" si="1004"/>
        <v>1</v>
      </c>
      <c r="Q12521" s="893">
        <f t="shared" si="1005"/>
        <v>7</v>
      </c>
      <c r="R12521" s="894">
        <f t="shared" si="1006"/>
        <v>0</v>
      </c>
    </row>
    <row r="12522" spans="1:18" s="847" customFormat="1">
      <c r="A12522" s="905"/>
      <c r="B12522" s="952"/>
      <c r="C12522" s="907">
        <v>699</v>
      </c>
      <c r="D12522" s="907" t="s">
        <v>279</v>
      </c>
      <c r="E12522" s="992" t="s">
        <v>4006</v>
      </c>
      <c r="F12522" s="905" t="s">
        <v>4007</v>
      </c>
      <c r="G12522" s="1005"/>
      <c r="H12522" s="911">
        <v>2</v>
      </c>
      <c r="I12522" s="912">
        <f>VLOOKUP(E12522,[3]VLP!$B$7:$K$300,10,0)</f>
        <v>5000</v>
      </c>
      <c r="J12522" s="912">
        <f t="shared" si="1009"/>
        <v>10000</v>
      </c>
      <c r="K12522" s="912" t="s">
        <v>274</v>
      </c>
      <c r="L12522" s="912"/>
      <c r="M12522" s="912"/>
      <c r="N12522" s="912"/>
      <c r="O12522" s="892">
        <f t="shared" si="1008"/>
        <v>0</v>
      </c>
      <c r="P12522" s="903">
        <f t="shared" si="1004"/>
        <v>1</v>
      </c>
      <c r="Q12522" s="893">
        <f t="shared" si="1005"/>
        <v>6</v>
      </c>
      <c r="R12522" s="894">
        <f t="shared" si="1006"/>
        <v>0</v>
      </c>
    </row>
    <row r="12523" spans="1:18" s="904" customFormat="1">
      <c r="A12523" s="895"/>
      <c r="B12523" s="896"/>
      <c r="C12523" s="897"/>
      <c r="D12523" s="897"/>
      <c r="E12523" s="1002" t="s">
        <v>276</v>
      </c>
      <c r="F12523" s="1003"/>
      <c r="G12523" s="1004"/>
      <c r="H12523" s="901"/>
      <c r="I12523" s="902"/>
      <c r="J12523" s="902"/>
      <c r="K12523" s="912" t="s">
        <v>274</v>
      </c>
      <c r="L12523" s="902"/>
      <c r="M12523" s="902"/>
      <c r="N12523" s="902"/>
      <c r="O12523" s="892">
        <f t="shared" si="1008"/>
        <v>0</v>
      </c>
      <c r="P12523" s="903">
        <f t="shared" si="1004"/>
        <v>1</v>
      </c>
      <c r="Q12523" s="893">
        <f t="shared" si="1005"/>
        <v>5</v>
      </c>
      <c r="R12523" s="894">
        <f t="shared" si="1006"/>
        <v>0</v>
      </c>
    </row>
    <row r="12524" spans="1:18">
      <c r="A12524" s="905"/>
      <c r="B12524" s="952"/>
      <c r="C12524" s="907">
        <v>735</v>
      </c>
      <c r="D12524" s="907" t="s">
        <v>12</v>
      </c>
      <c r="E12524" s="992" t="s">
        <v>4065</v>
      </c>
      <c r="F12524" s="905" t="s">
        <v>2674</v>
      </c>
      <c r="G12524" s="1005"/>
      <c r="H12524" s="911">
        <v>16.739999999999998</v>
      </c>
      <c r="I12524" s="912"/>
      <c r="J12524" s="912"/>
      <c r="K12524" s="912">
        <f>VLOOKUP(E12524,[5]ĐMNC!$A$7:$F$67,4,0)</f>
        <v>203703</v>
      </c>
      <c r="L12524" s="912">
        <f>H12524*K12524</f>
        <v>3409988.2199999997</v>
      </c>
      <c r="M12524" s="912"/>
      <c r="N12524" s="912"/>
      <c r="O12524" s="892">
        <f t="shared" si="1008"/>
        <v>0</v>
      </c>
      <c r="P12524" s="903">
        <f t="shared" si="1004"/>
        <v>1</v>
      </c>
      <c r="Q12524" s="893">
        <f t="shared" si="1005"/>
        <v>4</v>
      </c>
      <c r="R12524" s="894">
        <f t="shared" si="1006"/>
        <v>0</v>
      </c>
    </row>
    <row r="12525" spans="1:18">
      <c r="A12525" s="895"/>
      <c r="B12525" s="896"/>
      <c r="C12525" s="897"/>
      <c r="D12525" s="897"/>
      <c r="E12525" s="1002" t="s">
        <v>3914</v>
      </c>
      <c r="F12525" s="1003"/>
      <c r="G12525" s="1004"/>
      <c r="H12525" s="901"/>
      <c r="I12525" s="902"/>
      <c r="J12525" s="902"/>
      <c r="K12525" s="912" t="s">
        <v>274</v>
      </c>
      <c r="L12525" s="902"/>
      <c r="M12525" s="902"/>
      <c r="N12525" s="902"/>
      <c r="O12525" s="892">
        <f t="shared" si="1008"/>
        <v>0</v>
      </c>
      <c r="P12525" s="903">
        <f t="shared" si="1004"/>
        <v>1</v>
      </c>
      <c r="Q12525" s="893">
        <f t="shared" si="1005"/>
        <v>3</v>
      </c>
      <c r="R12525" s="894">
        <f t="shared" si="1006"/>
        <v>0</v>
      </c>
    </row>
    <row r="12526" spans="1:18" s="904" customFormat="1">
      <c r="A12526" s="905"/>
      <c r="B12526" s="952" t="s">
        <v>6332</v>
      </c>
      <c r="C12526" s="907">
        <v>901</v>
      </c>
      <c r="D12526" s="907" t="s">
        <v>93</v>
      </c>
      <c r="E12526" s="992" t="s">
        <v>6333</v>
      </c>
      <c r="F12526" s="905" t="s">
        <v>2673</v>
      </c>
      <c r="G12526" s="1005"/>
      <c r="H12526" s="911">
        <v>0.12</v>
      </c>
      <c r="I12526" s="912"/>
      <c r="J12526" s="912"/>
      <c r="K12526" s="912"/>
      <c r="L12526" s="912"/>
      <c r="M12526" s="912">
        <f>VLOOKUP(B12526,MTC!$B$9:$S$933,12,0)</f>
        <v>1967433</v>
      </c>
      <c r="N12526" s="912">
        <f>M12526*H12526</f>
        <v>236091.96</v>
      </c>
      <c r="O12526" s="892">
        <f t="shared" si="1008"/>
        <v>0</v>
      </c>
      <c r="P12526" s="903">
        <f t="shared" si="1004"/>
        <v>1</v>
      </c>
      <c r="Q12526" s="893">
        <f t="shared" si="1005"/>
        <v>2</v>
      </c>
      <c r="R12526" s="894">
        <f t="shared" si="1006"/>
        <v>0</v>
      </c>
    </row>
    <row r="12527" spans="1:18">
      <c r="A12527" s="905"/>
      <c r="B12527" s="906" t="s">
        <v>4117</v>
      </c>
      <c r="C12527" s="907">
        <v>907</v>
      </c>
      <c r="D12527" s="907" t="s">
        <v>93</v>
      </c>
      <c r="E12527" s="992" t="s">
        <v>4118</v>
      </c>
      <c r="F12527" s="905" t="s">
        <v>2673</v>
      </c>
      <c r="G12527" s="1005"/>
      <c r="H12527" s="911">
        <v>0.1</v>
      </c>
      <c r="I12527" s="912"/>
      <c r="J12527" s="912"/>
      <c r="K12527" s="912"/>
      <c r="L12527" s="912"/>
      <c r="M12527" s="912">
        <f>VLOOKUP(B12527,MTC!$B$9:$S$933,12,0)</f>
        <v>324651</v>
      </c>
      <c r="N12527" s="912">
        <f>M12527*H12527</f>
        <v>32465.100000000002</v>
      </c>
      <c r="O12527" s="892">
        <f t="shared" si="1008"/>
        <v>0</v>
      </c>
      <c r="P12527" s="903">
        <f t="shared" si="1004"/>
        <v>1</v>
      </c>
      <c r="Q12527" s="893">
        <f t="shared" si="1005"/>
        <v>1</v>
      </c>
      <c r="R12527" s="894">
        <f t="shared" si="1006"/>
        <v>0</v>
      </c>
    </row>
    <row r="12528" spans="1:18" s="847" customFormat="1">
      <c r="A12528" s="905">
        <v>684</v>
      </c>
      <c r="B12528" s="1018" t="s">
        <v>7177</v>
      </c>
      <c r="C12528" s="915"/>
      <c r="D12528" s="915"/>
      <c r="E12528" s="1006" t="s">
        <v>7178</v>
      </c>
      <c r="F12528" s="1007" t="s">
        <v>136</v>
      </c>
      <c r="G12528" s="1008"/>
      <c r="H12528" s="919"/>
      <c r="I12528" s="920"/>
      <c r="J12528" s="891">
        <f>SUM(J12529:J12534)</f>
        <v>33922.165000000001</v>
      </c>
      <c r="K12528" s="891"/>
      <c r="L12528" s="891">
        <f>SUM(L12529:L12534)</f>
        <v>2529991.2599999998</v>
      </c>
      <c r="M12528" s="891"/>
      <c r="N12528" s="891">
        <f>SUM(N12529:N12534)</f>
        <v>0</v>
      </c>
      <c r="O12528" s="892">
        <f t="shared" si="1008"/>
        <v>1</v>
      </c>
      <c r="P12528" s="903">
        <f t="shared" si="1004"/>
        <v>0</v>
      </c>
      <c r="Q12528" s="893">
        <f t="shared" si="1005"/>
        <v>0</v>
      </c>
      <c r="R12528" s="894">
        <f t="shared" si="1006"/>
        <v>6</v>
      </c>
    </row>
    <row r="12529" spans="1:18" s="904" customFormat="1">
      <c r="A12529" s="895"/>
      <c r="B12529" s="896"/>
      <c r="C12529" s="897"/>
      <c r="D12529" s="897"/>
      <c r="E12529" s="1002" t="s">
        <v>108</v>
      </c>
      <c r="F12529" s="895"/>
      <c r="G12529" s="1004"/>
      <c r="H12529" s="901"/>
      <c r="I12529" s="902"/>
      <c r="J12529" s="902"/>
      <c r="K12529" s="912" t="s">
        <v>274</v>
      </c>
      <c r="L12529" s="902"/>
      <c r="M12529" s="902"/>
      <c r="N12529" s="902"/>
      <c r="O12529" s="892">
        <f t="shared" si="1008"/>
        <v>0</v>
      </c>
      <c r="P12529" s="903">
        <f t="shared" si="1004"/>
        <v>1</v>
      </c>
      <c r="Q12529" s="893">
        <f t="shared" si="1005"/>
        <v>6</v>
      </c>
      <c r="R12529" s="894">
        <f t="shared" si="1006"/>
        <v>0</v>
      </c>
    </row>
    <row r="12530" spans="1:18">
      <c r="A12530" s="905"/>
      <c r="B12530" s="952"/>
      <c r="C12530" s="907">
        <v>229</v>
      </c>
      <c r="D12530" s="907" t="s">
        <v>279</v>
      </c>
      <c r="E12530" s="992" t="s">
        <v>6318</v>
      </c>
      <c r="F12530" s="905" t="s">
        <v>45</v>
      </c>
      <c r="G12530" s="1005"/>
      <c r="H12530" s="911">
        <v>0.9</v>
      </c>
      <c r="I12530" s="912">
        <f>VLOOKUP(E12530,[3]VLP!$B$7:$K$300,10,0)</f>
        <v>14762</v>
      </c>
      <c r="J12530" s="912">
        <f>I12530*H12530</f>
        <v>13285.800000000001</v>
      </c>
      <c r="K12530" s="912" t="s">
        <v>274</v>
      </c>
      <c r="L12530" s="912"/>
      <c r="M12530" s="912"/>
      <c r="N12530" s="912"/>
      <c r="O12530" s="892">
        <f t="shared" si="1008"/>
        <v>0</v>
      </c>
      <c r="P12530" s="903">
        <f t="shared" si="1004"/>
        <v>1</v>
      </c>
      <c r="Q12530" s="893">
        <f t="shared" si="1005"/>
        <v>5</v>
      </c>
      <c r="R12530" s="894">
        <f t="shared" si="1006"/>
        <v>0</v>
      </c>
    </row>
    <row r="12531" spans="1:18">
      <c r="A12531" s="905"/>
      <c r="B12531" s="952"/>
      <c r="C12531" s="907">
        <v>236</v>
      </c>
      <c r="D12531" s="907" t="s">
        <v>279</v>
      </c>
      <c r="E12531" s="992" t="s">
        <v>7176</v>
      </c>
      <c r="F12531" s="905" t="s">
        <v>47</v>
      </c>
      <c r="G12531" s="1005"/>
      <c r="H12531" s="911">
        <v>3.0000000000000001E-3</v>
      </c>
      <c r="I12531" s="912">
        <f>VLOOKUP(E12531,[3]VLP!$B$7:$K$300,10,0)</f>
        <v>3545455</v>
      </c>
      <c r="J12531" s="912">
        <f>I12531*H12531</f>
        <v>10636.365</v>
      </c>
      <c r="K12531" s="912" t="s">
        <v>274</v>
      </c>
      <c r="L12531" s="912"/>
      <c r="M12531" s="912"/>
      <c r="N12531" s="912"/>
      <c r="O12531" s="892">
        <f t="shared" si="1008"/>
        <v>0</v>
      </c>
      <c r="P12531" s="903">
        <f t="shared" si="1004"/>
        <v>1</v>
      </c>
      <c r="Q12531" s="893">
        <f t="shared" si="1005"/>
        <v>4</v>
      </c>
      <c r="R12531" s="894">
        <f t="shared" si="1006"/>
        <v>0</v>
      </c>
    </row>
    <row r="12532" spans="1:18" s="904" customFormat="1">
      <c r="A12532" s="905"/>
      <c r="B12532" s="952"/>
      <c r="C12532" s="907">
        <v>699</v>
      </c>
      <c r="D12532" s="907" t="s">
        <v>279</v>
      </c>
      <c r="E12532" s="992" t="s">
        <v>4006</v>
      </c>
      <c r="F12532" s="905" t="s">
        <v>4007</v>
      </c>
      <c r="G12532" s="1005"/>
      <c r="H12532" s="911">
        <v>2</v>
      </c>
      <c r="I12532" s="912">
        <f>VLOOKUP(E12532,[3]VLP!$B$7:$K$300,10,0)</f>
        <v>5000</v>
      </c>
      <c r="J12532" s="912">
        <f>I12532*H12532</f>
        <v>10000</v>
      </c>
      <c r="K12532" s="912" t="s">
        <v>274</v>
      </c>
      <c r="L12532" s="912"/>
      <c r="M12532" s="912"/>
      <c r="N12532" s="912"/>
      <c r="O12532" s="892">
        <f t="shared" si="1008"/>
        <v>0</v>
      </c>
      <c r="P12532" s="903">
        <f t="shared" si="1004"/>
        <v>1</v>
      </c>
      <c r="Q12532" s="893">
        <f t="shared" si="1005"/>
        <v>3</v>
      </c>
      <c r="R12532" s="894">
        <f t="shared" si="1006"/>
        <v>0</v>
      </c>
    </row>
    <row r="12533" spans="1:18">
      <c r="A12533" s="895"/>
      <c r="B12533" s="896"/>
      <c r="C12533" s="897"/>
      <c r="D12533" s="897"/>
      <c r="E12533" s="1002" t="s">
        <v>276</v>
      </c>
      <c r="F12533" s="1003"/>
      <c r="G12533" s="1004"/>
      <c r="H12533" s="901"/>
      <c r="I12533" s="902"/>
      <c r="J12533" s="902"/>
      <c r="K12533" s="912" t="s">
        <v>274</v>
      </c>
      <c r="L12533" s="902"/>
      <c r="M12533" s="902"/>
      <c r="N12533" s="902"/>
      <c r="O12533" s="892">
        <f t="shared" si="1008"/>
        <v>0</v>
      </c>
      <c r="P12533" s="903">
        <f t="shared" si="1004"/>
        <v>1</v>
      </c>
      <c r="Q12533" s="893">
        <f t="shared" si="1005"/>
        <v>2</v>
      </c>
      <c r="R12533" s="894">
        <f t="shared" si="1006"/>
        <v>0</v>
      </c>
    </row>
    <row r="12534" spans="1:18" s="847" customFormat="1">
      <c r="A12534" s="905"/>
      <c r="B12534" s="952"/>
      <c r="C12534" s="907">
        <v>735</v>
      </c>
      <c r="D12534" s="907" t="s">
        <v>12</v>
      </c>
      <c r="E12534" s="992" t="s">
        <v>4065</v>
      </c>
      <c r="F12534" s="905" t="s">
        <v>2674</v>
      </c>
      <c r="G12534" s="1005"/>
      <c r="H12534" s="911">
        <v>12.42</v>
      </c>
      <c r="I12534" s="912"/>
      <c r="J12534" s="912"/>
      <c r="K12534" s="912">
        <f>VLOOKUP(E12534,[5]ĐMNC!$A$7:$F$67,4,0)</f>
        <v>203703</v>
      </c>
      <c r="L12534" s="912">
        <f>H12534*K12534</f>
        <v>2529991.2599999998</v>
      </c>
      <c r="M12534" s="912"/>
      <c r="N12534" s="912"/>
      <c r="O12534" s="892">
        <f t="shared" si="1008"/>
        <v>0</v>
      </c>
      <c r="P12534" s="903">
        <f t="shared" si="1004"/>
        <v>1</v>
      </c>
      <c r="Q12534" s="893">
        <f t="shared" si="1005"/>
        <v>1</v>
      </c>
      <c r="R12534" s="894">
        <f t="shared" si="1006"/>
        <v>0</v>
      </c>
    </row>
    <row r="12535" spans="1:18" s="904" customFormat="1">
      <c r="A12535" s="905">
        <v>685</v>
      </c>
      <c r="B12535" s="1018" t="s">
        <v>7179</v>
      </c>
      <c r="C12535" s="915"/>
      <c r="D12535" s="915"/>
      <c r="E12535" s="1006" t="s">
        <v>7180</v>
      </c>
      <c r="F12535" s="1007" t="s">
        <v>4016</v>
      </c>
      <c r="G12535" s="1008"/>
      <c r="H12535" s="919"/>
      <c r="I12535" s="920"/>
      <c r="J12535" s="891">
        <f>SUM(J12536:J12543)</f>
        <v>34357.275000000001</v>
      </c>
      <c r="K12535" s="891"/>
      <c r="L12535" s="891">
        <f>SUM(L12536:L12543)</f>
        <v>971663.30999999994</v>
      </c>
      <c r="M12535" s="891"/>
      <c r="N12535" s="891">
        <f>SUM(N12536:N12543)</f>
        <v>393486.60000000003</v>
      </c>
      <c r="O12535" s="892">
        <f t="shared" si="1008"/>
        <v>1</v>
      </c>
      <c r="P12535" s="903">
        <f t="shared" si="1004"/>
        <v>0</v>
      </c>
      <c r="Q12535" s="893">
        <f t="shared" si="1005"/>
        <v>0</v>
      </c>
      <c r="R12535" s="894">
        <f t="shared" si="1006"/>
        <v>8</v>
      </c>
    </row>
    <row r="12536" spans="1:18">
      <c r="A12536" s="895"/>
      <c r="B12536" s="896"/>
      <c r="C12536" s="897"/>
      <c r="D12536" s="897"/>
      <c r="E12536" s="1002" t="s">
        <v>108</v>
      </c>
      <c r="F12536" s="895"/>
      <c r="G12536" s="1004"/>
      <c r="H12536" s="901"/>
      <c r="I12536" s="902"/>
      <c r="J12536" s="902"/>
      <c r="K12536" s="912" t="s">
        <v>274</v>
      </c>
      <c r="L12536" s="902"/>
      <c r="M12536" s="902"/>
      <c r="N12536" s="902"/>
      <c r="O12536" s="892">
        <f t="shared" si="1008"/>
        <v>0</v>
      </c>
      <c r="P12536" s="903">
        <f t="shared" si="1004"/>
        <v>1</v>
      </c>
      <c r="Q12536" s="893">
        <f t="shared" si="1005"/>
        <v>8</v>
      </c>
      <c r="R12536" s="894">
        <f t="shared" si="1006"/>
        <v>0</v>
      </c>
    </row>
    <row r="12537" spans="1:18">
      <c r="A12537" s="905"/>
      <c r="B12537" s="952"/>
      <c r="C12537" s="907">
        <v>309</v>
      </c>
      <c r="D12537" s="907" t="s">
        <v>279</v>
      </c>
      <c r="E12537" s="992" t="s">
        <v>3262</v>
      </c>
      <c r="F12537" s="905" t="s">
        <v>45</v>
      </c>
      <c r="G12537" s="1005"/>
      <c r="H12537" s="911">
        <v>0.1</v>
      </c>
      <c r="I12537" s="912">
        <f>VLOOKUP(E12537,[3]VLP!$B$7:$K$300,10,0)</f>
        <v>66300</v>
      </c>
      <c r="J12537" s="912">
        <f>I12537*H12537</f>
        <v>6630</v>
      </c>
      <c r="K12537" s="912" t="s">
        <v>274</v>
      </c>
      <c r="L12537" s="912"/>
      <c r="M12537" s="912"/>
      <c r="N12537" s="912"/>
      <c r="O12537" s="892">
        <f t="shared" si="1008"/>
        <v>0</v>
      </c>
      <c r="P12537" s="903">
        <f t="shared" si="1004"/>
        <v>1</v>
      </c>
      <c r="Q12537" s="893">
        <f t="shared" si="1005"/>
        <v>7</v>
      </c>
      <c r="R12537" s="894">
        <f t="shared" si="1006"/>
        <v>0</v>
      </c>
    </row>
    <row r="12538" spans="1:18" s="904" customFormat="1">
      <c r="A12538" s="905"/>
      <c r="B12538" s="952"/>
      <c r="C12538" s="907">
        <v>236</v>
      </c>
      <c r="D12538" s="907" t="s">
        <v>279</v>
      </c>
      <c r="E12538" s="992" t="s">
        <v>7176</v>
      </c>
      <c r="F12538" s="905" t="s">
        <v>47</v>
      </c>
      <c r="G12538" s="1005"/>
      <c r="H12538" s="911">
        <v>5.0000000000000001E-3</v>
      </c>
      <c r="I12538" s="912">
        <f>VLOOKUP(E12538,[3]VLP!$B$7:$K$300,10,0)</f>
        <v>3545455</v>
      </c>
      <c r="J12538" s="912">
        <f>I12538*H12538</f>
        <v>17727.275000000001</v>
      </c>
      <c r="K12538" s="912" t="s">
        <v>274</v>
      </c>
      <c r="L12538" s="912"/>
      <c r="M12538" s="912"/>
      <c r="N12538" s="912"/>
      <c r="O12538" s="892">
        <f t="shared" si="1008"/>
        <v>0</v>
      </c>
      <c r="P12538" s="903">
        <f t="shared" si="1004"/>
        <v>1</v>
      </c>
      <c r="Q12538" s="893">
        <f t="shared" si="1005"/>
        <v>6</v>
      </c>
      <c r="R12538" s="894">
        <f t="shared" si="1006"/>
        <v>0</v>
      </c>
    </row>
    <row r="12539" spans="1:18">
      <c r="A12539" s="905"/>
      <c r="B12539" s="952"/>
      <c r="C12539" s="907">
        <v>699</v>
      </c>
      <c r="D12539" s="907" t="s">
        <v>279</v>
      </c>
      <c r="E12539" s="992" t="s">
        <v>4006</v>
      </c>
      <c r="F12539" s="905" t="s">
        <v>4007</v>
      </c>
      <c r="G12539" s="1005"/>
      <c r="H12539" s="911">
        <v>2</v>
      </c>
      <c r="I12539" s="912">
        <f>VLOOKUP(E12539,[3]VLP!$B$7:$K$300,10,0)</f>
        <v>5000</v>
      </c>
      <c r="J12539" s="912">
        <f>I12539*H12539</f>
        <v>10000</v>
      </c>
      <c r="K12539" s="912" t="s">
        <v>274</v>
      </c>
      <c r="L12539" s="912"/>
      <c r="M12539" s="912"/>
      <c r="N12539" s="912"/>
      <c r="O12539" s="892">
        <f t="shared" si="1008"/>
        <v>0</v>
      </c>
      <c r="P12539" s="903">
        <f t="shared" si="1004"/>
        <v>1</v>
      </c>
      <c r="Q12539" s="893">
        <f t="shared" si="1005"/>
        <v>5</v>
      </c>
      <c r="R12539" s="894">
        <f t="shared" si="1006"/>
        <v>0</v>
      </c>
    </row>
    <row r="12540" spans="1:18" s="847" customFormat="1">
      <c r="A12540" s="895"/>
      <c r="B12540" s="896"/>
      <c r="C12540" s="897"/>
      <c r="D12540" s="897"/>
      <c r="E12540" s="1002" t="s">
        <v>276</v>
      </c>
      <c r="F12540" s="1003"/>
      <c r="G12540" s="1004"/>
      <c r="H12540" s="901"/>
      <c r="I12540" s="902"/>
      <c r="J12540" s="902"/>
      <c r="K12540" s="912" t="s">
        <v>274</v>
      </c>
      <c r="L12540" s="902"/>
      <c r="M12540" s="902"/>
      <c r="N12540" s="902"/>
      <c r="O12540" s="892">
        <f t="shared" si="1008"/>
        <v>0</v>
      </c>
      <c r="P12540" s="903">
        <f t="shared" si="1004"/>
        <v>1</v>
      </c>
      <c r="Q12540" s="893">
        <f t="shared" si="1005"/>
        <v>4</v>
      </c>
      <c r="R12540" s="894">
        <f t="shared" si="1006"/>
        <v>0</v>
      </c>
    </row>
    <row r="12541" spans="1:18" s="904" customFormat="1">
      <c r="A12541" s="905"/>
      <c r="B12541" s="952"/>
      <c r="C12541" s="907">
        <v>735</v>
      </c>
      <c r="D12541" s="907" t="s">
        <v>12</v>
      </c>
      <c r="E12541" s="992" t="s">
        <v>4065</v>
      </c>
      <c r="F12541" s="905" t="s">
        <v>2674</v>
      </c>
      <c r="G12541" s="1005"/>
      <c r="H12541" s="911">
        <v>4.7699999999999996</v>
      </c>
      <c r="I12541" s="912"/>
      <c r="J12541" s="912"/>
      <c r="K12541" s="912">
        <f>VLOOKUP(E12541,[5]ĐMNC!$A$7:$F$67,4,0)</f>
        <v>203703</v>
      </c>
      <c r="L12541" s="912">
        <f>H12541*K12541</f>
        <v>971663.30999999994</v>
      </c>
      <c r="M12541" s="912"/>
      <c r="N12541" s="912"/>
      <c r="O12541" s="892">
        <f t="shared" si="1008"/>
        <v>0</v>
      </c>
      <c r="P12541" s="903">
        <f t="shared" si="1004"/>
        <v>1</v>
      </c>
      <c r="Q12541" s="893">
        <f t="shared" si="1005"/>
        <v>3</v>
      </c>
      <c r="R12541" s="894">
        <f t="shared" si="1006"/>
        <v>0</v>
      </c>
    </row>
    <row r="12542" spans="1:18">
      <c r="A12542" s="895"/>
      <c r="B12542" s="896"/>
      <c r="C12542" s="897"/>
      <c r="D12542" s="897"/>
      <c r="E12542" s="1002" t="s">
        <v>3914</v>
      </c>
      <c r="F12542" s="1003"/>
      <c r="G12542" s="1004"/>
      <c r="H12542" s="901"/>
      <c r="I12542" s="902"/>
      <c r="J12542" s="902"/>
      <c r="K12542" s="912" t="s">
        <v>274</v>
      </c>
      <c r="L12542" s="902"/>
      <c r="M12542" s="902"/>
      <c r="N12542" s="902"/>
      <c r="O12542" s="892">
        <f t="shared" si="1008"/>
        <v>0</v>
      </c>
      <c r="P12542" s="903">
        <f t="shared" si="1004"/>
        <v>1</v>
      </c>
      <c r="Q12542" s="893">
        <f t="shared" si="1005"/>
        <v>2</v>
      </c>
      <c r="R12542" s="894">
        <f t="shared" si="1006"/>
        <v>0</v>
      </c>
    </row>
    <row r="12543" spans="1:18">
      <c r="A12543" s="905"/>
      <c r="B12543" s="952" t="s">
        <v>6332</v>
      </c>
      <c r="C12543" s="907">
        <v>901</v>
      </c>
      <c r="D12543" s="907" t="s">
        <v>93</v>
      </c>
      <c r="E12543" s="992" t="s">
        <v>6333</v>
      </c>
      <c r="F12543" s="905" t="s">
        <v>2673</v>
      </c>
      <c r="G12543" s="1005"/>
      <c r="H12543" s="911">
        <v>0.2</v>
      </c>
      <c r="I12543" s="912"/>
      <c r="J12543" s="912"/>
      <c r="K12543" s="912"/>
      <c r="L12543" s="912"/>
      <c r="M12543" s="912">
        <f>VLOOKUP(B12543,MTC!$B$9:$S$933,12,0)</f>
        <v>1967433</v>
      </c>
      <c r="N12543" s="912">
        <f>M12543*H12543</f>
        <v>393486.60000000003</v>
      </c>
      <c r="O12543" s="892">
        <f t="shared" si="1008"/>
        <v>0</v>
      </c>
      <c r="P12543" s="903">
        <f t="shared" si="1004"/>
        <v>1</v>
      </c>
      <c r="Q12543" s="893">
        <f t="shared" si="1005"/>
        <v>1</v>
      </c>
      <c r="R12543" s="894">
        <f t="shared" si="1006"/>
        <v>0</v>
      </c>
    </row>
    <row r="12544" spans="1:18" s="904" customFormat="1">
      <c r="A12544" s="905">
        <v>686</v>
      </c>
      <c r="B12544" s="1018" t="s">
        <v>7181</v>
      </c>
      <c r="C12544" s="915"/>
      <c r="D12544" s="915"/>
      <c r="E12544" s="1006" t="s">
        <v>7182</v>
      </c>
      <c r="F12544" s="1007" t="s">
        <v>4016</v>
      </c>
      <c r="G12544" s="1008"/>
      <c r="H12544" s="919"/>
      <c r="I12544" s="920"/>
      <c r="J12544" s="891">
        <f>SUM(J12545:J12552)</f>
        <v>34357.275000000001</v>
      </c>
      <c r="K12544" s="891"/>
      <c r="L12544" s="891">
        <f>SUM(L12545:L12552)</f>
        <v>376850.55000000005</v>
      </c>
      <c r="M12544" s="891"/>
      <c r="N12544" s="891">
        <f>SUM(N12545:N12552)</f>
        <v>196743.30000000002</v>
      </c>
      <c r="O12544" s="892">
        <f t="shared" si="1008"/>
        <v>1</v>
      </c>
      <c r="P12544" s="903">
        <f t="shared" si="1004"/>
        <v>0</v>
      </c>
      <c r="Q12544" s="893">
        <f t="shared" si="1005"/>
        <v>0</v>
      </c>
      <c r="R12544" s="894">
        <f t="shared" si="1006"/>
        <v>8</v>
      </c>
    </row>
    <row r="12545" spans="1:18">
      <c r="A12545" s="895"/>
      <c r="B12545" s="896"/>
      <c r="C12545" s="897"/>
      <c r="D12545" s="897"/>
      <c r="E12545" s="1002" t="s">
        <v>108</v>
      </c>
      <c r="F12545" s="895"/>
      <c r="G12545" s="1004"/>
      <c r="H12545" s="901"/>
      <c r="I12545" s="902"/>
      <c r="J12545" s="902"/>
      <c r="K12545" s="912" t="s">
        <v>274</v>
      </c>
      <c r="L12545" s="902"/>
      <c r="M12545" s="902"/>
      <c r="N12545" s="902"/>
      <c r="O12545" s="892">
        <f t="shared" si="1008"/>
        <v>0</v>
      </c>
      <c r="P12545" s="903">
        <f t="shared" si="1004"/>
        <v>1</v>
      </c>
      <c r="Q12545" s="893">
        <f t="shared" si="1005"/>
        <v>8</v>
      </c>
      <c r="R12545" s="894">
        <f t="shared" si="1006"/>
        <v>0</v>
      </c>
    </row>
    <row r="12546" spans="1:18" s="847" customFormat="1">
      <c r="A12546" s="905"/>
      <c r="B12546" s="952"/>
      <c r="C12546" s="907">
        <v>309</v>
      </c>
      <c r="D12546" s="907" t="s">
        <v>279</v>
      </c>
      <c r="E12546" s="992" t="s">
        <v>3262</v>
      </c>
      <c r="F12546" s="905" t="s">
        <v>45</v>
      </c>
      <c r="G12546" s="1005"/>
      <c r="H12546" s="911">
        <v>0.1</v>
      </c>
      <c r="I12546" s="912">
        <f>VLOOKUP(E12546,[3]VLP!$B$7:$K$300,10,0)</f>
        <v>66300</v>
      </c>
      <c r="J12546" s="912">
        <f>I12546*H12546</f>
        <v>6630</v>
      </c>
      <c r="K12546" s="912" t="s">
        <v>274</v>
      </c>
      <c r="L12546" s="912"/>
      <c r="M12546" s="912"/>
      <c r="N12546" s="912"/>
      <c r="O12546" s="892">
        <f t="shared" si="1008"/>
        <v>0</v>
      </c>
      <c r="P12546" s="903">
        <f t="shared" si="1004"/>
        <v>1</v>
      </c>
      <c r="Q12546" s="893">
        <f t="shared" si="1005"/>
        <v>7</v>
      </c>
      <c r="R12546" s="894">
        <f t="shared" si="1006"/>
        <v>0</v>
      </c>
    </row>
    <row r="12547" spans="1:18" s="904" customFormat="1">
      <c r="A12547" s="905"/>
      <c r="B12547" s="952"/>
      <c r="C12547" s="907">
        <v>236</v>
      </c>
      <c r="D12547" s="907" t="s">
        <v>279</v>
      </c>
      <c r="E12547" s="992" t="s">
        <v>7176</v>
      </c>
      <c r="F12547" s="905" t="s">
        <v>47</v>
      </c>
      <c r="G12547" s="1005"/>
      <c r="H12547" s="911">
        <v>5.0000000000000001E-3</v>
      </c>
      <c r="I12547" s="912">
        <f>VLOOKUP(E12547,[3]VLP!$B$7:$K$300,10,0)</f>
        <v>3545455</v>
      </c>
      <c r="J12547" s="912">
        <f>I12547*H12547</f>
        <v>17727.275000000001</v>
      </c>
      <c r="K12547" s="912" t="s">
        <v>274</v>
      </c>
      <c r="L12547" s="912"/>
      <c r="M12547" s="912"/>
      <c r="N12547" s="912"/>
      <c r="O12547" s="892">
        <f t="shared" si="1008"/>
        <v>0</v>
      </c>
      <c r="P12547" s="903">
        <f t="shared" si="1004"/>
        <v>1</v>
      </c>
      <c r="Q12547" s="893">
        <f t="shared" si="1005"/>
        <v>6</v>
      </c>
      <c r="R12547" s="894">
        <f t="shared" si="1006"/>
        <v>0</v>
      </c>
    </row>
    <row r="12548" spans="1:18">
      <c r="A12548" s="905"/>
      <c r="B12548" s="952"/>
      <c r="C12548" s="907">
        <v>699</v>
      </c>
      <c r="D12548" s="907" t="s">
        <v>279</v>
      </c>
      <c r="E12548" s="992" t="s">
        <v>4006</v>
      </c>
      <c r="F12548" s="905" t="s">
        <v>4007</v>
      </c>
      <c r="G12548" s="1005"/>
      <c r="H12548" s="911">
        <v>2</v>
      </c>
      <c r="I12548" s="912">
        <f>VLOOKUP(E12548,[3]VLP!$B$7:$K$300,10,0)</f>
        <v>5000</v>
      </c>
      <c r="J12548" s="912">
        <f>I12548*H12548</f>
        <v>10000</v>
      </c>
      <c r="K12548" s="912" t="s">
        <v>274</v>
      </c>
      <c r="L12548" s="912"/>
      <c r="M12548" s="912"/>
      <c r="N12548" s="912"/>
      <c r="O12548" s="892">
        <f t="shared" si="1008"/>
        <v>0</v>
      </c>
      <c r="P12548" s="903">
        <f t="shared" si="1004"/>
        <v>1</v>
      </c>
      <c r="Q12548" s="893">
        <f t="shared" si="1005"/>
        <v>5</v>
      </c>
      <c r="R12548" s="894">
        <f t="shared" si="1006"/>
        <v>0</v>
      </c>
    </row>
    <row r="12549" spans="1:18">
      <c r="A12549" s="895"/>
      <c r="B12549" s="896"/>
      <c r="C12549" s="897"/>
      <c r="D12549" s="897"/>
      <c r="E12549" s="1002" t="s">
        <v>276</v>
      </c>
      <c r="F12549" s="1003"/>
      <c r="G12549" s="1004"/>
      <c r="H12549" s="901"/>
      <c r="I12549" s="902"/>
      <c r="J12549" s="902"/>
      <c r="K12549" s="912" t="s">
        <v>274</v>
      </c>
      <c r="L12549" s="902"/>
      <c r="M12549" s="902"/>
      <c r="N12549" s="902"/>
      <c r="O12549" s="892">
        <f t="shared" si="1008"/>
        <v>0</v>
      </c>
      <c r="P12549" s="903">
        <f t="shared" si="1004"/>
        <v>1</v>
      </c>
      <c r="Q12549" s="893">
        <f t="shared" si="1005"/>
        <v>4</v>
      </c>
      <c r="R12549" s="894">
        <f t="shared" si="1006"/>
        <v>0</v>
      </c>
    </row>
    <row r="12550" spans="1:18" s="904" customFormat="1">
      <c r="A12550" s="905"/>
      <c r="B12550" s="952"/>
      <c r="C12550" s="907">
        <v>735</v>
      </c>
      <c r="D12550" s="907" t="s">
        <v>12</v>
      </c>
      <c r="E12550" s="992" t="s">
        <v>4065</v>
      </c>
      <c r="F12550" s="905" t="s">
        <v>2674</v>
      </c>
      <c r="G12550" s="1005"/>
      <c r="H12550" s="911">
        <v>1.85</v>
      </c>
      <c r="I12550" s="912"/>
      <c r="J12550" s="912"/>
      <c r="K12550" s="912">
        <f>VLOOKUP(E12550,[5]ĐMNC!$A$7:$F$67,4,0)</f>
        <v>203703</v>
      </c>
      <c r="L12550" s="912">
        <f>H12550*K12550</f>
        <v>376850.55000000005</v>
      </c>
      <c r="M12550" s="912"/>
      <c r="N12550" s="912"/>
      <c r="O12550" s="892">
        <f t="shared" si="1008"/>
        <v>0</v>
      </c>
      <c r="P12550" s="903">
        <f t="shared" si="1004"/>
        <v>1</v>
      </c>
      <c r="Q12550" s="893">
        <f t="shared" si="1005"/>
        <v>3</v>
      </c>
      <c r="R12550" s="894">
        <f t="shared" si="1006"/>
        <v>0</v>
      </c>
    </row>
    <row r="12551" spans="1:18">
      <c r="A12551" s="895"/>
      <c r="B12551" s="896"/>
      <c r="C12551" s="897"/>
      <c r="D12551" s="897"/>
      <c r="E12551" s="1002" t="s">
        <v>3914</v>
      </c>
      <c r="F12551" s="1003"/>
      <c r="G12551" s="1004"/>
      <c r="H12551" s="901"/>
      <c r="I12551" s="902"/>
      <c r="J12551" s="902"/>
      <c r="K12551" s="912" t="s">
        <v>274</v>
      </c>
      <c r="L12551" s="902"/>
      <c r="M12551" s="902"/>
      <c r="N12551" s="902"/>
      <c r="O12551" s="892">
        <f t="shared" si="1008"/>
        <v>0</v>
      </c>
      <c r="P12551" s="903">
        <f t="shared" si="1004"/>
        <v>1</v>
      </c>
      <c r="Q12551" s="893">
        <f t="shared" si="1005"/>
        <v>2</v>
      </c>
      <c r="R12551" s="894">
        <f t="shared" si="1006"/>
        <v>0</v>
      </c>
    </row>
    <row r="12552" spans="1:18" s="847" customFormat="1">
      <c r="A12552" s="905"/>
      <c r="B12552" s="952" t="s">
        <v>6332</v>
      </c>
      <c r="C12552" s="907">
        <v>901</v>
      </c>
      <c r="D12552" s="907" t="s">
        <v>93</v>
      </c>
      <c r="E12552" s="992" t="s">
        <v>6333</v>
      </c>
      <c r="F12552" s="905" t="s">
        <v>2673</v>
      </c>
      <c r="G12552" s="1005"/>
      <c r="H12552" s="911">
        <v>0.1</v>
      </c>
      <c r="I12552" s="912"/>
      <c r="J12552" s="912"/>
      <c r="K12552" s="912"/>
      <c r="L12552" s="912"/>
      <c r="M12552" s="912">
        <f>VLOOKUP(B12552,MTC!$B$9:$S$933,12,0)</f>
        <v>1967433</v>
      </c>
      <c r="N12552" s="912">
        <f>M12552*H12552</f>
        <v>196743.30000000002</v>
      </c>
      <c r="O12552" s="892">
        <f t="shared" si="1008"/>
        <v>0</v>
      </c>
      <c r="P12552" s="903">
        <f t="shared" si="1004"/>
        <v>1</v>
      </c>
      <c r="Q12552" s="893">
        <f t="shared" si="1005"/>
        <v>1</v>
      </c>
      <c r="R12552" s="894">
        <f t="shared" si="1006"/>
        <v>0</v>
      </c>
    </row>
    <row r="12553" spans="1:18" s="904" customFormat="1">
      <c r="A12553" s="905">
        <v>687</v>
      </c>
      <c r="B12553" s="1018" t="s">
        <v>7183</v>
      </c>
      <c r="C12553" s="915"/>
      <c r="D12553" s="915"/>
      <c r="E12553" s="1006" t="s">
        <v>7184</v>
      </c>
      <c r="F12553" s="1007" t="s">
        <v>136</v>
      </c>
      <c r="G12553" s="1008"/>
      <c r="H12553" s="919"/>
      <c r="I12553" s="920"/>
      <c r="J12553" s="891">
        <f>SUM(J12554:J12559)</f>
        <v>28017.364999999998</v>
      </c>
      <c r="K12553" s="891"/>
      <c r="L12553" s="891">
        <f>SUM(L12554:L12559)</f>
        <v>2299806.8699999996</v>
      </c>
      <c r="M12553" s="891"/>
      <c r="N12553" s="891">
        <f>SUM(N12554:N12559)</f>
        <v>0</v>
      </c>
      <c r="O12553" s="892">
        <f t="shared" si="1008"/>
        <v>1</v>
      </c>
      <c r="P12553" s="903">
        <f t="shared" si="1004"/>
        <v>0</v>
      </c>
      <c r="Q12553" s="893">
        <f t="shared" si="1005"/>
        <v>0</v>
      </c>
      <c r="R12553" s="894">
        <f t="shared" si="1006"/>
        <v>6</v>
      </c>
    </row>
    <row r="12554" spans="1:18">
      <c r="A12554" s="895"/>
      <c r="B12554" s="896"/>
      <c r="C12554" s="897"/>
      <c r="D12554" s="897"/>
      <c r="E12554" s="1002" t="s">
        <v>108</v>
      </c>
      <c r="F12554" s="895"/>
      <c r="G12554" s="1004"/>
      <c r="H12554" s="901"/>
      <c r="I12554" s="902"/>
      <c r="J12554" s="902"/>
      <c r="K12554" s="912" t="s">
        <v>274</v>
      </c>
      <c r="L12554" s="902"/>
      <c r="M12554" s="902"/>
      <c r="N12554" s="902"/>
      <c r="O12554" s="892">
        <f t="shared" si="1008"/>
        <v>0</v>
      </c>
      <c r="P12554" s="903">
        <f t="shared" ref="P12554:P12617" si="1010">IF(O12554=0,1,0)</f>
        <v>1</v>
      </c>
      <c r="Q12554" s="893">
        <f t="shared" ref="Q12554:Q12617" si="1011">IF(P12554=0,0,P12554+Q12555)</f>
        <v>6</v>
      </c>
      <c r="R12554" s="894">
        <f t="shared" ref="R12554:R12617" si="1012">IF(Q12554=0,Q12555,0)</f>
        <v>0</v>
      </c>
    </row>
    <row r="12555" spans="1:18">
      <c r="A12555" s="905"/>
      <c r="B12555" s="952"/>
      <c r="C12555" s="907">
        <v>229</v>
      </c>
      <c r="D12555" s="907" t="s">
        <v>279</v>
      </c>
      <c r="E12555" s="992" t="s">
        <v>6318</v>
      </c>
      <c r="F12555" s="905" t="s">
        <v>45</v>
      </c>
      <c r="G12555" s="1005"/>
      <c r="H12555" s="911">
        <v>0.5</v>
      </c>
      <c r="I12555" s="912">
        <f>VLOOKUP(E12555,[3]VLP!$B$7:$K$300,10,0)</f>
        <v>14762</v>
      </c>
      <c r="J12555" s="912">
        <f>I12555*H12555</f>
        <v>7381</v>
      </c>
      <c r="K12555" s="912" t="s">
        <v>274</v>
      </c>
      <c r="L12555" s="912"/>
      <c r="M12555" s="912"/>
      <c r="N12555" s="912"/>
      <c r="O12555" s="892">
        <f t="shared" si="1008"/>
        <v>0</v>
      </c>
      <c r="P12555" s="903">
        <f t="shared" si="1010"/>
        <v>1</v>
      </c>
      <c r="Q12555" s="893">
        <f t="shared" si="1011"/>
        <v>5</v>
      </c>
      <c r="R12555" s="894">
        <f t="shared" si="1012"/>
        <v>0</v>
      </c>
    </row>
    <row r="12556" spans="1:18" s="904" customFormat="1">
      <c r="A12556" s="905"/>
      <c r="B12556" s="952"/>
      <c r="C12556" s="907">
        <v>236</v>
      </c>
      <c r="D12556" s="907" t="s">
        <v>279</v>
      </c>
      <c r="E12556" s="992" t="s">
        <v>7176</v>
      </c>
      <c r="F12556" s="905" t="s">
        <v>47</v>
      </c>
      <c r="G12556" s="1005"/>
      <c r="H12556" s="911">
        <v>3.0000000000000001E-3</v>
      </c>
      <c r="I12556" s="912">
        <f>VLOOKUP(E12556,[3]VLP!$B$7:$K$300,10,0)</f>
        <v>3545455</v>
      </c>
      <c r="J12556" s="912">
        <f>I12556*H12556</f>
        <v>10636.365</v>
      </c>
      <c r="K12556" s="912" t="s">
        <v>274</v>
      </c>
      <c r="L12556" s="912"/>
      <c r="M12556" s="912"/>
      <c r="N12556" s="912"/>
      <c r="O12556" s="892">
        <f t="shared" si="1008"/>
        <v>0</v>
      </c>
      <c r="P12556" s="903">
        <f t="shared" si="1010"/>
        <v>1</v>
      </c>
      <c r="Q12556" s="893">
        <f t="shared" si="1011"/>
        <v>4</v>
      </c>
      <c r="R12556" s="894">
        <f t="shared" si="1012"/>
        <v>0</v>
      </c>
    </row>
    <row r="12557" spans="1:18">
      <c r="A12557" s="905"/>
      <c r="B12557" s="952"/>
      <c r="C12557" s="907">
        <v>699</v>
      </c>
      <c r="D12557" s="907" t="s">
        <v>279</v>
      </c>
      <c r="E12557" s="992" t="s">
        <v>4006</v>
      </c>
      <c r="F12557" s="905" t="s">
        <v>4007</v>
      </c>
      <c r="G12557" s="1005"/>
      <c r="H12557" s="911">
        <v>2</v>
      </c>
      <c r="I12557" s="912">
        <f>VLOOKUP(E12557,[3]VLP!$B$7:$K$300,10,0)</f>
        <v>5000</v>
      </c>
      <c r="J12557" s="912">
        <f>I12557*H12557</f>
        <v>10000</v>
      </c>
      <c r="K12557" s="912" t="s">
        <v>274</v>
      </c>
      <c r="L12557" s="912"/>
      <c r="M12557" s="912"/>
      <c r="N12557" s="912"/>
      <c r="O12557" s="892">
        <f t="shared" si="1008"/>
        <v>0</v>
      </c>
      <c r="P12557" s="903">
        <f t="shared" si="1010"/>
        <v>1</v>
      </c>
      <c r="Q12557" s="893">
        <f t="shared" si="1011"/>
        <v>3</v>
      </c>
      <c r="R12557" s="894">
        <f t="shared" si="1012"/>
        <v>0</v>
      </c>
    </row>
    <row r="12558" spans="1:18" s="847" customFormat="1">
      <c r="A12558" s="895"/>
      <c r="B12558" s="896"/>
      <c r="C12558" s="897"/>
      <c r="D12558" s="897"/>
      <c r="E12558" s="1002" t="s">
        <v>276</v>
      </c>
      <c r="F12558" s="1003"/>
      <c r="G12558" s="1004"/>
      <c r="H12558" s="901"/>
      <c r="I12558" s="902"/>
      <c r="J12558" s="902"/>
      <c r="K12558" s="912" t="s">
        <v>274</v>
      </c>
      <c r="L12558" s="902"/>
      <c r="M12558" s="902"/>
      <c r="N12558" s="902"/>
      <c r="O12558" s="892">
        <f t="shared" si="1008"/>
        <v>0</v>
      </c>
      <c r="P12558" s="903">
        <f t="shared" si="1010"/>
        <v>1</v>
      </c>
      <c r="Q12558" s="893">
        <f t="shared" si="1011"/>
        <v>2</v>
      </c>
      <c r="R12558" s="894">
        <f t="shared" si="1012"/>
        <v>0</v>
      </c>
    </row>
    <row r="12559" spans="1:18" s="904" customFormat="1">
      <c r="A12559" s="905"/>
      <c r="B12559" s="952"/>
      <c r="C12559" s="907">
        <v>735</v>
      </c>
      <c r="D12559" s="907" t="s">
        <v>12</v>
      </c>
      <c r="E12559" s="992" t="s">
        <v>4065</v>
      </c>
      <c r="F12559" s="905" t="s">
        <v>2674</v>
      </c>
      <c r="G12559" s="1005"/>
      <c r="H12559" s="911">
        <v>11.29</v>
      </c>
      <c r="I12559" s="912"/>
      <c r="J12559" s="912"/>
      <c r="K12559" s="912">
        <f>VLOOKUP(E12559,[5]ĐMNC!$A$7:$F$67,4,0)</f>
        <v>203703</v>
      </c>
      <c r="L12559" s="912">
        <f>H12559*K12559</f>
        <v>2299806.8699999996</v>
      </c>
      <c r="M12559" s="912"/>
      <c r="N12559" s="912"/>
      <c r="O12559" s="892">
        <f t="shared" si="1008"/>
        <v>0</v>
      </c>
      <c r="P12559" s="903">
        <f t="shared" si="1010"/>
        <v>1</v>
      </c>
      <c r="Q12559" s="893">
        <f t="shared" si="1011"/>
        <v>1</v>
      </c>
      <c r="R12559" s="894">
        <f t="shared" si="1012"/>
        <v>0</v>
      </c>
    </row>
    <row r="12560" spans="1:18" s="847" customFormat="1">
      <c r="A12560" s="905" t="s">
        <v>7172</v>
      </c>
      <c r="B12560" s="1018" t="s">
        <v>7185</v>
      </c>
      <c r="C12560" s="915"/>
      <c r="D12560" s="915"/>
      <c r="E12560" s="1006" t="s">
        <v>7186</v>
      </c>
      <c r="F12560" s="1007" t="s">
        <v>139</v>
      </c>
      <c r="G12560" s="1008"/>
      <c r="H12560" s="919"/>
      <c r="I12560" s="920"/>
      <c r="J12560" s="891">
        <f>SUM(J12561:J12568)</f>
        <v>54247.275000000001</v>
      </c>
      <c r="K12560" s="891"/>
      <c r="L12560" s="891">
        <f>SUM(L12561:L12568)</f>
        <v>971663.30999999994</v>
      </c>
      <c r="M12560" s="891"/>
      <c r="N12560" s="891">
        <f>SUM(N12561:N12568)</f>
        <v>393486.60000000003</v>
      </c>
      <c r="O12560" s="892">
        <f t="shared" si="1008"/>
        <v>1</v>
      </c>
      <c r="P12560" s="903">
        <f t="shared" si="1010"/>
        <v>0</v>
      </c>
      <c r="Q12560" s="893">
        <f t="shared" si="1011"/>
        <v>0</v>
      </c>
      <c r="R12560" s="894">
        <f t="shared" si="1012"/>
        <v>8</v>
      </c>
    </row>
    <row r="12561" spans="1:18" s="904" customFormat="1">
      <c r="A12561" s="895"/>
      <c r="B12561" s="896"/>
      <c r="C12561" s="897"/>
      <c r="D12561" s="897"/>
      <c r="E12561" s="1002" t="s">
        <v>108</v>
      </c>
      <c r="F12561" s="895"/>
      <c r="G12561" s="1004"/>
      <c r="H12561" s="901"/>
      <c r="I12561" s="902"/>
      <c r="J12561" s="902"/>
      <c r="K12561" s="912" t="s">
        <v>274</v>
      </c>
      <c r="L12561" s="902"/>
      <c r="M12561" s="902"/>
      <c r="N12561" s="902"/>
      <c r="O12561" s="892">
        <f t="shared" si="1008"/>
        <v>0</v>
      </c>
      <c r="P12561" s="903">
        <f t="shared" si="1010"/>
        <v>1</v>
      </c>
      <c r="Q12561" s="893">
        <f t="shared" si="1011"/>
        <v>8</v>
      </c>
      <c r="R12561" s="894">
        <f t="shared" si="1012"/>
        <v>0</v>
      </c>
    </row>
    <row r="12562" spans="1:18">
      <c r="A12562" s="905"/>
      <c r="B12562" s="952"/>
      <c r="C12562" s="907">
        <v>309</v>
      </c>
      <c r="D12562" s="907" t="s">
        <v>279</v>
      </c>
      <c r="E12562" s="992" t="s">
        <v>3262</v>
      </c>
      <c r="F12562" s="905" t="s">
        <v>45</v>
      </c>
      <c r="G12562" s="1005"/>
      <c r="H12562" s="911">
        <v>0.4</v>
      </c>
      <c r="I12562" s="912">
        <f>VLOOKUP(E12562,[3]VLP!$B$7:$K$300,10,0)</f>
        <v>66300</v>
      </c>
      <c r="J12562" s="912">
        <f>I12562*H12562</f>
        <v>26520</v>
      </c>
      <c r="K12562" s="912" t="s">
        <v>274</v>
      </c>
      <c r="L12562" s="912"/>
      <c r="M12562" s="912"/>
      <c r="N12562" s="912"/>
      <c r="O12562" s="892">
        <f t="shared" si="1008"/>
        <v>0</v>
      </c>
      <c r="P12562" s="903">
        <f t="shared" si="1010"/>
        <v>1</v>
      </c>
      <c r="Q12562" s="893">
        <f t="shared" si="1011"/>
        <v>7</v>
      </c>
      <c r="R12562" s="894">
        <f t="shared" si="1012"/>
        <v>0</v>
      </c>
    </row>
    <row r="12563" spans="1:18">
      <c r="A12563" s="905"/>
      <c r="B12563" s="952"/>
      <c r="C12563" s="907">
        <v>236</v>
      </c>
      <c r="D12563" s="907" t="s">
        <v>279</v>
      </c>
      <c r="E12563" s="992" t="s">
        <v>7176</v>
      </c>
      <c r="F12563" s="905" t="s">
        <v>47</v>
      </c>
      <c r="G12563" s="1005"/>
      <c r="H12563" s="911">
        <v>5.0000000000000001E-3</v>
      </c>
      <c r="I12563" s="912">
        <f>VLOOKUP(E12563,[3]VLP!$B$7:$K$300,10,0)</f>
        <v>3545455</v>
      </c>
      <c r="J12563" s="912">
        <f>I12563*H12563</f>
        <v>17727.275000000001</v>
      </c>
      <c r="K12563" s="912" t="s">
        <v>274</v>
      </c>
      <c r="L12563" s="912"/>
      <c r="M12563" s="912"/>
      <c r="N12563" s="912"/>
      <c r="O12563" s="892">
        <f t="shared" si="1008"/>
        <v>0</v>
      </c>
      <c r="P12563" s="903">
        <f t="shared" si="1010"/>
        <v>1</v>
      </c>
      <c r="Q12563" s="893">
        <f t="shared" si="1011"/>
        <v>6</v>
      </c>
      <c r="R12563" s="894">
        <f t="shared" si="1012"/>
        <v>0</v>
      </c>
    </row>
    <row r="12564" spans="1:18" s="904" customFormat="1">
      <c r="A12564" s="905"/>
      <c r="B12564" s="952"/>
      <c r="C12564" s="907">
        <v>699</v>
      </c>
      <c r="D12564" s="907" t="s">
        <v>279</v>
      </c>
      <c r="E12564" s="992" t="s">
        <v>4006</v>
      </c>
      <c r="F12564" s="905" t="s">
        <v>4007</v>
      </c>
      <c r="G12564" s="1005"/>
      <c r="H12564" s="911">
        <v>2</v>
      </c>
      <c r="I12564" s="912">
        <f>VLOOKUP(E12564,[3]VLP!$B$7:$K$300,10,0)</f>
        <v>5000</v>
      </c>
      <c r="J12564" s="912">
        <f>I12564*H12564</f>
        <v>10000</v>
      </c>
      <c r="K12564" s="912" t="s">
        <v>274</v>
      </c>
      <c r="L12564" s="912"/>
      <c r="M12564" s="912"/>
      <c r="N12564" s="912"/>
      <c r="O12564" s="892">
        <f t="shared" si="1008"/>
        <v>0</v>
      </c>
      <c r="P12564" s="903">
        <f t="shared" si="1010"/>
        <v>1</v>
      </c>
      <c r="Q12564" s="893">
        <f t="shared" si="1011"/>
        <v>5</v>
      </c>
      <c r="R12564" s="894">
        <f t="shared" si="1012"/>
        <v>0</v>
      </c>
    </row>
    <row r="12565" spans="1:18">
      <c r="A12565" s="895"/>
      <c r="B12565" s="896"/>
      <c r="C12565" s="897"/>
      <c r="D12565" s="897"/>
      <c r="E12565" s="1002" t="s">
        <v>276</v>
      </c>
      <c r="F12565" s="1003"/>
      <c r="G12565" s="1004"/>
      <c r="H12565" s="901"/>
      <c r="I12565" s="902"/>
      <c r="J12565" s="902"/>
      <c r="K12565" s="912" t="s">
        <v>274</v>
      </c>
      <c r="L12565" s="902"/>
      <c r="M12565" s="902"/>
      <c r="N12565" s="902"/>
      <c r="O12565" s="892">
        <f t="shared" si="1008"/>
        <v>0</v>
      </c>
      <c r="P12565" s="903">
        <f t="shared" si="1010"/>
        <v>1</v>
      </c>
      <c r="Q12565" s="893">
        <f t="shared" si="1011"/>
        <v>4</v>
      </c>
      <c r="R12565" s="894">
        <f t="shared" si="1012"/>
        <v>0</v>
      </c>
    </row>
    <row r="12566" spans="1:18" s="847" customFormat="1">
      <c r="A12566" s="905"/>
      <c r="B12566" s="952"/>
      <c r="C12566" s="907">
        <v>735</v>
      </c>
      <c r="D12566" s="907" t="s">
        <v>12</v>
      </c>
      <c r="E12566" s="992" t="s">
        <v>4065</v>
      </c>
      <c r="F12566" s="905" t="s">
        <v>2674</v>
      </c>
      <c r="G12566" s="1005"/>
      <c r="H12566" s="911">
        <v>4.7699999999999996</v>
      </c>
      <c r="I12566" s="912"/>
      <c r="J12566" s="912"/>
      <c r="K12566" s="912">
        <f>VLOOKUP(E12566,[5]ĐMNC!$A$7:$F$67,4,0)</f>
        <v>203703</v>
      </c>
      <c r="L12566" s="912">
        <f>H12566*K12566</f>
        <v>971663.30999999994</v>
      </c>
      <c r="M12566" s="912"/>
      <c r="N12566" s="912"/>
      <c r="O12566" s="892">
        <f t="shared" si="1008"/>
        <v>0</v>
      </c>
      <c r="P12566" s="903">
        <f t="shared" si="1010"/>
        <v>1</v>
      </c>
      <c r="Q12566" s="893">
        <f t="shared" si="1011"/>
        <v>3</v>
      </c>
      <c r="R12566" s="894">
        <f t="shared" si="1012"/>
        <v>0</v>
      </c>
    </row>
    <row r="12567" spans="1:18" s="904" customFormat="1">
      <c r="A12567" s="895"/>
      <c r="B12567" s="896"/>
      <c r="C12567" s="897"/>
      <c r="D12567" s="897"/>
      <c r="E12567" s="1002" t="s">
        <v>3914</v>
      </c>
      <c r="F12567" s="1003"/>
      <c r="G12567" s="1004"/>
      <c r="H12567" s="901"/>
      <c r="I12567" s="902"/>
      <c r="J12567" s="902"/>
      <c r="K12567" s="912" t="s">
        <v>274</v>
      </c>
      <c r="L12567" s="902"/>
      <c r="M12567" s="902"/>
      <c r="N12567" s="902"/>
      <c r="O12567" s="892">
        <f t="shared" si="1008"/>
        <v>0</v>
      </c>
      <c r="P12567" s="903">
        <f t="shared" si="1010"/>
        <v>1</v>
      </c>
      <c r="Q12567" s="893">
        <f t="shared" si="1011"/>
        <v>2</v>
      </c>
      <c r="R12567" s="894">
        <f t="shared" si="1012"/>
        <v>0</v>
      </c>
    </row>
    <row r="12568" spans="1:18">
      <c r="A12568" s="905"/>
      <c r="B12568" s="952" t="s">
        <v>6332</v>
      </c>
      <c r="C12568" s="907">
        <v>901</v>
      </c>
      <c r="D12568" s="907" t="s">
        <v>93</v>
      </c>
      <c r="E12568" s="992" t="s">
        <v>6333</v>
      </c>
      <c r="F12568" s="905" t="s">
        <v>2673</v>
      </c>
      <c r="G12568" s="1005"/>
      <c r="H12568" s="911">
        <v>0.2</v>
      </c>
      <c r="I12568" s="912"/>
      <c r="J12568" s="912"/>
      <c r="K12568" s="912"/>
      <c r="L12568" s="912"/>
      <c r="M12568" s="912">
        <f>VLOOKUP(B12568,MTC!$B$9:$S$933,12,0)</f>
        <v>1967433</v>
      </c>
      <c r="N12568" s="912">
        <f>M12568*H12568</f>
        <v>393486.60000000003</v>
      </c>
      <c r="O12568" s="892">
        <f t="shared" si="1008"/>
        <v>0</v>
      </c>
      <c r="P12568" s="903">
        <f t="shared" si="1010"/>
        <v>1</v>
      </c>
      <c r="Q12568" s="893">
        <f t="shared" si="1011"/>
        <v>1</v>
      </c>
      <c r="R12568" s="894">
        <f t="shared" si="1012"/>
        <v>0</v>
      </c>
    </row>
    <row r="12569" spans="1:18">
      <c r="A12569" s="905">
        <v>682</v>
      </c>
      <c r="B12569" s="1018" t="s">
        <v>173</v>
      </c>
      <c r="C12569" s="915"/>
      <c r="D12569" s="915"/>
      <c r="E12569" s="1006" t="s">
        <v>7187</v>
      </c>
      <c r="F12569" s="1007" t="s">
        <v>136</v>
      </c>
      <c r="G12569" s="1008"/>
      <c r="H12569" s="919"/>
      <c r="I12569" s="920"/>
      <c r="J12569" s="891">
        <f>SUM(J12570:J12575)</f>
        <v>33922.165000000001</v>
      </c>
      <c r="K12569" s="891"/>
      <c r="L12569" s="891">
        <f>SUM(L12570:L12575)</f>
        <v>2529991.2599999998</v>
      </c>
      <c r="M12569" s="891"/>
      <c r="N12569" s="891">
        <f>SUM(N12570:N12575)</f>
        <v>0</v>
      </c>
      <c r="O12569" s="892">
        <f t="shared" si="1008"/>
        <v>1</v>
      </c>
      <c r="P12569" s="903">
        <f t="shared" si="1010"/>
        <v>0</v>
      </c>
      <c r="Q12569" s="893">
        <f t="shared" si="1011"/>
        <v>0</v>
      </c>
      <c r="R12569" s="894">
        <f t="shared" si="1012"/>
        <v>6</v>
      </c>
    </row>
    <row r="12570" spans="1:18" s="904" customFormat="1">
      <c r="A12570" s="895"/>
      <c r="B12570" s="896"/>
      <c r="C12570" s="897"/>
      <c r="D12570" s="897"/>
      <c r="E12570" s="1002" t="s">
        <v>108</v>
      </c>
      <c r="F12570" s="895"/>
      <c r="G12570" s="1004"/>
      <c r="H12570" s="901"/>
      <c r="I12570" s="902"/>
      <c r="J12570" s="902"/>
      <c r="K12570" s="912" t="s">
        <v>274</v>
      </c>
      <c r="L12570" s="902"/>
      <c r="M12570" s="902"/>
      <c r="N12570" s="902"/>
      <c r="O12570" s="892">
        <f t="shared" si="1008"/>
        <v>0</v>
      </c>
      <c r="P12570" s="903">
        <f t="shared" si="1010"/>
        <v>1</v>
      </c>
      <c r="Q12570" s="893">
        <f t="shared" si="1011"/>
        <v>6</v>
      </c>
      <c r="R12570" s="894">
        <f t="shared" si="1012"/>
        <v>0</v>
      </c>
    </row>
    <row r="12571" spans="1:18">
      <c r="A12571" s="905"/>
      <c r="B12571" s="952"/>
      <c r="C12571" s="907">
        <v>229</v>
      </c>
      <c r="D12571" s="907" t="s">
        <v>279</v>
      </c>
      <c r="E12571" s="992" t="s">
        <v>6318</v>
      </c>
      <c r="F12571" s="905" t="s">
        <v>45</v>
      </c>
      <c r="G12571" s="1005"/>
      <c r="H12571" s="911">
        <v>0.9</v>
      </c>
      <c r="I12571" s="912">
        <f>VLOOKUP(E12571,[3]VLP!$B$7:$K$300,10,0)</f>
        <v>14762</v>
      </c>
      <c r="J12571" s="912">
        <f>I12571*H12571</f>
        <v>13285.800000000001</v>
      </c>
      <c r="K12571" s="912" t="s">
        <v>274</v>
      </c>
      <c r="L12571" s="912"/>
      <c r="M12571" s="912"/>
      <c r="N12571" s="912"/>
      <c r="O12571" s="892">
        <f t="shared" si="1008"/>
        <v>0</v>
      </c>
      <c r="P12571" s="903">
        <f t="shared" si="1010"/>
        <v>1</v>
      </c>
      <c r="Q12571" s="893">
        <f t="shared" si="1011"/>
        <v>5</v>
      </c>
      <c r="R12571" s="894">
        <f t="shared" si="1012"/>
        <v>0</v>
      </c>
    </row>
    <row r="12572" spans="1:18">
      <c r="A12572" s="905"/>
      <c r="B12572" s="952"/>
      <c r="C12572" s="907">
        <v>236</v>
      </c>
      <c r="D12572" s="907" t="s">
        <v>279</v>
      </c>
      <c r="E12572" s="992" t="s">
        <v>7176</v>
      </c>
      <c r="F12572" s="905" t="s">
        <v>47</v>
      </c>
      <c r="G12572" s="1005"/>
      <c r="H12572" s="911">
        <v>3.0000000000000001E-3</v>
      </c>
      <c r="I12572" s="912">
        <f>VLOOKUP(E12572,[3]VLP!$B$7:$K$300,10,0)</f>
        <v>3545455</v>
      </c>
      <c r="J12572" s="912">
        <f>I12572*H12572</f>
        <v>10636.365</v>
      </c>
      <c r="K12572" s="912" t="s">
        <v>274</v>
      </c>
      <c r="L12572" s="912"/>
      <c r="M12572" s="912"/>
      <c r="N12572" s="912"/>
      <c r="O12572" s="892">
        <f t="shared" si="1008"/>
        <v>0</v>
      </c>
      <c r="P12572" s="903">
        <f t="shared" si="1010"/>
        <v>1</v>
      </c>
      <c r="Q12572" s="893">
        <f t="shared" si="1011"/>
        <v>4</v>
      </c>
      <c r="R12572" s="894">
        <f t="shared" si="1012"/>
        <v>0</v>
      </c>
    </row>
    <row r="12573" spans="1:18" s="847" customFormat="1">
      <c r="A12573" s="905"/>
      <c r="B12573" s="952"/>
      <c r="C12573" s="907">
        <v>699</v>
      </c>
      <c r="D12573" s="907" t="s">
        <v>279</v>
      </c>
      <c r="E12573" s="992" t="s">
        <v>4006</v>
      </c>
      <c r="F12573" s="905" t="s">
        <v>4007</v>
      </c>
      <c r="G12573" s="1005"/>
      <c r="H12573" s="911">
        <v>2</v>
      </c>
      <c r="I12573" s="912">
        <f>VLOOKUP(E12573,[3]VLP!$B$7:$K$300,10,0)</f>
        <v>5000</v>
      </c>
      <c r="J12573" s="912">
        <f>I12573*H12573</f>
        <v>10000</v>
      </c>
      <c r="K12573" s="912" t="s">
        <v>274</v>
      </c>
      <c r="L12573" s="912"/>
      <c r="M12573" s="912"/>
      <c r="N12573" s="912"/>
      <c r="O12573" s="892">
        <f t="shared" si="1008"/>
        <v>0</v>
      </c>
      <c r="P12573" s="903">
        <f t="shared" si="1010"/>
        <v>1</v>
      </c>
      <c r="Q12573" s="893">
        <f t="shared" si="1011"/>
        <v>3</v>
      </c>
      <c r="R12573" s="894">
        <f t="shared" si="1012"/>
        <v>0</v>
      </c>
    </row>
    <row r="12574" spans="1:18" s="904" customFormat="1">
      <c r="A12574" s="895"/>
      <c r="B12574" s="896"/>
      <c r="C12574" s="897"/>
      <c r="D12574" s="897"/>
      <c r="E12574" s="1002" t="s">
        <v>276</v>
      </c>
      <c r="F12574" s="1003"/>
      <c r="G12574" s="1004"/>
      <c r="H12574" s="901"/>
      <c r="I12574" s="902"/>
      <c r="J12574" s="902"/>
      <c r="K12574" s="912" t="s">
        <v>274</v>
      </c>
      <c r="L12574" s="902"/>
      <c r="M12574" s="902"/>
      <c r="N12574" s="902"/>
      <c r="O12574" s="892">
        <f t="shared" si="1008"/>
        <v>0</v>
      </c>
      <c r="P12574" s="903">
        <f t="shared" si="1010"/>
        <v>1</v>
      </c>
      <c r="Q12574" s="893">
        <f t="shared" si="1011"/>
        <v>2</v>
      </c>
      <c r="R12574" s="894">
        <f t="shared" si="1012"/>
        <v>0</v>
      </c>
    </row>
    <row r="12575" spans="1:18">
      <c r="A12575" s="905"/>
      <c r="B12575" s="952"/>
      <c r="C12575" s="907">
        <v>735</v>
      </c>
      <c r="D12575" s="907" t="s">
        <v>12</v>
      </c>
      <c r="E12575" s="992" t="s">
        <v>4065</v>
      </c>
      <c r="F12575" s="905" t="s">
        <v>2674</v>
      </c>
      <c r="G12575" s="1005"/>
      <c r="H12575" s="911">
        <v>12.42</v>
      </c>
      <c r="I12575" s="912"/>
      <c r="J12575" s="912"/>
      <c r="K12575" s="912">
        <f>VLOOKUP(E12575,[5]ĐMNC!$A$7:$F$67,4,0)</f>
        <v>203703</v>
      </c>
      <c r="L12575" s="912">
        <f>H12575*K12575</f>
        <v>2529991.2599999998</v>
      </c>
      <c r="M12575" s="912"/>
      <c r="N12575" s="912"/>
      <c r="O12575" s="892">
        <f t="shared" si="1008"/>
        <v>0</v>
      </c>
      <c r="P12575" s="903">
        <f t="shared" si="1010"/>
        <v>1</v>
      </c>
      <c r="Q12575" s="893">
        <f t="shared" si="1011"/>
        <v>1</v>
      </c>
      <c r="R12575" s="894">
        <f t="shared" si="1012"/>
        <v>0</v>
      </c>
    </row>
    <row r="12576" spans="1:18">
      <c r="A12576" s="905">
        <v>688</v>
      </c>
      <c r="B12576" s="914" t="s">
        <v>166</v>
      </c>
      <c r="C12576" s="915"/>
      <c r="D12576" s="915"/>
      <c r="E12576" s="1006" t="s">
        <v>7188</v>
      </c>
      <c r="F12576" s="917" t="s">
        <v>159</v>
      </c>
      <c r="G12576" s="1008"/>
      <c r="H12576" s="919"/>
      <c r="I12576" s="920"/>
      <c r="J12576" s="962">
        <f>SUM(J12577:J12586)</f>
        <v>132181.1</v>
      </c>
      <c r="K12576" s="891" t="s">
        <v>274</v>
      </c>
      <c r="L12576" s="962">
        <f>SUM(L12577:L12586)</f>
        <v>601392.5</v>
      </c>
      <c r="M12576" s="962"/>
      <c r="N12576" s="962">
        <f>SUM(N12577:N12586)</f>
        <v>278618</v>
      </c>
      <c r="O12576" s="892">
        <f t="shared" si="1008"/>
        <v>1</v>
      </c>
      <c r="P12576" s="903">
        <f t="shared" si="1010"/>
        <v>0</v>
      </c>
      <c r="Q12576" s="893">
        <f t="shared" si="1011"/>
        <v>0</v>
      </c>
      <c r="R12576" s="894">
        <f t="shared" si="1012"/>
        <v>10</v>
      </c>
    </row>
    <row r="12577" spans="1:18">
      <c r="A12577" s="895"/>
      <c r="B12577" s="896"/>
      <c r="C12577" s="897"/>
      <c r="D12577" s="897"/>
      <c r="E12577" s="1002" t="s">
        <v>108</v>
      </c>
      <c r="F12577" s="1003"/>
      <c r="G12577" s="1004"/>
      <c r="H12577" s="901"/>
      <c r="I12577" s="902"/>
      <c r="J12577" s="902"/>
      <c r="K12577" s="912" t="s">
        <v>274</v>
      </c>
      <c r="L12577" s="902"/>
      <c r="M12577" s="902"/>
      <c r="N12577" s="902"/>
      <c r="O12577" s="892">
        <f t="shared" si="1008"/>
        <v>0</v>
      </c>
      <c r="P12577" s="903">
        <f t="shared" si="1010"/>
        <v>1</v>
      </c>
      <c r="Q12577" s="893">
        <f t="shared" si="1011"/>
        <v>10</v>
      </c>
      <c r="R12577" s="894">
        <f t="shared" si="1012"/>
        <v>0</v>
      </c>
    </row>
    <row r="12578" spans="1:18" s="904" customFormat="1">
      <c r="A12578" s="905"/>
      <c r="B12578" s="952"/>
      <c r="C12578" s="990">
        <v>319</v>
      </c>
      <c r="D12578" s="907" t="s">
        <v>279</v>
      </c>
      <c r="E12578" s="992" t="s">
        <v>5705</v>
      </c>
      <c r="F12578" s="905" t="s">
        <v>45</v>
      </c>
      <c r="G12578" s="1005"/>
      <c r="H12578" s="911">
        <v>2</v>
      </c>
      <c r="I12578" s="912">
        <f>VLOOKUP(E12578,[3]VLP!$B$7:$K$300,10,0)</f>
        <v>1436</v>
      </c>
      <c r="J12578" s="912">
        <f>I12578*H12578</f>
        <v>2872</v>
      </c>
      <c r="K12578" s="912" t="s">
        <v>274</v>
      </c>
      <c r="L12578" s="912"/>
      <c r="M12578" s="912"/>
      <c r="N12578" s="912"/>
      <c r="O12578" s="892">
        <f t="shared" si="1008"/>
        <v>0</v>
      </c>
      <c r="P12578" s="903">
        <f t="shared" si="1010"/>
        <v>1</v>
      </c>
      <c r="Q12578" s="893">
        <f t="shared" si="1011"/>
        <v>9</v>
      </c>
      <c r="R12578" s="894">
        <f t="shared" si="1012"/>
        <v>0</v>
      </c>
    </row>
    <row r="12579" spans="1:18">
      <c r="A12579" s="905"/>
      <c r="B12579" s="952"/>
      <c r="C12579" s="907">
        <v>212</v>
      </c>
      <c r="D12579" s="907" t="s">
        <v>279</v>
      </c>
      <c r="E12579" s="992" t="s">
        <v>2681</v>
      </c>
      <c r="F12579" s="905" t="s">
        <v>45</v>
      </c>
      <c r="G12579" s="1005"/>
      <c r="H12579" s="911">
        <v>0.3</v>
      </c>
      <c r="I12579" s="912">
        <f>VLOOKUP(E12579,[3]VLP!$B$7:$K$300,10,0)</f>
        <v>23000</v>
      </c>
      <c r="J12579" s="912">
        <f>I12579*H12579</f>
        <v>6900</v>
      </c>
      <c r="K12579" s="912" t="s">
        <v>274</v>
      </c>
      <c r="L12579" s="912"/>
      <c r="M12579" s="912"/>
      <c r="N12579" s="912"/>
      <c r="O12579" s="892">
        <f t="shared" si="1008"/>
        <v>0</v>
      </c>
      <c r="P12579" s="903">
        <f t="shared" si="1010"/>
        <v>1</v>
      </c>
      <c r="Q12579" s="893">
        <f t="shared" si="1011"/>
        <v>8</v>
      </c>
      <c r="R12579" s="894">
        <f t="shared" si="1012"/>
        <v>0</v>
      </c>
    </row>
    <row r="12580" spans="1:18" s="847" customFormat="1">
      <c r="A12580" s="905"/>
      <c r="B12580" s="952"/>
      <c r="C12580" s="907">
        <v>235</v>
      </c>
      <c r="D12580" s="907" t="s">
        <v>279</v>
      </c>
      <c r="E12580" s="992" t="s">
        <v>2682</v>
      </c>
      <c r="F12580" s="905" t="s">
        <v>45</v>
      </c>
      <c r="G12580" s="1005"/>
      <c r="H12580" s="911">
        <v>0.3</v>
      </c>
      <c r="I12580" s="912">
        <f>VLOOKUP(E12580,[3]VLP!$B$7:$K$300,10,0)</f>
        <v>5000</v>
      </c>
      <c r="J12580" s="912">
        <f>I12580*H12580</f>
        <v>1500</v>
      </c>
      <c r="K12580" s="912" t="s">
        <v>274</v>
      </c>
      <c r="L12580" s="912"/>
      <c r="M12580" s="912"/>
      <c r="N12580" s="912"/>
      <c r="O12580" s="892">
        <f t="shared" si="1008"/>
        <v>0</v>
      </c>
      <c r="P12580" s="903">
        <f t="shared" si="1010"/>
        <v>1</v>
      </c>
      <c r="Q12580" s="893">
        <f t="shared" si="1011"/>
        <v>7</v>
      </c>
      <c r="R12580" s="894">
        <f t="shared" si="1012"/>
        <v>0</v>
      </c>
    </row>
    <row r="12581" spans="1:18" s="904" customFormat="1">
      <c r="A12581" s="905"/>
      <c r="B12581" s="952"/>
      <c r="C12581" s="907">
        <v>236</v>
      </c>
      <c r="D12581" s="907" t="s">
        <v>279</v>
      </c>
      <c r="E12581" s="992" t="s">
        <v>7176</v>
      </c>
      <c r="F12581" s="905" t="s">
        <v>47</v>
      </c>
      <c r="G12581" s="1005"/>
      <c r="H12581" s="911">
        <v>0.02</v>
      </c>
      <c r="I12581" s="912">
        <f>VLOOKUP(E12581,[3]VLP!$B$7:$K$300,10,0)</f>
        <v>3545455</v>
      </c>
      <c r="J12581" s="912">
        <f>I12581*H12581</f>
        <v>70909.100000000006</v>
      </c>
      <c r="K12581" s="912" t="s">
        <v>274</v>
      </c>
      <c r="L12581" s="912"/>
      <c r="M12581" s="912"/>
      <c r="N12581" s="912"/>
      <c r="O12581" s="892">
        <f t="shared" si="1008"/>
        <v>0</v>
      </c>
      <c r="P12581" s="903">
        <f t="shared" si="1010"/>
        <v>1</v>
      </c>
      <c r="Q12581" s="893">
        <f t="shared" si="1011"/>
        <v>6</v>
      </c>
      <c r="R12581" s="894">
        <f t="shared" si="1012"/>
        <v>0</v>
      </c>
    </row>
    <row r="12582" spans="1:18">
      <c r="A12582" s="905"/>
      <c r="B12582" s="952"/>
      <c r="C12582" s="907">
        <v>699</v>
      </c>
      <c r="D12582" s="907" t="s">
        <v>279</v>
      </c>
      <c r="E12582" s="992" t="s">
        <v>4006</v>
      </c>
      <c r="F12582" s="905" t="s">
        <v>4007</v>
      </c>
      <c r="G12582" s="1005"/>
      <c r="H12582" s="911">
        <v>10</v>
      </c>
      <c r="I12582" s="912">
        <f>VLOOKUP(E12582,[3]VLP!$B$7:$K$300,10,0)</f>
        <v>5000</v>
      </c>
      <c r="J12582" s="912">
        <f>I12582*H12582</f>
        <v>50000</v>
      </c>
      <c r="K12582" s="912" t="s">
        <v>274</v>
      </c>
      <c r="L12582" s="912"/>
      <c r="M12582" s="912"/>
      <c r="N12582" s="912"/>
      <c r="O12582" s="892">
        <f t="shared" si="1008"/>
        <v>0</v>
      </c>
      <c r="P12582" s="903">
        <f t="shared" si="1010"/>
        <v>1</v>
      </c>
      <c r="Q12582" s="893">
        <f t="shared" si="1011"/>
        <v>5</v>
      </c>
      <c r="R12582" s="894">
        <f t="shared" si="1012"/>
        <v>0</v>
      </c>
    </row>
    <row r="12583" spans="1:18">
      <c r="A12583" s="895"/>
      <c r="B12583" s="896"/>
      <c r="C12583" s="897"/>
      <c r="D12583" s="897"/>
      <c r="E12583" s="1002" t="s">
        <v>276</v>
      </c>
      <c r="F12583" s="1003"/>
      <c r="G12583" s="1004"/>
      <c r="H12583" s="901"/>
      <c r="I12583" s="902"/>
      <c r="J12583" s="902"/>
      <c r="K12583" s="912" t="s">
        <v>274</v>
      </c>
      <c r="L12583" s="902"/>
      <c r="M12583" s="902"/>
      <c r="N12583" s="902"/>
      <c r="O12583" s="892">
        <f t="shared" si="1008"/>
        <v>0</v>
      </c>
      <c r="P12583" s="903">
        <f t="shared" si="1010"/>
        <v>1</v>
      </c>
      <c r="Q12583" s="893">
        <f t="shared" si="1011"/>
        <v>4</v>
      </c>
      <c r="R12583" s="894">
        <f t="shared" si="1012"/>
        <v>0</v>
      </c>
    </row>
    <row r="12584" spans="1:18" s="904" customFormat="1">
      <c r="A12584" s="905"/>
      <c r="B12584" s="952"/>
      <c r="C12584" s="907">
        <v>745</v>
      </c>
      <c r="D12584" s="907" t="s">
        <v>12</v>
      </c>
      <c r="E12584" s="992" t="s">
        <v>5518</v>
      </c>
      <c r="F12584" s="905" t="s">
        <v>2674</v>
      </c>
      <c r="G12584" s="1005"/>
      <c r="H12584" s="911">
        <v>2.5</v>
      </c>
      <c r="I12584" s="912"/>
      <c r="J12584" s="912"/>
      <c r="K12584" s="912">
        <f>VLOOKUP(E12584,[5]ĐMNC!$A$7:$F$67,4,0)</f>
        <v>240557</v>
      </c>
      <c r="L12584" s="912">
        <f>H12584*K12584</f>
        <v>601392.5</v>
      </c>
      <c r="M12584" s="912"/>
      <c r="N12584" s="912"/>
      <c r="O12584" s="892">
        <f t="shared" si="1008"/>
        <v>0</v>
      </c>
      <c r="P12584" s="903">
        <f t="shared" si="1010"/>
        <v>1</v>
      </c>
      <c r="Q12584" s="893">
        <f t="shared" si="1011"/>
        <v>3</v>
      </c>
      <c r="R12584" s="894">
        <f t="shared" si="1012"/>
        <v>0</v>
      </c>
    </row>
    <row r="12585" spans="1:18">
      <c r="A12585" s="895"/>
      <c r="B12585" s="896"/>
      <c r="C12585" s="897"/>
      <c r="D12585" s="897"/>
      <c r="E12585" s="1002" t="s">
        <v>3914</v>
      </c>
      <c r="F12585" s="1003"/>
      <c r="G12585" s="1004"/>
      <c r="H12585" s="901"/>
      <c r="I12585" s="902"/>
      <c r="J12585" s="902"/>
      <c r="K12585" s="912" t="s">
        <v>274</v>
      </c>
      <c r="L12585" s="902"/>
      <c r="M12585" s="902"/>
      <c r="N12585" s="902"/>
      <c r="O12585" s="892">
        <f t="shared" si="1008"/>
        <v>0</v>
      </c>
      <c r="P12585" s="903">
        <f t="shared" si="1010"/>
        <v>1</v>
      </c>
      <c r="Q12585" s="893">
        <f t="shared" si="1011"/>
        <v>2</v>
      </c>
      <c r="R12585" s="894">
        <f t="shared" si="1012"/>
        <v>0</v>
      </c>
    </row>
    <row r="12586" spans="1:18" s="847" customFormat="1">
      <c r="A12586" s="905"/>
      <c r="B12586" s="952" t="s">
        <v>4993</v>
      </c>
      <c r="C12586" s="907">
        <v>904</v>
      </c>
      <c r="D12586" s="907" t="s">
        <v>93</v>
      </c>
      <c r="E12586" s="992" t="s">
        <v>4994</v>
      </c>
      <c r="F12586" s="905" t="s">
        <v>2673</v>
      </c>
      <c r="G12586" s="1005"/>
      <c r="H12586" s="911">
        <v>0.2</v>
      </c>
      <c r="I12586" s="912"/>
      <c r="J12586" s="912"/>
      <c r="K12586" s="912"/>
      <c r="L12586" s="912"/>
      <c r="M12586" s="912">
        <f>VLOOKUP(B12586,MTC!$B$9:$S$933,12,0)</f>
        <v>1393090</v>
      </c>
      <c r="N12586" s="912">
        <f>M12586*H12586</f>
        <v>278618</v>
      </c>
      <c r="O12586" s="892">
        <f t="shared" si="1008"/>
        <v>0</v>
      </c>
      <c r="P12586" s="903">
        <f t="shared" si="1010"/>
        <v>1</v>
      </c>
      <c r="Q12586" s="893">
        <f t="shared" si="1011"/>
        <v>1</v>
      </c>
      <c r="R12586" s="894">
        <f t="shared" si="1012"/>
        <v>0</v>
      </c>
    </row>
    <row r="12587" spans="1:18" s="904" customFormat="1">
      <c r="A12587" s="905">
        <v>689</v>
      </c>
      <c r="B12587" s="914" t="s">
        <v>169</v>
      </c>
      <c r="C12587" s="915"/>
      <c r="D12587" s="915"/>
      <c r="E12587" s="1006" t="s">
        <v>7189</v>
      </c>
      <c r="F12587" s="917" t="s">
        <v>159</v>
      </c>
      <c r="G12587" s="1008"/>
      <c r="H12587" s="919"/>
      <c r="I12587" s="920"/>
      <c r="J12587" s="962">
        <f>SUM(J12588:J12597)</f>
        <v>134481.1</v>
      </c>
      <c r="K12587" s="891" t="s">
        <v>274</v>
      </c>
      <c r="L12587" s="962">
        <f>SUM(L12588:L12597)</f>
        <v>692804.15999999992</v>
      </c>
      <c r="M12587" s="962"/>
      <c r="N12587" s="962">
        <f>SUM(N12588:N12597)</f>
        <v>278618</v>
      </c>
      <c r="O12587" s="892">
        <f t="shared" si="1008"/>
        <v>1</v>
      </c>
      <c r="P12587" s="903">
        <f t="shared" si="1010"/>
        <v>0</v>
      </c>
      <c r="Q12587" s="893">
        <f t="shared" si="1011"/>
        <v>0</v>
      </c>
      <c r="R12587" s="894">
        <f t="shared" si="1012"/>
        <v>10</v>
      </c>
    </row>
    <row r="12588" spans="1:18">
      <c r="A12588" s="895"/>
      <c r="B12588" s="896"/>
      <c r="C12588" s="897"/>
      <c r="D12588" s="897"/>
      <c r="E12588" s="1002" t="s">
        <v>108</v>
      </c>
      <c r="F12588" s="1003"/>
      <c r="G12588" s="1004"/>
      <c r="H12588" s="901"/>
      <c r="I12588" s="902"/>
      <c r="J12588" s="902"/>
      <c r="K12588" s="912" t="s">
        <v>274</v>
      </c>
      <c r="L12588" s="902"/>
      <c r="M12588" s="902"/>
      <c r="N12588" s="902"/>
      <c r="O12588" s="892">
        <f t="shared" si="1008"/>
        <v>0</v>
      </c>
      <c r="P12588" s="903">
        <f t="shared" si="1010"/>
        <v>1</v>
      </c>
      <c r="Q12588" s="893">
        <f t="shared" si="1011"/>
        <v>10</v>
      </c>
      <c r="R12588" s="894">
        <f t="shared" si="1012"/>
        <v>0</v>
      </c>
    </row>
    <row r="12589" spans="1:18">
      <c r="A12589" s="905"/>
      <c r="B12589" s="952"/>
      <c r="C12589" s="990">
        <v>319</v>
      </c>
      <c r="D12589" s="907" t="s">
        <v>279</v>
      </c>
      <c r="E12589" s="992" t="s">
        <v>5705</v>
      </c>
      <c r="F12589" s="905" t="s">
        <v>45</v>
      </c>
      <c r="G12589" s="1005"/>
      <c r="H12589" s="911">
        <v>2</v>
      </c>
      <c r="I12589" s="912">
        <f>VLOOKUP(E12589,[3]VLP!$B$7:$K$300,10,0)</f>
        <v>1436</v>
      </c>
      <c r="J12589" s="912">
        <f>I12589*H12589</f>
        <v>2872</v>
      </c>
      <c r="K12589" s="912" t="s">
        <v>274</v>
      </c>
      <c r="L12589" s="912"/>
      <c r="M12589" s="912"/>
      <c r="N12589" s="912"/>
      <c r="O12589" s="892">
        <f t="shared" si="1008"/>
        <v>0</v>
      </c>
      <c r="P12589" s="903">
        <f t="shared" si="1010"/>
        <v>1</v>
      </c>
      <c r="Q12589" s="893">
        <f t="shared" si="1011"/>
        <v>9</v>
      </c>
      <c r="R12589" s="894">
        <f t="shared" si="1012"/>
        <v>0</v>
      </c>
    </row>
    <row r="12590" spans="1:18" s="904" customFormat="1">
      <c r="A12590" s="905"/>
      <c r="B12590" s="952"/>
      <c r="C12590" s="907">
        <v>212</v>
      </c>
      <c r="D12590" s="907" t="s">
        <v>279</v>
      </c>
      <c r="E12590" s="992" t="s">
        <v>2681</v>
      </c>
      <c r="F12590" s="905" t="s">
        <v>45</v>
      </c>
      <c r="G12590" s="1005"/>
      <c r="H12590" s="911">
        <v>0.4</v>
      </c>
      <c r="I12590" s="912">
        <f>VLOOKUP(E12590,[3]VLP!$B$7:$K$300,10,0)</f>
        <v>23000</v>
      </c>
      <c r="J12590" s="912">
        <f>I12590*H12590</f>
        <v>9200</v>
      </c>
      <c r="K12590" s="912" t="s">
        <v>274</v>
      </c>
      <c r="L12590" s="912"/>
      <c r="M12590" s="912"/>
      <c r="N12590" s="912"/>
      <c r="O12590" s="892">
        <f t="shared" si="1008"/>
        <v>0</v>
      </c>
      <c r="P12590" s="903">
        <f t="shared" si="1010"/>
        <v>1</v>
      </c>
      <c r="Q12590" s="893">
        <f t="shared" si="1011"/>
        <v>8</v>
      </c>
      <c r="R12590" s="894">
        <f t="shared" si="1012"/>
        <v>0</v>
      </c>
    </row>
    <row r="12591" spans="1:18">
      <c r="A12591" s="905"/>
      <c r="B12591" s="952"/>
      <c r="C12591" s="907">
        <v>235</v>
      </c>
      <c r="D12591" s="907" t="s">
        <v>279</v>
      </c>
      <c r="E12591" s="992" t="s">
        <v>2682</v>
      </c>
      <c r="F12591" s="905" t="s">
        <v>45</v>
      </c>
      <c r="G12591" s="1005"/>
      <c r="H12591" s="911">
        <v>0.3</v>
      </c>
      <c r="I12591" s="912">
        <f>VLOOKUP(E12591,[3]VLP!$B$7:$K$300,10,0)</f>
        <v>5000</v>
      </c>
      <c r="J12591" s="912">
        <f>I12591*H12591</f>
        <v>1500</v>
      </c>
      <c r="K12591" s="912" t="s">
        <v>274</v>
      </c>
      <c r="L12591" s="912"/>
      <c r="M12591" s="912"/>
      <c r="N12591" s="912"/>
      <c r="O12591" s="892">
        <f t="shared" si="1008"/>
        <v>0</v>
      </c>
      <c r="P12591" s="903">
        <f t="shared" si="1010"/>
        <v>1</v>
      </c>
      <c r="Q12591" s="893">
        <f t="shared" si="1011"/>
        <v>7</v>
      </c>
      <c r="R12591" s="894">
        <f t="shared" si="1012"/>
        <v>0</v>
      </c>
    </row>
    <row r="12592" spans="1:18" s="847" customFormat="1">
      <c r="A12592" s="905"/>
      <c r="B12592" s="952"/>
      <c r="C12592" s="907">
        <v>236</v>
      </c>
      <c r="D12592" s="907" t="s">
        <v>279</v>
      </c>
      <c r="E12592" s="992" t="s">
        <v>7176</v>
      </c>
      <c r="F12592" s="905" t="s">
        <v>47</v>
      </c>
      <c r="G12592" s="1005"/>
      <c r="H12592" s="911">
        <v>0.02</v>
      </c>
      <c r="I12592" s="912">
        <f>VLOOKUP(E12592,[3]VLP!$B$7:$K$300,10,0)</f>
        <v>3545455</v>
      </c>
      <c r="J12592" s="912">
        <f>I12592*H12592</f>
        <v>70909.100000000006</v>
      </c>
      <c r="K12592" s="912" t="s">
        <v>274</v>
      </c>
      <c r="L12592" s="912"/>
      <c r="M12592" s="912"/>
      <c r="N12592" s="912"/>
      <c r="O12592" s="892">
        <f t="shared" si="1008"/>
        <v>0</v>
      </c>
      <c r="P12592" s="903">
        <f t="shared" si="1010"/>
        <v>1</v>
      </c>
      <c r="Q12592" s="893">
        <f t="shared" si="1011"/>
        <v>6</v>
      </c>
      <c r="R12592" s="894">
        <f t="shared" si="1012"/>
        <v>0</v>
      </c>
    </row>
    <row r="12593" spans="1:18" s="904" customFormat="1">
      <c r="A12593" s="905"/>
      <c r="B12593" s="952"/>
      <c r="C12593" s="907">
        <v>699</v>
      </c>
      <c r="D12593" s="907" t="s">
        <v>279</v>
      </c>
      <c r="E12593" s="992" t="s">
        <v>4006</v>
      </c>
      <c r="F12593" s="905" t="s">
        <v>4007</v>
      </c>
      <c r="G12593" s="1005"/>
      <c r="H12593" s="911">
        <v>10</v>
      </c>
      <c r="I12593" s="912">
        <f>VLOOKUP(E12593,[3]VLP!$B$7:$K$300,10,0)</f>
        <v>5000</v>
      </c>
      <c r="J12593" s="912">
        <f>I12593*H12593</f>
        <v>50000</v>
      </c>
      <c r="K12593" s="912" t="s">
        <v>274</v>
      </c>
      <c r="L12593" s="912"/>
      <c r="M12593" s="912"/>
      <c r="N12593" s="912"/>
      <c r="O12593" s="892">
        <f t="shared" si="1008"/>
        <v>0</v>
      </c>
      <c r="P12593" s="903">
        <f t="shared" si="1010"/>
        <v>1</v>
      </c>
      <c r="Q12593" s="893">
        <f t="shared" si="1011"/>
        <v>5</v>
      </c>
      <c r="R12593" s="894">
        <f t="shared" si="1012"/>
        <v>0</v>
      </c>
    </row>
    <row r="12594" spans="1:18">
      <c r="A12594" s="895"/>
      <c r="B12594" s="896"/>
      <c r="C12594" s="897"/>
      <c r="D12594" s="897"/>
      <c r="E12594" s="1002" t="s">
        <v>276</v>
      </c>
      <c r="F12594" s="1003"/>
      <c r="G12594" s="1004"/>
      <c r="H12594" s="901"/>
      <c r="I12594" s="902"/>
      <c r="J12594" s="902"/>
      <c r="K12594" s="912" t="s">
        <v>274</v>
      </c>
      <c r="L12594" s="902"/>
      <c r="M12594" s="902"/>
      <c r="N12594" s="902"/>
      <c r="O12594" s="892">
        <f t="shared" si="1008"/>
        <v>0</v>
      </c>
      <c r="P12594" s="903">
        <f t="shared" si="1010"/>
        <v>1</v>
      </c>
      <c r="Q12594" s="893">
        <f t="shared" si="1011"/>
        <v>4</v>
      </c>
      <c r="R12594" s="894">
        <f t="shared" si="1012"/>
        <v>0</v>
      </c>
    </row>
    <row r="12595" spans="1:18">
      <c r="A12595" s="905"/>
      <c r="B12595" s="952"/>
      <c r="C12595" s="907">
        <v>745</v>
      </c>
      <c r="D12595" s="907" t="s">
        <v>12</v>
      </c>
      <c r="E12595" s="992" t="s">
        <v>5518</v>
      </c>
      <c r="F12595" s="905" t="s">
        <v>2674</v>
      </c>
      <c r="G12595" s="1005"/>
      <c r="H12595" s="911">
        <v>2.88</v>
      </c>
      <c r="I12595" s="912"/>
      <c r="J12595" s="912"/>
      <c r="K12595" s="912">
        <f>VLOOKUP(E12595,[5]ĐMNC!$A$7:$F$67,4,0)</f>
        <v>240557</v>
      </c>
      <c r="L12595" s="912">
        <f>H12595*K12595</f>
        <v>692804.15999999992</v>
      </c>
      <c r="M12595" s="912"/>
      <c r="N12595" s="912"/>
      <c r="O12595" s="892">
        <f t="shared" si="1008"/>
        <v>0</v>
      </c>
      <c r="P12595" s="903">
        <f t="shared" si="1010"/>
        <v>1</v>
      </c>
      <c r="Q12595" s="893">
        <f t="shared" si="1011"/>
        <v>3</v>
      </c>
      <c r="R12595" s="894">
        <f t="shared" si="1012"/>
        <v>0</v>
      </c>
    </row>
    <row r="12596" spans="1:18" s="904" customFormat="1">
      <c r="A12596" s="895"/>
      <c r="B12596" s="896"/>
      <c r="C12596" s="897"/>
      <c r="D12596" s="897"/>
      <c r="E12596" s="1002" t="s">
        <v>3914</v>
      </c>
      <c r="F12596" s="1003"/>
      <c r="G12596" s="1004"/>
      <c r="H12596" s="901"/>
      <c r="I12596" s="902"/>
      <c r="J12596" s="902"/>
      <c r="K12596" s="912" t="s">
        <v>274</v>
      </c>
      <c r="L12596" s="902"/>
      <c r="M12596" s="902"/>
      <c r="N12596" s="902"/>
      <c r="O12596" s="892">
        <f t="shared" si="1008"/>
        <v>0</v>
      </c>
      <c r="P12596" s="903">
        <f t="shared" si="1010"/>
        <v>1</v>
      </c>
      <c r="Q12596" s="893">
        <f t="shared" si="1011"/>
        <v>2</v>
      </c>
      <c r="R12596" s="894">
        <f t="shared" si="1012"/>
        <v>0</v>
      </c>
    </row>
    <row r="12597" spans="1:18">
      <c r="A12597" s="905"/>
      <c r="B12597" s="952" t="s">
        <v>4993</v>
      </c>
      <c r="C12597" s="907">
        <v>904</v>
      </c>
      <c r="D12597" s="907" t="s">
        <v>93</v>
      </c>
      <c r="E12597" s="992" t="s">
        <v>4994</v>
      </c>
      <c r="F12597" s="905" t="s">
        <v>2673</v>
      </c>
      <c r="G12597" s="1005"/>
      <c r="H12597" s="911">
        <v>0.2</v>
      </c>
      <c r="I12597" s="912"/>
      <c r="J12597" s="912"/>
      <c r="K12597" s="912"/>
      <c r="L12597" s="912"/>
      <c r="M12597" s="912">
        <f>VLOOKUP(B12597,MTC!$B$9:$S$933,12,0)</f>
        <v>1393090</v>
      </c>
      <c r="N12597" s="912">
        <f>M12597*H12597</f>
        <v>278618</v>
      </c>
      <c r="O12597" s="892">
        <f t="shared" si="1008"/>
        <v>0</v>
      </c>
      <c r="P12597" s="903">
        <f t="shared" si="1010"/>
        <v>1</v>
      </c>
      <c r="Q12597" s="893">
        <f t="shared" si="1011"/>
        <v>1</v>
      </c>
      <c r="R12597" s="894">
        <f t="shared" si="1012"/>
        <v>0</v>
      </c>
    </row>
    <row r="12598" spans="1:18" s="847" customFormat="1">
      <c r="A12598" s="905">
        <v>690</v>
      </c>
      <c r="B12598" s="914" t="s">
        <v>7190</v>
      </c>
      <c r="C12598" s="915"/>
      <c r="D12598" s="915"/>
      <c r="E12598" s="1006" t="s">
        <v>7191</v>
      </c>
      <c r="F12598" s="917" t="s">
        <v>159</v>
      </c>
      <c r="G12598" s="1008"/>
      <c r="H12598" s="919"/>
      <c r="I12598" s="920"/>
      <c r="J12598" s="962">
        <f>SUM(J12599:J12608)</f>
        <v>132181.1</v>
      </c>
      <c r="K12598" s="891" t="s">
        <v>274</v>
      </c>
      <c r="L12598" s="962">
        <f>SUM(L12599:L12608)</f>
        <v>601392.5</v>
      </c>
      <c r="M12598" s="962"/>
      <c r="N12598" s="962">
        <f>SUM(N12599:N12608)</f>
        <v>278618</v>
      </c>
      <c r="O12598" s="892">
        <f t="shared" ref="O12598:O12661" si="1013">IF(AND(B12598&lt;&gt;"",D12598=""),1,0)</f>
        <v>1</v>
      </c>
      <c r="P12598" s="903">
        <f t="shared" si="1010"/>
        <v>0</v>
      </c>
      <c r="Q12598" s="893">
        <f t="shared" si="1011"/>
        <v>0</v>
      </c>
      <c r="R12598" s="894">
        <f t="shared" si="1012"/>
        <v>10</v>
      </c>
    </row>
    <row r="12599" spans="1:18" s="904" customFormat="1">
      <c r="A12599" s="895"/>
      <c r="B12599" s="896"/>
      <c r="C12599" s="897"/>
      <c r="D12599" s="897"/>
      <c r="E12599" s="1002" t="s">
        <v>108</v>
      </c>
      <c r="F12599" s="1003"/>
      <c r="G12599" s="1004"/>
      <c r="H12599" s="901"/>
      <c r="I12599" s="902"/>
      <c r="J12599" s="902"/>
      <c r="K12599" s="912" t="s">
        <v>274</v>
      </c>
      <c r="L12599" s="902"/>
      <c r="M12599" s="902"/>
      <c r="N12599" s="902"/>
      <c r="O12599" s="892">
        <f t="shared" si="1013"/>
        <v>0</v>
      </c>
      <c r="P12599" s="903">
        <f t="shared" si="1010"/>
        <v>1</v>
      </c>
      <c r="Q12599" s="893">
        <f t="shared" si="1011"/>
        <v>10</v>
      </c>
      <c r="R12599" s="894">
        <f t="shared" si="1012"/>
        <v>0</v>
      </c>
    </row>
    <row r="12600" spans="1:18">
      <c r="A12600" s="905"/>
      <c r="B12600" s="952"/>
      <c r="C12600" s="990">
        <v>319</v>
      </c>
      <c r="D12600" s="907" t="s">
        <v>279</v>
      </c>
      <c r="E12600" s="992" t="s">
        <v>5705</v>
      </c>
      <c r="F12600" s="905" t="s">
        <v>45</v>
      </c>
      <c r="G12600" s="1005"/>
      <c r="H12600" s="911">
        <v>2</v>
      </c>
      <c r="I12600" s="912">
        <f>VLOOKUP(E12600,[3]VLP!$B$7:$K$300,10,0)</f>
        <v>1436</v>
      </c>
      <c r="J12600" s="912">
        <f>I12600*H12600</f>
        <v>2872</v>
      </c>
      <c r="K12600" s="912" t="s">
        <v>274</v>
      </c>
      <c r="L12600" s="912"/>
      <c r="M12600" s="912"/>
      <c r="N12600" s="912"/>
      <c r="O12600" s="892">
        <f t="shared" si="1013"/>
        <v>0</v>
      </c>
      <c r="P12600" s="903">
        <f t="shared" si="1010"/>
        <v>1</v>
      </c>
      <c r="Q12600" s="893">
        <f t="shared" si="1011"/>
        <v>9</v>
      </c>
      <c r="R12600" s="894">
        <f t="shared" si="1012"/>
        <v>0</v>
      </c>
    </row>
    <row r="12601" spans="1:18">
      <c r="A12601" s="905"/>
      <c r="B12601" s="952"/>
      <c r="C12601" s="907">
        <v>212</v>
      </c>
      <c r="D12601" s="907" t="s">
        <v>279</v>
      </c>
      <c r="E12601" s="992" t="s">
        <v>2681</v>
      </c>
      <c r="F12601" s="905" t="s">
        <v>45</v>
      </c>
      <c r="G12601" s="1005"/>
      <c r="H12601" s="911">
        <v>0.3</v>
      </c>
      <c r="I12601" s="912">
        <f>VLOOKUP(E12601,[3]VLP!$B$7:$K$300,10,0)</f>
        <v>23000</v>
      </c>
      <c r="J12601" s="912">
        <f>I12601*H12601</f>
        <v>6900</v>
      </c>
      <c r="K12601" s="912" t="s">
        <v>274</v>
      </c>
      <c r="L12601" s="912"/>
      <c r="M12601" s="912"/>
      <c r="N12601" s="912"/>
      <c r="O12601" s="892">
        <f t="shared" si="1013"/>
        <v>0</v>
      </c>
      <c r="P12601" s="903">
        <f t="shared" si="1010"/>
        <v>1</v>
      </c>
      <c r="Q12601" s="893">
        <f t="shared" si="1011"/>
        <v>8</v>
      </c>
      <c r="R12601" s="894">
        <f t="shared" si="1012"/>
        <v>0</v>
      </c>
    </row>
    <row r="12602" spans="1:18" s="904" customFormat="1">
      <c r="A12602" s="905"/>
      <c r="B12602" s="952"/>
      <c r="C12602" s="907">
        <v>235</v>
      </c>
      <c r="D12602" s="907" t="s">
        <v>279</v>
      </c>
      <c r="E12602" s="992" t="s">
        <v>2682</v>
      </c>
      <c r="F12602" s="905" t="s">
        <v>45</v>
      </c>
      <c r="G12602" s="1005"/>
      <c r="H12602" s="911">
        <v>0.3</v>
      </c>
      <c r="I12602" s="912">
        <f>VLOOKUP(E12602,[3]VLP!$B$7:$K$300,10,0)</f>
        <v>5000</v>
      </c>
      <c r="J12602" s="912">
        <f>I12602*H12602</f>
        <v>1500</v>
      </c>
      <c r="K12602" s="912" t="s">
        <v>274</v>
      </c>
      <c r="L12602" s="912"/>
      <c r="M12602" s="912"/>
      <c r="N12602" s="912"/>
      <c r="O12602" s="892">
        <f t="shared" si="1013"/>
        <v>0</v>
      </c>
      <c r="P12602" s="903">
        <f t="shared" si="1010"/>
        <v>1</v>
      </c>
      <c r="Q12602" s="893">
        <f t="shared" si="1011"/>
        <v>7</v>
      </c>
      <c r="R12602" s="894">
        <f t="shared" si="1012"/>
        <v>0</v>
      </c>
    </row>
    <row r="12603" spans="1:18">
      <c r="A12603" s="905"/>
      <c r="B12603" s="952"/>
      <c r="C12603" s="907">
        <v>236</v>
      </c>
      <c r="D12603" s="907" t="s">
        <v>279</v>
      </c>
      <c r="E12603" s="992" t="s">
        <v>7176</v>
      </c>
      <c r="F12603" s="905" t="s">
        <v>47</v>
      </c>
      <c r="G12603" s="1005"/>
      <c r="H12603" s="911">
        <v>0.02</v>
      </c>
      <c r="I12603" s="912">
        <f>VLOOKUP(E12603,[3]VLP!$B$7:$K$300,10,0)</f>
        <v>3545455</v>
      </c>
      <c r="J12603" s="912">
        <f>I12603*H12603</f>
        <v>70909.100000000006</v>
      </c>
      <c r="K12603" s="912" t="s">
        <v>274</v>
      </c>
      <c r="L12603" s="912"/>
      <c r="M12603" s="912"/>
      <c r="N12603" s="912"/>
      <c r="O12603" s="892">
        <f t="shared" si="1013"/>
        <v>0</v>
      </c>
      <c r="P12603" s="903">
        <f t="shared" si="1010"/>
        <v>1</v>
      </c>
      <c r="Q12603" s="893">
        <f t="shared" si="1011"/>
        <v>6</v>
      </c>
      <c r="R12603" s="894">
        <f t="shared" si="1012"/>
        <v>0</v>
      </c>
    </row>
    <row r="12604" spans="1:18" s="847" customFormat="1">
      <c r="A12604" s="905"/>
      <c r="B12604" s="952"/>
      <c r="C12604" s="907">
        <v>699</v>
      </c>
      <c r="D12604" s="907" t="s">
        <v>279</v>
      </c>
      <c r="E12604" s="992" t="s">
        <v>4006</v>
      </c>
      <c r="F12604" s="905" t="s">
        <v>4007</v>
      </c>
      <c r="G12604" s="1005"/>
      <c r="H12604" s="911">
        <v>10</v>
      </c>
      <c r="I12604" s="912">
        <f>VLOOKUP(E12604,[3]VLP!$B$7:$K$300,10,0)</f>
        <v>5000</v>
      </c>
      <c r="J12604" s="912">
        <f>I12604*H12604</f>
        <v>50000</v>
      </c>
      <c r="K12604" s="912" t="s">
        <v>274</v>
      </c>
      <c r="L12604" s="912"/>
      <c r="M12604" s="912"/>
      <c r="N12604" s="912"/>
      <c r="O12604" s="892">
        <f t="shared" si="1013"/>
        <v>0</v>
      </c>
      <c r="P12604" s="903">
        <f t="shared" si="1010"/>
        <v>1</v>
      </c>
      <c r="Q12604" s="893">
        <f t="shared" si="1011"/>
        <v>5</v>
      </c>
      <c r="R12604" s="894">
        <f t="shared" si="1012"/>
        <v>0</v>
      </c>
    </row>
    <row r="12605" spans="1:18" s="904" customFormat="1">
      <c r="A12605" s="895"/>
      <c r="B12605" s="896"/>
      <c r="C12605" s="897"/>
      <c r="D12605" s="897"/>
      <c r="E12605" s="1002" t="s">
        <v>276</v>
      </c>
      <c r="F12605" s="1003"/>
      <c r="G12605" s="1004"/>
      <c r="H12605" s="901"/>
      <c r="I12605" s="902"/>
      <c r="J12605" s="902"/>
      <c r="K12605" s="912" t="s">
        <v>274</v>
      </c>
      <c r="L12605" s="902"/>
      <c r="M12605" s="902"/>
      <c r="N12605" s="902"/>
      <c r="O12605" s="892">
        <f t="shared" si="1013"/>
        <v>0</v>
      </c>
      <c r="P12605" s="903">
        <f t="shared" si="1010"/>
        <v>1</v>
      </c>
      <c r="Q12605" s="893">
        <f t="shared" si="1011"/>
        <v>4</v>
      </c>
      <c r="R12605" s="894">
        <f t="shared" si="1012"/>
        <v>0</v>
      </c>
    </row>
    <row r="12606" spans="1:18">
      <c r="A12606" s="905"/>
      <c r="B12606" s="952"/>
      <c r="C12606" s="907">
        <v>745</v>
      </c>
      <c r="D12606" s="907" t="s">
        <v>12</v>
      </c>
      <c r="E12606" s="992" t="s">
        <v>5518</v>
      </c>
      <c r="F12606" s="905" t="s">
        <v>2674</v>
      </c>
      <c r="G12606" s="1005"/>
      <c r="H12606" s="911">
        <v>2.5</v>
      </c>
      <c r="I12606" s="912"/>
      <c r="J12606" s="912"/>
      <c r="K12606" s="912">
        <f>VLOOKUP(E12606,[5]ĐMNC!$A$7:$F$67,4,0)</f>
        <v>240557</v>
      </c>
      <c r="L12606" s="912">
        <f>H12606*K12606</f>
        <v>601392.5</v>
      </c>
      <c r="M12606" s="912"/>
      <c r="N12606" s="912"/>
      <c r="O12606" s="892">
        <f t="shared" si="1013"/>
        <v>0</v>
      </c>
      <c r="P12606" s="903">
        <f t="shared" si="1010"/>
        <v>1</v>
      </c>
      <c r="Q12606" s="893">
        <f t="shared" si="1011"/>
        <v>3</v>
      </c>
      <c r="R12606" s="894">
        <f t="shared" si="1012"/>
        <v>0</v>
      </c>
    </row>
    <row r="12607" spans="1:18">
      <c r="A12607" s="895"/>
      <c r="B12607" s="896"/>
      <c r="C12607" s="897"/>
      <c r="D12607" s="897"/>
      <c r="E12607" s="1002" t="s">
        <v>3914</v>
      </c>
      <c r="F12607" s="1003"/>
      <c r="G12607" s="1004"/>
      <c r="H12607" s="901"/>
      <c r="I12607" s="902"/>
      <c r="J12607" s="902"/>
      <c r="K12607" s="912" t="s">
        <v>274</v>
      </c>
      <c r="L12607" s="902"/>
      <c r="M12607" s="902"/>
      <c r="N12607" s="902"/>
      <c r="O12607" s="892">
        <f t="shared" si="1013"/>
        <v>0</v>
      </c>
      <c r="P12607" s="903">
        <f t="shared" si="1010"/>
        <v>1</v>
      </c>
      <c r="Q12607" s="893">
        <f t="shared" si="1011"/>
        <v>2</v>
      </c>
      <c r="R12607" s="894">
        <f t="shared" si="1012"/>
        <v>0</v>
      </c>
    </row>
    <row r="12608" spans="1:18" s="904" customFormat="1">
      <c r="A12608" s="905"/>
      <c r="B12608" s="952" t="s">
        <v>4993</v>
      </c>
      <c r="C12608" s="907">
        <v>904</v>
      </c>
      <c r="D12608" s="907" t="s">
        <v>93</v>
      </c>
      <c r="E12608" s="992" t="s">
        <v>4994</v>
      </c>
      <c r="F12608" s="905" t="s">
        <v>2673</v>
      </c>
      <c r="G12608" s="1005"/>
      <c r="H12608" s="911">
        <v>0.2</v>
      </c>
      <c r="I12608" s="912"/>
      <c r="J12608" s="912"/>
      <c r="K12608" s="912"/>
      <c r="L12608" s="912"/>
      <c r="M12608" s="912">
        <f>VLOOKUP(B12608,MTC!$B$9:$S$933,12,0)</f>
        <v>1393090</v>
      </c>
      <c r="N12608" s="912">
        <f>M12608*H12608</f>
        <v>278618</v>
      </c>
      <c r="O12608" s="892">
        <f t="shared" si="1013"/>
        <v>0</v>
      </c>
      <c r="P12608" s="903">
        <f t="shared" si="1010"/>
        <v>1</v>
      </c>
      <c r="Q12608" s="893">
        <f t="shared" si="1011"/>
        <v>1</v>
      </c>
      <c r="R12608" s="894">
        <f t="shared" si="1012"/>
        <v>0</v>
      </c>
    </row>
    <row r="12609" spans="1:18">
      <c r="A12609" s="905">
        <v>691</v>
      </c>
      <c r="B12609" s="914" t="s">
        <v>7192</v>
      </c>
      <c r="C12609" s="915"/>
      <c r="D12609" s="915"/>
      <c r="E12609" s="1006" t="s">
        <v>7193</v>
      </c>
      <c r="F12609" s="917" t="s">
        <v>159</v>
      </c>
      <c r="G12609" s="1008"/>
      <c r="H12609" s="919"/>
      <c r="I12609" s="920"/>
      <c r="J12609" s="891">
        <f>SUM(J12610:J12616)</f>
        <v>131609.1</v>
      </c>
      <c r="K12609" s="891"/>
      <c r="L12609" s="891">
        <f>SUM(L12610:L12616)</f>
        <v>601392.5</v>
      </c>
      <c r="M12609" s="891"/>
      <c r="N12609" s="891">
        <f>SUM(N12610:N12616)</f>
        <v>0</v>
      </c>
      <c r="O12609" s="892">
        <f t="shared" si="1013"/>
        <v>1</v>
      </c>
      <c r="P12609" s="903">
        <f t="shared" si="1010"/>
        <v>0</v>
      </c>
      <c r="Q12609" s="893">
        <f t="shared" si="1011"/>
        <v>0</v>
      </c>
      <c r="R12609" s="894">
        <f t="shared" si="1012"/>
        <v>7</v>
      </c>
    </row>
    <row r="12610" spans="1:18" s="847" customFormat="1">
      <c r="A12610" s="895"/>
      <c r="B12610" s="896"/>
      <c r="C12610" s="897"/>
      <c r="D12610" s="897"/>
      <c r="E12610" s="1002" t="s">
        <v>108</v>
      </c>
      <c r="F12610" s="1003"/>
      <c r="G12610" s="1004"/>
      <c r="H12610" s="901"/>
      <c r="I12610" s="902"/>
      <c r="J12610" s="902"/>
      <c r="K12610" s="912" t="s">
        <v>274</v>
      </c>
      <c r="L12610" s="902"/>
      <c r="M12610" s="902"/>
      <c r="N12610" s="902"/>
      <c r="O12610" s="892">
        <f t="shared" si="1013"/>
        <v>0</v>
      </c>
      <c r="P12610" s="903">
        <f t="shared" si="1010"/>
        <v>1</v>
      </c>
      <c r="Q12610" s="893">
        <f t="shared" si="1011"/>
        <v>7</v>
      </c>
      <c r="R12610" s="894">
        <f t="shared" si="1012"/>
        <v>0</v>
      </c>
    </row>
    <row r="12611" spans="1:18" s="904" customFormat="1">
      <c r="A12611" s="905"/>
      <c r="B12611" s="952"/>
      <c r="C12611" s="907">
        <v>212</v>
      </c>
      <c r="D12611" s="907" t="s">
        <v>279</v>
      </c>
      <c r="E12611" s="992" t="s">
        <v>2681</v>
      </c>
      <c r="F12611" s="905" t="s">
        <v>45</v>
      </c>
      <c r="G12611" s="1005"/>
      <c r="H12611" s="911">
        <v>0.4</v>
      </c>
      <c r="I12611" s="912">
        <f>VLOOKUP(E12611,[3]VLP!$B$7:$K$300,10,0)</f>
        <v>23000</v>
      </c>
      <c r="J12611" s="912">
        <f>I12611*H12611</f>
        <v>9200</v>
      </c>
      <c r="K12611" s="912" t="s">
        <v>274</v>
      </c>
      <c r="L12611" s="912"/>
      <c r="M12611" s="912"/>
      <c r="N12611" s="912"/>
      <c r="O12611" s="892">
        <f t="shared" si="1013"/>
        <v>0</v>
      </c>
      <c r="P12611" s="903">
        <f t="shared" si="1010"/>
        <v>1</v>
      </c>
      <c r="Q12611" s="893">
        <f t="shared" si="1011"/>
        <v>6</v>
      </c>
      <c r="R12611" s="894">
        <f t="shared" si="1012"/>
        <v>0</v>
      </c>
    </row>
    <row r="12612" spans="1:18">
      <c r="A12612" s="905"/>
      <c r="B12612" s="952"/>
      <c r="C12612" s="907">
        <v>235</v>
      </c>
      <c r="D12612" s="907" t="s">
        <v>279</v>
      </c>
      <c r="E12612" s="992" t="s">
        <v>2682</v>
      </c>
      <c r="F12612" s="905" t="s">
        <v>45</v>
      </c>
      <c r="G12612" s="1005"/>
      <c r="H12612" s="911">
        <v>0.3</v>
      </c>
      <c r="I12612" s="912">
        <f>VLOOKUP(E12612,[3]VLP!$B$7:$K$300,10,0)</f>
        <v>5000</v>
      </c>
      <c r="J12612" s="912">
        <f>I12612*H12612</f>
        <v>1500</v>
      </c>
      <c r="K12612" s="912" t="s">
        <v>274</v>
      </c>
      <c r="L12612" s="912"/>
      <c r="M12612" s="912"/>
      <c r="N12612" s="912"/>
      <c r="O12612" s="892">
        <f t="shared" si="1013"/>
        <v>0</v>
      </c>
      <c r="P12612" s="903">
        <f t="shared" si="1010"/>
        <v>1</v>
      </c>
      <c r="Q12612" s="893">
        <f t="shared" si="1011"/>
        <v>5</v>
      </c>
      <c r="R12612" s="894">
        <f t="shared" si="1012"/>
        <v>0</v>
      </c>
    </row>
    <row r="12613" spans="1:18">
      <c r="A12613" s="905"/>
      <c r="B12613" s="952"/>
      <c r="C12613" s="907">
        <v>236</v>
      </c>
      <c r="D12613" s="907" t="s">
        <v>279</v>
      </c>
      <c r="E12613" s="992" t="s">
        <v>7176</v>
      </c>
      <c r="F12613" s="905" t="s">
        <v>47</v>
      </c>
      <c r="G12613" s="1005"/>
      <c r="H12613" s="911">
        <v>0.02</v>
      </c>
      <c r="I12613" s="912">
        <f>VLOOKUP(E12613,[3]VLP!$B$7:$K$300,10,0)</f>
        <v>3545455</v>
      </c>
      <c r="J12613" s="912">
        <f>I12613*H12613</f>
        <v>70909.100000000006</v>
      </c>
      <c r="K12613" s="912" t="s">
        <v>274</v>
      </c>
      <c r="L12613" s="912"/>
      <c r="M12613" s="912"/>
      <c r="N12613" s="912"/>
      <c r="O12613" s="892">
        <f t="shared" si="1013"/>
        <v>0</v>
      </c>
      <c r="P12613" s="903">
        <f t="shared" si="1010"/>
        <v>1</v>
      </c>
      <c r="Q12613" s="893">
        <f t="shared" si="1011"/>
        <v>4</v>
      </c>
      <c r="R12613" s="894">
        <f t="shared" si="1012"/>
        <v>0</v>
      </c>
    </row>
    <row r="12614" spans="1:18" s="904" customFormat="1">
      <c r="A12614" s="905"/>
      <c r="B12614" s="952"/>
      <c r="C12614" s="907">
        <v>699</v>
      </c>
      <c r="D12614" s="907" t="s">
        <v>279</v>
      </c>
      <c r="E12614" s="992" t="s">
        <v>4006</v>
      </c>
      <c r="F12614" s="905" t="s">
        <v>4007</v>
      </c>
      <c r="G12614" s="1005"/>
      <c r="H12614" s="911">
        <v>10</v>
      </c>
      <c r="I12614" s="912">
        <f>VLOOKUP(E12614,[3]VLP!$B$7:$K$300,10,0)</f>
        <v>5000</v>
      </c>
      <c r="J12614" s="912">
        <f>I12614*H12614</f>
        <v>50000</v>
      </c>
      <c r="K12614" s="912" t="s">
        <v>274</v>
      </c>
      <c r="L12614" s="912"/>
      <c r="M12614" s="912"/>
      <c r="N12614" s="912"/>
      <c r="O12614" s="892">
        <f t="shared" si="1013"/>
        <v>0</v>
      </c>
      <c r="P12614" s="903">
        <f t="shared" si="1010"/>
        <v>1</v>
      </c>
      <c r="Q12614" s="893">
        <f t="shared" si="1011"/>
        <v>3</v>
      </c>
      <c r="R12614" s="894">
        <f t="shared" si="1012"/>
        <v>0</v>
      </c>
    </row>
    <row r="12615" spans="1:18">
      <c r="A12615" s="895"/>
      <c r="B12615" s="896"/>
      <c r="C12615" s="897"/>
      <c r="D12615" s="897"/>
      <c r="E12615" s="1002" t="s">
        <v>276</v>
      </c>
      <c r="F12615" s="1003"/>
      <c r="G12615" s="1004"/>
      <c r="H12615" s="901"/>
      <c r="I12615" s="902"/>
      <c r="J12615" s="902"/>
      <c r="K12615" s="912" t="s">
        <v>274</v>
      </c>
      <c r="L12615" s="902"/>
      <c r="M12615" s="902"/>
      <c r="N12615" s="902"/>
      <c r="O12615" s="892">
        <f t="shared" si="1013"/>
        <v>0</v>
      </c>
      <c r="P12615" s="903">
        <f t="shared" si="1010"/>
        <v>1</v>
      </c>
      <c r="Q12615" s="893">
        <f t="shared" si="1011"/>
        <v>2</v>
      </c>
      <c r="R12615" s="894">
        <f t="shared" si="1012"/>
        <v>0</v>
      </c>
    </row>
    <row r="12616" spans="1:18" s="847" customFormat="1">
      <c r="A12616" s="905"/>
      <c r="B12616" s="952"/>
      <c r="C12616" s="907">
        <v>745</v>
      </c>
      <c r="D12616" s="907" t="s">
        <v>12</v>
      </c>
      <c r="E12616" s="992" t="s">
        <v>5518</v>
      </c>
      <c r="F12616" s="905" t="s">
        <v>2674</v>
      </c>
      <c r="G12616" s="1005"/>
      <c r="H12616" s="911">
        <v>2.5</v>
      </c>
      <c r="I12616" s="912"/>
      <c r="J12616" s="912"/>
      <c r="K12616" s="912">
        <f>VLOOKUP(E12616,[5]ĐMNC!$A$7:$F$67,4,0)</f>
        <v>240557</v>
      </c>
      <c r="L12616" s="912">
        <f>H12616*K12616</f>
        <v>601392.5</v>
      </c>
      <c r="M12616" s="912"/>
      <c r="N12616" s="912"/>
      <c r="O12616" s="892">
        <f t="shared" si="1013"/>
        <v>0</v>
      </c>
      <c r="P12616" s="903">
        <f t="shared" si="1010"/>
        <v>1</v>
      </c>
      <c r="Q12616" s="893">
        <f t="shared" si="1011"/>
        <v>1</v>
      </c>
      <c r="R12616" s="894">
        <f t="shared" si="1012"/>
        <v>0</v>
      </c>
    </row>
    <row r="12617" spans="1:18" s="904" customFormat="1">
      <c r="A12617" s="905">
        <v>692</v>
      </c>
      <c r="B12617" s="914" t="s">
        <v>7194</v>
      </c>
      <c r="C12617" s="915"/>
      <c r="D12617" s="915"/>
      <c r="E12617" s="1006" t="s">
        <v>7195</v>
      </c>
      <c r="F12617" s="917" t="s">
        <v>159</v>
      </c>
      <c r="G12617" s="1008"/>
      <c r="H12617" s="919"/>
      <c r="I12617" s="920"/>
      <c r="J12617" s="962">
        <f>SUM(J12618:J12627)</f>
        <v>131609.1</v>
      </c>
      <c r="K12617" s="891" t="s">
        <v>274</v>
      </c>
      <c r="L12617" s="962">
        <f>SUM(L12618:L12627)</f>
        <v>690398.59000000008</v>
      </c>
      <c r="M12617" s="962"/>
      <c r="N12617" s="962">
        <f>SUM(N12618:N12627)</f>
        <v>573671.60000000009</v>
      </c>
      <c r="O12617" s="892">
        <f t="shared" si="1013"/>
        <v>1</v>
      </c>
      <c r="P12617" s="903">
        <f t="shared" si="1010"/>
        <v>0</v>
      </c>
      <c r="Q12617" s="893">
        <f t="shared" si="1011"/>
        <v>0</v>
      </c>
      <c r="R12617" s="894">
        <f t="shared" si="1012"/>
        <v>10</v>
      </c>
    </row>
    <row r="12618" spans="1:18">
      <c r="A12618" s="895"/>
      <c r="B12618" s="896"/>
      <c r="C12618" s="897"/>
      <c r="D12618" s="897"/>
      <c r="E12618" s="1002" t="s">
        <v>108</v>
      </c>
      <c r="F12618" s="1003"/>
      <c r="G12618" s="1004"/>
      <c r="H12618" s="901"/>
      <c r="I12618" s="902"/>
      <c r="J12618" s="902"/>
      <c r="K12618" s="912" t="s">
        <v>274</v>
      </c>
      <c r="L12618" s="902"/>
      <c r="M12618" s="902"/>
      <c r="N12618" s="902"/>
      <c r="O12618" s="892">
        <f t="shared" si="1013"/>
        <v>0</v>
      </c>
      <c r="P12618" s="903">
        <f t="shared" ref="P12618:P12681" si="1014">IF(O12618=0,1,0)</f>
        <v>1</v>
      </c>
      <c r="Q12618" s="893">
        <f t="shared" ref="Q12618:Q12681" si="1015">IF(P12618=0,0,P12618+Q12619)</f>
        <v>10</v>
      </c>
      <c r="R12618" s="894">
        <f t="shared" ref="R12618:R12681" si="1016">IF(Q12618=0,Q12619,0)</f>
        <v>0</v>
      </c>
    </row>
    <row r="12619" spans="1:18">
      <c r="A12619" s="905"/>
      <c r="B12619" s="952"/>
      <c r="C12619" s="907">
        <v>212</v>
      </c>
      <c r="D12619" s="907" t="s">
        <v>279</v>
      </c>
      <c r="E12619" s="992" t="s">
        <v>2681</v>
      </c>
      <c r="F12619" s="905" t="s">
        <v>45</v>
      </c>
      <c r="G12619" s="1005"/>
      <c r="H12619" s="911">
        <v>0.4</v>
      </c>
      <c r="I12619" s="912">
        <f>VLOOKUP(E12619,[3]VLP!$B$7:$K$300,10,0)</f>
        <v>23000</v>
      </c>
      <c r="J12619" s="912">
        <f>I12619*H12619</f>
        <v>9200</v>
      </c>
      <c r="K12619" s="912" t="s">
        <v>274</v>
      </c>
      <c r="L12619" s="912"/>
      <c r="M12619" s="912"/>
      <c r="N12619" s="912"/>
      <c r="O12619" s="892">
        <f t="shared" si="1013"/>
        <v>0</v>
      </c>
      <c r="P12619" s="903">
        <f t="shared" si="1014"/>
        <v>1</v>
      </c>
      <c r="Q12619" s="893">
        <f t="shared" si="1015"/>
        <v>9</v>
      </c>
      <c r="R12619" s="894">
        <f t="shared" si="1016"/>
        <v>0</v>
      </c>
    </row>
    <row r="12620" spans="1:18" s="904" customFormat="1">
      <c r="A12620" s="905"/>
      <c r="B12620" s="952"/>
      <c r="C12620" s="907">
        <v>235</v>
      </c>
      <c r="D12620" s="907" t="s">
        <v>279</v>
      </c>
      <c r="E12620" s="992" t="s">
        <v>2682</v>
      </c>
      <c r="F12620" s="905" t="s">
        <v>45</v>
      </c>
      <c r="G12620" s="1005"/>
      <c r="H12620" s="911">
        <v>0.3</v>
      </c>
      <c r="I12620" s="912">
        <f>VLOOKUP(E12620,[3]VLP!$B$7:$K$300,10,0)</f>
        <v>5000</v>
      </c>
      <c r="J12620" s="912">
        <f>I12620*H12620</f>
        <v>1500</v>
      </c>
      <c r="K12620" s="912" t="s">
        <v>274</v>
      </c>
      <c r="L12620" s="912"/>
      <c r="M12620" s="912"/>
      <c r="N12620" s="912"/>
      <c r="O12620" s="892">
        <f t="shared" si="1013"/>
        <v>0</v>
      </c>
      <c r="P12620" s="903">
        <f t="shared" si="1014"/>
        <v>1</v>
      </c>
      <c r="Q12620" s="893">
        <f t="shared" si="1015"/>
        <v>8</v>
      </c>
      <c r="R12620" s="894">
        <f t="shared" si="1016"/>
        <v>0</v>
      </c>
    </row>
    <row r="12621" spans="1:18">
      <c r="A12621" s="905"/>
      <c r="B12621" s="952"/>
      <c r="C12621" s="907">
        <v>236</v>
      </c>
      <c r="D12621" s="907" t="s">
        <v>279</v>
      </c>
      <c r="E12621" s="992" t="s">
        <v>7176</v>
      </c>
      <c r="F12621" s="905" t="s">
        <v>47</v>
      </c>
      <c r="G12621" s="1005"/>
      <c r="H12621" s="911">
        <v>0.02</v>
      </c>
      <c r="I12621" s="912">
        <f>VLOOKUP(E12621,[3]VLP!$B$7:$K$300,10,0)</f>
        <v>3545455</v>
      </c>
      <c r="J12621" s="912">
        <f>I12621*H12621</f>
        <v>70909.100000000006</v>
      </c>
      <c r="K12621" s="912" t="s">
        <v>274</v>
      </c>
      <c r="L12621" s="912"/>
      <c r="M12621" s="912"/>
      <c r="N12621" s="912"/>
      <c r="O12621" s="892">
        <f t="shared" si="1013"/>
        <v>0</v>
      </c>
      <c r="P12621" s="903">
        <f t="shared" si="1014"/>
        <v>1</v>
      </c>
      <c r="Q12621" s="893">
        <f t="shared" si="1015"/>
        <v>7</v>
      </c>
      <c r="R12621" s="894">
        <f t="shared" si="1016"/>
        <v>0</v>
      </c>
    </row>
    <row r="12622" spans="1:18" s="847" customFormat="1">
      <c r="A12622" s="905"/>
      <c r="B12622" s="952"/>
      <c r="C12622" s="907">
        <v>699</v>
      </c>
      <c r="D12622" s="907" t="s">
        <v>279</v>
      </c>
      <c r="E12622" s="992" t="s">
        <v>4006</v>
      </c>
      <c r="F12622" s="905" t="s">
        <v>4007</v>
      </c>
      <c r="G12622" s="1005"/>
      <c r="H12622" s="911">
        <v>10</v>
      </c>
      <c r="I12622" s="912">
        <f>VLOOKUP(E12622,[3]VLP!$B$7:$K$300,10,0)</f>
        <v>5000</v>
      </c>
      <c r="J12622" s="912">
        <f>I12622*H12622</f>
        <v>50000</v>
      </c>
      <c r="K12622" s="912" t="s">
        <v>274</v>
      </c>
      <c r="L12622" s="912"/>
      <c r="M12622" s="912"/>
      <c r="N12622" s="912"/>
      <c r="O12622" s="892">
        <f t="shared" si="1013"/>
        <v>0</v>
      </c>
      <c r="P12622" s="903">
        <f t="shared" si="1014"/>
        <v>1</v>
      </c>
      <c r="Q12622" s="893">
        <f t="shared" si="1015"/>
        <v>6</v>
      </c>
      <c r="R12622" s="894">
        <f t="shared" si="1016"/>
        <v>0</v>
      </c>
    </row>
    <row r="12623" spans="1:18" s="904" customFormat="1">
      <c r="A12623" s="895"/>
      <c r="B12623" s="896"/>
      <c r="C12623" s="897"/>
      <c r="D12623" s="897"/>
      <c r="E12623" s="1002" t="s">
        <v>276</v>
      </c>
      <c r="F12623" s="1003"/>
      <c r="G12623" s="1004"/>
      <c r="H12623" s="901"/>
      <c r="I12623" s="902"/>
      <c r="J12623" s="902"/>
      <c r="K12623" s="912" t="s">
        <v>274</v>
      </c>
      <c r="L12623" s="902"/>
      <c r="M12623" s="902"/>
      <c r="N12623" s="902"/>
      <c r="O12623" s="892">
        <f t="shared" si="1013"/>
        <v>0</v>
      </c>
      <c r="P12623" s="903">
        <f t="shared" si="1014"/>
        <v>1</v>
      </c>
      <c r="Q12623" s="893">
        <f t="shared" si="1015"/>
        <v>5</v>
      </c>
      <c r="R12623" s="894">
        <f t="shared" si="1016"/>
        <v>0</v>
      </c>
    </row>
    <row r="12624" spans="1:18">
      <c r="A12624" s="905"/>
      <c r="B12624" s="952"/>
      <c r="C12624" s="907">
        <v>745</v>
      </c>
      <c r="D12624" s="907" t="s">
        <v>12</v>
      </c>
      <c r="E12624" s="992" t="s">
        <v>5518</v>
      </c>
      <c r="F12624" s="905" t="s">
        <v>2674</v>
      </c>
      <c r="G12624" s="1005"/>
      <c r="H12624" s="911">
        <v>2.87</v>
      </c>
      <c r="I12624" s="912"/>
      <c r="J12624" s="912"/>
      <c r="K12624" s="912">
        <f>VLOOKUP(E12624,[5]ĐMNC!$A$7:$F$67,4,0)</f>
        <v>240557</v>
      </c>
      <c r="L12624" s="912">
        <f>H12624*K12624</f>
        <v>690398.59000000008</v>
      </c>
      <c r="M12624" s="912"/>
      <c r="N12624" s="912"/>
      <c r="O12624" s="892">
        <f t="shared" si="1013"/>
        <v>0</v>
      </c>
      <c r="P12624" s="903">
        <f t="shared" si="1014"/>
        <v>1</v>
      </c>
      <c r="Q12624" s="893">
        <f t="shared" si="1015"/>
        <v>4</v>
      </c>
      <c r="R12624" s="894">
        <f t="shared" si="1016"/>
        <v>0</v>
      </c>
    </row>
    <row r="12625" spans="1:18">
      <c r="A12625" s="895"/>
      <c r="B12625" s="896"/>
      <c r="C12625" s="897"/>
      <c r="D12625" s="897"/>
      <c r="E12625" s="1002" t="s">
        <v>3914</v>
      </c>
      <c r="F12625" s="1003"/>
      <c r="G12625" s="1004"/>
      <c r="H12625" s="901"/>
      <c r="I12625" s="902"/>
      <c r="J12625" s="902"/>
      <c r="K12625" s="912" t="s">
        <v>274</v>
      </c>
      <c r="L12625" s="902"/>
      <c r="M12625" s="902"/>
      <c r="N12625" s="902"/>
      <c r="O12625" s="892">
        <f t="shared" si="1013"/>
        <v>0</v>
      </c>
      <c r="P12625" s="903">
        <f t="shared" si="1014"/>
        <v>1</v>
      </c>
      <c r="Q12625" s="893">
        <f t="shared" si="1015"/>
        <v>3</v>
      </c>
      <c r="R12625" s="894">
        <f t="shared" si="1016"/>
        <v>0</v>
      </c>
    </row>
    <row r="12626" spans="1:18" s="904" customFormat="1">
      <c r="A12626" s="905"/>
      <c r="B12626" s="946" t="s">
        <v>6321</v>
      </c>
      <c r="C12626" s="907">
        <v>900</v>
      </c>
      <c r="D12626" s="907" t="s">
        <v>93</v>
      </c>
      <c r="E12626" s="992" t="s">
        <v>6322</v>
      </c>
      <c r="F12626" s="905" t="s">
        <v>2673</v>
      </c>
      <c r="G12626" s="1005"/>
      <c r="H12626" s="911">
        <v>0.2</v>
      </c>
      <c r="I12626" s="912"/>
      <c r="J12626" s="912"/>
      <c r="K12626" s="912"/>
      <c r="L12626" s="912"/>
      <c r="M12626" s="912">
        <f>VLOOKUP(B12626,MTC!$B$9:$S$933,12,0)</f>
        <v>1475268</v>
      </c>
      <c r="N12626" s="912">
        <f>M12626*H12626</f>
        <v>295053.60000000003</v>
      </c>
      <c r="O12626" s="892">
        <f t="shared" si="1013"/>
        <v>0</v>
      </c>
      <c r="P12626" s="903">
        <f t="shared" si="1014"/>
        <v>1</v>
      </c>
      <c r="Q12626" s="893">
        <f t="shared" si="1015"/>
        <v>2</v>
      </c>
      <c r="R12626" s="894">
        <f t="shared" si="1016"/>
        <v>0</v>
      </c>
    </row>
    <row r="12627" spans="1:18">
      <c r="A12627" s="905"/>
      <c r="B12627" s="952" t="s">
        <v>4993</v>
      </c>
      <c r="C12627" s="907">
        <v>904</v>
      </c>
      <c r="D12627" s="907" t="s">
        <v>93</v>
      </c>
      <c r="E12627" s="992" t="s">
        <v>4994</v>
      </c>
      <c r="F12627" s="905" t="s">
        <v>2673</v>
      </c>
      <c r="G12627" s="1005"/>
      <c r="H12627" s="911">
        <v>0.2</v>
      </c>
      <c r="I12627" s="912"/>
      <c r="J12627" s="912"/>
      <c r="K12627" s="912"/>
      <c r="L12627" s="912"/>
      <c r="M12627" s="912">
        <f>VLOOKUP(B12627,MTC!$B$9:$S$933,12,0)</f>
        <v>1393090</v>
      </c>
      <c r="N12627" s="912">
        <f>M12627*H12627</f>
        <v>278618</v>
      </c>
      <c r="O12627" s="892">
        <f t="shared" si="1013"/>
        <v>0</v>
      </c>
      <c r="P12627" s="903">
        <f t="shared" si="1014"/>
        <v>1</v>
      </c>
      <c r="Q12627" s="893">
        <f t="shared" si="1015"/>
        <v>1</v>
      </c>
      <c r="R12627" s="894">
        <f t="shared" si="1016"/>
        <v>0</v>
      </c>
    </row>
    <row r="12628" spans="1:18" s="847" customFormat="1">
      <c r="A12628" s="905" t="s">
        <v>7196</v>
      </c>
      <c r="B12628" s="914" t="s">
        <v>7197</v>
      </c>
      <c r="C12628" s="915"/>
      <c r="D12628" s="915"/>
      <c r="E12628" s="1006" t="s">
        <v>7198</v>
      </c>
      <c r="F12628" s="917" t="s">
        <v>159</v>
      </c>
      <c r="G12628" s="1008"/>
      <c r="H12628" s="919"/>
      <c r="I12628" s="920"/>
      <c r="J12628" s="891">
        <f>SUM(J12629:J12636)</f>
        <v>64000</v>
      </c>
      <c r="K12628" s="891"/>
      <c r="L12628" s="891">
        <f>SUM(L12629:L12636)</f>
        <v>1768093.95</v>
      </c>
      <c r="M12628" s="891"/>
      <c r="N12628" s="891">
        <f>SUM(N12629:N12636)</f>
        <v>278618</v>
      </c>
      <c r="O12628" s="892">
        <f t="shared" si="1013"/>
        <v>1</v>
      </c>
      <c r="P12628" s="903">
        <f t="shared" si="1014"/>
        <v>0</v>
      </c>
      <c r="Q12628" s="893">
        <f t="shared" si="1015"/>
        <v>0</v>
      </c>
      <c r="R12628" s="894">
        <f t="shared" si="1016"/>
        <v>8</v>
      </c>
    </row>
    <row r="12629" spans="1:18" s="904" customFormat="1">
      <c r="A12629" s="895"/>
      <c r="B12629" s="896"/>
      <c r="C12629" s="897"/>
      <c r="D12629" s="897"/>
      <c r="E12629" s="1002" t="s">
        <v>108</v>
      </c>
      <c r="F12629" s="1003"/>
      <c r="G12629" s="1004"/>
      <c r="H12629" s="901"/>
      <c r="I12629" s="902"/>
      <c r="J12629" s="902"/>
      <c r="K12629" s="912" t="s">
        <v>274</v>
      </c>
      <c r="L12629" s="902"/>
      <c r="M12629" s="902"/>
      <c r="N12629" s="902"/>
      <c r="O12629" s="892">
        <f t="shared" si="1013"/>
        <v>0</v>
      </c>
      <c r="P12629" s="903">
        <f t="shared" si="1014"/>
        <v>1</v>
      </c>
      <c r="Q12629" s="893">
        <f t="shared" si="1015"/>
        <v>8</v>
      </c>
      <c r="R12629" s="894">
        <f t="shared" si="1016"/>
        <v>0</v>
      </c>
    </row>
    <row r="12630" spans="1:18">
      <c r="A12630" s="905"/>
      <c r="B12630" s="952"/>
      <c r="C12630" s="907">
        <v>212</v>
      </c>
      <c r="D12630" s="907" t="s">
        <v>279</v>
      </c>
      <c r="E12630" s="992" t="s">
        <v>2681</v>
      </c>
      <c r="F12630" s="905" t="s">
        <v>45</v>
      </c>
      <c r="G12630" s="1005"/>
      <c r="H12630" s="911">
        <v>0.5</v>
      </c>
      <c r="I12630" s="912">
        <f>VLOOKUP(E12630,[3]VLP!$B$7:$K$300,10,0)</f>
        <v>23000</v>
      </c>
      <c r="J12630" s="912">
        <f>I12630*H12630</f>
        <v>11500</v>
      </c>
      <c r="K12630" s="912" t="s">
        <v>274</v>
      </c>
      <c r="L12630" s="912"/>
      <c r="M12630" s="912"/>
      <c r="N12630" s="912"/>
      <c r="O12630" s="892">
        <f t="shared" si="1013"/>
        <v>0</v>
      </c>
      <c r="P12630" s="903">
        <f t="shared" si="1014"/>
        <v>1</v>
      </c>
      <c r="Q12630" s="893">
        <f t="shared" si="1015"/>
        <v>7</v>
      </c>
      <c r="R12630" s="894">
        <f t="shared" si="1016"/>
        <v>0</v>
      </c>
    </row>
    <row r="12631" spans="1:18">
      <c r="A12631" s="905"/>
      <c r="B12631" s="952"/>
      <c r="C12631" s="907">
        <v>235</v>
      </c>
      <c r="D12631" s="907" t="s">
        <v>279</v>
      </c>
      <c r="E12631" s="992" t="s">
        <v>2682</v>
      </c>
      <c r="F12631" s="905" t="s">
        <v>45</v>
      </c>
      <c r="G12631" s="1005"/>
      <c r="H12631" s="911">
        <v>0.5</v>
      </c>
      <c r="I12631" s="912">
        <f>VLOOKUP(E12631,[3]VLP!$B$7:$K$300,10,0)</f>
        <v>5000</v>
      </c>
      <c r="J12631" s="912">
        <f>I12631*H12631</f>
        <v>2500</v>
      </c>
      <c r="K12631" s="912" t="s">
        <v>274</v>
      </c>
      <c r="L12631" s="912"/>
      <c r="M12631" s="912"/>
      <c r="N12631" s="912"/>
      <c r="O12631" s="892">
        <f t="shared" si="1013"/>
        <v>0</v>
      </c>
      <c r="P12631" s="903">
        <f t="shared" si="1014"/>
        <v>1</v>
      </c>
      <c r="Q12631" s="893">
        <f t="shared" si="1015"/>
        <v>6</v>
      </c>
      <c r="R12631" s="894">
        <f t="shared" si="1016"/>
        <v>0</v>
      </c>
    </row>
    <row r="12632" spans="1:18" s="904" customFormat="1">
      <c r="A12632" s="905"/>
      <c r="B12632" s="952"/>
      <c r="C12632" s="907">
        <v>699</v>
      </c>
      <c r="D12632" s="907" t="s">
        <v>279</v>
      </c>
      <c r="E12632" s="992" t="s">
        <v>4006</v>
      </c>
      <c r="F12632" s="905" t="s">
        <v>4007</v>
      </c>
      <c r="G12632" s="1005"/>
      <c r="H12632" s="911">
        <v>10</v>
      </c>
      <c r="I12632" s="912">
        <f>VLOOKUP(E12632,[3]VLP!$B$7:$K$300,10,0)</f>
        <v>5000</v>
      </c>
      <c r="J12632" s="912">
        <f>I12632*H12632</f>
        <v>50000</v>
      </c>
      <c r="K12632" s="912" t="s">
        <v>274</v>
      </c>
      <c r="L12632" s="912"/>
      <c r="M12632" s="912"/>
      <c r="N12632" s="912"/>
      <c r="O12632" s="892">
        <f t="shared" si="1013"/>
        <v>0</v>
      </c>
      <c r="P12632" s="903">
        <f t="shared" si="1014"/>
        <v>1</v>
      </c>
      <c r="Q12632" s="893">
        <f t="shared" si="1015"/>
        <v>5</v>
      </c>
      <c r="R12632" s="894">
        <f t="shared" si="1016"/>
        <v>0</v>
      </c>
    </row>
    <row r="12633" spans="1:18">
      <c r="A12633" s="895"/>
      <c r="B12633" s="896"/>
      <c r="C12633" s="897"/>
      <c r="D12633" s="897"/>
      <c r="E12633" s="1002" t="s">
        <v>276</v>
      </c>
      <c r="F12633" s="1003"/>
      <c r="G12633" s="1004"/>
      <c r="H12633" s="901"/>
      <c r="I12633" s="902"/>
      <c r="J12633" s="902"/>
      <c r="K12633" s="912" t="s">
        <v>274</v>
      </c>
      <c r="L12633" s="902"/>
      <c r="M12633" s="902"/>
      <c r="N12633" s="902"/>
      <c r="O12633" s="892">
        <f t="shared" si="1013"/>
        <v>0</v>
      </c>
      <c r="P12633" s="903">
        <f t="shared" si="1014"/>
        <v>1</v>
      </c>
      <c r="Q12633" s="893">
        <f t="shared" si="1015"/>
        <v>4</v>
      </c>
      <c r="R12633" s="894">
        <f t="shared" si="1016"/>
        <v>0</v>
      </c>
    </row>
    <row r="12634" spans="1:18" s="847" customFormat="1">
      <c r="A12634" s="905"/>
      <c r="B12634" s="952"/>
      <c r="C12634" s="907">
        <v>745</v>
      </c>
      <c r="D12634" s="907" t="s">
        <v>12</v>
      </c>
      <c r="E12634" s="992" t="s">
        <v>5518</v>
      </c>
      <c r="F12634" s="905" t="s">
        <v>2674</v>
      </c>
      <c r="G12634" s="1005"/>
      <c r="H12634" s="911">
        <v>7.35</v>
      </c>
      <c r="I12634" s="912"/>
      <c r="J12634" s="912"/>
      <c r="K12634" s="912">
        <f>VLOOKUP(E12634,[5]ĐMNC!$A$7:$F$67,4,0)</f>
        <v>240557</v>
      </c>
      <c r="L12634" s="912">
        <f>H12634*K12634</f>
        <v>1768093.95</v>
      </c>
      <c r="M12634" s="912"/>
      <c r="N12634" s="912"/>
      <c r="O12634" s="892">
        <f t="shared" si="1013"/>
        <v>0</v>
      </c>
      <c r="P12634" s="903">
        <f t="shared" si="1014"/>
        <v>1</v>
      </c>
      <c r="Q12634" s="893">
        <f t="shared" si="1015"/>
        <v>3</v>
      </c>
      <c r="R12634" s="894">
        <f t="shared" si="1016"/>
        <v>0</v>
      </c>
    </row>
    <row r="12635" spans="1:18" s="904" customFormat="1">
      <c r="A12635" s="895"/>
      <c r="B12635" s="896"/>
      <c r="C12635" s="897"/>
      <c r="D12635" s="897"/>
      <c r="E12635" s="1002" t="s">
        <v>3914</v>
      </c>
      <c r="F12635" s="1003"/>
      <c r="G12635" s="1004"/>
      <c r="H12635" s="901"/>
      <c r="I12635" s="902"/>
      <c r="J12635" s="902"/>
      <c r="K12635" s="912" t="s">
        <v>274</v>
      </c>
      <c r="L12635" s="902"/>
      <c r="M12635" s="902"/>
      <c r="N12635" s="902"/>
      <c r="O12635" s="892">
        <f t="shared" si="1013"/>
        <v>0</v>
      </c>
      <c r="P12635" s="903">
        <f t="shared" si="1014"/>
        <v>1</v>
      </c>
      <c r="Q12635" s="893">
        <f t="shared" si="1015"/>
        <v>2</v>
      </c>
      <c r="R12635" s="894">
        <f t="shared" si="1016"/>
        <v>0</v>
      </c>
    </row>
    <row r="12636" spans="1:18">
      <c r="A12636" s="905"/>
      <c r="B12636" s="952" t="s">
        <v>4993</v>
      </c>
      <c r="C12636" s="907">
        <v>904</v>
      </c>
      <c r="D12636" s="907" t="s">
        <v>93</v>
      </c>
      <c r="E12636" s="992" t="s">
        <v>4994</v>
      </c>
      <c r="F12636" s="905" t="s">
        <v>2673</v>
      </c>
      <c r="G12636" s="1005"/>
      <c r="H12636" s="911">
        <v>0.2</v>
      </c>
      <c r="I12636" s="912"/>
      <c r="J12636" s="912"/>
      <c r="K12636" s="912"/>
      <c r="L12636" s="912"/>
      <c r="M12636" s="912">
        <f>VLOOKUP(B12636,MTC!$B$9:$S$933,12,0)</f>
        <v>1393090</v>
      </c>
      <c r="N12636" s="912">
        <f>M12636*H12636</f>
        <v>278618</v>
      </c>
      <c r="O12636" s="892">
        <f t="shared" si="1013"/>
        <v>0</v>
      </c>
      <c r="P12636" s="903">
        <f t="shared" si="1014"/>
        <v>1</v>
      </c>
      <c r="Q12636" s="893">
        <f t="shared" si="1015"/>
        <v>1</v>
      </c>
      <c r="R12636" s="894">
        <f t="shared" si="1016"/>
        <v>0</v>
      </c>
    </row>
    <row r="12637" spans="1:18">
      <c r="A12637" s="905">
        <v>694</v>
      </c>
      <c r="B12637" s="914" t="s">
        <v>2501</v>
      </c>
      <c r="C12637" s="915"/>
      <c r="D12637" s="915"/>
      <c r="E12637" s="1006" t="s">
        <v>7199</v>
      </c>
      <c r="F12637" s="917" t="s">
        <v>159</v>
      </c>
      <c r="G12637" s="1008"/>
      <c r="H12637" s="919"/>
      <c r="I12637" s="920"/>
      <c r="J12637" s="891">
        <f>SUM(J12638:J12645)</f>
        <v>71900</v>
      </c>
      <c r="K12637" s="891"/>
      <c r="L12637" s="891">
        <f>SUM(L12638:L12645)</f>
        <v>2020678.8</v>
      </c>
      <c r="M12637" s="891"/>
      <c r="N12637" s="891">
        <f>SUM(N12638:N12645)</f>
        <v>278618</v>
      </c>
      <c r="O12637" s="892">
        <f t="shared" si="1013"/>
        <v>1</v>
      </c>
      <c r="P12637" s="903">
        <f t="shared" si="1014"/>
        <v>0</v>
      </c>
      <c r="Q12637" s="893">
        <f t="shared" si="1015"/>
        <v>0</v>
      </c>
      <c r="R12637" s="894">
        <f t="shared" si="1016"/>
        <v>8</v>
      </c>
    </row>
    <row r="12638" spans="1:18" s="904" customFormat="1">
      <c r="A12638" s="895"/>
      <c r="B12638" s="896"/>
      <c r="C12638" s="897"/>
      <c r="D12638" s="897"/>
      <c r="E12638" s="1002" t="s">
        <v>108</v>
      </c>
      <c r="F12638" s="1003"/>
      <c r="G12638" s="1004"/>
      <c r="H12638" s="901"/>
      <c r="I12638" s="902"/>
      <c r="J12638" s="902"/>
      <c r="K12638" s="912" t="s">
        <v>274</v>
      </c>
      <c r="L12638" s="902"/>
      <c r="M12638" s="902"/>
      <c r="N12638" s="902"/>
      <c r="O12638" s="892">
        <f t="shared" si="1013"/>
        <v>0</v>
      </c>
      <c r="P12638" s="903">
        <f t="shared" si="1014"/>
        <v>1</v>
      </c>
      <c r="Q12638" s="893">
        <f t="shared" si="1015"/>
        <v>8</v>
      </c>
      <c r="R12638" s="894">
        <f t="shared" si="1016"/>
        <v>0</v>
      </c>
    </row>
    <row r="12639" spans="1:18">
      <c r="A12639" s="905"/>
      <c r="B12639" s="952"/>
      <c r="C12639" s="907">
        <v>212</v>
      </c>
      <c r="D12639" s="907" t="s">
        <v>279</v>
      </c>
      <c r="E12639" s="992" t="s">
        <v>2681</v>
      </c>
      <c r="F12639" s="905" t="s">
        <v>45</v>
      </c>
      <c r="G12639" s="1005"/>
      <c r="H12639" s="911">
        <v>0.8</v>
      </c>
      <c r="I12639" s="912">
        <f>VLOOKUP(E12639,[3]VLP!$B$7:$K$300,10,0)</f>
        <v>23000</v>
      </c>
      <c r="J12639" s="912">
        <f>I12639*H12639</f>
        <v>18400</v>
      </c>
      <c r="K12639" s="912" t="s">
        <v>274</v>
      </c>
      <c r="L12639" s="912"/>
      <c r="M12639" s="912"/>
      <c r="N12639" s="912"/>
      <c r="O12639" s="892">
        <f t="shared" si="1013"/>
        <v>0</v>
      </c>
      <c r="P12639" s="903">
        <f t="shared" si="1014"/>
        <v>1</v>
      </c>
      <c r="Q12639" s="893">
        <f t="shared" si="1015"/>
        <v>7</v>
      </c>
      <c r="R12639" s="894">
        <f t="shared" si="1016"/>
        <v>0</v>
      </c>
    </row>
    <row r="12640" spans="1:18" s="847" customFormat="1">
      <c r="A12640" s="905"/>
      <c r="B12640" s="952"/>
      <c r="C12640" s="907">
        <v>235</v>
      </c>
      <c r="D12640" s="907" t="s">
        <v>279</v>
      </c>
      <c r="E12640" s="992" t="s">
        <v>2682</v>
      </c>
      <c r="F12640" s="905" t="s">
        <v>45</v>
      </c>
      <c r="G12640" s="1005"/>
      <c r="H12640" s="911">
        <v>0.7</v>
      </c>
      <c r="I12640" s="912">
        <f>VLOOKUP(E12640,[3]VLP!$B$7:$K$300,10,0)</f>
        <v>5000</v>
      </c>
      <c r="J12640" s="912">
        <f>I12640*H12640</f>
        <v>3500</v>
      </c>
      <c r="K12640" s="912" t="s">
        <v>274</v>
      </c>
      <c r="L12640" s="912"/>
      <c r="M12640" s="912"/>
      <c r="N12640" s="912"/>
      <c r="O12640" s="892">
        <f t="shared" si="1013"/>
        <v>0</v>
      </c>
      <c r="P12640" s="903">
        <f t="shared" si="1014"/>
        <v>1</v>
      </c>
      <c r="Q12640" s="893">
        <f t="shared" si="1015"/>
        <v>6</v>
      </c>
      <c r="R12640" s="894">
        <f t="shared" si="1016"/>
        <v>0</v>
      </c>
    </row>
    <row r="12641" spans="1:18" s="904" customFormat="1">
      <c r="A12641" s="905"/>
      <c r="B12641" s="952"/>
      <c r="C12641" s="907">
        <v>699</v>
      </c>
      <c r="D12641" s="907" t="s">
        <v>279</v>
      </c>
      <c r="E12641" s="992" t="s">
        <v>4006</v>
      </c>
      <c r="F12641" s="905" t="s">
        <v>4007</v>
      </c>
      <c r="G12641" s="1005"/>
      <c r="H12641" s="911">
        <v>10</v>
      </c>
      <c r="I12641" s="912">
        <f>VLOOKUP(E12641,[3]VLP!$B$7:$K$300,10,0)</f>
        <v>5000</v>
      </c>
      <c r="J12641" s="912">
        <f>I12641*H12641</f>
        <v>50000</v>
      </c>
      <c r="K12641" s="912" t="s">
        <v>274</v>
      </c>
      <c r="L12641" s="912"/>
      <c r="M12641" s="912"/>
      <c r="N12641" s="912"/>
      <c r="O12641" s="892">
        <f t="shared" si="1013"/>
        <v>0</v>
      </c>
      <c r="P12641" s="903">
        <f t="shared" si="1014"/>
        <v>1</v>
      </c>
      <c r="Q12641" s="893">
        <f t="shared" si="1015"/>
        <v>5</v>
      </c>
      <c r="R12641" s="894">
        <f t="shared" si="1016"/>
        <v>0</v>
      </c>
    </row>
    <row r="12642" spans="1:18">
      <c r="A12642" s="895"/>
      <c r="B12642" s="896"/>
      <c r="C12642" s="897"/>
      <c r="D12642" s="897"/>
      <c r="E12642" s="1002" t="s">
        <v>276</v>
      </c>
      <c r="F12642" s="1003"/>
      <c r="G12642" s="1004"/>
      <c r="H12642" s="901"/>
      <c r="I12642" s="902"/>
      <c r="J12642" s="902"/>
      <c r="K12642" s="912" t="s">
        <v>274</v>
      </c>
      <c r="L12642" s="902"/>
      <c r="M12642" s="902"/>
      <c r="N12642" s="902"/>
      <c r="O12642" s="892">
        <f t="shared" si="1013"/>
        <v>0</v>
      </c>
      <c r="P12642" s="903">
        <f t="shared" si="1014"/>
        <v>1</v>
      </c>
      <c r="Q12642" s="893">
        <f t="shared" si="1015"/>
        <v>4</v>
      </c>
      <c r="R12642" s="894">
        <f t="shared" si="1016"/>
        <v>0</v>
      </c>
    </row>
    <row r="12643" spans="1:18">
      <c r="A12643" s="905"/>
      <c r="B12643" s="952"/>
      <c r="C12643" s="907">
        <v>745</v>
      </c>
      <c r="D12643" s="907" t="s">
        <v>12</v>
      </c>
      <c r="E12643" s="992" t="s">
        <v>5518</v>
      </c>
      <c r="F12643" s="905" t="s">
        <v>2674</v>
      </c>
      <c r="G12643" s="1005"/>
      <c r="H12643" s="911">
        <v>8.4</v>
      </c>
      <c r="I12643" s="912"/>
      <c r="J12643" s="912"/>
      <c r="K12643" s="912">
        <f>VLOOKUP(E12643,[5]ĐMNC!$A$7:$F$67,4,0)</f>
        <v>240557</v>
      </c>
      <c r="L12643" s="912">
        <f>H12643*K12643</f>
        <v>2020678.8</v>
      </c>
      <c r="M12643" s="912"/>
      <c r="N12643" s="912"/>
      <c r="O12643" s="892">
        <f t="shared" si="1013"/>
        <v>0</v>
      </c>
      <c r="P12643" s="903">
        <f t="shared" si="1014"/>
        <v>1</v>
      </c>
      <c r="Q12643" s="893">
        <f t="shared" si="1015"/>
        <v>3</v>
      </c>
      <c r="R12643" s="894">
        <f t="shared" si="1016"/>
        <v>0</v>
      </c>
    </row>
    <row r="12644" spans="1:18" s="904" customFormat="1">
      <c r="A12644" s="895"/>
      <c r="B12644" s="896"/>
      <c r="C12644" s="897"/>
      <c r="D12644" s="897"/>
      <c r="E12644" s="1002" t="s">
        <v>3914</v>
      </c>
      <c r="F12644" s="1003"/>
      <c r="G12644" s="1004"/>
      <c r="H12644" s="901"/>
      <c r="I12644" s="902"/>
      <c r="J12644" s="902"/>
      <c r="K12644" s="912" t="s">
        <v>274</v>
      </c>
      <c r="L12644" s="902"/>
      <c r="M12644" s="902"/>
      <c r="N12644" s="902"/>
      <c r="O12644" s="892">
        <f t="shared" si="1013"/>
        <v>0</v>
      </c>
      <c r="P12644" s="903">
        <f t="shared" si="1014"/>
        <v>1</v>
      </c>
      <c r="Q12644" s="893">
        <f t="shared" si="1015"/>
        <v>2</v>
      </c>
      <c r="R12644" s="894">
        <f t="shared" si="1016"/>
        <v>0</v>
      </c>
    </row>
    <row r="12645" spans="1:18">
      <c r="A12645" s="905"/>
      <c r="B12645" s="952" t="s">
        <v>4993</v>
      </c>
      <c r="C12645" s="907">
        <v>904</v>
      </c>
      <c r="D12645" s="907" t="s">
        <v>93</v>
      </c>
      <c r="E12645" s="992" t="s">
        <v>4994</v>
      </c>
      <c r="F12645" s="905" t="s">
        <v>2673</v>
      </c>
      <c r="G12645" s="1005"/>
      <c r="H12645" s="911">
        <v>0.2</v>
      </c>
      <c r="I12645" s="912"/>
      <c r="J12645" s="912"/>
      <c r="K12645" s="912"/>
      <c r="L12645" s="912"/>
      <c r="M12645" s="912">
        <f>VLOOKUP(B12645,MTC!$B$9:$S$933,12,0)</f>
        <v>1393090</v>
      </c>
      <c r="N12645" s="912">
        <f>M12645*H12645</f>
        <v>278618</v>
      </c>
      <c r="O12645" s="892">
        <f t="shared" si="1013"/>
        <v>0</v>
      </c>
      <c r="P12645" s="903">
        <f t="shared" si="1014"/>
        <v>1</v>
      </c>
      <c r="Q12645" s="893">
        <f t="shared" si="1015"/>
        <v>1</v>
      </c>
      <c r="R12645" s="894">
        <f t="shared" si="1016"/>
        <v>0</v>
      </c>
    </row>
    <row r="12646" spans="1:18" s="847" customFormat="1">
      <c r="A12646" s="905">
        <v>695</v>
      </c>
      <c r="B12646" s="914" t="s">
        <v>7200</v>
      </c>
      <c r="C12646" s="915"/>
      <c r="D12646" s="915"/>
      <c r="E12646" s="1006" t="s">
        <v>7201</v>
      </c>
      <c r="F12646" s="917" t="s">
        <v>159</v>
      </c>
      <c r="G12646" s="1008"/>
      <c r="H12646" s="919"/>
      <c r="I12646" s="920"/>
      <c r="J12646" s="891">
        <f>SUM(J12647:J12654)</f>
        <v>63500</v>
      </c>
      <c r="K12646" s="891"/>
      <c r="L12646" s="891">
        <f>SUM(L12647:L12654)</f>
        <v>1027178.3899999999</v>
      </c>
      <c r="M12646" s="891"/>
      <c r="N12646" s="891">
        <f>SUM(N12647:N12654)</f>
        <v>348272.5</v>
      </c>
      <c r="O12646" s="892">
        <f t="shared" si="1013"/>
        <v>1</v>
      </c>
      <c r="P12646" s="903">
        <f t="shared" si="1014"/>
        <v>0</v>
      </c>
      <c r="Q12646" s="893">
        <f t="shared" si="1015"/>
        <v>0</v>
      </c>
      <c r="R12646" s="894">
        <f t="shared" si="1016"/>
        <v>8</v>
      </c>
    </row>
    <row r="12647" spans="1:18" s="904" customFormat="1">
      <c r="A12647" s="895"/>
      <c r="B12647" s="896"/>
      <c r="C12647" s="897"/>
      <c r="D12647" s="897"/>
      <c r="E12647" s="1002" t="s">
        <v>108</v>
      </c>
      <c r="F12647" s="1003"/>
      <c r="G12647" s="1004"/>
      <c r="H12647" s="901"/>
      <c r="I12647" s="902"/>
      <c r="J12647" s="902"/>
      <c r="K12647" s="912" t="s">
        <v>274</v>
      </c>
      <c r="L12647" s="902"/>
      <c r="M12647" s="902"/>
      <c r="N12647" s="902"/>
      <c r="O12647" s="892">
        <f t="shared" si="1013"/>
        <v>0</v>
      </c>
      <c r="P12647" s="903">
        <f t="shared" si="1014"/>
        <v>1</v>
      </c>
      <c r="Q12647" s="893">
        <f t="shared" si="1015"/>
        <v>8</v>
      </c>
      <c r="R12647" s="894">
        <f t="shared" si="1016"/>
        <v>0</v>
      </c>
    </row>
    <row r="12648" spans="1:18">
      <c r="A12648" s="905"/>
      <c r="B12648" s="952"/>
      <c r="C12648" s="907">
        <v>212</v>
      </c>
      <c r="D12648" s="907" t="s">
        <v>279</v>
      </c>
      <c r="E12648" s="992" t="s">
        <v>2681</v>
      </c>
      <c r="F12648" s="905" t="s">
        <v>45</v>
      </c>
      <c r="G12648" s="1005"/>
      <c r="H12648" s="911">
        <v>0.5</v>
      </c>
      <c r="I12648" s="912">
        <f>VLOOKUP(E12648,[3]VLP!$B$7:$K$300,10,0)</f>
        <v>23000</v>
      </c>
      <c r="J12648" s="912">
        <f>I12648*H12648</f>
        <v>11500</v>
      </c>
      <c r="K12648" s="912" t="s">
        <v>274</v>
      </c>
      <c r="L12648" s="912"/>
      <c r="M12648" s="912"/>
      <c r="N12648" s="912"/>
      <c r="O12648" s="892">
        <f t="shared" si="1013"/>
        <v>0</v>
      </c>
      <c r="P12648" s="903">
        <f t="shared" si="1014"/>
        <v>1</v>
      </c>
      <c r="Q12648" s="893">
        <f t="shared" si="1015"/>
        <v>7</v>
      </c>
      <c r="R12648" s="894">
        <f t="shared" si="1016"/>
        <v>0</v>
      </c>
    </row>
    <row r="12649" spans="1:18">
      <c r="A12649" s="905"/>
      <c r="B12649" s="952"/>
      <c r="C12649" s="907">
        <v>235</v>
      </c>
      <c r="D12649" s="907" t="s">
        <v>279</v>
      </c>
      <c r="E12649" s="992" t="s">
        <v>2682</v>
      </c>
      <c r="F12649" s="905" t="s">
        <v>45</v>
      </c>
      <c r="G12649" s="1005"/>
      <c r="H12649" s="911">
        <v>0.4</v>
      </c>
      <c r="I12649" s="912">
        <f>VLOOKUP(E12649,[3]VLP!$B$7:$K$300,10,0)</f>
        <v>5000</v>
      </c>
      <c r="J12649" s="912">
        <f>I12649*H12649</f>
        <v>2000</v>
      </c>
      <c r="K12649" s="912" t="s">
        <v>274</v>
      </c>
      <c r="L12649" s="912"/>
      <c r="M12649" s="912"/>
      <c r="N12649" s="912"/>
      <c r="O12649" s="892">
        <f t="shared" si="1013"/>
        <v>0</v>
      </c>
      <c r="P12649" s="903">
        <f t="shared" si="1014"/>
        <v>1</v>
      </c>
      <c r="Q12649" s="893">
        <f t="shared" si="1015"/>
        <v>6</v>
      </c>
      <c r="R12649" s="894">
        <f t="shared" si="1016"/>
        <v>0</v>
      </c>
    </row>
    <row r="12650" spans="1:18" s="904" customFormat="1">
      <c r="A12650" s="905"/>
      <c r="B12650" s="952"/>
      <c r="C12650" s="907">
        <v>699</v>
      </c>
      <c r="D12650" s="907" t="s">
        <v>279</v>
      </c>
      <c r="E12650" s="992" t="s">
        <v>4006</v>
      </c>
      <c r="F12650" s="905" t="s">
        <v>4007</v>
      </c>
      <c r="G12650" s="1005"/>
      <c r="H12650" s="911">
        <v>10</v>
      </c>
      <c r="I12650" s="912">
        <f>VLOOKUP(E12650,[3]VLP!$B$7:$K$300,10,0)</f>
        <v>5000</v>
      </c>
      <c r="J12650" s="912">
        <f>I12650*H12650</f>
        <v>50000</v>
      </c>
      <c r="K12650" s="912" t="s">
        <v>274</v>
      </c>
      <c r="L12650" s="912"/>
      <c r="M12650" s="912"/>
      <c r="N12650" s="912"/>
      <c r="O12650" s="892">
        <f t="shared" si="1013"/>
        <v>0</v>
      </c>
      <c r="P12650" s="903">
        <f t="shared" si="1014"/>
        <v>1</v>
      </c>
      <c r="Q12650" s="893">
        <f t="shared" si="1015"/>
        <v>5</v>
      </c>
      <c r="R12650" s="894">
        <f t="shared" si="1016"/>
        <v>0</v>
      </c>
    </row>
    <row r="12651" spans="1:18">
      <c r="A12651" s="895"/>
      <c r="B12651" s="896"/>
      <c r="C12651" s="897"/>
      <c r="D12651" s="897"/>
      <c r="E12651" s="1002" t="s">
        <v>276</v>
      </c>
      <c r="F12651" s="1003"/>
      <c r="G12651" s="1004"/>
      <c r="H12651" s="901"/>
      <c r="I12651" s="902"/>
      <c r="J12651" s="902"/>
      <c r="K12651" s="912" t="s">
        <v>274</v>
      </c>
      <c r="L12651" s="902"/>
      <c r="M12651" s="902"/>
      <c r="N12651" s="902"/>
      <c r="O12651" s="892">
        <f t="shared" si="1013"/>
        <v>0</v>
      </c>
      <c r="P12651" s="903">
        <f t="shared" si="1014"/>
        <v>1</v>
      </c>
      <c r="Q12651" s="893">
        <f t="shared" si="1015"/>
        <v>4</v>
      </c>
      <c r="R12651" s="894">
        <f t="shared" si="1016"/>
        <v>0</v>
      </c>
    </row>
    <row r="12652" spans="1:18" s="847" customFormat="1">
      <c r="A12652" s="905"/>
      <c r="B12652" s="952"/>
      <c r="C12652" s="907">
        <v>745</v>
      </c>
      <c r="D12652" s="907" t="s">
        <v>12</v>
      </c>
      <c r="E12652" s="992" t="s">
        <v>5518</v>
      </c>
      <c r="F12652" s="905" t="s">
        <v>2674</v>
      </c>
      <c r="G12652" s="1005"/>
      <c r="H12652" s="911">
        <v>4.2699999999999996</v>
      </c>
      <c r="I12652" s="912"/>
      <c r="J12652" s="912"/>
      <c r="K12652" s="912">
        <f>VLOOKUP(E12652,[5]ĐMNC!$A$7:$F$67,4,0)</f>
        <v>240557</v>
      </c>
      <c r="L12652" s="912">
        <f>H12652*K12652</f>
        <v>1027178.3899999999</v>
      </c>
      <c r="M12652" s="912"/>
      <c r="N12652" s="912"/>
      <c r="O12652" s="892">
        <f t="shared" si="1013"/>
        <v>0</v>
      </c>
      <c r="P12652" s="903">
        <f t="shared" si="1014"/>
        <v>1</v>
      </c>
      <c r="Q12652" s="893">
        <f t="shared" si="1015"/>
        <v>3</v>
      </c>
      <c r="R12652" s="894">
        <f t="shared" si="1016"/>
        <v>0</v>
      </c>
    </row>
    <row r="12653" spans="1:18" s="904" customFormat="1">
      <c r="A12653" s="895"/>
      <c r="B12653" s="896"/>
      <c r="C12653" s="897"/>
      <c r="D12653" s="897"/>
      <c r="E12653" s="1002" t="s">
        <v>3914</v>
      </c>
      <c r="F12653" s="1003"/>
      <c r="G12653" s="1004"/>
      <c r="H12653" s="901"/>
      <c r="I12653" s="902"/>
      <c r="J12653" s="902"/>
      <c r="K12653" s="912" t="s">
        <v>274</v>
      </c>
      <c r="L12653" s="902"/>
      <c r="M12653" s="902"/>
      <c r="N12653" s="902"/>
      <c r="O12653" s="892">
        <f t="shared" si="1013"/>
        <v>0</v>
      </c>
      <c r="P12653" s="903">
        <f t="shared" si="1014"/>
        <v>1</v>
      </c>
      <c r="Q12653" s="893">
        <f t="shared" si="1015"/>
        <v>2</v>
      </c>
      <c r="R12653" s="894">
        <f t="shared" si="1016"/>
        <v>0</v>
      </c>
    </row>
    <row r="12654" spans="1:18">
      <c r="A12654" s="905"/>
      <c r="B12654" s="952" t="s">
        <v>4993</v>
      </c>
      <c r="C12654" s="907">
        <v>904</v>
      </c>
      <c r="D12654" s="907" t="s">
        <v>93</v>
      </c>
      <c r="E12654" s="992" t="s">
        <v>4994</v>
      </c>
      <c r="F12654" s="905" t="s">
        <v>2673</v>
      </c>
      <c r="G12654" s="1005"/>
      <c r="H12654" s="911">
        <v>0.25</v>
      </c>
      <c r="I12654" s="912"/>
      <c r="J12654" s="912"/>
      <c r="K12654" s="912"/>
      <c r="L12654" s="912"/>
      <c r="M12654" s="912">
        <f>VLOOKUP(B12654,MTC!$B$9:$S$933,12,0)</f>
        <v>1393090</v>
      </c>
      <c r="N12654" s="912">
        <f>M12654*H12654</f>
        <v>348272.5</v>
      </c>
      <c r="O12654" s="892">
        <f t="shared" si="1013"/>
        <v>0</v>
      </c>
      <c r="P12654" s="903">
        <f t="shared" si="1014"/>
        <v>1</v>
      </c>
      <c r="Q12654" s="893">
        <f t="shared" si="1015"/>
        <v>1</v>
      </c>
      <c r="R12654" s="894">
        <f t="shared" si="1016"/>
        <v>0</v>
      </c>
    </row>
    <row r="12655" spans="1:18">
      <c r="A12655" s="905">
        <v>696</v>
      </c>
      <c r="B12655" s="914" t="s">
        <v>7202</v>
      </c>
      <c r="C12655" s="915"/>
      <c r="D12655" s="915"/>
      <c r="E12655" s="1006" t="s">
        <v>7203</v>
      </c>
      <c r="F12655" s="917" t="s">
        <v>159</v>
      </c>
      <c r="G12655" s="1008"/>
      <c r="H12655" s="919"/>
      <c r="I12655" s="920"/>
      <c r="J12655" s="891">
        <f>SUM(J12656:J12663)</f>
        <v>66300</v>
      </c>
      <c r="K12655" s="891"/>
      <c r="L12655" s="891">
        <f>SUM(L12656:L12663)</f>
        <v>1234057.4099999999</v>
      </c>
      <c r="M12655" s="891"/>
      <c r="N12655" s="891">
        <f>SUM(N12656:N12663)</f>
        <v>348272.5</v>
      </c>
      <c r="O12655" s="892">
        <f t="shared" si="1013"/>
        <v>1</v>
      </c>
      <c r="P12655" s="903">
        <f t="shared" si="1014"/>
        <v>0</v>
      </c>
      <c r="Q12655" s="893">
        <f t="shared" si="1015"/>
        <v>0</v>
      </c>
      <c r="R12655" s="894">
        <f t="shared" si="1016"/>
        <v>8</v>
      </c>
    </row>
    <row r="12656" spans="1:18" s="904" customFormat="1">
      <c r="A12656" s="895"/>
      <c r="B12656" s="896"/>
      <c r="C12656" s="897"/>
      <c r="D12656" s="897"/>
      <c r="E12656" s="1002" t="s">
        <v>108</v>
      </c>
      <c r="F12656" s="1003"/>
      <c r="G12656" s="1004"/>
      <c r="H12656" s="901"/>
      <c r="I12656" s="902"/>
      <c r="J12656" s="902"/>
      <c r="K12656" s="912" t="s">
        <v>274</v>
      </c>
      <c r="L12656" s="902"/>
      <c r="M12656" s="902"/>
      <c r="N12656" s="902"/>
      <c r="O12656" s="892">
        <f t="shared" si="1013"/>
        <v>0</v>
      </c>
      <c r="P12656" s="903">
        <f t="shared" si="1014"/>
        <v>1</v>
      </c>
      <c r="Q12656" s="893">
        <f t="shared" si="1015"/>
        <v>8</v>
      </c>
      <c r="R12656" s="894">
        <f t="shared" si="1016"/>
        <v>0</v>
      </c>
    </row>
    <row r="12657" spans="1:18">
      <c r="A12657" s="905"/>
      <c r="B12657" s="952"/>
      <c r="C12657" s="907">
        <v>212</v>
      </c>
      <c r="D12657" s="907" t="s">
        <v>279</v>
      </c>
      <c r="E12657" s="992" t="s">
        <v>2681</v>
      </c>
      <c r="F12657" s="905" t="s">
        <v>45</v>
      </c>
      <c r="G12657" s="1005"/>
      <c r="H12657" s="911">
        <v>0.6</v>
      </c>
      <c r="I12657" s="912">
        <f>VLOOKUP(E12657,[3]VLP!$B$7:$K$300,10,0)</f>
        <v>23000</v>
      </c>
      <c r="J12657" s="912">
        <f>I12657*H12657</f>
        <v>13800</v>
      </c>
      <c r="K12657" s="912" t="s">
        <v>274</v>
      </c>
      <c r="L12657" s="912"/>
      <c r="M12657" s="912"/>
      <c r="N12657" s="912"/>
      <c r="O12657" s="892">
        <f t="shared" si="1013"/>
        <v>0</v>
      </c>
      <c r="P12657" s="903">
        <f t="shared" si="1014"/>
        <v>1</v>
      </c>
      <c r="Q12657" s="893">
        <f t="shared" si="1015"/>
        <v>7</v>
      </c>
      <c r="R12657" s="894">
        <f t="shared" si="1016"/>
        <v>0</v>
      </c>
    </row>
    <row r="12658" spans="1:18" s="847" customFormat="1">
      <c r="A12658" s="905"/>
      <c r="B12658" s="952"/>
      <c r="C12658" s="907">
        <v>235</v>
      </c>
      <c r="D12658" s="907" t="s">
        <v>279</v>
      </c>
      <c r="E12658" s="992" t="s">
        <v>2682</v>
      </c>
      <c r="F12658" s="905" t="s">
        <v>45</v>
      </c>
      <c r="G12658" s="1005"/>
      <c r="H12658" s="911">
        <v>0.5</v>
      </c>
      <c r="I12658" s="912">
        <f>VLOOKUP(E12658,[3]VLP!$B$7:$K$300,10,0)</f>
        <v>5000</v>
      </c>
      <c r="J12658" s="912">
        <f>I12658*H12658</f>
        <v>2500</v>
      </c>
      <c r="K12658" s="912" t="s">
        <v>274</v>
      </c>
      <c r="L12658" s="912"/>
      <c r="M12658" s="912"/>
      <c r="N12658" s="912"/>
      <c r="O12658" s="892">
        <f t="shared" si="1013"/>
        <v>0</v>
      </c>
      <c r="P12658" s="903">
        <f t="shared" si="1014"/>
        <v>1</v>
      </c>
      <c r="Q12658" s="893">
        <f t="shared" si="1015"/>
        <v>6</v>
      </c>
      <c r="R12658" s="894">
        <f t="shared" si="1016"/>
        <v>0</v>
      </c>
    </row>
    <row r="12659" spans="1:18" s="904" customFormat="1">
      <c r="A12659" s="905"/>
      <c r="B12659" s="952"/>
      <c r="C12659" s="907">
        <v>699</v>
      </c>
      <c r="D12659" s="907" t="s">
        <v>279</v>
      </c>
      <c r="E12659" s="992" t="s">
        <v>4006</v>
      </c>
      <c r="F12659" s="905" t="s">
        <v>4007</v>
      </c>
      <c r="G12659" s="1005"/>
      <c r="H12659" s="911">
        <v>10</v>
      </c>
      <c r="I12659" s="912">
        <f>VLOOKUP(E12659,[3]VLP!$B$7:$K$300,10,0)</f>
        <v>5000</v>
      </c>
      <c r="J12659" s="912">
        <f>I12659*H12659</f>
        <v>50000</v>
      </c>
      <c r="K12659" s="912" t="s">
        <v>274</v>
      </c>
      <c r="L12659" s="912"/>
      <c r="M12659" s="912"/>
      <c r="N12659" s="912"/>
      <c r="O12659" s="892">
        <f t="shared" si="1013"/>
        <v>0</v>
      </c>
      <c r="P12659" s="903">
        <f t="shared" si="1014"/>
        <v>1</v>
      </c>
      <c r="Q12659" s="893">
        <f t="shared" si="1015"/>
        <v>5</v>
      </c>
      <c r="R12659" s="894">
        <f t="shared" si="1016"/>
        <v>0</v>
      </c>
    </row>
    <row r="12660" spans="1:18">
      <c r="A12660" s="895"/>
      <c r="B12660" s="896"/>
      <c r="C12660" s="897"/>
      <c r="D12660" s="897"/>
      <c r="E12660" s="1002" t="s">
        <v>276</v>
      </c>
      <c r="F12660" s="1003"/>
      <c r="G12660" s="1004"/>
      <c r="H12660" s="901"/>
      <c r="I12660" s="902"/>
      <c r="J12660" s="902"/>
      <c r="K12660" s="912" t="s">
        <v>274</v>
      </c>
      <c r="L12660" s="902"/>
      <c r="M12660" s="902"/>
      <c r="N12660" s="902"/>
      <c r="O12660" s="892">
        <f t="shared" si="1013"/>
        <v>0</v>
      </c>
      <c r="P12660" s="903">
        <f t="shared" si="1014"/>
        <v>1</v>
      </c>
      <c r="Q12660" s="893">
        <f t="shared" si="1015"/>
        <v>4</v>
      </c>
      <c r="R12660" s="894">
        <f t="shared" si="1016"/>
        <v>0</v>
      </c>
    </row>
    <row r="12661" spans="1:18">
      <c r="A12661" s="905"/>
      <c r="B12661" s="952"/>
      <c r="C12661" s="907">
        <v>745</v>
      </c>
      <c r="D12661" s="907" t="s">
        <v>12</v>
      </c>
      <c r="E12661" s="992" t="s">
        <v>5518</v>
      </c>
      <c r="F12661" s="905" t="s">
        <v>2674</v>
      </c>
      <c r="G12661" s="1005"/>
      <c r="H12661" s="911">
        <v>5.13</v>
      </c>
      <c r="I12661" s="912"/>
      <c r="J12661" s="912"/>
      <c r="K12661" s="912">
        <f>VLOOKUP(E12661,[5]ĐMNC!$A$7:$F$67,4,0)</f>
        <v>240557</v>
      </c>
      <c r="L12661" s="912">
        <f>H12661*K12661</f>
        <v>1234057.4099999999</v>
      </c>
      <c r="M12661" s="912"/>
      <c r="N12661" s="912"/>
      <c r="O12661" s="892">
        <f t="shared" si="1013"/>
        <v>0</v>
      </c>
      <c r="P12661" s="903">
        <f t="shared" si="1014"/>
        <v>1</v>
      </c>
      <c r="Q12661" s="893">
        <f t="shared" si="1015"/>
        <v>3</v>
      </c>
      <c r="R12661" s="894">
        <f t="shared" si="1016"/>
        <v>0</v>
      </c>
    </row>
    <row r="12662" spans="1:18" s="904" customFormat="1">
      <c r="A12662" s="895"/>
      <c r="B12662" s="896"/>
      <c r="C12662" s="897"/>
      <c r="D12662" s="897"/>
      <c r="E12662" s="1002" t="s">
        <v>3914</v>
      </c>
      <c r="F12662" s="1003"/>
      <c r="G12662" s="1004"/>
      <c r="H12662" s="901"/>
      <c r="I12662" s="902"/>
      <c r="J12662" s="902"/>
      <c r="K12662" s="912" t="s">
        <v>274</v>
      </c>
      <c r="L12662" s="902"/>
      <c r="M12662" s="902"/>
      <c r="N12662" s="902"/>
      <c r="O12662" s="892">
        <f t="shared" ref="O12662:O12725" si="1017">IF(AND(B12662&lt;&gt;"",D12662=""),1,0)</f>
        <v>0</v>
      </c>
      <c r="P12662" s="903">
        <f t="shared" si="1014"/>
        <v>1</v>
      </c>
      <c r="Q12662" s="893">
        <f t="shared" si="1015"/>
        <v>2</v>
      </c>
      <c r="R12662" s="894">
        <f t="shared" si="1016"/>
        <v>0</v>
      </c>
    </row>
    <row r="12663" spans="1:18">
      <c r="A12663" s="905"/>
      <c r="B12663" s="952" t="s">
        <v>4993</v>
      </c>
      <c r="C12663" s="907">
        <v>904</v>
      </c>
      <c r="D12663" s="907" t="s">
        <v>93</v>
      </c>
      <c r="E12663" s="992" t="s">
        <v>4994</v>
      </c>
      <c r="F12663" s="905" t="s">
        <v>2673</v>
      </c>
      <c r="G12663" s="1005"/>
      <c r="H12663" s="911">
        <v>0.25</v>
      </c>
      <c r="I12663" s="912"/>
      <c r="J12663" s="912"/>
      <c r="K12663" s="912"/>
      <c r="L12663" s="912"/>
      <c r="M12663" s="912">
        <f>VLOOKUP(B12663,MTC!$B$9:$S$933,12,0)</f>
        <v>1393090</v>
      </c>
      <c r="N12663" s="912">
        <f>M12663*H12663</f>
        <v>348272.5</v>
      </c>
      <c r="O12663" s="892">
        <f t="shared" si="1017"/>
        <v>0</v>
      </c>
      <c r="P12663" s="903">
        <f t="shared" si="1014"/>
        <v>1</v>
      </c>
      <c r="Q12663" s="893">
        <f t="shared" si="1015"/>
        <v>1</v>
      </c>
      <c r="R12663" s="894">
        <f t="shared" si="1016"/>
        <v>0</v>
      </c>
    </row>
    <row r="12664" spans="1:18" s="847" customFormat="1">
      <c r="A12664" s="905">
        <v>697</v>
      </c>
      <c r="B12664" s="914" t="s">
        <v>7204</v>
      </c>
      <c r="C12664" s="915"/>
      <c r="D12664" s="915"/>
      <c r="E12664" s="1006" t="s">
        <v>7205</v>
      </c>
      <c r="F12664" s="917" t="s">
        <v>159</v>
      </c>
      <c r="G12664" s="1008"/>
      <c r="H12664" s="919"/>
      <c r="I12664" s="920"/>
      <c r="J12664" s="891">
        <f>SUM(J12665:J12672)</f>
        <v>66300</v>
      </c>
      <c r="K12664" s="891"/>
      <c r="L12664" s="891">
        <f>SUM(L12665:L12672)</f>
        <v>1438530.86</v>
      </c>
      <c r="M12664" s="891"/>
      <c r="N12664" s="891">
        <f>SUM(N12665:N12672)</f>
        <v>348272.5</v>
      </c>
      <c r="O12664" s="892">
        <f t="shared" si="1017"/>
        <v>1</v>
      </c>
      <c r="P12664" s="903">
        <f t="shared" si="1014"/>
        <v>0</v>
      </c>
      <c r="Q12664" s="893">
        <f t="shared" si="1015"/>
        <v>0</v>
      </c>
      <c r="R12664" s="894">
        <f t="shared" si="1016"/>
        <v>8</v>
      </c>
    </row>
    <row r="12665" spans="1:18" s="904" customFormat="1">
      <c r="A12665" s="895"/>
      <c r="B12665" s="896"/>
      <c r="C12665" s="897"/>
      <c r="D12665" s="897"/>
      <c r="E12665" s="1002" t="s">
        <v>108</v>
      </c>
      <c r="F12665" s="1003"/>
      <c r="G12665" s="1004"/>
      <c r="H12665" s="901"/>
      <c r="I12665" s="902"/>
      <c r="J12665" s="902"/>
      <c r="K12665" s="912" t="s">
        <v>274</v>
      </c>
      <c r="L12665" s="902"/>
      <c r="M12665" s="902"/>
      <c r="N12665" s="902"/>
      <c r="O12665" s="892">
        <f t="shared" si="1017"/>
        <v>0</v>
      </c>
      <c r="P12665" s="903">
        <f t="shared" si="1014"/>
        <v>1</v>
      </c>
      <c r="Q12665" s="893">
        <f t="shared" si="1015"/>
        <v>8</v>
      </c>
      <c r="R12665" s="894">
        <f t="shared" si="1016"/>
        <v>0</v>
      </c>
    </row>
    <row r="12666" spans="1:18">
      <c r="A12666" s="905"/>
      <c r="B12666" s="952"/>
      <c r="C12666" s="907">
        <v>212</v>
      </c>
      <c r="D12666" s="907" t="s">
        <v>279</v>
      </c>
      <c r="E12666" s="992" t="s">
        <v>2681</v>
      </c>
      <c r="F12666" s="905" t="s">
        <v>45</v>
      </c>
      <c r="G12666" s="1005"/>
      <c r="H12666" s="911">
        <v>0.6</v>
      </c>
      <c r="I12666" s="912">
        <f>VLOOKUP(E12666,[3]VLP!$B$7:$K$300,10,0)</f>
        <v>23000</v>
      </c>
      <c r="J12666" s="912">
        <f>I12666*H12666</f>
        <v>13800</v>
      </c>
      <c r="K12666" s="912" t="s">
        <v>274</v>
      </c>
      <c r="L12666" s="912"/>
      <c r="M12666" s="912"/>
      <c r="N12666" s="912"/>
      <c r="O12666" s="892">
        <f t="shared" si="1017"/>
        <v>0</v>
      </c>
      <c r="P12666" s="903">
        <f t="shared" si="1014"/>
        <v>1</v>
      </c>
      <c r="Q12666" s="893">
        <f t="shared" si="1015"/>
        <v>7</v>
      </c>
      <c r="R12666" s="894">
        <f t="shared" si="1016"/>
        <v>0</v>
      </c>
    </row>
    <row r="12667" spans="1:18">
      <c r="A12667" s="905"/>
      <c r="B12667" s="952"/>
      <c r="C12667" s="907">
        <v>235</v>
      </c>
      <c r="D12667" s="907" t="s">
        <v>279</v>
      </c>
      <c r="E12667" s="992" t="s">
        <v>2682</v>
      </c>
      <c r="F12667" s="905" t="s">
        <v>45</v>
      </c>
      <c r="G12667" s="1005"/>
      <c r="H12667" s="911">
        <v>0.5</v>
      </c>
      <c r="I12667" s="912">
        <f>VLOOKUP(E12667,[3]VLP!$B$7:$K$300,10,0)</f>
        <v>5000</v>
      </c>
      <c r="J12667" s="912">
        <f>I12667*H12667</f>
        <v>2500</v>
      </c>
      <c r="K12667" s="912" t="s">
        <v>274</v>
      </c>
      <c r="L12667" s="912"/>
      <c r="M12667" s="912"/>
      <c r="N12667" s="912"/>
      <c r="O12667" s="892">
        <f t="shared" si="1017"/>
        <v>0</v>
      </c>
      <c r="P12667" s="903">
        <f t="shared" si="1014"/>
        <v>1</v>
      </c>
      <c r="Q12667" s="893">
        <f t="shared" si="1015"/>
        <v>6</v>
      </c>
      <c r="R12667" s="894">
        <f t="shared" si="1016"/>
        <v>0</v>
      </c>
    </row>
    <row r="12668" spans="1:18" s="904" customFormat="1">
      <c r="A12668" s="905"/>
      <c r="B12668" s="952"/>
      <c r="C12668" s="907">
        <v>699</v>
      </c>
      <c r="D12668" s="907" t="s">
        <v>279</v>
      </c>
      <c r="E12668" s="992" t="s">
        <v>4006</v>
      </c>
      <c r="F12668" s="905" t="s">
        <v>4007</v>
      </c>
      <c r="G12668" s="1005"/>
      <c r="H12668" s="911">
        <v>10</v>
      </c>
      <c r="I12668" s="912">
        <f>VLOOKUP(E12668,[3]VLP!$B$7:$K$300,10,0)</f>
        <v>5000</v>
      </c>
      <c r="J12668" s="912">
        <f>I12668*H12668</f>
        <v>50000</v>
      </c>
      <c r="K12668" s="912" t="s">
        <v>274</v>
      </c>
      <c r="L12668" s="912"/>
      <c r="M12668" s="912"/>
      <c r="N12668" s="912"/>
      <c r="O12668" s="892">
        <f t="shared" si="1017"/>
        <v>0</v>
      </c>
      <c r="P12668" s="903">
        <f t="shared" si="1014"/>
        <v>1</v>
      </c>
      <c r="Q12668" s="893">
        <f t="shared" si="1015"/>
        <v>5</v>
      </c>
      <c r="R12668" s="894">
        <f t="shared" si="1016"/>
        <v>0</v>
      </c>
    </row>
    <row r="12669" spans="1:18">
      <c r="A12669" s="895"/>
      <c r="B12669" s="896"/>
      <c r="C12669" s="897"/>
      <c r="D12669" s="897"/>
      <c r="E12669" s="1002" t="s">
        <v>276</v>
      </c>
      <c r="F12669" s="1003"/>
      <c r="G12669" s="1004"/>
      <c r="H12669" s="901"/>
      <c r="I12669" s="902"/>
      <c r="J12669" s="902"/>
      <c r="K12669" s="912" t="s">
        <v>274</v>
      </c>
      <c r="L12669" s="902"/>
      <c r="M12669" s="902"/>
      <c r="N12669" s="902"/>
      <c r="O12669" s="892">
        <f t="shared" si="1017"/>
        <v>0</v>
      </c>
      <c r="P12669" s="903">
        <f t="shared" si="1014"/>
        <v>1</v>
      </c>
      <c r="Q12669" s="893">
        <f t="shared" si="1015"/>
        <v>4</v>
      </c>
      <c r="R12669" s="894">
        <f t="shared" si="1016"/>
        <v>0</v>
      </c>
    </row>
    <row r="12670" spans="1:18" s="847" customFormat="1">
      <c r="A12670" s="905"/>
      <c r="B12670" s="952"/>
      <c r="C12670" s="907">
        <v>745</v>
      </c>
      <c r="D12670" s="907" t="s">
        <v>12</v>
      </c>
      <c r="E12670" s="992" t="s">
        <v>5518</v>
      </c>
      <c r="F12670" s="905" t="s">
        <v>2674</v>
      </c>
      <c r="G12670" s="1005"/>
      <c r="H12670" s="911">
        <v>5.98</v>
      </c>
      <c r="I12670" s="912"/>
      <c r="J12670" s="912"/>
      <c r="K12670" s="912">
        <f>VLOOKUP(E12670,[5]ĐMNC!$A$7:$F$67,4,0)</f>
        <v>240557</v>
      </c>
      <c r="L12670" s="912">
        <f>H12670*K12670</f>
        <v>1438530.86</v>
      </c>
      <c r="M12670" s="912"/>
      <c r="N12670" s="912"/>
      <c r="O12670" s="892">
        <f t="shared" si="1017"/>
        <v>0</v>
      </c>
      <c r="P12670" s="903">
        <f t="shared" si="1014"/>
        <v>1</v>
      </c>
      <c r="Q12670" s="893">
        <f t="shared" si="1015"/>
        <v>3</v>
      </c>
      <c r="R12670" s="894">
        <f t="shared" si="1016"/>
        <v>0</v>
      </c>
    </row>
    <row r="12671" spans="1:18" s="904" customFormat="1">
      <c r="A12671" s="895"/>
      <c r="B12671" s="896"/>
      <c r="C12671" s="897"/>
      <c r="D12671" s="897"/>
      <c r="E12671" s="1002" t="s">
        <v>3914</v>
      </c>
      <c r="F12671" s="1003"/>
      <c r="G12671" s="1004"/>
      <c r="H12671" s="901"/>
      <c r="I12671" s="902"/>
      <c r="J12671" s="902"/>
      <c r="K12671" s="912" t="s">
        <v>274</v>
      </c>
      <c r="L12671" s="902"/>
      <c r="M12671" s="902"/>
      <c r="N12671" s="902"/>
      <c r="O12671" s="892">
        <f t="shared" si="1017"/>
        <v>0</v>
      </c>
      <c r="P12671" s="903">
        <f t="shared" si="1014"/>
        <v>1</v>
      </c>
      <c r="Q12671" s="893">
        <f t="shared" si="1015"/>
        <v>2</v>
      </c>
      <c r="R12671" s="894">
        <f t="shared" si="1016"/>
        <v>0</v>
      </c>
    </row>
    <row r="12672" spans="1:18">
      <c r="A12672" s="905"/>
      <c r="B12672" s="952" t="s">
        <v>4993</v>
      </c>
      <c r="C12672" s="907">
        <v>904</v>
      </c>
      <c r="D12672" s="907" t="s">
        <v>93</v>
      </c>
      <c r="E12672" s="992" t="s">
        <v>4994</v>
      </c>
      <c r="F12672" s="905" t="s">
        <v>2673</v>
      </c>
      <c r="G12672" s="1005"/>
      <c r="H12672" s="911">
        <v>0.25</v>
      </c>
      <c r="I12672" s="912"/>
      <c r="J12672" s="912"/>
      <c r="K12672" s="912"/>
      <c r="L12672" s="912"/>
      <c r="M12672" s="912">
        <f>VLOOKUP(B12672,MTC!$B$9:$S$933,12,0)</f>
        <v>1393090</v>
      </c>
      <c r="N12672" s="912">
        <f>M12672*H12672</f>
        <v>348272.5</v>
      </c>
      <c r="O12672" s="892">
        <f t="shared" si="1017"/>
        <v>0</v>
      </c>
      <c r="P12672" s="903">
        <f t="shared" si="1014"/>
        <v>1</v>
      </c>
      <c r="Q12672" s="893">
        <f t="shared" si="1015"/>
        <v>1</v>
      </c>
      <c r="R12672" s="894">
        <f t="shared" si="1016"/>
        <v>0</v>
      </c>
    </row>
    <row r="12673" spans="1:18">
      <c r="A12673" s="905">
        <v>698</v>
      </c>
      <c r="B12673" s="914" t="s">
        <v>7206</v>
      </c>
      <c r="C12673" s="915"/>
      <c r="D12673" s="915"/>
      <c r="E12673" s="1006" t="s">
        <v>7207</v>
      </c>
      <c r="F12673" s="917" t="s">
        <v>159</v>
      </c>
      <c r="G12673" s="1008"/>
      <c r="H12673" s="919"/>
      <c r="I12673" s="920"/>
      <c r="J12673" s="891">
        <f>SUM(J12674:J12681)</f>
        <v>73400</v>
      </c>
      <c r="K12673" s="891"/>
      <c r="L12673" s="891">
        <f>SUM(L12674:L12681)</f>
        <v>1645409.88</v>
      </c>
      <c r="M12673" s="891"/>
      <c r="N12673" s="891">
        <f>SUM(N12674:N12681)</f>
        <v>348272.5</v>
      </c>
      <c r="O12673" s="892">
        <f t="shared" si="1017"/>
        <v>1</v>
      </c>
      <c r="P12673" s="903">
        <f t="shared" si="1014"/>
        <v>0</v>
      </c>
      <c r="Q12673" s="893">
        <f t="shared" si="1015"/>
        <v>0</v>
      </c>
      <c r="R12673" s="894">
        <f t="shared" si="1016"/>
        <v>8</v>
      </c>
    </row>
    <row r="12674" spans="1:18" s="904" customFormat="1">
      <c r="A12674" s="895"/>
      <c r="B12674" s="896"/>
      <c r="C12674" s="897"/>
      <c r="D12674" s="897"/>
      <c r="E12674" s="1002" t="s">
        <v>108</v>
      </c>
      <c r="F12674" s="1003"/>
      <c r="G12674" s="1004"/>
      <c r="H12674" s="901"/>
      <c r="I12674" s="902"/>
      <c r="J12674" s="902"/>
      <c r="K12674" s="912" t="s">
        <v>274</v>
      </c>
      <c r="L12674" s="902"/>
      <c r="M12674" s="902"/>
      <c r="N12674" s="902"/>
      <c r="O12674" s="892">
        <f t="shared" si="1017"/>
        <v>0</v>
      </c>
      <c r="P12674" s="903">
        <f t="shared" si="1014"/>
        <v>1</v>
      </c>
      <c r="Q12674" s="893">
        <f t="shared" si="1015"/>
        <v>8</v>
      </c>
      <c r="R12674" s="894">
        <f t="shared" si="1016"/>
        <v>0</v>
      </c>
    </row>
    <row r="12675" spans="1:18">
      <c r="A12675" s="905"/>
      <c r="B12675" s="952"/>
      <c r="C12675" s="907">
        <v>212</v>
      </c>
      <c r="D12675" s="907" t="s">
        <v>279</v>
      </c>
      <c r="E12675" s="992" t="s">
        <v>2681</v>
      </c>
      <c r="F12675" s="905" t="s">
        <v>45</v>
      </c>
      <c r="G12675" s="1005"/>
      <c r="H12675" s="911">
        <v>0.8</v>
      </c>
      <c r="I12675" s="912">
        <f>VLOOKUP(E12675,[3]VLP!$B$7:$K$300,10,0)</f>
        <v>23000</v>
      </c>
      <c r="J12675" s="912">
        <f>I12675*H12675</f>
        <v>18400</v>
      </c>
      <c r="K12675" s="912" t="s">
        <v>274</v>
      </c>
      <c r="L12675" s="912"/>
      <c r="M12675" s="912"/>
      <c r="N12675" s="912"/>
      <c r="O12675" s="892">
        <f t="shared" si="1017"/>
        <v>0</v>
      </c>
      <c r="P12675" s="903">
        <f t="shared" si="1014"/>
        <v>1</v>
      </c>
      <c r="Q12675" s="893">
        <f t="shared" si="1015"/>
        <v>7</v>
      </c>
      <c r="R12675" s="894">
        <f t="shared" si="1016"/>
        <v>0</v>
      </c>
    </row>
    <row r="12676" spans="1:18" s="847" customFormat="1">
      <c r="A12676" s="905"/>
      <c r="B12676" s="952"/>
      <c r="C12676" s="907">
        <v>235</v>
      </c>
      <c r="D12676" s="907" t="s">
        <v>279</v>
      </c>
      <c r="E12676" s="992" t="s">
        <v>2682</v>
      </c>
      <c r="F12676" s="905" t="s">
        <v>45</v>
      </c>
      <c r="G12676" s="1005"/>
      <c r="H12676" s="911">
        <v>1</v>
      </c>
      <c r="I12676" s="912">
        <f>VLOOKUP(E12676,[3]VLP!$B$7:$K$300,10,0)</f>
        <v>5000</v>
      </c>
      <c r="J12676" s="912">
        <f>I12676*H12676</f>
        <v>5000</v>
      </c>
      <c r="K12676" s="912" t="s">
        <v>274</v>
      </c>
      <c r="L12676" s="912"/>
      <c r="M12676" s="912"/>
      <c r="N12676" s="912"/>
      <c r="O12676" s="892">
        <f t="shared" si="1017"/>
        <v>0</v>
      </c>
      <c r="P12676" s="903">
        <f t="shared" si="1014"/>
        <v>1</v>
      </c>
      <c r="Q12676" s="893">
        <f t="shared" si="1015"/>
        <v>6</v>
      </c>
      <c r="R12676" s="894">
        <f t="shared" si="1016"/>
        <v>0</v>
      </c>
    </row>
    <row r="12677" spans="1:18" s="904" customFormat="1">
      <c r="A12677" s="905"/>
      <c r="B12677" s="952"/>
      <c r="C12677" s="907">
        <v>699</v>
      </c>
      <c r="D12677" s="907" t="s">
        <v>279</v>
      </c>
      <c r="E12677" s="992" t="s">
        <v>4006</v>
      </c>
      <c r="F12677" s="905" t="s">
        <v>4007</v>
      </c>
      <c r="G12677" s="1005"/>
      <c r="H12677" s="911">
        <v>10</v>
      </c>
      <c r="I12677" s="912">
        <f>VLOOKUP(E12677,[3]VLP!$B$7:$K$300,10,0)</f>
        <v>5000</v>
      </c>
      <c r="J12677" s="912">
        <f>I12677*H12677</f>
        <v>50000</v>
      </c>
      <c r="K12677" s="912" t="s">
        <v>274</v>
      </c>
      <c r="L12677" s="912"/>
      <c r="M12677" s="912"/>
      <c r="N12677" s="912"/>
      <c r="O12677" s="892">
        <f t="shared" si="1017"/>
        <v>0</v>
      </c>
      <c r="P12677" s="903">
        <f t="shared" si="1014"/>
        <v>1</v>
      </c>
      <c r="Q12677" s="893">
        <f t="shared" si="1015"/>
        <v>5</v>
      </c>
      <c r="R12677" s="894">
        <f t="shared" si="1016"/>
        <v>0</v>
      </c>
    </row>
    <row r="12678" spans="1:18">
      <c r="A12678" s="895"/>
      <c r="B12678" s="896"/>
      <c r="C12678" s="897"/>
      <c r="D12678" s="897"/>
      <c r="E12678" s="1002" t="s">
        <v>276</v>
      </c>
      <c r="F12678" s="1003"/>
      <c r="G12678" s="1004"/>
      <c r="H12678" s="901"/>
      <c r="I12678" s="902"/>
      <c r="J12678" s="902"/>
      <c r="K12678" s="912" t="s">
        <v>274</v>
      </c>
      <c r="L12678" s="902"/>
      <c r="M12678" s="902"/>
      <c r="N12678" s="902"/>
      <c r="O12678" s="892">
        <f t="shared" si="1017"/>
        <v>0</v>
      </c>
      <c r="P12678" s="903">
        <f t="shared" si="1014"/>
        <v>1</v>
      </c>
      <c r="Q12678" s="893">
        <f t="shared" si="1015"/>
        <v>4</v>
      </c>
      <c r="R12678" s="894">
        <f t="shared" si="1016"/>
        <v>0</v>
      </c>
    </row>
    <row r="12679" spans="1:18">
      <c r="A12679" s="905"/>
      <c r="B12679" s="952"/>
      <c r="C12679" s="907">
        <v>745</v>
      </c>
      <c r="D12679" s="907" t="s">
        <v>12</v>
      </c>
      <c r="E12679" s="992" t="s">
        <v>5518</v>
      </c>
      <c r="F12679" s="905" t="s">
        <v>2674</v>
      </c>
      <c r="G12679" s="1005"/>
      <c r="H12679" s="911">
        <v>6.84</v>
      </c>
      <c r="I12679" s="912"/>
      <c r="J12679" s="912"/>
      <c r="K12679" s="912">
        <f>VLOOKUP(E12679,[5]ĐMNC!$A$7:$F$67,4,0)</f>
        <v>240557</v>
      </c>
      <c r="L12679" s="912">
        <f>H12679*K12679</f>
        <v>1645409.88</v>
      </c>
      <c r="M12679" s="912"/>
      <c r="N12679" s="912"/>
      <c r="O12679" s="892">
        <f t="shared" si="1017"/>
        <v>0</v>
      </c>
      <c r="P12679" s="903">
        <f t="shared" si="1014"/>
        <v>1</v>
      </c>
      <c r="Q12679" s="893">
        <f t="shared" si="1015"/>
        <v>3</v>
      </c>
      <c r="R12679" s="894">
        <f t="shared" si="1016"/>
        <v>0</v>
      </c>
    </row>
    <row r="12680" spans="1:18" s="904" customFormat="1">
      <c r="A12680" s="895"/>
      <c r="B12680" s="896"/>
      <c r="C12680" s="897"/>
      <c r="D12680" s="897"/>
      <c r="E12680" s="1002" t="s">
        <v>3914</v>
      </c>
      <c r="F12680" s="1003"/>
      <c r="G12680" s="1004"/>
      <c r="H12680" s="901"/>
      <c r="I12680" s="902"/>
      <c r="J12680" s="902"/>
      <c r="K12680" s="912" t="s">
        <v>274</v>
      </c>
      <c r="L12680" s="902"/>
      <c r="M12680" s="902"/>
      <c r="N12680" s="902"/>
      <c r="O12680" s="892">
        <f t="shared" si="1017"/>
        <v>0</v>
      </c>
      <c r="P12680" s="903">
        <f t="shared" si="1014"/>
        <v>1</v>
      </c>
      <c r="Q12680" s="893">
        <f t="shared" si="1015"/>
        <v>2</v>
      </c>
      <c r="R12680" s="894">
        <f t="shared" si="1016"/>
        <v>0</v>
      </c>
    </row>
    <row r="12681" spans="1:18">
      <c r="A12681" s="905"/>
      <c r="B12681" s="952" t="s">
        <v>4993</v>
      </c>
      <c r="C12681" s="907">
        <v>904</v>
      </c>
      <c r="D12681" s="907" t="s">
        <v>93</v>
      </c>
      <c r="E12681" s="992" t="s">
        <v>4994</v>
      </c>
      <c r="F12681" s="905" t="s">
        <v>2673</v>
      </c>
      <c r="G12681" s="1005"/>
      <c r="H12681" s="911">
        <v>0.25</v>
      </c>
      <c r="I12681" s="912"/>
      <c r="J12681" s="912"/>
      <c r="K12681" s="912"/>
      <c r="L12681" s="912"/>
      <c r="M12681" s="912">
        <f>VLOOKUP(B12681,MTC!$B$9:$S$933,12,0)</f>
        <v>1393090</v>
      </c>
      <c r="N12681" s="912">
        <f>M12681*H12681</f>
        <v>348272.5</v>
      </c>
      <c r="O12681" s="892">
        <f t="shared" si="1017"/>
        <v>0</v>
      </c>
      <c r="P12681" s="903">
        <f t="shared" si="1014"/>
        <v>1</v>
      </c>
      <c r="Q12681" s="893">
        <f t="shared" si="1015"/>
        <v>1</v>
      </c>
      <c r="R12681" s="894">
        <f t="shared" si="1016"/>
        <v>0</v>
      </c>
    </row>
    <row r="12682" spans="1:18" s="847" customFormat="1" ht="31.5">
      <c r="A12682" s="905" t="s">
        <v>7208</v>
      </c>
      <c r="B12682" s="914" t="s">
        <v>7209</v>
      </c>
      <c r="C12682" s="915"/>
      <c r="D12682" s="915"/>
      <c r="E12682" s="1006" t="s">
        <v>7210</v>
      </c>
      <c r="F12682" s="917" t="s">
        <v>159</v>
      </c>
      <c r="G12682" s="1008"/>
      <c r="H12682" s="919"/>
      <c r="I12682" s="920"/>
      <c r="J12682" s="891">
        <f>SUM(J12683:J12690)</f>
        <v>63500</v>
      </c>
      <c r="K12682" s="891"/>
      <c r="L12682" s="891">
        <f>SUM(L12683:L12690)</f>
        <v>923738.88</v>
      </c>
      <c r="M12682" s="891"/>
      <c r="N12682" s="891">
        <f>SUM(N12683:N12690)</f>
        <v>348272.5</v>
      </c>
      <c r="O12682" s="892">
        <f t="shared" si="1017"/>
        <v>1</v>
      </c>
      <c r="P12682" s="903">
        <f t="shared" ref="P12682:P12745" si="1018">IF(O12682=0,1,0)</f>
        <v>0</v>
      </c>
      <c r="Q12682" s="893">
        <f t="shared" ref="Q12682:Q12745" si="1019">IF(P12682=0,0,P12682+Q12683)</f>
        <v>0</v>
      </c>
      <c r="R12682" s="894">
        <f t="shared" ref="R12682:R12745" si="1020">IF(Q12682=0,Q12683,0)</f>
        <v>8</v>
      </c>
    </row>
    <row r="12683" spans="1:18" s="904" customFormat="1">
      <c r="A12683" s="895"/>
      <c r="B12683" s="896"/>
      <c r="C12683" s="897"/>
      <c r="D12683" s="897"/>
      <c r="E12683" s="1002" t="s">
        <v>108</v>
      </c>
      <c r="F12683" s="1003"/>
      <c r="G12683" s="1004"/>
      <c r="H12683" s="901"/>
      <c r="I12683" s="902"/>
      <c r="J12683" s="902"/>
      <c r="K12683" s="912" t="s">
        <v>274</v>
      </c>
      <c r="L12683" s="902"/>
      <c r="M12683" s="902"/>
      <c r="N12683" s="902"/>
      <c r="O12683" s="892">
        <f t="shared" si="1017"/>
        <v>0</v>
      </c>
      <c r="P12683" s="903">
        <f t="shared" si="1018"/>
        <v>1</v>
      </c>
      <c r="Q12683" s="893">
        <f t="shared" si="1019"/>
        <v>8</v>
      </c>
      <c r="R12683" s="894">
        <f t="shared" si="1020"/>
        <v>0</v>
      </c>
    </row>
    <row r="12684" spans="1:18">
      <c r="A12684" s="905"/>
      <c r="B12684" s="952"/>
      <c r="C12684" s="907">
        <v>212</v>
      </c>
      <c r="D12684" s="907" t="s">
        <v>279</v>
      </c>
      <c r="E12684" s="992" t="s">
        <v>2681</v>
      </c>
      <c r="F12684" s="905" t="s">
        <v>45</v>
      </c>
      <c r="G12684" s="1005"/>
      <c r="H12684" s="911">
        <v>0.5</v>
      </c>
      <c r="I12684" s="912">
        <f>VLOOKUP(E12684,[3]VLP!$B$7:$K$300,10,0)</f>
        <v>23000</v>
      </c>
      <c r="J12684" s="912">
        <f>I12684*H12684</f>
        <v>11500</v>
      </c>
      <c r="K12684" s="912" t="s">
        <v>274</v>
      </c>
      <c r="L12684" s="912"/>
      <c r="M12684" s="912"/>
      <c r="N12684" s="912"/>
      <c r="O12684" s="892">
        <f t="shared" si="1017"/>
        <v>0</v>
      </c>
      <c r="P12684" s="903">
        <f t="shared" si="1018"/>
        <v>1</v>
      </c>
      <c r="Q12684" s="893">
        <f t="shared" si="1019"/>
        <v>7</v>
      </c>
      <c r="R12684" s="894">
        <f t="shared" si="1020"/>
        <v>0</v>
      </c>
    </row>
    <row r="12685" spans="1:18">
      <c r="A12685" s="905"/>
      <c r="B12685" s="952"/>
      <c r="C12685" s="907">
        <v>235</v>
      </c>
      <c r="D12685" s="907" t="s">
        <v>279</v>
      </c>
      <c r="E12685" s="992" t="s">
        <v>2682</v>
      </c>
      <c r="F12685" s="905" t="s">
        <v>45</v>
      </c>
      <c r="G12685" s="1005"/>
      <c r="H12685" s="911">
        <v>0.4</v>
      </c>
      <c r="I12685" s="912">
        <f>VLOOKUP(E12685,[3]VLP!$B$7:$K$300,10,0)</f>
        <v>5000</v>
      </c>
      <c r="J12685" s="912">
        <f>I12685*H12685</f>
        <v>2000</v>
      </c>
      <c r="K12685" s="912" t="s">
        <v>274</v>
      </c>
      <c r="L12685" s="912"/>
      <c r="M12685" s="912"/>
      <c r="N12685" s="912"/>
      <c r="O12685" s="892">
        <f t="shared" si="1017"/>
        <v>0</v>
      </c>
      <c r="P12685" s="903">
        <f t="shared" si="1018"/>
        <v>1</v>
      </c>
      <c r="Q12685" s="893">
        <f t="shared" si="1019"/>
        <v>6</v>
      </c>
      <c r="R12685" s="894">
        <f t="shared" si="1020"/>
        <v>0</v>
      </c>
    </row>
    <row r="12686" spans="1:18" s="904" customFormat="1">
      <c r="A12686" s="905"/>
      <c r="B12686" s="952"/>
      <c r="C12686" s="907">
        <v>699</v>
      </c>
      <c r="D12686" s="907" t="s">
        <v>279</v>
      </c>
      <c r="E12686" s="992" t="s">
        <v>4006</v>
      </c>
      <c r="F12686" s="905" t="s">
        <v>4007</v>
      </c>
      <c r="G12686" s="1005"/>
      <c r="H12686" s="911">
        <v>10</v>
      </c>
      <c r="I12686" s="912">
        <f>VLOOKUP(E12686,[3]VLP!$B$7:$K$300,10,0)</f>
        <v>5000</v>
      </c>
      <c r="J12686" s="912">
        <f>I12686*H12686</f>
        <v>50000</v>
      </c>
      <c r="K12686" s="912" t="s">
        <v>274</v>
      </c>
      <c r="L12686" s="912"/>
      <c r="M12686" s="912"/>
      <c r="N12686" s="912"/>
      <c r="O12686" s="892">
        <f t="shared" si="1017"/>
        <v>0</v>
      </c>
      <c r="P12686" s="903">
        <f t="shared" si="1018"/>
        <v>1</v>
      </c>
      <c r="Q12686" s="893">
        <f t="shared" si="1019"/>
        <v>5</v>
      </c>
      <c r="R12686" s="894">
        <f t="shared" si="1020"/>
        <v>0</v>
      </c>
    </row>
    <row r="12687" spans="1:18">
      <c r="A12687" s="895"/>
      <c r="B12687" s="896"/>
      <c r="C12687" s="897"/>
      <c r="D12687" s="897"/>
      <c r="E12687" s="1002" t="s">
        <v>276</v>
      </c>
      <c r="F12687" s="1003"/>
      <c r="G12687" s="1004"/>
      <c r="H12687" s="901"/>
      <c r="I12687" s="902"/>
      <c r="J12687" s="902"/>
      <c r="K12687" s="912" t="s">
        <v>274</v>
      </c>
      <c r="L12687" s="902"/>
      <c r="M12687" s="902"/>
      <c r="N12687" s="902"/>
      <c r="O12687" s="892">
        <f t="shared" si="1017"/>
        <v>0</v>
      </c>
      <c r="P12687" s="903">
        <f t="shared" si="1018"/>
        <v>1</v>
      </c>
      <c r="Q12687" s="893">
        <f t="shared" si="1019"/>
        <v>4</v>
      </c>
      <c r="R12687" s="894">
        <f t="shared" si="1020"/>
        <v>0</v>
      </c>
    </row>
    <row r="12688" spans="1:18" s="847" customFormat="1">
      <c r="A12688" s="905"/>
      <c r="B12688" s="952"/>
      <c r="C12688" s="907">
        <v>745</v>
      </c>
      <c r="D12688" s="907" t="s">
        <v>12</v>
      </c>
      <c r="E12688" s="992" t="s">
        <v>5518</v>
      </c>
      <c r="F12688" s="905" t="s">
        <v>2674</v>
      </c>
      <c r="G12688" s="1005"/>
      <c r="H12688" s="911">
        <v>3.84</v>
      </c>
      <c r="I12688" s="912"/>
      <c r="J12688" s="912"/>
      <c r="K12688" s="912">
        <f>VLOOKUP(E12688,[5]ĐMNC!$A$7:$F$67,4,0)</f>
        <v>240557</v>
      </c>
      <c r="L12688" s="912">
        <f>H12688*K12688</f>
        <v>923738.88</v>
      </c>
      <c r="M12688" s="912"/>
      <c r="N12688" s="912"/>
      <c r="O12688" s="892">
        <f t="shared" si="1017"/>
        <v>0</v>
      </c>
      <c r="P12688" s="903">
        <f t="shared" si="1018"/>
        <v>1</v>
      </c>
      <c r="Q12688" s="893">
        <f t="shared" si="1019"/>
        <v>3</v>
      </c>
      <c r="R12688" s="894">
        <f t="shared" si="1020"/>
        <v>0</v>
      </c>
    </row>
    <row r="12689" spans="1:18" s="904" customFormat="1">
      <c r="A12689" s="895"/>
      <c r="B12689" s="896"/>
      <c r="C12689" s="897"/>
      <c r="D12689" s="897"/>
      <c r="E12689" s="1002" t="s">
        <v>3914</v>
      </c>
      <c r="F12689" s="1003"/>
      <c r="G12689" s="1004"/>
      <c r="H12689" s="901"/>
      <c r="I12689" s="902"/>
      <c r="J12689" s="902"/>
      <c r="K12689" s="912" t="s">
        <v>274</v>
      </c>
      <c r="L12689" s="902"/>
      <c r="M12689" s="902"/>
      <c r="N12689" s="902"/>
      <c r="O12689" s="892">
        <f t="shared" si="1017"/>
        <v>0</v>
      </c>
      <c r="P12689" s="903">
        <f t="shared" si="1018"/>
        <v>1</v>
      </c>
      <c r="Q12689" s="893">
        <f t="shared" si="1019"/>
        <v>2</v>
      </c>
      <c r="R12689" s="894">
        <f t="shared" si="1020"/>
        <v>0</v>
      </c>
    </row>
    <row r="12690" spans="1:18">
      <c r="A12690" s="905"/>
      <c r="B12690" s="952" t="s">
        <v>4993</v>
      </c>
      <c r="C12690" s="907">
        <v>904</v>
      </c>
      <c r="D12690" s="907" t="s">
        <v>93</v>
      </c>
      <c r="E12690" s="992" t="s">
        <v>4994</v>
      </c>
      <c r="F12690" s="905" t="s">
        <v>2673</v>
      </c>
      <c r="G12690" s="1005"/>
      <c r="H12690" s="911">
        <v>0.25</v>
      </c>
      <c r="I12690" s="912"/>
      <c r="J12690" s="912"/>
      <c r="K12690" s="912"/>
      <c r="L12690" s="912"/>
      <c r="M12690" s="912">
        <f>VLOOKUP(B12690,MTC!$B$9:$S$933,12,0)</f>
        <v>1393090</v>
      </c>
      <c r="N12690" s="912">
        <f>M12690*H12690</f>
        <v>348272.5</v>
      </c>
      <c r="O12690" s="892">
        <f t="shared" si="1017"/>
        <v>0</v>
      </c>
      <c r="P12690" s="903">
        <f t="shared" si="1018"/>
        <v>1</v>
      </c>
      <c r="Q12690" s="893">
        <f t="shared" si="1019"/>
        <v>1</v>
      </c>
      <c r="R12690" s="894">
        <f t="shared" si="1020"/>
        <v>0</v>
      </c>
    </row>
    <row r="12691" spans="1:18" ht="31.5">
      <c r="A12691" s="905">
        <v>700</v>
      </c>
      <c r="B12691" s="914" t="s">
        <v>7211</v>
      </c>
      <c r="C12691" s="915"/>
      <c r="D12691" s="915"/>
      <c r="E12691" s="1006" t="s">
        <v>7212</v>
      </c>
      <c r="F12691" s="917" t="s">
        <v>159</v>
      </c>
      <c r="G12691" s="1008"/>
      <c r="H12691" s="919"/>
      <c r="I12691" s="920"/>
      <c r="J12691" s="891">
        <f>SUM(J12692:J12699)</f>
        <v>66300</v>
      </c>
      <c r="K12691" s="891"/>
      <c r="L12691" s="891">
        <f>SUM(L12692:L12699)</f>
        <v>1108967.77</v>
      </c>
      <c r="M12691" s="891"/>
      <c r="N12691" s="891">
        <f>SUM(N12692:N12699)</f>
        <v>348272.5</v>
      </c>
      <c r="O12691" s="892">
        <f t="shared" si="1017"/>
        <v>1</v>
      </c>
      <c r="P12691" s="903">
        <f t="shared" si="1018"/>
        <v>0</v>
      </c>
      <c r="Q12691" s="893">
        <f t="shared" si="1019"/>
        <v>0</v>
      </c>
      <c r="R12691" s="894">
        <f t="shared" si="1020"/>
        <v>8</v>
      </c>
    </row>
    <row r="12692" spans="1:18" s="904" customFormat="1">
      <c r="A12692" s="895"/>
      <c r="B12692" s="896"/>
      <c r="C12692" s="897"/>
      <c r="D12692" s="897"/>
      <c r="E12692" s="1002" t="s">
        <v>108</v>
      </c>
      <c r="F12692" s="1003"/>
      <c r="G12692" s="1004"/>
      <c r="H12692" s="901"/>
      <c r="I12692" s="902"/>
      <c r="J12692" s="902"/>
      <c r="K12692" s="912" t="s">
        <v>274</v>
      </c>
      <c r="L12692" s="902"/>
      <c r="M12692" s="902"/>
      <c r="N12692" s="902"/>
      <c r="O12692" s="892">
        <f t="shared" si="1017"/>
        <v>0</v>
      </c>
      <c r="P12692" s="903">
        <f t="shared" si="1018"/>
        <v>1</v>
      </c>
      <c r="Q12692" s="893">
        <f t="shared" si="1019"/>
        <v>8</v>
      </c>
      <c r="R12692" s="894">
        <f t="shared" si="1020"/>
        <v>0</v>
      </c>
    </row>
    <row r="12693" spans="1:18">
      <c r="A12693" s="905"/>
      <c r="B12693" s="952"/>
      <c r="C12693" s="907">
        <v>212</v>
      </c>
      <c r="D12693" s="907" t="s">
        <v>279</v>
      </c>
      <c r="E12693" s="992" t="s">
        <v>2681</v>
      </c>
      <c r="F12693" s="905" t="s">
        <v>45</v>
      </c>
      <c r="G12693" s="1005"/>
      <c r="H12693" s="911">
        <v>0.6</v>
      </c>
      <c r="I12693" s="912">
        <f>VLOOKUP(E12693,[3]VLP!$B$7:$K$300,10,0)</f>
        <v>23000</v>
      </c>
      <c r="J12693" s="912">
        <f>I12693*H12693</f>
        <v>13800</v>
      </c>
      <c r="K12693" s="912" t="s">
        <v>274</v>
      </c>
      <c r="L12693" s="912"/>
      <c r="M12693" s="912"/>
      <c r="N12693" s="912"/>
      <c r="O12693" s="892">
        <f t="shared" si="1017"/>
        <v>0</v>
      </c>
      <c r="P12693" s="903">
        <f t="shared" si="1018"/>
        <v>1</v>
      </c>
      <c r="Q12693" s="893">
        <f t="shared" si="1019"/>
        <v>7</v>
      </c>
      <c r="R12693" s="894">
        <f t="shared" si="1020"/>
        <v>0</v>
      </c>
    </row>
    <row r="12694" spans="1:18" s="847" customFormat="1">
      <c r="A12694" s="905"/>
      <c r="B12694" s="952"/>
      <c r="C12694" s="907">
        <v>235</v>
      </c>
      <c r="D12694" s="907" t="s">
        <v>279</v>
      </c>
      <c r="E12694" s="992" t="s">
        <v>2682</v>
      </c>
      <c r="F12694" s="905" t="s">
        <v>45</v>
      </c>
      <c r="G12694" s="1005"/>
      <c r="H12694" s="911">
        <v>0.5</v>
      </c>
      <c r="I12694" s="912">
        <f>VLOOKUP(E12694,[3]VLP!$B$7:$K$300,10,0)</f>
        <v>5000</v>
      </c>
      <c r="J12694" s="912">
        <f>I12694*H12694</f>
        <v>2500</v>
      </c>
      <c r="K12694" s="912" t="s">
        <v>274</v>
      </c>
      <c r="L12694" s="912"/>
      <c r="M12694" s="912"/>
      <c r="N12694" s="912"/>
      <c r="O12694" s="892">
        <f t="shared" si="1017"/>
        <v>0</v>
      </c>
      <c r="P12694" s="903">
        <f t="shared" si="1018"/>
        <v>1</v>
      </c>
      <c r="Q12694" s="893">
        <f t="shared" si="1019"/>
        <v>6</v>
      </c>
      <c r="R12694" s="894">
        <f t="shared" si="1020"/>
        <v>0</v>
      </c>
    </row>
    <row r="12695" spans="1:18" s="904" customFormat="1">
      <c r="A12695" s="905"/>
      <c r="B12695" s="952"/>
      <c r="C12695" s="907">
        <v>699</v>
      </c>
      <c r="D12695" s="907" t="s">
        <v>279</v>
      </c>
      <c r="E12695" s="992" t="s">
        <v>4006</v>
      </c>
      <c r="F12695" s="905" t="s">
        <v>4007</v>
      </c>
      <c r="G12695" s="1005"/>
      <c r="H12695" s="911">
        <v>10</v>
      </c>
      <c r="I12695" s="912">
        <f>VLOOKUP(E12695,[3]VLP!$B$7:$K$300,10,0)</f>
        <v>5000</v>
      </c>
      <c r="J12695" s="912">
        <f>I12695*H12695</f>
        <v>50000</v>
      </c>
      <c r="K12695" s="912" t="s">
        <v>274</v>
      </c>
      <c r="L12695" s="912"/>
      <c r="M12695" s="912"/>
      <c r="N12695" s="912"/>
      <c r="O12695" s="892">
        <f t="shared" si="1017"/>
        <v>0</v>
      </c>
      <c r="P12695" s="903">
        <f t="shared" si="1018"/>
        <v>1</v>
      </c>
      <c r="Q12695" s="893">
        <f t="shared" si="1019"/>
        <v>5</v>
      </c>
      <c r="R12695" s="894">
        <f t="shared" si="1020"/>
        <v>0</v>
      </c>
    </row>
    <row r="12696" spans="1:18">
      <c r="A12696" s="895"/>
      <c r="B12696" s="896"/>
      <c r="C12696" s="897"/>
      <c r="D12696" s="897"/>
      <c r="E12696" s="1002" t="s">
        <v>276</v>
      </c>
      <c r="F12696" s="1003"/>
      <c r="G12696" s="1004"/>
      <c r="H12696" s="901"/>
      <c r="I12696" s="902"/>
      <c r="J12696" s="902"/>
      <c r="K12696" s="912" t="s">
        <v>274</v>
      </c>
      <c r="L12696" s="902"/>
      <c r="M12696" s="902"/>
      <c r="N12696" s="902"/>
      <c r="O12696" s="892">
        <f t="shared" si="1017"/>
        <v>0</v>
      </c>
      <c r="P12696" s="903">
        <f t="shared" si="1018"/>
        <v>1</v>
      </c>
      <c r="Q12696" s="893">
        <f t="shared" si="1019"/>
        <v>4</v>
      </c>
      <c r="R12696" s="894">
        <f t="shared" si="1020"/>
        <v>0</v>
      </c>
    </row>
    <row r="12697" spans="1:18">
      <c r="A12697" s="905"/>
      <c r="B12697" s="952"/>
      <c r="C12697" s="907">
        <v>745</v>
      </c>
      <c r="D12697" s="907" t="s">
        <v>12</v>
      </c>
      <c r="E12697" s="992" t="s">
        <v>5518</v>
      </c>
      <c r="F12697" s="905" t="s">
        <v>2674</v>
      </c>
      <c r="G12697" s="1005"/>
      <c r="H12697" s="911">
        <v>4.6100000000000003</v>
      </c>
      <c r="I12697" s="912"/>
      <c r="J12697" s="912"/>
      <c r="K12697" s="912">
        <f>VLOOKUP(E12697,[5]ĐMNC!$A$7:$F$67,4,0)</f>
        <v>240557</v>
      </c>
      <c r="L12697" s="912">
        <f>H12697*K12697</f>
        <v>1108967.77</v>
      </c>
      <c r="M12697" s="912"/>
      <c r="N12697" s="912"/>
      <c r="O12697" s="892">
        <f t="shared" si="1017"/>
        <v>0</v>
      </c>
      <c r="P12697" s="903">
        <f t="shared" si="1018"/>
        <v>1</v>
      </c>
      <c r="Q12697" s="893">
        <f t="shared" si="1019"/>
        <v>3</v>
      </c>
      <c r="R12697" s="894">
        <f t="shared" si="1020"/>
        <v>0</v>
      </c>
    </row>
    <row r="12698" spans="1:18" s="904" customFormat="1">
      <c r="A12698" s="895"/>
      <c r="B12698" s="896"/>
      <c r="C12698" s="897"/>
      <c r="D12698" s="897"/>
      <c r="E12698" s="1002" t="s">
        <v>3914</v>
      </c>
      <c r="F12698" s="1003"/>
      <c r="G12698" s="1004"/>
      <c r="H12698" s="901"/>
      <c r="I12698" s="902"/>
      <c r="J12698" s="902"/>
      <c r="K12698" s="912" t="s">
        <v>274</v>
      </c>
      <c r="L12698" s="902"/>
      <c r="M12698" s="902"/>
      <c r="N12698" s="902"/>
      <c r="O12698" s="892">
        <f t="shared" si="1017"/>
        <v>0</v>
      </c>
      <c r="P12698" s="903">
        <f t="shared" si="1018"/>
        <v>1</v>
      </c>
      <c r="Q12698" s="893">
        <f t="shared" si="1019"/>
        <v>2</v>
      </c>
      <c r="R12698" s="894">
        <f t="shared" si="1020"/>
        <v>0</v>
      </c>
    </row>
    <row r="12699" spans="1:18">
      <c r="A12699" s="905"/>
      <c r="B12699" s="952" t="s">
        <v>4993</v>
      </c>
      <c r="C12699" s="907">
        <v>904</v>
      </c>
      <c r="D12699" s="907" t="s">
        <v>93</v>
      </c>
      <c r="E12699" s="992" t="s">
        <v>4994</v>
      </c>
      <c r="F12699" s="905" t="s">
        <v>2673</v>
      </c>
      <c r="G12699" s="1005"/>
      <c r="H12699" s="911">
        <v>0.25</v>
      </c>
      <c r="I12699" s="912"/>
      <c r="J12699" s="912"/>
      <c r="K12699" s="912"/>
      <c r="L12699" s="912"/>
      <c r="M12699" s="912">
        <f>VLOOKUP(B12699,MTC!$B$9:$S$933,12,0)</f>
        <v>1393090</v>
      </c>
      <c r="N12699" s="912">
        <f>M12699*H12699</f>
        <v>348272.5</v>
      </c>
      <c r="O12699" s="892">
        <f t="shared" si="1017"/>
        <v>0</v>
      </c>
      <c r="P12699" s="903">
        <f t="shared" si="1018"/>
        <v>1</v>
      </c>
      <c r="Q12699" s="893">
        <f t="shared" si="1019"/>
        <v>1</v>
      </c>
      <c r="R12699" s="894">
        <f t="shared" si="1020"/>
        <v>0</v>
      </c>
    </row>
    <row r="12700" spans="1:18" s="847" customFormat="1" ht="31.5">
      <c r="A12700" s="905">
        <v>701</v>
      </c>
      <c r="B12700" s="914" t="s">
        <v>7213</v>
      </c>
      <c r="C12700" s="915"/>
      <c r="D12700" s="915"/>
      <c r="E12700" s="1006" t="s">
        <v>7214</v>
      </c>
      <c r="F12700" s="917" t="s">
        <v>159</v>
      </c>
      <c r="G12700" s="1008"/>
      <c r="H12700" s="919"/>
      <c r="I12700" s="920"/>
      <c r="J12700" s="891">
        <f>SUM(J12701:J12708)</f>
        <v>66300</v>
      </c>
      <c r="K12700" s="891"/>
      <c r="L12700" s="891">
        <f>SUM(L12701:L12708)</f>
        <v>1294196.6599999999</v>
      </c>
      <c r="M12700" s="891"/>
      <c r="N12700" s="891">
        <f>SUM(N12701:N12708)</f>
        <v>348272.5</v>
      </c>
      <c r="O12700" s="892">
        <f t="shared" si="1017"/>
        <v>1</v>
      </c>
      <c r="P12700" s="903">
        <f t="shared" si="1018"/>
        <v>0</v>
      </c>
      <c r="Q12700" s="893">
        <f t="shared" si="1019"/>
        <v>0</v>
      </c>
      <c r="R12700" s="894">
        <f t="shared" si="1020"/>
        <v>8</v>
      </c>
    </row>
    <row r="12701" spans="1:18" s="904" customFormat="1">
      <c r="A12701" s="895"/>
      <c r="B12701" s="896"/>
      <c r="C12701" s="897"/>
      <c r="D12701" s="897"/>
      <c r="E12701" s="1002" t="s">
        <v>108</v>
      </c>
      <c r="F12701" s="1003"/>
      <c r="G12701" s="1004"/>
      <c r="H12701" s="901"/>
      <c r="I12701" s="902"/>
      <c r="J12701" s="902"/>
      <c r="K12701" s="912" t="s">
        <v>274</v>
      </c>
      <c r="L12701" s="902"/>
      <c r="M12701" s="902"/>
      <c r="N12701" s="902"/>
      <c r="O12701" s="892">
        <f t="shared" si="1017"/>
        <v>0</v>
      </c>
      <c r="P12701" s="903">
        <f t="shared" si="1018"/>
        <v>1</v>
      </c>
      <c r="Q12701" s="893">
        <f t="shared" si="1019"/>
        <v>8</v>
      </c>
      <c r="R12701" s="894">
        <f t="shared" si="1020"/>
        <v>0</v>
      </c>
    </row>
    <row r="12702" spans="1:18">
      <c r="A12702" s="905"/>
      <c r="B12702" s="952"/>
      <c r="C12702" s="907">
        <v>212</v>
      </c>
      <c r="D12702" s="907" t="s">
        <v>279</v>
      </c>
      <c r="E12702" s="992" t="s">
        <v>2681</v>
      </c>
      <c r="F12702" s="905" t="s">
        <v>45</v>
      </c>
      <c r="G12702" s="1005"/>
      <c r="H12702" s="911">
        <v>0.6</v>
      </c>
      <c r="I12702" s="912">
        <f>VLOOKUP(E12702,[3]VLP!$B$7:$K$300,10,0)</f>
        <v>23000</v>
      </c>
      <c r="J12702" s="912">
        <f>I12702*H12702</f>
        <v>13800</v>
      </c>
      <c r="K12702" s="912" t="s">
        <v>274</v>
      </c>
      <c r="L12702" s="912"/>
      <c r="M12702" s="912"/>
      <c r="N12702" s="912"/>
      <c r="O12702" s="892">
        <f t="shared" si="1017"/>
        <v>0</v>
      </c>
      <c r="P12702" s="903">
        <f t="shared" si="1018"/>
        <v>1</v>
      </c>
      <c r="Q12702" s="893">
        <f t="shared" si="1019"/>
        <v>7</v>
      </c>
      <c r="R12702" s="894">
        <f t="shared" si="1020"/>
        <v>0</v>
      </c>
    </row>
    <row r="12703" spans="1:18">
      <c r="A12703" s="905"/>
      <c r="B12703" s="952"/>
      <c r="C12703" s="907">
        <v>235</v>
      </c>
      <c r="D12703" s="907" t="s">
        <v>279</v>
      </c>
      <c r="E12703" s="992" t="s">
        <v>2682</v>
      </c>
      <c r="F12703" s="905" t="s">
        <v>45</v>
      </c>
      <c r="G12703" s="1005"/>
      <c r="H12703" s="911">
        <v>0.5</v>
      </c>
      <c r="I12703" s="912">
        <f>VLOOKUP(E12703,[3]VLP!$B$7:$K$300,10,0)</f>
        <v>5000</v>
      </c>
      <c r="J12703" s="912">
        <f>I12703*H12703</f>
        <v>2500</v>
      </c>
      <c r="K12703" s="912" t="s">
        <v>274</v>
      </c>
      <c r="L12703" s="912"/>
      <c r="M12703" s="912"/>
      <c r="N12703" s="912"/>
      <c r="O12703" s="892">
        <f t="shared" si="1017"/>
        <v>0</v>
      </c>
      <c r="P12703" s="903">
        <f t="shared" si="1018"/>
        <v>1</v>
      </c>
      <c r="Q12703" s="893">
        <f t="shared" si="1019"/>
        <v>6</v>
      </c>
      <c r="R12703" s="894">
        <f t="shared" si="1020"/>
        <v>0</v>
      </c>
    </row>
    <row r="12704" spans="1:18" s="904" customFormat="1">
      <c r="A12704" s="905"/>
      <c r="B12704" s="952"/>
      <c r="C12704" s="907">
        <v>699</v>
      </c>
      <c r="D12704" s="907" t="s">
        <v>279</v>
      </c>
      <c r="E12704" s="992" t="s">
        <v>4006</v>
      </c>
      <c r="F12704" s="905" t="s">
        <v>4007</v>
      </c>
      <c r="G12704" s="1005"/>
      <c r="H12704" s="911">
        <v>10</v>
      </c>
      <c r="I12704" s="912">
        <f>VLOOKUP(E12704,[3]VLP!$B$7:$K$300,10,0)</f>
        <v>5000</v>
      </c>
      <c r="J12704" s="912">
        <f>I12704*H12704</f>
        <v>50000</v>
      </c>
      <c r="K12704" s="912" t="s">
        <v>274</v>
      </c>
      <c r="L12704" s="912"/>
      <c r="M12704" s="912"/>
      <c r="N12704" s="912"/>
      <c r="O12704" s="892">
        <f t="shared" si="1017"/>
        <v>0</v>
      </c>
      <c r="P12704" s="903">
        <f t="shared" si="1018"/>
        <v>1</v>
      </c>
      <c r="Q12704" s="893">
        <f t="shared" si="1019"/>
        <v>5</v>
      </c>
      <c r="R12704" s="894">
        <f t="shared" si="1020"/>
        <v>0</v>
      </c>
    </row>
    <row r="12705" spans="1:18">
      <c r="A12705" s="895"/>
      <c r="B12705" s="896"/>
      <c r="C12705" s="897"/>
      <c r="D12705" s="897"/>
      <c r="E12705" s="1002" t="s">
        <v>276</v>
      </c>
      <c r="F12705" s="1003"/>
      <c r="G12705" s="1004"/>
      <c r="H12705" s="901"/>
      <c r="I12705" s="902"/>
      <c r="J12705" s="902"/>
      <c r="K12705" s="912" t="s">
        <v>274</v>
      </c>
      <c r="L12705" s="902"/>
      <c r="M12705" s="902"/>
      <c r="N12705" s="902"/>
      <c r="O12705" s="892">
        <f t="shared" si="1017"/>
        <v>0</v>
      </c>
      <c r="P12705" s="903">
        <f t="shared" si="1018"/>
        <v>1</v>
      </c>
      <c r="Q12705" s="893">
        <f t="shared" si="1019"/>
        <v>4</v>
      </c>
      <c r="R12705" s="894">
        <f t="shared" si="1020"/>
        <v>0</v>
      </c>
    </row>
    <row r="12706" spans="1:18" s="847" customFormat="1">
      <c r="A12706" s="905"/>
      <c r="B12706" s="952"/>
      <c r="C12706" s="907">
        <v>745</v>
      </c>
      <c r="D12706" s="907" t="s">
        <v>12</v>
      </c>
      <c r="E12706" s="992" t="s">
        <v>5518</v>
      </c>
      <c r="F12706" s="905" t="s">
        <v>2674</v>
      </c>
      <c r="G12706" s="1005"/>
      <c r="H12706" s="911">
        <v>5.38</v>
      </c>
      <c r="I12706" s="912"/>
      <c r="J12706" s="912"/>
      <c r="K12706" s="912">
        <f>VLOOKUP(E12706,[5]ĐMNC!$A$7:$F$67,4,0)</f>
        <v>240557</v>
      </c>
      <c r="L12706" s="912">
        <f>H12706*K12706</f>
        <v>1294196.6599999999</v>
      </c>
      <c r="M12706" s="912"/>
      <c r="N12706" s="912"/>
      <c r="O12706" s="892">
        <f t="shared" si="1017"/>
        <v>0</v>
      </c>
      <c r="P12706" s="903">
        <f t="shared" si="1018"/>
        <v>1</v>
      </c>
      <c r="Q12706" s="893">
        <f t="shared" si="1019"/>
        <v>3</v>
      </c>
      <c r="R12706" s="894">
        <f t="shared" si="1020"/>
        <v>0</v>
      </c>
    </row>
    <row r="12707" spans="1:18" s="904" customFormat="1">
      <c r="A12707" s="895"/>
      <c r="B12707" s="896"/>
      <c r="C12707" s="897"/>
      <c r="D12707" s="897"/>
      <c r="E12707" s="1002" t="s">
        <v>3914</v>
      </c>
      <c r="F12707" s="1003"/>
      <c r="G12707" s="1004"/>
      <c r="H12707" s="901"/>
      <c r="I12707" s="902"/>
      <c r="J12707" s="902"/>
      <c r="K12707" s="912" t="s">
        <v>274</v>
      </c>
      <c r="L12707" s="902"/>
      <c r="M12707" s="902"/>
      <c r="N12707" s="902"/>
      <c r="O12707" s="892">
        <f t="shared" si="1017"/>
        <v>0</v>
      </c>
      <c r="P12707" s="903">
        <f t="shared" si="1018"/>
        <v>1</v>
      </c>
      <c r="Q12707" s="893">
        <f t="shared" si="1019"/>
        <v>2</v>
      </c>
      <c r="R12707" s="894">
        <f t="shared" si="1020"/>
        <v>0</v>
      </c>
    </row>
    <row r="12708" spans="1:18">
      <c r="A12708" s="905"/>
      <c r="B12708" s="952" t="s">
        <v>4993</v>
      </c>
      <c r="C12708" s="907">
        <v>904</v>
      </c>
      <c r="D12708" s="907" t="s">
        <v>93</v>
      </c>
      <c r="E12708" s="992" t="s">
        <v>4994</v>
      </c>
      <c r="F12708" s="905" t="s">
        <v>2673</v>
      </c>
      <c r="G12708" s="1005"/>
      <c r="H12708" s="911">
        <v>0.25</v>
      </c>
      <c r="I12708" s="912"/>
      <c r="J12708" s="912"/>
      <c r="K12708" s="912"/>
      <c r="L12708" s="912"/>
      <c r="M12708" s="912">
        <f>VLOOKUP(B12708,MTC!$B$9:$S$933,12,0)</f>
        <v>1393090</v>
      </c>
      <c r="N12708" s="912">
        <f>M12708*H12708</f>
        <v>348272.5</v>
      </c>
      <c r="O12708" s="892">
        <f t="shared" si="1017"/>
        <v>0</v>
      </c>
      <c r="P12708" s="903">
        <f t="shared" si="1018"/>
        <v>1</v>
      </c>
      <c r="Q12708" s="893">
        <f t="shared" si="1019"/>
        <v>1</v>
      </c>
      <c r="R12708" s="894">
        <f t="shared" si="1020"/>
        <v>0</v>
      </c>
    </row>
    <row r="12709" spans="1:18" ht="31.5">
      <c r="A12709" s="905">
        <v>702</v>
      </c>
      <c r="B12709" s="914" t="s">
        <v>7215</v>
      </c>
      <c r="C12709" s="915"/>
      <c r="D12709" s="915"/>
      <c r="E12709" s="1006" t="s">
        <v>7216</v>
      </c>
      <c r="F12709" s="917" t="s">
        <v>159</v>
      </c>
      <c r="G12709" s="1008"/>
      <c r="H12709" s="919"/>
      <c r="I12709" s="920"/>
      <c r="J12709" s="891">
        <f>SUM(J12710:J12717)</f>
        <v>73400</v>
      </c>
      <c r="K12709" s="891"/>
      <c r="L12709" s="891">
        <f>SUM(L12710:L12717)</f>
        <v>1479425.55</v>
      </c>
      <c r="M12709" s="891"/>
      <c r="N12709" s="891">
        <f>SUM(N12710:N12717)</f>
        <v>348272.5</v>
      </c>
      <c r="O12709" s="892">
        <f t="shared" si="1017"/>
        <v>1</v>
      </c>
      <c r="P12709" s="903">
        <f t="shared" si="1018"/>
        <v>0</v>
      </c>
      <c r="Q12709" s="893">
        <f t="shared" si="1019"/>
        <v>0</v>
      </c>
      <c r="R12709" s="894">
        <f t="shared" si="1020"/>
        <v>8</v>
      </c>
    </row>
    <row r="12710" spans="1:18" s="904" customFormat="1">
      <c r="A12710" s="895"/>
      <c r="B12710" s="896"/>
      <c r="C12710" s="897"/>
      <c r="D12710" s="897"/>
      <c r="E12710" s="1002" t="s">
        <v>108</v>
      </c>
      <c r="F12710" s="1003"/>
      <c r="G12710" s="1004"/>
      <c r="H12710" s="901"/>
      <c r="I12710" s="902"/>
      <c r="J12710" s="902"/>
      <c r="K12710" s="912" t="s">
        <v>274</v>
      </c>
      <c r="L12710" s="902"/>
      <c r="M12710" s="902"/>
      <c r="N12710" s="902"/>
      <c r="O12710" s="892">
        <f t="shared" si="1017"/>
        <v>0</v>
      </c>
      <c r="P12710" s="903">
        <f t="shared" si="1018"/>
        <v>1</v>
      </c>
      <c r="Q12710" s="893">
        <f t="shared" si="1019"/>
        <v>8</v>
      </c>
      <c r="R12710" s="894">
        <f t="shared" si="1020"/>
        <v>0</v>
      </c>
    </row>
    <row r="12711" spans="1:18">
      <c r="A12711" s="905"/>
      <c r="B12711" s="952"/>
      <c r="C12711" s="907">
        <v>212</v>
      </c>
      <c r="D12711" s="907" t="s">
        <v>279</v>
      </c>
      <c r="E12711" s="992" t="s">
        <v>2681</v>
      </c>
      <c r="F12711" s="905" t="s">
        <v>45</v>
      </c>
      <c r="G12711" s="1005"/>
      <c r="H12711" s="911">
        <v>0.8</v>
      </c>
      <c r="I12711" s="912">
        <f>VLOOKUP(E12711,[3]VLP!$B$7:$K$300,10,0)</f>
        <v>23000</v>
      </c>
      <c r="J12711" s="912">
        <f>I12711*H12711</f>
        <v>18400</v>
      </c>
      <c r="K12711" s="912" t="s">
        <v>274</v>
      </c>
      <c r="L12711" s="912"/>
      <c r="M12711" s="912"/>
      <c r="N12711" s="912"/>
      <c r="O12711" s="892">
        <f t="shared" si="1017"/>
        <v>0</v>
      </c>
      <c r="P12711" s="903">
        <f t="shared" si="1018"/>
        <v>1</v>
      </c>
      <c r="Q12711" s="893">
        <f t="shared" si="1019"/>
        <v>7</v>
      </c>
      <c r="R12711" s="894">
        <f t="shared" si="1020"/>
        <v>0</v>
      </c>
    </row>
    <row r="12712" spans="1:18" s="847" customFormat="1">
      <c r="A12712" s="905"/>
      <c r="B12712" s="952"/>
      <c r="C12712" s="907">
        <v>235</v>
      </c>
      <c r="D12712" s="907" t="s">
        <v>279</v>
      </c>
      <c r="E12712" s="992" t="s">
        <v>2682</v>
      </c>
      <c r="F12712" s="905" t="s">
        <v>45</v>
      </c>
      <c r="G12712" s="1005"/>
      <c r="H12712" s="911">
        <v>1</v>
      </c>
      <c r="I12712" s="912">
        <f>VLOOKUP(E12712,[3]VLP!$B$7:$K$300,10,0)</f>
        <v>5000</v>
      </c>
      <c r="J12712" s="912">
        <f>I12712*H12712</f>
        <v>5000</v>
      </c>
      <c r="K12712" s="912" t="s">
        <v>274</v>
      </c>
      <c r="L12712" s="912"/>
      <c r="M12712" s="912"/>
      <c r="N12712" s="912"/>
      <c r="O12712" s="892">
        <f t="shared" si="1017"/>
        <v>0</v>
      </c>
      <c r="P12712" s="903">
        <f t="shared" si="1018"/>
        <v>1</v>
      </c>
      <c r="Q12712" s="893">
        <f t="shared" si="1019"/>
        <v>6</v>
      </c>
      <c r="R12712" s="894">
        <f t="shared" si="1020"/>
        <v>0</v>
      </c>
    </row>
    <row r="12713" spans="1:18" s="904" customFormat="1">
      <c r="A12713" s="905"/>
      <c r="B12713" s="952"/>
      <c r="C12713" s="907">
        <v>699</v>
      </c>
      <c r="D12713" s="907" t="s">
        <v>279</v>
      </c>
      <c r="E12713" s="992" t="s">
        <v>4006</v>
      </c>
      <c r="F12713" s="905" t="s">
        <v>4007</v>
      </c>
      <c r="G12713" s="1005"/>
      <c r="H12713" s="911">
        <v>10</v>
      </c>
      <c r="I12713" s="912">
        <f>VLOOKUP(E12713,[3]VLP!$B$7:$K$300,10,0)</f>
        <v>5000</v>
      </c>
      <c r="J12713" s="912">
        <f>I12713*H12713</f>
        <v>50000</v>
      </c>
      <c r="K12713" s="912" t="s">
        <v>274</v>
      </c>
      <c r="L12713" s="912"/>
      <c r="M12713" s="912"/>
      <c r="N12713" s="912"/>
      <c r="O12713" s="892">
        <f t="shared" si="1017"/>
        <v>0</v>
      </c>
      <c r="P12713" s="903">
        <f t="shared" si="1018"/>
        <v>1</v>
      </c>
      <c r="Q12713" s="893">
        <f t="shared" si="1019"/>
        <v>5</v>
      </c>
      <c r="R12713" s="894">
        <f t="shared" si="1020"/>
        <v>0</v>
      </c>
    </row>
    <row r="12714" spans="1:18">
      <c r="A12714" s="895"/>
      <c r="B12714" s="896"/>
      <c r="C12714" s="897"/>
      <c r="D12714" s="897"/>
      <c r="E12714" s="1002" t="s">
        <v>276</v>
      </c>
      <c r="F12714" s="1003"/>
      <c r="G12714" s="1004"/>
      <c r="H12714" s="901"/>
      <c r="I12714" s="902"/>
      <c r="J12714" s="902"/>
      <c r="K12714" s="912" t="s">
        <v>274</v>
      </c>
      <c r="L12714" s="902"/>
      <c r="M12714" s="902"/>
      <c r="N12714" s="902"/>
      <c r="O12714" s="892">
        <f t="shared" si="1017"/>
        <v>0</v>
      </c>
      <c r="P12714" s="903">
        <f t="shared" si="1018"/>
        <v>1</v>
      </c>
      <c r="Q12714" s="893">
        <f t="shared" si="1019"/>
        <v>4</v>
      </c>
      <c r="R12714" s="894">
        <f t="shared" si="1020"/>
        <v>0</v>
      </c>
    </row>
    <row r="12715" spans="1:18">
      <c r="A12715" s="905"/>
      <c r="B12715" s="952"/>
      <c r="C12715" s="907">
        <v>745</v>
      </c>
      <c r="D12715" s="907" t="s">
        <v>12</v>
      </c>
      <c r="E12715" s="992" t="s">
        <v>5518</v>
      </c>
      <c r="F12715" s="905" t="s">
        <v>2674</v>
      </c>
      <c r="G12715" s="1005"/>
      <c r="H12715" s="911">
        <v>6.15</v>
      </c>
      <c r="I12715" s="912"/>
      <c r="J12715" s="912"/>
      <c r="K12715" s="912">
        <f>VLOOKUP(E12715,[5]ĐMNC!$A$7:$F$67,4,0)</f>
        <v>240557</v>
      </c>
      <c r="L12715" s="912">
        <f>H12715*K12715</f>
        <v>1479425.55</v>
      </c>
      <c r="M12715" s="912"/>
      <c r="N12715" s="912"/>
      <c r="O12715" s="892">
        <f t="shared" si="1017"/>
        <v>0</v>
      </c>
      <c r="P12715" s="903">
        <f t="shared" si="1018"/>
        <v>1</v>
      </c>
      <c r="Q12715" s="893">
        <f t="shared" si="1019"/>
        <v>3</v>
      </c>
      <c r="R12715" s="894">
        <f t="shared" si="1020"/>
        <v>0</v>
      </c>
    </row>
    <row r="12716" spans="1:18" s="904" customFormat="1">
      <c r="A12716" s="895"/>
      <c r="B12716" s="896"/>
      <c r="C12716" s="897"/>
      <c r="D12716" s="897"/>
      <c r="E12716" s="1002" t="s">
        <v>3914</v>
      </c>
      <c r="F12716" s="1003"/>
      <c r="G12716" s="1004"/>
      <c r="H12716" s="901"/>
      <c r="I12716" s="902"/>
      <c r="J12716" s="902"/>
      <c r="K12716" s="912" t="s">
        <v>274</v>
      </c>
      <c r="L12716" s="902"/>
      <c r="M12716" s="902"/>
      <c r="N12716" s="902"/>
      <c r="O12716" s="892">
        <f t="shared" si="1017"/>
        <v>0</v>
      </c>
      <c r="P12716" s="903">
        <f t="shared" si="1018"/>
        <v>1</v>
      </c>
      <c r="Q12716" s="893">
        <f t="shared" si="1019"/>
        <v>2</v>
      </c>
      <c r="R12716" s="894">
        <f t="shared" si="1020"/>
        <v>0</v>
      </c>
    </row>
    <row r="12717" spans="1:18">
      <c r="A12717" s="905"/>
      <c r="B12717" s="952" t="s">
        <v>4993</v>
      </c>
      <c r="C12717" s="907">
        <v>904</v>
      </c>
      <c r="D12717" s="907" t="s">
        <v>93</v>
      </c>
      <c r="E12717" s="992" t="s">
        <v>4994</v>
      </c>
      <c r="F12717" s="905" t="s">
        <v>2673</v>
      </c>
      <c r="G12717" s="1005"/>
      <c r="H12717" s="911">
        <v>0.25</v>
      </c>
      <c r="I12717" s="912"/>
      <c r="J12717" s="912"/>
      <c r="K12717" s="912"/>
      <c r="L12717" s="912"/>
      <c r="M12717" s="912">
        <f>VLOOKUP(B12717,MTC!$B$9:$S$933,12,0)</f>
        <v>1393090</v>
      </c>
      <c r="N12717" s="912">
        <f>M12717*H12717</f>
        <v>348272.5</v>
      </c>
      <c r="O12717" s="892">
        <f t="shared" si="1017"/>
        <v>0</v>
      </c>
      <c r="P12717" s="903">
        <f t="shared" si="1018"/>
        <v>1</v>
      </c>
      <c r="Q12717" s="893">
        <f t="shared" si="1019"/>
        <v>1</v>
      </c>
      <c r="R12717" s="894">
        <f t="shared" si="1020"/>
        <v>0</v>
      </c>
    </row>
    <row r="12718" spans="1:18" s="847" customFormat="1">
      <c r="A12718" s="905" t="s">
        <v>7208</v>
      </c>
      <c r="B12718" s="914" t="s">
        <v>7217</v>
      </c>
      <c r="C12718" s="915"/>
      <c r="D12718" s="915"/>
      <c r="E12718" s="1006" t="s">
        <v>7218</v>
      </c>
      <c r="F12718" s="917" t="s">
        <v>159</v>
      </c>
      <c r="G12718" s="1008"/>
      <c r="H12718" s="919"/>
      <c r="I12718" s="920"/>
      <c r="J12718" s="891">
        <f>SUM(J12719:J12726)</f>
        <v>63500</v>
      </c>
      <c r="K12718" s="891"/>
      <c r="L12718" s="891">
        <f>SUM(L12719:L12726)</f>
        <v>1082506.5</v>
      </c>
      <c r="M12718" s="891"/>
      <c r="N12718" s="891">
        <f>SUM(N12719:N12726)</f>
        <v>348272.5</v>
      </c>
      <c r="O12718" s="892">
        <f t="shared" si="1017"/>
        <v>1</v>
      </c>
      <c r="P12718" s="903">
        <f t="shared" si="1018"/>
        <v>0</v>
      </c>
      <c r="Q12718" s="893">
        <f t="shared" si="1019"/>
        <v>0</v>
      </c>
      <c r="R12718" s="894">
        <f t="shared" si="1020"/>
        <v>8</v>
      </c>
    </row>
    <row r="12719" spans="1:18" s="904" customFormat="1">
      <c r="A12719" s="895"/>
      <c r="B12719" s="896"/>
      <c r="C12719" s="897"/>
      <c r="D12719" s="897"/>
      <c r="E12719" s="1002" t="s">
        <v>108</v>
      </c>
      <c r="F12719" s="1003"/>
      <c r="G12719" s="1004"/>
      <c r="H12719" s="901"/>
      <c r="I12719" s="902"/>
      <c r="J12719" s="902"/>
      <c r="K12719" s="912" t="s">
        <v>274</v>
      </c>
      <c r="L12719" s="902"/>
      <c r="M12719" s="902"/>
      <c r="N12719" s="902"/>
      <c r="O12719" s="892">
        <f t="shared" si="1017"/>
        <v>0</v>
      </c>
      <c r="P12719" s="903">
        <f t="shared" si="1018"/>
        <v>1</v>
      </c>
      <c r="Q12719" s="893">
        <f t="shared" si="1019"/>
        <v>8</v>
      </c>
      <c r="R12719" s="894">
        <f t="shared" si="1020"/>
        <v>0</v>
      </c>
    </row>
    <row r="12720" spans="1:18">
      <c r="A12720" s="905"/>
      <c r="B12720" s="952"/>
      <c r="C12720" s="907">
        <v>212</v>
      </c>
      <c r="D12720" s="907" t="s">
        <v>279</v>
      </c>
      <c r="E12720" s="992" t="s">
        <v>2681</v>
      </c>
      <c r="F12720" s="905" t="s">
        <v>45</v>
      </c>
      <c r="G12720" s="1005"/>
      <c r="H12720" s="911">
        <v>0.5</v>
      </c>
      <c r="I12720" s="912">
        <f>VLOOKUP(E12720,[3]VLP!$B$7:$K$300,10,0)</f>
        <v>23000</v>
      </c>
      <c r="J12720" s="912">
        <f>I12720*H12720</f>
        <v>11500</v>
      </c>
      <c r="K12720" s="912" t="s">
        <v>274</v>
      </c>
      <c r="L12720" s="912"/>
      <c r="M12720" s="912"/>
      <c r="N12720" s="912"/>
      <c r="O12720" s="892">
        <f t="shared" si="1017"/>
        <v>0</v>
      </c>
      <c r="P12720" s="903">
        <f t="shared" si="1018"/>
        <v>1</v>
      </c>
      <c r="Q12720" s="893">
        <f t="shared" si="1019"/>
        <v>7</v>
      </c>
      <c r="R12720" s="894">
        <f t="shared" si="1020"/>
        <v>0</v>
      </c>
    </row>
    <row r="12721" spans="1:18">
      <c r="A12721" s="905"/>
      <c r="B12721" s="952"/>
      <c r="C12721" s="907">
        <v>235</v>
      </c>
      <c r="D12721" s="907" t="s">
        <v>279</v>
      </c>
      <c r="E12721" s="992" t="s">
        <v>2682</v>
      </c>
      <c r="F12721" s="905" t="s">
        <v>45</v>
      </c>
      <c r="G12721" s="1005"/>
      <c r="H12721" s="911">
        <v>0.4</v>
      </c>
      <c r="I12721" s="912">
        <f>VLOOKUP(E12721,[3]VLP!$B$7:$K$300,10,0)</f>
        <v>5000</v>
      </c>
      <c r="J12721" s="912">
        <f>I12721*H12721</f>
        <v>2000</v>
      </c>
      <c r="K12721" s="912" t="s">
        <v>274</v>
      </c>
      <c r="L12721" s="912"/>
      <c r="M12721" s="912"/>
      <c r="N12721" s="912"/>
      <c r="O12721" s="892">
        <f t="shared" si="1017"/>
        <v>0</v>
      </c>
      <c r="P12721" s="903">
        <f t="shared" si="1018"/>
        <v>1</v>
      </c>
      <c r="Q12721" s="893">
        <f t="shared" si="1019"/>
        <v>6</v>
      </c>
      <c r="R12721" s="894">
        <f t="shared" si="1020"/>
        <v>0</v>
      </c>
    </row>
    <row r="12722" spans="1:18" s="904" customFormat="1">
      <c r="A12722" s="905"/>
      <c r="B12722" s="952"/>
      <c r="C12722" s="907">
        <v>699</v>
      </c>
      <c r="D12722" s="907" t="s">
        <v>279</v>
      </c>
      <c r="E12722" s="992" t="s">
        <v>4006</v>
      </c>
      <c r="F12722" s="905" t="s">
        <v>4007</v>
      </c>
      <c r="G12722" s="1005"/>
      <c r="H12722" s="911">
        <v>10</v>
      </c>
      <c r="I12722" s="912">
        <f>VLOOKUP(E12722,[3]VLP!$B$7:$K$300,10,0)</f>
        <v>5000</v>
      </c>
      <c r="J12722" s="912">
        <f>I12722*H12722</f>
        <v>50000</v>
      </c>
      <c r="K12722" s="912" t="s">
        <v>274</v>
      </c>
      <c r="L12722" s="912"/>
      <c r="M12722" s="912"/>
      <c r="N12722" s="912"/>
      <c r="O12722" s="892">
        <f t="shared" si="1017"/>
        <v>0</v>
      </c>
      <c r="P12722" s="903">
        <f t="shared" si="1018"/>
        <v>1</v>
      </c>
      <c r="Q12722" s="893">
        <f t="shared" si="1019"/>
        <v>5</v>
      </c>
      <c r="R12722" s="894">
        <f t="shared" si="1020"/>
        <v>0</v>
      </c>
    </row>
    <row r="12723" spans="1:18">
      <c r="A12723" s="895"/>
      <c r="B12723" s="896"/>
      <c r="C12723" s="897"/>
      <c r="D12723" s="897"/>
      <c r="E12723" s="1002" t="s">
        <v>276</v>
      </c>
      <c r="F12723" s="1003"/>
      <c r="G12723" s="1004"/>
      <c r="H12723" s="901"/>
      <c r="I12723" s="902"/>
      <c r="J12723" s="902"/>
      <c r="K12723" s="912" t="s">
        <v>274</v>
      </c>
      <c r="L12723" s="902"/>
      <c r="M12723" s="902"/>
      <c r="N12723" s="902"/>
      <c r="O12723" s="892">
        <f t="shared" si="1017"/>
        <v>0</v>
      </c>
      <c r="P12723" s="903">
        <f t="shared" si="1018"/>
        <v>1</v>
      </c>
      <c r="Q12723" s="893">
        <f t="shared" si="1019"/>
        <v>4</v>
      </c>
      <c r="R12723" s="894">
        <f t="shared" si="1020"/>
        <v>0</v>
      </c>
    </row>
    <row r="12724" spans="1:18" s="847" customFormat="1">
      <c r="A12724" s="905"/>
      <c r="B12724" s="952"/>
      <c r="C12724" s="907">
        <v>745</v>
      </c>
      <c r="D12724" s="907" t="s">
        <v>12</v>
      </c>
      <c r="E12724" s="992" t="s">
        <v>5518</v>
      </c>
      <c r="F12724" s="905" t="s">
        <v>2674</v>
      </c>
      <c r="G12724" s="1005"/>
      <c r="H12724" s="911">
        <v>4.5</v>
      </c>
      <c r="I12724" s="912"/>
      <c r="J12724" s="912"/>
      <c r="K12724" s="912">
        <f>VLOOKUP(E12724,[5]ĐMNC!$A$7:$F$67,4,0)</f>
        <v>240557</v>
      </c>
      <c r="L12724" s="912">
        <f>H12724*K12724</f>
        <v>1082506.5</v>
      </c>
      <c r="M12724" s="912"/>
      <c r="N12724" s="912"/>
      <c r="O12724" s="892">
        <f t="shared" si="1017"/>
        <v>0</v>
      </c>
      <c r="P12724" s="903">
        <f t="shared" si="1018"/>
        <v>1</v>
      </c>
      <c r="Q12724" s="893">
        <f t="shared" si="1019"/>
        <v>3</v>
      </c>
      <c r="R12724" s="894">
        <f t="shared" si="1020"/>
        <v>0</v>
      </c>
    </row>
    <row r="12725" spans="1:18" s="904" customFormat="1">
      <c r="A12725" s="895"/>
      <c r="B12725" s="896"/>
      <c r="C12725" s="897"/>
      <c r="D12725" s="897"/>
      <c r="E12725" s="1002" t="s">
        <v>3914</v>
      </c>
      <c r="F12725" s="1003"/>
      <c r="G12725" s="1004"/>
      <c r="H12725" s="901"/>
      <c r="I12725" s="902"/>
      <c r="J12725" s="902"/>
      <c r="K12725" s="912" t="s">
        <v>274</v>
      </c>
      <c r="L12725" s="902"/>
      <c r="M12725" s="902"/>
      <c r="N12725" s="902"/>
      <c r="O12725" s="892">
        <f t="shared" si="1017"/>
        <v>0</v>
      </c>
      <c r="P12725" s="903">
        <f t="shared" si="1018"/>
        <v>1</v>
      </c>
      <c r="Q12725" s="893">
        <f t="shared" si="1019"/>
        <v>2</v>
      </c>
      <c r="R12725" s="894">
        <f t="shared" si="1020"/>
        <v>0</v>
      </c>
    </row>
    <row r="12726" spans="1:18">
      <c r="A12726" s="905"/>
      <c r="B12726" s="952" t="s">
        <v>4993</v>
      </c>
      <c r="C12726" s="907">
        <v>904</v>
      </c>
      <c r="D12726" s="907" t="s">
        <v>93</v>
      </c>
      <c r="E12726" s="992" t="s">
        <v>4994</v>
      </c>
      <c r="F12726" s="905" t="s">
        <v>2673</v>
      </c>
      <c r="G12726" s="1005"/>
      <c r="H12726" s="911">
        <v>0.25</v>
      </c>
      <c r="I12726" s="912"/>
      <c r="J12726" s="912"/>
      <c r="K12726" s="912"/>
      <c r="L12726" s="912"/>
      <c r="M12726" s="912">
        <f>VLOOKUP(B12726,MTC!$B$9:$S$933,12,0)</f>
        <v>1393090</v>
      </c>
      <c r="N12726" s="912">
        <f>M12726*H12726</f>
        <v>348272.5</v>
      </c>
      <c r="O12726" s="892">
        <f t="shared" ref="O12726:O12789" si="1021">IF(AND(B12726&lt;&gt;"",D12726=""),1,0)</f>
        <v>0</v>
      </c>
      <c r="P12726" s="903">
        <f t="shared" si="1018"/>
        <v>1</v>
      </c>
      <c r="Q12726" s="893">
        <f t="shared" si="1019"/>
        <v>1</v>
      </c>
      <c r="R12726" s="894">
        <f t="shared" si="1020"/>
        <v>0</v>
      </c>
    </row>
    <row r="12727" spans="1:18">
      <c r="A12727" s="905">
        <v>704</v>
      </c>
      <c r="B12727" s="914" t="s">
        <v>7219</v>
      </c>
      <c r="C12727" s="915"/>
      <c r="D12727" s="915"/>
      <c r="E12727" s="1006" t="s">
        <v>7220</v>
      </c>
      <c r="F12727" s="917" t="s">
        <v>159</v>
      </c>
      <c r="G12727" s="1008"/>
      <c r="H12727" s="919"/>
      <c r="I12727" s="920"/>
      <c r="J12727" s="891">
        <f>SUM(J12728:J12735)</f>
        <v>66300</v>
      </c>
      <c r="K12727" s="891"/>
      <c r="L12727" s="891">
        <f>SUM(L12728:L12735)</f>
        <v>1299007.8</v>
      </c>
      <c r="M12727" s="891"/>
      <c r="N12727" s="891">
        <f>SUM(N12728:N12735)</f>
        <v>348272.5</v>
      </c>
      <c r="O12727" s="892">
        <f t="shared" si="1021"/>
        <v>1</v>
      </c>
      <c r="P12727" s="903">
        <f t="shared" si="1018"/>
        <v>0</v>
      </c>
      <c r="Q12727" s="893">
        <f t="shared" si="1019"/>
        <v>0</v>
      </c>
      <c r="R12727" s="894">
        <f t="shared" si="1020"/>
        <v>8</v>
      </c>
    </row>
    <row r="12728" spans="1:18" s="904" customFormat="1">
      <c r="A12728" s="895"/>
      <c r="B12728" s="896"/>
      <c r="C12728" s="897"/>
      <c r="D12728" s="897"/>
      <c r="E12728" s="1002" t="s">
        <v>108</v>
      </c>
      <c r="F12728" s="1003"/>
      <c r="G12728" s="1004"/>
      <c r="H12728" s="901"/>
      <c r="I12728" s="902"/>
      <c r="J12728" s="902"/>
      <c r="K12728" s="912" t="s">
        <v>274</v>
      </c>
      <c r="L12728" s="902"/>
      <c r="M12728" s="902"/>
      <c r="N12728" s="902"/>
      <c r="O12728" s="892">
        <f t="shared" si="1021"/>
        <v>0</v>
      </c>
      <c r="P12728" s="903">
        <f t="shared" si="1018"/>
        <v>1</v>
      </c>
      <c r="Q12728" s="893">
        <f t="shared" si="1019"/>
        <v>8</v>
      </c>
      <c r="R12728" s="894">
        <f t="shared" si="1020"/>
        <v>0</v>
      </c>
    </row>
    <row r="12729" spans="1:18">
      <c r="A12729" s="905"/>
      <c r="B12729" s="952"/>
      <c r="C12729" s="907">
        <v>212</v>
      </c>
      <c r="D12729" s="907" t="s">
        <v>279</v>
      </c>
      <c r="E12729" s="992" t="s">
        <v>2681</v>
      </c>
      <c r="F12729" s="905" t="s">
        <v>45</v>
      </c>
      <c r="G12729" s="1005"/>
      <c r="H12729" s="911">
        <v>0.6</v>
      </c>
      <c r="I12729" s="912">
        <f>VLOOKUP(E12729,[3]VLP!$B$7:$K$300,10,0)</f>
        <v>23000</v>
      </c>
      <c r="J12729" s="912">
        <f>I12729*H12729</f>
        <v>13800</v>
      </c>
      <c r="K12729" s="912" t="s">
        <v>274</v>
      </c>
      <c r="L12729" s="912"/>
      <c r="M12729" s="912"/>
      <c r="N12729" s="912"/>
      <c r="O12729" s="892">
        <f t="shared" si="1021"/>
        <v>0</v>
      </c>
      <c r="P12729" s="903">
        <f t="shared" si="1018"/>
        <v>1</v>
      </c>
      <c r="Q12729" s="893">
        <f t="shared" si="1019"/>
        <v>7</v>
      </c>
      <c r="R12729" s="894">
        <f t="shared" si="1020"/>
        <v>0</v>
      </c>
    </row>
    <row r="12730" spans="1:18" s="847" customFormat="1">
      <c r="A12730" s="905"/>
      <c r="B12730" s="952"/>
      <c r="C12730" s="907">
        <v>235</v>
      </c>
      <c r="D12730" s="907" t="s">
        <v>279</v>
      </c>
      <c r="E12730" s="992" t="s">
        <v>2682</v>
      </c>
      <c r="F12730" s="905" t="s">
        <v>45</v>
      </c>
      <c r="G12730" s="1005"/>
      <c r="H12730" s="911">
        <v>0.5</v>
      </c>
      <c r="I12730" s="912">
        <f>VLOOKUP(E12730,[3]VLP!$B$7:$K$300,10,0)</f>
        <v>5000</v>
      </c>
      <c r="J12730" s="912">
        <f>I12730*H12730</f>
        <v>2500</v>
      </c>
      <c r="K12730" s="912" t="s">
        <v>274</v>
      </c>
      <c r="L12730" s="912"/>
      <c r="M12730" s="912"/>
      <c r="N12730" s="912"/>
      <c r="O12730" s="892">
        <f t="shared" si="1021"/>
        <v>0</v>
      </c>
      <c r="P12730" s="903">
        <f t="shared" si="1018"/>
        <v>1</v>
      </c>
      <c r="Q12730" s="893">
        <f t="shared" si="1019"/>
        <v>6</v>
      </c>
      <c r="R12730" s="894">
        <f t="shared" si="1020"/>
        <v>0</v>
      </c>
    </row>
    <row r="12731" spans="1:18" s="904" customFormat="1">
      <c r="A12731" s="905"/>
      <c r="B12731" s="952"/>
      <c r="C12731" s="907">
        <v>699</v>
      </c>
      <c r="D12731" s="907" t="s">
        <v>279</v>
      </c>
      <c r="E12731" s="992" t="s">
        <v>4006</v>
      </c>
      <c r="F12731" s="905" t="s">
        <v>4007</v>
      </c>
      <c r="G12731" s="1005"/>
      <c r="H12731" s="911">
        <v>10</v>
      </c>
      <c r="I12731" s="912">
        <f>VLOOKUP(E12731,[3]VLP!$B$7:$K$300,10,0)</f>
        <v>5000</v>
      </c>
      <c r="J12731" s="912">
        <f>I12731*H12731</f>
        <v>50000</v>
      </c>
      <c r="K12731" s="912" t="s">
        <v>274</v>
      </c>
      <c r="L12731" s="912"/>
      <c r="M12731" s="912"/>
      <c r="N12731" s="912"/>
      <c r="O12731" s="892">
        <f t="shared" si="1021"/>
        <v>0</v>
      </c>
      <c r="P12731" s="903">
        <f t="shared" si="1018"/>
        <v>1</v>
      </c>
      <c r="Q12731" s="893">
        <f t="shared" si="1019"/>
        <v>5</v>
      </c>
      <c r="R12731" s="894">
        <f t="shared" si="1020"/>
        <v>0</v>
      </c>
    </row>
    <row r="12732" spans="1:18">
      <c r="A12732" s="895"/>
      <c r="B12732" s="896"/>
      <c r="C12732" s="897"/>
      <c r="D12732" s="897"/>
      <c r="E12732" s="1002" t="s">
        <v>276</v>
      </c>
      <c r="F12732" s="1003"/>
      <c r="G12732" s="1004"/>
      <c r="H12732" s="901"/>
      <c r="I12732" s="902"/>
      <c r="J12732" s="902"/>
      <c r="K12732" s="912" t="s">
        <v>274</v>
      </c>
      <c r="L12732" s="902"/>
      <c r="M12732" s="902"/>
      <c r="N12732" s="902"/>
      <c r="O12732" s="892">
        <f t="shared" si="1021"/>
        <v>0</v>
      </c>
      <c r="P12732" s="903">
        <f t="shared" si="1018"/>
        <v>1</v>
      </c>
      <c r="Q12732" s="893">
        <f t="shared" si="1019"/>
        <v>4</v>
      </c>
      <c r="R12732" s="894">
        <f t="shared" si="1020"/>
        <v>0</v>
      </c>
    </row>
    <row r="12733" spans="1:18">
      <c r="A12733" s="905"/>
      <c r="B12733" s="952"/>
      <c r="C12733" s="907">
        <v>745</v>
      </c>
      <c r="D12733" s="907" t="s">
        <v>12</v>
      </c>
      <c r="E12733" s="992" t="s">
        <v>5518</v>
      </c>
      <c r="F12733" s="905" t="s">
        <v>2674</v>
      </c>
      <c r="G12733" s="1005"/>
      <c r="H12733" s="911">
        <v>5.4</v>
      </c>
      <c r="I12733" s="912"/>
      <c r="J12733" s="912"/>
      <c r="K12733" s="912">
        <f>VLOOKUP(E12733,[5]ĐMNC!$A$7:$F$67,4,0)</f>
        <v>240557</v>
      </c>
      <c r="L12733" s="912">
        <f>H12733*K12733</f>
        <v>1299007.8</v>
      </c>
      <c r="M12733" s="912"/>
      <c r="N12733" s="912"/>
      <c r="O12733" s="892">
        <f t="shared" si="1021"/>
        <v>0</v>
      </c>
      <c r="P12733" s="903">
        <f t="shared" si="1018"/>
        <v>1</v>
      </c>
      <c r="Q12733" s="893">
        <f t="shared" si="1019"/>
        <v>3</v>
      </c>
      <c r="R12733" s="894">
        <f t="shared" si="1020"/>
        <v>0</v>
      </c>
    </row>
    <row r="12734" spans="1:18" s="904" customFormat="1">
      <c r="A12734" s="895"/>
      <c r="B12734" s="896"/>
      <c r="C12734" s="897"/>
      <c r="D12734" s="897"/>
      <c r="E12734" s="1002" t="s">
        <v>3914</v>
      </c>
      <c r="F12734" s="1003"/>
      <c r="G12734" s="1004"/>
      <c r="H12734" s="901"/>
      <c r="I12734" s="902"/>
      <c r="J12734" s="902"/>
      <c r="K12734" s="912" t="s">
        <v>274</v>
      </c>
      <c r="L12734" s="902"/>
      <c r="M12734" s="902"/>
      <c r="N12734" s="902"/>
      <c r="O12734" s="892">
        <f t="shared" si="1021"/>
        <v>0</v>
      </c>
      <c r="P12734" s="903">
        <f t="shared" si="1018"/>
        <v>1</v>
      </c>
      <c r="Q12734" s="893">
        <f t="shared" si="1019"/>
        <v>2</v>
      </c>
      <c r="R12734" s="894">
        <f t="shared" si="1020"/>
        <v>0</v>
      </c>
    </row>
    <row r="12735" spans="1:18">
      <c r="A12735" s="905"/>
      <c r="B12735" s="952" t="s">
        <v>4993</v>
      </c>
      <c r="C12735" s="907">
        <v>904</v>
      </c>
      <c r="D12735" s="907" t="s">
        <v>93</v>
      </c>
      <c r="E12735" s="992" t="s">
        <v>4994</v>
      </c>
      <c r="F12735" s="905" t="s">
        <v>2673</v>
      </c>
      <c r="G12735" s="1005"/>
      <c r="H12735" s="911">
        <v>0.25</v>
      </c>
      <c r="I12735" s="912"/>
      <c r="J12735" s="912"/>
      <c r="K12735" s="912"/>
      <c r="L12735" s="912"/>
      <c r="M12735" s="912">
        <f>VLOOKUP(B12735,MTC!$B$9:$S$933,12,0)</f>
        <v>1393090</v>
      </c>
      <c r="N12735" s="912">
        <f>M12735*H12735</f>
        <v>348272.5</v>
      </c>
      <c r="O12735" s="892">
        <f t="shared" si="1021"/>
        <v>0</v>
      </c>
      <c r="P12735" s="903">
        <f t="shared" si="1018"/>
        <v>1</v>
      </c>
      <c r="Q12735" s="893">
        <f t="shared" si="1019"/>
        <v>1</v>
      </c>
      <c r="R12735" s="894">
        <f t="shared" si="1020"/>
        <v>0</v>
      </c>
    </row>
    <row r="12736" spans="1:18" s="847" customFormat="1">
      <c r="A12736" s="905">
        <v>705</v>
      </c>
      <c r="B12736" s="914" t="s">
        <v>7221</v>
      </c>
      <c r="C12736" s="915"/>
      <c r="D12736" s="915"/>
      <c r="E12736" s="1006" t="s">
        <v>7222</v>
      </c>
      <c r="F12736" s="917" t="s">
        <v>159</v>
      </c>
      <c r="G12736" s="1008"/>
      <c r="H12736" s="919"/>
      <c r="I12736" s="920"/>
      <c r="J12736" s="891">
        <f>SUM(J12737:J12744)</f>
        <v>66300</v>
      </c>
      <c r="K12736" s="891"/>
      <c r="L12736" s="891">
        <f>SUM(L12737:L12744)</f>
        <v>1515509.0999999999</v>
      </c>
      <c r="M12736" s="891"/>
      <c r="N12736" s="891">
        <f>SUM(N12737:N12744)</f>
        <v>348272.5</v>
      </c>
      <c r="O12736" s="892">
        <f t="shared" si="1021"/>
        <v>1</v>
      </c>
      <c r="P12736" s="903">
        <f t="shared" si="1018"/>
        <v>0</v>
      </c>
      <c r="Q12736" s="893">
        <f t="shared" si="1019"/>
        <v>0</v>
      </c>
      <c r="R12736" s="894">
        <f t="shared" si="1020"/>
        <v>8</v>
      </c>
    </row>
    <row r="12737" spans="1:18" s="904" customFormat="1">
      <c r="A12737" s="895"/>
      <c r="B12737" s="896"/>
      <c r="C12737" s="897"/>
      <c r="D12737" s="897"/>
      <c r="E12737" s="1002" t="s">
        <v>108</v>
      </c>
      <c r="F12737" s="1003"/>
      <c r="G12737" s="1004"/>
      <c r="H12737" s="901"/>
      <c r="I12737" s="902"/>
      <c r="J12737" s="902"/>
      <c r="K12737" s="912" t="s">
        <v>274</v>
      </c>
      <c r="L12737" s="902"/>
      <c r="M12737" s="902"/>
      <c r="N12737" s="902"/>
      <c r="O12737" s="892">
        <f t="shared" si="1021"/>
        <v>0</v>
      </c>
      <c r="P12737" s="903">
        <f t="shared" si="1018"/>
        <v>1</v>
      </c>
      <c r="Q12737" s="893">
        <f t="shared" si="1019"/>
        <v>8</v>
      </c>
      <c r="R12737" s="894">
        <f t="shared" si="1020"/>
        <v>0</v>
      </c>
    </row>
    <row r="12738" spans="1:18">
      <c r="A12738" s="905"/>
      <c r="B12738" s="952"/>
      <c r="C12738" s="907">
        <v>212</v>
      </c>
      <c r="D12738" s="907" t="s">
        <v>279</v>
      </c>
      <c r="E12738" s="992" t="s">
        <v>2681</v>
      </c>
      <c r="F12738" s="905" t="s">
        <v>45</v>
      </c>
      <c r="G12738" s="1005"/>
      <c r="H12738" s="911">
        <v>0.6</v>
      </c>
      <c r="I12738" s="912">
        <f>VLOOKUP(E12738,[3]VLP!$B$7:$K$300,10,0)</f>
        <v>23000</v>
      </c>
      <c r="J12738" s="912">
        <f>I12738*H12738</f>
        <v>13800</v>
      </c>
      <c r="K12738" s="912" t="s">
        <v>274</v>
      </c>
      <c r="L12738" s="912"/>
      <c r="M12738" s="912"/>
      <c r="N12738" s="912"/>
      <c r="O12738" s="892">
        <f t="shared" si="1021"/>
        <v>0</v>
      </c>
      <c r="P12738" s="903">
        <f t="shared" si="1018"/>
        <v>1</v>
      </c>
      <c r="Q12738" s="893">
        <f t="shared" si="1019"/>
        <v>7</v>
      </c>
      <c r="R12738" s="894">
        <f t="shared" si="1020"/>
        <v>0</v>
      </c>
    </row>
    <row r="12739" spans="1:18">
      <c r="A12739" s="905"/>
      <c r="B12739" s="952"/>
      <c r="C12739" s="907">
        <v>235</v>
      </c>
      <c r="D12739" s="907" t="s">
        <v>279</v>
      </c>
      <c r="E12739" s="992" t="s">
        <v>2682</v>
      </c>
      <c r="F12739" s="905" t="s">
        <v>45</v>
      </c>
      <c r="G12739" s="1005"/>
      <c r="H12739" s="911">
        <v>0.5</v>
      </c>
      <c r="I12739" s="912">
        <f>VLOOKUP(E12739,[3]VLP!$B$7:$K$300,10,0)</f>
        <v>5000</v>
      </c>
      <c r="J12739" s="912">
        <f>I12739*H12739</f>
        <v>2500</v>
      </c>
      <c r="K12739" s="912" t="s">
        <v>274</v>
      </c>
      <c r="L12739" s="912"/>
      <c r="M12739" s="912"/>
      <c r="N12739" s="912"/>
      <c r="O12739" s="892">
        <f t="shared" si="1021"/>
        <v>0</v>
      </c>
      <c r="P12739" s="903">
        <f t="shared" si="1018"/>
        <v>1</v>
      </c>
      <c r="Q12739" s="893">
        <f t="shared" si="1019"/>
        <v>6</v>
      </c>
      <c r="R12739" s="894">
        <f t="shared" si="1020"/>
        <v>0</v>
      </c>
    </row>
    <row r="12740" spans="1:18" s="904" customFormat="1">
      <c r="A12740" s="905"/>
      <c r="B12740" s="952"/>
      <c r="C12740" s="907">
        <v>699</v>
      </c>
      <c r="D12740" s="907" t="s">
        <v>279</v>
      </c>
      <c r="E12740" s="992" t="s">
        <v>4006</v>
      </c>
      <c r="F12740" s="905" t="s">
        <v>4007</v>
      </c>
      <c r="G12740" s="1005"/>
      <c r="H12740" s="911">
        <v>10</v>
      </c>
      <c r="I12740" s="912">
        <f>VLOOKUP(E12740,[3]VLP!$B$7:$K$300,10,0)</f>
        <v>5000</v>
      </c>
      <c r="J12740" s="912">
        <f>I12740*H12740</f>
        <v>50000</v>
      </c>
      <c r="K12740" s="912" t="s">
        <v>274</v>
      </c>
      <c r="L12740" s="912"/>
      <c r="M12740" s="912"/>
      <c r="N12740" s="912"/>
      <c r="O12740" s="892">
        <f t="shared" si="1021"/>
        <v>0</v>
      </c>
      <c r="P12740" s="903">
        <f t="shared" si="1018"/>
        <v>1</v>
      </c>
      <c r="Q12740" s="893">
        <f t="shared" si="1019"/>
        <v>5</v>
      </c>
      <c r="R12740" s="894">
        <f t="shared" si="1020"/>
        <v>0</v>
      </c>
    </row>
    <row r="12741" spans="1:18">
      <c r="A12741" s="895"/>
      <c r="B12741" s="896"/>
      <c r="C12741" s="897"/>
      <c r="D12741" s="897"/>
      <c r="E12741" s="1002" t="s">
        <v>276</v>
      </c>
      <c r="F12741" s="1003"/>
      <c r="G12741" s="1004"/>
      <c r="H12741" s="901"/>
      <c r="I12741" s="902"/>
      <c r="J12741" s="902"/>
      <c r="K12741" s="912" t="s">
        <v>274</v>
      </c>
      <c r="L12741" s="902"/>
      <c r="M12741" s="902"/>
      <c r="N12741" s="902"/>
      <c r="O12741" s="892">
        <f t="shared" si="1021"/>
        <v>0</v>
      </c>
      <c r="P12741" s="903">
        <f t="shared" si="1018"/>
        <v>1</v>
      </c>
      <c r="Q12741" s="893">
        <f t="shared" si="1019"/>
        <v>4</v>
      </c>
      <c r="R12741" s="894">
        <f t="shared" si="1020"/>
        <v>0</v>
      </c>
    </row>
    <row r="12742" spans="1:18" s="847" customFormat="1">
      <c r="A12742" s="905"/>
      <c r="B12742" s="952"/>
      <c r="C12742" s="907">
        <v>745</v>
      </c>
      <c r="D12742" s="907" t="s">
        <v>12</v>
      </c>
      <c r="E12742" s="992" t="s">
        <v>5518</v>
      </c>
      <c r="F12742" s="905" t="s">
        <v>2674</v>
      </c>
      <c r="G12742" s="1005"/>
      <c r="H12742" s="911">
        <v>6.3</v>
      </c>
      <c r="I12742" s="912"/>
      <c r="J12742" s="912"/>
      <c r="K12742" s="912">
        <f>VLOOKUP(E12742,[5]ĐMNC!$A$7:$F$67,4,0)</f>
        <v>240557</v>
      </c>
      <c r="L12742" s="912">
        <f>H12742*K12742</f>
        <v>1515509.0999999999</v>
      </c>
      <c r="M12742" s="912"/>
      <c r="N12742" s="912"/>
      <c r="O12742" s="892">
        <f t="shared" si="1021"/>
        <v>0</v>
      </c>
      <c r="P12742" s="903">
        <f t="shared" si="1018"/>
        <v>1</v>
      </c>
      <c r="Q12742" s="893">
        <f t="shared" si="1019"/>
        <v>3</v>
      </c>
      <c r="R12742" s="894">
        <f t="shared" si="1020"/>
        <v>0</v>
      </c>
    </row>
    <row r="12743" spans="1:18" s="904" customFormat="1">
      <c r="A12743" s="895"/>
      <c r="B12743" s="896"/>
      <c r="C12743" s="897"/>
      <c r="D12743" s="897"/>
      <c r="E12743" s="1002" t="s">
        <v>3914</v>
      </c>
      <c r="F12743" s="1003"/>
      <c r="G12743" s="1004"/>
      <c r="H12743" s="901"/>
      <c r="I12743" s="902"/>
      <c r="J12743" s="902"/>
      <c r="K12743" s="912" t="s">
        <v>274</v>
      </c>
      <c r="L12743" s="902"/>
      <c r="M12743" s="902"/>
      <c r="N12743" s="902"/>
      <c r="O12743" s="892">
        <f t="shared" si="1021"/>
        <v>0</v>
      </c>
      <c r="P12743" s="903">
        <f t="shared" si="1018"/>
        <v>1</v>
      </c>
      <c r="Q12743" s="893">
        <f t="shared" si="1019"/>
        <v>2</v>
      </c>
      <c r="R12743" s="894">
        <f t="shared" si="1020"/>
        <v>0</v>
      </c>
    </row>
    <row r="12744" spans="1:18">
      <c r="A12744" s="905"/>
      <c r="B12744" s="952" t="s">
        <v>4993</v>
      </c>
      <c r="C12744" s="907">
        <v>904</v>
      </c>
      <c r="D12744" s="907" t="s">
        <v>93</v>
      </c>
      <c r="E12744" s="992" t="s">
        <v>4994</v>
      </c>
      <c r="F12744" s="905" t="s">
        <v>2673</v>
      </c>
      <c r="G12744" s="1005"/>
      <c r="H12744" s="911">
        <v>0.25</v>
      </c>
      <c r="I12744" s="912"/>
      <c r="J12744" s="912"/>
      <c r="K12744" s="912"/>
      <c r="L12744" s="912"/>
      <c r="M12744" s="912">
        <f>VLOOKUP(B12744,MTC!$B$9:$S$933,12,0)</f>
        <v>1393090</v>
      </c>
      <c r="N12744" s="912">
        <f>M12744*H12744</f>
        <v>348272.5</v>
      </c>
      <c r="O12744" s="892">
        <f t="shared" si="1021"/>
        <v>0</v>
      </c>
      <c r="P12744" s="903">
        <f t="shared" si="1018"/>
        <v>1</v>
      </c>
      <c r="Q12744" s="893">
        <f t="shared" si="1019"/>
        <v>1</v>
      </c>
      <c r="R12744" s="894">
        <f t="shared" si="1020"/>
        <v>0</v>
      </c>
    </row>
    <row r="12745" spans="1:18">
      <c r="A12745" s="905">
        <v>706</v>
      </c>
      <c r="B12745" s="914" t="s">
        <v>7223</v>
      </c>
      <c r="C12745" s="915"/>
      <c r="D12745" s="915"/>
      <c r="E12745" s="1006" t="s">
        <v>7224</v>
      </c>
      <c r="F12745" s="917" t="s">
        <v>159</v>
      </c>
      <c r="G12745" s="1008"/>
      <c r="H12745" s="919"/>
      <c r="I12745" s="920"/>
      <c r="J12745" s="891">
        <f>SUM(J12746:J12753)</f>
        <v>73400</v>
      </c>
      <c r="K12745" s="891"/>
      <c r="L12745" s="891">
        <f>SUM(L12746:L12753)</f>
        <v>1732010.4000000001</v>
      </c>
      <c r="M12745" s="891"/>
      <c r="N12745" s="891">
        <f>SUM(N12746:N12753)</f>
        <v>348272.5</v>
      </c>
      <c r="O12745" s="892">
        <f t="shared" si="1021"/>
        <v>1</v>
      </c>
      <c r="P12745" s="903">
        <f t="shared" si="1018"/>
        <v>0</v>
      </c>
      <c r="Q12745" s="893">
        <f t="shared" si="1019"/>
        <v>0</v>
      </c>
      <c r="R12745" s="894">
        <f t="shared" si="1020"/>
        <v>8</v>
      </c>
    </row>
    <row r="12746" spans="1:18" s="904" customFormat="1">
      <c r="A12746" s="895"/>
      <c r="B12746" s="896"/>
      <c r="C12746" s="897"/>
      <c r="D12746" s="897"/>
      <c r="E12746" s="1002" t="s">
        <v>108</v>
      </c>
      <c r="F12746" s="1003"/>
      <c r="G12746" s="1004"/>
      <c r="H12746" s="901"/>
      <c r="I12746" s="902"/>
      <c r="J12746" s="902"/>
      <c r="K12746" s="912" t="s">
        <v>274</v>
      </c>
      <c r="L12746" s="902"/>
      <c r="M12746" s="902"/>
      <c r="N12746" s="902"/>
      <c r="O12746" s="892">
        <f t="shared" si="1021"/>
        <v>0</v>
      </c>
      <c r="P12746" s="903">
        <f t="shared" ref="P12746:P12809" si="1022">IF(O12746=0,1,0)</f>
        <v>1</v>
      </c>
      <c r="Q12746" s="893">
        <f t="shared" ref="Q12746:Q12809" si="1023">IF(P12746=0,0,P12746+Q12747)</f>
        <v>8</v>
      </c>
      <c r="R12746" s="894">
        <f t="shared" ref="R12746:R12809" si="1024">IF(Q12746=0,Q12747,0)</f>
        <v>0</v>
      </c>
    </row>
    <row r="12747" spans="1:18">
      <c r="A12747" s="905"/>
      <c r="B12747" s="952"/>
      <c r="C12747" s="907">
        <v>212</v>
      </c>
      <c r="D12747" s="907" t="s">
        <v>279</v>
      </c>
      <c r="E12747" s="992" t="s">
        <v>2681</v>
      </c>
      <c r="F12747" s="905" t="s">
        <v>45</v>
      </c>
      <c r="G12747" s="1005"/>
      <c r="H12747" s="911">
        <v>0.8</v>
      </c>
      <c r="I12747" s="912">
        <f>VLOOKUP(E12747,[3]VLP!$B$7:$K$300,10,0)</f>
        <v>23000</v>
      </c>
      <c r="J12747" s="912">
        <f>I12747*H12747</f>
        <v>18400</v>
      </c>
      <c r="K12747" s="912" t="s">
        <v>274</v>
      </c>
      <c r="L12747" s="912"/>
      <c r="M12747" s="912"/>
      <c r="N12747" s="912"/>
      <c r="O12747" s="892">
        <f t="shared" si="1021"/>
        <v>0</v>
      </c>
      <c r="P12747" s="903">
        <f t="shared" si="1022"/>
        <v>1</v>
      </c>
      <c r="Q12747" s="893">
        <f t="shared" si="1023"/>
        <v>7</v>
      </c>
      <c r="R12747" s="894">
        <f t="shared" si="1024"/>
        <v>0</v>
      </c>
    </row>
    <row r="12748" spans="1:18" s="847" customFormat="1">
      <c r="A12748" s="905"/>
      <c r="B12748" s="952"/>
      <c r="C12748" s="907">
        <v>235</v>
      </c>
      <c r="D12748" s="907" t="s">
        <v>279</v>
      </c>
      <c r="E12748" s="992" t="s">
        <v>2682</v>
      </c>
      <c r="F12748" s="905" t="s">
        <v>45</v>
      </c>
      <c r="G12748" s="1005"/>
      <c r="H12748" s="911">
        <v>1</v>
      </c>
      <c r="I12748" s="912">
        <f>VLOOKUP(E12748,[3]VLP!$B$7:$K$300,10,0)</f>
        <v>5000</v>
      </c>
      <c r="J12748" s="912">
        <f>I12748*H12748</f>
        <v>5000</v>
      </c>
      <c r="K12748" s="912" t="s">
        <v>274</v>
      </c>
      <c r="L12748" s="912"/>
      <c r="M12748" s="912"/>
      <c r="N12748" s="912"/>
      <c r="O12748" s="892">
        <f t="shared" si="1021"/>
        <v>0</v>
      </c>
      <c r="P12748" s="903">
        <f t="shared" si="1022"/>
        <v>1</v>
      </c>
      <c r="Q12748" s="893">
        <f t="shared" si="1023"/>
        <v>6</v>
      </c>
      <c r="R12748" s="894">
        <f t="shared" si="1024"/>
        <v>0</v>
      </c>
    </row>
    <row r="12749" spans="1:18" s="904" customFormat="1">
      <c r="A12749" s="905"/>
      <c r="B12749" s="952"/>
      <c r="C12749" s="907">
        <v>699</v>
      </c>
      <c r="D12749" s="907" t="s">
        <v>279</v>
      </c>
      <c r="E12749" s="992" t="s">
        <v>4006</v>
      </c>
      <c r="F12749" s="905" t="s">
        <v>4007</v>
      </c>
      <c r="G12749" s="1005"/>
      <c r="H12749" s="911">
        <v>10</v>
      </c>
      <c r="I12749" s="912">
        <f>VLOOKUP(E12749,[3]VLP!$B$7:$K$300,10,0)</f>
        <v>5000</v>
      </c>
      <c r="J12749" s="912">
        <f>I12749*H12749</f>
        <v>50000</v>
      </c>
      <c r="K12749" s="912" t="s">
        <v>274</v>
      </c>
      <c r="L12749" s="912"/>
      <c r="M12749" s="912"/>
      <c r="N12749" s="912"/>
      <c r="O12749" s="892">
        <f t="shared" si="1021"/>
        <v>0</v>
      </c>
      <c r="P12749" s="903">
        <f t="shared" si="1022"/>
        <v>1</v>
      </c>
      <c r="Q12749" s="893">
        <f t="shared" si="1023"/>
        <v>5</v>
      </c>
      <c r="R12749" s="894">
        <f t="shared" si="1024"/>
        <v>0</v>
      </c>
    </row>
    <row r="12750" spans="1:18">
      <c r="A12750" s="895"/>
      <c r="B12750" s="896"/>
      <c r="C12750" s="897"/>
      <c r="D12750" s="897"/>
      <c r="E12750" s="1002" t="s">
        <v>276</v>
      </c>
      <c r="F12750" s="1003"/>
      <c r="G12750" s="1004"/>
      <c r="H12750" s="901"/>
      <c r="I12750" s="902"/>
      <c r="J12750" s="902"/>
      <c r="K12750" s="912" t="s">
        <v>274</v>
      </c>
      <c r="L12750" s="902"/>
      <c r="M12750" s="902"/>
      <c r="N12750" s="902"/>
      <c r="O12750" s="892">
        <f t="shared" si="1021"/>
        <v>0</v>
      </c>
      <c r="P12750" s="903">
        <f t="shared" si="1022"/>
        <v>1</v>
      </c>
      <c r="Q12750" s="893">
        <f t="shared" si="1023"/>
        <v>4</v>
      </c>
      <c r="R12750" s="894">
        <f t="shared" si="1024"/>
        <v>0</v>
      </c>
    </row>
    <row r="12751" spans="1:18">
      <c r="A12751" s="905"/>
      <c r="B12751" s="952"/>
      <c r="C12751" s="907">
        <v>745</v>
      </c>
      <c r="D12751" s="907" t="s">
        <v>12</v>
      </c>
      <c r="E12751" s="992" t="s">
        <v>5518</v>
      </c>
      <c r="F12751" s="905" t="s">
        <v>2674</v>
      </c>
      <c r="G12751" s="1005"/>
      <c r="H12751" s="911">
        <v>7.2</v>
      </c>
      <c r="I12751" s="912"/>
      <c r="J12751" s="912"/>
      <c r="K12751" s="912">
        <f>VLOOKUP(E12751,[5]ĐMNC!$A$7:$F$67,4,0)</f>
        <v>240557</v>
      </c>
      <c r="L12751" s="912">
        <f>H12751*K12751</f>
        <v>1732010.4000000001</v>
      </c>
      <c r="M12751" s="912"/>
      <c r="N12751" s="912"/>
      <c r="O12751" s="892">
        <f t="shared" si="1021"/>
        <v>0</v>
      </c>
      <c r="P12751" s="903">
        <f t="shared" si="1022"/>
        <v>1</v>
      </c>
      <c r="Q12751" s="893">
        <f t="shared" si="1023"/>
        <v>3</v>
      </c>
      <c r="R12751" s="894">
        <f t="shared" si="1024"/>
        <v>0</v>
      </c>
    </row>
    <row r="12752" spans="1:18" s="904" customFormat="1">
      <c r="A12752" s="895"/>
      <c r="B12752" s="896"/>
      <c r="C12752" s="897"/>
      <c r="D12752" s="897"/>
      <c r="E12752" s="1002" t="s">
        <v>3914</v>
      </c>
      <c r="F12752" s="1003"/>
      <c r="G12752" s="1004"/>
      <c r="H12752" s="901"/>
      <c r="I12752" s="902"/>
      <c r="J12752" s="902"/>
      <c r="K12752" s="912" t="s">
        <v>274</v>
      </c>
      <c r="L12752" s="902"/>
      <c r="M12752" s="902"/>
      <c r="N12752" s="902"/>
      <c r="O12752" s="892">
        <f t="shared" si="1021"/>
        <v>0</v>
      </c>
      <c r="P12752" s="903">
        <f t="shared" si="1022"/>
        <v>1</v>
      </c>
      <c r="Q12752" s="893">
        <f t="shared" si="1023"/>
        <v>2</v>
      </c>
      <c r="R12752" s="894">
        <f t="shared" si="1024"/>
        <v>0</v>
      </c>
    </row>
    <row r="12753" spans="1:18">
      <c r="A12753" s="905"/>
      <c r="B12753" s="952" t="s">
        <v>4993</v>
      </c>
      <c r="C12753" s="907">
        <v>904</v>
      </c>
      <c r="D12753" s="907" t="s">
        <v>93</v>
      </c>
      <c r="E12753" s="992" t="s">
        <v>4994</v>
      </c>
      <c r="F12753" s="905" t="s">
        <v>2673</v>
      </c>
      <c r="G12753" s="1005"/>
      <c r="H12753" s="911">
        <v>0.25</v>
      </c>
      <c r="I12753" s="912"/>
      <c r="J12753" s="912"/>
      <c r="K12753" s="912"/>
      <c r="L12753" s="912"/>
      <c r="M12753" s="912">
        <f>VLOOKUP(B12753,MTC!$B$9:$S$933,12,0)</f>
        <v>1393090</v>
      </c>
      <c r="N12753" s="912">
        <f>M12753*H12753</f>
        <v>348272.5</v>
      </c>
      <c r="O12753" s="892">
        <f t="shared" si="1021"/>
        <v>0</v>
      </c>
      <c r="P12753" s="903">
        <f t="shared" si="1022"/>
        <v>1</v>
      </c>
      <c r="Q12753" s="893">
        <f t="shared" si="1023"/>
        <v>1</v>
      </c>
      <c r="R12753" s="894">
        <f t="shared" si="1024"/>
        <v>0</v>
      </c>
    </row>
    <row r="12754" spans="1:18" s="847" customFormat="1" ht="31.5">
      <c r="A12754" s="905" t="s">
        <v>7225</v>
      </c>
      <c r="B12754" s="914" t="s">
        <v>7226</v>
      </c>
      <c r="C12754" s="915"/>
      <c r="D12754" s="915"/>
      <c r="E12754" s="1006" t="s">
        <v>7227</v>
      </c>
      <c r="F12754" s="917" t="s">
        <v>159</v>
      </c>
      <c r="G12754" s="1008"/>
      <c r="H12754" s="919"/>
      <c r="I12754" s="920"/>
      <c r="J12754" s="891">
        <f>SUM(J12755:J12762)</f>
        <v>63500</v>
      </c>
      <c r="K12754" s="891"/>
      <c r="L12754" s="891">
        <f>SUM(L12755:L12762)</f>
        <v>974255.85</v>
      </c>
      <c r="M12754" s="891"/>
      <c r="N12754" s="891">
        <f>SUM(N12755:N12762)</f>
        <v>348272.5</v>
      </c>
      <c r="O12754" s="892">
        <f t="shared" si="1021"/>
        <v>1</v>
      </c>
      <c r="P12754" s="903">
        <f t="shared" si="1022"/>
        <v>0</v>
      </c>
      <c r="Q12754" s="893">
        <f t="shared" si="1023"/>
        <v>0</v>
      </c>
      <c r="R12754" s="894">
        <f t="shared" si="1024"/>
        <v>8</v>
      </c>
    </row>
    <row r="12755" spans="1:18" s="904" customFormat="1">
      <c r="A12755" s="895"/>
      <c r="B12755" s="896"/>
      <c r="C12755" s="897"/>
      <c r="D12755" s="897"/>
      <c r="E12755" s="1002" t="s">
        <v>108</v>
      </c>
      <c r="F12755" s="1003"/>
      <c r="G12755" s="1004"/>
      <c r="H12755" s="901"/>
      <c r="I12755" s="902"/>
      <c r="J12755" s="902"/>
      <c r="K12755" s="912" t="s">
        <v>274</v>
      </c>
      <c r="L12755" s="902"/>
      <c r="M12755" s="902"/>
      <c r="N12755" s="902"/>
      <c r="O12755" s="892">
        <f t="shared" si="1021"/>
        <v>0</v>
      </c>
      <c r="P12755" s="903">
        <f t="shared" si="1022"/>
        <v>1</v>
      </c>
      <c r="Q12755" s="893">
        <f t="shared" si="1023"/>
        <v>8</v>
      </c>
      <c r="R12755" s="894">
        <f t="shared" si="1024"/>
        <v>0</v>
      </c>
    </row>
    <row r="12756" spans="1:18">
      <c r="A12756" s="905"/>
      <c r="B12756" s="952"/>
      <c r="C12756" s="907">
        <v>212</v>
      </c>
      <c r="D12756" s="907" t="s">
        <v>279</v>
      </c>
      <c r="E12756" s="992" t="s">
        <v>2681</v>
      </c>
      <c r="F12756" s="905" t="s">
        <v>45</v>
      </c>
      <c r="G12756" s="1005"/>
      <c r="H12756" s="911">
        <v>0.5</v>
      </c>
      <c r="I12756" s="912">
        <f>VLOOKUP(E12756,[3]VLP!$B$7:$K$300,10,0)</f>
        <v>23000</v>
      </c>
      <c r="J12756" s="912">
        <f>I12756*H12756</f>
        <v>11500</v>
      </c>
      <c r="K12756" s="912" t="s">
        <v>274</v>
      </c>
      <c r="L12756" s="912"/>
      <c r="M12756" s="912"/>
      <c r="N12756" s="912"/>
      <c r="O12756" s="892">
        <f t="shared" si="1021"/>
        <v>0</v>
      </c>
      <c r="P12756" s="903">
        <f t="shared" si="1022"/>
        <v>1</v>
      </c>
      <c r="Q12756" s="893">
        <f t="shared" si="1023"/>
        <v>7</v>
      </c>
      <c r="R12756" s="894">
        <f t="shared" si="1024"/>
        <v>0</v>
      </c>
    </row>
    <row r="12757" spans="1:18">
      <c r="A12757" s="905"/>
      <c r="B12757" s="952"/>
      <c r="C12757" s="907">
        <v>235</v>
      </c>
      <c r="D12757" s="907" t="s">
        <v>279</v>
      </c>
      <c r="E12757" s="992" t="s">
        <v>2682</v>
      </c>
      <c r="F12757" s="905" t="s">
        <v>45</v>
      </c>
      <c r="G12757" s="1005"/>
      <c r="H12757" s="911">
        <v>0.4</v>
      </c>
      <c r="I12757" s="912">
        <f>VLOOKUP(E12757,[3]VLP!$B$7:$K$300,10,0)</f>
        <v>5000</v>
      </c>
      <c r="J12757" s="912">
        <f>I12757*H12757</f>
        <v>2000</v>
      </c>
      <c r="K12757" s="912" t="s">
        <v>274</v>
      </c>
      <c r="L12757" s="912"/>
      <c r="M12757" s="912"/>
      <c r="N12757" s="912"/>
      <c r="O12757" s="892">
        <f t="shared" si="1021"/>
        <v>0</v>
      </c>
      <c r="P12757" s="903">
        <f t="shared" si="1022"/>
        <v>1</v>
      </c>
      <c r="Q12757" s="893">
        <f t="shared" si="1023"/>
        <v>6</v>
      </c>
      <c r="R12757" s="894">
        <f t="shared" si="1024"/>
        <v>0</v>
      </c>
    </row>
    <row r="12758" spans="1:18" s="904" customFormat="1">
      <c r="A12758" s="905"/>
      <c r="B12758" s="952"/>
      <c r="C12758" s="907">
        <v>699</v>
      </c>
      <c r="D12758" s="907" t="s">
        <v>279</v>
      </c>
      <c r="E12758" s="992" t="s">
        <v>4006</v>
      </c>
      <c r="F12758" s="905" t="s">
        <v>4007</v>
      </c>
      <c r="G12758" s="1005"/>
      <c r="H12758" s="911">
        <v>10</v>
      </c>
      <c r="I12758" s="912">
        <f>VLOOKUP(E12758,[3]VLP!$B$7:$K$300,10,0)</f>
        <v>5000</v>
      </c>
      <c r="J12758" s="912">
        <f>I12758*H12758</f>
        <v>50000</v>
      </c>
      <c r="K12758" s="912" t="s">
        <v>274</v>
      </c>
      <c r="L12758" s="912"/>
      <c r="M12758" s="912"/>
      <c r="N12758" s="912"/>
      <c r="O12758" s="892">
        <f t="shared" si="1021"/>
        <v>0</v>
      </c>
      <c r="P12758" s="903">
        <f t="shared" si="1022"/>
        <v>1</v>
      </c>
      <c r="Q12758" s="893">
        <f t="shared" si="1023"/>
        <v>5</v>
      </c>
      <c r="R12758" s="894">
        <f t="shared" si="1024"/>
        <v>0</v>
      </c>
    </row>
    <row r="12759" spans="1:18">
      <c r="A12759" s="895"/>
      <c r="B12759" s="896"/>
      <c r="C12759" s="897"/>
      <c r="D12759" s="897"/>
      <c r="E12759" s="1002" t="s">
        <v>276</v>
      </c>
      <c r="F12759" s="1003"/>
      <c r="G12759" s="1004"/>
      <c r="H12759" s="901"/>
      <c r="I12759" s="902"/>
      <c r="J12759" s="902"/>
      <c r="K12759" s="912" t="s">
        <v>274</v>
      </c>
      <c r="L12759" s="902"/>
      <c r="M12759" s="902"/>
      <c r="N12759" s="902"/>
      <c r="O12759" s="892">
        <f t="shared" si="1021"/>
        <v>0</v>
      </c>
      <c r="P12759" s="903">
        <f t="shared" si="1022"/>
        <v>1</v>
      </c>
      <c r="Q12759" s="893">
        <f t="shared" si="1023"/>
        <v>4</v>
      </c>
      <c r="R12759" s="894">
        <f t="shared" si="1024"/>
        <v>0</v>
      </c>
    </row>
    <row r="12760" spans="1:18" s="847" customFormat="1">
      <c r="A12760" s="905"/>
      <c r="B12760" s="952"/>
      <c r="C12760" s="907">
        <v>745</v>
      </c>
      <c r="D12760" s="907" t="s">
        <v>12</v>
      </c>
      <c r="E12760" s="992" t="s">
        <v>5518</v>
      </c>
      <c r="F12760" s="905" t="s">
        <v>2674</v>
      </c>
      <c r="G12760" s="1005"/>
      <c r="H12760" s="911">
        <v>4.05</v>
      </c>
      <c r="I12760" s="912"/>
      <c r="J12760" s="912"/>
      <c r="K12760" s="912">
        <f>VLOOKUP(E12760,[5]ĐMNC!$A$7:$F$67,4,0)</f>
        <v>240557</v>
      </c>
      <c r="L12760" s="912">
        <f>H12760*K12760</f>
        <v>974255.85</v>
      </c>
      <c r="M12760" s="912"/>
      <c r="N12760" s="912"/>
      <c r="O12760" s="892">
        <f t="shared" si="1021"/>
        <v>0</v>
      </c>
      <c r="P12760" s="903">
        <f t="shared" si="1022"/>
        <v>1</v>
      </c>
      <c r="Q12760" s="893">
        <f t="shared" si="1023"/>
        <v>3</v>
      </c>
      <c r="R12760" s="894">
        <f t="shared" si="1024"/>
        <v>0</v>
      </c>
    </row>
    <row r="12761" spans="1:18" s="904" customFormat="1">
      <c r="A12761" s="895"/>
      <c r="B12761" s="896"/>
      <c r="C12761" s="897"/>
      <c r="D12761" s="897"/>
      <c r="E12761" s="1002" t="s">
        <v>3914</v>
      </c>
      <c r="F12761" s="1003"/>
      <c r="G12761" s="1004"/>
      <c r="H12761" s="901"/>
      <c r="I12761" s="902"/>
      <c r="J12761" s="902"/>
      <c r="K12761" s="912" t="s">
        <v>274</v>
      </c>
      <c r="L12761" s="902"/>
      <c r="M12761" s="902"/>
      <c r="N12761" s="902"/>
      <c r="O12761" s="892">
        <f t="shared" si="1021"/>
        <v>0</v>
      </c>
      <c r="P12761" s="903">
        <f t="shared" si="1022"/>
        <v>1</v>
      </c>
      <c r="Q12761" s="893">
        <f t="shared" si="1023"/>
        <v>2</v>
      </c>
      <c r="R12761" s="894">
        <f t="shared" si="1024"/>
        <v>0</v>
      </c>
    </row>
    <row r="12762" spans="1:18">
      <c r="A12762" s="905"/>
      <c r="B12762" s="952" t="s">
        <v>4993</v>
      </c>
      <c r="C12762" s="907">
        <v>904</v>
      </c>
      <c r="D12762" s="907" t="s">
        <v>93</v>
      </c>
      <c r="E12762" s="992" t="s">
        <v>4994</v>
      </c>
      <c r="F12762" s="905" t="s">
        <v>2673</v>
      </c>
      <c r="G12762" s="1005"/>
      <c r="H12762" s="911">
        <v>0.25</v>
      </c>
      <c r="I12762" s="912"/>
      <c r="J12762" s="912"/>
      <c r="K12762" s="912"/>
      <c r="L12762" s="912"/>
      <c r="M12762" s="912">
        <f>VLOOKUP(B12762,MTC!$B$9:$S$933,12,0)</f>
        <v>1393090</v>
      </c>
      <c r="N12762" s="912">
        <f>M12762*H12762</f>
        <v>348272.5</v>
      </c>
      <c r="O12762" s="892">
        <f t="shared" si="1021"/>
        <v>0</v>
      </c>
      <c r="P12762" s="903">
        <f t="shared" si="1022"/>
        <v>1</v>
      </c>
      <c r="Q12762" s="893">
        <f t="shared" si="1023"/>
        <v>1</v>
      </c>
      <c r="R12762" s="894">
        <f t="shared" si="1024"/>
        <v>0</v>
      </c>
    </row>
    <row r="12763" spans="1:18" ht="31.5">
      <c r="A12763" s="905">
        <v>708</v>
      </c>
      <c r="B12763" s="914" t="s">
        <v>7228</v>
      </c>
      <c r="C12763" s="915"/>
      <c r="D12763" s="915"/>
      <c r="E12763" s="1006" t="s">
        <v>7229</v>
      </c>
      <c r="F12763" s="917" t="s">
        <v>159</v>
      </c>
      <c r="G12763" s="1008"/>
      <c r="H12763" s="919"/>
      <c r="I12763" s="920"/>
      <c r="J12763" s="891">
        <f>SUM(J12764:J12771)</f>
        <v>66300</v>
      </c>
      <c r="K12763" s="891"/>
      <c r="L12763" s="891">
        <f>SUM(L12764:L12771)</f>
        <v>1169107.02</v>
      </c>
      <c r="M12763" s="891"/>
      <c r="N12763" s="891">
        <f>SUM(N12764:N12771)</f>
        <v>348272.5</v>
      </c>
      <c r="O12763" s="892">
        <f t="shared" si="1021"/>
        <v>1</v>
      </c>
      <c r="P12763" s="903">
        <f t="shared" si="1022"/>
        <v>0</v>
      </c>
      <c r="Q12763" s="893">
        <f t="shared" si="1023"/>
        <v>0</v>
      </c>
      <c r="R12763" s="894">
        <f t="shared" si="1024"/>
        <v>8</v>
      </c>
    </row>
    <row r="12764" spans="1:18" s="904" customFormat="1">
      <c r="A12764" s="895"/>
      <c r="B12764" s="896"/>
      <c r="C12764" s="897"/>
      <c r="D12764" s="897"/>
      <c r="E12764" s="1002" t="s">
        <v>108</v>
      </c>
      <c r="F12764" s="1003"/>
      <c r="G12764" s="1004"/>
      <c r="H12764" s="901"/>
      <c r="I12764" s="902"/>
      <c r="J12764" s="902"/>
      <c r="K12764" s="912" t="s">
        <v>274</v>
      </c>
      <c r="L12764" s="902"/>
      <c r="M12764" s="902"/>
      <c r="N12764" s="902"/>
      <c r="O12764" s="892">
        <f t="shared" si="1021"/>
        <v>0</v>
      </c>
      <c r="P12764" s="903">
        <f t="shared" si="1022"/>
        <v>1</v>
      </c>
      <c r="Q12764" s="893">
        <f t="shared" si="1023"/>
        <v>8</v>
      </c>
      <c r="R12764" s="894">
        <f t="shared" si="1024"/>
        <v>0</v>
      </c>
    </row>
    <row r="12765" spans="1:18">
      <c r="A12765" s="905"/>
      <c r="B12765" s="952"/>
      <c r="C12765" s="907">
        <v>212</v>
      </c>
      <c r="D12765" s="907" t="s">
        <v>279</v>
      </c>
      <c r="E12765" s="992" t="s">
        <v>2681</v>
      </c>
      <c r="F12765" s="905" t="s">
        <v>45</v>
      </c>
      <c r="G12765" s="1005"/>
      <c r="H12765" s="911">
        <v>0.6</v>
      </c>
      <c r="I12765" s="912">
        <f>VLOOKUP(E12765,[3]VLP!$B$7:$K$300,10,0)</f>
        <v>23000</v>
      </c>
      <c r="J12765" s="912">
        <f>I12765*H12765</f>
        <v>13800</v>
      </c>
      <c r="K12765" s="912" t="s">
        <v>274</v>
      </c>
      <c r="L12765" s="912"/>
      <c r="M12765" s="912"/>
      <c r="N12765" s="912"/>
      <c r="O12765" s="892">
        <f t="shared" si="1021"/>
        <v>0</v>
      </c>
      <c r="P12765" s="903">
        <f t="shared" si="1022"/>
        <v>1</v>
      </c>
      <c r="Q12765" s="893">
        <f t="shared" si="1023"/>
        <v>7</v>
      </c>
      <c r="R12765" s="894">
        <f t="shared" si="1024"/>
        <v>0</v>
      </c>
    </row>
    <row r="12766" spans="1:18" s="847" customFormat="1">
      <c r="A12766" s="905"/>
      <c r="B12766" s="952"/>
      <c r="C12766" s="907">
        <v>235</v>
      </c>
      <c r="D12766" s="907" t="s">
        <v>279</v>
      </c>
      <c r="E12766" s="992" t="s">
        <v>2682</v>
      </c>
      <c r="F12766" s="905" t="s">
        <v>45</v>
      </c>
      <c r="G12766" s="1005"/>
      <c r="H12766" s="911">
        <v>0.5</v>
      </c>
      <c r="I12766" s="912">
        <f>VLOOKUP(E12766,[3]VLP!$B$7:$K$300,10,0)</f>
        <v>5000</v>
      </c>
      <c r="J12766" s="912">
        <f>I12766*H12766</f>
        <v>2500</v>
      </c>
      <c r="K12766" s="912" t="s">
        <v>274</v>
      </c>
      <c r="L12766" s="912"/>
      <c r="M12766" s="912"/>
      <c r="N12766" s="912"/>
      <c r="O12766" s="892">
        <f t="shared" si="1021"/>
        <v>0</v>
      </c>
      <c r="P12766" s="903">
        <f t="shared" si="1022"/>
        <v>1</v>
      </c>
      <c r="Q12766" s="893">
        <f t="shared" si="1023"/>
        <v>6</v>
      </c>
      <c r="R12766" s="894">
        <f t="shared" si="1024"/>
        <v>0</v>
      </c>
    </row>
    <row r="12767" spans="1:18" s="904" customFormat="1">
      <c r="A12767" s="905"/>
      <c r="B12767" s="952"/>
      <c r="C12767" s="907">
        <v>699</v>
      </c>
      <c r="D12767" s="907" t="s">
        <v>279</v>
      </c>
      <c r="E12767" s="992" t="s">
        <v>4006</v>
      </c>
      <c r="F12767" s="905" t="s">
        <v>4007</v>
      </c>
      <c r="G12767" s="1005"/>
      <c r="H12767" s="911">
        <v>10</v>
      </c>
      <c r="I12767" s="912">
        <f>VLOOKUP(E12767,[3]VLP!$B$7:$K$300,10,0)</f>
        <v>5000</v>
      </c>
      <c r="J12767" s="912">
        <f>I12767*H12767</f>
        <v>50000</v>
      </c>
      <c r="K12767" s="912" t="s">
        <v>274</v>
      </c>
      <c r="L12767" s="912"/>
      <c r="M12767" s="912"/>
      <c r="N12767" s="912"/>
      <c r="O12767" s="892">
        <f t="shared" si="1021"/>
        <v>0</v>
      </c>
      <c r="P12767" s="903">
        <f t="shared" si="1022"/>
        <v>1</v>
      </c>
      <c r="Q12767" s="893">
        <f t="shared" si="1023"/>
        <v>5</v>
      </c>
      <c r="R12767" s="894">
        <f t="shared" si="1024"/>
        <v>0</v>
      </c>
    </row>
    <row r="12768" spans="1:18">
      <c r="A12768" s="895"/>
      <c r="B12768" s="896"/>
      <c r="C12768" s="897"/>
      <c r="D12768" s="897"/>
      <c r="E12768" s="1002" t="s">
        <v>276</v>
      </c>
      <c r="F12768" s="1003"/>
      <c r="G12768" s="1004"/>
      <c r="H12768" s="901"/>
      <c r="I12768" s="902"/>
      <c r="J12768" s="902"/>
      <c r="K12768" s="912" t="s">
        <v>274</v>
      </c>
      <c r="L12768" s="902"/>
      <c r="M12768" s="902"/>
      <c r="N12768" s="902"/>
      <c r="O12768" s="892">
        <f t="shared" si="1021"/>
        <v>0</v>
      </c>
      <c r="P12768" s="903">
        <f t="shared" si="1022"/>
        <v>1</v>
      </c>
      <c r="Q12768" s="893">
        <f t="shared" si="1023"/>
        <v>4</v>
      </c>
      <c r="R12768" s="894">
        <f t="shared" si="1024"/>
        <v>0</v>
      </c>
    </row>
    <row r="12769" spans="1:18">
      <c r="A12769" s="905"/>
      <c r="B12769" s="952"/>
      <c r="C12769" s="907">
        <v>745</v>
      </c>
      <c r="D12769" s="907" t="s">
        <v>12</v>
      </c>
      <c r="E12769" s="992" t="s">
        <v>5518</v>
      </c>
      <c r="F12769" s="905" t="s">
        <v>2674</v>
      </c>
      <c r="G12769" s="1005"/>
      <c r="H12769" s="911">
        <v>4.8600000000000003</v>
      </c>
      <c r="I12769" s="912"/>
      <c r="J12769" s="912"/>
      <c r="K12769" s="912">
        <f>VLOOKUP(E12769,[5]ĐMNC!$A$7:$F$67,4,0)</f>
        <v>240557</v>
      </c>
      <c r="L12769" s="912">
        <f>H12769*K12769</f>
        <v>1169107.02</v>
      </c>
      <c r="M12769" s="912"/>
      <c r="N12769" s="912"/>
      <c r="O12769" s="892">
        <f t="shared" si="1021"/>
        <v>0</v>
      </c>
      <c r="P12769" s="903">
        <f t="shared" si="1022"/>
        <v>1</v>
      </c>
      <c r="Q12769" s="893">
        <f t="shared" si="1023"/>
        <v>3</v>
      </c>
      <c r="R12769" s="894">
        <f t="shared" si="1024"/>
        <v>0</v>
      </c>
    </row>
    <row r="12770" spans="1:18" s="904" customFormat="1">
      <c r="A12770" s="895"/>
      <c r="B12770" s="896"/>
      <c r="C12770" s="897"/>
      <c r="D12770" s="897"/>
      <c r="E12770" s="1002" t="s">
        <v>3914</v>
      </c>
      <c r="F12770" s="1003"/>
      <c r="G12770" s="1004"/>
      <c r="H12770" s="901"/>
      <c r="I12770" s="902"/>
      <c r="J12770" s="902"/>
      <c r="K12770" s="912" t="s">
        <v>274</v>
      </c>
      <c r="L12770" s="902"/>
      <c r="M12770" s="902"/>
      <c r="N12770" s="902"/>
      <c r="O12770" s="892">
        <f t="shared" si="1021"/>
        <v>0</v>
      </c>
      <c r="P12770" s="903">
        <f t="shared" si="1022"/>
        <v>1</v>
      </c>
      <c r="Q12770" s="893">
        <f t="shared" si="1023"/>
        <v>2</v>
      </c>
      <c r="R12770" s="894">
        <f t="shared" si="1024"/>
        <v>0</v>
      </c>
    </row>
    <row r="12771" spans="1:18">
      <c r="A12771" s="905"/>
      <c r="B12771" s="952" t="s">
        <v>4993</v>
      </c>
      <c r="C12771" s="907">
        <v>904</v>
      </c>
      <c r="D12771" s="907" t="s">
        <v>93</v>
      </c>
      <c r="E12771" s="992" t="s">
        <v>4994</v>
      </c>
      <c r="F12771" s="905" t="s">
        <v>2673</v>
      </c>
      <c r="G12771" s="1005"/>
      <c r="H12771" s="911">
        <v>0.25</v>
      </c>
      <c r="I12771" s="912"/>
      <c r="J12771" s="912"/>
      <c r="K12771" s="912"/>
      <c r="L12771" s="912"/>
      <c r="M12771" s="912">
        <f>VLOOKUP(B12771,MTC!$B$9:$S$933,12,0)</f>
        <v>1393090</v>
      </c>
      <c r="N12771" s="912">
        <f>M12771*H12771</f>
        <v>348272.5</v>
      </c>
      <c r="O12771" s="892">
        <f t="shared" si="1021"/>
        <v>0</v>
      </c>
      <c r="P12771" s="903">
        <f t="shared" si="1022"/>
        <v>1</v>
      </c>
      <c r="Q12771" s="893">
        <f t="shared" si="1023"/>
        <v>1</v>
      </c>
      <c r="R12771" s="894">
        <f t="shared" si="1024"/>
        <v>0</v>
      </c>
    </row>
    <row r="12772" spans="1:18" s="847" customFormat="1" ht="31.5">
      <c r="A12772" s="905">
        <v>709</v>
      </c>
      <c r="B12772" s="914" t="s">
        <v>7230</v>
      </c>
      <c r="C12772" s="915"/>
      <c r="D12772" s="915"/>
      <c r="E12772" s="1006" t="s">
        <v>7231</v>
      </c>
      <c r="F12772" s="917" t="s">
        <v>159</v>
      </c>
      <c r="G12772" s="1008"/>
      <c r="H12772" s="919"/>
      <c r="I12772" s="920"/>
      <c r="J12772" s="891">
        <f>SUM(J12773:J12780)</f>
        <v>66300</v>
      </c>
      <c r="K12772" s="891"/>
      <c r="L12772" s="891">
        <f>SUM(L12773:L12780)</f>
        <v>1363958.19</v>
      </c>
      <c r="M12772" s="891"/>
      <c r="N12772" s="891">
        <f>SUM(N12773:N12780)</f>
        <v>348272.5</v>
      </c>
      <c r="O12772" s="892">
        <f t="shared" si="1021"/>
        <v>1</v>
      </c>
      <c r="P12772" s="903">
        <f t="shared" si="1022"/>
        <v>0</v>
      </c>
      <c r="Q12772" s="893">
        <f t="shared" si="1023"/>
        <v>0</v>
      </c>
      <c r="R12772" s="894">
        <f t="shared" si="1024"/>
        <v>8</v>
      </c>
    </row>
    <row r="12773" spans="1:18" s="904" customFormat="1">
      <c r="A12773" s="895"/>
      <c r="B12773" s="896"/>
      <c r="C12773" s="897"/>
      <c r="D12773" s="897"/>
      <c r="E12773" s="1002" t="s">
        <v>108</v>
      </c>
      <c r="F12773" s="1003"/>
      <c r="G12773" s="1004"/>
      <c r="H12773" s="901"/>
      <c r="I12773" s="902"/>
      <c r="J12773" s="902"/>
      <c r="K12773" s="912" t="s">
        <v>274</v>
      </c>
      <c r="L12773" s="902"/>
      <c r="M12773" s="902"/>
      <c r="N12773" s="902"/>
      <c r="O12773" s="892">
        <f t="shared" si="1021"/>
        <v>0</v>
      </c>
      <c r="P12773" s="903">
        <f t="shared" si="1022"/>
        <v>1</v>
      </c>
      <c r="Q12773" s="893">
        <f t="shared" si="1023"/>
        <v>8</v>
      </c>
      <c r="R12773" s="894">
        <f t="shared" si="1024"/>
        <v>0</v>
      </c>
    </row>
    <row r="12774" spans="1:18">
      <c r="A12774" s="905"/>
      <c r="B12774" s="952"/>
      <c r="C12774" s="907">
        <v>212</v>
      </c>
      <c r="D12774" s="907" t="s">
        <v>279</v>
      </c>
      <c r="E12774" s="992" t="s">
        <v>2681</v>
      </c>
      <c r="F12774" s="905" t="s">
        <v>45</v>
      </c>
      <c r="G12774" s="1005"/>
      <c r="H12774" s="911">
        <v>0.6</v>
      </c>
      <c r="I12774" s="912">
        <f>VLOOKUP(E12774,[3]VLP!$B$7:$K$300,10,0)</f>
        <v>23000</v>
      </c>
      <c r="J12774" s="912">
        <f>I12774*H12774</f>
        <v>13800</v>
      </c>
      <c r="K12774" s="912" t="s">
        <v>274</v>
      </c>
      <c r="L12774" s="912"/>
      <c r="M12774" s="912"/>
      <c r="N12774" s="912"/>
      <c r="O12774" s="892">
        <f t="shared" si="1021"/>
        <v>0</v>
      </c>
      <c r="P12774" s="903">
        <f t="shared" si="1022"/>
        <v>1</v>
      </c>
      <c r="Q12774" s="893">
        <f t="shared" si="1023"/>
        <v>7</v>
      </c>
      <c r="R12774" s="894">
        <f t="shared" si="1024"/>
        <v>0</v>
      </c>
    </row>
    <row r="12775" spans="1:18">
      <c r="A12775" s="905"/>
      <c r="B12775" s="952"/>
      <c r="C12775" s="907">
        <v>235</v>
      </c>
      <c r="D12775" s="907" t="s">
        <v>279</v>
      </c>
      <c r="E12775" s="992" t="s">
        <v>2682</v>
      </c>
      <c r="F12775" s="905" t="s">
        <v>45</v>
      </c>
      <c r="G12775" s="1005"/>
      <c r="H12775" s="911">
        <v>0.5</v>
      </c>
      <c r="I12775" s="912">
        <f>VLOOKUP(E12775,[3]VLP!$B$7:$K$300,10,0)</f>
        <v>5000</v>
      </c>
      <c r="J12775" s="912">
        <f>I12775*H12775</f>
        <v>2500</v>
      </c>
      <c r="K12775" s="912" t="s">
        <v>274</v>
      </c>
      <c r="L12775" s="912"/>
      <c r="M12775" s="912"/>
      <c r="N12775" s="912"/>
      <c r="O12775" s="892">
        <f t="shared" si="1021"/>
        <v>0</v>
      </c>
      <c r="P12775" s="903">
        <f t="shared" si="1022"/>
        <v>1</v>
      </c>
      <c r="Q12775" s="893">
        <f t="shared" si="1023"/>
        <v>6</v>
      </c>
      <c r="R12775" s="894">
        <f t="shared" si="1024"/>
        <v>0</v>
      </c>
    </row>
    <row r="12776" spans="1:18" s="904" customFormat="1">
      <c r="A12776" s="905"/>
      <c r="B12776" s="952"/>
      <c r="C12776" s="907">
        <v>699</v>
      </c>
      <c r="D12776" s="907" t="s">
        <v>279</v>
      </c>
      <c r="E12776" s="992" t="s">
        <v>4006</v>
      </c>
      <c r="F12776" s="905" t="s">
        <v>4007</v>
      </c>
      <c r="G12776" s="1005"/>
      <c r="H12776" s="911">
        <v>10</v>
      </c>
      <c r="I12776" s="912">
        <f>VLOOKUP(E12776,[3]VLP!$B$7:$K$300,10,0)</f>
        <v>5000</v>
      </c>
      <c r="J12776" s="912">
        <f>I12776*H12776</f>
        <v>50000</v>
      </c>
      <c r="K12776" s="912" t="s">
        <v>274</v>
      </c>
      <c r="L12776" s="912"/>
      <c r="M12776" s="912"/>
      <c r="N12776" s="912"/>
      <c r="O12776" s="892">
        <f t="shared" si="1021"/>
        <v>0</v>
      </c>
      <c r="P12776" s="903">
        <f t="shared" si="1022"/>
        <v>1</v>
      </c>
      <c r="Q12776" s="893">
        <f t="shared" si="1023"/>
        <v>5</v>
      </c>
      <c r="R12776" s="894">
        <f t="shared" si="1024"/>
        <v>0</v>
      </c>
    </row>
    <row r="12777" spans="1:18">
      <c r="A12777" s="895"/>
      <c r="B12777" s="896"/>
      <c r="C12777" s="897"/>
      <c r="D12777" s="897"/>
      <c r="E12777" s="1002" t="s">
        <v>276</v>
      </c>
      <c r="F12777" s="1003"/>
      <c r="G12777" s="1004"/>
      <c r="H12777" s="901"/>
      <c r="I12777" s="902"/>
      <c r="J12777" s="902"/>
      <c r="K12777" s="912" t="s">
        <v>274</v>
      </c>
      <c r="L12777" s="902"/>
      <c r="M12777" s="902"/>
      <c r="N12777" s="902"/>
      <c r="O12777" s="892">
        <f t="shared" si="1021"/>
        <v>0</v>
      </c>
      <c r="P12777" s="903">
        <f t="shared" si="1022"/>
        <v>1</v>
      </c>
      <c r="Q12777" s="893">
        <f t="shared" si="1023"/>
        <v>4</v>
      </c>
      <c r="R12777" s="894">
        <f t="shared" si="1024"/>
        <v>0</v>
      </c>
    </row>
    <row r="12778" spans="1:18" s="847" customFormat="1">
      <c r="A12778" s="905"/>
      <c r="B12778" s="952"/>
      <c r="C12778" s="907">
        <v>745</v>
      </c>
      <c r="D12778" s="907" t="s">
        <v>12</v>
      </c>
      <c r="E12778" s="992" t="s">
        <v>5518</v>
      </c>
      <c r="F12778" s="905" t="s">
        <v>2674</v>
      </c>
      <c r="G12778" s="1005"/>
      <c r="H12778" s="911">
        <v>5.67</v>
      </c>
      <c r="I12778" s="912"/>
      <c r="J12778" s="912"/>
      <c r="K12778" s="912">
        <f>VLOOKUP(E12778,[5]ĐMNC!$A$7:$F$67,4,0)</f>
        <v>240557</v>
      </c>
      <c r="L12778" s="912">
        <f>H12778*K12778</f>
        <v>1363958.19</v>
      </c>
      <c r="M12778" s="912"/>
      <c r="N12778" s="912"/>
      <c r="O12778" s="892">
        <f t="shared" si="1021"/>
        <v>0</v>
      </c>
      <c r="P12778" s="903">
        <f t="shared" si="1022"/>
        <v>1</v>
      </c>
      <c r="Q12778" s="893">
        <f t="shared" si="1023"/>
        <v>3</v>
      </c>
      <c r="R12778" s="894">
        <f t="shared" si="1024"/>
        <v>0</v>
      </c>
    </row>
    <row r="12779" spans="1:18" s="904" customFormat="1">
      <c r="A12779" s="895"/>
      <c r="B12779" s="896"/>
      <c r="C12779" s="897"/>
      <c r="D12779" s="897"/>
      <c r="E12779" s="1002" t="s">
        <v>3914</v>
      </c>
      <c r="F12779" s="1003"/>
      <c r="G12779" s="1004"/>
      <c r="H12779" s="901"/>
      <c r="I12779" s="902"/>
      <c r="J12779" s="902"/>
      <c r="K12779" s="912" t="s">
        <v>274</v>
      </c>
      <c r="L12779" s="902"/>
      <c r="M12779" s="902"/>
      <c r="N12779" s="902"/>
      <c r="O12779" s="892">
        <f t="shared" si="1021"/>
        <v>0</v>
      </c>
      <c r="P12779" s="903">
        <f t="shared" si="1022"/>
        <v>1</v>
      </c>
      <c r="Q12779" s="893">
        <f t="shared" si="1023"/>
        <v>2</v>
      </c>
      <c r="R12779" s="894">
        <f t="shared" si="1024"/>
        <v>0</v>
      </c>
    </row>
    <row r="12780" spans="1:18">
      <c r="A12780" s="905"/>
      <c r="B12780" s="952" t="s">
        <v>4993</v>
      </c>
      <c r="C12780" s="907">
        <v>904</v>
      </c>
      <c r="D12780" s="907" t="s">
        <v>93</v>
      </c>
      <c r="E12780" s="992" t="s">
        <v>4994</v>
      </c>
      <c r="F12780" s="905" t="s">
        <v>2673</v>
      </c>
      <c r="G12780" s="1005"/>
      <c r="H12780" s="911">
        <v>0.25</v>
      </c>
      <c r="I12780" s="912"/>
      <c r="J12780" s="912"/>
      <c r="K12780" s="912"/>
      <c r="L12780" s="912"/>
      <c r="M12780" s="912">
        <f>VLOOKUP(B12780,MTC!$B$9:$S$933,12,0)</f>
        <v>1393090</v>
      </c>
      <c r="N12780" s="912">
        <f>M12780*H12780</f>
        <v>348272.5</v>
      </c>
      <c r="O12780" s="892">
        <f t="shared" si="1021"/>
        <v>0</v>
      </c>
      <c r="P12780" s="903">
        <f t="shared" si="1022"/>
        <v>1</v>
      </c>
      <c r="Q12780" s="893">
        <f t="shared" si="1023"/>
        <v>1</v>
      </c>
      <c r="R12780" s="894">
        <f t="shared" si="1024"/>
        <v>0</v>
      </c>
    </row>
    <row r="12781" spans="1:18" ht="31.5">
      <c r="A12781" s="905">
        <v>710</v>
      </c>
      <c r="B12781" s="914" t="s">
        <v>7232</v>
      </c>
      <c r="C12781" s="915"/>
      <c r="D12781" s="915"/>
      <c r="E12781" s="1006" t="s">
        <v>7233</v>
      </c>
      <c r="F12781" s="917" t="s">
        <v>159</v>
      </c>
      <c r="G12781" s="1008"/>
      <c r="H12781" s="919"/>
      <c r="I12781" s="920"/>
      <c r="J12781" s="891">
        <f>SUM(J12782:J12789)</f>
        <v>73400</v>
      </c>
      <c r="K12781" s="891"/>
      <c r="L12781" s="891">
        <f>SUM(L12782:L12789)</f>
        <v>1558809.36</v>
      </c>
      <c r="M12781" s="891"/>
      <c r="N12781" s="891">
        <f>SUM(N12782:N12789)</f>
        <v>348272.5</v>
      </c>
      <c r="O12781" s="892">
        <f t="shared" si="1021"/>
        <v>1</v>
      </c>
      <c r="P12781" s="903">
        <f t="shared" si="1022"/>
        <v>0</v>
      </c>
      <c r="Q12781" s="893">
        <f t="shared" si="1023"/>
        <v>0</v>
      </c>
      <c r="R12781" s="894">
        <f t="shared" si="1024"/>
        <v>8</v>
      </c>
    </row>
    <row r="12782" spans="1:18" s="904" customFormat="1">
      <c r="A12782" s="895"/>
      <c r="B12782" s="896"/>
      <c r="C12782" s="897"/>
      <c r="D12782" s="897"/>
      <c r="E12782" s="1002" t="s">
        <v>108</v>
      </c>
      <c r="F12782" s="1003"/>
      <c r="G12782" s="1004"/>
      <c r="H12782" s="901"/>
      <c r="I12782" s="902"/>
      <c r="J12782" s="902"/>
      <c r="K12782" s="912" t="s">
        <v>274</v>
      </c>
      <c r="L12782" s="902"/>
      <c r="M12782" s="902"/>
      <c r="N12782" s="902"/>
      <c r="O12782" s="892">
        <f t="shared" si="1021"/>
        <v>0</v>
      </c>
      <c r="P12782" s="903">
        <f t="shared" si="1022"/>
        <v>1</v>
      </c>
      <c r="Q12782" s="893">
        <f t="shared" si="1023"/>
        <v>8</v>
      </c>
      <c r="R12782" s="894">
        <f t="shared" si="1024"/>
        <v>0</v>
      </c>
    </row>
    <row r="12783" spans="1:18">
      <c r="A12783" s="905"/>
      <c r="B12783" s="952"/>
      <c r="C12783" s="907">
        <v>212</v>
      </c>
      <c r="D12783" s="907" t="s">
        <v>279</v>
      </c>
      <c r="E12783" s="992" t="s">
        <v>2681</v>
      </c>
      <c r="F12783" s="905" t="s">
        <v>45</v>
      </c>
      <c r="G12783" s="1005"/>
      <c r="H12783" s="911">
        <v>0.8</v>
      </c>
      <c r="I12783" s="912">
        <f>VLOOKUP(E12783,[3]VLP!$B$7:$K$300,10,0)</f>
        <v>23000</v>
      </c>
      <c r="J12783" s="912">
        <f>I12783*H12783</f>
        <v>18400</v>
      </c>
      <c r="K12783" s="912" t="s">
        <v>274</v>
      </c>
      <c r="L12783" s="912"/>
      <c r="M12783" s="912"/>
      <c r="N12783" s="912"/>
      <c r="O12783" s="892">
        <f t="shared" si="1021"/>
        <v>0</v>
      </c>
      <c r="P12783" s="903">
        <f t="shared" si="1022"/>
        <v>1</v>
      </c>
      <c r="Q12783" s="893">
        <f t="shared" si="1023"/>
        <v>7</v>
      </c>
      <c r="R12783" s="894">
        <f t="shared" si="1024"/>
        <v>0</v>
      </c>
    </row>
    <row r="12784" spans="1:18" s="847" customFormat="1">
      <c r="A12784" s="905"/>
      <c r="B12784" s="952"/>
      <c r="C12784" s="907">
        <v>235</v>
      </c>
      <c r="D12784" s="907" t="s">
        <v>279</v>
      </c>
      <c r="E12784" s="992" t="s">
        <v>2682</v>
      </c>
      <c r="F12784" s="905" t="s">
        <v>45</v>
      </c>
      <c r="G12784" s="1005"/>
      <c r="H12784" s="911">
        <v>1</v>
      </c>
      <c r="I12784" s="912">
        <f>VLOOKUP(E12784,[3]VLP!$B$7:$K$300,10,0)</f>
        <v>5000</v>
      </c>
      <c r="J12784" s="912">
        <f>I12784*H12784</f>
        <v>5000</v>
      </c>
      <c r="K12784" s="912" t="s">
        <v>274</v>
      </c>
      <c r="L12784" s="912"/>
      <c r="M12784" s="912"/>
      <c r="N12784" s="912"/>
      <c r="O12784" s="892">
        <f t="shared" si="1021"/>
        <v>0</v>
      </c>
      <c r="P12784" s="903">
        <f t="shared" si="1022"/>
        <v>1</v>
      </c>
      <c r="Q12784" s="893">
        <f t="shared" si="1023"/>
        <v>6</v>
      </c>
      <c r="R12784" s="894">
        <f t="shared" si="1024"/>
        <v>0</v>
      </c>
    </row>
    <row r="12785" spans="1:18" s="904" customFormat="1">
      <c r="A12785" s="905"/>
      <c r="B12785" s="952"/>
      <c r="C12785" s="907">
        <v>699</v>
      </c>
      <c r="D12785" s="907" t="s">
        <v>279</v>
      </c>
      <c r="E12785" s="992" t="s">
        <v>4006</v>
      </c>
      <c r="F12785" s="905" t="s">
        <v>4007</v>
      </c>
      <c r="G12785" s="1005"/>
      <c r="H12785" s="911">
        <v>10</v>
      </c>
      <c r="I12785" s="912">
        <f>VLOOKUP(E12785,[3]VLP!$B$7:$K$300,10,0)</f>
        <v>5000</v>
      </c>
      <c r="J12785" s="912">
        <f>I12785*H12785</f>
        <v>50000</v>
      </c>
      <c r="K12785" s="912" t="s">
        <v>274</v>
      </c>
      <c r="L12785" s="912"/>
      <c r="M12785" s="912"/>
      <c r="N12785" s="912"/>
      <c r="O12785" s="892">
        <f t="shared" si="1021"/>
        <v>0</v>
      </c>
      <c r="P12785" s="903">
        <f t="shared" si="1022"/>
        <v>1</v>
      </c>
      <c r="Q12785" s="893">
        <f t="shared" si="1023"/>
        <v>5</v>
      </c>
      <c r="R12785" s="894">
        <f t="shared" si="1024"/>
        <v>0</v>
      </c>
    </row>
    <row r="12786" spans="1:18">
      <c r="A12786" s="895"/>
      <c r="B12786" s="896"/>
      <c r="C12786" s="897"/>
      <c r="D12786" s="897"/>
      <c r="E12786" s="1002" t="s">
        <v>276</v>
      </c>
      <c r="F12786" s="1003"/>
      <c r="G12786" s="1004"/>
      <c r="H12786" s="901"/>
      <c r="I12786" s="902"/>
      <c r="J12786" s="902"/>
      <c r="K12786" s="912" t="s">
        <v>274</v>
      </c>
      <c r="L12786" s="902"/>
      <c r="M12786" s="902"/>
      <c r="N12786" s="902"/>
      <c r="O12786" s="892">
        <f t="shared" si="1021"/>
        <v>0</v>
      </c>
      <c r="P12786" s="903">
        <f t="shared" si="1022"/>
        <v>1</v>
      </c>
      <c r="Q12786" s="893">
        <f t="shared" si="1023"/>
        <v>4</v>
      </c>
      <c r="R12786" s="894">
        <f t="shared" si="1024"/>
        <v>0</v>
      </c>
    </row>
    <row r="12787" spans="1:18">
      <c r="A12787" s="905"/>
      <c r="B12787" s="952"/>
      <c r="C12787" s="907">
        <v>745</v>
      </c>
      <c r="D12787" s="907" t="s">
        <v>12</v>
      </c>
      <c r="E12787" s="992" t="s">
        <v>5518</v>
      </c>
      <c r="F12787" s="905" t="s">
        <v>2674</v>
      </c>
      <c r="G12787" s="1005"/>
      <c r="H12787" s="911">
        <v>6.48</v>
      </c>
      <c r="I12787" s="912"/>
      <c r="J12787" s="912"/>
      <c r="K12787" s="912">
        <f>VLOOKUP(E12787,[5]ĐMNC!$A$7:$F$67,4,0)</f>
        <v>240557</v>
      </c>
      <c r="L12787" s="912">
        <f>H12787*K12787</f>
        <v>1558809.36</v>
      </c>
      <c r="M12787" s="912"/>
      <c r="N12787" s="912"/>
      <c r="O12787" s="892">
        <f t="shared" si="1021"/>
        <v>0</v>
      </c>
      <c r="P12787" s="903">
        <f t="shared" si="1022"/>
        <v>1</v>
      </c>
      <c r="Q12787" s="893">
        <f t="shared" si="1023"/>
        <v>3</v>
      </c>
      <c r="R12787" s="894">
        <f t="shared" si="1024"/>
        <v>0</v>
      </c>
    </row>
    <row r="12788" spans="1:18" s="904" customFormat="1">
      <c r="A12788" s="895"/>
      <c r="B12788" s="896"/>
      <c r="C12788" s="897"/>
      <c r="D12788" s="897"/>
      <c r="E12788" s="1002" t="s">
        <v>3914</v>
      </c>
      <c r="F12788" s="1003"/>
      <c r="G12788" s="1004"/>
      <c r="H12788" s="901"/>
      <c r="I12788" s="902"/>
      <c r="J12788" s="902"/>
      <c r="K12788" s="912" t="s">
        <v>274</v>
      </c>
      <c r="L12788" s="902"/>
      <c r="M12788" s="902"/>
      <c r="N12788" s="902"/>
      <c r="O12788" s="892">
        <f t="shared" si="1021"/>
        <v>0</v>
      </c>
      <c r="P12788" s="903">
        <f t="shared" si="1022"/>
        <v>1</v>
      </c>
      <c r="Q12788" s="893">
        <f t="shared" si="1023"/>
        <v>2</v>
      </c>
      <c r="R12788" s="894">
        <f t="shared" si="1024"/>
        <v>0</v>
      </c>
    </row>
    <row r="12789" spans="1:18">
      <c r="A12789" s="905"/>
      <c r="B12789" s="952" t="s">
        <v>4993</v>
      </c>
      <c r="C12789" s="907">
        <v>904</v>
      </c>
      <c r="D12789" s="907" t="s">
        <v>93</v>
      </c>
      <c r="E12789" s="992" t="s">
        <v>4994</v>
      </c>
      <c r="F12789" s="905" t="s">
        <v>2673</v>
      </c>
      <c r="G12789" s="1005"/>
      <c r="H12789" s="911">
        <v>0.25</v>
      </c>
      <c r="I12789" s="912"/>
      <c r="J12789" s="912"/>
      <c r="K12789" s="912"/>
      <c r="L12789" s="912"/>
      <c r="M12789" s="912">
        <f>VLOOKUP(B12789,MTC!$B$9:$S$933,12,0)</f>
        <v>1393090</v>
      </c>
      <c r="N12789" s="912">
        <f>M12789*H12789</f>
        <v>348272.5</v>
      </c>
      <c r="O12789" s="892">
        <f t="shared" si="1021"/>
        <v>0</v>
      </c>
      <c r="P12789" s="903">
        <f t="shared" si="1022"/>
        <v>1</v>
      </c>
      <c r="Q12789" s="893">
        <f t="shared" si="1023"/>
        <v>1</v>
      </c>
      <c r="R12789" s="894">
        <f t="shared" si="1024"/>
        <v>0</v>
      </c>
    </row>
    <row r="12790" spans="1:18" s="847" customFormat="1">
      <c r="A12790" s="905" t="s">
        <v>7225</v>
      </c>
      <c r="B12790" s="914" t="s">
        <v>171</v>
      </c>
      <c r="C12790" s="915"/>
      <c r="D12790" s="915"/>
      <c r="E12790" s="1006" t="s">
        <v>7234</v>
      </c>
      <c r="F12790" s="917" t="s">
        <v>159</v>
      </c>
      <c r="G12790" s="1008"/>
      <c r="H12790" s="919"/>
      <c r="I12790" s="920"/>
      <c r="J12790" s="891">
        <f>SUM(J12791:J12798)</f>
        <v>63500</v>
      </c>
      <c r="K12790" s="891"/>
      <c r="L12790" s="891">
        <f>SUM(L12791:L12798)</f>
        <v>1027178.3899999999</v>
      </c>
      <c r="M12790" s="891"/>
      <c r="N12790" s="891">
        <f>SUM(N12791:N12798)</f>
        <v>348272.5</v>
      </c>
      <c r="O12790" s="892">
        <f t="shared" ref="O12790:O12853" si="1025">IF(AND(B12790&lt;&gt;"",D12790=""),1,0)</f>
        <v>1</v>
      </c>
      <c r="P12790" s="903">
        <f t="shared" si="1022"/>
        <v>0</v>
      </c>
      <c r="Q12790" s="893">
        <f t="shared" si="1023"/>
        <v>0</v>
      </c>
      <c r="R12790" s="894">
        <f t="shared" si="1024"/>
        <v>8</v>
      </c>
    </row>
    <row r="12791" spans="1:18" s="904" customFormat="1">
      <c r="A12791" s="895"/>
      <c r="B12791" s="896"/>
      <c r="C12791" s="897"/>
      <c r="D12791" s="897"/>
      <c r="E12791" s="1002" t="s">
        <v>108</v>
      </c>
      <c r="F12791" s="1003"/>
      <c r="G12791" s="1004"/>
      <c r="H12791" s="901"/>
      <c r="I12791" s="902"/>
      <c r="J12791" s="902"/>
      <c r="K12791" s="912" t="s">
        <v>274</v>
      </c>
      <c r="L12791" s="902"/>
      <c r="M12791" s="902"/>
      <c r="N12791" s="902"/>
      <c r="O12791" s="892">
        <f t="shared" si="1025"/>
        <v>0</v>
      </c>
      <c r="P12791" s="903">
        <f t="shared" si="1022"/>
        <v>1</v>
      </c>
      <c r="Q12791" s="893">
        <f t="shared" si="1023"/>
        <v>8</v>
      </c>
      <c r="R12791" s="894">
        <f t="shared" si="1024"/>
        <v>0</v>
      </c>
    </row>
    <row r="12792" spans="1:18">
      <c r="A12792" s="905"/>
      <c r="B12792" s="952"/>
      <c r="C12792" s="907">
        <v>212</v>
      </c>
      <c r="D12792" s="907" t="s">
        <v>279</v>
      </c>
      <c r="E12792" s="992" t="s">
        <v>2681</v>
      </c>
      <c r="F12792" s="905" t="s">
        <v>45</v>
      </c>
      <c r="G12792" s="1005"/>
      <c r="H12792" s="911">
        <v>0.5</v>
      </c>
      <c r="I12792" s="912">
        <f>VLOOKUP(E12792,[3]VLP!$B$7:$K$300,10,0)</f>
        <v>23000</v>
      </c>
      <c r="J12792" s="912">
        <f>I12792*H12792</f>
        <v>11500</v>
      </c>
      <c r="K12792" s="912" t="s">
        <v>274</v>
      </c>
      <c r="L12792" s="912"/>
      <c r="M12792" s="912"/>
      <c r="N12792" s="912"/>
      <c r="O12792" s="892">
        <f t="shared" si="1025"/>
        <v>0</v>
      </c>
      <c r="P12792" s="903">
        <f t="shared" si="1022"/>
        <v>1</v>
      </c>
      <c r="Q12792" s="893">
        <f t="shared" si="1023"/>
        <v>7</v>
      </c>
      <c r="R12792" s="894">
        <f t="shared" si="1024"/>
        <v>0</v>
      </c>
    </row>
    <row r="12793" spans="1:18">
      <c r="A12793" s="905"/>
      <c r="B12793" s="952"/>
      <c r="C12793" s="907">
        <v>235</v>
      </c>
      <c r="D12793" s="907" t="s">
        <v>279</v>
      </c>
      <c r="E12793" s="992" t="s">
        <v>2682</v>
      </c>
      <c r="F12793" s="905" t="s">
        <v>45</v>
      </c>
      <c r="G12793" s="1005"/>
      <c r="H12793" s="911">
        <v>0.4</v>
      </c>
      <c r="I12793" s="912">
        <f>VLOOKUP(E12793,[3]VLP!$B$7:$K$300,10,0)</f>
        <v>5000</v>
      </c>
      <c r="J12793" s="912">
        <f>I12793*H12793</f>
        <v>2000</v>
      </c>
      <c r="K12793" s="912" t="s">
        <v>274</v>
      </c>
      <c r="L12793" s="912"/>
      <c r="M12793" s="912"/>
      <c r="N12793" s="912"/>
      <c r="O12793" s="892">
        <f t="shared" si="1025"/>
        <v>0</v>
      </c>
      <c r="P12793" s="903">
        <f t="shared" si="1022"/>
        <v>1</v>
      </c>
      <c r="Q12793" s="893">
        <f t="shared" si="1023"/>
        <v>6</v>
      </c>
      <c r="R12793" s="894">
        <f t="shared" si="1024"/>
        <v>0</v>
      </c>
    </row>
    <row r="12794" spans="1:18" s="904" customFormat="1">
      <c r="A12794" s="905"/>
      <c r="B12794" s="952"/>
      <c r="C12794" s="907">
        <v>699</v>
      </c>
      <c r="D12794" s="907" t="s">
        <v>279</v>
      </c>
      <c r="E12794" s="992" t="s">
        <v>4006</v>
      </c>
      <c r="F12794" s="905" t="s">
        <v>4007</v>
      </c>
      <c r="G12794" s="1005"/>
      <c r="H12794" s="911">
        <v>10</v>
      </c>
      <c r="I12794" s="912">
        <f>VLOOKUP(E12794,[3]VLP!$B$7:$K$300,10,0)</f>
        <v>5000</v>
      </c>
      <c r="J12794" s="912">
        <f>I12794*H12794</f>
        <v>50000</v>
      </c>
      <c r="K12794" s="912" t="s">
        <v>274</v>
      </c>
      <c r="L12794" s="912"/>
      <c r="M12794" s="912"/>
      <c r="N12794" s="912"/>
      <c r="O12794" s="892">
        <f t="shared" si="1025"/>
        <v>0</v>
      </c>
      <c r="P12794" s="903">
        <f t="shared" si="1022"/>
        <v>1</v>
      </c>
      <c r="Q12794" s="893">
        <f t="shared" si="1023"/>
        <v>5</v>
      </c>
      <c r="R12794" s="894">
        <f t="shared" si="1024"/>
        <v>0</v>
      </c>
    </row>
    <row r="12795" spans="1:18">
      <c r="A12795" s="895"/>
      <c r="B12795" s="896"/>
      <c r="C12795" s="897"/>
      <c r="D12795" s="897"/>
      <c r="E12795" s="1002" t="s">
        <v>276</v>
      </c>
      <c r="F12795" s="1003"/>
      <c r="G12795" s="1004"/>
      <c r="H12795" s="901"/>
      <c r="I12795" s="902"/>
      <c r="J12795" s="902"/>
      <c r="K12795" s="912" t="s">
        <v>274</v>
      </c>
      <c r="L12795" s="902"/>
      <c r="M12795" s="902"/>
      <c r="N12795" s="902"/>
      <c r="O12795" s="892">
        <f t="shared" si="1025"/>
        <v>0</v>
      </c>
      <c r="P12795" s="903">
        <f t="shared" si="1022"/>
        <v>1</v>
      </c>
      <c r="Q12795" s="893">
        <f t="shared" si="1023"/>
        <v>4</v>
      </c>
      <c r="R12795" s="894">
        <f t="shared" si="1024"/>
        <v>0</v>
      </c>
    </row>
    <row r="12796" spans="1:18" s="847" customFormat="1">
      <c r="A12796" s="905"/>
      <c r="B12796" s="952"/>
      <c r="C12796" s="907">
        <v>745</v>
      </c>
      <c r="D12796" s="907" t="s">
        <v>12</v>
      </c>
      <c r="E12796" s="992" t="s">
        <v>5518</v>
      </c>
      <c r="F12796" s="905" t="s">
        <v>2674</v>
      </c>
      <c r="G12796" s="1005"/>
      <c r="H12796" s="911">
        <v>4.2699999999999996</v>
      </c>
      <c r="I12796" s="912"/>
      <c r="J12796" s="912"/>
      <c r="K12796" s="912">
        <f>VLOOKUP(E12796,[5]ĐMNC!$A$7:$F$67,4,0)</f>
        <v>240557</v>
      </c>
      <c r="L12796" s="912">
        <f>H12796*K12796</f>
        <v>1027178.3899999999</v>
      </c>
      <c r="M12796" s="912"/>
      <c r="N12796" s="912"/>
      <c r="O12796" s="892">
        <f t="shared" si="1025"/>
        <v>0</v>
      </c>
      <c r="P12796" s="903">
        <f t="shared" si="1022"/>
        <v>1</v>
      </c>
      <c r="Q12796" s="893">
        <f t="shared" si="1023"/>
        <v>3</v>
      </c>
      <c r="R12796" s="894">
        <f t="shared" si="1024"/>
        <v>0</v>
      </c>
    </row>
    <row r="12797" spans="1:18" s="904" customFormat="1">
      <c r="A12797" s="895"/>
      <c r="B12797" s="896"/>
      <c r="C12797" s="897"/>
      <c r="D12797" s="897"/>
      <c r="E12797" s="1002" t="s">
        <v>3914</v>
      </c>
      <c r="F12797" s="1003"/>
      <c r="G12797" s="1004"/>
      <c r="H12797" s="901"/>
      <c r="I12797" s="902"/>
      <c r="J12797" s="902"/>
      <c r="K12797" s="912" t="s">
        <v>274</v>
      </c>
      <c r="L12797" s="902"/>
      <c r="M12797" s="902"/>
      <c r="N12797" s="902"/>
      <c r="O12797" s="892">
        <f t="shared" si="1025"/>
        <v>0</v>
      </c>
      <c r="P12797" s="903">
        <f t="shared" si="1022"/>
        <v>1</v>
      </c>
      <c r="Q12797" s="893">
        <f t="shared" si="1023"/>
        <v>2</v>
      </c>
      <c r="R12797" s="894">
        <f t="shared" si="1024"/>
        <v>0</v>
      </c>
    </row>
    <row r="12798" spans="1:18">
      <c r="A12798" s="905"/>
      <c r="B12798" s="952" t="s">
        <v>4993</v>
      </c>
      <c r="C12798" s="907">
        <v>904</v>
      </c>
      <c r="D12798" s="907" t="s">
        <v>93</v>
      </c>
      <c r="E12798" s="992" t="s">
        <v>4994</v>
      </c>
      <c r="F12798" s="905" t="s">
        <v>2673</v>
      </c>
      <c r="G12798" s="1005"/>
      <c r="H12798" s="911">
        <v>0.25</v>
      </c>
      <c r="I12798" s="912"/>
      <c r="J12798" s="912"/>
      <c r="K12798" s="912"/>
      <c r="L12798" s="912"/>
      <c r="M12798" s="912">
        <f>VLOOKUP(B12798,MTC!$B$9:$S$933,12,0)</f>
        <v>1393090</v>
      </c>
      <c r="N12798" s="912">
        <f>M12798*H12798</f>
        <v>348272.5</v>
      </c>
      <c r="O12798" s="892">
        <f t="shared" si="1025"/>
        <v>0</v>
      </c>
      <c r="P12798" s="903">
        <f t="shared" si="1022"/>
        <v>1</v>
      </c>
      <c r="Q12798" s="893">
        <f t="shared" si="1023"/>
        <v>1</v>
      </c>
      <c r="R12798" s="894">
        <f t="shared" si="1024"/>
        <v>0</v>
      </c>
    </row>
    <row r="12799" spans="1:18">
      <c r="A12799" s="905">
        <v>712</v>
      </c>
      <c r="B12799" s="914" t="s">
        <v>7235</v>
      </c>
      <c r="C12799" s="915"/>
      <c r="D12799" s="915"/>
      <c r="E12799" s="1006" t="s">
        <v>7236</v>
      </c>
      <c r="F12799" s="917" t="s">
        <v>159</v>
      </c>
      <c r="G12799" s="1008"/>
      <c r="H12799" s="919"/>
      <c r="I12799" s="920"/>
      <c r="J12799" s="891">
        <f>SUM(J12800:J12807)</f>
        <v>66300</v>
      </c>
      <c r="K12799" s="891"/>
      <c r="L12799" s="891">
        <f>SUM(L12800:L12807)</f>
        <v>1234057.4099999999</v>
      </c>
      <c r="M12799" s="891"/>
      <c r="N12799" s="891">
        <f>SUM(N12800:N12807)</f>
        <v>348272.5</v>
      </c>
      <c r="O12799" s="892">
        <f t="shared" si="1025"/>
        <v>1</v>
      </c>
      <c r="P12799" s="903">
        <f t="shared" si="1022"/>
        <v>0</v>
      </c>
      <c r="Q12799" s="893">
        <f t="shared" si="1023"/>
        <v>0</v>
      </c>
      <c r="R12799" s="894">
        <f t="shared" si="1024"/>
        <v>8</v>
      </c>
    </row>
    <row r="12800" spans="1:18" s="904" customFormat="1">
      <c r="A12800" s="895"/>
      <c r="B12800" s="896"/>
      <c r="C12800" s="897"/>
      <c r="D12800" s="897"/>
      <c r="E12800" s="1002" t="s">
        <v>108</v>
      </c>
      <c r="F12800" s="1003"/>
      <c r="G12800" s="1004"/>
      <c r="H12800" s="901"/>
      <c r="I12800" s="902"/>
      <c r="J12800" s="902"/>
      <c r="K12800" s="912" t="s">
        <v>274</v>
      </c>
      <c r="L12800" s="902"/>
      <c r="M12800" s="902"/>
      <c r="N12800" s="902"/>
      <c r="O12800" s="892">
        <f t="shared" si="1025"/>
        <v>0</v>
      </c>
      <c r="P12800" s="903">
        <f t="shared" si="1022"/>
        <v>1</v>
      </c>
      <c r="Q12800" s="893">
        <f t="shared" si="1023"/>
        <v>8</v>
      </c>
      <c r="R12800" s="894">
        <f t="shared" si="1024"/>
        <v>0</v>
      </c>
    </row>
    <row r="12801" spans="1:18">
      <c r="A12801" s="905"/>
      <c r="B12801" s="952"/>
      <c r="C12801" s="907">
        <v>212</v>
      </c>
      <c r="D12801" s="907" t="s">
        <v>279</v>
      </c>
      <c r="E12801" s="992" t="s">
        <v>2681</v>
      </c>
      <c r="F12801" s="905" t="s">
        <v>45</v>
      </c>
      <c r="G12801" s="1005"/>
      <c r="H12801" s="911">
        <v>0.6</v>
      </c>
      <c r="I12801" s="912">
        <f>VLOOKUP(E12801,[3]VLP!$B$7:$K$300,10,0)</f>
        <v>23000</v>
      </c>
      <c r="J12801" s="912">
        <f>I12801*H12801</f>
        <v>13800</v>
      </c>
      <c r="K12801" s="912" t="s">
        <v>274</v>
      </c>
      <c r="L12801" s="912"/>
      <c r="M12801" s="912"/>
      <c r="N12801" s="912"/>
      <c r="O12801" s="892">
        <f t="shared" si="1025"/>
        <v>0</v>
      </c>
      <c r="P12801" s="903">
        <f t="shared" si="1022"/>
        <v>1</v>
      </c>
      <c r="Q12801" s="893">
        <f t="shared" si="1023"/>
        <v>7</v>
      </c>
      <c r="R12801" s="894">
        <f t="shared" si="1024"/>
        <v>0</v>
      </c>
    </row>
    <row r="12802" spans="1:18" s="847" customFormat="1">
      <c r="A12802" s="905"/>
      <c r="B12802" s="952"/>
      <c r="C12802" s="907">
        <v>235</v>
      </c>
      <c r="D12802" s="907" t="s">
        <v>279</v>
      </c>
      <c r="E12802" s="992" t="s">
        <v>2682</v>
      </c>
      <c r="F12802" s="905" t="s">
        <v>45</v>
      </c>
      <c r="G12802" s="1005"/>
      <c r="H12802" s="911">
        <v>0.5</v>
      </c>
      <c r="I12802" s="912">
        <f>VLOOKUP(E12802,[3]VLP!$B$7:$K$300,10,0)</f>
        <v>5000</v>
      </c>
      <c r="J12802" s="912">
        <f>I12802*H12802</f>
        <v>2500</v>
      </c>
      <c r="K12802" s="912" t="s">
        <v>274</v>
      </c>
      <c r="L12802" s="912"/>
      <c r="M12802" s="912"/>
      <c r="N12802" s="912"/>
      <c r="O12802" s="892">
        <f t="shared" si="1025"/>
        <v>0</v>
      </c>
      <c r="P12802" s="903">
        <f t="shared" si="1022"/>
        <v>1</v>
      </c>
      <c r="Q12802" s="893">
        <f t="shared" si="1023"/>
        <v>6</v>
      </c>
      <c r="R12802" s="894">
        <f t="shared" si="1024"/>
        <v>0</v>
      </c>
    </row>
    <row r="12803" spans="1:18" s="904" customFormat="1">
      <c r="A12803" s="905"/>
      <c r="B12803" s="952"/>
      <c r="C12803" s="907">
        <v>699</v>
      </c>
      <c r="D12803" s="907" t="s">
        <v>279</v>
      </c>
      <c r="E12803" s="992" t="s">
        <v>4006</v>
      </c>
      <c r="F12803" s="905" t="s">
        <v>4007</v>
      </c>
      <c r="G12803" s="1005"/>
      <c r="H12803" s="911">
        <v>10</v>
      </c>
      <c r="I12803" s="912">
        <f>VLOOKUP(E12803,[3]VLP!$B$7:$K$300,10,0)</f>
        <v>5000</v>
      </c>
      <c r="J12803" s="912">
        <f>I12803*H12803</f>
        <v>50000</v>
      </c>
      <c r="K12803" s="912" t="s">
        <v>274</v>
      </c>
      <c r="L12803" s="912"/>
      <c r="M12803" s="912"/>
      <c r="N12803" s="912"/>
      <c r="O12803" s="892">
        <f t="shared" si="1025"/>
        <v>0</v>
      </c>
      <c r="P12803" s="903">
        <f t="shared" si="1022"/>
        <v>1</v>
      </c>
      <c r="Q12803" s="893">
        <f t="shared" si="1023"/>
        <v>5</v>
      </c>
      <c r="R12803" s="894">
        <f t="shared" si="1024"/>
        <v>0</v>
      </c>
    </row>
    <row r="12804" spans="1:18">
      <c r="A12804" s="895"/>
      <c r="B12804" s="896"/>
      <c r="C12804" s="897"/>
      <c r="D12804" s="897"/>
      <c r="E12804" s="1002" t="s">
        <v>276</v>
      </c>
      <c r="F12804" s="1003"/>
      <c r="G12804" s="1004"/>
      <c r="H12804" s="901"/>
      <c r="I12804" s="902"/>
      <c r="J12804" s="902"/>
      <c r="K12804" s="912" t="s">
        <v>274</v>
      </c>
      <c r="L12804" s="902"/>
      <c r="M12804" s="902"/>
      <c r="N12804" s="902"/>
      <c r="O12804" s="892">
        <f t="shared" si="1025"/>
        <v>0</v>
      </c>
      <c r="P12804" s="903">
        <f t="shared" si="1022"/>
        <v>1</v>
      </c>
      <c r="Q12804" s="893">
        <f t="shared" si="1023"/>
        <v>4</v>
      </c>
      <c r="R12804" s="894">
        <f t="shared" si="1024"/>
        <v>0</v>
      </c>
    </row>
    <row r="12805" spans="1:18">
      <c r="A12805" s="905"/>
      <c r="B12805" s="952"/>
      <c r="C12805" s="907">
        <v>745</v>
      </c>
      <c r="D12805" s="907" t="s">
        <v>12</v>
      </c>
      <c r="E12805" s="992" t="s">
        <v>5518</v>
      </c>
      <c r="F12805" s="905" t="s">
        <v>2674</v>
      </c>
      <c r="G12805" s="1005"/>
      <c r="H12805" s="911">
        <v>5.13</v>
      </c>
      <c r="I12805" s="912"/>
      <c r="J12805" s="912"/>
      <c r="K12805" s="912">
        <f>VLOOKUP(E12805,[5]ĐMNC!$A$7:$F$67,4,0)</f>
        <v>240557</v>
      </c>
      <c r="L12805" s="912">
        <f>H12805*K12805</f>
        <v>1234057.4099999999</v>
      </c>
      <c r="M12805" s="912"/>
      <c r="N12805" s="912"/>
      <c r="O12805" s="892">
        <f t="shared" si="1025"/>
        <v>0</v>
      </c>
      <c r="P12805" s="903">
        <f t="shared" si="1022"/>
        <v>1</v>
      </c>
      <c r="Q12805" s="893">
        <f t="shared" si="1023"/>
        <v>3</v>
      </c>
      <c r="R12805" s="894">
        <f t="shared" si="1024"/>
        <v>0</v>
      </c>
    </row>
    <row r="12806" spans="1:18" s="904" customFormat="1">
      <c r="A12806" s="895"/>
      <c r="B12806" s="896"/>
      <c r="C12806" s="897"/>
      <c r="D12806" s="897"/>
      <c r="E12806" s="1002" t="s">
        <v>3914</v>
      </c>
      <c r="F12806" s="1003"/>
      <c r="G12806" s="1004"/>
      <c r="H12806" s="901"/>
      <c r="I12806" s="902"/>
      <c r="J12806" s="902"/>
      <c r="K12806" s="912" t="s">
        <v>274</v>
      </c>
      <c r="L12806" s="902"/>
      <c r="M12806" s="902"/>
      <c r="N12806" s="902"/>
      <c r="O12806" s="892">
        <f t="shared" si="1025"/>
        <v>0</v>
      </c>
      <c r="P12806" s="903">
        <f t="shared" si="1022"/>
        <v>1</v>
      </c>
      <c r="Q12806" s="893">
        <f t="shared" si="1023"/>
        <v>2</v>
      </c>
      <c r="R12806" s="894">
        <f t="shared" si="1024"/>
        <v>0</v>
      </c>
    </row>
    <row r="12807" spans="1:18">
      <c r="A12807" s="905"/>
      <c r="B12807" s="952" t="s">
        <v>4993</v>
      </c>
      <c r="C12807" s="907">
        <v>904</v>
      </c>
      <c r="D12807" s="907" t="s">
        <v>93</v>
      </c>
      <c r="E12807" s="992" t="s">
        <v>4994</v>
      </c>
      <c r="F12807" s="905" t="s">
        <v>2673</v>
      </c>
      <c r="G12807" s="1005"/>
      <c r="H12807" s="911">
        <v>0.25</v>
      </c>
      <c r="I12807" s="912"/>
      <c r="J12807" s="912"/>
      <c r="K12807" s="912"/>
      <c r="L12807" s="912"/>
      <c r="M12807" s="912">
        <f>VLOOKUP(B12807,MTC!$B$9:$S$933,12,0)</f>
        <v>1393090</v>
      </c>
      <c r="N12807" s="912">
        <f>M12807*H12807</f>
        <v>348272.5</v>
      </c>
      <c r="O12807" s="892">
        <f t="shared" si="1025"/>
        <v>0</v>
      </c>
      <c r="P12807" s="903">
        <f t="shared" si="1022"/>
        <v>1</v>
      </c>
      <c r="Q12807" s="893">
        <f t="shared" si="1023"/>
        <v>1</v>
      </c>
      <c r="R12807" s="894">
        <f t="shared" si="1024"/>
        <v>0</v>
      </c>
    </row>
    <row r="12808" spans="1:18" s="847" customFormat="1">
      <c r="A12808" s="905">
        <v>713</v>
      </c>
      <c r="B12808" s="914" t="s">
        <v>7237</v>
      </c>
      <c r="C12808" s="915"/>
      <c r="D12808" s="915"/>
      <c r="E12808" s="1006" t="s">
        <v>7238</v>
      </c>
      <c r="F12808" s="917" t="s">
        <v>159</v>
      </c>
      <c r="G12808" s="1008"/>
      <c r="H12808" s="919"/>
      <c r="I12808" s="920"/>
      <c r="J12808" s="891">
        <f>SUM(J12809:J12816)</f>
        <v>66300</v>
      </c>
      <c r="K12808" s="891"/>
      <c r="L12808" s="891">
        <f>SUM(L12809:L12816)</f>
        <v>1438530.86</v>
      </c>
      <c r="M12808" s="891"/>
      <c r="N12808" s="891">
        <f>SUM(N12809:N12816)</f>
        <v>348272.5</v>
      </c>
      <c r="O12808" s="892">
        <f t="shared" si="1025"/>
        <v>1</v>
      </c>
      <c r="P12808" s="903">
        <f t="shared" si="1022"/>
        <v>0</v>
      </c>
      <c r="Q12808" s="893">
        <f t="shared" si="1023"/>
        <v>0</v>
      </c>
      <c r="R12808" s="894">
        <f t="shared" si="1024"/>
        <v>8</v>
      </c>
    </row>
    <row r="12809" spans="1:18" s="904" customFormat="1">
      <c r="A12809" s="895"/>
      <c r="B12809" s="896"/>
      <c r="C12809" s="897"/>
      <c r="D12809" s="897"/>
      <c r="E12809" s="1002" t="s">
        <v>108</v>
      </c>
      <c r="F12809" s="1003"/>
      <c r="G12809" s="1004"/>
      <c r="H12809" s="901"/>
      <c r="I12809" s="902"/>
      <c r="J12809" s="902"/>
      <c r="K12809" s="912" t="s">
        <v>274</v>
      </c>
      <c r="L12809" s="902"/>
      <c r="M12809" s="902"/>
      <c r="N12809" s="902"/>
      <c r="O12809" s="892">
        <f t="shared" si="1025"/>
        <v>0</v>
      </c>
      <c r="P12809" s="903">
        <f t="shared" si="1022"/>
        <v>1</v>
      </c>
      <c r="Q12809" s="893">
        <f t="shared" si="1023"/>
        <v>8</v>
      </c>
      <c r="R12809" s="894">
        <f t="shared" si="1024"/>
        <v>0</v>
      </c>
    </row>
    <row r="12810" spans="1:18">
      <c r="A12810" s="905"/>
      <c r="B12810" s="952"/>
      <c r="C12810" s="907">
        <v>212</v>
      </c>
      <c r="D12810" s="907" t="s">
        <v>279</v>
      </c>
      <c r="E12810" s="992" t="s">
        <v>2681</v>
      </c>
      <c r="F12810" s="905" t="s">
        <v>45</v>
      </c>
      <c r="G12810" s="1005"/>
      <c r="H12810" s="911">
        <v>0.6</v>
      </c>
      <c r="I12810" s="912">
        <f>VLOOKUP(E12810,[3]VLP!$B$7:$K$300,10,0)</f>
        <v>23000</v>
      </c>
      <c r="J12810" s="912">
        <f>I12810*H12810</f>
        <v>13800</v>
      </c>
      <c r="K12810" s="912" t="s">
        <v>274</v>
      </c>
      <c r="L12810" s="912"/>
      <c r="M12810" s="912"/>
      <c r="N12810" s="912"/>
      <c r="O12810" s="892">
        <f t="shared" si="1025"/>
        <v>0</v>
      </c>
      <c r="P12810" s="903">
        <f t="shared" ref="P12810:P12873" si="1026">IF(O12810=0,1,0)</f>
        <v>1</v>
      </c>
      <c r="Q12810" s="893">
        <f t="shared" ref="Q12810:Q12873" si="1027">IF(P12810=0,0,P12810+Q12811)</f>
        <v>7</v>
      </c>
      <c r="R12810" s="894">
        <f t="shared" ref="R12810:R12873" si="1028">IF(Q12810=0,Q12811,0)</f>
        <v>0</v>
      </c>
    </row>
    <row r="12811" spans="1:18">
      <c r="A12811" s="905"/>
      <c r="B12811" s="952"/>
      <c r="C12811" s="907">
        <v>235</v>
      </c>
      <c r="D12811" s="907" t="s">
        <v>279</v>
      </c>
      <c r="E12811" s="992" t="s">
        <v>2682</v>
      </c>
      <c r="F12811" s="905" t="s">
        <v>45</v>
      </c>
      <c r="G12811" s="1005"/>
      <c r="H12811" s="911">
        <v>0.5</v>
      </c>
      <c r="I12811" s="912">
        <f>VLOOKUP(E12811,[3]VLP!$B$7:$K$300,10,0)</f>
        <v>5000</v>
      </c>
      <c r="J12811" s="912">
        <f>I12811*H12811</f>
        <v>2500</v>
      </c>
      <c r="K12811" s="912" t="s">
        <v>274</v>
      </c>
      <c r="L12811" s="912"/>
      <c r="M12811" s="912"/>
      <c r="N12811" s="912"/>
      <c r="O12811" s="892">
        <f t="shared" si="1025"/>
        <v>0</v>
      </c>
      <c r="P12811" s="903">
        <f t="shared" si="1026"/>
        <v>1</v>
      </c>
      <c r="Q12811" s="893">
        <f t="shared" si="1027"/>
        <v>6</v>
      </c>
      <c r="R12811" s="894">
        <f t="shared" si="1028"/>
        <v>0</v>
      </c>
    </row>
    <row r="12812" spans="1:18" s="904" customFormat="1">
      <c r="A12812" s="905"/>
      <c r="B12812" s="952"/>
      <c r="C12812" s="907">
        <v>699</v>
      </c>
      <c r="D12812" s="907" t="s">
        <v>279</v>
      </c>
      <c r="E12812" s="992" t="s">
        <v>4006</v>
      </c>
      <c r="F12812" s="905" t="s">
        <v>4007</v>
      </c>
      <c r="G12812" s="1005"/>
      <c r="H12812" s="911">
        <v>10</v>
      </c>
      <c r="I12812" s="912">
        <f>VLOOKUP(E12812,[3]VLP!$B$7:$K$300,10,0)</f>
        <v>5000</v>
      </c>
      <c r="J12812" s="912">
        <f>I12812*H12812</f>
        <v>50000</v>
      </c>
      <c r="K12812" s="912" t="s">
        <v>274</v>
      </c>
      <c r="L12812" s="912"/>
      <c r="M12812" s="912"/>
      <c r="N12812" s="912"/>
      <c r="O12812" s="892">
        <f t="shared" si="1025"/>
        <v>0</v>
      </c>
      <c r="P12812" s="903">
        <f t="shared" si="1026"/>
        <v>1</v>
      </c>
      <c r="Q12812" s="893">
        <f t="shared" si="1027"/>
        <v>5</v>
      </c>
      <c r="R12812" s="894">
        <f t="shared" si="1028"/>
        <v>0</v>
      </c>
    </row>
    <row r="12813" spans="1:18">
      <c r="A12813" s="895"/>
      <c r="B12813" s="896"/>
      <c r="C12813" s="897"/>
      <c r="D12813" s="897"/>
      <c r="E12813" s="1002" t="s">
        <v>276</v>
      </c>
      <c r="F12813" s="1003"/>
      <c r="G12813" s="1004"/>
      <c r="H12813" s="901"/>
      <c r="I12813" s="902"/>
      <c r="J12813" s="902"/>
      <c r="K12813" s="912" t="s">
        <v>274</v>
      </c>
      <c r="L12813" s="902"/>
      <c r="M12813" s="902"/>
      <c r="N12813" s="902"/>
      <c r="O12813" s="892">
        <f t="shared" si="1025"/>
        <v>0</v>
      </c>
      <c r="P12813" s="903">
        <f t="shared" si="1026"/>
        <v>1</v>
      </c>
      <c r="Q12813" s="893">
        <f t="shared" si="1027"/>
        <v>4</v>
      </c>
      <c r="R12813" s="894">
        <f t="shared" si="1028"/>
        <v>0</v>
      </c>
    </row>
    <row r="12814" spans="1:18" s="847" customFormat="1">
      <c r="A12814" s="905"/>
      <c r="B12814" s="952"/>
      <c r="C12814" s="907">
        <v>745</v>
      </c>
      <c r="D12814" s="907" t="s">
        <v>12</v>
      </c>
      <c r="E12814" s="992" t="s">
        <v>5518</v>
      </c>
      <c r="F12814" s="905" t="s">
        <v>2674</v>
      </c>
      <c r="G12814" s="1005"/>
      <c r="H12814" s="911">
        <v>5.98</v>
      </c>
      <c r="I12814" s="912"/>
      <c r="J12814" s="912"/>
      <c r="K12814" s="912">
        <f>VLOOKUP(E12814,[5]ĐMNC!$A$7:$F$67,4,0)</f>
        <v>240557</v>
      </c>
      <c r="L12814" s="912">
        <f>H12814*K12814</f>
        <v>1438530.86</v>
      </c>
      <c r="M12814" s="912"/>
      <c r="N12814" s="912"/>
      <c r="O12814" s="892">
        <f t="shared" si="1025"/>
        <v>0</v>
      </c>
      <c r="P12814" s="903">
        <f t="shared" si="1026"/>
        <v>1</v>
      </c>
      <c r="Q12814" s="893">
        <f t="shared" si="1027"/>
        <v>3</v>
      </c>
      <c r="R12814" s="894">
        <f t="shared" si="1028"/>
        <v>0</v>
      </c>
    </row>
    <row r="12815" spans="1:18" s="904" customFormat="1">
      <c r="A12815" s="895"/>
      <c r="B12815" s="896"/>
      <c r="C12815" s="897"/>
      <c r="D12815" s="897"/>
      <c r="E12815" s="1002" t="s">
        <v>3914</v>
      </c>
      <c r="F12815" s="1003"/>
      <c r="G12815" s="1004"/>
      <c r="H12815" s="901"/>
      <c r="I12815" s="902"/>
      <c r="J12815" s="902"/>
      <c r="K12815" s="912" t="s">
        <v>274</v>
      </c>
      <c r="L12815" s="902"/>
      <c r="M12815" s="902"/>
      <c r="N12815" s="902"/>
      <c r="O12815" s="892">
        <f t="shared" si="1025"/>
        <v>0</v>
      </c>
      <c r="P12815" s="903">
        <f t="shared" si="1026"/>
        <v>1</v>
      </c>
      <c r="Q12815" s="893">
        <f t="shared" si="1027"/>
        <v>2</v>
      </c>
      <c r="R12815" s="894">
        <f t="shared" si="1028"/>
        <v>0</v>
      </c>
    </row>
    <row r="12816" spans="1:18">
      <c r="A12816" s="905"/>
      <c r="B12816" s="952" t="s">
        <v>4993</v>
      </c>
      <c r="C12816" s="907">
        <v>904</v>
      </c>
      <c r="D12816" s="907" t="s">
        <v>93</v>
      </c>
      <c r="E12816" s="992" t="s">
        <v>4994</v>
      </c>
      <c r="F12816" s="905" t="s">
        <v>2673</v>
      </c>
      <c r="G12816" s="1005"/>
      <c r="H12816" s="911">
        <v>0.25</v>
      </c>
      <c r="I12816" s="912"/>
      <c r="J12816" s="912"/>
      <c r="K12816" s="912"/>
      <c r="L12816" s="912"/>
      <c r="M12816" s="912">
        <f>VLOOKUP(B12816,MTC!$B$9:$S$933,12,0)</f>
        <v>1393090</v>
      </c>
      <c r="N12816" s="912">
        <f>M12816*H12816</f>
        <v>348272.5</v>
      </c>
      <c r="O12816" s="892">
        <f t="shared" si="1025"/>
        <v>0</v>
      </c>
      <c r="P12816" s="903">
        <f t="shared" si="1026"/>
        <v>1</v>
      </c>
      <c r="Q12816" s="893">
        <f t="shared" si="1027"/>
        <v>1</v>
      </c>
      <c r="R12816" s="894">
        <f t="shared" si="1028"/>
        <v>0</v>
      </c>
    </row>
    <row r="12817" spans="1:18">
      <c r="A12817" s="905">
        <v>714</v>
      </c>
      <c r="B12817" s="914" t="s">
        <v>7239</v>
      </c>
      <c r="C12817" s="915"/>
      <c r="D12817" s="915"/>
      <c r="E12817" s="1006" t="s">
        <v>7240</v>
      </c>
      <c r="F12817" s="917" t="s">
        <v>159</v>
      </c>
      <c r="G12817" s="1008"/>
      <c r="H12817" s="919"/>
      <c r="I12817" s="920"/>
      <c r="J12817" s="891">
        <f>SUM(J12818:J12825)</f>
        <v>73400</v>
      </c>
      <c r="K12817" s="891"/>
      <c r="L12817" s="891">
        <f>SUM(L12818:L12825)</f>
        <v>1645409.88</v>
      </c>
      <c r="M12817" s="891"/>
      <c r="N12817" s="891">
        <f>SUM(N12818:N12825)</f>
        <v>348272.5</v>
      </c>
      <c r="O12817" s="892">
        <f t="shared" si="1025"/>
        <v>1</v>
      </c>
      <c r="P12817" s="903">
        <f t="shared" si="1026"/>
        <v>0</v>
      </c>
      <c r="Q12817" s="893">
        <f t="shared" si="1027"/>
        <v>0</v>
      </c>
      <c r="R12817" s="894">
        <f t="shared" si="1028"/>
        <v>8</v>
      </c>
    </row>
    <row r="12818" spans="1:18" s="904" customFormat="1">
      <c r="A12818" s="895"/>
      <c r="B12818" s="896"/>
      <c r="C12818" s="897"/>
      <c r="D12818" s="897"/>
      <c r="E12818" s="1002" t="s">
        <v>108</v>
      </c>
      <c r="F12818" s="1003"/>
      <c r="G12818" s="1004"/>
      <c r="H12818" s="901"/>
      <c r="I12818" s="902"/>
      <c r="J12818" s="902"/>
      <c r="K12818" s="912" t="s">
        <v>274</v>
      </c>
      <c r="L12818" s="902"/>
      <c r="M12818" s="902"/>
      <c r="N12818" s="902"/>
      <c r="O12818" s="892">
        <f t="shared" si="1025"/>
        <v>0</v>
      </c>
      <c r="P12818" s="903">
        <f t="shared" si="1026"/>
        <v>1</v>
      </c>
      <c r="Q12818" s="893">
        <f t="shared" si="1027"/>
        <v>8</v>
      </c>
      <c r="R12818" s="894">
        <f t="shared" si="1028"/>
        <v>0</v>
      </c>
    </row>
    <row r="12819" spans="1:18">
      <c r="A12819" s="905"/>
      <c r="B12819" s="952"/>
      <c r="C12819" s="907">
        <v>212</v>
      </c>
      <c r="D12819" s="907" t="s">
        <v>279</v>
      </c>
      <c r="E12819" s="992" t="s">
        <v>2681</v>
      </c>
      <c r="F12819" s="905" t="s">
        <v>45</v>
      </c>
      <c r="G12819" s="1005"/>
      <c r="H12819" s="911">
        <v>0.8</v>
      </c>
      <c r="I12819" s="912">
        <f>VLOOKUP(E12819,[3]VLP!$B$7:$K$300,10,0)</f>
        <v>23000</v>
      </c>
      <c r="J12819" s="912">
        <f>I12819*H12819</f>
        <v>18400</v>
      </c>
      <c r="K12819" s="912" t="s">
        <v>274</v>
      </c>
      <c r="L12819" s="912"/>
      <c r="M12819" s="912"/>
      <c r="N12819" s="912"/>
      <c r="O12819" s="892">
        <f t="shared" si="1025"/>
        <v>0</v>
      </c>
      <c r="P12819" s="903">
        <f t="shared" si="1026"/>
        <v>1</v>
      </c>
      <c r="Q12819" s="893">
        <f t="shared" si="1027"/>
        <v>7</v>
      </c>
      <c r="R12819" s="894">
        <f t="shared" si="1028"/>
        <v>0</v>
      </c>
    </row>
    <row r="12820" spans="1:18" s="847" customFormat="1">
      <c r="A12820" s="905"/>
      <c r="B12820" s="952"/>
      <c r="C12820" s="907">
        <v>235</v>
      </c>
      <c r="D12820" s="907" t="s">
        <v>279</v>
      </c>
      <c r="E12820" s="992" t="s">
        <v>2682</v>
      </c>
      <c r="F12820" s="905" t="s">
        <v>45</v>
      </c>
      <c r="G12820" s="1005"/>
      <c r="H12820" s="911">
        <v>1</v>
      </c>
      <c r="I12820" s="912">
        <f>VLOOKUP(E12820,[3]VLP!$B$7:$K$300,10,0)</f>
        <v>5000</v>
      </c>
      <c r="J12820" s="912">
        <f>I12820*H12820</f>
        <v>5000</v>
      </c>
      <c r="K12820" s="912" t="s">
        <v>274</v>
      </c>
      <c r="L12820" s="912"/>
      <c r="M12820" s="912"/>
      <c r="N12820" s="912"/>
      <c r="O12820" s="892">
        <f t="shared" si="1025"/>
        <v>0</v>
      </c>
      <c r="P12820" s="903">
        <f t="shared" si="1026"/>
        <v>1</v>
      </c>
      <c r="Q12820" s="893">
        <f t="shared" si="1027"/>
        <v>6</v>
      </c>
      <c r="R12820" s="894">
        <f t="shared" si="1028"/>
        <v>0</v>
      </c>
    </row>
    <row r="12821" spans="1:18" s="904" customFormat="1">
      <c r="A12821" s="905"/>
      <c r="B12821" s="952"/>
      <c r="C12821" s="907">
        <v>699</v>
      </c>
      <c r="D12821" s="907" t="s">
        <v>279</v>
      </c>
      <c r="E12821" s="992" t="s">
        <v>4006</v>
      </c>
      <c r="F12821" s="905" t="s">
        <v>4007</v>
      </c>
      <c r="G12821" s="1005"/>
      <c r="H12821" s="911">
        <v>10</v>
      </c>
      <c r="I12821" s="912">
        <f>VLOOKUP(E12821,[3]VLP!$B$7:$K$300,10,0)</f>
        <v>5000</v>
      </c>
      <c r="J12821" s="912">
        <f>I12821*H12821</f>
        <v>50000</v>
      </c>
      <c r="K12821" s="912" t="s">
        <v>274</v>
      </c>
      <c r="L12821" s="912"/>
      <c r="M12821" s="912"/>
      <c r="N12821" s="912"/>
      <c r="O12821" s="892">
        <f t="shared" si="1025"/>
        <v>0</v>
      </c>
      <c r="P12821" s="903">
        <f t="shared" si="1026"/>
        <v>1</v>
      </c>
      <c r="Q12821" s="893">
        <f t="shared" si="1027"/>
        <v>5</v>
      </c>
      <c r="R12821" s="894">
        <f t="shared" si="1028"/>
        <v>0</v>
      </c>
    </row>
    <row r="12822" spans="1:18">
      <c r="A12822" s="895"/>
      <c r="B12822" s="896"/>
      <c r="C12822" s="897"/>
      <c r="D12822" s="897"/>
      <c r="E12822" s="1002" t="s">
        <v>276</v>
      </c>
      <c r="F12822" s="1003"/>
      <c r="G12822" s="1004"/>
      <c r="H12822" s="901"/>
      <c r="I12822" s="902"/>
      <c r="J12822" s="902"/>
      <c r="K12822" s="912" t="s">
        <v>274</v>
      </c>
      <c r="L12822" s="902"/>
      <c r="M12822" s="902"/>
      <c r="N12822" s="902"/>
      <c r="O12822" s="892">
        <f t="shared" si="1025"/>
        <v>0</v>
      </c>
      <c r="P12822" s="903">
        <f t="shared" si="1026"/>
        <v>1</v>
      </c>
      <c r="Q12822" s="893">
        <f t="shared" si="1027"/>
        <v>4</v>
      </c>
      <c r="R12822" s="894">
        <f t="shared" si="1028"/>
        <v>0</v>
      </c>
    </row>
    <row r="12823" spans="1:18">
      <c r="A12823" s="905"/>
      <c r="B12823" s="952"/>
      <c r="C12823" s="907">
        <v>745</v>
      </c>
      <c r="D12823" s="907" t="s">
        <v>12</v>
      </c>
      <c r="E12823" s="992" t="s">
        <v>5518</v>
      </c>
      <c r="F12823" s="905" t="s">
        <v>2674</v>
      </c>
      <c r="G12823" s="1005"/>
      <c r="H12823" s="911">
        <v>6.84</v>
      </c>
      <c r="I12823" s="912"/>
      <c r="J12823" s="912"/>
      <c r="K12823" s="912">
        <f>VLOOKUP(E12823,[5]ĐMNC!$A$7:$F$67,4,0)</f>
        <v>240557</v>
      </c>
      <c r="L12823" s="912">
        <f>H12823*K12823</f>
        <v>1645409.88</v>
      </c>
      <c r="M12823" s="912"/>
      <c r="N12823" s="912"/>
      <c r="O12823" s="892">
        <f t="shared" si="1025"/>
        <v>0</v>
      </c>
      <c r="P12823" s="903">
        <f t="shared" si="1026"/>
        <v>1</v>
      </c>
      <c r="Q12823" s="893">
        <f t="shared" si="1027"/>
        <v>3</v>
      </c>
      <c r="R12823" s="894">
        <f t="shared" si="1028"/>
        <v>0</v>
      </c>
    </row>
    <row r="12824" spans="1:18" s="904" customFormat="1">
      <c r="A12824" s="895"/>
      <c r="B12824" s="896"/>
      <c r="C12824" s="897"/>
      <c r="D12824" s="897"/>
      <c r="E12824" s="1002" t="s">
        <v>3914</v>
      </c>
      <c r="F12824" s="1003"/>
      <c r="G12824" s="1004"/>
      <c r="H12824" s="901"/>
      <c r="I12824" s="902"/>
      <c r="J12824" s="902"/>
      <c r="K12824" s="912" t="s">
        <v>274</v>
      </c>
      <c r="L12824" s="902"/>
      <c r="M12824" s="902"/>
      <c r="N12824" s="902"/>
      <c r="O12824" s="892">
        <f t="shared" si="1025"/>
        <v>0</v>
      </c>
      <c r="P12824" s="903">
        <f t="shared" si="1026"/>
        <v>1</v>
      </c>
      <c r="Q12824" s="893">
        <f t="shared" si="1027"/>
        <v>2</v>
      </c>
      <c r="R12824" s="894">
        <f t="shared" si="1028"/>
        <v>0</v>
      </c>
    </row>
    <row r="12825" spans="1:18">
      <c r="A12825" s="905"/>
      <c r="B12825" s="952" t="s">
        <v>4993</v>
      </c>
      <c r="C12825" s="907">
        <v>904</v>
      </c>
      <c r="D12825" s="907" t="s">
        <v>93</v>
      </c>
      <c r="E12825" s="992" t="s">
        <v>4994</v>
      </c>
      <c r="F12825" s="905" t="s">
        <v>2673</v>
      </c>
      <c r="G12825" s="1005"/>
      <c r="H12825" s="911">
        <v>0.25</v>
      </c>
      <c r="I12825" s="912"/>
      <c r="J12825" s="912"/>
      <c r="K12825" s="912"/>
      <c r="L12825" s="912"/>
      <c r="M12825" s="912">
        <f>VLOOKUP(B12825,MTC!$B$9:$S$933,12,0)</f>
        <v>1393090</v>
      </c>
      <c r="N12825" s="912">
        <f>M12825*H12825</f>
        <v>348272.5</v>
      </c>
      <c r="O12825" s="892">
        <f t="shared" si="1025"/>
        <v>0</v>
      </c>
      <c r="P12825" s="903">
        <f t="shared" si="1026"/>
        <v>1</v>
      </c>
      <c r="Q12825" s="893">
        <f t="shared" si="1027"/>
        <v>1</v>
      </c>
      <c r="R12825" s="894">
        <f t="shared" si="1028"/>
        <v>0</v>
      </c>
    </row>
    <row r="12826" spans="1:18" s="847" customFormat="1">
      <c r="A12826" s="905" t="s">
        <v>7241</v>
      </c>
      <c r="B12826" s="914" t="s">
        <v>7242</v>
      </c>
      <c r="C12826" s="915"/>
      <c r="D12826" s="915"/>
      <c r="E12826" s="1006" t="s">
        <v>7243</v>
      </c>
      <c r="F12826" s="917" t="s">
        <v>139</v>
      </c>
      <c r="G12826" s="1008"/>
      <c r="H12826" s="919"/>
      <c r="I12826" s="920"/>
      <c r="J12826" s="891">
        <f>SUM(J12827:J12833)</f>
        <v>13340.48</v>
      </c>
      <c r="K12826" s="891"/>
      <c r="L12826" s="891">
        <f>SUM(L12827:L12833)</f>
        <v>288668.39999999997</v>
      </c>
      <c r="M12826" s="891"/>
      <c r="N12826" s="891">
        <f>SUM(N12827:N12833)</f>
        <v>0</v>
      </c>
      <c r="O12826" s="892">
        <f t="shared" si="1025"/>
        <v>1</v>
      </c>
      <c r="P12826" s="903">
        <f t="shared" si="1026"/>
        <v>0</v>
      </c>
      <c r="Q12826" s="893">
        <f t="shared" si="1027"/>
        <v>0</v>
      </c>
      <c r="R12826" s="894">
        <f t="shared" si="1028"/>
        <v>7</v>
      </c>
    </row>
    <row r="12827" spans="1:18" s="904" customFormat="1">
      <c r="A12827" s="895"/>
      <c r="B12827" s="896"/>
      <c r="C12827" s="897"/>
      <c r="D12827" s="897"/>
      <c r="E12827" s="1002" t="s">
        <v>108</v>
      </c>
      <c r="F12827" s="1003"/>
      <c r="G12827" s="1004"/>
      <c r="H12827" s="901"/>
      <c r="I12827" s="902"/>
      <c r="J12827" s="902"/>
      <c r="K12827" s="912" t="s">
        <v>274</v>
      </c>
      <c r="L12827" s="902"/>
      <c r="M12827" s="902"/>
      <c r="N12827" s="902"/>
      <c r="O12827" s="892">
        <f t="shared" si="1025"/>
        <v>0</v>
      </c>
      <c r="P12827" s="903">
        <f t="shared" si="1026"/>
        <v>1</v>
      </c>
      <c r="Q12827" s="893">
        <f t="shared" si="1027"/>
        <v>7</v>
      </c>
      <c r="R12827" s="894">
        <f t="shared" si="1028"/>
        <v>0</v>
      </c>
    </row>
    <row r="12828" spans="1:18">
      <c r="A12828" s="905"/>
      <c r="B12828" s="952"/>
      <c r="C12828" s="907">
        <v>230</v>
      </c>
      <c r="D12828" s="907" t="s">
        <v>279</v>
      </c>
      <c r="E12828" s="992" t="s">
        <v>6318</v>
      </c>
      <c r="F12828" s="905" t="s">
        <v>45</v>
      </c>
      <c r="G12828" s="1005"/>
      <c r="H12828" s="911">
        <v>0.04</v>
      </c>
      <c r="I12828" s="912">
        <f>VLOOKUP(E12828,[3]VLP!$B$7:$K$300,10,0)</f>
        <v>14762</v>
      </c>
      <c r="J12828" s="912">
        <f>I12828*H12828</f>
        <v>590.48</v>
      </c>
      <c r="K12828" s="912" t="s">
        <v>274</v>
      </c>
      <c r="L12828" s="912"/>
      <c r="M12828" s="912"/>
      <c r="N12828" s="912"/>
      <c r="O12828" s="892">
        <f t="shared" si="1025"/>
        <v>0</v>
      </c>
      <c r="P12828" s="903">
        <f t="shared" si="1026"/>
        <v>1</v>
      </c>
      <c r="Q12828" s="893">
        <f t="shared" si="1027"/>
        <v>6</v>
      </c>
      <c r="R12828" s="894">
        <f t="shared" si="1028"/>
        <v>0</v>
      </c>
    </row>
    <row r="12829" spans="1:18">
      <c r="A12829" s="905"/>
      <c r="B12829" s="952"/>
      <c r="C12829" s="907">
        <v>233</v>
      </c>
      <c r="D12829" s="907" t="s">
        <v>279</v>
      </c>
      <c r="E12829" s="992" t="s">
        <v>7244</v>
      </c>
      <c r="F12829" s="905" t="s">
        <v>49</v>
      </c>
      <c r="G12829" s="1005"/>
      <c r="H12829" s="911">
        <v>0.5</v>
      </c>
      <c r="I12829" s="912">
        <f>VLOOKUP(E12829,[3]VLP!$B$7:$K$300,10,0)</f>
        <v>4500</v>
      </c>
      <c r="J12829" s="912">
        <f>I12829*H12829</f>
        <v>2250</v>
      </c>
      <c r="K12829" s="912" t="s">
        <v>274</v>
      </c>
      <c r="L12829" s="912"/>
      <c r="M12829" s="912"/>
      <c r="N12829" s="912"/>
      <c r="O12829" s="892">
        <f t="shared" si="1025"/>
        <v>0</v>
      </c>
      <c r="P12829" s="903">
        <f t="shared" si="1026"/>
        <v>1</v>
      </c>
      <c r="Q12829" s="893">
        <f t="shared" si="1027"/>
        <v>5</v>
      </c>
      <c r="R12829" s="894">
        <f t="shared" si="1028"/>
        <v>0</v>
      </c>
    </row>
    <row r="12830" spans="1:18" s="904" customFormat="1">
      <c r="A12830" s="905"/>
      <c r="B12830" s="952"/>
      <c r="C12830" s="907">
        <v>235</v>
      </c>
      <c r="D12830" s="907" t="s">
        <v>279</v>
      </c>
      <c r="E12830" s="992" t="s">
        <v>2682</v>
      </c>
      <c r="F12830" s="905" t="s">
        <v>45</v>
      </c>
      <c r="G12830" s="1005"/>
      <c r="H12830" s="911">
        <v>0.1</v>
      </c>
      <c r="I12830" s="912">
        <f>VLOOKUP(E12830,[3]VLP!$B$7:$K$300,10,0)</f>
        <v>5000</v>
      </c>
      <c r="J12830" s="912">
        <f>I12830*H12830</f>
        <v>500</v>
      </c>
      <c r="K12830" s="912" t="s">
        <v>274</v>
      </c>
      <c r="L12830" s="912"/>
      <c r="M12830" s="912"/>
      <c r="N12830" s="912"/>
      <c r="O12830" s="892">
        <f t="shared" si="1025"/>
        <v>0</v>
      </c>
      <c r="P12830" s="903">
        <f t="shared" si="1026"/>
        <v>1</v>
      </c>
      <c r="Q12830" s="893">
        <f t="shared" si="1027"/>
        <v>4</v>
      </c>
      <c r="R12830" s="894">
        <f t="shared" si="1028"/>
        <v>0</v>
      </c>
    </row>
    <row r="12831" spans="1:18">
      <c r="A12831" s="905"/>
      <c r="B12831" s="952"/>
      <c r="C12831" s="907">
        <v>699</v>
      </c>
      <c r="D12831" s="907" t="s">
        <v>279</v>
      </c>
      <c r="E12831" s="992" t="s">
        <v>4006</v>
      </c>
      <c r="F12831" s="905" t="s">
        <v>4007</v>
      </c>
      <c r="G12831" s="1005"/>
      <c r="H12831" s="911">
        <v>2</v>
      </c>
      <c r="I12831" s="912">
        <f>VLOOKUP(E12831,[3]VLP!$B$7:$K$300,10,0)</f>
        <v>5000</v>
      </c>
      <c r="J12831" s="912">
        <f>I12831*H12831</f>
        <v>10000</v>
      </c>
      <c r="K12831" s="912" t="s">
        <v>274</v>
      </c>
      <c r="L12831" s="912"/>
      <c r="M12831" s="912"/>
      <c r="N12831" s="912"/>
      <c r="O12831" s="892">
        <f t="shared" si="1025"/>
        <v>0</v>
      </c>
      <c r="P12831" s="903">
        <f t="shared" si="1026"/>
        <v>1</v>
      </c>
      <c r="Q12831" s="893">
        <f t="shared" si="1027"/>
        <v>3</v>
      </c>
      <c r="R12831" s="894">
        <f t="shared" si="1028"/>
        <v>0</v>
      </c>
    </row>
    <row r="12832" spans="1:18" s="847" customFormat="1">
      <c r="A12832" s="895"/>
      <c r="B12832" s="896"/>
      <c r="C12832" s="897"/>
      <c r="D12832" s="897"/>
      <c r="E12832" s="1002" t="s">
        <v>276</v>
      </c>
      <c r="F12832" s="1003"/>
      <c r="G12832" s="1004"/>
      <c r="H12832" s="901"/>
      <c r="I12832" s="902"/>
      <c r="J12832" s="902"/>
      <c r="K12832" s="912" t="s">
        <v>274</v>
      </c>
      <c r="L12832" s="902"/>
      <c r="M12832" s="902"/>
      <c r="N12832" s="902"/>
      <c r="O12832" s="892">
        <f t="shared" si="1025"/>
        <v>0</v>
      </c>
      <c r="P12832" s="903">
        <f t="shared" si="1026"/>
        <v>1</v>
      </c>
      <c r="Q12832" s="893">
        <f t="shared" si="1027"/>
        <v>2</v>
      </c>
      <c r="R12832" s="894">
        <f t="shared" si="1028"/>
        <v>0</v>
      </c>
    </row>
    <row r="12833" spans="1:18" s="904" customFormat="1">
      <c r="A12833" s="905"/>
      <c r="B12833" s="952"/>
      <c r="C12833" s="907">
        <v>745</v>
      </c>
      <c r="D12833" s="907" t="s">
        <v>12</v>
      </c>
      <c r="E12833" s="992" t="s">
        <v>5518</v>
      </c>
      <c r="F12833" s="905" t="s">
        <v>2674</v>
      </c>
      <c r="G12833" s="1005"/>
      <c r="H12833" s="911">
        <v>1.2</v>
      </c>
      <c r="I12833" s="912"/>
      <c r="J12833" s="912"/>
      <c r="K12833" s="912">
        <f>VLOOKUP(E12833,[5]ĐMNC!$A$7:$F$67,4,0)</f>
        <v>240557</v>
      </c>
      <c r="L12833" s="912">
        <f>H12833*K12833</f>
        <v>288668.39999999997</v>
      </c>
      <c r="M12833" s="912"/>
      <c r="N12833" s="912"/>
      <c r="O12833" s="892">
        <f t="shared" si="1025"/>
        <v>0</v>
      </c>
      <c r="P12833" s="903">
        <f t="shared" si="1026"/>
        <v>1</v>
      </c>
      <c r="Q12833" s="893">
        <f t="shared" si="1027"/>
        <v>1</v>
      </c>
      <c r="R12833" s="894">
        <f t="shared" si="1028"/>
        <v>0</v>
      </c>
    </row>
    <row r="12834" spans="1:18">
      <c r="A12834" s="905">
        <v>716</v>
      </c>
      <c r="B12834" s="914" t="s">
        <v>7245</v>
      </c>
      <c r="C12834" s="915"/>
      <c r="D12834" s="915"/>
      <c r="E12834" s="1006" t="s">
        <v>7246</v>
      </c>
      <c r="F12834" s="917" t="s">
        <v>139</v>
      </c>
      <c r="G12834" s="1008"/>
      <c r="H12834" s="919"/>
      <c r="I12834" s="920"/>
      <c r="J12834" s="891">
        <f>SUM(J12835:J12841)</f>
        <v>12440.48</v>
      </c>
      <c r="K12834" s="891"/>
      <c r="L12834" s="891">
        <f>SUM(L12835:L12841)</f>
        <v>74512.400000000009</v>
      </c>
      <c r="M12834" s="891"/>
      <c r="N12834" s="891">
        <f>SUM(N12835:N12841)</f>
        <v>0</v>
      </c>
      <c r="O12834" s="892">
        <f t="shared" si="1025"/>
        <v>1</v>
      </c>
      <c r="P12834" s="903">
        <f t="shared" si="1026"/>
        <v>0</v>
      </c>
      <c r="Q12834" s="893">
        <f t="shared" si="1027"/>
        <v>0</v>
      </c>
      <c r="R12834" s="894">
        <f t="shared" si="1028"/>
        <v>7</v>
      </c>
    </row>
    <row r="12835" spans="1:18">
      <c r="A12835" s="895"/>
      <c r="B12835" s="896"/>
      <c r="C12835" s="897"/>
      <c r="D12835" s="897"/>
      <c r="E12835" s="1002" t="s">
        <v>108</v>
      </c>
      <c r="F12835" s="1003"/>
      <c r="G12835" s="1004"/>
      <c r="H12835" s="901"/>
      <c r="I12835" s="902"/>
      <c r="J12835" s="902"/>
      <c r="K12835" s="912" t="s">
        <v>274</v>
      </c>
      <c r="L12835" s="902"/>
      <c r="M12835" s="902"/>
      <c r="N12835" s="902"/>
      <c r="O12835" s="892">
        <f t="shared" si="1025"/>
        <v>0</v>
      </c>
      <c r="P12835" s="903">
        <f t="shared" si="1026"/>
        <v>1</v>
      </c>
      <c r="Q12835" s="893">
        <f t="shared" si="1027"/>
        <v>7</v>
      </c>
      <c r="R12835" s="894">
        <f t="shared" si="1028"/>
        <v>0</v>
      </c>
    </row>
    <row r="12836" spans="1:18" s="904" customFormat="1">
      <c r="A12836" s="905"/>
      <c r="B12836" s="952"/>
      <c r="C12836" s="907">
        <v>230</v>
      </c>
      <c r="D12836" s="907" t="s">
        <v>279</v>
      </c>
      <c r="E12836" s="992" t="s">
        <v>6318</v>
      </c>
      <c r="F12836" s="905" t="s">
        <v>45</v>
      </c>
      <c r="G12836" s="1005"/>
      <c r="H12836" s="911">
        <v>0.04</v>
      </c>
      <c r="I12836" s="912">
        <f>VLOOKUP(E12836,[3]VLP!$B$7:$K$300,10,0)</f>
        <v>14762</v>
      </c>
      <c r="J12836" s="912">
        <f>I12836*H12836</f>
        <v>590.48</v>
      </c>
      <c r="K12836" s="912" t="s">
        <v>274</v>
      </c>
      <c r="L12836" s="912"/>
      <c r="M12836" s="912"/>
      <c r="N12836" s="912"/>
      <c r="O12836" s="892">
        <f t="shared" si="1025"/>
        <v>0</v>
      </c>
      <c r="P12836" s="903">
        <f t="shared" si="1026"/>
        <v>1</v>
      </c>
      <c r="Q12836" s="893">
        <f t="shared" si="1027"/>
        <v>6</v>
      </c>
      <c r="R12836" s="894">
        <f t="shared" si="1028"/>
        <v>0</v>
      </c>
    </row>
    <row r="12837" spans="1:18">
      <c r="A12837" s="905"/>
      <c r="B12837" s="952"/>
      <c r="C12837" s="907">
        <v>233</v>
      </c>
      <c r="D12837" s="907" t="s">
        <v>279</v>
      </c>
      <c r="E12837" s="992" t="s">
        <v>7244</v>
      </c>
      <c r="F12837" s="905" t="s">
        <v>49</v>
      </c>
      <c r="G12837" s="1005"/>
      <c r="H12837" s="911">
        <v>0.3</v>
      </c>
      <c r="I12837" s="912">
        <f>VLOOKUP(E12837,[3]VLP!$B$7:$K$300,10,0)</f>
        <v>4500</v>
      </c>
      <c r="J12837" s="912">
        <f>I12837*H12837</f>
        <v>1350</v>
      </c>
      <c r="K12837" s="912" t="s">
        <v>274</v>
      </c>
      <c r="L12837" s="912"/>
      <c r="M12837" s="912"/>
      <c r="N12837" s="912"/>
      <c r="O12837" s="892">
        <f t="shared" si="1025"/>
        <v>0</v>
      </c>
      <c r="P12837" s="903">
        <f t="shared" si="1026"/>
        <v>1</v>
      </c>
      <c r="Q12837" s="893">
        <f t="shared" si="1027"/>
        <v>5</v>
      </c>
      <c r="R12837" s="894">
        <f t="shared" si="1028"/>
        <v>0</v>
      </c>
    </row>
    <row r="12838" spans="1:18" s="847" customFormat="1">
      <c r="A12838" s="905"/>
      <c r="B12838" s="952"/>
      <c r="C12838" s="907">
        <v>235</v>
      </c>
      <c r="D12838" s="907" t="s">
        <v>279</v>
      </c>
      <c r="E12838" s="992" t="s">
        <v>2682</v>
      </c>
      <c r="F12838" s="905" t="s">
        <v>45</v>
      </c>
      <c r="G12838" s="1005"/>
      <c r="H12838" s="911">
        <v>0.1</v>
      </c>
      <c r="I12838" s="912">
        <f>VLOOKUP(E12838,[3]VLP!$B$7:$K$300,10,0)</f>
        <v>5000</v>
      </c>
      <c r="J12838" s="912">
        <f>I12838*H12838</f>
        <v>500</v>
      </c>
      <c r="K12838" s="912" t="s">
        <v>274</v>
      </c>
      <c r="L12838" s="912"/>
      <c r="M12838" s="912"/>
      <c r="N12838" s="912"/>
      <c r="O12838" s="892">
        <f t="shared" si="1025"/>
        <v>0</v>
      </c>
      <c r="P12838" s="903">
        <f t="shared" si="1026"/>
        <v>1</v>
      </c>
      <c r="Q12838" s="893">
        <f t="shared" si="1027"/>
        <v>4</v>
      </c>
      <c r="R12838" s="894">
        <f t="shared" si="1028"/>
        <v>0</v>
      </c>
    </row>
    <row r="12839" spans="1:18" s="904" customFormat="1">
      <c r="A12839" s="905"/>
      <c r="B12839" s="952"/>
      <c r="C12839" s="907">
        <v>699</v>
      </c>
      <c r="D12839" s="907" t="s">
        <v>279</v>
      </c>
      <c r="E12839" s="992" t="s">
        <v>4006</v>
      </c>
      <c r="F12839" s="905" t="s">
        <v>4007</v>
      </c>
      <c r="G12839" s="1005"/>
      <c r="H12839" s="911">
        <v>2</v>
      </c>
      <c r="I12839" s="912">
        <f>VLOOKUP(E12839,[3]VLP!$B$7:$K$300,10,0)</f>
        <v>5000</v>
      </c>
      <c r="J12839" s="912">
        <f>I12839*H12839</f>
        <v>10000</v>
      </c>
      <c r="K12839" s="912" t="s">
        <v>274</v>
      </c>
      <c r="L12839" s="912"/>
      <c r="M12839" s="912"/>
      <c r="N12839" s="912"/>
      <c r="O12839" s="892">
        <f t="shared" si="1025"/>
        <v>0</v>
      </c>
      <c r="P12839" s="903">
        <f t="shared" si="1026"/>
        <v>1</v>
      </c>
      <c r="Q12839" s="893">
        <f t="shared" si="1027"/>
        <v>3</v>
      </c>
      <c r="R12839" s="894">
        <f t="shared" si="1028"/>
        <v>0</v>
      </c>
    </row>
    <row r="12840" spans="1:18">
      <c r="A12840" s="895"/>
      <c r="B12840" s="896"/>
      <c r="C12840" s="897"/>
      <c r="D12840" s="897"/>
      <c r="E12840" s="1002" t="s">
        <v>276</v>
      </c>
      <c r="F12840" s="1003"/>
      <c r="G12840" s="1004"/>
      <c r="H12840" s="901"/>
      <c r="I12840" s="902"/>
      <c r="J12840" s="902"/>
      <c r="K12840" s="912" t="s">
        <v>274</v>
      </c>
      <c r="L12840" s="902"/>
      <c r="M12840" s="902"/>
      <c r="N12840" s="902"/>
      <c r="O12840" s="892">
        <f t="shared" si="1025"/>
        <v>0</v>
      </c>
      <c r="P12840" s="903">
        <f t="shared" si="1026"/>
        <v>1</v>
      </c>
      <c r="Q12840" s="893">
        <f t="shared" si="1027"/>
        <v>2</v>
      </c>
      <c r="R12840" s="894">
        <f t="shared" si="1028"/>
        <v>0</v>
      </c>
    </row>
    <row r="12841" spans="1:18">
      <c r="A12841" s="905"/>
      <c r="B12841" s="952"/>
      <c r="C12841" s="907">
        <v>730</v>
      </c>
      <c r="D12841" s="907" t="s">
        <v>12</v>
      </c>
      <c r="E12841" s="992" t="s">
        <v>3921</v>
      </c>
      <c r="F12841" s="905" t="s">
        <v>2674</v>
      </c>
      <c r="G12841" s="1005"/>
      <c r="H12841" s="911">
        <v>0.4</v>
      </c>
      <c r="I12841" s="912"/>
      <c r="J12841" s="912"/>
      <c r="K12841" s="912">
        <f>VLOOKUP(E12841,[5]ĐMNC!$A$7:$F$67,4,0)</f>
        <v>186281</v>
      </c>
      <c r="L12841" s="912">
        <f>H12841*K12841</f>
        <v>74512.400000000009</v>
      </c>
      <c r="M12841" s="912"/>
      <c r="N12841" s="912"/>
      <c r="O12841" s="892">
        <f t="shared" si="1025"/>
        <v>0</v>
      </c>
      <c r="P12841" s="903">
        <f t="shared" si="1026"/>
        <v>1</v>
      </c>
      <c r="Q12841" s="893">
        <f t="shared" si="1027"/>
        <v>1</v>
      </c>
      <c r="R12841" s="894">
        <f t="shared" si="1028"/>
        <v>0</v>
      </c>
    </row>
    <row r="12842" spans="1:18" s="904" customFormat="1">
      <c r="A12842" s="905">
        <v>717</v>
      </c>
      <c r="B12842" s="914" t="s">
        <v>7247</v>
      </c>
      <c r="C12842" s="915"/>
      <c r="D12842" s="915"/>
      <c r="E12842" s="1006" t="s">
        <v>7248</v>
      </c>
      <c r="F12842" s="917" t="s">
        <v>139</v>
      </c>
      <c r="G12842" s="1008"/>
      <c r="H12842" s="919"/>
      <c r="I12842" s="920"/>
      <c r="J12842" s="891">
        <f>SUM(J12843:J12849)</f>
        <v>11990.48</v>
      </c>
      <c r="K12842" s="891"/>
      <c r="L12842" s="891">
        <f>SUM(L12843:L12849)</f>
        <v>28866.84</v>
      </c>
      <c r="M12842" s="891"/>
      <c r="N12842" s="891">
        <f>SUM(N12843:N12849)</f>
        <v>0</v>
      </c>
      <c r="O12842" s="892">
        <f t="shared" si="1025"/>
        <v>1</v>
      </c>
      <c r="P12842" s="903">
        <f t="shared" si="1026"/>
        <v>0</v>
      </c>
      <c r="Q12842" s="893">
        <f t="shared" si="1027"/>
        <v>0</v>
      </c>
      <c r="R12842" s="894">
        <f t="shared" si="1028"/>
        <v>7</v>
      </c>
    </row>
    <row r="12843" spans="1:18">
      <c r="A12843" s="895"/>
      <c r="B12843" s="896"/>
      <c r="C12843" s="897"/>
      <c r="D12843" s="897"/>
      <c r="E12843" s="1002" t="s">
        <v>108</v>
      </c>
      <c r="F12843" s="1003"/>
      <c r="G12843" s="1004"/>
      <c r="H12843" s="901"/>
      <c r="I12843" s="902"/>
      <c r="J12843" s="902"/>
      <c r="K12843" s="912" t="s">
        <v>274</v>
      </c>
      <c r="L12843" s="902"/>
      <c r="M12843" s="902"/>
      <c r="N12843" s="902"/>
      <c r="O12843" s="892">
        <f t="shared" si="1025"/>
        <v>0</v>
      </c>
      <c r="P12843" s="903">
        <f t="shared" si="1026"/>
        <v>1</v>
      </c>
      <c r="Q12843" s="893">
        <f t="shared" si="1027"/>
        <v>7</v>
      </c>
      <c r="R12843" s="894">
        <f t="shared" si="1028"/>
        <v>0</v>
      </c>
    </row>
    <row r="12844" spans="1:18" s="847" customFormat="1">
      <c r="A12844" s="905"/>
      <c r="B12844" s="952"/>
      <c r="C12844" s="907">
        <v>230</v>
      </c>
      <c r="D12844" s="907" t="s">
        <v>279</v>
      </c>
      <c r="E12844" s="992" t="s">
        <v>6318</v>
      </c>
      <c r="F12844" s="905" t="s">
        <v>45</v>
      </c>
      <c r="G12844" s="1005"/>
      <c r="H12844" s="911">
        <v>0.04</v>
      </c>
      <c r="I12844" s="912">
        <f>VLOOKUP(E12844,[3]VLP!$B$7:$K$300,10,0)</f>
        <v>14762</v>
      </c>
      <c r="J12844" s="912">
        <f>I12844*H12844</f>
        <v>590.48</v>
      </c>
      <c r="K12844" s="912" t="s">
        <v>274</v>
      </c>
      <c r="L12844" s="912"/>
      <c r="M12844" s="912"/>
      <c r="N12844" s="912"/>
      <c r="O12844" s="892">
        <f t="shared" si="1025"/>
        <v>0</v>
      </c>
      <c r="P12844" s="903">
        <f t="shared" si="1026"/>
        <v>1</v>
      </c>
      <c r="Q12844" s="893">
        <f t="shared" si="1027"/>
        <v>6</v>
      </c>
      <c r="R12844" s="894">
        <f t="shared" si="1028"/>
        <v>0</v>
      </c>
    </row>
    <row r="12845" spans="1:18" s="904" customFormat="1">
      <c r="A12845" s="905"/>
      <c r="B12845" s="952"/>
      <c r="C12845" s="907">
        <v>233</v>
      </c>
      <c r="D12845" s="907" t="s">
        <v>279</v>
      </c>
      <c r="E12845" s="992" t="s">
        <v>7244</v>
      </c>
      <c r="F12845" s="905" t="s">
        <v>49</v>
      </c>
      <c r="G12845" s="1005"/>
      <c r="H12845" s="911">
        <v>0.2</v>
      </c>
      <c r="I12845" s="912">
        <f>VLOOKUP(E12845,[3]VLP!$B$7:$K$300,10,0)</f>
        <v>4500</v>
      </c>
      <c r="J12845" s="912">
        <f>I12845*H12845</f>
        <v>900</v>
      </c>
      <c r="K12845" s="912" t="s">
        <v>274</v>
      </c>
      <c r="L12845" s="912"/>
      <c r="M12845" s="912"/>
      <c r="N12845" s="912"/>
      <c r="O12845" s="892">
        <f t="shared" si="1025"/>
        <v>0</v>
      </c>
      <c r="P12845" s="903">
        <f t="shared" si="1026"/>
        <v>1</v>
      </c>
      <c r="Q12845" s="893">
        <f t="shared" si="1027"/>
        <v>5</v>
      </c>
      <c r="R12845" s="894">
        <f t="shared" si="1028"/>
        <v>0</v>
      </c>
    </row>
    <row r="12846" spans="1:18">
      <c r="A12846" s="905"/>
      <c r="B12846" s="952"/>
      <c r="C12846" s="907">
        <v>235</v>
      </c>
      <c r="D12846" s="907" t="s">
        <v>279</v>
      </c>
      <c r="E12846" s="992" t="s">
        <v>2682</v>
      </c>
      <c r="F12846" s="905" t="s">
        <v>45</v>
      </c>
      <c r="G12846" s="1005"/>
      <c r="H12846" s="911">
        <v>0.1</v>
      </c>
      <c r="I12846" s="912">
        <f>VLOOKUP(E12846,[3]VLP!$B$7:$K$300,10,0)</f>
        <v>5000</v>
      </c>
      <c r="J12846" s="912">
        <f>I12846*H12846</f>
        <v>500</v>
      </c>
      <c r="K12846" s="912" t="s">
        <v>274</v>
      </c>
      <c r="L12846" s="912"/>
      <c r="M12846" s="912"/>
      <c r="N12846" s="912"/>
      <c r="O12846" s="892">
        <f t="shared" si="1025"/>
        <v>0</v>
      </c>
      <c r="P12846" s="903">
        <f t="shared" si="1026"/>
        <v>1</v>
      </c>
      <c r="Q12846" s="893">
        <f t="shared" si="1027"/>
        <v>4</v>
      </c>
      <c r="R12846" s="894">
        <f t="shared" si="1028"/>
        <v>0</v>
      </c>
    </row>
    <row r="12847" spans="1:18">
      <c r="A12847" s="905"/>
      <c r="B12847" s="952"/>
      <c r="C12847" s="907">
        <v>699</v>
      </c>
      <c r="D12847" s="907" t="s">
        <v>279</v>
      </c>
      <c r="E12847" s="992" t="s">
        <v>4006</v>
      </c>
      <c r="F12847" s="905" t="s">
        <v>4007</v>
      </c>
      <c r="G12847" s="1005"/>
      <c r="H12847" s="911">
        <v>2</v>
      </c>
      <c r="I12847" s="912">
        <f>VLOOKUP(E12847,[3]VLP!$B$7:$K$300,10,0)</f>
        <v>5000</v>
      </c>
      <c r="J12847" s="912">
        <f>I12847*H12847</f>
        <v>10000</v>
      </c>
      <c r="K12847" s="912" t="s">
        <v>274</v>
      </c>
      <c r="L12847" s="912"/>
      <c r="M12847" s="912"/>
      <c r="N12847" s="912"/>
      <c r="O12847" s="892">
        <f t="shared" si="1025"/>
        <v>0</v>
      </c>
      <c r="P12847" s="903">
        <f t="shared" si="1026"/>
        <v>1</v>
      </c>
      <c r="Q12847" s="893">
        <f t="shared" si="1027"/>
        <v>3</v>
      </c>
      <c r="R12847" s="894">
        <f t="shared" si="1028"/>
        <v>0</v>
      </c>
    </row>
    <row r="12848" spans="1:18" s="904" customFormat="1">
      <c r="A12848" s="895"/>
      <c r="B12848" s="896"/>
      <c r="C12848" s="897"/>
      <c r="D12848" s="897"/>
      <c r="E12848" s="1002" t="s">
        <v>276</v>
      </c>
      <c r="F12848" s="1003"/>
      <c r="G12848" s="1004"/>
      <c r="H12848" s="901"/>
      <c r="I12848" s="902"/>
      <c r="J12848" s="902"/>
      <c r="K12848" s="912" t="s">
        <v>274</v>
      </c>
      <c r="L12848" s="902"/>
      <c r="M12848" s="902"/>
      <c r="N12848" s="902"/>
      <c r="O12848" s="892">
        <f t="shared" si="1025"/>
        <v>0</v>
      </c>
      <c r="P12848" s="903">
        <f t="shared" si="1026"/>
        <v>1</v>
      </c>
      <c r="Q12848" s="893">
        <f t="shared" si="1027"/>
        <v>2</v>
      </c>
      <c r="R12848" s="894">
        <f t="shared" si="1028"/>
        <v>0</v>
      </c>
    </row>
    <row r="12849" spans="1:18">
      <c r="A12849" s="905"/>
      <c r="B12849" s="952"/>
      <c r="C12849" s="907">
        <v>745</v>
      </c>
      <c r="D12849" s="907" t="s">
        <v>12</v>
      </c>
      <c r="E12849" s="992" t="s">
        <v>5518</v>
      </c>
      <c r="F12849" s="905" t="s">
        <v>2674</v>
      </c>
      <c r="G12849" s="1005"/>
      <c r="H12849" s="911">
        <v>0.12</v>
      </c>
      <c r="I12849" s="912"/>
      <c r="J12849" s="912"/>
      <c r="K12849" s="912">
        <f>VLOOKUP(E12849,[5]ĐMNC!$A$7:$F$67,4,0)</f>
        <v>240557</v>
      </c>
      <c r="L12849" s="912">
        <f>H12849*K12849</f>
        <v>28866.84</v>
      </c>
      <c r="M12849" s="912"/>
      <c r="N12849" s="912"/>
      <c r="O12849" s="892">
        <f t="shared" si="1025"/>
        <v>0</v>
      </c>
      <c r="P12849" s="903">
        <f t="shared" si="1026"/>
        <v>1</v>
      </c>
      <c r="Q12849" s="893">
        <f t="shared" si="1027"/>
        <v>1</v>
      </c>
      <c r="R12849" s="894">
        <f t="shared" si="1028"/>
        <v>0</v>
      </c>
    </row>
    <row r="12850" spans="1:18" s="847" customFormat="1">
      <c r="A12850" s="905">
        <v>718</v>
      </c>
      <c r="B12850" s="914" t="s">
        <v>7249</v>
      </c>
      <c r="C12850" s="915"/>
      <c r="D12850" s="915"/>
      <c r="E12850" s="1006" t="s">
        <v>2514</v>
      </c>
      <c r="F12850" s="917" t="s">
        <v>139</v>
      </c>
      <c r="G12850" s="1008"/>
      <c r="H12850" s="919"/>
      <c r="I12850" s="920"/>
      <c r="J12850" s="891">
        <f>SUM(J12851:J12857)</f>
        <v>12440.48</v>
      </c>
      <c r="K12850" s="891"/>
      <c r="L12850" s="891">
        <f>SUM(L12851:L12857)</f>
        <v>96222.8</v>
      </c>
      <c r="M12850" s="891"/>
      <c r="N12850" s="891">
        <f>SUM(N12851:N12857)</f>
        <v>0</v>
      </c>
      <c r="O12850" s="892">
        <f t="shared" si="1025"/>
        <v>1</v>
      </c>
      <c r="P12850" s="903">
        <f t="shared" si="1026"/>
        <v>0</v>
      </c>
      <c r="Q12850" s="893">
        <f t="shared" si="1027"/>
        <v>0</v>
      </c>
      <c r="R12850" s="894">
        <f t="shared" si="1028"/>
        <v>7</v>
      </c>
    </row>
    <row r="12851" spans="1:18" s="904" customFormat="1">
      <c r="A12851" s="895"/>
      <c r="B12851" s="896"/>
      <c r="C12851" s="897"/>
      <c r="D12851" s="897"/>
      <c r="E12851" s="1002" t="s">
        <v>108</v>
      </c>
      <c r="F12851" s="1003"/>
      <c r="G12851" s="1004"/>
      <c r="H12851" s="901"/>
      <c r="I12851" s="902"/>
      <c r="J12851" s="902"/>
      <c r="K12851" s="912" t="s">
        <v>274</v>
      </c>
      <c r="L12851" s="902"/>
      <c r="M12851" s="902"/>
      <c r="N12851" s="902"/>
      <c r="O12851" s="892">
        <f t="shared" si="1025"/>
        <v>0</v>
      </c>
      <c r="P12851" s="903">
        <f t="shared" si="1026"/>
        <v>1</v>
      </c>
      <c r="Q12851" s="893">
        <f t="shared" si="1027"/>
        <v>7</v>
      </c>
      <c r="R12851" s="894">
        <f t="shared" si="1028"/>
        <v>0</v>
      </c>
    </row>
    <row r="12852" spans="1:18">
      <c r="A12852" s="905"/>
      <c r="B12852" s="952"/>
      <c r="C12852" s="907">
        <v>230</v>
      </c>
      <c r="D12852" s="907" t="s">
        <v>279</v>
      </c>
      <c r="E12852" s="992" t="s">
        <v>6318</v>
      </c>
      <c r="F12852" s="905" t="s">
        <v>45</v>
      </c>
      <c r="G12852" s="1005"/>
      <c r="H12852" s="911">
        <v>0.04</v>
      </c>
      <c r="I12852" s="912">
        <f>VLOOKUP(E12852,[3]VLP!$B$7:$K$300,10,0)</f>
        <v>14762</v>
      </c>
      <c r="J12852" s="912">
        <f>I12852*H12852</f>
        <v>590.48</v>
      </c>
      <c r="K12852" s="912" t="s">
        <v>274</v>
      </c>
      <c r="L12852" s="912"/>
      <c r="M12852" s="912"/>
      <c r="N12852" s="912"/>
      <c r="O12852" s="892">
        <f t="shared" si="1025"/>
        <v>0</v>
      </c>
      <c r="P12852" s="903">
        <f t="shared" si="1026"/>
        <v>1</v>
      </c>
      <c r="Q12852" s="893">
        <f t="shared" si="1027"/>
        <v>6</v>
      </c>
      <c r="R12852" s="894">
        <f t="shared" si="1028"/>
        <v>0</v>
      </c>
    </row>
    <row r="12853" spans="1:18">
      <c r="A12853" s="905"/>
      <c r="B12853" s="952"/>
      <c r="C12853" s="907">
        <v>233</v>
      </c>
      <c r="D12853" s="907" t="s">
        <v>279</v>
      </c>
      <c r="E12853" s="992" t="s">
        <v>7244</v>
      </c>
      <c r="F12853" s="905" t="s">
        <v>49</v>
      </c>
      <c r="G12853" s="1005"/>
      <c r="H12853" s="911">
        <v>0.3</v>
      </c>
      <c r="I12853" s="912">
        <f>VLOOKUP(E12853,[3]VLP!$B$7:$K$300,10,0)</f>
        <v>4500</v>
      </c>
      <c r="J12853" s="912">
        <f>I12853*H12853</f>
        <v>1350</v>
      </c>
      <c r="K12853" s="912" t="s">
        <v>274</v>
      </c>
      <c r="L12853" s="912"/>
      <c r="M12853" s="912"/>
      <c r="N12853" s="912"/>
      <c r="O12853" s="892">
        <f t="shared" si="1025"/>
        <v>0</v>
      </c>
      <c r="P12853" s="903">
        <f t="shared" si="1026"/>
        <v>1</v>
      </c>
      <c r="Q12853" s="893">
        <f t="shared" si="1027"/>
        <v>5</v>
      </c>
      <c r="R12853" s="894">
        <f t="shared" si="1028"/>
        <v>0</v>
      </c>
    </row>
    <row r="12854" spans="1:18" s="904" customFormat="1">
      <c r="A12854" s="905"/>
      <c r="B12854" s="952"/>
      <c r="C12854" s="907">
        <v>235</v>
      </c>
      <c r="D12854" s="907" t="s">
        <v>279</v>
      </c>
      <c r="E12854" s="992" t="s">
        <v>2682</v>
      </c>
      <c r="F12854" s="905" t="s">
        <v>45</v>
      </c>
      <c r="G12854" s="1005"/>
      <c r="H12854" s="911">
        <v>0.1</v>
      </c>
      <c r="I12854" s="912">
        <f>VLOOKUP(E12854,[3]VLP!$B$7:$K$300,10,0)</f>
        <v>5000</v>
      </c>
      <c r="J12854" s="912">
        <f>I12854*H12854</f>
        <v>500</v>
      </c>
      <c r="K12854" s="912" t="s">
        <v>274</v>
      </c>
      <c r="L12854" s="912"/>
      <c r="M12854" s="912"/>
      <c r="N12854" s="912"/>
      <c r="O12854" s="892">
        <f t="shared" ref="O12854:O12917" si="1029">IF(AND(B12854&lt;&gt;"",D12854=""),1,0)</f>
        <v>0</v>
      </c>
      <c r="P12854" s="903">
        <f t="shared" si="1026"/>
        <v>1</v>
      </c>
      <c r="Q12854" s="893">
        <f t="shared" si="1027"/>
        <v>4</v>
      </c>
      <c r="R12854" s="894">
        <f t="shared" si="1028"/>
        <v>0</v>
      </c>
    </row>
    <row r="12855" spans="1:18">
      <c r="A12855" s="905"/>
      <c r="B12855" s="952"/>
      <c r="C12855" s="907">
        <v>699</v>
      </c>
      <c r="D12855" s="907" t="s">
        <v>279</v>
      </c>
      <c r="E12855" s="992" t="s">
        <v>4006</v>
      </c>
      <c r="F12855" s="905" t="s">
        <v>4007</v>
      </c>
      <c r="G12855" s="1005"/>
      <c r="H12855" s="911">
        <v>2</v>
      </c>
      <c r="I12855" s="912">
        <f>VLOOKUP(E12855,[3]VLP!$B$7:$K$300,10,0)</f>
        <v>5000</v>
      </c>
      <c r="J12855" s="912">
        <f>I12855*H12855</f>
        <v>10000</v>
      </c>
      <c r="K12855" s="912" t="s">
        <v>274</v>
      </c>
      <c r="L12855" s="912"/>
      <c r="M12855" s="912"/>
      <c r="N12855" s="912"/>
      <c r="O12855" s="892">
        <f t="shared" si="1029"/>
        <v>0</v>
      </c>
      <c r="P12855" s="903">
        <f t="shared" si="1026"/>
        <v>1</v>
      </c>
      <c r="Q12855" s="893">
        <f t="shared" si="1027"/>
        <v>3</v>
      </c>
      <c r="R12855" s="894">
        <f t="shared" si="1028"/>
        <v>0</v>
      </c>
    </row>
    <row r="12856" spans="1:18" s="847" customFormat="1">
      <c r="A12856" s="895"/>
      <c r="B12856" s="896"/>
      <c r="C12856" s="897"/>
      <c r="D12856" s="897"/>
      <c r="E12856" s="1002" t="s">
        <v>276</v>
      </c>
      <c r="F12856" s="1003"/>
      <c r="G12856" s="1004"/>
      <c r="H12856" s="901"/>
      <c r="I12856" s="902"/>
      <c r="J12856" s="902"/>
      <c r="K12856" s="912" t="s">
        <v>274</v>
      </c>
      <c r="L12856" s="902"/>
      <c r="M12856" s="902"/>
      <c r="N12856" s="902"/>
      <c r="O12856" s="892">
        <f t="shared" si="1029"/>
        <v>0</v>
      </c>
      <c r="P12856" s="903">
        <f t="shared" si="1026"/>
        <v>1</v>
      </c>
      <c r="Q12856" s="893">
        <f t="shared" si="1027"/>
        <v>2</v>
      </c>
      <c r="R12856" s="894">
        <f t="shared" si="1028"/>
        <v>0</v>
      </c>
    </row>
    <row r="12857" spans="1:18" s="904" customFormat="1">
      <c r="A12857" s="905"/>
      <c r="B12857" s="952"/>
      <c r="C12857" s="907">
        <v>745</v>
      </c>
      <c r="D12857" s="907" t="s">
        <v>12</v>
      </c>
      <c r="E12857" s="992" t="s">
        <v>5518</v>
      </c>
      <c r="F12857" s="905" t="s">
        <v>2674</v>
      </c>
      <c r="G12857" s="1005"/>
      <c r="H12857" s="911">
        <v>0.4</v>
      </c>
      <c r="I12857" s="912"/>
      <c r="J12857" s="912"/>
      <c r="K12857" s="912">
        <f>VLOOKUP(E12857,[5]ĐMNC!$A$7:$F$67,4,0)</f>
        <v>240557</v>
      </c>
      <c r="L12857" s="912">
        <f>H12857*K12857</f>
        <v>96222.8</v>
      </c>
      <c r="M12857" s="912"/>
      <c r="N12857" s="912"/>
      <c r="O12857" s="892">
        <f t="shared" si="1029"/>
        <v>0</v>
      </c>
      <c r="P12857" s="903">
        <f t="shared" si="1026"/>
        <v>1</v>
      </c>
      <c r="Q12857" s="893">
        <f t="shared" si="1027"/>
        <v>1</v>
      </c>
      <c r="R12857" s="894">
        <f t="shared" si="1028"/>
        <v>0</v>
      </c>
    </row>
    <row r="12858" spans="1:18">
      <c r="A12858" s="905">
        <v>719</v>
      </c>
      <c r="B12858" s="914" t="s">
        <v>7250</v>
      </c>
      <c r="C12858" s="915"/>
      <c r="D12858" s="915"/>
      <c r="E12858" s="1006" t="s">
        <v>2516</v>
      </c>
      <c r="F12858" s="917" t="s">
        <v>139</v>
      </c>
      <c r="G12858" s="1008"/>
      <c r="H12858" s="919"/>
      <c r="I12858" s="920"/>
      <c r="J12858" s="891">
        <f>SUM(J12859:J12865)</f>
        <v>12440.48</v>
      </c>
      <c r="K12858" s="891"/>
      <c r="L12858" s="891">
        <f>SUM(L12859:L12865)</f>
        <v>72167.099999999991</v>
      </c>
      <c r="M12858" s="891"/>
      <c r="N12858" s="891">
        <f>SUM(N12859:N12865)</f>
        <v>0</v>
      </c>
      <c r="O12858" s="892">
        <f t="shared" si="1029"/>
        <v>1</v>
      </c>
      <c r="P12858" s="903">
        <f t="shared" si="1026"/>
        <v>0</v>
      </c>
      <c r="Q12858" s="893">
        <f t="shared" si="1027"/>
        <v>0</v>
      </c>
      <c r="R12858" s="894">
        <f t="shared" si="1028"/>
        <v>7</v>
      </c>
    </row>
    <row r="12859" spans="1:18">
      <c r="A12859" s="895"/>
      <c r="B12859" s="896"/>
      <c r="C12859" s="897"/>
      <c r="D12859" s="897"/>
      <c r="E12859" s="1002" t="s">
        <v>108</v>
      </c>
      <c r="F12859" s="1003"/>
      <c r="G12859" s="1004"/>
      <c r="H12859" s="901"/>
      <c r="I12859" s="902"/>
      <c r="J12859" s="902"/>
      <c r="K12859" s="912" t="s">
        <v>274</v>
      </c>
      <c r="L12859" s="902"/>
      <c r="M12859" s="902"/>
      <c r="N12859" s="902"/>
      <c r="O12859" s="892">
        <f t="shared" si="1029"/>
        <v>0</v>
      </c>
      <c r="P12859" s="903">
        <f t="shared" si="1026"/>
        <v>1</v>
      </c>
      <c r="Q12859" s="893">
        <f t="shared" si="1027"/>
        <v>7</v>
      </c>
      <c r="R12859" s="894">
        <f t="shared" si="1028"/>
        <v>0</v>
      </c>
    </row>
    <row r="12860" spans="1:18" s="904" customFormat="1">
      <c r="A12860" s="905"/>
      <c r="B12860" s="952"/>
      <c r="C12860" s="907">
        <v>230</v>
      </c>
      <c r="D12860" s="907" t="s">
        <v>279</v>
      </c>
      <c r="E12860" s="992" t="s">
        <v>6318</v>
      </c>
      <c r="F12860" s="905" t="s">
        <v>45</v>
      </c>
      <c r="G12860" s="1005"/>
      <c r="H12860" s="911">
        <v>0.04</v>
      </c>
      <c r="I12860" s="912">
        <f>VLOOKUP(E12860,[3]VLP!$B$7:$K$300,10,0)</f>
        <v>14762</v>
      </c>
      <c r="J12860" s="912">
        <f>I12860*H12860</f>
        <v>590.48</v>
      </c>
      <c r="K12860" s="912" t="s">
        <v>274</v>
      </c>
      <c r="L12860" s="912"/>
      <c r="M12860" s="912"/>
      <c r="N12860" s="912"/>
      <c r="O12860" s="892">
        <f t="shared" si="1029"/>
        <v>0</v>
      </c>
      <c r="P12860" s="903">
        <f t="shared" si="1026"/>
        <v>1</v>
      </c>
      <c r="Q12860" s="893">
        <f t="shared" si="1027"/>
        <v>6</v>
      </c>
      <c r="R12860" s="894">
        <f t="shared" si="1028"/>
        <v>0</v>
      </c>
    </row>
    <row r="12861" spans="1:18">
      <c r="A12861" s="905"/>
      <c r="B12861" s="952"/>
      <c r="C12861" s="907">
        <v>233</v>
      </c>
      <c r="D12861" s="907" t="s">
        <v>279</v>
      </c>
      <c r="E12861" s="992" t="s">
        <v>7244</v>
      </c>
      <c r="F12861" s="905" t="s">
        <v>49</v>
      </c>
      <c r="G12861" s="1005"/>
      <c r="H12861" s="911">
        <v>0.3</v>
      </c>
      <c r="I12861" s="912">
        <f>VLOOKUP(E12861,[3]VLP!$B$7:$K$300,10,0)</f>
        <v>4500</v>
      </c>
      <c r="J12861" s="912">
        <f>I12861*H12861</f>
        <v>1350</v>
      </c>
      <c r="K12861" s="912" t="s">
        <v>274</v>
      </c>
      <c r="L12861" s="912"/>
      <c r="M12861" s="912"/>
      <c r="N12861" s="912"/>
      <c r="O12861" s="892">
        <f t="shared" si="1029"/>
        <v>0</v>
      </c>
      <c r="P12861" s="903">
        <f t="shared" si="1026"/>
        <v>1</v>
      </c>
      <c r="Q12861" s="893">
        <f t="shared" si="1027"/>
        <v>5</v>
      </c>
      <c r="R12861" s="894">
        <f t="shared" si="1028"/>
        <v>0</v>
      </c>
    </row>
    <row r="12862" spans="1:18" s="847" customFormat="1">
      <c r="A12862" s="905"/>
      <c r="B12862" s="952"/>
      <c r="C12862" s="907">
        <v>235</v>
      </c>
      <c r="D12862" s="907" t="s">
        <v>279</v>
      </c>
      <c r="E12862" s="992" t="s">
        <v>2682</v>
      </c>
      <c r="F12862" s="905" t="s">
        <v>45</v>
      </c>
      <c r="G12862" s="1005"/>
      <c r="H12862" s="911">
        <v>0.1</v>
      </c>
      <c r="I12862" s="912">
        <f>VLOOKUP(E12862,[3]VLP!$B$7:$K$300,10,0)</f>
        <v>5000</v>
      </c>
      <c r="J12862" s="912">
        <f>I12862*H12862</f>
        <v>500</v>
      </c>
      <c r="K12862" s="912" t="s">
        <v>274</v>
      </c>
      <c r="L12862" s="912"/>
      <c r="M12862" s="912"/>
      <c r="N12862" s="912"/>
      <c r="O12862" s="892">
        <f t="shared" si="1029"/>
        <v>0</v>
      </c>
      <c r="P12862" s="903">
        <f t="shared" si="1026"/>
        <v>1</v>
      </c>
      <c r="Q12862" s="893">
        <f t="shared" si="1027"/>
        <v>4</v>
      </c>
      <c r="R12862" s="894">
        <f t="shared" si="1028"/>
        <v>0</v>
      </c>
    </row>
    <row r="12863" spans="1:18" s="904" customFormat="1">
      <c r="A12863" s="905"/>
      <c r="B12863" s="952"/>
      <c r="C12863" s="907">
        <v>699</v>
      </c>
      <c r="D12863" s="907" t="s">
        <v>279</v>
      </c>
      <c r="E12863" s="992" t="s">
        <v>4006</v>
      </c>
      <c r="F12863" s="905" t="s">
        <v>4007</v>
      </c>
      <c r="G12863" s="1005"/>
      <c r="H12863" s="911">
        <v>2</v>
      </c>
      <c r="I12863" s="912">
        <f>VLOOKUP(E12863,[3]VLP!$B$7:$K$300,10,0)</f>
        <v>5000</v>
      </c>
      <c r="J12863" s="912">
        <f>I12863*H12863</f>
        <v>10000</v>
      </c>
      <c r="K12863" s="912" t="s">
        <v>274</v>
      </c>
      <c r="L12863" s="912"/>
      <c r="M12863" s="912"/>
      <c r="N12863" s="912"/>
      <c r="O12863" s="892">
        <f t="shared" si="1029"/>
        <v>0</v>
      </c>
      <c r="P12863" s="903">
        <f t="shared" si="1026"/>
        <v>1</v>
      </c>
      <c r="Q12863" s="893">
        <f t="shared" si="1027"/>
        <v>3</v>
      </c>
      <c r="R12863" s="894">
        <f t="shared" si="1028"/>
        <v>0</v>
      </c>
    </row>
    <row r="12864" spans="1:18">
      <c r="A12864" s="895"/>
      <c r="B12864" s="896"/>
      <c r="C12864" s="897"/>
      <c r="D12864" s="897"/>
      <c r="E12864" s="1002" t="s">
        <v>276</v>
      </c>
      <c r="F12864" s="1003"/>
      <c r="G12864" s="1004"/>
      <c r="H12864" s="901"/>
      <c r="I12864" s="902"/>
      <c r="J12864" s="902"/>
      <c r="K12864" s="912" t="s">
        <v>274</v>
      </c>
      <c r="L12864" s="902"/>
      <c r="M12864" s="902"/>
      <c r="N12864" s="902"/>
      <c r="O12864" s="892">
        <f t="shared" si="1029"/>
        <v>0</v>
      </c>
      <c r="P12864" s="903">
        <f t="shared" si="1026"/>
        <v>1</v>
      </c>
      <c r="Q12864" s="893">
        <f t="shared" si="1027"/>
        <v>2</v>
      </c>
      <c r="R12864" s="894">
        <f t="shared" si="1028"/>
        <v>0</v>
      </c>
    </row>
    <row r="12865" spans="1:18">
      <c r="A12865" s="905"/>
      <c r="B12865" s="952"/>
      <c r="C12865" s="907">
        <v>745</v>
      </c>
      <c r="D12865" s="907" t="s">
        <v>12</v>
      </c>
      <c r="E12865" s="992" t="s">
        <v>5518</v>
      </c>
      <c r="F12865" s="905" t="s">
        <v>2674</v>
      </c>
      <c r="G12865" s="1005"/>
      <c r="H12865" s="911">
        <v>0.3</v>
      </c>
      <c r="I12865" s="912"/>
      <c r="J12865" s="912"/>
      <c r="K12865" s="912">
        <f>VLOOKUP(E12865,[5]ĐMNC!$A$7:$F$67,4,0)</f>
        <v>240557</v>
      </c>
      <c r="L12865" s="912">
        <f>H12865*K12865</f>
        <v>72167.099999999991</v>
      </c>
      <c r="M12865" s="912"/>
      <c r="N12865" s="912"/>
      <c r="O12865" s="892">
        <f t="shared" si="1029"/>
        <v>0</v>
      </c>
      <c r="P12865" s="903">
        <f t="shared" si="1026"/>
        <v>1</v>
      </c>
      <c r="Q12865" s="893">
        <f t="shared" si="1027"/>
        <v>1</v>
      </c>
      <c r="R12865" s="894">
        <f t="shared" si="1028"/>
        <v>0</v>
      </c>
    </row>
    <row r="12866" spans="1:18" s="904" customFormat="1">
      <c r="A12866" s="905">
        <v>720</v>
      </c>
      <c r="B12866" s="914" t="s">
        <v>7251</v>
      </c>
      <c r="C12866" s="915"/>
      <c r="D12866" s="915"/>
      <c r="E12866" s="1006" t="s">
        <v>7252</v>
      </c>
      <c r="F12866" s="917" t="s">
        <v>139</v>
      </c>
      <c r="G12866" s="1008"/>
      <c r="H12866" s="919"/>
      <c r="I12866" s="920"/>
      <c r="J12866" s="891">
        <f>SUM(J12867:J12872)</f>
        <v>11850</v>
      </c>
      <c r="K12866" s="891"/>
      <c r="L12866" s="891">
        <f>SUM(L12867:L12872)</f>
        <v>40981.82</v>
      </c>
      <c r="M12866" s="891"/>
      <c r="N12866" s="891">
        <f>SUM(N12867:N12872)</f>
        <v>0</v>
      </c>
      <c r="O12866" s="892">
        <f t="shared" si="1029"/>
        <v>1</v>
      </c>
      <c r="P12866" s="903">
        <f t="shared" si="1026"/>
        <v>0</v>
      </c>
      <c r="Q12866" s="893">
        <f t="shared" si="1027"/>
        <v>0</v>
      </c>
      <c r="R12866" s="894">
        <f t="shared" si="1028"/>
        <v>6</v>
      </c>
    </row>
    <row r="12867" spans="1:18">
      <c r="A12867" s="895"/>
      <c r="B12867" s="896"/>
      <c r="C12867" s="897"/>
      <c r="D12867" s="897"/>
      <c r="E12867" s="1002" t="s">
        <v>108</v>
      </c>
      <c r="F12867" s="1003"/>
      <c r="G12867" s="1004"/>
      <c r="H12867" s="901"/>
      <c r="I12867" s="902"/>
      <c r="J12867" s="902"/>
      <c r="K12867" s="912" t="s">
        <v>274</v>
      </c>
      <c r="L12867" s="902"/>
      <c r="M12867" s="902"/>
      <c r="N12867" s="902"/>
      <c r="O12867" s="892">
        <f t="shared" si="1029"/>
        <v>0</v>
      </c>
      <c r="P12867" s="903">
        <f t="shared" si="1026"/>
        <v>1</v>
      </c>
      <c r="Q12867" s="893">
        <f t="shared" si="1027"/>
        <v>6</v>
      </c>
      <c r="R12867" s="894">
        <f t="shared" si="1028"/>
        <v>0</v>
      </c>
    </row>
    <row r="12868" spans="1:18" s="847" customFormat="1">
      <c r="A12868" s="905"/>
      <c r="B12868" s="952"/>
      <c r="C12868" s="907">
        <v>233</v>
      </c>
      <c r="D12868" s="907" t="s">
        <v>279</v>
      </c>
      <c r="E12868" s="992" t="s">
        <v>7244</v>
      </c>
      <c r="F12868" s="905" t="s">
        <v>49</v>
      </c>
      <c r="G12868" s="1005"/>
      <c r="H12868" s="911">
        <v>0.3</v>
      </c>
      <c r="I12868" s="912">
        <f>VLOOKUP(E12868,[3]VLP!$B$7:$K$300,10,0)</f>
        <v>4500</v>
      </c>
      <c r="J12868" s="912">
        <f>I12868*H12868</f>
        <v>1350</v>
      </c>
      <c r="K12868" s="912" t="s">
        <v>274</v>
      </c>
      <c r="L12868" s="912"/>
      <c r="M12868" s="912"/>
      <c r="N12868" s="912"/>
      <c r="O12868" s="892">
        <f t="shared" si="1029"/>
        <v>0</v>
      </c>
      <c r="P12868" s="903">
        <f t="shared" si="1026"/>
        <v>1</v>
      </c>
      <c r="Q12868" s="893">
        <f t="shared" si="1027"/>
        <v>5</v>
      </c>
      <c r="R12868" s="894">
        <f t="shared" si="1028"/>
        <v>0</v>
      </c>
    </row>
    <row r="12869" spans="1:18" s="904" customFormat="1">
      <c r="A12869" s="905"/>
      <c r="B12869" s="952"/>
      <c r="C12869" s="907">
        <v>235</v>
      </c>
      <c r="D12869" s="907" t="s">
        <v>279</v>
      </c>
      <c r="E12869" s="992" t="s">
        <v>2682</v>
      </c>
      <c r="F12869" s="905" t="s">
        <v>45</v>
      </c>
      <c r="G12869" s="1005"/>
      <c r="H12869" s="911">
        <v>0.1</v>
      </c>
      <c r="I12869" s="912">
        <f>VLOOKUP(E12869,[3]VLP!$B$7:$K$300,10,0)</f>
        <v>5000</v>
      </c>
      <c r="J12869" s="912">
        <f>I12869*H12869</f>
        <v>500</v>
      </c>
      <c r="K12869" s="912" t="s">
        <v>274</v>
      </c>
      <c r="L12869" s="912"/>
      <c r="M12869" s="912"/>
      <c r="N12869" s="912"/>
      <c r="O12869" s="892">
        <f t="shared" si="1029"/>
        <v>0</v>
      </c>
      <c r="P12869" s="903">
        <f t="shared" si="1026"/>
        <v>1</v>
      </c>
      <c r="Q12869" s="893">
        <f t="shared" si="1027"/>
        <v>4</v>
      </c>
      <c r="R12869" s="894">
        <f t="shared" si="1028"/>
        <v>0</v>
      </c>
    </row>
    <row r="12870" spans="1:18">
      <c r="A12870" s="905"/>
      <c r="B12870" s="952"/>
      <c r="C12870" s="907">
        <v>699</v>
      </c>
      <c r="D12870" s="907" t="s">
        <v>279</v>
      </c>
      <c r="E12870" s="992" t="s">
        <v>4006</v>
      </c>
      <c r="F12870" s="905" t="s">
        <v>4007</v>
      </c>
      <c r="G12870" s="1005"/>
      <c r="H12870" s="911">
        <v>2</v>
      </c>
      <c r="I12870" s="912">
        <f>VLOOKUP(E12870,[3]VLP!$B$7:$K$300,10,0)</f>
        <v>5000</v>
      </c>
      <c r="J12870" s="912">
        <f>I12870*H12870</f>
        <v>10000</v>
      </c>
      <c r="K12870" s="912" t="s">
        <v>274</v>
      </c>
      <c r="L12870" s="912"/>
      <c r="M12870" s="912"/>
      <c r="N12870" s="912"/>
      <c r="O12870" s="892">
        <f t="shared" si="1029"/>
        <v>0</v>
      </c>
      <c r="P12870" s="903">
        <f t="shared" si="1026"/>
        <v>1</v>
      </c>
      <c r="Q12870" s="893">
        <f t="shared" si="1027"/>
        <v>3</v>
      </c>
      <c r="R12870" s="894">
        <f t="shared" si="1028"/>
        <v>0</v>
      </c>
    </row>
    <row r="12871" spans="1:18">
      <c r="A12871" s="895"/>
      <c r="B12871" s="896"/>
      <c r="C12871" s="897"/>
      <c r="D12871" s="897"/>
      <c r="E12871" s="1002" t="s">
        <v>276</v>
      </c>
      <c r="F12871" s="1003"/>
      <c r="G12871" s="1004"/>
      <c r="H12871" s="901"/>
      <c r="I12871" s="902"/>
      <c r="J12871" s="902"/>
      <c r="K12871" s="912" t="s">
        <v>274</v>
      </c>
      <c r="L12871" s="902"/>
      <c r="M12871" s="902"/>
      <c r="N12871" s="902"/>
      <c r="O12871" s="892">
        <f t="shared" si="1029"/>
        <v>0</v>
      </c>
      <c r="P12871" s="903">
        <f t="shared" si="1026"/>
        <v>1</v>
      </c>
      <c r="Q12871" s="893">
        <f t="shared" si="1027"/>
        <v>2</v>
      </c>
      <c r="R12871" s="894">
        <f t="shared" si="1028"/>
        <v>0</v>
      </c>
    </row>
    <row r="12872" spans="1:18" s="904" customFormat="1">
      <c r="A12872" s="905"/>
      <c r="B12872" s="952"/>
      <c r="C12872" s="907">
        <v>730</v>
      </c>
      <c r="D12872" s="907" t="s">
        <v>12</v>
      </c>
      <c r="E12872" s="992" t="s">
        <v>3921</v>
      </c>
      <c r="F12872" s="905" t="s">
        <v>2674</v>
      </c>
      <c r="G12872" s="1005"/>
      <c r="H12872" s="911">
        <v>0.22</v>
      </c>
      <c r="I12872" s="912"/>
      <c r="J12872" s="912"/>
      <c r="K12872" s="912">
        <f>VLOOKUP(E12872,[5]ĐMNC!$A$7:$F$67,4,0)</f>
        <v>186281</v>
      </c>
      <c r="L12872" s="912">
        <f>H12872*K12872</f>
        <v>40981.82</v>
      </c>
      <c r="M12872" s="912"/>
      <c r="N12872" s="912"/>
      <c r="O12872" s="892">
        <f t="shared" si="1029"/>
        <v>0</v>
      </c>
      <c r="P12872" s="903">
        <f t="shared" si="1026"/>
        <v>1</v>
      </c>
      <c r="Q12872" s="893">
        <f t="shared" si="1027"/>
        <v>1</v>
      </c>
      <c r="R12872" s="894">
        <f t="shared" si="1028"/>
        <v>0</v>
      </c>
    </row>
    <row r="12873" spans="1:18">
      <c r="A12873" s="905" t="s">
        <v>7241</v>
      </c>
      <c r="B12873" s="914" t="s">
        <v>7253</v>
      </c>
      <c r="C12873" s="915"/>
      <c r="D12873" s="915"/>
      <c r="E12873" s="1006" t="s">
        <v>7254</v>
      </c>
      <c r="F12873" s="917" t="s">
        <v>139</v>
      </c>
      <c r="G12873" s="1008"/>
      <c r="H12873" s="919"/>
      <c r="I12873" s="920"/>
      <c r="J12873" s="891">
        <f>SUM(J12874:J12880)</f>
        <v>12500</v>
      </c>
      <c r="K12873" s="891"/>
      <c r="L12873" s="891">
        <f>SUM(L12874:L12880)</f>
        <v>360835.5</v>
      </c>
      <c r="M12873" s="891"/>
      <c r="N12873" s="891">
        <f>SUM(N12874:N12880)</f>
        <v>368817</v>
      </c>
      <c r="O12873" s="892">
        <f t="shared" si="1029"/>
        <v>1</v>
      </c>
      <c r="P12873" s="903">
        <f t="shared" si="1026"/>
        <v>0</v>
      </c>
      <c r="Q12873" s="893">
        <f t="shared" si="1027"/>
        <v>0</v>
      </c>
      <c r="R12873" s="894">
        <f t="shared" si="1028"/>
        <v>7</v>
      </c>
    </row>
    <row r="12874" spans="1:18" s="847" customFormat="1">
      <c r="A12874" s="895"/>
      <c r="B12874" s="896"/>
      <c r="C12874" s="897"/>
      <c r="D12874" s="897"/>
      <c r="E12874" s="1002" t="s">
        <v>108</v>
      </c>
      <c r="F12874" s="1003"/>
      <c r="G12874" s="1004"/>
      <c r="H12874" s="901"/>
      <c r="I12874" s="902"/>
      <c r="J12874" s="902"/>
      <c r="K12874" s="912" t="s">
        <v>274</v>
      </c>
      <c r="L12874" s="902"/>
      <c r="M12874" s="902"/>
      <c r="N12874" s="902"/>
      <c r="O12874" s="892">
        <f t="shared" si="1029"/>
        <v>0</v>
      </c>
      <c r="P12874" s="903">
        <f t="shared" ref="P12874:P12937" si="1030">IF(O12874=0,1,0)</f>
        <v>1</v>
      </c>
      <c r="Q12874" s="893">
        <f t="shared" ref="Q12874:Q12937" si="1031">IF(P12874=0,0,P12874+Q12875)</f>
        <v>7</v>
      </c>
      <c r="R12874" s="894">
        <f t="shared" ref="R12874:R12937" si="1032">IF(Q12874=0,Q12875,0)</f>
        <v>0</v>
      </c>
    </row>
    <row r="12875" spans="1:18" s="904" customFormat="1">
      <c r="A12875" s="905"/>
      <c r="B12875" s="952"/>
      <c r="C12875" s="907">
        <v>235</v>
      </c>
      <c r="D12875" s="907" t="s">
        <v>279</v>
      </c>
      <c r="E12875" s="992" t="s">
        <v>2682</v>
      </c>
      <c r="F12875" s="905" t="s">
        <v>45</v>
      </c>
      <c r="G12875" s="1005"/>
      <c r="H12875" s="911">
        <v>0.5</v>
      </c>
      <c r="I12875" s="912">
        <f>VLOOKUP(E12875,[3]VLP!$B$7:$K$300,10,0)</f>
        <v>5000</v>
      </c>
      <c r="J12875" s="912">
        <f>I12875*H12875</f>
        <v>2500</v>
      </c>
      <c r="K12875" s="912" t="s">
        <v>274</v>
      </c>
      <c r="L12875" s="912"/>
      <c r="M12875" s="912"/>
      <c r="N12875" s="912"/>
      <c r="O12875" s="892">
        <f t="shared" si="1029"/>
        <v>0</v>
      </c>
      <c r="P12875" s="903">
        <f t="shared" si="1030"/>
        <v>1</v>
      </c>
      <c r="Q12875" s="893">
        <f t="shared" si="1031"/>
        <v>6</v>
      </c>
      <c r="R12875" s="894">
        <f t="shared" si="1032"/>
        <v>0</v>
      </c>
    </row>
    <row r="12876" spans="1:18">
      <c r="A12876" s="905"/>
      <c r="B12876" s="952"/>
      <c r="C12876" s="907">
        <v>699</v>
      </c>
      <c r="D12876" s="907" t="s">
        <v>279</v>
      </c>
      <c r="E12876" s="992" t="s">
        <v>4006</v>
      </c>
      <c r="F12876" s="905" t="s">
        <v>4007</v>
      </c>
      <c r="G12876" s="1005"/>
      <c r="H12876" s="911">
        <v>2</v>
      </c>
      <c r="I12876" s="912">
        <f>VLOOKUP(E12876,[3]VLP!$B$7:$K$300,10,0)</f>
        <v>5000</v>
      </c>
      <c r="J12876" s="912">
        <f>I12876*H12876</f>
        <v>10000</v>
      </c>
      <c r="K12876" s="912" t="s">
        <v>274</v>
      </c>
      <c r="L12876" s="912"/>
      <c r="M12876" s="912"/>
      <c r="N12876" s="912"/>
      <c r="O12876" s="892">
        <f t="shared" si="1029"/>
        <v>0</v>
      </c>
      <c r="P12876" s="903">
        <f t="shared" si="1030"/>
        <v>1</v>
      </c>
      <c r="Q12876" s="893">
        <f t="shared" si="1031"/>
        <v>5</v>
      </c>
      <c r="R12876" s="894">
        <f t="shared" si="1032"/>
        <v>0</v>
      </c>
    </row>
    <row r="12877" spans="1:18">
      <c r="A12877" s="895"/>
      <c r="B12877" s="896"/>
      <c r="C12877" s="897"/>
      <c r="D12877" s="897"/>
      <c r="E12877" s="1002" t="s">
        <v>276</v>
      </c>
      <c r="F12877" s="1003"/>
      <c r="G12877" s="1004"/>
      <c r="H12877" s="901"/>
      <c r="I12877" s="902"/>
      <c r="J12877" s="902"/>
      <c r="K12877" s="912" t="s">
        <v>274</v>
      </c>
      <c r="L12877" s="902"/>
      <c r="M12877" s="902"/>
      <c r="N12877" s="902"/>
      <c r="O12877" s="892">
        <f t="shared" si="1029"/>
        <v>0</v>
      </c>
      <c r="P12877" s="903">
        <f t="shared" si="1030"/>
        <v>1</v>
      </c>
      <c r="Q12877" s="893">
        <f t="shared" si="1031"/>
        <v>4</v>
      </c>
      <c r="R12877" s="894">
        <f t="shared" si="1032"/>
        <v>0</v>
      </c>
    </row>
    <row r="12878" spans="1:18" s="904" customFormat="1">
      <c r="A12878" s="905"/>
      <c r="B12878" s="952"/>
      <c r="C12878" s="907">
        <v>745</v>
      </c>
      <c r="D12878" s="907" t="s">
        <v>12</v>
      </c>
      <c r="E12878" s="992" t="s">
        <v>5518</v>
      </c>
      <c r="F12878" s="905" t="s">
        <v>2674</v>
      </c>
      <c r="G12878" s="1005"/>
      <c r="H12878" s="911">
        <v>1.5</v>
      </c>
      <c r="I12878" s="912"/>
      <c r="J12878" s="912"/>
      <c r="K12878" s="912">
        <f>VLOOKUP(E12878,[5]ĐMNC!$A$7:$F$67,4,0)</f>
        <v>240557</v>
      </c>
      <c r="L12878" s="912">
        <f>H12878*K12878</f>
        <v>360835.5</v>
      </c>
      <c r="M12878" s="912"/>
      <c r="N12878" s="912"/>
      <c r="O12878" s="892">
        <f t="shared" si="1029"/>
        <v>0</v>
      </c>
      <c r="P12878" s="903">
        <f t="shared" si="1030"/>
        <v>1</v>
      </c>
      <c r="Q12878" s="893">
        <f t="shared" si="1031"/>
        <v>3</v>
      </c>
      <c r="R12878" s="894">
        <f t="shared" si="1032"/>
        <v>0</v>
      </c>
    </row>
    <row r="12879" spans="1:18">
      <c r="A12879" s="895"/>
      <c r="B12879" s="896"/>
      <c r="C12879" s="897"/>
      <c r="D12879" s="897"/>
      <c r="E12879" s="1002" t="s">
        <v>3914</v>
      </c>
      <c r="F12879" s="1003"/>
      <c r="G12879" s="1004"/>
      <c r="H12879" s="901"/>
      <c r="I12879" s="902"/>
      <c r="J12879" s="902"/>
      <c r="K12879" s="912" t="s">
        <v>274</v>
      </c>
      <c r="L12879" s="902"/>
      <c r="M12879" s="902"/>
      <c r="N12879" s="902"/>
      <c r="O12879" s="892">
        <f t="shared" si="1029"/>
        <v>0</v>
      </c>
      <c r="P12879" s="903">
        <f t="shared" si="1030"/>
        <v>1</v>
      </c>
      <c r="Q12879" s="893">
        <f t="shared" si="1031"/>
        <v>2</v>
      </c>
      <c r="R12879" s="894">
        <f t="shared" si="1032"/>
        <v>0</v>
      </c>
    </row>
    <row r="12880" spans="1:18" s="847" customFormat="1">
      <c r="A12880" s="905"/>
      <c r="B12880" s="946" t="s">
        <v>6321</v>
      </c>
      <c r="C12880" s="907">
        <v>900</v>
      </c>
      <c r="D12880" s="907" t="s">
        <v>93</v>
      </c>
      <c r="E12880" s="992" t="s">
        <v>6322</v>
      </c>
      <c r="F12880" s="905" t="s">
        <v>2673</v>
      </c>
      <c r="G12880" s="1005"/>
      <c r="H12880" s="911">
        <v>0.25</v>
      </c>
      <c r="I12880" s="912"/>
      <c r="J12880" s="912"/>
      <c r="K12880" s="912"/>
      <c r="L12880" s="912"/>
      <c r="M12880" s="912">
        <f>VLOOKUP(B12880,MTC!$B$9:$S$933,12,0)</f>
        <v>1475268</v>
      </c>
      <c r="N12880" s="912">
        <f>M12880*H12880</f>
        <v>368817</v>
      </c>
      <c r="O12880" s="892">
        <f t="shared" si="1029"/>
        <v>0</v>
      </c>
      <c r="P12880" s="903">
        <f t="shared" si="1030"/>
        <v>1</v>
      </c>
      <c r="Q12880" s="893">
        <f t="shared" si="1031"/>
        <v>1</v>
      </c>
      <c r="R12880" s="894">
        <f t="shared" si="1032"/>
        <v>0</v>
      </c>
    </row>
    <row r="12881" spans="1:18" s="904" customFormat="1">
      <c r="A12881" s="905">
        <v>722</v>
      </c>
      <c r="B12881" s="914" t="s">
        <v>7255</v>
      </c>
      <c r="C12881" s="915"/>
      <c r="D12881" s="915"/>
      <c r="E12881" s="1006" t="s">
        <v>7256</v>
      </c>
      <c r="F12881" s="917" t="s">
        <v>139</v>
      </c>
      <c r="G12881" s="1008"/>
      <c r="H12881" s="919"/>
      <c r="I12881" s="920"/>
      <c r="J12881" s="891">
        <f>SUM(J12882:J12887)</f>
        <v>11090.48</v>
      </c>
      <c r="K12881" s="891"/>
      <c r="L12881" s="891">
        <f>SUM(L12882:L12887)</f>
        <v>48111.4</v>
      </c>
      <c r="M12881" s="891"/>
      <c r="N12881" s="891">
        <f>SUM(N12882:N12887)</f>
        <v>0</v>
      </c>
      <c r="O12881" s="892">
        <f t="shared" si="1029"/>
        <v>1</v>
      </c>
      <c r="P12881" s="903">
        <f t="shared" si="1030"/>
        <v>0</v>
      </c>
      <c r="Q12881" s="893">
        <f t="shared" si="1031"/>
        <v>0</v>
      </c>
      <c r="R12881" s="894">
        <f t="shared" si="1032"/>
        <v>6</v>
      </c>
    </row>
    <row r="12882" spans="1:18">
      <c r="A12882" s="895"/>
      <c r="B12882" s="896"/>
      <c r="C12882" s="897"/>
      <c r="D12882" s="897"/>
      <c r="E12882" s="1002" t="s">
        <v>108</v>
      </c>
      <c r="F12882" s="1003"/>
      <c r="G12882" s="1004"/>
      <c r="H12882" s="901"/>
      <c r="I12882" s="902"/>
      <c r="J12882" s="902"/>
      <c r="K12882" s="912" t="s">
        <v>274</v>
      </c>
      <c r="L12882" s="902"/>
      <c r="M12882" s="902"/>
      <c r="N12882" s="902"/>
      <c r="O12882" s="892">
        <f t="shared" si="1029"/>
        <v>0</v>
      </c>
      <c r="P12882" s="903">
        <f t="shared" si="1030"/>
        <v>1</v>
      </c>
      <c r="Q12882" s="893">
        <f t="shared" si="1031"/>
        <v>6</v>
      </c>
      <c r="R12882" s="894">
        <f t="shared" si="1032"/>
        <v>0</v>
      </c>
    </row>
    <row r="12883" spans="1:18">
      <c r="A12883" s="905"/>
      <c r="B12883" s="952"/>
      <c r="C12883" s="907">
        <v>229</v>
      </c>
      <c r="D12883" s="907" t="s">
        <v>279</v>
      </c>
      <c r="E12883" s="992" t="s">
        <v>6318</v>
      </c>
      <c r="F12883" s="905" t="s">
        <v>45</v>
      </c>
      <c r="G12883" s="1005"/>
      <c r="H12883" s="911">
        <v>0.04</v>
      </c>
      <c r="I12883" s="912">
        <f>VLOOKUP(E12883,[3]VLP!$B$7:$K$300,10,0)</f>
        <v>14762</v>
      </c>
      <c r="J12883" s="912">
        <f>I12883*H12883</f>
        <v>590.48</v>
      </c>
      <c r="K12883" s="912" t="s">
        <v>274</v>
      </c>
      <c r="L12883" s="912"/>
      <c r="M12883" s="912"/>
      <c r="N12883" s="912"/>
      <c r="O12883" s="892">
        <f t="shared" si="1029"/>
        <v>0</v>
      </c>
      <c r="P12883" s="903">
        <f t="shared" si="1030"/>
        <v>1</v>
      </c>
      <c r="Q12883" s="893">
        <f t="shared" si="1031"/>
        <v>5</v>
      </c>
      <c r="R12883" s="894">
        <f t="shared" si="1032"/>
        <v>0</v>
      </c>
    </row>
    <row r="12884" spans="1:18" s="904" customFormat="1">
      <c r="A12884" s="905"/>
      <c r="B12884" s="952"/>
      <c r="C12884" s="907">
        <v>235</v>
      </c>
      <c r="D12884" s="907" t="s">
        <v>279</v>
      </c>
      <c r="E12884" s="992" t="s">
        <v>2682</v>
      </c>
      <c r="F12884" s="905" t="s">
        <v>45</v>
      </c>
      <c r="G12884" s="1005"/>
      <c r="H12884" s="911">
        <v>0.1</v>
      </c>
      <c r="I12884" s="912">
        <f>VLOOKUP(E12884,[3]VLP!$B$7:$K$300,10,0)</f>
        <v>5000</v>
      </c>
      <c r="J12884" s="912">
        <f>I12884*H12884</f>
        <v>500</v>
      </c>
      <c r="K12884" s="912" t="s">
        <v>274</v>
      </c>
      <c r="L12884" s="912"/>
      <c r="M12884" s="912"/>
      <c r="N12884" s="912"/>
      <c r="O12884" s="892">
        <f t="shared" si="1029"/>
        <v>0</v>
      </c>
      <c r="P12884" s="903">
        <f t="shared" si="1030"/>
        <v>1</v>
      </c>
      <c r="Q12884" s="893">
        <f t="shared" si="1031"/>
        <v>4</v>
      </c>
      <c r="R12884" s="894">
        <f t="shared" si="1032"/>
        <v>0</v>
      </c>
    </row>
    <row r="12885" spans="1:18">
      <c r="A12885" s="905"/>
      <c r="B12885" s="952"/>
      <c r="C12885" s="907">
        <v>699</v>
      </c>
      <c r="D12885" s="907" t="s">
        <v>279</v>
      </c>
      <c r="E12885" s="992" t="s">
        <v>4006</v>
      </c>
      <c r="F12885" s="905" t="s">
        <v>4007</v>
      </c>
      <c r="G12885" s="1005"/>
      <c r="H12885" s="911">
        <v>2</v>
      </c>
      <c r="I12885" s="912">
        <f>VLOOKUP(E12885,[3]VLP!$B$7:$K$300,10,0)</f>
        <v>5000</v>
      </c>
      <c r="J12885" s="912">
        <f>I12885*H12885</f>
        <v>10000</v>
      </c>
      <c r="K12885" s="912" t="s">
        <v>274</v>
      </c>
      <c r="L12885" s="912"/>
      <c r="M12885" s="912"/>
      <c r="N12885" s="912"/>
      <c r="O12885" s="892">
        <f t="shared" si="1029"/>
        <v>0</v>
      </c>
      <c r="P12885" s="903">
        <f t="shared" si="1030"/>
        <v>1</v>
      </c>
      <c r="Q12885" s="893">
        <f t="shared" si="1031"/>
        <v>3</v>
      </c>
      <c r="R12885" s="894">
        <f t="shared" si="1032"/>
        <v>0</v>
      </c>
    </row>
    <row r="12886" spans="1:18" s="847" customFormat="1">
      <c r="A12886" s="895"/>
      <c r="B12886" s="896"/>
      <c r="C12886" s="897"/>
      <c r="D12886" s="897"/>
      <c r="E12886" s="1002" t="s">
        <v>276</v>
      </c>
      <c r="F12886" s="1003"/>
      <c r="G12886" s="1004"/>
      <c r="H12886" s="901"/>
      <c r="I12886" s="902"/>
      <c r="J12886" s="902"/>
      <c r="K12886" s="912" t="s">
        <v>274</v>
      </c>
      <c r="L12886" s="902"/>
      <c r="M12886" s="902"/>
      <c r="N12886" s="902"/>
      <c r="O12886" s="892">
        <f t="shared" si="1029"/>
        <v>0</v>
      </c>
      <c r="P12886" s="903">
        <f t="shared" si="1030"/>
        <v>1</v>
      </c>
      <c r="Q12886" s="893">
        <f t="shared" si="1031"/>
        <v>2</v>
      </c>
      <c r="R12886" s="894">
        <f t="shared" si="1032"/>
        <v>0</v>
      </c>
    </row>
    <row r="12887" spans="1:18" s="904" customFormat="1">
      <c r="A12887" s="905"/>
      <c r="B12887" s="952"/>
      <c r="C12887" s="907">
        <v>745</v>
      </c>
      <c r="D12887" s="907" t="s">
        <v>12</v>
      </c>
      <c r="E12887" s="992" t="s">
        <v>5518</v>
      </c>
      <c r="F12887" s="905" t="s">
        <v>2674</v>
      </c>
      <c r="G12887" s="1005"/>
      <c r="H12887" s="911">
        <v>0.2</v>
      </c>
      <c r="I12887" s="912"/>
      <c r="J12887" s="912"/>
      <c r="K12887" s="912">
        <f>VLOOKUP(E12887,[5]ĐMNC!$A$7:$F$67,4,0)</f>
        <v>240557</v>
      </c>
      <c r="L12887" s="912">
        <f>H12887*K12887</f>
        <v>48111.4</v>
      </c>
      <c r="M12887" s="912"/>
      <c r="N12887" s="912"/>
      <c r="O12887" s="892">
        <f t="shared" si="1029"/>
        <v>0</v>
      </c>
      <c r="P12887" s="903">
        <f t="shared" si="1030"/>
        <v>1</v>
      </c>
      <c r="Q12887" s="893">
        <f t="shared" si="1031"/>
        <v>1</v>
      </c>
      <c r="R12887" s="894">
        <f t="shared" si="1032"/>
        <v>0</v>
      </c>
    </row>
    <row r="12888" spans="1:18">
      <c r="A12888" s="905">
        <v>723</v>
      </c>
      <c r="B12888" s="914" t="s">
        <v>7257</v>
      </c>
      <c r="C12888" s="915"/>
      <c r="D12888" s="915"/>
      <c r="E12888" s="1006" t="s">
        <v>7258</v>
      </c>
      <c r="F12888" s="917" t="s">
        <v>139</v>
      </c>
      <c r="G12888" s="1008"/>
      <c r="H12888" s="919"/>
      <c r="I12888" s="920"/>
      <c r="J12888" s="891">
        <f>SUM(J12889:J12894)</f>
        <v>10840.48</v>
      </c>
      <c r="K12888" s="891"/>
      <c r="L12888" s="891">
        <f>SUM(L12889:L12894)</f>
        <v>24055.7</v>
      </c>
      <c r="M12888" s="891"/>
      <c r="N12888" s="891">
        <f>SUM(N12889:N12894)</f>
        <v>0</v>
      </c>
      <c r="O12888" s="892">
        <f t="shared" si="1029"/>
        <v>1</v>
      </c>
      <c r="P12888" s="903">
        <f t="shared" si="1030"/>
        <v>0</v>
      </c>
      <c r="Q12888" s="893">
        <f t="shared" si="1031"/>
        <v>0</v>
      </c>
      <c r="R12888" s="894">
        <f t="shared" si="1032"/>
        <v>6</v>
      </c>
    </row>
    <row r="12889" spans="1:18">
      <c r="A12889" s="895"/>
      <c r="B12889" s="896"/>
      <c r="C12889" s="897"/>
      <c r="D12889" s="897"/>
      <c r="E12889" s="1002" t="s">
        <v>108</v>
      </c>
      <c r="F12889" s="1003"/>
      <c r="G12889" s="1004"/>
      <c r="H12889" s="901"/>
      <c r="I12889" s="902"/>
      <c r="J12889" s="902"/>
      <c r="K12889" s="912" t="s">
        <v>274</v>
      </c>
      <c r="L12889" s="902"/>
      <c r="M12889" s="902"/>
      <c r="N12889" s="902"/>
      <c r="O12889" s="892">
        <f t="shared" si="1029"/>
        <v>0</v>
      </c>
      <c r="P12889" s="903">
        <f t="shared" si="1030"/>
        <v>1</v>
      </c>
      <c r="Q12889" s="893">
        <f t="shared" si="1031"/>
        <v>6</v>
      </c>
      <c r="R12889" s="894">
        <f t="shared" si="1032"/>
        <v>0</v>
      </c>
    </row>
    <row r="12890" spans="1:18" s="904" customFormat="1">
      <c r="A12890" s="905"/>
      <c r="B12890" s="952"/>
      <c r="C12890" s="907">
        <v>229</v>
      </c>
      <c r="D12890" s="907" t="s">
        <v>279</v>
      </c>
      <c r="E12890" s="992" t="s">
        <v>6318</v>
      </c>
      <c r="F12890" s="905" t="s">
        <v>45</v>
      </c>
      <c r="G12890" s="1005"/>
      <c r="H12890" s="911">
        <v>0.04</v>
      </c>
      <c r="I12890" s="912">
        <f>VLOOKUP(E12890,[3]VLP!$B$7:$K$300,10,0)</f>
        <v>14762</v>
      </c>
      <c r="J12890" s="912">
        <f>I12890*H12890</f>
        <v>590.48</v>
      </c>
      <c r="K12890" s="912" t="s">
        <v>274</v>
      </c>
      <c r="L12890" s="912"/>
      <c r="M12890" s="912"/>
      <c r="N12890" s="912"/>
      <c r="O12890" s="892">
        <f t="shared" si="1029"/>
        <v>0</v>
      </c>
      <c r="P12890" s="903">
        <f t="shared" si="1030"/>
        <v>1</v>
      </c>
      <c r="Q12890" s="893">
        <f t="shared" si="1031"/>
        <v>5</v>
      </c>
      <c r="R12890" s="894">
        <f t="shared" si="1032"/>
        <v>0</v>
      </c>
    </row>
    <row r="12891" spans="1:18">
      <c r="A12891" s="905"/>
      <c r="B12891" s="952"/>
      <c r="C12891" s="907">
        <v>235</v>
      </c>
      <c r="D12891" s="907" t="s">
        <v>279</v>
      </c>
      <c r="E12891" s="992" t="s">
        <v>2682</v>
      </c>
      <c r="F12891" s="905" t="s">
        <v>45</v>
      </c>
      <c r="G12891" s="1005"/>
      <c r="H12891" s="911">
        <v>0.05</v>
      </c>
      <c r="I12891" s="912">
        <f>VLOOKUP(E12891,[3]VLP!$B$7:$K$300,10,0)</f>
        <v>5000</v>
      </c>
      <c r="J12891" s="912">
        <f>I12891*H12891</f>
        <v>250</v>
      </c>
      <c r="K12891" s="912" t="s">
        <v>274</v>
      </c>
      <c r="L12891" s="912"/>
      <c r="M12891" s="912"/>
      <c r="N12891" s="912"/>
      <c r="O12891" s="892">
        <f t="shared" si="1029"/>
        <v>0</v>
      </c>
      <c r="P12891" s="903">
        <f t="shared" si="1030"/>
        <v>1</v>
      </c>
      <c r="Q12891" s="893">
        <f t="shared" si="1031"/>
        <v>4</v>
      </c>
      <c r="R12891" s="894">
        <f t="shared" si="1032"/>
        <v>0</v>
      </c>
    </row>
    <row r="12892" spans="1:18" s="847" customFormat="1">
      <c r="A12892" s="905"/>
      <c r="B12892" s="952"/>
      <c r="C12892" s="907">
        <v>699</v>
      </c>
      <c r="D12892" s="907" t="s">
        <v>279</v>
      </c>
      <c r="E12892" s="992" t="s">
        <v>4006</v>
      </c>
      <c r="F12892" s="905" t="s">
        <v>4007</v>
      </c>
      <c r="G12892" s="1005"/>
      <c r="H12892" s="911">
        <v>2</v>
      </c>
      <c r="I12892" s="912">
        <f>VLOOKUP(E12892,[3]VLP!$B$7:$K$300,10,0)</f>
        <v>5000</v>
      </c>
      <c r="J12892" s="912">
        <f>I12892*H12892</f>
        <v>10000</v>
      </c>
      <c r="K12892" s="912" t="s">
        <v>274</v>
      </c>
      <c r="L12892" s="912"/>
      <c r="M12892" s="912"/>
      <c r="N12892" s="912"/>
      <c r="O12892" s="892">
        <f t="shared" si="1029"/>
        <v>0</v>
      </c>
      <c r="P12892" s="903">
        <f t="shared" si="1030"/>
        <v>1</v>
      </c>
      <c r="Q12892" s="893">
        <f t="shared" si="1031"/>
        <v>3</v>
      </c>
      <c r="R12892" s="894">
        <f t="shared" si="1032"/>
        <v>0</v>
      </c>
    </row>
    <row r="12893" spans="1:18" s="904" customFormat="1">
      <c r="A12893" s="895"/>
      <c r="B12893" s="896"/>
      <c r="C12893" s="897"/>
      <c r="D12893" s="897"/>
      <c r="E12893" s="1002" t="s">
        <v>276</v>
      </c>
      <c r="F12893" s="1003"/>
      <c r="G12893" s="1004"/>
      <c r="H12893" s="901"/>
      <c r="I12893" s="902"/>
      <c r="J12893" s="902"/>
      <c r="K12893" s="912" t="s">
        <v>274</v>
      </c>
      <c r="L12893" s="902"/>
      <c r="M12893" s="902"/>
      <c r="N12893" s="902"/>
      <c r="O12893" s="892">
        <f t="shared" si="1029"/>
        <v>0</v>
      </c>
      <c r="P12893" s="903">
        <f t="shared" si="1030"/>
        <v>1</v>
      </c>
      <c r="Q12893" s="893">
        <f t="shared" si="1031"/>
        <v>2</v>
      </c>
      <c r="R12893" s="894">
        <f t="shared" si="1032"/>
        <v>0</v>
      </c>
    </row>
    <row r="12894" spans="1:18">
      <c r="A12894" s="905"/>
      <c r="B12894" s="952"/>
      <c r="C12894" s="907">
        <v>745</v>
      </c>
      <c r="D12894" s="907" t="s">
        <v>12</v>
      </c>
      <c r="E12894" s="992" t="s">
        <v>5518</v>
      </c>
      <c r="F12894" s="905" t="s">
        <v>2674</v>
      </c>
      <c r="G12894" s="1005"/>
      <c r="H12894" s="911">
        <v>0.1</v>
      </c>
      <c r="I12894" s="912"/>
      <c r="J12894" s="912"/>
      <c r="K12894" s="912">
        <f>VLOOKUP(E12894,[5]ĐMNC!$A$7:$F$67,4,0)</f>
        <v>240557</v>
      </c>
      <c r="L12894" s="912">
        <f>H12894*K12894</f>
        <v>24055.7</v>
      </c>
      <c r="M12894" s="912"/>
      <c r="N12894" s="912"/>
      <c r="O12894" s="892">
        <f t="shared" si="1029"/>
        <v>0</v>
      </c>
      <c r="P12894" s="903">
        <f t="shared" si="1030"/>
        <v>1</v>
      </c>
      <c r="Q12894" s="893">
        <f t="shared" si="1031"/>
        <v>1</v>
      </c>
      <c r="R12894" s="894">
        <f t="shared" si="1032"/>
        <v>0</v>
      </c>
    </row>
    <row r="12895" spans="1:18">
      <c r="A12895" s="905">
        <v>724</v>
      </c>
      <c r="B12895" s="914" t="s">
        <v>7259</v>
      </c>
      <c r="C12895" s="915"/>
      <c r="D12895" s="915"/>
      <c r="E12895" s="1006" t="s">
        <v>7260</v>
      </c>
      <c r="F12895" s="917" t="s">
        <v>139</v>
      </c>
      <c r="G12895" s="1008"/>
      <c r="H12895" s="919"/>
      <c r="I12895" s="920"/>
      <c r="J12895" s="891">
        <f>SUM(J12896:J12901)</f>
        <v>11090.48</v>
      </c>
      <c r="K12895" s="891"/>
      <c r="L12895" s="891">
        <f>SUM(L12896:L12901)</f>
        <v>72167.099999999991</v>
      </c>
      <c r="M12895" s="891"/>
      <c r="N12895" s="891">
        <f>SUM(N12896:N12901)</f>
        <v>0</v>
      </c>
      <c r="O12895" s="892">
        <f t="shared" si="1029"/>
        <v>1</v>
      </c>
      <c r="P12895" s="903">
        <f t="shared" si="1030"/>
        <v>0</v>
      </c>
      <c r="Q12895" s="893">
        <f t="shared" si="1031"/>
        <v>0</v>
      </c>
      <c r="R12895" s="894">
        <f t="shared" si="1032"/>
        <v>6</v>
      </c>
    </row>
    <row r="12896" spans="1:18" s="904" customFormat="1">
      <c r="A12896" s="895"/>
      <c r="B12896" s="896"/>
      <c r="C12896" s="897"/>
      <c r="D12896" s="897"/>
      <c r="E12896" s="1002" t="s">
        <v>108</v>
      </c>
      <c r="F12896" s="1003"/>
      <c r="G12896" s="1004"/>
      <c r="H12896" s="901"/>
      <c r="I12896" s="902"/>
      <c r="J12896" s="902"/>
      <c r="K12896" s="912" t="s">
        <v>274</v>
      </c>
      <c r="L12896" s="902"/>
      <c r="M12896" s="902"/>
      <c r="N12896" s="902"/>
      <c r="O12896" s="892">
        <f t="shared" si="1029"/>
        <v>0</v>
      </c>
      <c r="P12896" s="903">
        <f t="shared" si="1030"/>
        <v>1</v>
      </c>
      <c r="Q12896" s="893">
        <f t="shared" si="1031"/>
        <v>6</v>
      </c>
      <c r="R12896" s="894">
        <f t="shared" si="1032"/>
        <v>0</v>
      </c>
    </row>
    <row r="12897" spans="1:18">
      <c r="A12897" s="905"/>
      <c r="B12897" s="952"/>
      <c r="C12897" s="907">
        <v>229</v>
      </c>
      <c r="D12897" s="907" t="s">
        <v>279</v>
      </c>
      <c r="E12897" s="992" t="s">
        <v>6318</v>
      </c>
      <c r="F12897" s="905" t="s">
        <v>45</v>
      </c>
      <c r="G12897" s="1005"/>
      <c r="H12897" s="911">
        <v>0.04</v>
      </c>
      <c r="I12897" s="912">
        <f>VLOOKUP(E12897,[3]VLP!$B$7:$K$300,10,0)</f>
        <v>14762</v>
      </c>
      <c r="J12897" s="912">
        <f>I12897*H12897</f>
        <v>590.48</v>
      </c>
      <c r="K12897" s="912" t="s">
        <v>274</v>
      </c>
      <c r="L12897" s="912"/>
      <c r="M12897" s="912"/>
      <c r="N12897" s="912"/>
      <c r="O12897" s="892">
        <f t="shared" si="1029"/>
        <v>0</v>
      </c>
      <c r="P12897" s="903">
        <f t="shared" si="1030"/>
        <v>1</v>
      </c>
      <c r="Q12897" s="893">
        <f t="shared" si="1031"/>
        <v>5</v>
      </c>
      <c r="R12897" s="894">
        <f t="shared" si="1032"/>
        <v>0</v>
      </c>
    </row>
    <row r="12898" spans="1:18" s="847" customFormat="1">
      <c r="A12898" s="905"/>
      <c r="B12898" s="952"/>
      <c r="C12898" s="907">
        <v>235</v>
      </c>
      <c r="D12898" s="907" t="s">
        <v>279</v>
      </c>
      <c r="E12898" s="992" t="s">
        <v>2682</v>
      </c>
      <c r="F12898" s="905" t="s">
        <v>45</v>
      </c>
      <c r="G12898" s="1005"/>
      <c r="H12898" s="911">
        <v>0.1</v>
      </c>
      <c r="I12898" s="912">
        <f>VLOOKUP(E12898,[3]VLP!$B$7:$K$300,10,0)</f>
        <v>5000</v>
      </c>
      <c r="J12898" s="912">
        <f>I12898*H12898</f>
        <v>500</v>
      </c>
      <c r="K12898" s="912" t="s">
        <v>274</v>
      </c>
      <c r="L12898" s="912"/>
      <c r="M12898" s="912"/>
      <c r="N12898" s="912"/>
      <c r="O12898" s="892">
        <f t="shared" si="1029"/>
        <v>0</v>
      </c>
      <c r="P12898" s="903">
        <f t="shared" si="1030"/>
        <v>1</v>
      </c>
      <c r="Q12898" s="893">
        <f t="shared" si="1031"/>
        <v>4</v>
      </c>
      <c r="R12898" s="894">
        <f t="shared" si="1032"/>
        <v>0</v>
      </c>
    </row>
    <row r="12899" spans="1:18" s="904" customFormat="1">
      <c r="A12899" s="905"/>
      <c r="B12899" s="952"/>
      <c r="C12899" s="907">
        <v>699</v>
      </c>
      <c r="D12899" s="907" t="s">
        <v>279</v>
      </c>
      <c r="E12899" s="992" t="s">
        <v>4006</v>
      </c>
      <c r="F12899" s="905" t="s">
        <v>4007</v>
      </c>
      <c r="G12899" s="1005"/>
      <c r="H12899" s="911">
        <v>2</v>
      </c>
      <c r="I12899" s="912">
        <f>VLOOKUP(E12899,[3]VLP!$B$7:$K$300,10,0)</f>
        <v>5000</v>
      </c>
      <c r="J12899" s="912">
        <f>I12899*H12899</f>
        <v>10000</v>
      </c>
      <c r="K12899" s="912" t="s">
        <v>274</v>
      </c>
      <c r="L12899" s="912"/>
      <c r="M12899" s="912"/>
      <c r="N12899" s="912"/>
      <c r="O12899" s="892">
        <f t="shared" si="1029"/>
        <v>0</v>
      </c>
      <c r="P12899" s="903">
        <f t="shared" si="1030"/>
        <v>1</v>
      </c>
      <c r="Q12899" s="893">
        <f t="shared" si="1031"/>
        <v>3</v>
      </c>
      <c r="R12899" s="894">
        <f t="shared" si="1032"/>
        <v>0</v>
      </c>
    </row>
    <row r="12900" spans="1:18">
      <c r="A12900" s="895"/>
      <c r="B12900" s="896"/>
      <c r="C12900" s="897"/>
      <c r="D12900" s="897"/>
      <c r="E12900" s="1002" t="s">
        <v>276</v>
      </c>
      <c r="F12900" s="1003"/>
      <c r="G12900" s="1004"/>
      <c r="H12900" s="901"/>
      <c r="I12900" s="902"/>
      <c r="J12900" s="902"/>
      <c r="K12900" s="912" t="s">
        <v>274</v>
      </c>
      <c r="L12900" s="902"/>
      <c r="M12900" s="902"/>
      <c r="N12900" s="902"/>
      <c r="O12900" s="892">
        <f t="shared" si="1029"/>
        <v>0</v>
      </c>
      <c r="P12900" s="903">
        <f t="shared" si="1030"/>
        <v>1</v>
      </c>
      <c r="Q12900" s="893">
        <f t="shared" si="1031"/>
        <v>2</v>
      </c>
      <c r="R12900" s="894">
        <f t="shared" si="1032"/>
        <v>0</v>
      </c>
    </row>
    <row r="12901" spans="1:18">
      <c r="A12901" s="905"/>
      <c r="B12901" s="952"/>
      <c r="C12901" s="907">
        <v>745</v>
      </c>
      <c r="D12901" s="907" t="s">
        <v>12</v>
      </c>
      <c r="E12901" s="992" t="s">
        <v>5518</v>
      </c>
      <c r="F12901" s="905" t="s">
        <v>2674</v>
      </c>
      <c r="G12901" s="1005"/>
      <c r="H12901" s="911">
        <v>0.3</v>
      </c>
      <c r="I12901" s="912"/>
      <c r="J12901" s="912"/>
      <c r="K12901" s="912">
        <f>VLOOKUP(E12901,[5]ĐMNC!$A$7:$F$67,4,0)</f>
        <v>240557</v>
      </c>
      <c r="L12901" s="912">
        <f>H12901*K12901</f>
        <v>72167.099999999991</v>
      </c>
      <c r="M12901" s="912"/>
      <c r="N12901" s="912"/>
      <c r="O12901" s="892">
        <f t="shared" si="1029"/>
        <v>0</v>
      </c>
      <c r="P12901" s="903">
        <f t="shared" si="1030"/>
        <v>1</v>
      </c>
      <c r="Q12901" s="893">
        <f t="shared" si="1031"/>
        <v>1</v>
      </c>
      <c r="R12901" s="894">
        <f t="shared" si="1032"/>
        <v>0</v>
      </c>
    </row>
    <row r="12902" spans="1:18" s="904" customFormat="1">
      <c r="A12902" s="905">
        <v>725</v>
      </c>
      <c r="B12902" s="914" t="s">
        <v>7261</v>
      </c>
      <c r="C12902" s="915"/>
      <c r="D12902" s="915"/>
      <c r="E12902" s="1006" t="s">
        <v>7262</v>
      </c>
      <c r="F12902" s="917" t="s">
        <v>139</v>
      </c>
      <c r="G12902" s="1008"/>
      <c r="H12902" s="919"/>
      <c r="I12902" s="920"/>
      <c r="J12902" s="891">
        <f>SUM(J12903:J12908)</f>
        <v>11090.48</v>
      </c>
      <c r="K12902" s="891"/>
      <c r="L12902" s="891">
        <f>SUM(L12903:L12908)</f>
        <v>48111.4</v>
      </c>
      <c r="M12902" s="891"/>
      <c r="N12902" s="891">
        <f>SUM(N12903:N12908)</f>
        <v>0</v>
      </c>
      <c r="O12902" s="892">
        <f t="shared" si="1029"/>
        <v>1</v>
      </c>
      <c r="P12902" s="903">
        <f t="shared" si="1030"/>
        <v>0</v>
      </c>
      <c r="Q12902" s="893">
        <f t="shared" si="1031"/>
        <v>0</v>
      </c>
      <c r="R12902" s="894">
        <f t="shared" si="1032"/>
        <v>6</v>
      </c>
    </row>
    <row r="12903" spans="1:18">
      <c r="A12903" s="895"/>
      <c r="B12903" s="896"/>
      <c r="C12903" s="897"/>
      <c r="D12903" s="897"/>
      <c r="E12903" s="1002" t="s">
        <v>108</v>
      </c>
      <c r="F12903" s="1003"/>
      <c r="G12903" s="1004"/>
      <c r="H12903" s="901"/>
      <c r="I12903" s="902"/>
      <c r="J12903" s="902"/>
      <c r="K12903" s="912" t="s">
        <v>274</v>
      </c>
      <c r="L12903" s="902"/>
      <c r="M12903" s="902"/>
      <c r="N12903" s="902"/>
      <c r="O12903" s="892">
        <f t="shared" si="1029"/>
        <v>0</v>
      </c>
      <c r="P12903" s="903">
        <f t="shared" si="1030"/>
        <v>1</v>
      </c>
      <c r="Q12903" s="893">
        <f t="shared" si="1031"/>
        <v>6</v>
      </c>
      <c r="R12903" s="894">
        <f t="shared" si="1032"/>
        <v>0</v>
      </c>
    </row>
    <row r="12904" spans="1:18" s="847" customFormat="1">
      <c r="A12904" s="905"/>
      <c r="B12904" s="952"/>
      <c r="C12904" s="907">
        <v>229</v>
      </c>
      <c r="D12904" s="907" t="s">
        <v>279</v>
      </c>
      <c r="E12904" s="992" t="s">
        <v>6318</v>
      </c>
      <c r="F12904" s="905" t="s">
        <v>45</v>
      </c>
      <c r="G12904" s="1005"/>
      <c r="H12904" s="911">
        <v>0.04</v>
      </c>
      <c r="I12904" s="912">
        <f>VLOOKUP(E12904,[3]VLP!$B$7:$K$300,10,0)</f>
        <v>14762</v>
      </c>
      <c r="J12904" s="912">
        <f>I12904*H12904</f>
        <v>590.48</v>
      </c>
      <c r="K12904" s="912" t="s">
        <v>274</v>
      </c>
      <c r="L12904" s="912"/>
      <c r="M12904" s="912"/>
      <c r="N12904" s="912"/>
      <c r="O12904" s="892">
        <f t="shared" si="1029"/>
        <v>0</v>
      </c>
      <c r="P12904" s="903">
        <f t="shared" si="1030"/>
        <v>1</v>
      </c>
      <c r="Q12904" s="893">
        <f t="shared" si="1031"/>
        <v>5</v>
      </c>
      <c r="R12904" s="894">
        <f t="shared" si="1032"/>
        <v>0</v>
      </c>
    </row>
    <row r="12905" spans="1:18" s="904" customFormat="1">
      <c r="A12905" s="905"/>
      <c r="B12905" s="952"/>
      <c r="C12905" s="907">
        <v>235</v>
      </c>
      <c r="D12905" s="907" t="s">
        <v>279</v>
      </c>
      <c r="E12905" s="992" t="s">
        <v>2682</v>
      </c>
      <c r="F12905" s="905" t="s">
        <v>45</v>
      </c>
      <c r="G12905" s="1005"/>
      <c r="H12905" s="911">
        <v>0.1</v>
      </c>
      <c r="I12905" s="912">
        <f>VLOOKUP(E12905,[3]VLP!$B$7:$K$300,10,0)</f>
        <v>5000</v>
      </c>
      <c r="J12905" s="912">
        <f>I12905*H12905</f>
        <v>500</v>
      </c>
      <c r="K12905" s="912" t="s">
        <v>274</v>
      </c>
      <c r="L12905" s="912"/>
      <c r="M12905" s="912"/>
      <c r="N12905" s="912"/>
      <c r="O12905" s="892">
        <f t="shared" si="1029"/>
        <v>0</v>
      </c>
      <c r="P12905" s="903">
        <f t="shared" si="1030"/>
        <v>1</v>
      </c>
      <c r="Q12905" s="893">
        <f t="shared" si="1031"/>
        <v>4</v>
      </c>
      <c r="R12905" s="894">
        <f t="shared" si="1032"/>
        <v>0</v>
      </c>
    </row>
    <row r="12906" spans="1:18">
      <c r="A12906" s="905"/>
      <c r="B12906" s="952"/>
      <c r="C12906" s="907">
        <v>699</v>
      </c>
      <c r="D12906" s="907" t="s">
        <v>279</v>
      </c>
      <c r="E12906" s="992" t="s">
        <v>4006</v>
      </c>
      <c r="F12906" s="905" t="s">
        <v>4007</v>
      </c>
      <c r="G12906" s="1005"/>
      <c r="H12906" s="911">
        <v>2</v>
      </c>
      <c r="I12906" s="912">
        <f>VLOOKUP(E12906,[3]VLP!$B$7:$K$300,10,0)</f>
        <v>5000</v>
      </c>
      <c r="J12906" s="912">
        <f>I12906*H12906</f>
        <v>10000</v>
      </c>
      <c r="K12906" s="912" t="s">
        <v>274</v>
      </c>
      <c r="L12906" s="912"/>
      <c r="M12906" s="912"/>
      <c r="N12906" s="912"/>
      <c r="O12906" s="892">
        <f t="shared" si="1029"/>
        <v>0</v>
      </c>
      <c r="P12906" s="903">
        <f t="shared" si="1030"/>
        <v>1</v>
      </c>
      <c r="Q12906" s="893">
        <f t="shared" si="1031"/>
        <v>3</v>
      </c>
      <c r="R12906" s="894">
        <f t="shared" si="1032"/>
        <v>0</v>
      </c>
    </row>
    <row r="12907" spans="1:18">
      <c r="A12907" s="895"/>
      <c r="B12907" s="896"/>
      <c r="C12907" s="897"/>
      <c r="D12907" s="897"/>
      <c r="E12907" s="1002" t="s">
        <v>276</v>
      </c>
      <c r="F12907" s="1003"/>
      <c r="G12907" s="1004"/>
      <c r="H12907" s="901"/>
      <c r="I12907" s="902"/>
      <c r="J12907" s="902"/>
      <c r="K12907" s="912" t="s">
        <v>274</v>
      </c>
      <c r="L12907" s="902"/>
      <c r="M12907" s="902"/>
      <c r="N12907" s="902"/>
      <c r="O12907" s="892">
        <f t="shared" si="1029"/>
        <v>0</v>
      </c>
      <c r="P12907" s="903">
        <f t="shared" si="1030"/>
        <v>1</v>
      </c>
      <c r="Q12907" s="893">
        <f t="shared" si="1031"/>
        <v>2</v>
      </c>
      <c r="R12907" s="894">
        <f t="shared" si="1032"/>
        <v>0</v>
      </c>
    </row>
    <row r="12908" spans="1:18" s="904" customFormat="1">
      <c r="A12908" s="905"/>
      <c r="B12908" s="952"/>
      <c r="C12908" s="907">
        <v>745</v>
      </c>
      <c r="D12908" s="907" t="s">
        <v>12</v>
      </c>
      <c r="E12908" s="992" t="s">
        <v>5518</v>
      </c>
      <c r="F12908" s="905" t="s">
        <v>2674</v>
      </c>
      <c r="G12908" s="1005"/>
      <c r="H12908" s="911">
        <v>0.2</v>
      </c>
      <c r="I12908" s="912"/>
      <c r="J12908" s="912"/>
      <c r="K12908" s="912">
        <f>VLOOKUP(E12908,[5]ĐMNC!$A$7:$F$67,4,0)</f>
        <v>240557</v>
      </c>
      <c r="L12908" s="912">
        <f>H12908*K12908</f>
        <v>48111.4</v>
      </c>
      <c r="M12908" s="912"/>
      <c r="N12908" s="912"/>
      <c r="O12908" s="892">
        <f t="shared" si="1029"/>
        <v>0</v>
      </c>
      <c r="P12908" s="903">
        <f t="shared" si="1030"/>
        <v>1</v>
      </c>
      <c r="Q12908" s="893">
        <f t="shared" si="1031"/>
        <v>1</v>
      </c>
      <c r="R12908" s="894">
        <f t="shared" si="1032"/>
        <v>0</v>
      </c>
    </row>
    <row r="12909" spans="1:18">
      <c r="A12909" s="905" t="s">
        <v>7263</v>
      </c>
      <c r="B12909" s="914" t="s">
        <v>7264</v>
      </c>
      <c r="C12909" s="915"/>
      <c r="D12909" s="915"/>
      <c r="E12909" s="1006" t="s">
        <v>2530</v>
      </c>
      <c r="F12909" s="917" t="s">
        <v>51</v>
      </c>
      <c r="G12909" s="1008"/>
      <c r="H12909" s="919"/>
      <c r="I12909" s="920"/>
      <c r="J12909" s="891">
        <f>SUM(J12910:J12913)</f>
        <v>250</v>
      </c>
      <c r="K12909" s="891"/>
      <c r="L12909" s="891">
        <f>SUM(L12910:L12913)</f>
        <v>120278.5</v>
      </c>
      <c r="M12909" s="891"/>
      <c r="N12909" s="891">
        <f>SUM(N12910:N12913)</f>
        <v>0</v>
      </c>
      <c r="O12909" s="892">
        <f t="shared" si="1029"/>
        <v>1</v>
      </c>
      <c r="P12909" s="903">
        <f t="shared" si="1030"/>
        <v>0</v>
      </c>
      <c r="Q12909" s="893">
        <f t="shared" si="1031"/>
        <v>0</v>
      </c>
      <c r="R12909" s="894">
        <f t="shared" si="1032"/>
        <v>4</v>
      </c>
    </row>
    <row r="12910" spans="1:18" s="847" customFormat="1">
      <c r="A12910" s="895"/>
      <c r="B12910" s="896"/>
      <c r="C12910" s="897"/>
      <c r="D12910" s="897"/>
      <c r="E12910" s="1002" t="s">
        <v>108</v>
      </c>
      <c r="F12910" s="1003"/>
      <c r="G12910" s="1004"/>
      <c r="H12910" s="901"/>
      <c r="I12910" s="902"/>
      <c r="J12910" s="902"/>
      <c r="K12910" s="912" t="s">
        <v>274</v>
      </c>
      <c r="L12910" s="902"/>
      <c r="M12910" s="902"/>
      <c r="N12910" s="902"/>
      <c r="O12910" s="892">
        <f t="shared" si="1029"/>
        <v>0</v>
      </c>
      <c r="P12910" s="903">
        <f t="shared" si="1030"/>
        <v>1</v>
      </c>
      <c r="Q12910" s="893">
        <f t="shared" si="1031"/>
        <v>4</v>
      </c>
      <c r="R12910" s="894">
        <f t="shared" si="1032"/>
        <v>0</v>
      </c>
    </row>
    <row r="12911" spans="1:18" s="904" customFormat="1">
      <c r="A12911" s="905"/>
      <c r="B12911" s="952"/>
      <c r="C12911" s="907">
        <v>235</v>
      </c>
      <c r="D12911" s="907" t="s">
        <v>279</v>
      </c>
      <c r="E12911" s="992" t="s">
        <v>2682</v>
      </c>
      <c r="F12911" s="905" t="s">
        <v>45</v>
      </c>
      <c r="G12911" s="1005"/>
      <c r="H12911" s="911">
        <v>0.05</v>
      </c>
      <c r="I12911" s="912">
        <f>VLOOKUP(E12911,[3]VLP!$B$7:$K$300,10,0)</f>
        <v>5000</v>
      </c>
      <c r="J12911" s="912">
        <f>I12911*H12911</f>
        <v>250</v>
      </c>
      <c r="K12911" s="912" t="s">
        <v>274</v>
      </c>
      <c r="L12911" s="912"/>
      <c r="M12911" s="912"/>
      <c r="N12911" s="912"/>
      <c r="O12911" s="892">
        <f t="shared" si="1029"/>
        <v>0</v>
      </c>
      <c r="P12911" s="903">
        <f t="shared" si="1030"/>
        <v>1</v>
      </c>
      <c r="Q12911" s="893">
        <f t="shared" si="1031"/>
        <v>3</v>
      </c>
      <c r="R12911" s="894">
        <f t="shared" si="1032"/>
        <v>0</v>
      </c>
    </row>
    <row r="12912" spans="1:18">
      <c r="A12912" s="895"/>
      <c r="B12912" s="896"/>
      <c r="C12912" s="897"/>
      <c r="D12912" s="897"/>
      <c r="E12912" s="1002" t="s">
        <v>276</v>
      </c>
      <c r="F12912" s="1003"/>
      <c r="G12912" s="1004"/>
      <c r="H12912" s="901"/>
      <c r="I12912" s="902"/>
      <c r="J12912" s="902"/>
      <c r="K12912" s="912" t="s">
        <v>274</v>
      </c>
      <c r="L12912" s="902"/>
      <c r="M12912" s="902"/>
      <c r="N12912" s="902"/>
      <c r="O12912" s="892">
        <f t="shared" si="1029"/>
        <v>0</v>
      </c>
      <c r="P12912" s="903">
        <f t="shared" si="1030"/>
        <v>1</v>
      </c>
      <c r="Q12912" s="893">
        <f t="shared" si="1031"/>
        <v>2</v>
      </c>
      <c r="R12912" s="894">
        <f t="shared" si="1032"/>
        <v>0</v>
      </c>
    </row>
    <row r="12913" spans="1:18">
      <c r="A12913" s="905"/>
      <c r="B12913" s="952"/>
      <c r="C12913" s="907">
        <v>745</v>
      </c>
      <c r="D12913" s="907" t="s">
        <v>12</v>
      </c>
      <c r="E12913" s="992" t="s">
        <v>5518</v>
      </c>
      <c r="F12913" s="905" t="s">
        <v>2674</v>
      </c>
      <c r="G12913" s="1005"/>
      <c r="H12913" s="911">
        <v>0.5</v>
      </c>
      <c r="I12913" s="912"/>
      <c r="J12913" s="912"/>
      <c r="K12913" s="912">
        <f>VLOOKUP(E12913,[5]ĐMNC!$A$7:$F$67,4,0)</f>
        <v>240557</v>
      </c>
      <c r="L12913" s="912">
        <f>H12913*K12913</f>
        <v>120278.5</v>
      </c>
      <c r="M12913" s="912"/>
      <c r="N12913" s="912"/>
      <c r="O12913" s="892">
        <f t="shared" si="1029"/>
        <v>0</v>
      </c>
      <c r="P12913" s="903">
        <f t="shared" si="1030"/>
        <v>1</v>
      </c>
      <c r="Q12913" s="893">
        <f t="shared" si="1031"/>
        <v>1</v>
      </c>
      <c r="R12913" s="894">
        <f t="shared" si="1032"/>
        <v>0</v>
      </c>
    </row>
    <row r="12914" spans="1:18">
      <c r="A12914" s="905" t="s">
        <v>7263</v>
      </c>
      <c r="B12914" s="914" t="s">
        <v>7265</v>
      </c>
      <c r="C12914" s="915"/>
      <c r="D12914" s="915"/>
      <c r="E12914" s="1006" t="s">
        <v>7266</v>
      </c>
      <c r="F12914" s="917" t="s">
        <v>51</v>
      </c>
      <c r="G12914" s="1008"/>
      <c r="H12914" s="919"/>
      <c r="I12914" s="920"/>
      <c r="J12914" s="891">
        <f>SUM(J12915:J12919)</f>
        <v>13750</v>
      </c>
      <c r="K12914" s="891"/>
      <c r="L12914" s="891">
        <f>SUM(L12915:L12919)</f>
        <v>721671</v>
      </c>
      <c r="M12914" s="891"/>
      <c r="N12914" s="891">
        <f>SUM(N12915:N12919)</f>
        <v>0</v>
      </c>
      <c r="O12914" s="892">
        <f t="shared" si="1029"/>
        <v>1</v>
      </c>
      <c r="P12914" s="903">
        <f t="shared" si="1030"/>
        <v>0</v>
      </c>
      <c r="Q12914" s="893">
        <f t="shared" si="1031"/>
        <v>0</v>
      </c>
      <c r="R12914" s="894">
        <f t="shared" si="1032"/>
        <v>5</v>
      </c>
    </row>
    <row r="12915" spans="1:18" s="847" customFormat="1">
      <c r="A12915" s="895"/>
      <c r="B12915" s="896"/>
      <c r="C12915" s="897"/>
      <c r="D12915" s="897"/>
      <c r="E12915" s="1002" t="s">
        <v>108</v>
      </c>
      <c r="F12915" s="1003"/>
      <c r="G12915" s="1004"/>
      <c r="H12915" s="901"/>
      <c r="I12915" s="902"/>
      <c r="J12915" s="902"/>
      <c r="K12915" s="912" t="s">
        <v>274</v>
      </c>
      <c r="L12915" s="902"/>
      <c r="M12915" s="902"/>
      <c r="N12915" s="902"/>
      <c r="O12915" s="892">
        <f t="shared" si="1029"/>
        <v>0</v>
      </c>
      <c r="P12915" s="903">
        <f t="shared" si="1030"/>
        <v>1</v>
      </c>
      <c r="Q12915" s="893">
        <f t="shared" si="1031"/>
        <v>5</v>
      </c>
      <c r="R12915" s="894">
        <f t="shared" si="1032"/>
        <v>0</v>
      </c>
    </row>
    <row r="12916" spans="1:18" s="904" customFormat="1">
      <c r="A12916" s="905"/>
      <c r="B12916" s="952"/>
      <c r="C12916" s="907">
        <v>235</v>
      </c>
      <c r="D12916" s="907" t="s">
        <v>279</v>
      </c>
      <c r="E12916" s="992" t="s">
        <v>2682</v>
      </c>
      <c r="F12916" s="905" t="s">
        <v>45</v>
      </c>
      <c r="G12916" s="1005"/>
      <c r="H12916" s="911">
        <v>0.05</v>
      </c>
      <c r="I12916" s="912">
        <f>VLOOKUP(E12916,[3]VLP!$B$7:$K$300,10,0)</f>
        <v>5000</v>
      </c>
      <c r="J12916" s="912">
        <f>I12916*H12916</f>
        <v>250</v>
      </c>
      <c r="K12916" s="912" t="s">
        <v>274</v>
      </c>
      <c r="L12916" s="912"/>
      <c r="M12916" s="912"/>
      <c r="N12916" s="912"/>
      <c r="O12916" s="892">
        <f t="shared" si="1029"/>
        <v>0</v>
      </c>
      <c r="P12916" s="903">
        <f t="shared" si="1030"/>
        <v>1</v>
      </c>
      <c r="Q12916" s="893">
        <f t="shared" si="1031"/>
        <v>4</v>
      </c>
      <c r="R12916" s="894">
        <f t="shared" si="1032"/>
        <v>0</v>
      </c>
    </row>
    <row r="12917" spans="1:18" s="904" customFormat="1">
      <c r="A12917" s="905"/>
      <c r="B12917" s="952"/>
      <c r="C12917" s="977">
        <v>323</v>
      </c>
      <c r="D12917" s="907" t="s">
        <v>279</v>
      </c>
      <c r="E12917" s="992" t="s">
        <v>7267</v>
      </c>
      <c r="F12917" s="905" t="s">
        <v>49</v>
      </c>
      <c r="G12917" s="1005"/>
      <c r="H12917" s="911">
        <v>3</v>
      </c>
      <c r="I12917" s="912">
        <f>VLOOKUP(E12917,[3]VLP!$B$7:$K$300,10,0)</f>
        <v>4500</v>
      </c>
      <c r="J12917" s="912">
        <f>I12917*H12917</f>
        <v>13500</v>
      </c>
      <c r="K12917" s="912" t="s">
        <v>274</v>
      </c>
      <c r="L12917" s="912"/>
      <c r="M12917" s="912"/>
      <c r="N12917" s="912"/>
      <c r="O12917" s="892">
        <f t="shared" si="1029"/>
        <v>0</v>
      </c>
      <c r="P12917" s="903">
        <f t="shared" si="1030"/>
        <v>1</v>
      </c>
      <c r="Q12917" s="893">
        <f t="shared" si="1031"/>
        <v>3</v>
      </c>
      <c r="R12917" s="894">
        <f t="shared" si="1032"/>
        <v>0</v>
      </c>
    </row>
    <row r="12918" spans="1:18">
      <c r="A12918" s="895"/>
      <c r="B12918" s="896"/>
      <c r="C12918" s="897"/>
      <c r="D12918" s="897"/>
      <c r="E12918" s="1002" t="s">
        <v>276</v>
      </c>
      <c r="F12918" s="1003"/>
      <c r="G12918" s="1004"/>
      <c r="H12918" s="901"/>
      <c r="I12918" s="902"/>
      <c r="J12918" s="902"/>
      <c r="K12918" s="912" t="s">
        <v>274</v>
      </c>
      <c r="L12918" s="902"/>
      <c r="M12918" s="902"/>
      <c r="N12918" s="902"/>
      <c r="O12918" s="892">
        <f t="shared" ref="O12918:O12981" si="1033">IF(AND(B12918&lt;&gt;"",D12918=""),1,0)</f>
        <v>0</v>
      </c>
      <c r="P12918" s="903">
        <f t="shared" si="1030"/>
        <v>1</v>
      </c>
      <c r="Q12918" s="893">
        <f t="shared" si="1031"/>
        <v>2</v>
      </c>
      <c r="R12918" s="894">
        <f t="shared" si="1032"/>
        <v>0</v>
      </c>
    </row>
    <row r="12919" spans="1:18">
      <c r="A12919" s="905"/>
      <c r="B12919" s="952"/>
      <c r="C12919" s="907">
        <v>745</v>
      </c>
      <c r="D12919" s="907" t="s">
        <v>12</v>
      </c>
      <c r="E12919" s="992" t="s">
        <v>5518</v>
      </c>
      <c r="F12919" s="905" t="s">
        <v>2674</v>
      </c>
      <c r="G12919" s="1005"/>
      <c r="H12919" s="911">
        <v>3</v>
      </c>
      <c r="I12919" s="912"/>
      <c r="J12919" s="912"/>
      <c r="K12919" s="912">
        <f>VLOOKUP(E12919,[5]ĐMNC!$A$7:$F$67,4,0)</f>
        <v>240557</v>
      </c>
      <c r="L12919" s="912">
        <f>H12919*K12919</f>
        <v>721671</v>
      </c>
      <c r="M12919" s="912"/>
      <c r="N12919" s="912"/>
      <c r="O12919" s="892">
        <f t="shared" si="1033"/>
        <v>0</v>
      </c>
      <c r="P12919" s="903">
        <f t="shared" si="1030"/>
        <v>1</v>
      </c>
      <c r="Q12919" s="893">
        <f t="shared" si="1031"/>
        <v>1</v>
      </c>
      <c r="R12919" s="894">
        <f t="shared" si="1032"/>
        <v>0</v>
      </c>
    </row>
    <row r="12920" spans="1:18" s="904" customFormat="1">
      <c r="A12920" s="905">
        <v>727</v>
      </c>
      <c r="B12920" s="914" t="s">
        <v>7268</v>
      </c>
      <c r="C12920" s="915"/>
      <c r="D12920" s="915"/>
      <c r="E12920" s="1006" t="s">
        <v>7269</v>
      </c>
      <c r="F12920" s="917" t="s">
        <v>51</v>
      </c>
      <c r="G12920" s="1008"/>
      <c r="H12920" s="919"/>
      <c r="I12920" s="920"/>
      <c r="J12920" s="891">
        <f>SUM(J12921:J12924)</f>
        <v>250</v>
      </c>
      <c r="K12920" s="891"/>
      <c r="L12920" s="891">
        <f>SUM(L12921:L12924)</f>
        <v>52922.54</v>
      </c>
      <c r="M12920" s="891"/>
      <c r="N12920" s="891">
        <f>SUM(N12921:N12924)</f>
        <v>0</v>
      </c>
      <c r="O12920" s="892">
        <f t="shared" si="1033"/>
        <v>1</v>
      </c>
      <c r="P12920" s="903">
        <f t="shared" si="1030"/>
        <v>0</v>
      </c>
      <c r="Q12920" s="893">
        <f t="shared" si="1031"/>
        <v>0</v>
      </c>
      <c r="R12920" s="894">
        <f t="shared" si="1032"/>
        <v>4</v>
      </c>
    </row>
    <row r="12921" spans="1:18">
      <c r="A12921" s="895"/>
      <c r="B12921" s="896"/>
      <c r="C12921" s="897"/>
      <c r="D12921" s="897"/>
      <c r="E12921" s="1002" t="s">
        <v>108</v>
      </c>
      <c r="F12921" s="1003"/>
      <c r="G12921" s="1004"/>
      <c r="H12921" s="901"/>
      <c r="I12921" s="902"/>
      <c r="J12921" s="902"/>
      <c r="K12921" s="912" t="s">
        <v>274</v>
      </c>
      <c r="L12921" s="902"/>
      <c r="M12921" s="902"/>
      <c r="N12921" s="902"/>
      <c r="O12921" s="892">
        <f t="shared" si="1033"/>
        <v>0</v>
      </c>
      <c r="P12921" s="903">
        <f t="shared" si="1030"/>
        <v>1</v>
      </c>
      <c r="Q12921" s="893">
        <f t="shared" si="1031"/>
        <v>4</v>
      </c>
      <c r="R12921" s="894">
        <f t="shared" si="1032"/>
        <v>0</v>
      </c>
    </row>
    <row r="12922" spans="1:18" s="847" customFormat="1">
      <c r="A12922" s="905"/>
      <c r="B12922" s="952"/>
      <c r="C12922" s="907">
        <v>235</v>
      </c>
      <c r="D12922" s="907" t="s">
        <v>279</v>
      </c>
      <c r="E12922" s="992" t="s">
        <v>2682</v>
      </c>
      <c r="F12922" s="905" t="s">
        <v>45</v>
      </c>
      <c r="G12922" s="1005"/>
      <c r="H12922" s="911">
        <v>0.05</v>
      </c>
      <c r="I12922" s="912">
        <f>VLOOKUP(E12922,[3]VLP!$B$7:$K$300,10,0)</f>
        <v>5000</v>
      </c>
      <c r="J12922" s="912">
        <f>I12922*H12922</f>
        <v>250</v>
      </c>
      <c r="K12922" s="912" t="s">
        <v>274</v>
      </c>
      <c r="L12922" s="912"/>
      <c r="M12922" s="912"/>
      <c r="N12922" s="912"/>
      <c r="O12922" s="892">
        <f t="shared" si="1033"/>
        <v>0</v>
      </c>
      <c r="P12922" s="903">
        <f t="shared" si="1030"/>
        <v>1</v>
      </c>
      <c r="Q12922" s="893">
        <f t="shared" si="1031"/>
        <v>3</v>
      </c>
      <c r="R12922" s="894">
        <f t="shared" si="1032"/>
        <v>0</v>
      </c>
    </row>
    <row r="12923" spans="1:18" s="904" customFormat="1">
      <c r="A12923" s="895"/>
      <c r="B12923" s="896"/>
      <c r="C12923" s="897"/>
      <c r="D12923" s="897"/>
      <c r="E12923" s="1002" t="s">
        <v>276</v>
      </c>
      <c r="F12923" s="1003"/>
      <c r="G12923" s="1004"/>
      <c r="H12923" s="901"/>
      <c r="I12923" s="902"/>
      <c r="J12923" s="902"/>
      <c r="K12923" s="912" t="s">
        <v>274</v>
      </c>
      <c r="L12923" s="902"/>
      <c r="M12923" s="902"/>
      <c r="N12923" s="902"/>
      <c r="O12923" s="892">
        <f t="shared" si="1033"/>
        <v>0</v>
      </c>
      <c r="P12923" s="903">
        <f t="shared" si="1030"/>
        <v>1</v>
      </c>
      <c r="Q12923" s="893">
        <f t="shared" si="1031"/>
        <v>2</v>
      </c>
      <c r="R12923" s="894">
        <f t="shared" si="1032"/>
        <v>0</v>
      </c>
    </row>
    <row r="12924" spans="1:18">
      <c r="A12924" s="905"/>
      <c r="B12924" s="952"/>
      <c r="C12924" s="907">
        <v>745</v>
      </c>
      <c r="D12924" s="907" t="s">
        <v>12</v>
      </c>
      <c r="E12924" s="992" t="s">
        <v>5518</v>
      </c>
      <c r="F12924" s="905" t="s">
        <v>2674</v>
      </c>
      <c r="G12924" s="1005"/>
      <c r="H12924" s="911">
        <v>0.22</v>
      </c>
      <c r="I12924" s="912"/>
      <c r="J12924" s="912"/>
      <c r="K12924" s="912">
        <f>VLOOKUP(E12924,[5]ĐMNC!$A$7:$F$67,4,0)</f>
        <v>240557</v>
      </c>
      <c r="L12924" s="912">
        <f>H12924*K12924</f>
        <v>52922.54</v>
      </c>
      <c r="M12924" s="912"/>
      <c r="N12924" s="912"/>
      <c r="O12924" s="892">
        <f t="shared" si="1033"/>
        <v>0</v>
      </c>
      <c r="P12924" s="903">
        <f t="shared" si="1030"/>
        <v>1</v>
      </c>
      <c r="Q12924" s="893">
        <f t="shared" si="1031"/>
        <v>1</v>
      </c>
      <c r="R12924" s="894">
        <f t="shared" si="1032"/>
        <v>0</v>
      </c>
    </row>
    <row r="12925" spans="1:18">
      <c r="A12925" s="905">
        <v>728</v>
      </c>
      <c r="B12925" s="914" t="s">
        <v>7270</v>
      </c>
      <c r="C12925" s="915"/>
      <c r="D12925" s="915"/>
      <c r="E12925" s="1006" t="s">
        <v>7271</v>
      </c>
      <c r="F12925" s="917" t="s">
        <v>51</v>
      </c>
      <c r="G12925" s="1008"/>
      <c r="H12925" s="919"/>
      <c r="I12925" s="920"/>
      <c r="J12925" s="891">
        <f>SUM(J12926:J12929)</f>
        <v>250</v>
      </c>
      <c r="K12925" s="891"/>
      <c r="L12925" s="891">
        <f>SUM(L12926:L12929)</f>
        <v>52922.54</v>
      </c>
      <c r="M12925" s="891"/>
      <c r="N12925" s="891">
        <f>SUM(N12926:N12929)</f>
        <v>0</v>
      </c>
      <c r="O12925" s="892">
        <f t="shared" si="1033"/>
        <v>1</v>
      </c>
      <c r="P12925" s="903">
        <f t="shared" si="1030"/>
        <v>0</v>
      </c>
      <c r="Q12925" s="893">
        <f t="shared" si="1031"/>
        <v>0</v>
      </c>
      <c r="R12925" s="894">
        <f t="shared" si="1032"/>
        <v>4</v>
      </c>
    </row>
    <row r="12926" spans="1:18" s="904" customFormat="1">
      <c r="A12926" s="895"/>
      <c r="B12926" s="896"/>
      <c r="C12926" s="897"/>
      <c r="D12926" s="897"/>
      <c r="E12926" s="1002" t="s">
        <v>108</v>
      </c>
      <c r="F12926" s="1003"/>
      <c r="G12926" s="1004"/>
      <c r="H12926" s="901"/>
      <c r="I12926" s="902"/>
      <c r="J12926" s="902"/>
      <c r="K12926" s="912" t="s">
        <v>274</v>
      </c>
      <c r="L12926" s="902"/>
      <c r="M12926" s="902"/>
      <c r="N12926" s="902"/>
      <c r="O12926" s="892">
        <f t="shared" si="1033"/>
        <v>0</v>
      </c>
      <c r="P12926" s="903">
        <f t="shared" si="1030"/>
        <v>1</v>
      </c>
      <c r="Q12926" s="893">
        <f t="shared" si="1031"/>
        <v>4</v>
      </c>
      <c r="R12926" s="894">
        <f t="shared" si="1032"/>
        <v>0</v>
      </c>
    </row>
    <row r="12927" spans="1:18">
      <c r="A12927" s="905"/>
      <c r="B12927" s="952"/>
      <c r="C12927" s="907">
        <v>235</v>
      </c>
      <c r="D12927" s="907" t="s">
        <v>279</v>
      </c>
      <c r="E12927" s="992" t="s">
        <v>2682</v>
      </c>
      <c r="F12927" s="905" t="s">
        <v>45</v>
      </c>
      <c r="G12927" s="1005"/>
      <c r="H12927" s="911">
        <v>0.05</v>
      </c>
      <c r="I12927" s="912">
        <f>VLOOKUP(E12927,[3]VLP!$B$7:$K$300,10,0)</f>
        <v>5000</v>
      </c>
      <c r="J12927" s="912">
        <f>I12927*H12927</f>
        <v>250</v>
      </c>
      <c r="K12927" s="912" t="s">
        <v>274</v>
      </c>
      <c r="L12927" s="912"/>
      <c r="M12927" s="912"/>
      <c r="N12927" s="912"/>
      <c r="O12927" s="892">
        <f t="shared" si="1033"/>
        <v>0</v>
      </c>
      <c r="P12927" s="903">
        <f t="shared" si="1030"/>
        <v>1</v>
      </c>
      <c r="Q12927" s="893">
        <f t="shared" si="1031"/>
        <v>3</v>
      </c>
      <c r="R12927" s="894">
        <f t="shared" si="1032"/>
        <v>0</v>
      </c>
    </row>
    <row r="12928" spans="1:18" s="847" customFormat="1">
      <c r="A12928" s="895"/>
      <c r="B12928" s="896"/>
      <c r="C12928" s="897"/>
      <c r="D12928" s="897"/>
      <c r="E12928" s="1002" t="s">
        <v>276</v>
      </c>
      <c r="F12928" s="1003"/>
      <c r="G12928" s="1004"/>
      <c r="H12928" s="901"/>
      <c r="I12928" s="902"/>
      <c r="J12928" s="902"/>
      <c r="K12928" s="912" t="s">
        <v>274</v>
      </c>
      <c r="L12928" s="902"/>
      <c r="M12928" s="902"/>
      <c r="N12928" s="902"/>
      <c r="O12928" s="892">
        <f t="shared" si="1033"/>
        <v>0</v>
      </c>
      <c r="P12928" s="903">
        <f t="shared" si="1030"/>
        <v>1</v>
      </c>
      <c r="Q12928" s="893">
        <f t="shared" si="1031"/>
        <v>2</v>
      </c>
      <c r="R12928" s="894">
        <f t="shared" si="1032"/>
        <v>0</v>
      </c>
    </row>
    <row r="12929" spans="1:18" s="904" customFormat="1">
      <c r="A12929" s="905"/>
      <c r="B12929" s="952"/>
      <c r="C12929" s="907">
        <v>745</v>
      </c>
      <c r="D12929" s="907" t="s">
        <v>12</v>
      </c>
      <c r="E12929" s="992" t="s">
        <v>5518</v>
      </c>
      <c r="F12929" s="905" t="s">
        <v>2674</v>
      </c>
      <c r="G12929" s="1005"/>
      <c r="H12929" s="911">
        <v>0.22</v>
      </c>
      <c r="I12929" s="912"/>
      <c r="J12929" s="912"/>
      <c r="K12929" s="912">
        <f>VLOOKUP(E12929,[5]ĐMNC!$A$7:$F$67,4,0)</f>
        <v>240557</v>
      </c>
      <c r="L12929" s="912">
        <f>H12929*K12929</f>
        <v>52922.54</v>
      </c>
      <c r="M12929" s="912"/>
      <c r="N12929" s="912"/>
      <c r="O12929" s="892">
        <f t="shared" si="1033"/>
        <v>0</v>
      </c>
      <c r="P12929" s="903">
        <f t="shared" si="1030"/>
        <v>1</v>
      </c>
      <c r="Q12929" s="893">
        <f t="shared" si="1031"/>
        <v>1</v>
      </c>
      <c r="R12929" s="894">
        <f t="shared" si="1032"/>
        <v>0</v>
      </c>
    </row>
    <row r="12930" spans="1:18">
      <c r="A12930" s="905">
        <v>729</v>
      </c>
      <c r="B12930" s="914" t="s">
        <v>7272</v>
      </c>
      <c r="C12930" s="915"/>
      <c r="D12930" s="915"/>
      <c r="E12930" s="1006" t="s">
        <v>2536</v>
      </c>
      <c r="F12930" s="917" t="s">
        <v>51</v>
      </c>
      <c r="G12930" s="1008"/>
      <c r="H12930" s="919"/>
      <c r="I12930" s="920"/>
      <c r="J12930" s="891">
        <f>SUM(J12931:J12934)</f>
        <v>250</v>
      </c>
      <c r="K12930" s="891"/>
      <c r="L12930" s="891">
        <f>SUM(L12931:L12934)</f>
        <v>52922.54</v>
      </c>
      <c r="M12930" s="891"/>
      <c r="N12930" s="891">
        <f>SUM(N12931:N12934)</f>
        <v>0</v>
      </c>
      <c r="O12930" s="892">
        <f t="shared" si="1033"/>
        <v>1</v>
      </c>
      <c r="P12930" s="903">
        <f t="shared" si="1030"/>
        <v>0</v>
      </c>
      <c r="Q12930" s="893">
        <f t="shared" si="1031"/>
        <v>0</v>
      </c>
      <c r="R12930" s="894">
        <f t="shared" si="1032"/>
        <v>4</v>
      </c>
    </row>
    <row r="12931" spans="1:18">
      <c r="A12931" s="895"/>
      <c r="B12931" s="896"/>
      <c r="C12931" s="897"/>
      <c r="D12931" s="897"/>
      <c r="E12931" s="1002" t="s">
        <v>108</v>
      </c>
      <c r="F12931" s="1003"/>
      <c r="G12931" s="1004"/>
      <c r="H12931" s="901"/>
      <c r="I12931" s="902"/>
      <c r="J12931" s="902"/>
      <c r="K12931" s="912" t="s">
        <v>274</v>
      </c>
      <c r="L12931" s="902"/>
      <c r="M12931" s="902"/>
      <c r="N12931" s="902"/>
      <c r="O12931" s="892">
        <f t="shared" si="1033"/>
        <v>0</v>
      </c>
      <c r="P12931" s="903">
        <f t="shared" si="1030"/>
        <v>1</v>
      </c>
      <c r="Q12931" s="893">
        <f t="shared" si="1031"/>
        <v>4</v>
      </c>
      <c r="R12931" s="894">
        <f t="shared" si="1032"/>
        <v>0</v>
      </c>
    </row>
    <row r="12932" spans="1:18" s="904" customFormat="1">
      <c r="A12932" s="905"/>
      <c r="B12932" s="952"/>
      <c r="C12932" s="907">
        <v>235</v>
      </c>
      <c r="D12932" s="907" t="s">
        <v>279</v>
      </c>
      <c r="E12932" s="992" t="s">
        <v>2682</v>
      </c>
      <c r="F12932" s="905" t="s">
        <v>45</v>
      </c>
      <c r="G12932" s="1005"/>
      <c r="H12932" s="911">
        <v>0.05</v>
      </c>
      <c r="I12932" s="912">
        <f>VLOOKUP(E12932,[3]VLP!$B$7:$K$300,10,0)</f>
        <v>5000</v>
      </c>
      <c r="J12932" s="912">
        <f>I12932*H12932</f>
        <v>250</v>
      </c>
      <c r="K12932" s="912" t="s">
        <v>274</v>
      </c>
      <c r="L12932" s="912"/>
      <c r="M12932" s="912"/>
      <c r="N12932" s="912"/>
      <c r="O12932" s="892">
        <f t="shared" si="1033"/>
        <v>0</v>
      </c>
      <c r="P12932" s="903">
        <f t="shared" si="1030"/>
        <v>1</v>
      </c>
      <c r="Q12932" s="893">
        <f t="shared" si="1031"/>
        <v>3</v>
      </c>
      <c r="R12932" s="894">
        <f t="shared" si="1032"/>
        <v>0</v>
      </c>
    </row>
    <row r="12933" spans="1:18">
      <c r="A12933" s="895"/>
      <c r="B12933" s="896"/>
      <c r="C12933" s="897"/>
      <c r="D12933" s="897"/>
      <c r="E12933" s="1002" t="s">
        <v>276</v>
      </c>
      <c r="F12933" s="1003"/>
      <c r="G12933" s="1004"/>
      <c r="H12933" s="901"/>
      <c r="I12933" s="902"/>
      <c r="J12933" s="902"/>
      <c r="K12933" s="912" t="s">
        <v>274</v>
      </c>
      <c r="L12933" s="902"/>
      <c r="M12933" s="902"/>
      <c r="N12933" s="902"/>
      <c r="O12933" s="892">
        <f t="shared" si="1033"/>
        <v>0</v>
      </c>
      <c r="P12933" s="903">
        <f t="shared" si="1030"/>
        <v>1</v>
      </c>
      <c r="Q12933" s="893">
        <f t="shared" si="1031"/>
        <v>2</v>
      </c>
      <c r="R12933" s="894">
        <f t="shared" si="1032"/>
        <v>0</v>
      </c>
    </row>
    <row r="12934" spans="1:18" s="847" customFormat="1">
      <c r="A12934" s="905"/>
      <c r="B12934" s="952"/>
      <c r="C12934" s="907">
        <v>745</v>
      </c>
      <c r="D12934" s="907" t="s">
        <v>12</v>
      </c>
      <c r="E12934" s="992" t="s">
        <v>5518</v>
      </c>
      <c r="F12934" s="905" t="s">
        <v>2674</v>
      </c>
      <c r="G12934" s="1005"/>
      <c r="H12934" s="911">
        <v>0.22</v>
      </c>
      <c r="I12934" s="912"/>
      <c r="J12934" s="912"/>
      <c r="K12934" s="912">
        <f>VLOOKUP(E12934,[5]ĐMNC!$A$7:$F$67,4,0)</f>
        <v>240557</v>
      </c>
      <c r="L12934" s="912">
        <f>H12934*K12934</f>
        <v>52922.54</v>
      </c>
      <c r="M12934" s="912"/>
      <c r="N12934" s="912"/>
      <c r="O12934" s="892">
        <f t="shared" si="1033"/>
        <v>0</v>
      </c>
      <c r="P12934" s="903">
        <f t="shared" si="1030"/>
        <v>1</v>
      </c>
      <c r="Q12934" s="893">
        <f t="shared" si="1031"/>
        <v>1</v>
      </c>
      <c r="R12934" s="894">
        <f t="shared" si="1032"/>
        <v>0</v>
      </c>
    </row>
    <row r="12935" spans="1:18">
      <c r="A12935" s="905" t="s">
        <v>7263</v>
      </c>
      <c r="B12935" s="914" t="s">
        <v>7273</v>
      </c>
      <c r="C12935" s="915"/>
      <c r="D12935" s="915"/>
      <c r="E12935" s="1006" t="s">
        <v>7274</v>
      </c>
      <c r="F12935" s="917" t="s">
        <v>6895</v>
      </c>
      <c r="G12935" s="1008"/>
      <c r="H12935" s="919"/>
      <c r="I12935" s="920"/>
      <c r="J12935" s="891">
        <f>SUM(J12936:J12943)</f>
        <v>68650</v>
      </c>
      <c r="K12935" s="891"/>
      <c r="L12935" s="891">
        <f>SUM(L12936:L12943)</f>
        <v>1503650</v>
      </c>
      <c r="M12935" s="891"/>
      <c r="N12935" s="891">
        <f>SUM(N12936:N12943)</f>
        <v>348272.5</v>
      </c>
      <c r="O12935" s="892">
        <f t="shared" si="1033"/>
        <v>1</v>
      </c>
      <c r="P12935" s="903">
        <f t="shared" si="1030"/>
        <v>0</v>
      </c>
      <c r="Q12935" s="893">
        <f t="shared" si="1031"/>
        <v>0</v>
      </c>
      <c r="R12935" s="894">
        <f t="shared" si="1032"/>
        <v>8</v>
      </c>
    </row>
    <row r="12936" spans="1:18">
      <c r="A12936" s="895"/>
      <c r="B12936" s="896"/>
      <c r="C12936" s="897"/>
      <c r="D12936" s="897"/>
      <c r="E12936" s="1002" t="s">
        <v>108</v>
      </c>
      <c r="F12936" s="1003"/>
      <c r="G12936" s="1004"/>
      <c r="H12936" s="901"/>
      <c r="I12936" s="902"/>
      <c r="J12936" s="902"/>
      <c r="K12936" s="912" t="s">
        <v>274</v>
      </c>
      <c r="L12936" s="902"/>
      <c r="M12936" s="902"/>
      <c r="N12936" s="902"/>
      <c r="O12936" s="892">
        <f t="shared" si="1033"/>
        <v>0</v>
      </c>
      <c r="P12936" s="903">
        <f t="shared" si="1030"/>
        <v>1</v>
      </c>
      <c r="Q12936" s="893">
        <f t="shared" si="1031"/>
        <v>8</v>
      </c>
      <c r="R12936" s="894">
        <f t="shared" si="1032"/>
        <v>0</v>
      </c>
    </row>
    <row r="12937" spans="1:18" s="904" customFormat="1">
      <c r="A12937" s="905"/>
      <c r="B12937" s="952"/>
      <c r="C12937" s="907">
        <v>212</v>
      </c>
      <c r="D12937" s="907" t="s">
        <v>279</v>
      </c>
      <c r="E12937" s="992" t="s">
        <v>2681</v>
      </c>
      <c r="F12937" s="905" t="s">
        <v>45</v>
      </c>
      <c r="G12937" s="1005"/>
      <c r="H12937" s="911">
        <v>0.8</v>
      </c>
      <c r="I12937" s="912">
        <f>VLOOKUP(E12937,[3]VLP!$B$7:$K$300,10,0)</f>
        <v>23000</v>
      </c>
      <c r="J12937" s="912">
        <f>I12937*H12937</f>
        <v>18400</v>
      </c>
      <c r="K12937" s="912" t="s">
        <v>274</v>
      </c>
      <c r="L12937" s="912"/>
      <c r="M12937" s="912"/>
      <c r="N12937" s="912"/>
      <c r="O12937" s="892">
        <f t="shared" si="1033"/>
        <v>0</v>
      </c>
      <c r="P12937" s="903">
        <f t="shared" si="1030"/>
        <v>1</v>
      </c>
      <c r="Q12937" s="893">
        <f t="shared" si="1031"/>
        <v>7</v>
      </c>
      <c r="R12937" s="894">
        <f t="shared" si="1032"/>
        <v>0</v>
      </c>
    </row>
    <row r="12938" spans="1:18" s="904" customFormat="1">
      <c r="A12938" s="905"/>
      <c r="B12938" s="952"/>
      <c r="C12938" s="907">
        <v>235</v>
      </c>
      <c r="D12938" s="907" t="s">
        <v>279</v>
      </c>
      <c r="E12938" s="992" t="s">
        <v>2682</v>
      </c>
      <c r="F12938" s="905" t="s">
        <v>45</v>
      </c>
      <c r="G12938" s="1005"/>
      <c r="H12938" s="911">
        <v>0.05</v>
      </c>
      <c r="I12938" s="912">
        <f>VLOOKUP(E12938,[3]VLP!$B$7:$K$300,10,0)</f>
        <v>5000</v>
      </c>
      <c r="J12938" s="912">
        <f>I12938*H12938</f>
        <v>250</v>
      </c>
      <c r="K12938" s="912" t="s">
        <v>274</v>
      </c>
      <c r="L12938" s="912"/>
      <c r="M12938" s="912"/>
      <c r="N12938" s="912"/>
      <c r="O12938" s="892">
        <f t="shared" si="1033"/>
        <v>0</v>
      </c>
      <c r="P12938" s="903">
        <f t="shared" ref="P12938:P13001" si="1034">IF(O12938=0,1,0)</f>
        <v>1</v>
      </c>
      <c r="Q12938" s="893">
        <f t="shared" ref="Q12938:Q13001" si="1035">IF(P12938=0,0,P12938+Q12939)</f>
        <v>6</v>
      </c>
      <c r="R12938" s="894">
        <f t="shared" ref="R12938:R13001" si="1036">IF(Q12938=0,Q12939,0)</f>
        <v>0</v>
      </c>
    </row>
    <row r="12939" spans="1:18" s="904" customFormat="1">
      <c r="A12939" s="905"/>
      <c r="B12939" s="952"/>
      <c r="C12939" s="907">
        <v>699</v>
      </c>
      <c r="D12939" s="907" t="s">
        <v>279</v>
      </c>
      <c r="E12939" s="992" t="s">
        <v>4006</v>
      </c>
      <c r="F12939" s="905" t="s">
        <v>4007</v>
      </c>
      <c r="G12939" s="1005"/>
      <c r="H12939" s="911">
        <v>10</v>
      </c>
      <c r="I12939" s="912">
        <f>VLOOKUP(E12939,[3]VLP!$B$7:$K$300,10,0)</f>
        <v>5000</v>
      </c>
      <c r="J12939" s="912">
        <f>I12939*H12939</f>
        <v>50000</v>
      </c>
      <c r="K12939" s="912" t="s">
        <v>274</v>
      </c>
      <c r="L12939" s="912"/>
      <c r="M12939" s="912"/>
      <c r="N12939" s="912"/>
      <c r="O12939" s="892">
        <f t="shared" si="1033"/>
        <v>0</v>
      </c>
      <c r="P12939" s="903">
        <f t="shared" si="1034"/>
        <v>1</v>
      </c>
      <c r="Q12939" s="893">
        <f t="shared" si="1035"/>
        <v>5</v>
      </c>
      <c r="R12939" s="894">
        <f t="shared" si="1036"/>
        <v>0</v>
      </c>
    </row>
    <row r="12940" spans="1:18">
      <c r="A12940" s="895"/>
      <c r="B12940" s="896"/>
      <c r="C12940" s="897"/>
      <c r="D12940" s="897"/>
      <c r="E12940" s="1002" t="s">
        <v>276</v>
      </c>
      <c r="F12940" s="1003"/>
      <c r="G12940" s="1004"/>
      <c r="H12940" s="901"/>
      <c r="I12940" s="902"/>
      <c r="J12940" s="902"/>
      <c r="K12940" s="912" t="s">
        <v>274</v>
      </c>
      <c r="L12940" s="902"/>
      <c r="M12940" s="902"/>
      <c r="N12940" s="902"/>
      <c r="O12940" s="892">
        <f t="shared" si="1033"/>
        <v>0</v>
      </c>
      <c r="P12940" s="903">
        <f t="shared" si="1034"/>
        <v>1</v>
      </c>
      <c r="Q12940" s="893">
        <f t="shared" si="1035"/>
        <v>4</v>
      </c>
      <c r="R12940" s="894">
        <f t="shared" si="1036"/>
        <v>0</v>
      </c>
    </row>
    <row r="12941" spans="1:18" s="847" customFormat="1">
      <c r="A12941" s="905"/>
      <c r="B12941" s="952"/>
      <c r="C12941" s="907">
        <v>740</v>
      </c>
      <c r="D12941" s="907" t="s">
        <v>12</v>
      </c>
      <c r="E12941" s="992" t="s">
        <v>4008</v>
      </c>
      <c r="F12941" s="905" t="s">
        <v>2674</v>
      </c>
      <c r="G12941" s="1005"/>
      <c r="H12941" s="911">
        <v>6.8</v>
      </c>
      <c r="I12941" s="912"/>
      <c r="J12941" s="912"/>
      <c r="K12941" s="912">
        <f>VLOOKUP(E12941,[5]ĐMNC!$A$7:$F$67,4,0)</f>
        <v>221125</v>
      </c>
      <c r="L12941" s="912">
        <f>H12941*K12941</f>
        <v>1503650</v>
      </c>
      <c r="M12941" s="912"/>
      <c r="N12941" s="912"/>
      <c r="O12941" s="892">
        <f t="shared" si="1033"/>
        <v>0</v>
      </c>
      <c r="P12941" s="903">
        <f t="shared" si="1034"/>
        <v>1</v>
      </c>
      <c r="Q12941" s="893">
        <f t="shared" si="1035"/>
        <v>3</v>
      </c>
      <c r="R12941" s="894">
        <f t="shared" si="1036"/>
        <v>0</v>
      </c>
    </row>
    <row r="12942" spans="1:18" s="904" customFormat="1">
      <c r="A12942" s="1025"/>
      <c r="B12942" s="1025"/>
      <c r="C12942" s="927"/>
      <c r="D12942" s="927"/>
      <c r="E12942" s="1026" t="s">
        <v>3914</v>
      </c>
      <c r="F12942" s="1027"/>
      <c r="G12942" s="1028"/>
      <c r="H12942" s="1029"/>
      <c r="I12942" s="1030"/>
      <c r="J12942" s="1030"/>
      <c r="K12942" s="912" t="s">
        <v>274</v>
      </c>
      <c r="L12942" s="1030"/>
      <c r="M12942" s="1030"/>
      <c r="N12942" s="1030"/>
      <c r="O12942" s="892">
        <f t="shared" si="1033"/>
        <v>0</v>
      </c>
      <c r="P12942" s="903">
        <f t="shared" si="1034"/>
        <v>1</v>
      </c>
      <c r="Q12942" s="893">
        <f t="shared" si="1035"/>
        <v>2</v>
      </c>
      <c r="R12942" s="894">
        <f t="shared" si="1036"/>
        <v>0</v>
      </c>
    </row>
    <row r="12943" spans="1:18" s="904" customFormat="1">
      <c r="A12943" s="905"/>
      <c r="B12943" s="952" t="s">
        <v>4993</v>
      </c>
      <c r="C12943" s="907">
        <v>904</v>
      </c>
      <c r="D12943" s="907" t="s">
        <v>93</v>
      </c>
      <c r="E12943" s="992" t="s">
        <v>4994</v>
      </c>
      <c r="F12943" s="905" t="s">
        <v>2673</v>
      </c>
      <c r="G12943" s="1005"/>
      <c r="H12943" s="911">
        <v>0.25</v>
      </c>
      <c r="I12943" s="912"/>
      <c r="J12943" s="912"/>
      <c r="K12943" s="912"/>
      <c r="L12943" s="912"/>
      <c r="M12943" s="912">
        <f>VLOOKUP(B12943,MTC!$B$9:$S$933,12,0)</f>
        <v>1393090</v>
      </c>
      <c r="N12943" s="912">
        <f>M12943*H12943</f>
        <v>348272.5</v>
      </c>
      <c r="O12943" s="892">
        <f t="shared" si="1033"/>
        <v>0</v>
      </c>
      <c r="P12943" s="903">
        <f t="shared" si="1034"/>
        <v>1</v>
      </c>
      <c r="Q12943" s="893">
        <f t="shared" si="1035"/>
        <v>1</v>
      </c>
      <c r="R12943" s="894">
        <f t="shared" si="1036"/>
        <v>0</v>
      </c>
    </row>
    <row r="12944" spans="1:18">
      <c r="A12944" s="905" t="s">
        <v>7263</v>
      </c>
      <c r="B12944" s="914" t="s">
        <v>7275</v>
      </c>
      <c r="C12944" s="915"/>
      <c r="D12944" s="915"/>
      <c r="E12944" s="1006" t="s">
        <v>7276</v>
      </c>
      <c r="F12944" s="917" t="s">
        <v>6895</v>
      </c>
      <c r="G12944" s="1008"/>
      <c r="H12944" s="919"/>
      <c r="I12944" s="920"/>
      <c r="J12944" s="891">
        <f>SUM(J12945:J12952)</f>
        <v>64050</v>
      </c>
      <c r="K12944" s="891"/>
      <c r="L12944" s="891">
        <f>SUM(L12945:L12952)</f>
        <v>1304637.5</v>
      </c>
      <c r="M12944" s="891"/>
      <c r="N12944" s="891">
        <f>SUM(N12945:N12952)</f>
        <v>348272.5</v>
      </c>
      <c r="O12944" s="892">
        <f t="shared" si="1033"/>
        <v>1</v>
      </c>
      <c r="P12944" s="903">
        <f t="shared" si="1034"/>
        <v>0</v>
      </c>
      <c r="Q12944" s="893">
        <f t="shared" si="1035"/>
        <v>0</v>
      </c>
      <c r="R12944" s="894">
        <f t="shared" si="1036"/>
        <v>8</v>
      </c>
    </row>
    <row r="12945" spans="1:18">
      <c r="A12945" s="895"/>
      <c r="B12945" s="896"/>
      <c r="C12945" s="897"/>
      <c r="D12945" s="897"/>
      <c r="E12945" s="1002" t="s">
        <v>108</v>
      </c>
      <c r="F12945" s="1003"/>
      <c r="G12945" s="1004"/>
      <c r="H12945" s="901"/>
      <c r="I12945" s="902"/>
      <c r="J12945" s="902"/>
      <c r="K12945" s="912" t="s">
        <v>274</v>
      </c>
      <c r="L12945" s="902"/>
      <c r="M12945" s="902"/>
      <c r="N12945" s="902"/>
      <c r="O12945" s="892">
        <f t="shared" si="1033"/>
        <v>0</v>
      </c>
      <c r="P12945" s="903">
        <f t="shared" si="1034"/>
        <v>1</v>
      </c>
      <c r="Q12945" s="893">
        <f t="shared" si="1035"/>
        <v>8</v>
      </c>
      <c r="R12945" s="894">
        <f t="shared" si="1036"/>
        <v>0</v>
      </c>
    </row>
    <row r="12946" spans="1:18" s="904" customFormat="1">
      <c r="A12946" s="905"/>
      <c r="B12946" s="952"/>
      <c r="C12946" s="907">
        <v>212</v>
      </c>
      <c r="D12946" s="907" t="s">
        <v>279</v>
      </c>
      <c r="E12946" s="992" t="s">
        <v>2681</v>
      </c>
      <c r="F12946" s="905" t="s">
        <v>45</v>
      </c>
      <c r="G12946" s="1005"/>
      <c r="H12946" s="911">
        <v>0.6</v>
      </c>
      <c r="I12946" s="912">
        <f>VLOOKUP(E12946,[3]VLP!$B$7:$K$300,10,0)</f>
        <v>23000</v>
      </c>
      <c r="J12946" s="912">
        <f>I12946*H12946</f>
        <v>13800</v>
      </c>
      <c r="K12946" s="912" t="s">
        <v>274</v>
      </c>
      <c r="L12946" s="912"/>
      <c r="M12946" s="912"/>
      <c r="N12946" s="912"/>
      <c r="O12946" s="892">
        <f t="shared" si="1033"/>
        <v>0</v>
      </c>
      <c r="P12946" s="903">
        <f t="shared" si="1034"/>
        <v>1</v>
      </c>
      <c r="Q12946" s="893">
        <f t="shared" si="1035"/>
        <v>7</v>
      </c>
      <c r="R12946" s="894">
        <f t="shared" si="1036"/>
        <v>0</v>
      </c>
    </row>
    <row r="12947" spans="1:18" s="904" customFormat="1">
      <c r="A12947" s="905"/>
      <c r="B12947" s="952"/>
      <c r="C12947" s="907">
        <v>235</v>
      </c>
      <c r="D12947" s="907" t="s">
        <v>279</v>
      </c>
      <c r="E12947" s="992" t="s">
        <v>2682</v>
      </c>
      <c r="F12947" s="905" t="s">
        <v>45</v>
      </c>
      <c r="G12947" s="1005"/>
      <c r="H12947" s="911">
        <v>0.05</v>
      </c>
      <c r="I12947" s="912">
        <f>VLOOKUP(E12947,[3]VLP!$B$7:$K$300,10,0)</f>
        <v>5000</v>
      </c>
      <c r="J12947" s="912">
        <f>I12947*H12947</f>
        <v>250</v>
      </c>
      <c r="K12947" s="912" t="s">
        <v>274</v>
      </c>
      <c r="L12947" s="912"/>
      <c r="M12947" s="912"/>
      <c r="N12947" s="912"/>
      <c r="O12947" s="892">
        <f t="shared" si="1033"/>
        <v>0</v>
      </c>
      <c r="P12947" s="903">
        <f t="shared" si="1034"/>
        <v>1</v>
      </c>
      <c r="Q12947" s="893">
        <f t="shared" si="1035"/>
        <v>6</v>
      </c>
      <c r="R12947" s="894">
        <f t="shared" si="1036"/>
        <v>0</v>
      </c>
    </row>
    <row r="12948" spans="1:18" s="904" customFormat="1">
      <c r="A12948" s="905"/>
      <c r="B12948" s="952"/>
      <c r="C12948" s="907">
        <v>699</v>
      </c>
      <c r="D12948" s="907" t="s">
        <v>279</v>
      </c>
      <c r="E12948" s="992" t="s">
        <v>4006</v>
      </c>
      <c r="F12948" s="905" t="s">
        <v>4007</v>
      </c>
      <c r="G12948" s="1005"/>
      <c r="H12948" s="911">
        <v>10</v>
      </c>
      <c r="I12948" s="912">
        <f>VLOOKUP(E12948,[3]VLP!$B$7:$K$300,10,0)</f>
        <v>5000</v>
      </c>
      <c r="J12948" s="912">
        <f>I12948*H12948</f>
        <v>50000</v>
      </c>
      <c r="K12948" s="912" t="s">
        <v>274</v>
      </c>
      <c r="L12948" s="912"/>
      <c r="M12948" s="912"/>
      <c r="N12948" s="912"/>
      <c r="O12948" s="892">
        <f t="shared" si="1033"/>
        <v>0</v>
      </c>
      <c r="P12948" s="903">
        <f t="shared" si="1034"/>
        <v>1</v>
      </c>
      <c r="Q12948" s="893">
        <f t="shared" si="1035"/>
        <v>5</v>
      </c>
      <c r="R12948" s="894">
        <f t="shared" si="1036"/>
        <v>0</v>
      </c>
    </row>
    <row r="12949" spans="1:18">
      <c r="A12949" s="895"/>
      <c r="B12949" s="896"/>
      <c r="C12949" s="897"/>
      <c r="D12949" s="897"/>
      <c r="E12949" s="1002" t="s">
        <v>276</v>
      </c>
      <c r="F12949" s="1003"/>
      <c r="G12949" s="1004"/>
      <c r="H12949" s="901"/>
      <c r="I12949" s="902"/>
      <c r="J12949" s="902"/>
      <c r="K12949" s="912" t="s">
        <v>274</v>
      </c>
      <c r="L12949" s="902"/>
      <c r="M12949" s="902"/>
      <c r="N12949" s="902"/>
      <c r="O12949" s="892">
        <f t="shared" si="1033"/>
        <v>0</v>
      </c>
      <c r="P12949" s="903">
        <f t="shared" si="1034"/>
        <v>1</v>
      </c>
      <c r="Q12949" s="893">
        <f t="shared" si="1035"/>
        <v>4</v>
      </c>
      <c r="R12949" s="894">
        <f t="shared" si="1036"/>
        <v>0</v>
      </c>
    </row>
    <row r="12950" spans="1:18" s="847" customFormat="1">
      <c r="A12950" s="905"/>
      <c r="B12950" s="952"/>
      <c r="C12950" s="907">
        <v>740</v>
      </c>
      <c r="D12950" s="907" t="s">
        <v>12</v>
      </c>
      <c r="E12950" s="992" t="s">
        <v>4008</v>
      </c>
      <c r="F12950" s="905" t="s">
        <v>2674</v>
      </c>
      <c r="G12950" s="1005"/>
      <c r="H12950" s="911">
        <v>5.9</v>
      </c>
      <c r="I12950" s="912"/>
      <c r="J12950" s="912"/>
      <c r="K12950" s="912">
        <f>VLOOKUP(E12950,[5]ĐMNC!$A$7:$F$67,4,0)</f>
        <v>221125</v>
      </c>
      <c r="L12950" s="912">
        <f>H12950*K12950</f>
        <v>1304637.5</v>
      </c>
      <c r="M12950" s="912"/>
      <c r="N12950" s="912"/>
      <c r="O12950" s="892">
        <f t="shared" si="1033"/>
        <v>0</v>
      </c>
      <c r="P12950" s="903">
        <f t="shared" si="1034"/>
        <v>1</v>
      </c>
      <c r="Q12950" s="893">
        <f t="shared" si="1035"/>
        <v>3</v>
      </c>
      <c r="R12950" s="894">
        <f t="shared" si="1036"/>
        <v>0</v>
      </c>
    </row>
    <row r="12951" spans="1:18" s="904" customFormat="1">
      <c r="A12951" s="1025"/>
      <c r="B12951" s="1025"/>
      <c r="C12951" s="927"/>
      <c r="D12951" s="927"/>
      <c r="E12951" s="1026" t="s">
        <v>3914</v>
      </c>
      <c r="F12951" s="1027"/>
      <c r="G12951" s="1028"/>
      <c r="H12951" s="1029"/>
      <c r="I12951" s="1030"/>
      <c r="J12951" s="1030"/>
      <c r="K12951" s="912" t="s">
        <v>274</v>
      </c>
      <c r="L12951" s="1030"/>
      <c r="M12951" s="1030"/>
      <c r="N12951" s="1030"/>
      <c r="O12951" s="892">
        <f t="shared" si="1033"/>
        <v>0</v>
      </c>
      <c r="P12951" s="903">
        <f t="shared" si="1034"/>
        <v>1</v>
      </c>
      <c r="Q12951" s="893">
        <f t="shared" si="1035"/>
        <v>2</v>
      </c>
      <c r="R12951" s="894">
        <f t="shared" si="1036"/>
        <v>0</v>
      </c>
    </row>
    <row r="12952" spans="1:18" s="904" customFormat="1">
      <c r="A12952" s="905"/>
      <c r="B12952" s="952" t="s">
        <v>4993</v>
      </c>
      <c r="C12952" s="907">
        <v>904</v>
      </c>
      <c r="D12952" s="907" t="s">
        <v>93</v>
      </c>
      <c r="E12952" s="992" t="s">
        <v>4994</v>
      </c>
      <c r="F12952" s="905" t="s">
        <v>2673</v>
      </c>
      <c r="G12952" s="1005"/>
      <c r="H12952" s="911">
        <v>0.25</v>
      </c>
      <c r="I12952" s="912"/>
      <c r="J12952" s="912"/>
      <c r="K12952" s="912"/>
      <c r="L12952" s="912"/>
      <c r="M12952" s="912">
        <f>VLOOKUP(B12952,MTC!$B$9:$S$933,12,0)</f>
        <v>1393090</v>
      </c>
      <c r="N12952" s="912">
        <f>M12952*H12952</f>
        <v>348272.5</v>
      </c>
      <c r="O12952" s="892">
        <f t="shared" si="1033"/>
        <v>0</v>
      </c>
      <c r="P12952" s="903">
        <f t="shared" si="1034"/>
        <v>1</v>
      </c>
      <c r="Q12952" s="893">
        <f t="shared" si="1035"/>
        <v>1</v>
      </c>
      <c r="R12952" s="894">
        <f t="shared" si="1036"/>
        <v>0</v>
      </c>
    </row>
    <row r="12953" spans="1:18">
      <c r="A12953" s="905" t="s">
        <v>7263</v>
      </c>
      <c r="B12953" s="914" t="s">
        <v>7277</v>
      </c>
      <c r="C12953" s="915"/>
      <c r="D12953" s="915"/>
      <c r="E12953" s="1006" t="s">
        <v>7278</v>
      </c>
      <c r="F12953" s="917" t="s">
        <v>6895</v>
      </c>
      <c r="G12953" s="1008"/>
      <c r="H12953" s="919"/>
      <c r="I12953" s="920"/>
      <c r="J12953" s="891">
        <f>SUM(J12954:J12961)</f>
        <v>64050</v>
      </c>
      <c r="K12953" s="891"/>
      <c r="L12953" s="891">
        <f>SUM(L12954:L12961)</f>
        <v>1134371.25</v>
      </c>
      <c r="M12953" s="891"/>
      <c r="N12953" s="891">
        <f>SUM(N12954:N12961)</f>
        <v>348272.5</v>
      </c>
      <c r="O12953" s="892">
        <f t="shared" si="1033"/>
        <v>1</v>
      </c>
      <c r="P12953" s="903">
        <f t="shared" si="1034"/>
        <v>0</v>
      </c>
      <c r="Q12953" s="893">
        <f t="shared" si="1035"/>
        <v>0</v>
      </c>
      <c r="R12953" s="894">
        <f t="shared" si="1036"/>
        <v>8</v>
      </c>
    </row>
    <row r="12954" spans="1:18">
      <c r="A12954" s="895"/>
      <c r="B12954" s="896"/>
      <c r="C12954" s="897"/>
      <c r="D12954" s="897"/>
      <c r="E12954" s="1002" t="s">
        <v>108</v>
      </c>
      <c r="F12954" s="1003"/>
      <c r="G12954" s="1004"/>
      <c r="H12954" s="901"/>
      <c r="I12954" s="902"/>
      <c r="J12954" s="902"/>
      <c r="K12954" s="912" t="s">
        <v>274</v>
      </c>
      <c r="L12954" s="902"/>
      <c r="M12954" s="902"/>
      <c r="N12954" s="902"/>
      <c r="O12954" s="892">
        <f t="shared" si="1033"/>
        <v>0</v>
      </c>
      <c r="P12954" s="903">
        <f t="shared" si="1034"/>
        <v>1</v>
      </c>
      <c r="Q12954" s="893">
        <f t="shared" si="1035"/>
        <v>8</v>
      </c>
      <c r="R12954" s="894">
        <f t="shared" si="1036"/>
        <v>0</v>
      </c>
    </row>
    <row r="12955" spans="1:18" s="904" customFormat="1">
      <c r="A12955" s="905"/>
      <c r="B12955" s="952"/>
      <c r="C12955" s="907">
        <v>212</v>
      </c>
      <c r="D12955" s="907" t="s">
        <v>279</v>
      </c>
      <c r="E12955" s="992" t="s">
        <v>2681</v>
      </c>
      <c r="F12955" s="905" t="s">
        <v>45</v>
      </c>
      <c r="G12955" s="1005"/>
      <c r="H12955" s="911">
        <v>0.6</v>
      </c>
      <c r="I12955" s="912">
        <f>VLOOKUP(E12955,[3]VLP!$B$7:$K$300,10,0)</f>
        <v>23000</v>
      </c>
      <c r="J12955" s="912">
        <f>I12955*H12955</f>
        <v>13800</v>
      </c>
      <c r="K12955" s="912" t="s">
        <v>274</v>
      </c>
      <c r="L12955" s="912"/>
      <c r="M12955" s="912"/>
      <c r="N12955" s="912"/>
      <c r="O12955" s="892">
        <f t="shared" si="1033"/>
        <v>0</v>
      </c>
      <c r="P12955" s="903">
        <f t="shared" si="1034"/>
        <v>1</v>
      </c>
      <c r="Q12955" s="893">
        <f t="shared" si="1035"/>
        <v>7</v>
      </c>
      <c r="R12955" s="894">
        <f t="shared" si="1036"/>
        <v>0</v>
      </c>
    </row>
    <row r="12956" spans="1:18" s="904" customFormat="1">
      <c r="A12956" s="905"/>
      <c r="B12956" s="952"/>
      <c r="C12956" s="907">
        <v>235</v>
      </c>
      <c r="D12956" s="907" t="s">
        <v>279</v>
      </c>
      <c r="E12956" s="992" t="s">
        <v>2682</v>
      </c>
      <c r="F12956" s="905" t="s">
        <v>45</v>
      </c>
      <c r="G12956" s="1005"/>
      <c r="H12956" s="911">
        <v>0.05</v>
      </c>
      <c r="I12956" s="912">
        <f>VLOOKUP(E12956,[3]VLP!$B$7:$K$300,10,0)</f>
        <v>5000</v>
      </c>
      <c r="J12956" s="912">
        <f>I12956*H12956</f>
        <v>250</v>
      </c>
      <c r="K12956" s="912" t="s">
        <v>274</v>
      </c>
      <c r="L12956" s="912"/>
      <c r="M12956" s="912"/>
      <c r="N12956" s="912"/>
      <c r="O12956" s="892">
        <f t="shared" si="1033"/>
        <v>0</v>
      </c>
      <c r="P12956" s="903">
        <f t="shared" si="1034"/>
        <v>1</v>
      </c>
      <c r="Q12956" s="893">
        <f t="shared" si="1035"/>
        <v>6</v>
      </c>
      <c r="R12956" s="894">
        <f t="shared" si="1036"/>
        <v>0</v>
      </c>
    </row>
    <row r="12957" spans="1:18" s="904" customFormat="1">
      <c r="A12957" s="905"/>
      <c r="B12957" s="952"/>
      <c r="C12957" s="907">
        <v>699</v>
      </c>
      <c r="D12957" s="907" t="s">
        <v>279</v>
      </c>
      <c r="E12957" s="992" t="s">
        <v>4006</v>
      </c>
      <c r="F12957" s="905" t="s">
        <v>4007</v>
      </c>
      <c r="G12957" s="1005"/>
      <c r="H12957" s="911">
        <v>10</v>
      </c>
      <c r="I12957" s="912">
        <f>VLOOKUP(E12957,[3]VLP!$B$7:$K$300,10,0)</f>
        <v>5000</v>
      </c>
      <c r="J12957" s="912">
        <f>I12957*H12957</f>
        <v>50000</v>
      </c>
      <c r="K12957" s="912" t="s">
        <v>274</v>
      </c>
      <c r="L12957" s="912"/>
      <c r="M12957" s="912"/>
      <c r="N12957" s="912"/>
      <c r="O12957" s="892">
        <f t="shared" si="1033"/>
        <v>0</v>
      </c>
      <c r="P12957" s="903">
        <f t="shared" si="1034"/>
        <v>1</v>
      </c>
      <c r="Q12957" s="893">
        <f t="shared" si="1035"/>
        <v>5</v>
      </c>
      <c r="R12957" s="894">
        <f t="shared" si="1036"/>
        <v>0</v>
      </c>
    </row>
    <row r="12958" spans="1:18">
      <c r="A12958" s="895"/>
      <c r="B12958" s="896"/>
      <c r="C12958" s="897"/>
      <c r="D12958" s="897"/>
      <c r="E12958" s="1002" t="s">
        <v>276</v>
      </c>
      <c r="F12958" s="1003"/>
      <c r="G12958" s="1004"/>
      <c r="H12958" s="901"/>
      <c r="I12958" s="902"/>
      <c r="J12958" s="902"/>
      <c r="K12958" s="912" t="s">
        <v>274</v>
      </c>
      <c r="L12958" s="902"/>
      <c r="M12958" s="902"/>
      <c r="N12958" s="902"/>
      <c r="O12958" s="892">
        <f t="shared" si="1033"/>
        <v>0</v>
      </c>
      <c r="P12958" s="903">
        <f t="shared" si="1034"/>
        <v>1</v>
      </c>
      <c r="Q12958" s="893">
        <f t="shared" si="1035"/>
        <v>4</v>
      </c>
      <c r="R12958" s="894">
        <f t="shared" si="1036"/>
        <v>0</v>
      </c>
    </row>
    <row r="12959" spans="1:18" s="847" customFormat="1">
      <c r="A12959" s="905"/>
      <c r="B12959" s="952"/>
      <c r="C12959" s="907">
        <v>740</v>
      </c>
      <c r="D12959" s="907" t="s">
        <v>12</v>
      </c>
      <c r="E12959" s="992" t="s">
        <v>4008</v>
      </c>
      <c r="F12959" s="905" t="s">
        <v>2674</v>
      </c>
      <c r="G12959" s="1005"/>
      <c r="H12959" s="911">
        <v>5.13</v>
      </c>
      <c r="I12959" s="912"/>
      <c r="J12959" s="912"/>
      <c r="K12959" s="912">
        <f>VLOOKUP(E12959,[5]ĐMNC!$A$7:$F$67,4,0)</f>
        <v>221125</v>
      </c>
      <c r="L12959" s="912">
        <f>H12959*K12959</f>
        <v>1134371.25</v>
      </c>
      <c r="M12959" s="912"/>
      <c r="N12959" s="912"/>
      <c r="O12959" s="892">
        <f t="shared" si="1033"/>
        <v>0</v>
      </c>
      <c r="P12959" s="903">
        <f t="shared" si="1034"/>
        <v>1</v>
      </c>
      <c r="Q12959" s="893">
        <f t="shared" si="1035"/>
        <v>3</v>
      </c>
      <c r="R12959" s="894">
        <f t="shared" si="1036"/>
        <v>0</v>
      </c>
    </row>
    <row r="12960" spans="1:18" s="904" customFormat="1">
      <c r="A12960" s="1025"/>
      <c r="B12960" s="1025"/>
      <c r="C12960" s="927"/>
      <c r="D12960" s="927"/>
      <c r="E12960" s="1026" t="s">
        <v>3914</v>
      </c>
      <c r="F12960" s="1027"/>
      <c r="G12960" s="1028"/>
      <c r="H12960" s="1029"/>
      <c r="I12960" s="1030"/>
      <c r="J12960" s="1030"/>
      <c r="K12960" s="912" t="s">
        <v>274</v>
      </c>
      <c r="L12960" s="1030"/>
      <c r="M12960" s="1030"/>
      <c r="N12960" s="1030"/>
      <c r="O12960" s="892">
        <f t="shared" si="1033"/>
        <v>0</v>
      </c>
      <c r="P12960" s="903">
        <f t="shared" si="1034"/>
        <v>1</v>
      </c>
      <c r="Q12960" s="893">
        <f t="shared" si="1035"/>
        <v>2</v>
      </c>
      <c r="R12960" s="894">
        <f t="shared" si="1036"/>
        <v>0</v>
      </c>
    </row>
    <row r="12961" spans="1:18" s="904" customFormat="1">
      <c r="A12961" s="905"/>
      <c r="B12961" s="952" t="s">
        <v>4993</v>
      </c>
      <c r="C12961" s="907">
        <v>904</v>
      </c>
      <c r="D12961" s="907" t="s">
        <v>93</v>
      </c>
      <c r="E12961" s="992" t="s">
        <v>4994</v>
      </c>
      <c r="F12961" s="905" t="s">
        <v>2673</v>
      </c>
      <c r="G12961" s="1005"/>
      <c r="H12961" s="911">
        <v>0.25</v>
      </c>
      <c r="I12961" s="912"/>
      <c r="J12961" s="912"/>
      <c r="K12961" s="912"/>
      <c r="L12961" s="912"/>
      <c r="M12961" s="912">
        <f>VLOOKUP(B12961,MTC!$B$9:$S$933,12,0)</f>
        <v>1393090</v>
      </c>
      <c r="N12961" s="912">
        <f>M12961*H12961</f>
        <v>348272.5</v>
      </c>
      <c r="O12961" s="892">
        <f t="shared" si="1033"/>
        <v>0</v>
      </c>
      <c r="P12961" s="903">
        <f t="shared" si="1034"/>
        <v>1</v>
      </c>
      <c r="Q12961" s="893">
        <f t="shared" si="1035"/>
        <v>1</v>
      </c>
      <c r="R12961" s="894">
        <f t="shared" si="1036"/>
        <v>0</v>
      </c>
    </row>
    <row r="12962" spans="1:18">
      <c r="A12962" s="905" t="s">
        <v>7279</v>
      </c>
      <c r="B12962" s="914" t="s">
        <v>7280</v>
      </c>
      <c r="C12962" s="915"/>
      <c r="D12962" s="915"/>
      <c r="E12962" s="1006" t="s">
        <v>7281</v>
      </c>
      <c r="F12962" s="917" t="s">
        <v>6895</v>
      </c>
      <c r="G12962" s="1008"/>
      <c r="H12962" s="919"/>
      <c r="I12962" s="920"/>
      <c r="J12962" s="891">
        <f>SUM(J12963:J12970)</f>
        <v>54600</v>
      </c>
      <c r="K12962" s="891"/>
      <c r="L12962" s="891">
        <f>SUM(L12963:L12970)</f>
        <v>96222.8</v>
      </c>
      <c r="M12962" s="891"/>
      <c r="N12962" s="891">
        <f>SUM(N12963:N12970)</f>
        <v>12.15</v>
      </c>
      <c r="O12962" s="892">
        <f t="shared" si="1033"/>
        <v>1</v>
      </c>
      <c r="P12962" s="903">
        <f t="shared" si="1034"/>
        <v>0</v>
      </c>
      <c r="Q12962" s="893">
        <f t="shared" si="1035"/>
        <v>0</v>
      </c>
      <c r="R12962" s="894">
        <f t="shared" si="1036"/>
        <v>8</v>
      </c>
    </row>
    <row r="12963" spans="1:18">
      <c r="A12963" s="895"/>
      <c r="B12963" s="896"/>
      <c r="C12963" s="897"/>
      <c r="D12963" s="897"/>
      <c r="E12963" s="1002" t="s">
        <v>108</v>
      </c>
      <c r="F12963" s="1003"/>
      <c r="G12963" s="1004"/>
      <c r="H12963" s="901"/>
      <c r="I12963" s="902"/>
      <c r="J12963" s="902"/>
      <c r="K12963" s="912" t="s">
        <v>274</v>
      </c>
      <c r="L12963" s="902"/>
      <c r="M12963" s="902"/>
      <c r="N12963" s="902"/>
      <c r="O12963" s="892">
        <f t="shared" si="1033"/>
        <v>0</v>
      </c>
      <c r="P12963" s="903">
        <f t="shared" si="1034"/>
        <v>1</v>
      </c>
      <c r="Q12963" s="893">
        <f t="shared" si="1035"/>
        <v>8</v>
      </c>
      <c r="R12963" s="894">
        <f t="shared" si="1036"/>
        <v>0</v>
      </c>
    </row>
    <row r="12964" spans="1:18" s="1031" customFormat="1">
      <c r="A12964" s="905"/>
      <c r="B12964" s="906"/>
      <c r="C12964" s="907">
        <v>212</v>
      </c>
      <c r="D12964" s="907" t="s">
        <v>279</v>
      </c>
      <c r="E12964" s="992" t="s">
        <v>2681</v>
      </c>
      <c r="F12964" s="905" t="s">
        <v>45</v>
      </c>
      <c r="G12964" s="1005"/>
      <c r="H12964" s="911">
        <v>0.2</v>
      </c>
      <c r="I12964" s="912">
        <f>VLOOKUP(E12964,[3]VLP!$B$7:$K$300,10,0)</f>
        <v>23000</v>
      </c>
      <c r="J12964" s="912">
        <f>I12964*H12964</f>
        <v>4600</v>
      </c>
      <c r="K12964" s="912" t="s">
        <v>274</v>
      </c>
      <c r="L12964" s="912"/>
      <c r="M12964" s="912"/>
      <c r="N12964" s="912"/>
      <c r="O12964" s="892">
        <f t="shared" si="1033"/>
        <v>0</v>
      </c>
      <c r="P12964" s="903">
        <f t="shared" si="1034"/>
        <v>1</v>
      </c>
      <c r="Q12964" s="893">
        <f t="shared" si="1035"/>
        <v>7</v>
      </c>
      <c r="R12964" s="894">
        <f t="shared" si="1036"/>
        <v>0</v>
      </c>
    </row>
    <row r="12965" spans="1:18" s="1031" customFormat="1">
      <c r="A12965" s="905"/>
      <c r="B12965" s="906"/>
      <c r="C12965" s="907">
        <v>699</v>
      </c>
      <c r="D12965" s="907" t="s">
        <v>279</v>
      </c>
      <c r="E12965" s="992" t="s">
        <v>4006</v>
      </c>
      <c r="F12965" s="905" t="s">
        <v>4007</v>
      </c>
      <c r="G12965" s="1005"/>
      <c r="H12965" s="911">
        <v>10</v>
      </c>
      <c r="I12965" s="912">
        <f>VLOOKUP(E12965,[3]VLP!$B$7:$K$300,10,0)</f>
        <v>5000</v>
      </c>
      <c r="J12965" s="912">
        <f>I12965*H12965</f>
        <v>50000</v>
      </c>
      <c r="K12965" s="912" t="s">
        <v>274</v>
      </c>
      <c r="L12965" s="912"/>
      <c r="M12965" s="912"/>
      <c r="N12965" s="912"/>
      <c r="O12965" s="892">
        <f t="shared" si="1033"/>
        <v>0</v>
      </c>
      <c r="P12965" s="903">
        <f t="shared" si="1034"/>
        <v>1</v>
      </c>
      <c r="Q12965" s="893">
        <f t="shared" si="1035"/>
        <v>6</v>
      </c>
      <c r="R12965" s="894">
        <f t="shared" si="1036"/>
        <v>0</v>
      </c>
    </row>
    <row r="12966" spans="1:18">
      <c r="A12966" s="895"/>
      <c r="B12966" s="896"/>
      <c r="C12966" s="897"/>
      <c r="D12966" s="897"/>
      <c r="E12966" s="1002" t="s">
        <v>276</v>
      </c>
      <c r="F12966" s="1003"/>
      <c r="G12966" s="1004"/>
      <c r="H12966" s="901"/>
      <c r="I12966" s="902"/>
      <c r="J12966" s="902"/>
      <c r="K12966" s="912" t="s">
        <v>274</v>
      </c>
      <c r="L12966" s="902"/>
      <c r="M12966" s="902"/>
      <c r="N12966" s="902"/>
      <c r="O12966" s="892">
        <f t="shared" si="1033"/>
        <v>0</v>
      </c>
      <c r="P12966" s="903">
        <f t="shared" si="1034"/>
        <v>1</v>
      </c>
      <c r="Q12966" s="893">
        <f t="shared" si="1035"/>
        <v>5</v>
      </c>
      <c r="R12966" s="894">
        <f t="shared" si="1036"/>
        <v>0</v>
      </c>
    </row>
    <row r="12967" spans="1:18" s="847" customFormat="1">
      <c r="A12967" s="905"/>
      <c r="B12967" s="952"/>
      <c r="C12967" s="907">
        <v>745</v>
      </c>
      <c r="D12967" s="907" t="s">
        <v>12</v>
      </c>
      <c r="E12967" s="992" t="s">
        <v>5518</v>
      </c>
      <c r="F12967" s="905" t="s">
        <v>2674</v>
      </c>
      <c r="G12967" s="1005"/>
      <c r="H12967" s="911">
        <v>0.4</v>
      </c>
      <c r="I12967" s="912"/>
      <c r="J12967" s="912"/>
      <c r="K12967" s="912">
        <f>VLOOKUP(E12967,[5]ĐMNC!$A$7:$F$67,4,0)</f>
        <v>240557</v>
      </c>
      <c r="L12967" s="912">
        <f>H12967*K12967</f>
        <v>96222.8</v>
      </c>
      <c r="M12967" s="912"/>
      <c r="N12967" s="912"/>
      <c r="O12967" s="892">
        <f t="shared" si="1033"/>
        <v>0</v>
      </c>
      <c r="P12967" s="903">
        <f t="shared" si="1034"/>
        <v>1</v>
      </c>
      <c r="Q12967" s="893">
        <f t="shared" si="1035"/>
        <v>4</v>
      </c>
      <c r="R12967" s="894">
        <f t="shared" si="1036"/>
        <v>0</v>
      </c>
    </row>
    <row r="12968" spans="1:18" s="847" customFormat="1">
      <c r="A12968" s="905"/>
      <c r="B12968" s="952"/>
      <c r="C12968" s="907">
        <v>764</v>
      </c>
      <c r="D12968" s="907" t="s">
        <v>12</v>
      </c>
      <c r="E12968" s="992" t="s">
        <v>7282</v>
      </c>
      <c r="F12968" s="905" t="s">
        <v>2674</v>
      </c>
      <c r="G12968" s="1005"/>
      <c r="H12968" s="911">
        <v>0.8</v>
      </c>
      <c r="I12968" s="912"/>
      <c r="J12968" s="912"/>
      <c r="K12968" s="912"/>
      <c r="L12968" s="912"/>
      <c r="M12968" s="912"/>
      <c r="N12968" s="912"/>
      <c r="O12968" s="892">
        <f t="shared" si="1033"/>
        <v>0</v>
      </c>
      <c r="P12968" s="903">
        <f t="shared" si="1034"/>
        <v>1</v>
      </c>
      <c r="Q12968" s="893">
        <f t="shared" si="1035"/>
        <v>3</v>
      </c>
      <c r="R12968" s="894">
        <f t="shared" si="1036"/>
        <v>0</v>
      </c>
    </row>
    <row r="12969" spans="1:18" s="904" customFormat="1">
      <c r="A12969" s="1025"/>
      <c r="B12969" s="1025"/>
      <c r="C12969" s="927"/>
      <c r="D12969" s="927"/>
      <c r="E12969" s="1026" t="s">
        <v>3914</v>
      </c>
      <c r="F12969" s="1027"/>
      <c r="G12969" s="1028"/>
      <c r="H12969" s="1029"/>
      <c r="I12969" s="1030"/>
      <c r="J12969" s="1030"/>
      <c r="K12969" s="912" t="s">
        <v>274</v>
      </c>
      <c r="L12969" s="1030"/>
      <c r="M12969" s="1030"/>
      <c r="N12969" s="1030"/>
      <c r="O12969" s="892">
        <f t="shared" si="1033"/>
        <v>0</v>
      </c>
      <c r="P12969" s="903">
        <f t="shared" si="1034"/>
        <v>1</v>
      </c>
      <c r="Q12969" s="893">
        <f t="shared" si="1035"/>
        <v>2</v>
      </c>
      <c r="R12969" s="894">
        <f t="shared" si="1036"/>
        <v>0</v>
      </c>
    </row>
    <row r="12970" spans="1:18" s="904" customFormat="1">
      <c r="A12970" s="905"/>
      <c r="B12970" s="952" t="s">
        <v>7283</v>
      </c>
      <c r="C12970" s="907">
        <v>916</v>
      </c>
      <c r="D12970" s="907" t="s">
        <v>93</v>
      </c>
      <c r="E12970" s="992" t="s">
        <v>7284</v>
      </c>
      <c r="F12970" s="905" t="s">
        <v>2673</v>
      </c>
      <c r="G12970" s="1005"/>
      <c r="H12970" s="911">
        <v>0.01</v>
      </c>
      <c r="I12970" s="912"/>
      <c r="J12970" s="912"/>
      <c r="K12970" s="912"/>
      <c r="L12970" s="912"/>
      <c r="M12970" s="912">
        <f>VLOOKUP(B12970,MTC!$B$9:$S$933,12,0)</f>
        <v>1215</v>
      </c>
      <c r="N12970" s="912">
        <f>M12970*H12970</f>
        <v>12.15</v>
      </c>
      <c r="O12970" s="892">
        <f t="shared" si="1033"/>
        <v>0</v>
      </c>
      <c r="P12970" s="903">
        <f t="shared" si="1034"/>
        <v>1</v>
      </c>
      <c r="Q12970" s="893">
        <f t="shared" si="1035"/>
        <v>1</v>
      </c>
      <c r="R12970" s="894">
        <f t="shared" si="1036"/>
        <v>0</v>
      </c>
    </row>
    <row r="12971" spans="1:18" ht="31.5">
      <c r="A12971" s="905" t="s">
        <v>7279</v>
      </c>
      <c r="B12971" s="914" t="s">
        <v>7285</v>
      </c>
      <c r="C12971" s="915"/>
      <c r="D12971" s="915"/>
      <c r="E12971" s="1006" t="s">
        <v>7286</v>
      </c>
      <c r="F12971" s="917" t="s">
        <v>6895</v>
      </c>
      <c r="G12971" s="1008"/>
      <c r="H12971" s="919"/>
      <c r="I12971" s="920"/>
      <c r="J12971" s="891">
        <f>SUM(J12972:J12979)</f>
        <v>52300</v>
      </c>
      <c r="K12971" s="891"/>
      <c r="L12971" s="891">
        <f>SUM(L12972:L12979)</f>
        <v>12027.85</v>
      </c>
      <c r="M12971" s="891"/>
      <c r="N12971" s="891">
        <f>SUM(N12972:N12979)</f>
        <v>12.15</v>
      </c>
      <c r="O12971" s="892">
        <f t="shared" si="1033"/>
        <v>1</v>
      </c>
      <c r="P12971" s="903">
        <f t="shared" si="1034"/>
        <v>0</v>
      </c>
      <c r="Q12971" s="893">
        <f t="shared" si="1035"/>
        <v>0</v>
      </c>
      <c r="R12971" s="894">
        <f t="shared" si="1036"/>
        <v>8</v>
      </c>
    </row>
    <row r="12972" spans="1:18">
      <c r="A12972" s="895"/>
      <c r="B12972" s="896"/>
      <c r="C12972" s="897"/>
      <c r="D12972" s="897"/>
      <c r="E12972" s="1002" t="s">
        <v>108</v>
      </c>
      <c r="F12972" s="1003"/>
      <c r="G12972" s="1004"/>
      <c r="H12972" s="901"/>
      <c r="I12972" s="902"/>
      <c r="J12972" s="902"/>
      <c r="K12972" s="912" t="s">
        <v>274</v>
      </c>
      <c r="L12972" s="902"/>
      <c r="M12972" s="902"/>
      <c r="N12972" s="902"/>
      <c r="O12972" s="892">
        <f t="shared" si="1033"/>
        <v>0</v>
      </c>
      <c r="P12972" s="903">
        <f t="shared" si="1034"/>
        <v>1</v>
      </c>
      <c r="Q12972" s="893">
        <f t="shared" si="1035"/>
        <v>8</v>
      </c>
      <c r="R12972" s="894">
        <f t="shared" si="1036"/>
        <v>0</v>
      </c>
    </row>
    <row r="12973" spans="1:18" s="1031" customFormat="1">
      <c r="A12973" s="905"/>
      <c r="B12973" s="906"/>
      <c r="C12973" s="907">
        <v>212</v>
      </c>
      <c r="D12973" s="907" t="s">
        <v>279</v>
      </c>
      <c r="E12973" s="992" t="s">
        <v>2681</v>
      </c>
      <c r="F12973" s="905" t="s">
        <v>45</v>
      </c>
      <c r="G12973" s="1005"/>
      <c r="H12973" s="911">
        <v>0.1</v>
      </c>
      <c r="I12973" s="912">
        <f>VLOOKUP(E12973,[3]VLP!$B$7:$K$300,10,0)</f>
        <v>23000</v>
      </c>
      <c r="J12973" s="912">
        <f>I12973*H12973</f>
        <v>2300</v>
      </c>
      <c r="K12973" s="912" t="s">
        <v>274</v>
      </c>
      <c r="L12973" s="912"/>
      <c r="M12973" s="912"/>
      <c r="N12973" s="912"/>
      <c r="O12973" s="892">
        <f t="shared" si="1033"/>
        <v>0</v>
      </c>
      <c r="P12973" s="903">
        <f t="shared" si="1034"/>
        <v>1</v>
      </c>
      <c r="Q12973" s="893">
        <f t="shared" si="1035"/>
        <v>7</v>
      </c>
      <c r="R12973" s="894">
        <f t="shared" si="1036"/>
        <v>0</v>
      </c>
    </row>
    <row r="12974" spans="1:18" s="1031" customFormat="1">
      <c r="A12974" s="905"/>
      <c r="B12974" s="906"/>
      <c r="C12974" s="907">
        <v>699</v>
      </c>
      <c r="D12974" s="907" t="s">
        <v>279</v>
      </c>
      <c r="E12974" s="992" t="s">
        <v>4006</v>
      </c>
      <c r="F12974" s="905" t="s">
        <v>4007</v>
      </c>
      <c r="G12974" s="1005"/>
      <c r="H12974" s="911">
        <v>10</v>
      </c>
      <c r="I12974" s="912">
        <f>VLOOKUP(E12974,[3]VLP!$B$7:$K$300,10,0)</f>
        <v>5000</v>
      </c>
      <c r="J12974" s="912">
        <f>I12974*H12974</f>
        <v>50000</v>
      </c>
      <c r="K12974" s="912" t="s">
        <v>274</v>
      </c>
      <c r="L12974" s="912"/>
      <c r="M12974" s="912"/>
      <c r="N12974" s="912"/>
      <c r="O12974" s="892">
        <f t="shared" si="1033"/>
        <v>0</v>
      </c>
      <c r="P12974" s="903">
        <f t="shared" si="1034"/>
        <v>1</v>
      </c>
      <c r="Q12974" s="893">
        <f t="shared" si="1035"/>
        <v>6</v>
      </c>
      <c r="R12974" s="894">
        <f t="shared" si="1036"/>
        <v>0</v>
      </c>
    </row>
    <row r="12975" spans="1:18">
      <c r="A12975" s="895"/>
      <c r="B12975" s="896"/>
      <c r="C12975" s="897"/>
      <c r="D12975" s="897"/>
      <c r="E12975" s="1002" t="s">
        <v>276</v>
      </c>
      <c r="F12975" s="1003"/>
      <c r="G12975" s="1004"/>
      <c r="H12975" s="901"/>
      <c r="I12975" s="902"/>
      <c r="J12975" s="902"/>
      <c r="K12975" s="912" t="s">
        <v>274</v>
      </c>
      <c r="L12975" s="902"/>
      <c r="M12975" s="902"/>
      <c r="N12975" s="902"/>
      <c r="O12975" s="892">
        <f t="shared" si="1033"/>
        <v>0</v>
      </c>
      <c r="P12975" s="903">
        <f t="shared" si="1034"/>
        <v>1</v>
      </c>
      <c r="Q12975" s="893">
        <f t="shared" si="1035"/>
        <v>5</v>
      </c>
      <c r="R12975" s="894">
        <f t="shared" si="1036"/>
        <v>0</v>
      </c>
    </row>
    <row r="12976" spans="1:18" s="847" customFormat="1">
      <c r="A12976" s="905"/>
      <c r="B12976" s="952"/>
      <c r="C12976" s="907">
        <v>745</v>
      </c>
      <c r="D12976" s="907" t="s">
        <v>12</v>
      </c>
      <c r="E12976" s="992" t="s">
        <v>5518</v>
      </c>
      <c r="F12976" s="905" t="s">
        <v>2674</v>
      </c>
      <c r="G12976" s="1005"/>
      <c r="H12976" s="911">
        <v>0.05</v>
      </c>
      <c r="I12976" s="912"/>
      <c r="J12976" s="912"/>
      <c r="K12976" s="912">
        <f>VLOOKUP(E12976,[5]ĐMNC!$A$7:$F$67,4,0)</f>
        <v>240557</v>
      </c>
      <c r="L12976" s="912">
        <f>H12976*K12976</f>
        <v>12027.85</v>
      </c>
      <c r="M12976" s="912"/>
      <c r="N12976" s="912"/>
      <c r="O12976" s="892">
        <f t="shared" si="1033"/>
        <v>0</v>
      </c>
      <c r="P12976" s="903">
        <f t="shared" si="1034"/>
        <v>1</v>
      </c>
      <c r="Q12976" s="893">
        <f t="shared" si="1035"/>
        <v>4</v>
      </c>
      <c r="R12976" s="894">
        <f t="shared" si="1036"/>
        <v>0</v>
      </c>
    </row>
    <row r="12977" spans="1:18" s="847" customFormat="1">
      <c r="A12977" s="905"/>
      <c r="B12977" s="952"/>
      <c r="C12977" s="907">
        <v>764</v>
      </c>
      <c r="D12977" s="907" t="s">
        <v>12</v>
      </c>
      <c r="E12977" s="992" t="s">
        <v>7282</v>
      </c>
      <c r="F12977" s="905" t="s">
        <v>2674</v>
      </c>
      <c r="G12977" s="1005"/>
      <c r="H12977" s="911">
        <v>0.12</v>
      </c>
      <c r="I12977" s="912"/>
      <c r="J12977" s="912"/>
      <c r="K12977" s="912"/>
      <c r="L12977" s="912"/>
      <c r="M12977" s="912"/>
      <c r="N12977" s="912"/>
      <c r="O12977" s="892">
        <f t="shared" si="1033"/>
        <v>0</v>
      </c>
      <c r="P12977" s="903">
        <f t="shared" si="1034"/>
        <v>1</v>
      </c>
      <c r="Q12977" s="893">
        <f t="shared" si="1035"/>
        <v>3</v>
      </c>
      <c r="R12977" s="894">
        <f t="shared" si="1036"/>
        <v>0</v>
      </c>
    </row>
    <row r="12978" spans="1:18" s="904" customFormat="1">
      <c r="A12978" s="1025"/>
      <c r="B12978" s="1025"/>
      <c r="C12978" s="927"/>
      <c r="D12978" s="927"/>
      <c r="E12978" s="1026" t="s">
        <v>3914</v>
      </c>
      <c r="F12978" s="1027"/>
      <c r="G12978" s="1028"/>
      <c r="H12978" s="1029"/>
      <c r="I12978" s="1030"/>
      <c r="J12978" s="1030"/>
      <c r="K12978" s="912" t="s">
        <v>274</v>
      </c>
      <c r="L12978" s="1030"/>
      <c r="M12978" s="1030"/>
      <c r="N12978" s="1030"/>
      <c r="O12978" s="892">
        <f t="shared" si="1033"/>
        <v>0</v>
      </c>
      <c r="P12978" s="903">
        <f t="shared" si="1034"/>
        <v>1</v>
      </c>
      <c r="Q12978" s="893">
        <f t="shared" si="1035"/>
        <v>2</v>
      </c>
      <c r="R12978" s="894">
        <f t="shared" si="1036"/>
        <v>0</v>
      </c>
    </row>
    <row r="12979" spans="1:18" s="904" customFormat="1">
      <c r="A12979" s="905"/>
      <c r="B12979" s="952" t="s">
        <v>7283</v>
      </c>
      <c r="C12979" s="907">
        <v>916</v>
      </c>
      <c r="D12979" s="907" t="s">
        <v>93</v>
      </c>
      <c r="E12979" s="992" t="s">
        <v>7284</v>
      </c>
      <c r="F12979" s="905" t="s">
        <v>2673</v>
      </c>
      <c r="G12979" s="1005"/>
      <c r="H12979" s="911">
        <v>0.01</v>
      </c>
      <c r="I12979" s="912"/>
      <c r="J12979" s="912"/>
      <c r="K12979" s="912"/>
      <c r="L12979" s="912"/>
      <c r="M12979" s="912">
        <f>VLOOKUP(B12979,MTC!$B$9:$S$933,12,0)</f>
        <v>1215</v>
      </c>
      <c r="N12979" s="912">
        <f>M12979*H12979</f>
        <v>12.15</v>
      </c>
      <c r="O12979" s="892">
        <f t="shared" si="1033"/>
        <v>0</v>
      </c>
      <c r="P12979" s="903">
        <f t="shared" si="1034"/>
        <v>1</v>
      </c>
      <c r="Q12979" s="893">
        <f t="shared" si="1035"/>
        <v>1</v>
      </c>
      <c r="R12979" s="894">
        <f t="shared" si="1036"/>
        <v>0</v>
      </c>
    </row>
    <row r="12980" spans="1:18">
      <c r="A12980" s="905" t="s">
        <v>7279</v>
      </c>
      <c r="B12980" s="914" t="s">
        <v>7287</v>
      </c>
      <c r="C12980" s="915"/>
      <c r="D12980" s="915"/>
      <c r="E12980" s="1006" t="s">
        <v>7288</v>
      </c>
      <c r="F12980" s="917" t="s">
        <v>6895</v>
      </c>
      <c r="G12980" s="1008"/>
      <c r="H12980" s="919"/>
      <c r="I12980" s="920"/>
      <c r="J12980" s="891">
        <f>SUM(J12981:J12988)</f>
        <v>11150</v>
      </c>
      <c r="K12980" s="891"/>
      <c r="L12980" s="891">
        <f>SUM(L12981:L12988)</f>
        <v>9622.2800000000007</v>
      </c>
      <c r="M12980" s="891"/>
      <c r="N12980" s="891">
        <f>SUM(N12981:N12988)</f>
        <v>12.15</v>
      </c>
      <c r="O12980" s="892">
        <f t="shared" si="1033"/>
        <v>1</v>
      </c>
      <c r="P12980" s="903">
        <f t="shared" si="1034"/>
        <v>0</v>
      </c>
      <c r="Q12980" s="893">
        <f t="shared" si="1035"/>
        <v>0</v>
      </c>
      <c r="R12980" s="894">
        <f t="shared" si="1036"/>
        <v>8</v>
      </c>
    </row>
    <row r="12981" spans="1:18">
      <c r="A12981" s="895"/>
      <c r="B12981" s="896"/>
      <c r="C12981" s="897"/>
      <c r="D12981" s="897"/>
      <c r="E12981" s="1002" t="s">
        <v>108</v>
      </c>
      <c r="F12981" s="1003"/>
      <c r="G12981" s="1004"/>
      <c r="H12981" s="901"/>
      <c r="I12981" s="902"/>
      <c r="J12981" s="902"/>
      <c r="K12981" s="912" t="s">
        <v>274</v>
      </c>
      <c r="L12981" s="902"/>
      <c r="M12981" s="902"/>
      <c r="N12981" s="902"/>
      <c r="O12981" s="892">
        <f t="shared" si="1033"/>
        <v>0</v>
      </c>
      <c r="P12981" s="903">
        <f t="shared" si="1034"/>
        <v>1</v>
      </c>
      <c r="Q12981" s="893">
        <f t="shared" si="1035"/>
        <v>8</v>
      </c>
      <c r="R12981" s="894">
        <f t="shared" si="1036"/>
        <v>0</v>
      </c>
    </row>
    <row r="12982" spans="1:18" s="1031" customFormat="1">
      <c r="A12982" s="905"/>
      <c r="B12982" s="906"/>
      <c r="C12982" s="907">
        <v>212</v>
      </c>
      <c r="D12982" s="907" t="s">
        <v>279</v>
      </c>
      <c r="E12982" s="992" t="s">
        <v>2681</v>
      </c>
      <c r="F12982" s="905" t="s">
        <v>45</v>
      </c>
      <c r="G12982" s="1005"/>
      <c r="H12982" s="911">
        <v>0.05</v>
      </c>
      <c r="I12982" s="912">
        <f>VLOOKUP(E12982,[3]VLP!$B$7:$K$300,10,0)</f>
        <v>23000</v>
      </c>
      <c r="J12982" s="912">
        <f>I12982*H12982</f>
        <v>1150</v>
      </c>
      <c r="K12982" s="912" t="s">
        <v>274</v>
      </c>
      <c r="L12982" s="912"/>
      <c r="M12982" s="912"/>
      <c r="N12982" s="912"/>
      <c r="O12982" s="892">
        <f t="shared" ref="O12982:O13045" si="1037">IF(AND(B12982&lt;&gt;"",D12982=""),1,0)</f>
        <v>0</v>
      </c>
      <c r="P12982" s="903">
        <f t="shared" si="1034"/>
        <v>1</v>
      </c>
      <c r="Q12982" s="893">
        <f t="shared" si="1035"/>
        <v>7</v>
      </c>
      <c r="R12982" s="894">
        <f t="shared" si="1036"/>
        <v>0</v>
      </c>
    </row>
    <row r="12983" spans="1:18" s="1031" customFormat="1">
      <c r="A12983" s="905"/>
      <c r="B12983" s="906"/>
      <c r="C12983" s="907">
        <v>699</v>
      </c>
      <c r="D12983" s="907" t="s">
        <v>279</v>
      </c>
      <c r="E12983" s="992" t="s">
        <v>4006</v>
      </c>
      <c r="F12983" s="905" t="s">
        <v>4007</v>
      </c>
      <c r="G12983" s="1005"/>
      <c r="H12983" s="911">
        <v>2</v>
      </c>
      <c r="I12983" s="912">
        <f>VLOOKUP(E12983,[3]VLP!$B$7:$K$300,10,0)</f>
        <v>5000</v>
      </c>
      <c r="J12983" s="912">
        <f>I12983*H12983</f>
        <v>10000</v>
      </c>
      <c r="K12983" s="912" t="s">
        <v>274</v>
      </c>
      <c r="L12983" s="912"/>
      <c r="M12983" s="912"/>
      <c r="N12983" s="912"/>
      <c r="O12983" s="892">
        <f t="shared" si="1037"/>
        <v>0</v>
      </c>
      <c r="P12983" s="903">
        <f t="shared" si="1034"/>
        <v>1</v>
      </c>
      <c r="Q12983" s="893">
        <f t="shared" si="1035"/>
        <v>6</v>
      </c>
      <c r="R12983" s="894">
        <f t="shared" si="1036"/>
        <v>0</v>
      </c>
    </row>
    <row r="12984" spans="1:18">
      <c r="A12984" s="895"/>
      <c r="B12984" s="896"/>
      <c r="C12984" s="897"/>
      <c r="D12984" s="897"/>
      <c r="E12984" s="1002" t="s">
        <v>276</v>
      </c>
      <c r="F12984" s="1003"/>
      <c r="G12984" s="1004"/>
      <c r="H12984" s="901"/>
      <c r="I12984" s="902"/>
      <c r="J12984" s="902"/>
      <c r="K12984" s="912" t="s">
        <v>274</v>
      </c>
      <c r="L12984" s="902"/>
      <c r="M12984" s="902"/>
      <c r="N12984" s="902"/>
      <c r="O12984" s="892">
        <f t="shared" si="1037"/>
        <v>0</v>
      </c>
      <c r="P12984" s="903">
        <f t="shared" si="1034"/>
        <v>1</v>
      </c>
      <c r="Q12984" s="893">
        <f t="shared" si="1035"/>
        <v>5</v>
      </c>
      <c r="R12984" s="894">
        <f t="shared" si="1036"/>
        <v>0</v>
      </c>
    </row>
    <row r="12985" spans="1:18" s="847" customFormat="1">
      <c r="A12985" s="905"/>
      <c r="B12985" s="952"/>
      <c r="C12985" s="907">
        <v>745</v>
      </c>
      <c r="D12985" s="907" t="s">
        <v>12</v>
      </c>
      <c r="E12985" s="992" t="s">
        <v>5518</v>
      </c>
      <c r="F12985" s="905" t="s">
        <v>2674</v>
      </c>
      <c r="G12985" s="1005"/>
      <c r="H12985" s="911">
        <v>0.04</v>
      </c>
      <c r="I12985" s="912"/>
      <c r="J12985" s="912"/>
      <c r="K12985" s="912">
        <f>VLOOKUP(E12985,[5]ĐMNC!$A$7:$F$67,4,0)</f>
        <v>240557</v>
      </c>
      <c r="L12985" s="912">
        <f>H12985*K12985</f>
        <v>9622.2800000000007</v>
      </c>
      <c r="M12985" s="912"/>
      <c r="N12985" s="912"/>
      <c r="O12985" s="892">
        <f t="shared" si="1037"/>
        <v>0</v>
      </c>
      <c r="P12985" s="903">
        <f t="shared" si="1034"/>
        <v>1</v>
      </c>
      <c r="Q12985" s="893">
        <f t="shared" si="1035"/>
        <v>4</v>
      </c>
      <c r="R12985" s="894">
        <f t="shared" si="1036"/>
        <v>0</v>
      </c>
    </row>
    <row r="12986" spans="1:18" s="847" customFormat="1">
      <c r="A12986" s="905"/>
      <c r="B12986" s="952"/>
      <c r="C12986" s="907">
        <v>764</v>
      </c>
      <c r="D12986" s="907" t="s">
        <v>12</v>
      </c>
      <c r="E12986" s="992" t="s">
        <v>7282</v>
      </c>
      <c r="F12986" s="905" t="s">
        <v>2674</v>
      </c>
      <c r="G12986" s="1005"/>
      <c r="H12986" s="911">
        <v>0.1</v>
      </c>
      <c r="I12986" s="912"/>
      <c r="J12986" s="912"/>
      <c r="K12986" s="912"/>
      <c r="L12986" s="912"/>
      <c r="M12986" s="912"/>
      <c r="N12986" s="912"/>
      <c r="O12986" s="892">
        <f t="shared" si="1037"/>
        <v>0</v>
      </c>
      <c r="P12986" s="903">
        <f t="shared" si="1034"/>
        <v>1</v>
      </c>
      <c r="Q12986" s="893">
        <f t="shared" si="1035"/>
        <v>3</v>
      </c>
      <c r="R12986" s="894">
        <f t="shared" si="1036"/>
        <v>0</v>
      </c>
    </row>
    <row r="12987" spans="1:18" s="904" customFormat="1">
      <c r="A12987" s="1025"/>
      <c r="B12987" s="1025"/>
      <c r="C12987" s="927"/>
      <c r="D12987" s="927"/>
      <c r="E12987" s="1026" t="s">
        <v>3914</v>
      </c>
      <c r="F12987" s="1027"/>
      <c r="G12987" s="1028"/>
      <c r="H12987" s="1029"/>
      <c r="I12987" s="1030"/>
      <c r="J12987" s="1030"/>
      <c r="K12987" s="912" t="s">
        <v>274</v>
      </c>
      <c r="L12987" s="1030"/>
      <c r="M12987" s="1030"/>
      <c r="N12987" s="1030"/>
      <c r="O12987" s="892">
        <f t="shared" si="1037"/>
        <v>0</v>
      </c>
      <c r="P12987" s="903">
        <f t="shared" si="1034"/>
        <v>1</v>
      </c>
      <c r="Q12987" s="893">
        <f t="shared" si="1035"/>
        <v>2</v>
      </c>
      <c r="R12987" s="894">
        <f t="shared" si="1036"/>
        <v>0</v>
      </c>
    </row>
    <row r="12988" spans="1:18" s="904" customFormat="1">
      <c r="A12988" s="905"/>
      <c r="B12988" s="952" t="s">
        <v>7283</v>
      </c>
      <c r="C12988" s="907">
        <v>916</v>
      </c>
      <c r="D12988" s="907" t="s">
        <v>93</v>
      </c>
      <c r="E12988" s="992" t="s">
        <v>7284</v>
      </c>
      <c r="F12988" s="905" t="s">
        <v>2673</v>
      </c>
      <c r="G12988" s="1005"/>
      <c r="H12988" s="911">
        <v>0.01</v>
      </c>
      <c r="I12988" s="912"/>
      <c r="J12988" s="912"/>
      <c r="K12988" s="912"/>
      <c r="L12988" s="912"/>
      <c r="M12988" s="912">
        <f>VLOOKUP(B12988,MTC!$B$9:$S$933,12,0)</f>
        <v>1215</v>
      </c>
      <c r="N12988" s="912">
        <f>M12988*H12988</f>
        <v>12.15</v>
      </c>
      <c r="O12988" s="892">
        <f t="shared" si="1037"/>
        <v>0</v>
      </c>
      <c r="P12988" s="903">
        <f t="shared" si="1034"/>
        <v>1</v>
      </c>
      <c r="Q12988" s="893">
        <f t="shared" si="1035"/>
        <v>1</v>
      </c>
      <c r="R12988" s="894">
        <f t="shared" si="1036"/>
        <v>0</v>
      </c>
    </row>
    <row r="12989" spans="1:18" ht="31.5">
      <c r="A12989" s="905" t="s">
        <v>7279</v>
      </c>
      <c r="B12989" s="914" t="s">
        <v>7289</v>
      </c>
      <c r="C12989" s="915"/>
      <c r="D12989" s="915"/>
      <c r="E12989" s="1006" t="s">
        <v>7290</v>
      </c>
      <c r="F12989" s="917" t="s">
        <v>6895</v>
      </c>
      <c r="G12989" s="1008"/>
      <c r="H12989" s="919"/>
      <c r="I12989" s="920"/>
      <c r="J12989" s="891">
        <f>SUM(J12990:J12997)</f>
        <v>12300</v>
      </c>
      <c r="K12989" s="891"/>
      <c r="L12989" s="891">
        <f>SUM(L12990:L12997)</f>
        <v>14433.42</v>
      </c>
      <c r="M12989" s="891"/>
      <c r="N12989" s="891">
        <f>SUM(N12990:N12997)</f>
        <v>12.15</v>
      </c>
      <c r="O12989" s="892">
        <f t="shared" si="1037"/>
        <v>1</v>
      </c>
      <c r="P12989" s="903">
        <f t="shared" si="1034"/>
        <v>0</v>
      </c>
      <c r="Q12989" s="893">
        <f t="shared" si="1035"/>
        <v>0</v>
      </c>
      <c r="R12989" s="894">
        <f t="shared" si="1036"/>
        <v>8</v>
      </c>
    </row>
    <row r="12990" spans="1:18">
      <c r="A12990" s="895"/>
      <c r="B12990" s="896"/>
      <c r="C12990" s="897"/>
      <c r="D12990" s="897"/>
      <c r="E12990" s="1002" t="s">
        <v>108</v>
      </c>
      <c r="F12990" s="1003"/>
      <c r="G12990" s="1004"/>
      <c r="H12990" s="901"/>
      <c r="I12990" s="902"/>
      <c r="J12990" s="902"/>
      <c r="K12990" s="912" t="s">
        <v>274</v>
      </c>
      <c r="L12990" s="902"/>
      <c r="M12990" s="902"/>
      <c r="N12990" s="902"/>
      <c r="O12990" s="892">
        <f t="shared" si="1037"/>
        <v>0</v>
      </c>
      <c r="P12990" s="903">
        <f t="shared" si="1034"/>
        <v>1</v>
      </c>
      <c r="Q12990" s="893">
        <f t="shared" si="1035"/>
        <v>8</v>
      </c>
      <c r="R12990" s="894">
        <f t="shared" si="1036"/>
        <v>0</v>
      </c>
    </row>
    <row r="12991" spans="1:18" s="1031" customFormat="1">
      <c r="A12991" s="905"/>
      <c r="B12991" s="906"/>
      <c r="C12991" s="907">
        <v>212</v>
      </c>
      <c r="D12991" s="907" t="s">
        <v>279</v>
      </c>
      <c r="E12991" s="992" t="s">
        <v>2681</v>
      </c>
      <c r="F12991" s="905" t="s">
        <v>45</v>
      </c>
      <c r="G12991" s="1005"/>
      <c r="H12991" s="911">
        <v>0.1</v>
      </c>
      <c r="I12991" s="912">
        <f>VLOOKUP(E12991,[3]VLP!$B$7:$K$300,10,0)</f>
        <v>23000</v>
      </c>
      <c r="J12991" s="912">
        <f>I12991*H12991</f>
        <v>2300</v>
      </c>
      <c r="K12991" s="912" t="s">
        <v>274</v>
      </c>
      <c r="L12991" s="912"/>
      <c r="M12991" s="912"/>
      <c r="N12991" s="912"/>
      <c r="O12991" s="892">
        <f t="shared" si="1037"/>
        <v>0</v>
      </c>
      <c r="P12991" s="903">
        <f t="shared" si="1034"/>
        <v>1</v>
      </c>
      <c r="Q12991" s="893">
        <f t="shared" si="1035"/>
        <v>7</v>
      </c>
      <c r="R12991" s="894">
        <f t="shared" si="1036"/>
        <v>0</v>
      </c>
    </row>
    <row r="12992" spans="1:18" s="1031" customFormat="1">
      <c r="A12992" s="905"/>
      <c r="B12992" s="906"/>
      <c r="C12992" s="907">
        <v>699</v>
      </c>
      <c r="D12992" s="907" t="s">
        <v>279</v>
      </c>
      <c r="E12992" s="992" t="s">
        <v>4006</v>
      </c>
      <c r="F12992" s="905" t="s">
        <v>4007</v>
      </c>
      <c r="G12992" s="1005"/>
      <c r="H12992" s="911">
        <v>2</v>
      </c>
      <c r="I12992" s="912">
        <f>VLOOKUP(E12992,[3]VLP!$B$7:$K$300,10,0)</f>
        <v>5000</v>
      </c>
      <c r="J12992" s="912">
        <f>I12992*H12992</f>
        <v>10000</v>
      </c>
      <c r="K12992" s="912" t="s">
        <v>274</v>
      </c>
      <c r="L12992" s="912"/>
      <c r="M12992" s="912"/>
      <c r="N12992" s="912"/>
      <c r="O12992" s="892">
        <f t="shared" si="1037"/>
        <v>0</v>
      </c>
      <c r="P12992" s="903">
        <f t="shared" si="1034"/>
        <v>1</v>
      </c>
      <c r="Q12992" s="893">
        <f t="shared" si="1035"/>
        <v>6</v>
      </c>
      <c r="R12992" s="894">
        <f t="shared" si="1036"/>
        <v>0</v>
      </c>
    </row>
    <row r="12993" spans="1:18">
      <c r="A12993" s="895"/>
      <c r="B12993" s="896"/>
      <c r="C12993" s="897"/>
      <c r="D12993" s="897"/>
      <c r="E12993" s="1002" t="s">
        <v>276</v>
      </c>
      <c r="F12993" s="1003"/>
      <c r="G12993" s="1004"/>
      <c r="H12993" s="901"/>
      <c r="I12993" s="902"/>
      <c r="J12993" s="902"/>
      <c r="K12993" s="912" t="s">
        <v>274</v>
      </c>
      <c r="L12993" s="902"/>
      <c r="M12993" s="902"/>
      <c r="N12993" s="902"/>
      <c r="O12993" s="892">
        <f t="shared" si="1037"/>
        <v>0</v>
      </c>
      <c r="P12993" s="903">
        <f t="shared" si="1034"/>
        <v>1</v>
      </c>
      <c r="Q12993" s="893">
        <f t="shared" si="1035"/>
        <v>5</v>
      </c>
      <c r="R12993" s="894">
        <f t="shared" si="1036"/>
        <v>0</v>
      </c>
    </row>
    <row r="12994" spans="1:18" s="847" customFormat="1">
      <c r="A12994" s="905"/>
      <c r="B12994" s="952"/>
      <c r="C12994" s="907">
        <v>745</v>
      </c>
      <c r="D12994" s="907" t="s">
        <v>12</v>
      </c>
      <c r="E12994" s="992" t="s">
        <v>5518</v>
      </c>
      <c r="F12994" s="905" t="s">
        <v>2674</v>
      </c>
      <c r="G12994" s="1005"/>
      <c r="H12994" s="911">
        <v>0.06</v>
      </c>
      <c r="I12994" s="912"/>
      <c r="J12994" s="912"/>
      <c r="K12994" s="912">
        <f>VLOOKUP(E12994,[5]ĐMNC!$A$7:$F$67,4,0)</f>
        <v>240557</v>
      </c>
      <c r="L12994" s="912">
        <f>H12994*K12994</f>
        <v>14433.42</v>
      </c>
      <c r="M12994" s="912"/>
      <c r="N12994" s="912"/>
      <c r="O12994" s="892">
        <f t="shared" si="1037"/>
        <v>0</v>
      </c>
      <c r="P12994" s="903">
        <f t="shared" si="1034"/>
        <v>1</v>
      </c>
      <c r="Q12994" s="893">
        <f t="shared" si="1035"/>
        <v>4</v>
      </c>
      <c r="R12994" s="894">
        <f t="shared" si="1036"/>
        <v>0</v>
      </c>
    </row>
    <row r="12995" spans="1:18" s="847" customFormat="1">
      <c r="A12995" s="905"/>
      <c r="B12995" s="952"/>
      <c r="C12995" s="907">
        <v>764</v>
      </c>
      <c r="D12995" s="907" t="s">
        <v>12</v>
      </c>
      <c r="E12995" s="992" t="s">
        <v>7282</v>
      </c>
      <c r="F12995" s="905" t="s">
        <v>2674</v>
      </c>
      <c r="G12995" s="1005"/>
      <c r="H12995" s="911">
        <v>0.14000000000000001</v>
      </c>
      <c r="I12995" s="912"/>
      <c r="J12995" s="912"/>
      <c r="K12995" s="912"/>
      <c r="L12995" s="912"/>
      <c r="M12995" s="912"/>
      <c r="N12995" s="912"/>
      <c r="O12995" s="892">
        <f t="shared" si="1037"/>
        <v>0</v>
      </c>
      <c r="P12995" s="903">
        <f t="shared" si="1034"/>
        <v>1</v>
      </c>
      <c r="Q12995" s="893">
        <f t="shared" si="1035"/>
        <v>3</v>
      </c>
      <c r="R12995" s="894">
        <f t="shared" si="1036"/>
        <v>0</v>
      </c>
    </row>
    <row r="12996" spans="1:18" s="904" customFormat="1">
      <c r="A12996" s="1025"/>
      <c r="B12996" s="1025"/>
      <c r="C12996" s="927"/>
      <c r="D12996" s="927"/>
      <c r="E12996" s="1026" t="s">
        <v>3914</v>
      </c>
      <c r="F12996" s="1027"/>
      <c r="G12996" s="1028"/>
      <c r="H12996" s="1029"/>
      <c r="I12996" s="1030"/>
      <c r="J12996" s="1030"/>
      <c r="K12996" s="912" t="s">
        <v>274</v>
      </c>
      <c r="L12996" s="1030"/>
      <c r="M12996" s="1030"/>
      <c r="N12996" s="1030"/>
      <c r="O12996" s="892">
        <f t="shared" si="1037"/>
        <v>0</v>
      </c>
      <c r="P12996" s="903">
        <f t="shared" si="1034"/>
        <v>1</v>
      </c>
      <c r="Q12996" s="893">
        <f t="shared" si="1035"/>
        <v>2</v>
      </c>
      <c r="R12996" s="894">
        <f t="shared" si="1036"/>
        <v>0</v>
      </c>
    </row>
    <row r="12997" spans="1:18" s="904" customFormat="1">
      <c r="A12997" s="905"/>
      <c r="B12997" s="952" t="s">
        <v>7283</v>
      </c>
      <c r="C12997" s="907">
        <v>916</v>
      </c>
      <c r="D12997" s="907" t="s">
        <v>93</v>
      </c>
      <c r="E12997" s="992" t="s">
        <v>7284</v>
      </c>
      <c r="F12997" s="905" t="s">
        <v>2673</v>
      </c>
      <c r="G12997" s="1005"/>
      <c r="H12997" s="911">
        <v>0.01</v>
      </c>
      <c r="I12997" s="912"/>
      <c r="J12997" s="912"/>
      <c r="K12997" s="912"/>
      <c r="L12997" s="912"/>
      <c r="M12997" s="912">
        <f>VLOOKUP(B12997,MTC!$B$9:$S$933,12,0)</f>
        <v>1215</v>
      </c>
      <c r="N12997" s="912">
        <f>M12997*H12997</f>
        <v>12.15</v>
      </c>
      <c r="O12997" s="892">
        <f t="shared" si="1037"/>
        <v>0</v>
      </c>
      <c r="P12997" s="903">
        <f t="shared" si="1034"/>
        <v>1</v>
      </c>
      <c r="Q12997" s="893">
        <f t="shared" si="1035"/>
        <v>1</v>
      </c>
      <c r="R12997" s="894">
        <f t="shared" si="1036"/>
        <v>0</v>
      </c>
    </row>
    <row r="12998" spans="1:18" ht="31.5">
      <c r="A12998" s="905" t="s">
        <v>7279</v>
      </c>
      <c r="B12998" s="914" t="s">
        <v>7291</v>
      </c>
      <c r="C12998" s="915"/>
      <c r="D12998" s="915"/>
      <c r="E12998" s="1006" t="s">
        <v>7292</v>
      </c>
      <c r="F12998" s="917" t="s">
        <v>6895</v>
      </c>
      <c r="G12998" s="1008"/>
      <c r="H12998" s="919"/>
      <c r="I12998" s="920"/>
      <c r="J12998" s="891">
        <f>SUM(J12999:J13006)</f>
        <v>11150</v>
      </c>
      <c r="K12998" s="891"/>
      <c r="L12998" s="891">
        <f>SUM(L12999:L13006)</f>
        <v>55328.11</v>
      </c>
      <c r="M12998" s="891"/>
      <c r="N12998" s="891">
        <f>SUM(N12999:N13006)</f>
        <v>72.899999999999991</v>
      </c>
      <c r="O12998" s="892">
        <f t="shared" si="1037"/>
        <v>1</v>
      </c>
      <c r="P12998" s="903">
        <f t="shared" si="1034"/>
        <v>0</v>
      </c>
      <c r="Q12998" s="893">
        <f t="shared" si="1035"/>
        <v>0</v>
      </c>
      <c r="R12998" s="894">
        <f t="shared" si="1036"/>
        <v>8</v>
      </c>
    </row>
    <row r="12999" spans="1:18">
      <c r="A12999" s="895"/>
      <c r="B12999" s="896"/>
      <c r="C12999" s="897"/>
      <c r="D12999" s="897"/>
      <c r="E12999" s="1002" t="s">
        <v>108</v>
      </c>
      <c r="F12999" s="1003"/>
      <c r="G12999" s="1004"/>
      <c r="H12999" s="901"/>
      <c r="I12999" s="902"/>
      <c r="J12999" s="902"/>
      <c r="K12999" s="912" t="s">
        <v>274</v>
      </c>
      <c r="L12999" s="902"/>
      <c r="M12999" s="902"/>
      <c r="N12999" s="902"/>
      <c r="O12999" s="892">
        <f t="shared" si="1037"/>
        <v>0</v>
      </c>
      <c r="P12999" s="903">
        <f t="shared" si="1034"/>
        <v>1</v>
      </c>
      <c r="Q12999" s="893">
        <f t="shared" si="1035"/>
        <v>8</v>
      </c>
      <c r="R12999" s="894">
        <f t="shared" si="1036"/>
        <v>0</v>
      </c>
    </row>
    <row r="13000" spans="1:18" s="1031" customFormat="1">
      <c r="A13000" s="905"/>
      <c r="B13000" s="906"/>
      <c r="C13000" s="907">
        <v>212</v>
      </c>
      <c r="D13000" s="907" t="s">
        <v>279</v>
      </c>
      <c r="E13000" s="992" t="s">
        <v>2681</v>
      </c>
      <c r="F13000" s="905" t="s">
        <v>45</v>
      </c>
      <c r="G13000" s="1005"/>
      <c r="H13000" s="911">
        <v>0.05</v>
      </c>
      <c r="I13000" s="912">
        <f>VLOOKUP(E13000,[3]VLP!$B$7:$K$300,10,0)</f>
        <v>23000</v>
      </c>
      <c r="J13000" s="912">
        <f>I13000*H13000</f>
        <v>1150</v>
      </c>
      <c r="K13000" s="912" t="s">
        <v>274</v>
      </c>
      <c r="L13000" s="912"/>
      <c r="M13000" s="912"/>
      <c r="N13000" s="912"/>
      <c r="O13000" s="892">
        <f t="shared" si="1037"/>
        <v>0</v>
      </c>
      <c r="P13000" s="903">
        <f t="shared" si="1034"/>
        <v>1</v>
      </c>
      <c r="Q13000" s="893">
        <f t="shared" si="1035"/>
        <v>7</v>
      </c>
      <c r="R13000" s="894">
        <f t="shared" si="1036"/>
        <v>0</v>
      </c>
    </row>
    <row r="13001" spans="1:18" s="1031" customFormat="1">
      <c r="A13001" s="905"/>
      <c r="B13001" s="906"/>
      <c r="C13001" s="907">
        <v>699</v>
      </c>
      <c r="D13001" s="907" t="s">
        <v>279</v>
      </c>
      <c r="E13001" s="992" t="s">
        <v>4006</v>
      </c>
      <c r="F13001" s="905" t="s">
        <v>4007</v>
      </c>
      <c r="G13001" s="1005"/>
      <c r="H13001" s="911">
        <v>2</v>
      </c>
      <c r="I13001" s="912">
        <f>VLOOKUP(E13001,[3]VLP!$B$7:$K$300,10,0)</f>
        <v>5000</v>
      </c>
      <c r="J13001" s="912">
        <f>I13001*H13001</f>
        <v>10000</v>
      </c>
      <c r="K13001" s="912" t="s">
        <v>274</v>
      </c>
      <c r="L13001" s="912"/>
      <c r="M13001" s="912"/>
      <c r="N13001" s="912"/>
      <c r="O13001" s="892">
        <f t="shared" si="1037"/>
        <v>0</v>
      </c>
      <c r="P13001" s="903">
        <f t="shared" si="1034"/>
        <v>1</v>
      </c>
      <c r="Q13001" s="893">
        <f t="shared" si="1035"/>
        <v>6</v>
      </c>
      <c r="R13001" s="894">
        <f t="shared" si="1036"/>
        <v>0</v>
      </c>
    </row>
    <row r="13002" spans="1:18">
      <c r="A13002" s="895"/>
      <c r="B13002" s="896"/>
      <c r="C13002" s="897"/>
      <c r="D13002" s="897"/>
      <c r="E13002" s="1002" t="s">
        <v>276</v>
      </c>
      <c r="F13002" s="1003"/>
      <c r="G13002" s="1004"/>
      <c r="H13002" s="901"/>
      <c r="I13002" s="902"/>
      <c r="J13002" s="902"/>
      <c r="K13002" s="912" t="s">
        <v>274</v>
      </c>
      <c r="L13002" s="902"/>
      <c r="M13002" s="902"/>
      <c r="N13002" s="902"/>
      <c r="O13002" s="892">
        <f t="shared" si="1037"/>
        <v>0</v>
      </c>
      <c r="P13002" s="903">
        <f t="shared" ref="P13002:P13065" si="1038">IF(O13002=0,1,0)</f>
        <v>1</v>
      </c>
      <c r="Q13002" s="893">
        <f t="shared" ref="Q13002:Q13065" si="1039">IF(P13002=0,0,P13002+Q13003)</f>
        <v>5</v>
      </c>
      <c r="R13002" s="894">
        <f t="shared" ref="R13002:R13065" si="1040">IF(Q13002=0,Q13003,0)</f>
        <v>0</v>
      </c>
    </row>
    <row r="13003" spans="1:18" s="847" customFormat="1">
      <c r="A13003" s="905"/>
      <c r="B13003" s="952"/>
      <c r="C13003" s="907">
        <v>745</v>
      </c>
      <c r="D13003" s="907" t="s">
        <v>12</v>
      </c>
      <c r="E13003" s="992" t="s">
        <v>5518</v>
      </c>
      <c r="F13003" s="905" t="s">
        <v>2674</v>
      </c>
      <c r="G13003" s="1005"/>
      <c r="H13003" s="911">
        <v>0.23</v>
      </c>
      <c r="I13003" s="912"/>
      <c r="J13003" s="912"/>
      <c r="K13003" s="912">
        <f>VLOOKUP(E13003,[5]ĐMNC!$A$7:$F$67,4,0)</f>
        <v>240557</v>
      </c>
      <c r="L13003" s="912">
        <f>H13003*K13003</f>
        <v>55328.11</v>
      </c>
      <c r="M13003" s="912"/>
      <c r="N13003" s="912"/>
      <c r="O13003" s="892">
        <f t="shared" si="1037"/>
        <v>0</v>
      </c>
      <c r="P13003" s="903">
        <f t="shared" si="1038"/>
        <v>1</v>
      </c>
      <c r="Q13003" s="893">
        <f t="shared" si="1039"/>
        <v>4</v>
      </c>
      <c r="R13003" s="894">
        <f t="shared" si="1040"/>
        <v>0</v>
      </c>
    </row>
    <row r="13004" spans="1:18" s="847" customFormat="1">
      <c r="A13004" s="905"/>
      <c r="B13004" s="952"/>
      <c r="C13004" s="907">
        <v>764</v>
      </c>
      <c r="D13004" s="907" t="s">
        <v>12</v>
      </c>
      <c r="E13004" s="992" t="s">
        <v>7282</v>
      </c>
      <c r="F13004" s="905" t="s">
        <v>2674</v>
      </c>
      <c r="G13004" s="1005"/>
      <c r="H13004" s="911">
        <v>0.63</v>
      </c>
      <c r="I13004" s="912"/>
      <c r="J13004" s="912"/>
      <c r="K13004" s="912"/>
      <c r="L13004" s="912"/>
      <c r="M13004" s="912"/>
      <c r="N13004" s="912"/>
      <c r="O13004" s="892">
        <f t="shared" si="1037"/>
        <v>0</v>
      </c>
      <c r="P13004" s="903">
        <f t="shared" si="1038"/>
        <v>1</v>
      </c>
      <c r="Q13004" s="893">
        <f t="shared" si="1039"/>
        <v>3</v>
      </c>
      <c r="R13004" s="894">
        <f t="shared" si="1040"/>
        <v>0</v>
      </c>
    </row>
    <row r="13005" spans="1:18" s="904" customFormat="1">
      <c r="A13005" s="1025"/>
      <c r="B13005" s="1025"/>
      <c r="C13005" s="927"/>
      <c r="D13005" s="927"/>
      <c r="E13005" s="1026" t="s">
        <v>3914</v>
      </c>
      <c r="F13005" s="1027"/>
      <c r="G13005" s="1028"/>
      <c r="H13005" s="1029"/>
      <c r="I13005" s="1030"/>
      <c r="J13005" s="1030"/>
      <c r="K13005" s="912" t="s">
        <v>274</v>
      </c>
      <c r="L13005" s="1030"/>
      <c r="M13005" s="1030"/>
      <c r="N13005" s="1030"/>
      <c r="O13005" s="892">
        <f t="shared" si="1037"/>
        <v>0</v>
      </c>
      <c r="P13005" s="903">
        <f t="shared" si="1038"/>
        <v>1</v>
      </c>
      <c r="Q13005" s="893">
        <f t="shared" si="1039"/>
        <v>2</v>
      </c>
      <c r="R13005" s="894">
        <f t="shared" si="1040"/>
        <v>0</v>
      </c>
    </row>
    <row r="13006" spans="1:18" s="904" customFormat="1">
      <c r="A13006" s="905"/>
      <c r="B13006" s="952" t="s">
        <v>7283</v>
      </c>
      <c r="C13006" s="907">
        <v>916</v>
      </c>
      <c r="D13006" s="907" t="s">
        <v>93</v>
      </c>
      <c r="E13006" s="992" t="s">
        <v>7284</v>
      </c>
      <c r="F13006" s="905" t="s">
        <v>2673</v>
      </c>
      <c r="G13006" s="1005"/>
      <c r="H13006" s="911">
        <v>0.06</v>
      </c>
      <c r="I13006" s="912"/>
      <c r="J13006" s="912"/>
      <c r="K13006" s="912"/>
      <c r="L13006" s="912"/>
      <c r="M13006" s="912">
        <f>VLOOKUP(B13006,MTC!$B$9:$S$933,12,0)</f>
        <v>1215</v>
      </c>
      <c r="N13006" s="912">
        <f>M13006*H13006</f>
        <v>72.899999999999991</v>
      </c>
      <c r="O13006" s="892">
        <f t="shared" si="1037"/>
        <v>0</v>
      </c>
      <c r="P13006" s="903">
        <f t="shared" si="1038"/>
        <v>1</v>
      </c>
      <c r="Q13006" s="893">
        <f t="shared" si="1039"/>
        <v>1</v>
      </c>
      <c r="R13006" s="894">
        <f t="shared" si="1040"/>
        <v>0</v>
      </c>
    </row>
    <row r="13007" spans="1:18" ht="31.5">
      <c r="A13007" s="905" t="s">
        <v>7279</v>
      </c>
      <c r="B13007" s="914" t="s">
        <v>7293</v>
      </c>
      <c r="C13007" s="915"/>
      <c r="D13007" s="915"/>
      <c r="E13007" s="1006" t="s">
        <v>7294</v>
      </c>
      <c r="F13007" s="917" t="s">
        <v>6895</v>
      </c>
      <c r="G13007" s="1008"/>
      <c r="H13007" s="919"/>
      <c r="I13007" s="920"/>
      <c r="J13007" s="891">
        <f>SUM(J13008:J13015)</f>
        <v>11150</v>
      </c>
      <c r="K13007" s="891"/>
      <c r="L13007" s="891">
        <f>SUM(L13008:L13015)</f>
        <v>40894.69</v>
      </c>
      <c r="M13007" s="891"/>
      <c r="N13007" s="891">
        <f>SUM(N13008:N13015)</f>
        <v>60.75</v>
      </c>
      <c r="O13007" s="892">
        <f t="shared" si="1037"/>
        <v>1</v>
      </c>
      <c r="P13007" s="903">
        <f t="shared" si="1038"/>
        <v>0</v>
      </c>
      <c r="Q13007" s="893">
        <f t="shared" si="1039"/>
        <v>0</v>
      </c>
      <c r="R13007" s="894">
        <f t="shared" si="1040"/>
        <v>8</v>
      </c>
    </row>
    <row r="13008" spans="1:18">
      <c r="A13008" s="895"/>
      <c r="B13008" s="896"/>
      <c r="C13008" s="897"/>
      <c r="D13008" s="897"/>
      <c r="E13008" s="1002" t="s">
        <v>108</v>
      </c>
      <c r="F13008" s="1003"/>
      <c r="G13008" s="1004"/>
      <c r="H13008" s="901"/>
      <c r="I13008" s="902"/>
      <c r="J13008" s="902"/>
      <c r="K13008" s="912" t="s">
        <v>274</v>
      </c>
      <c r="L13008" s="902"/>
      <c r="M13008" s="902"/>
      <c r="N13008" s="902"/>
      <c r="O13008" s="892">
        <f t="shared" si="1037"/>
        <v>0</v>
      </c>
      <c r="P13008" s="903">
        <f t="shared" si="1038"/>
        <v>1</v>
      </c>
      <c r="Q13008" s="893">
        <f t="shared" si="1039"/>
        <v>8</v>
      </c>
      <c r="R13008" s="894">
        <f t="shared" si="1040"/>
        <v>0</v>
      </c>
    </row>
    <row r="13009" spans="1:18" s="1031" customFormat="1">
      <c r="A13009" s="905"/>
      <c r="B13009" s="906"/>
      <c r="C13009" s="907">
        <v>212</v>
      </c>
      <c r="D13009" s="907" t="s">
        <v>279</v>
      </c>
      <c r="E13009" s="992" t="s">
        <v>2681</v>
      </c>
      <c r="F13009" s="905" t="s">
        <v>45</v>
      </c>
      <c r="G13009" s="1005"/>
      <c r="H13009" s="911">
        <v>0.05</v>
      </c>
      <c r="I13009" s="912">
        <f>VLOOKUP(E13009,[3]VLP!$B$7:$K$300,10,0)</f>
        <v>23000</v>
      </c>
      <c r="J13009" s="912">
        <f>I13009*H13009</f>
        <v>1150</v>
      </c>
      <c r="K13009" s="912" t="s">
        <v>274</v>
      </c>
      <c r="L13009" s="912"/>
      <c r="M13009" s="912"/>
      <c r="N13009" s="912"/>
      <c r="O13009" s="892">
        <f t="shared" si="1037"/>
        <v>0</v>
      </c>
      <c r="P13009" s="903">
        <f t="shared" si="1038"/>
        <v>1</v>
      </c>
      <c r="Q13009" s="893">
        <f t="shared" si="1039"/>
        <v>7</v>
      </c>
      <c r="R13009" s="894">
        <f t="shared" si="1040"/>
        <v>0</v>
      </c>
    </row>
    <row r="13010" spans="1:18" s="1031" customFormat="1">
      <c r="A13010" s="905"/>
      <c r="B13010" s="906"/>
      <c r="C13010" s="907">
        <v>699</v>
      </c>
      <c r="D13010" s="907" t="s">
        <v>279</v>
      </c>
      <c r="E13010" s="992" t="s">
        <v>4006</v>
      </c>
      <c r="F13010" s="905" t="s">
        <v>4007</v>
      </c>
      <c r="G13010" s="1005"/>
      <c r="H13010" s="911">
        <v>2</v>
      </c>
      <c r="I13010" s="912">
        <f>VLOOKUP(E13010,[3]VLP!$B$7:$K$300,10,0)</f>
        <v>5000</v>
      </c>
      <c r="J13010" s="912">
        <f>I13010*H13010</f>
        <v>10000</v>
      </c>
      <c r="K13010" s="912" t="s">
        <v>274</v>
      </c>
      <c r="L13010" s="912"/>
      <c r="M13010" s="912"/>
      <c r="N13010" s="912"/>
      <c r="O13010" s="892">
        <f t="shared" si="1037"/>
        <v>0</v>
      </c>
      <c r="P13010" s="903">
        <f t="shared" si="1038"/>
        <v>1</v>
      </c>
      <c r="Q13010" s="893">
        <f t="shared" si="1039"/>
        <v>6</v>
      </c>
      <c r="R13010" s="894">
        <f t="shared" si="1040"/>
        <v>0</v>
      </c>
    </row>
    <row r="13011" spans="1:18">
      <c r="A13011" s="895"/>
      <c r="B13011" s="896"/>
      <c r="C13011" s="897"/>
      <c r="D13011" s="897"/>
      <c r="E13011" s="1002" t="s">
        <v>276</v>
      </c>
      <c r="F13011" s="1003"/>
      <c r="G13011" s="1004"/>
      <c r="H13011" s="901"/>
      <c r="I13011" s="902"/>
      <c r="J13011" s="902"/>
      <c r="K13011" s="912" t="s">
        <v>274</v>
      </c>
      <c r="L13011" s="902"/>
      <c r="M13011" s="902"/>
      <c r="N13011" s="902"/>
      <c r="O13011" s="892">
        <f t="shared" si="1037"/>
        <v>0</v>
      </c>
      <c r="P13011" s="903">
        <f t="shared" si="1038"/>
        <v>1</v>
      </c>
      <c r="Q13011" s="893">
        <f t="shared" si="1039"/>
        <v>5</v>
      </c>
      <c r="R13011" s="894">
        <f t="shared" si="1040"/>
        <v>0</v>
      </c>
    </row>
    <row r="13012" spans="1:18" s="847" customFormat="1">
      <c r="A13012" s="905"/>
      <c r="B13012" s="952"/>
      <c r="C13012" s="907">
        <v>745</v>
      </c>
      <c r="D13012" s="907" t="s">
        <v>12</v>
      </c>
      <c r="E13012" s="992" t="s">
        <v>5518</v>
      </c>
      <c r="F13012" s="905" t="s">
        <v>2674</v>
      </c>
      <c r="G13012" s="1005"/>
      <c r="H13012" s="911">
        <v>0.17</v>
      </c>
      <c r="I13012" s="912"/>
      <c r="J13012" s="912"/>
      <c r="K13012" s="912">
        <f>VLOOKUP(E13012,[5]ĐMNC!$A$7:$F$67,4,0)</f>
        <v>240557</v>
      </c>
      <c r="L13012" s="912">
        <f>H13012*K13012</f>
        <v>40894.69</v>
      </c>
      <c r="M13012" s="912"/>
      <c r="N13012" s="912"/>
      <c r="O13012" s="892">
        <f t="shared" si="1037"/>
        <v>0</v>
      </c>
      <c r="P13012" s="903">
        <f t="shared" si="1038"/>
        <v>1</v>
      </c>
      <c r="Q13012" s="893">
        <f t="shared" si="1039"/>
        <v>4</v>
      </c>
      <c r="R13012" s="894">
        <f t="shared" si="1040"/>
        <v>0</v>
      </c>
    </row>
    <row r="13013" spans="1:18" s="847" customFormat="1">
      <c r="A13013" s="905"/>
      <c r="B13013" s="952"/>
      <c r="C13013" s="907">
        <v>764</v>
      </c>
      <c r="D13013" s="907" t="s">
        <v>12</v>
      </c>
      <c r="E13013" s="992" t="s">
        <v>7282</v>
      </c>
      <c r="F13013" s="905" t="s">
        <v>2674</v>
      </c>
      <c r="G13013" s="1005"/>
      <c r="H13013" s="911">
        <v>0.78</v>
      </c>
      <c r="I13013" s="912"/>
      <c r="J13013" s="912"/>
      <c r="K13013" s="912"/>
      <c r="L13013" s="912"/>
      <c r="M13013" s="912"/>
      <c r="N13013" s="912"/>
      <c r="O13013" s="892">
        <f t="shared" si="1037"/>
        <v>0</v>
      </c>
      <c r="P13013" s="903">
        <f t="shared" si="1038"/>
        <v>1</v>
      </c>
      <c r="Q13013" s="893">
        <f t="shared" si="1039"/>
        <v>3</v>
      </c>
      <c r="R13013" s="894">
        <f t="shared" si="1040"/>
        <v>0</v>
      </c>
    </row>
    <row r="13014" spans="1:18" s="904" customFormat="1">
      <c r="A13014" s="1025"/>
      <c r="B13014" s="1025"/>
      <c r="C13014" s="927"/>
      <c r="D13014" s="927"/>
      <c r="E13014" s="1026" t="s">
        <v>3914</v>
      </c>
      <c r="F13014" s="1027"/>
      <c r="G13014" s="1028"/>
      <c r="H13014" s="1029"/>
      <c r="I13014" s="1030"/>
      <c r="J13014" s="1030"/>
      <c r="K13014" s="912" t="s">
        <v>274</v>
      </c>
      <c r="L13014" s="1030"/>
      <c r="M13014" s="1030"/>
      <c r="N13014" s="1030"/>
      <c r="O13014" s="892">
        <f t="shared" si="1037"/>
        <v>0</v>
      </c>
      <c r="P13014" s="903">
        <f t="shared" si="1038"/>
        <v>1</v>
      </c>
      <c r="Q13014" s="893">
        <f t="shared" si="1039"/>
        <v>2</v>
      </c>
      <c r="R13014" s="894">
        <f t="shared" si="1040"/>
        <v>0</v>
      </c>
    </row>
    <row r="13015" spans="1:18" s="904" customFormat="1">
      <c r="A13015" s="905"/>
      <c r="B13015" s="952" t="s">
        <v>7283</v>
      </c>
      <c r="C13015" s="907">
        <v>916</v>
      </c>
      <c r="D13015" s="907" t="s">
        <v>93</v>
      </c>
      <c r="E13015" s="992" t="s">
        <v>7284</v>
      </c>
      <c r="F13015" s="905" t="s">
        <v>2673</v>
      </c>
      <c r="G13015" s="1005"/>
      <c r="H13015" s="911">
        <v>0.05</v>
      </c>
      <c r="I13015" s="912"/>
      <c r="J13015" s="912"/>
      <c r="K13015" s="912"/>
      <c r="L13015" s="912"/>
      <c r="M13015" s="912">
        <f>VLOOKUP(B13015,MTC!$B$9:$S$933,12,0)</f>
        <v>1215</v>
      </c>
      <c r="N13015" s="912">
        <f>M13015*H13015</f>
        <v>60.75</v>
      </c>
      <c r="O13015" s="892">
        <f t="shared" si="1037"/>
        <v>0</v>
      </c>
      <c r="P13015" s="903">
        <f t="shared" si="1038"/>
        <v>1</v>
      </c>
      <c r="Q13015" s="893">
        <f t="shared" si="1039"/>
        <v>1</v>
      </c>
      <c r="R13015" s="894">
        <f t="shared" si="1040"/>
        <v>0</v>
      </c>
    </row>
    <row r="13016" spans="1:18">
      <c r="A13016" s="905" t="s">
        <v>7279</v>
      </c>
      <c r="B13016" s="914" t="s">
        <v>7295</v>
      </c>
      <c r="C13016" s="915"/>
      <c r="D13016" s="915"/>
      <c r="E13016" s="1006" t="s">
        <v>7296</v>
      </c>
      <c r="F13016" s="917" t="s">
        <v>6895</v>
      </c>
      <c r="G13016" s="1008"/>
      <c r="H13016" s="919"/>
      <c r="I13016" s="920"/>
      <c r="J13016" s="891">
        <f>SUM(J13017:J13024)</f>
        <v>10690</v>
      </c>
      <c r="K13016" s="891"/>
      <c r="L13016" s="891">
        <f>SUM(L13017:L13024)</f>
        <v>36083.549999999996</v>
      </c>
      <c r="M13016" s="891"/>
      <c r="N13016" s="891">
        <f>SUM(N13017:N13024)</f>
        <v>60.75</v>
      </c>
      <c r="O13016" s="892">
        <f t="shared" si="1037"/>
        <v>1</v>
      </c>
      <c r="P13016" s="903">
        <f t="shared" si="1038"/>
        <v>0</v>
      </c>
      <c r="Q13016" s="893">
        <f t="shared" si="1039"/>
        <v>0</v>
      </c>
      <c r="R13016" s="894">
        <f t="shared" si="1040"/>
        <v>8</v>
      </c>
    </row>
    <row r="13017" spans="1:18">
      <c r="A13017" s="895"/>
      <c r="B13017" s="896"/>
      <c r="C13017" s="897"/>
      <c r="D13017" s="897"/>
      <c r="E13017" s="1002" t="s">
        <v>108</v>
      </c>
      <c r="F13017" s="1003"/>
      <c r="G13017" s="1004"/>
      <c r="H13017" s="901"/>
      <c r="I13017" s="902"/>
      <c r="J13017" s="902"/>
      <c r="K13017" s="912" t="s">
        <v>274</v>
      </c>
      <c r="L13017" s="902"/>
      <c r="M13017" s="902"/>
      <c r="N13017" s="902"/>
      <c r="O13017" s="892">
        <f t="shared" si="1037"/>
        <v>0</v>
      </c>
      <c r="P13017" s="903">
        <f t="shared" si="1038"/>
        <v>1</v>
      </c>
      <c r="Q13017" s="893">
        <f t="shared" si="1039"/>
        <v>8</v>
      </c>
      <c r="R13017" s="894">
        <f t="shared" si="1040"/>
        <v>0</v>
      </c>
    </row>
    <row r="13018" spans="1:18" s="1031" customFormat="1">
      <c r="A13018" s="905"/>
      <c r="B13018" s="906"/>
      <c r="C13018" s="907">
        <v>212</v>
      </c>
      <c r="D13018" s="907" t="s">
        <v>279</v>
      </c>
      <c r="E13018" s="992" t="s">
        <v>2681</v>
      </c>
      <c r="F13018" s="905" t="s">
        <v>45</v>
      </c>
      <c r="G13018" s="1005"/>
      <c r="H13018" s="911">
        <v>0.03</v>
      </c>
      <c r="I13018" s="912">
        <f>VLOOKUP(E13018,[3]VLP!$B$7:$K$300,10,0)</f>
        <v>23000</v>
      </c>
      <c r="J13018" s="912">
        <f>I13018*H13018</f>
        <v>690</v>
      </c>
      <c r="K13018" s="912" t="s">
        <v>274</v>
      </c>
      <c r="L13018" s="912"/>
      <c r="M13018" s="912"/>
      <c r="N13018" s="912"/>
      <c r="O13018" s="892">
        <f t="shared" si="1037"/>
        <v>0</v>
      </c>
      <c r="P13018" s="903">
        <f t="shared" si="1038"/>
        <v>1</v>
      </c>
      <c r="Q13018" s="893">
        <f t="shared" si="1039"/>
        <v>7</v>
      </c>
      <c r="R13018" s="894">
        <f t="shared" si="1040"/>
        <v>0</v>
      </c>
    </row>
    <row r="13019" spans="1:18" s="1031" customFormat="1">
      <c r="A13019" s="905"/>
      <c r="B13019" s="906"/>
      <c r="C13019" s="907">
        <v>699</v>
      </c>
      <c r="D13019" s="907" t="s">
        <v>279</v>
      </c>
      <c r="E13019" s="992" t="s">
        <v>4006</v>
      </c>
      <c r="F13019" s="905" t="s">
        <v>4007</v>
      </c>
      <c r="G13019" s="1005"/>
      <c r="H13019" s="911">
        <v>2</v>
      </c>
      <c r="I13019" s="912">
        <f>VLOOKUP(E13019,[3]VLP!$B$7:$K$300,10,0)</f>
        <v>5000</v>
      </c>
      <c r="J13019" s="912">
        <f>I13019*H13019</f>
        <v>10000</v>
      </c>
      <c r="K13019" s="912" t="s">
        <v>274</v>
      </c>
      <c r="L13019" s="912"/>
      <c r="M13019" s="912"/>
      <c r="N13019" s="912"/>
      <c r="O13019" s="892">
        <f t="shared" si="1037"/>
        <v>0</v>
      </c>
      <c r="P13019" s="903">
        <f t="shared" si="1038"/>
        <v>1</v>
      </c>
      <c r="Q13019" s="893">
        <f t="shared" si="1039"/>
        <v>6</v>
      </c>
      <c r="R13019" s="894">
        <f t="shared" si="1040"/>
        <v>0</v>
      </c>
    </row>
    <row r="13020" spans="1:18">
      <c r="A13020" s="895"/>
      <c r="B13020" s="896"/>
      <c r="C13020" s="897"/>
      <c r="D13020" s="897"/>
      <c r="E13020" s="1002" t="s">
        <v>276</v>
      </c>
      <c r="F13020" s="1003"/>
      <c r="G13020" s="1004"/>
      <c r="H13020" s="901"/>
      <c r="I13020" s="902"/>
      <c r="J13020" s="902"/>
      <c r="K13020" s="912" t="s">
        <v>274</v>
      </c>
      <c r="L13020" s="902"/>
      <c r="M13020" s="902"/>
      <c r="N13020" s="902"/>
      <c r="O13020" s="892">
        <f t="shared" si="1037"/>
        <v>0</v>
      </c>
      <c r="P13020" s="903">
        <f t="shared" si="1038"/>
        <v>1</v>
      </c>
      <c r="Q13020" s="893">
        <f t="shared" si="1039"/>
        <v>5</v>
      </c>
      <c r="R13020" s="894">
        <f t="shared" si="1040"/>
        <v>0</v>
      </c>
    </row>
    <row r="13021" spans="1:18" s="847" customFormat="1">
      <c r="A13021" s="905"/>
      <c r="B13021" s="952"/>
      <c r="C13021" s="907">
        <v>745</v>
      </c>
      <c r="D13021" s="907" t="s">
        <v>12</v>
      </c>
      <c r="E13021" s="992" t="s">
        <v>5518</v>
      </c>
      <c r="F13021" s="905" t="s">
        <v>2674</v>
      </c>
      <c r="G13021" s="1005"/>
      <c r="H13021" s="911">
        <v>0.15</v>
      </c>
      <c r="I13021" s="912"/>
      <c r="J13021" s="912"/>
      <c r="K13021" s="912">
        <f>VLOOKUP(E13021,[5]ĐMNC!$A$7:$F$67,4,0)</f>
        <v>240557</v>
      </c>
      <c r="L13021" s="912">
        <f>H13021*K13021</f>
        <v>36083.549999999996</v>
      </c>
      <c r="M13021" s="912"/>
      <c r="N13021" s="912"/>
      <c r="O13021" s="892">
        <f t="shared" si="1037"/>
        <v>0</v>
      </c>
      <c r="P13021" s="903">
        <f t="shared" si="1038"/>
        <v>1</v>
      </c>
      <c r="Q13021" s="893">
        <f t="shared" si="1039"/>
        <v>4</v>
      </c>
      <c r="R13021" s="894">
        <f t="shared" si="1040"/>
        <v>0</v>
      </c>
    </row>
    <row r="13022" spans="1:18" s="847" customFormat="1">
      <c r="A13022" s="905"/>
      <c r="B13022" s="952"/>
      <c r="C13022" s="907">
        <v>764</v>
      </c>
      <c r="D13022" s="907" t="s">
        <v>12</v>
      </c>
      <c r="E13022" s="992" t="s">
        <v>7282</v>
      </c>
      <c r="F13022" s="905" t="s">
        <v>2674</v>
      </c>
      <c r="G13022" s="1005"/>
      <c r="H13022" s="911">
        <v>0.39</v>
      </c>
      <c r="I13022" s="912"/>
      <c r="J13022" s="912"/>
      <c r="K13022" s="912"/>
      <c r="L13022" s="912"/>
      <c r="M13022" s="912"/>
      <c r="N13022" s="912"/>
      <c r="O13022" s="892">
        <f t="shared" si="1037"/>
        <v>0</v>
      </c>
      <c r="P13022" s="903">
        <f t="shared" si="1038"/>
        <v>1</v>
      </c>
      <c r="Q13022" s="893">
        <f t="shared" si="1039"/>
        <v>3</v>
      </c>
      <c r="R13022" s="894">
        <f t="shared" si="1040"/>
        <v>0</v>
      </c>
    </row>
    <row r="13023" spans="1:18" s="904" customFormat="1">
      <c r="A13023" s="1025"/>
      <c r="B13023" s="1025"/>
      <c r="C13023" s="927"/>
      <c r="D13023" s="927"/>
      <c r="E13023" s="1026" t="s">
        <v>3914</v>
      </c>
      <c r="F13023" s="1027"/>
      <c r="G13023" s="1028"/>
      <c r="H13023" s="1029"/>
      <c r="I13023" s="1030"/>
      <c r="J13023" s="1030"/>
      <c r="K13023" s="912" t="s">
        <v>274</v>
      </c>
      <c r="L13023" s="1030"/>
      <c r="M13023" s="1030"/>
      <c r="N13023" s="1030"/>
      <c r="O13023" s="892">
        <f t="shared" si="1037"/>
        <v>0</v>
      </c>
      <c r="P13023" s="903">
        <f t="shared" si="1038"/>
        <v>1</v>
      </c>
      <c r="Q13023" s="893">
        <f t="shared" si="1039"/>
        <v>2</v>
      </c>
      <c r="R13023" s="894">
        <f t="shared" si="1040"/>
        <v>0</v>
      </c>
    </row>
    <row r="13024" spans="1:18" s="904" customFormat="1">
      <c r="A13024" s="905"/>
      <c r="B13024" s="952" t="s">
        <v>7283</v>
      </c>
      <c r="C13024" s="907">
        <v>916</v>
      </c>
      <c r="D13024" s="907" t="s">
        <v>93</v>
      </c>
      <c r="E13024" s="992" t="s">
        <v>7284</v>
      </c>
      <c r="F13024" s="905" t="s">
        <v>2673</v>
      </c>
      <c r="G13024" s="1005"/>
      <c r="H13024" s="911">
        <v>0.05</v>
      </c>
      <c r="I13024" s="912"/>
      <c r="J13024" s="912"/>
      <c r="K13024" s="912"/>
      <c r="L13024" s="912"/>
      <c r="M13024" s="912">
        <f>VLOOKUP(B13024,MTC!$B$9:$S$933,12,0)</f>
        <v>1215</v>
      </c>
      <c r="N13024" s="912">
        <f>M13024*H13024</f>
        <v>60.75</v>
      </c>
      <c r="O13024" s="892">
        <f t="shared" si="1037"/>
        <v>0</v>
      </c>
      <c r="P13024" s="903">
        <f t="shared" si="1038"/>
        <v>1</v>
      </c>
      <c r="Q13024" s="893">
        <f t="shared" si="1039"/>
        <v>1</v>
      </c>
      <c r="R13024" s="894">
        <f t="shared" si="1040"/>
        <v>0</v>
      </c>
    </row>
    <row r="13025" spans="1:18" ht="31.5">
      <c r="A13025" s="905" t="s">
        <v>7297</v>
      </c>
      <c r="B13025" s="914" t="s">
        <v>7298</v>
      </c>
      <c r="C13025" s="915"/>
      <c r="D13025" s="915"/>
      <c r="E13025" s="1006" t="s">
        <v>7299</v>
      </c>
      <c r="F13025" s="917" t="s">
        <v>7300</v>
      </c>
      <c r="G13025" s="1008"/>
      <c r="H13025" s="919"/>
      <c r="I13025" s="920"/>
      <c r="J13025" s="891">
        <f>SUM(J13026:J13032)</f>
        <v>13340.48</v>
      </c>
      <c r="K13025" s="891"/>
      <c r="L13025" s="891">
        <f>SUM(L13026:L13032)</f>
        <v>288668.39999999997</v>
      </c>
      <c r="M13025" s="891"/>
      <c r="N13025" s="891">
        <f>SUM(N13026:N13032)</f>
        <v>0</v>
      </c>
      <c r="O13025" s="892">
        <f t="shared" si="1037"/>
        <v>1</v>
      </c>
      <c r="P13025" s="903">
        <f t="shared" si="1038"/>
        <v>0</v>
      </c>
      <c r="Q13025" s="893">
        <f t="shared" si="1039"/>
        <v>0</v>
      </c>
      <c r="R13025" s="894">
        <f t="shared" si="1040"/>
        <v>7</v>
      </c>
    </row>
    <row r="13026" spans="1:18">
      <c r="A13026" s="895"/>
      <c r="B13026" s="896"/>
      <c r="C13026" s="897"/>
      <c r="D13026" s="897"/>
      <c r="E13026" s="1002" t="s">
        <v>108</v>
      </c>
      <c r="F13026" s="1003"/>
      <c r="G13026" s="1004"/>
      <c r="H13026" s="901"/>
      <c r="I13026" s="902"/>
      <c r="J13026" s="902"/>
      <c r="K13026" s="912" t="s">
        <v>274</v>
      </c>
      <c r="L13026" s="902"/>
      <c r="M13026" s="902"/>
      <c r="N13026" s="902"/>
      <c r="O13026" s="892">
        <f t="shared" si="1037"/>
        <v>0</v>
      </c>
      <c r="P13026" s="903">
        <f t="shared" si="1038"/>
        <v>1</v>
      </c>
      <c r="Q13026" s="893">
        <f t="shared" si="1039"/>
        <v>7</v>
      </c>
      <c r="R13026" s="894">
        <f t="shared" si="1040"/>
        <v>0</v>
      </c>
    </row>
    <row r="13027" spans="1:18" s="904" customFormat="1">
      <c r="A13027" s="905"/>
      <c r="B13027" s="952"/>
      <c r="C13027" s="977">
        <v>323</v>
      </c>
      <c r="D13027" s="907" t="s">
        <v>279</v>
      </c>
      <c r="E13027" s="992" t="s">
        <v>7267</v>
      </c>
      <c r="F13027" s="905" t="s">
        <v>49</v>
      </c>
      <c r="G13027" s="1005"/>
      <c r="H13027" s="911">
        <v>0.5</v>
      </c>
      <c r="I13027" s="912">
        <f>VLOOKUP(E13027,[3]VLP!$B$7:$K$300,10,0)</f>
        <v>4500</v>
      </c>
      <c r="J13027" s="912">
        <f>I13027*H13027</f>
        <v>2250</v>
      </c>
      <c r="K13027" s="912" t="s">
        <v>274</v>
      </c>
      <c r="L13027" s="912"/>
      <c r="M13027" s="912"/>
      <c r="N13027" s="912"/>
      <c r="O13027" s="892">
        <f t="shared" si="1037"/>
        <v>0</v>
      </c>
      <c r="P13027" s="903">
        <f t="shared" si="1038"/>
        <v>1</v>
      </c>
      <c r="Q13027" s="893">
        <f t="shared" si="1039"/>
        <v>6</v>
      </c>
      <c r="R13027" s="894">
        <f t="shared" si="1040"/>
        <v>0</v>
      </c>
    </row>
    <row r="13028" spans="1:18" s="904" customFormat="1">
      <c r="A13028" s="905"/>
      <c r="B13028" s="946"/>
      <c r="C13028" s="907">
        <v>230</v>
      </c>
      <c r="D13028" s="907" t="s">
        <v>279</v>
      </c>
      <c r="E13028" s="992" t="s">
        <v>6318</v>
      </c>
      <c r="F13028" s="905" t="s">
        <v>45</v>
      </c>
      <c r="G13028" s="1005"/>
      <c r="H13028" s="911">
        <v>0.04</v>
      </c>
      <c r="I13028" s="912">
        <f>VLOOKUP(E13028,[3]VLP!$B$7:$K$300,10,0)</f>
        <v>14762</v>
      </c>
      <c r="J13028" s="912">
        <f>I13028*H13028</f>
        <v>590.48</v>
      </c>
      <c r="K13028" s="912" t="s">
        <v>274</v>
      </c>
      <c r="L13028" s="912"/>
      <c r="M13028" s="912"/>
      <c r="N13028" s="912"/>
      <c r="O13028" s="892">
        <f t="shared" si="1037"/>
        <v>0</v>
      </c>
      <c r="P13028" s="903">
        <f t="shared" si="1038"/>
        <v>1</v>
      </c>
      <c r="Q13028" s="893">
        <f t="shared" si="1039"/>
        <v>5</v>
      </c>
      <c r="R13028" s="894">
        <f t="shared" si="1040"/>
        <v>0</v>
      </c>
    </row>
    <row r="13029" spans="1:18" s="904" customFormat="1">
      <c r="A13029" s="905"/>
      <c r="B13029" s="952"/>
      <c r="C13029" s="907">
        <v>235</v>
      </c>
      <c r="D13029" s="907" t="s">
        <v>279</v>
      </c>
      <c r="E13029" s="992" t="s">
        <v>2682</v>
      </c>
      <c r="F13029" s="905" t="s">
        <v>45</v>
      </c>
      <c r="G13029" s="1005"/>
      <c r="H13029" s="911">
        <v>0.1</v>
      </c>
      <c r="I13029" s="912">
        <f>VLOOKUP(E13029,[3]VLP!$B$7:$K$300,10,0)</f>
        <v>5000</v>
      </c>
      <c r="J13029" s="912">
        <f>I13029*H13029</f>
        <v>500</v>
      </c>
      <c r="K13029" s="912" t="s">
        <v>274</v>
      </c>
      <c r="L13029" s="912"/>
      <c r="M13029" s="912"/>
      <c r="N13029" s="912"/>
      <c r="O13029" s="892">
        <f t="shared" si="1037"/>
        <v>0</v>
      </c>
      <c r="P13029" s="903">
        <f t="shared" si="1038"/>
        <v>1</v>
      </c>
      <c r="Q13029" s="893">
        <f t="shared" si="1039"/>
        <v>4</v>
      </c>
      <c r="R13029" s="894">
        <f t="shared" si="1040"/>
        <v>0</v>
      </c>
    </row>
    <row r="13030" spans="1:18" s="1031" customFormat="1">
      <c r="A13030" s="905"/>
      <c r="B13030" s="906"/>
      <c r="C13030" s="907">
        <v>699</v>
      </c>
      <c r="D13030" s="907" t="s">
        <v>279</v>
      </c>
      <c r="E13030" s="992" t="s">
        <v>4006</v>
      </c>
      <c r="F13030" s="905" t="s">
        <v>4007</v>
      </c>
      <c r="G13030" s="1005"/>
      <c r="H13030" s="911">
        <v>2</v>
      </c>
      <c r="I13030" s="912">
        <f>VLOOKUP(E13030,[3]VLP!$B$7:$K$300,10,0)</f>
        <v>5000</v>
      </c>
      <c r="J13030" s="912">
        <f>I13030*H13030</f>
        <v>10000</v>
      </c>
      <c r="K13030" s="912" t="s">
        <v>274</v>
      </c>
      <c r="L13030" s="912"/>
      <c r="M13030" s="912"/>
      <c r="N13030" s="912"/>
      <c r="O13030" s="892">
        <f t="shared" si="1037"/>
        <v>0</v>
      </c>
      <c r="P13030" s="903">
        <f t="shared" si="1038"/>
        <v>1</v>
      </c>
      <c r="Q13030" s="893">
        <f t="shared" si="1039"/>
        <v>3</v>
      </c>
      <c r="R13030" s="894">
        <f t="shared" si="1040"/>
        <v>0</v>
      </c>
    </row>
    <row r="13031" spans="1:18">
      <c r="A13031" s="895"/>
      <c r="B13031" s="896"/>
      <c r="C13031" s="897"/>
      <c r="D13031" s="897"/>
      <c r="E13031" s="1002" t="s">
        <v>276</v>
      </c>
      <c r="F13031" s="1003"/>
      <c r="G13031" s="1004"/>
      <c r="H13031" s="901"/>
      <c r="I13031" s="902"/>
      <c r="J13031" s="902"/>
      <c r="K13031" s="912" t="s">
        <v>274</v>
      </c>
      <c r="L13031" s="902"/>
      <c r="M13031" s="902"/>
      <c r="N13031" s="902"/>
      <c r="O13031" s="892">
        <f t="shared" si="1037"/>
        <v>0</v>
      </c>
      <c r="P13031" s="903">
        <f t="shared" si="1038"/>
        <v>1</v>
      </c>
      <c r="Q13031" s="893">
        <f t="shared" si="1039"/>
        <v>2</v>
      </c>
      <c r="R13031" s="894">
        <f t="shared" si="1040"/>
        <v>0</v>
      </c>
    </row>
    <row r="13032" spans="1:18" s="847" customFormat="1">
      <c r="A13032" s="905"/>
      <c r="B13032" s="952"/>
      <c r="C13032" s="907">
        <v>745</v>
      </c>
      <c r="D13032" s="907" t="s">
        <v>12</v>
      </c>
      <c r="E13032" s="992" t="s">
        <v>5518</v>
      </c>
      <c r="F13032" s="905" t="s">
        <v>2674</v>
      </c>
      <c r="G13032" s="1005"/>
      <c r="H13032" s="911">
        <v>1.2</v>
      </c>
      <c r="I13032" s="912"/>
      <c r="J13032" s="912"/>
      <c r="K13032" s="912">
        <f>VLOOKUP(E13032,[5]ĐMNC!$A$7:$F$67,4,0)</f>
        <v>240557</v>
      </c>
      <c r="L13032" s="912">
        <f>H13032*K13032</f>
        <v>288668.39999999997</v>
      </c>
      <c r="M13032" s="912"/>
      <c r="N13032" s="912"/>
      <c r="O13032" s="892">
        <f t="shared" si="1037"/>
        <v>0</v>
      </c>
      <c r="P13032" s="903">
        <f t="shared" si="1038"/>
        <v>1</v>
      </c>
      <c r="Q13032" s="893">
        <f t="shared" si="1039"/>
        <v>1</v>
      </c>
      <c r="R13032" s="894">
        <f t="shared" si="1040"/>
        <v>0</v>
      </c>
    </row>
    <row r="13033" spans="1:18">
      <c r="A13033" s="905" t="s">
        <v>7297</v>
      </c>
      <c r="B13033" s="914" t="s">
        <v>7301</v>
      </c>
      <c r="C13033" s="915"/>
      <c r="D13033" s="915"/>
      <c r="E13033" s="1006" t="s">
        <v>7302</v>
      </c>
      <c r="F13033" s="917" t="s">
        <v>7300</v>
      </c>
      <c r="G13033" s="1008"/>
      <c r="H13033" s="919"/>
      <c r="I13033" s="920"/>
      <c r="J13033" s="891">
        <f>SUM(J13034:J13039)</f>
        <v>11090.48</v>
      </c>
      <c r="K13033" s="891"/>
      <c r="L13033" s="891">
        <f>SUM(L13034:L13039)</f>
        <v>48111.4</v>
      </c>
      <c r="M13033" s="891"/>
      <c r="N13033" s="891">
        <f>SUM(N13034:N13039)</f>
        <v>0</v>
      </c>
      <c r="O13033" s="892">
        <f t="shared" si="1037"/>
        <v>1</v>
      </c>
      <c r="P13033" s="903">
        <f t="shared" si="1038"/>
        <v>0</v>
      </c>
      <c r="Q13033" s="893">
        <f t="shared" si="1039"/>
        <v>0</v>
      </c>
      <c r="R13033" s="894">
        <f t="shared" si="1040"/>
        <v>6</v>
      </c>
    </row>
    <row r="13034" spans="1:18">
      <c r="A13034" s="895"/>
      <c r="B13034" s="896"/>
      <c r="C13034" s="897"/>
      <c r="D13034" s="897"/>
      <c r="E13034" s="1002" t="s">
        <v>108</v>
      </c>
      <c r="F13034" s="1003"/>
      <c r="G13034" s="1004"/>
      <c r="H13034" s="901"/>
      <c r="I13034" s="902"/>
      <c r="J13034" s="902"/>
      <c r="K13034" s="912" t="s">
        <v>274</v>
      </c>
      <c r="L13034" s="902"/>
      <c r="M13034" s="902"/>
      <c r="N13034" s="902"/>
      <c r="O13034" s="892">
        <f t="shared" si="1037"/>
        <v>0</v>
      </c>
      <c r="P13034" s="903">
        <f t="shared" si="1038"/>
        <v>1</v>
      </c>
      <c r="Q13034" s="893">
        <f t="shared" si="1039"/>
        <v>6</v>
      </c>
      <c r="R13034" s="894">
        <f t="shared" si="1040"/>
        <v>0</v>
      </c>
    </row>
    <row r="13035" spans="1:18" s="904" customFormat="1">
      <c r="A13035" s="905"/>
      <c r="B13035" s="946"/>
      <c r="C13035" s="907">
        <v>230</v>
      </c>
      <c r="D13035" s="907" t="s">
        <v>279</v>
      </c>
      <c r="E13035" s="992" t="s">
        <v>6318</v>
      </c>
      <c r="F13035" s="905" t="s">
        <v>45</v>
      </c>
      <c r="G13035" s="1005"/>
      <c r="H13035" s="911">
        <v>0.04</v>
      </c>
      <c r="I13035" s="912">
        <f>VLOOKUP(E13035,[3]VLP!$B$7:$K$300,10,0)</f>
        <v>14762</v>
      </c>
      <c r="J13035" s="912">
        <f>I13035*H13035</f>
        <v>590.48</v>
      </c>
      <c r="K13035" s="912" t="s">
        <v>274</v>
      </c>
      <c r="L13035" s="912"/>
      <c r="M13035" s="912"/>
      <c r="N13035" s="912"/>
      <c r="O13035" s="892">
        <f t="shared" si="1037"/>
        <v>0</v>
      </c>
      <c r="P13035" s="903">
        <f t="shared" si="1038"/>
        <v>1</v>
      </c>
      <c r="Q13035" s="893">
        <f t="shared" si="1039"/>
        <v>5</v>
      </c>
      <c r="R13035" s="894">
        <f t="shared" si="1040"/>
        <v>0</v>
      </c>
    </row>
    <row r="13036" spans="1:18" s="904" customFormat="1">
      <c r="A13036" s="905"/>
      <c r="B13036" s="952"/>
      <c r="C13036" s="907">
        <v>235</v>
      </c>
      <c r="D13036" s="907" t="s">
        <v>279</v>
      </c>
      <c r="E13036" s="992" t="s">
        <v>2682</v>
      </c>
      <c r="F13036" s="905" t="s">
        <v>45</v>
      </c>
      <c r="G13036" s="1005"/>
      <c r="H13036" s="911">
        <v>0.1</v>
      </c>
      <c r="I13036" s="912">
        <f>VLOOKUP(E13036,[3]VLP!$B$7:$K$300,10,0)</f>
        <v>5000</v>
      </c>
      <c r="J13036" s="912">
        <f>I13036*H13036</f>
        <v>500</v>
      </c>
      <c r="K13036" s="912" t="s">
        <v>274</v>
      </c>
      <c r="L13036" s="912"/>
      <c r="M13036" s="912"/>
      <c r="N13036" s="912"/>
      <c r="O13036" s="892">
        <f t="shared" si="1037"/>
        <v>0</v>
      </c>
      <c r="P13036" s="903">
        <f t="shared" si="1038"/>
        <v>1</v>
      </c>
      <c r="Q13036" s="893">
        <f t="shared" si="1039"/>
        <v>4</v>
      </c>
      <c r="R13036" s="894">
        <f t="shared" si="1040"/>
        <v>0</v>
      </c>
    </row>
    <row r="13037" spans="1:18" s="1031" customFormat="1">
      <c r="A13037" s="905"/>
      <c r="B13037" s="906"/>
      <c r="C13037" s="907">
        <v>699</v>
      </c>
      <c r="D13037" s="907" t="s">
        <v>279</v>
      </c>
      <c r="E13037" s="992" t="s">
        <v>4006</v>
      </c>
      <c r="F13037" s="905" t="s">
        <v>4007</v>
      </c>
      <c r="G13037" s="1005"/>
      <c r="H13037" s="911">
        <v>2</v>
      </c>
      <c r="I13037" s="912">
        <f>VLOOKUP(E13037,[3]VLP!$B$7:$K$300,10,0)</f>
        <v>5000</v>
      </c>
      <c r="J13037" s="912">
        <f>I13037*H13037</f>
        <v>10000</v>
      </c>
      <c r="K13037" s="912" t="s">
        <v>274</v>
      </c>
      <c r="L13037" s="912"/>
      <c r="M13037" s="912"/>
      <c r="N13037" s="912"/>
      <c r="O13037" s="892">
        <f t="shared" si="1037"/>
        <v>0</v>
      </c>
      <c r="P13037" s="903">
        <f t="shared" si="1038"/>
        <v>1</v>
      </c>
      <c r="Q13037" s="893">
        <f t="shared" si="1039"/>
        <v>3</v>
      </c>
      <c r="R13037" s="894">
        <f t="shared" si="1040"/>
        <v>0</v>
      </c>
    </row>
    <row r="13038" spans="1:18">
      <c r="A13038" s="895"/>
      <c r="B13038" s="896"/>
      <c r="C13038" s="897"/>
      <c r="D13038" s="897"/>
      <c r="E13038" s="1002" t="s">
        <v>276</v>
      </c>
      <c r="F13038" s="1003"/>
      <c r="G13038" s="1004"/>
      <c r="H13038" s="901"/>
      <c r="I13038" s="902"/>
      <c r="J13038" s="902"/>
      <c r="K13038" s="912" t="s">
        <v>274</v>
      </c>
      <c r="L13038" s="902"/>
      <c r="M13038" s="902"/>
      <c r="N13038" s="902"/>
      <c r="O13038" s="892">
        <f t="shared" si="1037"/>
        <v>0</v>
      </c>
      <c r="P13038" s="903">
        <f t="shared" si="1038"/>
        <v>1</v>
      </c>
      <c r="Q13038" s="893">
        <f t="shared" si="1039"/>
        <v>2</v>
      </c>
      <c r="R13038" s="894">
        <f t="shared" si="1040"/>
        <v>0</v>
      </c>
    </row>
    <row r="13039" spans="1:18" s="847" customFormat="1">
      <c r="A13039" s="905"/>
      <c r="B13039" s="952"/>
      <c r="C13039" s="907">
        <v>745</v>
      </c>
      <c r="D13039" s="907" t="s">
        <v>12</v>
      </c>
      <c r="E13039" s="992" t="s">
        <v>5518</v>
      </c>
      <c r="F13039" s="905" t="s">
        <v>2674</v>
      </c>
      <c r="G13039" s="1005"/>
      <c r="H13039" s="911">
        <v>0.2</v>
      </c>
      <c r="I13039" s="912"/>
      <c r="J13039" s="912"/>
      <c r="K13039" s="912">
        <f>VLOOKUP(E13039,[5]ĐMNC!$A$7:$F$67,4,0)</f>
        <v>240557</v>
      </c>
      <c r="L13039" s="912">
        <f>H13039*K13039</f>
        <v>48111.4</v>
      </c>
      <c r="M13039" s="912"/>
      <c r="N13039" s="912"/>
      <c r="O13039" s="892">
        <f t="shared" si="1037"/>
        <v>0</v>
      </c>
      <c r="P13039" s="903">
        <f t="shared" si="1038"/>
        <v>1</v>
      </c>
      <c r="Q13039" s="893">
        <f t="shared" si="1039"/>
        <v>1</v>
      </c>
      <c r="R13039" s="894">
        <f t="shared" si="1040"/>
        <v>0</v>
      </c>
    </row>
    <row r="13040" spans="1:18" ht="31.5">
      <c r="A13040" s="905" t="s">
        <v>7297</v>
      </c>
      <c r="B13040" s="914" t="s">
        <v>7303</v>
      </c>
      <c r="C13040" s="915"/>
      <c r="D13040" s="915"/>
      <c r="E13040" s="1006" t="s">
        <v>7304</v>
      </c>
      <c r="F13040" s="917" t="s">
        <v>7300</v>
      </c>
      <c r="G13040" s="1008"/>
      <c r="H13040" s="919"/>
      <c r="I13040" s="920"/>
      <c r="J13040" s="891">
        <f>SUM(J13041:J13046)</f>
        <v>14600</v>
      </c>
      <c r="K13040" s="891"/>
      <c r="L13040" s="891">
        <f>SUM(L13041:L13046)</f>
        <v>96222.8</v>
      </c>
      <c r="M13040" s="891"/>
      <c r="N13040" s="891">
        <f>SUM(N13041:N13046)</f>
        <v>0</v>
      </c>
      <c r="O13040" s="892">
        <f t="shared" si="1037"/>
        <v>1</v>
      </c>
      <c r="P13040" s="903">
        <f t="shared" si="1038"/>
        <v>0</v>
      </c>
      <c r="Q13040" s="893">
        <f t="shared" si="1039"/>
        <v>0</v>
      </c>
      <c r="R13040" s="894">
        <f t="shared" si="1040"/>
        <v>6</v>
      </c>
    </row>
    <row r="13041" spans="1:18">
      <c r="A13041" s="895"/>
      <c r="B13041" s="896"/>
      <c r="C13041" s="897"/>
      <c r="D13041" s="897"/>
      <c r="E13041" s="1002" t="s">
        <v>108</v>
      </c>
      <c r="F13041" s="1003"/>
      <c r="G13041" s="1004"/>
      <c r="H13041" s="901"/>
      <c r="I13041" s="902"/>
      <c r="J13041" s="902"/>
      <c r="K13041" s="912" t="s">
        <v>274</v>
      </c>
      <c r="L13041" s="902"/>
      <c r="M13041" s="902"/>
      <c r="N13041" s="902"/>
      <c r="O13041" s="892">
        <f t="shared" si="1037"/>
        <v>0</v>
      </c>
      <c r="P13041" s="903">
        <f t="shared" si="1038"/>
        <v>1</v>
      </c>
      <c r="Q13041" s="893">
        <f t="shared" si="1039"/>
        <v>6</v>
      </c>
      <c r="R13041" s="894">
        <f t="shared" si="1040"/>
        <v>0</v>
      </c>
    </row>
    <row r="13042" spans="1:18" s="1031" customFormat="1">
      <c r="A13042" s="905"/>
      <c r="B13042" s="906"/>
      <c r="C13042" s="907">
        <v>212</v>
      </c>
      <c r="D13042" s="907" t="s">
        <v>279</v>
      </c>
      <c r="E13042" s="992" t="s">
        <v>2681</v>
      </c>
      <c r="F13042" s="905" t="s">
        <v>45</v>
      </c>
      <c r="G13042" s="1005"/>
      <c r="H13042" s="911">
        <v>0.2</v>
      </c>
      <c r="I13042" s="912">
        <f>VLOOKUP(E13042,[3]VLP!$B$7:$K$300,10,0)</f>
        <v>23000</v>
      </c>
      <c r="J13042" s="912">
        <f>I13042*H13042</f>
        <v>4600</v>
      </c>
      <c r="K13042" s="912" t="s">
        <v>274</v>
      </c>
      <c r="L13042" s="912"/>
      <c r="M13042" s="912"/>
      <c r="N13042" s="912"/>
      <c r="O13042" s="892">
        <f t="shared" si="1037"/>
        <v>0</v>
      </c>
      <c r="P13042" s="903">
        <f t="shared" si="1038"/>
        <v>1</v>
      </c>
      <c r="Q13042" s="893">
        <f t="shared" si="1039"/>
        <v>5</v>
      </c>
      <c r="R13042" s="894">
        <f t="shared" si="1040"/>
        <v>0</v>
      </c>
    </row>
    <row r="13043" spans="1:18" s="1031" customFormat="1">
      <c r="A13043" s="905"/>
      <c r="B13043" s="906"/>
      <c r="C13043" s="907">
        <v>699</v>
      </c>
      <c r="D13043" s="907" t="s">
        <v>279</v>
      </c>
      <c r="E13043" s="992" t="s">
        <v>4006</v>
      </c>
      <c r="F13043" s="905" t="s">
        <v>4007</v>
      </c>
      <c r="G13043" s="1005"/>
      <c r="H13043" s="911">
        <v>2</v>
      </c>
      <c r="I13043" s="912">
        <f>VLOOKUP(E13043,[3]VLP!$B$7:$K$300,10,0)</f>
        <v>5000</v>
      </c>
      <c r="J13043" s="912">
        <f>I13043*H13043</f>
        <v>10000</v>
      </c>
      <c r="K13043" s="912" t="s">
        <v>274</v>
      </c>
      <c r="L13043" s="912"/>
      <c r="M13043" s="912"/>
      <c r="N13043" s="912"/>
      <c r="O13043" s="892">
        <f t="shared" si="1037"/>
        <v>0</v>
      </c>
      <c r="P13043" s="903">
        <f t="shared" si="1038"/>
        <v>1</v>
      </c>
      <c r="Q13043" s="893">
        <f t="shared" si="1039"/>
        <v>4</v>
      </c>
      <c r="R13043" s="894">
        <f t="shared" si="1040"/>
        <v>0</v>
      </c>
    </row>
    <row r="13044" spans="1:18">
      <c r="A13044" s="895"/>
      <c r="B13044" s="896"/>
      <c r="C13044" s="897"/>
      <c r="D13044" s="897"/>
      <c r="E13044" s="1002" t="s">
        <v>276</v>
      </c>
      <c r="F13044" s="1003"/>
      <c r="G13044" s="1004"/>
      <c r="H13044" s="901"/>
      <c r="I13044" s="902"/>
      <c r="J13044" s="902"/>
      <c r="K13044" s="912" t="s">
        <v>274</v>
      </c>
      <c r="L13044" s="902"/>
      <c r="M13044" s="902"/>
      <c r="N13044" s="902"/>
      <c r="O13044" s="892">
        <f t="shared" si="1037"/>
        <v>0</v>
      </c>
      <c r="P13044" s="903">
        <f t="shared" si="1038"/>
        <v>1</v>
      </c>
      <c r="Q13044" s="893">
        <f t="shared" si="1039"/>
        <v>3</v>
      </c>
      <c r="R13044" s="894">
        <f t="shared" si="1040"/>
        <v>0</v>
      </c>
    </row>
    <row r="13045" spans="1:18" s="847" customFormat="1">
      <c r="A13045" s="905"/>
      <c r="B13045" s="952"/>
      <c r="C13045" s="907">
        <v>745</v>
      </c>
      <c r="D13045" s="907" t="s">
        <v>12</v>
      </c>
      <c r="E13045" s="992" t="s">
        <v>5518</v>
      </c>
      <c r="F13045" s="905" t="s">
        <v>2674</v>
      </c>
      <c r="G13045" s="1005"/>
      <c r="H13045" s="911">
        <v>0.4</v>
      </c>
      <c r="I13045" s="912"/>
      <c r="J13045" s="912"/>
      <c r="K13045" s="912">
        <f>VLOOKUP(E13045,[5]ĐMNC!$A$7:$F$67,4,0)</f>
        <v>240557</v>
      </c>
      <c r="L13045" s="912">
        <f>H13045*K13045</f>
        <v>96222.8</v>
      </c>
      <c r="M13045" s="912"/>
      <c r="N13045" s="912"/>
      <c r="O13045" s="892">
        <f t="shared" si="1037"/>
        <v>0</v>
      </c>
      <c r="P13045" s="903">
        <f t="shared" si="1038"/>
        <v>1</v>
      </c>
      <c r="Q13045" s="893">
        <f t="shared" si="1039"/>
        <v>2</v>
      </c>
      <c r="R13045" s="894">
        <f t="shared" si="1040"/>
        <v>0</v>
      </c>
    </row>
    <row r="13046" spans="1:18" s="847" customFormat="1">
      <c r="A13046" s="905"/>
      <c r="B13046" s="952"/>
      <c r="C13046" s="907">
        <v>764</v>
      </c>
      <c r="D13046" s="907" t="s">
        <v>12</v>
      </c>
      <c r="E13046" s="992" t="s">
        <v>7282</v>
      </c>
      <c r="F13046" s="905" t="s">
        <v>2674</v>
      </c>
      <c r="G13046" s="1005"/>
      <c r="H13046" s="911">
        <v>0.8</v>
      </c>
      <c r="I13046" s="912"/>
      <c r="J13046" s="912"/>
      <c r="K13046" s="912"/>
      <c r="L13046" s="912"/>
      <c r="M13046" s="912"/>
      <c r="N13046" s="912"/>
      <c r="O13046" s="892">
        <f t="shared" ref="O13046:O13068" si="1041">IF(AND(B13046&lt;&gt;"",D13046=""),1,0)</f>
        <v>0</v>
      </c>
      <c r="P13046" s="903">
        <f t="shared" si="1038"/>
        <v>1</v>
      </c>
      <c r="Q13046" s="893">
        <f t="shared" si="1039"/>
        <v>1</v>
      </c>
      <c r="R13046" s="894">
        <f t="shared" si="1040"/>
        <v>0</v>
      </c>
    </row>
    <row r="13047" spans="1:18">
      <c r="A13047" s="905" t="s">
        <v>7297</v>
      </c>
      <c r="B13047" s="914" t="s">
        <v>7305</v>
      </c>
      <c r="C13047" s="915"/>
      <c r="D13047" s="915"/>
      <c r="E13047" s="1006" t="s">
        <v>7306</v>
      </c>
      <c r="F13047" s="917" t="s">
        <v>7300</v>
      </c>
      <c r="G13047" s="1008"/>
      <c r="H13047" s="919"/>
      <c r="I13047" s="920"/>
      <c r="J13047" s="891">
        <f>SUM(J13048:J13053)</f>
        <v>11150</v>
      </c>
      <c r="K13047" s="891"/>
      <c r="L13047" s="891">
        <f>SUM(L13048:L13053)</f>
        <v>40894.69</v>
      </c>
      <c r="M13047" s="891"/>
      <c r="N13047" s="891">
        <f>SUM(N13048:N13053)</f>
        <v>0</v>
      </c>
      <c r="O13047" s="892">
        <f t="shared" si="1041"/>
        <v>1</v>
      </c>
      <c r="P13047" s="903">
        <f t="shared" si="1038"/>
        <v>0</v>
      </c>
      <c r="Q13047" s="893">
        <f t="shared" si="1039"/>
        <v>0</v>
      </c>
      <c r="R13047" s="894">
        <f t="shared" si="1040"/>
        <v>6</v>
      </c>
    </row>
    <row r="13048" spans="1:18">
      <c r="A13048" s="895"/>
      <c r="B13048" s="896"/>
      <c r="C13048" s="897"/>
      <c r="D13048" s="897"/>
      <c r="E13048" s="1002" t="s">
        <v>108</v>
      </c>
      <c r="F13048" s="1003"/>
      <c r="G13048" s="1004"/>
      <c r="H13048" s="901"/>
      <c r="I13048" s="902"/>
      <c r="J13048" s="902"/>
      <c r="K13048" s="912" t="s">
        <v>274</v>
      </c>
      <c r="L13048" s="902"/>
      <c r="M13048" s="902"/>
      <c r="N13048" s="902"/>
      <c r="O13048" s="892">
        <f t="shared" si="1041"/>
        <v>0</v>
      </c>
      <c r="P13048" s="903">
        <f t="shared" si="1038"/>
        <v>1</v>
      </c>
      <c r="Q13048" s="893">
        <f t="shared" si="1039"/>
        <v>6</v>
      </c>
      <c r="R13048" s="894">
        <f t="shared" si="1040"/>
        <v>0</v>
      </c>
    </row>
    <row r="13049" spans="1:18" s="1031" customFormat="1">
      <c r="A13049" s="905"/>
      <c r="B13049" s="906"/>
      <c r="C13049" s="907">
        <v>212</v>
      </c>
      <c r="D13049" s="907" t="s">
        <v>279</v>
      </c>
      <c r="E13049" s="992" t="s">
        <v>2681</v>
      </c>
      <c r="F13049" s="905" t="s">
        <v>45</v>
      </c>
      <c r="G13049" s="1005"/>
      <c r="H13049" s="911">
        <v>0.05</v>
      </c>
      <c r="I13049" s="912">
        <f>VLOOKUP(E13049,[3]VLP!$B$7:$K$300,10,0)</f>
        <v>23000</v>
      </c>
      <c r="J13049" s="912">
        <f>I13049*H13049</f>
        <v>1150</v>
      </c>
      <c r="K13049" s="912" t="s">
        <v>274</v>
      </c>
      <c r="L13049" s="912"/>
      <c r="M13049" s="912"/>
      <c r="N13049" s="912"/>
      <c r="O13049" s="892">
        <f t="shared" si="1041"/>
        <v>0</v>
      </c>
      <c r="P13049" s="903">
        <f t="shared" si="1038"/>
        <v>1</v>
      </c>
      <c r="Q13049" s="893">
        <f t="shared" si="1039"/>
        <v>5</v>
      </c>
      <c r="R13049" s="894">
        <f t="shared" si="1040"/>
        <v>0</v>
      </c>
    </row>
    <row r="13050" spans="1:18" s="1031" customFormat="1">
      <c r="A13050" s="905"/>
      <c r="B13050" s="906"/>
      <c r="C13050" s="907">
        <v>699</v>
      </c>
      <c r="D13050" s="907" t="s">
        <v>279</v>
      </c>
      <c r="E13050" s="992" t="s">
        <v>4006</v>
      </c>
      <c r="F13050" s="905" t="s">
        <v>4007</v>
      </c>
      <c r="G13050" s="1005"/>
      <c r="H13050" s="911">
        <v>2</v>
      </c>
      <c r="I13050" s="912">
        <f>VLOOKUP(E13050,[3]VLP!$B$7:$K$300,10,0)</f>
        <v>5000</v>
      </c>
      <c r="J13050" s="912">
        <f>I13050*H13050</f>
        <v>10000</v>
      </c>
      <c r="K13050" s="912" t="s">
        <v>274</v>
      </c>
      <c r="L13050" s="912"/>
      <c r="M13050" s="912"/>
      <c r="N13050" s="912"/>
      <c r="O13050" s="892">
        <f t="shared" si="1041"/>
        <v>0</v>
      </c>
      <c r="P13050" s="903">
        <f t="shared" si="1038"/>
        <v>1</v>
      </c>
      <c r="Q13050" s="893">
        <f t="shared" si="1039"/>
        <v>4</v>
      </c>
      <c r="R13050" s="894">
        <f t="shared" si="1040"/>
        <v>0</v>
      </c>
    </row>
    <row r="13051" spans="1:18">
      <c r="A13051" s="895"/>
      <c r="B13051" s="896"/>
      <c r="C13051" s="897"/>
      <c r="D13051" s="897"/>
      <c r="E13051" s="1002" t="s">
        <v>276</v>
      </c>
      <c r="F13051" s="1003"/>
      <c r="G13051" s="1004"/>
      <c r="H13051" s="901"/>
      <c r="I13051" s="902"/>
      <c r="J13051" s="902"/>
      <c r="K13051" s="912" t="s">
        <v>274</v>
      </c>
      <c r="L13051" s="902"/>
      <c r="M13051" s="902"/>
      <c r="N13051" s="902"/>
      <c r="O13051" s="892">
        <f t="shared" si="1041"/>
        <v>0</v>
      </c>
      <c r="P13051" s="903">
        <f t="shared" si="1038"/>
        <v>1</v>
      </c>
      <c r="Q13051" s="893">
        <f t="shared" si="1039"/>
        <v>3</v>
      </c>
      <c r="R13051" s="894">
        <f t="shared" si="1040"/>
        <v>0</v>
      </c>
    </row>
    <row r="13052" spans="1:18" s="847" customFormat="1">
      <c r="A13052" s="905"/>
      <c r="B13052" s="952"/>
      <c r="C13052" s="907">
        <v>745</v>
      </c>
      <c r="D13052" s="907" t="s">
        <v>12</v>
      </c>
      <c r="E13052" s="992" t="s">
        <v>5518</v>
      </c>
      <c r="F13052" s="905" t="s">
        <v>2674</v>
      </c>
      <c r="G13052" s="1005"/>
      <c r="H13052" s="911">
        <v>0.17</v>
      </c>
      <c r="I13052" s="912"/>
      <c r="J13052" s="912"/>
      <c r="K13052" s="912">
        <f>VLOOKUP(E13052,[5]ĐMNC!$A$7:$F$67,4,0)</f>
        <v>240557</v>
      </c>
      <c r="L13052" s="912">
        <f>H13052*K13052</f>
        <v>40894.69</v>
      </c>
      <c r="M13052" s="912"/>
      <c r="N13052" s="912"/>
      <c r="O13052" s="892">
        <f t="shared" si="1041"/>
        <v>0</v>
      </c>
      <c r="P13052" s="903">
        <f t="shared" si="1038"/>
        <v>1</v>
      </c>
      <c r="Q13052" s="893">
        <f t="shared" si="1039"/>
        <v>2</v>
      </c>
      <c r="R13052" s="894">
        <f t="shared" si="1040"/>
        <v>0</v>
      </c>
    </row>
    <row r="13053" spans="1:18" s="847" customFormat="1">
      <c r="A13053" s="905"/>
      <c r="B13053" s="952"/>
      <c r="C13053" s="907">
        <v>764</v>
      </c>
      <c r="D13053" s="907" t="s">
        <v>12</v>
      </c>
      <c r="E13053" s="992" t="s">
        <v>7282</v>
      </c>
      <c r="F13053" s="905" t="s">
        <v>2674</v>
      </c>
      <c r="G13053" s="1005"/>
      <c r="H13053" s="911">
        <v>0.78</v>
      </c>
      <c r="I13053" s="912"/>
      <c r="J13053" s="912"/>
      <c r="K13053" s="912"/>
      <c r="L13053" s="912"/>
      <c r="M13053" s="912"/>
      <c r="N13053" s="912"/>
      <c r="O13053" s="892">
        <f t="shared" si="1041"/>
        <v>0</v>
      </c>
      <c r="P13053" s="903">
        <f t="shared" si="1038"/>
        <v>1</v>
      </c>
      <c r="Q13053" s="893">
        <f t="shared" si="1039"/>
        <v>1</v>
      </c>
      <c r="R13053" s="894">
        <f t="shared" si="1040"/>
        <v>0</v>
      </c>
    </row>
    <row r="13054" spans="1:18">
      <c r="A13054" s="905" t="s">
        <v>7297</v>
      </c>
      <c r="B13054" s="914" t="s">
        <v>7307</v>
      </c>
      <c r="C13054" s="915"/>
      <c r="D13054" s="915"/>
      <c r="E13054" s="1006" t="s">
        <v>7308</v>
      </c>
      <c r="F13054" s="917" t="s">
        <v>7300</v>
      </c>
      <c r="G13054" s="1008"/>
      <c r="H13054" s="919"/>
      <c r="I13054" s="920"/>
      <c r="J13054" s="891">
        <f>SUM(J13055:J13060)</f>
        <v>10690</v>
      </c>
      <c r="K13054" s="891"/>
      <c r="L13054" s="891">
        <f>SUM(L13055:L13060)</f>
        <v>36083.549999999996</v>
      </c>
      <c r="M13054" s="891"/>
      <c r="N13054" s="891">
        <f>SUM(N13055:N13060)</f>
        <v>0</v>
      </c>
      <c r="O13054" s="892">
        <f t="shared" si="1041"/>
        <v>1</v>
      </c>
      <c r="P13054" s="903">
        <f t="shared" si="1038"/>
        <v>0</v>
      </c>
      <c r="Q13054" s="893">
        <f t="shared" si="1039"/>
        <v>0</v>
      </c>
      <c r="R13054" s="894">
        <f t="shared" si="1040"/>
        <v>6</v>
      </c>
    </row>
    <row r="13055" spans="1:18">
      <c r="A13055" s="895"/>
      <c r="B13055" s="896"/>
      <c r="C13055" s="897"/>
      <c r="D13055" s="897"/>
      <c r="E13055" s="1002" t="s">
        <v>108</v>
      </c>
      <c r="F13055" s="1003"/>
      <c r="G13055" s="1004"/>
      <c r="H13055" s="901"/>
      <c r="I13055" s="902"/>
      <c r="J13055" s="902"/>
      <c r="K13055" s="912" t="s">
        <v>274</v>
      </c>
      <c r="L13055" s="902"/>
      <c r="M13055" s="902"/>
      <c r="N13055" s="902"/>
      <c r="O13055" s="892">
        <f t="shared" si="1041"/>
        <v>0</v>
      </c>
      <c r="P13055" s="903">
        <f t="shared" si="1038"/>
        <v>1</v>
      </c>
      <c r="Q13055" s="893">
        <f t="shared" si="1039"/>
        <v>6</v>
      </c>
      <c r="R13055" s="894">
        <f t="shared" si="1040"/>
        <v>0</v>
      </c>
    </row>
    <row r="13056" spans="1:18" s="1031" customFormat="1">
      <c r="A13056" s="905"/>
      <c r="B13056" s="906"/>
      <c r="C13056" s="907">
        <v>212</v>
      </c>
      <c r="D13056" s="907" t="s">
        <v>279</v>
      </c>
      <c r="E13056" s="992" t="s">
        <v>2681</v>
      </c>
      <c r="F13056" s="905" t="s">
        <v>45</v>
      </c>
      <c r="G13056" s="1005"/>
      <c r="H13056" s="911">
        <v>0.03</v>
      </c>
      <c r="I13056" s="912">
        <f>VLOOKUP(E13056,[3]VLP!$B$7:$K$300,10,0)</f>
        <v>23000</v>
      </c>
      <c r="J13056" s="912">
        <f>I13056*H13056</f>
        <v>690</v>
      </c>
      <c r="K13056" s="912" t="s">
        <v>274</v>
      </c>
      <c r="L13056" s="912"/>
      <c r="M13056" s="912"/>
      <c r="N13056" s="912"/>
      <c r="O13056" s="892">
        <f t="shared" si="1041"/>
        <v>0</v>
      </c>
      <c r="P13056" s="903">
        <f t="shared" si="1038"/>
        <v>1</v>
      </c>
      <c r="Q13056" s="893">
        <f t="shared" si="1039"/>
        <v>5</v>
      </c>
      <c r="R13056" s="894">
        <f t="shared" si="1040"/>
        <v>0</v>
      </c>
    </row>
    <row r="13057" spans="1:18" s="1031" customFormat="1">
      <c r="A13057" s="905"/>
      <c r="B13057" s="906"/>
      <c r="C13057" s="907">
        <v>699</v>
      </c>
      <c r="D13057" s="907" t="s">
        <v>279</v>
      </c>
      <c r="E13057" s="992" t="s">
        <v>4006</v>
      </c>
      <c r="F13057" s="905" t="s">
        <v>4007</v>
      </c>
      <c r="G13057" s="1005"/>
      <c r="H13057" s="911">
        <v>2</v>
      </c>
      <c r="I13057" s="912">
        <f>VLOOKUP(E13057,[3]VLP!$B$7:$K$300,10,0)</f>
        <v>5000</v>
      </c>
      <c r="J13057" s="912">
        <f>I13057*H13057</f>
        <v>10000</v>
      </c>
      <c r="K13057" s="912" t="s">
        <v>274</v>
      </c>
      <c r="L13057" s="912"/>
      <c r="M13057" s="912"/>
      <c r="N13057" s="912"/>
      <c r="O13057" s="892">
        <f t="shared" si="1041"/>
        <v>0</v>
      </c>
      <c r="P13057" s="903">
        <f t="shared" si="1038"/>
        <v>1</v>
      </c>
      <c r="Q13057" s="893">
        <f t="shared" si="1039"/>
        <v>4</v>
      </c>
      <c r="R13057" s="894">
        <f t="shared" si="1040"/>
        <v>0</v>
      </c>
    </row>
    <row r="13058" spans="1:18">
      <c r="A13058" s="895"/>
      <c r="B13058" s="896"/>
      <c r="C13058" s="897"/>
      <c r="D13058" s="897"/>
      <c r="E13058" s="1002" t="s">
        <v>276</v>
      </c>
      <c r="F13058" s="1003"/>
      <c r="G13058" s="1004"/>
      <c r="H13058" s="901"/>
      <c r="I13058" s="902"/>
      <c r="J13058" s="902"/>
      <c r="K13058" s="912" t="s">
        <v>274</v>
      </c>
      <c r="L13058" s="902"/>
      <c r="M13058" s="902"/>
      <c r="N13058" s="902"/>
      <c r="O13058" s="892">
        <f t="shared" si="1041"/>
        <v>0</v>
      </c>
      <c r="P13058" s="903">
        <f t="shared" si="1038"/>
        <v>1</v>
      </c>
      <c r="Q13058" s="893">
        <f t="shared" si="1039"/>
        <v>3</v>
      </c>
      <c r="R13058" s="894">
        <f t="shared" si="1040"/>
        <v>0</v>
      </c>
    </row>
    <row r="13059" spans="1:18" s="847" customFormat="1">
      <c r="A13059" s="905"/>
      <c r="B13059" s="952"/>
      <c r="C13059" s="907">
        <v>745</v>
      </c>
      <c r="D13059" s="907" t="s">
        <v>12</v>
      </c>
      <c r="E13059" s="992" t="s">
        <v>5518</v>
      </c>
      <c r="F13059" s="905" t="s">
        <v>2674</v>
      </c>
      <c r="G13059" s="1005"/>
      <c r="H13059" s="911">
        <v>0.15</v>
      </c>
      <c r="I13059" s="912"/>
      <c r="J13059" s="912"/>
      <c r="K13059" s="912">
        <f>VLOOKUP(E13059,[5]ĐMNC!$A$7:$F$67,4,0)</f>
        <v>240557</v>
      </c>
      <c r="L13059" s="912">
        <f>H13059*K13059</f>
        <v>36083.549999999996</v>
      </c>
      <c r="M13059" s="912"/>
      <c r="N13059" s="912"/>
      <c r="O13059" s="892">
        <f t="shared" si="1041"/>
        <v>0</v>
      </c>
      <c r="P13059" s="903">
        <f t="shared" si="1038"/>
        <v>1</v>
      </c>
      <c r="Q13059" s="893">
        <f t="shared" si="1039"/>
        <v>2</v>
      </c>
      <c r="R13059" s="894">
        <f t="shared" si="1040"/>
        <v>0</v>
      </c>
    </row>
    <row r="13060" spans="1:18" s="847" customFormat="1">
      <c r="A13060" s="905"/>
      <c r="B13060" s="952"/>
      <c r="C13060" s="907">
        <v>764</v>
      </c>
      <c r="D13060" s="907" t="s">
        <v>12</v>
      </c>
      <c r="E13060" s="992" t="s">
        <v>7282</v>
      </c>
      <c r="F13060" s="905" t="s">
        <v>2674</v>
      </c>
      <c r="G13060" s="1005"/>
      <c r="H13060" s="911">
        <v>0.39</v>
      </c>
      <c r="I13060" s="912"/>
      <c r="J13060" s="912"/>
      <c r="K13060" s="912"/>
      <c r="L13060" s="912"/>
      <c r="M13060" s="912"/>
      <c r="N13060" s="912"/>
      <c r="O13060" s="892">
        <f t="shared" si="1041"/>
        <v>0</v>
      </c>
      <c r="P13060" s="903">
        <f t="shared" si="1038"/>
        <v>1</v>
      </c>
      <c r="Q13060" s="893">
        <f t="shared" si="1039"/>
        <v>1</v>
      </c>
      <c r="R13060" s="894">
        <f t="shared" si="1040"/>
        <v>0</v>
      </c>
    </row>
    <row r="13061" spans="1:18" s="904" customFormat="1">
      <c r="A13061" s="1032" t="s">
        <v>7309</v>
      </c>
      <c r="B13061" s="1032" t="s">
        <v>84</v>
      </c>
      <c r="C13061" s="1033"/>
      <c r="D13061" s="1033"/>
      <c r="E13061" s="1034" t="s">
        <v>7310</v>
      </c>
      <c r="F13061" s="1035" t="s">
        <v>7311</v>
      </c>
      <c r="G13061" s="1036"/>
      <c r="H13061" s="1037"/>
      <c r="I13061" s="1038"/>
      <c r="J13061" s="891">
        <f>SUM(J13062:J13067)</f>
        <v>0</v>
      </c>
      <c r="K13061" s="891"/>
      <c r="L13061" s="891">
        <f>SUM(L13062:L13067)</f>
        <v>221125</v>
      </c>
      <c r="M13061" s="891"/>
      <c r="N13061" s="891">
        <f>SUM(N13062:N13067)</f>
        <v>0</v>
      </c>
      <c r="O13061" s="892">
        <f t="shared" si="1041"/>
        <v>1</v>
      </c>
      <c r="P13061" s="903">
        <f t="shared" si="1038"/>
        <v>0</v>
      </c>
      <c r="Q13061" s="893">
        <f t="shared" si="1039"/>
        <v>0</v>
      </c>
      <c r="R13061" s="894">
        <f t="shared" si="1040"/>
        <v>6</v>
      </c>
    </row>
    <row r="13062" spans="1:18">
      <c r="A13062" s="1025"/>
      <c r="B13062" s="1025"/>
      <c r="C13062" s="927"/>
      <c r="D13062" s="927"/>
      <c r="E13062" s="1026" t="s">
        <v>108</v>
      </c>
      <c r="F13062" s="1027"/>
      <c r="G13062" s="1028"/>
      <c r="H13062" s="1029"/>
      <c r="I13062" s="1030"/>
      <c r="J13062" s="1030"/>
      <c r="K13062" s="912" t="s">
        <v>274</v>
      </c>
      <c r="L13062" s="1030"/>
      <c r="M13062" s="1030"/>
      <c r="N13062" s="1030"/>
      <c r="O13062" s="892">
        <f t="shared" si="1041"/>
        <v>0</v>
      </c>
      <c r="P13062" s="903">
        <f t="shared" si="1038"/>
        <v>1</v>
      </c>
      <c r="Q13062" s="893">
        <f t="shared" si="1039"/>
        <v>6</v>
      </c>
      <c r="R13062" s="894">
        <f t="shared" si="1040"/>
        <v>0</v>
      </c>
    </row>
    <row r="13063" spans="1:18">
      <c r="A13063" s="1039"/>
      <c r="B13063" s="1039"/>
      <c r="C13063" s="979">
        <v>300</v>
      </c>
      <c r="D13063" s="979"/>
      <c r="E13063" s="1040" t="s">
        <v>7312</v>
      </c>
      <c r="F13063" s="1041" t="s">
        <v>7311</v>
      </c>
      <c r="G13063" s="1042"/>
      <c r="H13063" s="1043">
        <v>1</v>
      </c>
      <c r="I13063" s="1044"/>
      <c r="J13063" s="1044"/>
      <c r="K13063" s="912" t="s">
        <v>274</v>
      </c>
      <c r="L13063" s="1044"/>
      <c r="M13063" s="1044"/>
      <c r="N13063" s="1044"/>
      <c r="O13063" s="892">
        <f t="shared" si="1041"/>
        <v>0</v>
      </c>
      <c r="P13063" s="903">
        <f t="shared" si="1038"/>
        <v>1</v>
      </c>
      <c r="Q13063" s="893">
        <f t="shared" si="1039"/>
        <v>5</v>
      </c>
      <c r="R13063" s="894">
        <f t="shared" si="1040"/>
        <v>0</v>
      </c>
    </row>
    <row r="13064" spans="1:18">
      <c r="A13064" s="1025"/>
      <c r="B13064" s="1025"/>
      <c r="C13064" s="927"/>
      <c r="D13064" s="927"/>
      <c r="E13064" s="1026" t="s">
        <v>276</v>
      </c>
      <c r="F13064" s="1027"/>
      <c r="G13064" s="1028"/>
      <c r="H13064" s="1029"/>
      <c r="I13064" s="1030"/>
      <c r="J13064" s="1030"/>
      <c r="K13064" s="912" t="s">
        <v>274</v>
      </c>
      <c r="L13064" s="1030"/>
      <c r="M13064" s="1030"/>
      <c r="N13064" s="1030"/>
      <c r="O13064" s="892">
        <f t="shared" si="1041"/>
        <v>0</v>
      </c>
      <c r="P13064" s="903">
        <f t="shared" si="1038"/>
        <v>1</v>
      </c>
      <c r="Q13064" s="893">
        <f t="shared" si="1039"/>
        <v>4</v>
      </c>
      <c r="R13064" s="894">
        <f t="shared" si="1040"/>
        <v>0</v>
      </c>
    </row>
    <row r="13065" spans="1:18" s="847" customFormat="1">
      <c r="A13065" s="1032"/>
      <c r="B13065" s="1032"/>
      <c r="C13065" s="979">
        <v>740</v>
      </c>
      <c r="D13065" s="907" t="s">
        <v>12</v>
      </c>
      <c r="E13065" s="1034" t="s">
        <v>4008</v>
      </c>
      <c r="F13065" s="1035" t="s">
        <v>2674</v>
      </c>
      <c r="G13065" s="1036"/>
      <c r="H13065" s="1045">
        <v>1</v>
      </c>
      <c r="I13065" s="1046"/>
      <c r="J13065" s="1046"/>
      <c r="K13065" s="912">
        <f>VLOOKUP(E13065,[5]ĐMNC!$A$7:$F$67,4,0)</f>
        <v>221125</v>
      </c>
      <c r="L13065" s="912">
        <f>H13065*K13065</f>
        <v>221125</v>
      </c>
      <c r="M13065" s="912"/>
      <c r="N13065" s="912"/>
      <c r="O13065" s="892">
        <f t="shared" si="1041"/>
        <v>0</v>
      </c>
      <c r="P13065" s="903">
        <f t="shared" si="1038"/>
        <v>1</v>
      </c>
      <c r="Q13065" s="893">
        <f t="shared" si="1039"/>
        <v>3</v>
      </c>
      <c r="R13065" s="894">
        <f t="shared" si="1040"/>
        <v>0</v>
      </c>
    </row>
    <row r="13066" spans="1:18" s="904" customFormat="1">
      <c r="A13066" s="1025"/>
      <c r="B13066" s="1025"/>
      <c r="C13066" s="927"/>
      <c r="D13066" s="927"/>
      <c r="E13066" s="1026" t="s">
        <v>3914</v>
      </c>
      <c r="F13066" s="1027"/>
      <c r="G13066" s="1028"/>
      <c r="H13066" s="1029"/>
      <c r="I13066" s="1030"/>
      <c r="J13066" s="1030"/>
      <c r="K13066" s="912" t="s">
        <v>274</v>
      </c>
      <c r="L13066" s="1030"/>
      <c r="M13066" s="1030"/>
      <c r="N13066" s="1030"/>
      <c r="O13066" s="892">
        <f t="shared" si="1041"/>
        <v>0</v>
      </c>
      <c r="P13066" s="903">
        <f>IF(O13066=0,1,0)</f>
        <v>1</v>
      </c>
      <c r="Q13066" s="893">
        <f>IF(P13066=0,0,P13066+Q13067)</f>
        <v>2</v>
      </c>
      <c r="R13066" s="894">
        <f>IF(Q13066=0,Q13067,0)</f>
        <v>0</v>
      </c>
    </row>
    <row r="13067" spans="1:18">
      <c r="A13067" s="1039"/>
      <c r="B13067" s="1039"/>
      <c r="C13067" s="979">
        <v>917</v>
      </c>
      <c r="D13067" s="979"/>
      <c r="E13067" s="1040" t="s">
        <v>7313</v>
      </c>
      <c r="F13067" s="1041" t="s">
        <v>2673</v>
      </c>
      <c r="G13067" s="1042"/>
      <c r="H13067" s="1043">
        <v>1</v>
      </c>
      <c r="I13067" s="1044"/>
      <c r="J13067" s="1044"/>
      <c r="K13067" s="912"/>
      <c r="L13067" s="912"/>
      <c r="M13067" s="912"/>
      <c r="N13067" s="912"/>
      <c r="O13067" s="892">
        <f t="shared" si="1041"/>
        <v>0</v>
      </c>
      <c r="P13067" s="903">
        <f>IF(O13067=0,1,0)</f>
        <v>1</v>
      </c>
      <c r="Q13067" s="893">
        <f>IF(P13067=0,0,P13067+Q13068)</f>
        <v>1</v>
      </c>
      <c r="R13067" s="894">
        <f>IF(Q13067=0,Q13068,0)</f>
        <v>0</v>
      </c>
    </row>
    <row r="13068" spans="1:18">
      <c r="A13068" s="1047"/>
      <c r="B13068" s="1048" t="s">
        <v>7314</v>
      </c>
      <c r="C13068" s="979"/>
      <c r="D13068" s="979"/>
      <c r="E13068" s="1047" t="s">
        <v>7315</v>
      </c>
      <c r="F13068" s="1049"/>
      <c r="G13068" s="1050"/>
      <c r="H13068" s="1045"/>
      <c r="I13068" s="1046"/>
      <c r="J13068" s="1046"/>
      <c r="K13068" s="912" t="s">
        <v>274</v>
      </c>
      <c r="L13068" s="1051"/>
      <c r="M13068" s="1051"/>
      <c r="N13068" s="1051"/>
      <c r="O13068" s="892">
        <f t="shared" si="1041"/>
        <v>1</v>
      </c>
      <c r="P13068" s="903">
        <f>IF(O13068=0,1,0)</f>
        <v>0</v>
      </c>
      <c r="Q13068" s="893">
        <f>IF(P13068=0,0,P13068+Q13069)</f>
        <v>0</v>
      </c>
      <c r="R13068" s="894">
        <f>IF(Q13068=0,Q13069,0)</f>
        <v>0</v>
      </c>
    </row>
  </sheetData>
  <mergeCells count="3">
    <mergeCell ref="I5:J5"/>
    <mergeCell ref="K5:L5"/>
    <mergeCell ref="M5:N5"/>
  </mergeCells>
  <dataValidations count="2">
    <dataValidation type="list" allowBlank="1" showInputMessage="1" showErrorMessage="1" sqref="C13065 IY13065 SU13065 ACQ13065 AMM13065 AWI13065 BGE13065 BQA13065 BZW13065 CJS13065 CTO13065 DDK13065 DNG13065 DXC13065 EGY13065 EQU13065 FAQ13065 FKM13065 FUI13065 GEE13065 GOA13065 GXW13065 HHS13065 HRO13065 IBK13065 ILG13065 IVC13065 JEY13065 JOU13065 JYQ13065 KIM13065 KSI13065 LCE13065 LMA13065 LVW13065 MFS13065 MPO13065 MZK13065 NJG13065 NTC13065 OCY13065 OMU13065 OWQ13065 PGM13065 PQI13065 QAE13065 QKA13065 QTW13065 RDS13065 RNO13065 RXK13065 SHG13065 SRC13065 TAY13065 TKU13065 TUQ13065 UEM13065 UOI13065 UYE13065 VIA13065 VRW13065 WBS13065 WLO13065 WVK13065 C78601 IY78601 SU78601 ACQ78601 AMM78601 AWI78601 BGE78601 BQA78601 BZW78601 CJS78601 CTO78601 DDK78601 DNG78601 DXC78601 EGY78601 EQU78601 FAQ78601 FKM78601 FUI78601 GEE78601 GOA78601 GXW78601 HHS78601 HRO78601 IBK78601 ILG78601 IVC78601 JEY78601 JOU78601 JYQ78601 KIM78601 KSI78601 LCE78601 LMA78601 LVW78601 MFS78601 MPO78601 MZK78601 NJG78601 NTC78601 OCY78601 OMU78601 OWQ78601 PGM78601 PQI78601 QAE78601 QKA78601 QTW78601 RDS78601 RNO78601 RXK78601 SHG78601 SRC78601 TAY78601 TKU78601 TUQ78601 UEM78601 UOI78601 UYE78601 VIA78601 VRW78601 WBS78601 WLO78601 WVK78601 C144137 IY144137 SU144137 ACQ144137 AMM144137 AWI144137 BGE144137 BQA144137 BZW144137 CJS144137 CTO144137 DDK144137 DNG144137 DXC144137 EGY144137 EQU144137 FAQ144137 FKM144137 FUI144137 GEE144137 GOA144137 GXW144137 HHS144137 HRO144137 IBK144137 ILG144137 IVC144137 JEY144137 JOU144137 JYQ144137 KIM144137 KSI144137 LCE144137 LMA144137 LVW144137 MFS144137 MPO144137 MZK144137 NJG144137 NTC144137 OCY144137 OMU144137 OWQ144137 PGM144137 PQI144137 QAE144137 QKA144137 QTW144137 RDS144137 RNO144137 RXK144137 SHG144137 SRC144137 TAY144137 TKU144137 TUQ144137 UEM144137 UOI144137 UYE144137 VIA144137 VRW144137 WBS144137 WLO144137 WVK144137 C209673 IY209673 SU209673 ACQ209673 AMM209673 AWI209673 BGE209673 BQA209673 BZW209673 CJS209673 CTO209673 DDK209673 DNG209673 DXC209673 EGY209673 EQU209673 FAQ209673 FKM209673 FUI209673 GEE209673 GOA209673 GXW209673 HHS209673 HRO209673 IBK209673 ILG209673 IVC209673 JEY209673 JOU209673 JYQ209673 KIM209673 KSI209673 LCE209673 LMA209673 LVW209673 MFS209673 MPO209673 MZK209673 NJG209673 NTC209673 OCY209673 OMU209673 OWQ209673 PGM209673 PQI209673 QAE209673 QKA209673 QTW209673 RDS209673 RNO209673 RXK209673 SHG209673 SRC209673 TAY209673 TKU209673 TUQ209673 UEM209673 UOI209673 UYE209673 VIA209673 VRW209673 WBS209673 WLO209673 WVK209673 C275209 IY275209 SU275209 ACQ275209 AMM275209 AWI275209 BGE275209 BQA275209 BZW275209 CJS275209 CTO275209 DDK275209 DNG275209 DXC275209 EGY275209 EQU275209 FAQ275209 FKM275209 FUI275209 GEE275209 GOA275209 GXW275209 HHS275209 HRO275209 IBK275209 ILG275209 IVC275209 JEY275209 JOU275209 JYQ275209 KIM275209 KSI275209 LCE275209 LMA275209 LVW275209 MFS275209 MPO275209 MZK275209 NJG275209 NTC275209 OCY275209 OMU275209 OWQ275209 PGM275209 PQI275209 QAE275209 QKA275209 QTW275209 RDS275209 RNO275209 RXK275209 SHG275209 SRC275209 TAY275209 TKU275209 TUQ275209 UEM275209 UOI275209 UYE275209 VIA275209 VRW275209 WBS275209 WLO275209 WVK275209 C340745 IY340745 SU340745 ACQ340745 AMM340745 AWI340745 BGE340745 BQA340745 BZW340745 CJS340745 CTO340745 DDK340745 DNG340745 DXC340745 EGY340745 EQU340745 FAQ340745 FKM340745 FUI340745 GEE340745 GOA340745 GXW340745 HHS340745 HRO340745 IBK340745 ILG340745 IVC340745 JEY340745 JOU340745 JYQ340745 KIM340745 KSI340745 LCE340745 LMA340745 LVW340745 MFS340745 MPO340745 MZK340745 NJG340745 NTC340745 OCY340745 OMU340745 OWQ340745 PGM340745 PQI340745 QAE340745 QKA340745 QTW340745 RDS340745 RNO340745 RXK340745 SHG340745 SRC340745 TAY340745 TKU340745 TUQ340745 UEM340745 UOI340745 UYE340745 VIA340745 VRW340745 WBS340745 WLO340745 WVK340745 C406281 IY406281 SU406281 ACQ406281 AMM406281 AWI406281 BGE406281 BQA406281 BZW406281 CJS406281 CTO406281 DDK406281 DNG406281 DXC406281 EGY406281 EQU406281 FAQ406281 FKM406281 FUI406281 GEE406281 GOA406281 GXW406281 HHS406281 HRO406281 IBK406281 ILG406281 IVC406281 JEY406281 JOU406281 JYQ406281 KIM406281 KSI406281 LCE406281 LMA406281 LVW406281 MFS406281 MPO406281 MZK406281 NJG406281 NTC406281 OCY406281 OMU406281 OWQ406281 PGM406281 PQI406281 QAE406281 QKA406281 QTW406281 RDS406281 RNO406281 RXK406281 SHG406281 SRC406281 TAY406281 TKU406281 TUQ406281 UEM406281 UOI406281 UYE406281 VIA406281 VRW406281 WBS406281 WLO406281 WVK406281 C471817 IY471817 SU471817 ACQ471817 AMM471817 AWI471817 BGE471817 BQA471817 BZW471817 CJS471817 CTO471817 DDK471817 DNG471817 DXC471817 EGY471817 EQU471817 FAQ471817 FKM471817 FUI471817 GEE471817 GOA471817 GXW471817 HHS471817 HRO471817 IBK471817 ILG471817 IVC471817 JEY471817 JOU471817 JYQ471817 KIM471817 KSI471817 LCE471817 LMA471817 LVW471817 MFS471817 MPO471817 MZK471817 NJG471817 NTC471817 OCY471817 OMU471817 OWQ471817 PGM471817 PQI471817 QAE471817 QKA471817 QTW471817 RDS471817 RNO471817 RXK471817 SHG471817 SRC471817 TAY471817 TKU471817 TUQ471817 UEM471817 UOI471817 UYE471817 VIA471817 VRW471817 WBS471817 WLO471817 WVK471817 C537353 IY537353 SU537353 ACQ537353 AMM537353 AWI537353 BGE537353 BQA537353 BZW537353 CJS537353 CTO537353 DDK537353 DNG537353 DXC537353 EGY537353 EQU537353 FAQ537353 FKM537353 FUI537353 GEE537353 GOA537353 GXW537353 HHS537353 HRO537353 IBK537353 ILG537353 IVC537353 JEY537353 JOU537353 JYQ537353 KIM537353 KSI537353 LCE537353 LMA537353 LVW537353 MFS537353 MPO537353 MZK537353 NJG537353 NTC537353 OCY537353 OMU537353 OWQ537353 PGM537353 PQI537353 QAE537353 QKA537353 QTW537353 RDS537353 RNO537353 RXK537353 SHG537353 SRC537353 TAY537353 TKU537353 TUQ537353 UEM537353 UOI537353 UYE537353 VIA537353 VRW537353 WBS537353 WLO537353 WVK537353 C602889 IY602889 SU602889 ACQ602889 AMM602889 AWI602889 BGE602889 BQA602889 BZW602889 CJS602889 CTO602889 DDK602889 DNG602889 DXC602889 EGY602889 EQU602889 FAQ602889 FKM602889 FUI602889 GEE602889 GOA602889 GXW602889 HHS602889 HRO602889 IBK602889 ILG602889 IVC602889 JEY602889 JOU602889 JYQ602889 KIM602889 KSI602889 LCE602889 LMA602889 LVW602889 MFS602889 MPO602889 MZK602889 NJG602889 NTC602889 OCY602889 OMU602889 OWQ602889 PGM602889 PQI602889 QAE602889 QKA602889 QTW602889 RDS602889 RNO602889 RXK602889 SHG602889 SRC602889 TAY602889 TKU602889 TUQ602889 UEM602889 UOI602889 UYE602889 VIA602889 VRW602889 WBS602889 WLO602889 WVK602889 C668425 IY668425 SU668425 ACQ668425 AMM668425 AWI668425 BGE668425 BQA668425 BZW668425 CJS668425 CTO668425 DDK668425 DNG668425 DXC668425 EGY668425 EQU668425 FAQ668425 FKM668425 FUI668425 GEE668425 GOA668425 GXW668425 HHS668425 HRO668425 IBK668425 ILG668425 IVC668425 JEY668425 JOU668425 JYQ668425 KIM668425 KSI668425 LCE668425 LMA668425 LVW668425 MFS668425 MPO668425 MZK668425 NJG668425 NTC668425 OCY668425 OMU668425 OWQ668425 PGM668425 PQI668425 QAE668425 QKA668425 QTW668425 RDS668425 RNO668425 RXK668425 SHG668425 SRC668425 TAY668425 TKU668425 TUQ668425 UEM668425 UOI668425 UYE668425 VIA668425 VRW668425 WBS668425 WLO668425 WVK668425 C733961 IY733961 SU733961 ACQ733961 AMM733961 AWI733961 BGE733961 BQA733961 BZW733961 CJS733961 CTO733961 DDK733961 DNG733961 DXC733961 EGY733961 EQU733961 FAQ733961 FKM733961 FUI733961 GEE733961 GOA733961 GXW733961 HHS733961 HRO733961 IBK733961 ILG733961 IVC733961 JEY733961 JOU733961 JYQ733961 KIM733961 KSI733961 LCE733961 LMA733961 LVW733961 MFS733961 MPO733961 MZK733961 NJG733961 NTC733961 OCY733961 OMU733961 OWQ733961 PGM733961 PQI733961 QAE733961 QKA733961 QTW733961 RDS733961 RNO733961 RXK733961 SHG733961 SRC733961 TAY733961 TKU733961 TUQ733961 UEM733961 UOI733961 UYE733961 VIA733961 VRW733961 WBS733961 WLO733961 WVK733961 C799497 IY799497 SU799497 ACQ799497 AMM799497 AWI799497 BGE799497 BQA799497 BZW799497 CJS799497 CTO799497 DDK799497 DNG799497 DXC799497 EGY799497 EQU799497 FAQ799497 FKM799497 FUI799497 GEE799497 GOA799497 GXW799497 HHS799497 HRO799497 IBK799497 ILG799497 IVC799497 JEY799497 JOU799497 JYQ799497 KIM799497 KSI799497 LCE799497 LMA799497 LVW799497 MFS799497 MPO799497 MZK799497 NJG799497 NTC799497 OCY799497 OMU799497 OWQ799497 PGM799497 PQI799497 QAE799497 QKA799497 QTW799497 RDS799497 RNO799497 RXK799497 SHG799497 SRC799497 TAY799497 TKU799497 TUQ799497 UEM799497 UOI799497 UYE799497 VIA799497 VRW799497 WBS799497 WLO799497 WVK799497 C865033 IY865033 SU865033 ACQ865033 AMM865033 AWI865033 BGE865033 BQA865033 BZW865033 CJS865033 CTO865033 DDK865033 DNG865033 DXC865033 EGY865033 EQU865033 FAQ865033 FKM865033 FUI865033 GEE865033 GOA865033 GXW865033 HHS865033 HRO865033 IBK865033 ILG865033 IVC865033 JEY865033 JOU865033 JYQ865033 KIM865033 KSI865033 LCE865033 LMA865033 LVW865033 MFS865033 MPO865033 MZK865033 NJG865033 NTC865033 OCY865033 OMU865033 OWQ865033 PGM865033 PQI865033 QAE865033 QKA865033 QTW865033 RDS865033 RNO865033 RXK865033 SHG865033 SRC865033 TAY865033 TKU865033 TUQ865033 UEM865033 UOI865033 UYE865033 VIA865033 VRW865033 WBS865033 WLO865033 WVK865033 C930569 IY930569 SU930569 ACQ930569 AMM930569 AWI930569 BGE930569 BQA930569 BZW930569 CJS930569 CTO930569 DDK930569 DNG930569 DXC930569 EGY930569 EQU930569 FAQ930569 FKM930569 FUI930569 GEE930569 GOA930569 GXW930569 HHS930569 HRO930569 IBK930569 ILG930569 IVC930569 JEY930569 JOU930569 JYQ930569 KIM930569 KSI930569 LCE930569 LMA930569 LVW930569 MFS930569 MPO930569 MZK930569 NJG930569 NTC930569 OCY930569 OMU930569 OWQ930569 PGM930569 PQI930569 QAE930569 QKA930569 QTW930569 RDS930569 RNO930569 RXK930569 SHG930569 SRC930569 TAY930569 TKU930569 TUQ930569 UEM930569 UOI930569 UYE930569 VIA930569 VRW930569 WBS930569 WLO930569 WVK930569 C996105 IY996105 SU996105 ACQ996105 AMM996105 AWI996105 BGE996105 BQA996105 BZW996105 CJS996105 CTO996105 DDK996105 DNG996105 DXC996105 EGY996105 EQU996105 FAQ996105 FKM996105 FUI996105 GEE996105 GOA996105 GXW996105 HHS996105 HRO996105 IBK996105 ILG996105 IVC996105 JEY996105 JOU996105 JYQ996105 KIM996105 KSI996105 LCE996105 LMA996105 LVW996105 MFS996105 MPO996105 MZK996105 NJG996105 NTC996105 OCY996105 OMU996105 OWQ996105 PGM996105 PQI996105 QAE996105 QKA996105 QTW996105 RDS996105 RNO996105 RXK996105 SHG996105 SRC996105 TAY996105 TKU996105 TUQ996105 UEM996105 UOI996105 UYE996105 VIA996105 VRW996105 WBS996105 WLO996105 WVK996105">
      <formula1>"730, 735, 740, 745, 750"</formula1>
    </dataValidation>
    <dataValidation type="list" allowBlank="1" showInputMessage="1" showErrorMessage="1" sqref="C319:D319 IY319:IZ319 SU319:SV319 ACQ319:ACR319 AMM319:AMN319 AWI319:AWJ319 BGE319:BGF319 BQA319:BQB319 BZW319:BZX319 CJS319:CJT319 CTO319:CTP319 DDK319:DDL319 DNG319:DNH319 DXC319:DXD319 EGY319:EGZ319 EQU319:EQV319 FAQ319:FAR319 FKM319:FKN319 FUI319:FUJ319 GEE319:GEF319 GOA319:GOB319 GXW319:GXX319 HHS319:HHT319 HRO319:HRP319 IBK319:IBL319 ILG319:ILH319 IVC319:IVD319 JEY319:JEZ319 JOU319:JOV319 JYQ319:JYR319 KIM319:KIN319 KSI319:KSJ319 LCE319:LCF319 LMA319:LMB319 LVW319:LVX319 MFS319:MFT319 MPO319:MPP319 MZK319:MZL319 NJG319:NJH319 NTC319:NTD319 OCY319:OCZ319 OMU319:OMV319 OWQ319:OWR319 PGM319:PGN319 PQI319:PQJ319 QAE319:QAF319 QKA319:QKB319 QTW319:QTX319 RDS319:RDT319 RNO319:RNP319 RXK319:RXL319 SHG319:SHH319 SRC319:SRD319 TAY319:TAZ319 TKU319:TKV319 TUQ319:TUR319 UEM319:UEN319 UOI319:UOJ319 UYE319:UYF319 VIA319:VIB319 VRW319:VRX319 WBS319:WBT319 WLO319:WLP319 WVK319:WVL319 C65855:D65855 IY65855:IZ65855 SU65855:SV65855 ACQ65855:ACR65855 AMM65855:AMN65855 AWI65855:AWJ65855 BGE65855:BGF65855 BQA65855:BQB65855 BZW65855:BZX65855 CJS65855:CJT65855 CTO65855:CTP65855 DDK65855:DDL65855 DNG65855:DNH65855 DXC65855:DXD65855 EGY65855:EGZ65855 EQU65855:EQV65855 FAQ65855:FAR65855 FKM65855:FKN65855 FUI65855:FUJ65855 GEE65855:GEF65855 GOA65855:GOB65855 GXW65855:GXX65855 HHS65855:HHT65855 HRO65855:HRP65855 IBK65855:IBL65855 ILG65855:ILH65855 IVC65855:IVD65855 JEY65855:JEZ65855 JOU65855:JOV65855 JYQ65855:JYR65855 KIM65855:KIN65855 KSI65855:KSJ65855 LCE65855:LCF65855 LMA65855:LMB65855 LVW65855:LVX65855 MFS65855:MFT65855 MPO65855:MPP65855 MZK65855:MZL65855 NJG65855:NJH65855 NTC65855:NTD65855 OCY65855:OCZ65855 OMU65855:OMV65855 OWQ65855:OWR65855 PGM65855:PGN65855 PQI65855:PQJ65855 QAE65855:QAF65855 QKA65855:QKB65855 QTW65855:QTX65855 RDS65855:RDT65855 RNO65855:RNP65855 RXK65855:RXL65855 SHG65855:SHH65855 SRC65855:SRD65855 TAY65855:TAZ65855 TKU65855:TKV65855 TUQ65855:TUR65855 UEM65855:UEN65855 UOI65855:UOJ65855 UYE65855:UYF65855 VIA65855:VIB65855 VRW65855:VRX65855 WBS65855:WBT65855 WLO65855:WLP65855 WVK65855:WVL65855 C131391:D131391 IY131391:IZ131391 SU131391:SV131391 ACQ131391:ACR131391 AMM131391:AMN131391 AWI131391:AWJ131391 BGE131391:BGF131391 BQA131391:BQB131391 BZW131391:BZX131391 CJS131391:CJT131391 CTO131391:CTP131391 DDK131391:DDL131391 DNG131391:DNH131391 DXC131391:DXD131391 EGY131391:EGZ131391 EQU131391:EQV131391 FAQ131391:FAR131391 FKM131391:FKN131391 FUI131391:FUJ131391 GEE131391:GEF131391 GOA131391:GOB131391 GXW131391:GXX131391 HHS131391:HHT131391 HRO131391:HRP131391 IBK131391:IBL131391 ILG131391:ILH131391 IVC131391:IVD131391 JEY131391:JEZ131391 JOU131391:JOV131391 JYQ131391:JYR131391 KIM131391:KIN131391 KSI131391:KSJ131391 LCE131391:LCF131391 LMA131391:LMB131391 LVW131391:LVX131391 MFS131391:MFT131391 MPO131391:MPP131391 MZK131391:MZL131391 NJG131391:NJH131391 NTC131391:NTD131391 OCY131391:OCZ131391 OMU131391:OMV131391 OWQ131391:OWR131391 PGM131391:PGN131391 PQI131391:PQJ131391 QAE131391:QAF131391 QKA131391:QKB131391 QTW131391:QTX131391 RDS131391:RDT131391 RNO131391:RNP131391 RXK131391:RXL131391 SHG131391:SHH131391 SRC131391:SRD131391 TAY131391:TAZ131391 TKU131391:TKV131391 TUQ131391:TUR131391 UEM131391:UEN131391 UOI131391:UOJ131391 UYE131391:UYF131391 VIA131391:VIB131391 VRW131391:VRX131391 WBS131391:WBT131391 WLO131391:WLP131391 WVK131391:WVL131391 C196927:D196927 IY196927:IZ196927 SU196927:SV196927 ACQ196927:ACR196927 AMM196927:AMN196927 AWI196927:AWJ196927 BGE196927:BGF196927 BQA196927:BQB196927 BZW196927:BZX196927 CJS196927:CJT196927 CTO196927:CTP196927 DDK196927:DDL196927 DNG196927:DNH196927 DXC196927:DXD196927 EGY196927:EGZ196927 EQU196927:EQV196927 FAQ196927:FAR196927 FKM196927:FKN196927 FUI196927:FUJ196927 GEE196927:GEF196927 GOA196927:GOB196927 GXW196927:GXX196927 HHS196927:HHT196927 HRO196927:HRP196927 IBK196927:IBL196927 ILG196927:ILH196927 IVC196927:IVD196927 JEY196927:JEZ196927 JOU196927:JOV196927 JYQ196927:JYR196927 KIM196927:KIN196927 KSI196927:KSJ196927 LCE196927:LCF196927 LMA196927:LMB196927 LVW196927:LVX196927 MFS196927:MFT196927 MPO196927:MPP196927 MZK196927:MZL196927 NJG196927:NJH196927 NTC196927:NTD196927 OCY196927:OCZ196927 OMU196927:OMV196927 OWQ196927:OWR196927 PGM196927:PGN196927 PQI196927:PQJ196927 QAE196927:QAF196927 QKA196927:QKB196927 QTW196927:QTX196927 RDS196927:RDT196927 RNO196927:RNP196927 RXK196927:RXL196927 SHG196927:SHH196927 SRC196927:SRD196927 TAY196927:TAZ196927 TKU196927:TKV196927 TUQ196927:TUR196927 UEM196927:UEN196927 UOI196927:UOJ196927 UYE196927:UYF196927 VIA196927:VIB196927 VRW196927:VRX196927 WBS196927:WBT196927 WLO196927:WLP196927 WVK196927:WVL196927 C262463:D262463 IY262463:IZ262463 SU262463:SV262463 ACQ262463:ACR262463 AMM262463:AMN262463 AWI262463:AWJ262463 BGE262463:BGF262463 BQA262463:BQB262463 BZW262463:BZX262463 CJS262463:CJT262463 CTO262463:CTP262463 DDK262463:DDL262463 DNG262463:DNH262463 DXC262463:DXD262463 EGY262463:EGZ262463 EQU262463:EQV262463 FAQ262463:FAR262463 FKM262463:FKN262463 FUI262463:FUJ262463 GEE262463:GEF262463 GOA262463:GOB262463 GXW262463:GXX262463 HHS262463:HHT262463 HRO262463:HRP262463 IBK262463:IBL262463 ILG262463:ILH262463 IVC262463:IVD262463 JEY262463:JEZ262463 JOU262463:JOV262463 JYQ262463:JYR262463 KIM262463:KIN262463 KSI262463:KSJ262463 LCE262463:LCF262463 LMA262463:LMB262463 LVW262463:LVX262463 MFS262463:MFT262463 MPO262463:MPP262463 MZK262463:MZL262463 NJG262463:NJH262463 NTC262463:NTD262463 OCY262463:OCZ262463 OMU262463:OMV262463 OWQ262463:OWR262463 PGM262463:PGN262463 PQI262463:PQJ262463 QAE262463:QAF262463 QKA262463:QKB262463 QTW262463:QTX262463 RDS262463:RDT262463 RNO262463:RNP262463 RXK262463:RXL262463 SHG262463:SHH262463 SRC262463:SRD262463 TAY262463:TAZ262463 TKU262463:TKV262463 TUQ262463:TUR262463 UEM262463:UEN262463 UOI262463:UOJ262463 UYE262463:UYF262463 VIA262463:VIB262463 VRW262463:VRX262463 WBS262463:WBT262463 WLO262463:WLP262463 WVK262463:WVL262463 C327999:D327999 IY327999:IZ327999 SU327999:SV327999 ACQ327999:ACR327999 AMM327999:AMN327999 AWI327999:AWJ327999 BGE327999:BGF327999 BQA327999:BQB327999 BZW327999:BZX327999 CJS327999:CJT327999 CTO327999:CTP327999 DDK327999:DDL327999 DNG327999:DNH327999 DXC327999:DXD327999 EGY327999:EGZ327999 EQU327999:EQV327999 FAQ327999:FAR327999 FKM327999:FKN327999 FUI327999:FUJ327999 GEE327999:GEF327999 GOA327999:GOB327999 GXW327999:GXX327999 HHS327999:HHT327999 HRO327999:HRP327999 IBK327999:IBL327999 ILG327999:ILH327999 IVC327999:IVD327999 JEY327999:JEZ327999 JOU327999:JOV327999 JYQ327999:JYR327999 KIM327999:KIN327999 KSI327999:KSJ327999 LCE327999:LCF327999 LMA327999:LMB327999 LVW327999:LVX327999 MFS327999:MFT327999 MPO327999:MPP327999 MZK327999:MZL327999 NJG327999:NJH327999 NTC327999:NTD327999 OCY327999:OCZ327999 OMU327999:OMV327999 OWQ327999:OWR327999 PGM327999:PGN327999 PQI327999:PQJ327999 QAE327999:QAF327999 QKA327999:QKB327999 QTW327999:QTX327999 RDS327999:RDT327999 RNO327999:RNP327999 RXK327999:RXL327999 SHG327999:SHH327999 SRC327999:SRD327999 TAY327999:TAZ327999 TKU327999:TKV327999 TUQ327999:TUR327999 UEM327999:UEN327999 UOI327999:UOJ327999 UYE327999:UYF327999 VIA327999:VIB327999 VRW327999:VRX327999 WBS327999:WBT327999 WLO327999:WLP327999 WVK327999:WVL327999 C393535:D393535 IY393535:IZ393535 SU393535:SV393535 ACQ393535:ACR393535 AMM393535:AMN393535 AWI393535:AWJ393535 BGE393535:BGF393535 BQA393535:BQB393535 BZW393535:BZX393535 CJS393535:CJT393535 CTO393535:CTP393535 DDK393535:DDL393535 DNG393535:DNH393535 DXC393535:DXD393535 EGY393535:EGZ393535 EQU393535:EQV393535 FAQ393535:FAR393535 FKM393535:FKN393535 FUI393535:FUJ393535 GEE393535:GEF393535 GOA393535:GOB393535 GXW393535:GXX393535 HHS393535:HHT393535 HRO393535:HRP393535 IBK393535:IBL393535 ILG393535:ILH393535 IVC393535:IVD393535 JEY393535:JEZ393535 JOU393535:JOV393535 JYQ393535:JYR393535 KIM393535:KIN393535 KSI393535:KSJ393535 LCE393535:LCF393535 LMA393535:LMB393535 LVW393535:LVX393535 MFS393535:MFT393535 MPO393535:MPP393535 MZK393535:MZL393535 NJG393535:NJH393535 NTC393535:NTD393535 OCY393535:OCZ393535 OMU393535:OMV393535 OWQ393535:OWR393535 PGM393535:PGN393535 PQI393535:PQJ393535 QAE393535:QAF393535 QKA393535:QKB393535 QTW393535:QTX393535 RDS393535:RDT393535 RNO393535:RNP393535 RXK393535:RXL393535 SHG393535:SHH393535 SRC393535:SRD393535 TAY393535:TAZ393535 TKU393535:TKV393535 TUQ393535:TUR393535 UEM393535:UEN393535 UOI393535:UOJ393535 UYE393535:UYF393535 VIA393535:VIB393535 VRW393535:VRX393535 WBS393535:WBT393535 WLO393535:WLP393535 WVK393535:WVL393535 C459071:D459071 IY459071:IZ459071 SU459071:SV459071 ACQ459071:ACR459071 AMM459071:AMN459071 AWI459071:AWJ459071 BGE459071:BGF459071 BQA459071:BQB459071 BZW459071:BZX459071 CJS459071:CJT459071 CTO459071:CTP459071 DDK459071:DDL459071 DNG459071:DNH459071 DXC459071:DXD459071 EGY459071:EGZ459071 EQU459071:EQV459071 FAQ459071:FAR459071 FKM459071:FKN459071 FUI459071:FUJ459071 GEE459071:GEF459071 GOA459071:GOB459071 GXW459071:GXX459071 HHS459071:HHT459071 HRO459071:HRP459071 IBK459071:IBL459071 ILG459071:ILH459071 IVC459071:IVD459071 JEY459071:JEZ459071 JOU459071:JOV459071 JYQ459071:JYR459071 KIM459071:KIN459071 KSI459071:KSJ459071 LCE459071:LCF459071 LMA459071:LMB459071 LVW459071:LVX459071 MFS459071:MFT459071 MPO459071:MPP459071 MZK459071:MZL459071 NJG459071:NJH459071 NTC459071:NTD459071 OCY459071:OCZ459071 OMU459071:OMV459071 OWQ459071:OWR459071 PGM459071:PGN459071 PQI459071:PQJ459071 QAE459071:QAF459071 QKA459071:QKB459071 QTW459071:QTX459071 RDS459071:RDT459071 RNO459071:RNP459071 RXK459071:RXL459071 SHG459071:SHH459071 SRC459071:SRD459071 TAY459071:TAZ459071 TKU459071:TKV459071 TUQ459071:TUR459071 UEM459071:UEN459071 UOI459071:UOJ459071 UYE459071:UYF459071 VIA459071:VIB459071 VRW459071:VRX459071 WBS459071:WBT459071 WLO459071:WLP459071 WVK459071:WVL459071 C524607:D524607 IY524607:IZ524607 SU524607:SV524607 ACQ524607:ACR524607 AMM524607:AMN524607 AWI524607:AWJ524607 BGE524607:BGF524607 BQA524607:BQB524607 BZW524607:BZX524607 CJS524607:CJT524607 CTO524607:CTP524607 DDK524607:DDL524607 DNG524607:DNH524607 DXC524607:DXD524607 EGY524607:EGZ524607 EQU524607:EQV524607 FAQ524607:FAR524607 FKM524607:FKN524607 FUI524607:FUJ524607 GEE524607:GEF524607 GOA524607:GOB524607 GXW524607:GXX524607 HHS524607:HHT524607 HRO524607:HRP524607 IBK524607:IBL524607 ILG524607:ILH524607 IVC524607:IVD524607 JEY524607:JEZ524607 JOU524607:JOV524607 JYQ524607:JYR524607 KIM524607:KIN524607 KSI524607:KSJ524607 LCE524607:LCF524607 LMA524607:LMB524607 LVW524607:LVX524607 MFS524607:MFT524607 MPO524607:MPP524607 MZK524607:MZL524607 NJG524607:NJH524607 NTC524607:NTD524607 OCY524607:OCZ524607 OMU524607:OMV524607 OWQ524607:OWR524607 PGM524607:PGN524607 PQI524607:PQJ524607 QAE524607:QAF524607 QKA524607:QKB524607 QTW524607:QTX524607 RDS524607:RDT524607 RNO524607:RNP524607 RXK524607:RXL524607 SHG524607:SHH524607 SRC524607:SRD524607 TAY524607:TAZ524607 TKU524607:TKV524607 TUQ524607:TUR524607 UEM524607:UEN524607 UOI524607:UOJ524607 UYE524607:UYF524607 VIA524607:VIB524607 VRW524607:VRX524607 WBS524607:WBT524607 WLO524607:WLP524607 WVK524607:WVL524607 C590143:D590143 IY590143:IZ590143 SU590143:SV590143 ACQ590143:ACR590143 AMM590143:AMN590143 AWI590143:AWJ590143 BGE590143:BGF590143 BQA590143:BQB590143 BZW590143:BZX590143 CJS590143:CJT590143 CTO590143:CTP590143 DDK590143:DDL590143 DNG590143:DNH590143 DXC590143:DXD590143 EGY590143:EGZ590143 EQU590143:EQV590143 FAQ590143:FAR590143 FKM590143:FKN590143 FUI590143:FUJ590143 GEE590143:GEF590143 GOA590143:GOB590143 GXW590143:GXX590143 HHS590143:HHT590143 HRO590143:HRP590143 IBK590143:IBL590143 ILG590143:ILH590143 IVC590143:IVD590143 JEY590143:JEZ590143 JOU590143:JOV590143 JYQ590143:JYR590143 KIM590143:KIN590143 KSI590143:KSJ590143 LCE590143:LCF590143 LMA590143:LMB590143 LVW590143:LVX590143 MFS590143:MFT590143 MPO590143:MPP590143 MZK590143:MZL590143 NJG590143:NJH590143 NTC590143:NTD590143 OCY590143:OCZ590143 OMU590143:OMV590143 OWQ590143:OWR590143 PGM590143:PGN590143 PQI590143:PQJ590143 QAE590143:QAF590143 QKA590143:QKB590143 QTW590143:QTX590143 RDS590143:RDT590143 RNO590143:RNP590143 RXK590143:RXL590143 SHG590143:SHH590143 SRC590143:SRD590143 TAY590143:TAZ590143 TKU590143:TKV590143 TUQ590143:TUR590143 UEM590143:UEN590143 UOI590143:UOJ590143 UYE590143:UYF590143 VIA590143:VIB590143 VRW590143:VRX590143 WBS590143:WBT590143 WLO590143:WLP590143 WVK590143:WVL590143 C655679:D655679 IY655679:IZ655679 SU655679:SV655679 ACQ655679:ACR655679 AMM655679:AMN655679 AWI655679:AWJ655679 BGE655679:BGF655679 BQA655679:BQB655679 BZW655679:BZX655679 CJS655679:CJT655679 CTO655679:CTP655679 DDK655679:DDL655679 DNG655679:DNH655679 DXC655679:DXD655679 EGY655679:EGZ655679 EQU655679:EQV655679 FAQ655679:FAR655679 FKM655679:FKN655679 FUI655679:FUJ655679 GEE655679:GEF655679 GOA655679:GOB655679 GXW655679:GXX655679 HHS655679:HHT655679 HRO655679:HRP655679 IBK655679:IBL655679 ILG655679:ILH655679 IVC655679:IVD655679 JEY655679:JEZ655679 JOU655679:JOV655679 JYQ655679:JYR655679 KIM655679:KIN655679 KSI655679:KSJ655679 LCE655679:LCF655679 LMA655679:LMB655679 LVW655679:LVX655679 MFS655679:MFT655679 MPO655679:MPP655679 MZK655679:MZL655679 NJG655679:NJH655679 NTC655679:NTD655679 OCY655679:OCZ655679 OMU655679:OMV655679 OWQ655679:OWR655679 PGM655679:PGN655679 PQI655679:PQJ655679 QAE655679:QAF655679 QKA655679:QKB655679 QTW655679:QTX655679 RDS655679:RDT655679 RNO655679:RNP655679 RXK655679:RXL655679 SHG655679:SHH655679 SRC655679:SRD655679 TAY655679:TAZ655679 TKU655679:TKV655679 TUQ655679:TUR655679 UEM655679:UEN655679 UOI655679:UOJ655679 UYE655679:UYF655679 VIA655679:VIB655679 VRW655679:VRX655679 WBS655679:WBT655679 WLO655679:WLP655679 WVK655679:WVL655679 C721215:D721215 IY721215:IZ721215 SU721215:SV721215 ACQ721215:ACR721215 AMM721215:AMN721215 AWI721215:AWJ721215 BGE721215:BGF721215 BQA721215:BQB721215 BZW721215:BZX721215 CJS721215:CJT721215 CTO721215:CTP721215 DDK721215:DDL721215 DNG721215:DNH721215 DXC721215:DXD721215 EGY721215:EGZ721215 EQU721215:EQV721215 FAQ721215:FAR721215 FKM721215:FKN721215 FUI721215:FUJ721215 GEE721215:GEF721215 GOA721215:GOB721215 GXW721215:GXX721215 HHS721215:HHT721215 HRO721215:HRP721215 IBK721215:IBL721215 ILG721215:ILH721215 IVC721215:IVD721215 JEY721215:JEZ721215 JOU721215:JOV721215 JYQ721215:JYR721215 KIM721215:KIN721215 KSI721215:KSJ721215 LCE721215:LCF721215 LMA721215:LMB721215 LVW721215:LVX721215 MFS721215:MFT721215 MPO721215:MPP721215 MZK721215:MZL721215 NJG721215:NJH721215 NTC721215:NTD721215 OCY721215:OCZ721215 OMU721215:OMV721215 OWQ721215:OWR721215 PGM721215:PGN721215 PQI721215:PQJ721215 QAE721215:QAF721215 QKA721215:QKB721215 QTW721215:QTX721215 RDS721215:RDT721215 RNO721215:RNP721215 RXK721215:RXL721215 SHG721215:SHH721215 SRC721215:SRD721215 TAY721215:TAZ721215 TKU721215:TKV721215 TUQ721215:TUR721215 UEM721215:UEN721215 UOI721215:UOJ721215 UYE721215:UYF721215 VIA721215:VIB721215 VRW721215:VRX721215 WBS721215:WBT721215 WLO721215:WLP721215 WVK721215:WVL721215 C786751:D786751 IY786751:IZ786751 SU786751:SV786751 ACQ786751:ACR786751 AMM786751:AMN786751 AWI786751:AWJ786751 BGE786751:BGF786751 BQA786751:BQB786751 BZW786751:BZX786751 CJS786751:CJT786751 CTO786751:CTP786751 DDK786751:DDL786751 DNG786751:DNH786751 DXC786751:DXD786751 EGY786751:EGZ786751 EQU786751:EQV786751 FAQ786751:FAR786751 FKM786751:FKN786751 FUI786751:FUJ786751 GEE786751:GEF786751 GOA786751:GOB786751 GXW786751:GXX786751 HHS786751:HHT786751 HRO786751:HRP786751 IBK786751:IBL786751 ILG786751:ILH786751 IVC786751:IVD786751 JEY786751:JEZ786751 JOU786751:JOV786751 JYQ786751:JYR786751 KIM786751:KIN786751 KSI786751:KSJ786751 LCE786751:LCF786751 LMA786751:LMB786751 LVW786751:LVX786751 MFS786751:MFT786751 MPO786751:MPP786751 MZK786751:MZL786751 NJG786751:NJH786751 NTC786751:NTD786751 OCY786751:OCZ786751 OMU786751:OMV786751 OWQ786751:OWR786751 PGM786751:PGN786751 PQI786751:PQJ786751 QAE786751:QAF786751 QKA786751:QKB786751 QTW786751:QTX786751 RDS786751:RDT786751 RNO786751:RNP786751 RXK786751:RXL786751 SHG786751:SHH786751 SRC786751:SRD786751 TAY786751:TAZ786751 TKU786751:TKV786751 TUQ786751:TUR786751 UEM786751:UEN786751 UOI786751:UOJ786751 UYE786751:UYF786751 VIA786751:VIB786751 VRW786751:VRX786751 WBS786751:WBT786751 WLO786751:WLP786751 WVK786751:WVL786751 C852287:D852287 IY852287:IZ852287 SU852287:SV852287 ACQ852287:ACR852287 AMM852287:AMN852287 AWI852287:AWJ852287 BGE852287:BGF852287 BQA852287:BQB852287 BZW852287:BZX852287 CJS852287:CJT852287 CTO852287:CTP852287 DDK852287:DDL852287 DNG852287:DNH852287 DXC852287:DXD852287 EGY852287:EGZ852287 EQU852287:EQV852287 FAQ852287:FAR852287 FKM852287:FKN852287 FUI852287:FUJ852287 GEE852287:GEF852287 GOA852287:GOB852287 GXW852287:GXX852287 HHS852287:HHT852287 HRO852287:HRP852287 IBK852287:IBL852287 ILG852287:ILH852287 IVC852287:IVD852287 JEY852287:JEZ852287 JOU852287:JOV852287 JYQ852287:JYR852287 KIM852287:KIN852287 KSI852287:KSJ852287 LCE852287:LCF852287 LMA852287:LMB852287 LVW852287:LVX852287 MFS852287:MFT852287 MPO852287:MPP852287 MZK852287:MZL852287 NJG852287:NJH852287 NTC852287:NTD852287 OCY852287:OCZ852287 OMU852287:OMV852287 OWQ852287:OWR852287 PGM852287:PGN852287 PQI852287:PQJ852287 QAE852287:QAF852287 QKA852287:QKB852287 QTW852287:QTX852287 RDS852287:RDT852287 RNO852287:RNP852287 RXK852287:RXL852287 SHG852287:SHH852287 SRC852287:SRD852287 TAY852287:TAZ852287 TKU852287:TKV852287 TUQ852287:TUR852287 UEM852287:UEN852287 UOI852287:UOJ852287 UYE852287:UYF852287 VIA852287:VIB852287 VRW852287:VRX852287 WBS852287:WBT852287 WLO852287:WLP852287 WVK852287:WVL852287 C917823:D917823 IY917823:IZ917823 SU917823:SV917823 ACQ917823:ACR917823 AMM917823:AMN917823 AWI917823:AWJ917823 BGE917823:BGF917823 BQA917823:BQB917823 BZW917823:BZX917823 CJS917823:CJT917823 CTO917823:CTP917823 DDK917823:DDL917823 DNG917823:DNH917823 DXC917823:DXD917823 EGY917823:EGZ917823 EQU917823:EQV917823 FAQ917823:FAR917823 FKM917823:FKN917823 FUI917823:FUJ917823 GEE917823:GEF917823 GOA917823:GOB917823 GXW917823:GXX917823 HHS917823:HHT917823 HRO917823:HRP917823 IBK917823:IBL917823 ILG917823:ILH917823 IVC917823:IVD917823 JEY917823:JEZ917823 JOU917823:JOV917823 JYQ917823:JYR917823 KIM917823:KIN917823 KSI917823:KSJ917823 LCE917823:LCF917823 LMA917823:LMB917823 LVW917823:LVX917823 MFS917823:MFT917823 MPO917823:MPP917823 MZK917823:MZL917823 NJG917823:NJH917823 NTC917823:NTD917823 OCY917823:OCZ917823 OMU917823:OMV917823 OWQ917823:OWR917823 PGM917823:PGN917823 PQI917823:PQJ917823 QAE917823:QAF917823 QKA917823:QKB917823 QTW917823:QTX917823 RDS917823:RDT917823 RNO917823:RNP917823 RXK917823:RXL917823 SHG917823:SHH917823 SRC917823:SRD917823 TAY917823:TAZ917823 TKU917823:TKV917823 TUQ917823:TUR917823 UEM917823:UEN917823 UOI917823:UOJ917823 UYE917823:UYF917823 VIA917823:VIB917823 VRW917823:VRX917823 WBS917823:WBT917823 WLO917823:WLP917823 WVK917823:WVL917823 C983359:D983359 IY983359:IZ983359 SU983359:SV983359 ACQ983359:ACR983359 AMM983359:AMN983359 AWI983359:AWJ983359 BGE983359:BGF983359 BQA983359:BQB983359 BZW983359:BZX983359 CJS983359:CJT983359 CTO983359:CTP983359 DDK983359:DDL983359 DNG983359:DNH983359 DXC983359:DXD983359 EGY983359:EGZ983359 EQU983359:EQV983359 FAQ983359:FAR983359 FKM983359:FKN983359 FUI983359:FUJ983359 GEE983359:GEF983359 GOA983359:GOB983359 GXW983359:GXX983359 HHS983359:HHT983359 HRO983359:HRP983359 IBK983359:IBL983359 ILG983359:ILH983359 IVC983359:IVD983359 JEY983359:JEZ983359 JOU983359:JOV983359 JYQ983359:JYR983359 KIM983359:KIN983359 KSI983359:KSJ983359 LCE983359:LCF983359 LMA983359:LMB983359 LVW983359:LVX983359 MFS983359:MFT983359 MPO983359:MPP983359 MZK983359:MZL983359 NJG983359:NJH983359 NTC983359:NTD983359 OCY983359:OCZ983359 OMU983359:OMV983359 OWQ983359:OWR983359 PGM983359:PGN983359 PQI983359:PQJ983359 QAE983359:QAF983359 QKA983359:QKB983359 QTW983359:QTX983359 RDS983359:RDT983359 RNO983359:RNP983359 RXK983359:RXL983359 SHG983359:SHH983359 SRC983359:SRD983359 TAY983359:TAZ983359 TKU983359:TKV983359 TUQ983359:TUR983359 UEM983359:UEN983359 UOI983359:UOJ983359 UYE983359:UYF983359 VIA983359:VIB983359 VRW983359:VRX983359 WBS983359:WBT983359 WLO983359:WLP983359 WVK983359:WVL983359">
      <formula1>"730, 735, 737, 740, 745, 750"</formula1>
    </dataValidation>
  </dataValidations>
  <pageMargins left="0.7" right="0.7" top="0.75" bottom="0.75" header="0.3" footer="0.3"/>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2"/>
  <sheetViews>
    <sheetView topLeftCell="A910" workbookViewId="0">
      <selection activeCell="M916" sqref="M916"/>
    </sheetView>
  </sheetViews>
  <sheetFormatPr defaultColWidth="8.5703125" defaultRowHeight="15"/>
  <cols>
    <col min="1" max="1" width="5.140625" style="1115" bestFit="1" customWidth="1"/>
    <col min="2" max="2" width="10" style="1115" bestFit="1" customWidth="1"/>
    <col min="3" max="3" width="37.140625" style="1115" customWidth="1"/>
    <col min="4" max="4" width="14.28515625" style="1157" customWidth="1"/>
    <col min="5" max="5" width="9.140625" style="1115" bestFit="1" customWidth="1"/>
    <col min="6" max="6" width="11.140625" style="1115" bestFit="1" customWidth="1"/>
    <col min="7" max="7" width="12.140625" style="1115" customWidth="1"/>
    <col min="8" max="8" width="8.140625" style="1115" hidden="1" customWidth="1"/>
    <col min="9" max="11" width="12.140625" style="1115" hidden="1" customWidth="1"/>
    <col min="12" max="256" width="8.5703125" style="1115"/>
    <col min="257" max="257" width="5.140625" style="1115" bestFit="1" customWidth="1"/>
    <col min="258" max="258" width="10" style="1115" bestFit="1" customWidth="1"/>
    <col min="259" max="259" width="37.140625" style="1115" customWidth="1"/>
    <col min="260" max="260" width="14.28515625" style="1115" customWidth="1"/>
    <col min="261" max="261" width="9.140625" style="1115" bestFit="1" customWidth="1"/>
    <col min="262" max="262" width="11.140625" style="1115" bestFit="1" customWidth="1"/>
    <col min="263" max="263" width="12.140625" style="1115" customWidth="1"/>
    <col min="264" max="267" width="0" style="1115" hidden="1" customWidth="1"/>
    <col min="268" max="512" width="8.5703125" style="1115"/>
    <col min="513" max="513" width="5.140625" style="1115" bestFit="1" customWidth="1"/>
    <col min="514" max="514" width="10" style="1115" bestFit="1" customWidth="1"/>
    <col min="515" max="515" width="37.140625" style="1115" customWidth="1"/>
    <col min="516" max="516" width="14.28515625" style="1115" customWidth="1"/>
    <col min="517" max="517" width="9.140625" style="1115" bestFit="1" customWidth="1"/>
    <col min="518" max="518" width="11.140625" style="1115" bestFit="1" customWidth="1"/>
    <col min="519" max="519" width="12.140625" style="1115" customWidth="1"/>
    <col min="520" max="523" width="0" style="1115" hidden="1" customWidth="1"/>
    <col min="524" max="768" width="8.5703125" style="1115"/>
    <col min="769" max="769" width="5.140625" style="1115" bestFit="1" customWidth="1"/>
    <col min="770" max="770" width="10" style="1115" bestFit="1" customWidth="1"/>
    <col min="771" max="771" width="37.140625" style="1115" customWidth="1"/>
    <col min="772" max="772" width="14.28515625" style="1115" customWidth="1"/>
    <col min="773" max="773" width="9.140625" style="1115" bestFit="1" customWidth="1"/>
    <col min="774" max="774" width="11.140625" style="1115" bestFit="1" customWidth="1"/>
    <col min="775" max="775" width="12.140625" style="1115" customWidth="1"/>
    <col min="776" max="779" width="0" style="1115" hidden="1" customWidth="1"/>
    <col min="780" max="1024" width="8.5703125" style="1115"/>
    <col min="1025" max="1025" width="5.140625" style="1115" bestFit="1" customWidth="1"/>
    <col min="1026" max="1026" width="10" style="1115" bestFit="1" customWidth="1"/>
    <col min="1027" max="1027" width="37.140625" style="1115" customWidth="1"/>
    <col min="1028" max="1028" width="14.28515625" style="1115" customWidth="1"/>
    <col min="1029" max="1029" width="9.140625" style="1115" bestFit="1" customWidth="1"/>
    <col min="1030" max="1030" width="11.140625" style="1115" bestFit="1" customWidth="1"/>
    <col min="1031" max="1031" width="12.140625" style="1115" customWidth="1"/>
    <col min="1032" max="1035" width="0" style="1115" hidden="1" customWidth="1"/>
    <col min="1036" max="1280" width="8.5703125" style="1115"/>
    <col min="1281" max="1281" width="5.140625" style="1115" bestFit="1" customWidth="1"/>
    <col min="1282" max="1282" width="10" style="1115" bestFit="1" customWidth="1"/>
    <col min="1283" max="1283" width="37.140625" style="1115" customWidth="1"/>
    <col min="1284" max="1284" width="14.28515625" style="1115" customWidth="1"/>
    <col min="1285" max="1285" width="9.140625" style="1115" bestFit="1" customWidth="1"/>
    <col min="1286" max="1286" width="11.140625" style="1115" bestFit="1" customWidth="1"/>
    <col min="1287" max="1287" width="12.140625" style="1115" customWidth="1"/>
    <col min="1288" max="1291" width="0" style="1115" hidden="1" customWidth="1"/>
    <col min="1292" max="1536" width="8.5703125" style="1115"/>
    <col min="1537" max="1537" width="5.140625" style="1115" bestFit="1" customWidth="1"/>
    <col min="1538" max="1538" width="10" style="1115" bestFit="1" customWidth="1"/>
    <col min="1539" max="1539" width="37.140625" style="1115" customWidth="1"/>
    <col min="1540" max="1540" width="14.28515625" style="1115" customWidth="1"/>
    <col min="1541" max="1541" width="9.140625" style="1115" bestFit="1" customWidth="1"/>
    <col min="1542" max="1542" width="11.140625" style="1115" bestFit="1" customWidth="1"/>
    <col min="1543" max="1543" width="12.140625" style="1115" customWidth="1"/>
    <col min="1544" max="1547" width="0" style="1115" hidden="1" customWidth="1"/>
    <col min="1548" max="1792" width="8.5703125" style="1115"/>
    <col min="1793" max="1793" width="5.140625" style="1115" bestFit="1" customWidth="1"/>
    <col min="1794" max="1794" width="10" style="1115" bestFit="1" customWidth="1"/>
    <col min="1795" max="1795" width="37.140625" style="1115" customWidth="1"/>
    <col min="1796" max="1796" width="14.28515625" style="1115" customWidth="1"/>
    <col min="1797" max="1797" width="9.140625" style="1115" bestFit="1" customWidth="1"/>
    <col min="1798" max="1798" width="11.140625" style="1115" bestFit="1" customWidth="1"/>
    <col min="1799" max="1799" width="12.140625" style="1115" customWidth="1"/>
    <col min="1800" max="1803" width="0" style="1115" hidden="1" customWidth="1"/>
    <col min="1804" max="2048" width="8.5703125" style="1115"/>
    <col min="2049" max="2049" width="5.140625" style="1115" bestFit="1" customWidth="1"/>
    <col min="2050" max="2050" width="10" style="1115" bestFit="1" customWidth="1"/>
    <col min="2051" max="2051" width="37.140625" style="1115" customWidth="1"/>
    <col min="2052" max="2052" width="14.28515625" style="1115" customWidth="1"/>
    <col min="2053" max="2053" width="9.140625" style="1115" bestFit="1" customWidth="1"/>
    <col min="2054" max="2054" width="11.140625" style="1115" bestFit="1" customWidth="1"/>
    <col min="2055" max="2055" width="12.140625" style="1115" customWidth="1"/>
    <col min="2056" max="2059" width="0" style="1115" hidden="1" customWidth="1"/>
    <col min="2060" max="2304" width="8.5703125" style="1115"/>
    <col min="2305" max="2305" width="5.140625" style="1115" bestFit="1" customWidth="1"/>
    <col min="2306" max="2306" width="10" style="1115" bestFit="1" customWidth="1"/>
    <col min="2307" max="2307" width="37.140625" style="1115" customWidth="1"/>
    <col min="2308" max="2308" width="14.28515625" style="1115" customWidth="1"/>
    <col min="2309" max="2309" width="9.140625" style="1115" bestFit="1" customWidth="1"/>
    <col min="2310" max="2310" width="11.140625" style="1115" bestFit="1" customWidth="1"/>
    <col min="2311" max="2311" width="12.140625" style="1115" customWidth="1"/>
    <col min="2312" max="2315" width="0" style="1115" hidden="1" customWidth="1"/>
    <col min="2316" max="2560" width="8.5703125" style="1115"/>
    <col min="2561" max="2561" width="5.140625" style="1115" bestFit="1" customWidth="1"/>
    <col min="2562" max="2562" width="10" style="1115" bestFit="1" customWidth="1"/>
    <col min="2563" max="2563" width="37.140625" style="1115" customWidth="1"/>
    <col min="2564" max="2564" width="14.28515625" style="1115" customWidth="1"/>
    <col min="2565" max="2565" width="9.140625" style="1115" bestFit="1" customWidth="1"/>
    <col min="2566" max="2566" width="11.140625" style="1115" bestFit="1" customWidth="1"/>
    <col min="2567" max="2567" width="12.140625" style="1115" customWidth="1"/>
    <col min="2568" max="2571" width="0" style="1115" hidden="1" customWidth="1"/>
    <col min="2572" max="2816" width="8.5703125" style="1115"/>
    <col min="2817" max="2817" width="5.140625" style="1115" bestFit="1" customWidth="1"/>
    <col min="2818" max="2818" width="10" style="1115" bestFit="1" customWidth="1"/>
    <col min="2819" max="2819" width="37.140625" style="1115" customWidth="1"/>
    <col min="2820" max="2820" width="14.28515625" style="1115" customWidth="1"/>
    <col min="2821" max="2821" width="9.140625" style="1115" bestFit="1" customWidth="1"/>
    <col min="2822" max="2822" width="11.140625" style="1115" bestFit="1" customWidth="1"/>
    <col min="2823" max="2823" width="12.140625" style="1115" customWidth="1"/>
    <col min="2824" max="2827" width="0" style="1115" hidden="1" customWidth="1"/>
    <col min="2828" max="3072" width="8.5703125" style="1115"/>
    <col min="3073" max="3073" width="5.140625" style="1115" bestFit="1" customWidth="1"/>
    <col min="3074" max="3074" width="10" style="1115" bestFit="1" customWidth="1"/>
    <col min="3075" max="3075" width="37.140625" style="1115" customWidth="1"/>
    <col min="3076" max="3076" width="14.28515625" style="1115" customWidth="1"/>
    <col min="3077" max="3077" width="9.140625" style="1115" bestFit="1" customWidth="1"/>
    <col min="3078" max="3078" width="11.140625" style="1115" bestFit="1" customWidth="1"/>
    <col min="3079" max="3079" width="12.140625" style="1115" customWidth="1"/>
    <col min="3080" max="3083" width="0" style="1115" hidden="1" customWidth="1"/>
    <col min="3084" max="3328" width="8.5703125" style="1115"/>
    <col min="3329" max="3329" width="5.140625" style="1115" bestFit="1" customWidth="1"/>
    <col min="3330" max="3330" width="10" style="1115" bestFit="1" customWidth="1"/>
    <col min="3331" max="3331" width="37.140625" style="1115" customWidth="1"/>
    <col min="3332" max="3332" width="14.28515625" style="1115" customWidth="1"/>
    <col min="3333" max="3333" width="9.140625" style="1115" bestFit="1" customWidth="1"/>
    <col min="3334" max="3334" width="11.140625" style="1115" bestFit="1" customWidth="1"/>
    <col min="3335" max="3335" width="12.140625" style="1115" customWidth="1"/>
    <col min="3336" max="3339" width="0" style="1115" hidden="1" customWidth="1"/>
    <col min="3340" max="3584" width="8.5703125" style="1115"/>
    <col min="3585" max="3585" width="5.140625" style="1115" bestFit="1" customWidth="1"/>
    <col min="3586" max="3586" width="10" style="1115" bestFit="1" customWidth="1"/>
    <col min="3587" max="3587" width="37.140625" style="1115" customWidth="1"/>
    <col min="3588" max="3588" width="14.28515625" style="1115" customWidth="1"/>
    <col min="3589" max="3589" width="9.140625" style="1115" bestFit="1" customWidth="1"/>
    <col min="3590" max="3590" width="11.140625" style="1115" bestFit="1" customWidth="1"/>
    <col min="3591" max="3591" width="12.140625" style="1115" customWidth="1"/>
    <col min="3592" max="3595" width="0" style="1115" hidden="1" customWidth="1"/>
    <col min="3596" max="3840" width="8.5703125" style="1115"/>
    <col min="3841" max="3841" width="5.140625" style="1115" bestFit="1" customWidth="1"/>
    <col min="3842" max="3842" width="10" style="1115" bestFit="1" customWidth="1"/>
    <col min="3843" max="3843" width="37.140625" style="1115" customWidth="1"/>
    <col min="3844" max="3844" width="14.28515625" style="1115" customWidth="1"/>
    <col min="3845" max="3845" width="9.140625" style="1115" bestFit="1" customWidth="1"/>
    <col min="3846" max="3846" width="11.140625" style="1115" bestFit="1" customWidth="1"/>
    <col min="3847" max="3847" width="12.140625" style="1115" customWidth="1"/>
    <col min="3848" max="3851" width="0" style="1115" hidden="1" customWidth="1"/>
    <col min="3852" max="4096" width="8.5703125" style="1115"/>
    <col min="4097" max="4097" width="5.140625" style="1115" bestFit="1" customWidth="1"/>
    <col min="4098" max="4098" width="10" style="1115" bestFit="1" customWidth="1"/>
    <col min="4099" max="4099" width="37.140625" style="1115" customWidth="1"/>
    <col min="4100" max="4100" width="14.28515625" style="1115" customWidth="1"/>
    <col min="4101" max="4101" width="9.140625" style="1115" bestFit="1" customWidth="1"/>
    <col min="4102" max="4102" width="11.140625" style="1115" bestFit="1" customWidth="1"/>
    <col min="4103" max="4103" width="12.140625" style="1115" customWidth="1"/>
    <col min="4104" max="4107" width="0" style="1115" hidden="1" customWidth="1"/>
    <col min="4108" max="4352" width="8.5703125" style="1115"/>
    <col min="4353" max="4353" width="5.140625" style="1115" bestFit="1" customWidth="1"/>
    <col min="4354" max="4354" width="10" style="1115" bestFit="1" customWidth="1"/>
    <col min="4355" max="4355" width="37.140625" style="1115" customWidth="1"/>
    <col min="4356" max="4356" width="14.28515625" style="1115" customWidth="1"/>
    <col min="4357" max="4357" width="9.140625" style="1115" bestFit="1" customWidth="1"/>
    <col min="4358" max="4358" width="11.140625" style="1115" bestFit="1" customWidth="1"/>
    <col min="4359" max="4359" width="12.140625" style="1115" customWidth="1"/>
    <col min="4360" max="4363" width="0" style="1115" hidden="1" customWidth="1"/>
    <col min="4364" max="4608" width="8.5703125" style="1115"/>
    <col min="4609" max="4609" width="5.140625" style="1115" bestFit="1" customWidth="1"/>
    <col min="4610" max="4610" width="10" style="1115" bestFit="1" customWidth="1"/>
    <col min="4611" max="4611" width="37.140625" style="1115" customWidth="1"/>
    <col min="4612" max="4612" width="14.28515625" style="1115" customWidth="1"/>
    <col min="4613" max="4613" width="9.140625" style="1115" bestFit="1" customWidth="1"/>
    <col min="4614" max="4614" width="11.140625" style="1115" bestFit="1" customWidth="1"/>
    <col min="4615" max="4615" width="12.140625" style="1115" customWidth="1"/>
    <col min="4616" max="4619" width="0" style="1115" hidden="1" customWidth="1"/>
    <col min="4620" max="4864" width="8.5703125" style="1115"/>
    <col min="4865" max="4865" width="5.140625" style="1115" bestFit="1" customWidth="1"/>
    <col min="4866" max="4866" width="10" style="1115" bestFit="1" customWidth="1"/>
    <col min="4867" max="4867" width="37.140625" style="1115" customWidth="1"/>
    <col min="4868" max="4868" width="14.28515625" style="1115" customWidth="1"/>
    <col min="4869" max="4869" width="9.140625" style="1115" bestFit="1" customWidth="1"/>
    <col min="4870" max="4870" width="11.140625" style="1115" bestFit="1" customWidth="1"/>
    <col min="4871" max="4871" width="12.140625" style="1115" customWidth="1"/>
    <col min="4872" max="4875" width="0" style="1115" hidden="1" customWidth="1"/>
    <col min="4876" max="5120" width="8.5703125" style="1115"/>
    <col min="5121" max="5121" width="5.140625" style="1115" bestFit="1" customWidth="1"/>
    <col min="5122" max="5122" width="10" style="1115" bestFit="1" customWidth="1"/>
    <col min="5123" max="5123" width="37.140625" style="1115" customWidth="1"/>
    <col min="5124" max="5124" width="14.28515625" style="1115" customWidth="1"/>
    <col min="5125" max="5125" width="9.140625" style="1115" bestFit="1" customWidth="1"/>
    <col min="5126" max="5126" width="11.140625" style="1115" bestFit="1" customWidth="1"/>
    <col min="5127" max="5127" width="12.140625" style="1115" customWidth="1"/>
    <col min="5128" max="5131" width="0" style="1115" hidden="1" customWidth="1"/>
    <col min="5132" max="5376" width="8.5703125" style="1115"/>
    <col min="5377" max="5377" width="5.140625" style="1115" bestFit="1" customWidth="1"/>
    <col min="5378" max="5378" width="10" style="1115" bestFit="1" customWidth="1"/>
    <col min="5379" max="5379" width="37.140625" style="1115" customWidth="1"/>
    <col min="5380" max="5380" width="14.28515625" style="1115" customWidth="1"/>
    <col min="5381" max="5381" width="9.140625" style="1115" bestFit="1" customWidth="1"/>
    <col min="5382" max="5382" width="11.140625" style="1115" bestFit="1" customWidth="1"/>
    <col min="5383" max="5383" width="12.140625" style="1115" customWidth="1"/>
    <col min="5384" max="5387" width="0" style="1115" hidden="1" customWidth="1"/>
    <col min="5388" max="5632" width="8.5703125" style="1115"/>
    <col min="5633" max="5633" width="5.140625" style="1115" bestFit="1" customWidth="1"/>
    <col min="5634" max="5634" width="10" style="1115" bestFit="1" customWidth="1"/>
    <col min="5635" max="5635" width="37.140625" style="1115" customWidth="1"/>
    <col min="5636" max="5636" width="14.28515625" style="1115" customWidth="1"/>
    <col min="5637" max="5637" width="9.140625" style="1115" bestFit="1" customWidth="1"/>
    <col min="5638" max="5638" width="11.140625" style="1115" bestFit="1" customWidth="1"/>
    <col min="5639" max="5639" width="12.140625" style="1115" customWidth="1"/>
    <col min="5640" max="5643" width="0" style="1115" hidden="1" customWidth="1"/>
    <col min="5644" max="5888" width="8.5703125" style="1115"/>
    <col min="5889" max="5889" width="5.140625" style="1115" bestFit="1" customWidth="1"/>
    <col min="5890" max="5890" width="10" style="1115" bestFit="1" customWidth="1"/>
    <col min="5891" max="5891" width="37.140625" style="1115" customWidth="1"/>
    <col min="5892" max="5892" width="14.28515625" style="1115" customWidth="1"/>
    <col min="5893" max="5893" width="9.140625" style="1115" bestFit="1" customWidth="1"/>
    <col min="5894" max="5894" width="11.140625" style="1115" bestFit="1" customWidth="1"/>
    <col min="5895" max="5895" width="12.140625" style="1115" customWidth="1"/>
    <col min="5896" max="5899" width="0" style="1115" hidden="1" customWidth="1"/>
    <col min="5900" max="6144" width="8.5703125" style="1115"/>
    <col min="6145" max="6145" width="5.140625" style="1115" bestFit="1" customWidth="1"/>
    <col min="6146" max="6146" width="10" style="1115" bestFit="1" customWidth="1"/>
    <col min="6147" max="6147" width="37.140625" style="1115" customWidth="1"/>
    <col min="6148" max="6148" width="14.28515625" style="1115" customWidth="1"/>
    <col min="6149" max="6149" width="9.140625" style="1115" bestFit="1" customWidth="1"/>
    <col min="6150" max="6150" width="11.140625" style="1115" bestFit="1" customWidth="1"/>
    <col min="6151" max="6151" width="12.140625" style="1115" customWidth="1"/>
    <col min="6152" max="6155" width="0" style="1115" hidden="1" customWidth="1"/>
    <col min="6156" max="6400" width="8.5703125" style="1115"/>
    <col min="6401" max="6401" width="5.140625" style="1115" bestFit="1" customWidth="1"/>
    <col min="6402" max="6402" width="10" style="1115" bestFit="1" customWidth="1"/>
    <col min="6403" max="6403" width="37.140625" style="1115" customWidth="1"/>
    <col min="6404" max="6404" width="14.28515625" style="1115" customWidth="1"/>
    <col min="6405" max="6405" width="9.140625" style="1115" bestFit="1" customWidth="1"/>
    <col min="6406" max="6406" width="11.140625" style="1115" bestFit="1" customWidth="1"/>
    <col min="6407" max="6407" width="12.140625" style="1115" customWidth="1"/>
    <col min="6408" max="6411" width="0" style="1115" hidden="1" customWidth="1"/>
    <col min="6412" max="6656" width="8.5703125" style="1115"/>
    <col min="6657" max="6657" width="5.140625" style="1115" bestFit="1" customWidth="1"/>
    <col min="6658" max="6658" width="10" style="1115" bestFit="1" customWidth="1"/>
    <col min="6659" max="6659" width="37.140625" style="1115" customWidth="1"/>
    <col min="6660" max="6660" width="14.28515625" style="1115" customWidth="1"/>
    <col min="6661" max="6661" width="9.140625" style="1115" bestFit="1" customWidth="1"/>
    <col min="6662" max="6662" width="11.140625" style="1115" bestFit="1" customWidth="1"/>
    <col min="6663" max="6663" width="12.140625" style="1115" customWidth="1"/>
    <col min="6664" max="6667" width="0" style="1115" hidden="1" customWidth="1"/>
    <col min="6668" max="6912" width="8.5703125" style="1115"/>
    <col min="6913" max="6913" width="5.140625" style="1115" bestFit="1" customWidth="1"/>
    <col min="6914" max="6914" width="10" style="1115" bestFit="1" customWidth="1"/>
    <col min="6915" max="6915" width="37.140625" style="1115" customWidth="1"/>
    <col min="6916" max="6916" width="14.28515625" style="1115" customWidth="1"/>
    <col min="6917" max="6917" width="9.140625" style="1115" bestFit="1" customWidth="1"/>
    <col min="6918" max="6918" width="11.140625" style="1115" bestFit="1" customWidth="1"/>
    <col min="6919" max="6919" width="12.140625" style="1115" customWidth="1"/>
    <col min="6920" max="6923" width="0" style="1115" hidden="1" customWidth="1"/>
    <col min="6924" max="7168" width="8.5703125" style="1115"/>
    <col min="7169" max="7169" width="5.140625" style="1115" bestFit="1" customWidth="1"/>
    <col min="7170" max="7170" width="10" style="1115" bestFit="1" customWidth="1"/>
    <col min="7171" max="7171" width="37.140625" style="1115" customWidth="1"/>
    <col min="7172" max="7172" width="14.28515625" style="1115" customWidth="1"/>
    <col min="7173" max="7173" width="9.140625" style="1115" bestFit="1" customWidth="1"/>
    <col min="7174" max="7174" width="11.140625" style="1115" bestFit="1" customWidth="1"/>
    <col min="7175" max="7175" width="12.140625" style="1115" customWidth="1"/>
    <col min="7176" max="7179" width="0" style="1115" hidden="1" customWidth="1"/>
    <col min="7180" max="7424" width="8.5703125" style="1115"/>
    <col min="7425" max="7425" width="5.140625" style="1115" bestFit="1" customWidth="1"/>
    <col min="7426" max="7426" width="10" style="1115" bestFit="1" customWidth="1"/>
    <col min="7427" max="7427" width="37.140625" style="1115" customWidth="1"/>
    <col min="7428" max="7428" width="14.28515625" style="1115" customWidth="1"/>
    <col min="7429" max="7429" width="9.140625" style="1115" bestFit="1" customWidth="1"/>
    <col min="7430" max="7430" width="11.140625" style="1115" bestFit="1" customWidth="1"/>
    <col min="7431" max="7431" width="12.140625" style="1115" customWidth="1"/>
    <col min="7432" max="7435" width="0" style="1115" hidden="1" customWidth="1"/>
    <col min="7436" max="7680" width="8.5703125" style="1115"/>
    <col min="7681" max="7681" width="5.140625" style="1115" bestFit="1" customWidth="1"/>
    <col min="7682" max="7682" width="10" style="1115" bestFit="1" customWidth="1"/>
    <col min="7683" max="7683" width="37.140625" style="1115" customWidth="1"/>
    <col min="7684" max="7684" width="14.28515625" style="1115" customWidth="1"/>
    <col min="7685" max="7685" width="9.140625" style="1115" bestFit="1" customWidth="1"/>
    <col min="7686" max="7686" width="11.140625" style="1115" bestFit="1" customWidth="1"/>
    <col min="7687" max="7687" width="12.140625" style="1115" customWidth="1"/>
    <col min="7688" max="7691" width="0" style="1115" hidden="1" customWidth="1"/>
    <col min="7692" max="7936" width="8.5703125" style="1115"/>
    <col min="7937" max="7937" width="5.140625" style="1115" bestFit="1" customWidth="1"/>
    <col min="7938" max="7938" width="10" style="1115" bestFit="1" customWidth="1"/>
    <col min="7939" max="7939" width="37.140625" style="1115" customWidth="1"/>
    <col min="7940" max="7940" width="14.28515625" style="1115" customWidth="1"/>
    <col min="7941" max="7941" width="9.140625" style="1115" bestFit="1" customWidth="1"/>
    <col min="7942" max="7942" width="11.140625" style="1115" bestFit="1" customWidth="1"/>
    <col min="7943" max="7943" width="12.140625" style="1115" customWidth="1"/>
    <col min="7944" max="7947" width="0" style="1115" hidden="1" customWidth="1"/>
    <col min="7948" max="8192" width="8.5703125" style="1115"/>
    <col min="8193" max="8193" width="5.140625" style="1115" bestFit="1" customWidth="1"/>
    <col min="8194" max="8194" width="10" style="1115" bestFit="1" customWidth="1"/>
    <col min="8195" max="8195" width="37.140625" style="1115" customWidth="1"/>
    <col min="8196" max="8196" width="14.28515625" style="1115" customWidth="1"/>
    <col min="8197" max="8197" width="9.140625" style="1115" bestFit="1" customWidth="1"/>
    <col min="8198" max="8198" width="11.140625" style="1115" bestFit="1" customWidth="1"/>
    <col min="8199" max="8199" width="12.140625" style="1115" customWidth="1"/>
    <col min="8200" max="8203" width="0" style="1115" hidden="1" customWidth="1"/>
    <col min="8204" max="8448" width="8.5703125" style="1115"/>
    <col min="8449" max="8449" width="5.140625" style="1115" bestFit="1" customWidth="1"/>
    <col min="8450" max="8450" width="10" style="1115" bestFit="1" customWidth="1"/>
    <col min="8451" max="8451" width="37.140625" style="1115" customWidth="1"/>
    <col min="8452" max="8452" width="14.28515625" style="1115" customWidth="1"/>
    <col min="8453" max="8453" width="9.140625" style="1115" bestFit="1" customWidth="1"/>
    <col min="8454" max="8454" width="11.140625" style="1115" bestFit="1" customWidth="1"/>
    <col min="8455" max="8455" width="12.140625" style="1115" customWidth="1"/>
    <col min="8456" max="8459" width="0" style="1115" hidden="1" customWidth="1"/>
    <col min="8460" max="8704" width="8.5703125" style="1115"/>
    <col min="8705" max="8705" width="5.140625" style="1115" bestFit="1" customWidth="1"/>
    <col min="8706" max="8706" width="10" style="1115" bestFit="1" customWidth="1"/>
    <col min="8707" max="8707" width="37.140625" style="1115" customWidth="1"/>
    <col min="8708" max="8708" width="14.28515625" style="1115" customWidth="1"/>
    <col min="8709" max="8709" width="9.140625" style="1115" bestFit="1" customWidth="1"/>
    <col min="8710" max="8710" width="11.140625" style="1115" bestFit="1" customWidth="1"/>
    <col min="8711" max="8711" width="12.140625" style="1115" customWidth="1"/>
    <col min="8712" max="8715" width="0" style="1115" hidden="1" customWidth="1"/>
    <col min="8716" max="8960" width="8.5703125" style="1115"/>
    <col min="8961" max="8961" width="5.140625" style="1115" bestFit="1" customWidth="1"/>
    <col min="8962" max="8962" width="10" style="1115" bestFit="1" customWidth="1"/>
    <col min="8963" max="8963" width="37.140625" style="1115" customWidth="1"/>
    <col min="8964" max="8964" width="14.28515625" style="1115" customWidth="1"/>
    <col min="8965" max="8965" width="9.140625" style="1115" bestFit="1" customWidth="1"/>
    <col min="8966" max="8966" width="11.140625" style="1115" bestFit="1" customWidth="1"/>
    <col min="8967" max="8967" width="12.140625" style="1115" customWidth="1"/>
    <col min="8968" max="8971" width="0" style="1115" hidden="1" customWidth="1"/>
    <col min="8972" max="9216" width="8.5703125" style="1115"/>
    <col min="9217" max="9217" width="5.140625" style="1115" bestFit="1" customWidth="1"/>
    <col min="9218" max="9218" width="10" style="1115" bestFit="1" customWidth="1"/>
    <col min="9219" max="9219" width="37.140625" style="1115" customWidth="1"/>
    <col min="9220" max="9220" width="14.28515625" style="1115" customWidth="1"/>
    <col min="9221" max="9221" width="9.140625" style="1115" bestFit="1" customWidth="1"/>
    <col min="9222" max="9222" width="11.140625" style="1115" bestFit="1" customWidth="1"/>
    <col min="9223" max="9223" width="12.140625" style="1115" customWidth="1"/>
    <col min="9224" max="9227" width="0" style="1115" hidden="1" customWidth="1"/>
    <col min="9228" max="9472" width="8.5703125" style="1115"/>
    <col min="9473" max="9473" width="5.140625" style="1115" bestFit="1" customWidth="1"/>
    <col min="9474" max="9474" width="10" style="1115" bestFit="1" customWidth="1"/>
    <col min="9475" max="9475" width="37.140625" style="1115" customWidth="1"/>
    <col min="9476" max="9476" width="14.28515625" style="1115" customWidth="1"/>
    <col min="9477" max="9477" width="9.140625" style="1115" bestFit="1" customWidth="1"/>
    <col min="9478" max="9478" width="11.140625" style="1115" bestFit="1" customWidth="1"/>
    <col min="9479" max="9479" width="12.140625" style="1115" customWidth="1"/>
    <col min="9480" max="9483" width="0" style="1115" hidden="1" customWidth="1"/>
    <col min="9484" max="9728" width="8.5703125" style="1115"/>
    <col min="9729" max="9729" width="5.140625" style="1115" bestFit="1" customWidth="1"/>
    <col min="9730" max="9730" width="10" style="1115" bestFit="1" customWidth="1"/>
    <col min="9731" max="9731" width="37.140625" style="1115" customWidth="1"/>
    <col min="9732" max="9732" width="14.28515625" style="1115" customWidth="1"/>
    <col min="9733" max="9733" width="9.140625" style="1115" bestFit="1" customWidth="1"/>
    <col min="9734" max="9734" width="11.140625" style="1115" bestFit="1" customWidth="1"/>
    <col min="9735" max="9735" width="12.140625" style="1115" customWidth="1"/>
    <col min="9736" max="9739" width="0" style="1115" hidden="1" customWidth="1"/>
    <col min="9740" max="9984" width="8.5703125" style="1115"/>
    <col min="9985" max="9985" width="5.140625" style="1115" bestFit="1" customWidth="1"/>
    <col min="9986" max="9986" width="10" style="1115" bestFit="1" customWidth="1"/>
    <col min="9987" max="9987" width="37.140625" style="1115" customWidth="1"/>
    <col min="9988" max="9988" width="14.28515625" style="1115" customWidth="1"/>
    <col min="9989" max="9989" width="9.140625" style="1115" bestFit="1" customWidth="1"/>
    <col min="9990" max="9990" width="11.140625" style="1115" bestFit="1" customWidth="1"/>
    <col min="9991" max="9991" width="12.140625" style="1115" customWidth="1"/>
    <col min="9992" max="9995" width="0" style="1115" hidden="1" customWidth="1"/>
    <col min="9996" max="10240" width="8.5703125" style="1115"/>
    <col min="10241" max="10241" width="5.140625" style="1115" bestFit="1" customWidth="1"/>
    <col min="10242" max="10242" width="10" style="1115" bestFit="1" customWidth="1"/>
    <col min="10243" max="10243" width="37.140625" style="1115" customWidth="1"/>
    <col min="10244" max="10244" width="14.28515625" style="1115" customWidth="1"/>
    <col min="10245" max="10245" width="9.140625" style="1115" bestFit="1" customWidth="1"/>
    <col min="10246" max="10246" width="11.140625" style="1115" bestFit="1" customWidth="1"/>
    <col min="10247" max="10247" width="12.140625" style="1115" customWidth="1"/>
    <col min="10248" max="10251" width="0" style="1115" hidden="1" customWidth="1"/>
    <col min="10252" max="10496" width="8.5703125" style="1115"/>
    <col min="10497" max="10497" width="5.140625" style="1115" bestFit="1" customWidth="1"/>
    <col min="10498" max="10498" width="10" style="1115" bestFit="1" customWidth="1"/>
    <col min="10499" max="10499" width="37.140625" style="1115" customWidth="1"/>
    <col min="10500" max="10500" width="14.28515625" style="1115" customWidth="1"/>
    <col min="10501" max="10501" width="9.140625" style="1115" bestFit="1" customWidth="1"/>
    <col min="10502" max="10502" width="11.140625" style="1115" bestFit="1" customWidth="1"/>
    <col min="10503" max="10503" width="12.140625" style="1115" customWidth="1"/>
    <col min="10504" max="10507" width="0" style="1115" hidden="1" customWidth="1"/>
    <col min="10508" max="10752" width="8.5703125" style="1115"/>
    <col min="10753" max="10753" width="5.140625" style="1115" bestFit="1" customWidth="1"/>
    <col min="10754" max="10754" width="10" style="1115" bestFit="1" customWidth="1"/>
    <col min="10755" max="10755" width="37.140625" style="1115" customWidth="1"/>
    <col min="10756" max="10756" width="14.28515625" style="1115" customWidth="1"/>
    <col min="10757" max="10757" width="9.140625" style="1115" bestFit="1" customWidth="1"/>
    <col min="10758" max="10758" width="11.140625" style="1115" bestFit="1" customWidth="1"/>
    <col min="10759" max="10759" width="12.140625" style="1115" customWidth="1"/>
    <col min="10760" max="10763" width="0" style="1115" hidden="1" customWidth="1"/>
    <col min="10764" max="11008" width="8.5703125" style="1115"/>
    <col min="11009" max="11009" width="5.140625" style="1115" bestFit="1" customWidth="1"/>
    <col min="11010" max="11010" width="10" style="1115" bestFit="1" customWidth="1"/>
    <col min="11011" max="11011" width="37.140625" style="1115" customWidth="1"/>
    <col min="11012" max="11012" width="14.28515625" style="1115" customWidth="1"/>
    <col min="11013" max="11013" width="9.140625" style="1115" bestFit="1" customWidth="1"/>
    <col min="11014" max="11014" width="11.140625" style="1115" bestFit="1" customWidth="1"/>
    <col min="11015" max="11015" width="12.140625" style="1115" customWidth="1"/>
    <col min="11016" max="11019" width="0" style="1115" hidden="1" customWidth="1"/>
    <col min="11020" max="11264" width="8.5703125" style="1115"/>
    <col min="11265" max="11265" width="5.140625" style="1115" bestFit="1" customWidth="1"/>
    <col min="11266" max="11266" width="10" style="1115" bestFit="1" customWidth="1"/>
    <col min="11267" max="11267" width="37.140625" style="1115" customWidth="1"/>
    <col min="11268" max="11268" width="14.28515625" style="1115" customWidth="1"/>
    <col min="11269" max="11269" width="9.140625" style="1115" bestFit="1" customWidth="1"/>
    <col min="11270" max="11270" width="11.140625" style="1115" bestFit="1" customWidth="1"/>
    <col min="11271" max="11271" width="12.140625" style="1115" customWidth="1"/>
    <col min="11272" max="11275" width="0" style="1115" hidden="1" customWidth="1"/>
    <col min="11276" max="11520" width="8.5703125" style="1115"/>
    <col min="11521" max="11521" width="5.140625" style="1115" bestFit="1" customWidth="1"/>
    <col min="11522" max="11522" width="10" style="1115" bestFit="1" customWidth="1"/>
    <col min="11523" max="11523" width="37.140625" style="1115" customWidth="1"/>
    <col min="11524" max="11524" width="14.28515625" style="1115" customWidth="1"/>
    <col min="11525" max="11525" width="9.140625" style="1115" bestFit="1" customWidth="1"/>
    <col min="11526" max="11526" width="11.140625" style="1115" bestFit="1" customWidth="1"/>
    <col min="11527" max="11527" width="12.140625" style="1115" customWidth="1"/>
    <col min="11528" max="11531" width="0" style="1115" hidden="1" customWidth="1"/>
    <col min="11532" max="11776" width="8.5703125" style="1115"/>
    <col min="11777" max="11777" width="5.140625" style="1115" bestFit="1" customWidth="1"/>
    <col min="11778" max="11778" width="10" style="1115" bestFit="1" customWidth="1"/>
    <col min="11779" max="11779" width="37.140625" style="1115" customWidth="1"/>
    <col min="11780" max="11780" width="14.28515625" style="1115" customWidth="1"/>
    <col min="11781" max="11781" width="9.140625" style="1115" bestFit="1" customWidth="1"/>
    <col min="11782" max="11782" width="11.140625" style="1115" bestFit="1" customWidth="1"/>
    <col min="11783" max="11783" width="12.140625" style="1115" customWidth="1"/>
    <col min="11784" max="11787" width="0" style="1115" hidden="1" customWidth="1"/>
    <col min="11788" max="12032" width="8.5703125" style="1115"/>
    <col min="12033" max="12033" width="5.140625" style="1115" bestFit="1" customWidth="1"/>
    <col min="12034" max="12034" width="10" style="1115" bestFit="1" customWidth="1"/>
    <col min="12035" max="12035" width="37.140625" style="1115" customWidth="1"/>
    <col min="12036" max="12036" width="14.28515625" style="1115" customWidth="1"/>
    <col min="12037" max="12037" width="9.140625" style="1115" bestFit="1" customWidth="1"/>
    <col min="12038" max="12038" width="11.140625" style="1115" bestFit="1" customWidth="1"/>
    <col min="12039" max="12039" width="12.140625" style="1115" customWidth="1"/>
    <col min="12040" max="12043" width="0" style="1115" hidden="1" customWidth="1"/>
    <col min="12044" max="12288" width="8.5703125" style="1115"/>
    <col min="12289" max="12289" width="5.140625" style="1115" bestFit="1" customWidth="1"/>
    <col min="12290" max="12290" width="10" style="1115" bestFit="1" customWidth="1"/>
    <col min="12291" max="12291" width="37.140625" style="1115" customWidth="1"/>
    <col min="12292" max="12292" width="14.28515625" style="1115" customWidth="1"/>
    <col min="12293" max="12293" width="9.140625" style="1115" bestFit="1" customWidth="1"/>
    <col min="12294" max="12294" width="11.140625" style="1115" bestFit="1" customWidth="1"/>
    <col min="12295" max="12295" width="12.140625" style="1115" customWidth="1"/>
    <col min="12296" max="12299" width="0" style="1115" hidden="1" customWidth="1"/>
    <col min="12300" max="12544" width="8.5703125" style="1115"/>
    <col min="12545" max="12545" width="5.140625" style="1115" bestFit="1" customWidth="1"/>
    <col min="12546" max="12546" width="10" style="1115" bestFit="1" customWidth="1"/>
    <col min="12547" max="12547" width="37.140625" style="1115" customWidth="1"/>
    <col min="12548" max="12548" width="14.28515625" style="1115" customWidth="1"/>
    <col min="12549" max="12549" width="9.140625" style="1115" bestFit="1" customWidth="1"/>
    <col min="12550" max="12550" width="11.140625" style="1115" bestFit="1" customWidth="1"/>
    <col min="12551" max="12551" width="12.140625" style="1115" customWidth="1"/>
    <col min="12552" max="12555" width="0" style="1115" hidden="1" customWidth="1"/>
    <col min="12556" max="12800" width="8.5703125" style="1115"/>
    <col min="12801" max="12801" width="5.140625" style="1115" bestFit="1" customWidth="1"/>
    <col min="12802" max="12802" width="10" style="1115" bestFit="1" customWidth="1"/>
    <col min="12803" max="12803" width="37.140625" style="1115" customWidth="1"/>
    <col min="12804" max="12804" width="14.28515625" style="1115" customWidth="1"/>
    <col min="12805" max="12805" width="9.140625" style="1115" bestFit="1" customWidth="1"/>
    <col min="12806" max="12806" width="11.140625" style="1115" bestFit="1" customWidth="1"/>
    <col min="12807" max="12807" width="12.140625" style="1115" customWidth="1"/>
    <col min="12808" max="12811" width="0" style="1115" hidden="1" customWidth="1"/>
    <col min="12812" max="13056" width="8.5703125" style="1115"/>
    <col min="13057" max="13057" width="5.140625" style="1115" bestFit="1" customWidth="1"/>
    <col min="13058" max="13058" width="10" style="1115" bestFit="1" customWidth="1"/>
    <col min="13059" max="13059" width="37.140625" style="1115" customWidth="1"/>
    <col min="13060" max="13060" width="14.28515625" style="1115" customWidth="1"/>
    <col min="13061" max="13061" width="9.140625" style="1115" bestFit="1" customWidth="1"/>
    <col min="13062" max="13062" width="11.140625" style="1115" bestFit="1" customWidth="1"/>
    <col min="13063" max="13063" width="12.140625" style="1115" customWidth="1"/>
    <col min="13064" max="13067" width="0" style="1115" hidden="1" customWidth="1"/>
    <col min="13068" max="13312" width="8.5703125" style="1115"/>
    <col min="13313" max="13313" width="5.140625" style="1115" bestFit="1" customWidth="1"/>
    <col min="13314" max="13314" width="10" style="1115" bestFit="1" customWidth="1"/>
    <col min="13315" max="13315" width="37.140625" style="1115" customWidth="1"/>
    <col min="13316" max="13316" width="14.28515625" style="1115" customWidth="1"/>
    <col min="13317" max="13317" width="9.140625" style="1115" bestFit="1" customWidth="1"/>
    <col min="13318" max="13318" width="11.140625" style="1115" bestFit="1" customWidth="1"/>
    <col min="13319" max="13319" width="12.140625" style="1115" customWidth="1"/>
    <col min="13320" max="13323" width="0" style="1115" hidden="1" customWidth="1"/>
    <col min="13324" max="13568" width="8.5703125" style="1115"/>
    <col min="13569" max="13569" width="5.140625" style="1115" bestFit="1" customWidth="1"/>
    <col min="13570" max="13570" width="10" style="1115" bestFit="1" customWidth="1"/>
    <col min="13571" max="13571" width="37.140625" style="1115" customWidth="1"/>
    <col min="13572" max="13572" width="14.28515625" style="1115" customWidth="1"/>
    <col min="13573" max="13573" width="9.140625" style="1115" bestFit="1" customWidth="1"/>
    <col min="13574" max="13574" width="11.140625" style="1115" bestFit="1" customWidth="1"/>
    <col min="13575" max="13575" width="12.140625" style="1115" customWidth="1"/>
    <col min="13576" max="13579" width="0" style="1115" hidden="1" customWidth="1"/>
    <col min="13580" max="13824" width="8.5703125" style="1115"/>
    <col min="13825" max="13825" width="5.140625" style="1115" bestFit="1" customWidth="1"/>
    <col min="13826" max="13826" width="10" style="1115" bestFit="1" customWidth="1"/>
    <col min="13827" max="13827" width="37.140625" style="1115" customWidth="1"/>
    <col min="13828" max="13828" width="14.28515625" style="1115" customWidth="1"/>
    <col min="13829" max="13829" width="9.140625" style="1115" bestFit="1" customWidth="1"/>
    <col min="13830" max="13830" width="11.140625" style="1115" bestFit="1" customWidth="1"/>
    <col min="13831" max="13831" width="12.140625" style="1115" customWidth="1"/>
    <col min="13832" max="13835" width="0" style="1115" hidden="1" customWidth="1"/>
    <col min="13836" max="14080" width="8.5703125" style="1115"/>
    <col min="14081" max="14081" width="5.140625" style="1115" bestFit="1" customWidth="1"/>
    <col min="14082" max="14082" width="10" style="1115" bestFit="1" customWidth="1"/>
    <col min="14083" max="14083" width="37.140625" style="1115" customWidth="1"/>
    <col min="14084" max="14084" width="14.28515625" style="1115" customWidth="1"/>
    <col min="14085" max="14085" width="9.140625" style="1115" bestFit="1" customWidth="1"/>
    <col min="14086" max="14086" width="11.140625" style="1115" bestFit="1" customWidth="1"/>
    <col min="14087" max="14087" width="12.140625" style="1115" customWidth="1"/>
    <col min="14088" max="14091" width="0" style="1115" hidden="1" customWidth="1"/>
    <col min="14092" max="14336" width="8.5703125" style="1115"/>
    <col min="14337" max="14337" width="5.140625" style="1115" bestFit="1" customWidth="1"/>
    <col min="14338" max="14338" width="10" style="1115" bestFit="1" customWidth="1"/>
    <col min="14339" max="14339" width="37.140625" style="1115" customWidth="1"/>
    <col min="14340" max="14340" width="14.28515625" style="1115" customWidth="1"/>
    <col min="14341" max="14341" width="9.140625" style="1115" bestFit="1" customWidth="1"/>
    <col min="14342" max="14342" width="11.140625" style="1115" bestFit="1" customWidth="1"/>
    <col min="14343" max="14343" width="12.140625" style="1115" customWidth="1"/>
    <col min="14344" max="14347" width="0" style="1115" hidden="1" customWidth="1"/>
    <col min="14348" max="14592" width="8.5703125" style="1115"/>
    <col min="14593" max="14593" width="5.140625" style="1115" bestFit="1" customWidth="1"/>
    <col min="14594" max="14594" width="10" style="1115" bestFit="1" customWidth="1"/>
    <col min="14595" max="14595" width="37.140625" style="1115" customWidth="1"/>
    <col min="14596" max="14596" width="14.28515625" style="1115" customWidth="1"/>
    <col min="14597" max="14597" width="9.140625" style="1115" bestFit="1" customWidth="1"/>
    <col min="14598" max="14598" width="11.140625" style="1115" bestFit="1" customWidth="1"/>
    <col min="14599" max="14599" width="12.140625" style="1115" customWidth="1"/>
    <col min="14600" max="14603" width="0" style="1115" hidden="1" customWidth="1"/>
    <col min="14604" max="14848" width="8.5703125" style="1115"/>
    <col min="14849" max="14849" width="5.140625" style="1115" bestFit="1" customWidth="1"/>
    <col min="14850" max="14850" width="10" style="1115" bestFit="1" customWidth="1"/>
    <col min="14851" max="14851" width="37.140625" style="1115" customWidth="1"/>
    <col min="14852" max="14852" width="14.28515625" style="1115" customWidth="1"/>
    <col min="14853" max="14853" width="9.140625" style="1115" bestFit="1" customWidth="1"/>
    <col min="14854" max="14854" width="11.140625" style="1115" bestFit="1" customWidth="1"/>
    <col min="14855" max="14855" width="12.140625" style="1115" customWidth="1"/>
    <col min="14856" max="14859" width="0" style="1115" hidden="1" customWidth="1"/>
    <col min="14860" max="15104" width="8.5703125" style="1115"/>
    <col min="15105" max="15105" width="5.140625" style="1115" bestFit="1" customWidth="1"/>
    <col min="15106" max="15106" width="10" style="1115" bestFit="1" customWidth="1"/>
    <col min="15107" max="15107" width="37.140625" style="1115" customWidth="1"/>
    <col min="15108" max="15108" width="14.28515625" style="1115" customWidth="1"/>
    <col min="15109" max="15109" width="9.140625" style="1115" bestFit="1" customWidth="1"/>
    <col min="15110" max="15110" width="11.140625" style="1115" bestFit="1" customWidth="1"/>
    <col min="15111" max="15111" width="12.140625" style="1115" customWidth="1"/>
    <col min="15112" max="15115" width="0" style="1115" hidden="1" customWidth="1"/>
    <col min="15116" max="15360" width="8.5703125" style="1115"/>
    <col min="15361" max="15361" width="5.140625" style="1115" bestFit="1" customWidth="1"/>
    <col min="15362" max="15362" width="10" style="1115" bestFit="1" customWidth="1"/>
    <col min="15363" max="15363" width="37.140625" style="1115" customWidth="1"/>
    <col min="15364" max="15364" width="14.28515625" style="1115" customWidth="1"/>
    <col min="15365" max="15365" width="9.140625" style="1115" bestFit="1" customWidth="1"/>
    <col min="15366" max="15366" width="11.140625" style="1115" bestFit="1" customWidth="1"/>
    <col min="15367" max="15367" width="12.140625" style="1115" customWidth="1"/>
    <col min="15368" max="15371" width="0" style="1115" hidden="1" customWidth="1"/>
    <col min="15372" max="15616" width="8.5703125" style="1115"/>
    <col min="15617" max="15617" width="5.140625" style="1115" bestFit="1" customWidth="1"/>
    <col min="15618" max="15618" width="10" style="1115" bestFit="1" customWidth="1"/>
    <col min="15619" max="15619" width="37.140625" style="1115" customWidth="1"/>
    <col min="15620" max="15620" width="14.28515625" style="1115" customWidth="1"/>
    <col min="15621" max="15621" width="9.140625" style="1115" bestFit="1" customWidth="1"/>
    <col min="15622" max="15622" width="11.140625" style="1115" bestFit="1" customWidth="1"/>
    <col min="15623" max="15623" width="12.140625" style="1115" customWidth="1"/>
    <col min="15624" max="15627" width="0" style="1115" hidden="1" customWidth="1"/>
    <col min="15628" max="15872" width="8.5703125" style="1115"/>
    <col min="15873" max="15873" width="5.140625" style="1115" bestFit="1" customWidth="1"/>
    <col min="15874" max="15874" width="10" style="1115" bestFit="1" customWidth="1"/>
    <col min="15875" max="15875" width="37.140625" style="1115" customWidth="1"/>
    <col min="15876" max="15876" width="14.28515625" style="1115" customWidth="1"/>
    <col min="15877" max="15877" width="9.140625" style="1115" bestFit="1" customWidth="1"/>
    <col min="15878" max="15878" width="11.140625" style="1115" bestFit="1" customWidth="1"/>
    <col min="15879" max="15879" width="12.140625" style="1115" customWidth="1"/>
    <col min="15880" max="15883" width="0" style="1115" hidden="1" customWidth="1"/>
    <col min="15884" max="16128" width="8.5703125" style="1115"/>
    <col min="16129" max="16129" width="5.140625" style="1115" bestFit="1" customWidth="1"/>
    <col min="16130" max="16130" width="10" style="1115" bestFit="1" customWidth="1"/>
    <col min="16131" max="16131" width="37.140625" style="1115" customWidth="1"/>
    <col min="16132" max="16132" width="14.28515625" style="1115" customWidth="1"/>
    <col min="16133" max="16133" width="9.140625" style="1115" bestFit="1" customWidth="1"/>
    <col min="16134" max="16134" width="11.140625" style="1115" bestFit="1" customWidth="1"/>
    <col min="16135" max="16135" width="12.140625" style="1115" customWidth="1"/>
    <col min="16136" max="16139" width="0" style="1115" hidden="1" customWidth="1"/>
    <col min="16140" max="16384" width="8.5703125" style="1115"/>
  </cols>
  <sheetData>
    <row r="1" spans="1:11" ht="19.5">
      <c r="A1" s="1426" t="s">
        <v>9098</v>
      </c>
      <c r="B1" s="1162"/>
      <c r="C1" s="1162"/>
      <c r="D1" s="1162"/>
      <c r="E1" s="1162"/>
      <c r="F1" s="1162"/>
      <c r="G1" s="1162"/>
      <c r="H1" s="1162"/>
      <c r="I1" s="1162"/>
      <c r="J1" s="1162"/>
      <c r="K1" s="1162"/>
    </row>
    <row r="2" spans="1:11" ht="13.9" customHeight="1">
      <c r="A2" s="1427" t="s">
        <v>9099</v>
      </c>
      <c r="B2" s="1163"/>
      <c r="C2" s="1163"/>
      <c r="D2" s="1163"/>
      <c r="E2" s="1163"/>
      <c r="F2" s="1163"/>
      <c r="G2" s="1163"/>
      <c r="H2" s="1163"/>
      <c r="I2" s="1163"/>
      <c r="J2" s="1163"/>
      <c r="K2" s="1163"/>
    </row>
    <row r="3" spans="1:11" ht="13.9" customHeight="1">
      <c r="A3" s="1116" t="s">
        <v>9100</v>
      </c>
      <c r="B3" s="1116"/>
      <c r="C3" s="1116"/>
      <c r="D3" s="1116"/>
      <c r="E3" s="1116"/>
      <c r="F3" s="1116"/>
      <c r="G3" s="1116"/>
      <c r="H3" s="1116"/>
      <c r="I3" s="1116"/>
      <c r="J3" s="1116"/>
      <c r="K3" s="1116"/>
    </row>
    <row r="4" spans="1:11">
      <c r="A4" s="1116"/>
      <c r="B4" s="1115">
        <v>1</v>
      </c>
      <c r="C4" s="1115">
        <v>2</v>
      </c>
      <c r="D4" s="1115">
        <v>3</v>
      </c>
      <c r="E4" s="1115">
        <v>4</v>
      </c>
      <c r="F4" s="1115">
        <v>5</v>
      </c>
      <c r="G4" s="1115">
        <v>6</v>
      </c>
    </row>
    <row r="5" spans="1:11" ht="13.9" customHeight="1">
      <c r="A5" s="1117" t="s">
        <v>0</v>
      </c>
      <c r="B5" s="1117" t="s">
        <v>9101</v>
      </c>
      <c r="C5" s="1117" t="s">
        <v>9102</v>
      </c>
      <c r="D5" s="1117" t="s">
        <v>101</v>
      </c>
      <c r="E5" s="1166" t="s">
        <v>9103</v>
      </c>
      <c r="F5" s="1164"/>
      <c r="G5" s="1165"/>
      <c r="H5" s="1166" t="s">
        <v>9104</v>
      </c>
      <c r="I5" s="1164"/>
      <c r="J5" s="1165"/>
      <c r="K5" s="1167" t="s">
        <v>9105</v>
      </c>
    </row>
    <row r="6" spans="1:11">
      <c r="A6" s="1118"/>
      <c r="B6" s="1118"/>
      <c r="C6" s="1118"/>
      <c r="D6" s="1118"/>
      <c r="E6" s="1119" t="s">
        <v>11</v>
      </c>
      <c r="F6" s="1119" t="s">
        <v>12</v>
      </c>
      <c r="G6" s="1119" t="s">
        <v>93</v>
      </c>
      <c r="H6" s="1119" t="s">
        <v>108</v>
      </c>
      <c r="I6" s="1119" t="s">
        <v>276</v>
      </c>
      <c r="J6" s="1119" t="s">
        <v>9106</v>
      </c>
      <c r="K6" s="1168"/>
    </row>
    <row r="7" spans="1:11" ht="30">
      <c r="A7" s="1120">
        <v>1</v>
      </c>
      <c r="B7" s="1121" t="s">
        <v>9107</v>
      </c>
      <c r="C7" s="1122" t="s">
        <v>9108</v>
      </c>
      <c r="D7" s="1123" t="s">
        <v>9109</v>
      </c>
      <c r="E7" s="1124">
        <v>3200</v>
      </c>
      <c r="F7" s="1124">
        <v>327967.2</v>
      </c>
      <c r="G7" s="1124">
        <v>0</v>
      </c>
      <c r="H7" s="1124" t="e">
        <v>#REF!</v>
      </c>
      <c r="I7" s="1124" t="e">
        <v>#REF!</v>
      </c>
      <c r="J7" s="1124" t="e">
        <v>#REF!</v>
      </c>
      <c r="K7" s="1124" t="e">
        <v>#REF!</v>
      </c>
    </row>
    <row r="8" spans="1:11" ht="30">
      <c r="A8" s="1120">
        <v>2</v>
      </c>
      <c r="B8" s="1121" t="s">
        <v>9110</v>
      </c>
      <c r="C8" s="1122" t="s">
        <v>9111</v>
      </c>
      <c r="D8" s="1123" t="s">
        <v>9109</v>
      </c>
      <c r="E8" s="1124">
        <v>2400</v>
      </c>
      <c r="F8" s="1124">
        <v>245308.79999999999</v>
      </c>
      <c r="G8" s="1124">
        <v>0</v>
      </c>
      <c r="H8" s="1124" t="e">
        <v>#REF!</v>
      </c>
      <c r="I8" s="1124" t="e">
        <v>#REF!</v>
      </c>
      <c r="J8" s="1124" t="e">
        <v>#REF!</v>
      </c>
      <c r="K8" s="1124" t="e">
        <v>#REF!</v>
      </c>
    </row>
    <row r="9" spans="1:11" ht="30">
      <c r="A9" s="1120">
        <v>3</v>
      </c>
      <c r="B9" s="1121" t="s">
        <v>9112</v>
      </c>
      <c r="C9" s="1122" t="s">
        <v>9113</v>
      </c>
      <c r="D9" s="1123" t="s">
        <v>9109</v>
      </c>
      <c r="E9" s="1124">
        <v>2000</v>
      </c>
      <c r="F9" s="1124">
        <v>215978.4</v>
      </c>
      <c r="G9" s="1124">
        <v>0</v>
      </c>
      <c r="H9" s="1124" t="e">
        <v>#REF!</v>
      </c>
      <c r="I9" s="1124" t="e">
        <v>#REF!</v>
      </c>
      <c r="J9" s="1124" t="e">
        <v>#REF!</v>
      </c>
      <c r="K9" s="1124" t="e">
        <v>#REF!</v>
      </c>
    </row>
    <row r="10" spans="1:11" ht="30">
      <c r="A10" s="1120">
        <v>4</v>
      </c>
      <c r="B10" s="1121" t="s">
        <v>9114</v>
      </c>
      <c r="C10" s="1122" t="s">
        <v>9115</v>
      </c>
      <c r="D10" s="1123" t="s">
        <v>139</v>
      </c>
      <c r="E10" s="1124">
        <v>0</v>
      </c>
      <c r="F10" s="1124">
        <v>197313.6</v>
      </c>
      <c r="G10" s="1124">
        <v>0</v>
      </c>
      <c r="H10" s="1124" t="e">
        <v>#REF!</v>
      </c>
      <c r="I10" s="1124" t="e">
        <v>#REF!</v>
      </c>
      <c r="J10" s="1124" t="e">
        <v>#REF!</v>
      </c>
      <c r="K10" s="1124" t="e">
        <v>#REF!</v>
      </c>
    </row>
    <row r="11" spans="1:11">
      <c r="A11" s="1120">
        <v>5</v>
      </c>
      <c r="B11" s="1121" t="s">
        <v>9116</v>
      </c>
      <c r="C11" s="1122" t="s">
        <v>9117</v>
      </c>
      <c r="D11" s="1123" t="s">
        <v>1828</v>
      </c>
      <c r="E11" s="1124">
        <v>3315</v>
      </c>
      <c r="F11" s="1124">
        <v>104200.2</v>
      </c>
      <c r="G11" s="1124">
        <v>21411.200000000001</v>
      </c>
      <c r="H11" s="1124" t="e">
        <v>#REF!</v>
      </c>
      <c r="I11" s="1124" t="e">
        <v>#REF!</v>
      </c>
      <c r="J11" s="1124" t="e">
        <v>#REF!</v>
      </c>
      <c r="K11" s="1124" t="e">
        <v>#REF!</v>
      </c>
    </row>
    <row r="12" spans="1:11" ht="30">
      <c r="A12" s="1120">
        <v>6</v>
      </c>
      <c r="B12" s="1121" t="s">
        <v>9118</v>
      </c>
      <c r="C12" s="1122" t="s">
        <v>9119</v>
      </c>
      <c r="D12" s="1123" t="s">
        <v>310</v>
      </c>
      <c r="E12" s="1124">
        <v>20352.7</v>
      </c>
      <c r="F12" s="1124">
        <v>53328</v>
      </c>
      <c r="G12" s="1124">
        <v>0</v>
      </c>
      <c r="H12" s="1124" t="e">
        <v>#REF!</v>
      </c>
      <c r="I12" s="1124" t="e">
        <v>#REF!</v>
      </c>
      <c r="J12" s="1124" t="e">
        <v>#REF!</v>
      </c>
      <c r="K12" s="1124" t="e">
        <v>#REF!</v>
      </c>
    </row>
    <row r="13" spans="1:11" ht="30">
      <c r="A13" s="1120">
        <v>7</v>
      </c>
      <c r="B13" s="1121" t="s">
        <v>9120</v>
      </c>
      <c r="C13" s="1122" t="s">
        <v>9121</v>
      </c>
      <c r="D13" s="1123" t="s">
        <v>310</v>
      </c>
      <c r="E13" s="1124">
        <v>19008.7</v>
      </c>
      <c r="F13" s="1124">
        <v>45328.800000000003</v>
      </c>
      <c r="G13" s="1124">
        <v>0</v>
      </c>
      <c r="H13" s="1124" t="e">
        <v>#REF!</v>
      </c>
      <c r="I13" s="1124" t="e">
        <v>#REF!</v>
      </c>
      <c r="J13" s="1124" t="e">
        <v>#REF!</v>
      </c>
      <c r="K13" s="1124" t="e">
        <v>#REF!</v>
      </c>
    </row>
    <row r="14" spans="1:11" ht="30">
      <c r="A14" s="1120">
        <v>8</v>
      </c>
      <c r="B14" s="1121" t="s">
        <v>9122</v>
      </c>
      <c r="C14" s="1122" t="s">
        <v>9123</v>
      </c>
      <c r="D14" s="1123" t="s">
        <v>310</v>
      </c>
      <c r="E14" s="1124">
        <v>20352.7</v>
      </c>
      <c r="F14" s="1124">
        <v>58660.800000000003</v>
      </c>
      <c r="G14" s="1124">
        <v>0</v>
      </c>
      <c r="H14" s="1124" t="e">
        <v>#REF!</v>
      </c>
      <c r="I14" s="1124" t="e">
        <v>#REF!</v>
      </c>
      <c r="J14" s="1124" t="e">
        <v>#REF!</v>
      </c>
      <c r="K14" s="1124" t="e">
        <v>#REF!</v>
      </c>
    </row>
    <row r="15" spans="1:11" ht="30">
      <c r="A15" s="1120">
        <v>9</v>
      </c>
      <c r="B15" s="1121" t="s">
        <v>9124</v>
      </c>
      <c r="C15" s="1122" t="s">
        <v>9125</v>
      </c>
      <c r="D15" s="1123" t="s">
        <v>310</v>
      </c>
      <c r="E15" s="1124">
        <v>19008.7</v>
      </c>
      <c r="F15" s="1124">
        <v>53328</v>
      </c>
      <c r="G15" s="1124">
        <v>0</v>
      </c>
      <c r="H15" s="1124" t="e">
        <v>#REF!</v>
      </c>
      <c r="I15" s="1124" t="e">
        <v>#REF!</v>
      </c>
      <c r="J15" s="1124" t="e">
        <v>#REF!</v>
      </c>
      <c r="K15" s="1124" t="e">
        <v>#REF!</v>
      </c>
    </row>
    <row r="16" spans="1:11" s="1130" customFormat="1" ht="30">
      <c r="A16" s="1125">
        <v>10</v>
      </c>
      <c r="B16" s="1126" t="s">
        <v>9126</v>
      </c>
      <c r="C16" s="1127" t="s">
        <v>9127</v>
      </c>
      <c r="D16" s="1128" t="s">
        <v>310</v>
      </c>
      <c r="E16" s="1129">
        <v>15120</v>
      </c>
      <c r="F16" s="1129">
        <v>125320.8</v>
      </c>
      <c r="G16" s="1129">
        <v>0</v>
      </c>
      <c r="H16" s="1129" t="e">
        <v>#REF!</v>
      </c>
      <c r="I16" s="1129" t="e">
        <v>#REF!</v>
      </c>
      <c r="J16" s="1129" t="e">
        <v>#REF!</v>
      </c>
      <c r="K16" s="1129" t="e">
        <v>#REF!</v>
      </c>
    </row>
    <row r="17" spans="1:11" s="1136" customFormat="1" ht="30">
      <c r="A17" s="1131">
        <v>11</v>
      </c>
      <c r="B17" s="1132" t="s">
        <v>9128</v>
      </c>
      <c r="C17" s="1133" t="s">
        <v>9129</v>
      </c>
      <c r="D17" s="1134" t="s">
        <v>310</v>
      </c>
      <c r="E17" s="1135">
        <v>18480</v>
      </c>
      <c r="F17" s="1135">
        <v>154651.20000000001</v>
      </c>
      <c r="G17" s="1135">
        <v>0</v>
      </c>
      <c r="H17" s="1135" t="e">
        <v>#REF!</v>
      </c>
      <c r="I17" s="1135" t="e">
        <v>#REF!</v>
      </c>
      <c r="J17" s="1135" t="e">
        <v>#REF!</v>
      </c>
      <c r="K17" s="1135" t="e">
        <v>#REF!</v>
      </c>
    </row>
    <row r="18" spans="1:11" s="1136" customFormat="1" ht="30">
      <c r="A18" s="1131">
        <v>12</v>
      </c>
      <c r="B18" s="1132" t="s">
        <v>9130</v>
      </c>
      <c r="C18" s="1133" t="s">
        <v>9131</v>
      </c>
      <c r="D18" s="1134" t="s">
        <v>310</v>
      </c>
      <c r="E18" s="1135">
        <v>21000</v>
      </c>
      <c r="F18" s="1135">
        <v>207979.2</v>
      </c>
      <c r="G18" s="1135">
        <v>0</v>
      </c>
      <c r="H18" s="1135" t="e">
        <v>#REF!</v>
      </c>
      <c r="I18" s="1135" t="e">
        <v>#REF!</v>
      </c>
      <c r="J18" s="1135" t="e">
        <v>#REF!</v>
      </c>
      <c r="K18" s="1135" t="e">
        <v>#REF!</v>
      </c>
    </row>
    <row r="19" spans="1:11" s="1136" customFormat="1" ht="30">
      <c r="A19" s="1131">
        <v>13</v>
      </c>
      <c r="B19" s="1132" t="s">
        <v>9132</v>
      </c>
      <c r="C19" s="1133" t="s">
        <v>9133</v>
      </c>
      <c r="D19" s="1134" t="s">
        <v>310</v>
      </c>
      <c r="E19" s="1135">
        <v>20400</v>
      </c>
      <c r="F19" s="1135">
        <v>23997.599999999999</v>
      </c>
      <c r="G19" s="1135">
        <v>0</v>
      </c>
      <c r="H19" s="1135" t="e">
        <v>#REF!</v>
      </c>
      <c r="I19" s="1135" t="e">
        <v>#REF!</v>
      </c>
      <c r="J19" s="1135" t="e">
        <v>#REF!</v>
      </c>
      <c r="K19" s="1135" t="e">
        <v>#REF!</v>
      </c>
    </row>
    <row r="20" spans="1:11" s="1136" customFormat="1" ht="30">
      <c r="A20" s="1131">
        <v>14</v>
      </c>
      <c r="B20" s="1132" t="s">
        <v>9134</v>
      </c>
      <c r="C20" s="1133" t="s">
        <v>9135</v>
      </c>
      <c r="D20" s="1134" t="s">
        <v>310</v>
      </c>
      <c r="E20" s="1135">
        <v>27744</v>
      </c>
      <c r="F20" s="1135">
        <v>34663.199999999997</v>
      </c>
      <c r="G20" s="1135">
        <v>0</v>
      </c>
      <c r="H20" s="1135" t="e">
        <v>#REF!</v>
      </c>
      <c r="I20" s="1135" t="e">
        <v>#REF!</v>
      </c>
      <c r="J20" s="1135" t="e">
        <v>#REF!</v>
      </c>
      <c r="K20" s="1135" t="e">
        <v>#REF!</v>
      </c>
    </row>
    <row r="21" spans="1:11" s="1136" customFormat="1" ht="30">
      <c r="A21" s="1131">
        <v>15</v>
      </c>
      <c r="B21" s="1132" t="s">
        <v>9136</v>
      </c>
      <c r="C21" s="1133" t="s">
        <v>9137</v>
      </c>
      <c r="D21" s="1134" t="s">
        <v>9138</v>
      </c>
      <c r="E21" s="1135">
        <v>15300</v>
      </c>
      <c r="F21" s="1135">
        <v>346632</v>
      </c>
      <c r="G21" s="1135">
        <v>0</v>
      </c>
      <c r="H21" s="1135" t="e">
        <v>#REF!</v>
      </c>
      <c r="I21" s="1135" t="e">
        <v>#REF!</v>
      </c>
      <c r="J21" s="1135" t="e">
        <v>#REF!</v>
      </c>
      <c r="K21" s="1135" t="e">
        <v>#REF!</v>
      </c>
    </row>
    <row r="22" spans="1:11" s="1136" customFormat="1" ht="30">
      <c r="A22" s="1131">
        <v>16</v>
      </c>
      <c r="B22" s="1132" t="s">
        <v>9139</v>
      </c>
      <c r="C22" s="1133" t="s">
        <v>9140</v>
      </c>
      <c r="D22" s="1134" t="s">
        <v>9138</v>
      </c>
      <c r="E22" s="1135">
        <v>18390</v>
      </c>
      <c r="F22" s="1135">
        <v>471952.8</v>
      </c>
      <c r="G22" s="1135">
        <v>0</v>
      </c>
      <c r="H22" s="1135" t="e">
        <v>#REF!</v>
      </c>
      <c r="I22" s="1135" t="e">
        <v>#REF!</v>
      </c>
      <c r="J22" s="1135" t="e">
        <v>#REF!</v>
      </c>
      <c r="K22" s="1135" t="e">
        <v>#REF!</v>
      </c>
    </row>
    <row r="23" spans="1:11" s="1136" customFormat="1" ht="30">
      <c r="A23" s="1131">
        <v>17</v>
      </c>
      <c r="B23" s="1132" t="s">
        <v>9141</v>
      </c>
      <c r="C23" s="1133" t="s">
        <v>9142</v>
      </c>
      <c r="D23" s="1134" t="s">
        <v>9138</v>
      </c>
      <c r="E23" s="1135">
        <v>21450</v>
      </c>
      <c r="F23" s="1135">
        <v>602606.4</v>
      </c>
      <c r="G23" s="1135">
        <v>0</v>
      </c>
      <c r="H23" s="1135" t="e">
        <v>#REF!</v>
      </c>
      <c r="I23" s="1135" t="e">
        <v>#REF!</v>
      </c>
      <c r="J23" s="1135" t="e">
        <v>#REF!</v>
      </c>
      <c r="K23" s="1135" t="e">
        <v>#REF!</v>
      </c>
    </row>
    <row r="24" spans="1:11" s="1136" customFormat="1" ht="30">
      <c r="A24" s="1131">
        <v>18</v>
      </c>
      <c r="B24" s="1132" t="s">
        <v>9143</v>
      </c>
      <c r="C24" s="1133" t="s">
        <v>9144</v>
      </c>
      <c r="D24" s="1134" t="s">
        <v>9138</v>
      </c>
      <c r="E24" s="1135">
        <v>15300</v>
      </c>
      <c r="F24" s="1135">
        <v>650601.6</v>
      </c>
      <c r="G24" s="1135">
        <v>0</v>
      </c>
      <c r="H24" s="1135" t="e">
        <v>#REF!</v>
      </c>
      <c r="I24" s="1135" t="e">
        <v>#REF!</v>
      </c>
      <c r="J24" s="1135" t="e">
        <v>#REF!</v>
      </c>
      <c r="K24" s="1135" t="e">
        <v>#REF!</v>
      </c>
    </row>
    <row r="25" spans="1:11" s="1136" customFormat="1" ht="30">
      <c r="A25" s="1131">
        <v>19</v>
      </c>
      <c r="B25" s="1132" t="s">
        <v>9145</v>
      </c>
      <c r="C25" s="1133" t="s">
        <v>9146</v>
      </c>
      <c r="D25" s="1134" t="s">
        <v>9138</v>
      </c>
      <c r="E25" s="1135">
        <v>18390</v>
      </c>
      <c r="F25" s="1135">
        <v>890577.6</v>
      </c>
      <c r="G25" s="1135">
        <v>0</v>
      </c>
      <c r="H25" s="1135" t="e">
        <v>#REF!</v>
      </c>
      <c r="I25" s="1135" t="e">
        <v>#REF!</v>
      </c>
      <c r="J25" s="1135" t="e">
        <v>#REF!</v>
      </c>
      <c r="K25" s="1135" t="e">
        <v>#REF!</v>
      </c>
    </row>
    <row r="26" spans="1:11" s="1136" customFormat="1" ht="30">
      <c r="A26" s="1131">
        <v>20</v>
      </c>
      <c r="B26" s="1132" t="s">
        <v>9147</v>
      </c>
      <c r="C26" s="1133" t="s">
        <v>9148</v>
      </c>
      <c r="D26" s="1134" t="s">
        <v>9138</v>
      </c>
      <c r="E26" s="1135">
        <v>21450</v>
      </c>
      <c r="F26" s="1135">
        <v>1135886.3999999999</v>
      </c>
      <c r="G26" s="1135">
        <v>0</v>
      </c>
      <c r="H26" s="1135" t="e">
        <v>#REF!</v>
      </c>
      <c r="I26" s="1135" t="e">
        <v>#REF!</v>
      </c>
      <c r="J26" s="1135" t="e">
        <v>#REF!</v>
      </c>
      <c r="K26" s="1135" t="e">
        <v>#REF!</v>
      </c>
    </row>
    <row r="27" spans="1:11" s="1136" customFormat="1" ht="30">
      <c r="A27" s="1131">
        <v>21</v>
      </c>
      <c r="B27" s="1132" t="s">
        <v>9149</v>
      </c>
      <c r="C27" s="1133" t="s">
        <v>9150</v>
      </c>
      <c r="D27" s="1134" t="s">
        <v>9138</v>
      </c>
      <c r="E27" s="1135">
        <v>15300</v>
      </c>
      <c r="F27" s="1135">
        <v>346632</v>
      </c>
      <c r="G27" s="1135">
        <v>0</v>
      </c>
      <c r="H27" s="1135" t="e">
        <v>#REF!</v>
      </c>
      <c r="I27" s="1135" t="e">
        <v>#REF!</v>
      </c>
      <c r="J27" s="1135" t="e">
        <v>#REF!</v>
      </c>
      <c r="K27" s="1135" t="e">
        <v>#REF!</v>
      </c>
    </row>
    <row r="28" spans="1:11" s="1136" customFormat="1" ht="30">
      <c r="A28" s="1131">
        <v>22</v>
      </c>
      <c r="B28" s="1132" t="s">
        <v>9151</v>
      </c>
      <c r="C28" s="1133" t="s">
        <v>9152</v>
      </c>
      <c r="D28" s="1134" t="s">
        <v>9138</v>
      </c>
      <c r="E28" s="1135">
        <v>18390</v>
      </c>
      <c r="F28" s="1135">
        <v>471952.8</v>
      </c>
      <c r="G28" s="1135">
        <v>0</v>
      </c>
      <c r="H28" s="1135" t="e">
        <v>#REF!</v>
      </c>
      <c r="I28" s="1135" t="e">
        <v>#REF!</v>
      </c>
      <c r="J28" s="1135" t="e">
        <v>#REF!</v>
      </c>
      <c r="K28" s="1135" t="e">
        <v>#REF!</v>
      </c>
    </row>
    <row r="29" spans="1:11" s="1136" customFormat="1" ht="30">
      <c r="A29" s="1131">
        <v>23</v>
      </c>
      <c r="B29" s="1132" t="s">
        <v>9153</v>
      </c>
      <c r="C29" s="1133" t="s">
        <v>9154</v>
      </c>
      <c r="D29" s="1134" t="s">
        <v>9138</v>
      </c>
      <c r="E29" s="1135">
        <v>21450</v>
      </c>
      <c r="F29" s="1135">
        <v>602606.4</v>
      </c>
      <c r="G29" s="1135">
        <v>0</v>
      </c>
      <c r="H29" s="1135" t="e">
        <v>#REF!</v>
      </c>
      <c r="I29" s="1135" t="e">
        <v>#REF!</v>
      </c>
      <c r="J29" s="1135" t="e">
        <v>#REF!</v>
      </c>
      <c r="K29" s="1135" t="e">
        <v>#REF!</v>
      </c>
    </row>
    <row r="30" spans="1:11" s="1136" customFormat="1" ht="30">
      <c r="A30" s="1131">
        <v>24</v>
      </c>
      <c r="B30" s="1132" t="s">
        <v>9155</v>
      </c>
      <c r="C30" s="1133" t="s">
        <v>9156</v>
      </c>
      <c r="D30" s="1134" t="s">
        <v>9138</v>
      </c>
      <c r="E30" s="1135">
        <v>15300</v>
      </c>
      <c r="F30" s="1135">
        <v>447955.20000000001</v>
      </c>
      <c r="G30" s="1135">
        <v>0</v>
      </c>
      <c r="H30" s="1135" t="e">
        <v>#REF!</v>
      </c>
      <c r="I30" s="1135" t="e">
        <v>#REF!</v>
      </c>
      <c r="J30" s="1135" t="e">
        <v>#REF!</v>
      </c>
      <c r="K30" s="1135" t="e">
        <v>#REF!</v>
      </c>
    </row>
    <row r="31" spans="1:11" s="1136" customFormat="1" ht="30">
      <c r="A31" s="1131">
        <v>25</v>
      </c>
      <c r="B31" s="1132" t="s">
        <v>9157</v>
      </c>
      <c r="C31" s="1133" t="s">
        <v>9158</v>
      </c>
      <c r="D31" s="1134" t="s">
        <v>9138</v>
      </c>
      <c r="E31" s="1135">
        <v>18390</v>
      </c>
      <c r="F31" s="1135">
        <v>615938.4</v>
      </c>
      <c r="G31" s="1135">
        <v>0</v>
      </c>
      <c r="H31" s="1135" t="e">
        <v>#REF!</v>
      </c>
      <c r="I31" s="1135" t="e">
        <v>#REF!</v>
      </c>
      <c r="J31" s="1135" t="e">
        <v>#REF!</v>
      </c>
      <c r="K31" s="1135" t="e">
        <v>#REF!</v>
      </c>
    </row>
    <row r="32" spans="1:11" s="1136" customFormat="1" ht="30">
      <c r="A32" s="1131">
        <v>26</v>
      </c>
      <c r="B32" s="1132" t="s">
        <v>9159</v>
      </c>
      <c r="C32" s="1133" t="s">
        <v>9160</v>
      </c>
      <c r="D32" s="1134" t="s">
        <v>9138</v>
      </c>
      <c r="E32" s="1135">
        <v>21450</v>
      </c>
      <c r="F32" s="1135">
        <v>783921.6</v>
      </c>
      <c r="G32" s="1135">
        <v>0</v>
      </c>
      <c r="H32" s="1135" t="e">
        <v>#REF!</v>
      </c>
      <c r="I32" s="1135" t="e">
        <v>#REF!</v>
      </c>
      <c r="J32" s="1135" t="e">
        <v>#REF!</v>
      </c>
      <c r="K32" s="1135" t="e">
        <v>#REF!</v>
      </c>
    </row>
    <row r="33" spans="1:11" s="1136" customFormat="1" ht="30">
      <c r="A33" s="1131">
        <v>27</v>
      </c>
      <c r="B33" s="1132" t="s">
        <v>9161</v>
      </c>
      <c r="C33" s="1133" t="s">
        <v>9162</v>
      </c>
      <c r="D33" s="1134" t="s">
        <v>9163</v>
      </c>
      <c r="E33" s="1135">
        <v>19002.599999999999</v>
      </c>
      <c r="F33" s="1135">
        <v>770589.6</v>
      </c>
      <c r="G33" s="1135">
        <v>470766.5</v>
      </c>
      <c r="H33" s="1135" t="e">
        <v>#REF!</v>
      </c>
      <c r="I33" s="1135" t="e">
        <v>#REF!</v>
      </c>
      <c r="J33" s="1135" t="e">
        <v>#REF!</v>
      </c>
      <c r="K33" s="1135" t="e">
        <v>#REF!</v>
      </c>
    </row>
    <row r="34" spans="1:11" s="1136" customFormat="1" ht="30">
      <c r="A34" s="1131">
        <v>28</v>
      </c>
      <c r="B34" s="1132" t="s">
        <v>9164</v>
      </c>
      <c r="C34" s="1133" t="s">
        <v>9165</v>
      </c>
      <c r="D34" s="1134" t="s">
        <v>9163</v>
      </c>
      <c r="E34" s="1135">
        <v>50061.599999999999</v>
      </c>
      <c r="F34" s="1135">
        <v>1119888</v>
      </c>
      <c r="G34" s="1135">
        <v>941533</v>
      </c>
      <c r="H34" s="1135" t="e">
        <v>#REF!</v>
      </c>
      <c r="I34" s="1135" t="e">
        <v>#REF!</v>
      </c>
      <c r="J34" s="1135" t="e">
        <v>#REF!</v>
      </c>
      <c r="K34" s="1135" t="e">
        <v>#REF!</v>
      </c>
    </row>
    <row r="35" spans="1:11" s="1136" customFormat="1" ht="30">
      <c r="A35" s="1131">
        <v>29</v>
      </c>
      <c r="B35" s="1132" t="s">
        <v>9166</v>
      </c>
      <c r="C35" s="1133" t="s">
        <v>9167</v>
      </c>
      <c r="D35" s="1134" t="s">
        <v>9163</v>
      </c>
      <c r="E35" s="1135">
        <v>52479</v>
      </c>
      <c r="F35" s="1135">
        <v>2626404</v>
      </c>
      <c r="G35" s="1135">
        <v>1255377.3</v>
      </c>
      <c r="H35" s="1135" t="e">
        <v>#REF!</v>
      </c>
      <c r="I35" s="1135" t="e">
        <v>#REF!</v>
      </c>
      <c r="J35" s="1135" t="e">
        <v>#REF!</v>
      </c>
      <c r="K35" s="1135" t="e">
        <v>#REF!</v>
      </c>
    </row>
    <row r="36" spans="1:11" s="1136" customFormat="1" ht="30">
      <c r="A36" s="1131">
        <v>30</v>
      </c>
      <c r="B36" s="1132" t="s">
        <v>9168</v>
      </c>
      <c r="C36" s="1133" t="s">
        <v>9169</v>
      </c>
      <c r="D36" s="1134" t="s">
        <v>9170</v>
      </c>
      <c r="E36" s="1135">
        <v>4590</v>
      </c>
      <c r="F36" s="1135">
        <v>23997.599999999999</v>
      </c>
      <c r="G36" s="1135">
        <v>0</v>
      </c>
      <c r="H36" s="1135" t="e">
        <v>#REF!</v>
      </c>
      <c r="I36" s="1135" t="e">
        <v>#REF!</v>
      </c>
      <c r="J36" s="1135" t="e">
        <v>#REF!</v>
      </c>
      <c r="K36" s="1135" t="e">
        <v>#REF!</v>
      </c>
    </row>
    <row r="37" spans="1:11" s="1136" customFormat="1" ht="30">
      <c r="A37" s="1131">
        <v>31</v>
      </c>
      <c r="B37" s="1132" t="s">
        <v>9171</v>
      </c>
      <c r="C37" s="1133" t="s">
        <v>9172</v>
      </c>
      <c r="D37" s="1134" t="s">
        <v>9170</v>
      </c>
      <c r="E37" s="1135">
        <v>1560.6</v>
      </c>
      <c r="F37" s="1135">
        <v>26664</v>
      </c>
      <c r="G37" s="1135">
        <v>0</v>
      </c>
      <c r="H37" s="1135" t="e">
        <v>#REF!</v>
      </c>
      <c r="I37" s="1135" t="e">
        <v>#REF!</v>
      </c>
      <c r="J37" s="1135" t="e">
        <v>#REF!</v>
      </c>
      <c r="K37" s="1135" t="e">
        <v>#REF!</v>
      </c>
    </row>
    <row r="38" spans="1:11" s="1136" customFormat="1" ht="30">
      <c r="A38" s="1131">
        <v>32</v>
      </c>
      <c r="B38" s="1132" t="s">
        <v>9173</v>
      </c>
      <c r="C38" s="1133" t="s">
        <v>9174</v>
      </c>
      <c r="D38" s="1134" t="s">
        <v>9170</v>
      </c>
      <c r="E38" s="1135">
        <v>1560.6</v>
      </c>
      <c r="F38" s="1135">
        <v>109322.4</v>
      </c>
      <c r="G38" s="1135">
        <v>0</v>
      </c>
      <c r="H38" s="1135" t="e">
        <v>#REF!</v>
      </c>
      <c r="I38" s="1135" t="e">
        <v>#REF!</v>
      </c>
      <c r="J38" s="1135" t="e">
        <v>#REF!</v>
      </c>
      <c r="K38" s="1135" t="e">
        <v>#REF!</v>
      </c>
    </row>
    <row r="39" spans="1:11" s="1136" customFormat="1" ht="30">
      <c r="A39" s="1131">
        <v>33</v>
      </c>
      <c r="B39" s="1132" t="s">
        <v>9175</v>
      </c>
      <c r="C39" s="1133" t="s">
        <v>9176</v>
      </c>
      <c r="D39" s="1134" t="s">
        <v>9170</v>
      </c>
      <c r="E39" s="1135">
        <v>2356.1999999999998</v>
      </c>
      <c r="F39" s="1135">
        <v>154651.20000000001</v>
      </c>
      <c r="G39" s="1135">
        <v>0</v>
      </c>
      <c r="H39" s="1135" t="e">
        <v>#REF!</v>
      </c>
      <c r="I39" s="1135" t="e">
        <v>#REF!</v>
      </c>
      <c r="J39" s="1135" t="e">
        <v>#REF!</v>
      </c>
      <c r="K39" s="1135" t="e">
        <v>#REF!</v>
      </c>
    </row>
    <row r="40" spans="1:11" s="1136" customFormat="1" ht="30">
      <c r="A40" s="1131">
        <v>34</v>
      </c>
      <c r="B40" s="1132" t="s">
        <v>9177</v>
      </c>
      <c r="C40" s="1133" t="s">
        <v>9178</v>
      </c>
      <c r="D40" s="1134" t="s">
        <v>9170</v>
      </c>
      <c r="E40" s="1135">
        <v>2356.1999999999998</v>
      </c>
      <c r="F40" s="1135">
        <v>215978.4</v>
      </c>
      <c r="G40" s="1135">
        <v>0</v>
      </c>
      <c r="H40" s="1135" t="e">
        <v>#REF!</v>
      </c>
      <c r="I40" s="1135" t="e">
        <v>#REF!</v>
      </c>
      <c r="J40" s="1135" t="e">
        <v>#REF!</v>
      </c>
      <c r="K40" s="1135" t="e">
        <v>#REF!</v>
      </c>
    </row>
    <row r="41" spans="1:11" s="1136" customFormat="1" ht="45">
      <c r="A41" s="1131">
        <v>35</v>
      </c>
      <c r="B41" s="1132" t="s">
        <v>9179</v>
      </c>
      <c r="C41" s="1133" t="s">
        <v>9180</v>
      </c>
      <c r="D41" s="1134" t="s">
        <v>9170</v>
      </c>
      <c r="E41" s="1135">
        <v>1560.6</v>
      </c>
      <c r="F41" s="1135">
        <v>10665.6</v>
      </c>
      <c r="G41" s="1135">
        <v>26677.5</v>
      </c>
      <c r="H41" s="1135" t="e">
        <v>#REF!</v>
      </c>
      <c r="I41" s="1135" t="e">
        <v>#REF!</v>
      </c>
      <c r="J41" s="1135" t="e">
        <v>#REF!</v>
      </c>
      <c r="K41" s="1135" t="e">
        <v>#REF!</v>
      </c>
    </row>
    <row r="42" spans="1:11" s="1136" customFormat="1" ht="45">
      <c r="A42" s="1131">
        <v>36</v>
      </c>
      <c r="B42" s="1132" t="s">
        <v>9181</v>
      </c>
      <c r="C42" s="1133" t="s">
        <v>9182</v>
      </c>
      <c r="D42" s="1134" t="s">
        <v>9170</v>
      </c>
      <c r="E42" s="1135">
        <v>1560.6</v>
      </c>
      <c r="F42" s="1135">
        <v>10665.6</v>
      </c>
      <c r="G42" s="1135">
        <v>26677.5</v>
      </c>
      <c r="H42" s="1135" t="e">
        <v>#REF!</v>
      </c>
      <c r="I42" s="1135" t="e">
        <v>#REF!</v>
      </c>
      <c r="J42" s="1135" t="e">
        <v>#REF!</v>
      </c>
      <c r="K42" s="1135" t="e">
        <v>#REF!</v>
      </c>
    </row>
    <row r="43" spans="1:11" s="1136" customFormat="1" ht="45">
      <c r="A43" s="1131">
        <v>37</v>
      </c>
      <c r="B43" s="1132" t="s">
        <v>9183</v>
      </c>
      <c r="C43" s="1133" t="s">
        <v>9184</v>
      </c>
      <c r="D43" s="1134" t="s">
        <v>9170</v>
      </c>
      <c r="E43" s="1135">
        <v>1560.6</v>
      </c>
      <c r="F43" s="1135">
        <v>31996.799999999999</v>
      </c>
      <c r="G43" s="1135">
        <v>35570</v>
      </c>
      <c r="H43" s="1135" t="e">
        <v>#REF!</v>
      </c>
      <c r="I43" s="1135" t="e">
        <v>#REF!</v>
      </c>
      <c r="J43" s="1135" t="e">
        <v>#REF!</v>
      </c>
      <c r="K43" s="1135" t="e">
        <v>#REF!</v>
      </c>
    </row>
    <row r="44" spans="1:11" s="1136" customFormat="1" ht="45">
      <c r="A44" s="1131">
        <v>38</v>
      </c>
      <c r="B44" s="1132" t="s">
        <v>9185</v>
      </c>
      <c r="C44" s="1133" t="s">
        <v>9186</v>
      </c>
      <c r="D44" s="1134" t="s">
        <v>9170</v>
      </c>
      <c r="E44" s="1135">
        <v>2356.1999999999998</v>
      </c>
      <c r="F44" s="1135">
        <v>42662.400000000001</v>
      </c>
      <c r="G44" s="1135">
        <v>35570</v>
      </c>
      <c r="H44" s="1135" t="e">
        <v>#REF!</v>
      </c>
      <c r="I44" s="1135" t="e">
        <v>#REF!</v>
      </c>
      <c r="J44" s="1135" t="e">
        <v>#REF!</v>
      </c>
      <c r="K44" s="1135" t="e">
        <v>#REF!</v>
      </c>
    </row>
    <row r="45" spans="1:11" s="1136" customFormat="1" ht="45">
      <c r="A45" s="1131">
        <v>39</v>
      </c>
      <c r="B45" s="1132" t="s">
        <v>9187</v>
      </c>
      <c r="C45" s="1133" t="s">
        <v>9188</v>
      </c>
      <c r="D45" s="1134" t="s">
        <v>9170</v>
      </c>
      <c r="E45" s="1135">
        <v>2356.1999999999998</v>
      </c>
      <c r="F45" s="1135">
        <v>61327.199999999997</v>
      </c>
      <c r="G45" s="1135">
        <v>35570</v>
      </c>
      <c r="H45" s="1135" t="e">
        <v>#REF!</v>
      </c>
      <c r="I45" s="1135" t="e">
        <v>#REF!</v>
      </c>
      <c r="J45" s="1135" t="e">
        <v>#REF!</v>
      </c>
      <c r="K45" s="1135" t="e">
        <v>#REF!</v>
      </c>
    </row>
    <row r="46" spans="1:11" s="1136" customFormat="1" ht="30">
      <c r="A46" s="1131">
        <v>40</v>
      </c>
      <c r="B46" s="1132" t="s">
        <v>9189</v>
      </c>
      <c r="C46" s="1133" t="s">
        <v>9190</v>
      </c>
      <c r="D46" s="1134" t="s">
        <v>9191</v>
      </c>
      <c r="E46" s="1135">
        <v>1380</v>
      </c>
      <c r="F46" s="1135">
        <v>98411.3</v>
      </c>
      <c r="G46" s="1135">
        <v>0</v>
      </c>
      <c r="H46" s="1135" t="e">
        <v>#REF!</v>
      </c>
      <c r="I46" s="1135" t="e">
        <v>#REF!</v>
      </c>
      <c r="J46" s="1135" t="e">
        <v>#REF!</v>
      </c>
      <c r="K46" s="1135" t="e">
        <v>#REF!</v>
      </c>
    </row>
    <row r="47" spans="1:11" s="1136" customFormat="1" ht="30">
      <c r="A47" s="1131">
        <v>41</v>
      </c>
      <c r="B47" s="1132" t="s">
        <v>9192</v>
      </c>
      <c r="C47" s="1133" t="s">
        <v>9193</v>
      </c>
      <c r="D47" s="1134" t="s">
        <v>9191</v>
      </c>
      <c r="E47" s="1135">
        <v>1530</v>
      </c>
      <c r="F47" s="1135">
        <v>107094.7</v>
      </c>
      <c r="G47" s="1135">
        <v>0</v>
      </c>
      <c r="H47" s="1135" t="e">
        <v>#REF!</v>
      </c>
      <c r="I47" s="1135" t="e">
        <v>#REF!</v>
      </c>
      <c r="J47" s="1135" t="e">
        <v>#REF!</v>
      </c>
      <c r="K47" s="1135" t="e">
        <v>#REF!</v>
      </c>
    </row>
    <row r="48" spans="1:11" s="1136" customFormat="1" ht="30">
      <c r="A48" s="1131">
        <v>42</v>
      </c>
      <c r="B48" s="1132" t="s">
        <v>9194</v>
      </c>
      <c r="C48" s="1133" t="s">
        <v>9195</v>
      </c>
      <c r="D48" s="1134" t="s">
        <v>9191</v>
      </c>
      <c r="E48" s="1135">
        <v>1380</v>
      </c>
      <c r="F48" s="1135">
        <v>101305.8</v>
      </c>
      <c r="G48" s="1135">
        <v>0</v>
      </c>
      <c r="H48" s="1135" t="e">
        <v>#REF!</v>
      </c>
      <c r="I48" s="1135" t="e">
        <v>#REF!</v>
      </c>
      <c r="J48" s="1135" t="e">
        <v>#REF!</v>
      </c>
      <c r="K48" s="1135" t="e">
        <v>#REF!</v>
      </c>
    </row>
    <row r="49" spans="1:11" s="1136" customFormat="1" ht="30">
      <c r="A49" s="1131">
        <v>43</v>
      </c>
      <c r="B49" s="1132" t="s">
        <v>9196</v>
      </c>
      <c r="C49" s="1133" t="s">
        <v>9197</v>
      </c>
      <c r="D49" s="1134" t="s">
        <v>9191</v>
      </c>
      <c r="E49" s="1135">
        <v>1530</v>
      </c>
      <c r="F49" s="1135">
        <v>109989.1</v>
      </c>
      <c r="G49" s="1135">
        <v>0</v>
      </c>
      <c r="H49" s="1135" t="e">
        <v>#REF!</v>
      </c>
      <c r="I49" s="1135" t="e">
        <v>#REF!</v>
      </c>
      <c r="J49" s="1135" t="e">
        <v>#REF!</v>
      </c>
      <c r="K49" s="1135" t="e">
        <v>#REF!</v>
      </c>
    </row>
    <row r="50" spans="1:11" s="1136" customFormat="1" ht="30">
      <c r="A50" s="1131">
        <v>44</v>
      </c>
      <c r="B50" s="1132" t="s">
        <v>9198</v>
      </c>
      <c r="C50" s="1133" t="s">
        <v>9199</v>
      </c>
      <c r="D50" s="1134" t="s">
        <v>9191</v>
      </c>
      <c r="E50" s="1135">
        <v>1380</v>
      </c>
      <c r="F50" s="1135">
        <v>115778</v>
      </c>
      <c r="G50" s="1135">
        <v>0</v>
      </c>
      <c r="H50" s="1135" t="e">
        <v>#REF!</v>
      </c>
      <c r="I50" s="1135" t="e">
        <v>#REF!</v>
      </c>
      <c r="J50" s="1135" t="e">
        <v>#REF!</v>
      </c>
      <c r="K50" s="1135" t="e">
        <v>#REF!</v>
      </c>
    </row>
    <row r="51" spans="1:11" s="1136" customFormat="1" ht="30">
      <c r="A51" s="1131">
        <v>45</v>
      </c>
      <c r="B51" s="1132" t="s">
        <v>9200</v>
      </c>
      <c r="C51" s="1133" t="s">
        <v>9201</v>
      </c>
      <c r="D51" s="1134" t="s">
        <v>9191</v>
      </c>
      <c r="E51" s="1135">
        <v>1530</v>
      </c>
      <c r="F51" s="1135">
        <v>124461.4</v>
      </c>
      <c r="G51" s="1135">
        <v>0</v>
      </c>
      <c r="H51" s="1135" t="e">
        <v>#REF!</v>
      </c>
      <c r="I51" s="1135" t="e">
        <v>#REF!</v>
      </c>
      <c r="J51" s="1135" t="e">
        <v>#REF!</v>
      </c>
      <c r="K51" s="1135" t="e">
        <v>#REF!</v>
      </c>
    </row>
    <row r="52" spans="1:11" s="1136" customFormat="1" ht="30">
      <c r="A52" s="1131">
        <v>46</v>
      </c>
      <c r="B52" s="1132" t="s">
        <v>9202</v>
      </c>
      <c r="C52" s="1133" t="s">
        <v>9203</v>
      </c>
      <c r="D52" s="1134" t="s">
        <v>9191</v>
      </c>
      <c r="E52" s="1135">
        <v>1380</v>
      </c>
      <c r="F52" s="1135">
        <v>133144.70000000001</v>
      </c>
      <c r="G52" s="1135">
        <v>0</v>
      </c>
      <c r="H52" s="1135" t="e">
        <v>#REF!</v>
      </c>
      <c r="I52" s="1135" t="e">
        <v>#REF!</v>
      </c>
      <c r="J52" s="1135" t="e">
        <v>#REF!</v>
      </c>
      <c r="K52" s="1135" t="e">
        <v>#REF!</v>
      </c>
    </row>
    <row r="53" spans="1:11" s="1136" customFormat="1" ht="30">
      <c r="A53" s="1131">
        <v>47</v>
      </c>
      <c r="B53" s="1132" t="s">
        <v>9204</v>
      </c>
      <c r="C53" s="1133" t="s">
        <v>9205</v>
      </c>
      <c r="D53" s="1134" t="s">
        <v>9191</v>
      </c>
      <c r="E53" s="1135">
        <v>1530</v>
      </c>
      <c r="F53" s="1135">
        <v>141828.1</v>
      </c>
      <c r="G53" s="1135">
        <v>0</v>
      </c>
      <c r="H53" s="1135" t="e">
        <v>#REF!</v>
      </c>
      <c r="I53" s="1135" t="e">
        <v>#REF!</v>
      </c>
      <c r="J53" s="1135" t="e">
        <v>#REF!</v>
      </c>
      <c r="K53" s="1135" t="e">
        <v>#REF!</v>
      </c>
    </row>
    <row r="54" spans="1:11" s="1136" customFormat="1" ht="30">
      <c r="A54" s="1131">
        <v>48</v>
      </c>
      <c r="B54" s="1132" t="s">
        <v>9206</v>
      </c>
      <c r="C54" s="1133" t="s">
        <v>9207</v>
      </c>
      <c r="D54" s="1134" t="s">
        <v>9191</v>
      </c>
      <c r="E54" s="1135">
        <v>1380</v>
      </c>
      <c r="F54" s="1135">
        <v>144722.5</v>
      </c>
      <c r="G54" s="1135">
        <v>0</v>
      </c>
      <c r="H54" s="1135" t="e">
        <v>#REF!</v>
      </c>
      <c r="I54" s="1135" t="e">
        <v>#REF!</v>
      </c>
      <c r="J54" s="1135" t="e">
        <v>#REF!</v>
      </c>
      <c r="K54" s="1135" t="e">
        <v>#REF!</v>
      </c>
    </row>
    <row r="55" spans="1:11" s="1136" customFormat="1" ht="30">
      <c r="A55" s="1131">
        <v>49</v>
      </c>
      <c r="B55" s="1132" t="s">
        <v>9208</v>
      </c>
      <c r="C55" s="1133" t="s">
        <v>9209</v>
      </c>
      <c r="D55" s="1134" t="s">
        <v>9191</v>
      </c>
      <c r="E55" s="1135">
        <v>1530</v>
      </c>
      <c r="F55" s="1135">
        <v>153405.9</v>
      </c>
      <c r="G55" s="1135">
        <v>0</v>
      </c>
      <c r="H55" s="1135" t="e">
        <v>#REF!</v>
      </c>
      <c r="I55" s="1135" t="e">
        <v>#REF!</v>
      </c>
      <c r="J55" s="1135" t="e">
        <v>#REF!</v>
      </c>
      <c r="K55" s="1135" t="e">
        <v>#REF!</v>
      </c>
    </row>
    <row r="56" spans="1:11" s="1136" customFormat="1" ht="30">
      <c r="A56" s="1131">
        <v>50</v>
      </c>
      <c r="B56" s="1132" t="s">
        <v>9210</v>
      </c>
      <c r="C56" s="1133" t="s">
        <v>9211</v>
      </c>
      <c r="D56" s="1134" t="s">
        <v>9191</v>
      </c>
      <c r="E56" s="1135">
        <v>1380</v>
      </c>
      <c r="F56" s="1135">
        <v>159194.79999999999</v>
      </c>
      <c r="G56" s="1135">
        <v>0</v>
      </c>
      <c r="H56" s="1135" t="e">
        <v>#REF!</v>
      </c>
      <c r="I56" s="1135" t="e">
        <v>#REF!</v>
      </c>
      <c r="J56" s="1135" t="e">
        <v>#REF!</v>
      </c>
      <c r="K56" s="1135" t="e">
        <v>#REF!</v>
      </c>
    </row>
    <row r="57" spans="1:11" s="1136" customFormat="1" ht="30">
      <c r="A57" s="1131">
        <v>51</v>
      </c>
      <c r="B57" s="1132" t="s">
        <v>9212</v>
      </c>
      <c r="C57" s="1133" t="s">
        <v>9213</v>
      </c>
      <c r="D57" s="1134" t="s">
        <v>9191</v>
      </c>
      <c r="E57" s="1135">
        <v>1530</v>
      </c>
      <c r="F57" s="1135">
        <v>167878.1</v>
      </c>
      <c r="G57" s="1135">
        <v>0</v>
      </c>
      <c r="H57" s="1135" t="e">
        <v>#REF!</v>
      </c>
      <c r="I57" s="1135" t="e">
        <v>#REF!</v>
      </c>
      <c r="J57" s="1135" t="e">
        <v>#REF!</v>
      </c>
      <c r="K57" s="1135" t="e">
        <v>#REF!</v>
      </c>
    </row>
    <row r="58" spans="1:11" s="1136" customFormat="1" ht="30">
      <c r="A58" s="1131">
        <v>52</v>
      </c>
      <c r="B58" s="1132" t="s">
        <v>9214</v>
      </c>
      <c r="C58" s="1133" t="s">
        <v>9215</v>
      </c>
      <c r="D58" s="1134" t="s">
        <v>9191</v>
      </c>
      <c r="E58" s="1135">
        <v>1380</v>
      </c>
      <c r="F58" s="1135">
        <v>185244.79999999999</v>
      </c>
      <c r="G58" s="1135">
        <v>0</v>
      </c>
      <c r="H58" s="1135" t="e">
        <v>#REF!</v>
      </c>
      <c r="I58" s="1135" t="e">
        <v>#REF!</v>
      </c>
      <c r="J58" s="1135" t="e">
        <v>#REF!</v>
      </c>
      <c r="K58" s="1135" t="e">
        <v>#REF!</v>
      </c>
    </row>
    <row r="59" spans="1:11" s="1136" customFormat="1" ht="30">
      <c r="A59" s="1131">
        <v>53</v>
      </c>
      <c r="B59" s="1132" t="s">
        <v>9216</v>
      </c>
      <c r="C59" s="1133" t="s">
        <v>9217</v>
      </c>
      <c r="D59" s="1134" t="s">
        <v>9191</v>
      </c>
      <c r="E59" s="1135">
        <v>1530</v>
      </c>
      <c r="F59" s="1135">
        <v>196822.6</v>
      </c>
      <c r="G59" s="1135">
        <v>0</v>
      </c>
      <c r="H59" s="1135" t="e">
        <v>#REF!</v>
      </c>
      <c r="I59" s="1135" t="e">
        <v>#REF!</v>
      </c>
      <c r="J59" s="1135" t="e">
        <v>#REF!</v>
      </c>
      <c r="K59" s="1135" t="e">
        <v>#REF!</v>
      </c>
    </row>
    <row r="60" spans="1:11" s="1136" customFormat="1" ht="30">
      <c r="A60" s="1131">
        <v>54</v>
      </c>
      <c r="B60" s="1132" t="s">
        <v>9218</v>
      </c>
      <c r="C60" s="1133" t="s">
        <v>9219</v>
      </c>
      <c r="D60" s="1134" t="s">
        <v>9191</v>
      </c>
      <c r="E60" s="1135">
        <v>1380</v>
      </c>
      <c r="F60" s="1135">
        <v>211294.9</v>
      </c>
      <c r="G60" s="1135">
        <v>0</v>
      </c>
      <c r="H60" s="1135" t="e">
        <v>#REF!</v>
      </c>
      <c r="I60" s="1135" t="e">
        <v>#REF!</v>
      </c>
      <c r="J60" s="1135" t="e">
        <v>#REF!</v>
      </c>
      <c r="K60" s="1135" t="e">
        <v>#REF!</v>
      </c>
    </row>
    <row r="61" spans="1:11" s="1136" customFormat="1" ht="30">
      <c r="A61" s="1131">
        <v>55</v>
      </c>
      <c r="B61" s="1132" t="s">
        <v>9220</v>
      </c>
      <c r="C61" s="1133" t="s">
        <v>9221</v>
      </c>
      <c r="D61" s="1134" t="s">
        <v>9191</v>
      </c>
      <c r="E61" s="1135">
        <v>1530</v>
      </c>
      <c r="F61" s="1135">
        <v>222872.7</v>
      </c>
      <c r="G61" s="1135">
        <v>0</v>
      </c>
      <c r="H61" s="1135" t="e">
        <v>#REF!</v>
      </c>
      <c r="I61" s="1135" t="e">
        <v>#REF!</v>
      </c>
      <c r="J61" s="1135" t="e">
        <v>#REF!</v>
      </c>
      <c r="K61" s="1135" t="e">
        <v>#REF!</v>
      </c>
    </row>
    <row r="62" spans="1:11" s="1136" customFormat="1" ht="45">
      <c r="A62" s="1131">
        <v>56</v>
      </c>
      <c r="B62" s="1132" t="s">
        <v>9222</v>
      </c>
      <c r="C62" s="1133" t="s">
        <v>9223</v>
      </c>
      <c r="D62" s="1134" t="s">
        <v>9191</v>
      </c>
      <c r="E62" s="1135">
        <v>1530</v>
      </c>
      <c r="F62" s="1135">
        <v>78150.2</v>
      </c>
      <c r="G62" s="1135">
        <v>0</v>
      </c>
      <c r="H62" s="1135" t="e">
        <v>#REF!</v>
      </c>
      <c r="I62" s="1135" t="e">
        <v>#REF!</v>
      </c>
      <c r="J62" s="1135" t="e">
        <v>#REF!</v>
      </c>
      <c r="K62" s="1135" t="e">
        <v>#REF!</v>
      </c>
    </row>
    <row r="63" spans="1:11" s="1136" customFormat="1" ht="45">
      <c r="A63" s="1131">
        <v>57</v>
      </c>
      <c r="B63" s="1132" t="s">
        <v>9224</v>
      </c>
      <c r="C63" s="1133" t="s">
        <v>9225</v>
      </c>
      <c r="D63" s="1134" t="s">
        <v>9191</v>
      </c>
      <c r="E63" s="1135">
        <v>2310</v>
      </c>
      <c r="F63" s="1135">
        <v>170772.6</v>
      </c>
      <c r="G63" s="1135">
        <v>0</v>
      </c>
      <c r="H63" s="1135" t="e">
        <v>#REF!</v>
      </c>
      <c r="I63" s="1135" t="e">
        <v>#REF!</v>
      </c>
      <c r="J63" s="1135" t="e">
        <v>#REF!</v>
      </c>
      <c r="K63" s="1135" t="e">
        <v>#REF!</v>
      </c>
    </row>
    <row r="64" spans="1:11" s="1136" customFormat="1" ht="45">
      <c r="A64" s="1131">
        <v>58</v>
      </c>
      <c r="B64" s="1132" t="s">
        <v>9226</v>
      </c>
      <c r="C64" s="1133" t="s">
        <v>9227</v>
      </c>
      <c r="D64" s="1134" t="s">
        <v>9191</v>
      </c>
      <c r="E64" s="1135">
        <v>3690</v>
      </c>
      <c r="F64" s="1135">
        <v>274972.79999999999</v>
      </c>
      <c r="G64" s="1135">
        <v>0</v>
      </c>
      <c r="H64" s="1135" t="e">
        <v>#REF!</v>
      </c>
      <c r="I64" s="1135" t="e">
        <v>#REF!</v>
      </c>
      <c r="J64" s="1135" t="e">
        <v>#REF!</v>
      </c>
      <c r="K64" s="1135" t="e">
        <v>#REF!</v>
      </c>
    </row>
    <row r="65" spans="1:11" s="1136" customFormat="1" ht="45">
      <c r="A65" s="1131">
        <v>59</v>
      </c>
      <c r="B65" s="1132" t="s">
        <v>9228</v>
      </c>
      <c r="C65" s="1133" t="s">
        <v>9229</v>
      </c>
      <c r="D65" s="1134" t="s">
        <v>9191</v>
      </c>
      <c r="E65" s="1135">
        <v>5190</v>
      </c>
      <c r="F65" s="1135">
        <v>384961.9</v>
      </c>
      <c r="G65" s="1135">
        <v>0</v>
      </c>
      <c r="H65" s="1135" t="e">
        <v>#REF!</v>
      </c>
      <c r="I65" s="1135" t="e">
        <v>#REF!</v>
      </c>
      <c r="J65" s="1135" t="e">
        <v>#REF!</v>
      </c>
      <c r="K65" s="1135" t="e">
        <v>#REF!</v>
      </c>
    </row>
    <row r="66" spans="1:11" s="1136" customFormat="1" ht="45">
      <c r="A66" s="1131">
        <v>60</v>
      </c>
      <c r="B66" s="1132" t="s">
        <v>9230</v>
      </c>
      <c r="C66" s="1133" t="s">
        <v>9231</v>
      </c>
      <c r="D66" s="1134" t="s">
        <v>9191</v>
      </c>
      <c r="E66" s="1135">
        <v>6090</v>
      </c>
      <c r="F66" s="1135">
        <v>486267.6</v>
      </c>
      <c r="G66" s="1135">
        <v>0</v>
      </c>
      <c r="H66" s="1135" t="e">
        <v>#REF!</v>
      </c>
      <c r="I66" s="1135" t="e">
        <v>#REF!</v>
      </c>
      <c r="J66" s="1135" t="e">
        <v>#REF!</v>
      </c>
      <c r="K66" s="1135" t="e">
        <v>#REF!</v>
      </c>
    </row>
    <row r="67" spans="1:11" s="1136" customFormat="1" ht="45">
      <c r="A67" s="1131">
        <v>61</v>
      </c>
      <c r="B67" s="1132" t="s">
        <v>9232</v>
      </c>
      <c r="C67" s="1133" t="s">
        <v>9233</v>
      </c>
      <c r="D67" s="1134" t="s">
        <v>9191</v>
      </c>
      <c r="E67" s="1135">
        <v>7320</v>
      </c>
      <c r="F67" s="1135">
        <v>584678.9</v>
      </c>
      <c r="G67" s="1135">
        <v>0</v>
      </c>
      <c r="H67" s="1135" t="e">
        <v>#REF!</v>
      </c>
      <c r="I67" s="1135" t="e">
        <v>#REF!</v>
      </c>
      <c r="J67" s="1135" t="e">
        <v>#REF!</v>
      </c>
      <c r="K67" s="1135" t="e">
        <v>#REF!</v>
      </c>
    </row>
    <row r="68" spans="1:11" s="1136" customFormat="1" ht="45">
      <c r="A68" s="1131">
        <v>62</v>
      </c>
      <c r="B68" s="1132" t="s">
        <v>9234</v>
      </c>
      <c r="C68" s="1133" t="s">
        <v>9235</v>
      </c>
      <c r="D68" s="1134" t="s">
        <v>9191</v>
      </c>
      <c r="E68" s="1135">
        <v>8820</v>
      </c>
      <c r="F68" s="1135">
        <v>700456.9</v>
      </c>
      <c r="G68" s="1135">
        <v>0</v>
      </c>
      <c r="H68" s="1135" t="e">
        <v>#REF!</v>
      </c>
      <c r="I68" s="1135" t="e">
        <v>#REF!</v>
      </c>
      <c r="J68" s="1135" t="e">
        <v>#REF!</v>
      </c>
      <c r="K68" s="1135" t="e">
        <v>#REF!</v>
      </c>
    </row>
    <row r="69" spans="1:11" s="1136" customFormat="1" ht="45">
      <c r="A69" s="1131">
        <v>63</v>
      </c>
      <c r="B69" s="1132" t="s">
        <v>9236</v>
      </c>
      <c r="C69" s="1133" t="s">
        <v>9237</v>
      </c>
      <c r="D69" s="1134" t="s">
        <v>9191</v>
      </c>
      <c r="E69" s="1135">
        <v>10620</v>
      </c>
      <c r="F69" s="1135">
        <v>842285</v>
      </c>
      <c r="G69" s="1135">
        <v>0</v>
      </c>
      <c r="H69" s="1135" t="e">
        <v>#REF!</v>
      </c>
      <c r="I69" s="1135" t="e">
        <v>#REF!</v>
      </c>
      <c r="J69" s="1135" t="e">
        <v>#REF!</v>
      </c>
      <c r="K69" s="1135" t="e">
        <v>#REF!</v>
      </c>
    </row>
    <row r="70" spans="1:11" s="1136" customFormat="1" ht="45">
      <c r="A70" s="1131">
        <v>64</v>
      </c>
      <c r="B70" s="1132" t="s">
        <v>9238</v>
      </c>
      <c r="C70" s="1133" t="s">
        <v>9239</v>
      </c>
      <c r="D70" s="1134" t="s">
        <v>9191</v>
      </c>
      <c r="E70" s="1135">
        <v>1530</v>
      </c>
      <c r="F70" s="1135">
        <v>98411.3</v>
      </c>
      <c r="G70" s="1135">
        <v>0</v>
      </c>
      <c r="H70" s="1135" t="e">
        <v>#REF!</v>
      </c>
      <c r="I70" s="1135" t="e">
        <v>#REF!</v>
      </c>
      <c r="J70" s="1135" t="e">
        <v>#REF!</v>
      </c>
      <c r="K70" s="1135" t="e">
        <v>#REF!</v>
      </c>
    </row>
    <row r="71" spans="1:11" s="1136" customFormat="1" ht="45">
      <c r="A71" s="1131">
        <v>65</v>
      </c>
      <c r="B71" s="1132" t="s">
        <v>9240</v>
      </c>
      <c r="C71" s="1133" t="s">
        <v>9241</v>
      </c>
      <c r="D71" s="1134" t="s">
        <v>9191</v>
      </c>
      <c r="E71" s="1135">
        <v>2310</v>
      </c>
      <c r="F71" s="1135">
        <v>179455.9</v>
      </c>
      <c r="G71" s="1135">
        <v>0</v>
      </c>
      <c r="H71" s="1135" t="e">
        <v>#REF!</v>
      </c>
      <c r="I71" s="1135" t="e">
        <v>#REF!</v>
      </c>
      <c r="J71" s="1135" t="e">
        <v>#REF!</v>
      </c>
      <c r="K71" s="1135" t="e">
        <v>#REF!</v>
      </c>
    </row>
    <row r="72" spans="1:11" s="1136" customFormat="1" ht="45">
      <c r="A72" s="1131">
        <v>66</v>
      </c>
      <c r="B72" s="1132" t="s">
        <v>9242</v>
      </c>
      <c r="C72" s="1133" t="s">
        <v>9243</v>
      </c>
      <c r="D72" s="1134" t="s">
        <v>9191</v>
      </c>
      <c r="E72" s="1135">
        <v>3690</v>
      </c>
      <c r="F72" s="1135">
        <v>286550.59999999998</v>
      </c>
      <c r="G72" s="1135">
        <v>0</v>
      </c>
      <c r="H72" s="1135" t="e">
        <v>#REF!</v>
      </c>
      <c r="I72" s="1135" t="e">
        <v>#REF!</v>
      </c>
      <c r="J72" s="1135" t="e">
        <v>#REF!</v>
      </c>
      <c r="K72" s="1135" t="e">
        <v>#REF!</v>
      </c>
    </row>
    <row r="73" spans="1:11" s="1136" customFormat="1" ht="45">
      <c r="A73" s="1131">
        <v>67</v>
      </c>
      <c r="B73" s="1132" t="s">
        <v>9244</v>
      </c>
      <c r="C73" s="1133" t="s">
        <v>9245</v>
      </c>
      <c r="D73" s="1134" t="s">
        <v>9191</v>
      </c>
      <c r="E73" s="1135">
        <v>5190</v>
      </c>
      <c r="F73" s="1135">
        <v>405223</v>
      </c>
      <c r="G73" s="1135">
        <v>0</v>
      </c>
      <c r="H73" s="1135" t="e">
        <v>#REF!</v>
      </c>
      <c r="I73" s="1135" t="e">
        <v>#REF!</v>
      </c>
      <c r="J73" s="1135" t="e">
        <v>#REF!</v>
      </c>
      <c r="K73" s="1135" t="e">
        <v>#REF!</v>
      </c>
    </row>
    <row r="74" spans="1:11" s="1136" customFormat="1" ht="45">
      <c r="A74" s="1131">
        <v>68</v>
      </c>
      <c r="B74" s="1132" t="s">
        <v>9246</v>
      </c>
      <c r="C74" s="1133" t="s">
        <v>9247</v>
      </c>
      <c r="D74" s="1134" t="s">
        <v>9191</v>
      </c>
      <c r="E74" s="1135">
        <v>6090</v>
      </c>
      <c r="F74" s="1135">
        <v>512317.7</v>
      </c>
      <c r="G74" s="1135">
        <v>0</v>
      </c>
      <c r="H74" s="1135" t="e">
        <v>#REF!</v>
      </c>
      <c r="I74" s="1135" t="e">
        <v>#REF!</v>
      </c>
      <c r="J74" s="1135" t="e">
        <v>#REF!</v>
      </c>
      <c r="K74" s="1135" t="e">
        <v>#REF!</v>
      </c>
    </row>
    <row r="75" spans="1:11" s="1136" customFormat="1" ht="45">
      <c r="A75" s="1131">
        <v>69</v>
      </c>
      <c r="B75" s="1132" t="s">
        <v>9248</v>
      </c>
      <c r="C75" s="1133" t="s">
        <v>9249</v>
      </c>
      <c r="D75" s="1134" t="s">
        <v>9191</v>
      </c>
      <c r="E75" s="1135">
        <v>7320</v>
      </c>
      <c r="F75" s="1135">
        <v>616517.9</v>
      </c>
      <c r="G75" s="1135">
        <v>0</v>
      </c>
      <c r="H75" s="1135" t="e">
        <v>#REF!</v>
      </c>
      <c r="I75" s="1135" t="e">
        <v>#REF!</v>
      </c>
      <c r="J75" s="1135" t="e">
        <v>#REF!</v>
      </c>
      <c r="K75" s="1135" t="e">
        <v>#REF!</v>
      </c>
    </row>
    <row r="76" spans="1:11" s="1136" customFormat="1" ht="45">
      <c r="A76" s="1131">
        <v>70</v>
      </c>
      <c r="B76" s="1132" t="s">
        <v>9250</v>
      </c>
      <c r="C76" s="1133" t="s">
        <v>9251</v>
      </c>
      <c r="D76" s="1134" t="s">
        <v>9191</v>
      </c>
      <c r="E76" s="1135">
        <v>8820</v>
      </c>
      <c r="F76" s="1135">
        <v>740979.19999999995</v>
      </c>
      <c r="G76" s="1135">
        <v>0</v>
      </c>
      <c r="H76" s="1135" t="e">
        <v>#REF!</v>
      </c>
      <c r="I76" s="1135" t="e">
        <v>#REF!</v>
      </c>
      <c r="J76" s="1135" t="e">
        <v>#REF!</v>
      </c>
      <c r="K76" s="1135" t="e">
        <v>#REF!</v>
      </c>
    </row>
    <row r="77" spans="1:11" s="1136" customFormat="1" ht="45">
      <c r="A77" s="1131">
        <v>71</v>
      </c>
      <c r="B77" s="1132" t="s">
        <v>9252</v>
      </c>
      <c r="C77" s="1133" t="s">
        <v>9253</v>
      </c>
      <c r="D77" s="1134" t="s">
        <v>9191</v>
      </c>
      <c r="E77" s="1135">
        <v>10620</v>
      </c>
      <c r="F77" s="1135">
        <v>888596.2</v>
      </c>
      <c r="G77" s="1135">
        <v>0</v>
      </c>
      <c r="H77" s="1135" t="e">
        <v>#REF!</v>
      </c>
      <c r="I77" s="1135" t="e">
        <v>#REF!</v>
      </c>
      <c r="J77" s="1135" t="e">
        <v>#REF!</v>
      </c>
      <c r="K77" s="1135" t="e">
        <v>#REF!</v>
      </c>
    </row>
    <row r="78" spans="1:11" s="1136" customFormat="1" ht="45">
      <c r="A78" s="1131">
        <v>72</v>
      </c>
      <c r="B78" s="1132" t="s">
        <v>9254</v>
      </c>
      <c r="C78" s="1133" t="s">
        <v>9255</v>
      </c>
      <c r="D78" s="1134" t="s">
        <v>9191</v>
      </c>
      <c r="E78" s="1135">
        <v>1530</v>
      </c>
      <c r="F78" s="1135">
        <v>118672.5</v>
      </c>
      <c r="G78" s="1135">
        <v>0</v>
      </c>
      <c r="H78" s="1135" t="e">
        <v>#REF!</v>
      </c>
      <c r="I78" s="1135" t="e">
        <v>#REF!</v>
      </c>
      <c r="J78" s="1135" t="e">
        <v>#REF!</v>
      </c>
      <c r="K78" s="1135" t="e">
        <v>#REF!</v>
      </c>
    </row>
    <row r="79" spans="1:11" s="1136" customFormat="1" ht="45">
      <c r="A79" s="1131">
        <v>73</v>
      </c>
      <c r="B79" s="1132" t="s">
        <v>9256</v>
      </c>
      <c r="C79" s="1133" t="s">
        <v>9257</v>
      </c>
      <c r="D79" s="1134" t="s">
        <v>9191</v>
      </c>
      <c r="E79" s="1135">
        <v>2310</v>
      </c>
      <c r="F79" s="1135">
        <v>196822.6</v>
      </c>
      <c r="G79" s="1135">
        <v>0</v>
      </c>
      <c r="H79" s="1135" t="e">
        <v>#REF!</v>
      </c>
      <c r="I79" s="1135" t="e">
        <v>#REF!</v>
      </c>
      <c r="J79" s="1135" t="e">
        <v>#REF!</v>
      </c>
      <c r="K79" s="1135" t="e">
        <v>#REF!</v>
      </c>
    </row>
    <row r="80" spans="1:11" s="1136" customFormat="1" ht="45">
      <c r="A80" s="1131">
        <v>74</v>
      </c>
      <c r="B80" s="1132" t="s">
        <v>9258</v>
      </c>
      <c r="C80" s="1133" t="s">
        <v>9259</v>
      </c>
      <c r="D80" s="1134" t="s">
        <v>9191</v>
      </c>
      <c r="E80" s="1135">
        <v>3690</v>
      </c>
      <c r="F80" s="1135">
        <v>312600.59999999998</v>
      </c>
      <c r="G80" s="1135">
        <v>0</v>
      </c>
      <c r="H80" s="1135" t="e">
        <v>#REF!</v>
      </c>
      <c r="I80" s="1135" t="e">
        <v>#REF!</v>
      </c>
      <c r="J80" s="1135" t="e">
        <v>#REF!</v>
      </c>
      <c r="K80" s="1135" t="e">
        <v>#REF!</v>
      </c>
    </row>
    <row r="81" spans="1:11" s="1136" customFormat="1" ht="45">
      <c r="A81" s="1131">
        <v>75</v>
      </c>
      <c r="B81" s="1132" t="s">
        <v>9260</v>
      </c>
      <c r="C81" s="1133" t="s">
        <v>9261</v>
      </c>
      <c r="D81" s="1134" t="s">
        <v>9191</v>
      </c>
      <c r="E81" s="1135">
        <v>5190</v>
      </c>
      <c r="F81" s="1135">
        <v>445745.3</v>
      </c>
      <c r="G81" s="1135">
        <v>0</v>
      </c>
      <c r="H81" s="1135" t="e">
        <v>#REF!</v>
      </c>
      <c r="I81" s="1135" t="e">
        <v>#REF!</v>
      </c>
      <c r="J81" s="1135" t="e">
        <v>#REF!</v>
      </c>
      <c r="K81" s="1135" t="e">
        <v>#REF!</v>
      </c>
    </row>
    <row r="82" spans="1:11" s="1136" customFormat="1" ht="45">
      <c r="A82" s="1131">
        <v>76</v>
      </c>
      <c r="B82" s="1132" t="s">
        <v>9262</v>
      </c>
      <c r="C82" s="1133" t="s">
        <v>9263</v>
      </c>
      <c r="D82" s="1134" t="s">
        <v>9191</v>
      </c>
      <c r="E82" s="1135">
        <v>6090</v>
      </c>
      <c r="F82" s="1135">
        <v>561523.30000000005</v>
      </c>
      <c r="G82" s="1135">
        <v>0</v>
      </c>
      <c r="H82" s="1135" t="e">
        <v>#REF!</v>
      </c>
      <c r="I82" s="1135" t="e">
        <v>#REF!</v>
      </c>
      <c r="J82" s="1135" t="e">
        <v>#REF!</v>
      </c>
      <c r="K82" s="1135" t="e">
        <v>#REF!</v>
      </c>
    </row>
    <row r="83" spans="1:11" s="1136" customFormat="1" ht="45">
      <c r="A83" s="1131">
        <v>77</v>
      </c>
      <c r="B83" s="1132" t="s">
        <v>9264</v>
      </c>
      <c r="C83" s="1133" t="s">
        <v>9265</v>
      </c>
      <c r="D83" s="1134" t="s">
        <v>9191</v>
      </c>
      <c r="E83" s="1135">
        <v>7320</v>
      </c>
      <c r="F83" s="1135">
        <v>671512.4</v>
      </c>
      <c r="G83" s="1135">
        <v>0</v>
      </c>
      <c r="H83" s="1135" t="e">
        <v>#REF!</v>
      </c>
      <c r="I83" s="1135" t="e">
        <v>#REF!</v>
      </c>
      <c r="J83" s="1135" t="e">
        <v>#REF!</v>
      </c>
      <c r="K83" s="1135" t="e">
        <v>#REF!</v>
      </c>
    </row>
    <row r="84" spans="1:11" s="1136" customFormat="1" ht="45">
      <c r="A84" s="1131">
        <v>78</v>
      </c>
      <c r="B84" s="1132" t="s">
        <v>9266</v>
      </c>
      <c r="C84" s="1133" t="s">
        <v>9267</v>
      </c>
      <c r="D84" s="1134" t="s">
        <v>9191</v>
      </c>
      <c r="E84" s="1135">
        <v>8820</v>
      </c>
      <c r="F84" s="1135">
        <v>804657.1</v>
      </c>
      <c r="G84" s="1135">
        <v>0</v>
      </c>
      <c r="H84" s="1135" t="e">
        <v>#REF!</v>
      </c>
      <c r="I84" s="1135" t="e">
        <v>#REF!</v>
      </c>
      <c r="J84" s="1135" t="e">
        <v>#REF!</v>
      </c>
      <c r="K84" s="1135" t="e">
        <v>#REF!</v>
      </c>
    </row>
    <row r="85" spans="1:11" s="1136" customFormat="1" ht="45">
      <c r="A85" s="1131">
        <v>79</v>
      </c>
      <c r="B85" s="1132" t="s">
        <v>9268</v>
      </c>
      <c r="C85" s="1133" t="s">
        <v>9269</v>
      </c>
      <c r="D85" s="1134" t="s">
        <v>9191</v>
      </c>
      <c r="E85" s="1135">
        <v>10620</v>
      </c>
      <c r="F85" s="1135">
        <v>966746.3</v>
      </c>
      <c r="G85" s="1135">
        <v>0</v>
      </c>
      <c r="H85" s="1135" t="e">
        <v>#REF!</v>
      </c>
      <c r="I85" s="1135" t="e">
        <v>#REF!</v>
      </c>
      <c r="J85" s="1135" t="e">
        <v>#REF!</v>
      </c>
      <c r="K85" s="1135" t="e">
        <v>#REF!</v>
      </c>
    </row>
    <row r="86" spans="1:11" s="1136" customFormat="1" ht="45">
      <c r="A86" s="1131">
        <v>80</v>
      </c>
      <c r="B86" s="1132" t="s">
        <v>9270</v>
      </c>
      <c r="C86" s="1133" t="s">
        <v>9271</v>
      </c>
      <c r="D86" s="1134" t="s">
        <v>9191</v>
      </c>
      <c r="E86" s="1135">
        <v>1530</v>
      </c>
      <c r="F86" s="1135">
        <v>141828.1</v>
      </c>
      <c r="G86" s="1135">
        <v>0</v>
      </c>
      <c r="H86" s="1135" t="e">
        <v>#REF!</v>
      </c>
      <c r="I86" s="1135" t="e">
        <v>#REF!</v>
      </c>
      <c r="J86" s="1135" t="e">
        <v>#REF!</v>
      </c>
      <c r="K86" s="1135" t="e">
        <v>#REF!</v>
      </c>
    </row>
    <row r="87" spans="1:11" s="1136" customFormat="1" ht="45">
      <c r="A87" s="1131">
        <v>81</v>
      </c>
      <c r="B87" s="1132" t="s">
        <v>9272</v>
      </c>
      <c r="C87" s="1133" t="s">
        <v>9273</v>
      </c>
      <c r="D87" s="1134" t="s">
        <v>9191</v>
      </c>
      <c r="E87" s="1135">
        <v>2310</v>
      </c>
      <c r="F87" s="1135">
        <v>225767.1</v>
      </c>
      <c r="G87" s="1135">
        <v>0</v>
      </c>
      <c r="H87" s="1135" t="e">
        <v>#REF!</v>
      </c>
      <c r="I87" s="1135" t="e">
        <v>#REF!</v>
      </c>
      <c r="J87" s="1135" t="e">
        <v>#REF!</v>
      </c>
      <c r="K87" s="1135" t="e">
        <v>#REF!</v>
      </c>
    </row>
    <row r="88" spans="1:11" s="1136" customFormat="1" ht="45">
      <c r="A88" s="1131">
        <v>82</v>
      </c>
      <c r="B88" s="1132" t="s">
        <v>9274</v>
      </c>
      <c r="C88" s="1133" t="s">
        <v>9275</v>
      </c>
      <c r="D88" s="1134" t="s">
        <v>9191</v>
      </c>
      <c r="E88" s="1135">
        <v>3690</v>
      </c>
      <c r="F88" s="1135">
        <v>364700.7</v>
      </c>
      <c r="G88" s="1135">
        <v>0</v>
      </c>
      <c r="H88" s="1135" t="e">
        <v>#REF!</v>
      </c>
      <c r="I88" s="1135" t="e">
        <v>#REF!</v>
      </c>
      <c r="J88" s="1135" t="e">
        <v>#REF!</v>
      </c>
      <c r="K88" s="1135" t="e">
        <v>#REF!</v>
      </c>
    </row>
    <row r="89" spans="1:11" s="1136" customFormat="1" ht="45">
      <c r="A89" s="1131">
        <v>83</v>
      </c>
      <c r="B89" s="1132" t="s">
        <v>9276</v>
      </c>
      <c r="C89" s="1133" t="s">
        <v>9277</v>
      </c>
      <c r="D89" s="1134" t="s">
        <v>9191</v>
      </c>
      <c r="E89" s="1135">
        <v>5190</v>
      </c>
      <c r="F89" s="1135">
        <v>512317.7</v>
      </c>
      <c r="G89" s="1135">
        <v>0</v>
      </c>
      <c r="H89" s="1135" t="e">
        <v>#REF!</v>
      </c>
      <c r="I89" s="1135" t="e">
        <v>#REF!</v>
      </c>
      <c r="J89" s="1135" t="e">
        <v>#REF!</v>
      </c>
      <c r="K89" s="1135" t="e">
        <v>#REF!</v>
      </c>
    </row>
    <row r="90" spans="1:11" s="1136" customFormat="1" ht="45">
      <c r="A90" s="1131">
        <v>84</v>
      </c>
      <c r="B90" s="1132" t="s">
        <v>9278</v>
      </c>
      <c r="C90" s="1133" t="s">
        <v>9279</v>
      </c>
      <c r="D90" s="1134" t="s">
        <v>9191</v>
      </c>
      <c r="E90" s="1135">
        <v>6090</v>
      </c>
      <c r="F90" s="1135">
        <v>651251.30000000005</v>
      </c>
      <c r="G90" s="1135">
        <v>0</v>
      </c>
      <c r="H90" s="1135" t="e">
        <v>#REF!</v>
      </c>
      <c r="I90" s="1135" t="e">
        <v>#REF!</v>
      </c>
      <c r="J90" s="1135" t="e">
        <v>#REF!</v>
      </c>
      <c r="K90" s="1135" t="e">
        <v>#REF!</v>
      </c>
    </row>
    <row r="91" spans="1:11" s="1136" customFormat="1" ht="45">
      <c r="A91" s="1131">
        <v>85</v>
      </c>
      <c r="B91" s="1132" t="s">
        <v>9280</v>
      </c>
      <c r="C91" s="1133" t="s">
        <v>9281</v>
      </c>
      <c r="D91" s="1134" t="s">
        <v>9191</v>
      </c>
      <c r="E91" s="1135">
        <v>7320</v>
      </c>
      <c r="F91" s="1135">
        <v>769923.7</v>
      </c>
      <c r="G91" s="1135">
        <v>0</v>
      </c>
      <c r="H91" s="1135" t="e">
        <v>#REF!</v>
      </c>
      <c r="I91" s="1135" t="e">
        <v>#REF!</v>
      </c>
      <c r="J91" s="1135" t="e">
        <v>#REF!</v>
      </c>
      <c r="K91" s="1135" t="e">
        <v>#REF!</v>
      </c>
    </row>
    <row r="92" spans="1:11" s="1136" customFormat="1" ht="45">
      <c r="A92" s="1131">
        <v>86</v>
      </c>
      <c r="B92" s="1132" t="s">
        <v>9282</v>
      </c>
      <c r="C92" s="1133" t="s">
        <v>9283</v>
      </c>
      <c r="D92" s="1134" t="s">
        <v>9191</v>
      </c>
      <c r="E92" s="1135">
        <v>8820</v>
      </c>
      <c r="F92" s="1135">
        <v>923329.6</v>
      </c>
      <c r="G92" s="1135">
        <v>0</v>
      </c>
      <c r="H92" s="1135" t="e">
        <v>#REF!</v>
      </c>
      <c r="I92" s="1135" t="e">
        <v>#REF!</v>
      </c>
      <c r="J92" s="1135" t="e">
        <v>#REF!</v>
      </c>
      <c r="K92" s="1135" t="e">
        <v>#REF!</v>
      </c>
    </row>
    <row r="93" spans="1:11" s="1136" customFormat="1" ht="45">
      <c r="A93" s="1131">
        <v>87</v>
      </c>
      <c r="B93" s="1132" t="s">
        <v>9284</v>
      </c>
      <c r="C93" s="1133" t="s">
        <v>9285</v>
      </c>
      <c r="D93" s="1134" t="s">
        <v>9191</v>
      </c>
      <c r="E93" s="1135">
        <v>10620</v>
      </c>
      <c r="F93" s="1135">
        <v>1096996.6000000001</v>
      </c>
      <c r="G93" s="1135">
        <v>0</v>
      </c>
      <c r="H93" s="1135" t="e">
        <v>#REF!</v>
      </c>
      <c r="I93" s="1135" t="e">
        <v>#REF!</v>
      </c>
      <c r="J93" s="1135" t="e">
        <v>#REF!</v>
      </c>
      <c r="K93" s="1135" t="e">
        <v>#REF!</v>
      </c>
    </row>
    <row r="94" spans="1:11" s="1136" customFormat="1" ht="45">
      <c r="A94" s="1131">
        <v>88</v>
      </c>
      <c r="B94" s="1132" t="s">
        <v>9286</v>
      </c>
      <c r="C94" s="1133" t="s">
        <v>9287</v>
      </c>
      <c r="D94" s="1134" t="s">
        <v>9191</v>
      </c>
      <c r="E94" s="1135">
        <v>1530</v>
      </c>
      <c r="F94" s="1135">
        <v>162089.20000000001</v>
      </c>
      <c r="G94" s="1135">
        <v>0</v>
      </c>
      <c r="H94" s="1135" t="e">
        <v>#REF!</v>
      </c>
      <c r="I94" s="1135" t="e">
        <v>#REF!</v>
      </c>
      <c r="J94" s="1135" t="e">
        <v>#REF!</v>
      </c>
      <c r="K94" s="1135" t="e">
        <v>#REF!</v>
      </c>
    </row>
    <row r="95" spans="1:11" s="1136" customFormat="1" ht="45">
      <c r="A95" s="1131">
        <v>89</v>
      </c>
      <c r="B95" s="1132" t="s">
        <v>9288</v>
      </c>
      <c r="C95" s="1133" t="s">
        <v>9289</v>
      </c>
      <c r="D95" s="1134" t="s">
        <v>9191</v>
      </c>
      <c r="E95" s="1135">
        <v>2310</v>
      </c>
      <c r="F95" s="1135">
        <v>248922.7</v>
      </c>
      <c r="G95" s="1135">
        <v>0</v>
      </c>
      <c r="H95" s="1135" t="e">
        <v>#REF!</v>
      </c>
      <c r="I95" s="1135" t="e">
        <v>#REF!</v>
      </c>
      <c r="J95" s="1135" t="e">
        <v>#REF!</v>
      </c>
      <c r="K95" s="1135" t="e">
        <v>#REF!</v>
      </c>
    </row>
    <row r="96" spans="1:11" s="1136" customFormat="1" ht="45">
      <c r="A96" s="1131">
        <v>90</v>
      </c>
      <c r="B96" s="1132" t="s">
        <v>9290</v>
      </c>
      <c r="C96" s="1133" t="s">
        <v>9291</v>
      </c>
      <c r="D96" s="1134" t="s">
        <v>9191</v>
      </c>
      <c r="E96" s="1135">
        <v>3690</v>
      </c>
      <c r="F96" s="1135">
        <v>396539.7</v>
      </c>
      <c r="G96" s="1135">
        <v>0</v>
      </c>
      <c r="H96" s="1135" t="e">
        <v>#REF!</v>
      </c>
      <c r="I96" s="1135" t="e">
        <v>#REF!</v>
      </c>
      <c r="J96" s="1135" t="e">
        <v>#REF!</v>
      </c>
      <c r="K96" s="1135" t="e">
        <v>#REF!</v>
      </c>
    </row>
    <row r="97" spans="1:11" s="1136" customFormat="1" ht="45">
      <c r="A97" s="1131">
        <v>91</v>
      </c>
      <c r="B97" s="1132" t="s">
        <v>9292</v>
      </c>
      <c r="C97" s="1133" t="s">
        <v>9293</v>
      </c>
      <c r="D97" s="1134" t="s">
        <v>9191</v>
      </c>
      <c r="E97" s="1135">
        <v>5190</v>
      </c>
      <c r="F97" s="1135">
        <v>564417.80000000005</v>
      </c>
      <c r="G97" s="1135">
        <v>0</v>
      </c>
      <c r="H97" s="1135" t="e">
        <v>#REF!</v>
      </c>
      <c r="I97" s="1135" t="e">
        <v>#REF!</v>
      </c>
      <c r="J97" s="1135" t="e">
        <v>#REF!</v>
      </c>
      <c r="K97" s="1135" t="e">
        <v>#REF!</v>
      </c>
    </row>
    <row r="98" spans="1:11" s="1136" customFormat="1" ht="45">
      <c r="A98" s="1131">
        <v>92</v>
      </c>
      <c r="B98" s="1132" t="s">
        <v>9294</v>
      </c>
      <c r="C98" s="1133" t="s">
        <v>9295</v>
      </c>
      <c r="D98" s="1134" t="s">
        <v>9191</v>
      </c>
      <c r="E98" s="1135">
        <v>6090</v>
      </c>
      <c r="F98" s="1135">
        <v>714929.2</v>
      </c>
      <c r="G98" s="1135">
        <v>0</v>
      </c>
      <c r="H98" s="1135" t="e">
        <v>#REF!</v>
      </c>
      <c r="I98" s="1135" t="e">
        <v>#REF!</v>
      </c>
      <c r="J98" s="1135" t="e">
        <v>#REF!</v>
      </c>
      <c r="K98" s="1135" t="e">
        <v>#REF!</v>
      </c>
    </row>
    <row r="99" spans="1:11" s="1136" customFormat="1" ht="45">
      <c r="A99" s="1131">
        <v>93</v>
      </c>
      <c r="B99" s="1132" t="s">
        <v>9296</v>
      </c>
      <c r="C99" s="1133" t="s">
        <v>9297</v>
      </c>
      <c r="D99" s="1134" t="s">
        <v>9191</v>
      </c>
      <c r="E99" s="1135">
        <v>7320</v>
      </c>
      <c r="F99" s="1135">
        <v>856757.2</v>
      </c>
      <c r="G99" s="1135">
        <v>0</v>
      </c>
      <c r="H99" s="1135" t="e">
        <v>#REF!</v>
      </c>
      <c r="I99" s="1135" t="e">
        <v>#REF!</v>
      </c>
      <c r="J99" s="1135" t="e">
        <v>#REF!</v>
      </c>
      <c r="K99" s="1135" t="e">
        <v>#REF!</v>
      </c>
    </row>
    <row r="100" spans="1:11" s="1136" customFormat="1" ht="45">
      <c r="A100" s="1131">
        <v>94</v>
      </c>
      <c r="B100" s="1132" t="s">
        <v>9298</v>
      </c>
      <c r="C100" s="1133" t="s">
        <v>9299</v>
      </c>
      <c r="D100" s="1134" t="s">
        <v>9191</v>
      </c>
      <c r="E100" s="1135">
        <v>8820</v>
      </c>
      <c r="F100" s="1135">
        <v>1027529.8</v>
      </c>
      <c r="G100" s="1135">
        <v>0</v>
      </c>
      <c r="H100" s="1135" t="e">
        <v>#REF!</v>
      </c>
      <c r="I100" s="1135" t="e">
        <v>#REF!</v>
      </c>
      <c r="J100" s="1135" t="e">
        <v>#REF!</v>
      </c>
      <c r="K100" s="1135" t="e">
        <v>#REF!</v>
      </c>
    </row>
    <row r="101" spans="1:11" s="1136" customFormat="1" ht="45">
      <c r="A101" s="1131">
        <v>95</v>
      </c>
      <c r="B101" s="1132" t="s">
        <v>9300</v>
      </c>
      <c r="C101" s="1133" t="s">
        <v>9301</v>
      </c>
      <c r="D101" s="1134" t="s">
        <v>9191</v>
      </c>
      <c r="E101" s="1135">
        <v>10620</v>
      </c>
      <c r="F101" s="1135">
        <v>1233035.7</v>
      </c>
      <c r="G101" s="1135">
        <v>0</v>
      </c>
      <c r="H101" s="1135" t="e">
        <v>#REF!</v>
      </c>
      <c r="I101" s="1135" t="e">
        <v>#REF!</v>
      </c>
      <c r="J101" s="1135" t="e">
        <v>#REF!</v>
      </c>
      <c r="K101" s="1135" t="e">
        <v>#REF!</v>
      </c>
    </row>
    <row r="102" spans="1:11" s="1136" customFormat="1" ht="45">
      <c r="A102" s="1131">
        <v>96</v>
      </c>
      <c r="B102" s="1132" t="s">
        <v>9302</v>
      </c>
      <c r="C102" s="1133" t="s">
        <v>9303</v>
      </c>
      <c r="D102" s="1134" t="s">
        <v>9191</v>
      </c>
      <c r="E102" s="1135">
        <v>1530</v>
      </c>
      <c r="F102" s="1135">
        <v>179455.9</v>
      </c>
      <c r="G102" s="1135">
        <v>0</v>
      </c>
      <c r="H102" s="1135" t="e">
        <v>#REF!</v>
      </c>
      <c r="I102" s="1135" t="e">
        <v>#REF!</v>
      </c>
      <c r="J102" s="1135" t="e">
        <v>#REF!</v>
      </c>
      <c r="K102" s="1135" t="e">
        <v>#REF!</v>
      </c>
    </row>
    <row r="103" spans="1:11" s="1136" customFormat="1" ht="45">
      <c r="A103" s="1131">
        <v>97</v>
      </c>
      <c r="B103" s="1132" t="s">
        <v>9304</v>
      </c>
      <c r="C103" s="1133" t="s">
        <v>9305</v>
      </c>
      <c r="D103" s="1134" t="s">
        <v>9191</v>
      </c>
      <c r="E103" s="1135">
        <v>2310</v>
      </c>
      <c r="F103" s="1135">
        <v>274972.79999999999</v>
      </c>
      <c r="G103" s="1135">
        <v>0</v>
      </c>
      <c r="H103" s="1135" t="e">
        <v>#REF!</v>
      </c>
      <c r="I103" s="1135" t="e">
        <v>#REF!</v>
      </c>
      <c r="J103" s="1135" t="e">
        <v>#REF!</v>
      </c>
      <c r="K103" s="1135" t="e">
        <v>#REF!</v>
      </c>
    </row>
    <row r="104" spans="1:11" s="1136" customFormat="1" ht="45">
      <c r="A104" s="1131">
        <v>98</v>
      </c>
      <c r="B104" s="1132" t="s">
        <v>9306</v>
      </c>
      <c r="C104" s="1133" t="s">
        <v>9307</v>
      </c>
      <c r="D104" s="1134" t="s">
        <v>9191</v>
      </c>
      <c r="E104" s="1135">
        <v>3690</v>
      </c>
      <c r="F104" s="1135">
        <v>437062</v>
      </c>
      <c r="G104" s="1135">
        <v>0</v>
      </c>
      <c r="H104" s="1135" t="e">
        <v>#REF!</v>
      </c>
      <c r="I104" s="1135" t="e">
        <v>#REF!</v>
      </c>
      <c r="J104" s="1135" t="e">
        <v>#REF!</v>
      </c>
      <c r="K104" s="1135" t="e">
        <v>#REF!</v>
      </c>
    </row>
    <row r="105" spans="1:11" s="1136" customFormat="1" ht="45">
      <c r="A105" s="1131">
        <v>99</v>
      </c>
      <c r="B105" s="1132" t="s">
        <v>9308</v>
      </c>
      <c r="C105" s="1133" t="s">
        <v>9309</v>
      </c>
      <c r="D105" s="1134" t="s">
        <v>9191</v>
      </c>
      <c r="E105" s="1135">
        <v>5190</v>
      </c>
      <c r="F105" s="1135">
        <v>619412.30000000005</v>
      </c>
      <c r="G105" s="1135">
        <v>0</v>
      </c>
      <c r="H105" s="1135" t="e">
        <v>#REF!</v>
      </c>
      <c r="I105" s="1135" t="e">
        <v>#REF!</v>
      </c>
      <c r="J105" s="1135" t="e">
        <v>#REF!</v>
      </c>
      <c r="K105" s="1135" t="e">
        <v>#REF!</v>
      </c>
    </row>
    <row r="106" spans="1:11" s="1136" customFormat="1" ht="45">
      <c r="A106" s="1131">
        <v>100</v>
      </c>
      <c r="B106" s="1132" t="s">
        <v>9310</v>
      </c>
      <c r="C106" s="1133" t="s">
        <v>9311</v>
      </c>
      <c r="D106" s="1134" t="s">
        <v>9191</v>
      </c>
      <c r="E106" s="1135">
        <v>6090</v>
      </c>
      <c r="F106" s="1135">
        <v>787290.4</v>
      </c>
      <c r="G106" s="1135">
        <v>0</v>
      </c>
      <c r="H106" s="1135" t="e">
        <v>#REF!</v>
      </c>
      <c r="I106" s="1135" t="e">
        <v>#REF!</v>
      </c>
      <c r="J106" s="1135" t="e">
        <v>#REF!</v>
      </c>
      <c r="K106" s="1135" t="e">
        <v>#REF!</v>
      </c>
    </row>
    <row r="107" spans="1:11" s="1136" customFormat="1" ht="45">
      <c r="A107" s="1131">
        <v>101</v>
      </c>
      <c r="B107" s="1132" t="s">
        <v>9312</v>
      </c>
      <c r="C107" s="1133" t="s">
        <v>9313</v>
      </c>
      <c r="D107" s="1134" t="s">
        <v>9191</v>
      </c>
      <c r="E107" s="1135">
        <v>7320</v>
      </c>
      <c r="F107" s="1135">
        <v>940696.3</v>
      </c>
      <c r="G107" s="1135">
        <v>0</v>
      </c>
      <c r="H107" s="1135" t="e">
        <v>#REF!</v>
      </c>
      <c r="I107" s="1135" t="e">
        <v>#REF!</v>
      </c>
      <c r="J107" s="1135" t="e">
        <v>#REF!</v>
      </c>
      <c r="K107" s="1135" t="e">
        <v>#REF!</v>
      </c>
    </row>
    <row r="108" spans="1:11" s="1136" customFormat="1" ht="45">
      <c r="A108" s="1131">
        <v>102</v>
      </c>
      <c r="B108" s="1132" t="s">
        <v>9314</v>
      </c>
      <c r="C108" s="1133" t="s">
        <v>9315</v>
      </c>
      <c r="D108" s="1134" t="s">
        <v>9191</v>
      </c>
      <c r="E108" s="1135">
        <v>8820</v>
      </c>
      <c r="F108" s="1135">
        <v>1128835.5</v>
      </c>
      <c r="G108" s="1135">
        <v>0</v>
      </c>
      <c r="H108" s="1135" t="e">
        <v>#REF!</v>
      </c>
      <c r="I108" s="1135" t="e">
        <v>#REF!</v>
      </c>
      <c r="J108" s="1135" t="e">
        <v>#REF!</v>
      </c>
      <c r="K108" s="1135" t="e">
        <v>#REF!</v>
      </c>
    </row>
    <row r="109" spans="1:11" s="1136" customFormat="1" ht="45">
      <c r="A109" s="1131">
        <v>103</v>
      </c>
      <c r="B109" s="1132" t="s">
        <v>9316</v>
      </c>
      <c r="C109" s="1133" t="s">
        <v>9317</v>
      </c>
      <c r="D109" s="1134" t="s">
        <v>9191</v>
      </c>
      <c r="E109" s="1135">
        <v>10620</v>
      </c>
      <c r="F109" s="1135">
        <v>1354602.6</v>
      </c>
      <c r="G109" s="1135">
        <v>0</v>
      </c>
      <c r="H109" s="1135" t="e">
        <v>#REF!</v>
      </c>
      <c r="I109" s="1135" t="e">
        <v>#REF!</v>
      </c>
      <c r="J109" s="1135" t="e">
        <v>#REF!</v>
      </c>
      <c r="K109" s="1135" t="e">
        <v>#REF!</v>
      </c>
    </row>
    <row r="110" spans="1:11" s="1136" customFormat="1" ht="45">
      <c r="A110" s="1131">
        <v>104</v>
      </c>
      <c r="B110" s="1132" t="s">
        <v>9318</v>
      </c>
      <c r="C110" s="1133" t="s">
        <v>9319</v>
      </c>
      <c r="D110" s="1134" t="s">
        <v>9191</v>
      </c>
      <c r="E110" s="1135">
        <v>1530</v>
      </c>
      <c r="F110" s="1135">
        <v>205506</v>
      </c>
      <c r="G110" s="1135">
        <v>0</v>
      </c>
      <c r="H110" s="1135" t="e">
        <v>#REF!</v>
      </c>
      <c r="I110" s="1135" t="e">
        <v>#REF!</v>
      </c>
      <c r="J110" s="1135" t="e">
        <v>#REF!</v>
      </c>
      <c r="K110" s="1135" t="e">
        <v>#REF!</v>
      </c>
    </row>
    <row r="111" spans="1:11" s="1136" customFormat="1" ht="45">
      <c r="A111" s="1131">
        <v>105</v>
      </c>
      <c r="B111" s="1132" t="s">
        <v>9320</v>
      </c>
      <c r="C111" s="1133" t="s">
        <v>9321</v>
      </c>
      <c r="D111" s="1134" t="s">
        <v>9191</v>
      </c>
      <c r="E111" s="1135">
        <v>2310</v>
      </c>
      <c r="F111" s="1135">
        <v>315495.09999999998</v>
      </c>
      <c r="G111" s="1135">
        <v>0</v>
      </c>
      <c r="H111" s="1135" t="e">
        <v>#REF!</v>
      </c>
      <c r="I111" s="1135" t="e">
        <v>#REF!</v>
      </c>
      <c r="J111" s="1135" t="e">
        <v>#REF!</v>
      </c>
      <c r="K111" s="1135" t="e">
        <v>#REF!</v>
      </c>
    </row>
    <row r="112" spans="1:11" s="1136" customFormat="1" ht="45">
      <c r="A112" s="1131">
        <v>106</v>
      </c>
      <c r="B112" s="1132" t="s">
        <v>9322</v>
      </c>
      <c r="C112" s="1133" t="s">
        <v>9323</v>
      </c>
      <c r="D112" s="1134" t="s">
        <v>9191</v>
      </c>
      <c r="E112" s="1135">
        <v>3690</v>
      </c>
      <c r="F112" s="1135">
        <v>500739.9</v>
      </c>
      <c r="G112" s="1135">
        <v>0</v>
      </c>
      <c r="H112" s="1135" t="e">
        <v>#REF!</v>
      </c>
      <c r="I112" s="1135" t="e">
        <v>#REF!</v>
      </c>
      <c r="J112" s="1135" t="e">
        <v>#REF!</v>
      </c>
      <c r="K112" s="1135" t="e">
        <v>#REF!</v>
      </c>
    </row>
    <row r="113" spans="1:11" s="1136" customFormat="1" ht="45">
      <c r="A113" s="1131">
        <v>107</v>
      </c>
      <c r="B113" s="1132" t="s">
        <v>9324</v>
      </c>
      <c r="C113" s="1133" t="s">
        <v>9325</v>
      </c>
      <c r="D113" s="1134" t="s">
        <v>9191</v>
      </c>
      <c r="E113" s="1135">
        <v>5190</v>
      </c>
      <c r="F113" s="1135">
        <v>714929.2</v>
      </c>
      <c r="G113" s="1135">
        <v>0</v>
      </c>
      <c r="H113" s="1135" t="e">
        <v>#REF!</v>
      </c>
      <c r="I113" s="1135" t="e">
        <v>#REF!</v>
      </c>
      <c r="J113" s="1135" t="e">
        <v>#REF!</v>
      </c>
      <c r="K113" s="1135" t="e">
        <v>#REF!</v>
      </c>
    </row>
    <row r="114" spans="1:11" s="1136" customFormat="1" ht="45">
      <c r="A114" s="1131">
        <v>108</v>
      </c>
      <c r="B114" s="1132" t="s">
        <v>9326</v>
      </c>
      <c r="C114" s="1133" t="s">
        <v>9327</v>
      </c>
      <c r="D114" s="1134" t="s">
        <v>9191</v>
      </c>
      <c r="E114" s="1135">
        <v>6090</v>
      </c>
      <c r="F114" s="1135">
        <v>905962.9</v>
      </c>
      <c r="G114" s="1135">
        <v>0</v>
      </c>
      <c r="H114" s="1135" t="e">
        <v>#REF!</v>
      </c>
      <c r="I114" s="1135" t="e">
        <v>#REF!</v>
      </c>
      <c r="J114" s="1135" t="e">
        <v>#REF!</v>
      </c>
      <c r="K114" s="1135" t="e">
        <v>#REF!</v>
      </c>
    </row>
    <row r="115" spans="1:11" s="1136" customFormat="1" ht="45">
      <c r="A115" s="1131">
        <v>109</v>
      </c>
      <c r="B115" s="1132" t="s">
        <v>9328</v>
      </c>
      <c r="C115" s="1133" t="s">
        <v>9329</v>
      </c>
      <c r="D115" s="1134" t="s">
        <v>9191</v>
      </c>
      <c r="E115" s="1135">
        <v>7320</v>
      </c>
      <c r="F115" s="1135">
        <v>1082524.3</v>
      </c>
      <c r="G115" s="1135">
        <v>0</v>
      </c>
      <c r="H115" s="1135" t="e">
        <v>#REF!</v>
      </c>
      <c r="I115" s="1135" t="e">
        <v>#REF!</v>
      </c>
      <c r="J115" s="1135" t="e">
        <v>#REF!</v>
      </c>
      <c r="K115" s="1135" t="e">
        <v>#REF!</v>
      </c>
    </row>
    <row r="116" spans="1:11" s="1136" customFormat="1" ht="45">
      <c r="A116" s="1131">
        <v>110</v>
      </c>
      <c r="B116" s="1132" t="s">
        <v>9330</v>
      </c>
      <c r="C116" s="1133" t="s">
        <v>9331</v>
      </c>
      <c r="D116" s="1134" t="s">
        <v>9191</v>
      </c>
      <c r="E116" s="1135">
        <v>8820</v>
      </c>
      <c r="F116" s="1135">
        <v>1299608.1000000001</v>
      </c>
      <c r="G116" s="1135">
        <v>0</v>
      </c>
      <c r="H116" s="1135" t="e">
        <v>#REF!</v>
      </c>
      <c r="I116" s="1135" t="e">
        <v>#REF!</v>
      </c>
      <c r="J116" s="1135" t="e">
        <v>#REF!</v>
      </c>
      <c r="K116" s="1135" t="e">
        <v>#REF!</v>
      </c>
    </row>
    <row r="117" spans="1:11" s="1136" customFormat="1" ht="45">
      <c r="A117" s="1131">
        <v>111</v>
      </c>
      <c r="B117" s="1132" t="s">
        <v>9332</v>
      </c>
      <c r="C117" s="1133" t="s">
        <v>9333</v>
      </c>
      <c r="D117" s="1134" t="s">
        <v>9191</v>
      </c>
      <c r="E117" s="1135">
        <v>10620</v>
      </c>
      <c r="F117" s="1135">
        <v>1560108.6</v>
      </c>
      <c r="G117" s="1135">
        <v>0</v>
      </c>
      <c r="H117" s="1135" t="e">
        <v>#REF!</v>
      </c>
      <c r="I117" s="1135" t="e">
        <v>#REF!</v>
      </c>
      <c r="J117" s="1135" t="e">
        <v>#REF!</v>
      </c>
      <c r="K117" s="1135" t="e">
        <v>#REF!</v>
      </c>
    </row>
    <row r="118" spans="1:11" s="1136" customFormat="1" ht="45">
      <c r="A118" s="1131">
        <v>112</v>
      </c>
      <c r="B118" s="1132" t="s">
        <v>9334</v>
      </c>
      <c r="C118" s="1133" t="s">
        <v>9335</v>
      </c>
      <c r="D118" s="1134" t="s">
        <v>9191</v>
      </c>
      <c r="E118" s="1135">
        <v>1530</v>
      </c>
      <c r="F118" s="1135">
        <v>234450.5</v>
      </c>
      <c r="G118" s="1135">
        <v>0</v>
      </c>
      <c r="H118" s="1135" t="e">
        <v>#REF!</v>
      </c>
      <c r="I118" s="1135" t="e">
        <v>#REF!</v>
      </c>
      <c r="J118" s="1135" t="e">
        <v>#REF!</v>
      </c>
      <c r="K118" s="1135" t="e">
        <v>#REF!</v>
      </c>
    </row>
    <row r="119" spans="1:11" s="1136" customFormat="1" ht="45">
      <c r="A119" s="1131">
        <v>113</v>
      </c>
      <c r="B119" s="1132" t="s">
        <v>9336</v>
      </c>
      <c r="C119" s="1133" t="s">
        <v>9337</v>
      </c>
      <c r="D119" s="1134" t="s">
        <v>9191</v>
      </c>
      <c r="E119" s="1135">
        <v>2310</v>
      </c>
      <c r="F119" s="1135">
        <v>364700.7</v>
      </c>
      <c r="G119" s="1135">
        <v>0</v>
      </c>
      <c r="H119" s="1135" t="e">
        <v>#REF!</v>
      </c>
      <c r="I119" s="1135" t="e">
        <v>#REF!</v>
      </c>
      <c r="J119" s="1135" t="e">
        <v>#REF!</v>
      </c>
      <c r="K119" s="1135" t="e">
        <v>#REF!</v>
      </c>
    </row>
    <row r="120" spans="1:11" s="1136" customFormat="1" ht="45">
      <c r="A120" s="1131">
        <v>114</v>
      </c>
      <c r="B120" s="1132" t="s">
        <v>9338</v>
      </c>
      <c r="C120" s="1133" t="s">
        <v>9339</v>
      </c>
      <c r="D120" s="1134" t="s">
        <v>9191</v>
      </c>
      <c r="E120" s="1135">
        <v>3690</v>
      </c>
      <c r="F120" s="1135">
        <v>578890</v>
      </c>
      <c r="G120" s="1135">
        <v>0</v>
      </c>
      <c r="H120" s="1135" t="e">
        <v>#REF!</v>
      </c>
      <c r="I120" s="1135" t="e">
        <v>#REF!</v>
      </c>
      <c r="J120" s="1135" t="e">
        <v>#REF!</v>
      </c>
      <c r="K120" s="1135" t="e">
        <v>#REF!</v>
      </c>
    </row>
    <row r="121" spans="1:11" s="1136" customFormat="1" ht="45">
      <c r="A121" s="1131">
        <v>115</v>
      </c>
      <c r="B121" s="1132" t="s">
        <v>9340</v>
      </c>
      <c r="C121" s="1133" t="s">
        <v>9341</v>
      </c>
      <c r="D121" s="1134" t="s">
        <v>9191</v>
      </c>
      <c r="E121" s="1135">
        <v>5040</v>
      </c>
      <c r="F121" s="1135">
        <v>822023.8</v>
      </c>
      <c r="G121" s="1135">
        <v>0</v>
      </c>
      <c r="H121" s="1135" t="e">
        <v>#REF!</v>
      </c>
      <c r="I121" s="1135" t="e">
        <v>#REF!</v>
      </c>
      <c r="J121" s="1135" t="e">
        <v>#REF!</v>
      </c>
      <c r="K121" s="1135" t="e">
        <v>#REF!</v>
      </c>
    </row>
    <row r="122" spans="1:11" s="1136" customFormat="1" ht="45">
      <c r="A122" s="1131">
        <v>116</v>
      </c>
      <c r="B122" s="1132" t="s">
        <v>9342</v>
      </c>
      <c r="C122" s="1133" t="s">
        <v>9343</v>
      </c>
      <c r="D122" s="1134" t="s">
        <v>9191</v>
      </c>
      <c r="E122" s="1135">
        <v>6090</v>
      </c>
      <c r="F122" s="1135">
        <v>1044896.5</v>
      </c>
      <c r="G122" s="1135">
        <v>0</v>
      </c>
      <c r="H122" s="1135" t="e">
        <v>#REF!</v>
      </c>
      <c r="I122" s="1135" t="e">
        <v>#REF!</v>
      </c>
      <c r="J122" s="1135" t="e">
        <v>#REF!</v>
      </c>
      <c r="K122" s="1135" t="e">
        <v>#REF!</v>
      </c>
    </row>
    <row r="123" spans="1:11" s="1136" customFormat="1" ht="45">
      <c r="A123" s="1131">
        <v>117</v>
      </c>
      <c r="B123" s="1132" t="s">
        <v>9344</v>
      </c>
      <c r="C123" s="1133" t="s">
        <v>9345</v>
      </c>
      <c r="D123" s="1134" t="s">
        <v>9191</v>
      </c>
      <c r="E123" s="1135">
        <v>7320</v>
      </c>
      <c r="F123" s="1135">
        <v>1244613.5</v>
      </c>
      <c r="G123" s="1135">
        <v>0</v>
      </c>
      <c r="H123" s="1135" t="e">
        <v>#REF!</v>
      </c>
      <c r="I123" s="1135" t="e">
        <v>#REF!</v>
      </c>
      <c r="J123" s="1135" t="e">
        <v>#REF!</v>
      </c>
      <c r="K123" s="1135" t="e">
        <v>#REF!</v>
      </c>
    </row>
    <row r="124" spans="1:11" s="1136" customFormat="1" ht="45">
      <c r="A124" s="1131">
        <v>118</v>
      </c>
      <c r="B124" s="1132" t="s">
        <v>9346</v>
      </c>
      <c r="C124" s="1133" t="s">
        <v>9347</v>
      </c>
      <c r="D124" s="1134" t="s">
        <v>9191</v>
      </c>
      <c r="E124" s="1135">
        <v>8820</v>
      </c>
      <c r="F124" s="1135">
        <v>1496430.7</v>
      </c>
      <c r="G124" s="1135">
        <v>0</v>
      </c>
      <c r="H124" s="1135" t="e">
        <v>#REF!</v>
      </c>
      <c r="I124" s="1135" t="e">
        <v>#REF!</v>
      </c>
      <c r="J124" s="1135" t="e">
        <v>#REF!</v>
      </c>
      <c r="K124" s="1135" t="e">
        <v>#REF!</v>
      </c>
    </row>
    <row r="125" spans="1:11" s="1136" customFormat="1" ht="45">
      <c r="A125" s="1131">
        <v>119</v>
      </c>
      <c r="B125" s="1132" t="s">
        <v>9348</v>
      </c>
      <c r="C125" s="1133" t="s">
        <v>9349</v>
      </c>
      <c r="D125" s="1134" t="s">
        <v>9191</v>
      </c>
      <c r="E125" s="1135">
        <v>10620</v>
      </c>
      <c r="F125" s="1135">
        <v>1797453.5</v>
      </c>
      <c r="G125" s="1135">
        <v>0</v>
      </c>
      <c r="H125" s="1135" t="e">
        <v>#REF!</v>
      </c>
      <c r="I125" s="1135" t="e">
        <v>#REF!</v>
      </c>
      <c r="J125" s="1135" t="e">
        <v>#REF!</v>
      </c>
      <c r="K125" s="1135" t="e">
        <v>#REF!</v>
      </c>
    </row>
    <row r="126" spans="1:11" s="1136" customFormat="1" ht="45">
      <c r="A126" s="1131">
        <v>120</v>
      </c>
      <c r="B126" s="1132" t="s">
        <v>9350</v>
      </c>
      <c r="C126" s="1133" t="s">
        <v>9351</v>
      </c>
      <c r="D126" s="1134" t="s">
        <v>9191</v>
      </c>
      <c r="E126" s="1135">
        <v>6642</v>
      </c>
      <c r="F126" s="1135">
        <v>544156.6</v>
      </c>
      <c r="G126" s="1135">
        <v>0</v>
      </c>
      <c r="H126" s="1135" t="e">
        <v>#REF!</v>
      </c>
      <c r="I126" s="1135" t="e">
        <v>#REF!</v>
      </c>
      <c r="J126" s="1135" t="e">
        <v>#REF!</v>
      </c>
      <c r="K126" s="1135" t="e">
        <v>#REF!</v>
      </c>
    </row>
    <row r="127" spans="1:11" s="1136" customFormat="1" ht="45">
      <c r="A127" s="1131">
        <v>121</v>
      </c>
      <c r="B127" s="1132" t="s">
        <v>9352</v>
      </c>
      <c r="C127" s="1133" t="s">
        <v>9353</v>
      </c>
      <c r="D127" s="1134" t="s">
        <v>9191</v>
      </c>
      <c r="E127" s="1135">
        <v>9072</v>
      </c>
      <c r="F127" s="1135">
        <v>761240.4</v>
      </c>
      <c r="G127" s="1135">
        <v>0</v>
      </c>
      <c r="H127" s="1135" t="e">
        <v>#REF!</v>
      </c>
      <c r="I127" s="1135" t="e">
        <v>#REF!</v>
      </c>
      <c r="J127" s="1135" t="e">
        <v>#REF!</v>
      </c>
      <c r="K127" s="1135" t="e">
        <v>#REF!</v>
      </c>
    </row>
    <row r="128" spans="1:11" s="1136" customFormat="1" ht="45">
      <c r="A128" s="1131">
        <v>122</v>
      </c>
      <c r="B128" s="1132" t="s">
        <v>9354</v>
      </c>
      <c r="C128" s="1133" t="s">
        <v>9355</v>
      </c>
      <c r="D128" s="1134" t="s">
        <v>9191</v>
      </c>
      <c r="E128" s="1135">
        <v>10962</v>
      </c>
      <c r="F128" s="1135">
        <v>966746.3</v>
      </c>
      <c r="G128" s="1135">
        <v>0</v>
      </c>
      <c r="H128" s="1135" t="e">
        <v>#REF!</v>
      </c>
      <c r="I128" s="1135" t="e">
        <v>#REF!</v>
      </c>
      <c r="J128" s="1135" t="e">
        <v>#REF!</v>
      </c>
      <c r="K128" s="1135" t="e">
        <v>#REF!</v>
      </c>
    </row>
    <row r="129" spans="1:11" s="1136" customFormat="1" ht="45">
      <c r="A129" s="1131">
        <v>123</v>
      </c>
      <c r="B129" s="1132" t="s">
        <v>9356</v>
      </c>
      <c r="C129" s="1133" t="s">
        <v>9357</v>
      </c>
      <c r="D129" s="1134" t="s">
        <v>9191</v>
      </c>
      <c r="E129" s="1135">
        <v>13176</v>
      </c>
      <c r="F129" s="1135">
        <v>1157780</v>
      </c>
      <c r="G129" s="1135">
        <v>0</v>
      </c>
      <c r="H129" s="1135" t="e">
        <v>#REF!</v>
      </c>
      <c r="I129" s="1135" t="e">
        <v>#REF!</v>
      </c>
      <c r="J129" s="1135" t="e">
        <v>#REF!</v>
      </c>
      <c r="K129" s="1135" t="e">
        <v>#REF!</v>
      </c>
    </row>
    <row r="130" spans="1:11" s="1136" customFormat="1" ht="45">
      <c r="A130" s="1131">
        <v>124</v>
      </c>
      <c r="B130" s="1132" t="s">
        <v>9358</v>
      </c>
      <c r="C130" s="1133" t="s">
        <v>9359</v>
      </c>
      <c r="D130" s="1134" t="s">
        <v>9191</v>
      </c>
      <c r="E130" s="1135">
        <v>15876</v>
      </c>
      <c r="F130" s="1135">
        <v>1389336</v>
      </c>
      <c r="G130" s="1135">
        <v>0</v>
      </c>
      <c r="H130" s="1135" t="e">
        <v>#REF!</v>
      </c>
      <c r="I130" s="1135" t="e">
        <v>#REF!</v>
      </c>
      <c r="J130" s="1135" t="e">
        <v>#REF!</v>
      </c>
      <c r="K130" s="1135" t="e">
        <v>#REF!</v>
      </c>
    </row>
    <row r="131" spans="1:11" s="1136" customFormat="1" ht="45">
      <c r="A131" s="1131">
        <v>125</v>
      </c>
      <c r="B131" s="1132" t="s">
        <v>9360</v>
      </c>
      <c r="C131" s="1133" t="s">
        <v>9361</v>
      </c>
      <c r="D131" s="1134" t="s">
        <v>9191</v>
      </c>
      <c r="E131" s="1135">
        <v>19116</v>
      </c>
      <c r="F131" s="1135">
        <v>1667203.2</v>
      </c>
      <c r="G131" s="1135">
        <v>0</v>
      </c>
      <c r="H131" s="1135" t="e">
        <v>#REF!</v>
      </c>
      <c r="I131" s="1135" t="e">
        <v>#REF!</v>
      </c>
      <c r="J131" s="1135" t="e">
        <v>#REF!</v>
      </c>
      <c r="K131" s="1135" t="e">
        <v>#REF!</v>
      </c>
    </row>
    <row r="132" spans="1:11" s="1136" customFormat="1" ht="45">
      <c r="A132" s="1131">
        <v>126</v>
      </c>
      <c r="B132" s="1132" t="s">
        <v>9362</v>
      </c>
      <c r="C132" s="1133" t="s">
        <v>9363</v>
      </c>
      <c r="D132" s="1134" t="s">
        <v>9191</v>
      </c>
      <c r="E132" s="1135">
        <v>6642</v>
      </c>
      <c r="F132" s="1135">
        <v>570206.69999999995</v>
      </c>
      <c r="G132" s="1135">
        <v>0</v>
      </c>
      <c r="H132" s="1135" t="e">
        <v>#REF!</v>
      </c>
      <c r="I132" s="1135" t="e">
        <v>#REF!</v>
      </c>
      <c r="J132" s="1135" t="e">
        <v>#REF!</v>
      </c>
      <c r="K132" s="1135" t="e">
        <v>#REF!</v>
      </c>
    </row>
    <row r="133" spans="1:11" s="1136" customFormat="1" ht="45">
      <c r="A133" s="1131">
        <v>127</v>
      </c>
      <c r="B133" s="1132" t="s">
        <v>9364</v>
      </c>
      <c r="C133" s="1133" t="s">
        <v>9365</v>
      </c>
      <c r="D133" s="1134" t="s">
        <v>9191</v>
      </c>
      <c r="E133" s="1135">
        <v>9072</v>
      </c>
      <c r="F133" s="1135">
        <v>804657.1</v>
      </c>
      <c r="G133" s="1135">
        <v>0</v>
      </c>
      <c r="H133" s="1135" t="e">
        <v>#REF!</v>
      </c>
      <c r="I133" s="1135" t="e">
        <v>#REF!</v>
      </c>
      <c r="J133" s="1135" t="e">
        <v>#REF!</v>
      </c>
      <c r="K133" s="1135" t="e">
        <v>#REF!</v>
      </c>
    </row>
    <row r="134" spans="1:11" s="1136" customFormat="1" ht="45">
      <c r="A134" s="1131">
        <v>128</v>
      </c>
      <c r="B134" s="1132" t="s">
        <v>9366</v>
      </c>
      <c r="C134" s="1133" t="s">
        <v>9367</v>
      </c>
      <c r="D134" s="1134" t="s">
        <v>9191</v>
      </c>
      <c r="E134" s="1135">
        <v>10962</v>
      </c>
      <c r="F134" s="1135">
        <v>1018846.4</v>
      </c>
      <c r="G134" s="1135">
        <v>0</v>
      </c>
      <c r="H134" s="1135" t="e">
        <v>#REF!</v>
      </c>
      <c r="I134" s="1135" t="e">
        <v>#REF!</v>
      </c>
      <c r="J134" s="1135" t="e">
        <v>#REF!</v>
      </c>
      <c r="K134" s="1135" t="e">
        <v>#REF!</v>
      </c>
    </row>
    <row r="135" spans="1:11" s="1136" customFormat="1" ht="45">
      <c r="A135" s="1131">
        <v>129</v>
      </c>
      <c r="B135" s="1132" t="s">
        <v>9368</v>
      </c>
      <c r="C135" s="1133" t="s">
        <v>9369</v>
      </c>
      <c r="D135" s="1134" t="s">
        <v>9191</v>
      </c>
      <c r="E135" s="1135">
        <v>13176</v>
      </c>
      <c r="F135" s="1135">
        <v>1218563.5</v>
      </c>
      <c r="G135" s="1135">
        <v>0</v>
      </c>
      <c r="H135" s="1135" t="e">
        <v>#REF!</v>
      </c>
      <c r="I135" s="1135" t="e">
        <v>#REF!</v>
      </c>
      <c r="J135" s="1135" t="e">
        <v>#REF!</v>
      </c>
      <c r="K135" s="1135" t="e">
        <v>#REF!</v>
      </c>
    </row>
    <row r="136" spans="1:11" s="1136" customFormat="1" ht="45">
      <c r="A136" s="1131">
        <v>130</v>
      </c>
      <c r="B136" s="1132" t="s">
        <v>9370</v>
      </c>
      <c r="C136" s="1133" t="s">
        <v>9371</v>
      </c>
      <c r="D136" s="1134" t="s">
        <v>9191</v>
      </c>
      <c r="E136" s="1135">
        <v>15876</v>
      </c>
      <c r="F136" s="1135">
        <v>1467486.2</v>
      </c>
      <c r="G136" s="1135">
        <v>0</v>
      </c>
      <c r="H136" s="1135" t="e">
        <v>#REF!</v>
      </c>
      <c r="I136" s="1135" t="e">
        <v>#REF!</v>
      </c>
      <c r="J136" s="1135" t="e">
        <v>#REF!</v>
      </c>
      <c r="K136" s="1135" t="e">
        <v>#REF!</v>
      </c>
    </row>
    <row r="137" spans="1:11" s="1136" customFormat="1" ht="45">
      <c r="A137" s="1131">
        <v>131</v>
      </c>
      <c r="B137" s="1132" t="s">
        <v>9372</v>
      </c>
      <c r="C137" s="1133" t="s">
        <v>9373</v>
      </c>
      <c r="D137" s="1134" t="s">
        <v>9191</v>
      </c>
      <c r="E137" s="1135">
        <v>19116</v>
      </c>
      <c r="F137" s="1135">
        <v>1762720.1</v>
      </c>
      <c r="G137" s="1135">
        <v>0</v>
      </c>
      <c r="H137" s="1135" t="e">
        <v>#REF!</v>
      </c>
      <c r="I137" s="1135" t="e">
        <v>#REF!</v>
      </c>
      <c r="J137" s="1135" t="e">
        <v>#REF!</v>
      </c>
      <c r="K137" s="1135" t="e">
        <v>#REF!</v>
      </c>
    </row>
    <row r="138" spans="1:11" s="1136" customFormat="1" ht="45">
      <c r="A138" s="1131">
        <v>132</v>
      </c>
      <c r="B138" s="1132" t="s">
        <v>9374</v>
      </c>
      <c r="C138" s="1133" t="s">
        <v>9375</v>
      </c>
      <c r="D138" s="1134" t="s">
        <v>9191</v>
      </c>
      <c r="E138" s="1135">
        <v>6642</v>
      </c>
      <c r="F138" s="1135">
        <v>619412.30000000005</v>
      </c>
      <c r="G138" s="1135">
        <v>0</v>
      </c>
      <c r="H138" s="1135" t="e">
        <v>#REF!</v>
      </c>
      <c r="I138" s="1135" t="e">
        <v>#REF!</v>
      </c>
      <c r="J138" s="1135" t="e">
        <v>#REF!</v>
      </c>
      <c r="K138" s="1135" t="e">
        <v>#REF!</v>
      </c>
    </row>
    <row r="139" spans="1:11" s="1136" customFormat="1" ht="45">
      <c r="A139" s="1131">
        <v>133</v>
      </c>
      <c r="B139" s="1132" t="s">
        <v>9376</v>
      </c>
      <c r="C139" s="1133" t="s">
        <v>9377</v>
      </c>
      <c r="D139" s="1134" t="s">
        <v>9191</v>
      </c>
      <c r="E139" s="1135">
        <v>9072</v>
      </c>
      <c r="F139" s="1135">
        <v>879912.8</v>
      </c>
      <c r="G139" s="1135">
        <v>0</v>
      </c>
      <c r="H139" s="1135" t="e">
        <v>#REF!</v>
      </c>
      <c r="I139" s="1135" t="e">
        <v>#REF!</v>
      </c>
      <c r="J139" s="1135" t="e">
        <v>#REF!</v>
      </c>
      <c r="K139" s="1135" t="e">
        <v>#REF!</v>
      </c>
    </row>
    <row r="140" spans="1:11" s="1136" customFormat="1" ht="45">
      <c r="A140" s="1131">
        <v>134</v>
      </c>
      <c r="B140" s="1132" t="s">
        <v>9378</v>
      </c>
      <c r="C140" s="1133" t="s">
        <v>9379</v>
      </c>
      <c r="D140" s="1134" t="s">
        <v>9191</v>
      </c>
      <c r="E140" s="1135">
        <v>10962</v>
      </c>
      <c r="F140" s="1135">
        <v>1108574.3999999999</v>
      </c>
      <c r="G140" s="1135">
        <v>0</v>
      </c>
      <c r="H140" s="1135" t="e">
        <v>#REF!</v>
      </c>
      <c r="I140" s="1135" t="e">
        <v>#REF!</v>
      </c>
      <c r="J140" s="1135" t="e">
        <v>#REF!</v>
      </c>
      <c r="K140" s="1135" t="e">
        <v>#REF!</v>
      </c>
    </row>
    <row r="141" spans="1:11" s="1136" customFormat="1" ht="45">
      <c r="A141" s="1131">
        <v>135</v>
      </c>
      <c r="B141" s="1132" t="s">
        <v>9380</v>
      </c>
      <c r="C141" s="1133" t="s">
        <v>9381</v>
      </c>
      <c r="D141" s="1134" t="s">
        <v>9191</v>
      </c>
      <c r="E141" s="1135">
        <v>13176</v>
      </c>
      <c r="F141" s="1135">
        <v>1331447</v>
      </c>
      <c r="G141" s="1135">
        <v>0</v>
      </c>
      <c r="H141" s="1135" t="e">
        <v>#REF!</v>
      </c>
      <c r="I141" s="1135" t="e">
        <v>#REF!</v>
      </c>
      <c r="J141" s="1135" t="e">
        <v>#REF!</v>
      </c>
      <c r="K141" s="1135" t="e">
        <v>#REF!</v>
      </c>
    </row>
    <row r="142" spans="1:11" s="1136" customFormat="1" ht="45">
      <c r="A142" s="1131">
        <v>136</v>
      </c>
      <c r="B142" s="1132" t="s">
        <v>9382</v>
      </c>
      <c r="C142" s="1133" t="s">
        <v>9383</v>
      </c>
      <c r="D142" s="1134" t="s">
        <v>9191</v>
      </c>
      <c r="E142" s="1135">
        <v>15876</v>
      </c>
      <c r="F142" s="1135">
        <v>1591947.5</v>
      </c>
      <c r="G142" s="1135">
        <v>0</v>
      </c>
      <c r="H142" s="1135" t="e">
        <v>#REF!</v>
      </c>
      <c r="I142" s="1135" t="e">
        <v>#REF!</v>
      </c>
      <c r="J142" s="1135" t="e">
        <v>#REF!</v>
      </c>
      <c r="K142" s="1135" t="e">
        <v>#REF!</v>
      </c>
    </row>
    <row r="143" spans="1:11" s="1136" customFormat="1" ht="45">
      <c r="A143" s="1131">
        <v>137</v>
      </c>
      <c r="B143" s="1132" t="s">
        <v>9384</v>
      </c>
      <c r="C143" s="1133" t="s">
        <v>9385</v>
      </c>
      <c r="D143" s="1134" t="s">
        <v>9191</v>
      </c>
      <c r="E143" s="1135">
        <v>19116</v>
      </c>
      <c r="F143" s="1135">
        <v>1913231.5</v>
      </c>
      <c r="G143" s="1135">
        <v>0</v>
      </c>
      <c r="H143" s="1135" t="e">
        <v>#REF!</v>
      </c>
      <c r="I143" s="1135" t="e">
        <v>#REF!</v>
      </c>
      <c r="J143" s="1135" t="e">
        <v>#REF!</v>
      </c>
      <c r="K143" s="1135" t="e">
        <v>#REF!</v>
      </c>
    </row>
    <row r="144" spans="1:11" s="1136" customFormat="1" ht="45">
      <c r="A144" s="1131">
        <v>138</v>
      </c>
      <c r="B144" s="1132" t="s">
        <v>9386</v>
      </c>
      <c r="C144" s="1133" t="s">
        <v>9387</v>
      </c>
      <c r="D144" s="1134" t="s">
        <v>9191</v>
      </c>
      <c r="E144" s="1135">
        <v>6642</v>
      </c>
      <c r="F144" s="1135">
        <v>717823.6</v>
      </c>
      <c r="G144" s="1135">
        <v>0</v>
      </c>
      <c r="H144" s="1135" t="e">
        <v>#REF!</v>
      </c>
      <c r="I144" s="1135" t="e">
        <v>#REF!</v>
      </c>
      <c r="J144" s="1135" t="e">
        <v>#REF!</v>
      </c>
      <c r="K144" s="1135" t="e">
        <v>#REF!</v>
      </c>
    </row>
    <row r="145" spans="1:11" s="1136" customFormat="1" ht="45">
      <c r="A145" s="1131">
        <v>139</v>
      </c>
      <c r="B145" s="1132" t="s">
        <v>9388</v>
      </c>
      <c r="C145" s="1133" t="s">
        <v>9389</v>
      </c>
      <c r="D145" s="1134" t="s">
        <v>9191</v>
      </c>
      <c r="E145" s="1135">
        <v>9072</v>
      </c>
      <c r="F145" s="1135">
        <v>1018846.4</v>
      </c>
      <c r="G145" s="1135">
        <v>0</v>
      </c>
      <c r="H145" s="1135" t="e">
        <v>#REF!</v>
      </c>
      <c r="I145" s="1135" t="e">
        <v>#REF!</v>
      </c>
      <c r="J145" s="1135" t="e">
        <v>#REF!</v>
      </c>
      <c r="K145" s="1135" t="e">
        <v>#REF!</v>
      </c>
    </row>
    <row r="146" spans="1:11" s="1136" customFormat="1" ht="45">
      <c r="A146" s="1131">
        <v>140</v>
      </c>
      <c r="B146" s="1132" t="s">
        <v>9390</v>
      </c>
      <c r="C146" s="1133" t="s">
        <v>9391</v>
      </c>
      <c r="D146" s="1134" t="s">
        <v>9191</v>
      </c>
      <c r="E146" s="1135">
        <v>10962</v>
      </c>
      <c r="F146" s="1135">
        <v>1288030.3</v>
      </c>
      <c r="G146" s="1135">
        <v>0</v>
      </c>
      <c r="H146" s="1135" t="e">
        <v>#REF!</v>
      </c>
      <c r="I146" s="1135" t="e">
        <v>#REF!</v>
      </c>
      <c r="J146" s="1135" t="e">
        <v>#REF!</v>
      </c>
      <c r="K146" s="1135" t="e">
        <v>#REF!</v>
      </c>
    </row>
    <row r="147" spans="1:11" s="1136" customFormat="1" ht="45">
      <c r="A147" s="1131">
        <v>141</v>
      </c>
      <c r="B147" s="1132" t="s">
        <v>9392</v>
      </c>
      <c r="C147" s="1133" t="s">
        <v>9393</v>
      </c>
      <c r="D147" s="1134" t="s">
        <v>9191</v>
      </c>
      <c r="E147" s="1135">
        <v>13176</v>
      </c>
      <c r="F147" s="1135">
        <v>1522480.7</v>
      </c>
      <c r="G147" s="1135">
        <v>0</v>
      </c>
      <c r="H147" s="1135" t="e">
        <v>#REF!</v>
      </c>
      <c r="I147" s="1135" t="e">
        <v>#REF!</v>
      </c>
      <c r="J147" s="1135" t="e">
        <v>#REF!</v>
      </c>
      <c r="K147" s="1135" t="e">
        <v>#REF!</v>
      </c>
    </row>
    <row r="148" spans="1:11" s="1136" customFormat="1" ht="45">
      <c r="A148" s="1131">
        <v>142</v>
      </c>
      <c r="B148" s="1132" t="s">
        <v>9394</v>
      </c>
      <c r="C148" s="1133" t="s">
        <v>9395</v>
      </c>
      <c r="D148" s="1134" t="s">
        <v>9191</v>
      </c>
      <c r="E148" s="1135">
        <v>15876</v>
      </c>
      <c r="F148" s="1135">
        <v>1829292.4</v>
      </c>
      <c r="G148" s="1135">
        <v>0</v>
      </c>
      <c r="H148" s="1135" t="e">
        <v>#REF!</v>
      </c>
      <c r="I148" s="1135" t="e">
        <v>#REF!</v>
      </c>
      <c r="J148" s="1135" t="e">
        <v>#REF!</v>
      </c>
      <c r="K148" s="1135" t="e">
        <v>#REF!</v>
      </c>
    </row>
    <row r="149" spans="1:11" s="1136" customFormat="1" ht="45">
      <c r="A149" s="1131">
        <v>143</v>
      </c>
      <c r="B149" s="1132" t="s">
        <v>9396</v>
      </c>
      <c r="C149" s="1133" t="s">
        <v>9397</v>
      </c>
      <c r="D149" s="1134" t="s">
        <v>9191</v>
      </c>
      <c r="E149" s="1135">
        <v>19116</v>
      </c>
      <c r="F149" s="1135">
        <v>2193993.1</v>
      </c>
      <c r="G149" s="1135">
        <v>0</v>
      </c>
      <c r="H149" s="1135" t="e">
        <v>#REF!</v>
      </c>
      <c r="I149" s="1135" t="e">
        <v>#REF!</v>
      </c>
      <c r="J149" s="1135" t="e">
        <v>#REF!</v>
      </c>
      <c r="K149" s="1135" t="e">
        <v>#REF!</v>
      </c>
    </row>
    <row r="150" spans="1:11" s="1136" customFormat="1" ht="45">
      <c r="A150" s="1131">
        <v>144</v>
      </c>
      <c r="B150" s="1132" t="s">
        <v>9398</v>
      </c>
      <c r="C150" s="1133" t="s">
        <v>9399</v>
      </c>
      <c r="D150" s="1134" t="s">
        <v>9191</v>
      </c>
      <c r="E150" s="1135">
        <v>6642</v>
      </c>
      <c r="F150" s="1135">
        <v>787290.4</v>
      </c>
      <c r="G150" s="1135">
        <v>0</v>
      </c>
      <c r="H150" s="1135" t="e">
        <v>#REF!</v>
      </c>
      <c r="I150" s="1135" t="e">
        <v>#REF!</v>
      </c>
      <c r="J150" s="1135" t="e">
        <v>#REF!</v>
      </c>
      <c r="K150" s="1135" t="e">
        <v>#REF!</v>
      </c>
    </row>
    <row r="151" spans="1:11" s="1136" customFormat="1" ht="45">
      <c r="A151" s="1131">
        <v>145</v>
      </c>
      <c r="B151" s="1132" t="s">
        <v>9400</v>
      </c>
      <c r="C151" s="1133" t="s">
        <v>9401</v>
      </c>
      <c r="D151" s="1134" t="s">
        <v>9191</v>
      </c>
      <c r="E151" s="1135">
        <v>9072</v>
      </c>
      <c r="F151" s="1135">
        <v>1117257.7</v>
      </c>
      <c r="G151" s="1135">
        <v>0</v>
      </c>
      <c r="H151" s="1135" t="e">
        <v>#REF!</v>
      </c>
      <c r="I151" s="1135" t="e">
        <v>#REF!</v>
      </c>
      <c r="J151" s="1135" t="e">
        <v>#REF!</v>
      </c>
      <c r="K151" s="1135" t="e">
        <v>#REF!</v>
      </c>
    </row>
    <row r="152" spans="1:11" s="1136" customFormat="1" ht="45">
      <c r="A152" s="1131">
        <v>146</v>
      </c>
      <c r="B152" s="1132" t="s">
        <v>9402</v>
      </c>
      <c r="C152" s="1133" t="s">
        <v>9403</v>
      </c>
      <c r="D152" s="1134" t="s">
        <v>9191</v>
      </c>
      <c r="E152" s="1135">
        <v>10962</v>
      </c>
      <c r="F152" s="1135">
        <v>1415386.1</v>
      </c>
      <c r="G152" s="1135">
        <v>0</v>
      </c>
      <c r="H152" s="1135" t="e">
        <v>#REF!</v>
      </c>
      <c r="I152" s="1135" t="e">
        <v>#REF!</v>
      </c>
      <c r="J152" s="1135" t="e">
        <v>#REF!</v>
      </c>
      <c r="K152" s="1135" t="e">
        <v>#REF!</v>
      </c>
    </row>
    <row r="153" spans="1:11" s="1136" customFormat="1" ht="45">
      <c r="A153" s="1131">
        <v>147</v>
      </c>
      <c r="B153" s="1132" t="s">
        <v>9404</v>
      </c>
      <c r="C153" s="1133" t="s">
        <v>9405</v>
      </c>
      <c r="D153" s="1134" t="s">
        <v>9191</v>
      </c>
      <c r="E153" s="1135">
        <v>13176</v>
      </c>
      <c r="F153" s="1135">
        <v>1693253.3</v>
      </c>
      <c r="G153" s="1135">
        <v>0</v>
      </c>
      <c r="H153" s="1135" t="e">
        <v>#REF!</v>
      </c>
      <c r="I153" s="1135" t="e">
        <v>#REF!</v>
      </c>
      <c r="J153" s="1135" t="e">
        <v>#REF!</v>
      </c>
      <c r="K153" s="1135" t="e">
        <v>#REF!</v>
      </c>
    </row>
    <row r="154" spans="1:11" s="1136" customFormat="1" ht="45">
      <c r="A154" s="1131">
        <v>148</v>
      </c>
      <c r="B154" s="1132" t="s">
        <v>9406</v>
      </c>
      <c r="C154" s="1133" t="s">
        <v>9407</v>
      </c>
      <c r="D154" s="1134" t="s">
        <v>9191</v>
      </c>
      <c r="E154" s="1135">
        <v>15876</v>
      </c>
      <c r="F154" s="1135">
        <v>2031903.9</v>
      </c>
      <c r="G154" s="1135">
        <v>0</v>
      </c>
      <c r="H154" s="1135" t="e">
        <v>#REF!</v>
      </c>
      <c r="I154" s="1135" t="e">
        <v>#REF!</v>
      </c>
      <c r="J154" s="1135" t="e">
        <v>#REF!</v>
      </c>
      <c r="K154" s="1135" t="e">
        <v>#REF!</v>
      </c>
    </row>
    <row r="155" spans="1:11" s="1136" customFormat="1" ht="45">
      <c r="A155" s="1131">
        <v>149</v>
      </c>
      <c r="B155" s="1132" t="s">
        <v>9408</v>
      </c>
      <c r="C155" s="1133" t="s">
        <v>9409</v>
      </c>
      <c r="D155" s="1134" t="s">
        <v>9191</v>
      </c>
      <c r="E155" s="1135">
        <v>19116</v>
      </c>
      <c r="F155" s="1135">
        <v>2437126.9</v>
      </c>
      <c r="G155" s="1135">
        <v>0</v>
      </c>
      <c r="H155" s="1135" t="e">
        <v>#REF!</v>
      </c>
      <c r="I155" s="1135" t="e">
        <v>#REF!</v>
      </c>
      <c r="J155" s="1135" t="e">
        <v>#REF!</v>
      </c>
      <c r="K155" s="1135" t="e">
        <v>#REF!</v>
      </c>
    </row>
    <row r="156" spans="1:11" s="1136" customFormat="1" ht="45">
      <c r="A156" s="1131">
        <v>150</v>
      </c>
      <c r="B156" s="1132" t="s">
        <v>9410</v>
      </c>
      <c r="C156" s="1133" t="s">
        <v>9411</v>
      </c>
      <c r="D156" s="1134" t="s">
        <v>9191</v>
      </c>
      <c r="E156" s="1135">
        <v>6642</v>
      </c>
      <c r="F156" s="1135">
        <v>865440.6</v>
      </c>
      <c r="G156" s="1135">
        <v>0</v>
      </c>
      <c r="H156" s="1135" t="e">
        <v>#REF!</v>
      </c>
      <c r="I156" s="1135" t="e">
        <v>#REF!</v>
      </c>
      <c r="J156" s="1135" t="e">
        <v>#REF!</v>
      </c>
      <c r="K156" s="1135" t="e">
        <v>#REF!</v>
      </c>
    </row>
    <row r="157" spans="1:11" s="1136" customFormat="1" ht="45">
      <c r="A157" s="1131">
        <v>151</v>
      </c>
      <c r="B157" s="1132" t="s">
        <v>9412</v>
      </c>
      <c r="C157" s="1133" t="s">
        <v>9413</v>
      </c>
      <c r="D157" s="1134" t="s">
        <v>9191</v>
      </c>
      <c r="E157" s="1135">
        <v>9072</v>
      </c>
      <c r="F157" s="1135">
        <v>1227246.8</v>
      </c>
      <c r="G157" s="1135">
        <v>0</v>
      </c>
      <c r="H157" s="1135" t="e">
        <v>#REF!</v>
      </c>
      <c r="I157" s="1135" t="e">
        <v>#REF!</v>
      </c>
      <c r="J157" s="1135" t="e">
        <v>#REF!</v>
      </c>
      <c r="K157" s="1135" t="e">
        <v>#REF!</v>
      </c>
    </row>
    <row r="158" spans="1:11" s="1136" customFormat="1" ht="45">
      <c r="A158" s="1131">
        <v>152</v>
      </c>
      <c r="B158" s="1132" t="s">
        <v>9414</v>
      </c>
      <c r="C158" s="1133" t="s">
        <v>9415</v>
      </c>
      <c r="D158" s="1134" t="s">
        <v>9191</v>
      </c>
      <c r="E158" s="1135">
        <v>10962</v>
      </c>
      <c r="F158" s="1135">
        <v>1557214.1</v>
      </c>
      <c r="G158" s="1135">
        <v>0</v>
      </c>
      <c r="H158" s="1135" t="e">
        <v>#REF!</v>
      </c>
      <c r="I158" s="1135" t="e">
        <v>#REF!</v>
      </c>
      <c r="J158" s="1135" t="e">
        <v>#REF!</v>
      </c>
      <c r="K158" s="1135" t="e">
        <v>#REF!</v>
      </c>
    </row>
    <row r="159" spans="1:11" s="1136" customFormat="1" ht="45">
      <c r="A159" s="1131">
        <v>153</v>
      </c>
      <c r="B159" s="1132" t="s">
        <v>9416</v>
      </c>
      <c r="C159" s="1133" t="s">
        <v>9417</v>
      </c>
      <c r="D159" s="1134" t="s">
        <v>9191</v>
      </c>
      <c r="E159" s="1135">
        <v>13176</v>
      </c>
      <c r="F159" s="1135">
        <v>1864025.8</v>
      </c>
      <c r="G159" s="1135">
        <v>0</v>
      </c>
      <c r="H159" s="1135" t="e">
        <v>#REF!</v>
      </c>
      <c r="I159" s="1135" t="e">
        <v>#REF!</v>
      </c>
      <c r="J159" s="1135" t="e">
        <v>#REF!</v>
      </c>
      <c r="K159" s="1135" t="e">
        <v>#REF!</v>
      </c>
    </row>
    <row r="160" spans="1:11" s="1136" customFormat="1" ht="45">
      <c r="A160" s="1131">
        <v>154</v>
      </c>
      <c r="B160" s="1132" t="s">
        <v>9418</v>
      </c>
      <c r="C160" s="1133" t="s">
        <v>9419</v>
      </c>
      <c r="D160" s="1134" t="s">
        <v>9191</v>
      </c>
      <c r="E160" s="1135">
        <v>15876</v>
      </c>
      <c r="F160" s="1135">
        <v>2084004</v>
      </c>
      <c r="G160" s="1135">
        <v>0</v>
      </c>
      <c r="H160" s="1135" t="e">
        <v>#REF!</v>
      </c>
      <c r="I160" s="1135" t="e">
        <v>#REF!</v>
      </c>
      <c r="J160" s="1135" t="e">
        <v>#REF!</v>
      </c>
      <c r="K160" s="1135" t="e">
        <v>#REF!</v>
      </c>
    </row>
    <row r="161" spans="1:11" s="1136" customFormat="1" ht="45">
      <c r="A161" s="1131">
        <v>155</v>
      </c>
      <c r="B161" s="1132" t="s">
        <v>9420</v>
      </c>
      <c r="C161" s="1133" t="s">
        <v>9421</v>
      </c>
      <c r="D161" s="1134" t="s">
        <v>9191</v>
      </c>
      <c r="E161" s="1135">
        <v>19116</v>
      </c>
      <c r="F161" s="1135">
        <v>2686049.6</v>
      </c>
      <c r="G161" s="1135">
        <v>0</v>
      </c>
      <c r="H161" s="1135" t="e">
        <v>#REF!</v>
      </c>
      <c r="I161" s="1135" t="e">
        <v>#REF!</v>
      </c>
      <c r="J161" s="1135" t="e">
        <v>#REF!</v>
      </c>
      <c r="K161" s="1135" t="e">
        <v>#REF!</v>
      </c>
    </row>
    <row r="162" spans="1:11" s="1136" customFormat="1" ht="45">
      <c r="A162" s="1131">
        <v>156</v>
      </c>
      <c r="B162" s="1132" t="s">
        <v>9422</v>
      </c>
      <c r="C162" s="1133" t="s">
        <v>9423</v>
      </c>
      <c r="D162" s="1134" t="s">
        <v>9191</v>
      </c>
      <c r="E162" s="1135">
        <v>6642</v>
      </c>
      <c r="F162" s="1135">
        <v>992796.4</v>
      </c>
      <c r="G162" s="1135">
        <v>0</v>
      </c>
      <c r="H162" s="1135" t="e">
        <v>#REF!</v>
      </c>
      <c r="I162" s="1135" t="e">
        <v>#REF!</v>
      </c>
      <c r="J162" s="1135" t="e">
        <v>#REF!</v>
      </c>
      <c r="K162" s="1135" t="e">
        <v>#REF!</v>
      </c>
    </row>
    <row r="163" spans="1:11" s="1136" customFormat="1" ht="45">
      <c r="A163" s="1131">
        <v>157</v>
      </c>
      <c r="B163" s="1132" t="s">
        <v>9424</v>
      </c>
      <c r="C163" s="1133" t="s">
        <v>9425</v>
      </c>
      <c r="D163" s="1134" t="s">
        <v>9191</v>
      </c>
      <c r="E163" s="1135">
        <v>9072</v>
      </c>
      <c r="F163" s="1135">
        <v>1415386.1</v>
      </c>
      <c r="G163" s="1135">
        <v>0</v>
      </c>
      <c r="H163" s="1135" t="e">
        <v>#REF!</v>
      </c>
      <c r="I163" s="1135" t="e">
        <v>#REF!</v>
      </c>
      <c r="J163" s="1135" t="e">
        <v>#REF!</v>
      </c>
      <c r="K163" s="1135" t="e">
        <v>#REF!</v>
      </c>
    </row>
    <row r="164" spans="1:11" s="1136" customFormat="1" ht="45">
      <c r="A164" s="1131">
        <v>158</v>
      </c>
      <c r="B164" s="1132" t="s">
        <v>9426</v>
      </c>
      <c r="C164" s="1133" t="s">
        <v>9427</v>
      </c>
      <c r="D164" s="1134" t="s">
        <v>9191</v>
      </c>
      <c r="E164" s="1135">
        <v>10962</v>
      </c>
      <c r="F164" s="1135">
        <v>1797453.5</v>
      </c>
      <c r="G164" s="1135">
        <v>0</v>
      </c>
      <c r="H164" s="1135" t="e">
        <v>#REF!</v>
      </c>
      <c r="I164" s="1135" t="e">
        <v>#REF!</v>
      </c>
      <c r="J164" s="1135" t="e">
        <v>#REF!</v>
      </c>
      <c r="K164" s="1135" t="e">
        <v>#REF!</v>
      </c>
    </row>
    <row r="165" spans="1:11" s="1136" customFormat="1" ht="45">
      <c r="A165" s="1131">
        <v>159</v>
      </c>
      <c r="B165" s="1132" t="s">
        <v>9428</v>
      </c>
      <c r="C165" s="1133" t="s">
        <v>9429</v>
      </c>
      <c r="D165" s="1134" t="s">
        <v>9191</v>
      </c>
      <c r="E165" s="1135">
        <v>13176</v>
      </c>
      <c r="F165" s="1135">
        <v>2141893</v>
      </c>
      <c r="G165" s="1135">
        <v>0</v>
      </c>
      <c r="H165" s="1135" t="e">
        <v>#REF!</v>
      </c>
      <c r="I165" s="1135" t="e">
        <v>#REF!</v>
      </c>
      <c r="J165" s="1135" t="e">
        <v>#REF!</v>
      </c>
      <c r="K165" s="1135" t="e">
        <v>#REF!</v>
      </c>
    </row>
    <row r="166" spans="1:11" s="1136" customFormat="1" ht="45">
      <c r="A166" s="1131">
        <v>160</v>
      </c>
      <c r="B166" s="1132" t="s">
        <v>9430</v>
      </c>
      <c r="C166" s="1133" t="s">
        <v>9431</v>
      </c>
      <c r="D166" s="1134" t="s">
        <v>9191</v>
      </c>
      <c r="E166" s="1135">
        <v>15876</v>
      </c>
      <c r="F166" s="1135">
        <v>2576060.5</v>
      </c>
      <c r="G166" s="1135">
        <v>0</v>
      </c>
      <c r="H166" s="1135" t="e">
        <v>#REF!</v>
      </c>
      <c r="I166" s="1135" t="e">
        <v>#REF!</v>
      </c>
      <c r="J166" s="1135" t="e">
        <v>#REF!</v>
      </c>
      <c r="K166" s="1135" t="e">
        <v>#REF!</v>
      </c>
    </row>
    <row r="167" spans="1:11" s="1136" customFormat="1" ht="45">
      <c r="A167" s="1131">
        <v>161</v>
      </c>
      <c r="B167" s="1132" t="s">
        <v>9432</v>
      </c>
      <c r="C167" s="1133" t="s">
        <v>9433</v>
      </c>
      <c r="D167" s="1134" t="s">
        <v>9191</v>
      </c>
      <c r="E167" s="1135">
        <v>19116</v>
      </c>
      <c r="F167" s="1135">
        <v>3091272.6</v>
      </c>
      <c r="G167" s="1135">
        <v>0</v>
      </c>
      <c r="H167" s="1135" t="e">
        <v>#REF!</v>
      </c>
      <c r="I167" s="1135" t="e">
        <v>#REF!</v>
      </c>
      <c r="J167" s="1135" t="e">
        <v>#REF!</v>
      </c>
      <c r="K167" s="1135" t="e">
        <v>#REF!</v>
      </c>
    </row>
    <row r="168" spans="1:11" s="1136" customFormat="1" ht="45">
      <c r="A168" s="1131">
        <v>162</v>
      </c>
      <c r="B168" s="1132" t="s">
        <v>9434</v>
      </c>
      <c r="C168" s="1133" t="s">
        <v>9435</v>
      </c>
      <c r="D168" s="1134" t="s">
        <v>9191</v>
      </c>
      <c r="E168" s="1135">
        <v>6642</v>
      </c>
      <c r="F168" s="1135">
        <v>1143307.8</v>
      </c>
      <c r="G168" s="1135">
        <v>0</v>
      </c>
      <c r="H168" s="1135" t="e">
        <v>#REF!</v>
      </c>
      <c r="I168" s="1135" t="e">
        <v>#REF!</v>
      </c>
      <c r="J168" s="1135" t="e">
        <v>#REF!</v>
      </c>
      <c r="K168" s="1135" t="e">
        <v>#REF!</v>
      </c>
    </row>
    <row r="169" spans="1:11" s="1136" customFormat="1" ht="45">
      <c r="A169" s="1131">
        <v>163</v>
      </c>
      <c r="B169" s="1132" t="s">
        <v>9436</v>
      </c>
      <c r="C169" s="1133" t="s">
        <v>9437</v>
      </c>
      <c r="D169" s="1134" t="s">
        <v>9191</v>
      </c>
      <c r="E169" s="1135">
        <v>9072</v>
      </c>
      <c r="F169" s="1135">
        <v>1626680.9</v>
      </c>
      <c r="G169" s="1135">
        <v>0</v>
      </c>
      <c r="H169" s="1135" t="e">
        <v>#REF!</v>
      </c>
      <c r="I169" s="1135" t="e">
        <v>#REF!</v>
      </c>
      <c r="J169" s="1135" t="e">
        <v>#REF!</v>
      </c>
      <c r="K169" s="1135" t="e">
        <v>#REF!</v>
      </c>
    </row>
    <row r="170" spans="1:11" s="1136" customFormat="1" ht="45">
      <c r="A170" s="1131">
        <v>164</v>
      </c>
      <c r="B170" s="1132" t="s">
        <v>9438</v>
      </c>
      <c r="C170" s="1133" t="s">
        <v>9439</v>
      </c>
      <c r="D170" s="1134" t="s">
        <v>9191</v>
      </c>
      <c r="E170" s="1135">
        <v>10962</v>
      </c>
      <c r="F170" s="1135">
        <v>2066637.3</v>
      </c>
      <c r="G170" s="1135">
        <v>0</v>
      </c>
      <c r="H170" s="1135" t="e">
        <v>#REF!</v>
      </c>
      <c r="I170" s="1135" t="e">
        <v>#REF!</v>
      </c>
      <c r="J170" s="1135" t="e">
        <v>#REF!</v>
      </c>
      <c r="K170" s="1135" t="e">
        <v>#REF!</v>
      </c>
    </row>
    <row r="171" spans="1:11" s="1136" customFormat="1" ht="45">
      <c r="A171" s="1131">
        <v>165</v>
      </c>
      <c r="B171" s="1132" t="s">
        <v>9440</v>
      </c>
      <c r="C171" s="1133" t="s">
        <v>9441</v>
      </c>
      <c r="D171" s="1134" t="s">
        <v>9191</v>
      </c>
      <c r="E171" s="1135">
        <v>13176</v>
      </c>
      <c r="F171" s="1135">
        <v>2463177</v>
      </c>
      <c r="G171" s="1135">
        <v>0</v>
      </c>
      <c r="H171" s="1135" t="e">
        <v>#REF!</v>
      </c>
      <c r="I171" s="1135" t="e">
        <v>#REF!</v>
      </c>
      <c r="J171" s="1135" t="e">
        <v>#REF!</v>
      </c>
      <c r="K171" s="1135" t="e">
        <v>#REF!</v>
      </c>
    </row>
    <row r="172" spans="1:11" s="1136" customFormat="1" ht="45">
      <c r="A172" s="1131">
        <v>166</v>
      </c>
      <c r="B172" s="1132" t="s">
        <v>9442</v>
      </c>
      <c r="C172" s="1133" t="s">
        <v>9443</v>
      </c>
      <c r="D172" s="1134" t="s">
        <v>9191</v>
      </c>
      <c r="E172" s="1135">
        <v>15876</v>
      </c>
      <c r="F172" s="1135">
        <v>2963916.7999999998</v>
      </c>
      <c r="G172" s="1135">
        <v>0</v>
      </c>
      <c r="H172" s="1135" t="e">
        <v>#REF!</v>
      </c>
      <c r="I172" s="1135" t="e">
        <v>#REF!</v>
      </c>
      <c r="J172" s="1135" t="e">
        <v>#REF!</v>
      </c>
      <c r="K172" s="1135" t="e">
        <v>#REF!</v>
      </c>
    </row>
    <row r="173" spans="1:11" s="1136" customFormat="1" ht="45">
      <c r="A173" s="1131">
        <v>167</v>
      </c>
      <c r="B173" s="1132" t="s">
        <v>9444</v>
      </c>
      <c r="C173" s="1133" t="s">
        <v>9445</v>
      </c>
      <c r="D173" s="1134" t="s">
        <v>9191</v>
      </c>
      <c r="E173" s="1135">
        <v>19116</v>
      </c>
      <c r="F173" s="1135">
        <v>3560173.5</v>
      </c>
      <c r="G173" s="1135">
        <v>0</v>
      </c>
      <c r="H173" s="1135" t="e">
        <v>#REF!</v>
      </c>
      <c r="I173" s="1135" t="e">
        <v>#REF!</v>
      </c>
      <c r="J173" s="1135" t="e">
        <v>#REF!</v>
      </c>
      <c r="K173" s="1135" t="e">
        <v>#REF!</v>
      </c>
    </row>
    <row r="174" spans="1:11" s="1136" customFormat="1" ht="45">
      <c r="A174" s="1131">
        <v>168</v>
      </c>
      <c r="B174" s="1132" t="s">
        <v>9446</v>
      </c>
      <c r="C174" s="1133" t="s">
        <v>9447</v>
      </c>
      <c r="D174" s="1134" t="s">
        <v>9191</v>
      </c>
      <c r="E174" s="1135">
        <v>6642</v>
      </c>
      <c r="F174" s="1135">
        <v>573101.1</v>
      </c>
      <c r="G174" s="1135">
        <v>0</v>
      </c>
      <c r="H174" s="1135" t="e">
        <v>#REF!</v>
      </c>
      <c r="I174" s="1135" t="e">
        <v>#REF!</v>
      </c>
      <c r="J174" s="1135" t="e">
        <v>#REF!</v>
      </c>
      <c r="K174" s="1135" t="e">
        <v>#REF!</v>
      </c>
    </row>
    <row r="175" spans="1:11" s="1136" customFormat="1" ht="45">
      <c r="A175" s="1131">
        <v>169</v>
      </c>
      <c r="B175" s="1132" t="s">
        <v>9448</v>
      </c>
      <c r="C175" s="1133" t="s">
        <v>9449</v>
      </c>
      <c r="D175" s="1134" t="s">
        <v>9191</v>
      </c>
      <c r="E175" s="1135">
        <v>9072</v>
      </c>
      <c r="F175" s="1135">
        <v>807551.6</v>
      </c>
      <c r="G175" s="1135">
        <v>0</v>
      </c>
      <c r="H175" s="1135" t="e">
        <v>#REF!</v>
      </c>
      <c r="I175" s="1135" t="e">
        <v>#REF!</v>
      </c>
      <c r="J175" s="1135" t="e">
        <v>#REF!</v>
      </c>
      <c r="K175" s="1135" t="e">
        <v>#REF!</v>
      </c>
    </row>
    <row r="176" spans="1:11" s="1136" customFormat="1" ht="45">
      <c r="A176" s="1131">
        <v>170</v>
      </c>
      <c r="B176" s="1132" t="s">
        <v>9450</v>
      </c>
      <c r="C176" s="1133" t="s">
        <v>9451</v>
      </c>
      <c r="D176" s="1134" t="s">
        <v>9191</v>
      </c>
      <c r="E176" s="1135">
        <v>10962</v>
      </c>
      <c r="F176" s="1135">
        <v>1021740.9</v>
      </c>
      <c r="G176" s="1135">
        <v>0</v>
      </c>
      <c r="H176" s="1135" t="e">
        <v>#REF!</v>
      </c>
      <c r="I176" s="1135" t="e">
        <v>#REF!</v>
      </c>
      <c r="J176" s="1135" t="e">
        <v>#REF!</v>
      </c>
      <c r="K176" s="1135" t="e">
        <v>#REF!</v>
      </c>
    </row>
    <row r="177" spans="1:11" s="1136" customFormat="1" ht="45">
      <c r="A177" s="1131">
        <v>171</v>
      </c>
      <c r="B177" s="1132" t="s">
        <v>9452</v>
      </c>
      <c r="C177" s="1133" t="s">
        <v>9453</v>
      </c>
      <c r="D177" s="1134" t="s">
        <v>9191</v>
      </c>
      <c r="E177" s="1135">
        <v>13176</v>
      </c>
      <c r="F177" s="1135">
        <v>1233035.7</v>
      </c>
      <c r="G177" s="1135">
        <v>0</v>
      </c>
      <c r="H177" s="1135" t="e">
        <v>#REF!</v>
      </c>
      <c r="I177" s="1135" t="e">
        <v>#REF!</v>
      </c>
      <c r="J177" s="1135" t="e">
        <v>#REF!</v>
      </c>
      <c r="K177" s="1135" t="e">
        <v>#REF!</v>
      </c>
    </row>
    <row r="178" spans="1:11" s="1136" customFormat="1" ht="45">
      <c r="A178" s="1131">
        <v>172</v>
      </c>
      <c r="B178" s="1132" t="s">
        <v>9454</v>
      </c>
      <c r="C178" s="1133" t="s">
        <v>9455</v>
      </c>
      <c r="D178" s="1134" t="s">
        <v>9191</v>
      </c>
      <c r="E178" s="1135">
        <v>15876</v>
      </c>
      <c r="F178" s="1135">
        <v>1470380.6</v>
      </c>
      <c r="G178" s="1135">
        <v>0</v>
      </c>
      <c r="H178" s="1135" t="e">
        <v>#REF!</v>
      </c>
      <c r="I178" s="1135" t="e">
        <v>#REF!</v>
      </c>
      <c r="J178" s="1135" t="e">
        <v>#REF!</v>
      </c>
      <c r="K178" s="1135" t="e">
        <v>#REF!</v>
      </c>
    </row>
    <row r="179" spans="1:11" s="1136" customFormat="1" ht="45">
      <c r="A179" s="1131">
        <v>173</v>
      </c>
      <c r="B179" s="1132" t="s">
        <v>9456</v>
      </c>
      <c r="C179" s="1133" t="s">
        <v>9457</v>
      </c>
      <c r="D179" s="1134" t="s">
        <v>9191</v>
      </c>
      <c r="E179" s="1135">
        <v>19116</v>
      </c>
      <c r="F179" s="1135">
        <v>1771403.4</v>
      </c>
      <c r="G179" s="1135">
        <v>0</v>
      </c>
      <c r="H179" s="1135" t="e">
        <v>#REF!</v>
      </c>
      <c r="I179" s="1135" t="e">
        <v>#REF!</v>
      </c>
      <c r="J179" s="1135" t="e">
        <v>#REF!</v>
      </c>
      <c r="K179" s="1135" t="e">
        <v>#REF!</v>
      </c>
    </row>
    <row r="180" spans="1:11" s="1136" customFormat="1" ht="45">
      <c r="A180" s="1131">
        <v>174</v>
      </c>
      <c r="B180" s="1132" t="s">
        <v>9458</v>
      </c>
      <c r="C180" s="1133" t="s">
        <v>9459</v>
      </c>
      <c r="D180" s="1134" t="s">
        <v>9191</v>
      </c>
      <c r="E180" s="1135">
        <v>6642</v>
      </c>
      <c r="F180" s="1135">
        <v>602045.6</v>
      </c>
      <c r="G180" s="1135">
        <v>0</v>
      </c>
      <c r="H180" s="1135" t="e">
        <v>#REF!</v>
      </c>
      <c r="I180" s="1135" t="e">
        <v>#REF!</v>
      </c>
      <c r="J180" s="1135" t="e">
        <v>#REF!</v>
      </c>
      <c r="K180" s="1135" t="e">
        <v>#REF!</v>
      </c>
    </row>
    <row r="181" spans="1:11" s="1136" customFormat="1" ht="45">
      <c r="A181" s="1131">
        <v>175</v>
      </c>
      <c r="B181" s="1132" t="s">
        <v>9460</v>
      </c>
      <c r="C181" s="1133" t="s">
        <v>9461</v>
      </c>
      <c r="D181" s="1134" t="s">
        <v>9191</v>
      </c>
      <c r="E181" s="1135">
        <v>9072</v>
      </c>
      <c r="F181" s="1135">
        <v>856757.2</v>
      </c>
      <c r="G181" s="1135">
        <v>0</v>
      </c>
      <c r="H181" s="1135" t="e">
        <v>#REF!</v>
      </c>
      <c r="I181" s="1135" t="e">
        <v>#REF!</v>
      </c>
      <c r="J181" s="1135" t="e">
        <v>#REF!</v>
      </c>
      <c r="K181" s="1135" t="e">
        <v>#REF!</v>
      </c>
    </row>
    <row r="182" spans="1:11" s="1136" customFormat="1" ht="45">
      <c r="A182" s="1131">
        <v>176</v>
      </c>
      <c r="B182" s="1132" t="s">
        <v>9462</v>
      </c>
      <c r="C182" s="1133" t="s">
        <v>9463</v>
      </c>
      <c r="D182" s="1134" t="s">
        <v>9191</v>
      </c>
      <c r="E182" s="1135">
        <v>10962</v>
      </c>
      <c r="F182" s="1135">
        <v>1076735.3999999999</v>
      </c>
      <c r="G182" s="1135">
        <v>0</v>
      </c>
      <c r="H182" s="1135" t="e">
        <v>#REF!</v>
      </c>
      <c r="I182" s="1135" t="e">
        <v>#REF!</v>
      </c>
      <c r="J182" s="1135" t="e">
        <v>#REF!</v>
      </c>
      <c r="K182" s="1135" t="e">
        <v>#REF!</v>
      </c>
    </row>
    <row r="183" spans="1:11" s="1136" customFormat="1" ht="45">
      <c r="A183" s="1131">
        <v>177</v>
      </c>
      <c r="B183" s="1132" t="s">
        <v>9464</v>
      </c>
      <c r="C183" s="1133" t="s">
        <v>9465</v>
      </c>
      <c r="D183" s="1134" t="s">
        <v>9191</v>
      </c>
      <c r="E183" s="1135">
        <v>13176</v>
      </c>
      <c r="F183" s="1135">
        <v>1290924.7</v>
      </c>
      <c r="G183" s="1135">
        <v>0</v>
      </c>
      <c r="H183" s="1135" t="e">
        <v>#REF!</v>
      </c>
      <c r="I183" s="1135" t="e">
        <v>#REF!</v>
      </c>
      <c r="J183" s="1135" t="e">
        <v>#REF!</v>
      </c>
      <c r="K183" s="1135" t="e">
        <v>#REF!</v>
      </c>
    </row>
    <row r="184" spans="1:11" s="1136" customFormat="1" ht="45">
      <c r="A184" s="1131">
        <v>178</v>
      </c>
      <c r="B184" s="1132" t="s">
        <v>9466</v>
      </c>
      <c r="C184" s="1133" t="s">
        <v>9467</v>
      </c>
      <c r="D184" s="1134" t="s">
        <v>9191</v>
      </c>
      <c r="E184" s="1135">
        <v>15876</v>
      </c>
      <c r="F184" s="1135">
        <v>1551425.2</v>
      </c>
      <c r="G184" s="1135">
        <v>0</v>
      </c>
      <c r="H184" s="1135" t="e">
        <v>#REF!</v>
      </c>
      <c r="I184" s="1135" t="e">
        <v>#REF!</v>
      </c>
      <c r="J184" s="1135" t="e">
        <v>#REF!</v>
      </c>
      <c r="K184" s="1135" t="e">
        <v>#REF!</v>
      </c>
    </row>
    <row r="185" spans="1:11" s="1136" customFormat="1" ht="45">
      <c r="A185" s="1131">
        <v>179</v>
      </c>
      <c r="B185" s="1132" t="s">
        <v>9468</v>
      </c>
      <c r="C185" s="1133" t="s">
        <v>9469</v>
      </c>
      <c r="D185" s="1134" t="s">
        <v>9191</v>
      </c>
      <c r="E185" s="1135">
        <v>19116</v>
      </c>
      <c r="F185" s="1135">
        <v>1869814.7</v>
      </c>
      <c r="G185" s="1135">
        <v>0</v>
      </c>
      <c r="H185" s="1135" t="e">
        <v>#REF!</v>
      </c>
      <c r="I185" s="1135" t="e">
        <v>#REF!</v>
      </c>
      <c r="J185" s="1135" t="e">
        <v>#REF!</v>
      </c>
      <c r="K185" s="1135" t="e">
        <v>#REF!</v>
      </c>
    </row>
    <row r="186" spans="1:11" s="1136" customFormat="1" ht="45">
      <c r="A186" s="1131">
        <v>180</v>
      </c>
      <c r="B186" s="1132" t="s">
        <v>9470</v>
      </c>
      <c r="C186" s="1133" t="s">
        <v>9471</v>
      </c>
      <c r="D186" s="1134" t="s">
        <v>9191</v>
      </c>
      <c r="E186" s="1135">
        <v>6642</v>
      </c>
      <c r="F186" s="1135">
        <v>654145.69999999995</v>
      </c>
      <c r="G186" s="1135">
        <v>0</v>
      </c>
      <c r="H186" s="1135" t="e">
        <v>#REF!</v>
      </c>
      <c r="I186" s="1135" t="e">
        <v>#REF!</v>
      </c>
      <c r="J186" s="1135" t="e">
        <v>#REF!</v>
      </c>
      <c r="K186" s="1135" t="e">
        <v>#REF!</v>
      </c>
    </row>
    <row r="187" spans="1:11" s="1136" customFormat="1" ht="45">
      <c r="A187" s="1131">
        <v>181</v>
      </c>
      <c r="B187" s="1132" t="s">
        <v>9472</v>
      </c>
      <c r="C187" s="1133" t="s">
        <v>9473</v>
      </c>
      <c r="D187" s="1134" t="s">
        <v>9191</v>
      </c>
      <c r="E187" s="1135">
        <v>9072</v>
      </c>
      <c r="F187" s="1135">
        <v>932012.9</v>
      </c>
      <c r="G187" s="1135">
        <v>0</v>
      </c>
      <c r="H187" s="1135" t="e">
        <v>#REF!</v>
      </c>
      <c r="I187" s="1135" t="e">
        <v>#REF!</v>
      </c>
      <c r="J187" s="1135" t="e">
        <v>#REF!</v>
      </c>
      <c r="K187" s="1135" t="e">
        <v>#REF!</v>
      </c>
    </row>
    <row r="188" spans="1:11" s="1136" customFormat="1" ht="45">
      <c r="A188" s="1131">
        <v>182</v>
      </c>
      <c r="B188" s="1132" t="s">
        <v>9474</v>
      </c>
      <c r="C188" s="1133" t="s">
        <v>9475</v>
      </c>
      <c r="D188" s="1134" t="s">
        <v>9191</v>
      </c>
      <c r="E188" s="1135">
        <v>10962</v>
      </c>
      <c r="F188" s="1135">
        <v>1175146.7</v>
      </c>
      <c r="G188" s="1135">
        <v>0</v>
      </c>
      <c r="H188" s="1135" t="e">
        <v>#REF!</v>
      </c>
      <c r="I188" s="1135" t="e">
        <v>#REF!</v>
      </c>
      <c r="J188" s="1135" t="e">
        <v>#REF!</v>
      </c>
      <c r="K188" s="1135" t="e">
        <v>#REF!</v>
      </c>
    </row>
    <row r="189" spans="1:11" s="1136" customFormat="1" ht="45">
      <c r="A189" s="1131">
        <v>183</v>
      </c>
      <c r="B189" s="1132" t="s">
        <v>9476</v>
      </c>
      <c r="C189" s="1133" t="s">
        <v>9477</v>
      </c>
      <c r="D189" s="1134" t="s">
        <v>9191</v>
      </c>
      <c r="E189" s="1135">
        <v>13176</v>
      </c>
      <c r="F189" s="1135">
        <v>1412491.6</v>
      </c>
      <c r="G189" s="1135">
        <v>0</v>
      </c>
      <c r="H189" s="1135" t="e">
        <v>#REF!</v>
      </c>
      <c r="I189" s="1135" t="e">
        <v>#REF!</v>
      </c>
      <c r="J189" s="1135" t="e">
        <v>#REF!</v>
      </c>
      <c r="K189" s="1135" t="e">
        <v>#REF!</v>
      </c>
    </row>
    <row r="190" spans="1:11" s="1136" customFormat="1" ht="45">
      <c r="A190" s="1131">
        <v>184</v>
      </c>
      <c r="B190" s="1132" t="s">
        <v>9478</v>
      </c>
      <c r="C190" s="1133" t="s">
        <v>9479</v>
      </c>
      <c r="D190" s="1134" t="s">
        <v>9191</v>
      </c>
      <c r="E190" s="1135">
        <v>15876</v>
      </c>
      <c r="F190" s="1135">
        <v>1690358.8</v>
      </c>
      <c r="G190" s="1135">
        <v>0</v>
      </c>
      <c r="H190" s="1135" t="e">
        <v>#REF!</v>
      </c>
      <c r="I190" s="1135" t="e">
        <v>#REF!</v>
      </c>
      <c r="J190" s="1135" t="e">
        <v>#REF!</v>
      </c>
      <c r="K190" s="1135" t="e">
        <v>#REF!</v>
      </c>
    </row>
    <row r="191" spans="1:11" s="1136" customFormat="1" ht="45">
      <c r="A191" s="1131">
        <v>185</v>
      </c>
      <c r="B191" s="1132" t="s">
        <v>9480</v>
      </c>
      <c r="C191" s="1133" t="s">
        <v>9481</v>
      </c>
      <c r="D191" s="1134" t="s">
        <v>9191</v>
      </c>
      <c r="E191" s="1135">
        <v>19116</v>
      </c>
      <c r="F191" s="1135">
        <v>2031903.9</v>
      </c>
      <c r="G191" s="1135">
        <v>0</v>
      </c>
      <c r="H191" s="1135" t="e">
        <v>#REF!</v>
      </c>
      <c r="I191" s="1135" t="e">
        <v>#REF!</v>
      </c>
      <c r="J191" s="1135" t="e">
        <v>#REF!</v>
      </c>
      <c r="K191" s="1135" t="e">
        <v>#REF!</v>
      </c>
    </row>
    <row r="192" spans="1:11" s="1136" customFormat="1" ht="45">
      <c r="A192" s="1131">
        <v>186</v>
      </c>
      <c r="B192" s="1132" t="s">
        <v>9482</v>
      </c>
      <c r="C192" s="1133" t="s">
        <v>9483</v>
      </c>
      <c r="D192" s="1134" t="s">
        <v>9191</v>
      </c>
      <c r="E192" s="1135">
        <v>6642</v>
      </c>
      <c r="F192" s="1135">
        <v>767029.3</v>
      </c>
      <c r="G192" s="1135">
        <v>0</v>
      </c>
      <c r="H192" s="1135" t="e">
        <v>#REF!</v>
      </c>
      <c r="I192" s="1135" t="e">
        <v>#REF!</v>
      </c>
      <c r="J192" s="1135" t="e">
        <v>#REF!</v>
      </c>
      <c r="K192" s="1135" t="e">
        <v>#REF!</v>
      </c>
    </row>
    <row r="193" spans="1:11" s="1136" customFormat="1" ht="45">
      <c r="A193" s="1131">
        <v>187</v>
      </c>
      <c r="B193" s="1132" t="s">
        <v>9484</v>
      </c>
      <c r="C193" s="1133" t="s">
        <v>9485</v>
      </c>
      <c r="D193" s="1134" t="s">
        <v>9191</v>
      </c>
      <c r="E193" s="1135">
        <v>9072</v>
      </c>
      <c r="F193" s="1135">
        <v>1076735.3999999999</v>
      </c>
      <c r="G193" s="1135">
        <v>0</v>
      </c>
      <c r="H193" s="1135" t="e">
        <v>#REF!</v>
      </c>
      <c r="I193" s="1135" t="e">
        <v>#REF!</v>
      </c>
      <c r="J193" s="1135" t="e">
        <v>#REF!</v>
      </c>
      <c r="K193" s="1135" t="e">
        <v>#REF!</v>
      </c>
    </row>
    <row r="194" spans="1:11" s="1136" customFormat="1" ht="45">
      <c r="A194" s="1131">
        <v>188</v>
      </c>
      <c r="B194" s="1132" t="s">
        <v>9486</v>
      </c>
      <c r="C194" s="1133" t="s">
        <v>9487</v>
      </c>
      <c r="D194" s="1134" t="s">
        <v>9191</v>
      </c>
      <c r="E194" s="1135">
        <v>10962</v>
      </c>
      <c r="F194" s="1135">
        <v>1363286</v>
      </c>
      <c r="G194" s="1135">
        <v>0</v>
      </c>
      <c r="H194" s="1135" t="e">
        <v>#REF!</v>
      </c>
      <c r="I194" s="1135" t="e">
        <v>#REF!</v>
      </c>
      <c r="J194" s="1135" t="e">
        <v>#REF!</v>
      </c>
      <c r="K194" s="1135" t="e">
        <v>#REF!</v>
      </c>
    </row>
    <row r="195" spans="1:11" s="1136" customFormat="1" ht="45">
      <c r="A195" s="1131">
        <v>189</v>
      </c>
      <c r="B195" s="1132" t="s">
        <v>9488</v>
      </c>
      <c r="C195" s="1133" t="s">
        <v>9489</v>
      </c>
      <c r="D195" s="1134" t="s">
        <v>9191</v>
      </c>
      <c r="E195" s="1135">
        <v>13176</v>
      </c>
      <c r="F195" s="1135">
        <v>1617997.6</v>
      </c>
      <c r="G195" s="1135">
        <v>0</v>
      </c>
      <c r="H195" s="1135" t="e">
        <v>#REF!</v>
      </c>
      <c r="I195" s="1135" t="e">
        <v>#REF!</v>
      </c>
      <c r="J195" s="1135" t="e">
        <v>#REF!</v>
      </c>
      <c r="K195" s="1135" t="e">
        <v>#REF!</v>
      </c>
    </row>
    <row r="196" spans="1:11" s="1136" customFormat="1" ht="45">
      <c r="A196" s="1131">
        <v>190</v>
      </c>
      <c r="B196" s="1132" t="s">
        <v>9490</v>
      </c>
      <c r="C196" s="1133" t="s">
        <v>9491</v>
      </c>
      <c r="D196" s="1134" t="s">
        <v>9191</v>
      </c>
      <c r="E196" s="1135">
        <v>15876</v>
      </c>
      <c r="F196" s="1135">
        <v>1942176</v>
      </c>
      <c r="G196" s="1135">
        <v>0</v>
      </c>
      <c r="H196" s="1135" t="e">
        <v>#REF!</v>
      </c>
      <c r="I196" s="1135" t="e">
        <v>#REF!</v>
      </c>
      <c r="J196" s="1135" t="e">
        <v>#REF!</v>
      </c>
      <c r="K196" s="1135" t="e">
        <v>#REF!</v>
      </c>
    </row>
    <row r="197" spans="1:11" s="1136" customFormat="1" ht="45">
      <c r="A197" s="1131">
        <v>191</v>
      </c>
      <c r="B197" s="1132" t="s">
        <v>9492</v>
      </c>
      <c r="C197" s="1133" t="s">
        <v>9493</v>
      </c>
      <c r="D197" s="1134" t="s">
        <v>9191</v>
      </c>
      <c r="E197" s="1135">
        <v>19116</v>
      </c>
      <c r="F197" s="1135">
        <v>2370554.6</v>
      </c>
      <c r="G197" s="1135">
        <v>0</v>
      </c>
      <c r="H197" s="1135" t="e">
        <v>#REF!</v>
      </c>
      <c r="I197" s="1135" t="e">
        <v>#REF!</v>
      </c>
      <c r="J197" s="1135" t="e">
        <v>#REF!</v>
      </c>
      <c r="K197" s="1135" t="e">
        <v>#REF!</v>
      </c>
    </row>
    <row r="198" spans="1:11" s="1136" customFormat="1" ht="45">
      <c r="A198" s="1131">
        <v>192</v>
      </c>
      <c r="B198" s="1132" t="s">
        <v>9494</v>
      </c>
      <c r="C198" s="1133" t="s">
        <v>9495</v>
      </c>
      <c r="D198" s="1134" t="s">
        <v>9191</v>
      </c>
      <c r="E198" s="1135">
        <v>6642</v>
      </c>
      <c r="F198" s="1135">
        <v>833601.6</v>
      </c>
      <c r="G198" s="1135">
        <v>0</v>
      </c>
      <c r="H198" s="1135" t="e">
        <v>#REF!</v>
      </c>
      <c r="I198" s="1135" t="e">
        <v>#REF!</v>
      </c>
      <c r="J198" s="1135" t="e">
        <v>#REF!</v>
      </c>
      <c r="K198" s="1135" t="e">
        <v>#REF!</v>
      </c>
    </row>
    <row r="199" spans="1:11" s="1136" customFormat="1" ht="45">
      <c r="A199" s="1131">
        <v>193</v>
      </c>
      <c r="B199" s="1132" t="s">
        <v>9496</v>
      </c>
      <c r="C199" s="1133" t="s">
        <v>9497</v>
      </c>
      <c r="D199" s="1134" t="s">
        <v>9191</v>
      </c>
      <c r="E199" s="1135">
        <v>9072</v>
      </c>
      <c r="F199" s="1135">
        <v>1183830.1000000001</v>
      </c>
      <c r="G199" s="1135">
        <v>0</v>
      </c>
      <c r="H199" s="1135" t="e">
        <v>#REF!</v>
      </c>
      <c r="I199" s="1135" t="e">
        <v>#REF!</v>
      </c>
      <c r="J199" s="1135" t="e">
        <v>#REF!</v>
      </c>
      <c r="K199" s="1135" t="e">
        <v>#REF!</v>
      </c>
    </row>
    <row r="200" spans="1:11" s="1136" customFormat="1" ht="45">
      <c r="A200" s="1131">
        <v>194</v>
      </c>
      <c r="B200" s="1132" t="s">
        <v>9498</v>
      </c>
      <c r="C200" s="1133" t="s">
        <v>9499</v>
      </c>
      <c r="D200" s="1134" t="s">
        <v>9191</v>
      </c>
      <c r="E200" s="1135">
        <v>10962</v>
      </c>
      <c r="F200" s="1135">
        <v>1502219.6</v>
      </c>
      <c r="G200" s="1135">
        <v>0</v>
      </c>
      <c r="H200" s="1135" t="e">
        <v>#REF!</v>
      </c>
      <c r="I200" s="1135" t="e">
        <v>#REF!</v>
      </c>
      <c r="J200" s="1135" t="e">
        <v>#REF!</v>
      </c>
      <c r="K200" s="1135" t="e">
        <v>#REF!</v>
      </c>
    </row>
    <row r="201" spans="1:11" s="1136" customFormat="1" ht="45">
      <c r="A201" s="1131">
        <v>195</v>
      </c>
      <c r="B201" s="1132" t="s">
        <v>9500</v>
      </c>
      <c r="C201" s="1133" t="s">
        <v>9501</v>
      </c>
      <c r="D201" s="1134" t="s">
        <v>9191</v>
      </c>
      <c r="E201" s="1135">
        <v>13176</v>
      </c>
      <c r="F201" s="1135">
        <v>1797453.5</v>
      </c>
      <c r="G201" s="1135">
        <v>0</v>
      </c>
      <c r="H201" s="1135" t="e">
        <v>#REF!</v>
      </c>
      <c r="I201" s="1135" t="e">
        <v>#REF!</v>
      </c>
      <c r="J201" s="1135" t="e">
        <v>#REF!</v>
      </c>
      <c r="K201" s="1135" t="e">
        <v>#REF!</v>
      </c>
    </row>
    <row r="202" spans="1:11" s="1136" customFormat="1" ht="45">
      <c r="A202" s="1131">
        <v>196</v>
      </c>
      <c r="B202" s="1132" t="s">
        <v>9502</v>
      </c>
      <c r="C202" s="1133" t="s">
        <v>9503</v>
      </c>
      <c r="D202" s="1134" t="s">
        <v>9191</v>
      </c>
      <c r="E202" s="1135">
        <v>15876</v>
      </c>
      <c r="F202" s="1135">
        <v>2156365.2999999998</v>
      </c>
      <c r="G202" s="1135">
        <v>0</v>
      </c>
      <c r="H202" s="1135" t="e">
        <v>#REF!</v>
      </c>
      <c r="I202" s="1135" t="e">
        <v>#REF!</v>
      </c>
      <c r="J202" s="1135" t="e">
        <v>#REF!</v>
      </c>
      <c r="K202" s="1135" t="e">
        <v>#REF!</v>
      </c>
    </row>
    <row r="203" spans="1:11" s="1136" customFormat="1" ht="45">
      <c r="A203" s="1131">
        <v>197</v>
      </c>
      <c r="B203" s="1132" t="s">
        <v>9504</v>
      </c>
      <c r="C203" s="1133" t="s">
        <v>9505</v>
      </c>
      <c r="D203" s="1134" t="s">
        <v>9191</v>
      </c>
      <c r="E203" s="1135">
        <v>19116</v>
      </c>
      <c r="F203" s="1135">
        <v>2587638.2999999998</v>
      </c>
      <c r="G203" s="1135">
        <v>0</v>
      </c>
      <c r="H203" s="1135" t="e">
        <v>#REF!</v>
      </c>
      <c r="I203" s="1135" t="e">
        <v>#REF!</v>
      </c>
      <c r="J203" s="1135" t="e">
        <v>#REF!</v>
      </c>
      <c r="K203" s="1135" t="e">
        <v>#REF!</v>
      </c>
    </row>
    <row r="204" spans="1:11" s="1136" customFormat="1" ht="45">
      <c r="A204" s="1131">
        <v>198</v>
      </c>
      <c r="B204" s="1132" t="s">
        <v>9506</v>
      </c>
      <c r="C204" s="1133" t="s">
        <v>9507</v>
      </c>
      <c r="D204" s="1134" t="s">
        <v>9191</v>
      </c>
      <c r="E204" s="1135">
        <v>6642</v>
      </c>
      <c r="F204" s="1135">
        <v>914646.2</v>
      </c>
      <c r="G204" s="1135">
        <v>0</v>
      </c>
      <c r="H204" s="1135" t="e">
        <v>#REF!</v>
      </c>
      <c r="I204" s="1135" t="e">
        <v>#REF!</v>
      </c>
      <c r="J204" s="1135" t="e">
        <v>#REF!</v>
      </c>
      <c r="K204" s="1135" t="e">
        <v>#REF!</v>
      </c>
    </row>
    <row r="205" spans="1:11" s="1136" customFormat="1" ht="45">
      <c r="A205" s="1131">
        <v>199</v>
      </c>
      <c r="B205" s="1132" t="s">
        <v>9508</v>
      </c>
      <c r="C205" s="1133" t="s">
        <v>9509</v>
      </c>
      <c r="D205" s="1134" t="s">
        <v>9191</v>
      </c>
      <c r="E205" s="1135">
        <v>9072</v>
      </c>
      <c r="F205" s="1135">
        <v>1305397</v>
      </c>
      <c r="G205" s="1135">
        <v>0</v>
      </c>
      <c r="H205" s="1135" t="e">
        <v>#REF!</v>
      </c>
      <c r="I205" s="1135" t="e">
        <v>#REF!</v>
      </c>
      <c r="J205" s="1135" t="e">
        <v>#REF!</v>
      </c>
      <c r="K205" s="1135" t="e">
        <v>#REF!</v>
      </c>
    </row>
    <row r="206" spans="1:11" s="1136" customFormat="1" ht="45">
      <c r="A206" s="1131">
        <v>200</v>
      </c>
      <c r="B206" s="1132" t="s">
        <v>9510</v>
      </c>
      <c r="C206" s="1133" t="s">
        <v>9511</v>
      </c>
      <c r="D206" s="1134" t="s">
        <v>9191</v>
      </c>
      <c r="E206" s="1135">
        <v>10962</v>
      </c>
      <c r="F206" s="1135">
        <v>1649836.5</v>
      </c>
      <c r="G206" s="1135">
        <v>0</v>
      </c>
      <c r="H206" s="1135" t="e">
        <v>#REF!</v>
      </c>
      <c r="I206" s="1135" t="e">
        <v>#REF!</v>
      </c>
      <c r="J206" s="1135" t="e">
        <v>#REF!</v>
      </c>
      <c r="K206" s="1135" t="e">
        <v>#REF!</v>
      </c>
    </row>
    <row r="207" spans="1:11" s="1136" customFormat="1" ht="45">
      <c r="A207" s="1131">
        <v>201</v>
      </c>
      <c r="B207" s="1132" t="s">
        <v>9512</v>
      </c>
      <c r="C207" s="1133" t="s">
        <v>9513</v>
      </c>
      <c r="D207" s="1134" t="s">
        <v>9191</v>
      </c>
      <c r="E207" s="1135">
        <v>13176</v>
      </c>
      <c r="F207" s="1135">
        <v>1976909.4</v>
      </c>
      <c r="G207" s="1135">
        <v>0</v>
      </c>
      <c r="H207" s="1135" t="e">
        <v>#REF!</v>
      </c>
      <c r="I207" s="1135" t="e">
        <v>#REF!</v>
      </c>
      <c r="J207" s="1135" t="e">
        <v>#REF!</v>
      </c>
      <c r="K207" s="1135" t="e">
        <v>#REF!</v>
      </c>
    </row>
    <row r="208" spans="1:11" s="1136" customFormat="1" ht="45">
      <c r="A208" s="1131">
        <v>202</v>
      </c>
      <c r="B208" s="1132" t="s">
        <v>9514</v>
      </c>
      <c r="C208" s="1133" t="s">
        <v>9515</v>
      </c>
      <c r="D208" s="1134" t="s">
        <v>9191</v>
      </c>
      <c r="E208" s="1135">
        <v>15876</v>
      </c>
      <c r="F208" s="1135">
        <v>2370554.6</v>
      </c>
      <c r="G208" s="1135">
        <v>0</v>
      </c>
      <c r="H208" s="1135" t="e">
        <v>#REF!</v>
      </c>
      <c r="I208" s="1135" t="e">
        <v>#REF!</v>
      </c>
      <c r="J208" s="1135" t="e">
        <v>#REF!</v>
      </c>
      <c r="K208" s="1135" t="e">
        <v>#REF!</v>
      </c>
    </row>
    <row r="209" spans="1:11" s="1136" customFormat="1" ht="45">
      <c r="A209" s="1131">
        <v>203</v>
      </c>
      <c r="B209" s="1132" t="s">
        <v>9516</v>
      </c>
      <c r="C209" s="1133" t="s">
        <v>9517</v>
      </c>
      <c r="D209" s="1134" t="s">
        <v>9191</v>
      </c>
      <c r="E209" s="1135">
        <v>19116</v>
      </c>
      <c r="F209" s="1135">
        <v>2848138.8</v>
      </c>
      <c r="G209" s="1135">
        <v>0</v>
      </c>
      <c r="H209" s="1135" t="e">
        <v>#REF!</v>
      </c>
      <c r="I209" s="1135" t="e">
        <v>#REF!</v>
      </c>
      <c r="J209" s="1135" t="e">
        <v>#REF!</v>
      </c>
      <c r="K209" s="1135" t="e">
        <v>#REF!</v>
      </c>
    </row>
    <row r="210" spans="1:11" s="1136" customFormat="1" ht="45">
      <c r="A210" s="1131">
        <v>204</v>
      </c>
      <c r="B210" s="1132" t="s">
        <v>9518</v>
      </c>
      <c r="C210" s="1133" t="s">
        <v>9519</v>
      </c>
      <c r="D210" s="1134" t="s">
        <v>9191</v>
      </c>
      <c r="E210" s="1135">
        <v>6642</v>
      </c>
      <c r="F210" s="1135">
        <v>1053579.8</v>
      </c>
      <c r="G210" s="1135">
        <v>0</v>
      </c>
      <c r="H210" s="1135" t="e">
        <v>#REF!</v>
      </c>
      <c r="I210" s="1135" t="e">
        <v>#REF!</v>
      </c>
      <c r="J210" s="1135" t="e">
        <v>#REF!</v>
      </c>
      <c r="K210" s="1135" t="e">
        <v>#REF!</v>
      </c>
    </row>
    <row r="211" spans="1:11" s="1136" customFormat="1" ht="45">
      <c r="A211" s="1131">
        <v>205</v>
      </c>
      <c r="B211" s="1132" t="s">
        <v>9520</v>
      </c>
      <c r="C211" s="1133" t="s">
        <v>9521</v>
      </c>
      <c r="D211" s="1134" t="s">
        <v>9191</v>
      </c>
      <c r="E211" s="1135">
        <v>9072</v>
      </c>
      <c r="F211" s="1135">
        <v>1513797.4</v>
      </c>
      <c r="G211" s="1135">
        <v>0</v>
      </c>
      <c r="H211" s="1135" t="e">
        <v>#REF!</v>
      </c>
      <c r="I211" s="1135" t="e">
        <v>#REF!</v>
      </c>
      <c r="J211" s="1135" t="e">
        <v>#REF!</v>
      </c>
      <c r="K211" s="1135" t="e">
        <v>#REF!</v>
      </c>
    </row>
    <row r="212" spans="1:11" s="1136" customFormat="1" ht="45">
      <c r="A212" s="1131">
        <v>206</v>
      </c>
      <c r="B212" s="1132" t="s">
        <v>9522</v>
      </c>
      <c r="C212" s="1133" t="s">
        <v>9523</v>
      </c>
      <c r="D212" s="1134" t="s">
        <v>9191</v>
      </c>
      <c r="E212" s="1135">
        <v>10962</v>
      </c>
      <c r="F212" s="1135">
        <v>1904548.1</v>
      </c>
      <c r="G212" s="1135">
        <v>0</v>
      </c>
      <c r="H212" s="1135" t="e">
        <v>#REF!</v>
      </c>
      <c r="I212" s="1135" t="e">
        <v>#REF!</v>
      </c>
      <c r="J212" s="1135" t="e">
        <v>#REF!</v>
      </c>
      <c r="K212" s="1135" t="e">
        <v>#REF!</v>
      </c>
    </row>
    <row r="213" spans="1:11" s="1136" customFormat="1" ht="45">
      <c r="A213" s="1131">
        <v>207</v>
      </c>
      <c r="B213" s="1132" t="s">
        <v>9524</v>
      </c>
      <c r="C213" s="1133" t="s">
        <v>9525</v>
      </c>
      <c r="D213" s="1134" t="s">
        <v>9191</v>
      </c>
      <c r="E213" s="1135">
        <v>13176</v>
      </c>
      <c r="F213" s="1135">
        <v>2272143.2999999998</v>
      </c>
      <c r="G213" s="1135">
        <v>0</v>
      </c>
      <c r="H213" s="1135" t="e">
        <v>#REF!</v>
      </c>
      <c r="I213" s="1135" t="e">
        <v>#REF!</v>
      </c>
      <c r="J213" s="1135" t="e">
        <v>#REF!</v>
      </c>
      <c r="K213" s="1135" t="e">
        <v>#REF!</v>
      </c>
    </row>
    <row r="214" spans="1:11" s="1136" customFormat="1" ht="45">
      <c r="A214" s="1131">
        <v>208</v>
      </c>
      <c r="B214" s="1132" t="s">
        <v>9526</v>
      </c>
      <c r="C214" s="1133" t="s">
        <v>9527</v>
      </c>
      <c r="D214" s="1134" t="s">
        <v>9191</v>
      </c>
      <c r="E214" s="1135">
        <v>15876</v>
      </c>
      <c r="F214" s="1135">
        <v>2729466.4</v>
      </c>
      <c r="G214" s="1135">
        <v>0</v>
      </c>
      <c r="H214" s="1135" t="e">
        <v>#REF!</v>
      </c>
      <c r="I214" s="1135" t="e">
        <v>#REF!</v>
      </c>
      <c r="J214" s="1135" t="e">
        <v>#REF!</v>
      </c>
      <c r="K214" s="1135" t="e">
        <v>#REF!</v>
      </c>
    </row>
    <row r="215" spans="1:11" s="1136" customFormat="1" ht="45">
      <c r="A215" s="1131">
        <v>209</v>
      </c>
      <c r="B215" s="1132" t="s">
        <v>9528</v>
      </c>
      <c r="C215" s="1133" t="s">
        <v>9529</v>
      </c>
      <c r="D215" s="1134" t="s">
        <v>9191</v>
      </c>
      <c r="E215" s="1135">
        <v>19116</v>
      </c>
      <c r="F215" s="1135">
        <v>3276517.4</v>
      </c>
      <c r="G215" s="1135">
        <v>0</v>
      </c>
      <c r="H215" s="1135" t="e">
        <v>#REF!</v>
      </c>
      <c r="I215" s="1135" t="e">
        <v>#REF!</v>
      </c>
      <c r="J215" s="1135" t="e">
        <v>#REF!</v>
      </c>
      <c r="K215" s="1135" t="e">
        <v>#REF!</v>
      </c>
    </row>
    <row r="216" spans="1:11" s="1136" customFormat="1" ht="45">
      <c r="A216" s="1131">
        <v>210</v>
      </c>
      <c r="B216" s="1132" t="s">
        <v>9530</v>
      </c>
      <c r="C216" s="1133" t="s">
        <v>9531</v>
      </c>
      <c r="D216" s="1134" t="s">
        <v>9191</v>
      </c>
      <c r="E216" s="1135">
        <v>6642</v>
      </c>
      <c r="F216" s="1135">
        <v>1215669</v>
      </c>
      <c r="G216" s="1135">
        <v>0</v>
      </c>
      <c r="H216" s="1135" t="e">
        <v>#REF!</v>
      </c>
      <c r="I216" s="1135" t="e">
        <v>#REF!</v>
      </c>
      <c r="J216" s="1135" t="e">
        <v>#REF!</v>
      </c>
      <c r="K216" s="1135" t="e">
        <v>#REF!</v>
      </c>
    </row>
    <row r="217" spans="1:11" s="1136" customFormat="1" ht="45">
      <c r="A217" s="1131">
        <v>211</v>
      </c>
      <c r="B217" s="1132" t="s">
        <v>9532</v>
      </c>
      <c r="C217" s="1133" t="s">
        <v>9533</v>
      </c>
      <c r="D217" s="1134" t="s">
        <v>9191</v>
      </c>
      <c r="E217" s="1135">
        <v>9072</v>
      </c>
      <c r="F217" s="1135">
        <v>1725092.2</v>
      </c>
      <c r="G217" s="1135">
        <v>0</v>
      </c>
      <c r="H217" s="1135" t="e">
        <v>#REF!</v>
      </c>
      <c r="I217" s="1135" t="e">
        <v>#REF!</v>
      </c>
      <c r="J217" s="1135" t="e">
        <v>#REF!</v>
      </c>
      <c r="K217" s="1135" t="e">
        <v>#REF!</v>
      </c>
    </row>
    <row r="218" spans="1:11" s="1136" customFormat="1" ht="45">
      <c r="A218" s="1131">
        <v>212</v>
      </c>
      <c r="B218" s="1132" t="s">
        <v>9534</v>
      </c>
      <c r="C218" s="1133" t="s">
        <v>9535</v>
      </c>
      <c r="D218" s="1134" t="s">
        <v>9191</v>
      </c>
      <c r="E218" s="1135">
        <v>10962</v>
      </c>
      <c r="F218" s="1135">
        <v>2191098.7000000002</v>
      </c>
      <c r="G218" s="1135">
        <v>0</v>
      </c>
      <c r="H218" s="1135" t="e">
        <v>#REF!</v>
      </c>
      <c r="I218" s="1135" t="e">
        <v>#REF!</v>
      </c>
      <c r="J218" s="1135" t="e">
        <v>#REF!</v>
      </c>
      <c r="K218" s="1135" t="e">
        <v>#REF!</v>
      </c>
    </row>
    <row r="219" spans="1:11" s="1136" customFormat="1" ht="45">
      <c r="A219" s="1131">
        <v>213</v>
      </c>
      <c r="B219" s="1132" t="s">
        <v>9536</v>
      </c>
      <c r="C219" s="1133" t="s">
        <v>9537</v>
      </c>
      <c r="D219" s="1134" t="s">
        <v>9191</v>
      </c>
      <c r="E219" s="1135">
        <v>13176</v>
      </c>
      <c r="F219" s="1135">
        <v>2610793.9</v>
      </c>
      <c r="G219" s="1135">
        <v>0</v>
      </c>
      <c r="H219" s="1135" t="e">
        <v>#REF!</v>
      </c>
      <c r="I219" s="1135" t="e">
        <v>#REF!</v>
      </c>
      <c r="J219" s="1135" t="e">
        <v>#REF!</v>
      </c>
      <c r="K219" s="1135" t="e">
        <v>#REF!</v>
      </c>
    </row>
    <row r="220" spans="1:11" s="1136" customFormat="1" ht="45">
      <c r="A220" s="1131">
        <v>214</v>
      </c>
      <c r="B220" s="1132" t="s">
        <v>9538</v>
      </c>
      <c r="C220" s="1133" t="s">
        <v>9539</v>
      </c>
      <c r="D220" s="1134" t="s">
        <v>9191</v>
      </c>
      <c r="E220" s="1135">
        <v>15876</v>
      </c>
      <c r="F220" s="1135">
        <v>3143372.7</v>
      </c>
      <c r="G220" s="1135">
        <v>0</v>
      </c>
      <c r="H220" s="1135" t="e">
        <v>#REF!</v>
      </c>
      <c r="I220" s="1135" t="e">
        <v>#REF!</v>
      </c>
      <c r="J220" s="1135" t="e">
        <v>#REF!</v>
      </c>
      <c r="K220" s="1135" t="e">
        <v>#REF!</v>
      </c>
    </row>
    <row r="221" spans="1:11" s="1136" customFormat="1" ht="45">
      <c r="A221" s="1131">
        <v>215</v>
      </c>
      <c r="B221" s="1132" t="s">
        <v>9540</v>
      </c>
      <c r="C221" s="1133" t="s">
        <v>9541</v>
      </c>
      <c r="D221" s="1134" t="s">
        <v>9191</v>
      </c>
      <c r="E221" s="1135">
        <v>19116</v>
      </c>
      <c r="F221" s="1135">
        <v>3771468.4</v>
      </c>
      <c r="G221" s="1135">
        <v>0</v>
      </c>
      <c r="H221" s="1135" t="e">
        <v>#REF!</v>
      </c>
      <c r="I221" s="1135" t="e">
        <v>#REF!</v>
      </c>
      <c r="J221" s="1135" t="e">
        <v>#REF!</v>
      </c>
      <c r="K221" s="1135" t="e">
        <v>#REF!</v>
      </c>
    </row>
    <row r="222" spans="1:11" s="1136" customFormat="1" ht="45">
      <c r="A222" s="1131">
        <v>216</v>
      </c>
      <c r="B222" s="1132" t="s">
        <v>9542</v>
      </c>
      <c r="C222" s="1133" t="s">
        <v>9543</v>
      </c>
      <c r="D222" s="1134" t="s">
        <v>9191</v>
      </c>
      <c r="E222" s="1135">
        <v>1530</v>
      </c>
      <c r="F222" s="1135">
        <v>81044.600000000006</v>
      </c>
      <c r="G222" s="1135">
        <v>0</v>
      </c>
      <c r="H222" s="1135" t="e">
        <v>#REF!</v>
      </c>
      <c r="I222" s="1135" t="e">
        <v>#REF!</v>
      </c>
      <c r="J222" s="1135" t="e">
        <v>#REF!</v>
      </c>
      <c r="K222" s="1135" t="e">
        <v>#REF!</v>
      </c>
    </row>
    <row r="223" spans="1:11" s="1136" customFormat="1" ht="45">
      <c r="A223" s="1131">
        <v>217</v>
      </c>
      <c r="B223" s="1132" t="s">
        <v>9544</v>
      </c>
      <c r="C223" s="1133" t="s">
        <v>9545</v>
      </c>
      <c r="D223" s="1134" t="s">
        <v>9191</v>
      </c>
      <c r="E223" s="1135">
        <v>2310</v>
      </c>
      <c r="F223" s="1135">
        <v>193928.2</v>
      </c>
      <c r="G223" s="1135">
        <v>0</v>
      </c>
      <c r="H223" s="1135" t="e">
        <v>#REF!</v>
      </c>
      <c r="I223" s="1135" t="e">
        <v>#REF!</v>
      </c>
      <c r="J223" s="1135" t="e">
        <v>#REF!</v>
      </c>
      <c r="K223" s="1135" t="e">
        <v>#REF!</v>
      </c>
    </row>
    <row r="224" spans="1:11" s="1136" customFormat="1" ht="45">
      <c r="A224" s="1131">
        <v>218</v>
      </c>
      <c r="B224" s="1132" t="s">
        <v>9546</v>
      </c>
      <c r="C224" s="1133" t="s">
        <v>9547</v>
      </c>
      <c r="D224" s="1134" t="s">
        <v>9191</v>
      </c>
      <c r="E224" s="1135">
        <v>3690</v>
      </c>
      <c r="F224" s="1135">
        <v>303917.3</v>
      </c>
      <c r="G224" s="1135">
        <v>0</v>
      </c>
      <c r="H224" s="1135" t="e">
        <v>#REF!</v>
      </c>
      <c r="I224" s="1135" t="e">
        <v>#REF!</v>
      </c>
      <c r="J224" s="1135" t="e">
        <v>#REF!</v>
      </c>
      <c r="K224" s="1135" t="e">
        <v>#REF!</v>
      </c>
    </row>
    <row r="225" spans="1:11" s="1136" customFormat="1" ht="45">
      <c r="A225" s="1131">
        <v>219</v>
      </c>
      <c r="B225" s="1132" t="s">
        <v>9548</v>
      </c>
      <c r="C225" s="1133" t="s">
        <v>9549</v>
      </c>
      <c r="D225" s="1134" t="s">
        <v>9191</v>
      </c>
      <c r="E225" s="1135">
        <v>5040</v>
      </c>
      <c r="F225" s="1135">
        <v>431273.1</v>
      </c>
      <c r="G225" s="1135">
        <v>0</v>
      </c>
      <c r="H225" s="1135" t="e">
        <v>#REF!</v>
      </c>
      <c r="I225" s="1135" t="e">
        <v>#REF!</v>
      </c>
      <c r="J225" s="1135" t="e">
        <v>#REF!</v>
      </c>
      <c r="K225" s="1135" t="e">
        <v>#REF!</v>
      </c>
    </row>
    <row r="226" spans="1:11" s="1136" customFormat="1" ht="45">
      <c r="A226" s="1131">
        <v>220</v>
      </c>
      <c r="B226" s="1132" t="s">
        <v>9550</v>
      </c>
      <c r="C226" s="1133" t="s">
        <v>9551</v>
      </c>
      <c r="D226" s="1134" t="s">
        <v>9191</v>
      </c>
      <c r="E226" s="1135">
        <v>6090</v>
      </c>
      <c r="F226" s="1135">
        <v>547051.1</v>
      </c>
      <c r="G226" s="1135">
        <v>0</v>
      </c>
      <c r="H226" s="1135" t="e">
        <v>#REF!</v>
      </c>
      <c r="I226" s="1135" t="e">
        <v>#REF!</v>
      </c>
      <c r="J226" s="1135" t="e">
        <v>#REF!</v>
      </c>
      <c r="K226" s="1135" t="e">
        <v>#REF!</v>
      </c>
    </row>
    <row r="227" spans="1:11" s="1136" customFormat="1" ht="45">
      <c r="A227" s="1131">
        <v>221</v>
      </c>
      <c r="B227" s="1132" t="s">
        <v>9552</v>
      </c>
      <c r="C227" s="1133" t="s">
        <v>9553</v>
      </c>
      <c r="D227" s="1134" t="s">
        <v>9191</v>
      </c>
      <c r="E227" s="1135">
        <v>7320</v>
      </c>
      <c r="F227" s="1135">
        <v>659934.6</v>
      </c>
      <c r="G227" s="1135">
        <v>0</v>
      </c>
      <c r="H227" s="1135" t="e">
        <v>#REF!</v>
      </c>
      <c r="I227" s="1135" t="e">
        <v>#REF!</v>
      </c>
      <c r="J227" s="1135" t="e">
        <v>#REF!</v>
      </c>
      <c r="K227" s="1135" t="e">
        <v>#REF!</v>
      </c>
    </row>
    <row r="228" spans="1:11" s="1136" customFormat="1" ht="45">
      <c r="A228" s="1131">
        <v>222</v>
      </c>
      <c r="B228" s="1132" t="s">
        <v>9554</v>
      </c>
      <c r="C228" s="1133" t="s">
        <v>9555</v>
      </c>
      <c r="D228" s="1134" t="s">
        <v>9191</v>
      </c>
      <c r="E228" s="1135">
        <v>8820</v>
      </c>
      <c r="F228" s="1135">
        <v>790184.9</v>
      </c>
      <c r="G228" s="1135">
        <v>0</v>
      </c>
      <c r="H228" s="1135" t="e">
        <v>#REF!</v>
      </c>
      <c r="I228" s="1135" t="e">
        <v>#REF!</v>
      </c>
      <c r="J228" s="1135" t="e">
        <v>#REF!</v>
      </c>
      <c r="K228" s="1135" t="e">
        <v>#REF!</v>
      </c>
    </row>
    <row r="229" spans="1:11" s="1136" customFormat="1" ht="45">
      <c r="A229" s="1131">
        <v>223</v>
      </c>
      <c r="B229" s="1132" t="s">
        <v>9556</v>
      </c>
      <c r="C229" s="1133" t="s">
        <v>9557</v>
      </c>
      <c r="D229" s="1134" t="s">
        <v>9191</v>
      </c>
      <c r="E229" s="1135">
        <v>10620</v>
      </c>
      <c r="F229" s="1135">
        <v>949379.6</v>
      </c>
      <c r="G229" s="1135">
        <v>0</v>
      </c>
      <c r="H229" s="1135" t="e">
        <v>#REF!</v>
      </c>
      <c r="I229" s="1135" t="e">
        <v>#REF!</v>
      </c>
      <c r="J229" s="1135" t="e">
        <v>#REF!</v>
      </c>
      <c r="K229" s="1135" t="e">
        <v>#REF!</v>
      </c>
    </row>
    <row r="230" spans="1:11" s="1136" customFormat="1" ht="45">
      <c r="A230" s="1131">
        <v>224</v>
      </c>
      <c r="B230" s="1132" t="s">
        <v>9558</v>
      </c>
      <c r="C230" s="1133" t="s">
        <v>9559</v>
      </c>
      <c r="D230" s="1134" t="s">
        <v>9191</v>
      </c>
      <c r="E230" s="1135">
        <v>1530</v>
      </c>
      <c r="F230" s="1135">
        <v>101305.8</v>
      </c>
      <c r="G230" s="1135">
        <v>0</v>
      </c>
      <c r="H230" s="1135" t="e">
        <v>#REF!</v>
      </c>
      <c r="I230" s="1135" t="e">
        <v>#REF!</v>
      </c>
      <c r="J230" s="1135" t="e">
        <v>#REF!</v>
      </c>
      <c r="K230" s="1135" t="e">
        <v>#REF!</v>
      </c>
    </row>
    <row r="231" spans="1:11" s="1136" customFormat="1" ht="45">
      <c r="A231" s="1131">
        <v>225</v>
      </c>
      <c r="B231" s="1132" t="s">
        <v>9560</v>
      </c>
      <c r="C231" s="1133" t="s">
        <v>9561</v>
      </c>
      <c r="D231" s="1134" t="s">
        <v>9191</v>
      </c>
      <c r="E231" s="1135">
        <v>2310</v>
      </c>
      <c r="F231" s="1135">
        <v>199717.1</v>
      </c>
      <c r="G231" s="1135">
        <v>0</v>
      </c>
      <c r="H231" s="1135" t="e">
        <v>#REF!</v>
      </c>
      <c r="I231" s="1135" t="e">
        <v>#REF!</v>
      </c>
      <c r="J231" s="1135" t="e">
        <v>#REF!</v>
      </c>
      <c r="K231" s="1135" t="e">
        <v>#REF!</v>
      </c>
    </row>
    <row r="232" spans="1:11" s="1136" customFormat="1" ht="45">
      <c r="A232" s="1131">
        <v>226</v>
      </c>
      <c r="B232" s="1132" t="s">
        <v>9562</v>
      </c>
      <c r="C232" s="1133" t="s">
        <v>9563</v>
      </c>
      <c r="D232" s="1134" t="s">
        <v>9191</v>
      </c>
      <c r="E232" s="1135">
        <v>3690</v>
      </c>
      <c r="F232" s="1135">
        <v>321284</v>
      </c>
      <c r="G232" s="1135">
        <v>0</v>
      </c>
      <c r="H232" s="1135" t="e">
        <v>#REF!</v>
      </c>
      <c r="I232" s="1135" t="e">
        <v>#REF!</v>
      </c>
      <c r="J232" s="1135" t="e">
        <v>#REF!</v>
      </c>
      <c r="K232" s="1135" t="e">
        <v>#REF!</v>
      </c>
    </row>
    <row r="233" spans="1:11" s="1136" customFormat="1" ht="45">
      <c r="A233" s="1131">
        <v>227</v>
      </c>
      <c r="B233" s="1132" t="s">
        <v>9564</v>
      </c>
      <c r="C233" s="1133" t="s">
        <v>9565</v>
      </c>
      <c r="D233" s="1134" t="s">
        <v>9191</v>
      </c>
      <c r="E233" s="1135">
        <v>5040</v>
      </c>
      <c r="F233" s="1135">
        <v>457323.1</v>
      </c>
      <c r="G233" s="1135">
        <v>0</v>
      </c>
      <c r="H233" s="1135" t="e">
        <v>#REF!</v>
      </c>
      <c r="I233" s="1135" t="e">
        <v>#REF!</v>
      </c>
      <c r="J233" s="1135" t="e">
        <v>#REF!</v>
      </c>
      <c r="K233" s="1135" t="e">
        <v>#REF!</v>
      </c>
    </row>
    <row r="234" spans="1:11" s="1136" customFormat="1" ht="45">
      <c r="A234" s="1131">
        <v>228</v>
      </c>
      <c r="B234" s="1132" t="s">
        <v>9566</v>
      </c>
      <c r="C234" s="1133" t="s">
        <v>9567</v>
      </c>
      <c r="D234" s="1134" t="s">
        <v>9191</v>
      </c>
      <c r="E234" s="1135">
        <v>6090</v>
      </c>
      <c r="F234" s="1135">
        <v>578890</v>
      </c>
      <c r="G234" s="1135">
        <v>0</v>
      </c>
      <c r="H234" s="1135" t="e">
        <v>#REF!</v>
      </c>
      <c r="I234" s="1135" t="e">
        <v>#REF!</v>
      </c>
      <c r="J234" s="1135" t="e">
        <v>#REF!</v>
      </c>
      <c r="K234" s="1135" t="e">
        <v>#REF!</v>
      </c>
    </row>
    <row r="235" spans="1:11" s="1136" customFormat="1" ht="45">
      <c r="A235" s="1131">
        <v>229</v>
      </c>
      <c r="B235" s="1132" t="s">
        <v>9568</v>
      </c>
      <c r="C235" s="1133" t="s">
        <v>9569</v>
      </c>
      <c r="D235" s="1134" t="s">
        <v>9191</v>
      </c>
      <c r="E235" s="1135">
        <v>7320</v>
      </c>
      <c r="F235" s="1135">
        <v>691773.6</v>
      </c>
      <c r="G235" s="1135">
        <v>0</v>
      </c>
      <c r="H235" s="1135" t="e">
        <v>#REF!</v>
      </c>
      <c r="I235" s="1135" t="e">
        <v>#REF!</v>
      </c>
      <c r="J235" s="1135" t="e">
        <v>#REF!</v>
      </c>
      <c r="K235" s="1135" t="e">
        <v>#REF!</v>
      </c>
    </row>
    <row r="236" spans="1:11" s="1136" customFormat="1" ht="45">
      <c r="A236" s="1131">
        <v>230</v>
      </c>
      <c r="B236" s="1132" t="s">
        <v>9570</v>
      </c>
      <c r="C236" s="1133" t="s">
        <v>9571</v>
      </c>
      <c r="D236" s="1134" t="s">
        <v>9191</v>
      </c>
      <c r="E236" s="1135">
        <v>8820</v>
      </c>
      <c r="F236" s="1135">
        <v>830707.19999999995</v>
      </c>
      <c r="G236" s="1135">
        <v>0</v>
      </c>
      <c r="H236" s="1135" t="e">
        <v>#REF!</v>
      </c>
      <c r="I236" s="1135" t="e">
        <v>#REF!</v>
      </c>
      <c r="J236" s="1135" t="e">
        <v>#REF!</v>
      </c>
      <c r="K236" s="1135" t="e">
        <v>#REF!</v>
      </c>
    </row>
    <row r="237" spans="1:11" s="1136" customFormat="1" ht="45">
      <c r="A237" s="1131">
        <v>231</v>
      </c>
      <c r="B237" s="1132" t="s">
        <v>9572</v>
      </c>
      <c r="C237" s="1133" t="s">
        <v>9573</v>
      </c>
      <c r="D237" s="1134" t="s">
        <v>9191</v>
      </c>
      <c r="E237" s="1135">
        <v>10620</v>
      </c>
      <c r="F237" s="1135">
        <v>995690.8</v>
      </c>
      <c r="G237" s="1135">
        <v>0</v>
      </c>
      <c r="H237" s="1135" t="e">
        <v>#REF!</v>
      </c>
      <c r="I237" s="1135" t="e">
        <v>#REF!</v>
      </c>
      <c r="J237" s="1135" t="e">
        <v>#REF!</v>
      </c>
      <c r="K237" s="1135" t="e">
        <v>#REF!</v>
      </c>
    </row>
    <row r="238" spans="1:11" s="1136" customFormat="1" ht="45">
      <c r="A238" s="1131">
        <v>232</v>
      </c>
      <c r="B238" s="1132" t="s">
        <v>9574</v>
      </c>
      <c r="C238" s="1133" t="s">
        <v>9575</v>
      </c>
      <c r="D238" s="1134" t="s">
        <v>9191</v>
      </c>
      <c r="E238" s="1135">
        <v>1530</v>
      </c>
      <c r="F238" s="1135">
        <v>127355.8</v>
      </c>
      <c r="G238" s="1135">
        <v>0</v>
      </c>
      <c r="H238" s="1135" t="e">
        <v>#REF!</v>
      </c>
      <c r="I238" s="1135" t="e">
        <v>#REF!</v>
      </c>
      <c r="J238" s="1135" t="e">
        <v>#REF!</v>
      </c>
      <c r="K238" s="1135" t="e">
        <v>#REF!</v>
      </c>
    </row>
    <row r="239" spans="1:11" s="1136" customFormat="1" ht="45">
      <c r="A239" s="1131">
        <v>233</v>
      </c>
      <c r="B239" s="1132" t="s">
        <v>9576</v>
      </c>
      <c r="C239" s="1133" t="s">
        <v>9577</v>
      </c>
      <c r="D239" s="1134" t="s">
        <v>9191</v>
      </c>
      <c r="E239" s="1135">
        <v>2310</v>
      </c>
      <c r="F239" s="1135">
        <v>225767.1</v>
      </c>
      <c r="G239" s="1135">
        <v>0</v>
      </c>
      <c r="H239" s="1135" t="e">
        <v>#REF!</v>
      </c>
      <c r="I239" s="1135" t="e">
        <v>#REF!</v>
      </c>
      <c r="J239" s="1135" t="e">
        <v>#REF!</v>
      </c>
      <c r="K239" s="1135" t="e">
        <v>#REF!</v>
      </c>
    </row>
    <row r="240" spans="1:11" s="1136" customFormat="1" ht="45">
      <c r="A240" s="1131">
        <v>234</v>
      </c>
      <c r="B240" s="1132" t="s">
        <v>9578</v>
      </c>
      <c r="C240" s="1133" t="s">
        <v>9579</v>
      </c>
      <c r="D240" s="1134" t="s">
        <v>9191</v>
      </c>
      <c r="E240" s="1135">
        <v>3690</v>
      </c>
      <c r="F240" s="1135">
        <v>364700.7</v>
      </c>
      <c r="G240" s="1135">
        <v>0</v>
      </c>
      <c r="H240" s="1135" t="e">
        <v>#REF!</v>
      </c>
      <c r="I240" s="1135" t="e">
        <v>#REF!</v>
      </c>
      <c r="J240" s="1135" t="e">
        <v>#REF!</v>
      </c>
      <c r="K240" s="1135" t="e">
        <v>#REF!</v>
      </c>
    </row>
    <row r="241" spans="1:11" s="1136" customFormat="1" ht="45">
      <c r="A241" s="1131">
        <v>235</v>
      </c>
      <c r="B241" s="1132" t="s">
        <v>9580</v>
      </c>
      <c r="C241" s="1133" t="s">
        <v>9581</v>
      </c>
      <c r="D241" s="1134" t="s">
        <v>9191</v>
      </c>
      <c r="E241" s="1135">
        <v>5040</v>
      </c>
      <c r="F241" s="1135">
        <v>518106.6</v>
      </c>
      <c r="G241" s="1135">
        <v>0</v>
      </c>
      <c r="H241" s="1135" t="e">
        <v>#REF!</v>
      </c>
      <c r="I241" s="1135" t="e">
        <v>#REF!</v>
      </c>
      <c r="J241" s="1135" t="e">
        <v>#REF!</v>
      </c>
      <c r="K241" s="1135" t="e">
        <v>#REF!</v>
      </c>
    </row>
    <row r="242" spans="1:11" s="1136" customFormat="1" ht="45">
      <c r="A242" s="1131">
        <v>236</v>
      </c>
      <c r="B242" s="1132" t="s">
        <v>9582</v>
      </c>
      <c r="C242" s="1133" t="s">
        <v>9583</v>
      </c>
      <c r="D242" s="1134" t="s">
        <v>9191</v>
      </c>
      <c r="E242" s="1135">
        <v>6090</v>
      </c>
      <c r="F242" s="1135">
        <v>654145.69999999995</v>
      </c>
      <c r="G242" s="1135">
        <v>0</v>
      </c>
      <c r="H242" s="1135" t="e">
        <v>#REF!</v>
      </c>
      <c r="I242" s="1135" t="e">
        <v>#REF!</v>
      </c>
      <c r="J242" s="1135" t="e">
        <v>#REF!</v>
      </c>
      <c r="K242" s="1135" t="e">
        <v>#REF!</v>
      </c>
    </row>
    <row r="243" spans="1:11" s="1136" customFormat="1" ht="45">
      <c r="A243" s="1131">
        <v>237</v>
      </c>
      <c r="B243" s="1132" t="s">
        <v>9584</v>
      </c>
      <c r="C243" s="1133" t="s">
        <v>9585</v>
      </c>
      <c r="D243" s="1134" t="s">
        <v>9191</v>
      </c>
      <c r="E243" s="1135">
        <v>7320</v>
      </c>
      <c r="F243" s="1135">
        <v>787290.4</v>
      </c>
      <c r="G243" s="1135">
        <v>0</v>
      </c>
      <c r="H243" s="1135" t="e">
        <v>#REF!</v>
      </c>
      <c r="I243" s="1135" t="e">
        <v>#REF!</v>
      </c>
      <c r="J243" s="1135" t="e">
        <v>#REF!</v>
      </c>
      <c r="K243" s="1135" t="e">
        <v>#REF!</v>
      </c>
    </row>
    <row r="244" spans="1:11" s="1136" customFormat="1" ht="45">
      <c r="A244" s="1131">
        <v>238</v>
      </c>
      <c r="B244" s="1132" t="s">
        <v>9586</v>
      </c>
      <c r="C244" s="1133" t="s">
        <v>9587</v>
      </c>
      <c r="D244" s="1134" t="s">
        <v>9191</v>
      </c>
      <c r="E244" s="1135">
        <v>8820</v>
      </c>
      <c r="F244" s="1135">
        <v>946485.2</v>
      </c>
      <c r="G244" s="1135">
        <v>0</v>
      </c>
      <c r="H244" s="1135" t="e">
        <v>#REF!</v>
      </c>
      <c r="I244" s="1135" t="e">
        <v>#REF!</v>
      </c>
      <c r="J244" s="1135" t="e">
        <v>#REF!</v>
      </c>
      <c r="K244" s="1135" t="e">
        <v>#REF!</v>
      </c>
    </row>
    <row r="245" spans="1:11" s="1136" customFormat="1" ht="45">
      <c r="A245" s="1131">
        <v>239</v>
      </c>
      <c r="B245" s="1132" t="s">
        <v>9588</v>
      </c>
      <c r="C245" s="1133" t="s">
        <v>9589</v>
      </c>
      <c r="D245" s="1134" t="s">
        <v>9191</v>
      </c>
      <c r="E245" s="1135">
        <v>10620</v>
      </c>
      <c r="F245" s="1135">
        <v>1134624.3999999999</v>
      </c>
      <c r="G245" s="1135">
        <v>0</v>
      </c>
      <c r="H245" s="1135" t="e">
        <v>#REF!</v>
      </c>
      <c r="I245" s="1135" t="e">
        <v>#REF!</v>
      </c>
      <c r="J245" s="1135" t="e">
        <v>#REF!</v>
      </c>
      <c r="K245" s="1135" t="e">
        <v>#REF!</v>
      </c>
    </row>
    <row r="246" spans="1:11" s="1136" customFormat="1" ht="45">
      <c r="A246" s="1131">
        <v>240</v>
      </c>
      <c r="B246" s="1132" t="s">
        <v>9590</v>
      </c>
      <c r="C246" s="1133" t="s">
        <v>9591</v>
      </c>
      <c r="D246" s="1134" t="s">
        <v>9191</v>
      </c>
      <c r="E246" s="1135">
        <v>1530</v>
      </c>
      <c r="F246" s="1135">
        <v>150511.4</v>
      </c>
      <c r="G246" s="1135">
        <v>0</v>
      </c>
      <c r="H246" s="1135" t="e">
        <v>#REF!</v>
      </c>
      <c r="I246" s="1135" t="e">
        <v>#REF!</v>
      </c>
      <c r="J246" s="1135" t="e">
        <v>#REF!</v>
      </c>
      <c r="K246" s="1135" t="e">
        <v>#REF!</v>
      </c>
    </row>
    <row r="247" spans="1:11" s="1136" customFormat="1" ht="45">
      <c r="A247" s="1131">
        <v>241</v>
      </c>
      <c r="B247" s="1132" t="s">
        <v>9592</v>
      </c>
      <c r="C247" s="1133" t="s">
        <v>9593</v>
      </c>
      <c r="D247" s="1134" t="s">
        <v>9191</v>
      </c>
      <c r="E247" s="1135">
        <v>2310</v>
      </c>
      <c r="F247" s="1135">
        <v>257606.1</v>
      </c>
      <c r="G247" s="1135">
        <v>0</v>
      </c>
      <c r="H247" s="1135" t="e">
        <v>#REF!</v>
      </c>
      <c r="I247" s="1135" t="e">
        <v>#REF!</v>
      </c>
      <c r="J247" s="1135" t="e">
        <v>#REF!</v>
      </c>
      <c r="K247" s="1135" t="e">
        <v>#REF!</v>
      </c>
    </row>
    <row r="248" spans="1:11" s="1136" customFormat="1" ht="45">
      <c r="A248" s="1131">
        <v>242</v>
      </c>
      <c r="B248" s="1132" t="s">
        <v>9594</v>
      </c>
      <c r="C248" s="1133" t="s">
        <v>9595</v>
      </c>
      <c r="D248" s="1134" t="s">
        <v>9191</v>
      </c>
      <c r="E248" s="1135">
        <v>3690</v>
      </c>
      <c r="F248" s="1135">
        <v>405223</v>
      </c>
      <c r="G248" s="1135">
        <v>0</v>
      </c>
      <c r="H248" s="1135" t="e">
        <v>#REF!</v>
      </c>
      <c r="I248" s="1135" t="e">
        <v>#REF!</v>
      </c>
      <c r="J248" s="1135" t="e">
        <v>#REF!</v>
      </c>
      <c r="K248" s="1135" t="e">
        <v>#REF!</v>
      </c>
    </row>
    <row r="249" spans="1:11" s="1136" customFormat="1" ht="45">
      <c r="A249" s="1131">
        <v>243</v>
      </c>
      <c r="B249" s="1132" t="s">
        <v>9596</v>
      </c>
      <c r="C249" s="1133" t="s">
        <v>9597</v>
      </c>
      <c r="D249" s="1134" t="s">
        <v>9191</v>
      </c>
      <c r="E249" s="1135">
        <v>5040</v>
      </c>
      <c r="F249" s="1135">
        <v>578890</v>
      </c>
      <c r="G249" s="1135">
        <v>0</v>
      </c>
      <c r="H249" s="1135" t="e">
        <v>#REF!</v>
      </c>
      <c r="I249" s="1135" t="e">
        <v>#REF!</v>
      </c>
      <c r="J249" s="1135" t="e">
        <v>#REF!</v>
      </c>
      <c r="K249" s="1135" t="e">
        <v>#REF!</v>
      </c>
    </row>
    <row r="250" spans="1:11" s="1136" customFormat="1" ht="45">
      <c r="A250" s="1131">
        <v>244</v>
      </c>
      <c r="B250" s="1132" t="s">
        <v>9598</v>
      </c>
      <c r="C250" s="1133" t="s">
        <v>9599</v>
      </c>
      <c r="D250" s="1134" t="s">
        <v>9191</v>
      </c>
      <c r="E250" s="1135">
        <v>6090</v>
      </c>
      <c r="F250" s="1135">
        <v>732295.9</v>
      </c>
      <c r="G250" s="1135">
        <v>0</v>
      </c>
      <c r="H250" s="1135" t="e">
        <v>#REF!</v>
      </c>
      <c r="I250" s="1135" t="e">
        <v>#REF!</v>
      </c>
      <c r="J250" s="1135" t="e">
        <v>#REF!</v>
      </c>
      <c r="K250" s="1135" t="e">
        <v>#REF!</v>
      </c>
    </row>
    <row r="251" spans="1:11" s="1136" customFormat="1" ht="45">
      <c r="A251" s="1131">
        <v>245</v>
      </c>
      <c r="B251" s="1132" t="s">
        <v>9600</v>
      </c>
      <c r="C251" s="1133" t="s">
        <v>9601</v>
      </c>
      <c r="D251" s="1134" t="s">
        <v>9191</v>
      </c>
      <c r="E251" s="1135">
        <v>7320</v>
      </c>
      <c r="F251" s="1135">
        <v>877018.4</v>
      </c>
      <c r="G251" s="1135">
        <v>0</v>
      </c>
      <c r="H251" s="1135" t="e">
        <v>#REF!</v>
      </c>
      <c r="I251" s="1135" t="e">
        <v>#REF!</v>
      </c>
      <c r="J251" s="1135" t="e">
        <v>#REF!</v>
      </c>
      <c r="K251" s="1135" t="e">
        <v>#REF!</v>
      </c>
    </row>
    <row r="252" spans="1:11" s="1136" customFormat="1" ht="45">
      <c r="A252" s="1131">
        <v>246</v>
      </c>
      <c r="B252" s="1132" t="s">
        <v>9602</v>
      </c>
      <c r="C252" s="1133" t="s">
        <v>9603</v>
      </c>
      <c r="D252" s="1134" t="s">
        <v>9191</v>
      </c>
      <c r="E252" s="1135">
        <v>8820</v>
      </c>
      <c r="F252" s="1135">
        <v>1053579.8</v>
      </c>
      <c r="G252" s="1135">
        <v>0</v>
      </c>
      <c r="H252" s="1135" t="e">
        <v>#REF!</v>
      </c>
      <c r="I252" s="1135" t="e">
        <v>#REF!</v>
      </c>
      <c r="J252" s="1135" t="e">
        <v>#REF!</v>
      </c>
      <c r="K252" s="1135" t="e">
        <v>#REF!</v>
      </c>
    </row>
    <row r="253" spans="1:11" s="1136" customFormat="1" ht="45">
      <c r="A253" s="1131">
        <v>247</v>
      </c>
      <c r="B253" s="1132" t="s">
        <v>9604</v>
      </c>
      <c r="C253" s="1133" t="s">
        <v>9605</v>
      </c>
      <c r="D253" s="1134" t="s">
        <v>9191</v>
      </c>
      <c r="E253" s="1135">
        <v>10620</v>
      </c>
      <c r="F253" s="1135">
        <v>1261980.2</v>
      </c>
      <c r="G253" s="1135">
        <v>0</v>
      </c>
      <c r="H253" s="1135" t="e">
        <v>#REF!</v>
      </c>
      <c r="I253" s="1135" t="e">
        <v>#REF!</v>
      </c>
      <c r="J253" s="1135" t="e">
        <v>#REF!</v>
      </c>
      <c r="K253" s="1135" t="e">
        <v>#REF!</v>
      </c>
    </row>
    <row r="254" spans="1:11" s="1136" customFormat="1" ht="45">
      <c r="A254" s="1131">
        <v>248</v>
      </c>
      <c r="B254" s="1132" t="s">
        <v>9606</v>
      </c>
      <c r="C254" s="1133" t="s">
        <v>9607</v>
      </c>
      <c r="D254" s="1134" t="s">
        <v>9191</v>
      </c>
      <c r="E254" s="1135">
        <v>1530</v>
      </c>
      <c r="F254" s="1135">
        <v>176561.5</v>
      </c>
      <c r="G254" s="1135">
        <v>0</v>
      </c>
      <c r="H254" s="1135" t="e">
        <v>#REF!</v>
      </c>
      <c r="I254" s="1135" t="e">
        <v>#REF!</v>
      </c>
      <c r="J254" s="1135" t="e">
        <v>#REF!</v>
      </c>
      <c r="K254" s="1135" t="e">
        <v>#REF!</v>
      </c>
    </row>
    <row r="255" spans="1:11" s="1136" customFormat="1" ht="75.75" customHeight="1">
      <c r="A255" s="1131">
        <v>249</v>
      </c>
      <c r="B255" s="1132" t="s">
        <v>9608</v>
      </c>
      <c r="C255" s="1133" t="s">
        <v>9609</v>
      </c>
      <c r="D255" s="1134" t="s">
        <v>249</v>
      </c>
      <c r="E255" s="1135">
        <v>2310</v>
      </c>
      <c r="F255" s="1135">
        <v>283656.09999999998</v>
      </c>
      <c r="G255" s="1135">
        <v>0</v>
      </c>
      <c r="H255" s="1135" t="e">
        <v>#REF!</v>
      </c>
      <c r="I255" s="1135" t="e">
        <v>#REF!</v>
      </c>
      <c r="J255" s="1135" t="e">
        <v>#REF!</v>
      </c>
      <c r="K255" s="1135" t="e">
        <v>#REF!</v>
      </c>
    </row>
    <row r="256" spans="1:11" s="1136" customFormat="1" ht="45">
      <c r="A256" s="1131">
        <v>250</v>
      </c>
      <c r="B256" s="1132" t="s">
        <v>9610</v>
      </c>
      <c r="C256" s="1133" t="s">
        <v>9611</v>
      </c>
      <c r="D256" s="1134" t="s">
        <v>9191</v>
      </c>
      <c r="E256" s="1135">
        <v>3690</v>
      </c>
      <c r="F256" s="1135">
        <v>448639.8</v>
      </c>
      <c r="G256" s="1135">
        <v>0</v>
      </c>
      <c r="H256" s="1135" t="e">
        <v>#REF!</v>
      </c>
      <c r="I256" s="1135" t="e">
        <v>#REF!</v>
      </c>
      <c r="J256" s="1135" t="e">
        <v>#REF!</v>
      </c>
      <c r="K256" s="1135" t="e">
        <v>#REF!</v>
      </c>
    </row>
    <row r="257" spans="1:11" s="1136" customFormat="1" ht="45">
      <c r="A257" s="1131">
        <v>251</v>
      </c>
      <c r="B257" s="1132" t="s">
        <v>9612</v>
      </c>
      <c r="C257" s="1133" t="s">
        <v>9613</v>
      </c>
      <c r="D257" s="1134" t="s">
        <v>9191</v>
      </c>
      <c r="E257" s="1135">
        <v>5040</v>
      </c>
      <c r="F257" s="1135">
        <v>633884.6</v>
      </c>
      <c r="G257" s="1135">
        <v>0</v>
      </c>
      <c r="H257" s="1135" t="e">
        <v>#REF!</v>
      </c>
      <c r="I257" s="1135" t="e">
        <v>#REF!</v>
      </c>
      <c r="J257" s="1135" t="e">
        <v>#REF!</v>
      </c>
      <c r="K257" s="1135" t="e">
        <v>#REF!</v>
      </c>
    </row>
    <row r="258" spans="1:11" s="1136" customFormat="1" ht="45">
      <c r="A258" s="1131">
        <v>252</v>
      </c>
      <c r="B258" s="1132" t="s">
        <v>9614</v>
      </c>
      <c r="C258" s="1133" t="s">
        <v>9615</v>
      </c>
      <c r="D258" s="1134" t="s">
        <v>9191</v>
      </c>
      <c r="E258" s="1135">
        <v>6090</v>
      </c>
      <c r="F258" s="1135">
        <v>804657.1</v>
      </c>
      <c r="G258" s="1135">
        <v>0</v>
      </c>
      <c r="H258" s="1135" t="e">
        <v>#REF!</v>
      </c>
      <c r="I258" s="1135" t="e">
        <v>#REF!</v>
      </c>
      <c r="J258" s="1135" t="e">
        <v>#REF!</v>
      </c>
      <c r="K258" s="1135" t="e">
        <v>#REF!</v>
      </c>
    </row>
    <row r="259" spans="1:11" s="1136" customFormat="1" ht="45">
      <c r="A259" s="1131">
        <v>253</v>
      </c>
      <c r="B259" s="1132" t="s">
        <v>9616</v>
      </c>
      <c r="C259" s="1133" t="s">
        <v>9617</v>
      </c>
      <c r="D259" s="1134" t="s">
        <v>9191</v>
      </c>
      <c r="E259" s="1135">
        <v>7320</v>
      </c>
      <c r="F259" s="1135">
        <v>1111468.8</v>
      </c>
      <c r="G259" s="1135">
        <v>0</v>
      </c>
      <c r="H259" s="1135" t="e">
        <v>#REF!</v>
      </c>
      <c r="I259" s="1135" t="e">
        <v>#REF!</v>
      </c>
      <c r="J259" s="1135" t="e">
        <v>#REF!</v>
      </c>
      <c r="K259" s="1135" t="e">
        <v>#REF!</v>
      </c>
    </row>
    <row r="260" spans="1:11" s="1136" customFormat="1" ht="45">
      <c r="A260" s="1131">
        <v>254</v>
      </c>
      <c r="B260" s="1132" t="s">
        <v>9618</v>
      </c>
      <c r="C260" s="1133" t="s">
        <v>9619</v>
      </c>
      <c r="D260" s="1134" t="s">
        <v>9191</v>
      </c>
      <c r="E260" s="1135">
        <v>8820</v>
      </c>
      <c r="F260" s="1135">
        <v>1157780</v>
      </c>
      <c r="G260" s="1135">
        <v>0</v>
      </c>
      <c r="H260" s="1135" t="e">
        <v>#REF!</v>
      </c>
      <c r="I260" s="1135" t="e">
        <v>#REF!</v>
      </c>
      <c r="J260" s="1135" t="e">
        <v>#REF!</v>
      </c>
      <c r="K260" s="1135" t="e">
        <v>#REF!</v>
      </c>
    </row>
    <row r="261" spans="1:11" s="1136" customFormat="1" ht="45">
      <c r="A261" s="1131">
        <v>255</v>
      </c>
      <c r="B261" s="1132" t="s">
        <v>9620</v>
      </c>
      <c r="C261" s="1133" t="s">
        <v>9621</v>
      </c>
      <c r="D261" s="1134" t="s">
        <v>9191</v>
      </c>
      <c r="E261" s="1135">
        <v>10620</v>
      </c>
      <c r="F261" s="1135">
        <v>1389336</v>
      </c>
      <c r="G261" s="1135">
        <v>0</v>
      </c>
      <c r="H261" s="1135" t="e">
        <v>#REF!</v>
      </c>
      <c r="I261" s="1135" t="e">
        <v>#REF!</v>
      </c>
      <c r="J261" s="1135" t="e">
        <v>#REF!</v>
      </c>
      <c r="K261" s="1135" t="e">
        <v>#REF!</v>
      </c>
    </row>
    <row r="262" spans="1:11" s="1136" customFormat="1" ht="45">
      <c r="A262" s="1131">
        <v>256</v>
      </c>
      <c r="B262" s="1132" t="s">
        <v>9622</v>
      </c>
      <c r="C262" s="1133" t="s">
        <v>9623</v>
      </c>
      <c r="D262" s="1134" t="s">
        <v>9191</v>
      </c>
      <c r="E262" s="1135">
        <v>1530</v>
      </c>
      <c r="F262" s="1135">
        <v>193928.2</v>
      </c>
      <c r="G262" s="1135">
        <v>0</v>
      </c>
      <c r="H262" s="1135" t="e">
        <v>#REF!</v>
      </c>
      <c r="I262" s="1135" t="e">
        <v>#REF!</v>
      </c>
      <c r="J262" s="1135" t="e">
        <v>#REF!</v>
      </c>
      <c r="K262" s="1135" t="e">
        <v>#REF!</v>
      </c>
    </row>
    <row r="263" spans="1:11" s="1136" customFormat="1" ht="45">
      <c r="A263" s="1131">
        <v>257</v>
      </c>
      <c r="B263" s="1132" t="s">
        <v>9624</v>
      </c>
      <c r="C263" s="1133" t="s">
        <v>9625</v>
      </c>
      <c r="D263" s="1134" t="s">
        <v>9191</v>
      </c>
      <c r="E263" s="1135">
        <v>2310</v>
      </c>
      <c r="F263" s="1135">
        <v>312600.59999999998</v>
      </c>
      <c r="G263" s="1135">
        <v>0</v>
      </c>
      <c r="H263" s="1135" t="e">
        <v>#REF!</v>
      </c>
      <c r="I263" s="1135" t="e">
        <v>#REF!</v>
      </c>
      <c r="J263" s="1135" t="e">
        <v>#REF!</v>
      </c>
      <c r="K263" s="1135" t="e">
        <v>#REF!</v>
      </c>
    </row>
    <row r="264" spans="1:11" s="1136" customFormat="1" ht="45">
      <c r="A264" s="1131">
        <v>258</v>
      </c>
      <c r="B264" s="1132" t="s">
        <v>9626</v>
      </c>
      <c r="C264" s="1133" t="s">
        <v>9627</v>
      </c>
      <c r="D264" s="1134" t="s">
        <v>9191</v>
      </c>
      <c r="E264" s="1135">
        <v>3690</v>
      </c>
      <c r="F264" s="1135">
        <v>494951</v>
      </c>
      <c r="G264" s="1135">
        <v>0</v>
      </c>
      <c r="H264" s="1135" t="e">
        <v>#REF!</v>
      </c>
      <c r="I264" s="1135" t="e">
        <v>#REF!</v>
      </c>
      <c r="J264" s="1135" t="e">
        <v>#REF!</v>
      </c>
      <c r="K264" s="1135" t="e">
        <v>#REF!</v>
      </c>
    </row>
    <row r="265" spans="1:11" s="1136" customFormat="1" ht="45">
      <c r="A265" s="1131">
        <v>259</v>
      </c>
      <c r="B265" s="1132" t="s">
        <v>9628</v>
      </c>
      <c r="C265" s="1133" t="s">
        <v>9629</v>
      </c>
      <c r="D265" s="1134" t="s">
        <v>9191</v>
      </c>
      <c r="E265" s="1135">
        <v>5040</v>
      </c>
      <c r="F265" s="1135">
        <v>697562.5</v>
      </c>
      <c r="G265" s="1135">
        <v>0</v>
      </c>
      <c r="H265" s="1135" t="e">
        <v>#REF!</v>
      </c>
      <c r="I265" s="1135" t="e">
        <v>#REF!</v>
      </c>
      <c r="J265" s="1135" t="e">
        <v>#REF!</v>
      </c>
      <c r="K265" s="1135" t="e">
        <v>#REF!</v>
      </c>
    </row>
    <row r="266" spans="1:11" s="1136" customFormat="1" ht="45">
      <c r="A266" s="1131">
        <v>260</v>
      </c>
      <c r="B266" s="1132" t="s">
        <v>9630</v>
      </c>
      <c r="C266" s="1133" t="s">
        <v>9631</v>
      </c>
      <c r="D266" s="1134" t="s">
        <v>9191</v>
      </c>
      <c r="E266" s="1135">
        <v>6090</v>
      </c>
      <c r="F266" s="1135">
        <v>885701.7</v>
      </c>
      <c r="G266" s="1135">
        <v>0</v>
      </c>
      <c r="H266" s="1135" t="e">
        <v>#REF!</v>
      </c>
      <c r="I266" s="1135" t="e">
        <v>#REF!</v>
      </c>
      <c r="J266" s="1135" t="e">
        <v>#REF!</v>
      </c>
      <c r="K266" s="1135" t="e">
        <v>#REF!</v>
      </c>
    </row>
    <row r="267" spans="1:11" s="1136" customFormat="1" ht="45">
      <c r="A267" s="1131">
        <v>261</v>
      </c>
      <c r="B267" s="1132" t="s">
        <v>9632</v>
      </c>
      <c r="C267" s="1133" t="s">
        <v>9633</v>
      </c>
      <c r="D267" s="1134" t="s">
        <v>9191</v>
      </c>
      <c r="E267" s="1135">
        <v>7320</v>
      </c>
      <c r="F267" s="1135">
        <v>1224352.3999999999</v>
      </c>
      <c r="G267" s="1135">
        <v>0</v>
      </c>
      <c r="H267" s="1135" t="e">
        <v>#REF!</v>
      </c>
      <c r="I267" s="1135" t="e">
        <v>#REF!</v>
      </c>
      <c r="J267" s="1135" t="e">
        <v>#REF!</v>
      </c>
      <c r="K267" s="1135" t="e">
        <v>#REF!</v>
      </c>
    </row>
    <row r="268" spans="1:11" s="1136" customFormat="1" ht="45">
      <c r="A268" s="1131">
        <v>262</v>
      </c>
      <c r="B268" s="1132" t="s">
        <v>9634</v>
      </c>
      <c r="C268" s="1133" t="s">
        <v>9635</v>
      </c>
      <c r="D268" s="1134" t="s">
        <v>9191</v>
      </c>
      <c r="E268" s="1135">
        <v>8820</v>
      </c>
      <c r="F268" s="1135">
        <v>1273558</v>
      </c>
      <c r="G268" s="1135">
        <v>0</v>
      </c>
      <c r="H268" s="1135" t="e">
        <v>#REF!</v>
      </c>
      <c r="I268" s="1135" t="e">
        <v>#REF!</v>
      </c>
      <c r="J268" s="1135" t="e">
        <v>#REF!</v>
      </c>
      <c r="K268" s="1135" t="e">
        <v>#REF!</v>
      </c>
    </row>
    <row r="269" spans="1:11" s="1136" customFormat="1" ht="45">
      <c r="A269" s="1131">
        <v>263</v>
      </c>
      <c r="B269" s="1132" t="s">
        <v>9636</v>
      </c>
      <c r="C269" s="1133" t="s">
        <v>9637</v>
      </c>
      <c r="D269" s="1134" t="s">
        <v>9191</v>
      </c>
      <c r="E269" s="1135">
        <v>10620</v>
      </c>
      <c r="F269" s="1135">
        <v>1531164.1</v>
      </c>
      <c r="G269" s="1135">
        <v>0</v>
      </c>
      <c r="H269" s="1135" t="e">
        <v>#REF!</v>
      </c>
      <c r="I269" s="1135" t="e">
        <v>#REF!</v>
      </c>
      <c r="J269" s="1135" t="e">
        <v>#REF!</v>
      </c>
      <c r="K269" s="1135" t="e">
        <v>#REF!</v>
      </c>
    </row>
    <row r="270" spans="1:11" s="1136" customFormat="1" ht="45">
      <c r="A270" s="1131">
        <v>264</v>
      </c>
      <c r="B270" s="1132" t="s">
        <v>9638</v>
      </c>
      <c r="C270" s="1133" t="s">
        <v>9639</v>
      </c>
      <c r="D270" s="1134" t="s">
        <v>9191</v>
      </c>
      <c r="E270" s="1135">
        <v>1530</v>
      </c>
      <c r="F270" s="1135">
        <v>222872.7</v>
      </c>
      <c r="G270" s="1135">
        <v>0</v>
      </c>
      <c r="H270" s="1135" t="e">
        <v>#REF!</v>
      </c>
      <c r="I270" s="1135" t="e">
        <v>#REF!</v>
      </c>
      <c r="J270" s="1135" t="e">
        <v>#REF!</v>
      </c>
      <c r="K270" s="1135" t="e">
        <v>#REF!</v>
      </c>
    </row>
    <row r="271" spans="1:11" s="1136" customFormat="1" ht="45">
      <c r="A271" s="1131">
        <v>265</v>
      </c>
      <c r="B271" s="1132" t="s">
        <v>9640</v>
      </c>
      <c r="C271" s="1133" t="s">
        <v>9641</v>
      </c>
      <c r="D271" s="1134" t="s">
        <v>9191</v>
      </c>
      <c r="E271" s="1135">
        <v>2310</v>
      </c>
      <c r="F271" s="1135">
        <v>358911.8</v>
      </c>
      <c r="G271" s="1135">
        <v>0</v>
      </c>
      <c r="H271" s="1135" t="e">
        <v>#REF!</v>
      </c>
      <c r="I271" s="1135" t="e">
        <v>#REF!</v>
      </c>
      <c r="J271" s="1135" t="e">
        <v>#REF!</v>
      </c>
      <c r="K271" s="1135" t="e">
        <v>#REF!</v>
      </c>
    </row>
    <row r="272" spans="1:11" s="1136" customFormat="1" ht="45">
      <c r="A272" s="1131">
        <v>266</v>
      </c>
      <c r="B272" s="1132" t="s">
        <v>9642</v>
      </c>
      <c r="C272" s="1133" t="s">
        <v>9643</v>
      </c>
      <c r="D272" s="1134" t="s">
        <v>9191</v>
      </c>
      <c r="E272" s="1135">
        <v>3690</v>
      </c>
      <c r="F272" s="1135">
        <v>570206.69999999995</v>
      </c>
      <c r="G272" s="1135">
        <v>0</v>
      </c>
      <c r="H272" s="1135" t="e">
        <v>#REF!</v>
      </c>
      <c r="I272" s="1135" t="e">
        <v>#REF!</v>
      </c>
      <c r="J272" s="1135" t="e">
        <v>#REF!</v>
      </c>
      <c r="K272" s="1135" t="e">
        <v>#REF!</v>
      </c>
    </row>
    <row r="273" spans="1:11" s="1136" customFormat="1" ht="45">
      <c r="A273" s="1131">
        <v>267</v>
      </c>
      <c r="B273" s="1132" t="s">
        <v>9644</v>
      </c>
      <c r="C273" s="1133" t="s">
        <v>9645</v>
      </c>
      <c r="D273" s="1134" t="s">
        <v>9191</v>
      </c>
      <c r="E273" s="1135">
        <v>5040</v>
      </c>
      <c r="F273" s="1135">
        <v>798868.2</v>
      </c>
      <c r="G273" s="1135">
        <v>0</v>
      </c>
      <c r="H273" s="1135" t="e">
        <v>#REF!</v>
      </c>
      <c r="I273" s="1135" t="e">
        <v>#REF!</v>
      </c>
      <c r="J273" s="1135" t="e">
        <v>#REF!</v>
      </c>
      <c r="K273" s="1135" t="e">
        <v>#REF!</v>
      </c>
    </row>
    <row r="274" spans="1:11" s="1136" customFormat="1" ht="45">
      <c r="A274" s="1131">
        <v>268</v>
      </c>
      <c r="B274" s="1132" t="s">
        <v>9646</v>
      </c>
      <c r="C274" s="1133" t="s">
        <v>9647</v>
      </c>
      <c r="D274" s="1134" t="s">
        <v>9191</v>
      </c>
      <c r="E274" s="1135">
        <v>6090</v>
      </c>
      <c r="F274" s="1135">
        <v>1018846.4</v>
      </c>
      <c r="G274" s="1135">
        <v>0</v>
      </c>
      <c r="H274" s="1135" t="e">
        <v>#REF!</v>
      </c>
      <c r="I274" s="1135" t="e">
        <v>#REF!</v>
      </c>
      <c r="J274" s="1135" t="e">
        <v>#REF!</v>
      </c>
      <c r="K274" s="1135" t="e">
        <v>#REF!</v>
      </c>
    </row>
    <row r="275" spans="1:11" s="1136" customFormat="1" ht="45">
      <c r="A275" s="1131">
        <v>269</v>
      </c>
      <c r="B275" s="1132" t="s">
        <v>9648</v>
      </c>
      <c r="C275" s="1133" t="s">
        <v>9649</v>
      </c>
      <c r="D275" s="1134" t="s">
        <v>9191</v>
      </c>
      <c r="E275" s="1135">
        <v>7320</v>
      </c>
      <c r="F275" s="1135">
        <v>1406702.7</v>
      </c>
      <c r="G275" s="1135">
        <v>0</v>
      </c>
      <c r="H275" s="1135" t="e">
        <v>#REF!</v>
      </c>
      <c r="I275" s="1135" t="e">
        <v>#REF!</v>
      </c>
      <c r="J275" s="1135" t="e">
        <v>#REF!</v>
      </c>
      <c r="K275" s="1135" t="e">
        <v>#REF!</v>
      </c>
    </row>
    <row r="276" spans="1:11" s="1136" customFormat="1" ht="45">
      <c r="A276" s="1131">
        <v>270</v>
      </c>
      <c r="B276" s="1132" t="s">
        <v>9650</v>
      </c>
      <c r="C276" s="1133" t="s">
        <v>9651</v>
      </c>
      <c r="D276" s="1134" t="s">
        <v>9191</v>
      </c>
      <c r="E276" s="1135">
        <v>8820</v>
      </c>
      <c r="F276" s="1135">
        <v>1467486.2</v>
      </c>
      <c r="G276" s="1135">
        <v>0</v>
      </c>
      <c r="H276" s="1135" t="e">
        <v>#REF!</v>
      </c>
      <c r="I276" s="1135" t="e">
        <v>#REF!</v>
      </c>
      <c r="J276" s="1135" t="e">
        <v>#REF!</v>
      </c>
      <c r="K276" s="1135" t="e">
        <v>#REF!</v>
      </c>
    </row>
    <row r="277" spans="1:11" s="1136" customFormat="1" ht="45">
      <c r="A277" s="1131">
        <v>271</v>
      </c>
      <c r="B277" s="1132" t="s">
        <v>9652</v>
      </c>
      <c r="C277" s="1133" t="s">
        <v>9653</v>
      </c>
      <c r="D277" s="1134" t="s">
        <v>9191</v>
      </c>
      <c r="E277" s="1135">
        <v>10620</v>
      </c>
      <c r="F277" s="1135">
        <v>1762720.1</v>
      </c>
      <c r="G277" s="1135">
        <v>0</v>
      </c>
      <c r="H277" s="1135" t="e">
        <v>#REF!</v>
      </c>
      <c r="I277" s="1135" t="e">
        <v>#REF!</v>
      </c>
      <c r="J277" s="1135" t="e">
        <v>#REF!</v>
      </c>
      <c r="K277" s="1135" t="e">
        <v>#REF!</v>
      </c>
    </row>
    <row r="278" spans="1:11" s="1136" customFormat="1" ht="45">
      <c r="A278" s="1131">
        <v>272</v>
      </c>
      <c r="B278" s="1132" t="s">
        <v>9654</v>
      </c>
      <c r="C278" s="1133" t="s">
        <v>9655</v>
      </c>
      <c r="D278" s="1134" t="s">
        <v>9191</v>
      </c>
      <c r="E278" s="1135">
        <v>1530</v>
      </c>
      <c r="F278" s="1135">
        <v>257606.1</v>
      </c>
      <c r="G278" s="1135">
        <v>0</v>
      </c>
      <c r="H278" s="1135" t="e">
        <v>#REF!</v>
      </c>
      <c r="I278" s="1135" t="e">
        <v>#REF!</v>
      </c>
      <c r="J278" s="1135" t="e">
        <v>#REF!</v>
      </c>
      <c r="K278" s="1135" t="e">
        <v>#REF!</v>
      </c>
    </row>
    <row r="279" spans="1:11" s="1136" customFormat="1" ht="45">
      <c r="A279" s="1131">
        <v>273</v>
      </c>
      <c r="B279" s="1132" t="s">
        <v>9656</v>
      </c>
      <c r="C279" s="1133" t="s">
        <v>9657</v>
      </c>
      <c r="D279" s="1134" t="s">
        <v>9191</v>
      </c>
      <c r="E279" s="1135">
        <v>2310</v>
      </c>
      <c r="F279" s="1135">
        <v>413906.4</v>
      </c>
      <c r="G279" s="1135">
        <v>0</v>
      </c>
      <c r="H279" s="1135" t="e">
        <v>#REF!</v>
      </c>
      <c r="I279" s="1135" t="e">
        <v>#REF!</v>
      </c>
      <c r="J279" s="1135" t="e">
        <v>#REF!</v>
      </c>
      <c r="K279" s="1135" t="e">
        <v>#REF!</v>
      </c>
    </row>
    <row r="280" spans="1:11" s="1136" customFormat="1" ht="45">
      <c r="A280" s="1131">
        <v>274</v>
      </c>
      <c r="B280" s="1132" t="s">
        <v>9658</v>
      </c>
      <c r="C280" s="1133" t="s">
        <v>9659</v>
      </c>
      <c r="D280" s="1134" t="s">
        <v>9191</v>
      </c>
      <c r="E280" s="1135">
        <v>3690</v>
      </c>
      <c r="F280" s="1135">
        <v>654145.69999999995</v>
      </c>
      <c r="G280" s="1135">
        <v>0</v>
      </c>
      <c r="H280" s="1135" t="e">
        <v>#REF!</v>
      </c>
      <c r="I280" s="1135" t="e">
        <v>#REF!</v>
      </c>
      <c r="J280" s="1135" t="e">
        <v>#REF!</v>
      </c>
      <c r="K280" s="1135" t="e">
        <v>#REF!</v>
      </c>
    </row>
    <row r="281" spans="1:11" s="1136" customFormat="1" ht="45">
      <c r="A281" s="1131">
        <v>275</v>
      </c>
      <c r="B281" s="1132" t="s">
        <v>9660</v>
      </c>
      <c r="C281" s="1133" t="s">
        <v>9661</v>
      </c>
      <c r="D281" s="1134" t="s">
        <v>9191</v>
      </c>
      <c r="E281" s="1135">
        <v>5040</v>
      </c>
      <c r="F281" s="1135">
        <v>920435.1</v>
      </c>
      <c r="G281" s="1135">
        <v>0</v>
      </c>
      <c r="H281" s="1135" t="e">
        <v>#REF!</v>
      </c>
      <c r="I281" s="1135" t="e">
        <v>#REF!</v>
      </c>
      <c r="J281" s="1135" t="e">
        <v>#REF!</v>
      </c>
      <c r="K281" s="1135" t="e">
        <v>#REF!</v>
      </c>
    </row>
    <row r="282" spans="1:11" s="1136" customFormat="1" ht="45">
      <c r="A282" s="1131">
        <v>276</v>
      </c>
      <c r="B282" s="1132" t="s">
        <v>9662</v>
      </c>
      <c r="C282" s="1133" t="s">
        <v>9663</v>
      </c>
      <c r="D282" s="1134" t="s">
        <v>9191</v>
      </c>
      <c r="E282" s="1135">
        <v>6090</v>
      </c>
      <c r="F282" s="1135">
        <v>1172252.3</v>
      </c>
      <c r="G282" s="1135">
        <v>0</v>
      </c>
      <c r="H282" s="1135" t="e">
        <v>#REF!</v>
      </c>
      <c r="I282" s="1135" t="e">
        <v>#REF!</v>
      </c>
      <c r="J282" s="1135" t="e">
        <v>#REF!</v>
      </c>
      <c r="K282" s="1135" t="e">
        <v>#REF!</v>
      </c>
    </row>
    <row r="283" spans="1:11" s="1136" customFormat="1" ht="45">
      <c r="A283" s="1131">
        <v>277</v>
      </c>
      <c r="B283" s="1132" t="s">
        <v>9664</v>
      </c>
      <c r="C283" s="1133" t="s">
        <v>9665</v>
      </c>
      <c r="D283" s="1134" t="s">
        <v>9191</v>
      </c>
      <c r="E283" s="1135">
        <v>7320</v>
      </c>
      <c r="F283" s="1135">
        <v>1617997.6</v>
      </c>
      <c r="G283" s="1135">
        <v>0</v>
      </c>
      <c r="H283" s="1135" t="e">
        <v>#REF!</v>
      </c>
      <c r="I283" s="1135" t="e">
        <v>#REF!</v>
      </c>
      <c r="J283" s="1135" t="e">
        <v>#REF!</v>
      </c>
      <c r="K283" s="1135" t="e">
        <v>#REF!</v>
      </c>
    </row>
    <row r="284" spans="1:11" s="1136" customFormat="1" ht="45">
      <c r="A284" s="1131">
        <v>278</v>
      </c>
      <c r="B284" s="1132" t="s">
        <v>9666</v>
      </c>
      <c r="C284" s="1133" t="s">
        <v>9667</v>
      </c>
      <c r="D284" s="1134" t="s">
        <v>9191</v>
      </c>
      <c r="E284" s="1135">
        <v>8820</v>
      </c>
      <c r="F284" s="1135">
        <v>1684569.9</v>
      </c>
      <c r="G284" s="1135">
        <v>0</v>
      </c>
      <c r="H284" s="1135" t="e">
        <v>#REF!</v>
      </c>
      <c r="I284" s="1135" t="e">
        <v>#REF!</v>
      </c>
      <c r="J284" s="1135" t="e">
        <v>#REF!</v>
      </c>
      <c r="K284" s="1135" t="e">
        <v>#REF!</v>
      </c>
    </row>
    <row r="285" spans="1:11" s="1136" customFormat="1" ht="45">
      <c r="A285" s="1131">
        <v>279</v>
      </c>
      <c r="B285" s="1132" t="s">
        <v>9668</v>
      </c>
      <c r="C285" s="1133" t="s">
        <v>9669</v>
      </c>
      <c r="D285" s="1134" t="s">
        <v>9191</v>
      </c>
      <c r="E285" s="1135">
        <v>10620</v>
      </c>
      <c r="F285" s="1135">
        <v>1913231.5</v>
      </c>
      <c r="G285" s="1135">
        <v>0</v>
      </c>
      <c r="H285" s="1135" t="e">
        <v>#REF!</v>
      </c>
      <c r="I285" s="1135" t="e">
        <v>#REF!</v>
      </c>
      <c r="J285" s="1135" t="e">
        <v>#REF!</v>
      </c>
      <c r="K285" s="1135" t="e">
        <v>#REF!</v>
      </c>
    </row>
    <row r="286" spans="1:11" s="1136" customFormat="1" ht="45">
      <c r="A286" s="1131">
        <v>280</v>
      </c>
      <c r="B286" s="1132" t="s">
        <v>9670</v>
      </c>
      <c r="C286" s="1133" t="s">
        <v>9671</v>
      </c>
      <c r="D286" s="1134" t="s">
        <v>9191</v>
      </c>
      <c r="E286" s="1135">
        <v>1530</v>
      </c>
      <c r="F286" s="1135">
        <v>162089.20000000001</v>
      </c>
      <c r="G286" s="1135">
        <v>0</v>
      </c>
      <c r="H286" s="1135" t="e">
        <v>#REF!</v>
      </c>
      <c r="I286" s="1135" t="e">
        <v>#REF!</v>
      </c>
      <c r="J286" s="1135" t="e">
        <v>#REF!</v>
      </c>
      <c r="K286" s="1135" t="e">
        <v>#REF!</v>
      </c>
    </row>
    <row r="287" spans="1:11" s="1136" customFormat="1" ht="45">
      <c r="A287" s="1131">
        <v>281</v>
      </c>
      <c r="B287" s="1132" t="s">
        <v>9672</v>
      </c>
      <c r="C287" s="1133" t="s">
        <v>9673</v>
      </c>
      <c r="D287" s="1134" t="s">
        <v>9191</v>
      </c>
      <c r="E287" s="1135">
        <v>2310</v>
      </c>
      <c r="F287" s="1135">
        <v>382067.4</v>
      </c>
      <c r="G287" s="1135">
        <v>0</v>
      </c>
      <c r="H287" s="1135" t="e">
        <v>#REF!</v>
      </c>
      <c r="I287" s="1135" t="e">
        <v>#REF!</v>
      </c>
      <c r="J287" s="1135" t="e">
        <v>#REF!</v>
      </c>
      <c r="K287" s="1135" t="e">
        <v>#REF!</v>
      </c>
    </row>
    <row r="288" spans="1:11" s="1136" customFormat="1" ht="45">
      <c r="A288" s="1131">
        <v>282</v>
      </c>
      <c r="B288" s="1132" t="s">
        <v>9674</v>
      </c>
      <c r="C288" s="1133" t="s">
        <v>9675</v>
      </c>
      <c r="D288" s="1134" t="s">
        <v>9191</v>
      </c>
      <c r="E288" s="1135">
        <v>3690</v>
      </c>
      <c r="F288" s="1135">
        <v>602045.6</v>
      </c>
      <c r="G288" s="1135">
        <v>0</v>
      </c>
      <c r="H288" s="1135" t="e">
        <v>#REF!</v>
      </c>
      <c r="I288" s="1135" t="e">
        <v>#REF!</v>
      </c>
      <c r="J288" s="1135" t="e">
        <v>#REF!</v>
      </c>
      <c r="K288" s="1135" t="e">
        <v>#REF!</v>
      </c>
    </row>
    <row r="289" spans="1:11" s="1136" customFormat="1" ht="45">
      <c r="A289" s="1131">
        <v>283</v>
      </c>
      <c r="B289" s="1132" t="s">
        <v>9676</v>
      </c>
      <c r="C289" s="1133" t="s">
        <v>9677</v>
      </c>
      <c r="D289" s="1134" t="s">
        <v>9191</v>
      </c>
      <c r="E289" s="1135">
        <v>5040</v>
      </c>
      <c r="F289" s="1135">
        <v>856757.2</v>
      </c>
      <c r="G289" s="1135">
        <v>0</v>
      </c>
      <c r="H289" s="1135" t="e">
        <v>#REF!</v>
      </c>
      <c r="I289" s="1135" t="e">
        <v>#REF!</v>
      </c>
      <c r="J289" s="1135" t="e">
        <v>#REF!</v>
      </c>
      <c r="K289" s="1135" t="e">
        <v>#REF!</v>
      </c>
    </row>
    <row r="290" spans="1:11" s="1136" customFormat="1" ht="45">
      <c r="A290" s="1131">
        <v>284</v>
      </c>
      <c r="B290" s="1132" t="s">
        <v>9678</v>
      </c>
      <c r="C290" s="1133" t="s">
        <v>9679</v>
      </c>
      <c r="D290" s="1134" t="s">
        <v>9191</v>
      </c>
      <c r="E290" s="1135">
        <v>6090</v>
      </c>
      <c r="F290" s="1135">
        <v>1082524.3</v>
      </c>
      <c r="G290" s="1135">
        <v>0</v>
      </c>
      <c r="H290" s="1135" t="e">
        <v>#REF!</v>
      </c>
      <c r="I290" s="1135" t="e">
        <v>#REF!</v>
      </c>
      <c r="J290" s="1135" t="e">
        <v>#REF!</v>
      </c>
      <c r="K290" s="1135" t="e">
        <v>#REF!</v>
      </c>
    </row>
    <row r="291" spans="1:11" s="1136" customFormat="1" ht="45">
      <c r="A291" s="1131">
        <v>285</v>
      </c>
      <c r="B291" s="1132" t="s">
        <v>9680</v>
      </c>
      <c r="C291" s="1133" t="s">
        <v>9681</v>
      </c>
      <c r="D291" s="1134" t="s">
        <v>9191</v>
      </c>
      <c r="E291" s="1135">
        <v>7320</v>
      </c>
      <c r="F291" s="1135">
        <v>1305397</v>
      </c>
      <c r="G291" s="1135">
        <v>0</v>
      </c>
      <c r="H291" s="1135" t="e">
        <v>#REF!</v>
      </c>
      <c r="I291" s="1135" t="e">
        <v>#REF!</v>
      </c>
      <c r="J291" s="1135" t="e">
        <v>#REF!</v>
      </c>
      <c r="K291" s="1135" t="e">
        <v>#REF!</v>
      </c>
    </row>
    <row r="292" spans="1:11" s="1136" customFormat="1" ht="45">
      <c r="A292" s="1131">
        <v>286</v>
      </c>
      <c r="B292" s="1132" t="s">
        <v>9682</v>
      </c>
      <c r="C292" s="1133" t="s">
        <v>9683</v>
      </c>
      <c r="D292" s="1134" t="s">
        <v>9191</v>
      </c>
      <c r="E292" s="1135">
        <v>8820</v>
      </c>
      <c r="F292" s="1135">
        <v>1565897.5</v>
      </c>
      <c r="G292" s="1135">
        <v>0</v>
      </c>
      <c r="H292" s="1135" t="e">
        <v>#REF!</v>
      </c>
      <c r="I292" s="1135" t="e">
        <v>#REF!</v>
      </c>
      <c r="J292" s="1135" t="e">
        <v>#REF!</v>
      </c>
      <c r="K292" s="1135" t="e">
        <v>#REF!</v>
      </c>
    </row>
    <row r="293" spans="1:11" s="1136" customFormat="1" ht="45">
      <c r="A293" s="1131">
        <v>287</v>
      </c>
      <c r="B293" s="1132" t="s">
        <v>9684</v>
      </c>
      <c r="C293" s="1133" t="s">
        <v>9685</v>
      </c>
      <c r="D293" s="1134" t="s">
        <v>9191</v>
      </c>
      <c r="E293" s="1135">
        <v>10620</v>
      </c>
      <c r="F293" s="1135">
        <v>1881392.5</v>
      </c>
      <c r="G293" s="1135">
        <v>0</v>
      </c>
      <c r="H293" s="1135" t="e">
        <v>#REF!</v>
      </c>
      <c r="I293" s="1135" t="e">
        <v>#REF!</v>
      </c>
      <c r="J293" s="1135" t="e">
        <v>#REF!</v>
      </c>
      <c r="K293" s="1135" t="e">
        <v>#REF!</v>
      </c>
    </row>
    <row r="294" spans="1:11" s="1136" customFormat="1" ht="45">
      <c r="A294" s="1131">
        <v>288</v>
      </c>
      <c r="B294" s="1132" t="s">
        <v>9686</v>
      </c>
      <c r="C294" s="1133" t="s">
        <v>9687</v>
      </c>
      <c r="D294" s="1134" t="s">
        <v>9191</v>
      </c>
      <c r="E294" s="1135">
        <v>1530</v>
      </c>
      <c r="F294" s="1135">
        <v>205506</v>
      </c>
      <c r="G294" s="1135">
        <v>0</v>
      </c>
      <c r="H294" s="1135" t="e">
        <v>#REF!</v>
      </c>
      <c r="I294" s="1135" t="e">
        <v>#REF!</v>
      </c>
      <c r="J294" s="1135" t="e">
        <v>#REF!</v>
      </c>
      <c r="K294" s="1135" t="e">
        <v>#REF!</v>
      </c>
    </row>
    <row r="295" spans="1:11" s="1136" customFormat="1" ht="45">
      <c r="A295" s="1131">
        <v>289</v>
      </c>
      <c r="B295" s="1132" t="s">
        <v>9688</v>
      </c>
      <c r="C295" s="1133" t="s">
        <v>9689</v>
      </c>
      <c r="D295" s="1134" t="s">
        <v>9191</v>
      </c>
      <c r="E295" s="1135">
        <v>2310</v>
      </c>
      <c r="F295" s="1135">
        <v>396539.7</v>
      </c>
      <c r="G295" s="1135">
        <v>0</v>
      </c>
      <c r="H295" s="1135" t="e">
        <v>#REF!</v>
      </c>
      <c r="I295" s="1135" t="e">
        <v>#REF!</v>
      </c>
      <c r="J295" s="1135" t="e">
        <v>#REF!</v>
      </c>
      <c r="K295" s="1135" t="e">
        <v>#REF!</v>
      </c>
    </row>
    <row r="296" spans="1:11" s="1136" customFormat="1" ht="45">
      <c r="A296" s="1131">
        <v>290</v>
      </c>
      <c r="B296" s="1132" t="s">
        <v>9690</v>
      </c>
      <c r="C296" s="1133" t="s">
        <v>9691</v>
      </c>
      <c r="D296" s="1134" t="s">
        <v>9191</v>
      </c>
      <c r="E296" s="1135">
        <v>3690</v>
      </c>
      <c r="F296" s="1135">
        <v>636779</v>
      </c>
      <c r="G296" s="1135">
        <v>0</v>
      </c>
      <c r="H296" s="1135" t="e">
        <v>#REF!</v>
      </c>
      <c r="I296" s="1135" t="e">
        <v>#REF!</v>
      </c>
      <c r="J296" s="1135" t="e">
        <v>#REF!</v>
      </c>
      <c r="K296" s="1135" t="e">
        <v>#REF!</v>
      </c>
    </row>
    <row r="297" spans="1:11" s="1136" customFormat="1" ht="45">
      <c r="A297" s="1131">
        <v>291</v>
      </c>
      <c r="B297" s="1132" t="s">
        <v>9692</v>
      </c>
      <c r="C297" s="1133" t="s">
        <v>9693</v>
      </c>
      <c r="D297" s="1134" t="s">
        <v>9191</v>
      </c>
      <c r="E297" s="1135">
        <v>5040</v>
      </c>
      <c r="F297" s="1135">
        <v>905962.9</v>
      </c>
      <c r="G297" s="1135">
        <v>0</v>
      </c>
      <c r="H297" s="1135" t="e">
        <v>#REF!</v>
      </c>
      <c r="I297" s="1135" t="e">
        <v>#REF!</v>
      </c>
      <c r="J297" s="1135" t="e">
        <v>#REF!</v>
      </c>
      <c r="K297" s="1135" t="e">
        <v>#REF!</v>
      </c>
    </row>
    <row r="298" spans="1:11" s="1136" customFormat="1" ht="45">
      <c r="A298" s="1131">
        <v>292</v>
      </c>
      <c r="B298" s="1132" t="s">
        <v>9694</v>
      </c>
      <c r="C298" s="1133" t="s">
        <v>9695</v>
      </c>
      <c r="D298" s="1134" t="s">
        <v>9191</v>
      </c>
      <c r="E298" s="1135">
        <v>6090</v>
      </c>
      <c r="F298" s="1135">
        <v>1143307.8</v>
      </c>
      <c r="G298" s="1135">
        <v>0</v>
      </c>
      <c r="H298" s="1135" t="e">
        <v>#REF!</v>
      </c>
      <c r="I298" s="1135" t="e">
        <v>#REF!</v>
      </c>
      <c r="J298" s="1135" t="e">
        <v>#REF!</v>
      </c>
      <c r="K298" s="1135" t="e">
        <v>#REF!</v>
      </c>
    </row>
    <row r="299" spans="1:11" s="1136" customFormat="1" ht="45">
      <c r="A299" s="1131">
        <v>293</v>
      </c>
      <c r="B299" s="1132" t="s">
        <v>9696</v>
      </c>
      <c r="C299" s="1133" t="s">
        <v>9697</v>
      </c>
      <c r="D299" s="1134" t="s">
        <v>9191</v>
      </c>
      <c r="E299" s="1135">
        <v>7320</v>
      </c>
      <c r="F299" s="1135">
        <v>1371969.3</v>
      </c>
      <c r="G299" s="1135">
        <v>0</v>
      </c>
      <c r="H299" s="1135" t="e">
        <v>#REF!</v>
      </c>
      <c r="I299" s="1135" t="e">
        <v>#REF!</v>
      </c>
      <c r="J299" s="1135" t="e">
        <v>#REF!</v>
      </c>
      <c r="K299" s="1135" t="e">
        <v>#REF!</v>
      </c>
    </row>
    <row r="300" spans="1:11" s="1136" customFormat="1" ht="45">
      <c r="A300" s="1131">
        <v>294</v>
      </c>
      <c r="B300" s="1132" t="s">
        <v>9698</v>
      </c>
      <c r="C300" s="1133" t="s">
        <v>9699</v>
      </c>
      <c r="D300" s="1134" t="s">
        <v>9191</v>
      </c>
      <c r="E300" s="1135">
        <v>8820</v>
      </c>
      <c r="F300" s="1135">
        <v>1641153.2</v>
      </c>
      <c r="G300" s="1135">
        <v>0</v>
      </c>
      <c r="H300" s="1135" t="e">
        <v>#REF!</v>
      </c>
      <c r="I300" s="1135" t="e">
        <v>#REF!</v>
      </c>
      <c r="J300" s="1135" t="e">
        <v>#REF!</v>
      </c>
      <c r="K300" s="1135" t="e">
        <v>#REF!</v>
      </c>
    </row>
    <row r="301" spans="1:11" s="1136" customFormat="1" ht="45">
      <c r="A301" s="1131">
        <v>295</v>
      </c>
      <c r="B301" s="1132" t="s">
        <v>9700</v>
      </c>
      <c r="C301" s="1133" t="s">
        <v>9701</v>
      </c>
      <c r="D301" s="1134" t="s">
        <v>9191</v>
      </c>
      <c r="E301" s="1135">
        <v>10620</v>
      </c>
      <c r="F301" s="1135">
        <v>1971120.5</v>
      </c>
      <c r="G301" s="1135">
        <v>0</v>
      </c>
      <c r="H301" s="1135" t="e">
        <v>#REF!</v>
      </c>
      <c r="I301" s="1135" t="e">
        <v>#REF!</v>
      </c>
      <c r="J301" s="1135" t="e">
        <v>#REF!</v>
      </c>
      <c r="K301" s="1135" t="e">
        <v>#REF!</v>
      </c>
    </row>
    <row r="302" spans="1:11" s="1136" customFormat="1" ht="45">
      <c r="A302" s="1131">
        <v>296</v>
      </c>
      <c r="B302" s="1132" t="s">
        <v>9702</v>
      </c>
      <c r="C302" s="1133" t="s">
        <v>9703</v>
      </c>
      <c r="D302" s="1134" t="s">
        <v>9191</v>
      </c>
      <c r="E302" s="1135">
        <v>1530</v>
      </c>
      <c r="F302" s="1135">
        <v>251817.2</v>
      </c>
      <c r="G302" s="1135">
        <v>0</v>
      </c>
      <c r="H302" s="1135" t="e">
        <v>#REF!</v>
      </c>
      <c r="I302" s="1135" t="e">
        <v>#REF!</v>
      </c>
      <c r="J302" s="1135" t="e">
        <v>#REF!</v>
      </c>
      <c r="K302" s="1135" t="e">
        <v>#REF!</v>
      </c>
    </row>
    <row r="303" spans="1:11" s="1136" customFormat="1" ht="45">
      <c r="A303" s="1131">
        <v>297</v>
      </c>
      <c r="B303" s="1132" t="s">
        <v>9704</v>
      </c>
      <c r="C303" s="1133" t="s">
        <v>9705</v>
      </c>
      <c r="D303" s="1134" t="s">
        <v>9191</v>
      </c>
      <c r="E303" s="1135">
        <v>2310</v>
      </c>
      <c r="F303" s="1135">
        <v>448639.8</v>
      </c>
      <c r="G303" s="1135">
        <v>0</v>
      </c>
      <c r="H303" s="1135" t="e">
        <v>#REF!</v>
      </c>
      <c r="I303" s="1135" t="e">
        <v>#REF!</v>
      </c>
      <c r="J303" s="1135" t="e">
        <v>#REF!</v>
      </c>
      <c r="K303" s="1135" t="e">
        <v>#REF!</v>
      </c>
    </row>
    <row r="304" spans="1:11" s="1136" customFormat="1" ht="45">
      <c r="A304" s="1131">
        <v>298</v>
      </c>
      <c r="B304" s="1132" t="s">
        <v>9706</v>
      </c>
      <c r="C304" s="1133" t="s">
        <v>9707</v>
      </c>
      <c r="D304" s="1134" t="s">
        <v>9191</v>
      </c>
      <c r="E304" s="1135">
        <v>3690</v>
      </c>
      <c r="F304" s="1135">
        <v>717823.6</v>
      </c>
      <c r="G304" s="1135">
        <v>0</v>
      </c>
      <c r="H304" s="1135" t="e">
        <v>#REF!</v>
      </c>
      <c r="I304" s="1135" t="e">
        <v>#REF!</v>
      </c>
      <c r="J304" s="1135" t="e">
        <v>#REF!</v>
      </c>
      <c r="K304" s="1135" t="e">
        <v>#REF!</v>
      </c>
    </row>
    <row r="305" spans="1:11" s="1136" customFormat="1" ht="45">
      <c r="A305" s="1131">
        <v>299</v>
      </c>
      <c r="B305" s="1132" t="s">
        <v>9708</v>
      </c>
      <c r="C305" s="1133" t="s">
        <v>9709</v>
      </c>
      <c r="D305" s="1134" t="s">
        <v>9191</v>
      </c>
      <c r="E305" s="1135">
        <v>5040</v>
      </c>
      <c r="F305" s="1135">
        <v>1027529.8</v>
      </c>
      <c r="G305" s="1135">
        <v>0</v>
      </c>
      <c r="H305" s="1135" t="e">
        <v>#REF!</v>
      </c>
      <c r="I305" s="1135" t="e">
        <v>#REF!</v>
      </c>
      <c r="J305" s="1135" t="e">
        <v>#REF!</v>
      </c>
      <c r="K305" s="1135" t="e">
        <v>#REF!</v>
      </c>
    </row>
    <row r="306" spans="1:11" s="1136" customFormat="1" ht="45">
      <c r="A306" s="1131">
        <v>300</v>
      </c>
      <c r="B306" s="1132" t="s">
        <v>9710</v>
      </c>
      <c r="C306" s="1133" t="s">
        <v>9711</v>
      </c>
      <c r="D306" s="1134" t="s">
        <v>9191</v>
      </c>
      <c r="E306" s="1135">
        <v>6090</v>
      </c>
      <c r="F306" s="1135">
        <v>1296713.6000000001</v>
      </c>
      <c r="G306" s="1135">
        <v>0</v>
      </c>
      <c r="H306" s="1135" t="e">
        <v>#REF!</v>
      </c>
      <c r="I306" s="1135" t="e">
        <v>#REF!</v>
      </c>
      <c r="J306" s="1135" t="e">
        <v>#REF!</v>
      </c>
      <c r="K306" s="1135" t="e">
        <v>#REF!</v>
      </c>
    </row>
    <row r="307" spans="1:11" s="1136" customFormat="1" ht="45">
      <c r="A307" s="1131">
        <v>301</v>
      </c>
      <c r="B307" s="1132" t="s">
        <v>9712</v>
      </c>
      <c r="C307" s="1133" t="s">
        <v>9713</v>
      </c>
      <c r="D307" s="1134" t="s">
        <v>9191</v>
      </c>
      <c r="E307" s="1135">
        <v>7320</v>
      </c>
      <c r="F307" s="1135">
        <v>1557214.1</v>
      </c>
      <c r="G307" s="1135">
        <v>0</v>
      </c>
      <c r="H307" s="1135" t="e">
        <v>#REF!</v>
      </c>
      <c r="I307" s="1135" t="e">
        <v>#REF!</v>
      </c>
      <c r="J307" s="1135" t="e">
        <v>#REF!</v>
      </c>
      <c r="K307" s="1135" t="e">
        <v>#REF!</v>
      </c>
    </row>
    <row r="308" spans="1:11" s="1136" customFormat="1" ht="45">
      <c r="A308" s="1131">
        <v>302</v>
      </c>
      <c r="B308" s="1132" t="s">
        <v>9714</v>
      </c>
      <c r="C308" s="1133" t="s">
        <v>9715</v>
      </c>
      <c r="D308" s="1134" t="s">
        <v>9191</v>
      </c>
      <c r="E308" s="1135">
        <v>8820</v>
      </c>
      <c r="F308" s="1135">
        <v>1872709.2</v>
      </c>
      <c r="G308" s="1135">
        <v>0</v>
      </c>
      <c r="H308" s="1135" t="e">
        <v>#REF!</v>
      </c>
      <c r="I308" s="1135" t="e">
        <v>#REF!</v>
      </c>
      <c r="J308" s="1135" t="e">
        <v>#REF!</v>
      </c>
      <c r="K308" s="1135" t="e">
        <v>#REF!</v>
      </c>
    </row>
    <row r="309" spans="1:11" s="1136" customFormat="1" ht="45">
      <c r="A309" s="1131">
        <v>303</v>
      </c>
      <c r="B309" s="1132" t="s">
        <v>9716</v>
      </c>
      <c r="C309" s="1133" t="s">
        <v>9717</v>
      </c>
      <c r="D309" s="1134" t="s">
        <v>9191</v>
      </c>
      <c r="E309" s="1135">
        <v>10620</v>
      </c>
      <c r="F309" s="1135">
        <v>2246093.2000000002</v>
      </c>
      <c r="G309" s="1135">
        <v>0</v>
      </c>
      <c r="H309" s="1135" t="e">
        <v>#REF!</v>
      </c>
      <c r="I309" s="1135" t="e">
        <v>#REF!</v>
      </c>
      <c r="J309" s="1135" t="e">
        <v>#REF!</v>
      </c>
      <c r="K309" s="1135" t="e">
        <v>#REF!</v>
      </c>
    </row>
    <row r="310" spans="1:11" s="1136" customFormat="1" ht="45">
      <c r="A310" s="1131">
        <v>304</v>
      </c>
      <c r="B310" s="1132" t="s">
        <v>9718</v>
      </c>
      <c r="C310" s="1133" t="s">
        <v>9719</v>
      </c>
      <c r="D310" s="1134" t="s">
        <v>9191</v>
      </c>
      <c r="E310" s="1135">
        <v>1530</v>
      </c>
      <c r="F310" s="1135">
        <v>295233.90000000002</v>
      </c>
      <c r="G310" s="1135">
        <v>0</v>
      </c>
      <c r="H310" s="1135" t="e">
        <v>#REF!</v>
      </c>
      <c r="I310" s="1135" t="e">
        <v>#REF!</v>
      </c>
      <c r="J310" s="1135" t="e">
        <v>#REF!</v>
      </c>
      <c r="K310" s="1135" t="e">
        <v>#REF!</v>
      </c>
    </row>
    <row r="311" spans="1:11" s="1136" customFormat="1" ht="45">
      <c r="A311" s="1131">
        <v>305</v>
      </c>
      <c r="B311" s="1132" t="s">
        <v>9720</v>
      </c>
      <c r="C311" s="1133" t="s">
        <v>9721</v>
      </c>
      <c r="D311" s="1134" t="s">
        <v>9191</v>
      </c>
      <c r="E311" s="1135">
        <v>2310</v>
      </c>
      <c r="F311" s="1135">
        <v>509423.2</v>
      </c>
      <c r="G311" s="1135">
        <v>0</v>
      </c>
      <c r="H311" s="1135" t="e">
        <v>#REF!</v>
      </c>
      <c r="I311" s="1135" t="e">
        <v>#REF!</v>
      </c>
      <c r="J311" s="1135" t="e">
        <v>#REF!</v>
      </c>
      <c r="K311" s="1135" t="e">
        <v>#REF!</v>
      </c>
    </row>
    <row r="312" spans="1:11" s="1136" customFormat="1" ht="45">
      <c r="A312" s="1131">
        <v>306</v>
      </c>
      <c r="B312" s="1132" t="s">
        <v>9722</v>
      </c>
      <c r="C312" s="1133" t="s">
        <v>9723</v>
      </c>
      <c r="D312" s="1134" t="s">
        <v>9191</v>
      </c>
      <c r="E312" s="1135">
        <v>3690</v>
      </c>
      <c r="F312" s="1135">
        <v>804657.1</v>
      </c>
      <c r="G312" s="1135">
        <v>0</v>
      </c>
      <c r="H312" s="1135" t="e">
        <v>#REF!</v>
      </c>
      <c r="I312" s="1135" t="e">
        <v>#REF!</v>
      </c>
      <c r="J312" s="1135" t="e">
        <v>#REF!</v>
      </c>
      <c r="K312" s="1135" t="e">
        <v>#REF!</v>
      </c>
    </row>
    <row r="313" spans="1:11" s="1136" customFormat="1" ht="45">
      <c r="A313" s="1131">
        <v>307</v>
      </c>
      <c r="B313" s="1132" t="s">
        <v>9724</v>
      </c>
      <c r="C313" s="1133" t="s">
        <v>9725</v>
      </c>
      <c r="D313" s="1134" t="s">
        <v>9191</v>
      </c>
      <c r="E313" s="1135">
        <v>5040</v>
      </c>
      <c r="F313" s="1135">
        <v>1143307.8</v>
      </c>
      <c r="G313" s="1135">
        <v>0</v>
      </c>
      <c r="H313" s="1135" t="e">
        <v>#REF!</v>
      </c>
      <c r="I313" s="1135" t="e">
        <v>#REF!</v>
      </c>
      <c r="J313" s="1135" t="e">
        <v>#REF!</v>
      </c>
      <c r="K313" s="1135" t="e">
        <v>#REF!</v>
      </c>
    </row>
    <row r="314" spans="1:11" s="1136" customFormat="1" ht="45">
      <c r="A314" s="1131">
        <v>308</v>
      </c>
      <c r="B314" s="1132" t="s">
        <v>9726</v>
      </c>
      <c r="C314" s="1133" t="s">
        <v>9727</v>
      </c>
      <c r="D314" s="1134" t="s">
        <v>9191</v>
      </c>
      <c r="E314" s="1135">
        <v>6090</v>
      </c>
      <c r="F314" s="1135">
        <v>1450119.5</v>
      </c>
      <c r="G314" s="1135">
        <v>0</v>
      </c>
      <c r="H314" s="1135" t="e">
        <v>#REF!</v>
      </c>
      <c r="I314" s="1135" t="e">
        <v>#REF!</v>
      </c>
      <c r="J314" s="1135" t="e">
        <v>#REF!</v>
      </c>
      <c r="K314" s="1135" t="e">
        <v>#REF!</v>
      </c>
    </row>
    <row r="315" spans="1:11" s="1136" customFormat="1" ht="45">
      <c r="A315" s="1131">
        <v>309</v>
      </c>
      <c r="B315" s="1132" t="s">
        <v>9728</v>
      </c>
      <c r="C315" s="1133" t="s">
        <v>9729</v>
      </c>
      <c r="D315" s="1134" t="s">
        <v>9191</v>
      </c>
      <c r="E315" s="1135">
        <v>7320</v>
      </c>
      <c r="F315" s="1135">
        <v>1736670</v>
      </c>
      <c r="G315" s="1135">
        <v>0</v>
      </c>
      <c r="H315" s="1135" t="e">
        <v>#REF!</v>
      </c>
      <c r="I315" s="1135" t="e">
        <v>#REF!</v>
      </c>
      <c r="J315" s="1135" t="e">
        <v>#REF!</v>
      </c>
      <c r="K315" s="1135" t="e">
        <v>#REF!</v>
      </c>
    </row>
    <row r="316" spans="1:11" s="1136" customFormat="1" ht="45">
      <c r="A316" s="1131">
        <v>310</v>
      </c>
      <c r="B316" s="1132" t="s">
        <v>9730</v>
      </c>
      <c r="C316" s="1133" t="s">
        <v>9731</v>
      </c>
      <c r="D316" s="1134" t="s">
        <v>9191</v>
      </c>
      <c r="E316" s="1135">
        <v>8820</v>
      </c>
      <c r="F316" s="1135">
        <v>2084004</v>
      </c>
      <c r="G316" s="1135">
        <v>0</v>
      </c>
      <c r="H316" s="1135" t="e">
        <v>#REF!</v>
      </c>
      <c r="I316" s="1135" t="e">
        <v>#REF!</v>
      </c>
      <c r="J316" s="1135" t="e">
        <v>#REF!</v>
      </c>
      <c r="K316" s="1135" t="e">
        <v>#REF!</v>
      </c>
    </row>
    <row r="317" spans="1:11" s="1136" customFormat="1" ht="45">
      <c r="A317" s="1131">
        <v>311</v>
      </c>
      <c r="B317" s="1132" t="s">
        <v>9732</v>
      </c>
      <c r="C317" s="1133" t="s">
        <v>9733</v>
      </c>
      <c r="D317" s="1134" t="s">
        <v>9191</v>
      </c>
      <c r="E317" s="1135">
        <v>10620</v>
      </c>
      <c r="F317" s="1135">
        <v>2497910.4</v>
      </c>
      <c r="G317" s="1135">
        <v>0</v>
      </c>
      <c r="H317" s="1135" t="e">
        <v>#REF!</v>
      </c>
      <c r="I317" s="1135" t="e">
        <v>#REF!</v>
      </c>
      <c r="J317" s="1135" t="e">
        <v>#REF!</v>
      </c>
      <c r="K317" s="1135" t="e">
        <v>#REF!</v>
      </c>
    </row>
    <row r="318" spans="1:11" s="1136" customFormat="1" ht="45">
      <c r="A318" s="1131">
        <v>312</v>
      </c>
      <c r="B318" s="1132" t="s">
        <v>9734</v>
      </c>
      <c r="C318" s="1133" t="s">
        <v>9735</v>
      </c>
      <c r="D318" s="1134" t="s">
        <v>9191</v>
      </c>
      <c r="E318" s="1135">
        <v>1530</v>
      </c>
      <c r="F318" s="1135">
        <v>347334</v>
      </c>
      <c r="G318" s="1135">
        <v>0</v>
      </c>
      <c r="H318" s="1135" t="e">
        <v>#REF!</v>
      </c>
      <c r="I318" s="1135" t="e">
        <v>#REF!</v>
      </c>
      <c r="J318" s="1135" t="e">
        <v>#REF!</v>
      </c>
      <c r="K318" s="1135" t="e">
        <v>#REF!</v>
      </c>
    </row>
    <row r="319" spans="1:11" s="1136" customFormat="1" ht="45">
      <c r="A319" s="1131">
        <v>313</v>
      </c>
      <c r="B319" s="1132" t="s">
        <v>9736</v>
      </c>
      <c r="C319" s="1133" t="s">
        <v>9737</v>
      </c>
      <c r="D319" s="1134" t="s">
        <v>9191</v>
      </c>
      <c r="E319" s="1135">
        <v>2310</v>
      </c>
      <c r="F319" s="1135">
        <v>561523.30000000005</v>
      </c>
      <c r="G319" s="1135">
        <v>0</v>
      </c>
      <c r="H319" s="1135" t="e">
        <v>#REF!</v>
      </c>
      <c r="I319" s="1135" t="e">
        <v>#REF!</v>
      </c>
      <c r="J319" s="1135" t="e">
        <v>#REF!</v>
      </c>
      <c r="K319" s="1135" t="e">
        <v>#REF!</v>
      </c>
    </row>
    <row r="320" spans="1:11" s="1136" customFormat="1" ht="45">
      <c r="A320" s="1131">
        <v>314</v>
      </c>
      <c r="B320" s="1132" t="s">
        <v>9738</v>
      </c>
      <c r="C320" s="1133" t="s">
        <v>9739</v>
      </c>
      <c r="D320" s="1134" t="s">
        <v>9191</v>
      </c>
      <c r="E320" s="1135">
        <v>3690</v>
      </c>
      <c r="F320" s="1135">
        <v>888596.2</v>
      </c>
      <c r="G320" s="1135">
        <v>0</v>
      </c>
      <c r="H320" s="1135" t="e">
        <v>#REF!</v>
      </c>
      <c r="I320" s="1135" t="e">
        <v>#REF!</v>
      </c>
      <c r="J320" s="1135" t="e">
        <v>#REF!</v>
      </c>
      <c r="K320" s="1135" t="e">
        <v>#REF!</v>
      </c>
    </row>
    <row r="321" spans="1:11" s="1136" customFormat="1" ht="45">
      <c r="A321" s="1131">
        <v>315</v>
      </c>
      <c r="B321" s="1132" t="s">
        <v>9740</v>
      </c>
      <c r="C321" s="1133" t="s">
        <v>9741</v>
      </c>
      <c r="D321" s="1134" t="s">
        <v>9191</v>
      </c>
      <c r="E321" s="1135">
        <v>5040</v>
      </c>
      <c r="F321" s="1135">
        <v>1253296.8999999999</v>
      </c>
      <c r="G321" s="1135">
        <v>0</v>
      </c>
      <c r="H321" s="1135" t="e">
        <v>#REF!</v>
      </c>
      <c r="I321" s="1135" t="e">
        <v>#REF!</v>
      </c>
      <c r="J321" s="1135" t="e">
        <v>#REF!</v>
      </c>
      <c r="K321" s="1135" t="e">
        <v>#REF!</v>
      </c>
    </row>
    <row r="322" spans="1:11" s="1136" customFormat="1" ht="45">
      <c r="A322" s="1131">
        <v>316</v>
      </c>
      <c r="B322" s="1132" t="s">
        <v>9742</v>
      </c>
      <c r="C322" s="1133" t="s">
        <v>9743</v>
      </c>
      <c r="D322" s="1134" t="s">
        <v>9191</v>
      </c>
      <c r="E322" s="1135">
        <v>6090</v>
      </c>
      <c r="F322" s="1135">
        <v>1591947.5</v>
      </c>
      <c r="G322" s="1135">
        <v>0</v>
      </c>
      <c r="H322" s="1135" t="e">
        <v>#REF!</v>
      </c>
      <c r="I322" s="1135" t="e">
        <v>#REF!</v>
      </c>
      <c r="J322" s="1135" t="e">
        <v>#REF!</v>
      </c>
      <c r="K322" s="1135" t="e">
        <v>#REF!</v>
      </c>
    </row>
    <row r="323" spans="1:11" s="1136" customFormat="1" ht="45">
      <c r="A323" s="1131">
        <v>317</v>
      </c>
      <c r="B323" s="1132" t="s">
        <v>9744</v>
      </c>
      <c r="C323" s="1133" t="s">
        <v>9745</v>
      </c>
      <c r="D323" s="1134" t="s">
        <v>9191</v>
      </c>
      <c r="E323" s="1135">
        <v>7320</v>
      </c>
      <c r="F323" s="1135">
        <v>2202676.5</v>
      </c>
      <c r="G323" s="1135">
        <v>0</v>
      </c>
      <c r="H323" s="1135" t="e">
        <v>#REF!</v>
      </c>
      <c r="I323" s="1135" t="e">
        <v>#REF!</v>
      </c>
      <c r="J323" s="1135" t="e">
        <v>#REF!</v>
      </c>
      <c r="K323" s="1135" t="e">
        <v>#REF!</v>
      </c>
    </row>
    <row r="324" spans="1:11" s="1136" customFormat="1" ht="45">
      <c r="A324" s="1131">
        <v>318</v>
      </c>
      <c r="B324" s="1132" t="s">
        <v>9746</v>
      </c>
      <c r="C324" s="1133" t="s">
        <v>9747</v>
      </c>
      <c r="D324" s="1134" t="s">
        <v>9191</v>
      </c>
      <c r="E324" s="1135">
        <v>8820</v>
      </c>
      <c r="F324" s="1135">
        <v>2298193.2999999998</v>
      </c>
      <c r="G324" s="1135">
        <v>0</v>
      </c>
      <c r="H324" s="1135" t="e">
        <v>#REF!</v>
      </c>
      <c r="I324" s="1135" t="e">
        <v>#REF!</v>
      </c>
      <c r="J324" s="1135" t="e">
        <v>#REF!</v>
      </c>
      <c r="K324" s="1135" t="e">
        <v>#REF!</v>
      </c>
    </row>
    <row r="325" spans="1:11" s="1136" customFormat="1" ht="45">
      <c r="A325" s="1131">
        <v>319</v>
      </c>
      <c r="B325" s="1132" t="s">
        <v>9748</v>
      </c>
      <c r="C325" s="1133" t="s">
        <v>9749</v>
      </c>
      <c r="D325" s="1134" t="s">
        <v>9191</v>
      </c>
      <c r="E325" s="1135">
        <v>10620</v>
      </c>
      <c r="F325" s="1135">
        <v>2755516.4</v>
      </c>
      <c r="G325" s="1135">
        <v>0</v>
      </c>
      <c r="H325" s="1135" t="e">
        <v>#REF!</v>
      </c>
      <c r="I325" s="1135" t="e">
        <v>#REF!</v>
      </c>
      <c r="J325" s="1135" t="e">
        <v>#REF!</v>
      </c>
      <c r="K325" s="1135" t="e">
        <v>#REF!</v>
      </c>
    </row>
    <row r="326" spans="1:11" s="1136" customFormat="1" ht="45">
      <c r="A326" s="1131">
        <v>320</v>
      </c>
      <c r="B326" s="1132" t="s">
        <v>9750</v>
      </c>
      <c r="C326" s="1133" t="s">
        <v>9751</v>
      </c>
      <c r="D326" s="1134" t="s">
        <v>9191</v>
      </c>
      <c r="E326" s="1135">
        <v>1530</v>
      </c>
      <c r="F326" s="1135">
        <v>382067.4</v>
      </c>
      <c r="G326" s="1135">
        <v>0</v>
      </c>
      <c r="H326" s="1135" t="e">
        <v>#REF!</v>
      </c>
      <c r="I326" s="1135" t="e">
        <v>#REF!</v>
      </c>
      <c r="J326" s="1135" t="e">
        <v>#REF!</v>
      </c>
      <c r="K326" s="1135" t="e">
        <v>#REF!</v>
      </c>
    </row>
    <row r="327" spans="1:11" s="1136" customFormat="1" ht="45">
      <c r="A327" s="1131">
        <v>321</v>
      </c>
      <c r="B327" s="1132" t="s">
        <v>9752</v>
      </c>
      <c r="C327" s="1133" t="s">
        <v>9753</v>
      </c>
      <c r="D327" s="1134" t="s">
        <v>9191</v>
      </c>
      <c r="E327" s="1135">
        <v>2310</v>
      </c>
      <c r="F327" s="1135">
        <v>619412.30000000005</v>
      </c>
      <c r="G327" s="1135">
        <v>0</v>
      </c>
      <c r="H327" s="1135" t="e">
        <v>#REF!</v>
      </c>
      <c r="I327" s="1135" t="e">
        <v>#REF!</v>
      </c>
      <c r="J327" s="1135" t="e">
        <v>#REF!</v>
      </c>
      <c r="K327" s="1135" t="e">
        <v>#REF!</v>
      </c>
    </row>
    <row r="328" spans="1:11" s="1136" customFormat="1" ht="45">
      <c r="A328" s="1131">
        <v>322</v>
      </c>
      <c r="B328" s="1132" t="s">
        <v>9754</v>
      </c>
      <c r="C328" s="1133" t="s">
        <v>9755</v>
      </c>
      <c r="D328" s="1134" t="s">
        <v>9191</v>
      </c>
      <c r="E328" s="1135">
        <v>3690</v>
      </c>
      <c r="F328" s="1135">
        <v>984113</v>
      </c>
      <c r="G328" s="1135">
        <v>0</v>
      </c>
      <c r="H328" s="1135" t="e">
        <v>#REF!</v>
      </c>
      <c r="I328" s="1135" t="e">
        <v>#REF!</v>
      </c>
      <c r="J328" s="1135" t="e">
        <v>#REF!</v>
      </c>
      <c r="K328" s="1135" t="e">
        <v>#REF!</v>
      </c>
    </row>
    <row r="329" spans="1:11" s="1136" customFormat="1" ht="45">
      <c r="A329" s="1131">
        <v>323</v>
      </c>
      <c r="B329" s="1132" t="s">
        <v>9756</v>
      </c>
      <c r="C329" s="1133" t="s">
        <v>9757</v>
      </c>
      <c r="D329" s="1134" t="s">
        <v>9191</v>
      </c>
      <c r="E329" s="1135">
        <v>5040</v>
      </c>
      <c r="F329" s="1135">
        <v>1380652.7</v>
      </c>
      <c r="G329" s="1135">
        <v>0</v>
      </c>
      <c r="H329" s="1135" t="e">
        <v>#REF!</v>
      </c>
      <c r="I329" s="1135" t="e">
        <v>#REF!</v>
      </c>
      <c r="J329" s="1135" t="e">
        <v>#REF!</v>
      </c>
      <c r="K329" s="1135" t="e">
        <v>#REF!</v>
      </c>
    </row>
    <row r="330" spans="1:11" s="1136" customFormat="1" ht="45">
      <c r="A330" s="1131">
        <v>324</v>
      </c>
      <c r="B330" s="1132" t="s">
        <v>9758</v>
      </c>
      <c r="C330" s="1133" t="s">
        <v>9759</v>
      </c>
      <c r="D330" s="1134" t="s">
        <v>9191</v>
      </c>
      <c r="E330" s="1135">
        <v>6090</v>
      </c>
      <c r="F330" s="1135">
        <v>1754036.7</v>
      </c>
      <c r="G330" s="1135">
        <v>0</v>
      </c>
      <c r="H330" s="1135" t="e">
        <v>#REF!</v>
      </c>
      <c r="I330" s="1135" t="e">
        <v>#REF!</v>
      </c>
      <c r="J330" s="1135" t="e">
        <v>#REF!</v>
      </c>
      <c r="K330" s="1135" t="e">
        <v>#REF!</v>
      </c>
    </row>
    <row r="331" spans="1:11" s="1136" customFormat="1" ht="45">
      <c r="A331" s="1131">
        <v>325</v>
      </c>
      <c r="B331" s="1132" t="s">
        <v>9760</v>
      </c>
      <c r="C331" s="1133" t="s">
        <v>9761</v>
      </c>
      <c r="D331" s="1134" t="s">
        <v>9191</v>
      </c>
      <c r="E331" s="1135">
        <v>7320</v>
      </c>
      <c r="F331" s="1135">
        <v>2419760.2000000002</v>
      </c>
      <c r="G331" s="1135">
        <v>0</v>
      </c>
      <c r="H331" s="1135" t="e">
        <v>#REF!</v>
      </c>
      <c r="I331" s="1135" t="e">
        <v>#REF!</v>
      </c>
      <c r="J331" s="1135" t="e">
        <v>#REF!</v>
      </c>
      <c r="K331" s="1135" t="e">
        <v>#REF!</v>
      </c>
    </row>
    <row r="332" spans="1:11" s="1136" customFormat="1" ht="45">
      <c r="A332" s="1131">
        <v>326</v>
      </c>
      <c r="B332" s="1132" t="s">
        <v>9762</v>
      </c>
      <c r="C332" s="1133" t="s">
        <v>9763</v>
      </c>
      <c r="D332" s="1134" t="s">
        <v>9191</v>
      </c>
      <c r="E332" s="1135">
        <v>8820</v>
      </c>
      <c r="F332" s="1135">
        <v>2523960.4</v>
      </c>
      <c r="G332" s="1135">
        <v>0</v>
      </c>
      <c r="H332" s="1135" t="e">
        <v>#REF!</v>
      </c>
      <c r="I332" s="1135" t="e">
        <v>#REF!</v>
      </c>
      <c r="J332" s="1135" t="e">
        <v>#REF!</v>
      </c>
      <c r="K332" s="1135" t="e">
        <v>#REF!</v>
      </c>
    </row>
    <row r="333" spans="1:11" s="1136" customFormat="1" ht="45">
      <c r="A333" s="1131">
        <v>327</v>
      </c>
      <c r="B333" s="1132" t="s">
        <v>9764</v>
      </c>
      <c r="C333" s="1133" t="s">
        <v>9765</v>
      </c>
      <c r="D333" s="1134" t="s">
        <v>9191</v>
      </c>
      <c r="E333" s="1135">
        <v>10620</v>
      </c>
      <c r="F333" s="1135">
        <v>3033383.6</v>
      </c>
      <c r="G333" s="1135">
        <v>0</v>
      </c>
      <c r="H333" s="1135" t="e">
        <v>#REF!</v>
      </c>
      <c r="I333" s="1135" t="e">
        <v>#REF!</v>
      </c>
      <c r="J333" s="1135" t="e">
        <v>#REF!</v>
      </c>
      <c r="K333" s="1135" t="e">
        <v>#REF!</v>
      </c>
    </row>
    <row r="334" spans="1:11" s="1136" customFormat="1" ht="45">
      <c r="A334" s="1131">
        <v>328</v>
      </c>
      <c r="B334" s="1132" t="s">
        <v>9766</v>
      </c>
      <c r="C334" s="1133" t="s">
        <v>9767</v>
      </c>
      <c r="D334" s="1134" t="s">
        <v>9191</v>
      </c>
      <c r="E334" s="1135">
        <v>1530</v>
      </c>
      <c r="F334" s="1135">
        <v>439956.4</v>
      </c>
      <c r="G334" s="1135">
        <v>0</v>
      </c>
      <c r="H334" s="1135" t="e">
        <v>#REF!</v>
      </c>
      <c r="I334" s="1135" t="e">
        <v>#REF!</v>
      </c>
      <c r="J334" s="1135" t="e">
        <v>#REF!</v>
      </c>
      <c r="K334" s="1135" t="e">
        <v>#REF!</v>
      </c>
    </row>
    <row r="335" spans="1:11" s="1136" customFormat="1" ht="45">
      <c r="A335" s="1131">
        <v>329</v>
      </c>
      <c r="B335" s="1132" t="s">
        <v>9768</v>
      </c>
      <c r="C335" s="1133" t="s">
        <v>9769</v>
      </c>
      <c r="D335" s="1134" t="s">
        <v>9191</v>
      </c>
      <c r="E335" s="1135">
        <v>2310</v>
      </c>
      <c r="F335" s="1135">
        <v>709140.3</v>
      </c>
      <c r="G335" s="1135">
        <v>0</v>
      </c>
      <c r="H335" s="1135" t="e">
        <v>#REF!</v>
      </c>
      <c r="I335" s="1135" t="e">
        <v>#REF!</v>
      </c>
      <c r="J335" s="1135" t="e">
        <v>#REF!</v>
      </c>
      <c r="K335" s="1135" t="e">
        <v>#REF!</v>
      </c>
    </row>
    <row r="336" spans="1:11" s="1136" customFormat="1" ht="45">
      <c r="A336" s="1131">
        <v>330</v>
      </c>
      <c r="B336" s="1132" t="s">
        <v>9770</v>
      </c>
      <c r="C336" s="1133" t="s">
        <v>9771</v>
      </c>
      <c r="D336" s="1134" t="s">
        <v>9191</v>
      </c>
      <c r="E336" s="1135">
        <v>3690</v>
      </c>
      <c r="F336" s="1135">
        <v>1125941.1000000001</v>
      </c>
      <c r="G336" s="1135">
        <v>0</v>
      </c>
      <c r="H336" s="1135" t="e">
        <v>#REF!</v>
      </c>
      <c r="I336" s="1135" t="e">
        <v>#REF!</v>
      </c>
      <c r="J336" s="1135" t="e">
        <v>#REF!</v>
      </c>
      <c r="K336" s="1135" t="e">
        <v>#REF!</v>
      </c>
    </row>
    <row r="337" spans="1:11" s="1136" customFormat="1" ht="45">
      <c r="A337" s="1131">
        <v>331</v>
      </c>
      <c r="B337" s="1132" t="s">
        <v>9772</v>
      </c>
      <c r="C337" s="1133" t="s">
        <v>9773</v>
      </c>
      <c r="D337" s="1134" t="s">
        <v>9191</v>
      </c>
      <c r="E337" s="1135">
        <v>5040</v>
      </c>
      <c r="F337" s="1135">
        <v>1583264.2</v>
      </c>
      <c r="G337" s="1135">
        <v>0</v>
      </c>
      <c r="H337" s="1135" t="e">
        <v>#REF!</v>
      </c>
      <c r="I337" s="1135" t="e">
        <v>#REF!</v>
      </c>
      <c r="J337" s="1135" t="e">
        <v>#REF!</v>
      </c>
      <c r="K337" s="1135" t="e">
        <v>#REF!</v>
      </c>
    </row>
    <row r="338" spans="1:11" s="1136" customFormat="1" ht="45">
      <c r="A338" s="1131">
        <v>332</v>
      </c>
      <c r="B338" s="1132" t="s">
        <v>9774</v>
      </c>
      <c r="C338" s="1133" t="s">
        <v>9775</v>
      </c>
      <c r="D338" s="1134" t="s">
        <v>9191</v>
      </c>
      <c r="E338" s="1135">
        <v>6090</v>
      </c>
      <c r="F338" s="1135">
        <v>2014537.2</v>
      </c>
      <c r="G338" s="1135">
        <v>0</v>
      </c>
      <c r="H338" s="1135" t="e">
        <v>#REF!</v>
      </c>
      <c r="I338" s="1135" t="e">
        <v>#REF!</v>
      </c>
      <c r="J338" s="1135" t="e">
        <v>#REF!</v>
      </c>
      <c r="K338" s="1135" t="e">
        <v>#REF!</v>
      </c>
    </row>
    <row r="339" spans="1:11" s="1136" customFormat="1" ht="45">
      <c r="A339" s="1131">
        <v>333</v>
      </c>
      <c r="B339" s="1132" t="s">
        <v>9776</v>
      </c>
      <c r="C339" s="1133" t="s">
        <v>9777</v>
      </c>
      <c r="D339" s="1134" t="s">
        <v>9191</v>
      </c>
      <c r="E339" s="1135">
        <v>7320</v>
      </c>
      <c r="F339" s="1135">
        <v>2784460.9</v>
      </c>
      <c r="G339" s="1135">
        <v>0</v>
      </c>
      <c r="H339" s="1135" t="e">
        <v>#REF!</v>
      </c>
      <c r="I339" s="1135" t="e">
        <v>#REF!</v>
      </c>
      <c r="J339" s="1135" t="e">
        <v>#REF!</v>
      </c>
      <c r="K339" s="1135" t="e">
        <v>#REF!</v>
      </c>
    </row>
    <row r="340" spans="1:11" s="1136" customFormat="1" ht="45">
      <c r="A340" s="1131">
        <v>334</v>
      </c>
      <c r="B340" s="1132" t="s">
        <v>9778</v>
      </c>
      <c r="C340" s="1133" t="s">
        <v>9779</v>
      </c>
      <c r="D340" s="1134" t="s">
        <v>9191</v>
      </c>
      <c r="E340" s="1135">
        <v>8820</v>
      </c>
      <c r="F340" s="1135">
        <v>2903133.4</v>
      </c>
      <c r="G340" s="1135">
        <v>0</v>
      </c>
      <c r="H340" s="1135" t="e">
        <v>#REF!</v>
      </c>
      <c r="I340" s="1135" t="e">
        <v>#REF!</v>
      </c>
      <c r="J340" s="1135" t="e">
        <v>#REF!</v>
      </c>
      <c r="K340" s="1135" t="e">
        <v>#REF!</v>
      </c>
    </row>
    <row r="341" spans="1:11" s="1136" customFormat="1" ht="45">
      <c r="A341" s="1131">
        <v>335</v>
      </c>
      <c r="B341" s="1132" t="s">
        <v>9780</v>
      </c>
      <c r="C341" s="1133" t="s">
        <v>9781</v>
      </c>
      <c r="D341" s="1134" t="s">
        <v>9191</v>
      </c>
      <c r="E341" s="1135">
        <v>10620</v>
      </c>
      <c r="F341" s="1135">
        <v>3490706.7</v>
      </c>
      <c r="G341" s="1135">
        <v>0</v>
      </c>
      <c r="H341" s="1135" t="e">
        <v>#REF!</v>
      </c>
      <c r="I341" s="1135" t="e">
        <v>#REF!</v>
      </c>
      <c r="J341" s="1135" t="e">
        <v>#REF!</v>
      </c>
      <c r="K341" s="1135" t="e">
        <v>#REF!</v>
      </c>
    </row>
    <row r="342" spans="1:11" s="1136" customFormat="1" ht="45">
      <c r="A342" s="1131">
        <v>336</v>
      </c>
      <c r="B342" s="1132" t="s">
        <v>9782</v>
      </c>
      <c r="C342" s="1133" t="s">
        <v>9783</v>
      </c>
      <c r="D342" s="1134" t="s">
        <v>9191</v>
      </c>
      <c r="E342" s="1135">
        <v>1530</v>
      </c>
      <c r="F342" s="1135">
        <v>509423.2</v>
      </c>
      <c r="G342" s="1135">
        <v>0</v>
      </c>
      <c r="H342" s="1135" t="e">
        <v>#REF!</v>
      </c>
      <c r="I342" s="1135" t="e">
        <v>#REF!</v>
      </c>
      <c r="J342" s="1135" t="e">
        <v>#REF!</v>
      </c>
      <c r="K342" s="1135" t="e">
        <v>#REF!</v>
      </c>
    </row>
    <row r="343" spans="1:11" s="1136" customFormat="1" ht="45">
      <c r="A343" s="1131">
        <v>337</v>
      </c>
      <c r="B343" s="1132" t="s">
        <v>9784</v>
      </c>
      <c r="C343" s="1133" t="s">
        <v>9785</v>
      </c>
      <c r="D343" s="1134" t="s">
        <v>9191</v>
      </c>
      <c r="E343" s="1135">
        <v>2310</v>
      </c>
      <c r="F343" s="1135">
        <v>822023.8</v>
      </c>
      <c r="G343" s="1135">
        <v>0</v>
      </c>
      <c r="H343" s="1135" t="e">
        <v>#REF!</v>
      </c>
      <c r="I343" s="1135" t="e">
        <v>#REF!</v>
      </c>
      <c r="J343" s="1135" t="e">
        <v>#REF!</v>
      </c>
      <c r="K343" s="1135" t="e">
        <v>#REF!</v>
      </c>
    </row>
    <row r="344" spans="1:11" s="1136" customFormat="1" ht="45">
      <c r="A344" s="1131">
        <v>338</v>
      </c>
      <c r="B344" s="1132" t="s">
        <v>9786</v>
      </c>
      <c r="C344" s="1133" t="s">
        <v>9787</v>
      </c>
      <c r="D344" s="1134" t="s">
        <v>9191</v>
      </c>
      <c r="E344" s="1135">
        <v>3690</v>
      </c>
      <c r="F344" s="1135">
        <v>1296713.6000000001</v>
      </c>
      <c r="G344" s="1135">
        <v>0</v>
      </c>
      <c r="H344" s="1135" t="e">
        <v>#REF!</v>
      </c>
      <c r="I344" s="1135" t="e">
        <v>#REF!</v>
      </c>
      <c r="J344" s="1135" t="e">
        <v>#REF!</v>
      </c>
      <c r="K344" s="1135" t="e">
        <v>#REF!</v>
      </c>
    </row>
    <row r="345" spans="1:11" s="1136" customFormat="1" ht="45">
      <c r="A345" s="1131">
        <v>339</v>
      </c>
      <c r="B345" s="1132" t="s">
        <v>9788</v>
      </c>
      <c r="C345" s="1133" t="s">
        <v>9789</v>
      </c>
      <c r="D345" s="1134" t="s">
        <v>9191</v>
      </c>
      <c r="E345" s="1135">
        <v>5040</v>
      </c>
      <c r="F345" s="1135">
        <v>1823503.5</v>
      </c>
      <c r="G345" s="1135">
        <v>0</v>
      </c>
      <c r="H345" s="1135" t="e">
        <v>#REF!</v>
      </c>
      <c r="I345" s="1135" t="e">
        <v>#REF!</v>
      </c>
      <c r="J345" s="1135" t="e">
        <v>#REF!</v>
      </c>
      <c r="K345" s="1135" t="e">
        <v>#REF!</v>
      </c>
    </row>
    <row r="346" spans="1:11" s="1136" customFormat="1" ht="45">
      <c r="A346" s="1131">
        <v>340</v>
      </c>
      <c r="B346" s="1132" t="s">
        <v>9790</v>
      </c>
      <c r="C346" s="1133" t="s">
        <v>9791</v>
      </c>
      <c r="D346" s="1134" t="s">
        <v>9191</v>
      </c>
      <c r="E346" s="1135">
        <v>6090</v>
      </c>
      <c r="F346" s="1135">
        <v>2321348.9</v>
      </c>
      <c r="G346" s="1135">
        <v>0</v>
      </c>
      <c r="H346" s="1135" t="e">
        <v>#REF!</v>
      </c>
      <c r="I346" s="1135" t="e">
        <v>#REF!</v>
      </c>
      <c r="J346" s="1135" t="e">
        <v>#REF!</v>
      </c>
      <c r="K346" s="1135" t="e">
        <v>#REF!</v>
      </c>
    </row>
    <row r="347" spans="1:11" s="1136" customFormat="1" ht="45">
      <c r="A347" s="1131">
        <v>341</v>
      </c>
      <c r="B347" s="1132" t="s">
        <v>9792</v>
      </c>
      <c r="C347" s="1133" t="s">
        <v>9793</v>
      </c>
      <c r="D347" s="1134" t="s">
        <v>9191</v>
      </c>
      <c r="E347" s="1135">
        <v>7320</v>
      </c>
      <c r="F347" s="1135">
        <v>3198367.3</v>
      </c>
      <c r="G347" s="1135">
        <v>0</v>
      </c>
      <c r="H347" s="1135" t="e">
        <v>#REF!</v>
      </c>
      <c r="I347" s="1135" t="e">
        <v>#REF!</v>
      </c>
      <c r="J347" s="1135" t="e">
        <v>#REF!</v>
      </c>
      <c r="K347" s="1135" t="e">
        <v>#REF!</v>
      </c>
    </row>
    <row r="348" spans="1:11" s="1136" customFormat="1" ht="45">
      <c r="A348" s="1131">
        <v>342</v>
      </c>
      <c r="B348" s="1132" t="s">
        <v>9794</v>
      </c>
      <c r="C348" s="1133" t="s">
        <v>9795</v>
      </c>
      <c r="D348" s="1134" t="s">
        <v>9191</v>
      </c>
      <c r="E348" s="1135">
        <v>8820</v>
      </c>
      <c r="F348" s="1135">
        <v>3337300.9</v>
      </c>
      <c r="G348" s="1135">
        <v>0</v>
      </c>
      <c r="H348" s="1135" t="e">
        <v>#REF!</v>
      </c>
      <c r="I348" s="1135" t="e">
        <v>#REF!</v>
      </c>
      <c r="J348" s="1135" t="e">
        <v>#REF!</v>
      </c>
      <c r="K348" s="1135" t="e">
        <v>#REF!</v>
      </c>
    </row>
    <row r="349" spans="1:11" s="1136" customFormat="1" ht="45">
      <c r="A349" s="1131">
        <v>343</v>
      </c>
      <c r="B349" s="1132" t="s">
        <v>9796</v>
      </c>
      <c r="C349" s="1133" t="s">
        <v>9797</v>
      </c>
      <c r="D349" s="1134" t="s">
        <v>9191</v>
      </c>
      <c r="E349" s="1135">
        <v>10620</v>
      </c>
      <c r="F349" s="1135">
        <v>4017496.6</v>
      </c>
      <c r="G349" s="1135">
        <v>0</v>
      </c>
      <c r="H349" s="1135" t="e">
        <v>#REF!</v>
      </c>
      <c r="I349" s="1135" t="e">
        <v>#REF!</v>
      </c>
      <c r="J349" s="1135" t="e">
        <v>#REF!</v>
      </c>
      <c r="K349" s="1135" t="e">
        <v>#REF!</v>
      </c>
    </row>
    <row r="350" spans="1:11" s="1142" customFormat="1" ht="30">
      <c r="A350" s="1137">
        <v>344</v>
      </c>
      <c r="B350" s="1138" t="s">
        <v>9798</v>
      </c>
      <c r="C350" s="1139" t="s">
        <v>9799</v>
      </c>
      <c r="D350" s="1140" t="s">
        <v>9800</v>
      </c>
      <c r="E350" s="1141">
        <v>0</v>
      </c>
      <c r="F350" s="1141">
        <v>153405.9</v>
      </c>
      <c r="G350" s="1141">
        <v>0</v>
      </c>
      <c r="H350" s="1141" t="e">
        <v>#REF!</v>
      </c>
      <c r="I350" s="1141" t="e">
        <v>#REF!</v>
      </c>
      <c r="J350" s="1141" t="e">
        <v>#REF!</v>
      </c>
      <c r="K350" s="1141" t="e">
        <v>#REF!</v>
      </c>
    </row>
    <row r="351" spans="1:11" s="1142" customFormat="1" ht="30">
      <c r="A351" s="1137">
        <v>345</v>
      </c>
      <c r="B351" s="1138" t="s">
        <v>9801</v>
      </c>
      <c r="C351" s="1139" t="s">
        <v>9802</v>
      </c>
      <c r="D351" s="1140" t="s">
        <v>9800</v>
      </c>
      <c r="E351" s="1141">
        <v>0</v>
      </c>
      <c r="F351" s="1141">
        <v>162089.20000000001</v>
      </c>
      <c r="G351" s="1141">
        <v>0</v>
      </c>
      <c r="H351" s="1141" t="e">
        <v>#REF!</v>
      </c>
      <c r="I351" s="1141" t="e">
        <v>#REF!</v>
      </c>
      <c r="J351" s="1141" t="e">
        <v>#REF!</v>
      </c>
      <c r="K351" s="1141" t="e">
        <v>#REF!</v>
      </c>
    </row>
    <row r="352" spans="1:11" s="1142" customFormat="1" ht="30">
      <c r="A352" s="1137">
        <v>346</v>
      </c>
      <c r="B352" s="1138" t="s">
        <v>9803</v>
      </c>
      <c r="C352" s="1139" t="s">
        <v>9804</v>
      </c>
      <c r="D352" s="1140" t="s">
        <v>9800</v>
      </c>
      <c r="E352" s="1141">
        <v>0</v>
      </c>
      <c r="F352" s="1141">
        <v>185244.79999999999</v>
      </c>
      <c r="G352" s="1141">
        <v>0</v>
      </c>
      <c r="H352" s="1141" t="e">
        <v>#REF!</v>
      </c>
      <c r="I352" s="1141" t="e">
        <v>#REF!</v>
      </c>
      <c r="J352" s="1141" t="e">
        <v>#REF!</v>
      </c>
      <c r="K352" s="1141" t="e">
        <v>#REF!</v>
      </c>
    </row>
    <row r="353" spans="1:11" s="1142" customFormat="1" ht="30">
      <c r="A353" s="1137">
        <v>347</v>
      </c>
      <c r="B353" s="1138" t="s">
        <v>9805</v>
      </c>
      <c r="C353" s="1139" t="s">
        <v>9806</v>
      </c>
      <c r="D353" s="1140" t="s">
        <v>9800</v>
      </c>
      <c r="E353" s="1141">
        <v>0</v>
      </c>
      <c r="F353" s="1141">
        <v>208400.4</v>
      </c>
      <c r="G353" s="1141">
        <v>0</v>
      </c>
      <c r="H353" s="1141" t="e">
        <v>#REF!</v>
      </c>
      <c r="I353" s="1141" t="e">
        <v>#REF!</v>
      </c>
      <c r="J353" s="1141" t="e">
        <v>#REF!</v>
      </c>
      <c r="K353" s="1141" t="e">
        <v>#REF!</v>
      </c>
    </row>
    <row r="354" spans="1:11" s="1142" customFormat="1" ht="30">
      <c r="A354" s="1137">
        <v>348</v>
      </c>
      <c r="B354" s="1138" t="s">
        <v>9807</v>
      </c>
      <c r="C354" s="1139" t="s">
        <v>9808</v>
      </c>
      <c r="D354" s="1140" t="s">
        <v>9800</v>
      </c>
      <c r="E354" s="1141">
        <v>0</v>
      </c>
      <c r="F354" s="1141">
        <v>231556</v>
      </c>
      <c r="G354" s="1141">
        <v>0</v>
      </c>
      <c r="H354" s="1141" t="e">
        <v>#REF!</v>
      </c>
      <c r="I354" s="1141" t="e">
        <v>#REF!</v>
      </c>
      <c r="J354" s="1141" t="e">
        <v>#REF!</v>
      </c>
      <c r="K354" s="1141" t="e">
        <v>#REF!</v>
      </c>
    </row>
    <row r="355" spans="1:11" ht="30">
      <c r="A355" s="1120">
        <v>349</v>
      </c>
      <c r="B355" s="1121" t="s">
        <v>9809</v>
      </c>
      <c r="C355" s="1122" t="s">
        <v>9810</v>
      </c>
      <c r="D355" s="1123" t="s">
        <v>9800</v>
      </c>
      <c r="E355" s="1124">
        <v>0</v>
      </c>
      <c r="F355" s="1124">
        <v>254711.6</v>
      </c>
      <c r="G355" s="1124">
        <v>0</v>
      </c>
      <c r="H355" s="1124" t="e">
        <v>#REF!</v>
      </c>
      <c r="I355" s="1124" t="e">
        <v>#REF!</v>
      </c>
      <c r="J355" s="1124" t="e">
        <v>#REF!</v>
      </c>
      <c r="K355" s="1124" t="e">
        <v>#REF!</v>
      </c>
    </row>
    <row r="356" spans="1:11" ht="30">
      <c r="A356" s="1120">
        <v>350</v>
      </c>
      <c r="B356" s="1121" t="s">
        <v>9811</v>
      </c>
      <c r="C356" s="1122" t="s">
        <v>9812</v>
      </c>
      <c r="D356" s="1123" t="s">
        <v>9800</v>
      </c>
      <c r="E356" s="1124">
        <v>0</v>
      </c>
      <c r="F356" s="1124">
        <v>292339.5</v>
      </c>
      <c r="G356" s="1124">
        <v>0</v>
      </c>
      <c r="H356" s="1124" t="e">
        <v>#REF!</v>
      </c>
      <c r="I356" s="1124" t="e">
        <v>#REF!</v>
      </c>
      <c r="J356" s="1124" t="e">
        <v>#REF!</v>
      </c>
      <c r="K356" s="1124" t="e">
        <v>#REF!</v>
      </c>
    </row>
    <row r="357" spans="1:11" ht="30">
      <c r="A357" s="1120">
        <v>351</v>
      </c>
      <c r="B357" s="1121" t="s">
        <v>9813</v>
      </c>
      <c r="C357" s="1122" t="s">
        <v>9814</v>
      </c>
      <c r="D357" s="1123" t="s">
        <v>9800</v>
      </c>
      <c r="E357" s="1124">
        <v>0</v>
      </c>
      <c r="F357" s="1124">
        <v>335756.2</v>
      </c>
      <c r="G357" s="1124">
        <v>0</v>
      </c>
      <c r="H357" s="1124" t="e">
        <v>#REF!</v>
      </c>
      <c r="I357" s="1124" t="e">
        <v>#REF!</v>
      </c>
      <c r="J357" s="1124" t="e">
        <v>#REF!</v>
      </c>
      <c r="K357" s="1124" t="e">
        <v>#REF!</v>
      </c>
    </row>
    <row r="358" spans="1:11" ht="30">
      <c r="A358" s="1120">
        <v>352</v>
      </c>
      <c r="B358" s="1121" t="s">
        <v>9815</v>
      </c>
      <c r="C358" s="1122" t="s">
        <v>9816</v>
      </c>
      <c r="D358" s="1123" t="s">
        <v>9800</v>
      </c>
      <c r="E358" s="1124">
        <v>0</v>
      </c>
      <c r="F358" s="1124">
        <v>384961.9</v>
      </c>
      <c r="G358" s="1124">
        <v>0</v>
      </c>
      <c r="H358" s="1124" t="e">
        <v>#REF!</v>
      </c>
      <c r="I358" s="1124" t="e">
        <v>#REF!</v>
      </c>
      <c r="J358" s="1124" t="e">
        <v>#REF!</v>
      </c>
      <c r="K358" s="1124" t="e">
        <v>#REF!</v>
      </c>
    </row>
    <row r="359" spans="1:11" ht="30">
      <c r="A359" s="1120">
        <v>353</v>
      </c>
      <c r="B359" s="1121" t="s">
        <v>9817</v>
      </c>
      <c r="C359" s="1122" t="s">
        <v>9818</v>
      </c>
      <c r="D359" s="1123" t="s">
        <v>9819</v>
      </c>
      <c r="E359" s="1124">
        <v>0</v>
      </c>
      <c r="F359" s="1124">
        <v>133144.70000000001</v>
      </c>
      <c r="G359" s="1124">
        <v>0</v>
      </c>
      <c r="H359" s="1124" t="e">
        <v>#REF!</v>
      </c>
      <c r="I359" s="1124" t="e">
        <v>#REF!</v>
      </c>
      <c r="J359" s="1124" t="e">
        <v>#REF!</v>
      </c>
      <c r="K359" s="1124" t="e">
        <v>#REF!</v>
      </c>
    </row>
    <row r="360" spans="1:11" ht="30">
      <c r="A360" s="1120">
        <v>354</v>
      </c>
      <c r="B360" s="1121" t="s">
        <v>9820</v>
      </c>
      <c r="C360" s="1122" t="s">
        <v>9821</v>
      </c>
      <c r="D360" s="1123" t="s">
        <v>9819</v>
      </c>
      <c r="E360" s="1124">
        <v>0</v>
      </c>
      <c r="F360" s="1124">
        <v>136039.20000000001</v>
      </c>
      <c r="G360" s="1124">
        <v>0</v>
      </c>
      <c r="H360" s="1124" t="e">
        <v>#REF!</v>
      </c>
      <c r="I360" s="1124" t="e">
        <v>#REF!</v>
      </c>
      <c r="J360" s="1124" t="e">
        <v>#REF!</v>
      </c>
      <c r="K360" s="1124" t="e">
        <v>#REF!</v>
      </c>
    </row>
    <row r="361" spans="1:11" ht="30">
      <c r="A361" s="1120">
        <v>355</v>
      </c>
      <c r="B361" s="1121" t="s">
        <v>9822</v>
      </c>
      <c r="C361" s="1122" t="s">
        <v>9823</v>
      </c>
      <c r="D361" s="1123" t="s">
        <v>9819</v>
      </c>
      <c r="E361" s="1124">
        <v>0</v>
      </c>
      <c r="F361" s="1124">
        <v>153405.9</v>
      </c>
      <c r="G361" s="1124">
        <v>0</v>
      </c>
      <c r="H361" s="1124" t="e">
        <v>#REF!</v>
      </c>
      <c r="I361" s="1124" t="e">
        <v>#REF!</v>
      </c>
      <c r="J361" s="1124" t="e">
        <v>#REF!</v>
      </c>
      <c r="K361" s="1124" t="e">
        <v>#REF!</v>
      </c>
    </row>
    <row r="362" spans="1:11" ht="30">
      <c r="A362" s="1120">
        <v>356</v>
      </c>
      <c r="B362" s="1121" t="s">
        <v>9824</v>
      </c>
      <c r="C362" s="1122" t="s">
        <v>9825</v>
      </c>
      <c r="D362" s="1123" t="s">
        <v>9819</v>
      </c>
      <c r="E362" s="1124">
        <v>0</v>
      </c>
      <c r="F362" s="1124">
        <v>176561.5</v>
      </c>
      <c r="G362" s="1124">
        <v>0</v>
      </c>
      <c r="H362" s="1124" t="e">
        <v>#REF!</v>
      </c>
      <c r="I362" s="1124" t="e">
        <v>#REF!</v>
      </c>
      <c r="J362" s="1124" t="e">
        <v>#REF!</v>
      </c>
      <c r="K362" s="1124" t="e">
        <v>#REF!</v>
      </c>
    </row>
    <row r="363" spans="1:11" ht="30">
      <c r="A363" s="1120">
        <v>357</v>
      </c>
      <c r="B363" s="1121" t="s">
        <v>9826</v>
      </c>
      <c r="C363" s="1122" t="s">
        <v>9827</v>
      </c>
      <c r="D363" s="1123" t="s">
        <v>9819</v>
      </c>
      <c r="E363" s="1124">
        <v>0</v>
      </c>
      <c r="F363" s="1124">
        <v>193928.2</v>
      </c>
      <c r="G363" s="1124">
        <v>0</v>
      </c>
      <c r="H363" s="1124" t="e">
        <v>#REF!</v>
      </c>
      <c r="I363" s="1124" t="e">
        <v>#REF!</v>
      </c>
      <c r="J363" s="1124" t="e">
        <v>#REF!</v>
      </c>
      <c r="K363" s="1124" t="e">
        <v>#REF!</v>
      </c>
    </row>
    <row r="364" spans="1:11" ht="30">
      <c r="A364" s="1120">
        <v>358</v>
      </c>
      <c r="B364" s="1121" t="s">
        <v>9828</v>
      </c>
      <c r="C364" s="1122" t="s">
        <v>9829</v>
      </c>
      <c r="D364" s="1123" t="s">
        <v>9819</v>
      </c>
      <c r="E364" s="1124">
        <v>0</v>
      </c>
      <c r="F364" s="1124">
        <v>211294.9</v>
      </c>
      <c r="G364" s="1124">
        <v>0</v>
      </c>
      <c r="H364" s="1124" t="e">
        <v>#REF!</v>
      </c>
      <c r="I364" s="1124" t="e">
        <v>#REF!</v>
      </c>
      <c r="J364" s="1124" t="e">
        <v>#REF!</v>
      </c>
      <c r="K364" s="1124" t="e">
        <v>#REF!</v>
      </c>
    </row>
    <row r="365" spans="1:11" ht="30">
      <c r="A365" s="1120">
        <v>359</v>
      </c>
      <c r="B365" s="1121" t="s">
        <v>9830</v>
      </c>
      <c r="C365" s="1122" t="s">
        <v>9831</v>
      </c>
      <c r="D365" s="1123" t="s">
        <v>9819</v>
      </c>
      <c r="E365" s="1124">
        <v>0</v>
      </c>
      <c r="F365" s="1124">
        <v>243133.8</v>
      </c>
      <c r="G365" s="1124">
        <v>0</v>
      </c>
      <c r="H365" s="1124" t="e">
        <v>#REF!</v>
      </c>
      <c r="I365" s="1124" t="e">
        <v>#REF!</v>
      </c>
      <c r="J365" s="1124" t="e">
        <v>#REF!</v>
      </c>
      <c r="K365" s="1124" t="e">
        <v>#REF!</v>
      </c>
    </row>
    <row r="366" spans="1:11" ht="30">
      <c r="A366" s="1120">
        <v>360</v>
      </c>
      <c r="B366" s="1121" t="s">
        <v>9832</v>
      </c>
      <c r="C366" s="1122" t="s">
        <v>9833</v>
      </c>
      <c r="D366" s="1123" t="s">
        <v>9819</v>
      </c>
      <c r="E366" s="1124">
        <v>0</v>
      </c>
      <c r="F366" s="1124">
        <v>280761.7</v>
      </c>
      <c r="G366" s="1124">
        <v>0</v>
      </c>
      <c r="H366" s="1124" t="e">
        <v>#REF!</v>
      </c>
      <c r="I366" s="1124" t="e">
        <v>#REF!</v>
      </c>
      <c r="J366" s="1124" t="e">
        <v>#REF!</v>
      </c>
      <c r="K366" s="1124" t="e">
        <v>#REF!</v>
      </c>
    </row>
    <row r="367" spans="1:11" ht="30">
      <c r="A367" s="1120">
        <v>361</v>
      </c>
      <c r="B367" s="1121" t="s">
        <v>9834</v>
      </c>
      <c r="C367" s="1122" t="s">
        <v>9835</v>
      </c>
      <c r="D367" s="1123" t="s">
        <v>9819</v>
      </c>
      <c r="E367" s="1124">
        <v>0</v>
      </c>
      <c r="F367" s="1124">
        <v>321284</v>
      </c>
      <c r="G367" s="1124">
        <v>0</v>
      </c>
      <c r="H367" s="1124" t="e">
        <v>#REF!</v>
      </c>
      <c r="I367" s="1124" t="e">
        <v>#REF!</v>
      </c>
      <c r="J367" s="1124" t="e">
        <v>#REF!</v>
      </c>
      <c r="K367" s="1124" t="e">
        <v>#REF!</v>
      </c>
    </row>
    <row r="368" spans="1:11" ht="30">
      <c r="A368" s="1120">
        <v>362</v>
      </c>
      <c r="B368" s="1121" t="s">
        <v>9836</v>
      </c>
      <c r="C368" s="1122" t="s">
        <v>9837</v>
      </c>
      <c r="D368" s="1123" t="s">
        <v>9819</v>
      </c>
      <c r="E368" s="1124">
        <v>0</v>
      </c>
      <c r="F368" s="1124">
        <v>205506</v>
      </c>
      <c r="G368" s="1124">
        <v>0</v>
      </c>
      <c r="H368" s="1124" t="e">
        <v>#REF!</v>
      </c>
      <c r="I368" s="1124" t="e">
        <v>#REF!</v>
      </c>
      <c r="J368" s="1124" t="e">
        <v>#REF!</v>
      </c>
      <c r="K368" s="1124" t="e">
        <v>#REF!</v>
      </c>
    </row>
    <row r="369" spans="1:11" ht="30">
      <c r="A369" s="1120">
        <v>363</v>
      </c>
      <c r="B369" s="1121" t="s">
        <v>9838</v>
      </c>
      <c r="C369" s="1122" t="s">
        <v>9839</v>
      </c>
      <c r="D369" s="1123" t="s">
        <v>9819</v>
      </c>
      <c r="E369" s="1124">
        <v>0</v>
      </c>
      <c r="F369" s="1124">
        <v>214189.3</v>
      </c>
      <c r="G369" s="1124">
        <v>0</v>
      </c>
      <c r="H369" s="1124" t="e">
        <v>#REF!</v>
      </c>
      <c r="I369" s="1124" t="e">
        <v>#REF!</v>
      </c>
      <c r="J369" s="1124" t="e">
        <v>#REF!</v>
      </c>
      <c r="K369" s="1124" t="e">
        <v>#REF!</v>
      </c>
    </row>
    <row r="370" spans="1:11" ht="30">
      <c r="A370" s="1120">
        <v>364</v>
      </c>
      <c r="B370" s="1121" t="s">
        <v>9840</v>
      </c>
      <c r="C370" s="1122" t="s">
        <v>9841</v>
      </c>
      <c r="D370" s="1123" t="s">
        <v>9819</v>
      </c>
      <c r="E370" s="1124">
        <v>0</v>
      </c>
      <c r="F370" s="1124">
        <v>240239.4</v>
      </c>
      <c r="G370" s="1124">
        <v>0</v>
      </c>
      <c r="H370" s="1124" t="e">
        <v>#REF!</v>
      </c>
      <c r="I370" s="1124" t="e">
        <v>#REF!</v>
      </c>
      <c r="J370" s="1124" t="e">
        <v>#REF!</v>
      </c>
      <c r="K370" s="1124" t="e">
        <v>#REF!</v>
      </c>
    </row>
    <row r="371" spans="1:11" ht="30">
      <c r="A371" s="1120">
        <v>365</v>
      </c>
      <c r="B371" s="1121" t="s">
        <v>9842</v>
      </c>
      <c r="C371" s="1122" t="s">
        <v>9843</v>
      </c>
      <c r="D371" s="1123" t="s">
        <v>9819</v>
      </c>
      <c r="E371" s="1124">
        <v>0</v>
      </c>
      <c r="F371" s="1124">
        <v>277867.2</v>
      </c>
      <c r="G371" s="1124">
        <v>0</v>
      </c>
      <c r="H371" s="1124" t="e">
        <v>#REF!</v>
      </c>
      <c r="I371" s="1124" t="e">
        <v>#REF!</v>
      </c>
      <c r="J371" s="1124" t="e">
        <v>#REF!</v>
      </c>
      <c r="K371" s="1124" t="e">
        <v>#REF!</v>
      </c>
    </row>
    <row r="372" spans="1:11" ht="30">
      <c r="A372" s="1120">
        <v>366</v>
      </c>
      <c r="B372" s="1121" t="s">
        <v>9844</v>
      </c>
      <c r="C372" s="1122" t="s">
        <v>9845</v>
      </c>
      <c r="D372" s="1123" t="s">
        <v>9819</v>
      </c>
      <c r="E372" s="1124">
        <v>0</v>
      </c>
      <c r="F372" s="1124">
        <v>303917.3</v>
      </c>
      <c r="G372" s="1124">
        <v>0</v>
      </c>
      <c r="H372" s="1124" t="e">
        <v>#REF!</v>
      </c>
      <c r="I372" s="1124" t="e">
        <v>#REF!</v>
      </c>
      <c r="J372" s="1124" t="e">
        <v>#REF!</v>
      </c>
      <c r="K372" s="1124" t="e">
        <v>#REF!</v>
      </c>
    </row>
    <row r="373" spans="1:11" ht="30">
      <c r="A373" s="1120">
        <v>367</v>
      </c>
      <c r="B373" s="1121" t="s">
        <v>9846</v>
      </c>
      <c r="C373" s="1122" t="s">
        <v>9847</v>
      </c>
      <c r="D373" s="1123" t="s">
        <v>9819</v>
      </c>
      <c r="E373" s="1124">
        <v>0</v>
      </c>
      <c r="F373" s="1124">
        <v>332861.8</v>
      </c>
      <c r="G373" s="1124">
        <v>0</v>
      </c>
      <c r="H373" s="1124" t="e">
        <v>#REF!</v>
      </c>
      <c r="I373" s="1124" t="e">
        <v>#REF!</v>
      </c>
      <c r="J373" s="1124" t="e">
        <v>#REF!</v>
      </c>
      <c r="K373" s="1124" t="e">
        <v>#REF!</v>
      </c>
    </row>
    <row r="374" spans="1:11" ht="30">
      <c r="A374" s="1120">
        <v>368</v>
      </c>
      <c r="B374" s="1121" t="s">
        <v>9848</v>
      </c>
      <c r="C374" s="1122" t="s">
        <v>9849</v>
      </c>
      <c r="D374" s="1123" t="s">
        <v>9819</v>
      </c>
      <c r="E374" s="1124">
        <v>0</v>
      </c>
      <c r="F374" s="1124">
        <v>384961.9</v>
      </c>
      <c r="G374" s="1124">
        <v>0</v>
      </c>
      <c r="H374" s="1124" t="e">
        <v>#REF!</v>
      </c>
      <c r="I374" s="1124" t="e">
        <v>#REF!</v>
      </c>
      <c r="J374" s="1124" t="e">
        <v>#REF!</v>
      </c>
      <c r="K374" s="1124" t="e">
        <v>#REF!</v>
      </c>
    </row>
    <row r="375" spans="1:11" ht="30">
      <c r="A375" s="1120">
        <v>369</v>
      </c>
      <c r="B375" s="1121" t="s">
        <v>9850</v>
      </c>
      <c r="C375" s="1122" t="s">
        <v>9851</v>
      </c>
      <c r="D375" s="1123" t="s">
        <v>9819</v>
      </c>
      <c r="E375" s="1124">
        <v>0</v>
      </c>
      <c r="F375" s="1124">
        <v>445745.3</v>
      </c>
      <c r="G375" s="1124">
        <v>0</v>
      </c>
      <c r="H375" s="1124" t="e">
        <v>#REF!</v>
      </c>
      <c r="I375" s="1124" t="e">
        <v>#REF!</v>
      </c>
      <c r="J375" s="1124" t="e">
        <v>#REF!</v>
      </c>
      <c r="K375" s="1124" t="e">
        <v>#REF!</v>
      </c>
    </row>
    <row r="376" spans="1:11" ht="30">
      <c r="A376" s="1120">
        <v>370</v>
      </c>
      <c r="B376" s="1121" t="s">
        <v>9852</v>
      </c>
      <c r="C376" s="1122" t="s">
        <v>9853</v>
      </c>
      <c r="D376" s="1123" t="s">
        <v>9819</v>
      </c>
      <c r="E376" s="1124">
        <v>0</v>
      </c>
      <c r="F376" s="1124">
        <v>512317.7</v>
      </c>
      <c r="G376" s="1124">
        <v>0</v>
      </c>
      <c r="H376" s="1124" t="e">
        <v>#REF!</v>
      </c>
      <c r="I376" s="1124" t="e">
        <v>#REF!</v>
      </c>
      <c r="J376" s="1124" t="e">
        <v>#REF!</v>
      </c>
      <c r="K376" s="1124" t="e">
        <v>#REF!</v>
      </c>
    </row>
    <row r="377" spans="1:11" ht="30">
      <c r="A377" s="1120">
        <v>371</v>
      </c>
      <c r="B377" s="1121" t="s">
        <v>9854</v>
      </c>
      <c r="C377" s="1122" t="s">
        <v>9855</v>
      </c>
      <c r="D377" s="1123" t="s">
        <v>9819</v>
      </c>
      <c r="E377" s="1124">
        <v>0</v>
      </c>
      <c r="F377" s="1124">
        <v>257606.1</v>
      </c>
      <c r="G377" s="1124">
        <v>0</v>
      </c>
      <c r="H377" s="1124" t="e">
        <v>#REF!</v>
      </c>
      <c r="I377" s="1124" t="e">
        <v>#REF!</v>
      </c>
      <c r="J377" s="1124" t="e">
        <v>#REF!</v>
      </c>
      <c r="K377" s="1124" t="e">
        <v>#REF!</v>
      </c>
    </row>
    <row r="378" spans="1:11" ht="30">
      <c r="A378" s="1120">
        <v>372</v>
      </c>
      <c r="B378" s="1121" t="s">
        <v>9856</v>
      </c>
      <c r="C378" s="1122" t="s">
        <v>9857</v>
      </c>
      <c r="D378" s="1123" t="s">
        <v>9819</v>
      </c>
      <c r="E378" s="1124">
        <v>0</v>
      </c>
      <c r="F378" s="1124">
        <v>269183.90000000002</v>
      </c>
      <c r="G378" s="1124">
        <v>0</v>
      </c>
      <c r="H378" s="1124" t="e">
        <v>#REF!</v>
      </c>
      <c r="I378" s="1124" t="e">
        <v>#REF!</v>
      </c>
      <c r="J378" s="1124" t="e">
        <v>#REF!</v>
      </c>
      <c r="K378" s="1124" t="e">
        <v>#REF!</v>
      </c>
    </row>
    <row r="379" spans="1:11" ht="30">
      <c r="A379" s="1120">
        <v>373</v>
      </c>
      <c r="B379" s="1121" t="s">
        <v>9858</v>
      </c>
      <c r="C379" s="1122" t="s">
        <v>9859</v>
      </c>
      <c r="D379" s="1123" t="s">
        <v>9819</v>
      </c>
      <c r="E379" s="1124">
        <v>0</v>
      </c>
      <c r="F379" s="1124">
        <v>303917.3</v>
      </c>
      <c r="G379" s="1124">
        <v>0</v>
      </c>
      <c r="H379" s="1124" t="e">
        <v>#REF!</v>
      </c>
      <c r="I379" s="1124" t="e">
        <v>#REF!</v>
      </c>
      <c r="J379" s="1124" t="e">
        <v>#REF!</v>
      </c>
      <c r="K379" s="1124" t="e">
        <v>#REF!</v>
      </c>
    </row>
    <row r="380" spans="1:11" ht="30">
      <c r="A380" s="1120">
        <v>374</v>
      </c>
      <c r="B380" s="1121" t="s">
        <v>9860</v>
      </c>
      <c r="C380" s="1122" t="s">
        <v>9861</v>
      </c>
      <c r="D380" s="1123" t="s">
        <v>9819</v>
      </c>
      <c r="E380" s="1124">
        <v>0</v>
      </c>
      <c r="F380" s="1124">
        <v>347334</v>
      </c>
      <c r="G380" s="1124">
        <v>0</v>
      </c>
      <c r="H380" s="1124" t="e">
        <v>#REF!</v>
      </c>
      <c r="I380" s="1124" t="e">
        <v>#REF!</v>
      </c>
      <c r="J380" s="1124" t="e">
        <v>#REF!</v>
      </c>
      <c r="K380" s="1124" t="e">
        <v>#REF!</v>
      </c>
    </row>
    <row r="381" spans="1:11" ht="30">
      <c r="A381" s="1120">
        <v>375</v>
      </c>
      <c r="B381" s="1121" t="s">
        <v>9862</v>
      </c>
      <c r="C381" s="1122" t="s">
        <v>9863</v>
      </c>
      <c r="D381" s="1123" t="s">
        <v>9819</v>
      </c>
      <c r="E381" s="1124">
        <v>0</v>
      </c>
      <c r="F381" s="1124">
        <v>382067.4</v>
      </c>
      <c r="G381" s="1124">
        <v>0</v>
      </c>
      <c r="H381" s="1124" t="e">
        <v>#REF!</v>
      </c>
      <c r="I381" s="1124" t="e">
        <v>#REF!</v>
      </c>
      <c r="J381" s="1124" t="e">
        <v>#REF!</v>
      </c>
      <c r="K381" s="1124" t="e">
        <v>#REF!</v>
      </c>
    </row>
    <row r="382" spans="1:11" ht="30">
      <c r="A382" s="1120">
        <v>376</v>
      </c>
      <c r="B382" s="1121" t="s">
        <v>9864</v>
      </c>
      <c r="C382" s="1122" t="s">
        <v>9865</v>
      </c>
      <c r="D382" s="1123" t="s">
        <v>9819</v>
      </c>
      <c r="E382" s="1124">
        <v>0</v>
      </c>
      <c r="F382" s="1124">
        <v>416800.8</v>
      </c>
      <c r="G382" s="1124">
        <v>0</v>
      </c>
      <c r="H382" s="1124" t="e">
        <v>#REF!</v>
      </c>
      <c r="I382" s="1124" t="e">
        <v>#REF!</v>
      </c>
      <c r="J382" s="1124" t="e">
        <v>#REF!</v>
      </c>
      <c r="K382" s="1124" t="e">
        <v>#REF!</v>
      </c>
    </row>
    <row r="383" spans="1:11" ht="30">
      <c r="A383" s="1120">
        <v>377</v>
      </c>
      <c r="B383" s="1121" t="s">
        <v>9866</v>
      </c>
      <c r="C383" s="1122" t="s">
        <v>9867</v>
      </c>
      <c r="D383" s="1123" t="s">
        <v>9819</v>
      </c>
      <c r="E383" s="1124">
        <v>0</v>
      </c>
      <c r="F383" s="1124">
        <v>483373.2</v>
      </c>
      <c r="G383" s="1124">
        <v>0</v>
      </c>
      <c r="H383" s="1124" t="e">
        <v>#REF!</v>
      </c>
      <c r="I383" s="1124" t="e">
        <v>#REF!</v>
      </c>
      <c r="J383" s="1124" t="e">
        <v>#REF!</v>
      </c>
      <c r="K383" s="1124" t="e">
        <v>#REF!</v>
      </c>
    </row>
    <row r="384" spans="1:11" ht="30">
      <c r="A384" s="1120">
        <v>378</v>
      </c>
      <c r="B384" s="1121" t="s">
        <v>9868</v>
      </c>
      <c r="C384" s="1122" t="s">
        <v>9869</v>
      </c>
      <c r="D384" s="1123" t="s">
        <v>9819</v>
      </c>
      <c r="E384" s="1124">
        <v>0</v>
      </c>
      <c r="F384" s="1124">
        <v>555734.4</v>
      </c>
      <c r="G384" s="1124">
        <v>0</v>
      </c>
      <c r="H384" s="1124" t="e">
        <v>#REF!</v>
      </c>
      <c r="I384" s="1124" t="e">
        <v>#REF!</v>
      </c>
      <c r="J384" s="1124" t="e">
        <v>#REF!</v>
      </c>
      <c r="K384" s="1124" t="e">
        <v>#REF!</v>
      </c>
    </row>
    <row r="385" spans="1:11" ht="30">
      <c r="A385" s="1120">
        <v>379</v>
      </c>
      <c r="B385" s="1121" t="s">
        <v>9870</v>
      </c>
      <c r="C385" s="1122" t="s">
        <v>9871</v>
      </c>
      <c r="D385" s="1123" t="s">
        <v>9819</v>
      </c>
      <c r="E385" s="1124">
        <v>0</v>
      </c>
      <c r="F385" s="1124">
        <v>642567.9</v>
      </c>
      <c r="G385" s="1124">
        <v>0</v>
      </c>
      <c r="H385" s="1124" t="e">
        <v>#REF!</v>
      </c>
      <c r="I385" s="1124" t="e">
        <v>#REF!</v>
      </c>
      <c r="J385" s="1124" t="e">
        <v>#REF!</v>
      </c>
      <c r="K385" s="1124" t="e">
        <v>#REF!</v>
      </c>
    </row>
    <row r="386" spans="1:11" ht="30">
      <c r="A386" s="1120">
        <v>380</v>
      </c>
      <c r="B386" s="1121" t="s">
        <v>9872</v>
      </c>
      <c r="C386" s="1122" t="s">
        <v>9873</v>
      </c>
      <c r="D386" s="1123" t="s">
        <v>9819</v>
      </c>
      <c r="E386" s="1124">
        <v>0</v>
      </c>
      <c r="F386" s="1124">
        <v>500739.9</v>
      </c>
      <c r="G386" s="1124">
        <v>0</v>
      </c>
      <c r="H386" s="1124" t="e">
        <v>#REF!</v>
      </c>
      <c r="I386" s="1124" t="e">
        <v>#REF!</v>
      </c>
      <c r="J386" s="1124" t="e">
        <v>#REF!</v>
      </c>
      <c r="K386" s="1124" t="e">
        <v>#REF!</v>
      </c>
    </row>
    <row r="387" spans="1:11" ht="30">
      <c r="A387" s="1120">
        <v>381</v>
      </c>
      <c r="B387" s="1121" t="s">
        <v>9874</v>
      </c>
      <c r="C387" s="1122" t="s">
        <v>9875</v>
      </c>
      <c r="D387" s="1123" t="s">
        <v>9819</v>
      </c>
      <c r="E387" s="1124">
        <v>0</v>
      </c>
      <c r="F387" s="1124">
        <v>526789.9</v>
      </c>
      <c r="G387" s="1124">
        <v>0</v>
      </c>
      <c r="H387" s="1124" t="e">
        <v>#REF!</v>
      </c>
      <c r="I387" s="1124" t="e">
        <v>#REF!</v>
      </c>
      <c r="J387" s="1124" t="e">
        <v>#REF!</v>
      </c>
      <c r="K387" s="1124" t="e">
        <v>#REF!</v>
      </c>
    </row>
    <row r="388" spans="1:11" ht="30">
      <c r="A388" s="1120">
        <v>382</v>
      </c>
      <c r="B388" s="1121" t="s">
        <v>9876</v>
      </c>
      <c r="C388" s="1122" t="s">
        <v>9877</v>
      </c>
      <c r="D388" s="1123" t="s">
        <v>9819</v>
      </c>
      <c r="E388" s="1124">
        <v>0</v>
      </c>
      <c r="F388" s="1124">
        <v>590467.80000000005</v>
      </c>
      <c r="G388" s="1124">
        <v>0</v>
      </c>
      <c r="H388" s="1124" t="e">
        <v>#REF!</v>
      </c>
      <c r="I388" s="1124" t="e">
        <v>#REF!</v>
      </c>
      <c r="J388" s="1124" t="e">
        <v>#REF!</v>
      </c>
      <c r="K388" s="1124" t="e">
        <v>#REF!</v>
      </c>
    </row>
    <row r="389" spans="1:11" ht="30">
      <c r="A389" s="1120">
        <v>383</v>
      </c>
      <c r="B389" s="1121" t="s">
        <v>9878</v>
      </c>
      <c r="C389" s="1122" t="s">
        <v>9879</v>
      </c>
      <c r="D389" s="1123" t="s">
        <v>9819</v>
      </c>
      <c r="E389" s="1124">
        <v>0</v>
      </c>
      <c r="F389" s="1124">
        <v>662829.1</v>
      </c>
      <c r="G389" s="1124">
        <v>0</v>
      </c>
      <c r="H389" s="1124" t="e">
        <v>#REF!</v>
      </c>
      <c r="I389" s="1124" t="e">
        <v>#REF!</v>
      </c>
      <c r="J389" s="1124" t="e">
        <v>#REF!</v>
      </c>
      <c r="K389" s="1124" t="e">
        <v>#REF!</v>
      </c>
    </row>
    <row r="390" spans="1:11" ht="30">
      <c r="A390" s="1120">
        <v>384</v>
      </c>
      <c r="B390" s="1121" t="s">
        <v>9880</v>
      </c>
      <c r="C390" s="1122" t="s">
        <v>9881</v>
      </c>
      <c r="D390" s="1123" t="s">
        <v>9819</v>
      </c>
      <c r="E390" s="1124">
        <v>0</v>
      </c>
      <c r="F390" s="1124">
        <v>787290.4</v>
      </c>
      <c r="G390" s="1124">
        <v>0</v>
      </c>
      <c r="H390" s="1124" t="e">
        <v>#REF!</v>
      </c>
      <c r="I390" s="1124" t="e">
        <v>#REF!</v>
      </c>
      <c r="J390" s="1124" t="e">
        <v>#REF!</v>
      </c>
      <c r="K390" s="1124" t="e">
        <v>#REF!</v>
      </c>
    </row>
    <row r="391" spans="1:11" ht="30">
      <c r="A391" s="1120">
        <v>385</v>
      </c>
      <c r="B391" s="1121" t="s">
        <v>9882</v>
      </c>
      <c r="C391" s="1122" t="s">
        <v>9883</v>
      </c>
      <c r="D391" s="1123" t="s">
        <v>9819</v>
      </c>
      <c r="E391" s="1124">
        <v>0</v>
      </c>
      <c r="F391" s="1124">
        <v>865440.6</v>
      </c>
      <c r="G391" s="1124">
        <v>0</v>
      </c>
      <c r="H391" s="1124" t="e">
        <v>#REF!</v>
      </c>
      <c r="I391" s="1124" t="e">
        <v>#REF!</v>
      </c>
      <c r="J391" s="1124" t="e">
        <v>#REF!</v>
      </c>
      <c r="K391" s="1124" t="e">
        <v>#REF!</v>
      </c>
    </row>
    <row r="392" spans="1:11" ht="30">
      <c r="A392" s="1120">
        <v>386</v>
      </c>
      <c r="B392" s="1121" t="s">
        <v>9884</v>
      </c>
      <c r="C392" s="1122" t="s">
        <v>9885</v>
      </c>
      <c r="D392" s="1123" t="s">
        <v>9819</v>
      </c>
      <c r="E392" s="1124">
        <v>0</v>
      </c>
      <c r="F392" s="1124">
        <v>992796.4</v>
      </c>
      <c r="G392" s="1124">
        <v>0</v>
      </c>
      <c r="H392" s="1124" t="e">
        <v>#REF!</v>
      </c>
      <c r="I392" s="1124" t="e">
        <v>#REF!</v>
      </c>
      <c r="J392" s="1124" t="e">
        <v>#REF!</v>
      </c>
      <c r="K392" s="1124" t="e">
        <v>#REF!</v>
      </c>
    </row>
    <row r="393" spans="1:11" ht="30">
      <c r="A393" s="1120">
        <v>387</v>
      </c>
      <c r="B393" s="1121" t="s">
        <v>9886</v>
      </c>
      <c r="C393" s="1122" t="s">
        <v>9887</v>
      </c>
      <c r="D393" s="1123" t="s">
        <v>9819</v>
      </c>
      <c r="E393" s="1124">
        <v>0</v>
      </c>
      <c r="F393" s="1124">
        <v>1102785.5</v>
      </c>
      <c r="G393" s="1124">
        <v>0</v>
      </c>
      <c r="H393" s="1124" t="e">
        <v>#REF!</v>
      </c>
      <c r="I393" s="1124" t="e">
        <v>#REF!</v>
      </c>
      <c r="J393" s="1124" t="e">
        <v>#REF!</v>
      </c>
      <c r="K393" s="1124" t="e">
        <v>#REF!</v>
      </c>
    </row>
    <row r="394" spans="1:11" ht="30">
      <c r="A394" s="1120">
        <v>388</v>
      </c>
      <c r="B394" s="1121" t="s">
        <v>9888</v>
      </c>
      <c r="C394" s="1122" t="s">
        <v>9889</v>
      </c>
      <c r="D394" s="1123" t="s">
        <v>9819</v>
      </c>
      <c r="E394" s="1124">
        <v>0</v>
      </c>
      <c r="F394" s="1124">
        <v>1233035.7</v>
      </c>
      <c r="G394" s="1124">
        <v>0</v>
      </c>
      <c r="H394" s="1124" t="e">
        <v>#REF!</v>
      </c>
      <c r="I394" s="1124" t="e">
        <v>#REF!</v>
      </c>
      <c r="J394" s="1124" t="e">
        <v>#REF!</v>
      </c>
      <c r="K394" s="1124" t="e">
        <v>#REF!</v>
      </c>
    </row>
    <row r="395" spans="1:11" ht="30">
      <c r="A395" s="1120">
        <v>389</v>
      </c>
      <c r="B395" s="1121" t="s">
        <v>9890</v>
      </c>
      <c r="C395" s="1122" t="s">
        <v>9891</v>
      </c>
      <c r="D395" s="1123" t="s">
        <v>9819</v>
      </c>
      <c r="E395" s="1124">
        <v>0</v>
      </c>
      <c r="F395" s="1124">
        <v>740979.19999999995</v>
      </c>
      <c r="G395" s="1124">
        <v>0</v>
      </c>
      <c r="H395" s="1124" t="e">
        <v>#REF!</v>
      </c>
      <c r="I395" s="1124" t="e">
        <v>#REF!</v>
      </c>
      <c r="J395" s="1124" t="e">
        <v>#REF!</v>
      </c>
      <c r="K395" s="1124" t="e">
        <v>#REF!</v>
      </c>
    </row>
    <row r="396" spans="1:11" ht="30">
      <c r="A396" s="1120">
        <v>390</v>
      </c>
      <c r="B396" s="1121" t="s">
        <v>9892</v>
      </c>
      <c r="C396" s="1122" t="s">
        <v>9893</v>
      </c>
      <c r="D396" s="1123" t="s">
        <v>9819</v>
      </c>
      <c r="E396" s="1124">
        <v>0</v>
      </c>
      <c r="F396" s="1124">
        <v>778607.1</v>
      </c>
      <c r="G396" s="1124">
        <v>0</v>
      </c>
      <c r="H396" s="1124" t="e">
        <v>#REF!</v>
      </c>
      <c r="I396" s="1124" t="e">
        <v>#REF!</v>
      </c>
      <c r="J396" s="1124" t="e">
        <v>#REF!</v>
      </c>
      <c r="K396" s="1124" t="e">
        <v>#REF!</v>
      </c>
    </row>
    <row r="397" spans="1:11" ht="30">
      <c r="A397" s="1120">
        <v>391</v>
      </c>
      <c r="B397" s="1121" t="s">
        <v>9894</v>
      </c>
      <c r="C397" s="1122" t="s">
        <v>9895</v>
      </c>
      <c r="D397" s="1123" t="s">
        <v>9819</v>
      </c>
      <c r="E397" s="1124">
        <v>0</v>
      </c>
      <c r="F397" s="1124">
        <v>871229.5</v>
      </c>
      <c r="G397" s="1124">
        <v>0</v>
      </c>
      <c r="H397" s="1124" t="e">
        <v>#REF!</v>
      </c>
      <c r="I397" s="1124" t="e">
        <v>#REF!</v>
      </c>
      <c r="J397" s="1124" t="e">
        <v>#REF!</v>
      </c>
      <c r="K397" s="1124" t="e">
        <v>#REF!</v>
      </c>
    </row>
    <row r="398" spans="1:11" ht="30">
      <c r="A398" s="1120">
        <v>392</v>
      </c>
      <c r="B398" s="1121" t="s">
        <v>9896</v>
      </c>
      <c r="C398" s="1122" t="s">
        <v>9897</v>
      </c>
      <c r="D398" s="1123" t="s">
        <v>9819</v>
      </c>
      <c r="E398" s="1124">
        <v>0</v>
      </c>
      <c r="F398" s="1124">
        <v>978324.1</v>
      </c>
      <c r="G398" s="1124">
        <v>0</v>
      </c>
      <c r="H398" s="1124" t="e">
        <v>#REF!</v>
      </c>
      <c r="I398" s="1124" t="e">
        <v>#REF!</v>
      </c>
      <c r="J398" s="1124" t="e">
        <v>#REF!</v>
      </c>
      <c r="K398" s="1124" t="e">
        <v>#REF!</v>
      </c>
    </row>
    <row r="399" spans="1:11" ht="30">
      <c r="A399" s="1120">
        <v>393</v>
      </c>
      <c r="B399" s="1121" t="s">
        <v>9898</v>
      </c>
      <c r="C399" s="1122" t="s">
        <v>9899</v>
      </c>
      <c r="D399" s="1123" t="s">
        <v>9819</v>
      </c>
      <c r="E399" s="1124">
        <v>0</v>
      </c>
      <c r="F399" s="1124">
        <v>1189619</v>
      </c>
      <c r="G399" s="1124">
        <v>0</v>
      </c>
      <c r="H399" s="1124" t="e">
        <v>#REF!</v>
      </c>
      <c r="I399" s="1124" t="e">
        <v>#REF!</v>
      </c>
      <c r="J399" s="1124" t="e">
        <v>#REF!</v>
      </c>
      <c r="K399" s="1124" t="e">
        <v>#REF!</v>
      </c>
    </row>
    <row r="400" spans="1:11" ht="30">
      <c r="A400" s="1120">
        <v>394</v>
      </c>
      <c r="B400" s="1121" t="s">
        <v>9900</v>
      </c>
      <c r="C400" s="1122" t="s">
        <v>9901</v>
      </c>
      <c r="D400" s="1123" t="s">
        <v>9819</v>
      </c>
      <c r="E400" s="1124">
        <v>0</v>
      </c>
      <c r="F400" s="1124">
        <v>1308291.3999999999</v>
      </c>
      <c r="G400" s="1124">
        <v>0</v>
      </c>
      <c r="H400" s="1124" t="e">
        <v>#REF!</v>
      </c>
      <c r="I400" s="1124" t="e">
        <v>#REF!</v>
      </c>
      <c r="J400" s="1124" t="e">
        <v>#REF!</v>
      </c>
      <c r="K400" s="1124" t="e">
        <v>#REF!</v>
      </c>
    </row>
    <row r="401" spans="1:11" ht="30">
      <c r="A401" s="1120">
        <v>395</v>
      </c>
      <c r="B401" s="1121" t="s">
        <v>9902</v>
      </c>
      <c r="C401" s="1122" t="s">
        <v>9903</v>
      </c>
      <c r="D401" s="1123" t="s">
        <v>9819</v>
      </c>
      <c r="E401" s="1124">
        <v>0</v>
      </c>
      <c r="F401" s="1124">
        <v>1505114</v>
      </c>
      <c r="G401" s="1124">
        <v>0</v>
      </c>
      <c r="H401" s="1124" t="e">
        <v>#REF!</v>
      </c>
      <c r="I401" s="1124" t="e">
        <v>#REF!</v>
      </c>
      <c r="J401" s="1124" t="e">
        <v>#REF!</v>
      </c>
      <c r="K401" s="1124" t="e">
        <v>#REF!</v>
      </c>
    </row>
    <row r="402" spans="1:11" ht="30">
      <c r="A402" s="1120">
        <v>396</v>
      </c>
      <c r="B402" s="1121" t="s">
        <v>9904</v>
      </c>
      <c r="C402" s="1122" t="s">
        <v>9905</v>
      </c>
      <c r="D402" s="1123" t="s">
        <v>9819</v>
      </c>
      <c r="E402" s="1124">
        <v>0</v>
      </c>
      <c r="F402" s="1124">
        <v>1655625.4</v>
      </c>
      <c r="G402" s="1124">
        <v>0</v>
      </c>
      <c r="H402" s="1124" t="e">
        <v>#REF!</v>
      </c>
      <c r="I402" s="1124" t="e">
        <v>#REF!</v>
      </c>
      <c r="J402" s="1124" t="e">
        <v>#REF!</v>
      </c>
      <c r="K402" s="1124" t="e">
        <v>#REF!</v>
      </c>
    </row>
    <row r="403" spans="1:11" ht="30">
      <c r="A403" s="1120">
        <v>397</v>
      </c>
      <c r="B403" s="1121" t="s">
        <v>9906</v>
      </c>
      <c r="C403" s="1122" t="s">
        <v>9907</v>
      </c>
      <c r="D403" s="1123" t="s">
        <v>9819</v>
      </c>
      <c r="E403" s="1124">
        <v>0</v>
      </c>
      <c r="F403" s="1124">
        <v>1823503.5</v>
      </c>
      <c r="G403" s="1124">
        <v>0</v>
      </c>
      <c r="H403" s="1124" t="e">
        <v>#REF!</v>
      </c>
      <c r="I403" s="1124" t="e">
        <v>#REF!</v>
      </c>
      <c r="J403" s="1124" t="e">
        <v>#REF!</v>
      </c>
      <c r="K403" s="1124" t="e">
        <v>#REF!</v>
      </c>
    </row>
    <row r="404" spans="1:11" ht="30">
      <c r="A404" s="1120">
        <v>398</v>
      </c>
      <c r="B404" s="1121" t="s">
        <v>9908</v>
      </c>
      <c r="C404" s="1122" t="s">
        <v>9909</v>
      </c>
      <c r="D404" s="1123" t="s">
        <v>9819</v>
      </c>
      <c r="E404" s="1124">
        <v>0</v>
      </c>
      <c r="F404" s="1124">
        <v>940696.3</v>
      </c>
      <c r="G404" s="1124">
        <v>0</v>
      </c>
      <c r="H404" s="1124" t="e">
        <v>#REF!</v>
      </c>
      <c r="I404" s="1124" t="e">
        <v>#REF!</v>
      </c>
      <c r="J404" s="1124" t="e">
        <v>#REF!</v>
      </c>
      <c r="K404" s="1124" t="e">
        <v>#REF!</v>
      </c>
    </row>
    <row r="405" spans="1:11" ht="30">
      <c r="A405" s="1120">
        <v>399</v>
      </c>
      <c r="B405" s="1121" t="s">
        <v>9910</v>
      </c>
      <c r="C405" s="1122" t="s">
        <v>9911</v>
      </c>
      <c r="D405" s="1123" t="s">
        <v>9819</v>
      </c>
      <c r="E405" s="1124">
        <v>0</v>
      </c>
      <c r="F405" s="1124">
        <v>992796.4</v>
      </c>
      <c r="G405" s="1124">
        <v>0</v>
      </c>
      <c r="H405" s="1124" t="e">
        <v>#REF!</v>
      </c>
      <c r="I405" s="1124" t="e">
        <v>#REF!</v>
      </c>
      <c r="J405" s="1124" t="e">
        <v>#REF!</v>
      </c>
      <c r="K405" s="1124" t="e">
        <v>#REF!</v>
      </c>
    </row>
    <row r="406" spans="1:11" ht="30">
      <c r="A406" s="1120">
        <v>400</v>
      </c>
      <c r="B406" s="1121" t="s">
        <v>9912</v>
      </c>
      <c r="C406" s="1122" t="s">
        <v>9913</v>
      </c>
      <c r="D406" s="1123" t="s">
        <v>9819</v>
      </c>
      <c r="E406" s="1124">
        <v>0</v>
      </c>
      <c r="F406" s="1124">
        <v>1076735.3999999999</v>
      </c>
      <c r="G406" s="1124">
        <v>0</v>
      </c>
      <c r="H406" s="1124" t="e">
        <v>#REF!</v>
      </c>
      <c r="I406" s="1124" t="e">
        <v>#REF!</v>
      </c>
      <c r="J406" s="1124" t="e">
        <v>#REF!</v>
      </c>
      <c r="K406" s="1124" t="e">
        <v>#REF!</v>
      </c>
    </row>
    <row r="407" spans="1:11" ht="30">
      <c r="A407" s="1120">
        <v>401</v>
      </c>
      <c r="B407" s="1121" t="s">
        <v>9914</v>
      </c>
      <c r="C407" s="1122" t="s">
        <v>9915</v>
      </c>
      <c r="D407" s="1123" t="s">
        <v>9819</v>
      </c>
      <c r="E407" s="1124">
        <v>0</v>
      </c>
      <c r="F407" s="1124">
        <v>1209880.1000000001</v>
      </c>
      <c r="G407" s="1124">
        <v>0</v>
      </c>
      <c r="H407" s="1124" t="e">
        <v>#REF!</v>
      </c>
      <c r="I407" s="1124" t="e">
        <v>#REF!</v>
      </c>
      <c r="J407" s="1124" t="e">
        <v>#REF!</v>
      </c>
      <c r="K407" s="1124" t="e">
        <v>#REF!</v>
      </c>
    </row>
    <row r="408" spans="1:11" ht="30">
      <c r="A408" s="1120">
        <v>402</v>
      </c>
      <c r="B408" s="1121" t="s">
        <v>9916</v>
      </c>
      <c r="C408" s="1122" t="s">
        <v>9917</v>
      </c>
      <c r="D408" s="1123" t="s">
        <v>9819</v>
      </c>
      <c r="E408" s="1124">
        <v>0</v>
      </c>
      <c r="F408" s="1124">
        <v>1470380.6</v>
      </c>
      <c r="G408" s="1124">
        <v>0</v>
      </c>
      <c r="H408" s="1124" t="e">
        <v>#REF!</v>
      </c>
      <c r="I408" s="1124" t="e">
        <v>#REF!</v>
      </c>
      <c r="J408" s="1124" t="e">
        <v>#REF!</v>
      </c>
      <c r="K408" s="1124" t="e">
        <v>#REF!</v>
      </c>
    </row>
    <row r="409" spans="1:11" ht="30">
      <c r="A409" s="1120">
        <v>403</v>
      </c>
      <c r="B409" s="1121" t="s">
        <v>9918</v>
      </c>
      <c r="C409" s="1122" t="s">
        <v>9919</v>
      </c>
      <c r="D409" s="1123" t="s">
        <v>9819</v>
      </c>
      <c r="E409" s="1124">
        <v>0</v>
      </c>
      <c r="F409" s="1124">
        <v>1574580.8</v>
      </c>
      <c r="G409" s="1124">
        <v>0</v>
      </c>
      <c r="H409" s="1124" t="e">
        <v>#REF!</v>
      </c>
      <c r="I409" s="1124" t="e">
        <v>#REF!</v>
      </c>
      <c r="J409" s="1124" t="e">
        <v>#REF!</v>
      </c>
      <c r="K409" s="1124" t="e">
        <v>#REF!</v>
      </c>
    </row>
    <row r="410" spans="1:11" ht="30">
      <c r="A410" s="1120">
        <v>404</v>
      </c>
      <c r="B410" s="1121" t="s">
        <v>9920</v>
      </c>
      <c r="C410" s="1122" t="s">
        <v>9921</v>
      </c>
      <c r="D410" s="1123" t="s">
        <v>9819</v>
      </c>
      <c r="E410" s="1124">
        <v>0</v>
      </c>
      <c r="F410" s="1124">
        <v>1826398</v>
      </c>
      <c r="G410" s="1124">
        <v>0</v>
      </c>
      <c r="H410" s="1124" t="e">
        <v>#REF!</v>
      </c>
      <c r="I410" s="1124" t="e">
        <v>#REF!</v>
      </c>
      <c r="J410" s="1124" t="e">
        <v>#REF!</v>
      </c>
      <c r="K410" s="1124" t="e">
        <v>#REF!</v>
      </c>
    </row>
    <row r="411" spans="1:11" ht="30">
      <c r="A411" s="1120">
        <v>405</v>
      </c>
      <c r="B411" s="1121" t="s">
        <v>9922</v>
      </c>
      <c r="C411" s="1122" t="s">
        <v>9923</v>
      </c>
      <c r="D411" s="1123" t="s">
        <v>9819</v>
      </c>
      <c r="E411" s="1124">
        <v>0</v>
      </c>
      <c r="F411" s="1124">
        <v>1994276.1</v>
      </c>
      <c r="G411" s="1124">
        <v>0</v>
      </c>
      <c r="H411" s="1124" t="e">
        <v>#REF!</v>
      </c>
      <c r="I411" s="1124" t="e">
        <v>#REF!</v>
      </c>
      <c r="J411" s="1124" t="e">
        <v>#REF!</v>
      </c>
      <c r="K411" s="1124" t="e">
        <v>#REF!</v>
      </c>
    </row>
    <row r="412" spans="1:11" ht="30">
      <c r="A412" s="1120">
        <v>406</v>
      </c>
      <c r="B412" s="1121" t="s">
        <v>9924</v>
      </c>
      <c r="C412" s="1122" t="s">
        <v>9925</v>
      </c>
      <c r="D412" s="1123" t="s">
        <v>9819</v>
      </c>
      <c r="E412" s="1124">
        <v>0</v>
      </c>
      <c r="F412" s="1124">
        <v>2193993.1</v>
      </c>
      <c r="G412" s="1124">
        <v>0</v>
      </c>
      <c r="H412" s="1124" t="e">
        <v>#REF!</v>
      </c>
      <c r="I412" s="1124" t="e">
        <v>#REF!</v>
      </c>
      <c r="J412" s="1124" t="e">
        <v>#REF!</v>
      </c>
      <c r="K412" s="1124" t="e">
        <v>#REF!</v>
      </c>
    </row>
    <row r="413" spans="1:11" ht="30">
      <c r="A413" s="1120">
        <v>407</v>
      </c>
      <c r="B413" s="1121" t="s">
        <v>9926</v>
      </c>
      <c r="C413" s="1122" t="s">
        <v>9927</v>
      </c>
      <c r="D413" s="1123" t="s">
        <v>9819</v>
      </c>
      <c r="E413" s="1124">
        <v>0</v>
      </c>
      <c r="F413" s="1124">
        <v>1146202.2</v>
      </c>
      <c r="G413" s="1124">
        <v>0</v>
      </c>
      <c r="H413" s="1124" t="e">
        <v>#REF!</v>
      </c>
      <c r="I413" s="1124" t="e">
        <v>#REF!</v>
      </c>
      <c r="J413" s="1124" t="e">
        <v>#REF!</v>
      </c>
      <c r="K413" s="1124" t="e">
        <v>#REF!</v>
      </c>
    </row>
    <row r="414" spans="1:11" ht="30">
      <c r="A414" s="1120">
        <v>408</v>
      </c>
      <c r="B414" s="1121" t="s">
        <v>9928</v>
      </c>
      <c r="C414" s="1122" t="s">
        <v>9929</v>
      </c>
      <c r="D414" s="1123" t="s">
        <v>9819</v>
      </c>
      <c r="E414" s="1124">
        <v>0</v>
      </c>
      <c r="F414" s="1124">
        <v>1201196.8</v>
      </c>
      <c r="G414" s="1124">
        <v>0</v>
      </c>
      <c r="H414" s="1124" t="e">
        <v>#REF!</v>
      </c>
      <c r="I414" s="1124" t="e">
        <v>#REF!</v>
      </c>
      <c r="J414" s="1124" t="e">
        <v>#REF!</v>
      </c>
      <c r="K414" s="1124" t="e">
        <v>#REF!</v>
      </c>
    </row>
    <row r="415" spans="1:11" ht="30">
      <c r="A415" s="1120">
        <v>409</v>
      </c>
      <c r="B415" s="1121" t="s">
        <v>9930</v>
      </c>
      <c r="C415" s="1122" t="s">
        <v>9931</v>
      </c>
      <c r="D415" s="1123" t="s">
        <v>9819</v>
      </c>
      <c r="E415" s="1124">
        <v>0</v>
      </c>
      <c r="F415" s="1124">
        <v>1279346.8999999999</v>
      </c>
      <c r="G415" s="1124">
        <v>0</v>
      </c>
      <c r="H415" s="1124" t="e">
        <v>#REF!</v>
      </c>
      <c r="I415" s="1124" t="e">
        <v>#REF!</v>
      </c>
      <c r="J415" s="1124" t="e">
        <v>#REF!</v>
      </c>
      <c r="K415" s="1124" t="e">
        <v>#REF!</v>
      </c>
    </row>
    <row r="416" spans="1:11" ht="30">
      <c r="A416" s="1120">
        <v>410</v>
      </c>
      <c r="B416" s="1121" t="s">
        <v>9932</v>
      </c>
      <c r="C416" s="1122" t="s">
        <v>9933</v>
      </c>
      <c r="D416" s="1123" t="s">
        <v>9819</v>
      </c>
      <c r="E416" s="1124">
        <v>0</v>
      </c>
      <c r="F416" s="1124">
        <v>1438541.7</v>
      </c>
      <c r="G416" s="1124">
        <v>0</v>
      </c>
      <c r="H416" s="1124" t="e">
        <v>#REF!</v>
      </c>
      <c r="I416" s="1124" t="e">
        <v>#REF!</v>
      </c>
      <c r="J416" s="1124" t="e">
        <v>#REF!</v>
      </c>
      <c r="K416" s="1124" t="e">
        <v>#REF!</v>
      </c>
    </row>
    <row r="417" spans="1:11" ht="30">
      <c r="A417" s="1120">
        <v>411</v>
      </c>
      <c r="B417" s="1121" t="s">
        <v>9934</v>
      </c>
      <c r="C417" s="1122" t="s">
        <v>9935</v>
      </c>
      <c r="D417" s="1123" t="s">
        <v>9819</v>
      </c>
      <c r="E417" s="1124">
        <v>0</v>
      </c>
      <c r="F417" s="1124">
        <v>1754036.7</v>
      </c>
      <c r="G417" s="1124">
        <v>0</v>
      </c>
      <c r="H417" s="1124" t="e">
        <v>#REF!</v>
      </c>
      <c r="I417" s="1124" t="e">
        <v>#REF!</v>
      </c>
      <c r="J417" s="1124" t="e">
        <v>#REF!</v>
      </c>
      <c r="K417" s="1124" t="e">
        <v>#REF!</v>
      </c>
    </row>
    <row r="418" spans="1:11" ht="30">
      <c r="A418" s="1120">
        <v>412</v>
      </c>
      <c r="B418" s="1121" t="s">
        <v>9936</v>
      </c>
      <c r="C418" s="1122" t="s">
        <v>9937</v>
      </c>
      <c r="D418" s="1123" t="s">
        <v>9819</v>
      </c>
      <c r="E418" s="1124">
        <v>0</v>
      </c>
      <c r="F418" s="1124">
        <v>1843764.7</v>
      </c>
      <c r="G418" s="1124">
        <v>0</v>
      </c>
      <c r="H418" s="1124" t="e">
        <v>#REF!</v>
      </c>
      <c r="I418" s="1124" t="e">
        <v>#REF!</v>
      </c>
      <c r="J418" s="1124" t="e">
        <v>#REF!</v>
      </c>
      <c r="K418" s="1124" t="e">
        <v>#REF!</v>
      </c>
    </row>
    <row r="419" spans="1:11" ht="30">
      <c r="A419" s="1120">
        <v>413</v>
      </c>
      <c r="B419" s="1121" t="s">
        <v>9938</v>
      </c>
      <c r="C419" s="1122" t="s">
        <v>9939</v>
      </c>
      <c r="D419" s="1123" t="s">
        <v>9819</v>
      </c>
      <c r="E419" s="1124">
        <v>0</v>
      </c>
      <c r="F419" s="1124">
        <v>2121631.9</v>
      </c>
      <c r="G419" s="1124">
        <v>0</v>
      </c>
      <c r="H419" s="1124" t="e">
        <v>#REF!</v>
      </c>
      <c r="I419" s="1124" t="e">
        <v>#REF!</v>
      </c>
      <c r="J419" s="1124" t="e">
        <v>#REF!</v>
      </c>
      <c r="K419" s="1124" t="e">
        <v>#REF!</v>
      </c>
    </row>
    <row r="420" spans="1:11" ht="30">
      <c r="A420" s="1120">
        <v>414</v>
      </c>
      <c r="B420" s="1121" t="s">
        <v>9940</v>
      </c>
      <c r="C420" s="1122" t="s">
        <v>9941</v>
      </c>
      <c r="D420" s="1123" t="s">
        <v>9819</v>
      </c>
      <c r="E420" s="1124">
        <v>0</v>
      </c>
      <c r="F420" s="1124">
        <v>2332926.7000000002</v>
      </c>
      <c r="G420" s="1124">
        <v>0</v>
      </c>
      <c r="H420" s="1124" t="e">
        <v>#REF!</v>
      </c>
      <c r="I420" s="1124" t="e">
        <v>#REF!</v>
      </c>
      <c r="J420" s="1124" t="e">
        <v>#REF!</v>
      </c>
      <c r="K420" s="1124" t="e">
        <v>#REF!</v>
      </c>
    </row>
    <row r="421" spans="1:11" ht="30">
      <c r="A421" s="1120">
        <v>415</v>
      </c>
      <c r="B421" s="1121" t="s">
        <v>9942</v>
      </c>
      <c r="C421" s="1122" t="s">
        <v>9943</v>
      </c>
      <c r="D421" s="1123" t="s">
        <v>9819</v>
      </c>
      <c r="E421" s="1124">
        <v>0</v>
      </c>
      <c r="F421" s="1124">
        <v>2567377.2000000002</v>
      </c>
      <c r="G421" s="1124">
        <v>0</v>
      </c>
      <c r="H421" s="1124" t="e">
        <v>#REF!</v>
      </c>
      <c r="I421" s="1124" t="e">
        <v>#REF!</v>
      </c>
      <c r="J421" s="1124" t="e">
        <v>#REF!</v>
      </c>
      <c r="K421" s="1124" t="e">
        <v>#REF!</v>
      </c>
    </row>
    <row r="422" spans="1:11" ht="30">
      <c r="A422" s="1120">
        <v>416</v>
      </c>
      <c r="B422" s="1121" t="s">
        <v>9944</v>
      </c>
      <c r="C422" s="1122" t="s">
        <v>9945</v>
      </c>
      <c r="D422" s="1123" t="s">
        <v>9819</v>
      </c>
      <c r="E422" s="1124">
        <v>0</v>
      </c>
      <c r="F422" s="1124">
        <v>1331447</v>
      </c>
      <c r="G422" s="1124">
        <v>0</v>
      </c>
      <c r="H422" s="1124" t="e">
        <v>#REF!</v>
      </c>
      <c r="I422" s="1124" t="e">
        <v>#REF!</v>
      </c>
      <c r="J422" s="1124" t="e">
        <v>#REF!</v>
      </c>
      <c r="K422" s="1124" t="e">
        <v>#REF!</v>
      </c>
    </row>
    <row r="423" spans="1:11" ht="30">
      <c r="A423" s="1120">
        <v>417</v>
      </c>
      <c r="B423" s="1121" t="s">
        <v>9946</v>
      </c>
      <c r="C423" s="1122" t="s">
        <v>9947</v>
      </c>
      <c r="D423" s="1123" t="s">
        <v>9819</v>
      </c>
      <c r="E423" s="1124">
        <v>0</v>
      </c>
      <c r="F423" s="1124">
        <v>1395124.9</v>
      </c>
      <c r="G423" s="1124">
        <v>0</v>
      </c>
      <c r="H423" s="1124" t="e">
        <v>#REF!</v>
      </c>
      <c r="I423" s="1124" t="e">
        <v>#REF!</v>
      </c>
      <c r="J423" s="1124" t="e">
        <v>#REF!</v>
      </c>
      <c r="K423" s="1124" t="e">
        <v>#REF!</v>
      </c>
    </row>
    <row r="424" spans="1:11" ht="30">
      <c r="A424" s="1120">
        <v>418</v>
      </c>
      <c r="B424" s="1121" t="s">
        <v>9948</v>
      </c>
      <c r="C424" s="1122" t="s">
        <v>9949</v>
      </c>
      <c r="D424" s="1123" t="s">
        <v>9819</v>
      </c>
      <c r="E424" s="1124">
        <v>0</v>
      </c>
      <c r="F424" s="1124">
        <v>1487747.3</v>
      </c>
      <c r="G424" s="1124">
        <v>0</v>
      </c>
      <c r="H424" s="1124" t="e">
        <v>#REF!</v>
      </c>
      <c r="I424" s="1124" t="e">
        <v>#REF!</v>
      </c>
      <c r="J424" s="1124" t="e">
        <v>#REF!</v>
      </c>
      <c r="K424" s="1124" t="e">
        <v>#REF!</v>
      </c>
    </row>
    <row r="425" spans="1:11" ht="30">
      <c r="A425" s="1120">
        <v>419</v>
      </c>
      <c r="B425" s="1121" t="s">
        <v>9950</v>
      </c>
      <c r="C425" s="1122" t="s">
        <v>9951</v>
      </c>
      <c r="D425" s="1123" t="s">
        <v>9819</v>
      </c>
      <c r="E425" s="1124">
        <v>0</v>
      </c>
      <c r="F425" s="1124">
        <v>1667203.2</v>
      </c>
      <c r="G425" s="1124">
        <v>0</v>
      </c>
      <c r="H425" s="1124" t="e">
        <v>#REF!</v>
      </c>
      <c r="I425" s="1124" t="e">
        <v>#REF!</v>
      </c>
      <c r="J425" s="1124" t="e">
        <v>#REF!</v>
      </c>
      <c r="K425" s="1124" t="e">
        <v>#REF!</v>
      </c>
    </row>
    <row r="426" spans="1:11" ht="30">
      <c r="A426" s="1120">
        <v>420</v>
      </c>
      <c r="B426" s="1121" t="s">
        <v>9952</v>
      </c>
      <c r="C426" s="1122" t="s">
        <v>9953</v>
      </c>
      <c r="D426" s="1123" t="s">
        <v>9819</v>
      </c>
      <c r="E426" s="1124">
        <v>0</v>
      </c>
      <c r="F426" s="1124">
        <v>1840870.2</v>
      </c>
      <c r="G426" s="1124">
        <v>0</v>
      </c>
      <c r="H426" s="1124" t="e">
        <v>#REF!</v>
      </c>
      <c r="I426" s="1124" t="e">
        <v>#REF!</v>
      </c>
      <c r="J426" s="1124" t="e">
        <v>#REF!</v>
      </c>
      <c r="K426" s="1124" t="e">
        <v>#REF!</v>
      </c>
    </row>
    <row r="427" spans="1:11" ht="30">
      <c r="A427" s="1120">
        <v>421</v>
      </c>
      <c r="B427" s="1121" t="s">
        <v>9954</v>
      </c>
      <c r="C427" s="1122" t="s">
        <v>9955</v>
      </c>
      <c r="D427" s="1123" t="s">
        <v>9819</v>
      </c>
      <c r="E427" s="1124">
        <v>0</v>
      </c>
      <c r="F427" s="1124">
        <v>2136104.1</v>
      </c>
      <c r="G427" s="1124">
        <v>0</v>
      </c>
      <c r="H427" s="1124" t="e">
        <v>#REF!</v>
      </c>
      <c r="I427" s="1124" t="e">
        <v>#REF!</v>
      </c>
      <c r="J427" s="1124" t="e">
        <v>#REF!</v>
      </c>
      <c r="K427" s="1124" t="e">
        <v>#REF!</v>
      </c>
    </row>
    <row r="428" spans="1:11" ht="30">
      <c r="A428" s="1120">
        <v>422</v>
      </c>
      <c r="B428" s="1121" t="s">
        <v>9956</v>
      </c>
      <c r="C428" s="1122" t="s">
        <v>9957</v>
      </c>
      <c r="D428" s="1123" t="s">
        <v>9819</v>
      </c>
      <c r="E428" s="1124">
        <v>0</v>
      </c>
      <c r="F428" s="1124">
        <v>2468965.9</v>
      </c>
      <c r="G428" s="1124">
        <v>0</v>
      </c>
      <c r="H428" s="1124" t="e">
        <v>#REF!</v>
      </c>
      <c r="I428" s="1124" t="e">
        <v>#REF!</v>
      </c>
      <c r="J428" s="1124" t="e">
        <v>#REF!</v>
      </c>
      <c r="K428" s="1124" t="e">
        <v>#REF!</v>
      </c>
    </row>
    <row r="429" spans="1:11" ht="30">
      <c r="A429" s="1120">
        <v>423</v>
      </c>
      <c r="B429" s="1121" t="s">
        <v>9958</v>
      </c>
      <c r="C429" s="1122" t="s">
        <v>9959</v>
      </c>
      <c r="D429" s="1123" t="s">
        <v>9819</v>
      </c>
      <c r="E429" s="1124">
        <v>0</v>
      </c>
      <c r="F429" s="1124">
        <v>2703416.3</v>
      </c>
      <c r="G429" s="1124">
        <v>0</v>
      </c>
      <c r="H429" s="1124" t="e">
        <v>#REF!</v>
      </c>
      <c r="I429" s="1124" t="e">
        <v>#REF!</v>
      </c>
      <c r="J429" s="1124" t="e">
        <v>#REF!</v>
      </c>
      <c r="K429" s="1124" t="e">
        <v>#REF!</v>
      </c>
    </row>
    <row r="430" spans="1:11" ht="30">
      <c r="A430" s="1120">
        <v>424</v>
      </c>
      <c r="B430" s="1121" t="s">
        <v>9960</v>
      </c>
      <c r="C430" s="1122" t="s">
        <v>9961</v>
      </c>
      <c r="D430" s="1123" t="s">
        <v>9819</v>
      </c>
      <c r="E430" s="1124">
        <v>0</v>
      </c>
      <c r="F430" s="1124">
        <v>2972600.2</v>
      </c>
      <c r="G430" s="1124">
        <v>0</v>
      </c>
      <c r="H430" s="1124" t="e">
        <v>#REF!</v>
      </c>
      <c r="I430" s="1124" t="e">
        <v>#REF!</v>
      </c>
      <c r="J430" s="1124" t="e">
        <v>#REF!</v>
      </c>
      <c r="K430" s="1124" t="e">
        <v>#REF!</v>
      </c>
    </row>
    <row r="431" spans="1:11" ht="30">
      <c r="A431" s="1120">
        <v>425</v>
      </c>
      <c r="B431" s="1121" t="s">
        <v>9962</v>
      </c>
      <c r="C431" s="1122" t="s">
        <v>9963</v>
      </c>
      <c r="D431" s="1123" t="s">
        <v>9819</v>
      </c>
      <c r="E431" s="1124">
        <v>0</v>
      </c>
      <c r="F431" s="1124">
        <v>1513797.4</v>
      </c>
      <c r="G431" s="1124">
        <v>0</v>
      </c>
      <c r="H431" s="1124" t="e">
        <v>#REF!</v>
      </c>
      <c r="I431" s="1124" t="e">
        <v>#REF!</v>
      </c>
      <c r="J431" s="1124" t="e">
        <v>#REF!</v>
      </c>
      <c r="K431" s="1124" t="e">
        <v>#REF!</v>
      </c>
    </row>
    <row r="432" spans="1:11" ht="30">
      <c r="A432" s="1120">
        <v>426</v>
      </c>
      <c r="B432" s="1121" t="s">
        <v>9964</v>
      </c>
      <c r="C432" s="1122" t="s">
        <v>9965</v>
      </c>
      <c r="D432" s="1123" t="s">
        <v>9819</v>
      </c>
      <c r="E432" s="1124">
        <v>0</v>
      </c>
      <c r="F432" s="1124">
        <v>1586158.6</v>
      </c>
      <c r="G432" s="1124">
        <v>0</v>
      </c>
      <c r="H432" s="1124" t="e">
        <v>#REF!</v>
      </c>
      <c r="I432" s="1124" t="e">
        <v>#REF!</v>
      </c>
      <c r="J432" s="1124" t="e">
        <v>#REF!</v>
      </c>
      <c r="K432" s="1124" t="e">
        <v>#REF!</v>
      </c>
    </row>
    <row r="433" spans="1:11" ht="30">
      <c r="A433" s="1120">
        <v>427</v>
      </c>
      <c r="B433" s="1121" t="s">
        <v>9966</v>
      </c>
      <c r="C433" s="1122" t="s">
        <v>9967</v>
      </c>
      <c r="D433" s="1123" t="s">
        <v>9819</v>
      </c>
      <c r="E433" s="1124">
        <v>0</v>
      </c>
      <c r="F433" s="1124">
        <v>1699042.2</v>
      </c>
      <c r="G433" s="1124">
        <v>0</v>
      </c>
      <c r="H433" s="1124" t="e">
        <v>#REF!</v>
      </c>
      <c r="I433" s="1124" t="e">
        <v>#REF!</v>
      </c>
      <c r="J433" s="1124" t="e">
        <v>#REF!</v>
      </c>
      <c r="K433" s="1124" t="e">
        <v>#REF!</v>
      </c>
    </row>
    <row r="434" spans="1:11" ht="30">
      <c r="A434" s="1120">
        <v>428</v>
      </c>
      <c r="B434" s="1121" t="s">
        <v>9968</v>
      </c>
      <c r="C434" s="1122" t="s">
        <v>9969</v>
      </c>
      <c r="D434" s="1123" t="s">
        <v>9819</v>
      </c>
      <c r="E434" s="1124">
        <v>0</v>
      </c>
      <c r="F434" s="1124">
        <v>1895864.8</v>
      </c>
      <c r="G434" s="1124">
        <v>0</v>
      </c>
      <c r="H434" s="1124" t="e">
        <v>#REF!</v>
      </c>
      <c r="I434" s="1124" t="e">
        <v>#REF!</v>
      </c>
      <c r="J434" s="1124" t="e">
        <v>#REF!</v>
      </c>
      <c r="K434" s="1124" t="e">
        <v>#REF!</v>
      </c>
    </row>
    <row r="435" spans="1:11" ht="30">
      <c r="A435" s="1120">
        <v>429</v>
      </c>
      <c r="B435" s="1121" t="s">
        <v>9970</v>
      </c>
      <c r="C435" s="1122" t="s">
        <v>9971</v>
      </c>
      <c r="D435" s="1123" t="s">
        <v>9819</v>
      </c>
      <c r="E435" s="1124">
        <v>0</v>
      </c>
      <c r="F435" s="1124">
        <v>1927703.7</v>
      </c>
      <c r="G435" s="1124">
        <v>0</v>
      </c>
      <c r="H435" s="1124" t="e">
        <v>#REF!</v>
      </c>
      <c r="I435" s="1124" t="e">
        <v>#REF!</v>
      </c>
      <c r="J435" s="1124" t="e">
        <v>#REF!</v>
      </c>
      <c r="K435" s="1124" t="e">
        <v>#REF!</v>
      </c>
    </row>
    <row r="436" spans="1:11" ht="30">
      <c r="A436" s="1120">
        <v>430</v>
      </c>
      <c r="B436" s="1121" t="s">
        <v>9972</v>
      </c>
      <c r="C436" s="1122" t="s">
        <v>9973</v>
      </c>
      <c r="D436" s="1123" t="s">
        <v>9819</v>
      </c>
      <c r="E436" s="1124">
        <v>0</v>
      </c>
      <c r="F436" s="1124">
        <v>2428443.6</v>
      </c>
      <c r="G436" s="1124">
        <v>0</v>
      </c>
      <c r="H436" s="1124" t="e">
        <v>#REF!</v>
      </c>
      <c r="I436" s="1124" t="e">
        <v>#REF!</v>
      </c>
      <c r="J436" s="1124" t="e">
        <v>#REF!</v>
      </c>
      <c r="K436" s="1124" t="e">
        <v>#REF!</v>
      </c>
    </row>
    <row r="437" spans="1:11" ht="30">
      <c r="A437" s="1120">
        <v>431</v>
      </c>
      <c r="B437" s="1121" t="s">
        <v>9974</v>
      </c>
      <c r="C437" s="1122" t="s">
        <v>9975</v>
      </c>
      <c r="D437" s="1123" t="s">
        <v>9819</v>
      </c>
      <c r="E437" s="1124">
        <v>0</v>
      </c>
      <c r="F437" s="1124">
        <v>2793144.3</v>
      </c>
      <c r="G437" s="1124">
        <v>0</v>
      </c>
      <c r="H437" s="1124" t="e">
        <v>#REF!</v>
      </c>
      <c r="I437" s="1124" t="e">
        <v>#REF!</v>
      </c>
      <c r="J437" s="1124" t="e">
        <v>#REF!</v>
      </c>
      <c r="K437" s="1124" t="e">
        <v>#REF!</v>
      </c>
    </row>
    <row r="438" spans="1:11" ht="30">
      <c r="A438" s="1120">
        <v>432</v>
      </c>
      <c r="B438" s="1121" t="s">
        <v>9976</v>
      </c>
      <c r="C438" s="1122" t="s">
        <v>9977</v>
      </c>
      <c r="D438" s="1123" t="s">
        <v>9819</v>
      </c>
      <c r="E438" s="1124">
        <v>0</v>
      </c>
      <c r="F438" s="1124">
        <v>3073905.9</v>
      </c>
      <c r="G438" s="1124">
        <v>0</v>
      </c>
      <c r="H438" s="1124" t="e">
        <v>#REF!</v>
      </c>
      <c r="I438" s="1124" t="e">
        <v>#REF!</v>
      </c>
      <c r="J438" s="1124" t="e">
        <v>#REF!</v>
      </c>
      <c r="K438" s="1124" t="e">
        <v>#REF!</v>
      </c>
    </row>
    <row r="439" spans="1:11" ht="30">
      <c r="A439" s="1120">
        <v>433</v>
      </c>
      <c r="B439" s="1121" t="s">
        <v>9978</v>
      </c>
      <c r="C439" s="1122" t="s">
        <v>9979</v>
      </c>
      <c r="D439" s="1123" t="s">
        <v>9819</v>
      </c>
      <c r="E439" s="1124">
        <v>0</v>
      </c>
      <c r="F439" s="1124">
        <v>3377823.2</v>
      </c>
      <c r="G439" s="1124">
        <v>0</v>
      </c>
      <c r="H439" s="1124" t="e">
        <v>#REF!</v>
      </c>
      <c r="I439" s="1124" t="e">
        <v>#REF!</v>
      </c>
      <c r="J439" s="1124" t="e">
        <v>#REF!</v>
      </c>
      <c r="K439" s="1124" t="e">
        <v>#REF!</v>
      </c>
    </row>
    <row r="440" spans="1:11" ht="30">
      <c r="A440" s="1120">
        <v>434</v>
      </c>
      <c r="B440" s="1121" t="s">
        <v>9980</v>
      </c>
      <c r="C440" s="1122" t="s">
        <v>9981</v>
      </c>
      <c r="D440" s="1123" t="s">
        <v>9819</v>
      </c>
      <c r="E440" s="1124">
        <v>0</v>
      </c>
      <c r="F440" s="1124">
        <v>1878498.1</v>
      </c>
      <c r="G440" s="1124">
        <v>0</v>
      </c>
      <c r="H440" s="1124" t="e">
        <v>#REF!</v>
      </c>
      <c r="I440" s="1124" t="e">
        <v>#REF!</v>
      </c>
      <c r="J440" s="1124" t="e">
        <v>#REF!</v>
      </c>
      <c r="K440" s="1124" t="e">
        <v>#REF!</v>
      </c>
    </row>
    <row r="441" spans="1:11" ht="30">
      <c r="A441" s="1120">
        <v>435</v>
      </c>
      <c r="B441" s="1121" t="s">
        <v>9982</v>
      </c>
      <c r="C441" s="1122" t="s">
        <v>9983</v>
      </c>
      <c r="D441" s="1123" t="s">
        <v>9819</v>
      </c>
      <c r="E441" s="1124">
        <v>0</v>
      </c>
      <c r="F441" s="1124">
        <v>1968226</v>
      </c>
      <c r="G441" s="1124">
        <v>0</v>
      </c>
      <c r="H441" s="1124" t="e">
        <v>#REF!</v>
      </c>
      <c r="I441" s="1124" t="e">
        <v>#REF!</v>
      </c>
      <c r="J441" s="1124" t="e">
        <v>#REF!</v>
      </c>
      <c r="K441" s="1124" t="e">
        <v>#REF!</v>
      </c>
    </row>
    <row r="442" spans="1:11" ht="30">
      <c r="A442" s="1120">
        <v>436</v>
      </c>
      <c r="B442" s="1121" t="s">
        <v>9984</v>
      </c>
      <c r="C442" s="1122" t="s">
        <v>9985</v>
      </c>
      <c r="D442" s="1123" t="s">
        <v>9819</v>
      </c>
      <c r="E442" s="1124">
        <v>0</v>
      </c>
      <c r="F442" s="1124">
        <v>2095581.8</v>
      </c>
      <c r="G442" s="1124">
        <v>0</v>
      </c>
      <c r="H442" s="1124" t="e">
        <v>#REF!</v>
      </c>
      <c r="I442" s="1124" t="e">
        <v>#REF!</v>
      </c>
      <c r="J442" s="1124" t="e">
        <v>#REF!</v>
      </c>
      <c r="K442" s="1124" t="e">
        <v>#REF!</v>
      </c>
    </row>
    <row r="443" spans="1:11" ht="30">
      <c r="A443" s="1120">
        <v>437</v>
      </c>
      <c r="B443" s="1121" t="s">
        <v>9986</v>
      </c>
      <c r="C443" s="1122" t="s">
        <v>9987</v>
      </c>
      <c r="D443" s="1123" t="s">
        <v>9819</v>
      </c>
      <c r="E443" s="1124">
        <v>0</v>
      </c>
      <c r="F443" s="1124">
        <v>2356082.2999999998</v>
      </c>
      <c r="G443" s="1124">
        <v>0</v>
      </c>
      <c r="H443" s="1124" t="e">
        <v>#REF!</v>
      </c>
      <c r="I443" s="1124" t="e">
        <v>#REF!</v>
      </c>
      <c r="J443" s="1124" t="e">
        <v>#REF!</v>
      </c>
      <c r="K443" s="1124" t="e">
        <v>#REF!</v>
      </c>
    </row>
    <row r="444" spans="1:11" ht="30">
      <c r="A444" s="1120">
        <v>438</v>
      </c>
      <c r="B444" s="1121" t="s">
        <v>9988</v>
      </c>
      <c r="C444" s="1122" t="s">
        <v>9989</v>
      </c>
      <c r="D444" s="1123" t="s">
        <v>9819</v>
      </c>
      <c r="E444" s="1124">
        <v>0</v>
      </c>
      <c r="F444" s="1124">
        <v>2874188.9</v>
      </c>
      <c r="G444" s="1124">
        <v>0</v>
      </c>
      <c r="H444" s="1124" t="e">
        <v>#REF!</v>
      </c>
      <c r="I444" s="1124" t="e">
        <v>#REF!</v>
      </c>
      <c r="J444" s="1124" t="e">
        <v>#REF!</v>
      </c>
      <c r="K444" s="1124" t="e">
        <v>#REF!</v>
      </c>
    </row>
    <row r="445" spans="1:11" ht="30">
      <c r="A445" s="1120">
        <v>439</v>
      </c>
      <c r="B445" s="1121" t="s">
        <v>9990</v>
      </c>
      <c r="C445" s="1122" t="s">
        <v>9991</v>
      </c>
      <c r="D445" s="1123" t="s">
        <v>9819</v>
      </c>
      <c r="E445" s="1124">
        <v>0</v>
      </c>
      <c r="F445" s="1124">
        <v>3018911.4</v>
      </c>
      <c r="G445" s="1124">
        <v>0</v>
      </c>
      <c r="H445" s="1124" t="e">
        <v>#REF!</v>
      </c>
      <c r="I445" s="1124" t="e">
        <v>#REF!</v>
      </c>
      <c r="J445" s="1124" t="e">
        <v>#REF!</v>
      </c>
      <c r="K445" s="1124" t="e">
        <v>#REF!</v>
      </c>
    </row>
    <row r="446" spans="1:11" ht="30">
      <c r="A446" s="1120">
        <v>440</v>
      </c>
      <c r="B446" s="1121" t="s">
        <v>9992</v>
      </c>
      <c r="C446" s="1122" t="s">
        <v>9993</v>
      </c>
      <c r="D446" s="1123" t="s">
        <v>9819</v>
      </c>
      <c r="E446" s="1124">
        <v>0</v>
      </c>
      <c r="F446" s="1124">
        <v>3473340</v>
      </c>
      <c r="G446" s="1124">
        <v>0</v>
      </c>
      <c r="H446" s="1124" t="e">
        <v>#REF!</v>
      </c>
      <c r="I446" s="1124" t="e">
        <v>#REF!</v>
      </c>
      <c r="J446" s="1124" t="e">
        <v>#REF!</v>
      </c>
      <c r="K446" s="1124" t="e">
        <v>#REF!</v>
      </c>
    </row>
    <row r="447" spans="1:11" ht="30">
      <c r="A447" s="1120">
        <v>441</v>
      </c>
      <c r="B447" s="1121" t="s">
        <v>9994</v>
      </c>
      <c r="C447" s="1122" t="s">
        <v>9995</v>
      </c>
      <c r="D447" s="1123" t="s">
        <v>9819</v>
      </c>
      <c r="E447" s="1124">
        <v>0</v>
      </c>
      <c r="F447" s="1124">
        <v>3820674</v>
      </c>
      <c r="G447" s="1124">
        <v>0</v>
      </c>
      <c r="H447" s="1124" t="e">
        <v>#REF!</v>
      </c>
      <c r="I447" s="1124" t="e">
        <v>#REF!</v>
      </c>
      <c r="J447" s="1124" t="e">
        <v>#REF!</v>
      </c>
      <c r="K447" s="1124" t="e">
        <v>#REF!</v>
      </c>
    </row>
    <row r="448" spans="1:11" ht="30">
      <c r="A448" s="1120">
        <v>442</v>
      </c>
      <c r="B448" s="1121" t="s">
        <v>9996</v>
      </c>
      <c r="C448" s="1122" t="s">
        <v>9997</v>
      </c>
      <c r="D448" s="1123" t="s">
        <v>9819</v>
      </c>
      <c r="E448" s="1124">
        <v>0</v>
      </c>
      <c r="F448" s="1124">
        <v>4199847</v>
      </c>
      <c r="G448" s="1124">
        <v>0</v>
      </c>
      <c r="H448" s="1124" t="e">
        <v>#REF!</v>
      </c>
      <c r="I448" s="1124" t="e">
        <v>#REF!</v>
      </c>
      <c r="J448" s="1124" t="e">
        <v>#REF!</v>
      </c>
      <c r="K448" s="1124" t="e">
        <v>#REF!</v>
      </c>
    </row>
    <row r="449" spans="1:11" ht="30">
      <c r="A449" s="1120">
        <v>443</v>
      </c>
      <c r="B449" s="1121" t="s">
        <v>9998</v>
      </c>
      <c r="C449" s="1122" t="s">
        <v>9999</v>
      </c>
      <c r="D449" s="1123" t="s">
        <v>9819</v>
      </c>
      <c r="E449" s="1124">
        <v>0</v>
      </c>
      <c r="F449" s="1124">
        <v>2246093.2000000002</v>
      </c>
      <c r="G449" s="1124">
        <v>0</v>
      </c>
      <c r="H449" s="1124" t="e">
        <v>#REF!</v>
      </c>
      <c r="I449" s="1124" t="e">
        <v>#REF!</v>
      </c>
      <c r="J449" s="1124" t="e">
        <v>#REF!</v>
      </c>
      <c r="K449" s="1124" t="e">
        <v>#REF!</v>
      </c>
    </row>
    <row r="450" spans="1:11" ht="30">
      <c r="A450" s="1120">
        <v>444</v>
      </c>
      <c r="B450" s="1121" t="s">
        <v>10000</v>
      </c>
      <c r="C450" s="1122" t="s">
        <v>10001</v>
      </c>
      <c r="D450" s="1123" t="s">
        <v>9819</v>
      </c>
      <c r="E450" s="1124">
        <v>0</v>
      </c>
      <c r="F450" s="1124">
        <v>2356082.2999999998</v>
      </c>
      <c r="G450" s="1124">
        <v>0</v>
      </c>
      <c r="H450" s="1124" t="e">
        <v>#REF!</v>
      </c>
      <c r="I450" s="1124" t="e">
        <v>#REF!</v>
      </c>
      <c r="J450" s="1124" t="e">
        <v>#REF!</v>
      </c>
      <c r="K450" s="1124" t="e">
        <v>#REF!</v>
      </c>
    </row>
    <row r="451" spans="1:11" ht="30">
      <c r="A451" s="1120">
        <v>445</v>
      </c>
      <c r="B451" s="1121" t="s">
        <v>10002</v>
      </c>
      <c r="C451" s="1122" t="s">
        <v>10003</v>
      </c>
      <c r="D451" s="1123" t="s">
        <v>9819</v>
      </c>
      <c r="E451" s="1124">
        <v>0</v>
      </c>
      <c r="F451" s="1124">
        <v>2509488.2000000002</v>
      </c>
      <c r="G451" s="1124">
        <v>0</v>
      </c>
      <c r="H451" s="1124" t="e">
        <v>#REF!</v>
      </c>
      <c r="I451" s="1124" t="e">
        <v>#REF!</v>
      </c>
      <c r="J451" s="1124" t="e">
        <v>#REF!</v>
      </c>
      <c r="K451" s="1124" t="e">
        <v>#REF!</v>
      </c>
    </row>
    <row r="452" spans="1:11" ht="30">
      <c r="A452" s="1120">
        <v>446</v>
      </c>
      <c r="B452" s="1121" t="s">
        <v>10004</v>
      </c>
      <c r="C452" s="1122" t="s">
        <v>10005</v>
      </c>
      <c r="D452" s="1123" t="s">
        <v>9819</v>
      </c>
      <c r="E452" s="1124">
        <v>0</v>
      </c>
      <c r="F452" s="1124">
        <v>2813405.4</v>
      </c>
      <c r="G452" s="1124">
        <v>0</v>
      </c>
      <c r="H452" s="1124" t="e">
        <v>#REF!</v>
      </c>
      <c r="I452" s="1124" t="e">
        <v>#REF!</v>
      </c>
      <c r="J452" s="1124" t="e">
        <v>#REF!</v>
      </c>
      <c r="K452" s="1124" t="e">
        <v>#REF!</v>
      </c>
    </row>
    <row r="453" spans="1:11" ht="30">
      <c r="A453" s="1120">
        <v>447</v>
      </c>
      <c r="B453" s="1121" t="s">
        <v>10006</v>
      </c>
      <c r="C453" s="1122" t="s">
        <v>10007</v>
      </c>
      <c r="D453" s="1123" t="s">
        <v>9819</v>
      </c>
      <c r="E453" s="1124">
        <v>0</v>
      </c>
      <c r="F453" s="1124">
        <v>3429923.3</v>
      </c>
      <c r="G453" s="1124">
        <v>0</v>
      </c>
      <c r="H453" s="1124" t="e">
        <v>#REF!</v>
      </c>
      <c r="I453" s="1124" t="e">
        <v>#REF!</v>
      </c>
      <c r="J453" s="1124" t="e">
        <v>#REF!</v>
      </c>
      <c r="K453" s="1124" t="e">
        <v>#REF!</v>
      </c>
    </row>
    <row r="454" spans="1:11" ht="30">
      <c r="A454" s="1120">
        <v>448</v>
      </c>
      <c r="B454" s="1121" t="s">
        <v>10008</v>
      </c>
      <c r="C454" s="1122" t="s">
        <v>10009</v>
      </c>
      <c r="D454" s="1123" t="s">
        <v>9819</v>
      </c>
      <c r="E454" s="1124">
        <v>0</v>
      </c>
      <c r="F454" s="1124">
        <v>3609379.2</v>
      </c>
      <c r="G454" s="1124">
        <v>0</v>
      </c>
      <c r="H454" s="1124" t="e">
        <v>#REF!</v>
      </c>
      <c r="I454" s="1124" t="e">
        <v>#REF!</v>
      </c>
      <c r="J454" s="1124" t="e">
        <v>#REF!</v>
      </c>
      <c r="K454" s="1124" t="e">
        <v>#REF!</v>
      </c>
    </row>
    <row r="455" spans="1:11" ht="30">
      <c r="A455" s="1120">
        <v>449</v>
      </c>
      <c r="B455" s="1121" t="s">
        <v>10010</v>
      </c>
      <c r="C455" s="1122" t="s">
        <v>10011</v>
      </c>
      <c r="D455" s="1123" t="s">
        <v>9819</v>
      </c>
      <c r="E455" s="1124">
        <v>0</v>
      </c>
      <c r="F455" s="1124">
        <v>3785940.6</v>
      </c>
      <c r="G455" s="1124">
        <v>0</v>
      </c>
      <c r="H455" s="1124" t="e">
        <v>#REF!</v>
      </c>
      <c r="I455" s="1124" t="e">
        <v>#REF!</v>
      </c>
      <c r="J455" s="1124" t="e">
        <v>#REF!</v>
      </c>
      <c r="K455" s="1124" t="e">
        <v>#REF!</v>
      </c>
    </row>
    <row r="456" spans="1:11" ht="30">
      <c r="A456" s="1120">
        <v>450</v>
      </c>
      <c r="B456" s="1121" t="s">
        <v>10012</v>
      </c>
      <c r="C456" s="1122" t="s">
        <v>10013</v>
      </c>
      <c r="D456" s="1123" t="s">
        <v>9819</v>
      </c>
      <c r="E456" s="1124">
        <v>0</v>
      </c>
      <c r="F456" s="1124">
        <v>3974079.9</v>
      </c>
      <c r="G456" s="1124">
        <v>0</v>
      </c>
      <c r="H456" s="1124" t="e">
        <v>#REF!</v>
      </c>
      <c r="I456" s="1124" t="e">
        <v>#REF!</v>
      </c>
      <c r="J456" s="1124" t="e">
        <v>#REF!</v>
      </c>
      <c r="K456" s="1124" t="e">
        <v>#REF!</v>
      </c>
    </row>
    <row r="457" spans="1:11" ht="30">
      <c r="A457" s="1120">
        <v>451</v>
      </c>
      <c r="B457" s="1121" t="s">
        <v>10014</v>
      </c>
      <c r="C457" s="1122" t="s">
        <v>10015</v>
      </c>
      <c r="D457" s="1123" t="s">
        <v>9819</v>
      </c>
      <c r="E457" s="1124">
        <v>0</v>
      </c>
      <c r="F457" s="1124">
        <v>4567442.0999999996</v>
      </c>
      <c r="G457" s="1124">
        <v>0</v>
      </c>
      <c r="H457" s="1124" t="e">
        <v>#REF!</v>
      </c>
      <c r="I457" s="1124" t="e">
        <v>#REF!</v>
      </c>
      <c r="J457" s="1124" t="e">
        <v>#REF!</v>
      </c>
      <c r="K457" s="1124" t="e">
        <v>#REF!</v>
      </c>
    </row>
    <row r="458" spans="1:11" ht="30">
      <c r="A458" s="1120">
        <v>452</v>
      </c>
      <c r="B458" s="1121" t="s">
        <v>10016</v>
      </c>
      <c r="C458" s="1122" t="s">
        <v>10017</v>
      </c>
      <c r="D458" s="1123" t="s">
        <v>9819</v>
      </c>
      <c r="E458" s="1124">
        <v>0</v>
      </c>
      <c r="F458" s="1124">
        <v>2607899.5</v>
      </c>
      <c r="G458" s="1124">
        <v>0</v>
      </c>
      <c r="H458" s="1124" t="e">
        <v>#REF!</v>
      </c>
      <c r="I458" s="1124" t="e">
        <v>#REF!</v>
      </c>
      <c r="J458" s="1124" t="e">
        <v>#REF!</v>
      </c>
      <c r="K458" s="1124" t="e">
        <v>#REF!</v>
      </c>
    </row>
    <row r="459" spans="1:11" ht="30">
      <c r="A459" s="1120">
        <v>453</v>
      </c>
      <c r="B459" s="1121" t="s">
        <v>10018</v>
      </c>
      <c r="C459" s="1122" t="s">
        <v>10019</v>
      </c>
      <c r="D459" s="1123" t="s">
        <v>9819</v>
      </c>
      <c r="E459" s="1124">
        <v>0</v>
      </c>
      <c r="F459" s="1124">
        <v>2738149.7</v>
      </c>
      <c r="G459" s="1124">
        <v>0</v>
      </c>
      <c r="H459" s="1124" t="e">
        <v>#REF!</v>
      </c>
      <c r="I459" s="1124" t="e">
        <v>#REF!</v>
      </c>
      <c r="J459" s="1124" t="e">
        <v>#REF!</v>
      </c>
      <c r="K459" s="1124" t="e">
        <v>#REF!</v>
      </c>
    </row>
    <row r="460" spans="1:11" ht="30">
      <c r="A460" s="1120">
        <v>454</v>
      </c>
      <c r="B460" s="1121" t="s">
        <v>10020</v>
      </c>
      <c r="C460" s="1122" t="s">
        <v>10021</v>
      </c>
      <c r="D460" s="1123" t="s">
        <v>9819</v>
      </c>
      <c r="E460" s="1124">
        <v>0</v>
      </c>
      <c r="F460" s="1124">
        <v>2920500.1</v>
      </c>
      <c r="G460" s="1124">
        <v>0</v>
      </c>
      <c r="H460" s="1124" t="e">
        <v>#REF!</v>
      </c>
      <c r="I460" s="1124" t="e">
        <v>#REF!</v>
      </c>
      <c r="J460" s="1124" t="e">
        <v>#REF!</v>
      </c>
      <c r="K460" s="1124" t="e">
        <v>#REF!</v>
      </c>
    </row>
    <row r="461" spans="1:11" ht="30">
      <c r="A461" s="1120">
        <v>455</v>
      </c>
      <c r="B461" s="1121" t="s">
        <v>10022</v>
      </c>
      <c r="C461" s="1122" t="s">
        <v>10023</v>
      </c>
      <c r="D461" s="1123" t="s">
        <v>9819</v>
      </c>
      <c r="E461" s="1124">
        <v>0</v>
      </c>
      <c r="F461" s="1124">
        <v>3279411.9</v>
      </c>
      <c r="G461" s="1124">
        <v>0</v>
      </c>
      <c r="H461" s="1124" t="e">
        <v>#REF!</v>
      </c>
      <c r="I461" s="1124" t="e">
        <v>#REF!</v>
      </c>
      <c r="J461" s="1124" t="e">
        <v>#REF!</v>
      </c>
      <c r="K461" s="1124" t="e">
        <v>#REF!</v>
      </c>
    </row>
    <row r="462" spans="1:11" ht="30">
      <c r="A462" s="1120">
        <v>456</v>
      </c>
      <c r="B462" s="1121" t="s">
        <v>10024</v>
      </c>
      <c r="C462" s="1122" t="s">
        <v>10025</v>
      </c>
      <c r="D462" s="1123" t="s">
        <v>9819</v>
      </c>
      <c r="E462" s="1124">
        <v>0</v>
      </c>
      <c r="F462" s="1124">
        <v>3991446.6</v>
      </c>
      <c r="G462" s="1124">
        <v>0</v>
      </c>
      <c r="H462" s="1124" t="e">
        <v>#REF!</v>
      </c>
      <c r="I462" s="1124" t="e">
        <v>#REF!</v>
      </c>
      <c r="J462" s="1124" t="e">
        <v>#REF!</v>
      </c>
      <c r="K462" s="1124" t="e">
        <v>#REF!</v>
      </c>
    </row>
    <row r="463" spans="1:11" ht="30">
      <c r="A463" s="1120">
        <v>457</v>
      </c>
      <c r="B463" s="1121" t="s">
        <v>10026</v>
      </c>
      <c r="C463" s="1122" t="s">
        <v>10027</v>
      </c>
      <c r="D463" s="1123" t="s">
        <v>9819</v>
      </c>
      <c r="E463" s="1124">
        <v>0</v>
      </c>
      <c r="F463" s="1124">
        <v>4199847</v>
      </c>
      <c r="G463" s="1124">
        <v>0</v>
      </c>
      <c r="H463" s="1124" t="e">
        <v>#REF!</v>
      </c>
      <c r="I463" s="1124" t="e">
        <v>#REF!</v>
      </c>
      <c r="J463" s="1124" t="e">
        <v>#REF!</v>
      </c>
      <c r="K463" s="1124" t="e">
        <v>#REF!</v>
      </c>
    </row>
    <row r="464" spans="1:11" ht="30">
      <c r="A464" s="1120">
        <v>458</v>
      </c>
      <c r="B464" s="1121" t="s">
        <v>10028</v>
      </c>
      <c r="C464" s="1122" t="s">
        <v>10029</v>
      </c>
      <c r="D464" s="1123" t="s">
        <v>9819</v>
      </c>
      <c r="E464" s="1124">
        <v>0</v>
      </c>
      <c r="F464" s="1124">
        <v>4402458.5</v>
      </c>
      <c r="G464" s="1124">
        <v>0</v>
      </c>
      <c r="H464" s="1124" t="e">
        <v>#REF!</v>
      </c>
      <c r="I464" s="1124" t="e">
        <v>#REF!</v>
      </c>
      <c r="J464" s="1124" t="e">
        <v>#REF!</v>
      </c>
      <c r="K464" s="1124" t="e">
        <v>#REF!</v>
      </c>
    </row>
    <row r="465" spans="1:11" ht="30">
      <c r="A465" s="1120">
        <v>459</v>
      </c>
      <c r="B465" s="1121" t="s">
        <v>10030</v>
      </c>
      <c r="C465" s="1122" t="s">
        <v>10031</v>
      </c>
      <c r="D465" s="1123" t="s">
        <v>9819</v>
      </c>
      <c r="E465" s="1124">
        <v>0</v>
      </c>
      <c r="F465" s="1124">
        <v>4619542.2</v>
      </c>
      <c r="G465" s="1124">
        <v>0</v>
      </c>
      <c r="H465" s="1124" t="e">
        <v>#REF!</v>
      </c>
      <c r="I465" s="1124" t="e">
        <v>#REF!</v>
      </c>
      <c r="J465" s="1124" t="e">
        <v>#REF!</v>
      </c>
      <c r="K465" s="1124" t="e">
        <v>#REF!</v>
      </c>
    </row>
    <row r="466" spans="1:11" ht="30">
      <c r="A466" s="1120">
        <v>460</v>
      </c>
      <c r="B466" s="1121" t="s">
        <v>10032</v>
      </c>
      <c r="C466" s="1122" t="s">
        <v>10033</v>
      </c>
      <c r="D466" s="1123" t="s">
        <v>9819</v>
      </c>
      <c r="E466" s="1124">
        <v>0</v>
      </c>
      <c r="F466" s="1124">
        <v>5311315.8</v>
      </c>
      <c r="G466" s="1124">
        <v>0</v>
      </c>
      <c r="H466" s="1124" t="e">
        <v>#REF!</v>
      </c>
      <c r="I466" s="1124" t="e">
        <v>#REF!</v>
      </c>
      <c r="J466" s="1124" t="e">
        <v>#REF!</v>
      </c>
      <c r="K466" s="1124" t="e">
        <v>#REF!</v>
      </c>
    </row>
    <row r="467" spans="1:11" ht="30">
      <c r="A467" s="1120">
        <v>461</v>
      </c>
      <c r="B467" s="1121" t="s">
        <v>10034</v>
      </c>
      <c r="C467" s="1122" t="s">
        <v>10035</v>
      </c>
      <c r="D467" s="1123" t="s">
        <v>9819</v>
      </c>
      <c r="E467" s="1124">
        <v>0</v>
      </c>
      <c r="F467" s="1124">
        <v>2978389.1</v>
      </c>
      <c r="G467" s="1124">
        <v>0</v>
      </c>
      <c r="H467" s="1124" t="e">
        <v>#REF!</v>
      </c>
      <c r="I467" s="1124" t="e">
        <v>#REF!</v>
      </c>
      <c r="J467" s="1124" t="e">
        <v>#REF!</v>
      </c>
      <c r="K467" s="1124" t="e">
        <v>#REF!</v>
      </c>
    </row>
    <row r="468" spans="1:11" ht="30">
      <c r="A468" s="1120">
        <v>462</v>
      </c>
      <c r="B468" s="1121" t="s">
        <v>10036</v>
      </c>
      <c r="C468" s="1122" t="s">
        <v>10037</v>
      </c>
      <c r="D468" s="1123" t="s">
        <v>9819</v>
      </c>
      <c r="E468" s="1124">
        <v>0</v>
      </c>
      <c r="F468" s="1124">
        <v>3123111.6</v>
      </c>
      <c r="G468" s="1124">
        <v>0</v>
      </c>
      <c r="H468" s="1124" t="e">
        <v>#REF!</v>
      </c>
      <c r="I468" s="1124" t="e">
        <v>#REF!</v>
      </c>
      <c r="J468" s="1124" t="e">
        <v>#REF!</v>
      </c>
      <c r="K468" s="1124" t="e">
        <v>#REF!</v>
      </c>
    </row>
    <row r="469" spans="1:11" ht="30">
      <c r="A469" s="1120">
        <v>463</v>
      </c>
      <c r="B469" s="1121" t="s">
        <v>10038</v>
      </c>
      <c r="C469" s="1122" t="s">
        <v>10039</v>
      </c>
      <c r="D469" s="1123" t="s">
        <v>9819</v>
      </c>
      <c r="E469" s="1124">
        <v>0</v>
      </c>
      <c r="F469" s="1124">
        <v>3328617.5</v>
      </c>
      <c r="G469" s="1124">
        <v>0</v>
      </c>
      <c r="H469" s="1124" t="e">
        <v>#REF!</v>
      </c>
      <c r="I469" s="1124" t="e">
        <v>#REF!</v>
      </c>
      <c r="J469" s="1124" t="e">
        <v>#REF!</v>
      </c>
      <c r="K469" s="1124" t="e">
        <v>#REF!</v>
      </c>
    </row>
    <row r="470" spans="1:11" ht="30">
      <c r="A470" s="1120">
        <v>464</v>
      </c>
      <c r="B470" s="1121" t="s">
        <v>10040</v>
      </c>
      <c r="C470" s="1122" t="s">
        <v>10041</v>
      </c>
      <c r="D470" s="1123" t="s">
        <v>9819</v>
      </c>
      <c r="E470" s="1124">
        <v>0</v>
      </c>
      <c r="F470" s="1124">
        <v>3739629.4</v>
      </c>
      <c r="G470" s="1124">
        <v>0</v>
      </c>
      <c r="H470" s="1124" t="e">
        <v>#REF!</v>
      </c>
      <c r="I470" s="1124" t="e">
        <v>#REF!</v>
      </c>
      <c r="J470" s="1124" t="e">
        <v>#REF!</v>
      </c>
      <c r="K470" s="1124" t="e">
        <v>#REF!</v>
      </c>
    </row>
    <row r="471" spans="1:11" ht="30">
      <c r="A471" s="1120">
        <v>465</v>
      </c>
      <c r="B471" s="1121" t="s">
        <v>10042</v>
      </c>
      <c r="C471" s="1122" t="s">
        <v>10043</v>
      </c>
      <c r="D471" s="1123" t="s">
        <v>9819</v>
      </c>
      <c r="E471" s="1124">
        <v>0</v>
      </c>
      <c r="F471" s="1124">
        <v>4555864.3</v>
      </c>
      <c r="G471" s="1124">
        <v>0</v>
      </c>
      <c r="H471" s="1124" t="e">
        <v>#REF!</v>
      </c>
      <c r="I471" s="1124" t="e">
        <v>#REF!</v>
      </c>
      <c r="J471" s="1124" t="e">
        <v>#REF!</v>
      </c>
      <c r="K471" s="1124" t="e">
        <v>#REF!</v>
      </c>
    </row>
    <row r="472" spans="1:11" ht="30">
      <c r="A472" s="1120">
        <v>466</v>
      </c>
      <c r="B472" s="1121" t="s">
        <v>10044</v>
      </c>
      <c r="C472" s="1122" t="s">
        <v>10045</v>
      </c>
      <c r="D472" s="1123" t="s">
        <v>9819</v>
      </c>
      <c r="E472" s="1124">
        <v>0</v>
      </c>
      <c r="F472" s="1124">
        <v>4790314.8</v>
      </c>
      <c r="G472" s="1124">
        <v>0</v>
      </c>
      <c r="H472" s="1124" t="e">
        <v>#REF!</v>
      </c>
      <c r="I472" s="1124" t="e">
        <v>#REF!</v>
      </c>
      <c r="J472" s="1124" t="e">
        <v>#REF!</v>
      </c>
      <c r="K472" s="1124" t="e">
        <v>#REF!</v>
      </c>
    </row>
    <row r="473" spans="1:11" ht="30">
      <c r="A473" s="1120">
        <v>467</v>
      </c>
      <c r="B473" s="1121" t="s">
        <v>10046</v>
      </c>
      <c r="C473" s="1122" t="s">
        <v>10047</v>
      </c>
      <c r="D473" s="1123" t="s">
        <v>9819</v>
      </c>
      <c r="E473" s="1124">
        <v>0</v>
      </c>
      <c r="F473" s="1124">
        <v>5021870.8</v>
      </c>
      <c r="G473" s="1124">
        <v>0</v>
      </c>
      <c r="H473" s="1124" t="e">
        <v>#REF!</v>
      </c>
      <c r="I473" s="1124" t="e">
        <v>#REF!</v>
      </c>
      <c r="J473" s="1124" t="e">
        <v>#REF!</v>
      </c>
      <c r="K473" s="1124" t="e">
        <v>#REF!</v>
      </c>
    </row>
    <row r="474" spans="1:11" ht="30">
      <c r="A474" s="1120">
        <v>468</v>
      </c>
      <c r="B474" s="1121" t="s">
        <v>10048</v>
      </c>
      <c r="C474" s="1122" t="s">
        <v>10049</v>
      </c>
      <c r="D474" s="1123" t="s">
        <v>9819</v>
      </c>
      <c r="E474" s="1124">
        <v>0</v>
      </c>
      <c r="F474" s="1124">
        <v>5273687.9000000004</v>
      </c>
      <c r="G474" s="1124">
        <v>0</v>
      </c>
      <c r="H474" s="1124" t="e">
        <v>#REF!</v>
      </c>
      <c r="I474" s="1124" t="e">
        <v>#REF!</v>
      </c>
      <c r="J474" s="1124" t="e">
        <v>#REF!</v>
      </c>
      <c r="K474" s="1124" t="e">
        <v>#REF!</v>
      </c>
    </row>
    <row r="475" spans="1:11" ht="30">
      <c r="A475" s="1120">
        <v>469</v>
      </c>
      <c r="B475" s="1121" t="s">
        <v>10050</v>
      </c>
      <c r="C475" s="1122" t="s">
        <v>10051</v>
      </c>
      <c r="D475" s="1123" t="s">
        <v>9819</v>
      </c>
      <c r="E475" s="1124">
        <v>0</v>
      </c>
      <c r="F475" s="1124">
        <v>6066767.2000000002</v>
      </c>
      <c r="G475" s="1124">
        <v>0</v>
      </c>
      <c r="H475" s="1124" t="e">
        <v>#REF!</v>
      </c>
      <c r="I475" s="1124" t="e">
        <v>#REF!</v>
      </c>
      <c r="J475" s="1124" t="e">
        <v>#REF!</v>
      </c>
      <c r="K475" s="1124" t="e">
        <v>#REF!</v>
      </c>
    </row>
    <row r="476" spans="1:11" ht="30">
      <c r="A476" s="1120">
        <v>470</v>
      </c>
      <c r="B476" s="1121" t="s">
        <v>10052</v>
      </c>
      <c r="C476" s="1122" t="s">
        <v>10053</v>
      </c>
      <c r="D476" s="1123" t="s">
        <v>9819</v>
      </c>
      <c r="E476" s="1124">
        <v>0</v>
      </c>
      <c r="F476" s="1124">
        <v>3345984.2</v>
      </c>
      <c r="G476" s="1124">
        <v>0</v>
      </c>
      <c r="H476" s="1124" t="e">
        <v>#REF!</v>
      </c>
      <c r="I476" s="1124" t="e">
        <v>#REF!</v>
      </c>
      <c r="J476" s="1124" t="e">
        <v>#REF!</v>
      </c>
      <c r="K476" s="1124" t="e">
        <v>#REF!</v>
      </c>
    </row>
    <row r="477" spans="1:11" ht="30">
      <c r="A477" s="1120">
        <v>471</v>
      </c>
      <c r="B477" s="1121" t="s">
        <v>10054</v>
      </c>
      <c r="C477" s="1122" t="s">
        <v>10055</v>
      </c>
      <c r="D477" s="1123" t="s">
        <v>9819</v>
      </c>
      <c r="E477" s="1124">
        <v>0</v>
      </c>
      <c r="F477" s="1124">
        <v>3510967.9</v>
      </c>
      <c r="G477" s="1124">
        <v>0</v>
      </c>
      <c r="H477" s="1124" t="e">
        <v>#REF!</v>
      </c>
      <c r="I477" s="1124" t="e">
        <v>#REF!</v>
      </c>
      <c r="J477" s="1124" t="e">
        <v>#REF!</v>
      </c>
      <c r="K477" s="1124" t="e">
        <v>#REF!</v>
      </c>
    </row>
    <row r="478" spans="1:11" ht="30">
      <c r="A478" s="1120">
        <v>472</v>
      </c>
      <c r="B478" s="1121" t="s">
        <v>10056</v>
      </c>
      <c r="C478" s="1122" t="s">
        <v>10057</v>
      </c>
      <c r="D478" s="1123" t="s">
        <v>9819</v>
      </c>
      <c r="E478" s="1124">
        <v>0</v>
      </c>
      <c r="F478" s="1124">
        <v>3739629.4</v>
      </c>
      <c r="G478" s="1124">
        <v>0</v>
      </c>
      <c r="H478" s="1124" t="e">
        <v>#REF!</v>
      </c>
      <c r="I478" s="1124" t="e">
        <v>#REF!</v>
      </c>
      <c r="J478" s="1124" t="e">
        <v>#REF!</v>
      </c>
      <c r="K478" s="1124" t="e">
        <v>#REF!</v>
      </c>
    </row>
    <row r="479" spans="1:11" ht="30">
      <c r="A479" s="1120">
        <v>473</v>
      </c>
      <c r="B479" s="1121" t="s">
        <v>10058</v>
      </c>
      <c r="C479" s="1122" t="s">
        <v>10059</v>
      </c>
      <c r="D479" s="1123" t="s">
        <v>9819</v>
      </c>
      <c r="E479" s="1124">
        <v>0</v>
      </c>
      <c r="F479" s="1124">
        <v>3968291</v>
      </c>
      <c r="G479" s="1124">
        <v>0</v>
      </c>
      <c r="H479" s="1124" t="e">
        <v>#REF!</v>
      </c>
      <c r="I479" s="1124" t="e">
        <v>#REF!</v>
      </c>
      <c r="J479" s="1124" t="e">
        <v>#REF!</v>
      </c>
      <c r="K479" s="1124" t="e">
        <v>#REF!</v>
      </c>
    </row>
    <row r="480" spans="1:11" ht="30">
      <c r="A480" s="1120">
        <v>474</v>
      </c>
      <c r="B480" s="1121" t="s">
        <v>10060</v>
      </c>
      <c r="C480" s="1122" t="s">
        <v>10061</v>
      </c>
      <c r="D480" s="1123" t="s">
        <v>9819</v>
      </c>
      <c r="E480" s="1124">
        <v>0</v>
      </c>
      <c r="F480" s="1124">
        <v>5114493.2</v>
      </c>
      <c r="G480" s="1124">
        <v>0</v>
      </c>
      <c r="H480" s="1124" t="e">
        <v>#REF!</v>
      </c>
      <c r="I480" s="1124" t="e">
        <v>#REF!</v>
      </c>
      <c r="J480" s="1124" t="e">
        <v>#REF!</v>
      </c>
      <c r="K480" s="1124" t="e">
        <v>#REF!</v>
      </c>
    </row>
    <row r="481" spans="1:11" ht="30">
      <c r="A481" s="1120">
        <v>475</v>
      </c>
      <c r="B481" s="1121" t="s">
        <v>10062</v>
      </c>
      <c r="C481" s="1122" t="s">
        <v>10063</v>
      </c>
      <c r="D481" s="1123" t="s">
        <v>9819</v>
      </c>
      <c r="E481" s="1124">
        <v>0</v>
      </c>
      <c r="F481" s="1124">
        <v>5346049.2</v>
      </c>
      <c r="G481" s="1124">
        <v>0</v>
      </c>
      <c r="H481" s="1124" t="e">
        <v>#REF!</v>
      </c>
      <c r="I481" s="1124" t="e">
        <v>#REF!</v>
      </c>
      <c r="J481" s="1124" t="e">
        <v>#REF!</v>
      </c>
      <c r="K481" s="1124" t="e">
        <v>#REF!</v>
      </c>
    </row>
    <row r="482" spans="1:11" ht="30">
      <c r="A482" s="1120">
        <v>476</v>
      </c>
      <c r="B482" s="1121" t="s">
        <v>10064</v>
      </c>
      <c r="C482" s="1122" t="s">
        <v>10065</v>
      </c>
      <c r="D482" s="1123" t="s">
        <v>9819</v>
      </c>
      <c r="E482" s="1124">
        <v>0</v>
      </c>
      <c r="F482" s="1124">
        <v>5641283.0999999996</v>
      </c>
      <c r="G482" s="1124">
        <v>0</v>
      </c>
      <c r="H482" s="1124" t="e">
        <v>#REF!</v>
      </c>
      <c r="I482" s="1124" t="e">
        <v>#REF!</v>
      </c>
      <c r="J482" s="1124" t="e">
        <v>#REF!</v>
      </c>
      <c r="K482" s="1124" t="e">
        <v>#REF!</v>
      </c>
    </row>
    <row r="483" spans="1:11" ht="30">
      <c r="A483" s="1120">
        <v>477</v>
      </c>
      <c r="B483" s="1121" t="s">
        <v>10066</v>
      </c>
      <c r="C483" s="1122" t="s">
        <v>10067</v>
      </c>
      <c r="D483" s="1123" t="s">
        <v>9819</v>
      </c>
      <c r="E483" s="1124">
        <v>0</v>
      </c>
      <c r="F483" s="1124">
        <v>5924939.2000000002</v>
      </c>
      <c r="G483" s="1124">
        <v>0</v>
      </c>
      <c r="H483" s="1124" t="e">
        <v>#REF!</v>
      </c>
      <c r="I483" s="1124" t="e">
        <v>#REF!</v>
      </c>
      <c r="J483" s="1124" t="e">
        <v>#REF!</v>
      </c>
      <c r="K483" s="1124" t="e">
        <v>#REF!</v>
      </c>
    </row>
    <row r="484" spans="1:11" ht="30">
      <c r="A484" s="1120">
        <v>478</v>
      </c>
      <c r="B484" s="1121" t="s">
        <v>10068</v>
      </c>
      <c r="C484" s="1122" t="s">
        <v>10069</v>
      </c>
      <c r="D484" s="1123" t="s">
        <v>9819</v>
      </c>
      <c r="E484" s="1124">
        <v>0</v>
      </c>
      <c r="F484" s="1124">
        <v>6813535.2999999998</v>
      </c>
      <c r="G484" s="1124">
        <v>0</v>
      </c>
      <c r="H484" s="1124" t="e">
        <v>#REF!</v>
      </c>
      <c r="I484" s="1124" t="e">
        <v>#REF!</v>
      </c>
      <c r="J484" s="1124" t="e">
        <v>#REF!</v>
      </c>
      <c r="K484" s="1124" t="e">
        <v>#REF!</v>
      </c>
    </row>
    <row r="485" spans="1:11" ht="30">
      <c r="A485" s="1120">
        <v>479</v>
      </c>
      <c r="B485" s="1121" t="s">
        <v>10070</v>
      </c>
      <c r="C485" s="1122" t="s">
        <v>10071</v>
      </c>
      <c r="D485" s="1123" t="s">
        <v>9819</v>
      </c>
      <c r="E485" s="1124">
        <v>0</v>
      </c>
      <c r="F485" s="1124">
        <v>3707790.5</v>
      </c>
      <c r="G485" s="1124">
        <v>0</v>
      </c>
      <c r="H485" s="1124" t="e">
        <v>#REF!</v>
      </c>
      <c r="I485" s="1124" t="e">
        <v>#REF!</v>
      </c>
      <c r="J485" s="1124" t="e">
        <v>#REF!</v>
      </c>
      <c r="K485" s="1124" t="e">
        <v>#REF!</v>
      </c>
    </row>
    <row r="486" spans="1:11" ht="30">
      <c r="A486" s="1120">
        <v>480</v>
      </c>
      <c r="B486" s="1121" t="s">
        <v>10072</v>
      </c>
      <c r="C486" s="1122" t="s">
        <v>10073</v>
      </c>
      <c r="D486" s="1123" t="s">
        <v>9819</v>
      </c>
      <c r="E486" s="1124">
        <v>0</v>
      </c>
      <c r="F486" s="1124">
        <v>3893035.3</v>
      </c>
      <c r="G486" s="1124">
        <v>0</v>
      </c>
      <c r="H486" s="1124" t="e">
        <v>#REF!</v>
      </c>
      <c r="I486" s="1124" t="e">
        <v>#REF!</v>
      </c>
      <c r="J486" s="1124" t="e">
        <v>#REF!</v>
      </c>
      <c r="K486" s="1124" t="e">
        <v>#REF!</v>
      </c>
    </row>
    <row r="487" spans="1:11" ht="30">
      <c r="A487" s="1120">
        <v>481</v>
      </c>
      <c r="B487" s="1121" t="s">
        <v>10074</v>
      </c>
      <c r="C487" s="1122" t="s">
        <v>10075</v>
      </c>
      <c r="D487" s="1123" t="s">
        <v>9819</v>
      </c>
      <c r="E487" s="1124">
        <v>0</v>
      </c>
      <c r="F487" s="1124">
        <v>4144852.4</v>
      </c>
      <c r="G487" s="1124">
        <v>0</v>
      </c>
      <c r="H487" s="1124" t="e">
        <v>#REF!</v>
      </c>
      <c r="I487" s="1124" t="e">
        <v>#REF!</v>
      </c>
      <c r="J487" s="1124" t="e">
        <v>#REF!</v>
      </c>
      <c r="K487" s="1124" t="e">
        <v>#REF!</v>
      </c>
    </row>
    <row r="488" spans="1:11" ht="30">
      <c r="A488" s="1120">
        <v>482</v>
      </c>
      <c r="B488" s="1121" t="s">
        <v>10076</v>
      </c>
      <c r="C488" s="1122" t="s">
        <v>10077</v>
      </c>
      <c r="D488" s="1123" t="s">
        <v>9819</v>
      </c>
      <c r="E488" s="1124">
        <v>0</v>
      </c>
      <c r="F488" s="1124">
        <v>4657170.0999999996</v>
      </c>
      <c r="G488" s="1124">
        <v>0</v>
      </c>
      <c r="H488" s="1124" t="e">
        <v>#REF!</v>
      </c>
      <c r="I488" s="1124" t="e">
        <v>#REF!</v>
      </c>
      <c r="J488" s="1124" t="e">
        <v>#REF!</v>
      </c>
      <c r="K488" s="1124" t="e">
        <v>#REF!</v>
      </c>
    </row>
    <row r="489" spans="1:11" ht="30">
      <c r="A489" s="1120">
        <v>483</v>
      </c>
      <c r="B489" s="1121" t="s">
        <v>10078</v>
      </c>
      <c r="C489" s="1122" t="s">
        <v>10079</v>
      </c>
      <c r="D489" s="1123" t="s">
        <v>9819</v>
      </c>
      <c r="E489" s="1124">
        <v>0</v>
      </c>
      <c r="F489" s="1124">
        <v>5676016.5</v>
      </c>
      <c r="G489" s="1124">
        <v>0</v>
      </c>
      <c r="H489" s="1124" t="e">
        <v>#REF!</v>
      </c>
      <c r="I489" s="1124" t="e">
        <v>#REF!</v>
      </c>
      <c r="J489" s="1124" t="e">
        <v>#REF!</v>
      </c>
      <c r="K489" s="1124" t="e">
        <v>#REF!</v>
      </c>
    </row>
    <row r="490" spans="1:11" ht="30">
      <c r="A490" s="1120">
        <v>484</v>
      </c>
      <c r="B490" s="1121" t="s">
        <v>10080</v>
      </c>
      <c r="C490" s="1122" t="s">
        <v>10081</v>
      </c>
      <c r="D490" s="1123" t="s">
        <v>9819</v>
      </c>
      <c r="E490" s="1124">
        <v>0</v>
      </c>
      <c r="F490" s="1124">
        <v>5945200.2999999998</v>
      </c>
      <c r="G490" s="1124">
        <v>0</v>
      </c>
      <c r="H490" s="1124" t="e">
        <v>#REF!</v>
      </c>
      <c r="I490" s="1124" t="e">
        <v>#REF!</v>
      </c>
      <c r="J490" s="1124" t="e">
        <v>#REF!</v>
      </c>
      <c r="K490" s="1124" t="e">
        <v>#REF!</v>
      </c>
    </row>
    <row r="491" spans="1:11" ht="30">
      <c r="A491" s="1120">
        <v>485</v>
      </c>
      <c r="B491" s="1121" t="s">
        <v>10082</v>
      </c>
      <c r="C491" s="1122" t="s">
        <v>10083</v>
      </c>
      <c r="D491" s="1123" t="s">
        <v>9819</v>
      </c>
      <c r="E491" s="1124">
        <v>0</v>
      </c>
      <c r="F491" s="1124">
        <v>6257800.9000000004</v>
      </c>
      <c r="G491" s="1124">
        <v>0</v>
      </c>
      <c r="H491" s="1124" t="e">
        <v>#REF!</v>
      </c>
      <c r="I491" s="1124" t="e">
        <v>#REF!</v>
      </c>
      <c r="J491" s="1124" t="e">
        <v>#REF!</v>
      </c>
      <c r="K491" s="1124" t="e">
        <v>#REF!</v>
      </c>
    </row>
    <row r="492" spans="1:11" ht="30">
      <c r="A492" s="1120">
        <v>486</v>
      </c>
      <c r="B492" s="1121" t="s">
        <v>10084</v>
      </c>
      <c r="C492" s="1122" t="s">
        <v>10085</v>
      </c>
      <c r="D492" s="1123" t="s">
        <v>9819</v>
      </c>
      <c r="E492" s="1124">
        <v>0</v>
      </c>
      <c r="F492" s="1124">
        <v>6388051.2000000002</v>
      </c>
      <c r="G492" s="1124">
        <v>0</v>
      </c>
      <c r="H492" s="1124" t="e">
        <v>#REF!</v>
      </c>
      <c r="I492" s="1124" t="e">
        <v>#REF!</v>
      </c>
      <c r="J492" s="1124" t="e">
        <v>#REF!</v>
      </c>
      <c r="K492" s="1124" t="e">
        <v>#REF!</v>
      </c>
    </row>
    <row r="493" spans="1:11" ht="30">
      <c r="A493" s="1120">
        <v>487</v>
      </c>
      <c r="B493" s="1121" t="s">
        <v>10086</v>
      </c>
      <c r="C493" s="1122" t="s">
        <v>10087</v>
      </c>
      <c r="D493" s="1123" t="s">
        <v>9819</v>
      </c>
      <c r="E493" s="1124">
        <v>0</v>
      </c>
      <c r="F493" s="1124">
        <v>7554514.5</v>
      </c>
      <c r="G493" s="1124">
        <v>0</v>
      </c>
      <c r="H493" s="1124" t="e">
        <v>#REF!</v>
      </c>
      <c r="I493" s="1124" t="e">
        <v>#REF!</v>
      </c>
      <c r="J493" s="1124" t="e">
        <v>#REF!</v>
      </c>
      <c r="K493" s="1124" t="e">
        <v>#REF!</v>
      </c>
    </row>
    <row r="494" spans="1:11" ht="30">
      <c r="A494" s="1120">
        <v>488</v>
      </c>
      <c r="B494" s="1121" t="s">
        <v>10088</v>
      </c>
      <c r="C494" s="1122" t="s">
        <v>10089</v>
      </c>
      <c r="D494" s="1123" t="s">
        <v>9819</v>
      </c>
      <c r="E494" s="1124">
        <v>0</v>
      </c>
      <c r="F494" s="1124">
        <v>4081174.5</v>
      </c>
      <c r="G494" s="1124">
        <v>0</v>
      </c>
      <c r="H494" s="1124" t="e">
        <v>#REF!</v>
      </c>
      <c r="I494" s="1124" t="e">
        <v>#REF!</v>
      </c>
      <c r="J494" s="1124" t="e">
        <v>#REF!</v>
      </c>
      <c r="K494" s="1124" t="e">
        <v>#REF!</v>
      </c>
    </row>
    <row r="495" spans="1:11" ht="30">
      <c r="A495" s="1120">
        <v>489</v>
      </c>
      <c r="B495" s="1121" t="s">
        <v>10090</v>
      </c>
      <c r="C495" s="1122" t="s">
        <v>10091</v>
      </c>
      <c r="D495" s="1123" t="s">
        <v>9819</v>
      </c>
      <c r="E495" s="1124">
        <v>0</v>
      </c>
      <c r="F495" s="1124">
        <v>4280891.5999999996</v>
      </c>
      <c r="G495" s="1124">
        <v>0</v>
      </c>
      <c r="H495" s="1124" t="e">
        <v>#REF!</v>
      </c>
      <c r="I495" s="1124" t="e">
        <v>#REF!</v>
      </c>
      <c r="J495" s="1124" t="e">
        <v>#REF!</v>
      </c>
      <c r="K495" s="1124" t="e">
        <v>#REF!</v>
      </c>
    </row>
    <row r="496" spans="1:11" ht="30">
      <c r="A496" s="1120">
        <v>490</v>
      </c>
      <c r="B496" s="1121" t="s">
        <v>10092</v>
      </c>
      <c r="C496" s="1122" t="s">
        <v>10093</v>
      </c>
      <c r="D496" s="1123" t="s">
        <v>9819</v>
      </c>
      <c r="E496" s="1124">
        <v>0</v>
      </c>
      <c r="F496" s="1124">
        <v>4966876.2</v>
      </c>
      <c r="G496" s="1124">
        <v>0</v>
      </c>
      <c r="H496" s="1124" t="e">
        <v>#REF!</v>
      </c>
      <c r="I496" s="1124" t="e">
        <v>#REF!</v>
      </c>
      <c r="J496" s="1124" t="e">
        <v>#REF!</v>
      </c>
      <c r="K496" s="1124" t="e">
        <v>#REF!</v>
      </c>
    </row>
    <row r="497" spans="1:11" ht="30">
      <c r="A497" s="1120">
        <v>491</v>
      </c>
      <c r="B497" s="1121" t="s">
        <v>10094</v>
      </c>
      <c r="C497" s="1122" t="s">
        <v>10095</v>
      </c>
      <c r="D497" s="1123" t="s">
        <v>9819</v>
      </c>
      <c r="E497" s="1124">
        <v>0</v>
      </c>
      <c r="F497" s="1124">
        <v>5577605.2000000002</v>
      </c>
      <c r="G497" s="1124">
        <v>0</v>
      </c>
      <c r="H497" s="1124" t="e">
        <v>#REF!</v>
      </c>
      <c r="I497" s="1124" t="e">
        <v>#REF!</v>
      </c>
      <c r="J497" s="1124" t="e">
        <v>#REF!</v>
      </c>
      <c r="K497" s="1124" t="e">
        <v>#REF!</v>
      </c>
    </row>
    <row r="498" spans="1:11" ht="30">
      <c r="A498" s="1120">
        <v>492</v>
      </c>
      <c r="B498" s="1121" t="s">
        <v>10096</v>
      </c>
      <c r="C498" s="1122" t="s">
        <v>10097</v>
      </c>
      <c r="D498" s="1123" t="s">
        <v>9819</v>
      </c>
      <c r="E498" s="1124">
        <v>0</v>
      </c>
      <c r="F498" s="1124">
        <v>6796168.5999999996</v>
      </c>
      <c r="G498" s="1124">
        <v>0</v>
      </c>
      <c r="H498" s="1124" t="e">
        <v>#REF!</v>
      </c>
      <c r="I498" s="1124" t="e">
        <v>#REF!</v>
      </c>
      <c r="J498" s="1124" t="e">
        <v>#REF!</v>
      </c>
      <c r="K498" s="1124" t="e">
        <v>#REF!</v>
      </c>
    </row>
    <row r="499" spans="1:11" ht="30">
      <c r="A499" s="1120">
        <v>493</v>
      </c>
      <c r="B499" s="1121" t="s">
        <v>10098</v>
      </c>
      <c r="C499" s="1122" t="s">
        <v>10099</v>
      </c>
      <c r="D499" s="1123" t="s">
        <v>9819</v>
      </c>
      <c r="E499" s="1124">
        <v>0</v>
      </c>
      <c r="F499" s="1124">
        <v>7143502.5999999996</v>
      </c>
      <c r="G499" s="1124">
        <v>0</v>
      </c>
      <c r="H499" s="1124" t="e">
        <v>#REF!</v>
      </c>
      <c r="I499" s="1124" t="e">
        <v>#REF!</v>
      </c>
      <c r="J499" s="1124" t="e">
        <v>#REF!</v>
      </c>
      <c r="K499" s="1124" t="e">
        <v>#REF!</v>
      </c>
    </row>
    <row r="500" spans="1:11" ht="30">
      <c r="A500" s="1120">
        <v>494</v>
      </c>
      <c r="B500" s="1121" t="s">
        <v>10100</v>
      </c>
      <c r="C500" s="1122" t="s">
        <v>10101</v>
      </c>
      <c r="D500" s="1123" t="s">
        <v>9819</v>
      </c>
      <c r="E500" s="1124">
        <v>0</v>
      </c>
      <c r="F500" s="1124">
        <v>8388116.0999999996</v>
      </c>
      <c r="G500" s="1124">
        <v>0</v>
      </c>
      <c r="H500" s="1124" t="e">
        <v>#REF!</v>
      </c>
      <c r="I500" s="1124" t="e">
        <v>#REF!</v>
      </c>
      <c r="J500" s="1124" t="e">
        <v>#REF!</v>
      </c>
      <c r="K500" s="1124" t="e">
        <v>#REF!</v>
      </c>
    </row>
    <row r="501" spans="1:11" ht="30">
      <c r="A501" s="1120">
        <v>495</v>
      </c>
      <c r="B501" s="1121" t="s">
        <v>10102</v>
      </c>
      <c r="C501" s="1122" t="s">
        <v>10103</v>
      </c>
      <c r="D501" s="1123" t="s">
        <v>9819</v>
      </c>
      <c r="E501" s="1124">
        <v>0</v>
      </c>
      <c r="F501" s="1124">
        <v>8807811.4000000004</v>
      </c>
      <c r="G501" s="1124">
        <v>0</v>
      </c>
      <c r="H501" s="1124" t="e">
        <v>#REF!</v>
      </c>
      <c r="I501" s="1124" t="e">
        <v>#REF!</v>
      </c>
      <c r="J501" s="1124" t="e">
        <v>#REF!</v>
      </c>
      <c r="K501" s="1124" t="e">
        <v>#REF!</v>
      </c>
    </row>
    <row r="502" spans="1:11" ht="30">
      <c r="A502" s="1120">
        <v>496</v>
      </c>
      <c r="B502" s="1121" t="s">
        <v>10104</v>
      </c>
      <c r="C502" s="1122" t="s">
        <v>10105</v>
      </c>
      <c r="D502" s="1123" t="s">
        <v>9819</v>
      </c>
      <c r="E502" s="1124">
        <v>0</v>
      </c>
      <c r="F502" s="1124">
        <v>10127680.6</v>
      </c>
      <c r="G502" s="1124">
        <v>0</v>
      </c>
      <c r="H502" s="1124" t="e">
        <v>#REF!</v>
      </c>
      <c r="I502" s="1124" t="e">
        <v>#REF!</v>
      </c>
      <c r="J502" s="1124" t="e">
        <v>#REF!</v>
      </c>
      <c r="K502" s="1124" t="e">
        <v>#REF!</v>
      </c>
    </row>
    <row r="503" spans="1:11" ht="30">
      <c r="A503" s="1120">
        <v>497</v>
      </c>
      <c r="B503" s="1121" t="s">
        <v>10106</v>
      </c>
      <c r="C503" s="1122" t="s">
        <v>10107</v>
      </c>
      <c r="D503" s="1123" t="s">
        <v>9819</v>
      </c>
      <c r="E503" s="1124">
        <v>0</v>
      </c>
      <c r="F503" s="1124">
        <v>1068052.1000000001</v>
      </c>
      <c r="G503" s="1124">
        <v>0</v>
      </c>
      <c r="H503" s="1124" t="e">
        <v>#REF!</v>
      </c>
      <c r="I503" s="1124" t="e">
        <v>#REF!</v>
      </c>
      <c r="J503" s="1124" t="e">
        <v>#REF!</v>
      </c>
      <c r="K503" s="1124" t="e">
        <v>#REF!</v>
      </c>
    </row>
    <row r="504" spans="1:11" ht="30">
      <c r="A504" s="1120">
        <v>498</v>
      </c>
      <c r="B504" s="1121" t="s">
        <v>10108</v>
      </c>
      <c r="C504" s="1122" t="s">
        <v>10109</v>
      </c>
      <c r="D504" s="1123" t="s">
        <v>9819</v>
      </c>
      <c r="E504" s="1124">
        <v>0</v>
      </c>
      <c r="F504" s="1124">
        <v>1175146.7</v>
      </c>
      <c r="G504" s="1124">
        <v>0</v>
      </c>
      <c r="H504" s="1124" t="e">
        <v>#REF!</v>
      </c>
      <c r="I504" s="1124" t="e">
        <v>#REF!</v>
      </c>
      <c r="J504" s="1124" t="e">
        <v>#REF!</v>
      </c>
      <c r="K504" s="1124" t="e">
        <v>#REF!</v>
      </c>
    </row>
    <row r="505" spans="1:11" ht="30">
      <c r="A505" s="1120">
        <v>499</v>
      </c>
      <c r="B505" s="1121" t="s">
        <v>10110</v>
      </c>
      <c r="C505" s="1122" t="s">
        <v>10111</v>
      </c>
      <c r="D505" s="1123" t="s">
        <v>9819</v>
      </c>
      <c r="E505" s="1124">
        <v>0</v>
      </c>
      <c r="F505" s="1124">
        <v>1620892</v>
      </c>
      <c r="G505" s="1124">
        <v>0</v>
      </c>
      <c r="H505" s="1124" t="e">
        <v>#REF!</v>
      </c>
      <c r="I505" s="1124" t="e">
        <v>#REF!</v>
      </c>
      <c r="J505" s="1124" t="e">
        <v>#REF!</v>
      </c>
      <c r="K505" s="1124" t="e">
        <v>#REF!</v>
      </c>
    </row>
    <row r="506" spans="1:11" ht="30">
      <c r="A506" s="1120">
        <v>500</v>
      </c>
      <c r="B506" s="1121" t="s">
        <v>10112</v>
      </c>
      <c r="C506" s="1122" t="s">
        <v>10113</v>
      </c>
      <c r="D506" s="1123" t="s">
        <v>9819</v>
      </c>
      <c r="E506" s="1124">
        <v>0</v>
      </c>
      <c r="F506" s="1124">
        <v>2237409.9</v>
      </c>
      <c r="G506" s="1124">
        <v>0</v>
      </c>
      <c r="H506" s="1124" t="e">
        <v>#REF!</v>
      </c>
      <c r="I506" s="1124" t="e">
        <v>#REF!</v>
      </c>
      <c r="J506" s="1124" t="e">
        <v>#REF!</v>
      </c>
      <c r="K506" s="1124" t="e">
        <v>#REF!</v>
      </c>
    </row>
    <row r="507" spans="1:11" ht="30">
      <c r="A507" s="1120">
        <v>501</v>
      </c>
      <c r="B507" s="1121" t="s">
        <v>10114</v>
      </c>
      <c r="C507" s="1122" t="s">
        <v>10115</v>
      </c>
      <c r="D507" s="1123" t="s">
        <v>9819</v>
      </c>
      <c r="E507" s="1124">
        <v>0</v>
      </c>
      <c r="F507" s="1124">
        <v>2347399</v>
      </c>
      <c r="G507" s="1124">
        <v>0</v>
      </c>
      <c r="H507" s="1124" t="e">
        <v>#REF!</v>
      </c>
      <c r="I507" s="1124" t="e">
        <v>#REF!</v>
      </c>
      <c r="J507" s="1124" t="e">
        <v>#REF!</v>
      </c>
      <c r="K507" s="1124" t="e">
        <v>#REF!</v>
      </c>
    </row>
    <row r="508" spans="1:11" ht="30">
      <c r="A508" s="1120">
        <v>502</v>
      </c>
      <c r="B508" s="1121" t="s">
        <v>10116</v>
      </c>
      <c r="C508" s="1122" t="s">
        <v>10117</v>
      </c>
      <c r="D508" s="1123" t="s">
        <v>9819</v>
      </c>
      <c r="E508" s="1124">
        <v>0</v>
      </c>
      <c r="F508" s="1124">
        <v>2584743.9</v>
      </c>
      <c r="G508" s="1124">
        <v>0</v>
      </c>
      <c r="H508" s="1124" t="e">
        <v>#REF!</v>
      </c>
      <c r="I508" s="1124" t="e">
        <v>#REF!</v>
      </c>
      <c r="J508" s="1124" t="e">
        <v>#REF!</v>
      </c>
      <c r="K508" s="1124" t="e">
        <v>#REF!</v>
      </c>
    </row>
    <row r="509" spans="1:11" ht="30">
      <c r="A509" s="1120">
        <v>503</v>
      </c>
      <c r="B509" s="1121" t="s">
        <v>10118</v>
      </c>
      <c r="C509" s="1122" t="s">
        <v>10119</v>
      </c>
      <c r="D509" s="1123" t="s">
        <v>9819</v>
      </c>
      <c r="E509" s="1124">
        <v>0</v>
      </c>
      <c r="F509" s="1124">
        <v>188139.3</v>
      </c>
      <c r="G509" s="1124">
        <v>0</v>
      </c>
      <c r="H509" s="1124" t="e">
        <v>#REF!</v>
      </c>
      <c r="I509" s="1124" t="e">
        <v>#REF!</v>
      </c>
      <c r="J509" s="1124" t="e">
        <v>#REF!</v>
      </c>
      <c r="K509" s="1124" t="e">
        <v>#REF!</v>
      </c>
    </row>
    <row r="510" spans="1:11">
      <c r="A510" s="1120">
        <v>504</v>
      </c>
      <c r="B510" s="1121" t="s">
        <v>10120</v>
      </c>
      <c r="C510" s="1122" t="s">
        <v>10121</v>
      </c>
      <c r="D510" s="1123" t="s">
        <v>9819</v>
      </c>
      <c r="E510" s="1124">
        <v>0</v>
      </c>
      <c r="F510" s="1124">
        <v>86833.5</v>
      </c>
      <c r="G510" s="1124">
        <v>0</v>
      </c>
      <c r="H510" s="1124" t="e">
        <v>#REF!</v>
      </c>
      <c r="I510" s="1124" t="e">
        <v>#REF!</v>
      </c>
      <c r="J510" s="1124" t="e">
        <v>#REF!</v>
      </c>
      <c r="K510" s="1124" t="e">
        <v>#REF!</v>
      </c>
    </row>
    <row r="511" spans="1:11" ht="30">
      <c r="A511" s="1120">
        <v>505</v>
      </c>
      <c r="B511" s="1121" t="s">
        <v>10122</v>
      </c>
      <c r="C511" s="1122" t="s">
        <v>10123</v>
      </c>
      <c r="D511" s="1123" t="s">
        <v>9819</v>
      </c>
      <c r="E511" s="1124">
        <v>0</v>
      </c>
      <c r="F511" s="1124">
        <v>214189.3</v>
      </c>
      <c r="G511" s="1124">
        <v>0</v>
      </c>
      <c r="H511" s="1124" t="e">
        <v>#REF!</v>
      </c>
      <c r="I511" s="1124" t="e">
        <v>#REF!</v>
      </c>
      <c r="J511" s="1124" t="e">
        <v>#REF!</v>
      </c>
      <c r="K511" s="1124" t="e">
        <v>#REF!</v>
      </c>
    </row>
    <row r="512" spans="1:11" ht="30">
      <c r="A512" s="1120">
        <v>506</v>
      </c>
      <c r="B512" s="1121" t="s">
        <v>10124</v>
      </c>
      <c r="C512" s="1122" t="s">
        <v>10125</v>
      </c>
      <c r="D512" s="1123" t="s">
        <v>9819</v>
      </c>
      <c r="E512" s="1124">
        <v>0</v>
      </c>
      <c r="F512" s="1124">
        <v>234450.5</v>
      </c>
      <c r="G512" s="1124">
        <v>0</v>
      </c>
      <c r="H512" s="1124" t="e">
        <v>#REF!</v>
      </c>
      <c r="I512" s="1124" t="e">
        <v>#REF!</v>
      </c>
      <c r="J512" s="1124" t="e">
        <v>#REF!</v>
      </c>
      <c r="K512" s="1124" t="e">
        <v>#REF!</v>
      </c>
    </row>
    <row r="513" spans="1:11" ht="30">
      <c r="A513" s="1120">
        <v>507</v>
      </c>
      <c r="B513" s="1121" t="s">
        <v>10126</v>
      </c>
      <c r="C513" s="1122" t="s">
        <v>10127</v>
      </c>
      <c r="D513" s="1123" t="s">
        <v>9819</v>
      </c>
      <c r="E513" s="1124">
        <v>0</v>
      </c>
      <c r="F513" s="1124">
        <v>260500.5</v>
      </c>
      <c r="G513" s="1124">
        <v>0</v>
      </c>
      <c r="H513" s="1124" t="e">
        <v>#REF!</v>
      </c>
      <c r="I513" s="1124" t="e">
        <v>#REF!</v>
      </c>
      <c r="J513" s="1124" t="e">
        <v>#REF!</v>
      </c>
      <c r="K513" s="1124" t="e">
        <v>#REF!</v>
      </c>
    </row>
    <row r="514" spans="1:11" ht="30">
      <c r="A514" s="1120">
        <v>508</v>
      </c>
      <c r="B514" s="1121" t="s">
        <v>10128</v>
      </c>
      <c r="C514" s="1122" t="s">
        <v>10129</v>
      </c>
      <c r="D514" s="1123" t="s">
        <v>9819</v>
      </c>
      <c r="E514" s="1124">
        <v>0</v>
      </c>
      <c r="F514" s="1124">
        <v>286550.59999999998</v>
      </c>
      <c r="G514" s="1124">
        <v>0</v>
      </c>
      <c r="H514" s="1124" t="e">
        <v>#REF!</v>
      </c>
      <c r="I514" s="1124" t="e">
        <v>#REF!</v>
      </c>
      <c r="J514" s="1124" t="e">
        <v>#REF!</v>
      </c>
      <c r="K514" s="1124" t="e">
        <v>#REF!</v>
      </c>
    </row>
    <row r="515" spans="1:11" ht="30">
      <c r="A515" s="1120">
        <v>509</v>
      </c>
      <c r="B515" s="1121" t="s">
        <v>10130</v>
      </c>
      <c r="C515" s="1122" t="s">
        <v>10131</v>
      </c>
      <c r="D515" s="1123" t="s">
        <v>9819</v>
      </c>
      <c r="E515" s="1124">
        <v>0</v>
      </c>
      <c r="F515" s="1124">
        <v>312600.59999999998</v>
      </c>
      <c r="G515" s="1124">
        <v>0</v>
      </c>
      <c r="H515" s="1124" t="e">
        <v>#REF!</v>
      </c>
      <c r="I515" s="1124" t="e">
        <v>#REF!</v>
      </c>
      <c r="J515" s="1124" t="e">
        <v>#REF!</v>
      </c>
      <c r="K515" s="1124" t="e">
        <v>#REF!</v>
      </c>
    </row>
    <row r="516" spans="1:11" ht="30">
      <c r="A516" s="1120">
        <v>510</v>
      </c>
      <c r="B516" s="1121" t="s">
        <v>10132</v>
      </c>
      <c r="C516" s="1122" t="s">
        <v>10133</v>
      </c>
      <c r="D516" s="1123" t="s">
        <v>9819</v>
      </c>
      <c r="E516" s="1124">
        <v>0</v>
      </c>
      <c r="F516" s="1124">
        <v>347334</v>
      </c>
      <c r="G516" s="1124">
        <v>0</v>
      </c>
      <c r="H516" s="1124" t="e">
        <v>#REF!</v>
      </c>
      <c r="I516" s="1124" t="e">
        <v>#REF!</v>
      </c>
      <c r="J516" s="1124" t="e">
        <v>#REF!</v>
      </c>
      <c r="K516" s="1124" t="e">
        <v>#REF!</v>
      </c>
    </row>
    <row r="517" spans="1:11" ht="30">
      <c r="A517" s="1120">
        <v>511</v>
      </c>
      <c r="B517" s="1121" t="s">
        <v>10134</v>
      </c>
      <c r="C517" s="1122" t="s">
        <v>10135</v>
      </c>
      <c r="D517" s="1123" t="s">
        <v>9819</v>
      </c>
      <c r="E517" s="1124">
        <v>0</v>
      </c>
      <c r="F517" s="1124">
        <v>382067.4</v>
      </c>
      <c r="G517" s="1124">
        <v>0</v>
      </c>
      <c r="H517" s="1124" t="e">
        <v>#REF!</v>
      </c>
      <c r="I517" s="1124" t="e">
        <v>#REF!</v>
      </c>
      <c r="J517" s="1124" t="e">
        <v>#REF!</v>
      </c>
      <c r="K517" s="1124" t="e">
        <v>#REF!</v>
      </c>
    </row>
    <row r="518" spans="1:11" ht="30">
      <c r="A518" s="1120">
        <v>512</v>
      </c>
      <c r="B518" s="1121" t="s">
        <v>10136</v>
      </c>
      <c r="C518" s="1122" t="s">
        <v>10137</v>
      </c>
      <c r="D518" s="1123" t="s">
        <v>9819</v>
      </c>
      <c r="E518" s="1124">
        <v>0</v>
      </c>
      <c r="F518" s="1124">
        <v>413906.4</v>
      </c>
      <c r="G518" s="1124">
        <v>0</v>
      </c>
      <c r="H518" s="1124" t="e">
        <v>#REF!</v>
      </c>
      <c r="I518" s="1124" t="e">
        <v>#REF!</v>
      </c>
      <c r="J518" s="1124" t="e">
        <v>#REF!</v>
      </c>
      <c r="K518" s="1124" t="e">
        <v>#REF!</v>
      </c>
    </row>
    <row r="519" spans="1:11" ht="30">
      <c r="A519" s="1120">
        <v>513</v>
      </c>
      <c r="B519" s="1121" t="s">
        <v>10138</v>
      </c>
      <c r="C519" s="1122" t="s">
        <v>10139</v>
      </c>
      <c r="D519" s="1123" t="s">
        <v>9819</v>
      </c>
      <c r="E519" s="1124">
        <v>0</v>
      </c>
      <c r="F519" s="1124">
        <v>457323.1</v>
      </c>
      <c r="G519" s="1124">
        <v>0</v>
      </c>
      <c r="H519" s="1124" t="e">
        <v>#REF!</v>
      </c>
      <c r="I519" s="1124" t="e">
        <v>#REF!</v>
      </c>
      <c r="J519" s="1124" t="e">
        <v>#REF!</v>
      </c>
      <c r="K519" s="1124" t="e">
        <v>#REF!</v>
      </c>
    </row>
    <row r="520" spans="1:11" ht="30">
      <c r="A520" s="1120">
        <v>514</v>
      </c>
      <c r="B520" s="1121" t="s">
        <v>10140</v>
      </c>
      <c r="C520" s="1122" t="s">
        <v>10141</v>
      </c>
      <c r="D520" s="1123" t="s">
        <v>9819</v>
      </c>
      <c r="E520" s="1124">
        <v>0</v>
      </c>
      <c r="F520" s="1124">
        <v>1068052.1000000001</v>
      </c>
      <c r="G520" s="1124">
        <v>0</v>
      </c>
      <c r="H520" s="1124" t="e">
        <v>#REF!</v>
      </c>
      <c r="I520" s="1124" t="e">
        <v>#REF!</v>
      </c>
      <c r="J520" s="1124" t="e">
        <v>#REF!</v>
      </c>
      <c r="K520" s="1124" t="e">
        <v>#REF!</v>
      </c>
    </row>
    <row r="521" spans="1:11" ht="30">
      <c r="A521" s="1120">
        <v>515</v>
      </c>
      <c r="B521" s="1121" t="s">
        <v>10142</v>
      </c>
      <c r="C521" s="1122" t="s">
        <v>10143</v>
      </c>
      <c r="D521" s="1123" t="s">
        <v>9819</v>
      </c>
      <c r="E521" s="1124">
        <v>0</v>
      </c>
      <c r="F521" s="1124">
        <v>1125941.1000000001</v>
      </c>
      <c r="G521" s="1124">
        <v>0</v>
      </c>
      <c r="H521" s="1124" t="e">
        <v>#REF!</v>
      </c>
      <c r="I521" s="1124" t="e">
        <v>#REF!</v>
      </c>
      <c r="J521" s="1124" t="e">
        <v>#REF!</v>
      </c>
      <c r="K521" s="1124" t="e">
        <v>#REF!</v>
      </c>
    </row>
    <row r="522" spans="1:11" ht="30">
      <c r="A522" s="1120">
        <v>516</v>
      </c>
      <c r="B522" s="1121" t="s">
        <v>10144</v>
      </c>
      <c r="C522" s="1122" t="s">
        <v>10145</v>
      </c>
      <c r="D522" s="1123" t="s">
        <v>9819</v>
      </c>
      <c r="E522" s="1124">
        <v>0</v>
      </c>
      <c r="F522" s="1124">
        <v>1261980.2</v>
      </c>
      <c r="G522" s="1124">
        <v>0</v>
      </c>
      <c r="H522" s="1124" t="e">
        <v>#REF!</v>
      </c>
      <c r="I522" s="1124" t="e">
        <v>#REF!</v>
      </c>
      <c r="J522" s="1124" t="e">
        <v>#REF!</v>
      </c>
      <c r="K522" s="1124" t="e">
        <v>#REF!</v>
      </c>
    </row>
    <row r="523" spans="1:11" ht="30">
      <c r="A523" s="1120">
        <v>517</v>
      </c>
      <c r="B523" s="1121" t="s">
        <v>10146</v>
      </c>
      <c r="C523" s="1122" t="s">
        <v>10147</v>
      </c>
      <c r="D523" s="1123" t="s">
        <v>9819</v>
      </c>
      <c r="E523" s="1124">
        <v>0</v>
      </c>
      <c r="F523" s="1124">
        <v>1415386.1</v>
      </c>
      <c r="G523" s="1124">
        <v>0</v>
      </c>
      <c r="H523" s="1124" t="e">
        <v>#REF!</v>
      </c>
      <c r="I523" s="1124" t="e">
        <v>#REF!</v>
      </c>
      <c r="J523" s="1124" t="e">
        <v>#REF!</v>
      </c>
      <c r="K523" s="1124" t="e">
        <v>#REF!</v>
      </c>
    </row>
    <row r="524" spans="1:11" ht="30">
      <c r="A524" s="1120">
        <v>518</v>
      </c>
      <c r="B524" s="1121" t="s">
        <v>10148</v>
      </c>
      <c r="C524" s="1122" t="s">
        <v>10149</v>
      </c>
      <c r="D524" s="1123" t="s">
        <v>9819</v>
      </c>
      <c r="E524" s="1124">
        <v>0</v>
      </c>
      <c r="F524" s="1124">
        <v>1681675.5</v>
      </c>
      <c r="G524" s="1124">
        <v>0</v>
      </c>
      <c r="H524" s="1124" t="e">
        <v>#REF!</v>
      </c>
      <c r="I524" s="1124" t="e">
        <v>#REF!</v>
      </c>
      <c r="J524" s="1124" t="e">
        <v>#REF!</v>
      </c>
      <c r="K524" s="1124" t="e">
        <v>#REF!</v>
      </c>
    </row>
    <row r="525" spans="1:11" ht="30">
      <c r="A525" s="1120">
        <v>519</v>
      </c>
      <c r="B525" s="1121" t="s">
        <v>10150</v>
      </c>
      <c r="C525" s="1122" t="s">
        <v>10151</v>
      </c>
      <c r="D525" s="1123" t="s">
        <v>9819</v>
      </c>
      <c r="E525" s="1124">
        <v>0</v>
      </c>
      <c r="F525" s="1124">
        <v>214189.3</v>
      </c>
      <c r="G525" s="1124">
        <v>0</v>
      </c>
      <c r="H525" s="1124" t="e">
        <v>#REF!</v>
      </c>
      <c r="I525" s="1124" t="e">
        <v>#REF!</v>
      </c>
      <c r="J525" s="1124" t="e">
        <v>#REF!</v>
      </c>
      <c r="K525" s="1124" t="e">
        <v>#REF!</v>
      </c>
    </row>
    <row r="526" spans="1:11">
      <c r="A526" s="1120">
        <v>520</v>
      </c>
      <c r="B526" s="1121" t="s">
        <v>10152</v>
      </c>
      <c r="C526" s="1122" t="s">
        <v>10153</v>
      </c>
      <c r="D526" s="1123" t="s">
        <v>9819</v>
      </c>
      <c r="E526" s="1124">
        <v>0</v>
      </c>
      <c r="F526" s="1124">
        <v>150511.4</v>
      </c>
      <c r="G526" s="1124">
        <v>0</v>
      </c>
      <c r="H526" s="1124" t="e">
        <v>#REF!</v>
      </c>
      <c r="I526" s="1124" t="e">
        <v>#REF!</v>
      </c>
      <c r="J526" s="1124" t="e">
        <v>#REF!</v>
      </c>
      <c r="K526" s="1124" t="e">
        <v>#REF!</v>
      </c>
    </row>
    <row r="527" spans="1:11" ht="30">
      <c r="A527" s="1120">
        <v>521</v>
      </c>
      <c r="B527" s="1121" t="s">
        <v>10154</v>
      </c>
      <c r="C527" s="1122" t="s">
        <v>10155</v>
      </c>
      <c r="D527" s="1123" t="s">
        <v>9819</v>
      </c>
      <c r="E527" s="1124">
        <v>0</v>
      </c>
      <c r="F527" s="1124">
        <v>193928.2</v>
      </c>
      <c r="G527" s="1124">
        <v>0</v>
      </c>
      <c r="H527" s="1124" t="e">
        <v>#REF!</v>
      </c>
      <c r="I527" s="1124" t="e">
        <v>#REF!</v>
      </c>
      <c r="J527" s="1124" t="e">
        <v>#REF!</v>
      </c>
      <c r="K527" s="1124" t="e">
        <v>#REF!</v>
      </c>
    </row>
    <row r="528" spans="1:11">
      <c r="A528" s="1120">
        <v>522</v>
      </c>
      <c r="B528" s="1121" t="s">
        <v>10156</v>
      </c>
      <c r="C528" s="1122" t="s">
        <v>10157</v>
      </c>
      <c r="D528" s="1123" t="s">
        <v>9819</v>
      </c>
      <c r="E528" s="1124">
        <v>0</v>
      </c>
      <c r="F528" s="1124">
        <v>107094.7</v>
      </c>
      <c r="G528" s="1124">
        <v>0</v>
      </c>
      <c r="H528" s="1124" t="e">
        <v>#REF!</v>
      </c>
      <c r="I528" s="1124" t="e">
        <v>#REF!</v>
      </c>
      <c r="J528" s="1124" t="e">
        <v>#REF!</v>
      </c>
      <c r="K528" s="1124" t="e">
        <v>#REF!</v>
      </c>
    </row>
    <row r="529" spans="1:11" ht="45">
      <c r="A529" s="1120">
        <v>523</v>
      </c>
      <c r="B529" s="1121" t="s">
        <v>10158</v>
      </c>
      <c r="C529" s="1122" t="s">
        <v>10159</v>
      </c>
      <c r="D529" s="1123" t="s">
        <v>9819</v>
      </c>
      <c r="E529" s="1124">
        <v>0</v>
      </c>
      <c r="F529" s="1124">
        <v>46311.199999999997</v>
      </c>
      <c r="G529" s="1124">
        <v>0</v>
      </c>
      <c r="H529" s="1124" t="e">
        <v>#REF!</v>
      </c>
      <c r="I529" s="1124" t="e">
        <v>#REF!</v>
      </c>
      <c r="J529" s="1124" t="e">
        <v>#REF!</v>
      </c>
      <c r="K529" s="1124" t="e">
        <v>#REF!</v>
      </c>
    </row>
    <row r="530" spans="1:11" ht="45">
      <c r="A530" s="1120">
        <v>524</v>
      </c>
      <c r="B530" s="1121" t="s">
        <v>10160</v>
      </c>
      <c r="C530" s="1122" t="s">
        <v>10161</v>
      </c>
      <c r="D530" s="1123" t="s">
        <v>9819</v>
      </c>
      <c r="E530" s="1124">
        <v>0</v>
      </c>
      <c r="F530" s="1124">
        <v>52100.1</v>
      </c>
      <c r="G530" s="1124">
        <v>0</v>
      </c>
      <c r="H530" s="1124" t="e">
        <v>#REF!</v>
      </c>
      <c r="I530" s="1124" t="e">
        <v>#REF!</v>
      </c>
      <c r="J530" s="1124" t="e">
        <v>#REF!</v>
      </c>
      <c r="K530" s="1124" t="e">
        <v>#REF!</v>
      </c>
    </row>
    <row r="531" spans="1:11" ht="45">
      <c r="A531" s="1120">
        <v>525</v>
      </c>
      <c r="B531" s="1121" t="s">
        <v>10162</v>
      </c>
      <c r="C531" s="1122" t="s">
        <v>10163</v>
      </c>
      <c r="D531" s="1123" t="s">
        <v>9819</v>
      </c>
      <c r="E531" s="1124">
        <v>0</v>
      </c>
      <c r="F531" s="1124">
        <v>60783.5</v>
      </c>
      <c r="G531" s="1124">
        <v>0</v>
      </c>
      <c r="H531" s="1124" t="e">
        <v>#REF!</v>
      </c>
      <c r="I531" s="1124" t="e">
        <v>#REF!</v>
      </c>
      <c r="J531" s="1124" t="e">
        <v>#REF!</v>
      </c>
      <c r="K531" s="1124" t="e">
        <v>#REF!</v>
      </c>
    </row>
    <row r="532" spans="1:11" ht="45">
      <c r="A532" s="1120">
        <v>526</v>
      </c>
      <c r="B532" s="1121" t="s">
        <v>10164</v>
      </c>
      <c r="C532" s="1122" t="s">
        <v>10165</v>
      </c>
      <c r="D532" s="1123" t="s">
        <v>9819</v>
      </c>
      <c r="E532" s="1124">
        <v>0</v>
      </c>
      <c r="F532" s="1124">
        <v>63677.9</v>
      </c>
      <c r="G532" s="1124">
        <v>0</v>
      </c>
      <c r="H532" s="1124" t="e">
        <v>#REF!</v>
      </c>
      <c r="I532" s="1124" t="e">
        <v>#REF!</v>
      </c>
      <c r="J532" s="1124" t="e">
        <v>#REF!</v>
      </c>
      <c r="K532" s="1124" t="e">
        <v>#REF!</v>
      </c>
    </row>
    <row r="533" spans="1:11" ht="45">
      <c r="A533" s="1120">
        <v>527</v>
      </c>
      <c r="B533" s="1121" t="s">
        <v>10166</v>
      </c>
      <c r="C533" s="1122" t="s">
        <v>10167</v>
      </c>
      <c r="D533" s="1123" t="s">
        <v>9819</v>
      </c>
      <c r="E533" s="1124">
        <v>0</v>
      </c>
      <c r="F533" s="1124">
        <v>72361.3</v>
      </c>
      <c r="G533" s="1124">
        <v>0</v>
      </c>
      <c r="H533" s="1124" t="e">
        <v>#REF!</v>
      </c>
      <c r="I533" s="1124" t="e">
        <v>#REF!</v>
      </c>
      <c r="J533" s="1124" t="e">
        <v>#REF!</v>
      </c>
      <c r="K533" s="1124" t="e">
        <v>#REF!</v>
      </c>
    </row>
    <row r="534" spans="1:11" ht="45">
      <c r="A534" s="1120">
        <v>528</v>
      </c>
      <c r="B534" s="1121" t="s">
        <v>10168</v>
      </c>
      <c r="C534" s="1122" t="s">
        <v>10169</v>
      </c>
      <c r="D534" s="1123" t="s">
        <v>9819</v>
      </c>
      <c r="E534" s="1124">
        <v>0</v>
      </c>
      <c r="F534" s="1124">
        <v>81044.600000000006</v>
      </c>
      <c r="G534" s="1124">
        <v>0</v>
      </c>
      <c r="H534" s="1124" t="e">
        <v>#REF!</v>
      </c>
      <c r="I534" s="1124" t="e">
        <v>#REF!</v>
      </c>
      <c r="J534" s="1124" t="e">
        <v>#REF!</v>
      </c>
      <c r="K534" s="1124" t="e">
        <v>#REF!</v>
      </c>
    </row>
    <row r="535" spans="1:11" ht="45">
      <c r="A535" s="1120">
        <v>529</v>
      </c>
      <c r="B535" s="1121" t="s">
        <v>10170</v>
      </c>
      <c r="C535" s="1122" t="s">
        <v>10171</v>
      </c>
      <c r="D535" s="1123" t="s">
        <v>9819</v>
      </c>
      <c r="E535" s="1124">
        <v>0</v>
      </c>
      <c r="F535" s="1124">
        <v>89728</v>
      </c>
      <c r="G535" s="1124">
        <v>0</v>
      </c>
      <c r="H535" s="1124" t="e">
        <v>#REF!</v>
      </c>
      <c r="I535" s="1124" t="e">
        <v>#REF!</v>
      </c>
      <c r="J535" s="1124" t="e">
        <v>#REF!</v>
      </c>
      <c r="K535" s="1124" t="e">
        <v>#REF!</v>
      </c>
    </row>
    <row r="536" spans="1:11" ht="45">
      <c r="A536" s="1120">
        <v>530</v>
      </c>
      <c r="B536" s="1121" t="s">
        <v>10172</v>
      </c>
      <c r="C536" s="1122" t="s">
        <v>10173</v>
      </c>
      <c r="D536" s="1123" t="s">
        <v>9819</v>
      </c>
      <c r="E536" s="1124">
        <v>0</v>
      </c>
      <c r="F536" s="1124">
        <v>98411.3</v>
      </c>
      <c r="G536" s="1124">
        <v>0</v>
      </c>
      <c r="H536" s="1124" t="e">
        <v>#REF!</v>
      </c>
      <c r="I536" s="1124" t="e">
        <v>#REF!</v>
      </c>
      <c r="J536" s="1124" t="e">
        <v>#REF!</v>
      </c>
      <c r="K536" s="1124" t="e">
        <v>#REF!</v>
      </c>
    </row>
    <row r="537" spans="1:11" ht="45">
      <c r="A537" s="1120">
        <v>531</v>
      </c>
      <c r="B537" s="1121" t="s">
        <v>10174</v>
      </c>
      <c r="C537" s="1122" t="s">
        <v>10175</v>
      </c>
      <c r="D537" s="1123" t="s">
        <v>9819</v>
      </c>
      <c r="E537" s="1124">
        <v>0</v>
      </c>
      <c r="F537" s="1124">
        <v>107094.7</v>
      </c>
      <c r="G537" s="1124">
        <v>0</v>
      </c>
      <c r="H537" s="1124" t="e">
        <v>#REF!</v>
      </c>
      <c r="I537" s="1124" t="e">
        <v>#REF!</v>
      </c>
      <c r="J537" s="1124" t="e">
        <v>#REF!</v>
      </c>
      <c r="K537" s="1124" t="e">
        <v>#REF!</v>
      </c>
    </row>
    <row r="538" spans="1:11" ht="45">
      <c r="A538" s="1120">
        <v>532</v>
      </c>
      <c r="B538" s="1121" t="s">
        <v>10176</v>
      </c>
      <c r="C538" s="1122" t="s">
        <v>10177</v>
      </c>
      <c r="D538" s="1123" t="s">
        <v>9819</v>
      </c>
      <c r="E538" s="1124">
        <v>0</v>
      </c>
      <c r="F538" s="1124">
        <v>72361.3</v>
      </c>
      <c r="G538" s="1124">
        <v>0</v>
      </c>
      <c r="H538" s="1124" t="e">
        <v>#REF!</v>
      </c>
      <c r="I538" s="1124" t="e">
        <v>#REF!</v>
      </c>
      <c r="J538" s="1124" t="e">
        <v>#REF!</v>
      </c>
      <c r="K538" s="1124" t="e">
        <v>#REF!</v>
      </c>
    </row>
    <row r="539" spans="1:11" ht="45">
      <c r="A539" s="1120">
        <v>533</v>
      </c>
      <c r="B539" s="1121" t="s">
        <v>10178</v>
      </c>
      <c r="C539" s="1122" t="s">
        <v>10179</v>
      </c>
      <c r="D539" s="1123" t="s">
        <v>9819</v>
      </c>
      <c r="E539" s="1124">
        <v>0</v>
      </c>
      <c r="F539" s="1124">
        <v>78150.2</v>
      </c>
      <c r="G539" s="1124">
        <v>0</v>
      </c>
      <c r="H539" s="1124" t="e">
        <v>#REF!</v>
      </c>
      <c r="I539" s="1124" t="e">
        <v>#REF!</v>
      </c>
      <c r="J539" s="1124" t="e">
        <v>#REF!</v>
      </c>
      <c r="K539" s="1124" t="e">
        <v>#REF!</v>
      </c>
    </row>
    <row r="540" spans="1:11" ht="45">
      <c r="A540" s="1120">
        <v>534</v>
      </c>
      <c r="B540" s="1121" t="s">
        <v>10180</v>
      </c>
      <c r="C540" s="1122" t="s">
        <v>10181</v>
      </c>
      <c r="D540" s="1123" t="s">
        <v>9819</v>
      </c>
      <c r="E540" s="1124">
        <v>0</v>
      </c>
      <c r="F540" s="1124">
        <v>86833.5</v>
      </c>
      <c r="G540" s="1124">
        <v>0</v>
      </c>
      <c r="H540" s="1124" t="e">
        <v>#REF!</v>
      </c>
      <c r="I540" s="1124" t="e">
        <v>#REF!</v>
      </c>
      <c r="J540" s="1124" t="e">
        <v>#REF!</v>
      </c>
      <c r="K540" s="1124" t="e">
        <v>#REF!</v>
      </c>
    </row>
    <row r="541" spans="1:11" ht="45">
      <c r="A541" s="1120">
        <v>535</v>
      </c>
      <c r="B541" s="1121" t="s">
        <v>10182</v>
      </c>
      <c r="C541" s="1122" t="s">
        <v>10183</v>
      </c>
      <c r="D541" s="1123" t="s">
        <v>9819</v>
      </c>
      <c r="E541" s="1124">
        <v>0</v>
      </c>
      <c r="F541" s="1124">
        <v>98411.3</v>
      </c>
      <c r="G541" s="1124">
        <v>0</v>
      </c>
      <c r="H541" s="1124" t="e">
        <v>#REF!</v>
      </c>
      <c r="I541" s="1124" t="e">
        <v>#REF!</v>
      </c>
      <c r="J541" s="1124" t="e">
        <v>#REF!</v>
      </c>
      <c r="K541" s="1124" t="e">
        <v>#REF!</v>
      </c>
    </row>
    <row r="542" spans="1:11" ht="45">
      <c r="A542" s="1120">
        <v>536</v>
      </c>
      <c r="B542" s="1121" t="s">
        <v>10184</v>
      </c>
      <c r="C542" s="1122" t="s">
        <v>10185</v>
      </c>
      <c r="D542" s="1123" t="s">
        <v>9819</v>
      </c>
      <c r="E542" s="1124">
        <v>0</v>
      </c>
      <c r="F542" s="1124">
        <v>109989.1</v>
      </c>
      <c r="G542" s="1124">
        <v>0</v>
      </c>
      <c r="H542" s="1124" t="e">
        <v>#REF!</v>
      </c>
      <c r="I542" s="1124" t="e">
        <v>#REF!</v>
      </c>
      <c r="J542" s="1124" t="e">
        <v>#REF!</v>
      </c>
      <c r="K542" s="1124" t="e">
        <v>#REF!</v>
      </c>
    </row>
    <row r="543" spans="1:11" ht="45">
      <c r="A543" s="1120">
        <v>537</v>
      </c>
      <c r="B543" s="1121" t="s">
        <v>10186</v>
      </c>
      <c r="C543" s="1122" t="s">
        <v>10187</v>
      </c>
      <c r="D543" s="1123" t="s">
        <v>9819</v>
      </c>
      <c r="E543" s="1124">
        <v>0</v>
      </c>
      <c r="F543" s="1124">
        <v>124461.4</v>
      </c>
      <c r="G543" s="1124">
        <v>0</v>
      </c>
      <c r="H543" s="1124" t="e">
        <v>#REF!</v>
      </c>
      <c r="I543" s="1124" t="e">
        <v>#REF!</v>
      </c>
      <c r="J543" s="1124" t="e">
        <v>#REF!</v>
      </c>
      <c r="K543" s="1124" t="e">
        <v>#REF!</v>
      </c>
    </row>
    <row r="544" spans="1:11" ht="45">
      <c r="A544" s="1120">
        <v>538</v>
      </c>
      <c r="B544" s="1121" t="s">
        <v>10188</v>
      </c>
      <c r="C544" s="1122" t="s">
        <v>10189</v>
      </c>
      <c r="D544" s="1123" t="s">
        <v>9819</v>
      </c>
      <c r="E544" s="1124">
        <v>0</v>
      </c>
      <c r="F544" s="1124">
        <v>133144.70000000001</v>
      </c>
      <c r="G544" s="1124">
        <v>0</v>
      </c>
      <c r="H544" s="1124" t="e">
        <v>#REF!</v>
      </c>
      <c r="I544" s="1124" t="e">
        <v>#REF!</v>
      </c>
      <c r="J544" s="1124" t="e">
        <v>#REF!</v>
      </c>
      <c r="K544" s="1124" t="e">
        <v>#REF!</v>
      </c>
    </row>
    <row r="545" spans="1:11" ht="45">
      <c r="A545" s="1120">
        <v>539</v>
      </c>
      <c r="B545" s="1121" t="s">
        <v>10190</v>
      </c>
      <c r="C545" s="1122" t="s">
        <v>10191</v>
      </c>
      <c r="D545" s="1123" t="s">
        <v>9819</v>
      </c>
      <c r="E545" s="1124">
        <v>0</v>
      </c>
      <c r="F545" s="1124">
        <v>150511.4</v>
      </c>
      <c r="G545" s="1124">
        <v>0</v>
      </c>
      <c r="H545" s="1124" t="e">
        <v>#REF!</v>
      </c>
      <c r="I545" s="1124" t="e">
        <v>#REF!</v>
      </c>
      <c r="J545" s="1124" t="e">
        <v>#REF!</v>
      </c>
      <c r="K545" s="1124" t="e">
        <v>#REF!</v>
      </c>
    </row>
    <row r="546" spans="1:11" ht="45">
      <c r="A546" s="1120">
        <v>540</v>
      </c>
      <c r="B546" s="1121" t="s">
        <v>10192</v>
      </c>
      <c r="C546" s="1122" t="s">
        <v>10193</v>
      </c>
      <c r="D546" s="1123" t="s">
        <v>9819</v>
      </c>
      <c r="E546" s="1124">
        <v>0</v>
      </c>
      <c r="F546" s="1124">
        <v>162089.20000000001</v>
      </c>
      <c r="G546" s="1124">
        <v>0</v>
      </c>
      <c r="H546" s="1124" t="e">
        <v>#REF!</v>
      </c>
      <c r="I546" s="1124" t="e">
        <v>#REF!</v>
      </c>
      <c r="J546" s="1124" t="e">
        <v>#REF!</v>
      </c>
      <c r="K546" s="1124" t="e">
        <v>#REF!</v>
      </c>
    </row>
    <row r="547" spans="1:11" ht="45">
      <c r="A547" s="1120">
        <v>541</v>
      </c>
      <c r="B547" s="1121" t="s">
        <v>10194</v>
      </c>
      <c r="C547" s="1122" t="s">
        <v>10195</v>
      </c>
      <c r="D547" s="1123" t="s">
        <v>9819</v>
      </c>
      <c r="E547" s="1124">
        <v>0</v>
      </c>
      <c r="F547" s="1124">
        <v>150511.4</v>
      </c>
      <c r="G547" s="1124">
        <v>0</v>
      </c>
      <c r="H547" s="1124" t="e">
        <v>#REF!</v>
      </c>
      <c r="I547" s="1124" t="e">
        <v>#REF!</v>
      </c>
      <c r="J547" s="1124" t="e">
        <v>#REF!</v>
      </c>
      <c r="K547" s="1124" t="e">
        <v>#REF!</v>
      </c>
    </row>
    <row r="548" spans="1:11" ht="45">
      <c r="A548" s="1120">
        <v>542</v>
      </c>
      <c r="B548" s="1121" t="s">
        <v>10196</v>
      </c>
      <c r="C548" s="1122" t="s">
        <v>10197</v>
      </c>
      <c r="D548" s="1123" t="s">
        <v>9819</v>
      </c>
      <c r="E548" s="1124">
        <v>0</v>
      </c>
      <c r="F548" s="1124">
        <v>153405.9</v>
      </c>
      <c r="G548" s="1124">
        <v>0</v>
      </c>
      <c r="H548" s="1124" t="e">
        <v>#REF!</v>
      </c>
      <c r="I548" s="1124" t="e">
        <v>#REF!</v>
      </c>
      <c r="J548" s="1124" t="e">
        <v>#REF!</v>
      </c>
      <c r="K548" s="1124" t="e">
        <v>#REF!</v>
      </c>
    </row>
    <row r="549" spans="1:11" ht="45">
      <c r="A549" s="1120">
        <v>543</v>
      </c>
      <c r="B549" s="1121" t="s">
        <v>10198</v>
      </c>
      <c r="C549" s="1122" t="s">
        <v>10199</v>
      </c>
      <c r="D549" s="1123" t="s">
        <v>9819</v>
      </c>
      <c r="E549" s="1124">
        <v>0</v>
      </c>
      <c r="F549" s="1124">
        <v>176561.5</v>
      </c>
      <c r="G549" s="1124">
        <v>0</v>
      </c>
      <c r="H549" s="1124" t="e">
        <v>#REF!</v>
      </c>
      <c r="I549" s="1124" t="e">
        <v>#REF!</v>
      </c>
      <c r="J549" s="1124" t="e">
        <v>#REF!</v>
      </c>
      <c r="K549" s="1124" t="e">
        <v>#REF!</v>
      </c>
    </row>
    <row r="550" spans="1:11" ht="45">
      <c r="A550" s="1120">
        <v>544</v>
      </c>
      <c r="B550" s="1121" t="s">
        <v>10200</v>
      </c>
      <c r="C550" s="1122" t="s">
        <v>10201</v>
      </c>
      <c r="D550" s="1123" t="s">
        <v>9819</v>
      </c>
      <c r="E550" s="1124">
        <v>0</v>
      </c>
      <c r="F550" s="1124">
        <v>196822.6</v>
      </c>
      <c r="G550" s="1124">
        <v>0</v>
      </c>
      <c r="H550" s="1124" t="e">
        <v>#REF!</v>
      </c>
      <c r="I550" s="1124" t="e">
        <v>#REF!</v>
      </c>
      <c r="J550" s="1124" t="e">
        <v>#REF!</v>
      </c>
      <c r="K550" s="1124" t="e">
        <v>#REF!</v>
      </c>
    </row>
    <row r="551" spans="1:11" ht="45">
      <c r="A551" s="1120">
        <v>545</v>
      </c>
      <c r="B551" s="1121" t="s">
        <v>10202</v>
      </c>
      <c r="C551" s="1122" t="s">
        <v>10203</v>
      </c>
      <c r="D551" s="1123" t="s">
        <v>9819</v>
      </c>
      <c r="E551" s="1124">
        <v>0</v>
      </c>
      <c r="F551" s="1124">
        <v>217083.8</v>
      </c>
      <c r="G551" s="1124">
        <v>0</v>
      </c>
      <c r="H551" s="1124" t="e">
        <v>#REF!</v>
      </c>
      <c r="I551" s="1124" t="e">
        <v>#REF!</v>
      </c>
      <c r="J551" s="1124" t="e">
        <v>#REF!</v>
      </c>
      <c r="K551" s="1124" t="e">
        <v>#REF!</v>
      </c>
    </row>
    <row r="552" spans="1:11" ht="45">
      <c r="A552" s="1120">
        <v>546</v>
      </c>
      <c r="B552" s="1121" t="s">
        <v>10204</v>
      </c>
      <c r="C552" s="1122" t="s">
        <v>10205</v>
      </c>
      <c r="D552" s="1123" t="s">
        <v>9819</v>
      </c>
      <c r="E552" s="1124">
        <v>0</v>
      </c>
      <c r="F552" s="1124">
        <v>240239.4</v>
      </c>
      <c r="G552" s="1124">
        <v>0</v>
      </c>
      <c r="H552" s="1124" t="e">
        <v>#REF!</v>
      </c>
      <c r="I552" s="1124" t="e">
        <v>#REF!</v>
      </c>
      <c r="J552" s="1124" t="e">
        <v>#REF!</v>
      </c>
      <c r="K552" s="1124" t="e">
        <v>#REF!</v>
      </c>
    </row>
    <row r="553" spans="1:11" ht="45">
      <c r="A553" s="1120">
        <v>547</v>
      </c>
      <c r="B553" s="1121" t="s">
        <v>10206</v>
      </c>
      <c r="C553" s="1122" t="s">
        <v>10207</v>
      </c>
      <c r="D553" s="1123" t="s">
        <v>9819</v>
      </c>
      <c r="E553" s="1124">
        <v>0</v>
      </c>
      <c r="F553" s="1124">
        <v>266289.40000000002</v>
      </c>
      <c r="G553" s="1124">
        <v>0</v>
      </c>
      <c r="H553" s="1124" t="e">
        <v>#REF!</v>
      </c>
      <c r="I553" s="1124" t="e">
        <v>#REF!</v>
      </c>
      <c r="J553" s="1124" t="e">
        <v>#REF!</v>
      </c>
      <c r="K553" s="1124" t="e">
        <v>#REF!</v>
      </c>
    </row>
    <row r="554" spans="1:11" ht="45">
      <c r="A554" s="1120">
        <v>548</v>
      </c>
      <c r="B554" s="1121" t="s">
        <v>10208</v>
      </c>
      <c r="C554" s="1122" t="s">
        <v>10209</v>
      </c>
      <c r="D554" s="1123" t="s">
        <v>9819</v>
      </c>
      <c r="E554" s="1124">
        <v>0</v>
      </c>
      <c r="F554" s="1124">
        <v>289445</v>
      </c>
      <c r="G554" s="1124">
        <v>0</v>
      </c>
      <c r="H554" s="1124" t="e">
        <v>#REF!</v>
      </c>
      <c r="I554" s="1124" t="e">
        <v>#REF!</v>
      </c>
      <c r="J554" s="1124" t="e">
        <v>#REF!</v>
      </c>
      <c r="K554" s="1124" t="e">
        <v>#REF!</v>
      </c>
    </row>
    <row r="555" spans="1:11" ht="45">
      <c r="A555" s="1120">
        <v>549</v>
      </c>
      <c r="B555" s="1121" t="s">
        <v>10210</v>
      </c>
      <c r="C555" s="1122" t="s">
        <v>10211</v>
      </c>
      <c r="D555" s="1123" t="s">
        <v>9819</v>
      </c>
      <c r="E555" s="1124">
        <v>0</v>
      </c>
      <c r="F555" s="1124">
        <v>321284</v>
      </c>
      <c r="G555" s="1124">
        <v>0</v>
      </c>
      <c r="H555" s="1124" t="e">
        <v>#REF!</v>
      </c>
      <c r="I555" s="1124" t="e">
        <v>#REF!</v>
      </c>
      <c r="J555" s="1124" t="e">
        <v>#REF!</v>
      </c>
      <c r="K555" s="1124" t="e">
        <v>#REF!</v>
      </c>
    </row>
    <row r="556" spans="1:11" ht="30">
      <c r="A556" s="1120">
        <v>550</v>
      </c>
      <c r="B556" s="1121" t="s">
        <v>10212</v>
      </c>
      <c r="C556" s="1122" t="s">
        <v>10213</v>
      </c>
      <c r="D556" s="1123" t="s">
        <v>9819</v>
      </c>
      <c r="E556" s="1124">
        <v>0</v>
      </c>
      <c r="F556" s="1124">
        <v>286550.59999999998</v>
      </c>
      <c r="G556" s="1124">
        <v>0</v>
      </c>
      <c r="H556" s="1124" t="e">
        <v>#REF!</v>
      </c>
      <c r="I556" s="1124" t="e">
        <v>#REF!</v>
      </c>
      <c r="J556" s="1124" t="e">
        <v>#REF!</v>
      </c>
      <c r="K556" s="1124" t="e">
        <v>#REF!</v>
      </c>
    </row>
    <row r="557" spans="1:11" ht="30">
      <c r="A557" s="1120">
        <v>551</v>
      </c>
      <c r="B557" s="1121" t="s">
        <v>10214</v>
      </c>
      <c r="C557" s="1122" t="s">
        <v>10215</v>
      </c>
      <c r="D557" s="1123" t="s">
        <v>9819</v>
      </c>
      <c r="E557" s="1124">
        <v>0</v>
      </c>
      <c r="F557" s="1124">
        <v>431273.1</v>
      </c>
      <c r="G557" s="1124">
        <v>0</v>
      </c>
      <c r="H557" s="1124" t="e">
        <v>#REF!</v>
      </c>
      <c r="I557" s="1124" t="e">
        <v>#REF!</v>
      </c>
      <c r="J557" s="1124" t="e">
        <v>#REF!</v>
      </c>
      <c r="K557" s="1124" t="e">
        <v>#REF!</v>
      </c>
    </row>
    <row r="558" spans="1:11" ht="30">
      <c r="A558" s="1120">
        <v>552</v>
      </c>
      <c r="B558" s="1121" t="s">
        <v>10216</v>
      </c>
      <c r="C558" s="1122" t="s">
        <v>10217</v>
      </c>
      <c r="D558" s="1123" t="s">
        <v>9819</v>
      </c>
      <c r="E558" s="1124">
        <v>0</v>
      </c>
      <c r="F558" s="1124">
        <v>573101.1</v>
      </c>
      <c r="G558" s="1124">
        <v>0</v>
      </c>
      <c r="H558" s="1124" t="e">
        <v>#REF!</v>
      </c>
      <c r="I558" s="1124" t="e">
        <v>#REF!</v>
      </c>
      <c r="J558" s="1124" t="e">
        <v>#REF!</v>
      </c>
      <c r="K558" s="1124" t="e">
        <v>#REF!</v>
      </c>
    </row>
    <row r="559" spans="1:11" ht="30">
      <c r="A559" s="1120">
        <v>553</v>
      </c>
      <c r="B559" s="1121" t="s">
        <v>10218</v>
      </c>
      <c r="C559" s="1122" t="s">
        <v>10219</v>
      </c>
      <c r="D559" s="1123" t="s">
        <v>9819</v>
      </c>
      <c r="E559" s="1124">
        <v>0</v>
      </c>
      <c r="F559" s="1124">
        <v>714929.2</v>
      </c>
      <c r="G559" s="1124">
        <v>0</v>
      </c>
      <c r="H559" s="1124" t="e">
        <v>#REF!</v>
      </c>
      <c r="I559" s="1124" t="e">
        <v>#REF!</v>
      </c>
      <c r="J559" s="1124" t="e">
        <v>#REF!</v>
      </c>
      <c r="K559" s="1124" t="e">
        <v>#REF!</v>
      </c>
    </row>
    <row r="560" spans="1:11" ht="30">
      <c r="A560" s="1120">
        <v>554</v>
      </c>
      <c r="B560" s="1121" t="s">
        <v>10220</v>
      </c>
      <c r="C560" s="1122" t="s">
        <v>10221</v>
      </c>
      <c r="D560" s="1123" t="s">
        <v>9819</v>
      </c>
      <c r="E560" s="1124">
        <v>0</v>
      </c>
      <c r="F560" s="1124">
        <v>1146202.2</v>
      </c>
      <c r="G560" s="1124">
        <v>0</v>
      </c>
      <c r="H560" s="1124" t="e">
        <v>#REF!</v>
      </c>
      <c r="I560" s="1124" t="e">
        <v>#REF!</v>
      </c>
      <c r="J560" s="1124" t="e">
        <v>#REF!</v>
      </c>
      <c r="K560" s="1124" t="e">
        <v>#REF!</v>
      </c>
    </row>
    <row r="561" spans="1:11" ht="30">
      <c r="A561" s="1120">
        <v>555</v>
      </c>
      <c r="B561" s="1121" t="s">
        <v>10222</v>
      </c>
      <c r="C561" s="1122" t="s">
        <v>10223</v>
      </c>
      <c r="D561" s="1123" t="s">
        <v>9819</v>
      </c>
      <c r="E561" s="1124">
        <v>0</v>
      </c>
      <c r="F561" s="1124">
        <v>1261980.2</v>
      </c>
      <c r="G561" s="1124">
        <v>0</v>
      </c>
      <c r="H561" s="1124" t="e">
        <v>#REF!</v>
      </c>
      <c r="I561" s="1124" t="e">
        <v>#REF!</v>
      </c>
      <c r="J561" s="1124" t="e">
        <v>#REF!</v>
      </c>
      <c r="K561" s="1124" t="e">
        <v>#REF!</v>
      </c>
    </row>
    <row r="562" spans="1:11" ht="30">
      <c r="A562" s="1120">
        <v>556</v>
      </c>
      <c r="B562" s="1121" t="s">
        <v>10224</v>
      </c>
      <c r="C562" s="1122" t="s">
        <v>10225</v>
      </c>
      <c r="D562" s="1123" t="s">
        <v>9819</v>
      </c>
      <c r="E562" s="1124">
        <v>0</v>
      </c>
      <c r="F562" s="1124">
        <v>1386441.6</v>
      </c>
      <c r="G562" s="1124">
        <v>0</v>
      </c>
      <c r="H562" s="1124" t="e">
        <v>#REF!</v>
      </c>
      <c r="I562" s="1124" t="e">
        <v>#REF!</v>
      </c>
      <c r="J562" s="1124" t="e">
        <v>#REF!</v>
      </c>
      <c r="K562" s="1124" t="e">
        <v>#REF!</v>
      </c>
    </row>
    <row r="563" spans="1:11" ht="30">
      <c r="A563" s="1120">
        <v>557</v>
      </c>
      <c r="B563" s="1121" t="s">
        <v>10226</v>
      </c>
      <c r="C563" s="1122" t="s">
        <v>10227</v>
      </c>
      <c r="D563" s="1123" t="s">
        <v>9819</v>
      </c>
      <c r="E563" s="1124">
        <v>0</v>
      </c>
      <c r="F563" s="1124">
        <v>1525375.2</v>
      </c>
      <c r="G563" s="1124">
        <v>0</v>
      </c>
      <c r="H563" s="1124" t="e">
        <v>#REF!</v>
      </c>
      <c r="I563" s="1124" t="e">
        <v>#REF!</v>
      </c>
      <c r="J563" s="1124" t="e">
        <v>#REF!</v>
      </c>
      <c r="K563" s="1124" t="e">
        <v>#REF!</v>
      </c>
    </row>
    <row r="564" spans="1:11" ht="30">
      <c r="A564" s="1120">
        <v>558</v>
      </c>
      <c r="B564" s="1121" t="s">
        <v>10228</v>
      </c>
      <c r="C564" s="1122" t="s">
        <v>10229</v>
      </c>
      <c r="D564" s="1123" t="s">
        <v>9819</v>
      </c>
      <c r="E564" s="1124">
        <v>0</v>
      </c>
      <c r="F564" s="1124">
        <v>1678781</v>
      </c>
      <c r="G564" s="1124">
        <v>0</v>
      </c>
      <c r="H564" s="1124" t="e">
        <v>#REF!</v>
      </c>
      <c r="I564" s="1124" t="e">
        <v>#REF!</v>
      </c>
      <c r="J564" s="1124" t="e">
        <v>#REF!</v>
      </c>
      <c r="K564" s="1124" t="e">
        <v>#REF!</v>
      </c>
    </row>
    <row r="565" spans="1:11">
      <c r="A565" s="1120">
        <v>559</v>
      </c>
      <c r="B565" s="1121" t="s">
        <v>10230</v>
      </c>
      <c r="C565" s="1122" t="s">
        <v>10231</v>
      </c>
      <c r="D565" s="1123" t="s">
        <v>9819</v>
      </c>
      <c r="E565" s="1124">
        <v>0</v>
      </c>
      <c r="F565" s="1124">
        <v>26050.1</v>
      </c>
      <c r="G565" s="1124">
        <v>0</v>
      </c>
      <c r="H565" s="1124" t="e">
        <v>#REF!</v>
      </c>
      <c r="I565" s="1124" t="e">
        <v>#REF!</v>
      </c>
      <c r="J565" s="1124" t="e">
        <v>#REF!</v>
      </c>
      <c r="K565" s="1124" t="e">
        <v>#REF!</v>
      </c>
    </row>
    <row r="566" spans="1:11">
      <c r="A566" s="1120">
        <v>560</v>
      </c>
      <c r="B566" s="1121" t="s">
        <v>10232</v>
      </c>
      <c r="C566" s="1122" t="s">
        <v>10233</v>
      </c>
      <c r="D566" s="1123" t="s">
        <v>9819</v>
      </c>
      <c r="E566" s="1124">
        <v>0</v>
      </c>
      <c r="F566" s="1124">
        <v>26050.1</v>
      </c>
      <c r="G566" s="1124">
        <v>0</v>
      </c>
      <c r="H566" s="1124" t="e">
        <v>#REF!</v>
      </c>
      <c r="I566" s="1124" t="e">
        <v>#REF!</v>
      </c>
      <c r="J566" s="1124" t="e">
        <v>#REF!</v>
      </c>
      <c r="K566" s="1124" t="e">
        <v>#REF!</v>
      </c>
    </row>
    <row r="567" spans="1:11">
      <c r="A567" s="1120">
        <v>561</v>
      </c>
      <c r="B567" s="1121" t="s">
        <v>10234</v>
      </c>
      <c r="C567" s="1122" t="s">
        <v>10235</v>
      </c>
      <c r="D567" s="1123" t="s">
        <v>9819</v>
      </c>
      <c r="E567" s="1124">
        <v>0</v>
      </c>
      <c r="F567" s="1124">
        <v>31839</v>
      </c>
      <c r="G567" s="1124">
        <v>0</v>
      </c>
      <c r="H567" s="1124" t="e">
        <v>#REF!</v>
      </c>
      <c r="I567" s="1124" t="e">
        <v>#REF!</v>
      </c>
      <c r="J567" s="1124" t="e">
        <v>#REF!</v>
      </c>
      <c r="K567" s="1124" t="e">
        <v>#REF!</v>
      </c>
    </row>
    <row r="568" spans="1:11">
      <c r="A568" s="1120">
        <v>562</v>
      </c>
      <c r="B568" s="1121" t="s">
        <v>10236</v>
      </c>
      <c r="C568" s="1122" t="s">
        <v>10237</v>
      </c>
      <c r="D568" s="1123" t="s">
        <v>9819</v>
      </c>
      <c r="E568" s="1124">
        <v>0</v>
      </c>
      <c r="F568" s="1124">
        <v>31839</v>
      </c>
      <c r="G568" s="1124">
        <v>0</v>
      </c>
      <c r="H568" s="1124" t="e">
        <v>#REF!</v>
      </c>
      <c r="I568" s="1124" t="e">
        <v>#REF!</v>
      </c>
      <c r="J568" s="1124" t="e">
        <v>#REF!</v>
      </c>
      <c r="K568" s="1124" t="e">
        <v>#REF!</v>
      </c>
    </row>
    <row r="569" spans="1:11">
      <c r="A569" s="1120">
        <v>563</v>
      </c>
      <c r="B569" s="1121" t="s">
        <v>10238</v>
      </c>
      <c r="C569" s="1122" t="s">
        <v>10239</v>
      </c>
      <c r="D569" s="1123" t="s">
        <v>9819</v>
      </c>
      <c r="E569" s="1124">
        <v>0</v>
      </c>
      <c r="F569" s="1124">
        <v>37627.9</v>
      </c>
      <c r="G569" s="1124">
        <v>0</v>
      </c>
      <c r="H569" s="1124" t="e">
        <v>#REF!</v>
      </c>
      <c r="I569" s="1124" t="e">
        <v>#REF!</v>
      </c>
      <c r="J569" s="1124" t="e">
        <v>#REF!</v>
      </c>
      <c r="K569" s="1124" t="e">
        <v>#REF!</v>
      </c>
    </row>
    <row r="570" spans="1:11">
      <c r="A570" s="1120">
        <v>564</v>
      </c>
      <c r="B570" s="1121" t="s">
        <v>10240</v>
      </c>
      <c r="C570" s="1122" t="s">
        <v>10241</v>
      </c>
      <c r="D570" s="1123" t="s">
        <v>9819</v>
      </c>
      <c r="E570" s="1124">
        <v>0</v>
      </c>
      <c r="F570" s="1124">
        <v>40522.300000000003</v>
      </c>
      <c r="G570" s="1124">
        <v>0</v>
      </c>
      <c r="H570" s="1124" t="e">
        <v>#REF!</v>
      </c>
      <c r="I570" s="1124" t="e">
        <v>#REF!</v>
      </c>
      <c r="J570" s="1124" t="e">
        <v>#REF!</v>
      </c>
      <c r="K570" s="1124" t="e">
        <v>#REF!</v>
      </c>
    </row>
    <row r="571" spans="1:11">
      <c r="A571" s="1120">
        <v>565</v>
      </c>
      <c r="B571" s="1121" t="s">
        <v>10242</v>
      </c>
      <c r="C571" s="1122" t="s">
        <v>10243</v>
      </c>
      <c r="D571" s="1123" t="s">
        <v>9819</v>
      </c>
      <c r="E571" s="1124">
        <v>0</v>
      </c>
      <c r="F571" s="1124">
        <v>46311.199999999997</v>
      </c>
      <c r="G571" s="1124">
        <v>0</v>
      </c>
      <c r="H571" s="1124" t="e">
        <v>#REF!</v>
      </c>
      <c r="I571" s="1124" t="e">
        <v>#REF!</v>
      </c>
      <c r="J571" s="1124" t="e">
        <v>#REF!</v>
      </c>
      <c r="K571" s="1124" t="e">
        <v>#REF!</v>
      </c>
    </row>
    <row r="572" spans="1:11">
      <c r="A572" s="1120">
        <v>566</v>
      </c>
      <c r="B572" s="1121" t="s">
        <v>10244</v>
      </c>
      <c r="C572" s="1122" t="s">
        <v>10245</v>
      </c>
      <c r="D572" s="1123" t="s">
        <v>9819</v>
      </c>
      <c r="E572" s="1124">
        <v>0</v>
      </c>
      <c r="F572" s="1124">
        <v>49205.7</v>
      </c>
      <c r="G572" s="1124">
        <v>0</v>
      </c>
      <c r="H572" s="1124" t="e">
        <v>#REF!</v>
      </c>
      <c r="I572" s="1124" t="e">
        <v>#REF!</v>
      </c>
      <c r="J572" s="1124" t="e">
        <v>#REF!</v>
      </c>
      <c r="K572" s="1124" t="e">
        <v>#REF!</v>
      </c>
    </row>
    <row r="573" spans="1:11">
      <c r="A573" s="1120">
        <v>567</v>
      </c>
      <c r="B573" s="1121" t="s">
        <v>10246</v>
      </c>
      <c r="C573" s="1122" t="s">
        <v>10247</v>
      </c>
      <c r="D573" s="1123" t="s">
        <v>9819</v>
      </c>
      <c r="E573" s="1124">
        <v>0</v>
      </c>
      <c r="F573" s="1124">
        <v>54994.6</v>
      </c>
      <c r="G573" s="1124">
        <v>0</v>
      </c>
      <c r="H573" s="1124" t="e">
        <v>#REF!</v>
      </c>
      <c r="I573" s="1124" t="e">
        <v>#REF!</v>
      </c>
      <c r="J573" s="1124" t="e">
        <v>#REF!</v>
      </c>
      <c r="K573" s="1124" t="e">
        <v>#REF!</v>
      </c>
    </row>
    <row r="574" spans="1:11" ht="45">
      <c r="A574" s="1120">
        <v>568</v>
      </c>
      <c r="B574" s="1121" t="s">
        <v>10248</v>
      </c>
      <c r="C574" s="1122" t="s">
        <v>10249</v>
      </c>
      <c r="D574" s="1123" t="s">
        <v>10250</v>
      </c>
      <c r="E574" s="1124">
        <v>1530</v>
      </c>
      <c r="F574" s="1124">
        <v>18664.8</v>
      </c>
      <c r="G574" s="1124">
        <v>0</v>
      </c>
      <c r="H574" s="1124" t="e">
        <v>#REF!</v>
      </c>
      <c r="I574" s="1124" t="e">
        <v>#REF!</v>
      </c>
      <c r="J574" s="1124" t="e">
        <v>#REF!</v>
      </c>
      <c r="K574" s="1124" t="e">
        <v>#REF!</v>
      </c>
    </row>
    <row r="575" spans="1:11" ht="45">
      <c r="A575" s="1120">
        <v>569</v>
      </c>
      <c r="B575" s="1121" t="s">
        <v>10251</v>
      </c>
      <c r="C575" s="1122" t="s">
        <v>10252</v>
      </c>
      <c r="D575" s="1123" t="s">
        <v>10250</v>
      </c>
      <c r="E575" s="1124">
        <v>1839</v>
      </c>
      <c r="F575" s="1124">
        <v>29330.400000000001</v>
      </c>
      <c r="G575" s="1124">
        <v>0</v>
      </c>
      <c r="H575" s="1124" t="e">
        <v>#REF!</v>
      </c>
      <c r="I575" s="1124" t="e">
        <v>#REF!</v>
      </c>
      <c r="J575" s="1124" t="e">
        <v>#REF!</v>
      </c>
      <c r="K575" s="1124" t="e">
        <v>#REF!</v>
      </c>
    </row>
    <row r="576" spans="1:11" ht="45">
      <c r="A576" s="1120">
        <v>570</v>
      </c>
      <c r="B576" s="1121" t="s">
        <v>10253</v>
      </c>
      <c r="C576" s="1122" t="s">
        <v>10254</v>
      </c>
      <c r="D576" s="1123" t="s">
        <v>10250</v>
      </c>
      <c r="E576" s="1124">
        <v>2145</v>
      </c>
      <c r="F576" s="1124">
        <v>34663.199999999997</v>
      </c>
      <c r="G576" s="1124">
        <v>0</v>
      </c>
      <c r="H576" s="1124" t="e">
        <v>#REF!</v>
      </c>
      <c r="I576" s="1124" t="e">
        <v>#REF!</v>
      </c>
      <c r="J576" s="1124" t="e">
        <v>#REF!</v>
      </c>
      <c r="K576" s="1124" t="e">
        <v>#REF!</v>
      </c>
    </row>
    <row r="577" spans="1:11" ht="45">
      <c r="A577" s="1120">
        <v>571</v>
      </c>
      <c r="B577" s="1121" t="s">
        <v>10255</v>
      </c>
      <c r="C577" s="1122" t="s">
        <v>10256</v>
      </c>
      <c r="D577" s="1123" t="s">
        <v>10250</v>
      </c>
      <c r="E577" s="1124">
        <v>1530</v>
      </c>
      <c r="F577" s="1124">
        <v>37329.599999999999</v>
      </c>
      <c r="G577" s="1124">
        <v>0</v>
      </c>
      <c r="H577" s="1124" t="e">
        <v>#REF!</v>
      </c>
      <c r="I577" s="1124" t="e">
        <v>#REF!</v>
      </c>
      <c r="J577" s="1124" t="e">
        <v>#REF!</v>
      </c>
      <c r="K577" s="1124" t="e">
        <v>#REF!</v>
      </c>
    </row>
    <row r="578" spans="1:11" ht="45">
      <c r="A578" s="1120">
        <v>572</v>
      </c>
      <c r="B578" s="1121" t="s">
        <v>10257</v>
      </c>
      <c r="C578" s="1122" t="s">
        <v>10258</v>
      </c>
      <c r="D578" s="1123" t="s">
        <v>10250</v>
      </c>
      <c r="E578" s="1124">
        <v>1839</v>
      </c>
      <c r="F578" s="1124">
        <v>50661.599999999999</v>
      </c>
      <c r="G578" s="1124">
        <v>0</v>
      </c>
      <c r="H578" s="1124" t="e">
        <v>#REF!</v>
      </c>
      <c r="I578" s="1124" t="e">
        <v>#REF!</v>
      </c>
      <c r="J578" s="1124" t="e">
        <v>#REF!</v>
      </c>
      <c r="K578" s="1124" t="e">
        <v>#REF!</v>
      </c>
    </row>
    <row r="579" spans="1:11" ht="45">
      <c r="A579" s="1120">
        <v>573</v>
      </c>
      <c r="B579" s="1121" t="s">
        <v>10259</v>
      </c>
      <c r="C579" s="1122" t="s">
        <v>10260</v>
      </c>
      <c r="D579" s="1123" t="s">
        <v>10250</v>
      </c>
      <c r="E579" s="1124">
        <v>2145</v>
      </c>
      <c r="F579" s="1124">
        <v>63993.599999999999</v>
      </c>
      <c r="G579" s="1124">
        <v>0</v>
      </c>
      <c r="H579" s="1124" t="e">
        <v>#REF!</v>
      </c>
      <c r="I579" s="1124" t="e">
        <v>#REF!</v>
      </c>
      <c r="J579" s="1124" t="e">
        <v>#REF!</v>
      </c>
      <c r="K579" s="1124" t="e">
        <v>#REF!</v>
      </c>
    </row>
    <row r="580" spans="1:11" ht="45">
      <c r="A580" s="1120">
        <v>574</v>
      </c>
      <c r="B580" s="1121" t="s">
        <v>10261</v>
      </c>
      <c r="C580" s="1122" t="s">
        <v>10262</v>
      </c>
      <c r="D580" s="1123" t="s">
        <v>10250</v>
      </c>
      <c r="E580" s="1124">
        <v>1530</v>
      </c>
      <c r="F580" s="1124">
        <v>18664.8</v>
      </c>
      <c r="G580" s="1124">
        <v>0</v>
      </c>
      <c r="H580" s="1124" t="e">
        <v>#REF!</v>
      </c>
      <c r="I580" s="1124" t="e">
        <v>#REF!</v>
      </c>
      <c r="J580" s="1124" t="e">
        <v>#REF!</v>
      </c>
      <c r="K580" s="1124" t="e">
        <v>#REF!</v>
      </c>
    </row>
    <row r="581" spans="1:11" ht="45">
      <c r="A581" s="1120">
        <v>575</v>
      </c>
      <c r="B581" s="1121" t="s">
        <v>10263</v>
      </c>
      <c r="C581" s="1122" t="s">
        <v>10264</v>
      </c>
      <c r="D581" s="1123" t="s">
        <v>10250</v>
      </c>
      <c r="E581" s="1124">
        <v>1839</v>
      </c>
      <c r="F581" s="1124">
        <v>29330.400000000001</v>
      </c>
      <c r="G581" s="1124">
        <v>0</v>
      </c>
      <c r="H581" s="1124" t="e">
        <v>#REF!</v>
      </c>
      <c r="I581" s="1124" t="e">
        <v>#REF!</v>
      </c>
      <c r="J581" s="1124" t="e">
        <v>#REF!</v>
      </c>
      <c r="K581" s="1124" t="e">
        <v>#REF!</v>
      </c>
    </row>
    <row r="582" spans="1:11" ht="45">
      <c r="A582" s="1120">
        <v>576</v>
      </c>
      <c r="B582" s="1121" t="s">
        <v>10265</v>
      </c>
      <c r="C582" s="1122" t="s">
        <v>10266</v>
      </c>
      <c r="D582" s="1123" t="s">
        <v>10250</v>
      </c>
      <c r="E582" s="1124">
        <v>2145</v>
      </c>
      <c r="F582" s="1124">
        <v>34663.199999999997</v>
      </c>
      <c r="G582" s="1124">
        <v>0</v>
      </c>
      <c r="H582" s="1124" t="e">
        <v>#REF!</v>
      </c>
      <c r="I582" s="1124" t="e">
        <v>#REF!</v>
      </c>
      <c r="J582" s="1124" t="e">
        <v>#REF!</v>
      </c>
      <c r="K582" s="1124" t="e">
        <v>#REF!</v>
      </c>
    </row>
    <row r="583" spans="1:11" ht="45">
      <c r="A583" s="1120">
        <v>577</v>
      </c>
      <c r="B583" s="1121" t="s">
        <v>10267</v>
      </c>
      <c r="C583" s="1122" t="s">
        <v>10268</v>
      </c>
      <c r="D583" s="1123" t="s">
        <v>10250</v>
      </c>
      <c r="E583" s="1124">
        <v>1530</v>
      </c>
      <c r="F583" s="1124">
        <v>23997.599999999999</v>
      </c>
      <c r="G583" s="1124">
        <v>0</v>
      </c>
      <c r="H583" s="1124" t="e">
        <v>#REF!</v>
      </c>
      <c r="I583" s="1124" t="e">
        <v>#REF!</v>
      </c>
      <c r="J583" s="1124" t="e">
        <v>#REF!</v>
      </c>
      <c r="K583" s="1124" t="e">
        <v>#REF!</v>
      </c>
    </row>
    <row r="584" spans="1:11" ht="45">
      <c r="A584" s="1120">
        <v>578</v>
      </c>
      <c r="B584" s="1121" t="s">
        <v>10269</v>
      </c>
      <c r="C584" s="1122" t="s">
        <v>10270</v>
      </c>
      <c r="D584" s="1123" t="s">
        <v>10250</v>
      </c>
      <c r="E584" s="1124">
        <v>1839</v>
      </c>
      <c r="F584" s="1124">
        <v>34663.199999999997</v>
      </c>
      <c r="G584" s="1124">
        <v>0</v>
      </c>
      <c r="H584" s="1124" t="e">
        <v>#REF!</v>
      </c>
      <c r="I584" s="1124" t="e">
        <v>#REF!</v>
      </c>
      <c r="J584" s="1124" t="e">
        <v>#REF!</v>
      </c>
      <c r="K584" s="1124" t="e">
        <v>#REF!</v>
      </c>
    </row>
    <row r="585" spans="1:11" ht="45">
      <c r="A585" s="1120">
        <v>579</v>
      </c>
      <c r="B585" s="1121" t="s">
        <v>10271</v>
      </c>
      <c r="C585" s="1122" t="s">
        <v>10272</v>
      </c>
      <c r="D585" s="1123" t="s">
        <v>10250</v>
      </c>
      <c r="E585" s="1124">
        <v>2145</v>
      </c>
      <c r="F585" s="1124">
        <v>42662.400000000001</v>
      </c>
      <c r="G585" s="1124">
        <v>0</v>
      </c>
      <c r="H585" s="1124" t="e">
        <v>#REF!</v>
      </c>
      <c r="I585" s="1124" t="e">
        <v>#REF!</v>
      </c>
      <c r="J585" s="1124" t="e">
        <v>#REF!</v>
      </c>
      <c r="K585" s="1124" t="e">
        <v>#REF!</v>
      </c>
    </row>
    <row r="586" spans="1:11" ht="60">
      <c r="A586" s="1120">
        <v>580</v>
      </c>
      <c r="B586" s="1121" t="s">
        <v>10273</v>
      </c>
      <c r="C586" s="1122" t="s">
        <v>10274</v>
      </c>
      <c r="D586" s="1123" t="s">
        <v>10250</v>
      </c>
      <c r="E586" s="1124">
        <v>825</v>
      </c>
      <c r="F586" s="1124">
        <v>95516.9</v>
      </c>
      <c r="G586" s="1124">
        <v>0</v>
      </c>
      <c r="H586" s="1124" t="e">
        <v>#REF!</v>
      </c>
      <c r="I586" s="1124" t="e">
        <v>#REF!</v>
      </c>
      <c r="J586" s="1124" t="e">
        <v>#REF!</v>
      </c>
      <c r="K586" s="1124" t="e">
        <v>#REF!</v>
      </c>
    </row>
    <row r="587" spans="1:11" ht="60">
      <c r="A587" s="1120">
        <v>581</v>
      </c>
      <c r="B587" s="1121" t="s">
        <v>10275</v>
      </c>
      <c r="C587" s="1122" t="s">
        <v>10276</v>
      </c>
      <c r="D587" s="1123" t="s">
        <v>10250</v>
      </c>
      <c r="E587" s="1124">
        <v>825</v>
      </c>
      <c r="F587" s="1124">
        <v>101305.8</v>
      </c>
      <c r="G587" s="1124">
        <v>0</v>
      </c>
      <c r="H587" s="1124" t="e">
        <v>#REF!</v>
      </c>
      <c r="I587" s="1124" t="e">
        <v>#REF!</v>
      </c>
      <c r="J587" s="1124" t="e">
        <v>#REF!</v>
      </c>
      <c r="K587" s="1124" t="e">
        <v>#REF!</v>
      </c>
    </row>
    <row r="588" spans="1:11" ht="60">
      <c r="A588" s="1120">
        <v>582</v>
      </c>
      <c r="B588" s="1121" t="s">
        <v>10277</v>
      </c>
      <c r="C588" s="1122" t="s">
        <v>10278</v>
      </c>
      <c r="D588" s="1123" t="s">
        <v>10250</v>
      </c>
      <c r="E588" s="1124">
        <v>825</v>
      </c>
      <c r="F588" s="1124">
        <v>109989.1</v>
      </c>
      <c r="G588" s="1124">
        <v>0</v>
      </c>
      <c r="H588" s="1124" t="e">
        <v>#REF!</v>
      </c>
      <c r="I588" s="1124" t="e">
        <v>#REF!</v>
      </c>
      <c r="J588" s="1124" t="e">
        <v>#REF!</v>
      </c>
      <c r="K588" s="1124" t="e">
        <v>#REF!</v>
      </c>
    </row>
    <row r="589" spans="1:11" ht="60">
      <c r="A589" s="1120">
        <v>583</v>
      </c>
      <c r="B589" s="1121" t="s">
        <v>10279</v>
      </c>
      <c r="C589" s="1122" t="s">
        <v>10280</v>
      </c>
      <c r="D589" s="1123" t="s">
        <v>10250</v>
      </c>
      <c r="E589" s="1124">
        <v>825</v>
      </c>
      <c r="F589" s="1124">
        <v>127355.8</v>
      </c>
      <c r="G589" s="1124">
        <v>0</v>
      </c>
      <c r="H589" s="1124" t="e">
        <v>#REF!</v>
      </c>
      <c r="I589" s="1124" t="e">
        <v>#REF!</v>
      </c>
      <c r="J589" s="1124" t="e">
        <v>#REF!</v>
      </c>
      <c r="K589" s="1124" t="e">
        <v>#REF!</v>
      </c>
    </row>
    <row r="590" spans="1:11" ht="60">
      <c r="A590" s="1120">
        <v>584</v>
      </c>
      <c r="B590" s="1121" t="s">
        <v>10281</v>
      </c>
      <c r="C590" s="1122" t="s">
        <v>10282</v>
      </c>
      <c r="D590" s="1123" t="s">
        <v>10250</v>
      </c>
      <c r="E590" s="1124">
        <v>825</v>
      </c>
      <c r="F590" s="1124">
        <v>138933.6</v>
      </c>
      <c r="G590" s="1124">
        <v>0</v>
      </c>
      <c r="H590" s="1124" t="e">
        <v>#REF!</v>
      </c>
      <c r="I590" s="1124" t="e">
        <v>#REF!</v>
      </c>
      <c r="J590" s="1124" t="e">
        <v>#REF!</v>
      </c>
      <c r="K590" s="1124" t="e">
        <v>#REF!</v>
      </c>
    </row>
    <row r="591" spans="1:11" ht="60">
      <c r="A591" s="1120">
        <v>585</v>
      </c>
      <c r="B591" s="1121" t="s">
        <v>10283</v>
      </c>
      <c r="C591" s="1122" t="s">
        <v>10284</v>
      </c>
      <c r="D591" s="1123" t="s">
        <v>10250</v>
      </c>
      <c r="E591" s="1124">
        <v>1395</v>
      </c>
      <c r="F591" s="1124">
        <v>214189.3</v>
      </c>
      <c r="G591" s="1124">
        <v>0</v>
      </c>
      <c r="H591" s="1124" t="e">
        <v>#REF!</v>
      </c>
      <c r="I591" s="1124" t="e">
        <v>#REF!</v>
      </c>
      <c r="J591" s="1124" t="e">
        <v>#REF!</v>
      </c>
      <c r="K591" s="1124" t="e">
        <v>#REF!</v>
      </c>
    </row>
    <row r="592" spans="1:11" ht="60">
      <c r="A592" s="1120">
        <v>586</v>
      </c>
      <c r="B592" s="1121" t="s">
        <v>10285</v>
      </c>
      <c r="C592" s="1122" t="s">
        <v>10286</v>
      </c>
      <c r="D592" s="1123" t="s">
        <v>10250</v>
      </c>
      <c r="E592" s="1124">
        <v>1395</v>
      </c>
      <c r="F592" s="1124">
        <v>228661.6</v>
      </c>
      <c r="G592" s="1124">
        <v>0</v>
      </c>
      <c r="H592" s="1124" t="e">
        <v>#REF!</v>
      </c>
      <c r="I592" s="1124" t="e">
        <v>#REF!</v>
      </c>
      <c r="J592" s="1124" t="e">
        <v>#REF!</v>
      </c>
      <c r="K592" s="1124" t="e">
        <v>#REF!</v>
      </c>
    </row>
    <row r="593" spans="1:11" ht="60">
      <c r="A593" s="1120">
        <v>587</v>
      </c>
      <c r="B593" s="1121" t="s">
        <v>10287</v>
      </c>
      <c r="C593" s="1122" t="s">
        <v>10288</v>
      </c>
      <c r="D593" s="1123" t="s">
        <v>10250</v>
      </c>
      <c r="E593" s="1124">
        <v>1395</v>
      </c>
      <c r="F593" s="1124">
        <v>248922.7</v>
      </c>
      <c r="G593" s="1124">
        <v>0</v>
      </c>
      <c r="H593" s="1124" t="e">
        <v>#REF!</v>
      </c>
      <c r="I593" s="1124" t="e">
        <v>#REF!</v>
      </c>
      <c r="J593" s="1124" t="e">
        <v>#REF!</v>
      </c>
      <c r="K593" s="1124" t="e">
        <v>#REF!</v>
      </c>
    </row>
    <row r="594" spans="1:11" ht="60">
      <c r="A594" s="1120">
        <v>588</v>
      </c>
      <c r="B594" s="1121" t="s">
        <v>10289</v>
      </c>
      <c r="C594" s="1122" t="s">
        <v>10290</v>
      </c>
      <c r="D594" s="1123" t="s">
        <v>10250</v>
      </c>
      <c r="E594" s="1124">
        <v>1395</v>
      </c>
      <c r="F594" s="1124">
        <v>286550.59999999998</v>
      </c>
      <c r="G594" s="1124">
        <v>0</v>
      </c>
      <c r="H594" s="1124" t="e">
        <v>#REF!</v>
      </c>
      <c r="I594" s="1124" t="e">
        <v>#REF!</v>
      </c>
      <c r="J594" s="1124" t="e">
        <v>#REF!</v>
      </c>
      <c r="K594" s="1124" t="e">
        <v>#REF!</v>
      </c>
    </row>
    <row r="595" spans="1:11" ht="60">
      <c r="A595" s="1120">
        <v>589</v>
      </c>
      <c r="B595" s="1121" t="s">
        <v>10291</v>
      </c>
      <c r="C595" s="1122" t="s">
        <v>10292</v>
      </c>
      <c r="D595" s="1123" t="s">
        <v>10250</v>
      </c>
      <c r="E595" s="1124">
        <v>1395</v>
      </c>
      <c r="F595" s="1124">
        <v>315495.09999999998</v>
      </c>
      <c r="G595" s="1124">
        <v>0</v>
      </c>
      <c r="H595" s="1124" t="e">
        <v>#REF!</v>
      </c>
      <c r="I595" s="1124" t="e">
        <v>#REF!</v>
      </c>
      <c r="J595" s="1124" t="e">
        <v>#REF!</v>
      </c>
      <c r="K595" s="1124" t="e">
        <v>#REF!</v>
      </c>
    </row>
    <row r="596" spans="1:11" ht="60">
      <c r="A596" s="1120">
        <v>590</v>
      </c>
      <c r="B596" s="1121" t="s">
        <v>10293</v>
      </c>
      <c r="C596" s="1122" t="s">
        <v>10294</v>
      </c>
      <c r="D596" s="1123" t="s">
        <v>10250</v>
      </c>
      <c r="E596" s="1124">
        <v>1395</v>
      </c>
      <c r="F596" s="1124">
        <v>347334</v>
      </c>
      <c r="G596" s="1124">
        <v>0</v>
      </c>
      <c r="H596" s="1124" t="e">
        <v>#REF!</v>
      </c>
      <c r="I596" s="1124" t="e">
        <v>#REF!</v>
      </c>
      <c r="J596" s="1124" t="e">
        <v>#REF!</v>
      </c>
      <c r="K596" s="1124" t="e">
        <v>#REF!</v>
      </c>
    </row>
    <row r="597" spans="1:11" ht="60">
      <c r="A597" s="1120">
        <v>591</v>
      </c>
      <c r="B597" s="1121" t="s">
        <v>10295</v>
      </c>
      <c r="C597" s="1122" t="s">
        <v>10296</v>
      </c>
      <c r="D597" s="1123" t="s">
        <v>10250</v>
      </c>
      <c r="E597" s="1124">
        <v>1395</v>
      </c>
      <c r="F597" s="1124">
        <v>382067.4</v>
      </c>
      <c r="G597" s="1124">
        <v>0</v>
      </c>
      <c r="H597" s="1124" t="e">
        <v>#REF!</v>
      </c>
      <c r="I597" s="1124" t="e">
        <v>#REF!</v>
      </c>
      <c r="J597" s="1124" t="e">
        <v>#REF!</v>
      </c>
      <c r="K597" s="1124" t="e">
        <v>#REF!</v>
      </c>
    </row>
    <row r="598" spans="1:11" ht="60">
      <c r="A598" s="1120">
        <v>592</v>
      </c>
      <c r="B598" s="1121" t="s">
        <v>10297</v>
      </c>
      <c r="C598" s="1122" t="s">
        <v>10298</v>
      </c>
      <c r="D598" s="1123" t="s">
        <v>10250</v>
      </c>
      <c r="E598" s="1124">
        <v>1920</v>
      </c>
      <c r="F598" s="1124">
        <v>327072.90000000002</v>
      </c>
      <c r="G598" s="1124">
        <v>0</v>
      </c>
      <c r="H598" s="1124" t="e">
        <v>#REF!</v>
      </c>
      <c r="I598" s="1124" t="e">
        <v>#REF!</v>
      </c>
      <c r="J598" s="1124" t="e">
        <v>#REF!</v>
      </c>
      <c r="K598" s="1124" t="e">
        <v>#REF!</v>
      </c>
    </row>
    <row r="599" spans="1:11" ht="60">
      <c r="A599" s="1120">
        <v>593</v>
      </c>
      <c r="B599" s="1121" t="s">
        <v>10299</v>
      </c>
      <c r="C599" s="1122" t="s">
        <v>10300</v>
      </c>
      <c r="D599" s="1123" t="s">
        <v>10250</v>
      </c>
      <c r="E599" s="1124">
        <v>1920</v>
      </c>
      <c r="F599" s="1124">
        <v>344439.6</v>
      </c>
      <c r="G599" s="1124">
        <v>0</v>
      </c>
      <c r="H599" s="1124" t="e">
        <v>#REF!</v>
      </c>
      <c r="I599" s="1124" t="e">
        <v>#REF!</v>
      </c>
      <c r="J599" s="1124" t="e">
        <v>#REF!</v>
      </c>
      <c r="K599" s="1124" t="e">
        <v>#REF!</v>
      </c>
    </row>
    <row r="600" spans="1:11" ht="60">
      <c r="A600" s="1120">
        <v>594</v>
      </c>
      <c r="B600" s="1121" t="s">
        <v>10301</v>
      </c>
      <c r="C600" s="1122" t="s">
        <v>10302</v>
      </c>
      <c r="D600" s="1123" t="s">
        <v>10250</v>
      </c>
      <c r="E600" s="1124">
        <v>1920</v>
      </c>
      <c r="F600" s="1124">
        <v>376278.5</v>
      </c>
      <c r="G600" s="1124">
        <v>0</v>
      </c>
      <c r="H600" s="1124" t="e">
        <v>#REF!</v>
      </c>
      <c r="I600" s="1124" t="e">
        <v>#REF!</v>
      </c>
      <c r="J600" s="1124" t="e">
        <v>#REF!</v>
      </c>
      <c r="K600" s="1124" t="e">
        <v>#REF!</v>
      </c>
    </row>
    <row r="601" spans="1:11" ht="60">
      <c r="A601" s="1120">
        <v>595</v>
      </c>
      <c r="B601" s="1121" t="s">
        <v>10303</v>
      </c>
      <c r="C601" s="1122" t="s">
        <v>10304</v>
      </c>
      <c r="D601" s="1123" t="s">
        <v>10250</v>
      </c>
      <c r="E601" s="1124">
        <v>1920</v>
      </c>
      <c r="F601" s="1124">
        <v>431273.1</v>
      </c>
      <c r="G601" s="1124">
        <v>0</v>
      </c>
      <c r="H601" s="1124" t="e">
        <v>#REF!</v>
      </c>
      <c r="I601" s="1124" t="e">
        <v>#REF!</v>
      </c>
      <c r="J601" s="1124" t="e">
        <v>#REF!</v>
      </c>
      <c r="K601" s="1124" t="e">
        <v>#REF!</v>
      </c>
    </row>
    <row r="602" spans="1:11" ht="60">
      <c r="A602" s="1120">
        <v>596</v>
      </c>
      <c r="B602" s="1121" t="s">
        <v>10305</v>
      </c>
      <c r="C602" s="1122" t="s">
        <v>10306</v>
      </c>
      <c r="D602" s="1123" t="s">
        <v>10250</v>
      </c>
      <c r="E602" s="1124">
        <v>1920</v>
      </c>
      <c r="F602" s="1124">
        <v>480478.7</v>
      </c>
      <c r="G602" s="1124">
        <v>0</v>
      </c>
      <c r="H602" s="1124" t="e">
        <v>#REF!</v>
      </c>
      <c r="I602" s="1124" t="e">
        <v>#REF!</v>
      </c>
      <c r="J602" s="1124" t="e">
        <v>#REF!</v>
      </c>
      <c r="K602" s="1124" t="e">
        <v>#REF!</v>
      </c>
    </row>
    <row r="603" spans="1:11" ht="60">
      <c r="A603" s="1120">
        <v>597</v>
      </c>
      <c r="B603" s="1121" t="s">
        <v>10307</v>
      </c>
      <c r="C603" s="1122" t="s">
        <v>10308</v>
      </c>
      <c r="D603" s="1123" t="s">
        <v>10250</v>
      </c>
      <c r="E603" s="1124">
        <v>1920</v>
      </c>
      <c r="F603" s="1124">
        <v>526789.9</v>
      </c>
      <c r="G603" s="1124">
        <v>0</v>
      </c>
      <c r="H603" s="1124" t="e">
        <v>#REF!</v>
      </c>
      <c r="I603" s="1124" t="e">
        <v>#REF!</v>
      </c>
      <c r="J603" s="1124" t="e">
        <v>#REF!</v>
      </c>
      <c r="K603" s="1124" t="e">
        <v>#REF!</v>
      </c>
    </row>
    <row r="604" spans="1:11" ht="60">
      <c r="A604" s="1120">
        <v>598</v>
      </c>
      <c r="B604" s="1121" t="s">
        <v>10309</v>
      </c>
      <c r="C604" s="1122" t="s">
        <v>10310</v>
      </c>
      <c r="D604" s="1123" t="s">
        <v>10250</v>
      </c>
      <c r="E604" s="1124">
        <v>1920</v>
      </c>
      <c r="F604" s="1124">
        <v>578890</v>
      </c>
      <c r="G604" s="1124">
        <v>0</v>
      </c>
      <c r="H604" s="1124" t="e">
        <v>#REF!</v>
      </c>
      <c r="I604" s="1124" t="e">
        <v>#REF!</v>
      </c>
      <c r="J604" s="1124" t="e">
        <v>#REF!</v>
      </c>
      <c r="K604" s="1124" t="e">
        <v>#REF!</v>
      </c>
    </row>
    <row r="605" spans="1:11" ht="60">
      <c r="A605" s="1120">
        <v>599</v>
      </c>
      <c r="B605" s="1121" t="s">
        <v>10311</v>
      </c>
      <c r="C605" s="1122" t="s">
        <v>10312</v>
      </c>
      <c r="D605" s="1123" t="s">
        <v>10250</v>
      </c>
      <c r="E605" s="1124">
        <v>3390</v>
      </c>
      <c r="F605" s="1124">
        <v>619412.30000000005</v>
      </c>
      <c r="G605" s="1124">
        <v>0</v>
      </c>
      <c r="H605" s="1124" t="e">
        <v>#REF!</v>
      </c>
      <c r="I605" s="1124" t="e">
        <v>#REF!</v>
      </c>
      <c r="J605" s="1124" t="e">
        <v>#REF!</v>
      </c>
      <c r="K605" s="1124" t="e">
        <v>#REF!</v>
      </c>
    </row>
    <row r="606" spans="1:11" ht="60">
      <c r="A606" s="1120">
        <v>600</v>
      </c>
      <c r="B606" s="1121" t="s">
        <v>10313</v>
      </c>
      <c r="C606" s="1122" t="s">
        <v>10314</v>
      </c>
      <c r="D606" s="1123" t="s">
        <v>10250</v>
      </c>
      <c r="E606" s="1124">
        <v>3390</v>
      </c>
      <c r="F606" s="1124">
        <v>677301.3</v>
      </c>
      <c r="G606" s="1124">
        <v>0</v>
      </c>
      <c r="H606" s="1124" t="e">
        <v>#REF!</v>
      </c>
      <c r="I606" s="1124" t="e">
        <v>#REF!</v>
      </c>
      <c r="J606" s="1124" t="e">
        <v>#REF!</v>
      </c>
      <c r="K606" s="1124" t="e">
        <v>#REF!</v>
      </c>
    </row>
    <row r="607" spans="1:11" ht="60">
      <c r="A607" s="1120">
        <v>601</v>
      </c>
      <c r="B607" s="1121" t="s">
        <v>10315</v>
      </c>
      <c r="C607" s="1122" t="s">
        <v>10316</v>
      </c>
      <c r="D607" s="1123" t="s">
        <v>10250</v>
      </c>
      <c r="E607" s="1124">
        <v>3390</v>
      </c>
      <c r="F607" s="1124">
        <v>775712.6</v>
      </c>
      <c r="G607" s="1124">
        <v>0</v>
      </c>
      <c r="H607" s="1124" t="e">
        <v>#REF!</v>
      </c>
      <c r="I607" s="1124" t="e">
        <v>#REF!</v>
      </c>
      <c r="J607" s="1124" t="e">
        <v>#REF!</v>
      </c>
      <c r="K607" s="1124" t="e">
        <v>#REF!</v>
      </c>
    </row>
    <row r="608" spans="1:11" ht="60">
      <c r="A608" s="1120">
        <v>602</v>
      </c>
      <c r="B608" s="1121" t="s">
        <v>10317</v>
      </c>
      <c r="C608" s="1122" t="s">
        <v>10318</v>
      </c>
      <c r="D608" s="1123" t="s">
        <v>10250</v>
      </c>
      <c r="E608" s="1124">
        <v>3390</v>
      </c>
      <c r="F608" s="1124">
        <v>862546.1</v>
      </c>
      <c r="G608" s="1124">
        <v>0</v>
      </c>
      <c r="H608" s="1124" t="e">
        <v>#REF!</v>
      </c>
      <c r="I608" s="1124" t="e">
        <v>#REF!</v>
      </c>
      <c r="J608" s="1124" t="e">
        <v>#REF!</v>
      </c>
      <c r="K608" s="1124" t="e">
        <v>#REF!</v>
      </c>
    </row>
    <row r="609" spans="1:11" ht="60">
      <c r="A609" s="1120">
        <v>603</v>
      </c>
      <c r="B609" s="1121" t="s">
        <v>10319</v>
      </c>
      <c r="C609" s="1122" t="s">
        <v>10320</v>
      </c>
      <c r="D609" s="1123" t="s">
        <v>10250</v>
      </c>
      <c r="E609" s="1124">
        <v>3390</v>
      </c>
      <c r="F609" s="1124">
        <v>949379.6</v>
      </c>
      <c r="G609" s="1124">
        <v>0</v>
      </c>
      <c r="H609" s="1124" t="e">
        <v>#REF!</v>
      </c>
      <c r="I609" s="1124" t="e">
        <v>#REF!</v>
      </c>
      <c r="J609" s="1124" t="e">
        <v>#REF!</v>
      </c>
      <c r="K609" s="1124" t="e">
        <v>#REF!</v>
      </c>
    </row>
    <row r="610" spans="1:11" ht="60">
      <c r="A610" s="1120">
        <v>604</v>
      </c>
      <c r="B610" s="1121" t="s">
        <v>10321</v>
      </c>
      <c r="C610" s="1122" t="s">
        <v>10322</v>
      </c>
      <c r="D610" s="1123" t="s">
        <v>10250</v>
      </c>
      <c r="E610" s="1124">
        <v>3390</v>
      </c>
      <c r="F610" s="1124">
        <v>1027529.8</v>
      </c>
      <c r="G610" s="1124">
        <v>0</v>
      </c>
      <c r="H610" s="1124" t="e">
        <v>#REF!</v>
      </c>
      <c r="I610" s="1124" t="e">
        <v>#REF!</v>
      </c>
      <c r="J610" s="1124" t="e">
        <v>#REF!</v>
      </c>
      <c r="K610" s="1124" t="e">
        <v>#REF!</v>
      </c>
    </row>
    <row r="611" spans="1:11" ht="60">
      <c r="A611" s="1120">
        <v>605</v>
      </c>
      <c r="B611" s="1121" t="s">
        <v>10323</v>
      </c>
      <c r="C611" s="1122" t="s">
        <v>10324</v>
      </c>
      <c r="D611" s="1123" t="s">
        <v>10250</v>
      </c>
      <c r="E611" s="1124">
        <v>825</v>
      </c>
      <c r="F611" s="1124">
        <v>86833.5</v>
      </c>
      <c r="G611" s="1124">
        <v>0</v>
      </c>
      <c r="H611" s="1124" t="e">
        <v>#REF!</v>
      </c>
      <c r="I611" s="1124" t="e">
        <v>#REF!</v>
      </c>
      <c r="J611" s="1124" t="e">
        <v>#REF!</v>
      </c>
      <c r="K611" s="1124" t="e">
        <v>#REF!</v>
      </c>
    </row>
    <row r="612" spans="1:11" ht="60">
      <c r="A612" s="1120">
        <v>606</v>
      </c>
      <c r="B612" s="1121" t="s">
        <v>10325</v>
      </c>
      <c r="C612" s="1122" t="s">
        <v>10326</v>
      </c>
      <c r="D612" s="1123" t="s">
        <v>10250</v>
      </c>
      <c r="E612" s="1124">
        <v>825</v>
      </c>
      <c r="F612" s="1124">
        <v>89728</v>
      </c>
      <c r="G612" s="1124">
        <v>0</v>
      </c>
      <c r="H612" s="1124" t="e">
        <v>#REF!</v>
      </c>
      <c r="I612" s="1124" t="e">
        <v>#REF!</v>
      </c>
      <c r="J612" s="1124" t="e">
        <v>#REF!</v>
      </c>
      <c r="K612" s="1124" t="e">
        <v>#REF!</v>
      </c>
    </row>
    <row r="613" spans="1:11" ht="60">
      <c r="A613" s="1120">
        <v>607</v>
      </c>
      <c r="B613" s="1121" t="s">
        <v>10327</v>
      </c>
      <c r="C613" s="1122" t="s">
        <v>10328</v>
      </c>
      <c r="D613" s="1123" t="s">
        <v>10250</v>
      </c>
      <c r="E613" s="1124">
        <v>825</v>
      </c>
      <c r="F613" s="1124">
        <v>98411.3</v>
      </c>
      <c r="G613" s="1124">
        <v>0</v>
      </c>
      <c r="H613" s="1124" t="e">
        <v>#REF!</v>
      </c>
      <c r="I613" s="1124" t="e">
        <v>#REF!</v>
      </c>
      <c r="J613" s="1124" t="e">
        <v>#REF!</v>
      </c>
      <c r="K613" s="1124" t="e">
        <v>#REF!</v>
      </c>
    </row>
    <row r="614" spans="1:11" ht="60">
      <c r="A614" s="1120">
        <v>608</v>
      </c>
      <c r="B614" s="1121" t="s">
        <v>10329</v>
      </c>
      <c r="C614" s="1122" t="s">
        <v>10330</v>
      </c>
      <c r="D614" s="1123" t="s">
        <v>10250</v>
      </c>
      <c r="E614" s="1124">
        <v>825</v>
      </c>
      <c r="F614" s="1124">
        <v>115778</v>
      </c>
      <c r="G614" s="1124">
        <v>0</v>
      </c>
      <c r="H614" s="1124" t="e">
        <v>#REF!</v>
      </c>
      <c r="I614" s="1124" t="e">
        <v>#REF!</v>
      </c>
      <c r="J614" s="1124" t="e">
        <v>#REF!</v>
      </c>
      <c r="K614" s="1124" t="e">
        <v>#REF!</v>
      </c>
    </row>
    <row r="615" spans="1:11" ht="60">
      <c r="A615" s="1120">
        <v>609</v>
      </c>
      <c r="B615" s="1121" t="s">
        <v>10331</v>
      </c>
      <c r="C615" s="1122" t="s">
        <v>10332</v>
      </c>
      <c r="D615" s="1123" t="s">
        <v>10250</v>
      </c>
      <c r="E615" s="1124">
        <v>825</v>
      </c>
      <c r="F615" s="1124">
        <v>156300.29999999999</v>
      </c>
      <c r="G615" s="1124">
        <v>0</v>
      </c>
      <c r="H615" s="1124" t="e">
        <v>#REF!</v>
      </c>
      <c r="I615" s="1124" t="e">
        <v>#REF!</v>
      </c>
      <c r="J615" s="1124" t="e">
        <v>#REF!</v>
      </c>
      <c r="K615" s="1124" t="e">
        <v>#REF!</v>
      </c>
    </row>
    <row r="616" spans="1:11" ht="45">
      <c r="A616" s="1120">
        <v>610</v>
      </c>
      <c r="B616" s="1121" t="s">
        <v>10333</v>
      </c>
      <c r="C616" s="1122" t="s">
        <v>10334</v>
      </c>
      <c r="D616" s="1123" t="s">
        <v>10250</v>
      </c>
      <c r="E616" s="1124">
        <v>1395</v>
      </c>
      <c r="F616" s="1124">
        <v>193928.2</v>
      </c>
      <c r="G616" s="1124">
        <v>0</v>
      </c>
      <c r="H616" s="1124" t="e">
        <v>#REF!</v>
      </c>
      <c r="I616" s="1124" t="e">
        <v>#REF!</v>
      </c>
      <c r="J616" s="1124" t="e">
        <v>#REF!</v>
      </c>
      <c r="K616" s="1124" t="e">
        <v>#REF!</v>
      </c>
    </row>
    <row r="617" spans="1:11" ht="45">
      <c r="A617" s="1120">
        <v>611</v>
      </c>
      <c r="B617" s="1121" t="s">
        <v>10335</v>
      </c>
      <c r="C617" s="1122" t="s">
        <v>10336</v>
      </c>
      <c r="D617" s="1123" t="s">
        <v>10250</v>
      </c>
      <c r="E617" s="1124">
        <v>1395</v>
      </c>
      <c r="F617" s="1124">
        <v>205506</v>
      </c>
      <c r="G617" s="1124">
        <v>0</v>
      </c>
      <c r="H617" s="1124" t="e">
        <v>#REF!</v>
      </c>
      <c r="I617" s="1124" t="e">
        <v>#REF!</v>
      </c>
      <c r="J617" s="1124" t="e">
        <v>#REF!</v>
      </c>
      <c r="K617" s="1124" t="e">
        <v>#REF!</v>
      </c>
    </row>
    <row r="618" spans="1:11" ht="45">
      <c r="A618" s="1120">
        <v>612</v>
      </c>
      <c r="B618" s="1121" t="s">
        <v>10337</v>
      </c>
      <c r="C618" s="1122" t="s">
        <v>10338</v>
      </c>
      <c r="D618" s="1123" t="s">
        <v>10250</v>
      </c>
      <c r="E618" s="1124">
        <v>1395</v>
      </c>
      <c r="F618" s="1124">
        <v>222872.7</v>
      </c>
      <c r="G618" s="1124">
        <v>0</v>
      </c>
      <c r="H618" s="1124" t="e">
        <v>#REF!</v>
      </c>
      <c r="I618" s="1124" t="e">
        <v>#REF!</v>
      </c>
      <c r="J618" s="1124" t="e">
        <v>#REF!</v>
      </c>
      <c r="K618" s="1124" t="e">
        <v>#REF!</v>
      </c>
    </row>
    <row r="619" spans="1:11" ht="45">
      <c r="A619" s="1120">
        <v>613</v>
      </c>
      <c r="B619" s="1121" t="s">
        <v>10339</v>
      </c>
      <c r="C619" s="1122" t="s">
        <v>10340</v>
      </c>
      <c r="D619" s="1123" t="s">
        <v>10250</v>
      </c>
      <c r="E619" s="1124">
        <v>1395</v>
      </c>
      <c r="F619" s="1124">
        <v>257606.1</v>
      </c>
      <c r="G619" s="1124">
        <v>0</v>
      </c>
      <c r="H619" s="1124" t="e">
        <v>#REF!</v>
      </c>
      <c r="I619" s="1124" t="e">
        <v>#REF!</v>
      </c>
      <c r="J619" s="1124" t="e">
        <v>#REF!</v>
      </c>
      <c r="K619" s="1124" t="e">
        <v>#REF!</v>
      </c>
    </row>
    <row r="620" spans="1:11" ht="45">
      <c r="A620" s="1120">
        <v>614</v>
      </c>
      <c r="B620" s="1121" t="s">
        <v>10341</v>
      </c>
      <c r="C620" s="1122" t="s">
        <v>10342</v>
      </c>
      <c r="D620" s="1123" t="s">
        <v>10250</v>
      </c>
      <c r="E620" s="1124">
        <v>1395</v>
      </c>
      <c r="F620" s="1124">
        <v>283656.09999999998</v>
      </c>
      <c r="G620" s="1124">
        <v>0</v>
      </c>
      <c r="H620" s="1124" t="e">
        <v>#REF!</v>
      </c>
      <c r="I620" s="1124" t="e">
        <v>#REF!</v>
      </c>
      <c r="J620" s="1124" t="e">
        <v>#REF!</v>
      </c>
      <c r="K620" s="1124" t="e">
        <v>#REF!</v>
      </c>
    </row>
    <row r="621" spans="1:11" ht="45">
      <c r="A621" s="1120">
        <v>615</v>
      </c>
      <c r="B621" s="1121" t="s">
        <v>10343</v>
      </c>
      <c r="C621" s="1122" t="s">
        <v>10344</v>
      </c>
      <c r="D621" s="1123" t="s">
        <v>10250</v>
      </c>
      <c r="E621" s="1124">
        <v>1395</v>
      </c>
      <c r="F621" s="1124">
        <v>312600.59999999998</v>
      </c>
      <c r="G621" s="1124">
        <v>0</v>
      </c>
      <c r="H621" s="1124" t="e">
        <v>#REF!</v>
      </c>
      <c r="I621" s="1124" t="e">
        <v>#REF!</v>
      </c>
      <c r="J621" s="1124" t="e">
        <v>#REF!</v>
      </c>
      <c r="K621" s="1124" t="e">
        <v>#REF!</v>
      </c>
    </row>
    <row r="622" spans="1:11" ht="45">
      <c r="A622" s="1120">
        <v>616</v>
      </c>
      <c r="B622" s="1121" t="s">
        <v>10345</v>
      </c>
      <c r="C622" s="1122" t="s">
        <v>10346</v>
      </c>
      <c r="D622" s="1123" t="s">
        <v>10250</v>
      </c>
      <c r="E622" s="1124">
        <v>1395</v>
      </c>
      <c r="F622" s="1124">
        <v>344439.6</v>
      </c>
      <c r="G622" s="1124">
        <v>0</v>
      </c>
      <c r="H622" s="1124" t="e">
        <v>#REF!</v>
      </c>
      <c r="I622" s="1124" t="e">
        <v>#REF!</v>
      </c>
      <c r="J622" s="1124" t="e">
        <v>#REF!</v>
      </c>
      <c r="K622" s="1124" t="e">
        <v>#REF!</v>
      </c>
    </row>
    <row r="623" spans="1:11" ht="45">
      <c r="A623" s="1120">
        <v>617</v>
      </c>
      <c r="B623" s="1121" t="s">
        <v>10347</v>
      </c>
      <c r="C623" s="1122" t="s">
        <v>10348</v>
      </c>
      <c r="D623" s="1123" t="s">
        <v>10250</v>
      </c>
      <c r="E623" s="1124">
        <v>1920</v>
      </c>
      <c r="F623" s="1124">
        <v>295233.90000000002</v>
      </c>
      <c r="G623" s="1124">
        <v>0</v>
      </c>
      <c r="H623" s="1124" t="e">
        <v>#REF!</v>
      </c>
      <c r="I623" s="1124" t="e">
        <v>#REF!</v>
      </c>
      <c r="J623" s="1124" t="e">
        <v>#REF!</v>
      </c>
      <c r="K623" s="1124" t="e">
        <v>#REF!</v>
      </c>
    </row>
    <row r="624" spans="1:11" ht="45">
      <c r="A624" s="1120">
        <v>618</v>
      </c>
      <c r="B624" s="1121" t="s">
        <v>10349</v>
      </c>
      <c r="C624" s="1122" t="s">
        <v>10350</v>
      </c>
      <c r="D624" s="1123" t="s">
        <v>10250</v>
      </c>
      <c r="E624" s="1124">
        <v>1920</v>
      </c>
      <c r="F624" s="1124">
        <v>309706.2</v>
      </c>
      <c r="G624" s="1124">
        <v>0</v>
      </c>
      <c r="H624" s="1124" t="e">
        <v>#REF!</v>
      </c>
      <c r="I624" s="1124" t="e">
        <v>#REF!</v>
      </c>
      <c r="J624" s="1124" t="e">
        <v>#REF!</v>
      </c>
      <c r="K624" s="1124" t="e">
        <v>#REF!</v>
      </c>
    </row>
    <row r="625" spans="1:11" ht="45">
      <c r="A625" s="1120">
        <v>619</v>
      </c>
      <c r="B625" s="1121" t="s">
        <v>10351</v>
      </c>
      <c r="C625" s="1122" t="s">
        <v>10352</v>
      </c>
      <c r="D625" s="1123" t="s">
        <v>10250</v>
      </c>
      <c r="E625" s="1124">
        <v>1920</v>
      </c>
      <c r="F625" s="1124">
        <v>338650.7</v>
      </c>
      <c r="G625" s="1124">
        <v>0</v>
      </c>
      <c r="H625" s="1124" t="e">
        <v>#REF!</v>
      </c>
      <c r="I625" s="1124" t="e">
        <v>#REF!</v>
      </c>
      <c r="J625" s="1124" t="e">
        <v>#REF!</v>
      </c>
      <c r="K625" s="1124" t="e">
        <v>#REF!</v>
      </c>
    </row>
    <row r="626" spans="1:11" ht="45">
      <c r="A626" s="1120">
        <v>620</v>
      </c>
      <c r="B626" s="1121" t="s">
        <v>10353</v>
      </c>
      <c r="C626" s="1122" t="s">
        <v>10354</v>
      </c>
      <c r="D626" s="1123" t="s">
        <v>10250</v>
      </c>
      <c r="E626" s="1124">
        <v>1920</v>
      </c>
      <c r="F626" s="1124">
        <v>387856.3</v>
      </c>
      <c r="G626" s="1124">
        <v>0</v>
      </c>
      <c r="H626" s="1124" t="e">
        <v>#REF!</v>
      </c>
      <c r="I626" s="1124" t="e">
        <v>#REF!</v>
      </c>
      <c r="J626" s="1124" t="e">
        <v>#REF!</v>
      </c>
      <c r="K626" s="1124" t="e">
        <v>#REF!</v>
      </c>
    </row>
    <row r="627" spans="1:11" ht="45">
      <c r="A627" s="1120">
        <v>621</v>
      </c>
      <c r="B627" s="1121" t="s">
        <v>10355</v>
      </c>
      <c r="C627" s="1122" t="s">
        <v>10356</v>
      </c>
      <c r="D627" s="1123" t="s">
        <v>10250</v>
      </c>
      <c r="E627" s="1124">
        <v>1920</v>
      </c>
      <c r="F627" s="1124">
        <v>431273.1</v>
      </c>
      <c r="G627" s="1124">
        <v>0</v>
      </c>
      <c r="H627" s="1124" t="e">
        <v>#REF!</v>
      </c>
      <c r="I627" s="1124" t="e">
        <v>#REF!</v>
      </c>
      <c r="J627" s="1124" t="e">
        <v>#REF!</v>
      </c>
      <c r="K627" s="1124" t="e">
        <v>#REF!</v>
      </c>
    </row>
    <row r="628" spans="1:11" ht="45">
      <c r="A628" s="1120">
        <v>622</v>
      </c>
      <c r="B628" s="1121" t="s">
        <v>10357</v>
      </c>
      <c r="C628" s="1122" t="s">
        <v>10358</v>
      </c>
      <c r="D628" s="1123" t="s">
        <v>10250</v>
      </c>
      <c r="E628" s="1124">
        <v>1920</v>
      </c>
      <c r="F628" s="1124">
        <v>474689.8</v>
      </c>
      <c r="G628" s="1124">
        <v>0</v>
      </c>
      <c r="H628" s="1124" t="e">
        <v>#REF!</v>
      </c>
      <c r="I628" s="1124" t="e">
        <v>#REF!</v>
      </c>
      <c r="J628" s="1124" t="e">
        <v>#REF!</v>
      </c>
      <c r="K628" s="1124" t="e">
        <v>#REF!</v>
      </c>
    </row>
    <row r="629" spans="1:11" ht="45">
      <c r="A629" s="1120">
        <v>623</v>
      </c>
      <c r="B629" s="1121" t="s">
        <v>10359</v>
      </c>
      <c r="C629" s="1122" t="s">
        <v>10360</v>
      </c>
      <c r="D629" s="1123" t="s">
        <v>10250</v>
      </c>
      <c r="E629" s="1124">
        <v>1920</v>
      </c>
      <c r="F629" s="1124">
        <v>521001</v>
      </c>
      <c r="G629" s="1124">
        <v>0</v>
      </c>
      <c r="H629" s="1124" t="e">
        <v>#REF!</v>
      </c>
      <c r="I629" s="1124" t="e">
        <v>#REF!</v>
      </c>
      <c r="J629" s="1124" t="e">
        <v>#REF!</v>
      </c>
      <c r="K629" s="1124" t="e">
        <v>#REF!</v>
      </c>
    </row>
    <row r="630" spans="1:11" ht="45">
      <c r="A630" s="1120">
        <v>624</v>
      </c>
      <c r="B630" s="1121" t="s">
        <v>10361</v>
      </c>
      <c r="C630" s="1122" t="s">
        <v>10362</v>
      </c>
      <c r="D630" s="1123" t="s">
        <v>10250</v>
      </c>
      <c r="E630" s="1124">
        <v>3390</v>
      </c>
      <c r="F630" s="1124">
        <v>558628.9</v>
      </c>
      <c r="G630" s="1124">
        <v>0</v>
      </c>
      <c r="H630" s="1124" t="e">
        <v>#REF!</v>
      </c>
      <c r="I630" s="1124" t="e">
        <v>#REF!</v>
      </c>
      <c r="J630" s="1124" t="e">
        <v>#REF!</v>
      </c>
      <c r="K630" s="1124" t="e">
        <v>#REF!</v>
      </c>
    </row>
    <row r="631" spans="1:11" ht="45">
      <c r="A631" s="1120">
        <v>625</v>
      </c>
      <c r="B631" s="1121" t="s">
        <v>10363</v>
      </c>
      <c r="C631" s="1122" t="s">
        <v>10364</v>
      </c>
      <c r="D631" s="1123" t="s">
        <v>10250</v>
      </c>
      <c r="E631" s="1124">
        <v>3390</v>
      </c>
      <c r="F631" s="1124">
        <v>607834.5</v>
      </c>
      <c r="G631" s="1124">
        <v>0</v>
      </c>
      <c r="H631" s="1124" t="e">
        <v>#REF!</v>
      </c>
      <c r="I631" s="1124" t="e">
        <v>#REF!</v>
      </c>
      <c r="J631" s="1124" t="e">
        <v>#REF!</v>
      </c>
      <c r="K631" s="1124" t="e">
        <v>#REF!</v>
      </c>
    </row>
    <row r="632" spans="1:11" ht="45">
      <c r="A632" s="1120">
        <v>626</v>
      </c>
      <c r="B632" s="1121" t="s">
        <v>10365</v>
      </c>
      <c r="C632" s="1122" t="s">
        <v>10366</v>
      </c>
      <c r="D632" s="1123" t="s">
        <v>10250</v>
      </c>
      <c r="E632" s="1124">
        <v>3390</v>
      </c>
      <c r="F632" s="1124">
        <v>697562.5</v>
      </c>
      <c r="G632" s="1124">
        <v>0</v>
      </c>
      <c r="H632" s="1124" t="e">
        <v>#REF!</v>
      </c>
      <c r="I632" s="1124" t="e">
        <v>#REF!</v>
      </c>
      <c r="J632" s="1124" t="e">
        <v>#REF!</v>
      </c>
      <c r="K632" s="1124" t="e">
        <v>#REF!</v>
      </c>
    </row>
    <row r="633" spans="1:11" ht="45">
      <c r="A633" s="1120">
        <v>627</v>
      </c>
      <c r="B633" s="1121" t="s">
        <v>10367</v>
      </c>
      <c r="C633" s="1122" t="s">
        <v>10368</v>
      </c>
      <c r="D633" s="1123" t="s">
        <v>10250</v>
      </c>
      <c r="E633" s="1124">
        <v>3390</v>
      </c>
      <c r="F633" s="1124">
        <v>775712.6</v>
      </c>
      <c r="G633" s="1124">
        <v>0</v>
      </c>
      <c r="H633" s="1124" t="e">
        <v>#REF!</v>
      </c>
      <c r="I633" s="1124" t="e">
        <v>#REF!</v>
      </c>
      <c r="J633" s="1124" t="e">
        <v>#REF!</v>
      </c>
      <c r="K633" s="1124" t="e">
        <v>#REF!</v>
      </c>
    </row>
    <row r="634" spans="1:11" ht="45">
      <c r="A634" s="1120">
        <v>628</v>
      </c>
      <c r="B634" s="1121" t="s">
        <v>10369</v>
      </c>
      <c r="C634" s="1122" t="s">
        <v>10370</v>
      </c>
      <c r="D634" s="1123" t="s">
        <v>10250</v>
      </c>
      <c r="E634" s="1124">
        <v>3390</v>
      </c>
      <c r="F634" s="1124">
        <v>853862.8</v>
      </c>
      <c r="G634" s="1124">
        <v>0</v>
      </c>
      <c r="H634" s="1124" t="e">
        <v>#REF!</v>
      </c>
      <c r="I634" s="1124" t="e">
        <v>#REF!</v>
      </c>
      <c r="J634" s="1124" t="e">
        <v>#REF!</v>
      </c>
      <c r="K634" s="1124" t="e">
        <v>#REF!</v>
      </c>
    </row>
    <row r="635" spans="1:11" ht="45">
      <c r="A635" s="1120">
        <v>629</v>
      </c>
      <c r="B635" s="1121" t="s">
        <v>10371</v>
      </c>
      <c r="C635" s="1122" t="s">
        <v>10372</v>
      </c>
      <c r="D635" s="1123" t="s">
        <v>10250</v>
      </c>
      <c r="E635" s="1124">
        <v>3390</v>
      </c>
      <c r="F635" s="1124">
        <v>940696.3</v>
      </c>
      <c r="G635" s="1124">
        <v>0</v>
      </c>
      <c r="H635" s="1124" t="e">
        <v>#REF!</v>
      </c>
      <c r="I635" s="1124" t="e">
        <v>#REF!</v>
      </c>
      <c r="J635" s="1124" t="e">
        <v>#REF!</v>
      </c>
      <c r="K635" s="1124" t="e">
        <v>#REF!</v>
      </c>
    </row>
    <row r="636" spans="1:11" ht="60">
      <c r="A636" s="1120">
        <v>630</v>
      </c>
      <c r="B636" s="1121" t="s">
        <v>10373</v>
      </c>
      <c r="C636" s="1122" t="s">
        <v>10374</v>
      </c>
      <c r="D636" s="1123" t="s">
        <v>10250</v>
      </c>
      <c r="E636" s="1124">
        <v>825</v>
      </c>
      <c r="F636" s="1124">
        <v>107094.7</v>
      </c>
      <c r="G636" s="1124">
        <v>0</v>
      </c>
      <c r="H636" s="1124" t="e">
        <v>#REF!</v>
      </c>
      <c r="I636" s="1124" t="e">
        <v>#REF!</v>
      </c>
      <c r="J636" s="1124" t="e">
        <v>#REF!</v>
      </c>
      <c r="K636" s="1124" t="e">
        <v>#REF!</v>
      </c>
    </row>
    <row r="637" spans="1:11" ht="60">
      <c r="A637" s="1120">
        <v>631</v>
      </c>
      <c r="B637" s="1121" t="s">
        <v>10375</v>
      </c>
      <c r="C637" s="1122" t="s">
        <v>10376</v>
      </c>
      <c r="D637" s="1123" t="s">
        <v>10250</v>
      </c>
      <c r="E637" s="1124">
        <v>825</v>
      </c>
      <c r="F637" s="1124">
        <v>112883.6</v>
      </c>
      <c r="G637" s="1124">
        <v>0</v>
      </c>
      <c r="H637" s="1124" t="e">
        <v>#REF!</v>
      </c>
      <c r="I637" s="1124" t="e">
        <v>#REF!</v>
      </c>
      <c r="J637" s="1124" t="e">
        <v>#REF!</v>
      </c>
      <c r="K637" s="1124" t="e">
        <v>#REF!</v>
      </c>
    </row>
    <row r="638" spans="1:11" ht="60">
      <c r="A638" s="1120">
        <v>632</v>
      </c>
      <c r="B638" s="1121" t="s">
        <v>10377</v>
      </c>
      <c r="C638" s="1122" t="s">
        <v>10378</v>
      </c>
      <c r="D638" s="1123" t="s">
        <v>10250</v>
      </c>
      <c r="E638" s="1124">
        <v>825</v>
      </c>
      <c r="F638" s="1124">
        <v>127355.8</v>
      </c>
      <c r="G638" s="1124">
        <v>0</v>
      </c>
      <c r="H638" s="1124" t="e">
        <v>#REF!</v>
      </c>
      <c r="I638" s="1124" t="e">
        <v>#REF!</v>
      </c>
      <c r="J638" s="1124" t="e">
        <v>#REF!</v>
      </c>
      <c r="K638" s="1124" t="e">
        <v>#REF!</v>
      </c>
    </row>
    <row r="639" spans="1:11" ht="60">
      <c r="A639" s="1120">
        <v>633</v>
      </c>
      <c r="B639" s="1121" t="s">
        <v>10379</v>
      </c>
      <c r="C639" s="1122" t="s">
        <v>10380</v>
      </c>
      <c r="D639" s="1123" t="s">
        <v>10250</v>
      </c>
      <c r="E639" s="1124">
        <v>825</v>
      </c>
      <c r="F639" s="1124">
        <v>141828.1</v>
      </c>
      <c r="G639" s="1124">
        <v>0</v>
      </c>
      <c r="H639" s="1124" t="e">
        <v>#REF!</v>
      </c>
      <c r="I639" s="1124" t="e">
        <v>#REF!</v>
      </c>
      <c r="J639" s="1124" t="e">
        <v>#REF!</v>
      </c>
      <c r="K639" s="1124" t="e">
        <v>#REF!</v>
      </c>
    </row>
    <row r="640" spans="1:11" ht="60">
      <c r="A640" s="1120">
        <v>634</v>
      </c>
      <c r="B640" s="1121" t="s">
        <v>10381</v>
      </c>
      <c r="C640" s="1122" t="s">
        <v>10382</v>
      </c>
      <c r="D640" s="1123" t="s">
        <v>10250</v>
      </c>
      <c r="E640" s="1124">
        <v>825</v>
      </c>
      <c r="F640" s="1124">
        <v>156300.29999999999</v>
      </c>
      <c r="G640" s="1124">
        <v>0</v>
      </c>
      <c r="H640" s="1124" t="e">
        <v>#REF!</v>
      </c>
      <c r="I640" s="1124" t="e">
        <v>#REF!</v>
      </c>
      <c r="J640" s="1124" t="e">
        <v>#REF!</v>
      </c>
      <c r="K640" s="1124" t="e">
        <v>#REF!</v>
      </c>
    </row>
    <row r="641" spans="1:11" ht="45">
      <c r="A641" s="1120">
        <v>635</v>
      </c>
      <c r="B641" s="1121" t="s">
        <v>10383</v>
      </c>
      <c r="C641" s="1122" t="s">
        <v>10384</v>
      </c>
      <c r="D641" s="1123" t="s">
        <v>10250</v>
      </c>
      <c r="E641" s="1124">
        <v>1395</v>
      </c>
      <c r="F641" s="1124">
        <v>243133.8</v>
      </c>
      <c r="G641" s="1124">
        <v>0</v>
      </c>
      <c r="H641" s="1124" t="e">
        <v>#REF!</v>
      </c>
      <c r="I641" s="1124" t="e">
        <v>#REF!</v>
      </c>
      <c r="J641" s="1124" t="e">
        <v>#REF!</v>
      </c>
      <c r="K641" s="1124" t="e">
        <v>#REF!</v>
      </c>
    </row>
    <row r="642" spans="1:11" ht="45">
      <c r="A642" s="1120">
        <v>636</v>
      </c>
      <c r="B642" s="1121" t="s">
        <v>10385</v>
      </c>
      <c r="C642" s="1122" t="s">
        <v>10386</v>
      </c>
      <c r="D642" s="1123" t="s">
        <v>10250</v>
      </c>
      <c r="E642" s="1124">
        <v>1395</v>
      </c>
      <c r="F642" s="1124">
        <v>257606.1</v>
      </c>
      <c r="G642" s="1124">
        <v>0</v>
      </c>
      <c r="H642" s="1124" t="e">
        <v>#REF!</v>
      </c>
      <c r="I642" s="1124" t="e">
        <v>#REF!</v>
      </c>
      <c r="J642" s="1124" t="e">
        <v>#REF!</v>
      </c>
      <c r="K642" s="1124" t="e">
        <v>#REF!</v>
      </c>
    </row>
    <row r="643" spans="1:11" ht="45">
      <c r="A643" s="1120">
        <v>637</v>
      </c>
      <c r="B643" s="1121" t="s">
        <v>10387</v>
      </c>
      <c r="C643" s="1122" t="s">
        <v>10388</v>
      </c>
      <c r="D643" s="1123" t="s">
        <v>10250</v>
      </c>
      <c r="E643" s="1124">
        <v>1395</v>
      </c>
      <c r="F643" s="1124">
        <v>289445</v>
      </c>
      <c r="G643" s="1124">
        <v>0</v>
      </c>
      <c r="H643" s="1124" t="e">
        <v>#REF!</v>
      </c>
      <c r="I643" s="1124" t="e">
        <v>#REF!</v>
      </c>
      <c r="J643" s="1124" t="e">
        <v>#REF!</v>
      </c>
      <c r="K643" s="1124" t="e">
        <v>#REF!</v>
      </c>
    </row>
    <row r="644" spans="1:11" ht="45">
      <c r="A644" s="1120">
        <v>638</v>
      </c>
      <c r="B644" s="1121" t="s">
        <v>10389</v>
      </c>
      <c r="C644" s="1122" t="s">
        <v>10390</v>
      </c>
      <c r="D644" s="1123" t="s">
        <v>10250</v>
      </c>
      <c r="E644" s="1124">
        <v>1395</v>
      </c>
      <c r="F644" s="1124">
        <v>324178.40000000002</v>
      </c>
      <c r="G644" s="1124">
        <v>0</v>
      </c>
      <c r="H644" s="1124" t="e">
        <v>#REF!</v>
      </c>
      <c r="I644" s="1124" t="e">
        <v>#REF!</v>
      </c>
      <c r="J644" s="1124" t="e">
        <v>#REF!</v>
      </c>
      <c r="K644" s="1124" t="e">
        <v>#REF!</v>
      </c>
    </row>
    <row r="645" spans="1:11" ht="45">
      <c r="A645" s="1120">
        <v>639</v>
      </c>
      <c r="B645" s="1121" t="s">
        <v>10391</v>
      </c>
      <c r="C645" s="1122" t="s">
        <v>10392</v>
      </c>
      <c r="D645" s="1123" t="s">
        <v>10250</v>
      </c>
      <c r="E645" s="1124">
        <v>1395</v>
      </c>
      <c r="F645" s="1124">
        <v>353122.9</v>
      </c>
      <c r="G645" s="1124">
        <v>0</v>
      </c>
      <c r="H645" s="1124" t="e">
        <v>#REF!</v>
      </c>
      <c r="I645" s="1124" t="e">
        <v>#REF!</v>
      </c>
      <c r="J645" s="1124" t="e">
        <v>#REF!</v>
      </c>
      <c r="K645" s="1124" t="e">
        <v>#REF!</v>
      </c>
    </row>
    <row r="646" spans="1:11" ht="45">
      <c r="A646" s="1120">
        <v>640</v>
      </c>
      <c r="B646" s="1121" t="s">
        <v>10393</v>
      </c>
      <c r="C646" s="1122" t="s">
        <v>10394</v>
      </c>
      <c r="D646" s="1123" t="s">
        <v>10250</v>
      </c>
      <c r="E646" s="1124">
        <v>1395</v>
      </c>
      <c r="F646" s="1124">
        <v>390750.8</v>
      </c>
      <c r="G646" s="1124">
        <v>0</v>
      </c>
      <c r="H646" s="1124" t="e">
        <v>#REF!</v>
      </c>
      <c r="I646" s="1124" t="e">
        <v>#REF!</v>
      </c>
      <c r="J646" s="1124" t="e">
        <v>#REF!</v>
      </c>
      <c r="K646" s="1124" t="e">
        <v>#REF!</v>
      </c>
    </row>
    <row r="647" spans="1:11" ht="45">
      <c r="A647" s="1120">
        <v>641</v>
      </c>
      <c r="B647" s="1121" t="s">
        <v>10395</v>
      </c>
      <c r="C647" s="1122" t="s">
        <v>10396</v>
      </c>
      <c r="D647" s="1123" t="s">
        <v>10250</v>
      </c>
      <c r="E647" s="1124">
        <v>1395</v>
      </c>
      <c r="F647" s="1124">
        <v>428378.6</v>
      </c>
      <c r="G647" s="1124">
        <v>0</v>
      </c>
      <c r="H647" s="1124" t="e">
        <v>#REF!</v>
      </c>
      <c r="I647" s="1124" t="e">
        <v>#REF!</v>
      </c>
      <c r="J647" s="1124" t="e">
        <v>#REF!</v>
      </c>
      <c r="K647" s="1124" t="e">
        <v>#REF!</v>
      </c>
    </row>
    <row r="648" spans="1:11" ht="45">
      <c r="A648" s="1120">
        <v>642</v>
      </c>
      <c r="B648" s="1121" t="s">
        <v>10397</v>
      </c>
      <c r="C648" s="1122" t="s">
        <v>10398</v>
      </c>
      <c r="D648" s="1123" t="s">
        <v>10250</v>
      </c>
      <c r="E648" s="1124">
        <v>1920</v>
      </c>
      <c r="F648" s="1124">
        <v>367595.2</v>
      </c>
      <c r="G648" s="1124">
        <v>0</v>
      </c>
      <c r="H648" s="1124" t="e">
        <v>#REF!</v>
      </c>
      <c r="I648" s="1124" t="e">
        <v>#REF!</v>
      </c>
      <c r="J648" s="1124" t="e">
        <v>#REF!</v>
      </c>
      <c r="K648" s="1124" t="e">
        <v>#REF!</v>
      </c>
    </row>
    <row r="649" spans="1:11" ht="45">
      <c r="A649" s="1120">
        <v>643</v>
      </c>
      <c r="B649" s="1121" t="s">
        <v>10399</v>
      </c>
      <c r="C649" s="1122" t="s">
        <v>10400</v>
      </c>
      <c r="D649" s="1123" t="s">
        <v>10250</v>
      </c>
      <c r="E649" s="1124">
        <v>1920</v>
      </c>
      <c r="F649" s="1124">
        <v>387856.3</v>
      </c>
      <c r="G649" s="1124">
        <v>0</v>
      </c>
      <c r="H649" s="1124" t="e">
        <v>#REF!</v>
      </c>
      <c r="I649" s="1124" t="e">
        <v>#REF!</v>
      </c>
      <c r="J649" s="1124" t="e">
        <v>#REF!</v>
      </c>
      <c r="K649" s="1124" t="e">
        <v>#REF!</v>
      </c>
    </row>
    <row r="650" spans="1:11" ht="45">
      <c r="A650" s="1120">
        <v>644</v>
      </c>
      <c r="B650" s="1121" t="s">
        <v>10401</v>
      </c>
      <c r="C650" s="1122" t="s">
        <v>10402</v>
      </c>
      <c r="D650" s="1123" t="s">
        <v>10250</v>
      </c>
      <c r="E650" s="1124">
        <v>1920</v>
      </c>
      <c r="F650" s="1124">
        <v>439956.4</v>
      </c>
      <c r="G650" s="1124">
        <v>0</v>
      </c>
      <c r="H650" s="1124" t="e">
        <v>#REF!</v>
      </c>
      <c r="I650" s="1124" t="e">
        <v>#REF!</v>
      </c>
      <c r="J650" s="1124" t="e">
        <v>#REF!</v>
      </c>
      <c r="K650" s="1124" t="e">
        <v>#REF!</v>
      </c>
    </row>
    <row r="651" spans="1:11" ht="45">
      <c r="A651" s="1120">
        <v>645</v>
      </c>
      <c r="B651" s="1121" t="s">
        <v>10403</v>
      </c>
      <c r="C651" s="1122" t="s">
        <v>10404</v>
      </c>
      <c r="D651" s="1123" t="s">
        <v>10250</v>
      </c>
      <c r="E651" s="1124">
        <v>1920</v>
      </c>
      <c r="F651" s="1124">
        <v>492056.5</v>
      </c>
      <c r="G651" s="1124">
        <v>0</v>
      </c>
      <c r="H651" s="1124" t="e">
        <v>#REF!</v>
      </c>
      <c r="I651" s="1124" t="e">
        <v>#REF!</v>
      </c>
      <c r="J651" s="1124" t="e">
        <v>#REF!</v>
      </c>
      <c r="K651" s="1124" t="e">
        <v>#REF!</v>
      </c>
    </row>
    <row r="652" spans="1:11" ht="45">
      <c r="A652" s="1120">
        <v>646</v>
      </c>
      <c r="B652" s="1121" t="s">
        <v>10405</v>
      </c>
      <c r="C652" s="1122" t="s">
        <v>10406</v>
      </c>
      <c r="D652" s="1123" t="s">
        <v>10250</v>
      </c>
      <c r="E652" s="1124">
        <v>1920</v>
      </c>
      <c r="F652" s="1124">
        <v>622306.80000000005</v>
      </c>
      <c r="G652" s="1124">
        <v>0</v>
      </c>
      <c r="H652" s="1124" t="e">
        <v>#REF!</v>
      </c>
      <c r="I652" s="1124" t="e">
        <v>#REF!</v>
      </c>
      <c r="J652" s="1124" t="e">
        <v>#REF!</v>
      </c>
      <c r="K652" s="1124" t="e">
        <v>#REF!</v>
      </c>
    </row>
    <row r="653" spans="1:11" ht="45">
      <c r="A653" s="1120">
        <v>647</v>
      </c>
      <c r="B653" s="1121" t="s">
        <v>10407</v>
      </c>
      <c r="C653" s="1122" t="s">
        <v>10408</v>
      </c>
      <c r="D653" s="1123" t="s">
        <v>10250</v>
      </c>
      <c r="E653" s="1124">
        <v>1920</v>
      </c>
      <c r="F653" s="1124">
        <v>685984.7</v>
      </c>
      <c r="G653" s="1124">
        <v>0</v>
      </c>
      <c r="H653" s="1124" t="e">
        <v>#REF!</v>
      </c>
      <c r="I653" s="1124" t="e">
        <v>#REF!</v>
      </c>
      <c r="J653" s="1124" t="e">
        <v>#REF!</v>
      </c>
      <c r="K653" s="1124" t="e">
        <v>#REF!</v>
      </c>
    </row>
    <row r="654" spans="1:11" ht="45">
      <c r="A654" s="1120">
        <v>648</v>
      </c>
      <c r="B654" s="1121" t="s">
        <v>10409</v>
      </c>
      <c r="C654" s="1122" t="s">
        <v>10410</v>
      </c>
      <c r="D654" s="1123" t="s">
        <v>10250</v>
      </c>
      <c r="E654" s="1124">
        <v>1920</v>
      </c>
      <c r="F654" s="1124">
        <v>752557</v>
      </c>
      <c r="G654" s="1124">
        <v>0</v>
      </c>
      <c r="H654" s="1124" t="e">
        <v>#REF!</v>
      </c>
      <c r="I654" s="1124" t="e">
        <v>#REF!</v>
      </c>
      <c r="J654" s="1124" t="e">
        <v>#REF!</v>
      </c>
      <c r="K654" s="1124" t="e">
        <v>#REF!</v>
      </c>
    </row>
    <row r="655" spans="1:11" ht="45">
      <c r="A655" s="1120">
        <v>649</v>
      </c>
      <c r="B655" s="1121" t="s">
        <v>10411</v>
      </c>
      <c r="C655" s="1122" t="s">
        <v>10412</v>
      </c>
      <c r="D655" s="1123" t="s">
        <v>10250</v>
      </c>
      <c r="E655" s="1124">
        <v>3390</v>
      </c>
      <c r="F655" s="1124">
        <v>697562.5</v>
      </c>
      <c r="G655" s="1124">
        <v>0</v>
      </c>
      <c r="H655" s="1124" t="e">
        <v>#REF!</v>
      </c>
      <c r="I655" s="1124" t="e">
        <v>#REF!</v>
      </c>
      <c r="J655" s="1124" t="e">
        <v>#REF!</v>
      </c>
      <c r="K655" s="1124" t="e">
        <v>#REF!</v>
      </c>
    </row>
    <row r="656" spans="1:11" ht="45">
      <c r="A656" s="1120">
        <v>650</v>
      </c>
      <c r="B656" s="1121" t="s">
        <v>10413</v>
      </c>
      <c r="C656" s="1122" t="s">
        <v>10414</v>
      </c>
      <c r="D656" s="1123" t="s">
        <v>10250</v>
      </c>
      <c r="E656" s="1124">
        <v>3390</v>
      </c>
      <c r="F656" s="1124">
        <v>793079.3</v>
      </c>
      <c r="G656" s="1124">
        <v>0</v>
      </c>
      <c r="H656" s="1124" t="e">
        <v>#REF!</v>
      </c>
      <c r="I656" s="1124" t="e">
        <v>#REF!</v>
      </c>
      <c r="J656" s="1124" t="e">
        <v>#REF!</v>
      </c>
      <c r="K656" s="1124" t="e">
        <v>#REF!</v>
      </c>
    </row>
    <row r="657" spans="1:11" ht="45">
      <c r="A657" s="1120">
        <v>651</v>
      </c>
      <c r="B657" s="1121" t="s">
        <v>10415</v>
      </c>
      <c r="C657" s="1122" t="s">
        <v>10416</v>
      </c>
      <c r="D657" s="1123" t="s">
        <v>10250</v>
      </c>
      <c r="E657" s="1124">
        <v>3390</v>
      </c>
      <c r="F657" s="1124">
        <v>882807.3</v>
      </c>
      <c r="G657" s="1124">
        <v>0</v>
      </c>
      <c r="H657" s="1124" t="e">
        <v>#REF!</v>
      </c>
      <c r="I657" s="1124" t="e">
        <v>#REF!</v>
      </c>
      <c r="J657" s="1124" t="e">
        <v>#REF!</v>
      </c>
      <c r="K657" s="1124" t="e">
        <v>#REF!</v>
      </c>
    </row>
    <row r="658" spans="1:11" ht="45">
      <c r="A658" s="1120">
        <v>652</v>
      </c>
      <c r="B658" s="1121" t="s">
        <v>10417</v>
      </c>
      <c r="C658" s="1122" t="s">
        <v>10418</v>
      </c>
      <c r="D658" s="1123" t="s">
        <v>10250</v>
      </c>
      <c r="E658" s="1124">
        <v>3390</v>
      </c>
      <c r="F658" s="1124">
        <v>1120152.2</v>
      </c>
      <c r="G658" s="1124">
        <v>0</v>
      </c>
      <c r="H658" s="1124" t="e">
        <v>#REF!</v>
      </c>
      <c r="I658" s="1124" t="e">
        <v>#REF!</v>
      </c>
      <c r="J658" s="1124" t="e">
        <v>#REF!</v>
      </c>
      <c r="K658" s="1124" t="e">
        <v>#REF!</v>
      </c>
    </row>
    <row r="659" spans="1:11" ht="45">
      <c r="A659" s="1120">
        <v>653</v>
      </c>
      <c r="B659" s="1121" t="s">
        <v>10419</v>
      </c>
      <c r="C659" s="1122" t="s">
        <v>10420</v>
      </c>
      <c r="D659" s="1123" t="s">
        <v>10250</v>
      </c>
      <c r="E659" s="1124">
        <v>3390</v>
      </c>
      <c r="F659" s="1124">
        <v>1178041.2</v>
      </c>
      <c r="G659" s="1124">
        <v>0</v>
      </c>
      <c r="H659" s="1124" t="e">
        <v>#REF!</v>
      </c>
      <c r="I659" s="1124" t="e">
        <v>#REF!</v>
      </c>
      <c r="J659" s="1124" t="e">
        <v>#REF!</v>
      </c>
      <c r="K659" s="1124" t="e">
        <v>#REF!</v>
      </c>
    </row>
    <row r="660" spans="1:11" ht="45">
      <c r="A660" s="1120">
        <v>654</v>
      </c>
      <c r="B660" s="1121" t="s">
        <v>10421</v>
      </c>
      <c r="C660" s="1122" t="s">
        <v>10422</v>
      </c>
      <c r="D660" s="1123" t="s">
        <v>10250</v>
      </c>
      <c r="E660" s="1124">
        <v>3390</v>
      </c>
      <c r="F660" s="1124">
        <v>1233035.7</v>
      </c>
      <c r="G660" s="1124">
        <v>0</v>
      </c>
      <c r="H660" s="1124" t="e">
        <v>#REF!</v>
      </c>
      <c r="I660" s="1124" t="e">
        <v>#REF!</v>
      </c>
      <c r="J660" s="1124" t="e">
        <v>#REF!</v>
      </c>
      <c r="K660" s="1124" t="e">
        <v>#REF!</v>
      </c>
    </row>
    <row r="661" spans="1:11" ht="45">
      <c r="A661" s="1120">
        <v>655</v>
      </c>
      <c r="B661" s="1121" t="s">
        <v>10423</v>
      </c>
      <c r="C661" s="1122" t="s">
        <v>10424</v>
      </c>
      <c r="D661" s="1123" t="s">
        <v>10250</v>
      </c>
      <c r="E661" s="1124">
        <v>3390</v>
      </c>
      <c r="F661" s="1124">
        <v>1357497.1</v>
      </c>
      <c r="G661" s="1124">
        <v>0</v>
      </c>
      <c r="H661" s="1124" t="e">
        <v>#REF!</v>
      </c>
      <c r="I661" s="1124" t="e">
        <v>#REF!</v>
      </c>
      <c r="J661" s="1124" t="e">
        <v>#REF!</v>
      </c>
      <c r="K661" s="1124" t="e">
        <v>#REF!</v>
      </c>
    </row>
    <row r="662" spans="1:11" s="1136" customFormat="1">
      <c r="A662" s="1131">
        <v>656</v>
      </c>
      <c r="B662" s="1132" t="s">
        <v>10425</v>
      </c>
      <c r="C662" s="1133" t="s">
        <v>10426</v>
      </c>
      <c r="D662" s="1134" t="s">
        <v>1828</v>
      </c>
      <c r="E662" s="1135">
        <v>8965</v>
      </c>
      <c r="F662" s="1135">
        <v>266289.40000000002</v>
      </c>
      <c r="G662" s="1135">
        <v>25672</v>
      </c>
      <c r="H662" s="1135" t="e">
        <v>#REF!</v>
      </c>
      <c r="I662" s="1135" t="e">
        <v>#REF!</v>
      </c>
      <c r="J662" s="1135" t="e">
        <v>#REF!</v>
      </c>
      <c r="K662" s="1135" t="e">
        <v>#REF!</v>
      </c>
    </row>
    <row r="663" spans="1:11" s="1136" customFormat="1">
      <c r="A663" s="1131">
        <v>657</v>
      </c>
      <c r="B663" s="1132" t="s">
        <v>10427</v>
      </c>
      <c r="C663" s="1133" t="s">
        <v>10428</v>
      </c>
      <c r="D663" s="1134" t="s">
        <v>1828</v>
      </c>
      <c r="E663" s="1135">
        <v>9130</v>
      </c>
      <c r="F663" s="1135">
        <v>373384.1</v>
      </c>
      <c r="G663" s="1135">
        <v>25672</v>
      </c>
      <c r="H663" s="1135" t="e">
        <v>#REF!</v>
      </c>
      <c r="I663" s="1135" t="e">
        <v>#REF!</v>
      </c>
      <c r="J663" s="1135" t="e">
        <v>#REF!</v>
      </c>
      <c r="K663" s="1135" t="e">
        <v>#REF!</v>
      </c>
    </row>
    <row r="664" spans="1:11" s="1136" customFormat="1">
      <c r="A664" s="1131">
        <v>658</v>
      </c>
      <c r="B664" s="1132" t="s">
        <v>10429</v>
      </c>
      <c r="C664" s="1133" t="s">
        <v>10430</v>
      </c>
      <c r="D664" s="1134" t="s">
        <v>1828</v>
      </c>
      <c r="E664" s="1135">
        <v>9295</v>
      </c>
      <c r="F664" s="1135">
        <v>431273.1</v>
      </c>
      <c r="G664" s="1135">
        <v>25672</v>
      </c>
      <c r="H664" s="1135" t="e">
        <v>#REF!</v>
      </c>
      <c r="I664" s="1135" t="e">
        <v>#REF!</v>
      </c>
      <c r="J664" s="1135" t="e">
        <v>#REF!</v>
      </c>
      <c r="K664" s="1135" t="e">
        <v>#REF!</v>
      </c>
    </row>
    <row r="665" spans="1:11" s="1136" customFormat="1">
      <c r="A665" s="1131">
        <v>659</v>
      </c>
      <c r="B665" s="1132" t="s">
        <v>10431</v>
      </c>
      <c r="C665" s="1133" t="s">
        <v>10432</v>
      </c>
      <c r="D665" s="1134" t="s">
        <v>1828</v>
      </c>
      <c r="E665" s="1135">
        <v>9394</v>
      </c>
      <c r="F665" s="1135">
        <v>523895.5</v>
      </c>
      <c r="G665" s="1135">
        <v>25672</v>
      </c>
      <c r="H665" s="1135" t="e">
        <v>#REF!</v>
      </c>
      <c r="I665" s="1135" t="e">
        <v>#REF!</v>
      </c>
      <c r="J665" s="1135" t="e">
        <v>#REF!</v>
      </c>
      <c r="K665" s="1135" t="e">
        <v>#REF!</v>
      </c>
    </row>
    <row r="666" spans="1:11" s="1136" customFormat="1">
      <c r="A666" s="1131">
        <v>660</v>
      </c>
      <c r="B666" s="1132" t="s">
        <v>10433</v>
      </c>
      <c r="C666" s="1133" t="s">
        <v>10434</v>
      </c>
      <c r="D666" s="1134" t="s">
        <v>1828</v>
      </c>
      <c r="E666" s="1135">
        <v>9526</v>
      </c>
      <c r="F666" s="1135">
        <v>761240.4</v>
      </c>
      <c r="G666" s="1135">
        <v>25672</v>
      </c>
      <c r="H666" s="1135" t="e">
        <v>#REF!</v>
      </c>
      <c r="I666" s="1135" t="e">
        <v>#REF!</v>
      </c>
      <c r="J666" s="1135" t="e">
        <v>#REF!</v>
      </c>
      <c r="K666" s="1135" t="e">
        <v>#REF!</v>
      </c>
    </row>
    <row r="667" spans="1:11" s="1136" customFormat="1">
      <c r="A667" s="1131">
        <v>661</v>
      </c>
      <c r="B667" s="1132" t="s">
        <v>10435</v>
      </c>
      <c r="C667" s="1133" t="s">
        <v>10436</v>
      </c>
      <c r="D667" s="1134" t="s">
        <v>1828</v>
      </c>
      <c r="E667" s="1135">
        <v>9625</v>
      </c>
      <c r="F667" s="1135">
        <v>856757.2</v>
      </c>
      <c r="G667" s="1135">
        <v>25672</v>
      </c>
      <c r="H667" s="1135" t="e">
        <v>#REF!</v>
      </c>
      <c r="I667" s="1135" t="e">
        <v>#REF!</v>
      </c>
      <c r="J667" s="1135" t="e">
        <v>#REF!</v>
      </c>
      <c r="K667" s="1135" t="e">
        <v>#REF!</v>
      </c>
    </row>
    <row r="668" spans="1:11" s="1136" customFormat="1">
      <c r="A668" s="1131">
        <v>662</v>
      </c>
      <c r="B668" s="1132" t="s">
        <v>10437</v>
      </c>
      <c r="C668" s="1133" t="s">
        <v>10438</v>
      </c>
      <c r="D668" s="1134" t="s">
        <v>1828</v>
      </c>
      <c r="E668" s="1135">
        <v>9526</v>
      </c>
      <c r="F668" s="1135">
        <v>665723.5</v>
      </c>
      <c r="G668" s="1135">
        <v>25672</v>
      </c>
      <c r="H668" s="1135" t="e">
        <v>#REF!</v>
      </c>
      <c r="I668" s="1135" t="e">
        <v>#REF!</v>
      </c>
      <c r="J668" s="1135" t="e">
        <v>#REF!</v>
      </c>
      <c r="K668" s="1135" t="e">
        <v>#REF!</v>
      </c>
    </row>
    <row r="669" spans="1:11" s="1136" customFormat="1">
      <c r="A669" s="1131">
        <v>663</v>
      </c>
      <c r="B669" s="1132" t="s">
        <v>10439</v>
      </c>
      <c r="C669" s="1133" t="s">
        <v>10440</v>
      </c>
      <c r="D669" s="1134" t="s">
        <v>1828</v>
      </c>
      <c r="E669" s="1135">
        <v>9625</v>
      </c>
      <c r="F669" s="1135">
        <v>836496.1</v>
      </c>
      <c r="G669" s="1135">
        <v>25672</v>
      </c>
      <c r="H669" s="1135" t="e">
        <v>#REF!</v>
      </c>
      <c r="I669" s="1135" t="e">
        <v>#REF!</v>
      </c>
      <c r="J669" s="1135" t="e">
        <v>#REF!</v>
      </c>
      <c r="K669" s="1135" t="e">
        <v>#REF!</v>
      </c>
    </row>
    <row r="670" spans="1:11" s="1136" customFormat="1">
      <c r="A670" s="1131">
        <v>664</v>
      </c>
      <c r="B670" s="1132" t="s">
        <v>10441</v>
      </c>
      <c r="C670" s="1133" t="s">
        <v>10442</v>
      </c>
      <c r="D670" s="1134" t="s">
        <v>1828</v>
      </c>
      <c r="E670" s="1135">
        <v>9790</v>
      </c>
      <c r="F670" s="1135">
        <v>1027529.8</v>
      </c>
      <c r="G670" s="1135">
        <v>25672</v>
      </c>
      <c r="H670" s="1135" t="e">
        <v>#REF!</v>
      </c>
      <c r="I670" s="1135" t="e">
        <v>#REF!</v>
      </c>
      <c r="J670" s="1135" t="e">
        <v>#REF!</v>
      </c>
      <c r="K670" s="1135" t="e">
        <v>#REF!</v>
      </c>
    </row>
    <row r="671" spans="1:11" s="1136" customFormat="1">
      <c r="A671" s="1131">
        <v>665</v>
      </c>
      <c r="B671" s="1132" t="s">
        <v>10443</v>
      </c>
      <c r="C671" s="1133" t="s">
        <v>10444</v>
      </c>
      <c r="D671" s="1134" t="s">
        <v>1828</v>
      </c>
      <c r="E671" s="1135">
        <v>10120</v>
      </c>
      <c r="F671" s="1135">
        <v>1331447</v>
      </c>
      <c r="G671" s="1135">
        <v>25672</v>
      </c>
      <c r="H671" s="1135" t="e">
        <v>#REF!</v>
      </c>
      <c r="I671" s="1135" t="e">
        <v>#REF!</v>
      </c>
      <c r="J671" s="1135" t="e">
        <v>#REF!</v>
      </c>
      <c r="K671" s="1135" t="e">
        <v>#REF!</v>
      </c>
    </row>
    <row r="672" spans="1:11" s="1136" customFormat="1" ht="30">
      <c r="A672" s="1131">
        <v>666</v>
      </c>
      <c r="B672" s="1132" t="s">
        <v>10445</v>
      </c>
      <c r="C672" s="1133" t="s">
        <v>10446</v>
      </c>
      <c r="D672" s="1134" t="s">
        <v>7300</v>
      </c>
      <c r="E672" s="1135">
        <v>165</v>
      </c>
      <c r="F672" s="1135">
        <v>202611.5</v>
      </c>
      <c r="G672" s="1135">
        <v>0</v>
      </c>
      <c r="H672" s="1135" t="e">
        <v>#REF!</v>
      </c>
      <c r="I672" s="1135" t="e">
        <v>#REF!</v>
      </c>
      <c r="J672" s="1135" t="e">
        <v>#REF!</v>
      </c>
      <c r="K672" s="1135" t="e">
        <v>#REF!</v>
      </c>
    </row>
    <row r="673" spans="1:11" s="1136" customFormat="1" ht="30">
      <c r="A673" s="1131">
        <v>667</v>
      </c>
      <c r="B673" s="1132" t="s">
        <v>10447</v>
      </c>
      <c r="C673" s="1133" t="s">
        <v>10448</v>
      </c>
      <c r="D673" s="1134" t="s">
        <v>7300</v>
      </c>
      <c r="E673" s="1135">
        <v>165</v>
      </c>
      <c r="F673" s="1135">
        <v>159194.79999999999</v>
      </c>
      <c r="G673" s="1135">
        <v>0</v>
      </c>
      <c r="H673" s="1135" t="e">
        <v>#REF!</v>
      </c>
      <c r="I673" s="1135" t="e">
        <v>#REF!</v>
      </c>
      <c r="J673" s="1135" t="e">
        <v>#REF!</v>
      </c>
      <c r="K673" s="1135" t="e">
        <v>#REF!</v>
      </c>
    </row>
    <row r="674" spans="1:11" s="1136" customFormat="1" ht="30">
      <c r="A674" s="1131">
        <v>668</v>
      </c>
      <c r="B674" s="1132" t="s">
        <v>10449</v>
      </c>
      <c r="C674" s="1133" t="s">
        <v>10450</v>
      </c>
      <c r="D674" s="1134" t="s">
        <v>7300</v>
      </c>
      <c r="E674" s="1135">
        <v>495</v>
      </c>
      <c r="F674" s="1135">
        <v>208400.4</v>
      </c>
      <c r="G674" s="1135">
        <v>0</v>
      </c>
      <c r="H674" s="1135" t="e">
        <v>#REF!</v>
      </c>
      <c r="I674" s="1135" t="e">
        <v>#REF!</v>
      </c>
      <c r="J674" s="1135" t="e">
        <v>#REF!</v>
      </c>
      <c r="K674" s="1135" t="e">
        <v>#REF!</v>
      </c>
    </row>
    <row r="675" spans="1:11" s="1136" customFormat="1" ht="30">
      <c r="A675" s="1131">
        <v>669</v>
      </c>
      <c r="B675" s="1132" t="s">
        <v>10451</v>
      </c>
      <c r="C675" s="1133" t="s">
        <v>10452</v>
      </c>
      <c r="D675" s="1134" t="s">
        <v>7300</v>
      </c>
      <c r="E675" s="1135">
        <v>495</v>
      </c>
      <c r="F675" s="1135">
        <v>124461.4</v>
      </c>
      <c r="G675" s="1135">
        <v>0</v>
      </c>
      <c r="H675" s="1135" t="e">
        <v>#REF!</v>
      </c>
      <c r="I675" s="1135" t="e">
        <v>#REF!</v>
      </c>
      <c r="J675" s="1135" t="e">
        <v>#REF!</v>
      </c>
      <c r="K675" s="1135" t="e">
        <v>#REF!</v>
      </c>
    </row>
    <row r="676" spans="1:11" s="1136" customFormat="1" ht="30">
      <c r="A676" s="1131">
        <v>670</v>
      </c>
      <c r="B676" s="1132" t="s">
        <v>10453</v>
      </c>
      <c r="C676" s="1133" t="s">
        <v>10454</v>
      </c>
      <c r="D676" s="1134" t="s">
        <v>7300</v>
      </c>
      <c r="E676" s="1135">
        <v>165</v>
      </c>
      <c r="F676" s="1135">
        <v>208400.4</v>
      </c>
      <c r="G676" s="1135">
        <v>0</v>
      </c>
      <c r="H676" s="1135" t="e">
        <v>#REF!</v>
      </c>
      <c r="I676" s="1135" t="e">
        <v>#REF!</v>
      </c>
      <c r="J676" s="1135" t="e">
        <v>#REF!</v>
      </c>
      <c r="K676" s="1135" t="e">
        <v>#REF!</v>
      </c>
    </row>
    <row r="677" spans="1:11" s="1136" customFormat="1" ht="30">
      <c r="A677" s="1131">
        <v>671</v>
      </c>
      <c r="B677" s="1132" t="s">
        <v>10455</v>
      </c>
      <c r="C677" s="1133" t="s">
        <v>10456</v>
      </c>
      <c r="D677" s="1134" t="s">
        <v>7300</v>
      </c>
      <c r="E677" s="1135">
        <v>165</v>
      </c>
      <c r="F677" s="1135">
        <v>208400.4</v>
      </c>
      <c r="G677" s="1135">
        <v>0</v>
      </c>
      <c r="H677" s="1135" t="e">
        <v>#REF!</v>
      </c>
      <c r="I677" s="1135" t="e">
        <v>#REF!</v>
      </c>
      <c r="J677" s="1135" t="e">
        <v>#REF!</v>
      </c>
      <c r="K677" s="1135" t="e">
        <v>#REF!</v>
      </c>
    </row>
    <row r="678" spans="1:11" s="1136" customFormat="1" ht="30">
      <c r="A678" s="1131">
        <v>672</v>
      </c>
      <c r="B678" s="1132" t="s">
        <v>10457</v>
      </c>
      <c r="C678" s="1133" t="s">
        <v>10458</v>
      </c>
      <c r="D678" s="1134" t="s">
        <v>7300</v>
      </c>
      <c r="E678" s="1135">
        <v>165</v>
      </c>
      <c r="F678" s="1135">
        <v>159194.79999999999</v>
      </c>
      <c r="G678" s="1135">
        <v>0</v>
      </c>
      <c r="H678" s="1135" t="e">
        <v>#REF!</v>
      </c>
      <c r="I678" s="1135" t="e">
        <v>#REF!</v>
      </c>
      <c r="J678" s="1135" t="e">
        <v>#REF!</v>
      </c>
      <c r="K678" s="1135" t="e">
        <v>#REF!</v>
      </c>
    </row>
    <row r="679" spans="1:11" s="1136" customFormat="1" ht="30">
      <c r="A679" s="1131">
        <v>673</v>
      </c>
      <c r="B679" s="1132" t="s">
        <v>10459</v>
      </c>
      <c r="C679" s="1133" t="s">
        <v>10460</v>
      </c>
      <c r="D679" s="1134" t="s">
        <v>7300</v>
      </c>
      <c r="E679" s="1135">
        <v>165</v>
      </c>
      <c r="F679" s="1135">
        <v>208400.4</v>
      </c>
      <c r="G679" s="1135">
        <v>0</v>
      </c>
      <c r="H679" s="1135" t="e">
        <v>#REF!</v>
      </c>
      <c r="I679" s="1135" t="e">
        <v>#REF!</v>
      </c>
      <c r="J679" s="1135" t="e">
        <v>#REF!</v>
      </c>
      <c r="K679" s="1135" t="e">
        <v>#REF!</v>
      </c>
    </row>
    <row r="680" spans="1:11" s="1136" customFormat="1" ht="30">
      <c r="A680" s="1131">
        <v>674</v>
      </c>
      <c r="B680" s="1132" t="s">
        <v>10461</v>
      </c>
      <c r="C680" s="1133" t="s">
        <v>10462</v>
      </c>
      <c r="D680" s="1134" t="s">
        <v>7300</v>
      </c>
      <c r="E680" s="1135">
        <v>165</v>
      </c>
      <c r="F680" s="1135">
        <v>159194.79999999999</v>
      </c>
      <c r="G680" s="1135">
        <v>0</v>
      </c>
      <c r="H680" s="1135" t="e">
        <v>#REF!</v>
      </c>
      <c r="I680" s="1135" t="e">
        <v>#REF!</v>
      </c>
      <c r="J680" s="1135" t="e">
        <v>#REF!</v>
      </c>
      <c r="K680" s="1135" t="e">
        <v>#REF!</v>
      </c>
    </row>
    <row r="681" spans="1:11" s="1136" customFormat="1">
      <c r="A681" s="1131">
        <v>675</v>
      </c>
      <c r="B681" s="1132" t="s">
        <v>10463</v>
      </c>
      <c r="C681" s="1133" t="s">
        <v>10464</v>
      </c>
      <c r="D681" s="1134" t="s">
        <v>195</v>
      </c>
      <c r="E681" s="1135">
        <v>10350</v>
      </c>
      <c r="F681" s="1135">
        <v>219978.2</v>
      </c>
      <c r="G681" s="1135">
        <v>91824.1</v>
      </c>
      <c r="H681" s="1135" t="e">
        <v>#REF!</v>
      </c>
      <c r="I681" s="1135" t="e">
        <v>#REF!</v>
      </c>
      <c r="J681" s="1135" t="e">
        <v>#REF!</v>
      </c>
      <c r="K681" s="1135" t="e">
        <v>#REF!</v>
      </c>
    </row>
    <row r="682" spans="1:11" s="1136" customFormat="1">
      <c r="A682" s="1131">
        <v>676</v>
      </c>
      <c r="B682" s="1132" t="s">
        <v>10465</v>
      </c>
      <c r="C682" s="1133" t="s">
        <v>10466</v>
      </c>
      <c r="D682" s="1134" t="s">
        <v>195</v>
      </c>
      <c r="E682" s="1135">
        <v>10350</v>
      </c>
      <c r="F682" s="1135">
        <v>277867.2</v>
      </c>
      <c r="G682" s="1135">
        <v>91824.1</v>
      </c>
      <c r="H682" s="1135" t="e">
        <v>#REF!</v>
      </c>
      <c r="I682" s="1135" t="e">
        <v>#REF!</v>
      </c>
      <c r="J682" s="1135" t="e">
        <v>#REF!</v>
      </c>
      <c r="K682" s="1135" t="e">
        <v>#REF!</v>
      </c>
    </row>
    <row r="683" spans="1:11" s="1136" customFormat="1">
      <c r="A683" s="1131">
        <v>677</v>
      </c>
      <c r="B683" s="1132" t="s">
        <v>10467</v>
      </c>
      <c r="C683" s="1133" t="s">
        <v>10468</v>
      </c>
      <c r="D683" s="1134" t="s">
        <v>195</v>
      </c>
      <c r="E683" s="1135">
        <v>10350</v>
      </c>
      <c r="F683" s="1135">
        <v>341545.1</v>
      </c>
      <c r="G683" s="1135">
        <v>91824.1</v>
      </c>
      <c r="H683" s="1135" t="e">
        <v>#REF!</v>
      </c>
      <c r="I683" s="1135" t="e">
        <v>#REF!</v>
      </c>
      <c r="J683" s="1135" t="e">
        <v>#REF!</v>
      </c>
      <c r="K683" s="1135" t="e">
        <v>#REF!</v>
      </c>
    </row>
    <row r="684" spans="1:11" s="1136" customFormat="1">
      <c r="A684" s="1131">
        <v>678</v>
      </c>
      <c r="B684" s="1132" t="s">
        <v>10469</v>
      </c>
      <c r="C684" s="1133" t="s">
        <v>10470</v>
      </c>
      <c r="D684" s="1134" t="s">
        <v>195</v>
      </c>
      <c r="E684" s="1135">
        <v>13600</v>
      </c>
      <c r="F684" s="1135">
        <v>445745.3</v>
      </c>
      <c r="G684" s="1135">
        <v>114780.1</v>
      </c>
      <c r="H684" s="1135" t="e">
        <v>#REF!</v>
      </c>
      <c r="I684" s="1135" t="e">
        <v>#REF!</v>
      </c>
      <c r="J684" s="1135" t="e">
        <v>#REF!</v>
      </c>
      <c r="K684" s="1135" t="e">
        <v>#REF!</v>
      </c>
    </row>
    <row r="685" spans="1:11" s="1136" customFormat="1">
      <c r="A685" s="1131">
        <v>679</v>
      </c>
      <c r="B685" s="1132" t="s">
        <v>10471</v>
      </c>
      <c r="C685" s="1133" t="s">
        <v>10472</v>
      </c>
      <c r="D685" s="1134" t="s">
        <v>195</v>
      </c>
      <c r="E685" s="1135">
        <v>13600</v>
      </c>
      <c r="F685" s="1135">
        <v>474689.8</v>
      </c>
      <c r="G685" s="1135">
        <v>114780.1</v>
      </c>
      <c r="H685" s="1135" t="e">
        <v>#REF!</v>
      </c>
      <c r="I685" s="1135" t="e">
        <v>#REF!</v>
      </c>
      <c r="J685" s="1135" t="e">
        <v>#REF!</v>
      </c>
      <c r="K685" s="1135" t="e">
        <v>#REF!</v>
      </c>
    </row>
    <row r="686" spans="1:11" s="1136" customFormat="1">
      <c r="A686" s="1131">
        <v>680</v>
      </c>
      <c r="B686" s="1132" t="s">
        <v>10473</v>
      </c>
      <c r="C686" s="1133" t="s">
        <v>10474</v>
      </c>
      <c r="D686" s="1134" t="s">
        <v>195</v>
      </c>
      <c r="E686" s="1135">
        <v>13600</v>
      </c>
      <c r="F686" s="1135">
        <v>506528.8</v>
      </c>
      <c r="G686" s="1135">
        <v>114780.1</v>
      </c>
      <c r="H686" s="1135" t="e">
        <v>#REF!</v>
      </c>
      <c r="I686" s="1135" t="e">
        <v>#REF!</v>
      </c>
      <c r="J686" s="1135" t="e">
        <v>#REF!</v>
      </c>
      <c r="K686" s="1135" t="e">
        <v>#REF!</v>
      </c>
    </row>
    <row r="687" spans="1:11" s="1136" customFormat="1">
      <c r="A687" s="1131">
        <v>681</v>
      </c>
      <c r="B687" s="1132" t="s">
        <v>10475</v>
      </c>
      <c r="C687" s="1133" t="s">
        <v>10476</v>
      </c>
      <c r="D687" s="1134" t="s">
        <v>195</v>
      </c>
      <c r="E687" s="1135">
        <v>13600</v>
      </c>
      <c r="F687" s="1135">
        <v>535473.30000000005</v>
      </c>
      <c r="G687" s="1135">
        <v>114780.1</v>
      </c>
      <c r="H687" s="1135" t="e">
        <v>#REF!</v>
      </c>
      <c r="I687" s="1135" t="e">
        <v>#REF!</v>
      </c>
      <c r="J687" s="1135" t="e">
        <v>#REF!</v>
      </c>
      <c r="K687" s="1135" t="e">
        <v>#REF!</v>
      </c>
    </row>
    <row r="688" spans="1:11" s="1136" customFormat="1">
      <c r="A688" s="1131">
        <v>682</v>
      </c>
      <c r="B688" s="1132" t="s">
        <v>10477</v>
      </c>
      <c r="C688" s="1133" t="s">
        <v>10478</v>
      </c>
      <c r="D688" s="1134" t="s">
        <v>195</v>
      </c>
      <c r="E688" s="1135">
        <v>13600</v>
      </c>
      <c r="F688" s="1135">
        <v>642567.9</v>
      </c>
      <c r="G688" s="1135">
        <v>114780.1</v>
      </c>
      <c r="H688" s="1135" t="e">
        <v>#REF!</v>
      </c>
      <c r="I688" s="1135" t="e">
        <v>#REF!</v>
      </c>
      <c r="J688" s="1135" t="e">
        <v>#REF!</v>
      </c>
      <c r="K688" s="1135" t="e">
        <v>#REF!</v>
      </c>
    </row>
    <row r="689" spans="1:11" s="1136" customFormat="1">
      <c r="A689" s="1131">
        <v>683</v>
      </c>
      <c r="B689" s="1132" t="s">
        <v>10479</v>
      </c>
      <c r="C689" s="1133" t="s">
        <v>10480</v>
      </c>
      <c r="D689" s="1134" t="s">
        <v>195</v>
      </c>
      <c r="E689" s="1135">
        <v>10350</v>
      </c>
      <c r="F689" s="1135">
        <v>118672.5</v>
      </c>
      <c r="G689" s="1135">
        <v>91824.1</v>
      </c>
      <c r="H689" s="1135" t="e">
        <v>#REF!</v>
      </c>
      <c r="I689" s="1135" t="e">
        <v>#REF!</v>
      </c>
      <c r="J689" s="1135" t="e">
        <v>#REF!</v>
      </c>
      <c r="K689" s="1135" t="e">
        <v>#REF!</v>
      </c>
    </row>
    <row r="690" spans="1:11" s="1136" customFormat="1">
      <c r="A690" s="1131">
        <v>684</v>
      </c>
      <c r="B690" s="1132" t="s">
        <v>10481</v>
      </c>
      <c r="C690" s="1133" t="s">
        <v>10482</v>
      </c>
      <c r="D690" s="1134" t="s">
        <v>195</v>
      </c>
      <c r="E690" s="1135">
        <v>10350</v>
      </c>
      <c r="F690" s="1135">
        <v>147617</v>
      </c>
      <c r="G690" s="1135">
        <v>91824.1</v>
      </c>
      <c r="H690" s="1135" t="e">
        <v>#REF!</v>
      </c>
      <c r="I690" s="1135" t="e">
        <v>#REF!</v>
      </c>
      <c r="J690" s="1135" t="e">
        <v>#REF!</v>
      </c>
      <c r="K690" s="1135" t="e">
        <v>#REF!</v>
      </c>
    </row>
    <row r="691" spans="1:11" s="1136" customFormat="1">
      <c r="A691" s="1131">
        <v>685</v>
      </c>
      <c r="B691" s="1132" t="s">
        <v>10483</v>
      </c>
      <c r="C691" s="1133" t="s">
        <v>10484</v>
      </c>
      <c r="D691" s="1134" t="s">
        <v>195</v>
      </c>
      <c r="E691" s="1135">
        <v>10350</v>
      </c>
      <c r="F691" s="1135">
        <v>179455.9</v>
      </c>
      <c r="G691" s="1135">
        <v>91824.1</v>
      </c>
      <c r="H691" s="1135" t="e">
        <v>#REF!</v>
      </c>
      <c r="I691" s="1135" t="e">
        <v>#REF!</v>
      </c>
      <c r="J691" s="1135" t="e">
        <v>#REF!</v>
      </c>
      <c r="K691" s="1135" t="e">
        <v>#REF!</v>
      </c>
    </row>
    <row r="692" spans="1:11" s="1136" customFormat="1">
      <c r="A692" s="1131">
        <v>686</v>
      </c>
      <c r="B692" s="1132" t="s">
        <v>10485</v>
      </c>
      <c r="C692" s="1133" t="s">
        <v>10486</v>
      </c>
      <c r="D692" s="1134" t="s">
        <v>195</v>
      </c>
      <c r="E692" s="1135">
        <v>13600</v>
      </c>
      <c r="F692" s="1135">
        <v>234450.5</v>
      </c>
      <c r="G692" s="1135">
        <v>114780.1</v>
      </c>
      <c r="H692" s="1135" t="e">
        <v>#REF!</v>
      </c>
      <c r="I692" s="1135" t="e">
        <v>#REF!</v>
      </c>
      <c r="J692" s="1135" t="e">
        <v>#REF!</v>
      </c>
      <c r="K692" s="1135" t="e">
        <v>#REF!</v>
      </c>
    </row>
    <row r="693" spans="1:11" s="1136" customFormat="1">
      <c r="A693" s="1131">
        <v>687</v>
      </c>
      <c r="B693" s="1132" t="s">
        <v>10487</v>
      </c>
      <c r="C693" s="1133" t="s">
        <v>10488</v>
      </c>
      <c r="D693" s="1134" t="s">
        <v>195</v>
      </c>
      <c r="E693" s="1135">
        <v>13600</v>
      </c>
      <c r="F693" s="1135">
        <v>237344.9</v>
      </c>
      <c r="G693" s="1135">
        <v>114780.1</v>
      </c>
      <c r="H693" s="1135" t="e">
        <v>#REF!</v>
      </c>
      <c r="I693" s="1135" t="e">
        <v>#REF!</v>
      </c>
      <c r="J693" s="1135" t="e">
        <v>#REF!</v>
      </c>
      <c r="K693" s="1135" t="e">
        <v>#REF!</v>
      </c>
    </row>
    <row r="694" spans="1:11" s="1136" customFormat="1">
      <c r="A694" s="1131">
        <v>688</v>
      </c>
      <c r="B694" s="1132" t="s">
        <v>10489</v>
      </c>
      <c r="C694" s="1133" t="s">
        <v>10490</v>
      </c>
      <c r="D694" s="1134" t="s">
        <v>195</v>
      </c>
      <c r="E694" s="1135">
        <v>13600</v>
      </c>
      <c r="F694" s="1135">
        <v>298128.40000000002</v>
      </c>
      <c r="G694" s="1135">
        <v>114780.1</v>
      </c>
      <c r="H694" s="1135" t="e">
        <v>#REF!</v>
      </c>
      <c r="I694" s="1135" t="e">
        <v>#REF!</v>
      </c>
      <c r="J694" s="1135" t="e">
        <v>#REF!</v>
      </c>
      <c r="K694" s="1135" t="e">
        <v>#REF!</v>
      </c>
    </row>
    <row r="695" spans="1:11" s="1136" customFormat="1">
      <c r="A695" s="1131">
        <v>689</v>
      </c>
      <c r="B695" s="1132" t="s">
        <v>10491</v>
      </c>
      <c r="C695" s="1133" t="s">
        <v>10492</v>
      </c>
      <c r="D695" s="1134" t="s">
        <v>195</v>
      </c>
      <c r="E695" s="1135">
        <v>13600</v>
      </c>
      <c r="F695" s="1135">
        <v>356017.4</v>
      </c>
      <c r="G695" s="1135">
        <v>114780.1</v>
      </c>
      <c r="H695" s="1135" t="e">
        <v>#REF!</v>
      </c>
      <c r="I695" s="1135" t="e">
        <v>#REF!</v>
      </c>
      <c r="J695" s="1135" t="e">
        <v>#REF!</v>
      </c>
      <c r="K695" s="1135" t="e">
        <v>#REF!</v>
      </c>
    </row>
    <row r="696" spans="1:11" s="1136" customFormat="1">
      <c r="A696" s="1131">
        <v>690</v>
      </c>
      <c r="B696" s="1132" t="s">
        <v>10493</v>
      </c>
      <c r="C696" s="1133" t="s">
        <v>10494</v>
      </c>
      <c r="D696" s="1134" t="s">
        <v>195</v>
      </c>
      <c r="E696" s="1135">
        <v>13600</v>
      </c>
      <c r="F696" s="1135">
        <v>428378.6</v>
      </c>
      <c r="G696" s="1135">
        <v>114780.1</v>
      </c>
      <c r="H696" s="1135" t="e">
        <v>#REF!</v>
      </c>
      <c r="I696" s="1135" t="e">
        <v>#REF!</v>
      </c>
      <c r="J696" s="1135" t="e">
        <v>#REF!</v>
      </c>
      <c r="K696" s="1135" t="e">
        <v>#REF!</v>
      </c>
    </row>
    <row r="697" spans="1:11" s="1136" customFormat="1">
      <c r="A697" s="1131">
        <v>691</v>
      </c>
      <c r="B697" s="1132" t="s">
        <v>10495</v>
      </c>
      <c r="C697" s="1133" t="s">
        <v>10496</v>
      </c>
      <c r="D697" s="1134" t="s">
        <v>195</v>
      </c>
      <c r="E697" s="1135">
        <v>10350</v>
      </c>
      <c r="F697" s="1135">
        <v>109989.1</v>
      </c>
      <c r="G697" s="1135">
        <v>91824.1</v>
      </c>
      <c r="H697" s="1135" t="e">
        <v>#REF!</v>
      </c>
      <c r="I697" s="1135" t="e">
        <v>#REF!</v>
      </c>
      <c r="J697" s="1135" t="e">
        <v>#REF!</v>
      </c>
      <c r="K697" s="1135" t="e">
        <v>#REF!</v>
      </c>
    </row>
    <row r="698" spans="1:11" s="1136" customFormat="1">
      <c r="A698" s="1131">
        <v>692</v>
      </c>
      <c r="B698" s="1132" t="s">
        <v>10497</v>
      </c>
      <c r="C698" s="1133" t="s">
        <v>10498</v>
      </c>
      <c r="D698" s="1134" t="s">
        <v>195</v>
      </c>
      <c r="E698" s="1135">
        <v>10350</v>
      </c>
      <c r="F698" s="1135">
        <v>138933.6</v>
      </c>
      <c r="G698" s="1135">
        <v>91824.1</v>
      </c>
      <c r="H698" s="1135" t="e">
        <v>#REF!</v>
      </c>
      <c r="I698" s="1135" t="e">
        <v>#REF!</v>
      </c>
      <c r="J698" s="1135" t="e">
        <v>#REF!</v>
      </c>
      <c r="K698" s="1135" t="e">
        <v>#REF!</v>
      </c>
    </row>
    <row r="699" spans="1:11" s="1136" customFormat="1">
      <c r="A699" s="1131">
        <v>693</v>
      </c>
      <c r="B699" s="1132" t="s">
        <v>10499</v>
      </c>
      <c r="C699" s="1133" t="s">
        <v>10500</v>
      </c>
      <c r="D699" s="1134" t="s">
        <v>195</v>
      </c>
      <c r="E699" s="1135">
        <v>10350</v>
      </c>
      <c r="F699" s="1135">
        <v>167878.1</v>
      </c>
      <c r="G699" s="1135">
        <v>91824.1</v>
      </c>
      <c r="H699" s="1135" t="e">
        <v>#REF!</v>
      </c>
      <c r="I699" s="1135" t="e">
        <v>#REF!</v>
      </c>
      <c r="J699" s="1135" t="e">
        <v>#REF!</v>
      </c>
      <c r="K699" s="1135" t="e">
        <v>#REF!</v>
      </c>
    </row>
    <row r="700" spans="1:11" s="1136" customFormat="1">
      <c r="A700" s="1131">
        <v>694</v>
      </c>
      <c r="B700" s="1132" t="s">
        <v>10501</v>
      </c>
      <c r="C700" s="1133" t="s">
        <v>10502</v>
      </c>
      <c r="D700" s="1134" t="s">
        <v>195</v>
      </c>
      <c r="E700" s="1135">
        <v>13600</v>
      </c>
      <c r="F700" s="1135">
        <v>219978.2</v>
      </c>
      <c r="G700" s="1135">
        <v>114780.1</v>
      </c>
      <c r="H700" s="1135" t="e">
        <v>#REF!</v>
      </c>
      <c r="I700" s="1135" t="e">
        <v>#REF!</v>
      </c>
      <c r="J700" s="1135" t="e">
        <v>#REF!</v>
      </c>
      <c r="K700" s="1135" t="e">
        <v>#REF!</v>
      </c>
    </row>
    <row r="701" spans="1:11" s="1136" customFormat="1">
      <c r="A701" s="1131">
        <v>695</v>
      </c>
      <c r="B701" s="1132" t="s">
        <v>10503</v>
      </c>
      <c r="C701" s="1133" t="s">
        <v>10504</v>
      </c>
      <c r="D701" s="1134" t="s">
        <v>195</v>
      </c>
      <c r="E701" s="1135">
        <v>13600</v>
      </c>
      <c r="F701" s="1135">
        <v>231556</v>
      </c>
      <c r="G701" s="1135">
        <v>114780.1</v>
      </c>
      <c r="H701" s="1135" t="e">
        <v>#REF!</v>
      </c>
      <c r="I701" s="1135" t="e">
        <v>#REF!</v>
      </c>
      <c r="J701" s="1135" t="e">
        <v>#REF!</v>
      </c>
      <c r="K701" s="1135" t="e">
        <v>#REF!</v>
      </c>
    </row>
    <row r="702" spans="1:11" s="1136" customFormat="1">
      <c r="A702" s="1131">
        <v>696</v>
      </c>
      <c r="B702" s="1132" t="s">
        <v>10505</v>
      </c>
      <c r="C702" s="1133" t="s">
        <v>10506</v>
      </c>
      <c r="D702" s="1134" t="s">
        <v>195</v>
      </c>
      <c r="E702" s="1135">
        <v>13600</v>
      </c>
      <c r="F702" s="1135">
        <v>283656.09999999998</v>
      </c>
      <c r="G702" s="1135">
        <v>114780.1</v>
      </c>
      <c r="H702" s="1135" t="e">
        <v>#REF!</v>
      </c>
      <c r="I702" s="1135" t="e">
        <v>#REF!</v>
      </c>
      <c r="J702" s="1135" t="e">
        <v>#REF!</v>
      </c>
      <c r="K702" s="1135" t="e">
        <v>#REF!</v>
      </c>
    </row>
    <row r="703" spans="1:11" s="1136" customFormat="1">
      <c r="A703" s="1131">
        <v>697</v>
      </c>
      <c r="B703" s="1132" t="s">
        <v>10507</v>
      </c>
      <c r="C703" s="1133" t="s">
        <v>10508</v>
      </c>
      <c r="D703" s="1134" t="s">
        <v>195</v>
      </c>
      <c r="E703" s="1135">
        <v>13600</v>
      </c>
      <c r="F703" s="1135">
        <v>327072.90000000002</v>
      </c>
      <c r="G703" s="1135">
        <v>114780.1</v>
      </c>
      <c r="H703" s="1135" t="e">
        <v>#REF!</v>
      </c>
      <c r="I703" s="1135" t="e">
        <v>#REF!</v>
      </c>
      <c r="J703" s="1135" t="e">
        <v>#REF!</v>
      </c>
      <c r="K703" s="1135" t="e">
        <v>#REF!</v>
      </c>
    </row>
    <row r="704" spans="1:11" s="1136" customFormat="1">
      <c r="A704" s="1131">
        <v>698</v>
      </c>
      <c r="B704" s="1132" t="s">
        <v>10509</v>
      </c>
      <c r="C704" s="1133" t="s">
        <v>10510</v>
      </c>
      <c r="D704" s="1134" t="s">
        <v>195</v>
      </c>
      <c r="E704" s="1135">
        <v>13600</v>
      </c>
      <c r="F704" s="1135">
        <v>393645.2</v>
      </c>
      <c r="G704" s="1135">
        <v>114780.1</v>
      </c>
      <c r="H704" s="1135" t="e">
        <v>#REF!</v>
      </c>
      <c r="I704" s="1135" t="e">
        <v>#REF!</v>
      </c>
      <c r="J704" s="1135" t="e">
        <v>#REF!</v>
      </c>
      <c r="K704" s="1135" t="e">
        <v>#REF!</v>
      </c>
    </row>
    <row r="705" spans="1:11" s="1136" customFormat="1" ht="30">
      <c r="A705" s="1131">
        <v>699</v>
      </c>
      <c r="B705" s="1132" t="s">
        <v>10511</v>
      </c>
      <c r="C705" s="1133" t="s">
        <v>10512</v>
      </c>
      <c r="D705" s="1134" t="s">
        <v>136</v>
      </c>
      <c r="E705" s="1135">
        <v>23400</v>
      </c>
      <c r="F705" s="1135">
        <v>2797053.6</v>
      </c>
      <c r="G705" s="1135">
        <v>0</v>
      </c>
      <c r="H705" s="1135" t="e">
        <v>#REF!</v>
      </c>
      <c r="I705" s="1135" t="e">
        <v>#REF!</v>
      </c>
      <c r="J705" s="1135" t="e">
        <v>#REF!</v>
      </c>
      <c r="K705" s="1135" t="e">
        <v>#REF!</v>
      </c>
    </row>
    <row r="706" spans="1:11" s="1136" customFormat="1" ht="30">
      <c r="A706" s="1131">
        <v>700</v>
      </c>
      <c r="B706" s="1132" t="s">
        <v>10513</v>
      </c>
      <c r="C706" s="1133" t="s">
        <v>10514</v>
      </c>
      <c r="D706" s="1134" t="s">
        <v>136</v>
      </c>
      <c r="E706" s="1135">
        <v>23400</v>
      </c>
      <c r="F706" s="1135">
        <v>2522414.4</v>
      </c>
      <c r="G706" s="1135">
        <v>0</v>
      </c>
      <c r="H706" s="1135" t="e">
        <v>#REF!</v>
      </c>
      <c r="I706" s="1135" t="e">
        <v>#REF!</v>
      </c>
      <c r="J706" s="1135" t="e">
        <v>#REF!</v>
      </c>
      <c r="K706" s="1135" t="e">
        <v>#REF!</v>
      </c>
    </row>
    <row r="707" spans="1:11" s="1136" customFormat="1" ht="30">
      <c r="A707" s="1131">
        <v>701</v>
      </c>
      <c r="B707" s="1132" t="s">
        <v>10515</v>
      </c>
      <c r="C707" s="1133" t="s">
        <v>10516</v>
      </c>
      <c r="D707" s="1134" t="s">
        <v>136</v>
      </c>
      <c r="E707" s="1135">
        <v>23400</v>
      </c>
      <c r="F707" s="1135">
        <v>2402426.4</v>
      </c>
      <c r="G707" s="1135">
        <v>0</v>
      </c>
      <c r="H707" s="1135" t="e">
        <v>#REF!</v>
      </c>
      <c r="I707" s="1135" t="e">
        <v>#REF!</v>
      </c>
      <c r="J707" s="1135" t="e">
        <v>#REF!</v>
      </c>
      <c r="K707" s="1135" t="e">
        <v>#REF!</v>
      </c>
    </row>
    <row r="708" spans="1:11" s="1136" customFormat="1" ht="30">
      <c r="A708" s="1131">
        <v>702</v>
      </c>
      <c r="B708" s="1132" t="s">
        <v>10517</v>
      </c>
      <c r="C708" s="1133" t="s">
        <v>10518</v>
      </c>
      <c r="D708" s="1134" t="s">
        <v>136</v>
      </c>
      <c r="E708" s="1135">
        <v>23400</v>
      </c>
      <c r="F708" s="1135">
        <v>2277105.6</v>
      </c>
      <c r="G708" s="1135">
        <v>0</v>
      </c>
      <c r="H708" s="1135" t="e">
        <v>#REF!</v>
      </c>
      <c r="I708" s="1135" t="e">
        <v>#REF!</v>
      </c>
      <c r="J708" s="1135" t="e">
        <v>#REF!</v>
      </c>
      <c r="K708" s="1135" t="e">
        <v>#REF!</v>
      </c>
    </row>
    <row r="709" spans="1:11" s="1136" customFormat="1" ht="30">
      <c r="A709" s="1131">
        <v>703</v>
      </c>
      <c r="B709" s="1132" t="s">
        <v>10519</v>
      </c>
      <c r="C709" s="1133" t="s">
        <v>10520</v>
      </c>
      <c r="D709" s="1134" t="s">
        <v>136</v>
      </c>
      <c r="E709" s="1135">
        <v>23400</v>
      </c>
      <c r="F709" s="1135">
        <v>1317201.6000000001</v>
      </c>
      <c r="G709" s="1135">
        <v>0</v>
      </c>
      <c r="H709" s="1135" t="e">
        <v>#REF!</v>
      </c>
      <c r="I709" s="1135" t="e">
        <v>#REF!</v>
      </c>
      <c r="J709" s="1135" t="e">
        <v>#REF!</v>
      </c>
      <c r="K709" s="1135" t="e">
        <v>#REF!</v>
      </c>
    </row>
    <row r="710" spans="1:11" s="1136" customFormat="1" ht="30">
      <c r="A710" s="1131">
        <v>704</v>
      </c>
      <c r="B710" s="1132" t="s">
        <v>10521</v>
      </c>
      <c r="C710" s="1133" t="s">
        <v>10522</v>
      </c>
      <c r="D710" s="1134" t="s">
        <v>136</v>
      </c>
      <c r="E710" s="1135">
        <v>23400</v>
      </c>
      <c r="F710" s="1135">
        <v>1245208.8</v>
      </c>
      <c r="G710" s="1135">
        <v>0</v>
      </c>
      <c r="H710" s="1135" t="e">
        <v>#REF!</v>
      </c>
      <c r="I710" s="1135" t="e">
        <v>#REF!</v>
      </c>
      <c r="J710" s="1135" t="e">
        <v>#REF!</v>
      </c>
      <c r="K710" s="1135" t="e">
        <v>#REF!</v>
      </c>
    </row>
    <row r="711" spans="1:11" s="1136" customFormat="1" ht="30">
      <c r="A711" s="1131">
        <v>705</v>
      </c>
      <c r="B711" s="1132" t="s">
        <v>10523</v>
      </c>
      <c r="C711" s="1133" t="s">
        <v>10524</v>
      </c>
      <c r="D711" s="1134" t="s">
        <v>136</v>
      </c>
      <c r="E711" s="1135">
        <v>23400</v>
      </c>
      <c r="F711" s="1135">
        <v>1173216</v>
      </c>
      <c r="G711" s="1135">
        <v>0</v>
      </c>
      <c r="H711" s="1135" t="e">
        <v>#REF!</v>
      </c>
      <c r="I711" s="1135" t="e">
        <v>#REF!</v>
      </c>
      <c r="J711" s="1135" t="e">
        <v>#REF!</v>
      </c>
      <c r="K711" s="1135" t="e">
        <v>#REF!</v>
      </c>
    </row>
    <row r="712" spans="1:11" s="1136" customFormat="1" ht="30">
      <c r="A712" s="1131">
        <v>706</v>
      </c>
      <c r="B712" s="1132" t="s">
        <v>10525</v>
      </c>
      <c r="C712" s="1133" t="s">
        <v>10526</v>
      </c>
      <c r="D712" s="1134" t="s">
        <v>136</v>
      </c>
      <c r="E712" s="1135">
        <v>23400</v>
      </c>
      <c r="F712" s="1135">
        <v>1106556</v>
      </c>
      <c r="G712" s="1135">
        <v>0</v>
      </c>
      <c r="H712" s="1135" t="e">
        <v>#REF!</v>
      </c>
      <c r="I712" s="1135" t="e">
        <v>#REF!</v>
      </c>
      <c r="J712" s="1135" t="e">
        <v>#REF!</v>
      </c>
      <c r="K712" s="1135" t="e">
        <v>#REF!</v>
      </c>
    </row>
    <row r="713" spans="1:11" s="1136" customFormat="1" ht="30">
      <c r="A713" s="1131">
        <v>707</v>
      </c>
      <c r="B713" s="1132" t="s">
        <v>10527</v>
      </c>
      <c r="C713" s="1133" t="s">
        <v>10528</v>
      </c>
      <c r="D713" s="1134" t="s">
        <v>10529</v>
      </c>
      <c r="E713" s="1135">
        <v>30500</v>
      </c>
      <c r="F713" s="1135">
        <v>1815818.4</v>
      </c>
      <c r="G713" s="1135">
        <v>0</v>
      </c>
      <c r="H713" s="1135" t="e">
        <v>#REF!</v>
      </c>
      <c r="I713" s="1135" t="e">
        <v>#REF!</v>
      </c>
      <c r="J713" s="1135" t="e">
        <v>#REF!</v>
      </c>
      <c r="K713" s="1135" t="e">
        <v>#REF!</v>
      </c>
    </row>
    <row r="714" spans="1:11" s="1136" customFormat="1" ht="30">
      <c r="A714" s="1131">
        <v>708</v>
      </c>
      <c r="B714" s="1132" t="s">
        <v>10530</v>
      </c>
      <c r="C714" s="1133" t="s">
        <v>10531</v>
      </c>
      <c r="D714" s="1134" t="s">
        <v>10529</v>
      </c>
      <c r="E714" s="1135">
        <v>30500</v>
      </c>
      <c r="F714" s="1135">
        <v>727927.2</v>
      </c>
      <c r="G714" s="1135">
        <v>279678.8</v>
      </c>
      <c r="H714" s="1135" t="e">
        <v>#REF!</v>
      </c>
      <c r="I714" s="1135" t="e">
        <v>#REF!</v>
      </c>
      <c r="J714" s="1135" t="e">
        <v>#REF!</v>
      </c>
      <c r="K714" s="1135" t="e">
        <v>#REF!</v>
      </c>
    </row>
    <row r="715" spans="1:11" s="1136" customFormat="1" ht="30">
      <c r="A715" s="1131">
        <v>709</v>
      </c>
      <c r="B715" s="1132" t="s">
        <v>10532</v>
      </c>
      <c r="C715" s="1133" t="s">
        <v>10533</v>
      </c>
      <c r="D715" s="1134" t="s">
        <v>10529</v>
      </c>
      <c r="E715" s="1135">
        <v>30500</v>
      </c>
      <c r="F715" s="1135">
        <v>1954471.2</v>
      </c>
      <c r="G715" s="1135">
        <v>0</v>
      </c>
      <c r="H715" s="1135" t="e">
        <v>#REF!</v>
      </c>
      <c r="I715" s="1135" t="e">
        <v>#REF!</v>
      </c>
      <c r="J715" s="1135" t="e">
        <v>#REF!</v>
      </c>
      <c r="K715" s="1135" t="e">
        <v>#REF!</v>
      </c>
    </row>
    <row r="716" spans="1:11" s="1136" customFormat="1" ht="30">
      <c r="A716" s="1131">
        <v>710</v>
      </c>
      <c r="B716" s="1132" t="s">
        <v>10534</v>
      </c>
      <c r="C716" s="1133" t="s">
        <v>10535</v>
      </c>
      <c r="D716" s="1134" t="s">
        <v>10529</v>
      </c>
      <c r="E716" s="1135">
        <v>30500</v>
      </c>
      <c r="F716" s="1135">
        <v>781255.2</v>
      </c>
      <c r="G716" s="1135">
        <v>279678.8</v>
      </c>
      <c r="H716" s="1135" t="e">
        <v>#REF!</v>
      </c>
      <c r="I716" s="1135" t="e">
        <v>#REF!</v>
      </c>
      <c r="J716" s="1135" t="e">
        <v>#REF!</v>
      </c>
      <c r="K716" s="1135" t="e">
        <v>#REF!</v>
      </c>
    </row>
    <row r="717" spans="1:11" s="1136" customFormat="1" ht="30">
      <c r="A717" s="1131">
        <v>711</v>
      </c>
      <c r="B717" s="1132" t="s">
        <v>10536</v>
      </c>
      <c r="C717" s="1133" t="s">
        <v>10537</v>
      </c>
      <c r="D717" s="1134" t="s">
        <v>10529</v>
      </c>
      <c r="E717" s="1135">
        <v>30500</v>
      </c>
      <c r="F717" s="1135">
        <v>2093124</v>
      </c>
      <c r="G717" s="1135">
        <v>0</v>
      </c>
      <c r="H717" s="1135" t="e">
        <v>#REF!</v>
      </c>
      <c r="I717" s="1135" t="e">
        <v>#REF!</v>
      </c>
      <c r="J717" s="1135" t="e">
        <v>#REF!</v>
      </c>
      <c r="K717" s="1135" t="e">
        <v>#REF!</v>
      </c>
    </row>
    <row r="718" spans="1:11" s="1136" customFormat="1" ht="30">
      <c r="A718" s="1131">
        <v>712</v>
      </c>
      <c r="B718" s="1132" t="s">
        <v>10538</v>
      </c>
      <c r="C718" s="1133" t="s">
        <v>10539</v>
      </c>
      <c r="D718" s="1134" t="s">
        <v>10529</v>
      </c>
      <c r="E718" s="1135">
        <v>30500</v>
      </c>
      <c r="F718" s="1135">
        <v>834583.2</v>
      </c>
      <c r="G718" s="1135">
        <v>399541.1</v>
      </c>
      <c r="H718" s="1135" t="e">
        <v>#REF!</v>
      </c>
      <c r="I718" s="1135" t="e">
        <v>#REF!</v>
      </c>
      <c r="J718" s="1135" t="e">
        <v>#REF!</v>
      </c>
      <c r="K718" s="1135" t="e">
        <v>#REF!</v>
      </c>
    </row>
    <row r="719" spans="1:11" s="1136" customFormat="1" ht="30">
      <c r="A719" s="1131">
        <v>713</v>
      </c>
      <c r="B719" s="1132" t="s">
        <v>10540</v>
      </c>
      <c r="C719" s="1133" t="s">
        <v>10541</v>
      </c>
      <c r="D719" s="1134" t="s">
        <v>10529</v>
      </c>
      <c r="E719" s="1135">
        <v>30500</v>
      </c>
      <c r="F719" s="1135">
        <v>2605072.7999999998</v>
      </c>
      <c r="G719" s="1135">
        <v>0</v>
      </c>
      <c r="H719" s="1135" t="e">
        <v>#REF!</v>
      </c>
      <c r="I719" s="1135" t="e">
        <v>#REF!</v>
      </c>
      <c r="J719" s="1135" t="e">
        <v>#REF!</v>
      </c>
      <c r="K719" s="1135" t="e">
        <v>#REF!</v>
      </c>
    </row>
    <row r="720" spans="1:11" s="1136" customFormat="1" ht="30">
      <c r="A720" s="1131">
        <v>714</v>
      </c>
      <c r="B720" s="1132" t="s">
        <v>10542</v>
      </c>
      <c r="C720" s="1133" t="s">
        <v>10543</v>
      </c>
      <c r="D720" s="1134" t="s">
        <v>10529</v>
      </c>
      <c r="E720" s="1135">
        <v>30500</v>
      </c>
      <c r="F720" s="1135">
        <v>1039896</v>
      </c>
      <c r="G720" s="1135">
        <v>399541.1</v>
      </c>
      <c r="H720" s="1135" t="e">
        <v>#REF!</v>
      </c>
      <c r="I720" s="1135" t="e">
        <v>#REF!</v>
      </c>
      <c r="J720" s="1135" t="e">
        <v>#REF!</v>
      </c>
      <c r="K720" s="1135" t="e">
        <v>#REF!</v>
      </c>
    </row>
    <row r="721" spans="1:11" s="1136" customFormat="1" ht="30">
      <c r="A721" s="1131">
        <v>715</v>
      </c>
      <c r="B721" s="1132" t="s">
        <v>10544</v>
      </c>
      <c r="C721" s="1133" t="s">
        <v>10545</v>
      </c>
      <c r="D721" s="1134" t="s">
        <v>10529</v>
      </c>
      <c r="E721" s="1135">
        <v>35000</v>
      </c>
      <c r="F721" s="1135">
        <v>2834383.2</v>
      </c>
      <c r="G721" s="1135">
        <v>0</v>
      </c>
      <c r="H721" s="1135" t="e">
        <v>#REF!</v>
      </c>
      <c r="I721" s="1135" t="e">
        <v>#REF!</v>
      </c>
      <c r="J721" s="1135" t="e">
        <v>#REF!</v>
      </c>
      <c r="K721" s="1135" t="e">
        <v>#REF!</v>
      </c>
    </row>
    <row r="722" spans="1:11" s="1136" customFormat="1" ht="30">
      <c r="A722" s="1131">
        <v>716</v>
      </c>
      <c r="B722" s="1132" t="s">
        <v>10546</v>
      </c>
      <c r="C722" s="1133" t="s">
        <v>10547</v>
      </c>
      <c r="D722" s="1134" t="s">
        <v>10529</v>
      </c>
      <c r="E722" s="1135">
        <v>35000</v>
      </c>
      <c r="F722" s="1135">
        <v>1135886.3999999999</v>
      </c>
      <c r="G722" s="1135">
        <v>651953.6</v>
      </c>
      <c r="H722" s="1135" t="e">
        <v>#REF!</v>
      </c>
      <c r="I722" s="1135" t="e">
        <v>#REF!</v>
      </c>
      <c r="J722" s="1135" t="e">
        <v>#REF!</v>
      </c>
      <c r="K722" s="1135" t="e">
        <v>#REF!</v>
      </c>
    </row>
    <row r="723" spans="1:11" s="1136" customFormat="1" ht="30">
      <c r="A723" s="1131">
        <v>717</v>
      </c>
      <c r="B723" s="1132" t="s">
        <v>10548</v>
      </c>
      <c r="C723" s="1133" t="s">
        <v>10549</v>
      </c>
      <c r="D723" s="1134" t="s">
        <v>10529</v>
      </c>
      <c r="E723" s="1135">
        <v>35000</v>
      </c>
      <c r="F723" s="1135">
        <v>1277205.6000000001</v>
      </c>
      <c r="G723" s="1135">
        <v>375645.6</v>
      </c>
      <c r="H723" s="1135" t="e">
        <v>#REF!</v>
      </c>
      <c r="I723" s="1135" t="e">
        <v>#REF!</v>
      </c>
      <c r="J723" s="1135" t="e">
        <v>#REF!</v>
      </c>
      <c r="K723" s="1135" t="e">
        <v>#REF!</v>
      </c>
    </row>
    <row r="724" spans="1:11" s="1136" customFormat="1" ht="30">
      <c r="A724" s="1131">
        <v>718</v>
      </c>
      <c r="B724" s="1132" t="s">
        <v>10550</v>
      </c>
      <c r="C724" s="1133" t="s">
        <v>10551</v>
      </c>
      <c r="D724" s="1134" t="s">
        <v>10529</v>
      </c>
      <c r="E724" s="1135">
        <v>35000</v>
      </c>
      <c r="F724" s="1135">
        <v>3692964</v>
      </c>
      <c r="G724" s="1135">
        <v>0</v>
      </c>
      <c r="H724" s="1135" t="e">
        <v>#REF!</v>
      </c>
      <c r="I724" s="1135" t="e">
        <v>#REF!</v>
      </c>
      <c r="J724" s="1135" t="e">
        <v>#REF!</v>
      </c>
      <c r="K724" s="1135" t="e">
        <v>#REF!</v>
      </c>
    </row>
    <row r="725" spans="1:11" s="1136" customFormat="1" ht="30">
      <c r="A725" s="1131">
        <v>719</v>
      </c>
      <c r="B725" s="1132" t="s">
        <v>10552</v>
      </c>
      <c r="C725" s="1133" t="s">
        <v>10553</v>
      </c>
      <c r="D725" s="1134" t="s">
        <v>10529</v>
      </c>
      <c r="E725" s="1135">
        <v>35000</v>
      </c>
      <c r="F725" s="1135">
        <v>1333200</v>
      </c>
      <c r="G725" s="1135">
        <v>651953.6</v>
      </c>
      <c r="H725" s="1135" t="e">
        <v>#REF!</v>
      </c>
      <c r="I725" s="1135" t="e">
        <v>#REF!</v>
      </c>
      <c r="J725" s="1135" t="e">
        <v>#REF!</v>
      </c>
      <c r="K725" s="1135" t="e">
        <v>#REF!</v>
      </c>
    </row>
    <row r="726" spans="1:11" s="1136" customFormat="1" ht="30">
      <c r="A726" s="1131">
        <v>720</v>
      </c>
      <c r="B726" s="1132" t="s">
        <v>10554</v>
      </c>
      <c r="C726" s="1133" t="s">
        <v>10555</v>
      </c>
      <c r="D726" s="1134" t="s">
        <v>10529</v>
      </c>
      <c r="E726" s="1135">
        <v>35000</v>
      </c>
      <c r="F726" s="1135">
        <v>1663833.6</v>
      </c>
      <c r="G726" s="1135">
        <v>375645.6</v>
      </c>
      <c r="H726" s="1135" t="e">
        <v>#REF!</v>
      </c>
      <c r="I726" s="1135" t="e">
        <v>#REF!</v>
      </c>
      <c r="J726" s="1135" t="e">
        <v>#REF!</v>
      </c>
      <c r="K726" s="1135" t="e">
        <v>#REF!</v>
      </c>
    </row>
    <row r="727" spans="1:11" s="1136" customFormat="1" ht="30">
      <c r="A727" s="1131">
        <v>721</v>
      </c>
      <c r="B727" s="1132" t="s">
        <v>10556</v>
      </c>
      <c r="C727" s="1133" t="s">
        <v>10557</v>
      </c>
      <c r="D727" s="1134" t="s">
        <v>10529</v>
      </c>
      <c r="E727" s="1135">
        <v>35000</v>
      </c>
      <c r="F727" s="1135">
        <v>4303569.5999999996</v>
      </c>
      <c r="G727" s="1135">
        <v>0</v>
      </c>
      <c r="H727" s="1135" t="e">
        <v>#REF!</v>
      </c>
      <c r="I727" s="1135" t="e">
        <v>#REF!</v>
      </c>
      <c r="J727" s="1135" t="e">
        <v>#REF!</v>
      </c>
      <c r="K727" s="1135" t="e">
        <v>#REF!</v>
      </c>
    </row>
    <row r="728" spans="1:11" s="1136" customFormat="1" ht="30">
      <c r="A728" s="1131">
        <v>722</v>
      </c>
      <c r="B728" s="1132" t="s">
        <v>10558</v>
      </c>
      <c r="C728" s="1133" t="s">
        <v>10559</v>
      </c>
      <c r="D728" s="1134" t="s">
        <v>10529</v>
      </c>
      <c r="E728" s="1135">
        <v>35000</v>
      </c>
      <c r="F728" s="1135">
        <v>1549178.4</v>
      </c>
      <c r="G728" s="1135">
        <v>932232.7</v>
      </c>
      <c r="H728" s="1135" t="e">
        <v>#REF!</v>
      </c>
      <c r="I728" s="1135" t="e">
        <v>#REF!</v>
      </c>
      <c r="J728" s="1135" t="e">
        <v>#REF!</v>
      </c>
      <c r="K728" s="1135" t="e">
        <v>#REF!</v>
      </c>
    </row>
    <row r="729" spans="1:11" s="1136" customFormat="1" ht="30">
      <c r="A729" s="1131">
        <v>723</v>
      </c>
      <c r="B729" s="1132" t="s">
        <v>10560</v>
      </c>
      <c r="C729" s="1133" t="s">
        <v>10561</v>
      </c>
      <c r="D729" s="1134" t="s">
        <v>10529</v>
      </c>
      <c r="E729" s="1135">
        <v>35000</v>
      </c>
      <c r="F729" s="1135">
        <v>1935806.4</v>
      </c>
      <c r="G729" s="1135">
        <v>575989.9</v>
      </c>
      <c r="H729" s="1135" t="e">
        <v>#REF!</v>
      </c>
      <c r="I729" s="1135" t="e">
        <v>#REF!</v>
      </c>
      <c r="J729" s="1135" t="e">
        <v>#REF!</v>
      </c>
      <c r="K729" s="1135" t="e">
        <v>#REF!</v>
      </c>
    </row>
    <row r="730" spans="1:11" s="1136" customFormat="1" ht="30">
      <c r="A730" s="1131">
        <v>724</v>
      </c>
      <c r="B730" s="1132" t="s">
        <v>10562</v>
      </c>
      <c r="C730" s="1133" t="s">
        <v>10563</v>
      </c>
      <c r="D730" s="1134" t="s">
        <v>10529</v>
      </c>
      <c r="E730" s="1135">
        <v>35000</v>
      </c>
      <c r="F730" s="1135">
        <v>4698196.8</v>
      </c>
      <c r="G730" s="1135">
        <v>0</v>
      </c>
      <c r="H730" s="1135" t="e">
        <v>#REF!</v>
      </c>
      <c r="I730" s="1135" t="e">
        <v>#REF!</v>
      </c>
      <c r="J730" s="1135" t="e">
        <v>#REF!</v>
      </c>
      <c r="K730" s="1135" t="e">
        <v>#REF!</v>
      </c>
    </row>
    <row r="731" spans="1:11" s="1136" customFormat="1" ht="30">
      <c r="A731" s="1131">
        <v>725</v>
      </c>
      <c r="B731" s="1132" t="s">
        <v>10564</v>
      </c>
      <c r="C731" s="1133" t="s">
        <v>10565</v>
      </c>
      <c r="D731" s="1134" t="s">
        <v>10529</v>
      </c>
      <c r="E731" s="1135">
        <v>35000</v>
      </c>
      <c r="F731" s="1135">
        <v>1690497.6</v>
      </c>
      <c r="G731" s="1135">
        <v>932232.7</v>
      </c>
      <c r="H731" s="1135" t="e">
        <v>#REF!</v>
      </c>
      <c r="I731" s="1135" t="e">
        <v>#REF!</v>
      </c>
      <c r="J731" s="1135" t="e">
        <v>#REF!</v>
      </c>
      <c r="K731" s="1135" t="e">
        <v>#REF!</v>
      </c>
    </row>
    <row r="732" spans="1:11" s="1136" customFormat="1" ht="30">
      <c r="A732" s="1131">
        <v>726</v>
      </c>
      <c r="B732" s="1132" t="s">
        <v>10566</v>
      </c>
      <c r="C732" s="1133" t="s">
        <v>10567</v>
      </c>
      <c r="D732" s="1134" t="s">
        <v>10529</v>
      </c>
      <c r="E732" s="1135">
        <v>35000</v>
      </c>
      <c r="F732" s="1135">
        <v>2111788.7999999998</v>
      </c>
      <c r="G732" s="1135">
        <v>575989.9</v>
      </c>
      <c r="H732" s="1135" t="e">
        <v>#REF!</v>
      </c>
      <c r="I732" s="1135" t="e">
        <v>#REF!</v>
      </c>
      <c r="J732" s="1135" t="e">
        <v>#REF!</v>
      </c>
      <c r="K732" s="1135" t="e">
        <v>#REF!</v>
      </c>
    </row>
    <row r="733" spans="1:11" ht="30">
      <c r="A733" s="1120">
        <v>727</v>
      </c>
      <c r="B733" s="1121" t="s">
        <v>10568</v>
      </c>
      <c r="C733" s="1122" t="s">
        <v>10569</v>
      </c>
      <c r="D733" s="1123" t="s">
        <v>7300</v>
      </c>
      <c r="E733" s="1124">
        <v>0</v>
      </c>
      <c r="F733" s="1124">
        <v>199980</v>
      </c>
      <c r="G733" s="1124">
        <v>0</v>
      </c>
      <c r="H733" s="1124" t="e">
        <v>#REF!</v>
      </c>
      <c r="I733" s="1124" t="e">
        <v>#REF!</v>
      </c>
      <c r="J733" s="1124" t="e">
        <v>#REF!</v>
      </c>
      <c r="K733" s="1124" t="e">
        <v>#REF!</v>
      </c>
    </row>
    <row r="734" spans="1:11" ht="30">
      <c r="A734" s="1120">
        <v>728</v>
      </c>
      <c r="B734" s="1121" t="s">
        <v>10570</v>
      </c>
      <c r="C734" s="1122" t="s">
        <v>10571</v>
      </c>
      <c r="D734" s="1123" t="s">
        <v>7300</v>
      </c>
      <c r="E734" s="1124">
        <v>0</v>
      </c>
      <c r="F734" s="1124">
        <v>335966.4</v>
      </c>
      <c r="G734" s="1124">
        <v>0</v>
      </c>
      <c r="H734" s="1124" t="e">
        <v>#REF!</v>
      </c>
      <c r="I734" s="1124" t="e">
        <v>#REF!</v>
      </c>
      <c r="J734" s="1124" t="e">
        <v>#REF!</v>
      </c>
      <c r="K734" s="1124" t="e">
        <v>#REF!</v>
      </c>
    </row>
    <row r="735" spans="1:11" ht="30">
      <c r="A735" s="1120">
        <v>729</v>
      </c>
      <c r="B735" s="1121" t="s">
        <v>10572</v>
      </c>
      <c r="C735" s="1122" t="s">
        <v>10573</v>
      </c>
      <c r="D735" s="1123" t="s">
        <v>7300</v>
      </c>
      <c r="E735" s="1124">
        <v>0</v>
      </c>
      <c r="F735" s="1124">
        <v>453288</v>
      </c>
      <c r="G735" s="1124">
        <v>0</v>
      </c>
      <c r="H735" s="1124" t="e">
        <v>#REF!</v>
      </c>
      <c r="I735" s="1124" t="e">
        <v>#REF!</v>
      </c>
      <c r="J735" s="1124" t="e">
        <v>#REF!</v>
      </c>
      <c r="K735" s="1124" t="e">
        <v>#REF!</v>
      </c>
    </row>
    <row r="736" spans="1:11" ht="30">
      <c r="A736" s="1120">
        <v>730</v>
      </c>
      <c r="B736" s="1121" t="s">
        <v>10574</v>
      </c>
      <c r="C736" s="1122" t="s">
        <v>10575</v>
      </c>
      <c r="D736" s="1123" t="s">
        <v>7300</v>
      </c>
      <c r="E736" s="1124">
        <v>0</v>
      </c>
      <c r="F736" s="1124">
        <v>610605.6</v>
      </c>
      <c r="G736" s="1124">
        <v>0</v>
      </c>
      <c r="H736" s="1124" t="e">
        <v>#REF!</v>
      </c>
      <c r="I736" s="1124" t="e">
        <v>#REF!</v>
      </c>
      <c r="J736" s="1124" t="e">
        <v>#REF!</v>
      </c>
      <c r="K736" s="1124" t="e">
        <v>#REF!</v>
      </c>
    </row>
    <row r="737" spans="1:11" ht="30">
      <c r="A737" s="1120">
        <v>731</v>
      </c>
      <c r="B737" s="1121" t="s">
        <v>10576</v>
      </c>
      <c r="C737" s="1122" t="s">
        <v>10577</v>
      </c>
      <c r="D737" s="1123" t="s">
        <v>7300</v>
      </c>
      <c r="E737" s="1124">
        <v>0</v>
      </c>
      <c r="F737" s="1124">
        <v>733260</v>
      </c>
      <c r="G737" s="1124">
        <v>0</v>
      </c>
      <c r="H737" s="1124" t="e">
        <v>#REF!</v>
      </c>
      <c r="I737" s="1124" t="e">
        <v>#REF!</v>
      </c>
      <c r="J737" s="1124" t="e">
        <v>#REF!</v>
      </c>
      <c r="K737" s="1124" t="e">
        <v>#REF!</v>
      </c>
    </row>
    <row r="738" spans="1:11" ht="30">
      <c r="A738" s="1120">
        <v>732</v>
      </c>
      <c r="B738" s="1121" t="s">
        <v>10578</v>
      </c>
      <c r="C738" s="1122" t="s">
        <v>10579</v>
      </c>
      <c r="D738" s="1123" t="s">
        <v>7300</v>
      </c>
      <c r="E738" s="1124">
        <v>0</v>
      </c>
      <c r="F738" s="1124">
        <v>1013232</v>
      </c>
      <c r="G738" s="1124">
        <v>0</v>
      </c>
      <c r="H738" s="1124" t="e">
        <v>#REF!</v>
      </c>
      <c r="I738" s="1124" t="e">
        <v>#REF!</v>
      </c>
      <c r="J738" s="1124" t="e">
        <v>#REF!</v>
      </c>
      <c r="K738" s="1124" t="e">
        <v>#REF!</v>
      </c>
    </row>
    <row r="739" spans="1:11" ht="30">
      <c r="A739" s="1120">
        <v>733</v>
      </c>
      <c r="B739" s="1121" t="s">
        <v>10580</v>
      </c>
      <c r="C739" s="1122" t="s">
        <v>10581</v>
      </c>
      <c r="D739" s="1123" t="s">
        <v>7300</v>
      </c>
      <c r="E739" s="1124">
        <v>0</v>
      </c>
      <c r="F739" s="1124">
        <v>1293204</v>
      </c>
      <c r="G739" s="1124">
        <v>0</v>
      </c>
      <c r="H739" s="1124" t="e">
        <v>#REF!</v>
      </c>
      <c r="I739" s="1124" t="e">
        <v>#REF!</v>
      </c>
      <c r="J739" s="1124" t="e">
        <v>#REF!</v>
      </c>
      <c r="K739" s="1124" t="e">
        <v>#REF!</v>
      </c>
    </row>
    <row r="740" spans="1:11" ht="30">
      <c r="A740" s="1120">
        <v>734</v>
      </c>
      <c r="B740" s="1121" t="s">
        <v>10582</v>
      </c>
      <c r="C740" s="1122" t="s">
        <v>10583</v>
      </c>
      <c r="D740" s="1123" t="s">
        <v>7300</v>
      </c>
      <c r="E740" s="1124">
        <v>0</v>
      </c>
      <c r="F740" s="1124">
        <v>1525180.8</v>
      </c>
      <c r="G740" s="1124">
        <v>0</v>
      </c>
      <c r="H740" s="1124" t="e">
        <v>#REF!</v>
      </c>
      <c r="I740" s="1124" t="e">
        <v>#REF!</v>
      </c>
      <c r="J740" s="1124" t="e">
        <v>#REF!</v>
      </c>
      <c r="K740" s="1124" t="e">
        <v>#REF!</v>
      </c>
    </row>
    <row r="741" spans="1:11" ht="30">
      <c r="A741" s="1120">
        <v>735</v>
      </c>
      <c r="B741" s="1121" t="s">
        <v>10584</v>
      </c>
      <c r="C741" s="1122" t="s">
        <v>10585</v>
      </c>
      <c r="D741" s="1123" t="s">
        <v>7300</v>
      </c>
      <c r="E741" s="1124">
        <v>0</v>
      </c>
      <c r="F741" s="1124">
        <v>1799820</v>
      </c>
      <c r="G741" s="1124">
        <v>0</v>
      </c>
      <c r="H741" s="1124" t="e">
        <v>#REF!</v>
      </c>
      <c r="I741" s="1124" t="e">
        <v>#REF!</v>
      </c>
      <c r="J741" s="1124" t="e">
        <v>#REF!</v>
      </c>
      <c r="K741" s="1124" t="e">
        <v>#REF!</v>
      </c>
    </row>
    <row r="742" spans="1:11" ht="30">
      <c r="A742" s="1120">
        <v>736</v>
      </c>
      <c r="B742" s="1121" t="s">
        <v>10586</v>
      </c>
      <c r="C742" s="1122" t="s">
        <v>10587</v>
      </c>
      <c r="D742" s="1123" t="s">
        <v>7300</v>
      </c>
      <c r="E742" s="1124">
        <v>0</v>
      </c>
      <c r="F742" s="1124">
        <v>266640</v>
      </c>
      <c r="G742" s="1124">
        <v>0</v>
      </c>
      <c r="H742" s="1124" t="e">
        <v>#REF!</v>
      </c>
      <c r="I742" s="1124" t="e">
        <v>#REF!</v>
      </c>
      <c r="J742" s="1124" t="e">
        <v>#REF!</v>
      </c>
      <c r="K742" s="1124" t="e">
        <v>#REF!</v>
      </c>
    </row>
    <row r="743" spans="1:11" ht="30">
      <c r="A743" s="1120">
        <v>737</v>
      </c>
      <c r="B743" s="1121" t="s">
        <v>10588</v>
      </c>
      <c r="C743" s="1122" t="s">
        <v>10589</v>
      </c>
      <c r="D743" s="1123" t="s">
        <v>7300</v>
      </c>
      <c r="E743" s="1124">
        <v>0</v>
      </c>
      <c r="F743" s="1124">
        <v>445288.8</v>
      </c>
      <c r="G743" s="1124">
        <v>0</v>
      </c>
      <c r="H743" s="1124" t="e">
        <v>#REF!</v>
      </c>
      <c r="I743" s="1124" t="e">
        <v>#REF!</v>
      </c>
      <c r="J743" s="1124" t="e">
        <v>#REF!</v>
      </c>
      <c r="K743" s="1124" t="e">
        <v>#REF!</v>
      </c>
    </row>
    <row r="744" spans="1:11" ht="30">
      <c r="A744" s="1120">
        <v>738</v>
      </c>
      <c r="B744" s="1121" t="s">
        <v>10590</v>
      </c>
      <c r="C744" s="1122" t="s">
        <v>10591</v>
      </c>
      <c r="D744" s="1123" t="s">
        <v>7300</v>
      </c>
      <c r="E744" s="1124">
        <v>0</v>
      </c>
      <c r="F744" s="1124">
        <v>602606.4</v>
      </c>
      <c r="G744" s="1124">
        <v>0</v>
      </c>
      <c r="H744" s="1124" t="e">
        <v>#REF!</v>
      </c>
      <c r="I744" s="1124" t="e">
        <v>#REF!</v>
      </c>
      <c r="J744" s="1124" t="e">
        <v>#REF!</v>
      </c>
      <c r="K744" s="1124" t="e">
        <v>#REF!</v>
      </c>
    </row>
    <row r="745" spans="1:11" ht="30">
      <c r="A745" s="1120">
        <v>739</v>
      </c>
      <c r="B745" s="1121" t="s">
        <v>10592</v>
      </c>
      <c r="C745" s="1122" t="s">
        <v>10593</v>
      </c>
      <c r="D745" s="1123" t="s">
        <v>7300</v>
      </c>
      <c r="E745" s="1124">
        <v>0</v>
      </c>
      <c r="F745" s="1124">
        <v>810585.59999999998</v>
      </c>
      <c r="G745" s="1124">
        <v>0</v>
      </c>
      <c r="H745" s="1124" t="e">
        <v>#REF!</v>
      </c>
      <c r="I745" s="1124" t="e">
        <v>#REF!</v>
      </c>
      <c r="J745" s="1124" t="e">
        <v>#REF!</v>
      </c>
      <c r="K745" s="1124" t="e">
        <v>#REF!</v>
      </c>
    </row>
    <row r="746" spans="1:11" ht="30">
      <c r="A746" s="1120">
        <v>740</v>
      </c>
      <c r="B746" s="1121" t="s">
        <v>10594</v>
      </c>
      <c r="C746" s="1122" t="s">
        <v>10595</v>
      </c>
      <c r="D746" s="1123" t="s">
        <v>7300</v>
      </c>
      <c r="E746" s="1124">
        <v>0</v>
      </c>
      <c r="F746" s="1124">
        <v>973236</v>
      </c>
      <c r="G746" s="1124">
        <v>0</v>
      </c>
      <c r="H746" s="1124" t="e">
        <v>#REF!</v>
      </c>
      <c r="I746" s="1124" t="e">
        <v>#REF!</v>
      </c>
      <c r="J746" s="1124" t="e">
        <v>#REF!</v>
      </c>
      <c r="K746" s="1124" t="e">
        <v>#REF!</v>
      </c>
    </row>
    <row r="747" spans="1:11" ht="30">
      <c r="A747" s="1120">
        <v>741</v>
      </c>
      <c r="B747" s="1121" t="s">
        <v>10596</v>
      </c>
      <c r="C747" s="1122" t="s">
        <v>10597</v>
      </c>
      <c r="D747" s="1123" t="s">
        <v>7300</v>
      </c>
      <c r="E747" s="1124">
        <v>0</v>
      </c>
      <c r="F747" s="1124">
        <v>1343865.6</v>
      </c>
      <c r="G747" s="1124">
        <v>0</v>
      </c>
      <c r="H747" s="1124" t="e">
        <v>#REF!</v>
      </c>
      <c r="I747" s="1124" t="e">
        <v>#REF!</v>
      </c>
      <c r="J747" s="1124" t="e">
        <v>#REF!</v>
      </c>
      <c r="K747" s="1124" t="e">
        <v>#REF!</v>
      </c>
    </row>
    <row r="748" spans="1:11" ht="30">
      <c r="A748" s="1120">
        <v>742</v>
      </c>
      <c r="B748" s="1121" t="s">
        <v>10598</v>
      </c>
      <c r="C748" s="1122" t="s">
        <v>10599</v>
      </c>
      <c r="D748" s="1123" t="s">
        <v>7300</v>
      </c>
      <c r="E748" s="1124">
        <v>0</v>
      </c>
      <c r="F748" s="1124">
        <v>1717161.6</v>
      </c>
      <c r="G748" s="1124">
        <v>0</v>
      </c>
      <c r="H748" s="1124" t="e">
        <v>#REF!</v>
      </c>
      <c r="I748" s="1124" t="e">
        <v>#REF!</v>
      </c>
      <c r="J748" s="1124" t="e">
        <v>#REF!</v>
      </c>
      <c r="K748" s="1124" t="e">
        <v>#REF!</v>
      </c>
    </row>
    <row r="749" spans="1:11" ht="30">
      <c r="A749" s="1120">
        <v>743</v>
      </c>
      <c r="B749" s="1121" t="s">
        <v>10600</v>
      </c>
      <c r="C749" s="1122" t="s">
        <v>10601</v>
      </c>
      <c r="D749" s="1123" t="s">
        <v>7300</v>
      </c>
      <c r="E749" s="1124">
        <v>0</v>
      </c>
      <c r="F749" s="1124">
        <v>2026464</v>
      </c>
      <c r="G749" s="1124">
        <v>0</v>
      </c>
      <c r="H749" s="1124" t="e">
        <v>#REF!</v>
      </c>
      <c r="I749" s="1124" t="e">
        <v>#REF!</v>
      </c>
      <c r="J749" s="1124" t="e">
        <v>#REF!</v>
      </c>
      <c r="K749" s="1124" t="e">
        <v>#REF!</v>
      </c>
    </row>
    <row r="750" spans="1:11" ht="30">
      <c r="A750" s="1120">
        <v>744</v>
      </c>
      <c r="B750" s="1121" t="s">
        <v>10602</v>
      </c>
      <c r="C750" s="1122" t="s">
        <v>10603</v>
      </c>
      <c r="D750" s="1123" t="s">
        <v>7300</v>
      </c>
      <c r="E750" s="1124">
        <v>0</v>
      </c>
      <c r="F750" s="1124">
        <v>2391760.7999999998</v>
      </c>
      <c r="G750" s="1124">
        <v>0</v>
      </c>
      <c r="H750" s="1124" t="e">
        <v>#REF!</v>
      </c>
      <c r="I750" s="1124" t="e">
        <v>#REF!</v>
      </c>
      <c r="J750" s="1124" t="e">
        <v>#REF!</v>
      </c>
      <c r="K750" s="1124" t="e">
        <v>#REF!</v>
      </c>
    </row>
    <row r="751" spans="1:11" ht="30">
      <c r="A751" s="1120">
        <v>745</v>
      </c>
      <c r="B751" s="1121" t="s">
        <v>10604</v>
      </c>
      <c r="C751" s="1122" t="s">
        <v>10605</v>
      </c>
      <c r="D751" s="1123" t="s">
        <v>7300</v>
      </c>
      <c r="E751" s="1124">
        <v>0</v>
      </c>
      <c r="F751" s="1124">
        <v>826584</v>
      </c>
      <c r="G751" s="1124">
        <v>0</v>
      </c>
      <c r="H751" s="1124" t="e">
        <v>#REF!</v>
      </c>
      <c r="I751" s="1124" t="e">
        <v>#REF!</v>
      </c>
      <c r="J751" s="1124" t="e">
        <v>#REF!</v>
      </c>
      <c r="K751" s="1124" t="e">
        <v>#REF!</v>
      </c>
    </row>
    <row r="752" spans="1:11" ht="30">
      <c r="A752" s="1120">
        <v>746</v>
      </c>
      <c r="B752" s="1121" t="s">
        <v>10606</v>
      </c>
      <c r="C752" s="1122" t="s">
        <v>10607</v>
      </c>
      <c r="D752" s="1123" t="s">
        <v>7300</v>
      </c>
      <c r="E752" s="1124">
        <v>0</v>
      </c>
      <c r="F752" s="1124">
        <v>1178548.8</v>
      </c>
      <c r="G752" s="1124">
        <v>0</v>
      </c>
      <c r="H752" s="1124" t="e">
        <v>#REF!</v>
      </c>
      <c r="I752" s="1124" t="e">
        <v>#REF!</v>
      </c>
      <c r="J752" s="1124" t="e">
        <v>#REF!</v>
      </c>
      <c r="K752" s="1124" t="e">
        <v>#REF!</v>
      </c>
    </row>
    <row r="753" spans="1:11" ht="30">
      <c r="A753" s="1120">
        <v>747</v>
      </c>
      <c r="B753" s="1121" t="s">
        <v>10608</v>
      </c>
      <c r="C753" s="1122" t="s">
        <v>10609</v>
      </c>
      <c r="D753" s="1123" t="s">
        <v>7300</v>
      </c>
      <c r="E753" s="1124">
        <v>0</v>
      </c>
      <c r="F753" s="1124">
        <v>1477185.6</v>
      </c>
      <c r="G753" s="1124">
        <v>0</v>
      </c>
      <c r="H753" s="1124" t="e">
        <v>#REF!</v>
      </c>
      <c r="I753" s="1124" t="e">
        <v>#REF!</v>
      </c>
      <c r="J753" s="1124" t="e">
        <v>#REF!</v>
      </c>
      <c r="K753" s="1124" t="e">
        <v>#REF!</v>
      </c>
    </row>
    <row r="754" spans="1:11" ht="30">
      <c r="A754" s="1120">
        <v>748</v>
      </c>
      <c r="B754" s="1121" t="s">
        <v>10610</v>
      </c>
      <c r="C754" s="1122" t="s">
        <v>10611</v>
      </c>
      <c r="D754" s="1123" t="s">
        <v>7300</v>
      </c>
      <c r="E754" s="1124">
        <v>0</v>
      </c>
      <c r="F754" s="1124">
        <v>1631836.8</v>
      </c>
      <c r="G754" s="1124">
        <v>0</v>
      </c>
      <c r="H754" s="1124" t="e">
        <v>#REF!</v>
      </c>
      <c r="I754" s="1124" t="e">
        <v>#REF!</v>
      </c>
      <c r="J754" s="1124" t="e">
        <v>#REF!</v>
      </c>
      <c r="K754" s="1124" t="e">
        <v>#REF!</v>
      </c>
    </row>
    <row r="755" spans="1:11" ht="30">
      <c r="A755" s="1120">
        <v>749</v>
      </c>
      <c r="B755" s="1121" t="s">
        <v>10612</v>
      </c>
      <c r="C755" s="1122" t="s">
        <v>10613</v>
      </c>
      <c r="D755" s="1123" t="s">
        <v>7300</v>
      </c>
      <c r="E755" s="1124">
        <v>0</v>
      </c>
      <c r="F755" s="1124">
        <v>1781155.2</v>
      </c>
      <c r="G755" s="1124">
        <v>0</v>
      </c>
      <c r="H755" s="1124" t="e">
        <v>#REF!</v>
      </c>
      <c r="I755" s="1124" t="e">
        <v>#REF!</v>
      </c>
      <c r="J755" s="1124" t="e">
        <v>#REF!</v>
      </c>
      <c r="K755" s="1124" t="e">
        <v>#REF!</v>
      </c>
    </row>
    <row r="756" spans="1:11" ht="30">
      <c r="A756" s="1120">
        <v>750</v>
      </c>
      <c r="B756" s="1121" t="s">
        <v>10614</v>
      </c>
      <c r="C756" s="1122" t="s">
        <v>10615</v>
      </c>
      <c r="D756" s="1123" t="s">
        <v>7300</v>
      </c>
      <c r="E756" s="1124">
        <v>0</v>
      </c>
      <c r="F756" s="1124">
        <v>2282438.4</v>
      </c>
      <c r="G756" s="1124">
        <v>0</v>
      </c>
      <c r="H756" s="1124" t="e">
        <v>#REF!</v>
      </c>
      <c r="I756" s="1124" t="e">
        <v>#REF!</v>
      </c>
      <c r="J756" s="1124" t="e">
        <v>#REF!</v>
      </c>
      <c r="K756" s="1124" t="e">
        <v>#REF!</v>
      </c>
    </row>
    <row r="757" spans="1:11" ht="30">
      <c r="A757" s="1120">
        <v>751</v>
      </c>
      <c r="B757" s="1121" t="s">
        <v>10616</v>
      </c>
      <c r="C757" s="1122" t="s">
        <v>10617</v>
      </c>
      <c r="D757" s="1123" t="s">
        <v>7300</v>
      </c>
      <c r="E757" s="1124">
        <v>0</v>
      </c>
      <c r="F757" s="1124">
        <v>2690397.6</v>
      </c>
      <c r="G757" s="1124">
        <v>0</v>
      </c>
      <c r="H757" s="1124" t="e">
        <v>#REF!</v>
      </c>
      <c r="I757" s="1124" t="e">
        <v>#REF!</v>
      </c>
      <c r="J757" s="1124" t="e">
        <v>#REF!</v>
      </c>
      <c r="K757" s="1124" t="e">
        <v>#REF!</v>
      </c>
    </row>
    <row r="758" spans="1:11" ht="45">
      <c r="A758" s="1120">
        <v>752</v>
      </c>
      <c r="B758" s="1121" t="s">
        <v>10618</v>
      </c>
      <c r="C758" s="1122" t="s">
        <v>10619</v>
      </c>
      <c r="D758" s="1123" t="s">
        <v>7300</v>
      </c>
      <c r="E758" s="1124">
        <v>0</v>
      </c>
      <c r="F758" s="1124">
        <v>917241.6</v>
      </c>
      <c r="G758" s="1124">
        <v>0</v>
      </c>
      <c r="H758" s="1124" t="e">
        <v>#REF!</v>
      </c>
      <c r="I758" s="1124" t="e">
        <v>#REF!</v>
      </c>
      <c r="J758" s="1124" t="e">
        <v>#REF!</v>
      </c>
      <c r="K758" s="1124" t="e">
        <v>#REF!</v>
      </c>
    </row>
    <row r="759" spans="1:11" ht="45">
      <c r="A759" s="1120">
        <v>753</v>
      </c>
      <c r="B759" s="1121" t="s">
        <v>10620</v>
      </c>
      <c r="C759" s="1122" t="s">
        <v>10621</v>
      </c>
      <c r="D759" s="1123" t="s">
        <v>7300</v>
      </c>
      <c r="E759" s="1124">
        <v>0</v>
      </c>
      <c r="F759" s="1124">
        <v>1311868.8</v>
      </c>
      <c r="G759" s="1124">
        <v>0</v>
      </c>
      <c r="H759" s="1124" t="e">
        <v>#REF!</v>
      </c>
      <c r="I759" s="1124" t="e">
        <v>#REF!</v>
      </c>
      <c r="J759" s="1124" t="e">
        <v>#REF!</v>
      </c>
      <c r="K759" s="1124" t="e">
        <v>#REF!</v>
      </c>
    </row>
    <row r="760" spans="1:11" ht="45">
      <c r="A760" s="1120">
        <v>754</v>
      </c>
      <c r="B760" s="1121" t="s">
        <v>10622</v>
      </c>
      <c r="C760" s="1122" t="s">
        <v>10623</v>
      </c>
      <c r="D760" s="1123" t="s">
        <v>7300</v>
      </c>
      <c r="E760" s="1124">
        <v>0</v>
      </c>
      <c r="F760" s="1124">
        <v>1642502.4</v>
      </c>
      <c r="G760" s="1124">
        <v>0</v>
      </c>
      <c r="H760" s="1124" t="e">
        <v>#REF!</v>
      </c>
      <c r="I760" s="1124" t="e">
        <v>#REF!</v>
      </c>
      <c r="J760" s="1124" t="e">
        <v>#REF!</v>
      </c>
      <c r="K760" s="1124" t="e">
        <v>#REF!</v>
      </c>
    </row>
    <row r="761" spans="1:11" ht="45">
      <c r="A761" s="1120">
        <v>755</v>
      </c>
      <c r="B761" s="1121" t="s">
        <v>10624</v>
      </c>
      <c r="C761" s="1122" t="s">
        <v>10625</v>
      </c>
      <c r="D761" s="1123" t="s">
        <v>7300</v>
      </c>
      <c r="E761" s="1124">
        <v>0</v>
      </c>
      <c r="F761" s="1124">
        <v>1813152</v>
      </c>
      <c r="G761" s="1124">
        <v>0</v>
      </c>
      <c r="H761" s="1124" t="e">
        <v>#REF!</v>
      </c>
      <c r="I761" s="1124" t="e">
        <v>#REF!</v>
      </c>
      <c r="J761" s="1124" t="e">
        <v>#REF!</v>
      </c>
      <c r="K761" s="1124" t="e">
        <v>#REF!</v>
      </c>
    </row>
    <row r="762" spans="1:11" ht="45">
      <c r="A762" s="1120">
        <v>756</v>
      </c>
      <c r="B762" s="1121" t="s">
        <v>10626</v>
      </c>
      <c r="C762" s="1122" t="s">
        <v>10627</v>
      </c>
      <c r="D762" s="1123" t="s">
        <v>7300</v>
      </c>
      <c r="E762" s="1124">
        <v>0</v>
      </c>
      <c r="F762" s="1124">
        <v>1978468.8</v>
      </c>
      <c r="G762" s="1124">
        <v>0</v>
      </c>
      <c r="H762" s="1124" t="e">
        <v>#REF!</v>
      </c>
      <c r="I762" s="1124" t="e">
        <v>#REF!</v>
      </c>
      <c r="J762" s="1124" t="e">
        <v>#REF!</v>
      </c>
      <c r="K762" s="1124" t="e">
        <v>#REF!</v>
      </c>
    </row>
    <row r="763" spans="1:11" ht="45">
      <c r="A763" s="1120">
        <v>757</v>
      </c>
      <c r="B763" s="1121" t="s">
        <v>10628</v>
      </c>
      <c r="C763" s="1122" t="s">
        <v>10629</v>
      </c>
      <c r="D763" s="1123" t="s">
        <v>7300</v>
      </c>
      <c r="E763" s="1124">
        <v>0</v>
      </c>
      <c r="F763" s="1124">
        <v>2533080</v>
      </c>
      <c r="G763" s="1124">
        <v>0</v>
      </c>
      <c r="H763" s="1124" t="e">
        <v>#REF!</v>
      </c>
      <c r="I763" s="1124" t="e">
        <v>#REF!</v>
      </c>
      <c r="J763" s="1124" t="e">
        <v>#REF!</v>
      </c>
      <c r="K763" s="1124" t="e">
        <v>#REF!</v>
      </c>
    </row>
    <row r="764" spans="1:11" ht="45">
      <c r="A764" s="1120">
        <v>758</v>
      </c>
      <c r="B764" s="1121" t="s">
        <v>10630</v>
      </c>
      <c r="C764" s="1122" t="s">
        <v>10631</v>
      </c>
      <c r="D764" s="1123" t="s">
        <v>7300</v>
      </c>
      <c r="E764" s="1124">
        <v>0</v>
      </c>
      <c r="F764" s="1124">
        <v>2991700.8</v>
      </c>
      <c r="G764" s="1124">
        <v>0</v>
      </c>
      <c r="H764" s="1124" t="e">
        <v>#REF!</v>
      </c>
      <c r="I764" s="1124" t="e">
        <v>#REF!</v>
      </c>
      <c r="J764" s="1124" t="e">
        <v>#REF!</v>
      </c>
      <c r="K764" s="1124" t="e">
        <v>#REF!</v>
      </c>
    </row>
    <row r="765" spans="1:11" s="1136" customFormat="1" ht="30">
      <c r="A765" s="1131">
        <v>759</v>
      </c>
      <c r="B765" s="1132" t="s">
        <v>10632</v>
      </c>
      <c r="C765" s="1133" t="s">
        <v>10633</v>
      </c>
      <c r="D765" s="1134" t="s">
        <v>4016</v>
      </c>
      <c r="E765" s="1135">
        <v>137700</v>
      </c>
      <c r="F765" s="1135">
        <v>2306436</v>
      </c>
      <c r="G765" s="1135">
        <v>279678.8</v>
      </c>
      <c r="H765" s="1135" t="e">
        <v>#REF!</v>
      </c>
      <c r="I765" s="1135" t="e">
        <v>#REF!</v>
      </c>
      <c r="J765" s="1135" t="e">
        <v>#REF!</v>
      </c>
      <c r="K765" s="1135" t="e">
        <v>#REF!</v>
      </c>
    </row>
    <row r="766" spans="1:11" s="1136" customFormat="1" ht="30">
      <c r="A766" s="1131">
        <v>760</v>
      </c>
      <c r="B766" s="1132" t="s">
        <v>10634</v>
      </c>
      <c r="C766" s="1133" t="s">
        <v>10635</v>
      </c>
      <c r="D766" s="1134" t="s">
        <v>4016</v>
      </c>
      <c r="E766" s="1135">
        <v>183600</v>
      </c>
      <c r="F766" s="1135">
        <v>4084924.8</v>
      </c>
      <c r="G766" s="1135">
        <v>365581.4</v>
      </c>
      <c r="H766" s="1135" t="e">
        <v>#REF!</v>
      </c>
      <c r="I766" s="1135" t="e">
        <v>#REF!</v>
      </c>
      <c r="J766" s="1135" t="e">
        <v>#REF!</v>
      </c>
      <c r="K766" s="1135" t="e">
        <v>#REF!</v>
      </c>
    </row>
    <row r="767" spans="1:11" s="1136" customFormat="1" ht="30">
      <c r="A767" s="1131">
        <v>761</v>
      </c>
      <c r="B767" s="1132" t="s">
        <v>10636</v>
      </c>
      <c r="C767" s="1133" t="s">
        <v>10637</v>
      </c>
      <c r="D767" s="1134" t="s">
        <v>4016</v>
      </c>
      <c r="E767" s="1135">
        <v>183600</v>
      </c>
      <c r="F767" s="1135">
        <v>5023497.5999999996</v>
      </c>
      <c r="G767" s="1135">
        <v>609302.4</v>
      </c>
      <c r="H767" s="1135" t="e">
        <v>#REF!</v>
      </c>
      <c r="I767" s="1135" t="e">
        <v>#REF!</v>
      </c>
      <c r="J767" s="1135" t="e">
        <v>#REF!</v>
      </c>
      <c r="K767" s="1135" t="e">
        <v>#REF!</v>
      </c>
    </row>
    <row r="768" spans="1:11" s="1136" customFormat="1" ht="30">
      <c r="A768" s="1131">
        <v>762</v>
      </c>
      <c r="B768" s="1132" t="s">
        <v>10638</v>
      </c>
      <c r="C768" s="1133" t="s">
        <v>10639</v>
      </c>
      <c r="D768" s="1134" t="s">
        <v>4016</v>
      </c>
      <c r="E768" s="1135">
        <v>275400</v>
      </c>
      <c r="F768" s="1135">
        <v>8076525.5999999996</v>
      </c>
      <c r="G768" s="1135">
        <v>1150137.3</v>
      </c>
      <c r="H768" s="1135" t="e">
        <v>#REF!</v>
      </c>
      <c r="I768" s="1135" t="e">
        <v>#REF!</v>
      </c>
      <c r="J768" s="1135" t="e">
        <v>#REF!</v>
      </c>
      <c r="K768" s="1135" t="e">
        <v>#REF!</v>
      </c>
    </row>
    <row r="769" spans="1:11" s="1136" customFormat="1" ht="30">
      <c r="A769" s="1131">
        <v>763</v>
      </c>
      <c r="B769" s="1132" t="s">
        <v>10640</v>
      </c>
      <c r="C769" s="1133" t="s">
        <v>10641</v>
      </c>
      <c r="D769" s="1134" t="s">
        <v>4016</v>
      </c>
      <c r="E769" s="1135">
        <v>367200</v>
      </c>
      <c r="F769" s="1135">
        <v>14382561.6</v>
      </c>
      <c r="G769" s="1135">
        <v>1636733.9</v>
      </c>
      <c r="H769" s="1135" t="e">
        <v>#REF!</v>
      </c>
      <c r="I769" s="1135" t="e">
        <v>#REF!</v>
      </c>
      <c r="J769" s="1135" t="e">
        <v>#REF!</v>
      </c>
      <c r="K769" s="1135" t="e">
        <v>#REF!</v>
      </c>
    </row>
    <row r="770" spans="1:11" s="1136" customFormat="1" ht="30">
      <c r="A770" s="1131">
        <v>764</v>
      </c>
      <c r="B770" s="1132" t="s">
        <v>10642</v>
      </c>
      <c r="C770" s="1133" t="s">
        <v>10643</v>
      </c>
      <c r="D770" s="1134" t="s">
        <v>4016</v>
      </c>
      <c r="E770" s="1135">
        <v>596700</v>
      </c>
      <c r="F770" s="1135">
        <v>16542345.6</v>
      </c>
      <c r="G770" s="1135">
        <v>2229296.2000000002</v>
      </c>
      <c r="H770" s="1135" t="e">
        <v>#REF!</v>
      </c>
      <c r="I770" s="1135" t="e">
        <v>#REF!</v>
      </c>
      <c r="J770" s="1135" t="e">
        <v>#REF!</v>
      </c>
      <c r="K770" s="1135" t="e">
        <v>#REF!</v>
      </c>
    </row>
    <row r="771" spans="1:11" s="1136" customFormat="1" ht="30">
      <c r="A771" s="1131">
        <v>765</v>
      </c>
      <c r="B771" s="1132" t="s">
        <v>10644</v>
      </c>
      <c r="C771" s="1133" t="s">
        <v>10645</v>
      </c>
      <c r="D771" s="1134" t="s">
        <v>4016</v>
      </c>
      <c r="E771" s="1135">
        <v>918000</v>
      </c>
      <c r="F771" s="1135">
        <v>18192847.199999999</v>
      </c>
      <c r="G771" s="1135">
        <v>2568536.9</v>
      </c>
      <c r="H771" s="1135" t="e">
        <v>#REF!</v>
      </c>
      <c r="I771" s="1135" t="e">
        <v>#REF!</v>
      </c>
      <c r="J771" s="1135" t="e">
        <v>#REF!</v>
      </c>
      <c r="K771" s="1135" t="e">
        <v>#REF!</v>
      </c>
    </row>
    <row r="772" spans="1:11" s="1136" customFormat="1" ht="30">
      <c r="A772" s="1131">
        <v>766</v>
      </c>
      <c r="B772" s="1132" t="s">
        <v>10646</v>
      </c>
      <c r="C772" s="1133" t="s">
        <v>10647</v>
      </c>
      <c r="D772" s="1134" t="s">
        <v>51</v>
      </c>
      <c r="E772" s="1135">
        <v>0</v>
      </c>
      <c r="F772" s="1135">
        <v>40522.300000000003</v>
      </c>
      <c r="G772" s="1135">
        <v>0</v>
      </c>
      <c r="H772" s="1135" t="e">
        <v>#REF!</v>
      </c>
      <c r="I772" s="1135" t="e">
        <v>#REF!</v>
      </c>
      <c r="J772" s="1135" t="e">
        <v>#REF!</v>
      </c>
      <c r="K772" s="1135" t="e">
        <v>#REF!</v>
      </c>
    </row>
    <row r="773" spans="1:11" s="1136" customFormat="1" ht="30">
      <c r="A773" s="1131">
        <v>767</v>
      </c>
      <c r="B773" s="1132" t="s">
        <v>10648</v>
      </c>
      <c r="C773" s="1133" t="s">
        <v>10649</v>
      </c>
      <c r="D773" s="1134" t="s">
        <v>51</v>
      </c>
      <c r="E773" s="1135">
        <v>0</v>
      </c>
      <c r="F773" s="1135">
        <v>72361.3</v>
      </c>
      <c r="G773" s="1135">
        <v>0</v>
      </c>
      <c r="H773" s="1135" t="e">
        <v>#REF!</v>
      </c>
      <c r="I773" s="1135" t="e">
        <v>#REF!</v>
      </c>
      <c r="J773" s="1135" t="e">
        <v>#REF!</v>
      </c>
      <c r="K773" s="1135" t="e">
        <v>#REF!</v>
      </c>
    </row>
    <row r="774" spans="1:11" s="1136" customFormat="1" ht="30">
      <c r="A774" s="1131">
        <v>768</v>
      </c>
      <c r="B774" s="1132" t="s">
        <v>10650</v>
      </c>
      <c r="C774" s="1133" t="s">
        <v>10651</v>
      </c>
      <c r="D774" s="1134" t="s">
        <v>51</v>
      </c>
      <c r="E774" s="1135">
        <v>0</v>
      </c>
      <c r="F774" s="1135">
        <v>109989.1</v>
      </c>
      <c r="G774" s="1135">
        <v>0</v>
      </c>
      <c r="H774" s="1135" t="e">
        <v>#REF!</v>
      </c>
      <c r="I774" s="1135" t="e">
        <v>#REF!</v>
      </c>
      <c r="J774" s="1135" t="e">
        <v>#REF!</v>
      </c>
      <c r="K774" s="1135" t="e">
        <v>#REF!</v>
      </c>
    </row>
    <row r="775" spans="1:11" s="1136" customFormat="1" ht="30">
      <c r="A775" s="1131">
        <v>769</v>
      </c>
      <c r="B775" s="1132" t="s">
        <v>10652</v>
      </c>
      <c r="C775" s="1133" t="s">
        <v>10653</v>
      </c>
      <c r="D775" s="1134" t="s">
        <v>51</v>
      </c>
      <c r="E775" s="1135">
        <v>0</v>
      </c>
      <c r="F775" s="1135">
        <v>185244.79999999999</v>
      </c>
      <c r="G775" s="1135">
        <v>0</v>
      </c>
      <c r="H775" s="1135" t="e">
        <v>#REF!</v>
      </c>
      <c r="I775" s="1135" t="e">
        <v>#REF!</v>
      </c>
      <c r="J775" s="1135" t="e">
        <v>#REF!</v>
      </c>
      <c r="K775" s="1135" t="e">
        <v>#REF!</v>
      </c>
    </row>
    <row r="776" spans="1:11" s="1136" customFormat="1" ht="30">
      <c r="A776" s="1131">
        <v>770</v>
      </c>
      <c r="B776" s="1132" t="s">
        <v>10654</v>
      </c>
      <c r="C776" s="1133" t="s">
        <v>10655</v>
      </c>
      <c r="D776" s="1134" t="s">
        <v>136</v>
      </c>
      <c r="E776" s="1135">
        <v>12240</v>
      </c>
      <c r="F776" s="1135">
        <v>3861196.3</v>
      </c>
      <c r="G776" s="1135">
        <v>74971.7</v>
      </c>
      <c r="H776" s="1135" t="e">
        <v>#REF!</v>
      </c>
      <c r="I776" s="1135" t="e">
        <v>#REF!</v>
      </c>
      <c r="J776" s="1135" t="e">
        <v>#REF!</v>
      </c>
      <c r="K776" s="1135" t="e">
        <v>#REF!</v>
      </c>
    </row>
    <row r="777" spans="1:11" s="1136" customFormat="1" ht="30">
      <c r="A777" s="1131">
        <v>771</v>
      </c>
      <c r="B777" s="1132" t="s">
        <v>10656</v>
      </c>
      <c r="C777" s="1133" t="s">
        <v>10657</v>
      </c>
      <c r="D777" s="1134" t="s">
        <v>136</v>
      </c>
      <c r="E777" s="1135">
        <v>19890</v>
      </c>
      <c r="F777" s="1135">
        <v>4440086.3</v>
      </c>
      <c r="G777" s="1135">
        <v>83301.899999999994</v>
      </c>
      <c r="H777" s="1135" t="e">
        <v>#REF!</v>
      </c>
      <c r="I777" s="1135" t="e">
        <v>#REF!</v>
      </c>
      <c r="J777" s="1135" t="e">
        <v>#REF!</v>
      </c>
      <c r="K777" s="1135" t="e">
        <v>#REF!</v>
      </c>
    </row>
    <row r="778" spans="1:11" s="1136" customFormat="1" ht="30">
      <c r="A778" s="1131">
        <v>772</v>
      </c>
      <c r="B778" s="1132" t="s">
        <v>10658</v>
      </c>
      <c r="C778" s="1133" t="s">
        <v>10659</v>
      </c>
      <c r="D778" s="1134" t="s">
        <v>136</v>
      </c>
      <c r="E778" s="1135">
        <v>24480</v>
      </c>
      <c r="F778" s="1135">
        <v>4882937.2</v>
      </c>
      <c r="G778" s="1135">
        <v>99962.3</v>
      </c>
      <c r="H778" s="1135" t="e">
        <v>#REF!</v>
      </c>
      <c r="I778" s="1135" t="e">
        <v>#REF!</v>
      </c>
      <c r="J778" s="1135" t="e">
        <v>#REF!</v>
      </c>
      <c r="K778" s="1135" t="e">
        <v>#REF!</v>
      </c>
    </row>
    <row r="779" spans="1:11" s="1136" customFormat="1" ht="30">
      <c r="A779" s="1131">
        <v>773</v>
      </c>
      <c r="B779" s="1132" t="s">
        <v>10660</v>
      </c>
      <c r="C779" s="1133" t="s">
        <v>10661</v>
      </c>
      <c r="D779" s="1134" t="s">
        <v>136</v>
      </c>
      <c r="E779" s="1135">
        <v>35190</v>
      </c>
      <c r="F779" s="1135">
        <v>5369204.7999999998</v>
      </c>
      <c r="G779" s="1135">
        <v>113845.9</v>
      </c>
      <c r="H779" s="1135" t="e">
        <v>#REF!</v>
      </c>
      <c r="I779" s="1135" t="e">
        <v>#REF!</v>
      </c>
      <c r="J779" s="1135" t="e">
        <v>#REF!</v>
      </c>
      <c r="K779" s="1135" t="e">
        <v>#REF!</v>
      </c>
    </row>
    <row r="780" spans="1:11" s="1136" customFormat="1" ht="30">
      <c r="A780" s="1131">
        <v>774</v>
      </c>
      <c r="B780" s="1132" t="s">
        <v>10662</v>
      </c>
      <c r="C780" s="1133" t="s">
        <v>10663</v>
      </c>
      <c r="D780" s="1134" t="s">
        <v>136</v>
      </c>
      <c r="E780" s="1135">
        <v>35190</v>
      </c>
      <c r="F780" s="1135">
        <v>5904678</v>
      </c>
      <c r="G780" s="1135">
        <v>124952.9</v>
      </c>
      <c r="H780" s="1135" t="e">
        <v>#REF!</v>
      </c>
      <c r="I780" s="1135" t="e">
        <v>#REF!</v>
      </c>
      <c r="J780" s="1135" t="e">
        <v>#REF!</v>
      </c>
      <c r="K780" s="1135" t="e">
        <v>#REF!</v>
      </c>
    </row>
    <row r="781" spans="1:11" s="1136" customFormat="1" ht="30">
      <c r="A781" s="1131">
        <v>775</v>
      </c>
      <c r="B781" s="1132" t="s">
        <v>10664</v>
      </c>
      <c r="C781" s="1133" t="s">
        <v>10665</v>
      </c>
      <c r="D781" s="1134" t="s">
        <v>136</v>
      </c>
      <c r="E781" s="1135">
        <v>36720</v>
      </c>
      <c r="F781" s="1135">
        <v>6466201.2999999998</v>
      </c>
      <c r="G781" s="1135">
        <v>124952.9</v>
      </c>
      <c r="H781" s="1135" t="e">
        <v>#REF!</v>
      </c>
      <c r="I781" s="1135" t="e">
        <v>#REF!</v>
      </c>
      <c r="J781" s="1135" t="e">
        <v>#REF!</v>
      </c>
      <c r="K781" s="1135" t="e">
        <v>#REF!</v>
      </c>
    </row>
    <row r="782" spans="1:11" s="1136" customFormat="1" ht="30">
      <c r="A782" s="1131">
        <v>776</v>
      </c>
      <c r="B782" s="1132" t="s">
        <v>10666</v>
      </c>
      <c r="C782" s="1133" t="s">
        <v>10667</v>
      </c>
      <c r="D782" s="1134" t="s">
        <v>136</v>
      </c>
      <c r="E782" s="1135">
        <v>38250</v>
      </c>
      <c r="F782" s="1135">
        <v>7427158.7000000002</v>
      </c>
      <c r="G782" s="1135">
        <v>149943.4</v>
      </c>
      <c r="H782" s="1135" t="e">
        <v>#REF!</v>
      </c>
      <c r="I782" s="1135" t="e">
        <v>#REF!</v>
      </c>
      <c r="J782" s="1135" t="e">
        <v>#REF!</v>
      </c>
      <c r="K782" s="1135" t="e">
        <v>#REF!</v>
      </c>
    </row>
    <row r="783" spans="1:11" s="1136" customFormat="1" ht="30">
      <c r="A783" s="1131">
        <v>777</v>
      </c>
      <c r="B783" s="1132" t="s">
        <v>10668</v>
      </c>
      <c r="C783" s="1133" t="s">
        <v>10669</v>
      </c>
      <c r="D783" s="1134" t="s">
        <v>136</v>
      </c>
      <c r="E783" s="1135">
        <v>38250</v>
      </c>
      <c r="F783" s="1135">
        <v>8544416.4000000004</v>
      </c>
      <c r="G783" s="1135">
        <v>149943.4</v>
      </c>
      <c r="H783" s="1135" t="e">
        <v>#REF!</v>
      </c>
      <c r="I783" s="1135" t="e">
        <v>#REF!</v>
      </c>
      <c r="J783" s="1135" t="e">
        <v>#REF!</v>
      </c>
      <c r="K783" s="1135" t="e">
        <v>#REF!</v>
      </c>
    </row>
    <row r="784" spans="1:11" ht="45">
      <c r="A784" s="1120">
        <v>778</v>
      </c>
      <c r="B784" s="1121" t="s">
        <v>10670</v>
      </c>
      <c r="C784" s="1122" t="s">
        <v>10671</v>
      </c>
      <c r="D784" s="1123" t="s">
        <v>10672</v>
      </c>
      <c r="E784" s="1124">
        <v>231450</v>
      </c>
      <c r="F784" s="1124">
        <v>3923417.3</v>
      </c>
      <c r="G784" s="1124">
        <v>0</v>
      </c>
      <c r="H784" s="1124" t="e">
        <v>#REF!</v>
      </c>
      <c r="I784" s="1124" t="e">
        <v>#REF!</v>
      </c>
      <c r="J784" s="1124" t="e">
        <v>#REF!</v>
      </c>
      <c r="K784" s="1124" t="e">
        <v>#REF!</v>
      </c>
    </row>
    <row r="785" spans="1:11" ht="45">
      <c r="A785" s="1120">
        <v>779</v>
      </c>
      <c r="B785" s="1121" t="s">
        <v>10673</v>
      </c>
      <c r="C785" s="1122" t="s">
        <v>10674</v>
      </c>
      <c r="D785" s="1123" t="s">
        <v>10672</v>
      </c>
      <c r="E785" s="1124">
        <v>231450</v>
      </c>
      <c r="F785" s="1124">
        <v>5170346</v>
      </c>
      <c r="G785" s="1124">
        <v>0</v>
      </c>
      <c r="H785" s="1124" t="e">
        <v>#REF!</v>
      </c>
      <c r="I785" s="1124" t="e">
        <v>#REF!</v>
      </c>
      <c r="J785" s="1124" t="e">
        <v>#REF!</v>
      </c>
      <c r="K785" s="1124" t="e">
        <v>#REF!</v>
      </c>
    </row>
    <row r="786" spans="1:11" ht="45">
      <c r="A786" s="1120">
        <v>780</v>
      </c>
      <c r="B786" s="1121" t="s">
        <v>10675</v>
      </c>
      <c r="C786" s="1122" t="s">
        <v>10676</v>
      </c>
      <c r="D786" s="1123" t="s">
        <v>10672</v>
      </c>
      <c r="E786" s="1124">
        <v>231450</v>
      </c>
      <c r="F786" s="1124">
        <v>5677304.4000000004</v>
      </c>
      <c r="G786" s="1124">
        <v>0</v>
      </c>
      <c r="H786" s="1124" t="e">
        <v>#REF!</v>
      </c>
      <c r="I786" s="1124" t="e">
        <v>#REF!</v>
      </c>
      <c r="J786" s="1124" t="e">
        <v>#REF!</v>
      </c>
      <c r="K786" s="1124" t="e">
        <v>#REF!</v>
      </c>
    </row>
    <row r="787" spans="1:11" ht="45">
      <c r="A787" s="1120">
        <v>781</v>
      </c>
      <c r="B787" s="1121" t="s">
        <v>10677</v>
      </c>
      <c r="C787" s="1122" t="s">
        <v>10678</v>
      </c>
      <c r="D787" s="1123" t="s">
        <v>10672</v>
      </c>
      <c r="E787" s="1124">
        <v>232950</v>
      </c>
      <c r="F787" s="1124">
        <v>7478423.7999999998</v>
      </c>
      <c r="G787" s="1124">
        <v>0</v>
      </c>
      <c r="H787" s="1124" t="e">
        <v>#REF!</v>
      </c>
      <c r="I787" s="1124" t="e">
        <v>#REF!</v>
      </c>
      <c r="J787" s="1124" t="e">
        <v>#REF!</v>
      </c>
      <c r="K787" s="1124" t="e">
        <v>#REF!</v>
      </c>
    </row>
    <row r="788" spans="1:11" ht="45">
      <c r="A788" s="1120">
        <v>782</v>
      </c>
      <c r="B788" s="1121" t="s">
        <v>10679</v>
      </c>
      <c r="C788" s="1122" t="s">
        <v>10680</v>
      </c>
      <c r="D788" s="1123" t="s">
        <v>10672</v>
      </c>
      <c r="E788" s="1124">
        <v>232950</v>
      </c>
      <c r="F788" s="1124">
        <v>9991174.0999999996</v>
      </c>
      <c r="G788" s="1124">
        <v>0</v>
      </c>
      <c r="H788" s="1124" t="e">
        <v>#REF!</v>
      </c>
      <c r="I788" s="1124" t="e">
        <v>#REF!</v>
      </c>
      <c r="J788" s="1124" t="e">
        <v>#REF!</v>
      </c>
      <c r="K788" s="1124" t="e">
        <v>#REF!</v>
      </c>
    </row>
    <row r="789" spans="1:11" ht="45">
      <c r="A789" s="1120">
        <v>783</v>
      </c>
      <c r="B789" s="1121" t="s">
        <v>10681</v>
      </c>
      <c r="C789" s="1122" t="s">
        <v>10682</v>
      </c>
      <c r="D789" s="1123" t="s">
        <v>10672</v>
      </c>
      <c r="E789" s="1124">
        <v>232950</v>
      </c>
      <c r="F789" s="1124">
        <v>13606008</v>
      </c>
      <c r="G789" s="1124">
        <v>0</v>
      </c>
      <c r="H789" s="1124" t="e">
        <v>#REF!</v>
      </c>
      <c r="I789" s="1124" t="e">
        <v>#REF!</v>
      </c>
      <c r="J789" s="1124" t="e">
        <v>#REF!</v>
      </c>
      <c r="K789" s="1124" t="e">
        <v>#REF!</v>
      </c>
    </row>
    <row r="790" spans="1:11" ht="45">
      <c r="A790" s="1120">
        <v>784</v>
      </c>
      <c r="B790" s="1121" t="s">
        <v>10683</v>
      </c>
      <c r="C790" s="1122" t="s">
        <v>10684</v>
      </c>
      <c r="D790" s="1123" t="s">
        <v>10672</v>
      </c>
      <c r="E790" s="1124">
        <v>329400</v>
      </c>
      <c r="F790" s="1124">
        <v>15287472.6</v>
      </c>
      <c r="G790" s="1124">
        <v>0</v>
      </c>
      <c r="H790" s="1124" t="e">
        <v>#REF!</v>
      </c>
      <c r="I790" s="1124" t="e">
        <v>#REF!</v>
      </c>
      <c r="J790" s="1124" t="e">
        <v>#REF!</v>
      </c>
      <c r="K790" s="1124" t="e">
        <v>#REF!</v>
      </c>
    </row>
    <row r="791" spans="1:11" ht="45">
      <c r="A791" s="1120">
        <v>785</v>
      </c>
      <c r="B791" s="1121" t="s">
        <v>10685</v>
      </c>
      <c r="C791" s="1122" t="s">
        <v>10686</v>
      </c>
      <c r="D791" s="1123" t="s">
        <v>10672</v>
      </c>
      <c r="E791" s="1124">
        <v>329400</v>
      </c>
      <c r="F791" s="1124">
        <v>18496109.899999999</v>
      </c>
      <c r="G791" s="1124">
        <v>0</v>
      </c>
      <c r="H791" s="1124" t="e">
        <v>#REF!</v>
      </c>
      <c r="I791" s="1124" t="e">
        <v>#REF!</v>
      </c>
      <c r="J791" s="1124" t="e">
        <v>#REF!</v>
      </c>
      <c r="K791" s="1124" t="e">
        <v>#REF!</v>
      </c>
    </row>
    <row r="792" spans="1:11" ht="45">
      <c r="A792" s="1120">
        <v>786</v>
      </c>
      <c r="B792" s="1121" t="s">
        <v>10687</v>
      </c>
      <c r="C792" s="1122" t="s">
        <v>10688</v>
      </c>
      <c r="D792" s="1123" t="s">
        <v>10672</v>
      </c>
      <c r="E792" s="1124">
        <v>329400</v>
      </c>
      <c r="F792" s="1124">
        <v>21827550.899999999</v>
      </c>
      <c r="G792" s="1124">
        <v>0</v>
      </c>
      <c r="H792" s="1124" t="e">
        <v>#REF!</v>
      </c>
      <c r="I792" s="1124" t="e">
        <v>#REF!</v>
      </c>
      <c r="J792" s="1124" t="e">
        <v>#REF!</v>
      </c>
      <c r="K792" s="1124" t="e">
        <v>#REF!</v>
      </c>
    </row>
    <row r="793" spans="1:11" ht="45">
      <c r="A793" s="1120">
        <v>787</v>
      </c>
      <c r="B793" s="1121" t="s">
        <v>10689</v>
      </c>
      <c r="C793" s="1122" t="s">
        <v>10690</v>
      </c>
      <c r="D793" s="1123" t="s">
        <v>10672</v>
      </c>
      <c r="E793" s="1124">
        <v>329400</v>
      </c>
      <c r="F793" s="1124">
        <v>24006527.399999999</v>
      </c>
      <c r="G793" s="1124">
        <v>0</v>
      </c>
      <c r="H793" s="1124" t="e">
        <v>#REF!</v>
      </c>
      <c r="I793" s="1124" t="e">
        <v>#REF!</v>
      </c>
      <c r="J793" s="1124" t="e">
        <v>#REF!</v>
      </c>
      <c r="K793" s="1124" t="e">
        <v>#REF!</v>
      </c>
    </row>
    <row r="794" spans="1:11" ht="45">
      <c r="A794" s="1120">
        <v>788</v>
      </c>
      <c r="B794" s="1121" t="s">
        <v>10691</v>
      </c>
      <c r="C794" s="1122" t="s">
        <v>10692</v>
      </c>
      <c r="D794" s="1123" t="s">
        <v>10672</v>
      </c>
      <c r="E794" s="1124">
        <v>393600</v>
      </c>
      <c r="F794" s="1124">
        <v>30275808.199999999</v>
      </c>
      <c r="G794" s="1124">
        <v>0</v>
      </c>
      <c r="H794" s="1124" t="e">
        <v>#REF!</v>
      </c>
      <c r="I794" s="1124" t="e">
        <v>#REF!</v>
      </c>
      <c r="J794" s="1124" t="e">
        <v>#REF!</v>
      </c>
      <c r="K794" s="1124" t="e">
        <v>#REF!</v>
      </c>
    </row>
    <row r="795" spans="1:11" ht="45">
      <c r="A795" s="1120">
        <v>789</v>
      </c>
      <c r="B795" s="1121" t="s">
        <v>10693</v>
      </c>
      <c r="C795" s="1122" t="s">
        <v>10694</v>
      </c>
      <c r="D795" s="1123" t="s">
        <v>10672</v>
      </c>
      <c r="E795" s="1124">
        <v>393600</v>
      </c>
      <c r="F795" s="1124">
        <v>39989887</v>
      </c>
      <c r="G795" s="1124">
        <v>0</v>
      </c>
      <c r="H795" s="1124" t="e">
        <v>#REF!</v>
      </c>
      <c r="I795" s="1124" t="e">
        <v>#REF!</v>
      </c>
      <c r="J795" s="1124" t="e">
        <v>#REF!</v>
      </c>
      <c r="K795" s="1124" t="e">
        <v>#REF!</v>
      </c>
    </row>
    <row r="796" spans="1:11" ht="45">
      <c r="A796" s="1120">
        <v>790</v>
      </c>
      <c r="B796" s="1121" t="s">
        <v>10695</v>
      </c>
      <c r="C796" s="1122" t="s">
        <v>10696</v>
      </c>
      <c r="D796" s="1123" t="s">
        <v>10672</v>
      </c>
      <c r="E796" s="1124">
        <v>393600</v>
      </c>
      <c r="F796" s="1124">
        <v>46857441.600000001</v>
      </c>
      <c r="G796" s="1124">
        <v>0</v>
      </c>
      <c r="H796" s="1124" t="e">
        <v>#REF!</v>
      </c>
      <c r="I796" s="1124" t="e">
        <v>#REF!</v>
      </c>
      <c r="J796" s="1124" t="e">
        <v>#REF!</v>
      </c>
      <c r="K796" s="1124" t="e">
        <v>#REF!</v>
      </c>
    </row>
    <row r="797" spans="1:11" ht="45">
      <c r="A797" s="1120">
        <v>791</v>
      </c>
      <c r="B797" s="1121" t="s">
        <v>10697</v>
      </c>
      <c r="C797" s="1122" t="s">
        <v>10698</v>
      </c>
      <c r="D797" s="1123" t="s">
        <v>10672</v>
      </c>
      <c r="E797" s="1124">
        <v>393600</v>
      </c>
      <c r="F797" s="1124">
        <v>60907431.799999997</v>
      </c>
      <c r="G797" s="1124">
        <v>0</v>
      </c>
      <c r="H797" s="1124" t="e">
        <v>#REF!</v>
      </c>
      <c r="I797" s="1124" t="e">
        <v>#REF!</v>
      </c>
      <c r="J797" s="1124" t="e">
        <v>#REF!</v>
      </c>
      <c r="K797" s="1124" t="e">
        <v>#REF!</v>
      </c>
    </row>
    <row r="798" spans="1:11" ht="30">
      <c r="A798" s="1120">
        <v>792</v>
      </c>
      <c r="B798" s="1121" t="s">
        <v>10699</v>
      </c>
      <c r="C798" s="1122" t="s">
        <v>10700</v>
      </c>
      <c r="D798" s="1123" t="s">
        <v>10672</v>
      </c>
      <c r="E798" s="1124">
        <v>231450</v>
      </c>
      <c r="F798" s="1124">
        <v>2651298</v>
      </c>
      <c r="G798" s="1124">
        <v>0</v>
      </c>
      <c r="H798" s="1124" t="e">
        <v>#REF!</v>
      </c>
      <c r="I798" s="1124" t="e">
        <v>#REF!</v>
      </c>
      <c r="J798" s="1124" t="e">
        <v>#REF!</v>
      </c>
      <c r="K798" s="1124" t="e">
        <v>#REF!</v>
      </c>
    </row>
    <row r="799" spans="1:11" ht="30">
      <c r="A799" s="1120">
        <v>793</v>
      </c>
      <c r="B799" s="1121" t="s">
        <v>10701</v>
      </c>
      <c r="C799" s="1122" t="s">
        <v>10702</v>
      </c>
      <c r="D799" s="1123" t="s">
        <v>10672</v>
      </c>
      <c r="E799" s="1124">
        <v>231450</v>
      </c>
      <c r="F799" s="1124">
        <v>3488881.5</v>
      </c>
      <c r="G799" s="1124">
        <v>0</v>
      </c>
      <c r="H799" s="1124" t="e">
        <v>#REF!</v>
      </c>
      <c r="I799" s="1124" t="e">
        <v>#REF!</v>
      </c>
      <c r="J799" s="1124" t="e">
        <v>#REF!</v>
      </c>
      <c r="K799" s="1124" t="e">
        <v>#REF!</v>
      </c>
    </row>
    <row r="800" spans="1:11" ht="30">
      <c r="A800" s="1120">
        <v>794</v>
      </c>
      <c r="B800" s="1121" t="s">
        <v>10703</v>
      </c>
      <c r="C800" s="1122" t="s">
        <v>10704</v>
      </c>
      <c r="D800" s="1123" t="s">
        <v>10672</v>
      </c>
      <c r="E800" s="1124">
        <v>231450</v>
      </c>
      <c r="F800" s="1124">
        <v>4559476.9000000004</v>
      </c>
      <c r="G800" s="1124">
        <v>0</v>
      </c>
      <c r="H800" s="1124" t="e">
        <v>#REF!</v>
      </c>
      <c r="I800" s="1124" t="e">
        <v>#REF!</v>
      </c>
      <c r="J800" s="1124" t="e">
        <v>#REF!</v>
      </c>
      <c r="K800" s="1124" t="e">
        <v>#REF!</v>
      </c>
    </row>
    <row r="801" spans="1:11" ht="30">
      <c r="A801" s="1120">
        <v>795</v>
      </c>
      <c r="B801" s="1121" t="s">
        <v>10705</v>
      </c>
      <c r="C801" s="1122" t="s">
        <v>10706</v>
      </c>
      <c r="D801" s="1123" t="s">
        <v>10672</v>
      </c>
      <c r="E801" s="1124">
        <v>232950</v>
      </c>
      <c r="F801" s="1124">
        <v>5957548.5</v>
      </c>
      <c r="G801" s="1124">
        <v>0</v>
      </c>
      <c r="H801" s="1124" t="e">
        <v>#REF!</v>
      </c>
      <c r="I801" s="1124" t="e">
        <v>#REF!</v>
      </c>
      <c r="J801" s="1124" t="e">
        <v>#REF!</v>
      </c>
      <c r="K801" s="1124" t="e">
        <v>#REF!</v>
      </c>
    </row>
    <row r="802" spans="1:11" ht="30">
      <c r="A802" s="1120">
        <v>796</v>
      </c>
      <c r="B802" s="1121" t="s">
        <v>10707</v>
      </c>
      <c r="C802" s="1122" t="s">
        <v>10708</v>
      </c>
      <c r="D802" s="1123" t="s">
        <v>10672</v>
      </c>
      <c r="E802" s="1124">
        <v>232950</v>
      </c>
      <c r="F802" s="1124">
        <v>8004275</v>
      </c>
      <c r="G802" s="1124">
        <v>0</v>
      </c>
      <c r="H802" s="1124" t="e">
        <v>#REF!</v>
      </c>
      <c r="I802" s="1124" t="e">
        <v>#REF!</v>
      </c>
      <c r="J802" s="1124" t="e">
        <v>#REF!</v>
      </c>
      <c r="K802" s="1124" t="e">
        <v>#REF!</v>
      </c>
    </row>
    <row r="803" spans="1:11" ht="30">
      <c r="A803" s="1120">
        <v>797</v>
      </c>
      <c r="B803" s="1121" t="s">
        <v>10709</v>
      </c>
      <c r="C803" s="1122" t="s">
        <v>10710</v>
      </c>
      <c r="D803" s="1123" t="s">
        <v>10672</v>
      </c>
      <c r="E803" s="1124">
        <v>232950</v>
      </c>
      <c r="F803" s="1124">
        <v>10935817.1</v>
      </c>
      <c r="G803" s="1124">
        <v>0</v>
      </c>
      <c r="H803" s="1124" t="e">
        <v>#REF!</v>
      </c>
      <c r="I803" s="1124" t="e">
        <v>#REF!</v>
      </c>
      <c r="J803" s="1124" t="e">
        <v>#REF!</v>
      </c>
      <c r="K803" s="1124" t="e">
        <v>#REF!</v>
      </c>
    </row>
    <row r="804" spans="1:11" ht="30">
      <c r="A804" s="1120">
        <v>798</v>
      </c>
      <c r="B804" s="1121" t="s">
        <v>10711</v>
      </c>
      <c r="C804" s="1122" t="s">
        <v>10712</v>
      </c>
      <c r="D804" s="1123" t="s">
        <v>10672</v>
      </c>
      <c r="E804" s="1124">
        <v>329400</v>
      </c>
      <c r="F804" s="1124">
        <v>12472436.4</v>
      </c>
      <c r="G804" s="1124">
        <v>0</v>
      </c>
      <c r="H804" s="1124" t="e">
        <v>#REF!</v>
      </c>
      <c r="I804" s="1124" t="e">
        <v>#REF!</v>
      </c>
      <c r="J804" s="1124" t="e">
        <v>#REF!</v>
      </c>
      <c r="K804" s="1124" t="e">
        <v>#REF!</v>
      </c>
    </row>
    <row r="805" spans="1:11" ht="30">
      <c r="A805" s="1120">
        <v>799</v>
      </c>
      <c r="B805" s="1121" t="s">
        <v>10713</v>
      </c>
      <c r="C805" s="1122" t="s">
        <v>10714</v>
      </c>
      <c r="D805" s="1123" t="s">
        <v>10672</v>
      </c>
      <c r="E805" s="1124">
        <v>329400</v>
      </c>
      <c r="F805" s="1124">
        <v>14796258.199999999</v>
      </c>
      <c r="G805" s="1124">
        <v>0</v>
      </c>
      <c r="H805" s="1124" t="e">
        <v>#REF!</v>
      </c>
      <c r="I805" s="1124" t="e">
        <v>#REF!</v>
      </c>
      <c r="J805" s="1124" t="e">
        <v>#REF!</v>
      </c>
      <c r="K805" s="1124" t="e">
        <v>#REF!</v>
      </c>
    </row>
    <row r="806" spans="1:11" ht="30">
      <c r="A806" s="1120">
        <v>800</v>
      </c>
      <c r="B806" s="1121" t="s">
        <v>10715</v>
      </c>
      <c r="C806" s="1122" t="s">
        <v>10716</v>
      </c>
      <c r="D806" s="1123" t="s">
        <v>10672</v>
      </c>
      <c r="E806" s="1124">
        <v>329400</v>
      </c>
      <c r="F806" s="1124">
        <v>17463300.300000001</v>
      </c>
      <c r="G806" s="1124">
        <v>0</v>
      </c>
      <c r="H806" s="1124" t="e">
        <v>#REF!</v>
      </c>
      <c r="I806" s="1124" t="e">
        <v>#REF!</v>
      </c>
      <c r="J806" s="1124" t="e">
        <v>#REF!</v>
      </c>
      <c r="K806" s="1124" t="e">
        <v>#REF!</v>
      </c>
    </row>
    <row r="807" spans="1:11" ht="30">
      <c r="A807" s="1120">
        <v>801</v>
      </c>
      <c r="B807" s="1121" t="s">
        <v>10717</v>
      </c>
      <c r="C807" s="1122" t="s">
        <v>10718</v>
      </c>
      <c r="D807" s="1123" t="s">
        <v>10672</v>
      </c>
      <c r="E807" s="1124">
        <v>329400</v>
      </c>
      <c r="F807" s="1124">
        <v>19204592.199999999</v>
      </c>
      <c r="G807" s="1124">
        <v>0</v>
      </c>
      <c r="H807" s="1124" t="e">
        <v>#REF!</v>
      </c>
      <c r="I807" s="1124" t="e">
        <v>#REF!</v>
      </c>
      <c r="J807" s="1124" t="e">
        <v>#REF!</v>
      </c>
      <c r="K807" s="1124" t="e">
        <v>#REF!</v>
      </c>
    </row>
    <row r="808" spans="1:11" ht="30">
      <c r="A808" s="1120">
        <v>802</v>
      </c>
      <c r="B808" s="1121" t="s">
        <v>10719</v>
      </c>
      <c r="C808" s="1122" t="s">
        <v>10720</v>
      </c>
      <c r="D808" s="1123" t="s">
        <v>10672</v>
      </c>
      <c r="E808" s="1124">
        <v>393600</v>
      </c>
      <c r="F808" s="1124">
        <v>24220646.5</v>
      </c>
      <c r="G808" s="1124">
        <v>0</v>
      </c>
      <c r="H808" s="1124" t="e">
        <v>#REF!</v>
      </c>
      <c r="I808" s="1124" t="e">
        <v>#REF!</v>
      </c>
      <c r="J808" s="1124" t="e">
        <v>#REF!</v>
      </c>
      <c r="K808" s="1124" t="e">
        <v>#REF!</v>
      </c>
    </row>
    <row r="809" spans="1:11" ht="30">
      <c r="A809" s="1120">
        <v>803</v>
      </c>
      <c r="B809" s="1121" t="s">
        <v>10721</v>
      </c>
      <c r="C809" s="1122" t="s">
        <v>10722</v>
      </c>
      <c r="D809" s="1123" t="s">
        <v>10672</v>
      </c>
      <c r="E809" s="1124">
        <v>393600</v>
      </c>
      <c r="F809" s="1124">
        <v>31991909.600000001</v>
      </c>
      <c r="G809" s="1124">
        <v>0</v>
      </c>
      <c r="H809" s="1124" t="e">
        <v>#REF!</v>
      </c>
      <c r="I809" s="1124" t="e">
        <v>#REF!</v>
      </c>
      <c r="J809" s="1124" t="e">
        <v>#REF!</v>
      </c>
      <c r="K809" s="1124" t="e">
        <v>#REF!</v>
      </c>
    </row>
    <row r="810" spans="1:11" ht="30">
      <c r="A810" s="1120">
        <v>804</v>
      </c>
      <c r="B810" s="1121" t="s">
        <v>10723</v>
      </c>
      <c r="C810" s="1122" t="s">
        <v>10724</v>
      </c>
      <c r="D810" s="1123" t="s">
        <v>10672</v>
      </c>
      <c r="E810" s="1124">
        <v>393600</v>
      </c>
      <c r="F810" s="1124">
        <v>37486583.100000001</v>
      </c>
      <c r="G810" s="1124">
        <v>0</v>
      </c>
      <c r="H810" s="1124" t="e">
        <v>#REF!</v>
      </c>
      <c r="I810" s="1124" t="e">
        <v>#REF!</v>
      </c>
      <c r="J810" s="1124" t="e">
        <v>#REF!</v>
      </c>
      <c r="K810" s="1124" t="e">
        <v>#REF!</v>
      </c>
    </row>
    <row r="811" spans="1:11" ht="30">
      <c r="A811" s="1120">
        <v>805</v>
      </c>
      <c r="B811" s="1121" t="s">
        <v>10725</v>
      </c>
      <c r="C811" s="1122" t="s">
        <v>10726</v>
      </c>
      <c r="D811" s="1123" t="s">
        <v>10672</v>
      </c>
      <c r="E811" s="1124">
        <v>393600</v>
      </c>
      <c r="F811" s="1124">
        <v>48730983.600000001</v>
      </c>
      <c r="G811" s="1124">
        <v>0</v>
      </c>
      <c r="H811" s="1124" t="e">
        <v>#REF!</v>
      </c>
      <c r="I811" s="1124" t="e">
        <v>#REF!</v>
      </c>
      <c r="J811" s="1124" t="e">
        <v>#REF!</v>
      </c>
      <c r="K811" s="1124" t="e">
        <v>#REF!</v>
      </c>
    </row>
    <row r="812" spans="1:11" ht="30">
      <c r="A812" s="1120">
        <v>806</v>
      </c>
      <c r="B812" s="1121" t="s">
        <v>10727</v>
      </c>
      <c r="C812" s="1122" t="s">
        <v>10728</v>
      </c>
      <c r="D812" s="1123" t="s">
        <v>10672</v>
      </c>
      <c r="E812" s="1124">
        <v>231450</v>
      </c>
      <c r="F812" s="1124">
        <v>7569739.2000000002</v>
      </c>
      <c r="G812" s="1124">
        <v>0</v>
      </c>
      <c r="H812" s="1124" t="e">
        <v>#REF!</v>
      </c>
      <c r="I812" s="1124" t="e">
        <v>#REF!</v>
      </c>
      <c r="J812" s="1124" t="e">
        <v>#REF!</v>
      </c>
      <c r="K812" s="1124" t="e">
        <v>#REF!</v>
      </c>
    </row>
    <row r="813" spans="1:11" ht="30">
      <c r="A813" s="1120">
        <v>807</v>
      </c>
      <c r="B813" s="1121" t="s">
        <v>10729</v>
      </c>
      <c r="C813" s="1122" t="s">
        <v>10730</v>
      </c>
      <c r="D813" s="1123" t="s">
        <v>10672</v>
      </c>
      <c r="E813" s="1124">
        <v>231450</v>
      </c>
      <c r="F813" s="1124">
        <v>9307882.4000000004</v>
      </c>
      <c r="G813" s="1124">
        <v>0</v>
      </c>
      <c r="H813" s="1124" t="e">
        <v>#REF!</v>
      </c>
      <c r="I813" s="1124" t="e">
        <v>#REF!</v>
      </c>
      <c r="J813" s="1124" t="e">
        <v>#REF!</v>
      </c>
      <c r="K813" s="1124" t="e">
        <v>#REF!</v>
      </c>
    </row>
    <row r="814" spans="1:11" ht="30">
      <c r="A814" s="1120">
        <v>808</v>
      </c>
      <c r="B814" s="1121" t="s">
        <v>10731</v>
      </c>
      <c r="C814" s="1122" t="s">
        <v>10732</v>
      </c>
      <c r="D814" s="1123" t="s">
        <v>10672</v>
      </c>
      <c r="E814" s="1124">
        <v>231450</v>
      </c>
      <c r="F814" s="1124">
        <v>10463495.6</v>
      </c>
      <c r="G814" s="1124">
        <v>0</v>
      </c>
      <c r="H814" s="1124" t="e">
        <v>#REF!</v>
      </c>
      <c r="I814" s="1124" t="e">
        <v>#REF!</v>
      </c>
      <c r="J814" s="1124" t="e">
        <v>#REF!</v>
      </c>
      <c r="K814" s="1124" t="e">
        <v>#REF!</v>
      </c>
    </row>
    <row r="815" spans="1:11" ht="30">
      <c r="A815" s="1120">
        <v>809</v>
      </c>
      <c r="B815" s="1121" t="s">
        <v>10733</v>
      </c>
      <c r="C815" s="1122" t="s">
        <v>10734</v>
      </c>
      <c r="D815" s="1123" t="s">
        <v>10672</v>
      </c>
      <c r="E815" s="1124">
        <v>232950</v>
      </c>
      <c r="F815" s="1124">
        <v>11726168.4</v>
      </c>
      <c r="G815" s="1124">
        <v>0</v>
      </c>
      <c r="H815" s="1124" t="e">
        <v>#REF!</v>
      </c>
      <c r="I815" s="1124" t="e">
        <v>#REF!</v>
      </c>
      <c r="J815" s="1124" t="e">
        <v>#REF!</v>
      </c>
      <c r="K815" s="1124" t="e">
        <v>#REF!</v>
      </c>
    </row>
    <row r="816" spans="1:11" ht="30">
      <c r="A816" s="1120">
        <v>810</v>
      </c>
      <c r="B816" s="1121" t="s">
        <v>10735</v>
      </c>
      <c r="C816" s="1122" t="s">
        <v>10736</v>
      </c>
      <c r="D816" s="1123" t="s">
        <v>10672</v>
      </c>
      <c r="E816" s="1124">
        <v>232950</v>
      </c>
      <c r="F816" s="1124">
        <v>14072031.9</v>
      </c>
      <c r="G816" s="1124">
        <v>0</v>
      </c>
      <c r="H816" s="1124" t="e">
        <v>#REF!</v>
      </c>
      <c r="I816" s="1124" t="e">
        <v>#REF!</v>
      </c>
      <c r="J816" s="1124" t="e">
        <v>#REF!</v>
      </c>
      <c r="K816" s="1124" t="e">
        <v>#REF!</v>
      </c>
    </row>
    <row r="817" spans="1:11" ht="30">
      <c r="A817" s="1120">
        <v>811</v>
      </c>
      <c r="B817" s="1121" t="s">
        <v>10737</v>
      </c>
      <c r="C817" s="1122" t="s">
        <v>10738</v>
      </c>
      <c r="D817" s="1123" t="s">
        <v>10672</v>
      </c>
      <c r="E817" s="1124">
        <v>231450</v>
      </c>
      <c r="F817" s="1124">
        <v>5189238.9000000004</v>
      </c>
      <c r="G817" s="1124">
        <v>0</v>
      </c>
      <c r="H817" s="1124" t="e">
        <v>#REF!</v>
      </c>
      <c r="I817" s="1124" t="e">
        <v>#REF!</v>
      </c>
      <c r="J817" s="1124" t="e">
        <v>#REF!</v>
      </c>
      <c r="K817" s="1124" t="e">
        <v>#REF!</v>
      </c>
    </row>
    <row r="818" spans="1:11" ht="30">
      <c r="A818" s="1120">
        <v>812</v>
      </c>
      <c r="B818" s="1121" t="s">
        <v>10739</v>
      </c>
      <c r="C818" s="1122" t="s">
        <v>10740</v>
      </c>
      <c r="D818" s="1123" t="s">
        <v>10672</v>
      </c>
      <c r="E818" s="1124">
        <v>231450</v>
      </c>
      <c r="F818" s="1124">
        <v>6732155.7999999998</v>
      </c>
      <c r="G818" s="1124">
        <v>0</v>
      </c>
      <c r="H818" s="1124" t="e">
        <v>#REF!</v>
      </c>
      <c r="I818" s="1124" t="e">
        <v>#REF!</v>
      </c>
      <c r="J818" s="1124" t="e">
        <v>#REF!</v>
      </c>
      <c r="K818" s="1124" t="e">
        <v>#REF!</v>
      </c>
    </row>
    <row r="819" spans="1:11" ht="30">
      <c r="A819" s="1120">
        <v>813</v>
      </c>
      <c r="B819" s="1121" t="s">
        <v>10741</v>
      </c>
      <c r="C819" s="1122" t="s">
        <v>10742</v>
      </c>
      <c r="D819" s="1123" t="s">
        <v>10672</v>
      </c>
      <c r="E819" s="1124">
        <v>231450</v>
      </c>
      <c r="F819" s="1124">
        <v>7380810.5999999996</v>
      </c>
      <c r="G819" s="1124">
        <v>0</v>
      </c>
      <c r="H819" s="1124" t="e">
        <v>#REF!</v>
      </c>
      <c r="I819" s="1124" t="e">
        <v>#REF!</v>
      </c>
      <c r="J819" s="1124" t="e">
        <v>#REF!</v>
      </c>
      <c r="K819" s="1124" t="e">
        <v>#REF!</v>
      </c>
    </row>
    <row r="820" spans="1:11" ht="30">
      <c r="A820" s="1120">
        <v>814</v>
      </c>
      <c r="B820" s="1121" t="s">
        <v>10743</v>
      </c>
      <c r="C820" s="1122" t="s">
        <v>10744</v>
      </c>
      <c r="D820" s="1123" t="s">
        <v>10672</v>
      </c>
      <c r="E820" s="1124">
        <v>232950</v>
      </c>
      <c r="F820" s="1124">
        <v>9641656.1999999993</v>
      </c>
      <c r="G820" s="1124">
        <v>0</v>
      </c>
      <c r="H820" s="1124" t="e">
        <v>#REF!</v>
      </c>
      <c r="I820" s="1124" t="e">
        <v>#REF!</v>
      </c>
      <c r="J820" s="1124" t="e">
        <v>#REF!</v>
      </c>
      <c r="K820" s="1124" t="e">
        <v>#REF!</v>
      </c>
    </row>
    <row r="821" spans="1:11" ht="30">
      <c r="A821" s="1120">
        <v>815</v>
      </c>
      <c r="B821" s="1121" t="s">
        <v>10745</v>
      </c>
      <c r="C821" s="1122" t="s">
        <v>10746</v>
      </c>
      <c r="D821" s="1123" t="s">
        <v>10672</v>
      </c>
      <c r="E821" s="1124">
        <v>232950</v>
      </c>
      <c r="F821" s="1124">
        <v>12988841.300000001</v>
      </c>
      <c r="G821" s="1124">
        <v>0</v>
      </c>
      <c r="H821" s="1124" t="e">
        <v>#REF!</v>
      </c>
      <c r="I821" s="1124" t="e">
        <v>#REF!</v>
      </c>
      <c r="J821" s="1124" t="e">
        <v>#REF!</v>
      </c>
      <c r="K821" s="1124" t="e">
        <v>#REF!</v>
      </c>
    </row>
    <row r="822" spans="1:11" ht="30">
      <c r="A822" s="1120">
        <v>816</v>
      </c>
      <c r="B822" s="1121" t="s">
        <v>10747</v>
      </c>
      <c r="C822" s="1122" t="s">
        <v>10748</v>
      </c>
      <c r="D822" s="1123" t="s">
        <v>10672</v>
      </c>
      <c r="E822" s="1124">
        <v>232950</v>
      </c>
      <c r="F822" s="1124">
        <v>17702609.800000001</v>
      </c>
      <c r="G822" s="1124">
        <v>0</v>
      </c>
      <c r="H822" s="1124" t="e">
        <v>#REF!</v>
      </c>
      <c r="I822" s="1124" t="e">
        <v>#REF!</v>
      </c>
      <c r="J822" s="1124" t="e">
        <v>#REF!</v>
      </c>
      <c r="K822" s="1124" t="e">
        <v>#REF!</v>
      </c>
    </row>
    <row r="823" spans="1:11" ht="30">
      <c r="A823" s="1120">
        <v>817</v>
      </c>
      <c r="B823" s="1121" t="s">
        <v>10749</v>
      </c>
      <c r="C823" s="1122" t="s">
        <v>10750</v>
      </c>
      <c r="D823" s="1123" t="s">
        <v>10672</v>
      </c>
      <c r="E823" s="1124">
        <v>329400</v>
      </c>
      <c r="F823" s="1124">
        <v>19733592.300000001</v>
      </c>
      <c r="G823" s="1124">
        <v>0</v>
      </c>
      <c r="H823" s="1124" t="e">
        <v>#REF!</v>
      </c>
      <c r="I823" s="1124" t="e">
        <v>#REF!</v>
      </c>
      <c r="J823" s="1124" t="e">
        <v>#REF!</v>
      </c>
      <c r="K823" s="1124" t="e">
        <v>#REF!</v>
      </c>
    </row>
    <row r="824" spans="1:11" ht="30">
      <c r="A824" s="1120">
        <v>818</v>
      </c>
      <c r="B824" s="1121" t="s">
        <v>10751</v>
      </c>
      <c r="C824" s="1122" t="s">
        <v>10752</v>
      </c>
      <c r="D824" s="1123" t="s">
        <v>10672</v>
      </c>
      <c r="E824" s="1124">
        <v>329400</v>
      </c>
      <c r="F824" s="1124">
        <v>24038015.5</v>
      </c>
      <c r="G824" s="1124">
        <v>0</v>
      </c>
      <c r="H824" s="1124" t="e">
        <v>#REF!</v>
      </c>
      <c r="I824" s="1124" t="e">
        <v>#REF!</v>
      </c>
      <c r="J824" s="1124" t="e">
        <v>#REF!</v>
      </c>
      <c r="K824" s="1124" t="e">
        <v>#REF!</v>
      </c>
    </row>
    <row r="825" spans="1:11" ht="30">
      <c r="A825" s="1120">
        <v>819</v>
      </c>
      <c r="B825" s="1121" t="s">
        <v>10753</v>
      </c>
      <c r="C825" s="1122" t="s">
        <v>10754</v>
      </c>
      <c r="D825" s="1123" t="s">
        <v>10672</v>
      </c>
      <c r="E825" s="1124">
        <v>329400</v>
      </c>
      <c r="F825" s="1124">
        <v>28377075.699999999</v>
      </c>
      <c r="G825" s="1124">
        <v>0</v>
      </c>
      <c r="H825" s="1124" t="e">
        <v>#REF!</v>
      </c>
      <c r="I825" s="1124" t="e">
        <v>#REF!</v>
      </c>
      <c r="J825" s="1124" t="e">
        <v>#REF!</v>
      </c>
      <c r="K825" s="1124" t="e">
        <v>#REF!</v>
      </c>
    </row>
    <row r="826" spans="1:11" ht="30">
      <c r="A826" s="1120">
        <v>820</v>
      </c>
      <c r="B826" s="1121" t="s">
        <v>10755</v>
      </c>
      <c r="C826" s="1122" t="s">
        <v>10756</v>
      </c>
      <c r="D826" s="1123" t="s">
        <v>10672</v>
      </c>
      <c r="E826" s="1124">
        <v>329400</v>
      </c>
      <c r="F826" s="1124">
        <v>31211004.699999999</v>
      </c>
      <c r="G826" s="1124">
        <v>0</v>
      </c>
      <c r="H826" s="1124" t="e">
        <v>#REF!</v>
      </c>
      <c r="I826" s="1124" t="e">
        <v>#REF!</v>
      </c>
      <c r="J826" s="1124" t="e">
        <v>#REF!</v>
      </c>
      <c r="K826" s="1124" t="e">
        <v>#REF!</v>
      </c>
    </row>
    <row r="827" spans="1:11" ht="60">
      <c r="A827" s="1120">
        <v>821</v>
      </c>
      <c r="B827" s="1121" t="s">
        <v>10757</v>
      </c>
      <c r="C827" s="1122" t="s">
        <v>10758</v>
      </c>
      <c r="D827" s="1123" t="s">
        <v>10672</v>
      </c>
      <c r="E827" s="1124">
        <v>43930</v>
      </c>
      <c r="F827" s="1124">
        <v>4061964.9</v>
      </c>
      <c r="G827" s="1124">
        <v>258171.3</v>
      </c>
      <c r="H827" s="1124" t="e">
        <v>#REF!</v>
      </c>
      <c r="I827" s="1124" t="e">
        <v>#REF!</v>
      </c>
      <c r="J827" s="1124" t="e">
        <v>#REF!</v>
      </c>
      <c r="K827" s="1124" t="e">
        <v>#REF!</v>
      </c>
    </row>
    <row r="828" spans="1:11" ht="60">
      <c r="A828" s="1120">
        <v>822</v>
      </c>
      <c r="B828" s="1121" t="s">
        <v>10759</v>
      </c>
      <c r="C828" s="1122" t="s">
        <v>10760</v>
      </c>
      <c r="D828" s="1123" t="s">
        <v>10672</v>
      </c>
      <c r="E828" s="1124">
        <v>62000</v>
      </c>
      <c r="F828" s="1124">
        <v>4641345.9000000004</v>
      </c>
      <c r="G828" s="1124">
        <v>347105.5</v>
      </c>
      <c r="H828" s="1124" t="e">
        <v>#REF!</v>
      </c>
      <c r="I828" s="1124" t="e">
        <v>#REF!</v>
      </c>
      <c r="J828" s="1124" t="e">
        <v>#REF!</v>
      </c>
      <c r="K828" s="1124" t="e">
        <v>#REF!</v>
      </c>
    </row>
    <row r="829" spans="1:11" ht="60">
      <c r="A829" s="1120">
        <v>823</v>
      </c>
      <c r="B829" s="1121" t="s">
        <v>10761</v>
      </c>
      <c r="C829" s="1122" t="s">
        <v>10762</v>
      </c>
      <c r="D829" s="1123" t="s">
        <v>10672</v>
      </c>
      <c r="E829" s="1124">
        <v>62000</v>
      </c>
      <c r="F829" s="1124">
        <v>5223875.8</v>
      </c>
      <c r="G829" s="1124">
        <v>347105.5</v>
      </c>
      <c r="H829" s="1124" t="e">
        <v>#REF!</v>
      </c>
      <c r="I829" s="1124" t="e">
        <v>#REF!</v>
      </c>
      <c r="J829" s="1124" t="e">
        <v>#REF!</v>
      </c>
      <c r="K829" s="1124" t="e">
        <v>#REF!</v>
      </c>
    </row>
    <row r="830" spans="1:11" ht="60">
      <c r="A830" s="1120">
        <v>824</v>
      </c>
      <c r="B830" s="1121" t="s">
        <v>10763</v>
      </c>
      <c r="C830" s="1122" t="s">
        <v>10764</v>
      </c>
      <c r="D830" s="1123" t="s">
        <v>10672</v>
      </c>
      <c r="E830" s="1124">
        <v>70000</v>
      </c>
      <c r="F830" s="1124">
        <v>5919762.7999999998</v>
      </c>
      <c r="G830" s="1124">
        <v>453301.8</v>
      </c>
      <c r="H830" s="1124" t="e">
        <v>#REF!</v>
      </c>
      <c r="I830" s="1124" t="e">
        <v>#REF!</v>
      </c>
      <c r="J830" s="1124" t="e">
        <v>#REF!</v>
      </c>
      <c r="K830" s="1124" t="e">
        <v>#REF!</v>
      </c>
    </row>
    <row r="831" spans="1:11" ht="60">
      <c r="A831" s="1120">
        <v>825</v>
      </c>
      <c r="B831" s="1121" t="s">
        <v>10765</v>
      </c>
      <c r="C831" s="1122" t="s">
        <v>10766</v>
      </c>
      <c r="D831" s="1123" t="s">
        <v>10672</v>
      </c>
      <c r="E831" s="1124">
        <v>62000</v>
      </c>
      <c r="F831" s="1124">
        <v>6732155.7999999998</v>
      </c>
      <c r="G831" s="1124">
        <v>359267</v>
      </c>
      <c r="H831" s="1124" t="e">
        <v>#REF!</v>
      </c>
      <c r="I831" s="1124" t="e">
        <v>#REF!</v>
      </c>
      <c r="J831" s="1124" t="e">
        <v>#REF!</v>
      </c>
      <c r="K831" s="1124" t="e">
        <v>#REF!</v>
      </c>
    </row>
    <row r="832" spans="1:11" ht="60">
      <c r="A832" s="1120">
        <v>826</v>
      </c>
      <c r="B832" s="1121" t="s">
        <v>10767</v>
      </c>
      <c r="C832" s="1122" t="s">
        <v>10768</v>
      </c>
      <c r="D832" s="1123" t="s">
        <v>10672</v>
      </c>
      <c r="E832" s="1124">
        <v>62000</v>
      </c>
      <c r="F832" s="1124">
        <v>8007423.7999999998</v>
      </c>
      <c r="G832" s="1124">
        <v>468694.4</v>
      </c>
      <c r="H832" s="1124" t="e">
        <v>#REF!</v>
      </c>
      <c r="I832" s="1124" t="e">
        <v>#REF!</v>
      </c>
      <c r="J832" s="1124" t="e">
        <v>#REF!</v>
      </c>
      <c r="K832" s="1124" t="e">
        <v>#REF!</v>
      </c>
    </row>
    <row r="833" spans="1:11" ht="60">
      <c r="A833" s="1120">
        <v>827</v>
      </c>
      <c r="B833" s="1121" t="s">
        <v>10769</v>
      </c>
      <c r="C833" s="1122" t="s">
        <v>10770</v>
      </c>
      <c r="D833" s="1123" t="s">
        <v>10672</v>
      </c>
      <c r="E833" s="1124">
        <v>78000</v>
      </c>
      <c r="F833" s="1124">
        <v>9402346.6999999993</v>
      </c>
      <c r="G833" s="1124">
        <v>583150.69999999995</v>
      </c>
      <c r="H833" s="1124" t="e">
        <v>#REF!</v>
      </c>
      <c r="I833" s="1124" t="e">
        <v>#REF!</v>
      </c>
      <c r="J833" s="1124" t="e">
        <v>#REF!</v>
      </c>
      <c r="K833" s="1124" t="e">
        <v>#REF!</v>
      </c>
    </row>
    <row r="834" spans="1:11" ht="60">
      <c r="A834" s="1120">
        <v>828</v>
      </c>
      <c r="B834" s="1121" t="s">
        <v>10771</v>
      </c>
      <c r="C834" s="1122" t="s">
        <v>10772</v>
      </c>
      <c r="D834" s="1123" t="s">
        <v>10672</v>
      </c>
      <c r="E834" s="1124">
        <v>93600</v>
      </c>
      <c r="F834" s="1124">
        <v>11723019.6</v>
      </c>
      <c r="G834" s="1124">
        <v>767537</v>
      </c>
      <c r="H834" s="1124" t="e">
        <v>#REF!</v>
      </c>
      <c r="I834" s="1124" t="e">
        <v>#REF!</v>
      </c>
      <c r="J834" s="1124" t="e">
        <v>#REF!</v>
      </c>
      <c r="K834" s="1124" t="e">
        <v>#REF!</v>
      </c>
    </row>
    <row r="835" spans="1:11" ht="60">
      <c r="A835" s="1120">
        <v>829</v>
      </c>
      <c r="B835" s="1121" t="s">
        <v>10773</v>
      </c>
      <c r="C835" s="1122" t="s">
        <v>10774</v>
      </c>
      <c r="D835" s="1123" t="s">
        <v>10672</v>
      </c>
      <c r="E835" s="1124">
        <v>93600</v>
      </c>
      <c r="F835" s="1124">
        <v>14043692.6</v>
      </c>
      <c r="G835" s="1124">
        <v>916958.2</v>
      </c>
      <c r="H835" s="1124" t="e">
        <v>#REF!</v>
      </c>
      <c r="I835" s="1124" t="e">
        <v>#REF!</v>
      </c>
      <c r="J835" s="1124" t="e">
        <v>#REF!</v>
      </c>
      <c r="K835" s="1124" t="e">
        <v>#REF!</v>
      </c>
    </row>
    <row r="836" spans="1:11" ht="60">
      <c r="A836" s="1120">
        <v>830</v>
      </c>
      <c r="B836" s="1121" t="s">
        <v>10775</v>
      </c>
      <c r="C836" s="1122" t="s">
        <v>10776</v>
      </c>
      <c r="D836" s="1123" t="s">
        <v>10672</v>
      </c>
      <c r="E836" s="1124">
        <v>103500</v>
      </c>
      <c r="F836" s="1124">
        <v>17768734.800000001</v>
      </c>
      <c r="G836" s="1124">
        <v>1090356.8999999999</v>
      </c>
      <c r="H836" s="1124" t="e">
        <v>#REF!</v>
      </c>
      <c r="I836" s="1124" t="e">
        <v>#REF!</v>
      </c>
      <c r="J836" s="1124" t="e">
        <v>#REF!</v>
      </c>
      <c r="K836" s="1124" t="e">
        <v>#REF!</v>
      </c>
    </row>
    <row r="837" spans="1:11" ht="45">
      <c r="A837" s="1120">
        <v>831</v>
      </c>
      <c r="B837" s="1121" t="s">
        <v>10777</v>
      </c>
      <c r="C837" s="1122" t="s">
        <v>10778</v>
      </c>
      <c r="D837" s="1123" t="s">
        <v>10672</v>
      </c>
      <c r="E837" s="1124">
        <v>43930</v>
      </c>
      <c r="F837" s="1124">
        <v>3857292.3</v>
      </c>
      <c r="G837" s="1124">
        <v>234572.2</v>
      </c>
      <c r="H837" s="1124" t="e">
        <v>#REF!</v>
      </c>
      <c r="I837" s="1124" t="e">
        <v>#REF!</v>
      </c>
      <c r="J837" s="1124" t="e">
        <v>#REF!</v>
      </c>
      <c r="K837" s="1124" t="e">
        <v>#REF!</v>
      </c>
    </row>
    <row r="838" spans="1:11" ht="45">
      <c r="A838" s="1120">
        <v>832</v>
      </c>
      <c r="B838" s="1121" t="s">
        <v>10779</v>
      </c>
      <c r="C838" s="1122" t="s">
        <v>10780</v>
      </c>
      <c r="D838" s="1123" t="s">
        <v>10672</v>
      </c>
      <c r="E838" s="1124">
        <v>62000</v>
      </c>
      <c r="F838" s="1124">
        <v>4408334</v>
      </c>
      <c r="G838" s="1124">
        <v>317169.3</v>
      </c>
      <c r="H838" s="1124" t="e">
        <v>#REF!</v>
      </c>
      <c r="I838" s="1124" t="e">
        <v>#REF!</v>
      </c>
      <c r="J838" s="1124" t="e">
        <v>#REF!</v>
      </c>
      <c r="K838" s="1124" t="e">
        <v>#REF!</v>
      </c>
    </row>
    <row r="839" spans="1:11" ht="45">
      <c r="A839" s="1120">
        <v>833</v>
      </c>
      <c r="B839" s="1121" t="s">
        <v>10781</v>
      </c>
      <c r="C839" s="1122" t="s">
        <v>10782</v>
      </c>
      <c r="D839" s="1123" t="s">
        <v>10672</v>
      </c>
      <c r="E839" s="1124">
        <v>62000</v>
      </c>
      <c r="F839" s="1124">
        <v>4959375.8</v>
      </c>
      <c r="G839" s="1124">
        <v>317169.3</v>
      </c>
      <c r="H839" s="1124" t="e">
        <v>#REF!</v>
      </c>
      <c r="I839" s="1124" t="e">
        <v>#REF!</v>
      </c>
      <c r="J839" s="1124" t="e">
        <v>#REF!</v>
      </c>
      <c r="K839" s="1124" t="e">
        <v>#REF!</v>
      </c>
    </row>
    <row r="840" spans="1:11" ht="45">
      <c r="A840" s="1120">
        <v>834</v>
      </c>
      <c r="B840" s="1121" t="s">
        <v>10783</v>
      </c>
      <c r="C840" s="1122" t="s">
        <v>10784</v>
      </c>
      <c r="D840" s="1123" t="s">
        <v>10672</v>
      </c>
      <c r="E840" s="1124">
        <v>70000</v>
      </c>
      <c r="F840" s="1124">
        <v>5623774.7000000002</v>
      </c>
      <c r="G840" s="1124">
        <v>406103.4</v>
      </c>
      <c r="H840" s="1124" t="e">
        <v>#REF!</v>
      </c>
      <c r="I840" s="1124" t="e">
        <v>#REF!</v>
      </c>
      <c r="J840" s="1124" t="e">
        <v>#REF!</v>
      </c>
      <c r="K840" s="1124" t="e">
        <v>#REF!</v>
      </c>
    </row>
    <row r="841" spans="1:11" ht="45">
      <c r="A841" s="1120">
        <v>835</v>
      </c>
      <c r="B841" s="1121" t="s">
        <v>10785</v>
      </c>
      <c r="C841" s="1122" t="s">
        <v>10786</v>
      </c>
      <c r="D841" s="1123" t="s">
        <v>10672</v>
      </c>
      <c r="E841" s="1124">
        <v>62000</v>
      </c>
      <c r="F841" s="1124">
        <v>6395233.0999999996</v>
      </c>
      <c r="G841" s="1124">
        <v>321133.40000000002</v>
      </c>
      <c r="H841" s="1124" t="e">
        <v>#REF!</v>
      </c>
      <c r="I841" s="1124" t="e">
        <v>#REF!</v>
      </c>
      <c r="J841" s="1124" t="e">
        <v>#REF!</v>
      </c>
      <c r="K841" s="1124" t="e">
        <v>#REF!</v>
      </c>
    </row>
    <row r="842" spans="1:11" ht="45">
      <c r="A842" s="1120">
        <v>836</v>
      </c>
      <c r="B842" s="1121" t="s">
        <v>10787</v>
      </c>
      <c r="C842" s="1122" t="s">
        <v>10788</v>
      </c>
      <c r="D842" s="1123" t="s">
        <v>10672</v>
      </c>
      <c r="E842" s="1124">
        <v>62000</v>
      </c>
      <c r="F842" s="1124">
        <v>7607525</v>
      </c>
      <c r="G842" s="1124">
        <v>416467.3</v>
      </c>
      <c r="H842" s="1124" t="e">
        <v>#REF!</v>
      </c>
      <c r="I842" s="1124" t="e">
        <v>#REF!</v>
      </c>
      <c r="J842" s="1124" t="e">
        <v>#REF!</v>
      </c>
      <c r="K842" s="1124" t="e">
        <v>#REF!</v>
      </c>
    </row>
    <row r="843" spans="1:11" ht="45">
      <c r="A843" s="1120">
        <v>837</v>
      </c>
      <c r="B843" s="1121" t="s">
        <v>10789</v>
      </c>
      <c r="C843" s="1122" t="s">
        <v>10790</v>
      </c>
      <c r="D843" s="1123" t="s">
        <v>10672</v>
      </c>
      <c r="E843" s="1124">
        <v>78000</v>
      </c>
      <c r="F843" s="1124">
        <v>8930025.1999999993</v>
      </c>
      <c r="G843" s="1124">
        <v>520487.9</v>
      </c>
      <c r="H843" s="1124" t="e">
        <v>#REF!</v>
      </c>
      <c r="I843" s="1124" t="e">
        <v>#REF!</v>
      </c>
      <c r="J843" s="1124" t="e">
        <v>#REF!</v>
      </c>
      <c r="K843" s="1124" t="e">
        <v>#REF!</v>
      </c>
    </row>
    <row r="844" spans="1:11" ht="45">
      <c r="A844" s="1120">
        <v>838</v>
      </c>
      <c r="B844" s="1121" t="s">
        <v>10791</v>
      </c>
      <c r="C844" s="1122" t="s">
        <v>10792</v>
      </c>
      <c r="D844" s="1123" t="s">
        <v>10672</v>
      </c>
      <c r="E844" s="1124">
        <v>93600</v>
      </c>
      <c r="F844" s="1124">
        <v>11134192.199999999</v>
      </c>
      <c r="G844" s="1124">
        <v>677176.3</v>
      </c>
      <c r="H844" s="1124" t="e">
        <v>#REF!</v>
      </c>
      <c r="I844" s="1124" t="e">
        <v>#REF!</v>
      </c>
      <c r="J844" s="1124" t="e">
        <v>#REF!</v>
      </c>
      <c r="K844" s="1124" t="e">
        <v>#REF!</v>
      </c>
    </row>
    <row r="845" spans="1:11" ht="45">
      <c r="A845" s="1120">
        <v>839</v>
      </c>
      <c r="B845" s="1121" t="s">
        <v>10793</v>
      </c>
      <c r="C845" s="1122" t="s">
        <v>10794</v>
      </c>
      <c r="D845" s="1123" t="s">
        <v>10672</v>
      </c>
      <c r="E845" s="1124">
        <v>93600</v>
      </c>
      <c r="F845" s="1124">
        <v>13341508</v>
      </c>
      <c r="G845" s="1124">
        <v>819330.4</v>
      </c>
      <c r="H845" s="1124" t="e">
        <v>#REF!</v>
      </c>
      <c r="I845" s="1124" t="e">
        <v>#REF!</v>
      </c>
      <c r="J845" s="1124" t="e">
        <v>#REF!</v>
      </c>
      <c r="K845" s="1124" t="e">
        <v>#REF!</v>
      </c>
    </row>
    <row r="846" spans="1:11" ht="45">
      <c r="A846" s="1120">
        <v>840</v>
      </c>
      <c r="B846" s="1121" t="s">
        <v>10795</v>
      </c>
      <c r="C846" s="1122" t="s">
        <v>10796</v>
      </c>
      <c r="D846" s="1123" t="s">
        <v>10672</v>
      </c>
      <c r="E846" s="1124">
        <v>103500</v>
      </c>
      <c r="F846" s="1124">
        <v>16877621.600000001</v>
      </c>
      <c r="G846" s="1124">
        <v>604371.9</v>
      </c>
      <c r="H846" s="1124" t="e">
        <v>#REF!</v>
      </c>
      <c r="I846" s="1124" t="e">
        <v>#REF!</v>
      </c>
      <c r="J846" s="1124" t="e">
        <v>#REF!</v>
      </c>
      <c r="K846" s="1124" t="e">
        <v>#REF!</v>
      </c>
    </row>
    <row r="847" spans="1:11" ht="45">
      <c r="A847" s="1120">
        <v>841</v>
      </c>
      <c r="B847" s="1121" t="s">
        <v>10797</v>
      </c>
      <c r="C847" s="1122" t="s">
        <v>10798</v>
      </c>
      <c r="D847" s="1123" t="s">
        <v>10672</v>
      </c>
      <c r="E847" s="1124">
        <v>43930</v>
      </c>
      <c r="F847" s="1124">
        <v>6215750.9000000004</v>
      </c>
      <c r="G847" s="1124">
        <v>258171.3</v>
      </c>
      <c r="H847" s="1124" t="e">
        <v>#REF!</v>
      </c>
      <c r="I847" s="1124" t="e">
        <v>#REF!</v>
      </c>
      <c r="J847" s="1124" t="e">
        <v>#REF!</v>
      </c>
      <c r="K847" s="1124" t="e">
        <v>#REF!</v>
      </c>
    </row>
    <row r="848" spans="1:11" ht="45">
      <c r="A848" s="1120">
        <v>842</v>
      </c>
      <c r="B848" s="1121" t="s">
        <v>10799</v>
      </c>
      <c r="C848" s="1122" t="s">
        <v>10800</v>
      </c>
      <c r="D848" s="1123" t="s">
        <v>10672</v>
      </c>
      <c r="E848" s="1124">
        <v>62000</v>
      </c>
      <c r="F848" s="1124">
        <v>7103715.4000000004</v>
      </c>
      <c r="G848" s="1124">
        <v>347105.5</v>
      </c>
      <c r="H848" s="1124" t="e">
        <v>#REF!</v>
      </c>
      <c r="I848" s="1124" t="e">
        <v>#REF!</v>
      </c>
      <c r="J848" s="1124" t="e">
        <v>#REF!</v>
      </c>
      <c r="K848" s="1124" t="e">
        <v>#REF!</v>
      </c>
    </row>
    <row r="849" spans="1:11" ht="45">
      <c r="A849" s="1120">
        <v>843</v>
      </c>
      <c r="B849" s="1121" t="s">
        <v>10801</v>
      </c>
      <c r="C849" s="1122" t="s">
        <v>10802</v>
      </c>
      <c r="D849" s="1123" t="s">
        <v>10672</v>
      </c>
      <c r="E849" s="1124">
        <v>43930</v>
      </c>
      <c r="F849" s="1124">
        <v>4465012.5999999996</v>
      </c>
      <c r="G849" s="1124">
        <v>269971</v>
      </c>
      <c r="H849" s="1124" t="e">
        <v>#REF!</v>
      </c>
      <c r="I849" s="1124" t="e">
        <v>#REF!</v>
      </c>
      <c r="J849" s="1124" t="e">
        <v>#REF!</v>
      </c>
      <c r="K849" s="1124" t="e">
        <v>#REF!</v>
      </c>
    </row>
    <row r="850" spans="1:11" ht="45">
      <c r="A850" s="1120">
        <v>844</v>
      </c>
      <c r="B850" s="1121" t="s">
        <v>10803</v>
      </c>
      <c r="C850" s="1122" t="s">
        <v>10804</v>
      </c>
      <c r="D850" s="1123" t="s">
        <v>10672</v>
      </c>
      <c r="E850" s="1124">
        <v>62000</v>
      </c>
      <c r="F850" s="1124">
        <v>5104221</v>
      </c>
      <c r="G850" s="1124">
        <v>362073.7</v>
      </c>
      <c r="H850" s="1124" t="e">
        <v>#REF!</v>
      </c>
      <c r="I850" s="1124" t="e">
        <v>#REF!</v>
      </c>
      <c r="J850" s="1124" t="e">
        <v>#REF!</v>
      </c>
      <c r="K850" s="1124" t="e">
        <v>#REF!</v>
      </c>
    </row>
    <row r="851" spans="1:11" ht="45">
      <c r="A851" s="1120">
        <v>845</v>
      </c>
      <c r="B851" s="1121" t="s">
        <v>10805</v>
      </c>
      <c r="C851" s="1122" t="s">
        <v>10806</v>
      </c>
      <c r="D851" s="1123" t="s">
        <v>10672</v>
      </c>
      <c r="E851" s="1124">
        <v>62000</v>
      </c>
      <c r="F851" s="1124">
        <v>5743429.4000000004</v>
      </c>
      <c r="G851" s="1124">
        <v>362073.7</v>
      </c>
      <c r="H851" s="1124" t="e">
        <v>#REF!</v>
      </c>
      <c r="I851" s="1124" t="e">
        <v>#REF!</v>
      </c>
      <c r="J851" s="1124" t="e">
        <v>#REF!</v>
      </c>
      <c r="K851" s="1124" t="e">
        <v>#REF!</v>
      </c>
    </row>
    <row r="852" spans="1:11" ht="45">
      <c r="A852" s="1120">
        <v>846</v>
      </c>
      <c r="B852" s="1121" t="s">
        <v>10807</v>
      </c>
      <c r="C852" s="1122" t="s">
        <v>10808</v>
      </c>
      <c r="D852" s="1123" t="s">
        <v>10672</v>
      </c>
      <c r="E852" s="1124">
        <v>70000</v>
      </c>
      <c r="F852" s="1124">
        <v>6508590.2999999998</v>
      </c>
      <c r="G852" s="1124">
        <v>476900.9</v>
      </c>
      <c r="H852" s="1124" t="e">
        <v>#REF!</v>
      </c>
      <c r="I852" s="1124" t="e">
        <v>#REF!</v>
      </c>
      <c r="J852" s="1124" t="e">
        <v>#REF!</v>
      </c>
      <c r="K852" s="1124" t="e">
        <v>#REF!</v>
      </c>
    </row>
    <row r="853" spans="1:11" ht="45">
      <c r="A853" s="1120">
        <v>847</v>
      </c>
      <c r="B853" s="1121" t="s">
        <v>10809</v>
      </c>
      <c r="C853" s="1122" t="s">
        <v>10810</v>
      </c>
      <c r="D853" s="1123" t="s">
        <v>10672</v>
      </c>
      <c r="E853" s="1124">
        <v>62000</v>
      </c>
      <c r="F853" s="1124">
        <v>7399703.5</v>
      </c>
      <c r="G853" s="1124">
        <v>375165.3</v>
      </c>
      <c r="H853" s="1124" t="e">
        <v>#REF!</v>
      </c>
      <c r="I853" s="1124" t="e">
        <v>#REF!</v>
      </c>
      <c r="J853" s="1124" t="e">
        <v>#REF!</v>
      </c>
      <c r="K853" s="1124" t="e">
        <v>#REF!</v>
      </c>
    </row>
    <row r="854" spans="1:11" ht="45">
      <c r="A854" s="1120">
        <v>848</v>
      </c>
      <c r="B854" s="1121" t="s">
        <v>10811</v>
      </c>
      <c r="C854" s="1122" t="s">
        <v>10812</v>
      </c>
      <c r="D854" s="1123" t="s">
        <v>10672</v>
      </c>
      <c r="E854" s="1124">
        <v>62000</v>
      </c>
      <c r="F854" s="1124">
        <v>8804072.8000000007</v>
      </c>
      <c r="G854" s="1124">
        <v>487761.3</v>
      </c>
      <c r="H854" s="1124" t="e">
        <v>#REF!</v>
      </c>
      <c r="I854" s="1124" t="e">
        <v>#REF!</v>
      </c>
      <c r="J854" s="1124" t="e">
        <v>#REF!</v>
      </c>
      <c r="K854" s="1124" t="e">
        <v>#REF!</v>
      </c>
    </row>
    <row r="855" spans="1:11" ht="45">
      <c r="A855" s="1120">
        <v>849</v>
      </c>
      <c r="B855" s="1121" t="s">
        <v>10813</v>
      </c>
      <c r="C855" s="1122" t="s">
        <v>10814</v>
      </c>
      <c r="D855" s="1123" t="s">
        <v>10815</v>
      </c>
      <c r="E855" s="1124">
        <v>43930</v>
      </c>
      <c r="F855" s="1124">
        <v>6215750.9000000004</v>
      </c>
      <c r="G855" s="1124">
        <v>247593</v>
      </c>
      <c r="H855" s="1124" t="e">
        <v>#REF!</v>
      </c>
      <c r="I855" s="1124" t="e">
        <v>#REF!</v>
      </c>
      <c r="J855" s="1124" t="e">
        <v>#REF!</v>
      </c>
      <c r="K855" s="1124" t="e">
        <v>#REF!</v>
      </c>
    </row>
    <row r="856" spans="1:11" ht="45">
      <c r="A856" s="1120">
        <v>850</v>
      </c>
      <c r="B856" s="1121" t="s">
        <v>10816</v>
      </c>
      <c r="C856" s="1122" t="s">
        <v>10817</v>
      </c>
      <c r="D856" s="1123" t="s">
        <v>10815</v>
      </c>
      <c r="E856" s="1124">
        <v>62000</v>
      </c>
      <c r="F856" s="1124">
        <v>6927382</v>
      </c>
      <c r="G856" s="1124">
        <v>281816.40000000002</v>
      </c>
      <c r="H856" s="1124" t="e">
        <v>#REF!</v>
      </c>
      <c r="I856" s="1124" t="e">
        <v>#REF!</v>
      </c>
      <c r="J856" s="1124" t="e">
        <v>#REF!</v>
      </c>
      <c r="K856" s="1124" t="e">
        <v>#REF!</v>
      </c>
    </row>
    <row r="857" spans="1:11" ht="45">
      <c r="A857" s="1120">
        <v>851</v>
      </c>
      <c r="B857" s="1121" t="s">
        <v>10818</v>
      </c>
      <c r="C857" s="1122" t="s">
        <v>10819</v>
      </c>
      <c r="D857" s="1123" t="s">
        <v>10815</v>
      </c>
      <c r="E857" s="1124">
        <v>62000</v>
      </c>
      <c r="F857" s="1124">
        <v>7991679.7999999998</v>
      </c>
      <c r="G857" s="1124">
        <v>333001.09999999998</v>
      </c>
      <c r="H857" s="1124" t="e">
        <v>#REF!</v>
      </c>
      <c r="I857" s="1124" t="e">
        <v>#REF!</v>
      </c>
      <c r="J857" s="1124" t="e">
        <v>#REF!</v>
      </c>
      <c r="K857" s="1124" t="e">
        <v>#REF!</v>
      </c>
    </row>
    <row r="858" spans="1:11" ht="45">
      <c r="A858" s="1120">
        <v>852</v>
      </c>
      <c r="B858" s="1121" t="s">
        <v>10820</v>
      </c>
      <c r="C858" s="1122" t="s">
        <v>10821</v>
      </c>
      <c r="D858" s="1123" t="s">
        <v>10815</v>
      </c>
      <c r="E858" s="1124">
        <v>62000</v>
      </c>
      <c r="F858" s="1124">
        <v>9059126.4000000004</v>
      </c>
      <c r="G858" s="1124">
        <v>372777.9</v>
      </c>
      <c r="H858" s="1124" t="e">
        <v>#REF!</v>
      </c>
      <c r="I858" s="1124" t="e">
        <v>#REF!</v>
      </c>
      <c r="J858" s="1124" t="e">
        <v>#REF!</v>
      </c>
      <c r="K858" s="1124" t="e">
        <v>#REF!</v>
      </c>
    </row>
    <row r="859" spans="1:11" ht="45">
      <c r="A859" s="1120">
        <v>853</v>
      </c>
      <c r="B859" s="1121" t="s">
        <v>10822</v>
      </c>
      <c r="C859" s="1122" t="s">
        <v>10823</v>
      </c>
      <c r="D859" s="1123" t="s">
        <v>10672</v>
      </c>
      <c r="E859" s="1124">
        <v>6000</v>
      </c>
      <c r="F859" s="1124">
        <v>1803242.4</v>
      </c>
      <c r="G859" s="1124">
        <v>0</v>
      </c>
      <c r="H859" s="1124" t="e">
        <v>#REF!</v>
      </c>
      <c r="I859" s="1124" t="e">
        <v>#REF!</v>
      </c>
      <c r="J859" s="1124" t="e">
        <v>#REF!</v>
      </c>
      <c r="K859" s="1124" t="e">
        <v>#REF!</v>
      </c>
    </row>
    <row r="860" spans="1:11" ht="45">
      <c r="A860" s="1120">
        <v>854</v>
      </c>
      <c r="B860" s="1121" t="s">
        <v>10824</v>
      </c>
      <c r="C860" s="1122" t="s">
        <v>10825</v>
      </c>
      <c r="D860" s="1123" t="s">
        <v>10672</v>
      </c>
      <c r="E860" s="1124">
        <v>6000</v>
      </c>
      <c r="F860" s="1124">
        <v>2376343.5</v>
      </c>
      <c r="G860" s="1124">
        <v>0</v>
      </c>
      <c r="H860" s="1124" t="e">
        <v>#REF!</v>
      </c>
      <c r="I860" s="1124" t="e">
        <v>#REF!</v>
      </c>
      <c r="J860" s="1124" t="e">
        <v>#REF!</v>
      </c>
      <c r="K860" s="1124" t="e">
        <v>#REF!</v>
      </c>
    </row>
    <row r="861" spans="1:11" ht="45">
      <c r="A861" s="1120">
        <v>855</v>
      </c>
      <c r="B861" s="1121" t="s">
        <v>10826</v>
      </c>
      <c r="C861" s="1122" t="s">
        <v>10827</v>
      </c>
      <c r="D861" s="1123" t="s">
        <v>10672</v>
      </c>
      <c r="E861" s="1124">
        <v>6000</v>
      </c>
      <c r="F861" s="1124">
        <v>2607899.5</v>
      </c>
      <c r="G861" s="1124">
        <v>0</v>
      </c>
      <c r="H861" s="1124" t="e">
        <v>#REF!</v>
      </c>
      <c r="I861" s="1124" t="e">
        <v>#REF!</v>
      </c>
      <c r="J861" s="1124" t="e">
        <v>#REF!</v>
      </c>
      <c r="K861" s="1124" t="e">
        <v>#REF!</v>
      </c>
    </row>
    <row r="862" spans="1:11" ht="45">
      <c r="A862" s="1120">
        <v>856</v>
      </c>
      <c r="B862" s="1121" t="s">
        <v>10828</v>
      </c>
      <c r="C862" s="1122" t="s">
        <v>10829</v>
      </c>
      <c r="D862" s="1123" t="s">
        <v>10672</v>
      </c>
      <c r="E862" s="1124">
        <v>7500</v>
      </c>
      <c r="F862" s="1124">
        <v>3435712.2</v>
      </c>
      <c r="G862" s="1124">
        <v>0</v>
      </c>
      <c r="H862" s="1124" t="e">
        <v>#REF!</v>
      </c>
      <c r="I862" s="1124" t="e">
        <v>#REF!</v>
      </c>
      <c r="J862" s="1124" t="e">
        <v>#REF!</v>
      </c>
      <c r="K862" s="1124" t="e">
        <v>#REF!</v>
      </c>
    </row>
    <row r="863" spans="1:11" ht="45">
      <c r="A863" s="1120">
        <v>857</v>
      </c>
      <c r="B863" s="1121" t="s">
        <v>10830</v>
      </c>
      <c r="C863" s="1122" t="s">
        <v>10831</v>
      </c>
      <c r="D863" s="1123" t="s">
        <v>10672</v>
      </c>
      <c r="E863" s="1124">
        <v>7500</v>
      </c>
      <c r="F863" s="1124">
        <v>4590597.7</v>
      </c>
      <c r="G863" s="1124">
        <v>0</v>
      </c>
      <c r="H863" s="1124" t="e">
        <v>#REF!</v>
      </c>
      <c r="I863" s="1124" t="e">
        <v>#REF!</v>
      </c>
      <c r="J863" s="1124" t="e">
        <v>#REF!</v>
      </c>
      <c r="K863" s="1124" t="e">
        <v>#REF!</v>
      </c>
    </row>
    <row r="864" spans="1:11" ht="45">
      <c r="A864" s="1120">
        <v>858</v>
      </c>
      <c r="B864" s="1121" t="s">
        <v>10832</v>
      </c>
      <c r="C864" s="1122" t="s">
        <v>10833</v>
      </c>
      <c r="D864" s="1123" t="s">
        <v>10672</v>
      </c>
      <c r="E864" s="1124">
        <v>7500</v>
      </c>
      <c r="F864" s="1124">
        <v>6254906.5</v>
      </c>
      <c r="G864" s="1124">
        <v>0</v>
      </c>
      <c r="H864" s="1124" t="e">
        <v>#REF!</v>
      </c>
      <c r="I864" s="1124" t="e">
        <v>#REF!</v>
      </c>
      <c r="J864" s="1124" t="e">
        <v>#REF!</v>
      </c>
      <c r="K864" s="1124" t="e">
        <v>#REF!</v>
      </c>
    </row>
    <row r="865" spans="1:11" ht="45">
      <c r="A865" s="1120">
        <v>859</v>
      </c>
      <c r="B865" s="1121" t="s">
        <v>10834</v>
      </c>
      <c r="C865" s="1122" t="s">
        <v>10835</v>
      </c>
      <c r="D865" s="1123" t="s">
        <v>10672</v>
      </c>
      <c r="E865" s="1124">
        <v>9000</v>
      </c>
      <c r="F865" s="1124">
        <v>7024830.2000000002</v>
      </c>
      <c r="G865" s="1124">
        <v>0</v>
      </c>
      <c r="H865" s="1124" t="e">
        <v>#REF!</v>
      </c>
      <c r="I865" s="1124" t="e">
        <v>#REF!</v>
      </c>
      <c r="J865" s="1124" t="e">
        <v>#REF!</v>
      </c>
      <c r="K865" s="1124" t="e">
        <v>#REF!</v>
      </c>
    </row>
    <row r="866" spans="1:11" ht="45">
      <c r="A866" s="1120">
        <v>860</v>
      </c>
      <c r="B866" s="1121" t="s">
        <v>10836</v>
      </c>
      <c r="C866" s="1122" t="s">
        <v>10837</v>
      </c>
      <c r="D866" s="1123" t="s">
        <v>10672</v>
      </c>
      <c r="E866" s="1124">
        <v>9000</v>
      </c>
      <c r="F866" s="1124">
        <v>8500999.6999999993</v>
      </c>
      <c r="G866" s="1124">
        <v>0</v>
      </c>
      <c r="H866" s="1124" t="e">
        <v>#REF!</v>
      </c>
      <c r="I866" s="1124" t="e">
        <v>#REF!</v>
      </c>
      <c r="J866" s="1124" t="e">
        <v>#REF!</v>
      </c>
      <c r="K866" s="1124" t="e">
        <v>#REF!</v>
      </c>
    </row>
    <row r="867" spans="1:11" ht="45">
      <c r="A867" s="1120">
        <v>861</v>
      </c>
      <c r="B867" s="1121" t="s">
        <v>10838</v>
      </c>
      <c r="C867" s="1122" t="s">
        <v>10839</v>
      </c>
      <c r="D867" s="1123" t="s">
        <v>10672</v>
      </c>
      <c r="E867" s="1124">
        <v>9000</v>
      </c>
      <c r="F867" s="1124">
        <v>10032163.699999999</v>
      </c>
      <c r="G867" s="1124">
        <v>0</v>
      </c>
      <c r="H867" s="1124" t="e">
        <v>#REF!</v>
      </c>
      <c r="I867" s="1124" t="e">
        <v>#REF!</v>
      </c>
      <c r="J867" s="1124" t="e">
        <v>#REF!</v>
      </c>
      <c r="K867" s="1124" t="e">
        <v>#REF!</v>
      </c>
    </row>
    <row r="868" spans="1:11" ht="45">
      <c r="A868" s="1120">
        <v>862</v>
      </c>
      <c r="B868" s="1121" t="s">
        <v>10840</v>
      </c>
      <c r="C868" s="1122" t="s">
        <v>10841</v>
      </c>
      <c r="D868" s="1123" t="s">
        <v>10672</v>
      </c>
      <c r="E868" s="1124">
        <v>9000</v>
      </c>
      <c r="F868" s="1124">
        <v>11033643.4</v>
      </c>
      <c r="G868" s="1124">
        <v>0</v>
      </c>
      <c r="H868" s="1124" t="e">
        <v>#REF!</v>
      </c>
      <c r="I868" s="1124" t="e">
        <v>#REF!</v>
      </c>
      <c r="J868" s="1124" t="e">
        <v>#REF!</v>
      </c>
      <c r="K868" s="1124" t="e">
        <v>#REF!</v>
      </c>
    </row>
    <row r="869" spans="1:11" ht="45">
      <c r="A869" s="1120">
        <v>863</v>
      </c>
      <c r="B869" s="1121" t="s">
        <v>10842</v>
      </c>
      <c r="C869" s="1122" t="s">
        <v>10843</v>
      </c>
      <c r="D869" s="1123" t="s">
        <v>10672</v>
      </c>
      <c r="E869" s="1124">
        <v>10500</v>
      </c>
      <c r="F869" s="1124">
        <v>13913621.199999999</v>
      </c>
      <c r="G869" s="1124">
        <v>0</v>
      </c>
      <c r="H869" s="1124" t="e">
        <v>#REF!</v>
      </c>
      <c r="I869" s="1124" t="e">
        <v>#REF!</v>
      </c>
      <c r="J869" s="1124" t="e">
        <v>#REF!</v>
      </c>
      <c r="K869" s="1124" t="e">
        <v>#REF!</v>
      </c>
    </row>
    <row r="870" spans="1:11" ht="45">
      <c r="A870" s="1120">
        <v>864</v>
      </c>
      <c r="B870" s="1121" t="s">
        <v>10844</v>
      </c>
      <c r="C870" s="1122" t="s">
        <v>10845</v>
      </c>
      <c r="D870" s="1123" t="s">
        <v>10672</v>
      </c>
      <c r="E870" s="1124">
        <v>10500</v>
      </c>
      <c r="F870" s="1124">
        <v>18379757.5</v>
      </c>
      <c r="G870" s="1124">
        <v>0</v>
      </c>
      <c r="H870" s="1124" t="e">
        <v>#REF!</v>
      </c>
      <c r="I870" s="1124" t="e">
        <v>#REF!</v>
      </c>
      <c r="J870" s="1124" t="e">
        <v>#REF!</v>
      </c>
      <c r="K870" s="1124" t="e">
        <v>#REF!</v>
      </c>
    </row>
    <row r="871" spans="1:11" ht="45">
      <c r="A871" s="1120">
        <v>865</v>
      </c>
      <c r="B871" s="1121" t="s">
        <v>10846</v>
      </c>
      <c r="C871" s="1122" t="s">
        <v>10847</v>
      </c>
      <c r="D871" s="1123" t="s">
        <v>10672</v>
      </c>
      <c r="E871" s="1124">
        <v>10500</v>
      </c>
      <c r="F871" s="1124">
        <v>21537602.5</v>
      </c>
      <c r="G871" s="1124">
        <v>0</v>
      </c>
      <c r="H871" s="1124" t="e">
        <v>#REF!</v>
      </c>
      <c r="I871" s="1124" t="e">
        <v>#REF!</v>
      </c>
      <c r="J871" s="1124" t="e">
        <v>#REF!</v>
      </c>
      <c r="K871" s="1124" t="e">
        <v>#REF!</v>
      </c>
    </row>
    <row r="872" spans="1:11" ht="45">
      <c r="A872" s="1120">
        <v>866</v>
      </c>
      <c r="B872" s="1121" t="s">
        <v>10848</v>
      </c>
      <c r="C872" s="1122" t="s">
        <v>10849</v>
      </c>
      <c r="D872" s="1123" t="s">
        <v>10672</v>
      </c>
      <c r="E872" s="1124">
        <v>10500</v>
      </c>
      <c r="F872" s="1124">
        <v>27995120.399999999</v>
      </c>
      <c r="G872" s="1124">
        <v>0</v>
      </c>
      <c r="H872" s="1124" t="e">
        <v>#REF!</v>
      </c>
      <c r="I872" s="1124" t="e">
        <v>#REF!</v>
      </c>
      <c r="J872" s="1124" t="e">
        <v>#REF!</v>
      </c>
      <c r="K872" s="1124" t="e">
        <v>#REF!</v>
      </c>
    </row>
    <row r="873" spans="1:11" ht="30">
      <c r="A873" s="1120">
        <v>867</v>
      </c>
      <c r="B873" s="1121" t="s">
        <v>10850</v>
      </c>
      <c r="C873" s="1122" t="s">
        <v>10851</v>
      </c>
      <c r="D873" s="1123" t="s">
        <v>10672</v>
      </c>
      <c r="E873" s="1124">
        <v>6000</v>
      </c>
      <c r="F873" s="1124">
        <v>1218563.5</v>
      </c>
      <c r="G873" s="1124">
        <v>0</v>
      </c>
      <c r="H873" s="1124" t="e">
        <v>#REF!</v>
      </c>
      <c r="I873" s="1124" t="e">
        <v>#REF!</v>
      </c>
      <c r="J873" s="1124" t="e">
        <v>#REF!</v>
      </c>
      <c r="K873" s="1124" t="e">
        <v>#REF!</v>
      </c>
    </row>
    <row r="874" spans="1:11" ht="30">
      <c r="A874" s="1120">
        <v>868</v>
      </c>
      <c r="B874" s="1121" t="s">
        <v>10852</v>
      </c>
      <c r="C874" s="1122" t="s">
        <v>10853</v>
      </c>
      <c r="D874" s="1123" t="s">
        <v>10672</v>
      </c>
      <c r="E874" s="1124">
        <v>6000</v>
      </c>
      <c r="F874" s="1124">
        <v>1603525.3</v>
      </c>
      <c r="G874" s="1124">
        <v>0</v>
      </c>
      <c r="H874" s="1124" t="e">
        <v>#REF!</v>
      </c>
      <c r="I874" s="1124" t="e">
        <v>#REF!</v>
      </c>
      <c r="J874" s="1124" t="e">
        <v>#REF!</v>
      </c>
      <c r="K874" s="1124" t="e">
        <v>#REF!</v>
      </c>
    </row>
    <row r="875" spans="1:11" ht="30">
      <c r="A875" s="1120">
        <v>869</v>
      </c>
      <c r="B875" s="1121" t="s">
        <v>10854</v>
      </c>
      <c r="C875" s="1122" t="s">
        <v>10855</v>
      </c>
      <c r="D875" s="1123" t="s">
        <v>10672</v>
      </c>
      <c r="E875" s="1124">
        <v>6000</v>
      </c>
      <c r="F875" s="1124">
        <v>2095581.8</v>
      </c>
      <c r="G875" s="1124">
        <v>0</v>
      </c>
      <c r="H875" s="1124" t="e">
        <v>#REF!</v>
      </c>
      <c r="I875" s="1124" t="e">
        <v>#REF!</v>
      </c>
      <c r="J875" s="1124" t="e">
        <v>#REF!</v>
      </c>
      <c r="K875" s="1124" t="e">
        <v>#REF!</v>
      </c>
    </row>
    <row r="876" spans="1:11" ht="30">
      <c r="A876" s="1120">
        <v>870</v>
      </c>
      <c r="B876" s="1121" t="s">
        <v>10856</v>
      </c>
      <c r="C876" s="1122" t="s">
        <v>10857</v>
      </c>
      <c r="D876" s="1123" t="s">
        <v>10672</v>
      </c>
      <c r="E876" s="1124">
        <v>7500</v>
      </c>
      <c r="F876" s="1124">
        <v>2738149.7</v>
      </c>
      <c r="G876" s="1124">
        <v>0</v>
      </c>
      <c r="H876" s="1124" t="e">
        <v>#REF!</v>
      </c>
      <c r="I876" s="1124" t="e">
        <v>#REF!</v>
      </c>
      <c r="J876" s="1124" t="e">
        <v>#REF!</v>
      </c>
      <c r="K876" s="1124" t="e">
        <v>#REF!</v>
      </c>
    </row>
    <row r="877" spans="1:11" ht="30">
      <c r="A877" s="1120">
        <v>871</v>
      </c>
      <c r="B877" s="1121" t="s">
        <v>10858</v>
      </c>
      <c r="C877" s="1122" t="s">
        <v>10859</v>
      </c>
      <c r="D877" s="1123" t="s">
        <v>10672</v>
      </c>
      <c r="E877" s="1124">
        <v>7500</v>
      </c>
      <c r="F877" s="1124">
        <v>3678846</v>
      </c>
      <c r="G877" s="1124">
        <v>0</v>
      </c>
      <c r="H877" s="1124" t="e">
        <v>#REF!</v>
      </c>
      <c r="I877" s="1124" t="e">
        <v>#REF!</v>
      </c>
      <c r="J877" s="1124" t="e">
        <v>#REF!</v>
      </c>
      <c r="K877" s="1124" t="e">
        <v>#REF!</v>
      </c>
    </row>
    <row r="878" spans="1:11" ht="30">
      <c r="A878" s="1120">
        <v>872</v>
      </c>
      <c r="B878" s="1121" t="s">
        <v>10860</v>
      </c>
      <c r="C878" s="1122" t="s">
        <v>10861</v>
      </c>
      <c r="D878" s="1123" t="s">
        <v>10672</v>
      </c>
      <c r="E878" s="1124">
        <v>7500</v>
      </c>
      <c r="F878" s="1124">
        <v>5024765.2</v>
      </c>
      <c r="G878" s="1124">
        <v>0</v>
      </c>
      <c r="H878" s="1124" t="e">
        <v>#REF!</v>
      </c>
      <c r="I878" s="1124" t="e">
        <v>#REF!</v>
      </c>
      <c r="J878" s="1124" t="e">
        <v>#REF!</v>
      </c>
      <c r="K878" s="1124" t="e">
        <v>#REF!</v>
      </c>
    </row>
    <row r="879" spans="1:11" ht="30">
      <c r="A879" s="1120">
        <v>873</v>
      </c>
      <c r="B879" s="1121" t="s">
        <v>10862</v>
      </c>
      <c r="C879" s="1122" t="s">
        <v>10863</v>
      </c>
      <c r="D879" s="1123" t="s">
        <v>10672</v>
      </c>
      <c r="E879" s="1124">
        <v>9000</v>
      </c>
      <c r="F879" s="1124">
        <v>5731011</v>
      </c>
      <c r="G879" s="1124">
        <v>0</v>
      </c>
      <c r="H879" s="1124" t="e">
        <v>#REF!</v>
      </c>
      <c r="I879" s="1124" t="e">
        <v>#REF!</v>
      </c>
      <c r="J879" s="1124" t="e">
        <v>#REF!</v>
      </c>
      <c r="K879" s="1124" t="e">
        <v>#REF!</v>
      </c>
    </row>
    <row r="880" spans="1:11" ht="30">
      <c r="A880" s="1120">
        <v>874</v>
      </c>
      <c r="B880" s="1121" t="s">
        <v>10864</v>
      </c>
      <c r="C880" s="1122" t="s">
        <v>10865</v>
      </c>
      <c r="D880" s="1123" t="s">
        <v>10672</v>
      </c>
      <c r="E880" s="1124">
        <v>9000</v>
      </c>
      <c r="F880" s="1124">
        <v>6801957.5</v>
      </c>
      <c r="G880" s="1124">
        <v>0</v>
      </c>
      <c r="H880" s="1124" t="e">
        <v>#REF!</v>
      </c>
      <c r="I880" s="1124" t="e">
        <v>#REF!</v>
      </c>
      <c r="J880" s="1124" t="e">
        <v>#REF!</v>
      </c>
      <c r="K880" s="1124" t="e">
        <v>#REF!</v>
      </c>
    </row>
    <row r="881" spans="1:11" ht="30">
      <c r="A881" s="1120">
        <v>875</v>
      </c>
      <c r="B881" s="1121" t="s">
        <v>10866</v>
      </c>
      <c r="C881" s="1122" t="s">
        <v>10867</v>
      </c>
      <c r="D881" s="1123" t="s">
        <v>10672</v>
      </c>
      <c r="E881" s="1124">
        <v>9000</v>
      </c>
      <c r="F881" s="1124">
        <v>8026309.9000000004</v>
      </c>
      <c r="G881" s="1124">
        <v>0</v>
      </c>
      <c r="H881" s="1124" t="e">
        <v>#REF!</v>
      </c>
      <c r="I881" s="1124" t="e">
        <v>#REF!</v>
      </c>
      <c r="J881" s="1124" t="e">
        <v>#REF!</v>
      </c>
      <c r="K881" s="1124" t="e">
        <v>#REF!</v>
      </c>
    </row>
    <row r="882" spans="1:11" ht="30">
      <c r="A882" s="1120">
        <v>876</v>
      </c>
      <c r="B882" s="1121" t="s">
        <v>10868</v>
      </c>
      <c r="C882" s="1122" t="s">
        <v>10869</v>
      </c>
      <c r="D882" s="1123" t="s">
        <v>10672</v>
      </c>
      <c r="E882" s="1124">
        <v>9000</v>
      </c>
      <c r="F882" s="1124">
        <v>8825178.0999999996</v>
      </c>
      <c r="G882" s="1124">
        <v>0</v>
      </c>
      <c r="H882" s="1124" t="e">
        <v>#REF!</v>
      </c>
      <c r="I882" s="1124" t="e">
        <v>#REF!</v>
      </c>
      <c r="J882" s="1124" t="e">
        <v>#REF!</v>
      </c>
      <c r="K882" s="1124" t="e">
        <v>#REF!</v>
      </c>
    </row>
    <row r="883" spans="1:11" ht="30">
      <c r="A883" s="1120">
        <v>877</v>
      </c>
      <c r="B883" s="1121" t="s">
        <v>10870</v>
      </c>
      <c r="C883" s="1122" t="s">
        <v>10871</v>
      </c>
      <c r="D883" s="1123" t="s">
        <v>10672</v>
      </c>
      <c r="E883" s="1124">
        <v>10500</v>
      </c>
      <c r="F883" s="1124">
        <v>11132054.699999999</v>
      </c>
      <c r="G883" s="1124">
        <v>0</v>
      </c>
      <c r="H883" s="1124" t="e">
        <v>#REF!</v>
      </c>
      <c r="I883" s="1124" t="e">
        <v>#REF!</v>
      </c>
      <c r="J883" s="1124" t="e">
        <v>#REF!</v>
      </c>
      <c r="K883" s="1124" t="e">
        <v>#REF!</v>
      </c>
    </row>
    <row r="884" spans="1:11" ht="30">
      <c r="A884" s="1120">
        <v>878</v>
      </c>
      <c r="B884" s="1121" t="s">
        <v>10872</v>
      </c>
      <c r="C884" s="1122" t="s">
        <v>10873</v>
      </c>
      <c r="D884" s="1123" t="s">
        <v>10672</v>
      </c>
      <c r="E884" s="1124">
        <v>10500</v>
      </c>
      <c r="F884" s="1124">
        <v>14703806</v>
      </c>
      <c r="G884" s="1124">
        <v>0</v>
      </c>
      <c r="H884" s="1124" t="e">
        <v>#REF!</v>
      </c>
      <c r="I884" s="1124" t="e">
        <v>#REF!</v>
      </c>
      <c r="J884" s="1124" t="e">
        <v>#REF!</v>
      </c>
      <c r="K884" s="1124" t="e">
        <v>#REF!</v>
      </c>
    </row>
    <row r="885" spans="1:11" ht="30">
      <c r="A885" s="1120">
        <v>879</v>
      </c>
      <c r="B885" s="1121" t="s">
        <v>10874</v>
      </c>
      <c r="C885" s="1122" t="s">
        <v>10875</v>
      </c>
      <c r="D885" s="1123" t="s">
        <v>10672</v>
      </c>
      <c r="E885" s="1124">
        <v>10500</v>
      </c>
      <c r="F885" s="1124">
        <v>17230660.899999999</v>
      </c>
      <c r="G885" s="1124">
        <v>0</v>
      </c>
      <c r="H885" s="1124" t="e">
        <v>#REF!</v>
      </c>
      <c r="I885" s="1124" t="e">
        <v>#REF!</v>
      </c>
      <c r="J885" s="1124" t="e">
        <v>#REF!</v>
      </c>
      <c r="K885" s="1124" t="e">
        <v>#REF!</v>
      </c>
    </row>
    <row r="886" spans="1:11" ht="30">
      <c r="A886" s="1120">
        <v>880</v>
      </c>
      <c r="B886" s="1121" t="s">
        <v>10876</v>
      </c>
      <c r="C886" s="1122" t="s">
        <v>10877</v>
      </c>
      <c r="D886" s="1123" t="s">
        <v>10672</v>
      </c>
      <c r="E886" s="1124">
        <v>10500</v>
      </c>
      <c r="F886" s="1124">
        <v>22397254.100000001</v>
      </c>
      <c r="G886" s="1124">
        <v>0</v>
      </c>
      <c r="H886" s="1124" t="e">
        <v>#REF!</v>
      </c>
      <c r="I886" s="1124" t="e">
        <v>#REF!</v>
      </c>
      <c r="J886" s="1124" t="e">
        <v>#REF!</v>
      </c>
      <c r="K886" s="1124" t="e">
        <v>#REF!</v>
      </c>
    </row>
    <row r="887" spans="1:11" ht="30">
      <c r="A887" s="1120">
        <v>881</v>
      </c>
      <c r="B887" s="1121" t="s">
        <v>10878</v>
      </c>
      <c r="C887" s="1122" t="s">
        <v>10879</v>
      </c>
      <c r="D887" s="1123" t="s">
        <v>10672</v>
      </c>
      <c r="E887" s="1124">
        <v>6000</v>
      </c>
      <c r="F887" s="1124">
        <v>3479128.9</v>
      </c>
      <c r="G887" s="1124">
        <v>0</v>
      </c>
      <c r="H887" s="1124" t="e">
        <v>#REF!</v>
      </c>
      <c r="I887" s="1124" t="e">
        <v>#REF!</v>
      </c>
      <c r="J887" s="1124" t="e">
        <v>#REF!</v>
      </c>
      <c r="K887" s="1124" t="e">
        <v>#REF!</v>
      </c>
    </row>
    <row r="888" spans="1:11" ht="30">
      <c r="A888" s="1120">
        <v>882</v>
      </c>
      <c r="B888" s="1121" t="s">
        <v>10880</v>
      </c>
      <c r="C888" s="1122" t="s">
        <v>10881</v>
      </c>
      <c r="D888" s="1123" t="s">
        <v>10672</v>
      </c>
      <c r="E888" s="1124">
        <v>6000</v>
      </c>
      <c r="F888" s="1124">
        <v>4277997.0999999996</v>
      </c>
      <c r="G888" s="1124">
        <v>0</v>
      </c>
      <c r="H888" s="1124" t="e">
        <v>#REF!</v>
      </c>
      <c r="I888" s="1124" t="e">
        <v>#REF!</v>
      </c>
      <c r="J888" s="1124" t="e">
        <v>#REF!</v>
      </c>
      <c r="K888" s="1124" t="e">
        <v>#REF!</v>
      </c>
    </row>
    <row r="889" spans="1:11" ht="30">
      <c r="A889" s="1120">
        <v>883</v>
      </c>
      <c r="B889" s="1121" t="s">
        <v>10882</v>
      </c>
      <c r="C889" s="1122" t="s">
        <v>10883</v>
      </c>
      <c r="D889" s="1123" t="s">
        <v>10672</v>
      </c>
      <c r="E889" s="1124">
        <v>6000</v>
      </c>
      <c r="F889" s="1124">
        <v>4810575.9000000004</v>
      </c>
      <c r="G889" s="1124">
        <v>0</v>
      </c>
      <c r="H889" s="1124" t="e">
        <v>#REF!</v>
      </c>
      <c r="I889" s="1124" t="e">
        <v>#REF!</v>
      </c>
      <c r="J889" s="1124" t="e">
        <v>#REF!</v>
      </c>
      <c r="K889" s="1124" t="e">
        <v>#REF!</v>
      </c>
    </row>
    <row r="890" spans="1:11" ht="30">
      <c r="A890" s="1120">
        <v>884</v>
      </c>
      <c r="B890" s="1121" t="s">
        <v>10884</v>
      </c>
      <c r="C890" s="1122" t="s">
        <v>10885</v>
      </c>
      <c r="D890" s="1123" t="s">
        <v>10672</v>
      </c>
      <c r="E890" s="1124">
        <v>7500</v>
      </c>
      <c r="F890" s="1124">
        <v>5389465.9000000004</v>
      </c>
      <c r="G890" s="1124">
        <v>0</v>
      </c>
      <c r="H890" s="1124" t="e">
        <v>#REF!</v>
      </c>
      <c r="I890" s="1124" t="e">
        <v>#REF!</v>
      </c>
      <c r="J890" s="1124" t="e">
        <v>#REF!</v>
      </c>
      <c r="K890" s="1124" t="e">
        <v>#REF!</v>
      </c>
    </row>
    <row r="891" spans="1:11" ht="30">
      <c r="A891" s="1120">
        <v>885</v>
      </c>
      <c r="B891" s="1121" t="s">
        <v>10886</v>
      </c>
      <c r="C891" s="1122" t="s">
        <v>10887</v>
      </c>
      <c r="D891" s="1123" t="s">
        <v>10672</v>
      </c>
      <c r="E891" s="1124">
        <v>7500</v>
      </c>
      <c r="F891" s="1124">
        <v>6466201.2999999998</v>
      </c>
      <c r="G891" s="1124">
        <v>0</v>
      </c>
      <c r="H891" s="1124" t="e">
        <v>#REF!</v>
      </c>
      <c r="I891" s="1124" t="e">
        <v>#REF!</v>
      </c>
      <c r="J891" s="1124" t="e">
        <v>#REF!</v>
      </c>
      <c r="K891" s="1124" t="e">
        <v>#REF!</v>
      </c>
    </row>
    <row r="892" spans="1:11" ht="30">
      <c r="A892" s="1120">
        <v>886</v>
      </c>
      <c r="B892" s="1121" t="s">
        <v>10888</v>
      </c>
      <c r="C892" s="1122" t="s">
        <v>10889</v>
      </c>
      <c r="D892" s="1123" t="s">
        <v>10672</v>
      </c>
      <c r="E892" s="1124">
        <v>6000</v>
      </c>
      <c r="F892" s="1124">
        <v>2454493.6</v>
      </c>
      <c r="G892" s="1124">
        <v>0</v>
      </c>
      <c r="H892" s="1124" t="e">
        <v>#REF!</v>
      </c>
      <c r="I892" s="1124" t="e">
        <v>#REF!</v>
      </c>
      <c r="J892" s="1124" t="e">
        <v>#REF!</v>
      </c>
      <c r="K892" s="1124" t="e">
        <v>#REF!</v>
      </c>
    </row>
    <row r="893" spans="1:11" ht="30">
      <c r="A893" s="1120">
        <v>887</v>
      </c>
      <c r="B893" s="1121" t="s">
        <v>10890</v>
      </c>
      <c r="C893" s="1122" t="s">
        <v>10891</v>
      </c>
      <c r="D893" s="1123" t="s">
        <v>10672</v>
      </c>
      <c r="E893" s="1124">
        <v>6000</v>
      </c>
      <c r="F893" s="1124">
        <v>3094167.1</v>
      </c>
      <c r="G893" s="1124">
        <v>0</v>
      </c>
      <c r="H893" s="1124" t="e">
        <v>#REF!</v>
      </c>
      <c r="I893" s="1124" t="e">
        <v>#REF!</v>
      </c>
      <c r="J893" s="1124" t="e">
        <v>#REF!</v>
      </c>
      <c r="K893" s="1124" t="e">
        <v>#REF!</v>
      </c>
    </row>
    <row r="894" spans="1:11" ht="30">
      <c r="A894" s="1120">
        <v>888</v>
      </c>
      <c r="B894" s="1121" t="s">
        <v>10892</v>
      </c>
      <c r="C894" s="1122" t="s">
        <v>10893</v>
      </c>
      <c r="D894" s="1123" t="s">
        <v>10672</v>
      </c>
      <c r="E894" s="1124">
        <v>6000</v>
      </c>
      <c r="F894" s="1124">
        <v>3392295.4</v>
      </c>
      <c r="G894" s="1124">
        <v>0</v>
      </c>
      <c r="H894" s="1124" t="e">
        <v>#REF!</v>
      </c>
      <c r="I894" s="1124" t="e">
        <v>#REF!</v>
      </c>
      <c r="J894" s="1124" t="e">
        <v>#REF!</v>
      </c>
      <c r="K894" s="1124" t="e">
        <v>#REF!</v>
      </c>
    </row>
    <row r="895" spans="1:11" ht="30">
      <c r="A895" s="1120">
        <v>889</v>
      </c>
      <c r="B895" s="1121" t="s">
        <v>10894</v>
      </c>
      <c r="C895" s="1122" t="s">
        <v>10895</v>
      </c>
      <c r="D895" s="1123" t="s">
        <v>10672</v>
      </c>
      <c r="E895" s="1124">
        <v>7500</v>
      </c>
      <c r="F895" s="1124">
        <v>4431403</v>
      </c>
      <c r="G895" s="1124">
        <v>0</v>
      </c>
      <c r="H895" s="1124" t="e">
        <v>#REF!</v>
      </c>
      <c r="I895" s="1124" t="e">
        <v>#REF!</v>
      </c>
      <c r="J895" s="1124" t="e">
        <v>#REF!</v>
      </c>
      <c r="K895" s="1124" t="e">
        <v>#REF!</v>
      </c>
    </row>
    <row r="896" spans="1:11" ht="30">
      <c r="A896" s="1120">
        <v>890</v>
      </c>
      <c r="B896" s="1121" t="s">
        <v>10896</v>
      </c>
      <c r="C896" s="1122" t="s">
        <v>10897</v>
      </c>
      <c r="D896" s="1123" t="s">
        <v>10672</v>
      </c>
      <c r="E896" s="1124">
        <v>7500</v>
      </c>
      <c r="F896" s="1124">
        <v>5968355.9000000004</v>
      </c>
      <c r="G896" s="1124">
        <v>0</v>
      </c>
      <c r="H896" s="1124" t="e">
        <v>#REF!</v>
      </c>
      <c r="I896" s="1124" t="e">
        <v>#REF!</v>
      </c>
      <c r="J896" s="1124" t="e">
        <v>#REF!</v>
      </c>
      <c r="K896" s="1124" t="e">
        <v>#REF!</v>
      </c>
    </row>
    <row r="897" spans="1:11" ht="30">
      <c r="A897" s="1120">
        <v>891</v>
      </c>
      <c r="B897" s="1121" t="s">
        <v>10898</v>
      </c>
      <c r="C897" s="1122" t="s">
        <v>10899</v>
      </c>
      <c r="D897" s="1123" t="s">
        <v>10672</v>
      </c>
      <c r="E897" s="1124">
        <v>7500</v>
      </c>
      <c r="F897" s="1124">
        <v>8136299</v>
      </c>
      <c r="G897" s="1124">
        <v>0</v>
      </c>
      <c r="H897" s="1124" t="e">
        <v>#REF!</v>
      </c>
      <c r="I897" s="1124" t="e">
        <v>#REF!</v>
      </c>
      <c r="J897" s="1124" t="e">
        <v>#REF!</v>
      </c>
      <c r="K897" s="1124" t="e">
        <v>#REF!</v>
      </c>
    </row>
    <row r="898" spans="1:11" ht="30">
      <c r="A898" s="1120">
        <v>892</v>
      </c>
      <c r="B898" s="1121" t="s">
        <v>10900</v>
      </c>
      <c r="C898" s="1122" t="s">
        <v>10901</v>
      </c>
      <c r="D898" s="1123" t="s">
        <v>10672</v>
      </c>
      <c r="E898" s="1124">
        <v>9000</v>
      </c>
      <c r="F898" s="1124">
        <v>9071206.3000000007</v>
      </c>
      <c r="G898" s="1124">
        <v>0</v>
      </c>
      <c r="H898" s="1124" t="e">
        <v>#REF!</v>
      </c>
      <c r="I898" s="1124" t="e">
        <v>#REF!</v>
      </c>
      <c r="J898" s="1124" t="e">
        <v>#REF!</v>
      </c>
      <c r="K898" s="1124" t="e">
        <v>#REF!</v>
      </c>
    </row>
    <row r="899" spans="1:11" ht="30">
      <c r="A899" s="1120">
        <v>893</v>
      </c>
      <c r="B899" s="1121" t="s">
        <v>10902</v>
      </c>
      <c r="C899" s="1122" t="s">
        <v>10903</v>
      </c>
      <c r="D899" s="1123" t="s">
        <v>10672</v>
      </c>
      <c r="E899" s="1124">
        <v>9000</v>
      </c>
      <c r="F899" s="1124">
        <v>11048115.699999999</v>
      </c>
      <c r="G899" s="1124">
        <v>0</v>
      </c>
      <c r="H899" s="1124" t="e">
        <v>#REF!</v>
      </c>
      <c r="I899" s="1124" t="e">
        <v>#REF!</v>
      </c>
      <c r="J899" s="1124" t="e">
        <v>#REF!</v>
      </c>
      <c r="K899" s="1124" t="e">
        <v>#REF!</v>
      </c>
    </row>
    <row r="900" spans="1:11" ht="30">
      <c r="A900" s="1120">
        <v>894</v>
      </c>
      <c r="B900" s="1121" t="s">
        <v>10904</v>
      </c>
      <c r="C900" s="1122" t="s">
        <v>10905</v>
      </c>
      <c r="D900" s="1123" t="s">
        <v>10672</v>
      </c>
      <c r="E900" s="1124">
        <v>9000</v>
      </c>
      <c r="F900" s="1124">
        <v>13042391.699999999</v>
      </c>
      <c r="G900" s="1124">
        <v>0</v>
      </c>
      <c r="H900" s="1124" t="e">
        <v>#REF!</v>
      </c>
      <c r="I900" s="1124" t="e">
        <v>#REF!</v>
      </c>
      <c r="J900" s="1124" t="e">
        <v>#REF!</v>
      </c>
      <c r="K900" s="1124" t="e">
        <v>#REF!</v>
      </c>
    </row>
    <row r="901" spans="1:11" ht="30">
      <c r="A901" s="1120">
        <v>895</v>
      </c>
      <c r="B901" s="1121" t="s">
        <v>10906</v>
      </c>
      <c r="C901" s="1122" t="s">
        <v>10907</v>
      </c>
      <c r="D901" s="1123" t="s">
        <v>10672</v>
      </c>
      <c r="E901" s="1124">
        <v>9000</v>
      </c>
      <c r="F901" s="1124">
        <v>14344894.199999999</v>
      </c>
      <c r="G901" s="1124">
        <v>0</v>
      </c>
      <c r="H901" s="1124" t="e">
        <v>#REF!</v>
      </c>
      <c r="I901" s="1124" t="e">
        <v>#REF!</v>
      </c>
      <c r="J901" s="1124" t="e">
        <v>#REF!</v>
      </c>
      <c r="K901" s="1124" t="e">
        <v>#REF!</v>
      </c>
    </row>
    <row r="902" spans="1:11" ht="45">
      <c r="A902" s="1120">
        <v>896</v>
      </c>
      <c r="B902" s="1121" t="s">
        <v>10908</v>
      </c>
      <c r="C902" s="1122" t="s">
        <v>10909</v>
      </c>
      <c r="D902" s="1123" t="s">
        <v>10672</v>
      </c>
      <c r="E902" s="1124">
        <v>16000</v>
      </c>
      <c r="F902" s="1124">
        <v>2030982.5</v>
      </c>
      <c r="G902" s="1124">
        <v>130670</v>
      </c>
      <c r="H902" s="1124" t="e">
        <v>#REF!</v>
      </c>
      <c r="I902" s="1124" t="e">
        <v>#REF!</v>
      </c>
      <c r="J902" s="1124" t="e">
        <v>#REF!</v>
      </c>
      <c r="K902" s="1124" t="e">
        <v>#REF!</v>
      </c>
    </row>
    <row r="903" spans="1:11" ht="45">
      <c r="A903" s="1120">
        <v>897</v>
      </c>
      <c r="B903" s="1121" t="s">
        <v>10910</v>
      </c>
      <c r="C903" s="1122" t="s">
        <v>10911</v>
      </c>
      <c r="D903" s="1123" t="s">
        <v>10672</v>
      </c>
      <c r="E903" s="1124">
        <v>24000</v>
      </c>
      <c r="F903" s="1124">
        <v>2758357.6</v>
      </c>
      <c r="G903" s="1124">
        <v>177868.3</v>
      </c>
      <c r="H903" s="1124" t="e">
        <v>#REF!</v>
      </c>
      <c r="I903" s="1124" t="e">
        <v>#REF!</v>
      </c>
      <c r="J903" s="1124" t="e">
        <v>#REF!</v>
      </c>
      <c r="K903" s="1124" t="e">
        <v>#REF!</v>
      </c>
    </row>
    <row r="904" spans="1:11" ht="45">
      <c r="A904" s="1120">
        <v>898</v>
      </c>
      <c r="B904" s="1121" t="s">
        <v>10912</v>
      </c>
      <c r="C904" s="1122" t="s">
        <v>10913</v>
      </c>
      <c r="D904" s="1123" t="s">
        <v>10672</v>
      </c>
      <c r="E904" s="1124">
        <v>24000</v>
      </c>
      <c r="F904" s="1124">
        <v>3775423.2</v>
      </c>
      <c r="G904" s="1124">
        <v>177868.3</v>
      </c>
      <c r="H904" s="1124" t="e">
        <v>#REF!</v>
      </c>
      <c r="I904" s="1124" t="e">
        <v>#REF!</v>
      </c>
      <c r="J904" s="1124" t="e">
        <v>#REF!</v>
      </c>
      <c r="K904" s="1124" t="e">
        <v>#REF!</v>
      </c>
    </row>
    <row r="905" spans="1:11" ht="45">
      <c r="A905" s="1120">
        <v>899</v>
      </c>
      <c r="B905" s="1121" t="s">
        <v>10914</v>
      </c>
      <c r="C905" s="1122" t="s">
        <v>10915</v>
      </c>
      <c r="D905" s="1123" t="s">
        <v>10672</v>
      </c>
      <c r="E905" s="1124">
        <v>32000</v>
      </c>
      <c r="F905" s="1124">
        <v>4285530.4000000004</v>
      </c>
      <c r="G905" s="1124">
        <v>228235.2</v>
      </c>
      <c r="H905" s="1124" t="e">
        <v>#REF!</v>
      </c>
      <c r="I905" s="1124" t="e">
        <v>#REF!</v>
      </c>
      <c r="J905" s="1124" t="e">
        <v>#REF!</v>
      </c>
      <c r="K905" s="1124" t="e">
        <v>#REF!</v>
      </c>
    </row>
    <row r="906" spans="1:11" ht="45">
      <c r="A906" s="1120">
        <v>900</v>
      </c>
      <c r="B906" s="1121" t="s">
        <v>10916</v>
      </c>
      <c r="C906" s="1122" t="s">
        <v>10917</v>
      </c>
      <c r="D906" s="1123" t="s">
        <v>10672</v>
      </c>
      <c r="E906" s="1124">
        <v>24000</v>
      </c>
      <c r="F906" s="1124">
        <v>4477607.8</v>
      </c>
      <c r="G906" s="1124">
        <v>178049.3</v>
      </c>
      <c r="H906" s="1124" t="e">
        <v>#REF!</v>
      </c>
      <c r="I906" s="1124" t="e">
        <v>#REF!</v>
      </c>
      <c r="J906" s="1124" t="e">
        <v>#REF!</v>
      </c>
      <c r="K906" s="1124" t="e">
        <v>#REF!</v>
      </c>
    </row>
    <row r="907" spans="1:11" ht="45">
      <c r="A907" s="1120">
        <v>901</v>
      </c>
      <c r="B907" s="1121" t="s">
        <v>10918</v>
      </c>
      <c r="C907" s="1122" t="s">
        <v>10919</v>
      </c>
      <c r="D907" s="1123" t="s">
        <v>10672</v>
      </c>
      <c r="E907" s="1124">
        <v>32000</v>
      </c>
      <c r="F907" s="1124">
        <v>5009756.7</v>
      </c>
      <c r="G907" s="1124">
        <v>232081</v>
      </c>
      <c r="H907" s="1124" t="e">
        <v>#REF!</v>
      </c>
      <c r="I907" s="1124" t="e">
        <v>#REF!</v>
      </c>
      <c r="J907" s="1124" t="e">
        <v>#REF!</v>
      </c>
      <c r="K907" s="1124" t="e">
        <v>#REF!</v>
      </c>
    </row>
    <row r="908" spans="1:11" ht="45">
      <c r="A908" s="1120">
        <v>902</v>
      </c>
      <c r="B908" s="1121" t="s">
        <v>10920</v>
      </c>
      <c r="C908" s="1122" t="s">
        <v>10921</v>
      </c>
      <c r="D908" s="1123" t="s">
        <v>10672</v>
      </c>
      <c r="E908" s="1124">
        <v>40000</v>
      </c>
      <c r="F908" s="1124">
        <v>5510417.5</v>
      </c>
      <c r="G908" s="1124">
        <v>291575.40000000002</v>
      </c>
      <c r="H908" s="1124" t="e">
        <v>#REF!</v>
      </c>
      <c r="I908" s="1124" t="e">
        <v>#REF!</v>
      </c>
      <c r="J908" s="1124" t="e">
        <v>#REF!</v>
      </c>
      <c r="K908" s="1124" t="e">
        <v>#REF!</v>
      </c>
    </row>
    <row r="909" spans="1:11" ht="45">
      <c r="A909" s="1120">
        <v>903</v>
      </c>
      <c r="B909" s="1121" t="s">
        <v>10922</v>
      </c>
      <c r="C909" s="1122" t="s">
        <v>10923</v>
      </c>
      <c r="D909" s="1123" t="s">
        <v>10672</v>
      </c>
      <c r="E909" s="1124">
        <v>48000</v>
      </c>
      <c r="F909" s="1124">
        <v>6946274.9000000004</v>
      </c>
      <c r="G909" s="1124">
        <v>378333.8</v>
      </c>
      <c r="H909" s="1124" t="e">
        <v>#REF!</v>
      </c>
      <c r="I909" s="1124" t="e">
        <v>#REF!</v>
      </c>
      <c r="J909" s="1124" t="e">
        <v>#REF!</v>
      </c>
      <c r="K909" s="1124" t="e">
        <v>#REF!</v>
      </c>
    </row>
    <row r="910" spans="1:11" ht="45">
      <c r="A910" s="1120">
        <v>904</v>
      </c>
      <c r="B910" s="1121" t="s">
        <v>10924</v>
      </c>
      <c r="C910" s="1122" t="s">
        <v>10925</v>
      </c>
      <c r="D910" s="1123" t="s">
        <v>10672</v>
      </c>
      <c r="E910" s="1124">
        <v>48000</v>
      </c>
      <c r="F910" s="1124">
        <v>9178781.1999999993</v>
      </c>
      <c r="G910" s="1124">
        <v>456894.9</v>
      </c>
      <c r="H910" s="1124" t="e">
        <v>#REF!</v>
      </c>
      <c r="I910" s="1124" t="e">
        <v>#REF!</v>
      </c>
      <c r="J910" s="1124" t="e">
        <v>#REF!</v>
      </c>
      <c r="K910" s="1124" t="e">
        <v>#REF!</v>
      </c>
    </row>
    <row r="911" spans="1:11" ht="45">
      <c r="A911" s="1120">
        <v>905</v>
      </c>
      <c r="B911" s="1121" t="s">
        <v>10926</v>
      </c>
      <c r="C911" s="1122" t="s">
        <v>10927</v>
      </c>
      <c r="D911" s="1123" t="s">
        <v>10672</v>
      </c>
      <c r="E911" s="1124">
        <v>56000</v>
      </c>
      <c r="F911" s="1124">
        <v>12122918.5</v>
      </c>
      <c r="G911" s="1124">
        <v>542723.1</v>
      </c>
      <c r="H911" s="1124" t="e">
        <v>#REF!</v>
      </c>
      <c r="I911" s="1124" t="e">
        <v>#REF!</v>
      </c>
      <c r="J911" s="1124" t="e">
        <v>#REF!</v>
      </c>
      <c r="K911" s="1124" t="e">
        <v>#REF!</v>
      </c>
    </row>
    <row r="912" spans="1:11" ht="45">
      <c r="A912" s="1120">
        <v>906</v>
      </c>
      <c r="B912" s="1121" t="s">
        <v>10928</v>
      </c>
      <c r="C912" s="1122" t="s">
        <v>10929</v>
      </c>
      <c r="D912" s="1123" t="s">
        <v>10672</v>
      </c>
      <c r="E912" s="1124">
        <v>16000</v>
      </c>
      <c r="F912" s="1124">
        <v>1927071.7</v>
      </c>
      <c r="G912" s="1124">
        <v>118870.39999999999</v>
      </c>
      <c r="H912" s="1124" t="e">
        <v>#REF!</v>
      </c>
      <c r="I912" s="1124" t="e">
        <v>#REF!</v>
      </c>
      <c r="J912" s="1124" t="e">
        <v>#REF!</v>
      </c>
      <c r="K912" s="1124" t="e">
        <v>#REF!</v>
      </c>
    </row>
    <row r="913" spans="1:11" ht="45">
      <c r="A913" s="1120">
        <v>907</v>
      </c>
      <c r="B913" s="1121" t="s">
        <v>10930</v>
      </c>
      <c r="C913" s="1122" t="s">
        <v>10931</v>
      </c>
      <c r="D913" s="1123" t="s">
        <v>10672</v>
      </c>
      <c r="E913" s="1124">
        <v>24000</v>
      </c>
      <c r="F913" s="1124">
        <v>2619809.9</v>
      </c>
      <c r="G913" s="1124">
        <v>162900.20000000001</v>
      </c>
      <c r="H913" s="1124" t="e">
        <v>#REF!</v>
      </c>
      <c r="I913" s="1124" t="e">
        <v>#REF!</v>
      </c>
      <c r="J913" s="1124" t="e">
        <v>#REF!</v>
      </c>
      <c r="K913" s="1124" t="e">
        <v>#REF!</v>
      </c>
    </row>
    <row r="914" spans="1:11" ht="45">
      <c r="A914" s="1120">
        <v>908</v>
      </c>
      <c r="B914" s="1121" t="s">
        <v>10932</v>
      </c>
      <c r="C914" s="1122" t="s">
        <v>10933</v>
      </c>
      <c r="D914" s="1123" t="s">
        <v>10672</v>
      </c>
      <c r="E914" s="1124">
        <v>24000</v>
      </c>
      <c r="F914" s="1124">
        <v>3589643.4</v>
      </c>
      <c r="G914" s="1124">
        <v>162900.20000000001</v>
      </c>
      <c r="H914" s="1124" t="e">
        <v>#REF!</v>
      </c>
      <c r="I914" s="1124" t="e">
        <v>#REF!</v>
      </c>
      <c r="J914" s="1124" t="e">
        <v>#REF!</v>
      </c>
      <c r="K914" s="1124" t="e">
        <v>#REF!</v>
      </c>
    </row>
    <row r="915" spans="1:11" ht="45">
      <c r="A915" s="1120">
        <v>909</v>
      </c>
      <c r="B915" s="1121" t="s">
        <v>10934</v>
      </c>
      <c r="C915" s="1122" t="s">
        <v>10935</v>
      </c>
      <c r="D915" s="1123" t="s">
        <v>10672</v>
      </c>
      <c r="E915" s="1124">
        <v>32000</v>
      </c>
      <c r="F915" s="1124">
        <v>4071411.3</v>
      </c>
      <c r="G915" s="1124">
        <v>204636</v>
      </c>
      <c r="H915" s="1124" t="e">
        <v>#REF!</v>
      </c>
      <c r="I915" s="1124" t="e">
        <v>#REF!</v>
      </c>
      <c r="J915" s="1124" t="e">
        <v>#REF!</v>
      </c>
      <c r="K915" s="1124" t="e">
        <v>#REF!</v>
      </c>
    </row>
    <row r="916" spans="1:11" ht="45">
      <c r="A916" s="1120">
        <v>910</v>
      </c>
      <c r="B916" s="1121" t="s">
        <v>10936</v>
      </c>
      <c r="C916" s="1122" t="s">
        <v>10937</v>
      </c>
      <c r="D916" s="1123" t="s">
        <v>10672</v>
      </c>
      <c r="E916" s="1124">
        <v>24000</v>
      </c>
      <c r="F916" s="1124">
        <v>4254042.3</v>
      </c>
      <c r="G916" s="1124">
        <v>162151</v>
      </c>
      <c r="H916" s="1124" t="e">
        <v>#REF!</v>
      </c>
      <c r="I916" s="1124" t="e">
        <v>#REF!</v>
      </c>
      <c r="J916" s="1124" t="e">
        <v>#REF!</v>
      </c>
      <c r="K916" s="1124" t="e">
        <v>#REF!</v>
      </c>
    </row>
    <row r="917" spans="1:11" ht="45">
      <c r="A917" s="1120">
        <v>911</v>
      </c>
      <c r="B917" s="1121" t="s">
        <v>10938</v>
      </c>
      <c r="C917" s="1122" t="s">
        <v>10939</v>
      </c>
      <c r="D917" s="1123" t="s">
        <v>10672</v>
      </c>
      <c r="E917" s="1124">
        <v>32000</v>
      </c>
      <c r="F917" s="1124">
        <v>4757851.9000000004</v>
      </c>
      <c r="G917" s="1124">
        <v>213014.3</v>
      </c>
      <c r="H917" s="1124" t="e">
        <v>#REF!</v>
      </c>
      <c r="I917" s="1124" t="e">
        <v>#REF!</v>
      </c>
      <c r="J917" s="1124" t="e">
        <v>#REF!</v>
      </c>
      <c r="K917" s="1124" t="e">
        <v>#REF!</v>
      </c>
    </row>
    <row r="918" spans="1:11" ht="45">
      <c r="A918" s="1120">
        <v>912</v>
      </c>
      <c r="B918" s="1121" t="s">
        <v>10940</v>
      </c>
      <c r="C918" s="1122" t="s">
        <v>10941</v>
      </c>
      <c r="D918" s="1123" t="s">
        <v>10672</v>
      </c>
      <c r="E918" s="1124">
        <v>40000</v>
      </c>
      <c r="F918" s="1124">
        <v>5236471</v>
      </c>
      <c r="G918" s="1124">
        <v>259778.9</v>
      </c>
      <c r="H918" s="1124" t="e">
        <v>#REF!</v>
      </c>
      <c r="I918" s="1124" t="e">
        <v>#REF!</v>
      </c>
      <c r="J918" s="1124" t="e">
        <v>#REF!</v>
      </c>
      <c r="K918" s="1124" t="e">
        <v>#REF!</v>
      </c>
    </row>
    <row r="919" spans="1:11" ht="45">
      <c r="A919" s="1120">
        <v>913</v>
      </c>
      <c r="B919" s="1121" t="s">
        <v>10942</v>
      </c>
      <c r="C919" s="1122" t="s">
        <v>10943</v>
      </c>
      <c r="D919" s="1123" t="s">
        <v>10672</v>
      </c>
      <c r="E919" s="1124">
        <v>48000</v>
      </c>
      <c r="F919" s="1124">
        <v>6599905.7999999998</v>
      </c>
      <c r="G919" s="1124">
        <v>343368.8</v>
      </c>
      <c r="H919" s="1124" t="e">
        <v>#REF!</v>
      </c>
      <c r="I919" s="1124" t="e">
        <v>#REF!</v>
      </c>
      <c r="J919" s="1124" t="e">
        <v>#REF!</v>
      </c>
      <c r="K919" s="1124" t="e">
        <v>#REF!</v>
      </c>
    </row>
    <row r="920" spans="1:11" ht="45">
      <c r="A920" s="1120">
        <v>914</v>
      </c>
      <c r="B920" s="1121" t="s">
        <v>10944</v>
      </c>
      <c r="C920" s="1122" t="s">
        <v>10945</v>
      </c>
      <c r="D920" s="1123" t="s">
        <v>10672</v>
      </c>
      <c r="E920" s="1124">
        <v>48000</v>
      </c>
      <c r="F920" s="1124">
        <v>8719054.9000000004</v>
      </c>
      <c r="G920" s="1124">
        <v>409200.2</v>
      </c>
      <c r="H920" s="1124" t="e">
        <v>#REF!</v>
      </c>
      <c r="I920" s="1124" t="e">
        <v>#REF!</v>
      </c>
      <c r="J920" s="1124" t="e">
        <v>#REF!</v>
      </c>
      <c r="K920" s="1124" t="e">
        <v>#REF!</v>
      </c>
    </row>
    <row r="921" spans="1:11" ht="45">
      <c r="A921" s="1120">
        <v>915</v>
      </c>
      <c r="B921" s="1121" t="s">
        <v>10946</v>
      </c>
      <c r="C921" s="1122" t="s">
        <v>10947</v>
      </c>
      <c r="D921" s="1123" t="s">
        <v>10672</v>
      </c>
      <c r="E921" s="1124">
        <v>56000</v>
      </c>
      <c r="F921" s="1124">
        <v>11518347</v>
      </c>
      <c r="G921" s="1124">
        <v>491859.9</v>
      </c>
      <c r="H921" s="1124" t="e">
        <v>#REF!</v>
      </c>
      <c r="I921" s="1124" t="e">
        <v>#REF!</v>
      </c>
      <c r="J921" s="1124" t="e">
        <v>#REF!</v>
      </c>
      <c r="K921" s="1124" t="e">
        <v>#REF!</v>
      </c>
    </row>
    <row r="922" spans="1:11" ht="45">
      <c r="A922" s="1120">
        <v>916</v>
      </c>
      <c r="B922" s="1121" t="s">
        <v>10948</v>
      </c>
      <c r="C922" s="1122" t="s">
        <v>10949</v>
      </c>
      <c r="D922" s="1123" t="s">
        <v>10672</v>
      </c>
      <c r="E922" s="1124">
        <v>16000</v>
      </c>
      <c r="F922" s="1124">
        <v>3107875.5</v>
      </c>
      <c r="G922" s="1124">
        <v>130670</v>
      </c>
      <c r="H922" s="1124" t="e">
        <v>#REF!</v>
      </c>
      <c r="I922" s="1124" t="e">
        <v>#REF!</v>
      </c>
      <c r="J922" s="1124" t="e">
        <v>#REF!</v>
      </c>
      <c r="K922" s="1124" t="e">
        <v>#REF!</v>
      </c>
    </row>
    <row r="923" spans="1:11" ht="45">
      <c r="A923" s="1120">
        <v>917</v>
      </c>
      <c r="B923" s="1121" t="s">
        <v>10950</v>
      </c>
      <c r="C923" s="1122" t="s">
        <v>10951</v>
      </c>
      <c r="D923" s="1123" t="s">
        <v>10672</v>
      </c>
      <c r="E923" s="1124">
        <v>24000</v>
      </c>
      <c r="F923" s="1124">
        <v>4219405.4000000004</v>
      </c>
      <c r="G923" s="1124">
        <v>177868.3</v>
      </c>
      <c r="H923" s="1124" t="e">
        <v>#REF!</v>
      </c>
      <c r="I923" s="1124" t="e">
        <v>#REF!</v>
      </c>
      <c r="J923" s="1124" t="e">
        <v>#REF!</v>
      </c>
      <c r="K923" s="1124" t="e">
        <v>#REF!</v>
      </c>
    </row>
    <row r="924" spans="1:11" ht="45">
      <c r="A924" s="1120">
        <v>918</v>
      </c>
      <c r="B924" s="1121" t="s">
        <v>10952</v>
      </c>
      <c r="C924" s="1122" t="s">
        <v>10953</v>
      </c>
      <c r="D924" s="1123" t="s">
        <v>10672</v>
      </c>
      <c r="E924" s="1124">
        <v>16000</v>
      </c>
      <c r="F924" s="1124">
        <v>2232506.2999999998</v>
      </c>
      <c r="G924" s="1124">
        <v>130670</v>
      </c>
      <c r="H924" s="1124" t="e">
        <v>#REF!</v>
      </c>
      <c r="I924" s="1124" t="e">
        <v>#REF!</v>
      </c>
      <c r="J924" s="1124" t="e">
        <v>#REF!</v>
      </c>
      <c r="K924" s="1124" t="e">
        <v>#REF!</v>
      </c>
    </row>
    <row r="925" spans="1:11" ht="45">
      <c r="A925" s="1120">
        <v>919</v>
      </c>
      <c r="B925" s="1121" t="s">
        <v>10954</v>
      </c>
      <c r="C925" s="1122" t="s">
        <v>10955</v>
      </c>
      <c r="D925" s="1123" t="s">
        <v>10672</v>
      </c>
      <c r="E925" s="1124">
        <v>24000</v>
      </c>
      <c r="F925" s="1124">
        <v>3035452.8</v>
      </c>
      <c r="G925" s="1124">
        <v>181036.79999999999</v>
      </c>
      <c r="H925" s="1124" t="e">
        <v>#REF!</v>
      </c>
      <c r="I925" s="1124" t="e">
        <v>#REF!</v>
      </c>
      <c r="J925" s="1124" t="e">
        <v>#REF!</v>
      </c>
      <c r="K925" s="1124" t="e">
        <v>#REF!</v>
      </c>
    </row>
    <row r="926" spans="1:11" ht="45">
      <c r="A926" s="1120">
        <v>920</v>
      </c>
      <c r="B926" s="1121" t="s">
        <v>10956</v>
      </c>
      <c r="C926" s="1122" t="s">
        <v>10957</v>
      </c>
      <c r="D926" s="1123" t="s">
        <v>10672</v>
      </c>
      <c r="E926" s="1124">
        <v>24000</v>
      </c>
      <c r="F926" s="1124">
        <v>4153280.4</v>
      </c>
      <c r="G926" s="1124">
        <v>181036.79999999999</v>
      </c>
      <c r="H926" s="1124" t="e">
        <v>#REF!</v>
      </c>
      <c r="I926" s="1124" t="e">
        <v>#REF!</v>
      </c>
      <c r="J926" s="1124" t="e">
        <v>#REF!</v>
      </c>
      <c r="K926" s="1124" t="e">
        <v>#REF!</v>
      </c>
    </row>
    <row r="927" spans="1:11" ht="45">
      <c r="A927" s="1120">
        <v>921</v>
      </c>
      <c r="B927" s="1121" t="s">
        <v>10958</v>
      </c>
      <c r="C927" s="1122" t="s">
        <v>10959</v>
      </c>
      <c r="D927" s="1123" t="s">
        <v>10672</v>
      </c>
      <c r="E927" s="1124">
        <v>32000</v>
      </c>
      <c r="F927" s="1124">
        <v>4713768.5999999996</v>
      </c>
      <c r="G927" s="1124">
        <v>240034.8</v>
      </c>
      <c r="H927" s="1124" t="e">
        <v>#REF!</v>
      </c>
      <c r="I927" s="1124" t="e">
        <v>#REF!</v>
      </c>
      <c r="J927" s="1124" t="e">
        <v>#REF!</v>
      </c>
      <c r="K927" s="1124" t="e">
        <v>#REF!</v>
      </c>
    </row>
    <row r="928" spans="1:11" ht="45">
      <c r="A928" s="1120">
        <v>922</v>
      </c>
      <c r="B928" s="1121" t="s">
        <v>10960</v>
      </c>
      <c r="C928" s="1122" t="s">
        <v>10961</v>
      </c>
      <c r="D928" s="1123" t="s">
        <v>10672</v>
      </c>
      <c r="E928" s="1124">
        <v>24000</v>
      </c>
      <c r="F928" s="1124">
        <v>4927887.7</v>
      </c>
      <c r="G928" s="1124">
        <v>184386.3</v>
      </c>
      <c r="H928" s="1124" t="e">
        <v>#REF!</v>
      </c>
      <c r="I928" s="1124" t="e">
        <v>#REF!</v>
      </c>
      <c r="J928" s="1124" t="e">
        <v>#REF!</v>
      </c>
      <c r="K928" s="1124" t="e">
        <v>#REF!</v>
      </c>
    </row>
    <row r="929" spans="1:11" ht="45">
      <c r="A929" s="1120">
        <v>923</v>
      </c>
      <c r="B929" s="1121" t="s">
        <v>10962</v>
      </c>
      <c r="C929" s="1122" t="s">
        <v>10963</v>
      </c>
      <c r="D929" s="1123" t="s">
        <v>10672</v>
      </c>
      <c r="E929" s="1124">
        <v>32000</v>
      </c>
      <c r="F929" s="1124">
        <v>5510417.5</v>
      </c>
      <c r="G929" s="1124">
        <v>243880.6</v>
      </c>
      <c r="H929" s="1124" t="e">
        <v>#REF!</v>
      </c>
      <c r="I929" s="1124" t="e">
        <v>#REF!</v>
      </c>
      <c r="J929" s="1124" t="e">
        <v>#REF!</v>
      </c>
      <c r="K929" s="1124" t="e">
        <v>#REF!</v>
      </c>
    </row>
    <row r="930" spans="1:11" s="1136" customFormat="1" ht="45">
      <c r="A930" s="1131">
        <v>924</v>
      </c>
      <c r="B930" s="1132" t="s">
        <v>10964</v>
      </c>
      <c r="C930" s="1133" t="s">
        <v>10965</v>
      </c>
      <c r="D930" s="1134" t="s">
        <v>10815</v>
      </c>
      <c r="E930" s="1135">
        <v>16000</v>
      </c>
      <c r="F930" s="1135">
        <v>3107875.5</v>
      </c>
      <c r="G930" s="1135">
        <v>125184.9</v>
      </c>
      <c r="H930" s="1135" t="e">
        <v>#REF!</v>
      </c>
      <c r="I930" s="1135" t="e">
        <v>#REF!</v>
      </c>
      <c r="J930" s="1135" t="e">
        <v>#REF!</v>
      </c>
      <c r="K930" s="1135" t="e">
        <v>#REF!</v>
      </c>
    </row>
    <row r="931" spans="1:11" s="1136" customFormat="1" ht="45">
      <c r="A931" s="1131">
        <v>925</v>
      </c>
      <c r="B931" s="1132" t="s">
        <v>10966</v>
      </c>
      <c r="C931" s="1133" t="s">
        <v>10967</v>
      </c>
      <c r="D931" s="1134" t="s">
        <v>10815</v>
      </c>
      <c r="E931" s="1135">
        <v>24000</v>
      </c>
      <c r="F931" s="1135">
        <v>3595941</v>
      </c>
      <c r="G931" s="1135">
        <v>170816</v>
      </c>
      <c r="H931" s="1135" t="e">
        <v>#REF!</v>
      </c>
      <c r="I931" s="1135" t="e">
        <v>#REF!</v>
      </c>
      <c r="J931" s="1135" t="e">
        <v>#REF!</v>
      </c>
      <c r="K931" s="1135" t="e">
        <v>#REF!</v>
      </c>
    </row>
    <row r="932" spans="1:11" s="1136" customFormat="1" ht="45">
      <c r="A932" s="1131">
        <v>926</v>
      </c>
      <c r="B932" s="1132" t="s">
        <v>10968</v>
      </c>
      <c r="C932" s="1133" t="s">
        <v>10969</v>
      </c>
      <c r="D932" s="1134" t="s">
        <v>10815</v>
      </c>
      <c r="E932" s="1135">
        <v>24000</v>
      </c>
      <c r="F932" s="1135">
        <v>4162726.8</v>
      </c>
      <c r="G932" s="1135">
        <v>170816</v>
      </c>
      <c r="H932" s="1135" t="e">
        <v>#REF!</v>
      </c>
      <c r="I932" s="1135" t="e">
        <v>#REF!</v>
      </c>
      <c r="J932" s="1135" t="e">
        <v>#REF!</v>
      </c>
      <c r="K932" s="1135" t="e">
        <v>#REF!</v>
      </c>
    </row>
    <row r="933" spans="1:11" s="1136" customFormat="1" ht="45">
      <c r="A933" s="1131">
        <v>927</v>
      </c>
      <c r="B933" s="1132" t="s">
        <v>10970</v>
      </c>
      <c r="C933" s="1133" t="s">
        <v>10971</v>
      </c>
      <c r="D933" s="1134" t="s">
        <v>10815</v>
      </c>
      <c r="E933" s="1135">
        <v>32000</v>
      </c>
      <c r="F933" s="1135">
        <v>4817679.3</v>
      </c>
      <c r="G933" s="1135">
        <v>187777.3</v>
      </c>
      <c r="H933" s="1135" t="e">
        <v>#REF!</v>
      </c>
      <c r="I933" s="1135" t="e">
        <v>#REF!</v>
      </c>
      <c r="J933" s="1135" t="e">
        <v>#REF!</v>
      </c>
      <c r="K933" s="1135" t="e">
        <v>#REF!</v>
      </c>
    </row>
    <row r="934" spans="1:11" s="1136" customFormat="1" ht="30">
      <c r="A934" s="1131">
        <v>928</v>
      </c>
      <c r="B934" s="1132" t="s">
        <v>10972</v>
      </c>
      <c r="C934" s="1133" t="s">
        <v>10973</v>
      </c>
      <c r="D934" s="1134" t="s">
        <v>10974</v>
      </c>
      <c r="E934" s="1135">
        <v>7226.5</v>
      </c>
      <c r="F934" s="1135">
        <v>5516821.7000000002</v>
      </c>
      <c r="G934" s="1135">
        <v>0</v>
      </c>
      <c r="H934" s="1135" t="e">
        <v>#REF!</v>
      </c>
      <c r="I934" s="1135" t="e">
        <v>#REF!</v>
      </c>
      <c r="J934" s="1135" t="e">
        <v>#REF!</v>
      </c>
      <c r="K934" s="1135" t="e">
        <v>#REF!</v>
      </c>
    </row>
    <row r="935" spans="1:11" s="1136" customFormat="1" ht="30">
      <c r="A935" s="1131">
        <v>929</v>
      </c>
      <c r="B935" s="1132" t="s">
        <v>10975</v>
      </c>
      <c r="C935" s="1133" t="s">
        <v>10976</v>
      </c>
      <c r="D935" s="1134" t="s">
        <v>10974</v>
      </c>
      <c r="E935" s="1135">
        <v>7226.5</v>
      </c>
      <c r="F935" s="1135">
        <v>7502414.4000000004</v>
      </c>
      <c r="G935" s="1135">
        <v>0</v>
      </c>
      <c r="H935" s="1135" t="e">
        <v>#REF!</v>
      </c>
      <c r="I935" s="1135" t="e">
        <v>#REF!</v>
      </c>
      <c r="J935" s="1135" t="e">
        <v>#REF!</v>
      </c>
      <c r="K935" s="1135" t="e">
        <v>#REF!</v>
      </c>
    </row>
    <row r="936" spans="1:11" s="1136" customFormat="1" ht="30">
      <c r="A936" s="1131">
        <v>930</v>
      </c>
      <c r="B936" s="1132" t="s">
        <v>10977</v>
      </c>
      <c r="C936" s="1133" t="s">
        <v>10978</v>
      </c>
      <c r="D936" s="1134" t="s">
        <v>10974</v>
      </c>
      <c r="E936" s="1135">
        <v>7226.5</v>
      </c>
      <c r="F936" s="1135">
        <v>8428638.4000000004</v>
      </c>
      <c r="G936" s="1135">
        <v>0</v>
      </c>
      <c r="H936" s="1135" t="e">
        <v>#REF!</v>
      </c>
      <c r="I936" s="1135" t="e">
        <v>#REF!</v>
      </c>
      <c r="J936" s="1135" t="e">
        <v>#REF!</v>
      </c>
      <c r="K936" s="1135" t="e">
        <v>#REF!</v>
      </c>
    </row>
    <row r="937" spans="1:11" s="1136" customFormat="1" ht="30">
      <c r="A937" s="1131">
        <v>931</v>
      </c>
      <c r="B937" s="1132" t="s">
        <v>10979</v>
      </c>
      <c r="C937" s="1133" t="s">
        <v>10980</v>
      </c>
      <c r="D937" s="1134" t="s">
        <v>10974</v>
      </c>
      <c r="E937" s="1135">
        <v>8017.3</v>
      </c>
      <c r="F937" s="1135">
        <v>10202936.300000001</v>
      </c>
      <c r="G937" s="1135">
        <v>0</v>
      </c>
      <c r="H937" s="1135" t="e">
        <v>#REF!</v>
      </c>
      <c r="I937" s="1135" t="e">
        <v>#REF!</v>
      </c>
      <c r="J937" s="1135" t="e">
        <v>#REF!</v>
      </c>
      <c r="K937" s="1135" t="e">
        <v>#REF!</v>
      </c>
    </row>
    <row r="938" spans="1:11" s="1136" customFormat="1" ht="30">
      <c r="A938" s="1131">
        <v>932</v>
      </c>
      <c r="B938" s="1132" t="s">
        <v>10981</v>
      </c>
      <c r="C938" s="1133" t="s">
        <v>10982</v>
      </c>
      <c r="D938" s="1134" t="s">
        <v>10974</v>
      </c>
      <c r="E938" s="1135">
        <v>8267.2999999999993</v>
      </c>
      <c r="F938" s="1135">
        <v>12040912</v>
      </c>
      <c r="G938" s="1135">
        <v>0</v>
      </c>
      <c r="H938" s="1135" t="e">
        <v>#REF!</v>
      </c>
      <c r="I938" s="1135" t="e">
        <v>#REF!</v>
      </c>
      <c r="J938" s="1135" t="e">
        <v>#REF!</v>
      </c>
      <c r="K938" s="1135" t="e">
        <v>#REF!</v>
      </c>
    </row>
    <row r="939" spans="1:11" s="1136" customFormat="1" ht="30">
      <c r="A939" s="1131">
        <v>933</v>
      </c>
      <c r="B939" s="1132" t="s">
        <v>10983</v>
      </c>
      <c r="C939" s="1133" t="s">
        <v>10984</v>
      </c>
      <c r="D939" s="1134" t="s">
        <v>10974</v>
      </c>
      <c r="E939" s="1135">
        <v>9058.2000000000007</v>
      </c>
      <c r="F939" s="1135">
        <v>16799387.800000001</v>
      </c>
      <c r="G939" s="1135">
        <v>0</v>
      </c>
      <c r="H939" s="1135" t="e">
        <v>#REF!</v>
      </c>
      <c r="I939" s="1135" t="e">
        <v>#REF!</v>
      </c>
      <c r="J939" s="1135" t="e">
        <v>#REF!</v>
      </c>
      <c r="K939" s="1135" t="e">
        <v>#REF!</v>
      </c>
    </row>
    <row r="940" spans="1:11" s="1136" customFormat="1" ht="30">
      <c r="A940" s="1131">
        <v>934</v>
      </c>
      <c r="B940" s="1132" t="s">
        <v>10985</v>
      </c>
      <c r="C940" s="1133" t="s">
        <v>10986</v>
      </c>
      <c r="D940" s="1134" t="s">
        <v>10974</v>
      </c>
      <c r="E940" s="1135">
        <v>9058.2000000000007</v>
      </c>
      <c r="F940" s="1135">
        <v>22029659</v>
      </c>
      <c r="G940" s="1135">
        <v>0</v>
      </c>
      <c r="H940" s="1135" t="e">
        <v>#REF!</v>
      </c>
      <c r="I940" s="1135" t="e">
        <v>#REF!</v>
      </c>
      <c r="J940" s="1135" t="e">
        <v>#REF!</v>
      </c>
      <c r="K940" s="1135" t="e">
        <v>#REF!</v>
      </c>
    </row>
    <row r="941" spans="1:11" s="1136" customFormat="1" ht="30">
      <c r="A941" s="1131">
        <v>935</v>
      </c>
      <c r="B941" s="1132" t="s">
        <v>10987</v>
      </c>
      <c r="C941" s="1133" t="s">
        <v>10988</v>
      </c>
      <c r="D941" s="1134" t="s">
        <v>10974</v>
      </c>
      <c r="E941" s="1135">
        <v>9058.2000000000007</v>
      </c>
      <c r="F941" s="1135">
        <v>26455273</v>
      </c>
      <c r="G941" s="1135">
        <v>0</v>
      </c>
      <c r="H941" s="1135" t="e">
        <v>#REF!</v>
      </c>
      <c r="I941" s="1135" t="e">
        <v>#REF!</v>
      </c>
      <c r="J941" s="1135" t="e">
        <v>#REF!</v>
      </c>
      <c r="K941" s="1135" t="e">
        <v>#REF!</v>
      </c>
    </row>
    <row r="942" spans="1:11" s="1136" customFormat="1" ht="30">
      <c r="A942" s="1131">
        <v>936</v>
      </c>
      <c r="B942" s="1132" t="s">
        <v>10989</v>
      </c>
      <c r="C942" s="1133" t="s">
        <v>10990</v>
      </c>
      <c r="D942" s="1134" t="s">
        <v>49</v>
      </c>
      <c r="E942" s="1135">
        <v>1512.5</v>
      </c>
      <c r="F942" s="1135">
        <v>11577.8</v>
      </c>
      <c r="G942" s="1135">
        <v>0</v>
      </c>
      <c r="H942" s="1135" t="e">
        <v>#REF!</v>
      </c>
      <c r="I942" s="1135" t="e">
        <v>#REF!</v>
      </c>
      <c r="J942" s="1135" t="e">
        <v>#REF!</v>
      </c>
      <c r="K942" s="1135" t="e">
        <v>#REF!</v>
      </c>
    </row>
    <row r="943" spans="1:11" s="1136" customFormat="1" ht="30">
      <c r="A943" s="1131">
        <v>937</v>
      </c>
      <c r="B943" s="1132" t="s">
        <v>10991</v>
      </c>
      <c r="C943" s="1133" t="s">
        <v>10992</v>
      </c>
      <c r="D943" s="1134" t="s">
        <v>49</v>
      </c>
      <c r="E943" s="1135">
        <v>1512.5</v>
      </c>
      <c r="F943" s="1135">
        <v>23155.599999999999</v>
      </c>
      <c r="G943" s="1135">
        <v>0</v>
      </c>
      <c r="H943" s="1135" t="e">
        <v>#REF!</v>
      </c>
      <c r="I943" s="1135" t="e">
        <v>#REF!</v>
      </c>
      <c r="J943" s="1135" t="e">
        <v>#REF!</v>
      </c>
      <c r="K943" s="1135" t="e">
        <v>#REF!</v>
      </c>
    </row>
    <row r="944" spans="1:11" s="1136" customFormat="1" ht="30">
      <c r="A944" s="1131">
        <v>938</v>
      </c>
      <c r="B944" s="1132" t="s">
        <v>10993</v>
      </c>
      <c r="C944" s="1133" t="s">
        <v>10994</v>
      </c>
      <c r="D944" s="1134" t="s">
        <v>49</v>
      </c>
      <c r="E944" s="1135">
        <v>1611.5</v>
      </c>
      <c r="F944" s="1135">
        <v>34733.4</v>
      </c>
      <c r="G944" s="1135">
        <v>0</v>
      </c>
      <c r="H944" s="1135" t="e">
        <v>#REF!</v>
      </c>
      <c r="I944" s="1135" t="e">
        <v>#REF!</v>
      </c>
      <c r="J944" s="1135" t="e">
        <v>#REF!</v>
      </c>
      <c r="K944" s="1135" t="e">
        <v>#REF!</v>
      </c>
    </row>
    <row r="945" spans="1:11" s="1136" customFormat="1" ht="30">
      <c r="A945" s="1131">
        <v>939</v>
      </c>
      <c r="B945" s="1132" t="s">
        <v>10995</v>
      </c>
      <c r="C945" s="1133" t="s">
        <v>10996</v>
      </c>
      <c r="D945" s="1134" t="s">
        <v>49</v>
      </c>
      <c r="E945" s="1135">
        <v>1677.5</v>
      </c>
      <c r="F945" s="1135">
        <v>57889</v>
      </c>
      <c r="G945" s="1135">
        <v>0</v>
      </c>
      <c r="H945" s="1135" t="e">
        <v>#REF!</v>
      </c>
      <c r="I945" s="1135" t="e">
        <v>#REF!</v>
      </c>
      <c r="J945" s="1135" t="e">
        <v>#REF!</v>
      </c>
      <c r="K945" s="1135" t="e">
        <v>#REF!</v>
      </c>
    </row>
    <row r="946" spans="1:11" s="1136" customFormat="1" ht="30">
      <c r="A946" s="1131">
        <v>940</v>
      </c>
      <c r="B946" s="1132" t="s">
        <v>10997</v>
      </c>
      <c r="C946" s="1133" t="s">
        <v>10998</v>
      </c>
      <c r="D946" s="1134" t="s">
        <v>49</v>
      </c>
      <c r="E946" s="1135">
        <v>1842.5</v>
      </c>
      <c r="F946" s="1135">
        <v>98411.3</v>
      </c>
      <c r="G946" s="1135">
        <v>0</v>
      </c>
      <c r="H946" s="1135" t="e">
        <v>#REF!</v>
      </c>
      <c r="I946" s="1135" t="e">
        <v>#REF!</v>
      </c>
      <c r="J946" s="1135" t="e">
        <v>#REF!</v>
      </c>
      <c r="K946" s="1135" t="e">
        <v>#REF!</v>
      </c>
    </row>
    <row r="947" spans="1:11" s="1136" customFormat="1" ht="30">
      <c r="A947" s="1131">
        <v>941</v>
      </c>
      <c r="B947" s="1132" t="s">
        <v>10999</v>
      </c>
      <c r="C947" s="1133" t="s">
        <v>11000</v>
      </c>
      <c r="D947" s="1134" t="s">
        <v>49</v>
      </c>
      <c r="E947" s="1135">
        <v>2007.5</v>
      </c>
      <c r="F947" s="1135">
        <v>112883.6</v>
      </c>
      <c r="G947" s="1135">
        <v>0</v>
      </c>
      <c r="H947" s="1135" t="e">
        <v>#REF!</v>
      </c>
      <c r="I947" s="1135" t="e">
        <v>#REF!</v>
      </c>
      <c r="J947" s="1135" t="e">
        <v>#REF!</v>
      </c>
      <c r="K947" s="1135" t="e">
        <v>#REF!</v>
      </c>
    </row>
    <row r="948" spans="1:11" s="1136" customFormat="1" ht="30">
      <c r="A948" s="1131">
        <v>942</v>
      </c>
      <c r="B948" s="1132" t="s">
        <v>11001</v>
      </c>
      <c r="C948" s="1133" t="s">
        <v>11002</v>
      </c>
      <c r="D948" s="1134" t="s">
        <v>49</v>
      </c>
      <c r="E948" s="1135">
        <v>1512.5</v>
      </c>
      <c r="F948" s="1135">
        <v>20261.2</v>
      </c>
      <c r="G948" s="1135">
        <v>0</v>
      </c>
      <c r="H948" s="1135" t="e">
        <v>#REF!</v>
      </c>
      <c r="I948" s="1135" t="e">
        <v>#REF!</v>
      </c>
      <c r="J948" s="1135" t="e">
        <v>#REF!</v>
      </c>
      <c r="K948" s="1135" t="e">
        <v>#REF!</v>
      </c>
    </row>
    <row r="949" spans="1:11" s="1136" customFormat="1" ht="30">
      <c r="A949" s="1131">
        <v>943</v>
      </c>
      <c r="B949" s="1132" t="s">
        <v>11003</v>
      </c>
      <c r="C949" s="1133" t="s">
        <v>11004</v>
      </c>
      <c r="D949" s="1134" t="s">
        <v>49</v>
      </c>
      <c r="E949" s="1135">
        <v>1512.5</v>
      </c>
      <c r="F949" s="1135">
        <v>37627.9</v>
      </c>
      <c r="G949" s="1135">
        <v>0</v>
      </c>
      <c r="H949" s="1135" t="e">
        <v>#REF!</v>
      </c>
      <c r="I949" s="1135" t="e">
        <v>#REF!</v>
      </c>
      <c r="J949" s="1135" t="e">
        <v>#REF!</v>
      </c>
      <c r="K949" s="1135" t="e">
        <v>#REF!</v>
      </c>
    </row>
    <row r="950" spans="1:11" s="1136" customFormat="1" ht="30">
      <c r="A950" s="1131">
        <v>944</v>
      </c>
      <c r="B950" s="1132" t="s">
        <v>11005</v>
      </c>
      <c r="C950" s="1133" t="s">
        <v>11006</v>
      </c>
      <c r="D950" s="1134" t="s">
        <v>49</v>
      </c>
      <c r="E950" s="1135">
        <v>1611.5</v>
      </c>
      <c r="F950" s="1135">
        <v>46311.199999999997</v>
      </c>
      <c r="G950" s="1135">
        <v>0</v>
      </c>
      <c r="H950" s="1135" t="e">
        <v>#REF!</v>
      </c>
      <c r="I950" s="1135" t="e">
        <v>#REF!</v>
      </c>
      <c r="J950" s="1135" t="e">
        <v>#REF!</v>
      </c>
      <c r="K950" s="1135" t="e">
        <v>#REF!</v>
      </c>
    </row>
    <row r="951" spans="1:11" s="1136" customFormat="1" ht="30">
      <c r="A951" s="1131">
        <v>945</v>
      </c>
      <c r="B951" s="1132" t="s">
        <v>11007</v>
      </c>
      <c r="C951" s="1133" t="s">
        <v>11008</v>
      </c>
      <c r="D951" s="1134" t="s">
        <v>49</v>
      </c>
      <c r="E951" s="1135">
        <v>1677.5</v>
      </c>
      <c r="F951" s="1135">
        <v>69466.8</v>
      </c>
      <c r="G951" s="1135">
        <v>0</v>
      </c>
      <c r="H951" s="1135" t="e">
        <v>#REF!</v>
      </c>
      <c r="I951" s="1135" t="e">
        <v>#REF!</v>
      </c>
      <c r="J951" s="1135" t="e">
        <v>#REF!</v>
      </c>
      <c r="K951" s="1135" t="e">
        <v>#REF!</v>
      </c>
    </row>
    <row r="952" spans="1:11" s="1136" customFormat="1" ht="30">
      <c r="A952" s="1131">
        <v>946</v>
      </c>
      <c r="B952" s="1132" t="s">
        <v>11009</v>
      </c>
      <c r="C952" s="1133" t="s">
        <v>11010</v>
      </c>
      <c r="D952" s="1134" t="s">
        <v>49</v>
      </c>
      <c r="E952" s="1135">
        <v>1842.5</v>
      </c>
      <c r="F952" s="1135">
        <v>118672.5</v>
      </c>
      <c r="G952" s="1135">
        <v>0</v>
      </c>
      <c r="H952" s="1135" t="e">
        <v>#REF!</v>
      </c>
      <c r="I952" s="1135" t="e">
        <v>#REF!</v>
      </c>
      <c r="J952" s="1135" t="e">
        <v>#REF!</v>
      </c>
      <c r="K952" s="1135" t="e">
        <v>#REF!</v>
      </c>
    </row>
    <row r="953" spans="1:11" s="1136" customFormat="1" ht="30">
      <c r="A953" s="1131">
        <v>947</v>
      </c>
      <c r="B953" s="1132" t="s">
        <v>11011</v>
      </c>
      <c r="C953" s="1133" t="s">
        <v>11012</v>
      </c>
      <c r="D953" s="1134" t="s">
        <v>49</v>
      </c>
      <c r="E953" s="1135">
        <v>2007.5</v>
      </c>
      <c r="F953" s="1135">
        <v>133144.70000000001</v>
      </c>
      <c r="G953" s="1135">
        <v>0</v>
      </c>
      <c r="H953" s="1135" t="e">
        <v>#REF!</v>
      </c>
      <c r="I953" s="1135" t="e">
        <v>#REF!</v>
      </c>
      <c r="J953" s="1135" t="e">
        <v>#REF!</v>
      </c>
      <c r="K953" s="1135" t="e">
        <v>#REF!</v>
      </c>
    </row>
    <row r="954" spans="1:11" s="1136" customFormat="1" ht="45">
      <c r="A954" s="1131">
        <v>948</v>
      </c>
      <c r="B954" s="1132" t="s">
        <v>11013</v>
      </c>
      <c r="C954" s="1133" t="s">
        <v>11014</v>
      </c>
      <c r="D954" s="1134" t="s">
        <v>11015</v>
      </c>
      <c r="E954" s="1135">
        <v>9954</v>
      </c>
      <c r="F954" s="1135">
        <v>214119.1</v>
      </c>
      <c r="G954" s="1135">
        <v>0</v>
      </c>
      <c r="H954" s="1135" t="e">
        <v>#REF!</v>
      </c>
      <c r="I954" s="1135" t="e">
        <v>#REF!</v>
      </c>
      <c r="J954" s="1135" t="e">
        <v>#REF!</v>
      </c>
      <c r="K954" s="1135" t="e">
        <v>#REF!</v>
      </c>
    </row>
    <row r="955" spans="1:11" s="1136" customFormat="1" ht="45">
      <c r="A955" s="1131">
        <v>949</v>
      </c>
      <c r="B955" s="1132" t="s">
        <v>11016</v>
      </c>
      <c r="C955" s="1133" t="s">
        <v>11017</v>
      </c>
      <c r="D955" s="1134" t="s">
        <v>11015</v>
      </c>
      <c r="E955" s="1135">
        <v>9954</v>
      </c>
      <c r="F955" s="1135">
        <v>245607.2</v>
      </c>
      <c r="G955" s="1135">
        <v>0</v>
      </c>
      <c r="H955" s="1135" t="e">
        <v>#REF!</v>
      </c>
      <c r="I955" s="1135" t="e">
        <v>#REF!</v>
      </c>
      <c r="J955" s="1135" t="e">
        <v>#REF!</v>
      </c>
      <c r="K955" s="1135" t="e">
        <v>#REF!</v>
      </c>
    </row>
    <row r="956" spans="1:11" s="1136" customFormat="1" ht="45">
      <c r="A956" s="1131">
        <v>950</v>
      </c>
      <c r="B956" s="1132" t="s">
        <v>11018</v>
      </c>
      <c r="C956" s="1133" t="s">
        <v>11019</v>
      </c>
      <c r="D956" s="1134" t="s">
        <v>11015</v>
      </c>
      <c r="E956" s="1135">
        <v>10080</v>
      </c>
      <c r="F956" s="1135">
        <v>280244.09999999998</v>
      </c>
      <c r="G956" s="1135">
        <v>0</v>
      </c>
      <c r="H956" s="1135" t="e">
        <v>#REF!</v>
      </c>
      <c r="I956" s="1135" t="e">
        <v>#REF!</v>
      </c>
      <c r="J956" s="1135" t="e">
        <v>#REF!</v>
      </c>
      <c r="K956" s="1135" t="e">
        <v>#REF!</v>
      </c>
    </row>
    <row r="957" spans="1:11" s="1136" customFormat="1" ht="45">
      <c r="A957" s="1131">
        <v>951</v>
      </c>
      <c r="B957" s="1132" t="s">
        <v>11020</v>
      </c>
      <c r="C957" s="1133" t="s">
        <v>11021</v>
      </c>
      <c r="D957" s="1134" t="s">
        <v>11015</v>
      </c>
      <c r="E957" s="1135">
        <v>13230</v>
      </c>
      <c r="F957" s="1135">
        <v>308583.40000000002</v>
      </c>
      <c r="G957" s="1135">
        <v>0</v>
      </c>
      <c r="H957" s="1135" t="e">
        <v>#REF!</v>
      </c>
      <c r="I957" s="1135" t="e">
        <v>#REF!</v>
      </c>
      <c r="J957" s="1135" t="e">
        <v>#REF!</v>
      </c>
      <c r="K957" s="1135" t="e">
        <v>#REF!</v>
      </c>
    </row>
    <row r="958" spans="1:11" s="1136" customFormat="1" ht="45">
      <c r="A958" s="1131">
        <v>952</v>
      </c>
      <c r="B958" s="1132" t="s">
        <v>11022</v>
      </c>
      <c r="C958" s="1133" t="s">
        <v>11023</v>
      </c>
      <c r="D958" s="1134" t="s">
        <v>11015</v>
      </c>
      <c r="E958" s="1135">
        <v>13356</v>
      </c>
      <c r="F958" s="1135">
        <v>346369.1</v>
      </c>
      <c r="G958" s="1135">
        <v>0</v>
      </c>
      <c r="H958" s="1135" t="e">
        <v>#REF!</v>
      </c>
      <c r="I958" s="1135" t="e">
        <v>#REF!</v>
      </c>
      <c r="J958" s="1135" t="e">
        <v>#REF!</v>
      </c>
      <c r="K958" s="1135" t="e">
        <v>#REF!</v>
      </c>
    </row>
    <row r="959" spans="1:11" s="1136" customFormat="1" ht="45">
      <c r="A959" s="1131">
        <v>953</v>
      </c>
      <c r="B959" s="1132" t="s">
        <v>11024</v>
      </c>
      <c r="C959" s="1133" t="s">
        <v>11025</v>
      </c>
      <c r="D959" s="1134" t="s">
        <v>11015</v>
      </c>
      <c r="E959" s="1135">
        <v>13356</v>
      </c>
      <c r="F959" s="1135">
        <v>390452.4</v>
      </c>
      <c r="G959" s="1135">
        <v>0</v>
      </c>
      <c r="H959" s="1135" t="e">
        <v>#REF!</v>
      </c>
      <c r="I959" s="1135" t="e">
        <v>#REF!</v>
      </c>
      <c r="J959" s="1135" t="e">
        <v>#REF!</v>
      </c>
      <c r="K959" s="1135" t="e">
        <v>#REF!</v>
      </c>
    </row>
    <row r="960" spans="1:11" s="1136" customFormat="1" ht="45">
      <c r="A960" s="1131">
        <v>954</v>
      </c>
      <c r="B960" s="1132" t="s">
        <v>11026</v>
      </c>
      <c r="C960" s="1133" t="s">
        <v>11027</v>
      </c>
      <c r="D960" s="1134" t="s">
        <v>11015</v>
      </c>
      <c r="E960" s="1135">
        <v>16663.5</v>
      </c>
      <c r="F960" s="1135">
        <v>469172.7</v>
      </c>
      <c r="G960" s="1135">
        <v>0</v>
      </c>
      <c r="H960" s="1135" t="e">
        <v>#REF!</v>
      </c>
      <c r="I960" s="1135" t="e">
        <v>#REF!</v>
      </c>
      <c r="J960" s="1135" t="e">
        <v>#REF!</v>
      </c>
      <c r="K960" s="1135" t="e">
        <v>#REF!</v>
      </c>
    </row>
    <row r="961" spans="1:11" s="1136" customFormat="1" ht="45">
      <c r="A961" s="1131">
        <v>955</v>
      </c>
      <c r="B961" s="1132" t="s">
        <v>11028</v>
      </c>
      <c r="C961" s="1133" t="s">
        <v>11029</v>
      </c>
      <c r="D961" s="1134" t="s">
        <v>11015</v>
      </c>
      <c r="E961" s="1135">
        <v>189143.3</v>
      </c>
      <c r="F961" s="1135">
        <v>387303.6</v>
      </c>
      <c r="G961" s="1135">
        <v>0</v>
      </c>
      <c r="H961" s="1135" t="e">
        <v>#REF!</v>
      </c>
      <c r="I961" s="1135" t="e">
        <v>#REF!</v>
      </c>
      <c r="J961" s="1135" t="e">
        <v>#REF!</v>
      </c>
      <c r="K961" s="1135" t="e">
        <v>#REF!</v>
      </c>
    </row>
    <row r="962" spans="1:11" s="1136" customFormat="1" ht="45">
      <c r="A962" s="1131">
        <v>956</v>
      </c>
      <c r="B962" s="1132" t="s">
        <v>11030</v>
      </c>
      <c r="C962" s="1133" t="s">
        <v>11031</v>
      </c>
      <c r="D962" s="1134" t="s">
        <v>11015</v>
      </c>
      <c r="E962" s="1135">
        <v>198876.79999999999</v>
      </c>
      <c r="F962" s="1135">
        <v>450279.8</v>
      </c>
      <c r="G962" s="1135">
        <v>0</v>
      </c>
      <c r="H962" s="1135" t="e">
        <v>#REF!</v>
      </c>
      <c r="I962" s="1135" t="e">
        <v>#REF!</v>
      </c>
      <c r="J962" s="1135" t="e">
        <v>#REF!</v>
      </c>
      <c r="K962" s="1135" t="e">
        <v>#REF!</v>
      </c>
    </row>
    <row r="963" spans="1:11" s="1136" customFormat="1" ht="60">
      <c r="A963" s="1131">
        <v>957</v>
      </c>
      <c r="B963" s="1132" t="s">
        <v>11032</v>
      </c>
      <c r="C963" s="1133" t="s">
        <v>11033</v>
      </c>
      <c r="D963" s="1134" t="s">
        <v>11015</v>
      </c>
      <c r="E963" s="1135">
        <v>203118.8</v>
      </c>
      <c r="F963" s="1135">
        <v>579381</v>
      </c>
      <c r="G963" s="1135">
        <v>0</v>
      </c>
      <c r="H963" s="1135" t="e">
        <v>#REF!</v>
      </c>
      <c r="I963" s="1135" t="e">
        <v>#REF!</v>
      </c>
      <c r="J963" s="1135" t="e">
        <v>#REF!</v>
      </c>
      <c r="K963" s="1135" t="e">
        <v>#REF!</v>
      </c>
    </row>
    <row r="964" spans="1:11" s="1136" customFormat="1" ht="60">
      <c r="A964" s="1131">
        <v>958</v>
      </c>
      <c r="B964" s="1132" t="s">
        <v>11034</v>
      </c>
      <c r="C964" s="1133" t="s">
        <v>11035</v>
      </c>
      <c r="D964" s="1134" t="s">
        <v>11015</v>
      </c>
      <c r="E964" s="1135">
        <v>207985.6</v>
      </c>
      <c r="F964" s="1135">
        <v>708482.3</v>
      </c>
      <c r="G964" s="1135">
        <v>0</v>
      </c>
      <c r="H964" s="1135" t="e">
        <v>#REF!</v>
      </c>
      <c r="I964" s="1135" t="e">
        <v>#REF!</v>
      </c>
      <c r="J964" s="1135" t="e">
        <v>#REF!</v>
      </c>
      <c r="K964" s="1135" t="e">
        <v>#REF!</v>
      </c>
    </row>
    <row r="965" spans="1:11" s="1136" customFormat="1" ht="60">
      <c r="A965" s="1131">
        <v>959</v>
      </c>
      <c r="B965" s="1132" t="s">
        <v>11036</v>
      </c>
      <c r="C965" s="1133" t="s">
        <v>11037</v>
      </c>
      <c r="D965" s="1134" t="s">
        <v>11015</v>
      </c>
      <c r="E965" s="1135">
        <v>220338.8</v>
      </c>
      <c r="F965" s="1135">
        <v>774607.3</v>
      </c>
      <c r="G965" s="1135">
        <v>0</v>
      </c>
      <c r="H965" s="1135" t="e">
        <v>#REF!</v>
      </c>
      <c r="I965" s="1135" t="e">
        <v>#REF!</v>
      </c>
      <c r="J965" s="1135" t="e">
        <v>#REF!</v>
      </c>
      <c r="K965" s="1135" t="e">
        <v>#REF!</v>
      </c>
    </row>
    <row r="966" spans="1:11" s="1136" customFormat="1" ht="60">
      <c r="A966" s="1131">
        <v>960</v>
      </c>
      <c r="B966" s="1132" t="s">
        <v>11038</v>
      </c>
      <c r="C966" s="1133" t="s">
        <v>11039</v>
      </c>
      <c r="D966" s="1134" t="s">
        <v>11015</v>
      </c>
      <c r="E966" s="1135">
        <v>226827.8</v>
      </c>
      <c r="F966" s="1135">
        <v>928899</v>
      </c>
      <c r="G966" s="1135">
        <v>0</v>
      </c>
      <c r="H966" s="1135" t="e">
        <v>#REF!</v>
      </c>
      <c r="I966" s="1135" t="e">
        <v>#REF!</v>
      </c>
      <c r="J966" s="1135" t="e">
        <v>#REF!</v>
      </c>
      <c r="K966" s="1135" t="e">
        <v>#REF!</v>
      </c>
    </row>
    <row r="967" spans="1:11" s="1136" customFormat="1" ht="60">
      <c r="A967" s="1131">
        <v>961</v>
      </c>
      <c r="B967" s="1132" t="s">
        <v>11040</v>
      </c>
      <c r="C967" s="1133" t="s">
        <v>11041</v>
      </c>
      <c r="D967" s="1134" t="s">
        <v>11015</v>
      </c>
      <c r="E967" s="1135">
        <v>242633.8</v>
      </c>
      <c r="F967" s="1135">
        <v>1111529.8999999999</v>
      </c>
      <c r="G967" s="1135">
        <v>0</v>
      </c>
      <c r="H967" s="1135" t="e">
        <v>#REF!</v>
      </c>
      <c r="I967" s="1135" t="e">
        <v>#REF!</v>
      </c>
      <c r="J967" s="1135" t="e">
        <v>#REF!</v>
      </c>
      <c r="K967" s="1135" t="e">
        <v>#REF!</v>
      </c>
    </row>
    <row r="968" spans="1:11" s="1136" customFormat="1" ht="60">
      <c r="A968" s="1131">
        <v>962</v>
      </c>
      <c r="B968" s="1132" t="s">
        <v>11042</v>
      </c>
      <c r="C968" s="1133" t="s">
        <v>11043</v>
      </c>
      <c r="D968" s="1134" t="s">
        <v>11015</v>
      </c>
      <c r="E968" s="1135">
        <v>189143.3</v>
      </c>
      <c r="F968" s="1135">
        <v>774607.3</v>
      </c>
      <c r="G968" s="1135">
        <v>0</v>
      </c>
      <c r="H968" s="1135" t="e">
        <v>#REF!</v>
      </c>
      <c r="I968" s="1135" t="e">
        <v>#REF!</v>
      </c>
      <c r="J968" s="1135" t="e">
        <v>#REF!</v>
      </c>
      <c r="K968" s="1135" t="e">
        <v>#REF!</v>
      </c>
    </row>
    <row r="969" spans="1:11" s="1136" customFormat="1" ht="60">
      <c r="A969" s="1131">
        <v>963</v>
      </c>
      <c r="B969" s="1132" t="s">
        <v>11044</v>
      </c>
      <c r="C969" s="1133" t="s">
        <v>11045</v>
      </c>
      <c r="D969" s="1134" t="s">
        <v>11015</v>
      </c>
      <c r="E969" s="1135">
        <v>198876.79999999999</v>
      </c>
      <c r="F969" s="1135">
        <v>872220.4</v>
      </c>
      <c r="G969" s="1135">
        <v>0</v>
      </c>
      <c r="H969" s="1135" t="e">
        <v>#REF!</v>
      </c>
      <c r="I969" s="1135" t="e">
        <v>#REF!</v>
      </c>
      <c r="J969" s="1135" t="e">
        <v>#REF!</v>
      </c>
      <c r="K969" s="1135" t="e">
        <v>#REF!</v>
      </c>
    </row>
    <row r="970" spans="1:11" s="1136" customFormat="1" ht="60">
      <c r="A970" s="1131">
        <v>964</v>
      </c>
      <c r="B970" s="1132" t="s">
        <v>11046</v>
      </c>
      <c r="C970" s="1133" t="s">
        <v>11047</v>
      </c>
      <c r="D970" s="1134" t="s">
        <v>11015</v>
      </c>
      <c r="E970" s="1135">
        <v>203118.8</v>
      </c>
      <c r="F970" s="1135">
        <v>966684.7</v>
      </c>
      <c r="G970" s="1135">
        <v>0</v>
      </c>
      <c r="H970" s="1135" t="e">
        <v>#REF!</v>
      </c>
      <c r="I970" s="1135" t="e">
        <v>#REF!</v>
      </c>
      <c r="J970" s="1135" t="e">
        <v>#REF!</v>
      </c>
      <c r="K970" s="1135" t="e">
        <v>#REF!</v>
      </c>
    </row>
    <row r="971" spans="1:11" s="1136" customFormat="1" ht="60">
      <c r="A971" s="1131">
        <v>965</v>
      </c>
      <c r="B971" s="1132" t="s">
        <v>11048</v>
      </c>
      <c r="C971" s="1133" t="s">
        <v>11049</v>
      </c>
      <c r="D971" s="1134" t="s">
        <v>11015</v>
      </c>
      <c r="E971" s="1135">
        <v>207985.6</v>
      </c>
      <c r="F971" s="1135">
        <v>1064297.8</v>
      </c>
      <c r="G971" s="1135">
        <v>0</v>
      </c>
      <c r="H971" s="1135" t="e">
        <v>#REF!</v>
      </c>
      <c r="I971" s="1135" t="e">
        <v>#REF!</v>
      </c>
      <c r="J971" s="1135" t="e">
        <v>#REF!</v>
      </c>
      <c r="K971" s="1135" t="e">
        <v>#REF!</v>
      </c>
    </row>
    <row r="972" spans="1:11" s="1136" customFormat="1" ht="60">
      <c r="A972" s="1131">
        <v>966</v>
      </c>
      <c r="B972" s="1132" t="s">
        <v>11050</v>
      </c>
      <c r="C972" s="1133" t="s">
        <v>11051</v>
      </c>
      <c r="D972" s="1134" t="s">
        <v>11015</v>
      </c>
      <c r="E972" s="1135">
        <v>220338.8</v>
      </c>
      <c r="F972" s="1135">
        <v>1161910.8999999999</v>
      </c>
      <c r="G972" s="1135">
        <v>0</v>
      </c>
      <c r="H972" s="1135" t="e">
        <v>#REF!</v>
      </c>
      <c r="I972" s="1135" t="e">
        <v>#REF!</v>
      </c>
      <c r="J972" s="1135" t="e">
        <v>#REF!</v>
      </c>
      <c r="K972" s="1135" t="e">
        <v>#REF!</v>
      </c>
    </row>
    <row r="973" spans="1:11" s="1136" customFormat="1" ht="60">
      <c r="A973" s="1131">
        <v>967</v>
      </c>
      <c r="B973" s="1132" t="s">
        <v>11052</v>
      </c>
      <c r="C973" s="1133" t="s">
        <v>11053</v>
      </c>
      <c r="D973" s="1134" t="s">
        <v>11015</v>
      </c>
      <c r="E973" s="1135">
        <v>226827.8</v>
      </c>
      <c r="F973" s="1135">
        <v>1237482.3</v>
      </c>
      <c r="G973" s="1135">
        <v>0</v>
      </c>
      <c r="H973" s="1135" t="e">
        <v>#REF!</v>
      </c>
      <c r="I973" s="1135" t="e">
        <v>#REF!</v>
      </c>
      <c r="J973" s="1135" t="e">
        <v>#REF!</v>
      </c>
      <c r="K973" s="1135" t="e">
        <v>#REF!</v>
      </c>
    </row>
    <row r="974" spans="1:11" s="1136" customFormat="1" ht="60">
      <c r="A974" s="1131">
        <v>968</v>
      </c>
      <c r="B974" s="1132" t="s">
        <v>11054</v>
      </c>
      <c r="C974" s="1133" t="s">
        <v>11055</v>
      </c>
      <c r="D974" s="1134" t="s">
        <v>11015</v>
      </c>
      <c r="E974" s="1135">
        <v>242633.8</v>
      </c>
      <c r="F974" s="1135">
        <v>1486238.3</v>
      </c>
      <c r="G974" s="1135">
        <v>0</v>
      </c>
      <c r="H974" s="1135" t="e">
        <v>#REF!</v>
      </c>
      <c r="I974" s="1135" t="e">
        <v>#REF!</v>
      </c>
      <c r="J974" s="1135" t="e">
        <v>#REF!</v>
      </c>
      <c r="K974" s="1135" t="e">
        <v>#REF!</v>
      </c>
    </row>
    <row r="975" spans="1:11" s="1136" customFormat="1" ht="45">
      <c r="A975" s="1131">
        <v>969</v>
      </c>
      <c r="B975" s="1132" t="s">
        <v>11056</v>
      </c>
      <c r="C975" s="1133" t="s">
        <v>11057</v>
      </c>
      <c r="D975" s="1134" t="s">
        <v>11015</v>
      </c>
      <c r="E975" s="1135">
        <v>9954</v>
      </c>
      <c r="F975" s="1135">
        <v>245607.2</v>
      </c>
      <c r="G975" s="1135">
        <v>0</v>
      </c>
      <c r="H975" s="1135" t="e">
        <v>#REF!</v>
      </c>
      <c r="I975" s="1135" t="e">
        <v>#REF!</v>
      </c>
      <c r="J975" s="1135" t="e">
        <v>#REF!</v>
      </c>
      <c r="K975" s="1135" t="e">
        <v>#REF!</v>
      </c>
    </row>
    <row r="976" spans="1:11" s="1136" customFormat="1" ht="45">
      <c r="A976" s="1131">
        <v>970</v>
      </c>
      <c r="B976" s="1132" t="s">
        <v>11058</v>
      </c>
      <c r="C976" s="1133" t="s">
        <v>11059</v>
      </c>
      <c r="D976" s="1134" t="s">
        <v>11015</v>
      </c>
      <c r="E976" s="1135">
        <v>9954</v>
      </c>
      <c r="F976" s="1135">
        <v>273946.5</v>
      </c>
      <c r="G976" s="1135">
        <v>0</v>
      </c>
      <c r="H976" s="1135" t="e">
        <v>#REF!</v>
      </c>
      <c r="I976" s="1135" t="e">
        <v>#REF!</v>
      </c>
      <c r="J976" s="1135" t="e">
        <v>#REF!</v>
      </c>
      <c r="K976" s="1135" t="e">
        <v>#REF!</v>
      </c>
    </row>
    <row r="977" spans="1:11" s="1136" customFormat="1" ht="45">
      <c r="A977" s="1131">
        <v>971</v>
      </c>
      <c r="B977" s="1132" t="s">
        <v>11060</v>
      </c>
      <c r="C977" s="1133" t="s">
        <v>11061</v>
      </c>
      <c r="D977" s="1134" t="s">
        <v>11015</v>
      </c>
      <c r="E977" s="1135">
        <v>13230</v>
      </c>
      <c r="F977" s="1135">
        <v>305434.59999999998</v>
      </c>
      <c r="G977" s="1135">
        <v>0</v>
      </c>
      <c r="H977" s="1135" t="e">
        <v>#REF!</v>
      </c>
      <c r="I977" s="1135" t="e">
        <v>#REF!</v>
      </c>
      <c r="J977" s="1135" t="e">
        <v>#REF!</v>
      </c>
      <c r="K977" s="1135" t="e">
        <v>#REF!</v>
      </c>
    </row>
    <row r="978" spans="1:11" s="1136" customFormat="1" ht="45">
      <c r="A978" s="1131">
        <v>972</v>
      </c>
      <c r="B978" s="1132" t="s">
        <v>11062</v>
      </c>
      <c r="C978" s="1133" t="s">
        <v>11063</v>
      </c>
      <c r="D978" s="1134" t="s">
        <v>11015</v>
      </c>
      <c r="E978" s="1135">
        <v>13230</v>
      </c>
      <c r="F978" s="1135">
        <v>355815.5</v>
      </c>
      <c r="G978" s="1135">
        <v>0</v>
      </c>
      <c r="H978" s="1135" t="e">
        <v>#REF!</v>
      </c>
      <c r="I978" s="1135" t="e">
        <v>#REF!</v>
      </c>
      <c r="J978" s="1135" t="e">
        <v>#REF!</v>
      </c>
      <c r="K978" s="1135" t="e">
        <v>#REF!</v>
      </c>
    </row>
    <row r="979" spans="1:11" s="1136" customFormat="1" ht="45">
      <c r="A979" s="1131">
        <v>973</v>
      </c>
      <c r="B979" s="1132" t="s">
        <v>11064</v>
      </c>
      <c r="C979" s="1133" t="s">
        <v>11065</v>
      </c>
      <c r="D979" s="1134" t="s">
        <v>11015</v>
      </c>
      <c r="E979" s="1135">
        <v>16506</v>
      </c>
      <c r="F979" s="1135">
        <v>377857.2</v>
      </c>
      <c r="G979" s="1135">
        <v>0</v>
      </c>
      <c r="H979" s="1135" t="e">
        <v>#REF!</v>
      </c>
      <c r="I979" s="1135" t="e">
        <v>#REF!</v>
      </c>
      <c r="J979" s="1135" t="e">
        <v>#REF!</v>
      </c>
      <c r="K979" s="1135" t="e">
        <v>#REF!</v>
      </c>
    </row>
    <row r="980" spans="1:11" s="1136" customFormat="1" ht="45">
      <c r="A980" s="1131">
        <v>974</v>
      </c>
      <c r="B980" s="1132" t="s">
        <v>11066</v>
      </c>
      <c r="C980" s="1133" t="s">
        <v>11067</v>
      </c>
      <c r="D980" s="1134" t="s">
        <v>11015</v>
      </c>
      <c r="E980" s="1135">
        <v>16506</v>
      </c>
      <c r="F980" s="1135">
        <v>491214.4</v>
      </c>
      <c r="G980" s="1135">
        <v>0</v>
      </c>
      <c r="H980" s="1135" t="e">
        <v>#REF!</v>
      </c>
      <c r="I980" s="1135" t="e">
        <v>#REF!</v>
      </c>
      <c r="J980" s="1135" t="e">
        <v>#REF!</v>
      </c>
      <c r="K980" s="1135" t="e">
        <v>#REF!</v>
      </c>
    </row>
    <row r="981" spans="1:11" s="1136" customFormat="1" ht="45">
      <c r="A981" s="1131">
        <v>975</v>
      </c>
      <c r="B981" s="1132" t="s">
        <v>11068</v>
      </c>
      <c r="C981" s="1133" t="s">
        <v>11069</v>
      </c>
      <c r="D981" s="1134" t="s">
        <v>11015</v>
      </c>
      <c r="E981" s="1135">
        <v>19813.5</v>
      </c>
      <c r="F981" s="1135">
        <v>588827.5</v>
      </c>
      <c r="G981" s="1135">
        <v>0</v>
      </c>
      <c r="H981" s="1135" t="e">
        <v>#REF!</v>
      </c>
      <c r="I981" s="1135" t="e">
        <v>#REF!</v>
      </c>
      <c r="J981" s="1135" t="e">
        <v>#REF!</v>
      </c>
      <c r="K981" s="1135" t="e">
        <v>#REF!</v>
      </c>
    </row>
    <row r="982" spans="1:11" s="1136" customFormat="1" ht="45">
      <c r="A982" s="1131">
        <v>976</v>
      </c>
      <c r="B982" s="1132" t="s">
        <v>11070</v>
      </c>
      <c r="C982" s="1133" t="s">
        <v>11071</v>
      </c>
      <c r="D982" s="1134" t="s">
        <v>11015</v>
      </c>
      <c r="E982" s="1135">
        <v>9954</v>
      </c>
      <c r="F982" s="1135">
        <v>387303.6</v>
      </c>
      <c r="G982" s="1135">
        <v>0</v>
      </c>
      <c r="H982" s="1135" t="e">
        <v>#REF!</v>
      </c>
      <c r="I982" s="1135" t="e">
        <v>#REF!</v>
      </c>
      <c r="J982" s="1135" t="e">
        <v>#REF!</v>
      </c>
      <c r="K982" s="1135" t="e">
        <v>#REF!</v>
      </c>
    </row>
    <row r="983" spans="1:11" s="1136" customFormat="1" ht="45">
      <c r="A983" s="1131">
        <v>977</v>
      </c>
      <c r="B983" s="1132" t="s">
        <v>11072</v>
      </c>
      <c r="C983" s="1133" t="s">
        <v>11073</v>
      </c>
      <c r="D983" s="1134" t="s">
        <v>11015</v>
      </c>
      <c r="E983" s="1135">
        <v>9954</v>
      </c>
      <c r="F983" s="1135">
        <v>428238.2</v>
      </c>
      <c r="G983" s="1135">
        <v>0</v>
      </c>
      <c r="H983" s="1135" t="e">
        <v>#REF!</v>
      </c>
      <c r="I983" s="1135" t="e">
        <v>#REF!</v>
      </c>
      <c r="J983" s="1135" t="e">
        <v>#REF!</v>
      </c>
      <c r="K983" s="1135" t="e">
        <v>#REF!</v>
      </c>
    </row>
    <row r="984" spans="1:11" s="1136" customFormat="1" ht="45">
      <c r="A984" s="1131">
        <v>978</v>
      </c>
      <c r="B984" s="1132" t="s">
        <v>11074</v>
      </c>
      <c r="C984" s="1133" t="s">
        <v>11075</v>
      </c>
      <c r="D984" s="1134" t="s">
        <v>11015</v>
      </c>
      <c r="E984" s="1135">
        <v>13230</v>
      </c>
      <c r="F984" s="1135">
        <v>475470.3</v>
      </c>
      <c r="G984" s="1135">
        <v>0</v>
      </c>
      <c r="H984" s="1135" t="e">
        <v>#REF!</v>
      </c>
      <c r="I984" s="1135" t="e">
        <v>#REF!</v>
      </c>
      <c r="J984" s="1135" t="e">
        <v>#REF!</v>
      </c>
      <c r="K984" s="1135" t="e">
        <v>#REF!</v>
      </c>
    </row>
    <row r="985" spans="1:11" s="1136" customFormat="1" ht="45">
      <c r="A985" s="1131">
        <v>979</v>
      </c>
      <c r="B985" s="1132" t="s">
        <v>11076</v>
      </c>
      <c r="C985" s="1133" t="s">
        <v>11077</v>
      </c>
      <c r="D985" s="1134" t="s">
        <v>11015</v>
      </c>
      <c r="E985" s="1135">
        <v>13230</v>
      </c>
      <c r="F985" s="1135">
        <v>522702.5</v>
      </c>
      <c r="G985" s="1135">
        <v>0</v>
      </c>
      <c r="H985" s="1135" t="e">
        <v>#REF!</v>
      </c>
      <c r="I985" s="1135" t="e">
        <v>#REF!</v>
      </c>
      <c r="J985" s="1135" t="e">
        <v>#REF!</v>
      </c>
      <c r="K985" s="1135" t="e">
        <v>#REF!</v>
      </c>
    </row>
    <row r="986" spans="1:11" s="1136" customFormat="1" ht="45">
      <c r="A986" s="1131">
        <v>980</v>
      </c>
      <c r="B986" s="1132" t="s">
        <v>11078</v>
      </c>
      <c r="C986" s="1133" t="s">
        <v>11079</v>
      </c>
      <c r="D986" s="1134" t="s">
        <v>11015</v>
      </c>
      <c r="E986" s="1135">
        <v>16506</v>
      </c>
      <c r="F986" s="1135">
        <v>582529.9</v>
      </c>
      <c r="G986" s="1135">
        <v>0</v>
      </c>
      <c r="H986" s="1135" t="e">
        <v>#REF!</v>
      </c>
      <c r="I986" s="1135" t="e">
        <v>#REF!</v>
      </c>
      <c r="J986" s="1135" t="e">
        <v>#REF!</v>
      </c>
      <c r="K986" s="1135" t="e">
        <v>#REF!</v>
      </c>
    </row>
    <row r="987" spans="1:11" s="1136" customFormat="1" ht="45">
      <c r="A987" s="1131">
        <v>981</v>
      </c>
      <c r="B987" s="1132" t="s">
        <v>11080</v>
      </c>
      <c r="C987" s="1133" t="s">
        <v>11081</v>
      </c>
      <c r="D987" s="1134" t="s">
        <v>11015</v>
      </c>
      <c r="E987" s="1135">
        <v>16506</v>
      </c>
      <c r="F987" s="1135">
        <v>755714.4</v>
      </c>
      <c r="G987" s="1135">
        <v>0</v>
      </c>
      <c r="H987" s="1135" t="e">
        <v>#REF!</v>
      </c>
      <c r="I987" s="1135" t="e">
        <v>#REF!</v>
      </c>
      <c r="J987" s="1135" t="e">
        <v>#REF!</v>
      </c>
      <c r="K987" s="1135" t="e">
        <v>#REF!</v>
      </c>
    </row>
    <row r="988" spans="1:11" s="1136" customFormat="1" ht="45">
      <c r="A988" s="1131">
        <v>982</v>
      </c>
      <c r="B988" s="1132" t="s">
        <v>11082</v>
      </c>
      <c r="C988" s="1133" t="s">
        <v>11083</v>
      </c>
      <c r="D988" s="1134" t="s">
        <v>11015</v>
      </c>
      <c r="E988" s="1135">
        <v>19813.5</v>
      </c>
      <c r="F988" s="1135">
        <v>906857.3</v>
      </c>
      <c r="G988" s="1135">
        <v>0</v>
      </c>
      <c r="H988" s="1135" t="e">
        <v>#REF!</v>
      </c>
      <c r="I988" s="1135" t="e">
        <v>#REF!</v>
      </c>
      <c r="J988" s="1135" t="e">
        <v>#REF!</v>
      </c>
      <c r="K988" s="1135" t="e">
        <v>#REF!</v>
      </c>
    </row>
    <row r="989" spans="1:11" s="1136" customFormat="1" ht="45">
      <c r="A989" s="1131">
        <v>983</v>
      </c>
      <c r="B989" s="1132" t="s">
        <v>11084</v>
      </c>
      <c r="C989" s="1133" t="s">
        <v>11085</v>
      </c>
      <c r="D989" s="1134" t="s">
        <v>11015</v>
      </c>
      <c r="E989" s="1135">
        <v>205262.6</v>
      </c>
      <c r="F989" s="1135">
        <v>421940.5</v>
      </c>
      <c r="G989" s="1135">
        <v>0</v>
      </c>
      <c r="H989" s="1135" t="e">
        <v>#REF!</v>
      </c>
      <c r="I989" s="1135" t="e">
        <v>#REF!</v>
      </c>
      <c r="J989" s="1135" t="e">
        <v>#REF!</v>
      </c>
      <c r="K989" s="1135" t="e">
        <v>#REF!</v>
      </c>
    </row>
    <row r="990" spans="1:11" s="1136" customFormat="1" ht="45">
      <c r="A990" s="1131">
        <v>984</v>
      </c>
      <c r="B990" s="1132" t="s">
        <v>11086</v>
      </c>
      <c r="C990" s="1133" t="s">
        <v>11087</v>
      </c>
      <c r="D990" s="1134" t="s">
        <v>11015</v>
      </c>
      <c r="E990" s="1135">
        <v>213373.9</v>
      </c>
      <c r="F990" s="1135">
        <v>484916.7</v>
      </c>
      <c r="G990" s="1135">
        <v>0</v>
      </c>
      <c r="H990" s="1135" t="e">
        <v>#REF!</v>
      </c>
      <c r="I990" s="1135" t="e">
        <v>#REF!</v>
      </c>
      <c r="J990" s="1135" t="e">
        <v>#REF!</v>
      </c>
      <c r="K990" s="1135" t="e">
        <v>#REF!</v>
      </c>
    </row>
    <row r="991" spans="1:11" s="1136" customFormat="1" ht="45">
      <c r="A991" s="1131">
        <v>985</v>
      </c>
      <c r="B991" s="1132" t="s">
        <v>11088</v>
      </c>
      <c r="C991" s="1133" t="s">
        <v>11089</v>
      </c>
      <c r="D991" s="1134" t="s">
        <v>11015</v>
      </c>
      <c r="E991" s="1135">
        <v>218398.1</v>
      </c>
      <c r="F991" s="1135">
        <v>645506.1</v>
      </c>
      <c r="G991" s="1135">
        <v>0</v>
      </c>
      <c r="H991" s="1135" t="e">
        <v>#REF!</v>
      </c>
      <c r="I991" s="1135" t="e">
        <v>#REF!</v>
      </c>
      <c r="J991" s="1135" t="e">
        <v>#REF!</v>
      </c>
      <c r="K991" s="1135" t="e">
        <v>#REF!</v>
      </c>
    </row>
    <row r="992" spans="1:11" s="1136" customFormat="1" ht="45">
      <c r="A992" s="1131">
        <v>986</v>
      </c>
      <c r="B992" s="1132" t="s">
        <v>11090</v>
      </c>
      <c r="C992" s="1133" t="s">
        <v>11091</v>
      </c>
      <c r="D992" s="1134" t="s">
        <v>11015</v>
      </c>
      <c r="E992" s="1135">
        <v>232237.1</v>
      </c>
      <c r="F992" s="1135">
        <v>774607.3</v>
      </c>
      <c r="G992" s="1135">
        <v>0</v>
      </c>
      <c r="H992" s="1135" t="e">
        <v>#REF!</v>
      </c>
      <c r="I992" s="1135" t="e">
        <v>#REF!</v>
      </c>
      <c r="J992" s="1135" t="e">
        <v>#REF!</v>
      </c>
      <c r="K992" s="1135" t="e">
        <v>#REF!</v>
      </c>
    </row>
    <row r="993" spans="1:11" s="1136" customFormat="1" ht="45">
      <c r="A993" s="1131">
        <v>987</v>
      </c>
      <c r="B993" s="1132" t="s">
        <v>11092</v>
      </c>
      <c r="C993" s="1133" t="s">
        <v>11093</v>
      </c>
      <c r="D993" s="1134" t="s">
        <v>11015</v>
      </c>
      <c r="E993" s="1135">
        <v>243750.39999999999</v>
      </c>
      <c r="F993" s="1135">
        <v>837583.5</v>
      </c>
      <c r="G993" s="1135">
        <v>0</v>
      </c>
      <c r="H993" s="1135" t="e">
        <v>#REF!</v>
      </c>
      <c r="I993" s="1135" t="e">
        <v>#REF!</v>
      </c>
      <c r="J993" s="1135" t="e">
        <v>#REF!</v>
      </c>
      <c r="K993" s="1135" t="e">
        <v>#REF!</v>
      </c>
    </row>
    <row r="994" spans="1:11" s="1136" customFormat="1" ht="45">
      <c r="A994" s="1131">
        <v>988</v>
      </c>
      <c r="B994" s="1132" t="s">
        <v>11094</v>
      </c>
      <c r="C994" s="1133" t="s">
        <v>11095</v>
      </c>
      <c r="D994" s="1134" t="s">
        <v>11015</v>
      </c>
      <c r="E994" s="1135">
        <v>251861.6</v>
      </c>
      <c r="F994" s="1135">
        <v>935196.6</v>
      </c>
      <c r="G994" s="1135">
        <v>0</v>
      </c>
      <c r="H994" s="1135" t="e">
        <v>#REF!</v>
      </c>
      <c r="I994" s="1135" t="e">
        <v>#REF!</v>
      </c>
      <c r="J994" s="1135" t="e">
        <v>#REF!</v>
      </c>
      <c r="K994" s="1135" t="e">
        <v>#REF!</v>
      </c>
    </row>
    <row r="995" spans="1:11" s="1136" customFormat="1" ht="45">
      <c r="A995" s="1131">
        <v>989</v>
      </c>
      <c r="B995" s="1132" t="s">
        <v>11096</v>
      </c>
      <c r="C995" s="1133" t="s">
        <v>11097</v>
      </c>
      <c r="D995" s="1134" t="s">
        <v>11015</v>
      </c>
      <c r="E995" s="1135">
        <v>272674.3</v>
      </c>
      <c r="F995" s="1135">
        <v>1124125.2</v>
      </c>
      <c r="G995" s="1135">
        <v>0</v>
      </c>
      <c r="H995" s="1135" t="e">
        <v>#REF!</v>
      </c>
      <c r="I995" s="1135" t="e">
        <v>#REF!</v>
      </c>
      <c r="J995" s="1135" t="e">
        <v>#REF!</v>
      </c>
      <c r="K995" s="1135" t="e">
        <v>#REF!</v>
      </c>
    </row>
    <row r="996" spans="1:11" s="1136" customFormat="1" ht="45">
      <c r="A996" s="1131">
        <v>990</v>
      </c>
      <c r="B996" s="1132" t="s">
        <v>11098</v>
      </c>
      <c r="C996" s="1133" t="s">
        <v>11099</v>
      </c>
      <c r="D996" s="1134" t="s">
        <v>11015</v>
      </c>
      <c r="E996" s="1135">
        <v>205262.6</v>
      </c>
      <c r="F996" s="1135">
        <v>547892.9</v>
      </c>
      <c r="G996" s="1135">
        <v>0</v>
      </c>
      <c r="H996" s="1135" t="e">
        <v>#REF!</v>
      </c>
      <c r="I996" s="1135" t="e">
        <v>#REF!</v>
      </c>
      <c r="J996" s="1135" t="e">
        <v>#REF!</v>
      </c>
      <c r="K996" s="1135" t="e">
        <v>#REF!</v>
      </c>
    </row>
    <row r="997" spans="1:11" s="1136" customFormat="1" ht="45">
      <c r="A997" s="1131">
        <v>991</v>
      </c>
      <c r="B997" s="1132" t="s">
        <v>11100</v>
      </c>
      <c r="C997" s="1133" t="s">
        <v>11101</v>
      </c>
      <c r="D997" s="1134" t="s">
        <v>11015</v>
      </c>
      <c r="E997" s="1135">
        <v>213373.9</v>
      </c>
      <c r="F997" s="1135">
        <v>614018</v>
      </c>
      <c r="G997" s="1135">
        <v>0</v>
      </c>
      <c r="H997" s="1135" t="e">
        <v>#REF!</v>
      </c>
      <c r="I997" s="1135" t="e">
        <v>#REF!</v>
      </c>
      <c r="J997" s="1135" t="e">
        <v>#REF!</v>
      </c>
      <c r="K997" s="1135" t="e">
        <v>#REF!</v>
      </c>
    </row>
    <row r="998" spans="1:11" s="1136" customFormat="1" ht="45">
      <c r="A998" s="1131">
        <v>992</v>
      </c>
      <c r="B998" s="1132" t="s">
        <v>11102</v>
      </c>
      <c r="C998" s="1133" t="s">
        <v>11103</v>
      </c>
      <c r="D998" s="1134" t="s">
        <v>11015</v>
      </c>
      <c r="E998" s="1135">
        <v>218398.1</v>
      </c>
      <c r="F998" s="1135">
        <v>774607.3</v>
      </c>
      <c r="G998" s="1135">
        <v>0</v>
      </c>
      <c r="H998" s="1135" t="e">
        <v>#REF!</v>
      </c>
      <c r="I998" s="1135" t="e">
        <v>#REF!</v>
      </c>
      <c r="J998" s="1135" t="e">
        <v>#REF!</v>
      </c>
      <c r="K998" s="1135" t="e">
        <v>#REF!</v>
      </c>
    </row>
    <row r="999" spans="1:11" s="1136" customFormat="1" ht="45">
      <c r="A999" s="1131">
        <v>993</v>
      </c>
      <c r="B999" s="1132" t="s">
        <v>11104</v>
      </c>
      <c r="C999" s="1133" t="s">
        <v>11105</v>
      </c>
      <c r="D999" s="1134" t="s">
        <v>11015</v>
      </c>
      <c r="E999" s="1135">
        <v>232237.1</v>
      </c>
      <c r="F999" s="1135">
        <v>935196.6</v>
      </c>
      <c r="G999" s="1135">
        <v>0</v>
      </c>
      <c r="H999" s="1135" t="e">
        <v>#REF!</v>
      </c>
      <c r="I999" s="1135" t="e">
        <v>#REF!</v>
      </c>
      <c r="J999" s="1135" t="e">
        <v>#REF!</v>
      </c>
      <c r="K999" s="1135" t="e">
        <v>#REF!</v>
      </c>
    </row>
    <row r="1000" spans="1:11" s="1136" customFormat="1" ht="45">
      <c r="A1000" s="1131">
        <v>994</v>
      </c>
      <c r="B1000" s="1132" t="s">
        <v>11106</v>
      </c>
      <c r="C1000" s="1133" t="s">
        <v>11107</v>
      </c>
      <c r="D1000" s="1134" t="s">
        <v>11015</v>
      </c>
      <c r="E1000" s="1135">
        <v>243750.39999999999</v>
      </c>
      <c r="F1000" s="1135">
        <v>1032809.7</v>
      </c>
      <c r="G1000" s="1135">
        <v>0</v>
      </c>
      <c r="H1000" s="1135" t="e">
        <v>#REF!</v>
      </c>
      <c r="I1000" s="1135" t="e">
        <v>#REF!</v>
      </c>
      <c r="J1000" s="1135" t="e">
        <v>#REF!</v>
      </c>
      <c r="K1000" s="1135" t="e">
        <v>#REF!</v>
      </c>
    </row>
    <row r="1001" spans="1:11" s="1136" customFormat="1" ht="45">
      <c r="A1001" s="1131">
        <v>995</v>
      </c>
      <c r="B1001" s="1132" t="s">
        <v>11108</v>
      </c>
      <c r="C1001" s="1133" t="s">
        <v>11109</v>
      </c>
      <c r="D1001" s="1134" t="s">
        <v>11015</v>
      </c>
      <c r="E1001" s="1135">
        <v>251861.6</v>
      </c>
      <c r="F1001" s="1135">
        <v>1136720.3999999999</v>
      </c>
      <c r="G1001" s="1135">
        <v>0</v>
      </c>
      <c r="H1001" s="1135" t="e">
        <v>#REF!</v>
      </c>
      <c r="I1001" s="1135" t="e">
        <v>#REF!</v>
      </c>
      <c r="J1001" s="1135" t="e">
        <v>#REF!</v>
      </c>
      <c r="K1001" s="1135" t="e">
        <v>#REF!</v>
      </c>
    </row>
    <row r="1002" spans="1:11" s="1136" customFormat="1" ht="45">
      <c r="A1002" s="1131">
        <v>996</v>
      </c>
      <c r="B1002" s="1132" t="s">
        <v>11110</v>
      </c>
      <c r="C1002" s="1133" t="s">
        <v>11111</v>
      </c>
      <c r="D1002" s="1134" t="s">
        <v>11015</v>
      </c>
      <c r="E1002" s="1135">
        <v>272674.3</v>
      </c>
      <c r="F1002" s="1135">
        <v>1366583.5</v>
      </c>
      <c r="G1002" s="1135">
        <v>0</v>
      </c>
      <c r="H1002" s="1135" t="e">
        <v>#REF!</v>
      </c>
      <c r="I1002" s="1135" t="e">
        <v>#REF!</v>
      </c>
      <c r="J1002" s="1135" t="e">
        <v>#REF!</v>
      </c>
      <c r="K1002" s="1135" t="e">
        <v>#REF!</v>
      </c>
    </row>
    <row r="1003" spans="1:11" s="1136" customFormat="1" ht="45">
      <c r="A1003" s="1131">
        <v>997</v>
      </c>
      <c r="B1003" s="1132" t="s">
        <v>11112</v>
      </c>
      <c r="C1003" s="1133" t="s">
        <v>11113</v>
      </c>
      <c r="D1003" s="1134" t="s">
        <v>11015</v>
      </c>
      <c r="E1003" s="1135">
        <v>205262.6</v>
      </c>
      <c r="F1003" s="1135">
        <v>837583.5</v>
      </c>
      <c r="G1003" s="1135">
        <v>0</v>
      </c>
      <c r="H1003" s="1135" t="e">
        <v>#REF!</v>
      </c>
      <c r="I1003" s="1135" t="e">
        <v>#REF!</v>
      </c>
      <c r="J1003" s="1135" t="e">
        <v>#REF!</v>
      </c>
      <c r="K1003" s="1135" t="e">
        <v>#REF!</v>
      </c>
    </row>
    <row r="1004" spans="1:11" s="1136" customFormat="1" ht="45">
      <c r="A1004" s="1131">
        <v>998</v>
      </c>
      <c r="B1004" s="1132" t="s">
        <v>11114</v>
      </c>
      <c r="C1004" s="1133" t="s">
        <v>11115</v>
      </c>
      <c r="D1004" s="1134" t="s">
        <v>11015</v>
      </c>
      <c r="E1004" s="1135">
        <v>213373.9</v>
      </c>
      <c r="F1004" s="1135">
        <v>935196.6</v>
      </c>
      <c r="G1004" s="1135">
        <v>0</v>
      </c>
      <c r="H1004" s="1135" t="e">
        <v>#REF!</v>
      </c>
      <c r="I1004" s="1135" t="e">
        <v>#REF!</v>
      </c>
      <c r="J1004" s="1135" t="e">
        <v>#REF!</v>
      </c>
      <c r="K1004" s="1135" t="e">
        <v>#REF!</v>
      </c>
    </row>
    <row r="1005" spans="1:11" s="1136" customFormat="1" ht="45">
      <c r="A1005" s="1131">
        <v>999</v>
      </c>
      <c r="B1005" s="1132" t="s">
        <v>11116</v>
      </c>
      <c r="C1005" s="1133" t="s">
        <v>11117</v>
      </c>
      <c r="D1005" s="1134" t="s">
        <v>11015</v>
      </c>
      <c r="E1005" s="1135">
        <v>218398.1</v>
      </c>
      <c r="F1005" s="1135">
        <v>1032809.7</v>
      </c>
      <c r="G1005" s="1135">
        <v>0</v>
      </c>
      <c r="H1005" s="1135" t="e">
        <v>#REF!</v>
      </c>
      <c r="I1005" s="1135" t="e">
        <v>#REF!</v>
      </c>
      <c r="J1005" s="1135" t="e">
        <v>#REF!</v>
      </c>
      <c r="K1005" s="1135" t="e">
        <v>#REF!</v>
      </c>
    </row>
    <row r="1006" spans="1:11" s="1136" customFormat="1" ht="45">
      <c r="A1006" s="1131">
        <v>1000</v>
      </c>
      <c r="B1006" s="1132" t="s">
        <v>11118</v>
      </c>
      <c r="C1006" s="1133" t="s">
        <v>11119</v>
      </c>
      <c r="D1006" s="1134" t="s">
        <v>11015</v>
      </c>
      <c r="E1006" s="1135">
        <v>232237.1</v>
      </c>
      <c r="F1006" s="1135">
        <v>1130422.8</v>
      </c>
      <c r="G1006" s="1135">
        <v>0</v>
      </c>
      <c r="H1006" s="1135" t="e">
        <v>#REF!</v>
      </c>
      <c r="I1006" s="1135" t="e">
        <v>#REF!</v>
      </c>
      <c r="J1006" s="1135" t="e">
        <v>#REF!</v>
      </c>
      <c r="K1006" s="1135" t="e">
        <v>#REF!</v>
      </c>
    </row>
    <row r="1007" spans="1:11" s="1136" customFormat="1" ht="45">
      <c r="A1007" s="1131">
        <v>1001</v>
      </c>
      <c r="B1007" s="1132" t="s">
        <v>11120</v>
      </c>
      <c r="C1007" s="1133" t="s">
        <v>11121</v>
      </c>
      <c r="D1007" s="1134" t="s">
        <v>11015</v>
      </c>
      <c r="E1007" s="1135">
        <v>243750.39999999999</v>
      </c>
      <c r="F1007" s="1135">
        <v>1259524</v>
      </c>
      <c r="G1007" s="1135">
        <v>0</v>
      </c>
      <c r="H1007" s="1135" t="e">
        <v>#REF!</v>
      </c>
      <c r="I1007" s="1135" t="e">
        <v>#REF!</v>
      </c>
      <c r="J1007" s="1135" t="e">
        <v>#REF!</v>
      </c>
      <c r="K1007" s="1135" t="e">
        <v>#REF!</v>
      </c>
    </row>
    <row r="1008" spans="1:11" s="1136" customFormat="1" ht="45">
      <c r="A1008" s="1131">
        <v>1002</v>
      </c>
      <c r="B1008" s="1132" t="s">
        <v>11122</v>
      </c>
      <c r="C1008" s="1133" t="s">
        <v>11123</v>
      </c>
      <c r="D1008" s="1134" t="s">
        <v>11015</v>
      </c>
      <c r="E1008" s="1135">
        <v>251861.6</v>
      </c>
      <c r="F1008" s="1135">
        <v>1388625.2</v>
      </c>
      <c r="G1008" s="1135">
        <v>0</v>
      </c>
      <c r="H1008" s="1135" t="e">
        <v>#REF!</v>
      </c>
      <c r="I1008" s="1135" t="e">
        <v>#REF!</v>
      </c>
      <c r="J1008" s="1135" t="e">
        <v>#REF!</v>
      </c>
      <c r="K1008" s="1135" t="e">
        <v>#REF!</v>
      </c>
    </row>
    <row r="1009" spans="1:11" s="1136" customFormat="1" ht="45">
      <c r="A1009" s="1131">
        <v>1003</v>
      </c>
      <c r="B1009" s="1132" t="s">
        <v>11124</v>
      </c>
      <c r="C1009" s="1133" t="s">
        <v>11125</v>
      </c>
      <c r="D1009" s="1134" t="s">
        <v>11015</v>
      </c>
      <c r="E1009" s="1135">
        <v>272674.3</v>
      </c>
      <c r="F1009" s="1135">
        <v>1665720.5</v>
      </c>
      <c r="G1009" s="1135">
        <v>0</v>
      </c>
      <c r="H1009" s="1135" t="e">
        <v>#REF!</v>
      </c>
      <c r="I1009" s="1135" t="e">
        <v>#REF!</v>
      </c>
      <c r="J1009" s="1135" t="e">
        <v>#REF!</v>
      </c>
      <c r="K1009" s="1135" t="e">
        <v>#REF!</v>
      </c>
    </row>
    <row r="1010" spans="1:11" s="1136" customFormat="1" ht="45">
      <c r="A1010" s="1131">
        <v>1004</v>
      </c>
      <c r="B1010" s="1132" t="s">
        <v>11126</v>
      </c>
      <c r="C1010" s="1133" t="s">
        <v>11127</v>
      </c>
      <c r="D1010" s="1134" t="s">
        <v>11015</v>
      </c>
      <c r="E1010" s="1135">
        <v>205262.6</v>
      </c>
      <c r="F1010" s="1135">
        <v>1032809.7</v>
      </c>
      <c r="G1010" s="1135">
        <v>0</v>
      </c>
      <c r="H1010" s="1135" t="e">
        <v>#REF!</v>
      </c>
      <c r="I1010" s="1135" t="e">
        <v>#REF!</v>
      </c>
      <c r="J1010" s="1135" t="e">
        <v>#REF!</v>
      </c>
      <c r="K1010" s="1135" t="e">
        <v>#REF!</v>
      </c>
    </row>
    <row r="1011" spans="1:11" s="1136" customFormat="1" ht="45">
      <c r="A1011" s="1131">
        <v>1005</v>
      </c>
      <c r="B1011" s="1132" t="s">
        <v>11128</v>
      </c>
      <c r="C1011" s="1133" t="s">
        <v>11129</v>
      </c>
      <c r="D1011" s="1134" t="s">
        <v>11015</v>
      </c>
      <c r="E1011" s="1135">
        <v>213373.9</v>
      </c>
      <c r="F1011" s="1135">
        <v>1130422.8</v>
      </c>
      <c r="G1011" s="1135">
        <v>0</v>
      </c>
      <c r="H1011" s="1135" t="e">
        <v>#REF!</v>
      </c>
      <c r="I1011" s="1135" t="e">
        <v>#REF!</v>
      </c>
      <c r="J1011" s="1135" t="e">
        <v>#REF!</v>
      </c>
      <c r="K1011" s="1135" t="e">
        <v>#REF!</v>
      </c>
    </row>
    <row r="1012" spans="1:11" s="1136" customFormat="1" ht="45">
      <c r="A1012" s="1131">
        <v>1006</v>
      </c>
      <c r="B1012" s="1132" t="s">
        <v>11130</v>
      </c>
      <c r="C1012" s="1133" t="s">
        <v>11131</v>
      </c>
      <c r="D1012" s="1134" t="s">
        <v>11015</v>
      </c>
      <c r="E1012" s="1135">
        <v>218398.1</v>
      </c>
      <c r="F1012" s="1135">
        <v>1259524</v>
      </c>
      <c r="G1012" s="1135">
        <v>0</v>
      </c>
      <c r="H1012" s="1135" t="e">
        <v>#REF!</v>
      </c>
      <c r="I1012" s="1135" t="e">
        <v>#REF!</v>
      </c>
      <c r="J1012" s="1135" t="e">
        <v>#REF!</v>
      </c>
      <c r="K1012" s="1135" t="e">
        <v>#REF!</v>
      </c>
    </row>
    <row r="1013" spans="1:11" s="1136" customFormat="1" ht="45">
      <c r="A1013" s="1131">
        <v>1007</v>
      </c>
      <c r="B1013" s="1132" t="s">
        <v>11132</v>
      </c>
      <c r="C1013" s="1133" t="s">
        <v>11133</v>
      </c>
      <c r="D1013" s="1134" t="s">
        <v>11015</v>
      </c>
      <c r="E1013" s="1135">
        <v>232237.1</v>
      </c>
      <c r="F1013" s="1135">
        <v>1388625.2</v>
      </c>
      <c r="G1013" s="1135">
        <v>0</v>
      </c>
      <c r="H1013" s="1135" t="e">
        <v>#REF!</v>
      </c>
      <c r="I1013" s="1135" t="e">
        <v>#REF!</v>
      </c>
      <c r="J1013" s="1135" t="e">
        <v>#REF!</v>
      </c>
      <c r="K1013" s="1135" t="e">
        <v>#REF!</v>
      </c>
    </row>
    <row r="1014" spans="1:11" s="1136" customFormat="1" ht="45">
      <c r="A1014" s="1131">
        <v>1008</v>
      </c>
      <c r="B1014" s="1132" t="s">
        <v>11134</v>
      </c>
      <c r="C1014" s="1133" t="s">
        <v>11135</v>
      </c>
      <c r="D1014" s="1134" t="s">
        <v>11015</v>
      </c>
      <c r="E1014" s="1135">
        <v>243750.39999999999</v>
      </c>
      <c r="F1014" s="1135">
        <v>1517726.4</v>
      </c>
      <c r="G1014" s="1135">
        <v>0</v>
      </c>
      <c r="H1014" s="1135" t="e">
        <v>#REF!</v>
      </c>
      <c r="I1014" s="1135" t="e">
        <v>#REF!</v>
      </c>
      <c r="J1014" s="1135" t="e">
        <v>#REF!</v>
      </c>
      <c r="K1014" s="1135" t="e">
        <v>#REF!</v>
      </c>
    </row>
    <row r="1015" spans="1:11" s="1136" customFormat="1" ht="45">
      <c r="A1015" s="1131">
        <v>1009</v>
      </c>
      <c r="B1015" s="1132" t="s">
        <v>11136</v>
      </c>
      <c r="C1015" s="1133" t="s">
        <v>11137</v>
      </c>
      <c r="D1015" s="1134" t="s">
        <v>11015</v>
      </c>
      <c r="E1015" s="1135">
        <v>251861.6</v>
      </c>
      <c r="F1015" s="1135">
        <v>1665720.5</v>
      </c>
      <c r="G1015" s="1135">
        <v>0</v>
      </c>
      <c r="H1015" s="1135" t="e">
        <v>#REF!</v>
      </c>
      <c r="I1015" s="1135" t="e">
        <v>#REF!</v>
      </c>
      <c r="J1015" s="1135" t="e">
        <v>#REF!</v>
      </c>
      <c r="K1015" s="1135" t="e">
        <v>#REF!</v>
      </c>
    </row>
    <row r="1016" spans="1:11" s="1136" customFormat="1" ht="45">
      <c r="A1016" s="1131">
        <v>1010</v>
      </c>
      <c r="B1016" s="1132" t="s">
        <v>11138</v>
      </c>
      <c r="C1016" s="1133" t="s">
        <v>11139</v>
      </c>
      <c r="D1016" s="1134" t="s">
        <v>11015</v>
      </c>
      <c r="E1016" s="1135">
        <v>272674.3</v>
      </c>
      <c r="F1016" s="1135">
        <v>1996345.5</v>
      </c>
      <c r="G1016" s="1135">
        <v>0</v>
      </c>
      <c r="H1016" s="1135" t="e">
        <v>#REF!</v>
      </c>
      <c r="I1016" s="1135" t="e">
        <v>#REF!</v>
      </c>
      <c r="J1016" s="1135" t="e">
        <v>#REF!</v>
      </c>
      <c r="K1016" s="1135" t="e">
        <v>#REF!</v>
      </c>
    </row>
    <row r="1017" spans="1:11" s="1136" customFormat="1" ht="45">
      <c r="A1017" s="1131">
        <v>1011</v>
      </c>
      <c r="B1017" s="1132" t="s">
        <v>11140</v>
      </c>
      <c r="C1017" s="1133" t="s">
        <v>11141</v>
      </c>
      <c r="D1017" s="1134" t="s">
        <v>11015</v>
      </c>
      <c r="E1017" s="1135">
        <v>19404</v>
      </c>
      <c r="F1017" s="1135">
        <v>500660.8</v>
      </c>
      <c r="G1017" s="1135">
        <v>0</v>
      </c>
      <c r="H1017" s="1135" t="e">
        <v>#REF!</v>
      </c>
      <c r="I1017" s="1135" t="e">
        <v>#REF!</v>
      </c>
      <c r="J1017" s="1135" t="e">
        <v>#REF!</v>
      </c>
      <c r="K1017" s="1135" t="e">
        <v>#REF!</v>
      </c>
    </row>
    <row r="1018" spans="1:11" s="1136" customFormat="1" ht="45">
      <c r="A1018" s="1131">
        <v>1012</v>
      </c>
      <c r="B1018" s="1132" t="s">
        <v>11142</v>
      </c>
      <c r="C1018" s="1133" t="s">
        <v>11143</v>
      </c>
      <c r="D1018" s="1134" t="s">
        <v>11015</v>
      </c>
      <c r="E1018" s="1135">
        <v>19404</v>
      </c>
      <c r="F1018" s="1135">
        <v>557339.4</v>
      </c>
      <c r="G1018" s="1135">
        <v>0</v>
      </c>
      <c r="H1018" s="1135" t="e">
        <v>#REF!</v>
      </c>
      <c r="I1018" s="1135" t="e">
        <v>#REF!</v>
      </c>
      <c r="J1018" s="1135" t="e">
        <v>#REF!</v>
      </c>
      <c r="K1018" s="1135" t="e">
        <v>#REF!</v>
      </c>
    </row>
    <row r="1019" spans="1:11" s="1136" customFormat="1" ht="45">
      <c r="A1019" s="1131">
        <v>1013</v>
      </c>
      <c r="B1019" s="1132" t="s">
        <v>11144</v>
      </c>
      <c r="C1019" s="1133" t="s">
        <v>11145</v>
      </c>
      <c r="D1019" s="1134" t="s">
        <v>11015</v>
      </c>
      <c r="E1019" s="1135">
        <v>19530</v>
      </c>
      <c r="F1019" s="1135">
        <v>617166.80000000005</v>
      </c>
      <c r="G1019" s="1135">
        <v>0</v>
      </c>
      <c r="H1019" s="1135" t="e">
        <v>#REF!</v>
      </c>
      <c r="I1019" s="1135" t="e">
        <v>#REF!</v>
      </c>
      <c r="J1019" s="1135" t="e">
        <v>#REF!</v>
      </c>
      <c r="K1019" s="1135" t="e">
        <v>#REF!</v>
      </c>
    </row>
    <row r="1020" spans="1:11" s="1136" customFormat="1" ht="45">
      <c r="A1020" s="1131">
        <v>1014</v>
      </c>
      <c r="B1020" s="1132" t="s">
        <v>11146</v>
      </c>
      <c r="C1020" s="1133" t="s">
        <v>11147</v>
      </c>
      <c r="D1020" s="1134" t="s">
        <v>11015</v>
      </c>
      <c r="E1020" s="1135">
        <v>22680</v>
      </c>
      <c r="F1020" s="1135">
        <v>680143</v>
      </c>
      <c r="G1020" s="1135">
        <v>0</v>
      </c>
      <c r="H1020" s="1135" t="e">
        <v>#REF!</v>
      </c>
      <c r="I1020" s="1135" t="e">
        <v>#REF!</v>
      </c>
      <c r="J1020" s="1135" t="e">
        <v>#REF!</v>
      </c>
      <c r="K1020" s="1135" t="e">
        <v>#REF!</v>
      </c>
    </row>
    <row r="1021" spans="1:11" s="1136" customFormat="1" ht="45">
      <c r="A1021" s="1131">
        <v>1015</v>
      </c>
      <c r="B1021" s="1132" t="s">
        <v>11148</v>
      </c>
      <c r="C1021" s="1133" t="s">
        <v>11149</v>
      </c>
      <c r="D1021" s="1134" t="s">
        <v>11015</v>
      </c>
      <c r="E1021" s="1135">
        <v>22806</v>
      </c>
      <c r="F1021" s="1135">
        <v>758863.2</v>
      </c>
      <c r="G1021" s="1135">
        <v>0</v>
      </c>
      <c r="H1021" s="1135" t="e">
        <v>#REF!</v>
      </c>
      <c r="I1021" s="1135" t="e">
        <v>#REF!</v>
      </c>
      <c r="J1021" s="1135" t="e">
        <v>#REF!</v>
      </c>
      <c r="K1021" s="1135" t="e">
        <v>#REF!</v>
      </c>
    </row>
    <row r="1022" spans="1:11" s="1136" customFormat="1" ht="45">
      <c r="A1022" s="1131">
        <v>1016</v>
      </c>
      <c r="B1022" s="1132" t="s">
        <v>11150</v>
      </c>
      <c r="C1022" s="1133" t="s">
        <v>11151</v>
      </c>
      <c r="D1022" s="1134" t="s">
        <v>11015</v>
      </c>
      <c r="E1022" s="1135">
        <v>22806</v>
      </c>
      <c r="F1022" s="1135">
        <v>982428.7</v>
      </c>
      <c r="G1022" s="1135">
        <v>0</v>
      </c>
      <c r="H1022" s="1135" t="e">
        <v>#REF!</v>
      </c>
      <c r="I1022" s="1135" t="e">
        <v>#REF!</v>
      </c>
      <c r="J1022" s="1135" t="e">
        <v>#REF!</v>
      </c>
      <c r="K1022" s="1135" t="e">
        <v>#REF!</v>
      </c>
    </row>
    <row r="1023" spans="1:11" s="1136" customFormat="1" ht="45">
      <c r="A1023" s="1131">
        <v>1017</v>
      </c>
      <c r="B1023" s="1132" t="s">
        <v>11152</v>
      </c>
      <c r="C1023" s="1133" t="s">
        <v>11153</v>
      </c>
      <c r="D1023" s="1134" t="s">
        <v>11015</v>
      </c>
      <c r="E1023" s="1135">
        <v>27373.5</v>
      </c>
      <c r="F1023" s="1135">
        <v>1177654.8999999999</v>
      </c>
      <c r="G1023" s="1135">
        <v>0</v>
      </c>
      <c r="H1023" s="1135" t="e">
        <v>#REF!</v>
      </c>
      <c r="I1023" s="1135" t="e">
        <v>#REF!</v>
      </c>
      <c r="J1023" s="1135" t="e">
        <v>#REF!</v>
      </c>
      <c r="K1023" s="1135" t="e">
        <v>#REF!</v>
      </c>
    </row>
    <row r="1024" spans="1:11" s="1136" customFormat="1" ht="45">
      <c r="A1024" s="1131">
        <v>1018</v>
      </c>
      <c r="B1024" s="1132" t="s">
        <v>11154</v>
      </c>
      <c r="C1024" s="1133" t="s">
        <v>11155</v>
      </c>
      <c r="D1024" s="1134" t="s">
        <v>11015</v>
      </c>
      <c r="E1024" s="1135">
        <v>19404</v>
      </c>
      <c r="F1024" s="1135">
        <v>654952.5</v>
      </c>
      <c r="G1024" s="1135">
        <v>0</v>
      </c>
      <c r="H1024" s="1135" t="e">
        <v>#REF!</v>
      </c>
      <c r="I1024" s="1135" t="e">
        <v>#REF!</v>
      </c>
      <c r="J1024" s="1135" t="e">
        <v>#REF!</v>
      </c>
      <c r="K1024" s="1135" t="e">
        <v>#REF!</v>
      </c>
    </row>
    <row r="1025" spans="1:11" s="1136" customFormat="1" ht="45">
      <c r="A1025" s="1131">
        <v>1019</v>
      </c>
      <c r="B1025" s="1132" t="s">
        <v>11156</v>
      </c>
      <c r="C1025" s="1133" t="s">
        <v>11157</v>
      </c>
      <c r="D1025" s="1134" t="s">
        <v>11015</v>
      </c>
      <c r="E1025" s="1135">
        <v>19404</v>
      </c>
      <c r="F1025" s="1135">
        <v>724226.3</v>
      </c>
      <c r="G1025" s="1135">
        <v>0</v>
      </c>
      <c r="H1025" s="1135" t="e">
        <v>#REF!</v>
      </c>
      <c r="I1025" s="1135" t="e">
        <v>#REF!</v>
      </c>
      <c r="J1025" s="1135" t="e">
        <v>#REF!</v>
      </c>
      <c r="K1025" s="1135" t="e">
        <v>#REF!</v>
      </c>
    </row>
    <row r="1026" spans="1:11" s="1136" customFormat="1" ht="45">
      <c r="A1026" s="1131">
        <v>1020</v>
      </c>
      <c r="B1026" s="1132" t="s">
        <v>11158</v>
      </c>
      <c r="C1026" s="1133" t="s">
        <v>11159</v>
      </c>
      <c r="D1026" s="1134" t="s">
        <v>11015</v>
      </c>
      <c r="E1026" s="1135">
        <v>19530</v>
      </c>
      <c r="F1026" s="1135">
        <v>799797.7</v>
      </c>
      <c r="G1026" s="1135">
        <v>0</v>
      </c>
      <c r="H1026" s="1135" t="e">
        <v>#REF!</v>
      </c>
      <c r="I1026" s="1135" t="e">
        <v>#REF!</v>
      </c>
      <c r="J1026" s="1135" t="e">
        <v>#REF!</v>
      </c>
      <c r="K1026" s="1135" t="e">
        <v>#REF!</v>
      </c>
    </row>
    <row r="1027" spans="1:11" s="1136" customFormat="1" ht="45">
      <c r="A1027" s="1131">
        <v>1021</v>
      </c>
      <c r="B1027" s="1132" t="s">
        <v>11160</v>
      </c>
      <c r="C1027" s="1133" t="s">
        <v>11161</v>
      </c>
      <c r="D1027" s="1134" t="s">
        <v>11015</v>
      </c>
      <c r="E1027" s="1135">
        <v>22680</v>
      </c>
      <c r="F1027" s="1135">
        <v>878518</v>
      </c>
      <c r="G1027" s="1135">
        <v>0</v>
      </c>
      <c r="H1027" s="1135" t="e">
        <v>#REF!</v>
      </c>
      <c r="I1027" s="1135" t="e">
        <v>#REF!</v>
      </c>
      <c r="J1027" s="1135" t="e">
        <v>#REF!</v>
      </c>
      <c r="K1027" s="1135" t="e">
        <v>#REF!</v>
      </c>
    </row>
    <row r="1028" spans="1:11" s="1136" customFormat="1" ht="45">
      <c r="A1028" s="1131">
        <v>1022</v>
      </c>
      <c r="B1028" s="1132" t="s">
        <v>11162</v>
      </c>
      <c r="C1028" s="1133" t="s">
        <v>11163</v>
      </c>
      <c r="D1028" s="1134" t="s">
        <v>11015</v>
      </c>
      <c r="E1028" s="1135">
        <v>22806</v>
      </c>
      <c r="F1028" s="1135">
        <v>985577.5</v>
      </c>
      <c r="G1028" s="1135">
        <v>0</v>
      </c>
      <c r="H1028" s="1135" t="e">
        <v>#REF!</v>
      </c>
      <c r="I1028" s="1135" t="e">
        <v>#REF!</v>
      </c>
      <c r="J1028" s="1135" t="e">
        <v>#REF!</v>
      </c>
      <c r="K1028" s="1135" t="e">
        <v>#REF!</v>
      </c>
    </row>
    <row r="1029" spans="1:11" s="1136" customFormat="1" ht="45">
      <c r="A1029" s="1131">
        <v>1023</v>
      </c>
      <c r="B1029" s="1132" t="s">
        <v>11164</v>
      </c>
      <c r="C1029" s="1133" t="s">
        <v>11165</v>
      </c>
      <c r="D1029" s="1134" t="s">
        <v>11015</v>
      </c>
      <c r="E1029" s="1135">
        <v>22806</v>
      </c>
      <c r="F1029" s="1135">
        <v>1275268.1000000001</v>
      </c>
      <c r="G1029" s="1135">
        <v>0</v>
      </c>
      <c r="H1029" s="1135" t="e">
        <v>#REF!</v>
      </c>
      <c r="I1029" s="1135" t="e">
        <v>#REF!</v>
      </c>
      <c r="J1029" s="1135" t="e">
        <v>#REF!</v>
      </c>
      <c r="K1029" s="1135" t="e">
        <v>#REF!</v>
      </c>
    </row>
    <row r="1030" spans="1:11" s="1136" customFormat="1" ht="45">
      <c r="A1030" s="1131">
        <v>1024</v>
      </c>
      <c r="B1030" s="1132" t="s">
        <v>11166</v>
      </c>
      <c r="C1030" s="1133" t="s">
        <v>11167</v>
      </c>
      <c r="D1030" s="1134" t="s">
        <v>11015</v>
      </c>
      <c r="E1030" s="1135">
        <v>27373.5</v>
      </c>
      <c r="F1030" s="1135">
        <v>1530321.7</v>
      </c>
      <c r="G1030" s="1135">
        <v>0</v>
      </c>
      <c r="H1030" s="1135" t="e">
        <v>#REF!</v>
      </c>
      <c r="I1030" s="1135" t="e">
        <v>#REF!</v>
      </c>
      <c r="J1030" s="1135" t="e">
        <v>#REF!</v>
      </c>
      <c r="K1030" s="1135" t="e">
        <v>#REF!</v>
      </c>
    </row>
    <row r="1031" spans="1:11" s="1136" customFormat="1" ht="45">
      <c r="A1031" s="1131">
        <v>1025</v>
      </c>
      <c r="B1031" s="1132" t="s">
        <v>11168</v>
      </c>
      <c r="C1031" s="1133" t="s">
        <v>11169</v>
      </c>
      <c r="D1031" s="1134" t="s">
        <v>11015</v>
      </c>
      <c r="E1031" s="1135">
        <v>481265.6</v>
      </c>
      <c r="F1031" s="1135">
        <v>784053.7</v>
      </c>
      <c r="G1031" s="1135">
        <v>0</v>
      </c>
      <c r="H1031" s="1135" t="e">
        <v>#REF!</v>
      </c>
      <c r="I1031" s="1135" t="e">
        <v>#REF!</v>
      </c>
      <c r="J1031" s="1135" t="e">
        <v>#REF!</v>
      </c>
      <c r="K1031" s="1135" t="e">
        <v>#REF!</v>
      </c>
    </row>
    <row r="1032" spans="1:11" s="1136" customFormat="1" ht="45">
      <c r="A1032" s="1131">
        <v>1026</v>
      </c>
      <c r="B1032" s="1132" t="s">
        <v>11170</v>
      </c>
      <c r="C1032" s="1133" t="s">
        <v>11171</v>
      </c>
      <c r="D1032" s="1134" t="s">
        <v>11015</v>
      </c>
      <c r="E1032" s="1135">
        <v>481265.6</v>
      </c>
      <c r="F1032" s="1135">
        <v>979279.9</v>
      </c>
      <c r="G1032" s="1135">
        <v>0</v>
      </c>
      <c r="H1032" s="1135" t="e">
        <v>#REF!</v>
      </c>
      <c r="I1032" s="1135" t="e">
        <v>#REF!</v>
      </c>
      <c r="J1032" s="1135" t="e">
        <v>#REF!</v>
      </c>
      <c r="K1032" s="1135" t="e">
        <v>#REF!</v>
      </c>
    </row>
    <row r="1033" spans="1:11" s="1136" customFormat="1" ht="45">
      <c r="A1033" s="1131">
        <v>1027</v>
      </c>
      <c r="B1033" s="1132" t="s">
        <v>11172</v>
      </c>
      <c r="C1033" s="1133" t="s">
        <v>11173</v>
      </c>
      <c r="D1033" s="1134" t="s">
        <v>11015</v>
      </c>
      <c r="E1033" s="1135">
        <v>481423.1</v>
      </c>
      <c r="F1033" s="1135">
        <v>1174506.1000000001</v>
      </c>
      <c r="G1033" s="1135">
        <v>0</v>
      </c>
      <c r="H1033" s="1135" t="e">
        <v>#REF!</v>
      </c>
      <c r="I1033" s="1135" t="e">
        <v>#REF!</v>
      </c>
      <c r="J1033" s="1135" t="e">
        <v>#REF!</v>
      </c>
      <c r="K1033" s="1135" t="e">
        <v>#REF!</v>
      </c>
    </row>
    <row r="1034" spans="1:11" s="1136" customFormat="1" ht="45">
      <c r="A1034" s="1131">
        <v>1028</v>
      </c>
      <c r="B1034" s="1132" t="s">
        <v>11174</v>
      </c>
      <c r="C1034" s="1133" t="s">
        <v>11175</v>
      </c>
      <c r="D1034" s="1134" t="s">
        <v>11015</v>
      </c>
      <c r="E1034" s="1135">
        <v>505914.4</v>
      </c>
      <c r="F1034" s="1135">
        <v>1350839.5</v>
      </c>
      <c r="G1034" s="1135">
        <v>0</v>
      </c>
      <c r="H1034" s="1135" t="e">
        <v>#REF!</v>
      </c>
      <c r="I1034" s="1135" t="e">
        <v>#REF!</v>
      </c>
      <c r="J1034" s="1135" t="e">
        <v>#REF!</v>
      </c>
      <c r="K1034" s="1135" t="e">
        <v>#REF!</v>
      </c>
    </row>
    <row r="1035" spans="1:11" s="1136" customFormat="1" ht="45">
      <c r="A1035" s="1131">
        <v>1029</v>
      </c>
      <c r="B1035" s="1132" t="s">
        <v>11176</v>
      </c>
      <c r="C1035" s="1133" t="s">
        <v>11177</v>
      </c>
      <c r="D1035" s="1134" t="s">
        <v>11015</v>
      </c>
      <c r="E1035" s="1135">
        <v>506071.9</v>
      </c>
      <c r="F1035" s="1135">
        <v>1511428.8</v>
      </c>
      <c r="G1035" s="1135">
        <v>0</v>
      </c>
      <c r="H1035" s="1135" t="e">
        <v>#REF!</v>
      </c>
      <c r="I1035" s="1135" t="e">
        <v>#REF!</v>
      </c>
      <c r="J1035" s="1135" t="e">
        <v>#REF!</v>
      </c>
      <c r="K1035" s="1135" t="e">
        <v>#REF!</v>
      </c>
    </row>
    <row r="1036" spans="1:11" s="1136" customFormat="1" ht="45">
      <c r="A1036" s="1131">
        <v>1030</v>
      </c>
      <c r="B1036" s="1132" t="s">
        <v>11178</v>
      </c>
      <c r="C1036" s="1133" t="s">
        <v>11179</v>
      </c>
      <c r="D1036" s="1134" t="s">
        <v>11015</v>
      </c>
      <c r="E1036" s="1135">
        <v>506071.9</v>
      </c>
      <c r="F1036" s="1135">
        <v>1643678.8</v>
      </c>
      <c r="G1036" s="1135">
        <v>0</v>
      </c>
      <c r="H1036" s="1135" t="e">
        <v>#REF!</v>
      </c>
      <c r="I1036" s="1135" t="e">
        <v>#REF!</v>
      </c>
      <c r="J1036" s="1135" t="e">
        <v>#REF!</v>
      </c>
      <c r="K1036" s="1135" t="e">
        <v>#REF!</v>
      </c>
    </row>
    <row r="1037" spans="1:11" s="1136" customFormat="1" ht="45">
      <c r="A1037" s="1131">
        <v>1031</v>
      </c>
      <c r="B1037" s="1132" t="s">
        <v>11180</v>
      </c>
      <c r="C1037" s="1133" t="s">
        <v>11181</v>
      </c>
      <c r="D1037" s="1134" t="s">
        <v>11015</v>
      </c>
      <c r="E1037" s="1135">
        <v>539321.80000000005</v>
      </c>
      <c r="F1037" s="1135">
        <v>1974303.9</v>
      </c>
      <c r="G1037" s="1135">
        <v>0</v>
      </c>
      <c r="H1037" s="1135" t="e">
        <v>#REF!</v>
      </c>
      <c r="I1037" s="1135" t="e">
        <v>#REF!</v>
      </c>
      <c r="J1037" s="1135" t="e">
        <v>#REF!</v>
      </c>
      <c r="K1037" s="1135" t="e">
        <v>#REF!</v>
      </c>
    </row>
    <row r="1038" spans="1:11" s="1136" customFormat="1" ht="45">
      <c r="A1038" s="1131">
        <v>1032</v>
      </c>
      <c r="B1038" s="1132" t="s">
        <v>11182</v>
      </c>
      <c r="C1038" s="1133" t="s">
        <v>11183</v>
      </c>
      <c r="D1038" s="1134" t="s">
        <v>11015</v>
      </c>
      <c r="E1038" s="1135">
        <v>481265.6</v>
      </c>
      <c r="F1038" s="1135">
        <v>941494.2</v>
      </c>
      <c r="G1038" s="1135">
        <v>0</v>
      </c>
      <c r="H1038" s="1135" t="e">
        <v>#REF!</v>
      </c>
      <c r="I1038" s="1135" t="e">
        <v>#REF!</v>
      </c>
      <c r="J1038" s="1135" t="e">
        <v>#REF!</v>
      </c>
      <c r="K1038" s="1135" t="e">
        <v>#REF!</v>
      </c>
    </row>
    <row r="1039" spans="1:11" s="1136" customFormat="1" ht="45">
      <c r="A1039" s="1131">
        <v>1033</v>
      </c>
      <c r="B1039" s="1132" t="s">
        <v>11184</v>
      </c>
      <c r="C1039" s="1133" t="s">
        <v>11185</v>
      </c>
      <c r="D1039" s="1134" t="s">
        <v>11015</v>
      </c>
      <c r="E1039" s="1135">
        <v>481265.6</v>
      </c>
      <c r="F1039" s="1135">
        <v>1174506.1000000001</v>
      </c>
      <c r="G1039" s="1135">
        <v>0</v>
      </c>
      <c r="H1039" s="1135" t="e">
        <v>#REF!</v>
      </c>
      <c r="I1039" s="1135" t="e">
        <v>#REF!</v>
      </c>
      <c r="J1039" s="1135" t="e">
        <v>#REF!</v>
      </c>
      <c r="K1039" s="1135" t="e">
        <v>#REF!</v>
      </c>
    </row>
    <row r="1040" spans="1:11" s="1136" customFormat="1" ht="45">
      <c r="A1040" s="1131">
        <v>1034</v>
      </c>
      <c r="B1040" s="1132" t="s">
        <v>11186</v>
      </c>
      <c r="C1040" s="1133" t="s">
        <v>11187</v>
      </c>
      <c r="D1040" s="1134" t="s">
        <v>11015</v>
      </c>
      <c r="E1040" s="1135">
        <v>481423.1</v>
      </c>
      <c r="F1040" s="1135">
        <v>1410666.9</v>
      </c>
      <c r="G1040" s="1135">
        <v>0</v>
      </c>
      <c r="H1040" s="1135" t="e">
        <v>#REF!</v>
      </c>
      <c r="I1040" s="1135" t="e">
        <v>#REF!</v>
      </c>
      <c r="J1040" s="1135" t="e">
        <v>#REF!</v>
      </c>
      <c r="K1040" s="1135" t="e">
        <v>#REF!</v>
      </c>
    </row>
    <row r="1041" spans="1:11" s="1136" customFormat="1" ht="45">
      <c r="A1041" s="1131">
        <v>1035</v>
      </c>
      <c r="B1041" s="1132" t="s">
        <v>11188</v>
      </c>
      <c r="C1041" s="1133" t="s">
        <v>11189</v>
      </c>
      <c r="D1041" s="1134" t="s">
        <v>11015</v>
      </c>
      <c r="E1041" s="1135">
        <v>505914.4</v>
      </c>
      <c r="F1041" s="1135">
        <v>1624786</v>
      </c>
      <c r="G1041" s="1135">
        <v>0</v>
      </c>
      <c r="H1041" s="1135" t="e">
        <v>#REF!</v>
      </c>
      <c r="I1041" s="1135" t="e">
        <v>#REF!</v>
      </c>
      <c r="J1041" s="1135" t="e">
        <v>#REF!</v>
      </c>
      <c r="K1041" s="1135" t="e">
        <v>#REF!</v>
      </c>
    </row>
    <row r="1042" spans="1:11" s="1136" customFormat="1" ht="45">
      <c r="A1042" s="1131">
        <v>1036</v>
      </c>
      <c r="B1042" s="1132" t="s">
        <v>11190</v>
      </c>
      <c r="C1042" s="1133" t="s">
        <v>11191</v>
      </c>
      <c r="D1042" s="1134" t="s">
        <v>11015</v>
      </c>
      <c r="E1042" s="1135">
        <v>506071.9</v>
      </c>
      <c r="F1042" s="1135">
        <v>1813714.6</v>
      </c>
      <c r="G1042" s="1135">
        <v>0</v>
      </c>
      <c r="H1042" s="1135" t="e">
        <v>#REF!</v>
      </c>
      <c r="I1042" s="1135" t="e">
        <v>#REF!</v>
      </c>
      <c r="J1042" s="1135" t="e">
        <v>#REF!</v>
      </c>
      <c r="K1042" s="1135" t="e">
        <v>#REF!</v>
      </c>
    </row>
    <row r="1043" spans="1:11" s="1136" customFormat="1" ht="45">
      <c r="A1043" s="1131">
        <v>1037</v>
      </c>
      <c r="B1043" s="1132" t="s">
        <v>11192</v>
      </c>
      <c r="C1043" s="1133" t="s">
        <v>11193</v>
      </c>
      <c r="D1043" s="1134" t="s">
        <v>11015</v>
      </c>
      <c r="E1043" s="1135">
        <v>506071.9</v>
      </c>
      <c r="F1043" s="1135">
        <v>1977452.7</v>
      </c>
      <c r="G1043" s="1135">
        <v>0</v>
      </c>
      <c r="H1043" s="1135" t="e">
        <v>#REF!</v>
      </c>
      <c r="I1043" s="1135" t="e">
        <v>#REF!</v>
      </c>
      <c r="J1043" s="1135" t="e">
        <v>#REF!</v>
      </c>
      <c r="K1043" s="1135" t="e">
        <v>#REF!</v>
      </c>
    </row>
    <row r="1044" spans="1:11" s="1136" customFormat="1" ht="45">
      <c r="A1044" s="1131">
        <v>1038</v>
      </c>
      <c r="B1044" s="1132" t="s">
        <v>11194</v>
      </c>
      <c r="C1044" s="1133" t="s">
        <v>11195</v>
      </c>
      <c r="D1044" s="1134" t="s">
        <v>11015</v>
      </c>
      <c r="E1044" s="1135">
        <v>539321.80000000005</v>
      </c>
      <c r="F1044" s="1135">
        <v>2273440.7999999998</v>
      </c>
      <c r="G1044" s="1135">
        <v>0</v>
      </c>
      <c r="H1044" s="1135" t="e">
        <v>#REF!</v>
      </c>
      <c r="I1044" s="1135" t="e">
        <v>#REF!</v>
      </c>
      <c r="J1044" s="1135" t="e">
        <v>#REF!</v>
      </c>
      <c r="K1044" s="1135" t="e">
        <v>#REF!</v>
      </c>
    </row>
    <row r="1045" spans="1:11" s="1136" customFormat="1" ht="45">
      <c r="A1045" s="1131">
        <v>1039</v>
      </c>
      <c r="B1045" s="1132" t="s">
        <v>11196</v>
      </c>
      <c r="C1045" s="1133" t="s">
        <v>11197</v>
      </c>
      <c r="D1045" s="1134" t="s">
        <v>11015</v>
      </c>
      <c r="E1045" s="1135">
        <v>481265.6</v>
      </c>
      <c r="F1045" s="1135">
        <v>1467345.5</v>
      </c>
      <c r="G1045" s="1135">
        <v>0</v>
      </c>
      <c r="H1045" s="1135" t="e">
        <v>#REF!</v>
      </c>
      <c r="I1045" s="1135" t="e">
        <v>#REF!</v>
      </c>
      <c r="J1045" s="1135" t="e">
        <v>#REF!</v>
      </c>
      <c r="K1045" s="1135" t="e">
        <v>#REF!</v>
      </c>
    </row>
    <row r="1046" spans="1:11" s="1136" customFormat="1" ht="45">
      <c r="A1046" s="1131">
        <v>1040</v>
      </c>
      <c r="B1046" s="1132" t="s">
        <v>11198</v>
      </c>
      <c r="C1046" s="1133" t="s">
        <v>11199</v>
      </c>
      <c r="D1046" s="1134" t="s">
        <v>11015</v>
      </c>
      <c r="E1046" s="1135">
        <v>481265.6</v>
      </c>
      <c r="F1046" s="1135">
        <v>1634232.4</v>
      </c>
      <c r="G1046" s="1135">
        <v>0</v>
      </c>
      <c r="H1046" s="1135" t="e">
        <v>#REF!</v>
      </c>
      <c r="I1046" s="1135" t="e">
        <v>#REF!</v>
      </c>
      <c r="J1046" s="1135" t="e">
        <v>#REF!</v>
      </c>
      <c r="K1046" s="1135" t="e">
        <v>#REF!</v>
      </c>
    </row>
    <row r="1047" spans="1:11" s="1136" customFormat="1" ht="45">
      <c r="A1047" s="1131">
        <v>1041</v>
      </c>
      <c r="B1047" s="1132" t="s">
        <v>11200</v>
      </c>
      <c r="C1047" s="1133" t="s">
        <v>11201</v>
      </c>
      <c r="D1047" s="1134" t="s">
        <v>11015</v>
      </c>
      <c r="E1047" s="1135">
        <v>481423.1</v>
      </c>
      <c r="F1047" s="1135">
        <v>1804268.1</v>
      </c>
      <c r="G1047" s="1135">
        <v>0</v>
      </c>
      <c r="H1047" s="1135" t="e">
        <v>#REF!</v>
      </c>
      <c r="I1047" s="1135" t="e">
        <v>#REF!</v>
      </c>
      <c r="J1047" s="1135" t="e">
        <v>#REF!</v>
      </c>
      <c r="K1047" s="1135" t="e">
        <v>#REF!</v>
      </c>
    </row>
    <row r="1048" spans="1:11" s="1136" customFormat="1" ht="45">
      <c r="A1048" s="1131">
        <v>1042</v>
      </c>
      <c r="B1048" s="1132" t="s">
        <v>11202</v>
      </c>
      <c r="C1048" s="1133" t="s">
        <v>11203</v>
      </c>
      <c r="D1048" s="1134" t="s">
        <v>11015</v>
      </c>
      <c r="E1048" s="1135">
        <v>505914.4</v>
      </c>
      <c r="F1048" s="1135">
        <v>1971155.1</v>
      </c>
      <c r="G1048" s="1135">
        <v>0</v>
      </c>
      <c r="H1048" s="1135" t="e">
        <v>#REF!</v>
      </c>
      <c r="I1048" s="1135" t="e">
        <v>#REF!</v>
      </c>
      <c r="J1048" s="1135" t="e">
        <v>#REF!</v>
      </c>
      <c r="K1048" s="1135" t="e">
        <v>#REF!</v>
      </c>
    </row>
    <row r="1049" spans="1:11" s="1136" customFormat="1" ht="45">
      <c r="A1049" s="1131">
        <v>1043</v>
      </c>
      <c r="B1049" s="1132" t="s">
        <v>11204</v>
      </c>
      <c r="C1049" s="1133" t="s">
        <v>11205</v>
      </c>
      <c r="D1049" s="1134" t="s">
        <v>11015</v>
      </c>
      <c r="E1049" s="1135">
        <v>506071.9</v>
      </c>
      <c r="F1049" s="1135">
        <v>2333268.2000000002</v>
      </c>
      <c r="G1049" s="1135">
        <v>0</v>
      </c>
      <c r="H1049" s="1135" t="e">
        <v>#REF!</v>
      </c>
      <c r="I1049" s="1135" t="e">
        <v>#REF!</v>
      </c>
      <c r="J1049" s="1135" t="e">
        <v>#REF!</v>
      </c>
      <c r="K1049" s="1135" t="e">
        <v>#REF!</v>
      </c>
    </row>
    <row r="1050" spans="1:11" s="1136" customFormat="1" ht="45">
      <c r="A1050" s="1131">
        <v>1044</v>
      </c>
      <c r="B1050" s="1132" t="s">
        <v>11206</v>
      </c>
      <c r="C1050" s="1133" t="s">
        <v>11207</v>
      </c>
      <c r="D1050" s="1134" t="s">
        <v>11015</v>
      </c>
      <c r="E1050" s="1135">
        <v>506071.9</v>
      </c>
      <c r="F1050" s="1135">
        <v>2380500.4</v>
      </c>
      <c r="G1050" s="1135">
        <v>0</v>
      </c>
      <c r="H1050" s="1135" t="e">
        <v>#REF!</v>
      </c>
      <c r="I1050" s="1135" t="e">
        <v>#REF!</v>
      </c>
      <c r="J1050" s="1135" t="e">
        <v>#REF!</v>
      </c>
      <c r="K1050" s="1135" t="e">
        <v>#REF!</v>
      </c>
    </row>
    <row r="1051" spans="1:11" s="1136" customFormat="1" ht="45">
      <c r="A1051" s="1131">
        <v>1045</v>
      </c>
      <c r="B1051" s="1132" t="s">
        <v>11208</v>
      </c>
      <c r="C1051" s="1133" t="s">
        <v>11209</v>
      </c>
      <c r="D1051" s="1134" t="s">
        <v>11015</v>
      </c>
      <c r="E1051" s="1135">
        <v>539321.80000000005</v>
      </c>
      <c r="F1051" s="1135">
        <v>2855970.7</v>
      </c>
      <c r="G1051" s="1135">
        <v>0</v>
      </c>
      <c r="H1051" s="1135" t="e">
        <v>#REF!</v>
      </c>
      <c r="I1051" s="1135" t="e">
        <v>#REF!</v>
      </c>
      <c r="J1051" s="1135" t="e">
        <v>#REF!</v>
      </c>
      <c r="K1051" s="1135" t="e">
        <v>#REF!</v>
      </c>
    </row>
    <row r="1052" spans="1:11" s="1136" customFormat="1" ht="45">
      <c r="A1052" s="1131">
        <v>1046</v>
      </c>
      <c r="B1052" s="1132" t="s">
        <v>11210</v>
      </c>
      <c r="C1052" s="1133" t="s">
        <v>11211</v>
      </c>
      <c r="D1052" s="1134" t="s">
        <v>11015</v>
      </c>
      <c r="E1052" s="1135">
        <v>481265.6</v>
      </c>
      <c r="F1052" s="1135">
        <v>1908178.9</v>
      </c>
      <c r="G1052" s="1135">
        <v>0</v>
      </c>
      <c r="H1052" s="1135" t="e">
        <v>#REF!</v>
      </c>
      <c r="I1052" s="1135" t="e">
        <v>#REF!</v>
      </c>
      <c r="J1052" s="1135" t="e">
        <v>#REF!</v>
      </c>
      <c r="K1052" s="1135" t="e">
        <v>#REF!</v>
      </c>
    </row>
    <row r="1053" spans="1:11" s="1136" customFormat="1" ht="45">
      <c r="A1053" s="1131">
        <v>1047</v>
      </c>
      <c r="B1053" s="1132" t="s">
        <v>11212</v>
      </c>
      <c r="C1053" s="1133" t="s">
        <v>11213</v>
      </c>
      <c r="D1053" s="1134" t="s">
        <v>11015</v>
      </c>
      <c r="E1053" s="1135">
        <v>481265.6</v>
      </c>
      <c r="F1053" s="1135">
        <v>2112851.5</v>
      </c>
      <c r="G1053" s="1135">
        <v>0</v>
      </c>
      <c r="H1053" s="1135" t="e">
        <v>#REF!</v>
      </c>
      <c r="I1053" s="1135" t="e">
        <v>#REF!</v>
      </c>
      <c r="J1053" s="1135" t="e">
        <v>#REF!</v>
      </c>
      <c r="K1053" s="1135" t="e">
        <v>#REF!</v>
      </c>
    </row>
    <row r="1054" spans="1:11" s="1136" customFormat="1" ht="45">
      <c r="A1054" s="1131">
        <v>1048</v>
      </c>
      <c r="B1054" s="1132" t="s">
        <v>11214</v>
      </c>
      <c r="C1054" s="1133" t="s">
        <v>11215</v>
      </c>
      <c r="D1054" s="1134" t="s">
        <v>11015</v>
      </c>
      <c r="E1054" s="1135">
        <v>481423.1</v>
      </c>
      <c r="F1054" s="1135">
        <v>2349012.2999999998</v>
      </c>
      <c r="G1054" s="1135">
        <v>0</v>
      </c>
      <c r="H1054" s="1135" t="e">
        <v>#REF!</v>
      </c>
      <c r="I1054" s="1135" t="e">
        <v>#REF!</v>
      </c>
      <c r="J1054" s="1135" t="e">
        <v>#REF!</v>
      </c>
      <c r="K1054" s="1135" t="e">
        <v>#REF!</v>
      </c>
    </row>
    <row r="1055" spans="1:11" s="1136" customFormat="1" ht="45">
      <c r="A1055" s="1131">
        <v>1049</v>
      </c>
      <c r="B1055" s="1132" t="s">
        <v>11216</v>
      </c>
      <c r="C1055" s="1133" t="s">
        <v>11217</v>
      </c>
      <c r="D1055" s="1134" t="s">
        <v>11015</v>
      </c>
      <c r="E1055" s="1135">
        <v>505914.4</v>
      </c>
      <c r="F1055" s="1135">
        <v>2559982.5</v>
      </c>
      <c r="G1055" s="1135">
        <v>0</v>
      </c>
      <c r="H1055" s="1135" t="e">
        <v>#REF!</v>
      </c>
      <c r="I1055" s="1135" t="e">
        <v>#REF!</v>
      </c>
      <c r="J1055" s="1135" t="e">
        <v>#REF!</v>
      </c>
      <c r="K1055" s="1135" t="e">
        <v>#REF!</v>
      </c>
    </row>
    <row r="1056" spans="1:11" s="1136" customFormat="1" ht="45">
      <c r="A1056" s="1131">
        <v>1050</v>
      </c>
      <c r="B1056" s="1132" t="s">
        <v>11218</v>
      </c>
      <c r="C1056" s="1133" t="s">
        <v>11219</v>
      </c>
      <c r="D1056" s="1134" t="s">
        <v>11015</v>
      </c>
      <c r="E1056" s="1135">
        <v>506071.9</v>
      </c>
      <c r="F1056" s="1135">
        <v>3029155.2</v>
      </c>
      <c r="G1056" s="1135">
        <v>0</v>
      </c>
      <c r="H1056" s="1135" t="e">
        <v>#REF!</v>
      </c>
      <c r="I1056" s="1135" t="e">
        <v>#REF!</v>
      </c>
      <c r="J1056" s="1135" t="e">
        <v>#REF!</v>
      </c>
      <c r="K1056" s="1135" t="e">
        <v>#REF!</v>
      </c>
    </row>
    <row r="1057" spans="1:11" s="1136" customFormat="1" ht="45">
      <c r="A1057" s="1131">
        <v>1051</v>
      </c>
      <c r="B1057" s="1132" t="s">
        <v>11220</v>
      </c>
      <c r="C1057" s="1133" t="s">
        <v>11221</v>
      </c>
      <c r="D1057" s="1134" t="s">
        <v>11015</v>
      </c>
      <c r="E1057" s="1135">
        <v>506071.9</v>
      </c>
      <c r="F1057" s="1135">
        <v>3095280.2</v>
      </c>
      <c r="G1057" s="1135">
        <v>0</v>
      </c>
      <c r="H1057" s="1135" t="e">
        <v>#REF!</v>
      </c>
      <c r="I1057" s="1135" t="e">
        <v>#REF!</v>
      </c>
      <c r="J1057" s="1135" t="e">
        <v>#REF!</v>
      </c>
      <c r="K1057" s="1135" t="e">
        <v>#REF!</v>
      </c>
    </row>
    <row r="1058" spans="1:11" s="1136" customFormat="1" ht="45">
      <c r="A1058" s="1131">
        <v>1052</v>
      </c>
      <c r="B1058" s="1132" t="s">
        <v>11222</v>
      </c>
      <c r="C1058" s="1133" t="s">
        <v>11223</v>
      </c>
      <c r="D1058" s="1134" t="s">
        <v>11015</v>
      </c>
      <c r="E1058" s="1135">
        <v>539321.80000000005</v>
      </c>
      <c r="F1058" s="1135">
        <v>3712447</v>
      </c>
      <c r="G1058" s="1135">
        <v>0</v>
      </c>
      <c r="H1058" s="1135" t="e">
        <v>#REF!</v>
      </c>
      <c r="I1058" s="1135" t="e">
        <v>#REF!</v>
      </c>
      <c r="J1058" s="1135" t="e">
        <v>#REF!</v>
      </c>
      <c r="K1058" s="1135" t="e">
        <v>#REF!</v>
      </c>
    </row>
    <row r="1059" spans="1:11" s="1136" customFormat="1" ht="45">
      <c r="A1059" s="1131">
        <v>1053</v>
      </c>
      <c r="B1059" s="1132" t="s">
        <v>11224</v>
      </c>
      <c r="C1059" s="1133" t="s">
        <v>11225</v>
      </c>
      <c r="D1059" s="1134" t="s">
        <v>11226</v>
      </c>
      <c r="E1059" s="1135">
        <v>32760</v>
      </c>
      <c r="F1059" s="1135">
        <v>1990047.9</v>
      </c>
      <c r="G1059" s="1135">
        <v>0</v>
      </c>
      <c r="H1059" s="1135" t="e">
        <v>#REF!</v>
      </c>
      <c r="I1059" s="1135" t="e">
        <v>#REF!</v>
      </c>
      <c r="J1059" s="1135" t="e">
        <v>#REF!</v>
      </c>
      <c r="K1059" s="1135" t="e">
        <v>#REF!</v>
      </c>
    </row>
    <row r="1060" spans="1:11" s="1136" customFormat="1" ht="45">
      <c r="A1060" s="1131">
        <v>1054</v>
      </c>
      <c r="B1060" s="1132" t="s">
        <v>11227</v>
      </c>
      <c r="C1060" s="1133" t="s">
        <v>11228</v>
      </c>
      <c r="D1060" s="1134" t="s">
        <v>11226</v>
      </c>
      <c r="E1060" s="1135">
        <v>32760</v>
      </c>
      <c r="F1060" s="1135">
        <v>2188423</v>
      </c>
      <c r="G1060" s="1135">
        <v>0</v>
      </c>
      <c r="H1060" s="1135" t="e">
        <v>#REF!</v>
      </c>
      <c r="I1060" s="1135" t="e">
        <v>#REF!</v>
      </c>
      <c r="J1060" s="1135" t="e">
        <v>#REF!</v>
      </c>
      <c r="K1060" s="1135" t="e">
        <v>#REF!</v>
      </c>
    </row>
    <row r="1061" spans="1:11" s="1136" customFormat="1" ht="45">
      <c r="A1061" s="1131">
        <v>1055</v>
      </c>
      <c r="B1061" s="1132" t="s">
        <v>11229</v>
      </c>
      <c r="C1061" s="1133" t="s">
        <v>11230</v>
      </c>
      <c r="D1061" s="1134" t="s">
        <v>11226</v>
      </c>
      <c r="E1061" s="1135">
        <v>39060</v>
      </c>
      <c r="F1061" s="1135">
        <v>2405690.7999999998</v>
      </c>
      <c r="G1061" s="1135">
        <v>0</v>
      </c>
      <c r="H1061" s="1135" t="e">
        <v>#REF!</v>
      </c>
      <c r="I1061" s="1135" t="e">
        <v>#REF!</v>
      </c>
      <c r="J1061" s="1135" t="e">
        <v>#REF!</v>
      </c>
      <c r="K1061" s="1135" t="e">
        <v>#REF!</v>
      </c>
    </row>
    <row r="1062" spans="1:11" s="1136" customFormat="1" ht="45">
      <c r="A1062" s="1131">
        <v>1056</v>
      </c>
      <c r="B1062" s="1132" t="s">
        <v>11231</v>
      </c>
      <c r="C1062" s="1133" t="s">
        <v>11232</v>
      </c>
      <c r="D1062" s="1134" t="s">
        <v>11226</v>
      </c>
      <c r="E1062" s="1135">
        <v>40320</v>
      </c>
      <c r="F1062" s="1135">
        <v>2638702.7999999998</v>
      </c>
      <c r="G1062" s="1135">
        <v>0</v>
      </c>
      <c r="H1062" s="1135" t="e">
        <v>#REF!</v>
      </c>
      <c r="I1062" s="1135" t="e">
        <v>#REF!</v>
      </c>
      <c r="J1062" s="1135" t="e">
        <v>#REF!</v>
      </c>
      <c r="K1062" s="1135" t="e">
        <v>#REF!</v>
      </c>
    </row>
    <row r="1063" spans="1:11" s="1136" customFormat="1" ht="45">
      <c r="A1063" s="1131">
        <v>1057</v>
      </c>
      <c r="B1063" s="1132" t="s">
        <v>11233</v>
      </c>
      <c r="C1063" s="1133" t="s">
        <v>11234</v>
      </c>
      <c r="D1063" s="1134" t="s">
        <v>11226</v>
      </c>
      <c r="E1063" s="1135">
        <v>46620</v>
      </c>
      <c r="F1063" s="1135">
        <v>2956732.6</v>
      </c>
      <c r="G1063" s="1135">
        <v>0</v>
      </c>
      <c r="H1063" s="1135" t="e">
        <v>#REF!</v>
      </c>
      <c r="I1063" s="1135" t="e">
        <v>#REF!</v>
      </c>
      <c r="J1063" s="1135" t="e">
        <v>#REF!</v>
      </c>
      <c r="K1063" s="1135" t="e">
        <v>#REF!</v>
      </c>
    </row>
    <row r="1064" spans="1:11" s="1136" customFormat="1" ht="45">
      <c r="A1064" s="1131">
        <v>1058</v>
      </c>
      <c r="B1064" s="1132" t="s">
        <v>11235</v>
      </c>
      <c r="C1064" s="1133" t="s">
        <v>11236</v>
      </c>
      <c r="D1064" s="1134" t="s">
        <v>11226</v>
      </c>
      <c r="E1064" s="1135">
        <v>46620</v>
      </c>
      <c r="F1064" s="1135">
        <v>3828953</v>
      </c>
      <c r="G1064" s="1135">
        <v>0</v>
      </c>
      <c r="H1064" s="1135" t="e">
        <v>#REF!</v>
      </c>
      <c r="I1064" s="1135" t="e">
        <v>#REF!</v>
      </c>
      <c r="J1064" s="1135" t="e">
        <v>#REF!</v>
      </c>
      <c r="K1064" s="1135" t="e">
        <v>#REF!</v>
      </c>
    </row>
    <row r="1065" spans="1:11" s="1136" customFormat="1" ht="45">
      <c r="A1065" s="1131">
        <v>1059</v>
      </c>
      <c r="B1065" s="1132" t="s">
        <v>11237</v>
      </c>
      <c r="C1065" s="1133" t="s">
        <v>11238</v>
      </c>
      <c r="D1065" s="1134" t="s">
        <v>11226</v>
      </c>
      <c r="E1065" s="1135">
        <v>55944</v>
      </c>
      <c r="F1065" s="1135">
        <v>4594113.8</v>
      </c>
      <c r="G1065" s="1135">
        <v>0</v>
      </c>
      <c r="H1065" s="1135" t="e">
        <v>#REF!</v>
      </c>
      <c r="I1065" s="1135" t="e">
        <v>#REF!</v>
      </c>
      <c r="J1065" s="1135" t="e">
        <v>#REF!</v>
      </c>
      <c r="K1065" s="1135" t="e">
        <v>#REF!</v>
      </c>
    </row>
    <row r="1066" spans="1:11" s="1136" customFormat="1" ht="45">
      <c r="A1066" s="1131">
        <v>1060</v>
      </c>
      <c r="B1066" s="1132" t="s">
        <v>11239</v>
      </c>
      <c r="C1066" s="1133" t="s">
        <v>11240</v>
      </c>
      <c r="D1066" s="1134" t="s">
        <v>11226</v>
      </c>
      <c r="E1066" s="1135">
        <v>32760</v>
      </c>
      <c r="F1066" s="1135">
        <v>2585173</v>
      </c>
      <c r="G1066" s="1135">
        <v>0</v>
      </c>
      <c r="H1066" s="1135" t="e">
        <v>#REF!</v>
      </c>
      <c r="I1066" s="1135" t="e">
        <v>#REF!</v>
      </c>
      <c r="J1066" s="1135" t="e">
        <v>#REF!</v>
      </c>
      <c r="K1066" s="1135" t="e">
        <v>#REF!</v>
      </c>
    </row>
    <row r="1067" spans="1:11" s="1136" customFormat="1" ht="45">
      <c r="A1067" s="1131">
        <v>1061</v>
      </c>
      <c r="B1067" s="1132" t="s">
        <v>11241</v>
      </c>
      <c r="C1067" s="1133" t="s">
        <v>11242</v>
      </c>
      <c r="D1067" s="1134" t="s">
        <v>11226</v>
      </c>
      <c r="E1067" s="1135">
        <v>32760</v>
      </c>
      <c r="F1067" s="1135">
        <v>2843375.4</v>
      </c>
      <c r="G1067" s="1135">
        <v>0</v>
      </c>
      <c r="H1067" s="1135" t="e">
        <v>#REF!</v>
      </c>
      <c r="I1067" s="1135" t="e">
        <v>#REF!</v>
      </c>
      <c r="J1067" s="1135" t="e">
        <v>#REF!</v>
      </c>
      <c r="K1067" s="1135" t="e">
        <v>#REF!</v>
      </c>
    </row>
    <row r="1068" spans="1:11" s="1136" customFormat="1" ht="45">
      <c r="A1068" s="1131">
        <v>1062</v>
      </c>
      <c r="B1068" s="1132" t="s">
        <v>11243</v>
      </c>
      <c r="C1068" s="1133" t="s">
        <v>11244</v>
      </c>
      <c r="D1068" s="1134" t="s">
        <v>11226</v>
      </c>
      <c r="E1068" s="1135">
        <v>39060</v>
      </c>
      <c r="F1068" s="1135">
        <v>3126768.3</v>
      </c>
      <c r="G1068" s="1135">
        <v>0</v>
      </c>
      <c r="H1068" s="1135" t="e">
        <v>#REF!</v>
      </c>
      <c r="I1068" s="1135" t="e">
        <v>#REF!</v>
      </c>
      <c r="J1068" s="1135" t="e">
        <v>#REF!</v>
      </c>
      <c r="K1068" s="1135" t="e">
        <v>#REF!</v>
      </c>
    </row>
    <row r="1069" spans="1:11" s="1136" customFormat="1" ht="45">
      <c r="A1069" s="1131">
        <v>1063</v>
      </c>
      <c r="B1069" s="1132" t="s">
        <v>11245</v>
      </c>
      <c r="C1069" s="1133" t="s">
        <v>11246</v>
      </c>
      <c r="D1069" s="1134" t="s">
        <v>11226</v>
      </c>
      <c r="E1069" s="1135">
        <v>40320</v>
      </c>
      <c r="F1069" s="1135">
        <v>3432202.9</v>
      </c>
      <c r="G1069" s="1135">
        <v>0</v>
      </c>
      <c r="H1069" s="1135" t="e">
        <v>#REF!</v>
      </c>
      <c r="I1069" s="1135" t="e">
        <v>#REF!</v>
      </c>
      <c r="J1069" s="1135" t="e">
        <v>#REF!</v>
      </c>
      <c r="K1069" s="1135" t="e">
        <v>#REF!</v>
      </c>
    </row>
    <row r="1070" spans="1:11" s="1136" customFormat="1" ht="45">
      <c r="A1070" s="1131">
        <v>1064</v>
      </c>
      <c r="B1070" s="1132" t="s">
        <v>11247</v>
      </c>
      <c r="C1070" s="1133" t="s">
        <v>11248</v>
      </c>
      <c r="D1070" s="1134" t="s">
        <v>11226</v>
      </c>
      <c r="E1070" s="1135">
        <v>46620</v>
      </c>
      <c r="F1070" s="1135">
        <v>3844697</v>
      </c>
      <c r="G1070" s="1135">
        <v>0</v>
      </c>
      <c r="H1070" s="1135" t="e">
        <v>#REF!</v>
      </c>
      <c r="I1070" s="1135" t="e">
        <v>#REF!</v>
      </c>
      <c r="J1070" s="1135" t="e">
        <v>#REF!</v>
      </c>
      <c r="K1070" s="1135" t="e">
        <v>#REF!</v>
      </c>
    </row>
    <row r="1071" spans="1:11" s="1136" customFormat="1" ht="45">
      <c r="A1071" s="1131">
        <v>1065</v>
      </c>
      <c r="B1071" s="1132" t="s">
        <v>11249</v>
      </c>
      <c r="C1071" s="1133" t="s">
        <v>11250</v>
      </c>
      <c r="D1071" s="1134" t="s">
        <v>11226</v>
      </c>
      <c r="E1071" s="1135">
        <v>46620</v>
      </c>
      <c r="F1071" s="1135">
        <v>4978268.5999999996</v>
      </c>
      <c r="G1071" s="1135">
        <v>0</v>
      </c>
      <c r="H1071" s="1135" t="e">
        <v>#REF!</v>
      </c>
      <c r="I1071" s="1135" t="e">
        <v>#REF!</v>
      </c>
      <c r="J1071" s="1135" t="e">
        <v>#REF!</v>
      </c>
      <c r="K1071" s="1135" t="e">
        <v>#REF!</v>
      </c>
    </row>
    <row r="1072" spans="1:11" s="1136" customFormat="1" ht="45">
      <c r="A1072" s="1131">
        <v>1066</v>
      </c>
      <c r="B1072" s="1132" t="s">
        <v>11251</v>
      </c>
      <c r="C1072" s="1133" t="s">
        <v>11252</v>
      </c>
      <c r="D1072" s="1134" t="s">
        <v>11226</v>
      </c>
      <c r="E1072" s="1135">
        <v>55944</v>
      </c>
      <c r="F1072" s="1135">
        <v>5973292.5999999996</v>
      </c>
      <c r="G1072" s="1135">
        <v>0</v>
      </c>
      <c r="H1072" s="1135" t="e">
        <v>#REF!</v>
      </c>
      <c r="I1072" s="1135" t="e">
        <v>#REF!</v>
      </c>
      <c r="J1072" s="1135" t="e">
        <v>#REF!</v>
      </c>
      <c r="K1072" s="1135" t="e">
        <v>#REF!</v>
      </c>
    </row>
    <row r="1073" spans="1:11" s="1136" customFormat="1" ht="45">
      <c r="A1073" s="1131">
        <v>1067</v>
      </c>
      <c r="B1073" s="1132" t="s">
        <v>11253</v>
      </c>
      <c r="C1073" s="1133" t="s">
        <v>11254</v>
      </c>
      <c r="D1073" s="1134" t="s">
        <v>11226</v>
      </c>
      <c r="E1073" s="1135">
        <v>619664.1</v>
      </c>
      <c r="F1073" s="1135">
        <v>3813208.9</v>
      </c>
      <c r="G1073" s="1135">
        <v>0</v>
      </c>
      <c r="H1073" s="1135" t="e">
        <v>#REF!</v>
      </c>
      <c r="I1073" s="1135" t="e">
        <v>#REF!</v>
      </c>
      <c r="J1073" s="1135" t="e">
        <v>#REF!</v>
      </c>
      <c r="K1073" s="1135" t="e">
        <v>#REF!</v>
      </c>
    </row>
    <row r="1074" spans="1:11" s="1136" customFormat="1" ht="45">
      <c r="A1074" s="1131">
        <v>1068</v>
      </c>
      <c r="B1074" s="1132" t="s">
        <v>11255</v>
      </c>
      <c r="C1074" s="1133" t="s">
        <v>11256</v>
      </c>
      <c r="D1074" s="1134" t="s">
        <v>11226</v>
      </c>
      <c r="E1074" s="1135">
        <v>619664.1</v>
      </c>
      <c r="F1074" s="1135">
        <v>4250893.5</v>
      </c>
      <c r="G1074" s="1135">
        <v>0</v>
      </c>
      <c r="H1074" s="1135" t="e">
        <v>#REF!</v>
      </c>
      <c r="I1074" s="1135" t="e">
        <v>#REF!</v>
      </c>
      <c r="J1074" s="1135" t="e">
        <v>#REF!</v>
      </c>
      <c r="K1074" s="1135" t="e">
        <v>#REF!</v>
      </c>
    </row>
    <row r="1075" spans="1:11" s="1136" customFormat="1" ht="45">
      <c r="A1075" s="1131">
        <v>1069</v>
      </c>
      <c r="B1075" s="1132" t="s">
        <v>11257</v>
      </c>
      <c r="C1075" s="1133" t="s">
        <v>11258</v>
      </c>
      <c r="D1075" s="1134" t="s">
        <v>11226</v>
      </c>
      <c r="E1075" s="1135">
        <v>619664.1</v>
      </c>
      <c r="F1075" s="1135">
        <v>4688578.0999999996</v>
      </c>
      <c r="G1075" s="1135">
        <v>0</v>
      </c>
      <c r="H1075" s="1135" t="e">
        <v>#REF!</v>
      </c>
      <c r="I1075" s="1135" t="e">
        <v>#REF!</v>
      </c>
      <c r="J1075" s="1135" t="e">
        <v>#REF!</v>
      </c>
      <c r="K1075" s="1135" t="e">
        <v>#REF!</v>
      </c>
    </row>
    <row r="1076" spans="1:11" s="1136" customFormat="1" ht="45">
      <c r="A1076" s="1131">
        <v>1070</v>
      </c>
      <c r="B1076" s="1132" t="s">
        <v>11259</v>
      </c>
      <c r="C1076" s="1133" t="s">
        <v>11260</v>
      </c>
      <c r="D1076" s="1134" t="s">
        <v>11226</v>
      </c>
      <c r="E1076" s="1135">
        <v>678595.4</v>
      </c>
      <c r="F1076" s="1135">
        <v>5123113.9000000004</v>
      </c>
      <c r="G1076" s="1135">
        <v>0</v>
      </c>
      <c r="H1076" s="1135" t="e">
        <v>#REF!</v>
      </c>
      <c r="I1076" s="1135" t="e">
        <v>#REF!</v>
      </c>
      <c r="J1076" s="1135" t="e">
        <v>#REF!</v>
      </c>
      <c r="K1076" s="1135" t="e">
        <v>#REF!</v>
      </c>
    </row>
    <row r="1077" spans="1:11" s="1136" customFormat="1" ht="45">
      <c r="A1077" s="1131">
        <v>1071</v>
      </c>
      <c r="B1077" s="1132" t="s">
        <v>11261</v>
      </c>
      <c r="C1077" s="1133" t="s">
        <v>11262</v>
      </c>
      <c r="D1077" s="1134" t="s">
        <v>11226</v>
      </c>
      <c r="E1077" s="1135">
        <v>678595.4</v>
      </c>
      <c r="F1077" s="1135">
        <v>6061459.2999999998</v>
      </c>
      <c r="G1077" s="1135">
        <v>0</v>
      </c>
      <c r="H1077" s="1135" t="e">
        <v>#REF!</v>
      </c>
      <c r="I1077" s="1135" t="e">
        <v>#REF!</v>
      </c>
      <c r="J1077" s="1135" t="e">
        <v>#REF!</v>
      </c>
      <c r="K1077" s="1135" t="e">
        <v>#REF!</v>
      </c>
    </row>
    <row r="1078" spans="1:11" s="1136" customFormat="1" ht="45">
      <c r="A1078" s="1131">
        <v>1072</v>
      </c>
      <c r="B1078" s="1132" t="s">
        <v>11263</v>
      </c>
      <c r="C1078" s="1133" t="s">
        <v>11264</v>
      </c>
      <c r="D1078" s="1134" t="s">
        <v>11226</v>
      </c>
      <c r="E1078" s="1135">
        <v>678595.4</v>
      </c>
      <c r="F1078" s="1135">
        <v>6187411.7000000002</v>
      </c>
      <c r="G1078" s="1135">
        <v>0</v>
      </c>
      <c r="H1078" s="1135" t="e">
        <v>#REF!</v>
      </c>
      <c r="I1078" s="1135" t="e">
        <v>#REF!</v>
      </c>
      <c r="J1078" s="1135" t="e">
        <v>#REF!</v>
      </c>
      <c r="K1078" s="1135" t="e">
        <v>#REF!</v>
      </c>
    </row>
    <row r="1079" spans="1:11" s="1136" customFormat="1" ht="45">
      <c r="A1079" s="1131">
        <v>1073</v>
      </c>
      <c r="B1079" s="1132" t="s">
        <v>11265</v>
      </c>
      <c r="C1079" s="1133" t="s">
        <v>11266</v>
      </c>
      <c r="D1079" s="1134" t="s">
        <v>11226</v>
      </c>
      <c r="E1079" s="1135">
        <v>756976.1</v>
      </c>
      <c r="F1079" s="1135">
        <v>7428042.7999999998</v>
      </c>
      <c r="G1079" s="1135">
        <v>0</v>
      </c>
      <c r="H1079" s="1135" t="e">
        <v>#REF!</v>
      </c>
      <c r="I1079" s="1135" t="e">
        <v>#REF!</v>
      </c>
      <c r="J1079" s="1135" t="e">
        <v>#REF!</v>
      </c>
      <c r="K1079" s="1135" t="e">
        <v>#REF!</v>
      </c>
    </row>
    <row r="1080" spans="1:11" s="1136" customFormat="1" ht="45">
      <c r="A1080" s="1131">
        <v>1074</v>
      </c>
      <c r="B1080" s="1132" t="s">
        <v>11267</v>
      </c>
      <c r="C1080" s="1133" t="s">
        <v>11268</v>
      </c>
      <c r="D1080" s="1134" t="s">
        <v>11226</v>
      </c>
      <c r="E1080" s="1135">
        <v>619664.1</v>
      </c>
      <c r="F1080" s="1135">
        <v>4962524.5999999996</v>
      </c>
      <c r="G1080" s="1135">
        <v>0</v>
      </c>
      <c r="H1080" s="1135" t="e">
        <v>#REF!</v>
      </c>
      <c r="I1080" s="1135" t="e">
        <v>#REF!</v>
      </c>
      <c r="J1080" s="1135" t="e">
        <v>#REF!</v>
      </c>
      <c r="K1080" s="1135" t="e">
        <v>#REF!</v>
      </c>
    </row>
    <row r="1081" spans="1:11" s="1136" customFormat="1" ht="45">
      <c r="A1081" s="1131">
        <v>1075</v>
      </c>
      <c r="B1081" s="1132" t="s">
        <v>11269</v>
      </c>
      <c r="C1081" s="1133" t="s">
        <v>11270</v>
      </c>
      <c r="D1081" s="1134" t="s">
        <v>11226</v>
      </c>
      <c r="E1081" s="1135">
        <v>619664.1</v>
      </c>
      <c r="F1081" s="1135">
        <v>5523012.7000000002</v>
      </c>
      <c r="G1081" s="1135">
        <v>0</v>
      </c>
      <c r="H1081" s="1135" t="e">
        <v>#REF!</v>
      </c>
      <c r="I1081" s="1135" t="e">
        <v>#REF!</v>
      </c>
      <c r="J1081" s="1135" t="e">
        <v>#REF!</v>
      </c>
      <c r="K1081" s="1135" t="e">
        <v>#REF!</v>
      </c>
    </row>
    <row r="1082" spans="1:11" s="1136" customFormat="1" ht="45">
      <c r="A1082" s="1131">
        <v>1076</v>
      </c>
      <c r="B1082" s="1132" t="s">
        <v>11271</v>
      </c>
      <c r="C1082" s="1133" t="s">
        <v>11272</v>
      </c>
      <c r="D1082" s="1134" t="s">
        <v>11226</v>
      </c>
      <c r="E1082" s="1135">
        <v>619664.1</v>
      </c>
      <c r="F1082" s="1135">
        <v>6102393.7999999998</v>
      </c>
      <c r="G1082" s="1135">
        <v>0</v>
      </c>
      <c r="H1082" s="1135" t="e">
        <v>#REF!</v>
      </c>
      <c r="I1082" s="1135" t="e">
        <v>#REF!</v>
      </c>
      <c r="J1082" s="1135" t="e">
        <v>#REF!</v>
      </c>
      <c r="K1082" s="1135" t="e">
        <v>#REF!</v>
      </c>
    </row>
    <row r="1083" spans="1:11" s="1136" customFormat="1" ht="45">
      <c r="A1083" s="1131">
        <v>1077</v>
      </c>
      <c r="B1083" s="1132" t="s">
        <v>11273</v>
      </c>
      <c r="C1083" s="1133" t="s">
        <v>11274</v>
      </c>
      <c r="D1083" s="1134" t="s">
        <v>11226</v>
      </c>
      <c r="E1083" s="1135">
        <v>678595.4</v>
      </c>
      <c r="F1083" s="1135">
        <v>6659733.2000000002</v>
      </c>
      <c r="G1083" s="1135">
        <v>0</v>
      </c>
      <c r="H1083" s="1135" t="e">
        <v>#REF!</v>
      </c>
      <c r="I1083" s="1135" t="e">
        <v>#REF!</v>
      </c>
      <c r="J1083" s="1135" t="e">
        <v>#REF!</v>
      </c>
      <c r="K1083" s="1135" t="e">
        <v>#REF!</v>
      </c>
    </row>
    <row r="1084" spans="1:11" s="1136" customFormat="1" ht="45">
      <c r="A1084" s="1131">
        <v>1078</v>
      </c>
      <c r="B1084" s="1132" t="s">
        <v>11275</v>
      </c>
      <c r="C1084" s="1133" t="s">
        <v>11276</v>
      </c>
      <c r="D1084" s="1134" t="s">
        <v>11226</v>
      </c>
      <c r="E1084" s="1135">
        <v>678595.4</v>
      </c>
      <c r="F1084" s="1135">
        <v>7878322.5999999996</v>
      </c>
      <c r="G1084" s="1135">
        <v>0</v>
      </c>
      <c r="H1084" s="1135" t="e">
        <v>#REF!</v>
      </c>
      <c r="I1084" s="1135" t="e">
        <v>#REF!</v>
      </c>
      <c r="J1084" s="1135" t="e">
        <v>#REF!</v>
      </c>
      <c r="K1084" s="1135" t="e">
        <v>#REF!</v>
      </c>
    </row>
    <row r="1085" spans="1:11" s="1136" customFormat="1" ht="45">
      <c r="A1085" s="1131">
        <v>1079</v>
      </c>
      <c r="B1085" s="1132" t="s">
        <v>11277</v>
      </c>
      <c r="C1085" s="1133" t="s">
        <v>11278</v>
      </c>
      <c r="D1085" s="1134" t="s">
        <v>11226</v>
      </c>
      <c r="E1085" s="1135">
        <v>678595.4</v>
      </c>
      <c r="F1085" s="1135">
        <v>8045209.5999999996</v>
      </c>
      <c r="G1085" s="1135">
        <v>0</v>
      </c>
      <c r="H1085" s="1135" t="e">
        <v>#REF!</v>
      </c>
      <c r="I1085" s="1135" t="e">
        <v>#REF!</v>
      </c>
      <c r="J1085" s="1135" t="e">
        <v>#REF!</v>
      </c>
      <c r="K1085" s="1135" t="e">
        <v>#REF!</v>
      </c>
    </row>
    <row r="1086" spans="1:11" s="1136" customFormat="1" ht="45">
      <c r="A1086" s="1131">
        <v>1080</v>
      </c>
      <c r="B1086" s="1132" t="s">
        <v>11279</v>
      </c>
      <c r="C1086" s="1133" t="s">
        <v>11280</v>
      </c>
      <c r="D1086" s="1134" t="s">
        <v>11226</v>
      </c>
      <c r="E1086" s="1135">
        <v>756976.1</v>
      </c>
      <c r="F1086" s="1135">
        <v>9654251.5</v>
      </c>
      <c r="G1086" s="1135">
        <v>0</v>
      </c>
      <c r="H1086" s="1135" t="e">
        <v>#REF!</v>
      </c>
      <c r="I1086" s="1135" t="e">
        <v>#REF!</v>
      </c>
      <c r="J1086" s="1135" t="e">
        <v>#REF!</v>
      </c>
      <c r="K1086" s="1135" t="e">
        <v>#REF!</v>
      </c>
    </row>
    <row r="1087" spans="1:11" ht="45">
      <c r="A1087" s="1120">
        <v>1081</v>
      </c>
      <c r="B1087" s="1121" t="s">
        <v>11281</v>
      </c>
      <c r="C1087" s="1122" t="s">
        <v>11282</v>
      </c>
      <c r="D1087" s="1123" t="s">
        <v>6094</v>
      </c>
      <c r="E1087" s="1124">
        <v>19845</v>
      </c>
      <c r="F1087" s="1124">
        <v>516404.8</v>
      </c>
      <c r="G1087" s="1124">
        <v>0</v>
      </c>
      <c r="H1087" s="1124" t="e">
        <v>#REF!</v>
      </c>
      <c r="I1087" s="1124" t="e">
        <v>#REF!</v>
      </c>
      <c r="J1087" s="1124" t="e">
        <v>#REF!</v>
      </c>
      <c r="K1087" s="1124" t="e">
        <v>#REF!</v>
      </c>
    </row>
    <row r="1088" spans="1:11" ht="45">
      <c r="A1088" s="1120">
        <v>1082</v>
      </c>
      <c r="B1088" s="1121" t="s">
        <v>11283</v>
      </c>
      <c r="C1088" s="1122" t="s">
        <v>11284</v>
      </c>
      <c r="D1088" s="1123" t="s">
        <v>6094</v>
      </c>
      <c r="E1088" s="1124">
        <v>19845</v>
      </c>
      <c r="F1088" s="1124">
        <v>525851.30000000005</v>
      </c>
      <c r="G1088" s="1124">
        <v>0</v>
      </c>
      <c r="H1088" s="1124" t="e">
        <v>#REF!</v>
      </c>
      <c r="I1088" s="1124" t="e">
        <v>#REF!</v>
      </c>
      <c r="J1088" s="1124" t="e">
        <v>#REF!</v>
      </c>
      <c r="K1088" s="1124" t="e">
        <v>#REF!</v>
      </c>
    </row>
    <row r="1089" spans="1:11" ht="45">
      <c r="A1089" s="1120">
        <v>1083</v>
      </c>
      <c r="B1089" s="1121" t="s">
        <v>11285</v>
      </c>
      <c r="C1089" s="1122" t="s">
        <v>11286</v>
      </c>
      <c r="D1089" s="1123" t="s">
        <v>6094</v>
      </c>
      <c r="E1089" s="1124">
        <v>19845</v>
      </c>
      <c r="F1089" s="1124">
        <v>579381</v>
      </c>
      <c r="G1089" s="1124">
        <v>0</v>
      </c>
      <c r="H1089" s="1124" t="e">
        <v>#REF!</v>
      </c>
      <c r="I1089" s="1124" t="e">
        <v>#REF!</v>
      </c>
      <c r="J1089" s="1124" t="e">
        <v>#REF!</v>
      </c>
      <c r="K1089" s="1124" t="e">
        <v>#REF!</v>
      </c>
    </row>
    <row r="1090" spans="1:11" ht="45">
      <c r="A1090" s="1120">
        <v>1084</v>
      </c>
      <c r="B1090" s="1121" t="s">
        <v>11287</v>
      </c>
      <c r="C1090" s="1122" t="s">
        <v>11288</v>
      </c>
      <c r="D1090" s="1123" t="s">
        <v>6094</v>
      </c>
      <c r="E1090" s="1124">
        <v>24885</v>
      </c>
      <c r="F1090" s="1124">
        <v>642357.19999999995</v>
      </c>
      <c r="G1090" s="1124">
        <v>0</v>
      </c>
      <c r="H1090" s="1124" t="e">
        <v>#REF!</v>
      </c>
      <c r="I1090" s="1124" t="e">
        <v>#REF!</v>
      </c>
      <c r="J1090" s="1124" t="e">
        <v>#REF!</v>
      </c>
      <c r="K1090" s="1124" t="e">
        <v>#REF!</v>
      </c>
    </row>
    <row r="1091" spans="1:11" ht="45">
      <c r="A1091" s="1120">
        <v>1085</v>
      </c>
      <c r="B1091" s="1121" t="s">
        <v>11289</v>
      </c>
      <c r="C1091" s="1122" t="s">
        <v>11290</v>
      </c>
      <c r="D1091" s="1123" t="s">
        <v>6094</v>
      </c>
      <c r="E1091" s="1124">
        <v>24885</v>
      </c>
      <c r="F1091" s="1124">
        <v>699035.8</v>
      </c>
      <c r="G1091" s="1124">
        <v>0</v>
      </c>
      <c r="H1091" s="1124" t="e">
        <v>#REF!</v>
      </c>
      <c r="I1091" s="1124" t="e">
        <v>#REF!</v>
      </c>
      <c r="J1091" s="1124" t="e">
        <v>#REF!</v>
      </c>
      <c r="K1091" s="1124" t="e">
        <v>#REF!</v>
      </c>
    </row>
    <row r="1092" spans="1:11" ht="45">
      <c r="A1092" s="1120">
        <v>1086</v>
      </c>
      <c r="B1092" s="1121" t="s">
        <v>11291</v>
      </c>
      <c r="C1092" s="1122" t="s">
        <v>11292</v>
      </c>
      <c r="D1092" s="1123" t="s">
        <v>6094</v>
      </c>
      <c r="E1092" s="1124">
        <v>24885</v>
      </c>
      <c r="F1092" s="1124">
        <v>758863.2</v>
      </c>
      <c r="G1092" s="1124">
        <v>0</v>
      </c>
      <c r="H1092" s="1124" t="e">
        <v>#REF!</v>
      </c>
      <c r="I1092" s="1124" t="e">
        <v>#REF!</v>
      </c>
      <c r="J1092" s="1124" t="e">
        <v>#REF!</v>
      </c>
      <c r="K1092" s="1124" t="e">
        <v>#REF!</v>
      </c>
    </row>
    <row r="1093" spans="1:11" ht="45">
      <c r="A1093" s="1120">
        <v>1087</v>
      </c>
      <c r="B1093" s="1121" t="s">
        <v>11293</v>
      </c>
      <c r="C1093" s="1122" t="s">
        <v>11294</v>
      </c>
      <c r="D1093" s="1123" t="s">
        <v>6094</v>
      </c>
      <c r="E1093" s="1124">
        <v>29862</v>
      </c>
      <c r="F1093" s="1124">
        <v>910006.1</v>
      </c>
      <c r="G1093" s="1124">
        <v>0</v>
      </c>
      <c r="H1093" s="1124" t="e">
        <v>#REF!</v>
      </c>
      <c r="I1093" s="1124" t="e">
        <v>#REF!</v>
      </c>
      <c r="J1093" s="1124" t="e">
        <v>#REF!</v>
      </c>
      <c r="K1093" s="1124" t="e">
        <v>#REF!</v>
      </c>
    </row>
    <row r="1094" spans="1:11" ht="45">
      <c r="A1094" s="1120">
        <v>1088</v>
      </c>
      <c r="B1094" s="1121" t="s">
        <v>11295</v>
      </c>
      <c r="C1094" s="1122" t="s">
        <v>11296</v>
      </c>
      <c r="D1094" s="1123" t="s">
        <v>6094</v>
      </c>
      <c r="E1094" s="1124">
        <v>256604.3</v>
      </c>
      <c r="F1094" s="1124">
        <v>1546065.7</v>
      </c>
      <c r="G1094" s="1124">
        <v>0</v>
      </c>
      <c r="H1094" s="1124" t="e">
        <v>#REF!</v>
      </c>
      <c r="I1094" s="1124" t="e">
        <v>#REF!</v>
      </c>
      <c r="J1094" s="1124" t="e">
        <v>#REF!</v>
      </c>
      <c r="K1094" s="1124" t="e">
        <v>#REF!</v>
      </c>
    </row>
    <row r="1095" spans="1:11" ht="45">
      <c r="A1095" s="1120">
        <v>1089</v>
      </c>
      <c r="B1095" s="1121" t="s">
        <v>11297</v>
      </c>
      <c r="C1095" s="1122" t="s">
        <v>11298</v>
      </c>
      <c r="D1095" s="1123" t="s">
        <v>6094</v>
      </c>
      <c r="E1095" s="1124">
        <v>260659.9</v>
      </c>
      <c r="F1095" s="1124">
        <v>1753887.2</v>
      </c>
      <c r="G1095" s="1124">
        <v>0</v>
      </c>
      <c r="H1095" s="1124" t="e">
        <v>#REF!</v>
      </c>
      <c r="I1095" s="1124" t="e">
        <v>#REF!</v>
      </c>
      <c r="J1095" s="1124" t="e">
        <v>#REF!</v>
      </c>
      <c r="K1095" s="1124" t="e">
        <v>#REF!</v>
      </c>
    </row>
    <row r="1096" spans="1:11" ht="45">
      <c r="A1096" s="1120">
        <v>1090</v>
      </c>
      <c r="B1096" s="1121" t="s">
        <v>11299</v>
      </c>
      <c r="C1096" s="1122" t="s">
        <v>11300</v>
      </c>
      <c r="D1096" s="1123" t="s">
        <v>6094</v>
      </c>
      <c r="E1096" s="1124">
        <v>271383</v>
      </c>
      <c r="F1096" s="1124">
        <v>1936518.2</v>
      </c>
      <c r="G1096" s="1124">
        <v>0</v>
      </c>
      <c r="H1096" s="1124" t="e">
        <v>#REF!</v>
      </c>
      <c r="I1096" s="1124" t="e">
        <v>#REF!</v>
      </c>
      <c r="J1096" s="1124" t="e">
        <v>#REF!</v>
      </c>
      <c r="K1096" s="1124" t="e">
        <v>#REF!</v>
      </c>
    </row>
    <row r="1097" spans="1:11" ht="45">
      <c r="A1097" s="1120">
        <v>1091</v>
      </c>
      <c r="B1097" s="1121" t="s">
        <v>11301</v>
      </c>
      <c r="C1097" s="1122" t="s">
        <v>11302</v>
      </c>
      <c r="D1097" s="1123" t="s">
        <v>6094</v>
      </c>
      <c r="E1097" s="1124">
        <v>285962.3</v>
      </c>
      <c r="F1097" s="1124">
        <v>2141190.7999999998</v>
      </c>
      <c r="G1097" s="1124">
        <v>0</v>
      </c>
      <c r="H1097" s="1124" t="e">
        <v>#REF!</v>
      </c>
      <c r="I1097" s="1124" t="e">
        <v>#REF!</v>
      </c>
      <c r="J1097" s="1124" t="e">
        <v>#REF!</v>
      </c>
      <c r="K1097" s="1124" t="e">
        <v>#REF!</v>
      </c>
    </row>
    <row r="1098" spans="1:11" ht="45">
      <c r="A1098" s="1120">
        <v>1092</v>
      </c>
      <c r="B1098" s="1121" t="s">
        <v>11303</v>
      </c>
      <c r="C1098" s="1122" t="s">
        <v>11304</v>
      </c>
      <c r="D1098" s="1123" t="s">
        <v>6094</v>
      </c>
      <c r="E1098" s="1124">
        <v>301056</v>
      </c>
      <c r="F1098" s="1124">
        <v>2320673</v>
      </c>
      <c r="G1098" s="1124">
        <v>0</v>
      </c>
      <c r="H1098" s="1124" t="e">
        <v>#REF!</v>
      </c>
      <c r="I1098" s="1124" t="e">
        <v>#REF!</v>
      </c>
      <c r="J1098" s="1124" t="e">
        <v>#REF!</v>
      </c>
      <c r="K1098" s="1124" t="e">
        <v>#REF!</v>
      </c>
    </row>
    <row r="1099" spans="1:11" ht="45">
      <c r="A1099" s="1120">
        <v>1093</v>
      </c>
      <c r="B1099" s="1121" t="s">
        <v>11305</v>
      </c>
      <c r="C1099" s="1122" t="s">
        <v>11306</v>
      </c>
      <c r="D1099" s="1123" t="s">
        <v>6094</v>
      </c>
      <c r="E1099" s="1124">
        <v>312317.3</v>
      </c>
      <c r="F1099" s="1124">
        <v>2528494.4</v>
      </c>
      <c r="G1099" s="1124">
        <v>0</v>
      </c>
      <c r="H1099" s="1124" t="e">
        <v>#REF!</v>
      </c>
      <c r="I1099" s="1124" t="e">
        <v>#REF!</v>
      </c>
      <c r="J1099" s="1124" t="e">
        <v>#REF!</v>
      </c>
      <c r="K1099" s="1124" t="e">
        <v>#REF!</v>
      </c>
    </row>
    <row r="1100" spans="1:11" ht="45">
      <c r="A1100" s="1120">
        <v>1094</v>
      </c>
      <c r="B1100" s="1121" t="s">
        <v>11307</v>
      </c>
      <c r="C1100" s="1122" t="s">
        <v>11308</v>
      </c>
      <c r="D1100" s="1123" t="s">
        <v>6094</v>
      </c>
      <c r="E1100" s="1124">
        <v>353780.7</v>
      </c>
      <c r="F1100" s="1124">
        <v>3032304</v>
      </c>
      <c r="G1100" s="1124">
        <v>0</v>
      </c>
      <c r="H1100" s="1124" t="e">
        <v>#REF!</v>
      </c>
      <c r="I1100" s="1124" t="e">
        <v>#REF!</v>
      </c>
      <c r="J1100" s="1124" t="e">
        <v>#REF!</v>
      </c>
      <c r="K1100" s="1124" t="e">
        <v>#REF!</v>
      </c>
    </row>
    <row r="1101" spans="1:11" ht="45">
      <c r="A1101" s="1120">
        <v>1095</v>
      </c>
      <c r="B1101" s="1121" t="s">
        <v>11309</v>
      </c>
      <c r="C1101" s="1122" t="s">
        <v>11310</v>
      </c>
      <c r="D1101" s="1123" t="s">
        <v>11311</v>
      </c>
      <c r="E1101" s="1124">
        <v>19845</v>
      </c>
      <c r="F1101" s="1124">
        <v>535297.69999999995</v>
      </c>
      <c r="G1101" s="1124">
        <v>0</v>
      </c>
      <c r="H1101" s="1124" t="e">
        <v>#REF!</v>
      </c>
      <c r="I1101" s="1124" t="e">
        <v>#REF!</v>
      </c>
      <c r="J1101" s="1124" t="e">
        <v>#REF!</v>
      </c>
      <c r="K1101" s="1124" t="e">
        <v>#REF!</v>
      </c>
    </row>
    <row r="1102" spans="1:11" ht="45">
      <c r="A1102" s="1120">
        <v>1096</v>
      </c>
      <c r="B1102" s="1121" t="s">
        <v>11312</v>
      </c>
      <c r="C1102" s="1122" t="s">
        <v>11313</v>
      </c>
      <c r="D1102" s="1123" t="s">
        <v>11311</v>
      </c>
      <c r="E1102" s="1124">
        <v>19845</v>
      </c>
      <c r="F1102" s="1124">
        <v>595125.1</v>
      </c>
      <c r="G1102" s="1124">
        <v>0</v>
      </c>
      <c r="H1102" s="1124" t="e">
        <v>#REF!</v>
      </c>
      <c r="I1102" s="1124" t="e">
        <v>#REF!</v>
      </c>
      <c r="J1102" s="1124" t="e">
        <v>#REF!</v>
      </c>
      <c r="K1102" s="1124" t="e">
        <v>#REF!</v>
      </c>
    </row>
    <row r="1103" spans="1:11" ht="45">
      <c r="A1103" s="1120">
        <v>1097</v>
      </c>
      <c r="B1103" s="1121" t="s">
        <v>11314</v>
      </c>
      <c r="C1103" s="1122" t="s">
        <v>11315</v>
      </c>
      <c r="D1103" s="1123" t="s">
        <v>11311</v>
      </c>
      <c r="E1103" s="1124">
        <v>19845</v>
      </c>
      <c r="F1103" s="1124">
        <v>648654.9</v>
      </c>
      <c r="G1103" s="1124">
        <v>0</v>
      </c>
      <c r="H1103" s="1124" t="e">
        <v>#REF!</v>
      </c>
      <c r="I1103" s="1124" t="e">
        <v>#REF!</v>
      </c>
      <c r="J1103" s="1124" t="e">
        <v>#REF!</v>
      </c>
      <c r="K1103" s="1124" t="e">
        <v>#REF!</v>
      </c>
    </row>
    <row r="1104" spans="1:11" ht="45">
      <c r="A1104" s="1120">
        <v>1098</v>
      </c>
      <c r="B1104" s="1121" t="s">
        <v>11316</v>
      </c>
      <c r="C1104" s="1122" t="s">
        <v>11317</v>
      </c>
      <c r="D1104" s="1123" t="s">
        <v>11311</v>
      </c>
      <c r="E1104" s="1124">
        <v>24885</v>
      </c>
      <c r="F1104" s="1124">
        <v>717928.7</v>
      </c>
      <c r="G1104" s="1124">
        <v>0</v>
      </c>
      <c r="H1104" s="1124" t="e">
        <v>#REF!</v>
      </c>
      <c r="I1104" s="1124" t="e">
        <v>#REF!</v>
      </c>
      <c r="J1104" s="1124" t="e">
        <v>#REF!</v>
      </c>
      <c r="K1104" s="1124" t="e">
        <v>#REF!</v>
      </c>
    </row>
    <row r="1105" spans="1:11" ht="45">
      <c r="A1105" s="1120">
        <v>1099</v>
      </c>
      <c r="B1105" s="1121" t="s">
        <v>11318</v>
      </c>
      <c r="C1105" s="1122" t="s">
        <v>11319</v>
      </c>
      <c r="D1105" s="1123" t="s">
        <v>11311</v>
      </c>
      <c r="E1105" s="1124">
        <v>24885</v>
      </c>
      <c r="F1105" s="1124">
        <v>796648.9</v>
      </c>
      <c r="G1105" s="1124">
        <v>0</v>
      </c>
      <c r="H1105" s="1124" t="e">
        <v>#REF!</v>
      </c>
      <c r="I1105" s="1124" t="e">
        <v>#REF!</v>
      </c>
      <c r="J1105" s="1124" t="e">
        <v>#REF!</v>
      </c>
      <c r="K1105" s="1124" t="e">
        <v>#REF!</v>
      </c>
    </row>
    <row r="1106" spans="1:11" ht="45">
      <c r="A1106" s="1120">
        <v>1100</v>
      </c>
      <c r="B1106" s="1121" t="s">
        <v>11320</v>
      </c>
      <c r="C1106" s="1122" t="s">
        <v>11321</v>
      </c>
      <c r="D1106" s="1123" t="s">
        <v>11311</v>
      </c>
      <c r="E1106" s="1124">
        <v>24885</v>
      </c>
      <c r="F1106" s="1124">
        <v>875369.2</v>
      </c>
      <c r="G1106" s="1124">
        <v>0</v>
      </c>
      <c r="H1106" s="1124" t="e">
        <v>#REF!</v>
      </c>
      <c r="I1106" s="1124" t="e">
        <v>#REF!</v>
      </c>
      <c r="J1106" s="1124" t="e">
        <v>#REF!</v>
      </c>
      <c r="K1106" s="1124" t="e">
        <v>#REF!</v>
      </c>
    </row>
    <row r="1107" spans="1:11" ht="45">
      <c r="A1107" s="1120">
        <v>1101</v>
      </c>
      <c r="B1107" s="1121" t="s">
        <v>11322</v>
      </c>
      <c r="C1107" s="1122" t="s">
        <v>11323</v>
      </c>
      <c r="D1107" s="1123" t="s">
        <v>11311</v>
      </c>
      <c r="E1107" s="1124">
        <v>29862</v>
      </c>
      <c r="F1107" s="1124">
        <v>1048553.7</v>
      </c>
      <c r="G1107" s="1124">
        <v>0</v>
      </c>
      <c r="H1107" s="1124" t="e">
        <v>#REF!</v>
      </c>
      <c r="I1107" s="1124" t="e">
        <v>#REF!</v>
      </c>
      <c r="J1107" s="1124" t="e">
        <v>#REF!</v>
      </c>
      <c r="K1107" s="1124" t="e">
        <v>#REF!</v>
      </c>
    </row>
    <row r="1108" spans="1:11" ht="60">
      <c r="A1108" s="1120">
        <v>1102</v>
      </c>
      <c r="B1108" s="1121" t="s">
        <v>11324</v>
      </c>
      <c r="C1108" s="1122" t="s">
        <v>11325</v>
      </c>
      <c r="D1108" s="1123" t="s">
        <v>11311</v>
      </c>
      <c r="E1108" s="1124">
        <v>19845</v>
      </c>
      <c r="F1108" s="1124">
        <v>588827.5</v>
      </c>
      <c r="G1108" s="1124">
        <v>0</v>
      </c>
      <c r="H1108" s="1124" t="e">
        <v>#REF!</v>
      </c>
      <c r="I1108" s="1124" t="e">
        <v>#REF!</v>
      </c>
      <c r="J1108" s="1124" t="e">
        <v>#REF!</v>
      </c>
      <c r="K1108" s="1124" t="e">
        <v>#REF!</v>
      </c>
    </row>
    <row r="1109" spans="1:11" ht="60">
      <c r="A1109" s="1120">
        <v>1103</v>
      </c>
      <c r="B1109" s="1121" t="s">
        <v>11326</v>
      </c>
      <c r="C1109" s="1122" t="s">
        <v>11327</v>
      </c>
      <c r="D1109" s="1123" t="s">
        <v>11311</v>
      </c>
      <c r="E1109" s="1124">
        <v>19845</v>
      </c>
      <c r="F1109" s="1124">
        <v>834434.7</v>
      </c>
      <c r="G1109" s="1124">
        <v>0</v>
      </c>
      <c r="H1109" s="1124" t="e">
        <v>#REF!</v>
      </c>
      <c r="I1109" s="1124" t="e">
        <v>#REF!</v>
      </c>
      <c r="J1109" s="1124" t="e">
        <v>#REF!</v>
      </c>
      <c r="K1109" s="1124" t="e">
        <v>#REF!</v>
      </c>
    </row>
    <row r="1110" spans="1:11" ht="60">
      <c r="A1110" s="1120">
        <v>1104</v>
      </c>
      <c r="B1110" s="1121" t="s">
        <v>11328</v>
      </c>
      <c r="C1110" s="1122" t="s">
        <v>11329</v>
      </c>
      <c r="D1110" s="1123" t="s">
        <v>11311</v>
      </c>
      <c r="E1110" s="1124">
        <v>19845</v>
      </c>
      <c r="F1110" s="1124">
        <v>903708.5</v>
      </c>
      <c r="G1110" s="1124">
        <v>0</v>
      </c>
      <c r="H1110" s="1124" t="e">
        <v>#REF!</v>
      </c>
      <c r="I1110" s="1124" t="e">
        <v>#REF!</v>
      </c>
      <c r="J1110" s="1124" t="e">
        <v>#REF!</v>
      </c>
      <c r="K1110" s="1124" t="e">
        <v>#REF!</v>
      </c>
    </row>
    <row r="1111" spans="1:11" ht="60">
      <c r="A1111" s="1120">
        <v>1105</v>
      </c>
      <c r="B1111" s="1121" t="s">
        <v>11330</v>
      </c>
      <c r="C1111" s="1122" t="s">
        <v>11331</v>
      </c>
      <c r="D1111" s="1123" t="s">
        <v>11311</v>
      </c>
      <c r="E1111" s="1124">
        <v>24885</v>
      </c>
      <c r="F1111" s="1124">
        <v>1007619.2</v>
      </c>
      <c r="G1111" s="1124">
        <v>0</v>
      </c>
      <c r="H1111" s="1124" t="e">
        <v>#REF!</v>
      </c>
      <c r="I1111" s="1124" t="e">
        <v>#REF!</v>
      </c>
      <c r="J1111" s="1124" t="e">
        <v>#REF!</v>
      </c>
      <c r="K1111" s="1124" t="e">
        <v>#REF!</v>
      </c>
    </row>
    <row r="1112" spans="1:11" ht="60">
      <c r="A1112" s="1120">
        <v>1106</v>
      </c>
      <c r="B1112" s="1121" t="s">
        <v>11332</v>
      </c>
      <c r="C1112" s="1122" t="s">
        <v>11333</v>
      </c>
      <c r="D1112" s="1123" t="s">
        <v>11311</v>
      </c>
      <c r="E1112" s="1124">
        <v>24885</v>
      </c>
      <c r="F1112" s="1124">
        <v>1092637.1000000001</v>
      </c>
      <c r="G1112" s="1124">
        <v>0</v>
      </c>
      <c r="H1112" s="1124" t="e">
        <v>#REF!</v>
      </c>
      <c r="I1112" s="1124" t="e">
        <v>#REF!</v>
      </c>
      <c r="J1112" s="1124" t="e">
        <v>#REF!</v>
      </c>
      <c r="K1112" s="1124" t="e">
        <v>#REF!</v>
      </c>
    </row>
    <row r="1113" spans="1:11" ht="60">
      <c r="A1113" s="1120">
        <v>1107</v>
      </c>
      <c r="B1113" s="1121" t="s">
        <v>11334</v>
      </c>
      <c r="C1113" s="1122" t="s">
        <v>11335</v>
      </c>
      <c r="D1113" s="1123" t="s">
        <v>11311</v>
      </c>
      <c r="E1113" s="1124">
        <v>24885</v>
      </c>
      <c r="F1113" s="1124">
        <v>1199696.6000000001</v>
      </c>
      <c r="G1113" s="1124">
        <v>0</v>
      </c>
      <c r="H1113" s="1124" t="e">
        <v>#REF!</v>
      </c>
      <c r="I1113" s="1124" t="e">
        <v>#REF!</v>
      </c>
      <c r="J1113" s="1124" t="e">
        <v>#REF!</v>
      </c>
      <c r="K1113" s="1124" t="e">
        <v>#REF!</v>
      </c>
    </row>
    <row r="1114" spans="1:11" ht="60">
      <c r="A1114" s="1120">
        <v>1108</v>
      </c>
      <c r="B1114" s="1121" t="s">
        <v>11336</v>
      </c>
      <c r="C1114" s="1122" t="s">
        <v>11337</v>
      </c>
      <c r="D1114" s="1123" t="s">
        <v>11311</v>
      </c>
      <c r="E1114" s="1124">
        <v>29862</v>
      </c>
      <c r="F1114" s="1124">
        <v>1439006.2</v>
      </c>
      <c r="G1114" s="1124">
        <v>0</v>
      </c>
      <c r="H1114" s="1124" t="e">
        <v>#REF!</v>
      </c>
      <c r="I1114" s="1124" t="e">
        <v>#REF!</v>
      </c>
      <c r="J1114" s="1124" t="e">
        <v>#REF!</v>
      </c>
      <c r="K1114" s="1124" t="e">
        <v>#REF!</v>
      </c>
    </row>
    <row r="1115" spans="1:11" ht="45">
      <c r="A1115" s="1120">
        <v>1109</v>
      </c>
      <c r="B1115" s="1121" t="s">
        <v>11338</v>
      </c>
      <c r="C1115" s="1122" t="s">
        <v>11339</v>
      </c>
      <c r="D1115" s="1123" t="s">
        <v>11311</v>
      </c>
      <c r="E1115" s="1124">
        <v>520516.5</v>
      </c>
      <c r="F1115" s="1124">
        <v>1782226.5</v>
      </c>
      <c r="G1115" s="1124">
        <v>0</v>
      </c>
      <c r="H1115" s="1124" t="e">
        <v>#REF!</v>
      </c>
      <c r="I1115" s="1124" t="e">
        <v>#REF!</v>
      </c>
      <c r="J1115" s="1124" t="e">
        <v>#REF!</v>
      </c>
      <c r="K1115" s="1124" t="e">
        <v>#REF!</v>
      </c>
    </row>
    <row r="1116" spans="1:11" ht="45">
      <c r="A1116" s="1120">
        <v>1110</v>
      </c>
      <c r="B1116" s="1121" t="s">
        <v>11340</v>
      </c>
      <c r="C1116" s="1122" t="s">
        <v>11341</v>
      </c>
      <c r="D1116" s="1123" t="s">
        <v>11311</v>
      </c>
      <c r="E1116" s="1124">
        <v>520516.5</v>
      </c>
      <c r="F1116" s="1124">
        <v>1974303.9</v>
      </c>
      <c r="G1116" s="1124">
        <v>0</v>
      </c>
      <c r="H1116" s="1124" t="e">
        <v>#REF!</v>
      </c>
      <c r="I1116" s="1124" t="e">
        <v>#REF!</v>
      </c>
      <c r="J1116" s="1124" t="e">
        <v>#REF!</v>
      </c>
      <c r="K1116" s="1124" t="e">
        <v>#REF!</v>
      </c>
    </row>
    <row r="1117" spans="1:11" ht="45">
      <c r="A1117" s="1120">
        <v>1111</v>
      </c>
      <c r="B1117" s="1121" t="s">
        <v>11342</v>
      </c>
      <c r="C1117" s="1122" t="s">
        <v>11343</v>
      </c>
      <c r="D1117" s="1123" t="s">
        <v>11311</v>
      </c>
      <c r="E1117" s="1124">
        <v>608296.5</v>
      </c>
      <c r="F1117" s="1124">
        <v>2169530.1</v>
      </c>
      <c r="G1117" s="1124">
        <v>0</v>
      </c>
      <c r="H1117" s="1124" t="e">
        <v>#REF!</v>
      </c>
      <c r="I1117" s="1124" t="e">
        <v>#REF!</v>
      </c>
      <c r="J1117" s="1124" t="e">
        <v>#REF!</v>
      </c>
      <c r="K1117" s="1124" t="e">
        <v>#REF!</v>
      </c>
    </row>
    <row r="1118" spans="1:11" ht="45">
      <c r="A1118" s="1120">
        <v>1112</v>
      </c>
      <c r="B1118" s="1121" t="s">
        <v>11344</v>
      </c>
      <c r="C1118" s="1122" t="s">
        <v>11345</v>
      </c>
      <c r="D1118" s="1123" t="s">
        <v>11311</v>
      </c>
      <c r="E1118" s="1124">
        <v>620067</v>
      </c>
      <c r="F1118" s="1124">
        <v>2399393.2000000002</v>
      </c>
      <c r="G1118" s="1124">
        <v>0</v>
      </c>
      <c r="H1118" s="1124" t="e">
        <v>#REF!</v>
      </c>
      <c r="I1118" s="1124" t="e">
        <v>#REF!</v>
      </c>
      <c r="J1118" s="1124" t="e">
        <v>#REF!</v>
      </c>
      <c r="K1118" s="1124" t="e">
        <v>#REF!</v>
      </c>
    </row>
    <row r="1119" spans="1:11" ht="45">
      <c r="A1119" s="1120">
        <v>1113</v>
      </c>
      <c r="B1119" s="1121" t="s">
        <v>11346</v>
      </c>
      <c r="C1119" s="1122" t="s">
        <v>11347</v>
      </c>
      <c r="D1119" s="1123" t="s">
        <v>11311</v>
      </c>
      <c r="E1119" s="1124">
        <v>674824.5</v>
      </c>
      <c r="F1119" s="1124">
        <v>2657595.6</v>
      </c>
      <c r="G1119" s="1124">
        <v>0</v>
      </c>
      <c r="H1119" s="1124" t="e">
        <v>#REF!</v>
      </c>
      <c r="I1119" s="1124" t="e">
        <v>#REF!</v>
      </c>
      <c r="J1119" s="1124" t="e">
        <v>#REF!</v>
      </c>
      <c r="K1119" s="1124" t="e">
        <v>#REF!</v>
      </c>
    </row>
    <row r="1120" spans="1:11" ht="45">
      <c r="A1120" s="1120">
        <v>1114</v>
      </c>
      <c r="B1120" s="1121" t="s">
        <v>11348</v>
      </c>
      <c r="C1120" s="1122" t="s">
        <v>11349</v>
      </c>
      <c r="D1120" s="1123" t="s">
        <v>11311</v>
      </c>
      <c r="E1120" s="1124">
        <v>675402</v>
      </c>
      <c r="F1120" s="1124">
        <v>2915798.1</v>
      </c>
      <c r="G1120" s="1124">
        <v>0</v>
      </c>
      <c r="H1120" s="1124" t="e">
        <v>#REF!</v>
      </c>
      <c r="I1120" s="1124" t="e">
        <v>#REF!</v>
      </c>
      <c r="J1120" s="1124" t="e">
        <v>#REF!</v>
      </c>
      <c r="K1120" s="1124" t="e">
        <v>#REF!</v>
      </c>
    </row>
    <row r="1121" spans="1:11" ht="45">
      <c r="A1121" s="1120">
        <v>1115</v>
      </c>
      <c r="B1121" s="1121" t="s">
        <v>11350</v>
      </c>
      <c r="C1121" s="1122" t="s">
        <v>11351</v>
      </c>
      <c r="D1121" s="1123" t="s">
        <v>11311</v>
      </c>
      <c r="E1121" s="1124">
        <v>764494.5</v>
      </c>
      <c r="F1121" s="1124">
        <v>3495179.1</v>
      </c>
      <c r="G1121" s="1124">
        <v>0</v>
      </c>
      <c r="H1121" s="1124" t="e">
        <v>#REF!</v>
      </c>
      <c r="I1121" s="1124" t="e">
        <v>#REF!</v>
      </c>
      <c r="J1121" s="1124" t="e">
        <v>#REF!</v>
      </c>
      <c r="K1121" s="1124" t="e">
        <v>#REF!</v>
      </c>
    </row>
    <row r="1122" spans="1:11" ht="60">
      <c r="A1122" s="1120">
        <v>1116</v>
      </c>
      <c r="B1122" s="1121" t="s">
        <v>11352</v>
      </c>
      <c r="C1122" s="1122" t="s">
        <v>11353</v>
      </c>
      <c r="D1122" s="1123" t="s">
        <v>11311</v>
      </c>
      <c r="E1122" s="1124">
        <v>520516.5</v>
      </c>
      <c r="F1122" s="1124">
        <v>2474964.7000000002</v>
      </c>
      <c r="G1122" s="1124">
        <v>0</v>
      </c>
      <c r="H1122" s="1124" t="e">
        <v>#REF!</v>
      </c>
      <c r="I1122" s="1124" t="e">
        <v>#REF!</v>
      </c>
      <c r="J1122" s="1124" t="e">
        <v>#REF!</v>
      </c>
      <c r="K1122" s="1124" t="e">
        <v>#REF!</v>
      </c>
    </row>
    <row r="1123" spans="1:11" ht="60">
      <c r="A1123" s="1120">
        <v>1117</v>
      </c>
      <c r="B1123" s="1121" t="s">
        <v>11354</v>
      </c>
      <c r="C1123" s="1122" t="s">
        <v>11355</v>
      </c>
      <c r="D1123" s="1123" t="s">
        <v>11311</v>
      </c>
      <c r="E1123" s="1124">
        <v>520516.5</v>
      </c>
      <c r="F1123" s="1124">
        <v>2707976.6</v>
      </c>
      <c r="G1123" s="1124">
        <v>0</v>
      </c>
      <c r="H1123" s="1124" t="e">
        <v>#REF!</v>
      </c>
      <c r="I1123" s="1124" t="e">
        <v>#REF!</v>
      </c>
      <c r="J1123" s="1124" t="e">
        <v>#REF!</v>
      </c>
      <c r="K1123" s="1124" t="e">
        <v>#REF!</v>
      </c>
    </row>
    <row r="1124" spans="1:11" ht="60">
      <c r="A1124" s="1120">
        <v>1118</v>
      </c>
      <c r="B1124" s="1121" t="s">
        <v>11356</v>
      </c>
      <c r="C1124" s="1122" t="s">
        <v>11357</v>
      </c>
      <c r="D1124" s="1123" t="s">
        <v>11311</v>
      </c>
      <c r="E1124" s="1124">
        <v>608296.5</v>
      </c>
      <c r="F1124" s="1124">
        <v>3019708.8</v>
      </c>
      <c r="G1124" s="1124">
        <v>0</v>
      </c>
      <c r="H1124" s="1124" t="e">
        <v>#REF!</v>
      </c>
      <c r="I1124" s="1124" t="e">
        <v>#REF!</v>
      </c>
      <c r="J1124" s="1124" t="e">
        <v>#REF!</v>
      </c>
      <c r="K1124" s="1124" t="e">
        <v>#REF!</v>
      </c>
    </row>
    <row r="1125" spans="1:11" ht="60">
      <c r="A1125" s="1120">
        <v>1119</v>
      </c>
      <c r="B1125" s="1121" t="s">
        <v>11358</v>
      </c>
      <c r="C1125" s="1122" t="s">
        <v>11359</v>
      </c>
      <c r="D1125" s="1123" t="s">
        <v>11311</v>
      </c>
      <c r="E1125" s="1124">
        <v>620067</v>
      </c>
      <c r="F1125" s="1124">
        <v>3362929.1</v>
      </c>
      <c r="G1125" s="1124">
        <v>0</v>
      </c>
      <c r="H1125" s="1124" t="e">
        <v>#REF!</v>
      </c>
      <c r="I1125" s="1124" t="e">
        <v>#REF!</v>
      </c>
      <c r="J1125" s="1124" t="e">
        <v>#REF!</v>
      </c>
      <c r="K1125" s="1124" t="e">
        <v>#REF!</v>
      </c>
    </row>
    <row r="1126" spans="1:11" ht="60">
      <c r="A1126" s="1120">
        <v>1120</v>
      </c>
      <c r="B1126" s="1121" t="s">
        <v>11360</v>
      </c>
      <c r="C1126" s="1122" t="s">
        <v>11361</v>
      </c>
      <c r="D1126" s="1123" t="s">
        <v>11311</v>
      </c>
      <c r="E1126" s="1124">
        <v>674824.5</v>
      </c>
      <c r="F1126" s="1124">
        <v>3636875.6</v>
      </c>
      <c r="G1126" s="1124">
        <v>0</v>
      </c>
      <c r="H1126" s="1124" t="e">
        <v>#REF!</v>
      </c>
      <c r="I1126" s="1124" t="e">
        <v>#REF!</v>
      </c>
      <c r="J1126" s="1124" t="e">
        <v>#REF!</v>
      </c>
      <c r="K1126" s="1124" t="e">
        <v>#REF!</v>
      </c>
    </row>
    <row r="1127" spans="1:11" ht="60">
      <c r="A1127" s="1120">
        <v>1121</v>
      </c>
      <c r="B1127" s="1121" t="s">
        <v>11362</v>
      </c>
      <c r="C1127" s="1122" t="s">
        <v>11363</v>
      </c>
      <c r="D1127" s="1123" t="s">
        <v>11311</v>
      </c>
      <c r="E1127" s="1124">
        <v>675402</v>
      </c>
      <c r="F1127" s="1124">
        <v>3998988.7</v>
      </c>
      <c r="G1127" s="1124">
        <v>0</v>
      </c>
      <c r="H1127" s="1124" t="e">
        <v>#REF!</v>
      </c>
      <c r="I1127" s="1124" t="e">
        <v>#REF!</v>
      </c>
      <c r="J1127" s="1124" t="e">
        <v>#REF!</v>
      </c>
      <c r="K1127" s="1124" t="e">
        <v>#REF!</v>
      </c>
    </row>
    <row r="1128" spans="1:11" ht="60">
      <c r="A1128" s="1120">
        <v>1122</v>
      </c>
      <c r="B1128" s="1121" t="s">
        <v>11364</v>
      </c>
      <c r="C1128" s="1122" t="s">
        <v>11365</v>
      </c>
      <c r="D1128" s="1123" t="s">
        <v>11311</v>
      </c>
      <c r="E1128" s="1124">
        <v>764494.5</v>
      </c>
      <c r="F1128" s="1124">
        <v>4795637.5999999996</v>
      </c>
      <c r="G1128" s="1124">
        <v>0</v>
      </c>
      <c r="H1128" s="1124" t="e">
        <v>#REF!</v>
      </c>
      <c r="I1128" s="1124" t="e">
        <v>#REF!</v>
      </c>
      <c r="J1128" s="1124" t="e">
        <v>#REF!</v>
      </c>
      <c r="K1128" s="1124" t="e">
        <v>#REF!</v>
      </c>
    </row>
    <row r="1129" spans="1:11" ht="45">
      <c r="A1129" s="1120">
        <v>1123</v>
      </c>
      <c r="B1129" s="1121" t="s">
        <v>11366</v>
      </c>
      <c r="C1129" s="1122" t="s">
        <v>11367</v>
      </c>
      <c r="D1129" s="1123" t="s">
        <v>11311</v>
      </c>
      <c r="E1129" s="1124">
        <v>48195</v>
      </c>
      <c r="F1129" s="1124">
        <v>664398.9</v>
      </c>
      <c r="G1129" s="1124">
        <v>0</v>
      </c>
      <c r="H1129" s="1124" t="e">
        <v>#REF!</v>
      </c>
      <c r="I1129" s="1124" t="e">
        <v>#REF!</v>
      </c>
      <c r="J1129" s="1124" t="e">
        <v>#REF!</v>
      </c>
      <c r="K1129" s="1124" t="e">
        <v>#REF!</v>
      </c>
    </row>
    <row r="1130" spans="1:11" ht="45">
      <c r="A1130" s="1120">
        <v>1124</v>
      </c>
      <c r="B1130" s="1121" t="s">
        <v>11368</v>
      </c>
      <c r="C1130" s="1122" t="s">
        <v>11369</v>
      </c>
      <c r="D1130" s="1123" t="s">
        <v>11311</v>
      </c>
      <c r="E1130" s="1124">
        <v>48195</v>
      </c>
      <c r="F1130" s="1124">
        <v>724226.3</v>
      </c>
      <c r="G1130" s="1124">
        <v>0</v>
      </c>
      <c r="H1130" s="1124" t="e">
        <v>#REF!</v>
      </c>
      <c r="I1130" s="1124" t="e">
        <v>#REF!</v>
      </c>
      <c r="J1130" s="1124" t="e">
        <v>#REF!</v>
      </c>
      <c r="K1130" s="1124" t="e">
        <v>#REF!</v>
      </c>
    </row>
    <row r="1131" spans="1:11" ht="45">
      <c r="A1131" s="1120">
        <v>1125</v>
      </c>
      <c r="B1131" s="1121" t="s">
        <v>11370</v>
      </c>
      <c r="C1131" s="1122" t="s">
        <v>11371</v>
      </c>
      <c r="D1131" s="1123" t="s">
        <v>11311</v>
      </c>
      <c r="E1131" s="1124">
        <v>48195</v>
      </c>
      <c r="F1131" s="1124">
        <v>774607.3</v>
      </c>
      <c r="G1131" s="1124">
        <v>0</v>
      </c>
      <c r="H1131" s="1124" t="e">
        <v>#REF!</v>
      </c>
      <c r="I1131" s="1124" t="e">
        <v>#REF!</v>
      </c>
      <c r="J1131" s="1124" t="e">
        <v>#REF!</v>
      </c>
      <c r="K1131" s="1124" t="e">
        <v>#REF!</v>
      </c>
    </row>
    <row r="1132" spans="1:11" ht="45">
      <c r="A1132" s="1120">
        <v>1126</v>
      </c>
      <c r="B1132" s="1121" t="s">
        <v>11372</v>
      </c>
      <c r="C1132" s="1122" t="s">
        <v>11373</v>
      </c>
      <c r="D1132" s="1123" t="s">
        <v>11311</v>
      </c>
      <c r="E1132" s="1124">
        <v>64260</v>
      </c>
      <c r="F1132" s="1124">
        <v>850178.7</v>
      </c>
      <c r="G1132" s="1124">
        <v>0</v>
      </c>
      <c r="H1132" s="1124" t="e">
        <v>#REF!</v>
      </c>
      <c r="I1132" s="1124" t="e">
        <v>#REF!</v>
      </c>
      <c r="J1132" s="1124" t="e">
        <v>#REF!</v>
      </c>
      <c r="K1132" s="1124" t="e">
        <v>#REF!</v>
      </c>
    </row>
    <row r="1133" spans="1:11" ht="45">
      <c r="A1133" s="1120">
        <v>1127</v>
      </c>
      <c r="B1133" s="1121" t="s">
        <v>11374</v>
      </c>
      <c r="C1133" s="1122" t="s">
        <v>11375</v>
      </c>
      <c r="D1133" s="1123" t="s">
        <v>11311</v>
      </c>
      <c r="E1133" s="1124">
        <v>64260</v>
      </c>
      <c r="F1133" s="1124">
        <v>928899</v>
      </c>
      <c r="G1133" s="1124">
        <v>0</v>
      </c>
      <c r="H1133" s="1124" t="e">
        <v>#REF!</v>
      </c>
      <c r="I1133" s="1124" t="e">
        <v>#REF!</v>
      </c>
      <c r="J1133" s="1124" t="e">
        <v>#REF!</v>
      </c>
      <c r="K1133" s="1124" t="e">
        <v>#REF!</v>
      </c>
    </row>
    <row r="1134" spans="1:11" ht="45">
      <c r="A1134" s="1120">
        <v>1128</v>
      </c>
      <c r="B1134" s="1121" t="s">
        <v>11376</v>
      </c>
      <c r="C1134" s="1122" t="s">
        <v>11377</v>
      </c>
      <c r="D1134" s="1123" t="s">
        <v>11311</v>
      </c>
      <c r="E1134" s="1124">
        <v>64260</v>
      </c>
      <c r="F1134" s="1124">
        <v>1004470.4</v>
      </c>
      <c r="G1134" s="1124">
        <v>0</v>
      </c>
      <c r="H1134" s="1124" t="e">
        <v>#REF!</v>
      </c>
      <c r="I1134" s="1124" t="e">
        <v>#REF!</v>
      </c>
      <c r="J1134" s="1124" t="e">
        <v>#REF!</v>
      </c>
      <c r="K1134" s="1124" t="e">
        <v>#REF!</v>
      </c>
    </row>
    <row r="1135" spans="1:11" ht="45">
      <c r="A1135" s="1120">
        <v>1129</v>
      </c>
      <c r="B1135" s="1121" t="s">
        <v>11378</v>
      </c>
      <c r="C1135" s="1122" t="s">
        <v>11379</v>
      </c>
      <c r="D1135" s="1123" t="s">
        <v>11311</v>
      </c>
      <c r="E1135" s="1124">
        <v>77710.5</v>
      </c>
      <c r="F1135" s="1124">
        <v>1272119.2</v>
      </c>
      <c r="G1135" s="1124">
        <v>0</v>
      </c>
      <c r="H1135" s="1124" t="e">
        <v>#REF!</v>
      </c>
      <c r="I1135" s="1124" t="e">
        <v>#REF!</v>
      </c>
      <c r="J1135" s="1124" t="e">
        <v>#REF!</v>
      </c>
      <c r="K1135" s="1124" t="e">
        <v>#REF!</v>
      </c>
    </row>
    <row r="1136" spans="1:11" ht="45">
      <c r="A1136" s="1120">
        <v>1130</v>
      </c>
      <c r="B1136" s="1121" t="s">
        <v>11380</v>
      </c>
      <c r="C1136" s="1122" t="s">
        <v>11381</v>
      </c>
      <c r="D1136" s="1123" t="s">
        <v>11311</v>
      </c>
      <c r="E1136" s="1124">
        <v>48195</v>
      </c>
      <c r="F1136" s="1124">
        <v>872220.4</v>
      </c>
      <c r="G1136" s="1124">
        <v>0</v>
      </c>
      <c r="H1136" s="1124" t="e">
        <v>#REF!</v>
      </c>
      <c r="I1136" s="1124" t="e">
        <v>#REF!</v>
      </c>
      <c r="J1136" s="1124" t="e">
        <v>#REF!</v>
      </c>
      <c r="K1136" s="1124" t="e">
        <v>#REF!</v>
      </c>
    </row>
    <row r="1137" spans="1:11" ht="45">
      <c r="A1137" s="1120">
        <v>1131</v>
      </c>
      <c r="B1137" s="1121" t="s">
        <v>11382</v>
      </c>
      <c r="C1137" s="1122" t="s">
        <v>11383</v>
      </c>
      <c r="D1137" s="1123" t="s">
        <v>11311</v>
      </c>
      <c r="E1137" s="1124">
        <v>48195</v>
      </c>
      <c r="F1137" s="1124">
        <v>963535.9</v>
      </c>
      <c r="G1137" s="1124">
        <v>0</v>
      </c>
      <c r="H1137" s="1124" t="e">
        <v>#REF!</v>
      </c>
      <c r="I1137" s="1124" t="e">
        <v>#REF!</v>
      </c>
      <c r="J1137" s="1124" t="e">
        <v>#REF!</v>
      </c>
      <c r="K1137" s="1124" t="e">
        <v>#REF!</v>
      </c>
    </row>
    <row r="1138" spans="1:11" ht="45">
      <c r="A1138" s="1120">
        <v>1132</v>
      </c>
      <c r="B1138" s="1121" t="s">
        <v>11384</v>
      </c>
      <c r="C1138" s="1122" t="s">
        <v>11385</v>
      </c>
      <c r="D1138" s="1123" t="s">
        <v>11311</v>
      </c>
      <c r="E1138" s="1124">
        <v>48195</v>
      </c>
      <c r="F1138" s="1124">
        <v>1032809.7</v>
      </c>
      <c r="G1138" s="1124">
        <v>0</v>
      </c>
      <c r="H1138" s="1124" t="e">
        <v>#REF!</v>
      </c>
      <c r="I1138" s="1124" t="e">
        <v>#REF!</v>
      </c>
      <c r="J1138" s="1124" t="e">
        <v>#REF!</v>
      </c>
      <c r="K1138" s="1124" t="e">
        <v>#REF!</v>
      </c>
    </row>
    <row r="1139" spans="1:11" ht="45">
      <c r="A1139" s="1120">
        <v>1133</v>
      </c>
      <c r="B1139" s="1121" t="s">
        <v>11386</v>
      </c>
      <c r="C1139" s="1122" t="s">
        <v>11387</v>
      </c>
      <c r="D1139" s="1123" t="s">
        <v>11311</v>
      </c>
      <c r="E1139" s="1124">
        <v>64260</v>
      </c>
      <c r="F1139" s="1124">
        <v>1139869.2</v>
      </c>
      <c r="G1139" s="1124">
        <v>0</v>
      </c>
      <c r="H1139" s="1124" t="e">
        <v>#REF!</v>
      </c>
      <c r="I1139" s="1124" t="e">
        <v>#REF!</v>
      </c>
      <c r="J1139" s="1124" t="e">
        <v>#REF!</v>
      </c>
      <c r="K1139" s="1124" t="e">
        <v>#REF!</v>
      </c>
    </row>
    <row r="1140" spans="1:11" ht="45">
      <c r="A1140" s="1120">
        <v>1134</v>
      </c>
      <c r="B1140" s="1121" t="s">
        <v>11388</v>
      </c>
      <c r="C1140" s="1122" t="s">
        <v>11389</v>
      </c>
      <c r="D1140" s="1123" t="s">
        <v>11311</v>
      </c>
      <c r="E1140" s="1124">
        <v>64260</v>
      </c>
      <c r="F1140" s="1124">
        <v>1221738.3</v>
      </c>
      <c r="G1140" s="1124">
        <v>0</v>
      </c>
      <c r="H1140" s="1124" t="e">
        <v>#REF!</v>
      </c>
      <c r="I1140" s="1124" t="e">
        <v>#REF!</v>
      </c>
      <c r="J1140" s="1124" t="e">
        <v>#REF!</v>
      </c>
      <c r="K1140" s="1124" t="e">
        <v>#REF!</v>
      </c>
    </row>
    <row r="1141" spans="1:11" ht="45">
      <c r="A1141" s="1120">
        <v>1135</v>
      </c>
      <c r="B1141" s="1121" t="s">
        <v>11390</v>
      </c>
      <c r="C1141" s="1122" t="s">
        <v>11391</v>
      </c>
      <c r="D1141" s="1123" t="s">
        <v>11311</v>
      </c>
      <c r="E1141" s="1124">
        <v>64260</v>
      </c>
      <c r="F1141" s="1124">
        <v>1331946.6000000001</v>
      </c>
      <c r="G1141" s="1124">
        <v>0</v>
      </c>
      <c r="H1141" s="1124" t="e">
        <v>#REF!</v>
      </c>
      <c r="I1141" s="1124" t="e">
        <v>#REF!</v>
      </c>
      <c r="J1141" s="1124" t="e">
        <v>#REF!</v>
      </c>
      <c r="K1141" s="1124" t="e">
        <v>#REF!</v>
      </c>
    </row>
    <row r="1142" spans="1:11" ht="45">
      <c r="A1142" s="1120">
        <v>1136</v>
      </c>
      <c r="B1142" s="1121" t="s">
        <v>11392</v>
      </c>
      <c r="C1142" s="1122" t="s">
        <v>11393</v>
      </c>
      <c r="D1142" s="1123" t="s">
        <v>11311</v>
      </c>
      <c r="E1142" s="1124">
        <v>77710.5</v>
      </c>
      <c r="F1142" s="1124">
        <v>1527172.9</v>
      </c>
      <c r="G1142" s="1124">
        <v>0</v>
      </c>
      <c r="H1142" s="1124" t="e">
        <v>#REF!</v>
      </c>
      <c r="I1142" s="1124" t="e">
        <v>#REF!</v>
      </c>
      <c r="J1142" s="1124" t="e">
        <v>#REF!</v>
      </c>
      <c r="K1142" s="1124" t="e">
        <v>#REF!</v>
      </c>
    </row>
    <row r="1143" spans="1:11" ht="45">
      <c r="A1143" s="1120">
        <v>1137</v>
      </c>
      <c r="B1143" s="1121" t="s">
        <v>11394</v>
      </c>
      <c r="C1143" s="1122" t="s">
        <v>11395</v>
      </c>
      <c r="D1143" s="1123" t="s">
        <v>11311</v>
      </c>
      <c r="E1143" s="1124">
        <v>1155042</v>
      </c>
      <c r="F1143" s="1124">
        <v>3482583.9</v>
      </c>
      <c r="G1143" s="1124">
        <v>0</v>
      </c>
      <c r="H1143" s="1124" t="e">
        <v>#REF!</v>
      </c>
      <c r="I1143" s="1124" t="e">
        <v>#REF!</v>
      </c>
      <c r="J1143" s="1124" t="e">
        <v>#REF!</v>
      </c>
      <c r="K1143" s="1124" t="e">
        <v>#REF!</v>
      </c>
    </row>
    <row r="1144" spans="1:11" ht="45">
      <c r="A1144" s="1120">
        <v>1138</v>
      </c>
      <c r="B1144" s="1121" t="s">
        <v>11396</v>
      </c>
      <c r="C1144" s="1122" t="s">
        <v>11397</v>
      </c>
      <c r="D1144" s="1123" t="s">
        <v>11311</v>
      </c>
      <c r="E1144" s="1124">
        <v>1155042</v>
      </c>
      <c r="F1144" s="1124">
        <v>3781720.8</v>
      </c>
      <c r="G1144" s="1124">
        <v>0</v>
      </c>
      <c r="H1144" s="1124" t="e">
        <v>#REF!</v>
      </c>
      <c r="I1144" s="1124" t="e">
        <v>#REF!</v>
      </c>
      <c r="J1144" s="1124" t="e">
        <v>#REF!</v>
      </c>
      <c r="K1144" s="1124" t="e">
        <v>#REF!</v>
      </c>
    </row>
    <row r="1145" spans="1:11" ht="45">
      <c r="A1145" s="1120">
        <v>1139</v>
      </c>
      <c r="B1145" s="1121" t="s">
        <v>11398</v>
      </c>
      <c r="C1145" s="1122" t="s">
        <v>11399</v>
      </c>
      <c r="D1145" s="1123" t="s">
        <v>11311</v>
      </c>
      <c r="E1145" s="1124">
        <v>1377064.5</v>
      </c>
      <c r="F1145" s="1124">
        <v>4206810.2</v>
      </c>
      <c r="G1145" s="1124">
        <v>0</v>
      </c>
      <c r="H1145" s="1124" t="e">
        <v>#REF!</v>
      </c>
      <c r="I1145" s="1124" t="e">
        <v>#REF!</v>
      </c>
      <c r="J1145" s="1124" t="e">
        <v>#REF!</v>
      </c>
      <c r="K1145" s="1124" t="e">
        <v>#REF!</v>
      </c>
    </row>
    <row r="1146" spans="1:11" ht="45">
      <c r="A1146" s="1120">
        <v>1140</v>
      </c>
      <c r="B1146" s="1121" t="s">
        <v>11400</v>
      </c>
      <c r="C1146" s="1122" t="s">
        <v>11401</v>
      </c>
      <c r="D1146" s="1123" t="s">
        <v>11311</v>
      </c>
      <c r="E1146" s="1124">
        <v>1377064.5</v>
      </c>
      <c r="F1146" s="1124">
        <v>4641345.9000000004</v>
      </c>
      <c r="G1146" s="1124">
        <v>0</v>
      </c>
      <c r="H1146" s="1124" t="e">
        <v>#REF!</v>
      </c>
      <c r="I1146" s="1124" t="e">
        <v>#REF!</v>
      </c>
      <c r="J1146" s="1124" t="e">
        <v>#REF!</v>
      </c>
      <c r="K1146" s="1124" t="e">
        <v>#REF!</v>
      </c>
    </row>
    <row r="1147" spans="1:11" ht="45">
      <c r="A1147" s="1120">
        <v>1141</v>
      </c>
      <c r="B1147" s="1121" t="s">
        <v>11402</v>
      </c>
      <c r="C1147" s="1122" t="s">
        <v>11403</v>
      </c>
      <c r="D1147" s="1123" t="s">
        <v>11311</v>
      </c>
      <c r="E1147" s="1124">
        <v>1649434.5</v>
      </c>
      <c r="F1147" s="1124">
        <v>5075881.7</v>
      </c>
      <c r="G1147" s="1124">
        <v>0</v>
      </c>
      <c r="H1147" s="1124" t="e">
        <v>#REF!</v>
      </c>
      <c r="I1147" s="1124" t="e">
        <v>#REF!</v>
      </c>
      <c r="J1147" s="1124" t="e">
        <v>#REF!</v>
      </c>
      <c r="K1147" s="1124" t="e">
        <v>#REF!</v>
      </c>
    </row>
    <row r="1148" spans="1:11" ht="45">
      <c r="A1148" s="1120">
        <v>1142</v>
      </c>
      <c r="B1148" s="1121" t="s">
        <v>11404</v>
      </c>
      <c r="C1148" s="1122" t="s">
        <v>11405</v>
      </c>
      <c r="D1148" s="1123" t="s">
        <v>11311</v>
      </c>
      <c r="E1148" s="1124">
        <v>1649434.5</v>
      </c>
      <c r="F1148" s="1124">
        <v>5570244.9000000004</v>
      </c>
      <c r="G1148" s="1124">
        <v>0</v>
      </c>
      <c r="H1148" s="1124" t="e">
        <v>#REF!</v>
      </c>
      <c r="I1148" s="1124" t="e">
        <v>#REF!</v>
      </c>
      <c r="J1148" s="1124" t="e">
        <v>#REF!</v>
      </c>
      <c r="K1148" s="1124" t="e">
        <v>#REF!</v>
      </c>
    </row>
    <row r="1149" spans="1:11" ht="45">
      <c r="A1149" s="1120">
        <v>1143</v>
      </c>
      <c r="B1149" s="1121" t="s">
        <v>11406</v>
      </c>
      <c r="C1149" s="1122" t="s">
        <v>11407</v>
      </c>
      <c r="D1149" s="1123" t="s">
        <v>11311</v>
      </c>
      <c r="E1149" s="1124">
        <v>1933333.5</v>
      </c>
      <c r="F1149" s="1124">
        <v>6681774.7999999998</v>
      </c>
      <c r="G1149" s="1124">
        <v>0</v>
      </c>
      <c r="H1149" s="1124" t="e">
        <v>#REF!</v>
      </c>
      <c r="I1149" s="1124" t="e">
        <v>#REF!</v>
      </c>
      <c r="J1149" s="1124" t="e">
        <v>#REF!</v>
      </c>
      <c r="K1149" s="1124" t="e">
        <v>#REF!</v>
      </c>
    </row>
    <row r="1150" spans="1:11" ht="45">
      <c r="A1150" s="1120">
        <v>1144</v>
      </c>
      <c r="B1150" s="1121" t="s">
        <v>11408</v>
      </c>
      <c r="C1150" s="1122" t="s">
        <v>11409</v>
      </c>
      <c r="D1150" s="1123" t="s">
        <v>11311</v>
      </c>
      <c r="E1150" s="1124">
        <v>1155042</v>
      </c>
      <c r="F1150" s="1124">
        <v>4178470.9</v>
      </c>
      <c r="G1150" s="1124">
        <v>0</v>
      </c>
      <c r="H1150" s="1124" t="e">
        <v>#REF!</v>
      </c>
      <c r="I1150" s="1124" t="e">
        <v>#REF!</v>
      </c>
      <c r="J1150" s="1124" t="e">
        <v>#REF!</v>
      </c>
      <c r="K1150" s="1124" t="e">
        <v>#REF!</v>
      </c>
    </row>
    <row r="1151" spans="1:11" ht="45">
      <c r="A1151" s="1120">
        <v>1145</v>
      </c>
      <c r="B1151" s="1121" t="s">
        <v>11410</v>
      </c>
      <c r="C1151" s="1122" t="s">
        <v>11411</v>
      </c>
      <c r="D1151" s="1123" t="s">
        <v>11311</v>
      </c>
      <c r="E1151" s="1124">
        <v>1155042</v>
      </c>
      <c r="F1151" s="1124">
        <v>4537435.2</v>
      </c>
      <c r="G1151" s="1124">
        <v>0</v>
      </c>
      <c r="H1151" s="1124" t="e">
        <v>#REF!</v>
      </c>
      <c r="I1151" s="1124" t="e">
        <v>#REF!</v>
      </c>
      <c r="J1151" s="1124" t="e">
        <v>#REF!</v>
      </c>
      <c r="K1151" s="1124" t="e">
        <v>#REF!</v>
      </c>
    </row>
    <row r="1152" spans="1:11" ht="45">
      <c r="A1152" s="1120">
        <v>1146</v>
      </c>
      <c r="B1152" s="1121" t="s">
        <v>11412</v>
      </c>
      <c r="C1152" s="1122" t="s">
        <v>11413</v>
      </c>
      <c r="D1152" s="1123" t="s">
        <v>11311</v>
      </c>
      <c r="E1152" s="1124">
        <v>1377064.5</v>
      </c>
      <c r="F1152" s="1124">
        <v>5053840.0999999996</v>
      </c>
      <c r="G1152" s="1124">
        <v>0</v>
      </c>
      <c r="H1152" s="1124" t="e">
        <v>#REF!</v>
      </c>
      <c r="I1152" s="1124" t="e">
        <v>#REF!</v>
      </c>
      <c r="J1152" s="1124" t="e">
        <v>#REF!</v>
      </c>
      <c r="K1152" s="1124" t="e">
        <v>#REF!</v>
      </c>
    </row>
    <row r="1153" spans="1:11" ht="45">
      <c r="A1153" s="1120">
        <v>1147</v>
      </c>
      <c r="B1153" s="1121" t="s">
        <v>11414</v>
      </c>
      <c r="C1153" s="1122" t="s">
        <v>11415</v>
      </c>
      <c r="D1153" s="1123" t="s">
        <v>11311</v>
      </c>
      <c r="E1153" s="1124">
        <v>1377064.5</v>
      </c>
      <c r="F1153" s="1124">
        <v>5570244.9000000004</v>
      </c>
      <c r="G1153" s="1124">
        <v>0</v>
      </c>
      <c r="H1153" s="1124" t="e">
        <v>#REF!</v>
      </c>
      <c r="I1153" s="1124" t="e">
        <v>#REF!</v>
      </c>
      <c r="J1153" s="1124" t="e">
        <v>#REF!</v>
      </c>
      <c r="K1153" s="1124" t="e">
        <v>#REF!</v>
      </c>
    </row>
    <row r="1154" spans="1:11" ht="45">
      <c r="A1154" s="1120">
        <v>1148</v>
      </c>
      <c r="B1154" s="1121" t="s">
        <v>11416</v>
      </c>
      <c r="C1154" s="1122" t="s">
        <v>11417</v>
      </c>
      <c r="D1154" s="1123" t="s">
        <v>11311</v>
      </c>
      <c r="E1154" s="1124">
        <v>1649434.5</v>
      </c>
      <c r="F1154" s="1124">
        <v>6086649.7000000002</v>
      </c>
      <c r="G1154" s="1124">
        <v>0</v>
      </c>
      <c r="H1154" s="1124" t="e">
        <v>#REF!</v>
      </c>
      <c r="I1154" s="1124" t="e">
        <v>#REF!</v>
      </c>
      <c r="J1154" s="1124" t="e">
        <v>#REF!</v>
      </c>
      <c r="K1154" s="1124" t="e">
        <v>#REF!</v>
      </c>
    </row>
    <row r="1155" spans="1:11" ht="45">
      <c r="A1155" s="1120">
        <v>1149</v>
      </c>
      <c r="B1155" s="1121" t="s">
        <v>11418</v>
      </c>
      <c r="C1155" s="1122" t="s">
        <v>11419</v>
      </c>
      <c r="D1155" s="1123" t="s">
        <v>11311</v>
      </c>
      <c r="E1155" s="1124">
        <v>1649434.5</v>
      </c>
      <c r="F1155" s="1124">
        <v>6681774.7999999998</v>
      </c>
      <c r="G1155" s="1124">
        <v>0</v>
      </c>
      <c r="H1155" s="1124" t="e">
        <v>#REF!</v>
      </c>
      <c r="I1155" s="1124" t="e">
        <v>#REF!</v>
      </c>
      <c r="J1155" s="1124" t="e">
        <v>#REF!</v>
      </c>
      <c r="K1155" s="1124" t="e">
        <v>#REF!</v>
      </c>
    </row>
    <row r="1156" spans="1:11" ht="45">
      <c r="A1156" s="1120">
        <v>1150</v>
      </c>
      <c r="B1156" s="1121" t="s">
        <v>11420</v>
      </c>
      <c r="C1156" s="1122" t="s">
        <v>11421</v>
      </c>
      <c r="D1156" s="1123" t="s">
        <v>11311</v>
      </c>
      <c r="E1156" s="1124">
        <v>1933333.5</v>
      </c>
      <c r="F1156" s="1124">
        <v>8016870.2999999998</v>
      </c>
      <c r="G1156" s="1124">
        <v>0</v>
      </c>
      <c r="H1156" s="1124" t="e">
        <v>#REF!</v>
      </c>
      <c r="I1156" s="1124" t="e">
        <v>#REF!</v>
      </c>
      <c r="J1156" s="1124" t="e">
        <v>#REF!</v>
      </c>
      <c r="K1156" s="1124" t="e">
        <v>#REF!</v>
      </c>
    </row>
    <row r="1157" spans="1:11" ht="60">
      <c r="A1157" s="1120">
        <v>1151</v>
      </c>
      <c r="B1157" s="1121" t="s">
        <v>11422</v>
      </c>
      <c r="C1157" s="1122" t="s">
        <v>11423</v>
      </c>
      <c r="D1157" s="1123" t="s">
        <v>6094</v>
      </c>
      <c r="E1157" s="1124">
        <v>79695</v>
      </c>
      <c r="F1157" s="1124">
        <v>1879839.6</v>
      </c>
      <c r="G1157" s="1124">
        <v>0</v>
      </c>
      <c r="H1157" s="1124" t="e">
        <v>#REF!</v>
      </c>
      <c r="I1157" s="1124" t="e">
        <v>#REF!</v>
      </c>
      <c r="J1157" s="1124" t="e">
        <v>#REF!</v>
      </c>
      <c r="K1157" s="1124" t="e">
        <v>#REF!</v>
      </c>
    </row>
    <row r="1158" spans="1:11" ht="60">
      <c r="A1158" s="1120">
        <v>1152</v>
      </c>
      <c r="B1158" s="1121" t="s">
        <v>11424</v>
      </c>
      <c r="C1158" s="1122" t="s">
        <v>11425</v>
      </c>
      <c r="D1158" s="1123" t="s">
        <v>6094</v>
      </c>
      <c r="E1158" s="1124">
        <v>87570</v>
      </c>
      <c r="F1158" s="1124">
        <v>2068768.2</v>
      </c>
      <c r="G1158" s="1124">
        <v>0</v>
      </c>
      <c r="H1158" s="1124" t="e">
        <v>#REF!</v>
      </c>
      <c r="I1158" s="1124" t="e">
        <v>#REF!</v>
      </c>
      <c r="J1158" s="1124" t="e">
        <v>#REF!</v>
      </c>
      <c r="K1158" s="1124" t="e">
        <v>#REF!</v>
      </c>
    </row>
    <row r="1159" spans="1:11" ht="60">
      <c r="A1159" s="1120">
        <v>1153</v>
      </c>
      <c r="B1159" s="1121" t="s">
        <v>11426</v>
      </c>
      <c r="C1159" s="1122" t="s">
        <v>11427</v>
      </c>
      <c r="D1159" s="1123" t="s">
        <v>6094</v>
      </c>
      <c r="E1159" s="1124">
        <v>96075</v>
      </c>
      <c r="F1159" s="1124">
        <v>2273440.7999999998</v>
      </c>
      <c r="G1159" s="1124">
        <v>0</v>
      </c>
      <c r="H1159" s="1124" t="e">
        <v>#REF!</v>
      </c>
      <c r="I1159" s="1124" t="e">
        <v>#REF!</v>
      </c>
      <c r="J1159" s="1124" t="e">
        <v>#REF!</v>
      </c>
      <c r="K1159" s="1124" t="e">
        <v>#REF!</v>
      </c>
    </row>
    <row r="1160" spans="1:11" ht="60">
      <c r="A1160" s="1120">
        <v>1154</v>
      </c>
      <c r="B1160" s="1121" t="s">
        <v>11428</v>
      </c>
      <c r="C1160" s="1122" t="s">
        <v>11429</v>
      </c>
      <c r="D1160" s="1123" t="s">
        <v>6094</v>
      </c>
      <c r="E1160" s="1124">
        <v>127575</v>
      </c>
      <c r="F1160" s="1124">
        <v>2506452.7999999998</v>
      </c>
      <c r="G1160" s="1124">
        <v>0</v>
      </c>
      <c r="H1160" s="1124" t="e">
        <v>#REF!</v>
      </c>
      <c r="I1160" s="1124" t="e">
        <v>#REF!</v>
      </c>
      <c r="J1160" s="1124" t="e">
        <v>#REF!</v>
      </c>
      <c r="K1160" s="1124" t="e">
        <v>#REF!</v>
      </c>
    </row>
    <row r="1161" spans="1:11" ht="60">
      <c r="A1161" s="1120">
        <v>1155</v>
      </c>
      <c r="B1161" s="1121" t="s">
        <v>11430</v>
      </c>
      <c r="C1161" s="1122" t="s">
        <v>11431</v>
      </c>
      <c r="D1161" s="1123" t="s">
        <v>6094</v>
      </c>
      <c r="E1161" s="1124">
        <v>127575</v>
      </c>
      <c r="F1161" s="1124">
        <v>2739464.7</v>
      </c>
      <c r="G1161" s="1124">
        <v>0</v>
      </c>
      <c r="H1161" s="1124" t="e">
        <v>#REF!</v>
      </c>
      <c r="I1161" s="1124" t="e">
        <v>#REF!</v>
      </c>
      <c r="J1161" s="1124" t="e">
        <v>#REF!</v>
      </c>
      <c r="K1161" s="1124" t="e">
        <v>#REF!</v>
      </c>
    </row>
    <row r="1162" spans="1:11" ht="60">
      <c r="A1162" s="1120">
        <v>1156</v>
      </c>
      <c r="B1162" s="1121" t="s">
        <v>11432</v>
      </c>
      <c r="C1162" s="1122" t="s">
        <v>11433</v>
      </c>
      <c r="D1162" s="1123" t="s">
        <v>6094</v>
      </c>
      <c r="E1162" s="1124">
        <v>127575</v>
      </c>
      <c r="F1162" s="1124">
        <v>3007113.6</v>
      </c>
      <c r="G1162" s="1124">
        <v>0</v>
      </c>
      <c r="H1162" s="1124" t="e">
        <v>#REF!</v>
      </c>
      <c r="I1162" s="1124" t="e">
        <v>#REF!</v>
      </c>
      <c r="J1162" s="1124" t="e">
        <v>#REF!</v>
      </c>
      <c r="K1162" s="1124" t="e">
        <v>#REF!</v>
      </c>
    </row>
    <row r="1163" spans="1:11" ht="60">
      <c r="A1163" s="1120">
        <v>1157</v>
      </c>
      <c r="B1163" s="1121" t="s">
        <v>11434</v>
      </c>
      <c r="C1163" s="1122" t="s">
        <v>11435</v>
      </c>
      <c r="D1163" s="1123" t="s">
        <v>6094</v>
      </c>
      <c r="E1163" s="1124">
        <v>152775</v>
      </c>
      <c r="F1163" s="1124">
        <v>3608536.3</v>
      </c>
      <c r="G1163" s="1124">
        <v>0</v>
      </c>
      <c r="H1163" s="1124" t="e">
        <v>#REF!</v>
      </c>
      <c r="I1163" s="1124" t="e">
        <v>#REF!</v>
      </c>
      <c r="J1163" s="1124" t="e">
        <v>#REF!</v>
      </c>
      <c r="K1163" s="1124" t="e">
        <v>#REF!</v>
      </c>
    </row>
    <row r="1164" spans="1:11" ht="60">
      <c r="A1164" s="1120">
        <v>1158</v>
      </c>
      <c r="B1164" s="1121" t="s">
        <v>11436</v>
      </c>
      <c r="C1164" s="1122" t="s">
        <v>11437</v>
      </c>
      <c r="D1164" s="1123" t="s">
        <v>6094</v>
      </c>
      <c r="E1164" s="1124">
        <v>79695</v>
      </c>
      <c r="F1164" s="1124">
        <v>2446625.4</v>
      </c>
      <c r="G1164" s="1124">
        <v>0</v>
      </c>
      <c r="H1164" s="1124" t="e">
        <v>#REF!</v>
      </c>
      <c r="I1164" s="1124" t="e">
        <v>#REF!</v>
      </c>
      <c r="J1164" s="1124" t="e">
        <v>#REF!</v>
      </c>
      <c r="K1164" s="1124" t="e">
        <v>#REF!</v>
      </c>
    </row>
    <row r="1165" spans="1:11" ht="60">
      <c r="A1165" s="1120">
        <v>1159</v>
      </c>
      <c r="B1165" s="1121" t="s">
        <v>11438</v>
      </c>
      <c r="C1165" s="1122" t="s">
        <v>11439</v>
      </c>
      <c r="D1165" s="1123" t="s">
        <v>6094</v>
      </c>
      <c r="E1165" s="1124">
        <v>87570</v>
      </c>
      <c r="F1165" s="1124">
        <v>2689083.7</v>
      </c>
      <c r="G1165" s="1124">
        <v>0</v>
      </c>
      <c r="H1165" s="1124" t="e">
        <v>#REF!</v>
      </c>
      <c r="I1165" s="1124" t="e">
        <v>#REF!</v>
      </c>
      <c r="J1165" s="1124" t="e">
        <v>#REF!</v>
      </c>
      <c r="K1165" s="1124" t="e">
        <v>#REF!</v>
      </c>
    </row>
    <row r="1166" spans="1:11" ht="60">
      <c r="A1166" s="1120">
        <v>1160</v>
      </c>
      <c r="B1166" s="1121" t="s">
        <v>11440</v>
      </c>
      <c r="C1166" s="1122" t="s">
        <v>11441</v>
      </c>
      <c r="D1166" s="1123" t="s">
        <v>6094</v>
      </c>
      <c r="E1166" s="1124">
        <v>96075</v>
      </c>
      <c r="F1166" s="1124">
        <v>2959881.4</v>
      </c>
      <c r="G1166" s="1124">
        <v>0</v>
      </c>
      <c r="H1166" s="1124" t="e">
        <v>#REF!</v>
      </c>
      <c r="I1166" s="1124" t="e">
        <v>#REF!</v>
      </c>
      <c r="J1166" s="1124" t="e">
        <v>#REF!</v>
      </c>
      <c r="K1166" s="1124" t="e">
        <v>#REF!</v>
      </c>
    </row>
    <row r="1167" spans="1:11" ht="60">
      <c r="A1167" s="1120">
        <v>1161</v>
      </c>
      <c r="B1167" s="1121" t="s">
        <v>11442</v>
      </c>
      <c r="C1167" s="1122" t="s">
        <v>11443</v>
      </c>
      <c r="D1167" s="1123" t="s">
        <v>6094</v>
      </c>
      <c r="E1167" s="1124">
        <v>127575</v>
      </c>
      <c r="F1167" s="1124">
        <v>3259018.4</v>
      </c>
      <c r="G1167" s="1124">
        <v>0</v>
      </c>
      <c r="H1167" s="1124" t="e">
        <v>#REF!</v>
      </c>
      <c r="I1167" s="1124" t="e">
        <v>#REF!</v>
      </c>
      <c r="J1167" s="1124" t="e">
        <v>#REF!</v>
      </c>
      <c r="K1167" s="1124" t="e">
        <v>#REF!</v>
      </c>
    </row>
    <row r="1168" spans="1:11" ht="60">
      <c r="A1168" s="1120">
        <v>1162</v>
      </c>
      <c r="B1168" s="1121" t="s">
        <v>11444</v>
      </c>
      <c r="C1168" s="1122" t="s">
        <v>11445</v>
      </c>
      <c r="D1168" s="1123" t="s">
        <v>6094</v>
      </c>
      <c r="E1168" s="1124">
        <v>127575</v>
      </c>
      <c r="F1168" s="1124">
        <v>3561304.1</v>
      </c>
      <c r="G1168" s="1124">
        <v>0</v>
      </c>
      <c r="H1168" s="1124" t="e">
        <v>#REF!</v>
      </c>
      <c r="I1168" s="1124" t="e">
        <v>#REF!</v>
      </c>
      <c r="J1168" s="1124" t="e">
        <v>#REF!</v>
      </c>
      <c r="K1168" s="1124" t="e">
        <v>#REF!</v>
      </c>
    </row>
    <row r="1169" spans="1:11" ht="60">
      <c r="A1169" s="1120">
        <v>1163</v>
      </c>
      <c r="B1169" s="1121" t="s">
        <v>11446</v>
      </c>
      <c r="C1169" s="1122" t="s">
        <v>11447</v>
      </c>
      <c r="D1169" s="1123" t="s">
        <v>6094</v>
      </c>
      <c r="E1169" s="1124">
        <v>127575</v>
      </c>
      <c r="F1169" s="1124">
        <v>3904524.4</v>
      </c>
      <c r="G1169" s="1124">
        <v>0</v>
      </c>
      <c r="H1169" s="1124" t="e">
        <v>#REF!</v>
      </c>
      <c r="I1169" s="1124" t="e">
        <v>#REF!</v>
      </c>
      <c r="J1169" s="1124" t="e">
        <v>#REF!</v>
      </c>
      <c r="K1169" s="1124" t="e">
        <v>#REF!</v>
      </c>
    </row>
    <row r="1170" spans="1:11" ht="60">
      <c r="A1170" s="1120">
        <v>1164</v>
      </c>
      <c r="B1170" s="1121" t="s">
        <v>11448</v>
      </c>
      <c r="C1170" s="1122" t="s">
        <v>11449</v>
      </c>
      <c r="D1170" s="1123" t="s">
        <v>6094</v>
      </c>
      <c r="E1170" s="1124">
        <v>152775</v>
      </c>
      <c r="F1170" s="1124">
        <v>4688578.0999999996</v>
      </c>
      <c r="G1170" s="1124">
        <v>0</v>
      </c>
      <c r="H1170" s="1124" t="e">
        <v>#REF!</v>
      </c>
      <c r="I1170" s="1124" t="e">
        <v>#REF!</v>
      </c>
      <c r="J1170" s="1124" t="e">
        <v>#REF!</v>
      </c>
      <c r="K1170" s="1124" t="e">
        <v>#REF!</v>
      </c>
    </row>
    <row r="1171" spans="1:11" ht="60">
      <c r="A1171" s="1120">
        <v>1165</v>
      </c>
      <c r="B1171" s="1121" t="s">
        <v>11450</v>
      </c>
      <c r="C1171" s="1122" t="s">
        <v>11451</v>
      </c>
      <c r="D1171" s="1123" t="s">
        <v>6094</v>
      </c>
      <c r="E1171" s="1124">
        <v>2574096</v>
      </c>
      <c r="F1171" s="1124">
        <v>4524840</v>
      </c>
      <c r="G1171" s="1124">
        <v>0</v>
      </c>
      <c r="H1171" s="1124" t="e">
        <v>#REF!</v>
      </c>
      <c r="I1171" s="1124" t="e">
        <v>#REF!</v>
      </c>
      <c r="J1171" s="1124" t="e">
        <v>#REF!</v>
      </c>
      <c r="K1171" s="1124" t="e">
        <v>#REF!</v>
      </c>
    </row>
    <row r="1172" spans="1:11" ht="60">
      <c r="A1172" s="1120">
        <v>1166</v>
      </c>
      <c r="B1172" s="1121" t="s">
        <v>11452</v>
      </c>
      <c r="C1172" s="1122" t="s">
        <v>11453</v>
      </c>
      <c r="D1172" s="1123" t="s">
        <v>6094</v>
      </c>
      <c r="E1172" s="1124">
        <v>2574096</v>
      </c>
      <c r="F1172" s="1124">
        <v>4915292.4000000004</v>
      </c>
      <c r="G1172" s="1124">
        <v>0</v>
      </c>
      <c r="H1172" s="1124" t="e">
        <v>#REF!</v>
      </c>
      <c r="I1172" s="1124" t="e">
        <v>#REF!</v>
      </c>
      <c r="J1172" s="1124" t="e">
        <v>#REF!</v>
      </c>
      <c r="K1172" s="1124" t="e">
        <v>#REF!</v>
      </c>
    </row>
    <row r="1173" spans="1:11" ht="60">
      <c r="A1173" s="1120">
        <v>1167</v>
      </c>
      <c r="B1173" s="1121" t="s">
        <v>11454</v>
      </c>
      <c r="C1173" s="1122" t="s">
        <v>11455</v>
      </c>
      <c r="D1173" s="1123" t="s">
        <v>6094</v>
      </c>
      <c r="E1173" s="1124">
        <v>3078568.5</v>
      </c>
      <c r="F1173" s="1124">
        <v>5472631.7999999998</v>
      </c>
      <c r="G1173" s="1124">
        <v>0</v>
      </c>
      <c r="H1173" s="1124" t="e">
        <v>#REF!</v>
      </c>
      <c r="I1173" s="1124" t="e">
        <v>#REF!</v>
      </c>
      <c r="J1173" s="1124" t="e">
        <v>#REF!</v>
      </c>
      <c r="K1173" s="1124" t="e">
        <v>#REF!</v>
      </c>
    </row>
    <row r="1174" spans="1:11" ht="60">
      <c r="A1174" s="1120">
        <v>1168</v>
      </c>
      <c r="B1174" s="1121" t="s">
        <v>11456</v>
      </c>
      <c r="C1174" s="1122" t="s">
        <v>11457</v>
      </c>
      <c r="D1174" s="1123" t="s">
        <v>6094</v>
      </c>
      <c r="E1174" s="1124">
        <v>3078568.5</v>
      </c>
      <c r="F1174" s="1124">
        <v>6033120</v>
      </c>
      <c r="G1174" s="1124">
        <v>0</v>
      </c>
      <c r="H1174" s="1124" t="e">
        <v>#REF!</v>
      </c>
      <c r="I1174" s="1124" t="e">
        <v>#REF!</v>
      </c>
      <c r="J1174" s="1124" t="e">
        <v>#REF!</v>
      </c>
      <c r="K1174" s="1124" t="e">
        <v>#REF!</v>
      </c>
    </row>
    <row r="1175" spans="1:11" ht="60">
      <c r="A1175" s="1120">
        <v>1169</v>
      </c>
      <c r="B1175" s="1121" t="s">
        <v>11458</v>
      </c>
      <c r="C1175" s="1122" t="s">
        <v>11459</v>
      </c>
      <c r="D1175" s="1123" t="s">
        <v>6094</v>
      </c>
      <c r="E1175" s="1124">
        <v>3694472.3</v>
      </c>
      <c r="F1175" s="1124">
        <v>6596757</v>
      </c>
      <c r="G1175" s="1124">
        <v>0</v>
      </c>
      <c r="H1175" s="1124" t="e">
        <v>#REF!</v>
      </c>
      <c r="I1175" s="1124" t="e">
        <v>#REF!</v>
      </c>
      <c r="J1175" s="1124" t="e">
        <v>#REF!</v>
      </c>
      <c r="K1175" s="1124" t="e">
        <v>#REF!</v>
      </c>
    </row>
    <row r="1176" spans="1:11" ht="60">
      <c r="A1176" s="1120">
        <v>1170</v>
      </c>
      <c r="B1176" s="1121" t="s">
        <v>11460</v>
      </c>
      <c r="C1176" s="1122" t="s">
        <v>11461</v>
      </c>
      <c r="D1176" s="1123" t="s">
        <v>6094</v>
      </c>
      <c r="E1176" s="1124">
        <v>3694472.3</v>
      </c>
      <c r="F1176" s="1124">
        <v>7242263</v>
      </c>
      <c r="G1176" s="1124">
        <v>0</v>
      </c>
      <c r="H1176" s="1124" t="e">
        <v>#REF!</v>
      </c>
      <c r="I1176" s="1124" t="e">
        <v>#REF!</v>
      </c>
      <c r="J1176" s="1124" t="e">
        <v>#REF!</v>
      </c>
      <c r="K1176" s="1124" t="e">
        <v>#REF!</v>
      </c>
    </row>
    <row r="1177" spans="1:11" ht="60">
      <c r="A1177" s="1120">
        <v>1171</v>
      </c>
      <c r="B1177" s="1121" t="s">
        <v>11462</v>
      </c>
      <c r="C1177" s="1122" t="s">
        <v>11463</v>
      </c>
      <c r="D1177" s="1123" t="s">
        <v>6094</v>
      </c>
      <c r="E1177" s="1124">
        <v>4337403</v>
      </c>
      <c r="F1177" s="1124">
        <v>8788328.6999999993</v>
      </c>
      <c r="G1177" s="1124">
        <v>0</v>
      </c>
      <c r="H1177" s="1124" t="e">
        <v>#REF!</v>
      </c>
      <c r="I1177" s="1124" t="e">
        <v>#REF!</v>
      </c>
      <c r="J1177" s="1124" t="e">
        <v>#REF!</v>
      </c>
      <c r="K1177" s="1124" t="e">
        <v>#REF!</v>
      </c>
    </row>
    <row r="1178" spans="1:11" ht="60">
      <c r="A1178" s="1120">
        <v>1172</v>
      </c>
      <c r="B1178" s="1121" t="s">
        <v>11464</v>
      </c>
      <c r="C1178" s="1122" t="s">
        <v>11465</v>
      </c>
      <c r="D1178" s="1123" t="s">
        <v>6094</v>
      </c>
      <c r="E1178" s="1124">
        <v>2574096</v>
      </c>
      <c r="F1178" s="1124">
        <v>5431697.2999999998</v>
      </c>
      <c r="G1178" s="1124">
        <v>0</v>
      </c>
      <c r="H1178" s="1124" t="e">
        <v>#REF!</v>
      </c>
      <c r="I1178" s="1124" t="e">
        <v>#REF!</v>
      </c>
      <c r="J1178" s="1124" t="e">
        <v>#REF!</v>
      </c>
      <c r="K1178" s="1124" t="e">
        <v>#REF!</v>
      </c>
    </row>
    <row r="1179" spans="1:11" ht="60">
      <c r="A1179" s="1120">
        <v>1173</v>
      </c>
      <c r="B1179" s="1121" t="s">
        <v>11466</v>
      </c>
      <c r="C1179" s="1122" t="s">
        <v>11467</v>
      </c>
      <c r="D1179" s="1123" t="s">
        <v>6094</v>
      </c>
      <c r="E1179" s="1124">
        <v>2574096</v>
      </c>
      <c r="F1179" s="1124">
        <v>5894572.2999999998</v>
      </c>
      <c r="G1179" s="1124">
        <v>0</v>
      </c>
      <c r="H1179" s="1124" t="e">
        <v>#REF!</v>
      </c>
      <c r="I1179" s="1124" t="e">
        <v>#REF!</v>
      </c>
      <c r="J1179" s="1124" t="e">
        <v>#REF!</v>
      </c>
      <c r="K1179" s="1124" t="e">
        <v>#REF!</v>
      </c>
    </row>
    <row r="1180" spans="1:11" ht="60">
      <c r="A1180" s="1120">
        <v>1174</v>
      </c>
      <c r="B1180" s="1121" t="s">
        <v>11468</v>
      </c>
      <c r="C1180" s="1122" t="s">
        <v>11469</v>
      </c>
      <c r="D1180" s="1123" t="s">
        <v>6094</v>
      </c>
      <c r="E1180" s="1124">
        <v>3078568.5</v>
      </c>
      <c r="F1180" s="1124">
        <v>6571566.5</v>
      </c>
      <c r="G1180" s="1124">
        <v>0</v>
      </c>
      <c r="H1180" s="1124" t="e">
        <v>#REF!</v>
      </c>
      <c r="I1180" s="1124" t="e">
        <v>#REF!</v>
      </c>
      <c r="J1180" s="1124" t="e">
        <v>#REF!</v>
      </c>
      <c r="K1180" s="1124" t="e">
        <v>#REF!</v>
      </c>
    </row>
    <row r="1181" spans="1:11" ht="60">
      <c r="A1181" s="1120">
        <v>1175</v>
      </c>
      <c r="B1181" s="1121" t="s">
        <v>11470</v>
      </c>
      <c r="C1181" s="1122" t="s">
        <v>11471</v>
      </c>
      <c r="D1181" s="1123" t="s">
        <v>6094</v>
      </c>
      <c r="E1181" s="1124">
        <v>3078568.5</v>
      </c>
      <c r="F1181" s="1124">
        <v>7242263</v>
      </c>
      <c r="G1181" s="1124">
        <v>0</v>
      </c>
      <c r="H1181" s="1124" t="e">
        <v>#REF!</v>
      </c>
      <c r="I1181" s="1124" t="e">
        <v>#REF!</v>
      </c>
      <c r="J1181" s="1124" t="e">
        <v>#REF!</v>
      </c>
      <c r="K1181" s="1124" t="e">
        <v>#REF!</v>
      </c>
    </row>
    <row r="1182" spans="1:11" ht="60">
      <c r="A1182" s="1120">
        <v>1176</v>
      </c>
      <c r="B1182" s="1121" t="s">
        <v>11472</v>
      </c>
      <c r="C1182" s="1122" t="s">
        <v>11473</v>
      </c>
      <c r="D1182" s="1123" t="s">
        <v>6094</v>
      </c>
      <c r="E1182" s="1124">
        <v>3694472.3</v>
      </c>
      <c r="F1182" s="1124">
        <v>7912959.5</v>
      </c>
      <c r="G1182" s="1124">
        <v>0</v>
      </c>
      <c r="H1182" s="1124" t="e">
        <v>#REF!</v>
      </c>
      <c r="I1182" s="1124" t="e">
        <v>#REF!</v>
      </c>
      <c r="J1182" s="1124" t="e">
        <v>#REF!</v>
      </c>
      <c r="K1182" s="1124" t="e">
        <v>#REF!</v>
      </c>
    </row>
    <row r="1183" spans="1:11" ht="60">
      <c r="A1183" s="1120">
        <v>1177</v>
      </c>
      <c r="B1183" s="1121" t="s">
        <v>11474</v>
      </c>
      <c r="C1183" s="1122" t="s">
        <v>11475</v>
      </c>
      <c r="D1183" s="1123" t="s">
        <v>6094</v>
      </c>
      <c r="E1183" s="1124">
        <v>3694472.3</v>
      </c>
      <c r="F1183" s="1124">
        <v>8684418</v>
      </c>
      <c r="G1183" s="1124">
        <v>0</v>
      </c>
      <c r="H1183" s="1124" t="e">
        <v>#REF!</v>
      </c>
      <c r="I1183" s="1124" t="e">
        <v>#REF!</v>
      </c>
      <c r="J1183" s="1124" t="e">
        <v>#REF!</v>
      </c>
      <c r="K1183" s="1124" t="e">
        <v>#REF!</v>
      </c>
    </row>
    <row r="1184" spans="1:11" ht="60">
      <c r="A1184" s="1120">
        <v>1178</v>
      </c>
      <c r="B1184" s="1121" t="s">
        <v>11476</v>
      </c>
      <c r="C1184" s="1122" t="s">
        <v>11477</v>
      </c>
      <c r="D1184" s="1123" t="s">
        <v>6094</v>
      </c>
      <c r="E1184" s="1124">
        <v>4337403</v>
      </c>
      <c r="F1184" s="1124">
        <v>10419412.300000001</v>
      </c>
      <c r="G1184" s="1124">
        <v>0</v>
      </c>
      <c r="H1184" s="1124" t="e">
        <v>#REF!</v>
      </c>
      <c r="I1184" s="1124" t="e">
        <v>#REF!</v>
      </c>
      <c r="J1184" s="1124" t="e">
        <v>#REF!</v>
      </c>
      <c r="K1184" s="1124" t="e">
        <v>#REF!</v>
      </c>
    </row>
    <row r="1185" spans="1:11" s="1136" customFormat="1" ht="45">
      <c r="A1185" s="1131">
        <v>1179</v>
      </c>
      <c r="B1185" s="1132" t="s">
        <v>11478</v>
      </c>
      <c r="C1185" s="1133" t="s">
        <v>11479</v>
      </c>
      <c r="D1185" s="1134" t="s">
        <v>11480</v>
      </c>
      <c r="E1185" s="1135">
        <v>293970</v>
      </c>
      <c r="F1185" s="1135">
        <v>1709803.8</v>
      </c>
      <c r="G1185" s="1135">
        <v>617975</v>
      </c>
      <c r="H1185" s="1135" t="e">
        <v>#REF!</v>
      </c>
      <c r="I1185" s="1135" t="e">
        <v>#REF!</v>
      </c>
      <c r="J1185" s="1135" t="e">
        <v>#REF!</v>
      </c>
      <c r="K1185" s="1135" t="e">
        <v>#REF!</v>
      </c>
    </row>
    <row r="1186" spans="1:11" s="1136" customFormat="1" ht="45">
      <c r="A1186" s="1131">
        <v>1180</v>
      </c>
      <c r="B1186" s="1132" t="s">
        <v>11481</v>
      </c>
      <c r="C1186" s="1133" t="s">
        <v>11482</v>
      </c>
      <c r="D1186" s="1134" t="s">
        <v>11480</v>
      </c>
      <c r="E1186" s="1135">
        <v>293970</v>
      </c>
      <c r="F1186" s="1135">
        <v>1968006.3</v>
      </c>
      <c r="G1186" s="1135">
        <v>721750.3</v>
      </c>
      <c r="H1186" s="1135" t="e">
        <v>#REF!</v>
      </c>
      <c r="I1186" s="1135" t="e">
        <v>#REF!</v>
      </c>
      <c r="J1186" s="1135" t="e">
        <v>#REF!</v>
      </c>
      <c r="K1186" s="1135" t="e">
        <v>#REF!</v>
      </c>
    </row>
    <row r="1187" spans="1:11" s="1136" customFormat="1" ht="45">
      <c r="A1187" s="1131">
        <v>1181</v>
      </c>
      <c r="B1187" s="1132" t="s">
        <v>11483</v>
      </c>
      <c r="C1187" s="1133" t="s">
        <v>11484</v>
      </c>
      <c r="D1187" s="1134" t="s">
        <v>11480</v>
      </c>
      <c r="E1187" s="1135">
        <v>293970</v>
      </c>
      <c r="F1187" s="1135">
        <v>2053024.1</v>
      </c>
      <c r="G1187" s="1135">
        <v>825525.6</v>
      </c>
      <c r="H1187" s="1135" t="e">
        <v>#REF!</v>
      </c>
      <c r="I1187" s="1135" t="e">
        <v>#REF!</v>
      </c>
      <c r="J1187" s="1135" t="e">
        <v>#REF!</v>
      </c>
      <c r="K1187" s="1135" t="e">
        <v>#REF!</v>
      </c>
    </row>
    <row r="1188" spans="1:11" s="1136" customFormat="1" ht="45">
      <c r="A1188" s="1131">
        <v>1182</v>
      </c>
      <c r="B1188" s="1132" t="s">
        <v>11485</v>
      </c>
      <c r="C1188" s="1133" t="s">
        <v>11486</v>
      </c>
      <c r="D1188" s="1134" t="s">
        <v>11480</v>
      </c>
      <c r="E1188" s="1135">
        <v>293970</v>
      </c>
      <c r="F1188" s="1135">
        <v>2138042</v>
      </c>
      <c r="G1188" s="1135">
        <v>825525.6</v>
      </c>
      <c r="H1188" s="1135" t="e">
        <v>#REF!</v>
      </c>
      <c r="I1188" s="1135" t="e">
        <v>#REF!</v>
      </c>
      <c r="J1188" s="1135" t="e">
        <v>#REF!</v>
      </c>
      <c r="K1188" s="1135" t="e">
        <v>#REF!</v>
      </c>
    </row>
    <row r="1189" spans="1:11" s="1136" customFormat="1" ht="45">
      <c r="A1189" s="1131">
        <v>1183</v>
      </c>
      <c r="B1189" s="1132" t="s">
        <v>11487</v>
      </c>
      <c r="C1189" s="1133" t="s">
        <v>11488</v>
      </c>
      <c r="D1189" s="1134" t="s">
        <v>11480</v>
      </c>
      <c r="E1189" s="1135">
        <v>293970</v>
      </c>
      <c r="F1189" s="1135">
        <v>2673339.7000000002</v>
      </c>
      <c r="G1189" s="1135">
        <v>929300.9</v>
      </c>
      <c r="H1189" s="1135" t="e">
        <v>#REF!</v>
      </c>
      <c r="I1189" s="1135" t="e">
        <v>#REF!</v>
      </c>
      <c r="J1189" s="1135" t="e">
        <v>#REF!</v>
      </c>
      <c r="K1189" s="1135" t="e">
        <v>#REF!</v>
      </c>
    </row>
    <row r="1190" spans="1:11" s="1136" customFormat="1" ht="30">
      <c r="A1190" s="1131">
        <v>1184</v>
      </c>
      <c r="B1190" s="1132" t="s">
        <v>11489</v>
      </c>
      <c r="C1190" s="1133" t="s">
        <v>11490</v>
      </c>
      <c r="D1190" s="1134" t="s">
        <v>11480</v>
      </c>
      <c r="E1190" s="1135">
        <v>293970</v>
      </c>
      <c r="F1190" s="1135">
        <v>4011583.9</v>
      </c>
      <c r="G1190" s="1135">
        <v>1033076.2</v>
      </c>
      <c r="H1190" s="1135" t="e">
        <v>#REF!</v>
      </c>
      <c r="I1190" s="1135" t="e">
        <v>#REF!</v>
      </c>
      <c r="J1190" s="1135" t="e">
        <v>#REF!</v>
      </c>
      <c r="K1190" s="1135" t="e">
        <v>#REF!</v>
      </c>
    </row>
    <row r="1191" spans="1:11" s="1136" customFormat="1">
      <c r="A1191" s="1131">
        <v>1185</v>
      </c>
      <c r="B1191" s="1132" t="s">
        <v>11491</v>
      </c>
      <c r="C1191" s="1133" t="s">
        <v>11492</v>
      </c>
      <c r="D1191" s="1134" t="s">
        <v>11493</v>
      </c>
      <c r="E1191" s="1135">
        <v>6184.5</v>
      </c>
      <c r="F1191" s="1135">
        <v>63677.9</v>
      </c>
      <c r="G1191" s="1135">
        <v>0</v>
      </c>
      <c r="H1191" s="1135" t="e">
        <v>#REF!</v>
      </c>
      <c r="I1191" s="1135" t="e">
        <v>#REF!</v>
      </c>
      <c r="J1191" s="1135" t="e">
        <v>#REF!</v>
      </c>
      <c r="K1191" s="1135" t="e">
        <v>#REF!</v>
      </c>
    </row>
    <row r="1192" spans="1:11" s="1136" customFormat="1">
      <c r="A1192" s="1131">
        <v>1186</v>
      </c>
      <c r="B1192" s="1132" t="s">
        <v>11494</v>
      </c>
      <c r="C1192" s="1133" t="s">
        <v>11495</v>
      </c>
      <c r="D1192" s="1134" t="s">
        <v>11493</v>
      </c>
      <c r="E1192" s="1135">
        <v>7665</v>
      </c>
      <c r="F1192" s="1135">
        <v>124461.4</v>
      </c>
      <c r="G1192" s="1135">
        <v>0</v>
      </c>
      <c r="H1192" s="1135" t="e">
        <v>#REF!</v>
      </c>
      <c r="I1192" s="1135" t="e">
        <v>#REF!</v>
      </c>
      <c r="J1192" s="1135" t="e">
        <v>#REF!</v>
      </c>
      <c r="K1192" s="1135" t="e">
        <v>#REF!</v>
      </c>
    </row>
    <row r="1193" spans="1:11" s="1136" customFormat="1">
      <c r="A1193" s="1131">
        <v>1187</v>
      </c>
      <c r="B1193" s="1132" t="s">
        <v>11496</v>
      </c>
      <c r="C1193" s="1133" t="s">
        <v>11497</v>
      </c>
      <c r="D1193" s="1134" t="s">
        <v>11493</v>
      </c>
      <c r="E1193" s="1135">
        <v>8284.5</v>
      </c>
      <c r="F1193" s="1135">
        <v>188139.3</v>
      </c>
      <c r="G1193" s="1135">
        <v>0</v>
      </c>
      <c r="H1193" s="1135" t="e">
        <v>#REF!</v>
      </c>
      <c r="I1193" s="1135" t="e">
        <v>#REF!</v>
      </c>
      <c r="J1193" s="1135" t="e">
        <v>#REF!</v>
      </c>
      <c r="K1193" s="1135" t="e">
        <v>#REF!</v>
      </c>
    </row>
    <row r="1194" spans="1:11" s="1136" customFormat="1">
      <c r="A1194" s="1131">
        <v>1188</v>
      </c>
      <c r="B1194" s="1132" t="s">
        <v>11498</v>
      </c>
      <c r="C1194" s="1133" t="s">
        <v>11499</v>
      </c>
      <c r="D1194" s="1134" t="s">
        <v>11493</v>
      </c>
      <c r="E1194" s="1135">
        <v>10080</v>
      </c>
      <c r="F1194" s="1135">
        <v>248922.7</v>
      </c>
      <c r="G1194" s="1135">
        <v>0</v>
      </c>
      <c r="H1194" s="1135" t="e">
        <v>#REF!</v>
      </c>
      <c r="I1194" s="1135" t="e">
        <v>#REF!</v>
      </c>
      <c r="J1194" s="1135" t="e">
        <v>#REF!</v>
      </c>
      <c r="K1194" s="1135" t="e">
        <v>#REF!</v>
      </c>
    </row>
    <row r="1195" spans="1:11" s="1136" customFormat="1">
      <c r="A1195" s="1131">
        <v>1189</v>
      </c>
      <c r="B1195" s="1132" t="s">
        <v>11500</v>
      </c>
      <c r="C1195" s="1133" t="s">
        <v>11501</v>
      </c>
      <c r="D1195" s="1134" t="s">
        <v>11493</v>
      </c>
      <c r="E1195" s="1135">
        <v>12180</v>
      </c>
      <c r="F1195" s="1135">
        <v>312600.59999999998</v>
      </c>
      <c r="G1195" s="1135">
        <v>0</v>
      </c>
      <c r="H1195" s="1135" t="e">
        <v>#REF!</v>
      </c>
      <c r="I1195" s="1135" t="e">
        <v>#REF!</v>
      </c>
      <c r="J1195" s="1135" t="e">
        <v>#REF!</v>
      </c>
      <c r="K1195" s="1135" t="e">
        <v>#REF!</v>
      </c>
    </row>
    <row r="1196" spans="1:11" s="1136" customFormat="1" ht="30">
      <c r="A1196" s="1131">
        <v>1190</v>
      </c>
      <c r="B1196" s="1132" t="s">
        <v>11502</v>
      </c>
      <c r="C1196" s="1133" t="s">
        <v>11503</v>
      </c>
      <c r="D1196" s="1134" t="s">
        <v>11480</v>
      </c>
      <c r="E1196" s="1135">
        <v>3213</v>
      </c>
      <c r="F1196" s="1135">
        <v>49205.7</v>
      </c>
      <c r="G1196" s="1135">
        <v>0</v>
      </c>
      <c r="H1196" s="1135" t="e">
        <v>#REF!</v>
      </c>
      <c r="I1196" s="1135" t="e">
        <v>#REF!</v>
      </c>
      <c r="J1196" s="1135" t="e">
        <v>#REF!</v>
      </c>
      <c r="K1196" s="1135" t="e">
        <v>#REF!</v>
      </c>
    </row>
    <row r="1197" spans="1:11" s="1136" customFormat="1" ht="30">
      <c r="A1197" s="1131">
        <v>1191</v>
      </c>
      <c r="B1197" s="1132" t="s">
        <v>11504</v>
      </c>
      <c r="C1197" s="1133" t="s">
        <v>11505</v>
      </c>
      <c r="D1197" s="1134" t="s">
        <v>11480</v>
      </c>
      <c r="E1197" s="1135">
        <v>6426</v>
      </c>
      <c r="F1197" s="1135">
        <v>95516.9</v>
      </c>
      <c r="G1197" s="1135">
        <v>0</v>
      </c>
      <c r="H1197" s="1135" t="e">
        <v>#REF!</v>
      </c>
      <c r="I1197" s="1135" t="e">
        <v>#REF!</v>
      </c>
      <c r="J1197" s="1135" t="e">
        <v>#REF!</v>
      </c>
      <c r="K1197" s="1135" t="e">
        <v>#REF!</v>
      </c>
    </row>
    <row r="1198" spans="1:11" s="1136" customFormat="1" ht="30">
      <c r="A1198" s="1131">
        <v>1192</v>
      </c>
      <c r="B1198" s="1132" t="s">
        <v>11506</v>
      </c>
      <c r="C1198" s="1133" t="s">
        <v>11507</v>
      </c>
      <c r="D1198" s="1134" t="s">
        <v>11480</v>
      </c>
      <c r="E1198" s="1135">
        <v>31059</v>
      </c>
      <c r="F1198" s="1135">
        <v>191033.7</v>
      </c>
      <c r="G1198" s="1135">
        <v>0</v>
      </c>
      <c r="H1198" s="1135" t="e">
        <v>#REF!</v>
      </c>
      <c r="I1198" s="1135" t="e">
        <v>#REF!</v>
      </c>
      <c r="J1198" s="1135" t="e">
        <v>#REF!</v>
      </c>
      <c r="K1198" s="1135" t="e">
        <v>#REF!</v>
      </c>
    </row>
    <row r="1199" spans="1:11" s="1136" customFormat="1" ht="30">
      <c r="A1199" s="1131">
        <v>1193</v>
      </c>
      <c r="B1199" s="1132" t="s">
        <v>11508</v>
      </c>
      <c r="C1199" s="1133" t="s">
        <v>11509</v>
      </c>
      <c r="D1199" s="1134" t="s">
        <v>11480</v>
      </c>
      <c r="E1199" s="1135">
        <v>31150.799999999999</v>
      </c>
      <c r="F1199" s="1135">
        <v>283656.09999999998</v>
      </c>
      <c r="G1199" s="1135">
        <v>0</v>
      </c>
      <c r="H1199" s="1135" t="e">
        <v>#REF!</v>
      </c>
      <c r="I1199" s="1135" t="e">
        <v>#REF!</v>
      </c>
      <c r="J1199" s="1135" t="e">
        <v>#REF!</v>
      </c>
      <c r="K1199" s="1135" t="e">
        <v>#REF!</v>
      </c>
    </row>
    <row r="1200" spans="1:11" s="1136" customFormat="1" ht="30">
      <c r="A1200" s="1131">
        <v>1194</v>
      </c>
      <c r="B1200" s="1132" t="s">
        <v>11510</v>
      </c>
      <c r="C1200" s="1133" t="s">
        <v>11511</v>
      </c>
      <c r="D1200" s="1134" t="s">
        <v>11480</v>
      </c>
      <c r="E1200" s="1135">
        <v>31273.200000000001</v>
      </c>
      <c r="F1200" s="1135">
        <v>379173</v>
      </c>
      <c r="G1200" s="1135">
        <v>0</v>
      </c>
      <c r="H1200" s="1135" t="e">
        <v>#REF!</v>
      </c>
      <c r="I1200" s="1135" t="e">
        <v>#REF!</v>
      </c>
      <c r="J1200" s="1135" t="e">
        <v>#REF!</v>
      </c>
      <c r="K1200" s="1135" t="e">
        <v>#REF!</v>
      </c>
    </row>
    <row r="1201" spans="1:11" s="1136" customFormat="1" ht="30">
      <c r="A1201" s="1131">
        <v>1195</v>
      </c>
      <c r="B1201" s="1132" t="s">
        <v>11512</v>
      </c>
      <c r="C1201" s="1133" t="s">
        <v>11513</v>
      </c>
      <c r="D1201" s="1134" t="s">
        <v>11480</v>
      </c>
      <c r="E1201" s="1135">
        <v>31426.2</v>
      </c>
      <c r="F1201" s="1135">
        <v>474689.8</v>
      </c>
      <c r="G1201" s="1135">
        <v>0</v>
      </c>
      <c r="H1201" s="1135" t="e">
        <v>#REF!</v>
      </c>
      <c r="I1201" s="1135" t="e">
        <v>#REF!</v>
      </c>
      <c r="J1201" s="1135" t="e">
        <v>#REF!</v>
      </c>
      <c r="K1201" s="1135" t="e">
        <v>#REF!</v>
      </c>
    </row>
    <row r="1202" spans="1:11" s="1136" customFormat="1">
      <c r="A1202" s="1131">
        <v>1196</v>
      </c>
      <c r="B1202" s="1132" t="s">
        <v>11514</v>
      </c>
      <c r="C1202" s="1133" t="s">
        <v>11515</v>
      </c>
      <c r="D1202" s="1134" t="s">
        <v>11493</v>
      </c>
      <c r="E1202" s="1135">
        <v>6184.5</v>
      </c>
      <c r="F1202" s="1135">
        <v>125917.3</v>
      </c>
      <c r="G1202" s="1135">
        <v>0</v>
      </c>
      <c r="H1202" s="1135" t="e">
        <v>#REF!</v>
      </c>
      <c r="I1202" s="1135" t="e">
        <v>#REF!</v>
      </c>
      <c r="J1202" s="1135" t="e">
        <v>#REF!</v>
      </c>
      <c r="K1202" s="1135" t="e">
        <v>#REF!</v>
      </c>
    </row>
    <row r="1203" spans="1:11" s="1136" customFormat="1">
      <c r="A1203" s="1131">
        <v>1197</v>
      </c>
      <c r="B1203" s="1132" t="s">
        <v>11516</v>
      </c>
      <c r="C1203" s="1133" t="s">
        <v>11517</v>
      </c>
      <c r="D1203" s="1134" t="s">
        <v>11493</v>
      </c>
      <c r="E1203" s="1135">
        <v>7665</v>
      </c>
      <c r="F1203" s="1135">
        <v>251834.6</v>
      </c>
      <c r="G1203" s="1135">
        <v>0</v>
      </c>
      <c r="H1203" s="1135" t="e">
        <v>#REF!</v>
      </c>
      <c r="I1203" s="1135" t="e">
        <v>#REF!</v>
      </c>
      <c r="J1203" s="1135" t="e">
        <v>#REF!</v>
      </c>
      <c r="K1203" s="1135" t="e">
        <v>#REF!</v>
      </c>
    </row>
    <row r="1204" spans="1:11" s="1136" customFormat="1">
      <c r="A1204" s="1131">
        <v>1198</v>
      </c>
      <c r="B1204" s="1132" t="s">
        <v>11518</v>
      </c>
      <c r="C1204" s="1133" t="s">
        <v>11519</v>
      </c>
      <c r="D1204" s="1134" t="s">
        <v>11493</v>
      </c>
      <c r="E1204" s="1135">
        <v>50809.5</v>
      </c>
      <c r="F1204" s="1135">
        <v>377751.9</v>
      </c>
      <c r="G1204" s="1135">
        <v>0</v>
      </c>
      <c r="H1204" s="1135" t="e">
        <v>#REF!</v>
      </c>
      <c r="I1204" s="1135" t="e">
        <v>#REF!</v>
      </c>
      <c r="J1204" s="1135" t="e">
        <v>#REF!</v>
      </c>
      <c r="K1204" s="1135" t="e">
        <v>#REF!</v>
      </c>
    </row>
    <row r="1205" spans="1:11" s="1136" customFormat="1">
      <c r="A1205" s="1131">
        <v>1199</v>
      </c>
      <c r="B1205" s="1132" t="s">
        <v>11520</v>
      </c>
      <c r="C1205" s="1133" t="s">
        <v>11521</v>
      </c>
      <c r="D1205" s="1134" t="s">
        <v>11493</v>
      </c>
      <c r="E1205" s="1135">
        <v>10080</v>
      </c>
      <c r="F1205" s="1135">
        <v>503669.2</v>
      </c>
      <c r="G1205" s="1135">
        <v>0</v>
      </c>
      <c r="H1205" s="1135" t="e">
        <v>#REF!</v>
      </c>
      <c r="I1205" s="1135" t="e">
        <v>#REF!</v>
      </c>
      <c r="J1205" s="1135" t="e">
        <v>#REF!</v>
      </c>
      <c r="K1205" s="1135" t="e">
        <v>#REF!</v>
      </c>
    </row>
    <row r="1206" spans="1:11" s="1136" customFormat="1">
      <c r="A1206" s="1131">
        <v>1200</v>
      </c>
      <c r="B1206" s="1132" t="s">
        <v>11522</v>
      </c>
      <c r="C1206" s="1133" t="s">
        <v>11523</v>
      </c>
      <c r="D1206" s="1134" t="s">
        <v>11493</v>
      </c>
      <c r="E1206" s="1135">
        <v>12180</v>
      </c>
      <c r="F1206" s="1135">
        <v>629586.5</v>
      </c>
      <c r="G1206" s="1135">
        <v>0</v>
      </c>
      <c r="H1206" s="1135" t="e">
        <v>#REF!</v>
      </c>
      <c r="I1206" s="1135" t="e">
        <v>#REF!</v>
      </c>
      <c r="J1206" s="1135" t="e">
        <v>#REF!</v>
      </c>
      <c r="K1206" s="1135" t="e">
        <v>#REF!</v>
      </c>
    </row>
    <row r="1207" spans="1:11" ht="30">
      <c r="A1207" s="1120">
        <v>1201</v>
      </c>
      <c r="B1207" s="1121" t="s">
        <v>11524</v>
      </c>
      <c r="C1207" s="1122" t="s">
        <v>11525</v>
      </c>
      <c r="D1207" s="1123" t="s">
        <v>43</v>
      </c>
      <c r="E1207" s="1124">
        <v>23500</v>
      </c>
      <c r="F1207" s="1124">
        <v>677301.3</v>
      </c>
      <c r="G1207" s="1124">
        <v>0</v>
      </c>
      <c r="H1207" s="1124" t="e">
        <v>#REF!</v>
      </c>
      <c r="I1207" s="1124" t="e">
        <v>#REF!</v>
      </c>
      <c r="J1207" s="1124" t="e">
        <v>#REF!</v>
      </c>
      <c r="K1207" s="1124" t="e">
        <v>#REF!</v>
      </c>
    </row>
    <row r="1208" spans="1:11" ht="30">
      <c r="A1208" s="1120">
        <v>1202</v>
      </c>
      <c r="B1208" s="1121" t="s">
        <v>11526</v>
      </c>
      <c r="C1208" s="1122" t="s">
        <v>11527</v>
      </c>
      <c r="D1208" s="1123" t="s">
        <v>43</v>
      </c>
      <c r="E1208" s="1124">
        <v>23500</v>
      </c>
      <c r="F1208" s="1124">
        <v>787290.4</v>
      </c>
      <c r="G1208" s="1124">
        <v>0</v>
      </c>
      <c r="H1208" s="1124" t="e">
        <v>#REF!</v>
      </c>
      <c r="I1208" s="1124" t="e">
        <v>#REF!</v>
      </c>
      <c r="J1208" s="1124" t="e">
        <v>#REF!</v>
      </c>
      <c r="K1208" s="1124" t="e">
        <v>#REF!</v>
      </c>
    </row>
    <row r="1209" spans="1:11" ht="30">
      <c r="A1209" s="1120">
        <v>1203</v>
      </c>
      <c r="B1209" s="1121" t="s">
        <v>11528</v>
      </c>
      <c r="C1209" s="1122" t="s">
        <v>11529</v>
      </c>
      <c r="D1209" s="1123" t="s">
        <v>43</v>
      </c>
      <c r="E1209" s="1124">
        <v>23500</v>
      </c>
      <c r="F1209" s="1124">
        <v>1044896.5</v>
      </c>
      <c r="G1209" s="1124">
        <v>0</v>
      </c>
      <c r="H1209" s="1124" t="e">
        <v>#REF!</v>
      </c>
      <c r="I1209" s="1124" t="e">
        <v>#REF!</v>
      </c>
      <c r="J1209" s="1124" t="e">
        <v>#REF!</v>
      </c>
      <c r="K1209" s="1124" t="e">
        <v>#REF!</v>
      </c>
    </row>
    <row r="1210" spans="1:11" ht="30">
      <c r="A1210" s="1120">
        <v>1204</v>
      </c>
      <c r="B1210" s="1121" t="s">
        <v>11530</v>
      </c>
      <c r="C1210" s="1122" t="s">
        <v>11531</v>
      </c>
      <c r="D1210" s="1123" t="s">
        <v>43</v>
      </c>
      <c r="E1210" s="1124">
        <v>27600</v>
      </c>
      <c r="F1210" s="1124">
        <v>1360391.5</v>
      </c>
      <c r="G1210" s="1124">
        <v>0</v>
      </c>
      <c r="H1210" s="1124" t="e">
        <v>#REF!</v>
      </c>
      <c r="I1210" s="1124" t="e">
        <v>#REF!</v>
      </c>
      <c r="J1210" s="1124" t="e">
        <v>#REF!</v>
      </c>
      <c r="K1210" s="1124" t="e">
        <v>#REF!</v>
      </c>
    </row>
    <row r="1211" spans="1:11" ht="30">
      <c r="A1211" s="1120">
        <v>1205</v>
      </c>
      <c r="B1211" s="1121" t="s">
        <v>11532</v>
      </c>
      <c r="C1211" s="1122" t="s">
        <v>11533</v>
      </c>
      <c r="D1211" s="1123" t="s">
        <v>43</v>
      </c>
      <c r="E1211" s="1124">
        <v>27600</v>
      </c>
      <c r="F1211" s="1124">
        <v>1725092.2</v>
      </c>
      <c r="G1211" s="1124">
        <v>0</v>
      </c>
      <c r="H1211" s="1124" t="e">
        <v>#REF!</v>
      </c>
      <c r="I1211" s="1124" t="e">
        <v>#REF!</v>
      </c>
      <c r="J1211" s="1124" t="e">
        <v>#REF!</v>
      </c>
      <c r="K1211" s="1124" t="e">
        <v>#REF!</v>
      </c>
    </row>
    <row r="1212" spans="1:11" ht="30">
      <c r="A1212" s="1120">
        <v>1206</v>
      </c>
      <c r="B1212" s="1121" t="s">
        <v>11534</v>
      </c>
      <c r="C1212" s="1122" t="s">
        <v>11535</v>
      </c>
      <c r="D1212" s="1123" t="s">
        <v>43</v>
      </c>
      <c r="E1212" s="1124">
        <v>31700</v>
      </c>
      <c r="F1212" s="1124">
        <v>2196887.6</v>
      </c>
      <c r="G1212" s="1124">
        <v>0</v>
      </c>
      <c r="H1212" s="1124" t="e">
        <v>#REF!</v>
      </c>
      <c r="I1212" s="1124" t="e">
        <v>#REF!</v>
      </c>
      <c r="J1212" s="1124" t="e">
        <v>#REF!</v>
      </c>
      <c r="K1212" s="1124" t="e">
        <v>#REF!</v>
      </c>
    </row>
    <row r="1213" spans="1:11" ht="30">
      <c r="A1213" s="1120">
        <v>1207</v>
      </c>
      <c r="B1213" s="1121" t="s">
        <v>11536</v>
      </c>
      <c r="C1213" s="1122" t="s">
        <v>11537</v>
      </c>
      <c r="D1213" s="1123" t="s">
        <v>43</v>
      </c>
      <c r="E1213" s="1124">
        <v>31700</v>
      </c>
      <c r="F1213" s="1124">
        <v>2761305.3</v>
      </c>
      <c r="G1213" s="1124">
        <v>0</v>
      </c>
      <c r="H1213" s="1124" t="e">
        <v>#REF!</v>
      </c>
      <c r="I1213" s="1124" t="e">
        <v>#REF!</v>
      </c>
      <c r="J1213" s="1124" t="e">
        <v>#REF!</v>
      </c>
      <c r="K1213" s="1124" t="e">
        <v>#REF!</v>
      </c>
    </row>
    <row r="1214" spans="1:11" ht="30">
      <c r="A1214" s="1120">
        <v>1208</v>
      </c>
      <c r="B1214" s="1121" t="s">
        <v>11538</v>
      </c>
      <c r="C1214" s="1122" t="s">
        <v>11539</v>
      </c>
      <c r="D1214" s="1123" t="s">
        <v>43</v>
      </c>
      <c r="E1214" s="1124">
        <v>35000</v>
      </c>
      <c r="F1214" s="1124">
        <v>3626745.9</v>
      </c>
      <c r="G1214" s="1124">
        <v>0</v>
      </c>
      <c r="H1214" s="1124" t="e">
        <v>#REF!</v>
      </c>
      <c r="I1214" s="1124" t="e">
        <v>#REF!</v>
      </c>
      <c r="J1214" s="1124" t="e">
        <v>#REF!</v>
      </c>
      <c r="K1214" s="1124" t="e">
        <v>#REF!</v>
      </c>
    </row>
    <row r="1215" spans="1:11" ht="30">
      <c r="A1215" s="1120">
        <v>1209</v>
      </c>
      <c r="B1215" s="1121" t="s">
        <v>11540</v>
      </c>
      <c r="C1215" s="1122" t="s">
        <v>11541</v>
      </c>
      <c r="D1215" s="1123" t="s">
        <v>43</v>
      </c>
      <c r="E1215" s="1124">
        <v>35000</v>
      </c>
      <c r="F1215" s="1124">
        <v>4524025.4000000004</v>
      </c>
      <c r="G1215" s="1124">
        <v>0</v>
      </c>
      <c r="H1215" s="1124" t="e">
        <v>#REF!</v>
      </c>
      <c r="I1215" s="1124" t="e">
        <v>#REF!</v>
      </c>
      <c r="J1215" s="1124" t="e">
        <v>#REF!</v>
      </c>
      <c r="K1215" s="1124" t="e">
        <v>#REF!</v>
      </c>
    </row>
    <row r="1216" spans="1:11" ht="30">
      <c r="A1216" s="1120">
        <v>1210</v>
      </c>
      <c r="B1216" s="1121" t="s">
        <v>11542</v>
      </c>
      <c r="C1216" s="1122" t="s">
        <v>11543</v>
      </c>
      <c r="D1216" s="1123" t="s">
        <v>43</v>
      </c>
      <c r="E1216" s="1124">
        <v>41600</v>
      </c>
      <c r="F1216" s="1124">
        <v>5071076.4000000004</v>
      </c>
      <c r="G1216" s="1124">
        <v>0</v>
      </c>
      <c r="H1216" s="1124" t="e">
        <v>#REF!</v>
      </c>
      <c r="I1216" s="1124" t="e">
        <v>#REF!</v>
      </c>
      <c r="J1216" s="1124" t="e">
        <v>#REF!</v>
      </c>
      <c r="K1216" s="1124" t="e">
        <v>#REF!</v>
      </c>
    </row>
    <row r="1217" spans="1:11" ht="30">
      <c r="A1217" s="1120">
        <v>1211</v>
      </c>
      <c r="B1217" s="1121" t="s">
        <v>11544</v>
      </c>
      <c r="C1217" s="1122" t="s">
        <v>11545</v>
      </c>
      <c r="D1217" s="1123" t="s">
        <v>43</v>
      </c>
      <c r="E1217" s="1124">
        <v>42400</v>
      </c>
      <c r="F1217" s="1124">
        <v>6587768.2000000002</v>
      </c>
      <c r="G1217" s="1124">
        <v>0</v>
      </c>
      <c r="H1217" s="1124" t="e">
        <v>#REF!</v>
      </c>
      <c r="I1217" s="1124" t="e">
        <v>#REF!</v>
      </c>
      <c r="J1217" s="1124" t="e">
        <v>#REF!</v>
      </c>
      <c r="K1217" s="1124" t="e">
        <v>#REF!</v>
      </c>
    </row>
    <row r="1218" spans="1:11" ht="30">
      <c r="A1218" s="1120">
        <v>1212</v>
      </c>
      <c r="B1218" s="1121" t="s">
        <v>11546</v>
      </c>
      <c r="C1218" s="1122" t="s">
        <v>11547</v>
      </c>
      <c r="D1218" s="1123" t="s">
        <v>43</v>
      </c>
      <c r="E1218" s="1124">
        <v>42400</v>
      </c>
      <c r="F1218" s="1124">
        <v>8781761.3000000007</v>
      </c>
      <c r="G1218" s="1124">
        <v>0</v>
      </c>
      <c r="H1218" s="1124" t="e">
        <v>#REF!</v>
      </c>
      <c r="I1218" s="1124" t="e">
        <v>#REF!</v>
      </c>
      <c r="J1218" s="1124" t="e">
        <v>#REF!</v>
      </c>
      <c r="K1218" s="1124" t="e">
        <v>#REF!</v>
      </c>
    </row>
    <row r="1219" spans="1:11" ht="30">
      <c r="A1219" s="1120">
        <v>1213</v>
      </c>
      <c r="B1219" s="1121" t="s">
        <v>11548</v>
      </c>
      <c r="C1219" s="1122" t="s">
        <v>11549</v>
      </c>
      <c r="D1219" s="1123" t="s">
        <v>43</v>
      </c>
      <c r="E1219" s="1124">
        <v>49000</v>
      </c>
      <c r="F1219" s="1124">
        <v>11710944.699999999</v>
      </c>
      <c r="G1219" s="1124">
        <v>0</v>
      </c>
      <c r="H1219" s="1124" t="e">
        <v>#REF!</v>
      </c>
      <c r="I1219" s="1124" t="e">
        <v>#REF!</v>
      </c>
      <c r="J1219" s="1124" t="e">
        <v>#REF!</v>
      </c>
      <c r="K1219" s="1124" t="e">
        <v>#REF!</v>
      </c>
    </row>
    <row r="1220" spans="1:11" ht="30">
      <c r="A1220" s="1120">
        <v>1214</v>
      </c>
      <c r="B1220" s="1121" t="s">
        <v>11550</v>
      </c>
      <c r="C1220" s="1122" t="s">
        <v>11551</v>
      </c>
      <c r="D1220" s="1123" t="s">
        <v>43</v>
      </c>
      <c r="E1220" s="1124">
        <v>52800</v>
      </c>
      <c r="F1220" s="1124">
        <v>15219018.1</v>
      </c>
      <c r="G1220" s="1124">
        <v>0</v>
      </c>
      <c r="H1220" s="1124" t="e">
        <v>#REF!</v>
      </c>
      <c r="I1220" s="1124" t="e">
        <v>#REF!</v>
      </c>
      <c r="J1220" s="1124" t="e">
        <v>#REF!</v>
      </c>
      <c r="K1220" s="1124" t="e">
        <v>#REF!</v>
      </c>
    </row>
    <row r="1221" spans="1:11" ht="30">
      <c r="A1221" s="1120">
        <v>1215</v>
      </c>
      <c r="B1221" s="1121" t="s">
        <v>11552</v>
      </c>
      <c r="C1221" s="1122" t="s">
        <v>11553</v>
      </c>
      <c r="D1221" s="1123" t="s">
        <v>43</v>
      </c>
      <c r="E1221" s="1124">
        <v>55800</v>
      </c>
      <c r="F1221" s="1124">
        <v>19783565.800000001</v>
      </c>
      <c r="G1221" s="1124">
        <v>0</v>
      </c>
      <c r="H1221" s="1124" t="e">
        <v>#REF!</v>
      </c>
      <c r="I1221" s="1124" t="e">
        <v>#REF!</v>
      </c>
      <c r="J1221" s="1124" t="e">
        <v>#REF!</v>
      </c>
      <c r="K1221" s="1124" t="e">
        <v>#REF!</v>
      </c>
    </row>
    <row r="1222" spans="1:11" ht="30">
      <c r="A1222" s="1120">
        <v>1216</v>
      </c>
      <c r="B1222" s="1121" t="s">
        <v>11554</v>
      </c>
      <c r="C1222" s="1122" t="s">
        <v>11555</v>
      </c>
      <c r="D1222" s="1123" t="s">
        <v>43</v>
      </c>
      <c r="E1222" s="1124">
        <v>143500</v>
      </c>
      <c r="F1222" s="1124">
        <v>943590.7</v>
      </c>
      <c r="G1222" s="1124">
        <v>0</v>
      </c>
      <c r="H1222" s="1124" t="e">
        <v>#REF!</v>
      </c>
      <c r="I1222" s="1124" t="e">
        <v>#REF!</v>
      </c>
      <c r="J1222" s="1124" t="e">
        <v>#REF!</v>
      </c>
      <c r="K1222" s="1124" t="e">
        <v>#REF!</v>
      </c>
    </row>
    <row r="1223" spans="1:11" ht="30">
      <c r="A1223" s="1120">
        <v>1217</v>
      </c>
      <c r="B1223" s="1121" t="s">
        <v>11556</v>
      </c>
      <c r="C1223" s="1122" t="s">
        <v>11557</v>
      </c>
      <c r="D1223" s="1123" t="s">
        <v>43</v>
      </c>
      <c r="E1223" s="1124">
        <v>143500</v>
      </c>
      <c r="F1223" s="1124">
        <v>1044896.5</v>
      </c>
      <c r="G1223" s="1124">
        <v>0</v>
      </c>
      <c r="H1223" s="1124" t="e">
        <v>#REF!</v>
      </c>
      <c r="I1223" s="1124" t="e">
        <v>#REF!</v>
      </c>
      <c r="J1223" s="1124" t="e">
        <v>#REF!</v>
      </c>
      <c r="K1223" s="1124" t="e">
        <v>#REF!</v>
      </c>
    </row>
    <row r="1224" spans="1:11" ht="30">
      <c r="A1224" s="1120">
        <v>1218</v>
      </c>
      <c r="B1224" s="1121" t="s">
        <v>11558</v>
      </c>
      <c r="C1224" s="1122" t="s">
        <v>11559</v>
      </c>
      <c r="D1224" s="1123" t="s">
        <v>43</v>
      </c>
      <c r="E1224" s="1124">
        <v>143500</v>
      </c>
      <c r="F1224" s="1124">
        <v>1360391.5</v>
      </c>
      <c r="G1224" s="1124">
        <v>0</v>
      </c>
      <c r="H1224" s="1124" t="e">
        <v>#REF!</v>
      </c>
      <c r="I1224" s="1124" t="e">
        <v>#REF!</v>
      </c>
      <c r="J1224" s="1124" t="e">
        <v>#REF!</v>
      </c>
      <c r="K1224" s="1124" t="e">
        <v>#REF!</v>
      </c>
    </row>
    <row r="1225" spans="1:11" ht="30">
      <c r="A1225" s="1120">
        <v>1219</v>
      </c>
      <c r="B1225" s="1121" t="s">
        <v>11560</v>
      </c>
      <c r="C1225" s="1122" t="s">
        <v>11561</v>
      </c>
      <c r="D1225" s="1123" t="s">
        <v>43</v>
      </c>
      <c r="E1225" s="1124">
        <v>147600</v>
      </c>
      <c r="F1225" s="1124">
        <v>1780086.8</v>
      </c>
      <c r="G1225" s="1124">
        <v>0</v>
      </c>
      <c r="H1225" s="1124" t="e">
        <v>#REF!</v>
      </c>
      <c r="I1225" s="1124" t="e">
        <v>#REF!</v>
      </c>
      <c r="J1225" s="1124" t="e">
        <v>#REF!</v>
      </c>
      <c r="K1225" s="1124" t="e">
        <v>#REF!</v>
      </c>
    </row>
    <row r="1226" spans="1:11" ht="30">
      <c r="A1226" s="1120">
        <v>1220</v>
      </c>
      <c r="B1226" s="1121" t="s">
        <v>11562</v>
      </c>
      <c r="C1226" s="1122" t="s">
        <v>11563</v>
      </c>
      <c r="D1226" s="1123" t="s">
        <v>43</v>
      </c>
      <c r="E1226" s="1124">
        <v>177600</v>
      </c>
      <c r="F1226" s="1124">
        <v>2089792.9</v>
      </c>
      <c r="G1226" s="1124">
        <v>0</v>
      </c>
      <c r="H1226" s="1124" t="e">
        <v>#REF!</v>
      </c>
      <c r="I1226" s="1124" t="e">
        <v>#REF!</v>
      </c>
      <c r="J1226" s="1124" t="e">
        <v>#REF!</v>
      </c>
      <c r="K1226" s="1124" t="e">
        <v>#REF!</v>
      </c>
    </row>
    <row r="1227" spans="1:11" ht="30">
      <c r="A1227" s="1120">
        <v>1221</v>
      </c>
      <c r="B1227" s="1121" t="s">
        <v>11564</v>
      </c>
      <c r="C1227" s="1122" t="s">
        <v>11565</v>
      </c>
      <c r="D1227" s="1123" t="s">
        <v>43</v>
      </c>
      <c r="E1227" s="1124">
        <v>181700</v>
      </c>
      <c r="F1227" s="1124">
        <v>2616582.7999999998</v>
      </c>
      <c r="G1227" s="1124">
        <v>0</v>
      </c>
      <c r="H1227" s="1124" t="e">
        <v>#REF!</v>
      </c>
      <c r="I1227" s="1124" t="e">
        <v>#REF!</v>
      </c>
      <c r="J1227" s="1124" t="e">
        <v>#REF!</v>
      </c>
      <c r="K1227" s="1124" t="e">
        <v>#REF!</v>
      </c>
    </row>
    <row r="1228" spans="1:11" ht="30">
      <c r="A1228" s="1120">
        <v>1222</v>
      </c>
      <c r="B1228" s="1121" t="s">
        <v>11566</v>
      </c>
      <c r="C1228" s="1122" t="s">
        <v>11567</v>
      </c>
      <c r="D1228" s="1123" t="s">
        <v>43</v>
      </c>
      <c r="E1228" s="1124">
        <v>181700</v>
      </c>
      <c r="F1228" s="1124">
        <v>3244678.5</v>
      </c>
      <c r="G1228" s="1124">
        <v>0</v>
      </c>
      <c r="H1228" s="1124" t="e">
        <v>#REF!</v>
      </c>
      <c r="I1228" s="1124" t="e">
        <v>#REF!</v>
      </c>
      <c r="J1228" s="1124" t="e">
        <v>#REF!</v>
      </c>
      <c r="K1228" s="1124" t="e">
        <v>#REF!</v>
      </c>
    </row>
    <row r="1229" spans="1:11" ht="30">
      <c r="A1229" s="1120">
        <v>1223</v>
      </c>
      <c r="B1229" s="1121" t="s">
        <v>11568</v>
      </c>
      <c r="C1229" s="1122" t="s">
        <v>11569</v>
      </c>
      <c r="D1229" s="1123" t="s">
        <v>43</v>
      </c>
      <c r="E1229" s="1124">
        <v>185000</v>
      </c>
      <c r="F1229" s="1124">
        <v>3924874.2</v>
      </c>
      <c r="G1229" s="1124">
        <v>0</v>
      </c>
      <c r="H1229" s="1124" t="e">
        <v>#REF!</v>
      </c>
      <c r="I1229" s="1124" t="e">
        <v>#REF!</v>
      </c>
      <c r="J1229" s="1124" t="e">
        <v>#REF!</v>
      </c>
      <c r="K1229" s="1124" t="e">
        <v>#REF!</v>
      </c>
    </row>
    <row r="1230" spans="1:11" ht="30">
      <c r="A1230" s="1120">
        <v>1224</v>
      </c>
      <c r="B1230" s="1121" t="s">
        <v>11570</v>
      </c>
      <c r="C1230" s="1122" t="s">
        <v>11571</v>
      </c>
      <c r="D1230" s="1123" t="s">
        <v>43</v>
      </c>
      <c r="E1230" s="1124">
        <v>185000</v>
      </c>
      <c r="F1230" s="1124">
        <v>4550075.4000000004</v>
      </c>
      <c r="G1230" s="1124">
        <v>0</v>
      </c>
      <c r="H1230" s="1124" t="e">
        <v>#REF!</v>
      </c>
      <c r="I1230" s="1124" t="e">
        <v>#REF!</v>
      </c>
      <c r="J1230" s="1124" t="e">
        <v>#REF!</v>
      </c>
      <c r="K1230" s="1124" t="e">
        <v>#REF!</v>
      </c>
    </row>
    <row r="1231" spans="1:11" ht="30">
      <c r="A1231" s="1120">
        <v>1225</v>
      </c>
      <c r="B1231" s="1121" t="s">
        <v>11572</v>
      </c>
      <c r="C1231" s="1122" t="s">
        <v>11573</v>
      </c>
      <c r="D1231" s="1123" t="s">
        <v>43</v>
      </c>
      <c r="E1231" s="1124">
        <v>191600</v>
      </c>
      <c r="F1231" s="1124">
        <v>5791794.5</v>
      </c>
      <c r="G1231" s="1124">
        <v>0</v>
      </c>
      <c r="H1231" s="1124" t="e">
        <v>#REF!</v>
      </c>
      <c r="I1231" s="1124" t="e">
        <v>#REF!</v>
      </c>
      <c r="J1231" s="1124" t="e">
        <v>#REF!</v>
      </c>
      <c r="K1231" s="1124" t="e">
        <v>#REF!</v>
      </c>
    </row>
    <row r="1232" spans="1:11" ht="30">
      <c r="A1232" s="1120">
        <v>1226</v>
      </c>
      <c r="B1232" s="1121" t="s">
        <v>11574</v>
      </c>
      <c r="C1232" s="1122" t="s">
        <v>11575</v>
      </c>
      <c r="D1232" s="1123" t="s">
        <v>43</v>
      </c>
      <c r="E1232" s="1124">
        <v>222400</v>
      </c>
      <c r="F1232" s="1124">
        <v>7320064.0999999996</v>
      </c>
      <c r="G1232" s="1124">
        <v>0</v>
      </c>
      <c r="H1232" s="1124" t="e">
        <v>#REF!</v>
      </c>
      <c r="I1232" s="1124" t="e">
        <v>#REF!</v>
      </c>
      <c r="J1232" s="1124" t="e">
        <v>#REF!</v>
      </c>
      <c r="K1232" s="1124" t="e">
        <v>#REF!</v>
      </c>
    </row>
    <row r="1233" spans="1:11" ht="30">
      <c r="A1233" s="1120">
        <v>1227</v>
      </c>
      <c r="B1233" s="1121" t="s">
        <v>11576</v>
      </c>
      <c r="C1233" s="1122" t="s">
        <v>11577</v>
      </c>
      <c r="D1233" s="1123" t="s">
        <v>43</v>
      </c>
      <c r="E1233" s="1124">
        <v>222400</v>
      </c>
      <c r="F1233" s="1124">
        <v>9725352</v>
      </c>
      <c r="G1233" s="1124">
        <v>0</v>
      </c>
      <c r="H1233" s="1124" t="e">
        <v>#REF!</v>
      </c>
      <c r="I1233" s="1124" t="e">
        <v>#REF!</v>
      </c>
      <c r="J1233" s="1124" t="e">
        <v>#REF!</v>
      </c>
      <c r="K1233" s="1124" t="e">
        <v>#REF!</v>
      </c>
    </row>
    <row r="1234" spans="1:11" ht="30">
      <c r="A1234" s="1120">
        <v>1228</v>
      </c>
      <c r="B1234" s="1121" t="s">
        <v>11578</v>
      </c>
      <c r="C1234" s="1122" t="s">
        <v>11579</v>
      </c>
      <c r="D1234" s="1123" t="s">
        <v>43</v>
      </c>
      <c r="E1234" s="1124">
        <v>229000</v>
      </c>
      <c r="F1234" s="1124">
        <v>12920824.800000001</v>
      </c>
      <c r="G1234" s="1124">
        <v>0</v>
      </c>
      <c r="H1234" s="1124" t="e">
        <v>#REF!</v>
      </c>
      <c r="I1234" s="1124" t="e">
        <v>#REF!</v>
      </c>
      <c r="J1234" s="1124" t="e">
        <v>#REF!</v>
      </c>
      <c r="K1234" s="1124" t="e">
        <v>#REF!</v>
      </c>
    </row>
    <row r="1235" spans="1:11" ht="30">
      <c r="A1235" s="1120">
        <v>1229</v>
      </c>
      <c r="B1235" s="1121" t="s">
        <v>11580</v>
      </c>
      <c r="C1235" s="1122" t="s">
        <v>11581</v>
      </c>
      <c r="D1235" s="1123" t="s">
        <v>43</v>
      </c>
      <c r="E1235" s="1124">
        <v>232800</v>
      </c>
      <c r="F1235" s="1124">
        <v>16796493.399999999</v>
      </c>
      <c r="G1235" s="1124">
        <v>0</v>
      </c>
      <c r="H1235" s="1124" t="e">
        <v>#REF!</v>
      </c>
      <c r="I1235" s="1124" t="e">
        <v>#REF!</v>
      </c>
      <c r="J1235" s="1124" t="e">
        <v>#REF!</v>
      </c>
      <c r="K1235" s="1124" t="e">
        <v>#REF!</v>
      </c>
    </row>
    <row r="1236" spans="1:11" ht="30">
      <c r="A1236" s="1120">
        <v>1230</v>
      </c>
      <c r="B1236" s="1121" t="s">
        <v>11582</v>
      </c>
      <c r="C1236" s="1122" t="s">
        <v>11583</v>
      </c>
      <c r="D1236" s="1123" t="s">
        <v>43</v>
      </c>
      <c r="E1236" s="1124">
        <v>235800</v>
      </c>
      <c r="F1236" s="1124">
        <v>20999234.800000001</v>
      </c>
      <c r="G1236" s="1124">
        <v>0</v>
      </c>
      <c r="H1236" s="1124" t="e">
        <v>#REF!</v>
      </c>
      <c r="I1236" s="1124" t="e">
        <v>#REF!</v>
      </c>
      <c r="J1236" s="1124" t="e">
        <v>#REF!</v>
      </c>
      <c r="K1236" s="1124" t="e">
        <v>#REF!</v>
      </c>
    </row>
    <row r="1237" spans="1:11" ht="30">
      <c r="A1237" s="1120">
        <v>1231</v>
      </c>
      <c r="B1237" s="1121" t="s">
        <v>11584</v>
      </c>
      <c r="C1237" s="1122" t="s">
        <v>11585</v>
      </c>
      <c r="D1237" s="1123" t="s">
        <v>43</v>
      </c>
      <c r="E1237" s="1124">
        <v>3068500</v>
      </c>
      <c r="F1237" s="1124">
        <v>1415386.1</v>
      </c>
      <c r="G1237" s="1124">
        <v>0</v>
      </c>
      <c r="H1237" s="1124" t="e">
        <v>#REF!</v>
      </c>
      <c r="I1237" s="1124" t="e">
        <v>#REF!</v>
      </c>
      <c r="J1237" s="1124" t="e">
        <v>#REF!</v>
      </c>
      <c r="K1237" s="1124" t="e">
        <v>#REF!</v>
      </c>
    </row>
    <row r="1238" spans="1:11" ht="30">
      <c r="A1238" s="1120">
        <v>1232</v>
      </c>
      <c r="B1238" s="1121" t="s">
        <v>11586</v>
      </c>
      <c r="C1238" s="1122" t="s">
        <v>11587</v>
      </c>
      <c r="D1238" s="1123" t="s">
        <v>43</v>
      </c>
      <c r="E1238" s="1124">
        <v>3068500</v>
      </c>
      <c r="F1238" s="1124">
        <v>1571686.3999999999</v>
      </c>
      <c r="G1238" s="1124">
        <v>0</v>
      </c>
      <c r="H1238" s="1124" t="e">
        <v>#REF!</v>
      </c>
      <c r="I1238" s="1124" t="e">
        <v>#REF!</v>
      </c>
      <c r="J1238" s="1124" t="e">
        <v>#REF!</v>
      </c>
      <c r="K1238" s="1124" t="e">
        <v>#REF!</v>
      </c>
    </row>
    <row r="1239" spans="1:11" ht="30">
      <c r="A1239" s="1120">
        <v>1233</v>
      </c>
      <c r="B1239" s="1121" t="s">
        <v>11588</v>
      </c>
      <c r="C1239" s="1122" t="s">
        <v>11589</v>
      </c>
      <c r="D1239" s="1123" t="s">
        <v>43</v>
      </c>
      <c r="E1239" s="1124">
        <v>3068500</v>
      </c>
      <c r="F1239" s="1124">
        <v>1988487.2</v>
      </c>
      <c r="G1239" s="1124">
        <v>0</v>
      </c>
      <c r="H1239" s="1124" t="e">
        <v>#REF!</v>
      </c>
      <c r="I1239" s="1124" t="e">
        <v>#REF!</v>
      </c>
      <c r="J1239" s="1124" t="e">
        <v>#REF!</v>
      </c>
      <c r="K1239" s="1124" t="e">
        <v>#REF!</v>
      </c>
    </row>
    <row r="1240" spans="1:11" ht="30">
      <c r="A1240" s="1120">
        <v>1234</v>
      </c>
      <c r="B1240" s="1121" t="s">
        <v>11590</v>
      </c>
      <c r="C1240" s="1122" t="s">
        <v>11591</v>
      </c>
      <c r="D1240" s="1123" t="s">
        <v>43</v>
      </c>
      <c r="E1240" s="1124">
        <v>3072600</v>
      </c>
      <c r="F1240" s="1124">
        <v>2665788.5</v>
      </c>
      <c r="G1240" s="1124">
        <v>0</v>
      </c>
      <c r="H1240" s="1124" t="e">
        <v>#REF!</v>
      </c>
      <c r="I1240" s="1124" t="e">
        <v>#REF!</v>
      </c>
      <c r="J1240" s="1124" t="e">
        <v>#REF!</v>
      </c>
      <c r="K1240" s="1124" t="e">
        <v>#REF!</v>
      </c>
    </row>
    <row r="1241" spans="1:11" ht="30">
      <c r="A1241" s="1120">
        <v>1235</v>
      </c>
      <c r="B1241" s="1121" t="s">
        <v>11592</v>
      </c>
      <c r="C1241" s="1122" t="s">
        <v>11593</v>
      </c>
      <c r="D1241" s="1123" t="s">
        <v>43</v>
      </c>
      <c r="E1241" s="1124">
        <v>3073400</v>
      </c>
      <c r="F1241" s="1124">
        <v>3345984.2</v>
      </c>
      <c r="G1241" s="1124">
        <v>0</v>
      </c>
      <c r="H1241" s="1124" t="e">
        <v>#REF!</v>
      </c>
      <c r="I1241" s="1124" t="e">
        <v>#REF!</v>
      </c>
      <c r="J1241" s="1124" t="e">
        <v>#REF!</v>
      </c>
      <c r="K1241" s="1124" t="e">
        <v>#REF!</v>
      </c>
    </row>
    <row r="1242" spans="1:11" ht="30">
      <c r="A1242" s="1120">
        <v>1236</v>
      </c>
      <c r="B1242" s="1121" t="s">
        <v>11594</v>
      </c>
      <c r="C1242" s="1122" t="s">
        <v>11595</v>
      </c>
      <c r="D1242" s="1123" t="s">
        <v>43</v>
      </c>
      <c r="E1242" s="1124">
        <v>3082700</v>
      </c>
      <c r="F1242" s="1124">
        <v>4240369.3</v>
      </c>
      <c r="G1242" s="1124">
        <v>0</v>
      </c>
      <c r="H1242" s="1124" t="e">
        <v>#REF!</v>
      </c>
      <c r="I1242" s="1124" t="e">
        <v>#REF!</v>
      </c>
      <c r="J1242" s="1124" t="e">
        <v>#REF!</v>
      </c>
      <c r="K1242" s="1124" t="e">
        <v>#REF!</v>
      </c>
    </row>
    <row r="1243" spans="1:11" ht="30">
      <c r="A1243" s="1120">
        <v>1237</v>
      </c>
      <c r="B1243" s="1121" t="s">
        <v>11596</v>
      </c>
      <c r="C1243" s="1122" t="s">
        <v>11597</v>
      </c>
      <c r="D1243" s="1123" t="s">
        <v>43</v>
      </c>
      <c r="E1243" s="1124">
        <v>3082700</v>
      </c>
      <c r="F1243" s="1124">
        <v>6272273.2000000002</v>
      </c>
      <c r="G1243" s="1124">
        <v>0</v>
      </c>
      <c r="H1243" s="1124" t="e">
        <v>#REF!</v>
      </c>
      <c r="I1243" s="1124" t="e">
        <v>#REF!</v>
      </c>
      <c r="J1243" s="1124" t="e">
        <v>#REF!</v>
      </c>
      <c r="K1243" s="1124" t="e">
        <v>#REF!</v>
      </c>
    </row>
    <row r="1244" spans="1:11" ht="30">
      <c r="A1244" s="1120">
        <v>1238</v>
      </c>
      <c r="B1244" s="1121" t="s">
        <v>11598</v>
      </c>
      <c r="C1244" s="1122" t="s">
        <v>11599</v>
      </c>
      <c r="D1244" s="1123" t="s">
        <v>43</v>
      </c>
      <c r="E1244" s="1124">
        <v>3088300</v>
      </c>
      <c r="F1244" s="1124">
        <v>7415580.9000000004</v>
      </c>
      <c r="G1244" s="1124">
        <v>0</v>
      </c>
      <c r="H1244" s="1124" t="e">
        <v>#REF!</v>
      </c>
      <c r="I1244" s="1124" t="e">
        <v>#REF!</v>
      </c>
      <c r="J1244" s="1124" t="e">
        <v>#REF!</v>
      </c>
      <c r="K1244" s="1124" t="e">
        <v>#REF!</v>
      </c>
    </row>
    <row r="1245" spans="1:11" ht="30">
      <c r="A1245" s="1120">
        <v>1239</v>
      </c>
      <c r="B1245" s="1121" t="s">
        <v>11600</v>
      </c>
      <c r="C1245" s="1122" t="s">
        <v>11601</v>
      </c>
      <c r="D1245" s="1123" t="s">
        <v>43</v>
      </c>
      <c r="E1245" s="1124">
        <v>3088300</v>
      </c>
      <c r="F1245" s="1124">
        <v>8364960.5</v>
      </c>
      <c r="G1245" s="1124">
        <v>0</v>
      </c>
      <c r="H1245" s="1124" t="e">
        <v>#REF!</v>
      </c>
      <c r="I1245" s="1124" t="e">
        <v>#REF!</v>
      </c>
      <c r="J1245" s="1124" t="e">
        <v>#REF!</v>
      </c>
      <c r="K1245" s="1124" t="e">
        <v>#REF!</v>
      </c>
    </row>
    <row r="1246" spans="1:11" ht="30">
      <c r="A1246" s="1120">
        <v>1240</v>
      </c>
      <c r="B1246" s="1121" t="s">
        <v>11602</v>
      </c>
      <c r="C1246" s="1122" t="s">
        <v>11603</v>
      </c>
      <c r="D1246" s="1123" t="s">
        <v>43</v>
      </c>
      <c r="E1246" s="1124">
        <v>188500</v>
      </c>
      <c r="F1246" s="1124">
        <v>1099891</v>
      </c>
      <c r="G1246" s="1124">
        <v>0</v>
      </c>
      <c r="H1246" s="1124" t="e">
        <v>#REF!</v>
      </c>
      <c r="I1246" s="1124" t="e">
        <v>#REF!</v>
      </c>
      <c r="J1246" s="1124" t="e">
        <v>#REF!</v>
      </c>
      <c r="K1246" s="1124" t="e">
        <v>#REF!</v>
      </c>
    </row>
    <row r="1247" spans="1:11" ht="30">
      <c r="A1247" s="1120">
        <v>1241</v>
      </c>
      <c r="B1247" s="1121" t="s">
        <v>11604</v>
      </c>
      <c r="C1247" s="1122" t="s">
        <v>11605</v>
      </c>
      <c r="D1247" s="1123" t="s">
        <v>43</v>
      </c>
      <c r="E1247" s="1124">
        <v>188500</v>
      </c>
      <c r="F1247" s="1124">
        <v>1253296.8999999999</v>
      </c>
      <c r="G1247" s="1124">
        <v>0</v>
      </c>
      <c r="H1247" s="1124" t="e">
        <v>#REF!</v>
      </c>
      <c r="I1247" s="1124" t="e">
        <v>#REF!</v>
      </c>
      <c r="J1247" s="1124" t="e">
        <v>#REF!</v>
      </c>
      <c r="K1247" s="1124" t="e">
        <v>#REF!</v>
      </c>
    </row>
    <row r="1248" spans="1:11" ht="30">
      <c r="A1248" s="1120">
        <v>1242</v>
      </c>
      <c r="B1248" s="1121" t="s">
        <v>11606</v>
      </c>
      <c r="C1248" s="1122" t="s">
        <v>11607</v>
      </c>
      <c r="D1248" s="1123" t="s">
        <v>43</v>
      </c>
      <c r="E1248" s="1124">
        <v>188500</v>
      </c>
      <c r="F1248" s="1124">
        <v>1571686.3999999999</v>
      </c>
      <c r="G1248" s="1124">
        <v>0</v>
      </c>
      <c r="H1248" s="1124" t="e">
        <v>#REF!</v>
      </c>
      <c r="I1248" s="1124" t="e">
        <v>#REF!</v>
      </c>
      <c r="J1248" s="1124" t="e">
        <v>#REF!</v>
      </c>
      <c r="K1248" s="1124" t="e">
        <v>#REF!</v>
      </c>
    </row>
    <row r="1249" spans="1:11" ht="30">
      <c r="A1249" s="1120">
        <v>1243</v>
      </c>
      <c r="B1249" s="1121" t="s">
        <v>11608</v>
      </c>
      <c r="C1249" s="1122" t="s">
        <v>11609</v>
      </c>
      <c r="D1249" s="1123" t="s">
        <v>43</v>
      </c>
      <c r="E1249" s="1124">
        <v>192600</v>
      </c>
      <c r="F1249" s="1124">
        <v>2089792.9</v>
      </c>
      <c r="G1249" s="1124">
        <v>0</v>
      </c>
      <c r="H1249" s="1124" t="e">
        <v>#REF!</v>
      </c>
      <c r="I1249" s="1124" t="e">
        <v>#REF!</v>
      </c>
      <c r="J1249" s="1124" t="e">
        <v>#REF!</v>
      </c>
      <c r="K1249" s="1124" t="e">
        <v>#REF!</v>
      </c>
    </row>
    <row r="1250" spans="1:11" ht="30">
      <c r="A1250" s="1120">
        <v>1244</v>
      </c>
      <c r="B1250" s="1121" t="s">
        <v>11610</v>
      </c>
      <c r="C1250" s="1122" t="s">
        <v>11611</v>
      </c>
      <c r="D1250" s="1123" t="s">
        <v>43</v>
      </c>
      <c r="E1250" s="1124">
        <v>192600</v>
      </c>
      <c r="F1250" s="1124">
        <v>2665788.5</v>
      </c>
      <c r="G1250" s="1124">
        <v>0</v>
      </c>
      <c r="H1250" s="1124" t="e">
        <v>#REF!</v>
      </c>
      <c r="I1250" s="1124" t="e">
        <v>#REF!</v>
      </c>
      <c r="J1250" s="1124" t="e">
        <v>#REF!</v>
      </c>
      <c r="K1250" s="1124" t="e">
        <v>#REF!</v>
      </c>
    </row>
    <row r="1251" spans="1:11" ht="30">
      <c r="A1251" s="1120">
        <v>1245</v>
      </c>
      <c r="B1251" s="1121" t="s">
        <v>11612</v>
      </c>
      <c r="C1251" s="1122" t="s">
        <v>11613</v>
      </c>
      <c r="D1251" s="1123" t="s">
        <v>43</v>
      </c>
      <c r="E1251" s="1124">
        <v>196700</v>
      </c>
      <c r="F1251" s="1124">
        <v>3453078.9</v>
      </c>
      <c r="G1251" s="1124">
        <v>0</v>
      </c>
      <c r="H1251" s="1124" t="e">
        <v>#REF!</v>
      </c>
      <c r="I1251" s="1124" t="e">
        <v>#REF!</v>
      </c>
      <c r="J1251" s="1124" t="e">
        <v>#REF!</v>
      </c>
      <c r="K1251" s="1124" t="e">
        <v>#REF!</v>
      </c>
    </row>
    <row r="1252" spans="1:11" ht="30">
      <c r="A1252" s="1120">
        <v>1246</v>
      </c>
      <c r="B1252" s="1121" t="s">
        <v>11614</v>
      </c>
      <c r="C1252" s="1122" t="s">
        <v>11615</v>
      </c>
      <c r="D1252" s="1123" t="s">
        <v>43</v>
      </c>
      <c r="E1252" s="1124">
        <v>196700</v>
      </c>
      <c r="F1252" s="1124">
        <v>4234580.4000000004</v>
      </c>
      <c r="G1252" s="1124">
        <v>0</v>
      </c>
      <c r="H1252" s="1124" t="e">
        <v>#REF!</v>
      </c>
      <c r="I1252" s="1124" t="e">
        <v>#REF!</v>
      </c>
      <c r="J1252" s="1124" t="e">
        <v>#REF!</v>
      </c>
      <c r="K1252" s="1124" t="e">
        <v>#REF!</v>
      </c>
    </row>
    <row r="1253" spans="1:11" ht="30">
      <c r="A1253" s="1120">
        <v>1247</v>
      </c>
      <c r="B1253" s="1121" t="s">
        <v>11616</v>
      </c>
      <c r="C1253" s="1122" t="s">
        <v>11617</v>
      </c>
      <c r="D1253" s="1123" t="s">
        <v>43</v>
      </c>
      <c r="E1253" s="1124">
        <v>200000</v>
      </c>
      <c r="F1253" s="1124">
        <v>5126071</v>
      </c>
      <c r="G1253" s="1124">
        <v>0</v>
      </c>
      <c r="H1253" s="1124" t="e">
        <v>#REF!</v>
      </c>
      <c r="I1253" s="1124" t="e">
        <v>#REF!</v>
      </c>
      <c r="J1253" s="1124" t="e">
        <v>#REF!</v>
      </c>
      <c r="K1253" s="1124" t="e">
        <v>#REF!</v>
      </c>
    </row>
    <row r="1254" spans="1:11" ht="30">
      <c r="A1254" s="1120">
        <v>1248</v>
      </c>
      <c r="B1254" s="1121" t="s">
        <v>11618</v>
      </c>
      <c r="C1254" s="1122" t="s">
        <v>11619</v>
      </c>
      <c r="D1254" s="1123" t="s">
        <v>43</v>
      </c>
      <c r="E1254" s="1124">
        <v>200000</v>
      </c>
      <c r="F1254" s="1124">
        <v>5962567</v>
      </c>
      <c r="G1254" s="1124">
        <v>0</v>
      </c>
      <c r="H1254" s="1124" t="e">
        <v>#REF!</v>
      </c>
      <c r="I1254" s="1124" t="e">
        <v>#REF!</v>
      </c>
      <c r="J1254" s="1124" t="e">
        <v>#REF!</v>
      </c>
      <c r="K1254" s="1124" t="e">
        <v>#REF!</v>
      </c>
    </row>
    <row r="1255" spans="1:11" ht="30">
      <c r="A1255" s="1120">
        <v>1249</v>
      </c>
      <c r="B1255" s="1121" t="s">
        <v>11620</v>
      </c>
      <c r="C1255" s="1122" t="s">
        <v>11621</v>
      </c>
      <c r="D1255" s="1123" t="s">
        <v>43</v>
      </c>
      <c r="E1255" s="1124">
        <v>206600</v>
      </c>
      <c r="F1255" s="1124">
        <v>7635559.0999999996</v>
      </c>
      <c r="G1255" s="1124">
        <v>0</v>
      </c>
      <c r="H1255" s="1124" t="e">
        <v>#REF!</v>
      </c>
      <c r="I1255" s="1124" t="e">
        <v>#REF!</v>
      </c>
      <c r="J1255" s="1124" t="e">
        <v>#REF!</v>
      </c>
      <c r="K1255" s="1124" t="e">
        <v>#REF!</v>
      </c>
    </row>
    <row r="1256" spans="1:11" ht="30">
      <c r="A1256" s="1120">
        <v>1250</v>
      </c>
      <c r="B1256" s="1121" t="s">
        <v>11622</v>
      </c>
      <c r="C1256" s="1122" t="s">
        <v>11623</v>
      </c>
      <c r="D1256" s="1123" t="s">
        <v>43</v>
      </c>
      <c r="E1256" s="1124">
        <v>207400</v>
      </c>
      <c r="F1256" s="1124">
        <v>10666048.300000001</v>
      </c>
      <c r="G1256" s="1124">
        <v>0</v>
      </c>
      <c r="H1256" s="1124" t="e">
        <v>#REF!</v>
      </c>
      <c r="I1256" s="1124" t="e">
        <v>#REF!</v>
      </c>
      <c r="J1256" s="1124" t="e">
        <v>#REF!</v>
      </c>
      <c r="K1256" s="1124" t="e">
        <v>#REF!</v>
      </c>
    </row>
    <row r="1257" spans="1:11" ht="30">
      <c r="A1257" s="1120">
        <v>1251</v>
      </c>
      <c r="B1257" s="1121" t="s">
        <v>11624</v>
      </c>
      <c r="C1257" s="1122" t="s">
        <v>11625</v>
      </c>
      <c r="D1257" s="1123" t="s">
        <v>43</v>
      </c>
      <c r="E1257" s="1124">
        <v>207400</v>
      </c>
      <c r="F1257" s="1124">
        <v>13175536.4</v>
      </c>
      <c r="G1257" s="1124">
        <v>0</v>
      </c>
      <c r="H1257" s="1124" t="e">
        <v>#REF!</v>
      </c>
      <c r="I1257" s="1124" t="e">
        <v>#REF!</v>
      </c>
      <c r="J1257" s="1124" t="e">
        <v>#REF!</v>
      </c>
      <c r="K1257" s="1124" t="e">
        <v>#REF!</v>
      </c>
    </row>
    <row r="1258" spans="1:11" ht="30">
      <c r="A1258" s="1120">
        <v>1252</v>
      </c>
      <c r="B1258" s="1121" t="s">
        <v>11626</v>
      </c>
      <c r="C1258" s="1122" t="s">
        <v>11627</v>
      </c>
      <c r="D1258" s="1123" t="s">
        <v>43</v>
      </c>
      <c r="E1258" s="1124">
        <v>214000</v>
      </c>
      <c r="F1258" s="1124">
        <v>16269703.5</v>
      </c>
      <c r="G1258" s="1124">
        <v>0</v>
      </c>
      <c r="H1258" s="1124" t="e">
        <v>#REF!</v>
      </c>
      <c r="I1258" s="1124" t="e">
        <v>#REF!</v>
      </c>
      <c r="J1258" s="1124" t="e">
        <v>#REF!</v>
      </c>
      <c r="K1258" s="1124" t="e">
        <v>#REF!</v>
      </c>
    </row>
    <row r="1259" spans="1:11" ht="30">
      <c r="A1259" s="1120">
        <v>1253</v>
      </c>
      <c r="B1259" s="1121" t="s">
        <v>11628</v>
      </c>
      <c r="C1259" s="1122" t="s">
        <v>11629</v>
      </c>
      <c r="D1259" s="1123" t="s">
        <v>43</v>
      </c>
      <c r="E1259" s="1124">
        <v>217800</v>
      </c>
      <c r="F1259" s="1124">
        <v>20032488.5</v>
      </c>
      <c r="G1259" s="1124">
        <v>0</v>
      </c>
      <c r="H1259" s="1124" t="e">
        <v>#REF!</v>
      </c>
      <c r="I1259" s="1124" t="e">
        <v>#REF!</v>
      </c>
      <c r="J1259" s="1124" t="e">
        <v>#REF!</v>
      </c>
      <c r="K1259" s="1124" t="e">
        <v>#REF!</v>
      </c>
    </row>
    <row r="1260" spans="1:11" ht="30">
      <c r="A1260" s="1120">
        <v>1254</v>
      </c>
      <c r="B1260" s="1121" t="s">
        <v>11630</v>
      </c>
      <c r="C1260" s="1122" t="s">
        <v>11631</v>
      </c>
      <c r="D1260" s="1123" t="s">
        <v>43</v>
      </c>
      <c r="E1260" s="1124">
        <v>220800</v>
      </c>
      <c r="F1260" s="1124">
        <v>24006568.300000001</v>
      </c>
      <c r="G1260" s="1124">
        <v>0</v>
      </c>
      <c r="H1260" s="1124" t="e">
        <v>#REF!</v>
      </c>
      <c r="I1260" s="1124" t="e">
        <v>#REF!</v>
      </c>
      <c r="J1260" s="1124" t="e">
        <v>#REF!</v>
      </c>
      <c r="K1260" s="1124" t="e">
        <v>#REF!</v>
      </c>
    </row>
    <row r="1261" spans="1:11">
      <c r="A1261" s="1120">
        <v>1255</v>
      </c>
      <c r="B1261" s="1121" t="s">
        <v>11632</v>
      </c>
      <c r="C1261" s="1122" t="s">
        <v>11633</v>
      </c>
      <c r="D1261" s="1123" t="s">
        <v>11634</v>
      </c>
      <c r="E1261" s="1124">
        <v>0</v>
      </c>
      <c r="F1261" s="1124">
        <v>50381</v>
      </c>
      <c r="G1261" s="1124">
        <v>23253.5</v>
      </c>
      <c r="H1261" s="1124" t="e">
        <v>#REF!</v>
      </c>
      <c r="I1261" s="1124" t="e">
        <v>#REF!</v>
      </c>
      <c r="J1261" s="1124" t="e">
        <v>#REF!</v>
      </c>
      <c r="K1261" s="1124" t="e">
        <v>#REF!</v>
      </c>
    </row>
    <row r="1262" spans="1:11">
      <c r="A1262" s="1120">
        <v>1256</v>
      </c>
      <c r="B1262" s="1121" t="s">
        <v>11635</v>
      </c>
      <c r="C1262" s="1122" t="s">
        <v>11636</v>
      </c>
      <c r="D1262" s="1123" t="s">
        <v>11634</v>
      </c>
      <c r="E1262" s="1124">
        <v>0</v>
      </c>
      <c r="F1262" s="1124">
        <v>91315.5</v>
      </c>
      <c r="G1262" s="1124">
        <v>23253.5</v>
      </c>
      <c r="H1262" s="1124" t="e">
        <v>#REF!</v>
      </c>
      <c r="I1262" s="1124" t="e">
        <v>#REF!</v>
      </c>
      <c r="J1262" s="1124" t="e">
        <v>#REF!</v>
      </c>
      <c r="K1262" s="1124" t="e">
        <v>#REF!</v>
      </c>
    </row>
    <row r="1263" spans="1:11">
      <c r="A1263" s="1120">
        <v>1257</v>
      </c>
      <c r="B1263" s="1121" t="s">
        <v>11637</v>
      </c>
      <c r="C1263" s="1122" t="s">
        <v>11638</v>
      </c>
      <c r="D1263" s="1123" t="s">
        <v>11634</v>
      </c>
      <c r="E1263" s="1124">
        <v>0</v>
      </c>
      <c r="F1263" s="1124">
        <v>141696.5</v>
      </c>
      <c r="G1263" s="1124">
        <v>27904.2</v>
      </c>
      <c r="H1263" s="1124" t="e">
        <v>#REF!</v>
      </c>
      <c r="I1263" s="1124" t="e">
        <v>#REF!</v>
      </c>
      <c r="J1263" s="1124" t="e">
        <v>#REF!</v>
      </c>
      <c r="K1263" s="1124" t="e">
        <v>#REF!</v>
      </c>
    </row>
    <row r="1264" spans="1:11">
      <c r="A1264" s="1120">
        <v>1258</v>
      </c>
      <c r="B1264" s="1121" t="s">
        <v>11639</v>
      </c>
      <c r="C1264" s="1122" t="s">
        <v>11640</v>
      </c>
      <c r="D1264" s="1123" t="s">
        <v>11634</v>
      </c>
      <c r="E1264" s="1124">
        <v>0</v>
      </c>
      <c r="F1264" s="1124">
        <v>179482.2</v>
      </c>
      <c r="G1264" s="1124">
        <v>27904.2</v>
      </c>
      <c r="H1264" s="1124" t="e">
        <v>#REF!</v>
      </c>
      <c r="I1264" s="1124" t="e">
        <v>#REF!</v>
      </c>
      <c r="J1264" s="1124" t="e">
        <v>#REF!</v>
      </c>
      <c r="K1264" s="1124" t="e">
        <v>#REF!</v>
      </c>
    </row>
    <row r="1265" spans="1:11">
      <c r="A1265" s="1120">
        <v>1259</v>
      </c>
      <c r="B1265" s="1121" t="s">
        <v>11641</v>
      </c>
      <c r="C1265" s="1122" t="s">
        <v>11642</v>
      </c>
      <c r="D1265" s="1123" t="s">
        <v>11634</v>
      </c>
      <c r="E1265" s="1124">
        <v>0</v>
      </c>
      <c r="F1265" s="1124">
        <v>233011.9</v>
      </c>
      <c r="G1265" s="1124">
        <v>32555</v>
      </c>
      <c r="H1265" s="1124" t="e">
        <v>#REF!</v>
      </c>
      <c r="I1265" s="1124" t="e">
        <v>#REF!</v>
      </c>
      <c r="J1265" s="1124" t="e">
        <v>#REF!</v>
      </c>
      <c r="K1265" s="1124" t="e">
        <v>#REF!</v>
      </c>
    </row>
    <row r="1266" spans="1:11">
      <c r="A1266" s="1120">
        <v>1260</v>
      </c>
      <c r="B1266" s="1121" t="s">
        <v>11643</v>
      </c>
      <c r="C1266" s="1122" t="s">
        <v>11644</v>
      </c>
      <c r="D1266" s="1123" t="s">
        <v>11634</v>
      </c>
      <c r="E1266" s="1124">
        <v>0</v>
      </c>
      <c r="F1266" s="1124">
        <v>283392.90000000002</v>
      </c>
      <c r="G1266" s="1124">
        <v>37205.699999999997</v>
      </c>
      <c r="H1266" s="1124" t="e">
        <v>#REF!</v>
      </c>
      <c r="I1266" s="1124" t="e">
        <v>#REF!</v>
      </c>
      <c r="J1266" s="1124" t="e">
        <v>#REF!</v>
      </c>
      <c r="K1266" s="1124" t="e">
        <v>#REF!</v>
      </c>
    </row>
    <row r="1267" spans="1:11">
      <c r="A1267" s="1120">
        <v>1261</v>
      </c>
      <c r="B1267" s="1121" t="s">
        <v>11645</v>
      </c>
      <c r="C1267" s="1122" t="s">
        <v>11646</v>
      </c>
      <c r="D1267" s="1123" t="s">
        <v>11634</v>
      </c>
      <c r="E1267" s="1124">
        <v>0</v>
      </c>
      <c r="F1267" s="1124">
        <v>340071.5</v>
      </c>
      <c r="G1267" s="1124">
        <v>41856.400000000001</v>
      </c>
      <c r="H1267" s="1124" t="e">
        <v>#REF!</v>
      </c>
      <c r="I1267" s="1124" t="e">
        <v>#REF!</v>
      </c>
      <c r="J1267" s="1124" t="e">
        <v>#REF!</v>
      </c>
      <c r="K1267" s="1124" t="e">
        <v>#REF!</v>
      </c>
    </row>
    <row r="1268" spans="1:11">
      <c r="A1268" s="1120">
        <v>1262</v>
      </c>
      <c r="B1268" s="1121" t="s">
        <v>11647</v>
      </c>
      <c r="C1268" s="1122" t="s">
        <v>11648</v>
      </c>
      <c r="D1268" s="1123" t="s">
        <v>11634</v>
      </c>
      <c r="E1268" s="1124">
        <v>0</v>
      </c>
      <c r="F1268" s="1124">
        <v>425089.4</v>
      </c>
      <c r="G1268" s="1124">
        <v>46507.1</v>
      </c>
      <c r="H1268" s="1124" t="e">
        <v>#REF!</v>
      </c>
      <c r="I1268" s="1124" t="e">
        <v>#REF!</v>
      </c>
      <c r="J1268" s="1124" t="e">
        <v>#REF!</v>
      </c>
      <c r="K1268" s="1124" t="e">
        <v>#REF!</v>
      </c>
    </row>
    <row r="1269" spans="1:11">
      <c r="A1269" s="1120">
        <v>1263</v>
      </c>
      <c r="B1269" s="1121" t="s">
        <v>11649</v>
      </c>
      <c r="C1269" s="1122" t="s">
        <v>11650</v>
      </c>
      <c r="D1269" s="1123" t="s">
        <v>11634</v>
      </c>
      <c r="E1269" s="1124">
        <v>0</v>
      </c>
      <c r="F1269" s="1124">
        <v>506958.4</v>
      </c>
      <c r="G1269" s="1124">
        <v>65109.9</v>
      </c>
      <c r="H1269" s="1124" t="e">
        <v>#REF!</v>
      </c>
      <c r="I1269" s="1124" t="e">
        <v>#REF!</v>
      </c>
      <c r="J1269" s="1124" t="e">
        <v>#REF!</v>
      </c>
      <c r="K1269" s="1124" t="e">
        <v>#REF!</v>
      </c>
    </row>
    <row r="1270" spans="1:11" s="1136" customFormat="1">
      <c r="A1270" s="1131">
        <v>1264</v>
      </c>
      <c r="B1270" s="1132" t="s">
        <v>11651</v>
      </c>
      <c r="C1270" s="1133" t="s">
        <v>11652</v>
      </c>
      <c r="D1270" s="1134" t="s">
        <v>11634</v>
      </c>
      <c r="E1270" s="1135">
        <v>0</v>
      </c>
      <c r="F1270" s="1135">
        <v>673845.3</v>
      </c>
      <c r="G1270" s="1135">
        <v>83712.7</v>
      </c>
      <c r="H1270" s="1135" t="e">
        <v>#REF!</v>
      </c>
      <c r="I1270" s="1135" t="e">
        <v>#REF!</v>
      </c>
      <c r="J1270" s="1135" t="e">
        <v>#REF!</v>
      </c>
      <c r="K1270" s="1135" t="e">
        <v>#REF!</v>
      </c>
    </row>
    <row r="1271" spans="1:11" ht="60">
      <c r="A1271" s="1120">
        <v>1265</v>
      </c>
      <c r="B1271" s="1121" t="s">
        <v>11653</v>
      </c>
      <c r="C1271" s="1122" t="s">
        <v>11654</v>
      </c>
      <c r="D1271" s="1123" t="s">
        <v>6378</v>
      </c>
      <c r="E1271" s="1124">
        <v>184744.9</v>
      </c>
      <c r="F1271" s="1124">
        <v>1198302.3</v>
      </c>
      <c r="G1271" s="1124">
        <v>448727.8</v>
      </c>
      <c r="H1271" s="1124" t="e">
        <v>#REF!</v>
      </c>
      <c r="I1271" s="1124" t="e">
        <v>#REF!</v>
      </c>
      <c r="J1271" s="1124" t="e">
        <v>#REF!</v>
      </c>
      <c r="K1271" s="1124" t="e">
        <v>#REF!</v>
      </c>
    </row>
    <row r="1272" spans="1:11" ht="60">
      <c r="A1272" s="1120">
        <v>1266</v>
      </c>
      <c r="B1272" s="1121" t="s">
        <v>11655</v>
      </c>
      <c r="C1272" s="1122" t="s">
        <v>11656</v>
      </c>
      <c r="D1272" s="1123" t="s">
        <v>6378</v>
      </c>
      <c r="E1272" s="1124">
        <v>274744.90000000002</v>
      </c>
      <c r="F1272" s="1124">
        <v>1464591.7</v>
      </c>
      <c r="G1272" s="1124">
        <v>448727.8</v>
      </c>
      <c r="H1272" s="1124" t="e">
        <v>#REF!</v>
      </c>
      <c r="I1272" s="1124" t="e">
        <v>#REF!</v>
      </c>
      <c r="J1272" s="1124" t="e">
        <v>#REF!</v>
      </c>
      <c r="K1272" s="1124" t="e">
        <v>#REF!</v>
      </c>
    </row>
    <row r="1273" spans="1:11" ht="60">
      <c r="A1273" s="1120">
        <v>1267</v>
      </c>
      <c r="B1273" s="1121" t="s">
        <v>11657</v>
      </c>
      <c r="C1273" s="1122" t="s">
        <v>11658</v>
      </c>
      <c r="D1273" s="1123" t="s">
        <v>6378</v>
      </c>
      <c r="E1273" s="1124">
        <v>364744.9</v>
      </c>
      <c r="F1273" s="1124">
        <v>1730881.1</v>
      </c>
      <c r="G1273" s="1124">
        <v>448727.8</v>
      </c>
      <c r="H1273" s="1124" t="e">
        <v>#REF!</v>
      </c>
      <c r="I1273" s="1124" t="e">
        <v>#REF!</v>
      </c>
      <c r="J1273" s="1124" t="e">
        <v>#REF!</v>
      </c>
      <c r="K1273" s="1124" t="e">
        <v>#REF!</v>
      </c>
    </row>
    <row r="1274" spans="1:11" ht="60">
      <c r="A1274" s="1120">
        <v>1268</v>
      </c>
      <c r="B1274" s="1121" t="s">
        <v>11659</v>
      </c>
      <c r="C1274" s="1122" t="s">
        <v>11660</v>
      </c>
      <c r="D1274" s="1123" t="s">
        <v>6378</v>
      </c>
      <c r="E1274" s="1124">
        <v>412908.2</v>
      </c>
      <c r="F1274" s="1124">
        <v>1771403.4</v>
      </c>
      <c r="G1274" s="1124">
        <v>448727.8</v>
      </c>
      <c r="H1274" s="1124" t="e">
        <v>#REF!</v>
      </c>
      <c r="I1274" s="1124" t="e">
        <v>#REF!</v>
      </c>
      <c r="J1274" s="1124" t="e">
        <v>#REF!</v>
      </c>
      <c r="K1274" s="1124" t="e">
        <v>#REF!</v>
      </c>
    </row>
    <row r="1275" spans="1:11" ht="60">
      <c r="A1275" s="1120">
        <v>1269</v>
      </c>
      <c r="B1275" s="1121" t="s">
        <v>11661</v>
      </c>
      <c r="C1275" s="1122" t="s">
        <v>11662</v>
      </c>
      <c r="D1275" s="1123" t="s">
        <v>6378</v>
      </c>
      <c r="E1275" s="1124">
        <v>457908.2</v>
      </c>
      <c r="F1275" s="1124">
        <v>1875603.6</v>
      </c>
      <c r="G1275" s="1124">
        <v>448727.8</v>
      </c>
      <c r="H1275" s="1124" t="e">
        <v>#REF!</v>
      </c>
      <c r="I1275" s="1124" t="e">
        <v>#REF!</v>
      </c>
      <c r="J1275" s="1124" t="e">
        <v>#REF!</v>
      </c>
      <c r="K1275" s="1124" t="e">
        <v>#REF!</v>
      </c>
    </row>
    <row r="1276" spans="1:11" ht="60">
      <c r="A1276" s="1120">
        <v>1270</v>
      </c>
      <c r="B1276" s="1121" t="s">
        <v>11663</v>
      </c>
      <c r="C1276" s="1122" t="s">
        <v>11664</v>
      </c>
      <c r="D1276" s="1123" t="s">
        <v>6378</v>
      </c>
      <c r="E1276" s="1124">
        <v>502908.2</v>
      </c>
      <c r="F1276" s="1124">
        <v>2023220.6</v>
      </c>
      <c r="G1276" s="1124">
        <v>569539.1</v>
      </c>
      <c r="H1276" s="1124" t="e">
        <v>#REF!</v>
      </c>
      <c r="I1276" s="1124" t="e">
        <v>#REF!</v>
      </c>
      <c r="J1276" s="1124" t="e">
        <v>#REF!</v>
      </c>
      <c r="K1276" s="1124" t="e">
        <v>#REF!</v>
      </c>
    </row>
    <row r="1277" spans="1:11" ht="60">
      <c r="A1277" s="1120">
        <v>1271</v>
      </c>
      <c r="B1277" s="1121" t="s">
        <v>11665</v>
      </c>
      <c r="C1277" s="1122" t="s">
        <v>11666</v>
      </c>
      <c r="D1277" s="1123" t="s">
        <v>6378</v>
      </c>
      <c r="E1277" s="1124">
        <v>547908.19999999995</v>
      </c>
      <c r="F1277" s="1124">
        <v>2301087.7999999998</v>
      </c>
      <c r="G1277" s="1124">
        <v>569539.1</v>
      </c>
      <c r="H1277" s="1124" t="e">
        <v>#REF!</v>
      </c>
      <c r="I1277" s="1124" t="e">
        <v>#REF!</v>
      </c>
      <c r="J1277" s="1124" t="e">
        <v>#REF!</v>
      </c>
      <c r="K1277" s="1124" t="e">
        <v>#REF!</v>
      </c>
    </row>
    <row r="1278" spans="1:11" ht="60">
      <c r="A1278" s="1120">
        <v>1272</v>
      </c>
      <c r="B1278" s="1121" t="s">
        <v>11667</v>
      </c>
      <c r="C1278" s="1122" t="s">
        <v>11668</v>
      </c>
      <c r="D1278" s="1123" t="s">
        <v>6378</v>
      </c>
      <c r="E1278" s="1124">
        <v>596071.4</v>
      </c>
      <c r="F1278" s="1124">
        <v>2376343.5</v>
      </c>
      <c r="G1278" s="1124">
        <v>621315.4</v>
      </c>
      <c r="H1278" s="1124" t="e">
        <v>#REF!</v>
      </c>
      <c r="I1278" s="1124" t="e">
        <v>#REF!</v>
      </c>
      <c r="J1278" s="1124" t="e">
        <v>#REF!</v>
      </c>
      <c r="K1278" s="1124" t="e">
        <v>#REF!</v>
      </c>
    </row>
    <row r="1279" spans="1:11" ht="60">
      <c r="A1279" s="1120">
        <v>1273</v>
      </c>
      <c r="B1279" s="1121" t="s">
        <v>11669</v>
      </c>
      <c r="C1279" s="1122" t="s">
        <v>11670</v>
      </c>
      <c r="D1279" s="1123" t="s">
        <v>6378</v>
      </c>
      <c r="E1279" s="1124">
        <v>641071.4</v>
      </c>
      <c r="F1279" s="1124">
        <v>2636844</v>
      </c>
      <c r="G1279" s="1124">
        <v>621315.4</v>
      </c>
      <c r="H1279" s="1124" t="e">
        <v>#REF!</v>
      </c>
      <c r="I1279" s="1124" t="e">
        <v>#REF!</v>
      </c>
      <c r="J1279" s="1124" t="e">
        <v>#REF!</v>
      </c>
      <c r="K1279" s="1124" t="e">
        <v>#REF!</v>
      </c>
    </row>
    <row r="1280" spans="1:11" ht="60">
      <c r="A1280" s="1120">
        <v>1274</v>
      </c>
      <c r="B1280" s="1121" t="s">
        <v>11671</v>
      </c>
      <c r="C1280" s="1122" t="s">
        <v>11672</v>
      </c>
      <c r="D1280" s="1123" t="s">
        <v>6378</v>
      </c>
      <c r="E1280" s="1124">
        <v>735816.3</v>
      </c>
      <c r="F1280" s="1124">
        <v>2836561</v>
      </c>
      <c r="G1280" s="1124">
        <v>673091.6</v>
      </c>
      <c r="H1280" s="1124" t="e">
        <v>#REF!</v>
      </c>
      <c r="I1280" s="1124" t="e">
        <v>#REF!</v>
      </c>
      <c r="J1280" s="1124" t="e">
        <v>#REF!</v>
      </c>
      <c r="K1280" s="1124" t="e">
        <v>#REF!</v>
      </c>
    </row>
    <row r="1281" spans="1:11" ht="60">
      <c r="A1281" s="1120">
        <v>1275</v>
      </c>
      <c r="B1281" s="1121" t="s">
        <v>11673</v>
      </c>
      <c r="C1281" s="1122" t="s">
        <v>11674</v>
      </c>
      <c r="D1281" s="1123" t="s">
        <v>6378</v>
      </c>
      <c r="E1281" s="1124">
        <v>780816.3</v>
      </c>
      <c r="F1281" s="1124">
        <v>3435712.2</v>
      </c>
      <c r="G1281" s="1124">
        <v>673091.6</v>
      </c>
      <c r="H1281" s="1124" t="e">
        <v>#REF!</v>
      </c>
      <c r="I1281" s="1124" t="e">
        <v>#REF!</v>
      </c>
      <c r="J1281" s="1124" t="e">
        <v>#REF!</v>
      </c>
      <c r="K1281" s="1124" t="e">
        <v>#REF!</v>
      </c>
    </row>
    <row r="1282" spans="1:11" ht="60">
      <c r="A1282" s="1120">
        <v>1276</v>
      </c>
      <c r="B1282" s="1121" t="s">
        <v>11675</v>
      </c>
      <c r="C1282" s="1122" t="s">
        <v>11676</v>
      </c>
      <c r="D1282" s="1123" t="s">
        <v>6378</v>
      </c>
      <c r="E1282" s="1124">
        <v>825816.3</v>
      </c>
      <c r="F1282" s="1124">
        <v>3835146.3</v>
      </c>
      <c r="G1282" s="1124">
        <v>673091.6</v>
      </c>
      <c r="H1282" s="1124" t="e">
        <v>#REF!</v>
      </c>
      <c r="I1282" s="1124" t="e">
        <v>#REF!</v>
      </c>
      <c r="J1282" s="1124" t="e">
        <v>#REF!</v>
      </c>
      <c r="K1282" s="1124" t="e">
        <v>#REF!</v>
      </c>
    </row>
    <row r="1283" spans="1:11" ht="60">
      <c r="A1283" s="1120">
        <v>1277</v>
      </c>
      <c r="B1283" s="1121" t="s">
        <v>11677</v>
      </c>
      <c r="C1283" s="1122" t="s">
        <v>11678</v>
      </c>
      <c r="D1283" s="1123" t="s">
        <v>6378</v>
      </c>
      <c r="E1283" s="1124">
        <v>229744.9</v>
      </c>
      <c r="F1283" s="1124">
        <v>1331447</v>
      </c>
      <c r="G1283" s="1124">
        <v>448727.8</v>
      </c>
      <c r="H1283" s="1124" t="e">
        <v>#REF!</v>
      </c>
      <c r="I1283" s="1124" t="e">
        <v>#REF!</v>
      </c>
      <c r="J1283" s="1124" t="e">
        <v>#REF!</v>
      </c>
      <c r="K1283" s="1124" t="e">
        <v>#REF!</v>
      </c>
    </row>
    <row r="1284" spans="1:11" ht="60">
      <c r="A1284" s="1120">
        <v>1278</v>
      </c>
      <c r="B1284" s="1121" t="s">
        <v>11679</v>
      </c>
      <c r="C1284" s="1122" t="s">
        <v>11680</v>
      </c>
      <c r="D1284" s="1123" t="s">
        <v>6378</v>
      </c>
      <c r="E1284" s="1124">
        <v>364744.9</v>
      </c>
      <c r="F1284" s="1124">
        <v>1664308.8</v>
      </c>
      <c r="G1284" s="1124">
        <v>448727.8</v>
      </c>
      <c r="H1284" s="1124" t="e">
        <v>#REF!</v>
      </c>
      <c r="I1284" s="1124" t="e">
        <v>#REF!</v>
      </c>
      <c r="J1284" s="1124" t="e">
        <v>#REF!</v>
      </c>
      <c r="K1284" s="1124" t="e">
        <v>#REF!</v>
      </c>
    </row>
    <row r="1285" spans="1:11" ht="60">
      <c r="A1285" s="1120">
        <v>1279</v>
      </c>
      <c r="B1285" s="1121" t="s">
        <v>11681</v>
      </c>
      <c r="C1285" s="1122" t="s">
        <v>11682</v>
      </c>
      <c r="D1285" s="1123" t="s">
        <v>6378</v>
      </c>
      <c r="E1285" s="1124">
        <v>454744.9</v>
      </c>
      <c r="F1285" s="1124">
        <v>1820609.1</v>
      </c>
      <c r="G1285" s="1124">
        <v>448727.8</v>
      </c>
      <c r="H1285" s="1124" t="e">
        <v>#REF!</v>
      </c>
      <c r="I1285" s="1124" t="e">
        <v>#REF!</v>
      </c>
      <c r="J1285" s="1124" t="e">
        <v>#REF!</v>
      </c>
      <c r="K1285" s="1124" t="e">
        <v>#REF!</v>
      </c>
    </row>
    <row r="1286" spans="1:11" ht="60">
      <c r="A1286" s="1120">
        <v>1280</v>
      </c>
      <c r="B1286" s="1121" t="s">
        <v>11683</v>
      </c>
      <c r="C1286" s="1122" t="s">
        <v>11684</v>
      </c>
      <c r="D1286" s="1123" t="s">
        <v>6378</v>
      </c>
      <c r="E1286" s="1124">
        <v>547908.19999999995</v>
      </c>
      <c r="F1286" s="1124">
        <v>1968226</v>
      </c>
      <c r="G1286" s="1124">
        <v>448727.8</v>
      </c>
      <c r="H1286" s="1124" t="e">
        <v>#REF!</v>
      </c>
      <c r="I1286" s="1124" t="e">
        <v>#REF!</v>
      </c>
      <c r="J1286" s="1124" t="e">
        <v>#REF!</v>
      </c>
      <c r="K1286" s="1124" t="e">
        <v>#REF!</v>
      </c>
    </row>
    <row r="1287" spans="1:11" ht="60">
      <c r="A1287" s="1120">
        <v>1281</v>
      </c>
      <c r="B1287" s="1121" t="s">
        <v>11685</v>
      </c>
      <c r="C1287" s="1122" t="s">
        <v>11686</v>
      </c>
      <c r="D1287" s="1123" t="s">
        <v>6378</v>
      </c>
      <c r="E1287" s="1124">
        <v>592908.19999999995</v>
      </c>
      <c r="F1287" s="1124">
        <v>2167943.1</v>
      </c>
      <c r="G1287" s="1124">
        <v>448727.8</v>
      </c>
      <c r="H1287" s="1124" t="e">
        <v>#REF!</v>
      </c>
      <c r="I1287" s="1124" t="e">
        <v>#REF!</v>
      </c>
      <c r="J1287" s="1124" t="e">
        <v>#REF!</v>
      </c>
      <c r="K1287" s="1124" t="e">
        <v>#REF!</v>
      </c>
    </row>
    <row r="1288" spans="1:11" ht="60">
      <c r="A1288" s="1120">
        <v>1282</v>
      </c>
      <c r="B1288" s="1121" t="s">
        <v>11687</v>
      </c>
      <c r="C1288" s="1122" t="s">
        <v>11688</v>
      </c>
      <c r="D1288" s="1123" t="s">
        <v>6378</v>
      </c>
      <c r="E1288" s="1124">
        <v>637908.19999999995</v>
      </c>
      <c r="F1288" s="1124">
        <v>2211359.7999999998</v>
      </c>
      <c r="G1288" s="1124">
        <v>569539.1</v>
      </c>
      <c r="H1288" s="1124" t="e">
        <v>#REF!</v>
      </c>
      <c r="I1288" s="1124" t="e">
        <v>#REF!</v>
      </c>
      <c r="J1288" s="1124" t="e">
        <v>#REF!</v>
      </c>
      <c r="K1288" s="1124" t="e">
        <v>#REF!</v>
      </c>
    </row>
    <row r="1289" spans="1:11" ht="60">
      <c r="A1289" s="1120">
        <v>1283</v>
      </c>
      <c r="B1289" s="1121" t="s">
        <v>11689</v>
      </c>
      <c r="C1289" s="1122" t="s">
        <v>11690</v>
      </c>
      <c r="D1289" s="1123" t="s">
        <v>6378</v>
      </c>
      <c r="E1289" s="1124">
        <v>682908.2</v>
      </c>
      <c r="F1289" s="1124">
        <v>2500804.7999999998</v>
      </c>
      <c r="G1289" s="1124">
        <v>569539.1</v>
      </c>
      <c r="H1289" s="1124" t="e">
        <v>#REF!</v>
      </c>
      <c r="I1289" s="1124" t="e">
        <v>#REF!</v>
      </c>
      <c r="J1289" s="1124" t="e">
        <v>#REF!</v>
      </c>
      <c r="K1289" s="1124" t="e">
        <v>#REF!</v>
      </c>
    </row>
    <row r="1290" spans="1:11" ht="60">
      <c r="A1290" s="1120">
        <v>1284</v>
      </c>
      <c r="B1290" s="1121" t="s">
        <v>11691</v>
      </c>
      <c r="C1290" s="1122" t="s">
        <v>11692</v>
      </c>
      <c r="D1290" s="1123" t="s">
        <v>6378</v>
      </c>
      <c r="E1290" s="1124">
        <v>731071.4</v>
      </c>
      <c r="F1290" s="1124">
        <v>2714994.1</v>
      </c>
      <c r="G1290" s="1124">
        <v>621315.4</v>
      </c>
      <c r="H1290" s="1124" t="e">
        <v>#REF!</v>
      </c>
      <c r="I1290" s="1124" t="e">
        <v>#REF!</v>
      </c>
      <c r="J1290" s="1124" t="e">
        <v>#REF!</v>
      </c>
      <c r="K1290" s="1124" t="e">
        <v>#REF!</v>
      </c>
    </row>
    <row r="1291" spans="1:11" ht="60">
      <c r="A1291" s="1120">
        <v>1285</v>
      </c>
      <c r="B1291" s="1121" t="s">
        <v>11693</v>
      </c>
      <c r="C1291" s="1122" t="s">
        <v>11694</v>
      </c>
      <c r="D1291" s="1123" t="s">
        <v>6378</v>
      </c>
      <c r="E1291" s="1124">
        <v>776071.4</v>
      </c>
      <c r="F1291" s="1124">
        <v>2908922.3</v>
      </c>
      <c r="G1291" s="1124">
        <v>673091.6</v>
      </c>
      <c r="H1291" s="1124" t="e">
        <v>#REF!</v>
      </c>
      <c r="I1291" s="1124" t="e">
        <v>#REF!</v>
      </c>
      <c r="J1291" s="1124" t="e">
        <v>#REF!</v>
      </c>
      <c r="K1291" s="1124" t="e">
        <v>#REF!</v>
      </c>
    </row>
    <row r="1292" spans="1:11" ht="60">
      <c r="A1292" s="1120">
        <v>1286</v>
      </c>
      <c r="B1292" s="1121" t="s">
        <v>11695</v>
      </c>
      <c r="C1292" s="1122" t="s">
        <v>11696</v>
      </c>
      <c r="D1292" s="1123" t="s">
        <v>6378</v>
      </c>
      <c r="E1292" s="1124">
        <v>825816.3</v>
      </c>
      <c r="F1292" s="1124">
        <v>3137583.8</v>
      </c>
      <c r="G1292" s="1124">
        <v>673091.6</v>
      </c>
      <c r="H1292" s="1124" t="e">
        <v>#REF!</v>
      </c>
      <c r="I1292" s="1124" t="e">
        <v>#REF!</v>
      </c>
      <c r="J1292" s="1124" t="e">
        <v>#REF!</v>
      </c>
      <c r="K1292" s="1124" t="e">
        <v>#REF!</v>
      </c>
    </row>
    <row r="1293" spans="1:11" ht="60">
      <c r="A1293" s="1120">
        <v>1287</v>
      </c>
      <c r="B1293" s="1121" t="s">
        <v>11697</v>
      </c>
      <c r="C1293" s="1122" t="s">
        <v>11698</v>
      </c>
      <c r="D1293" s="1123" t="s">
        <v>6378</v>
      </c>
      <c r="E1293" s="1124">
        <v>870816.3</v>
      </c>
      <c r="F1293" s="1124">
        <v>3820674</v>
      </c>
      <c r="G1293" s="1124">
        <v>673091.6</v>
      </c>
      <c r="H1293" s="1124" t="e">
        <v>#REF!</v>
      </c>
      <c r="I1293" s="1124" t="e">
        <v>#REF!</v>
      </c>
      <c r="J1293" s="1124" t="e">
        <v>#REF!</v>
      </c>
      <c r="K1293" s="1124" t="e">
        <v>#REF!</v>
      </c>
    </row>
    <row r="1294" spans="1:11" ht="60">
      <c r="A1294" s="1120">
        <v>1288</v>
      </c>
      <c r="B1294" s="1121" t="s">
        <v>11699</v>
      </c>
      <c r="C1294" s="1122" t="s">
        <v>11700</v>
      </c>
      <c r="D1294" s="1123" t="s">
        <v>6378</v>
      </c>
      <c r="E1294" s="1124">
        <v>915816.3</v>
      </c>
      <c r="F1294" s="1124">
        <v>4277997.0999999996</v>
      </c>
      <c r="G1294" s="1124">
        <v>673091.6</v>
      </c>
      <c r="H1294" s="1124" t="e">
        <v>#REF!</v>
      </c>
      <c r="I1294" s="1124" t="e">
        <v>#REF!</v>
      </c>
      <c r="J1294" s="1124" t="e">
        <v>#REF!</v>
      </c>
      <c r="K1294" s="1124" t="e">
        <v>#REF!</v>
      </c>
    </row>
    <row r="1295" spans="1:11" ht="45">
      <c r="A1295" s="1120">
        <v>1289</v>
      </c>
      <c r="B1295" s="1121" t="s">
        <v>11701</v>
      </c>
      <c r="C1295" s="1122" t="s">
        <v>11702</v>
      </c>
      <c r="D1295" s="1123" t="s">
        <v>11703</v>
      </c>
      <c r="E1295" s="1124">
        <v>994679</v>
      </c>
      <c r="F1295" s="1124">
        <v>1275268.1000000001</v>
      </c>
      <c r="G1295" s="1124">
        <v>509997</v>
      </c>
      <c r="H1295" s="1124" t="e">
        <v>#REF!</v>
      </c>
      <c r="I1295" s="1124" t="e">
        <v>#REF!</v>
      </c>
      <c r="J1295" s="1124" t="e">
        <v>#REF!</v>
      </c>
      <c r="K1295" s="1124" t="e">
        <v>#REF!</v>
      </c>
    </row>
    <row r="1296" spans="1:11" ht="45">
      <c r="A1296" s="1120">
        <v>1290</v>
      </c>
      <c r="B1296" s="1121" t="s">
        <v>11704</v>
      </c>
      <c r="C1296" s="1122" t="s">
        <v>11705</v>
      </c>
      <c r="D1296" s="1123" t="s">
        <v>11703</v>
      </c>
      <c r="E1296" s="1124">
        <v>1001169.6</v>
      </c>
      <c r="F1296" s="1124">
        <v>1435857.4</v>
      </c>
      <c r="G1296" s="1124">
        <v>509997</v>
      </c>
      <c r="H1296" s="1124" t="e">
        <v>#REF!</v>
      </c>
      <c r="I1296" s="1124" t="e">
        <v>#REF!</v>
      </c>
      <c r="J1296" s="1124" t="e">
        <v>#REF!</v>
      </c>
      <c r="K1296" s="1124" t="e">
        <v>#REF!</v>
      </c>
    </row>
    <row r="1297" spans="1:11" ht="45">
      <c r="A1297" s="1120">
        <v>1291</v>
      </c>
      <c r="B1297" s="1121" t="s">
        <v>11706</v>
      </c>
      <c r="C1297" s="1122" t="s">
        <v>11707</v>
      </c>
      <c r="D1297" s="1123" t="s">
        <v>11703</v>
      </c>
      <c r="E1297" s="1124">
        <v>1010777.1</v>
      </c>
      <c r="F1297" s="1124">
        <v>1753887.2</v>
      </c>
      <c r="G1297" s="1124">
        <v>509997</v>
      </c>
      <c r="H1297" s="1124" t="e">
        <v>#REF!</v>
      </c>
      <c r="I1297" s="1124" t="e">
        <v>#REF!</v>
      </c>
      <c r="J1297" s="1124" t="e">
        <v>#REF!</v>
      </c>
      <c r="K1297" s="1124" t="e">
        <v>#REF!</v>
      </c>
    </row>
    <row r="1298" spans="1:11" ht="45">
      <c r="A1298" s="1120">
        <v>1292</v>
      </c>
      <c r="B1298" s="1121" t="s">
        <v>11708</v>
      </c>
      <c r="C1298" s="1122" t="s">
        <v>11709</v>
      </c>
      <c r="D1298" s="1123" t="s">
        <v>11703</v>
      </c>
      <c r="E1298" s="1124">
        <v>1010777.1</v>
      </c>
      <c r="F1298" s="1124">
        <v>2056172.9</v>
      </c>
      <c r="G1298" s="1124">
        <v>509997</v>
      </c>
      <c r="H1298" s="1124" t="e">
        <v>#REF!</v>
      </c>
      <c r="I1298" s="1124" t="e">
        <v>#REF!</v>
      </c>
      <c r="J1298" s="1124" t="e">
        <v>#REF!</v>
      </c>
      <c r="K1298" s="1124" t="e">
        <v>#REF!</v>
      </c>
    </row>
    <row r="1299" spans="1:11" ht="45">
      <c r="A1299" s="1120">
        <v>1293</v>
      </c>
      <c r="B1299" s="1121" t="s">
        <v>11710</v>
      </c>
      <c r="C1299" s="1122" t="s">
        <v>11711</v>
      </c>
      <c r="D1299" s="1123" t="s">
        <v>11703</v>
      </c>
      <c r="E1299" s="1124">
        <v>1010777.1</v>
      </c>
      <c r="F1299" s="1124">
        <v>2402542</v>
      </c>
      <c r="G1299" s="1124">
        <v>647303.9</v>
      </c>
      <c r="H1299" s="1124" t="e">
        <v>#REF!</v>
      </c>
      <c r="I1299" s="1124" t="e">
        <v>#REF!</v>
      </c>
      <c r="J1299" s="1124" t="e">
        <v>#REF!</v>
      </c>
      <c r="K1299" s="1124" t="e">
        <v>#REF!</v>
      </c>
    </row>
    <row r="1300" spans="1:11" ht="45">
      <c r="A1300" s="1120">
        <v>1294</v>
      </c>
      <c r="B1300" s="1121" t="s">
        <v>11712</v>
      </c>
      <c r="C1300" s="1122" t="s">
        <v>11713</v>
      </c>
      <c r="D1300" s="1123" t="s">
        <v>11703</v>
      </c>
      <c r="E1300" s="1124">
        <v>1010777.1</v>
      </c>
      <c r="F1300" s="1124">
        <v>2865417.1</v>
      </c>
      <c r="G1300" s="1124">
        <v>647303.9</v>
      </c>
      <c r="H1300" s="1124" t="e">
        <v>#REF!</v>
      </c>
      <c r="I1300" s="1124" t="e">
        <v>#REF!</v>
      </c>
      <c r="J1300" s="1124" t="e">
        <v>#REF!</v>
      </c>
      <c r="K1300" s="1124" t="e">
        <v>#REF!</v>
      </c>
    </row>
    <row r="1301" spans="1:11" ht="45">
      <c r="A1301" s="1120">
        <v>1295</v>
      </c>
      <c r="B1301" s="1121" t="s">
        <v>11714</v>
      </c>
      <c r="C1301" s="1122" t="s">
        <v>11715</v>
      </c>
      <c r="D1301" s="1123" t="s">
        <v>11703</v>
      </c>
      <c r="E1301" s="1124">
        <v>1010777.1</v>
      </c>
      <c r="F1301" s="1124">
        <v>3517220.8</v>
      </c>
      <c r="G1301" s="1124">
        <v>764995.5</v>
      </c>
      <c r="H1301" s="1124" t="e">
        <v>#REF!</v>
      </c>
      <c r="I1301" s="1124" t="e">
        <v>#REF!</v>
      </c>
      <c r="J1301" s="1124" t="e">
        <v>#REF!</v>
      </c>
      <c r="K1301" s="1124" t="e">
        <v>#REF!</v>
      </c>
    </row>
    <row r="1302" spans="1:11" ht="45">
      <c r="A1302" s="1120">
        <v>1296</v>
      </c>
      <c r="B1302" s="1121" t="s">
        <v>11716</v>
      </c>
      <c r="C1302" s="1122" t="s">
        <v>11717</v>
      </c>
      <c r="D1302" s="1123" t="s">
        <v>11703</v>
      </c>
      <c r="E1302" s="1124">
        <v>961669.6</v>
      </c>
      <c r="F1302" s="1124">
        <v>1158762.1000000001</v>
      </c>
      <c r="G1302" s="1124">
        <v>509997</v>
      </c>
      <c r="H1302" s="1124" t="e">
        <v>#REF!</v>
      </c>
      <c r="I1302" s="1124" t="e">
        <v>#REF!</v>
      </c>
      <c r="J1302" s="1124" t="e">
        <v>#REF!</v>
      </c>
      <c r="K1302" s="1124" t="e">
        <v>#REF!</v>
      </c>
    </row>
    <row r="1303" spans="1:11" ht="45">
      <c r="A1303" s="1120">
        <v>1297</v>
      </c>
      <c r="B1303" s="1121" t="s">
        <v>11718</v>
      </c>
      <c r="C1303" s="1122" t="s">
        <v>11719</v>
      </c>
      <c r="D1303" s="1123" t="s">
        <v>11703</v>
      </c>
      <c r="E1303" s="1124">
        <v>967974.8</v>
      </c>
      <c r="F1303" s="1124">
        <v>1303607.3</v>
      </c>
      <c r="G1303" s="1124">
        <v>509997</v>
      </c>
      <c r="H1303" s="1124" t="e">
        <v>#REF!</v>
      </c>
      <c r="I1303" s="1124" t="e">
        <v>#REF!</v>
      </c>
      <c r="J1303" s="1124" t="e">
        <v>#REF!</v>
      </c>
      <c r="K1303" s="1124" t="e">
        <v>#REF!</v>
      </c>
    </row>
    <row r="1304" spans="1:11" ht="45">
      <c r="A1304" s="1120">
        <v>1298</v>
      </c>
      <c r="B1304" s="1121" t="s">
        <v>11720</v>
      </c>
      <c r="C1304" s="1122" t="s">
        <v>11721</v>
      </c>
      <c r="D1304" s="1123" t="s">
        <v>11703</v>
      </c>
      <c r="E1304" s="1124">
        <v>977307.8</v>
      </c>
      <c r="F1304" s="1124">
        <v>1593297.9</v>
      </c>
      <c r="G1304" s="1124">
        <v>509997</v>
      </c>
      <c r="H1304" s="1124" t="e">
        <v>#REF!</v>
      </c>
      <c r="I1304" s="1124" t="e">
        <v>#REF!</v>
      </c>
      <c r="J1304" s="1124" t="e">
        <v>#REF!</v>
      </c>
      <c r="K1304" s="1124" t="e">
        <v>#REF!</v>
      </c>
    </row>
    <row r="1305" spans="1:11" ht="45">
      <c r="A1305" s="1120">
        <v>1299</v>
      </c>
      <c r="B1305" s="1121" t="s">
        <v>11722</v>
      </c>
      <c r="C1305" s="1122" t="s">
        <v>11723</v>
      </c>
      <c r="D1305" s="1123" t="s">
        <v>11703</v>
      </c>
      <c r="E1305" s="1124">
        <v>977307.8</v>
      </c>
      <c r="F1305" s="1124">
        <v>1882988.4</v>
      </c>
      <c r="G1305" s="1124">
        <v>509997</v>
      </c>
      <c r="H1305" s="1124" t="e">
        <v>#REF!</v>
      </c>
      <c r="I1305" s="1124" t="e">
        <v>#REF!</v>
      </c>
      <c r="J1305" s="1124" t="e">
        <v>#REF!</v>
      </c>
      <c r="K1305" s="1124" t="e">
        <v>#REF!</v>
      </c>
    </row>
    <row r="1306" spans="1:11" ht="45">
      <c r="A1306" s="1120">
        <v>1300</v>
      </c>
      <c r="B1306" s="1121" t="s">
        <v>11724</v>
      </c>
      <c r="C1306" s="1122" t="s">
        <v>11725</v>
      </c>
      <c r="D1306" s="1123" t="s">
        <v>11703</v>
      </c>
      <c r="E1306" s="1124">
        <v>977307.8</v>
      </c>
      <c r="F1306" s="1124">
        <v>2201018.2000000002</v>
      </c>
      <c r="G1306" s="1124">
        <v>509997</v>
      </c>
      <c r="H1306" s="1124" t="e">
        <v>#REF!</v>
      </c>
      <c r="I1306" s="1124" t="e">
        <v>#REF!</v>
      </c>
      <c r="J1306" s="1124" t="e">
        <v>#REF!</v>
      </c>
      <c r="K1306" s="1124" t="e">
        <v>#REF!</v>
      </c>
    </row>
    <row r="1307" spans="1:11" ht="45">
      <c r="A1307" s="1120">
        <v>1301</v>
      </c>
      <c r="B1307" s="1121" t="s">
        <v>11726</v>
      </c>
      <c r="C1307" s="1122" t="s">
        <v>11727</v>
      </c>
      <c r="D1307" s="1123" t="s">
        <v>11703</v>
      </c>
      <c r="E1307" s="1124">
        <v>977307.8</v>
      </c>
      <c r="F1307" s="1124">
        <v>2607214.7000000002</v>
      </c>
      <c r="G1307" s="1124">
        <v>647303.9</v>
      </c>
      <c r="H1307" s="1124" t="e">
        <v>#REF!</v>
      </c>
      <c r="I1307" s="1124" t="e">
        <v>#REF!</v>
      </c>
      <c r="J1307" s="1124" t="e">
        <v>#REF!</v>
      </c>
      <c r="K1307" s="1124" t="e">
        <v>#REF!</v>
      </c>
    </row>
    <row r="1308" spans="1:11" ht="45">
      <c r="A1308" s="1120">
        <v>1302</v>
      </c>
      <c r="B1308" s="1121" t="s">
        <v>11728</v>
      </c>
      <c r="C1308" s="1122" t="s">
        <v>11729</v>
      </c>
      <c r="D1308" s="1123" t="s">
        <v>11703</v>
      </c>
      <c r="E1308" s="1124">
        <v>977307.8</v>
      </c>
      <c r="F1308" s="1124">
        <v>3038601.7</v>
      </c>
      <c r="G1308" s="1124">
        <v>706149.7</v>
      </c>
      <c r="H1308" s="1124" t="e">
        <v>#REF!</v>
      </c>
      <c r="I1308" s="1124" t="e">
        <v>#REF!</v>
      </c>
      <c r="J1308" s="1124" t="e">
        <v>#REF!</v>
      </c>
      <c r="K1308" s="1124" t="e">
        <v>#REF!</v>
      </c>
    </row>
    <row r="1309" spans="1:11" ht="45">
      <c r="A1309" s="1120">
        <v>1303</v>
      </c>
      <c r="B1309" s="1121" t="s">
        <v>11730</v>
      </c>
      <c r="C1309" s="1122" t="s">
        <v>11731</v>
      </c>
      <c r="D1309" s="1123" t="s">
        <v>11703</v>
      </c>
      <c r="E1309" s="1124">
        <v>961669.6</v>
      </c>
      <c r="F1309" s="1124">
        <v>944643</v>
      </c>
      <c r="G1309" s="1124">
        <v>509997</v>
      </c>
      <c r="H1309" s="1124" t="e">
        <v>#REF!</v>
      </c>
      <c r="I1309" s="1124" t="e">
        <v>#REF!</v>
      </c>
      <c r="J1309" s="1124" t="e">
        <v>#REF!</v>
      </c>
      <c r="K1309" s="1124" t="e">
        <v>#REF!</v>
      </c>
    </row>
    <row r="1310" spans="1:11" ht="45">
      <c r="A1310" s="1120">
        <v>1304</v>
      </c>
      <c r="B1310" s="1121" t="s">
        <v>11732</v>
      </c>
      <c r="C1310" s="1122" t="s">
        <v>11733</v>
      </c>
      <c r="D1310" s="1123" t="s">
        <v>11703</v>
      </c>
      <c r="E1310" s="1124">
        <v>967974.8</v>
      </c>
      <c r="F1310" s="1124">
        <v>1086339.5</v>
      </c>
      <c r="G1310" s="1124">
        <v>509997</v>
      </c>
      <c r="H1310" s="1124" t="e">
        <v>#REF!</v>
      </c>
      <c r="I1310" s="1124" t="e">
        <v>#REF!</v>
      </c>
      <c r="J1310" s="1124" t="e">
        <v>#REF!</v>
      </c>
      <c r="K1310" s="1124" t="e">
        <v>#REF!</v>
      </c>
    </row>
    <row r="1311" spans="1:11" ht="45">
      <c r="A1311" s="1120">
        <v>1305</v>
      </c>
      <c r="B1311" s="1121" t="s">
        <v>11734</v>
      </c>
      <c r="C1311" s="1122" t="s">
        <v>11735</v>
      </c>
      <c r="D1311" s="1123" t="s">
        <v>11703</v>
      </c>
      <c r="E1311" s="1124">
        <v>977307.8</v>
      </c>
      <c r="F1311" s="1124">
        <v>1448452.6</v>
      </c>
      <c r="G1311" s="1124">
        <v>509997</v>
      </c>
      <c r="H1311" s="1124" t="e">
        <v>#REF!</v>
      </c>
      <c r="I1311" s="1124" t="e">
        <v>#REF!</v>
      </c>
      <c r="J1311" s="1124" t="e">
        <v>#REF!</v>
      </c>
      <c r="K1311" s="1124" t="e">
        <v>#REF!</v>
      </c>
    </row>
    <row r="1312" spans="1:11" ht="45">
      <c r="A1312" s="1120">
        <v>1306</v>
      </c>
      <c r="B1312" s="1121" t="s">
        <v>11736</v>
      </c>
      <c r="C1312" s="1122" t="s">
        <v>11737</v>
      </c>
      <c r="D1312" s="1123" t="s">
        <v>11703</v>
      </c>
      <c r="E1312" s="1124">
        <v>977307.8</v>
      </c>
      <c r="F1312" s="1124">
        <v>1539768.1</v>
      </c>
      <c r="G1312" s="1124">
        <v>509997</v>
      </c>
      <c r="H1312" s="1124" t="e">
        <v>#REF!</v>
      </c>
      <c r="I1312" s="1124" t="e">
        <v>#REF!</v>
      </c>
      <c r="J1312" s="1124" t="e">
        <v>#REF!</v>
      </c>
      <c r="K1312" s="1124" t="e">
        <v>#REF!</v>
      </c>
    </row>
    <row r="1313" spans="1:11" ht="45">
      <c r="A1313" s="1120">
        <v>1307</v>
      </c>
      <c r="B1313" s="1121" t="s">
        <v>11738</v>
      </c>
      <c r="C1313" s="1122" t="s">
        <v>11739</v>
      </c>
      <c r="D1313" s="1123" t="s">
        <v>11703</v>
      </c>
      <c r="E1313" s="1124">
        <v>977307.8</v>
      </c>
      <c r="F1313" s="1124">
        <v>1678315.7</v>
      </c>
      <c r="G1313" s="1124">
        <v>509997</v>
      </c>
      <c r="H1313" s="1124" t="e">
        <v>#REF!</v>
      </c>
      <c r="I1313" s="1124" t="e">
        <v>#REF!</v>
      </c>
      <c r="J1313" s="1124" t="e">
        <v>#REF!</v>
      </c>
      <c r="K1313" s="1124" t="e">
        <v>#REF!</v>
      </c>
    </row>
    <row r="1314" spans="1:11" ht="45">
      <c r="A1314" s="1120">
        <v>1308</v>
      </c>
      <c r="B1314" s="1121" t="s">
        <v>11740</v>
      </c>
      <c r="C1314" s="1122" t="s">
        <v>11741</v>
      </c>
      <c r="D1314" s="1123" t="s">
        <v>11703</v>
      </c>
      <c r="E1314" s="1124">
        <v>977307.8</v>
      </c>
      <c r="F1314" s="1124">
        <v>1882988.4</v>
      </c>
      <c r="G1314" s="1124">
        <v>509997</v>
      </c>
      <c r="H1314" s="1124" t="e">
        <v>#REF!</v>
      </c>
      <c r="I1314" s="1124" t="e">
        <v>#REF!</v>
      </c>
      <c r="J1314" s="1124" t="e">
        <v>#REF!</v>
      </c>
      <c r="K1314" s="1124" t="e">
        <v>#REF!</v>
      </c>
    </row>
    <row r="1315" spans="1:11" s="1136" customFormat="1" ht="45">
      <c r="A1315" s="1131">
        <v>1309</v>
      </c>
      <c r="B1315" s="1132" t="s">
        <v>11742</v>
      </c>
      <c r="C1315" s="1133" t="s">
        <v>11743</v>
      </c>
      <c r="D1315" s="1134" t="s">
        <v>11703</v>
      </c>
      <c r="E1315" s="1135">
        <v>1852943.4</v>
      </c>
      <c r="F1315" s="1135">
        <v>49222197.899999999</v>
      </c>
      <c r="G1315" s="1135">
        <v>2463309.2000000002</v>
      </c>
      <c r="H1315" s="1135" t="e">
        <v>#REF!</v>
      </c>
      <c r="I1315" s="1135" t="e">
        <v>#REF!</v>
      </c>
      <c r="J1315" s="1135" t="e">
        <v>#REF!</v>
      </c>
      <c r="K1315" s="1135" t="e">
        <v>#REF!</v>
      </c>
    </row>
    <row r="1316" spans="1:11" s="1136" customFormat="1" ht="45">
      <c r="A1316" s="1131">
        <v>1310</v>
      </c>
      <c r="B1316" s="1132" t="s">
        <v>11744</v>
      </c>
      <c r="C1316" s="1133" t="s">
        <v>11745</v>
      </c>
      <c r="D1316" s="1134" t="s">
        <v>11703</v>
      </c>
      <c r="E1316" s="1135">
        <v>1278371.6000000001</v>
      </c>
      <c r="F1316" s="1135">
        <v>38465863</v>
      </c>
      <c r="G1316" s="1135">
        <v>2463309.2000000002</v>
      </c>
      <c r="H1316" s="1135" t="e">
        <v>#REF!</v>
      </c>
      <c r="I1316" s="1135" t="e">
        <v>#REF!</v>
      </c>
      <c r="J1316" s="1135" t="e">
        <v>#REF!</v>
      </c>
      <c r="K1316" s="1135" t="e">
        <v>#REF!</v>
      </c>
    </row>
    <row r="1317" spans="1:11" s="1136" customFormat="1" ht="60">
      <c r="A1317" s="1131">
        <v>1311</v>
      </c>
      <c r="B1317" s="1132" t="s">
        <v>11746</v>
      </c>
      <c r="C1317" s="1133" t="s">
        <v>11747</v>
      </c>
      <c r="D1317" s="1134" t="s">
        <v>11703</v>
      </c>
      <c r="E1317" s="1135">
        <v>846398.5</v>
      </c>
      <c r="F1317" s="1135">
        <v>33090844.300000001</v>
      </c>
      <c r="G1317" s="1135">
        <v>2463309.2000000002</v>
      </c>
      <c r="H1317" s="1135" t="e">
        <v>#REF!</v>
      </c>
      <c r="I1317" s="1135" t="e">
        <v>#REF!</v>
      </c>
      <c r="J1317" s="1135" t="e">
        <v>#REF!</v>
      </c>
      <c r="K1317" s="1135" t="e">
        <v>#REF!</v>
      </c>
    </row>
    <row r="1318" spans="1:11" s="1136" customFormat="1" ht="60">
      <c r="A1318" s="1131">
        <v>1312</v>
      </c>
      <c r="B1318" s="1132" t="s">
        <v>11748</v>
      </c>
      <c r="C1318" s="1133" t="s">
        <v>11749</v>
      </c>
      <c r="D1318" s="1134" t="s">
        <v>11703</v>
      </c>
      <c r="E1318" s="1135">
        <v>780173.5</v>
      </c>
      <c r="F1318" s="1135">
        <v>27300182.699999999</v>
      </c>
      <c r="G1318" s="1135">
        <v>1819604.1</v>
      </c>
      <c r="H1318" s="1135" t="e">
        <v>#REF!</v>
      </c>
      <c r="I1318" s="1135" t="e">
        <v>#REF!</v>
      </c>
      <c r="J1318" s="1135" t="e">
        <v>#REF!</v>
      </c>
      <c r="K1318" s="1135" t="e">
        <v>#REF!</v>
      </c>
    </row>
    <row r="1319" spans="1:11" s="1136" customFormat="1" ht="45">
      <c r="A1319" s="1131">
        <v>1313</v>
      </c>
      <c r="B1319" s="1132" t="s">
        <v>11750</v>
      </c>
      <c r="C1319" s="1133" t="s">
        <v>11751</v>
      </c>
      <c r="D1319" s="1134" t="s">
        <v>11703</v>
      </c>
      <c r="E1319" s="1135">
        <v>740704.2</v>
      </c>
      <c r="F1319" s="1135">
        <v>26059551.600000001</v>
      </c>
      <c r="G1319" s="1135">
        <v>1819604.1</v>
      </c>
      <c r="H1319" s="1135" t="e">
        <v>#REF!</v>
      </c>
      <c r="I1319" s="1135" t="e">
        <v>#REF!</v>
      </c>
      <c r="J1319" s="1135" t="e">
        <v>#REF!</v>
      </c>
      <c r="K1319" s="1135" t="e">
        <v>#REF!</v>
      </c>
    </row>
    <row r="1320" spans="1:11" s="1136" customFormat="1" ht="45">
      <c r="A1320" s="1131">
        <v>1314</v>
      </c>
      <c r="B1320" s="1132" t="s">
        <v>11752</v>
      </c>
      <c r="C1320" s="1133" t="s">
        <v>11753</v>
      </c>
      <c r="D1320" s="1134" t="s">
        <v>11703</v>
      </c>
      <c r="E1320" s="1135">
        <v>3180090.9</v>
      </c>
      <c r="F1320" s="1135">
        <v>193576243.59999999</v>
      </c>
      <c r="G1320" s="1135">
        <v>6113879.7000000002</v>
      </c>
      <c r="H1320" s="1135" t="e">
        <v>#REF!</v>
      </c>
      <c r="I1320" s="1135" t="e">
        <v>#REF!</v>
      </c>
      <c r="J1320" s="1135" t="e">
        <v>#REF!</v>
      </c>
      <c r="K1320" s="1135" t="e">
        <v>#REF!</v>
      </c>
    </row>
    <row r="1321" spans="1:11" s="1136" customFormat="1" ht="45">
      <c r="A1321" s="1131">
        <v>1315</v>
      </c>
      <c r="B1321" s="1132" t="s">
        <v>11754</v>
      </c>
      <c r="C1321" s="1133" t="s">
        <v>11755</v>
      </c>
      <c r="D1321" s="1134" t="s">
        <v>11703</v>
      </c>
      <c r="E1321" s="1135">
        <v>2892655.6</v>
      </c>
      <c r="F1321" s="1135">
        <v>158007285.80000001</v>
      </c>
      <c r="G1321" s="1135">
        <v>4017589</v>
      </c>
      <c r="H1321" s="1135" t="e">
        <v>#REF!</v>
      </c>
      <c r="I1321" s="1135" t="e">
        <v>#REF!</v>
      </c>
      <c r="J1321" s="1135" t="e">
        <v>#REF!</v>
      </c>
      <c r="K1321" s="1135" t="e">
        <v>#REF!</v>
      </c>
    </row>
    <row r="1322" spans="1:11" s="1136" customFormat="1" ht="45">
      <c r="A1322" s="1131">
        <v>1316</v>
      </c>
      <c r="B1322" s="1132" t="s">
        <v>11756</v>
      </c>
      <c r="C1322" s="1133" t="s">
        <v>11757</v>
      </c>
      <c r="D1322" s="1134" t="s">
        <v>11703</v>
      </c>
      <c r="E1322" s="1135">
        <v>1590027.8</v>
      </c>
      <c r="F1322" s="1135">
        <v>82725536.299999997</v>
      </c>
      <c r="G1322" s="1135">
        <v>2463309.2000000002</v>
      </c>
      <c r="H1322" s="1135" t="e">
        <v>#REF!</v>
      </c>
      <c r="I1322" s="1135" t="e">
        <v>#REF!</v>
      </c>
      <c r="J1322" s="1135" t="e">
        <v>#REF!</v>
      </c>
      <c r="K1322" s="1135" t="e">
        <v>#REF!</v>
      </c>
    </row>
    <row r="1323" spans="1:11" s="1136" customFormat="1" ht="45">
      <c r="A1323" s="1131">
        <v>1317</v>
      </c>
      <c r="B1323" s="1132" t="s">
        <v>11758</v>
      </c>
      <c r="C1323" s="1133" t="s">
        <v>11759</v>
      </c>
      <c r="D1323" s="1134" t="s">
        <v>11760</v>
      </c>
      <c r="E1323" s="1135">
        <v>5000380.4000000004</v>
      </c>
      <c r="F1323" s="1135">
        <v>290443085.60000002</v>
      </c>
      <c r="G1323" s="1135">
        <v>11798929.1</v>
      </c>
      <c r="H1323" s="1135" t="e">
        <v>#REF!</v>
      </c>
      <c r="I1323" s="1135" t="e">
        <v>#REF!</v>
      </c>
      <c r="J1323" s="1135" t="e">
        <v>#REF!</v>
      </c>
      <c r="K1323" s="1135" t="e">
        <v>#REF!</v>
      </c>
    </row>
    <row r="1324" spans="1:11" s="1136" customFormat="1" ht="45">
      <c r="A1324" s="1131">
        <v>1318</v>
      </c>
      <c r="B1324" s="1132" t="s">
        <v>11761</v>
      </c>
      <c r="C1324" s="1133" t="s">
        <v>11762</v>
      </c>
      <c r="D1324" s="1134" t="s">
        <v>11760</v>
      </c>
      <c r="E1324" s="1135">
        <v>4240706.5</v>
      </c>
      <c r="F1324" s="1135">
        <v>252314145.30000001</v>
      </c>
      <c r="G1324" s="1135">
        <v>10210519.9</v>
      </c>
      <c r="H1324" s="1135" t="e">
        <v>#REF!</v>
      </c>
      <c r="I1324" s="1135" t="e">
        <v>#REF!</v>
      </c>
      <c r="J1324" s="1135" t="e">
        <v>#REF!</v>
      </c>
      <c r="K1324" s="1135" t="e">
        <v>#REF!</v>
      </c>
    </row>
    <row r="1325" spans="1:11" s="1136" customFormat="1" ht="45">
      <c r="A1325" s="1131">
        <v>1319</v>
      </c>
      <c r="B1325" s="1132" t="s">
        <v>11763</v>
      </c>
      <c r="C1325" s="1133" t="s">
        <v>11764</v>
      </c>
      <c r="D1325" s="1134" t="s">
        <v>11760</v>
      </c>
      <c r="E1325" s="1135">
        <v>4020206.5</v>
      </c>
      <c r="F1325" s="1135">
        <v>223357688.5</v>
      </c>
      <c r="G1325" s="1135">
        <v>8491038.0999999996</v>
      </c>
      <c r="H1325" s="1135" t="e">
        <v>#REF!</v>
      </c>
      <c r="I1325" s="1135" t="e">
        <v>#REF!</v>
      </c>
      <c r="J1325" s="1135" t="e">
        <v>#REF!</v>
      </c>
      <c r="K1325" s="1135" t="e">
        <v>#REF!</v>
      </c>
    </row>
    <row r="1326" spans="1:11" s="1136" customFormat="1" ht="45">
      <c r="A1326" s="1131">
        <v>1320</v>
      </c>
      <c r="B1326" s="1132" t="s">
        <v>11765</v>
      </c>
      <c r="C1326" s="1133" t="s">
        <v>11766</v>
      </c>
      <c r="D1326" s="1134" t="s">
        <v>11760</v>
      </c>
      <c r="E1326" s="1135">
        <v>3358205.1</v>
      </c>
      <c r="F1326" s="1135">
        <v>160901042.19999999</v>
      </c>
      <c r="G1326" s="1135">
        <v>7066814.4000000004</v>
      </c>
      <c r="H1326" s="1135" t="e">
        <v>#REF!</v>
      </c>
      <c r="I1326" s="1135" t="e">
        <v>#REF!</v>
      </c>
      <c r="J1326" s="1135" t="e">
        <v>#REF!</v>
      </c>
      <c r="K1326" s="1135" t="e">
        <v>#REF!</v>
      </c>
    </row>
    <row r="1327" spans="1:11" s="1136" customFormat="1" ht="45">
      <c r="A1327" s="1131">
        <v>1321</v>
      </c>
      <c r="B1327" s="1132" t="s">
        <v>11767</v>
      </c>
      <c r="C1327" s="1133" t="s">
        <v>11768</v>
      </c>
      <c r="D1327" s="1134" t="s">
        <v>11703</v>
      </c>
      <c r="E1327" s="1135">
        <v>300137.09999999998</v>
      </c>
      <c r="F1327" s="1135">
        <v>6410977.2000000002</v>
      </c>
      <c r="G1327" s="1135">
        <v>1021049.6</v>
      </c>
      <c r="H1327" s="1135" t="e">
        <v>#REF!</v>
      </c>
      <c r="I1327" s="1135" t="e">
        <v>#REF!</v>
      </c>
      <c r="J1327" s="1135" t="e">
        <v>#REF!</v>
      </c>
      <c r="K1327" s="1135" t="e">
        <v>#REF!</v>
      </c>
    </row>
    <row r="1328" spans="1:11" s="1136" customFormat="1" ht="45">
      <c r="A1328" s="1131">
        <v>1322</v>
      </c>
      <c r="B1328" s="1132" t="s">
        <v>11769</v>
      </c>
      <c r="C1328" s="1133" t="s">
        <v>11770</v>
      </c>
      <c r="D1328" s="1134" t="s">
        <v>11703</v>
      </c>
      <c r="E1328" s="1135">
        <v>306962.09999999998</v>
      </c>
      <c r="F1328" s="1135">
        <v>7569739.2000000002</v>
      </c>
      <c r="G1328" s="1135">
        <v>1154230</v>
      </c>
      <c r="H1328" s="1135" t="e">
        <v>#REF!</v>
      </c>
      <c r="I1328" s="1135" t="e">
        <v>#REF!</v>
      </c>
      <c r="J1328" s="1135" t="e">
        <v>#REF!</v>
      </c>
      <c r="K1328" s="1135" t="e">
        <v>#REF!</v>
      </c>
    </row>
    <row r="1329" spans="1:11" s="1136" customFormat="1" ht="45">
      <c r="A1329" s="1131">
        <v>1323</v>
      </c>
      <c r="B1329" s="1132" t="s">
        <v>11771</v>
      </c>
      <c r="C1329" s="1133" t="s">
        <v>11772</v>
      </c>
      <c r="D1329" s="1134" t="s">
        <v>11703</v>
      </c>
      <c r="E1329" s="1135">
        <v>566017.1</v>
      </c>
      <c r="F1329" s="1135">
        <v>9100060.9000000004</v>
      </c>
      <c r="G1329" s="1135">
        <v>1442787.5</v>
      </c>
      <c r="H1329" s="1135" t="e">
        <v>#REF!</v>
      </c>
      <c r="I1329" s="1135" t="e">
        <v>#REF!</v>
      </c>
      <c r="J1329" s="1135" t="e">
        <v>#REF!</v>
      </c>
      <c r="K1329" s="1135" t="e">
        <v>#REF!</v>
      </c>
    </row>
    <row r="1330" spans="1:11" s="1136" customFormat="1" ht="45">
      <c r="A1330" s="1131">
        <v>1324</v>
      </c>
      <c r="B1330" s="1132" t="s">
        <v>11773</v>
      </c>
      <c r="C1330" s="1133" t="s">
        <v>11774</v>
      </c>
      <c r="D1330" s="1134" t="s">
        <v>11703</v>
      </c>
      <c r="E1330" s="1135">
        <v>579821.6</v>
      </c>
      <c r="F1330" s="1135">
        <v>11168829.1</v>
      </c>
      <c r="G1330" s="1135">
        <v>1442787.5</v>
      </c>
      <c r="H1330" s="1135" t="e">
        <v>#REF!</v>
      </c>
      <c r="I1330" s="1135" t="e">
        <v>#REF!</v>
      </c>
      <c r="J1330" s="1135" t="e">
        <v>#REF!</v>
      </c>
      <c r="K1330" s="1135" t="e">
        <v>#REF!</v>
      </c>
    </row>
    <row r="1331" spans="1:11" s="1136" customFormat="1" ht="45">
      <c r="A1331" s="1131">
        <v>1325</v>
      </c>
      <c r="B1331" s="1132" t="s">
        <v>11775</v>
      </c>
      <c r="C1331" s="1133" t="s">
        <v>11776</v>
      </c>
      <c r="D1331" s="1134" t="s">
        <v>11703</v>
      </c>
      <c r="E1331" s="1135">
        <v>579821.6</v>
      </c>
      <c r="F1331" s="1135">
        <v>12242573.300000001</v>
      </c>
      <c r="G1331" s="1135">
        <v>1442787.5</v>
      </c>
      <c r="H1331" s="1135" t="e">
        <v>#REF!</v>
      </c>
      <c r="I1331" s="1135" t="e">
        <v>#REF!</v>
      </c>
      <c r="J1331" s="1135" t="e">
        <v>#REF!</v>
      </c>
      <c r="K1331" s="1135" t="e">
        <v>#REF!</v>
      </c>
    </row>
    <row r="1332" spans="1:11" ht="30">
      <c r="A1332" s="1120">
        <v>1326</v>
      </c>
      <c r="B1332" s="1121" t="s">
        <v>11777</v>
      </c>
      <c r="C1332" s="1122" t="s">
        <v>11778</v>
      </c>
      <c r="D1332" s="1123" t="s">
        <v>11779</v>
      </c>
      <c r="E1332" s="1124">
        <v>44471</v>
      </c>
      <c r="F1332" s="1124">
        <v>2370554.6</v>
      </c>
      <c r="G1332" s="1124">
        <v>443934.6</v>
      </c>
      <c r="H1332" s="1124" t="e">
        <v>#REF!</v>
      </c>
      <c r="I1332" s="1124" t="e">
        <v>#REF!</v>
      </c>
      <c r="J1332" s="1124" t="e">
        <v>#REF!</v>
      </c>
      <c r="K1332" s="1124" t="e">
        <v>#REF!</v>
      </c>
    </row>
    <row r="1333" spans="1:11" ht="30">
      <c r="A1333" s="1120">
        <v>1327</v>
      </c>
      <c r="B1333" s="1121" t="s">
        <v>11780</v>
      </c>
      <c r="C1333" s="1122" t="s">
        <v>11781</v>
      </c>
      <c r="D1333" s="1123" t="s">
        <v>11779</v>
      </c>
      <c r="E1333" s="1124">
        <v>69749</v>
      </c>
      <c r="F1333" s="1124">
        <v>2807616.5</v>
      </c>
      <c r="G1333" s="1124">
        <v>443934.6</v>
      </c>
      <c r="H1333" s="1124" t="e">
        <v>#REF!</v>
      </c>
      <c r="I1333" s="1124" t="e">
        <v>#REF!</v>
      </c>
      <c r="J1333" s="1124" t="e">
        <v>#REF!</v>
      </c>
      <c r="K1333" s="1124" t="e">
        <v>#REF!</v>
      </c>
    </row>
    <row r="1334" spans="1:11" ht="30">
      <c r="A1334" s="1120">
        <v>1328</v>
      </c>
      <c r="B1334" s="1121" t="s">
        <v>11782</v>
      </c>
      <c r="C1334" s="1122" t="s">
        <v>11783</v>
      </c>
      <c r="D1334" s="1123" t="s">
        <v>11779</v>
      </c>
      <c r="E1334" s="1124">
        <v>76679</v>
      </c>
      <c r="F1334" s="1124">
        <v>3120217.1</v>
      </c>
      <c r="G1334" s="1124">
        <v>443934.6</v>
      </c>
      <c r="H1334" s="1124" t="e">
        <v>#REF!</v>
      </c>
      <c r="I1334" s="1124" t="e">
        <v>#REF!</v>
      </c>
      <c r="J1334" s="1124" t="e">
        <v>#REF!</v>
      </c>
      <c r="K1334" s="1124" t="e">
        <v>#REF!</v>
      </c>
    </row>
    <row r="1335" spans="1:11" ht="30">
      <c r="A1335" s="1120">
        <v>1329</v>
      </c>
      <c r="B1335" s="1121" t="s">
        <v>11784</v>
      </c>
      <c r="C1335" s="1122" t="s">
        <v>11785</v>
      </c>
      <c r="D1335" s="1123" t="s">
        <v>11779</v>
      </c>
      <c r="E1335" s="1124">
        <v>111989</v>
      </c>
      <c r="F1335" s="1124">
        <v>4020391.1</v>
      </c>
      <c r="G1335" s="1124">
        <v>443934.6</v>
      </c>
      <c r="H1335" s="1124" t="e">
        <v>#REF!</v>
      </c>
      <c r="I1335" s="1124" t="e">
        <v>#REF!</v>
      </c>
      <c r="J1335" s="1124" t="e">
        <v>#REF!</v>
      </c>
      <c r="K1335" s="1124" t="e">
        <v>#REF!</v>
      </c>
    </row>
    <row r="1336" spans="1:11" ht="30">
      <c r="A1336" s="1120">
        <v>1330</v>
      </c>
      <c r="B1336" s="1121" t="s">
        <v>11786</v>
      </c>
      <c r="C1336" s="1122" t="s">
        <v>11787</v>
      </c>
      <c r="D1336" s="1123" t="s">
        <v>11788</v>
      </c>
      <c r="E1336" s="1124">
        <v>2674690.4</v>
      </c>
      <c r="F1336" s="1124">
        <v>165035750.09999999</v>
      </c>
      <c r="G1336" s="1124">
        <v>6907677.4000000004</v>
      </c>
      <c r="H1336" s="1124" t="e">
        <v>#REF!</v>
      </c>
      <c r="I1336" s="1124" t="e">
        <v>#REF!</v>
      </c>
      <c r="J1336" s="1124" t="e">
        <v>#REF!</v>
      </c>
      <c r="K1336" s="1124" t="e">
        <v>#REF!</v>
      </c>
    </row>
    <row r="1337" spans="1:11" ht="30">
      <c r="A1337" s="1120">
        <v>1331</v>
      </c>
      <c r="B1337" s="1121" t="s">
        <v>11789</v>
      </c>
      <c r="C1337" s="1122" t="s">
        <v>11790</v>
      </c>
      <c r="D1337" s="1123" t="s">
        <v>11788</v>
      </c>
      <c r="E1337" s="1124">
        <v>2056733.4</v>
      </c>
      <c r="F1337" s="1124">
        <v>101942529</v>
      </c>
      <c r="G1337" s="1124">
        <v>3719518.6</v>
      </c>
      <c r="H1337" s="1124" t="e">
        <v>#REF!</v>
      </c>
      <c r="I1337" s="1124" t="e">
        <v>#REF!</v>
      </c>
      <c r="J1337" s="1124" t="e">
        <v>#REF!</v>
      </c>
      <c r="K1337" s="1124" t="e">
        <v>#REF!</v>
      </c>
    </row>
    <row r="1338" spans="1:11" ht="30">
      <c r="A1338" s="1120">
        <v>1332</v>
      </c>
      <c r="B1338" s="1121" t="s">
        <v>11791</v>
      </c>
      <c r="C1338" s="1122" t="s">
        <v>11792</v>
      </c>
      <c r="D1338" s="1123" t="s">
        <v>11788</v>
      </c>
      <c r="E1338" s="1124">
        <v>2000723.3</v>
      </c>
      <c r="F1338" s="1124">
        <v>38496185</v>
      </c>
      <c r="G1338" s="1124">
        <v>956447.6</v>
      </c>
      <c r="H1338" s="1124" t="e">
        <v>#REF!</v>
      </c>
      <c r="I1338" s="1124" t="e">
        <v>#REF!</v>
      </c>
      <c r="J1338" s="1124" t="e">
        <v>#REF!</v>
      </c>
      <c r="K1338" s="1124" t="e">
        <v>#REF!</v>
      </c>
    </row>
    <row r="1339" spans="1:11" ht="30">
      <c r="A1339" s="1120">
        <v>1333</v>
      </c>
      <c r="B1339" s="1121" t="s">
        <v>11793</v>
      </c>
      <c r="C1339" s="1122" t="s">
        <v>11794</v>
      </c>
      <c r="D1339" s="1123" t="s">
        <v>11788</v>
      </c>
      <c r="E1339" s="1124">
        <v>1800504.1</v>
      </c>
      <c r="F1339" s="1124">
        <v>28872138.800000001</v>
      </c>
      <c r="G1339" s="1124">
        <v>398519.9</v>
      </c>
      <c r="H1339" s="1124" t="e">
        <v>#REF!</v>
      </c>
      <c r="I1339" s="1124" t="e">
        <v>#REF!</v>
      </c>
      <c r="J1339" s="1124" t="e">
        <v>#REF!</v>
      </c>
      <c r="K1339" s="1124" t="e">
        <v>#REF!</v>
      </c>
    </row>
    <row r="1340" spans="1:11" ht="30">
      <c r="A1340" s="1120">
        <v>1334</v>
      </c>
      <c r="B1340" s="1121" t="s">
        <v>11795</v>
      </c>
      <c r="C1340" s="1122" t="s">
        <v>11796</v>
      </c>
      <c r="D1340" s="1123" t="s">
        <v>11788</v>
      </c>
      <c r="E1340" s="1124">
        <v>1262755.7</v>
      </c>
      <c r="F1340" s="1124">
        <v>3369139.8</v>
      </c>
      <c r="G1340" s="1124">
        <v>318815.90000000002</v>
      </c>
      <c r="H1340" s="1124" t="e">
        <v>#REF!</v>
      </c>
      <c r="I1340" s="1124" t="e">
        <v>#REF!</v>
      </c>
      <c r="J1340" s="1124" t="e">
        <v>#REF!</v>
      </c>
      <c r="K1340" s="1124" t="e">
        <v>#REF!</v>
      </c>
    </row>
    <row r="1341" spans="1:11" ht="30">
      <c r="A1341" s="1120">
        <v>1335</v>
      </c>
      <c r="B1341" s="1121" t="s">
        <v>11797</v>
      </c>
      <c r="C1341" s="1122" t="s">
        <v>11798</v>
      </c>
      <c r="D1341" s="1123" t="s">
        <v>11788</v>
      </c>
      <c r="E1341" s="1124">
        <v>1262755.7</v>
      </c>
      <c r="F1341" s="1124">
        <v>3369139.8</v>
      </c>
      <c r="G1341" s="1124">
        <v>318815.90000000002</v>
      </c>
      <c r="H1341" s="1124" t="e">
        <v>#REF!</v>
      </c>
      <c r="I1341" s="1124" t="e">
        <v>#REF!</v>
      </c>
      <c r="J1341" s="1124" t="e">
        <v>#REF!</v>
      </c>
      <c r="K1341" s="1124" t="e">
        <v>#REF!</v>
      </c>
    </row>
    <row r="1342" spans="1:11" ht="30">
      <c r="A1342" s="1120">
        <v>1336</v>
      </c>
      <c r="B1342" s="1121" t="s">
        <v>11799</v>
      </c>
      <c r="C1342" s="1122" t="s">
        <v>11800</v>
      </c>
      <c r="D1342" s="1123" t="s">
        <v>11801</v>
      </c>
      <c r="E1342" s="1124">
        <v>36400</v>
      </c>
      <c r="F1342" s="1124">
        <v>1496430.7</v>
      </c>
      <c r="G1342" s="1124">
        <v>294229.09999999998</v>
      </c>
      <c r="H1342" s="1124" t="e">
        <v>#REF!</v>
      </c>
      <c r="I1342" s="1124" t="e">
        <v>#REF!</v>
      </c>
      <c r="J1342" s="1124" t="e">
        <v>#REF!</v>
      </c>
      <c r="K1342" s="1124" t="e">
        <v>#REF!</v>
      </c>
    </row>
    <row r="1343" spans="1:11" ht="30">
      <c r="A1343" s="1120">
        <v>1337</v>
      </c>
      <c r="B1343" s="1121" t="s">
        <v>11802</v>
      </c>
      <c r="C1343" s="1122" t="s">
        <v>11803</v>
      </c>
      <c r="D1343" s="1123" t="s">
        <v>11801</v>
      </c>
      <c r="E1343" s="1124">
        <v>40000</v>
      </c>
      <c r="F1343" s="1124">
        <v>1765614.5</v>
      </c>
      <c r="G1343" s="1124">
        <v>294229.09999999998</v>
      </c>
      <c r="H1343" s="1124" t="e">
        <v>#REF!</v>
      </c>
      <c r="I1343" s="1124" t="e">
        <v>#REF!</v>
      </c>
      <c r="J1343" s="1124" t="e">
        <v>#REF!</v>
      </c>
      <c r="K1343" s="1124" t="e">
        <v>#REF!</v>
      </c>
    </row>
    <row r="1344" spans="1:11" ht="30">
      <c r="A1344" s="1120">
        <v>1338</v>
      </c>
      <c r="B1344" s="1121" t="s">
        <v>11804</v>
      </c>
      <c r="C1344" s="1122" t="s">
        <v>11805</v>
      </c>
      <c r="D1344" s="1123" t="s">
        <v>11801</v>
      </c>
      <c r="E1344" s="1124">
        <v>43600</v>
      </c>
      <c r="F1344" s="1124">
        <v>2275037.7000000002</v>
      </c>
      <c r="G1344" s="1124">
        <v>443934.6</v>
      </c>
      <c r="H1344" s="1124" t="e">
        <v>#REF!</v>
      </c>
      <c r="I1344" s="1124" t="e">
        <v>#REF!</v>
      </c>
      <c r="J1344" s="1124" t="e">
        <v>#REF!</v>
      </c>
      <c r="K1344" s="1124" t="e">
        <v>#REF!</v>
      </c>
    </row>
    <row r="1345" spans="1:11" ht="30">
      <c r="A1345" s="1120">
        <v>1339</v>
      </c>
      <c r="B1345" s="1121" t="s">
        <v>11806</v>
      </c>
      <c r="C1345" s="1122" t="s">
        <v>11807</v>
      </c>
      <c r="D1345" s="1123" t="s">
        <v>11801</v>
      </c>
      <c r="E1345" s="1124">
        <v>47200</v>
      </c>
      <c r="F1345" s="1124">
        <v>2833666.6</v>
      </c>
      <c r="G1345" s="1124">
        <v>443934.6</v>
      </c>
      <c r="H1345" s="1124" t="e">
        <v>#REF!</v>
      </c>
      <c r="I1345" s="1124" t="e">
        <v>#REF!</v>
      </c>
      <c r="J1345" s="1124" t="e">
        <v>#REF!</v>
      </c>
      <c r="K1345" s="1124" t="e">
        <v>#REF!</v>
      </c>
    </row>
    <row r="1346" spans="1:11" ht="30">
      <c r="A1346" s="1120">
        <v>1340</v>
      </c>
      <c r="B1346" s="1121" t="s">
        <v>11808</v>
      </c>
      <c r="C1346" s="1122" t="s">
        <v>11809</v>
      </c>
      <c r="D1346" s="1123" t="s">
        <v>11801</v>
      </c>
      <c r="E1346" s="1124">
        <v>40000</v>
      </c>
      <c r="F1346" s="1124">
        <v>1646942.1</v>
      </c>
      <c r="G1346" s="1124">
        <v>294229.09999999998</v>
      </c>
      <c r="H1346" s="1124" t="e">
        <v>#REF!</v>
      </c>
      <c r="I1346" s="1124" t="e">
        <v>#REF!</v>
      </c>
      <c r="J1346" s="1124" t="e">
        <v>#REF!</v>
      </c>
      <c r="K1346" s="1124" t="e">
        <v>#REF!</v>
      </c>
    </row>
    <row r="1347" spans="1:11" ht="30">
      <c r="A1347" s="1120">
        <v>1341</v>
      </c>
      <c r="B1347" s="1121" t="s">
        <v>11810</v>
      </c>
      <c r="C1347" s="1122" t="s">
        <v>11811</v>
      </c>
      <c r="D1347" s="1123" t="s">
        <v>11801</v>
      </c>
      <c r="E1347" s="1124">
        <v>43600</v>
      </c>
      <c r="F1347" s="1124">
        <v>2605005</v>
      </c>
      <c r="G1347" s="1124">
        <v>294229.09999999998</v>
      </c>
      <c r="H1347" s="1124" t="e">
        <v>#REF!</v>
      </c>
      <c r="I1347" s="1124" t="e">
        <v>#REF!</v>
      </c>
      <c r="J1347" s="1124" t="e">
        <v>#REF!</v>
      </c>
      <c r="K1347" s="1124" t="e">
        <v>#REF!</v>
      </c>
    </row>
    <row r="1348" spans="1:11" ht="30">
      <c r="A1348" s="1120">
        <v>1342</v>
      </c>
      <c r="B1348" s="1121" t="s">
        <v>11812</v>
      </c>
      <c r="C1348" s="1122" t="s">
        <v>11813</v>
      </c>
      <c r="D1348" s="1123" t="s">
        <v>11801</v>
      </c>
      <c r="E1348" s="1124">
        <v>47200</v>
      </c>
      <c r="F1348" s="1124">
        <v>2674471.7999999998</v>
      </c>
      <c r="G1348" s="1124">
        <v>443934.6</v>
      </c>
      <c r="H1348" s="1124" t="e">
        <v>#REF!</v>
      </c>
      <c r="I1348" s="1124" t="e">
        <v>#REF!</v>
      </c>
      <c r="J1348" s="1124" t="e">
        <v>#REF!</v>
      </c>
      <c r="K1348" s="1124" t="e">
        <v>#REF!</v>
      </c>
    </row>
    <row r="1349" spans="1:11" ht="30">
      <c r="A1349" s="1120">
        <v>1343</v>
      </c>
      <c r="B1349" s="1121" t="s">
        <v>11814</v>
      </c>
      <c r="C1349" s="1122" t="s">
        <v>11815</v>
      </c>
      <c r="D1349" s="1123" t="s">
        <v>11801</v>
      </c>
      <c r="E1349" s="1124">
        <v>51100</v>
      </c>
      <c r="F1349" s="1124">
        <v>3175211.7</v>
      </c>
      <c r="G1349" s="1124">
        <v>443934.6</v>
      </c>
      <c r="H1349" s="1124" t="e">
        <v>#REF!</v>
      </c>
      <c r="I1349" s="1124" t="e">
        <v>#REF!</v>
      </c>
      <c r="J1349" s="1124" t="e">
        <v>#REF!</v>
      </c>
      <c r="K1349" s="1124" t="e">
        <v>#REF!</v>
      </c>
    </row>
    <row r="1350" spans="1:11" ht="45">
      <c r="A1350" s="1120">
        <v>1344</v>
      </c>
      <c r="B1350" s="1121" t="s">
        <v>11816</v>
      </c>
      <c r="C1350" s="1122" t="s">
        <v>11817</v>
      </c>
      <c r="D1350" s="1123" t="s">
        <v>6378</v>
      </c>
      <c r="E1350" s="1124">
        <v>699766.4</v>
      </c>
      <c r="F1350" s="1124">
        <v>4937334.0999999996</v>
      </c>
      <c r="G1350" s="1124">
        <v>2835703.8</v>
      </c>
      <c r="H1350" s="1124" t="e">
        <v>#REF!</v>
      </c>
      <c r="I1350" s="1124" t="e">
        <v>#REF!</v>
      </c>
      <c r="J1350" s="1124" t="e">
        <v>#REF!</v>
      </c>
      <c r="K1350" s="1124" t="e">
        <v>#REF!</v>
      </c>
    </row>
    <row r="1351" spans="1:11" ht="45">
      <c r="A1351" s="1120">
        <v>1345</v>
      </c>
      <c r="B1351" s="1121" t="s">
        <v>11818</v>
      </c>
      <c r="C1351" s="1122" t="s">
        <v>11819</v>
      </c>
      <c r="D1351" s="1123" t="s">
        <v>6378</v>
      </c>
      <c r="E1351" s="1124">
        <v>852682.1</v>
      </c>
      <c r="F1351" s="1124">
        <v>5727685.4000000004</v>
      </c>
      <c r="G1351" s="1124">
        <v>2835703.8</v>
      </c>
      <c r="H1351" s="1124" t="e">
        <v>#REF!</v>
      </c>
      <c r="I1351" s="1124" t="e">
        <v>#REF!</v>
      </c>
      <c r="J1351" s="1124" t="e">
        <v>#REF!</v>
      </c>
      <c r="K1351" s="1124" t="e">
        <v>#REF!</v>
      </c>
    </row>
    <row r="1352" spans="1:11" ht="45">
      <c r="A1352" s="1120">
        <v>1346</v>
      </c>
      <c r="B1352" s="1121" t="s">
        <v>11820</v>
      </c>
      <c r="C1352" s="1122" t="s">
        <v>11821</v>
      </c>
      <c r="D1352" s="1123" t="s">
        <v>6378</v>
      </c>
      <c r="E1352" s="1124">
        <v>993852.1</v>
      </c>
      <c r="F1352" s="1124">
        <v>6373191.4000000004</v>
      </c>
      <c r="G1352" s="1124">
        <v>2835703.8</v>
      </c>
      <c r="H1352" s="1124" t="e">
        <v>#REF!</v>
      </c>
      <c r="I1352" s="1124" t="e">
        <v>#REF!</v>
      </c>
      <c r="J1352" s="1124" t="e">
        <v>#REF!</v>
      </c>
      <c r="K1352" s="1124" t="e">
        <v>#REF!</v>
      </c>
    </row>
    <row r="1353" spans="1:11" ht="45">
      <c r="A1353" s="1120">
        <v>1347</v>
      </c>
      <c r="B1353" s="1121" t="s">
        <v>11822</v>
      </c>
      <c r="C1353" s="1122" t="s">
        <v>11823</v>
      </c>
      <c r="D1353" s="1123" t="s">
        <v>6378</v>
      </c>
      <c r="E1353" s="1124">
        <v>1172581.8</v>
      </c>
      <c r="F1353" s="1124">
        <v>7147798.7000000002</v>
      </c>
      <c r="G1353" s="1124">
        <v>2835703.8</v>
      </c>
      <c r="H1353" s="1124" t="e">
        <v>#REF!</v>
      </c>
      <c r="I1353" s="1124" t="e">
        <v>#REF!</v>
      </c>
      <c r="J1353" s="1124" t="e">
        <v>#REF!</v>
      </c>
      <c r="K1353" s="1124" t="e">
        <v>#REF!</v>
      </c>
    </row>
    <row r="1354" spans="1:11" ht="45">
      <c r="A1354" s="1120">
        <v>1348</v>
      </c>
      <c r="B1354" s="1121" t="s">
        <v>11824</v>
      </c>
      <c r="C1354" s="1122" t="s">
        <v>11825</v>
      </c>
      <c r="D1354" s="1123" t="s">
        <v>6378</v>
      </c>
      <c r="E1354" s="1124">
        <v>1310427.8999999999</v>
      </c>
      <c r="F1354" s="1124">
        <v>7805900</v>
      </c>
      <c r="G1354" s="1124">
        <v>2835703.8</v>
      </c>
      <c r="H1354" s="1124" t="e">
        <v>#REF!</v>
      </c>
      <c r="I1354" s="1124" t="e">
        <v>#REF!</v>
      </c>
      <c r="J1354" s="1124" t="e">
        <v>#REF!</v>
      </c>
      <c r="K1354" s="1124" t="e">
        <v>#REF!</v>
      </c>
    </row>
    <row r="1355" spans="1:11" ht="45">
      <c r="A1355" s="1120">
        <v>1349</v>
      </c>
      <c r="B1355" s="1121" t="s">
        <v>11826</v>
      </c>
      <c r="C1355" s="1122" t="s">
        <v>11827</v>
      </c>
      <c r="D1355" s="1123" t="s">
        <v>6378</v>
      </c>
      <c r="E1355" s="1124">
        <v>1451117.4</v>
      </c>
      <c r="F1355" s="1124">
        <v>8712757.3000000007</v>
      </c>
      <c r="G1355" s="1124">
        <v>2835703.8</v>
      </c>
      <c r="H1355" s="1124" t="e">
        <v>#REF!</v>
      </c>
      <c r="I1355" s="1124" t="e">
        <v>#REF!</v>
      </c>
      <c r="J1355" s="1124" t="e">
        <v>#REF!</v>
      </c>
      <c r="K1355" s="1124" t="e">
        <v>#REF!</v>
      </c>
    </row>
    <row r="1356" spans="1:11" ht="45">
      <c r="A1356" s="1120">
        <v>1350</v>
      </c>
      <c r="B1356" s="1121" t="s">
        <v>11828</v>
      </c>
      <c r="C1356" s="1122" t="s">
        <v>11829</v>
      </c>
      <c r="D1356" s="1123" t="s">
        <v>6378</v>
      </c>
      <c r="E1356" s="1124">
        <v>1679912.6</v>
      </c>
      <c r="F1356" s="1124">
        <v>9358263.3000000007</v>
      </c>
      <c r="G1356" s="1124">
        <v>2835703.8</v>
      </c>
      <c r="H1356" s="1124" t="e">
        <v>#REF!</v>
      </c>
      <c r="I1356" s="1124" t="e">
        <v>#REF!</v>
      </c>
      <c r="J1356" s="1124" t="e">
        <v>#REF!</v>
      </c>
      <c r="K1356" s="1124" t="e">
        <v>#REF!</v>
      </c>
    </row>
    <row r="1357" spans="1:11" ht="45">
      <c r="A1357" s="1120">
        <v>1351</v>
      </c>
      <c r="B1357" s="1121" t="s">
        <v>11830</v>
      </c>
      <c r="C1357" s="1122" t="s">
        <v>11831</v>
      </c>
      <c r="D1357" s="1123" t="s">
        <v>6378</v>
      </c>
      <c r="E1357" s="1124">
        <v>1913773.1</v>
      </c>
      <c r="F1357" s="1124">
        <v>10145465.800000001</v>
      </c>
      <c r="G1357" s="1124">
        <v>2835703.8</v>
      </c>
      <c r="H1357" s="1124" t="e">
        <v>#REF!</v>
      </c>
      <c r="I1357" s="1124" t="e">
        <v>#REF!</v>
      </c>
      <c r="J1357" s="1124" t="e">
        <v>#REF!</v>
      </c>
      <c r="K1357" s="1124" t="e">
        <v>#REF!</v>
      </c>
    </row>
    <row r="1358" spans="1:11" ht="45">
      <c r="A1358" s="1120">
        <v>1352</v>
      </c>
      <c r="B1358" s="1121" t="s">
        <v>11832</v>
      </c>
      <c r="C1358" s="1122" t="s">
        <v>11833</v>
      </c>
      <c r="D1358" s="1123" t="s">
        <v>6378</v>
      </c>
      <c r="E1358" s="1124">
        <v>2183317.2999999998</v>
      </c>
      <c r="F1358" s="1124">
        <v>10923221.9</v>
      </c>
      <c r="G1358" s="1124">
        <v>2835703.8</v>
      </c>
      <c r="H1358" s="1124" t="e">
        <v>#REF!</v>
      </c>
      <c r="I1358" s="1124" t="e">
        <v>#REF!</v>
      </c>
      <c r="J1358" s="1124" t="e">
        <v>#REF!</v>
      </c>
      <c r="K1358" s="1124" t="e">
        <v>#REF!</v>
      </c>
    </row>
    <row r="1359" spans="1:11" ht="45">
      <c r="A1359" s="1120">
        <v>1353</v>
      </c>
      <c r="B1359" s="1121" t="s">
        <v>11834</v>
      </c>
      <c r="C1359" s="1122" t="s">
        <v>11835</v>
      </c>
      <c r="D1359" s="1123" t="s">
        <v>6378</v>
      </c>
      <c r="E1359" s="1124">
        <v>2474671.2999999998</v>
      </c>
      <c r="F1359" s="1124">
        <v>11710424.4</v>
      </c>
      <c r="G1359" s="1124">
        <v>2835703.8</v>
      </c>
      <c r="H1359" s="1124" t="e">
        <v>#REF!</v>
      </c>
      <c r="I1359" s="1124" t="e">
        <v>#REF!</v>
      </c>
      <c r="J1359" s="1124" t="e">
        <v>#REF!</v>
      </c>
      <c r="K1359" s="1124" t="e">
        <v>#REF!</v>
      </c>
    </row>
    <row r="1360" spans="1:11" ht="45">
      <c r="A1360" s="1120">
        <v>1354</v>
      </c>
      <c r="B1360" s="1121" t="s">
        <v>11836</v>
      </c>
      <c r="C1360" s="1122" t="s">
        <v>11837</v>
      </c>
      <c r="D1360" s="1123" t="s">
        <v>6378</v>
      </c>
      <c r="E1360" s="1124">
        <v>2753107</v>
      </c>
      <c r="F1360" s="1124">
        <v>12629876.9</v>
      </c>
      <c r="G1360" s="1124">
        <v>2835703.8</v>
      </c>
      <c r="H1360" s="1124" t="e">
        <v>#REF!</v>
      </c>
      <c r="I1360" s="1124" t="e">
        <v>#REF!</v>
      </c>
      <c r="J1360" s="1124" t="e">
        <v>#REF!</v>
      </c>
      <c r="K1360" s="1124" t="e">
        <v>#REF!</v>
      </c>
    </row>
    <row r="1361" spans="1:11" ht="45">
      <c r="A1361" s="1120">
        <v>1355</v>
      </c>
      <c r="B1361" s="1121" t="s">
        <v>11838</v>
      </c>
      <c r="C1361" s="1122" t="s">
        <v>11839</v>
      </c>
      <c r="D1361" s="1123" t="s">
        <v>6378</v>
      </c>
      <c r="E1361" s="1124">
        <v>3064037.2</v>
      </c>
      <c r="F1361" s="1124">
        <v>13804383</v>
      </c>
      <c r="G1361" s="1124">
        <v>2835703.8</v>
      </c>
      <c r="H1361" s="1124" t="e">
        <v>#REF!</v>
      </c>
      <c r="I1361" s="1124" t="e">
        <v>#REF!</v>
      </c>
      <c r="J1361" s="1124" t="e">
        <v>#REF!</v>
      </c>
      <c r="K1361" s="1124" t="e">
        <v>#REF!</v>
      </c>
    </row>
    <row r="1362" spans="1:11" ht="45">
      <c r="A1362" s="1120">
        <v>1356</v>
      </c>
      <c r="B1362" s="1121" t="s">
        <v>11840</v>
      </c>
      <c r="C1362" s="1122" t="s">
        <v>11841</v>
      </c>
      <c r="D1362" s="1123" t="s">
        <v>6378</v>
      </c>
      <c r="E1362" s="1124">
        <v>3333492.4</v>
      </c>
      <c r="F1362" s="1124">
        <v>14982038</v>
      </c>
      <c r="G1362" s="1124">
        <v>2835703.8</v>
      </c>
      <c r="H1362" s="1124" t="e">
        <v>#REF!</v>
      </c>
      <c r="I1362" s="1124" t="e">
        <v>#REF!</v>
      </c>
      <c r="J1362" s="1124" t="e">
        <v>#REF!</v>
      </c>
      <c r="K1362" s="1124" t="e">
        <v>#REF!</v>
      </c>
    </row>
    <row r="1363" spans="1:11" ht="45">
      <c r="A1363" s="1120">
        <v>1357</v>
      </c>
      <c r="B1363" s="1121" t="s">
        <v>11842</v>
      </c>
      <c r="C1363" s="1122" t="s">
        <v>11843</v>
      </c>
      <c r="D1363" s="1123" t="s">
        <v>6378</v>
      </c>
      <c r="E1363" s="1124">
        <v>699766.4</v>
      </c>
      <c r="F1363" s="1124">
        <v>5711941.2999999998</v>
      </c>
      <c r="G1363" s="1124">
        <v>2824662.8</v>
      </c>
      <c r="H1363" s="1124" t="e">
        <v>#REF!</v>
      </c>
      <c r="I1363" s="1124" t="e">
        <v>#REF!</v>
      </c>
      <c r="J1363" s="1124" t="e">
        <v>#REF!</v>
      </c>
      <c r="K1363" s="1124" t="e">
        <v>#REF!</v>
      </c>
    </row>
    <row r="1364" spans="1:11" ht="45">
      <c r="A1364" s="1120">
        <v>1358</v>
      </c>
      <c r="B1364" s="1121" t="s">
        <v>11844</v>
      </c>
      <c r="C1364" s="1122" t="s">
        <v>11845</v>
      </c>
      <c r="D1364" s="1123" t="s">
        <v>6378</v>
      </c>
      <c r="E1364" s="1124">
        <v>852682.1</v>
      </c>
      <c r="F1364" s="1124">
        <v>6385786.7000000002</v>
      </c>
      <c r="G1364" s="1124">
        <v>3451752</v>
      </c>
      <c r="H1364" s="1124" t="e">
        <v>#REF!</v>
      </c>
      <c r="I1364" s="1124" t="e">
        <v>#REF!</v>
      </c>
      <c r="J1364" s="1124" t="e">
        <v>#REF!</v>
      </c>
      <c r="K1364" s="1124" t="e">
        <v>#REF!</v>
      </c>
    </row>
    <row r="1365" spans="1:11" ht="45">
      <c r="A1365" s="1120">
        <v>1359</v>
      </c>
      <c r="B1365" s="1121" t="s">
        <v>11846</v>
      </c>
      <c r="C1365" s="1122" t="s">
        <v>11847</v>
      </c>
      <c r="D1365" s="1123" t="s">
        <v>6378</v>
      </c>
      <c r="E1365" s="1124">
        <v>993852.1</v>
      </c>
      <c r="F1365" s="1124">
        <v>7289495.2000000002</v>
      </c>
      <c r="G1365" s="1124">
        <v>3451752</v>
      </c>
      <c r="H1365" s="1124" t="e">
        <v>#REF!</v>
      </c>
      <c r="I1365" s="1124" t="e">
        <v>#REF!</v>
      </c>
      <c r="J1365" s="1124" t="e">
        <v>#REF!</v>
      </c>
      <c r="K1365" s="1124" t="e">
        <v>#REF!</v>
      </c>
    </row>
    <row r="1366" spans="1:11" ht="45">
      <c r="A1366" s="1120">
        <v>1360</v>
      </c>
      <c r="B1366" s="1121" t="s">
        <v>11848</v>
      </c>
      <c r="C1366" s="1122" t="s">
        <v>11849</v>
      </c>
      <c r="D1366" s="1123" t="s">
        <v>6378</v>
      </c>
      <c r="E1366" s="1124">
        <v>1172581.8</v>
      </c>
      <c r="F1366" s="1124">
        <v>7950745.2999999998</v>
      </c>
      <c r="G1366" s="1124">
        <v>3451752</v>
      </c>
      <c r="H1366" s="1124" t="e">
        <v>#REF!</v>
      </c>
      <c r="I1366" s="1124" t="e">
        <v>#REF!</v>
      </c>
      <c r="J1366" s="1124" t="e">
        <v>#REF!</v>
      </c>
      <c r="K1366" s="1124" t="e">
        <v>#REF!</v>
      </c>
    </row>
    <row r="1367" spans="1:11" ht="45">
      <c r="A1367" s="1120">
        <v>1361</v>
      </c>
      <c r="B1367" s="1121" t="s">
        <v>11850</v>
      </c>
      <c r="C1367" s="1122" t="s">
        <v>11851</v>
      </c>
      <c r="D1367" s="1123" t="s">
        <v>6378</v>
      </c>
      <c r="E1367" s="1124">
        <v>1310427.8999999999</v>
      </c>
      <c r="F1367" s="1124">
        <v>8608846.5</v>
      </c>
      <c r="G1367" s="1124">
        <v>3451752</v>
      </c>
      <c r="H1367" s="1124" t="e">
        <v>#REF!</v>
      </c>
      <c r="I1367" s="1124" t="e">
        <v>#REF!</v>
      </c>
      <c r="J1367" s="1124" t="e">
        <v>#REF!</v>
      </c>
      <c r="K1367" s="1124" t="e">
        <v>#REF!</v>
      </c>
    </row>
    <row r="1368" spans="1:11" ht="45">
      <c r="A1368" s="1120">
        <v>1362</v>
      </c>
      <c r="B1368" s="1121" t="s">
        <v>11852</v>
      </c>
      <c r="C1368" s="1122" t="s">
        <v>11853</v>
      </c>
      <c r="D1368" s="1123" t="s">
        <v>6378</v>
      </c>
      <c r="E1368" s="1124">
        <v>1488588.2</v>
      </c>
      <c r="F1368" s="1124">
        <v>9770757.4000000004</v>
      </c>
      <c r="G1368" s="1124">
        <v>3451752</v>
      </c>
      <c r="H1368" s="1124" t="e">
        <v>#REF!</v>
      </c>
      <c r="I1368" s="1124" t="e">
        <v>#REF!</v>
      </c>
      <c r="J1368" s="1124" t="e">
        <v>#REF!</v>
      </c>
      <c r="K1368" s="1124" t="e">
        <v>#REF!</v>
      </c>
    </row>
    <row r="1369" spans="1:11" ht="45">
      <c r="A1369" s="1120">
        <v>1363</v>
      </c>
      <c r="B1369" s="1121" t="s">
        <v>11854</v>
      </c>
      <c r="C1369" s="1122" t="s">
        <v>11855</v>
      </c>
      <c r="D1369" s="1123" t="s">
        <v>6378</v>
      </c>
      <c r="E1369" s="1124">
        <v>1679912.6</v>
      </c>
      <c r="F1369" s="1124">
        <v>10690210</v>
      </c>
      <c r="G1369" s="1124">
        <v>3451752</v>
      </c>
      <c r="H1369" s="1124" t="e">
        <v>#REF!</v>
      </c>
      <c r="I1369" s="1124" t="e">
        <v>#REF!</v>
      </c>
      <c r="J1369" s="1124" t="e">
        <v>#REF!</v>
      </c>
      <c r="K1369" s="1124" t="e">
        <v>#REF!</v>
      </c>
    </row>
    <row r="1370" spans="1:11" ht="45">
      <c r="A1370" s="1120">
        <v>1364</v>
      </c>
      <c r="B1370" s="1121" t="s">
        <v>11856</v>
      </c>
      <c r="C1370" s="1122" t="s">
        <v>11857</v>
      </c>
      <c r="D1370" s="1123" t="s">
        <v>6378</v>
      </c>
      <c r="E1370" s="1124">
        <v>1913773.1</v>
      </c>
      <c r="F1370" s="1124">
        <v>11464817.199999999</v>
      </c>
      <c r="G1370" s="1124">
        <v>5177628</v>
      </c>
      <c r="H1370" s="1124" t="e">
        <v>#REF!</v>
      </c>
      <c r="I1370" s="1124" t="e">
        <v>#REF!</v>
      </c>
      <c r="J1370" s="1124" t="e">
        <v>#REF!</v>
      </c>
      <c r="K1370" s="1124" t="e">
        <v>#REF!</v>
      </c>
    </row>
    <row r="1371" spans="1:11" ht="45">
      <c r="A1371" s="1120">
        <v>1365</v>
      </c>
      <c r="B1371" s="1121" t="s">
        <v>11858</v>
      </c>
      <c r="C1371" s="1122" t="s">
        <v>11859</v>
      </c>
      <c r="D1371" s="1123" t="s">
        <v>6378</v>
      </c>
      <c r="E1371" s="1124">
        <v>2183317.2999999998</v>
      </c>
      <c r="F1371" s="1124">
        <v>12513370.9</v>
      </c>
      <c r="G1371" s="1124">
        <v>5177628</v>
      </c>
      <c r="H1371" s="1124" t="e">
        <v>#REF!</v>
      </c>
      <c r="I1371" s="1124" t="e">
        <v>#REF!</v>
      </c>
      <c r="J1371" s="1124" t="e">
        <v>#REF!</v>
      </c>
      <c r="K1371" s="1124" t="e">
        <v>#REF!</v>
      </c>
    </row>
    <row r="1372" spans="1:11" ht="45">
      <c r="A1372" s="1120">
        <v>1366</v>
      </c>
      <c r="B1372" s="1121" t="s">
        <v>11860</v>
      </c>
      <c r="C1372" s="1122" t="s">
        <v>11861</v>
      </c>
      <c r="D1372" s="1123" t="s">
        <v>6378</v>
      </c>
      <c r="E1372" s="1124">
        <v>2480544.2000000002</v>
      </c>
      <c r="F1372" s="1124">
        <v>13300573.4</v>
      </c>
      <c r="G1372" s="1124">
        <v>5177628</v>
      </c>
      <c r="H1372" s="1124" t="e">
        <v>#REF!</v>
      </c>
      <c r="I1372" s="1124" t="e">
        <v>#REF!</v>
      </c>
      <c r="J1372" s="1124" t="e">
        <v>#REF!</v>
      </c>
      <c r="K1372" s="1124" t="e">
        <v>#REF!</v>
      </c>
    </row>
    <row r="1373" spans="1:11" ht="45">
      <c r="A1373" s="1120">
        <v>1367</v>
      </c>
      <c r="B1373" s="1121" t="s">
        <v>11862</v>
      </c>
      <c r="C1373" s="1122" t="s">
        <v>11863</v>
      </c>
      <c r="D1373" s="1123" t="s">
        <v>6378</v>
      </c>
      <c r="E1373" s="1124">
        <v>2753107</v>
      </c>
      <c r="F1373" s="1124">
        <v>14607329.6</v>
      </c>
      <c r="G1373" s="1124">
        <v>5177628</v>
      </c>
      <c r="H1373" s="1124" t="e">
        <v>#REF!</v>
      </c>
      <c r="I1373" s="1124" t="e">
        <v>#REF!</v>
      </c>
      <c r="J1373" s="1124" t="e">
        <v>#REF!</v>
      </c>
      <c r="K1373" s="1124" t="e">
        <v>#REF!</v>
      </c>
    </row>
    <row r="1374" spans="1:11" ht="45">
      <c r="A1374" s="1120">
        <v>1368</v>
      </c>
      <c r="B1374" s="1121" t="s">
        <v>11864</v>
      </c>
      <c r="C1374" s="1122" t="s">
        <v>11865</v>
      </c>
      <c r="D1374" s="1123" t="s">
        <v>6378</v>
      </c>
      <c r="E1374" s="1124">
        <v>3064037.2</v>
      </c>
      <c r="F1374" s="1124">
        <v>15781835.699999999</v>
      </c>
      <c r="G1374" s="1124">
        <v>5177628</v>
      </c>
      <c r="H1374" s="1124" t="e">
        <v>#REF!</v>
      </c>
      <c r="I1374" s="1124" t="e">
        <v>#REF!</v>
      </c>
      <c r="J1374" s="1124" t="e">
        <v>#REF!</v>
      </c>
      <c r="K1374" s="1124" t="e">
        <v>#REF!</v>
      </c>
    </row>
    <row r="1375" spans="1:11" ht="45">
      <c r="A1375" s="1120">
        <v>1369</v>
      </c>
      <c r="B1375" s="1121" t="s">
        <v>11866</v>
      </c>
      <c r="C1375" s="1122" t="s">
        <v>11867</v>
      </c>
      <c r="D1375" s="1123" t="s">
        <v>6378</v>
      </c>
      <c r="E1375" s="1124">
        <v>3333492.4</v>
      </c>
      <c r="F1375" s="1124">
        <v>16572187</v>
      </c>
      <c r="G1375" s="1124">
        <v>5177628</v>
      </c>
      <c r="H1375" s="1124" t="e">
        <v>#REF!</v>
      </c>
      <c r="I1375" s="1124" t="e">
        <v>#REF!</v>
      </c>
      <c r="J1375" s="1124" t="e">
        <v>#REF!</v>
      </c>
      <c r="K1375" s="1124" t="e">
        <v>#REF!</v>
      </c>
    </row>
    <row r="1376" spans="1:11" s="1136" customFormat="1" ht="30">
      <c r="A1376" s="1131">
        <v>1370</v>
      </c>
      <c r="B1376" s="1132" t="s">
        <v>11868</v>
      </c>
      <c r="C1376" s="1133" t="s">
        <v>11869</v>
      </c>
      <c r="D1376" s="1134" t="s">
        <v>6378</v>
      </c>
      <c r="E1376" s="1135">
        <v>3299736</v>
      </c>
      <c r="F1376" s="1135">
        <v>18096211.100000001</v>
      </c>
      <c r="G1376" s="1135">
        <v>4170141.6</v>
      </c>
      <c r="H1376" s="1135" t="e">
        <v>#REF!</v>
      </c>
      <c r="I1376" s="1135" t="e">
        <v>#REF!</v>
      </c>
      <c r="J1376" s="1135" t="e">
        <v>#REF!</v>
      </c>
      <c r="K1376" s="1135" t="e">
        <v>#REF!</v>
      </c>
    </row>
    <row r="1377" spans="1:11" s="1136" customFormat="1" ht="30">
      <c r="A1377" s="1131">
        <v>1371</v>
      </c>
      <c r="B1377" s="1132" t="s">
        <v>11870</v>
      </c>
      <c r="C1377" s="1133" t="s">
        <v>11871</v>
      </c>
      <c r="D1377" s="1134" t="s">
        <v>6378</v>
      </c>
      <c r="E1377" s="1135">
        <v>3538408.3</v>
      </c>
      <c r="F1377" s="1135">
        <v>19390372</v>
      </c>
      <c r="G1377" s="1135">
        <v>4170141.6</v>
      </c>
      <c r="H1377" s="1135" t="e">
        <v>#REF!</v>
      </c>
      <c r="I1377" s="1135" t="e">
        <v>#REF!</v>
      </c>
      <c r="J1377" s="1135" t="e">
        <v>#REF!</v>
      </c>
      <c r="K1377" s="1135" t="e">
        <v>#REF!</v>
      </c>
    </row>
    <row r="1378" spans="1:11" s="1136" customFormat="1" ht="30">
      <c r="A1378" s="1131">
        <v>1372</v>
      </c>
      <c r="B1378" s="1132" t="s">
        <v>11872</v>
      </c>
      <c r="C1378" s="1133" t="s">
        <v>11873</v>
      </c>
      <c r="D1378" s="1134" t="s">
        <v>6378</v>
      </c>
      <c r="E1378" s="1135">
        <v>3708649</v>
      </c>
      <c r="F1378" s="1135">
        <v>21585092.600000001</v>
      </c>
      <c r="G1378" s="1135">
        <v>4170141.6</v>
      </c>
      <c r="H1378" s="1135" t="e">
        <v>#REF!</v>
      </c>
      <c r="I1378" s="1135" t="e">
        <v>#REF!</v>
      </c>
      <c r="J1378" s="1135" t="e">
        <v>#REF!</v>
      </c>
      <c r="K1378" s="1135" t="e">
        <v>#REF!</v>
      </c>
    </row>
    <row r="1379" spans="1:11" s="1136" customFormat="1" ht="30">
      <c r="A1379" s="1131">
        <v>1373</v>
      </c>
      <c r="B1379" s="1132" t="s">
        <v>11874</v>
      </c>
      <c r="C1379" s="1133" t="s">
        <v>11875</v>
      </c>
      <c r="D1379" s="1134" t="s">
        <v>6378</v>
      </c>
      <c r="E1379" s="1135">
        <v>4120745.3</v>
      </c>
      <c r="F1379" s="1135">
        <v>24170265.600000001</v>
      </c>
      <c r="G1379" s="1135">
        <v>5268928.4000000004</v>
      </c>
      <c r="H1379" s="1135" t="e">
        <v>#REF!</v>
      </c>
      <c r="I1379" s="1135" t="e">
        <v>#REF!</v>
      </c>
      <c r="J1379" s="1135" t="e">
        <v>#REF!</v>
      </c>
      <c r="K1379" s="1135" t="e">
        <v>#REF!</v>
      </c>
    </row>
    <row r="1380" spans="1:11" s="1136" customFormat="1" ht="30">
      <c r="A1380" s="1131">
        <v>1374</v>
      </c>
      <c r="B1380" s="1132" t="s">
        <v>11876</v>
      </c>
      <c r="C1380" s="1133" t="s">
        <v>11877</v>
      </c>
      <c r="D1380" s="1134" t="s">
        <v>6378</v>
      </c>
      <c r="E1380" s="1135">
        <v>4546725</v>
      </c>
      <c r="F1380" s="1135">
        <v>27013641</v>
      </c>
      <c r="G1380" s="1135">
        <v>6249691.9000000004</v>
      </c>
      <c r="H1380" s="1135" t="e">
        <v>#REF!</v>
      </c>
      <c r="I1380" s="1135" t="e">
        <v>#REF!</v>
      </c>
      <c r="J1380" s="1135" t="e">
        <v>#REF!</v>
      </c>
      <c r="K1380" s="1135" t="e">
        <v>#REF!</v>
      </c>
    </row>
    <row r="1381" spans="1:11" s="1136" customFormat="1" ht="30">
      <c r="A1381" s="1131">
        <v>1375</v>
      </c>
      <c r="B1381" s="1132" t="s">
        <v>11878</v>
      </c>
      <c r="C1381" s="1133" t="s">
        <v>11879</v>
      </c>
      <c r="D1381" s="1134" t="s">
        <v>6378</v>
      </c>
      <c r="E1381" s="1135">
        <v>5057158.4000000004</v>
      </c>
      <c r="F1381" s="1135">
        <v>30247468.899999999</v>
      </c>
      <c r="G1381" s="1135">
        <v>8329242.2000000002</v>
      </c>
      <c r="H1381" s="1135" t="e">
        <v>#REF!</v>
      </c>
      <c r="I1381" s="1135" t="e">
        <v>#REF!</v>
      </c>
      <c r="J1381" s="1135" t="e">
        <v>#REF!</v>
      </c>
      <c r="K1381" s="1135" t="e">
        <v>#REF!</v>
      </c>
    </row>
    <row r="1382" spans="1:11" s="1136" customFormat="1" ht="45">
      <c r="A1382" s="1131">
        <v>1376</v>
      </c>
      <c r="B1382" s="1132" t="s">
        <v>11880</v>
      </c>
      <c r="C1382" s="1133" t="s">
        <v>11881</v>
      </c>
      <c r="D1382" s="1134" t="s">
        <v>6378</v>
      </c>
      <c r="E1382" s="1135">
        <v>1017225.4</v>
      </c>
      <c r="F1382" s="1135">
        <v>4779893.5999999996</v>
      </c>
      <c r="G1382" s="1135">
        <v>2824662.8</v>
      </c>
      <c r="H1382" s="1135" t="e">
        <v>#REF!</v>
      </c>
      <c r="I1382" s="1135" t="e">
        <v>#REF!</v>
      </c>
      <c r="J1382" s="1135" t="e">
        <v>#REF!</v>
      </c>
      <c r="K1382" s="1135" t="e">
        <v>#REF!</v>
      </c>
    </row>
    <row r="1383" spans="1:11" s="1136" customFormat="1" ht="45">
      <c r="A1383" s="1131">
        <v>1377</v>
      </c>
      <c r="B1383" s="1132" t="s">
        <v>11882</v>
      </c>
      <c r="C1383" s="1133" t="s">
        <v>11883</v>
      </c>
      <c r="D1383" s="1134" t="s">
        <v>6378</v>
      </c>
      <c r="E1383" s="1135">
        <v>1017225.4</v>
      </c>
      <c r="F1383" s="1135">
        <v>4779893.5999999996</v>
      </c>
      <c r="G1383" s="1135">
        <v>2824662.8</v>
      </c>
      <c r="H1383" s="1135" t="e">
        <v>#REF!</v>
      </c>
      <c r="I1383" s="1135" t="e">
        <v>#REF!</v>
      </c>
      <c r="J1383" s="1135" t="e">
        <v>#REF!</v>
      </c>
      <c r="K1383" s="1135" t="e">
        <v>#REF!</v>
      </c>
    </row>
    <row r="1384" spans="1:11" s="1136" customFormat="1" ht="45">
      <c r="A1384" s="1131">
        <v>1378</v>
      </c>
      <c r="B1384" s="1132" t="s">
        <v>11884</v>
      </c>
      <c r="C1384" s="1133" t="s">
        <v>11885</v>
      </c>
      <c r="D1384" s="1134" t="s">
        <v>6378</v>
      </c>
      <c r="E1384" s="1135">
        <v>1153404.5</v>
      </c>
      <c r="F1384" s="1135">
        <v>5167197.2</v>
      </c>
      <c r="G1384" s="1135">
        <v>2824662.8</v>
      </c>
      <c r="H1384" s="1135" t="e">
        <v>#REF!</v>
      </c>
      <c r="I1384" s="1135" t="e">
        <v>#REF!</v>
      </c>
      <c r="J1384" s="1135" t="e">
        <v>#REF!</v>
      </c>
      <c r="K1384" s="1135" t="e">
        <v>#REF!</v>
      </c>
    </row>
    <row r="1385" spans="1:11" s="1136" customFormat="1" ht="45">
      <c r="A1385" s="1131">
        <v>1379</v>
      </c>
      <c r="B1385" s="1132" t="s">
        <v>11886</v>
      </c>
      <c r="C1385" s="1133" t="s">
        <v>11887</v>
      </c>
      <c r="D1385" s="1134" t="s">
        <v>6378</v>
      </c>
      <c r="E1385" s="1135">
        <v>1416619.1</v>
      </c>
      <c r="F1385" s="1135">
        <v>5721387.7999999998</v>
      </c>
      <c r="G1385" s="1135">
        <v>2824662.8</v>
      </c>
      <c r="H1385" s="1135" t="e">
        <v>#REF!</v>
      </c>
      <c r="I1385" s="1135" t="e">
        <v>#REF!</v>
      </c>
      <c r="J1385" s="1135" t="e">
        <v>#REF!</v>
      </c>
      <c r="K1385" s="1135" t="e">
        <v>#REF!</v>
      </c>
    </row>
    <row r="1386" spans="1:11" ht="45">
      <c r="A1386" s="1120">
        <v>1380</v>
      </c>
      <c r="B1386" s="1121" t="s">
        <v>11888</v>
      </c>
      <c r="C1386" s="1122" t="s">
        <v>11889</v>
      </c>
      <c r="D1386" s="1123" t="s">
        <v>6378</v>
      </c>
      <c r="E1386" s="1124">
        <v>1035766.4</v>
      </c>
      <c r="F1386" s="1124">
        <v>6203155.7000000002</v>
      </c>
      <c r="G1386" s="1124">
        <v>2824662.8</v>
      </c>
      <c r="H1386" s="1124" t="e">
        <v>#REF!</v>
      </c>
      <c r="I1386" s="1124" t="e">
        <v>#REF!</v>
      </c>
      <c r="J1386" s="1124" t="e">
        <v>#REF!</v>
      </c>
      <c r="K1386" s="1124" t="e">
        <v>#REF!</v>
      </c>
    </row>
    <row r="1387" spans="1:11" ht="45">
      <c r="A1387" s="1120">
        <v>1381</v>
      </c>
      <c r="B1387" s="1121" t="s">
        <v>11890</v>
      </c>
      <c r="C1387" s="1122" t="s">
        <v>11891</v>
      </c>
      <c r="D1387" s="1123" t="s">
        <v>6378</v>
      </c>
      <c r="E1387" s="1124">
        <v>1356682.1</v>
      </c>
      <c r="F1387" s="1124">
        <v>6851810.5999999996</v>
      </c>
      <c r="G1387" s="1124">
        <v>2824662.8</v>
      </c>
      <c r="H1387" s="1124" t="e">
        <v>#REF!</v>
      </c>
      <c r="I1387" s="1124" t="e">
        <v>#REF!</v>
      </c>
      <c r="J1387" s="1124" t="e">
        <v>#REF!</v>
      </c>
      <c r="K1387" s="1124" t="e">
        <v>#REF!</v>
      </c>
    </row>
    <row r="1388" spans="1:11" ht="45">
      <c r="A1388" s="1120">
        <v>1382</v>
      </c>
      <c r="B1388" s="1121" t="s">
        <v>11892</v>
      </c>
      <c r="C1388" s="1122" t="s">
        <v>11893</v>
      </c>
      <c r="D1388" s="1123" t="s">
        <v>6378</v>
      </c>
      <c r="E1388" s="1124">
        <v>1665852.1</v>
      </c>
      <c r="F1388" s="1124">
        <v>7755519</v>
      </c>
      <c r="G1388" s="1124">
        <v>2824662.8</v>
      </c>
      <c r="H1388" s="1124" t="e">
        <v>#REF!</v>
      </c>
      <c r="I1388" s="1124" t="e">
        <v>#REF!</v>
      </c>
      <c r="J1388" s="1124" t="e">
        <v>#REF!</v>
      </c>
      <c r="K1388" s="1124" t="e">
        <v>#REF!</v>
      </c>
    </row>
    <row r="1389" spans="1:11" ht="45">
      <c r="A1389" s="1120">
        <v>1383</v>
      </c>
      <c r="B1389" s="1121" t="s">
        <v>11894</v>
      </c>
      <c r="C1389" s="1122" t="s">
        <v>11895</v>
      </c>
      <c r="D1389" s="1123" t="s">
        <v>6378</v>
      </c>
      <c r="E1389" s="1124">
        <v>2012581.8</v>
      </c>
      <c r="F1389" s="1124">
        <v>8530126.3000000007</v>
      </c>
      <c r="G1389" s="1124">
        <v>2824662.8</v>
      </c>
      <c r="H1389" s="1124" t="e">
        <v>#REF!</v>
      </c>
      <c r="I1389" s="1124" t="e">
        <v>#REF!</v>
      </c>
      <c r="J1389" s="1124" t="e">
        <v>#REF!</v>
      </c>
      <c r="K1389" s="1124" t="e">
        <v>#REF!</v>
      </c>
    </row>
    <row r="1390" spans="1:11" ht="45">
      <c r="A1390" s="1120">
        <v>1384</v>
      </c>
      <c r="B1390" s="1121" t="s">
        <v>11896</v>
      </c>
      <c r="C1390" s="1122" t="s">
        <v>11897</v>
      </c>
      <c r="D1390" s="1123" t="s">
        <v>6378</v>
      </c>
      <c r="E1390" s="1124">
        <v>2318427.9</v>
      </c>
      <c r="F1390" s="1124">
        <v>9307882.4000000004</v>
      </c>
      <c r="G1390" s="1124">
        <v>2824662.8</v>
      </c>
      <c r="H1390" s="1124" t="e">
        <v>#REF!</v>
      </c>
      <c r="I1390" s="1124" t="e">
        <v>#REF!</v>
      </c>
      <c r="J1390" s="1124" t="e">
        <v>#REF!</v>
      </c>
      <c r="K1390" s="1124" t="e">
        <v>#REF!</v>
      </c>
    </row>
    <row r="1391" spans="1:11" ht="45">
      <c r="A1391" s="1120">
        <v>1385</v>
      </c>
      <c r="B1391" s="1121" t="s">
        <v>11898</v>
      </c>
      <c r="C1391" s="1122" t="s">
        <v>11899</v>
      </c>
      <c r="D1391" s="1123" t="s">
        <v>6378</v>
      </c>
      <c r="E1391" s="1124">
        <v>2664588.2000000002</v>
      </c>
      <c r="F1391" s="1124">
        <v>10469793.300000001</v>
      </c>
      <c r="G1391" s="1124">
        <v>2824662.8</v>
      </c>
      <c r="H1391" s="1124" t="e">
        <v>#REF!</v>
      </c>
      <c r="I1391" s="1124" t="e">
        <v>#REF!</v>
      </c>
      <c r="J1391" s="1124" t="e">
        <v>#REF!</v>
      </c>
      <c r="K1391" s="1124" t="e">
        <v>#REF!</v>
      </c>
    </row>
    <row r="1392" spans="1:11" ht="45">
      <c r="A1392" s="1120">
        <v>1386</v>
      </c>
      <c r="B1392" s="1121" t="s">
        <v>11900</v>
      </c>
      <c r="C1392" s="1122" t="s">
        <v>11901</v>
      </c>
      <c r="D1392" s="1123" t="s">
        <v>6378</v>
      </c>
      <c r="E1392" s="1124">
        <v>3023912.6</v>
      </c>
      <c r="F1392" s="1124">
        <v>11502602.9</v>
      </c>
      <c r="G1392" s="1124">
        <v>2824662.8</v>
      </c>
      <c r="H1392" s="1124" t="e">
        <v>#REF!</v>
      </c>
      <c r="I1392" s="1124" t="e">
        <v>#REF!</v>
      </c>
      <c r="J1392" s="1124" t="e">
        <v>#REF!</v>
      </c>
      <c r="K1392" s="1124" t="e">
        <v>#REF!</v>
      </c>
    </row>
    <row r="1393" spans="1:11" ht="45">
      <c r="A1393" s="1120">
        <v>1387</v>
      </c>
      <c r="B1393" s="1121" t="s">
        <v>11902</v>
      </c>
      <c r="C1393" s="1122" t="s">
        <v>11903</v>
      </c>
      <c r="D1393" s="1123" t="s">
        <v>6378</v>
      </c>
      <c r="E1393" s="1124">
        <v>3425773.1</v>
      </c>
      <c r="F1393" s="1124">
        <v>12280359</v>
      </c>
      <c r="G1393" s="1124">
        <v>2824662.8</v>
      </c>
      <c r="H1393" s="1124" t="e">
        <v>#REF!</v>
      </c>
      <c r="I1393" s="1124" t="e">
        <v>#REF!</v>
      </c>
      <c r="J1393" s="1124" t="e">
        <v>#REF!</v>
      </c>
      <c r="K1393" s="1124" t="e">
        <v>#REF!</v>
      </c>
    </row>
    <row r="1394" spans="1:11" ht="45">
      <c r="A1394" s="1120">
        <v>1388</v>
      </c>
      <c r="B1394" s="1121" t="s">
        <v>11904</v>
      </c>
      <c r="C1394" s="1122" t="s">
        <v>11905</v>
      </c>
      <c r="D1394" s="1123" t="s">
        <v>6378</v>
      </c>
      <c r="E1394" s="1124">
        <v>3863317.3</v>
      </c>
      <c r="F1394" s="1124">
        <v>13442269.9</v>
      </c>
      <c r="G1394" s="1124">
        <v>2824662.8</v>
      </c>
      <c r="H1394" s="1124" t="e">
        <v>#REF!</v>
      </c>
      <c r="I1394" s="1124" t="e">
        <v>#REF!</v>
      </c>
      <c r="J1394" s="1124" t="e">
        <v>#REF!</v>
      </c>
      <c r="K1394" s="1124" t="e">
        <v>#REF!</v>
      </c>
    </row>
    <row r="1395" spans="1:11" ht="45">
      <c r="A1395" s="1120">
        <v>1389</v>
      </c>
      <c r="B1395" s="1121" t="s">
        <v>11906</v>
      </c>
      <c r="C1395" s="1122" t="s">
        <v>11907</v>
      </c>
      <c r="D1395" s="1123" t="s">
        <v>6378</v>
      </c>
      <c r="E1395" s="1124">
        <v>4328544.2</v>
      </c>
      <c r="F1395" s="1124">
        <v>14349127.199999999</v>
      </c>
      <c r="G1395" s="1124">
        <v>2824662.8</v>
      </c>
      <c r="H1395" s="1124" t="e">
        <v>#REF!</v>
      </c>
      <c r="I1395" s="1124" t="e">
        <v>#REF!</v>
      </c>
      <c r="J1395" s="1124" t="e">
        <v>#REF!</v>
      </c>
      <c r="K1395" s="1124" t="e">
        <v>#REF!</v>
      </c>
    </row>
    <row r="1396" spans="1:11" ht="45">
      <c r="A1396" s="1120">
        <v>1390</v>
      </c>
      <c r="B1396" s="1121" t="s">
        <v>11908</v>
      </c>
      <c r="C1396" s="1122" t="s">
        <v>11909</v>
      </c>
      <c r="D1396" s="1123" t="s">
        <v>6378</v>
      </c>
      <c r="E1396" s="1124">
        <v>4769107</v>
      </c>
      <c r="F1396" s="1124">
        <v>15769240.5</v>
      </c>
      <c r="G1396" s="1124">
        <v>2824662.8</v>
      </c>
      <c r="H1396" s="1124" t="e">
        <v>#REF!</v>
      </c>
      <c r="I1396" s="1124" t="e">
        <v>#REF!</v>
      </c>
      <c r="J1396" s="1124" t="e">
        <v>#REF!</v>
      </c>
      <c r="K1396" s="1124" t="e">
        <v>#REF!</v>
      </c>
    </row>
    <row r="1397" spans="1:11" ht="45">
      <c r="A1397" s="1120">
        <v>1391</v>
      </c>
      <c r="B1397" s="1121" t="s">
        <v>11910</v>
      </c>
      <c r="C1397" s="1122" t="s">
        <v>11911</v>
      </c>
      <c r="D1397" s="1123" t="s">
        <v>6378</v>
      </c>
      <c r="E1397" s="1124">
        <v>5248037.2</v>
      </c>
      <c r="F1397" s="1124">
        <v>17063401.399999999</v>
      </c>
      <c r="G1397" s="1124">
        <v>2824662.8</v>
      </c>
      <c r="H1397" s="1124" t="e">
        <v>#REF!</v>
      </c>
      <c r="I1397" s="1124" t="e">
        <v>#REF!</v>
      </c>
      <c r="J1397" s="1124" t="e">
        <v>#REF!</v>
      </c>
      <c r="K1397" s="1124" t="e">
        <v>#REF!</v>
      </c>
    </row>
    <row r="1398" spans="1:11" ht="45">
      <c r="A1398" s="1120">
        <v>1392</v>
      </c>
      <c r="B1398" s="1121" t="s">
        <v>11912</v>
      </c>
      <c r="C1398" s="1122" t="s">
        <v>11913</v>
      </c>
      <c r="D1398" s="1123" t="s">
        <v>6378</v>
      </c>
      <c r="E1398" s="1124">
        <v>5685492.4000000004</v>
      </c>
      <c r="F1398" s="1124">
        <v>17967109.899999999</v>
      </c>
      <c r="G1398" s="1124">
        <v>2824662.8</v>
      </c>
      <c r="H1398" s="1124" t="e">
        <v>#REF!</v>
      </c>
      <c r="I1398" s="1124" t="e">
        <v>#REF!</v>
      </c>
      <c r="J1398" s="1124" t="e">
        <v>#REF!</v>
      </c>
      <c r="K1398" s="1124" t="e">
        <v>#REF!</v>
      </c>
    </row>
    <row r="1399" spans="1:11" s="1136" customFormat="1" ht="45">
      <c r="A1399" s="1131">
        <v>1393</v>
      </c>
      <c r="B1399" s="1132" t="s">
        <v>11914</v>
      </c>
      <c r="C1399" s="1133" t="s">
        <v>11915</v>
      </c>
      <c r="D1399" s="1134" t="s">
        <v>6378</v>
      </c>
      <c r="E1399" s="1135">
        <v>601314.6</v>
      </c>
      <c r="F1399" s="1135">
        <v>5104221</v>
      </c>
      <c r="G1399" s="1135">
        <v>5210015</v>
      </c>
      <c r="H1399" s="1135" t="e">
        <v>#REF!</v>
      </c>
      <c r="I1399" s="1135" t="e">
        <v>#REF!</v>
      </c>
      <c r="J1399" s="1135" t="e">
        <v>#REF!</v>
      </c>
      <c r="K1399" s="1135" t="e">
        <v>#REF!</v>
      </c>
    </row>
    <row r="1400" spans="1:11" s="1136" customFormat="1" ht="45">
      <c r="A1400" s="1131">
        <v>1394</v>
      </c>
      <c r="B1400" s="1132" t="s">
        <v>11916</v>
      </c>
      <c r="C1400" s="1133" t="s">
        <v>11917</v>
      </c>
      <c r="D1400" s="1134" t="s">
        <v>6378</v>
      </c>
      <c r="E1400" s="1135">
        <v>784819.1</v>
      </c>
      <c r="F1400" s="1135">
        <v>6011078.2999999998</v>
      </c>
      <c r="G1400" s="1135">
        <v>6660034.0999999996</v>
      </c>
      <c r="H1400" s="1135" t="e">
        <v>#REF!</v>
      </c>
      <c r="I1400" s="1135" t="e">
        <v>#REF!</v>
      </c>
      <c r="J1400" s="1135" t="e">
        <v>#REF!</v>
      </c>
      <c r="K1400" s="1135" t="e">
        <v>#REF!</v>
      </c>
    </row>
    <row r="1401" spans="1:11" s="1136" customFormat="1" ht="45">
      <c r="A1401" s="1131">
        <v>1395</v>
      </c>
      <c r="B1401" s="1132" t="s">
        <v>11918</v>
      </c>
      <c r="C1401" s="1133" t="s">
        <v>11919</v>
      </c>
      <c r="D1401" s="1134" t="s">
        <v>6378</v>
      </c>
      <c r="E1401" s="1135">
        <v>784819.1</v>
      </c>
      <c r="F1401" s="1135">
        <v>6011078.2999999998</v>
      </c>
      <c r="G1401" s="1135">
        <v>6660034.0999999996</v>
      </c>
      <c r="H1401" s="1135" t="e">
        <v>#REF!</v>
      </c>
      <c r="I1401" s="1135" t="e">
        <v>#REF!</v>
      </c>
      <c r="J1401" s="1135" t="e">
        <v>#REF!</v>
      </c>
      <c r="K1401" s="1135" t="e">
        <v>#REF!</v>
      </c>
    </row>
    <row r="1402" spans="1:11" s="1136" customFormat="1" ht="45">
      <c r="A1402" s="1131">
        <v>1396</v>
      </c>
      <c r="B1402" s="1132" t="s">
        <v>11920</v>
      </c>
      <c r="C1402" s="1133" t="s">
        <v>11921</v>
      </c>
      <c r="D1402" s="1134" t="s">
        <v>6378</v>
      </c>
      <c r="E1402" s="1135">
        <v>973822.7</v>
      </c>
      <c r="F1402" s="1135">
        <v>8142822.7000000002</v>
      </c>
      <c r="G1402" s="1135">
        <v>9560072.4000000004</v>
      </c>
      <c r="H1402" s="1135" t="e">
        <v>#REF!</v>
      </c>
      <c r="I1402" s="1135" t="e">
        <v>#REF!</v>
      </c>
      <c r="J1402" s="1135" t="e">
        <v>#REF!</v>
      </c>
      <c r="K1402" s="1135" t="e">
        <v>#REF!</v>
      </c>
    </row>
    <row r="1403" spans="1:11" s="1136" customFormat="1" ht="45">
      <c r="A1403" s="1131">
        <v>1397</v>
      </c>
      <c r="B1403" s="1132" t="s">
        <v>11922</v>
      </c>
      <c r="C1403" s="1133" t="s">
        <v>11923</v>
      </c>
      <c r="D1403" s="1134" t="s">
        <v>6378</v>
      </c>
      <c r="E1403" s="1135">
        <v>20626.3</v>
      </c>
      <c r="F1403" s="1135">
        <v>5463185.4000000004</v>
      </c>
      <c r="G1403" s="1135">
        <v>4687308.5999999996</v>
      </c>
      <c r="H1403" s="1135" t="e">
        <v>#REF!</v>
      </c>
      <c r="I1403" s="1135" t="e">
        <v>#REF!</v>
      </c>
      <c r="J1403" s="1135" t="e">
        <v>#REF!</v>
      </c>
      <c r="K1403" s="1135" t="e">
        <v>#REF!</v>
      </c>
    </row>
    <row r="1404" spans="1:11" s="1136" customFormat="1" ht="45">
      <c r="A1404" s="1131">
        <v>1398</v>
      </c>
      <c r="B1404" s="1132" t="s">
        <v>11924</v>
      </c>
      <c r="C1404" s="1133" t="s">
        <v>11925</v>
      </c>
      <c r="D1404" s="1134" t="s">
        <v>6378</v>
      </c>
      <c r="E1404" s="1135">
        <v>33137.300000000003</v>
      </c>
      <c r="F1404" s="1135">
        <v>6505441.5</v>
      </c>
      <c r="G1404" s="1135">
        <v>5049813.3</v>
      </c>
      <c r="H1404" s="1135" t="e">
        <v>#REF!</v>
      </c>
      <c r="I1404" s="1135" t="e">
        <v>#REF!</v>
      </c>
      <c r="J1404" s="1135" t="e">
        <v>#REF!</v>
      </c>
      <c r="K1404" s="1135" t="e">
        <v>#REF!</v>
      </c>
    </row>
    <row r="1405" spans="1:11" s="1136" customFormat="1" ht="45">
      <c r="A1405" s="1131">
        <v>1399</v>
      </c>
      <c r="B1405" s="1132" t="s">
        <v>11926</v>
      </c>
      <c r="C1405" s="1133" t="s">
        <v>11927</v>
      </c>
      <c r="D1405" s="1134" t="s">
        <v>6378</v>
      </c>
      <c r="E1405" s="1135">
        <v>33881.199999999997</v>
      </c>
      <c r="F1405" s="1135">
        <v>9112656.0999999996</v>
      </c>
      <c r="G1405" s="1135">
        <v>5607710.0999999996</v>
      </c>
      <c r="H1405" s="1135" t="e">
        <v>#REF!</v>
      </c>
      <c r="I1405" s="1135" t="e">
        <v>#REF!</v>
      </c>
      <c r="J1405" s="1135" t="e">
        <v>#REF!</v>
      </c>
      <c r="K1405" s="1135" t="e">
        <v>#REF!</v>
      </c>
    </row>
    <row r="1406" spans="1:11" s="1136" customFormat="1" ht="45">
      <c r="A1406" s="1131">
        <v>1400</v>
      </c>
      <c r="B1406" s="1132" t="s">
        <v>11928</v>
      </c>
      <c r="C1406" s="1133" t="s">
        <v>11929</v>
      </c>
      <c r="D1406" s="1134" t="s">
        <v>6378</v>
      </c>
      <c r="E1406" s="1135">
        <v>43882.9</v>
      </c>
      <c r="F1406" s="1135">
        <v>12494478.1</v>
      </c>
      <c r="G1406" s="1135">
        <v>7860552.7999999998</v>
      </c>
      <c r="H1406" s="1135" t="e">
        <v>#REF!</v>
      </c>
      <c r="I1406" s="1135" t="e">
        <v>#REF!</v>
      </c>
      <c r="J1406" s="1135" t="e">
        <v>#REF!</v>
      </c>
      <c r="K1406" s="1135" t="e">
        <v>#REF!</v>
      </c>
    </row>
    <row r="1407" spans="1:11" s="1136" customFormat="1" ht="45">
      <c r="A1407" s="1131">
        <v>1401</v>
      </c>
      <c r="B1407" s="1132" t="s">
        <v>11930</v>
      </c>
      <c r="C1407" s="1133" t="s">
        <v>11931</v>
      </c>
      <c r="D1407" s="1134" t="s">
        <v>6378</v>
      </c>
      <c r="E1407" s="1135">
        <v>49704.2</v>
      </c>
      <c r="F1407" s="1135">
        <v>15466954.699999999</v>
      </c>
      <c r="G1407" s="1135">
        <v>9129319.5999999996</v>
      </c>
      <c r="H1407" s="1135" t="e">
        <v>#REF!</v>
      </c>
      <c r="I1407" s="1135" t="e">
        <v>#REF!</v>
      </c>
      <c r="J1407" s="1135" t="e">
        <v>#REF!</v>
      </c>
      <c r="K1407" s="1135" t="e">
        <v>#REF!</v>
      </c>
    </row>
    <row r="1408" spans="1:11" s="1136" customFormat="1" ht="45">
      <c r="A1408" s="1131">
        <v>1402</v>
      </c>
      <c r="B1408" s="1132" t="s">
        <v>11932</v>
      </c>
      <c r="C1408" s="1133" t="s">
        <v>11933</v>
      </c>
      <c r="D1408" s="1134" t="s">
        <v>6378</v>
      </c>
      <c r="E1408" s="1135">
        <v>73615.600000000006</v>
      </c>
      <c r="F1408" s="1135">
        <v>19519473.199999999</v>
      </c>
      <c r="G1408" s="1135">
        <v>11123096</v>
      </c>
      <c r="H1408" s="1135" t="e">
        <v>#REF!</v>
      </c>
      <c r="I1408" s="1135" t="e">
        <v>#REF!</v>
      </c>
      <c r="J1408" s="1135" t="e">
        <v>#REF!</v>
      </c>
      <c r="K1408" s="1135" t="e">
        <v>#REF!</v>
      </c>
    </row>
    <row r="1409" spans="1:11" s="1136" customFormat="1" ht="45">
      <c r="A1409" s="1131">
        <v>1403</v>
      </c>
      <c r="B1409" s="1132" t="s">
        <v>11934</v>
      </c>
      <c r="C1409" s="1133" t="s">
        <v>11935</v>
      </c>
      <c r="D1409" s="1134" t="s">
        <v>6378</v>
      </c>
      <c r="E1409" s="1135">
        <v>40464.199999999997</v>
      </c>
      <c r="F1409" s="1135">
        <v>6527483.0999999996</v>
      </c>
      <c r="G1409" s="1135">
        <v>7224842.0999999996</v>
      </c>
      <c r="H1409" s="1135" t="e">
        <v>#REF!</v>
      </c>
      <c r="I1409" s="1135" t="e">
        <v>#REF!</v>
      </c>
      <c r="J1409" s="1135" t="e">
        <v>#REF!</v>
      </c>
      <c r="K1409" s="1135" t="e">
        <v>#REF!</v>
      </c>
    </row>
    <row r="1410" spans="1:11" s="1136" customFormat="1" ht="45">
      <c r="A1410" s="1131">
        <v>1404</v>
      </c>
      <c r="B1410" s="1132" t="s">
        <v>11936</v>
      </c>
      <c r="C1410" s="1133" t="s">
        <v>11937</v>
      </c>
      <c r="D1410" s="1134" t="s">
        <v>6378</v>
      </c>
      <c r="E1410" s="1135">
        <v>64954.1</v>
      </c>
      <c r="F1410" s="1135">
        <v>7969638.0999999996</v>
      </c>
      <c r="G1410" s="1135">
        <v>7949851.7000000002</v>
      </c>
      <c r="H1410" s="1135" t="e">
        <v>#REF!</v>
      </c>
      <c r="I1410" s="1135" t="e">
        <v>#REF!</v>
      </c>
      <c r="J1410" s="1135" t="e">
        <v>#REF!</v>
      </c>
      <c r="K1410" s="1135" t="e">
        <v>#REF!</v>
      </c>
    </row>
    <row r="1411" spans="1:11" s="1136" customFormat="1" ht="45">
      <c r="A1411" s="1131">
        <v>1405</v>
      </c>
      <c r="B1411" s="1132" t="s">
        <v>11938</v>
      </c>
      <c r="C1411" s="1133" t="s">
        <v>11939</v>
      </c>
      <c r="D1411" s="1134" t="s">
        <v>6378</v>
      </c>
      <c r="E1411" s="1135">
        <v>66461.399999999994</v>
      </c>
      <c r="F1411" s="1135">
        <v>11115299.300000001</v>
      </c>
      <c r="G1411" s="1135">
        <v>8870253.3000000007</v>
      </c>
      <c r="H1411" s="1135" t="e">
        <v>#REF!</v>
      </c>
      <c r="I1411" s="1135" t="e">
        <v>#REF!</v>
      </c>
      <c r="J1411" s="1135" t="e">
        <v>#REF!</v>
      </c>
      <c r="K1411" s="1135" t="e">
        <v>#REF!</v>
      </c>
    </row>
    <row r="1412" spans="1:11" s="1136" customFormat="1" ht="45">
      <c r="A1412" s="1131">
        <v>1406</v>
      </c>
      <c r="B1412" s="1132" t="s">
        <v>11940</v>
      </c>
      <c r="C1412" s="1133" t="s">
        <v>11941</v>
      </c>
      <c r="D1412" s="1134" t="s">
        <v>6378</v>
      </c>
      <c r="E1412" s="1135">
        <v>85978.9</v>
      </c>
      <c r="F1412" s="1135">
        <v>14522311.699999999</v>
      </c>
      <c r="G1412" s="1135">
        <v>12210610.4</v>
      </c>
      <c r="H1412" s="1135" t="e">
        <v>#REF!</v>
      </c>
      <c r="I1412" s="1135" t="e">
        <v>#REF!</v>
      </c>
      <c r="J1412" s="1135" t="e">
        <v>#REF!</v>
      </c>
      <c r="K1412" s="1135" t="e">
        <v>#REF!</v>
      </c>
    </row>
    <row r="1413" spans="1:11" s="1136" customFormat="1" ht="45">
      <c r="A1413" s="1131">
        <v>1407</v>
      </c>
      <c r="B1413" s="1132" t="s">
        <v>11942</v>
      </c>
      <c r="C1413" s="1133" t="s">
        <v>11943</v>
      </c>
      <c r="D1413" s="1134" t="s">
        <v>6378</v>
      </c>
      <c r="E1413" s="1135">
        <v>97489.8</v>
      </c>
      <c r="F1413" s="1135">
        <v>18137145.600000001</v>
      </c>
      <c r="G1413" s="1135">
        <v>14748144</v>
      </c>
      <c r="H1413" s="1135" t="e">
        <v>#REF!</v>
      </c>
      <c r="I1413" s="1135" t="e">
        <v>#REF!</v>
      </c>
      <c r="J1413" s="1135" t="e">
        <v>#REF!</v>
      </c>
      <c r="K1413" s="1135" t="e">
        <v>#REF!</v>
      </c>
    </row>
    <row r="1414" spans="1:11" s="1136" customFormat="1" ht="45">
      <c r="A1414" s="1131">
        <v>1408</v>
      </c>
      <c r="B1414" s="1132" t="s">
        <v>11944</v>
      </c>
      <c r="C1414" s="1133" t="s">
        <v>11945</v>
      </c>
      <c r="D1414" s="1134" t="s">
        <v>6378</v>
      </c>
      <c r="E1414" s="1135">
        <v>144864.29999999999</v>
      </c>
      <c r="F1414" s="1135">
        <v>23395658.300000001</v>
      </c>
      <c r="G1414" s="1135">
        <v>18735696.800000001</v>
      </c>
      <c r="H1414" s="1135" t="e">
        <v>#REF!</v>
      </c>
      <c r="I1414" s="1135" t="e">
        <v>#REF!</v>
      </c>
      <c r="J1414" s="1135" t="e">
        <v>#REF!</v>
      </c>
      <c r="K1414" s="1135" t="e">
        <v>#REF!</v>
      </c>
    </row>
    <row r="1415" spans="1:11" s="1136" customFormat="1" ht="45">
      <c r="A1415" s="1131">
        <v>1409</v>
      </c>
      <c r="B1415" s="1132" t="s">
        <v>11946</v>
      </c>
      <c r="C1415" s="1133" t="s">
        <v>11947</v>
      </c>
      <c r="D1415" s="1134" t="s">
        <v>6378</v>
      </c>
      <c r="E1415" s="1135">
        <v>61090.400000000001</v>
      </c>
      <c r="F1415" s="1135">
        <v>7594929.7000000002</v>
      </c>
      <c r="G1415" s="1135">
        <v>9862064.5</v>
      </c>
      <c r="H1415" s="1135" t="e">
        <v>#REF!</v>
      </c>
      <c r="I1415" s="1135" t="e">
        <v>#REF!</v>
      </c>
      <c r="J1415" s="1135" t="e">
        <v>#REF!</v>
      </c>
      <c r="K1415" s="1135" t="e">
        <v>#REF!</v>
      </c>
    </row>
    <row r="1416" spans="1:11" s="1136" customFormat="1" ht="45">
      <c r="A1416" s="1131">
        <v>1410</v>
      </c>
      <c r="B1416" s="1132" t="s">
        <v>11948</v>
      </c>
      <c r="C1416" s="1133" t="s">
        <v>11949</v>
      </c>
      <c r="D1416" s="1134" t="s">
        <v>6378</v>
      </c>
      <c r="E1416" s="1135">
        <v>98091.3</v>
      </c>
      <c r="F1416" s="1135">
        <v>9436983.5999999996</v>
      </c>
      <c r="G1416" s="1135">
        <v>10967704.1</v>
      </c>
      <c r="H1416" s="1135" t="e">
        <v>#REF!</v>
      </c>
      <c r="I1416" s="1135" t="e">
        <v>#REF!</v>
      </c>
      <c r="J1416" s="1135" t="e">
        <v>#REF!</v>
      </c>
      <c r="K1416" s="1135" t="e">
        <v>#REF!</v>
      </c>
    </row>
    <row r="1417" spans="1:11" s="1136" customFormat="1" ht="45">
      <c r="A1417" s="1131">
        <v>1411</v>
      </c>
      <c r="B1417" s="1132" t="s">
        <v>11950</v>
      </c>
      <c r="C1417" s="1133" t="s">
        <v>11951</v>
      </c>
      <c r="D1417" s="1134" t="s">
        <v>6378</v>
      </c>
      <c r="E1417" s="1135">
        <v>100323</v>
      </c>
      <c r="F1417" s="1135">
        <v>12730638.800000001</v>
      </c>
      <c r="G1417" s="1135">
        <v>12259673.199999999</v>
      </c>
      <c r="H1417" s="1135" t="e">
        <v>#REF!</v>
      </c>
      <c r="I1417" s="1135" t="e">
        <v>#REF!</v>
      </c>
      <c r="J1417" s="1135" t="e">
        <v>#REF!</v>
      </c>
      <c r="K1417" s="1135" t="e">
        <v>#REF!</v>
      </c>
    </row>
    <row r="1418" spans="1:11" s="1136" customFormat="1" ht="45">
      <c r="A1418" s="1131">
        <v>1412</v>
      </c>
      <c r="B1418" s="1132" t="s">
        <v>11952</v>
      </c>
      <c r="C1418" s="1133" t="s">
        <v>11953</v>
      </c>
      <c r="D1418" s="1134" t="s">
        <v>6378</v>
      </c>
      <c r="E1418" s="1135">
        <v>129842.2</v>
      </c>
      <c r="F1418" s="1135">
        <v>16934300.199999999</v>
      </c>
      <c r="G1418" s="1135">
        <v>16732857.800000001</v>
      </c>
      <c r="H1418" s="1135" t="e">
        <v>#REF!</v>
      </c>
      <c r="I1418" s="1135" t="e">
        <v>#REF!</v>
      </c>
      <c r="J1418" s="1135" t="e">
        <v>#REF!</v>
      </c>
      <c r="K1418" s="1135" t="e">
        <v>#REF!</v>
      </c>
    </row>
    <row r="1419" spans="1:11" s="1136" customFormat="1" ht="45">
      <c r="A1419" s="1131">
        <v>1413</v>
      </c>
      <c r="B1419" s="1132" t="s">
        <v>11954</v>
      </c>
      <c r="C1419" s="1133" t="s">
        <v>11955</v>
      </c>
      <c r="D1419" s="1134" t="s">
        <v>6378</v>
      </c>
      <c r="E1419" s="1135">
        <v>147193.79999999999</v>
      </c>
      <c r="F1419" s="1135">
        <v>20939586.5</v>
      </c>
      <c r="G1419" s="1135">
        <v>20593533.899999999</v>
      </c>
      <c r="H1419" s="1135" t="e">
        <v>#REF!</v>
      </c>
      <c r="I1419" s="1135" t="e">
        <v>#REF!</v>
      </c>
      <c r="J1419" s="1135" t="e">
        <v>#REF!</v>
      </c>
      <c r="K1419" s="1135" t="e">
        <v>#REF!</v>
      </c>
    </row>
    <row r="1420" spans="1:11" s="1136" customFormat="1" ht="45">
      <c r="A1420" s="1131">
        <v>1414</v>
      </c>
      <c r="B1420" s="1132" t="s">
        <v>11956</v>
      </c>
      <c r="C1420" s="1133" t="s">
        <v>11957</v>
      </c>
      <c r="D1420" s="1134" t="s">
        <v>6378</v>
      </c>
      <c r="E1420" s="1135">
        <v>218499.4</v>
      </c>
      <c r="F1420" s="1135">
        <v>26988450.5</v>
      </c>
      <c r="G1420" s="1135">
        <v>26656426.699999999</v>
      </c>
      <c r="H1420" s="1135" t="e">
        <v>#REF!</v>
      </c>
      <c r="I1420" s="1135" t="e">
        <v>#REF!</v>
      </c>
      <c r="J1420" s="1135" t="e">
        <v>#REF!</v>
      </c>
      <c r="K1420" s="1135" t="e">
        <v>#REF!</v>
      </c>
    </row>
    <row r="1421" spans="1:11" s="1136" customFormat="1" ht="45">
      <c r="A1421" s="1131">
        <v>1415</v>
      </c>
      <c r="B1421" s="1132" t="s">
        <v>11958</v>
      </c>
      <c r="C1421" s="1133" t="s">
        <v>11959</v>
      </c>
      <c r="D1421" s="1134" t="s">
        <v>6378</v>
      </c>
      <c r="E1421" s="1135">
        <v>78604.100000000006</v>
      </c>
      <c r="F1421" s="1135">
        <v>8401025.0999999996</v>
      </c>
      <c r="G1421" s="1135">
        <v>10677700.300000001</v>
      </c>
      <c r="H1421" s="1135" t="e">
        <v>#REF!</v>
      </c>
      <c r="I1421" s="1135" t="e">
        <v>#REF!</v>
      </c>
      <c r="J1421" s="1135" t="e">
        <v>#REF!</v>
      </c>
      <c r="K1421" s="1135" t="e">
        <v>#REF!</v>
      </c>
    </row>
    <row r="1422" spans="1:11" s="1136" customFormat="1" ht="45">
      <c r="A1422" s="1131">
        <v>1416</v>
      </c>
      <c r="B1422" s="1132" t="s">
        <v>11960</v>
      </c>
      <c r="C1422" s="1133" t="s">
        <v>11961</v>
      </c>
      <c r="D1422" s="1134" t="s">
        <v>6378</v>
      </c>
      <c r="E1422" s="1135">
        <v>126902.2</v>
      </c>
      <c r="F1422" s="1135">
        <v>10513876.6</v>
      </c>
      <c r="G1422" s="1135">
        <v>11892091.4</v>
      </c>
      <c r="H1422" s="1135" t="e">
        <v>#REF!</v>
      </c>
      <c r="I1422" s="1135" t="e">
        <v>#REF!</v>
      </c>
      <c r="J1422" s="1135" t="e">
        <v>#REF!</v>
      </c>
      <c r="K1422" s="1135" t="e">
        <v>#REF!</v>
      </c>
    </row>
    <row r="1423" spans="1:11" s="1136" customFormat="1" ht="45">
      <c r="A1423" s="1131">
        <v>1417</v>
      </c>
      <c r="B1423" s="1132" t="s">
        <v>11962</v>
      </c>
      <c r="C1423" s="1133" t="s">
        <v>11963</v>
      </c>
      <c r="D1423" s="1134" t="s">
        <v>6378</v>
      </c>
      <c r="E1423" s="1135">
        <v>129368.8</v>
      </c>
      <c r="F1423" s="1135">
        <v>13958674.699999999</v>
      </c>
      <c r="G1423" s="1135">
        <v>13310937</v>
      </c>
      <c r="H1423" s="1135" t="e">
        <v>#REF!</v>
      </c>
      <c r="I1423" s="1135" t="e">
        <v>#REF!</v>
      </c>
      <c r="J1423" s="1135" t="e">
        <v>#REF!</v>
      </c>
      <c r="K1423" s="1135" t="e">
        <v>#REF!</v>
      </c>
    </row>
    <row r="1424" spans="1:11" s="1136" customFormat="1" ht="45">
      <c r="A1424" s="1131">
        <v>1418</v>
      </c>
      <c r="B1424" s="1132" t="s">
        <v>11964</v>
      </c>
      <c r="C1424" s="1133" t="s">
        <v>11965</v>
      </c>
      <c r="D1424" s="1134" t="s">
        <v>6378</v>
      </c>
      <c r="E1424" s="1135">
        <v>168165.4</v>
      </c>
      <c r="F1424" s="1135">
        <v>18568532.600000001</v>
      </c>
      <c r="G1424" s="1135">
        <v>18128501.300000001</v>
      </c>
      <c r="H1424" s="1135" t="e">
        <v>#REF!</v>
      </c>
      <c r="I1424" s="1135" t="e">
        <v>#REF!</v>
      </c>
      <c r="J1424" s="1135" t="e">
        <v>#REF!</v>
      </c>
      <c r="K1424" s="1135" t="e">
        <v>#REF!</v>
      </c>
    </row>
    <row r="1425" spans="1:11" s="1136" customFormat="1" ht="45">
      <c r="A1425" s="1131">
        <v>1419</v>
      </c>
      <c r="B1425" s="1132" t="s">
        <v>11966</v>
      </c>
      <c r="C1425" s="1133" t="s">
        <v>11967</v>
      </c>
      <c r="D1425" s="1134" t="s">
        <v>6378</v>
      </c>
      <c r="E1425" s="1135">
        <v>189791.8</v>
      </c>
      <c r="F1425" s="1135">
        <v>22964271.300000001</v>
      </c>
      <c r="G1425" s="1135">
        <v>22387932.600000001</v>
      </c>
      <c r="H1425" s="1135" t="e">
        <v>#REF!</v>
      </c>
      <c r="I1425" s="1135" t="e">
        <v>#REF!</v>
      </c>
      <c r="J1425" s="1135" t="e">
        <v>#REF!</v>
      </c>
      <c r="K1425" s="1135" t="e">
        <v>#REF!</v>
      </c>
    </row>
    <row r="1426" spans="1:11" s="1136" customFormat="1" ht="45">
      <c r="A1426" s="1131">
        <v>1420</v>
      </c>
      <c r="B1426" s="1132" t="s">
        <v>11968</v>
      </c>
      <c r="C1426" s="1133" t="s">
        <v>11969</v>
      </c>
      <c r="D1426" s="1134" t="s">
        <v>6378</v>
      </c>
      <c r="E1426" s="1135">
        <v>278470.40000000002</v>
      </c>
      <c r="F1426" s="1135">
        <v>29598814</v>
      </c>
      <c r="G1426" s="1135">
        <v>29085208.800000001</v>
      </c>
      <c r="H1426" s="1135" t="e">
        <v>#REF!</v>
      </c>
      <c r="I1426" s="1135" t="e">
        <v>#REF!</v>
      </c>
      <c r="J1426" s="1135" t="e">
        <v>#REF!</v>
      </c>
      <c r="K1426" s="1135" t="e">
        <v>#REF!</v>
      </c>
    </row>
    <row r="1427" spans="1:11" s="1136" customFormat="1" ht="45">
      <c r="A1427" s="1131">
        <v>1421</v>
      </c>
      <c r="B1427" s="1132" t="s">
        <v>11970</v>
      </c>
      <c r="C1427" s="1133" t="s">
        <v>11971</v>
      </c>
      <c r="D1427" s="1134" t="s">
        <v>6378</v>
      </c>
      <c r="E1427" s="1135">
        <v>95368.5</v>
      </c>
      <c r="F1427" s="1135">
        <v>9210269.3000000007</v>
      </c>
      <c r="G1427" s="1135">
        <v>11593024.9</v>
      </c>
      <c r="H1427" s="1135" t="e">
        <v>#REF!</v>
      </c>
      <c r="I1427" s="1135" t="e">
        <v>#REF!</v>
      </c>
      <c r="J1427" s="1135" t="e">
        <v>#REF!</v>
      </c>
      <c r="K1427" s="1135" t="e">
        <v>#REF!</v>
      </c>
    </row>
    <row r="1428" spans="1:11" s="1136" customFormat="1" ht="45">
      <c r="A1428" s="1131">
        <v>1422</v>
      </c>
      <c r="B1428" s="1132" t="s">
        <v>11972</v>
      </c>
      <c r="C1428" s="1133" t="s">
        <v>11973</v>
      </c>
      <c r="D1428" s="1134" t="s">
        <v>6378</v>
      </c>
      <c r="E1428" s="1135">
        <v>154392.6</v>
      </c>
      <c r="F1428" s="1135">
        <v>11590769.6</v>
      </c>
      <c r="G1428" s="1135">
        <v>12934292.699999999</v>
      </c>
      <c r="H1428" s="1135" t="e">
        <v>#REF!</v>
      </c>
      <c r="I1428" s="1135" t="e">
        <v>#REF!</v>
      </c>
      <c r="J1428" s="1135" t="e">
        <v>#REF!</v>
      </c>
      <c r="K1428" s="1135" t="e">
        <v>#REF!</v>
      </c>
    </row>
    <row r="1429" spans="1:11" s="1136" customFormat="1" ht="45">
      <c r="A1429" s="1131">
        <v>1423</v>
      </c>
      <c r="B1429" s="1132" t="s">
        <v>11974</v>
      </c>
      <c r="C1429" s="1133" t="s">
        <v>11975</v>
      </c>
      <c r="D1429" s="1134" t="s">
        <v>6378</v>
      </c>
      <c r="E1429" s="1135">
        <v>157133.29999999999</v>
      </c>
      <c r="F1429" s="1135">
        <v>15315811.800000001</v>
      </c>
      <c r="G1429" s="1135">
        <v>14480015</v>
      </c>
      <c r="H1429" s="1135" t="e">
        <v>#REF!</v>
      </c>
      <c r="I1429" s="1135" t="e">
        <v>#REF!</v>
      </c>
      <c r="J1429" s="1135" t="e">
        <v>#REF!</v>
      </c>
      <c r="K1429" s="1135" t="e">
        <v>#REF!</v>
      </c>
    </row>
    <row r="1430" spans="1:11" s="1136" customFormat="1" ht="45">
      <c r="A1430" s="1131">
        <v>1424</v>
      </c>
      <c r="B1430" s="1132" t="s">
        <v>11976</v>
      </c>
      <c r="C1430" s="1133" t="s">
        <v>11977</v>
      </c>
      <c r="D1430" s="1134" t="s">
        <v>6378</v>
      </c>
      <c r="E1430" s="1135">
        <v>204701.8</v>
      </c>
      <c r="F1430" s="1135">
        <v>20209062.600000001</v>
      </c>
      <c r="G1430" s="1135">
        <v>19696334.5</v>
      </c>
      <c r="H1430" s="1135" t="e">
        <v>#REF!</v>
      </c>
      <c r="I1430" s="1135" t="e">
        <v>#REF!</v>
      </c>
      <c r="J1430" s="1135" t="e">
        <v>#REF!</v>
      </c>
      <c r="K1430" s="1135" t="e">
        <v>#REF!</v>
      </c>
    </row>
    <row r="1431" spans="1:11" s="1136" customFormat="1" ht="45">
      <c r="A1431" s="1131">
        <v>1425</v>
      </c>
      <c r="B1431" s="1132" t="s">
        <v>11978</v>
      </c>
      <c r="C1431" s="1133" t="s">
        <v>11979</v>
      </c>
      <c r="D1431" s="1134" t="s">
        <v>6378</v>
      </c>
      <c r="E1431" s="1135">
        <v>230510.5</v>
      </c>
      <c r="F1431" s="1135">
        <v>24992105</v>
      </c>
      <c r="G1431" s="1135">
        <v>24408896.899999999</v>
      </c>
      <c r="H1431" s="1135" t="e">
        <v>#REF!</v>
      </c>
      <c r="I1431" s="1135" t="e">
        <v>#REF!</v>
      </c>
      <c r="J1431" s="1135" t="e">
        <v>#REF!</v>
      </c>
      <c r="K1431" s="1135" t="e">
        <v>#REF!</v>
      </c>
    </row>
    <row r="1432" spans="1:11" s="1136" customFormat="1" ht="45">
      <c r="A1432" s="1131">
        <v>1426</v>
      </c>
      <c r="B1432" s="1132" t="s">
        <v>11980</v>
      </c>
      <c r="C1432" s="1133" t="s">
        <v>11981</v>
      </c>
      <c r="D1432" s="1134" t="s">
        <v>6378</v>
      </c>
      <c r="E1432" s="1135">
        <v>336094.1</v>
      </c>
      <c r="F1432" s="1135">
        <v>32316237</v>
      </c>
      <c r="G1432" s="1135">
        <v>31831182.699999999</v>
      </c>
      <c r="H1432" s="1135" t="e">
        <v>#REF!</v>
      </c>
      <c r="I1432" s="1135" t="e">
        <v>#REF!</v>
      </c>
      <c r="J1432" s="1135" t="e">
        <v>#REF!</v>
      </c>
      <c r="K1432" s="1135" t="e">
        <v>#REF!</v>
      </c>
    </row>
    <row r="1433" spans="1:11" s="1136" customFormat="1" ht="45">
      <c r="A1433" s="1131">
        <v>1427</v>
      </c>
      <c r="B1433" s="1132" t="s">
        <v>11982</v>
      </c>
      <c r="C1433" s="1133" t="s">
        <v>11983</v>
      </c>
      <c r="D1433" s="1134" t="s">
        <v>6378</v>
      </c>
      <c r="E1433" s="1135">
        <v>112705.8</v>
      </c>
      <c r="F1433" s="1135">
        <v>10016364.6</v>
      </c>
      <c r="G1433" s="1135">
        <v>12299909.300000001</v>
      </c>
      <c r="H1433" s="1135" t="e">
        <v>#REF!</v>
      </c>
      <c r="I1433" s="1135" t="e">
        <v>#REF!</v>
      </c>
      <c r="J1433" s="1135" t="e">
        <v>#REF!</v>
      </c>
      <c r="K1433" s="1135" t="e">
        <v>#REF!</v>
      </c>
    </row>
    <row r="1434" spans="1:11" s="1136" customFormat="1" ht="45">
      <c r="A1434" s="1131">
        <v>1428</v>
      </c>
      <c r="B1434" s="1132" t="s">
        <v>11984</v>
      </c>
      <c r="C1434" s="1133" t="s">
        <v>11985</v>
      </c>
      <c r="D1434" s="1134" t="s">
        <v>6378</v>
      </c>
      <c r="E1434" s="1135">
        <v>182949.1</v>
      </c>
      <c r="F1434" s="1135">
        <v>12538561.4</v>
      </c>
      <c r="G1434" s="1135">
        <v>13749928.5</v>
      </c>
      <c r="H1434" s="1135" t="e">
        <v>#REF!</v>
      </c>
      <c r="I1434" s="1135" t="e">
        <v>#REF!</v>
      </c>
      <c r="J1434" s="1135" t="e">
        <v>#REF!</v>
      </c>
      <c r="K1434" s="1135" t="e">
        <v>#REF!</v>
      </c>
    </row>
    <row r="1435" spans="1:11" s="1136" customFormat="1" ht="45">
      <c r="A1435" s="1131">
        <v>1429</v>
      </c>
      <c r="B1435" s="1132" t="s">
        <v>11986</v>
      </c>
      <c r="C1435" s="1133" t="s">
        <v>11987</v>
      </c>
      <c r="D1435" s="1134" t="s">
        <v>6378</v>
      </c>
      <c r="E1435" s="1135">
        <v>182949.1</v>
      </c>
      <c r="F1435" s="1135">
        <v>16543847.699999999</v>
      </c>
      <c r="G1435" s="1135">
        <v>15395339.699999999</v>
      </c>
      <c r="H1435" s="1135" t="e">
        <v>#REF!</v>
      </c>
      <c r="I1435" s="1135" t="e">
        <v>#REF!</v>
      </c>
      <c r="J1435" s="1135" t="e">
        <v>#REF!</v>
      </c>
      <c r="K1435" s="1135" t="e">
        <v>#REF!</v>
      </c>
    </row>
    <row r="1436" spans="1:11" s="1136" customFormat="1" ht="45">
      <c r="A1436" s="1131">
        <v>1430</v>
      </c>
      <c r="B1436" s="1132" t="s">
        <v>11988</v>
      </c>
      <c r="C1436" s="1133" t="s">
        <v>11989</v>
      </c>
      <c r="D1436" s="1134" t="s">
        <v>6378</v>
      </c>
      <c r="E1436" s="1135">
        <v>242692.3</v>
      </c>
      <c r="F1436" s="1135">
        <v>21714193.800000001</v>
      </c>
      <c r="G1436" s="1135">
        <v>20910725.5</v>
      </c>
      <c r="H1436" s="1135" t="e">
        <v>#REF!</v>
      </c>
      <c r="I1436" s="1135" t="e">
        <v>#REF!</v>
      </c>
      <c r="J1436" s="1135" t="e">
        <v>#REF!</v>
      </c>
      <c r="K1436" s="1135" t="e">
        <v>#REF!</v>
      </c>
    </row>
    <row r="1437" spans="1:11" s="1136" customFormat="1" ht="45">
      <c r="A1437" s="1131">
        <v>1431</v>
      </c>
      <c r="B1437" s="1132" t="s">
        <v>11990</v>
      </c>
      <c r="C1437" s="1133" t="s">
        <v>11991</v>
      </c>
      <c r="D1437" s="1134" t="s">
        <v>6378</v>
      </c>
      <c r="E1437" s="1135">
        <v>272697.3</v>
      </c>
      <c r="F1437" s="1135">
        <v>26884539.800000001</v>
      </c>
      <c r="G1437" s="1135">
        <v>25985792.800000001</v>
      </c>
      <c r="H1437" s="1135" t="e">
        <v>#REF!</v>
      </c>
      <c r="I1437" s="1135" t="e">
        <v>#REF!</v>
      </c>
      <c r="J1437" s="1135" t="e">
        <v>#REF!</v>
      </c>
      <c r="K1437" s="1135" t="e">
        <v>#REF!</v>
      </c>
    </row>
    <row r="1438" spans="1:11" s="1136" customFormat="1" ht="45">
      <c r="A1438" s="1131">
        <v>1432</v>
      </c>
      <c r="B1438" s="1132" t="s">
        <v>11992</v>
      </c>
      <c r="C1438" s="1133" t="s">
        <v>11993</v>
      </c>
      <c r="D1438" s="1134" t="s">
        <v>6378</v>
      </c>
      <c r="E1438" s="1135">
        <v>395262.4</v>
      </c>
      <c r="F1438" s="1135">
        <v>35030511.299999997</v>
      </c>
      <c r="G1438" s="1135">
        <v>33960898.299999997</v>
      </c>
      <c r="H1438" s="1135" t="e">
        <v>#REF!</v>
      </c>
      <c r="I1438" s="1135" t="e">
        <v>#REF!</v>
      </c>
      <c r="J1438" s="1135" t="e">
        <v>#REF!</v>
      </c>
      <c r="K1438" s="1135" t="e">
        <v>#REF!</v>
      </c>
    </row>
    <row r="1439" spans="1:11" s="1136" customFormat="1" ht="45">
      <c r="A1439" s="1131">
        <v>1433</v>
      </c>
      <c r="B1439" s="1132" t="s">
        <v>11994</v>
      </c>
      <c r="C1439" s="1133" t="s">
        <v>11995</v>
      </c>
      <c r="D1439" s="1134" t="s">
        <v>6378</v>
      </c>
      <c r="E1439" s="1135">
        <v>58173.599999999999</v>
      </c>
      <c r="F1439" s="1135">
        <v>7078524.9000000004</v>
      </c>
      <c r="G1439" s="1135">
        <v>8140166.7000000002</v>
      </c>
      <c r="H1439" s="1135" t="e">
        <v>#REF!</v>
      </c>
      <c r="I1439" s="1135" t="e">
        <v>#REF!</v>
      </c>
      <c r="J1439" s="1135" t="e">
        <v>#REF!</v>
      </c>
      <c r="K1439" s="1135" t="e">
        <v>#REF!</v>
      </c>
    </row>
    <row r="1440" spans="1:11" s="1136" customFormat="1" ht="45">
      <c r="A1440" s="1131">
        <v>1434</v>
      </c>
      <c r="B1440" s="1132" t="s">
        <v>11996</v>
      </c>
      <c r="C1440" s="1133" t="s">
        <v>11997</v>
      </c>
      <c r="D1440" s="1134" t="s">
        <v>6378</v>
      </c>
      <c r="E1440" s="1135">
        <v>94019.4</v>
      </c>
      <c r="F1440" s="1135">
        <v>9049679.9000000004</v>
      </c>
      <c r="G1440" s="1135">
        <v>8992053</v>
      </c>
      <c r="H1440" s="1135" t="e">
        <v>#REF!</v>
      </c>
      <c r="I1440" s="1135" t="e">
        <v>#REF!</v>
      </c>
      <c r="J1440" s="1135" t="e">
        <v>#REF!</v>
      </c>
      <c r="K1440" s="1135" t="e">
        <v>#REF!</v>
      </c>
    </row>
    <row r="1441" spans="1:11" s="1136" customFormat="1" ht="45">
      <c r="A1441" s="1131">
        <v>1435</v>
      </c>
      <c r="B1441" s="1132" t="s">
        <v>11998</v>
      </c>
      <c r="C1441" s="1133" t="s">
        <v>11999</v>
      </c>
      <c r="D1441" s="1134" t="s">
        <v>6378</v>
      </c>
      <c r="E1441" s="1135">
        <v>95781.3</v>
      </c>
      <c r="F1441" s="1135">
        <v>12343335.199999999</v>
      </c>
      <c r="G1441" s="1135">
        <v>10048393.800000001</v>
      </c>
      <c r="H1441" s="1135" t="e">
        <v>#REF!</v>
      </c>
      <c r="I1441" s="1135" t="e">
        <v>#REF!</v>
      </c>
      <c r="J1441" s="1135" t="e">
        <v>#REF!</v>
      </c>
      <c r="K1441" s="1135" t="e">
        <v>#REF!</v>
      </c>
    </row>
    <row r="1442" spans="1:11" s="1136" customFormat="1" ht="45">
      <c r="A1442" s="1131">
        <v>1436</v>
      </c>
      <c r="B1442" s="1132" t="s">
        <v>12000</v>
      </c>
      <c r="C1442" s="1133" t="s">
        <v>12001</v>
      </c>
      <c r="D1442" s="1134" t="s">
        <v>6378</v>
      </c>
      <c r="E1442" s="1135">
        <v>124615.4</v>
      </c>
      <c r="F1442" s="1135">
        <v>16156544.1</v>
      </c>
      <c r="G1442" s="1135">
        <v>13778443.699999999</v>
      </c>
      <c r="H1442" s="1135" t="e">
        <v>#REF!</v>
      </c>
      <c r="I1442" s="1135" t="e">
        <v>#REF!</v>
      </c>
      <c r="J1442" s="1135" t="e">
        <v>#REF!</v>
      </c>
      <c r="K1442" s="1135" t="e">
        <v>#REF!</v>
      </c>
    </row>
    <row r="1443" spans="1:11" s="1136" customFormat="1" ht="45">
      <c r="A1443" s="1131">
        <v>1437</v>
      </c>
      <c r="B1443" s="1132" t="s">
        <v>12002</v>
      </c>
      <c r="C1443" s="1133" t="s">
        <v>12003</v>
      </c>
      <c r="D1443" s="1134" t="s">
        <v>6378</v>
      </c>
      <c r="E1443" s="1135">
        <v>140518.39999999999</v>
      </c>
      <c r="F1443" s="1135">
        <v>20294080.5</v>
      </c>
      <c r="G1443" s="1135">
        <v>16769108.300000001</v>
      </c>
      <c r="H1443" s="1135" t="e">
        <v>#REF!</v>
      </c>
      <c r="I1443" s="1135" t="e">
        <v>#REF!</v>
      </c>
      <c r="J1443" s="1135" t="e">
        <v>#REF!</v>
      </c>
      <c r="K1443" s="1135" t="e">
        <v>#REF!</v>
      </c>
    </row>
    <row r="1444" spans="1:11" s="1136" customFormat="1" ht="45">
      <c r="A1444" s="1131">
        <v>1438</v>
      </c>
      <c r="B1444" s="1132" t="s">
        <v>12004</v>
      </c>
      <c r="C1444" s="1133" t="s">
        <v>12005</v>
      </c>
      <c r="D1444" s="1134" t="s">
        <v>6378</v>
      </c>
      <c r="E1444" s="1135">
        <v>205657.4</v>
      </c>
      <c r="F1444" s="1135">
        <v>26109932.5</v>
      </c>
      <c r="G1444" s="1135">
        <v>21472608</v>
      </c>
      <c r="H1444" s="1135" t="e">
        <v>#REF!</v>
      </c>
      <c r="I1444" s="1135" t="e">
        <v>#REF!</v>
      </c>
      <c r="J1444" s="1135" t="e">
        <v>#REF!</v>
      </c>
      <c r="K1444" s="1135" t="e">
        <v>#REF!</v>
      </c>
    </row>
    <row r="1445" spans="1:11" s="1136" customFormat="1" ht="45">
      <c r="A1445" s="1131">
        <v>1439</v>
      </c>
      <c r="B1445" s="1132" t="s">
        <v>12006</v>
      </c>
      <c r="C1445" s="1133" t="s">
        <v>12007</v>
      </c>
      <c r="D1445" s="1134" t="s">
        <v>6378</v>
      </c>
      <c r="E1445" s="1135">
        <v>75687.199999999997</v>
      </c>
      <c r="F1445" s="1135">
        <v>7884620.2000000002</v>
      </c>
      <c r="G1445" s="1135">
        <v>9055491.4000000004</v>
      </c>
      <c r="H1445" s="1135" t="e">
        <v>#REF!</v>
      </c>
      <c r="I1445" s="1135" t="e">
        <v>#REF!</v>
      </c>
      <c r="J1445" s="1135" t="e">
        <v>#REF!</v>
      </c>
      <c r="K1445" s="1135" t="e">
        <v>#REF!</v>
      </c>
    </row>
    <row r="1446" spans="1:11" s="1136" customFormat="1" ht="45">
      <c r="A1446" s="1131">
        <v>1440</v>
      </c>
      <c r="B1446" s="1132" t="s">
        <v>12008</v>
      </c>
      <c r="C1446" s="1133" t="s">
        <v>12009</v>
      </c>
      <c r="D1446" s="1134" t="s">
        <v>6378</v>
      </c>
      <c r="E1446" s="1135">
        <v>122830.39999999999</v>
      </c>
      <c r="F1446" s="1135">
        <v>10126573</v>
      </c>
      <c r="G1446" s="1135">
        <v>10034254.300000001</v>
      </c>
      <c r="H1446" s="1135" t="e">
        <v>#REF!</v>
      </c>
      <c r="I1446" s="1135" t="e">
        <v>#REF!</v>
      </c>
      <c r="J1446" s="1135" t="e">
        <v>#REF!</v>
      </c>
      <c r="K1446" s="1135" t="e">
        <v>#REF!</v>
      </c>
    </row>
    <row r="1447" spans="1:11" s="1136" customFormat="1" ht="45">
      <c r="A1447" s="1131">
        <v>1441</v>
      </c>
      <c r="B1447" s="1132" t="s">
        <v>12010</v>
      </c>
      <c r="C1447" s="1133" t="s">
        <v>12011</v>
      </c>
      <c r="D1447" s="1134" t="s">
        <v>6378</v>
      </c>
      <c r="E1447" s="1135">
        <v>124827.2</v>
      </c>
      <c r="F1447" s="1135">
        <v>13697323.5</v>
      </c>
      <c r="G1447" s="1135">
        <v>11217471.800000001</v>
      </c>
      <c r="H1447" s="1135" t="e">
        <v>#REF!</v>
      </c>
      <c r="I1447" s="1135" t="e">
        <v>#REF!</v>
      </c>
      <c r="J1447" s="1135" t="e">
        <v>#REF!</v>
      </c>
      <c r="K1447" s="1135" t="e">
        <v>#REF!</v>
      </c>
    </row>
    <row r="1448" spans="1:11" s="1136" customFormat="1" ht="45">
      <c r="A1448" s="1131">
        <v>1442</v>
      </c>
      <c r="B1448" s="1132" t="s">
        <v>12012</v>
      </c>
      <c r="C1448" s="1133" t="s">
        <v>12013</v>
      </c>
      <c r="D1448" s="1134" t="s">
        <v>6378</v>
      </c>
      <c r="E1448" s="1135">
        <v>162938.6</v>
      </c>
      <c r="F1448" s="1135">
        <v>17793925.300000001</v>
      </c>
      <c r="G1448" s="1135">
        <v>15346276.9</v>
      </c>
      <c r="H1448" s="1135" t="e">
        <v>#REF!</v>
      </c>
      <c r="I1448" s="1135" t="e">
        <v>#REF!</v>
      </c>
      <c r="J1448" s="1135" t="e">
        <v>#REF!</v>
      </c>
      <c r="K1448" s="1135" t="e">
        <v>#REF!</v>
      </c>
    </row>
    <row r="1449" spans="1:11" s="1136" customFormat="1" ht="45">
      <c r="A1449" s="1131">
        <v>1443</v>
      </c>
      <c r="B1449" s="1132" t="s">
        <v>12014</v>
      </c>
      <c r="C1449" s="1133" t="s">
        <v>12015</v>
      </c>
      <c r="D1449" s="1134" t="s">
        <v>6378</v>
      </c>
      <c r="E1449" s="1135">
        <v>183116.3</v>
      </c>
      <c r="F1449" s="1135">
        <v>22318765.300000001</v>
      </c>
      <c r="G1449" s="1135">
        <v>18790072.600000001</v>
      </c>
      <c r="H1449" s="1135" t="e">
        <v>#REF!</v>
      </c>
      <c r="I1449" s="1135" t="e">
        <v>#REF!</v>
      </c>
      <c r="J1449" s="1135" t="e">
        <v>#REF!</v>
      </c>
      <c r="K1449" s="1135" t="e">
        <v>#REF!</v>
      </c>
    </row>
    <row r="1450" spans="1:11" s="1136" customFormat="1" ht="45">
      <c r="A1450" s="1131">
        <v>1444</v>
      </c>
      <c r="B1450" s="1132" t="s">
        <v>12016</v>
      </c>
      <c r="C1450" s="1133" t="s">
        <v>12017</v>
      </c>
      <c r="D1450" s="1134" t="s">
        <v>6378</v>
      </c>
      <c r="E1450" s="1135">
        <v>265628.5</v>
      </c>
      <c r="F1450" s="1135">
        <v>28824206.699999999</v>
      </c>
      <c r="G1450" s="1135">
        <v>24218581.899999999</v>
      </c>
      <c r="H1450" s="1135" t="e">
        <v>#REF!</v>
      </c>
      <c r="I1450" s="1135" t="e">
        <v>#REF!</v>
      </c>
      <c r="J1450" s="1135" t="e">
        <v>#REF!</v>
      </c>
      <c r="K1450" s="1135" t="e">
        <v>#REF!</v>
      </c>
    </row>
    <row r="1451" spans="1:11" s="1136" customFormat="1" ht="45">
      <c r="A1451" s="1131">
        <v>1445</v>
      </c>
      <c r="B1451" s="1132" t="s">
        <v>12018</v>
      </c>
      <c r="C1451" s="1133" t="s">
        <v>12019</v>
      </c>
      <c r="D1451" s="1134" t="s">
        <v>6378</v>
      </c>
      <c r="E1451" s="1135">
        <v>37371.1</v>
      </c>
      <c r="F1451" s="1135">
        <v>6140179.5</v>
      </c>
      <c r="G1451" s="1135">
        <v>5602633.2000000002</v>
      </c>
      <c r="H1451" s="1135" t="e">
        <v>#REF!</v>
      </c>
      <c r="I1451" s="1135" t="e">
        <v>#REF!</v>
      </c>
      <c r="J1451" s="1135" t="e">
        <v>#REF!</v>
      </c>
      <c r="K1451" s="1135" t="e">
        <v>#REF!</v>
      </c>
    </row>
    <row r="1452" spans="1:11" s="1136" customFormat="1" ht="45">
      <c r="A1452" s="1131">
        <v>1446</v>
      </c>
      <c r="B1452" s="1132" t="s">
        <v>12020</v>
      </c>
      <c r="C1452" s="1133" t="s">
        <v>12021</v>
      </c>
      <c r="D1452" s="1134" t="s">
        <v>6378</v>
      </c>
      <c r="E1452" s="1135">
        <v>60627.6</v>
      </c>
      <c r="F1452" s="1135">
        <v>7840536.9000000004</v>
      </c>
      <c r="G1452" s="1135">
        <v>6092014.5999999996</v>
      </c>
      <c r="H1452" s="1135" t="e">
        <v>#REF!</v>
      </c>
      <c r="I1452" s="1135" t="e">
        <v>#REF!</v>
      </c>
      <c r="J1452" s="1135" t="e">
        <v>#REF!</v>
      </c>
      <c r="K1452" s="1135" t="e">
        <v>#REF!</v>
      </c>
    </row>
    <row r="1453" spans="1:11" s="1136" customFormat="1" ht="45">
      <c r="A1453" s="1131">
        <v>1447</v>
      </c>
      <c r="B1453" s="1132" t="s">
        <v>12022</v>
      </c>
      <c r="C1453" s="1133" t="s">
        <v>12023</v>
      </c>
      <c r="D1453" s="1134" t="s">
        <v>6378</v>
      </c>
      <c r="E1453" s="1135">
        <v>61626.1</v>
      </c>
      <c r="F1453" s="1135">
        <v>10857096.9</v>
      </c>
      <c r="G1453" s="1135">
        <v>6785850.7999999998</v>
      </c>
      <c r="H1453" s="1135" t="e">
        <v>#REF!</v>
      </c>
      <c r="I1453" s="1135" t="e">
        <v>#REF!</v>
      </c>
      <c r="J1453" s="1135" t="e">
        <v>#REF!</v>
      </c>
      <c r="K1453" s="1135" t="e">
        <v>#REF!</v>
      </c>
    </row>
    <row r="1454" spans="1:11" s="1136" customFormat="1" ht="45">
      <c r="A1454" s="1131">
        <v>1448</v>
      </c>
      <c r="B1454" s="1132" t="s">
        <v>12024</v>
      </c>
      <c r="C1454" s="1133" t="s">
        <v>12025</v>
      </c>
      <c r="D1454" s="1134" t="s">
        <v>6378</v>
      </c>
      <c r="E1454" s="1135">
        <v>80419.3</v>
      </c>
      <c r="F1454" s="1135">
        <v>14393210.5</v>
      </c>
      <c r="G1454" s="1135">
        <v>9428386.0999999996</v>
      </c>
      <c r="H1454" s="1135" t="e">
        <v>#REF!</v>
      </c>
      <c r="I1454" s="1135" t="e">
        <v>#REF!</v>
      </c>
      <c r="J1454" s="1135" t="e">
        <v>#REF!</v>
      </c>
      <c r="K1454" s="1135" t="e">
        <v>#REF!</v>
      </c>
    </row>
    <row r="1455" spans="1:11" s="1136" customFormat="1" ht="45">
      <c r="A1455" s="1131">
        <v>1449</v>
      </c>
      <c r="B1455" s="1132" t="s">
        <v>12026</v>
      </c>
      <c r="C1455" s="1133" t="s">
        <v>12027</v>
      </c>
      <c r="D1455" s="1134" t="s">
        <v>6378</v>
      </c>
      <c r="E1455" s="1135">
        <v>90403.199999999997</v>
      </c>
      <c r="F1455" s="1135">
        <v>18011193.199999999</v>
      </c>
      <c r="G1455" s="1135">
        <v>11150283.9</v>
      </c>
      <c r="H1455" s="1135" t="e">
        <v>#REF!</v>
      </c>
      <c r="I1455" s="1135" t="e">
        <v>#REF!</v>
      </c>
      <c r="J1455" s="1135" t="e">
        <v>#REF!</v>
      </c>
      <c r="K1455" s="1135" t="e">
        <v>#REF!</v>
      </c>
    </row>
    <row r="1456" spans="1:11" s="1136" customFormat="1" ht="45">
      <c r="A1456" s="1131">
        <v>1450</v>
      </c>
      <c r="B1456" s="1132" t="s">
        <v>12028</v>
      </c>
      <c r="C1456" s="1133" t="s">
        <v>12029</v>
      </c>
      <c r="D1456" s="1134" t="s">
        <v>6378</v>
      </c>
      <c r="E1456" s="1135">
        <v>131239.20000000001</v>
      </c>
      <c r="F1456" s="1135">
        <v>23008354.699999999</v>
      </c>
      <c r="G1456" s="1135">
        <v>13860007.199999999</v>
      </c>
      <c r="H1456" s="1135" t="e">
        <v>#REF!</v>
      </c>
      <c r="I1456" s="1135" t="e">
        <v>#REF!</v>
      </c>
      <c r="J1456" s="1135" t="e">
        <v>#REF!</v>
      </c>
      <c r="K1456" s="1135" t="e">
        <v>#REF!</v>
      </c>
    </row>
    <row r="1457" spans="1:11" s="1136" customFormat="1" ht="30">
      <c r="A1457" s="1131">
        <v>1451</v>
      </c>
      <c r="B1457" s="1132" t="s">
        <v>12030</v>
      </c>
      <c r="C1457" s="1133" t="s">
        <v>12031</v>
      </c>
      <c r="D1457" s="1134" t="s">
        <v>6378</v>
      </c>
      <c r="E1457" s="1135">
        <v>941989.2</v>
      </c>
      <c r="F1457" s="1135">
        <v>6203155.7000000002</v>
      </c>
      <c r="G1457" s="1135">
        <v>2571092.2000000002</v>
      </c>
      <c r="H1457" s="1135" t="e">
        <v>#REF!</v>
      </c>
      <c r="I1457" s="1135" t="e">
        <v>#REF!</v>
      </c>
      <c r="J1457" s="1135" t="e">
        <v>#REF!</v>
      </c>
      <c r="K1457" s="1135" t="e">
        <v>#REF!</v>
      </c>
    </row>
    <row r="1458" spans="1:11" s="1136" customFormat="1" ht="30">
      <c r="A1458" s="1131">
        <v>1452</v>
      </c>
      <c r="B1458" s="1132" t="s">
        <v>12032</v>
      </c>
      <c r="C1458" s="1133" t="s">
        <v>12033</v>
      </c>
      <c r="D1458" s="1134" t="s">
        <v>6378</v>
      </c>
      <c r="E1458" s="1135">
        <v>2690185.6</v>
      </c>
      <c r="F1458" s="1135">
        <v>22491949.800000001</v>
      </c>
      <c r="G1458" s="1135">
        <v>5142184.4000000004</v>
      </c>
      <c r="H1458" s="1135" t="e">
        <v>#REF!</v>
      </c>
      <c r="I1458" s="1135" t="e">
        <v>#REF!</v>
      </c>
      <c r="J1458" s="1135" t="e">
        <v>#REF!</v>
      </c>
      <c r="K1458" s="1135" t="e">
        <v>#REF!</v>
      </c>
    </row>
    <row r="1459" spans="1:11" s="1136" customFormat="1" ht="30">
      <c r="A1459" s="1131">
        <v>1453</v>
      </c>
      <c r="B1459" s="1132" t="s">
        <v>12034</v>
      </c>
      <c r="C1459" s="1133" t="s">
        <v>12035</v>
      </c>
      <c r="D1459" s="1134" t="s">
        <v>6378</v>
      </c>
      <c r="E1459" s="1135">
        <v>4445924.8</v>
      </c>
      <c r="F1459" s="1135">
        <v>31488100</v>
      </c>
      <c r="G1459" s="1135">
        <v>9635121.5999999996</v>
      </c>
      <c r="H1459" s="1135" t="e">
        <v>#REF!</v>
      </c>
      <c r="I1459" s="1135" t="e">
        <v>#REF!</v>
      </c>
      <c r="J1459" s="1135" t="e">
        <v>#REF!</v>
      </c>
      <c r="K1459" s="1135" t="e">
        <v>#REF!</v>
      </c>
    </row>
    <row r="1460" spans="1:11" s="1136" customFormat="1" ht="30">
      <c r="A1460" s="1131">
        <v>1454</v>
      </c>
      <c r="B1460" s="1132" t="s">
        <v>12036</v>
      </c>
      <c r="C1460" s="1133" t="s">
        <v>12037</v>
      </c>
      <c r="D1460" s="1134" t="s">
        <v>6378</v>
      </c>
      <c r="E1460" s="1135">
        <v>4467256.9000000004</v>
      </c>
      <c r="F1460" s="1135">
        <v>44980750.899999999</v>
      </c>
      <c r="G1460" s="1135">
        <v>11556966.6</v>
      </c>
      <c r="H1460" s="1135" t="e">
        <v>#REF!</v>
      </c>
      <c r="I1460" s="1135" t="e">
        <v>#REF!</v>
      </c>
      <c r="J1460" s="1135" t="e">
        <v>#REF!</v>
      </c>
      <c r="K1460" s="1135" t="e">
        <v>#REF!</v>
      </c>
    </row>
    <row r="1461" spans="1:11" s="1136" customFormat="1" ht="30">
      <c r="A1461" s="1131">
        <v>1455</v>
      </c>
      <c r="B1461" s="1132" t="s">
        <v>12038</v>
      </c>
      <c r="C1461" s="1133" t="s">
        <v>12039</v>
      </c>
      <c r="D1461" s="1134" t="s">
        <v>6378</v>
      </c>
      <c r="E1461" s="1135">
        <v>4467256.9000000004</v>
      </c>
      <c r="F1461" s="1135">
        <v>50928852.899999999</v>
      </c>
      <c r="G1461" s="1135">
        <v>11556966.6</v>
      </c>
      <c r="H1461" s="1135" t="e">
        <v>#REF!</v>
      </c>
      <c r="I1461" s="1135" t="e">
        <v>#REF!</v>
      </c>
      <c r="J1461" s="1135" t="e">
        <v>#REF!</v>
      </c>
      <c r="K1461" s="1135" t="e">
        <v>#REF!</v>
      </c>
    </row>
    <row r="1462" spans="1:11" s="1136" customFormat="1" ht="30">
      <c r="A1462" s="1131">
        <v>1456</v>
      </c>
      <c r="B1462" s="1132" t="s">
        <v>12040</v>
      </c>
      <c r="C1462" s="1133" t="s">
        <v>12041</v>
      </c>
      <c r="D1462" s="1134" t="s">
        <v>6378</v>
      </c>
      <c r="E1462" s="1135">
        <v>9983656.6999999993</v>
      </c>
      <c r="F1462" s="1135">
        <v>118917958.5</v>
      </c>
      <c r="G1462" s="1135">
        <v>25179124.199999999</v>
      </c>
      <c r="H1462" s="1135" t="e">
        <v>#REF!</v>
      </c>
      <c r="I1462" s="1135" t="e">
        <v>#REF!</v>
      </c>
      <c r="J1462" s="1135" t="e">
        <v>#REF!</v>
      </c>
      <c r="K1462" s="1135" t="e">
        <v>#REF!</v>
      </c>
    </row>
    <row r="1463" spans="1:11" s="1136" customFormat="1" ht="30">
      <c r="A1463" s="1131">
        <v>1457</v>
      </c>
      <c r="B1463" s="1132" t="s">
        <v>12042</v>
      </c>
      <c r="C1463" s="1133" t="s">
        <v>12043</v>
      </c>
      <c r="D1463" s="1134" t="s">
        <v>6378</v>
      </c>
      <c r="E1463" s="1135">
        <v>544135.69999999995</v>
      </c>
      <c r="F1463" s="1135">
        <v>13700472.300000001</v>
      </c>
      <c r="G1463" s="1135">
        <v>2335459</v>
      </c>
      <c r="H1463" s="1135" t="e">
        <v>#REF!</v>
      </c>
      <c r="I1463" s="1135" t="e">
        <v>#REF!</v>
      </c>
      <c r="J1463" s="1135" t="e">
        <v>#REF!</v>
      </c>
      <c r="K1463" s="1135" t="e">
        <v>#REF!</v>
      </c>
    </row>
    <row r="1464" spans="1:11" s="1136" customFormat="1" ht="30">
      <c r="A1464" s="1131">
        <v>1458</v>
      </c>
      <c r="B1464" s="1132" t="s">
        <v>12044</v>
      </c>
      <c r="C1464" s="1133" t="s">
        <v>12045</v>
      </c>
      <c r="D1464" s="1134" t="s">
        <v>6378</v>
      </c>
      <c r="E1464" s="1135">
        <v>812839.2</v>
      </c>
      <c r="F1464" s="1135">
        <v>19648574.399999999</v>
      </c>
      <c r="G1464" s="1135">
        <v>2460103</v>
      </c>
      <c r="H1464" s="1135" t="e">
        <v>#REF!</v>
      </c>
      <c r="I1464" s="1135" t="e">
        <v>#REF!</v>
      </c>
      <c r="J1464" s="1135" t="e">
        <v>#REF!</v>
      </c>
      <c r="K1464" s="1135" t="e">
        <v>#REF!</v>
      </c>
    </row>
    <row r="1465" spans="1:11" s="1136" customFormat="1" ht="30">
      <c r="A1465" s="1131">
        <v>1459</v>
      </c>
      <c r="B1465" s="1132" t="s">
        <v>12046</v>
      </c>
      <c r="C1465" s="1133" t="s">
        <v>12047</v>
      </c>
      <c r="D1465" s="1134" t="s">
        <v>6378</v>
      </c>
      <c r="E1465" s="1135">
        <v>1246917.8</v>
      </c>
      <c r="F1465" s="1135">
        <v>45758506.899999999</v>
      </c>
      <c r="G1465" s="1135">
        <v>2460103</v>
      </c>
      <c r="H1465" s="1135" t="e">
        <v>#REF!</v>
      </c>
      <c r="I1465" s="1135" t="e">
        <v>#REF!</v>
      </c>
      <c r="J1465" s="1135" t="e">
        <v>#REF!</v>
      </c>
      <c r="K1465" s="1135" t="e">
        <v>#REF!</v>
      </c>
    </row>
    <row r="1466" spans="1:11" s="1136" customFormat="1" ht="30">
      <c r="A1466" s="1131">
        <v>1460</v>
      </c>
      <c r="B1466" s="1132" t="s">
        <v>12048</v>
      </c>
      <c r="C1466" s="1133" t="s">
        <v>12049</v>
      </c>
      <c r="D1466" s="1134" t="s">
        <v>6378</v>
      </c>
      <c r="E1466" s="1135">
        <v>1557096.3</v>
      </c>
      <c r="F1466" s="1135">
        <v>51445257.799999997</v>
      </c>
      <c r="G1466" s="1135">
        <v>6632445</v>
      </c>
      <c r="H1466" s="1135" t="e">
        <v>#REF!</v>
      </c>
      <c r="I1466" s="1135" t="e">
        <v>#REF!</v>
      </c>
      <c r="J1466" s="1135" t="e">
        <v>#REF!</v>
      </c>
      <c r="K1466" s="1135" t="e">
        <v>#REF!</v>
      </c>
    </row>
    <row r="1467" spans="1:11" s="1136" customFormat="1" ht="30">
      <c r="A1467" s="1131">
        <v>1461</v>
      </c>
      <c r="B1467" s="1132" t="s">
        <v>12050</v>
      </c>
      <c r="C1467" s="1133" t="s">
        <v>12051</v>
      </c>
      <c r="D1467" s="1134" t="s">
        <v>6378</v>
      </c>
      <c r="E1467" s="1135">
        <v>1889753.5</v>
      </c>
      <c r="F1467" s="1135">
        <v>72901249.099999994</v>
      </c>
      <c r="G1467" s="1135">
        <v>8843260</v>
      </c>
      <c r="H1467" s="1135" t="e">
        <v>#REF!</v>
      </c>
      <c r="I1467" s="1135" t="e">
        <v>#REF!</v>
      </c>
      <c r="J1467" s="1135" t="e">
        <v>#REF!</v>
      </c>
      <c r="K1467" s="1135" t="e">
        <v>#REF!</v>
      </c>
    </row>
    <row r="1468" spans="1:11" s="1136" customFormat="1">
      <c r="A1468" s="1131">
        <v>1462</v>
      </c>
      <c r="B1468" s="1132" t="s">
        <v>12052</v>
      </c>
      <c r="C1468" s="1133" t="s">
        <v>12053</v>
      </c>
      <c r="D1468" s="1134" t="s">
        <v>11703</v>
      </c>
      <c r="E1468" s="1135">
        <v>134053</v>
      </c>
      <c r="F1468" s="1135">
        <v>4140685.2</v>
      </c>
      <c r="G1468" s="1135">
        <v>392305.4</v>
      </c>
      <c r="H1468" s="1135" t="e">
        <v>#REF!</v>
      </c>
      <c r="I1468" s="1135" t="e">
        <v>#REF!</v>
      </c>
      <c r="J1468" s="1135" t="e">
        <v>#REF!</v>
      </c>
      <c r="K1468" s="1135" t="e">
        <v>#REF!</v>
      </c>
    </row>
    <row r="1469" spans="1:11" s="1136" customFormat="1">
      <c r="A1469" s="1131">
        <v>1463</v>
      </c>
      <c r="B1469" s="1132" t="s">
        <v>12054</v>
      </c>
      <c r="C1469" s="1133" t="s">
        <v>12055</v>
      </c>
      <c r="D1469" s="1134" t="s">
        <v>11703</v>
      </c>
      <c r="E1469" s="1135">
        <v>277006.09999999998</v>
      </c>
      <c r="F1469" s="1135">
        <v>8599400.0999999996</v>
      </c>
      <c r="G1469" s="1135">
        <v>665901.9</v>
      </c>
      <c r="H1469" s="1135" t="e">
        <v>#REF!</v>
      </c>
      <c r="I1469" s="1135" t="e">
        <v>#REF!</v>
      </c>
      <c r="J1469" s="1135" t="e">
        <v>#REF!</v>
      </c>
      <c r="K1469" s="1135" t="e">
        <v>#REF!</v>
      </c>
    </row>
    <row r="1470" spans="1:11" s="1136" customFormat="1">
      <c r="A1470" s="1131">
        <v>1464</v>
      </c>
      <c r="B1470" s="1132" t="s">
        <v>12056</v>
      </c>
      <c r="C1470" s="1133" t="s">
        <v>12057</v>
      </c>
      <c r="D1470" s="1134" t="s">
        <v>11703</v>
      </c>
      <c r="E1470" s="1135">
        <v>494367.3</v>
      </c>
      <c r="F1470" s="1135">
        <v>22003884.300000001</v>
      </c>
      <c r="G1470" s="1135">
        <v>1062719.6000000001</v>
      </c>
      <c r="H1470" s="1135" t="e">
        <v>#REF!</v>
      </c>
      <c r="I1470" s="1135" t="e">
        <v>#REF!</v>
      </c>
      <c r="J1470" s="1135" t="e">
        <v>#REF!</v>
      </c>
      <c r="K1470" s="1135" t="e">
        <v>#REF!</v>
      </c>
    </row>
    <row r="1471" spans="1:11" s="1136" customFormat="1">
      <c r="A1471" s="1131">
        <v>1465</v>
      </c>
      <c r="B1471" s="1132" t="s">
        <v>12058</v>
      </c>
      <c r="C1471" s="1133" t="s">
        <v>12059</v>
      </c>
      <c r="D1471" s="1134" t="s">
        <v>11703</v>
      </c>
      <c r="E1471" s="1135">
        <v>578457.1</v>
      </c>
      <c r="F1471" s="1135">
        <v>39955250.100000001</v>
      </c>
      <c r="G1471" s="1135">
        <v>1328399.5</v>
      </c>
      <c r="H1471" s="1135" t="e">
        <v>#REF!</v>
      </c>
      <c r="I1471" s="1135" t="e">
        <v>#REF!</v>
      </c>
      <c r="J1471" s="1135" t="e">
        <v>#REF!</v>
      </c>
      <c r="K1471" s="1135" t="e">
        <v>#REF!</v>
      </c>
    </row>
    <row r="1472" spans="1:11" s="1136" customFormat="1" ht="30">
      <c r="A1472" s="1131">
        <v>1466</v>
      </c>
      <c r="B1472" s="1132" t="s">
        <v>12060</v>
      </c>
      <c r="C1472" s="1133" t="s">
        <v>12061</v>
      </c>
      <c r="D1472" s="1134" t="s">
        <v>12062</v>
      </c>
      <c r="E1472" s="1135">
        <v>543522</v>
      </c>
      <c r="F1472" s="1135" t="e">
        <v>#N/A</v>
      </c>
      <c r="G1472" s="1135">
        <v>1847509.3</v>
      </c>
      <c r="H1472" s="1135" t="e">
        <v>#REF!</v>
      </c>
      <c r="I1472" s="1135" t="e">
        <v>#REF!</v>
      </c>
      <c r="J1472" s="1135" t="e">
        <v>#REF!</v>
      </c>
      <c r="K1472" s="1135" t="e">
        <v>#REF!</v>
      </c>
    </row>
    <row r="1473" spans="1:11" s="1136" customFormat="1" ht="30">
      <c r="A1473" s="1131">
        <v>1467</v>
      </c>
      <c r="B1473" s="1132" t="s">
        <v>12063</v>
      </c>
      <c r="C1473" s="1133" t="s">
        <v>12064</v>
      </c>
      <c r="D1473" s="1134" t="s">
        <v>12062</v>
      </c>
      <c r="E1473" s="1135">
        <v>543522</v>
      </c>
      <c r="F1473" s="1135" t="e">
        <v>#N/A</v>
      </c>
      <c r="G1473" s="1135">
        <v>1847509.3</v>
      </c>
      <c r="H1473" s="1135" t="e">
        <v>#REF!</v>
      </c>
      <c r="I1473" s="1135" t="e">
        <v>#REF!</v>
      </c>
      <c r="J1473" s="1135" t="e">
        <v>#REF!</v>
      </c>
      <c r="K1473" s="1135" t="e">
        <v>#REF!</v>
      </c>
    </row>
    <row r="1474" spans="1:11" s="1136" customFormat="1" ht="30">
      <c r="A1474" s="1131">
        <v>1468</v>
      </c>
      <c r="B1474" s="1132" t="s">
        <v>12065</v>
      </c>
      <c r="C1474" s="1133" t="s">
        <v>12066</v>
      </c>
      <c r="D1474" s="1134" t="s">
        <v>12062</v>
      </c>
      <c r="E1474" s="1135">
        <v>133661</v>
      </c>
      <c r="F1474" s="1135">
        <v>3986393.5</v>
      </c>
      <c r="G1474" s="1135">
        <v>666227.30000000005</v>
      </c>
      <c r="H1474" s="1135" t="e">
        <v>#REF!</v>
      </c>
      <c r="I1474" s="1135" t="e">
        <v>#REF!</v>
      </c>
      <c r="J1474" s="1135" t="e">
        <v>#REF!</v>
      </c>
      <c r="K1474" s="1135" t="e">
        <v>#REF!</v>
      </c>
    </row>
    <row r="1475" spans="1:11" s="1136" customFormat="1">
      <c r="A1475" s="1131">
        <v>1469</v>
      </c>
      <c r="B1475" s="1132" t="s">
        <v>12067</v>
      </c>
      <c r="C1475" s="1133" t="s">
        <v>12068</v>
      </c>
      <c r="D1475" s="1134" t="s">
        <v>6895</v>
      </c>
      <c r="E1475" s="1135">
        <v>165364.4</v>
      </c>
      <c r="F1475" s="1135">
        <v>3155107.6</v>
      </c>
      <c r="G1475" s="1135">
        <v>299791.5</v>
      </c>
      <c r="H1475" s="1135" t="e">
        <v>#REF!</v>
      </c>
      <c r="I1475" s="1135" t="e">
        <v>#REF!</v>
      </c>
      <c r="J1475" s="1135" t="e">
        <v>#REF!</v>
      </c>
      <c r="K1475" s="1135" t="e">
        <v>#REF!</v>
      </c>
    </row>
    <row r="1476" spans="1:11" s="1136" customFormat="1" ht="30">
      <c r="A1476" s="1131">
        <v>1470</v>
      </c>
      <c r="B1476" s="1132" t="s">
        <v>12069</v>
      </c>
      <c r="C1476" s="1133" t="s">
        <v>12070</v>
      </c>
      <c r="D1476" s="1134" t="s">
        <v>6895</v>
      </c>
      <c r="E1476" s="1135">
        <v>283322</v>
      </c>
      <c r="F1476" s="1135">
        <v>4524840</v>
      </c>
      <c r="G1476" s="1135">
        <v>1646990.8</v>
      </c>
      <c r="H1476" s="1135" t="e">
        <v>#REF!</v>
      </c>
      <c r="I1476" s="1135" t="e">
        <v>#REF!</v>
      </c>
      <c r="J1476" s="1135" t="e">
        <v>#REF!</v>
      </c>
      <c r="K1476" s="1135" t="e">
        <v>#REF!</v>
      </c>
    </row>
    <row r="1477" spans="1:11" s="1136" customFormat="1">
      <c r="A1477" s="1131">
        <v>1471</v>
      </c>
      <c r="B1477" s="1132" t="s">
        <v>12071</v>
      </c>
      <c r="C1477" s="1133" t="s">
        <v>12072</v>
      </c>
      <c r="D1477" s="1134" t="s">
        <v>6895</v>
      </c>
      <c r="E1477" s="1135">
        <v>283322</v>
      </c>
      <c r="F1477" s="1135">
        <v>4975119.8</v>
      </c>
      <c r="G1477" s="1135">
        <v>1645241.3</v>
      </c>
      <c r="H1477" s="1135" t="e">
        <v>#REF!</v>
      </c>
      <c r="I1477" s="1135" t="e">
        <v>#REF!</v>
      </c>
      <c r="J1477" s="1135" t="e">
        <v>#REF!</v>
      </c>
      <c r="K1477" s="1135" t="e">
        <v>#REF!</v>
      </c>
    </row>
    <row r="1478" spans="1:11" s="1136" customFormat="1" ht="30">
      <c r="A1478" s="1131">
        <v>1472</v>
      </c>
      <c r="B1478" s="1132" t="s">
        <v>12073</v>
      </c>
      <c r="C1478" s="1133" t="s">
        <v>12074</v>
      </c>
      <c r="D1478" s="1134" t="s">
        <v>6895</v>
      </c>
      <c r="E1478" s="1135">
        <v>17820</v>
      </c>
      <c r="F1478" s="1135">
        <v>1766482.4</v>
      </c>
      <c r="G1478" s="1135">
        <v>166689</v>
      </c>
      <c r="H1478" s="1135" t="e">
        <v>#REF!</v>
      </c>
      <c r="I1478" s="1135" t="e">
        <v>#REF!</v>
      </c>
      <c r="J1478" s="1135" t="e">
        <v>#REF!</v>
      </c>
      <c r="K1478" s="1135" t="e">
        <v>#REF!</v>
      </c>
    </row>
    <row r="1479" spans="1:11" s="1136" customFormat="1" ht="30">
      <c r="A1479" s="1131">
        <v>1473</v>
      </c>
      <c r="B1479" s="1132" t="s">
        <v>12075</v>
      </c>
      <c r="C1479" s="1133" t="s">
        <v>12076</v>
      </c>
      <c r="D1479" s="1134" t="s">
        <v>6895</v>
      </c>
      <c r="E1479" s="1135">
        <v>21450</v>
      </c>
      <c r="F1479" s="1135">
        <v>2122297.9</v>
      </c>
      <c r="G1479" s="1135">
        <v>166689</v>
      </c>
      <c r="H1479" s="1135" t="e">
        <v>#REF!</v>
      </c>
      <c r="I1479" s="1135" t="e">
        <v>#REF!</v>
      </c>
      <c r="J1479" s="1135" t="e">
        <v>#REF!</v>
      </c>
      <c r="K1479" s="1135" t="e">
        <v>#REF!</v>
      </c>
    </row>
    <row r="1480" spans="1:11" s="1136" customFormat="1" ht="30">
      <c r="A1480" s="1131">
        <v>1474</v>
      </c>
      <c r="B1480" s="1132" t="s">
        <v>12077</v>
      </c>
      <c r="C1480" s="1133" t="s">
        <v>12078</v>
      </c>
      <c r="D1480" s="1134" t="s">
        <v>6895</v>
      </c>
      <c r="E1480" s="1135">
        <v>21450</v>
      </c>
      <c r="F1480" s="1135">
        <v>2474964.7000000002</v>
      </c>
      <c r="G1480" s="1135">
        <v>166689</v>
      </c>
      <c r="H1480" s="1135" t="e">
        <v>#REF!</v>
      </c>
      <c r="I1480" s="1135" t="e">
        <v>#REF!</v>
      </c>
      <c r="J1480" s="1135" t="e">
        <v>#REF!</v>
      </c>
      <c r="K1480" s="1135" t="e">
        <v>#REF!</v>
      </c>
    </row>
    <row r="1481" spans="1:11" s="1136" customFormat="1" ht="30">
      <c r="A1481" s="1131">
        <v>1475</v>
      </c>
      <c r="B1481" s="1132" t="s">
        <v>12079</v>
      </c>
      <c r="C1481" s="1133" t="s">
        <v>12080</v>
      </c>
      <c r="D1481" s="1134" t="s">
        <v>6895</v>
      </c>
      <c r="E1481" s="1135">
        <v>29700</v>
      </c>
      <c r="F1481" s="1135">
        <v>2830780.2</v>
      </c>
      <c r="G1481" s="1135">
        <v>166689</v>
      </c>
      <c r="H1481" s="1135" t="e">
        <v>#REF!</v>
      </c>
      <c r="I1481" s="1135" t="e">
        <v>#REF!</v>
      </c>
      <c r="J1481" s="1135" t="e">
        <v>#REF!</v>
      </c>
      <c r="K1481" s="1135" t="e">
        <v>#REF!</v>
      </c>
    </row>
    <row r="1482" spans="1:11" s="1136" customFormat="1" ht="45">
      <c r="A1482" s="1131">
        <v>1476</v>
      </c>
      <c r="B1482" s="1132" t="s">
        <v>12081</v>
      </c>
      <c r="C1482" s="1133" t="s">
        <v>12082</v>
      </c>
      <c r="D1482" s="1134" t="s">
        <v>6895</v>
      </c>
      <c r="E1482" s="1135">
        <v>17820</v>
      </c>
      <c r="F1482" s="1135">
        <v>1587000.2</v>
      </c>
      <c r="G1482" s="1135">
        <v>166689</v>
      </c>
      <c r="H1482" s="1135" t="e">
        <v>#REF!</v>
      </c>
      <c r="I1482" s="1135" t="e">
        <v>#REF!</v>
      </c>
      <c r="J1482" s="1135" t="e">
        <v>#REF!</v>
      </c>
      <c r="K1482" s="1135" t="e">
        <v>#REF!</v>
      </c>
    </row>
    <row r="1483" spans="1:11" s="1136" customFormat="1" ht="45">
      <c r="A1483" s="1131">
        <v>1477</v>
      </c>
      <c r="B1483" s="1132" t="s">
        <v>12083</v>
      </c>
      <c r="C1483" s="1133" t="s">
        <v>12084</v>
      </c>
      <c r="D1483" s="1134" t="s">
        <v>6895</v>
      </c>
      <c r="E1483" s="1135">
        <v>21450</v>
      </c>
      <c r="F1483" s="1135">
        <v>1908178.9</v>
      </c>
      <c r="G1483" s="1135">
        <v>166689</v>
      </c>
      <c r="H1483" s="1135" t="e">
        <v>#REF!</v>
      </c>
      <c r="I1483" s="1135" t="e">
        <v>#REF!</v>
      </c>
      <c r="J1483" s="1135" t="e">
        <v>#REF!</v>
      </c>
      <c r="K1483" s="1135" t="e">
        <v>#REF!</v>
      </c>
    </row>
    <row r="1484" spans="1:11" s="1136" customFormat="1" ht="45">
      <c r="A1484" s="1131">
        <v>1478</v>
      </c>
      <c r="B1484" s="1132" t="s">
        <v>12085</v>
      </c>
      <c r="C1484" s="1133" t="s">
        <v>12086</v>
      </c>
      <c r="D1484" s="1134" t="s">
        <v>6895</v>
      </c>
      <c r="E1484" s="1135">
        <v>21450</v>
      </c>
      <c r="F1484" s="1135">
        <v>2226208.7000000002</v>
      </c>
      <c r="G1484" s="1135">
        <v>166689</v>
      </c>
      <c r="H1484" s="1135" t="e">
        <v>#REF!</v>
      </c>
      <c r="I1484" s="1135" t="e">
        <v>#REF!</v>
      </c>
      <c r="J1484" s="1135" t="e">
        <v>#REF!</v>
      </c>
      <c r="K1484" s="1135" t="e">
        <v>#REF!</v>
      </c>
    </row>
    <row r="1485" spans="1:11" s="1136" customFormat="1" ht="45">
      <c r="A1485" s="1131">
        <v>1479</v>
      </c>
      <c r="B1485" s="1132" t="s">
        <v>12087</v>
      </c>
      <c r="C1485" s="1133" t="s">
        <v>12088</v>
      </c>
      <c r="D1485" s="1134" t="s">
        <v>6895</v>
      </c>
      <c r="E1485" s="1135">
        <v>29700</v>
      </c>
      <c r="F1485" s="1135">
        <v>2544238.5</v>
      </c>
      <c r="G1485" s="1135">
        <v>166689</v>
      </c>
      <c r="H1485" s="1135" t="e">
        <v>#REF!</v>
      </c>
      <c r="I1485" s="1135" t="e">
        <v>#REF!</v>
      </c>
      <c r="J1485" s="1135" t="e">
        <v>#REF!</v>
      </c>
      <c r="K1485" s="1135" t="e">
        <v>#REF!</v>
      </c>
    </row>
    <row r="1486" spans="1:11" s="1136" customFormat="1" ht="30">
      <c r="A1486" s="1131">
        <v>1480</v>
      </c>
      <c r="B1486" s="1132" t="s">
        <v>12089</v>
      </c>
      <c r="C1486" s="1133" t="s">
        <v>12090</v>
      </c>
      <c r="D1486" s="1134" t="s">
        <v>12091</v>
      </c>
      <c r="E1486" s="1135">
        <v>119938.7</v>
      </c>
      <c r="F1486" s="1135">
        <v>3921979.8</v>
      </c>
      <c r="G1486" s="1135">
        <v>1441018.9</v>
      </c>
      <c r="H1486" s="1135" t="e">
        <v>#REF!</v>
      </c>
      <c r="I1486" s="1135" t="e">
        <v>#REF!</v>
      </c>
      <c r="J1486" s="1135" t="e">
        <v>#REF!</v>
      </c>
      <c r="K1486" s="1135" t="e">
        <v>#REF!</v>
      </c>
    </row>
    <row r="1487" spans="1:11" s="1136" customFormat="1" ht="30">
      <c r="A1487" s="1131">
        <v>1481</v>
      </c>
      <c r="B1487" s="1132" t="s">
        <v>12092</v>
      </c>
      <c r="C1487" s="1133" t="s">
        <v>12093</v>
      </c>
      <c r="D1487" s="1134" t="s">
        <v>12091</v>
      </c>
      <c r="E1487" s="1135">
        <v>80093.899999999994</v>
      </c>
      <c r="F1487" s="1135">
        <v>3406767.7</v>
      </c>
      <c r="G1487" s="1135">
        <v>1053460.3999999999</v>
      </c>
      <c r="H1487" s="1135" t="e">
        <v>#REF!</v>
      </c>
      <c r="I1487" s="1135" t="e">
        <v>#REF!</v>
      </c>
      <c r="J1487" s="1135" t="e">
        <v>#REF!</v>
      </c>
      <c r="K1487" s="1135" t="e">
        <v>#REF!</v>
      </c>
    </row>
    <row r="1488" spans="1:11" s="1136" customFormat="1" ht="30">
      <c r="A1488" s="1131">
        <v>1482</v>
      </c>
      <c r="B1488" s="1132" t="s">
        <v>12094</v>
      </c>
      <c r="C1488" s="1133" t="s">
        <v>12095</v>
      </c>
      <c r="D1488" s="1134" t="s">
        <v>12091</v>
      </c>
      <c r="E1488" s="1135">
        <v>44476.2</v>
      </c>
      <c r="F1488" s="1135">
        <v>2674471.7999999998</v>
      </c>
      <c r="G1488" s="1135">
        <v>754049.3</v>
      </c>
      <c r="H1488" s="1135" t="e">
        <v>#REF!</v>
      </c>
      <c r="I1488" s="1135" t="e">
        <v>#REF!</v>
      </c>
      <c r="J1488" s="1135" t="e">
        <v>#REF!</v>
      </c>
      <c r="K1488" s="1135" t="e">
        <v>#REF!</v>
      </c>
    </row>
    <row r="1489" spans="1:11" s="1136" customFormat="1" ht="30">
      <c r="A1489" s="1131">
        <v>1483</v>
      </c>
      <c r="B1489" s="1132" t="s">
        <v>12096</v>
      </c>
      <c r="C1489" s="1133" t="s">
        <v>12097</v>
      </c>
      <c r="D1489" s="1134" t="s">
        <v>12091</v>
      </c>
      <c r="E1489" s="1135">
        <v>38541.9</v>
      </c>
      <c r="F1489" s="1135">
        <v>1068052.1000000001</v>
      </c>
      <c r="G1489" s="1135">
        <v>392305.4</v>
      </c>
      <c r="H1489" s="1135" t="e">
        <v>#REF!</v>
      </c>
      <c r="I1489" s="1135" t="e">
        <v>#REF!</v>
      </c>
      <c r="J1489" s="1135" t="e">
        <v>#REF!</v>
      </c>
      <c r="K1489" s="1135" t="e">
        <v>#REF!</v>
      </c>
    </row>
    <row r="1490" spans="1:11" s="1136" customFormat="1" ht="30">
      <c r="A1490" s="1131">
        <v>1484</v>
      </c>
      <c r="B1490" s="1132" t="s">
        <v>12098</v>
      </c>
      <c r="C1490" s="1133" t="s">
        <v>12099</v>
      </c>
      <c r="D1490" s="1134" t="s">
        <v>12091</v>
      </c>
      <c r="E1490" s="1135">
        <v>21090.9</v>
      </c>
      <c r="F1490" s="1135">
        <v>856757.2</v>
      </c>
      <c r="G1490" s="1135">
        <v>392305.4</v>
      </c>
      <c r="H1490" s="1135" t="e">
        <v>#REF!</v>
      </c>
      <c r="I1490" s="1135" t="e">
        <v>#REF!</v>
      </c>
      <c r="J1490" s="1135" t="e">
        <v>#REF!</v>
      </c>
      <c r="K1490" s="1135" t="e">
        <v>#REF!</v>
      </c>
    </row>
    <row r="1491" spans="1:11" s="1136" customFormat="1" ht="30">
      <c r="A1491" s="1131">
        <v>1485</v>
      </c>
      <c r="B1491" s="1132" t="s">
        <v>12100</v>
      </c>
      <c r="C1491" s="1133" t="s">
        <v>12101</v>
      </c>
      <c r="D1491" s="1134" t="s">
        <v>12091</v>
      </c>
      <c r="E1491" s="1135">
        <v>24078.2</v>
      </c>
      <c r="F1491" s="1135">
        <v>356017.4</v>
      </c>
      <c r="G1491" s="1135">
        <v>0</v>
      </c>
      <c r="H1491" s="1135" t="e">
        <v>#REF!</v>
      </c>
      <c r="I1491" s="1135" t="e">
        <v>#REF!</v>
      </c>
      <c r="J1491" s="1135" t="e">
        <v>#REF!</v>
      </c>
      <c r="K1491" s="1135" t="e">
        <v>#REF!</v>
      </c>
    </row>
    <row r="1492" spans="1:11" s="1136" customFormat="1" ht="30">
      <c r="A1492" s="1131">
        <v>1486</v>
      </c>
      <c r="B1492" s="1132" t="s">
        <v>12102</v>
      </c>
      <c r="C1492" s="1133" t="s">
        <v>12103</v>
      </c>
      <c r="D1492" s="1134" t="s">
        <v>12091</v>
      </c>
      <c r="E1492" s="1135">
        <v>119938.7</v>
      </c>
      <c r="F1492" s="1135">
        <v>3921979.8</v>
      </c>
      <c r="G1492" s="1135">
        <v>1441018.9</v>
      </c>
      <c r="H1492" s="1135" t="e">
        <v>#REF!</v>
      </c>
      <c r="I1492" s="1135" t="e">
        <v>#REF!</v>
      </c>
      <c r="J1492" s="1135" t="e">
        <v>#REF!</v>
      </c>
      <c r="K1492" s="1135" t="e">
        <v>#REF!</v>
      </c>
    </row>
    <row r="1493" spans="1:11" s="1136" customFormat="1" ht="30">
      <c r="A1493" s="1131">
        <v>1487</v>
      </c>
      <c r="B1493" s="1132" t="s">
        <v>12104</v>
      </c>
      <c r="C1493" s="1133" t="s">
        <v>12105</v>
      </c>
      <c r="D1493" s="1134" t="s">
        <v>12091</v>
      </c>
      <c r="E1493" s="1135">
        <v>80093.899999999994</v>
      </c>
      <c r="F1493" s="1135">
        <v>3406767.7</v>
      </c>
      <c r="G1493" s="1135">
        <v>1053460.3999999999</v>
      </c>
      <c r="H1493" s="1135" t="e">
        <v>#REF!</v>
      </c>
      <c r="I1493" s="1135" t="e">
        <v>#REF!</v>
      </c>
      <c r="J1493" s="1135" t="e">
        <v>#REF!</v>
      </c>
      <c r="K1493" s="1135" t="e">
        <v>#REF!</v>
      </c>
    </row>
    <row r="1494" spans="1:11" s="1136" customFormat="1" ht="45">
      <c r="A1494" s="1131">
        <v>1488</v>
      </c>
      <c r="B1494" s="1132" t="s">
        <v>12106</v>
      </c>
      <c r="C1494" s="1133" t="s">
        <v>12107</v>
      </c>
      <c r="D1494" s="1134" t="s">
        <v>12091</v>
      </c>
      <c r="E1494" s="1135">
        <v>44476.2</v>
      </c>
      <c r="F1494" s="1135">
        <v>2674471.7999999998</v>
      </c>
      <c r="G1494" s="1135">
        <v>754049.3</v>
      </c>
      <c r="H1494" s="1135" t="e">
        <v>#REF!</v>
      </c>
      <c r="I1494" s="1135" t="e">
        <v>#REF!</v>
      </c>
      <c r="J1494" s="1135" t="e">
        <v>#REF!</v>
      </c>
      <c r="K1494" s="1135" t="e">
        <v>#REF!</v>
      </c>
    </row>
    <row r="1495" spans="1:11" s="1136" customFormat="1" ht="30">
      <c r="A1495" s="1131">
        <v>1489</v>
      </c>
      <c r="B1495" s="1132" t="s">
        <v>12108</v>
      </c>
      <c r="C1495" s="1133" t="s">
        <v>12109</v>
      </c>
      <c r="D1495" s="1134" t="s">
        <v>12091</v>
      </c>
      <c r="E1495" s="1135">
        <v>38541.9</v>
      </c>
      <c r="F1495" s="1135">
        <v>1068052.1000000001</v>
      </c>
      <c r="G1495" s="1135">
        <v>392305.4</v>
      </c>
      <c r="H1495" s="1135" t="e">
        <v>#REF!</v>
      </c>
      <c r="I1495" s="1135" t="e">
        <v>#REF!</v>
      </c>
      <c r="J1495" s="1135" t="e">
        <v>#REF!</v>
      </c>
      <c r="K1495" s="1135" t="e">
        <v>#REF!</v>
      </c>
    </row>
    <row r="1496" spans="1:11" s="1136" customFormat="1" ht="30">
      <c r="A1496" s="1131">
        <v>1490</v>
      </c>
      <c r="B1496" s="1132" t="s">
        <v>12110</v>
      </c>
      <c r="C1496" s="1133" t="s">
        <v>12111</v>
      </c>
      <c r="D1496" s="1134" t="s">
        <v>12091</v>
      </c>
      <c r="E1496" s="1135">
        <v>21090.9</v>
      </c>
      <c r="F1496" s="1135">
        <v>856757.2</v>
      </c>
      <c r="G1496" s="1135">
        <v>392305.4</v>
      </c>
      <c r="H1496" s="1135" t="e">
        <v>#REF!</v>
      </c>
      <c r="I1496" s="1135" t="e">
        <v>#REF!</v>
      </c>
      <c r="J1496" s="1135" t="e">
        <v>#REF!</v>
      </c>
      <c r="K1496" s="1135" t="e">
        <v>#REF!</v>
      </c>
    </row>
    <row r="1497" spans="1:11" s="1136" customFormat="1" ht="30">
      <c r="A1497" s="1131">
        <v>1491</v>
      </c>
      <c r="B1497" s="1132" t="s">
        <v>12112</v>
      </c>
      <c r="C1497" s="1133" t="s">
        <v>12113</v>
      </c>
      <c r="D1497" s="1134" t="s">
        <v>12091</v>
      </c>
      <c r="E1497" s="1135">
        <v>30833.599999999999</v>
      </c>
      <c r="F1497" s="1135">
        <v>856757.2</v>
      </c>
      <c r="G1497" s="1135">
        <v>294229.09999999998</v>
      </c>
      <c r="H1497" s="1135" t="e">
        <v>#REF!</v>
      </c>
      <c r="I1497" s="1135" t="e">
        <v>#REF!</v>
      </c>
      <c r="J1497" s="1135" t="e">
        <v>#REF!</v>
      </c>
      <c r="K1497" s="1135" t="e">
        <v>#REF!</v>
      </c>
    </row>
    <row r="1498" spans="1:11" s="1136" customFormat="1" ht="30">
      <c r="A1498" s="1131">
        <v>1492</v>
      </c>
      <c r="B1498" s="1132" t="s">
        <v>12114</v>
      </c>
      <c r="C1498" s="1133" t="s">
        <v>12115</v>
      </c>
      <c r="D1498" s="1134" t="s">
        <v>12091</v>
      </c>
      <c r="E1498" s="1135">
        <v>16872.8</v>
      </c>
      <c r="F1498" s="1135">
        <v>856757.2</v>
      </c>
      <c r="G1498" s="1135">
        <v>294229.09999999998</v>
      </c>
      <c r="H1498" s="1135" t="e">
        <v>#REF!</v>
      </c>
      <c r="I1498" s="1135" t="e">
        <v>#REF!</v>
      </c>
      <c r="J1498" s="1135" t="e">
        <v>#REF!</v>
      </c>
      <c r="K1498" s="1135" t="e">
        <v>#REF!</v>
      </c>
    </row>
    <row r="1499" spans="1:11" s="1136" customFormat="1">
      <c r="A1499" s="1131">
        <v>1493</v>
      </c>
      <c r="B1499" s="1132" t="s">
        <v>12116</v>
      </c>
      <c r="C1499" s="1133" t="s">
        <v>12117</v>
      </c>
      <c r="D1499" s="1134" t="s">
        <v>12091</v>
      </c>
      <c r="E1499" s="1135">
        <v>208099.3</v>
      </c>
      <c r="F1499" s="1135">
        <v>4277997.0999999996</v>
      </c>
      <c r="G1499" s="1135">
        <v>1198623.3999999999</v>
      </c>
      <c r="H1499" s="1135" t="e">
        <v>#REF!</v>
      </c>
      <c r="I1499" s="1135" t="e">
        <v>#REF!</v>
      </c>
      <c r="J1499" s="1135" t="e">
        <v>#REF!</v>
      </c>
      <c r="K1499" s="1135" t="e">
        <v>#REF!</v>
      </c>
    </row>
    <row r="1500" spans="1:11" s="1136" customFormat="1">
      <c r="A1500" s="1131">
        <v>1494</v>
      </c>
      <c r="B1500" s="1132" t="s">
        <v>12118</v>
      </c>
      <c r="C1500" s="1133" t="s">
        <v>12119</v>
      </c>
      <c r="D1500" s="1134" t="s">
        <v>12091</v>
      </c>
      <c r="E1500" s="1135">
        <v>172103.6</v>
      </c>
      <c r="F1500" s="1135">
        <v>3207050.6</v>
      </c>
      <c r="G1500" s="1135">
        <v>799082.3</v>
      </c>
      <c r="H1500" s="1135" t="e">
        <v>#REF!</v>
      </c>
      <c r="I1500" s="1135" t="e">
        <v>#REF!</v>
      </c>
      <c r="J1500" s="1135" t="e">
        <v>#REF!</v>
      </c>
      <c r="K1500" s="1135" t="e">
        <v>#REF!</v>
      </c>
    </row>
    <row r="1501" spans="1:11" s="1136" customFormat="1">
      <c r="A1501" s="1131">
        <v>1495</v>
      </c>
      <c r="B1501" s="1132" t="s">
        <v>12120</v>
      </c>
      <c r="C1501" s="1133" t="s">
        <v>12121</v>
      </c>
      <c r="D1501" s="1134" t="s">
        <v>12091</v>
      </c>
      <c r="E1501" s="1135">
        <v>91187.1</v>
      </c>
      <c r="F1501" s="1135">
        <v>1924809.3</v>
      </c>
      <c r="G1501" s="1135">
        <v>799082.3</v>
      </c>
      <c r="H1501" s="1135" t="e">
        <v>#REF!</v>
      </c>
      <c r="I1501" s="1135" t="e">
        <v>#REF!</v>
      </c>
      <c r="J1501" s="1135" t="e">
        <v>#REF!</v>
      </c>
      <c r="K1501" s="1135" t="e">
        <v>#REF!</v>
      </c>
    </row>
    <row r="1502" spans="1:11" s="1136" customFormat="1">
      <c r="A1502" s="1131">
        <v>1496</v>
      </c>
      <c r="B1502" s="1132" t="s">
        <v>12122</v>
      </c>
      <c r="C1502" s="1133" t="s">
        <v>12123</v>
      </c>
      <c r="D1502" s="1134" t="s">
        <v>12091</v>
      </c>
      <c r="E1502" s="1135">
        <v>55191.5</v>
      </c>
      <c r="F1502" s="1135">
        <v>535473.30000000005</v>
      </c>
      <c r="G1502" s="1135">
        <v>0</v>
      </c>
      <c r="H1502" s="1135" t="e">
        <v>#REF!</v>
      </c>
      <c r="I1502" s="1135" t="e">
        <v>#REF!</v>
      </c>
      <c r="J1502" s="1135" t="e">
        <v>#REF!</v>
      </c>
      <c r="K1502" s="1135" t="e">
        <v>#REF!</v>
      </c>
    </row>
    <row r="1503" spans="1:11" s="1136" customFormat="1">
      <c r="A1503" s="1131" t="s">
        <v>12124</v>
      </c>
      <c r="B1503" s="1132" t="s">
        <v>12125</v>
      </c>
      <c r="C1503" s="1133" t="s">
        <v>12123</v>
      </c>
      <c r="D1503" s="1134" t="s">
        <v>12126</v>
      </c>
      <c r="E1503" s="1135">
        <v>18397.2</v>
      </c>
      <c r="F1503" s="1135">
        <v>178491.1</v>
      </c>
      <c r="G1503" s="1135">
        <v>0</v>
      </c>
      <c r="H1503" s="1135" t="e">
        <v>#REF!</v>
      </c>
      <c r="I1503" s="1135" t="e">
        <v>#REF!</v>
      </c>
      <c r="J1503" s="1135" t="e">
        <v>#REF!</v>
      </c>
      <c r="K1503" s="1135" t="e">
        <v>#REF!</v>
      </c>
    </row>
    <row r="1504" spans="1:11" s="1136" customFormat="1">
      <c r="A1504" s="1131">
        <v>1497</v>
      </c>
      <c r="B1504" s="1132" t="s">
        <v>12127</v>
      </c>
      <c r="C1504" s="1133" t="s">
        <v>12128</v>
      </c>
      <c r="D1504" s="1134" t="s">
        <v>12091</v>
      </c>
      <c r="E1504" s="1135">
        <v>46266.5</v>
      </c>
      <c r="F1504" s="1135">
        <v>159194.79999999999</v>
      </c>
      <c r="G1504" s="1135">
        <v>0</v>
      </c>
      <c r="H1504" s="1135" t="e">
        <v>#REF!</v>
      </c>
      <c r="I1504" s="1135" t="e">
        <v>#REF!</v>
      </c>
      <c r="J1504" s="1135" t="e">
        <v>#REF!</v>
      </c>
      <c r="K1504" s="1135" t="e">
        <v>#REF!</v>
      </c>
    </row>
    <row r="1505" spans="1:11" s="1136" customFormat="1">
      <c r="A1505" s="1131">
        <v>1498</v>
      </c>
      <c r="B1505" s="1132" t="s">
        <v>12129</v>
      </c>
      <c r="C1505" s="1133" t="s">
        <v>12130</v>
      </c>
      <c r="D1505" s="1134" t="s">
        <v>12091</v>
      </c>
      <c r="E1505" s="1135">
        <v>194980.7</v>
      </c>
      <c r="F1505" s="1135">
        <v>3565962.4</v>
      </c>
      <c r="G1505" s="1135">
        <v>332951</v>
      </c>
      <c r="H1505" s="1135" t="e">
        <v>#REF!</v>
      </c>
      <c r="I1505" s="1135" t="e">
        <v>#REF!</v>
      </c>
      <c r="J1505" s="1135" t="e">
        <v>#REF!</v>
      </c>
      <c r="K1505" s="1135" t="e">
        <v>#REF!</v>
      </c>
    </row>
    <row r="1506" spans="1:11" s="1136" customFormat="1">
      <c r="A1506" s="1131">
        <v>1499</v>
      </c>
      <c r="B1506" s="1132" t="s">
        <v>12131</v>
      </c>
      <c r="C1506" s="1133" t="s">
        <v>12132</v>
      </c>
      <c r="D1506" s="1134" t="s">
        <v>12091</v>
      </c>
      <c r="E1506" s="1135">
        <v>69399.600000000006</v>
      </c>
      <c r="F1506" s="1135">
        <v>321284</v>
      </c>
      <c r="G1506" s="1135">
        <v>0</v>
      </c>
      <c r="H1506" s="1135" t="e">
        <v>#REF!</v>
      </c>
      <c r="I1506" s="1135" t="e">
        <v>#REF!</v>
      </c>
      <c r="J1506" s="1135" t="e">
        <v>#REF!</v>
      </c>
      <c r="K1506" s="1135" t="e">
        <v>#REF!</v>
      </c>
    </row>
    <row r="1507" spans="1:11" s="1136" customFormat="1">
      <c r="A1507" s="1131">
        <v>1500</v>
      </c>
      <c r="B1507" s="1132" t="s">
        <v>12133</v>
      </c>
      <c r="C1507" s="1133" t="s">
        <v>12134</v>
      </c>
      <c r="D1507" s="1134" t="s">
        <v>12091</v>
      </c>
      <c r="E1507" s="1135">
        <v>69399.600000000006</v>
      </c>
      <c r="F1507" s="1135">
        <v>321284</v>
      </c>
      <c r="G1507" s="1135">
        <v>0</v>
      </c>
      <c r="H1507" s="1135" t="e">
        <v>#REF!</v>
      </c>
      <c r="I1507" s="1135" t="e">
        <v>#REF!</v>
      </c>
      <c r="J1507" s="1135" t="e">
        <v>#REF!</v>
      </c>
      <c r="K1507" s="1135" t="e">
        <v>#REF!</v>
      </c>
    </row>
    <row r="1508" spans="1:11" s="1136" customFormat="1">
      <c r="A1508" s="1131">
        <v>1501</v>
      </c>
      <c r="B1508" s="1132" t="s">
        <v>12135</v>
      </c>
      <c r="C1508" s="1133" t="s">
        <v>12136</v>
      </c>
      <c r="D1508" s="1134" t="s">
        <v>12091</v>
      </c>
      <c r="E1508" s="1135">
        <v>69399.600000000006</v>
      </c>
      <c r="F1508" s="1135">
        <v>321284</v>
      </c>
      <c r="G1508" s="1135">
        <v>0</v>
      </c>
      <c r="H1508" s="1135" t="e">
        <v>#REF!</v>
      </c>
      <c r="I1508" s="1135" t="e">
        <v>#REF!</v>
      </c>
      <c r="J1508" s="1135" t="e">
        <v>#REF!</v>
      </c>
      <c r="K1508" s="1135" t="e">
        <v>#REF!</v>
      </c>
    </row>
    <row r="1509" spans="1:11" ht="30">
      <c r="A1509" s="1120">
        <v>1502</v>
      </c>
      <c r="B1509" s="1121" t="s">
        <v>12137</v>
      </c>
      <c r="C1509" s="1122" t="s">
        <v>12138</v>
      </c>
      <c r="D1509" s="1123" t="s">
        <v>11779</v>
      </c>
      <c r="E1509" s="1124">
        <v>79180.2</v>
      </c>
      <c r="F1509" s="1124">
        <v>3490706.7</v>
      </c>
      <c r="G1509" s="1124">
        <v>426702.1</v>
      </c>
      <c r="H1509" s="1124" t="e">
        <v>#REF!</v>
      </c>
      <c r="I1509" s="1124" t="e">
        <v>#REF!</v>
      </c>
      <c r="J1509" s="1124" t="e">
        <v>#REF!</v>
      </c>
      <c r="K1509" s="1124" t="e">
        <v>#REF!</v>
      </c>
    </row>
    <row r="1510" spans="1:11" ht="30">
      <c r="A1510" s="1120">
        <v>1503</v>
      </c>
      <c r="B1510" s="1121" t="s">
        <v>12139</v>
      </c>
      <c r="C1510" s="1122" t="s">
        <v>12140</v>
      </c>
      <c r="D1510" s="1123" t="s">
        <v>11779</v>
      </c>
      <c r="E1510" s="1124">
        <v>64249.3</v>
      </c>
      <c r="F1510" s="1124">
        <v>2790249.8</v>
      </c>
      <c r="G1510" s="1124">
        <v>334737.90000000002</v>
      </c>
      <c r="H1510" s="1124" t="e">
        <v>#REF!</v>
      </c>
      <c r="I1510" s="1124" t="e">
        <v>#REF!</v>
      </c>
      <c r="J1510" s="1124" t="e">
        <v>#REF!</v>
      </c>
      <c r="K1510" s="1124" t="e">
        <v>#REF!</v>
      </c>
    </row>
    <row r="1511" spans="1:11" ht="30">
      <c r="A1511" s="1120">
        <v>1504</v>
      </c>
      <c r="B1511" s="1121" t="s">
        <v>12141</v>
      </c>
      <c r="C1511" s="1122" t="s">
        <v>12142</v>
      </c>
      <c r="D1511" s="1123" t="s">
        <v>11779</v>
      </c>
      <c r="E1511" s="1124">
        <v>51379.5</v>
      </c>
      <c r="F1511" s="1124">
        <v>2234515.4</v>
      </c>
      <c r="G1511" s="1124">
        <v>278948.3</v>
      </c>
      <c r="H1511" s="1124" t="e">
        <v>#REF!</v>
      </c>
      <c r="I1511" s="1124" t="e">
        <v>#REF!</v>
      </c>
      <c r="J1511" s="1124" t="e">
        <v>#REF!</v>
      </c>
      <c r="K1511" s="1124" t="e">
        <v>#REF!</v>
      </c>
    </row>
    <row r="1512" spans="1:11" ht="30">
      <c r="A1512" s="1120">
        <v>1505</v>
      </c>
      <c r="B1512" s="1121" t="s">
        <v>12143</v>
      </c>
      <c r="C1512" s="1122" t="s">
        <v>12144</v>
      </c>
      <c r="D1512" s="1123" t="s">
        <v>11779</v>
      </c>
      <c r="E1512" s="1124">
        <v>9809.7000000000007</v>
      </c>
      <c r="F1512" s="1124">
        <v>668618</v>
      </c>
      <c r="G1512" s="1124">
        <v>245830.1</v>
      </c>
      <c r="H1512" s="1124" t="e">
        <v>#REF!</v>
      </c>
      <c r="I1512" s="1124" t="e">
        <v>#REF!</v>
      </c>
      <c r="J1512" s="1124" t="e">
        <v>#REF!</v>
      </c>
      <c r="K1512" s="1124" t="e">
        <v>#REF!</v>
      </c>
    </row>
    <row r="1513" spans="1:11" ht="30">
      <c r="A1513" s="1120">
        <v>1506</v>
      </c>
      <c r="B1513" s="1121" t="s">
        <v>12145</v>
      </c>
      <c r="C1513" s="1122" t="s">
        <v>12146</v>
      </c>
      <c r="D1513" s="1123" t="s">
        <v>11779</v>
      </c>
      <c r="E1513" s="1124">
        <v>7902.2</v>
      </c>
      <c r="F1513" s="1124">
        <v>535473.30000000005</v>
      </c>
      <c r="G1513" s="1124">
        <v>196152.7</v>
      </c>
      <c r="H1513" s="1124" t="e">
        <v>#REF!</v>
      </c>
      <c r="I1513" s="1124" t="e">
        <v>#REF!</v>
      </c>
      <c r="J1513" s="1124" t="e">
        <v>#REF!</v>
      </c>
      <c r="K1513" s="1124" t="e">
        <v>#REF!</v>
      </c>
    </row>
    <row r="1514" spans="1:11" ht="30">
      <c r="A1514" s="1120">
        <v>1507</v>
      </c>
      <c r="B1514" s="1121" t="s">
        <v>12147</v>
      </c>
      <c r="C1514" s="1122" t="s">
        <v>12148</v>
      </c>
      <c r="D1514" s="1123" t="s">
        <v>11779</v>
      </c>
      <c r="E1514" s="1124">
        <v>9809.7000000000007</v>
      </c>
      <c r="F1514" s="1124">
        <v>804657.1</v>
      </c>
      <c r="G1514" s="1124">
        <v>245830.1</v>
      </c>
      <c r="H1514" s="1124" t="e">
        <v>#REF!</v>
      </c>
      <c r="I1514" s="1124" t="e">
        <v>#REF!</v>
      </c>
      <c r="J1514" s="1124" t="e">
        <v>#REF!</v>
      </c>
      <c r="K1514" s="1124" t="e">
        <v>#REF!</v>
      </c>
    </row>
    <row r="1515" spans="1:11" ht="30">
      <c r="A1515" s="1120">
        <v>1508</v>
      </c>
      <c r="B1515" s="1121" t="s">
        <v>12149</v>
      </c>
      <c r="C1515" s="1122" t="s">
        <v>12150</v>
      </c>
      <c r="D1515" s="1123" t="s">
        <v>11779</v>
      </c>
      <c r="E1515" s="1124">
        <v>7902.2</v>
      </c>
      <c r="F1515" s="1124">
        <v>642567.9</v>
      </c>
      <c r="G1515" s="1124">
        <v>196152.7</v>
      </c>
      <c r="H1515" s="1124" t="e">
        <v>#REF!</v>
      </c>
      <c r="I1515" s="1124" t="e">
        <v>#REF!</v>
      </c>
      <c r="J1515" s="1124" t="e">
        <v>#REF!</v>
      </c>
      <c r="K1515" s="1124" t="e">
        <v>#REF!</v>
      </c>
    </row>
    <row r="1516" spans="1:11" ht="30">
      <c r="A1516" s="1120">
        <v>1509</v>
      </c>
      <c r="B1516" s="1121" t="s">
        <v>12151</v>
      </c>
      <c r="C1516" s="1122" t="s">
        <v>12152</v>
      </c>
      <c r="D1516" s="1123" t="s">
        <v>11779</v>
      </c>
      <c r="E1516" s="1124">
        <v>9809.7000000000007</v>
      </c>
      <c r="F1516" s="1124">
        <v>908857.3</v>
      </c>
      <c r="G1516" s="1124">
        <v>245830.1</v>
      </c>
      <c r="H1516" s="1124" t="e">
        <v>#REF!</v>
      </c>
      <c r="I1516" s="1124" t="e">
        <v>#REF!</v>
      </c>
      <c r="J1516" s="1124" t="e">
        <v>#REF!</v>
      </c>
      <c r="K1516" s="1124" t="e">
        <v>#REF!</v>
      </c>
    </row>
    <row r="1517" spans="1:11" ht="30">
      <c r="A1517" s="1120">
        <v>1510</v>
      </c>
      <c r="B1517" s="1121" t="s">
        <v>12153</v>
      </c>
      <c r="C1517" s="1122" t="s">
        <v>12154</v>
      </c>
      <c r="D1517" s="1123" t="s">
        <v>11779</v>
      </c>
      <c r="E1517" s="1124">
        <v>7902.2</v>
      </c>
      <c r="F1517" s="1124">
        <v>726507</v>
      </c>
      <c r="G1517" s="1124">
        <v>196152.7</v>
      </c>
      <c r="H1517" s="1124" t="e">
        <v>#REF!</v>
      </c>
      <c r="I1517" s="1124" t="e">
        <v>#REF!</v>
      </c>
      <c r="J1517" s="1124" t="e">
        <v>#REF!</v>
      </c>
      <c r="K1517" s="1124" t="e">
        <v>#REF!</v>
      </c>
    </row>
    <row r="1518" spans="1:11" s="1136" customFormat="1" ht="30">
      <c r="A1518" s="1131">
        <v>1511</v>
      </c>
      <c r="B1518" s="1132" t="s">
        <v>12155</v>
      </c>
      <c r="C1518" s="1133" t="s">
        <v>12156</v>
      </c>
      <c r="D1518" s="1134" t="s">
        <v>6378</v>
      </c>
      <c r="E1518" s="1135">
        <v>623186.9</v>
      </c>
      <c r="F1518" s="1135">
        <v>3101577.9</v>
      </c>
      <c r="G1518" s="1135">
        <v>1341941.3999999999</v>
      </c>
      <c r="H1518" s="1135" t="e">
        <v>#REF!</v>
      </c>
      <c r="I1518" s="1135" t="e">
        <v>#REF!</v>
      </c>
      <c r="J1518" s="1135" t="e">
        <v>#REF!</v>
      </c>
      <c r="K1518" s="1135" t="e">
        <v>#REF!</v>
      </c>
    </row>
    <row r="1519" spans="1:11" s="1136" customFormat="1" ht="30">
      <c r="A1519" s="1131">
        <v>1512</v>
      </c>
      <c r="B1519" s="1132" t="s">
        <v>12157</v>
      </c>
      <c r="C1519" s="1133" t="s">
        <v>12158</v>
      </c>
      <c r="D1519" s="1134" t="s">
        <v>6378</v>
      </c>
      <c r="E1519" s="1135">
        <v>951452.6</v>
      </c>
      <c r="F1519" s="1135">
        <v>5686750.9000000004</v>
      </c>
      <c r="G1519" s="1135">
        <v>2683882.7999999998</v>
      </c>
      <c r="H1519" s="1135" t="e">
        <v>#REF!</v>
      </c>
      <c r="I1519" s="1135" t="e">
        <v>#REF!</v>
      </c>
      <c r="J1519" s="1135" t="e">
        <v>#REF!</v>
      </c>
      <c r="K1519" s="1135" t="e">
        <v>#REF!</v>
      </c>
    </row>
    <row r="1520" spans="1:11" s="1136" customFormat="1" ht="30">
      <c r="A1520" s="1131">
        <v>1513</v>
      </c>
      <c r="B1520" s="1132" t="s">
        <v>12159</v>
      </c>
      <c r="C1520" s="1133" t="s">
        <v>12160</v>
      </c>
      <c r="D1520" s="1134" t="s">
        <v>6378</v>
      </c>
      <c r="E1520" s="1135">
        <v>1068824.7</v>
      </c>
      <c r="F1520" s="1135">
        <v>6464506.9000000004</v>
      </c>
      <c r="G1520" s="1135">
        <v>2683882.7999999998</v>
      </c>
      <c r="H1520" s="1135" t="e">
        <v>#REF!</v>
      </c>
      <c r="I1520" s="1135" t="e">
        <v>#REF!</v>
      </c>
      <c r="J1520" s="1135" t="e">
        <v>#REF!</v>
      </c>
      <c r="K1520" s="1135" t="e">
        <v>#REF!</v>
      </c>
    </row>
    <row r="1521" spans="1:11" s="1136" customFormat="1" ht="30">
      <c r="A1521" s="1131">
        <v>1514</v>
      </c>
      <c r="B1521" s="1132" t="s">
        <v>12161</v>
      </c>
      <c r="C1521" s="1133" t="s">
        <v>12162</v>
      </c>
      <c r="D1521" s="1134" t="s">
        <v>6378</v>
      </c>
      <c r="E1521" s="1135">
        <v>1551237</v>
      </c>
      <c r="F1521" s="1135">
        <v>9307882.4000000004</v>
      </c>
      <c r="G1521" s="1135">
        <v>2877285.8</v>
      </c>
      <c r="H1521" s="1135" t="e">
        <v>#REF!</v>
      </c>
      <c r="I1521" s="1135" t="e">
        <v>#REF!</v>
      </c>
      <c r="J1521" s="1135" t="e">
        <v>#REF!</v>
      </c>
      <c r="K1521" s="1135" t="e">
        <v>#REF!</v>
      </c>
    </row>
    <row r="1522" spans="1:11" s="1136" customFormat="1" ht="30">
      <c r="A1522" s="1131">
        <v>1515</v>
      </c>
      <c r="B1522" s="1132" t="s">
        <v>12163</v>
      </c>
      <c r="C1522" s="1133" t="s">
        <v>12164</v>
      </c>
      <c r="D1522" s="1134" t="s">
        <v>6378</v>
      </c>
      <c r="E1522" s="1135">
        <v>2283528.2999999998</v>
      </c>
      <c r="F1522" s="1135">
        <v>13958674.699999999</v>
      </c>
      <c r="G1522" s="1135">
        <v>5754571.5999999996</v>
      </c>
      <c r="H1522" s="1135" t="e">
        <v>#REF!</v>
      </c>
      <c r="I1522" s="1135" t="e">
        <v>#REF!</v>
      </c>
      <c r="J1522" s="1135" t="e">
        <v>#REF!</v>
      </c>
      <c r="K1522" s="1135" t="e">
        <v>#REF!</v>
      </c>
    </row>
    <row r="1523" spans="1:11" s="1136" customFormat="1" ht="30">
      <c r="A1523" s="1131">
        <v>1516</v>
      </c>
      <c r="B1523" s="1132" t="s">
        <v>12165</v>
      </c>
      <c r="C1523" s="1133" t="s">
        <v>12166</v>
      </c>
      <c r="D1523" s="1134" t="s">
        <v>6378</v>
      </c>
      <c r="E1523" s="1135">
        <v>603610.69999999995</v>
      </c>
      <c r="F1523" s="1135">
        <v>3879333.9</v>
      </c>
      <c r="G1523" s="1135">
        <v>0</v>
      </c>
      <c r="H1523" s="1135" t="e">
        <v>#REF!</v>
      </c>
      <c r="I1523" s="1135" t="e">
        <v>#REF!</v>
      </c>
      <c r="J1523" s="1135" t="e">
        <v>#REF!</v>
      </c>
      <c r="K1523" s="1135" t="e">
        <v>#REF!</v>
      </c>
    </row>
    <row r="1524" spans="1:11" s="1136" customFormat="1" ht="30">
      <c r="A1524" s="1131">
        <v>1517</v>
      </c>
      <c r="B1524" s="1132" t="s">
        <v>12167</v>
      </c>
      <c r="C1524" s="1133" t="s">
        <v>12168</v>
      </c>
      <c r="D1524" s="1134" t="s">
        <v>6378</v>
      </c>
      <c r="E1524" s="1135">
        <v>931876.4</v>
      </c>
      <c r="F1524" s="1135">
        <v>6722709.4000000004</v>
      </c>
      <c r="G1524" s="1135">
        <v>1438642.9</v>
      </c>
      <c r="H1524" s="1135" t="e">
        <v>#REF!</v>
      </c>
      <c r="I1524" s="1135" t="e">
        <v>#REF!</v>
      </c>
      <c r="J1524" s="1135" t="e">
        <v>#REF!</v>
      </c>
      <c r="K1524" s="1135" t="e">
        <v>#REF!</v>
      </c>
    </row>
    <row r="1525" spans="1:11" s="1136" customFormat="1" ht="30">
      <c r="A1525" s="1131">
        <v>1518</v>
      </c>
      <c r="B1525" s="1132" t="s">
        <v>12169</v>
      </c>
      <c r="C1525" s="1133" t="s">
        <v>12170</v>
      </c>
      <c r="D1525" s="1134" t="s">
        <v>6378</v>
      </c>
      <c r="E1525" s="1135">
        <v>1174188</v>
      </c>
      <c r="F1525" s="1135">
        <v>7755519</v>
      </c>
      <c r="G1525" s="1135">
        <v>4533197.8</v>
      </c>
      <c r="H1525" s="1135" t="e">
        <v>#REF!</v>
      </c>
      <c r="I1525" s="1135" t="e">
        <v>#REF!</v>
      </c>
      <c r="J1525" s="1135" t="e">
        <v>#REF!</v>
      </c>
      <c r="K1525" s="1135" t="e">
        <v>#REF!</v>
      </c>
    </row>
    <row r="1526" spans="1:11" s="1136" customFormat="1" ht="30">
      <c r="A1526" s="1131">
        <v>1519</v>
      </c>
      <c r="B1526" s="1132" t="s">
        <v>12171</v>
      </c>
      <c r="C1526" s="1133" t="s">
        <v>12172</v>
      </c>
      <c r="D1526" s="1134" t="s">
        <v>6378</v>
      </c>
      <c r="E1526" s="1135">
        <v>2050995</v>
      </c>
      <c r="F1526" s="1135">
        <v>11115299.300000001</v>
      </c>
      <c r="G1526" s="1135">
        <v>4533197.8</v>
      </c>
      <c r="H1526" s="1135" t="e">
        <v>#REF!</v>
      </c>
      <c r="I1526" s="1135" t="e">
        <v>#REF!</v>
      </c>
      <c r="J1526" s="1135" t="e">
        <v>#REF!</v>
      </c>
      <c r="K1526" s="1135" t="e">
        <v>#REF!</v>
      </c>
    </row>
    <row r="1527" spans="1:11" s="1136" customFormat="1" ht="30">
      <c r="A1527" s="1131">
        <v>1520</v>
      </c>
      <c r="B1527" s="1132" t="s">
        <v>12173</v>
      </c>
      <c r="C1527" s="1133" t="s">
        <v>12174</v>
      </c>
      <c r="D1527" s="1134" t="s">
        <v>6378</v>
      </c>
      <c r="E1527" s="1135">
        <v>2908225.8</v>
      </c>
      <c r="F1527" s="1135">
        <v>17579806.199999999</v>
      </c>
      <c r="G1527" s="1135">
        <v>9066395.5999999996</v>
      </c>
      <c r="H1527" s="1135" t="e">
        <v>#REF!</v>
      </c>
      <c r="I1527" s="1135" t="e">
        <v>#REF!</v>
      </c>
      <c r="J1527" s="1135" t="e">
        <v>#REF!</v>
      </c>
      <c r="K1527" s="1135" t="e">
        <v>#REF!</v>
      </c>
    </row>
    <row r="1528" spans="1:11" ht="30">
      <c r="A1528" s="1120">
        <v>1521</v>
      </c>
      <c r="B1528" s="1121" t="s">
        <v>12175</v>
      </c>
      <c r="C1528" s="1122" t="s">
        <v>12176</v>
      </c>
      <c r="D1528" s="1123" t="s">
        <v>12126</v>
      </c>
      <c r="E1528" s="1124">
        <v>126450</v>
      </c>
      <c r="F1528" s="1124">
        <v>5157750.8</v>
      </c>
      <c r="G1528" s="1124">
        <v>548703.1</v>
      </c>
      <c r="H1528" s="1124" t="e">
        <v>#REF!</v>
      </c>
      <c r="I1528" s="1124" t="e">
        <v>#REF!</v>
      </c>
      <c r="J1528" s="1124" t="e">
        <v>#REF!</v>
      </c>
      <c r="K1528" s="1124" t="e">
        <v>#REF!</v>
      </c>
    </row>
    <row r="1529" spans="1:11" ht="30">
      <c r="A1529" s="1120">
        <v>1522</v>
      </c>
      <c r="B1529" s="1121" t="s">
        <v>12177</v>
      </c>
      <c r="C1529" s="1122" t="s">
        <v>12178</v>
      </c>
      <c r="D1529" s="1123" t="s">
        <v>12126</v>
      </c>
      <c r="E1529" s="1124">
        <v>74200</v>
      </c>
      <c r="F1529" s="1124">
        <v>2947286.2</v>
      </c>
      <c r="G1529" s="1124">
        <v>457252.6</v>
      </c>
      <c r="H1529" s="1124" t="e">
        <v>#REF!</v>
      </c>
      <c r="I1529" s="1124" t="e">
        <v>#REF!</v>
      </c>
      <c r="J1529" s="1124" t="e">
        <v>#REF!</v>
      </c>
      <c r="K1529" s="1124" t="e">
        <v>#REF!</v>
      </c>
    </row>
    <row r="1530" spans="1:11" ht="30">
      <c r="A1530" s="1120">
        <v>1523</v>
      </c>
      <c r="B1530" s="1121" t="s">
        <v>12179</v>
      </c>
      <c r="C1530" s="1122" t="s">
        <v>12180</v>
      </c>
      <c r="D1530" s="1123" t="s">
        <v>12126</v>
      </c>
      <c r="E1530" s="1124">
        <v>43000</v>
      </c>
      <c r="F1530" s="1124">
        <v>1769631.2</v>
      </c>
      <c r="G1530" s="1124">
        <v>363667.1</v>
      </c>
      <c r="H1530" s="1124" t="e">
        <v>#REF!</v>
      </c>
      <c r="I1530" s="1124" t="e">
        <v>#REF!</v>
      </c>
      <c r="J1530" s="1124" t="e">
        <v>#REF!</v>
      </c>
      <c r="K1530" s="1124" t="e">
        <v>#REF!</v>
      </c>
    </row>
    <row r="1531" spans="1:11" ht="30">
      <c r="A1531" s="1120">
        <v>1524</v>
      </c>
      <c r="B1531" s="1121" t="s">
        <v>12181</v>
      </c>
      <c r="C1531" s="1122" t="s">
        <v>12182</v>
      </c>
      <c r="D1531" s="1123" t="s">
        <v>12126</v>
      </c>
      <c r="E1531" s="1124">
        <v>22800</v>
      </c>
      <c r="F1531" s="1124">
        <v>884815.6</v>
      </c>
      <c r="G1531" s="1124">
        <v>242444.7</v>
      </c>
      <c r="H1531" s="1124" t="e">
        <v>#REF!</v>
      </c>
      <c r="I1531" s="1124" t="e">
        <v>#REF!</v>
      </c>
      <c r="J1531" s="1124" t="e">
        <v>#REF!</v>
      </c>
      <c r="K1531" s="1124" t="e">
        <v>#REF!</v>
      </c>
    </row>
    <row r="1532" spans="1:11" ht="30">
      <c r="A1532" s="1120">
        <v>1525</v>
      </c>
      <c r="B1532" s="1121" t="s">
        <v>12183</v>
      </c>
      <c r="C1532" s="1122" t="s">
        <v>12184</v>
      </c>
      <c r="D1532" s="1123" t="s">
        <v>12126</v>
      </c>
      <c r="E1532" s="1124">
        <v>22800</v>
      </c>
      <c r="F1532" s="1124">
        <v>736821.5</v>
      </c>
      <c r="G1532" s="1124">
        <v>0</v>
      </c>
      <c r="H1532" s="1124" t="e">
        <v>#REF!</v>
      </c>
      <c r="I1532" s="1124" t="e">
        <v>#REF!</v>
      </c>
      <c r="J1532" s="1124" t="e">
        <v>#REF!</v>
      </c>
      <c r="K1532" s="1124" t="e">
        <v>#REF!</v>
      </c>
    </row>
    <row r="1533" spans="1:11" ht="30">
      <c r="A1533" s="1120">
        <v>1526</v>
      </c>
      <c r="B1533" s="1121" t="s">
        <v>12185</v>
      </c>
      <c r="C1533" s="1122" t="s">
        <v>12186</v>
      </c>
      <c r="D1533" s="1123" t="s">
        <v>12126</v>
      </c>
      <c r="E1533" s="1124">
        <v>126450</v>
      </c>
      <c r="F1533" s="1124">
        <v>6086649.7000000002</v>
      </c>
      <c r="G1533" s="1124">
        <v>548703.1</v>
      </c>
      <c r="H1533" s="1124" t="e">
        <v>#REF!</v>
      </c>
      <c r="I1533" s="1124" t="e">
        <v>#REF!</v>
      </c>
      <c r="J1533" s="1124" t="e">
        <v>#REF!</v>
      </c>
      <c r="K1533" s="1124" t="e">
        <v>#REF!</v>
      </c>
    </row>
    <row r="1534" spans="1:11" ht="30">
      <c r="A1534" s="1120">
        <v>1527</v>
      </c>
      <c r="B1534" s="1121" t="s">
        <v>12187</v>
      </c>
      <c r="C1534" s="1122" t="s">
        <v>12188</v>
      </c>
      <c r="D1534" s="1123" t="s">
        <v>12126</v>
      </c>
      <c r="E1534" s="1124">
        <v>74200</v>
      </c>
      <c r="F1534" s="1124">
        <v>4052518.5</v>
      </c>
      <c r="G1534" s="1124">
        <v>457252.6</v>
      </c>
      <c r="H1534" s="1124" t="e">
        <v>#REF!</v>
      </c>
      <c r="I1534" s="1124" t="e">
        <v>#REF!</v>
      </c>
      <c r="J1534" s="1124" t="e">
        <v>#REF!</v>
      </c>
      <c r="K1534" s="1124" t="e">
        <v>#REF!</v>
      </c>
    </row>
    <row r="1535" spans="1:11" ht="30">
      <c r="A1535" s="1120">
        <v>1528</v>
      </c>
      <c r="B1535" s="1121" t="s">
        <v>12189</v>
      </c>
      <c r="C1535" s="1122" t="s">
        <v>12190</v>
      </c>
      <c r="D1535" s="1123" t="s">
        <v>12126</v>
      </c>
      <c r="E1535" s="1124">
        <v>43000</v>
      </c>
      <c r="F1535" s="1124">
        <v>2544238.5</v>
      </c>
      <c r="G1535" s="1124">
        <v>363667.1</v>
      </c>
      <c r="H1535" s="1124" t="e">
        <v>#REF!</v>
      </c>
      <c r="I1535" s="1124" t="e">
        <v>#REF!</v>
      </c>
      <c r="J1535" s="1124" t="e">
        <v>#REF!</v>
      </c>
      <c r="K1535" s="1124" t="e">
        <v>#REF!</v>
      </c>
    </row>
    <row r="1536" spans="1:11" ht="30">
      <c r="A1536" s="1120">
        <v>1529</v>
      </c>
      <c r="B1536" s="1121" t="s">
        <v>12191</v>
      </c>
      <c r="C1536" s="1122" t="s">
        <v>12192</v>
      </c>
      <c r="D1536" s="1123" t="s">
        <v>12126</v>
      </c>
      <c r="E1536" s="1124">
        <v>22800</v>
      </c>
      <c r="F1536" s="1124">
        <v>1659422.9</v>
      </c>
      <c r="G1536" s="1124">
        <v>242444.7</v>
      </c>
      <c r="H1536" s="1124" t="e">
        <v>#REF!</v>
      </c>
      <c r="I1536" s="1124" t="e">
        <v>#REF!</v>
      </c>
      <c r="J1536" s="1124" t="e">
        <v>#REF!</v>
      </c>
      <c r="K1536" s="1124" t="e">
        <v>#REF!</v>
      </c>
    </row>
    <row r="1537" spans="1:11" ht="30">
      <c r="A1537" s="1120">
        <v>1530</v>
      </c>
      <c r="B1537" s="1121" t="s">
        <v>12193</v>
      </c>
      <c r="C1537" s="1122" t="s">
        <v>12194</v>
      </c>
      <c r="D1537" s="1123" t="s">
        <v>12126</v>
      </c>
      <c r="E1537" s="1124">
        <v>22800</v>
      </c>
      <c r="F1537" s="1124">
        <v>1357137.1</v>
      </c>
      <c r="G1537" s="1124">
        <v>0</v>
      </c>
      <c r="H1537" s="1124" t="e">
        <v>#REF!</v>
      </c>
      <c r="I1537" s="1124" t="e">
        <v>#REF!</v>
      </c>
      <c r="J1537" s="1124" t="e">
        <v>#REF!</v>
      </c>
      <c r="K1537" s="1124" t="e">
        <v>#REF!</v>
      </c>
    </row>
    <row r="1538" spans="1:11" ht="30">
      <c r="A1538" s="1120">
        <v>1531</v>
      </c>
      <c r="B1538" s="1121" t="s">
        <v>12195</v>
      </c>
      <c r="C1538" s="1122" t="s">
        <v>12196</v>
      </c>
      <c r="D1538" s="1123" t="s">
        <v>12126</v>
      </c>
      <c r="E1538" s="1124">
        <v>126450</v>
      </c>
      <c r="F1538" s="1124">
        <v>7305239.2000000002</v>
      </c>
      <c r="G1538" s="1124">
        <v>548703.1</v>
      </c>
      <c r="H1538" s="1124" t="e">
        <v>#REF!</v>
      </c>
      <c r="I1538" s="1124" t="e">
        <v>#REF!</v>
      </c>
      <c r="J1538" s="1124" t="e">
        <v>#REF!</v>
      </c>
      <c r="K1538" s="1124" t="e">
        <v>#REF!</v>
      </c>
    </row>
    <row r="1539" spans="1:11" ht="30">
      <c r="A1539" s="1120">
        <v>1532</v>
      </c>
      <c r="B1539" s="1121" t="s">
        <v>12197</v>
      </c>
      <c r="C1539" s="1122" t="s">
        <v>12198</v>
      </c>
      <c r="D1539" s="1123" t="s">
        <v>12126</v>
      </c>
      <c r="E1539" s="1124">
        <v>74200</v>
      </c>
      <c r="F1539" s="1124">
        <v>4861762.5999999996</v>
      </c>
      <c r="G1539" s="1124">
        <v>457252.6</v>
      </c>
      <c r="H1539" s="1124" t="e">
        <v>#REF!</v>
      </c>
      <c r="I1539" s="1124" t="e">
        <v>#REF!</v>
      </c>
      <c r="J1539" s="1124" t="e">
        <v>#REF!</v>
      </c>
      <c r="K1539" s="1124" t="e">
        <v>#REF!</v>
      </c>
    </row>
    <row r="1540" spans="1:11" ht="30">
      <c r="A1540" s="1120">
        <v>1533</v>
      </c>
      <c r="B1540" s="1121" t="s">
        <v>12199</v>
      </c>
      <c r="C1540" s="1122" t="s">
        <v>12200</v>
      </c>
      <c r="D1540" s="1123" t="s">
        <v>12126</v>
      </c>
      <c r="E1540" s="1124">
        <v>43000</v>
      </c>
      <c r="F1540" s="1124">
        <v>3051196.9</v>
      </c>
      <c r="G1540" s="1124">
        <v>363667.1</v>
      </c>
      <c r="H1540" s="1124" t="e">
        <v>#REF!</v>
      </c>
      <c r="I1540" s="1124" t="e">
        <v>#REF!</v>
      </c>
      <c r="J1540" s="1124" t="e">
        <v>#REF!</v>
      </c>
      <c r="K1540" s="1124" t="e">
        <v>#REF!</v>
      </c>
    </row>
    <row r="1541" spans="1:11" ht="30">
      <c r="A1541" s="1120">
        <v>1534</v>
      </c>
      <c r="B1541" s="1121" t="s">
        <v>12201</v>
      </c>
      <c r="C1541" s="1122" t="s">
        <v>12202</v>
      </c>
      <c r="D1541" s="1123" t="s">
        <v>12126</v>
      </c>
      <c r="E1541" s="1124">
        <v>22800</v>
      </c>
      <c r="F1541" s="1124">
        <v>1993196.7</v>
      </c>
      <c r="G1541" s="1124">
        <v>242444.7</v>
      </c>
      <c r="H1541" s="1124" t="e">
        <v>#REF!</v>
      </c>
      <c r="I1541" s="1124" t="e">
        <v>#REF!</v>
      </c>
      <c r="J1541" s="1124" t="e">
        <v>#REF!</v>
      </c>
      <c r="K1541" s="1124" t="e">
        <v>#REF!</v>
      </c>
    </row>
    <row r="1542" spans="1:11" ht="30">
      <c r="A1542" s="1120">
        <v>1535</v>
      </c>
      <c r="B1542" s="1121" t="s">
        <v>12203</v>
      </c>
      <c r="C1542" s="1122" t="s">
        <v>12204</v>
      </c>
      <c r="D1542" s="1123" t="s">
        <v>12126</v>
      </c>
      <c r="E1542" s="1124">
        <v>22800</v>
      </c>
      <c r="F1542" s="1124">
        <v>1627934.8</v>
      </c>
      <c r="G1542" s="1124">
        <v>0</v>
      </c>
      <c r="H1542" s="1124" t="e">
        <v>#REF!</v>
      </c>
      <c r="I1542" s="1124" t="e">
        <v>#REF!</v>
      </c>
      <c r="J1542" s="1124" t="e">
        <v>#REF!</v>
      </c>
      <c r="K1542" s="1124" t="e">
        <v>#REF!</v>
      </c>
    </row>
    <row r="1543" spans="1:11" ht="30">
      <c r="A1543" s="1120">
        <v>1536</v>
      </c>
      <c r="B1543" s="1121" t="s">
        <v>12205</v>
      </c>
      <c r="C1543" s="1122" t="s">
        <v>12206</v>
      </c>
      <c r="D1543" s="1123" t="s">
        <v>12091</v>
      </c>
      <c r="E1543" s="1124">
        <v>186800</v>
      </c>
      <c r="F1543" s="1124">
        <v>6011078.2999999998</v>
      </c>
      <c r="G1543" s="1124">
        <v>914505.3</v>
      </c>
      <c r="H1543" s="1124" t="e">
        <v>#REF!</v>
      </c>
      <c r="I1543" s="1124" t="e">
        <v>#REF!</v>
      </c>
      <c r="J1543" s="1124" t="e">
        <v>#REF!</v>
      </c>
      <c r="K1543" s="1124" t="e">
        <v>#REF!</v>
      </c>
    </row>
    <row r="1544" spans="1:11" ht="30">
      <c r="A1544" s="1120">
        <v>1537</v>
      </c>
      <c r="B1544" s="1121" t="s">
        <v>12207</v>
      </c>
      <c r="C1544" s="1122" t="s">
        <v>12208</v>
      </c>
      <c r="D1544" s="1123" t="s">
        <v>12091</v>
      </c>
      <c r="E1544" s="1124">
        <v>109000</v>
      </c>
      <c r="F1544" s="1124">
        <v>3536113.6</v>
      </c>
      <c r="G1544" s="1124">
        <v>727334.2</v>
      </c>
      <c r="H1544" s="1124" t="e">
        <v>#REF!</v>
      </c>
      <c r="I1544" s="1124" t="e">
        <v>#REF!</v>
      </c>
      <c r="J1544" s="1124" t="e">
        <v>#REF!</v>
      </c>
      <c r="K1544" s="1124" t="e">
        <v>#REF!</v>
      </c>
    </row>
    <row r="1545" spans="1:11" ht="30">
      <c r="A1545" s="1120">
        <v>1538</v>
      </c>
      <c r="B1545" s="1121" t="s">
        <v>12209</v>
      </c>
      <c r="C1545" s="1122" t="s">
        <v>12210</v>
      </c>
      <c r="D1545" s="1123" t="s">
        <v>12091</v>
      </c>
      <c r="E1545" s="1124">
        <v>63450</v>
      </c>
      <c r="F1545" s="1124">
        <v>1769631.2</v>
      </c>
      <c r="G1545" s="1124">
        <v>484889.5</v>
      </c>
      <c r="H1545" s="1124" t="e">
        <v>#REF!</v>
      </c>
      <c r="I1545" s="1124" t="e">
        <v>#REF!</v>
      </c>
      <c r="J1545" s="1124" t="e">
        <v>#REF!</v>
      </c>
      <c r="K1545" s="1124" t="e">
        <v>#REF!</v>
      </c>
    </row>
    <row r="1546" spans="1:11" ht="30">
      <c r="A1546" s="1120">
        <v>1539</v>
      </c>
      <c r="B1546" s="1121" t="s">
        <v>12211</v>
      </c>
      <c r="C1546" s="1122" t="s">
        <v>12212</v>
      </c>
      <c r="D1546" s="1123" t="s">
        <v>12091</v>
      </c>
      <c r="E1546" s="1124">
        <v>51200</v>
      </c>
      <c r="F1546" s="1124">
        <v>1473643.1</v>
      </c>
      <c r="G1546" s="1124">
        <v>0</v>
      </c>
      <c r="H1546" s="1124" t="e">
        <v>#REF!</v>
      </c>
      <c r="I1546" s="1124" t="e">
        <v>#REF!</v>
      </c>
      <c r="J1546" s="1124" t="e">
        <v>#REF!</v>
      </c>
      <c r="K1546" s="1124" t="e">
        <v>#REF!</v>
      </c>
    </row>
    <row r="1547" spans="1:11" ht="30">
      <c r="A1547" s="1120">
        <v>1540</v>
      </c>
      <c r="B1547" s="1121" t="s">
        <v>12213</v>
      </c>
      <c r="C1547" s="1122" t="s">
        <v>12214</v>
      </c>
      <c r="D1547" s="1123" t="s">
        <v>12091</v>
      </c>
      <c r="E1547" s="1124">
        <v>186800</v>
      </c>
      <c r="F1547" s="1124">
        <v>8180608.4000000004</v>
      </c>
      <c r="G1547" s="1124">
        <v>914505.3</v>
      </c>
      <c r="H1547" s="1124" t="e">
        <v>#REF!</v>
      </c>
      <c r="I1547" s="1124" t="e">
        <v>#REF!</v>
      </c>
      <c r="J1547" s="1124" t="e">
        <v>#REF!</v>
      </c>
      <c r="K1547" s="1124" t="e">
        <v>#REF!</v>
      </c>
    </row>
    <row r="1548" spans="1:11" ht="30">
      <c r="A1548" s="1120">
        <v>1541</v>
      </c>
      <c r="B1548" s="1121" t="s">
        <v>12215</v>
      </c>
      <c r="C1548" s="1122" t="s">
        <v>12216</v>
      </c>
      <c r="D1548" s="1123" t="s">
        <v>12091</v>
      </c>
      <c r="E1548" s="1124">
        <v>109000</v>
      </c>
      <c r="F1548" s="1124">
        <v>5088477</v>
      </c>
      <c r="G1548" s="1124">
        <v>727334.2</v>
      </c>
      <c r="H1548" s="1124" t="e">
        <v>#REF!</v>
      </c>
      <c r="I1548" s="1124" t="e">
        <v>#REF!</v>
      </c>
      <c r="J1548" s="1124" t="e">
        <v>#REF!</v>
      </c>
      <c r="K1548" s="1124" t="e">
        <v>#REF!</v>
      </c>
    </row>
    <row r="1549" spans="1:11" ht="30">
      <c r="A1549" s="1120">
        <v>1542</v>
      </c>
      <c r="B1549" s="1121" t="s">
        <v>12217</v>
      </c>
      <c r="C1549" s="1122" t="s">
        <v>12218</v>
      </c>
      <c r="D1549" s="1123" t="s">
        <v>12091</v>
      </c>
      <c r="E1549" s="1124">
        <v>63450</v>
      </c>
      <c r="F1549" s="1124">
        <v>3318845.7</v>
      </c>
      <c r="G1549" s="1124">
        <v>484889.5</v>
      </c>
      <c r="H1549" s="1124" t="e">
        <v>#REF!</v>
      </c>
      <c r="I1549" s="1124" t="e">
        <v>#REF!</v>
      </c>
      <c r="J1549" s="1124" t="e">
        <v>#REF!</v>
      </c>
      <c r="K1549" s="1124" t="e">
        <v>#REF!</v>
      </c>
    </row>
    <row r="1550" spans="1:11" ht="30">
      <c r="A1550" s="1120">
        <v>1543</v>
      </c>
      <c r="B1550" s="1121" t="s">
        <v>12219</v>
      </c>
      <c r="C1550" s="1122" t="s">
        <v>12220</v>
      </c>
      <c r="D1550" s="1123" t="s">
        <v>12091</v>
      </c>
      <c r="E1550" s="1124">
        <v>51200</v>
      </c>
      <c r="F1550" s="1124">
        <v>2714274.2</v>
      </c>
      <c r="G1550" s="1124">
        <v>0</v>
      </c>
      <c r="H1550" s="1124" t="e">
        <v>#REF!</v>
      </c>
      <c r="I1550" s="1124" t="e">
        <v>#REF!</v>
      </c>
      <c r="J1550" s="1124" t="e">
        <v>#REF!</v>
      </c>
      <c r="K1550" s="1124" t="e">
        <v>#REF!</v>
      </c>
    </row>
    <row r="1551" spans="1:11" ht="30">
      <c r="A1551" s="1120">
        <v>1544</v>
      </c>
      <c r="B1551" s="1121" t="s">
        <v>12221</v>
      </c>
      <c r="C1551" s="1122" t="s">
        <v>12222</v>
      </c>
      <c r="D1551" s="1123" t="s">
        <v>12091</v>
      </c>
      <c r="E1551" s="1124">
        <v>186800</v>
      </c>
      <c r="F1551" s="1124">
        <v>9817989.5999999996</v>
      </c>
      <c r="G1551" s="1124">
        <v>914505.3</v>
      </c>
      <c r="H1551" s="1124" t="e">
        <v>#REF!</v>
      </c>
      <c r="I1551" s="1124" t="e">
        <v>#REF!</v>
      </c>
      <c r="J1551" s="1124" t="e">
        <v>#REF!</v>
      </c>
      <c r="K1551" s="1124" t="e">
        <v>#REF!</v>
      </c>
    </row>
    <row r="1552" spans="1:11" ht="30">
      <c r="A1552" s="1120">
        <v>1545</v>
      </c>
      <c r="B1552" s="1121" t="s">
        <v>12223</v>
      </c>
      <c r="C1552" s="1122" t="s">
        <v>12224</v>
      </c>
      <c r="D1552" s="1123" t="s">
        <v>12091</v>
      </c>
      <c r="E1552" s="1124">
        <v>109000</v>
      </c>
      <c r="F1552" s="1124">
        <v>5985887.7999999998</v>
      </c>
      <c r="G1552" s="1124">
        <v>727334.2</v>
      </c>
      <c r="H1552" s="1124" t="e">
        <v>#REF!</v>
      </c>
      <c r="I1552" s="1124" t="e">
        <v>#REF!</v>
      </c>
      <c r="J1552" s="1124" t="e">
        <v>#REF!</v>
      </c>
      <c r="K1552" s="1124" t="e">
        <v>#REF!</v>
      </c>
    </row>
    <row r="1553" spans="1:11" ht="30">
      <c r="A1553" s="1120">
        <v>1546</v>
      </c>
      <c r="B1553" s="1121" t="s">
        <v>12225</v>
      </c>
      <c r="C1553" s="1122" t="s">
        <v>12226</v>
      </c>
      <c r="D1553" s="1123" t="s">
        <v>12091</v>
      </c>
      <c r="E1553" s="1124">
        <v>63450</v>
      </c>
      <c r="F1553" s="1124">
        <v>3923417.3</v>
      </c>
      <c r="G1553" s="1124">
        <v>484889.5</v>
      </c>
      <c r="H1553" s="1124" t="e">
        <v>#REF!</v>
      </c>
      <c r="I1553" s="1124" t="e">
        <v>#REF!</v>
      </c>
      <c r="J1553" s="1124" t="e">
        <v>#REF!</v>
      </c>
      <c r="K1553" s="1124" t="e">
        <v>#REF!</v>
      </c>
    </row>
    <row r="1554" spans="1:11" ht="30">
      <c r="A1554" s="1120">
        <v>1547</v>
      </c>
      <c r="B1554" s="1121" t="s">
        <v>12227</v>
      </c>
      <c r="C1554" s="1122" t="s">
        <v>12228</v>
      </c>
      <c r="D1554" s="1123" t="s">
        <v>12091</v>
      </c>
      <c r="E1554" s="1124">
        <v>51200</v>
      </c>
      <c r="F1554" s="1124">
        <v>3255869.5</v>
      </c>
      <c r="G1554" s="1124">
        <v>0</v>
      </c>
      <c r="H1554" s="1124" t="e">
        <v>#REF!</v>
      </c>
      <c r="I1554" s="1124" t="e">
        <v>#REF!</v>
      </c>
      <c r="J1554" s="1124" t="e">
        <v>#REF!</v>
      </c>
      <c r="K1554" s="1124" t="e">
        <v>#REF!</v>
      </c>
    </row>
    <row r="1555" spans="1:11" ht="30">
      <c r="A1555" s="1120">
        <v>1548</v>
      </c>
      <c r="B1555" s="1121" t="s">
        <v>12229</v>
      </c>
      <c r="C1555" s="1122" t="s">
        <v>12230</v>
      </c>
      <c r="D1555" s="1123" t="s">
        <v>12091</v>
      </c>
      <c r="E1555" s="1124">
        <v>101025</v>
      </c>
      <c r="F1555" s="1124">
        <v>2122297.9</v>
      </c>
      <c r="G1555" s="1124">
        <v>0</v>
      </c>
      <c r="H1555" s="1124" t="e">
        <v>#REF!</v>
      </c>
      <c r="I1555" s="1124" t="e">
        <v>#REF!</v>
      </c>
      <c r="J1555" s="1124" t="e">
        <v>#REF!</v>
      </c>
      <c r="K1555" s="1124" t="e">
        <v>#REF!</v>
      </c>
    </row>
    <row r="1556" spans="1:11" ht="30">
      <c r="A1556" s="1120">
        <v>1549</v>
      </c>
      <c r="B1556" s="1121" t="s">
        <v>12231</v>
      </c>
      <c r="C1556" s="1122" t="s">
        <v>12232</v>
      </c>
      <c r="D1556" s="1123" t="s">
        <v>12091</v>
      </c>
      <c r="E1556" s="1124">
        <v>67350</v>
      </c>
      <c r="F1556" s="1124">
        <v>1769631.2</v>
      </c>
      <c r="G1556" s="1124">
        <v>0</v>
      </c>
      <c r="H1556" s="1124" t="e">
        <v>#REF!</v>
      </c>
      <c r="I1556" s="1124" t="e">
        <v>#REF!</v>
      </c>
      <c r="J1556" s="1124" t="e">
        <v>#REF!</v>
      </c>
      <c r="K1556" s="1124" t="e">
        <v>#REF!</v>
      </c>
    </row>
    <row r="1557" spans="1:11" ht="30">
      <c r="A1557" s="1120">
        <v>1550</v>
      </c>
      <c r="B1557" s="1121" t="s">
        <v>12233</v>
      </c>
      <c r="C1557" s="1122" t="s">
        <v>12234</v>
      </c>
      <c r="D1557" s="1123" t="s">
        <v>12091</v>
      </c>
      <c r="E1557" s="1124">
        <v>101025</v>
      </c>
      <c r="F1557" s="1124">
        <v>3954905.4</v>
      </c>
      <c r="G1557" s="1124">
        <v>0</v>
      </c>
      <c r="H1557" s="1124" t="e">
        <v>#REF!</v>
      </c>
      <c r="I1557" s="1124" t="e">
        <v>#REF!</v>
      </c>
      <c r="J1557" s="1124" t="e">
        <v>#REF!</v>
      </c>
      <c r="K1557" s="1124" t="e">
        <v>#REF!</v>
      </c>
    </row>
    <row r="1558" spans="1:11" ht="30">
      <c r="A1558" s="1120">
        <v>1551</v>
      </c>
      <c r="B1558" s="1121" t="s">
        <v>12235</v>
      </c>
      <c r="C1558" s="1122" t="s">
        <v>12236</v>
      </c>
      <c r="D1558" s="1123" t="s">
        <v>12091</v>
      </c>
      <c r="E1558" s="1124">
        <v>67350</v>
      </c>
      <c r="F1558" s="1124">
        <v>3255869.5</v>
      </c>
      <c r="G1558" s="1124">
        <v>0</v>
      </c>
      <c r="H1558" s="1124" t="e">
        <v>#REF!</v>
      </c>
      <c r="I1558" s="1124" t="e">
        <v>#REF!</v>
      </c>
      <c r="J1558" s="1124" t="e">
        <v>#REF!</v>
      </c>
      <c r="K1558" s="1124" t="e">
        <v>#REF!</v>
      </c>
    </row>
    <row r="1559" spans="1:11" ht="30">
      <c r="A1559" s="1120">
        <v>1552</v>
      </c>
      <c r="B1559" s="1121" t="s">
        <v>12237</v>
      </c>
      <c r="C1559" s="1122" t="s">
        <v>12238</v>
      </c>
      <c r="D1559" s="1123" t="s">
        <v>12091</v>
      </c>
      <c r="E1559" s="1124">
        <v>101025</v>
      </c>
      <c r="F1559" s="1124">
        <v>4707471</v>
      </c>
      <c r="G1559" s="1124">
        <v>0</v>
      </c>
      <c r="H1559" s="1124" t="e">
        <v>#REF!</v>
      </c>
      <c r="I1559" s="1124" t="e">
        <v>#REF!</v>
      </c>
      <c r="J1559" s="1124" t="e">
        <v>#REF!</v>
      </c>
      <c r="K1559" s="1124" t="e">
        <v>#REF!</v>
      </c>
    </row>
    <row r="1560" spans="1:11" ht="30">
      <c r="A1560" s="1120">
        <v>1553</v>
      </c>
      <c r="B1560" s="1121" t="s">
        <v>12239</v>
      </c>
      <c r="C1560" s="1122" t="s">
        <v>12240</v>
      </c>
      <c r="D1560" s="1123" t="s">
        <v>12091</v>
      </c>
      <c r="E1560" s="1124">
        <v>67350</v>
      </c>
      <c r="F1560" s="1124">
        <v>3907673.2</v>
      </c>
      <c r="G1560" s="1124">
        <v>0</v>
      </c>
      <c r="H1560" s="1124" t="e">
        <v>#REF!</v>
      </c>
      <c r="I1560" s="1124" t="e">
        <v>#REF!</v>
      </c>
      <c r="J1560" s="1124" t="e">
        <v>#REF!</v>
      </c>
      <c r="K1560" s="1124" t="e">
        <v>#REF!</v>
      </c>
    </row>
    <row r="1561" spans="1:11" s="1136" customFormat="1" ht="30">
      <c r="A1561" s="1131">
        <v>1554</v>
      </c>
      <c r="B1561" s="1132" t="s">
        <v>12241</v>
      </c>
      <c r="C1561" s="1133" t="s">
        <v>12242</v>
      </c>
      <c r="D1561" s="1134" t="s">
        <v>12243</v>
      </c>
      <c r="E1561" s="1135">
        <v>274837.5</v>
      </c>
      <c r="F1561" s="1135">
        <v>258202.4</v>
      </c>
      <c r="G1561" s="1135">
        <v>0</v>
      </c>
      <c r="H1561" s="1135" t="e">
        <v>#REF!</v>
      </c>
      <c r="I1561" s="1135" t="e">
        <v>#REF!</v>
      </c>
      <c r="J1561" s="1135" t="e">
        <v>#REF!</v>
      </c>
      <c r="K1561" s="1135" t="e">
        <v>#REF!</v>
      </c>
    </row>
    <row r="1562" spans="1:11" s="1136" customFormat="1" ht="30">
      <c r="A1562" s="1131">
        <v>1555</v>
      </c>
      <c r="B1562" s="1132" t="s">
        <v>12244</v>
      </c>
      <c r="C1562" s="1133" t="s">
        <v>12245</v>
      </c>
      <c r="D1562" s="1134" t="s">
        <v>12243</v>
      </c>
      <c r="E1562" s="1135">
        <v>365531.3</v>
      </c>
      <c r="F1562" s="1135">
        <v>362113.2</v>
      </c>
      <c r="G1562" s="1135">
        <v>980763.5</v>
      </c>
      <c r="H1562" s="1135" t="e">
        <v>#REF!</v>
      </c>
      <c r="I1562" s="1135" t="e">
        <v>#REF!</v>
      </c>
      <c r="J1562" s="1135" t="e">
        <v>#REF!</v>
      </c>
      <c r="K1562" s="1135" t="e">
        <v>#REF!</v>
      </c>
    </row>
    <row r="1563" spans="1:11" s="1136" customFormat="1" ht="30">
      <c r="A1563" s="1131">
        <v>1556</v>
      </c>
      <c r="B1563" s="1132" t="s">
        <v>12246</v>
      </c>
      <c r="C1563" s="1133" t="s">
        <v>12247</v>
      </c>
      <c r="D1563" s="1134" t="s">
        <v>12243</v>
      </c>
      <c r="E1563" s="1135">
        <v>439950</v>
      </c>
      <c r="F1563" s="1135">
        <v>516404.8</v>
      </c>
      <c r="G1563" s="1135">
        <v>1961527</v>
      </c>
      <c r="H1563" s="1135" t="e">
        <v>#REF!</v>
      </c>
      <c r="I1563" s="1135" t="e">
        <v>#REF!</v>
      </c>
      <c r="J1563" s="1135" t="e">
        <v>#REF!</v>
      </c>
      <c r="K1563" s="1135" t="e">
        <v>#REF!</v>
      </c>
    </row>
    <row r="1564" spans="1:11" s="1136" customFormat="1" ht="30">
      <c r="A1564" s="1131">
        <v>1557</v>
      </c>
      <c r="B1564" s="1132" t="s">
        <v>12248</v>
      </c>
      <c r="C1564" s="1133" t="s">
        <v>12249</v>
      </c>
      <c r="D1564" s="1134" t="s">
        <v>12243</v>
      </c>
      <c r="E1564" s="1135">
        <v>549675</v>
      </c>
      <c r="F1564" s="1135">
        <v>828137</v>
      </c>
      <c r="G1564" s="1135">
        <v>4598202.5</v>
      </c>
      <c r="H1564" s="1135" t="e">
        <v>#REF!</v>
      </c>
      <c r="I1564" s="1135" t="e">
        <v>#REF!</v>
      </c>
      <c r="J1564" s="1135" t="e">
        <v>#REF!</v>
      </c>
      <c r="K1564" s="1135" t="e">
        <v>#REF!</v>
      </c>
    </row>
    <row r="1565" spans="1:11" s="1136" customFormat="1" ht="30">
      <c r="A1565" s="1131">
        <v>1558</v>
      </c>
      <c r="B1565" s="1132" t="s">
        <v>12250</v>
      </c>
      <c r="C1565" s="1133" t="s">
        <v>12251</v>
      </c>
      <c r="D1565" s="1134" t="s">
        <v>12243</v>
      </c>
      <c r="E1565" s="1135">
        <v>780937.5</v>
      </c>
      <c r="F1565" s="1135">
        <v>2843375.4</v>
      </c>
      <c r="G1565" s="1135">
        <v>7234878</v>
      </c>
      <c r="H1565" s="1135" t="e">
        <v>#REF!</v>
      </c>
      <c r="I1565" s="1135" t="e">
        <v>#REF!</v>
      </c>
      <c r="J1565" s="1135" t="e">
        <v>#REF!</v>
      </c>
      <c r="K1565" s="1135" t="e">
        <v>#REF!</v>
      </c>
    </row>
    <row r="1566" spans="1:11" s="1136" customFormat="1" ht="30">
      <c r="A1566" s="1131">
        <v>1559</v>
      </c>
      <c r="B1566" s="1132" t="s">
        <v>12252</v>
      </c>
      <c r="C1566" s="1133" t="s">
        <v>12253</v>
      </c>
      <c r="D1566" s="1134" t="s">
        <v>49</v>
      </c>
      <c r="E1566" s="1135">
        <v>0</v>
      </c>
      <c r="F1566" s="1135">
        <v>13332</v>
      </c>
      <c r="G1566" s="1135">
        <v>0</v>
      </c>
      <c r="H1566" s="1135" t="e">
        <v>#REF!</v>
      </c>
      <c r="I1566" s="1135" t="e">
        <v>#REF!</v>
      </c>
      <c r="J1566" s="1135" t="e">
        <v>#REF!</v>
      </c>
      <c r="K1566" s="1135" t="e">
        <v>#REF!</v>
      </c>
    </row>
    <row r="1567" spans="1:11" s="1136" customFormat="1" ht="30">
      <c r="A1567" s="1131">
        <v>1560</v>
      </c>
      <c r="B1567" s="1132" t="s">
        <v>12254</v>
      </c>
      <c r="C1567" s="1133" t="s">
        <v>12255</v>
      </c>
      <c r="D1567" s="1134" t="s">
        <v>4109</v>
      </c>
      <c r="E1567" s="1135">
        <v>0</v>
      </c>
      <c r="F1567" s="1135">
        <v>18664.8</v>
      </c>
      <c r="G1567" s="1135">
        <v>0</v>
      </c>
      <c r="H1567" s="1135" t="e">
        <v>#REF!</v>
      </c>
      <c r="I1567" s="1135" t="e">
        <v>#REF!</v>
      </c>
      <c r="J1567" s="1135" t="e">
        <v>#REF!</v>
      </c>
      <c r="K1567" s="1135" t="e">
        <v>#REF!</v>
      </c>
    </row>
    <row r="1568" spans="1:11" s="1136" customFormat="1" ht="30">
      <c r="A1568" s="1131">
        <v>1561</v>
      </c>
      <c r="B1568" s="1132" t="s">
        <v>12256</v>
      </c>
      <c r="C1568" s="1133" t="s">
        <v>12257</v>
      </c>
      <c r="D1568" s="1134" t="s">
        <v>4109</v>
      </c>
      <c r="E1568" s="1135">
        <v>0</v>
      </c>
      <c r="F1568" s="1135">
        <v>21331.200000000001</v>
      </c>
      <c r="G1568" s="1135">
        <v>0</v>
      </c>
      <c r="H1568" s="1135" t="e">
        <v>#REF!</v>
      </c>
      <c r="I1568" s="1135" t="e">
        <v>#REF!</v>
      </c>
      <c r="J1568" s="1135" t="e">
        <v>#REF!</v>
      </c>
      <c r="K1568" s="1135" t="e">
        <v>#REF!</v>
      </c>
    </row>
    <row r="1569" spans="1:11" s="1136" customFormat="1" ht="30">
      <c r="A1569" s="1131">
        <v>1562</v>
      </c>
      <c r="B1569" s="1132" t="s">
        <v>12258</v>
      </c>
      <c r="C1569" s="1133" t="s">
        <v>12259</v>
      </c>
      <c r="D1569" s="1134" t="s">
        <v>4109</v>
      </c>
      <c r="E1569" s="1135">
        <v>0</v>
      </c>
      <c r="F1569" s="1135">
        <v>23997.599999999999</v>
      </c>
      <c r="G1569" s="1135">
        <v>0</v>
      </c>
      <c r="H1569" s="1135" t="e">
        <v>#REF!</v>
      </c>
      <c r="I1569" s="1135" t="e">
        <v>#REF!</v>
      </c>
      <c r="J1569" s="1135" t="e">
        <v>#REF!</v>
      </c>
      <c r="K1569" s="1135" t="e">
        <v>#REF!</v>
      </c>
    </row>
    <row r="1570" spans="1:11" s="1136" customFormat="1" ht="30">
      <c r="A1570" s="1131">
        <v>1563</v>
      </c>
      <c r="B1570" s="1132" t="s">
        <v>12260</v>
      </c>
      <c r="C1570" s="1133" t="s">
        <v>12261</v>
      </c>
      <c r="D1570" s="1134" t="s">
        <v>4109</v>
      </c>
      <c r="E1570" s="1135">
        <v>0</v>
      </c>
      <c r="F1570" s="1135">
        <v>26664</v>
      </c>
      <c r="G1570" s="1135">
        <v>0</v>
      </c>
      <c r="H1570" s="1135" t="e">
        <v>#REF!</v>
      </c>
      <c r="I1570" s="1135" t="e">
        <v>#REF!</v>
      </c>
      <c r="J1570" s="1135" t="e">
        <v>#REF!</v>
      </c>
      <c r="K1570" s="1135" t="e">
        <v>#REF!</v>
      </c>
    </row>
    <row r="1571" spans="1:11" s="1136" customFormat="1" ht="30">
      <c r="A1571" s="1131">
        <v>1564</v>
      </c>
      <c r="B1571" s="1132" t="s">
        <v>12262</v>
      </c>
      <c r="C1571" s="1133" t="s">
        <v>12263</v>
      </c>
      <c r="D1571" s="1134" t="s">
        <v>4109</v>
      </c>
      <c r="E1571" s="1135">
        <v>0</v>
      </c>
      <c r="F1571" s="1135">
        <v>29330.400000000001</v>
      </c>
      <c r="G1571" s="1135">
        <v>0</v>
      </c>
      <c r="H1571" s="1135" t="e">
        <v>#REF!</v>
      </c>
      <c r="I1571" s="1135" t="e">
        <v>#REF!</v>
      </c>
      <c r="J1571" s="1135" t="e">
        <v>#REF!</v>
      </c>
      <c r="K1571" s="1135" t="e">
        <v>#REF!</v>
      </c>
    </row>
    <row r="1572" spans="1:11" s="1136" customFormat="1" ht="30">
      <c r="A1572" s="1131">
        <v>1565</v>
      </c>
      <c r="B1572" s="1132" t="s">
        <v>12264</v>
      </c>
      <c r="C1572" s="1133" t="s">
        <v>12265</v>
      </c>
      <c r="D1572" s="1134" t="s">
        <v>4109</v>
      </c>
      <c r="E1572" s="1135">
        <v>0</v>
      </c>
      <c r="F1572" s="1135">
        <v>53328</v>
      </c>
      <c r="G1572" s="1135">
        <v>0</v>
      </c>
      <c r="H1572" s="1135" t="e">
        <v>#REF!</v>
      </c>
      <c r="I1572" s="1135" t="e">
        <v>#REF!</v>
      </c>
      <c r="J1572" s="1135" t="e">
        <v>#REF!</v>
      </c>
      <c r="K1572" s="1135" t="e">
        <v>#REF!</v>
      </c>
    </row>
    <row r="1573" spans="1:11" s="1136" customFormat="1" ht="30">
      <c r="A1573" s="1131">
        <v>1566</v>
      </c>
      <c r="B1573" s="1132" t="s">
        <v>12266</v>
      </c>
      <c r="C1573" s="1133" t="s">
        <v>12267</v>
      </c>
      <c r="D1573" s="1134" t="s">
        <v>4109</v>
      </c>
      <c r="E1573" s="1135">
        <v>0</v>
      </c>
      <c r="F1573" s="1135">
        <v>58660.800000000003</v>
      </c>
      <c r="G1573" s="1135">
        <v>0</v>
      </c>
      <c r="H1573" s="1135" t="e">
        <v>#REF!</v>
      </c>
      <c r="I1573" s="1135" t="e">
        <v>#REF!</v>
      </c>
      <c r="J1573" s="1135" t="e">
        <v>#REF!</v>
      </c>
      <c r="K1573" s="1135" t="e">
        <v>#REF!</v>
      </c>
    </row>
    <row r="1574" spans="1:11" s="1136" customFormat="1" ht="30">
      <c r="A1574" s="1131">
        <v>1567</v>
      </c>
      <c r="B1574" s="1132" t="s">
        <v>12268</v>
      </c>
      <c r="C1574" s="1133" t="s">
        <v>12269</v>
      </c>
      <c r="D1574" s="1134" t="s">
        <v>4109</v>
      </c>
      <c r="E1574" s="1135">
        <v>0</v>
      </c>
      <c r="F1574" s="1135">
        <v>69326.399999999994</v>
      </c>
      <c r="G1574" s="1135">
        <v>0</v>
      </c>
      <c r="H1574" s="1135" t="e">
        <v>#REF!</v>
      </c>
      <c r="I1574" s="1135" t="e">
        <v>#REF!</v>
      </c>
      <c r="J1574" s="1135" t="e">
        <v>#REF!</v>
      </c>
      <c r="K1574" s="1135" t="e">
        <v>#REF!</v>
      </c>
    </row>
    <row r="1575" spans="1:11" s="1136" customFormat="1" ht="30">
      <c r="A1575" s="1131">
        <v>1568</v>
      </c>
      <c r="B1575" s="1132" t="s">
        <v>12270</v>
      </c>
      <c r="C1575" s="1133" t="s">
        <v>12271</v>
      </c>
      <c r="D1575" s="1134" t="s">
        <v>4109</v>
      </c>
      <c r="E1575" s="1135">
        <v>0</v>
      </c>
      <c r="F1575" s="1135">
        <v>85324.800000000003</v>
      </c>
      <c r="G1575" s="1135">
        <v>0</v>
      </c>
      <c r="H1575" s="1135" t="e">
        <v>#REF!</v>
      </c>
      <c r="I1575" s="1135" t="e">
        <v>#REF!</v>
      </c>
      <c r="J1575" s="1135" t="e">
        <v>#REF!</v>
      </c>
      <c r="K1575" s="1135" t="e">
        <v>#REF!</v>
      </c>
    </row>
    <row r="1576" spans="1:11" s="1136" customFormat="1" ht="30">
      <c r="A1576" s="1131">
        <v>1569</v>
      </c>
      <c r="B1576" s="1132" t="s">
        <v>12272</v>
      </c>
      <c r="C1576" s="1133" t="s">
        <v>12273</v>
      </c>
      <c r="D1576" s="1134" t="s">
        <v>4109</v>
      </c>
      <c r="E1576" s="1135">
        <v>0</v>
      </c>
      <c r="F1576" s="1135">
        <v>93324</v>
      </c>
      <c r="G1576" s="1135">
        <v>0</v>
      </c>
      <c r="H1576" s="1135" t="e">
        <v>#REF!</v>
      </c>
      <c r="I1576" s="1135" t="e">
        <v>#REF!</v>
      </c>
      <c r="J1576" s="1135" t="e">
        <v>#REF!</v>
      </c>
      <c r="K1576" s="1135" t="e">
        <v>#REF!</v>
      </c>
    </row>
    <row r="1577" spans="1:11" s="1136" customFormat="1" ht="30">
      <c r="A1577" s="1131">
        <v>1570</v>
      </c>
      <c r="B1577" s="1132" t="s">
        <v>12274</v>
      </c>
      <c r="C1577" s="1133" t="s">
        <v>12275</v>
      </c>
      <c r="D1577" s="1134" t="s">
        <v>4109</v>
      </c>
      <c r="E1577" s="1135">
        <v>0</v>
      </c>
      <c r="F1577" s="1135">
        <v>109322.4</v>
      </c>
      <c r="G1577" s="1135">
        <v>0</v>
      </c>
      <c r="H1577" s="1135" t="e">
        <v>#REF!</v>
      </c>
      <c r="I1577" s="1135" t="e">
        <v>#REF!</v>
      </c>
      <c r="J1577" s="1135" t="e">
        <v>#REF!</v>
      </c>
      <c r="K1577" s="1135" t="e">
        <v>#REF!</v>
      </c>
    </row>
    <row r="1578" spans="1:11" s="1136" customFormat="1" ht="30">
      <c r="A1578" s="1131">
        <v>1571</v>
      </c>
      <c r="B1578" s="1132" t="s">
        <v>12276</v>
      </c>
      <c r="C1578" s="1133" t="s">
        <v>12277</v>
      </c>
      <c r="D1578" s="1134" t="s">
        <v>4109</v>
      </c>
      <c r="E1578" s="1135">
        <v>0</v>
      </c>
      <c r="F1578" s="1135">
        <v>10665.6</v>
      </c>
      <c r="G1578" s="1135">
        <v>0</v>
      </c>
      <c r="H1578" s="1135" t="e">
        <v>#REF!</v>
      </c>
      <c r="I1578" s="1135" t="e">
        <v>#REF!</v>
      </c>
      <c r="J1578" s="1135" t="e">
        <v>#REF!</v>
      </c>
      <c r="K1578" s="1135" t="e">
        <v>#REF!</v>
      </c>
    </row>
    <row r="1579" spans="1:11" s="1136" customFormat="1" ht="30">
      <c r="A1579" s="1131">
        <v>1572</v>
      </c>
      <c r="B1579" s="1132" t="s">
        <v>12278</v>
      </c>
      <c r="C1579" s="1133" t="s">
        <v>12279</v>
      </c>
      <c r="D1579" s="1134" t="s">
        <v>4109</v>
      </c>
      <c r="E1579" s="1135">
        <v>0</v>
      </c>
      <c r="F1579" s="1135">
        <v>10665.6</v>
      </c>
      <c r="G1579" s="1135">
        <v>0</v>
      </c>
      <c r="H1579" s="1135" t="e">
        <v>#REF!</v>
      </c>
      <c r="I1579" s="1135" t="e">
        <v>#REF!</v>
      </c>
      <c r="J1579" s="1135" t="e">
        <v>#REF!</v>
      </c>
      <c r="K1579" s="1135" t="e">
        <v>#REF!</v>
      </c>
    </row>
    <row r="1580" spans="1:11" s="1136" customFormat="1" ht="30">
      <c r="A1580" s="1131">
        <v>1573</v>
      </c>
      <c r="B1580" s="1132" t="s">
        <v>12280</v>
      </c>
      <c r="C1580" s="1133" t="s">
        <v>12281</v>
      </c>
      <c r="D1580" s="1134" t="s">
        <v>4109</v>
      </c>
      <c r="E1580" s="1135">
        <v>0</v>
      </c>
      <c r="F1580" s="1135">
        <v>13332</v>
      </c>
      <c r="G1580" s="1135">
        <v>0</v>
      </c>
      <c r="H1580" s="1135" t="e">
        <v>#REF!</v>
      </c>
      <c r="I1580" s="1135" t="e">
        <v>#REF!</v>
      </c>
      <c r="J1580" s="1135" t="e">
        <v>#REF!</v>
      </c>
      <c r="K1580" s="1135" t="e">
        <v>#REF!</v>
      </c>
    </row>
    <row r="1581" spans="1:11" s="1136" customFormat="1" ht="30">
      <c r="A1581" s="1131">
        <v>1574</v>
      </c>
      <c r="B1581" s="1132" t="s">
        <v>12282</v>
      </c>
      <c r="C1581" s="1133" t="s">
        <v>12283</v>
      </c>
      <c r="D1581" s="1134" t="s">
        <v>4109</v>
      </c>
      <c r="E1581" s="1135">
        <v>0</v>
      </c>
      <c r="F1581" s="1135">
        <v>15998.4</v>
      </c>
      <c r="G1581" s="1135">
        <v>0</v>
      </c>
      <c r="H1581" s="1135" t="e">
        <v>#REF!</v>
      </c>
      <c r="I1581" s="1135" t="e">
        <v>#REF!</v>
      </c>
      <c r="J1581" s="1135" t="e">
        <v>#REF!</v>
      </c>
      <c r="K1581" s="1135" t="e">
        <v>#REF!</v>
      </c>
    </row>
    <row r="1582" spans="1:11" s="1136" customFormat="1" ht="30">
      <c r="A1582" s="1131">
        <v>1575</v>
      </c>
      <c r="B1582" s="1132" t="s">
        <v>12284</v>
      </c>
      <c r="C1582" s="1133" t="s">
        <v>12285</v>
      </c>
      <c r="D1582" s="1134" t="s">
        <v>4109</v>
      </c>
      <c r="E1582" s="1135">
        <v>0</v>
      </c>
      <c r="F1582" s="1135">
        <v>18664.8</v>
      </c>
      <c r="G1582" s="1135">
        <v>0</v>
      </c>
      <c r="H1582" s="1135" t="e">
        <v>#REF!</v>
      </c>
      <c r="I1582" s="1135" t="e">
        <v>#REF!</v>
      </c>
      <c r="J1582" s="1135" t="e">
        <v>#REF!</v>
      </c>
      <c r="K1582" s="1135" t="e">
        <v>#REF!</v>
      </c>
    </row>
    <row r="1583" spans="1:11" s="1136" customFormat="1" ht="30">
      <c r="A1583" s="1131">
        <v>1576</v>
      </c>
      <c r="B1583" s="1132" t="s">
        <v>12286</v>
      </c>
      <c r="C1583" s="1133" t="s">
        <v>12287</v>
      </c>
      <c r="D1583" s="1134" t="s">
        <v>4109</v>
      </c>
      <c r="E1583" s="1135">
        <v>0</v>
      </c>
      <c r="F1583" s="1135">
        <v>21331.200000000001</v>
      </c>
      <c r="G1583" s="1135">
        <v>0</v>
      </c>
      <c r="H1583" s="1135" t="e">
        <v>#REF!</v>
      </c>
      <c r="I1583" s="1135" t="e">
        <v>#REF!</v>
      </c>
      <c r="J1583" s="1135" t="e">
        <v>#REF!</v>
      </c>
      <c r="K1583" s="1135" t="e">
        <v>#REF!</v>
      </c>
    </row>
    <row r="1584" spans="1:11" s="1136" customFormat="1" ht="30">
      <c r="A1584" s="1131">
        <v>1577</v>
      </c>
      <c r="B1584" s="1132" t="s">
        <v>12288</v>
      </c>
      <c r="C1584" s="1133" t="s">
        <v>12289</v>
      </c>
      <c r="D1584" s="1134" t="s">
        <v>4109</v>
      </c>
      <c r="E1584" s="1135">
        <v>0</v>
      </c>
      <c r="F1584" s="1135">
        <v>37329.599999999999</v>
      </c>
      <c r="G1584" s="1135">
        <v>0</v>
      </c>
      <c r="H1584" s="1135" t="e">
        <v>#REF!</v>
      </c>
      <c r="I1584" s="1135" t="e">
        <v>#REF!</v>
      </c>
      <c r="J1584" s="1135" t="e">
        <v>#REF!</v>
      </c>
      <c r="K1584" s="1135" t="e">
        <v>#REF!</v>
      </c>
    </row>
    <row r="1585" spans="1:11" s="1136" customFormat="1" ht="30">
      <c r="A1585" s="1131">
        <v>1578</v>
      </c>
      <c r="B1585" s="1132" t="s">
        <v>12290</v>
      </c>
      <c r="C1585" s="1133" t="s">
        <v>12291</v>
      </c>
      <c r="D1585" s="1134" t="s">
        <v>4109</v>
      </c>
      <c r="E1585" s="1135">
        <v>0</v>
      </c>
      <c r="F1585" s="1135">
        <v>53328</v>
      </c>
      <c r="G1585" s="1135">
        <v>0</v>
      </c>
      <c r="H1585" s="1135" t="e">
        <v>#REF!</v>
      </c>
      <c r="I1585" s="1135" t="e">
        <v>#REF!</v>
      </c>
      <c r="J1585" s="1135" t="e">
        <v>#REF!</v>
      </c>
      <c r="K1585" s="1135" t="e">
        <v>#REF!</v>
      </c>
    </row>
    <row r="1586" spans="1:11" s="1136" customFormat="1" ht="30">
      <c r="A1586" s="1131">
        <v>1579</v>
      </c>
      <c r="B1586" s="1132" t="s">
        <v>12292</v>
      </c>
      <c r="C1586" s="1133" t="s">
        <v>12293</v>
      </c>
      <c r="D1586" s="1134" t="s">
        <v>4109</v>
      </c>
      <c r="E1586" s="1135">
        <v>0</v>
      </c>
      <c r="F1586" s="1135">
        <v>58660.800000000003</v>
      </c>
      <c r="G1586" s="1135">
        <v>0</v>
      </c>
      <c r="H1586" s="1135" t="e">
        <v>#REF!</v>
      </c>
      <c r="I1586" s="1135" t="e">
        <v>#REF!</v>
      </c>
      <c r="J1586" s="1135" t="e">
        <v>#REF!</v>
      </c>
      <c r="K1586" s="1135" t="e">
        <v>#REF!</v>
      </c>
    </row>
    <row r="1587" spans="1:11" s="1136" customFormat="1" ht="30">
      <c r="A1587" s="1131">
        <v>1580</v>
      </c>
      <c r="B1587" s="1132" t="s">
        <v>12294</v>
      </c>
      <c r="C1587" s="1133" t="s">
        <v>12295</v>
      </c>
      <c r="D1587" s="1134" t="s">
        <v>4109</v>
      </c>
      <c r="E1587" s="1135">
        <v>0</v>
      </c>
      <c r="F1587" s="1135">
        <v>69326.399999999994</v>
      </c>
      <c r="G1587" s="1135">
        <v>0</v>
      </c>
      <c r="H1587" s="1135" t="e">
        <v>#REF!</v>
      </c>
      <c r="I1587" s="1135" t="e">
        <v>#REF!</v>
      </c>
      <c r="J1587" s="1135" t="e">
        <v>#REF!</v>
      </c>
      <c r="K1587" s="1135" t="e">
        <v>#REF!</v>
      </c>
    </row>
    <row r="1588" spans="1:11" s="1136" customFormat="1" ht="30">
      <c r="A1588" s="1131">
        <v>1581</v>
      </c>
      <c r="B1588" s="1132" t="s">
        <v>12296</v>
      </c>
      <c r="C1588" s="1133" t="s">
        <v>12297</v>
      </c>
      <c r="D1588" s="1134" t="s">
        <v>4109</v>
      </c>
      <c r="E1588" s="1135">
        <v>0</v>
      </c>
      <c r="F1588" s="1135">
        <v>79992</v>
      </c>
      <c r="G1588" s="1135">
        <v>0</v>
      </c>
      <c r="H1588" s="1135" t="e">
        <v>#REF!</v>
      </c>
      <c r="I1588" s="1135" t="e">
        <v>#REF!</v>
      </c>
      <c r="J1588" s="1135" t="e">
        <v>#REF!</v>
      </c>
      <c r="K1588" s="1135" t="e">
        <v>#REF!</v>
      </c>
    </row>
    <row r="1589" spans="1:11" s="1136" customFormat="1" ht="30">
      <c r="A1589" s="1131">
        <v>1582</v>
      </c>
      <c r="B1589" s="1132" t="s">
        <v>12298</v>
      </c>
      <c r="C1589" s="1133" t="s">
        <v>12299</v>
      </c>
      <c r="D1589" s="1134" t="s">
        <v>4109</v>
      </c>
      <c r="E1589" s="1135">
        <v>0</v>
      </c>
      <c r="F1589" s="1135">
        <v>90657.600000000006</v>
      </c>
      <c r="G1589" s="1135">
        <v>0</v>
      </c>
      <c r="H1589" s="1135" t="e">
        <v>#REF!</v>
      </c>
      <c r="I1589" s="1135" t="e">
        <v>#REF!</v>
      </c>
      <c r="J1589" s="1135" t="e">
        <v>#REF!</v>
      </c>
      <c r="K1589" s="1135" t="e">
        <v>#REF!</v>
      </c>
    </row>
    <row r="1590" spans="1:11" s="1136" customFormat="1" ht="30">
      <c r="A1590" s="1131">
        <v>1583</v>
      </c>
      <c r="B1590" s="1132" t="s">
        <v>12300</v>
      </c>
      <c r="C1590" s="1133" t="s">
        <v>12301</v>
      </c>
      <c r="D1590" s="1134" t="s">
        <v>11480</v>
      </c>
      <c r="E1590" s="1135">
        <v>0</v>
      </c>
      <c r="F1590" s="1135">
        <v>66660</v>
      </c>
      <c r="G1590" s="1135">
        <v>1528.1</v>
      </c>
      <c r="H1590" s="1135" t="e">
        <v>#REF!</v>
      </c>
      <c r="I1590" s="1135" t="e">
        <v>#REF!</v>
      </c>
      <c r="J1590" s="1135" t="e">
        <v>#REF!</v>
      </c>
      <c r="K1590" s="1135" t="e">
        <v>#REF!</v>
      </c>
    </row>
    <row r="1591" spans="1:11" s="1136" customFormat="1" ht="30">
      <c r="A1591" s="1131">
        <v>1584</v>
      </c>
      <c r="B1591" s="1132" t="s">
        <v>12302</v>
      </c>
      <c r="C1591" s="1133" t="s">
        <v>12303</v>
      </c>
      <c r="D1591" s="1134" t="s">
        <v>11480</v>
      </c>
      <c r="E1591" s="1135">
        <v>0</v>
      </c>
      <c r="F1591" s="1135">
        <v>74659.199999999997</v>
      </c>
      <c r="G1591" s="1135">
        <v>1528.1</v>
      </c>
      <c r="H1591" s="1135" t="e">
        <v>#REF!</v>
      </c>
      <c r="I1591" s="1135" t="e">
        <v>#REF!</v>
      </c>
      <c r="J1591" s="1135" t="e">
        <v>#REF!</v>
      </c>
      <c r="K1591" s="1135" t="e">
        <v>#REF!</v>
      </c>
    </row>
    <row r="1592" spans="1:11" s="1136" customFormat="1" ht="30">
      <c r="A1592" s="1131">
        <v>1585</v>
      </c>
      <c r="B1592" s="1132" t="s">
        <v>12304</v>
      </c>
      <c r="C1592" s="1133" t="s">
        <v>12305</v>
      </c>
      <c r="D1592" s="1134" t="s">
        <v>11480</v>
      </c>
      <c r="E1592" s="1135">
        <v>0</v>
      </c>
      <c r="F1592" s="1135">
        <v>74659.199999999997</v>
      </c>
      <c r="G1592" s="1135">
        <v>1528.1</v>
      </c>
      <c r="H1592" s="1135" t="e">
        <v>#REF!</v>
      </c>
      <c r="I1592" s="1135" t="e">
        <v>#REF!</v>
      </c>
      <c r="J1592" s="1135" t="e">
        <v>#REF!</v>
      </c>
      <c r="K1592" s="1135" t="e">
        <v>#REF!</v>
      </c>
    </row>
    <row r="1593" spans="1:11" s="1136" customFormat="1" ht="30">
      <c r="A1593" s="1131">
        <v>1586</v>
      </c>
      <c r="B1593" s="1132" t="s">
        <v>12306</v>
      </c>
      <c r="C1593" s="1133" t="s">
        <v>12307</v>
      </c>
      <c r="D1593" s="1134" t="s">
        <v>11480</v>
      </c>
      <c r="E1593" s="1135">
        <v>0</v>
      </c>
      <c r="F1593" s="1135">
        <v>87991.2</v>
      </c>
      <c r="G1593" s="1135">
        <v>1528.1</v>
      </c>
      <c r="H1593" s="1135" t="e">
        <v>#REF!</v>
      </c>
      <c r="I1593" s="1135" t="e">
        <v>#REF!</v>
      </c>
      <c r="J1593" s="1135" t="e">
        <v>#REF!</v>
      </c>
      <c r="K1593" s="1135" t="e">
        <v>#REF!</v>
      </c>
    </row>
    <row r="1594" spans="1:11" s="1136" customFormat="1" ht="30">
      <c r="A1594" s="1131">
        <v>1587</v>
      </c>
      <c r="B1594" s="1132" t="s">
        <v>12308</v>
      </c>
      <c r="C1594" s="1133" t="s">
        <v>12309</v>
      </c>
      <c r="D1594" s="1134" t="s">
        <v>11480</v>
      </c>
      <c r="E1594" s="1135">
        <v>0</v>
      </c>
      <c r="F1594" s="1135">
        <v>146652</v>
      </c>
      <c r="G1594" s="1135">
        <v>7640.3</v>
      </c>
      <c r="H1594" s="1135" t="e">
        <v>#REF!</v>
      </c>
      <c r="I1594" s="1135" t="e">
        <v>#REF!</v>
      </c>
      <c r="J1594" s="1135" t="e">
        <v>#REF!</v>
      </c>
      <c r="K1594" s="1135" t="e">
        <v>#REF!</v>
      </c>
    </row>
    <row r="1595" spans="1:11" s="1136" customFormat="1" ht="30">
      <c r="A1595" s="1131">
        <v>1588</v>
      </c>
      <c r="B1595" s="1132" t="s">
        <v>12310</v>
      </c>
      <c r="C1595" s="1133" t="s">
        <v>12311</v>
      </c>
      <c r="D1595" s="1134" t="s">
        <v>11480</v>
      </c>
      <c r="E1595" s="1135">
        <v>0</v>
      </c>
      <c r="F1595" s="1135">
        <v>159984</v>
      </c>
      <c r="G1595" s="1135">
        <v>7640.3</v>
      </c>
      <c r="H1595" s="1135" t="e">
        <v>#REF!</v>
      </c>
      <c r="I1595" s="1135" t="e">
        <v>#REF!</v>
      </c>
      <c r="J1595" s="1135" t="e">
        <v>#REF!</v>
      </c>
      <c r="K1595" s="1135" t="e">
        <v>#REF!</v>
      </c>
    </row>
    <row r="1596" spans="1:11" s="1136" customFormat="1" ht="30">
      <c r="A1596" s="1131">
        <v>1589</v>
      </c>
      <c r="B1596" s="1132" t="s">
        <v>12312</v>
      </c>
      <c r="C1596" s="1133" t="s">
        <v>12313</v>
      </c>
      <c r="D1596" s="1134" t="s">
        <v>11480</v>
      </c>
      <c r="E1596" s="1135">
        <v>0</v>
      </c>
      <c r="F1596" s="1135">
        <v>175982.4</v>
      </c>
      <c r="G1596" s="1135">
        <v>7640.3</v>
      </c>
      <c r="H1596" s="1135" t="e">
        <v>#REF!</v>
      </c>
      <c r="I1596" s="1135" t="e">
        <v>#REF!</v>
      </c>
      <c r="J1596" s="1135" t="e">
        <v>#REF!</v>
      </c>
      <c r="K1596" s="1135" t="e">
        <v>#REF!</v>
      </c>
    </row>
    <row r="1597" spans="1:11" s="1136" customFormat="1" ht="30">
      <c r="A1597" s="1131">
        <v>1590</v>
      </c>
      <c r="B1597" s="1132" t="s">
        <v>12314</v>
      </c>
      <c r="C1597" s="1133" t="s">
        <v>12315</v>
      </c>
      <c r="D1597" s="1134" t="s">
        <v>11480</v>
      </c>
      <c r="E1597" s="1135">
        <v>0</v>
      </c>
      <c r="F1597" s="1135">
        <v>207979.2</v>
      </c>
      <c r="G1597" s="1135">
        <v>7640.3</v>
      </c>
      <c r="H1597" s="1135" t="e">
        <v>#REF!</v>
      </c>
      <c r="I1597" s="1135" t="e">
        <v>#REF!</v>
      </c>
      <c r="J1597" s="1135" t="e">
        <v>#REF!</v>
      </c>
      <c r="K1597" s="1135" t="e">
        <v>#REF!</v>
      </c>
    </row>
    <row r="1598" spans="1:11" s="1136" customFormat="1" ht="30">
      <c r="A1598" s="1131">
        <v>1591</v>
      </c>
      <c r="B1598" s="1132" t="s">
        <v>12316</v>
      </c>
      <c r="C1598" s="1133" t="s">
        <v>12317</v>
      </c>
      <c r="D1598" s="1134" t="s">
        <v>4109</v>
      </c>
      <c r="E1598" s="1135">
        <v>0</v>
      </c>
      <c r="F1598" s="1135">
        <v>15998.4</v>
      </c>
      <c r="G1598" s="1135">
        <v>143.30000000000001</v>
      </c>
      <c r="H1598" s="1135" t="e">
        <v>#REF!</v>
      </c>
      <c r="I1598" s="1135" t="e">
        <v>#REF!</v>
      </c>
      <c r="J1598" s="1135" t="e">
        <v>#REF!</v>
      </c>
      <c r="K1598" s="1135" t="e">
        <v>#REF!</v>
      </c>
    </row>
    <row r="1599" spans="1:11" s="1136" customFormat="1" ht="30">
      <c r="A1599" s="1131">
        <v>1592</v>
      </c>
      <c r="B1599" s="1132" t="s">
        <v>12318</v>
      </c>
      <c r="C1599" s="1133" t="s">
        <v>12319</v>
      </c>
      <c r="D1599" s="1134" t="s">
        <v>4109</v>
      </c>
      <c r="E1599" s="1135">
        <v>0</v>
      </c>
      <c r="F1599" s="1135">
        <v>15998.4</v>
      </c>
      <c r="G1599" s="1135">
        <v>191</v>
      </c>
      <c r="H1599" s="1135" t="e">
        <v>#REF!</v>
      </c>
      <c r="I1599" s="1135" t="e">
        <v>#REF!</v>
      </c>
      <c r="J1599" s="1135" t="e">
        <v>#REF!</v>
      </c>
      <c r="K1599" s="1135" t="e">
        <v>#REF!</v>
      </c>
    </row>
    <row r="1600" spans="1:11" s="1136" customFormat="1" ht="30">
      <c r="A1600" s="1131">
        <v>1593</v>
      </c>
      <c r="B1600" s="1132" t="s">
        <v>12320</v>
      </c>
      <c r="C1600" s="1133" t="s">
        <v>12321</v>
      </c>
      <c r="D1600" s="1134" t="s">
        <v>4109</v>
      </c>
      <c r="E1600" s="1135">
        <v>0</v>
      </c>
      <c r="F1600" s="1135">
        <v>15998.4</v>
      </c>
      <c r="G1600" s="1135">
        <v>191</v>
      </c>
      <c r="H1600" s="1135" t="e">
        <v>#REF!</v>
      </c>
      <c r="I1600" s="1135" t="e">
        <v>#REF!</v>
      </c>
      <c r="J1600" s="1135" t="e">
        <v>#REF!</v>
      </c>
      <c r="K1600" s="1135" t="e">
        <v>#REF!</v>
      </c>
    </row>
    <row r="1601" spans="1:11" s="1136" customFormat="1" ht="30">
      <c r="A1601" s="1131">
        <v>1594</v>
      </c>
      <c r="B1601" s="1132" t="s">
        <v>12322</v>
      </c>
      <c r="C1601" s="1133" t="s">
        <v>12323</v>
      </c>
      <c r="D1601" s="1134" t="s">
        <v>4109</v>
      </c>
      <c r="E1601" s="1135">
        <v>0</v>
      </c>
      <c r="F1601" s="1135">
        <v>21331.200000000001</v>
      </c>
      <c r="G1601" s="1135">
        <v>191</v>
      </c>
      <c r="H1601" s="1135" t="e">
        <v>#REF!</v>
      </c>
      <c r="I1601" s="1135" t="e">
        <v>#REF!</v>
      </c>
      <c r="J1601" s="1135" t="e">
        <v>#REF!</v>
      </c>
      <c r="K1601" s="1135" t="e">
        <v>#REF!</v>
      </c>
    </row>
    <row r="1602" spans="1:11" s="1136" customFormat="1" ht="30">
      <c r="A1602" s="1131">
        <v>1595</v>
      </c>
      <c r="B1602" s="1132" t="s">
        <v>12324</v>
      </c>
      <c r="C1602" s="1133" t="s">
        <v>12325</v>
      </c>
      <c r="D1602" s="1134" t="s">
        <v>4109</v>
      </c>
      <c r="E1602" s="1135">
        <v>0</v>
      </c>
      <c r="F1602" s="1135">
        <v>15998.4</v>
      </c>
      <c r="G1602" s="1135">
        <v>191</v>
      </c>
      <c r="H1602" s="1135" t="e">
        <v>#REF!</v>
      </c>
      <c r="I1602" s="1135" t="e">
        <v>#REF!</v>
      </c>
      <c r="J1602" s="1135" t="e">
        <v>#REF!</v>
      </c>
      <c r="K1602" s="1135" t="e">
        <v>#REF!</v>
      </c>
    </row>
    <row r="1603" spans="1:11" s="1136" customFormat="1" ht="30">
      <c r="A1603" s="1131">
        <v>1596</v>
      </c>
      <c r="B1603" s="1132" t="s">
        <v>12326</v>
      </c>
      <c r="C1603" s="1133" t="s">
        <v>12327</v>
      </c>
      <c r="D1603" s="1134" t="s">
        <v>4109</v>
      </c>
      <c r="E1603" s="1135">
        <v>0</v>
      </c>
      <c r="F1603" s="1135">
        <v>18664.8</v>
      </c>
      <c r="G1603" s="1135">
        <v>191</v>
      </c>
      <c r="H1603" s="1135" t="e">
        <v>#REF!</v>
      </c>
      <c r="I1603" s="1135" t="e">
        <v>#REF!</v>
      </c>
      <c r="J1603" s="1135" t="e">
        <v>#REF!</v>
      </c>
      <c r="K1603" s="1135" t="e">
        <v>#REF!</v>
      </c>
    </row>
    <row r="1604" spans="1:11" s="1136" customFormat="1" ht="30">
      <c r="A1604" s="1131">
        <v>1597</v>
      </c>
      <c r="B1604" s="1132" t="s">
        <v>12328</v>
      </c>
      <c r="C1604" s="1133" t="s">
        <v>12329</v>
      </c>
      <c r="D1604" s="1134" t="s">
        <v>4109</v>
      </c>
      <c r="E1604" s="1135">
        <v>0</v>
      </c>
      <c r="F1604" s="1135">
        <v>23997.599999999999</v>
      </c>
      <c r="G1604" s="1135">
        <v>191</v>
      </c>
      <c r="H1604" s="1135" t="e">
        <v>#REF!</v>
      </c>
      <c r="I1604" s="1135" t="e">
        <v>#REF!</v>
      </c>
      <c r="J1604" s="1135" t="e">
        <v>#REF!</v>
      </c>
      <c r="K1604" s="1135" t="e">
        <v>#REF!</v>
      </c>
    </row>
    <row r="1605" spans="1:11" s="1136" customFormat="1" ht="30">
      <c r="A1605" s="1131">
        <v>1598</v>
      </c>
      <c r="B1605" s="1132" t="s">
        <v>12330</v>
      </c>
      <c r="C1605" s="1133" t="s">
        <v>12331</v>
      </c>
      <c r="D1605" s="1134" t="s">
        <v>4109</v>
      </c>
      <c r="E1605" s="1135">
        <v>0</v>
      </c>
      <c r="F1605" s="1135">
        <v>55994.400000000001</v>
      </c>
      <c r="G1605" s="1135">
        <v>0</v>
      </c>
      <c r="H1605" s="1135" t="e">
        <v>#REF!</v>
      </c>
      <c r="I1605" s="1135" t="e">
        <v>#REF!</v>
      </c>
      <c r="J1605" s="1135" t="e">
        <v>#REF!</v>
      </c>
      <c r="K1605" s="1135" t="e">
        <v>#REF!</v>
      </c>
    </row>
    <row r="1606" spans="1:11" s="1136" customFormat="1" ht="30">
      <c r="A1606" s="1131">
        <v>1599</v>
      </c>
      <c r="B1606" s="1132" t="s">
        <v>12332</v>
      </c>
      <c r="C1606" s="1133" t="s">
        <v>12333</v>
      </c>
      <c r="D1606" s="1134" t="s">
        <v>4109</v>
      </c>
      <c r="E1606" s="1135">
        <v>0</v>
      </c>
      <c r="F1606" s="1135">
        <v>55994.400000000001</v>
      </c>
      <c r="G1606" s="1135">
        <v>0</v>
      </c>
      <c r="H1606" s="1135" t="e">
        <v>#REF!</v>
      </c>
      <c r="I1606" s="1135" t="e">
        <v>#REF!</v>
      </c>
      <c r="J1606" s="1135" t="e">
        <v>#REF!</v>
      </c>
      <c r="K1606" s="1135" t="e">
        <v>#REF!</v>
      </c>
    </row>
    <row r="1607" spans="1:11" s="1136" customFormat="1" ht="30">
      <c r="A1607" s="1131">
        <v>1600</v>
      </c>
      <c r="B1607" s="1132" t="s">
        <v>12334</v>
      </c>
      <c r="C1607" s="1133" t="s">
        <v>12335</v>
      </c>
      <c r="D1607" s="1134" t="s">
        <v>4109</v>
      </c>
      <c r="E1607" s="1135">
        <v>0</v>
      </c>
      <c r="F1607" s="1135">
        <v>55994.400000000001</v>
      </c>
      <c r="G1607" s="1135">
        <v>0</v>
      </c>
      <c r="H1607" s="1135" t="e">
        <v>#REF!</v>
      </c>
      <c r="I1607" s="1135" t="e">
        <v>#REF!</v>
      </c>
      <c r="J1607" s="1135" t="e">
        <v>#REF!</v>
      </c>
      <c r="K1607" s="1135" t="e">
        <v>#REF!</v>
      </c>
    </row>
    <row r="1608" spans="1:11" s="1136" customFormat="1" ht="30">
      <c r="A1608" s="1131">
        <v>1601</v>
      </c>
      <c r="B1608" s="1132" t="s">
        <v>12336</v>
      </c>
      <c r="C1608" s="1133" t="s">
        <v>12337</v>
      </c>
      <c r="D1608" s="1134" t="s">
        <v>4109</v>
      </c>
      <c r="E1608" s="1135">
        <v>0</v>
      </c>
      <c r="F1608" s="1135">
        <v>55994.400000000001</v>
      </c>
      <c r="G1608" s="1135">
        <v>0</v>
      </c>
      <c r="H1608" s="1135" t="e">
        <v>#REF!</v>
      </c>
      <c r="I1608" s="1135" t="e">
        <v>#REF!</v>
      </c>
      <c r="J1608" s="1135" t="e">
        <v>#REF!</v>
      </c>
      <c r="K1608" s="1135" t="e">
        <v>#REF!</v>
      </c>
    </row>
    <row r="1609" spans="1:11" s="1136" customFormat="1" ht="45">
      <c r="A1609" s="1131">
        <v>1602</v>
      </c>
      <c r="B1609" s="1132" t="s">
        <v>12338</v>
      </c>
      <c r="C1609" s="1133" t="s">
        <v>12339</v>
      </c>
      <c r="D1609" s="1134" t="s">
        <v>4109</v>
      </c>
      <c r="E1609" s="1135">
        <v>0</v>
      </c>
      <c r="F1609" s="1135">
        <v>7999.2</v>
      </c>
      <c r="G1609" s="1135">
        <v>0</v>
      </c>
      <c r="H1609" s="1135" t="e">
        <v>#REF!</v>
      </c>
      <c r="I1609" s="1135" t="e">
        <v>#REF!</v>
      </c>
      <c r="J1609" s="1135" t="e">
        <v>#REF!</v>
      </c>
      <c r="K1609" s="1135" t="e">
        <v>#REF!</v>
      </c>
    </row>
    <row r="1610" spans="1:11" s="1136" customFormat="1" ht="45">
      <c r="A1610" s="1131">
        <v>1603</v>
      </c>
      <c r="B1610" s="1132" t="s">
        <v>12340</v>
      </c>
      <c r="C1610" s="1133" t="s">
        <v>12341</v>
      </c>
      <c r="D1610" s="1134" t="s">
        <v>4109</v>
      </c>
      <c r="E1610" s="1135">
        <v>0</v>
      </c>
      <c r="F1610" s="1135">
        <v>10665.6</v>
      </c>
      <c r="G1610" s="1135">
        <v>0</v>
      </c>
      <c r="H1610" s="1135" t="e">
        <v>#REF!</v>
      </c>
      <c r="I1610" s="1135" t="e">
        <v>#REF!</v>
      </c>
      <c r="J1610" s="1135" t="e">
        <v>#REF!</v>
      </c>
      <c r="K1610" s="1135" t="e">
        <v>#REF!</v>
      </c>
    </row>
    <row r="1611" spans="1:11" s="1136" customFormat="1" ht="45">
      <c r="A1611" s="1131">
        <v>1604</v>
      </c>
      <c r="B1611" s="1132" t="s">
        <v>12342</v>
      </c>
      <c r="C1611" s="1133" t="s">
        <v>12343</v>
      </c>
      <c r="D1611" s="1134" t="s">
        <v>4109</v>
      </c>
      <c r="E1611" s="1135">
        <v>0</v>
      </c>
      <c r="F1611" s="1135">
        <v>15998.4</v>
      </c>
      <c r="G1611" s="1135">
        <v>0</v>
      </c>
      <c r="H1611" s="1135" t="e">
        <v>#REF!</v>
      </c>
      <c r="I1611" s="1135" t="e">
        <v>#REF!</v>
      </c>
      <c r="J1611" s="1135" t="e">
        <v>#REF!</v>
      </c>
      <c r="K1611" s="1135" t="e">
        <v>#REF!</v>
      </c>
    </row>
    <row r="1612" spans="1:11" s="1136" customFormat="1" ht="45">
      <c r="A1612" s="1131">
        <v>1605</v>
      </c>
      <c r="B1612" s="1132" t="s">
        <v>12344</v>
      </c>
      <c r="C1612" s="1133" t="s">
        <v>12345</v>
      </c>
      <c r="D1612" s="1134" t="s">
        <v>4109</v>
      </c>
      <c r="E1612" s="1135">
        <v>0</v>
      </c>
      <c r="F1612" s="1135">
        <v>7999.2</v>
      </c>
      <c r="G1612" s="1135">
        <v>0</v>
      </c>
      <c r="H1612" s="1135" t="e">
        <v>#REF!</v>
      </c>
      <c r="I1612" s="1135" t="e">
        <v>#REF!</v>
      </c>
      <c r="J1612" s="1135" t="e">
        <v>#REF!</v>
      </c>
      <c r="K1612" s="1135" t="e">
        <v>#REF!</v>
      </c>
    </row>
    <row r="1613" spans="1:11" s="1136" customFormat="1" ht="45">
      <c r="A1613" s="1131">
        <v>1606</v>
      </c>
      <c r="B1613" s="1132" t="s">
        <v>12346</v>
      </c>
      <c r="C1613" s="1133" t="s">
        <v>12347</v>
      </c>
      <c r="D1613" s="1134" t="s">
        <v>4109</v>
      </c>
      <c r="E1613" s="1135">
        <v>0</v>
      </c>
      <c r="F1613" s="1135">
        <v>10665.6</v>
      </c>
      <c r="G1613" s="1135">
        <v>0</v>
      </c>
      <c r="H1613" s="1135" t="e">
        <v>#REF!</v>
      </c>
      <c r="I1613" s="1135" t="e">
        <v>#REF!</v>
      </c>
      <c r="J1613" s="1135" t="e">
        <v>#REF!</v>
      </c>
      <c r="K1613" s="1135" t="e">
        <v>#REF!</v>
      </c>
    </row>
    <row r="1614" spans="1:11" s="1136" customFormat="1" ht="45">
      <c r="A1614" s="1131">
        <v>1607</v>
      </c>
      <c r="B1614" s="1132" t="s">
        <v>12348</v>
      </c>
      <c r="C1614" s="1133" t="s">
        <v>12349</v>
      </c>
      <c r="D1614" s="1134" t="s">
        <v>4109</v>
      </c>
      <c r="E1614" s="1135">
        <v>0</v>
      </c>
      <c r="F1614" s="1135">
        <v>15998.4</v>
      </c>
      <c r="G1614" s="1135">
        <v>0</v>
      </c>
      <c r="H1614" s="1135" t="e">
        <v>#REF!</v>
      </c>
      <c r="I1614" s="1135" t="e">
        <v>#REF!</v>
      </c>
      <c r="J1614" s="1135" t="e">
        <v>#REF!</v>
      </c>
      <c r="K1614" s="1135" t="e">
        <v>#REF!</v>
      </c>
    </row>
    <row r="1615" spans="1:11" s="1136" customFormat="1" ht="30">
      <c r="A1615" s="1131">
        <v>1608</v>
      </c>
      <c r="B1615" s="1132" t="s">
        <v>12350</v>
      </c>
      <c r="C1615" s="1133" t="s">
        <v>12351</v>
      </c>
      <c r="D1615" s="1134" t="s">
        <v>4109</v>
      </c>
      <c r="E1615" s="1135">
        <v>0</v>
      </c>
      <c r="F1615" s="1135">
        <v>7999.2</v>
      </c>
      <c r="G1615" s="1135">
        <v>0</v>
      </c>
      <c r="H1615" s="1135" t="e">
        <v>#REF!</v>
      </c>
      <c r="I1615" s="1135" t="e">
        <v>#REF!</v>
      </c>
      <c r="J1615" s="1135" t="e">
        <v>#REF!</v>
      </c>
      <c r="K1615" s="1135" t="e">
        <v>#REF!</v>
      </c>
    </row>
    <row r="1616" spans="1:11" s="1136" customFormat="1" ht="30">
      <c r="A1616" s="1131">
        <v>1609</v>
      </c>
      <c r="B1616" s="1132" t="s">
        <v>12352</v>
      </c>
      <c r="C1616" s="1133" t="s">
        <v>12353</v>
      </c>
      <c r="D1616" s="1134" t="s">
        <v>4109</v>
      </c>
      <c r="E1616" s="1135">
        <v>0</v>
      </c>
      <c r="F1616" s="1135">
        <v>10665.6</v>
      </c>
      <c r="G1616" s="1135">
        <v>0</v>
      </c>
      <c r="H1616" s="1135" t="e">
        <v>#REF!</v>
      </c>
      <c r="I1616" s="1135" t="e">
        <v>#REF!</v>
      </c>
      <c r="J1616" s="1135" t="e">
        <v>#REF!</v>
      </c>
      <c r="K1616" s="1135" t="e">
        <v>#REF!</v>
      </c>
    </row>
    <row r="1617" spans="1:11" s="1136" customFormat="1" ht="30">
      <c r="A1617" s="1131">
        <v>1610</v>
      </c>
      <c r="B1617" s="1132" t="s">
        <v>12354</v>
      </c>
      <c r="C1617" s="1133" t="s">
        <v>12355</v>
      </c>
      <c r="D1617" s="1134" t="s">
        <v>4109</v>
      </c>
      <c r="E1617" s="1135">
        <v>0</v>
      </c>
      <c r="F1617" s="1135">
        <v>10665.6</v>
      </c>
      <c r="G1617" s="1135">
        <v>0</v>
      </c>
      <c r="H1617" s="1135" t="e">
        <v>#REF!</v>
      </c>
      <c r="I1617" s="1135" t="e">
        <v>#REF!</v>
      </c>
      <c r="J1617" s="1135" t="e">
        <v>#REF!</v>
      </c>
      <c r="K1617" s="1135" t="e">
        <v>#REF!</v>
      </c>
    </row>
    <row r="1618" spans="1:11" s="1136" customFormat="1" ht="30">
      <c r="A1618" s="1131">
        <v>1611</v>
      </c>
      <c r="B1618" s="1132" t="s">
        <v>12356</v>
      </c>
      <c r="C1618" s="1133" t="s">
        <v>12357</v>
      </c>
      <c r="D1618" s="1134" t="s">
        <v>4109</v>
      </c>
      <c r="E1618" s="1135">
        <v>0</v>
      </c>
      <c r="F1618" s="1135">
        <v>15998.4</v>
      </c>
      <c r="G1618" s="1135">
        <v>0</v>
      </c>
      <c r="H1618" s="1135" t="e">
        <v>#REF!</v>
      </c>
      <c r="I1618" s="1135" t="e">
        <v>#REF!</v>
      </c>
      <c r="J1618" s="1135" t="e">
        <v>#REF!</v>
      </c>
      <c r="K1618" s="1135" t="e">
        <v>#REF!</v>
      </c>
    </row>
    <row r="1619" spans="1:11" s="1136" customFormat="1" ht="30">
      <c r="A1619" s="1131">
        <v>1612</v>
      </c>
      <c r="B1619" s="1132" t="s">
        <v>12358</v>
      </c>
      <c r="C1619" s="1133" t="s">
        <v>12359</v>
      </c>
      <c r="D1619" s="1134" t="s">
        <v>6905</v>
      </c>
      <c r="E1619" s="1135">
        <v>0</v>
      </c>
      <c r="F1619" s="1135">
        <v>18664.8</v>
      </c>
      <c r="G1619" s="1135">
        <v>0</v>
      </c>
      <c r="H1619" s="1135" t="e">
        <v>#REF!</v>
      </c>
      <c r="I1619" s="1135" t="e">
        <v>#REF!</v>
      </c>
      <c r="J1619" s="1135" t="e">
        <v>#REF!</v>
      </c>
      <c r="K1619" s="1135" t="e">
        <v>#REF!</v>
      </c>
    </row>
    <row r="1620" spans="1:11" s="1136" customFormat="1" ht="30">
      <c r="A1620" s="1131">
        <v>1613</v>
      </c>
      <c r="B1620" s="1132" t="s">
        <v>12360</v>
      </c>
      <c r="C1620" s="1133" t="s">
        <v>12361</v>
      </c>
      <c r="D1620" s="1134" t="s">
        <v>6905</v>
      </c>
      <c r="E1620" s="1135">
        <v>0</v>
      </c>
      <c r="F1620" s="1135">
        <v>18664.8</v>
      </c>
      <c r="G1620" s="1135">
        <v>0</v>
      </c>
      <c r="H1620" s="1135" t="e">
        <v>#REF!</v>
      </c>
      <c r="I1620" s="1135" t="e">
        <v>#REF!</v>
      </c>
      <c r="J1620" s="1135" t="e">
        <v>#REF!</v>
      </c>
      <c r="K1620" s="1135" t="e">
        <v>#REF!</v>
      </c>
    </row>
    <row r="1621" spans="1:11" s="1136" customFormat="1" ht="30">
      <c r="A1621" s="1131">
        <v>1614</v>
      </c>
      <c r="B1621" s="1132" t="s">
        <v>12362</v>
      </c>
      <c r="C1621" s="1133" t="s">
        <v>12363</v>
      </c>
      <c r="D1621" s="1134" t="s">
        <v>6905</v>
      </c>
      <c r="E1621" s="1135">
        <v>0</v>
      </c>
      <c r="F1621" s="1135">
        <v>29330.400000000001</v>
      </c>
      <c r="G1621" s="1135">
        <v>0</v>
      </c>
      <c r="H1621" s="1135" t="e">
        <v>#REF!</v>
      </c>
      <c r="I1621" s="1135" t="e">
        <v>#REF!</v>
      </c>
      <c r="J1621" s="1135" t="e">
        <v>#REF!</v>
      </c>
      <c r="K1621" s="1135" t="e">
        <v>#REF!</v>
      </c>
    </row>
    <row r="1622" spans="1:11" s="1136" customFormat="1" ht="30">
      <c r="A1622" s="1131">
        <v>1615</v>
      </c>
      <c r="B1622" s="1132" t="s">
        <v>12364</v>
      </c>
      <c r="C1622" s="1133" t="s">
        <v>12365</v>
      </c>
      <c r="D1622" s="1134" t="s">
        <v>6905</v>
      </c>
      <c r="E1622" s="1135">
        <v>0</v>
      </c>
      <c r="F1622" s="1135">
        <v>34663.199999999997</v>
      </c>
      <c r="G1622" s="1135">
        <v>0</v>
      </c>
      <c r="H1622" s="1135" t="e">
        <v>#REF!</v>
      </c>
      <c r="I1622" s="1135" t="e">
        <v>#REF!</v>
      </c>
      <c r="J1622" s="1135" t="e">
        <v>#REF!</v>
      </c>
      <c r="K1622" s="1135" t="e">
        <v>#REF!</v>
      </c>
    </row>
    <row r="1623" spans="1:11" s="1136" customFormat="1" ht="30">
      <c r="A1623" s="1131">
        <v>1616</v>
      </c>
      <c r="B1623" s="1132" t="s">
        <v>12366</v>
      </c>
      <c r="C1623" s="1133" t="s">
        <v>12367</v>
      </c>
      <c r="D1623" s="1134" t="s">
        <v>6905</v>
      </c>
      <c r="E1623" s="1135">
        <v>0</v>
      </c>
      <c r="F1623" s="1135">
        <v>53328</v>
      </c>
      <c r="G1623" s="1135">
        <v>0</v>
      </c>
      <c r="H1623" s="1135" t="e">
        <v>#REF!</v>
      </c>
      <c r="I1623" s="1135" t="e">
        <v>#REF!</v>
      </c>
      <c r="J1623" s="1135" t="e">
        <v>#REF!</v>
      </c>
      <c r="K1623" s="1135" t="e">
        <v>#REF!</v>
      </c>
    </row>
    <row r="1624" spans="1:11" s="1136" customFormat="1" ht="30">
      <c r="A1624" s="1131">
        <v>1617</v>
      </c>
      <c r="B1624" s="1132" t="s">
        <v>12368</v>
      </c>
      <c r="C1624" s="1133" t="s">
        <v>12369</v>
      </c>
      <c r="D1624" s="1134" t="s">
        <v>6905</v>
      </c>
      <c r="E1624" s="1135">
        <v>0</v>
      </c>
      <c r="F1624" s="1135">
        <v>85324.800000000003</v>
      </c>
      <c r="G1624" s="1135">
        <v>0</v>
      </c>
      <c r="H1624" s="1135" t="e">
        <v>#REF!</v>
      </c>
      <c r="I1624" s="1135" t="e">
        <v>#REF!</v>
      </c>
      <c r="J1624" s="1135" t="e">
        <v>#REF!</v>
      </c>
      <c r="K1624" s="1135" t="e">
        <v>#REF!</v>
      </c>
    </row>
    <row r="1625" spans="1:11" s="1136" customFormat="1" ht="30">
      <c r="A1625" s="1131">
        <v>1618</v>
      </c>
      <c r="B1625" s="1132" t="s">
        <v>12370</v>
      </c>
      <c r="C1625" s="1133" t="s">
        <v>12371</v>
      </c>
      <c r="D1625" s="1134" t="s">
        <v>6905</v>
      </c>
      <c r="E1625" s="1135">
        <v>0</v>
      </c>
      <c r="F1625" s="1135">
        <v>189314.4</v>
      </c>
      <c r="G1625" s="1135">
        <v>0</v>
      </c>
      <c r="H1625" s="1135" t="e">
        <v>#REF!</v>
      </c>
      <c r="I1625" s="1135" t="e">
        <v>#REF!</v>
      </c>
      <c r="J1625" s="1135" t="e">
        <v>#REF!</v>
      </c>
      <c r="K1625" s="1135" t="e">
        <v>#REF!</v>
      </c>
    </row>
    <row r="1626" spans="1:11" s="1136" customFormat="1" ht="30">
      <c r="A1626" s="1131">
        <v>1619</v>
      </c>
      <c r="B1626" s="1132" t="s">
        <v>12372</v>
      </c>
      <c r="C1626" s="1133" t="s">
        <v>12373</v>
      </c>
      <c r="D1626" s="1134" t="s">
        <v>6905</v>
      </c>
      <c r="E1626" s="1135">
        <v>0</v>
      </c>
      <c r="F1626" s="1135">
        <v>37329.599999999999</v>
      </c>
      <c r="G1626" s="1135">
        <v>0</v>
      </c>
      <c r="H1626" s="1135" t="e">
        <v>#REF!</v>
      </c>
      <c r="I1626" s="1135" t="e">
        <v>#REF!</v>
      </c>
      <c r="J1626" s="1135" t="e">
        <v>#REF!</v>
      </c>
      <c r="K1626" s="1135" t="e">
        <v>#REF!</v>
      </c>
    </row>
    <row r="1627" spans="1:11" s="1136" customFormat="1" ht="30">
      <c r="A1627" s="1131">
        <v>1620</v>
      </c>
      <c r="B1627" s="1132" t="s">
        <v>12374</v>
      </c>
      <c r="C1627" s="1133" t="s">
        <v>12375</v>
      </c>
      <c r="D1627" s="1134" t="s">
        <v>6905</v>
      </c>
      <c r="E1627" s="1135">
        <v>0</v>
      </c>
      <c r="F1627" s="1135">
        <v>53328</v>
      </c>
      <c r="G1627" s="1135">
        <v>0</v>
      </c>
      <c r="H1627" s="1135" t="e">
        <v>#REF!</v>
      </c>
      <c r="I1627" s="1135" t="e">
        <v>#REF!</v>
      </c>
      <c r="J1627" s="1135" t="e">
        <v>#REF!</v>
      </c>
      <c r="K1627" s="1135" t="e">
        <v>#REF!</v>
      </c>
    </row>
    <row r="1628" spans="1:11" s="1136" customFormat="1" ht="30">
      <c r="A1628" s="1131">
        <v>1621</v>
      </c>
      <c r="B1628" s="1132" t="s">
        <v>12376</v>
      </c>
      <c r="C1628" s="1133" t="s">
        <v>12377</v>
      </c>
      <c r="D1628" s="1134" t="s">
        <v>6905</v>
      </c>
      <c r="E1628" s="1135">
        <v>0</v>
      </c>
      <c r="F1628" s="1135">
        <v>79992</v>
      </c>
      <c r="G1628" s="1135">
        <v>0</v>
      </c>
      <c r="H1628" s="1135" t="e">
        <v>#REF!</v>
      </c>
      <c r="I1628" s="1135" t="e">
        <v>#REF!</v>
      </c>
      <c r="J1628" s="1135" t="e">
        <v>#REF!</v>
      </c>
      <c r="K1628" s="1135" t="e">
        <v>#REF!</v>
      </c>
    </row>
    <row r="1629" spans="1:11" s="1136" customFormat="1" ht="30">
      <c r="A1629" s="1131">
        <v>1622</v>
      </c>
      <c r="B1629" s="1132" t="s">
        <v>12378</v>
      </c>
      <c r="C1629" s="1133" t="s">
        <v>12379</v>
      </c>
      <c r="D1629" s="1134" t="s">
        <v>6905</v>
      </c>
      <c r="E1629" s="1135">
        <v>0</v>
      </c>
      <c r="F1629" s="1135">
        <v>85324.800000000003</v>
      </c>
      <c r="G1629" s="1135">
        <v>0</v>
      </c>
      <c r="H1629" s="1135" t="e">
        <v>#REF!</v>
      </c>
      <c r="I1629" s="1135" t="e">
        <v>#REF!</v>
      </c>
      <c r="J1629" s="1135" t="e">
        <v>#REF!</v>
      </c>
      <c r="K1629" s="1135" t="e">
        <v>#REF!</v>
      </c>
    </row>
    <row r="1630" spans="1:11" s="1136" customFormat="1" ht="30">
      <c r="A1630" s="1131">
        <v>1623</v>
      </c>
      <c r="B1630" s="1132" t="s">
        <v>12380</v>
      </c>
      <c r="C1630" s="1133" t="s">
        <v>12381</v>
      </c>
      <c r="D1630" s="1134" t="s">
        <v>6905</v>
      </c>
      <c r="E1630" s="1135">
        <v>0</v>
      </c>
      <c r="F1630" s="1135">
        <v>119988</v>
      </c>
      <c r="G1630" s="1135">
        <v>0</v>
      </c>
      <c r="H1630" s="1135" t="e">
        <v>#REF!</v>
      </c>
      <c r="I1630" s="1135" t="e">
        <v>#REF!</v>
      </c>
      <c r="J1630" s="1135" t="e">
        <v>#REF!</v>
      </c>
      <c r="K1630" s="1135" t="e">
        <v>#REF!</v>
      </c>
    </row>
    <row r="1631" spans="1:11" s="1136" customFormat="1" ht="30">
      <c r="A1631" s="1131">
        <v>1624</v>
      </c>
      <c r="B1631" s="1132" t="s">
        <v>12382</v>
      </c>
      <c r="C1631" s="1133" t="s">
        <v>12383</v>
      </c>
      <c r="D1631" s="1134" t="s">
        <v>6905</v>
      </c>
      <c r="E1631" s="1135">
        <v>0</v>
      </c>
      <c r="F1631" s="1135">
        <v>282638.40000000002</v>
      </c>
      <c r="G1631" s="1135">
        <v>0</v>
      </c>
      <c r="H1631" s="1135" t="e">
        <v>#REF!</v>
      </c>
      <c r="I1631" s="1135" t="e">
        <v>#REF!</v>
      </c>
      <c r="J1631" s="1135" t="e">
        <v>#REF!</v>
      </c>
      <c r="K1631" s="1135" t="e">
        <v>#REF!</v>
      </c>
    </row>
    <row r="1632" spans="1:11" s="1136" customFormat="1" ht="30">
      <c r="A1632" s="1131">
        <v>1625</v>
      </c>
      <c r="B1632" s="1132" t="s">
        <v>12384</v>
      </c>
      <c r="C1632" s="1133" t="s">
        <v>12385</v>
      </c>
      <c r="D1632" s="1134" t="s">
        <v>6905</v>
      </c>
      <c r="E1632" s="1135">
        <v>0</v>
      </c>
      <c r="F1632" s="1135">
        <v>63993.599999999999</v>
      </c>
      <c r="G1632" s="1135">
        <v>0</v>
      </c>
      <c r="H1632" s="1135" t="e">
        <v>#REF!</v>
      </c>
      <c r="I1632" s="1135" t="e">
        <v>#REF!</v>
      </c>
      <c r="J1632" s="1135" t="e">
        <v>#REF!</v>
      </c>
      <c r="K1632" s="1135" t="e">
        <v>#REF!</v>
      </c>
    </row>
    <row r="1633" spans="1:11" s="1136" customFormat="1" ht="30">
      <c r="A1633" s="1131">
        <v>1626</v>
      </c>
      <c r="B1633" s="1132" t="s">
        <v>12386</v>
      </c>
      <c r="C1633" s="1133" t="s">
        <v>12387</v>
      </c>
      <c r="D1633" s="1134" t="s">
        <v>6905</v>
      </c>
      <c r="E1633" s="1135">
        <v>0</v>
      </c>
      <c r="F1633" s="1135">
        <v>103989.6</v>
      </c>
      <c r="G1633" s="1135">
        <v>0</v>
      </c>
      <c r="H1633" s="1135" t="e">
        <v>#REF!</v>
      </c>
      <c r="I1633" s="1135" t="e">
        <v>#REF!</v>
      </c>
      <c r="J1633" s="1135" t="e">
        <v>#REF!</v>
      </c>
      <c r="K1633" s="1135" t="e">
        <v>#REF!</v>
      </c>
    </row>
    <row r="1634" spans="1:11" s="1136" customFormat="1" ht="30">
      <c r="A1634" s="1131">
        <v>1627</v>
      </c>
      <c r="B1634" s="1132" t="s">
        <v>12388</v>
      </c>
      <c r="C1634" s="1133" t="s">
        <v>12389</v>
      </c>
      <c r="D1634" s="1134" t="s">
        <v>6905</v>
      </c>
      <c r="E1634" s="1135">
        <v>0</v>
      </c>
      <c r="F1634" s="1135">
        <v>146652</v>
      </c>
      <c r="G1634" s="1135">
        <v>0</v>
      </c>
      <c r="H1634" s="1135" t="e">
        <v>#REF!</v>
      </c>
      <c r="I1634" s="1135" t="e">
        <v>#REF!</v>
      </c>
      <c r="J1634" s="1135" t="e">
        <v>#REF!</v>
      </c>
      <c r="K1634" s="1135" t="e">
        <v>#REF!</v>
      </c>
    </row>
    <row r="1635" spans="1:11" s="1136" customFormat="1" ht="30">
      <c r="A1635" s="1131">
        <v>1628</v>
      </c>
      <c r="B1635" s="1132" t="s">
        <v>12390</v>
      </c>
      <c r="C1635" s="1133" t="s">
        <v>12391</v>
      </c>
      <c r="D1635" s="1134" t="s">
        <v>6905</v>
      </c>
      <c r="E1635" s="1135">
        <v>0</v>
      </c>
      <c r="F1635" s="1135">
        <v>178648.8</v>
      </c>
      <c r="G1635" s="1135">
        <v>0</v>
      </c>
      <c r="H1635" s="1135" t="e">
        <v>#REF!</v>
      </c>
      <c r="I1635" s="1135" t="e">
        <v>#REF!</v>
      </c>
      <c r="J1635" s="1135" t="e">
        <v>#REF!</v>
      </c>
      <c r="K1635" s="1135" t="e">
        <v>#REF!</v>
      </c>
    </row>
    <row r="1636" spans="1:11" s="1136" customFormat="1" ht="30">
      <c r="A1636" s="1131">
        <v>1629</v>
      </c>
      <c r="B1636" s="1132" t="s">
        <v>12392</v>
      </c>
      <c r="C1636" s="1133" t="s">
        <v>12393</v>
      </c>
      <c r="D1636" s="1134" t="s">
        <v>6905</v>
      </c>
      <c r="E1636" s="1135">
        <v>0</v>
      </c>
      <c r="F1636" s="1135">
        <v>314635.2</v>
      </c>
      <c r="G1636" s="1135">
        <v>0</v>
      </c>
      <c r="H1636" s="1135" t="e">
        <v>#REF!</v>
      </c>
      <c r="I1636" s="1135" t="e">
        <v>#REF!</v>
      </c>
      <c r="J1636" s="1135" t="e">
        <v>#REF!</v>
      </c>
      <c r="K1636" s="1135" t="e">
        <v>#REF!</v>
      </c>
    </row>
    <row r="1637" spans="1:11" s="1136" customFormat="1" ht="30">
      <c r="A1637" s="1131">
        <v>1630</v>
      </c>
      <c r="B1637" s="1132" t="s">
        <v>12394</v>
      </c>
      <c r="C1637" s="1133" t="s">
        <v>12395</v>
      </c>
      <c r="D1637" s="1134" t="s">
        <v>6905</v>
      </c>
      <c r="E1637" s="1135">
        <v>0</v>
      </c>
      <c r="F1637" s="1135">
        <v>421291.2</v>
      </c>
      <c r="G1637" s="1135">
        <v>0</v>
      </c>
      <c r="H1637" s="1135" t="e">
        <v>#REF!</v>
      </c>
      <c r="I1637" s="1135" t="e">
        <v>#REF!</v>
      </c>
      <c r="J1637" s="1135" t="e">
        <v>#REF!</v>
      </c>
      <c r="K1637" s="1135" t="e">
        <v>#REF!</v>
      </c>
    </row>
    <row r="1638" spans="1:11" s="1136" customFormat="1">
      <c r="A1638" s="1131">
        <v>1631</v>
      </c>
      <c r="B1638" s="1132" t="s">
        <v>12396</v>
      </c>
      <c r="C1638" s="1133" t="s">
        <v>12397</v>
      </c>
      <c r="D1638" s="1134" t="s">
        <v>6905</v>
      </c>
      <c r="E1638" s="1135">
        <v>0</v>
      </c>
      <c r="F1638" s="1135">
        <v>45328.800000000003</v>
      </c>
      <c r="G1638" s="1135">
        <v>7162.8</v>
      </c>
      <c r="H1638" s="1135" t="e">
        <v>#REF!</v>
      </c>
      <c r="I1638" s="1135" t="e">
        <v>#REF!</v>
      </c>
      <c r="J1638" s="1135" t="e">
        <v>#REF!</v>
      </c>
      <c r="K1638" s="1135" t="e">
        <v>#REF!</v>
      </c>
    </row>
    <row r="1639" spans="1:11" s="1136" customFormat="1">
      <c r="A1639" s="1131">
        <v>1632</v>
      </c>
      <c r="B1639" s="1132" t="s">
        <v>12398</v>
      </c>
      <c r="C1639" s="1133" t="s">
        <v>12399</v>
      </c>
      <c r="D1639" s="1134" t="s">
        <v>6905</v>
      </c>
      <c r="E1639" s="1135">
        <v>0</v>
      </c>
      <c r="F1639" s="1135">
        <v>53328</v>
      </c>
      <c r="G1639" s="1135">
        <v>7162.8</v>
      </c>
      <c r="H1639" s="1135" t="e">
        <v>#REF!</v>
      </c>
      <c r="I1639" s="1135" t="e">
        <v>#REF!</v>
      </c>
      <c r="J1639" s="1135" t="e">
        <v>#REF!</v>
      </c>
      <c r="K1639" s="1135" t="e">
        <v>#REF!</v>
      </c>
    </row>
    <row r="1640" spans="1:11" s="1136" customFormat="1">
      <c r="A1640" s="1131">
        <v>1633</v>
      </c>
      <c r="B1640" s="1132" t="s">
        <v>12400</v>
      </c>
      <c r="C1640" s="1133" t="s">
        <v>12401</v>
      </c>
      <c r="D1640" s="1134" t="s">
        <v>6905</v>
      </c>
      <c r="E1640" s="1135">
        <v>0</v>
      </c>
      <c r="F1640" s="1135">
        <v>287971.20000000001</v>
      </c>
      <c r="G1640" s="1135">
        <v>7162.8</v>
      </c>
      <c r="H1640" s="1135" t="e">
        <v>#REF!</v>
      </c>
      <c r="I1640" s="1135" t="e">
        <v>#REF!</v>
      </c>
      <c r="J1640" s="1135" t="e">
        <v>#REF!</v>
      </c>
      <c r="K1640" s="1135" t="e">
        <v>#REF!</v>
      </c>
    </row>
    <row r="1641" spans="1:11" s="1136" customFormat="1" ht="45">
      <c r="A1641" s="1131">
        <v>1634</v>
      </c>
      <c r="B1641" s="1132" t="s">
        <v>12402</v>
      </c>
      <c r="C1641" s="1133" t="s">
        <v>12403</v>
      </c>
      <c r="D1641" s="1134" t="s">
        <v>11480</v>
      </c>
      <c r="E1641" s="1135">
        <v>0</v>
      </c>
      <c r="F1641" s="1135">
        <v>175982.4</v>
      </c>
      <c r="G1641" s="1135">
        <v>0</v>
      </c>
      <c r="H1641" s="1135" t="e">
        <v>#REF!</v>
      </c>
      <c r="I1641" s="1135" t="e">
        <v>#REF!</v>
      </c>
      <c r="J1641" s="1135" t="e">
        <v>#REF!</v>
      </c>
      <c r="K1641" s="1135" t="e">
        <v>#REF!</v>
      </c>
    </row>
    <row r="1642" spans="1:11" s="1136" customFormat="1" ht="45">
      <c r="A1642" s="1131">
        <v>1635</v>
      </c>
      <c r="B1642" s="1132" t="s">
        <v>12404</v>
      </c>
      <c r="C1642" s="1133" t="s">
        <v>12405</v>
      </c>
      <c r="D1642" s="1134" t="s">
        <v>11480</v>
      </c>
      <c r="E1642" s="1135">
        <v>0</v>
      </c>
      <c r="F1642" s="1135">
        <v>245308.79999999999</v>
      </c>
      <c r="G1642" s="1135">
        <v>0</v>
      </c>
      <c r="H1642" s="1135" t="e">
        <v>#REF!</v>
      </c>
      <c r="I1642" s="1135" t="e">
        <v>#REF!</v>
      </c>
      <c r="J1642" s="1135" t="e">
        <v>#REF!</v>
      </c>
      <c r="K1642" s="1135" t="e">
        <v>#REF!</v>
      </c>
    </row>
    <row r="1643" spans="1:11" s="1136" customFormat="1" ht="30">
      <c r="A1643" s="1131">
        <v>1636</v>
      </c>
      <c r="B1643" s="1132" t="s">
        <v>12406</v>
      </c>
      <c r="C1643" s="1133" t="s">
        <v>12407</v>
      </c>
      <c r="D1643" s="1134" t="s">
        <v>11480</v>
      </c>
      <c r="E1643" s="1135">
        <v>0</v>
      </c>
      <c r="F1643" s="1135">
        <v>298636.79999999999</v>
      </c>
      <c r="G1643" s="1135">
        <v>0</v>
      </c>
      <c r="H1643" s="1135" t="e">
        <v>#REF!</v>
      </c>
      <c r="I1643" s="1135" t="e">
        <v>#REF!</v>
      </c>
      <c r="J1643" s="1135" t="e">
        <v>#REF!</v>
      </c>
      <c r="K1643" s="1135" t="e">
        <v>#REF!</v>
      </c>
    </row>
    <row r="1644" spans="1:11" s="1136" customFormat="1" ht="45">
      <c r="A1644" s="1131">
        <v>1637</v>
      </c>
      <c r="B1644" s="1132" t="s">
        <v>12408</v>
      </c>
      <c r="C1644" s="1133" t="s">
        <v>12409</v>
      </c>
      <c r="D1644" s="1134" t="s">
        <v>11480</v>
      </c>
      <c r="E1644" s="1135">
        <v>0</v>
      </c>
      <c r="F1644" s="1135">
        <v>245308.79999999999</v>
      </c>
      <c r="G1644" s="1135">
        <v>0</v>
      </c>
      <c r="H1644" s="1135" t="e">
        <v>#REF!</v>
      </c>
      <c r="I1644" s="1135" t="e">
        <v>#REF!</v>
      </c>
      <c r="J1644" s="1135" t="e">
        <v>#REF!</v>
      </c>
      <c r="K1644" s="1135" t="e">
        <v>#REF!</v>
      </c>
    </row>
    <row r="1645" spans="1:11" s="1136" customFormat="1" ht="45">
      <c r="A1645" s="1131">
        <v>1638</v>
      </c>
      <c r="B1645" s="1132" t="s">
        <v>12410</v>
      </c>
      <c r="C1645" s="1133" t="s">
        <v>12411</v>
      </c>
      <c r="D1645" s="1134" t="s">
        <v>11480</v>
      </c>
      <c r="E1645" s="1135">
        <v>0</v>
      </c>
      <c r="F1645" s="1135">
        <v>306636</v>
      </c>
      <c r="G1645" s="1135">
        <v>0</v>
      </c>
      <c r="H1645" s="1135" t="e">
        <v>#REF!</v>
      </c>
      <c r="I1645" s="1135" t="e">
        <v>#REF!</v>
      </c>
      <c r="J1645" s="1135" t="e">
        <v>#REF!</v>
      </c>
      <c r="K1645" s="1135" t="e">
        <v>#REF!</v>
      </c>
    </row>
    <row r="1646" spans="1:11" s="1136" customFormat="1" ht="30">
      <c r="A1646" s="1131">
        <v>1639</v>
      </c>
      <c r="B1646" s="1132" t="s">
        <v>12412</v>
      </c>
      <c r="C1646" s="1133" t="s">
        <v>12413</v>
      </c>
      <c r="D1646" s="1134" t="s">
        <v>11480</v>
      </c>
      <c r="E1646" s="1135">
        <v>0</v>
      </c>
      <c r="F1646" s="1135">
        <v>349298.4</v>
      </c>
      <c r="G1646" s="1135">
        <v>0</v>
      </c>
      <c r="H1646" s="1135" t="e">
        <v>#REF!</v>
      </c>
      <c r="I1646" s="1135" t="e">
        <v>#REF!</v>
      </c>
      <c r="J1646" s="1135" t="e">
        <v>#REF!</v>
      </c>
      <c r="K1646" s="1135" t="e">
        <v>#REF!</v>
      </c>
    </row>
    <row r="1647" spans="1:11" s="1136" customFormat="1">
      <c r="A1647" s="1131">
        <v>1640</v>
      </c>
      <c r="B1647" s="1132" t="s">
        <v>12414</v>
      </c>
      <c r="C1647" s="1133" t="s">
        <v>12415</v>
      </c>
      <c r="D1647" s="1134" t="s">
        <v>139</v>
      </c>
      <c r="E1647" s="1135">
        <v>0</v>
      </c>
      <c r="F1647" s="1135">
        <v>66660</v>
      </c>
      <c r="G1647" s="1135">
        <v>1504.2</v>
      </c>
      <c r="H1647" s="1135" t="e">
        <v>#REF!</v>
      </c>
      <c r="I1647" s="1135" t="e">
        <v>#REF!</v>
      </c>
      <c r="J1647" s="1135" t="e">
        <v>#REF!</v>
      </c>
      <c r="K1647" s="1135" t="e">
        <v>#REF!</v>
      </c>
    </row>
    <row r="1648" spans="1:11" s="1136" customFormat="1">
      <c r="A1648" s="1131">
        <v>1641</v>
      </c>
      <c r="B1648" s="1132" t="s">
        <v>12416</v>
      </c>
      <c r="C1648" s="1133" t="s">
        <v>12417</v>
      </c>
      <c r="D1648" s="1134" t="s">
        <v>7300</v>
      </c>
      <c r="E1648" s="1135">
        <v>1503.2</v>
      </c>
      <c r="F1648" s="1135">
        <v>130653.6</v>
      </c>
      <c r="G1648" s="1135">
        <v>0</v>
      </c>
      <c r="H1648" s="1135" t="e">
        <v>#REF!</v>
      </c>
      <c r="I1648" s="1135" t="e">
        <v>#REF!</v>
      </c>
      <c r="J1648" s="1135" t="e">
        <v>#REF!</v>
      </c>
      <c r="K1648" s="1135" t="e">
        <v>#REF!</v>
      </c>
    </row>
    <row r="1649" spans="1:11" s="1136" customFormat="1">
      <c r="A1649" s="1131">
        <v>1642</v>
      </c>
      <c r="B1649" s="1132" t="s">
        <v>12418</v>
      </c>
      <c r="C1649" s="1133" t="s">
        <v>12419</v>
      </c>
      <c r="D1649" s="1134" t="s">
        <v>7300</v>
      </c>
      <c r="E1649" s="1135">
        <v>1503.2</v>
      </c>
      <c r="F1649" s="1135">
        <v>165316.79999999999</v>
      </c>
      <c r="G1649" s="1135">
        <v>0</v>
      </c>
      <c r="H1649" s="1135" t="e">
        <v>#REF!</v>
      </c>
      <c r="I1649" s="1135" t="e">
        <v>#REF!</v>
      </c>
      <c r="J1649" s="1135" t="e">
        <v>#REF!</v>
      </c>
      <c r="K1649" s="1135" t="e">
        <v>#REF!</v>
      </c>
    </row>
    <row r="1650" spans="1:11" s="1136" customFormat="1">
      <c r="A1650" s="1131">
        <v>1643</v>
      </c>
      <c r="B1650" s="1132" t="s">
        <v>12420</v>
      </c>
      <c r="C1650" s="1133" t="s">
        <v>12421</v>
      </c>
      <c r="D1650" s="1134" t="s">
        <v>7300</v>
      </c>
      <c r="E1650" s="1135">
        <v>1503.2</v>
      </c>
      <c r="F1650" s="1135">
        <v>165316.79999999999</v>
      </c>
      <c r="G1650" s="1135">
        <v>0</v>
      </c>
      <c r="H1650" s="1135" t="e">
        <v>#REF!</v>
      </c>
      <c r="I1650" s="1135" t="e">
        <v>#REF!</v>
      </c>
      <c r="J1650" s="1135" t="e">
        <v>#REF!</v>
      </c>
      <c r="K1650" s="1135" t="e">
        <v>#REF!</v>
      </c>
    </row>
    <row r="1651" spans="1:11" s="1136" customFormat="1">
      <c r="A1651" s="1131">
        <v>1644</v>
      </c>
      <c r="B1651" s="1132" t="s">
        <v>12422</v>
      </c>
      <c r="C1651" s="1133" t="s">
        <v>12423</v>
      </c>
      <c r="D1651" s="1134" t="s">
        <v>7300</v>
      </c>
      <c r="E1651" s="1135">
        <v>1503.2</v>
      </c>
      <c r="F1651" s="1135">
        <v>197313.6</v>
      </c>
      <c r="G1651" s="1135">
        <v>0</v>
      </c>
      <c r="H1651" s="1135" t="e">
        <v>#REF!</v>
      </c>
      <c r="I1651" s="1135" t="e">
        <v>#REF!</v>
      </c>
      <c r="J1651" s="1135" t="e">
        <v>#REF!</v>
      </c>
      <c r="K1651" s="1135" t="e">
        <v>#REF!</v>
      </c>
    </row>
    <row r="1652" spans="1:11" s="1136" customFormat="1">
      <c r="A1652" s="1131">
        <v>1645</v>
      </c>
      <c r="B1652" s="1132" t="s">
        <v>12424</v>
      </c>
      <c r="C1652" s="1133" t="s">
        <v>12425</v>
      </c>
      <c r="D1652" s="1134" t="s">
        <v>7300</v>
      </c>
      <c r="E1652" s="1135">
        <v>1503.2</v>
      </c>
      <c r="F1652" s="1135">
        <v>237309.6</v>
      </c>
      <c r="G1652" s="1135">
        <v>0</v>
      </c>
      <c r="H1652" s="1135" t="e">
        <v>#REF!</v>
      </c>
      <c r="I1652" s="1135" t="e">
        <v>#REF!</v>
      </c>
      <c r="J1652" s="1135" t="e">
        <v>#REF!</v>
      </c>
      <c r="K1652" s="1135" t="e">
        <v>#REF!</v>
      </c>
    </row>
    <row r="1653" spans="1:11" s="1136" customFormat="1">
      <c r="A1653" s="1131">
        <v>1646</v>
      </c>
      <c r="B1653" s="1132" t="s">
        <v>12426</v>
      </c>
      <c r="C1653" s="1133" t="s">
        <v>12427</v>
      </c>
      <c r="D1653" s="1134" t="s">
        <v>7300</v>
      </c>
      <c r="E1653" s="1135">
        <v>1503.2</v>
      </c>
      <c r="F1653" s="1135">
        <v>82658.399999999994</v>
      </c>
      <c r="G1653" s="1135">
        <v>0</v>
      </c>
      <c r="H1653" s="1135" t="e">
        <v>#REF!</v>
      </c>
      <c r="I1653" s="1135" t="e">
        <v>#REF!</v>
      </c>
      <c r="J1653" s="1135" t="e">
        <v>#REF!</v>
      </c>
      <c r="K1653" s="1135" t="e">
        <v>#REF!</v>
      </c>
    </row>
    <row r="1654" spans="1:11" s="1136" customFormat="1" ht="45">
      <c r="A1654" s="1131">
        <v>1647</v>
      </c>
      <c r="B1654" s="1132" t="s">
        <v>12428</v>
      </c>
      <c r="C1654" s="1133" t="s">
        <v>12429</v>
      </c>
      <c r="D1654" s="1134" t="s">
        <v>9191</v>
      </c>
      <c r="E1654" s="1135">
        <v>75000</v>
      </c>
      <c r="F1654" s="1135">
        <v>9079657.5999999996</v>
      </c>
      <c r="G1654" s="1135">
        <v>0</v>
      </c>
      <c r="H1654" s="1135" t="e">
        <v>#REF!</v>
      </c>
      <c r="I1654" s="1135" t="e">
        <v>#REF!</v>
      </c>
      <c r="J1654" s="1135" t="e">
        <v>#REF!</v>
      </c>
      <c r="K1654" s="1135" t="e">
        <v>#REF!</v>
      </c>
    </row>
    <row r="1655" spans="1:11" s="1136" customFormat="1" ht="45">
      <c r="A1655" s="1131">
        <v>1648</v>
      </c>
      <c r="B1655" s="1132" t="s">
        <v>12430</v>
      </c>
      <c r="C1655" s="1133" t="s">
        <v>12431</v>
      </c>
      <c r="D1655" s="1134" t="s">
        <v>9191</v>
      </c>
      <c r="E1655" s="1135">
        <v>75000</v>
      </c>
      <c r="F1655" s="1135">
        <v>9988304</v>
      </c>
      <c r="G1655" s="1135">
        <v>0</v>
      </c>
      <c r="H1655" s="1135" t="e">
        <v>#REF!</v>
      </c>
      <c r="I1655" s="1135" t="e">
        <v>#REF!</v>
      </c>
      <c r="J1655" s="1135" t="e">
        <v>#REF!</v>
      </c>
      <c r="K1655" s="1135" t="e">
        <v>#REF!</v>
      </c>
    </row>
    <row r="1656" spans="1:11" s="1136" customFormat="1" ht="45">
      <c r="A1656" s="1131">
        <v>1649</v>
      </c>
      <c r="B1656" s="1132" t="s">
        <v>12432</v>
      </c>
      <c r="C1656" s="1133" t="s">
        <v>12433</v>
      </c>
      <c r="D1656" s="1134" t="s">
        <v>9191</v>
      </c>
      <c r="E1656" s="1135">
        <v>75000</v>
      </c>
      <c r="F1656" s="1135">
        <v>10988835.9</v>
      </c>
      <c r="G1656" s="1135">
        <v>0</v>
      </c>
      <c r="H1656" s="1135" t="e">
        <v>#REF!</v>
      </c>
      <c r="I1656" s="1135" t="e">
        <v>#REF!</v>
      </c>
      <c r="J1656" s="1135" t="e">
        <v>#REF!</v>
      </c>
      <c r="K1656" s="1135" t="e">
        <v>#REF!</v>
      </c>
    </row>
    <row r="1657" spans="1:11" s="1136" customFormat="1" ht="60">
      <c r="A1657" s="1131">
        <v>1650</v>
      </c>
      <c r="B1657" s="1132" t="s">
        <v>12434</v>
      </c>
      <c r="C1657" s="1133" t="s">
        <v>12435</v>
      </c>
      <c r="D1657" s="1134" t="s">
        <v>9191</v>
      </c>
      <c r="E1657" s="1135">
        <v>75000</v>
      </c>
      <c r="F1657" s="1135">
        <v>10896950.300000001</v>
      </c>
      <c r="G1657" s="1135">
        <v>0</v>
      </c>
      <c r="H1657" s="1135" t="e">
        <v>#REF!</v>
      </c>
      <c r="I1657" s="1135" t="e">
        <v>#REF!</v>
      </c>
      <c r="J1657" s="1135" t="e">
        <v>#REF!</v>
      </c>
      <c r="K1657" s="1135" t="e">
        <v>#REF!</v>
      </c>
    </row>
    <row r="1658" spans="1:11" s="1136" customFormat="1" ht="60">
      <c r="A1658" s="1131">
        <v>1651</v>
      </c>
      <c r="B1658" s="1132" t="s">
        <v>12436</v>
      </c>
      <c r="C1658" s="1133" t="s">
        <v>12437</v>
      </c>
      <c r="D1658" s="1134" t="s">
        <v>9191</v>
      </c>
      <c r="E1658" s="1135">
        <v>75000</v>
      </c>
      <c r="F1658" s="1135">
        <v>11985964.699999999</v>
      </c>
      <c r="G1658" s="1135">
        <v>0</v>
      </c>
      <c r="H1658" s="1135" t="e">
        <v>#REF!</v>
      </c>
      <c r="I1658" s="1135" t="e">
        <v>#REF!</v>
      </c>
      <c r="J1658" s="1135" t="e">
        <v>#REF!</v>
      </c>
      <c r="K1658" s="1135" t="e">
        <v>#REF!</v>
      </c>
    </row>
    <row r="1659" spans="1:11" s="1136" customFormat="1" ht="60">
      <c r="A1659" s="1131">
        <v>1652</v>
      </c>
      <c r="B1659" s="1132" t="s">
        <v>12438</v>
      </c>
      <c r="C1659" s="1133" t="s">
        <v>12439</v>
      </c>
      <c r="D1659" s="1134" t="s">
        <v>9191</v>
      </c>
      <c r="E1659" s="1135">
        <v>75000</v>
      </c>
      <c r="F1659" s="1135">
        <v>13183880.6</v>
      </c>
      <c r="G1659" s="1135">
        <v>0</v>
      </c>
      <c r="H1659" s="1135" t="e">
        <v>#REF!</v>
      </c>
      <c r="I1659" s="1135" t="e">
        <v>#REF!</v>
      </c>
      <c r="J1659" s="1135" t="e">
        <v>#REF!</v>
      </c>
      <c r="K1659" s="1135" t="e">
        <v>#REF!</v>
      </c>
    </row>
    <row r="1660" spans="1:11" s="1136" customFormat="1" ht="45">
      <c r="A1660" s="1131">
        <v>1653</v>
      </c>
      <c r="B1660" s="1132" t="s">
        <v>12440</v>
      </c>
      <c r="C1660" s="1133" t="s">
        <v>12441</v>
      </c>
      <c r="D1660" s="1134" t="s">
        <v>9191</v>
      </c>
      <c r="E1660" s="1135">
        <v>75000</v>
      </c>
      <c r="F1660" s="1135">
        <v>10393281.199999999</v>
      </c>
      <c r="G1660" s="1135">
        <v>0</v>
      </c>
      <c r="H1660" s="1135" t="e">
        <v>#REF!</v>
      </c>
      <c r="I1660" s="1135" t="e">
        <v>#REF!</v>
      </c>
      <c r="J1660" s="1135" t="e">
        <v>#REF!</v>
      </c>
      <c r="K1660" s="1135" t="e">
        <v>#REF!</v>
      </c>
    </row>
    <row r="1661" spans="1:11" s="1136" customFormat="1" ht="45">
      <c r="A1661" s="1131">
        <v>1654</v>
      </c>
      <c r="B1661" s="1132" t="s">
        <v>12442</v>
      </c>
      <c r="C1661" s="1133" t="s">
        <v>12443</v>
      </c>
      <c r="D1661" s="1134" t="s">
        <v>9191</v>
      </c>
      <c r="E1661" s="1135">
        <v>75000</v>
      </c>
      <c r="F1661" s="1135">
        <v>11587793.9</v>
      </c>
      <c r="G1661" s="1135">
        <v>0</v>
      </c>
      <c r="H1661" s="1135" t="e">
        <v>#REF!</v>
      </c>
      <c r="I1661" s="1135" t="e">
        <v>#REF!</v>
      </c>
      <c r="J1661" s="1135" t="e">
        <v>#REF!</v>
      </c>
      <c r="K1661" s="1135" t="e">
        <v>#REF!</v>
      </c>
    </row>
    <row r="1662" spans="1:11" s="1136" customFormat="1" ht="45">
      <c r="A1662" s="1131">
        <v>1655</v>
      </c>
      <c r="B1662" s="1132" t="s">
        <v>12444</v>
      </c>
      <c r="C1662" s="1133" t="s">
        <v>12445</v>
      </c>
      <c r="D1662" s="1134" t="s">
        <v>9191</v>
      </c>
      <c r="E1662" s="1135">
        <v>75000</v>
      </c>
      <c r="F1662" s="1135">
        <v>12744871.699999999</v>
      </c>
      <c r="G1662" s="1135">
        <v>0</v>
      </c>
      <c r="H1662" s="1135" t="e">
        <v>#REF!</v>
      </c>
      <c r="I1662" s="1135" t="e">
        <v>#REF!</v>
      </c>
      <c r="J1662" s="1135" t="e">
        <v>#REF!</v>
      </c>
      <c r="K1662" s="1135" t="e">
        <v>#REF!</v>
      </c>
    </row>
    <row r="1663" spans="1:11" s="1136" customFormat="1" ht="60">
      <c r="A1663" s="1131">
        <v>1656</v>
      </c>
      <c r="B1663" s="1132" t="s">
        <v>12446</v>
      </c>
      <c r="C1663" s="1133" t="s">
        <v>12447</v>
      </c>
      <c r="D1663" s="1134" t="s">
        <v>9191</v>
      </c>
      <c r="E1663" s="1135">
        <v>75000</v>
      </c>
      <c r="F1663" s="1135">
        <v>1389336</v>
      </c>
      <c r="G1663" s="1135">
        <v>0</v>
      </c>
      <c r="H1663" s="1135" t="e">
        <v>#REF!</v>
      </c>
      <c r="I1663" s="1135" t="e">
        <v>#REF!</v>
      </c>
      <c r="J1663" s="1135" t="e">
        <v>#REF!</v>
      </c>
      <c r="K1663" s="1135" t="e">
        <v>#REF!</v>
      </c>
    </row>
    <row r="1664" spans="1:11" s="1136" customFormat="1" ht="60">
      <c r="A1664" s="1131">
        <v>1657</v>
      </c>
      <c r="B1664" s="1132" t="s">
        <v>12448</v>
      </c>
      <c r="C1664" s="1133" t="s">
        <v>12449</v>
      </c>
      <c r="D1664" s="1134" t="s">
        <v>9191</v>
      </c>
      <c r="E1664" s="1135">
        <v>75000</v>
      </c>
      <c r="F1664" s="1135">
        <v>1531164.1</v>
      </c>
      <c r="G1664" s="1135">
        <v>0</v>
      </c>
      <c r="H1664" s="1135" t="e">
        <v>#REF!</v>
      </c>
      <c r="I1664" s="1135" t="e">
        <v>#REF!</v>
      </c>
      <c r="J1664" s="1135" t="e">
        <v>#REF!</v>
      </c>
      <c r="K1664" s="1135" t="e">
        <v>#REF!</v>
      </c>
    </row>
    <row r="1665" spans="1:11" s="1136" customFormat="1" ht="60">
      <c r="A1665" s="1131">
        <v>1658</v>
      </c>
      <c r="B1665" s="1132" t="s">
        <v>12450</v>
      </c>
      <c r="C1665" s="1133" t="s">
        <v>12451</v>
      </c>
      <c r="D1665" s="1134" t="s">
        <v>9191</v>
      </c>
      <c r="E1665" s="1135">
        <v>75000</v>
      </c>
      <c r="F1665" s="1135">
        <v>1681675.5</v>
      </c>
      <c r="G1665" s="1135">
        <v>0</v>
      </c>
      <c r="H1665" s="1135" t="e">
        <v>#REF!</v>
      </c>
      <c r="I1665" s="1135" t="e">
        <v>#REF!</v>
      </c>
      <c r="J1665" s="1135" t="e">
        <v>#REF!</v>
      </c>
      <c r="K1665" s="1135" t="e">
        <v>#REF!</v>
      </c>
    </row>
    <row r="1666" spans="1:11" s="1136" customFormat="1" ht="60">
      <c r="A1666" s="1131">
        <v>1659</v>
      </c>
      <c r="B1666" s="1132" t="s">
        <v>12452</v>
      </c>
      <c r="C1666" s="1133" t="s">
        <v>12453</v>
      </c>
      <c r="D1666" s="1134" t="s">
        <v>9191</v>
      </c>
      <c r="E1666" s="1135">
        <v>75000</v>
      </c>
      <c r="F1666" s="1135">
        <v>1235930.2</v>
      </c>
      <c r="G1666" s="1135">
        <v>0</v>
      </c>
      <c r="H1666" s="1135" t="e">
        <v>#REF!</v>
      </c>
      <c r="I1666" s="1135" t="e">
        <v>#REF!</v>
      </c>
      <c r="J1666" s="1135" t="e">
        <v>#REF!</v>
      </c>
      <c r="K1666" s="1135" t="e">
        <v>#REF!</v>
      </c>
    </row>
    <row r="1667" spans="1:11" s="1136" customFormat="1" ht="60">
      <c r="A1667" s="1131">
        <v>1660</v>
      </c>
      <c r="B1667" s="1132" t="s">
        <v>12454</v>
      </c>
      <c r="C1667" s="1133" t="s">
        <v>12455</v>
      </c>
      <c r="D1667" s="1134" t="s">
        <v>9191</v>
      </c>
      <c r="E1667" s="1135">
        <v>75000</v>
      </c>
      <c r="F1667" s="1135">
        <v>1360391.5</v>
      </c>
      <c r="G1667" s="1135">
        <v>0</v>
      </c>
      <c r="H1667" s="1135" t="e">
        <v>#REF!</v>
      </c>
      <c r="I1667" s="1135" t="e">
        <v>#REF!</v>
      </c>
      <c r="J1667" s="1135" t="e">
        <v>#REF!</v>
      </c>
      <c r="K1667" s="1135" t="e">
        <v>#REF!</v>
      </c>
    </row>
    <row r="1668" spans="1:11" s="1136" customFormat="1" ht="60">
      <c r="A1668" s="1131">
        <v>1661</v>
      </c>
      <c r="B1668" s="1132" t="s">
        <v>12456</v>
      </c>
      <c r="C1668" s="1133" t="s">
        <v>12457</v>
      </c>
      <c r="D1668" s="1134" t="s">
        <v>9191</v>
      </c>
      <c r="E1668" s="1135">
        <v>75000</v>
      </c>
      <c r="F1668" s="1135">
        <v>1493536.2</v>
      </c>
      <c r="G1668" s="1135">
        <v>0</v>
      </c>
      <c r="H1668" s="1135" t="e">
        <v>#REF!</v>
      </c>
      <c r="I1668" s="1135" t="e">
        <v>#REF!</v>
      </c>
      <c r="J1668" s="1135" t="e">
        <v>#REF!</v>
      </c>
      <c r="K1668" s="1135" t="e">
        <v>#REF!</v>
      </c>
    </row>
    <row r="1669" spans="1:11" s="1136" customFormat="1" ht="30">
      <c r="A1669" s="1131">
        <v>1662</v>
      </c>
      <c r="B1669" s="1132" t="s">
        <v>12458</v>
      </c>
      <c r="C1669" s="1133" t="s">
        <v>12459</v>
      </c>
      <c r="D1669" s="1134" t="s">
        <v>6895</v>
      </c>
      <c r="E1669" s="1135">
        <v>113454</v>
      </c>
      <c r="F1669" s="1135">
        <v>969833.5</v>
      </c>
      <c r="G1669" s="1135">
        <v>331182.40000000002</v>
      </c>
      <c r="H1669" s="1135" t="e">
        <v>#REF!</v>
      </c>
      <c r="I1669" s="1135" t="e">
        <v>#REF!</v>
      </c>
      <c r="J1669" s="1135" t="e">
        <v>#REF!</v>
      </c>
      <c r="K1669" s="1135" t="e">
        <v>#REF!</v>
      </c>
    </row>
    <row r="1670" spans="1:11" s="1136" customFormat="1" ht="30">
      <c r="A1670" s="1131">
        <v>1663</v>
      </c>
      <c r="B1670" s="1132" t="s">
        <v>12460</v>
      </c>
      <c r="C1670" s="1133" t="s">
        <v>12461</v>
      </c>
      <c r="D1670" s="1134" t="s">
        <v>6895</v>
      </c>
      <c r="E1670" s="1135">
        <v>116754</v>
      </c>
      <c r="F1670" s="1135">
        <v>1117827.6000000001</v>
      </c>
      <c r="G1670" s="1135">
        <v>331182.40000000002</v>
      </c>
      <c r="H1670" s="1135" t="e">
        <v>#REF!</v>
      </c>
      <c r="I1670" s="1135" t="e">
        <v>#REF!</v>
      </c>
      <c r="J1670" s="1135" t="e">
        <v>#REF!</v>
      </c>
      <c r="K1670" s="1135" t="e">
        <v>#REF!</v>
      </c>
    </row>
    <row r="1671" spans="1:11" s="1136" customFormat="1" ht="30">
      <c r="A1671" s="1131">
        <v>1664</v>
      </c>
      <c r="B1671" s="1132" t="s">
        <v>12462</v>
      </c>
      <c r="C1671" s="1133" t="s">
        <v>12463</v>
      </c>
      <c r="D1671" s="1134" t="s">
        <v>6895</v>
      </c>
      <c r="E1671" s="1135">
        <v>113454</v>
      </c>
      <c r="F1671" s="1135">
        <v>969833.5</v>
      </c>
      <c r="G1671" s="1135">
        <v>331182.40000000002</v>
      </c>
      <c r="H1671" s="1135" t="e">
        <v>#REF!</v>
      </c>
      <c r="I1671" s="1135" t="e">
        <v>#REF!</v>
      </c>
      <c r="J1671" s="1135" t="e">
        <v>#REF!</v>
      </c>
      <c r="K1671" s="1135" t="e">
        <v>#REF!</v>
      </c>
    </row>
    <row r="1672" spans="1:11" s="1136" customFormat="1" ht="30">
      <c r="A1672" s="1131">
        <v>1665</v>
      </c>
      <c r="B1672" s="1132" t="s">
        <v>12464</v>
      </c>
      <c r="C1672" s="1133" t="s">
        <v>12465</v>
      </c>
      <c r="D1672" s="1134" t="s">
        <v>6895</v>
      </c>
      <c r="E1672" s="1135">
        <v>113190</v>
      </c>
      <c r="F1672" s="1135">
        <v>969833.5</v>
      </c>
      <c r="G1672" s="1135">
        <v>0</v>
      </c>
      <c r="H1672" s="1135" t="e">
        <v>#REF!</v>
      </c>
      <c r="I1672" s="1135" t="e">
        <v>#REF!</v>
      </c>
      <c r="J1672" s="1135" t="e">
        <v>#REF!</v>
      </c>
      <c r="K1672" s="1135" t="e">
        <v>#REF!</v>
      </c>
    </row>
    <row r="1673" spans="1:11" s="1136" customFormat="1" ht="30">
      <c r="A1673" s="1131">
        <v>1666</v>
      </c>
      <c r="B1673" s="1132" t="s">
        <v>12466</v>
      </c>
      <c r="C1673" s="1133" t="s">
        <v>12467</v>
      </c>
      <c r="D1673" s="1134" t="s">
        <v>6895</v>
      </c>
      <c r="E1673" s="1135">
        <v>113190</v>
      </c>
      <c r="F1673" s="1135">
        <v>1111529.8999999999</v>
      </c>
      <c r="G1673" s="1135">
        <v>723487.8</v>
      </c>
      <c r="H1673" s="1135" t="e">
        <v>#REF!</v>
      </c>
      <c r="I1673" s="1135" t="e">
        <v>#REF!</v>
      </c>
      <c r="J1673" s="1135" t="e">
        <v>#REF!</v>
      </c>
      <c r="K1673" s="1135" t="e">
        <v>#REF!</v>
      </c>
    </row>
    <row r="1674" spans="1:11" s="1136" customFormat="1" ht="45">
      <c r="A1674" s="1131">
        <v>1667</v>
      </c>
      <c r="B1674" s="1132" t="s">
        <v>12468</v>
      </c>
      <c r="C1674" s="1133" t="s">
        <v>12469</v>
      </c>
      <c r="D1674" s="1134" t="s">
        <v>6895</v>
      </c>
      <c r="E1674" s="1135">
        <v>18150</v>
      </c>
      <c r="F1674" s="1135">
        <v>2849673.1</v>
      </c>
      <c r="G1674" s="1135">
        <v>331182.40000000002</v>
      </c>
      <c r="H1674" s="1135" t="e">
        <v>#REF!</v>
      </c>
      <c r="I1674" s="1135" t="e">
        <v>#REF!</v>
      </c>
      <c r="J1674" s="1135" t="e">
        <v>#REF!</v>
      </c>
      <c r="K1674" s="1135" t="e">
        <v>#REF!</v>
      </c>
    </row>
    <row r="1675" spans="1:11" s="1136" customFormat="1" ht="45">
      <c r="A1675" s="1131">
        <v>1668</v>
      </c>
      <c r="B1675" s="1132" t="s">
        <v>12470</v>
      </c>
      <c r="C1675" s="1133" t="s">
        <v>12471</v>
      </c>
      <c r="D1675" s="1134" t="s">
        <v>6895</v>
      </c>
      <c r="E1675" s="1135">
        <v>28710</v>
      </c>
      <c r="F1675" s="1135">
        <v>3255869.5</v>
      </c>
      <c r="G1675" s="1135">
        <v>331182.40000000002</v>
      </c>
      <c r="H1675" s="1135" t="e">
        <v>#REF!</v>
      </c>
      <c r="I1675" s="1135" t="e">
        <v>#REF!</v>
      </c>
      <c r="J1675" s="1135" t="e">
        <v>#REF!</v>
      </c>
      <c r="K1675" s="1135" t="e">
        <v>#REF!</v>
      </c>
    </row>
    <row r="1676" spans="1:11" s="1136" customFormat="1">
      <c r="A1676" s="1131">
        <v>1669</v>
      </c>
      <c r="B1676" s="1132" t="s">
        <v>12472</v>
      </c>
      <c r="C1676" s="1133" t="s">
        <v>12473</v>
      </c>
      <c r="D1676" s="1134" t="s">
        <v>6895</v>
      </c>
      <c r="E1676" s="1135">
        <v>17820</v>
      </c>
      <c r="F1676" s="1135">
        <v>1656274.1</v>
      </c>
      <c r="G1676" s="1135">
        <v>413978</v>
      </c>
      <c r="H1676" s="1135" t="e">
        <v>#REF!</v>
      </c>
      <c r="I1676" s="1135" t="e">
        <v>#REF!</v>
      </c>
      <c r="J1676" s="1135" t="e">
        <v>#REF!</v>
      </c>
      <c r="K1676" s="1135" t="e">
        <v>#REF!</v>
      </c>
    </row>
    <row r="1677" spans="1:11" s="1136" customFormat="1">
      <c r="A1677" s="1131">
        <v>1670</v>
      </c>
      <c r="B1677" s="1132" t="s">
        <v>12474</v>
      </c>
      <c r="C1677" s="1133" t="s">
        <v>12475</v>
      </c>
      <c r="D1677" s="1134" t="s">
        <v>6895</v>
      </c>
      <c r="E1677" s="1135">
        <v>21450</v>
      </c>
      <c r="F1677" s="1135">
        <v>1990047.9</v>
      </c>
      <c r="G1677" s="1135">
        <v>413978</v>
      </c>
      <c r="H1677" s="1135" t="e">
        <v>#REF!</v>
      </c>
      <c r="I1677" s="1135" t="e">
        <v>#REF!</v>
      </c>
      <c r="J1677" s="1135" t="e">
        <v>#REF!</v>
      </c>
      <c r="K1677" s="1135" t="e">
        <v>#REF!</v>
      </c>
    </row>
    <row r="1678" spans="1:11" s="1136" customFormat="1">
      <c r="A1678" s="1131">
        <v>1671</v>
      </c>
      <c r="B1678" s="1132" t="s">
        <v>12476</v>
      </c>
      <c r="C1678" s="1133" t="s">
        <v>12477</v>
      </c>
      <c r="D1678" s="1134" t="s">
        <v>6895</v>
      </c>
      <c r="E1678" s="1135">
        <v>21450</v>
      </c>
      <c r="F1678" s="1135">
        <v>2317524.2000000002</v>
      </c>
      <c r="G1678" s="1135">
        <v>413978</v>
      </c>
      <c r="H1678" s="1135" t="e">
        <v>#REF!</v>
      </c>
      <c r="I1678" s="1135" t="e">
        <v>#REF!</v>
      </c>
      <c r="J1678" s="1135" t="e">
        <v>#REF!</v>
      </c>
      <c r="K1678" s="1135" t="e">
        <v>#REF!</v>
      </c>
    </row>
    <row r="1679" spans="1:11" s="1136" customFormat="1">
      <c r="A1679" s="1131">
        <v>1672</v>
      </c>
      <c r="B1679" s="1132" t="s">
        <v>12478</v>
      </c>
      <c r="C1679" s="1133" t="s">
        <v>12479</v>
      </c>
      <c r="D1679" s="1134" t="s">
        <v>6895</v>
      </c>
      <c r="E1679" s="1135">
        <v>29700</v>
      </c>
      <c r="F1679" s="1135">
        <v>2651298</v>
      </c>
      <c r="G1679" s="1135">
        <v>413978</v>
      </c>
      <c r="H1679" s="1135" t="e">
        <v>#REF!</v>
      </c>
      <c r="I1679" s="1135" t="e">
        <v>#REF!</v>
      </c>
      <c r="J1679" s="1135" t="e">
        <v>#REF!</v>
      </c>
      <c r="K1679" s="1135" t="e">
        <v>#REF!</v>
      </c>
    </row>
    <row r="1680" spans="1:11" s="1136" customFormat="1" ht="30">
      <c r="A1680" s="1131">
        <v>1673</v>
      </c>
      <c r="B1680" s="1132" t="s">
        <v>12480</v>
      </c>
      <c r="C1680" s="1133" t="s">
        <v>12481</v>
      </c>
      <c r="D1680" s="1134" t="s">
        <v>6895</v>
      </c>
      <c r="E1680" s="1135">
        <v>17820</v>
      </c>
      <c r="F1680" s="1135">
        <v>1489387.1</v>
      </c>
      <c r="G1680" s="1135">
        <v>413978</v>
      </c>
      <c r="H1680" s="1135" t="e">
        <v>#REF!</v>
      </c>
      <c r="I1680" s="1135" t="e">
        <v>#REF!</v>
      </c>
      <c r="J1680" s="1135" t="e">
        <v>#REF!</v>
      </c>
      <c r="K1680" s="1135" t="e">
        <v>#REF!</v>
      </c>
    </row>
    <row r="1681" spans="1:11" s="1136" customFormat="1" ht="45">
      <c r="A1681" s="1131">
        <v>1674</v>
      </c>
      <c r="B1681" s="1132" t="s">
        <v>12482</v>
      </c>
      <c r="C1681" s="1133" t="s">
        <v>12483</v>
      </c>
      <c r="D1681" s="1134" t="s">
        <v>6895</v>
      </c>
      <c r="E1681" s="1135">
        <v>21450</v>
      </c>
      <c r="F1681" s="1135">
        <v>1788524.1</v>
      </c>
      <c r="G1681" s="1135">
        <v>413978</v>
      </c>
      <c r="H1681" s="1135" t="e">
        <v>#REF!</v>
      </c>
      <c r="I1681" s="1135" t="e">
        <v>#REF!</v>
      </c>
      <c r="J1681" s="1135" t="e">
        <v>#REF!</v>
      </c>
      <c r="K1681" s="1135" t="e">
        <v>#REF!</v>
      </c>
    </row>
    <row r="1682" spans="1:11" s="1136" customFormat="1" ht="45">
      <c r="A1682" s="1131">
        <v>1675</v>
      </c>
      <c r="B1682" s="1132" t="s">
        <v>12484</v>
      </c>
      <c r="C1682" s="1133" t="s">
        <v>12485</v>
      </c>
      <c r="D1682" s="1134" t="s">
        <v>6895</v>
      </c>
      <c r="E1682" s="1135">
        <v>21450</v>
      </c>
      <c r="F1682" s="1135">
        <v>2087661</v>
      </c>
      <c r="G1682" s="1135">
        <v>413978</v>
      </c>
      <c r="H1682" s="1135" t="e">
        <v>#REF!</v>
      </c>
      <c r="I1682" s="1135" t="e">
        <v>#REF!</v>
      </c>
      <c r="J1682" s="1135" t="e">
        <v>#REF!</v>
      </c>
      <c r="K1682" s="1135" t="e">
        <v>#REF!</v>
      </c>
    </row>
    <row r="1683" spans="1:11" s="1136" customFormat="1" ht="45">
      <c r="A1683" s="1131">
        <v>1676</v>
      </c>
      <c r="B1683" s="1132" t="s">
        <v>12486</v>
      </c>
      <c r="C1683" s="1133" t="s">
        <v>12487</v>
      </c>
      <c r="D1683" s="1134" t="s">
        <v>6895</v>
      </c>
      <c r="E1683" s="1135">
        <v>29700</v>
      </c>
      <c r="F1683" s="1135">
        <v>2383649.2000000002</v>
      </c>
      <c r="G1683" s="1135">
        <v>413978</v>
      </c>
      <c r="H1683" s="1135" t="e">
        <v>#REF!</v>
      </c>
      <c r="I1683" s="1135" t="e">
        <v>#REF!</v>
      </c>
      <c r="J1683" s="1135" t="e">
        <v>#REF!</v>
      </c>
      <c r="K1683" s="1135" t="e">
        <v>#REF!</v>
      </c>
    </row>
    <row r="1684" spans="1:11" s="1136" customFormat="1" ht="30">
      <c r="A1684" s="1131">
        <v>1677</v>
      </c>
      <c r="B1684" s="1132" t="s">
        <v>12488</v>
      </c>
      <c r="C1684" s="1133" t="s">
        <v>12489</v>
      </c>
      <c r="D1684" s="1134" t="s">
        <v>6895</v>
      </c>
      <c r="E1684" s="1135">
        <v>17820</v>
      </c>
      <c r="F1684" s="1135">
        <v>1744440.7</v>
      </c>
      <c r="G1684" s="1135">
        <v>413978</v>
      </c>
      <c r="H1684" s="1135" t="e">
        <v>#REF!</v>
      </c>
      <c r="I1684" s="1135" t="e">
        <v>#REF!</v>
      </c>
      <c r="J1684" s="1135" t="e">
        <v>#REF!</v>
      </c>
      <c r="K1684" s="1135" t="e">
        <v>#REF!</v>
      </c>
    </row>
    <row r="1685" spans="1:11" s="1136" customFormat="1" ht="30">
      <c r="A1685" s="1131">
        <v>1678</v>
      </c>
      <c r="B1685" s="1132" t="s">
        <v>12490</v>
      </c>
      <c r="C1685" s="1133" t="s">
        <v>12491</v>
      </c>
      <c r="D1685" s="1134" t="s">
        <v>6895</v>
      </c>
      <c r="E1685" s="1135">
        <v>21450</v>
      </c>
      <c r="F1685" s="1135">
        <v>2093958.7</v>
      </c>
      <c r="G1685" s="1135">
        <v>413978</v>
      </c>
      <c r="H1685" s="1135" t="e">
        <v>#REF!</v>
      </c>
      <c r="I1685" s="1135" t="e">
        <v>#REF!</v>
      </c>
      <c r="J1685" s="1135" t="e">
        <v>#REF!</v>
      </c>
      <c r="K1685" s="1135" t="e">
        <v>#REF!</v>
      </c>
    </row>
    <row r="1686" spans="1:11" s="1136" customFormat="1" ht="30">
      <c r="A1686" s="1131">
        <v>1679</v>
      </c>
      <c r="B1686" s="1132" t="s">
        <v>12492</v>
      </c>
      <c r="C1686" s="1133" t="s">
        <v>12493</v>
      </c>
      <c r="D1686" s="1134" t="s">
        <v>6895</v>
      </c>
      <c r="E1686" s="1135">
        <v>21450</v>
      </c>
      <c r="F1686" s="1135">
        <v>2443476.6</v>
      </c>
      <c r="G1686" s="1135">
        <v>413978</v>
      </c>
      <c r="H1686" s="1135" t="e">
        <v>#REF!</v>
      </c>
      <c r="I1686" s="1135" t="e">
        <v>#REF!</v>
      </c>
      <c r="J1686" s="1135" t="e">
        <v>#REF!</v>
      </c>
      <c r="K1686" s="1135" t="e">
        <v>#REF!</v>
      </c>
    </row>
    <row r="1687" spans="1:11" s="1136" customFormat="1" ht="30">
      <c r="A1687" s="1131">
        <v>1680</v>
      </c>
      <c r="B1687" s="1132" t="s">
        <v>12494</v>
      </c>
      <c r="C1687" s="1133" t="s">
        <v>12495</v>
      </c>
      <c r="D1687" s="1134" t="s">
        <v>6895</v>
      </c>
      <c r="E1687" s="1135">
        <v>29700</v>
      </c>
      <c r="F1687" s="1135">
        <v>2792994.5</v>
      </c>
      <c r="G1687" s="1135">
        <v>413978</v>
      </c>
      <c r="H1687" s="1135" t="e">
        <v>#REF!</v>
      </c>
      <c r="I1687" s="1135" t="e">
        <v>#REF!</v>
      </c>
      <c r="J1687" s="1135" t="e">
        <v>#REF!</v>
      </c>
      <c r="K1687" s="1135" t="e">
        <v>#REF!</v>
      </c>
    </row>
    <row r="1688" spans="1:11" s="1136" customFormat="1" ht="45">
      <c r="A1688" s="1131">
        <v>1681</v>
      </c>
      <c r="B1688" s="1132" t="s">
        <v>12496</v>
      </c>
      <c r="C1688" s="1133" t="s">
        <v>12497</v>
      </c>
      <c r="D1688" s="1134" t="s">
        <v>6895</v>
      </c>
      <c r="E1688" s="1135">
        <v>17820</v>
      </c>
      <c r="F1688" s="1135">
        <v>1571256.2</v>
      </c>
      <c r="G1688" s="1135">
        <v>413978</v>
      </c>
      <c r="H1688" s="1135" t="e">
        <v>#REF!</v>
      </c>
      <c r="I1688" s="1135" t="e">
        <v>#REF!</v>
      </c>
      <c r="J1688" s="1135" t="e">
        <v>#REF!</v>
      </c>
      <c r="K1688" s="1135" t="e">
        <v>#REF!</v>
      </c>
    </row>
    <row r="1689" spans="1:11" s="1136" customFormat="1" ht="45">
      <c r="A1689" s="1131">
        <v>1682</v>
      </c>
      <c r="B1689" s="1132" t="s">
        <v>12498</v>
      </c>
      <c r="C1689" s="1133" t="s">
        <v>12499</v>
      </c>
      <c r="D1689" s="1134" t="s">
        <v>6895</v>
      </c>
      <c r="E1689" s="1135">
        <v>21450</v>
      </c>
      <c r="F1689" s="1135">
        <v>1886137.2</v>
      </c>
      <c r="G1689" s="1135">
        <v>413978</v>
      </c>
      <c r="H1689" s="1135" t="e">
        <v>#REF!</v>
      </c>
      <c r="I1689" s="1135" t="e">
        <v>#REF!</v>
      </c>
      <c r="J1689" s="1135" t="e">
        <v>#REF!</v>
      </c>
      <c r="K1689" s="1135" t="e">
        <v>#REF!</v>
      </c>
    </row>
    <row r="1690" spans="1:11" s="1136" customFormat="1" ht="45">
      <c r="A1690" s="1131">
        <v>1683</v>
      </c>
      <c r="B1690" s="1132" t="s">
        <v>12500</v>
      </c>
      <c r="C1690" s="1133" t="s">
        <v>12501</v>
      </c>
      <c r="D1690" s="1134" t="s">
        <v>6895</v>
      </c>
      <c r="E1690" s="1135">
        <v>21450</v>
      </c>
      <c r="F1690" s="1135">
        <v>2197869.4</v>
      </c>
      <c r="G1690" s="1135">
        <v>413978</v>
      </c>
      <c r="H1690" s="1135" t="e">
        <v>#REF!</v>
      </c>
      <c r="I1690" s="1135" t="e">
        <v>#REF!</v>
      </c>
      <c r="J1690" s="1135" t="e">
        <v>#REF!</v>
      </c>
      <c r="K1690" s="1135" t="e">
        <v>#REF!</v>
      </c>
    </row>
    <row r="1691" spans="1:11" s="1136" customFormat="1" ht="45">
      <c r="A1691" s="1131">
        <v>1684</v>
      </c>
      <c r="B1691" s="1132" t="s">
        <v>12502</v>
      </c>
      <c r="C1691" s="1133" t="s">
        <v>12503</v>
      </c>
      <c r="D1691" s="1134" t="s">
        <v>6895</v>
      </c>
      <c r="E1691" s="1135">
        <v>29700</v>
      </c>
      <c r="F1691" s="1135">
        <v>2512750.4</v>
      </c>
      <c r="G1691" s="1135">
        <v>413978</v>
      </c>
      <c r="H1691" s="1135" t="e">
        <v>#REF!</v>
      </c>
      <c r="I1691" s="1135" t="e">
        <v>#REF!</v>
      </c>
      <c r="J1691" s="1135" t="e">
        <v>#REF!</v>
      </c>
      <c r="K1691" s="1135" t="e">
        <v>#REF!</v>
      </c>
    </row>
    <row r="1692" spans="1:11" s="1136" customFormat="1">
      <c r="A1692" s="1131">
        <v>1685</v>
      </c>
      <c r="B1692" s="1132" t="s">
        <v>12504</v>
      </c>
      <c r="C1692" s="1133" t="s">
        <v>12505</v>
      </c>
      <c r="D1692" s="1134" t="s">
        <v>6895</v>
      </c>
      <c r="E1692" s="1135">
        <v>17820</v>
      </c>
      <c r="F1692" s="1135">
        <v>1656274.1</v>
      </c>
      <c r="G1692" s="1135">
        <v>413978</v>
      </c>
      <c r="H1692" s="1135" t="e">
        <v>#REF!</v>
      </c>
      <c r="I1692" s="1135" t="e">
        <v>#REF!</v>
      </c>
      <c r="J1692" s="1135" t="e">
        <v>#REF!</v>
      </c>
      <c r="K1692" s="1135" t="e">
        <v>#REF!</v>
      </c>
    </row>
    <row r="1693" spans="1:11" s="1136" customFormat="1">
      <c r="A1693" s="1131">
        <v>1686</v>
      </c>
      <c r="B1693" s="1132" t="s">
        <v>12506</v>
      </c>
      <c r="C1693" s="1133" t="s">
        <v>12507</v>
      </c>
      <c r="D1693" s="1134" t="s">
        <v>6895</v>
      </c>
      <c r="E1693" s="1135">
        <v>21450</v>
      </c>
      <c r="F1693" s="1135">
        <v>1990047.9</v>
      </c>
      <c r="G1693" s="1135">
        <v>413978</v>
      </c>
      <c r="H1693" s="1135" t="e">
        <v>#REF!</v>
      </c>
      <c r="I1693" s="1135" t="e">
        <v>#REF!</v>
      </c>
      <c r="J1693" s="1135" t="e">
        <v>#REF!</v>
      </c>
      <c r="K1693" s="1135" t="e">
        <v>#REF!</v>
      </c>
    </row>
    <row r="1694" spans="1:11" s="1136" customFormat="1">
      <c r="A1694" s="1131">
        <v>1687</v>
      </c>
      <c r="B1694" s="1132" t="s">
        <v>12508</v>
      </c>
      <c r="C1694" s="1133" t="s">
        <v>12509</v>
      </c>
      <c r="D1694" s="1134" t="s">
        <v>6895</v>
      </c>
      <c r="E1694" s="1135">
        <v>21450</v>
      </c>
      <c r="F1694" s="1135">
        <v>2317524.2000000002</v>
      </c>
      <c r="G1694" s="1135">
        <v>413978</v>
      </c>
      <c r="H1694" s="1135" t="e">
        <v>#REF!</v>
      </c>
      <c r="I1694" s="1135" t="e">
        <v>#REF!</v>
      </c>
      <c r="J1694" s="1135" t="e">
        <v>#REF!</v>
      </c>
      <c r="K1694" s="1135" t="e">
        <v>#REF!</v>
      </c>
    </row>
    <row r="1695" spans="1:11" s="1136" customFormat="1">
      <c r="A1695" s="1131">
        <v>1688</v>
      </c>
      <c r="B1695" s="1132" t="s">
        <v>12510</v>
      </c>
      <c r="C1695" s="1133" t="s">
        <v>12511</v>
      </c>
      <c r="D1695" s="1134" t="s">
        <v>6895</v>
      </c>
      <c r="E1695" s="1135">
        <v>29700</v>
      </c>
      <c r="F1695" s="1135">
        <v>2651298</v>
      </c>
      <c r="G1695" s="1135">
        <v>413978</v>
      </c>
      <c r="H1695" s="1135" t="e">
        <v>#REF!</v>
      </c>
      <c r="I1695" s="1135" t="e">
        <v>#REF!</v>
      </c>
      <c r="J1695" s="1135" t="e">
        <v>#REF!</v>
      </c>
      <c r="K1695" s="1135" t="e">
        <v>#REF!</v>
      </c>
    </row>
    <row r="1696" spans="1:11" s="1136" customFormat="1" ht="30">
      <c r="A1696" s="1131">
        <v>1689</v>
      </c>
      <c r="B1696" s="1132" t="s">
        <v>12512</v>
      </c>
      <c r="C1696" s="1133" t="s">
        <v>12513</v>
      </c>
      <c r="D1696" s="1134" t="s">
        <v>7300</v>
      </c>
      <c r="E1696" s="1135">
        <v>1428</v>
      </c>
      <c r="F1696" s="1135">
        <v>466023.9</v>
      </c>
      <c r="G1696" s="1135">
        <v>0</v>
      </c>
      <c r="H1696" s="1135" t="e">
        <v>#REF!</v>
      </c>
      <c r="I1696" s="1135" t="e">
        <v>#REF!</v>
      </c>
      <c r="J1696" s="1135" t="e">
        <v>#REF!</v>
      </c>
      <c r="K1696" s="1135" t="e">
        <v>#REF!</v>
      </c>
    </row>
    <row r="1697" spans="1:11" s="1136" customFormat="1" ht="30">
      <c r="A1697" s="1131">
        <v>1690</v>
      </c>
      <c r="B1697" s="1132" t="s">
        <v>12514</v>
      </c>
      <c r="C1697" s="1133" t="s">
        <v>12515</v>
      </c>
      <c r="D1697" s="1134" t="s">
        <v>7300</v>
      </c>
      <c r="E1697" s="1135">
        <v>1224</v>
      </c>
      <c r="F1697" s="1135">
        <v>154291.70000000001</v>
      </c>
      <c r="G1697" s="1135">
        <v>0</v>
      </c>
      <c r="H1697" s="1135" t="e">
        <v>#REF!</v>
      </c>
      <c r="I1697" s="1135" t="e">
        <v>#REF!</v>
      </c>
      <c r="J1697" s="1135" t="e">
        <v>#REF!</v>
      </c>
      <c r="K1697" s="1135" t="e">
        <v>#REF!</v>
      </c>
    </row>
    <row r="1698" spans="1:11" s="1136" customFormat="1" ht="30">
      <c r="A1698" s="1131">
        <v>1691</v>
      </c>
      <c r="B1698" s="1132" t="s">
        <v>12516</v>
      </c>
      <c r="C1698" s="1133" t="s">
        <v>12517</v>
      </c>
      <c r="D1698" s="1134" t="s">
        <v>7300</v>
      </c>
      <c r="E1698" s="1135">
        <v>1122</v>
      </c>
      <c r="F1698" s="1135">
        <v>47232.2</v>
      </c>
      <c r="G1698" s="1135">
        <v>0</v>
      </c>
      <c r="H1698" s="1135" t="e">
        <v>#REF!</v>
      </c>
      <c r="I1698" s="1135" t="e">
        <v>#REF!</v>
      </c>
      <c r="J1698" s="1135" t="e">
        <v>#REF!</v>
      </c>
      <c r="K1698" s="1135" t="e">
        <v>#REF!</v>
      </c>
    </row>
    <row r="1699" spans="1:11" s="1136" customFormat="1" ht="30">
      <c r="A1699" s="1131">
        <v>1692</v>
      </c>
      <c r="B1699" s="1132" t="s">
        <v>12518</v>
      </c>
      <c r="C1699" s="1133" t="s">
        <v>12519</v>
      </c>
      <c r="D1699" s="1134" t="s">
        <v>7300</v>
      </c>
      <c r="E1699" s="1135">
        <v>1224</v>
      </c>
      <c r="F1699" s="1135">
        <v>154291.70000000001</v>
      </c>
      <c r="G1699" s="1135">
        <v>0</v>
      </c>
      <c r="H1699" s="1135" t="e">
        <v>#REF!</v>
      </c>
      <c r="I1699" s="1135" t="e">
        <v>#REF!</v>
      </c>
      <c r="J1699" s="1135" t="e">
        <v>#REF!</v>
      </c>
      <c r="K1699" s="1135" t="e">
        <v>#REF!</v>
      </c>
    </row>
    <row r="1700" spans="1:11" s="1136" customFormat="1" ht="30">
      <c r="A1700" s="1131">
        <v>1693</v>
      </c>
      <c r="B1700" s="1132" t="s">
        <v>12520</v>
      </c>
      <c r="C1700" s="1133" t="s">
        <v>12521</v>
      </c>
      <c r="D1700" s="1134" t="s">
        <v>7300</v>
      </c>
      <c r="E1700" s="1135">
        <v>1224</v>
      </c>
      <c r="F1700" s="1135">
        <v>116506</v>
      </c>
      <c r="G1700" s="1135">
        <v>0</v>
      </c>
      <c r="H1700" s="1135" t="e">
        <v>#REF!</v>
      </c>
      <c r="I1700" s="1135" t="e">
        <v>#REF!</v>
      </c>
      <c r="J1700" s="1135" t="e">
        <v>#REF!</v>
      </c>
      <c r="K1700" s="1135" t="e">
        <v>#REF!</v>
      </c>
    </row>
    <row r="1701" spans="1:11" s="1136" customFormat="1" ht="30">
      <c r="A1701" s="1131">
        <v>1694</v>
      </c>
      <c r="B1701" s="1132" t="s">
        <v>12522</v>
      </c>
      <c r="C1701" s="1133" t="s">
        <v>12523</v>
      </c>
      <c r="D1701" s="1134" t="s">
        <v>7300</v>
      </c>
      <c r="E1701" s="1135">
        <v>612</v>
      </c>
      <c r="F1701" s="1135">
        <v>85017.9</v>
      </c>
      <c r="G1701" s="1135">
        <v>0</v>
      </c>
      <c r="H1701" s="1135" t="e">
        <v>#REF!</v>
      </c>
      <c r="I1701" s="1135" t="e">
        <v>#REF!</v>
      </c>
      <c r="J1701" s="1135" t="e">
        <v>#REF!</v>
      </c>
      <c r="K1701" s="1135" t="e">
        <v>#REF!</v>
      </c>
    </row>
    <row r="1702" spans="1:11" s="1136" customFormat="1" ht="45">
      <c r="A1702" s="1131">
        <v>1695</v>
      </c>
      <c r="B1702" s="1132" t="s">
        <v>12524</v>
      </c>
      <c r="C1702" s="1133" t="s">
        <v>12525</v>
      </c>
      <c r="D1702" s="1134" t="s">
        <v>7300</v>
      </c>
      <c r="E1702" s="1135">
        <v>1530</v>
      </c>
      <c r="F1702" s="1135">
        <v>582529.9</v>
      </c>
      <c r="G1702" s="1135">
        <v>662364.80000000005</v>
      </c>
      <c r="H1702" s="1135" t="e">
        <v>#REF!</v>
      </c>
      <c r="I1702" s="1135" t="e">
        <v>#REF!</v>
      </c>
      <c r="J1702" s="1135" t="e">
        <v>#REF!</v>
      </c>
      <c r="K1702" s="1135" t="e">
        <v>#REF!</v>
      </c>
    </row>
    <row r="1703" spans="1:11" s="1136" customFormat="1" ht="45">
      <c r="A1703" s="1131">
        <v>1696</v>
      </c>
      <c r="B1703" s="1132" t="s">
        <v>12526</v>
      </c>
      <c r="C1703" s="1133" t="s">
        <v>12527</v>
      </c>
      <c r="D1703" s="1134" t="s">
        <v>7300</v>
      </c>
      <c r="E1703" s="1135">
        <v>918</v>
      </c>
      <c r="F1703" s="1135">
        <v>78720.3</v>
      </c>
      <c r="G1703" s="1135">
        <v>0</v>
      </c>
      <c r="H1703" s="1135" t="e">
        <v>#REF!</v>
      </c>
      <c r="I1703" s="1135" t="e">
        <v>#REF!</v>
      </c>
      <c r="J1703" s="1135" t="e">
        <v>#REF!</v>
      </c>
      <c r="K1703" s="1135" t="e">
        <v>#REF!</v>
      </c>
    </row>
    <row r="1704" spans="1:11" s="1136" customFormat="1" ht="45">
      <c r="A1704" s="1131">
        <v>1697</v>
      </c>
      <c r="B1704" s="1132" t="s">
        <v>12528</v>
      </c>
      <c r="C1704" s="1133" t="s">
        <v>12529</v>
      </c>
      <c r="D1704" s="1134" t="s">
        <v>7300</v>
      </c>
      <c r="E1704" s="1135">
        <v>765</v>
      </c>
      <c r="F1704" s="1135">
        <v>37785.699999999997</v>
      </c>
      <c r="G1704" s="1135">
        <v>0</v>
      </c>
      <c r="H1704" s="1135" t="e">
        <v>#REF!</v>
      </c>
      <c r="I1704" s="1135" t="e">
        <v>#REF!</v>
      </c>
      <c r="J1704" s="1135" t="e">
        <v>#REF!</v>
      </c>
      <c r="K1704" s="1135" t="e">
        <v>#REF!</v>
      </c>
    </row>
    <row r="1705" spans="1:11" s="1136" customFormat="1" ht="45">
      <c r="A1705" s="1131">
        <v>1698</v>
      </c>
      <c r="B1705" s="1132" t="s">
        <v>12530</v>
      </c>
      <c r="C1705" s="1133" t="s">
        <v>12531</v>
      </c>
      <c r="D1705" s="1134" t="s">
        <v>7300</v>
      </c>
      <c r="E1705" s="1135">
        <v>918</v>
      </c>
      <c r="F1705" s="1135">
        <v>116506</v>
      </c>
      <c r="G1705" s="1135">
        <v>0</v>
      </c>
      <c r="H1705" s="1135" t="e">
        <v>#REF!</v>
      </c>
      <c r="I1705" s="1135" t="e">
        <v>#REF!</v>
      </c>
      <c r="J1705" s="1135" t="e">
        <v>#REF!</v>
      </c>
      <c r="K1705" s="1135" t="e">
        <v>#REF!</v>
      </c>
    </row>
    <row r="1706" spans="1:11" s="1136" customFormat="1" ht="45">
      <c r="A1706" s="1131">
        <v>1699</v>
      </c>
      <c r="B1706" s="1132" t="s">
        <v>12532</v>
      </c>
      <c r="C1706" s="1133" t="s">
        <v>12533</v>
      </c>
      <c r="D1706" s="1134" t="s">
        <v>7300</v>
      </c>
      <c r="E1706" s="1135">
        <v>918</v>
      </c>
      <c r="F1706" s="1135">
        <v>78720.3</v>
      </c>
      <c r="G1706" s="1135">
        <v>0</v>
      </c>
      <c r="H1706" s="1135" t="e">
        <v>#REF!</v>
      </c>
      <c r="I1706" s="1135" t="e">
        <v>#REF!</v>
      </c>
      <c r="J1706" s="1135" t="e">
        <v>#REF!</v>
      </c>
      <c r="K1706" s="1135" t="e">
        <v>#REF!</v>
      </c>
    </row>
    <row r="1707" spans="1:11" s="1136" customFormat="1" ht="45">
      <c r="A1707" s="1131">
        <v>1700</v>
      </c>
      <c r="B1707" s="1132" t="s">
        <v>12534</v>
      </c>
      <c r="C1707" s="1133" t="s">
        <v>12535</v>
      </c>
      <c r="D1707" s="1134" t="s">
        <v>6905</v>
      </c>
      <c r="E1707" s="1135">
        <v>150</v>
      </c>
      <c r="F1707" s="1135">
        <v>195226.2</v>
      </c>
      <c r="G1707" s="1135">
        <v>0</v>
      </c>
      <c r="H1707" s="1135" t="e">
        <v>#REF!</v>
      </c>
      <c r="I1707" s="1135" t="e">
        <v>#REF!</v>
      </c>
      <c r="J1707" s="1135" t="e">
        <v>#REF!</v>
      </c>
      <c r="K1707" s="1135" t="e">
        <v>#REF!</v>
      </c>
    </row>
    <row r="1708" spans="1:11" s="1136" customFormat="1" ht="60">
      <c r="A1708" s="1131">
        <v>1701</v>
      </c>
      <c r="B1708" s="1132" t="s">
        <v>12536</v>
      </c>
      <c r="C1708" s="1133" t="s">
        <v>12537</v>
      </c>
      <c r="D1708" s="1134" t="s">
        <v>6905</v>
      </c>
      <c r="E1708" s="1135">
        <v>3150</v>
      </c>
      <c r="F1708" s="1135">
        <v>1161910.8999999999</v>
      </c>
      <c r="G1708" s="1135">
        <v>0</v>
      </c>
      <c r="H1708" s="1135" t="e">
        <v>#REF!</v>
      </c>
      <c r="I1708" s="1135" t="e">
        <v>#REF!</v>
      </c>
      <c r="J1708" s="1135" t="e">
        <v>#REF!</v>
      </c>
      <c r="K1708" s="1135" t="e">
        <v>#REF!</v>
      </c>
    </row>
    <row r="1709" spans="1:11" s="1136" customFormat="1" ht="60">
      <c r="A1709" s="1131">
        <v>1702</v>
      </c>
      <c r="B1709" s="1132" t="s">
        <v>12538</v>
      </c>
      <c r="C1709" s="1133" t="s">
        <v>12539</v>
      </c>
      <c r="D1709" s="1134" t="s">
        <v>6905</v>
      </c>
      <c r="E1709" s="1135">
        <v>150</v>
      </c>
      <c r="F1709" s="1135">
        <v>85017.9</v>
      </c>
      <c r="G1709" s="1135">
        <v>0</v>
      </c>
      <c r="H1709" s="1135" t="e">
        <v>#REF!</v>
      </c>
      <c r="I1709" s="1135" t="e">
        <v>#REF!</v>
      </c>
      <c r="J1709" s="1135" t="e">
        <v>#REF!</v>
      </c>
      <c r="K1709" s="1135" t="e">
        <v>#REF!</v>
      </c>
    </row>
    <row r="1710" spans="1:11" s="1136" customFormat="1" ht="45">
      <c r="A1710" s="1131">
        <v>1703</v>
      </c>
      <c r="B1710" s="1132" t="s">
        <v>12540</v>
      </c>
      <c r="C1710" s="1133" t="s">
        <v>12541</v>
      </c>
      <c r="D1710" s="1134" t="s">
        <v>6905</v>
      </c>
      <c r="E1710" s="1135">
        <v>150</v>
      </c>
      <c r="F1710" s="1135">
        <v>85017.9</v>
      </c>
      <c r="G1710" s="1135">
        <v>0</v>
      </c>
      <c r="H1710" s="1135" t="e">
        <v>#REF!</v>
      </c>
      <c r="I1710" s="1135" t="e">
        <v>#REF!</v>
      </c>
      <c r="J1710" s="1135" t="e">
        <v>#REF!</v>
      </c>
      <c r="K1710" s="1135" t="e">
        <v>#REF!</v>
      </c>
    </row>
    <row r="1711" spans="1:11" s="1136" customFormat="1" ht="45">
      <c r="A1711" s="1131">
        <v>1704</v>
      </c>
      <c r="B1711" s="1132" t="s">
        <v>12542</v>
      </c>
      <c r="C1711" s="1133" t="s">
        <v>12543</v>
      </c>
      <c r="D1711" s="1134" t="s">
        <v>6905</v>
      </c>
      <c r="E1711" s="1135">
        <v>150</v>
      </c>
      <c r="F1711" s="1135">
        <v>85017.9</v>
      </c>
      <c r="G1711" s="1135">
        <v>0</v>
      </c>
      <c r="H1711" s="1135" t="e">
        <v>#REF!</v>
      </c>
      <c r="I1711" s="1135" t="e">
        <v>#REF!</v>
      </c>
      <c r="J1711" s="1135" t="e">
        <v>#REF!</v>
      </c>
      <c r="K1711" s="1135" t="e">
        <v>#REF!</v>
      </c>
    </row>
    <row r="1712" spans="1:11" s="1136" customFormat="1" ht="30">
      <c r="A1712" s="1131">
        <v>1705</v>
      </c>
      <c r="B1712" s="1132" t="s">
        <v>12544</v>
      </c>
      <c r="C1712" s="1133" t="s">
        <v>12545</v>
      </c>
      <c r="D1712" s="1134" t="s">
        <v>7300</v>
      </c>
      <c r="E1712" s="1135">
        <v>800</v>
      </c>
      <c r="F1712" s="1135">
        <v>179455.9</v>
      </c>
      <c r="G1712" s="1135">
        <v>0</v>
      </c>
      <c r="H1712" s="1135" t="e">
        <v>#REF!</v>
      </c>
      <c r="I1712" s="1135" t="e">
        <v>#REF!</v>
      </c>
      <c r="J1712" s="1135" t="e">
        <v>#REF!</v>
      </c>
      <c r="K1712" s="1135" t="e">
        <v>#REF!</v>
      </c>
    </row>
    <row r="1713" spans="1:11" s="1136" customFormat="1" ht="30">
      <c r="A1713" s="1131">
        <v>1706</v>
      </c>
      <c r="B1713" s="1132" t="s">
        <v>12546</v>
      </c>
      <c r="C1713" s="1133" t="s">
        <v>12547</v>
      </c>
      <c r="D1713" s="1134" t="s">
        <v>7300</v>
      </c>
      <c r="E1713" s="1135">
        <v>800</v>
      </c>
      <c r="F1713" s="1135">
        <v>248922.7</v>
      </c>
      <c r="G1713" s="1135">
        <v>0</v>
      </c>
      <c r="H1713" s="1135" t="e">
        <v>#REF!</v>
      </c>
      <c r="I1713" s="1135" t="e">
        <v>#REF!</v>
      </c>
      <c r="J1713" s="1135" t="e">
        <v>#REF!</v>
      </c>
      <c r="K1713" s="1135" t="e">
        <v>#REF!</v>
      </c>
    </row>
    <row r="1714" spans="1:11" s="1136" customFormat="1" ht="30">
      <c r="A1714" s="1131">
        <v>1707</v>
      </c>
      <c r="B1714" s="1132" t="s">
        <v>12548</v>
      </c>
      <c r="C1714" s="1133" t="s">
        <v>12549</v>
      </c>
      <c r="D1714" s="1134" t="s">
        <v>7300</v>
      </c>
      <c r="E1714" s="1135">
        <v>1600</v>
      </c>
      <c r="F1714" s="1135">
        <v>356017.4</v>
      </c>
      <c r="G1714" s="1135">
        <v>0</v>
      </c>
      <c r="H1714" s="1135" t="e">
        <v>#REF!</v>
      </c>
      <c r="I1714" s="1135" t="e">
        <v>#REF!</v>
      </c>
      <c r="J1714" s="1135" t="e">
        <v>#REF!</v>
      </c>
      <c r="K1714" s="1135" t="e">
        <v>#REF!</v>
      </c>
    </row>
    <row r="1715" spans="1:11" s="1136" customFormat="1" ht="30">
      <c r="A1715" s="1131">
        <v>1708</v>
      </c>
      <c r="B1715" s="1132" t="s">
        <v>12550</v>
      </c>
      <c r="C1715" s="1133" t="s">
        <v>12551</v>
      </c>
      <c r="D1715" s="1134" t="s">
        <v>7300</v>
      </c>
      <c r="E1715" s="1135">
        <v>1600</v>
      </c>
      <c r="F1715" s="1135">
        <v>428378.6</v>
      </c>
      <c r="G1715" s="1135">
        <v>0</v>
      </c>
      <c r="H1715" s="1135" t="e">
        <v>#REF!</v>
      </c>
      <c r="I1715" s="1135" t="e">
        <v>#REF!</v>
      </c>
      <c r="J1715" s="1135" t="e">
        <v>#REF!</v>
      </c>
      <c r="K1715" s="1135" t="e">
        <v>#REF!</v>
      </c>
    </row>
    <row r="1716" spans="1:11" s="1136" customFormat="1" ht="30">
      <c r="A1716" s="1131">
        <v>1709</v>
      </c>
      <c r="B1716" s="1132" t="s">
        <v>12552</v>
      </c>
      <c r="C1716" s="1133" t="s">
        <v>12553</v>
      </c>
      <c r="D1716" s="1134" t="s">
        <v>7300</v>
      </c>
      <c r="E1716" s="1135">
        <v>1600</v>
      </c>
      <c r="F1716" s="1135">
        <v>497845.4</v>
      </c>
      <c r="G1716" s="1135">
        <v>0</v>
      </c>
      <c r="H1716" s="1135" t="e">
        <v>#REF!</v>
      </c>
      <c r="I1716" s="1135" t="e">
        <v>#REF!</v>
      </c>
      <c r="J1716" s="1135" t="e">
        <v>#REF!</v>
      </c>
      <c r="K1716" s="1135" t="e">
        <v>#REF!</v>
      </c>
    </row>
    <row r="1717" spans="1:11" s="1136" customFormat="1">
      <c r="A1717" s="1131">
        <v>1710</v>
      </c>
      <c r="B1717" s="1132" t="s">
        <v>12554</v>
      </c>
      <c r="C1717" s="1133" t="s">
        <v>12555</v>
      </c>
      <c r="D1717" s="1134" t="s">
        <v>12556</v>
      </c>
      <c r="E1717" s="1135">
        <v>42748.9</v>
      </c>
      <c r="F1717" s="1135">
        <v>856757.2</v>
      </c>
      <c r="G1717" s="1135">
        <v>0</v>
      </c>
      <c r="H1717" s="1135" t="e">
        <v>#REF!</v>
      </c>
      <c r="I1717" s="1135" t="e">
        <v>#REF!</v>
      </c>
      <c r="J1717" s="1135" t="e">
        <v>#REF!</v>
      </c>
      <c r="K1717" s="1135" t="e">
        <v>#REF!</v>
      </c>
    </row>
    <row r="1718" spans="1:11" s="1136" customFormat="1">
      <c r="A1718" s="1131">
        <v>1711</v>
      </c>
      <c r="B1718" s="1132" t="s">
        <v>12557</v>
      </c>
      <c r="C1718" s="1133" t="s">
        <v>12558</v>
      </c>
      <c r="D1718" s="1134" t="s">
        <v>12556</v>
      </c>
      <c r="E1718" s="1135">
        <v>42748.9</v>
      </c>
      <c r="F1718" s="1135">
        <v>642567.9</v>
      </c>
      <c r="G1718" s="1135">
        <v>0</v>
      </c>
      <c r="H1718" s="1135" t="e">
        <v>#REF!</v>
      </c>
      <c r="I1718" s="1135" t="e">
        <v>#REF!</v>
      </c>
      <c r="J1718" s="1135" t="e">
        <v>#REF!</v>
      </c>
      <c r="K1718" s="1135" t="e">
        <v>#REF!</v>
      </c>
    </row>
    <row r="1719" spans="1:11" s="1136" customFormat="1">
      <c r="A1719" s="1131">
        <v>1712</v>
      </c>
      <c r="B1719" s="1132" t="s">
        <v>12559</v>
      </c>
      <c r="C1719" s="1133" t="s">
        <v>12560</v>
      </c>
      <c r="D1719" s="1134" t="s">
        <v>12556</v>
      </c>
      <c r="E1719" s="1135">
        <v>4300</v>
      </c>
      <c r="F1719" s="1135">
        <v>1282241.3999999999</v>
      </c>
      <c r="G1719" s="1135">
        <v>0</v>
      </c>
      <c r="H1719" s="1135" t="e">
        <v>#REF!</v>
      </c>
      <c r="I1719" s="1135" t="e">
        <v>#REF!</v>
      </c>
      <c r="J1719" s="1135" t="e">
        <v>#REF!</v>
      </c>
      <c r="K1719" s="1135" t="e">
        <v>#REF!</v>
      </c>
    </row>
    <row r="1720" spans="1:11" s="1136" customFormat="1">
      <c r="A1720" s="1131">
        <v>1713</v>
      </c>
      <c r="B1720" s="1132" t="s">
        <v>12561</v>
      </c>
      <c r="C1720" s="1133" t="s">
        <v>12562</v>
      </c>
      <c r="D1720" s="1134" t="s">
        <v>12556</v>
      </c>
      <c r="E1720" s="1135">
        <v>4300</v>
      </c>
      <c r="F1720" s="1135">
        <v>642567.9</v>
      </c>
      <c r="G1720" s="1135">
        <v>0</v>
      </c>
      <c r="H1720" s="1135" t="e">
        <v>#REF!</v>
      </c>
      <c r="I1720" s="1135" t="e">
        <v>#REF!</v>
      </c>
      <c r="J1720" s="1135" t="e">
        <v>#REF!</v>
      </c>
      <c r="K1720" s="1135" t="e">
        <v>#REF!</v>
      </c>
    </row>
    <row r="1721" spans="1:11" s="1136" customFormat="1">
      <c r="A1721" s="1131">
        <v>1714</v>
      </c>
      <c r="B1721" s="1132" t="s">
        <v>12563</v>
      </c>
      <c r="C1721" s="1133" t="s">
        <v>12564</v>
      </c>
      <c r="D1721" s="1134" t="s">
        <v>12556</v>
      </c>
      <c r="E1721" s="1135">
        <v>4300</v>
      </c>
      <c r="F1721" s="1135">
        <v>856757.2</v>
      </c>
      <c r="G1721" s="1135">
        <v>0</v>
      </c>
      <c r="H1721" s="1135" t="e">
        <v>#REF!</v>
      </c>
      <c r="I1721" s="1135" t="e">
        <v>#REF!</v>
      </c>
      <c r="J1721" s="1135" t="e">
        <v>#REF!</v>
      </c>
      <c r="K1721" s="1135" t="e">
        <v>#REF!</v>
      </c>
    </row>
    <row r="1722" spans="1:11" s="1136" customFormat="1">
      <c r="A1722" s="1131">
        <v>1715</v>
      </c>
      <c r="B1722" s="1132" t="s">
        <v>12565</v>
      </c>
      <c r="C1722" s="1133" t="s">
        <v>12566</v>
      </c>
      <c r="D1722" s="1134" t="s">
        <v>12567</v>
      </c>
      <c r="E1722" s="1135">
        <v>49700</v>
      </c>
      <c r="F1722" s="1135">
        <v>321284</v>
      </c>
      <c r="G1722" s="1135">
        <v>0</v>
      </c>
      <c r="H1722" s="1135" t="e">
        <v>#REF!</v>
      </c>
      <c r="I1722" s="1135" t="e">
        <v>#REF!</v>
      </c>
      <c r="J1722" s="1135" t="e">
        <v>#REF!</v>
      </c>
      <c r="K1722" s="1135" t="e">
        <v>#REF!</v>
      </c>
    </row>
    <row r="1723" spans="1:11" s="1136" customFormat="1">
      <c r="A1723" s="1131">
        <v>1716</v>
      </c>
      <c r="B1723" s="1132" t="s">
        <v>12568</v>
      </c>
      <c r="C1723" s="1133" t="s">
        <v>12569</v>
      </c>
      <c r="D1723" s="1134" t="s">
        <v>12567</v>
      </c>
      <c r="E1723" s="1135">
        <v>49700</v>
      </c>
      <c r="F1723" s="1135">
        <v>463112</v>
      </c>
      <c r="G1723" s="1135">
        <v>0</v>
      </c>
      <c r="H1723" s="1135" t="e">
        <v>#REF!</v>
      </c>
      <c r="I1723" s="1135" t="e">
        <v>#REF!</v>
      </c>
      <c r="J1723" s="1135" t="e">
        <v>#REF!</v>
      </c>
      <c r="K1723" s="1135" t="e">
        <v>#REF!</v>
      </c>
    </row>
    <row r="1724" spans="1:11" s="1136" customFormat="1">
      <c r="A1724" s="1131">
        <v>1717</v>
      </c>
      <c r="B1724" s="1132" t="s">
        <v>12570</v>
      </c>
      <c r="C1724" s="1133" t="s">
        <v>12571</v>
      </c>
      <c r="D1724" s="1134" t="s">
        <v>12567</v>
      </c>
      <c r="E1724" s="1135">
        <v>49700</v>
      </c>
      <c r="F1724" s="1135">
        <v>677301.3</v>
      </c>
      <c r="G1724" s="1135">
        <v>0</v>
      </c>
      <c r="H1724" s="1135" t="e">
        <v>#REF!</v>
      </c>
      <c r="I1724" s="1135" t="e">
        <v>#REF!</v>
      </c>
      <c r="J1724" s="1135" t="e">
        <v>#REF!</v>
      </c>
      <c r="K1724" s="1135" t="e">
        <v>#REF!</v>
      </c>
    </row>
    <row r="1725" spans="1:11" s="1136" customFormat="1">
      <c r="A1725" s="1131">
        <v>1718</v>
      </c>
      <c r="B1725" s="1132" t="s">
        <v>12572</v>
      </c>
      <c r="C1725" s="1133" t="s">
        <v>12573</v>
      </c>
      <c r="D1725" s="1134" t="s">
        <v>12567</v>
      </c>
      <c r="E1725" s="1135">
        <v>49700</v>
      </c>
      <c r="F1725" s="1135">
        <v>891490.6</v>
      </c>
      <c r="G1725" s="1135">
        <v>0</v>
      </c>
      <c r="H1725" s="1135" t="e">
        <v>#REF!</v>
      </c>
      <c r="I1725" s="1135" t="e">
        <v>#REF!</v>
      </c>
      <c r="J1725" s="1135" t="e">
        <v>#REF!</v>
      </c>
      <c r="K1725" s="1135" t="e">
        <v>#REF!</v>
      </c>
    </row>
    <row r="1726" spans="1:11" s="1136" customFormat="1">
      <c r="A1726" s="1131">
        <v>1719</v>
      </c>
      <c r="B1726" s="1132" t="s">
        <v>12574</v>
      </c>
      <c r="C1726" s="1133" t="s">
        <v>12575</v>
      </c>
      <c r="D1726" s="1134" t="s">
        <v>12567</v>
      </c>
      <c r="E1726" s="1135">
        <v>51200</v>
      </c>
      <c r="F1726" s="1135">
        <v>1247508</v>
      </c>
      <c r="G1726" s="1135">
        <v>0</v>
      </c>
      <c r="H1726" s="1135" t="e">
        <v>#REF!</v>
      </c>
      <c r="I1726" s="1135" t="e">
        <v>#REF!</v>
      </c>
      <c r="J1726" s="1135" t="e">
        <v>#REF!</v>
      </c>
      <c r="K1726" s="1135" t="e">
        <v>#REF!</v>
      </c>
    </row>
    <row r="1727" spans="1:11" s="1136" customFormat="1">
      <c r="A1727" s="1131">
        <v>1720</v>
      </c>
      <c r="B1727" s="1132" t="s">
        <v>12576</v>
      </c>
      <c r="C1727" s="1133" t="s">
        <v>12577</v>
      </c>
      <c r="D1727" s="1134" t="s">
        <v>12567</v>
      </c>
      <c r="E1727" s="1135">
        <v>58700</v>
      </c>
      <c r="F1727" s="1135">
        <v>1426963.9</v>
      </c>
      <c r="G1727" s="1135">
        <v>0</v>
      </c>
      <c r="H1727" s="1135" t="e">
        <v>#REF!</v>
      </c>
      <c r="I1727" s="1135" t="e">
        <v>#REF!</v>
      </c>
      <c r="J1727" s="1135" t="e">
        <v>#REF!</v>
      </c>
      <c r="K1727" s="1135" t="e">
        <v>#REF!</v>
      </c>
    </row>
    <row r="1728" spans="1:11" s="1136" customFormat="1">
      <c r="A1728" s="1131">
        <v>1721</v>
      </c>
      <c r="B1728" s="1132" t="s">
        <v>12578</v>
      </c>
      <c r="C1728" s="1133" t="s">
        <v>12579</v>
      </c>
      <c r="D1728" s="1134" t="s">
        <v>12567</v>
      </c>
      <c r="E1728" s="1135">
        <v>82000</v>
      </c>
      <c r="F1728" s="1135">
        <v>1782981.2</v>
      </c>
      <c r="G1728" s="1135">
        <v>0</v>
      </c>
      <c r="H1728" s="1135" t="e">
        <v>#REF!</v>
      </c>
      <c r="I1728" s="1135" t="e">
        <v>#REF!</v>
      </c>
      <c r="J1728" s="1135" t="e">
        <v>#REF!</v>
      </c>
      <c r="K1728" s="1135" t="e">
        <v>#REF!</v>
      </c>
    </row>
    <row r="1729" spans="1:11" s="1136" customFormat="1">
      <c r="A1729" s="1131">
        <v>1722</v>
      </c>
      <c r="B1729" s="1132" t="s">
        <v>12580</v>
      </c>
      <c r="C1729" s="1133" t="s">
        <v>12581</v>
      </c>
      <c r="D1729" s="1134" t="s">
        <v>6905</v>
      </c>
      <c r="E1729" s="1135">
        <v>1200</v>
      </c>
      <c r="F1729" s="1135">
        <v>72361.3</v>
      </c>
      <c r="G1729" s="1135">
        <v>0</v>
      </c>
      <c r="H1729" s="1135" t="e">
        <v>#REF!</v>
      </c>
      <c r="I1729" s="1135" t="e">
        <v>#REF!</v>
      </c>
      <c r="J1729" s="1135" t="e">
        <v>#REF!</v>
      </c>
      <c r="K1729" s="1135" t="e">
        <v>#REF!</v>
      </c>
    </row>
    <row r="1730" spans="1:11" s="1136" customFormat="1">
      <c r="A1730" s="1131">
        <v>1723</v>
      </c>
      <c r="B1730" s="1132" t="s">
        <v>12582</v>
      </c>
      <c r="C1730" s="1133" t="s">
        <v>12583</v>
      </c>
      <c r="D1730" s="1134" t="s">
        <v>6905</v>
      </c>
      <c r="E1730" s="1135">
        <v>1800</v>
      </c>
      <c r="F1730" s="1135">
        <v>95516.9</v>
      </c>
      <c r="G1730" s="1135">
        <v>0</v>
      </c>
      <c r="H1730" s="1135" t="e">
        <v>#REF!</v>
      </c>
      <c r="I1730" s="1135" t="e">
        <v>#REF!</v>
      </c>
      <c r="J1730" s="1135" t="e">
        <v>#REF!</v>
      </c>
      <c r="K1730" s="1135" t="e">
        <v>#REF!</v>
      </c>
    </row>
    <row r="1731" spans="1:11" s="1136" customFormat="1" ht="30">
      <c r="A1731" s="1131">
        <v>1724</v>
      </c>
      <c r="B1731" s="1132" t="s">
        <v>12584</v>
      </c>
      <c r="C1731" s="1133" t="s">
        <v>12585</v>
      </c>
      <c r="D1731" s="1134" t="s">
        <v>12586</v>
      </c>
      <c r="E1731" s="1135">
        <v>28550</v>
      </c>
      <c r="F1731" s="1135">
        <v>445745.3</v>
      </c>
      <c r="G1731" s="1135">
        <v>2387.6</v>
      </c>
      <c r="H1731" s="1135" t="e">
        <v>#REF!</v>
      </c>
      <c r="I1731" s="1135" t="e">
        <v>#REF!</v>
      </c>
      <c r="J1731" s="1135" t="e">
        <v>#REF!</v>
      </c>
      <c r="K1731" s="1135" t="e">
        <v>#REF!</v>
      </c>
    </row>
    <row r="1732" spans="1:11" s="1136" customFormat="1" ht="30">
      <c r="A1732" s="1131">
        <v>1725</v>
      </c>
      <c r="B1732" s="1132" t="s">
        <v>12587</v>
      </c>
      <c r="C1732" s="1133" t="s">
        <v>12588</v>
      </c>
      <c r="D1732" s="1134" t="s">
        <v>12586</v>
      </c>
      <c r="E1732" s="1135">
        <v>28550</v>
      </c>
      <c r="F1732" s="1135">
        <v>471795.4</v>
      </c>
      <c r="G1732" s="1135">
        <v>4775.2</v>
      </c>
      <c r="H1732" s="1135" t="e">
        <v>#REF!</v>
      </c>
      <c r="I1732" s="1135" t="e">
        <v>#REF!</v>
      </c>
      <c r="J1732" s="1135" t="e">
        <v>#REF!</v>
      </c>
      <c r="K1732" s="1135" t="e">
        <v>#REF!</v>
      </c>
    </row>
    <row r="1733" spans="1:11" s="1136" customFormat="1" ht="30">
      <c r="A1733" s="1131">
        <v>1726</v>
      </c>
      <c r="B1733" s="1132" t="s">
        <v>12589</v>
      </c>
      <c r="C1733" s="1133" t="s">
        <v>12590</v>
      </c>
      <c r="D1733" s="1134" t="s">
        <v>12591</v>
      </c>
      <c r="E1733" s="1135">
        <v>34898.199999999997</v>
      </c>
      <c r="F1733" s="1135">
        <v>891490.6</v>
      </c>
      <c r="G1733" s="1135">
        <v>0</v>
      </c>
      <c r="H1733" s="1135" t="e">
        <v>#REF!</v>
      </c>
      <c r="I1733" s="1135" t="e">
        <v>#REF!</v>
      </c>
      <c r="J1733" s="1135" t="e">
        <v>#REF!</v>
      </c>
      <c r="K1733" s="1135" t="e">
        <v>#REF!</v>
      </c>
    </row>
    <row r="1734" spans="1:11" s="1136" customFormat="1" ht="30">
      <c r="A1734" s="1131">
        <v>1727</v>
      </c>
      <c r="B1734" s="1132" t="s">
        <v>12592</v>
      </c>
      <c r="C1734" s="1133" t="s">
        <v>12593</v>
      </c>
      <c r="D1734" s="1134" t="s">
        <v>6888</v>
      </c>
      <c r="E1734" s="1135">
        <v>80816.3</v>
      </c>
      <c r="F1734" s="1135">
        <v>1632469.8</v>
      </c>
      <c r="G1734" s="1135">
        <v>0</v>
      </c>
      <c r="H1734" s="1135" t="e">
        <v>#REF!</v>
      </c>
      <c r="I1734" s="1135" t="e">
        <v>#REF!</v>
      </c>
      <c r="J1734" s="1135" t="e">
        <v>#REF!</v>
      </c>
      <c r="K1734" s="1135" t="e">
        <v>#REF!</v>
      </c>
    </row>
    <row r="1735" spans="1:11" s="1136" customFormat="1" ht="30">
      <c r="A1735" s="1131">
        <v>1728</v>
      </c>
      <c r="B1735" s="1132" t="s">
        <v>12594</v>
      </c>
      <c r="C1735" s="1133" t="s">
        <v>12595</v>
      </c>
      <c r="D1735" s="1134" t="s">
        <v>211</v>
      </c>
      <c r="E1735" s="1135">
        <v>195440</v>
      </c>
      <c r="F1735" s="1135">
        <v>8555994.1999999993</v>
      </c>
      <c r="G1735" s="1135">
        <v>0</v>
      </c>
      <c r="H1735" s="1135" t="e">
        <v>#REF!</v>
      </c>
      <c r="I1735" s="1135" t="e">
        <v>#REF!</v>
      </c>
      <c r="J1735" s="1135" t="e">
        <v>#REF!</v>
      </c>
      <c r="K1735" s="1135" t="e">
        <v>#REF!</v>
      </c>
    </row>
    <row r="1736" spans="1:11" s="1136" customFormat="1" ht="30">
      <c r="A1736" s="1131">
        <v>1729</v>
      </c>
      <c r="B1736" s="1132" t="s">
        <v>12596</v>
      </c>
      <c r="C1736" s="1133" t="s">
        <v>12597</v>
      </c>
      <c r="D1736" s="1134" t="s">
        <v>159</v>
      </c>
      <c r="E1736" s="1135">
        <v>18150</v>
      </c>
      <c r="F1736" s="1135">
        <v>2619477.2999999998</v>
      </c>
      <c r="G1736" s="1135">
        <v>331182.40000000002</v>
      </c>
      <c r="H1736" s="1135" t="e">
        <v>#REF!</v>
      </c>
      <c r="I1736" s="1135" t="e">
        <v>#REF!</v>
      </c>
      <c r="J1736" s="1135" t="e">
        <v>#REF!</v>
      </c>
      <c r="K1736" s="1135" t="e">
        <v>#REF!</v>
      </c>
    </row>
    <row r="1737" spans="1:11" s="1136" customFormat="1" ht="30">
      <c r="A1737" s="1131">
        <v>1730</v>
      </c>
      <c r="B1737" s="1132" t="s">
        <v>12598</v>
      </c>
      <c r="C1737" s="1133" t="s">
        <v>12599</v>
      </c>
      <c r="D1737" s="1134" t="s">
        <v>159</v>
      </c>
      <c r="E1737" s="1135">
        <v>18150</v>
      </c>
      <c r="F1737" s="1135">
        <v>2095581.8</v>
      </c>
      <c r="G1737" s="1135">
        <v>331182.40000000002</v>
      </c>
      <c r="H1737" s="1135" t="e">
        <v>#REF!</v>
      </c>
      <c r="I1737" s="1135" t="e">
        <v>#REF!</v>
      </c>
      <c r="J1737" s="1135" t="e">
        <v>#REF!</v>
      </c>
      <c r="K1737" s="1135" t="e">
        <v>#REF!</v>
      </c>
    </row>
    <row r="1738" spans="1:11" s="1136" customFormat="1" ht="30">
      <c r="A1738" s="1131">
        <v>1731</v>
      </c>
      <c r="B1738" s="1132" t="s">
        <v>12600</v>
      </c>
      <c r="C1738" s="1133" t="s">
        <v>12601</v>
      </c>
      <c r="D1738" s="1134" t="s">
        <v>6378</v>
      </c>
      <c r="E1738" s="1135">
        <v>29872.799999999999</v>
      </c>
      <c r="F1738" s="1135" t="e">
        <v>#N/A</v>
      </c>
      <c r="G1738" s="1135">
        <v>0</v>
      </c>
      <c r="H1738" s="1135" t="e">
        <v>#REF!</v>
      </c>
      <c r="I1738" s="1135" t="e">
        <v>#REF!</v>
      </c>
      <c r="J1738" s="1135" t="e">
        <v>#REF!</v>
      </c>
      <c r="K1738" s="1135" t="e">
        <v>#REF!</v>
      </c>
    </row>
    <row r="1739" spans="1:11" s="1136" customFormat="1" ht="30">
      <c r="A1739" s="1131">
        <v>1732</v>
      </c>
      <c r="B1739" s="1132" t="s">
        <v>12602</v>
      </c>
      <c r="C1739" s="1133" t="s">
        <v>12603</v>
      </c>
      <c r="D1739" s="1134" t="s">
        <v>6895</v>
      </c>
      <c r="E1739" s="1135">
        <v>29700</v>
      </c>
      <c r="F1739" s="1135">
        <v>2422654.7000000002</v>
      </c>
      <c r="G1739" s="1135">
        <v>200026.8</v>
      </c>
      <c r="H1739" s="1135" t="e">
        <v>#REF!</v>
      </c>
      <c r="I1739" s="1135" t="e">
        <v>#REF!</v>
      </c>
      <c r="J1739" s="1135" t="e">
        <v>#REF!</v>
      </c>
      <c r="K1739" s="1135" t="e">
        <v>#REF!</v>
      </c>
    </row>
    <row r="1740" spans="1:11" s="1136" customFormat="1" ht="30">
      <c r="A1740" s="1131">
        <v>1733</v>
      </c>
      <c r="B1740" s="1132" t="s">
        <v>12604</v>
      </c>
      <c r="C1740" s="1133" t="s">
        <v>12605</v>
      </c>
      <c r="D1740" s="1134" t="s">
        <v>6895</v>
      </c>
      <c r="E1740" s="1135">
        <v>21450</v>
      </c>
      <c r="F1740" s="1135">
        <v>2104265.2000000002</v>
      </c>
      <c r="G1740" s="1135">
        <v>250033.5</v>
      </c>
      <c r="H1740" s="1135" t="e">
        <v>#REF!</v>
      </c>
      <c r="I1740" s="1135" t="e">
        <v>#REF!</v>
      </c>
      <c r="J1740" s="1135" t="e">
        <v>#REF!</v>
      </c>
      <c r="K1740" s="1135" t="e">
        <v>#REF!</v>
      </c>
    </row>
    <row r="1741" spans="1:11" s="1136" customFormat="1" ht="30">
      <c r="A1741" s="1131">
        <v>1734</v>
      </c>
      <c r="B1741" s="1132" t="s">
        <v>12606</v>
      </c>
      <c r="C1741" s="1133" t="s">
        <v>12607</v>
      </c>
      <c r="D1741" s="1134" t="s">
        <v>6895</v>
      </c>
      <c r="E1741" s="1135">
        <v>21450</v>
      </c>
      <c r="F1741" s="1135">
        <v>1829292.4</v>
      </c>
      <c r="G1741" s="1135">
        <v>250033.5</v>
      </c>
      <c r="H1741" s="1135" t="e">
        <v>#REF!</v>
      </c>
      <c r="I1741" s="1135" t="e">
        <v>#REF!</v>
      </c>
      <c r="J1741" s="1135" t="e">
        <v>#REF!</v>
      </c>
      <c r="K1741" s="1135" t="e">
        <v>#REF!</v>
      </c>
    </row>
    <row r="1742" spans="1:11" s="1136" customFormat="1" ht="30">
      <c r="A1742" s="1131">
        <v>1735</v>
      </c>
      <c r="B1742" s="1132" t="s">
        <v>12608</v>
      </c>
      <c r="C1742" s="1133" t="s">
        <v>12609</v>
      </c>
      <c r="D1742" s="1134" t="s">
        <v>7300</v>
      </c>
      <c r="E1742" s="1135">
        <v>6120</v>
      </c>
      <c r="F1742" s="1135" t="e">
        <v>#N/A</v>
      </c>
      <c r="G1742" s="1135">
        <v>12.2</v>
      </c>
      <c r="H1742" s="1135" t="e">
        <v>#REF!</v>
      </c>
      <c r="I1742" s="1135" t="e">
        <v>#REF!</v>
      </c>
      <c r="J1742" s="1135" t="e">
        <v>#REF!</v>
      </c>
      <c r="K1742" s="1135" t="e">
        <v>#REF!</v>
      </c>
    </row>
    <row r="1743" spans="1:11" s="1136" customFormat="1" ht="45">
      <c r="A1743" s="1131">
        <v>1736</v>
      </c>
      <c r="B1743" s="1132" t="s">
        <v>12610</v>
      </c>
      <c r="C1743" s="1133" t="s">
        <v>12611</v>
      </c>
      <c r="D1743" s="1134" t="s">
        <v>7300</v>
      </c>
      <c r="E1743" s="1135">
        <v>3060</v>
      </c>
      <c r="F1743" s="1135" t="e">
        <v>#N/A</v>
      </c>
      <c r="G1743" s="1135">
        <v>12.2</v>
      </c>
      <c r="H1743" s="1135" t="e">
        <v>#REF!</v>
      </c>
      <c r="I1743" s="1135" t="e">
        <v>#REF!</v>
      </c>
      <c r="J1743" s="1135" t="e">
        <v>#REF!</v>
      </c>
      <c r="K1743" s="1135" t="e">
        <v>#REF!</v>
      </c>
    </row>
    <row r="1744" spans="1:11" s="1136" customFormat="1" ht="30">
      <c r="A1744" s="1131">
        <v>1737</v>
      </c>
      <c r="B1744" s="1132" t="s">
        <v>12612</v>
      </c>
      <c r="C1744" s="1133" t="s">
        <v>12613</v>
      </c>
      <c r="D1744" s="1134" t="s">
        <v>7300</v>
      </c>
      <c r="E1744" s="1135">
        <v>1530</v>
      </c>
      <c r="F1744" s="1135" t="e">
        <v>#N/A</v>
      </c>
      <c r="G1744" s="1135">
        <v>12.2</v>
      </c>
      <c r="H1744" s="1135" t="e">
        <v>#REF!</v>
      </c>
      <c r="I1744" s="1135" t="e">
        <v>#REF!</v>
      </c>
      <c r="J1744" s="1135" t="e">
        <v>#REF!</v>
      </c>
      <c r="K1744" s="1135" t="e">
        <v>#REF!</v>
      </c>
    </row>
    <row r="1745" spans="1:11" s="1136" customFormat="1" ht="30">
      <c r="A1745" s="1131">
        <v>1738</v>
      </c>
      <c r="B1745" s="1132" t="s">
        <v>12614</v>
      </c>
      <c r="C1745" s="1133" t="s">
        <v>12615</v>
      </c>
      <c r="D1745" s="1134" t="s">
        <v>7300</v>
      </c>
      <c r="E1745" s="1135">
        <v>3060</v>
      </c>
      <c r="F1745" s="1135" t="e">
        <v>#N/A</v>
      </c>
      <c r="G1745" s="1135">
        <v>12.2</v>
      </c>
      <c r="H1745" s="1135" t="e">
        <v>#REF!</v>
      </c>
      <c r="I1745" s="1135" t="e">
        <v>#REF!</v>
      </c>
      <c r="J1745" s="1135" t="e">
        <v>#REF!</v>
      </c>
      <c r="K1745" s="1135" t="e">
        <v>#REF!</v>
      </c>
    </row>
    <row r="1746" spans="1:11" s="1136" customFormat="1" ht="30">
      <c r="A1746" s="1131">
        <v>1739</v>
      </c>
      <c r="B1746" s="1132" t="s">
        <v>12616</v>
      </c>
      <c r="C1746" s="1133" t="s">
        <v>12617</v>
      </c>
      <c r="D1746" s="1134" t="s">
        <v>7300</v>
      </c>
      <c r="E1746" s="1135">
        <v>1530</v>
      </c>
      <c r="F1746" s="1135" t="e">
        <v>#N/A</v>
      </c>
      <c r="G1746" s="1135">
        <v>72.900000000000006</v>
      </c>
      <c r="H1746" s="1135" t="e">
        <v>#REF!</v>
      </c>
      <c r="I1746" s="1135" t="e">
        <v>#REF!</v>
      </c>
      <c r="J1746" s="1135" t="e">
        <v>#REF!</v>
      </c>
      <c r="K1746" s="1135" t="e">
        <v>#REF!</v>
      </c>
    </row>
    <row r="1747" spans="1:11" s="1136" customFormat="1" ht="30">
      <c r="A1747" s="1131">
        <v>1740</v>
      </c>
      <c r="B1747" s="1132" t="s">
        <v>12618</v>
      </c>
      <c r="C1747" s="1133" t="s">
        <v>12619</v>
      </c>
      <c r="D1747" s="1134" t="s">
        <v>7300</v>
      </c>
      <c r="E1747" s="1135">
        <v>1530</v>
      </c>
      <c r="F1747" s="1135" t="e">
        <v>#N/A</v>
      </c>
      <c r="G1747" s="1135">
        <v>60.8</v>
      </c>
      <c r="H1747" s="1135" t="e">
        <v>#REF!</v>
      </c>
      <c r="I1747" s="1135" t="e">
        <v>#REF!</v>
      </c>
      <c r="J1747" s="1135" t="e">
        <v>#REF!</v>
      </c>
      <c r="K1747" s="1135" t="e">
        <v>#REF!</v>
      </c>
    </row>
    <row r="1748" spans="1:11" s="1136" customFormat="1" ht="30">
      <c r="A1748" s="1131">
        <v>1741</v>
      </c>
      <c r="B1748" s="1132" t="s">
        <v>12620</v>
      </c>
      <c r="C1748" s="1133" t="s">
        <v>12621</v>
      </c>
      <c r="D1748" s="1134" t="s">
        <v>7300</v>
      </c>
      <c r="E1748" s="1135">
        <v>918</v>
      </c>
      <c r="F1748" s="1135" t="e">
        <v>#N/A</v>
      </c>
      <c r="G1748" s="1135">
        <v>0</v>
      </c>
      <c r="H1748" s="1135" t="e">
        <v>#REF!</v>
      </c>
      <c r="I1748" s="1135" t="e">
        <v>#REF!</v>
      </c>
      <c r="J1748" s="1135" t="e">
        <v>#REF!</v>
      </c>
      <c r="K1748" s="1135" t="e">
        <v>#REF!</v>
      </c>
    </row>
    <row r="1749" spans="1:11" s="1136" customFormat="1" ht="45">
      <c r="A1749" s="1131">
        <v>1742</v>
      </c>
      <c r="B1749" s="1132" t="s">
        <v>12622</v>
      </c>
      <c r="C1749" s="1133" t="s">
        <v>12623</v>
      </c>
      <c r="D1749" s="1134" t="s">
        <v>7300</v>
      </c>
      <c r="E1749" s="1135">
        <v>1428</v>
      </c>
      <c r="F1749" s="1135">
        <v>428378.6</v>
      </c>
      <c r="G1749" s="1135">
        <v>0</v>
      </c>
      <c r="H1749" s="1135" t="e">
        <v>#REF!</v>
      </c>
      <c r="I1749" s="1135" t="e">
        <v>#REF!</v>
      </c>
      <c r="J1749" s="1135" t="e">
        <v>#REF!</v>
      </c>
      <c r="K1749" s="1135" t="e">
        <v>#REF!</v>
      </c>
    </row>
    <row r="1750" spans="1:11" s="1136" customFormat="1" ht="30">
      <c r="A1750" s="1131">
        <v>1743</v>
      </c>
      <c r="B1750" s="1132" t="s">
        <v>12624</v>
      </c>
      <c r="C1750" s="1133" t="s">
        <v>12625</v>
      </c>
      <c r="D1750" s="1134" t="s">
        <v>7300</v>
      </c>
      <c r="E1750" s="1135">
        <v>918</v>
      </c>
      <c r="F1750" s="1135">
        <v>72361.3</v>
      </c>
      <c r="G1750" s="1135">
        <v>0</v>
      </c>
      <c r="H1750" s="1135" t="e">
        <v>#REF!</v>
      </c>
      <c r="I1750" s="1135" t="e">
        <v>#REF!</v>
      </c>
      <c r="J1750" s="1135" t="e">
        <v>#REF!</v>
      </c>
      <c r="K1750" s="1135" t="e">
        <v>#REF!</v>
      </c>
    </row>
    <row r="1751" spans="1:11" s="1136" customFormat="1" ht="30">
      <c r="A1751" s="1131">
        <v>1744</v>
      </c>
      <c r="B1751" s="1132" t="s">
        <v>12626</v>
      </c>
      <c r="C1751" s="1133" t="s">
        <v>12627</v>
      </c>
      <c r="D1751" s="1134" t="s">
        <v>7300</v>
      </c>
      <c r="E1751" s="1135">
        <v>6120</v>
      </c>
      <c r="F1751" s="1135" t="e">
        <v>#N/A</v>
      </c>
      <c r="G1751" s="1135">
        <v>0</v>
      </c>
      <c r="H1751" s="1135" t="e">
        <v>#REF!</v>
      </c>
      <c r="I1751" s="1135" t="e">
        <v>#REF!</v>
      </c>
      <c r="J1751" s="1135" t="e">
        <v>#REF!</v>
      </c>
      <c r="K1751" s="1135" t="e">
        <v>#REF!</v>
      </c>
    </row>
    <row r="1752" spans="1:11" s="1136" customFormat="1" ht="30">
      <c r="A1752" s="1131">
        <v>1745</v>
      </c>
      <c r="B1752" s="1132" t="s">
        <v>12628</v>
      </c>
      <c r="C1752" s="1133" t="s">
        <v>12629</v>
      </c>
      <c r="D1752" s="1134" t="s">
        <v>7300</v>
      </c>
      <c r="E1752" s="1135">
        <v>1530</v>
      </c>
      <c r="F1752" s="1135" t="e">
        <v>#N/A</v>
      </c>
      <c r="G1752" s="1135">
        <v>0</v>
      </c>
      <c r="H1752" s="1135" t="e">
        <v>#REF!</v>
      </c>
      <c r="I1752" s="1135" t="e">
        <v>#REF!</v>
      </c>
      <c r="J1752" s="1135" t="e">
        <v>#REF!</v>
      </c>
      <c r="K1752" s="1135" t="e">
        <v>#REF!</v>
      </c>
    </row>
    <row r="1753" spans="1:11" s="1136" customFormat="1" ht="30">
      <c r="A1753" s="1131">
        <v>1746</v>
      </c>
      <c r="B1753" s="1132" t="s">
        <v>12630</v>
      </c>
      <c r="C1753" s="1133" t="s">
        <v>12631</v>
      </c>
      <c r="D1753" s="1134" t="s">
        <v>7300</v>
      </c>
      <c r="E1753" s="1135">
        <v>918</v>
      </c>
      <c r="F1753" s="1135" t="e">
        <v>#N/A</v>
      </c>
      <c r="G1753" s="1135">
        <v>0</v>
      </c>
      <c r="H1753" s="1135" t="e">
        <v>#REF!</v>
      </c>
      <c r="I1753" s="1135" t="e">
        <v>#REF!</v>
      </c>
      <c r="J1753" s="1135" t="e">
        <v>#REF!</v>
      </c>
      <c r="K1753" s="1135" t="e">
        <v>#REF!</v>
      </c>
    </row>
    <row r="1754" spans="1:11" s="1136" customFormat="1">
      <c r="A1754" s="1131">
        <v>1747</v>
      </c>
      <c r="B1754" s="1132" t="s">
        <v>12632</v>
      </c>
      <c r="C1754" s="1133" t="s">
        <v>12633</v>
      </c>
      <c r="D1754" s="1134" t="s">
        <v>12634</v>
      </c>
      <c r="E1754" s="1135">
        <v>85750</v>
      </c>
      <c r="F1754" s="1135">
        <v>922601.3</v>
      </c>
      <c r="G1754" s="1135">
        <v>255000</v>
      </c>
      <c r="H1754" s="1135" t="e">
        <v>#REF!</v>
      </c>
      <c r="I1754" s="1135" t="e">
        <v>#REF!</v>
      </c>
      <c r="J1754" s="1135" t="e">
        <v>#REF!</v>
      </c>
      <c r="K1754" s="1135" t="e">
        <v>#REF!</v>
      </c>
    </row>
    <row r="1755" spans="1:11" s="1136" customFormat="1">
      <c r="A1755" s="1131">
        <v>1748</v>
      </c>
      <c r="B1755" s="1132" t="s">
        <v>12635</v>
      </c>
      <c r="C1755" s="1133" t="s">
        <v>12636</v>
      </c>
      <c r="D1755" s="1134" t="s">
        <v>7300</v>
      </c>
      <c r="E1755" s="1135">
        <v>3750</v>
      </c>
      <c r="F1755" s="1135">
        <v>469172.7</v>
      </c>
      <c r="G1755" s="1135">
        <v>130000</v>
      </c>
      <c r="H1755" s="1135" t="e">
        <v>#REF!</v>
      </c>
      <c r="I1755" s="1135" t="e">
        <v>#REF!</v>
      </c>
      <c r="J1755" s="1135" t="e">
        <v>#REF!</v>
      </c>
      <c r="K1755" s="1135" t="e">
        <v>#REF!</v>
      </c>
    </row>
    <row r="1756" spans="1:11" s="1136" customFormat="1" ht="30">
      <c r="A1756" s="1131">
        <v>1749</v>
      </c>
      <c r="B1756" s="1132" t="s">
        <v>12637</v>
      </c>
      <c r="C1756" s="1133" t="s">
        <v>12638</v>
      </c>
      <c r="D1756" s="1134" t="s">
        <v>7300</v>
      </c>
      <c r="E1756" s="1135">
        <v>18250</v>
      </c>
      <c r="F1756" s="1135">
        <v>585678.69999999995</v>
      </c>
      <c r="G1756" s="1135">
        <v>160000</v>
      </c>
      <c r="H1756" s="1135" t="e">
        <v>#REF!</v>
      </c>
      <c r="I1756" s="1135" t="e">
        <v>#REF!</v>
      </c>
      <c r="J1756" s="1135" t="e">
        <v>#REF!</v>
      </c>
      <c r="K1756" s="1135" t="e">
        <v>#REF!</v>
      </c>
    </row>
    <row r="1757" spans="1:11" s="1136" customFormat="1">
      <c r="A1757" s="1131">
        <v>1750</v>
      </c>
      <c r="B1757" s="1132" t="s">
        <v>12639</v>
      </c>
      <c r="C1757" s="1133" t="s">
        <v>12640</v>
      </c>
      <c r="D1757" s="1134" t="s">
        <v>12641</v>
      </c>
      <c r="E1757" s="1135">
        <v>32750</v>
      </c>
      <c r="F1757" s="1135">
        <v>922601.3</v>
      </c>
      <c r="G1757" s="1135">
        <v>255000</v>
      </c>
      <c r="H1757" s="1135" t="e">
        <v>#REF!</v>
      </c>
      <c r="I1757" s="1135" t="e">
        <v>#REF!</v>
      </c>
      <c r="J1757" s="1135" t="e">
        <v>#REF!</v>
      </c>
      <c r="K1757" s="1135" t="e">
        <v>#REF!</v>
      </c>
    </row>
    <row r="1758" spans="1:11" s="1136" customFormat="1" ht="30">
      <c r="A1758" s="1131">
        <v>1751</v>
      </c>
      <c r="B1758" s="1132" t="s">
        <v>12642</v>
      </c>
      <c r="C1758" s="1133" t="s">
        <v>12643</v>
      </c>
      <c r="D1758" s="1134" t="s">
        <v>195</v>
      </c>
      <c r="E1758" s="1135">
        <v>31250</v>
      </c>
      <c r="F1758" s="1135">
        <v>598273.9</v>
      </c>
      <c r="G1758" s="1135">
        <v>185000</v>
      </c>
      <c r="H1758" s="1135" t="e">
        <v>#REF!</v>
      </c>
      <c r="I1758" s="1135" t="e">
        <v>#REF!</v>
      </c>
      <c r="J1758" s="1135" t="e">
        <v>#REF!</v>
      </c>
      <c r="K1758" s="1135" t="e">
        <v>#REF!</v>
      </c>
    </row>
    <row r="1759" spans="1:11" s="1136" customFormat="1" ht="30">
      <c r="A1759" s="1131">
        <v>1752</v>
      </c>
      <c r="B1759" s="1132" t="s">
        <v>12644</v>
      </c>
      <c r="C1759" s="1133" t="s">
        <v>12645</v>
      </c>
      <c r="D1759" s="1134" t="s">
        <v>264</v>
      </c>
      <c r="E1759" s="1135">
        <v>18250</v>
      </c>
      <c r="F1759" s="1135">
        <v>434535.8</v>
      </c>
      <c r="G1759" s="1135">
        <v>120000</v>
      </c>
      <c r="H1759" s="1135" t="e">
        <v>#REF!</v>
      </c>
      <c r="I1759" s="1135" t="e">
        <v>#REF!</v>
      </c>
      <c r="J1759" s="1135" t="e">
        <v>#REF!</v>
      </c>
      <c r="K1759" s="1135" t="e">
        <v>#REF!</v>
      </c>
    </row>
    <row r="1760" spans="1:11" s="1136" customFormat="1" ht="30">
      <c r="A1760" s="1131">
        <v>1753</v>
      </c>
      <c r="B1760" s="1132" t="s">
        <v>12646</v>
      </c>
      <c r="C1760" s="1133" t="s">
        <v>12647</v>
      </c>
      <c r="D1760" s="1134" t="s">
        <v>7300</v>
      </c>
      <c r="E1760" s="1135">
        <v>19750</v>
      </c>
      <c r="F1760" s="1135">
        <v>828137</v>
      </c>
      <c r="G1760" s="1135">
        <v>225000</v>
      </c>
      <c r="H1760" s="1135" t="e">
        <v>#REF!</v>
      </c>
      <c r="I1760" s="1135" t="e">
        <v>#REF!</v>
      </c>
      <c r="J1760" s="1135" t="e">
        <v>#REF!</v>
      </c>
      <c r="K1760" s="1135" t="e">
        <v>#REF!</v>
      </c>
    </row>
    <row r="1761" spans="1:11" s="1136" customFormat="1" ht="30">
      <c r="A1761" s="1131">
        <v>1754</v>
      </c>
      <c r="B1761" s="1132" t="s">
        <v>12648</v>
      </c>
      <c r="C1761" s="1133" t="s">
        <v>12649</v>
      </c>
      <c r="D1761" s="1134" t="s">
        <v>7300</v>
      </c>
      <c r="E1761" s="1135">
        <v>19750</v>
      </c>
      <c r="F1761" s="1135">
        <v>1319351.3999999999</v>
      </c>
      <c r="G1761" s="1135">
        <v>365000</v>
      </c>
      <c r="H1761" s="1135" t="e">
        <v>#REF!</v>
      </c>
      <c r="I1761" s="1135" t="e">
        <v>#REF!</v>
      </c>
      <c r="J1761" s="1135" t="e">
        <v>#REF!</v>
      </c>
      <c r="K1761" s="1135" t="e">
        <v>#REF!</v>
      </c>
    </row>
    <row r="1762" spans="1:11" s="1136" customFormat="1">
      <c r="A1762" s="1131">
        <v>1755</v>
      </c>
      <c r="B1762" s="1132" t="s">
        <v>12650</v>
      </c>
      <c r="C1762" s="1133" t="s">
        <v>12651</v>
      </c>
      <c r="D1762" s="1134" t="s">
        <v>7300</v>
      </c>
      <c r="E1762" s="1135">
        <v>18250</v>
      </c>
      <c r="F1762" s="1135">
        <v>957238.2</v>
      </c>
      <c r="G1762" s="1135">
        <v>345000</v>
      </c>
      <c r="H1762" s="1135" t="e">
        <v>#REF!</v>
      </c>
      <c r="I1762" s="1135" t="e">
        <v>#REF!</v>
      </c>
      <c r="J1762" s="1135" t="e">
        <v>#REF!</v>
      </c>
      <c r="K1762" s="1135" t="e">
        <v>#REF!</v>
      </c>
    </row>
    <row r="1763" spans="1:11" s="1136" customFormat="1">
      <c r="A1763" s="1131">
        <v>1756</v>
      </c>
      <c r="B1763" s="1132" t="s">
        <v>12652</v>
      </c>
      <c r="C1763" s="1133" t="s">
        <v>12653</v>
      </c>
      <c r="D1763" s="1134" t="s">
        <v>7300</v>
      </c>
      <c r="E1763" s="1135">
        <v>16750</v>
      </c>
      <c r="F1763" s="1135">
        <v>998172.8</v>
      </c>
      <c r="G1763" s="1135">
        <v>275000</v>
      </c>
      <c r="H1763" s="1135" t="e">
        <v>#REF!</v>
      </c>
      <c r="I1763" s="1135" t="e">
        <v>#REF!</v>
      </c>
      <c r="J1763" s="1135" t="e">
        <v>#REF!</v>
      </c>
      <c r="K1763" s="1135" t="e">
        <v>#REF!</v>
      </c>
    </row>
    <row r="1764" spans="1:11" s="1136" customFormat="1">
      <c r="A1764" s="1131">
        <v>1757</v>
      </c>
      <c r="B1764" s="1132" t="s">
        <v>12654</v>
      </c>
      <c r="C1764" s="1133" t="s">
        <v>12655</v>
      </c>
      <c r="D1764" s="1134" t="s">
        <v>7300</v>
      </c>
      <c r="E1764" s="1135">
        <v>16750</v>
      </c>
      <c r="F1764" s="1135">
        <v>1599595.5</v>
      </c>
      <c r="G1764" s="1135">
        <v>450000</v>
      </c>
      <c r="H1764" s="1135" t="e">
        <v>#REF!</v>
      </c>
      <c r="I1764" s="1135" t="e">
        <v>#REF!</v>
      </c>
      <c r="J1764" s="1135" t="e">
        <v>#REF!</v>
      </c>
      <c r="K1764" s="1135" t="e">
        <v>#REF!</v>
      </c>
    </row>
    <row r="1765" spans="1:11" s="1136" customFormat="1">
      <c r="A1765" s="1131">
        <v>1758</v>
      </c>
      <c r="B1765" s="1132" t="s">
        <v>12656</v>
      </c>
      <c r="C1765" s="1133" t="s">
        <v>12657</v>
      </c>
      <c r="D1765" s="1134" t="s">
        <v>7300</v>
      </c>
      <c r="E1765" s="1135">
        <v>22750</v>
      </c>
      <c r="F1765" s="1135">
        <v>995024</v>
      </c>
      <c r="G1765" s="1135">
        <v>275000</v>
      </c>
      <c r="H1765" s="1135" t="e">
        <v>#REF!</v>
      </c>
      <c r="I1765" s="1135" t="e">
        <v>#REF!</v>
      </c>
      <c r="J1765" s="1135" t="e">
        <v>#REF!</v>
      </c>
      <c r="K1765" s="1135" t="e">
        <v>#REF!</v>
      </c>
    </row>
    <row r="1766" spans="1:11" s="1136" customFormat="1">
      <c r="A1766" s="1131">
        <v>1759</v>
      </c>
      <c r="B1766" s="1132" t="s">
        <v>12658</v>
      </c>
      <c r="C1766" s="1133" t="s">
        <v>12659</v>
      </c>
      <c r="D1766" s="1134" t="s">
        <v>12660</v>
      </c>
      <c r="E1766" s="1135">
        <v>12750</v>
      </c>
      <c r="F1766" s="1135">
        <v>1860946.7</v>
      </c>
      <c r="G1766" s="1135">
        <v>585000</v>
      </c>
      <c r="H1766" s="1135" t="e">
        <v>#REF!</v>
      </c>
      <c r="I1766" s="1135" t="e">
        <v>#REF!</v>
      </c>
      <c r="J1766" s="1135" t="e">
        <v>#REF!</v>
      </c>
      <c r="K1766" s="1135" t="e">
        <v>#REF!</v>
      </c>
    </row>
    <row r="1767" spans="1:11" s="1136" customFormat="1">
      <c r="A1767" s="1131">
        <v>1760</v>
      </c>
      <c r="B1767" s="1132" t="s">
        <v>12661</v>
      </c>
      <c r="C1767" s="1133" t="s">
        <v>12662</v>
      </c>
      <c r="D1767" s="1134" t="s">
        <v>12660</v>
      </c>
      <c r="E1767" s="1135">
        <v>9750</v>
      </c>
      <c r="F1767" s="1135">
        <v>903708.5</v>
      </c>
      <c r="G1767" s="1135">
        <v>290000</v>
      </c>
      <c r="H1767" s="1135" t="e">
        <v>#REF!</v>
      </c>
      <c r="I1767" s="1135" t="e">
        <v>#REF!</v>
      </c>
      <c r="J1767" s="1135" t="e">
        <v>#REF!</v>
      </c>
      <c r="K1767" s="1135" t="e">
        <v>#REF!</v>
      </c>
    </row>
    <row r="1768" spans="1:11" s="1136" customFormat="1" ht="30">
      <c r="A1768" s="1131">
        <v>1761</v>
      </c>
      <c r="B1768" s="1132" t="s">
        <v>12663</v>
      </c>
      <c r="C1768" s="1133" t="s">
        <v>12664</v>
      </c>
      <c r="D1768" s="1134" t="s">
        <v>264</v>
      </c>
      <c r="E1768" s="1135">
        <v>6750</v>
      </c>
      <c r="F1768" s="1135">
        <v>491214.4</v>
      </c>
      <c r="G1768" s="1135">
        <v>135000</v>
      </c>
      <c r="H1768" s="1135" t="e">
        <v>#REF!</v>
      </c>
      <c r="I1768" s="1135" t="e">
        <v>#REF!</v>
      </c>
      <c r="J1768" s="1135" t="e">
        <v>#REF!</v>
      </c>
      <c r="K1768" s="1135" t="e">
        <v>#REF!</v>
      </c>
    </row>
    <row r="1769" spans="1:11" s="1136" customFormat="1" ht="30">
      <c r="A1769" s="1143">
        <v>1762</v>
      </c>
      <c r="B1769" s="1144" t="s">
        <v>12665</v>
      </c>
      <c r="C1769" s="1145" t="s">
        <v>12666</v>
      </c>
      <c r="D1769" s="1146" t="s">
        <v>12667</v>
      </c>
      <c r="E1769" s="1147">
        <v>6750</v>
      </c>
      <c r="F1769" s="1147">
        <v>724226.3</v>
      </c>
      <c r="G1769" s="1147">
        <v>200000</v>
      </c>
      <c r="H1769" s="1135" t="e">
        <v>#REF!</v>
      </c>
      <c r="I1769" s="1135" t="e">
        <v>#REF!</v>
      </c>
      <c r="J1769" s="1135" t="e">
        <v>#REF!</v>
      </c>
      <c r="K1769" s="1135" t="e">
        <v>#REF!</v>
      </c>
    </row>
    <row r="1770" spans="1:11">
      <c r="A1770" s="1120"/>
      <c r="B1770" s="1121"/>
      <c r="C1770" s="1148" t="s">
        <v>60</v>
      </c>
      <c r="D1770" s="1149"/>
      <c r="E1770" s="1150"/>
      <c r="F1770" s="1150"/>
      <c r="G1770" s="1150"/>
      <c r="H1770" s="1151" t="e">
        <v>#REF!</v>
      </c>
      <c r="I1770" s="1151" t="e">
        <v>#REF!</v>
      </c>
      <c r="J1770" s="1151" t="e">
        <v>#REF!</v>
      </c>
      <c r="K1770" s="1151" t="e">
        <v>#REF!</v>
      </c>
    </row>
    <row r="1771" spans="1:11">
      <c r="A1771" s="1152"/>
      <c r="B1771" s="1153"/>
      <c r="C1771" s="1153" t="s">
        <v>12668</v>
      </c>
      <c r="D1771" s="1154"/>
      <c r="E1771" s="1155"/>
      <c r="F1771" s="1155"/>
      <c r="G1771" s="1155"/>
      <c r="H1771" s="1156" t="e">
        <v>#REF!</v>
      </c>
      <c r="I1771" s="1156" t="e">
        <v>#REF!</v>
      </c>
      <c r="J1771" s="1156" t="e">
        <v>#REF!</v>
      </c>
      <c r="K1771" s="1156" t="e">
        <v>#REF!</v>
      </c>
    </row>
    <row r="1772" spans="1:11">
      <c r="B1772" s="1115">
        <v>1</v>
      </c>
      <c r="C1772" s="1115">
        <v>2</v>
      </c>
      <c r="D1772" s="1115">
        <v>3</v>
      </c>
      <c r="E1772" s="1115">
        <v>4</v>
      </c>
      <c r="F1772" s="1115">
        <v>5</v>
      </c>
      <c r="G1772" s="1115">
        <v>6</v>
      </c>
    </row>
  </sheetData>
  <pageMargins left="0.7" right="0.7" top="0.75" bottom="0.75" header="0.3" footer="0.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93"/>
  <sheetViews>
    <sheetView topLeftCell="A7" workbookViewId="0">
      <selection activeCell="O29" sqref="O29"/>
    </sheetView>
  </sheetViews>
  <sheetFormatPr defaultColWidth="9.140625" defaultRowHeight="15"/>
  <cols>
    <col min="2" max="2" width="10.28515625" bestFit="1" customWidth="1"/>
    <col min="4" max="4" width="58.85546875" customWidth="1"/>
    <col min="7" max="7" width="14.28515625" bestFit="1" customWidth="1"/>
    <col min="8" max="8" width="11.28515625" bestFit="1" customWidth="1"/>
    <col min="9" max="9" width="11.28515625" customWidth="1"/>
    <col min="10" max="10" width="12.7109375" bestFit="1" customWidth="1"/>
    <col min="11" max="11" width="11.140625" customWidth="1"/>
    <col min="12" max="12" width="13.7109375" bestFit="1" customWidth="1"/>
    <col min="14" max="14" width="28.85546875" customWidth="1"/>
    <col min="15" max="15" width="7.140625" customWidth="1"/>
    <col min="16" max="16" width="7.28515625" customWidth="1"/>
    <col min="18" max="18" width="9.140625" customWidth="1"/>
    <col min="19" max="19" width="7.140625" customWidth="1"/>
    <col min="20" max="21" width="10.85546875" customWidth="1"/>
    <col min="258" max="258" width="10.28515625" bestFit="1" customWidth="1"/>
    <col min="260" max="260" width="52.5703125" customWidth="1"/>
    <col min="263" max="263" width="14.28515625" bestFit="1" customWidth="1"/>
    <col min="264" max="264" width="11.28515625" bestFit="1" customWidth="1"/>
    <col min="265" max="265" width="11.28515625" customWidth="1"/>
    <col min="266" max="266" width="12.7109375" bestFit="1" customWidth="1"/>
    <col min="267" max="267" width="11.140625" customWidth="1"/>
    <col min="268" max="268" width="13.7109375" bestFit="1" customWidth="1"/>
    <col min="270" max="270" width="28.85546875" customWidth="1"/>
    <col min="271" max="271" width="7.140625" customWidth="1"/>
    <col min="272" max="272" width="7.28515625" customWidth="1"/>
    <col min="274" max="274" width="9.140625" customWidth="1"/>
    <col min="275" max="275" width="7.140625" customWidth="1"/>
    <col min="276" max="277" width="10.85546875" customWidth="1"/>
    <col min="514" max="514" width="10.28515625" bestFit="1" customWidth="1"/>
    <col min="516" max="516" width="52.5703125" customWidth="1"/>
    <col min="519" max="519" width="14.28515625" bestFit="1" customWidth="1"/>
    <col min="520" max="520" width="11.28515625" bestFit="1" customWidth="1"/>
    <col min="521" max="521" width="11.28515625" customWidth="1"/>
    <col min="522" max="522" width="12.7109375" bestFit="1" customWidth="1"/>
    <col min="523" max="523" width="11.140625" customWidth="1"/>
    <col min="524" max="524" width="13.7109375" bestFit="1" customWidth="1"/>
    <col min="526" max="526" width="28.85546875" customWidth="1"/>
    <col min="527" max="527" width="7.140625" customWidth="1"/>
    <col min="528" max="528" width="7.28515625" customWidth="1"/>
    <col min="530" max="530" width="9.140625" customWidth="1"/>
    <col min="531" max="531" width="7.140625" customWidth="1"/>
    <col min="532" max="533" width="10.85546875" customWidth="1"/>
    <col min="770" max="770" width="10.28515625" bestFit="1" customWidth="1"/>
    <col min="772" max="772" width="52.5703125" customWidth="1"/>
    <col min="775" max="775" width="14.28515625" bestFit="1" customWidth="1"/>
    <col min="776" max="776" width="11.28515625" bestFit="1" customWidth="1"/>
    <col min="777" max="777" width="11.28515625" customWidth="1"/>
    <col min="778" max="778" width="12.7109375" bestFit="1" customWidth="1"/>
    <col min="779" max="779" width="11.140625" customWidth="1"/>
    <col min="780" max="780" width="13.7109375" bestFit="1" customWidth="1"/>
    <col min="782" max="782" width="28.85546875" customWidth="1"/>
    <col min="783" max="783" width="7.140625" customWidth="1"/>
    <col min="784" max="784" width="7.28515625" customWidth="1"/>
    <col min="786" max="786" width="9.140625" customWidth="1"/>
    <col min="787" max="787" width="7.140625" customWidth="1"/>
    <col min="788" max="789" width="10.85546875" customWidth="1"/>
    <col min="1026" max="1026" width="10.28515625" bestFit="1" customWidth="1"/>
    <col min="1028" max="1028" width="52.5703125" customWidth="1"/>
    <col min="1031" max="1031" width="14.28515625" bestFit="1" customWidth="1"/>
    <col min="1032" max="1032" width="11.28515625" bestFit="1" customWidth="1"/>
    <col min="1033" max="1033" width="11.28515625" customWidth="1"/>
    <col min="1034" max="1034" width="12.7109375" bestFit="1" customWidth="1"/>
    <col min="1035" max="1035" width="11.140625" customWidth="1"/>
    <col min="1036" max="1036" width="13.7109375" bestFit="1" customWidth="1"/>
    <col min="1038" max="1038" width="28.85546875" customWidth="1"/>
    <col min="1039" max="1039" width="7.140625" customWidth="1"/>
    <col min="1040" max="1040" width="7.28515625" customWidth="1"/>
    <col min="1042" max="1042" width="9.140625" customWidth="1"/>
    <col min="1043" max="1043" width="7.140625" customWidth="1"/>
    <col min="1044" max="1045" width="10.85546875" customWidth="1"/>
    <col min="1282" max="1282" width="10.28515625" bestFit="1" customWidth="1"/>
    <col min="1284" max="1284" width="52.5703125" customWidth="1"/>
    <col min="1287" max="1287" width="14.28515625" bestFit="1" customWidth="1"/>
    <col min="1288" max="1288" width="11.28515625" bestFit="1" customWidth="1"/>
    <col min="1289" max="1289" width="11.28515625" customWidth="1"/>
    <col min="1290" max="1290" width="12.7109375" bestFit="1" customWidth="1"/>
    <col min="1291" max="1291" width="11.140625" customWidth="1"/>
    <col min="1292" max="1292" width="13.7109375" bestFit="1" customWidth="1"/>
    <col min="1294" max="1294" width="28.85546875" customWidth="1"/>
    <col min="1295" max="1295" width="7.140625" customWidth="1"/>
    <col min="1296" max="1296" width="7.28515625" customWidth="1"/>
    <col min="1298" max="1298" width="9.140625" customWidth="1"/>
    <col min="1299" max="1299" width="7.140625" customWidth="1"/>
    <col min="1300" max="1301" width="10.85546875" customWidth="1"/>
    <col min="1538" max="1538" width="10.28515625" bestFit="1" customWidth="1"/>
    <col min="1540" max="1540" width="52.5703125" customWidth="1"/>
    <col min="1543" max="1543" width="14.28515625" bestFit="1" customWidth="1"/>
    <col min="1544" max="1544" width="11.28515625" bestFit="1" customWidth="1"/>
    <col min="1545" max="1545" width="11.28515625" customWidth="1"/>
    <col min="1546" max="1546" width="12.7109375" bestFit="1" customWidth="1"/>
    <col min="1547" max="1547" width="11.140625" customWidth="1"/>
    <col min="1548" max="1548" width="13.7109375" bestFit="1" customWidth="1"/>
    <col min="1550" max="1550" width="28.85546875" customWidth="1"/>
    <col min="1551" max="1551" width="7.140625" customWidth="1"/>
    <col min="1552" max="1552" width="7.28515625" customWidth="1"/>
    <col min="1554" max="1554" width="9.140625" customWidth="1"/>
    <col min="1555" max="1555" width="7.140625" customWidth="1"/>
    <col min="1556" max="1557" width="10.85546875" customWidth="1"/>
    <col min="1794" max="1794" width="10.28515625" bestFit="1" customWidth="1"/>
    <col min="1796" max="1796" width="52.5703125" customWidth="1"/>
    <col min="1799" max="1799" width="14.28515625" bestFit="1" customWidth="1"/>
    <col min="1800" max="1800" width="11.28515625" bestFit="1" customWidth="1"/>
    <col min="1801" max="1801" width="11.28515625" customWidth="1"/>
    <col min="1802" max="1802" width="12.7109375" bestFit="1" customWidth="1"/>
    <col min="1803" max="1803" width="11.140625" customWidth="1"/>
    <col min="1804" max="1804" width="13.7109375" bestFit="1" customWidth="1"/>
    <col min="1806" max="1806" width="28.85546875" customWidth="1"/>
    <col min="1807" max="1807" width="7.140625" customWidth="1"/>
    <col min="1808" max="1808" width="7.28515625" customWidth="1"/>
    <col min="1810" max="1810" width="9.140625" customWidth="1"/>
    <col min="1811" max="1811" width="7.140625" customWidth="1"/>
    <col min="1812" max="1813" width="10.85546875" customWidth="1"/>
    <col min="2050" max="2050" width="10.28515625" bestFit="1" customWidth="1"/>
    <col min="2052" max="2052" width="52.5703125" customWidth="1"/>
    <col min="2055" max="2055" width="14.28515625" bestFit="1" customWidth="1"/>
    <col min="2056" max="2056" width="11.28515625" bestFit="1" customWidth="1"/>
    <col min="2057" max="2057" width="11.28515625" customWidth="1"/>
    <col min="2058" max="2058" width="12.7109375" bestFit="1" customWidth="1"/>
    <col min="2059" max="2059" width="11.140625" customWidth="1"/>
    <col min="2060" max="2060" width="13.7109375" bestFit="1" customWidth="1"/>
    <col min="2062" max="2062" width="28.85546875" customWidth="1"/>
    <col min="2063" max="2063" width="7.140625" customWidth="1"/>
    <col min="2064" max="2064" width="7.28515625" customWidth="1"/>
    <col min="2066" max="2066" width="9.140625" customWidth="1"/>
    <col min="2067" max="2067" width="7.140625" customWidth="1"/>
    <col min="2068" max="2069" width="10.85546875" customWidth="1"/>
    <col min="2306" max="2306" width="10.28515625" bestFit="1" customWidth="1"/>
    <col min="2308" max="2308" width="52.5703125" customWidth="1"/>
    <col min="2311" max="2311" width="14.28515625" bestFit="1" customWidth="1"/>
    <col min="2312" max="2312" width="11.28515625" bestFit="1" customWidth="1"/>
    <col min="2313" max="2313" width="11.28515625" customWidth="1"/>
    <col min="2314" max="2314" width="12.7109375" bestFit="1" customWidth="1"/>
    <col min="2315" max="2315" width="11.140625" customWidth="1"/>
    <col min="2316" max="2316" width="13.7109375" bestFit="1" customWidth="1"/>
    <col min="2318" max="2318" width="28.85546875" customWidth="1"/>
    <col min="2319" max="2319" width="7.140625" customWidth="1"/>
    <col min="2320" max="2320" width="7.28515625" customWidth="1"/>
    <col min="2322" max="2322" width="9.140625" customWidth="1"/>
    <col min="2323" max="2323" width="7.140625" customWidth="1"/>
    <col min="2324" max="2325" width="10.85546875" customWidth="1"/>
    <col min="2562" max="2562" width="10.28515625" bestFit="1" customWidth="1"/>
    <col min="2564" max="2564" width="52.5703125" customWidth="1"/>
    <col min="2567" max="2567" width="14.28515625" bestFit="1" customWidth="1"/>
    <col min="2568" max="2568" width="11.28515625" bestFit="1" customWidth="1"/>
    <col min="2569" max="2569" width="11.28515625" customWidth="1"/>
    <col min="2570" max="2570" width="12.7109375" bestFit="1" customWidth="1"/>
    <col min="2571" max="2571" width="11.140625" customWidth="1"/>
    <col min="2572" max="2572" width="13.7109375" bestFit="1" customWidth="1"/>
    <col min="2574" max="2574" width="28.85546875" customWidth="1"/>
    <col min="2575" max="2575" width="7.140625" customWidth="1"/>
    <col min="2576" max="2576" width="7.28515625" customWidth="1"/>
    <col min="2578" max="2578" width="9.140625" customWidth="1"/>
    <col min="2579" max="2579" width="7.140625" customWidth="1"/>
    <col min="2580" max="2581" width="10.85546875" customWidth="1"/>
    <col min="2818" max="2818" width="10.28515625" bestFit="1" customWidth="1"/>
    <col min="2820" max="2820" width="52.5703125" customWidth="1"/>
    <col min="2823" max="2823" width="14.28515625" bestFit="1" customWidth="1"/>
    <col min="2824" max="2824" width="11.28515625" bestFit="1" customWidth="1"/>
    <col min="2825" max="2825" width="11.28515625" customWidth="1"/>
    <col min="2826" max="2826" width="12.7109375" bestFit="1" customWidth="1"/>
    <col min="2827" max="2827" width="11.140625" customWidth="1"/>
    <col min="2828" max="2828" width="13.7109375" bestFit="1" customWidth="1"/>
    <col min="2830" max="2830" width="28.85546875" customWidth="1"/>
    <col min="2831" max="2831" width="7.140625" customWidth="1"/>
    <col min="2832" max="2832" width="7.28515625" customWidth="1"/>
    <col min="2834" max="2834" width="9.140625" customWidth="1"/>
    <col min="2835" max="2835" width="7.140625" customWidth="1"/>
    <col min="2836" max="2837" width="10.85546875" customWidth="1"/>
    <col min="3074" max="3074" width="10.28515625" bestFit="1" customWidth="1"/>
    <col min="3076" max="3076" width="52.5703125" customWidth="1"/>
    <col min="3079" max="3079" width="14.28515625" bestFit="1" customWidth="1"/>
    <col min="3080" max="3080" width="11.28515625" bestFit="1" customWidth="1"/>
    <col min="3081" max="3081" width="11.28515625" customWidth="1"/>
    <col min="3082" max="3082" width="12.7109375" bestFit="1" customWidth="1"/>
    <col min="3083" max="3083" width="11.140625" customWidth="1"/>
    <col min="3084" max="3084" width="13.7109375" bestFit="1" customWidth="1"/>
    <col min="3086" max="3086" width="28.85546875" customWidth="1"/>
    <col min="3087" max="3087" width="7.140625" customWidth="1"/>
    <col min="3088" max="3088" width="7.28515625" customWidth="1"/>
    <col min="3090" max="3090" width="9.140625" customWidth="1"/>
    <col min="3091" max="3091" width="7.140625" customWidth="1"/>
    <col min="3092" max="3093" width="10.85546875" customWidth="1"/>
    <col min="3330" max="3330" width="10.28515625" bestFit="1" customWidth="1"/>
    <col min="3332" max="3332" width="52.5703125" customWidth="1"/>
    <col min="3335" max="3335" width="14.28515625" bestFit="1" customWidth="1"/>
    <col min="3336" max="3336" width="11.28515625" bestFit="1" customWidth="1"/>
    <col min="3337" max="3337" width="11.28515625" customWidth="1"/>
    <col min="3338" max="3338" width="12.7109375" bestFit="1" customWidth="1"/>
    <col min="3339" max="3339" width="11.140625" customWidth="1"/>
    <col min="3340" max="3340" width="13.7109375" bestFit="1" customWidth="1"/>
    <col min="3342" max="3342" width="28.85546875" customWidth="1"/>
    <col min="3343" max="3343" width="7.140625" customWidth="1"/>
    <col min="3344" max="3344" width="7.28515625" customWidth="1"/>
    <col min="3346" max="3346" width="9.140625" customWidth="1"/>
    <col min="3347" max="3347" width="7.140625" customWidth="1"/>
    <col min="3348" max="3349" width="10.85546875" customWidth="1"/>
    <col min="3586" max="3586" width="10.28515625" bestFit="1" customWidth="1"/>
    <col min="3588" max="3588" width="52.5703125" customWidth="1"/>
    <col min="3591" max="3591" width="14.28515625" bestFit="1" customWidth="1"/>
    <col min="3592" max="3592" width="11.28515625" bestFit="1" customWidth="1"/>
    <col min="3593" max="3593" width="11.28515625" customWidth="1"/>
    <col min="3594" max="3594" width="12.7109375" bestFit="1" customWidth="1"/>
    <col min="3595" max="3595" width="11.140625" customWidth="1"/>
    <col min="3596" max="3596" width="13.7109375" bestFit="1" customWidth="1"/>
    <col min="3598" max="3598" width="28.85546875" customWidth="1"/>
    <col min="3599" max="3599" width="7.140625" customWidth="1"/>
    <col min="3600" max="3600" width="7.28515625" customWidth="1"/>
    <col min="3602" max="3602" width="9.140625" customWidth="1"/>
    <col min="3603" max="3603" width="7.140625" customWidth="1"/>
    <col min="3604" max="3605" width="10.85546875" customWidth="1"/>
    <col min="3842" max="3842" width="10.28515625" bestFit="1" customWidth="1"/>
    <col min="3844" max="3844" width="52.5703125" customWidth="1"/>
    <col min="3847" max="3847" width="14.28515625" bestFit="1" customWidth="1"/>
    <col min="3848" max="3848" width="11.28515625" bestFit="1" customWidth="1"/>
    <col min="3849" max="3849" width="11.28515625" customWidth="1"/>
    <col min="3850" max="3850" width="12.7109375" bestFit="1" customWidth="1"/>
    <col min="3851" max="3851" width="11.140625" customWidth="1"/>
    <col min="3852" max="3852" width="13.7109375" bestFit="1" customWidth="1"/>
    <col min="3854" max="3854" width="28.85546875" customWidth="1"/>
    <col min="3855" max="3855" width="7.140625" customWidth="1"/>
    <col min="3856" max="3856" width="7.28515625" customWidth="1"/>
    <col min="3858" max="3858" width="9.140625" customWidth="1"/>
    <col min="3859" max="3859" width="7.140625" customWidth="1"/>
    <col min="3860" max="3861" width="10.85546875" customWidth="1"/>
    <col min="4098" max="4098" width="10.28515625" bestFit="1" customWidth="1"/>
    <col min="4100" max="4100" width="52.5703125" customWidth="1"/>
    <col min="4103" max="4103" width="14.28515625" bestFit="1" customWidth="1"/>
    <col min="4104" max="4104" width="11.28515625" bestFit="1" customWidth="1"/>
    <col min="4105" max="4105" width="11.28515625" customWidth="1"/>
    <col min="4106" max="4106" width="12.7109375" bestFit="1" customWidth="1"/>
    <col min="4107" max="4107" width="11.140625" customWidth="1"/>
    <col min="4108" max="4108" width="13.7109375" bestFit="1" customWidth="1"/>
    <col min="4110" max="4110" width="28.85546875" customWidth="1"/>
    <col min="4111" max="4111" width="7.140625" customWidth="1"/>
    <col min="4112" max="4112" width="7.28515625" customWidth="1"/>
    <col min="4114" max="4114" width="9.140625" customWidth="1"/>
    <col min="4115" max="4115" width="7.140625" customWidth="1"/>
    <col min="4116" max="4117" width="10.85546875" customWidth="1"/>
    <col min="4354" max="4354" width="10.28515625" bestFit="1" customWidth="1"/>
    <col min="4356" max="4356" width="52.5703125" customWidth="1"/>
    <col min="4359" max="4359" width="14.28515625" bestFit="1" customWidth="1"/>
    <col min="4360" max="4360" width="11.28515625" bestFit="1" customWidth="1"/>
    <col min="4361" max="4361" width="11.28515625" customWidth="1"/>
    <col min="4362" max="4362" width="12.7109375" bestFit="1" customWidth="1"/>
    <col min="4363" max="4363" width="11.140625" customWidth="1"/>
    <col min="4364" max="4364" width="13.7109375" bestFit="1" customWidth="1"/>
    <col min="4366" max="4366" width="28.85546875" customWidth="1"/>
    <col min="4367" max="4367" width="7.140625" customWidth="1"/>
    <col min="4368" max="4368" width="7.28515625" customWidth="1"/>
    <col min="4370" max="4370" width="9.140625" customWidth="1"/>
    <col min="4371" max="4371" width="7.140625" customWidth="1"/>
    <col min="4372" max="4373" width="10.85546875" customWidth="1"/>
    <col min="4610" max="4610" width="10.28515625" bestFit="1" customWidth="1"/>
    <col min="4612" max="4612" width="52.5703125" customWidth="1"/>
    <col min="4615" max="4615" width="14.28515625" bestFit="1" customWidth="1"/>
    <col min="4616" max="4616" width="11.28515625" bestFit="1" customWidth="1"/>
    <col min="4617" max="4617" width="11.28515625" customWidth="1"/>
    <col min="4618" max="4618" width="12.7109375" bestFit="1" customWidth="1"/>
    <col min="4619" max="4619" width="11.140625" customWidth="1"/>
    <col min="4620" max="4620" width="13.7109375" bestFit="1" customWidth="1"/>
    <col min="4622" max="4622" width="28.85546875" customWidth="1"/>
    <col min="4623" max="4623" width="7.140625" customWidth="1"/>
    <col min="4624" max="4624" width="7.28515625" customWidth="1"/>
    <col min="4626" max="4626" width="9.140625" customWidth="1"/>
    <col min="4627" max="4627" width="7.140625" customWidth="1"/>
    <col min="4628" max="4629" width="10.85546875" customWidth="1"/>
    <col min="4866" max="4866" width="10.28515625" bestFit="1" customWidth="1"/>
    <col min="4868" max="4868" width="52.5703125" customWidth="1"/>
    <col min="4871" max="4871" width="14.28515625" bestFit="1" customWidth="1"/>
    <col min="4872" max="4872" width="11.28515625" bestFit="1" customWidth="1"/>
    <col min="4873" max="4873" width="11.28515625" customWidth="1"/>
    <col min="4874" max="4874" width="12.7109375" bestFit="1" customWidth="1"/>
    <col min="4875" max="4875" width="11.140625" customWidth="1"/>
    <col min="4876" max="4876" width="13.7109375" bestFit="1" customWidth="1"/>
    <col min="4878" max="4878" width="28.85546875" customWidth="1"/>
    <col min="4879" max="4879" width="7.140625" customWidth="1"/>
    <col min="4880" max="4880" width="7.28515625" customWidth="1"/>
    <col min="4882" max="4882" width="9.140625" customWidth="1"/>
    <col min="4883" max="4883" width="7.140625" customWidth="1"/>
    <col min="4884" max="4885" width="10.85546875" customWidth="1"/>
    <col min="5122" max="5122" width="10.28515625" bestFit="1" customWidth="1"/>
    <col min="5124" max="5124" width="52.5703125" customWidth="1"/>
    <col min="5127" max="5127" width="14.28515625" bestFit="1" customWidth="1"/>
    <col min="5128" max="5128" width="11.28515625" bestFit="1" customWidth="1"/>
    <col min="5129" max="5129" width="11.28515625" customWidth="1"/>
    <col min="5130" max="5130" width="12.7109375" bestFit="1" customWidth="1"/>
    <col min="5131" max="5131" width="11.140625" customWidth="1"/>
    <col min="5132" max="5132" width="13.7109375" bestFit="1" customWidth="1"/>
    <col min="5134" max="5134" width="28.85546875" customWidth="1"/>
    <col min="5135" max="5135" width="7.140625" customWidth="1"/>
    <col min="5136" max="5136" width="7.28515625" customWidth="1"/>
    <col min="5138" max="5138" width="9.140625" customWidth="1"/>
    <col min="5139" max="5139" width="7.140625" customWidth="1"/>
    <col min="5140" max="5141" width="10.85546875" customWidth="1"/>
    <col min="5378" max="5378" width="10.28515625" bestFit="1" customWidth="1"/>
    <col min="5380" max="5380" width="52.5703125" customWidth="1"/>
    <col min="5383" max="5383" width="14.28515625" bestFit="1" customWidth="1"/>
    <col min="5384" max="5384" width="11.28515625" bestFit="1" customWidth="1"/>
    <col min="5385" max="5385" width="11.28515625" customWidth="1"/>
    <col min="5386" max="5386" width="12.7109375" bestFit="1" customWidth="1"/>
    <col min="5387" max="5387" width="11.140625" customWidth="1"/>
    <col min="5388" max="5388" width="13.7109375" bestFit="1" customWidth="1"/>
    <col min="5390" max="5390" width="28.85546875" customWidth="1"/>
    <col min="5391" max="5391" width="7.140625" customWidth="1"/>
    <col min="5392" max="5392" width="7.28515625" customWidth="1"/>
    <col min="5394" max="5394" width="9.140625" customWidth="1"/>
    <col min="5395" max="5395" width="7.140625" customWidth="1"/>
    <col min="5396" max="5397" width="10.85546875" customWidth="1"/>
    <col min="5634" max="5634" width="10.28515625" bestFit="1" customWidth="1"/>
    <col min="5636" max="5636" width="52.5703125" customWidth="1"/>
    <col min="5639" max="5639" width="14.28515625" bestFit="1" customWidth="1"/>
    <col min="5640" max="5640" width="11.28515625" bestFit="1" customWidth="1"/>
    <col min="5641" max="5641" width="11.28515625" customWidth="1"/>
    <col min="5642" max="5642" width="12.7109375" bestFit="1" customWidth="1"/>
    <col min="5643" max="5643" width="11.140625" customWidth="1"/>
    <col min="5644" max="5644" width="13.7109375" bestFit="1" customWidth="1"/>
    <col min="5646" max="5646" width="28.85546875" customWidth="1"/>
    <col min="5647" max="5647" width="7.140625" customWidth="1"/>
    <col min="5648" max="5648" width="7.28515625" customWidth="1"/>
    <col min="5650" max="5650" width="9.140625" customWidth="1"/>
    <col min="5651" max="5651" width="7.140625" customWidth="1"/>
    <col min="5652" max="5653" width="10.85546875" customWidth="1"/>
    <col min="5890" max="5890" width="10.28515625" bestFit="1" customWidth="1"/>
    <col min="5892" max="5892" width="52.5703125" customWidth="1"/>
    <col min="5895" max="5895" width="14.28515625" bestFit="1" customWidth="1"/>
    <col min="5896" max="5896" width="11.28515625" bestFit="1" customWidth="1"/>
    <col min="5897" max="5897" width="11.28515625" customWidth="1"/>
    <col min="5898" max="5898" width="12.7109375" bestFit="1" customWidth="1"/>
    <col min="5899" max="5899" width="11.140625" customWidth="1"/>
    <col min="5900" max="5900" width="13.7109375" bestFit="1" customWidth="1"/>
    <col min="5902" max="5902" width="28.85546875" customWidth="1"/>
    <col min="5903" max="5903" width="7.140625" customWidth="1"/>
    <col min="5904" max="5904" width="7.28515625" customWidth="1"/>
    <col min="5906" max="5906" width="9.140625" customWidth="1"/>
    <col min="5907" max="5907" width="7.140625" customWidth="1"/>
    <col min="5908" max="5909" width="10.85546875" customWidth="1"/>
    <col min="6146" max="6146" width="10.28515625" bestFit="1" customWidth="1"/>
    <col min="6148" max="6148" width="52.5703125" customWidth="1"/>
    <col min="6151" max="6151" width="14.28515625" bestFit="1" customWidth="1"/>
    <col min="6152" max="6152" width="11.28515625" bestFit="1" customWidth="1"/>
    <col min="6153" max="6153" width="11.28515625" customWidth="1"/>
    <col min="6154" max="6154" width="12.7109375" bestFit="1" customWidth="1"/>
    <col min="6155" max="6155" width="11.140625" customWidth="1"/>
    <col min="6156" max="6156" width="13.7109375" bestFit="1" customWidth="1"/>
    <col min="6158" max="6158" width="28.85546875" customWidth="1"/>
    <col min="6159" max="6159" width="7.140625" customWidth="1"/>
    <col min="6160" max="6160" width="7.28515625" customWidth="1"/>
    <col min="6162" max="6162" width="9.140625" customWidth="1"/>
    <col min="6163" max="6163" width="7.140625" customWidth="1"/>
    <col min="6164" max="6165" width="10.85546875" customWidth="1"/>
    <col min="6402" max="6402" width="10.28515625" bestFit="1" customWidth="1"/>
    <col min="6404" max="6404" width="52.5703125" customWidth="1"/>
    <col min="6407" max="6407" width="14.28515625" bestFit="1" customWidth="1"/>
    <col min="6408" max="6408" width="11.28515625" bestFit="1" customWidth="1"/>
    <col min="6409" max="6409" width="11.28515625" customWidth="1"/>
    <col min="6410" max="6410" width="12.7109375" bestFit="1" customWidth="1"/>
    <col min="6411" max="6411" width="11.140625" customWidth="1"/>
    <col min="6412" max="6412" width="13.7109375" bestFit="1" customWidth="1"/>
    <col min="6414" max="6414" width="28.85546875" customWidth="1"/>
    <col min="6415" max="6415" width="7.140625" customWidth="1"/>
    <col min="6416" max="6416" width="7.28515625" customWidth="1"/>
    <col min="6418" max="6418" width="9.140625" customWidth="1"/>
    <col min="6419" max="6419" width="7.140625" customWidth="1"/>
    <col min="6420" max="6421" width="10.85546875" customWidth="1"/>
    <col min="6658" max="6658" width="10.28515625" bestFit="1" customWidth="1"/>
    <col min="6660" max="6660" width="52.5703125" customWidth="1"/>
    <col min="6663" max="6663" width="14.28515625" bestFit="1" customWidth="1"/>
    <col min="6664" max="6664" width="11.28515625" bestFit="1" customWidth="1"/>
    <col min="6665" max="6665" width="11.28515625" customWidth="1"/>
    <col min="6666" max="6666" width="12.7109375" bestFit="1" customWidth="1"/>
    <col min="6667" max="6667" width="11.140625" customWidth="1"/>
    <col min="6668" max="6668" width="13.7109375" bestFit="1" customWidth="1"/>
    <col min="6670" max="6670" width="28.85546875" customWidth="1"/>
    <col min="6671" max="6671" width="7.140625" customWidth="1"/>
    <col min="6672" max="6672" width="7.28515625" customWidth="1"/>
    <col min="6674" max="6674" width="9.140625" customWidth="1"/>
    <col min="6675" max="6675" width="7.140625" customWidth="1"/>
    <col min="6676" max="6677" width="10.85546875" customWidth="1"/>
    <col min="6914" max="6914" width="10.28515625" bestFit="1" customWidth="1"/>
    <col min="6916" max="6916" width="52.5703125" customWidth="1"/>
    <col min="6919" max="6919" width="14.28515625" bestFit="1" customWidth="1"/>
    <col min="6920" max="6920" width="11.28515625" bestFit="1" customWidth="1"/>
    <col min="6921" max="6921" width="11.28515625" customWidth="1"/>
    <col min="6922" max="6922" width="12.7109375" bestFit="1" customWidth="1"/>
    <col min="6923" max="6923" width="11.140625" customWidth="1"/>
    <col min="6924" max="6924" width="13.7109375" bestFit="1" customWidth="1"/>
    <col min="6926" max="6926" width="28.85546875" customWidth="1"/>
    <col min="6927" max="6927" width="7.140625" customWidth="1"/>
    <col min="6928" max="6928" width="7.28515625" customWidth="1"/>
    <col min="6930" max="6930" width="9.140625" customWidth="1"/>
    <col min="6931" max="6931" width="7.140625" customWidth="1"/>
    <col min="6932" max="6933" width="10.85546875" customWidth="1"/>
    <col min="7170" max="7170" width="10.28515625" bestFit="1" customWidth="1"/>
    <col min="7172" max="7172" width="52.5703125" customWidth="1"/>
    <col min="7175" max="7175" width="14.28515625" bestFit="1" customWidth="1"/>
    <col min="7176" max="7176" width="11.28515625" bestFit="1" customWidth="1"/>
    <col min="7177" max="7177" width="11.28515625" customWidth="1"/>
    <col min="7178" max="7178" width="12.7109375" bestFit="1" customWidth="1"/>
    <col min="7179" max="7179" width="11.140625" customWidth="1"/>
    <col min="7180" max="7180" width="13.7109375" bestFit="1" customWidth="1"/>
    <col min="7182" max="7182" width="28.85546875" customWidth="1"/>
    <col min="7183" max="7183" width="7.140625" customWidth="1"/>
    <col min="7184" max="7184" width="7.28515625" customWidth="1"/>
    <col min="7186" max="7186" width="9.140625" customWidth="1"/>
    <col min="7187" max="7187" width="7.140625" customWidth="1"/>
    <col min="7188" max="7189" width="10.85546875" customWidth="1"/>
    <col min="7426" max="7426" width="10.28515625" bestFit="1" customWidth="1"/>
    <col min="7428" max="7428" width="52.5703125" customWidth="1"/>
    <col min="7431" max="7431" width="14.28515625" bestFit="1" customWidth="1"/>
    <col min="7432" max="7432" width="11.28515625" bestFit="1" customWidth="1"/>
    <col min="7433" max="7433" width="11.28515625" customWidth="1"/>
    <col min="7434" max="7434" width="12.7109375" bestFit="1" customWidth="1"/>
    <col min="7435" max="7435" width="11.140625" customWidth="1"/>
    <col min="7436" max="7436" width="13.7109375" bestFit="1" customWidth="1"/>
    <col min="7438" max="7438" width="28.85546875" customWidth="1"/>
    <col min="7439" max="7439" width="7.140625" customWidth="1"/>
    <col min="7440" max="7440" width="7.28515625" customWidth="1"/>
    <col min="7442" max="7442" width="9.140625" customWidth="1"/>
    <col min="7443" max="7443" width="7.140625" customWidth="1"/>
    <col min="7444" max="7445" width="10.85546875" customWidth="1"/>
    <col min="7682" max="7682" width="10.28515625" bestFit="1" customWidth="1"/>
    <col min="7684" max="7684" width="52.5703125" customWidth="1"/>
    <col min="7687" max="7687" width="14.28515625" bestFit="1" customWidth="1"/>
    <col min="7688" max="7688" width="11.28515625" bestFit="1" customWidth="1"/>
    <col min="7689" max="7689" width="11.28515625" customWidth="1"/>
    <col min="7690" max="7690" width="12.7109375" bestFit="1" customWidth="1"/>
    <col min="7691" max="7691" width="11.140625" customWidth="1"/>
    <col min="7692" max="7692" width="13.7109375" bestFit="1" customWidth="1"/>
    <col min="7694" max="7694" width="28.85546875" customWidth="1"/>
    <col min="7695" max="7695" width="7.140625" customWidth="1"/>
    <col min="7696" max="7696" width="7.28515625" customWidth="1"/>
    <col min="7698" max="7698" width="9.140625" customWidth="1"/>
    <col min="7699" max="7699" width="7.140625" customWidth="1"/>
    <col min="7700" max="7701" width="10.85546875" customWidth="1"/>
    <col min="7938" max="7938" width="10.28515625" bestFit="1" customWidth="1"/>
    <col min="7940" max="7940" width="52.5703125" customWidth="1"/>
    <col min="7943" max="7943" width="14.28515625" bestFit="1" customWidth="1"/>
    <col min="7944" max="7944" width="11.28515625" bestFit="1" customWidth="1"/>
    <col min="7945" max="7945" width="11.28515625" customWidth="1"/>
    <col min="7946" max="7946" width="12.7109375" bestFit="1" customWidth="1"/>
    <col min="7947" max="7947" width="11.140625" customWidth="1"/>
    <col min="7948" max="7948" width="13.7109375" bestFit="1" customWidth="1"/>
    <col min="7950" max="7950" width="28.85546875" customWidth="1"/>
    <col min="7951" max="7951" width="7.140625" customWidth="1"/>
    <col min="7952" max="7952" width="7.28515625" customWidth="1"/>
    <col min="7954" max="7954" width="9.140625" customWidth="1"/>
    <col min="7955" max="7955" width="7.140625" customWidth="1"/>
    <col min="7956" max="7957" width="10.85546875" customWidth="1"/>
    <col min="8194" max="8194" width="10.28515625" bestFit="1" customWidth="1"/>
    <col min="8196" max="8196" width="52.5703125" customWidth="1"/>
    <col min="8199" max="8199" width="14.28515625" bestFit="1" customWidth="1"/>
    <col min="8200" max="8200" width="11.28515625" bestFit="1" customWidth="1"/>
    <col min="8201" max="8201" width="11.28515625" customWidth="1"/>
    <col min="8202" max="8202" width="12.7109375" bestFit="1" customWidth="1"/>
    <col min="8203" max="8203" width="11.140625" customWidth="1"/>
    <col min="8204" max="8204" width="13.7109375" bestFit="1" customWidth="1"/>
    <col min="8206" max="8206" width="28.85546875" customWidth="1"/>
    <col min="8207" max="8207" width="7.140625" customWidth="1"/>
    <col min="8208" max="8208" width="7.28515625" customWidth="1"/>
    <col min="8210" max="8210" width="9.140625" customWidth="1"/>
    <col min="8211" max="8211" width="7.140625" customWidth="1"/>
    <col min="8212" max="8213" width="10.85546875" customWidth="1"/>
    <col min="8450" max="8450" width="10.28515625" bestFit="1" customWidth="1"/>
    <col min="8452" max="8452" width="52.5703125" customWidth="1"/>
    <col min="8455" max="8455" width="14.28515625" bestFit="1" customWidth="1"/>
    <col min="8456" max="8456" width="11.28515625" bestFit="1" customWidth="1"/>
    <col min="8457" max="8457" width="11.28515625" customWidth="1"/>
    <col min="8458" max="8458" width="12.7109375" bestFit="1" customWidth="1"/>
    <col min="8459" max="8459" width="11.140625" customWidth="1"/>
    <col min="8460" max="8460" width="13.7109375" bestFit="1" customWidth="1"/>
    <col min="8462" max="8462" width="28.85546875" customWidth="1"/>
    <col min="8463" max="8463" width="7.140625" customWidth="1"/>
    <col min="8464" max="8464" width="7.28515625" customWidth="1"/>
    <col min="8466" max="8466" width="9.140625" customWidth="1"/>
    <col min="8467" max="8467" width="7.140625" customWidth="1"/>
    <col min="8468" max="8469" width="10.85546875" customWidth="1"/>
    <col min="8706" max="8706" width="10.28515625" bestFit="1" customWidth="1"/>
    <col min="8708" max="8708" width="52.5703125" customWidth="1"/>
    <col min="8711" max="8711" width="14.28515625" bestFit="1" customWidth="1"/>
    <col min="8712" max="8712" width="11.28515625" bestFit="1" customWidth="1"/>
    <col min="8713" max="8713" width="11.28515625" customWidth="1"/>
    <col min="8714" max="8714" width="12.7109375" bestFit="1" customWidth="1"/>
    <col min="8715" max="8715" width="11.140625" customWidth="1"/>
    <col min="8716" max="8716" width="13.7109375" bestFit="1" customWidth="1"/>
    <col min="8718" max="8718" width="28.85546875" customWidth="1"/>
    <col min="8719" max="8719" width="7.140625" customWidth="1"/>
    <col min="8720" max="8720" width="7.28515625" customWidth="1"/>
    <col min="8722" max="8722" width="9.140625" customWidth="1"/>
    <col min="8723" max="8723" width="7.140625" customWidth="1"/>
    <col min="8724" max="8725" width="10.85546875" customWidth="1"/>
    <col min="8962" max="8962" width="10.28515625" bestFit="1" customWidth="1"/>
    <col min="8964" max="8964" width="52.5703125" customWidth="1"/>
    <col min="8967" max="8967" width="14.28515625" bestFit="1" customWidth="1"/>
    <col min="8968" max="8968" width="11.28515625" bestFit="1" customWidth="1"/>
    <col min="8969" max="8969" width="11.28515625" customWidth="1"/>
    <col min="8970" max="8970" width="12.7109375" bestFit="1" customWidth="1"/>
    <col min="8971" max="8971" width="11.140625" customWidth="1"/>
    <col min="8972" max="8972" width="13.7109375" bestFit="1" customWidth="1"/>
    <col min="8974" max="8974" width="28.85546875" customWidth="1"/>
    <col min="8975" max="8975" width="7.140625" customWidth="1"/>
    <col min="8976" max="8976" width="7.28515625" customWidth="1"/>
    <col min="8978" max="8978" width="9.140625" customWidth="1"/>
    <col min="8979" max="8979" width="7.140625" customWidth="1"/>
    <col min="8980" max="8981" width="10.85546875" customWidth="1"/>
    <col min="9218" max="9218" width="10.28515625" bestFit="1" customWidth="1"/>
    <col min="9220" max="9220" width="52.5703125" customWidth="1"/>
    <col min="9223" max="9223" width="14.28515625" bestFit="1" customWidth="1"/>
    <col min="9224" max="9224" width="11.28515625" bestFit="1" customWidth="1"/>
    <col min="9225" max="9225" width="11.28515625" customWidth="1"/>
    <col min="9226" max="9226" width="12.7109375" bestFit="1" customWidth="1"/>
    <col min="9227" max="9227" width="11.140625" customWidth="1"/>
    <col min="9228" max="9228" width="13.7109375" bestFit="1" customWidth="1"/>
    <col min="9230" max="9230" width="28.85546875" customWidth="1"/>
    <col min="9231" max="9231" width="7.140625" customWidth="1"/>
    <col min="9232" max="9232" width="7.28515625" customWidth="1"/>
    <col min="9234" max="9234" width="9.140625" customWidth="1"/>
    <col min="9235" max="9235" width="7.140625" customWidth="1"/>
    <col min="9236" max="9237" width="10.85546875" customWidth="1"/>
    <col min="9474" max="9474" width="10.28515625" bestFit="1" customWidth="1"/>
    <col min="9476" max="9476" width="52.5703125" customWidth="1"/>
    <col min="9479" max="9479" width="14.28515625" bestFit="1" customWidth="1"/>
    <col min="9480" max="9480" width="11.28515625" bestFit="1" customWidth="1"/>
    <col min="9481" max="9481" width="11.28515625" customWidth="1"/>
    <col min="9482" max="9482" width="12.7109375" bestFit="1" customWidth="1"/>
    <col min="9483" max="9483" width="11.140625" customWidth="1"/>
    <col min="9484" max="9484" width="13.7109375" bestFit="1" customWidth="1"/>
    <col min="9486" max="9486" width="28.85546875" customWidth="1"/>
    <col min="9487" max="9487" width="7.140625" customWidth="1"/>
    <col min="9488" max="9488" width="7.28515625" customWidth="1"/>
    <col min="9490" max="9490" width="9.140625" customWidth="1"/>
    <col min="9491" max="9491" width="7.140625" customWidth="1"/>
    <col min="9492" max="9493" width="10.85546875" customWidth="1"/>
    <col min="9730" max="9730" width="10.28515625" bestFit="1" customWidth="1"/>
    <col min="9732" max="9732" width="52.5703125" customWidth="1"/>
    <col min="9735" max="9735" width="14.28515625" bestFit="1" customWidth="1"/>
    <col min="9736" max="9736" width="11.28515625" bestFit="1" customWidth="1"/>
    <col min="9737" max="9737" width="11.28515625" customWidth="1"/>
    <col min="9738" max="9738" width="12.7109375" bestFit="1" customWidth="1"/>
    <col min="9739" max="9739" width="11.140625" customWidth="1"/>
    <col min="9740" max="9740" width="13.7109375" bestFit="1" customWidth="1"/>
    <col min="9742" max="9742" width="28.85546875" customWidth="1"/>
    <col min="9743" max="9743" width="7.140625" customWidth="1"/>
    <col min="9744" max="9744" width="7.28515625" customWidth="1"/>
    <col min="9746" max="9746" width="9.140625" customWidth="1"/>
    <col min="9747" max="9747" width="7.140625" customWidth="1"/>
    <col min="9748" max="9749" width="10.85546875" customWidth="1"/>
    <col min="9986" max="9986" width="10.28515625" bestFit="1" customWidth="1"/>
    <col min="9988" max="9988" width="52.5703125" customWidth="1"/>
    <col min="9991" max="9991" width="14.28515625" bestFit="1" customWidth="1"/>
    <col min="9992" max="9992" width="11.28515625" bestFit="1" customWidth="1"/>
    <col min="9993" max="9993" width="11.28515625" customWidth="1"/>
    <col min="9994" max="9994" width="12.7109375" bestFit="1" customWidth="1"/>
    <col min="9995" max="9995" width="11.140625" customWidth="1"/>
    <col min="9996" max="9996" width="13.7109375" bestFit="1" customWidth="1"/>
    <col min="9998" max="9998" width="28.85546875" customWidth="1"/>
    <col min="9999" max="9999" width="7.140625" customWidth="1"/>
    <col min="10000" max="10000" width="7.28515625" customWidth="1"/>
    <col min="10002" max="10002" width="9.140625" customWidth="1"/>
    <col min="10003" max="10003" width="7.140625" customWidth="1"/>
    <col min="10004" max="10005" width="10.85546875" customWidth="1"/>
    <col min="10242" max="10242" width="10.28515625" bestFit="1" customWidth="1"/>
    <col min="10244" max="10244" width="52.5703125" customWidth="1"/>
    <col min="10247" max="10247" width="14.28515625" bestFit="1" customWidth="1"/>
    <col min="10248" max="10248" width="11.28515625" bestFit="1" customWidth="1"/>
    <col min="10249" max="10249" width="11.28515625" customWidth="1"/>
    <col min="10250" max="10250" width="12.7109375" bestFit="1" customWidth="1"/>
    <col min="10251" max="10251" width="11.140625" customWidth="1"/>
    <col min="10252" max="10252" width="13.7109375" bestFit="1" customWidth="1"/>
    <col min="10254" max="10254" width="28.85546875" customWidth="1"/>
    <col min="10255" max="10255" width="7.140625" customWidth="1"/>
    <col min="10256" max="10256" width="7.28515625" customWidth="1"/>
    <col min="10258" max="10258" width="9.140625" customWidth="1"/>
    <col min="10259" max="10259" width="7.140625" customWidth="1"/>
    <col min="10260" max="10261" width="10.85546875" customWidth="1"/>
    <col min="10498" max="10498" width="10.28515625" bestFit="1" customWidth="1"/>
    <col min="10500" max="10500" width="52.5703125" customWidth="1"/>
    <col min="10503" max="10503" width="14.28515625" bestFit="1" customWidth="1"/>
    <col min="10504" max="10504" width="11.28515625" bestFit="1" customWidth="1"/>
    <col min="10505" max="10505" width="11.28515625" customWidth="1"/>
    <col min="10506" max="10506" width="12.7109375" bestFit="1" customWidth="1"/>
    <col min="10507" max="10507" width="11.140625" customWidth="1"/>
    <col min="10508" max="10508" width="13.7109375" bestFit="1" customWidth="1"/>
    <col min="10510" max="10510" width="28.85546875" customWidth="1"/>
    <col min="10511" max="10511" width="7.140625" customWidth="1"/>
    <col min="10512" max="10512" width="7.28515625" customWidth="1"/>
    <col min="10514" max="10514" width="9.140625" customWidth="1"/>
    <col min="10515" max="10515" width="7.140625" customWidth="1"/>
    <col min="10516" max="10517" width="10.85546875" customWidth="1"/>
    <col min="10754" max="10754" width="10.28515625" bestFit="1" customWidth="1"/>
    <col min="10756" max="10756" width="52.5703125" customWidth="1"/>
    <col min="10759" max="10759" width="14.28515625" bestFit="1" customWidth="1"/>
    <col min="10760" max="10760" width="11.28515625" bestFit="1" customWidth="1"/>
    <col min="10761" max="10761" width="11.28515625" customWidth="1"/>
    <col min="10762" max="10762" width="12.7109375" bestFit="1" customWidth="1"/>
    <col min="10763" max="10763" width="11.140625" customWidth="1"/>
    <col min="10764" max="10764" width="13.7109375" bestFit="1" customWidth="1"/>
    <col min="10766" max="10766" width="28.85546875" customWidth="1"/>
    <col min="10767" max="10767" width="7.140625" customWidth="1"/>
    <col min="10768" max="10768" width="7.28515625" customWidth="1"/>
    <col min="10770" max="10770" width="9.140625" customWidth="1"/>
    <col min="10771" max="10771" width="7.140625" customWidth="1"/>
    <col min="10772" max="10773" width="10.85546875" customWidth="1"/>
    <col min="11010" max="11010" width="10.28515625" bestFit="1" customWidth="1"/>
    <col min="11012" max="11012" width="52.5703125" customWidth="1"/>
    <col min="11015" max="11015" width="14.28515625" bestFit="1" customWidth="1"/>
    <col min="11016" max="11016" width="11.28515625" bestFit="1" customWidth="1"/>
    <col min="11017" max="11017" width="11.28515625" customWidth="1"/>
    <col min="11018" max="11018" width="12.7109375" bestFit="1" customWidth="1"/>
    <col min="11019" max="11019" width="11.140625" customWidth="1"/>
    <col min="11020" max="11020" width="13.7109375" bestFit="1" customWidth="1"/>
    <col min="11022" max="11022" width="28.85546875" customWidth="1"/>
    <col min="11023" max="11023" width="7.140625" customWidth="1"/>
    <col min="11024" max="11024" width="7.28515625" customWidth="1"/>
    <col min="11026" max="11026" width="9.140625" customWidth="1"/>
    <col min="11027" max="11027" width="7.140625" customWidth="1"/>
    <col min="11028" max="11029" width="10.85546875" customWidth="1"/>
    <col min="11266" max="11266" width="10.28515625" bestFit="1" customWidth="1"/>
    <col min="11268" max="11268" width="52.5703125" customWidth="1"/>
    <col min="11271" max="11271" width="14.28515625" bestFit="1" customWidth="1"/>
    <col min="11272" max="11272" width="11.28515625" bestFit="1" customWidth="1"/>
    <col min="11273" max="11273" width="11.28515625" customWidth="1"/>
    <col min="11274" max="11274" width="12.7109375" bestFit="1" customWidth="1"/>
    <col min="11275" max="11275" width="11.140625" customWidth="1"/>
    <col min="11276" max="11276" width="13.7109375" bestFit="1" customWidth="1"/>
    <col min="11278" max="11278" width="28.85546875" customWidth="1"/>
    <col min="11279" max="11279" width="7.140625" customWidth="1"/>
    <col min="11280" max="11280" width="7.28515625" customWidth="1"/>
    <col min="11282" max="11282" width="9.140625" customWidth="1"/>
    <col min="11283" max="11283" width="7.140625" customWidth="1"/>
    <col min="11284" max="11285" width="10.85546875" customWidth="1"/>
    <col min="11522" max="11522" width="10.28515625" bestFit="1" customWidth="1"/>
    <col min="11524" max="11524" width="52.5703125" customWidth="1"/>
    <col min="11527" max="11527" width="14.28515625" bestFit="1" customWidth="1"/>
    <col min="11528" max="11528" width="11.28515625" bestFit="1" customWidth="1"/>
    <col min="11529" max="11529" width="11.28515625" customWidth="1"/>
    <col min="11530" max="11530" width="12.7109375" bestFit="1" customWidth="1"/>
    <col min="11531" max="11531" width="11.140625" customWidth="1"/>
    <col min="11532" max="11532" width="13.7109375" bestFit="1" customWidth="1"/>
    <col min="11534" max="11534" width="28.85546875" customWidth="1"/>
    <col min="11535" max="11535" width="7.140625" customWidth="1"/>
    <col min="11536" max="11536" width="7.28515625" customWidth="1"/>
    <col min="11538" max="11538" width="9.140625" customWidth="1"/>
    <col min="11539" max="11539" width="7.140625" customWidth="1"/>
    <col min="11540" max="11541" width="10.85546875" customWidth="1"/>
    <col min="11778" max="11778" width="10.28515625" bestFit="1" customWidth="1"/>
    <col min="11780" max="11780" width="52.5703125" customWidth="1"/>
    <col min="11783" max="11783" width="14.28515625" bestFit="1" customWidth="1"/>
    <col min="11784" max="11784" width="11.28515625" bestFit="1" customWidth="1"/>
    <col min="11785" max="11785" width="11.28515625" customWidth="1"/>
    <col min="11786" max="11786" width="12.7109375" bestFit="1" customWidth="1"/>
    <col min="11787" max="11787" width="11.140625" customWidth="1"/>
    <col min="11788" max="11788" width="13.7109375" bestFit="1" customWidth="1"/>
    <col min="11790" max="11790" width="28.85546875" customWidth="1"/>
    <col min="11791" max="11791" width="7.140625" customWidth="1"/>
    <col min="11792" max="11792" width="7.28515625" customWidth="1"/>
    <col min="11794" max="11794" width="9.140625" customWidth="1"/>
    <col min="11795" max="11795" width="7.140625" customWidth="1"/>
    <col min="11796" max="11797" width="10.85546875" customWidth="1"/>
    <col min="12034" max="12034" width="10.28515625" bestFit="1" customWidth="1"/>
    <col min="12036" max="12036" width="52.5703125" customWidth="1"/>
    <col min="12039" max="12039" width="14.28515625" bestFit="1" customWidth="1"/>
    <col min="12040" max="12040" width="11.28515625" bestFit="1" customWidth="1"/>
    <col min="12041" max="12041" width="11.28515625" customWidth="1"/>
    <col min="12042" max="12042" width="12.7109375" bestFit="1" customWidth="1"/>
    <col min="12043" max="12043" width="11.140625" customWidth="1"/>
    <col min="12044" max="12044" width="13.7109375" bestFit="1" customWidth="1"/>
    <col min="12046" max="12046" width="28.85546875" customWidth="1"/>
    <col min="12047" max="12047" width="7.140625" customWidth="1"/>
    <col min="12048" max="12048" width="7.28515625" customWidth="1"/>
    <col min="12050" max="12050" width="9.140625" customWidth="1"/>
    <col min="12051" max="12051" width="7.140625" customWidth="1"/>
    <col min="12052" max="12053" width="10.85546875" customWidth="1"/>
    <col min="12290" max="12290" width="10.28515625" bestFit="1" customWidth="1"/>
    <col min="12292" max="12292" width="52.5703125" customWidth="1"/>
    <col min="12295" max="12295" width="14.28515625" bestFit="1" customWidth="1"/>
    <col min="12296" max="12296" width="11.28515625" bestFit="1" customWidth="1"/>
    <col min="12297" max="12297" width="11.28515625" customWidth="1"/>
    <col min="12298" max="12298" width="12.7109375" bestFit="1" customWidth="1"/>
    <col min="12299" max="12299" width="11.140625" customWidth="1"/>
    <col min="12300" max="12300" width="13.7109375" bestFit="1" customWidth="1"/>
    <col min="12302" max="12302" width="28.85546875" customWidth="1"/>
    <col min="12303" max="12303" width="7.140625" customWidth="1"/>
    <col min="12304" max="12304" width="7.28515625" customWidth="1"/>
    <col min="12306" max="12306" width="9.140625" customWidth="1"/>
    <col min="12307" max="12307" width="7.140625" customWidth="1"/>
    <col min="12308" max="12309" width="10.85546875" customWidth="1"/>
    <col min="12546" max="12546" width="10.28515625" bestFit="1" customWidth="1"/>
    <col min="12548" max="12548" width="52.5703125" customWidth="1"/>
    <col min="12551" max="12551" width="14.28515625" bestFit="1" customWidth="1"/>
    <col min="12552" max="12552" width="11.28515625" bestFit="1" customWidth="1"/>
    <col min="12553" max="12553" width="11.28515625" customWidth="1"/>
    <col min="12554" max="12554" width="12.7109375" bestFit="1" customWidth="1"/>
    <col min="12555" max="12555" width="11.140625" customWidth="1"/>
    <col min="12556" max="12556" width="13.7109375" bestFit="1" customWidth="1"/>
    <col min="12558" max="12558" width="28.85546875" customWidth="1"/>
    <col min="12559" max="12559" width="7.140625" customWidth="1"/>
    <col min="12560" max="12560" width="7.28515625" customWidth="1"/>
    <col min="12562" max="12562" width="9.140625" customWidth="1"/>
    <col min="12563" max="12563" width="7.140625" customWidth="1"/>
    <col min="12564" max="12565" width="10.85546875" customWidth="1"/>
    <col min="12802" max="12802" width="10.28515625" bestFit="1" customWidth="1"/>
    <col min="12804" max="12804" width="52.5703125" customWidth="1"/>
    <col min="12807" max="12807" width="14.28515625" bestFit="1" customWidth="1"/>
    <col min="12808" max="12808" width="11.28515625" bestFit="1" customWidth="1"/>
    <col min="12809" max="12809" width="11.28515625" customWidth="1"/>
    <col min="12810" max="12810" width="12.7109375" bestFit="1" customWidth="1"/>
    <col min="12811" max="12811" width="11.140625" customWidth="1"/>
    <col min="12812" max="12812" width="13.7109375" bestFit="1" customWidth="1"/>
    <col min="12814" max="12814" width="28.85546875" customWidth="1"/>
    <col min="12815" max="12815" width="7.140625" customWidth="1"/>
    <col min="12816" max="12816" width="7.28515625" customWidth="1"/>
    <col min="12818" max="12818" width="9.140625" customWidth="1"/>
    <col min="12819" max="12819" width="7.140625" customWidth="1"/>
    <col min="12820" max="12821" width="10.85546875" customWidth="1"/>
    <col min="13058" max="13058" width="10.28515625" bestFit="1" customWidth="1"/>
    <col min="13060" max="13060" width="52.5703125" customWidth="1"/>
    <col min="13063" max="13063" width="14.28515625" bestFit="1" customWidth="1"/>
    <col min="13064" max="13064" width="11.28515625" bestFit="1" customWidth="1"/>
    <col min="13065" max="13065" width="11.28515625" customWidth="1"/>
    <col min="13066" max="13066" width="12.7109375" bestFit="1" customWidth="1"/>
    <col min="13067" max="13067" width="11.140625" customWidth="1"/>
    <col min="13068" max="13068" width="13.7109375" bestFit="1" customWidth="1"/>
    <col min="13070" max="13070" width="28.85546875" customWidth="1"/>
    <col min="13071" max="13071" width="7.140625" customWidth="1"/>
    <col min="13072" max="13072" width="7.28515625" customWidth="1"/>
    <col min="13074" max="13074" width="9.140625" customWidth="1"/>
    <col min="13075" max="13075" width="7.140625" customWidth="1"/>
    <col min="13076" max="13077" width="10.85546875" customWidth="1"/>
    <col min="13314" max="13314" width="10.28515625" bestFit="1" customWidth="1"/>
    <col min="13316" max="13316" width="52.5703125" customWidth="1"/>
    <col min="13319" max="13319" width="14.28515625" bestFit="1" customWidth="1"/>
    <col min="13320" max="13320" width="11.28515625" bestFit="1" customWidth="1"/>
    <col min="13321" max="13321" width="11.28515625" customWidth="1"/>
    <col min="13322" max="13322" width="12.7109375" bestFit="1" customWidth="1"/>
    <col min="13323" max="13323" width="11.140625" customWidth="1"/>
    <col min="13324" max="13324" width="13.7109375" bestFit="1" customWidth="1"/>
    <col min="13326" max="13326" width="28.85546875" customWidth="1"/>
    <col min="13327" max="13327" width="7.140625" customWidth="1"/>
    <col min="13328" max="13328" width="7.28515625" customWidth="1"/>
    <col min="13330" max="13330" width="9.140625" customWidth="1"/>
    <col min="13331" max="13331" width="7.140625" customWidth="1"/>
    <col min="13332" max="13333" width="10.85546875" customWidth="1"/>
    <col min="13570" max="13570" width="10.28515625" bestFit="1" customWidth="1"/>
    <col min="13572" max="13572" width="52.5703125" customWidth="1"/>
    <col min="13575" max="13575" width="14.28515625" bestFit="1" customWidth="1"/>
    <col min="13576" max="13576" width="11.28515625" bestFit="1" customWidth="1"/>
    <col min="13577" max="13577" width="11.28515625" customWidth="1"/>
    <col min="13578" max="13578" width="12.7109375" bestFit="1" customWidth="1"/>
    <col min="13579" max="13579" width="11.140625" customWidth="1"/>
    <col min="13580" max="13580" width="13.7109375" bestFit="1" customWidth="1"/>
    <col min="13582" max="13582" width="28.85546875" customWidth="1"/>
    <col min="13583" max="13583" width="7.140625" customWidth="1"/>
    <col min="13584" max="13584" width="7.28515625" customWidth="1"/>
    <col min="13586" max="13586" width="9.140625" customWidth="1"/>
    <col min="13587" max="13587" width="7.140625" customWidth="1"/>
    <col min="13588" max="13589" width="10.85546875" customWidth="1"/>
    <col min="13826" max="13826" width="10.28515625" bestFit="1" customWidth="1"/>
    <col min="13828" max="13828" width="52.5703125" customWidth="1"/>
    <col min="13831" max="13831" width="14.28515625" bestFit="1" customWidth="1"/>
    <col min="13832" max="13832" width="11.28515625" bestFit="1" customWidth="1"/>
    <col min="13833" max="13833" width="11.28515625" customWidth="1"/>
    <col min="13834" max="13834" width="12.7109375" bestFit="1" customWidth="1"/>
    <col min="13835" max="13835" width="11.140625" customWidth="1"/>
    <col min="13836" max="13836" width="13.7109375" bestFit="1" customWidth="1"/>
    <col min="13838" max="13838" width="28.85546875" customWidth="1"/>
    <col min="13839" max="13839" width="7.140625" customWidth="1"/>
    <col min="13840" max="13840" width="7.28515625" customWidth="1"/>
    <col min="13842" max="13842" width="9.140625" customWidth="1"/>
    <col min="13843" max="13843" width="7.140625" customWidth="1"/>
    <col min="13844" max="13845" width="10.85546875" customWidth="1"/>
    <col min="14082" max="14082" width="10.28515625" bestFit="1" customWidth="1"/>
    <col min="14084" max="14084" width="52.5703125" customWidth="1"/>
    <col min="14087" max="14087" width="14.28515625" bestFit="1" customWidth="1"/>
    <col min="14088" max="14088" width="11.28515625" bestFit="1" customWidth="1"/>
    <col min="14089" max="14089" width="11.28515625" customWidth="1"/>
    <col min="14090" max="14090" width="12.7109375" bestFit="1" customWidth="1"/>
    <col min="14091" max="14091" width="11.140625" customWidth="1"/>
    <col min="14092" max="14092" width="13.7109375" bestFit="1" customWidth="1"/>
    <col min="14094" max="14094" width="28.85546875" customWidth="1"/>
    <col min="14095" max="14095" width="7.140625" customWidth="1"/>
    <col min="14096" max="14096" width="7.28515625" customWidth="1"/>
    <col min="14098" max="14098" width="9.140625" customWidth="1"/>
    <col min="14099" max="14099" width="7.140625" customWidth="1"/>
    <col min="14100" max="14101" width="10.85546875" customWidth="1"/>
    <col min="14338" max="14338" width="10.28515625" bestFit="1" customWidth="1"/>
    <col min="14340" max="14340" width="52.5703125" customWidth="1"/>
    <col min="14343" max="14343" width="14.28515625" bestFit="1" customWidth="1"/>
    <col min="14344" max="14344" width="11.28515625" bestFit="1" customWidth="1"/>
    <col min="14345" max="14345" width="11.28515625" customWidth="1"/>
    <col min="14346" max="14346" width="12.7109375" bestFit="1" customWidth="1"/>
    <col min="14347" max="14347" width="11.140625" customWidth="1"/>
    <col min="14348" max="14348" width="13.7109375" bestFit="1" customWidth="1"/>
    <col min="14350" max="14350" width="28.85546875" customWidth="1"/>
    <col min="14351" max="14351" width="7.140625" customWidth="1"/>
    <col min="14352" max="14352" width="7.28515625" customWidth="1"/>
    <col min="14354" max="14354" width="9.140625" customWidth="1"/>
    <col min="14355" max="14355" width="7.140625" customWidth="1"/>
    <col min="14356" max="14357" width="10.85546875" customWidth="1"/>
    <col min="14594" max="14594" width="10.28515625" bestFit="1" customWidth="1"/>
    <col min="14596" max="14596" width="52.5703125" customWidth="1"/>
    <col min="14599" max="14599" width="14.28515625" bestFit="1" customWidth="1"/>
    <col min="14600" max="14600" width="11.28515625" bestFit="1" customWidth="1"/>
    <col min="14601" max="14601" width="11.28515625" customWidth="1"/>
    <col min="14602" max="14602" width="12.7109375" bestFit="1" customWidth="1"/>
    <col min="14603" max="14603" width="11.140625" customWidth="1"/>
    <col min="14604" max="14604" width="13.7109375" bestFit="1" customWidth="1"/>
    <col min="14606" max="14606" width="28.85546875" customWidth="1"/>
    <col min="14607" max="14607" width="7.140625" customWidth="1"/>
    <col min="14608" max="14608" width="7.28515625" customWidth="1"/>
    <col min="14610" max="14610" width="9.140625" customWidth="1"/>
    <col min="14611" max="14611" width="7.140625" customWidth="1"/>
    <col min="14612" max="14613" width="10.85546875" customWidth="1"/>
    <col min="14850" max="14850" width="10.28515625" bestFit="1" customWidth="1"/>
    <col min="14852" max="14852" width="52.5703125" customWidth="1"/>
    <col min="14855" max="14855" width="14.28515625" bestFit="1" customWidth="1"/>
    <col min="14856" max="14856" width="11.28515625" bestFit="1" customWidth="1"/>
    <col min="14857" max="14857" width="11.28515625" customWidth="1"/>
    <col min="14858" max="14858" width="12.7109375" bestFit="1" customWidth="1"/>
    <col min="14859" max="14859" width="11.140625" customWidth="1"/>
    <col min="14860" max="14860" width="13.7109375" bestFit="1" customWidth="1"/>
    <col min="14862" max="14862" width="28.85546875" customWidth="1"/>
    <col min="14863" max="14863" width="7.140625" customWidth="1"/>
    <col min="14864" max="14864" width="7.28515625" customWidth="1"/>
    <col min="14866" max="14866" width="9.140625" customWidth="1"/>
    <col min="14867" max="14867" width="7.140625" customWidth="1"/>
    <col min="14868" max="14869" width="10.85546875" customWidth="1"/>
    <col min="15106" max="15106" width="10.28515625" bestFit="1" customWidth="1"/>
    <col min="15108" max="15108" width="52.5703125" customWidth="1"/>
    <col min="15111" max="15111" width="14.28515625" bestFit="1" customWidth="1"/>
    <col min="15112" max="15112" width="11.28515625" bestFit="1" customWidth="1"/>
    <col min="15113" max="15113" width="11.28515625" customWidth="1"/>
    <col min="15114" max="15114" width="12.7109375" bestFit="1" customWidth="1"/>
    <col min="15115" max="15115" width="11.140625" customWidth="1"/>
    <col min="15116" max="15116" width="13.7109375" bestFit="1" customWidth="1"/>
    <col min="15118" max="15118" width="28.85546875" customWidth="1"/>
    <col min="15119" max="15119" width="7.140625" customWidth="1"/>
    <col min="15120" max="15120" width="7.28515625" customWidth="1"/>
    <col min="15122" max="15122" width="9.140625" customWidth="1"/>
    <col min="15123" max="15123" width="7.140625" customWidth="1"/>
    <col min="15124" max="15125" width="10.85546875" customWidth="1"/>
    <col min="15362" max="15362" width="10.28515625" bestFit="1" customWidth="1"/>
    <col min="15364" max="15364" width="52.5703125" customWidth="1"/>
    <col min="15367" max="15367" width="14.28515625" bestFit="1" customWidth="1"/>
    <col min="15368" max="15368" width="11.28515625" bestFit="1" customWidth="1"/>
    <col min="15369" max="15369" width="11.28515625" customWidth="1"/>
    <col min="15370" max="15370" width="12.7109375" bestFit="1" customWidth="1"/>
    <col min="15371" max="15371" width="11.140625" customWidth="1"/>
    <col min="15372" max="15372" width="13.7109375" bestFit="1" customWidth="1"/>
    <col min="15374" max="15374" width="28.85546875" customWidth="1"/>
    <col min="15375" max="15375" width="7.140625" customWidth="1"/>
    <col min="15376" max="15376" width="7.28515625" customWidth="1"/>
    <col min="15378" max="15378" width="9.140625" customWidth="1"/>
    <col min="15379" max="15379" width="7.140625" customWidth="1"/>
    <col min="15380" max="15381" width="10.85546875" customWidth="1"/>
    <col min="15618" max="15618" width="10.28515625" bestFit="1" customWidth="1"/>
    <col min="15620" max="15620" width="52.5703125" customWidth="1"/>
    <col min="15623" max="15623" width="14.28515625" bestFit="1" customWidth="1"/>
    <col min="15624" max="15624" width="11.28515625" bestFit="1" customWidth="1"/>
    <col min="15625" max="15625" width="11.28515625" customWidth="1"/>
    <col min="15626" max="15626" width="12.7109375" bestFit="1" customWidth="1"/>
    <col min="15627" max="15627" width="11.140625" customWidth="1"/>
    <col min="15628" max="15628" width="13.7109375" bestFit="1" customWidth="1"/>
    <col min="15630" max="15630" width="28.85546875" customWidth="1"/>
    <col min="15631" max="15631" width="7.140625" customWidth="1"/>
    <col min="15632" max="15632" width="7.28515625" customWidth="1"/>
    <col min="15634" max="15634" width="9.140625" customWidth="1"/>
    <col min="15635" max="15635" width="7.140625" customWidth="1"/>
    <col min="15636" max="15637" width="10.85546875" customWidth="1"/>
    <col min="15874" max="15874" width="10.28515625" bestFit="1" customWidth="1"/>
    <col min="15876" max="15876" width="52.5703125" customWidth="1"/>
    <col min="15879" max="15879" width="14.28515625" bestFit="1" customWidth="1"/>
    <col min="15880" max="15880" width="11.28515625" bestFit="1" customWidth="1"/>
    <col min="15881" max="15881" width="11.28515625" customWidth="1"/>
    <col min="15882" max="15882" width="12.7109375" bestFit="1" customWidth="1"/>
    <col min="15883" max="15883" width="11.140625" customWidth="1"/>
    <col min="15884" max="15884" width="13.7109375" bestFit="1" customWidth="1"/>
    <col min="15886" max="15886" width="28.85546875" customWidth="1"/>
    <col min="15887" max="15887" width="7.140625" customWidth="1"/>
    <col min="15888" max="15888" width="7.28515625" customWidth="1"/>
    <col min="15890" max="15890" width="9.140625" customWidth="1"/>
    <col min="15891" max="15891" width="7.140625" customWidth="1"/>
    <col min="15892" max="15893" width="10.85546875" customWidth="1"/>
    <col min="16130" max="16130" width="10.28515625" bestFit="1" customWidth="1"/>
    <col min="16132" max="16132" width="52.5703125" customWidth="1"/>
    <col min="16135" max="16135" width="14.28515625" bestFit="1" customWidth="1"/>
    <col min="16136" max="16136" width="11.28515625" bestFit="1" customWidth="1"/>
    <col min="16137" max="16137" width="11.28515625" customWidth="1"/>
    <col min="16138" max="16138" width="12.7109375" bestFit="1" customWidth="1"/>
    <col min="16139" max="16139" width="11.140625" customWidth="1"/>
    <col min="16140" max="16140" width="13.7109375" bestFit="1" customWidth="1"/>
    <col min="16142" max="16142" width="28.85546875" customWidth="1"/>
    <col min="16143" max="16143" width="7.140625" customWidth="1"/>
    <col min="16144" max="16144" width="7.28515625" customWidth="1"/>
    <col min="16146" max="16146" width="9.140625" customWidth="1"/>
    <col min="16147" max="16147" width="7.140625" customWidth="1"/>
    <col min="16148" max="16149" width="10.85546875" customWidth="1"/>
  </cols>
  <sheetData>
    <row r="1" spans="1:21" ht="19.5">
      <c r="A1" s="1558" t="s">
        <v>12691</v>
      </c>
      <c r="B1" s="1558"/>
      <c r="C1" s="1558"/>
      <c r="D1" s="1558"/>
      <c r="E1" s="1558"/>
      <c r="F1" s="1558"/>
      <c r="G1" s="1558"/>
      <c r="H1" s="1558"/>
      <c r="I1" s="1558"/>
      <c r="J1" s="1558"/>
      <c r="K1" s="1558"/>
      <c r="L1" s="1558"/>
      <c r="N1" t="s">
        <v>12692</v>
      </c>
    </row>
    <row r="2" spans="1:21" ht="33" customHeight="1">
      <c r="A2" s="1559" t="s">
        <v>12693</v>
      </c>
      <c r="B2" s="1560"/>
      <c r="C2" s="1560"/>
      <c r="D2" s="1560"/>
      <c r="E2" s="1560"/>
      <c r="F2" s="1560"/>
      <c r="G2" s="1560"/>
      <c r="H2" s="1560"/>
      <c r="I2" s="1560"/>
      <c r="J2" s="1560"/>
      <c r="K2" s="1560"/>
      <c r="L2" s="1560"/>
    </row>
    <row r="4" spans="1:21" s="875" customFormat="1" ht="18" customHeight="1">
      <c r="A4" s="871" t="s">
        <v>3907</v>
      </c>
      <c r="B4" s="871" t="s">
        <v>3908</v>
      </c>
      <c r="C4" s="871" t="s">
        <v>3909</v>
      </c>
      <c r="D4" s="1561" t="s">
        <v>3910</v>
      </c>
      <c r="E4" s="871" t="s">
        <v>3911</v>
      </c>
      <c r="F4" s="871" t="s">
        <v>12694</v>
      </c>
      <c r="G4" s="1563" t="s">
        <v>108</v>
      </c>
      <c r="H4" s="1563"/>
      <c r="I4" s="1564" t="s">
        <v>12695</v>
      </c>
      <c r="J4" s="1564" t="s">
        <v>276</v>
      </c>
      <c r="K4" s="1188" t="s">
        <v>97</v>
      </c>
      <c r="L4" s="1564" t="s">
        <v>98</v>
      </c>
      <c r="M4" s="874"/>
      <c r="N4" s="1554" t="s">
        <v>12696</v>
      </c>
      <c r="O4" s="1555" t="s">
        <v>12697</v>
      </c>
      <c r="P4" s="1555"/>
      <c r="Q4" s="1555"/>
      <c r="R4" s="1555"/>
      <c r="S4" s="1555"/>
      <c r="T4" s="1556" t="s">
        <v>3576</v>
      </c>
      <c r="U4" s="1557"/>
    </row>
    <row r="5" spans="1:21" s="847" customFormat="1" ht="36.75" customHeight="1">
      <c r="A5" s="876" t="s">
        <v>84</v>
      </c>
      <c r="B5" s="876" t="s">
        <v>97</v>
      </c>
      <c r="C5" s="876" t="s">
        <v>3915</v>
      </c>
      <c r="D5" s="1562"/>
      <c r="E5" s="876" t="s">
        <v>3916</v>
      </c>
      <c r="F5" s="876" t="s">
        <v>12698</v>
      </c>
      <c r="G5" s="876" t="s">
        <v>12694</v>
      </c>
      <c r="H5" s="1189" t="s">
        <v>98</v>
      </c>
      <c r="I5" s="1565"/>
      <c r="J5" s="1565"/>
      <c r="K5" s="1190" t="s">
        <v>93</v>
      </c>
      <c r="L5" s="1565"/>
      <c r="M5" s="880"/>
      <c r="N5" s="1554"/>
      <c r="O5" s="1191" t="s">
        <v>12699</v>
      </c>
      <c r="P5" s="824" t="s">
        <v>12700</v>
      </c>
      <c r="Q5" s="824" t="s">
        <v>12701</v>
      </c>
      <c r="R5" s="824" t="s">
        <v>12702</v>
      </c>
      <c r="S5" s="824" t="s">
        <v>12703</v>
      </c>
      <c r="T5" s="823" t="s">
        <v>12704</v>
      </c>
      <c r="U5" s="823" t="s">
        <v>12705</v>
      </c>
    </row>
    <row r="6" spans="1:21" s="847" customFormat="1" ht="15.75">
      <c r="A6" s="1192"/>
      <c r="B6" s="1193" t="s">
        <v>12706</v>
      </c>
      <c r="C6" s="1194"/>
      <c r="D6" s="1195" t="s">
        <v>12707</v>
      </c>
      <c r="E6" s="1196" t="s">
        <v>47</v>
      </c>
      <c r="F6" s="1196">
        <v>1</v>
      </c>
      <c r="G6" s="1195"/>
      <c r="H6" s="1195"/>
      <c r="I6" s="1195"/>
      <c r="J6" s="1197">
        <v>207944</v>
      </c>
      <c r="K6" s="1195"/>
      <c r="L6" s="1195"/>
      <c r="M6" s="880"/>
      <c r="N6" s="1187" t="s">
        <v>12708</v>
      </c>
      <c r="O6" s="1198"/>
      <c r="P6" s="1199"/>
      <c r="Q6" s="1199">
        <v>2</v>
      </c>
      <c r="R6" s="1199"/>
      <c r="S6" s="1199">
        <v>0.5</v>
      </c>
      <c r="T6" s="1200"/>
      <c r="U6" s="1200"/>
    </row>
    <row r="7" spans="1:21" s="847" customFormat="1" ht="15.75">
      <c r="A7" s="1192"/>
      <c r="B7" s="1193" t="s">
        <v>12709</v>
      </c>
      <c r="C7" s="1194"/>
      <c r="D7" s="1195" t="s">
        <v>12710</v>
      </c>
      <c r="E7" s="1196" t="s">
        <v>47</v>
      </c>
      <c r="F7" s="1196">
        <v>1</v>
      </c>
      <c r="G7" s="1195"/>
      <c r="H7" s="1195"/>
      <c r="I7" s="1195"/>
      <c r="J7" s="1197">
        <v>373354</v>
      </c>
      <c r="K7" s="1195"/>
      <c r="L7" s="1195"/>
      <c r="M7" s="880"/>
      <c r="N7" s="1187" t="s">
        <v>12708</v>
      </c>
      <c r="O7" s="1198"/>
      <c r="P7" s="1199"/>
      <c r="Q7" s="1199">
        <v>2</v>
      </c>
      <c r="R7" s="1199"/>
      <c r="S7" s="1199">
        <v>0.5</v>
      </c>
      <c r="T7" s="1200"/>
      <c r="U7" s="1200"/>
    </row>
    <row r="8" spans="1:21" s="847" customFormat="1" ht="15.75">
      <c r="A8" s="1192"/>
      <c r="B8" s="1193" t="s">
        <v>12711</v>
      </c>
      <c r="C8" s="1194"/>
      <c r="D8" s="1195" t="s">
        <v>12712</v>
      </c>
      <c r="E8" s="1196" t="s">
        <v>47</v>
      </c>
      <c r="F8" s="1196">
        <v>1</v>
      </c>
      <c r="G8" s="1195"/>
      <c r="H8" s="1195"/>
      <c r="I8" s="1195"/>
      <c r="J8" s="1197">
        <v>245752</v>
      </c>
      <c r="K8" s="1195"/>
      <c r="L8" s="1195"/>
      <c r="M8" s="880"/>
      <c r="N8" s="1187"/>
      <c r="O8" s="1198"/>
      <c r="P8" s="1199"/>
      <c r="Q8" s="1199"/>
      <c r="R8" s="1199"/>
      <c r="S8" s="1199"/>
      <c r="T8" s="1200"/>
      <c r="U8" s="1200"/>
    </row>
    <row r="9" spans="1:21" s="847" customFormat="1" ht="15.75">
      <c r="A9" s="1192"/>
      <c r="B9" s="1201"/>
      <c r="C9" s="1202"/>
      <c r="D9" s="1203" t="s">
        <v>12713</v>
      </c>
      <c r="E9" s="823"/>
      <c r="F9" s="823"/>
      <c r="G9" s="823"/>
      <c r="H9" s="1204"/>
      <c r="I9" s="1204"/>
      <c r="J9" s="1204"/>
      <c r="K9" s="1204"/>
      <c r="L9" s="1204"/>
      <c r="M9" s="880"/>
      <c r="N9" s="1187" t="s">
        <v>12714</v>
      </c>
      <c r="O9" s="1198">
        <v>2.5</v>
      </c>
      <c r="P9" s="1199">
        <v>1</v>
      </c>
      <c r="Q9" s="1199">
        <v>1.5</v>
      </c>
      <c r="R9" s="1199">
        <v>0.2</v>
      </c>
      <c r="S9" s="1199"/>
      <c r="T9" s="1200"/>
      <c r="U9" s="1200"/>
    </row>
    <row r="10" spans="1:21" s="847" customFormat="1" ht="15.75">
      <c r="A10" s="1192"/>
      <c r="B10" s="1193" t="s">
        <v>12715</v>
      </c>
      <c r="C10" s="1194"/>
      <c r="D10" s="1195" t="s">
        <v>12716</v>
      </c>
      <c r="E10" s="1196" t="s">
        <v>47</v>
      </c>
      <c r="F10" s="1196">
        <v>1</v>
      </c>
      <c r="G10" s="1195"/>
      <c r="H10" s="1195"/>
      <c r="I10" s="1195"/>
      <c r="J10" s="1197">
        <v>257567</v>
      </c>
      <c r="K10" s="1195"/>
      <c r="L10" s="1195"/>
      <c r="M10" s="1205"/>
      <c r="N10" s="1187" t="s">
        <v>12717</v>
      </c>
      <c r="O10" s="1198"/>
      <c r="P10" s="1199"/>
      <c r="Q10" s="1199"/>
      <c r="R10" s="1199"/>
      <c r="S10" s="1199"/>
      <c r="T10" s="1200"/>
      <c r="U10" s="1206">
        <f>(O9*P9*R9)+(O9*R9*(Q9-R9)*2)+(P9*R9*(Q9-R9)*2)</f>
        <v>2.3200000000000003</v>
      </c>
    </row>
    <row r="11" spans="1:21" ht="15.75">
      <c r="A11" s="1192"/>
      <c r="B11" s="1193" t="s">
        <v>12718</v>
      </c>
      <c r="C11" s="1194"/>
      <c r="D11" s="1195" t="s">
        <v>12719</v>
      </c>
      <c r="E11" s="1196" t="s">
        <v>47</v>
      </c>
      <c r="F11" s="1196">
        <v>1</v>
      </c>
      <c r="G11" s="1195"/>
      <c r="H11" s="1195"/>
      <c r="I11" s="1195"/>
      <c r="J11" s="1197">
        <v>132328</v>
      </c>
      <c r="K11" s="1195"/>
      <c r="L11" s="1195"/>
      <c r="N11" s="337"/>
      <c r="O11" s="1207"/>
      <c r="P11" s="1207"/>
      <c r="Q11" s="1207"/>
      <c r="R11" s="1207"/>
      <c r="S11" s="1207"/>
      <c r="T11" s="337"/>
      <c r="U11" s="337"/>
    </row>
    <row r="12" spans="1:21" ht="15.75">
      <c r="A12" s="1192"/>
      <c r="B12" s="1201"/>
      <c r="C12" s="1202"/>
      <c r="D12" s="1203" t="s">
        <v>12720</v>
      </c>
      <c r="E12" s="823"/>
      <c r="F12" s="823"/>
      <c r="G12" s="823"/>
      <c r="H12" s="1204"/>
      <c r="I12" s="1204"/>
      <c r="J12" s="1204"/>
      <c r="K12" s="1204"/>
      <c r="L12" s="1204"/>
      <c r="N12" s="337"/>
      <c r="O12" s="1207"/>
      <c r="P12" s="1207"/>
      <c r="Q12" s="1207"/>
      <c r="R12" s="1207"/>
      <c r="S12" s="1207"/>
      <c r="T12" s="337"/>
      <c r="U12" s="337"/>
    </row>
    <row r="13" spans="1:21" ht="15.75">
      <c r="A13" s="337"/>
      <c r="B13" s="1193" t="s">
        <v>12721</v>
      </c>
      <c r="C13" s="1194"/>
      <c r="D13" s="1195" t="s">
        <v>12722</v>
      </c>
      <c r="E13" s="1196" t="s">
        <v>128</v>
      </c>
      <c r="F13" s="1196"/>
      <c r="G13" s="1195"/>
      <c r="H13" s="1195"/>
      <c r="I13" s="1195"/>
      <c r="J13" s="1197">
        <v>921570</v>
      </c>
      <c r="K13" s="1195"/>
      <c r="L13" s="1197">
        <v>1064548</v>
      </c>
      <c r="N13" s="337"/>
      <c r="O13" s="1207"/>
      <c r="P13" s="1207"/>
      <c r="Q13" s="1207"/>
      <c r="R13" s="1207"/>
      <c r="S13" s="1207"/>
      <c r="T13" s="337"/>
      <c r="U13" s="337"/>
    </row>
    <row r="14" spans="1:21" ht="15.75">
      <c r="A14" s="1192"/>
      <c r="B14" s="1201"/>
      <c r="C14" s="1202"/>
      <c r="D14" s="1203" t="s">
        <v>12723</v>
      </c>
      <c r="E14" s="823"/>
      <c r="F14" s="823"/>
      <c r="G14" s="823"/>
      <c r="H14" s="1204"/>
      <c r="I14" s="1204"/>
      <c r="J14" s="1204"/>
      <c r="K14" s="1204"/>
      <c r="L14" s="1204"/>
      <c r="N14" s="337"/>
      <c r="O14" s="1207"/>
      <c r="P14" s="1207"/>
      <c r="Q14" s="1207"/>
      <c r="R14" s="1207"/>
      <c r="S14" s="1207"/>
      <c r="T14" s="337"/>
      <c r="U14" s="337"/>
    </row>
    <row r="15" spans="1:21" ht="15.75">
      <c r="A15" s="1192"/>
      <c r="B15" s="1193" t="s">
        <v>12724</v>
      </c>
      <c r="C15" s="1194"/>
      <c r="D15" s="1195" t="s">
        <v>12725</v>
      </c>
      <c r="E15" s="1196" t="s">
        <v>128</v>
      </c>
      <c r="F15" s="1196"/>
      <c r="G15" s="1195"/>
      <c r="H15" s="1195"/>
      <c r="I15" s="1195"/>
      <c r="J15" s="1197">
        <v>810509</v>
      </c>
      <c r="K15" s="1195"/>
      <c r="L15" s="1197">
        <v>918967</v>
      </c>
      <c r="N15" s="337"/>
      <c r="O15" s="1207"/>
      <c r="P15" s="1207"/>
      <c r="Q15" s="1207"/>
      <c r="R15" s="1207"/>
      <c r="S15" s="1207"/>
      <c r="T15" s="337"/>
      <c r="U15" s="337"/>
    </row>
    <row r="16" spans="1:21" ht="15.75">
      <c r="A16" s="1192"/>
      <c r="B16" s="1201"/>
      <c r="C16" s="1202"/>
      <c r="D16" s="1203" t="s">
        <v>12726</v>
      </c>
      <c r="E16" s="823"/>
      <c r="F16" s="823"/>
      <c r="G16" s="823"/>
      <c r="H16" s="1204"/>
      <c r="I16" s="1204"/>
      <c r="J16" s="1204"/>
      <c r="K16" s="1204"/>
      <c r="L16" s="1204"/>
      <c r="N16" s="337"/>
      <c r="O16" s="1207"/>
      <c r="P16" s="1207"/>
      <c r="Q16" s="1207"/>
      <c r="R16" s="1207"/>
      <c r="S16" s="1207"/>
      <c r="T16" s="337"/>
      <c r="U16" s="337"/>
    </row>
    <row r="17" spans="1:21" ht="15.75">
      <c r="A17" s="1192"/>
      <c r="B17" s="1193" t="s">
        <v>12727</v>
      </c>
      <c r="C17" s="1194"/>
      <c r="D17" s="1195" t="s">
        <v>12728</v>
      </c>
      <c r="E17" s="1196" t="s">
        <v>128</v>
      </c>
      <c r="F17" s="1196"/>
      <c r="G17" s="1195"/>
      <c r="H17" s="1195"/>
      <c r="I17" s="1195"/>
      <c r="J17" s="1197">
        <v>1273657</v>
      </c>
      <c r="K17" s="1195"/>
      <c r="L17" s="1197">
        <v>1224576</v>
      </c>
      <c r="N17" s="337"/>
      <c r="O17" s="337"/>
      <c r="P17" s="337"/>
      <c r="Q17" s="337"/>
      <c r="R17" s="337"/>
      <c r="S17" s="337"/>
      <c r="T17" s="337"/>
      <c r="U17" s="337"/>
    </row>
    <row r="18" spans="1:21" ht="15.75">
      <c r="A18" s="1192"/>
      <c r="B18" s="1193" t="s">
        <v>12729</v>
      </c>
      <c r="C18" s="1194"/>
      <c r="D18" s="1195" t="s">
        <v>12730</v>
      </c>
      <c r="E18" s="1196" t="s">
        <v>128</v>
      </c>
      <c r="F18" s="1196"/>
      <c r="G18" s="1195"/>
      <c r="H18" s="1195"/>
      <c r="I18" s="1195"/>
      <c r="J18" s="1197">
        <v>1462697</v>
      </c>
      <c r="K18" s="1195"/>
      <c r="L18" s="1197">
        <v>1405521</v>
      </c>
      <c r="N18" s="337"/>
      <c r="O18" s="337"/>
      <c r="P18" s="337"/>
      <c r="Q18" s="337"/>
      <c r="R18" s="337"/>
      <c r="S18" s="337"/>
      <c r="T18" s="337"/>
      <c r="U18" s="337"/>
    </row>
    <row r="19" spans="1:21" ht="15.75">
      <c r="A19" s="337"/>
      <c r="B19" s="1193" t="s">
        <v>12731</v>
      </c>
      <c r="C19" s="1194"/>
      <c r="D19" s="1195" t="s">
        <v>12732</v>
      </c>
      <c r="E19" s="1196" t="s">
        <v>128</v>
      </c>
      <c r="F19" s="1196"/>
      <c r="G19" s="1195"/>
      <c r="H19" s="1195"/>
      <c r="I19" s="1195"/>
      <c r="J19" s="1197">
        <v>1684819</v>
      </c>
      <c r="K19" s="1195"/>
      <c r="L19" s="1197">
        <v>1618633</v>
      </c>
      <c r="N19" s="337"/>
      <c r="O19" s="337"/>
      <c r="P19" s="337"/>
      <c r="Q19" s="337"/>
      <c r="R19" s="337"/>
      <c r="S19" s="337"/>
      <c r="T19" s="337"/>
      <c r="U19" s="337"/>
    </row>
    <row r="20" spans="1:21" ht="15.75">
      <c r="A20" s="1192"/>
      <c r="B20" s="1201"/>
      <c r="C20" s="1202"/>
      <c r="D20" s="1203" t="s">
        <v>12733</v>
      </c>
      <c r="E20" s="823"/>
      <c r="F20" s="823"/>
      <c r="G20" s="823"/>
      <c r="H20" s="1204"/>
      <c r="I20" s="1204"/>
      <c r="J20" s="1204"/>
      <c r="K20" s="1204"/>
      <c r="L20" s="1204"/>
    </row>
    <row r="21" spans="1:21" ht="15.75">
      <c r="A21" s="337"/>
      <c r="B21" s="1193" t="s">
        <v>12734</v>
      </c>
      <c r="C21" s="1194"/>
      <c r="D21" s="1195" t="s">
        <v>12735</v>
      </c>
      <c r="E21" s="1196" t="s">
        <v>793</v>
      </c>
      <c r="F21" s="1196"/>
      <c r="G21" s="1195"/>
      <c r="H21" s="1208">
        <v>7944673</v>
      </c>
      <c r="I21" s="1195"/>
      <c r="J21" s="1197">
        <v>244120</v>
      </c>
      <c r="K21" s="1195"/>
      <c r="L21" s="1197">
        <v>333504</v>
      </c>
    </row>
    <row r="22" spans="1:21" ht="15.75">
      <c r="A22" s="337"/>
      <c r="B22" s="1193" t="s">
        <v>12736</v>
      </c>
      <c r="C22" s="1194"/>
      <c r="D22" s="1195" t="s">
        <v>12737</v>
      </c>
      <c r="E22" s="1196" t="s">
        <v>793</v>
      </c>
      <c r="F22" s="1196"/>
      <c r="G22" s="1195"/>
      <c r="H22" s="1208">
        <v>13414406</v>
      </c>
      <c r="I22" s="1195"/>
      <c r="J22" s="1197">
        <v>406867</v>
      </c>
      <c r="K22" s="1195"/>
      <c r="L22" s="1197">
        <v>439614</v>
      </c>
    </row>
    <row r="23" spans="1:21" ht="15.75">
      <c r="A23" s="337"/>
      <c r="B23" s="1193" t="s">
        <v>12738</v>
      </c>
      <c r="C23" s="1194"/>
      <c r="D23" s="1195" t="s">
        <v>12739</v>
      </c>
      <c r="E23" s="1196" t="s">
        <v>793</v>
      </c>
      <c r="F23" s="1196"/>
      <c r="G23" s="1195"/>
      <c r="H23" s="1208">
        <v>18782428</v>
      </c>
      <c r="I23" s="1195"/>
      <c r="J23" s="1197">
        <v>569614</v>
      </c>
      <c r="K23" s="1195"/>
      <c r="L23" s="1197">
        <v>531525</v>
      </c>
    </row>
    <row r="24" spans="1:21" ht="15.75">
      <c r="A24" s="337"/>
      <c r="B24" s="1193"/>
      <c r="C24" s="1194"/>
      <c r="D24" s="341" t="s">
        <v>12740</v>
      </c>
      <c r="E24" s="1196"/>
      <c r="F24" s="1196"/>
      <c r="G24" s="1195"/>
      <c r="H24" s="1208"/>
      <c r="I24" s="1195"/>
      <c r="J24" s="1197"/>
      <c r="K24" s="1195"/>
      <c r="L24" s="1197"/>
    </row>
    <row r="25" spans="1:21" ht="15.75">
      <c r="A25" s="1192"/>
      <c r="B25" s="1193" t="s">
        <v>12741</v>
      </c>
      <c r="C25" s="1202"/>
      <c r="D25" s="1209" t="s">
        <v>12742</v>
      </c>
      <c r="E25" s="1196" t="s">
        <v>793</v>
      </c>
      <c r="F25" s="823"/>
      <c r="G25" s="823"/>
      <c r="H25" s="1210">
        <v>4996750</v>
      </c>
      <c r="I25" s="1204"/>
      <c r="J25" s="1210">
        <v>3572557</v>
      </c>
      <c r="K25" s="1204"/>
      <c r="L25" s="1204"/>
    </row>
    <row r="26" spans="1:21" ht="15.75">
      <c r="A26" s="337"/>
      <c r="B26" s="1193" t="s">
        <v>12743</v>
      </c>
      <c r="C26" s="1194"/>
      <c r="D26" s="1195" t="s">
        <v>12744</v>
      </c>
      <c r="E26" s="1196" t="s">
        <v>793</v>
      </c>
      <c r="F26" s="1196"/>
      <c r="G26" s="1195"/>
      <c r="H26" s="1210">
        <v>5991144</v>
      </c>
      <c r="I26" s="1195"/>
      <c r="J26" s="1197">
        <v>9596817</v>
      </c>
      <c r="K26" s="1195"/>
      <c r="L26" s="1197"/>
    </row>
    <row r="27" spans="1:21" ht="15.75">
      <c r="A27" s="337"/>
      <c r="B27" s="1193" t="s">
        <v>12745</v>
      </c>
      <c r="C27" s="1194"/>
      <c r="D27" s="1195" t="s">
        <v>12746</v>
      </c>
      <c r="E27" s="1196" t="s">
        <v>793</v>
      </c>
      <c r="F27" s="1196"/>
      <c r="G27" s="1195"/>
      <c r="H27" s="1210">
        <v>5042752</v>
      </c>
      <c r="I27" s="1195"/>
      <c r="J27" s="1197">
        <v>7796102</v>
      </c>
      <c r="K27" s="1195"/>
      <c r="L27" s="1197"/>
    </row>
    <row r="28" spans="1:21" ht="15.75">
      <c r="A28" s="337"/>
      <c r="B28" s="1193" t="s">
        <v>12747</v>
      </c>
      <c r="C28" s="1194"/>
      <c r="D28" s="1195" t="s">
        <v>12744</v>
      </c>
      <c r="E28" s="1196" t="s">
        <v>793</v>
      </c>
      <c r="F28" s="1196"/>
      <c r="G28" s="1195"/>
      <c r="H28" s="1210">
        <v>6608714</v>
      </c>
      <c r="I28" s="1195"/>
      <c r="J28" s="1197">
        <v>14476599</v>
      </c>
      <c r="K28" s="1195"/>
      <c r="L28" s="1197"/>
    </row>
    <row r="29" spans="1:21" ht="15.75">
      <c r="A29" s="337"/>
      <c r="B29" s="1193" t="s">
        <v>12748</v>
      </c>
      <c r="C29" s="1194"/>
      <c r="D29" s="1195" t="s">
        <v>12746</v>
      </c>
      <c r="E29" s="1196" t="s">
        <v>793</v>
      </c>
      <c r="F29" s="1196"/>
      <c r="G29" s="1195"/>
      <c r="H29" s="1210">
        <v>5400843</v>
      </c>
      <c r="I29" s="1195"/>
      <c r="J29" s="1197">
        <v>8373591</v>
      </c>
      <c r="K29" s="1195"/>
      <c r="L29" s="1197"/>
    </row>
    <row r="30" spans="1:21" ht="15.75">
      <c r="A30" s="337"/>
      <c r="B30" s="1193" t="s">
        <v>12749</v>
      </c>
      <c r="C30" s="1194"/>
      <c r="D30" s="1195" t="s">
        <v>12750</v>
      </c>
      <c r="E30" s="1196"/>
      <c r="F30" s="1196"/>
      <c r="G30" s="1195"/>
      <c r="H30" s="1210">
        <v>5059944</v>
      </c>
      <c r="I30" s="1195"/>
      <c r="J30" s="1197">
        <v>7292111</v>
      </c>
      <c r="K30" s="1195"/>
      <c r="L30" s="1197"/>
    </row>
    <row r="31" spans="1:21" ht="15.75">
      <c r="A31" s="337"/>
      <c r="B31" s="1193"/>
      <c r="C31" s="1194"/>
      <c r="D31" s="341" t="s">
        <v>12751</v>
      </c>
      <c r="E31" s="1196"/>
      <c r="F31" s="1196"/>
      <c r="G31" s="1195"/>
      <c r="H31" s="1210"/>
      <c r="I31" s="1195"/>
      <c r="J31" s="1197"/>
      <c r="K31" s="1195"/>
      <c r="L31" s="1197"/>
    </row>
    <row r="32" spans="1:21" ht="15.75">
      <c r="A32" s="337"/>
      <c r="B32" s="1193" t="s">
        <v>12752</v>
      </c>
      <c r="C32" s="1194"/>
      <c r="D32" s="1195" t="s">
        <v>12753</v>
      </c>
      <c r="E32" s="1196" t="s">
        <v>793</v>
      </c>
      <c r="F32" s="1196"/>
      <c r="G32" s="1195"/>
      <c r="H32" s="1210">
        <v>1284757</v>
      </c>
      <c r="I32" s="1195"/>
      <c r="J32" s="1197">
        <v>3490576</v>
      </c>
      <c r="K32" s="1195"/>
      <c r="L32" s="1197">
        <v>339312</v>
      </c>
    </row>
    <row r="33" spans="1:12" ht="15.75">
      <c r="A33" s="337"/>
      <c r="B33" s="1193" t="s">
        <v>12754</v>
      </c>
      <c r="C33" s="1194"/>
      <c r="D33" s="1195" t="s">
        <v>12755</v>
      </c>
      <c r="E33" s="1196" t="s">
        <v>793</v>
      </c>
      <c r="F33" s="1196"/>
      <c r="G33" s="1195"/>
      <c r="H33" s="1210">
        <v>1346761</v>
      </c>
      <c r="I33" s="1195"/>
      <c r="J33" s="1197">
        <v>7616580</v>
      </c>
      <c r="K33" s="1195"/>
      <c r="L33" s="1197">
        <v>380692</v>
      </c>
    </row>
    <row r="34" spans="1:12" ht="15.75">
      <c r="A34" s="1192"/>
      <c r="B34" s="1193" t="s">
        <v>12756</v>
      </c>
      <c r="C34" s="1194"/>
      <c r="D34" s="1195" t="s">
        <v>12757</v>
      </c>
      <c r="E34" s="1196" t="s">
        <v>47</v>
      </c>
      <c r="F34" s="1196"/>
      <c r="G34" s="1195"/>
      <c r="H34" s="1208">
        <v>702086</v>
      </c>
      <c r="I34" s="1195"/>
      <c r="J34" s="1197">
        <v>256848</v>
      </c>
      <c r="K34" s="1197"/>
      <c r="L34" s="1197">
        <v>53830</v>
      </c>
    </row>
    <row r="35" spans="1:12" ht="15.75">
      <c r="A35" s="1192"/>
      <c r="B35" s="1193" t="s">
        <v>12758</v>
      </c>
      <c r="C35" s="1194"/>
      <c r="D35" s="1195" t="s">
        <v>12759</v>
      </c>
      <c r="E35" s="1196" t="s">
        <v>47</v>
      </c>
      <c r="F35" s="1196"/>
      <c r="G35" s="1195"/>
      <c r="H35" s="1208">
        <v>757130</v>
      </c>
      <c r="I35" s="1195"/>
      <c r="J35" s="1197">
        <v>256848</v>
      </c>
      <c r="K35" s="1197"/>
      <c r="L35" s="1197">
        <v>53830</v>
      </c>
    </row>
    <row r="36" spans="1:12" ht="15.75">
      <c r="A36" s="1192"/>
      <c r="B36" s="1193" t="s">
        <v>12760</v>
      </c>
      <c r="C36" s="1194"/>
      <c r="D36" s="1195" t="s">
        <v>12761</v>
      </c>
      <c r="E36" s="1196" t="s">
        <v>47</v>
      </c>
      <c r="F36" s="1196"/>
      <c r="G36" s="1195"/>
      <c r="H36" s="1208">
        <v>702086</v>
      </c>
      <c r="I36" s="1195"/>
      <c r="J36" s="1197">
        <v>213640</v>
      </c>
      <c r="K36" s="1211"/>
      <c r="L36" s="1211">
        <v>53830</v>
      </c>
    </row>
    <row r="37" spans="1:12" ht="15.75">
      <c r="A37" s="1192"/>
      <c r="B37" s="1193" t="s">
        <v>12762</v>
      </c>
      <c r="C37" s="1194"/>
      <c r="D37" s="1195" t="s">
        <v>12763</v>
      </c>
      <c r="E37" s="1196" t="s">
        <v>47</v>
      </c>
      <c r="F37" s="1196"/>
      <c r="G37" s="1195"/>
      <c r="H37" s="1208">
        <v>757130</v>
      </c>
      <c r="I37" s="1195"/>
      <c r="J37" s="1197">
        <v>213640</v>
      </c>
      <c r="K37" s="1211"/>
      <c r="L37" s="1211">
        <v>53830</v>
      </c>
    </row>
    <row r="38" spans="1:12" ht="15.75">
      <c r="A38" s="1192"/>
      <c r="B38" s="1193" t="s">
        <v>12764</v>
      </c>
      <c r="C38" s="1194"/>
      <c r="D38" s="1195" t="s">
        <v>12765</v>
      </c>
      <c r="E38" s="1196" t="s">
        <v>47</v>
      </c>
      <c r="F38" s="1196"/>
      <c r="G38" s="1195"/>
      <c r="H38" s="1208">
        <v>761673</v>
      </c>
      <c r="I38" s="1195"/>
      <c r="J38" s="1197">
        <v>295255</v>
      </c>
      <c r="K38" s="1195"/>
      <c r="L38" s="1197">
        <v>54177</v>
      </c>
    </row>
    <row r="39" spans="1:12" ht="15.75">
      <c r="A39" s="1192"/>
      <c r="B39" s="1193" t="s">
        <v>12766</v>
      </c>
      <c r="C39" s="1194"/>
      <c r="D39" s="1195" t="s">
        <v>12767</v>
      </c>
      <c r="E39" s="1196" t="s">
        <v>47</v>
      </c>
      <c r="F39" s="1196"/>
      <c r="G39" s="1195"/>
      <c r="H39" s="1208">
        <v>817513</v>
      </c>
      <c r="I39" s="1195"/>
      <c r="J39" s="1197">
        <v>295255</v>
      </c>
      <c r="K39" s="1195"/>
      <c r="L39" s="1197">
        <v>54177</v>
      </c>
    </row>
    <row r="40" spans="1:12" ht="15.75">
      <c r="A40" s="1192"/>
      <c r="B40" s="1193" t="s">
        <v>12768</v>
      </c>
      <c r="C40" s="1194"/>
      <c r="D40" s="1195" t="s">
        <v>12769</v>
      </c>
      <c r="E40" s="1196" t="s">
        <v>47</v>
      </c>
      <c r="F40" s="1196"/>
      <c r="G40" s="1195"/>
      <c r="H40" s="1208">
        <v>874106</v>
      </c>
      <c r="I40" s="1195"/>
      <c r="J40" s="1197">
        <v>295255</v>
      </c>
      <c r="K40" s="1195"/>
      <c r="L40" s="1197">
        <v>54177</v>
      </c>
    </row>
    <row r="41" spans="1:12" ht="15.75">
      <c r="A41" s="1192"/>
      <c r="B41" s="1193" t="s">
        <v>12770</v>
      </c>
      <c r="C41" s="1194"/>
      <c r="D41" s="1195" t="s">
        <v>12771</v>
      </c>
      <c r="E41" s="1196" t="s">
        <v>47</v>
      </c>
      <c r="F41" s="1196"/>
      <c r="G41" s="1195"/>
      <c r="H41" s="1208">
        <v>927272</v>
      </c>
      <c r="I41" s="1195"/>
      <c r="J41" s="1197">
        <v>295255</v>
      </c>
      <c r="K41" s="1195"/>
      <c r="L41" s="1197">
        <v>54177</v>
      </c>
    </row>
    <row r="42" spans="1:12" ht="15.75">
      <c r="A42" s="1192"/>
      <c r="B42" s="1193" t="s">
        <v>12772</v>
      </c>
      <c r="C42" s="1194"/>
      <c r="D42" s="1195" t="s">
        <v>12773</v>
      </c>
      <c r="E42" s="1196" t="s">
        <v>47</v>
      </c>
      <c r="F42" s="1196"/>
      <c r="G42" s="1195"/>
      <c r="H42" s="1208">
        <v>791838</v>
      </c>
      <c r="I42" s="1195"/>
      <c r="J42" s="1197">
        <v>355267</v>
      </c>
      <c r="K42" s="1195"/>
      <c r="L42" s="1197">
        <v>54177</v>
      </c>
    </row>
    <row r="43" spans="1:12" ht="15.75">
      <c r="A43" s="1192"/>
      <c r="B43" s="1193" t="s">
        <v>12774</v>
      </c>
      <c r="C43" s="1194"/>
      <c r="D43" s="1195" t="s">
        <v>12775</v>
      </c>
      <c r="E43" s="1196" t="s">
        <v>47</v>
      </c>
      <c r="F43" s="1196"/>
      <c r="G43" s="1195"/>
      <c r="H43" s="1208">
        <v>849890</v>
      </c>
      <c r="I43" s="1195"/>
      <c r="J43" s="1197">
        <v>355267</v>
      </c>
      <c r="K43" s="1195"/>
      <c r="L43" s="1197">
        <v>54177</v>
      </c>
    </row>
    <row r="44" spans="1:12" ht="15.75">
      <c r="A44" s="1192"/>
      <c r="B44" s="1193" t="s">
        <v>12776</v>
      </c>
      <c r="C44" s="1194"/>
      <c r="D44" s="1195" t="s">
        <v>12777</v>
      </c>
      <c r="E44" s="1196" t="s">
        <v>47</v>
      </c>
      <c r="F44" s="1196"/>
      <c r="G44" s="1195"/>
      <c r="H44" s="1208">
        <v>908724</v>
      </c>
      <c r="I44" s="1195"/>
      <c r="J44" s="1197">
        <v>355267</v>
      </c>
      <c r="K44" s="1195"/>
      <c r="L44" s="1197">
        <v>54177</v>
      </c>
    </row>
    <row r="45" spans="1:12" ht="15.75">
      <c r="A45" s="1192"/>
      <c r="B45" s="1193" t="s">
        <v>12778</v>
      </c>
      <c r="C45" s="1194"/>
      <c r="D45" s="1195" t="s">
        <v>12779</v>
      </c>
      <c r="E45" s="1196" t="s">
        <v>47</v>
      </c>
      <c r="F45" s="1196"/>
      <c r="G45" s="1195"/>
      <c r="H45" s="1208">
        <v>963996</v>
      </c>
      <c r="I45" s="1195"/>
      <c r="J45" s="1197">
        <v>355267</v>
      </c>
      <c r="K45" s="1195"/>
      <c r="L45" s="1197">
        <v>54177</v>
      </c>
    </row>
    <row r="46" spans="1:12" ht="15.75">
      <c r="A46" s="1192"/>
      <c r="B46" s="1193" t="s">
        <v>12780</v>
      </c>
      <c r="C46" s="1212"/>
      <c r="D46" s="1209" t="s">
        <v>12781</v>
      </c>
      <c r="E46" s="1196" t="s">
        <v>47</v>
      </c>
      <c r="F46" s="1213"/>
      <c r="G46" s="1213"/>
      <c r="H46" s="1208">
        <v>761673</v>
      </c>
      <c r="I46" s="1210"/>
      <c r="J46" s="1197">
        <v>285654</v>
      </c>
      <c r="K46" s="1195"/>
      <c r="L46" s="1197">
        <v>53830</v>
      </c>
    </row>
    <row r="47" spans="1:12" ht="15.75">
      <c r="A47" s="1192"/>
      <c r="B47" s="1193" t="s">
        <v>12782</v>
      </c>
      <c r="C47" s="1212"/>
      <c r="D47" s="1209" t="s">
        <v>12783</v>
      </c>
      <c r="E47" s="1196" t="s">
        <v>47</v>
      </c>
      <c r="F47" s="1213"/>
      <c r="G47" s="1213"/>
      <c r="H47" s="1208">
        <v>817513</v>
      </c>
      <c r="I47" s="1210"/>
      <c r="J47" s="1197">
        <v>285654</v>
      </c>
      <c r="K47" s="1195"/>
      <c r="L47" s="1197">
        <v>53830</v>
      </c>
    </row>
    <row r="48" spans="1:12" ht="15.75">
      <c r="A48" s="1192"/>
      <c r="B48" s="1193" t="s">
        <v>12784</v>
      </c>
      <c r="C48" s="1212"/>
      <c r="D48" s="1209" t="s">
        <v>12785</v>
      </c>
      <c r="E48" s="1196" t="s">
        <v>47</v>
      </c>
      <c r="F48" s="1213"/>
      <c r="G48" s="1213"/>
      <c r="H48" s="1208">
        <v>874106</v>
      </c>
      <c r="I48" s="1210"/>
      <c r="J48" s="1197">
        <v>285654</v>
      </c>
      <c r="K48" s="1195"/>
      <c r="L48" s="1197">
        <v>53830</v>
      </c>
    </row>
    <row r="49" spans="1:12" ht="15.75">
      <c r="A49" s="1192"/>
      <c r="B49" s="1193" t="s">
        <v>12786</v>
      </c>
      <c r="C49" s="1212"/>
      <c r="D49" s="1209" t="s">
        <v>12787</v>
      </c>
      <c r="E49" s="1196" t="s">
        <v>47</v>
      </c>
      <c r="F49" s="1213"/>
      <c r="G49" s="1213"/>
      <c r="H49" s="1208">
        <v>927272</v>
      </c>
      <c r="I49" s="1210"/>
      <c r="J49" s="1197">
        <v>285654</v>
      </c>
      <c r="K49" s="1195"/>
      <c r="L49" s="1197">
        <v>53830</v>
      </c>
    </row>
    <row r="50" spans="1:12" ht="15.75">
      <c r="A50" s="1192"/>
      <c r="B50" s="1193" t="s">
        <v>12788</v>
      </c>
      <c r="C50" s="1194"/>
      <c r="D50" s="1209" t="s">
        <v>12789</v>
      </c>
      <c r="E50" s="1196" t="s">
        <v>47</v>
      </c>
      <c r="F50" s="1196"/>
      <c r="G50" s="1195"/>
      <c r="H50" s="1208">
        <v>761673</v>
      </c>
      <c r="I50" s="1195"/>
      <c r="J50" s="1197">
        <v>434481</v>
      </c>
      <c r="K50" s="1195"/>
      <c r="L50" s="1197">
        <v>54177</v>
      </c>
    </row>
    <row r="51" spans="1:12" ht="15.75">
      <c r="A51" s="1192"/>
      <c r="B51" s="1193" t="s">
        <v>12790</v>
      </c>
      <c r="C51" s="1194"/>
      <c r="D51" s="1209" t="s">
        <v>12791</v>
      </c>
      <c r="E51" s="1196" t="s">
        <v>47</v>
      </c>
      <c r="F51" s="1196"/>
      <c r="G51" s="1195"/>
      <c r="H51" s="1208">
        <v>817513</v>
      </c>
      <c r="I51" s="1195"/>
      <c r="J51" s="1197">
        <v>434481</v>
      </c>
      <c r="K51" s="1195"/>
      <c r="L51" s="1197">
        <v>54177</v>
      </c>
    </row>
    <row r="52" spans="1:12" ht="15.75">
      <c r="A52" s="1192"/>
      <c r="B52" s="1193" t="s">
        <v>12792</v>
      </c>
      <c r="C52" s="1194"/>
      <c r="D52" s="1209" t="s">
        <v>12793</v>
      </c>
      <c r="E52" s="1196" t="s">
        <v>47</v>
      </c>
      <c r="F52" s="1196"/>
      <c r="G52" s="1195"/>
      <c r="H52" s="1208">
        <v>874106</v>
      </c>
      <c r="I52" s="1195"/>
      <c r="J52" s="1197">
        <v>434481</v>
      </c>
      <c r="K52" s="1195"/>
      <c r="L52" s="1197">
        <v>54177</v>
      </c>
    </row>
    <row r="53" spans="1:12" ht="15.75">
      <c r="A53" s="1192"/>
      <c r="B53" s="1193" t="s">
        <v>12794</v>
      </c>
      <c r="C53" s="1194"/>
      <c r="D53" s="1209" t="s">
        <v>12795</v>
      </c>
      <c r="E53" s="1196" t="s">
        <v>47</v>
      </c>
      <c r="F53" s="1196"/>
      <c r="G53" s="1195"/>
      <c r="H53" s="1208">
        <v>927272</v>
      </c>
      <c r="I53" s="1195"/>
      <c r="J53" s="1197">
        <v>434481</v>
      </c>
      <c r="K53" s="1195"/>
      <c r="L53" s="1197">
        <v>54177</v>
      </c>
    </row>
    <row r="54" spans="1:12" ht="15.75">
      <c r="A54" s="1192"/>
      <c r="B54" s="1193" t="s">
        <v>12796</v>
      </c>
      <c r="C54" s="1194"/>
      <c r="D54" s="1209" t="s">
        <v>12797</v>
      </c>
      <c r="E54" s="1196" t="s">
        <v>47</v>
      </c>
      <c r="F54" s="1196"/>
      <c r="G54" s="1195"/>
      <c r="H54" s="1208">
        <v>761673</v>
      </c>
      <c r="I54" s="1195"/>
      <c r="J54" s="1197">
        <v>367493</v>
      </c>
      <c r="K54" s="1195"/>
      <c r="L54" s="1197">
        <v>54177</v>
      </c>
    </row>
    <row r="55" spans="1:12" ht="15.75">
      <c r="A55" s="1192"/>
      <c r="B55" s="1193" t="s">
        <v>12798</v>
      </c>
      <c r="C55" s="1194"/>
      <c r="D55" s="1209" t="s">
        <v>12799</v>
      </c>
      <c r="E55" s="1196" t="s">
        <v>47</v>
      </c>
      <c r="F55" s="1196"/>
      <c r="G55" s="1195"/>
      <c r="H55" s="1208">
        <v>817513</v>
      </c>
      <c r="I55" s="1195"/>
      <c r="J55" s="1197">
        <v>367493</v>
      </c>
      <c r="K55" s="1195"/>
      <c r="L55" s="1197">
        <v>54177</v>
      </c>
    </row>
    <row r="56" spans="1:12" ht="15.75">
      <c r="A56" s="1192"/>
      <c r="B56" s="1193" t="s">
        <v>12800</v>
      </c>
      <c r="C56" s="1194"/>
      <c r="D56" s="1209" t="s">
        <v>12801</v>
      </c>
      <c r="E56" s="1196" t="s">
        <v>47</v>
      </c>
      <c r="F56" s="1196"/>
      <c r="G56" s="1195"/>
      <c r="H56" s="1208">
        <v>874106</v>
      </c>
      <c r="I56" s="1195"/>
      <c r="J56" s="1197">
        <v>367493</v>
      </c>
      <c r="K56" s="1195"/>
      <c r="L56" s="1197">
        <v>54177</v>
      </c>
    </row>
    <row r="57" spans="1:12" ht="15.75">
      <c r="A57" s="1192"/>
      <c r="B57" s="1193" t="s">
        <v>12802</v>
      </c>
      <c r="C57" s="1194"/>
      <c r="D57" s="1209" t="s">
        <v>12803</v>
      </c>
      <c r="E57" s="1196" t="s">
        <v>47</v>
      </c>
      <c r="F57" s="1196"/>
      <c r="G57" s="1195"/>
      <c r="H57" s="1208">
        <v>927272</v>
      </c>
      <c r="I57" s="1195"/>
      <c r="J57" s="1197">
        <v>367493</v>
      </c>
      <c r="K57" s="1195"/>
      <c r="L57" s="1197">
        <v>54177</v>
      </c>
    </row>
    <row r="58" spans="1:12" ht="15.75">
      <c r="A58" s="1192"/>
      <c r="B58" s="1193" t="s">
        <v>12804</v>
      </c>
      <c r="C58" s="1194"/>
      <c r="D58" s="1209" t="s">
        <v>12805</v>
      </c>
      <c r="E58" s="1196" t="s">
        <v>47</v>
      </c>
      <c r="F58" s="1196"/>
      <c r="G58" s="1195"/>
      <c r="H58" s="1208">
        <v>761673</v>
      </c>
      <c r="I58" s="1195"/>
      <c r="J58" s="1197">
        <v>435742</v>
      </c>
      <c r="K58" s="1195"/>
      <c r="L58" s="1197">
        <v>54177</v>
      </c>
    </row>
    <row r="59" spans="1:12" ht="15.75">
      <c r="A59" s="1192"/>
      <c r="B59" s="1193" t="s">
        <v>12806</v>
      </c>
      <c r="C59" s="1194"/>
      <c r="D59" s="1209" t="s">
        <v>12807</v>
      </c>
      <c r="E59" s="1196" t="s">
        <v>47</v>
      </c>
      <c r="F59" s="1196"/>
      <c r="G59" s="1195"/>
      <c r="H59" s="1208">
        <v>817513</v>
      </c>
      <c r="I59" s="1195"/>
      <c r="J59" s="1197">
        <v>435742</v>
      </c>
      <c r="K59" s="1195"/>
      <c r="L59" s="1197">
        <v>54177</v>
      </c>
    </row>
    <row r="60" spans="1:12" ht="15.75">
      <c r="A60" s="1192"/>
      <c r="B60" s="1193" t="s">
        <v>12808</v>
      </c>
      <c r="C60" s="1194"/>
      <c r="D60" s="1209" t="s">
        <v>12809</v>
      </c>
      <c r="E60" s="1196" t="s">
        <v>47</v>
      </c>
      <c r="F60" s="1196"/>
      <c r="G60" s="1195"/>
      <c r="H60" s="1208">
        <v>874106</v>
      </c>
      <c r="I60" s="1195"/>
      <c r="J60" s="1197">
        <v>435742</v>
      </c>
      <c r="K60" s="1195"/>
      <c r="L60" s="1197">
        <v>54177</v>
      </c>
    </row>
    <row r="61" spans="1:12" ht="15.75">
      <c r="A61" s="1192"/>
      <c r="B61" s="1193" t="s">
        <v>12810</v>
      </c>
      <c r="C61" s="1194"/>
      <c r="D61" s="1209" t="s">
        <v>12811</v>
      </c>
      <c r="E61" s="1196" t="s">
        <v>47</v>
      </c>
      <c r="F61" s="1196"/>
      <c r="G61" s="1195"/>
      <c r="H61" s="1208">
        <v>927272</v>
      </c>
      <c r="I61" s="1195"/>
      <c r="J61" s="1197">
        <v>435742</v>
      </c>
      <c r="K61" s="1195"/>
      <c r="L61" s="1197">
        <v>54177</v>
      </c>
    </row>
    <row r="62" spans="1:12" ht="15.75">
      <c r="A62" s="1192"/>
      <c r="B62" s="1201"/>
      <c r="C62" s="1212"/>
      <c r="D62" s="1203" t="s">
        <v>12812</v>
      </c>
      <c r="E62" s="823"/>
      <c r="F62" s="823"/>
      <c r="G62" s="823"/>
      <c r="H62" s="1204"/>
      <c r="I62" s="1204"/>
      <c r="J62" s="1204"/>
      <c r="K62" s="1204"/>
      <c r="L62" s="1204"/>
    </row>
    <row r="63" spans="1:12" ht="15.75">
      <c r="A63" s="1192"/>
      <c r="B63" s="1193" t="s">
        <v>12813</v>
      </c>
      <c r="C63" s="1194"/>
      <c r="D63" s="1195" t="s">
        <v>12814</v>
      </c>
      <c r="E63" s="1196"/>
      <c r="F63" s="1196"/>
      <c r="G63" s="1195"/>
      <c r="H63" s="1208">
        <v>12688789</v>
      </c>
      <c r="I63" s="1195"/>
      <c r="J63" s="1197">
        <v>2821821</v>
      </c>
      <c r="K63" s="1195"/>
      <c r="L63" s="1197">
        <v>110486</v>
      </c>
    </row>
    <row r="64" spans="1:12" ht="15.75">
      <c r="A64" s="1192"/>
      <c r="B64" s="1193" t="s">
        <v>12815</v>
      </c>
      <c r="C64" s="1194"/>
      <c r="D64" s="1195" t="s">
        <v>12816</v>
      </c>
      <c r="E64" s="1196" t="s">
        <v>136</v>
      </c>
      <c r="F64" s="1196"/>
      <c r="G64" s="1195"/>
      <c r="H64" s="1208">
        <v>12420622</v>
      </c>
      <c r="I64" s="1195"/>
      <c r="J64" s="1197">
        <v>2013337</v>
      </c>
      <c r="K64" s="1195"/>
      <c r="L64" s="1197">
        <v>542753</v>
      </c>
    </row>
    <row r="65" spans="1:12" ht="15.75">
      <c r="A65" s="1192"/>
      <c r="B65" s="1193" t="s">
        <v>12817</v>
      </c>
      <c r="C65" s="1194"/>
      <c r="D65" s="1195" t="s">
        <v>12818</v>
      </c>
      <c r="E65" s="1196" t="s">
        <v>136</v>
      </c>
      <c r="F65" s="1196"/>
      <c r="G65" s="1195"/>
      <c r="H65" s="1208">
        <v>12504562</v>
      </c>
      <c r="I65" s="1195"/>
      <c r="J65" s="1197">
        <v>1467347</v>
      </c>
      <c r="K65" s="1195"/>
      <c r="L65" s="1197">
        <v>559411</v>
      </c>
    </row>
    <row r="66" spans="1:12" ht="15.75">
      <c r="A66" s="1192"/>
      <c r="B66" s="1201"/>
      <c r="C66" s="1212"/>
      <c r="D66" s="1203" t="s">
        <v>12819</v>
      </c>
      <c r="E66" s="823"/>
      <c r="F66" s="823"/>
      <c r="G66" s="823"/>
      <c r="H66" s="1204"/>
      <c r="I66" s="1204"/>
      <c r="J66" s="1204"/>
      <c r="K66" s="1204"/>
      <c r="L66" s="1204"/>
    </row>
    <row r="67" spans="1:12" ht="15.75">
      <c r="A67" s="1192"/>
      <c r="B67" s="1201" t="s">
        <v>12820</v>
      </c>
      <c r="C67" s="1212"/>
      <c r="D67" s="1209" t="s">
        <v>12821</v>
      </c>
      <c r="E67" s="1213" t="s">
        <v>136</v>
      </c>
      <c r="F67" s="1213"/>
      <c r="G67" s="1213"/>
      <c r="H67" s="1208">
        <v>12688789</v>
      </c>
      <c r="I67" s="1210"/>
      <c r="J67" s="1197">
        <v>3226064</v>
      </c>
      <c r="K67" s="1195"/>
      <c r="L67" s="1197">
        <v>110486</v>
      </c>
    </row>
    <row r="68" spans="1:12" ht="15.75">
      <c r="A68" s="1192"/>
      <c r="B68" s="1201" t="s">
        <v>12822</v>
      </c>
      <c r="C68" s="1212"/>
      <c r="D68" s="1209" t="s">
        <v>12823</v>
      </c>
      <c r="E68" s="1213" t="s">
        <v>136</v>
      </c>
      <c r="F68" s="1213"/>
      <c r="G68" s="1213"/>
      <c r="H68" s="1208">
        <v>12425695</v>
      </c>
      <c r="I68" s="1210"/>
      <c r="J68" s="1197">
        <v>2433329</v>
      </c>
      <c r="K68" s="1195"/>
      <c r="L68" s="1197">
        <v>558980</v>
      </c>
    </row>
    <row r="69" spans="1:12" ht="15.75">
      <c r="A69" s="1192"/>
      <c r="B69" s="1193" t="s">
        <v>12824</v>
      </c>
      <c r="C69" s="1194"/>
      <c r="D69" s="1195" t="s">
        <v>12818</v>
      </c>
      <c r="E69" s="1196" t="s">
        <v>136</v>
      </c>
      <c r="F69" s="1196"/>
      <c r="G69" s="1195"/>
      <c r="H69" s="1208">
        <v>12504562</v>
      </c>
      <c r="I69" s="1195"/>
      <c r="J69" s="1197">
        <v>1808591</v>
      </c>
      <c r="K69" s="1195"/>
      <c r="L69" s="1197">
        <v>559411</v>
      </c>
    </row>
    <row r="70" spans="1:12" ht="15.75">
      <c r="A70" s="1192"/>
      <c r="B70" s="1201" t="s">
        <v>12825</v>
      </c>
      <c r="C70" s="1212"/>
      <c r="D70" s="1209" t="s">
        <v>12826</v>
      </c>
      <c r="E70" s="1213" t="s">
        <v>136</v>
      </c>
      <c r="F70" s="1213"/>
      <c r="G70" s="1213"/>
      <c r="H70" s="1208">
        <v>12688789</v>
      </c>
      <c r="I70" s="1210"/>
      <c r="J70" s="1210">
        <v>3399310</v>
      </c>
      <c r="K70" s="1210"/>
      <c r="L70" s="1210">
        <v>110486</v>
      </c>
    </row>
    <row r="71" spans="1:12" ht="15.75">
      <c r="A71" s="1192"/>
      <c r="B71" s="1201" t="s">
        <v>12827</v>
      </c>
      <c r="C71" s="1212"/>
      <c r="D71" s="1209" t="s">
        <v>12828</v>
      </c>
      <c r="E71" s="1213" t="s">
        <v>136</v>
      </c>
      <c r="F71" s="1213"/>
      <c r="G71" s="1213"/>
      <c r="H71" s="1208">
        <v>12688789</v>
      </c>
      <c r="I71" s="1210"/>
      <c r="J71" s="1210">
        <v>5475646</v>
      </c>
      <c r="K71" s="1210"/>
      <c r="L71" s="1210">
        <v>110486</v>
      </c>
    </row>
    <row r="72" spans="1:12" ht="15.75">
      <c r="A72" s="1192"/>
      <c r="B72" s="1201" t="s">
        <v>12827</v>
      </c>
      <c r="C72" s="1212"/>
      <c r="D72" s="1209" t="s">
        <v>12829</v>
      </c>
      <c r="E72" s="1213" t="s">
        <v>136</v>
      </c>
      <c r="F72" s="1213"/>
      <c r="G72" s="1213"/>
      <c r="H72" s="1208">
        <v>12688789</v>
      </c>
      <c r="I72" s="1210"/>
      <c r="J72" s="1210">
        <v>2533077</v>
      </c>
      <c r="K72" s="1210"/>
      <c r="L72" s="1210">
        <v>110486</v>
      </c>
    </row>
    <row r="73" spans="1:12" ht="15.75">
      <c r="A73" s="1192"/>
      <c r="B73" s="1201" t="s">
        <v>12830</v>
      </c>
      <c r="C73" s="1212"/>
      <c r="D73" s="1209" t="s">
        <v>12831</v>
      </c>
      <c r="E73" s="1213" t="s">
        <v>136</v>
      </c>
      <c r="F73" s="1213"/>
      <c r="G73" s="1213"/>
      <c r="H73" s="1208">
        <v>12439223</v>
      </c>
      <c r="I73" s="1210"/>
      <c r="J73" s="1210">
        <v>1674718</v>
      </c>
      <c r="K73" s="1210"/>
      <c r="L73" s="1210">
        <v>607662</v>
      </c>
    </row>
    <row r="74" spans="1:12" ht="15.75">
      <c r="A74" s="1192"/>
      <c r="B74" s="1193" t="s">
        <v>12832</v>
      </c>
      <c r="C74" s="1194"/>
      <c r="D74" s="1209" t="s">
        <v>12833</v>
      </c>
      <c r="E74" s="1196" t="s">
        <v>47</v>
      </c>
      <c r="F74" s="1196"/>
      <c r="G74" s="1195"/>
      <c r="H74" s="1208">
        <v>750508</v>
      </c>
      <c r="I74" s="1195"/>
      <c r="J74" s="1197">
        <v>328862</v>
      </c>
      <c r="K74" s="1195"/>
      <c r="L74" s="1197">
        <v>78903</v>
      </c>
    </row>
    <row r="75" spans="1:12" ht="15.75">
      <c r="A75" s="1192"/>
      <c r="B75" s="1193" t="s">
        <v>12834</v>
      </c>
      <c r="C75" s="1194"/>
      <c r="D75" s="1209" t="s">
        <v>12835</v>
      </c>
      <c r="E75" s="1196" t="s">
        <v>47</v>
      </c>
      <c r="F75" s="1196"/>
      <c r="G75" s="1195"/>
      <c r="H75" s="1208">
        <v>805530</v>
      </c>
      <c r="I75" s="1195"/>
      <c r="J75" s="1197">
        <v>328862</v>
      </c>
      <c r="K75" s="1195"/>
      <c r="L75" s="1197">
        <v>78903</v>
      </c>
    </row>
    <row r="76" spans="1:12" ht="15.75">
      <c r="A76" s="1192"/>
      <c r="B76" s="1193" t="s">
        <v>12836</v>
      </c>
      <c r="C76" s="1194"/>
      <c r="D76" s="1209" t="s">
        <v>12837</v>
      </c>
      <c r="E76" s="1196" t="s">
        <v>47</v>
      </c>
      <c r="F76" s="1196"/>
      <c r="G76" s="1195"/>
      <c r="H76" s="1208">
        <v>750508</v>
      </c>
      <c r="I76" s="1195"/>
      <c r="J76" s="1197">
        <v>463287</v>
      </c>
      <c r="K76" s="1195"/>
      <c r="L76" s="1197">
        <v>29995</v>
      </c>
    </row>
    <row r="77" spans="1:12" ht="15.75">
      <c r="A77" s="1192"/>
      <c r="B77" s="1193" t="s">
        <v>12838</v>
      </c>
      <c r="C77" s="1194"/>
      <c r="D77" s="1209" t="s">
        <v>12839</v>
      </c>
      <c r="E77" s="1196" t="s">
        <v>47</v>
      </c>
      <c r="F77" s="1196"/>
      <c r="G77" s="1195"/>
      <c r="H77" s="1208">
        <v>805530</v>
      </c>
      <c r="I77" s="1195"/>
      <c r="J77" s="1197">
        <v>463287</v>
      </c>
      <c r="K77" s="1195"/>
      <c r="L77" s="1197">
        <v>29995</v>
      </c>
    </row>
    <row r="78" spans="1:12" ht="15.75">
      <c r="A78" s="1192"/>
      <c r="B78" s="1193" t="s">
        <v>12840</v>
      </c>
      <c r="C78" s="1194"/>
      <c r="D78" s="1209" t="s">
        <v>12841</v>
      </c>
      <c r="E78" s="1196" t="s">
        <v>47</v>
      </c>
      <c r="F78" s="1196"/>
      <c r="G78" s="1195"/>
      <c r="H78" s="1208">
        <v>750508</v>
      </c>
      <c r="I78" s="1195"/>
      <c r="J78" s="1197">
        <v>516097</v>
      </c>
      <c r="K78" s="1195"/>
      <c r="L78" s="1197">
        <v>29995</v>
      </c>
    </row>
    <row r="79" spans="1:12" ht="15.75">
      <c r="A79" s="1192"/>
      <c r="B79" s="1193" t="s">
        <v>12842</v>
      </c>
      <c r="C79" s="1194"/>
      <c r="D79" s="1209" t="s">
        <v>12843</v>
      </c>
      <c r="E79" s="1196" t="s">
        <v>47</v>
      </c>
      <c r="F79" s="1196"/>
      <c r="G79" s="1195"/>
      <c r="H79" s="1208">
        <v>805530</v>
      </c>
      <c r="I79" s="1195"/>
      <c r="J79" s="1197">
        <v>516097</v>
      </c>
      <c r="K79" s="1195"/>
      <c r="L79" s="1197">
        <v>29995</v>
      </c>
    </row>
    <row r="80" spans="1:12" ht="15.75">
      <c r="A80" s="1192"/>
      <c r="B80" s="1201" t="s">
        <v>12844</v>
      </c>
      <c r="C80" s="1212"/>
      <c r="D80" s="1209" t="s">
        <v>12845</v>
      </c>
      <c r="E80" s="1213" t="s">
        <v>136</v>
      </c>
      <c r="F80" s="1213"/>
      <c r="G80" s="1213"/>
      <c r="H80" s="1208">
        <v>12688789</v>
      </c>
      <c r="I80" s="1210"/>
      <c r="J80" s="1210">
        <v>3554182</v>
      </c>
      <c r="K80" s="1210"/>
      <c r="L80" s="1210">
        <v>110486</v>
      </c>
    </row>
    <row r="81" spans="1:12" ht="15.75">
      <c r="A81" s="1192"/>
      <c r="B81" s="1201" t="s">
        <v>12846</v>
      </c>
      <c r="C81" s="1202"/>
      <c r="D81" s="1209" t="s">
        <v>12847</v>
      </c>
      <c r="E81" s="823" t="s">
        <v>806</v>
      </c>
      <c r="F81" s="823"/>
      <c r="G81" s="823"/>
      <c r="H81" s="1204"/>
      <c r="I81" s="1214"/>
      <c r="J81" s="1210">
        <v>8402</v>
      </c>
      <c r="K81" s="1204"/>
      <c r="L81" s="1204"/>
    </row>
    <row r="82" spans="1:12" ht="15.75">
      <c r="A82" s="1192"/>
      <c r="B82" s="1201" t="s">
        <v>12848</v>
      </c>
      <c r="C82" s="1202"/>
      <c r="D82" s="1209" t="s">
        <v>12849</v>
      </c>
      <c r="E82" s="823" t="s">
        <v>806</v>
      </c>
      <c r="F82" s="823"/>
      <c r="G82" s="823"/>
      <c r="H82" s="1204"/>
      <c r="I82" s="1214"/>
      <c r="J82" s="1210">
        <v>11522</v>
      </c>
      <c r="K82" s="1204"/>
      <c r="L82" s="1204"/>
    </row>
    <row r="83" spans="1:12" ht="15.75">
      <c r="A83" s="1192"/>
      <c r="B83" s="1201" t="s">
        <v>12850</v>
      </c>
      <c r="C83" s="1202"/>
      <c r="D83" s="1209" t="s">
        <v>12851</v>
      </c>
      <c r="E83" s="823" t="s">
        <v>806</v>
      </c>
      <c r="F83" s="823"/>
      <c r="G83" s="823"/>
      <c r="H83" s="1204"/>
      <c r="I83" s="1214"/>
      <c r="J83" s="1210">
        <v>16803</v>
      </c>
      <c r="K83" s="1204"/>
      <c r="L83" s="1204"/>
    </row>
    <row r="84" spans="1:12" ht="15.75">
      <c r="A84" s="1192"/>
      <c r="B84" s="1201" t="s">
        <v>12852</v>
      </c>
      <c r="C84" s="1212"/>
      <c r="D84" s="1209" t="s">
        <v>12853</v>
      </c>
      <c r="E84" s="1213" t="s">
        <v>12854</v>
      </c>
      <c r="F84" s="1213"/>
      <c r="G84" s="1213"/>
      <c r="H84" s="1208">
        <v>244319</v>
      </c>
      <c r="I84" s="1210"/>
      <c r="J84" s="1210">
        <v>233655</v>
      </c>
      <c r="K84" s="1210"/>
      <c r="L84" s="1210">
        <v>48682</v>
      </c>
    </row>
    <row r="85" spans="1:12" ht="15.75">
      <c r="A85" s="1192"/>
      <c r="B85" s="1201" t="s">
        <v>12855</v>
      </c>
      <c r="C85" s="1212"/>
      <c r="D85" s="1209" t="s">
        <v>12856</v>
      </c>
      <c r="E85" s="1213" t="s">
        <v>12854</v>
      </c>
      <c r="F85" s="1213"/>
      <c r="G85" s="1213"/>
      <c r="H85" s="1208">
        <v>293954</v>
      </c>
      <c r="I85" s="1210"/>
      <c r="J85" s="1210">
        <v>259300</v>
      </c>
      <c r="K85" s="1210"/>
      <c r="L85" s="1210">
        <v>56795</v>
      </c>
    </row>
    <row r="86" spans="1:12" ht="15.75">
      <c r="A86" s="1192"/>
      <c r="B86" s="1193" t="s">
        <v>12857</v>
      </c>
      <c r="C86" s="1194"/>
      <c r="D86" s="1209" t="s">
        <v>12858</v>
      </c>
      <c r="E86" s="1196" t="s">
        <v>47</v>
      </c>
      <c r="F86" s="1196"/>
      <c r="G86" s="1195"/>
      <c r="H86" s="1208">
        <v>9356</v>
      </c>
      <c r="I86" s="1195"/>
      <c r="J86" s="1197">
        <v>57749</v>
      </c>
      <c r="K86" s="1195"/>
      <c r="L86" s="1197">
        <v>580</v>
      </c>
    </row>
    <row r="87" spans="1:12" ht="15.75">
      <c r="A87" s="1192"/>
      <c r="B87" s="1193" t="s">
        <v>12859</v>
      </c>
      <c r="C87" s="1194"/>
      <c r="D87" s="1209" t="s">
        <v>12860</v>
      </c>
      <c r="E87" s="1196" t="s">
        <v>47</v>
      </c>
      <c r="F87" s="1196"/>
      <c r="G87" s="1195"/>
      <c r="H87" s="1208">
        <v>13254</v>
      </c>
      <c r="I87" s="1195"/>
      <c r="J87" s="1197">
        <v>68249</v>
      </c>
      <c r="K87" s="1195"/>
      <c r="L87" s="1197">
        <v>580</v>
      </c>
    </row>
    <row r="88" spans="1:12" ht="15.75">
      <c r="A88" s="1192"/>
      <c r="B88" s="1193" t="s">
        <v>12861</v>
      </c>
      <c r="C88" s="1194"/>
      <c r="D88" s="1209" t="s">
        <v>12862</v>
      </c>
      <c r="E88" s="1196" t="s">
        <v>47</v>
      </c>
      <c r="F88" s="1196"/>
      <c r="G88" s="1195"/>
      <c r="H88" s="1208">
        <v>18904</v>
      </c>
      <c r="I88" s="1195"/>
      <c r="J88" s="1197">
        <v>40462</v>
      </c>
      <c r="K88" s="1195"/>
      <c r="L88" s="1197">
        <v>1159</v>
      </c>
    </row>
    <row r="89" spans="1:12" ht="15.75">
      <c r="A89" s="1192"/>
      <c r="B89" s="1201"/>
      <c r="C89" s="1212"/>
      <c r="D89" s="1203" t="s">
        <v>12863</v>
      </c>
      <c r="E89" s="823"/>
      <c r="F89" s="823"/>
      <c r="G89" s="823"/>
      <c r="H89" s="1204"/>
      <c r="I89" s="1204"/>
      <c r="J89" s="1204"/>
      <c r="K89" s="1204"/>
      <c r="L89" s="1204"/>
    </row>
    <row r="90" spans="1:12" ht="15.75">
      <c r="A90" s="337"/>
      <c r="B90" s="1193" t="s">
        <v>12864</v>
      </c>
      <c r="C90" s="1194"/>
      <c r="D90" s="1195" t="s">
        <v>12865</v>
      </c>
      <c r="E90" s="1196" t="s">
        <v>310</v>
      </c>
      <c r="F90" s="1196"/>
      <c r="G90" s="1195"/>
      <c r="H90" s="1208">
        <v>100819</v>
      </c>
      <c r="I90" s="1195"/>
      <c r="J90" s="1197">
        <v>42742</v>
      </c>
      <c r="K90" s="1195"/>
      <c r="L90" s="1197"/>
    </row>
    <row r="91" spans="1:12" ht="15.75">
      <c r="A91" s="337"/>
      <c r="B91" s="1193" t="s">
        <v>12866</v>
      </c>
      <c r="C91" s="1194"/>
      <c r="D91" s="1195" t="s">
        <v>12867</v>
      </c>
      <c r="E91" s="1196" t="s">
        <v>310</v>
      </c>
      <c r="F91" s="1196"/>
      <c r="G91" s="1195"/>
      <c r="H91" s="1208">
        <v>104382</v>
      </c>
      <c r="I91" s="1195"/>
      <c r="J91" s="1197">
        <v>42742</v>
      </c>
      <c r="K91" s="1195"/>
      <c r="L91" s="1197"/>
    </row>
    <row r="92" spans="1:12" ht="15.75">
      <c r="A92" s="337"/>
      <c r="B92" s="1193" t="s">
        <v>12868</v>
      </c>
      <c r="C92" s="1194"/>
      <c r="D92" s="1195" t="s">
        <v>12869</v>
      </c>
      <c r="E92" s="1196" t="s">
        <v>310</v>
      </c>
      <c r="F92" s="1196"/>
      <c r="G92" s="1195"/>
      <c r="H92" s="1208">
        <v>89981</v>
      </c>
      <c r="I92" s="1195"/>
      <c r="J92" s="1197">
        <v>34193</v>
      </c>
      <c r="K92" s="1195"/>
      <c r="L92" s="1197"/>
    </row>
    <row r="93" spans="1:12" ht="15.75">
      <c r="A93" s="337"/>
      <c r="B93" s="1193" t="s">
        <v>12870</v>
      </c>
      <c r="C93" s="1194"/>
      <c r="D93" s="1195" t="s">
        <v>12871</v>
      </c>
      <c r="E93" s="1196" t="s">
        <v>310</v>
      </c>
      <c r="F93" s="1196"/>
      <c r="G93" s="1195"/>
      <c r="H93" s="1208">
        <v>133138</v>
      </c>
      <c r="I93" s="1195"/>
      <c r="J93" s="1197">
        <v>37043</v>
      </c>
      <c r="K93" s="1195"/>
      <c r="L93" s="1197"/>
    </row>
    <row r="94" spans="1:12" ht="15.75">
      <c r="A94" s="1192"/>
      <c r="B94" s="1193" t="s">
        <v>12872</v>
      </c>
      <c r="C94" s="1194"/>
      <c r="D94" s="1195" t="s">
        <v>12873</v>
      </c>
      <c r="E94" s="1196" t="s">
        <v>310</v>
      </c>
      <c r="F94" s="1196"/>
      <c r="G94" s="1195"/>
      <c r="H94" s="1208">
        <v>82776</v>
      </c>
      <c r="I94" s="1195"/>
      <c r="J94" s="1197">
        <v>41317</v>
      </c>
      <c r="K94" s="1195"/>
      <c r="L94" s="1197"/>
    </row>
    <row r="95" spans="1:12" ht="15.75">
      <c r="A95" s="1192"/>
      <c r="B95" s="1193" t="s">
        <v>12874</v>
      </c>
      <c r="C95" s="1194"/>
      <c r="D95" s="1195" t="s">
        <v>12875</v>
      </c>
      <c r="E95" s="1196" t="s">
        <v>310</v>
      </c>
      <c r="F95" s="1196"/>
      <c r="G95" s="1195"/>
      <c r="H95" s="1208">
        <v>105679</v>
      </c>
      <c r="I95" s="1195"/>
      <c r="J95" s="1197">
        <v>40747</v>
      </c>
      <c r="K95" s="1195"/>
      <c r="L95" s="1197"/>
    </row>
    <row r="96" spans="1:12" ht="15.75">
      <c r="A96" s="1192"/>
      <c r="B96" s="1193" t="s">
        <v>12876</v>
      </c>
      <c r="C96" s="1194"/>
      <c r="D96" s="1195" t="s">
        <v>12877</v>
      </c>
      <c r="E96" s="1196" t="s">
        <v>310</v>
      </c>
      <c r="F96" s="1196"/>
      <c r="G96" s="1195"/>
      <c r="H96" s="1208">
        <v>132156</v>
      </c>
      <c r="I96" s="1195"/>
      <c r="J96" s="1197">
        <v>39607</v>
      </c>
      <c r="K96" s="1195"/>
      <c r="L96" s="1197"/>
    </row>
    <row r="97" spans="1:12" ht="15.75">
      <c r="A97" s="1192"/>
      <c r="B97" s="1193" t="s">
        <v>12878</v>
      </c>
      <c r="C97" s="1194"/>
      <c r="D97" s="1195" t="s">
        <v>12879</v>
      </c>
      <c r="E97" s="1196" t="s">
        <v>310</v>
      </c>
      <c r="F97" s="1196"/>
      <c r="G97" s="1195"/>
      <c r="H97" s="1208">
        <v>526665</v>
      </c>
      <c r="I97" s="1195"/>
      <c r="J97" s="1197">
        <v>99731</v>
      </c>
      <c r="K97" s="1195"/>
      <c r="L97" s="1197">
        <v>4173</v>
      </c>
    </row>
    <row r="98" spans="1:12" ht="15.75">
      <c r="A98" s="1192"/>
      <c r="B98" s="1193" t="s">
        <v>12880</v>
      </c>
      <c r="C98" s="1194"/>
      <c r="D98" s="1195" t="s">
        <v>12881</v>
      </c>
      <c r="E98" s="1196" t="s">
        <v>310</v>
      </c>
      <c r="F98" s="1196"/>
      <c r="G98" s="1195"/>
      <c r="H98" s="1208">
        <v>526165</v>
      </c>
      <c r="I98" s="1195"/>
      <c r="J98" s="1197">
        <v>85484</v>
      </c>
      <c r="K98" s="1195"/>
      <c r="L98" s="1197">
        <v>4173</v>
      </c>
    </row>
    <row r="99" spans="1:12" ht="15.75">
      <c r="A99" s="1192"/>
      <c r="B99" s="1193" t="s">
        <v>12882</v>
      </c>
      <c r="C99" s="1194"/>
      <c r="D99" s="1195" t="s">
        <v>12883</v>
      </c>
      <c r="E99" s="1196" t="s">
        <v>310</v>
      </c>
      <c r="F99" s="1196"/>
      <c r="G99" s="1195"/>
      <c r="H99" s="1208">
        <v>525832</v>
      </c>
      <c r="I99" s="1195"/>
      <c r="J99" s="1197">
        <v>74086</v>
      </c>
      <c r="K99" s="1195"/>
      <c r="L99" s="1197">
        <v>4173</v>
      </c>
    </row>
    <row r="100" spans="1:12" ht="15.75">
      <c r="A100" s="1192"/>
      <c r="B100" s="1201"/>
      <c r="C100" s="1212"/>
      <c r="D100" s="1203" t="s">
        <v>12884</v>
      </c>
      <c r="E100" s="823"/>
      <c r="F100" s="823"/>
      <c r="G100" s="823"/>
      <c r="H100" s="1208"/>
      <c r="I100" s="1204"/>
      <c r="J100" s="1204"/>
      <c r="K100" s="1204"/>
      <c r="L100" s="1204"/>
    </row>
    <row r="101" spans="1:12" ht="15.75">
      <c r="A101" s="1192"/>
      <c r="B101" s="1193" t="s">
        <v>12885</v>
      </c>
      <c r="C101" s="1194"/>
      <c r="D101" s="1195" t="s">
        <v>12886</v>
      </c>
      <c r="E101" s="1196" t="s">
        <v>310</v>
      </c>
      <c r="F101" s="1196"/>
      <c r="G101" s="1195"/>
      <c r="H101" s="1208">
        <v>32086</v>
      </c>
      <c r="I101" s="1195"/>
      <c r="J101" s="1197">
        <v>13125</v>
      </c>
      <c r="K101" s="1195"/>
      <c r="L101" s="1197"/>
    </row>
    <row r="102" spans="1:12" ht="15.75">
      <c r="A102" s="1192"/>
      <c r="B102" s="1193" t="s">
        <v>12887</v>
      </c>
      <c r="C102" s="1194"/>
      <c r="D102" s="1195" t="s">
        <v>12888</v>
      </c>
      <c r="E102" s="1196" t="s">
        <v>310</v>
      </c>
      <c r="F102" s="1196"/>
      <c r="G102" s="1195"/>
      <c r="H102" s="1208">
        <v>50564</v>
      </c>
      <c r="I102" s="1195"/>
      <c r="J102" s="1197">
        <v>18637</v>
      </c>
      <c r="K102" s="1195"/>
      <c r="L102" s="1197"/>
    </row>
    <row r="103" spans="1:12" ht="15.75">
      <c r="A103" s="1192"/>
      <c r="B103" s="1201"/>
      <c r="C103" s="1212"/>
      <c r="D103" s="1203" t="s">
        <v>12889</v>
      </c>
      <c r="E103" s="823"/>
      <c r="F103" s="823"/>
      <c r="G103" s="823"/>
      <c r="H103" s="1208"/>
      <c r="I103" s="1204"/>
      <c r="J103" s="1204"/>
      <c r="K103" s="1204"/>
      <c r="L103" s="1204"/>
    </row>
    <row r="104" spans="1:12" ht="15.75">
      <c r="A104" s="337"/>
      <c r="B104" s="1193" t="s">
        <v>12890</v>
      </c>
      <c r="C104" s="1194"/>
      <c r="D104" s="1195" t="s">
        <v>12891</v>
      </c>
      <c r="E104" s="1196" t="s">
        <v>1828</v>
      </c>
      <c r="F104" s="1196"/>
      <c r="G104" s="1195"/>
      <c r="H104" s="1208">
        <v>14238</v>
      </c>
      <c r="I104" s="1195"/>
      <c r="J104" s="1197">
        <v>144372</v>
      </c>
      <c r="K104" s="1195"/>
      <c r="L104" s="1197">
        <v>67352</v>
      </c>
    </row>
    <row r="105" spans="1:12" ht="15.75">
      <c r="A105" s="337"/>
      <c r="B105" s="1193" t="s">
        <v>12892</v>
      </c>
      <c r="C105" s="1194"/>
      <c r="D105" s="1195" t="s">
        <v>12893</v>
      </c>
      <c r="E105" s="1196" t="s">
        <v>1828</v>
      </c>
      <c r="F105" s="1196"/>
      <c r="G105" s="1195"/>
      <c r="H105" s="1208">
        <v>19500</v>
      </c>
      <c r="I105" s="1195"/>
      <c r="J105" s="1197">
        <v>144372</v>
      </c>
      <c r="K105" s="1195"/>
      <c r="L105" s="1197">
        <v>67352</v>
      </c>
    </row>
    <row r="106" spans="1:12" ht="15.75">
      <c r="A106" s="1192"/>
      <c r="B106" s="1201"/>
      <c r="C106" s="1212"/>
      <c r="D106" s="1203" t="s">
        <v>12894</v>
      </c>
      <c r="E106" s="823"/>
      <c r="F106" s="823"/>
      <c r="G106" s="823"/>
      <c r="H106" s="1208"/>
      <c r="I106" s="1204"/>
      <c r="J106" s="1204"/>
      <c r="K106" s="1204"/>
      <c r="L106" s="1204"/>
    </row>
    <row r="107" spans="1:12" ht="15.75">
      <c r="A107" s="1192"/>
      <c r="B107" s="1201" t="s">
        <v>12895</v>
      </c>
      <c r="C107" s="1212"/>
      <c r="D107" s="1209" t="s">
        <v>12896</v>
      </c>
      <c r="E107" s="1213" t="s">
        <v>47</v>
      </c>
      <c r="F107" s="1213"/>
      <c r="G107" s="1213"/>
      <c r="H107" s="1208"/>
      <c r="I107" s="1210"/>
      <c r="J107" s="1210">
        <v>33082</v>
      </c>
      <c r="K107" s="1210"/>
      <c r="L107" s="1210"/>
    </row>
    <row r="108" spans="1:12" ht="15.75">
      <c r="A108" s="1192"/>
      <c r="B108" s="1201" t="s">
        <v>12897</v>
      </c>
      <c r="C108" s="1212"/>
      <c r="D108" s="1209" t="s">
        <v>12898</v>
      </c>
      <c r="E108" s="1213" t="s">
        <v>47</v>
      </c>
      <c r="F108" s="1213"/>
      <c r="G108" s="1213"/>
      <c r="H108" s="1210"/>
      <c r="I108" s="1210"/>
      <c r="J108" s="1210">
        <v>40171</v>
      </c>
      <c r="K108" s="1210"/>
      <c r="L108" s="1210"/>
    </row>
    <row r="109" spans="1:12" ht="15.75">
      <c r="A109" s="1192"/>
      <c r="B109" s="1201" t="s">
        <v>12899</v>
      </c>
      <c r="C109" s="1212"/>
      <c r="D109" s="1209" t="s">
        <v>12900</v>
      </c>
      <c r="E109" s="1213" t="s">
        <v>47</v>
      </c>
      <c r="F109" s="1213"/>
      <c r="G109" s="1213"/>
      <c r="H109" s="1210"/>
      <c r="I109" s="1210"/>
      <c r="J109" s="1210">
        <v>56712</v>
      </c>
      <c r="K109" s="1210"/>
      <c r="L109" s="1210"/>
    </row>
    <row r="110" spans="1:12" ht="15.75">
      <c r="A110" s="1192"/>
      <c r="B110" s="1201" t="s">
        <v>12901</v>
      </c>
      <c r="C110" s="1212"/>
      <c r="D110" s="1209" t="s">
        <v>12902</v>
      </c>
      <c r="E110" s="1213" t="s">
        <v>47</v>
      </c>
      <c r="F110" s="1213"/>
      <c r="G110" s="1213"/>
      <c r="H110" s="1210"/>
      <c r="I110" s="1210"/>
      <c r="J110" s="1210">
        <v>77979</v>
      </c>
      <c r="K110" s="1210"/>
      <c r="L110" s="1210"/>
    </row>
    <row r="111" spans="1:12" ht="15.75">
      <c r="A111" s="1192"/>
      <c r="B111" s="1201" t="s">
        <v>12903</v>
      </c>
      <c r="C111" s="1212"/>
      <c r="D111" s="1203" t="s">
        <v>12904</v>
      </c>
      <c r="E111" s="823" t="s">
        <v>1502</v>
      </c>
      <c r="F111" s="823"/>
      <c r="G111" s="823"/>
      <c r="H111" s="1204"/>
      <c r="I111" s="1204"/>
      <c r="J111" s="1210">
        <v>80342</v>
      </c>
      <c r="K111" s="1204"/>
      <c r="L111" s="1204"/>
    </row>
    <row r="112" spans="1:12" ht="15.75">
      <c r="A112" s="1192"/>
      <c r="B112" s="1201" t="s">
        <v>12905</v>
      </c>
      <c r="C112" s="1212"/>
      <c r="D112" s="1203" t="s">
        <v>12906</v>
      </c>
      <c r="E112" s="823" t="s">
        <v>1502</v>
      </c>
      <c r="F112" s="823"/>
      <c r="G112" s="823"/>
      <c r="H112" s="1204"/>
      <c r="I112" s="1204"/>
      <c r="J112" s="1210">
        <v>73253</v>
      </c>
      <c r="K112" s="1204"/>
      <c r="L112" s="1204"/>
    </row>
    <row r="113" spans="1:12" ht="15.75">
      <c r="A113" s="1192"/>
      <c r="B113" s="1201"/>
      <c r="C113" s="1212"/>
      <c r="D113" s="1209" t="s">
        <v>12907</v>
      </c>
      <c r="E113" s="823" t="s">
        <v>136</v>
      </c>
      <c r="F113" s="823"/>
      <c r="G113" s="823"/>
      <c r="H113" s="1204"/>
      <c r="I113" s="1204"/>
      <c r="J113" s="1204"/>
      <c r="K113" s="1204"/>
      <c r="L113" s="1204"/>
    </row>
    <row r="114" spans="1:12" ht="15.75">
      <c r="A114" s="1192"/>
      <c r="B114" s="1201" t="s">
        <v>12908</v>
      </c>
      <c r="C114" s="1212"/>
      <c r="D114" s="1203" t="s">
        <v>12909</v>
      </c>
      <c r="E114" s="823" t="s">
        <v>136</v>
      </c>
      <c r="F114" s="823"/>
      <c r="G114" s="823"/>
      <c r="H114" s="1204"/>
      <c r="I114" s="1204"/>
      <c r="J114" s="1210">
        <v>35445</v>
      </c>
      <c r="K114" s="1204"/>
      <c r="L114" s="1204"/>
    </row>
    <row r="115" spans="1:12" ht="15.75">
      <c r="A115" s="1192"/>
      <c r="B115" s="1201" t="s">
        <v>12910</v>
      </c>
      <c r="C115" s="1212"/>
      <c r="D115" s="1203" t="s">
        <v>12911</v>
      </c>
      <c r="E115" s="823" t="s">
        <v>136</v>
      </c>
      <c r="F115" s="823"/>
      <c r="G115" s="823"/>
      <c r="H115" s="1204"/>
      <c r="I115" s="1204"/>
      <c r="J115" s="1210">
        <v>25993</v>
      </c>
      <c r="K115" s="1204"/>
      <c r="L115" s="1204"/>
    </row>
    <row r="116" spans="1:12" ht="15.75">
      <c r="A116" s="1192"/>
      <c r="B116" s="1201"/>
      <c r="C116" s="1212"/>
      <c r="D116" s="1209" t="s">
        <v>12912</v>
      </c>
      <c r="E116" s="823" t="s">
        <v>47</v>
      </c>
      <c r="F116" s="823"/>
      <c r="G116" s="823"/>
      <c r="H116" s="1204"/>
      <c r="I116" s="1204"/>
      <c r="J116" s="1204"/>
      <c r="K116" s="1204"/>
      <c r="L116" s="1204"/>
    </row>
    <row r="117" spans="1:12" ht="15.75">
      <c r="A117" s="1192"/>
      <c r="B117" s="1201" t="s">
        <v>12913</v>
      </c>
      <c r="C117" s="1212"/>
      <c r="D117" s="1203" t="s">
        <v>12909</v>
      </c>
      <c r="E117" s="823" t="s">
        <v>47</v>
      </c>
      <c r="F117" s="823"/>
      <c r="G117" s="823"/>
      <c r="H117" s="1204"/>
      <c r="I117" s="1204"/>
      <c r="J117" s="1210">
        <v>33082</v>
      </c>
      <c r="K117" s="1204"/>
      <c r="L117" s="1204"/>
    </row>
    <row r="118" spans="1:12" ht="15.75">
      <c r="A118" s="1192"/>
      <c r="B118" s="1201" t="s">
        <v>12914</v>
      </c>
      <c r="C118" s="1212"/>
      <c r="D118" s="1203" t="s">
        <v>12911</v>
      </c>
      <c r="E118" s="823" t="s">
        <v>47</v>
      </c>
      <c r="F118" s="823"/>
      <c r="G118" s="823"/>
      <c r="H118" s="1204"/>
      <c r="I118" s="1204"/>
      <c r="J118" s="1210">
        <v>21267</v>
      </c>
      <c r="K118" s="1204"/>
      <c r="L118" s="1204"/>
    </row>
    <row r="119" spans="1:12" ht="15.75">
      <c r="A119" s="1192"/>
      <c r="B119" s="1201"/>
      <c r="C119" s="1212"/>
      <c r="D119" s="1209" t="s">
        <v>12915</v>
      </c>
      <c r="E119" s="823"/>
      <c r="F119" s="823"/>
      <c r="G119" s="823"/>
      <c r="H119" s="1204"/>
      <c r="I119" s="1204"/>
      <c r="J119" s="1204"/>
      <c r="K119" s="1204"/>
      <c r="L119" s="1204"/>
    </row>
    <row r="120" spans="1:12" ht="15.75">
      <c r="A120" s="1192"/>
      <c r="B120" s="1201" t="s">
        <v>12916</v>
      </c>
      <c r="C120" s="1212"/>
      <c r="D120" s="1203" t="s">
        <v>12909</v>
      </c>
      <c r="E120" s="823" t="s">
        <v>136</v>
      </c>
      <c r="F120" s="823"/>
      <c r="G120" s="823"/>
      <c r="H120" s="1204"/>
      <c r="I120" s="1204"/>
      <c r="J120" s="1210">
        <v>80342</v>
      </c>
      <c r="K120" s="1204"/>
      <c r="L120" s="1204"/>
    </row>
    <row r="121" spans="1:12" ht="15.75">
      <c r="A121" s="1192"/>
      <c r="B121" s="1201" t="s">
        <v>12917</v>
      </c>
      <c r="C121" s="1212"/>
      <c r="D121" s="1203" t="s">
        <v>12911</v>
      </c>
      <c r="E121" s="823" t="s">
        <v>136</v>
      </c>
      <c r="F121" s="823"/>
      <c r="G121" s="823"/>
      <c r="H121" s="1204"/>
      <c r="I121" s="1204"/>
      <c r="J121" s="1210">
        <v>49623</v>
      </c>
      <c r="K121" s="1204"/>
      <c r="L121" s="1204"/>
    </row>
    <row r="122" spans="1:12" ht="15.75">
      <c r="A122" s="1192"/>
      <c r="B122" s="1201"/>
      <c r="C122" s="1212"/>
      <c r="D122" s="1209" t="s">
        <v>12918</v>
      </c>
      <c r="E122" s="823"/>
      <c r="F122" s="823"/>
      <c r="G122" s="823"/>
      <c r="H122" s="1204"/>
      <c r="I122" s="1204"/>
      <c r="J122" s="1204"/>
      <c r="K122" s="1204"/>
      <c r="L122" s="1204"/>
    </row>
    <row r="123" spans="1:12" ht="15.75">
      <c r="A123" s="1192"/>
      <c r="B123" s="1201" t="s">
        <v>12919</v>
      </c>
      <c r="C123" s="1212"/>
      <c r="D123" s="1203" t="s">
        <v>12909</v>
      </c>
      <c r="E123" s="823" t="s">
        <v>136</v>
      </c>
      <c r="F123" s="823"/>
      <c r="G123" s="823"/>
      <c r="H123" s="1204"/>
      <c r="I123" s="1204"/>
      <c r="J123" s="1210">
        <v>47260</v>
      </c>
      <c r="K123" s="1204"/>
      <c r="L123" s="1204"/>
    </row>
    <row r="124" spans="1:12" ht="15.75">
      <c r="A124" s="1192"/>
      <c r="B124" s="1201" t="s">
        <v>12920</v>
      </c>
      <c r="C124" s="1212"/>
      <c r="D124" s="1203" t="s">
        <v>12911</v>
      </c>
      <c r="E124" s="823" t="s">
        <v>136</v>
      </c>
      <c r="F124" s="823"/>
      <c r="G124" s="823"/>
      <c r="H124" s="1204"/>
      <c r="I124" s="1204"/>
      <c r="J124" s="1210">
        <v>30719</v>
      </c>
      <c r="K124" s="1204"/>
      <c r="L124" s="1204"/>
    </row>
    <row r="125" spans="1:12" ht="15.75">
      <c r="A125" s="1192"/>
      <c r="B125" s="1201"/>
      <c r="C125" s="1212"/>
      <c r="D125" s="1215" t="s">
        <v>12921</v>
      </c>
      <c r="E125" s="823"/>
      <c r="F125" s="823"/>
      <c r="G125" s="823"/>
      <c r="H125" s="1204"/>
      <c r="I125" s="1214"/>
      <c r="J125" s="1204"/>
      <c r="K125" s="1204"/>
      <c r="L125" s="1204"/>
    </row>
    <row r="126" spans="1:12" ht="15.75">
      <c r="A126" s="1192"/>
      <c r="B126" s="1201" t="s">
        <v>12922</v>
      </c>
      <c r="C126" s="1212"/>
      <c r="D126" s="1209" t="s">
        <v>12896</v>
      </c>
      <c r="E126" s="1213" t="s">
        <v>47</v>
      </c>
      <c r="F126" s="1213"/>
      <c r="G126" s="1213"/>
      <c r="H126" s="1210"/>
      <c r="I126" s="1210"/>
      <c r="J126" s="1210">
        <v>17723</v>
      </c>
      <c r="K126" s="1204"/>
      <c r="L126" s="1204"/>
    </row>
    <row r="127" spans="1:12" ht="15.75">
      <c r="A127" s="1192"/>
      <c r="B127" s="1201" t="s">
        <v>12923</v>
      </c>
      <c r="C127" s="1212"/>
      <c r="D127" s="1209" t="s">
        <v>12898</v>
      </c>
      <c r="E127" s="1213" t="s">
        <v>47</v>
      </c>
      <c r="F127" s="1213"/>
      <c r="G127" s="1213"/>
      <c r="H127" s="1210"/>
      <c r="I127" s="1210"/>
      <c r="J127" s="1210">
        <v>20794</v>
      </c>
      <c r="K127" s="1204"/>
      <c r="L127" s="1204"/>
    </row>
    <row r="128" spans="1:12" ht="15.75">
      <c r="A128" s="1192"/>
      <c r="B128" s="1201" t="s">
        <v>12924</v>
      </c>
      <c r="C128" s="1212"/>
      <c r="D128" s="1209" t="s">
        <v>12900</v>
      </c>
      <c r="E128" s="1213" t="s">
        <v>47</v>
      </c>
      <c r="F128" s="1213"/>
      <c r="G128" s="1213"/>
      <c r="H128" s="1210"/>
      <c r="I128" s="1210"/>
      <c r="J128" s="1210">
        <v>17723</v>
      </c>
      <c r="K128" s="1204"/>
      <c r="L128" s="1204"/>
    </row>
    <row r="129" spans="1:12" ht="15.75">
      <c r="A129" s="1192"/>
      <c r="B129" s="1201" t="s">
        <v>12925</v>
      </c>
      <c r="C129" s="1212"/>
      <c r="D129" s="1209" t="s">
        <v>12902</v>
      </c>
      <c r="E129" s="1213" t="s">
        <v>47</v>
      </c>
      <c r="F129" s="1213"/>
      <c r="G129" s="1213"/>
      <c r="H129" s="1210"/>
      <c r="I129" s="1210"/>
      <c r="J129" s="1210">
        <v>20794</v>
      </c>
      <c r="K129" s="1204"/>
      <c r="L129" s="1204"/>
    </row>
    <row r="130" spans="1:12" ht="15.75">
      <c r="A130" s="1192"/>
      <c r="B130" s="1201" t="s">
        <v>12926</v>
      </c>
      <c r="C130" s="1212"/>
      <c r="D130" s="1203" t="s">
        <v>12927</v>
      </c>
      <c r="E130" s="823" t="s">
        <v>1502</v>
      </c>
      <c r="F130" s="823"/>
      <c r="G130" s="823"/>
      <c r="H130" s="1204"/>
      <c r="I130" s="1204"/>
      <c r="J130" s="1210">
        <v>17723</v>
      </c>
      <c r="K130" s="1204"/>
      <c r="L130" s="1204"/>
    </row>
    <row r="131" spans="1:12" ht="15.75">
      <c r="A131" s="1192"/>
      <c r="B131" s="1201" t="s">
        <v>12928</v>
      </c>
      <c r="C131" s="1212"/>
      <c r="D131" s="1203" t="s">
        <v>12907</v>
      </c>
      <c r="E131" s="823" t="s">
        <v>136</v>
      </c>
      <c r="F131" s="823"/>
      <c r="G131" s="823"/>
      <c r="H131" s="1204"/>
      <c r="I131" s="1204"/>
      <c r="J131" s="1210">
        <v>17723</v>
      </c>
      <c r="K131" s="1204"/>
      <c r="L131" s="1204"/>
    </row>
    <row r="132" spans="1:12" ht="15.75">
      <c r="A132" s="1192"/>
      <c r="B132" s="1201" t="s">
        <v>12929</v>
      </c>
      <c r="C132" s="1212"/>
      <c r="D132" s="1203" t="s">
        <v>12912</v>
      </c>
      <c r="E132" s="823" t="s">
        <v>136</v>
      </c>
      <c r="F132" s="823"/>
      <c r="G132" s="823"/>
      <c r="H132" s="1204"/>
      <c r="I132" s="1204"/>
      <c r="J132" s="1210">
        <v>11815</v>
      </c>
      <c r="K132" s="1204"/>
      <c r="L132" s="1204"/>
    </row>
    <row r="133" spans="1:12" ht="15.75">
      <c r="A133" s="1192"/>
      <c r="B133" s="1201" t="s">
        <v>12930</v>
      </c>
      <c r="C133" s="1212"/>
      <c r="D133" s="1203" t="s">
        <v>12915</v>
      </c>
      <c r="E133" s="823" t="s">
        <v>136</v>
      </c>
      <c r="F133" s="823"/>
      <c r="G133" s="823"/>
      <c r="H133" s="1204"/>
      <c r="I133" s="1204"/>
      <c r="J133" s="1210">
        <v>19140</v>
      </c>
      <c r="K133" s="1204"/>
      <c r="L133" s="1204"/>
    </row>
    <row r="134" spans="1:12" ht="15.75">
      <c r="A134" s="1192"/>
      <c r="B134" s="1201"/>
      <c r="C134" s="1212"/>
      <c r="D134" s="1215" t="s">
        <v>12931</v>
      </c>
      <c r="E134" s="823"/>
      <c r="F134" s="823"/>
      <c r="G134" s="823"/>
      <c r="H134" s="1204"/>
      <c r="I134" s="1214"/>
      <c r="J134" s="1204"/>
      <c r="K134" s="1204"/>
      <c r="L134" s="1204"/>
    </row>
    <row r="135" spans="1:12" ht="15.75">
      <c r="A135" s="1192"/>
      <c r="B135" s="1201" t="s">
        <v>12932</v>
      </c>
      <c r="C135" s="1212"/>
      <c r="D135" s="1209" t="s">
        <v>12896</v>
      </c>
      <c r="E135" s="1213" t="s">
        <v>47</v>
      </c>
      <c r="F135" s="1213"/>
      <c r="G135" s="1213"/>
      <c r="H135" s="1210"/>
      <c r="I135" s="1210"/>
      <c r="J135" s="1210">
        <v>1890</v>
      </c>
      <c r="K135" s="1204"/>
      <c r="L135" s="1204"/>
    </row>
    <row r="136" spans="1:12" ht="15.75">
      <c r="A136" s="1192"/>
      <c r="B136" s="1201" t="s">
        <v>12933</v>
      </c>
      <c r="C136" s="1212"/>
      <c r="D136" s="1209" t="s">
        <v>12898</v>
      </c>
      <c r="E136" s="1213" t="s">
        <v>47</v>
      </c>
      <c r="F136" s="1213"/>
      <c r="G136" s="1213"/>
      <c r="H136" s="1210"/>
      <c r="I136" s="1210"/>
      <c r="J136" s="1210">
        <v>2363</v>
      </c>
      <c r="K136" s="1204"/>
      <c r="L136" s="1204"/>
    </row>
    <row r="137" spans="1:12" ht="15.75">
      <c r="A137" s="1192"/>
      <c r="B137" s="1201" t="s">
        <v>12934</v>
      </c>
      <c r="C137" s="1212"/>
      <c r="D137" s="1209" t="s">
        <v>12900</v>
      </c>
      <c r="E137" s="1213" t="s">
        <v>47</v>
      </c>
      <c r="F137" s="1213"/>
      <c r="G137" s="1213"/>
      <c r="H137" s="1210"/>
      <c r="I137" s="1210"/>
      <c r="J137" s="1210">
        <v>2127</v>
      </c>
      <c r="K137" s="1204"/>
      <c r="L137" s="1204"/>
    </row>
    <row r="138" spans="1:12" ht="15.75">
      <c r="A138" s="1192"/>
      <c r="B138" s="1201" t="s">
        <v>12935</v>
      </c>
      <c r="C138" s="1212"/>
      <c r="D138" s="1209" t="s">
        <v>12902</v>
      </c>
      <c r="E138" s="1213" t="s">
        <v>47</v>
      </c>
      <c r="F138" s="1213"/>
      <c r="G138" s="1213"/>
      <c r="H138" s="1210"/>
      <c r="I138" s="1210"/>
      <c r="J138" s="1210">
        <v>2362</v>
      </c>
      <c r="K138" s="1204"/>
      <c r="L138" s="1204"/>
    </row>
    <row r="139" spans="1:12" ht="15.75">
      <c r="A139" s="1192"/>
      <c r="B139" s="1201" t="s">
        <v>12936</v>
      </c>
      <c r="C139" s="1212"/>
      <c r="D139" s="1203" t="s">
        <v>12927</v>
      </c>
      <c r="E139" s="823" t="s">
        <v>1502</v>
      </c>
      <c r="F139" s="823"/>
      <c r="G139" s="823"/>
      <c r="H139" s="1204"/>
      <c r="I139" s="1204"/>
      <c r="J139" s="1210">
        <v>1890</v>
      </c>
      <c r="K139" s="1204"/>
      <c r="L139" s="1204"/>
    </row>
    <row r="140" spans="1:12" ht="15.75">
      <c r="A140" s="1192"/>
      <c r="B140" s="1201" t="s">
        <v>12937</v>
      </c>
      <c r="C140" s="1212"/>
      <c r="D140" s="1203" t="s">
        <v>12907</v>
      </c>
      <c r="E140" s="823" t="s">
        <v>136</v>
      </c>
      <c r="F140" s="823"/>
      <c r="G140" s="823"/>
      <c r="H140" s="1204"/>
      <c r="I140" s="1204"/>
      <c r="J140" s="1210">
        <v>1890</v>
      </c>
      <c r="K140" s="1204"/>
      <c r="L140" s="1204"/>
    </row>
    <row r="141" spans="1:12" ht="15.75">
      <c r="A141" s="1192"/>
      <c r="B141" s="1201" t="s">
        <v>12938</v>
      </c>
      <c r="C141" s="1212"/>
      <c r="D141" s="1203" t="s">
        <v>12912</v>
      </c>
      <c r="E141" s="823" t="s">
        <v>136</v>
      </c>
      <c r="F141" s="823"/>
      <c r="G141" s="823"/>
      <c r="H141" s="1204"/>
      <c r="I141" s="1204"/>
      <c r="J141" s="1210">
        <v>1418</v>
      </c>
      <c r="K141" s="1204"/>
      <c r="L141" s="1204"/>
    </row>
    <row r="142" spans="1:12" ht="15.75">
      <c r="A142" s="1192"/>
      <c r="B142" s="1201" t="s">
        <v>12939</v>
      </c>
      <c r="C142" s="1212"/>
      <c r="D142" s="1203" t="s">
        <v>12915</v>
      </c>
      <c r="E142" s="823" t="s">
        <v>136</v>
      </c>
      <c r="F142" s="823"/>
      <c r="G142" s="823"/>
      <c r="H142" s="1204"/>
      <c r="I142" s="1204"/>
      <c r="J142" s="1210">
        <v>2127</v>
      </c>
      <c r="K142" s="1204"/>
      <c r="L142" s="1204"/>
    </row>
    <row r="143" spans="1:12" ht="15.75">
      <c r="A143" s="1192"/>
      <c r="B143" s="1201"/>
      <c r="C143" s="1202"/>
      <c r="D143" s="1215"/>
      <c r="E143" s="823"/>
      <c r="F143" s="823"/>
      <c r="G143" s="823"/>
      <c r="H143" s="1204"/>
      <c r="I143" s="1214"/>
      <c r="J143" s="1204"/>
      <c r="K143" s="1204"/>
      <c r="L143" s="1204"/>
    </row>
    <row r="144" spans="1:12" ht="15.75">
      <c r="A144" s="337"/>
      <c r="B144" s="337"/>
      <c r="C144" s="337"/>
      <c r="D144" s="1203"/>
      <c r="E144" s="337"/>
      <c r="F144" s="337"/>
      <c r="G144" s="337"/>
      <c r="H144" s="337"/>
      <c r="I144" s="337"/>
      <c r="J144" s="337"/>
      <c r="K144" s="337"/>
      <c r="L144" s="337"/>
    </row>
    <row r="145" spans="1:12" ht="15.75">
      <c r="A145" s="337"/>
      <c r="B145" s="337"/>
      <c r="C145" s="337"/>
      <c r="D145" s="1203"/>
      <c r="E145" s="337"/>
      <c r="F145" s="337"/>
      <c r="G145" s="337"/>
      <c r="H145" s="337"/>
      <c r="I145" s="337"/>
      <c r="J145" s="337"/>
      <c r="K145" s="337"/>
      <c r="L145" s="337"/>
    </row>
    <row r="146" spans="1:12" ht="15.75">
      <c r="A146" s="337"/>
      <c r="B146" s="337"/>
      <c r="C146" s="337"/>
      <c r="D146" s="1203"/>
      <c r="E146" s="337"/>
      <c r="F146" s="337"/>
      <c r="G146" s="337"/>
      <c r="H146" s="337"/>
      <c r="I146" s="337"/>
      <c r="J146" s="337"/>
      <c r="K146" s="337"/>
      <c r="L146" s="337"/>
    </row>
    <row r="147" spans="1:12" ht="15.75">
      <c r="A147" s="337"/>
      <c r="B147" s="337"/>
      <c r="C147" s="337"/>
      <c r="D147" s="1203"/>
      <c r="E147" s="337"/>
      <c r="F147" s="337"/>
      <c r="G147" s="337"/>
      <c r="H147" s="337"/>
      <c r="I147" s="337"/>
      <c r="J147" s="337"/>
      <c r="K147" s="337"/>
      <c r="L147" s="337"/>
    </row>
    <row r="148" spans="1:12" ht="15.75">
      <c r="A148" s="337"/>
      <c r="B148" s="337"/>
      <c r="C148" s="337"/>
      <c r="D148" s="1203"/>
      <c r="E148" s="337"/>
      <c r="F148" s="337"/>
      <c r="G148" s="337"/>
      <c r="H148" s="337"/>
      <c r="I148" s="337"/>
      <c r="J148" s="337"/>
      <c r="K148" s="337"/>
      <c r="L148" s="337"/>
    </row>
    <row r="149" spans="1:12" ht="15.75">
      <c r="A149" s="337"/>
      <c r="B149" s="337"/>
      <c r="C149" s="337"/>
      <c r="D149" s="1203"/>
      <c r="E149" s="337"/>
      <c r="F149" s="337"/>
      <c r="G149" s="337"/>
      <c r="H149" s="337"/>
      <c r="I149" s="337"/>
      <c r="J149" s="337"/>
      <c r="K149" s="337"/>
      <c r="L149" s="337"/>
    </row>
    <row r="150" spans="1:12" ht="15.75">
      <c r="A150" s="337"/>
      <c r="B150" s="337"/>
      <c r="C150" s="337"/>
      <c r="D150" s="1203"/>
      <c r="E150" s="337"/>
      <c r="F150" s="337"/>
      <c r="G150" s="337"/>
      <c r="H150" s="337"/>
      <c r="I150" s="337"/>
      <c r="J150" s="337"/>
      <c r="K150" s="337"/>
      <c r="L150" s="337"/>
    </row>
    <row r="151" spans="1:12" ht="15.75">
      <c r="A151" s="337"/>
      <c r="B151" s="337"/>
      <c r="C151" s="337"/>
      <c r="D151" s="1203"/>
      <c r="E151" s="337"/>
      <c r="F151" s="337"/>
      <c r="G151" s="337"/>
      <c r="H151" s="337"/>
      <c r="I151" s="337"/>
      <c r="J151" s="337"/>
      <c r="K151" s="337"/>
      <c r="L151" s="337"/>
    </row>
    <row r="152" spans="1:12" ht="15.75">
      <c r="A152" s="337"/>
      <c r="B152" s="337"/>
      <c r="C152" s="337"/>
      <c r="D152" s="1203"/>
      <c r="E152" s="337"/>
      <c r="F152" s="337"/>
      <c r="G152" s="337"/>
      <c r="H152" s="337"/>
      <c r="I152" s="337"/>
      <c r="J152" s="337"/>
      <c r="K152" s="337"/>
      <c r="L152" s="337"/>
    </row>
    <row r="153" spans="1:12" ht="15.75">
      <c r="A153" s="337"/>
      <c r="B153" s="337"/>
      <c r="C153" s="337"/>
      <c r="D153" s="1203"/>
      <c r="E153" s="337"/>
      <c r="F153" s="337"/>
      <c r="G153" s="337"/>
      <c r="H153" s="337"/>
      <c r="I153" s="337"/>
      <c r="J153" s="337"/>
      <c r="K153" s="337"/>
      <c r="L153" s="337"/>
    </row>
    <row r="154" spans="1:12" ht="15.75">
      <c r="A154" s="337"/>
      <c r="B154" s="337"/>
      <c r="C154" s="337"/>
      <c r="D154" s="1203"/>
      <c r="E154" s="337"/>
      <c r="F154" s="337"/>
      <c r="G154" s="337"/>
      <c r="H154" s="337"/>
      <c r="I154" s="337"/>
      <c r="J154" s="337"/>
      <c r="K154" s="337"/>
      <c r="L154" s="337"/>
    </row>
    <row r="155" spans="1:12" ht="15.75">
      <c r="A155" s="337"/>
      <c r="B155" s="337"/>
      <c r="C155" s="337"/>
      <c r="D155" s="1203"/>
      <c r="E155" s="337"/>
      <c r="F155" s="337"/>
      <c r="G155" s="337"/>
      <c r="H155" s="337"/>
      <c r="I155" s="337"/>
      <c r="J155" s="337"/>
      <c r="K155" s="337"/>
      <c r="L155" s="337"/>
    </row>
    <row r="156" spans="1:12" ht="15.75">
      <c r="A156" s="337"/>
      <c r="B156" s="337"/>
      <c r="C156" s="337"/>
      <c r="D156" s="1203"/>
      <c r="E156" s="337"/>
      <c r="F156" s="337"/>
      <c r="G156" s="337"/>
      <c r="H156" s="337"/>
      <c r="I156" s="337"/>
      <c r="J156" s="337"/>
      <c r="K156" s="337"/>
      <c r="L156" s="337"/>
    </row>
    <row r="157" spans="1:12" ht="15.75">
      <c r="A157" s="337"/>
      <c r="B157" s="337"/>
      <c r="C157" s="337"/>
      <c r="D157" s="1203"/>
      <c r="E157" s="337"/>
      <c r="F157" s="337"/>
      <c r="G157" s="337"/>
      <c r="H157" s="337"/>
      <c r="I157" s="337"/>
      <c r="J157" s="337"/>
      <c r="K157" s="337"/>
      <c r="L157" s="337"/>
    </row>
    <row r="158" spans="1:12" ht="15.75">
      <c r="A158" s="337"/>
      <c r="B158" s="337"/>
      <c r="C158" s="337"/>
      <c r="D158" s="1203"/>
      <c r="E158" s="337"/>
      <c r="F158" s="337"/>
      <c r="G158" s="337"/>
      <c r="H158" s="337"/>
      <c r="I158" s="337"/>
      <c r="J158" s="337"/>
      <c r="K158" s="337"/>
      <c r="L158" s="337"/>
    </row>
    <row r="159" spans="1:12" ht="15.75">
      <c r="A159" s="337"/>
      <c r="B159" s="337"/>
      <c r="C159" s="337"/>
      <c r="D159" s="1203"/>
      <c r="E159" s="337"/>
      <c r="F159" s="337"/>
      <c r="G159" s="337"/>
      <c r="H159" s="337"/>
      <c r="I159" s="337"/>
      <c r="J159" s="337"/>
      <c r="K159" s="337"/>
      <c r="L159" s="337"/>
    </row>
    <row r="160" spans="1:12" ht="15.75">
      <c r="A160" s="337"/>
      <c r="B160" s="337"/>
      <c r="C160" s="337"/>
      <c r="D160" s="1203"/>
      <c r="E160" s="337"/>
      <c r="F160" s="337"/>
      <c r="G160" s="337"/>
      <c r="H160" s="337"/>
      <c r="I160" s="337"/>
      <c r="J160" s="337"/>
      <c r="K160" s="337"/>
      <c r="L160" s="337"/>
    </row>
    <row r="161" spans="1:12" ht="15.75">
      <c r="A161" s="337"/>
      <c r="B161" s="337"/>
      <c r="C161" s="337"/>
      <c r="D161" s="1203"/>
      <c r="E161" s="337"/>
      <c r="F161" s="337"/>
      <c r="G161" s="337"/>
      <c r="H161" s="337"/>
      <c r="I161" s="337"/>
      <c r="J161" s="337"/>
      <c r="K161" s="337"/>
      <c r="L161" s="337"/>
    </row>
    <row r="162" spans="1:12" ht="15.75">
      <c r="A162" s="337"/>
      <c r="B162" s="337"/>
      <c r="C162" s="337"/>
      <c r="D162" s="1203"/>
      <c r="E162" s="337"/>
      <c r="F162" s="337"/>
      <c r="G162" s="337"/>
      <c r="H162" s="337"/>
      <c r="I162" s="337"/>
      <c r="J162" s="337"/>
      <c r="K162" s="337"/>
      <c r="L162" s="337"/>
    </row>
    <row r="163" spans="1:12" ht="15.75">
      <c r="A163" s="337"/>
      <c r="B163" s="337"/>
      <c r="C163" s="337"/>
      <c r="D163" s="1203"/>
      <c r="E163" s="337"/>
      <c r="F163" s="337"/>
      <c r="G163" s="337"/>
      <c r="H163" s="337"/>
      <c r="I163" s="337"/>
      <c r="J163" s="337"/>
      <c r="K163" s="337"/>
      <c r="L163" s="337"/>
    </row>
    <row r="164" spans="1:12" ht="15.75">
      <c r="A164" s="337"/>
      <c r="B164" s="337"/>
      <c r="C164" s="337"/>
      <c r="D164" s="1203"/>
      <c r="E164" s="337"/>
      <c r="F164" s="337"/>
      <c r="G164" s="337"/>
      <c r="H164" s="337"/>
      <c r="I164" s="337"/>
      <c r="J164" s="337"/>
      <c r="K164" s="337"/>
      <c r="L164" s="337"/>
    </row>
    <row r="165" spans="1:12" ht="15.75">
      <c r="A165" s="337"/>
      <c r="B165" s="337"/>
      <c r="C165" s="337"/>
      <c r="D165" s="1203"/>
      <c r="E165" s="337"/>
      <c r="F165" s="337"/>
      <c r="G165" s="337"/>
      <c r="H165" s="337"/>
      <c r="I165" s="337"/>
      <c r="J165" s="337"/>
      <c r="K165" s="337"/>
      <c r="L165" s="337"/>
    </row>
    <row r="166" spans="1:12" ht="15.75">
      <c r="A166" s="337"/>
      <c r="B166" s="337"/>
      <c r="C166" s="337"/>
      <c r="D166" s="1203"/>
      <c r="E166" s="337"/>
      <c r="F166" s="337"/>
      <c r="G166" s="337"/>
      <c r="H166" s="337"/>
      <c r="I166" s="337"/>
      <c r="J166" s="337"/>
      <c r="K166" s="337"/>
      <c r="L166" s="337"/>
    </row>
    <row r="167" spans="1:12" ht="15.75">
      <c r="D167" s="916"/>
    </row>
    <row r="168" spans="1:12" ht="15.75">
      <c r="D168" s="916"/>
    </row>
    <row r="169" spans="1:12" ht="15.75">
      <c r="D169" s="916"/>
    </row>
    <row r="170" spans="1:12" ht="15.75">
      <c r="D170" s="916"/>
    </row>
    <row r="171" spans="1:12" ht="15.75">
      <c r="D171" s="916"/>
    </row>
    <row r="172" spans="1:12" ht="15.75">
      <c r="D172" s="916"/>
    </row>
    <row r="173" spans="1:12" ht="15.75">
      <c r="D173" s="916"/>
    </row>
    <row r="174" spans="1:12" ht="15.75">
      <c r="D174" s="916"/>
    </row>
    <row r="175" spans="1:12" ht="15.75">
      <c r="D175" s="916"/>
    </row>
    <row r="176" spans="1:12" ht="15.75">
      <c r="D176" s="916"/>
    </row>
    <row r="177" spans="4:4" ht="15.75">
      <c r="D177" s="916"/>
    </row>
    <row r="178" spans="4:4" ht="15.75">
      <c r="D178" s="916"/>
    </row>
    <row r="179" spans="4:4" ht="15.75">
      <c r="D179" s="916"/>
    </row>
    <row r="180" spans="4:4" ht="15.75">
      <c r="D180" s="916"/>
    </row>
    <row r="181" spans="4:4" ht="15.75">
      <c r="D181" s="916"/>
    </row>
    <row r="182" spans="4:4" ht="15.75">
      <c r="D182" s="916"/>
    </row>
    <row r="183" spans="4:4" ht="15.75">
      <c r="D183" s="916"/>
    </row>
    <row r="184" spans="4:4" ht="15.75">
      <c r="D184" s="916"/>
    </row>
    <row r="185" spans="4:4" ht="15.75">
      <c r="D185" s="916"/>
    </row>
    <row r="186" spans="4:4" ht="15.75">
      <c r="D186" s="916"/>
    </row>
    <row r="187" spans="4:4" ht="15.75">
      <c r="D187" s="916"/>
    </row>
    <row r="188" spans="4:4" ht="15.75">
      <c r="D188" s="916"/>
    </row>
    <row r="189" spans="4:4" ht="15.75">
      <c r="D189" s="916"/>
    </row>
    <row r="190" spans="4:4" ht="15.75">
      <c r="D190" s="916"/>
    </row>
    <row r="191" spans="4:4" ht="15.75">
      <c r="D191" s="916"/>
    </row>
    <row r="192" spans="4:4" ht="15.75">
      <c r="D192" s="916"/>
    </row>
    <row r="193" spans="4:4" ht="15.75">
      <c r="D193" s="916"/>
    </row>
  </sheetData>
  <mergeCells count="10">
    <mergeCell ref="N4:N5"/>
    <mergeCell ref="O4:S4"/>
    <mergeCell ref="T4:U4"/>
    <mergeCell ref="A1:L1"/>
    <mergeCell ref="A2:L2"/>
    <mergeCell ref="D4:D5"/>
    <mergeCell ref="G4:H4"/>
    <mergeCell ref="I4:I5"/>
    <mergeCell ref="J4:J5"/>
    <mergeCell ref="L4:L5"/>
  </mergeCells>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0"/>
  <sheetViews>
    <sheetView topLeftCell="A217" workbookViewId="0">
      <selection activeCell="A233" sqref="A233"/>
    </sheetView>
  </sheetViews>
  <sheetFormatPr defaultRowHeight="15"/>
  <cols>
    <col min="1" max="1" width="13.140625" customWidth="1"/>
    <col min="2" max="2" width="58.85546875" customWidth="1"/>
    <col min="3" max="3" width="8.28515625" bestFit="1" customWidth="1"/>
    <col min="4" max="4" width="10.42578125" customWidth="1"/>
    <col min="5" max="6" width="9.42578125" customWidth="1"/>
    <col min="7" max="7" width="12.7109375" customWidth="1"/>
    <col min="8" max="8" width="10.42578125" bestFit="1" customWidth="1"/>
    <col min="9" max="9" width="15.28515625" customWidth="1"/>
  </cols>
  <sheetData>
    <row r="1" spans="1:9" ht="16.5">
      <c r="A1" s="1240" t="s">
        <v>12970</v>
      </c>
      <c r="B1" s="1241"/>
      <c r="C1" s="1242"/>
      <c r="D1" s="1242"/>
      <c r="E1" s="1242"/>
      <c r="F1" s="1243"/>
      <c r="G1" s="1243"/>
      <c r="H1" s="1243"/>
      <c r="I1" s="1243"/>
    </row>
    <row r="2" spans="1:9" ht="16.5">
      <c r="A2" s="1244" t="s">
        <v>12971</v>
      </c>
      <c r="B2" s="1241"/>
      <c r="C2" s="1242"/>
      <c r="D2" s="1242"/>
      <c r="E2" s="1242"/>
      <c r="F2" s="1243"/>
      <c r="G2" s="1243"/>
      <c r="H2" s="1243"/>
      <c r="I2" s="1243"/>
    </row>
    <row r="3" spans="1:9" ht="15.75" thickBot="1">
      <c r="A3" s="1241"/>
      <c r="B3" s="1241"/>
      <c r="C3" s="1242"/>
      <c r="D3" s="1242"/>
      <c r="E3" s="1242"/>
      <c r="F3" s="1243"/>
      <c r="G3" s="1243"/>
      <c r="H3" s="1243"/>
      <c r="I3" s="1243"/>
    </row>
    <row r="4" spans="1:9" ht="16.5" thickTop="1" thickBot="1">
      <c r="A4" s="1245" t="s">
        <v>3908</v>
      </c>
      <c r="B4" s="1246" t="s">
        <v>12972</v>
      </c>
      <c r="C4" s="1246" t="s">
        <v>101</v>
      </c>
      <c r="D4" s="1566" t="s">
        <v>97</v>
      </c>
      <c r="E4" s="1568" t="s">
        <v>12973</v>
      </c>
      <c r="F4" s="1570" t="s">
        <v>98</v>
      </c>
      <c r="G4" s="1571"/>
      <c r="H4" s="1572"/>
      <c r="I4" s="1573" t="s">
        <v>3576</v>
      </c>
    </row>
    <row r="5" spans="1:9" ht="15.75" thickTop="1">
      <c r="A5" s="1247"/>
      <c r="B5" s="1248"/>
      <c r="C5" s="1248"/>
      <c r="D5" s="1567"/>
      <c r="E5" s="1569"/>
      <c r="F5" s="1249" t="s">
        <v>11</v>
      </c>
      <c r="G5" s="1249" t="s">
        <v>12</v>
      </c>
      <c r="H5" s="1249" t="s">
        <v>93</v>
      </c>
      <c r="I5" s="1574"/>
    </row>
    <row r="6" spans="1:9" ht="15.75">
      <c r="A6" s="1250" t="s">
        <v>12974</v>
      </c>
      <c r="B6" s="1251" t="s">
        <v>12975</v>
      </c>
      <c r="C6" s="1252"/>
      <c r="D6" s="1253"/>
      <c r="E6" s="1252"/>
      <c r="F6" s="1254"/>
      <c r="G6" s="1254"/>
      <c r="H6" s="1254"/>
      <c r="I6" s="1255"/>
    </row>
    <row r="7" spans="1:9" ht="15.75">
      <c r="A7" s="1250" t="s">
        <v>12976</v>
      </c>
      <c r="B7" s="1251" t="s">
        <v>12977</v>
      </c>
      <c r="C7" s="1252"/>
      <c r="D7" s="1252"/>
      <c r="E7" s="1252"/>
      <c r="F7" s="1254"/>
      <c r="G7" s="1254"/>
      <c r="H7" s="1254"/>
      <c r="I7" s="1255"/>
    </row>
    <row r="8" spans="1:9" ht="15.75">
      <c r="A8" s="1250"/>
      <c r="B8" s="1256" t="s">
        <v>12978</v>
      </c>
      <c r="C8" s="1252"/>
      <c r="D8" s="1252"/>
      <c r="E8" s="1252"/>
      <c r="F8" s="1254"/>
      <c r="G8" s="1254"/>
      <c r="H8" s="1254"/>
      <c r="I8" s="1255"/>
    </row>
    <row r="9" spans="1:9" ht="15.75">
      <c r="A9" s="1250"/>
      <c r="B9" s="1257" t="s">
        <v>12979</v>
      </c>
      <c r="C9" s="1252"/>
      <c r="D9" s="1252"/>
      <c r="E9" s="1252"/>
      <c r="F9" s="1254"/>
      <c r="G9" s="1254"/>
      <c r="H9" s="1254"/>
      <c r="I9" s="1255"/>
    </row>
    <row r="10" spans="1:9" ht="15.75">
      <c r="A10" s="1250"/>
      <c r="B10" s="1257" t="s">
        <v>12980</v>
      </c>
      <c r="C10" s="1252"/>
      <c r="D10" s="1252"/>
      <c r="E10" s="1252"/>
      <c r="F10" s="1254"/>
      <c r="G10" s="1254"/>
      <c r="H10" s="1254"/>
      <c r="I10" s="1255"/>
    </row>
    <row r="11" spans="1:9" ht="15.75">
      <c r="A11" s="1250"/>
      <c r="B11" s="1257" t="s">
        <v>12981</v>
      </c>
      <c r="C11" s="1252"/>
      <c r="D11" s="1252"/>
      <c r="E11" s="1252"/>
      <c r="F11" s="1254"/>
      <c r="G11" s="1254"/>
      <c r="H11" s="1254"/>
      <c r="I11" s="1255"/>
    </row>
    <row r="12" spans="1:9" ht="15.75">
      <c r="A12" s="1258" t="s">
        <v>3825</v>
      </c>
      <c r="B12" s="1259" t="s">
        <v>12982</v>
      </c>
      <c r="C12" s="1260" t="s">
        <v>160</v>
      </c>
      <c r="D12" s="1260"/>
      <c r="E12" s="1260"/>
      <c r="F12" s="1261">
        <f>SUM(F14:F31)</f>
        <v>208358.88</v>
      </c>
      <c r="G12" s="1261">
        <f>SUM(G14:G31)</f>
        <v>1885641.8</v>
      </c>
      <c r="H12" s="1261">
        <f>SUM(H14:H31)</f>
        <v>401119.30989199999</v>
      </c>
      <c r="I12" s="1262">
        <f>SUM(F12:H12)</f>
        <v>2495119.9898920003</v>
      </c>
    </row>
    <row r="13" spans="1:9" ht="15.75">
      <c r="A13" s="1258"/>
      <c r="B13" s="1251" t="s">
        <v>108</v>
      </c>
      <c r="C13" s="1260"/>
      <c r="D13" s="1260"/>
      <c r="E13" s="1260"/>
      <c r="F13" s="1261"/>
      <c r="G13" s="1261"/>
      <c r="H13" s="1261"/>
      <c r="I13" s="1262"/>
    </row>
    <row r="14" spans="1:9" ht="15.75">
      <c r="A14" s="1258"/>
      <c r="B14" s="1259" t="s">
        <v>2677</v>
      </c>
      <c r="C14" s="1260" t="s">
        <v>3127</v>
      </c>
      <c r="D14" s="1261">
        <f>VLOOKUP(B14,[6]VLP!$B$7:$K$381,10,0)</f>
        <v>1864.44</v>
      </c>
      <c r="E14" s="1260">
        <v>2</v>
      </c>
      <c r="F14" s="1261">
        <f>E14*D14</f>
        <v>3728.88</v>
      </c>
      <c r="G14" s="1261"/>
      <c r="H14" s="1261"/>
      <c r="I14" s="1262"/>
    </row>
    <row r="15" spans="1:9" ht="15.75">
      <c r="A15" s="1258"/>
      <c r="B15" s="1259" t="s">
        <v>2681</v>
      </c>
      <c r="C15" s="1260" t="s">
        <v>45</v>
      </c>
      <c r="D15" s="1261">
        <f>VLOOKUP(B15,[6]VLP!$B$7:$K$381,10,0)</f>
        <v>23000</v>
      </c>
      <c r="E15" s="1260">
        <v>0.45</v>
      </c>
      <c r="F15" s="1261">
        <f t="shared" ref="F15:F21" si="0">E15*D15</f>
        <v>10350</v>
      </c>
      <c r="G15" s="1261"/>
      <c r="H15" s="1261"/>
      <c r="I15" s="1262"/>
    </row>
    <row r="16" spans="1:9" ht="15.75">
      <c r="A16" s="1258"/>
      <c r="B16" s="1259" t="s">
        <v>6316</v>
      </c>
      <c r="C16" s="1260" t="s">
        <v>49</v>
      </c>
      <c r="D16" s="1261">
        <f>VLOOKUP(B16,[6]VLP!$B$7:$K$381,10,0)</f>
        <v>8000</v>
      </c>
      <c r="E16" s="1260">
        <v>0.45</v>
      </c>
      <c r="F16" s="1261">
        <f t="shared" si="0"/>
        <v>3600</v>
      </c>
      <c r="G16" s="1261"/>
      <c r="H16" s="1261"/>
      <c r="I16" s="1262"/>
    </row>
    <row r="17" spans="1:9" ht="15.75">
      <c r="A17" s="1258"/>
      <c r="B17" s="1259" t="s">
        <v>7244</v>
      </c>
      <c r="C17" s="1260" t="s">
        <v>49</v>
      </c>
      <c r="D17" s="1261">
        <f>VLOOKUP(B17,[6]VLP!$B$7:$K$381,10,0)</f>
        <v>4500</v>
      </c>
      <c r="E17" s="1260">
        <v>5</v>
      </c>
      <c r="F17" s="1261">
        <f t="shared" si="0"/>
        <v>22500</v>
      </c>
      <c r="G17" s="1261"/>
      <c r="H17" s="1261"/>
      <c r="I17" s="1262"/>
    </row>
    <row r="18" spans="1:9" ht="15.75">
      <c r="A18" s="1258"/>
      <c r="B18" s="1259" t="s">
        <v>3195</v>
      </c>
      <c r="C18" s="1260" t="s">
        <v>3144</v>
      </c>
      <c r="D18" s="1261">
        <f>VLOOKUP(B18,[6]VLP!$B$7:$K$381,10,0)</f>
        <v>14000</v>
      </c>
      <c r="E18" s="1260">
        <v>0.45</v>
      </c>
      <c r="F18" s="1261">
        <f t="shared" si="0"/>
        <v>6300</v>
      </c>
      <c r="G18" s="1261"/>
      <c r="H18" s="1261"/>
      <c r="I18" s="1262"/>
    </row>
    <row r="19" spans="1:9" ht="15.75">
      <c r="A19" s="1258"/>
      <c r="B19" s="1259" t="s">
        <v>2691</v>
      </c>
      <c r="C19" s="1260" t="s">
        <v>2690</v>
      </c>
      <c r="D19" s="1261">
        <f>VLOOKUP(B19,[6]VLP!$B$7:$K$381,10,0)</f>
        <v>6000</v>
      </c>
      <c r="E19" s="1260">
        <v>0.9</v>
      </c>
      <c r="F19" s="1261">
        <f t="shared" si="0"/>
        <v>5400</v>
      </c>
      <c r="G19" s="1261"/>
      <c r="H19" s="1261"/>
      <c r="I19" s="1262"/>
    </row>
    <row r="20" spans="1:9" ht="15.75">
      <c r="A20" s="1258"/>
      <c r="B20" s="1259" t="s">
        <v>12983</v>
      </c>
      <c r="C20" s="1260" t="s">
        <v>49</v>
      </c>
      <c r="D20" s="1261">
        <f>VLOOKUP(B20,[6]VLP!$B$7:$K$381,10,0)</f>
        <v>37800</v>
      </c>
      <c r="E20" s="1260">
        <v>1.8</v>
      </c>
      <c r="F20" s="1261">
        <f t="shared" si="0"/>
        <v>68040</v>
      </c>
      <c r="G20" s="1261"/>
      <c r="H20" s="1261"/>
      <c r="I20" s="1262"/>
    </row>
    <row r="21" spans="1:9" ht="15.75">
      <c r="A21" s="1258"/>
      <c r="B21" s="1259" t="s">
        <v>12984</v>
      </c>
      <c r="C21" s="1260" t="s">
        <v>49</v>
      </c>
      <c r="D21" s="1261">
        <f>VLOOKUP(B21,[6]VLP!$B$7:$K$381,10,0)</f>
        <v>22110</v>
      </c>
      <c r="E21" s="1260">
        <v>4</v>
      </c>
      <c r="F21" s="1261">
        <f t="shared" si="0"/>
        <v>88440</v>
      </c>
      <c r="G21" s="1261"/>
      <c r="H21" s="1261"/>
      <c r="I21" s="1262"/>
    </row>
    <row r="22" spans="1:9" ht="15.75">
      <c r="A22" s="1258"/>
      <c r="B22" s="1251" t="s">
        <v>276</v>
      </c>
      <c r="C22" s="1260"/>
      <c r="D22" s="1260"/>
      <c r="E22" s="1260"/>
      <c r="F22" s="1261"/>
      <c r="G22" s="1261"/>
      <c r="H22" s="1261"/>
      <c r="I22" s="1262"/>
    </row>
    <row r="23" spans="1:9" ht="15.75">
      <c r="A23" s="1258"/>
      <c r="B23" s="1259" t="s">
        <v>2675</v>
      </c>
      <c r="C23" s="1260" t="s">
        <v>2674</v>
      </c>
      <c r="D23" s="1214">
        <f>ĐMNC!M4</f>
        <v>248360</v>
      </c>
      <c r="E23" s="1260">
        <v>5.08</v>
      </c>
      <c r="F23" s="1261"/>
      <c r="G23" s="1261">
        <f>E23*D23</f>
        <v>1261668.8</v>
      </c>
      <c r="H23" s="1261"/>
      <c r="I23" s="1262"/>
    </row>
    <row r="24" spans="1:9" ht="15.75">
      <c r="A24" s="1258"/>
      <c r="B24" s="1215" t="s">
        <v>5402</v>
      </c>
      <c r="C24" s="1260" t="s">
        <v>2674</v>
      </c>
      <c r="D24" s="1214">
        <f>VLOOKUP(B24,ĐMNC!$A$7:$F$67,4,0)</f>
        <v>297130</v>
      </c>
      <c r="E24" s="1260">
        <v>2.1</v>
      </c>
      <c r="F24" s="1261"/>
      <c r="G24" s="1261">
        <f>E24*D24</f>
        <v>623973</v>
      </c>
      <c r="H24" s="1261"/>
      <c r="I24" s="1262"/>
    </row>
    <row r="25" spans="1:9" ht="15.75">
      <c r="A25" s="1258"/>
      <c r="B25" s="1251" t="s">
        <v>3914</v>
      </c>
      <c r="C25" s="1260"/>
      <c r="D25" s="1260"/>
      <c r="E25" s="1260"/>
      <c r="F25" s="1261"/>
      <c r="G25" s="1261"/>
      <c r="H25" s="1261"/>
      <c r="I25" s="1262"/>
    </row>
    <row r="26" spans="1:9" ht="15.75">
      <c r="A26" s="1258" t="s">
        <v>9075</v>
      </c>
      <c r="B26" s="1259" t="s">
        <v>2679</v>
      </c>
      <c r="C26" s="1260" t="s">
        <v>2673</v>
      </c>
      <c r="D26" s="1261">
        <f>VLOOKUP(A26,[6]MTC!$B$9:$S$920,13,0)</f>
        <v>40128</v>
      </c>
      <c r="E26" s="1260">
        <v>0.17</v>
      </c>
      <c r="F26" s="1261"/>
      <c r="G26" s="1261"/>
      <c r="H26" s="1261">
        <f t="shared" ref="H26:H31" si="1">E26*D26</f>
        <v>6821.76</v>
      </c>
      <c r="I26" s="1262"/>
    </row>
    <row r="27" spans="1:9" ht="15.75">
      <c r="A27" s="1258" t="s">
        <v>9038</v>
      </c>
      <c r="B27" s="1259" t="s">
        <v>9039</v>
      </c>
      <c r="C27" s="1260" t="s">
        <v>2673</v>
      </c>
      <c r="D27" s="1261">
        <f>VLOOKUP(A27,[6]MTC!$B$9:$S$920,13,0)</f>
        <v>796170</v>
      </c>
      <c r="E27" s="1260">
        <v>0</v>
      </c>
      <c r="F27" s="1261"/>
      <c r="G27" s="1261"/>
      <c r="H27" s="1261">
        <f t="shared" si="1"/>
        <v>0</v>
      </c>
      <c r="I27" s="1262"/>
    </row>
    <row r="28" spans="1:9" ht="15.75">
      <c r="A28" s="1258" t="s">
        <v>9080</v>
      </c>
      <c r="B28" s="1259" t="s">
        <v>9081</v>
      </c>
      <c r="C28" s="1260" t="s">
        <v>2673</v>
      </c>
      <c r="D28" s="1261">
        <f>VLOOKUP(A28,[6]MTC!$B$9:$S$920,13,0)</f>
        <v>294307.39799999999</v>
      </c>
      <c r="E28" s="1260">
        <v>0.35399999999999998</v>
      </c>
      <c r="F28" s="1261"/>
      <c r="G28" s="1261"/>
      <c r="H28" s="1261">
        <f t="shared" si="1"/>
        <v>104184.818892</v>
      </c>
      <c r="I28" s="1262"/>
    </row>
    <row r="29" spans="1:9" ht="15.75">
      <c r="A29" s="1258" t="s">
        <v>9057</v>
      </c>
      <c r="B29" s="1259" t="s">
        <v>3120</v>
      </c>
      <c r="C29" s="1260" t="s">
        <v>2673</v>
      </c>
      <c r="D29" s="1261">
        <f>VLOOKUP(A29,[6]MTC!$B$9:$S$920,13,0)</f>
        <v>142910</v>
      </c>
      <c r="E29" s="1260">
        <v>0.17699999999999999</v>
      </c>
      <c r="F29" s="1261"/>
      <c r="G29" s="1261"/>
      <c r="H29" s="1261">
        <f t="shared" si="1"/>
        <v>25295.07</v>
      </c>
      <c r="I29" s="1262"/>
    </row>
    <row r="30" spans="1:9" ht="15.75">
      <c r="A30" s="1258" t="s">
        <v>9040</v>
      </c>
      <c r="B30" s="1259" t="s">
        <v>3119</v>
      </c>
      <c r="C30" s="1260" t="s">
        <v>2673</v>
      </c>
      <c r="D30" s="1261">
        <f>VLOOKUP(A30,[6]MTC!$B$9:$S$920,13,0)</f>
        <v>752669</v>
      </c>
      <c r="E30" s="1260">
        <v>0.22900000000000001</v>
      </c>
      <c r="F30" s="1261"/>
      <c r="G30" s="1261"/>
      <c r="H30" s="1261">
        <f t="shared" si="1"/>
        <v>172361.201</v>
      </c>
      <c r="I30" s="1262"/>
    </row>
    <row r="31" spans="1:9" ht="15.75">
      <c r="A31" s="1258" t="s">
        <v>9044</v>
      </c>
      <c r="B31" s="1259" t="s">
        <v>12985</v>
      </c>
      <c r="C31" s="1260" t="s">
        <v>2673</v>
      </c>
      <c r="D31" s="1261">
        <f>VLOOKUP(A31,[6]MTC!$B$9:$S$920,13,0)</f>
        <v>403740</v>
      </c>
      <c r="E31" s="1260">
        <v>0.22900000000000001</v>
      </c>
      <c r="F31" s="1261"/>
      <c r="G31" s="1261"/>
      <c r="H31" s="1261">
        <f t="shared" si="1"/>
        <v>92456.46</v>
      </c>
      <c r="I31" s="1262"/>
    </row>
    <row r="32" spans="1:9" ht="15.75">
      <c r="A32" s="1258" t="s">
        <v>12986</v>
      </c>
      <c r="B32" s="1259" t="s">
        <v>12987</v>
      </c>
      <c r="C32" s="1260" t="s">
        <v>160</v>
      </c>
      <c r="D32" s="1261"/>
      <c r="E32" s="1260"/>
      <c r="F32" s="1261">
        <v>41625</v>
      </c>
      <c r="G32" s="1261">
        <v>498380</v>
      </c>
      <c r="H32" s="1261">
        <v>327850</v>
      </c>
      <c r="I32" s="1262">
        <f>SUM(F32:H32)</f>
        <v>867855</v>
      </c>
    </row>
    <row r="33" spans="1:9" ht="15.75">
      <c r="A33" s="1258" t="s">
        <v>2692</v>
      </c>
      <c r="B33" s="1259" t="s">
        <v>12988</v>
      </c>
      <c r="C33" s="1260" t="s">
        <v>160</v>
      </c>
      <c r="D33" s="1261"/>
      <c r="E33" s="1260"/>
      <c r="F33" s="1261"/>
      <c r="G33" s="1261"/>
      <c r="H33" s="1261"/>
      <c r="I33" s="1262"/>
    </row>
    <row r="34" spans="1:9" ht="15.75">
      <c r="A34" s="1263" t="s">
        <v>12989</v>
      </c>
      <c r="B34" s="1264" t="s">
        <v>12990</v>
      </c>
      <c r="C34" s="1265" t="s">
        <v>160</v>
      </c>
      <c r="D34" s="1265"/>
      <c r="E34" s="1265"/>
      <c r="F34" s="1266">
        <f>SUM(F36:F53)</f>
        <v>74121.917400000006</v>
      </c>
      <c r="G34" s="1266">
        <f>SUM(G36:G53)</f>
        <v>1062938.7000000002</v>
      </c>
      <c r="H34" s="1266">
        <f>SUM(H36:H53)</f>
        <v>210577.99046599999</v>
      </c>
      <c r="I34" s="1267">
        <f>SUM(F34:H34)</f>
        <v>1347638.6078660002</v>
      </c>
    </row>
    <row r="35" spans="1:9" ht="15.75">
      <c r="A35" s="1258"/>
      <c r="B35" s="1251" t="s">
        <v>108</v>
      </c>
      <c r="C35" s="1260"/>
      <c r="D35" s="1260"/>
      <c r="E35" s="1260"/>
      <c r="F35" s="1261"/>
      <c r="G35" s="1261"/>
      <c r="H35" s="1261"/>
      <c r="I35" s="1262"/>
    </row>
    <row r="36" spans="1:9" ht="15.75">
      <c r="A36" s="1258"/>
      <c r="B36" s="1259" t="s">
        <v>2677</v>
      </c>
      <c r="C36" s="1260" t="s">
        <v>3127</v>
      </c>
      <c r="D36" s="1261">
        <f>VLOOKUP(B36,[6]VLP!$B$7:$K$381,10,0)</f>
        <v>1864.44</v>
      </c>
      <c r="E36" s="1260">
        <v>1.085</v>
      </c>
      <c r="F36" s="1261">
        <f>E36*D36</f>
        <v>2022.9174</v>
      </c>
      <c r="G36" s="1261"/>
      <c r="H36" s="1261"/>
      <c r="I36" s="1262"/>
    </row>
    <row r="37" spans="1:9" ht="15.75">
      <c r="A37" s="1258"/>
      <c r="B37" s="1259" t="s">
        <v>2681</v>
      </c>
      <c r="C37" s="1260" t="s">
        <v>45</v>
      </c>
      <c r="D37" s="1261">
        <f>VLOOKUP(B37,[6]VLP!$B$7:$K$381,10,0)</f>
        <v>23000</v>
      </c>
      <c r="E37" s="1260">
        <v>0.27100000000000002</v>
      </c>
      <c r="F37" s="1261">
        <f t="shared" ref="F37:F43" si="2">E37*D37</f>
        <v>6233</v>
      </c>
      <c r="G37" s="1261"/>
      <c r="H37" s="1261"/>
      <c r="I37" s="1262"/>
    </row>
    <row r="38" spans="1:9" ht="15.75">
      <c r="A38" s="1258"/>
      <c r="B38" s="1259" t="s">
        <v>6316</v>
      </c>
      <c r="C38" s="1260" t="s">
        <v>49</v>
      </c>
      <c r="D38" s="1261">
        <f>VLOOKUP(B38,[6]VLP!$B$7:$K$381,10,0)</f>
        <v>8000</v>
      </c>
      <c r="E38" s="1260">
        <v>0.27100000000000002</v>
      </c>
      <c r="F38" s="1261">
        <f t="shared" si="2"/>
        <v>2168</v>
      </c>
      <c r="G38" s="1261"/>
      <c r="H38" s="1261"/>
      <c r="I38" s="1262"/>
    </row>
    <row r="39" spans="1:9" ht="15.75">
      <c r="A39" s="1258"/>
      <c r="B39" s="1259" t="s">
        <v>7244</v>
      </c>
      <c r="C39" s="1260" t="s">
        <v>49</v>
      </c>
      <c r="D39" s="1261">
        <f>VLOOKUP(B39,[6]VLP!$B$7:$K$381,10,0)</f>
        <v>4500</v>
      </c>
      <c r="E39" s="1260">
        <v>2</v>
      </c>
      <c r="F39" s="1261">
        <f t="shared" si="2"/>
        <v>9000</v>
      </c>
      <c r="G39" s="1261"/>
      <c r="H39" s="1261"/>
      <c r="I39" s="1262"/>
    </row>
    <row r="40" spans="1:9" ht="15.75">
      <c r="A40" s="1258"/>
      <c r="B40" s="1259" t="s">
        <v>3195</v>
      </c>
      <c r="C40" s="1260" t="s">
        <v>3144</v>
      </c>
      <c r="D40" s="1261">
        <f>VLOOKUP(B40,[6]VLP!$B$7:$K$381,10,0)</f>
        <v>14000</v>
      </c>
      <c r="E40" s="1260">
        <v>0.27100000000000002</v>
      </c>
      <c r="F40" s="1261">
        <f t="shared" si="2"/>
        <v>3794.0000000000005</v>
      </c>
      <c r="G40" s="1261"/>
      <c r="H40" s="1261"/>
      <c r="I40" s="1262"/>
    </row>
    <row r="41" spans="1:9" ht="15.75">
      <c r="A41" s="1258"/>
      <c r="B41" s="1259" t="s">
        <v>2691</v>
      </c>
      <c r="C41" s="1260" t="s">
        <v>2690</v>
      </c>
      <c r="D41" s="1261">
        <f>VLOOKUP(B41,[6]VLP!$B$7:$K$381,10,0)</f>
        <v>6000</v>
      </c>
      <c r="E41" s="1260">
        <v>0.54300000000000004</v>
      </c>
      <c r="F41" s="1261">
        <f t="shared" si="2"/>
        <v>3258.0000000000005</v>
      </c>
      <c r="G41" s="1261"/>
      <c r="H41" s="1261"/>
      <c r="I41" s="1262"/>
    </row>
    <row r="42" spans="1:9" ht="15.75">
      <c r="A42" s="1258"/>
      <c r="B42" s="1259" t="s">
        <v>12983</v>
      </c>
      <c r="C42" s="1260" t="s">
        <v>49</v>
      </c>
      <c r="D42" s="1261">
        <f>VLOOKUP(B42,[6]VLP!$B$7:$K$381,10,0)</f>
        <v>37800</v>
      </c>
      <c r="E42" s="1260">
        <v>1.085</v>
      </c>
      <c r="F42" s="1261">
        <f t="shared" si="2"/>
        <v>41013</v>
      </c>
      <c r="G42" s="1261"/>
      <c r="H42" s="1261"/>
      <c r="I42" s="1262"/>
    </row>
    <row r="43" spans="1:9" ht="15.75">
      <c r="A43" s="1258"/>
      <c r="B43" s="1259" t="s">
        <v>12984</v>
      </c>
      <c r="C43" s="1260" t="s">
        <v>49</v>
      </c>
      <c r="D43" s="1261">
        <f>VLOOKUP(B43,[6]VLP!$B$7:$K$381,10,0)</f>
        <v>22110</v>
      </c>
      <c r="E43" s="1260">
        <v>0.3</v>
      </c>
      <c r="F43" s="1261">
        <f t="shared" si="2"/>
        <v>6633</v>
      </c>
      <c r="G43" s="1261"/>
      <c r="H43" s="1261"/>
      <c r="I43" s="1262"/>
    </row>
    <row r="44" spans="1:9" ht="15.75">
      <c r="A44" s="1258"/>
      <c r="B44" s="1251" t="s">
        <v>276</v>
      </c>
      <c r="C44" s="1260"/>
      <c r="D44" s="1261"/>
      <c r="E44" s="1260"/>
      <c r="F44" s="1261"/>
      <c r="G44" s="1261"/>
      <c r="H44" s="1261"/>
      <c r="I44" s="1262"/>
    </row>
    <row r="45" spans="1:9" ht="15.75">
      <c r="A45" s="1258"/>
      <c r="B45" s="1259" t="s">
        <v>2675</v>
      </c>
      <c r="C45" s="1260" t="s">
        <v>2674</v>
      </c>
      <c r="D45" s="1261">
        <v>217280</v>
      </c>
      <c r="E45" s="1260">
        <v>3.21</v>
      </c>
      <c r="F45" s="1261"/>
      <c r="G45" s="1261">
        <f>E45*D45</f>
        <v>697468.8</v>
      </c>
      <c r="H45" s="1261"/>
      <c r="I45" s="1262"/>
    </row>
    <row r="46" spans="1:9" ht="15.75">
      <c r="A46" s="1258"/>
      <c r="B46" s="1259" t="s">
        <v>5402</v>
      </c>
      <c r="C46" s="1260" t="s">
        <v>2674</v>
      </c>
      <c r="D46" s="1261">
        <f>VLOOKUP(B46,ĐMNC!$A$7:$F$67,4,0)</f>
        <v>297130</v>
      </c>
      <c r="E46" s="1260">
        <v>1.23</v>
      </c>
      <c r="F46" s="1261"/>
      <c r="G46" s="1261">
        <f>E46*D46</f>
        <v>365469.9</v>
      </c>
      <c r="H46" s="1261"/>
      <c r="I46" s="1262"/>
    </row>
    <row r="47" spans="1:9" ht="15.75">
      <c r="A47" s="1258"/>
      <c r="B47" s="1251" t="s">
        <v>3914</v>
      </c>
      <c r="C47" s="1260"/>
      <c r="D47" s="1261"/>
      <c r="E47" s="1260"/>
      <c r="F47" s="1261"/>
      <c r="G47" s="1261"/>
      <c r="H47" s="1261"/>
      <c r="I47" s="1262"/>
    </row>
    <row r="48" spans="1:9" ht="15.75">
      <c r="A48" s="1258" t="s">
        <v>9075</v>
      </c>
      <c r="B48" s="1259" t="s">
        <v>2679</v>
      </c>
      <c r="C48" s="1260" t="s">
        <v>2673</v>
      </c>
      <c r="D48" s="1261">
        <f>VLOOKUP(A48,[6]MTC!$B$9:$S$920,13,0)</f>
        <v>40128</v>
      </c>
      <c r="E48" s="1260">
        <v>0.125</v>
      </c>
      <c r="F48" s="1261"/>
      <c r="G48" s="1261"/>
      <c r="H48" s="1261">
        <f t="shared" ref="H48:H53" si="3">E48*D48</f>
        <v>5016</v>
      </c>
      <c r="I48" s="1262"/>
    </row>
    <row r="49" spans="1:9" ht="15.75">
      <c r="A49" s="1258" t="s">
        <v>9038</v>
      </c>
      <c r="B49" s="1259" t="s">
        <v>9039</v>
      </c>
      <c r="C49" s="1260" t="s">
        <v>2673</v>
      </c>
      <c r="D49" s="1261">
        <f>VLOOKUP(A49,[6]MTC!$B$9:$S$920,13,0)</f>
        <v>796170</v>
      </c>
      <c r="E49" s="1260">
        <v>0</v>
      </c>
      <c r="F49" s="1261"/>
      <c r="G49" s="1261"/>
      <c r="H49" s="1261">
        <f t="shared" si="3"/>
        <v>0</v>
      </c>
      <c r="I49" s="1262"/>
    </row>
    <row r="50" spans="1:9" ht="15.75">
      <c r="A50" s="1258" t="s">
        <v>9080</v>
      </c>
      <c r="B50" s="1259" t="s">
        <v>9081</v>
      </c>
      <c r="C50" s="1260" t="s">
        <v>2673</v>
      </c>
      <c r="D50" s="1261">
        <f>VLOOKUP(A50,[6]MTC!$B$9:$S$920,13,0)</f>
        <v>294307.39799999999</v>
      </c>
      <c r="E50" s="1260">
        <v>0.16700000000000001</v>
      </c>
      <c r="F50" s="1261"/>
      <c r="G50" s="1261"/>
      <c r="H50" s="1261">
        <f t="shared" si="3"/>
        <v>49149.335466000004</v>
      </c>
      <c r="I50" s="1262"/>
    </row>
    <row r="51" spans="1:9" ht="15.75">
      <c r="A51" s="1258" t="s">
        <v>9057</v>
      </c>
      <c r="B51" s="1259" t="s">
        <v>3120</v>
      </c>
      <c r="C51" s="1260" t="s">
        <v>2673</v>
      </c>
      <c r="D51" s="1261">
        <f>VLOOKUP(A51,[6]MTC!$B$9:$S$920,13,0)</f>
        <v>142910</v>
      </c>
      <c r="E51" s="1260">
        <v>8.3000000000000004E-2</v>
      </c>
      <c r="F51" s="1261"/>
      <c r="G51" s="1261"/>
      <c r="H51" s="1261">
        <f t="shared" si="3"/>
        <v>11861.53</v>
      </c>
      <c r="I51" s="1262"/>
    </row>
    <row r="52" spans="1:9" ht="15.75">
      <c r="A52" s="1258" t="s">
        <v>9040</v>
      </c>
      <c r="B52" s="1259" t="s">
        <v>3119</v>
      </c>
      <c r="C52" s="1260" t="s">
        <v>2673</v>
      </c>
      <c r="D52" s="1261">
        <f>VLOOKUP(A52,[6]MTC!$B$9:$S$920,13,0)</f>
        <v>752669</v>
      </c>
      <c r="E52" s="1260">
        <v>0.125</v>
      </c>
      <c r="F52" s="1261"/>
      <c r="G52" s="1261"/>
      <c r="H52" s="1261">
        <f t="shared" si="3"/>
        <v>94083.625</v>
      </c>
      <c r="I52" s="1262"/>
    </row>
    <row r="53" spans="1:9" ht="15.75">
      <c r="A53" s="1258" t="s">
        <v>9044</v>
      </c>
      <c r="B53" s="1259" t="s">
        <v>12985</v>
      </c>
      <c r="C53" s="1260" t="s">
        <v>2673</v>
      </c>
      <c r="D53" s="1261">
        <f>VLOOKUP(A53,[6]MTC!$B$9:$S$920,13,0)</f>
        <v>403740</v>
      </c>
      <c r="E53" s="1260">
        <v>0.125</v>
      </c>
      <c r="F53" s="1261"/>
      <c r="G53" s="1261"/>
      <c r="H53" s="1261">
        <f t="shared" si="3"/>
        <v>50467.5</v>
      </c>
      <c r="I53" s="1262"/>
    </row>
    <row r="54" spans="1:9" ht="15.75">
      <c r="A54" s="1258" t="s">
        <v>12991</v>
      </c>
      <c r="B54" s="1259" t="s">
        <v>12992</v>
      </c>
      <c r="C54" s="1260" t="s">
        <v>160</v>
      </c>
      <c r="D54" s="1260"/>
      <c r="E54" s="1260"/>
      <c r="F54" s="1261">
        <v>25100</v>
      </c>
      <c r="G54" s="1261">
        <v>300881</v>
      </c>
      <c r="H54" s="1261">
        <v>188766</v>
      </c>
      <c r="I54" s="1262">
        <f>SUM(F54:H54)</f>
        <v>514747</v>
      </c>
    </row>
    <row r="55" spans="1:9" ht="15.75">
      <c r="A55" s="1250" t="s">
        <v>12993</v>
      </c>
      <c r="B55" s="1251" t="s">
        <v>12994</v>
      </c>
      <c r="C55" s="1252"/>
      <c r="D55" s="1252"/>
      <c r="E55" s="1252"/>
      <c r="F55" s="1254"/>
      <c r="G55" s="1254"/>
      <c r="H55" s="1254"/>
      <c r="I55" s="1255"/>
    </row>
    <row r="56" spans="1:9" ht="15.75">
      <c r="A56" s="1250" t="s">
        <v>12995</v>
      </c>
      <c r="B56" s="1251" t="s">
        <v>12996</v>
      </c>
      <c r="C56" s="1252"/>
      <c r="D56" s="1252"/>
      <c r="E56" s="1252"/>
      <c r="F56" s="1254"/>
      <c r="G56" s="1254"/>
      <c r="H56" s="1254"/>
      <c r="I56" s="1255"/>
    </row>
    <row r="57" spans="1:9" ht="15.75">
      <c r="A57" s="1250"/>
      <c r="B57" s="1256" t="s">
        <v>12978</v>
      </c>
      <c r="C57" s="1252"/>
      <c r="D57" s="1252"/>
      <c r="E57" s="1252"/>
      <c r="F57" s="1254"/>
      <c r="G57" s="1254"/>
      <c r="H57" s="1254"/>
      <c r="I57" s="1255"/>
    </row>
    <row r="58" spans="1:9" ht="15.75">
      <c r="A58" s="1250"/>
      <c r="B58" s="1257" t="s">
        <v>12997</v>
      </c>
      <c r="C58" s="1252"/>
      <c r="D58" s="1252"/>
      <c r="E58" s="1252"/>
      <c r="F58" s="1254"/>
      <c r="G58" s="1254"/>
      <c r="H58" s="1254"/>
      <c r="I58" s="1255"/>
    </row>
    <row r="59" spans="1:9" ht="15.75">
      <c r="A59" s="1250"/>
      <c r="B59" s="1257" t="s">
        <v>12998</v>
      </c>
      <c r="C59" s="1252"/>
      <c r="D59" s="1252"/>
      <c r="E59" s="1252"/>
      <c r="F59" s="1254"/>
      <c r="G59" s="1254"/>
      <c r="H59" s="1254"/>
      <c r="I59" s="1255"/>
    </row>
    <row r="60" spans="1:9" ht="15.75">
      <c r="A60" s="1263" t="s">
        <v>203</v>
      </c>
      <c r="B60" s="1264" t="s">
        <v>12999</v>
      </c>
      <c r="C60" s="1265" t="s">
        <v>51</v>
      </c>
      <c r="D60" s="1265"/>
      <c r="E60" s="1265"/>
      <c r="F60" s="1266">
        <f>SUM(F62:F77)</f>
        <v>22954.332000000002</v>
      </c>
      <c r="G60" s="1266">
        <f>SUM(G62:G77)</f>
        <v>347794.5</v>
      </c>
      <c r="H60" s="1266">
        <f>SUM(H62:H77)</f>
        <v>95044.351412000004</v>
      </c>
      <c r="I60" s="1266">
        <f>SUM(F60:H60)</f>
        <v>465793.18341200001</v>
      </c>
    </row>
    <row r="61" spans="1:9" ht="15.75">
      <c r="A61" s="1258"/>
      <c r="B61" s="1251" t="s">
        <v>108</v>
      </c>
      <c r="C61" s="1260"/>
      <c r="D61" s="1260"/>
      <c r="E61" s="1260"/>
      <c r="F61" s="1261"/>
      <c r="G61" s="1261"/>
      <c r="H61" s="1261"/>
      <c r="I61" s="1262"/>
    </row>
    <row r="62" spans="1:9" ht="15.75">
      <c r="A62" s="1258"/>
      <c r="B62" s="1259" t="s">
        <v>2677</v>
      </c>
      <c r="C62" s="1260" t="s">
        <v>3127</v>
      </c>
      <c r="D62" s="1261">
        <f>VLOOKUP(B62,[6]VLP!$B$7:$K$381,10,0)</f>
        <v>1864.44</v>
      </c>
      <c r="E62" s="1268">
        <v>0.3</v>
      </c>
      <c r="F62" s="1261">
        <f>E62*D62</f>
        <v>559.33199999999999</v>
      </c>
      <c r="G62" s="1261"/>
      <c r="H62" s="1261"/>
      <c r="I62" s="1262"/>
    </row>
    <row r="63" spans="1:9" ht="15.75">
      <c r="A63" s="1258"/>
      <c r="B63" s="1259" t="s">
        <v>6316</v>
      </c>
      <c r="C63" s="1260" t="s">
        <v>49</v>
      </c>
      <c r="D63" s="1261">
        <f>VLOOKUP(B63,[6]VLP!$B$7:$K$381,10,0)</f>
        <v>8000</v>
      </c>
      <c r="E63" s="1268">
        <v>0.05</v>
      </c>
      <c r="F63" s="1261">
        <f t="shared" ref="F63:F68" si="4">E63*D63</f>
        <v>400</v>
      </c>
      <c r="G63" s="1261"/>
      <c r="H63" s="1261"/>
      <c r="I63" s="1262"/>
    </row>
    <row r="64" spans="1:9" ht="15.75">
      <c r="A64" s="1258"/>
      <c r="B64" s="1259" t="s">
        <v>3195</v>
      </c>
      <c r="C64" s="1260" t="s">
        <v>3144</v>
      </c>
      <c r="D64" s="1261">
        <f>VLOOKUP(B64,[6]VLP!$B$7:$K$381,10,0)</f>
        <v>14000</v>
      </c>
      <c r="E64" s="1268">
        <v>0.06</v>
      </c>
      <c r="F64" s="1261">
        <f t="shared" si="4"/>
        <v>840</v>
      </c>
      <c r="G64" s="1261"/>
      <c r="H64" s="1261"/>
      <c r="I64" s="1262"/>
    </row>
    <row r="65" spans="1:9" ht="15.75">
      <c r="A65" s="1258"/>
      <c r="B65" s="1259" t="s">
        <v>2691</v>
      </c>
      <c r="C65" s="1260" t="s">
        <v>2690</v>
      </c>
      <c r="D65" s="1261">
        <f>VLOOKUP(B65,[6]VLP!$B$7:$K$381,10,0)</f>
        <v>6000</v>
      </c>
      <c r="E65" s="1268">
        <v>0.04</v>
      </c>
      <c r="F65" s="1261">
        <f t="shared" si="4"/>
        <v>240</v>
      </c>
      <c r="G65" s="1261"/>
      <c r="H65" s="1261"/>
      <c r="I65" s="1262"/>
    </row>
    <row r="66" spans="1:9" ht="15.75">
      <c r="A66" s="1258"/>
      <c r="B66" s="1259" t="s">
        <v>2681</v>
      </c>
      <c r="C66" s="1260" t="s">
        <v>45</v>
      </c>
      <c r="D66" s="1261">
        <f>VLOOKUP(B66,[6]VLP!$B$7:$K$381,10,0)</f>
        <v>23000</v>
      </c>
      <c r="E66" s="1268">
        <v>0.1</v>
      </c>
      <c r="F66" s="1261">
        <f t="shared" si="4"/>
        <v>2300</v>
      </c>
      <c r="G66" s="1261"/>
      <c r="H66" s="1261"/>
      <c r="I66" s="1262"/>
    </row>
    <row r="67" spans="1:9" ht="15.75">
      <c r="A67" s="1258"/>
      <c r="B67" s="1259" t="s">
        <v>12983</v>
      </c>
      <c r="C67" s="1260" t="s">
        <v>49</v>
      </c>
      <c r="D67" s="1261">
        <f>VLOOKUP(B67,[6]VLP!$B$7:$K$381,10,0)</f>
        <v>37800</v>
      </c>
      <c r="E67" s="1268">
        <v>0.2</v>
      </c>
      <c r="F67" s="1261">
        <f t="shared" si="4"/>
        <v>7560</v>
      </c>
      <c r="G67" s="1261"/>
      <c r="H67" s="1261"/>
      <c r="I67" s="1262"/>
    </row>
    <row r="68" spans="1:9" ht="15.75">
      <c r="A68" s="1258"/>
      <c r="B68" s="1259" t="s">
        <v>12984</v>
      </c>
      <c r="C68" s="1260" t="s">
        <v>49</v>
      </c>
      <c r="D68" s="1261">
        <f>VLOOKUP(B68,[6]VLP!$B$7:$K$381,10,0)</f>
        <v>22110</v>
      </c>
      <c r="E68" s="1268">
        <v>0.5</v>
      </c>
      <c r="F68" s="1261">
        <f t="shared" si="4"/>
        <v>11055</v>
      </c>
      <c r="G68" s="1261"/>
      <c r="H68" s="1261"/>
      <c r="I68" s="1262"/>
    </row>
    <row r="69" spans="1:9" ht="15.75">
      <c r="A69" s="1258"/>
      <c r="B69" s="1251" t="s">
        <v>276</v>
      </c>
      <c r="C69" s="1260"/>
      <c r="D69" s="1261"/>
      <c r="E69" s="1260"/>
      <c r="F69" s="1261"/>
      <c r="G69" s="1261"/>
      <c r="H69" s="1261"/>
      <c r="I69" s="1262"/>
    </row>
    <row r="70" spans="1:9" ht="15.75">
      <c r="A70" s="1258"/>
      <c r="B70" s="1259" t="s">
        <v>2675</v>
      </c>
      <c r="C70" s="1260" t="s">
        <v>2674</v>
      </c>
      <c r="D70" s="1261">
        <v>217280</v>
      </c>
      <c r="E70" s="1268">
        <v>1.04</v>
      </c>
      <c r="F70" s="1261"/>
      <c r="G70" s="1261">
        <f>E70*D70</f>
        <v>225971.20000000001</v>
      </c>
      <c r="H70" s="1261"/>
      <c r="I70" s="1262"/>
    </row>
    <row r="71" spans="1:9" ht="15.75">
      <c r="A71" s="1258"/>
      <c r="B71" s="1259" t="s">
        <v>5402</v>
      </c>
      <c r="C71" s="1260" t="s">
        <v>2674</v>
      </c>
      <c r="D71" s="1261">
        <f>VLOOKUP(B71,ĐMNC!$A$7:$F$67,4,0)</f>
        <v>297130</v>
      </c>
      <c r="E71" s="1268">
        <v>0.41</v>
      </c>
      <c r="F71" s="1261"/>
      <c r="G71" s="1261">
        <f>E71*D71</f>
        <v>121823.29999999999</v>
      </c>
      <c r="H71" s="1261"/>
      <c r="I71" s="1262"/>
    </row>
    <row r="72" spans="1:9" ht="15.75">
      <c r="A72" s="1258"/>
      <c r="B72" s="1251" t="s">
        <v>3914</v>
      </c>
      <c r="C72" s="1260"/>
      <c r="D72" s="1261"/>
      <c r="E72" s="1268"/>
      <c r="F72" s="1261"/>
      <c r="G72" s="1261"/>
      <c r="H72" s="1261"/>
      <c r="I72" s="1262"/>
    </row>
    <row r="73" spans="1:9" ht="15.75">
      <c r="A73" s="1258" t="s">
        <v>9075</v>
      </c>
      <c r="B73" s="1259" t="s">
        <v>2679</v>
      </c>
      <c r="C73" s="1260" t="s">
        <v>2673</v>
      </c>
      <c r="D73" s="1261">
        <f>VLOOKUP(A73,[6]MTC!$B$9:$S$920,13,0)</f>
        <v>40128</v>
      </c>
      <c r="E73" s="1268">
        <v>3.1E-2</v>
      </c>
      <c r="F73" s="1261"/>
      <c r="G73" s="1261"/>
      <c r="H73" s="1261">
        <f>E73*D73</f>
        <v>1243.9680000000001</v>
      </c>
      <c r="I73" s="1262"/>
    </row>
    <row r="74" spans="1:9" ht="15.75">
      <c r="A74" s="1258" t="s">
        <v>9040</v>
      </c>
      <c r="B74" s="1259" t="s">
        <v>3119</v>
      </c>
      <c r="C74" s="1260" t="s">
        <v>2673</v>
      </c>
      <c r="D74" s="1261">
        <f>VLOOKUP(A74,[6]MTC!$B$9:$S$920,13,0)</f>
        <v>752669</v>
      </c>
      <c r="E74" s="1268">
        <v>5.1999999999999998E-2</v>
      </c>
      <c r="F74" s="1261"/>
      <c r="G74" s="1261"/>
      <c r="H74" s="1261">
        <f>E74*D74</f>
        <v>39138.788</v>
      </c>
      <c r="I74" s="1262"/>
    </row>
    <row r="75" spans="1:9" ht="15.75">
      <c r="A75" s="1258" t="s">
        <v>9057</v>
      </c>
      <c r="B75" s="1259" t="s">
        <v>3120</v>
      </c>
      <c r="C75" s="1260" t="s">
        <v>2673</v>
      </c>
      <c r="D75" s="1261">
        <f>VLOOKUP(A75,[6]MTC!$B$9:$S$920,13,0)</f>
        <v>142910</v>
      </c>
      <c r="E75" s="1268">
        <v>4.2000000000000003E-2</v>
      </c>
      <c r="F75" s="1261"/>
      <c r="G75" s="1261"/>
      <c r="H75" s="1261">
        <f>E75*D75</f>
        <v>6002.22</v>
      </c>
      <c r="I75" s="1262"/>
    </row>
    <row r="76" spans="1:9" ht="15.75">
      <c r="A76" s="1258" t="s">
        <v>9080</v>
      </c>
      <c r="B76" s="1259" t="s">
        <v>9081</v>
      </c>
      <c r="C76" s="1260" t="s">
        <v>2673</v>
      </c>
      <c r="D76" s="1261">
        <f>VLOOKUP(A76,[6]MTC!$B$9:$S$920,13,0)</f>
        <v>294307.39799999999</v>
      </c>
      <c r="E76" s="1260">
        <v>9.4E-2</v>
      </c>
      <c r="F76" s="1261"/>
      <c r="G76" s="1261"/>
      <c r="H76" s="1261">
        <f>E76*D76</f>
        <v>27664.895411999998</v>
      </c>
      <c r="I76" s="1262"/>
    </row>
    <row r="77" spans="1:9" ht="15.75">
      <c r="A77" s="1258" t="s">
        <v>9044</v>
      </c>
      <c r="B77" s="1259" t="s">
        <v>12985</v>
      </c>
      <c r="C77" s="1260" t="s">
        <v>2673</v>
      </c>
      <c r="D77" s="1261">
        <f>VLOOKUP(A77,[6]MTC!$B$9:$S$920,13,0)</f>
        <v>403740</v>
      </c>
      <c r="E77" s="1268">
        <v>5.1999999999999998E-2</v>
      </c>
      <c r="F77" s="1261"/>
      <c r="G77" s="1261"/>
      <c r="H77" s="1261">
        <f>E77*D77</f>
        <v>20994.48</v>
      </c>
      <c r="I77" s="1262"/>
    </row>
    <row r="78" spans="1:9" ht="15.75">
      <c r="A78" s="1269" t="s">
        <v>3828</v>
      </c>
      <c r="B78" s="1270" t="s">
        <v>3829</v>
      </c>
      <c r="C78" s="1271" t="s">
        <v>51</v>
      </c>
      <c r="D78" s="1260"/>
      <c r="E78" s="1268"/>
      <c r="F78" s="1266">
        <f>SUM(F80:F95)</f>
        <v>73697.328000000009</v>
      </c>
      <c r="G78" s="1266">
        <f>SUM(G80:G95)</f>
        <v>909283.79999999993</v>
      </c>
      <c r="H78" s="1266">
        <f>SUM(H80:H95)</f>
        <v>196140.40308799999</v>
      </c>
      <c r="I78" s="1266">
        <f>SUM(F78:H78)</f>
        <v>1179121.5310879999</v>
      </c>
    </row>
    <row r="79" spans="1:9" ht="15.75">
      <c r="A79" s="1258"/>
      <c r="B79" s="1251" t="s">
        <v>108</v>
      </c>
      <c r="C79" s="1260"/>
      <c r="D79" s="1260"/>
      <c r="E79" s="1260"/>
      <c r="F79" s="1261"/>
      <c r="G79" s="1261"/>
      <c r="H79" s="1261"/>
      <c r="I79" s="1262"/>
    </row>
    <row r="80" spans="1:9" ht="15.75">
      <c r="A80" s="1258"/>
      <c r="B80" s="1259" t="s">
        <v>2677</v>
      </c>
      <c r="C80" s="1260" t="s">
        <v>3127</v>
      </c>
      <c r="D80" s="1261">
        <f>VLOOKUP(B80,[6]VLP!$B$7:$K$381,10,0)</f>
        <v>1864.44</v>
      </c>
      <c r="E80" s="1268">
        <v>1.2</v>
      </c>
      <c r="F80" s="1261">
        <f>E80*D80</f>
        <v>2237.328</v>
      </c>
      <c r="G80" s="1261"/>
      <c r="H80" s="1261"/>
      <c r="I80" s="1262"/>
    </row>
    <row r="81" spans="1:9" ht="15.75">
      <c r="A81" s="1258"/>
      <c r="B81" s="1259" t="s">
        <v>6316</v>
      </c>
      <c r="C81" s="1260" t="s">
        <v>49</v>
      </c>
      <c r="D81" s="1261">
        <f>VLOOKUP(B81,[6]VLP!$B$7:$K$381,10,0)</f>
        <v>8000</v>
      </c>
      <c r="E81" s="1268">
        <v>0.12</v>
      </c>
      <c r="F81" s="1261">
        <f t="shared" ref="F81:F86" si="5">E81*D81</f>
        <v>960</v>
      </c>
      <c r="G81" s="1261"/>
      <c r="H81" s="1261"/>
      <c r="I81" s="1262"/>
    </row>
    <row r="82" spans="1:9" ht="15.75">
      <c r="A82" s="1258"/>
      <c r="B82" s="1259" t="s">
        <v>3195</v>
      </c>
      <c r="C82" s="1260" t="s">
        <v>3144</v>
      </c>
      <c r="D82" s="1261">
        <f>VLOOKUP(B82,[6]VLP!$B$7:$K$381,10,0)</f>
        <v>14000</v>
      </c>
      <c r="E82" s="1268">
        <v>0.12</v>
      </c>
      <c r="F82" s="1261">
        <f t="shared" si="5"/>
        <v>1680</v>
      </c>
      <c r="G82" s="1261"/>
      <c r="H82" s="1261"/>
      <c r="I82" s="1262"/>
    </row>
    <row r="83" spans="1:9" ht="15.75">
      <c r="A83" s="1258"/>
      <c r="B83" s="1259" t="s">
        <v>2691</v>
      </c>
      <c r="C83" s="1260" t="s">
        <v>2690</v>
      </c>
      <c r="D83" s="1261">
        <f>VLOOKUP(B83,[6]VLP!$B$7:$K$381,10,0)</f>
        <v>6000</v>
      </c>
      <c r="E83" s="1268">
        <v>0.08</v>
      </c>
      <c r="F83" s="1261">
        <f t="shared" si="5"/>
        <v>480</v>
      </c>
      <c r="G83" s="1261"/>
      <c r="H83" s="1261"/>
      <c r="I83" s="1262"/>
    </row>
    <row r="84" spans="1:9" ht="15.75">
      <c r="A84" s="1258"/>
      <c r="B84" s="1259" t="s">
        <v>2681</v>
      </c>
      <c r="C84" s="1260" t="s">
        <v>45</v>
      </c>
      <c r="D84" s="1261">
        <f>VLOOKUP(B84,[6]VLP!$B$7:$K$381,10,0)</f>
        <v>23000</v>
      </c>
      <c r="E84" s="1268">
        <v>0.24</v>
      </c>
      <c r="F84" s="1261">
        <f t="shared" si="5"/>
        <v>5520</v>
      </c>
      <c r="G84" s="1261"/>
      <c r="H84" s="1261"/>
      <c r="I84" s="1262"/>
    </row>
    <row r="85" spans="1:9" ht="15.75">
      <c r="A85" s="1258"/>
      <c r="B85" s="1259" t="s">
        <v>12983</v>
      </c>
      <c r="C85" s="1260" t="s">
        <v>49</v>
      </c>
      <c r="D85" s="1261">
        <f>VLOOKUP(B85,[6]VLP!$B$7:$K$381,10,0)</f>
        <v>37800</v>
      </c>
      <c r="E85" s="1268">
        <v>0.96</v>
      </c>
      <c r="F85" s="1261">
        <f t="shared" si="5"/>
        <v>36288</v>
      </c>
      <c r="G85" s="1261"/>
      <c r="H85" s="1261"/>
      <c r="I85" s="1262"/>
    </row>
    <row r="86" spans="1:9" ht="15.75">
      <c r="A86" s="1258"/>
      <c r="B86" s="1259" t="s">
        <v>12984</v>
      </c>
      <c r="C86" s="1260" t="s">
        <v>49</v>
      </c>
      <c r="D86" s="1261">
        <f>VLOOKUP(B86,[6]VLP!$B$7:$K$381,10,0)</f>
        <v>22110</v>
      </c>
      <c r="E86" s="1268">
        <v>1.2</v>
      </c>
      <c r="F86" s="1261">
        <f t="shared" si="5"/>
        <v>26532</v>
      </c>
      <c r="G86" s="1261"/>
      <c r="H86" s="1261"/>
      <c r="I86" s="1262"/>
    </row>
    <row r="87" spans="1:9" ht="15.75">
      <c r="A87" s="1258"/>
      <c r="B87" s="1251" t="s">
        <v>276</v>
      </c>
      <c r="C87" s="1260"/>
      <c r="D87" s="1261"/>
      <c r="E87" s="1268"/>
      <c r="F87" s="1261"/>
      <c r="G87" s="1261"/>
      <c r="H87" s="1261"/>
      <c r="I87" s="1262"/>
    </row>
    <row r="88" spans="1:9" ht="15.75">
      <c r="A88" s="1258"/>
      <c r="B88" s="1259" t="s">
        <v>2675</v>
      </c>
      <c r="C88" s="1260" t="s">
        <v>2674</v>
      </c>
      <c r="D88" s="1261">
        <v>217280</v>
      </c>
      <c r="E88" s="1268">
        <v>2.79</v>
      </c>
      <c r="F88" s="1261"/>
      <c r="G88" s="1261">
        <f>E88*D88</f>
        <v>606211.19999999995</v>
      </c>
      <c r="H88" s="1261"/>
      <c r="I88" s="1262"/>
    </row>
    <row r="89" spans="1:9" ht="15.75">
      <c r="A89" s="1258"/>
      <c r="B89" s="1259" t="s">
        <v>5402</v>
      </c>
      <c r="C89" s="1260" t="s">
        <v>2674</v>
      </c>
      <c r="D89" s="1261">
        <f>VLOOKUP(B89,ĐMNC!$A$7:$F$67,4,0)</f>
        <v>297130</v>
      </c>
      <c r="E89" s="1268">
        <v>1.02</v>
      </c>
      <c r="F89" s="1261"/>
      <c r="G89" s="1261">
        <f>E89*D89</f>
        <v>303072.59999999998</v>
      </c>
      <c r="H89" s="1261"/>
      <c r="I89" s="1262"/>
    </row>
    <row r="90" spans="1:9" ht="15.75">
      <c r="A90" s="1258"/>
      <c r="B90" s="1251" t="s">
        <v>3914</v>
      </c>
      <c r="C90" s="1260"/>
      <c r="D90" s="1261"/>
      <c r="E90" s="1268"/>
      <c r="F90" s="1261"/>
      <c r="G90" s="1261"/>
      <c r="H90" s="1261"/>
      <c r="I90" s="1262"/>
    </row>
    <row r="91" spans="1:9" ht="15.75">
      <c r="A91" s="1258" t="s">
        <v>9075</v>
      </c>
      <c r="B91" s="1259" t="s">
        <v>2679</v>
      </c>
      <c r="C91" s="1260" t="s">
        <v>2673</v>
      </c>
      <c r="D91" s="1261">
        <f>VLOOKUP(A91,[6]MTC!$B$9:$S$920,13,0)</f>
        <v>40128</v>
      </c>
      <c r="E91" s="1268">
        <v>8.3000000000000004E-2</v>
      </c>
      <c r="F91" s="1261"/>
      <c r="G91" s="1261"/>
      <c r="H91" s="1261">
        <f>E91*D91</f>
        <v>3330.6240000000003</v>
      </c>
      <c r="I91" s="1262"/>
    </row>
    <row r="92" spans="1:9" ht="15.75">
      <c r="A92" s="1258" t="s">
        <v>9040</v>
      </c>
      <c r="B92" s="1259" t="s">
        <v>3119</v>
      </c>
      <c r="C92" s="1260" t="s">
        <v>2673</v>
      </c>
      <c r="D92" s="1261">
        <f>VLOOKUP(A92,[6]MTC!$B$9:$S$920,13,0)</f>
        <v>752669</v>
      </c>
      <c r="E92" s="1268">
        <v>0.125</v>
      </c>
      <c r="F92" s="1261"/>
      <c r="G92" s="1261"/>
      <c r="H92" s="1261">
        <f>E92*D92</f>
        <v>94083.625</v>
      </c>
      <c r="I92" s="1262"/>
    </row>
    <row r="93" spans="1:9" ht="15.75">
      <c r="A93" s="1258" t="s">
        <v>9057</v>
      </c>
      <c r="B93" s="1259" t="s">
        <v>3120</v>
      </c>
      <c r="C93" s="1260" t="s">
        <v>2673</v>
      </c>
      <c r="D93" s="1261">
        <f>VLOOKUP(A93,[6]MTC!$B$9:$S$920,13,0)</f>
        <v>142910</v>
      </c>
      <c r="E93" s="1268">
        <v>0.104</v>
      </c>
      <c r="F93" s="1261"/>
      <c r="G93" s="1261"/>
      <c r="H93" s="1261">
        <f>E93*D93</f>
        <v>14862.64</v>
      </c>
      <c r="I93" s="1262"/>
    </row>
    <row r="94" spans="1:9" ht="15.75">
      <c r="A94" s="1258" t="s">
        <v>9080</v>
      </c>
      <c r="B94" s="1259" t="s">
        <v>9081</v>
      </c>
      <c r="C94" s="1260" t="s">
        <v>2673</v>
      </c>
      <c r="D94" s="1261">
        <f>VLOOKUP(A94,[6]MTC!$B$9:$S$920,13,0)</f>
        <v>294307.39799999999</v>
      </c>
      <c r="E94" s="1260">
        <v>0.156</v>
      </c>
      <c r="F94" s="1261"/>
      <c r="G94" s="1261"/>
      <c r="H94" s="1261">
        <f>E94*D94</f>
        <v>45911.954087999999</v>
      </c>
      <c r="I94" s="1262"/>
    </row>
    <row r="95" spans="1:9" ht="15.75">
      <c r="A95" s="1258" t="s">
        <v>9044</v>
      </c>
      <c r="B95" s="1259" t="s">
        <v>12985</v>
      </c>
      <c r="C95" s="1260" t="s">
        <v>2673</v>
      </c>
      <c r="D95" s="1261">
        <f>VLOOKUP(A95,[6]MTC!$B$9:$S$920,13,0)</f>
        <v>403740</v>
      </c>
      <c r="E95" s="1268">
        <v>9.4E-2</v>
      </c>
      <c r="F95" s="1261"/>
      <c r="G95" s="1261"/>
      <c r="H95" s="1261">
        <f>E95*D95</f>
        <v>37951.56</v>
      </c>
      <c r="I95" s="1262"/>
    </row>
    <row r="96" spans="1:9" ht="15.75">
      <c r="A96" s="1250" t="s">
        <v>13000</v>
      </c>
      <c r="B96" s="1251" t="s">
        <v>13001</v>
      </c>
      <c r="C96" s="1252"/>
      <c r="D96" s="1252"/>
      <c r="E96" s="1252"/>
      <c r="F96" s="1254"/>
      <c r="G96" s="1254"/>
      <c r="H96" s="1254"/>
      <c r="I96" s="1255"/>
    </row>
    <row r="97" spans="1:9" ht="15.75">
      <c r="A97" s="1250" t="s">
        <v>13002</v>
      </c>
      <c r="B97" s="1251" t="s">
        <v>13003</v>
      </c>
      <c r="C97" s="1252"/>
      <c r="D97" s="1252"/>
      <c r="E97" s="1252"/>
      <c r="F97" s="1254"/>
      <c r="G97" s="1254"/>
      <c r="H97" s="1254"/>
      <c r="I97" s="1255"/>
    </row>
    <row r="98" spans="1:9" ht="15.75">
      <c r="A98" s="1250"/>
      <c r="B98" s="1256" t="s">
        <v>12978</v>
      </c>
      <c r="C98" s="1252"/>
      <c r="D98" s="1252"/>
      <c r="E98" s="1252"/>
      <c r="F98" s="1254"/>
      <c r="G98" s="1254"/>
      <c r="H98" s="1254"/>
      <c r="I98" s="1255"/>
    </row>
    <row r="99" spans="1:9" ht="15.75">
      <c r="A99" s="1250"/>
      <c r="B99" s="1257" t="s">
        <v>13004</v>
      </c>
      <c r="C99" s="1252"/>
      <c r="D99" s="1252"/>
      <c r="E99" s="1252"/>
      <c r="F99" s="1254"/>
      <c r="G99" s="1254"/>
      <c r="H99" s="1254"/>
      <c r="I99" s="1255"/>
    </row>
    <row r="100" spans="1:9" ht="15.75">
      <c r="A100" s="1250"/>
      <c r="B100" s="1257" t="s">
        <v>13005</v>
      </c>
      <c r="C100" s="1252"/>
      <c r="D100" s="1252"/>
      <c r="E100" s="1252"/>
      <c r="F100" s="1254"/>
      <c r="G100" s="1254"/>
      <c r="H100" s="1254"/>
      <c r="I100" s="1255"/>
    </row>
    <row r="101" spans="1:9" ht="15.75">
      <c r="A101" s="1250"/>
      <c r="B101" s="1257" t="s">
        <v>13006</v>
      </c>
      <c r="C101" s="1252"/>
      <c r="D101" s="1252"/>
      <c r="E101" s="1252"/>
      <c r="F101" s="1254"/>
      <c r="G101" s="1254"/>
      <c r="H101" s="1254"/>
      <c r="I101" s="1255"/>
    </row>
    <row r="102" spans="1:9" ht="15.75">
      <c r="A102" s="1269" t="s">
        <v>2689</v>
      </c>
      <c r="B102" s="1270" t="s">
        <v>13007</v>
      </c>
      <c r="C102" s="1271" t="s">
        <v>139</v>
      </c>
      <c r="D102" s="1271"/>
      <c r="E102" s="1271"/>
      <c r="F102" s="1266">
        <f>SUM(F104:F115)</f>
        <v>343936.59675999999</v>
      </c>
      <c r="G102" s="1266">
        <f>SUM(G104:G115)</f>
        <v>810448.5</v>
      </c>
      <c r="H102" s="1266">
        <f>SUM(H104:H115)</f>
        <v>67648.735000000001</v>
      </c>
      <c r="I102" s="1266">
        <f>SUM(F102:H102)</f>
        <v>1222033.8317600002</v>
      </c>
    </row>
    <row r="103" spans="1:9" ht="15.75">
      <c r="A103" s="1258"/>
      <c r="B103" s="1251" t="s">
        <v>108</v>
      </c>
      <c r="C103" s="1260"/>
      <c r="D103" s="1260"/>
      <c r="E103" s="1260"/>
      <c r="F103" s="1261"/>
      <c r="G103" s="1261"/>
      <c r="H103" s="1261"/>
      <c r="I103" s="1262"/>
    </row>
    <row r="104" spans="1:9" ht="15.75">
      <c r="A104" s="1258"/>
      <c r="B104" s="1259" t="s">
        <v>2677</v>
      </c>
      <c r="C104" s="1260" t="s">
        <v>3127</v>
      </c>
      <c r="D104" s="1261">
        <f>VLOOKUP(B104,[6]VLP!$B$7:$K$381,10,0)</f>
        <v>1864.44</v>
      </c>
      <c r="E104" s="1268">
        <v>1.2290000000000001</v>
      </c>
      <c r="F104" s="1261">
        <f>E104*D104</f>
        <v>2291.3967600000001</v>
      </c>
      <c r="G104" s="1261"/>
      <c r="H104" s="1261"/>
      <c r="I104" s="1262"/>
    </row>
    <row r="105" spans="1:9" ht="15.75">
      <c r="A105" s="1258"/>
      <c r="B105" s="1259" t="s">
        <v>13008</v>
      </c>
      <c r="C105" s="1260" t="s">
        <v>49</v>
      </c>
      <c r="D105" s="1261">
        <f>VLOOKUP(B105,[6]VLP!$B$7:$K$381,10,0)</f>
        <v>647100</v>
      </c>
      <c r="E105" s="1268">
        <v>0.51200000000000001</v>
      </c>
      <c r="F105" s="1261">
        <f>E105*D105</f>
        <v>331315.20000000001</v>
      </c>
      <c r="G105" s="1261"/>
      <c r="H105" s="1261"/>
      <c r="I105" s="1262"/>
    </row>
    <row r="106" spans="1:9" ht="15.75">
      <c r="A106" s="1258"/>
      <c r="B106" s="1259" t="s">
        <v>6316</v>
      </c>
      <c r="C106" s="1260" t="s">
        <v>49</v>
      </c>
      <c r="D106" s="1261">
        <f>VLOOKUP(B106,[6]VLP!$B$7:$K$381,10,0)</f>
        <v>8000</v>
      </c>
      <c r="E106" s="1268">
        <v>0.10199999999999999</v>
      </c>
      <c r="F106" s="1261">
        <f>E106*D106</f>
        <v>816</v>
      </c>
      <c r="G106" s="1261"/>
      <c r="H106" s="1261"/>
      <c r="I106" s="1262"/>
    </row>
    <row r="107" spans="1:9" ht="15.75">
      <c r="A107" s="1258"/>
      <c r="B107" s="1259" t="s">
        <v>2681</v>
      </c>
      <c r="C107" s="1260" t="s">
        <v>45</v>
      </c>
      <c r="D107" s="1261">
        <f>VLOOKUP(B107,[6]VLP!$B$7:$K$381,10,0)</f>
        <v>23000</v>
      </c>
      <c r="E107" s="1268">
        <v>0.10199999999999999</v>
      </c>
      <c r="F107" s="1261">
        <f>E107*D107</f>
        <v>2346</v>
      </c>
      <c r="G107" s="1261"/>
      <c r="H107" s="1261"/>
      <c r="I107" s="1262"/>
    </row>
    <row r="108" spans="1:9" ht="15.75">
      <c r="A108" s="1258"/>
      <c r="B108" s="1259" t="s">
        <v>3195</v>
      </c>
      <c r="C108" s="1260" t="s">
        <v>3144</v>
      </c>
      <c r="D108" s="1261">
        <f>VLOOKUP(B108,[6]VLP!$B$7:$K$381,10,0)</f>
        <v>14000</v>
      </c>
      <c r="E108" s="1268">
        <v>0.51200000000000001</v>
      </c>
      <c r="F108" s="1261">
        <f>E108*D108</f>
        <v>7168</v>
      </c>
      <c r="G108" s="1261"/>
      <c r="H108" s="1261"/>
      <c r="I108" s="1262"/>
    </row>
    <row r="109" spans="1:9" ht="15.75">
      <c r="A109" s="1258"/>
      <c r="B109" s="1251" t="s">
        <v>276</v>
      </c>
      <c r="C109" s="1260"/>
      <c r="D109" s="1261"/>
      <c r="E109" s="1268"/>
      <c r="F109" s="1261"/>
      <c r="G109" s="1261"/>
      <c r="H109" s="1261"/>
      <c r="I109" s="1262"/>
    </row>
    <row r="110" spans="1:9" ht="15.75">
      <c r="A110" s="1258"/>
      <c r="B110" s="1259" t="s">
        <v>2675</v>
      </c>
      <c r="C110" s="1260" t="s">
        <v>2674</v>
      </c>
      <c r="D110" s="1261">
        <v>217280</v>
      </c>
      <c r="E110" s="1268">
        <v>2.13</v>
      </c>
      <c r="F110" s="1261"/>
      <c r="G110" s="1261">
        <f>E110*D110</f>
        <v>462806.39999999997</v>
      </c>
      <c r="H110" s="1261"/>
      <c r="I110" s="1262"/>
    </row>
    <row r="111" spans="1:9" ht="15.75">
      <c r="A111" s="1258"/>
      <c r="B111" s="1259" t="s">
        <v>5402</v>
      </c>
      <c r="C111" s="1260" t="s">
        <v>2674</v>
      </c>
      <c r="D111" s="1261">
        <f>VLOOKUP(B111,ĐMNC!$A$7:$F$67,4,0)</f>
        <v>297130</v>
      </c>
      <c r="E111" s="1268">
        <v>1.17</v>
      </c>
      <c r="F111" s="1261"/>
      <c r="G111" s="1261">
        <f>E111*D111</f>
        <v>347642.1</v>
      </c>
      <c r="H111" s="1261"/>
      <c r="I111" s="1262"/>
    </row>
    <row r="112" spans="1:9" ht="15.75">
      <c r="A112" s="1258"/>
      <c r="B112" s="1251" t="s">
        <v>3914</v>
      </c>
      <c r="C112" s="1260"/>
      <c r="D112" s="1261"/>
      <c r="E112" s="1268"/>
      <c r="F112" s="1261"/>
      <c r="G112" s="1261"/>
      <c r="H112" s="1261"/>
      <c r="I112" s="1262"/>
    </row>
    <row r="113" spans="1:9" ht="15.75">
      <c r="A113" s="1258" t="s">
        <v>9059</v>
      </c>
      <c r="B113" s="1259" t="s">
        <v>2688</v>
      </c>
      <c r="C113" s="1260" t="s">
        <v>2673</v>
      </c>
      <c r="D113" s="1261">
        <f>VLOOKUP(A113,[6]MTC!$B$9:$S$920,13,0)</f>
        <v>83447</v>
      </c>
      <c r="E113" s="1268">
        <v>4.1000000000000002E-2</v>
      </c>
      <c r="F113" s="1261"/>
      <c r="G113" s="1261"/>
      <c r="H113" s="1261">
        <f>E113*D113</f>
        <v>3421.3270000000002</v>
      </c>
      <c r="I113" s="1262"/>
    </row>
    <row r="114" spans="1:9" ht="15.75">
      <c r="A114" s="1258" t="s">
        <v>9075</v>
      </c>
      <c r="B114" s="1259" t="s">
        <v>2679</v>
      </c>
      <c r="C114" s="1260" t="s">
        <v>2673</v>
      </c>
      <c r="D114" s="1261">
        <f>VLOOKUP(A114,[6]MTC!$B$9:$S$920,13,0)</f>
        <v>40128</v>
      </c>
      <c r="E114" s="1268">
        <v>3.1E-2</v>
      </c>
      <c r="F114" s="1261"/>
      <c r="G114" s="1261"/>
      <c r="H114" s="1261">
        <f>E114*D114</f>
        <v>1243.9680000000001</v>
      </c>
      <c r="I114" s="1262"/>
    </row>
    <row r="115" spans="1:9" ht="15.75">
      <c r="A115" s="1258" t="s">
        <v>9044</v>
      </c>
      <c r="B115" s="1259" t="s">
        <v>12985</v>
      </c>
      <c r="C115" s="1260" t="s">
        <v>2673</v>
      </c>
      <c r="D115" s="1261">
        <f>VLOOKUP(A115,[6]MTC!$B$9:$S$920,13,0)</f>
        <v>403740</v>
      </c>
      <c r="E115" s="1268">
        <v>0.156</v>
      </c>
      <c r="F115" s="1261"/>
      <c r="G115" s="1261"/>
      <c r="H115" s="1261">
        <f>E115*D115</f>
        <v>62983.44</v>
      </c>
      <c r="I115" s="1262"/>
    </row>
    <row r="116" spans="1:9" ht="15.75">
      <c r="A116" s="1250" t="s">
        <v>13009</v>
      </c>
      <c r="B116" s="1251" t="s">
        <v>13010</v>
      </c>
      <c r="C116" s="1252"/>
      <c r="D116" s="1252"/>
      <c r="E116" s="1252"/>
      <c r="F116" s="1254"/>
      <c r="G116" s="1254"/>
      <c r="H116" s="1254"/>
      <c r="I116" s="1255"/>
    </row>
    <row r="117" spans="1:9" ht="15.75">
      <c r="A117" s="1250"/>
      <c r="B117" s="1256" t="s">
        <v>13011</v>
      </c>
      <c r="C117" s="1252"/>
      <c r="D117" s="1252"/>
      <c r="E117" s="1252"/>
      <c r="F117" s="1254"/>
      <c r="G117" s="1254"/>
      <c r="H117" s="1254"/>
      <c r="I117" s="1255"/>
    </row>
    <row r="118" spans="1:9" ht="15.75">
      <c r="A118" s="1250"/>
      <c r="B118" s="1257" t="s">
        <v>13012</v>
      </c>
      <c r="C118" s="1252"/>
      <c r="D118" s="1252"/>
      <c r="E118" s="1252"/>
      <c r="F118" s="1254"/>
      <c r="G118" s="1254"/>
      <c r="H118" s="1254"/>
      <c r="I118" s="1255"/>
    </row>
    <row r="119" spans="1:9" ht="15.75">
      <c r="A119" s="1250"/>
      <c r="B119" s="1256" t="s">
        <v>13013</v>
      </c>
      <c r="C119" s="1252"/>
      <c r="D119" s="1252"/>
      <c r="E119" s="1252"/>
      <c r="F119" s="1254"/>
      <c r="G119" s="1254"/>
      <c r="H119" s="1254"/>
      <c r="I119" s="1255"/>
    </row>
    <row r="120" spans="1:9" ht="15.75">
      <c r="A120" s="1250"/>
      <c r="B120" s="1257" t="s">
        <v>13014</v>
      </c>
      <c r="C120" s="1252"/>
      <c r="D120" s="1252"/>
      <c r="E120" s="1252"/>
      <c r="F120" s="1254"/>
      <c r="G120" s="1254"/>
      <c r="H120" s="1254"/>
      <c r="I120" s="1255"/>
    </row>
    <row r="121" spans="1:9" ht="15.75">
      <c r="A121" s="1250"/>
      <c r="B121" s="1257" t="s">
        <v>13015</v>
      </c>
      <c r="C121" s="1252"/>
      <c r="D121" s="1252"/>
      <c r="E121" s="1252"/>
      <c r="F121" s="1254"/>
      <c r="G121" s="1254"/>
      <c r="H121" s="1254"/>
      <c r="I121" s="1255"/>
    </row>
    <row r="122" spans="1:9" ht="15.75">
      <c r="A122" s="1250"/>
      <c r="B122" s="1257" t="s">
        <v>13016</v>
      </c>
      <c r="C122" s="1252"/>
      <c r="D122" s="1252"/>
      <c r="E122" s="1252"/>
      <c r="F122" s="1254"/>
      <c r="G122" s="1254"/>
      <c r="H122" s="1254"/>
      <c r="I122" s="1255"/>
    </row>
    <row r="123" spans="1:9" ht="15.75">
      <c r="A123" s="1269" t="s">
        <v>13017</v>
      </c>
      <c r="B123" s="1270" t="s">
        <v>13018</v>
      </c>
      <c r="C123" s="1271" t="s">
        <v>51</v>
      </c>
      <c r="D123" s="1271"/>
      <c r="E123" s="1271"/>
      <c r="F123" s="1272">
        <f>SUM(F125:F135)</f>
        <v>7369.6660000000002</v>
      </c>
      <c r="G123" s="1272">
        <f>SUM(G125:G135)</f>
        <v>12461</v>
      </c>
      <c r="H123" s="1272">
        <f>SUM(H125:H135)</f>
        <v>2582.9520000000002</v>
      </c>
      <c r="I123" s="1273">
        <f>SUM(F123:H123)</f>
        <v>22413.618000000002</v>
      </c>
    </row>
    <row r="124" spans="1:9" ht="15.75">
      <c r="A124" s="1258"/>
      <c r="B124" s="1251" t="s">
        <v>108</v>
      </c>
      <c r="C124" s="1260"/>
      <c r="D124" s="1260"/>
      <c r="E124" s="1260"/>
      <c r="F124" s="1261"/>
      <c r="G124" s="1261"/>
      <c r="H124" s="1261"/>
      <c r="I124" s="1262"/>
    </row>
    <row r="125" spans="1:9" ht="15.75">
      <c r="A125" s="1258"/>
      <c r="B125" s="1259" t="s">
        <v>2677</v>
      </c>
      <c r="C125" s="1260" t="s">
        <v>3127</v>
      </c>
      <c r="D125" s="1261">
        <f>VLOOKUP(B125,[6]VLP!$B$7:$K$381,10,0)</f>
        <v>1864.44</v>
      </c>
      <c r="E125" s="1268">
        <v>0.15</v>
      </c>
      <c r="F125" s="1261">
        <f>E125*D125</f>
        <v>279.666</v>
      </c>
      <c r="G125" s="1261"/>
      <c r="H125" s="1261"/>
      <c r="I125" s="1262"/>
    </row>
    <row r="126" spans="1:9" ht="15.75">
      <c r="A126" s="1258"/>
      <c r="B126" s="1259" t="s">
        <v>2681</v>
      </c>
      <c r="C126" s="1260" t="s">
        <v>45</v>
      </c>
      <c r="D126" s="1261">
        <f>VLOOKUP(B126,[6]VLP!$B$7:$K$381,10,0)</f>
        <v>23000</v>
      </c>
      <c r="E126" s="1268">
        <v>2.5000000000000001E-2</v>
      </c>
      <c r="F126" s="1261">
        <f>E126*D126</f>
        <v>575</v>
      </c>
      <c r="G126" s="1261"/>
      <c r="H126" s="1261"/>
      <c r="I126" s="1262"/>
    </row>
    <row r="127" spans="1:9" ht="15.75">
      <c r="A127" s="1258"/>
      <c r="B127" s="1259" t="s">
        <v>12983</v>
      </c>
      <c r="C127" s="1260" t="s">
        <v>49</v>
      </c>
      <c r="D127" s="1261">
        <f>VLOOKUP(B127,[6]VLP!$B$7:$K$381,10,0)</f>
        <v>37800</v>
      </c>
      <c r="E127" s="1268">
        <v>0.05</v>
      </c>
      <c r="F127" s="1261">
        <f>E127*D127</f>
        <v>1890</v>
      </c>
      <c r="G127" s="1261"/>
      <c r="H127" s="1261"/>
      <c r="I127" s="1262"/>
    </row>
    <row r="128" spans="1:9" ht="15.75">
      <c r="A128" s="1258"/>
      <c r="B128" s="1259" t="s">
        <v>2682</v>
      </c>
      <c r="C128" s="1260" t="s">
        <v>45</v>
      </c>
      <c r="D128" s="1261">
        <f>VLOOKUP(B128,[6]VLP!$B$7:$K$381,10,0)</f>
        <v>5000</v>
      </c>
      <c r="E128" s="1268">
        <v>2.5000000000000001E-2</v>
      </c>
      <c r="F128" s="1261">
        <f>E128*D128</f>
        <v>125</v>
      </c>
      <c r="G128" s="1261"/>
      <c r="H128" s="1261"/>
      <c r="I128" s="1262"/>
    </row>
    <row r="129" spans="1:9" ht="15.75">
      <c r="A129" s="1258"/>
      <c r="B129" s="1259" t="s">
        <v>7244</v>
      </c>
      <c r="C129" s="1260" t="s">
        <v>49</v>
      </c>
      <c r="D129" s="1261">
        <f>VLOOKUP(B129,[6]VLP!$B$7:$K$381,10,0)</f>
        <v>4500</v>
      </c>
      <c r="E129" s="1268">
        <v>1</v>
      </c>
      <c r="F129" s="1261">
        <f>E129*D129</f>
        <v>4500</v>
      </c>
      <c r="G129" s="1261"/>
      <c r="H129" s="1261"/>
      <c r="I129" s="1262"/>
    </row>
    <row r="130" spans="1:9" ht="15.75">
      <c r="A130" s="1258"/>
      <c r="B130" s="1251" t="s">
        <v>276</v>
      </c>
      <c r="C130" s="1260"/>
      <c r="D130" s="1260"/>
      <c r="E130" s="1268"/>
      <c r="F130" s="1261"/>
      <c r="G130" s="1261"/>
      <c r="H130" s="1261"/>
      <c r="I130" s="1262"/>
    </row>
    <row r="131" spans="1:9" ht="15.75">
      <c r="A131" s="1258"/>
      <c r="B131" s="1259" t="s">
        <v>2675</v>
      </c>
      <c r="C131" s="1260" t="s">
        <v>2674</v>
      </c>
      <c r="D131" s="1261">
        <v>217280</v>
      </c>
      <c r="E131" s="1268">
        <v>0.03</v>
      </c>
      <c r="F131" s="1261"/>
      <c r="G131" s="1261">
        <f>E131*D131</f>
        <v>6518.4</v>
      </c>
      <c r="H131" s="1261"/>
      <c r="I131" s="1262"/>
    </row>
    <row r="132" spans="1:9" ht="15.75">
      <c r="A132" s="1258"/>
      <c r="B132" s="1259" t="s">
        <v>5402</v>
      </c>
      <c r="C132" s="1260" t="s">
        <v>2674</v>
      </c>
      <c r="D132" s="1261">
        <f>VLOOKUP(B132,ĐMNC!$A$7:$F$67,4,0)</f>
        <v>297130</v>
      </c>
      <c r="E132" s="1268">
        <v>0.02</v>
      </c>
      <c r="F132" s="1261"/>
      <c r="G132" s="1261">
        <f>E132*D132</f>
        <v>5942.6</v>
      </c>
      <c r="H132" s="1261"/>
      <c r="I132" s="1262"/>
    </row>
    <row r="133" spans="1:9" ht="15.75">
      <c r="A133" s="1258"/>
      <c r="B133" s="1251" t="s">
        <v>3914</v>
      </c>
      <c r="C133" s="1260"/>
      <c r="D133" s="1260"/>
      <c r="E133" s="1268"/>
      <c r="F133" s="1261"/>
      <c r="G133" s="1261"/>
      <c r="H133" s="1261"/>
      <c r="I133" s="1262"/>
    </row>
    <row r="134" spans="1:9" ht="15.75">
      <c r="A134" s="1108" t="s">
        <v>9075</v>
      </c>
      <c r="B134" s="1259" t="s">
        <v>2679</v>
      </c>
      <c r="C134" s="1260" t="s">
        <v>2673</v>
      </c>
      <c r="D134" s="1261">
        <f>VLOOKUP(A134,[6]MTC!$B$9:$S$920,13,0)</f>
        <v>40128</v>
      </c>
      <c r="E134" s="1268">
        <v>4.0000000000000001E-3</v>
      </c>
      <c r="F134" s="1261"/>
      <c r="G134" s="1261"/>
      <c r="H134" s="1261">
        <f>E134*D134</f>
        <v>160.512</v>
      </c>
      <c r="I134" s="1262"/>
    </row>
    <row r="135" spans="1:9" ht="15.75">
      <c r="A135" s="1108" t="s">
        <v>9044</v>
      </c>
      <c r="B135" s="1259" t="s">
        <v>12985</v>
      </c>
      <c r="C135" s="1260" t="s">
        <v>2673</v>
      </c>
      <c r="D135" s="1261">
        <f>VLOOKUP(A135,[6]MTC!$B$9:$S$920,13,0)</f>
        <v>403740</v>
      </c>
      <c r="E135" s="1268">
        <v>6.0000000000000001E-3</v>
      </c>
      <c r="F135" s="1261"/>
      <c r="G135" s="1261"/>
      <c r="H135" s="1261">
        <f>E135*D135</f>
        <v>2422.44</v>
      </c>
      <c r="I135" s="1262"/>
    </row>
    <row r="136" spans="1:9" ht="15.75">
      <c r="A136" s="1269" t="s">
        <v>13019</v>
      </c>
      <c r="B136" s="1270" t="s">
        <v>13020</v>
      </c>
      <c r="C136" s="1271" t="s">
        <v>13021</v>
      </c>
      <c r="D136" s="1260"/>
      <c r="E136" s="1260"/>
      <c r="F136" s="1261">
        <v>513</v>
      </c>
      <c r="G136" s="1261">
        <v>1731</v>
      </c>
      <c r="H136" s="1261">
        <v>1950</v>
      </c>
      <c r="I136" s="1262">
        <f>SUM(F136:H136)</f>
        <v>4194</v>
      </c>
    </row>
    <row r="137" spans="1:9" ht="15.75">
      <c r="A137" s="1269" t="s">
        <v>13022</v>
      </c>
      <c r="B137" s="1270" t="s">
        <v>13023</v>
      </c>
      <c r="C137" s="1271" t="s">
        <v>13021</v>
      </c>
      <c r="D137" s="1271"/>
      <c r="E137" s="1271"/>
      <c r="F137" s="1272">
        <f>SUM(F139:F149)</f>
        <v>1481.21532</v>
      </c>
      <c r="G137" s="1272">
        <f>SUM(G139:G149)</f>
        <v>7316.9000000000005</v>
      </c>
      <c r="H137" s="1272">
        <f>SUM(H139:H149)</f>
        <v>1775.472</v>
      </c>
      <c r="I137" s="1273">
        <f>SUM(F137:H137)</f>
        <v>10573.587320000001</v>
      </c>
    </row>
    <row r="138" spans="1:9" ht="15.75">
      <c r="A138" s="1258"/>
      <c r="B138" s="1251" t="s">
        <v>108</v>
      </c>
      <c r="C138" s="1260"/>
      <c r="D138" s="1260"/>
      <c r="E138" s="1260"/>
      <c r="F138" s="1261"/>
      <c r="G138" s="1261"/>
      <c r="H138" s="1261"/>
      <c r="I138" s="1262"/>
    </row>
    <row r="139" spans="1:9" ht="15.75">
      <c r="A139" s="1258"/>
      <c r="B139" s="1259" t="s">
        <v>2677</v>
      </c>
      <c r="C139" s="1260" t="s">
        <v>3127</v>
      </c>
      <c r="D139" s="1261">
        <f>VLOOKUP(B139,[6]VLP!$B$7:$K$381,10,0)</f>
        <v>1864.44</v>
      </c>
      <c r="E139" s="1268">
        <v>5.2999999999999999E-2</v>
      </c>
      <c r="F139" s="1261">
        <f>E139*D139</f>
        <v>98.81532</v>
      </c>
      <c r="G139" s="1261"/>
      <c r="H139" s="1261"/>
      <c r="I139" s="1262"/>
    </row>
    <row r="140" spans="1:9" ht="15.75">
      <c r="A140" s="1258"/>
      <c r="B140" s="1259" t="s">
        <v>2681</v>
      </c>
      <c r="C140" s="1260" t="s">
        <v>45</v>
      </c>
      <c r="D140" s="1261">
        <f>VLOOKUP(B140,[6]VLP!$B$7:$K$381,10,0)</f>
        <v>23000</v>
      </c>
      <c r="E140" s="1268">
        <v>8.9999999999999993E-3</v>
      </c>
      <c r="F140" s="1261">
        <f>E140*D140</f>
        <v>206.99999999999997</v>
      </c>
      <c r="G140" s="1261"/>
      <c r="H140" s="1261"/>
      <c r="I140" s="1262"/>
    </row>
    <row r="141" spans="1:9" ht="15.75">
      <c r="A141" s="1258"/>
      <c r="B141" s="1259" t="s">
        <v>12983</v>
      </c>
      <c r="C141" s="1260" t="s">
        <v>49</v>
      </c>
      <c r="D141" s="1261">
        <f>VLOOKUP(B141,[6]VLP!$B$7:$K$381,10,0)</f>
        <v>37800</v>
      </c>
      <c r="E141" s="1268">
        <v>1.7999999999999999E-2</v>
      </c>
      <c r="F141" s="1261">
        <f>E141*D141</f>
        <v>680.4</v>
      </c>
      <c r="G141" s="1261"/>
      <c r="H141" s="1261"/>
      <c r="I141" s="1262"/>
    </row>
    <row r="142" spans="1:9" ht="15.75">
      <c r="A142" s="1258"/>
      <c r="B142" s="1259" t="s">
        <v>2682</v>
      </c>
      <c r="C142" s="1260" t="s">
        <v>45</v>
      </c>
      <c r="D142" s="1261">
        <f>VLOOKUP(B142,[6]VLP!$B$7:$K$381,10,0)</f>
        <v>5000</v>
      </c>
      <c r="E142" s="1268">
        <v>8.9999999999999993E-3</v>
      </c>
      <c r="F142" s="1261">
        <f>E142*D142</f>
        <v>45</v>
      </c>
      <c r="G142" s="1261"/>
      <c r="H142" s="1261"/>
      <c r="I142" s="1262"/>
    </row>
    <row r="143" spans="1:9" ht="15.75">
      <c r="A143" s="1258"/>
      <c r="B143" s="1259" t="s">
        <v>7244</v>
      </c>
      <c r="C143" s="1260" t="s">
        <v>49</v>
      </c>
      <c r="D143" s="1261">
        <f>VLOOKUP(B143,[6]VLP!$B$7:$K$381,10,0)</f>
        <v>4500</v>
      </c>
      <c r="E143" s="1268">
        <v>0.1</v>
      </c>
      <c r="F143" s="1261">
        <f>E143*D143</f>
        <v>450</v>
      </c>
      <c r="G143" s="1261"/>
      <c r="H143" s="1261"/>
      <c r="I143" s="1262"/>
    </row>
    <row r="144" spans="1:9" ht="15.75">
      <c r="A144" s="1258"/>
      <c r="B144" s="1251" t="s">
        <v>276</v>
      </c>
      <c r="C144" s="1260"/>
      <c r="D144" s="1260"/>
      <c r="E144" s="1268"/>
      <c r="F144" s="1261"/>
      <c r="G144" s="1261"/>
      <c r="H144" s="1261"/>
      <c r="I144" s="1262"/>
    </row>
    <row r="145" spans="1:9" ht="15.75">
      <c r="A145" s="1258"/>
      <c r="B145" s="1259" t="s">
        <v>2675</v>
      </c>
      <c r="C145" s="1260" t="s">
        <v>2674</v>
      </c>
      <c r="D145" s="1261">
        <v>217280</v>
      </c>
      <c r="E145" s="1268">
        <v>0.02</v>
      </c>
      <c r="F145" s="1261"/>
      <c r="G145" s="1261">
        <f>E145*D145</f>
        <v>4345.6000000000004</v>
      </c>
      <c r="H145" s="1261"/>
      <c r="I145" s="1262"/>
    </row>
    <row r="146" spans="1:9" ht="15.75">
      <c r="A146" s="1258"/>
      <c r="B146" s="1259" t="s">
        <v>5402</v>
      </c>
      <c r="C146" s="1260" t="s">
        <v>2674</v>
      </c>
      <c r="D146" s="1261">
        <f>VLOOKUP(B146,ĐMNC!$A$7:$F$67,4,0)</f>
        <v>297130</v>
      </c>
      <c r="E146" s="1268">
        <v>0.01</v>
      </c>
      <c r="F146" s="1261"/>
      <c r="G146" s="1261">
        <f>E146*D146</f>
        <v>2971.3</v>
      </c>
      <c r="H146" s="1261"/>
      <c r="I146" s="1262"/>
    </row>
    <row r="147" spans="1:9" ht="15.75">
      <c r="A147" s="1258"/>
      <c r="B147" s="1251" t="s">
        <v>3914</v>
      </c>
      <c r="C147" s="1260"/>
      <c r="D147" s="1260"/>
      <c r="E147" s="1268"/>
      <c r="F147" s="1261"/>
      <c r="G147" s="1261"/>
      <c r="H147" s="1261"/>
      <c r="I147" s="1262"/>
    </row>
    <row r="148" spans="1:9" ht="15.75">
      <c r="A148" s="1258" t="s">
        <v>9075</v>
      </c>
      <c r="B148" s="1259" t="s">
        <v>2679</v>
      </c>
      <c r="C148" s="1260" t="s">
        <v>2673</v>
      </c>
      <c r="D148" s="1261">
        <f>VLOOKUP(A148,[6]MTC!$B$9:$S$920,13,0)</f>
        <v>40128</v>
      </c>
      <c r="E148" s="1268">
        <v>4.0000000000000001E-3</v>
      </c>
      <c r="F148" s="1261"/>
      <c r="G148" s="1261"/>
      <c r="H148" s="1261">
        <f>E148*D148</f>
        <v>160.512</v>
      </c>
      <c r="I148" s="1262"/>
    </row>
    <row r="149" spans="1:9" ht="15.75">
      <c r="A149" s="1258" t="s">
        <v>9044</v>
      </c>
      <c r="B149" s="1259" t="s">
        <v>12985</v>
      </c>
      <c r="C149" s="1260" t="s">
        <v>2673</v>
      </c>
      <c r="D149" s="1261">
        <f>VLOOKUP(A149,[6]MTC!$B$9:$S$920,13,0)</f>
        <v>403740</v>
      </c>
      <c r="E149" s="1268">
        <v>4.0000000000000001E-3</v>
      </c>
      <c r="F149" s="1261"/>
      <c r="G149" s="1261"/>
      <c r="H149" s="1261">
        <f>E149*D149</f>
        <v>1614.96</v>
      </c>
      <c r="I149" s="1262"/>
    </row>
    <row r="150" spans="1:9" ht="15.75">
      <c r="A150" s="1250" t="s">
        <v>13024</v>
      </c>
      <c r="B150" s="1251" t="s">
        <v>13025</v>
      </c>
      <c r="C150" s="1252"/>
      <c r="D150" s="1252"/>
      <c r="E150" s="1252"/>
      <c r="F150" s="1254"/>
      <c r="G150" s="1254"/>
      <c r="H150" s="1254"/>
      <c r="I150" s="1255"/>
    </row>
    <row r="151" spans="1:9" ht="15.75">
      <c r="A151" s="1250"/>
      <c r="B151" s="1256" t="s">
        <v>12978</v>
      </c>
      <c r="C151" s="1252"/>
      <c r="D151" s="1252"/>
      <c r="E151" s="1252"/>
      <c r="F151" s="1254"/>
      <c r="G151" s="1254"/>
      <c r="H151" s="1254"/>
      <c r="I151" s="1255"/>
    </row>
    <row r="152" spans="1:9" ht="15.75">
      <c r="A152" s="1250"/>
      <c r="B152" s="1257" t="s">
        <v>13026</v>
      </c>
      <c r="C152" s="1252"/>
      <c r="D152" s="1252"/>
      <c r="E152" s="1252"/>
      <c r="F152" s="1254"/>
      <c r="G152" s="1254"/>
      <c r="H152" s="1254"/>
      <c r="I152" s="1255"/>
    </row>
    <row r="153" spans="1:9" ht="15.75">
      <c r="A153" s="1250"/>
      <c r="B153" s="1256" t="s">
        <v>13027</v>
      </c>
      <c r="C153" s="1252"/>
      <c r="D153" s="1252"/>
      <c r="E153" s="1252"/>
      <c r="F153" s="1254"/>
      <c r="G153" s="1254"/>
      <c r="H153" s="1254"/>
      <c r="I153" s="1255"/>
    </row>
    <row r="154" spans="1:9" ht="15.75">
      <c r="A154" s="1258" t="s">
        <v>13028</v>
      </c>
      <c r="B154" s="1259" t="s">
        <v>13029</v>
      </c>
      <c r="C154" s="1260" t="s">
        <v>51</v>
      </c>
      <c r="D154" s="1260"/>
      <c r="E154" s="1260"/>
      <c r="F154" s="1261">
        <v>9241</v>
      </c>
      <c r="G154" s="1261">
        <v>157656</v>
      </c>
      <c r="H154" s="1261">
        <v>81964</v>
      </c>
      <c r="I154" s="1262">
        <f>SUM(F154:H154)</f>
        <v>248861</v>
      </c>
    </row>
    <row r="155" spans="1:9" ht="15.75">
      <c r="A155" s="1258" t="s">
        <v>13030</v>
      </c>
      <c r="B155" s="1259" t="s">
        <v>13031</v>
      </c>
      <c r="C155" s="1260" t="s">
        <v>51</v>
      </c>
      <c r="D155" s="1260"/>
      <c r="E155" s="1260"/>
      <c r="F155" s="1261">
        <v>8317</v>
      </c>
      <c r="G155" s="1261">
        <v>126468</v>
      </c>
      <c r="H155" s="1261">
        <v>65475</v>
      </c>
      <c r="I155" s="1262">
        <f>SUM(F155:H155)</f>
        <v>200260</v>
      </c>
    </row>
    <row r="156" spans="1:9" ht="15.75">
      <c r="A156" s="1258" t="s">
        <v>13032</v>
      </c>
      <c r="B156" s="1259" t="s">
        <v>13033</v>
      </c>
      <c r="C156" s="1260" t="s">
        <v>51</v>
      </c>
      <c r="D156" s="1260"/>
      <c r="E156" s="1260"/>
      <c r="F156" s="1261">
        <v>7486</v>
      </c>
      <c r="G156" s="1261">
        <v>100488</v>
      </c>
      <c r="H156" s="1261">
        <v>52704</v>
      </c>
      <c r="I156" s="1262">
        <f>SUM(F156:H156)</f>
        <v>160678</v>
      </c>
    </row>
    <row r="157" spans="1:9" ht="15.75">
      <c r="A157" s="1258" t="s">
        <v>13034</v>
      </c>
      <c r="B157" s="1259" t="s">
        <v>13035</v>
      </c>
      <c r="C157" s="1260" t="s">
        <v>51</v>
      </c>
      <c r="D157" s="1260"/>
      <c r="E157" s="1260"/>
      <c r="F157" s="1261">
        <v>4621</v>
      </c>
      <c r="G157" s="1261">
        <v>80850</v>
      </c>
      <c r="H157" s="1261">
        <v>34613</v>
      </c>
      <c r="I157" s="1262">
        <f>SUM(F157:H157)</f>
        <v>120084</v>
      </c>
    </row>
    <row r="158" spans="1:9" ht="15.75">
      <c r="A158" s="1250" t="s">
        <v>13036</v>
      </c>
      <c r="B158" s="1251" t="s">
        <v>13037</v>
      </c>
      <c r="C158" s="1252"/>
      <c r="D158" s="1252"/>
      <c r="E158" s="1252"/>
      <c r="F158" s="1254"/>
      <c r="G158" s="1254"/>
      <c r="H158" s="1254"/>
      <c r="I158" s="1255"/>
    </row>
    <row r="159" spans="1:9" ht="15.75">
      <c r="A159" s="1250"/>
      <c r="B159" s="1256" t="s">
        <v>12978</v>
      </c>
      <c r="C159" s="1252"/>
      <c r="D159" s="1252"/>
      <c r="E159" s="1252"/>
      <c r="F159" s="1254"/>
      <c r="G159" s="1254"/>
      <c r="H159" s="1254"/>
      <c r="I159" s="1255"/>
    </row>
    <row r="160" spans="1:9" ht="15.75">
      <c r="A160" s="1250"/>
      <c r="B160" s="1257" t="s">
        <v>13038</v>
      </c>
      <c r="C160" s="1252"/>
      <c r="D160" s="1252"/>
      <c r="E160" s="1252"/>
      <c r="F160" s="1254"/>
      <c r="G160" s="1254"/>
      <c r="H160" s="1254"/>
      <c r="I160" s="1255"/>
    </row>
    <row r="161" spans="1:9" ht="15.75">
      <c r="A161" s="1269" t="s">
        <v>13039</v>
      </c>
      <c r="B161" s="1270" t="s">
        <v>13040</v>
      </c>
      <c r="C161" s="1271" t="s">
        <v>3832</v>
      </c>
      <c r="D161" s="1271"/>
      <c r="E161" s="1271"/>
      <c r="F161" s="1272">
        <f>SUM(F163:F175)</f>
        <v>15843.31904</v>
      </c>
      <c r="G161" s="1272">
        <f>SUM(G163:G175)</f>
        <v>95695.5</v>
      </c>
      <c r="H161" s="1272">
        <f>SUM(H163:H175)</f>
        <v>25599.39</v>
      </c>
      <c r="I161" s="1273">
        <f>SUM(F161:H161)</f>
        <v>137138.20903999999</v>
      </c>
    </row>
    <row r="162" spans="1:9" ht="15.75">
      <c r="A162" s="1258"/>
      <c r="B162" s="1251" t="s">
        <v>108</v>
      </c>
      <c r="C162" s="1260"/>
      <c r="D162" s="1260"/>
      <c r="E162" s="1260"/>
      <c r="F162" s="1261"/>
      <c r="G162" s="1261"/>
      <c r="H162" s="1261"/>
      <c r="I162" s="1262"/>
    </row>
    <row r="163" spans="1:9" ht="15.75">
      <c r="A163" s="1258"/>
      <c r="B163" s="1259" t="s">
        <v>2677</v>
      </c>
      <c r="C163" s="1260" t="s">
        <v>3127</v>
      </c>
      <c r="D163" s="1261">
        <f>VLOOKUP(B163,[6]VLP!$B$7:$K$381,10,0)</f>
        <v>1864.44</v>
      </c>
      <c r="E163" s="1268">
        <v>0.216</v>
      </c>
      <c r="F163" s="1261">
        <f t="shared" ref="F163:F168" si="6">E163*D163</f>
        <v>402.71904000000001</v>
      </c>
      <c r="G163" s="1261"/>
      <c r="H163" s="1261"/>
      <c r="I163" s="1262"/>
    </row>
    <row r="164" spans="1:9" ht="15.75">
      <c r="A164" s="1258"/>
      <c r="B164" s="1259" t="s">
        <v>2681</v>
      </c>
      <c r="C164" s="1260" t="s">
        <v>45</v>
      </c>
      <c r="D164" s="1261">
        <f>VLOOKUP(B164,[6]VLP!$B$7:$K$381,10,0)</f>
        <v>23000</v>
      </c>
      <c r="E164" s="1268">
        <v>3.5999999999999997E-2</v>
      </c>
      <c r="F164" s="1261">
        <f t="shared" si="6"/>
        <v>827.99999999999989</v>
      </c>
      <c r="G164" s="1261"/>
      <c r="H164" s="1261"/>
      <c r="I164" s="1262"/>
    </row>
    <row r="165" spans="1:9" ht="15.75">
      <c r="A165" s="1258"/>
      <c r="B165" s="1259" t="s">
        <v>12983</v>
      </c>
      <c r="C165" s="1260" t="s">
        <v>49</v>
      </c>
      <c r="D165" s="1261">
        <f>VLOOKUP(B165,[6]VLP!$B$7:$K$381,10,0)</f>
        <v>37800</v>
      </c>
      <c r="E165" s="1268">
        <v>7.1999999999999995E-2</v>
      </c>
      <c r="F165" s="1261">
        <f t="shared" si="6"/>
        <v>2721.6</v>
      </c>
      <c r="G165" s="1261"/>
      <c r="H165" s="1261"/>
      <c r="I165" s="1262"/>
    </row>
    <row r="166" spans="1:9" ht="15.75">
      <c r="A166" s="1258"/>
      <c r="B166" s="1259" t="s">
        <v>2682</v>
      </c>
      <c r="C166" s="1260" t="s">
        <v>45</v>
      </c>
      <c r="D166" s="1261">
        <f>VLOOKUP(B166,[6]VLP!$B$7:$K$381,10,0)</f>
        <v>5000</v>
      </c>
      <c r="E166" s="1268">
        <v>1.036</v>
      </c>
      <c r="F166" s="1261">
        <f t="shared" si="6"/>
        <v>5180</v>
      </c>
      <c r="G166" s="1261"/>
      <c r="H166" s="1261"/>
      <c r="I166" s="1262"/>
    </row>
    <row r="167" spans="1:9" ht="15.75">
      <c r="A167" s="1258"/>
      <c r="B167" s="1259" t="s">
        <v>7244</v>
      </c>
      <c r="C167" s="1260" t="s">
        <v>49</v>
      </c>
      <c r="D167" s="1261">
        <f>VLOOKUP(B167,[6]VLP!$B$7:$K$381,10,0)</f>
        <v>4500</v>
      </c>
      <c r="E167" s="1268">
        <v>1</v>
      </c>
      <c r="F167" s="1261">
        <f t="shared" si="6"/>
        <v>4500</v>
      </c>
      <c r="G167" s="1261"/>
      <c r="H167" s="1261"/>
      <c r="I167" s="1262"/>
    </row>
    <row r="168" spans="1:9" ht="15.75">
      <c r="A168" s="1258"/>
      <c r="B168" s="1259" t="s">
        <v>12984</v>
      </c>
      <c r="C168" s="1260" t="s">
        <v>49</v>
      </c>
      <c r="D168" s="1261">
        <f>VLOOKUP(B168,[6]VLP!$B$7:$K$381,10,0)</f>
        <v>22110</v>
      </c>
      <c r="E168" s="1268">
        <v>0.1</v>
      </c>
      <c r="F168" s="1261">
        <f t="shared" si="6"/>
        <v>2211</v>
      </c>
      <c r="G168" s="1261"/>
      <c r="H168" s="1261"/>
      <c r="I168" s="1262"/>
    </row>
    <row r="169" spans="1:9" ht="15.75">
      <c r="A169" s="1258"/>
      <c r="B169" s="1251" t="s">
        <v>276</v>
      </c>
      <c r="C169" s="1260"/>
      <c r="D169" s="1260"/>
      <c r="E169" s="1268"/>
      <c r="F169" s="1261"/>
      <c r="G169" s="1261"/>
      <c r="H169" s="1261"/>
      <c r="I169" s="1262"/>
    </row>
    <row r="170" spans="1:9" ht="15.75">
      <c r="A170" s="1258"/>
      <c r="B170" s="1259" t="s">
        <v>2675</v>
      </c>
      <c r="C170" s="1260" t="s">
        <v>2674</v>
      </c>
      <c r="D170" s="1261">
        <v>217280</v>
      </c>
      <c r="E170" s="1268">
        <v>0.28999999999999998</v>
      </c>
      <c r="F170" s="1261"/>
      <c r="G170" s="1261">
        <f>E170*D170</f>
        <v>63011.199999999997</v>
      </c>
      <c r="H170" s="1261"/>
      <c r="I170" s="1262"/>
    </row>
    <row r="171" spans="1:9" ht="15.75">
      <c r="A171" s="1258"/>
      <c r="B171" s="1259" t="s">
        <v>5402</v>
      </c>
      <c r="C171" s="1260" t="s">
        <v>2674</v>
      </c>
      <c r="D171" s="1261">
        <f>VLOOKUP(B171,ĐMNC!$A$7:$F$67,4,0)</f>
        <v>297130</v>
      </c>
      <c r="E171" s="1268">
        <v>0.11</v>
      </c>
      <c r="F171" s="1261"/>
      <c r="G171" s="1261">
        <f>E171*D171</f>
        <v>32684.3</v>
      </c>
      <c r="H171" s="1261"/>
      <c r="I171" s="1262"/>
    </row>
    <row r="172" spans="1:9" ht="15.75">
      <c r="A172" s="1258"/>
      <c r="B172" s="1251" t="s">
        <v>3914</v>
      </c>
      <c r="C172" s="1260"/>
      <c r="D172" s="1260"/>
      <c r="E172" s="1268"/>
      <c r="F172" s="1261"/>
      <c r="G172" s="1261"/>
      <c r="H172" s="1261"/>
      <c r="I172" s="1262"/>
    </row>
    <row r="173" spans="1:9" ht="15.75">
      <c r="A173" s="1258" t="s">
        <v>9075</v>
      </c>
      <c r="B173" s="1259" t="s">
        <v>2679</v>
      </c>
      <c r="C173" s="1260" t="s">
        <v>2673</v>
      </c>
      <c r="D173" s="1261">
        <f>VLOOKUP(A173,[6]MTC!$B$9:$S$920,13,0)</f>
        <v>40128</v>
      </c>
      <c r="E173" s="1268">
        <v>0.01</v>
      </c>
      <c r="F173" s="1261"/>
      <c r="G173" s="1261"/>
      <c r="H173" s="1261">
        <f>E173*D173</f>
        <v>401.28000000000003</v>
      </c>
      <c r="I173" s="1262"/>
    </row>
    <row r="174" spans="1:9" ht="15.75">
      <c r="A174" s="1258" t="s">
        <v>9038</v>
      </c>
      <c r="B174" s="1259" t="s">
        <v>9039</v>
      </c>
      <c r="C174" s="1260" t="s">
        <v>2673</v>
      </c>
      <c r="D174" s="1261">
        <f>VLOOKUP(A174,[6]MTC!$B$9:$S$920,13,0)</f>
        <v>796170</v>
      </c>
      <c r="E174" s="1268">
        <v>2.1000000000000001E-2</v>
      </c>
      <c r="F174" s="1261"/>
      <c r="G174" s="1261"/>
      <c r="H174" s="1261">
        <f>E174*D174</f>
        <v>16719.57</v>
      </c>
      <c r="I174" s="1262"/>
    </row>
    <row r="175" spans="1:9" ht="15.75">
      <c r="A175" s="1258" t="s">
        <v>9044</v>
      </c>
      <c r="B175" s="1259" t="s">
        <v>12985</v>
      </c>
      <c r="C175" s="1260" t="s">
        <v>2673</v>
      </c>
      <c r="D175" s="1261">
        <f>VLOOKUP(A175,[6]MTC!$B$9:$S$920,13,0)</f>
        <v>403740</v>
      </c>
      <c r="E175" s="1268">
        <v>2.1000000000000001E-2</v>
      </c>
      <c r="F175" s="1261"/>
      <c r="G175" s="1261"/>
      <c r="H175" s="1261">
        <f>E175*D175</f>
        <v>8478.5400000000009</v>
      </c>
      <c r="I175" s="1262"/>
    </row>
    <row r="176" spans="1:9" ht="15.75">
      <c r="A176" s="1269" t="s">
        <v>13041</v>
      </c>
      <c r="B176" s="1270" t="s">
        <v>3831</v>
      </c>
      <c r="C176" s="1271" t="s">
        <v>3832</v>
      </c>
      <c r="D176" s="1271"/>
      <c r="E176" s="1271"/>
      <c r="F176" s="1272">
        <f>SUM(F178:F190)</f>
        <v>18587.398799999999</v>
      </c>
      <c r="G176" s="1272">
        <f>SUM(G178:G190)</f>
        <v>128524.20000000001</v>
      </c>
      <c r="H176" s="1272">
        <f>SUM(H178:H190)</f>
        <v>38039.898000000001</v>
      </c>
      <c r="I176" s="1273">
        <f>SUM(F176:H176)</f>
        <v>185151.49680000002</v>
      </c>
    </row>
    <row r="177" spans="1:9" ht="15.75">
      <c r="A177" s="1258"/>
      <c r="B177" s="1251" t="s">
        <v>108</v>
      </c>
      <c r="C177" s="1260"/>
      <c r="D177" s="1260"/>
      <c r="E177" s="1260"/>
      <c r="F177" s="1261"/>
      <c r="G177" s="1261"/>
      <c r="H177" s="1261"/>
      <c r="I177" s="1262"/>
    </row>
    <row r="178" spans="1:9" ht="15.75">
      <c r="A178" s="1258"/>
      <c r="B178" s="1259" t="s">
        <v>2677</v>
      </c>
      <c r="C178" s="1260" t="s">
        <v>3127</v>
      </c>
      <c r="D178" s="1261">
        <f>VLOOKUP(B178,[6]VLP!$B$7:$K$381,10,0)</f>
        <v>1864.44</v>
      </c>
      <c r="E178" s="1268">
        <v>0.27</v>
      </c>
      <c r="F178" s="1261">
        <f t="shared" ref="F178:F183" si="7">E178*D178</f>
        <v>503.39880000000005</v>
      </c>
      <c r="G178" s="1261"/>
      <c r="H178" s="1261"/>
      <c r="I178" s="1262"/>
    </row>
    <row r="179" spans="1:9" ht="15.75">
      <c r="A179" s="1258"/>
      <c r="B179" s="1259" t="s">
        <v>2681</v>
      </c>
      <c r="C179" s="1260" t="s">
        <v>45</v>
      </c>
      <c r="D179" s="1261">
        <f>VLOOKUP(B179,[6]VLP!$B$7:$K$381,10,0)</f>
        <v>23000</v>
      </c>
      <c r="E179" s="1268">
        <v>4.4999999999999998E-2</v>
      </c>
      <c r="F179" s="1261">
        <f t="shared" si="7"/>
        <v>1035</v>
      </c>
      <c r="G179" s="1261"/>
      <c r="H179" s="1261"/>
      <c r="I179" s="1262"/>
    </row>
    <row r="180" spans="1:9" ht="15.75">
      <c r="A180" s="1258"/>
      <c r="B180" s="1259" t="s">
        <v>12983</v>
      </c>
      <c r="C180" s="1260" t="s">
        <v>49</v>
      </c>
      <c r="D180" s="1261">
        <f>VLOOKUP(B180,[6]VLP!$B$7:$K$381,10,0)</f>
        <v>37800</v>
      </c>
      <c r="E180" s="1268">
        <v>0.09</v>
      </c>
      <c r="F180" s="1261">
        <f t="shared" si="7"/>
        <v>3402</v>
      </c>
      <c r="G180" s="1261"/>
      <c r="H180" s="1261"/>
      <c r="I180" s="1262"/>
    </row>
    <row r="181" spans="1:9" ht="15.75">
      <c r="A181" s="1258"/>
      <c r="B181" s="1259" t="s">
        <v>2682</v>
      </c>
      <c r="C181" s="1260" t="s">
        <v>45</v>
      </c>
      <c r="D181" s="1261">
        <f>VLOOKUP(B181,[6]VLP!$B$7:$K$381,10,0)</f>
        <v>5000</v>
      </c>
      <c r="E181" s="1268">
        <v>4.4999999999999998E-2</v>
      </c>
      <c r="F181" s="1261">
        <f t="shared" si="7"/>
        <v>225</v>
      </c>
      <c r="G181" s="1261"/>
      <c r="H181" s="1261"/>
      <c r="I181" s="1262"/>
    </row>
    <row r="182" spans="1:9" ht="15.75">
      <c r="A182" s="1258"/>
      <c r="B182" s="1259" t="s">
        <v>7244</v>
      </c>
      <c r="C182" s="1260" t="s">
        <v>49</v>
      </c>
      <c r="D182" s="1261">
        <f>VLOOKUP(B182,[6]VLP!$B$7:$K$381,10,0)</f>
        <v>4500</v>
      </c>
      <c r="E182" s="1268">
        <v>2</v>
      </c>
      <c r="F182" s="1261">
        <f t="shared" si="7"/>
        <v>9000</v>
      </c>
      <c r="G182" s="1261"/>
      <c r="H182" s="1261"/>
      <c r="I182" s="1262"/>
    </row>
    <row r="183" spans="1:9" ht="15.75">
      <c r="A183" s="1258"/>
      <c r="B183" s="1259" t="s">
        <v>12984</v>
      </c>
      <c r="C183" s="1260" t="s">
        <v>49</v>
      </c>
      <c r="D183" s="1261">
        <f>VLOOKUP(B183,[6]VLP!$B$7:$K$381,10,0)</f>
        <v>22110</v>
      </c>
      <c r="E183" s="1268">
        <v>0.2</v>
      </c>
      <c r="F183" s="1261">
        <f t="shared" si="7"/>
        <v>4422</v>
      </c>
      <c r="G183" s="1261"/>
      <c r="H183" s="1261"/>
      <c r="I183" s="1262"/>
    </row>
    <row r="184" spans="1:9" ht="15.75">
      <c r="A184" s="1258"/>
      <c r="B184" s="1251" t="s">
        <v>276</v>
      </c>
      <c r="C184" s="1260"/>
      <c r="D184" s="1260"/>
      <c r="E184" s="1268"/>
      <c r="F184" s="1261"/>
      <c r="G184" s="1261"/>
      <c r="H184" s="1261"/>
      <c r="I184" s="1262"/>
    </row>
    <row r="185" spans="1:9" ht="15.75">
      <c r="A185" s="1258"/>
      <c r="B185" s="1259" t="s">
        <v>2675</v>
      </c>
      <c r="C185" s="1260" t="s">
        <v>2674</v>
      </c>
      <c r="D185" s="1261">
        <f>VLOOKUP(B185,ĐMNC!$H$13:$J$20,3,0)</f>
        <v>248360</v>
      </c>
      <c r="E185" s="1268">
        <v>0.35</v>
      </c>
      <c r="F185" s="1261"/>
      <c r="G185" s="1261">
        <f>E185*D185</f>
        <v>86926</v>
      </c>
      <c r="H185" s="1261"/>
      <c r="I185" s="1262"/>
    </row>
    <row r="186" spans="1:9" ht="15.75">
      <c r="A186" s="1258"/>
      <c r="B186" s="1259" t="s">
        <v>5402</v>
      </c>
      <c r="C186" s="1260" t="s">
        <v>2674</v>
      </c>
      <c r="D186" s="1261">
        <f>VLOOKUP(B186,ĐMNC!$A$7:$F$67,4,0)</f>
        <v>297130</v>
      </c>
      <c r="E186" s="1268">
        <v>0.14000000000000001</v>
      </c>
      <c r="F186" s="1261"/>
      <c r="G186" s="1261">
        <f>E186*D186</f>
        <v>41598.200000000004</v>
      </c>
      <c r="H186" s="1261"/>
      <c r="I186" s="1262"/>
    </row>
    <row r="187" spans="1:9" ht="15.75">
      <c r="A187" s="1258"/>
      <c r="B187" s="1251" t="s">
        <v>3914</v>
      </c>
      <c r="C187" s="1260"/>
      <c r="D187" s="1260"/>
      <c r="E187" s="1268"/>
      <c r="F187" s="1261"/>
      <c r="G187" s="1261"/>
      <c r="H187" s="1261"/>
      <c r="I187" s="1262"/>
    </row>
    <row r="188" spans="1:9" ht="15.75">
      <c r="A188" s="1258" t="s">
        <v>9075</v>
      </c>
      <c r="B188" s="1259" t="s">
        <v>2679</v>
      </c>
      <c r="C188" s="1260" t="s">
        <v>2673</v>
      </c>
      <c r="D188" s="1261">
        <f>VLOOKUP(A188,[6]MTC!$B$9:$S$920,13,0)</f>
        <v>40128</v>
      </c>
      <c r="E188" s="1268">
        <v>2.1000000000000001E-2</v>
      </c>
      <c r="F188" s="1261"/>
      <c r="G188" s="1261"/>
      <c r="H188" s="1261">
        <f>E188*D188</f>
        <v>842.6880000000001</v>
      </c>
      <c r="I188" s="1262"/>
    </row>
    <row r="189" spans="1:9" ht="15.75">
      <c r="A189" s="1258" t="s">
        <v>9038</v>
      </c>
      <c r="B189" s="1259" t="s">
        <v>9039</v>
      </c>
      <c r="C189" s="1260" t="s">
        <v>2673</v>
      </c>
      <c r="D189" s="1261">
        <f>VLOOKUP(A189,[6]MTC!$B$9:$S$920,13,0)</f>
        <v>796170</v>
      </c>
      <c r="E189" s="1268">
        <v>3.1E-2</v>
      </c>
      <c r="F189" s="1261"/>
      <c r="G189" s="1261"/>
      <c r="H189" s="1261">
        <f>E189*D189</f>
        <v>24681.27</v>
      </c>
      <c r="I189" s="1262"/>
    </row>
    <row r="190" spans="1:9" ht="15.75">
      <c r="A190" s="1258" t="s">
        <v>9044</v>
      </c>
      <c r="B190" s="1259" t="s">
        <v>12985</v>
      </c>
      <c r="C190" s="1260" t="s">
        <v>2673</v>
      </c>
      <c r="D190" s="1261">
        <f>VLOOKUP(A190,[6]MTC!$B$9:$S$920,13,0)</f>
        <v>403740</v>
      </c>
      <c r="E190" s="1268">
        <v>3.1E-2</v>
      </c>
      <c r="F190" s="1261"/>
      <c r="G190" s="1261"/>
      <c r="H190" s="1261">
        <f>E190*D190</f>
        <v>12515.94</v>
      </c>
      <c r="I190" s="1262"/>
    </row>
    <row r="191" spans="1:9" ht="15.75">
      <c r="A191" s="1250" t="s">
        <v>13042</v>
      </c>
      <c r="B191" s="1251" t="s">
        <v>13043</v>
      </c>
      <c r="C191" s="1252"/>
      <c r="D191" s="1252"/>
      <c r="E191" s="1252"/>
      <c r="F191" s="1254"/>
      <c r="G191" s="1254"/>
      <c r="H191" s="1254"/>
      <c r="I191" s="1255"/>
    </row>
    <row r="192" spans="1:9" ht="15.75">
      <c r="A192" s="1250"/>
      <c r="B192" s="1256" t="s">
        <v>12978</v>
      </c>
      <c r="C192" s="1252"/>
      <c r="D192" s="1252"/>
      <c r="E192" s="1252"/>
      <c r="F192" s="1254"/>
      <c r="G192" s="1254"/>
      <c r="H192" s="1254"/>
      <c r="I192" s="1255"/>
    </row>
    <row r="193" spans="1:9" ht="15.75">
      <c r="A193" s="1250"/>
      <c r="B193" s="1257" t="s">
        <v>13044</v>
      </c>
      <c r="C193" s="1252"/>
      <c r="D193" s="1252"/>
      <c r="E193" s="1252"/>
      <c r="F193" s="1254"/>
      <c r="G193" s="1254"/>
      <c r="H193" s="1254"/>
      <c r="I193" s="1255"/>
    </row>
    <row r="194" spans="1:9" ht="15.75">
      <c r="A194" s="1250"/>
      <c r="B194" s="1257" t="s">
        <v>13045</v>
      </c>
      <c r="C194" s="1252"/>
      <c r="D194" s="1252"/>
      <c r="E194" s="1252"/>
      <c r="F194" s="1254"/>
      <c r="G194" s="1254"/>
      <c r="H194" s="1254"/>
      <c r="I194" s="1255"/>
    </row>
    <row r="195" spans="1:9" ht="15.75">
      <c r="A195" s="1250"/>
      <c r="B195" s="1257" t="s">
        <v>13046</v>
      </c>
      <c r="C195" s="1252"/>
      <c r="D195" s="1252"/>
      <c r="E195" s="1252"/>
      <c r="F195" s="1254"/>
      <c r="G195" s="1254"/>
      <c r="H195" s="1254"/>
      <c r="I195" s="1255"/>
    </row>
    <row r="196" spans="1:9" ht="15.75">
      <c r="A196" s="1250"/>
      <c r="B196" s="1257" t="s">
        <v>13047</v>
      </c>
      <c r="C196" s="1252"/>
      <c r="D196" s="1252"/>
      <c r="E196" s="1252"/>
      <c r="F196" s="1254"/>
      <c r="G196" s="1254"/>
      <c r="H196" s="1254"/>
      <c r="I196" s="1255"/>
    </row>
    <row r="197" spans="1:9" ht="15.75">
      <c r="A197" s="1250"/>
      <c r="B197" s="1257" t="s">
        <v>13048</v>
      </c>
      <c r="C197" s="1252"/>
      <c r="D197" s="1252"/>
      <c r="E197" s="1252"/>
      <c r="F197" s="1254"/>
      <c r="G197" s="1254"/>
      <c r="H197" s="1254"/>
      <c r="I197" s="1255"/>
    </row>
    <row r="198" spans="1:9" ht="15.75">
      <c r="A198" s="1250"/>
      <c r="B198" s="1257" t="s">
        <v>13049</v>
      </c>
      <c r="C198" s="1252"/>
      <c r="D198" s="1252"/>
      <c r="E198" s="1252"/>
      <c r="F198" s="1254"/>
      <c r="G198" s="1254"/>
      <c r="H198" s="1254"/>
      <c r="I198" s="1255"/>
    </row>
    <row r="199" spans="1:9" ht="15.75">
      <c r="A199" s="1269" t="s">
        <v>13050</v>
      </c>
      <c r="B199" s="1270" t="s">
        <v>13051</v>
      </c>
      <c r="C199" s="1271" t="s">
        <v>208</v>
      </c>
      <c r="D199" s="1271"/>
      <c r="E199" s="1271"/>
      <c r="F199" s="1272">
        <f>SUM(F201:F212)</f>
        <v>3397.9638399999999</v>
      </c>
      <c r="G199" s="1272">
        <f>SUM(G201:G212)</f>
        <v>40667.9</v>
      </c>
      <c r="H199" s="1272">
        <f>SUM(H201:H212)</f>
        <v>8879.8200000000015</v>
      </c>
      <c r="I199" s="1273">
        <f>SUM(F199:H199)</f>
        <v>52945.683839999998</v>
      </c>
    </row>
    <row r="200" spans="1:9" ht="15.75">
      <c r="A200" s="1258"/>
      <c r="B200" s="1251" t="s">
        <v>108</v>
      </c>
      <c r="C200" s="1260"/>
      <c r="D200" s="1260"/>
      <c r="E200" s="1260"/>
      <c r="F200" s="1261"/>
      <c r="G200" s="1261"/>
      <c r="H200" s="1261"/>
      <c r="I200" s="1262"/>
    </row>
    <row r="201" spans="1:9" ht="15.75">
      <c r="A201" s="1258"/>
      <c r="B201" s="1259" t="s">
        <v>2677</v>
      </c>
      <c r="C201" s="1260" t="s">
        <v>3127</v>
      </c>
      <c r="D201" s="1261">
        <f>VLOOKUP(B201,[6]VLP!$B$7:$K$381,10,0)</f>
        <v>1864.44</v>
      </c>
      <c r="E201" s="1268">
        <v>0.13600000000000001</v>
      </c>
      <c r="F201" s="1261">
        <f>E201*D201</f>
        <v>253.56384000000003</v>
      </c>
      <c r="G201" s="1261"/>
      <c r="H201" s="1261"/>
      <c r="I201" s="1262"/>
    </row>
    <row r="202" spans="1:9" ht="15.75">
      <c r="A202" s="1258"/>
      <c r="B202" s="1259" t="s">
        <v>2681</v>
      </c>
      <c r="C202" s="1260" t="s">
        <v>45</v>
      </c>
      <c r="D202" s="1261">
        <f>VLOOKUP(B202,[6]VLP!$B$7:$K$381,10,0)</f>
        <v>23000</v>
      </c>
      <c r="E202" s="1268">
        <v>1.2999999999999999E-2</v>
      </c>
      <c r="F202" s="1261">
        <f>E202*D202</f>
        <v>299</v>
      </c>
      <c r="G202" s="1261"/>
      <c r="H202" s="1261"/>
      <c r="I202" s="1262"/>
    </row>
    <row r="203" spans="1:9" ht="15.75">
      <c r="A203" s="1258"/>
      <c r="B203" s="1259" t="s">
        <v>12983</v>
      </c>
      <c r="C203" s="1260" t="s">
        <v>49</v>
      </c>
      <c r="D203" s="1261">
        <f>VLOOKUP(B203,[6]VLP!$B$7:$K$381,10,0)</f>
        <v>37800</v>
      </c>
      <c r="E203" s="1268">
        <v>1.2999999999999999E-2</v>
      </c>
      <c r="F203" s="1261">
        <f>E203*D203</f>
        <v>491.4</v>
      </c>
      <c r="G203" s="1261"/>
      <c r="H203" s="1261"/>
      <c r="I203" s="1262"/>
    </row>
    <row r="204" spans="1:9" ht="15.75">
      <c r="A204" s="1258"/>
      <c r="B204" s="1259" t="s">
        <v>6316</v>
      </c>
      <c r="C204" s="1260" t="s">
        <v>45</v>
      </c>
      <c r="D204" s="1261">
        <f>VLOOKUP(B204,[6]VLP!$B$7:$K$381,10,0)</f>
        <v>8000</v>
      </c>
      <c r="E204" s="1268">
        <v>1.2999999999999999E-2</v>
      </c>
      <c r="F204" s="1261">
        <f>E204*D204</f>
        <v>104</v>
      </c>
      <c r="G204" s="1261"/>
      <c r="H204" s="1261"/>
      <c r="I204" s="1262"/>
    </row>
    <row r="205" spans="1:9" ht="15.75">
      <c r="A205" s="1258"/>
      <c r="B205" s="1259" t="s">
        <v>7244</v>
      </c>
      <c r="C205" s="1260" t="s">
        <v>49</v>
      </c>
      <c r="D205" s="1261">
        <f>VLOOKUP(B205,[6]VLP!$B$7:$K$381,10,0)</f>
        <v>4500</v>
      </c>
      <c r="E205" s="1268">
        <v>0.5</v>
      </c>
      <c r="F205" s="1261">
        <f>E205*D205</f>
        <v>2250</v>
      </c>
      <c r="G205" s="1261"/>
      <c r="H205" s="1261"/>
      <c r="I205" s="1262"/>
    </row>
    <row r="206" spans="1:9" ht="15.75">
      <c r="A206" s="1258"/>
      <c r="B206" s="1251" t="s">
        <v>276</v>
      </c>
      <c r="C206" s="1260"/>
      <c r="D206" s="1260"/>
      <c r="E206" s="1268"/>
      <c r="F206" s="1261"/>
      <c r="G206" s="1261"/>
      <c r="H206" s="1261"/>
      <c r="I206" s="1262"/>
    </row>
    <row r="207" spans="1:9" ht="15.75">
      <c r="A207" s="1258"/>
      <c r="B207" s="1259" t="s">
        <v>2675</v>
      </c>
      <c r="C207" s="1260" t="s">
        <v>2674</v>
      </c>
      <c r="D207" s="1261">
        <f>VLOOKUP(B207,ĐMNC!$H$13:$J$20,3,0)</f>
        <v>248360</v>
      </c>
      <c r="E207" s="1268">
        <v>0.08</v>
      </c>
      <c r="F207" s="1261"/>
      <c r="G207" s="1261">
        <f>E207*D207</f>
        <v>19868.8</v>
      </c>
      <c r="H207" s="1261"/>
      <c r="I207" s="1262"/>
    </row>
    <row r="208" spans="1:9" ht="15.75">
      <c r="A208" s="1258"/>
      <c r="B208" s="1259" t="s">
        <v>5402</v>
      </c>
      <c r="C208" s="1260" t="s">
        <v>2674</v>
      </c>
      <c r="D208" s="1261">
        <f>VLOOKUP(B208,ĐMNC!$A$7:$F$67,4,0)</f>
        <v>297130</v>
      </c>
      <c r="E208" s="1268">
        <v>7.0000000000000007E-2</v>
      </c>
      <c r="F208" s="1261"/>
      <c r="G208" s="1261">
        <f>E208*D208</f>
        <v>20799.100000000002</v>
      </c>
      <c r="H208" s="1261"/>
      <c r="I208" s="1262"/>
    </row>
    <row r="209" spans="1:9" ht="15.75">
      <c r="A209" s="1258"/>
      <c r="B209" s="1251" t="s">
        <v>3914</v>
      </c>
      <c r="C209" s="1260"/>
      <c r="D209" s="1260"/>
      <c r="E209" s="1268"/>
      <c r="F209" s="1261"/>
      <c r="G209" s="1261"/>
      <c r="H209" s="1261"/>
      <c r="I209" s="1262"/>
    </row>
    <row r="210" spans="1:9" ht="15.75">
      <c r="A210" s="1258" t="s">
        <v>9075</v>
      </c>
      <c r="B210" s="1259" t="s">
        <v>2679</v>
      </c>
      <c r="C210" s="1260" t="s">
        <v>2673</v>
      </c>
      <c r="D210" s="1261">
        <f>VLOOKUP(A210,[6]MTC!$B$9:$S$920,13,0)</f>
        <v>40128</v>
      </c>
      <c r="E210" s="1268">
        <v>0.01</v>
      </c>
      <c r="F210" s="1261"/>
      <c r="G210" s="1261"/>
      <c r="H210" s="1261">
        <f>E210*D210</f>
        <v>401.28000000000003</v>
      </c>
      <c r="I210" s="1262"/>
    </row>
    <row r="211" spans="1:9" ht="15.75">
      <c r="A211" s="1258" t="s">
        <v>9038</v>
      </c>
      <c r="B211" s="1259" t="s">
        <v>9039</v>
      </c>
      <c r="C211" s="1260" t="s">
        <v>2673</v>
      </c>
      <c r="D211" s="1261">
        <f>VLOOKUP(A211,[6]MTC!$B$9:$S$920,13,0)</f>
        <v>796170</v>
      </c>
      <c r="E211" s="1268">
        <v>0</v>
      </c>
      <c r="F211" s="1261"/>
      <c r="G211" s="1261"/>
      <c r="H211" s="1261">
        <f>E211*D211</f>
        <v>0</v>
      </c>
      <c r="I211" s="1262"/>
    </row>
    <row r="212" spans="1:9" ht="15.75">
      <c r="A212" s="1258" t="s">
        <v>9044</v>
      </c>
      <c r="B212" s="1259" t="s">
        <v>12985</v>
      </c>
      <c r="C212" s="1260" t="s">
        <v>2673</v>
      </c>
      <c r="D212" s="1261">
        <f>VLOOKUP(A212,[6]MTC!$B$9:$S$920,13,0)</f>
        <v>403740</v>
      </c>
      <c r="E212" s="1268">
        <v>2.1000000000000001E-2</v>
      </c>
      <c r="F212" s="1261"/>
      <c r="G212" s="1261"/>
      <c r="H212" s="1261">
        <f>E212*D212</f>
        <v>8478.5400000000009</v>
      </c>
      <c r="I212" s="1262"/>
    </row>
    <row r="213" spans="1:9" ht="15.75">
      <c r="A213" s="1269" t="s">
        <v>13052</v>
      </c>
      <c r="B213" s="1270" t="s">
        <v>207</v>
      </c>
      <c r="C213" s="1271" t="s">
        <v>208</v>
      </c>
      <c r="D213" s="1271"/>
      <c r="E213" s="1271"/>
      <c r="F213" s="1272">
        <f>SUM(F215:F227)</f>
        <v>28596.2624</v>
      </c>
      <c r="G213" s="1272">
        <f>SUM(G215:G227)</f>
        <v>202454.30000000005</v>
      </c>
      <c r="H213" s="1272">
        <f>SUM(H215:H227)</f>
        <v>195510.80900000001</v>
      </c>
      <c r="I213" s="1273">
        <f>SUM(F213:H213)</f>
        <v>426561.37140000006</v>
      </c>
    </row>
    <row r="214" spans="1:9" ht="15.75">
      <c r="A214" s="1258"/>
      <c r="B214" s="1251" t="s">
        <v>108</v>
      </c>
      <c r="C214" s="1260"/>
      <c r="D214" s="1260"/>
      <c r="E214" s="1260"/>
      <c r="F214" s="1261"/>
      <c r="G214" s="1261"/>
      <c r="H214" s="1261"/>
      <c r="I214" s="1262"/>
    </row>
    <row r="215" spans="1:9" ht="15.75">
      <c r="A215" s="1258"/>
      <c r="B215" s="1259" t="s">
        <v>2677</v>
      </c>
      <c r="C215" s="1260" t="s">
        <v>3127</v>
      </c>
      <c r="D215" s="1261">
        <f>VLOOKUP(B215,[6]VLP!$B$7:$K$381,10,0)</f>
        <v>1864.44</v>
      </c>
      <c r="E215" s="1268">
        <v>0.96</v>
      </c>
      <c r="F215" s="1261">
        <f>E215*D215</f>
        <v>1789.8624</v>
      </c>
      <c r="G215" s="1261"/>
      <c r="H215" s="1261"/>
      <c r="I215" s="1262"/>
    </row>
    <row r="216" spans="1:9" ht="15.75">
      <c r="A216" s="1258"/>
      <c r="B216" s="1259" t="s">
        <v>2681</v>
      </c>
      <c r="C216" s="1260" t="s">
        <v>45</v>
      </c>
      <c r="D216" s="1261">
        <f>VLOOKUP(B216,[6]VLP!$B$7:$K$381,10,0)</f>
        <v>23000</v>
      </c>
      <c r="E216" s="1268">
        <v>0.128</v>
      </c>
      <c r="F216" s="1261">
        <f>E216*D216</f>
        <v>2944</v>
      </c>
      <c r="G216" s="1261"/>
      <c r="H216" s="1261"/>
      <c r="I216" s="1262"/>
    </row>
    <row r="217" spans="1:9" ht="15.75">
      <c r="A217" s="1258"/>
      <c r="B217" s="1259" t="s">
        <v>12983</v>
      </c>
      <c r="C217" s="1260" t="s">
        <v>49</v>
      </c>
      <c r="D217" s="1261">
        <f>VLOOKUP(B217,[6]VLP!$B$7:$K$381,10,0)</f>
        <v>37800</v>
      </c>
      <c r="E217" s="1268">
        <v>0.128</v>
      </c>
      <c r="F217" s="1261">
        <f>E217*D217</f>
        <v>4838.4000000000005</v>
      </c>
      <c r="G217" s="1261"/>
      <c r="H217" s="1261"/>
      <c r="I217" s="1262"/>
    </row>
    <row r="218" spans="1:9" ht="15.75">
      <c r="A218" s="1258"/>
      <c r="B218" s="1259" t="s">
        <v>6316</v>
      </c>
      <c r="C218" s="1260" t="s">
        <v>45</v>
      </c>
      <c r="D218" s="1261">
        <f>VLOOKUP(B218,[6]VLP!$B$7:$K$381,10,0)</f>
        <v>8000</v>
      </c>
      <c r="E218" s="1268">
        <v>0.128</v>
      </c>
      <c r="F218" s="1261">
        <f>E218*D218</f>
        <v>1024</v>
      </c>
      <c r="G218" s="1261"/>
      <c r="H218" s="1261"/>
      <c r="I218" s="1262"/>
    </row>
    <row r="219" spans="1:9" ht="15.75">
      <c r="A219" s="1258"/>
      <c r="B219" s="1259" t="s">
        <v>7244</v>
      </c>
      <c r="C219" s="1260" t="s">
        <v>49</v>
      </c>
      <c r="D219" s="1261">
        <f>VLOOKUP(B219,[6]VLP!$B$7:$K$381,10,0)</f>
        <v>4500</v>
      </c>
      <c r="E219" s="1268">
        <v>4</v>
      </c>
      <c r="F219" s="1261">
        <f>E219*D219</f>
        <v>18000</v>
      </c>
      <c r="G219" s="1261"/>
      <c r="H219" s="1261"/>
      <c r="I219" s="1262"/>
    </row>
    <row r="220" spans="1:9" ht="15.75">
      <c r="A220" s="1258"/>
      <c r="B220" s="1251" t="s">
        <v>276</v>
      </c>
      <c r="C220" s="1260"/>
      <c r="D220" s="1260"/>
      <c r="E220" s="1268"/>
      <c r="F220" s="1261"/>
      <c r="G220" s="1261"/>
      <c r="H220" s="1261"/>
      <c r="I220" s="1262"/>
    </row>
    <row r="221" spans="1:9" ht="15.75">
      <c r="A221" s="1258"/>
      <c r="B221" s="1259" t="s">
        <v>2675</v>
      </c>
      <c r="C221" s="1260" t="s">
        <v>2674</v>
      </c>
      <c r="D221" s="1261">
        <f>VLOOKUP(B221,ĐMNC!$H$13:$J$20,3,0)</f>
        <v>248360</v>
      </c>
      <c r="E221" s="1268">
        <v>0.54</v>
      </c>
      <c r="F221" s="1261"/>
      <c r="G221" s="1261">
        <f>E221*D221</f>
        <v>134114.40000000002</v>
      </c>
      <c r="H221" s="1261"/>
      <c r="I221" s="1262"/>
    </row>
    <row r="222" spans="1:9" ht="15.75">
      <c r="A222" s="1258"/>
      <c r="B222" s="1259" t="s">
        <v>5402</v>
      </c>
      <c r="C222" s="1260" t="s">
        <v>2674</v>
      </c>
      <c r="D222" s="1261">
        <f>VLOOKUP(B222,ĐMNC!$A$7:$F$67,4,0)</f>
        <v>297130</v>
      </c>
      <c r="E222" s="1268">
        <v>0.23</v>
      </c>
      <c r="F222" s="1261"/>
      <c r="G222" s="1261">
        <f>E222*D222</f>
        <v>68339.900000000009</v>
      </c>
      <c r="H222" s="1261"/>
      <c r="I222" s="1262"/>
    </row>
    <row r="223" spans="1:9" ht="15.75">
      <c r="A223" s="1258"/>
      <c r="B223" s="1251" t="s">
        <v>3914</v>
      </c>
      <c r="C223" s="1260"/>
      <c r="D223" s="1260"/>
      <c r="E223" s="1268"/>
      <c r="F223" s="1261"/>
      <c r="G223" s="1261"/>
      <c r="H223" s="1261"/>
      <c r="I223" s="1262"/>
    </row>
    <row r="224" spans="1:9" ht="15.75">
      <c r="A224" s="1258" t="s">
        <v>9075</v>
      </c>
      <c r="B224" s="1259" t="s">
        <v>2679</v>
      </c>
      <c r="C224" s="1260" t="s">
        <v>2673</v>
      </c>
      <c r="D224" s="1261">
        <f>VLOOKUP(A224,[6]MTC!$B$9:$S$920,13,0)</f>
        <v>40128</v>
      </c>
      <c r="E224" s="1268">
        <v>3.1E-2</v>
      </c>
      <c r="F224" s="1261"/>
      <c r="G224" s="1261"/>
      <c r="H224" s="1261">
        <f>E224*D224</f>
        <v>1243.9680000000001</v>
      </c>
      <c r="I224" s="1262"/>
    </row>
    <row r="225" spans="1:9" ht="15.75">
      <c r="A225" s="1258" t="s">
        <v>9038</v>
      </c>
      <c r="B225" s="1259" t="s">
        <v>9039</v>
      </c>
      <c r="C225" s="1260" t="s">
        <v>2673</v>
      </c>
      <c r="D225" s="1261">
        <f>VLOOKUP(A225,[6]MTC!$B$9:$S$920,13,0)</f>
        <v>796170</v>
      </c>
      <c r="E225" s="1268">
        <v>6.3E-2</v>
      </c>
      <c r="F225" s="1261"/>
      <c r="G225" s="1261"/>
      <c r="H225" s="1261">
        <f>E225*D225</f>
        <v>50158.71</v>
      </c>
      <c r="I225" s="1262"/>
    </row>
    <row r="226" spans="1:9" ht="15.75">
      <c r="A226" s="1258" t="s">
        <v>9044</v>
      </c>
      <c r="B226" s="1259" t="s">
        <v>12985</v>
      </c>
      <c r="C226" s="1260" t="s">
        <v>2673</v>
      </c>
      <c r="D226" s="1261">
        <f>VLOOKUP(A226,[6]MTC!$B$9:$S$920,13,0)</f>
        <v>403740</v>
      </c>
      <c r="E226" s="1268">
        <v>6.3E-2</v>
      </c>
      <c r="F226" s="1261"/>
      <c r="G226" s="1261"/>
      <c r="H226" s="1261">
        <f>E226*D226</f>
        <v>25435.62</v>
      </c>
      <c r="I226" s="1262"/>
    </row>
    <row r="227" spans="1:9" ht="15.75">
      <c r="A227" s="1258" t="s">
        <v>4993</v>
      </c>
      <c r="B227" s="1259" t="s">
        <v>4994</v>
      </c>
      <c r="C227" s="1260" t="s">
        <v>2673</v>
      </c>
      <c r="D227" s="1261">
        <f>VLOOKUP(A227,[6]MTC!$B$9:$S$920,13,0)</f>
        <v>1333399</v>
      </c>
      <c r="E227" s="1268">
        <v>8.8999999999999996E-2</v>
      </c>
      <c r="F227" s="1261"/>
      <c r="G227" s="1261"/>
      <c r="H227" s="1261">
        <f>E227*D227</f>
        <v>118672.511</v>
      </c>
      <c r="I227" s="1262"/>
    </row>
    <row r="228" spans="1:9" ht="15.75">
      <c r="A228" s="1250" t="s">
        <v>13053</v>
      </c>
      <c r="B228" s="1274" t="s">
        <v>13054</v>
      </c>
      <c r="C228" s="1275"/>
      <c r="D228" s="1275"/>
      <c r="E228" s="1275"/>
      <c r="F228" s="1275"/>
      <c r="G228" s="1275"/>
      <c r="H228" s="1275"/>
      <c r="I228" s="1276"/>
    </row>
    <row r="229" spans="1:9" ht="15.75">
      <c r="A229" s="1250"/>
      <c r="B229" s="1277" t="s">
        <v>13055</v>
      </c>
      <c r="C229" s="1278"/>
      <c r="D229" s="1278"/>
      <c r="E229" s="1278"/>
      <c r="F229" s="1278"/>
      <c r="G229" s="1278"/>
      <c r="H229" s="1278"/>
      <c r="I229" s="1279"/>
    </row>
    <row r="230" spans="1:9" ht="15.75">
      <c r="A230" s="1250"/>
      <c r="B230" s="1280" t="s">
        <v>13056</v>
      </c>
      <c r="C230" s="1281"/>
      <c r="D230" s="1281"/>
      <c r="E230" s="1281"/>
      <c r="F230" s="1281"/>
      <c r="G230" s="1281"/>
      <c r="H230" s="1281"/>
      <c r="I230" s="1282"/>
    </row>
    <row r="231" spans="1:9" ht="15.75">
      <c r="A231" s="1250"/>
      <c r="B231" s="1283" t="s">
        <v>13057</v>
      </c>
      <c r="C231" s="1284"/>
      <c r="D231" s="1284"/>
      <c r="E231" s="1284"/>
      <c r="F231" s="1284"/>
      <c r="G231" s="1284"/>
      <c r="H231" s="1284"/>
      <c r="I231" s="1284"/>
    </row>
    <row r="232" spans="1:9" ht="15.75">
      <c r="A232" s="1250"/>
      <c r="B232" s="1285" t="s">
        <v>13058</v>
      </c>
      <c r="C232" s="1286"/>
      <c r="D232" s="1286"/>
      <c r="E232" s="1286"/>
      <c r="F232" s="1286"/>
      <c r="G232" s="1286"/>
      <c r="H232" s="1286"/>
      <c r="I232" s="1287"/>
    </row>
    <row r="233" spans="1:9" ht="15.75">
      <c r="A233" s="1269" t="s">
        <v>13059</v>
      </c>
      <c r="B233" s="1270" t="s">
        <v>207</v>
      </c>
      <c r="C233" s="1271" t="s">
        <v>208</v>
      </c>
      <c r="D233" s="1271"/>
      <c r="E233" s="1271"/>
      <c r="F233" s="1272">
        <f>SUM(F235:F251)</f>
        <v>761044</v>
      </c>
      <c r="G233" s="1272">
        <f>SUM(G235:G251)</f>
        <v>6741877.4920000006</v>
      </c>
      <c r="H233" s="1272">
        <f>SUM(H235:H252)</f>
        <v>2772417.4909999999</v>
      </c>
      <c r="I233" s="1273">
        <f>SUM(F233:H233)</f>
        <v>10275338.983000001</v>
      </c>
    </row>
    <row r="234" spans="1:9" ht="15.75">
      <c r="A234" s="1258"/>
      <c r="B234" s="1251" t="s">
        <v>108</v>
      </c>
      <c r="C234" s="1260"/>
      <c r="D234" s="1260"/>
      <c r="E234" s="1260"/>
      <c r="F234" s="1261"/>
      <c r="G234" s="1261"/>
      <c r="H234" s="1261"/>
      <c r="I234" s="1262"/>
    </row>
    <row r="235" spans="1:9" ht="15.75">
      <c r="A235" s="1258"/>
      <c r="B235" s="1259" t="s">
        <v>2677</v>
      </c>
      <c r="C235" s="1260" t="s">
        <v>3127</v>
      </c>
      <c r="D235" s="1261">
        <f>VLOOKUP(B235,[6]VLP!$B$7:$K$381,10,0)</f>
        <v>1864.44</v>
      </c>
      <c r="E235" s="1268">
        <v>100</v>
      </c>
      <c r="F235" s="1261">
        <f t="shared" ref="F235:F242" si="8">E235*D235</f>
        <v>186444</v>
      </c>
      <c r="G235" s="1261"/>
      <c r="H235" s="1261"/>
      <c r="I235" s="1262"/>
    </row>
    <row r="236" spans="1:9" ht="15.75">
      <c r="A236" s="1258"/>
      <c r="B236" s="1259" t="s">
        <v>2681</v>
      </c>
      <c r="C236" s="1260" t="s">
        <v>45</v>
      </c>
      <c r="D236" s="1261">
        <f>VLOOKUP(B236,[6]VLP!$B$7:$K$381,10,0)</f>
        <v>23000</v>
      </c>
      <c r="E236" s="1268">
        <v>4</v>
      </c>
      <c r="F236" s="1261">
        <f t="shared" si="8"/>
        <v>92000</v>
      </c>
      <c r="G236" s="1261"/>
      <c r="H236" s="1261"/>
      <c r="I236" s="1262"/>
    </row>
    <row r="237" spans="1:9" ht="15.75">
      <c r="A237" s="1258"/>
      <c r="B237" s="1259" t="s">
        <v>6316</v>
      </c>
      <c r="C237" s="1260" t="s">
        <v>49</v>
      </c>
      <c r="D237" s="1261">
        <f>VLOOKUP(B237,[6]VLP!$B$7:$K$381,10,0)</f>
        <v>8000</v>
      </c>
      <c r="E237" s="1268">
        <v>1</v>
      </c>
      <c r="F237" s="1261">
        <f t="shared" si="8"/>
        <v>8000</v>
      </c>
      <c r="G237" s="1261"/>
      <c r="H237" s="1261"/>
      <c r="I237" s="1262"/>
    </row>
    <row r="238" spans="1:9" ht="15.75">
      <c r="A238" s="1258"/>
      <c r="B238" s="1259" t="s">
        <v>3195</v>
      </c>
      <c r="C238" s="1260" t="s">
        <v>3144</v>
      </c>
      <c r="D238" s="1261">
        <f>VLOOKUP(B238,[6]VLP!$B$7:$K$381,10,0)</f>
        <v>14000</v>
      </c>
      <c r="E238" s="1268">
        <v>3</v>
      </c>
      <c r="F238" s="1261">
        <f t="shared" si="8"/>
        <v>42000</v>
      </c>
      <c r="G238" s="1261"/>
      <c r="H238" s="1261"/>
      <c r="I238" s="1262"/>
    </row>
    <row r="239" spans="1:9" ht="15.75">
      <c r="A239" s="1258"/>
      <c r="B239" s="1259" t="s">
        <v>7244</v>
      </c>
      <c r="C239" s="1260" t="s">
        <v>49</v>
      </c>
      <c r="D239" s="1261">
        <f>VLOOKUP(B239,[6]VLP!$B$7:$K$381,10,0)</f>
        <v>4500</v>
      </c>
      <c r="E239" s="1268">
        <v>5</v>
      </c>
      <c r="F239" s="1261">
        <f t="shared" si="8"/>
        <v>22500</v>
      </c>
      <c r="G239" s="1261"/>
      <c r="H239" s="1261"/>
      <c r="I239" s="1262"/>
    </row>
    <row r="240" spans="1:9" ht="15.75">
      <c r="A240" s="1258"/>
      <c r="B240" s="1259" t="s">
        <v>12983</v>
      </c>
      <c r="C240" s="1260" t="s">
        <v>49</v>
      </c>
      <c r="D240" s="1261">
        <f>VLOOKUP(B240,[6]VLP!$B$7:$K$381,10,0)</f>
        <v>37800</v>
      </c>
      <c r="E240" s="1268">
        <v>5</v>
      </c>
      <c r="F240" s="1261">
        <f t="shared" si="8"/>
        <v>189000</v>
      </c>
      <c r="G240" s="1261"/>
      <c r="H240" s="1261"/>
      <c r="I240" s="1262"/>
    </row>
    <row r="241" spans="1:9" ht="15.75">
      <c r="A241" s="1258"/>
      <c r="B241" s="1259" t="s">
        <v>12984</v>
      </c>
      <c r="C241" s="1260" t="s">
        <v>49</v>
      </c>
      <c r="D241" s="1261">
        <f>VLOOKUP(B241,[6]VLP!$B$7:$K$381,10,0)</f>
        <v>22110</v>
      </c>
      <c r="E241" s="1268">
        <v>10</v>
      </c>
      <c r="F241" s="1261">
        <f t="shared" si="8"/>
        <v>221100</v>
      </c>
      <c r="G241" s="1261"/>
      <c r="H241" s="1261"/>
      <c r="I241" s="1262"/>
    </row>
    <row r="242" spans="1:9" ht="15.75">
      <c r="A242" s="1258"/>
      <c r="B242" s="1259" t="s">
        <v>13060</v>
      </c>
      <c r="C242" s="1260" t="s">
        <v>49</v>
      </c>
      <c r="D242" s="1261">
        <f>VLOOKUP(B242,[6]VLP!$B$7:$K$381,10,0)</f>
        <v>647100</v>
      </c>
      <c r="E242" s="1268">
        <v>0</v>
      </c>
      <c r="F242" s="1261">
        <f t="shared" si="8"/>
        <v>0</v>
      </c>
      <c r="G242" s="1261"/>
      <c r="H242" s="1261"/>
      <c r="I242" s="1262"/>
    </row>
    <row r="243" spans="1:9" ht="15.75">
      <c r="A243" s="1258"/>
      <c r="B243" s="1251" t="s">
        <v>276</v>
      </c>
      <c r="C243" s="1260"/>
      <c r="D243" s="1260"/>
      <c r="E243" s="1268"/>
      <c r="F243" s="1261"/>
      <c r="G243" s="1261"/>
      <c r="H243" s="1261"/>
      <c r="I243" s="1262"/>
    </row>
    <row r="244" spans="1:9" ht="15.75">
      <c r="A244" s="1258"/>
      <c r="B244" s="1259" t="s">
        <v>7351</v>
      </c>
      <c r="C244" s="1260" t="s">
        <v>2674</v>
      </c>
      <c r="D244" s="1261">
        <f>VLOOKUP(B244,ĐMNC!$H$13:$J$20,3,0)</f>
        <v>294484</v>
      </c>
      <c r="E244" s="1268">
        <v>13.813000000000001</v>
      </c>
      <c r="F244" s="1261"/>
      <c r="G244" s="1261">
        <f>E244*D244</f>
        <v>4067707.4920000001</v>
      </c>
      <c r="H244" s="1261"/>
      <c r="I244" s="1262"/>
    </row>
    <row r="245" spans="1:9" ht="15.75">
      <c r="A245" s="1258"/>
      <c r="B245" s="1259" t="s">
        <v>5402</v>
      </c>
      <c r="C245" s="1260" t="s">
        <v>2674</v>
      </c>
      <c r="D245" s="1261">
        <f>VLOOKUP(B245,ĐMNC!$A$7:$F$67,4,0)</f>
        <v>297130</v>
      </c>
      <c r="E245" s="1268">
        <v>9</v>
      </c>
      <c r="F245" s="1261"/>
      <c r="G245" s="1261">
        <f>E245*D245</f>
        <v>2674170</v>
      </c>
      <c r="H245" s="1261"/>
      <c r="I245" s="1262"/>
    </row>
    <row r="246" spans="1:9" ht="15.75">
      <c r="A246" s="1258"/>
      <c r="B246" s="1251" t="s">
        <v>3914</v>
      </c>
      <c r="C246" s="1260"/>
      <c r="D246" s="1260"/>
      <c r="E246" s="1268"/>
      <c r="F246" s="1261"/>
      <c r="G246" s="1261"/>
      <c r="H246" s="1261"/>
      <c r="I246" s="1262"/>
    </row>
    <row r="247" spans="1:9" ht="15.75">
      <c r="A247" s="1258" t="s">
        <v>9075</v>
      </c>
      <c r="B247" s="1259" t="s">
        <v>2679</v>
      </c>
      <c r="C247" s="1260" t="s">
        <v>2673</v>
      </c>
      <c r="D247" s="1261">
        <f>VLOOKUP(A247,[6]MTC!$B$9:$S$920,13,0)</f>
        <v>40128</v>
      </c>
      <c r="E247" s="1268">
        <v>0.125</v>
      </c>
      <c r="F247" s="1261"/>
      <c r="G247" s="1261"/>
      <c r="H247" s="1261">
        <f t="shared" ref="H247:H252" si="9">E247*D247</f>
        <v>5016</v>
      </c>
      <c r="I247" s="1262"/>
    </row>
    <row r="248" spans="1:9" ht="15.75">
      <c r="A248" s="1258" t="s">
        <v>9038</v>
      </c>
      <c r="B248" s="1259" t="s">
        <v>9039</v>
      </c>
      <c r="C248" s="1260" t="s">
        <v>2673</v>
      </c>
      <c r="D248" s="1261">
        <f>VLOOKUP(A248,[6]MTC!$B$9:$S$920,13,0)</f>
        <v>796170</v>
      </c>
      <c r="E248" s="1268">
        <v>0.125</v>
      </c>
      <c r="F248" s="1261"/>
      <c r="G248" s="1261"/>
      <c r="H248" s="1261">
        <f t="shared" si="9"/>
        <v>99521.25</v>
      </c>
      <c r="I248" s="1262"/>
    </row>
    <row r="249" spans="1:9" ht="15.75">
      <c r="A249" s="1258" t="s">
        <v>9044</v>
      </c>
      <c r="B249" s="1259" t="s">
        <v>12985</v>
      </c>
      <c r="C249" s="1260" t="s">
        <v>2673</v>
      </c>
      <c r="D249" s="1261">
        <f>VLOOKUP(A249,[6]MTC!$B$9:$S$920,13,0)</f>
        <v>403740</v>
      </c>
      <c r="E249" s="1268">
        <v>1.6879999999999999</v>
      </c>
      <c r="F249" s="1261"/>
      <c r="G249" s="1261"/>
      <c r="H249" s="1261">
        <f t="shared" si="9"/>
        <v>681513.12</v>
      </c>
      <c r="I249" s="1262"/>
    </row>
    <row r="250" spans="1:9" ht="15.75">
      <c r="A250" s="1258" t="s">
        <v>9055</v>
      </c>
      <c r="B250" s="1259" t="s">
        <v>9056</v>
      </c>
      <c r="C250" s="1260" t="s">
        <v>2673</v>
      </c>
      <c r="D250" s="1261">
        <f>VLOOKUP(A250,[6]MTC!$B$9:$S$920,13,0)</f>
        <v>29093</v>
      </c>
      <c r="E250" s="1268">
        <v>1.6879999999999999</v>
      </c>
      <c r="F250" s="1261"/>
      <c r="G250" s="1261"/>
      <c r="H250" s="1261">
        <f t="shared" si="9"/>
        <v>49108.983999999997</v>
      </c>
      <c r="I250" s="1262"/>
    </row>
    <row r="251" spans="1:9" ht="15.75">
      <c r="A251" s="1258" t="s">
        <v>4993</v>
      </c>
      <c r="B251" s="1259" t="s">
        <v>4994</v>
      </c>
      <c r="C251" s="1260" t="s">
        <v>2673</v>
      </c>
      <c r="D251" s="1261">
        <f>VLOOKUP(A251,[6]MTC!$B$9:$S$920,13,0)</f>
        <v>1333399</v>
      </c>
      <c r="E251" s="1268">
        <v>1.4379999999999999</v>
      </c>
      <c r="F251" s="1261"/>
      <c r="G251" s="1261"/>
      <c r="H251" s="1261">
        <f t="shared" si="9"/>
        <v>1917427.7619999999</v>
      </c>
      <c r="I251" s="1262"/>
    </row>
    <row r="252" spans="1:9" ht="15.75">
      <c r="A252" s="1258" t="s">
        <v>8936</v>
      </c>
      <c r="B252" s="1259" t="s">
        <v>8937</v>
      </c>
      <c r="C252" s="1260" t="s">
        <v>2673</v>
      </c>
      <c r="D252" s="1261">
        <f>VLOOKUP(A252,[6]MTC!$B$9:$S$920,13,0)</f>
        <v>17627</v>
      </c>
      <c r="E252" s="1268">
        <v>1.125</v>
      </c>
      <c r="F252" s="1261"/>
      <c r="G252" s="1261"/>
      <c r="H252" s="1261">
        <f t="shared" si="9"/>
        <v>19830.375</v>
      </c>
      <c r="I252" s="1262"/>
    </row>
    <row r="253" spans="1:9" ht="15.75">
      <c r="A253" s="1250" t="s">
        <v>13061</v>
      </c>
      <c r="B253" s="1251" t="s">
        <v>13062</v>
      </c>
      <c r="C253" s="1252"/>
      <c r="D253" s="1252"/>
      <c r="E253" s="1252"/>
      <c r="F253" s="1254"/>
      <c r="G253" s="1254"/>
      <c r="H253" s="1254"/>
      <c r="I253" s="1255"/>
    </row>
    <row r="254" spans="1:9" ht="15.75">
      <c r="A254" s="1250"/>
      <c r="B254" s="1256" t="s">
        <v>13011</v>
      </c>
      <c r="C254" s="1252"/>
      <c r="D254" s="1252"/>
      <c r="E254" s="1252"/>
      <c r="F254" s="1254"/>
      <c r="G254" s="1254"/>
      <c r="H254" s="1254"/>
      <c r="I254" s="1255"/>
    </row>
    <row r="255" spans="1:9" ht="15.75">
      <c r="A255" s="1250"/>
      <c r="B255" s="1257" t="s">
        <v>13063</v>
      </c>
      <c r="C255" s="1252"/>
      <c r="D255" s="1252"/>
      <c r="E255" s="1252"/>
      <c r="F255" s="1254"/>
      <c r="G255" s="1254"/>
      <c r="H255" s="1254"/>
      <c r="I255" s="1255"/>
    </row>
    <row r="256" spans="1:9" ht="15.75">
      <c r="A256" s="1250"/>
      <c r="B256" s="1257" t="s">
        <v>13064</v>
      </c>
      <c r="C256" s="1252"/>
      <c r="D256" s="1252"/>
      <c r="E256" s="1252"/>
      <c r="F256" s="1254"/>
      <c r="G256" s="1254"/>
      <c r="H256" s="1254"/>
      <c r="I256" s="1255"/>
    </row>
    <row r="257" spans="1:9" ht="15.75">
      <c r="A257" s="1250"/>
      <c r="B257" s="1257" t="s">
        <v>13065</v>
      </c>
      <c r="C257" s="1252"/>
      <c r="D257" s="1252"/>
      <c r="E257" s="1252"/>
      <c r="F257" s="1254"/>
      <c r="G257" s="1254"/>
      <c r="H257" s="1254"/>
      <c r="I257" s="1255"/>
    </row>
    <row r="258" spans="1:9" ht="15.75">
      <c r="A258" s="1250" t="s">
        <v>13066</v>
      </c>
      <c r="B258" s="1251" t="s">
        <v>13067</v>
      </c>
      <c r="C258" s="1252"/>
      <c r="D258" s="1252"/>
      <c r="E258" s="1252"/>
      <c r="F258" s="1254"/>
      <c r="G258" s="1254"/>
      <c r="H258" s="1254"/>
      <c r="I258" s="1255"/>
    </row>
    <row r="259" spans="1:9" ht="15.75">
      <c r="A259" s="1269" t="s">
        <v>13068</v>
      </c>
      <c r="B259" s="1270" t="s">
        <v>13069</v>
      </c>
      <c r="C259" s="1271" t="s">
        <v>51</v>
      </c>
      <c r="D259" s="1271"/>
      <c r="E259" s="1271"/>
      <c r="F259" s="1272">
        <f>SUM(F261:F271)</f>
        <v>7318.8598400000001</v>
      </c>
      <c r="G259" s="1272">
        <f>SUM(G261:G271)</f>
        <v>199820.03999999998</v>
      </c>
      <c r="H259" s="1272">
        <f>SUM(H261:H271)</f>
        <v>31324.22</v>
      </c>
      <c r="I259" s="1273">
        <f>SUM(F259:H259)</f>
        <v>238463.11983999997</v>
      </c>
    </row>
    <row r="260" spans="1:9" ht="15.75">
      <c r="A260" s="1258"/>
      <c r="B260" s="1251" t="s">
        <v>108</v>
      </c>
      <c r="C260" s="1260"/>
      <c r="D260" s="1260"/>
      <c r="E260" s="1260"/>
      <c r="F260" s="1261"/>
      <c r="G260" s="1261"/>
      <c r="H260" s="1261"/>
      <c r="I260" s="1262"/>
    </row>
    <row r="261" spans="1:9" ht="15.75">
      <c r="A261" s="1258"/>
      <c r="B261" s="1259" t="s">
        <v>2677</v>
      </c>
      <c r="C261" s="1260" t="s">
        <v>3127</v>
      </c>
      <c r="D261" s="1261">
        <f>VLOOKUP(B261,[6]VLP!$B$7:$K$381,10,0)</f>
        <v>1864.44</v>
      </c>
      <c r="E261" s="1268">
        <v>1.536</v>
      </c>
      <c r="F261" s="1261">
        <f>E261*D261</f>
        <v>2863.7798400000001</v>
      </c>
      <c r="G261" s="1261"/>
      <c r="H261" s="1261"/>
      <c r="I261" s="1262"/>
    </row>
    <row r="262" spans="1:9" ht="15.75">
      <c r="A262" s="1258"/>
      <c r="B262" s="1259" t="s">
        <v>3188</v>
      </c>
      <c r="C262" s="1260" t="s">
        <v>49</v>
      </c>
      <c r="D262" s="1261">
        <f>VLOOKUP(B262,[6]VLP!$B$7:$K$381,10,0)</f>
        <v>20040</v>
      </c>
      <c r="E262" s="1268">
        <v>0.10199999999999999</v>
      </c>
      <c r="F262" s="1261">
        <f>E262*D262</f>
        <v>2044.08</v>
      </c>
      <c r="G262" s="1261"/>
      <c r="H262" s="1261"/>
      <c r="I262" s="1262"/>
    </row>
    <row r="263" spans="1:9" ht="15.75">
      <c r="A263" s="1258"/>
      <c r="B263" s="1259" t="s">
        <v>2682</v>
      </c>
      <c r="C263" s="1260" t="s">
        <v>45</v>
      </c>
      <c r="D263" s="1261">
        <f>VLOOKUP(B263,[6]VLP!$B$7:$K$381,10,0)</f>
        <v>5000</v>
      </c>
      <c r="E263" s="1268">
        <v>5.0999999999999997E-2</v>
      </c>
      <c r="F263" s="1261">
        <f>E263*D263</f>
        <v>254.99999999999997</v>
      </c>
      <c r="G263" s="1261"/>
      <c r="H263" s="1261"/>
      <c r="I263" s="1262"/>
    </row>
    <row r="264" spans="1:9" ht="15.75">
      <c r="A264" s="1258"/>
      <c r="B264" s="1259" t="s">
        <v>3195</v>
      </c>
      <c r="C264" s="1260" t="s">
        <v>3144</v>
      </c>
      <c r="D264" s="1261">
        <f>VLOOKUP(B264,[6]VLP!$B$7:$K$381,10,0)</f>
        <v>14000</v>
      </c>
      <c r="E264" s="1268">
        <v>0.154</v>
      </c>
      <c r="F264" s="1261">
        <f>E264*D264</f>
        <v>2156</v>
      </c>
      <c r="G264" s="1261"/>
      <c r="H264" s="1261"/>
      <c r="I264" s="1262"/>
    </row>
    <row r="265" spans="1:9" ht="15.75">
      <c r="A265" s="1258"/>
      <c r="B265" s="1251" t="s">
        <v>276</v>
      </c>
      <c r="C265" s="1260"/>
      <c r="D265" s="1260"/>
      <c r="E265" s="1268"/>
      <c r="F265" s="1261"/>
      <c r="G265" s="1261"/>
      <c r="H265" s="1261"/>
      <c r="I265" s="1262"/>
    </row>
    <row r="266" spans="1:9" ht="15.75">
      <c r="A266" s="1258"/>
      <c r="B266" s="1259" t="s">
        <v>2680</v>
      </c>
      <c r="C266" s="1260" t="s">
        <v>2674</v>
      </c>
      <c r="D266" s="1261">
        <f>VLOOKUP(B266,ĐMNC!$H$13:$J$20,3,0)</f>
        <v>223524</v>
      </c>
      <c r="E266" s="1268">
        <v>0.6</v>
      </c>
      <c r="F266" s="1261"/>
      <c r="G266" s="1261">
        <f>E266*D266</f>
        <v>134114.4</v>
      </c>
      <c r="H266" s="1261"/>
      <c r="I266" s="1262"/>
    </row>
    <row r="267" spans="1:9" ht="15.75">
      <c r="A267" s="1258"/>
      <c r="B267" s="1259" t="s">
        <v>4008</v>
      </c>
      <c r="C267" s="1260" t="s">
        <v>2674</v>
      </c>
      <c r="D267" s="1261">
        <f>VLOOKUP(B267,ĐMNC!$A$7:$F$67,4,0)</f>
        <v>252714</v>
      </c>
      <c r="E267" s="1268">
        <v>0.26</v>
      </c>
      <c r="F267" s="1261"/>
      <c r="G267" s="1261">
        <f>E267*D267</f>
        <v>65705.64</v>
      </c>
      <c r="H267" s="1261"/>
      <c r="I267" s="1262"/>
    </row>
    <row r="268" spans="1:9" ht="15.75">
      <c r="A268" s="1258"/>
      <c r="B268" s="1251" t="s">
        <v>3914</v>
      </c>
      <c r="C268" s="1260"/>
      <c r="D268" s="1260"/>
      <c r="E268" s="1268"/>
      <c r="F268" s="1261"/>
      <c r="G268" s="1261"/>
      <c r="H268" s="1261"/>
      <c r="I268" s="1262"/>
    </row>
    <row r="269" spans="1:9" ht="15.75">
      <c r="A269" s="1258" t="s">
        <v>9078</v>
      </c>
      <c r="B269" s="1259" t="s">
        <v>9079</v>
      </c>
      <c r="C269" s="1260" t="s">
        <v>2673</v>
      </c>
      <c r="D269" s="1261">
        <f>VLOOKUP(A269,[6]MTC!$B$9:$S$920,13,0)</f>
        <v>397538</v>
      </c>
      <c r="E269" s="1268">
        <v>0.05</v>
      </c>
      <c r="F269" s="1261"/>
      <c r="G269" s="1261"/>
      <c r="H269" s="1261">
        <f>E269*D269</f>
        <v>19876.900000000001</v>
      </c>
      <c r="I269" s="1262"/>
    </row>
    <row r="270" spans="1:9" ht="15.75">
      <c r="A270" s="1258" t="s">
        <v>9075</v>
      </c>
      <c r="B270" s="1259" t="s">
        <v>2679</v>
      </c>
      <c r="C270" s="1260" t="s">
        <v>2673</v>
      </c>
      <c r="D270" s="1261">
        <f>VLOOKUP(A270,[6]MTC!$B$9:$S$920,13,0)</f>
        <v>40128</v>
      </c>
      <c r="E270" s="1268">
        <v>6.9000000000000006E-2</v>
      </c>
      <c r="F270" s="1261"/>
      <c r="G270" s="1261"/>
      <c r="H270" s="1261">
        <f>E270*D270</f>
        <v>2768.8320000000003</v>
      </c>
      <c r="I270" s="1262"/>
    </row>
    <row r="271" spans="1:9" ht="15.75">
      <c r="A271" s="1258" t="s">
        <v>9059</v>
      </c>
      <c r="B271" s="1259" t="s">
        <v>2688</v>
      </c>
      <c r="C271" s="1260" t="s">
        <v>2673</v>
      </c>
      <c r="D271" s="1261">
        <f>VLOOKUP(A271,[6]MTC!$B$9:$S$920,13,0)</f>
        <v>83447</v>
      </c>
      <c r="E271" s="1268">
        <v>0.104</v>
      </c>
      <c r="F271" s="1261"/>
      <c r="G271" s="1261"/>
      <c r="H271" s="1261">
        <f>E271*D271</f>
        <v>8678.4879999999994</v>
      </c>
      <c r="I271" s="1262"/>
    </row>
    <row r="272" spans="1:9" ht="15.75">
      <c r="A272" s="1269" t="s">
        <v>13070</v>
      </c>
      <c r="B272" s="1270" t="s">
        <v>13071</v>
      </c>
      <c r="C272" s="1271" t="s">
        <v>51</v>
      </c>
      <c r="D272" s="1271"/>
      <c r="E272" s="1271"/>
      <c r="F272" s="1272">
        <f>SUM(F274:F284)</f>
        <v>9152.8447999999989</v>
      </c>
      <c r="G272" s="1272">
        <f>SUM(G274:G284)</f>
        <v>264158.15999999997</v>
      </c>
      <c r="H272" s="1272">
        <f>SUM(H274:H284)</f>
        <v>39507.714999999997</v>
      </c>
      <c r="I272" s="1273">
        <f>SUM(F272:H272)</f>
        <v>312818.71979999996</v>
      </c>
    </row>
    <row r="273" spans="1:9" ht="15.75">
      <c r="A273" s="1258"/>
      <c r="B273" s="1251" t="s">
        <v>108</v>
      </c>
      <c r="C273" s="1260"/>
      <c r="D273" s="1260"/>
      <c r="E273" s="1260"/>
      <c r="F273" s="1261"/>
      <c r="G273" s="1261"/>
      <c r="H273" s="1261"/>
      <c r="I273" s="1262"/>
    </row>
    <row r="274" spans="1:9" ht="15.75">
      <c r="A274" s="1258"/>
      <c r="B274" s="1259" t="s">
        <v>2677</v>
      </c>
      <c r="C274" s="1260" t="s">
        <v>3127</v>
      </c>
      <c r="D274" s="1261">
        <f>VLOOKUP(B274,[6]VLP!$B$7:$K$381,10,0)</f>
        <v>1864.44</v>
      </c>
      <c r="E274" s="1268">
        <v>1.92</v>
      </c>
      <c r="F274" s="1261">
        <f>E274*D274</f>
        <v>3579.7248</v>
      </c>
      <c r="G274" s="1261"/>
      <c r="H274" s="1261"/>
      <c r="I274" s="1262"/>
    </row>
    <row r="275" spans="1:9" ht="15.75">
      <c r="A275" s="1258"/>
      <c r="B275" s="1259" t="s">
        <v>3188</v>
      </c>
      <c r="C275" s="1260" t="s">
        <v>49</v>
      </c>
      <c r="D275" s="1261">
        <f>VLOOKUP(B275,[6]VLP!$B$7:$K$381,10,0)</f>
        <v>20040</v>
      </c>
      <c r="E275" s="1268">
        <v>0.128</v>
      </c>
      <c r="F275" s="1261">
        <f>E275*D275</f>
        <v>2565.12</v>
      </c>
      <c r="G275" s="1261"/>
      <c r="H275" s="1261"/>
      <c r="I275" s="1262"/>
    </row>
    <row r="276" spans="1:9" ht="15.75">
      <c r="A276" s="1258"/>
      <c r="B276" s="1259" t="s">
        <v>2682</v>
      </c>
      <c r="C276" s="1260" t="s">
        <v>45</v>
      </c>
      <c r="D276" s="1261">
        <f>VLOOKUP(B276,[6]VLP!$B$7:$K$381,10,0)</f>
        <v>5000</v>
      </c>
      <c r="E276" s="1268">
        <v>6.4000000000000001E-2</v>
      </c>
      <c r="F276" s="1261">
        <f>E276*D276</f>
        <v>320</v>
      </c>
      <c r="G276" s="1261"/>
      <c r="H276" s="1261"/>
      <c r="I276" s="1262"/>
    </row>
    <row r="277" spans="1:9" ht="15.75">
      <c r="A277" s="1258"/>
      <c r="B277" s="1259" t="s">
        <v>3195</v>
      </c>
      <c r="C277" s="1260" t="s">
        <v>3144</v>
      </c>
      <c r="D277" s="1261">
        <f>VLOOKUP(B277,[6]VLP!$B$7:$K$381,10,0)</f>
        <v>14000</v>
      </c>
      <c r="E277" s="1268">
        <v>0.192</v>
      </c>
      <c r="F277" s="1261">
        <f>E277*D277</f>
        <v>2688</v>
      </c>
      <c r="G277" s="1261"/>
      <c r="H277" s="1261"/>
      <c r="I277" s="1262"/>
    </row>
    <row r="278" spans="1:9" ht="15.75">
      <c r="A278" s="1258"/>
      <c r="B278" s="1251" t="s">
        <v>276</v>
      </c>
      <c r="C278" s="1260"/>
      <c r="D278" s="1260"/>
      <c r="E278" s="1268"/>
      <c r="F278" s="1261"/>
      <c r="G278" s="1261"/>
      <c r="H278" s="1261"/>
      <c r="I278" s="1262"/>
    </row>
    <row r="279" spans="1:9" ht="15.75">
      <c r="A279" s="1258"/>
      <c r="B279" s="1259" t="s">
        <v>2680</v>
      </c>
      <c r="C279" s="1260" t="s">
        <v>2674</v>
      </c>
      <c r="D279" s="1261">
        <f>VLOOKUP(B279,ĐMNC!$H$13:$J$20,3,0)</f>
        <v>223524</v>
      </c>
      <c r="E279" s="1268">
        <v>0.82</v>
      </c>
      <c r="F279" s="1261"/>
      <c r="G279" s="1261">
        <f>E279*D279</f>
        <v>183289.68</v>
      </c>
      <c r="H279" s="1261"/>
      <c r="I279" s="1262"/>
    </row>
    <row r="280" spans="1:9" ht="15.75">
      <c r="A280" s="1258"/>
      <c r="B280" s="1259" t="s">
        <v>4008</v>
      </c>
      <c r="C280" s="1260" t="s">
        <v>2674</v>
      </c>
      <c r="D280" s="1261">
        <f>VLOOKUP(B280,ĐMNC!$A$7:$F$67,4,0)</f>
        <v>252714</v>
      </c>
      <c r="E280" s="1268">
        <v>0.32</v>
      </c>
      <c r="F280" s="1261"/>
      <c r="G280" s="1261">
        <f>E280*D280</f>
        <v>80868.479999999996</v>
      </c>
      <c r="H280" s="1261"/>
      <c r="I280" s="1262"/>
    </row>
    <row r="281" spans="1:9" ht="15.75">
      <c r="A281" s="1258"/>
      <c r="B281" s="1251" t="s">
        <v>3914</v>
      </c>
      <c r="C281" s="1260"/>
      <c r="D281" s="1260"/>
      <c r="E281" s="1268"/>
      <c r="F281" s="1261"/>
      <c r="G281" s="1261"/>
      <c r="H281" s="1261"/>
      <c r="I281" s="1262"/>
    </row>
    <row r="282" spans="1:9" ht="15.75">
      <c r="A282" s="1258" t="s">
        <v>9078</v>
      </c>
      <c r="B282" s="1259" t="s">
        <v>9079</v>
      </c>
      <c r="C282" s="1260" t="s">
        <v>2673</v>
      </c>
      <c r="D282" s="1261">
        <f>VLOOKUP(A282,[6]MTC!$B$9:$S$920,13,0)</f>
        <v>397538</v>
      </c>
      <c r="E282" s="1268">
        <v>6.3E-2</v>
      </c>
      <c r="F282" s="1261"/>
      <c r="G282" s="1261"/>
      <c r="H282" s="1261">
        <f>E282*D282</f>
        <v>25044.894</v>
      </c>
      <c r="I282" s="1262"/>
    </row>
    <row r="283" spans="1:9" ht="15.75">
      <c r="A283" s="1258" t="s">
        <v>9075</v>
      </c>
      <c r="B283" s="1259" t="s">
        <v>2679</v>
      </c>
      <c r="C283" s="1260" t="s">
        <v>2673</v>
      </c>
      <c r="D283" s="1261">
        <f>VLOOKUP(A283,[6]MTC!$B$9:$S$920,13,0)</f>
        <v>40128</v>
      </c>
      <c r="E283" s="1268">
        <v>8.7999999999999995E-2</v>
      </c>
      <c r="F283" s="1261"/>
      <c r="G283" s="1261"/>
      <c r="H283" s="1261">
        <f>E283*D283</f>
        <v>3531.2639999999997</v>
      </c>
      <c r="I283" s="1262"/>
    </row>
    <row r="284" spans="1:9" ht="15.75">
      <c r="A284" s="1258" t="s">
        <v>9059</v>
      </c>
      <c r="B284" s="1259" t="s">
        <v>2688</v>
      </c>
      <c r="C284" s="1260" t="s">
        <v>2673</v>
      </c>
      <c r="D284" s="1261">
        <f>VLOOKUP(A284,[6]MTC!$B$9:$S$920,13,0)</f>
        <v>83447</v>
      </c>
      <c r="E284" s="1268">
        <v>0.13100000000000001</v>
      </c>
      <c r="F284" s="1261"/>
      <c r="G284" s="1261"/>
      <c r="H284" s="1261">
        <f>E284*D284</f>
        <v>10931.557000000001</v>
      </c>
      <c r="I284" s="1262"/>
    </row>
    <row r="285" spans="1:9" ht="15.75">
      <c r="A285" s="1269" t="s">
        <v>13072</v>
      </c>
      <c r="B285" s="1270" t="s">
        <v>13073</v>
      </c>
      <c r="C285" s="1271" t="s">
        <v>51</v>
      </c>
      <c r="D285" s="1271"/>
      <c r="E285" s="1271"/>
      <c r="F285" s="1272">
        <f>SUM(F287:F297)</f>
        <v>11441.056</v>
      </c>
      <c r="G285" s="1272">
        <f>SUM(G287:G297)</f>
        <v>354543.42000000004</v>
      </c>
      <c r="H285" s="1272">
        <f>SUM(H287:H297)</f>
        <v>49341.187000000005</v>
      </c>
      <c r="I285" s="1273">
        <f>SUM(F285:H285)</f>
        <v>415325.66300000006</v>
      </c>
    </row>
    <row r="286" spans="1:9" ht="15.75">
      <c r="A286" s="1258"/>
      <c r="B286" s="1251" t="s">
        <v>108</v>
      </c>
      <c r="C286" s="1260"/>
      <c r="D286" s="1260"/>
      <c r="E286" s="1260"/>
      <c r="F286" s="1261"/>
      <c r="G286" s="1261"/>
      <c r="H286" s="1261"/>
      <c r="I286" s="1262"/>
    </row>
    <row r="287" spans="1:9" ht="15.75">
      <c r="A287" s="1258"/>
      <c r="B287" s="1259" t="s">
        <v>2677</v>
      </c>
      <c r="C287" s="1260" t="s">
        <v>3127</v>
      </c>
      <c r="D287" s="1261">
        <f>VLOOKUP(B287,[6]VLP!$B$7:$K$381,10,0)</f>
        <v>1864.44</v>
      </c>
      <c r="E287" s="1268">
        <v>2.4</v>
      </c>
      <c r="F287" s="1261">
        <f>E287*D287</f>
        <v>4474.6559999999999</v>
      </c>
      <c r="G287" s="1261"/>
      <c r="H287" s="1261"/>
      <c r="I287" s="1262"/>
    </row>
    <row r="288" spans="1:9" ht="15.75">
      <c r="A288" s="1258"/>
      <c r="B288" s="1259" t="s">
        <v>3188</v>
      </c>
      <c r="C288" s="1260" t="s">
        <v>49</v>
      </c>
      <c r="D288" s="1261">
        <f>VLOOKUP(B288,[6]VLP!$B$7:$K$381,10,0)</f>
        <v>20040</v>
      </c>
      <c r="E288" s="1268">
        <v>0.16</v>
      </c>
      <c r="F288" s="1261">
        <f>E288*D288</f>
        <v>3206.4</v>
      </c>
      <c r="G288" s="1261"/>
      <c r="H288" s="1261"/>
      <c r="I288" s="1262"/>
    </row>
    <row r="289" spans="1:9" ht="15.75">
      <c r="A289" s="1258"/>
      <c r="B289" s="1259" t="s">
        <v>2682</v>
      </c>
      <c r="C289" s="1260" t="s">
        <v>45</v>
      </c>
      <c r="D289" s="1261">
        <f>VLOOKUP(B289,[6]VLP!$B$7:$K$381,10,0)</f>
        <v>5000</v>
      </c>
      <c r="E289" s="1268">
        <v>0.08</v>
      </c>
      <c r="F289" s="1261">
        <f>E289*D289</f>
        <v>400</v>
      </c>
      <c r="G289" s="1261"/>
      <c r="H289" s="1261"/>
      <c r="I289" s="1262"/>
    </row>
    <row r="290" spans="1:9" ht="15.75">
      <c r="A290" s="1258"/>
      <c r="B290" s="1259" t="s">
        <v>3195</v>
      </c>
      <c r="C290" s="1260" t="s">
        <v>3144</v>
      </c>
      <c r="D290" s="1261">
        <f>VLOOKUP(B290,[6]VLP!$B$7:$K$381,10,0)</f>
        <v>14000</v>
      </c>
      <c r="E290" s="1268">
        <v>0.24</v>
      </c>
      <c r="F290" s="1261">
        <f>E290*D290</f>
        <v>3360</v>
      </c>
      <c r="G290" s="1261"/>
      <c r="H290" s="1261"/>
      <c r="I290" s="1262"/>
    </row>
    <row r="291" spans="1:9" ht="15.75">
      <c r="A291" s="1258"/>
      <c r="B291" s="1251" t="s">
        <v>276</v>
      </c>
      <c r="C291" s="1260"/>
      <c r="D291" s="1260"/>
      <c r="E291" s="1268"/>
      <c r="F291" s="1261"/>
      <c r="G291" s="1261"/>
      <c r="H291" s="1261"/>
      <c r="I291" s="1262"/>
    </row>
    <row r="292" spans="1:9" ht="15.75">
      <c r="A292" s="1258"/>
      <c r="B292" s="1259" t="s">
        <v>2680</v>
      </c>
      <c r="C292" s="1260" t="s">
        <v>2674</v>
      </c>
      <c r="D292" s="1261">
        <f>VLOOKUP(B292,ĐMNC!$H$13:$J$20,3,0)</f>
        <v>223524</v>
      </c>
      <c r="E292" s="1268">
        <v>1.1000000000000001</v>
      </c>
      <c r="F292" s="1261"/>
      <c r="G292" s="1261">
        <f>E292*D292</f>
        <v>245876.40000000002</v>
      </c>
      <c r="H292" s="1261"/>
      <c r="I292" s="1262"/>
    </row>
    <row r="293" spans="1:9" ht="15.75">
      <c r="A293" s="1258"/>
      <c r="B293" s="1259" t="s">
        <v>4008</v>
      </c>
      <c r="C293" s="1260" t="s">
        <v>2674</v>
      </c>
      <c r="D293" s="1261">
        <f>VLOOKUP(B293,ĐMNC!$A$7:$F$67,4,0)</f>
        <v>252714</v>
      </c>
      <c r="E293" s="1268">
        <v>0.43</v>
      </c>
      <c r="F293" s="1261"/>
      <c r="G293" s="1261">
        <f>E293*D293</f>
        <v>108667.02</v>
      </c>
      <c r="H293" s="1261"/>
      <c r="I293" s="1262"/>
    </row>
    <row r="294" spans="1:9" ht="15.75">
      <c r="A294" s="1258"/>
      <c r="B294" s="1251" t="s">
        <v>3914</v>
      </c>
      <c r="C294" s="1260"/>
      <c r="D294" s="1260"/>
      <c r="E294" s="1268"/>
      <c r="F294" s="1261"/>
      <c r="G294" s="1261"/>
      <c r="H294" s="1261"/>
      <c r="I294" s="1262"/>
    </row>
    <row r="295" spans="1:9" ht="15.75">
      <c r="A295" s="1258" t="s">
        <v>9078</v>
      </c>
      <c r="B295" s="1259" t="s">
        <v>9079</v>
      </c>
      <c r="C295" s="1260" t="s">
        <v>2673</v>
      </c>
      <c r="D295" s="1261">
        <f>VLOOKUP(A295,[6]MTC!$B$9:$S$920,13,0)</f>
        <v>397538</v>
      </c>
      <c r="E295" s="1268">
        <v>7.9000000000000001E-2</v>
      </c>
      <c r="F295" s="1261"/>
      <c r="G295" s="1261"/>
      <c r="H295" s="1261">
        <f>E295*D295</f>
        <v>31405.502</v>
      </c>
      <c r="I295" s="1262"/>
    </row>
    <row r="296" spans="1:9" ht="15.75">
      <c r="A296" s="1258" t="s">
        <v>9075</v>
      </c>
      <c r="B296" s="1259" t="s">
        <v>2679</v>
      </c>
      <c r="C296" s="1260" t="s">
        <v>2673</v>
      </c>
      <c r="D296" s="1261">
        <f>VLOOKUP(A296,[6]MTC!$B$9:$S$920,13,0)</f>
        <v>40128</v>
      </c>
      <c r="E296" s="1268">
        <v>0.108</v>
      </c>
      <c r="F296" s="1261"/>
      <c r="G296" s="1261"/>
      <c r="H296" s="1261">
        <f>E296*D296</f>
        <v>4333.8239999999996</v>
      </c>
      <c r="I296" s="1262"/>
    </row>
    <row r="297" spans="1:9" ht="15.75">
      <c r="A297" s="1258" t="s">
        <v>9059</v>
      </c>
      <c r="B297" s="1259" t="s">
        <v>2688</v>
      </c>
      <c r="C297" s="1260" t="s">
        <v>2673</v>
      </c>
      <c r="D297" s="1261">
        <f>VLOOKUP(A297,[6]MTC!$B$9:$S$920,13,0)</f>
        <v>83447</v>
      </c>
      <c r="E297" s="1268">
        <v>0.16300000000000001</v>
      </c>
      <c r="F297" s="1261"/>
      <c r="G297" s="1261"/>
      <c r="H297" s="1261">
        <f>E297*D297</f>
        <v>13601.861000000001</v>
      </c>
      <c r="I297" s="1262"/>
    </row>
    <row r="298" spans="1:9" ht="15.75">
      <c r="A298" s="1269" t="s">
        <v>13074</v>
      </c>
      <c r="B298" s="1270" t="s">
        <v>13075</v>
      </c>
      <c r="C298" s="1271" t="s">
        <v>51</v>
      </c>
      <c r="D298" s="1271"/>
      <c r="E298" s="1271"/>
      <c r="F298" s="1272">
        <f>SUM(F300:F310)</f>
        <v>14301.32</v>
      </c>
      <c r="G298" s="1272">
        <f>SUM(G300:G310)</f>
        <v>458923.92</v>
      </c>
      <c r="H298" s="1272">
        <f>SUM(H300:H310)</f>
        <v>62194.267999999996</v>
      </c>
      <c r="I298" s="1273">
        <f>SUM(F298:H298)</f>
        <v>535419.50800000003</v>
      </c>
    </row>
    <row r="299" spans="1:9" ht="15.75">
      <c r="A299" s="1258"/>
      <c r="B299" s="1251" t="s">
        <v>108</v>
      </c>
      <c r="C299" s="1260"/>
      <c r="D299" s="1260"/>
      <c r="E299" s="1260"/>
      <c r="F299" s="1261"/>
      <c r="G299" s="1261"/>
      <c r="H299" s="1261"/>
      <c r="I299" s="1262"/>
    </row>
    <row r="300" spans="1:9" ht="15.75">
      <c r="A300" s="1258"/>
      <c r="B300" s="1259" t="s">
        <v>2677</v>
      </c>
      <c r="C300" s="1260" t="s">
        <v>3127</v>
      </c>
      <c r="D300" s="1261">
        <f>VLOOKUP(B300,[6]VLP!$B$7:$K$381,10,0)</f>
        <v>1864.44</v>
      </c>
      <c r="E300" s="1268">
        <v>3</v>
      </c>
      <c r="F300" s="1261">
        <f>E300*D300</f>
        <v>5593.32</v>
      </c>
      <c r="G300" s="1261"/>
      <c r="H300" s="1261"/>
      <c r="I300" s="1262"/>
    </row>
    <row r="301" spans="1:9" ht="15.75">
      <c r="A301" s="1258"/>
      <c r="B301" s="1259" t="s">
        <v>3188</v>
      </c>
      <c r="C301" s="1260" t="s">
        <v>49</v>
      </c>
      <c r="D301" s="1261">
        <f>VLOOKUP(B301,[6]VLP!$B$7:$K$381,10,0)</f>
        <v>20040</v>
      </c>
      <c r="E301" s="1268">
        <v>0.2</v>
      </c>
      <c r="F301" s="1261">
        <f>E301*D301</f>
        <v>4008</v>
      </c>
      <c r="G301" s="1261"/>
      <c r="H301" s="1261"/>
      <c r="I301" s="1262"/>
    </row>
    <row r="302" spans="1:9" ht="15.75">
      <c r="A302" s="1258"/>
      <c r="B302" s="1259" t="s">
        <v>2682</v>
      </c>
      <c r="C302" s="1260" t="s">
        <v>45</v>
      </c>
      <c r="D302" s="1261">
        <f>VLOOKUP(B302,[6]VLP!$B$7:$K$381,10,0)</f>
        <v>5000</v>
      </c>
      <c r="E302" s="1268">
        <v>0.1</v>
      </c>
      <c r="F302" s="1261">
        <f>E302*D302</f>
        <v>500</v>
      </c>
      <c r="G302" s="1261"/>
      <c r="H302" s="1261"/>
      <c r="I302" s="1262"/>
    </row>
    <row r="303" spans="1:9" ht="15.75">
      <c r="A303" s="1258"/>
      <c r="B303" s="1259" t="s">
        <v>3195</v>
      </c>
      <c r="C303" s="1260" t="s">
        <v>3144</v>
      </c>
      <c r="D303" s="1261">
        <f>VLOOKUP(B303,[6]VLP!$B$7:$K$381,10,0)</f>
        <v>14000</v>
      </c>
      <c r="E303" s="1268">
        <v>0.3</v>
      </c>
      <c r="F303" s="1261">
        <f>E303*D303</f>
        <v>4200</v>
      </c>
      <c r="G303" s="1261"/>
      <c r="H303" s="1261"/>
      <c r="I303" s="1262"/>
    </row>
    <row r="304" spans="1:9" ht="15.75">
      <c r="A304" s="1258"/>
      <c r="B304" s="1251" t="s">
        <v>276</v>
      </c>
      <c r="C304" s="1260"/>
      <c r="D304" s="1260"/>
      <c r="E304" s="1268"/>
      <c r="F304" s="1261"/>
      <c r="G304" s="1261"/>
      <c r="H304" s="1261"/>
      <c r="I304" s="1262"/>
    </row>
    <row r="305" spans="1:9" ht="15.75">
      <c r="A305" s="1258"/>
      <c r="B305" s="1259" t="s">
        <v>2680</v>
      </c>
      <c r="C305" s="1260" t="s">
        <v>2674</v>
      </c>
      <c r="D305" s="1261">
        <f>VLOOKUP(B305,ĐMNC!$H$13:$J$20,3,0)</f>
        <v>223524</v>
      </c>
      <c r="E305" s="1268">
        <v>1.42</v>
      </c>
      <c r="F305" s="1261"/>
      <c r="G305" s="1261">
        <f>E305*D305</f>
        <v>317404.07999999996</v>
      </c>
      <c r="H305" s="1261"/>
      <c r="I305" s="1262"/>
    </row>
    <row r="306" spans="1:9" ht="15.75">
      <c r="A306" s="1258"/>
      <c r="B306" s="1259" t="s">
        <v>4008</v>
      </c>
      <c r="C306" s="1260" t="s">
        <v>2674</v>
      </c>
      <c r="D306" s="1261">
        <f>VLOOKUP(B306,ĐMNC!$A$7:$F$67,4,0)</f>
        <v>252714</v>
      </c>
      <c r="E306" s="1268">
        <v>0.56000000000000005</v>
      </c>
      <c r="F306" s="1261"/>
      <c r="G306" s="1261">
        <f>E306*D306</f>
        <v>141519.84000000003</v>
      </c>
      <c r="H306" s="1261"/>
      <c r="I306" s="1262"/>
    </row>
    <row r="307" spans="1:9" ht="15.75">
      <c r="A307" s="1258"/>
      <c r="B307" s="1251" t="s">
        <v>3914</v>
      </c>
      <c r="C307" s="1260"/>
      <c r="D307" s="1260"/>
      <c r="E307" s="1268"/>
      <c r="F307" s="1261"/>
      <c r="G307" s="1261"/>
      <c r="H307" s="1261"/>
      <c r="I307" s="1262"/>
    </row>
    <row r="308" spans="1:9" ht="15.75">
      <c r="A308" s="1258" t="s">
        <v>9078</v>
      </c>
      <c r="B308" s="1259" t="s">
        <v>9079</v>
      </c>
      <c r="C308" s="1260" t="s">
        <v>2673</v>
      </c>
      <c r="D308" s="1261">
        <f>VLOOKUP(A308,[6]MTC!$B$9:$S$920,13,0)</f>
        <v>397538</v>
      </c>
      <c r="E308" s="1268">
        <v>0.1</v>
      </c>
      <c r="F308" s="1261"/>
      <c r="G308" s="1261"/>
      <c r="H308" s="1261">
        <f>E308*D308</f>
        <v>39753.800000000003</v>
      </c>
      <c r="I308" s="1262"/>
    </row>
    <row r="309" spans="1:9" ht="15.75">
      <c r="A309" s="1258" t="s">
        <v>9075</v>
      </c>
      <c r="B309" s="1259" t="s">
        <v>2679</v>
      </c>
      <c r="C309" s="1260" t="s">
        <v>2673</v>
      </c>
      <c r="D309" s="1261">
        <f>VLOOKUP(A309,[6]MTC!$B$9:$S$920,13,0)</f>
        <v>40128</v>
      </c>
      <c r="E309" s="1268">
        <v>0.13500000000000001</v>
      </c>
      <c r="F309" s="1261"/>
      <c r="G309" s="1261"/>
      <c r="H309" s="1261">
        <f>E309*D309</f>
        <v>5417.2800000000007</v>
      </c>
      <c r="I309" s="1262"/>
    </row>
    <row r="310" spans="1:9" ht="15.75">
      <c r="A310" s="1258" t="s">
        <v>9059</v>
      </c>
      <c r="B310" s="1259" t="s">
        <v>2688</v>
      </c>
      <c r="C310" s="1260" t="s">
        <v>2673</v>
      </c>
      <c r="D310" s="1261">
        <f>VLOOKUP(A310,[6]MTC!$B$9:$S$920,13,0)</f>
        <v>83447</v>
      </c>
      <c r="E310" s="1268">
        <v>0.20399999999999999</v>
      </c>
      <c r="F310" s="1261"/>
      <c r="G310" s="1261"/>
      <c r="H310" s="1261">
        <f>E310*D310</f>
        <v>17023.187999999998</v>
      </c>
      <c r="I310" s="1262"/>
    </row>
    <row r="311" spans="1:9" ht="15.75">
      <c r="A311" s="1250" t="s">
        <v>13076</v>
      </c>
      <c r="B311" s="1251" t="s">
        <v>13077</v>
      </c>
      <c r="C311" s="1252"/>
      <c r="D311" s="1252"/>
      <c r="E311" s="1252"/>
      <c r="F311" s="1254"/>
      <c r="G311" s="1254"/>
      <c r="H311" s="1254"/>
      <c r="I311" s="1255"/>
    </row>
    <row r="312" spans="1:9" ht="15.75">
      <c r="A312" s="1269" t="s">
        <v>13078</v>
      </c>
      <c r="B312" s="1270" t="s">
        <v>13079</v>
      </c>
      <c r="C312" s="1271" t="s">
        <v>51</v>
      </c>
      <c r="D312" s="1271"/>
      <c r="E312" s="1271"/>
      <c r="F312" s="1272">
        <f>SUM(F314:F324)</f>
        <v>1631.42292</v>
      </c>
      <c r="G312" s="1272">
        <f>SUM(G314:G324)</f>
        <v>67449.06</v>
      </c>
      <c r="H312" s="1272">
        <f>SUM(H314:H324)</f>
        <v>6496.5810000000001</v>
      </c>
      <c r="I312" s="1273">
        <f>SUM(F312:H312)</f>
        <v>75577.063920000001</v>
      </c>
    </row>
    <row r="313" spans="1:9" ht="15.75">
      <c r="A313" s="1258"/>
      <c r="B313" s="1251" t="s">
        <v>108</v>
      </c>
      <c r="C313" s="1260"/>
      <c r="D313" s="1260"/>
      <c r="E313" s="1260"/>
      <c r="F313" s="1261"/>
      <c r="G313" s="1261"/>
      <c r="H313" s="1261"/>
      <c r="I313" s="1262"/>
    </row>
    <row r="314" spans="1:9" ht="15.75">
      <c r="A314" s="1258"/>
      <c r="B314" s="1259" t="s">
        <v>2677</v>
      </c>
      <c r="C314" s="1260" t="s">
        <v>3127</v>
      </c>
      <c r="D314" s="1261">
        <f>VLOOKUP(B314,[6]VLP!$B$7:$K$381,10,0)</f>
        <v>1864.44</v>
      </c>
      <c r="E314" s="1268">
        <v>0.34300000000000003</v>
      </c>
      <c r="F314" s="1261">
        <f>E314*D314</f>
        <v>639.50292000000002</v>
      </c>
      <c r="G314" s="1261"/>
      <c r="H314" s="1261"/>
      <c r="I314" s="1262"/>
    </row>
    <row r="315" spans="1:9" ht="15.75">
      <c r="A315" s="1258"/>
      <c r="B315" s="1259" t="s">
        <v>3188</v>
      </c>
      <c r="C315" s="1260" t="s">
        <v>49</v>
      </c>
      <c r="D315" s="1261">
        <f>VLOOKUP(B315,[6]VLP!$B$7:$K$381,10,0)</f>
        <v>20040</v>
      </c>
      <c r="E315" s="1268">
        <v>2.3E-2</v>
      </c>
      <c r="F315" s="1261">
        <f>E315*D315</f>
        <v>460.92</v>
      </c>
      <c r="G315" s="1261"/>
      <c r="H315" s="1261"/>
      <c r="I315" s="1262"/>
    </row>
    <row r="316" spans="1:9" ht="15.75">
      <c r="A316" s="1258"/>
      <c r="B316" s="1259" t="s">
        <v>2682</v>
      </c>
      <c r="C316" s="1260" t="s">
        <v>45</v>
      </c>
      <c r="D316" s="1261">
        <f>VLOOKUP(B316,[6]VLP!$B$7:$K$381,10,0)</f>
        <v>5000</v>
      </c>
      <c r="E316" s="1268">
        <v>1.0999999999999999E-2</v>
      </c>
      <c r="F316" s="1261">
        <f>E316*D316</f>
        <v>55</v>
      </c>
      <c r="G316" s="1261"/>
      <c r="H316" s="1261"/>
      <c r="I316" s="1262"/>
    </row>
    <row r="317" spans="1:9" ht="15.75">
      <c r="A317" s="1258"/>
      <c r="B317" s="1259" t="s">
        <v>3195</v>
      </c>
      <c r="C317" s="1260" t="s">
        <v>3144</v>
      </c>
      <c r="D317" s="1261">
        <f>VLOOKUP(B317,[6]VLP!$B$7:$K$381,10,0)</f>
        <v>14000</v>
      </c>
      <c r="E317" s="1268">
        <v>3.4000000000000002E-2</v>
      </c>
      <c r="F317" s="1261">
        <f>E317*D317</f>
        <v>476.00000000000006</v>
      </c>
      <c r="G317" s="1261"/>
      <c r="H317" s="1261"/>
      <c r="I317" s="1262"/>
    </row>
    <row r="318" spans="1:9" ht="15.75">
      <c r="A318" s="1258"/>
      <c r="B318" s="1251" t="s">
        <v>276</v>
      </c>
      <c r="C318" s="1260"/>
      <c r="D318" s="1260"/>
      <c r="E318" s="1268"/>
      <c r="F318" s="1261"/>
      <c r="G318" s="1261"/>
      <c r="H318" s="1261"/>
      <c r="I318" s="1262"/>
    </row>
    <row r="319" spans="1:9" ht="15.75">
      <c r="A319" s="1258"/>
      <c r="B319" s="1259" t="s">
        <v>2680</v>
      </c>
      <c r="C319" s="1260" t="s">
        <v>2674</v>
      </c>
      <c r="D319" s="1261">
        <f>VLOOKUP(B319,ĐMNC!$H$13:$J$20,3,0)</f>
        <v>223524</v>
      </c>
      <c r="E319" s="1268">
        <v>0.2</v>
      </c>
      <c r="F319" s="1261"/>
      <c r="G319" s="1261">
        <f>E319*D319</f>
        <v>44704.800000000003</v>
      </c>
      <c r="H319" s="1261"/>
      <c r="I319" s="1262"/>
    </row>
    <row r="320" spans="1:9" ht="15.75">
      <c r="A320" s="1258"/>
      <c r="B320" s="1259" t="s">
        <v>4008</v>
      </c>
      <c r="C320" s="1260" t="s">
        <v>2674</v>
      </c>
      <c r="D320" s="1261">
        <f>VLOOKUP(B320,ĐMNC!$A$7:$F$67,4,0)</f>
        <v>252714</v>
      </c>
      <c r="E320" s="1268">
        <v>0.09</v>
      </c>
      <c r="F320" s="1261"/>
      <c r="G320" s="1261">
        <f>E320*D320</f>
        <v>22744.26</v>
      </c>
      <c r="H320" s="1261"/>
      <c r="I320" s="1262"/>
    </row>
    <row r="321" spans="1:9" ht="15.75">
      <c r="A321" s="1258"/>
      <c r="B321" s="1251" t="s">
        <v>3914</v>
      </c>
      <c r="C321" s="1260"/>
      <c r="D321" s="1260"/>
      <c r="E321" s="1268"/>
      <c r="F321" s="1261"/>
      <c r="G321" s="1261"/>
      <c r="H321" s="1261"/>
      <c r="I321" s="1262"/>
    </row>
    <row r="322" spans="1:9" ht="15.75">
      <c r="A322" s="1258" t="s">
        <v>9078</v>
      </c>
      <c r="B322" s="1259" t="s">
        <v>9079</v>
      </c>
      <c r="C322" s="1260" t="s">
        <v>2673</v>
      </c>
      <c r="D322" s="1261">
        <f>VLOOKUP(A322,[6]MTC!$B$9:$S$920,13,0)</f>
        <v>397538</v>
      </c>
      <c r="E322" s="1268">
        <v>0.01</v>
      </c>
      <c r="F322" s="1261"/>
      <c r="G322" s="1261"/>
      <c r="H322" s="1261">
        <f>E322*D322</f>
        <v>3975.38</v>
      </c>
      <c r="I322" s="1262"/>
    </row>
    <row r="323" spans="1:9" ht="15.75">
      <c r="A323" s="1258" t="s">
        <v>9075</v>
      </c>
      <c r="B323" s="1259" t="s">
        <v>2679</v>
      </c>
      <c r="C323" s="1260" t="s">
        <v>2673</v>
      </c>
      <c r="D323" s="1261">
        <f>VLOOKUP(A323,[6]MTC!$B$9:$S$920,13,0)</f>
        <v>40128</v>
      </c>
      <c r="E323" s="1268">
        <v>1.4999999999999999E-2</v>
      </c>
      <c r="F323" s="1261"/>
      <c r="G323" s="1261"/>
      <c r="H323" s="1261">
        <f>E323*D323</f>
        <v>601.91999999999996</v>
      </c>
      <c r="I323" s="1262"/>
    </row>
    <row r="324" spans="1:9" ht="15.75">
      <c r="A324" s="1258" t="s">
        <v>9059</v>
      </c>
      <c r="B324" s="1259" t="s">
        <v>2688</v>
      </c>
      <c r="C324" s="1260" t="s">
        <v>2673</v>
      </c>
      <c r="D324" s="1261">
        <f>VLOOKUP(A324,[6]MTC!$B$9:$S$920,13,0)</f>
        <v>83447</v>
      </c>
      <c r="E324" s="1268">
        <v>2.3E-2</v>
      </c>
      <c r="F324" s="1261"/>
      <c r="G324" s="1261"/>
      <c r="H324" s="1261">
        <f>E324*D324</f>
        <v>1919.2809999999999</v>
      </c>
      <c r="I324" s="1262"/>
    </row>
    <row r="325" spans="1:9" ht="15.75">
      <c r="A325" s="1269" t="s">
        <v>13080</v>
      </c>
      <c r="B325" s="1270" t="s">
        <v>13081</v>
      </c>
      <c r="C325" s="1271" t="s">
        <v>51</v>
      </c>
      <c r="D325" s="1271"/>
      <c r="E325" s="1268"/>
      <c r="F325" s="1272">
        <f>SUM(F327:F337)</f>
        <v>2720.9796799999999</v>
      </c>
      <c r="G325" s="1272">
        <f>SUM(G327:G337)</f>
        <v>93204.3</v>
      </c>
      <c r="H325" s="1272">
        <f>SUM(H327:H337)</f>
        <v>11894.302</v>
      </c>
      <c r="I325" s="1273">
        <f>SUM(F325:H325)</f>
        <v>107819.58168</v>
      </c>
    </row>
    <row r="326" spans="1:9" ht="15.75">
      <c r="A326" s="1258"/>
      <c r="B326" s="1251" t="s">
        <v>108</v>
      </c>
      <c r="C326" s="1260"/>
      <c r="D326" s="1260"/>
      <c r="E326" s="1268"/>
      <c r="F326" s="1261"/>
      <c r="G326" s="1261"/>
      <c r="H326" s="1261"/>
      <c r="I326" s="1262"/>
    </row>
    <row r="327" spans="1:9" ht="15.75">
      <c r="A327" s="1258"/>
      <c r="B327" s="1259" t="s">
        <v>2677</v>
      </c>
      <c r="C327" s="1260" t="s">
        <v>3127</v>
      </c>
      <c r="D327" s="1261">
        <f>VLOOKUP(B327,[6]VLP!$B$7:$K$381,10,0)</f>
        <v>1864.44</v>
      </c>
      <c r="E327" s="1268">
        <v>0.57199999999999995</v>
      </c>
      <c r="F327" s="1261">
        <f>E327*D327</f>
        <v>1066.4596799999999</v>
      </c>
      <c r="G327" s="1261"/>
      <c r="H327" s="1261"/>
      <c r="I327" s="1262"/>
    </row>
    <row r="328" spans="1:9" ht="15.75">
      <c r="A328" s="1258"/>
      <c r="B328" s="1259" t="s">
        <v>3188</v>
      </c>
      <c r="C328" s="1260" t="s">
        <v>49</v>
      </c>
      <c r="D328" s="1261">
        <f>VLOOKUP(B328,[6]VLP!$B$7:$K$381,10,0)</f>
        <v>20040</v>
      </c>
      <c r="E328" s="1268">
        <v>3.7999999999999999E-2</v>
      </c>
      <c r="F328" s="1261">
        <f>E328*D328</f>
        <v>761.52</v>
      </c>
      <c r="G328" s="1261"/>
      <c r="H328" s="1261"/>
      <c r="I328" s="1262"/>
    </row>
    <row r="329" spans="1:9" ht="15.75">
      <c r="A329" s="1258"/>
      <c r="B329" s="1259" t="s">
        <v>2682</v>
      </c>
      <c r="C329" s="1260" t="s">
        <v>45</v>
      </c>
      <c r="D329" s="1261">
        <f>VLOOKUP(B329,[6]VLP!$B$7:$K$381,10,0)</f>
        <v>5000</v>
      </c>
      <c r="E329" s="1268">
        <v>1.9E-2</v>
      </c>
      <c r="F329" s="1261">
        <f>E329*D329</f>
        <v>95</v>
      </c>
      <c r="G329" s="1261"/>
      <c r="H329" s="1261"/>
      <c r="I329" s="1262"/>
    </row>
    <row r="330" spans="1:9" ht="15.75">
      <c r="A330" s="1258"/>
      <c r="B330" s="1259" t="s">
        <v>3195</v>
      </c>
      <c r="C330" s="1260" t="s">
        <v>3144</v>
      </c>
      <c r="D330" s="1261">
        <f>VLOOKUP(B330,[6]VLP!$B$7:$K$381,10,0)</f>
        <v>14000</v>
      </c>
      <c r="E330" s="1268">
        <v>5.7000000000000002E-2</v>
      </c>
      <c r="F330" s="1261">
        <f>E330*D330</f>
        <v>798</v>
      </c>
      <c r="G330" s="1261"/>
      <c r="H330" s="1261"/>
      <c r="I330" s="1262"/>
    </row>
    <row r="331" spans="1:9" ht="15.75">
      <c r="A331" s="1258"/>
      <c r="B331" s="1251" t="s">
        <v>276</v>
      </c>
      <c r="C331" s="1260"/>
      <c r="D331" s="1260"/>
      <c r="E331" s="1268"/>
      <c r="F331" s="1261"/>
      <c r="G331" s="1261"/>
      <c r="H331" s="1261"/>
      <c r="I331" s="1262"/>
    </row>
    <row r="332" spans="1:9" ht="15.75">
      <c r="A332" s="1258"/>
      <c r="B332" s="1259" t="s">
        <v>2680</v>
      </c>
      <c r="C332" s="1260" t="s">
        <v>2674</v>
      </c>
      <c r="D332" s="1261">
        <f>VLOOKUP(B332,ĐMNC!$H$13:$J$20,3,0)</f>
        <v>223524</v>
      </c>
      <c r="E332" s="1268">
        <v>0.27</v>
      </c>
      <c r="F332" s="1261"/>
      <c r="G332" s="1261">
        <f>E332*D332</f>
        <v>60351.48</v>
      </c>
      <c r="H332" s="1261"/>
      <c r="I332" s="1262"/>
    </row>
    <row r="333" spans="1:9" ht="15.75">
      <c r="A333" s="1258"/>
      <c r="B333" s="1259" t="s">
        <v>4008</v>
      </c>
      <c r="C333" s="1260" t="s">
        <v>2674</v>
      </c>
      <c r="D333" s="1261">
        <f>VLOOKUP(B333,ĐMNC!$A$7:$F$67,4,0)</f>
        <v>252714</v>
      </c>
      <c r="E333" s="1268">
        <v>0.13</v>
      </c>
      <c r="F333" s="1261"/>
      <c r="G333" s="1261">
        <f>E333*D333</f>
        <v>32852.82</v>
      </c>
      <c r="H333" s="1261"/>
      <c r="I333" s="1262"/>
    </row>
    <row r="334" spans="1:9" ht="15.75">
      <c r="A334" s="1258"/>
      <c r="B334" s="1251" t="s">
        <v>3914</v>
      </c>
      <c r="C334" s="1260"/>
      <c r="D334" s="1260"/>
      <c r="E334" s="1268"/>
      <c r="F334" s="1261"/>
      <c r="G334" s="1261"/>
      <c r="H334" s="1261"/>
      <c r="I334" s="1262"/>
    </row>
    <row r="335" spans="1:9" ht="15.75">
      <c r="A335" s="1258" t="s">
        <v>9078</v>
      </c>
      <c r="B335" s="1259" t="s">
        <v>9079</v>
      </c>
      <c r="C335" s="1260" t="s">
        <v>2673</v>
      </c>
      <c r="D335" s="1261">
        <f>VLOOKUP(A335,[6]MTC!$B$9:$S$920,13,0)</f>
        <v>397538</v>
      </c>
      <c r="E335" s="1268">
        <v>1.9E-2</v>
      </c>
      <c r="F335" s="1261"/>
      <c r="G335" s="1261"/>
      <c r="H335" s="1261">
        <f>E335*D335</f>
        <v>7553.2219999999998</v>
      </c>
      <c r="I335" s="1262"/>
    </row>
    <row r="336" spans="1:9" ht="15.75">
      <c r="A336" s="1258" t="s">
        <v>9075</v>
      </c>
      <c r="B336" s="1259" t="s">
        <v>2679</v>
      </c>
      <c r="C336" s="1260" t="s">
        <v>2673</v>
      </c>
      <c r="D336" s="1261">
        <f>VLOOKUP(A336,[6]MTC!$B$9:$S$920,13,0)</f>
        <v>40128</v>
      </c>
      <c r="E336" s="1268">
        <v>2.5000000000000001E-2</v>
      </c>
      <c r="F336" s="1261"/>
      <c r="G336" s="1261"/>
      <c r="H336" s="1261">
        <f>E336*D336</f>
        <v>1003.2</v>
      </c>
      <c r="I336" s="1262"/>
    </row>
    <row r="337" spans="1:9" ht="15.75">
      <c r="A337" s="1258" t="s">
        <v>9059</v>
      </c>
      <c r="B337" s="1259" t="s">
        <v>2688</v>
      </c>
      <c r="C337" s="1260" t="s">
        <v>2673</v>
      </c>
      <c r="D337" s="1261">
        <f>VLOOKUP(A337,[6]MTC!$B$9:$S$920,13,0)</f>
        <v>83447</v>
      </c>
      <c r="E337" s="1268">
        <v>0.04</v>
      </c>
      <c r="F337" s="1261"/>
      <c r="G337" s="1261"/>
      <c r="H337" s="1261">
        <f>E337*D337</f>
        <v>3337.88</v>
      </c>
      <c r="I337" s="1262"/>
    </row>
    <row r="338" spans="1:9" ht="15.75">
      <c r="A338" s="1269" t="s">
        <v>13082</v>
      </c>
      <c r="B338" s="1270" t="s">
        <v>13083</v>
      </c>
      <c r="C338" s="1271" t="s">
        <v>51</v>
      </c>
      <c r="D338" s="1271"/>
      <c r="E338" s="1268"/>
      <c r="F338" s="1272">
        <f>SUM(F340:F350)</f>
        <v>3580.9233199999999</v>
      </c>
      <c r="G338" s="1272">
        <f>SUM(G340:G350)</f>
        <v>118375.73999999999</v>
      </c>
      <c r="H338" s="1272">
        <f>SUM(H340:H350)</f>
        <v>15682.173999999999</v>
      </c>
      <c r="I338" s="1273">
        <f>SUM(F338:H338)</f>
        <v>137638.83731999999</v>
      </c>
    </row>
    <row r="339" spans="1:9" ht="15.75">
      <c r="A339" s="1258"/>
      <c r="B339" s="1251" t="s">
        <v>108</v>
      </c>
      <c r="C339" s="1260"/>
      <c r="D339" s="1260"/>
      <c r="E339" s="1268"/>
      <c r="F339" s="1261"/>
      <c r="G339" s="1261"/>
      <c r="H339" s="1261"/>
      <c r="I339" s="1262"/>
    </row>
    <row r="340" spans="1:9" ht="15.75">
      <c r="A340" s="1258"/>
      <c r="B340" s="1259" t="s">
        <v>2677</v>
      </c>
      <c r="C340" s="1260" t="s">
        <v>3127</v>
      </c>
      <c r="D340" s="1261">
        <f>VLOOKUP(B340,[6]VLP!$B$7:$K$381,10,0)</f>
        <v>1864.44</v>
      </c>
      <c r="E340" s="1268">
        <v>0.753</v>
      </c>
      <c r="F340" s="1261">
        <f>E340*D340</f>
        <v>1403.9233200000001</v>
      </c>
      <c r="G340" s="1261"/>
      <c r="H340" s="1261"/>
      <c r="I340" s="1262"/>
    </row>
    <row r="341" spans="1:9" ht="15.75">
      <c r="A341" s="1258"/>
      <c r="B341" s="1259" t="s">
        <v>3188</v>
      </c>
      <c r="C341" s="1260" t="s">
        <v>49</v>
      </c>
      <c r="D341" s="1261">
        <f>VLOOKUP(B341,[6]VLP!$B$7:$K$381,10,0)</f>
        <v>20040</v>
      </c>
      <c r="E341" s="1268">
        <v>0.05</v>
      </c>
      <c r="F341" s="1261">
        <f>E341*D341</f>
        <v>1002</v>
      </c>
      <c r="G341" s="1261"/>
      <c r="H341" s="1261"/>
      <c r="I341" s="1262"/>
    </row>
    <row r="342" spans="1:9" ht="15.75">
      <c r="A342" s="1258"/>
      <c r="B342" s="1259" t="s">
        <v>2682</v>
      </c>
      <c r="C342" s="1260" t="s">
        <v>45</v>
      </c>
      <c r="D342" s="1261">
        <f>VLOOKUP(B342,[6]VLP!$B$7:$K$381,10,0)</f>
        <v>5000</v>
      </c>
      <c r="E342" s="1268">
        <v>2.5000000000000001E-2</v>
      </c>
      <c r="F342" s="1261">
        <f>E342*D342</f>
        <v>125</v>
      </c>
      <c r="G342" s="1261"/>
      <c r="H342" s="1261"/>
      <c r="I342" s="1262"/>
    </row>
    <row r="343" spans="1:9" ht="15.75">
      <c r="A343" s="1258"/>
      <c r="B343" s="1259" t="s">
        <v>3195</v>
      </c>
      <c r="C343" s="1260" t="s">
        <v>3144</v>
      </c>
      <c r="D343" s="1261">
        <f>VLOOKUP(B343,[6]VLP!$B$7:$K$381,10,0)</f>
        <v>14000</v>
      </c>
      <c r="E343" s="1268">
        <v>7.4999999999999997E-2</v>
      </c>
      <c r="F343" s="1261">
        <f>E343*D343</f>
        <v>1050</v>
      </c>
      <c r="G343" s="1261"/>
      <c r="H343" s="1261"/>
      <c r="I343" s="1262"/>
    </row>
    <row r="344" spans="1:9" ht="15.75">
      <c r="A344" s="1258"/>
      <c r="B344" s="1251" t="s">
        <v>276</v>
      </c>
      <c r="C344" s="1260"/>
      <c r="D344" s="1260"/>
      <c r="E344" s="1268"/>
      <c r="F344" s="1261"/>
      <c r="G344" s="1261"/>
      <c r="H344" s="1261"/>
      <c r="I344" s="1262"/>
    </row>
    <row r="345" spans="1:9" ht="15.75">
      <c r="A345" s="1258"/>
      <c r="B345" s="1259" t="s">
        <v>2680</v>
      </c>
      <c r="C345" s="1260" t="s">
        <v>2674</v>
      </c>
      <c r="D345" s="1261">
        <f>VLOOKUP(B345,ĐMNC!$H$13:$J$20,3,0)</f>
        <v>223524</v>
      </c>
      <c r="E345" s="1268">
        <v>0.36</v>
      </c>
      <c r="F345" s="1261"/>
      <c r="G345" s="1261">
        <f>E345*D345</f>
        <v>80468.639999999999</v>
      </c>
      <c r="H345" s="1261"/>
      <c r="I345" s="1262"/>
    </row>
    <row r="346" spans="1:9" ht="15.75">
      <c r="A346" s="1258"/>
      <c r="B346" s="1259" t="s">
        <v>4008</v>
      </c>
      <c r="C346" s="1260" t="s">
        <v>2674</v>
      </c>
      <c r="D346" s="1261">
        <f>VLOOKUP(B346,ĐMNC!$A$7:$F$67,4,0)</f>
        <v>252714</v>
      </c>
      <c r="E346" s="1268">
        <v>0.15</v>
      </c>
      <c r="F346" s="1261"/>
      <c r="G346" s="1261">
        <f>E346*D346</f>
        <v>37907.1</v>
      </c>
      <c r="H346" s="1261"/>
      <c r="I346" s="1262"/>
    </row>
    <row r="347" spans="1:9" ht="15.75">
      <c r="A347" s="1258"/>
      <c r="B347" s="1251" t="s">
        <v>3914</v>
      </c>
      <c r="C347" s="1260"/>
      <c r="D347" s="1260"/>
      <c r="E347" s="1268"/>
      <c r="F347" s="1261"/>
      <c r="G347" s="1261"/>
      <c r="H347" s="1261"/>
      <c r="I347" s="1262"/>
    </row>
    <row r="348" spans="1:9" ht="15.75">
      <c r="A348" s="1258" t="s">
        <v>9078</v>
      </c>
      <c r="B348" s="1259" t="s">
        <v>9079</v>
      </c>
      <c r="C348" s="1260" t="s">
        <v>2673</v>
      </c>
      <c r="D348" s="1261">
        <f>VLOOKUP(A348,[6]MTC!$B$9:$S$920,13,0)</f>
        <v>397538</v>
      </c>
      <c r="E348" s="1268">
        <v>2.5000000000000001E-2</v>
      </c>
      <c r="F348" s="1261"/>
      <c r="G348" s="1261"/>
      <c r="H348" s="1261">
        <f>E348*D348</f>
        <v>9938.4500000000007</v>
      </c>
      <c r="I348" s="1262"/>
    </row>
    <row r="349" spans="1:9" ht="15.75">
      <c r="A349" s="1258" t="s">
        <v>9075</v>
      </c>
      <c r="B349" s="1259" t="s">
        <v>2679</v>
      </c>
      <c r="C349" s="1260" t="s">
        <v>2673</v>
      </c>
      <c r="D349" s="1261">
        <f>VLOOKUP(A349,[6]MTC!$B$9:$S$920,13,0)</f>
        <v>40128</v>
      </c>
      <c r="E349" s="1268">
        <v>3.5000000000000003E-2</v>
      </c>
      <c r="F349" s="1261"/>
      <c r="G349" s="1261"/>
      <c r="H349" s="1261">
        <f>E349*D349</f>
        <v>1404.4800000000002</v>
      </c>
      <c r="I349" s="1262"/>
    </row>
    <row r="350" spans="1:9" ht="15.75">
      <c r="A350" s="1258" t="s">
        <v>9059</v>
      </c>
      <c r="B350" s="1259" t="s">
        <v>2688</v>
      </c>
      <c r="C350" s="1260" t="s">
        <v>2673</v>
      </c>
      <c r="D350" s="1261">
        <f>VLOOKUP(A350,[6]MTC!$B$9:$S$920,13,0)</f>
        <v>83447</v>
      </c>
      <c r="E350" s="1268">
        <v>5.1999999999999998E-2</v>
      </c>
      <c r="F350" s="1261"/>
      <c r="G350" s="1261"/>
      <c r="H350" s="1261">
        <f>E350*D350</f>
        <v>4339.2439999999997</v>
      </c>
      <c r="I350" s="1262"/>
    </row>
    <row r="351" spans="1:9" ht="15.75">
      <c r="A351" s="1269" t="s">
        <v>13084</v>
      </c>
      <c r="B351" s="1270" t="s">
        <v>13085</v>
      </c>
      <c r="C351" s="1271" t="s">
        <v>51</v>
      </c>
      <c r="D351" s="1271"/>
      <c r="E351" s="1268"/>
      <c r="F351" s="1272">
        <f>SUM(F353:F363)</f>
        <v>5139.1530000000002</v>
      </c>
      <c r="G351" s="1272">
        <f>SUM(G353:G363)</f>
        <v>169010.52000000002</v>
      </c>
      <c r="H351" s="1272">
        <f>SUM(H353:H363)</f>
        <v>22011.861000000001</v>
      </c>
      <c r="I351" s="1273">
        <f>SUM(F351:H351)</f>
        <v>196161.53400000001</v>
      </c>
    </row>
    <row r="352" spans="1:9" ht="15.75">
      <c r="A352" s="1258"/>
      <c r="B352" s="1251" t="s">
        <v>108</v>
      </c>
      <c r="C352" s="1260"/>
      <c r="D352" s="1260"/>
      <c r="E352" s="1268"/>
      <c r="F352" s="1261"/>
      <c r="G352" s="1261"/>
      <c r="H352" s="1261"/>
      <c r="I352" s="1262"/>
    </row>
    <row r="353" spans="1:9" ht="15.75">
      <c r="A353" s="1258"/>
      <c r="B353" s="1259" t="s">
        <v>2677</v>
      </c>
      <c r="C353" s="1260" t="s">
        <v>3127</v>
      </c>
      <c r="D353" s="1261">
        <f>VLOOKUP(B353,[6]VLP!$B$7:$K$381,10,0)</f>
        <v>1864.44</v>
      </c>
      <c r="E353" s="1268">
        <v>1.075</v>
      </c>
      <c r="F353" s="1261">
        <f>E353*D353</f>
        <v>2004.2729999999999</v>
      </c>
      <c r="G353" s="1261"/>
      <c r="H353" s="1261"/>
      <c r="I353" s="1262"/>
    </row>
    <row r="354" spans="1:9" ht="15.75">
      <c r="A354" s="1258"/>
      <c r="B354" s="1259" t="s">
        <v>3188</v>
      </c>
      <c r="C354" s="1260" t="s">
        <v>49</v>
      </c>
      <c r="D354" s="1261">
        <f>VLOOKUP(B354,[6]VLP!$B$7:$K$381,10,0)</f>
        <v>20040</v>
      </c>
      <c r="E354" s="1268">
        <v>7.1999999999999995E-2</v>
      </c>
      <c r="F354" s="1261">
        <f>E354*D354</f>
        <v>1442.8799999999999</v>
      </c>
      <c r="G354" s="1261"/>
      <c r="H354" s="1261"/>
      <c r="I354" s="1262"/>
    </row>
    <row r="355" spans="1:9" ht="15.75">
      <c r="A355" s="1258"/>
      <c r="B355" s="1259" t="s">
        <v>2682</v>
      </c>
      <c r="C355" s="1260" t="s">
        <v>45</v>
      </c>
      <c r="D355" s="1261">
        <f>VLOOKUP(B355,[6]VLP!$B$7:$K$381,10,0)</f>
        <v>5000</v>
      </c>
      <c r="E355" s="1268">
        <v>3.5999999999999997E-2</v>
      </c>
      <c r="F355" s="1261">
        <f>E355*D355</f>
        <v>180</v>
      </c>
      <c r="G355" s="1261"/>
      <c r="H355" s="1261"/>
      <c r="I355" s="1262"/>
    </row>
    <row r="356" spans="1:9" ht="15.75">
      <c r="A356" s="1258"/>
      <c r="B356" s="1259" t="s">
        <v>3195</v>
      </c>
      <c r="C356" s="1260" t="s">
        <v>3144</v>
      </c>
      <c r="D356" s="1261">
        <f>VLOOKUP(B356,[6]VLP!$B$7:$K$381,10,0)</f>
        <v>14000</v>
      </c>
      <c r="E356" s="1268">
        <v>0.108</v>
      </c>
      <c r="F356" s="1261">
        <f>E356*D356</f>
        <v>1512</v>
      </c>
      <c r="G356" s="1261"/>
      <c r="H356" s="1261"/>
      <c r="I356" s="1262"/>
    </row>
    <row r="357" spans="1:9" ht="15.75">
      <c r="A357" s="1258"/>
      <c r="B357" s="1251" t="s">
        <v>276</v>
      </c>
      <c r="C357" s="1260"/>
      <c r="D357" s="1260"/>
      <c r="E357" s="1268"/>
      <c r="F357" s="1261"/>
      <c r="G357" s="1261"/>
      <c r="H357" s="1261"/>
      <c r="I357" s="1262"/>
    </row>
    <row r="358" spans="1:9" ht="15.75">
      <c r="A358" s="1258"/>
      <c r="B358" s="1259" t="s">
        <v>2680</v>
      </c>
      <c r="C358" s="1260" t="s">
        <v>2674</v>
      </c>
      <c r="D358" s="1261">
        <f>VLOOKUP(B358,ĐMNC!$H$13:$J$20,3,0)</f>
        <v>223524</v>
      </c>
      <c r="E358" s="1268">
        <v>0.53</v>
      </c>
      <c r="F358" s="1261"/>
      <c r="G358" s="1261">
        <f>E358*D358</f>
        <v>118467.72</v>
      </c>
      <c r="H358" s="1261"/>
      <c r="I358" s="1262"/>
    </row>
    <row r="359" spans="1:9" ht="15.75">
      <c r="A359" s="1258"/>
      <c r="B359" s="1259" t="s">
        <v>4008</v>
      </c>
      <c r="C359" s="1260" t="s">
        <v>2674</v>
      </c>
      <c r="D359" s="1261">
        <f>VLOOKUP(B359,ĐMNC!$A$7:$F$67,4,0)</f>
        <v>252714</v>
      </c>
      <c r="E359" s="1268">
        <v>0.2</v>
      </c>
      <c r="F359" s="1261"/>
      <c r="G359" s="1261">
        <f>E359*D359</f>
        <v>50542.8</v>
      </c>
      <c r="H359" s="1261"/>
      <c r="I359" s="1262"/>
    </row>
    <row r="360" spans="1:9" ht="15.75">
      <c r="A360" s="1258"/>
      <c r="B360" s="1251" t="s">
        <v>3914</v>
      </c>
      <c r="C360" s="1260"/>
      <c r="D360" s="1260"/>
      <c r="E360" s="1268"/>
      <c r="F360" s="1261"/>
      <c r="G360" s="1261"/>
      <c r="H360" s="1261"/>
      <c r="I360" s="1262"/>
    </row>
    <row r="361" spans="1:9" ht="15.75">
      <c r="A361" s="1258" t="s">
        <v>9078</v>
      </c>
      <c r="B361" s="1259" t="s">
        <v>9079</v>
      </c>
      <c r="C361" s="1260" t="s">
        <v>2673</v>
      </c>
      <c r="D361" s="1261">
        <f>VLOOKUP(A361,[6]MTC!$B$9:$S$920,13,0)</f>
        <v>397538</v>
      </c>
      <c r="E361" s="1268">
        <v>3.5000000000000003E-2</v>
      </c>
      <c r="F361" s="1261"/>
      <c r="G361" s="1261"/>
      <c r="H361" s="1261">
        <f>E361*D361</f>
        <v>13913.830000000002</v>
      </c>
      <c r="I361" s="1262"/>
    </row>
    <row r="362" spans="1:9" ht="15.75">
      <c r="A362" s="1258" t="s">
        <v>9075</v>
      </c>
      <c r="B362" s="1259" t="s">
        <v>2679</v>
      </c>
      <c r="C362" s="1260" t="s">
        <v>2673</v>
      </c>
      <c r="D362" s="1261">
        <f>VLOOKUP(A362,[6]MTC!$B$9:$S$920,13,0)</f>
        <v>40128</v>
      </c>
      <c r="E362" s="1268">
        <v>0.05</v>
      </c>
      <c r="F362" s="1261"/>
      <c r="G362" s="1261"/>
      <c r="H362" s="1261">
        <f>E362*D362</f>
        <v>2006.4</v>
      </c>
      <c r="I362" s="1262"/>
    </row>
    <row r="363" spans="1:9" ht="15.75">
      <c r="A363" s="1258" t="s">
        <v>9059</v>
      </c>
      <c r="B363" s="1259" t="s">
        <v>2688</v>
      </c>
      <c r="C363" s="1260" t="s">
        <v>2673</v>
      </c>
      <c r="D363" s="1261">
        <f>VLOOKUP(A363,[6]MTC!$B$9:$S$920,13,0)</f>
        <v>83447</v>
      </c>
      <c r="E363" s="1268">
        <v>7.2999999999999995E-2</v>
      </c>
      <c r="F363" s="1261"/>
      <c r="G363" s="1261"/>
      <c r="H363" s="1261">
        <f>E363*D363</f>
        <v>6091.6309999999994</v>
      </c>
      <c r="I363" s="1262"/>
    </row>
    <row r="364" spans="1:9" ht="15.75">
      <c r="A364" s="1250"/>
      <c r="B364" s="1251" t="s">
        <v>13086</v>
      </c>
      <c r="C364" s="1252"/>
      <c r="D364" s="1252"/>
      <c r="E364" s="1252"/>
      <c r="F364" s="1254"/>
      <c r="G364" s="1254"/>
      <c r="H364" s="1254"/>
      <c r="I364" s="1255"/>
    </row>
    <row r="365" spans="1:9" ht="15.75">
      <c r="A365" s="1250" t="s">
        <v>13087</v>
      </c>
      <c r="B365" s="1251" t="s">
        <v>13088</v>
      </c>
      <c r="C365" s="1252"/>
      <c r="D365" s="1252"/>
      <c r="E365" s="1252"/>
      <c r="F365" s="1254"/>
      <c r="G365" s="1254"/>
      <c r="H365" s="1254"/>
      <c r="I365" s="1255"/>
    </row>
    <row r="366" spans="1:9" ht="15.75">
      <c r="A366" s="1250"/>
      <c r="B366" s="1256" t="s">
        <v>13011</v>
      </c>
      <c r="C366" s="1252"/>
      <c r="D366" s="1252"/>
      <c r="E366" s="1252"/>
      <c r="F366" s="1254"/>
      <c r="G366" s="1254"/>
      <c r="H366" s="1254"/>
      <c r="I366" s="1255"/>
    </row>
    <row r="367" spans="1:9" ht="15.75">
      <c r="A367" s="1250"/>
      <c r="B367" s="1257" t="s">
        <v>13089</v>
      </c>
      <c r="C367" s="1252"/>
      <c r="D367" s="1252"/>
      <c r="E367" s="1252"/>
      <c r="F367" s="1254"/>
      <c r="G367" s="1254"/>
      <c r="H367" s="1254"/>
      <c r="I367" s="1255"/>
    </row>
    <row r="368" spans="1:9" ht="15.75">
      <c r="A368" s="1250"/>
      <c r="B368" s="1256" t="s">
        <v>13090</v>
      </c>
      <c r="C368" s="1252"/>
      <c r="D368" s="1252"/>
      <c r="E368" s="1252"/>
      <c r="F368" s="1254"/>
      <c r="G368" s="1254"/>
      <c r="H368" s="1254"/>
      <c r="I368" s="1255"/>
    </row>
    <row r="369" spans="1:9" ht="15.75">
      <c r="A369" s="1250"/>
      <c r="B369" s="1257" t="s">
        <v>13091</v>
      </c>
      <c r="C369" s="1252"/>
      <c r="D369" s="1252"/>
      <c r="E369" s="1252"/>
      <c r="F369" s="1254"/>
      <c r="G369" s="1254"/>
      <c r="H369" s="1254"/>
      <c r="I369" s="1255"/>
    </row>
    <row r="370" spans="1:9" ht="15.75">
      <c r="A370" s="1250" t="s">
        <v>13092</v>
      </c>
      <c r="B370" s="1251" t="s">
        <v>13093</v>
      </c>
      <c r="C370" s="1252"/>
      <c r="D370" s="1252"/>
      <c r="E370" s="1252"/>
      <c r="F370" s="1254"/>
      <c r="G370" s="1254"/>
      <c r="H370" s="1254"/>
      <c r="I370" s="1255"/>
    </row>
    <row r="371" spans="1:9" ht="15.75">
      <c r="A371" s="1269" t="s">
        <v>13094</v>
      </c>
      <c r="B371" s="1270" t="s">
        <v>13095</v>
      </c>
      <c r="C371" s="1271" t="s">
        <v>139</v>
      </c>
      <c r="D371" s="1271"/>
      <c r="E371" s="1271"/>
      <c r="F371" s="1272">
        <f>SUM(F373:F383)</f>
        <v>7338.0785599999999</v>
      </c>
      <c r="G371" s="1272">
        <f>SUM(G373:G383)</f>
        <v>106659.5</v>
      </c>
      <c r="H371" s="1272">
        <f>SUM(H373:H383)</f>
        <v>17788.838</v>
      </c>
      <c r="I371" s="1273">
        <f>SUM(F371:H371)</f>
        <v>131786.41655999998</v>
      </c>
    </row>
    <row r="372" spans="1:9" ht="15.75">
      <c r="A372" s="1258"/>
      <c r="B372" s="1251" t="s">
        <v>108</v>
      </c>
      <c r="C372" s="1260"/>
      <c r="D372" s="1260"/>
      <c r="E372" s="1260"/>
      <c r="F372" s="1261"/>
      <c r="G372" s="1261"/>
      <c r="H372" s="1261"/>
      <c r="I372" s="1262"/>
    </row>
    <row r="373" spans="1:9" ht="15.75">
      <c r="A373" s="1258"/>
      <c r="B373" s="1259" t="s">
        <v>2677</v>
      </c>
      <c r="C373" s="1260" t="s">
        <v>3127</v>
      </c>
      <c r="D373" s="1261">
        <f>VLOOKUP(B373,[6]VLP!$B$7:$K$381,10,0)</f>
        <v>1864.44</v>
      </c>
      <c r="E373" s="1268">
        <v>0.32400000000000001</v>
      </c>
      <c r="F373" s="1261">
        <f>E373*D373</f>
        <v>604.07856000000004</v>
      </c>
      <c r="G373" s="1261"/>
      <c r="H373" s="1261"/>
      <c r="I373" s="1262"/>
    </row>
    <row r="374" spans="1:9" ht="15.75">
      <c r="A374" s="1258"/>
      <c r="B374" s="1259" t="s">
        <v>2681</v>
      </c>
      <c r="C374" s="1260" t="s">
        <v>45</v>
      </c>
      <c r="D374" s="1261">
        <f>VLOOKUP(B374,[6]VLP!$B$7:$K$381,10,0)</f>
        <v>23000</v>
      </c>
      <c r="E374" s="1268">
        <v>6.5000000000000002E-2</v>
      </c>
      <c r="F374" s="1261">
        <f>E374*D374</f>
        <v>1495</v>
      </c>
      <c r="G374" s="1261"/>
      <c r="H374" s="1261"/>
      <c r="I374" s="1262"/>
    </row>
    <row r="375" spans="1:9" ht="15.75">
      <c r="A375" s="1258"/>
      <c r="B375" s="1259" t="s">
        <v>12983</v>
      </c>
      <c r="C375" s="1260" t="s">
        <v>49</v>
      </c>
      <c r="D375" s="1261">
        <f>VLOOKUP(B375,[6]VLP!$B$7:$K$381,10,0)</f>
        <v>37800</v>
      </c>
      <c r="E375" s="1268">
        <v>0.13</v>
      </c>
      <c r="F375" s="1261">
        <f>E375*D375</f>
        <v>4914</v>
      </c>
      <c r="G375" s="1261"/>
      <c r="H375" s="1261"/>
      <c r="I375" s="1262"/>
    </row>
    <row r="376" spans="1:9" ht="15.75">
      <c r="A376" s="1258"/>
      <c r="B376" s="1259" t="s">
        <v>2682</v>
      </c>
      <c r="C376" s="1260" t="s">
        <v>45</v>
      </c>
      <c r="D376" s="1261">
        <f>VLOOKUP(B376,[6]VLP!$B$7:$K$381,10,0)</f>
        <v>5000</v>
      </c>
      <c r="E376" s="1268">
        <v>6.5000000000000002E-2</v>
      </c>
      <c r="F376" s="1261">
        <f>E376*D376</f>
        <v>325</v>
      </c>
      <c r="G376" s="1261"/>
      <c r="H376" s="1261"/>
      <c r="I376" s="1262"/>
    </row>
    <row r="377" spans="1:9" ht="15.75">
      <c r="A377" s="1258"/>
      <c r="B377" s="1251" t="s">
        <v>276</v>
      </c>
      <c r="C377" s="1260"/>
      <c r="D377" s="1260"/>
      <c r="E377" s="1268"/>
      <c r="F377" s="1261"/>
      <c r="G377" s="1261"/>
      <c r="H377" s="1261"/>
      <c r="I377" s="1262"/>
    </row>
    <row r="378" spans="1:9" ht="15.75">
      <c r="A378" s="1258"/>
      <c r="B378" s="1259" t="s">
        <v>2675</v>
      </c>
      <c r="C378" s="1260" t="s">
        <v>2674</v>
      </c>
      <c r="D378" s="1261">
        <f>VLOOKUP(B378,ĐMNC!$H$13:$J$20,3,0)</f>
        <v>248360</v>
      </c>
      <c r="E378" s="1268">
        <v>0.25</v>
      </c>
      <c r="F378" s="1261"/>
      <c r="G378" s="1261">
        <f>E378*D378</f>
        <v>62090</v>
      </c>
      <c r="H378" s="1261"/>
      <c r="I378" s="1262"/>
    </row>
    <row r="379" spans="1:9" ht="15.75">
      <c r="A379" s="1258"/>
      <c r="B379" s="1259" t="s">
        <v>5402</v>
      </c>
      <c r="C379" s="1260" t="s">
        <v>2674</v>
      </c>
      <c r="D379" s="1261">
        <f>VLOOKUP(B379,ĐMNC!$A$7:$F$67,4,0)</f>
        <v>297130</v>
      </c>
      <c r="E379" s="1268">
        <v>0.15</v>
      </c>
      <c r="F379" s="1261"/>
      <c r="G379" s="1261">
        <f>E379*D379</f>
        <v>44569.5</v>
      </c>
      <c r="H379" s="1261"/>
      <c r="I379" s="1262"/>
    </row>
    <row r="380" spans="1:9" ht="15.75">
      <c r="A380" s="1258"/>
      <c r="B380" s="1251" t="s">
        <v>3914</v>
      </c>
      <c r="C380" s="1260"/>
      <c r="D380" s="1260"/>
      <c r="E380" s="1268"/>
      <c r="F380" s="1261"/>
      <c r="G380" s="1261"/>
      <c r="H380" s="1261"/>
      <c r="I380" s="1262"/>
    </row>
    <row r="381" spans="1:9" ht="15.75">
      <c r="A381" s="1258" t="s">
        <v>9075</v>
      </c>
      <c r="B381" s="1259" t="s">
        <v>2679</v>
      </c>
      <c r="C381" s="1260" t="s">
        <v>2673</v>
      </c>
      <c r="D381" s="1261">
        <f>VLOOKUP(A381,[6]MTC!$B$9:$S$920,13,0)</f>
        <v>40128</v>
      </c>
      <c r="E381" s="1268">
        <v>2.1000000000000001E-2</v>
      </c>
      <c r="F381" s="1261"/>
      <c r="G381" s="1261"/>
      <c r="H381" s="1261">
        <f>E381*D381</f>
        <v>842.6880000000001</v>
      </c>
      <c r="I381" s="1262"/>
    </row>
    <row r="382" spans="1:9" ht="15.75">
      <c r="A382" s="1258" t="s">
        <v>9044</v>
      </c>
      <c r="B382" s="1259" t="s">
        <v>12985</v>
      </c>
      <c r="C382" s="1260" t="s">
        <v>2673</v>
      </c>
      <c r="D382" s="1261">
        <f>VLOOKUP(A382,[6]MTC!$B$9:$S$920,13,0)</f>
        <v>403740</v>
      </c>
      <c r="E382" s="1268">
        <v>3.1E-2</v>
      </c>
      <c r="F382" s="1261"/>
      <c r="G382" s="1261"/>
      <c r="H382" s="1261">
        <f>E382*D382</f>
        <v>12515.94</v>
      </c>
      <c r="I382" s="1262"/>
    </row>
    <row r="383" spans="1:9" ht="15.75">
      <c r="A383" s="1258" t="s">
        <v>9057</v>
      </c>
      <c r="B383" s="1259" t="s">
        <v>3120</v>
      </c>
      <c r="C383" s="1260" t="s">
        <v>2673</v>
      </c>
      <c r="D383" s="1261">
        <f>VLOOKUP(A383,[6]MTC!$B$9:$S$920,13,0)</f>
        <v>142910</v>
      </c>
      <c r="E383" s="1268">
        <v>3.1E-2</v>
      </c>
      <c r="F383" s="1261"/>
      <c r="G383" s="1261"/>
      <c r="H383" s="1261">
        <f>E383*D383</f>
        <v>4430.21</v>
      </c>
      <c r="I383" s="1262"/>
    </row>
    <row r="384" spans="1:9" ht="15.75">
      <c r="A384" s="1250" t="s">
        <v>13096</v>
      </c>
      <c r="B384" s="1251" t="s">
        <v>13097</v>
      </c>
      <c r="C384" s="1252"/>
      <c r="D384" s="1252"/>
      <c r="E384" s="1252"/>
      <c r="F384" s="1254"/>
      <c r="G384" s="1254"/>
      <c r="H384" s="1254"/>
      <c r="I384" s="1255"/>
    </row>
    <row r="385" spans="1:9" ht="15.75">
      <c r="A385" s="1250"/>
      <c r="B385" s="1256" t="s">
        <v>12978</v>
      </c>
      <c r="C385" s="1252"/>
      <c r="D385" s="1252"/>
      <c r="E385" s="1252"/>
      <c r="F385" s="1254"/>
      <c r="G385" s="1254"/>
      <c r="H385" s="1254"/>
      <c r="I385" s="1255"/>
    </row>
    <row r="386" spans="1:9" ht="15.75">
      <c r="A386" s="1250"/>
      <c r="B386" s="1257" t="s">
        <v>13098</v>
      </c>
      <c r="C386" s="1252"/>
      <c r="D386" s="1252"/>
      <c r="E386" s="1252"/>
      <c r="F386" s="1254"/>
      <c r="G386" s="1254"/>
      <c r="H386" s="1254"/>
      <c r="I386" s="1255"/>
    </row>
    <row r="387" spans="1:9" ht="15.75">
      <c r="A387" s="1250"/>
      <c r="B387" s="1257" t="s">
        <v>13099</v>
      </c>
      <c r="C387" s="1252"/>
      <c r="D387" s="1252"/>
      <c r="E387" s="1252"/>
      <c r="F387" s="1254"/>
      <c r="G387" s="1254"/>
      <c r="H387" s="1254"/>
      <c r="I387" s="1255"/>
    </row>
    <row r="388" spans="1:9" ht="15.75">
      <c r="A388" s="1250" t="s">
        <v>13100</v>
      </c>
      <c r="B388" s="1251" t="s">
        <v>13101</v>
      </c>
      <c r="C388" s="1252"/>
      <c r="D388" s="1252"/>
      <c r="E388" s="1252"/>
      <c r="F388" s="1254"/>
      <c r="G388" s="1254"/>
      <c r="H388" s="1254"/>
      <c r="I388" s="1255"/>
    </row>
    <row r="389" spans="1:9" ht="15.75">
      <c r="A389" s="1269" t="s">
        <v>13102</v>
      </c>
      <c r="B389" s="1270" t="s">
        <v>3836</v>
      </c>
      <c r="C389" s="1271" t="s">
        <v>211</v>
      </c>
      <c r="D389" s="1271"/>
      <c r="E389" s="1271"/>
      <c r="F389" s="1272">
        <f>SUM(F391:F398)</f>
        <v>192000</v>
      </c>
      <c r="G389" s="1272">
        <f>SUM(G391:G398)</f>
        <v>1198700.72</v>
      </c>
      <c r="H389" s="1272">
        <f>SUM(H391:H398)</f>
        <v>96268.823999999993</v>
      </c>
      <c r="I389" s="1273">
        <f>SUM(F389:H389)</f>
        <v>1486969.544</v>
      </c>
    </row>
    <row r="390" spans="1:9" ht="15.75">
      <c r="A390" s="1258"/>
      <c r="B390" s="1251" t="s">
        <v>108</v>
      </c>
      <c r="C390" s="1260"/>
      <c r="D390" s="1260"/>
      <c r="E390" s="1260"/>
      <c r="F390" s="1261"/>
      <c r="G390" s="1261"/>
      <c r="H390" s="1261"/>
      <c r="I390" s="1262"/>
    </row>
    <row r="391" spans="1:9" ht="15.75">
      <c r="A391" s="1258"/>
      <c r="B391" s="1259" t="s">
        <v>13103</v>
      </c>
      <c r="C391" s="1260" t="s">
        <v>49</v>
      </c>
      <c r="D391" s="1261">
        <f>VLOOKUP(B391,[6]VLP!$B$7:$K$381,10,0)</f>
        <v>16400</v>
      </c>
      <c r="E391" s="1288">
        <v>10</v>
      </c>
      <c r="F391" s="1261">
        <f>E391*D391</f>
        <v>164000</v>
      </c>
      <c r="G391" s="1261"/>
      <c r="H391" s="1261"/>
      <c r="I391" s="1262"/>
    </row>
    <row r="392" spans="1:9" ht="15.75">
      <c r="A392" s="1258"/>
      <c r="B392" s="1259" t="s">
        <v>3195</v>
      </c>
      <c r="C392" s="1260" t="s">
        <v>3144</v>
      </c>
      <c r="D392" s="1261">
        <f>VLOOKUP(B392,[6]VLP!$B$7:$K$381,10,0)</f>
        <v>14000</v>
      </c>
      <c r="E392" s="1288">
        <v>2</v>
      </c>
      <c r="F392" s="1261">
        <f>E392*D392</f>
        <v>28000</v>
      </c>
      <c r="G392" s="1261"/>
      <c r="H392" s="1261"/>
      <c r="I392" s="1262"/>
    </row>
    <row r="393" spans="1:9" ht="15.75">
      <c r="A393" s="1258"/>
      <c r="B393" s="1251" t="s">
        <v>276</v>
      </c>
      <c r="C393" s="1260"/>
      <c r="D393" s="1260"/>
      <c r="E393" s="1288"/>
      <c r="F393" s="1261"/>
      <c r="G393" s="1261"/>
      <c r="H393" s="1261"/>
      <c r="I393" s="1262"/>
    </row>
    <row r="394" spans="1:9" ht="15.75">
      <c r="A394" s="1258"/>
      <c r="B394" s="1259" t="s">
        <v>2675</v>
      </c>
      <c r="C394" s="1260" t="s">
        <v>2674</v>
      </c>
      <c r="D394" s="1261">
        <f>VLOOKUP(B394,ĐMNC!$H$13:$J$20,3,0)</f>
        <v>248360</v>
      </c>
      <c r="E394" s="1288">
        <v>2.71</v>
      </c>
      <c r="F394" s="1261"/>
      <c r="G394" s="1261">
        <f>E394*D394</f>
        <v>673055.6</v>
      </c>
      <c r="H394" s="1261"/>
      <c r="I394" s="1262"/>
    </row>
    <row r="395" spans="1:9" ht="15.75">
      <c r="A395" s="1258"/>
      <c r="B395" s="1259" t="s">
        <v>4008</v>
      </c>
      <c r="C395" s="1260" t="s">
        <v>2674</v>
      </c>
      <c r="D395" s="1261">
        <f>VLOOKUP(B395,ĐMNC!$A$7:$F$67,4,0)</f>
        <v>252714</v>
      </c>
      <c r="E395" s="1288">
        <v>2.08</v>
      </c>
      <c r="F395" s="1261"/>
      <c r="G395" s="1261">
        <f>E395*D395</f>
        <v>525645.12</v>
      </c>
      <c r="H395" s="1261"/>
      <c r="I395" s="1262"/>
    </row>
    <row r="396" spans="1:9" ht="15.75">
      <c r="A396" s="1258"/>
      <c r="B396" s="1251" t="s">
        <v>3914</v>
      </c>
      <c r="C396" s="1260"/>
      <c r="D396" s="1260"/>
      <c r="E396" s="1288"/>
      <c r="F396" s="1261"/>
      <c r="G396" s="1261"/>
      <c r="H396" s="1261"/>
      <c r="I396" s="1262"/>
    </row>
    <row r="397" spans="1:9" ht="15.75">
      <c r="A397" s="1258" t="s">
        <v>9058</v>
      </c>
      <c r="B397" s="1259" t="s">
        <v>2684</v>
      </c>
      <c r="C397" s="1260" t="s">
        <v>2673</v>
      </c>
      <c r="D397" s="1261">
        <f>VLOOKUP(A397,[6]MTC!$B$9:$S$920,13,0)</f>
        <v>48609</v>
      </c>
      <c r="E397" s="1288">
        <v>0.72899999999999998</v>
      </c>
      <c r="F397" s="1261"/>
      <c r="G397" s="1261"/>
      <c r="H397" s="1261">
        <f>E397*D397</f>
        <v>35435.960999999996</v>
      </c>
      <c r="I397" s="1262"/>
    </row>
    <row r="398" spans="1:9" ht="15.75">
      <c r="A398" s="1258" t="s">
        <v>9059</v>
      </c>
      <c r="B398" s="1259" t="s">
        <v>2688</v>
      </c>
      <c r="C398" s="1260" t="s">
        <v>2673</v>
      </c>
      <c r="D398" s="1261">
        <f>VLOOKUP(A398,[6]MTC!$B$9:$S$920,13,0)</f>
        <v>83447</v>
      </c>
      <c r="E398" s="1288">
        <v>0.72899999999999998</v>
      </c>
      <c r="F398" s="1261"/>
      <c r="G398" s="1261"/>
      <c r="H398" s="1261">
        <f>E398*D398</f>
        <v>60832.862999999998</v>
      </c>
      <c r="I398" s="1262"/>
    </row>
    <row r="399" spans="1:9" ht="15.75">
      <c r="A399" s="1250" t="s">
        <v>13104</v>
      </c>
      <c r="B399" s="1251" t="s">
        <v>13105</v>
      </c>
      <c r="C399" s="1252"/>
      <c r="D399" s="1252"/>
      <c r="E399" s="1252"/>
      <c r="F399" s="1254"/>
      <c r="G399" s="1254"/>
      <c r="H399" s="1254"/>
      <c r="I399" s="1255"/>
    </row>
    <row r="400" spans="1:9" ht="15.75">
      <c r="A400" s="1269" t="s">
        <v>262</v>
      </c>
      <c r="B400" s="1270" t="s">
        <v>13106</v>
      </c>
      <c r="C400" s="1271" t="s">
        <v>264</v>
      </c>
      <c r="D400" s="1271"/>
      <c r="E400" s="1271"/>
      <c r="F400" s="1272">
        <f>SUM(F402:F408)</f>
        <v>184800</v>
      </c>
      <c r="G400" s="1272">
        <f>SUM(G402:G408)</f>
        <v>290697.12</v>
      </c>
      <c r="H400" s="1272">
        <f>SUM(H402:H408)</f>
        <v>18916.29</v>
      </c>
      <c r="I400" s="1273">
        <f>SUM(F400:H400)</f>
        <v>494413.41</v>
      </c>
    </row>
    <row r="401" spans="1:9" ht="15.75">
      <c r="A401" s="1258"/>
      <c r="B401" s="1251" t="s">
        <v>108</v>
      </c>
      <c r="C401" s="1260"/>
      <c r="D401" s="1260"/>
      <c r="E401" s="1260"/>
      <c r="F401" s="1261"/>
      <c r="G401" s="1261"/>
      <c r="H401" s="1261"/>
      <c r="I401" s="1262"/>
    </row>
    <row r="402" spans="1:9" ht="15.75">
      <c r="A402" s="1258"/>
      <c r="B402" s="1259" t="s">
        <v>13107</v>
      </c>
      <c r="C402" s="1260" t="s">
        <v>49</v>
      </c>
      <c r="D402" s="1261">
        <f>VLOOKUP(B402,[6]VLP!$B$7:$K$381,10,0)</f>
        <v>23100</v>
      </c>
      <c r="E402" s="1288">
        <v>8</v>
      </c>
      <c r="F402" s="1261">
        <f>E402*D402</f>
        <v>184800</v>
      </c>
      <c r="G402" s="1261"/>
      <c r="H402" s="1261"/>
      <c r="I402" s="1262"/>
    </row>
    <row r="403" spans="1:9" ht="15.75">
      <c r="A403" s="1258"/>
      <c r="B403" s="1251" t="s">
        <v>276</v>
      </c>
      <c r="C403" s="1260"/>
      <c r="D403" s="1260"/>
      <c r="E403" s="1288"/>
      <c r="F403" s="1261"/>
      <c r="G403" s="1261"/>
      <c r="H403" s="1261"/>
      <c r="I403" s="1262"/>
    </row>
    <row r="404" spans="1:9" ht="15.75">
      <c r="A404" s="1258"/>
      <c r="B404" s="1259" t="s">
        <v>2680</v>
      </c>
      <c r="C404" s="1260" t="s">
        <v>2674</v>
      </c>
      <c r="D404" s="1261">
        <f>VLOOKUP(B404,ĐMNC!$H$13:$J$20,3,0)</f>
        <v>223524</v>
      </c>
      <c r="E404" s="1288">
        <v>0.69</v>
      </c>
      <c r="F404" s="1261"/>
      <c r="G404" s="1261">
        <f>E404*D404</f>
        <v>154231.56</v>
      </c>
      <c r="H404" s="1261"/>
      <c r="I404" s="1262"/>
    </row>
    <row r="405" spans="1:9" ht="15.75">
      <c r="A405" s="1258"/>
      <c r="B405" s="1259" t="s">
        <v>4008</v>
      </c>
      <c r="C405" s="1260" t="s">
        <v>2674</v>
      </c>
      <c r="D405" s="1261">
        <f>VLOOKUP(B405,ĐMNC!$A$7:$F$67,4,0)</f>
        <v>252714</v>
      </c>
      <c r="E405" s="1288">
        <v>0.54</v>
      </c>
      <c r="F405" s="1261"/>
      <c r="G405" s="1261">
        <f>E405*D405</f>
        <v>136465.56</v>
      </c>
      <c r="H405" s="1261"/>
      <c r="I405" s="1262"/>
    </row>
    <row r="406" spans="1:9" ht="15.75">
      <c r="A406" s="1258"/>
      <c r="B406" s="1251" t="s">
        <v>3914</v>
      </c>
      <c r="C406" s="1260"/>
      <c r="D406" s="1260"/>
      <c r="E406" s="1288"/>
      <c r="F406" s="1261"/>
      <c r="G406" s="1261"/>
      <c r="H406" s="1261"/>
      <c r="I406" s="1262"/>
    </row>
    <row r="407" spans="1:9" ht="15.75">
      <c r="A407" s="1258" t="s">
        <v>9058</v>
      </c>
      <c r="B407" s="1259" t="s">
        <v>2684</v>
      </c>
      <c r="C407" s="1260" t="s">
        <v>2673</v>
      </c>
      <c r="D407" s="1261">
        <f>VLOOKUP(A407,[6]MTC!$B$9:$S$920,13,0)</f>
        <v>48609</v>
      </c>
      <c r="E407" s="1288">
        <v>0.28100000000000003</v>
      </c>
      <c r="F407" s="1261"/>
      <c r="G407" s="1261"/>
      <c r="H407" s="1261">
        <f>E407*D407</f>
        <v>13659.129000000001</v>
      </c>
      <c r="I407" s="1262"/>
    </row>
    <row r="408" spans="1:9" ht="15.75">
      <c r="A408" s="1258" t="s">
        <v>9059</v>
      </c>
      <c r="B408" s="1259" t="s">
        <v>2688</v>
      </c>
      <c r="C408" s="1260" t="s">
        <v>2673</v>
      </c>
      <c r="D408" s="1261">
        <f>VLOOKUP(A408,[6]MTC!$B$9:$S$920,13,0)</f>
        <v>83447</v>
      </c>
      <c r="E408" s="1288">
        <v>6.3E-2</v>
      </c>
      <c r="F408" s="1261"/>
      <c r="G408" s="1261"/>
      <c r="H408" s="1261">
        <f>E408*D408</f>
        <v>5257.1610000000001</v>
      </c>
      <c r="I408" s="1262"/>
    </row>
    <row r="409" spans="1:9" ht="15.75">
      <c r="A409" s="1269" t="s">
        <v>2685</v>
      </c>
      <c r="B409" s="1270" t="s">
        <v>13108</v>
      </c>
      <c r="C409" s="1271" t="s">
        <v>264</v>
      </c>
      <c r="D409" s="1271"/>
      <c r="E409" s="1289"/>
      <c r="F409" s="1272">
        <f>SUM(F411:F417)</f>
        <v>115500</v>
      </c>
      <c r="G409" s="1272">
        <f>SUM(G411:G417)</f>
        <v>99426.180000000008</v>
      </c>
      <c r="H409" s="1272">
        <f>SUM(H411:H417)</f>
        <v>10356.18</v>
      </c>
      <c r="I409" s="1273">
        <f>SUM(F409:H409)</f>
        <v>225282.36</v>
      </c>
    </row>
    <row r="410" spans="1:9" ht="15.75">
      <c r="A410" s="1258"/>
      <c r="B410" s="1251" t="s">
        <v>108</v>
      </c>
      <c r="C410" s="1260"/>
      <c r="D410" s="1260"/>
      <c r="E410" s="1288"/>
      <c r="F410" s="1261"/>
      <c r="G410" s="1261"/>
      <c r="H410" s="1261"/>
      <c r="I410" s="1262"/>
    </row>
    <row r="411" spans="1:9" ht="15.75">
      <c r="A411" s="1258"/>
      <c r="B411" s="1259" t="s">
        <v>13107</v>
      </c>
      <c r="C411" s="1260" t="s">
        <v>49</v>
      </c>
      <c r="D411" s="1261">
        <f>VLOOKUP(B411,[6]VLP!$B$7:$K$381,10,0)</f>
        <v>23100</v>
      </c>
      <c r="E411" s="1288">
        <v>5</v>
      </c>
      <c r="F411" s="1261">
        <f>E411*D411</f>
        <v>115500</v>
      </c>
      <c r="G411" s="1261"/>
      <c r="H411" s="1261"/>
      <c r="I411" s="1262"/>
    </row>
    <row r="412" spans="1:9" ht="15.75">
      <c r="A412" s="1258"/>
      <c r="B412" s="1251" t="s">
        <v>276</v>
      </c>
      <c r="C412" s="1260"/>
      <c r="D412" s="1260"/>
      <c r="E412" s="1288"/>
      <c r="F412" s="1261"/>
      <c r="G412" s="1261"/>
      <c r="H412" s="1261"/>
      <c r="I412" s="1262"/>
    </row>
    <row r="413" spans="1:9" ht="15.75">
      <c r="A413" s="1258"/>
      <c r="B413" s="1259" t="s">
        <v>2680</v>
      </c>
      <c r="C413" s="1260" t="s">
        <v>2674</v>
      </c>
      <c r="D413" s="1261">
        <f>VLOOKUP(B413,ĐMNC!$H$13:$J$20,3,0)</f>
        <v>223524</v>
      </c>
      <c r="E413" s="1288">
        <v>0.23</v>
      </c>
      <c r="F413" s="1261"/>
      <c r="G413" s="1261">
        <f>E413*D413</f>
        <v>51410.520000000004</v>
      </c>
      <c r="H413" s="1261"/>
      <c r="I413" s="1262"/>
    </row>
    <row r="414" spans="1:9" ht="15.75">
      <c r="A414" s="1258"/>
      <c r="B414" s="1259" t="s">
        <v>4008</v>
      </c>
      <c r="C414" s="1260" t="s">
        <v>2674</v>
      </c>
      <c r="D414" s="1261">
        <f>VLOOKUP(B414,ĐMNC!$A$7:$F$67,4,0)</f>
        <v>252714</v>
      </c>
      <c r="E414" s="1288">
        <v>0.19</v>
      </c>
      <c r="F414" s="1261"/>
      <c r="G414" s="1261">
        <f>E414*D414</f>
        <v>48015.66</v>
      </c>
      <c r="H414" s="1261"/>
      <c r="I414" s="1262"/>
    </row>
    <row r="415" spans="1:9" ht="15.75">
      <c r="A415" s="1258"/>
      <c r="B415" s="1251" t="s">
        <v>3914</v>
      </c>
      <c r="C415" s="1260"/>
      <c r="D415" s="1260"/>
      <c r="E415" s="1288"/>
      <c r="F415" s="1261"/>
      <c r="G415" s="1261"/>
      <c r="H415" s="1261"/>
      <c r="I415" s="1262"/>
    </row>
    <row r="416" spans="1:9" ht="15.75">
      <c r="A416" s="1258" t="s">
        <v>9058</v>
      </c>
      <c r="B416" s="1259" t="s">
        <v>2684</v>
      </c>
      <c r="C416" s="1260" t="s">
        <v>2673</v>
      </c>
      <c r="D416" s="1261">
        <f>VLOOKUP(A416,[6]MTC!$B$9:$S$920,13,0)</f>
        <v>48609</v>
      </c>
      <c r="E416" s="1288">
        <v>0.17699999999999999</v>
      </c>
      <c r="F416" s="1261"/>
      <c r="G416" s="1261"/>
      <c r="H416" s="1261">
        <f>E416*D416</f>
        <v>8603.7929999999997</v>
      </c>
      <c r="I416" s="1262"/>
    </row>
    <row r="417" spans="1:9" ht="15.75">
      <c r="A417" s="1258" t="s">
        <v>9059</v>
      </c>
      <c r="B417" s="1259" t="s">
        <v>2688</v>
      </c>
      <c r="C417" s="1260" t="s">
        <v>2673</v>
      </c>
      <c r="D417" s="1261">
        <f>VLOOKUP(A417,[6]MTC!$B$9:$S$920,13,0)</f>
        <v>83447</v>
      </c>
      <c r="E417" s="1288">
        <v>2.1000000000000001E-2</v>
      </c>
      <c r="F417" s="1261"/>
      <c r="G417" s="1261"/>
      <c r="H417" s="1261">
        <f>E417*D417</f>
        <v>1752.3870000000002</v>
      </c>
      <c r="I417" s="1262"/>
    </row>
    <row r="418" spans="1:9" ht="15.75">
      <c r="A418" s="1258"/>
      <c r="B418" s="1259"/>
      <c r="C418" s="1260"/>
      <c r="D418" s="1260"/>
      <c r="E418" s="1260"/>
      <c r="F418" s="1261"/>
      <c r="G418" s="1261"/>
      <c r="H418" s="1261"/>
      <c r="I418" s="1262"/>
    </row>
    <row r="419" spans="1:9" ht="16.5" thickBot="1">
      <c r="A419" s="1290"/>
      <c r="B419" s="1291"/>
      <c r="C419" s="1292"/>
      <c r="D419" s="1292"/>
      <c r="E419" s="1292"/>
      <c r="F419" s="1293"/>
      <c r="G419" s="1293"/>
      <c r="H419" s="1293"/>
      <c r="I419" s="1294"/>
    </row>
    <row r="420" spans="1:9" ht="15.75" thickTop="1"/>
  </sheetData>
  <mergeCells count="4">
    <mergeCell ref="D4:D5"/>
    <mergeCell ref="E4:E5"/>
    <mergeCell ref="F4:H4"/>
    <mergeCell ref="I4:I5"/>
  </mergeCells>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workbookViewId="0">
      <selection activeCell="F5" sqref="F5"/>
    </sheetView>
  </sheetViews>
  <sheetFormatPr defaultColWidth="11.5703125" defaultRowHeight="15"/>
  <cols>
    <col min="1" max="1" width="52" style="1058" customWidth="1"/>
    <col min="2" max="2" width="11.28515625" style="1058" customWidth="1"/>
    <col min="3" max="5" width="13.7109375" style="1058" customWidth="1"/>
    <col min="6" max="6" width="16.5703125" style="1058" customWidth="1"/>
    <col min="7" max="7" width="11.5703125" style="1058"/>
    <col min="8" max="8" width="14.140625" style="1058" customWidth="1"/>
    <col min="9" max="12" width="12.7109375" style="1058" bestFit="1" customWidth="1"/>
    <col min="13" max="13" width="12.7109375" style="1058" customWidth="1"/>
    <col min="14" max="256" width="11.5703125" style="1058"/>
    <col min="257" max="257" width="52" style="1058" customWidth="1"/>
    <col min="258" max="258" width="11.28515625" style="1058" customWidth="1"/>
    <col min="259" max="261" width="13.7109375" style="1058" customWidth="1"/>
    <col min="262" max="262" width="16.5703125" style="1058" customWidth="1"/>
    <col min="263" max="263" width="11.5703125" style="1058"/>
    <col min="264" max="264" width="14.140625" style="1058" customWidth="1"/>
    <col min="265" max="268" width="12.7109375" style="1058" bestFit="1" customWidth="1"/>
    <col min="269" max="269" width="12.7109375" style="1058" customWidth="1"/>
    <col min="270" max="512" width="11.5703125" style="1058"/>
    <col min="513" max="513" width="52" style="1058" customWidth="1"/>
    <col min="514" max="514" width="11.28515625" style="1058" customWidth="1"/>
    <col min="515" max="517" width="13.7109375" style="1058" customWidth="1"/>
    <col min="518" max="518" width="16.5703125" style="1058" customWidth="1"/>
    <col min="519" max="519" width="11.5703125" style="1058"/>
    <col min="520" max="520" width="14.140625" style="1058" customWidth="1"/>
    <col min="521" max="524" width="12.7109375" style="1058" bestFit="1" customWidth="1"/>
    <col min="525" max="525" width="12.7109375" style="1058" customWidth="1"/>
    <col min="526" max="768" width="11.5703125" style="1058"/>
    <col min="769" max="769" width="52" style="1058" customWidth="1"/>
    <col min="770" max="770" width="11.28515625" style="1058" customWidth="1"/>
    <col min="771" max="773" width="13.7109375" style="1058" customWidth="1"/>
    <col min="774" max="774" width="16.5703125" style="1058" customWidth="1"/>
    <col min="775" max="775" width="11.5703125" style="1058"/>
    <col min="776" max="776" width="14.140625" style="1058" customWidth="1"/>
    <col min="777" max="780" width="12.7109375" style="1058" bestFit="1" customWidth="1"/>
    <col min="781" max="781" width="12.7109375" style="1058" customWidth="1"/>
    <col min="782" max="1024" width="11.5703125" style="1058"/>
    <col min="1025" max="1025" width="52" style="1058" customWidth="1"/>
    <col min="1026" max="1026" width="11.28515625" style="1058" customWidth="1"/>
    <col min="1027" max="1029" width="13.7109375" style="1058" customWidth="1"/>
    <col min="1030" max="1030" width="16.5703125" style="1058" customWidth="1"/>
    <col min="1031" max="1031" width="11.5703125" style="1058"/>
    <col min="1032" max="1032" width="14.140625" style="1058" customWidth="1"/>
    <col min="1033" max="1036" width="12.7109375" style="1058" bestFit="1" customWidth="1"/>
    <col min="1037" max="1037" width="12.7109375" style="1058" customWidth="1"/>
    <col min="1038" max="1280" width="11.5703125" style="1058"/>
    <col min="1281" max="1281" width="52" style="1058" customWidth="1"/>
    <col min="1282" max="1282" width="11.28515625" style="1058" customWidth="1"/>
    <col min="1283" max="1285" width="13.7109375" style="1058" customWidth="1"/>
    <col min="1286" max="1286" width="16.5703125" style="1058" customWidth="1"/>
    <col min="1287" max="1287" width="11.5703125" style="1058"/>
    <col min="1288" max="1288" width="14.140625" style="1058" customWidth="1"/>
    <col min="1289" max="1292" width="12.7109375" style="1058" bestFit="1" customWidth="1"/>
    <col min="1293" max="1293" width="12.7109375" style="1058" customWidth="1"/>
    <col min="1294" max="1536" width="11.5703125" style="1058"/>
    <col min="1537" max="1537" width="52" style="1058" customWidth="1"/>
    <col min="1538" max="1538" width="11.28515625" style="1058" customWidth="1"/>
    <col min="1539" max="1541" width="13.7109375" style="1058" customWidth="1"/>
    <col min="1542" max="1542" width="16.5703125" style="1058" customWidth="1"/>
    <col min="1543" max="1543" width="11.5703125" style="1058"/>
    <col min="1544" max="1544" width="14.140625" style="1058" customWidth="1"/>
    <col min="1545" max="1548" width="12.7109375" style="1058" bestFit="1" customWidth="1"/>
    <col min="1549" max="1549" width="12.7109375" style="1058" customWidth="1"/>
    <col min="1550" max="1792" width="11.5703125" style="1058"/>
    <col min="1793" max="1793" width="52" style="1058" customWidth="1"/>
    <col min="1794" max="1794" width="11.28515625" style="1058" customWidth="1"/>
    <col min="1795" max="1797" width="13.7109375" style="1058" customWidth="1"/>
    <col min="1798" max="1798" width="16.5703125" style="1058" customWidth="1"/>
    <col min="1799" max="1799" width="11.5703125" style="1058"/>
    <col min="1800" max="1800" width="14.140625" style="1058" customWidth="1"/>
    <col min="1801" max="1804" width="12.7109375" style="1058" bestFit="1" customWidth="1"/>
    <col min="1805" max="1805" width="12.7109375" style="1058" customWidth="1"/>
    <col min="1806" max="2048" width="11.5703125" style="1058"/>
    <col min="2049" max="2049" width="52" style="1058" customWidth="1"/>
    <col min="2050" max="2050" width="11.28515625" style="1058" customWidth="1"/>
    <col min="2051" max="2053" width="13.7109375" style="1058" customWidth="1"/>
    <col min="2054" max="2054" width="16.5703125" style="1058" customWidth="1"/>
    <col min="2055" max="2055" width="11.5703125" style="1058"/>
    <col min="2056" max="2056" width="14.140625" style="1058" customWidth="1"/>
    <col min="2057" max="2060" width="12.7109375" style="1058" bestFit="1" customWidth="1"/>
    <col min="2061" max="2061" width="12.7109375" style="1058" customWidth="1"/>
    <col min="2062" max="2304" width="11.5703125" style="1058"/>
    <col min="2305" max="2305" width="52" style="1058" customWidth="1"/>
    <col min="2306" max="2306" width="11.28515625" style="1058" customWidth="1"/>
    <col min="2307" max="2309" width="13.7109375" style="1058" customWidth="1"/>
    <col min="2310" max="2310" width="16.5703125" style="1058" customWidth="1"/>
    <col min="2311" max="2311" width="11.5703125" style="1058"/>
    <col min="2312" max="2312" width="14.140625" style="1058" customWidth="1"/>
    <col min="2313" max="2316" width="12.7109375" style="1058" bestFit="1" customWidth="1"/>
    <col min="2317" max="2317" width="12.7109375" style="1058" customWidth="1"/>
    <col min="2318" max="2560" width="11.5703125" style="1058"/>
    <col min="2561" max="2561" width="52" style="1058" customWidth="1"/>
    <col min="2562" max="2562" width="11.28515625" style="1058" customWidth="1"/>
    <col min="2563" max="2565" width="13.7109375" style="1058" customWidth="1"/>
    <col min="2566" max="2566" width="16.5703125" style="1058" customWidth="1"/>
    <col min="2567" max="2567" width="11.5703125" style="1058"/>
    <col min="2568" max="2568" width="14.140625" style="1058" customWidth="1"/>
    <col min="2569" max="2572" width="12.7109375" style="1058" bestFit="1" customWidth="1"/>
    <col min="2573" max="2573" width="12.7109375" style="1058" customWidth="1"/>
    <col min="2574" max="2816" width="11.5703125" style="1058"/>
    <col min="2817" max="2817" width="52" style="1058" customWidth="1"/>
    <col min="2818" max="2818" width="11.28515625" style="1058" customWidth="1"/>
    <col min="2819" max="2821" width="13.7109375" style="1058" customWidth="1"/>
    <col min="2822" max="2822" width="16.5703125" style="1058" customWidth="1"/>
    <col min="2823" max="2823" width="11.5703125" style="1058"/>
    <col min="2824" max="2824" width="14.140625" style="1058" customWidth="1"/>
    <col min="2825" max="2828" width="12.7109375" style="1058" bestFit="1" customWidth="1"/>
    <col min="2829" max="2829" width="12.7109375" style="1058" customWidth="1"/>
    <col min="2830" max="3072" width="11.5703125" style="1058"/>
    <col min="3073" max="3073" width="52" style="1058" customWidth="1"/>
    <col min="3074" max="3074" width="11.28515625" style="1058" customWidth="1"/>
    <col min="3075" max="3077" width="13.7109375" style="1058" customWidth="1"/>
    <col min="3078" max="3078" width="16.5703125" style="1058" customWidth="1"/>
    <col min="3079" max="3079" width="11.5703125" style="1058"/>
    <col min="3080" max="3080" width="14.140625" style="1058" customWidth="1"/>
    <col min="3081" max="3084" width="12.7109375" style="1058" bestFit="1" customWidth="1"/>
    <col min="3085" max="3085" width="12.7109375" style="1058" customWidth="1"/>
    <col min="3086" max="3328" width="11.5703125" style="1058"/>
    <col min="3329" max="3329" width="52" style="1058" customWidth="1"/>
    <col min="3330" max="3330" width="11.28515625" style="1058" customWidth="1"/>
    <col min="3331" max="3333" width="13.7109375" style="1058" customWidth="1"/>
    <col min="3334" max="3334" width="16.5703125" style="1058" customWidth="1"/>
    <col min="3335" max="3335" width="11.5703125" style="1058"/>
    <col min="3336" max="3336" width="14.140625" style="1058" customWidth="1"/>
    <col min="3337" max="3340" width="12.7109375" style="1058" bestFit="1" customWidth="1"/>
    <col min="3341" max="3341" width="12.7109375" style="1058" customWidth="1"/>
    <col min="3342" max="3584" width="11.5703125" style="1058"/>
    <col min="3585" max="3585" width="52" style="1058" customWidth="1"/>
    <col min="3586" max="3586" width="11.28515625" style="1058" customWidth="1"/>
    <col min="3587" max="3589" width="13.7109375" style="1058" customWidth="1"/>
    <col min="3590" max="3590" width="16.5703125" style="1058" customWidth="1"/>
    <col min="3591" max="3591" width="11.5703125" style="1058"/>
    <col min="3592" max="3592" width="14.140625" style="1058" customWidth="1"/>
    <col min="3593" max="3596" width="12.7109375" style="1058" bestFit="1" customWidth="1"/>
    <col min="3597" max="3597" width="12.7109375" style="1058" customWidth="1"/>
    <col min="3598" max="3840" width="11.5703125" style="1058"/>
    <col min="3841" max="3841" width="52" style="1058" customWidth="1"/>
    <col min="3842" max="3842" width="11.28515625" style="1058" customWidth="1"/>
    <col min="3843" max="3845" width="13.7109375" style="1058" customWidth="1"/>
    <col min="3846" max="3846" width="16.5703125" style="1058" customWidth="1"/>
    <col min="3847" max="3847" width="11.5703125" style="1058"/>
    <col min="3848" max="3848" width="14.140625" style="1058" customWidth="1"/>
    <col min="3849" max="3852" width="12.7109375" style="1058" bestFit="1" customWidth="1"/>
    <col min="3853" max="3853" width="12.7109375" style="1058" customWidth="1"/>
    <col min="3854" max="4096" width="11.5703125" style="1058"/>
    <col min="4097" max="4097" width="52" style="1058" customWidth="1"/>
    <col min="4098" max="4098" width="11.28515625" style="1058" customWidth="1"/>
    <col min="4099" max="4101" width="13.7109375" style="1058" customWidth="1"/>
    <col min="4102" max="4102" width="16.5703125" style="1058" customWidth="1"/>
    <col min="4103" max="4103" width="11.5703125" style="1058"/>
    <col min="4104" max="4104" width="14.140625" style="1058" customWidth="1"/>
    <col min="4105" max="4108" width="12.7109375" style="1058" bestFit="1" customWidth="1"/>
    <col min="4109" max="4109" width="12.7109375" style="1058" customWidth="1"/>
    <col min="4110" max="4352" width="11.5703125" style="1058"/>
    <col min="4353" max="4353" width="52" style="1058" customWidth="1"/>
    <col min="4354" max="4354" width="11.28515625" style="1058" customWidth="1"/>
    <col min="4355" max="4357" width="13.7109375" style="1058" customWidth="1"/>
    <col min="4358" max="4358" width="16.5703125" style="1058" customWidth="1"/>
    <col min="4359" max="4359" width="11.5703125" style="1058"/>
    <col min="4360" max="4360" width="14.140625" style="1058" customWidth="1"/>
    <col min="4361" max="4364" width="12.7109375" style="1058" bestFit="1" customWidth="1"/>
    <col min="4365" max="4365" width="12.7109375" style="1058" customWidth="1"/>
    <col min="4366" max="4608" width="11.5703125" style="1058"/>
    <col min="4609" max="4609" width="52" style="1058" customWidth="1"/>
    <col min="4610" max="4610" width="11.28515625" style="1058" customWidth="1"/>
    <col min="4611" max="4613" width="13.7109375" style="1058" customWidth="1"/>
    <col min="4614" max="4614" width="16.5703125" style="1058" customWidth="1"/>
    <col min="4615" max="4615" width="11.5703125" style="1058"/>
    <col min="4616" max="4616" width="14.140625" style="1058" customWidth="1"/>
    <col min="4617" max="4620" width="12.7109375" style="1058" bestFit="1" customWidth="1"/>
    <col min="4621" max="4621" width="12.7109375" style="1058" customWidth="1"/>
    <col min="4622" max="4864" width="11.5703125" style="1058"/>
    <col min="4865" max="4865" width="52" style="1058" customWidth="1"/>
    <col min="4866" max="4866" width="11.28515625" style="1058" customWidth="1"/>
    <col min="4867" max="4869" width="13.7109375" style="1058" customWidth="1"/>
    <col min="4870" max="4870" width="16.5703125" style="1058" customWidth="1"/>
    <col min="4871" max="4871" width="11.5703125" style="1058"/>
    <col min="4872" max="4872" width="14.140625" style="1058" customWidth="1"/>
    <col min="4873" max="4876" width="12.7109375" style="1058" bestFit="1" customWidth="1"/>
    <col min="4877" max="4877" width="12.7109375" style="1058" customWidth="1"/>
    <col min="4878" max="5120" width="11.5703125" style="1058"/>
    <col min="5121" max="5121" width="52" style="1058" customWidth="1"/>
    <col min="5122" max="5122" width="11.28515625" style="1058" customWidth="1"/>
    <col min="5123" max="5125" width="13.7109375" style="1058" customWidth="1"/>
    <col min="5126" max="5126" width="16.5703125" style="1058" customWidth="1"/>
    <col min="5127" max="5127" width="11.5703125" style="1058"/>
    <col min="5128" max="5128" width="14.140625" style="1058" customWidth="1"/>
    <col min="5129" max="5132" width="12.7109375" style="1058" bestFit="1" customWidth="1"/>
    <col min="5133" max="5133" width="12.7109375" style="1058" customWidth="1"/>
    <col min="5134" max="5376" width="11.5703125" style="1058"/>
    <col min="5377" max="5377" width="52" style="1058" customWidth="1"/>
    <col min="5378" max="5378" width="11.28515625" style="1058" customWidth="1"/>
    <col min="5379" max="5381" width="13.7109375" style="1058" customWidth="1"/>
    <col min="5382" max="5382" width="16.5703125" style="1058" customWidth="1"/>
    <col min="5383" max="5383" width="11.5703125" style="1058"/>
    <col min="5384" max="5384" width="14.140625" style="1058" customWidth="1"/>
    <col min="5385" max="5388" width="12.7109375" style="1058" bestFit="1" customWidth="1"/>
    <col min="5389" max="5389" width="12.7109375" style="1058" customWidth="1"/>
    <col min="5390" max="5632" width="11.5703125" style="1058"/>
    <col min="5633" max="5633" width="52" style="1058" customWidth="1"/>
    <col min="5634" max="5634" width="11.28515625" style="1058" customWidth="1"/>
    <col min="5635" max="5637" width="13.7109375" style="1058" customWidth="1"/>
    <col min="5638" max="5638" width="16.5703125" style="1058" customWidth="1"/>
    <col min="5639" max="5639" width="11.5703125" style="1058"/>
    <col min="5640" max="5640" width="14.140625" style="1058" customWidth="1"/>
    <col min="5641" max="5644" width="12.7109375" style="1058" bestFit="1" customWidth="1"/>
    <col min="5645" max="5645" width="12.7109375" style="1058" customWidth="1"/>
    <col min="5646" max="5888" width="11.5703125" style="1058"/>
    <col min="5889" max="5889" width="52" style="1058" customWidth="1"/>
    <col min="5890" max="5890" width="11.28515625" style="1058" customWidth="1"/>
    <col min="5891" max="5893" width="13.7109375" style="1058" customWidth="1"/>
    <col min="5894" max="5894" width="16.5703125" style="1058" customWidth="1"/>
    <col min="5895" max="5895" width="11.5703125" style="1058"/>
    <col min="5896" max="5896" width="14.140625" style="1058" customWidth="1"/>
    <col min="5897" max="5900" width="12.7109375" style="1058" bestFit="1" customWidth="1"/>
    <col min="5901" max="5901" width="12.7109375" style="1058" customWidth="1"/>
    <col min="5902" max="6144" width="11.5703125" style="1058"/>
    <col min="6145" max="6145" width="52" style="1058" customWidth="1"/>
    <col min="6146" max="6146" width="11.28515625" style="1058" customWidth="1"/>
    <col min="6147" max="6149" width="13.7109375" style="1058" customWidth="1"/>
    <col min="6150" max="6150" width="16.5703125" style="1058" customWidth="1"/>
    <col min="6151" max="6151" width="11.5703125" style="1058"/>
    <col min="6152" max="6152" width="14.140625" style="1058" customWidth="1"/>
    <col min="6153" max="6156" width="12.7109375" style="1058" bestFit="1" customWidth="1"/>
    <col min="6157" max="6157" width="12.7109375" style="1058" customWidth="1"/>
    <col min="6158" max="6400" width="11.5703125" style="1058"/>
    <col min="6401" max="6401" width="52" style="1058" customWidth="1"/>
    <col min="6402" max="6402" width="11.28515625" style="1058" customWidth="1"/>
    <col min="6403" max="6405" width="13.7109375" style="1058" customWidth="1"/>
    <col min="6406" max="6406" width="16.5703125" style="1058" customWidth="1"/>
    <col min="6407" max="6407" width="11.5703125" style="1058"/>
    <col min="6408" max="6408" width="14.140625" style="1058" customWidth="1"/>
    <col min="6409" max="6412" width="12.7109375" style="1058" bestFit="1" customWidth="1"/>
    <col min="6413" max="6413" width="12.7109375" style="1058" customWidth="1"/>
    <col min="6414" max="6656" width="11.5703125" style="1058"/>
    <col min="6657" max="6657" width="52" style="1058" customWidth="1"/>
    <col min="6658" max="6658" width="11.28515625" style="1058" customWidth="1"/>
    <col min="6659" max="6661" width="13.7109375" style="1058" customWidth="1"/>
    <col min="6662" max="6662" width="16.5703125" style="1058" customWidth="1"/>
    <col min="6663" max="6663" width="11.5703125" style="1058"/>
    <col min="6664" max="6664" width="14.140625" style="1058" customWidth="1"/>
    <col min="6665" max="6668" width="12.7109375" style="1058" bestFit="1" customWidth="1"/>
    <col min="6669" max="6669" width="12.7109375" style="1058" customWidth="1"/>
    <col min="6670" max="6912" width="11.5703125" style="1058"/>
    <col min="6913" max="6913" width="52" style="1058" customWidth="1"/>
    <col min="6914" max="6914" width="11.28515625" style="1058" customWidth="1"/>
    <col min="6915" max="6917" width="13.7109375" style="1058" customWidth="1"/>
    <col min="6918" max="6918" width="16.5703125" style="1058" customWidth="1"/>
    <col min="6919" max="6919" width="11.5703125" style="1058"/>
    <col min="6920" max="6920" width="14.140625" style="1058" customWidth="1"/>
    <col min="6921" max="6924" width="12.7109375" style="1058" bestFit="1" customWidth="1"/>
    <col min="6925" max="6925" width="12.7109375" style="1058" customWidth="1"/>
    <col min="6926" max="7168" width="11.5703125" style="1058"/>
    <col min="7169" max="7169" width="52" style="1058" customWidth="1"/>
    <col min="7170" max="7170" width="11.28515625" style="1058" customWidth="1"/>
    <col min="7171" max="7173" width="13.7109375" style="1058" customWidth="1"/>
    <col min="7174" max="7174" width="16.5703125" style="1058" customWidth="1"/>
    <col min="7175" max="7175" width="11.5703125" style="1058"/>
    <col min="7176" max="7176" width="14.140625" style="1058" customWidth="1"/>
    <col min="7177" max="7180" width="12.7109375" style="1058" bestFit="1" customWidth="1"/>
    <col min="7181" max="7181" width="12.7109375" style="1058" customWidth="1"/>
    <col min="7182" max="7424" width="11.5703125" style="1058"/>
    <col min="7425" max="7425" width="52" style="1058" customWidth="1"/>
    <col min="7426" max="7426" width="11.28515625" style="1058" customWidth="1"/>
    <col min="7427" max="7429" width="13.7109375" style="1058" customWidth="1"/>
    <col min="7430" max="7430" width="16.5703125" style="1058" customWidth="1"/>
    <col min="7431" max="7431" width="11.5703125" style="1058"/>
    <col min="7432" max="7432" width="14.140625" style="1058" customWidth="1"/>
    <col min="7433" max="7436" width="12.7109375" style="1058" bestFit="1" customWidth="1"/>
    <col min="7437" max="7437" width="12.7109375" style="1058" customWidth="1"/>
    <col min="7438" max="7680" width="11.5703125" style="1058"/>
    <col min="7681" max="7681" width="52" style="1058" customWidth="1"/>
    <col min="7682" max="7682" width="11.28515625" style="1058" customWidth="1"/>
    <col min="7683" max="7685" width="13.7109375" style="1058" customWidth="1"/>
    <col min="7686" max="7686" width="16.5703125" style="1058" customWidth="1"/>
    <col min="7687" max="7687" width="11.5703125" style="1058"/>
    <col min="7688" max="7688" width="14.140625" style="1058" customWidth="1"/>
    <col min="7689" max="7692" width="12.7109375" style="1058" bestFit="1" customWidth="1"/>
    <col min="7693" max="7693" width="12.7109375" style="1058" customWidth="1"/>
    <col min="7694" max="7936" width="11.5703125" style="1058"/>
    <col min="7937" max="7937" width="52" style="1058" customWidth="1"/>
    <col min="7938" max="7938" width="11.28515625" style="1058" customWidth="1"/>
    <col min="7939" max="7941" width="13.7109375" style="1058" customWidth="1"/>
    <col min="7942" max="7942" width="16.5703125" style="1058" customWidth="1"/>
    <col min="7943" max="7943" width="11.5703125" style="1058"/>
    <col min="7944" max="7944" width="14.140625" style="1058" customWidth="1"/>
    <col min="7945" max="7948" width="12.7109375" style="1058" bestFit="1" customWidth="1"/>
    <col min="7949" max="7949" width="12.7109375" style="1058" customWidth="1"/>
    <col min="7950" max="8192" width="11.5703125" style="1058"/>
    <col min="8193" max="8193" width="52" style="1058" customWidth="1"/>
    <col min="8194" max="8194" width="11.28515625" style="1058" customWidth="1"/>
    <col min="8195" max="8197" width="13.7109375" style="1058" customWidth="1"/>
    <col min="8198" max="8198" width="16.5703125" style="1058" customWidth="1"/>
    <col min="8199" max="8199" width="11.5703125" style="1058"/>
    <col min="8200" max="8200" width="14.140625" style="1058" customWidth="1"/>
    <col min="8201" max="8204" width="12.7109375" style="1058" bestFit="1" customWidth="1"/>
    <col min="8205" max="8205" width="12.7109375" style="1058" customWidth="1"/>
    <col min="8206" max="8448" width="11.5703125" style="1058"/>
    <col min="8449" max="8449" width="52" style="1058" customWidth="1"/>
    <col min="8450" max="8450" width="11.28515625" style="1058" customWidth="1"/>
    <col min="8451" max="8453" width="13.7109375" style="1058" customWidth="1"/>
    <col min="8454" max="8454" width="16.5703125" style="1058" customWidth="1"/>
    <col min="8455" max="8455" width="11.5703125" style="1058"/>
    <col min="8456" max="8456" width="14.140625" style="1058" customWidth="1"/>
    <col min="8457" max="8460" width="12.7109375" style="1058" bestFit="1" customWidth="1"/>
    <col min="8461" max="8461" width="12.7109375" style="1058" customWidth="1"/>
    <col min="8462" max="8704" width="11.5703125" style="1058"/>
    <col min="8705" max="8705" width="52" style="1058" customWidth="1"/>
    <col min="8706" max="8706" width="11.28515625" style="1058" customWidth="1"/>
    <col min="8707" max="8709" width="13.7109375" style="1058" customWidth="1"/>
    <col min="8710" max="8710" width="16.5703125" style="1058" customWidth="1"/>
    <col min="8711" max="8711" width="11.5703125" style="1058"/>
    <col min="8712" max="8712" width="14.140625" style="1058" customWidth="1"/>
    <col min="8713" max="8716" width="12.7109375" style="1058" bestFit="1" customWidth="1"/>
    <col min="8717" max="8717" width="12.7109375" style="1058" customWidth="1"/>
    <col min="8718" max="8960" width="11.5703125" style="1058"/>
    <col min="8961" max="8961" width="52" style="1058" customWidth="1"/>
    <col min="8962" max="8962" width="11.28515625" style="1058" customWidth="1"/>
    <col min="8963" max="8965" width="13.7109375" style="1058" customWidth="1"/>
    <col min="8966" max="8966" width="16.5703125" style="1058" customWidth="1"/>
    <col min="8967" max="8967" width="11.5703125" style="1058"/>
    <col min="8968" max="8968" width="14.140625" style="1058" customWidth="1"/>
    <col min="8969" max="8972" width="12.7109375" style="1058" bestFit="1" customWidth="1"/>
    <col min="8973" max="8973" width="12.7109375" style="1058" customWidth="1"/>
    <col min="8974" max="9216" width="11.5703125" style="1058"/>
    <col min="9217" max="9217" width="52" style="1058" customWidth="1"/>
    <col min="9218" max="9218" width="11.28515625" style="1058" customWidth="1"/>
    <col min="9219" max="9221" width="13.7109375" style="1058" customWidth="1"/>
    <col min="9222" max="9222" width="16.5703125" style="1058" customWidth="1"/>
    <col min="9223" max="9223" width="11.5703125" style="1058"/>
    <col min="9224" max="9224" width="14.140625" style="1058" customWidth="1"/>
    <col min="9225" max="9228" width="12.7109375" style="1058" bestFit="1" customWidth="1"/>
    <col min="9229" max="9229" width="12.7109375" style="1058" customWidth="1"/>
    <col min="9230" max="9472" width="11.5703125" style="1058"/>
    <col min="9473" max="9473" width="52" style="1058" customWidth="1"/>
    <col min="9474" max="9474" width="11.28515625" style="1058" customWidth="1"/>
    <col min="9475" max="9477" width="13.7109375" style="1058" customWidth="1"/>
    <col min="9478" max="9478" width="16.5703125" style="1058" customWidth="1"/>
    <col min="9479" max="9479" width="11.5703125" style="1058"/>
    <col min="9480" max="9480" width="14.140625" style="1058" customWidth="1"/>
    <col min="9481" max="9484" width="12.7109375" style="1058" bestFit="1" customWidth="1"/>
    <col min="9485" max="9485" width="12.7109375" style="1058" customWidth="1"/>
    <col min="9486" max="9728" width="11.5703125" style="1058"/>
    <col min="9729" max="9729" width="52" style="1058" customWidth="1"/>
    <col min="9730" max="9730" width="11.28515625" style="1058" customWidth="1"/>
    <col min="9731" max="9733" width="13.7109375" style="1058" customWidth="1"/>
    <col min="9734" max="9734" width="16.5703125" style="1058" customWidth="1"/>
    <col min="9735" max="9735" width="11.5703125" style="1058"/>
    <col min="9736" max="9736" width="14.140625" style="1058" customWidth="1"/>
    <col min="9737" max="9740" width="12.7109375" style="1058" bestFit="1" customWidth="1"/>
    <col min="9741" max="9741" width="12.7109375" style="1058" customWidth="1"/>
    <col min="9742" max="9984" width="11.5703125" style="1058"/>
    <col min="9985" max="9985" width="52" style="1058" customWidth="1"/>
    <col min="9986" max="9986" width="11.28515625" style="1058" customWidth="1"/>
    <col min="9987" max="9989" width="13.7109375" style="1058" customWidth="1"/>
    <col min="9990" max="9990" width="16.5703125" style="1058" customWidth="1"/>
    <col min="9991" max="9991" width="11.5703125" style="1058"/>
    <col min="9992" max="9992" width="14.140625" style="1058" customWidth="1"/>
    <col min="9993" max="9996" width="12.7109375" style="1058" bestFit="1" customWidth="1"/>
    <col min="9997" max="9997" width="12.7109375" style="1058" customWidth="1"/>
    <col min="9998" max="10240" width="11.5703125" style="1058"/>
    <col min="10241" max="10241" width="52" style="1058" customWidth="1"/>
    <col min="10242" max="10242" width="11.28515625" style="1058" customWidth="1"/>
    <col min="10243" max="10245" width="13.7109375" style="1058" customWidth="1"/>
    <col min="10246" max="10246" width="16.5703125" style="1058" customWidth="1"/>
    <col min="10247" max="10247" width="11.5703125" style="1058"/>
    <col min="10248" max="10248" width="14.140625" style="1058" customWidth="1"/>
    <col min="10249" max="10252" width="12.7109375" style="1058" bestFit="1" customWidth="1"/>
    <col min="10253" max="10253" width="12.7109375" style="1058" customWidth="1"/>
    <col min="10254" max="10496" width="11.5703125" style="1058"/>
    <col min="10497" max="10497" width="52" style="1058" customWidth="1"/>
    <col min="10498" max="10498" width="11.28515625" style="1058" customWidth="1"/>
    <col min="10499" max="10501" width="13.7109375" style="1058" customWidth="1"/>
    <col min="10502" max="10502" width="16.5703125" style="1058" customWidth="1"/>
    <col min="10503" max="10503" width="11.5703125" style="1058"/>
    <col min="10504" max="10504" width="14.140625" style="1058" customWidth="1"/>
    <col min="10505" max="10508" width="12.7109375" style="1058" bestFit="1" customWidth="1"/>
    <col min="10509" max="10509" width="12.7109375" style="1058" customWidth="1"/>
    <col min="10510" max="10752" width="11.5703125" style="1058"/>
    <col min="10753" max="10753" width="52" style="1058" customWidth="1"/>
    <col min="10754" max="10754" width="11.28515625" style="1058" customWidth="1"/>
    <col min="10755" max="10757" width="13.7109375" style="1058" customWidth="1"/>
    <col min="10758" max="10758" width="16.5703125" style="1058" customWidth="1"/>
    <col min="10759" max="10759" width="11.5703125" style="1058"/>
    <col min="10760" max="10760" width="14.140625" style="1058" customWidth="1"/>
    <col min="10761" max="10764" width="12.7109375" style="1058" bestFit="1" customWidth="1"/>
    <col min="10765" max="10765" width="12.7109375" style="1058" customWidth="1"/>
    <col min="10766" max="11008" width="11.5703125" style="1058"/>
    <col min="11009" max="11009" width="52" style="1058" customWidth="1"/>
    <col min="11010" max="11010" width="11.28515625" style="1058" customWidth="1"/>
    <col min="11011" max="11013" width="13.7109375" style="1058" customWidth="1"/>
    <col min="11014" max="11014" width="16.5703125" style="1058" customWidth="1"/>
    <col min="11015" max="11015" width="11.5703125" style="1058"/>
    <col min="11016" max="11016" width="14.140625" style="1058" customWidth="1"/>
    <col min="11017" max="11020" width="12.7109375" style="1058" bestFit="1" customWidth="1"/>
    <col min="11021" max="11021" width="12.7109375" style="1058" customWidth="1"/>
    <col min="11022" max="11264" width="11.5703125" style="1058"/>
    <col min="11265" max="11265" width="52" style="1058" customWidth="1"/>
    <col min="11266" max="11266" width="11.28515625" style="1058" customWidth="1"/>
    <col min="11267" max="11269" width="13.7109375" style="1058" customWidth="1"/>
    <col min="11270" max="11270" width="16.5703125" style="1058" customWidth="1"/>
    <col min="11271" max="11271" width="11.5703125" style="1058"/>
    <col min="11272" max="11272" width="14.140625" style="1058" customWidth="1"/>
    <col min="11273" max="11276" width="12.7109375" style="1058" bestFit="1" customWidth="1"/>
    <col min="11277" max="11277" width="12.7109375" style="1058" customWidth="1"/>
    <col min="11278" max="11520" width="11.5703125" style="1058"/>
    <col min="11521" max="11521" width="52" style="1058" customWidth="1"/>
    <col min="11522" max="11522" width="11.28515625" style="1058" customWidth="1"/>
    <col min="11523" max="11525" width="13.7109375" style="1058" customWidth="1"/>
    <col min="11526" max="11526" width="16.5703125" style="1058" customWidth="1"/>
    <col min="11527" max="11527" width="11.5703125" style="1058"/>
    <col min="11528" max="11528" width="14.140625" style="1058" customWidth="1"/>
    <col min="11529" max="11532" width="12.7109375" style="1058" bestFit="1" customWidth="1"/>
    <col min="11533" max="11533" width="12.7109375" style="1058" customWidth="1"/>
    <col min="11534" max="11776" width="11.5703125" style="1058"/>
    <col min="11777" max="11777" width="52" style="1058" customWidth="1"/>
    <col min="11778" max="11778" width="11.28515625" style="1058" customWidth="1"/>
    <col min="11779" max="11781" width="13.7109375" style="1058" customWidth="1"/>
    <col min="11782" max="11782" width="16.5703125" style="1058" customWidth="1"/>
    <col min="11783" max="11783" width="11.5703125" style="1058"/>
    <col min="11784" max="11784" width="14.140625" style="1058" customWidth="1"/>
    <col min="11785" max="11788" width="12.7109375" style="1058" bestFit="1" customWidth="1"/>
    <col min="11789" max="11789" width="12.7109375" style="1058" customWidth="1"/>
    <col min="11790" max="12032" width="11.5703125" style="1058"/>
    <col min="12033" max="12033" width="52" style="1058" customWidth="1"/>
    <col min="12034" max="12034" width="11.28515625" style="1058" customWidth="1"/>
    <col min="12035" max="12037" width="13.7109375" style="1058" customWidth="1"/>
    <col min="12038" max="12038" width="16.5703125" style="1058" customWidth="1"/>
    <col min="12039" max="12039" width="11.5703125" style="1058"/>
    <col min="12040" max="12040" width="14.140625" style="1058" customWidth="1"/>
    <col min="12041" max="12044" width="12.7109375" style="1058" bestFit="1" customWidth="1"/>
    <col min="12045" max="12045" width="12.7109375" style="1058" customWidth="1"/>
    <col min="12046" max="12288" width="11.5703125" style="1058"/>
    <col min="12289" max="12289" width="52" style="1058" customWidth="1"/>
    <col min="12290" max="12290" width="11.28515625" style="1058" customWidth="1"/>
    <col min="12291" max="12293" width="13.7109375" style="1058" customWidth="1"/>
    <col min="12294" max="12294" width="16.5703125" style="1058" customWidth="1"/>
    <col min="12295" max="12295" width="11.5703125" style="1058"/>
    <col min="12296" max="12296" width="14.140625" style="1058" customWidth="1"/>
    <col min="12297" max="12300" width="12.7109375" style="1058" bestFit="1" customWidth="1"/>
    <col min="12301" max="12301" width="12.7109375" style="1058" customWidth="1"/>
    <col min="12302" max="12544" width="11.5703125" style="1058"/>
    <col min="12545" max="12545" width="52" style="1058" customWidth="1"/>
    <col min="12546" max="12546" width="11.28515625" style="1058" customWidth="1"/>
    <col min="12547" max="12549" width="13.7109375" style="1058" customWidth="1"/>
    <col min="12550" max="12550" width="16.5703125" style="1058" customWidth="1"/>
    <col min="12551" max="12551" width="11.5703125" style="1058"/>
    <col min="12552" max="12552" width="14.140625" style="1058" customWidth="1"/>
    <col min="12553" max="12556" width="12.7109375" style="1058" bestFit="1" customWidth="1"/>
    <col min="12557" max="12557" width="12.7109375" style="1058" customWidth="1"/>
    <col min="12558" max="12800" width="11.5703125" style="1058"/>
    <col min="12801" max="12801" width="52" style="1058" customWidth="1"/>
    <col min="12802" max="12802" width="11.28515625" style="1058" customWidth="1"/>
    <col min="12803" max="12805" width="13.7109375" style="1058" customWidth="1"/>
    <col min="12806" max="12806" width="16.5703125" style="1058" customWidth="1"/>
    <col min="12807" max="12807" width="11.5703125" style="1058"/>
    <col min="12808" max="12808" width="14.140625" style="1058" customWidth="1"/>
    <col min="12809" max="12812" width="12.7109375" style="1058" bestFit="1" customWidth="1"/>
    <col min="12813" max="12813" width="12.7109375" style="1058" customWidth="1"/>
    <col min="12814" max="13056" width="11.5703125" style="1058"/>
    <col min="13057" max="13057" width="52" style="1058" customWidth="1"/>
    <col min="13058" max="13058" width="11.28515625" style="1058" customWidth="1"/>
    <col min="13059" max="13061" width="13.7109375" style="1058" customWidth="1"/>
    <col min="13062" max="13062" width="16.5703125" style="1058" customWidth="1"/>
    <col min="13063" max="13063" width="11.5703125" style="1058"/>
    <col min="13064" max="13064" width="14.140625" style="1058" customWidth="1"/>
    <col min="13065" max="13068" width="12.7109375" style="1058" bestFit="1" customWidth="1"/>
    <col min="13069" max="13069" width="12.7109375" style="1058" customWidth="1"/>
    <col min="13070" max="13312" width="11.5703125" style="1058"/>
    <col min="13313" max="13313" width="52" style="1058" customWidth="1"/>
    <col min="13314" max="13314" width="11.28515625" style="1058" customWidth="1"/>
    <col min="13315" max="13317" width="13.7109375" style="1058" customWidth="1"/>
    <col min="13318" max="13318" width="16.5703125" style="1058" customWidth="1"/>
    <col min="13319" max="13319" width="11.5703125" style="1058"/>
    <col min="13320" max="13320" width="14.140625" style="1058" customWidth="1"/>
    <col min="13321" max="13324" width="12.7109375" style="1058" bestFit="1" customWidth="1"/>
    <col min="13325" max="13325" width="12.7109375" style="1058" customWidth="1"/>
    <col min="13326" max="13568" width="11.5703125" style="1058"/>
    <col min="13569" max="13569" width="52" style="1058" customWidth="1"/>
    <col min="13570" max="13570" width="11.28515625" style="1058" customWidth="1"/>
    <col min="13571" max="13573" width="13.7109375" style="1058" customWidth="1"/>
    <col min="13574" max="13574" width="16.5703125" style="1058" customWidth="1"/>
    <col min="13575" max="13575" width="11.5703125" style="1058"/>
    <col min="13576" max="13576" width="14.140625" style="1058" customWidth="1"/>
    <col min="13577" max="13580" width="12.7109375" style="1058" bestFit="1" customWidth="1"/>
    <col min="13581" max="13581" width="12.7109375" style="1058" customWidth="1"/>
    <col min="13582" max="13824" width="11.5703125" style="1058"/>
    <col min="13825" max="13825" width="52" style="1058" customWidth="1"/>
    <col min="13826" max="13826" width="11.28515625" style="1058" customWidth="1"/>
    <col min="13827" max="13829" width="13.7109375" style="1058" customWidth="1"/>
    <col min="13830" max="13830" width="16.5703125" style="1058" customWidth="1"/>
    <col min="13831" max="13831" width="11.5703125" style="1058"/>
    <col min="13832" max="13832" width="14.140625" style="1058" customWidth="1"/>
    <col min="13833" max="13836" width="12.7109375" style="1058" bestFit="1" customWidth="1"/>
    <col min="13837" max="13837" width="12.7109375" style="1058" customWidth="1"/>
    <col min="13838" max="14080" width="11.5703125" style="1058"/>
    <col min="14081" max="14081" width="52" style="1058" customWidth="1"/>
    <col min="14082" max="14082" width="11.28515625" style="1058" customWidth="1"/>
    <col min="14083" max="14085" width="13.7109375" style="1058" customWidth="1"/>
    <col min="14086" max="14086" width="16.5703125" style="1058" customWidth="1"/>
    <col min="14087" max="14087" width="11.5703125" style="1058"/>
    <col min="14088" max="14088" width="14.140625" style="1058" customWidth="1"/>
    <col min="14089" max="14092" width="12.7109375" style="1058" bestFit="1" customWidth="1"/>
    <col min="14093" max="14093" width="12.7109375" style="1058" customWidth="1"/>
    <col min="14094" max="14336" width="11.5703125" style="1058"/>
    <col min="14337" max="14337" width="52" style="1058" customWidth="1"/>
    <col min="14338" max="14338" width="11.28515625" style="1058" customWidth="1"/>
    <col min="14339" max="14341" width="13.7109375" style="1058" customWidth="1"/>
    <col min="14342" max="14342" width="16.5703125" style="1058" customWidth="1"/>
    <col min="14343" max="14343" width="11.5703125" style="1058"/>
    <col min="14344" max="14344" width="14.140625" style="1058" customWidth="1"/>
    <col min="14345" max="14348" width="12.7109375" style="1058" bestFit="1" customWidth="1"/>
    <col min="14349" max="14349" width="12.7109375" style="1058" customWidth="1"/>
    <col min="14350" max="14592" width="11.5703125" style="1058"/>
    <col min="14593" max="14593" width="52" style="1058" customWidth="1"/>
    <col min="14594" max="14594" width="11.28515625" style="1058" customWidth="1"/>
    <col min="14595" max="14597" width="13.7109375" style="1058" customWidth="1"/>
    <col min="14598" max="14598" width="16.5703125" style="1058" customWidth="1"/>
    <col min="14599" max="14599" width="11.5703125" style="1058"/>
    <col min="14600" max="14600" width="14.140625" style="1058" customWidth="1"/>
    <col min="14601" max="14604" width="12.7109375" style="1058" bestFit="1" customWidth="1"/>
    <col min="14605" max="14605" width="12.7109375" style="1058" customWidth="1"/>
    <col min="14606" max="14848" width="11.5703125" style="1058"/>
    <col min="14849" max="14849" width="52" style="1058" customWidth="1"/>
    <col min="14850" max="14850" width="11.28515625" style="1058" customWidth="1"/>
    <col min="14851" max="14853" width="13.7109375" style="1058" customWidth="1"/>
    <col min="14854" max="14854" width="16.5703125" style="1058" customWidth="1"/>
    <col min="14855" max="14855" width="11.5703125" style="1058"/>
    <col min="14856" max="14856" width="14.140625" style="1058" customWidth="1"/>
    <col min="14857" max="14860" width="12.7109375" style="1058" bestFit="1" customWidth="1"/>
    <col min="14861" max="14861" width="12.7109375" style="1058" customWidth="1"/>
    <col min="14862" max="15104" width="11.5703125" style="1058"/>
    <col min="15105" max="15105" width="52" style="1058" customWidth="1"/>
    <col min="15106" max="15106" width="11.28515625" style="1058" customWidth="1"/>
    <col min="15107" max="15109" width="13.7109375" style="1058" customWidth="1"/>
    <col min="15110" max="15110" width="16.5703125" style="1058" customWidth="1"/>
    <col min="15111" max="15111" width="11.5703125" style="1058"/>
    <col min="15112" max="15112" width="14.140625" style="1058" customWidth="1"/>
    <col min="15113" max="15116" width="12.7109375" style="1058" bestFit="1" customWidth="1"/>
    <col min="15117" max="15117" width="12.7109375" style="1058" customWidth="1"/>
    <col min="15118" max="15360" width="11.5703125" style="1058"/>
    <col min="15361" max="15361" width="52" style="1058" customWidth="1"/>
    <col min="15362" max="15362" width="11.28515625" style="1058" customWidth="1"/>
    <col min="15363" max="15365" width="13.7109375" style="1058" customWidth="1"/>
    <col min="15366" max="15366" width="16.5703125" style="1058" customWidth="1"/>
    <col min="15367" max="15367" width="11.5703125" style="1058"/>
    <col min="15368" max="15368" width="14.140625" style="1058" customWidth="1"/>
    <col min="15369" max="15372" width="12.7109375" style="1058" bestFit="1" customWidth="1"/>
    <col min="15373" max="15373" width="12.7109375" style="1058" customWidth="1"/>
    <col min="15374" max="15616" width="11.5703125" style="1058"/>
    <col min="15617" max="15617" width="52" style="1058" customWidth="1"/>
    <col min="15618" max="15618" width="11.28515625" style="1058" customWidth="1"/>
    <col min="15619" max="15621" width="13.7109375" style="1058" customWidth="1"/>
    <col min="15622" max="15622" width="16.5703125" style="1058" customWidth="1"/>
    <col min="15623" max="15623" width="11.5703125" style="1058"/>
    <col min="15624" max="15624" width="14.140625" style="1058" customWidth="1"/>
    <col min="15625" max="15628" width="12.7109375" style="1058" bestFit="1" customWidth="1"/>
    <col min="15629" max="15629" width="12.7109375" style="1058" customWidth="1"/>
    <col min="15630" max="15872" width="11.5703125" style="1058"/>
    <col min="15873" max="15873" width="52" style="1058" customWidth="1"/>
    <col min="15874" max="15874" width="11.28515625" style="1058" customWidth="1"/>
    <col min="15875" max="15877" width="13.7109375" style="1058" customWidth="1"/>
    <col min="15878" max="15878" width="16.5703125" style="1058" customWidth="1"/>
    <col min="15879" max="15879" width="11.5703125" style="1058"/>
    <col min="15880" max="15880" width="14.140625" style="1058" customWidth="1"/>
    <col min="15881" max="15884" width="12.7109375" style="1058" bestFit="1" customWidth="1"/>
    <col min="15885" max="15885" width="12.7109375" style="1058" customWidth="1"/>
    <col min="15886" max="16128" width="11.5703125" style="1058"/>
    <col min="16129" max="16129" width="52" style="1058" customWidth="1"/>
    <col min="16130" max="16130" width="11.28515625" style="1058" customWidth="1"/>
    <col min="16131" max="16133" width="13.7109375" style="1058" customWidth="1"/>
    <col min="16134" max="16134" width="16.5703125" style="1058" customWidth="1"/>
    <col min="16135" max="16135" width="11.5703125" style="1058"/>
    <col min="16136" max="16136" width="14.140625" style="1058" customWidth="1"/>
    <col min="16137" max="16140" width="12.7109375" style="1058" bestFit="1" customWidth="1"/>
    <col min="16141" max="16141" width="12.7109375" style="1058" customWidth="1"/>
    <col min="16142" max="16384" width="11.5703125" style="1058"/>
  </cols>
  <sheetData>
    <row r="1" spans="1:14" ht="18.75">
      <c r="A1" s="1057"/>
      <c r="B1" s="1057"/>
      <c r="C1" s="1057"/>
      <c r="D1" s="1057"/>
      <c r="E1" s="1057"/>
      <c r="F1" s="1057"/>
    </row>
    <row r="2" spans="1:14" ht="20.25">
      <c r="A2" s="1575" t="s">
        <v>7316</v>
      </c>
      <c r="B2" s="1575"/>
      <c r="C2" s="1575"/>
      <c r="D2" s="1575"/>
      <c r="E2" s="1575"/>
      <c r="F2" s="1575"/>
      <c r="H2" s="1059"/>
      <c r="I2" s="1060" t="s">
        <v>7317</v>
      </c>
      <c r="J2" s="1060" t="s">
        <v>7318</v>
      </c>
      <c r="K2" s="1060" t="s">
        <v>7319</v>
      </c>
      <c r="L2" s="1060" t="s">
        <v>7320</v>
      </c>
      <c r="M2" s="1060" t="s">
        <v>7321</v>
      </c>
    </row>
    <row r="3" spans="1:14" ht="15.75">
      <c r="A3" s="1576" t="s">
        <v>7322</v>
      </c>
      <c r="B3" s="1576"/>
      <c r="C3" s="1576"/>
      <c r="D3" s="1576"/>
      <c r="E3" s="1576"/>
      <c r="F3" s="1576"/>
      <c r="H3" s="1060" t="s">
        <v>7323</v>
      </c>
      <c r="I3" s="1061">
        <v>258400</v>
      </c>
      <c r="J3" s="1061">
        <v>262495</v>
      </c>
      <c r="K3" s="1061">
        <v>266640</v>
      </c>
      <c r="L3" s="1061">
        <v>264456</v>
      </c>
      <c r="M3" s="1061">
        <v>280000</v>
      </c>
      <c r="N3" s="1062" t="s">
        <v>7324</v>
      </c>
    </row>
    <row r="4" spans="1:14" ht="16.5">
      <c r="A4" s="1063"/>
      <c r="B4" s="1063"/>
      <c r="C4" s="1063"/>
      <c r="D4" s="1063"/>
      <c r="E4" s="1063"/>
      <c r="F4" s="1063"/>
      <c r="H4" s="1060" t="s">
        <v>7325</v>
      </c>
      <c r="I4" s="1061">
        <v>229170</v>
      </c>
      <c r="J4" s="1061">
        <v>232803</v>
      </c>
      <c r="K4" s="1061">
        <v>236480</v>
      </c>
      <c r="L4" s="1061">
        <v>234573</v>
      </c>
      <c r="M4" s="1061">
        <v>248360</v>
      </c>
      <c r="N4" s="1062" t="s">
        <v>7326</v>
      </c>
    </row>
    <row r="5" spans="1:14" ht="15.75">
      <c r="A5" s="1064"/>
      <c r="B5" s="1065" t="s">
        <v>7398</v>
      </c>
      <c r="C5" s="1061">
        <v>229170</v>
      </c>
      <c r="D5" s="1061">
        <v>232803</v>
      </c>
      <c r="E5" s="1061">
        <v>236480</v>
      </c>
      <c r="F5" s="1061">
        <v>234573</v>
      </c>
      <c r="G5" s="1061"/>
      <c r="H5" s="1060" t="s">
        <v>7327</v>
      </c>
      <c r="I5" s="1061">
        <v>200520</v>
      </c>
      <c r="J5" s="1061">
        <v>203703</v>
      </c>
      <c r="K5" s="1061">
        <v>206920</v>
      </c>
      <c r="L5" s="1061">
        <v>205225</v>
      </c>
      <c r="M5" s="1061">
        <v>217280</v>
      </c>
      <c r="N5" s="1062" t="s">
        <v>7328</v>
      </c>
    </row>
    <row r="6" spans="1:14" ht="15.75">
      <c r="A6" s="1066" t="s">
        <v>7329</v>
      </c>
      <c r="B6" s="1067" t="s">
        <v>7330</v>
      </c>
      <c r="C6" s="1068" t="s">
        <v>7317</v>
      </c>
      <c r="D6" s="1068" t="s">
        <v>7318</v>
      </c>
      <c r="E6" s="1068" t="s">
        <v>7319</v>
      </c>
      <c r="F6" s="1068" t="s">
        <v>7320</v>
      </c>
      <c r="H6" s="1060" t="s">
        <v>7331</v>
      </c>
      <c r="I6" s="1061">
        <v>330700</v>
      </c>
      <c r="J6" s="1061">
        <v>335940</v>
      </c>
      <c r="K6" s="1061">
        <v>341250</v>
      </c>
      <c r="L6" s="1061">
        <v>338475</v>
      </c>
      <c r="M6" s="1061">
        <v>358400</v>
      </c>
      <c r="N6" s="1062" t="s">
        <v>7332</v>
      </c>
    </row>
    <row r="7" spans="1:14" s="1072" customFormat="1" ht="15.75">
      <c r="A7" s="1069" t="s">
        <v>7333</v>
      </c>
      <c r="B7" s="1070">
        <v>1</v>
      </c>
      <c r="C7" s="1071">
        <f t="shared" ref="C7:F34" si="0">ROUND(C$5*$B7/$B$32,0)</f>
        <v>150770</v>
      </c>
      <c r="D7" s="1071">
        <f t="shared" si="0"/>
        <v>153160</v>
      </c>
      <c r="E7" s="1071">
        <f t="shared" si="0"/>
        <v>155579</v>
      </c>
      <c r="F7" s="1071">
        <f t="shared" si="0"/>
        <v>154324</v>
      </c>
      <c r="H7" s="1073" t="s">
        <v>7334</v>
      </c>
    </row>
    <row r="8" spans="1:14" ht="15.75">
      <c r="A8" s="1074" t="s">
        <v>7335</v>
      </c>
      <c r="B8" s="1075">
        <v>1.018</v>
      </c>
      <c r="C8" s="1076">
        <f t="shared" si="0"/>
        <v>153484</v>
      </c>
      <c r="D8" s="1076">
        <f t="shared" si="0"/>
        <v>155917</v>
      </c>
      <c r="E8" s="1076">
        <f t="shared" si="0"/>
        <v>158379</v>
      </c>
      <c r="F8" s="1076">
        <f t="shared" si="0"/>
        <v>157102</v>
      </c>
    </row>
    <row r="9" spans="1:14" ht="15.75">
      <c r="A9" s="1074" t="s">
        <v>7336</v>
      </c>
      <c r="B9" s="1075">
        <v>1.036</v>
      </c>
      <c r="C9" s="1076">
        <f t="shared" si="0"/>
        <v>156197</v>
      </c>
      <c r="D9" s="1076">
        <f t="shared" si="0"/>
        <v>158674</v>
      </c>
      <c r="E9" s="1076">
        <f t="shared" si="0"/>
        <v>161180</v>
      </c>
      <c r="F9" s="1076">
        <f t="shared" si="0"/>
        <v>159880</v>
      </c>
    </row>
    <row r="10" spans="1:14" ht="20.25">
      <c r="A10" s="1074" t="s">
        <v>7337</v>
      </c>
      <c r="B10" s="1075">
        <v>1.054</v>
      </c>
      <c r="C10" s="1076">
        <f t="shared" si="0"/>
        <v>158911</v>
      </c>
      <c r="D10" s="1076">
        <f t="shared" si="0"/>
        <v>161431</v>
      </c>
      <c r="E10" s="1076">
        <f t="shared" si="0"/>
        <v>163980</v>
      </c>
      <c r="F10" s="1076">
        <f t="shared" si="0"/>
        <v>162658</v>
      </c>
      <c r="H10" s="1077" t="s">
        <v>7338</v>
      </c>
      <c r="I10" s="1078"/>
    </row>
    <row r="11" spans="1:14" ht="15.75">
      <c r="A11" s="1074" t="s">
        <v>7339</v>
      </c>
      <c r="B11" s="1075">
        <v>1.0720000000000001</v>
      </c>
      <c r="C11" s="1076">
        <f t="shared" si="0"/>
        <v>161625</v>
      </c>
      <c r="D11" s="1076">
        <f t="shared" si="0"/>
        <v>164187</v>
      </c>
      <c r="E11" s="1076">
        <f t="shared" si="0"/>
        <v>166781</v>
      </c>
      <c r="F11" s="1076">
        <f t="shared" si="0"/>
        <v>165436</v>
      </c>
      <c r="H11" s="1064"/>
      <c r="I11" s="1065" t="s">
        <v>7399</v>
      </c>
      <c r="J11" s="1061">
        <v>248360</v>
      </c>
      <c r="K11" s="1079"/>
      <c r="L11" s="1079"/>
    </row>
    <row r="12" spans="1:14" ht="31.5">
      <c r="A12" s="1074" t="s">
        <v>7340</v>
      </c>
      <c r="B12" s="1075">
        <v>1.0900000000000001</v>
      </c>
      <c r="C12" s="1076">
        <f t="shared" si="0"/>
        <v>164339</v>
      </c>
      <c r="D12" s="1076">
        <f t="shared" si="0"/>
        <v>166944</v>
      </c>
      <c r="E12" s="1076">
        <f t="shared" si="0"/>
        <v>169581</v>
      </c>
      <c r="F12" s="1076">
        <f t="shared" si="0"/>
        <v>168214</v>
      </c>
      <c r="H12" s="1066" t="s">
        <v>7341</v>
      </c>
      <c r="I12" s="1067" t="s">
        <v>7330</v>
      </c>
      <c r="J12" s="1080"/>
      <c r="K12" s="1081"/>
      <c r="L12" s="1081"/>
    </row>
    <row r="13" spans="1:14" ht="15.75">
      <c r="A13" s="1074" t="s">
        <v>7342</v>
      </c>
      <c r="B13" s="1075">
        <v>1.1080000000000001</v>
      </c>
      <c r="C13" s="1076">
        <f t="shared" si="0"/>
        <v>167053</v>
      </c>
      <c r="D13" s="1076">
        <f t="shared" si="0"/>
        <v>169701</v>
      </c>
      <c r="E13" s="1076">
        <f t="shared" si="0"/>
        <v>172381</v>
      </c>
      <c r="F13" s="1076">
        <f t="shared" si="0"/>
        <v>170991</v>
      </c>
      <c r="H13" s="1082" t="s">
        <v>7343</v>
      </c>
      <c r="I13" s="1083">
        <v>1</v>
      </c>
      <c r="J13" s="1084">
        <f>ROUND(J$11*$I13/$I$16,0)</f>
        <v>177400</v>
      </c>
      <c r="K13" s="1085"/>
      <c r="L13" s="1085"/>
    </row>
    <row r="14" spans="1:14" ht="15.75">
      <c r="A14" s="1074" t="s">
        <v>7344</v>
      </c>
      <c r="B14" s="1075">
        <v>1.1260000000000001</v>
      </c>
      <c r="C14" s="1076">
        <f t="shared" si="0"/>
        <v>169767</v>
      </c>
      <c r="D14" s="1076">
        <f t="shared" si="0"/>
        <v>172458</v>
      </c>
      <c r="E14" s="1076">
        <f t="shared" si="0"/>
        <v>175182</v>
      </c>
      <c r="F14" s="1076">
        <f t="shared" si="0"/>
        <v>173769</v>
      </c>
      <c r="H14" s="1082" t="s">
        <v>7345</v>
      </c>
      <c r="I14" s="1083">
        <v>1.1299999999999999</v>
      </c>
      <c r="J14" s="1084">
        <f t="shared" ref="J14:J20" si="1">ROUND(J$11*$I14/$I$16,0)</f>
        <v>200462</v>
      </c>
    </row>
    <row r="15" spans="1:14" ht="15.75">
      <c r="A15" s="1074" t="s">
        <v>7346</v>
      </c>
      <c r="B15" s="1075">
        <v>1.1440000000000001</v>
      </c>
      <c r="C15" s="1076">
        <f t="shared" si="0"/>
        <v>172481</v>
      </c>
      <c r="D15" s="1076">
        <f t="shared" si="0"/>
        <v>175215</v>
      </c>
      <c r="E15" s="1076">
        <f t="shared" si="0"/>
        <v>177982</v>
      </c>
      <c r="F15" s="1076">
        <f t="shared" si="0"/>
        <v>176547</v>
      </c>
      <c r="H15" s="1082" t="s">
        <v>2680</v>
      </c>
      <c r="I15" s="1083">
        <v>1.26</v>
      </c>
      <c r="J15" s="1084">
        <f t="shared" si="1"/>
        <v>223524</v>
      </c>
    </row>
    <row r="16" spans="1:14" ht="15.75">
      <c r="A16" s="1074" t="s">
        <v>7347</v>
      </c>
      <c r="B16" s="1075">
        <v>1.1620000000000001</v>
      </c>
      <c r="C16" s="1076">
        <f t="shared" si="0"/>
        <v>175194</v>
      </c>
      <c r="D16" s="1076">
        <f t="shared" si="0"/>
        <v>177972</v>
      </c>
      <c r="E16" s="1076">
        <f t="shared" si="0"/>
        <v>180783</v>
      </c>
      <c r="F16" s="1076">
        <f t="shared" si="0"/>
        <v>179325</v>
      </c>
      <c r="H16" s="1082" t="s">
        <v>2675</v>
      </c>
      <c r="I16" s="1083">
        <v>1.4</v>
      </c>
      <c r="J16" s="1084">
        <f t="shared" si="1"/>
        <v>248360</v>
      </c>
    </row>
    <row r="17" spans="1:10" s="1072" customFormat="1" ht="15.75">
      <c r="A17" s="1086" t="s">
        <v>7348</v>
      </c>
      <c r="B17" s="1087">
        <v>1.18</v>
      </c>
      <c r="C17" s="1088">
        <f t="shared" si="0"/>
        <v>177908</v>
      </c>
      <c r="D17" s="1088">
        <f t="shared" si="0"/>
        <v>180729</v>
      </c>
      <c r="E17" s="1088">
        <f t="shared" si="0"/>
        <v>183583</v>
      </c>
      <c r="F17" s="1088">
        <f t="shared" si="0"/>
        <v>182103</v>
      </c>
      <c r="H17" s="1082" t="s">
        <v>7349</v>
      </c>
      <c r="I17" s="1083">
        <v>1.53</v>
      </c>
      <c r="J17" s="1084">
        <f t="shared" si="1"/>
        <v>271422</v>
      </c>
    </row>
    <row r="18" spans="1:10" ht="15.75">
      <c r="A18" s="1074" t="s">
        <v>7350</v>
      </c>
      <c r="B18" s="1075">
        <v>1.2009999999999998</v>
      </c>
      <c r="C18" s="1076">
        <f t="shared" si="0"/>
        <v>181074</v>
      </c>
      <c r="D18" s="1076">
        <f t="shared" si="0"/>
        <v>183945</v>
      </c>
      <c r="E18" s="1076">
        <f t="shared" si="0"/>
        <v>186850</v>
      </c>
      <c r="F18" s="1076">
        <f t="shared" si="0"/>
        <v>185344</v>
      </c>
      <c r="H18" s="1082" t="s">
        <v>7351</v>
      </c>
      <c r="I18" s="1083">
        <v>1.66</v>
      </c>
      <c r="J18" s="1084">
        <f t="shared" si="1"/>
        <v>294484</v>
      </c>
    </row>
    <row r="19" spans="1:10" ht="15.75">
      <c r="A19" s="1074" t="s">
        <v>7352</v>
      </c>
      <c r="B19" s="1075">
        <v>1.2219999999999998</v>
      </c>
      <c r="C19" s="1076">
        <f t="shared" si="0"/>
        <v>184241</v>
      </c>
      <c r="D19" s="1076">
        <f t="shared" si="0"/>
        <v>187161</v>
      </c>
      <c r="E19" s="1076">
        <f t="shared" si="0"/>
        <v>190117</v>
      </c>
      <c r="F19" s="1076">
        <f t="shared" si="0"/>
        <v>188584</v>
      </c>
      <c r="H19" s="1082" t="s">
        <v>7353</v>
      </c>
      <c r="I19" s="1083">
        <v>1.79</v>
      </c>
      <c r="J19" s="1084">
        <f t="shared" si="1"/>
        <v>317546</v>
      </c>
    </row>
    <row r="20" spans="1:10" ht="15.75">
      <c r="A20" s="1074" t="s">
        <v>7354</v>
      </c>
      <c r="B20" s="1075">
        <v>1.2429999999999997</v>
      </c>
      <c r="C20" s="1076">
        <f t="shared" si="0"/>
        <v>187407</v>
      </c>
      <c r="D20" s="1076">
        <f t="shared" si="0"/>
        <v>190378</v>
      </c>
      <c r="E20" s="1076">
        <f t="shared" si="0"/>
        <v>193385</v>
      </c>
      <c r="F20" s="1076">
        <f t="shared" si="0"/>
        <v>191825</v>
      </c>
      <c r="H20" s="1082" t="s">
        <v>7355</v>
      </c>
      <c r="I20" s="1083">
        <v>1.93</v>
      </c>
      <c r="J20" s="1084">
        <f t="shared" si="1"/>
        <v>342382</v>
      </c>
    </row>
    <row r="21" spans="1:10" ht="15.75">
      <c r="A21" s="1074" t="s">
        <v>7356</v>
      </c>
      <c r="B21" s="1075">
        <v>1.2639999999999996</v>
      </c>
      <c r="C21" s="1076">
        <f t="shared" si="0"/>
        <v>190573</v>
      </c>
      <c r="D21" s="1076">
        <f t="shared" si="0"/>
        <v>193594</v>
      </c>
      <c r="E21" s="1076">
        <f t="shared" si="0"/>
        <v>196652</v>
      </c>
      <c r="F21" s="1076">
        <f t="shared" si="0"/>
        <v>195066</v>
      </c>
    </row>
    <row r="22" spans="1:10" ht="15.75">
      <c r="A22" s="1074" t="s">
        <v>7357</v>
      </c>
      <c r="B22" s="1075">
        <v>1.2849999999999995</v>
      </c>
      <c r="C22" s="1076">
        <f t="shared" si="0"/>
        <v>193739</v>
      </c>
      <c r="D22" s="1076">
        <f t="shared" si="0"/>
        <v>196810</v>
      </c>
      <c r="E22" s="1076">
        <f t="shared" si="0"/>
        <v>199919</v>
      </c>
      <c r="F22" s="1076">
        <f t="shared" si="0"/>
        <v>198307</v>
      </c>
    </row>
    <row r="23" spans="1:10" ht="15.75">
      <c r="A23" s="1074" t="s">
        <v>7358</v>
      </c>
      <c r="B23" s="1075">
        <v>1.3059999999999994</v>
      </c>
      <c r="C23" s="1076">
        <f t="shared" si="0"/>
        <v>196905</v>
      </c>
      <c r="D23" s="1076">
        <f t="shared" si="0"/>
        <v>200027</v>
      </c>
      <c r="E23" s="1076">
        <f t="shared" si="0"/>
        <v>203186</v>
      </c>
      <c r="F23" s="1076">
        <f t="shared" si="0"/>
        <v>201548</v>
      </c>
    </row>
    <row r="24" spans="1:10" ht="15.75">
      <c r="A24" s="1074" t="s">
        <v>7359</v>
      </c>
      <c r="B24" s="1075">
        <v>1.3269999999999993</v>
      </c>
      <c r="C24" s="1076">
        <f t="shared" si="0"/>
        <v>200071</v>
      </c>
      <c r="D24" s="1076">
        <f t="shared" si="0"/>
        <v>203243</v>
      </c>
      <c r="E24" s="1076">
        <f t="shared" si="0"/>
        <v>206453</v>
      </c>
      <c r="F24" s="1076">
        <f t="shared" si="0"/>
        <v>204788</v>
      </c>
    </row>
    <row r="25" spans="1:10" ht="15.75">
      <c r="A25" s="1074" t="s">
        <v>7360</v>
      </c>
      <c r="B25" s="1075">
        <v>1.3479999999999992</v>
      </c>
      <c r="C25" s="1076">
        <f t="shared" si="0"/>
        <v>203238</v>
      </c>
      <c r="D25" s="1076">
        <f t="shared" si="0"/>
        <v>206460</v>
      </c>
      <c r="E25" s="1076">
        <f t="shared" si="0"/>
        <v>209720</v>
      </c>
      <c r="F25" s="1076">
        <f t="shared" si="0"/>
        <v>208029</v>
      </c>
    </row>
    <row r="26" spans="1:10" ht="15.75">
      <c r="A26" s="1074" t="s">
        <v>7361</v>
      </c>
      <c r="B26" s="1075">
        <v>1.3689999999999991</v>
      </c>
      <c r="C26" s="1076">
        <f t="shared" si="0"/>
        <v>206404</v>
      </c>
      <c r="D26" s="1076">
        <f t="shared" si="0"/>
        <v>209676</v>
      </c>
      <c r="E26" s="1076">
        <f t="shared" si="0"/>
        <v>212988</v>
      </c>
      <c r="F26" s="1076">
        <f t="shared" si="0"/>
        <v>211270</v>
      </c>
    </row>
    <row r="27" spans="1:10" s="1072" customFormat="1" ht="15.75">
      <c r="A27" s="1086" t="s">
        <v>3921</v>
      </c>
      <c r="B27" s="1087">
        <v>1.39</v>
      </c>
      <c r="C27" s="1088">
        <f t="shared" si="0"/>
        <v>209570</v>
      </c>
      <c r="D27" s="1088">
        <f t="shared" si="0"/>
        <v>212892</v>
      </c>
      <c r="E27" s="1088">
        <f t="shared" si="0"/>
        <v>216255</v>
      </c>
      <c r="F27" s="1088">
        <f t="shared" si="0"/>
        <v>214511</v>
      </c>
      <c r="H27" s="1072">
        <f>C27*1.09</f>
        <v>228431.30000000002</v>
      </c>
    </row>
    <row r="28" spans="1:10" ht="15.75">
      <c r="A28" s="1074" t="s">
        <v>7362</v>
      </c>
      <c r="B28" s="1075">
        <v>1.4159999999999999</v>
      </c>
      <c r="C28" s="1076">
        <f t="shared" si="0"/>
        <v>213490</v>
      </c>
      <c r="D28" s="1076">
        <f t="shared" si="0"/>
        <v>216874</v>
      </c>
      <c r="E28" s="1076">
        <f t="shared" si="0"/>
        <v>220300</v>
      </c>
      <c r="F28" s="1076">
        <f t="shared" si="0"/>
        <v>218523</v>
      </c>
    </row>
    <row r="29" spans="1:10" ht="15.75">
      <c r="A29" s="1074" t="s">
        <v>7363</v>
      </c>
      <c r="B29" s="1075">
        <v>1.4419999999999999</v>
      </c>
      <c r="C29" s="1076">
        <f t="shared" si="0"/>
        <v>217410</v>
      </c>
      <c r="D29" s="1076">
        <f t="shared" si="0"/>
        <v>220857</v>
      </c>
      <c r="E29" s="1076">
        <f t="shared" si="0"/>
        <v>224345</v>
      </c>
      <c r="F29" s="1076">
        <f t="shared" si="0"/>
        <v>222536</v>
      </c>
    </row>
    <row r="30" spans="1:10" ht="15.75">
      <c r="A30" s="1074" t="s">
        <v>7364</v>
      </c>
      <c r="B30" s="1075">
        <v>1.468</v>
      </c>
      <c r="C30" s="1076">
        <f t="shared" si="0"/>
        <v>221330</v>
      </c>
      <c r="D30" s="1076">
        <f t="shared" si="0"/>
        <v>224839</v>
      </c>
      <c r="E30" s="1076">
        <f t="shared" si="0"/>
        <v>228390</v>
      </c>
      <c r="F30" s="1076">
        <f t="shared" si="0"/>
        <v>226548</v>
      </c>
    </row>
    <row r="31" spans="1:10" ht="15.75">
      <c r="A31" s="1074" t="s">
        <v>7365</v>
      </c>
      <c r="B31" s="1075">
        <v>1.494</v>
      </c>
      <c r="C31" s="1076">
        <f t="shared" si="0"/>
        <v>225250</v>
      </c>
      <c r="D31" s="1076">
        <f t="shared" si="0"/>
        <v>228821</v>
      </c>
      <c r="E31" s="1076">
        <f t="shared" si="0"/>
        <v>232435</v>
      </c>
      <c r="F31" s="1076">
        <f t="shared" si="0"/>
        <v>230561</v>
      </c>
    </row>
    <row r="32" spans="1:10" ht="15.75">
      <c r="A32" s="1089" t="s">
        <v>4065</v>
      </c>
      <c r="B32" s="1090">
        <v>1.52</v>
      </c>
      <c r="C32" s="1091">
        <f t="shared" si="0"/>
        <v>229170</v>
      </c>
      <c r="D32" s="1091">
        <f>ROUND(D$5*$B32/$B$32,0)</f>
        <v>232803</v>
      </c>
      <c r="E32" s="1091">
        <f>ROUND(E$5*$B32/$B$32,0)</f>
        <v>236480</v>
      </c>
      <c r="F32" s="1091">
        <f>ROUND(F$5*$B32/$B$32,0)</f>
        <v>234573</v>
      </c>
    </row>
    <row r="33" spans="1:6" ht="15.75">
      <c r="A33" s="1074" t="s">
        <v>7366</v>
      </c>
      <c r="B33" s="1075">
        <v>1.546</v>
      </c>
      <c r="C33" s="1076">
        <f t="shared" si="0"/>
        <v>233090</v>
      </c>
      <c r="D33" s="1076">
        <f t="shared" si="0"/>
        <v>236785</v>
      </c>
      <c r="E33" s="1076">
        <f t="shared" si="0"/>
        <v>240525</v>
      </c>
      <c r="F33" s="1076">
        <f t="shared" si="0"/>
        <v>238585</v>
      </c>
    </row>
    <row r="34" spans="1:6" ht="15.75">
      <c r="A34" s="1074" t="s">
        <v>7367</v>
      </c>
      <c r="B34" s="1075">
        <v>1.5720000000000001</v>
      </c>
      <c r="C34" s="1076">
        <f t="shared" si="0"/>
        <v>237010</v>
      </c>
      <c r="D34" s="1076">
        <f t="shared" si="0"/>
        <v>240767</v>
      </c>
      <c r="E34" s="1076">
        <f t="shared" si="0"/>
        <v>244570</v>
      </c>
      <c r="F34" s="1076">
        <f t="shared" si="0"/>
        <v>242598</v>
      </c>
    </row>
    <row r="35" spans="1:6" ht="15.75">
      <c r="A35" s="1074" t="s">
        <v>7368</v>
      </c>
      <c r="B35" s="1075">
        <v>1.5980000000000001</v>
      </c>
      <c r="C35" s="1076">
        <f t="shared" ref="C35:F58" si="2">ROUND(C$5*$B35/$B$32,0)</f>
        <v>240930</v>
      </c>
      <c r="D35" s="1076">
        <f t="shared" si="2"/>
        <v>244749</v>
      </c>
      <c r="E35" s="1076">
        <f t="shared" si="2"/>
        <v>248615</v>
      </c>
      <c r="F35" s="1076">
        <f t="shared" si="2"/>
        <v>246610</v>
      </c>
    </row>
    <row r="36" spans="1:6" ht="15.75">
      <c r="A36" s="1074" t="s">
        <v>7369</v>
      </c>
      <c r="B36" s="1075">
        <v>1.6240000000000001</v>
      </c>
      <c r="C36" s="1076">
        <f t="shared" si="2"/>
        <v>244850</v>
      </c>
      <c r="D36" s="1076">
        <f t="shared" si="2"/>
        <v>248732</v>
      </c>
      <c r="E36" s="1076">
        <f t="shared" si="2"/>
        <v>252660</v>
      </c>
      <c r="F36" s="1076">
        <f t="shared" si="2"/>
        <v>250623</v>
      </c>
    </row>
    <row r="37" spans="1:6" s="1072" customFormat="1" ht="15.75">
      <c r="A37" s="1086" t="s">
        <v>4008</v>
      </c>
      <c r="B37" s="1087">
        <v>1.65</v>
      </c>
      <c r="C37" s="1088">
        <f t="shared" si="2"/>
        <v>248770</v>
      </c>
      <c r="D37" s="1088">
        <f t="shared" si="2"/>
        <v>252714</v>
      </c>
      <c r="E37" s="1088">
        <f t="shared" si="2"/>
        <v>256705</v>
      </c>
      <c r="F37" s="1088">
        <f t="shared" si="2"/>
        <v>254635</v>
      </c>
    </row>
    <row r="38" spans="1:6" ht="15.75">
      <c r="A38" s="1074" t="s">
        <v>7370</v>
      </c>
      <c r="B38" s="1075">
        <v>1.6789999999999998</v>
      </c>
      <c r="C38" s="1076">
        <f t="shared" si="2"/>
        <v>253142</v>
      </c>
      <c r="D38" s="1076">
        <f t="shared" si="2"/>
        <v>257155</v>
      </c>
      <c r="E38" s="1076">
        <f t="shared" si="2"/>
        <v>261217</v>
      </c>
      <c r="F38" s="1076">
        <f t="shared" si="2"/>
        <v>259111</v>
      </c>
    </row>
    <row r="39" spans="1:6" ht="15.75">
      <c r="A39" s="1074" t="s">
        <v>7371</v>
      </c>
      <c r="B39" s="1075">
        <v>1.7079999999999997</v>
      </c>
      <c r="C39" s="1076">
        <f t="shared" si="2"/>
        <v>257515</v>
      </c>
      <c r="D39" s="1076">
        <f t="shared" si="2"/>
        <v>261597</v>
      </c>
      <c r="E39" s="1076">
        <f t="shared" si="2"/>
        <v>265729</v>
      </c>
      <c r="F39" s="1076">
        <f t="shared" si="2"/>
        <v>263586</v>
      </c>
    </row>
    <row r="40" spans="1:6" ht="15.75">
      <c r="A40" s="1074" t="s">
        <v>7372</v>
      </c>
      <c r="B40" s="1075">
        <v>1.7369999999999997</v>
      </c>
      <c r="C40" s="1076">
        <f t="shared" si="2"/>
        <v>261887</v>
      </c>
      <c r="D40" s="1076">
        <f t="shared" si="2"/>
        <v>266039</v>
      </c>
      <c r="E40" s="1076">
        <f t="shared" si="2"/>
        <v>270241</v>
      </c>
      <c r="F40" s="1076">
        <f t="shared" si="2"/>
        <v>268061</v>
      </c>
    </row>
    <row r="41" spans="1:6" ht="15.75">
      <c r="A41" s="1074" t="s">
        <v>7373</v>
      </c>
      <c r="B41" s="1075">
        <v>1.7659999999999996</v>
      </c>
      <c r="C41" s="1076">
        <f t="shared" si="2"/>
        <v>266259</v>
      </c>
      <c r="D41" s="1076">
        <f t="shared" si="2"/>
        <v>270480</v>
      </c>
      <c r="E41" s="1076">
        <f t="shared" si="2"/>
        <v>274752</v>
      </c>
      <c r="F41" s="1076">
        <f t="shared" si="2"/>
        <v>272537</v>
      </c>
    </row>
    <row r="42" spans="1:6" s="1072" customFormat="1" ht="15.75">
      <c r="A42" s="1092" t="s">
        <v>5518</v>
      </c>
      <c r="B42" s="1093">
        <v>1.7949999999999995</v>
      </c>
      <c r="C42" s="1088">
        <f t="shared" si="2"/>
        <v>270632</v>
      </c>
      <c r="D42" s="1088">
        <f t="shared" si="2"/>
        <v>274922</v>
      </c>
      <c r="E42" s="1088">
        <f t="shared" si="2"/>
        <v>279264</v>
      </c>
      <c r="F42" s="1088">
        <f t="shared" si="2"/>
        <v>277012</v>
      </c>
    </row>
    <row r="43" spans="1:6" ht="15.75">
      <c r="A43" s="1074" t="s">
        <v>7374</v>
      </c>
      <c r="B43" s="1075">
        <v>1.8239999999999994</v>
      </c>
      <c r="C43" s="1076">
        <f t="shared" si="2"/>
        <v>275004</v>
      </c>
      <c r="D43" s="1076">
        <f t="shared" si="2"/>
        <v>279364</v>
      </c>
      <c r="E43" s="1076">
        <f t="shared" si="2"/>
        <v>283776</v>
      </c>
      <c r="F43" s="1076">
        <f t="shared" si="2"/>
        <v>281488</v>
      </c>
    </row>
    <row r="44" spans="1:6" ht="15.75">
      <c r="A44" s="1074" t="s">
        <v>7375</v>
      </c>
      <c r="B44" s="1075">
        <v>1.8529999999999993</v>
      </c>
      <c r="C44" s="1076">
        <f t="shared" si="2"/>
        <v>279376</v>
      </c>
      <c r="D44" s="1076">
        <f t="shared" si="2"/>
        <v>283805</v>
      </c>
      <c r="E44" s="1076">
        <f t="shared" si="2"/>
        <v>288288</v>
      </c>
      <c r="F44" s="1076">
        <f t="shared" si="2"/>
        <v>285963</v>
      </c>
    </row>
    <row r="45" spans="1:6" ht="15.75">
      <c r="A45" s="1074" t="s">
        <v>7376</v>
      </c>
      <c r="B45" s="1075">
        <v>1.8819999999999992</v>
      </c>
      <c r="C45" s="1076">
        <f t="shared" si="2"/>
        <v>283749</v>
      </c>
      <c r="D45" s="1076">
        <f t="shared" si="2"/>
        <v>288247</v>
      </c>
      <c r="E45" s="1076">
        <f t="shared" si="2"/>
        <v>292800</v>
      </c>
      <c r="F45" s="1076">
        <f t="shared" si="2"/>
        <v>290438</v>
      </c>
    </row>
    <row r="46" spans="1:6" ht="15.75">
      <c r="A46" s="1074" t="s">
        <v>7377</v>
      </c>
      <c r="B46" s="1075">
        <v>1.9109999999999991</v>
      </c>
      <c r="C46" s="1076">
        <f t="shared" si="2"/>
        <v>288121</v>
      </c>
      <c r="D46" s="1076">
        <f t="shared" si="2"/>
        <v>292689</v>
      </c>
      <c r="E46" s="1076">
        <f t="shared" si="2"/>
        <v>297311</v>
      </c>
      <c r="F46" s="1076">
        <f t="shared" si="2"/>
        <v>294914</v>
      </c>
    </row>
    <row r="47" spans="1:6" s="1072" customFormat="1" ht="15.75">
      <c r="A47" s="1086" t="s">
        <v>5402</v>
      </c>
      <c r="B47" s="1087">
        <v>1.94</v>
      </c>
      <c r="C47" s="1088">
        <f t="shared" si="2"/>
        <v>292493</v>
      </c>
      <c r="D47" s="1088">
        <f t="shared" si="2"/>
        <v>297130</v>
      </c>
      <c r="E47" s="1088">
        <f t="shared" si="2"/>
        <v>301823</v>
      </c>
      <c r="F47" s="1088">
        <f t="shared" si="2"/>
        <v>299389</v>
      </c>
    </row>
    <row r="48" spans="1:6" ht="15.75">
      <c r="A48" s="1074" t="s">
        <v>7378</v>
      </c>
      <c r="B48" s="1075">
        <v>1.976</v>
      </c>
      <c r="C48" s="1076">
        <f t="shared" si="2"/>
        <v>297921</v>
      </c>
      <c r="D48" s="1076">
        <f t="shared" si="2"/>
        <v>302644</v>
      </c>
      <c r="E48" s="1076">
        <f t="shared" si="2"/>
        <v>307424</v>
      </c>
      <c r="F48" s="1076">
        <f t="shared" si="2"/>
        <v>304945</v>
      </c>
    </row>
    <row r="49" spans="1:6" ht="15.75">
      <c r="A49" s="1074" t="s">
        <v>7379</v>
      </c>
      <c r="B49" s="1075">
        <v>2.012</v>
      </c>
      <c r="C49" s="1076">
        <f t="shared" si="2"/>
        <v>303349</v>
      </c>
      <c r="D49" s="1076">
        <f t="shared" si="2"/>
        <v>308158</v>
      </c>
      <c r="E49" s="1076">
        <f t="shared" si="2"/>
        <v>313025</v>
      </c>
      <c r="F49" s="1076">
        <f t="shared" si="2"/>
        <v>310501</v>
      </c>
    </row>
    <row r="50" spans="1:6" ht="15.75">
      <c r="A50" s="1074" t="s">
        <v>7380</v>
      </c>
      <c r="B50" s="1075">
        <v>2.048</v>
      </c>
      <c r="C50" s="1076">
        <f t="shared" si="2"/>
        <v>308776</v>
      </c>
      <c r="D50" s="1076">
        <f t="shared" si="2"/>
        <v>313671</v>
      </c>
      <c r="E50" s="1076">
        <f t="shared" si="2"/>
        <v>318626</v>
      </c>
      <c r="F50" s="1076">
        <f t="shared" si="2"/>
        <v>316056</v>
      </c>
    </row>
    <row r="51" spans="1:6" ht="15.75">
      <c r="A51" s="1074" t="s">
        <v>7381</v>
      </c>
      <c r="B51" s="1075">
        <v>2.0840000000000001</v>
      </c>
      <c r="C51" s="1076">
        <f t="shared" si="2"/>
        <v>314204</v>
      </c>
      <c r="D51" s="1076">
        <f t="shared" si="2"/>
        <v>319185</v>
      </c>
      <c r="E51" s="1076">
        <f t="shared" si="2"/>
        <v>324227</v>
      </c>
      <c r="F51" s="1076">
        <f t="shared" si="2"/>
        <v>321612</v>
      </c>
    </row>
    <row r="52" spans="1:6" ht="15.75">
      <c r="A52" s="1074" t="s">
        <v>7382</v>
      </c>
      <c r="B52" s="1075">
        <v>2.12</v>
      </c>
      <c r="C52" s="1076">
        <f t="shared" si="2"/>
        <v>319632</v>
      </c>
      <c r="D52" s="1076">
        <f t="shared" si="2"/>
        <v>324699</v>
      </c>
      <c r="E52" s="1076">
        <f t="shared" si="2"/>
        <v>329827</v>
      </c>
      <c r="F52" s="1076">
        <f t="shared" si="2"/>
        <v>327168</v>
      </c>
    </row>
    <row r="53" spans="1:6" ht="15.75">
      <c r="A53" s="1074" t="s">
        <v>7383</v>
      </c>
      <c r="B53" s="1075">
        <v>2.1560000000000001</v>
      </c>
      <c r="C53" s="1076">
        <f t="shared" si="2"/>
        <v>325060</v>
      </c>
      <c r="D53" s="1076">
        <f t="shared" si="2"/>
        <v>330213</v>
      </c>
      <c r="E53" s="1076">
        <f t="shared" si="2"/>
        <v>335428</v>
      </c>
      <c r="F53" s="1076">
        <f t="shared" si="2"/>
        <v>332723</v>
      </c>
    </row>
    <row r="54" spans="1:6" ht="15.75">
      <c r="A54" s="1074" t="s">
        <v>7384</v>
      </c>
      <c r="B54" s="1075">
        <v>2.1920000000000002</v>
      </c>
      <c r="C54" s="1076">
        <f t="shared" si="2"/>
        <v>330487</v>
      </c>
      <c r="D54" s="1076">
        <f t="shared" si="2"/>
        <v>335726</v>
      </c>
      <c r="E54" s="1076">
        <f t="shared" si="2"/>
        <v>341029</v>
      </c>
      <c r="F54" s="1076">
        <f t="shared" si="2"/>
        <v>338279</v>
      </c>
    </row>
    <row r="55" spans="1:6" ht="15.75">
      <c r="A55" s="1074" t="s">
        <v>7385</v>
      </c>
      <c r="B55" s="1075">
        <v>2.2280000000000002</v>
      </c>
      <c r="C55" s="1076">
        <f t="shared" si="2"/>
        <v>335915</v>
      </c>
      <c r="D55" s="1076">
        <f t="shared" si="2"/>
        <v>341240</v>
      </c>
      <c r="E55" s="1076">
        <f t="shared" si="2"/>
        <v>346630</v>
      </c>
      <c r="F55" s="1076">
        <f t="shared" si="2"/>
        <v>343835</v>
      </c>
    </row>
    <row r="56" spans="1:6" ht="15.75">
      <c r="A56" s="1074" t="s">
        <v>7386</v>
      </c>
      <c r="B56" s="1075">
        <v>2.2640000000000002</v>
      </c>
      <c r="C56" s="1076">
        <f t="shared" si="2"/>
        <v>341343</v>
      </c>
      <c r="D56" s="1076">
        <f t="shared" si="2"/>
        <v>346754</v>
      </c>
      <c r="E56" s="1076">
        <f t="shared" si="2"/>
        <v>352231</v>
      </c>
      <c r="F56" s="1076">
        <f t="shared" si="2"/>
        <v>349390</v>
      </c>
    </row>
    <row r="57" spans="1:6" s="1072" customFormat="1" ht="15.75">
      <c r="A57" s="1086" t="s">
        <v>7387</v>
      </c>
      <c r="B57" s="1087">
        <v>2.2999999999999998</v>
      </c>
      <c r="C57" s="1088">
        <f t="shared" si="2"/>
        <v>346770</v>
      </c>
      <c r="D57" s="1088">
        <f t="shared" si="2"/>
        <v>352268</v>
      </c>
      <c r="E57" s="1088">
        <f t="shared" si="2"/>
        <v>357832</v>
      </c>
      <c r="F57" s="1088">
        <f t="shared" si="2"/>
        <v>354946</v>
      </c>
    </row>
    <row r="58" spans="1:6" ht="15.75">
      <c r="A58" s="1074" t="s">
        <v>7388</v>
      </c>
      <c r="B58" s="1075">
        <v>2.3409999999999997</v>
      </c>
      <c r="C58" s="1076">
        <f t="shared" si="2"/>
        <v>352952</v>
      </c>
      <c r="D58" s="1076">
        <f t="shared" si="2"/>
        <v>358547</v>
      </c>
      <c r="E58" s="1076">
        <f t="shared" si="2"/>
        <v>364210</v>
      </c>
      <c r="F58" s="1076">
        <f t="shared" si="2"/>
        <v>361273</v>
      </c>
    </row>
    <row r="59" spans="1:6" ht="15.75">
      <c r="A59" s="1074" t="s">
        <v>7389</v>
      </c>
      <c r="B59" s="1075">
        <v>2.3819999999999997</v>
      </c>
      <c r="C59" s="1076">
        <f t="shared" ref="C59:F67" si="3">ROUND(C$5*$B59/$B$32,0)</f>
        <v>359134</v>
      </c>
      <c r="D59" s="1076">
        <f t="shared" si="3"/>
        <v>364827</v>
      </c>
      <c r="E59" s="1076">
        <f t="shared" si="3"/>
        <v>370589</v>
      </c>
      <c r="F59" s="1076">
        <f t="shared" si="3"/>
        <v>367601</v>
      </c>
    </row>
    <row r="60" spans="1:6" ht="15.75">
      <c r="A60" s="1074" t="s">
        <v>7390</v>
      </c>
      <c r="B60" s="1075">
        <v>2.4229999999999996</v>
      </c>
      <c r="C60" s="1076">
        <f t="shared" si="3"/>
        <v>365315</v>
      </c>
      <c r="D60" s="1076">
        <f t="shared" si="3"/>
        <v>371106</v>
      </c>
      <c r="E60" s="1076">
        <f t="shared" si="3"/>
        <v>376968</v>
      </c>
      <c r="F60" s="1076">
        <f t="shared" si="3"/>
        <v>373928</v>
      </c>
    </row>
    <row r="61" spans="1:6" ht="15.75">
      <c r="A61" s="1074" t="s">
        <v>7391</v>
      </c>
      <c r="B61" s="1075">
        <v>2.4639999999999995</v>
      </c>
      <c r="C61" s="1076">
        <f t="shared" si="3"/>
        <v>371497</v>
      </c>
      <c r="D61" s="1076">
        <f t="shared" si="3"/>
        <v>377386</v>
      </c>
      <c r="E61" s="1076">
        <f t="shared" si="3"/>
        <v>383347</v>
      </c>
      <c r="F61" s="1076">
        <f t="shared" si="3"/>
        <v>380255</v>
      </c>
    </row>
    <row r="62" spans="1:6" ht="15.75">
      <c r="A62" s="1074" t="s">
        <v>7392</v>
      </c>
      <c r="B62" s="1075">
        <v>2.5049999999999994</v>
      </c>
      <c r="C62" s="1076">
        <f t="shared" si="3"/>
        <v>377678</v>
      </c>
      <c r="D62" s="1076">
        <f t="shared" si="3"/>
        <v>383665</v>
      </c>
      <c r="E62" s="1076">
        <f t="shared" si="3"/>
        <v>389725</v>
      </c>
      <c r="F62" s="1076">
        <f t="shared" si="3"/>
        <v>386582</v>
      </c>
    </row>
    <row r="63" spans="1:6" ht="15.75">
      <c r="A63" s="1074" t="s">
        <v>7393</v>
      </c>
      <c r="B63" s="1075">
        <v>2.5459999999999994</v>
      </c>
      <c r="C63" s="1076">
        <f t="shared" si="3"/>
        <v>383860</v>
      </c>
      <c r="D63" s="1076">
        <f t="shared" si="3"/>
        <v>389945</v>
      </c>
      <c r="E63" s="1076">
        <f t="shared" si="3"/>
        <v>396104</v>
      </c>
      <c r="F63" s="1076">
        <f t="shared" si="3"/>
        <v>392910</v>
      </c>
    </row>
    <row r="64" spans="1:6" ht="15.75">
      <c r="A64" s="1074" t="s">
        <v>7394</v>
      </c>
      <c r="B64" s="1075">
        <v>2.5869999999999993</v>
      </c>
      <c r="C64" s="1076">
        <f t="shared" si="3"/>
        <v>390041</v>
      </c>
      <c r="D64" s="1076">
        <f t="shared" si="3"/>
        <v>396225</v>
      </c>
      <c r="E64" s="1076">
        <f t="shared" si="3"/>
        <v>402483</v>
      </c>
      <c r="F64" s="1076">
        <f t="shared" si="3"/>
        <v>399237</v>
      </c>
    </row>
    <row r="65" spans="1:6" ht="15.75">
      <c r="A65" s="1074" t="s">
        <v>7395</v>
      </c>
      <c r="B65" s="1075">
        <v>2.6279999999999992</v>
      </c>
      <c r="C65" s="1076">
        <f t="shared" si="3"/>
        <v>396223</v>
      </c>
      <c r="D65" s="1076">
        <f t="shared" si="3"/>
        <v>402504</v>
      </c>
      <c r="E65" s="1076">
        <f t="shared" si="3"/>
        <v>408861</v>
      </c>
      <c r="F65" s="1076">
        <f t="shared" si="3"/>
        <v>405564</v>
      </c>
    </row>
    <row r="66" spans="1:6" ht="15.75">
      <c r="A66" s="1074" t="s">
        <v>7396</v>
      </c>
      <c r="B66" s="1075">
        <v>2.6689999999999992</v>
      </c>
      <c r="C66" s="1076">
        <f t="shared" si="3"/>
        <v>402404</v>
      </c>
      <c r="D66" s="1076">
        <f t="shared" si="3"/>
        <v>408784</v>
      </c>
      <c r="E66" s="1076">
        <f t="shared" si="3"/>
        <v>415240</v>
      </c>
      <c r="F66" s="1076">
        <f t="shared" si="3"/>
        <v>411892</v>
      </c>
    </row>
    <row r="67" spans="1:6" s="1072" customFormat="1" ht="15.75">
      <c r="A67" s="1094" t="s">
        <v>7397</v>
      </c>
      <c r="B67" s="1095">
        <v>2.71</v>
      </c>
      <c r="C67" s="1096">
        <f t="shared" si="3"/>
        <v>408586</v>
      </c>
      <c r="D67" s="1096">
        <f t="shared" si="3"/>
        <v>415063</v>
      </c>
      <c r="E67" s="1096">
        <f t="shared" si="3"/>
        <v>421619</v>
      </c>
      <c r="F67" s="1096">
        <f t="shared" si="3"/>
        <v>418219</v>
      </c>
    </row>
  </sheetData>
  <mergeCells count="2">
    <mergeCell ref="A2:F2"/>
    <mergeCell ref="A3:F3"/>
  </mergeCells>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3"/>
  <sheetViews>
    <sheetView topLeftCell="A478" workbookViewId="0">
      <selection activeCell="G421" sqref="G421"/>
    </sheetView>
  </sheetViews>
  <sheetFormatPr defaultRowHeight="15"/>
  <cols>
    <col min="2" max="2" width="14" customWidth="1"/>
    <col min="3" max="3" width="45.28515625" customWidth="1"/>
    <col min="4" max="4" width="16.7109375" customWidth="1"/>
    <col min="5" max="5" width="13.140625" customWidth="1"/>
    <col min="6" max="6" width="11.7109375" customWidth="1"/>
    <col min="7" max="7" width="15" bestFit="1" customWidth="1"/>
    <col min="8" max="9" width="12.85546875" bestFit="1" customWidth="1"/>
    <col min="10" max="10" width="12.140625" bestFit="1" customWidth="1"/>
    <col min="11" max="11" width="14" bestFit="1" customWidth="1"/>
    <col min="12" max="12" width="15" bestFit="1" customWidth="1"/>
    <col min="13" max="13" width="15" style="1161" bestFit="1" customWidth="1"/>
    <col min="14" max="14" width="15" style="455" bestFit="1" customWidth="1"/>
    <col min="15" max="15" width="15" bestFit="1" customWidth="1"/>
    <col min="16" max="16" width="14.42578125" bestFit="1" customWidth="1"/>
    <col min="17" max="19" width="14.28515625" bestFit="1" customWidth="1"/>
  </cols>
  <sheetData>
    <row r="1" spans="1:19" ht="14.45" customHeight="1">
      <c r="A1" s="1577" t="s">
        <v>7400</v>
      </c>
      <c r="B1" s="1578"/>
      <c r="C1" s="1578"/>
      <c r="D1" s="1578"/>
      <c r="E1" s="1578"/>
      <c r="F1" s="1578"/>
      <c r="G1" s="1578"/>
      <c r="H1" s="1578"/>
      <c r="I1" s="1578"/>
      <c r="J1" s="1578"/>
      <c r="K1" s="1578"/>
      <c r="L1" s="1578"/>
      <c r="M1" s="1578"/>
      <c r="N1" s="1578"/>
      <c r="O1" s="1579"/>
    </row>
    <row r="2" spans="1:19">
      <c r="A2" s="1580" t="s">
        <v>7401</v>
      </c>
      <c r="B2" s="1581"/>
      <c r="C2" s="1581"/>
      <c r="D2" s="1581"/>
      <c r="E2" s="1581"/>
      <c r="F2" s="1581"/>
      <c r="G2" s="1581"/>
      <c r="H2" s="1581"/>
      <c r="I2" s="1581"/>
      <c r="J2" s="1581"/>
      <c r="K2" s="1581"/>
      <c r="L2" s="1581"/>
      <c r="M2" s="1581"/>
      <c r="N2" s="1581"/>
      <c r="O2" s="1582"/>
    </row>
    <row r="3" spans="1:19">
      <c r="A3" s="1583" t="s">
        <v>3135</v>
      </c>
      <c r="B3" s="1583" t="s">
        <v>3908</v>
      </c>
      <c r="C3" s="1583" t="s">
        <v>7402</v>
      </c>
      <c r="D3" s="1583" t="s">
        <v>7403</v>
      </c>
      <c r="E3" s="1583" t="s">
        <v>7404</v>
      </c>
      <c r="F3" s="1583" t="s">
        <v>7405</v>
      </c>
      <c r="G3" s="1583" t="s">
        <v>7406</v>
      </c>
      <c r="H3" s="1583" t="s">
        <v>7407</v>
      </c>
      <c r="I3" s="1583"/>
      <c r="J3" s="1583"/>
      <c r="K3" s="1583"/>
      <c r="L3" s="1583" t="s">
        <v>7408</v>
      </c>
      <c r="M3" s="1583"/>
      <c r="N3" s="1583"/>
      <c r="O3" s="1583"/>
      <c r="P3" s="1583" t="s">
        <v>3576</v>
      </c>
      <c r="Q3" s="1583"/>
      <c r="R3" s="1583"/>
      <c r="S3" s="1583"/>
    </row>
    <row r="4" spans="1:19" ht="57.75">
      <c r="A4" s="1583"/>
      <c r="B4" s="1583"/>
      <c r="C4" s="1583"/>
      <c r="D4" s="1583"/>
      <c r="E4" s="1583"/>
      <c r="F4" s="1583"/>
      <c r="G4" s="1583"/>
      <c r="H4" s="1097" t="s">
        <v>7409</v>
      </c>
      <c r="I4" s="1097" t="s">
        <v>7410</v>
      </c>
      <c r="J4" s="1097" t="s">
        <v>7411</v>
      </c>
      <c r="K4" s="1097" t="s">
        <v>7412</v>
      </c>
      <c r="L4" s="1097" t="s">
        <v>7413</v>
      </c>
      <c r="M4" s="1098" t="s">
        <v>7414</v>
      </c>
      <c r="N4" s="762" t="s">
        <v>7415</v>
      </c>
      <c r="O4" s="1097" t="s">
        <v>7416</v>
      </c>
      <c r="P4" s="1097" t="s">
        <v>7413</v>
      </c>
      <c r="Q4" s="1097" t="s">
        <v>7414</v>
      </c>
      <c r="R4" s="1097" t="s">
        <v>7415</v>
      </c>
      <c r="S4" s="1097" t="s">
        <v>7416</v>
      </c>
    </row>
    <row r="5" spans="1:19">
      <c r="A5" s="1097"/>
      <c r="B5" s="1097">
        <v>1</v>
      </c>
      <c r="C5" s="1097">
        <f>B5+1</f>
        <v>2</v>
      </c>
      <c r="D5" s="1097">
        <f t="shared" ref="D5:S5" si="0">C5+1</f>
        <v>3</v>
      </c>
      <c r="E5" s="1097">
        <f t="shared" si="0"/>
        <v>4</v>
      </c>
      <c r="F5" s="1097">
        <f t="shared" si="0"/>
        <v>5</v>
      </c>
      <c r="G5" s="1097">
        <f t="shared" si="0"/>
        <v>6</v>
      </c>
      <c r="H5" s="1097">
        <f t="shared" si="0"/>
        <v>7</v>
      </c>
      <c r="I5" s="1097">
        <f t="shared" si="0"/>
        <v>8</v>
      </c>
      <c r="J5" s="1097">
        <f t="shared" si="0"/>
        <v>9</v>
      </c>
      <c r="K5" s="1097">
        <f t="shared" si="0"/>
        <v>10</v>
      </c>
      <c r="L5" s="1097">
        <f t="shared" si="0"/>
        <v>11</v>
      </c>
      <c r="M5" s="1098">
        <f t="shared" si="0"/>
        <v>12</v>
      </c>
      <c r="N5" s="762">
        <f t="shared" si="0"/>
        <v>13</v>
      </c>
      <c r="O5" s="1097">
        <f t="shared" si="0"/>
        <v>14</v>
      </c>
      <c r="P5" s="1097">
        <f t="shared" si="0"/>
        <v>15</v>
      </c>
      <c r="Q5" s="1097">
        <f t="shared" si="0"/>
        <v>16</v>
      </c>
      <c r="R5" s="1097">
        <f t="shared" si="0"/>
        <v>17</v>
      </c>
      <c r="S5" s="1097">
        <f t="shared" si="0"/>
        <v>18</v>
      </c>
    </row>
    <row r="6" spans="1:19">
      <c r="A6" s="1015"/>
      <c r="B6" s="1015"/>
      <c r="C6" s="1099" t="s">
        <v>7417</v>
      </c>
      <c r="D6" s="1015"/>
      <c r="E6" s="1100"/>
      <c r="F6" s="1015"/>
      <c r="G6" s="1100"/>
      <c r="H6" s="1100"/>
      <c r="I6" s="1100"/>
      <c r="J6" s="1100"/>
      <c r="K6" s="1100"/>
      <c r="L6" s="1100"/>
      <c r="M6" s="1101"/>
      <c r="N6" s="1158"/>
      <c r="O6" s="1100"/>
      <c r="P6" s="1100"/>
      <c r="Q6" s="1100"/>
      <c r="R6" s="1100"/>
      <c r="S6" s="1100"/>
    </row>
    <row r="7" spans="1:19">
      <c r="A7" s="1102">
        <v>1.1000000000000001</v>
      </c>
      <c r="B7" s="1102" t="s">
        <v>7418</v>
      </c>
      <c r="C7" s="1099" t="s">
        <v>7419</v>
      </c>
      <c r="D7" s="1015"/>
      <c r="E7" s="1100"/>
      <c r="F7" s="1015"/>
      <c r="G7" s="1100"/>
      <c r="H7" s="1100"/>
      <c r="I7" s="1100"/>
      <c r="J7" s="1100"/>
      <c r="K7" s="1100"/>
      <c r="L7" s="1100"/>
      <c r="M7" s="1101"/>
      <c r="N7" s="1158"/>
      <c r="O7" s="1100"/>
      <c r="P7" s="1100"/>
      <c r="Q7" s="1100"/>
      <c r="R7" s="1100"/>
      <c r="S7" s="1100"/>
    </row>
    <row r="8" spans="1:19">
      <c r="A8" s="1015"/>
      <c r="B8" s="1102" t="s">
        <v>7420</v>
      </c>
      <c r="C8" s="1099" t="s">
        <v>7421</v>
      </c>
      <c r="D8" s="1015"/>
      <c r="E8" s="1100"/>
      <c r="F8" s="1015"/>
      <c r="G8" s="1100"/>
      <c r="H8" s="1100"/>
      <c r="I8" s="1100"/>
      <c r="J8" s="1100"/>
      <c r="K8" s="1100"/>
      <c r="L8" s="1100"/>
      <c r="M8" s="1101"/>
      <c r="N8" s="1158"/>
      <c r="O8" s="1100"/>
      <c r="P8" s="1100"/>
      <c r="Q8" s="1100"/>
      <c r="R8" s="1100"/>
      <c r="S8" s="1100"/>
    </row>
    <row r="9" spans="1:19" ht="18">
      <c r="A9" s="1015">
        <v>1</v>
      </c>
      <c r="B9" s="1015" t="s">
        <v>7422</v>
      </c>
      <c r="C9" s="1103" t="s">
        <v>7423</v>
      </c>
      <c r="D9" s="1015" t="s">
        <v>7424</v>
      </c>
      <c r="E9" s="1104">
        <v>645023</v>
      </c>
      <c r="F9" s="1105" t="s">
        <v>7425</v>
      </c>
      <c r="G9" s="1104">
        <v>809944</v>
      </c>
      <c r="H9" s="1104">
        <v>287074</v>
      </c>
      <c r="I9" s="1104">
        <v>254635</v>
      </c>
      <c r="J9" s="1104">
        <v>222777</v>
      </c>
      <c r="K9" s="1104">
        <v>367424</v>
      </c>
      <c r="L9" s="1104">
        <v>1687081</v>
      </c>
      <c r="M9" s="1106">
        <v>1654642</v>
      </c>
      <c r="N9" s="1159">
        <v>1622784</v>
      </c>
      <c r="O9" s="1104">
        <v>1767431</v>
      </c>
      <c r="P9" s="1107">
        <f>H9+L9</f>
        <v>1974155</v>
      </c>
      <c r="Q9" s="1107">
        <f>I9+M9</f>
        <v>1909277</v>
      </c>
      <c r="R9" s="1107">
        <f>J9+N9</f>
        <v>1845561</v>
      </c>
      <c r="S9" s="1107">
        <f>K9+O9</f>
        <v>2134855</v>
      </c>
    </row>
    <row r="10" spans="1:19" ht="18">
      <c r="A10" s="1015">
        <v>2</v>
      </c>
      <c r="B10" s="1015" t="s">
        <v>7426</v>
      </c>
      <c r="C10" s="1103" t="s">
        <v>7427</v>
      </c>
      <c r="D10" s="1015" t="s">
        <v>7424</v>
      </c>
      <c r="E10" s="1104">
        <v>765028</v>
      </c>
      <c r="F10" s="1105" t="s">
        <v>7425</v>
      </c>
      <c r="G10" s="1104">
        <v>952186</v>
      </c>
      <c r="H10" s="1104">
        <v>287074</v>
      </c>
      <c r="I10" s="1104">
        <v>254635</v>
      </c>
      <c r="J10" s="1104">
        <v>222777</v>
      </c>
      <c r="K10" s="1104">
        <v>367424</v>
      </c>
      <c r="L10" s="1104">
        <v>1939675</v>
      </c>
      <c r="M10" s="1106">
        <v>1907236</v>
      </c>
      <c r="N10" s="1159">
        <v>1875378</v>
      </c>
      <c r="O10" s="1104">
        <v>2020025</v>
      </c>
      <c r="P10" s="1107">
        <f t="shared" ref="P10:S73" si="1">H10+L10</f>
        <v>2226749</v>
      </c>
      <c r="Q10" s="1107">
        <f t="shared" si="1"/>
        <v>2161871</v>
      </c>
      <c r="R10" s="1107">
        <f t="shared" si="1"/>
        <v>2098155</v>
      </c>
      <c r="S10" s="1107">
        <f t="shared" si="1"/>
        <v>2387449</v>
      </c>
    </row>
    <row r="11" spans="1:19" ht="18">
      <c r="A11" s="1015">
        <v>3</v>
      </c>
      <c r="B11" s="1015" t="s">
        <v>7428</v>
      </c>
      <c r="C11" s="1103" t="s">
        <v>7429</v>
      </c>
      <c r="D11" s="1015" t="s">
        <v>7424</v>
      </c>
      <c r="E11" s="1104">
        <v>885032</v>
      </c>
      <c r="F11" s="1105" t="s">
        <v>7425</v>
      </c>
      <c r="G11" s="1104">
        <v>1075609</v>
      </c>
      <c r="H11" s="1104">
        <v>287074</v>
      </c>
      <c r="I11" s="1104">
        <v>254635</v>
      </c>
      <c r="J11" s="1104">
        <v>222777</v>
      </c>
      <c r="K11" s="1104">
        <v>367424</v>
      </c>
      <c r="L11" s="1104">
        <v>2174727</v>
      </c>
      <c r="M11" s="1106">
        <v>2142288</v>
      </c>
      <c r="N11" s="1159">
        <v>2110430</v>
      </c>
      <c r="O11" s="1104">
        <v>2255077</v>
      </c>
      <c r="P11" s="1107">
        <f t="shared" si="1"/>
        <v>2461801</v>
      </c>
      <c r="Q11" s="1107">
        <f t="shared" si="1"/>
        <v>2396923</v>
      </c>
      <c r="R11" s="1107">
        <f t="shared" si="1"/>
        <v>2333207</v>
      </c>
      <c r="S11" s="1107">
        <f t="shared" si="1"/>
        <v>2622501</v>
      </c>
    </row>
    <row r="12" spans="1:19" ht="18">
      <c r="A12" s="1015">
        <v>4</v>
      </c>
      <c r="B12" s="1015" t="s">
        <v>7430</v>
      </c>
      <c r="C12" s="1103" t="s">
        <v>7431</v>
      </c>
      <c r="D12" s="1015" t="s">
        <v>7424</v>
      </c>
      <c r="E12" s="1104">
        <v>975035</v>
      </c>
      <c r="F12" s="1105" t="s">
        <v>7425</v>
      </c>
      <c r="G12" s="1104">
        <v>1183203</v>
      </c>
      <c r="H12" s="1104">
        <v>287074</v>
      </c>
      <c r="I12" s="1104">
        <v>254635</v>
      </c>
      <c r="J12" s="1104">
        <v>222777</v>
      </c>
      <c r="K12" s="1104">
        <v>367424</v>
      </c>
      <c r="L12" s="1104">
        <v>2365024</v>
      </c>
      <c r="M12" s="1106">
        <v>2332585</v>
      </c>
      <c r="N12" s="1159">
        <v>2300727</v>
      </c>
      <c r="O12" s="1104">
        <v>2445374</v>
      </c>
      <c r="P12" s="1107">
        <f t="shared" si="1"/>
        <v>2652098</v>
      </c>
      <c r="Q12" s="1107">
        <f t="shared" si="1"/>
        <v>2587220</v>
      </c>
      <c r="R12" s="1107">
        <f t="shared" si="1"/>
        <v>2523504</v>
      </c>
      <c r="S12" s="1107">
        <f t="shared" si="1"/>
        <v>2812798</v>
      </c>
    </row>
    <row r="13" spans="1:19" ht="18">
      <c r="A13" s="1015">
        <v>5</v>
      </c>
      <c r="B13" s="1015" t="s">
        <v>7432</v>
      </c>
      <c r="C13" s="1103" t="s">
        <v>7433</v>
      </c>
      <c r="D13" s="1015" t="s">
        <v>7424</v>
      </c>
      <c r="E13" s="1104">
        <v>1245045</v>
      </c>
      <c r="F13" s="1105" t="s">
        <v>7425</v>
      </c>
      <c r="G13" s="1104">
        <v>1863636</v>
      </c>
      <c r="H13" s="1104">
        <v>287074</v>
      </c>
      <c r="I13" s="1104">
        <v>254635</v>
      </c>
      <c r="J13" s="1104">
        <v>222777</v>
      </c>
      <c r="K13" s="1104">
        <v>367424</v>
      </c>
      <c r="L13" s="1104">
        <v>3269294</v>
      </c>
      <c r="M13" s="1106">
        <v>3236855</v>
      </c>
      <c r="N13" s="1159">
        <v>3204997</v>
      </c>
      <c r="O13" s="1104">
        <v>3349644</v>
      </c>
      <c r="P13" s="1107">
        <f t="shared" si="1"/>
        <v>3556368</v>
      </c>
      <c r="Q13" s="1107">
        <f t="shared" si="1"/>
        <v>3491490</v>
      </c>
      <c r="R13" s="1107">
        <f t="shared" si="1"/>
        <v>3427774</v>
      </c>
      <c r="S13" s="1107">
        <f t="shared" si="1"/>
        <v>3717068</v>
      </c>
    </row>
    <row r="14" spans="1:19" ht="18">
      <c r="A14" s="1015">
        <v>6</v>
      </c>
      <c r="B14" s="1015" t="s">
        <v>7434</v>
      </c>
      <c r="C14" s="1103" t="s">
        <v>7435</v>
      </c>
      <c r="D14" s="1015" t="s">
        <v>7424</v>
      </c>
      <c r="E14" s="1104">
        <v>1695062</v>
      </c>
      <c r="F14" s="1105" t="s">
        <v>7425</v>
      </c>
      <c r="G14" s="1104">
        <v>2244200</v>
      </c>
      <c r="H14" s="1104">
        <v>287074</v>
      </c>
      <c r="I14" s="1104">
        <v>254635</v>
      </c>
      <c r="J14" s="1104">
        <v>222777</v>
      </c>
      <c r="K14" s="1104">
        <v>367424</v>
      </c>
      <c r="L14" s="1104">
        <v>3977871</v>
      </c>
      <c r="M14" s="1106">
        <v>3945432</v>
      </c>
      <c r="N14" s="1159">
        <v>3913574</v>
      </c>
      <c r="O14" s="1104">
        <v>4058221</v>
      </c>
      <c r="P14" s="1107">
        <f t="shared" si="1"/>
        <v>4264945</v>
      </c>
      <c r="Q14" s="1107">
        <f t="shared" si="1"/>
        <v>4200067</v>
      </c>
      <c r="R14" s="1107">
        <f t="shared" si="1"/>
        <v>4136351</v>
      </c>
      <c r="S14" s="1107">
        <f t="shared" si="1"/>
        <v>4425645</v>
      </c>
    </row>
    <row r="15" spans="1:19" ht="18">
      <c r="A15" s="1015">
        <v>7</v>
      </c>
      <c r="B15" s="1015" t="s">
        <v>7436</v>
      </c>
      <c r="C15" s="1103" t="s">
        <v>7437</v>
      </c>
      <c r="D15" s="1015" t="s">
        <v>7424</v>
      </c>
      <c r="E15" s="1104">
        <v>2070075</v>
      </c>
      <c r="F15" s="1105" t="s">
        <v>7425</v>
      </c>
      <c r="G15" s="1104">
        <v>3258264</v>
      </c>
      <c r="H15" s="1104">
        <v>287074</v>
      </c>
      <c r="I15" s="1104">
        <v>254635</v>
      </c>
      <c r="J15" s="1104">
        <v>222777</v>
      </c>
      <c r="K15" s="1104">
        <v>367424</v>
      </c>
      <c r="L15" s="1104">
        <v>5254677</v>
      </c>
      <c r="M15" s="1106">
        <v>5222238</v>
      </c>
      <c r="N15" s="1159">
        <v>5190380</v>
      </c>
      <c r="O15" s="1104">
        <v>5335027</v>
      </c>
      <c r="P15" s="1107">
        <f t="shared" si="1"/>
        <v>5541751</v>
      </c>
      <c r="Q15" s="1107">
        <f t="shared" si="1"/>
        <v>5476873</v>
      </c>
      <c r="R15" s="1107">
        <f t="shared" si="1"/>
        <v>5413157</v>
      </c>
      <c r="S15" s="1107">
        <f t="shared" si="1"/>
        <v>5702451</v>
      </c>
    </row>
    <row r="16" spans="1:19" ht="18">
      <c r="A16" s="1015">
        <v>8</v>
      </c>
      <c r="B16" s="1015" t="s">
        <v>7438</v>
      </c>
      <c r="C16" s="1103" t="s">
        <v>7439</v>
      </c>
      <c r="D16" s="1015" t="s">
        <v>7424</v>
      </c>
      <c r="E16" s="1104">
        <v>2985109</v>
      </c>
      <c r="F16" s="1105" t="s">
        <v>7425</v>
      </c>
      <c r="G16" s="1104">
        <v>6504000</v>
      </c>
      <c r="H16" s="1104">
        <v>287074</v>
      </c>
      <c r="I16" s="1104">
        <v>254635</v>
      </c>
      <c r="J16" s="1104">
        <v>222777</v>
      </c>
      <c r="K16" s="1104">
        <v>367424</v>
      </c>
      <c r="L16" s="1104">
        <v>7955063</v>
      </c>
      <c r="M16" s="1106">
        <v>7922624</v>
      </c>
      <c r="N16" s="1159">
        <v>7890766</v>
      </c>
      <c r="O16" s="1104">
        <v>8035413</v>
      </c>
      <c r="P16" s="1107">
        <f t="shared" si="1"/>
        <v>8242137</v>
      </c>
      <c r="Q16" s="1107">
        <f t="shared" si="1"/>
        <v>8177259</v>
      </c>
      <c r="R16" s="1107">
        <f t="shared" si="1"/>
        <v>8113543</v>
      </c>
      <c r="S16" s="1107">
        <f t="shared" si="1"/>
        <v>8402837</v>
      </c>
    </row>
    <row r="17" spans="1:19" ht="18">
      <c r="A17" s="1015">
        <v>9</v>
      </c>
      <c r="B17" s="1015" t="s">
        <v>7440</v>
      </c>
      <c r="C17" s="1103" t="s">
        <v>7441</v>
      </c>
      <c r="D17" s="1015" t="s">
        <v>7424</v>
      </c>
      <c r="E17" s="1104">
        <v>1245045</v>
      </c>
      <c r="F17" s="1105" t="s">
        <v>7425</v>
      </c>
      <c r="G17" s="1104">
        <v>2150000</v>
      </c>
      <c r="H17" s="1104">
        <v>287074</v>
      </c>
      <c r="I17" s="1104">
        <v>254635</v>
      </c>
      <c r="J17" s="1104">
        <v>222777</v>
      </c>
      <c r="K17" s="1104">
        <v>367424</v>
      </c>
      <c r="L17" s="1104">
        <v>3536226</v>
      </c>
      <c r="M17" s="1106">
        <v>3503787</v>
      </c>
      <c r="N17" s="1159">
        <v>3471929</v>
      </c>
      <c r="O17" s="1104">
        <v>3616576</v>
      </c>
      <c r="P17" s="1107">
        <f t="shared" si="1"/>
        <v>3823300</v>
      </c>
      <c r="Q17" s="1107">
        <f t="shared" si="1"/>
        <v>3758422</v>
      </c>
      <c r="R17" s="1107">
        <f t="shared" si="1"/>
        <v>3694706</v>
      </c>
      <c r="S17" s="1107">
        <f t="shared" si="1"/>
        <v>3984000</v>
      </c>
    </row>
    <row r="18" spans="1:19" ht="18">
      <c r="A18" s="1015">
        <v>10</v>
      </c>
      <c r="B18" s="1015" t="s">
        <v>7442</v>
      </c>
      <c r="C18" s="1103" t="s">
        <v>7443</v>
      </c>
      <c r="D18" s="1015" t="s">
        <v>7424</v>
      </c>
      <c r="E18" s="1104">
        <v>1695062</v>
      </c>
      <c r="F18" s="1105" t="s">
        <v>7425</v>
      </c>
      <c r="G18" s="1104">
        <v>2530564</v>
      </c>
      <c r="H18" s="1104">
        <v>287074</v>
      </c>
      <c r="I18" s="1104">
        <v>254635</v>
      </c>
      <c r="J18" s="1104">
        <v>222777</v>
      </c>
      <c r="K18" s="1104">
        <v>367424</v>
      </c>
      <c r="L18" s="1104">
        <v>4082504</v>
      </c>
      <c r="M18" s="1106">
        <v>4050065</v>
      </c>
      <c r="N18" s="1159">
        <v>4018207</v>
      </c>
      <c r="O18" s="1104">
        <v>4162854</v>
      </c>
      <c r="P18" s="1107">
        <f t="shared" si="1"/>
        <v>4369578</v>
      </c>
      <c r="Q18" s="1107">
        <f t="shared" si="1"/>
        <v>4304700</v>
      </c>
      <c r="R18" s="1107">
        <f t="shared" si="1"/>
        <v>4240984</v>
      </c>
      <c r="S18" s="1107">
        <f t="shared" si="1"/>
        <v>4530278</v>
      </c>
    </row>
    <row r="19" spans="1:19">
      <c r="A19" s="1015"/>
      <c r="B19" s="1102" t="s">
        <v>7444</v>
      </c>
      <c r="C19" s="1099" t="s">
        <v>7445</v>
      </c>
      <c r="D19" s="1015"/>
      <c r="E19" s="1104" t="s">
        <v>7446</v>
      </c>
      <c r="F19" s="1105"/>
      <c r="G19" s="1104"/>
      <c r="H19" s="1104"/>
      <c r="I19" s="1104"/>
      <c r="J19" s="1104"/>
      <c r="K19" s="1104"/>
      <c r="L19" s="1104"/>
      <c r="M19" s="1106"/>
      <c r="N19" s="1159"/>
      <c r="O19" s="1104"/>
      <c r="P19" s="1107">
        <f t="shared" si="1"/>
        <v>0</v>
      </c>
      <c r="Q19" s="1107">
        <f t="shared" si="1"/>
        <v>0</v>
      </c>
      <c r="R19" s="1107">
        <f t="shared" si="1"/>
        <v>0</v>
      </c>
      <c r="S19" s="1107">
        <f t="shared" si="1"/>
        <v>0</v>
      </c>
    </row>
    <row r="20" spans="1:19" ht="18">
      <c r="A20" s="1015">
        <v>11</v>
      </c>
      <c r="B20" s="1015" t="s">
        <v>7447</v>
      </c>
      <c r="C20" s="1103" t="s">
        <v>7431</v>
      </c>
      <c r="D20" s="1015" t="s">
        <v>7424</v>
      </c>
      <c r="E20" s="1104">
        <v>855031</v>
      </c>
      <c r="F20" s="1105" t="s">
        <v>7425</v>
      </c>
      <c r="G20" s="1104">
        <v>1172647</v>
      </c>
      <c r="H20" s="1104">
        <v>287074</v>
      </c>
      <c r="I20" s="1104">
        <v>254635</v>
      </c>
      <c r="J20" s="1104">
        <v>222777</v>
      </c>
      <c r="K20" s="1104">
        <v>367424</v>
      </c>
      <c r="L20" s="1104">
        <v>2301222</v>
      </c>
      <c r="M20" s="1106">
        <v>2268783</v>
      </c>
      <c r="N20" s="1159">
        <v>2236925</v>
      </c>
      <c r="O20" s="1104">
        <v>2381572</v>
      </c>
      <c r="P20" s="1107">
        <f t="shared" si="1"/>
        <v>2588296</v>
      </c>
      <c r="Q20" s="1107">
        <f t="shared" si="1"/>
        <v>2523418</v>
      </c>
      <c r="R20" s="1107">
        <f t="shared" si="1"/>
        <v>2459702</v>
      </c>
      <c r="S20" s="1107">
        <f t="shared" si="1"/>
        <v>2748996</v>
      </c>
    </row>
    <row r="21" spans="1:19" ht="18">
      <c r="A21" s="1015">
        <v>12</v>
      </c>
      <c r="B21" s="1015" t="s">
        <v>7448</v>
      </c>
      <c r="C21" s="1103" t="s">
        <v>7433</v>
      </c>
      <c r="D21" s="1015" t="s">
        <v>7424</v>
      </c>
      <c r="E21" s="1104">
        <v>1095040</v>
      </c>
      <c r="F21" s="1105" t="s">
        <v>7425</v>
      </c>
      <c r="G21" s="1104">
        <v>2084693</v>
      </c>
      <c r="H21" s="1104">
        <v>287074</v>
      </c>
      <c r="I21" s="1104">
        <v>254635</v>
      </c>
      <c r="J21" s="1104">
        <v>222777</v>
      </c>
      <c r="K21" s="1104">
        <v>367424</v>
      </c>
      <c r="L21" s="1104">
        <v>3386626</v>
      </c>
      <c r="M21" s="1106">
        <v>3354187</v>
      </c>
      <c r="N21" s="1159">
        <v>3322329</v>
      </c>
      <c r="O21" s="1104">
        <v>3466976</v>
      </c>
      <c r="P21" s="1107">
        <f t="shared" si="1"/>
        <v>3673700</v>
      </c>
      <c r="Q21" s="1107">
        <f t="shared" si="1"/>
        <v>3608822</v>
      </c>
      <c r="R21" s="1107">
        <f t="shared" si="1"/>
        <v>3545106</v>
      </c>
      <c r="S21" s="1107">
        <f t="shared" si="1"/>
        <v>3834400</v>
      </c>
    </row>
    <row r="22" spans="1:19">
      <c r="A22" s="1015"/>
      <c r="B22" s="1102" t="s">
        <v>7449</v>
      </c>
      <c r="C22" s="1099" t="s">
        <v>7450</v>
      </c>
      <c r="D22" s="1015"/>
      <c r="E22" s="1104" t="s">
        <v>7446</v>
      </c>
      <c r="F22" s="1105"/>
      <c r="G22" s="1104"/>
      <c r="H22" s="1104"/>
      <c r="I22" s="1104"/>
      <c r="J22" s="1104"/>
      <c r="K22" s="1104"/>
      <c r="L22" s="1104"/>
      <c r="M22" s="1106"/>
      <c r="N22" s="1159"/>
      <c r="O22" s="1104"/>
      <c r="P22" s="1107">
        <f t="shared" si="1"/>
        <v>0</v>
      </c>
      <c r="Q22" s="1107">
        <f t="shared" si="1"/>
        <v>0</v>
      </c>
      <c r="R22" s="1107">
        <f t="shared" si="1"/>
        <v>0</v>
      </c>
      <c r="S22" s="1107">
        <f t="shared" si="1"/>
        <v>0</v>
      </c>
    </row>
    <row r="23" spans="1:19" ht="13.9" customHeight="1">
      <c r="A23" s="1015">
        <v>13</v>
      </c>
      <c r="B23" s="1015" t="s">
        <v>7451</v>
      </c>
      <c r="C23" s="1103" t="s">
        <v>7423</v>
      </c>
      <c r="D23" s="1015" t="s">
        <v>7424</v>
      </c>
      <c r="E23" s="1104">
        <v>885032</v>
      </c>
      <c r="F23" s="1105" t="s">
        <v>7452</v>
      </c>
      <c r="G23" s="1104">
        <v>1080697</v>
      </c>
      <c r="H23" s="1104">
        <v>337529</v>
      </c>
      <c r="I23" s="1104">
        <v>299389</v>
      </c>
      <c r="J23" s="1104">
        <v>261932</v>
      </c>
      <c r="K23" s="1104">
        <v>432001</v>
      </c>
      <c r="L23" s="1104">
        <v>2307415</v>
      </c>
      <c r="M23" s="1106">
        <v>2269275</v>
      </c>
      <c r="N23" s="1159">
        <v>2231818</v>
      </c>
      <c r="O23" s="1104">
        <v>2401887</v>
      </c>
      <c r="P23" s="1107">
        <f t="shared" si="1"/>
        <v>2644944</v>
      </c>
      <c r="Q23" s="1107">
        <f t="shared" si="1"/>
        <v>2568664</v>
      </c>
      <c r="R23" s="1107">
        <f t="shared" si="1"/>
        <v>2493750</v>
      </c>
      <c r="S23" s="1107">
        <f t="shared" si="1"/>
        <v>2833888</v>
      </c>
    </row>
    <row r="24" spans="1:19" ht="18">
      <c r="A24" s="1015">
        <v>14</v>
      </c>
      <c r="B24" s="1015" t="s">
        <v>7453</v>
      </c>
      <c r="C24" s="1103" t="s">
        <v>7429</v>
      </c>
      <c r="D24" s="1015" t="s">
        <v>7424</v>
      </c>
      <c r="E24" s="1104">
        <v>975035</v>
      </c>
      <c r="F24" s="1105" t="s">
        <v>7452</v>
      </c>
      <c r="G24" s="1104">
        <v>1188698</v>
      </c>
      <c r="H24" s="1104">
        <v>337529</v>
      </c>
      <c r="I24" s="1104">
        <v>299389</v>
      </c>
      <c r="J24" s="1104">
        <v>261932</v>
      </c>
      <c r="K24" s="1104">
        <v>432001</v>
      </c>
      <c r="L24" s="1104">
        <v>2505834</v>
      </c>
      <c r="M24" s="1106">
        <v>2467694</v>
      </c>
      <c r="N24" s="1159">
        <v>2430237</v>
      </c>
      <c r="O24" s="1104">
        <v>2600306</v>
      </c>
      <c r="P24" s="1107">
        <f t="shared" si="1"/>
        <v>2843363</v>
      </c>
      <c r="Q24" s="1107">
        <f t="shared" si="1"/>
        <v>2767083</v>
      </c>
      <c r="R24" s="1107">
        <f t="shared" si="1"/>
        <v>2692169</v>
      </c>
      <c r="S24" s="1107">
        <f t="shared" si="1"/>
        <v>3032307</v>
      </c>
    </row>
    <row r="25" spans="1:19" ht="18">
      <c r="A25" s="1015">
        <v>15</v>
      </c>
      <c r="B25" s="1015" t="s">
        <v>7454</v>
      </c>
      <c r="C25" s="1103" t="s">
        <v>7455</v>
      </c>
      <c r="D25" s="1015" t="s">
        <v>7424</v>
      </c>
      <c r="E25" s="1104">
        <v>1695062</v>
      </c>
      <c r="F25" s="1105" t="s">
        <v>7452</v>
      </c>
      <c r="G25" s="1104">
        <v>2208172</v>
      </c>
      <c r="H25" s="1104">
        <v>337529</v>
      </c>
      <c r="I25" s="1104">
        <v>299389</v>
      </c>
      <c r="J25" s="1104">
        <v>261932</v>
      </c>
      <c r="K25" s="1104">
        <v>432001</v>
      </c>
      <c r="L25" s="1104">
        <v>4147340</v>
      </c>
      <c r="M25" s="1106">
        <v>4109200</v>
      </c>
      <c r="N25" s="1159">
        <v>4071743</v>
      </c>
      <c r="O25" s="1104">
        <v>4241812</v>
      </c>
      <c r="P25" s="1107">
        <f t="shared" si="1"/>
        <v>4484869</v>
      </c>
      <c r="Q25" s="1107">
        <f t="shared" si="1"/>
        <v>4408589</v>
      </c>
      <c r="R25" s="1107">
        <f t="shared" si="1"/>
        <v>4333675</v>
      </c>
      <c r="S25" s="1107">
        <f t="shared" si="1"/>
        <v>4673813</v>
      </c>
    </row>
    <row r="26" spans="1:19" ht="18">
      <c r="A26" s="1015">
        <v>16</v>
      </c>
      <c r="B26" s="1015" t="s">
        <v>7456</v>
      </c>
      <c r="C26" s="1103" t="s">
        <v>7435</v>
      </c>
      <c r="D26" s="1015" t="s">
        <v>7424</v>
      </c>
      <c r="E26" s="1104">
        <v>1920070</v>
      </c>
      <c r="F26" s="1105" t="s">
        <v>7452</v>
      </c>
      <c r="G26" s="1104">
        <v>2806763</v>
      </c>
      <c r="H26" s="1104">
        <v>337529</v>
      </c>
      <c r="I26" s="1104">
        <v>299389</v>
      </c>
      <c r="J26" s="1104">
        <v>261932</v>
      </c>
      <c r="K26" s="1104">
        <v>432001</v>
      </c>
      <c r="L26" s="1104">
        <v>4945614</v>
      </c>
      <c r="M26" s="1106">
        <v>4907474</v>
      </c>
      <c r="N26" s="1159">
        <v>4870017</v>
      </c>
      <c r="O26" s="1104">
        <v>5040086</v>
      </c>
      <c r="P26" s="1107">
        <f t="shared" si="1"/>
        <v>5283143</v>
      </c>
      <c r="Q26" s="1107">
        <f t="shared" si="1"/>
        <v>5206863</v>
      </c>
      <c r="R26" s="1107">
        <f t="shared" si="1"/>
        <v>5131949</v>
      </c>
      <c r="S26" s="1107">
        <f t="shared" si="1"/>
        <v>5472087</v>
      </c>
    </row>
    <row r="27" spans="1:19" ht="18">
      <c r="A27" s="1015">
        <v>17</v>
      </c>
      <c r="B27" s="1015" t="s">
        <v>7457</v>
      </c>
      <c r="C27" s="1103" t="s">
        <v>7437</v>
      </c>
      <c r="D27" s="1015" t="s">
        <v>7424</v>
      </c>
      <c r="E27" s="1104">
        <v>2460089</v>
      </c>
      <c r="F27" s="1105" t="s">
        <v>7452</v>
      </c>
      <c r="G27" s="1104">
        <v>3732682</v>
      </c>
      <c r="H27" s="1104">
        <v>337529</v>
      </c>
      <c r="I27" s="1104">
        <v>299389</v>
      </c>
      <c r="J27" s="1104">
        <v>261932</v>
      </c>
      <c r="K27" s="1104">
        <v>432001</v>
      </c>
      <c r="L27" s="1104">
        <v>6372379</v>
      </c>
      <c r="M27" s="1106">
        <v>6334239</v>
      </c>
      <c r="N27" s="1159">
        <v>6296782</v>
      </c>
      <c r="O27" s="1104">
        <v>6466851</v>
      </c>
      <c r="P27" s="1107">
        <f t="shared" si="1"/>
        <v>6709908</v>
      </c>
      <c r="Q27" s="1107">
        <f t="shared" si="1"/>
        <v>6633628</v>
      </c>
      <c r="R27" s="1107">
        <f t="shared" si="1"/>
        <v>6558714</v>
      </c>
      <c r="S27" s="1107">
        <f t="shared" si="1"/>
        <v>6898852</v>
      </c>
    </row>
    <row r="28" spans="1:19">
      <c r="A28" s="1015"/>
      <c r="B28" s="1102" t="s">
        <v>7458</v>
      </c>
      <c r="C28" s="1099" t="s">
        <v>7459</v>
      </c>
      <c r="D28" s="1015"/>
      <c r="E28" s="1104" t="s">
        <v>7446</v>
      </c>
      <c r="F28" s="1105"/>
      <c r="G28" s="1104"/>
      <c r="H28" s="1104"/>
      <c r="I28" s="1104"/>
      <c r="J28" s="1104"/>
      <c r="K28" s="1104"/>
      <c r="L28" s="1104"/>
      <c r="M28" s="1106"/>
      <c r="N28" s="1159"/>
      <c r="O28" s="1104"/>
      <c r="P28" s="1107">
        <f t="shared" si="1"/>
        <v>0</v>
      </c>
      <c r="Q28" s="1107">
        <f t="shared" si="1"/>
        <v>0</v>
      </c>
      <c r="R28" s="1107">
        <f t="shared" si="1"/>
        <v>0</v>
      </c>
      <c r="S28" s="1107">
        <f t="shared" si="1"/>
        <v>0</v>
      </c>
    </row>
    <row r="29" spans="1:19" ht="18">
      <c r="A29" s="1015">
        <v>18</v>
      </c>
      <c r="B29" s="1015" t="s">
        <v>7460</v>
      </c>
      <c r="C29" s="1103" t="s">
        <v>7429</v>
      </c>
      <c r="D29" s="1015" t="s">
        <v>7424</v>
      </c>
      <c r="E29" s="1104">
        <v>435016</v>
      </c>
      <c r="F29" s="1105" t="s">
        <v>7425</v>
      </c>
      <c r="G29" s="1104">
        <v>690656</v>
      </c>
      <c r="H29" s="1104">
        <v>287074</v>
      </c>
      <c r="I29" s="1104">
        <v>254635</v>
      </c>
      <c r="J29" s="1104">
        <v>222777</v>
      </c>
      <c r="K29" s="1104">
        <v>367424</v>
      </c>
      <c r="L29" s="1104">
        <v>1319014</v>
      </c>
      <c r="M29" s="1106">
        <v>1286575</v>
      </c>
      <c r="N29" s="1159">
        <v>1254717</v>
      </c>
      <c r="O29" s="1104">
        <v>1399364</v>
      </c>
      <c r="P29" s="1107">
        <f t="shared" si="1"/>
        <v>1606088</v>
      </c>
      <c r="Q29" s="1107">
        <f t="shared" si="1"/>
        <v>1541210</v>
      </c>
      <c r="R29" s="1107">
        <f t="shared" si="1"/>
        <v>1477494</v>
      </c>
      <c r="S29" s="1107">
        <f t="shared" si="1"/>
        <v>1766788</v>
      </c>
    </row>
    <row r="30" spans="1:19" ht="18">
      <c r="A30" s="1015">
        <v>19</v>
      </c>
      <c r="B30" s="1015" t="s">
        <v>7461</v>
      </c>
      <c r="C30" s="1103" t="s">
        <v>7462</v>
      </c>
      <c r="D30" s="1015" t="s">
        <v>7424</v>
      </c>
      <c r="E30" s="1104">
        <v>585021</v>
      </c>
      <c r="F30" s="1105" t="s">
        <v>7425</v>
      </c>
      <c r="G30" s="1104">
        <v>911473</v>
      </c>
      <c r="H30" s="1104">
        <v>287074</v>
      </c>
      <c r="I30" s="1104">
        <v>254635</v>
      </c>
      <c r="J30" s="1104">
        <v>222777</v>
      </c>
      <c r="K30" s="1104">
        <v>367424</v>
      </c>
      <c r="L30" s="1104">
        <v>1659868</v>
      </c>
      <c r="M30" s="1106">
        <v>1627429</v>
      </c>
      <c r="N30" s="1159">
        <v>1595571</v>
      </c>
      <c r="O30" s="1104">
        <v>1740218</v>
      </c>
      <c r="P30" s="1107">
        <f t="shared" si="1"/>
        <v>1946942</v>
      </c>
      <c r="Q30" s="1107">
        <f t="shared" si="1"/>
        <v>1882064</v>
      </c>
      <c r="R30" s="1107">
        <f t="shared" si="1"/>
        <v>1818348</v>
      </c>
      <c r="S30" s="1107">
        <f t="shared" si="1"/>
        <v>2107642</v>
      </c>
    </row>
    <row r="31" spans="1:19" ht="18">
      <c r="A31" s="1015">
        <v>20</v>
      </c>
      <c r="B31" s="1015" t="s">
        <v>7463</v>
      </c>
      <c r="C31" s="1103" t="s">
        <v>7433</v>
      </c>
      <c r="D31" s="1015" t="s">
        <v>7424</v>
      </c>
      <c r="E31" s="1104">
        <v>705026</v>
      </c>
      <c r="F31" s="1105" t="s">
        <v>7425</v>
      </c>
      <c r="G31" s="1104">
        <v>1061665</v>
      </c>
      <c r="H31" s="1104">
        <v>287074</v>
      </c>
      <c r="I31" s="1104">
        <v>254635</v>
      </c>
      <c r="J31" s="1104">
        <v>222777</v>
      </c>
      <c r="K31" s="1104">
        <v>367424</v>
      </c>
      <c r="L31" s="1104">
        <v>1909682</v>
      </c>
      <c r="M31" s="1106">
        <v>1877243</v>
      </c>
      <c r="N31" s="1159">
        <v>1845385</v>
      </c>
      <c r="O31" s="1104">
        <v>1990032</v>
      </c>
      <c r="P31" s="1107">
        <f t="shared" si="1"/>
        <v>2196756</v>
      </c>
      <c r="Q31" s="1107">
        <f t="shared" si="1"/>
        <v>2131878</v>
      </c>
      <c r="R31" s="1107">
        <f t="shared" si="1"/>
        <v>2068162</v>
      </c>
      <c r="S31" s="1107">
        <f t="shared" si="1"/>
        <v>2357456</v>
      </c>
    </row>
    <row r="32" spans="1:19" ht="18">
      <c r="A32" s="1015">
        <v>21</v>
      </c>
      <c r="B32" s="1015" t="s">
        <v>7464</v>
      </c>
      <c r="C32" s="1103" t="s">
        <v>7465</v>
      </c>
      <c r="D32" s="1015" t="s">
        <v>7424</v>
      </c>
      <c r="E32" s="1104">
        <v>1125041</v>
      </c>
      <c r="F32" s="1105" t="s">
        <v>7425</v>
      </c>
      <c r="G32" s="1104">
        <v>1362509</v>
      </c>
      <c r="H32" s="1104">
        <v>287074</v>
      </c>
      <c r="I32" s="1104">
        <v>254635</v>
      </c>
      <c r="J32" s="1104">
        <v>222777</v>
      </c>
      <c r="K32" s="1104">
        <v>367424</v>
      </c>
      <c r="L32" s="1104">
        <v>2589712</v>
      </c>
      <c r="M32" s="1106">
        <v>2557273</v>
      </c>
      <c r="N32" s="1159">
        <v>2525415</v>
      </c>
      <c r="O32" s="1104">
        <v>2670062</v>
      </c>
      <c r="P32" s="1107">
        <f t="shared" si="1"/>
        <v>2876786</v>
      </c>
      <c r="Q32" s="1107">
        <f t="shared" si="1"/>
        <v>2811908</v>
      </c>
      <c r="R32" s="1107">
        <f t="shared" si="1"/>
        <v>2748192</v>
      </c>
      <c r="S32" s="1107">
        <f t="shared" si="1"/>
        <v>3037486</v>
      </c>
    </row>
    <row r="33" spans="1:19" ht="18">
      <c r="A33" s="1015">
        <v>22</v>
      </c>
      <c r="B33" s="1015" t="s">
        <v>7466</v>
      </c>
      <c r="C33" s="1103" t="s">
        <v>7437</v>
      </c>
      <c r="D33" s="1015" t="s">
        <v>7424</v>
      </c>
      <c r="E33" s="1104">
        <v>1425052</v>
      </c>
      <c r="F33" s="1105" t="s">
        <v>7425</v>
      </c>
      <c r="G33" s="1104">
        <v>1769175</v>
      </c>
      <c r="H33" s="1104">
        <v>287074</v>
      </c>
      <c r="I33" s="1104">
        <v>254635</v>
      </c>
      <c r="J33" s="1104">
        <v>222777</v>
      </c>
      <c r="K33" s="1104">
        <v>367424</v>
      </c>
      <c r="L33" s="1104">
        <v>3102192</v>
      </c>
      <c r="M33" s="1106">
        <v>3069753</v>
      </c>
      <c r="N33" s="1159">
        <v>3037895</v>
      </c>
      <c r="O33" s="1104">
        <v>3182542</v>
      </c>
      <c r="P33" s="1107">
        <f t="shared" si="1"/>
        <v>3389266</v>
      </c>
      <c r="Q33" s="1107">
        <f t="shared" si="1"/>
        <v>3324388</v>
      </c>
      <c r="R33" s="1107">
        <f t="shared" si="1"/>
        <v>3260672</v>
      </c>
      <c r="S33" s="1107">
        <f t="shared" si="1"/>
        <v>3549966</v>
      </c>
    </row>
    <row r="34" spans="1:19" ht="18">
      <c r="A34" s="1015">
        <v>23</v>
      </c>
      <c r="B34" s="1015" t="s">
        <v>7467</v>
      </c>
      <c r="C34" s="1103" t="s">
        <v>7468</v>
      </c>
      <c r="D34" s="1015" t="s">
        <v>7424</v>
      </c>
      <c r="E34" s="1104">
        <v>2010073</v>
      </c>
      <c r="F34" s="1105" t="s">
        <v>7425</v>
      </c>
      <c r="G34" s="1104">
        <v>3282220</v>
      </c>
      <c r="H34" s="1104">
        <v>287074</v>
      </c>
      <c r="I34" s="1104">
        <v>254635</v>
      </c>
      <c r="J34" s="1104">
        <v>222777</v>
      </c>
      <c r="K34" s="1104">
        <v>367424</v>
      </c>
      <c r="L34" s="1104">
        <v>4805701</v>
      </c>
      <c r="M34" s="1106">
        <v>4773262</v>
      </c>
      <c r="N34" s="1159">
        <v>4741404</v>
      </c>
      <c r="O34" s="1104">
        <v>4886051</v>
      </c>
      <c r="P34" s="1107">
        <f t="shared" si="1"/>
        <v>5092775</v>
      </c>
      <c r="Q34" s="1107">
        <f t="shared" si="1"/>
        <v>5027897</v>
      </c>
      <c r="R34" s="1107">
        <f t="shared" si="1"/>
        <v>4964181</v>
      </c>
      <c r="S34" s="1107">
        <f t="shared" si="1"/>
        <v>5253475</v>
      </c>
    </row>
    <row r="35" spans="1:19">
      <c r="A35" s="1015"/>
      <c r="B35" s="1102" t="s">
        <v>7469</v>
      </c>
      <c r="C35" s="1099" t="s">
        <v>7470</v>
      </c>
      <c r="D35" s="1015"/>
      <c r="E35" s="1104" t="s">
        <v>7446</v>
      </c>
      <c r="F35" s="1105"/>
      <c r="G35" s="1104"/>
      <c r="H35" s="1104"/>
      <c r="I35" s="1104"/>
      <c r="J35" s="1104"/>
      <c r="K35" s="1104"/>
      <c r="L35" s="1104"/>
      <c r="M35" s="1106"/>
      <c r="N35" s="1159"/>
      <c r="O35" s="1104"/>
      <c r="P35" s="1107">
        <f t="shared" si="1"/>
        <v>0</v>
      </c>
      <c r="Q35" s="1107">
        <f t="shared" si="1"/>
        <v>0</v>
      </c>
      <c r="R35" s="1107">
        <f t="shared" si="1"/>
        <v>0</v>
      </c>
      <c r="S35" s="1107">
        <f t="shared" si="1"/>
        <v>0</v>
      </c>
    </row>
    <row r="36" spans="1:19">
      <c r="A36" s="1015">
        <v>24</v>
      </c>
      <c r="B36" s="1015" t="s">
        <v>7471</v>
      </c>
      <c r="C36" s="1103" t="s">
        <v>7472</v>
      </c>
      <c r="D36" s="1015" t="s">
        <v>7424</v>
      </c>
      <c r="E36" s="1104">
        <v>570021</v>
      </c>
      <c r="F36" s="1105" t="s">
        <v>7425</v>
      </c>
      <c r="G36" s="1104">
        <v>496093</v>
      </c>
      <c r="H36" s="1104">
        <v>287074</v>
      </c>
      <c r="I36" s="1104">
        <v>254635</v>
      </c>
      <c r="J36" s="1104">
        <v>222777</v>
      </c>
      <c r="K36" s="1104">
        <v>367424</v>
      </c>
      <c r="L36" s="1104">
        <v>1339014</v>
      </c>
      <c r="M36" s="1106">
        <v>1306575</v>
      </c>
      <c r="N36" s="1159">
        <v>1274717</v>
      </c>
      <c r="O36" s="1104">
        <v>1419364</v>
      </c>
      <c r="P36" s="1107">
        <f t="shared" si="1"/>
        <v>1626088</v>
      </c>
      <c r="Q36" s="1107">
        <f t="shared" si="1"/>
        <v>1561210</v>
      </c>
      <c r="R36" s="1107">
        <f t="shared" si="1"/>
        <v>1497494</v>
      </c>
      <c r="S36" s="1107">
        <f t="shared" si="1"/>
        <v>1786788</v>
      </c>
    </row>
    <row r="37" spans="1:19">
      <c r="A37" s="1015">
        <v>25</v>
      </c>
      <c r="B37" s="1015" t="s">
        <v>7473</v>
      </c>
      <c r="C37" s="1103" t="s">
        <v>7474</v>
      </c>
      <c r="D37" s="1015" t="s">
        <v>7424</v>
      </c>
      <c r="E37" s="1104">
        <v>660024</v>
      </c>
      <c r="F37" s="1105" t="s">
        <v>7425</v>
      </c>
      <c r="G37" s="1104">
        <v>792756</v>
      </c>
      <c r="H37" s="1104">
        <v>287074</v>
      </c>
      <c r="I37" s="1104">
        <v>254635</v>
      </c>
      <c r="J37" s="1104">
        <v>222777</v>
      </c>
      <c r="K37" s="1104">
        <v>367424</v>
      </c>
      <c r="L37" s="1104">
        <v>1609616</v>
      </c>
      <c r="M37" s="1106">
        <v>1577177</v>
      </c>
      <c r="N37" s="1159">
        <v>1545319</v>
      </c>
      <c r="O37" s="1104">
        <v>1689966</v>
      </c>
      <c r="P37" s="1107">
        <f t="shared" si="1"/>
        <v>1896690</v>
      </c>
      <c r="Q37" s="1107">
        <f t="shared" si="1"/>
        <v>1831812</v>
      </c>
      <c r="R37" s="1107">
        <f t="shared" si="1"/>
        <v>1768096</v>
      </c>
      <c r="S37" s="1107">
        <f t="shared" si="1"/>
        <v>2057390</v>
      </c>
    </row>
    <row r="38" spans="1:19">
      <c r="A38" s="1015">
        <v>26</v>
      </c>
      <c r="B38" s="1015" t="s">
        <v>7475</v>
      </c>
      <c r="C38" s="1103" t="s">
        <v>7476</v>
      </c>
      <c r="D38" s="1015" t="s">
        <v>7424</v>
      </c>
      <c r="E38" s="1104">
        <v>690025</v>
      </c>
      <c r="F38" s="1105" t="s">
        <v>7425</v>
      </c>
      <c r="G38" s="1104">
        <v>851855</v>
      </c>
      <c r="H38" s="1104">
        <v>287074</v>
      </c>
      <c r="I38" s="1104">
        <v>254635</v>
      </c>
      <c r="J38" s="1104">
        <v>222777</v>
      </c>
      <c r="K38" s="1104">
        <v>367424</v>
      </c>
      <c r="L38" s="1104">
        <v>1689006</v>
      </c>
      <c r="M38" s="1106">
        <v>1656567</v>
      </c>
      <c r="N38" s="1159">
        <v>1624709</v>
      </c>
      <c r="O38" s="1104">
        <v>1769356</v>
      </c>
      <c r="P38" s="1107">
        <f t="shared" si="1"/>
        <v>1976080</v>
      </c>
      <c r="Q38" s="1107">
        <f t="shared" si="1"/>
        <v>1911202</v>
      </c>
      <c r="R38" s="1107">
        <f t="shared" si="1"/>
        <v>1847486</v>
      </c>
      <c r="S38" s="1107">
        <f t="shared" si="1"/>
        <v>2136780</v>
      </c>
    </row>
    <row r="39" spans="1:19">
      <c r="A39" s="1015">
        <v>27</v>
      </c>
      <c r="B39" s="1015" t="s">
        <v>7477</v>
      </c>
      <c r="C39" s="1103" t="s">
        <v>7478</v>
      </c>
      <c r="D39" s="1015" t="s">
        <v>7424</v>
      </c>
      <c r="E39" s="1104">
        <v>885032</v>
      </c>
      <c r="F39" s="1105" t="s">
        <v>7425</v>
      </c>
      <c r="G39" s="1104">
        <v>1366980</v>
      </c>
      <c r="H39" s="1104">
        <v>287074</v>
      </c>
      <c r="I39" s="1104">
        <v>254635</v>
      </c>
      <c r="J39" s="1104">
        <v>222777</v>
      </c>
      <c r="K39" s="1104">
        <v>367424</v>
      </c>
      <c r="L39" s="1104">
        <v>2314511</v>
      </c>
      <c r="M39" s="1106">
        <v>2282072</v>
      </c>
      <c r="N39" s="1159">
        <v>2250214</v>
      </c>
      <c r="O39" s="1104">
        <v>2394861</v>
      </c>
      <c r="P39" s="1107">
        <f t="shared" si="1"/>
        <v>2601585</v>
      </c>
      <c r="Q39" s="1107">
        <f t="shared" si="1"/>
        <v>2536707</v>
      </c>
      <c r="R39" s="1107">
        <f t="shared" si="1"/>
        <v>2472991</v>
      </c>
      <c r="S39" s="1107">
        <f t="shared" si="1"/>
        <v>2762285</v>
      </c>
    </row>
    <row r="40" spans="1:19">
      <c r="A40" s="1015">
        <v>28</v>
      </c>
      <c r="B40" s="1015" t="s">
        <v>7479</v>
      </c>
      <c r="C40" s="1103" t="s">
        <v>7480</v>
      </c>
      <c r="D40" s="1015" t="s">
        <v>7424</v>
      </c>
      <c r="E40" s="1104">
        <v>1140041</v>
      </c>
      <c r="F40" s="1105" t="s">
        <v>7425</v>
      </c>
      <c r="G40" s="1104">
        <v>1753811</v>
      </c>
      <c r="H40" s="1104">
        <v>287074</v>
      </c>
      <c r="I40" s="1104">
        <v>254635</v>
      </c>
      <c r="J40" s="1104">
        <v>222777</v>
      </c>
      <c r="K40" s="1104">
        <v>367424</v>
      </c>
      <c r="L40" s="1104">
        <v>2874010</v>
      </c>
      <c r="M40" s="1106">
        <v>2841571</v>
      </c>
      <c r="N40" s="1159">
        <v>2809713</v>
      </c>
      <c r="O40" s="1104">
        <v>2954360</v>
      </c>
      <c r="P40" s="1107">
        <f t="shared" si="1"/>
        <v>3161084</v>
      </c>
      <c r="Q40" s="1107">
        <f t="shared" si="1"/>
        <v>3096206</v>
      </c>
      <c r="R40" s="1107">
        <f t="shared" si="1"/>
        <v>3032490</v>
      </c>
      <c r="S40" s="1107">
        <f t="shared" si="1"/>
        <v>3321784</v>
      </c>
    </row>
    <row r="41" spans="1:19">
      <c r="A41" s="1015">
        <v>29</v>
      </c>
      <c r="B41" s="1015" t="s">
        <v>7481</v>
      </c>
      <c r="C41" s="1103" t="s">
        <v>7482</v>
      </c>
      <c r="D41" s="1015" t="s">
        <v>7424</v>
      </c>
      <c r="E41" s="1104">
        <v>1410051</v>
      </c>
      <c r="F41" s="1105" t="s">
        <v>7425</v>
      </c>
      <c r="G41" s="1104">
        <v>2203242</v>
      </c>
      <c r="H41" s="1104">
        <v>287074</v>
      </c>
      <c r="I41" s="1104">
        <v>254635</v>
      </c>
      <c r="J41" s="1104">
        <v>222777</v>
      </c>
      <c r="K41" s="1104">
        <v>367424</v>
      </c>
      <c r="L41" s="1104">
        <v>3420375</v>
      </c>
      <c r="M41" s="1106">
        <v>3387936</v>
      </c>
      <c r="N41" s="1159">
        <v>3356078</v>
      </c>
      <c r="O41" s="1104">
        <v>3500725</v>
      </c>
      <c r="P41" s="1107">
        <f t="shared" si="1"/>
        <v>3707449</v>
      </c>
      <c r="Q41" s="1107">
        <f t="shared" si="1"/>
        <v>3642571</v>
      </c>
      <c r="R41" s="1107">
        <f t="shared" si="1"/>
        <v>3578855</v>
      </c>
      <c r="S41" s="1107">
        <f t="shared" si="1"/>
        <v>3868149</v>
      </c>
    </row>
    <row r="42" spans="1:19">
      <c r="A42" s="1015">
        <v>30</v>
      </c>
      <c r="B42" s="1015" t="s">
        <v>7483</v>
      </c>
      <c r="C42" s="1103" t="s">
        <v>7484</v>
      </c>
      <c r="D42" s="1015" t="s">
        <v>7424</v>
      </c>
      <c r="E42" s="1104">
        <v>1875068</v>
      </c>
      <c r="F42" s="1105" t="s">
        <v>7425</v>
      </c>
      <c r="G42" s="1104">
        <v>3710784</v>
      </c>
      <c r="H42" s="1104">
        <v>287074</v>
      </c>
      <c r="I42" s="1104">
        <v>254635</v>
      </c>
      <c r="J42" s="1104">
        <v>222777</v>
      </c>
      <c r="K42" s="1104">
        <v>367424</v>
      </c>
      <c r="L42" s="1104">
        <v>4799449</v>
      </c>
      <c r="M42" s="1106">
        <v>4767010</v>
      </c>
      <c r="N42" s="1159">
        <v>4735152</v>
      </c>
      <c r="O42" s="1104">
        <v>4879799</v>
      </c>
      <c r="P42" s="1107">
        <f t="shared" si="1"/>
        <v>5086523</v>
      </c>
      <c r="Q42" s="1107">
        <f t="shared" si="1"/>
        <v>5021645</v>
      </c>
      <c r="R42" s="1107">
        <f t="shared" si="1"/>
        <v>4957929</v>
      </c>
      <c r="S42" s="1107">
        <f t="shared" si="1"/>
        <v>5247223</v>
      </c>
    </row>
    <row r="43" spans="1:19">
      <c r="A43" s="1585"/>
      <c r="B43" s="1586" t="s">
        <v>7485</v>
      </c>
      <c r="C43" s="1099" t="s">
        <v>7486</v>
      </c>
      <c r="D43" s="1585"/>
      <c r="E43" s="1584" t="s">
        <v>7446</v>
      </c>
      <c r="F43" s="1587"/>
      <c r="G43" s="1584"/>
      <c r="H43" s="1584"/>
      <c r="I43" s="1584"/>
      <c r="J43" s="1584"/>
      <c r="K43" s="1584"/>
      <c r="L43" s="1584"/>
      <c r="M43" s="1588"/>
      <c r="N43" s="1589"/>
      <c r="O43" s="1584"/>
      <c r="P43" s="1107">
        <f t="shared" si="1"/>
        <v>0</v>
      </c>
      <c r="Q43" s="1107">
        <f t="shared" si="1"/>
        <v>0</v>
      </c>
      <c r="R43" s="1107">
        <f t="shared" si="1"/>
        <v>0</v>
      </c>
      <c r="S43" s="1107">
        <f t="shared" si="1"/>
        <v>0</v>
      </c>
    </row>
    <row r="44" spans="1:19">
      <c r="A44" s="1585"/>
      <c r="B44" s="1586"/>
      <c r="C44" s="1099" t="s">
        <v>7487</v>
      </c>
      <c r="D44" s="1585"/>
      <c r="E44" s="1584"/>
      <c r="F44" s="1587"/>
      <c r="G44" s="1584"/>
      <c r="H44" s="1584"/>
      <c r="I44" s="1584"/>
      <c r="J44" s="1584"/>
      <c r="K44" s="1584"/>
      <c r="L44" s="1584"/>
      <c r="M44" s="1588"/>
      <c r="N44" s="1589"/>
      <c r="O44" s="1584"/>
      <c r="P44" s="1107">
        <f t="shared" si="1"/>
        <v>0</v>
      </c>
      <c r="Q44" s="1107">
        <f t="shared" si="1"/>
        <v>0</v>
      </c>
      <c r="R44" s="1107">
        <f t="shared" si="1"/>
        <v>0</v>
      </c>
      <c r="S44" s="1107">
        <f t="shared" si="1"/>
        <v>0</v>
      </c>
    </row>
    <row r="45" spans="1:19" ht="18">
      <c r="A45" s="1015">
        <v>31</v>
      </c>
      <c r="B45" s="1015" t="s">
        <v>7488</v>
      </c>
      <c r="C45" s="1103" t="s">
        <v>7489</v>
      </c>
      <c r="D45" s="1015" t="s">
        <v>7424</v>
      </c>
      <c r="E45" s="1104">
        <v>1980072</v>
      </c>
      <c r="F45" s="1105" t="s">
        <v>7490</v>
      </c>
      <c r="G45" s="1104">
        <v>1727900</v>
      </c>
      <c r="H45" s="1104">
        <v>400164</v>
      </c>
      <c r="I45" s="1104">
        <v>354946</v>
      </c>
      <c r="J45" s="1104">
        <v>310538</v>
      </c>
      <c r="K45" s="1104">
        <v>512166</v>
      </c>
      <c r="L45" s="1104">
        <v>3725530</v>
      </c>
      <c r="M45" s="1106">
        <v>3680312</v>
      </c>
      <c r="N45" s="1159">
        <v>3635904</v>
      </c>
      <c r="O45" s="1104">
        <v>3837532</v>
      </c>
      <c r="P45" s="1107">
        <f t="shared" si="1"/>
        <v>4125694</v>
      </c>
      <c r="Q45" s="1107">
        <f t="shared" si="1"/>
        <v>4035258</v>
      </c>
      <c r="R45" s="1107">
        <f t="shared" si="1"/>
        <v>3946442</v>
      </c>
      <c r="S45" s="1107">
        <f t="shared" si="1"/>
        <v>4349698</v>
      </c>
    </row>
    <row r="46" spans="1:19" ht="18">
      <c r="A46" s="1015">
        <v>32</v>
      </c>
      <c r="B46" s="1015" t="s">
        <v>7491</v>
      </c>
      <c r="C46" s="1103" t="s">
        <v>7492</v>
      </c>
      <c r="D46" s="1015" t="s">
        <v>7424</v>
      </c>
      <c r="E46" s="1104">
        <v>2310084</v>
      </c>
      <c r="F46" s="1105" t="s">
        <v>7490</v>
      </c>
      <c r="G46" s="1104">
        <v>2631577</v>
      </c>
      <c r="H46" s="1104">
        <v>400164</v>
      </c>
      <c r="I46" s="1104">
        <v>354946</v>
      </c>
      <c r="J46" s="1104">
        <v>310538</v>
      </c>
      <c r="K46" s="1104">
        <v>512166</v>
      </c>
      <c r="L46" s="1104">
        <v>4740322</v>
      </c>
      <c r="M46" s="1106">
        <v>4695104</v>
      </c>
      <c r="N46" s="1159">
        <v>4650696</v>
      </c>
      <c r="O46" s="1104">
        <v>4852324</v>
      </c>
      <c r="P46" s="1107">
        <f t="shared" si="1"/>
        <v>5140486</v>
      </c>
      <c r="Q46" s="1107">
        <f t="shared" si="1"/>
        <v>5050050</v>
      </c>
      <c r="R46" s="1107">
        <f t="shared" si="1"/>
        <v>4961234</v>
      </c>
      <c r="S46" s="1107">
        <f t="shared" si="1"/>
        <v>5364490</v>
      </c>
    </row>
    <row r="47" spans="1:19" ht="18">
      <c r="A47" s="1015">
        <v>33</v>
      </c>
      <c r="B47" s="1015" t="s">
        <v>7493</v>
      </c>
      <c r="C47" s="1103" t="s">
        <v>7494</v>
      </c>
      <c r="D47" s="1015" t="s">
        <v>7424</v>
      </c>
      <c r="E47" s="1104">
        <v>2730099</v>
      </c>
      <c r="F47" s="1105" t="s">
        <v>7490</v>
      </c>
      <c r="G47" s="1104">
        <v>3289328</v>
      </c>
      <c r="H47" s="1104">
        <v>400164</v>
      </c>
      <c r="I47" s="1104">
        <v>354946</v>
      </c>
      <c r="J47" s="1104">
        <v>310538</v>
      </c>
      <c r="K47" s="1104">
        <v>512166</v>
      </c>
      <c r="L47" s="1104">
        <v>5562016</v>
      </c>
      <c r="M47" s="1106">
        <v>5516798</v>
      </c>
      <c r="N47" s="1159">
        <v>5472390</v>
      </c>
      <c r="O47" s="1104">
        <v>5674018</v>
      </c>
      <c r="P47" s="1107">
        <f t="shared" si="1"/>
        <v>5962180</v>
      </c>
      <c r="Q47" s="1107">
        <f t="shared" si="1"/>
        <v>5871744</v>
      </c>
      <c r="R47" s="1107">
        <f t="shared" si="1"/>
        <v>5782928</v>
      </c>
      <c r="S47" s="1107">
        <f t="shared" si="1"/>
        <v>6186184</v>
      </c>
    </row>
    <row r="48" spans="1:19">
      <c r="A48" s="1015"/>
      <c r="B48" s="1102" t="s">
        <v>7495</v>
      </c>
      <c r="C48" s="1099" t="s">
        <v>7496</v>
      </c>
      <c r="D48" s="1015"/>
      <c r="E48" s="1104" t="s">
        <v>7446</v>
      </c>
      <c r="F48" s="1105"/>
      <c r="G48" s="1104"/>
      <c r="H48" s="1104"/>
      <c r="I48" s="1104"/>
      <c r="J48" s="1104"/>
      <c r="K48" s="1104"/>
      <c r="L48" s="1104"/>
      <c r="M48" s="1106"/>
      <c r="N48" s="1159"/>
      <c r="O48" s="1104"/>
      <c r="P48" s="1107">
        <f t="shared" si="1"/>
        <v>0</v>
      </c>
      <c r="Q48" s="1107">
        <f t="shared" si="1"/>
        <v>0</v>
      </c>
      <c r="R48" s="1107">
        <f t="shared" si="1"/>
        <v>0</v>
      </c>
      <c r="S48" s="1107">
        <f t="shared" si="1"/>
        <v>0</v>
      </c>
    </row>
    <row r="49" spans="1:19">
      <c r="A49" s="1015">
        <v>34</v>
      </c>
      <c r="B49" s="1015" t="s">
        <v>7497</v>
      </c>
      <c r="C49" s="1103" t="s">
        <v>7476</v>
      </c>
      <c r="D49" s="1015" t="s">
        <v>7424</v>
      </c>
      <c r="E49" s="1104">
        <v>585021</v>
      </c>
      <c r="F49" s="1105" t="s">
        <v>7452</v>
      </c>
      <c r="G49" s="1104">
        <v>1022799</v>
      </c>
      <c r="H49" s="1104">
        <v>337529</v>
      </c>
      <c r="I49" s="1104">
        <v>299389</v>
      </c>
      <c r="J49" s="1104">
        <v>261932</v>
      </c>
      <c r="K49" s="1104">
        <v>432001</v>
      </c>
      <c r="L49" s="1104">
        <v>1905327</v>
      </c>
      <c r="M49" s="1106">
        <v>1867187</v>
      </c>
      <c r="N49" s="1159">
        <v>1829730</v>
      </c>
      <c r="O49" s="1104">
        <v>1999799</v>
      </c>
      <c r="P49" s="1107">
        <f t="shared" si="1"/>
        <v>2242856</v>
      </c>
      <c r="Q49" s="1107">
        <f t="shared" si="1"/>
        <v>2166576</v>
      </c>
      <c r="R49" s="1107">
        <f t="shared" si="1"/>
        <v>2091662</v>
      </c>
      <c r="S49" s="1107">
        <f t="shared" si="1"/>
        <v>2431800</v>
      </c>
    </row>
    <row r="50" spans="1:19">
      <c r="A50" s="1015">
        <v>35</v>
      </c>
      <c r="B50" s="1015" t="s">
        <v>7498</v>
      </c>
      <c r="C50" s="1103" t="s">
        <v>7478</v>
      </c>
      <c r="D50" s="1015" t="s">
        <v>7424</v>
      </c>
      <c r="E50" s="1104">
        <v>660024</v>
      </c>
      <c r="F50" s="1105" t="s">
        <v>7452</v>
      </c>
      <c r="G50" s="1104">
        <v>1370764</v>
      </c>
      <c r="H50" s="1104">
        <v>337529</v>
      </c>
      <c r="I50" s="1104">
        <v>299389</v>
      </c>
      <c r="J50" s="1104">
        <v>261932</v>
      </c>
      <c r="K50" s="1104">
        <v>432001</v>
      </c>
      <c r="L50" s="1104">
        <v>2230049</v>
      </c>
      <c r="M50" s="1106">
        <v>2191909</v>
      </c>
      <c r="N50" s="1159">
        <v>2154452</v>
      </c>
      <c r="O50" s="1104">
        <v>2324521</v>
      </c>
      <c r="P50" s="1107">
        <f t="shared" si="1"/>
        <v>2567578</v>
      </c>
      <c r="Q50" s="1107">
        <f t="shared" si="1"/>
        <v>2491298</v>
      </c>
      <c r="R50" s="1107">
        <f t="shared" si="1"/>
        <v>2416384</v>
      </c>
      <c r="S50" s="1107">
        <f t="shared" si="1"/>
        <v>2756522</v>
      </c>
    </row>
    <row r="51" spans="1:19">
      <c r="A51" s="1015">
        <v>36</v>
      </c>
      <c r="B51" s="1015" t="s">
        <v>7499</v>
      </c>
      <c r="C51" s="1103" t="s">
        <v>7480</v>
      </c>
      <c r="D51" s="1015" t="s">
        <v>7424</v>
      </c>
      <c r="E51" s="1104">
        <v>810029</v>
      </c>
      <c r="F51" s="1105" t="s">
        <v>7452</v>
      </c>
      <c r="G51" s="1104">
        <v>1713454</v>
      </c>
      <c r="H51" s="1104">
        <v>337529</v>
      </c>
      <c r="I51" s="1104">
        <v>299389</v>
      </c>
      <c r="J51" s="1104">
        <v>261932</v>
      </c>
      <c r="K51" s="1104">
        <v>432001</v>
      </c>
      <c r="L51" s="1104">
        <v>2566298</v>
      </c>
      <c r="M51" s="1106">
        <v>2528158</v>
      </c>
      <c r="N51" s="1159">
        <v>2490701</v>
      </c>
      <c r="O51" s="1104">
        <v>2660770</v>
      </c>
      <c r="P51" s="1107">
        <f t="shared" si="1"/>
        <v>2903827</v>
      </c>
      <c r="Q51" s="1107">
        <f t="shared" si="1"/>
        <v>2827547</v>
      </c>
      <c r="R51" s="1107">
        <f t="shared" si="1"/>
        <v>2752633</v>
      </c>
      <c r="S51" s="1107">
        <f t="shared" si="1"/>
        <v>3092771</v>
      </c>
    </row>
    <row r="52" spans="1:19">
      <c r="A52" s="1015"/>
      <c r="B52" s="1102" t="s">
        <v>7500</v>
      </c>
      <c r="C52" s="1099" t="s">
        <v>7501</v>
      </c>
      <c r="D52" s="1015"/>
      <c r="E52" s="1104" t="s">
        <v>7446</v>
      </c>
      <c r="F52" s="1105"/>
      <c r="G52" s="1104"/>
      <c r="H52" s="1104"/>
      <c r="I52" s="1104"/>
      <c r="J52" s="1104"/>
      <c r="K52" s="1104"/>
      <c r="L52" s="1104"/>
      <c r="M52" s="1106"/>
      <c r="N52" s="1159"/>
      <c r="O52" s="1104"/>
      <c r="P52" s="1107">
        <f t="shared" si="1"/>
        <v>0</v>
      </c>
      <c r="Q52" s="1107">
        <f t="shared" si="1"/>
        <v>0</v>
      </c>
      <c r="R52" s="1107">
        <f t="shared" si="1"/>
        <v>0</v>
      </c>
      <c r="S52" s="1107">
        <f t="shared" si="1"/>
        <v>0</v>
      </c>
    </row>
    <row r="53" spans="1:19">
      <c r="A53" s="1015">
        <v>37</v>
      </c>
      <c r="B53" s="1015" t="s">
        <v>7502</v>
      </c>
      <c r="C53" s="1103" t="s">
        <v>7503</v>
      </c>
      <c r="D53" s="1015" t="s">
        <v>7504</v>
      </c>
      <c r="E53" s="1104">
        <v>56026</v>
      </c>
      <c r="F53" s="1105" t="s">
        <v>7505</v>
      </c>
      <c r="G53" s="1104">
        <v>26484</v>
      </c>
      <c r="H53" s="1104">
        <v>241838</v>
      </c>
      <c r="I53" s="1104">
        <v>214511</v>
      </c>
      <c r="J53" s="1104">
        <v>187673</v>
      </c>
      <c r="K53" s="1104">
        <v>309526</v>
      </c>
      <c r="L53" s="1104">
        <v>336795</v>
      </c>
      <c r="M53" s="1106">
        <v>309468</v>
      </c>
      <c r="N53" s="1159">
        <v>28263</v>
      </c>
      <c r="O53" s="1104">
        <v>404483</v>
      </c>
      <c r="P53" s="1107">
        <f t="shared" si="1"/>
        <v>578633</v>
      </c>
      <c r="Q53" s="1107">
        <f t="shared" si="1"/>
        <v>523979</v>
      </c>
      <c r="R53" s="1107">
        <f t="shared" si="1"/>
        <v>215936</v>
      </c>
      <c r="S53" s="1107">
        <f t="shared" si="1"/>
        <v>714009</v>
      </c>
    </row>
    <row r="54" spans="1:19">
      <c r="A54" s="1015">
        <v>38</v>
      </c>
      <c r="B54" s="1015" t="s">
        <v>7506</v>
      </c>
      <c r="C54" s="1103" t="s">
        <v>7507</v>
      </c>
      <c r="D54" s="1015" t="s">
        <v>7504</v>
      </c>
      <c r="E54" s="1104">
        <v>65363</v>
      </c>
      <c r="F54" s="1105" t="s">
        <v>7505</v>
      </c>
      <c r="G54" s="1104">
        <v>33134</v>
      </c>
      <c r="H54" s="1104">
        <v>241838</v>
      </c>
      <c r="I54" s="1104">
        <v>214511</v>
      </c>
      <c r="J54" s="1104">
        <v>187673</v>
      </c>
      <c r="K54" s="1104">
        <v>309526</v>
      </c>
      <c r="L54" s="1104">
        <v>352595</v>
      </c>
      <c r="M54" s="1106">
        <v>325268</v>
      </c>
      <c r="N54" s="1159">
        <v>29843</v>
      </c>
      <c r="O54" s="1104">
        <v>420283</v>
      </c>
      <c r="P54" s="1107">
        <f t="shared" si="1"/>
        <v>594433</v>
      </c>
      <c r="Q54" s="1107">
        <f t="shared" si="1"/>
        <v>539779</v>
      </c>
      <c r="R54" s="1107">
        <f t="shared" si="1"/>
        <v>217516</v>
      </c>
      <c r="S54" s="1107">
        <f t="shared" si="1"/>
        <v>729809</v>
      </c>
    </row>
    <row r="55" spans="1:19">
      <c r="A55" s="1015">
        <v>39</v>
      </c>
      <c r="B55" s="1015" t="s">
        <v>7508</v>
      </c>
      <c r="C55" s="1103" t="s">
        <v>7509</v>
      </c>
      <c r="D55" s="1015" t="s">
        <v>7504</v>
      </c>
      <c r="E55" s="1104">
        <v>74701</v>
      </c>
      <c r="F55" s="1105" t="s">
        <v>7505</v>
      </c>
      <c r="G55" s="1104">
        <v>35771</v>
      </c>
      <c r="H55" s="1104">
        <v>241838</v>
      </c>
      <c r="I55" s="1104">
        <v>214511</v>
      </c>
      <c r="J55" s="1104">
        <v>187673</v>
      </c>
      <c r="K55" s="1104">
        <v>309526</v>
      </c>
      <c r="L55" s="1104">
        <v>365545</v>
      </c>
      <c r="M55" s="1106">
        <v>338218</v>
      </c>
      <c r="N55" s="1159">
        <v>31138</v>
      </c>
      <c r="O55" s="1104">
        <v>433233</v>
      </c>
      <c r="P55" s="1107">
        <f t="shared" si="1"/>
        <v>607383</v>
      </c>
      <c r="Q55" s="1107">
        <f t="shared" si="1"/>
        <v>552729</v>
      </c>
      <c r="R55" s="1107">
        <f t="shared" si="1"/>
        <v>218811</v>
      </c>
      <c r="S55" s="1107">
        <f t="shared" si="1"/>
        <v>742759</v>
      </c>
    </row>
    <row r="56" spans="1:19">
      <c r="A56" s="1015">
        <v>40</v>
      </c>
      <c r="B56" s="1015" t="s">
        <v>7510</v>
      </c>
      <c r="C56" s="1103" t="s">
        <v>7511</v>
      </c>
      <c r="D56" s="1015" t="s">
        <v>7504</v>
      </c>
      <c r="E56" s="1104">
        <v>93376</v>
      </c>
      <c r="F56" s="1105" t="s">
        <v>7505</v>
      </c>
      <c r="G56" s="1104">
        <v>37663</v>
      </c>
      <c r="H56" s="1104">
        <v>241838</v>
      </c>
      <c r="I56" s="1104">
        <v>214511</v>
      </c>
      <c r="J56" s="1104">
        <v>187673</v>
      </c>
      <c r="K56" s="1104">
        <v>309526</v>
      </c>
      <c r="L56" s="1104">
        <v>386813</v>
      </c>
      <c r="M56" s="1106">
        <v>359486</v>
      </c>
      <c r="N56" s="1159">
        <v>332648</v>
      </c>
      <c r="O56" s="1104">
        <v>454501</v>
      </c>
      <c r="P56" s="1107">
        <f t="shared" si="1"/>
        <v>628651</v>
      </c>
      <c r="Q56" s="1107">
        <f t="shared" si="1"/>
        <v>573997</v>
      </c>
      <c r="R56" s="1107">
        <f t="shared" si="1"/>
        <v>520321</v>
      </c>
      <c r="S56" s="1107">
        <f t="shared" si="1"/>
        <v>764027</v>
      </c>
    </row>
    <row r="57" spans="1:19">
      <c r="A57" s="1015"/>
      <c r="B57" s="1102" t="s">
        <v>7512</v>
      </c>
      <c r="C57" s="1099" t="s">
        <v>7513</v>
      </c>
      <c r="D57" s="1015"/>
      <c r="E57" s="1104" t="s">
        <v>7446</v>
      </c>
      <c r="F57" s="1105"/>
      <c r="G57" s="1104"/>
      <c r="H57" s="1104"/>
      <c r="I57" s="1104"/>
      <c r="J57" s="1104"/>
      <c r="K57" s="1104"/>
      <c r="L57" s="1104"/>
      <c r="M57" s="1106"/>
      <c r="N57" s="1159"/>
      <c r="O57" s="1104"/>
      <c r="P57" s="1107">
        <f t="shared" si="1"/>
        <v>0</v>
      </c>
      <c r="Q57" s="1107">
        <f t="shared" si="1"/>
        <v>0</v>
      </c>
      <c r="R57" s="1107">
        <f t="shared" si="1"/>
        <v>0</v>
      </c>
      <c r="S57" s="1107">
        <f t="shared" si="1"/>
        <v>0</v>
      </c>
    </row>
    <row r="58" spans="1:19">
      <c r="A58" s="1015">
        <v>41</v>
      </c>
      <c r="B58" s="1015" t="s">
        <v>7514</v>
      </c>
      <c r="C58" s="1103" t="s">
        <v>7515</v>
      </c>
      <c r="D58" s="1015" t="s">
        <v>7424</v>
      </c>
      <c r="E58" s="1104">
        <v>510019</v>
      </c>
      <c r="F58" s="1105" t="s">
        <v>7425</v>
      </c>
      <c r="G58" s="1104">
        <v>611661</v>
      </c>
      <c r="H58" s="1104">
        <v>287074</v>
      </c>
      <c r="I58" s="1104">
        <v>254635</v>
      </c>
      <c r="J58" s="1104">
        <v>222777</v>
      </c>
      <c r="K58" s="1104">
        <v>367424</v>
      </c>
      <c r="L58" s="1104">
        <v>1313606</v>
      </c>
      <c r="M58" s="1106">
        <v>1281167</v>
      </c>
      <c r="N58" s="1159">
        <v>1249309</v>
      </c>
      <c r="O58" s="1104">
        <v>1393956</v>
      </c>
      <c r="P58" s="1107">
        <f t="shared" si="1"/>
        <v>1600680</v>
      </c>
      <c r="Q58" s="1107">
        <f t="shared" si="1"/>
        <v>1535802</v>
      </c>
      <c r="R58" s="1107">
        <f t="shared" si="1"/>
        <v>1472086</v>
      </c>
      <c r="S58" s="1107">
        <f t="shared" si="1"/>
        <v>1761380</v>
      </c>
    </row>
    <row r="59" spans="1:19">
      <c r="A59" s="1015">
        <v>42</v>
      </c>
      <c r="B59" s="1015" t="s">
        <v>7516</v>
      </c>
      <c r="C59" s="1103" t="s">
        <v>7517</v>
      </c>
      <c r="D59" s="1015" t="s">
        <v>7424</v>
      </c>
      <c r="E59" s="1104">
        <v>570021</v>
      </c>
      <c r="F59" s="1105" t="s">
        <v>7425</v>
      </c>
      <c r="G59" s="1104">
        <v>695012</v>
      </c>
      <c r="H59" s="1104">
        <v>287074</v>
      </c>
      <c r="I59" s="1104">
        <v>254635</v>
      </c>
      <c r="J59" s="1104">
        <v>222777</v>
      </c>
      <c r="K59" s="1104">
        <v>367424</v>
      </c>
      <c r="L59" s="1104">
        <v>1443994</v>
      </c>
      <c r="M59" s="1106">
        <v>1411555</v>
      </c>
      <c r="N59" s="1159">
        <v>1379697</v>
      </c>
      <c r="O59" s="1104">
        <v>1524344</v>
      </c>
      <c r="P59" s="1107">
        <f t="shared" si="1"/>
        <v>1731068</v>
      </c>
      <c r="Q59" s="1107">
        <f t="shared" si="1"/>
        <v>1666190</v>
      </c>
      <c r="R59" s="1107">
        <f t="shared" si="1"/>
        <v>1602474</v>
      </c>
      <c r="S59" s="1107">
        <f t="shared" si="1"/>
        <v>1891768</v>
      </c>
    </row>
    <row r="60" spans="1:19">
      <c r="A60" s="1015">
        <v>43</v>
      </c>
      <c r="B60" s="1015" t="s">
        <v>7518</v>
      </c>
      <c r="C60" s="1103" t="s">
        <v>7519</v>
      </c>
      <c r="D60" s="1015" t="s">
        <v>7424</v>
      </c>
      <c r="E60" s="1104">
        <v>630023</v>
      </c>
      <c r="F60" s="1105" t="s">
        <v>7425</v>
      </c>
      <c r="G60" s="1104">
        <v>765981</v>
      </c>
      <c r="H60" s="1104">
        <v>287074</v>
      </c>
      <c r="I60" s="1104">
        <v>254635</v>
      </c>
      <c r="J60" s="1104">
        <v>222777</v>
      </c>
      <c r="K60" s="1104">
        <v>367424</v>
      </c>
      <c r="L60" s="1104">
        <v>1538393</v>
      </c>
      <c r="M60" s="1106">
        <v>1505954</v>
      </c>
      <c r="N60" s="1159">
        <v>1474096</v>
      </c>
      <c r="O60" s="1104">
        <v>1618743</v>
      </c>
      <c r="P60" s="1107">
        <f t="shared" si="1"/>
        <v>1825467</v>
      </c>
      <c r="Q60" s="1107">
        <f t="shared" si="1"/>
        <v>1760589</v>
      </c>
      <c r="R60" s="1107">
        <f t="shared" si="1"/>
        <v>1696873</v>
      </c>
      <c r="S60" s="1107">
        <f t="shared" si="1"/>
        <v>1986167</v>
      </c>
    </row>
    <row r="61" spans="1:19">
      <c r="A61" s="1015">
        <v>44</v>
      </c>
      <c r="B61" s="1015" t="s">
        <v>7520</v>
      </c>
      <c r="C61" s="1103" t="s">
        <v>7521</v>
      </c>
      <c r="D61" s="1015" t="s">
        <v>7424</v>
      </c>
      <c r="E61" s="1104">
        <v>82503</v>
      </c>
      <c r="F61" s="1105" t="s">
        <v>7425</v>
      </c>
      <c r="G61" s="1104">
        <v>873524</v>
      </c>
      <c r="H61" s="1104">
        <v>287074</v>
      </c>
      <c r="I61" s="1104">
        <v>254635</v>
      </c>
      <c r="J61" s="1104">
        <v>222777</v>
      </c>
      <c r="K61" s="1104">
        <v>367424</v>
      </c>
      <c r="L61" s="1104">
        <v>1814158</v>
      </c>
      <c r="M61" s="1106">
        <v>1781719</v>
      </c>
      <c r="N61" s="1159">
        <v>1749861</v>
      </c>
      <c r="O61" s="1104">
        <v>1894508</v>
      </c>
      <c r="P61" s="1107">
        <f t="shared" si="1"/>
        <v>2101232</v>
      </c>
      <c r="Q61" s="1107">
        <f t="shared" si="1"/>
        <v>2036354</v>
      </c>
      <c r="R61" s="1107">
        <f t="shared" si="1"/>
        <v>1972638</v>
      </c>
      <c r="S61" s="1107">
        <f t="shared" si="1"/>
        <v>2261932</v>
      </c>
    </row>
    <row r="62" spans="1:19">
      <c r="A62" s="1015"/>
      <c r="B62" s="1102" t="s">
        <v>7522</v>
      </c>
      <c r="C62" s="1099" t="s">
        <v>7523</v>
      </c>
      <c r="D62" s="1015"/>
      <c r="E62" s="1104" t="s">
        <v>7446</v>
      </c>
      <c r="F62" s="1105"/>
      <c r="G62" s="1104"/>
      <c r="H62" s="1104"/>
      <c r="I62" s="1104"/>
      <c r="J62" s="1104"/>
      <c r="K62" s="1104"/>
      <c r="L62" s="1104"/>
      <c r="M62" s="1106"/>
      <c r="N62" s="1159"/>
      <c r="O62" s="1104"/>
      <c r="P62" s="1107">
        <f t="shared" si="1"/>
        <v>0</v>
      </c>
      <c r="Q62" s="1107">
        <f t="shared" si="1"/>
        <v>0</v>
      </c>
      <c r="R62" s="1107">
        <f t="shared" si="1"/>
        <v>0</v>
      </c>
      <c r="S62" s="1107">
        <f t="shared" si="1"/>
        <v>0</v>
      </c>
    </row>
    <row r="63" spans="1:19">
      <c r="A63" s="1015">
        <v>45</v>
      </c>
      <c r="B63" s="1015" t="s">
        <v>7524</v>
      </c>
      <c r="C63" s="1103" t="s">
        <v>7525</v>
      </c>
      <c r="D63" s="1015" t="s">
        <v>7424</v>
      </c>
      <c r="E63" s="1104">
        <v>28501</v>
      </c>
      <c r="F63" s="1105" t="s">
        <v>7425</v>
      </c>
      <c r="G63" s="1104">
        <v>778593</v>
      </c>
      <c r="H63" s="1104">
        <v>287074</v>
      </c>
      <c r="I63" s="1104">
        <v>254635</v>
      </c>
      <c r="J63" s="1104">
        <v>222777</v>
      </c>
      <c r="K63" s="1104">
        <v>367424</v>
      </c>
      <c r="L63" s="1104">
        <v>1212261</v>
      </c>
      <c r="M63" s="1106">
        <v>1179822</v>
      </c>
      <c r="N63" s="1159">
        <v>1147964</v>
      </c>
      <c r="O63" s="1104">
        <v>1292611</v>
      </c>
      <c r="P63" s="1107">
        <f t="shared" si="1"/>
        <v>1499335</v>
      </c>
      <c r="Q63" s="1107">
        <f t="shared" si="1"/>
        <v>1434457</v>
      </c>
      <c r="R63" s="1107">
        <f t="shared" si="1"/>
        <v>1370741</v>
      </c>
      <c r="S63" s="1107">
        <f t="shared" si="1"/>
        <v>1660035</v>
      </c>
    </row>
    <row r="64" spans="1:19">
      <c r="A64" s="1015">
        <v>46</v>
      </c>
      <c r="B64" s="1015" t="s">
        <v>7526</v>
      </c>
      <c r="C64" s="1103" t="s">
        <v>7527</v>
      </c>
      <c r="D64" s="1015" t="s">
        <v>7424</v>
      </c>
      <c r="E64" s="1104">
        <v>405015</v>
      </c>
      <c r="F64" s="1105" t="s">
        <v>7425</v>
      </c>
      <c r="G64" s="1104">
        <v>1008000</v>
      </c>
      <c r="H64" s="1104">
        <v>287074</v>
      </c>
      <c r="I64" s="1104">
        <v>254635</v>
      </c>
      <c r="J64" s="1104">
        <v>222777</v>
      </c>
      <c r="K64" s="1104">
        <v>367424</v>
      </c>
      <c r="L64" s="1104">
        <v>1520889</v>
      </c>
      <c r="M64" s="1106">
        <v>1488450</v>
      </c>
      <c r="N64" s="1159">
        <v>1456592</v>
      </c>
      <c r="O64" s="1104">
        <v>1601239</v>
      </c>
      <c r="P64" s="1107">
        <f t="shared" si="1"/>
        <v>1807963</v>
      </c>
      <c r="Q64" s="1107">
        <f t="shared" si="1"/>
        <v>1743085</v>
      </c>
      <c r="R64" s="1107">
        <f t="shared" si="1"/>
        <v>1679369</v>
      </c>
      <c r="S64" s="1107">
        <f t="shared" si="1"/>
        <v>1968663</v>
      </c>
    </row>
    <row r="65" spans="1:19">
      <c r="A65" s="1015">
        <v>47</v>
      </c>
      <c r="B65" s="1015" t="s">
        <v>7528</v>
      </c>
      <c r="C65" s="1103" t="s">
        <v>7529</v>
      </c>
      <c r="D65" s="1015" t="s">
        <v>7424</v>
      </c>
      <c r="E65" s="1104">
        <v>585021</v>
      </c>
      <c r="F65" s="1105" t="s">
        <v>7425</v>
      </c>
      <c r="G65" s="1104">
        <v>1268266</v>
      </c>
      <c r="H65" s="1104">
        <v>287074</v>
      </c>
      <c r="I65" s="1104">
        <v>254635</v>
      </c>
      <c r="J65" s="1104">
        <v>222777</v>
      </c>
      <c r="K65" s="1104">
        <v>367424</v>
      </c>
      <c r="L65" s="1104">
        <v>1900800</v>
      </c>
      <c r="M65" s="1106">
        <v>1868361</v>
      </c>
      <c r="N65" s="1159">
        <v>1836503</v>
      </c>
      <c r="O65" s="1104">
        <v>1981150</v>
      </c>
      <c r="P65" s="1107">
        <f t="shared" si="1"/>
        <v>2187874</v>
      </c>
      <c r="Q65" s="1107">
        <f t="shared" si="1"/>
        <v>2122996</v>
      </c>
      <c r="R65" s="1107">
        <f t="shared" si="1"/>
        <v>2059280</v>
      </c>
      <c r="S65" s="1107">
        <f t="shared" si="1"/>
        <v>2348574</v>
      </c>
    </row>
    <row r="66" spans="1:19">
      <c r="A66" s="1015">
        <v>48</v>
      </c>
      <c r="B66" s="1015" t="s">
        <v>7530</v>
      </c>
      <c r="C66" s="1103" t="s">
        <v>7519</v>
      </c>
      <c r="D66" s="1015" t="s">
        <v>7424</v>
      </c>
      <c r="E66" s="1104">
        <v>795029</v>
      </c>
      <c r="F66" s="1105" t="s">
        <v>7425</v>
      </c>
      <c r="G66" s="1104">
        <v>1484153</v>
      </c>
      <c r="H66" s="1104">
        <v>287074</v>
      </c>
      <c r="I66" s="1104">
        <v>254635</v>
      </c>
      <c r="J66" s="1104">
        <v>222777</v>
      </c>
      <c r="K66" s="1104">
        <v>367424</v>
      </c>
      <c r="L66" s="1104">
        <v>2285916</v>
      </c>
      <c r="M66" s="1106">
        <v>2253477</v>
      </c>
      <c r="N66" s="1159">
        <v>2221619</v>
      </c>
      <c r="O66" s="1104">
        <v>2366266</v>
      </c>
      <c r="P66" s="1107">
        <f t="shared" si="1"/>
        <v>2572990</v>
      </c>
      <c r="Q66" s="1107">
        <f t="shared" si="1"/>
        <v>2508112</v>
      </c>
      <c r="R66" s="1107">
        <f t="shared" si="1"/>
        <v>2444396</v>
      </c>
      <c r="S66" s="1107">
        <f t="shared" si="1"/>
        <v>2733690</v>
      </c>
    </row>
    <row r="67" spans="1:19">
      <c r="A67" s="1015">
        <v>49</v>
      </c>
      <c r="B67" s="1015" t="s">
        <v>7531</v>
      </c>
      <c r="C67" s="1103" t="s">
        <v>7532</v>
      </c>
      <c r="D67" s="1015" t="s">
        <v>7424</v>
      </c>
      <c r="E67" s="1104">
        <v>915033</v>
      </c>
      <c r="F67" s="1105" t="s">
        <v>7425</v>
      </c>
      <c r="G67" s="1104">
        <v>1535452</v>
      </c>
      <c r="H67" s="1104">
        <v>287074</v>
      </c>
      <c r="I67" s="1104">
        <v>254635</v>
      </c>
      <c r="J67" s="1104">
        <v>222777</v>
      </c>
      <c r="K67" s="1104">
        <v>367424</v>
      </c>
      <c r="L67" s="1104">
        <v>2447529</v>
      </c>
      <c r="M67" s="1106">
        <v>2415090</v>
      </c>
      <c r="N67" s="1159">
        <v>2383232</v>
      </c>
      <c r="O67" s="1104">
        <v>2527879</v>
      </c>
      <c r="P67" s="1107">
        <f t="shared" si="1"/>
        <v>2734603</v>
      </c>
      <c r="Q67" s="1107">
        <f t="shared" si="1"/>
        <v>2669725</v>
      </c>
      <c r="R67" s="1107">
        <f t="shared" si="1"/>
        <v>2606009</v>
      </c>
      <c r="S67" s="1107">
        <f t="shared" si="1"/>
        <v>2895303</v>
      </c>
    </row>
    <row r="68" spans="1:19">
      <c r="A68" s="1015">
        <v>50</v>
      </c>
      <c r="B68" s="1015" t="s">
        <v>7533</v>
      </c>
      <c r="C68" s="1103" t="s">
        <v>7521</v>
      </c>
      <c r="D68" s="1015" t="s">
        <v>7424</v>
      </c>
      <c r="E68" s="1104">
        <v>1005037</v>
      </c>
      <c r="F68" s="1105" t="s">
        <v>7425</v>
      </c>
      <c r="G68" s="1104">
        <v>1668970</v>
      </c>
      <c r="H68" s="1104">
        <v>287074</v>
      </c>
      <c r="I68" s="1104">
        <v>254635</v>
      </c>
      <c r="J68" s="1104">
        <v>222777</v>
      </c>
      <c r="K68" s="1104">
        <v>367424</v>
      </c>
      <c r="L68" s="1104">
        <v>2608742</v>
      </c>
      <c r="M68" s="1106">
        <v>2576303</v>
      </c>
      <c r="N68" s="1159">
        <v>2544445</v>
      </c>
      <c r="O68" s="1104">
        <v>2689092</v>
      </c>
      <c r="P68" s="1107">
        <f t="shared" si="1"/>
        <v>2895816</v>
      </c>
      <c r="Q68" s="1107">
        <f t="shared" si="1"/>
        <v>2830938</v>
      </c>
      <c r="R68" s="1107">
        <f t="shared" si="1"/>
        <v>2767222</v>
      </c>
      <c r="S68" s="1107">
        <f t="shared" si="1"/>
        <v>3056516</v>
      </c>
    </row>
    <row r="69" spans="1:19">
      <c r="A69" s="1015"/>
      <c r="B69" s="1102" t="s">
        <v>7534</v>
      </c>
      <c r="C69" s="1099" t="s">
        <v>7535</v>
      </c>
      <c r="D69" s="1015"/>
      <c r="E69" s="1104" t="s">
        <v>7446</v>
      </c>
      <c r="F69" s="1105"/>
      <c r="G69" s="1104"/>
      <c r="H69" s="1104"/>
      <c r="I69" s="1104"/>
      <c r="J69" s="1104"/>
      <c r="K69" s="1104"/>
      <c r="L69" s="1104"/>
      <c r="M69" s="1106"/>
      <c r="N69" s="1159"/>
      <c r="O69" s="1104"/>
      <c r="P69" s="1107">
        <f t="shared" si="1"/>
        <v>0</v>
      </c>
      <c r="Q69" s="1107">
        <f t="shared" si="1"/>
        <v>0</v>
      </c>
      <c r="R69" s="1107">
        <f t="shared" si="1"/>
        <v>0</v>
      </c>
      <c r="S69" s="1107">
        <f t="shared" si="1"/>
        <v>0</v>
      </c>
    </row>
    <row r="70" spans="1:19">
      <c r="A70" s="1015">
        <v>51</v>
      </c>
      <c r="B70" s="1015" t="s">
        <v>7536</v>
      </c>
      <c r="C70" s="1103" t="s">
        <v>7537</v>
      </c>
      <c r="D70" s="1015" t="s">
        <v>7424</v>
      </c>
      <c r="E70" s="1104">
        <v>300011</v>
      </c>
      <c r="F70" s="1105" t="s">
        <v>7425</v>
      </c>
      <c r="G70" s="1104">
        <v>310973</v>
      </c>
      <c r="H70" s="1104">
        <v>287074</v>
      </c>
      <c r="I70" s="1104">
        <v>254635</v>
      </c>
      <c r="J70" s="1104">
        <v>222777</v>
      </c>
      <c r="K70" s="1104">
        <v>367424</v>
      </c>
      <c r="L70" s="1104">
        <v>833560</v>
      </c>
      <c r="M70" s="1106">
        <v>801121</v>
      </c>
      <c r="N70" s="1159">
        <v>769263</v>
      </c>
      <c r="O70" s="1104">
        <v>913910</v>
      </c>
      <c r="P70" s="1107">
        <f t="shared" si="1"/>
        <v>1120634</v>
      </c>
      <c r="Q70" s="1107">
        <f t="shared" si="1"/>
        <v>1055756</v>
      </c>
      <c r="R70" s="1107">
        <f t="shared" si="1"/>
        <v>992040</v>
      </c>
      <c r="S70" s="1107">
        <f t="shared" si="1"/>
        <v>1281334</v>
      </c>
    </row>
    <row r="71" spans="1:19">
      <c r="A71" s="1015">
        <v>52</v>
      </c>
      <c r="B71" s="1015" t="s">
        <v>7538</v>
      </c>
      <c r="C71" s="1103" t="s">
        <v>7539</v>
      </c>
      <c r="D71" s="1015" t="s">
        <v>7424</v>
      </c>
      <c r="E71" s="1104">
        <v>360013</v>
      </c>
      <c r="F71" s="1105" t="s">
        <v>7425</v>
      </c>
      <c r="G71" s="1104">
        <v>365850</v>
      </c>
      <c r="H71" s="1104">
        <v>287074</v>
      </c>
      <c r="I71" s="1104">
        <v>254635</v>
      </c>
      <c r="J71" s="1104">
        <v>222777</v>
      </c>
      <c r="K71" s="1104">
        <v>367424</v>
      </c>
      <c r="L71" s="1104">
        <v>937057</v>
      </c>
      <c r="M71" s="1106">
        <v>904618</v>
      </c>
      <c r="N71" s="1159">
        <v>872760</v>
      </c>
      <c r="O71" s="1104">
        <v>1017407</v>
      </c>
      <c r="P71" s="1107">
        <f t="shared" si="1"/>
        <v>1224131</v>
      </c>
      <c r="Q71" s="1107">
        <f t="shared" si="1"/>
        <v>1159253</v>
      </c>
      <c r="R71" s="1107">
        <f t="shared" si="1"/>
        <v>1095537</v>
      </c>
      <c r="S71" s="1107">
        <f t="shared" si="1"/>
        <v>1384831</v>
      </c>
    </row>
    <row r="72" spans="1:19">
      <c r="A72" s="1015">
        <v>53</v>
      </c>
      <c r="B72" s="1015" t="s">
        <v>7540</v>
      </c>
      <c r="C72" s="1103" t="s">
        <v>7541</v>
      </c>
      <c r="D72" s="1015" t="s">
        <v>7424</v>
      </c>
      <c r="E72" s="1104">
        <v>390014</v>
      </c>
      <c r="F72" s="1105" t="s">
        <v>7425</v>
      </c>
      <c r="G72" s="1104">
        <v>476144</v>
      </c>
      <c r="H72" s="1104">
        <v>287074</v>
      </c>
      <c r="I72" s="1104">
        <v>254635</v>
      </c>
      <c r="J72" s="1104">
        <v>222777</v>
      </c>
      <c r="K72" s="1104">
        <v>367424</v>
      </c>
      <c r="L72" s="1104">
        <v>1054476</v>
      </c>
      <c r="M72" s="1106">
        <v>1022037</v>
      </c>
      <c r="N72" s="1159">
        <v>990179</v>
      </c>
      <c r="O72" s="1104">
        <v>1134826</v>
      </c>
      <c r="P72" s="1107">
        <f t="shared" si="1"/>
        <v>1341550</v>
      </c>
      <c r="Q72" s="1107">
        <f t="shared" si="1"/>
        <v>1276672</v>
      </c>
      <c r="R72" s="1107">
        <f t="shared" si="1"/>
        <v>1212956</v>
      </c>
      <c r="S72" s="1107">
        <f t="shared" si="1"/>
        <v>1502250</v>
      </c>
    </row>
    <row r="73" spans="1:19">
      <c r="A73" s="1015">
        <v>54</v>
      </c>
      <c r="B73" s="1015" t="s">
        <v>7542</v>
      </c>
      <c r="C73" s="1103" t="s">
        <v>7527</v>
      </c>
      <c r="D73" s="1015" t="s">
        <v>7424</v>
      </c>
      <c r="E73" s="1104">
        <v>480017</v>
      </c>
      <c r="F73" s="1105" t="s">
        <v>7425</v>
      </c>
      <c r="G73" s="1104">
        <v>516960</v>
      </c>
      <c r="H73" s="1104">
        <v>287074</v>
      </c>
      <c r="I73" s="1104">
        <v>254635</v>
      </c>
      <c r="J73" s="1104">
        <v>222777</v>
      </c>
      <c r="K73" s="1104">
        <v>367424</v>
      </c>
      <c r="L73" s="1104">
        <v>1176830</v>
      </c>
      <c r="M73" s="1106">
        <v>1144391</v>
      </c>
      <c r="N73" s="1159">
        <v>1112533</v>
      </c>
      <c r="O73" s="1104">
        <v>1257180</v>
      </c>
      <c r="P73" s="1107">
        <f t="shared" si="1"/>
        <v>1463904</v>
      </c>
      <c r="Q73" s="1107">
        <f t="shared" si="1"/>
        <v>1399026</v>
      </c>
      <c r="R73" s="1107">
        <f t="shared" si="1"/>
        <v>1335310</v>
      </c>
      <c r="S73" s="1107">
        <f t="shared" ref="S73:S136" si="2">K73+O73</f>
        <v>1624604</v>
      </c>
    </row>
    <row r="74" spans="1:19">
      <c r="A74" s="1015">
        <v>55</v>
      </c>
      <c r="B74" s="1015" t="s">
        <v>7543</v>
      </c>
      <c r="C74" s="1103" t="s">
        <v>7517</v>
      </c>
      <c r="D74" s="1015" t="s">
        <v>7424</v>
      </c>
      <c r="E74" s="1104">
        <v>55502</v>
      </c>
      <c r="F74" s="1105" t="s">
        <v>7425</v>
      </c>
      <c r="G74" s="1104">
        <v>534828</v>
      </c>
      <c r="H74" s="1104">
        <v>287074</v>
      </c>
      <c r="I74" s="1104">
        <v>254635</v>
      </c>
      <c r="J74" s="1104">
        <v>222777</v>
      </c>
      <c r="K74" s="1104">
        <v>367424</v>
      </c>
      <c r="L74" s="1104">
        <v>1265995</v>
      </c>
      <c r="M74" s="1106">
        <v>1233556</v>
      </c>
      <c r="N74" s="1159">
        <v>1201698</v>
      </c>
      <c r="O74" s="1104">
        <v>1346345</v>
      </c>
      <c r="P74" s="1107">
        <f t="shared" ref="P74:S137" si="3">H74+L74</f>
        <v>1553069</v>
      </c>
      <c r="Q74" s="1107">
        <f t="shared" si="3"/>
        <v>1488191</v>
      </c>
      <c r="R74" s="1107">
        <f t="shared" si="3"/>
        <v>1424475</v>
      </c>
      <c r="S74" s="1107">
        <f t="shared" si="2"/>
        <v>1713769</v>
      </c>
    </row>
    <row r="75" spans="1:19">
      <c r="A75" s="1015">
        <v>56</v>
      </c>
      <c r="B75" s="1015" t="s">
        <v>7544</v>
      </c>
      <c r="C75" s="1103" t="s">
        <v>7521</v>
      </c>
      <c r="D75" s="1015" t="s">
        <v>7424</v>
      </c>
      <c r="E75" s="1104">
        <v>705026</v>
      </c>
      <c r="F75" s="1105" t="s">
        <v>7425</v>
      </c>
      <c r="G75" s="1104">
        <v>601429</v>
      </c>
      <c r="H75" s="1104">
        <v>287074</v>
      </c>
      <c r="I75" s="1104">
        <v>254635</v>
      </c>
      <c r="J75" s="1104">
        <v>222777</v>
      </c>
      <c r="K75" s="1104">
        <v>367424</v>
      </c>
      <c r="L75" s="1104">
        <v>1468788</v>
      </c>
      <c r="M75" s="1106">
        <v>1436349</v>
      </c>
      <c r="N75" s="1159">
        <v>1404491</v>
      </c>
      <c r="O75" s="1104">
        <v>1549138</v>
      </c>
      <c r="P75" s="1107">
        <f t="shared" si="3"/>
        <v>1755862</v>
      </c>
      <c r="Q75" s="1107">
        <f t="shared" si="3"/>
        <v>1690984</v>
      </c>
      <c r="R75" s="1107">
        <f t="shared" si="3"/>
        <v>1627268</v>
      </c>
      <c r="S75" s="1107">
        <f t="shared" si="2"/>
        <v>1916562</v>
      </c>
    </row>
    <row r="76" spans="1:19">
      <c r="A76" s="1015"/>
      <c r="B76" s="1102" t="s">
        <v>7545</v>
      </c>
      <c r="C76" s="1099" t="s">
        <v>7546</v>
      </c>
      <c r="D76" s="1015"/>
      <c r="E76" s="1104" t="s">
        <v>7446</v>
      </c>
      <c r="F76" s="1105"/>
      <c r="G76" s="1104"/>
      <c r="H76" s="1104"/>
      <c r="I76" s="1104"/>
      <c r="J76" s="1104"/>
      <c r="K76" s="1104"/>
      <c r="L76" s="1104"/>
      <c r="M76" s="1106"/>
      <c r="N76" s="1159"/>
      <c r="O76" s="1104"/>
      <c r="P76" s="1107">
        <f t="shared" si="3"/>
        <v>0</v>
      </c>
      <c r="Q76" s="1107">
        <f t="shared" si="3"/>
        <v>0</v>
      </c>
      <c r="R76" s="1107">
        <f t="shared" si="3"/>
        <v>0</v>
      </c>
      <c r="S76" s="1107">
        <f t="shared" si="2"/>
        <v>0</v>
      </c>
    </row>
    <row r="77" spans="1:19">
      <c r="A77" s="1015">
        <v>57</v>
      </c>
      <c r="B77" s="1015" t="s">
        <v>7547</v>
      </c>
      <c r="C77" s="1103" t="s">
        <v>7527</v>
      </c>
      <c r="D77" s="1015" t="s">
        <v>7424</v>
      </c>
      <c r="E77" s="1104">
        <v>435016</v>
      </c>
      <c r="F77" s="1105" t="s">
        <v>7425</v>
      </c>
      <c r="G77" s="1104">
        <v>1073429</v>
      </c>
      <c r="H77" s="1104">
        <v>287074</v>
      </c>
      <c r="I77" s="1104">
        <v>254635</v>
      </c>
      <c r="J77" s="1104">
        <v>222777</v>
      </c>
      <c r="K77" s="1104">
        <v>367424</v>
      </c>
      <c r="L77" s="1104">
        <v>1600711</v>
      </c>
      <c r="M77" s="1106">
        <v>1568272</v>
      </c>
      <c r="N77" s="1159">
        <v>1536414</v>
      </c>
      <c r="O77" s="1104">
        <v>1681061</v>
      </c>
      <c r="P77" s="1107">
        <f t="shared" si="3"/>
        <v>1887785</v>
      </c>
      <c r="Q77" s="1107">
        <f t="shared" si="3"/>
        <v>1822907</v>
      </c>
      <c r="R77" s="1107">
        <f t="shared" si="3"/>
        <v>1759191</v>
      </c>
      <c r="S77" s="1107">
        <f t="shared" si="2"/>
        <v>2048485</v>
      </c>
    </row>
    <row r="78" spans="1:19">
      <c r="A78" s="1015">
        <v>58</v>
      </c>
      <c r="B78" s="1015" t="s">
        <v>7548</v>
      </c>
      <c r="C78" s="1103" t="s">
        <v>7549</v>
      </c>
      <c r="D78" s="1015" t="s">
        <v>7424</v>
      </c>
      <c r="E78" s="1104">
        <v>915033</v>
      </c>
      <c r="F78" s="1105" t="s">
        <v>7425</v>
      </c>
      <c r="G78" s="1104">
        <v>1610452</v>
      </c>
      <c r="H78" s="1104">
        <v>287074</v>
      </c>
      <c r="I78" s="1104">
        <v>254635</v>
      </c>
      <c r="J78" s="1104">
        <v>222777</v>
      </c>
      <c r="K78" s="1104">
        <v>367424</v>
      </c>
      <c r="L78" s="1104">
        <v>2520292</v>
      </c>
      <c r="M78" s="1106">
        <v>2487853</v>
      </c>
      <c r="N78" s="1159">
        <v>2455995</v>
      </c>
      <c r="O78" s="1104">
        <v>2600642</v>
      </c>
      <c r="P78" s="1107">
        <f t="shared" si="3"/>
        <v>2807366</v>
      </c>
      <c r="Q78" s="1107">
        <f t="shared" si="3"/>
        <v>2742488</v>
      </c>
      <c r="R78" s="1107">
        <f t="shared" si="3"/>
        <v>2678772</v>
      </c>
      <c r="S78" s="1107">
        <f t="shared" si="2"/>
        <v>2968066</v>
      </c>
    </row>
    <row r="79" spans="1:19">
      <c r="A79" s="1015"/>
      <c r="B79" s="1102" t="s">
        <v>7550</v>
      </c>
      <c r="C79" s="1099" t="s">
        <v>7551</v>
      </c>
      <c r="D79" s="1015"/>
      <c r="E79" s="1104" t="s">
        <v>7446</v>
      </c>
      <c r="F79" s="1105"/>
      <c r="G79" s="1104"/>
      <c r="H79" s="1104"/>
      <c r="I79" s="1104"/>
      <c r="J79" s="1104"/>
      <c r="K79" s="1104"/>
      <c r="L79" s="1104"/>
      <c r="M79" s="1106"/>
      <c r="N79" s="1159"/>
      <c r="O79" s="1104"/>
      <c r="P79" s="1107">
        <f t="shared" si="3"/>
        <v>0</v>
      </c>
      <c r="Q79" s="1107">
        <f t="shared" si="3"/>
        <v>0</v>
      </c>
      <c r="R79" s="1107">
        <f t="shared" si="3"/>
        <v>0</v>
      </c>
      <c r="S79" s="1107">
        <f t="shared" si="2"/>
        <v>0</v>
      </c>
    </row>
    <row r="80" spans="1:19">
      <c r="A80" s="1015"/>
      <c r="B80" s="1102" t="s">
        <v>7552</v>
      </c>
      <c r="C80" s="1099" t="s">
        <v>7553</v>
      </c>
      <c r="D80" s="1015"/>
      <c r="E80" s="1104" t="s">
        <v>7446</v>
      </c>
      <c r="F80" s="1105"/>
      <c r="G80" s="1104"/>
      <c r="H80" s="1104"/>
      <c r="I80" s="1104"/>
      <c r="J80" s="1104"/>
      <c r="K80" s="1104"/>
      <c r="L80" s="1104"/>
      <c r="M80" s="1106"/>
      <c r="N80" s="1159"/>
      <c r="O80" s="1104"/>
      <c r="P80" s="1107">
        <f t="shared" si="3"/>
        <v>0</v>
      </c>
      <c r="Q80" s="1107">
        <f t="shared" si="3"/>
        <v>0</v>
      </c>
      <c r="R80" s="1107">
        <f t="shared" si="3"/>
        <v>0</v>
      </c>
      <c r="S80" s="1107">
        <f t="shared" si="2"/>
        <v>0</v>
      </c>
    </row>
    <row r="81" spans="1:19">
      <c r="A81" s="1015">
        <v>59</v>
      </c>
      <c r="B81" s="1015" t="s">
        <v>7554</v>
      </c>
      <c r="C81" s="1103" t="s">
        <v>7555</v>
      </c>
      <c r="D81" s="1015" t="s">
        <v>7424</v>
      </c>
      <c r="E81" s="1104">
        <v>375014</v>
      </c>
      <c r="F81" s="1105" t="s">
        <v>7556</v>
      </c>
      <c r="G81" s="1104">
        <v>645827</v>
      </c>
      <c r="H81" s="1104">
        <v>537877</v>
      </c>
      <c r="I81" s="1104">
        <v>477098</v>
      </c>
      <c r="J81" s="1104">
        <v>417407</v>
      </c>
      <c r="K81" s="1104">
        <v>688424</v>
      </c>
      <c r="L81" s="1104">
        <v>1383053</v>
      </c>
      <c r="M81" s="1106">
        <v>1322274</v>
      </c>
      <c r="N81" s="1159">
        <v>1262583</v>
      </c>
      <c r="O81" s="1104">
        <v>1533600</v>
      </c>
      <c r="P81" s="1107">
        <f t="shared" si="3"/>
        <v>1920930</v>
      </c>
      <c r="Q81" s="1107">
        <f t="shared" si="3"/>
        <v>1799372</v>
      </c>
      <c r="R81" s="1107">
        <f t="shared" si="3"/>
        <v>1679990</v>
      </c>
      <c r="S81" s="1107">
        <f t="shared" si="2"/>
        <v>2222024</v>
      </c>
    </row>
    <row r="82" spans="1:19">
      <c r="A82" s="1015">
        <v>60</v>
      </c>
      <c r="B82" s="1015" t="s">
        <v>7557</v>
      </c>
      <c r="C82" s="1103" t="s">
        <v>7558</v>
      </c>
      <c r="D82" s="1015" t="s">
        <v>7424</v>
      </c>
      <c r="E82" s="1104">
        <v>390014</v>
      </c>
      <c r="F82" s="1105" t="s">
        <v>7556</v>
      </c>
      <c r="G82" s="1104">
        <v>693293</v>
      </c>
      <c r="H82" s="1104">
        <v>537877</v>
      </c>
      <c r="I82" s="1104">
        <v>477098</v>
      </c>
      <c r="J82" s="1104">
        <v>417407</v>
      </c>
      <c r="K82" s="1104">
        <v>688424</v>
      </c>
      <c r="L82" s="1104">
        <v>1432608</v>
      </c>
      <c r="M82" s="1106">
        <v>1371829</v>
      </c>
      <c r="N82" s="1159">
        <v>1312138</v>
      </c>
      <c r="O82" s="1104">
        <v>1583155</v>
      </c>
      <c r="P82" s="1107">
        <f t="shared" si="3"/>
        <v>1970485</v>
      </c>
      <c r="Q82" s="1107">
        <f t="shared" si="3"/>
        <v>1848927</v>
      </c>
      <c r="R82" s="1107">
        <f t="shared" si="3"/>
        <v>1729545</v>
      </c>
      <c r="S82" s="1107">
        <f t="shared" si="2"/>
        <v>2271579</v>
      </c>
    </row>
    <row r="83" spans="1:19">
      <c r="A83" s="1015">
        <v>61</v>
      </c>
      <c r="B83" s="1015" t="s">
        <v>6321</v>
      </c>
      <c r="C83" s="1103" t="s">
        <v>7559</v>
      </c>
      <c r="D83" s="1015" t="s">
        <v>7424</v>
      </c>
      <c r="E83" s="1104">
        <v>450016</v>
      </c>
      <c r="F83" s="1105" t="s">
        <v>7556</v>
      </c>
      <c r="G83" s="1104">
        <v>769879</v>
      </c>
      <c r="H83" s="1104">
        <v>537877</v>
      </c>
      <c r="I83" s="1104">
        <v>477098</v>
      </c>
      <c r="J83" s="1104">
        <v>417407</v>
      </c>
      <c r="K83" s="1104">
        <v>688424</v>
      </c>
      <c r="L83" s="1104">
        <v>1536047</v>
      </c>
      <c r="M83" s="1106">
        <v>1475268</v>
      </c>
      <c r="N83" s="1159">
        <v>1415577</v>
      </c>
      <c r="O83" s="1104">
        <v>1686594</v>
      </c>
      <c r="P83" s="1107">
        <f t="shared" si="3"/>
        <v>2073924</v>
      </c>
      <c r="Q83" s="1107">
        <f t="shared" si="3"/>
        <v>1952366</v>
      </c>
      <c r="R83" s="1107">
        <f t="shared" si="3"/>
        <v>1832984</v>
      </c>
      <c r="S83" s="1107">
        <f t="shared" si="2"/>
        <v>2375018</v>
      </c>
    </row>
    <row r="84" spans="1:19">
      <c r="A84" s="1015">
        <v>62</v>
      </c>
      <c r="B84" s="1015" t="s">
        <v>7560</v>
      </c>
      <c r="C84" s="1103" t="s">
        <v>7561</v>
      </c>
      <c r="D84" s="1015" t="s">
        <v>7424</v>
      </c>
      <c r="E84" s="1104">
        <v>495018</v>
      </c>
      <c r="F84" s="1105" t="s">
        <v>7556</v>
      </c>
      <c r="G84" s="1104">
        <v>948964</v>
      </c>
      <c r="H84" s="1104">
        <v>537877</v>
      </c>
      <c r="I84" s="1104">
        <v>477098</v>
      </c>
      <c r="J84" s="1104">
        <v>417407</v>
      </c>
      <c r="K84" s="1104">
        <v>688424</v>
      </c>
      <c r="L84" s="1104">
        <v>1708557</v>
      </c>
      <c r="M84" s="1106">
        <v>1647778</v>
      </c>
      <c r="N84" s="1159">
        <v>1588087</v>
      </c>
      <c r="O84" s="1104">
        <v>1859104</v>
      </c>
      <c r="P84" s="1107">
        <f t="shared" si="3"/>
        <v>2246434</v>
      </c>
      <c r="Q84" s="1107">
        <f t="shared" si="3"/>
        <v>2124876</v>
      </c>
      <c r="R84" s="1107">
        <f t="shared" si="3"/>
        <v>2005494</v>
      </c>
      <c r="S84" s="1107">
        <f t="shared" si="2"/>
        <v>2547528</v>
      </c>
    </row>
    <row r="85" spans="1:19">
      <c r="A85" s="1015">
        <v>63</v>
      </c>
      <c r="B85" s="1015" t="s">
        <v>6332</v>
      </c>
      <c r="C85" s="1103" t="s">
        <v>7541</v>
      </c>
      <c r="D85" s="1015" t="s">
        <v>7424</v>
      </c>
      <c r="E85" s="1104">
        <v>55502</v>
      </c>
      <c r="F85" s="1105" t="s">
        <v>7556</v>
      </c>
      <c r="G85" s="1104">
        <v>1328572</v>
      </c>
      <c r="H85" s="1104">
        <v>537877</v>
      </c>
      <c r="I85" s="1104">
        <v>477098</v>
      </c>
      <c r="J85" s="1104">
        <v>417407</v>
      </c>
      <c r="K85" s="1104">
        <v>688424</v>
      </c>
      <c r="L85" s="1104">
        <v>2028212</v>
      </c>
      <c r="M85" s="1106">
        <v>1967433</v>
      </c>
      <c r="N85" s="1159">
        <v>1907742</v>
      </c>
      <c r="O85" s="1104">
        <v>2178759</v>
      </c>
      <c r="P85" s="1107">
        <f t="shared" si="3"/>
        <v>2566089</v>
      </c>
      <c r="Q85" s="1107">
        <f t="shared" si="3"/>
        <v>2444531</v>
      </c>
      <c r="R85" s="1107">
        <f t="shared" si="3"/>
        <v>2325149</v>
      </c>
      <c r="S85" s="1107">
        <f t="shared" si="2"/>
        <v>2867183</v>
      </c>
    </row>
    <row r="86" spans="1:19">
      <c r="A86" s="1015">
        <v>64</v>
      </c>
      <c r="B86" s="1015" t="s">
        <v>6326</v>
      </c>
      <c r="C86" s="1103" t="s">
        <v>7517</v>
      </c>
      <c r="D86" s="1015" t="s">
        <v>7424</v>
      </c>
      <c r="E86" s="1104">
        <v>645023</v>
      </c>
      <c r="F86" s="1105" t="s">
        <v>7556</v>
      </c>
      <c r="G86" s="1104">
        <v>1556727</v>
      </c>
      <c r="H86" s="1104">
        <v>537877</v>
      </c>
      <c r="I86" s="1104">
        <v>477098</v>
      </c>
      <c r="J86" s="1104">
        <v>417407</v>
      </c>
      <c r="K86" s="1104">
        <v>688424</v>
      </c>
      <c r="L86" s="1104">
        <v>2278836</v>
      </c>
      <c r="M86" s="1106">
        <v>2218057</v>
      </c>
      <c r="N86" s="1159">
        <v>2158366</v>
      </c>
      <c r="O86" s="1104">
        <v>2429383</v>
      </c>
      <c r="P86" s="1107">
        <f t="shared" si="3"/>
        <v>2816713</v>
      </c>
      <c r="Q86" s="1107">
        <f t="shared" si="3"/>
        <v>2695155</v>
      </c>
      <c r="R86" s="1107">
        <f t="shared" si="3"/>
        <v>2575773</v>
      </c>
      <c r="S86" s="1107">
        <f t="shared" si="2"/>
        <v>3117807</v>
      </c>
    </row>
    <row r="87" spans="1:19">
      <c r="A87" s="1015">
        <v>65</v>
      </c>
      <c r="B87" s="1015" t="s">
        <v>7562</v>
      </c>
      <c r="C87" s="1103" t="s">
        <v>7549</v>
      </c>
      <c r="D87" s="1015" t="s">
        <v>7424</v>
      </c>
      <c r="E87" s="1104">
        <v>660024</v>
      </c>
      <c r="F87" s="1105" t="s">
        <v>7556</v>
      </c>
      <c r="G87" s="1104">
        <v>1939546</v>
      </c>
      <c r="H87" s="1104">
        <v>537877</v>
      </c>
      <c r="I87" s="1104">
        <v>477098</v>
      </c>
      <c r="J87" s="1104">
        <v>417407</v>
      </c>
      <c r="K87" s="1104">
        <v>688424</v>
      </c>
      <c r="L87" s="1104">
        <v>2493518</v>
      </c>
      <c r="M87" s="1106">
        <v>2432739</v>
      </c>
      <c r="N87" s="1159">
        <v>2373048</v>
      </c>
      <c r="O87" s="1104">
        <v>2644065</v>
      </c>
      <c r="P87" s="1107">
        <f t="shared" si="3"/>
        <v>3031395</v>
      </c>
      <c r="Q87" s="1107">
        <f t="shared" si="3"/>
        <v>2909837</v>
      </c>
      <c r="R87" s="1107">
        <f t="shared" si="3"/>
        <v>2790455</v>
      </c>
      <c r="S87" s="1107">
        <f t="shared" si="2"/>
        <v>3332489</v>
      </c>
    </row>
    <row r="88" spans="1:19">
      <c r="A88" s="1015">
        <v>66</v>
      </c>
      <c r="B88" s="1015" t="s">
        <v>7563</v>
      </c>
      <c r="C88" s="1103" t="s">
        <v>7521</v>
      </c>
      <c r="D88" s="1015" t="s">
        <v>7424</v>
      </c>
      <c r="E88" s="1104">
        <v>750027</v>
      </c>
      <c r="F88" s="1105" t="s">
        <v>7556</v>
      </c>
      <c r="G88" s="1104">
        <v>2230644</v>
      </c>
      <c r="H88" s="1104">
        <v>537877</v>
      </c>
      <c r="I88" s="1104">
        <v>477098</v>
      </c>
      <c r="J88" s="1104">
        <v>417407</v>
      </c>
      <c r="K88" s="1104">
        <v>688424</v>
      </c>
      <c r="L88" s="1104">
        <v>2760129</v>
      </c>
      <c r="M88" s="1106">
        <v>2699350</v>
      </c>
      <c r="N88" s="1159">
        <v>2639659</v>
      </c>
      <c r="O88" s="1104">
        <v>2910676</v>
      </c>
      <c r="P88" s="1107">
        <f t="shared" si="3"/>
        <v>3298006</v>
      </c>
      <c r="Q88" s="1107">
        <f t="shared" si="3"/>
        <v>3176448</v>
      </c>
      <c r="R88" s="1107">
        <f t="shared" si="3"/>
        <v>3057066</v>
      </c>
      <c r="S88" s="1107">
        <f t="shared" si="2"/>
        <v>3599100</v>
      </c>
    </row>
    <row r="89" spans="1:19">
      <c r="A89" s="1015">
        <v>67</v>
      </c>
      <c r="B89" s="1015" t="s">
        <v>7564</v>
      </c>
      <c r="C89" s="1103" t="s">
        <v>7565</v>
      </c>
      <c r="D89" s="1015" t="s">
        <v>7424</v>
      </c>
      <c r="E89" s="1104">
        <v>810029</v>
      </c>
      <c r="F89" s="1105" t="s">
        <v>7556</v>
      </c>
      <c r="G89" s="1104">
        <v>2521398</v>
      </c>
      <c r="H89" s="1104">
        <v>537877</v>
      </c>
      <c r="I89" s="1104">
        <v>477098</v>
      </c>
      <c r="J89" s="1104">
        <v>417407</v>
      </c>
      <c r="K89" s="1104">
        <v>688424</v>
      </c>
      <c r="L89" s="1104">
        <v>3012029</v>
      </c>
      <c r="M89" s="1106">
        <v>2951250</v>
      </c>
      <c r="N89" s="1159">
        <v>2891559</v>
      </c>
      <c r="O89" s="1104">
        <v>3162576</v>
      </c>
      <c r="P89" s="1107">
        <f t="shared" si="3"/>
        <v>3549906</v>
      </c>
      <c r="Q89" s="1107">
        <f t="shared" si="3"/>
        <v>3428348</v>
      </c>
      <c r="R89" s="1107">
        <f t="shared" si="3"/>
        <v>3308966</v>
      </c>
      <c r="S89" s="1107">
        <f t="shared" si="2"/>
        <v>3851000</v>
      </c>
    </row>
    <row r="90" spans="1:19">
      <c r="A90" s="1015">
        <v>68</v>
      </c>
      <c r="B90" s="1015" t="s">
        <v>7566</v>
      </c>
      <c r="C90" s="1103" t="s">
        <v>7567</v>
      </c>
      <c r="D90" s="1015" t="s">
        <v>7424</v>
      </c>
      <c r="E90" s="1104">
        <v>960035</v>
      </c>
      <c r="F90" s="1105" t="s">
        <v>7556</v>
      </c>
      <c r="G90" s="1104">
        <v>3736007</v>
      </c>
      <c r="H90" s="1104">
        <v>537877</v>
      </c>
      <c r="I90" s="1104">
        <v>477098</v>
      </c>
      <c r="J90" s="1104">
        <v>417407</v>
      </c>
      <c r="K90" s="1104">
        <v>688424</v>
      </c>
      <c r="L90" s="1104">
        <v>3799292</v>
      </c>
      <c r="M90" s="1106">
        <v>3738513</v>
      </c>
      <c r="N90" s="1159">
        <v>3678822</v>
      </c>
      <c r="O90" s="1104">
        <v>3949839</v>
      </c>
      <c r="P90" s="1107">
        <f t="shared" si="3"/>
        <v>4337169</v>
      </c>
      <c r="Q90" s="1107">
        <f t="shared" si="3"/>
        <v>4215611</v>
      </c>
      <c r="R90" s="1107">
        <f t="shared" si="3"/>
        <v>4096229</v>
      </c>
      <c r="S90" s="1107">
        <f t="shared" si="2"/>
        <v>4638263</v>
      </c>
    </row>
    <row r="91" spans="1:19">
      <c r="A91" s="1015">
        <v>69</v>
      </c>
      <c r="B91" s="1015" t="s">
        <v>7568</v>
      </c>
      <c r="C91" s="1103" t="s">
        <v>7569</v>
      </c>
      <c r="D91" s="1015" t="s">
        <v>7424</v>
      </c>
      <c r="E91" s="1104">
        <v>1050038</v>
      </c>
      <c r="F91" s="1105" t="s">
        <v>7556</v>
      </c>
      <c r="G91" s="1104">
        <v>5241944</v>
      </c>
      <c r="H91" s="1104">
        <v>537877</v>
      </c>
      <c r="I91" s="1104">
        <v>477098</v>
      </c>
      <c r="J91" s="1104">
        <v>417407</v>
      </c>
      <c r="K91" s="1104">
        <v>688424</v>
      </c>
      <c r="L91" s="1104">
        <v>4816953</v>
      </c>
      <c r="M91" s="1106">
        <v>4756174</v>
      </c>
      <c r="N91" s="1159">
        <v>4696483</v>
      </c>
      <c r="O91" s="1104">
        <v>4967500</v>
      </c>
      <c r="P91" s="1107">
        <f t="shared" si="3"/>
        <v>5354830</v>
      </c>
      <c r="Q91" s="1107">
        <f t="shared" si="3"/>
        <v>5233272</v>
      </c>
      <c r="R91" s="1107">
        <f t="shared" si="3"/>
        <v>5113890</v>
      </c>
      <c r="S91" s="1107">
        <f t="shared" si="2"/>
        <v>5655924</v>
      </c>
    </row>
    <row r="92" spans="1:19">
      <c r="A92" s="1015"/>
      <c r="B92" s="1102" t="s">
        <v>7570</v>
      </c>
      <c r="C92" s="1099" t="s">
        <v>7571</v>
      </c>
      <c r="D92" s="1015"/>
      <c r="E92" s="1104" t="s">
        <v>7446</v>
      </c>
      <c r="F92" s="1105"/>
      <c r="G92" s="1104"/>
      <c r="H92" s="1104"/>
      <c r="I92" s="1104"/>
      <c r="J92" s="1104"/>
      <c r="K92" s="1104"/>
      <c r="L92" s="1104"/>
      <c r="M92" s="1106"/>
      <c r="N92" s="1159"/>
      <c r="O92" s="1104"/>
      <c r="P92" s="1107">
        <f t="shared" si="3"/>
        <v>0</v>
      </c>
      <c r="Q92" s="1107">
        <f t="shared" si="3"/>
        <v>0</v>
      </c>
      <c r="R92" s="1107">
        <f t="shared" si="3"/>
        <v>0</v>
      </c>
      <c r="S92" s="1107">
        <f t="shared" si="2"/>
        <v>0</v>
      </c>
    </row>
    <row r="93" spans="1:19">
      <c r="A93" s="1109">
        <v>70</v>
      </c>
      <c r="B93" s="1109" t="s">
        <v>4148</v>
      </c>
      <c r="C93" s="1110" t="s">
        <v>7572</v>
      </c>
      <c r="D93" s="1109" t="s">
        <v>7424</v>
      </c>
      <c r="E93" s="1111">
        <v>375014</v>
      </c>
      <c r="F93" s="1112" t="s">
        <v>7573</v>
      </c>
      <c r="G93" s="1111">
        <v>629428</v>
      </c>
      <c r="H93" s="1111">
        <v>687238</v>
      </c>
      <c r="I93" s="1111">
        <v>609581</v>
      </c>
      <c r="J93" s="1111">
        <v>533315</v>
      </c>
      <c r="K93" s="1111">
        <v>879590</v>
      </c>
      <c r="L93" s="1111">
        <v>1523832</v>
      </c>
      <c r="M93" s="1113">
        <v>1446175</v>
      </c>
      <c r="N93" s="1160">
        <v>1369909</v>
      </c>
      <c r="O93" s="1111">
        <v>1716184</v>
      </c>
      <c r="P93" s="1114">
        <f t="shared" si="3"/>
        <v>2211070</v>
      </c>
      <c r="Q93" s="1114">
        <f t="shared" si="3"/>
        <v>2055756</v>
      </c>
      <c r="R93" s="1114">
        <f t="shared" si="3"/>
        <v>1903224</v>
      </c>
      <c r="S93" s="1114">
        <f t="shared" si="2"/>
        <v>2595774</v>
      </c>
    </row>
    <row r="94" spans="1:19">
      <c r="A94" s="1015">
        <v>71</v>
      </c>
      <c r="B94" s="1015" t="s">
        <v>7574</v>
      </c>
      <c r="C94" s="1103" t="s">
        <v>7517</v>
      </c>
      <c r="D94" s="1015" t="s">
        <v>7424</v>
      </c>
      <c r="E94" s="1104">
        <v>495018</v>
      </c>
      <c r="F94" s="1105" t="s">
        <v>7573</v>
      </c>
      <c r="G94" s="1104">
        <v>1032544</v>
      </c>
      <c r="H94" s="1104">
        <v>687238</v>
      </c>
      <c r="I94" s="1104">
        <v>609581</v>
      </c>
      <c r="J94" s="1104">
        <v>533315</v>
      </c>
      <c r="K94" s="1104">
        <v>879590</v>
      </c>
      <c r="L94" s="1104">
        <v>1939455</v>
      </c>
      <c r="M94" s="1106">
        <v>1861798</v>
      </c>
      <c r="N94" s="1159">
        <v>1785532</v>
      </c>
      <c r="O94" s="1104">
        <v>2131807</v>
      </c>
      <c r="P94" s="1107">
        <f t="shared" si="3"/>
        <v>2626693</v>
      </c>
      <c r="Q94" s="1107">
        <f t="shared" si="3"/>
        <v>2471379</v>
      </c>
      <c r="R94" s="1107">
        <f t="shared" si="3"/>
        <v>2318847</v>
      </c>
      <c r="S94" s="1107">
        <f t="shared" si="2"/>
        <v>3011397</v>
      </c>
    </row>
    <row r="95" spans="1:19">
      <c r="A95" s="1015">
        <v>72</v>
      </c>
      <c r="B95" s="1015" t="s">
        <v>6319</v>
      </c>
      <c r="C95" s="1103" t="s">
        <v>7521</v>
      </c>
      <c r="D95" s="1015" t="s">
        <v>7424</v>
      </c>
      <c r="E95" s="1104">
        <v>54002</v>
      </c>
      <c r="F95" s="1105" t="s">
        <v>7573</v>
      </c>
      <c r="G95" s="1104">
        <v>1266087</v>
      </c>
      <c r="H95" s="1104">
        <v>687238</v>
      </c>
      <c r="I95" s="1104">
        <v>609581</v>
      </c>
      <c r="J95" s="1104">
        <v>533315</v>
      </c>
      <c r="K95" s="1104">
        <v>879590</v>
      </c>
      <c r="L95" s="1104">
        <v>2155721</v>
      </c>
      <c r="M95" s="1106">
        <v>2078064</v>
      </c>
      <c r="N95" s="1159">
        <v>2001798</v>
      </c>
      <c r="O95" s="1104">
        <v>2348073</v>
      </c>
      <c r="P95" s="1107">
        <f t="shared" si="3"/>
        <v>2842959</v>
      </c>
      <c r="Q95" s="1107">
        <f t="shared" si="3"/>
        <v>2687645</v>
      </c>
      <c r="R95" s="1107">
        <f t="shared" si="3"/>
        <v>2535113</v>
      </c>
      <c r="S95" s="1107">
        <f t="shared" si="2"/>
        <v>3227663</v>
      </c>
    </row>
    <row r="96" spans="1:19">
      <c r="A96" s="1015">
        <v>73</v>
      </c>
      <c r="B96" s="1015" t="s">
        <v>7575</v>
      </c>
      <c r="C96" s="1103" t="s">
        <v>7567</v>
      </c>
      <c r="D96" s="1015" t="s">
        <v>7424</v>
      </c>
      <c r="E96" s="1104">
        <v>750027</v>
      </c>
      <c r="F96" s="1105" t="s">
        <v>7573</v>
      </c>
      <c r="G96" s="1104">
        <v>2624354</v>
      </c>
      <c r="H96" s="1104">
        <v>687238</v>
      </c>
      <c r="I96" s="1104">
        <v>609581</v>
      </c>
      <c r="J96" s="1104">
        <v>533315</v>
      </c>
      <c r="K96" s="1104">
        <v>879590</v>
      </c>
      <c r="L96" s="1104">
        <v>3208704</v>
      </c>
      <c r="M96" s="1106">
        <v>3131047</v>
      </c>
      <c r="N96" s="1159">
        <v>3054781</v>
      </c>
      <c r="O96" s="1104">
        <v>3401056</v>
      </c>
      <c r="P96" s="1107">
        <f t="shared" si="3"/>
        <v>3895942</v>
      </c>
      <c r="Q96" s="1107">
        <f t="shared" si="3"/>
        <v>3740628</v>
      </c>
      <c r="R96" s="1107">
        <f t="shared" si="3"/>
        <v>3588096</v>
      </c>
      <c r="S96" s="1107">
        <f t="shared" si="2"/>
        <v>4280646</v>
      </c>
    </row>
    <row r="97" spans="1:19">
      <c r="A97" s="1015">
        <v>74</v>
      </c>
      <c r="B97" s="1015" t="s">
        <v>7576</v>
      </c>
      <c r="C97" s="1103" t="s">
        <v>7577</v>
      </c>
      <c r="D97" s="1015" t="s">
        <v>7424</v>
      </c>
      <c r="E97" s="1104">
        <v>915033</v>
      </c>
      <c r="F97" s="1105" t="s">
        <v>7573</v>
      </c>
      <c r="G97" s="1104">
        <v>3109212</v>
      </c>
      <c r="H97" s="1104">
        <v>687238</v>
      </c>
      <c r="I97" s="1104">
        <v>609581</v>
      </c>
      <c r="J97" s="1104">
        <v>533315</v>
      </c>
      <c r="K97" s="1104">
        <v>879590</v>
      </c>
      <c r="L97" s="1104">
        <v>3700989</v>
      </c>
      <c r="M97" s="1106">
        <v>3623332</v>
      </c>
      <c r="N97" s="1159">
        <v>3547066</v>
      </c>
      <c r="O97" s="1104">
        <v>3893341</v>
      </c>
      <c r="P97" s="1107">
        <f t="shared" si="3"/>
        <v>4388227</v>
      </c>
      <c r="Q97" s="1107">
        <f t="shared" si="3"/>
        <v>4232913</v>
      </c>
      <c r="R97" s="1107">
        <f t="shared" si="3"/>
        <v>4080381</v>
      </c>
      <c r="S97" s="1107">
        <f t="shared" si="2"/>
        <v>4772931</v>
      </c>
    </row>
    <row r="98" spans="1:19">
      <c r="A98" s="1015">
        <v>75</v>
      </c>
      <c r="B98" s="1015" t="s">
        <v>7578</v>
      </c>
      <c r="C98" s="1103" t="s">
        <v>7579</v>
      </c>
      <c r="D98" s="1015" t="s">
        <v>7424</v>
      </c>
      <c r="E98" s="1104">
        <v>1005037</v>
      </c>
      <c r="F98" s="1105" t="s">
        <v>7573</v>
      </c>
      <c r="G98" s="1104">
        <v>4714447</v>
      </c>
      <c r="H98" s="1104">
        <v>687238</v>
      </c>
      <c r="I98" s="1104">
        <v>609581</v>
      </c>
      <c r="J98" s="1104">
        <v>533315</v>
      </c>
      <c r="K98" s="1104">
        <v>879590</v>
      </c>
      <c r="L98" s="1104">
        <v>4658447</v>
      </c>
      <c r="M98" s="1106">
        <v>4580790</v>
      </c>
      <c r="N98" s="1159">
        <v>4504524</v>
      </c>
      <c r="O98" s="1104">
        <v>4850799</v>
      </c>
      <c r="P98" s="1107">
        <f t="shared" si="3"/>
        <v>5345685</v>
      </c>
      <c r="Q98" s="1107">
        <f t="shared" si="3"/>
        <v>5190371</v>
      </c>
      <c r="R98" s="1107">
        <f t="shared" si="3"/>
        <v>5037839</v>
      </c>
      <c r="S98" s="1107">
        <f t="shared" si="2"/>
        <v>5730389</v>
      </c>
    </row>
    <row r="99" spans="1:19">
      <c r="A99" s="1015">
        <v>76</v>
      </c>
      <c r="B99" s="1015" t="s">
        <v>7580</v>
      </c>
      <c r="C99" s="1103" t="s">
        <v>7581</v>
      </c>
      <c r="D99" s="1015" t="s">
        <v>7424</v>
      </c>
      <c r="E99" s="1104">
        <v>1035038</v>
      </c>
      <c r="F99" s="1105" t="s">
        <v>7582</v>
      </c>
      <c r="G99" s="1104">
        <v>5870688</v>
      </c>
      <c r="H99" s="1104">
        <v>758571</v>
      </c>
      <c r="I99" s="1104">
        <v>672854</v>
      </c>
      <c r="J99" s="1104">
        <v>588672</v>
      </c>
      <c r="K99" s="1104">
        <v>970889</v>
      </c>
      <c r="L99" s="1104">
        <v>5487250</v>
      </c>
      <c r="M99" s="1106">
        <v>5401533</v>
      </c>
      <c r="N99" s="1159">
        <v>5317351</v>
      </c>
      <c r="O99" s="1104">
        <v>5699568</v>
      </c>
      <c r="P99" s="1107">
        <f t="shared" si="3"/>
        <v>6245821</v>
      </c>
      <c r="Q99" s="1107">
        <f t="shared" si="3"/>
        <v>6074387</v>
      </c>
      <c r="R99" s="1107">
        <f t="shared" si="3"/>
        <v>5906023</v>
      </c>
      <c r="S99" s="1107">
        <f t="shared" si="2"/>
        <v>6670457</v>
      </c>
    </row>
    <row r="100" spans="1:19">
      <c r="A100" s="1015">
        <v>77</v>
      </c>
      <c r="B100" s="1015" t="s">
        <v>7583</v>
      </c>
      <c r="C100" s="1103" t="s">
        <v>7584</v>
      </c>
      <c r="D100" s="1015" t="s">
        <v>7424</v>
      </c>
      <c r="E100" s="1104">
        <v>1110040</v>
      </c>
      <c r="F100" s="1105" t="s">
        <v>7582</v>
      </c>
      <c r="G100" s="1104">
        <v>7072227</v>
      </c>
      <c r="H100" s="1104">
        <v>758571</v>
      </c>
      <c r="I100" s="1104">
        <v>672854</v>
      </c>
      <c r="J100" s="1104">
        <v>588672</v>
      </c>
      <c r="K100" s="1104">
        <v>970889</v>
      </c>
      <c r="L100" s="1104">
        <v>6318221</v>
      </c>
      <c r="M100" s="1106">
        <v>6232504</v>
      </c>
      <c r="N100" s="1159">
        <v>6148322</v>
      </c>
      <c r="O100" s="1104">
        <v>6530539</v>
      </c>
      <c r="P100" s="1107">
        <f t="shared" si="3"/>
        <v>7076792</v>
      </c>
      <c r="Q100" s="1107">
        <f t="shared" si="3"/>
        <v>6905358</v>
      </c>
      <c r="R100" s="1107">
        <f t="shared" si="3"/>
        <v>6736994</v>
      </c>
      <c r="S100" s="1107">
        <f t="shared" si="2"/>
        <v>7501428</v>
      </c>
    </row>
    <row r="101" spans="1:19">
      <c r="A101" s="1015">
        <v>78</v>
      </c>
      <c r="B101" s="1015" t="s">
        <v>7585</v>
      </c>
      <c r="C101" s="1103" t="s">
        <v>7586</v>
      </c>
      <c r="D101" s="1015" t="s">
        <v>7424</v>
      </c>
      <c r="E101" s="1104">
        <v>1170043</v>
      </c>
      <c r="F101" s="1105" t="s">
        <v>7582</v>
      </c>
      <c r="G101" s="1104">
        <v>8936333</v>
      </c>
      <c r="H101" s="1104">
        <v>758571</v>
      </c>
      <c r="I101" s="1104">
        <v>672854</v>
      </c>
      <c r="J101" s="1104">
        <v>588672</v>
      </c>
      <c r="K101" s="1104">
        <v>970889</v>
      </c>
      <c r="L101" s="1104">
        <v>7476587</v>
      </c>
      <c r="M101" s="1106">
        <v>7390870</v>
      </c>
      <c r="N101" s="1159">
        <v>7306688</v>
      </c>
      <c r="O101" s="1104">
        <v>7688905</v>
      </c>
      <c r="P101" s="1107">
        <f t="shared" si="3"/>
        <v>8235158</v>
      </c>
      <c r="Q101" s="1107">
        <f t="shared" si="3"/>
        <v>8063724</v>
      </c>
      <c r="R101" s="1107">
        <f t="shared" si="3"/>
        <v>7895360</v>
      </c>
      <c r="S101" s="1107">
        <f t="shared" si="2"/>
        <v>8659794</v>
      </c>
    </row>
    <row r="102" spans="1:19">
      <c r="A102" s="1015">
        <v>79</v>
      </c>
      <c r="B102" s="1015" t="s">
        <v>7587</v>
      </c>
      <c r="C102" s="1103" t="s">
        <v>7588</v>
      </c>
      <c r="D102" s="1015" t="s">
        <v>7424</v>
      </c>
      <c r="E102" s="1104">
        <v>1215044</v>
      </c>
      <c r="F102" s="1105" t="s">
        <v>7582</v>
      </c>
      <c r="G102" s="1104">
        <v>10669966</v>
      </c>
      <c r="H102" s="1104">
        <v>758571</v>
      </c>
      <c r="I102" s="1104">
        <v>672854</v>
      </c>
      <c r="J102" s="1104">
        <v>588672</v>
      </c>
      <c r="K102" s="1104">
        <v>970889</v>
      </c>
      <c r="L102" s="1104">
        <v>8597886</v>
      </c>
      <c r="M102" s="1106">
        <v>8512169</v>
      </c>
      <c r="N102" s="1159">
        <v>8427987</v>
      </c>
      <c r="O102" s="1104">
        <v>8810204</v>
      </c>
      <c r="P102" s="1107">
        <f t="shared" si="3"/>
        <v>9356457</v>
      </c>
      <c r="Q102" s="1107">
        <f t="shared" si="3"/>
        <v>9185023</v>
      </c>
      <c r="R102" s="1107">
        <f t="shared" si="3"/>
        <v>9016659</v>
      </c>
      <c r="S102" s="1107">
        <f t="shared" si="2"/>
        <v>9781093</v>
      </c>
    </row>
    <row r="103" spans="1:19">
      <c r="A103" s="1015"/>
      <c r="B103" s="1102" t="s">
        <v>7589</v>
      </c>
      <c r="C103" s="1099" t="s">
        <v>7590</v>
      </c>
      <c r="D103" s="1015"/>
      <c r="E103" s="1104" t="s">
        <v>7446</v>
      </c>
      <c r="F103" s="1105"/>
      <c r="G103" s="1104"/>
      <c r="H103" s="1104"/>
      <c r="I103" s="1104"/>
      <c r="J103" s="1104"/>
      <c r="K103" s="1104"/>
      <c r="L103" s="1104"/>
      <c r="M103" s="1106"/>
      <c r="N103" s="1159"/>
      <c r="O103" s="1104"/>
      <c r="P103" s="1107">
        <f t="shared" si="3"/>
        <v>0</v>
      </c>
      <c r="Q103" s="1107">
        <f t="shared" si="3"/>
        <v>0</v>
      </c>
      <c r="R103" s="1107">
        <f t="shared" si="3"/>
        <v>0</v>
      </c>
      <c r="S103" s="1107">
        <f t="shared" si="2"/>
        <v>0</v>
      </c>
    </row>
    <row r="104" spans="1:19">
      <c r="A104" s="1015">
        <v>80</v>
      </c>
      <c r="B104" s="1015" t="s">
        <v>7591</v>
      </c>
      <c r="C104" s="1103" t="s">
        <v>7559</v>
      </c>
      <c r="D104" s="1015" t="s">
        <v>7424</v>
      </c>
      <c r="E104" s="1104">
        <v>480017</v>
      </c>
      <c r="F104" s="1105" t="s">
        <v>7592</v>
      </c>
      <c r="G104" s="1104">
        <v>808517</v>
      </c>
      <c r="H104" s="1104">
        <v>624603</v>
      </c>
      <c r="I104" s="1104">
        <v>554024</v>
      </c>
      <c r="J104" s="1104">
        <v>484709</v>
      </c>
      <c r="K104" s="1104">
        <v>799425</v>
      </c>
      <c r="L104" s="1104">
        <v>1702923</v>
      </c>
      <c r="M104" s="1106">
        <v>1632344</v>
      </c>
      <c r="N104" s="1159">
        <v>1563029</v>
      </c>
      <c r="O104" s="1104">
        <v>1877745</v>
      </c>
      <c r="P104" s="1107">
        <f t="shared" si="3"/>
        <v>2327526</v>
      </c>
      <c r="Q104" s="1107">
        <f t="shared" si="3"/>
        <v>2186368</v>
      </c>
      <c r="R104" s="1107">
        <f t="shared" si="3"/>
        <v>2047738</v>
      </c>
      <c r="S104" s="1107">
        <f t="shared" si="2"/>
        <v>2677170</v>
      </c>
    </row>
    <row r="105" spans="1:19">
      <c r="A105" s="1015">
        <v>81</v>
      </c>
      <c r="B105" s="1015" t="s">
        <v>4034</v>
      </c>
      <c r="C105" s="1103" t="s">
        <v>7541</v>
      </c>
      <c r="D105" s="1015" t="s">
        <v>7424</v>
      </c>
      <c r="E105" s="1104">
        <v>54002</v>
      </c>
      <c r="F105" s="1105" t="s">
        <v>7592</v>
      </c>
      <c r="G105" s="1104">
        <v>1085398</v>
      </c>
      <c r="H105" s="1104">
        <v>624603</v>
      </c>
      <c r="I105" s="1104">
        <v>554024</v>
      </c>
      <c r="J105" s="1104">
        <v>484709</v>
      </c>
      <c r="K105" s="1104">
        <v>799425</v>
      </c>
      <c r="L105" s="1104">
        <v>1928743</v>
      </c>
      <c r="M105" s="1106">
        <v>1858164</v>
      </c>
      <c r="N105" s="1159">
        <v>1788849</v>
      </c>
      <c r="O105" s="1104">
        <v>2103565</v>
      </c>
      <c r="P105" s="1107">
        <f t="shared" si="3"/>
        <v>2553346</v>
      </c>
      <c r="Q105" s="1107">
        <f t="shared" si="3"/>
        <v>2412188</v>
      </c>
      <c r="R105" s="1107">
        <f t="shared" si="3"/>
        <v>2273558</v>
      </c>
      <c r="S105" s="1107">
        <f t="shared" si="2"/>
        <v>2902990</v>
      </c>
    </row>
    <row r="106" spans="1:19">
      <c r="A106" s="1015">
        <v>82</v>
      </c>
      <c r="B106" s="1015" t="s">
        <v>7593</v>
      </c>
      <c r="C106" s="1103" t="s">
        <v>7517</v>
      </c>
      <c r="D106" s="1015" t="s">
        <v>7424</v>
      </c>
      <c r="E106" s="1104">
        <v>675025</v>
      </c>
      <c r="F106" s="1105" t="s">
        <v>7592</v>
      </c>
      <c r="G106" s="1104">
        <v>1411235</v>
      </c>
      <c r="H106" s="1104">
        <v>624603</v>
      </c>
      <c r="I106" s="1104">
        <v>554024</v>
      </c>
      <c r="J106" s="1104">
        <v>484709</v>
      </c>
      <c r="K106" s="1104">
        <v>799425</v>
      </c>
      <c r="L106" s="1104">
        <v>2293137</v>
      </c>
      <c r="M106" s="1106">
        <v>2222558</v>
      </c>
      <c r="N106" s="1159">
        <v>2153243</v>
      </c>
      <c r="O106" s="1104">
        <v>2467959</v>
      </c>
      <c r="P106" s="1107">
        <f t="shared" si="3"/>
        <v>2917740</v>
      </c>
      <c r="Q106" s="1107">
        <f t="shared" si="3"/>
        <v>2776582</v>
      </c>
      <c r="R106" s="1107">
        <f t="shared" si="3"/>
        <v>2637952</v>
      </c>
      <c r="S106" s="1107">
        <f t="shared" si="2"/>
        <v>3267384</v>
      </c>
    </row>
    <row r="107" spans="1:19">
      <c r="A107" s="1015">
        <v>83</v>
      </c>
      <c r="B107" s="1015" t="s">
        <v>7594</v>
      </c>
      <c r="C107" s="1103" t="s">
        <v>7521</v>
      </c>
      <c r="D107" s="1015" t="s">
        <v>7424</v>
      </c>
      <c r="E107" s="1104">
        <v>705026</v>
      </c>
      <c r="F107" s="1105" t="s">
        <v>7573</v>
      </c>
      <c r="G107" s="1104">
        <v>1896437</v>
      </c>
      <c r="H107" s="1104">
        <v>687238</v>
      </c>
      <c r="I107" s="1104">
        <v>609581</v>
      </c>
      <c r="J107" s="1104">
        <v>533315</v>
      </c>
      <c r="K107" s="1104">
        <v>879590</v>
      </c>
      <c r="L107" s="1104">
        <v>2666669</v>
      </c>
      <c r="M107" s="1106">
        <v>2589012</v>
      </c>
      <c r="N107" s="1159">
        <v>2512746</v>
      </c>
      <c r="O107" s="1104">
        <v>2859021</v>
      </c>
      <c r="P107" s="1107">
        <f t="shared" si="3"/>
        <v>3353907</v>
      </c>
      <c r="Q107" s="1107">
        <f t="shared" si="3"/>
        <v>3198593</v>
      </c>
      <c r="R107" s="1107">
        <f t="shared" si="3"/>
        <v>3046061</v>
      </c>
      <c r="S107" s="1107">
        <f t="shared" si="2"/>
        <v>3738611</v>
      </c>
    </row>
    <row r="108" spans="1:19">
      <c r="A108" s="1015">
        <v>84</v>
      </c>
      <c r="B108" s="1015" t="s">
        <v>7595</v>
      </c>
      <c r="C108" s="1103" t="s">
        <v>7596</v>
      </c>
      <c r="D108" s="1015" t="s">
        <v>7424</v>
      </c>
      <c r="E108" s="1104">
        <v>735027</v>
      </c>
      <c r="F108" s="1105" t="s">
        <v>7573</v>
      </c>
      <c r="G108" s="1104">
        <v>2263892</v>
      </c>
      <c r="H108" s="1104">
        <v>687238</v>
      </c>
      <c r="I108" s="1104">
        <v>609581</v>
      </c>
      <c r="J108" s="1104">
        <v>533315</v>
      </c>
      <c r="K108" s="1104">
        <v>879590</v>
      </c>
      <c r="L108" s="1104">
        <v>2943600</v>
      </c>
      <c r="M108" s="1106">
        <v>2865943</v>
      </c>
      <c r="N108" s="1159">
        <v>2789677</v>
      </c>
      <c r="O108" s="1104">
        <v>3135952</v>
      </c>
      <c r="P108" s="1107">
        <f t="shared" si="3"/>
        <v>3630838</v>
      </c>
      <c r="Q108" s="1107">
        <f t="shared" si="3"/>
        <v>3475524</v>
      </c>
      <c r="R108" s="1107">
        <f t="shared" si="3"/>
        <v>3322992</v>
      </c>
      <c r="S108" s="1107">
        <f t="shared" si="2"/>
        <v>4015542</v>
      </c>
    </row>
    <row r="109" spans="1:19">
      <c r="A109" s="1015">
        <v>85</v>
      </c>
      <c r="B109" s="1015" t="s">
        <v>7597</v>
      </c>
      <c r="C109" s="1103" t="s">
        <v>7567</v>
      </c>
      <c r="D109" s="1015" t="s">
        <v>7424</v>
      </c>
      <c r="E109" s="1104">
        <v>765028</v>
      </c>
      <c r="F109" s="1105" t="s">
        <v>7573</v>
      </c>
      <c r="G109" s="1104">
        <v>2973986</v>
      </c>
      <c r="H109" s="1104">
        <v>687238</v>
      </c>
      <c r="I109" s="1104">
        <v>609581</v>
      </c>
      <c r="J109" s="1104">
        <v>533315</v>
      </c>
      <c r="K109" s="1104">
        <v>879590</v>
      </c>
      <c r="L109" s="1104">
        <v>3391305</v>
      </c>
      <c r="M109" s="1106">
        <v>3313648</v>
      </c>
      <c r="N109" s="1159">
        <v>3237382</v>
      </c>
      <c r="O109" s="1104">
        <v>3583657</v>
      </c>
      <c r="P109" s="1107">
        <f t="shared" si="3"/>
        <v>4078543</v>
      </c>
      <c r="Q109" s="1107">
        <f t="shared" si="3"/>
        <v>3923229</v>
      </c>
      <c r="R109" s="1107">
        <f t="shared" si="3"/>
        <v>3770697</v>
      </c>
      <c r="S109" s="1107">
        <f t="shared" si="2"/>
        <v>4463247</v>
      </c>
    </row>
    <row r="110" spans="1:19">
      <c r="A110" s="1015">
        <v>86</v>
      </c>
      <c r="B110" s="1015" t="s">
        <v>7598</v>
      </c>
      <c r="C110" s="1103" t="s">
        <v>7569</v>
      </c>
      <c r="D110" s="1015" t="s">
        <v>7424</v>
      </c>
      <c r="E110" s="1104">
        <v>810029</v>
      </c>
      <c r="F110" s="1105" t="s">
        <v>7573</v>
      </c>
      <c r="G110" s="1104">
        <v>3818900</v>
      </c>
      <c r="H110" s="1104">
        <v>687238</v>
      </c>
      <c r="I110" s="1104">
        <v>609581</v>
      </c>
      <c r="J110" s="1104">
        <v>533315</v>
      </c>
      <c r="K110" s="1104">
        <v>879590</v>
      </c>
      <c r="L110" s="1104">
        <v>3987190</v>
      </c>
      <c r="M110" s="1106">
        <v>3909533</v>
      </c>
      <c r="N110" s="1159">
        <v>3833267</v>
      </c>
      <c r="O110" s="1104">
        <v>4179542</v>
      </c>
      <c r="P110" s="1107">
        <f t="shared" si="3"/>
        <v>4674428</v>
      </c>
      <c r="Q110" s="1107">
        <f t="shared" si="3"/>
        <v>4519114</v>
      </c>
      <c r="R110" s="1107">
        <f t="shared" si="3"/>
        <v>4366582</v>
      </c>
      <c r="S110" s="1107">
        <f t="shared" si="2"/>
        <v>5059132</v>
      </c>
    </row>
    <row r="111" spans="1:19">
      <c r="A111" s="1015">
        <v>87</v>
      </c>
      <c r="B111" s="1015" t="s">
        <v>7599</v>
      </c>
      <c r="C111" s="1103" t="s">
        <v>7600</v>
      </c>
      <c r="D111" s="1015" t="s">
        <v>7424</v>
      </c>
      <c r="E111" s="1104">
        <v>82503</v>
      </c>
      <c r="F111" s="1105" t="s">
        <v>7573</v>
      </c>
      <c r="G111" s="1104">
        <v>4110300</v>
      </c>
      <c r="H111" s="1104">
        <v>687238</v>
      </c>
      <c r="I111" s="1104">
        <v>609581</v>
      </c>
      <c r="J111" s="1104">
        <v>533315</v>
      </c>
      <c r="K111" s="1104">
        <v>879590</v>
      </c>
      <c r="L111" s="1104">
        <v>4192184</v>
      </c>
      <c r="M111" s="1106">
        <v>4114527</v>
      </c>
      <c r="N111" s="1159">
        <v>4038261</v>
      </c>
      <c r="O111" s="1104">
        <v>4384536</v>
      </c>
      <c r="P111" s="1107">
        <f t="shared" si="3"/>
        <v>4879422</v>
      </c>
      <c r="Q111" s="1107">
        <f t="shared" si="3"/>
        <v>4724108</v>
      </c>
      <c r="R111" s="1107">
        <f t="shared" si="3"/>
        <v>4571576</v>
      </c>
      <c r="S111" s="1107">
        <f t="shared" si="2"/>
        <v>5264126</v>
      </c>
    </row>
    <row r="112" spans="1:19">
      <c r="A112" s="1015">
        <v>88</v>
      </c>
      <c r="B112" s="1015" t="s">
        <v>7601</v>
      </c>
      <c r="C112" s="1103" t="s">
        <v>7577</v>
      </c>
      <c r="D112" s="1015" t="s">
        <v>7424</v>
      </c>
      <c r="E112" s="1104">
        <v>840031</v>
      </c>
      <c r="F112" s="1105" t="s">
        <v>7573</v>
      </c>
      <c r="G112" s="1104">
        <v>4653327</v>
      </c>
      <c r="H112" s="1104">
        <v>687238</v>
      </c>
      <c r="I112" s="1104">
        <v>609581</v>
      </c>
      <c r="J112" s="1104">
        <v>533315</v>
      </c>
      <c r="K112" s="1104">
        <v>879590</v>
      </c>
      <c r="L112" s="1104">
        <v>4393718</v>
      </c>
      <c r="M112" s="1106">
        <v>4316061</v>
      </c>
      <c r="N112" s="1159">
        <v>4239795</v>
      </c>
      <c r="O112" s="1104">
        <v>4586070</v>
      </c>
      <c r="P112" s="1107">
        <f t="shared" si="3"/>
        <v>5080956</v>
      </c>
      <c r="Q112" s="1107">
        <f t="shared" si="3"/>
        <v>4925642</v>
      </c>
      <c r="R112" s="1107">
        <f t="shared" si="3"/>
        <v>4773110</v>
      </c>
      <c r="S112" s="1107">
        <f t="shared" si="2"/>
        <v>5465660</v>
      </c>
    </row>
    <row r="113" spans="1:19">
      <c r="A113" s="1015">
        <v>89</v>
      </c>
      <c r="B113" s="1015" t="s">
        <v>7602</v>
      </c>
      <c r="C113" s="1103" t="s">
        <v>7603</v>
      </c>
      <c r="D113" s="1015" t="s">
        <v>7424</v>
      </c>
      <c r="E113" s="1104">
        <v>870032</v>
      </c>
      <c r="F113" s="1105" t="s">
        <v>7573</v>
      </c>
      <c r="G113" s="1104">
        <v>5492391</v>
      </c>
      <c r="H113" s="1104">
        <v>687238</v>
      </c>
      <c r="I113" s="1104">
        <v>609581</v>
      </c>
      <c r="J113" s="1104">
        <v>533315</v>
      </c>
      <c r="K113" s="1104">
        <v>879590</v>
      </c>
      <c r="L113" s="1104">
        <v>4874674</v>
      </c>
      <c r="M113" s="1106">
        <v>4797017</v>
      </c>
      <c r="N113" s="1159">
        <v>4720751</v>
      </c>
      <c r="O113" s="1104">
        <v>5067026</v>
      </c>
      <c r="P113" s="1107">
        <f t="shared" si="3"/>
        <v>5561912</v>
      </c>
      <c r="Q113" s="1107">
        <f t="shared" si="3"/>
        <v>5406598</v>
      </c>
      <c r="R113" s="1107">
        <f t="shared" si="3"/>
        <v>5254066</v>
      </c>
      <c r="S113" s="1107">
        <f t="shared" si="2"/>
        <v>5946616</v>
      </c>
    </row>
    <row r="114" spans="1:19">
      <c r="A114" s="1015">
        <v>90</v>
      </c>
      <c r="B114" s="1015" t="s">
        <v>7604</v>
      </c>
      <c r="C114" s="1103" t="s">
        <v>7584</v>
      </c>
      <c r="D114" s="1015" t="s">
        <v>7424</v>
      </c>
      <c r="E114" s="1104">
        <v>885032</v>
      </c>
      <c r="F114" s="1105" t="s">
        <v>7573</v>
      </c>
      <c r="G114" s="1104">
        <v>7004354</v>
      </c>
      <c r="H114" s="1104">
        <v>687238</v>
      </c>
      <c r="I114" s="1104">
        <v>609581</v>
      </c>
      <c r="J114" s="1104">
        <v>533315</v>
      </c>
      <c r="K114" s="1104">
        <v>879590</v>
      </c>
      <c r="L114" s="1104">
        <v>5802900</v>
      </c>
      <c r="M114" s="1106">
        <v>5725243</v>
      </c>
      <c r="N114" s="1159">
        <v>5648977</v>
      </c>
      <c r="O114" s="1104">
        <v>5995252</v>
      </c>
      <c r="P114" s="1107">
        <f t="shared" si="3"/>
        <v>6490138</v>
      </c>
      <c r="Q114" s="1107">
        <f t="shared" si="3"/>
        <v>6334824</v>
      </c>
      <c r="R114" s="1107">
        <f t="shared" si="3"/>
        <v>6182292</v>
      </c>
      <c r="S114" s="1107">
        <f t="shared" si="2"/>
        <v>6874842</v>
      </c>
    </row>
    <row r="115" spans="1:19">
      <c r="A115" s="1015">
        <v>91</v>
      </c>
      <c r="B115" s="1015" t="s">
        <v>7605</v>
      </c>
      <c r="C115" s="1103" t="s">
        <v>7586</v>
      </c>
      <c r="D115" s="1015" t="s">
        <v>7424</v>
      </c>
      <c r="E115" s="1104">
        <v>945034</v>
      </c>
      <c r="F115" s="1105" t="s">
        <v>7573</v>
      </c>
      <c r="G115" s="1104">
        <v>8157167</v>
      </c>
      <c r="H115" s="1104">
        <v>687238</v>
      </c>
      <c r="I115" s="1104">
        <v>609581</v>
      </c>
      <c r="J115" s="1104">
        <v>533315</v>
      </c>
      <c r="K115" s="1104">
        <v>879590</v>
      </c>
      <c r="L115" s="1104">
        <v>6493944</v>
      </c>
      <c r="M115" s="1106">
        <v>6416287</v>
      </c>
      <c r="N115" s="1159">
        <v>6340021</v>
      </c>
      <c r="O115" s="1104">
        <v>6686296</v>
      </c>
      <c r="P115" s="1107">
        <f t="shared" si="3"/>
        <v>7181182</v>
      </c>
      <c r="Q115" s="1107">
        <f t="shared" si="3"/>
        <v>7025868</v>
      </c>
      <c r="R115" s="1107">
        <f t="shared" si="3"/>
        <v>6873336</v>
      </c>
      <c r="S115" s="1107">
        <f t="shared" si="2"/>
        <v>7565886</v>
      </c>
    </row>
    <row r="116" spans="1:19">
      <c r="A116" s="1015">
        <v>92</v>
      </c>
      <c r="B116" s="1015" t="s">
        <v>7606</v>
      </c>
      <c r="C116" s="1103" t="s">
        <v>7588</v>
      </c>
      <c r="D116" s="1015" t="s">
        <v>7424</v>
      </c>
      <c r="E116" s="1104">
        <v>1080039</v>
      </c>
      <c r="F116" s="1105" t="s">
        <v>7573</v>
      </c>
      <c r="G116" s="1104">
        <v>11463578</v>
      </c>
      <c r="H116" s="1104">
        <v>687238</v>
      </c>
      <c r="I116" s="1104">
        <v>609581</v>
      </c>
      <c r="J116" s="1104">
        <v>533315</v>
      </c>
      <c r="K116" s="1104">
        <v>879590</v>
      </c>
      <c r="L116" s="1104">
        <v>8599570</v>
      </c>
      <c r="M116" s="1106">
        <v>8521913</v>
      </c>
      <c r="N116" s="1159">
        <v>8445647</v>
      </c>
      <c r="O116" s="1104">
        <v>8791922</v>
      </c>
      <c r="P116" s="1107">
        <f t="shared" si="3"/>
        <v>9286808</v>
      </c>
      <c r="Q116" s="1107">
        <f t="shared" si="3"/>
        <v>9131494</v>
      </c>
      <c r="R116" s="1107">
        <f t="shared" si="3"/>
        <v>8978962</v>
      </c>
      <c r="S116" s="1107">
        <f t="shared" si="2"/>
        <v>9671512</v>
      </c>
    </row>
    <row r="117" spans="1:19">
      <c r="A117" s="1015">
        <v>93</v>
      </c>
      <c r="B117" s="1015" t="s">
        <v>7607</v>
      </c>
      <c r="C117" s="1103" t="s">
        <v>7608</v>
      </c>
      <c r="D117" s="1015" t="s">
        <v>7424</v>
      </c>
      <c r="E117" s="1104">
        <v>1245045</v>
      </c>
      <c r="F117" s="1105" t="s">
        <v>7573</v>
      </c>
      <c r="G117" s="1104">
        <v>12790430</v>
      </c>
      <c r="H117" s="1104">
        <v>687238</v>
      </c>
      <c r="I117" s="1104">
        <v>609581</v>
      </c>
      <c r="J117" s="1104">
        <v>533315</v>
      </c>
      <c r="K117" s="1104">
        <v>879590</v>
      </c>
      <c r="L117" s="1104">
        <v>9555380</v>
      </c>
      <c r="M117" s="1106">
        <v>9477723</v>
      </c>
      <c r="N117" s="1159">
        <v>9401457</v>
      </c>
      <c r="O117" s="1104">
        <v>9747732</v>
      </c>
      <c r="P117" s="1107">
        <f t="shared" si="3"/>
        <v>10242618</v>
      </c>
      <c r="Q117" s="1107">
        <f t="shared" si="3"/>
        <v>10087304</v>
      </c>
      <c r="R117" s="1107">
        <f t="shared" si="3"/>
        <v>9934772</v>
      </c>
      <c r="S117" s="1107">
        <f t="shared" si="2"/>
        <v>10627322</v>
      </c>
    </row>
    <row r="118" spans="1:19">
      <c r="A118" s="1015">
        <v>94</v>
      </c>
      <c r="B118" s="1015" t="s">
        <v>7609</v>
      </c>
      <c r="C118" s="1103" t="s">
        <v>7610</v>
      </c>
      <c r="D118" s="1015" t="s">
        <v>7424</v>
      </c>
      <c r="E118" s="1104">
        <v>2115077</v>
      </c>
      <c r="F118" s="1105" t="s">
        <v>7573</v>
      </c>
      <c r="G118" s="1104">
        <v>26563873</v>
      </c>
      <c r="H118" s="1104">
        <v>687238</v>
      </c>
      <c r="I118" s="1104">
        <v>609581</v>
      </c>
      <c r="J118" s="1104">
        <v>533315</v>
      </c>
      <c r="K118" s="1104">
        <v>879590</v>
      </c>
      <c r="L118" s="1104">
        <v>22592400</v>
      </c>
      <c r="M118" s="1106">
        <v>22514743</v>
      </c>
      <c r="N118" s="1159">
        <v>22438477</v>
      </c>
      <c r="O118" s="1104">
        <v>22784752</v>
      </c>
      <c r="P118" s="1107">
        <f t="shared" si="3"/>
        <v>23279638</v>
      </c>
      <c r="Q118" s="1107">
        <f t="shared" si="3"/>
        <v>23124324</v>
      </c>
      <c r="R118" s="1107">
        <f t="shared" si="3"/>
        <v>22971792</v>
      </c>
      <c r="S118" s="1107">
        <f t="shared" si="2"/>
        <v>23664342</v>
      </c>
    </row>
    <row r="119" spans="1:19">
      <c r="A119" s="1015">
        <v>95</v>
      </c>
      <c r="B119" s="1015" t="s">
        <v>7611</v>
      </c>
      <c r="C119" s="1103" t="s">
        <v>7612</v>
      </c>
      <c r="D119" s="1015" t="s">
        <v>7424</v>
      </c>
      <c r="E119" s="1104">
        <v>2325085</v>
      </c>
      <c r="F119" s="1105" t="s">
        <v>7573</v>
      </c>
      <c r="G119" s="1104">
        <v>36309348</v>
      </c>
      <c r="H119" s="1104">
        <v>687238</v>
      </c>
      <c r="I119" s="1104">
        <v>609581</v>
      </c>
      <c r="J119" s="1104">
        <v>533315</v>
      </c>
      <c r="K119" s="1104">
        <v>879590</v>
      </c>
      <c r="L119" s="1104">
        <v>30062787</v>
      </c>
      <c r="M119" s="1106">
        <v>29985130</v>
      </c>
      <c r="N119" s="1159">
        <v>29908864</v>
      </c>
      <c r="O119" s="1104">
        <v>30255139</v>
      </c>
      <c r="P119" s="1107">
        <f t="shared" si="3"/>
        <v>30750025</v>
      </c>
      <c r="Q119" s="1107">
        <f t="shared" si="3"/>
        <v>30594711</v>
      </c>
      <c r="R119" s="1107">
        <f t="shared" si="3"/>
        <v>30442179</v>
      </c>
      <c r="S119" s="1107">
        <f t="shared" si="2"/>
        <v>31134729</v>
      </c>
    </row>
    <row r="120" spans="1:19">
      <c r="A120" s="1015"/>
      <c r="B120" s="1102" t="s">
        <v>7613</v>
      </c>
      <c r="C120" s="1099" t="s">
        <v>7614</v>
      </c>
      <c r="D120" s="1015"/>
      <c r="E120" s="1104" t="s">
        <v>7446</v>
      </c>
      <c r="F120" s="1105"/>
      <c r="G120" s="1104"/>
      <c r="H120" s="1104"/>
      <c r="I120" s="1104"/>
      <c r="J120" s="1104"/>
      <c r="K120" s="1104"/>
      <c r="L120" s="1104"/>
      <c r="M120" s="1106"/>
      <c r="N120" s="1159"/>
      <c r="O120" s="1104"/>
      <c r="P120" s="1107">
        <f t="shared" si="3"/>
        <v>0</v>
      </c>
      <c r="Q120" s="1107">
        <f t="shared" si="3"/>
        <v>0</v>
      </c>
      <c r="R120" s="1107">
        <f t="shared" si="3"/>
        <v>0</v>
      </c>
      <c r="S120" s="1107">
        <f t="shared" si="2"/>
        <v>0</v>
      </c>
    </row>
    <row r="121" spans="1:19">
      <c r="A121" s="1015">
        <v>96</v>
      </c>
      <c r="B121" s="1015" t="s">
        <v>7615</v>
      </c>
      <c r="C121" s="1103" t="s">
        <v>7559</v>
      </c>
      <c r="D121" s="1015" t="s">
        <v>3127</v>
      </c>
      <c r="E121" s="1104">
        <v>82222</v>
      </c>
      <c r="F121" s="1105" t="s">
        <v>7616</v>
      </c>
      <c r="G121" s="1104">
        <v>871689</v>
      </c>
      <c r="H121" s="1104">
        <v>579367</v>
      </c>
      <c r="I121" s="1104">
        <v>513900</v>
      </c>
      <c r="J121" s="1104">
        <v>449605</v>
      </c>
      <c r="K121" s="1104">
        <v>741527</v>
      </c>
      <c r="L121" s="1104">
        <v>1334893</v>
      </c>
      <c r="M121" s="1106">
        <v>1269426</v>
      </c>
      <c r="N121" s="1159">
        <v>1205131</v>
      </c>
      <c r="O121" s="1104">
        <v>1497053</v>
      </c>
      <c r="P121" s="1107">
        <f t="shared" si="3"/>
        <v>1914260</v>
      </c>
      <c r="Q121" s="1107">
        <f t="shared" si="3"/>
        <v>1783326</v>
      </c>
      <c r="R121" s="1107">
        <f t="shared" si="3"/>
        <v>1654736</v>
      </c>
      <c r="S121" s="1107">
        <f t="shared" si="2"/>
        <v>2238580</v>
      </c>
    </row>
    <row r="122" spans="1:19">
      <c r="A122" s="1015">
        <v>97</v>
      </c>
      <c r="B122" s="1015" t="s">
        <v>7617</v>
      </c>
      <c r="C122" s="1103" t="s">
        <v>7541</v>
      </c>
      <c r="D122" s="1015" t="s">
        <v>3127</v>
      </c>
      <c r="E122" s="1104">
        <v>11746</v>
      </c>
      <c r="F122" s="1105" t="s">
        <v>7616</v>
      </c>
      <c r="G122" s="1104">
        <v>1419834</v>
      </c>
      <c r="H122" s="1104">
        <v>579367</v>
      </c>
      <c r="I122" s="1104">
        <v>513900</v>
      </c>
      <c r="J122" s="1104">
        <v>449605</v>
      </c>
      <c r="K122" s="1104">
        <v>741527</v>
      </c>
      <c r="L122" s="1104">
        <v>1715190</v>
      </c>
      <c r="M122" s="1106">
        <v>1649723</v>
      </c>
      <c r="N122" s="1159">
        <v>1585428</v>
      </c>
      <c r="O122" s="1104">
        <v>1877350</v>
      </c>
      <c r="P122" s="1107">
        <f t="shared" si="3"/>
        <v>2294557</v>
      </c>
      <c r="Q122" s="1107">
        <f t="shared" si="3"/>
        <v>2163623</v>
      </c>
      <c r="R122" s="1107">
        <f t="shared" si="3"/>
        <v>2035033</v>
      </c>
      <c r="S122" s="1107">
        <f t="shared" si="2"/>
        <v>2618877</v>
      </c>
    </row>
    <row r="123" spans="1:19">
      <c r="A123" s="1015">
        <v>98</v>
      </c>
      <c r="B123" s="1015" t="s">
        <v>7618</v>
      </c>
      <c r="C123" s="1103" t="s">
        <v>7527</v>
      </c>
      <c r="D123" s="1015" t="s">
        <v>3127</v>
      </c>
      <c r="E123" s="1104">
        <v>133121</v>
      </c>
      <c r="F123" s="1105" t="s">
        <v>7616</v>
      </c>
      <c r="G123" s="1104">
        <v>1729964</v>
      </c>
      <c r="H123" s="1104">
        <v>579367</v>
      </c>
      <c r="I123" s="1104">
        <v>513900</v>
      </c>
      <c r="J123" s="1104">
        <v>449605</v>
      </c>
      <c r="K123" s="1104">
        <v>741527</v>
      </c>
      <c r="L123" s="1104">
        <v>1953290</v>
      </c>
      <c r="M123" s="1106">
        <v>1887823</v>
      </c>
      <c r="N123" s="1159">
        <v>1823528</v>
      </c>
      <c r="O123" s="1104">
        <v>2115450</v>
      </c>
      <c r="P123" s="1107">
        <f t="shared" si="3"/>
        <v>2532657</v>
      </c>
      <c r="Q123" s="1107">
        <f t="shared" si="3"/>
        <v>2401723</v>
      </c>
      <c r="R123" s="1107">
        <f t="shared" si="3"/>
        <v>2273133</v>
      </c>
      <c r="S123" s="1107">
        <f t="shared" si="2"/>
        <v>2856977</v>
      </c>
    </row>
    <row r="124" spans="1:19">
      <c r="A124" s="1015">
        <v>99</v>
      </c>
      <c r="B124" s="1015" t="s">
        <v>7619</v>
      </c>
      <c r="C124" s="1103" t="s">
        <v>7529</v>
      </c>
      <c r="D124" s="1015" t="s">
        <v>3127</v>
      </c>
      <c r="E124" s="1104">
        <v>17619</v>
      </c>
      <c r="F124" s="1105" t="s">
        <v>7616</v>
      </c>
      <c r="G124" s="1104">
        <v>1900450</v>
      </c>
      <c r="H124" s="1104">
        <v>579367</v>
      </c>
      <c r="I124" s="1104">
        <v>513900</v>
      </c>
      <c r="J124" s="1104">
        <v>449605</v>
      </c>
      <c r="K124" s="1104">
        <v>741527</v>
      </c>
      <c r="L124" s="1104">
        <v>2118638</v>
      </c>
      <c r="M124" s="1106">
        <v>2053171</v>
      </c>
      <c r="N124" s="1159">
        <v>1988876</v>
      </c>
      <c r="O124" s="1104">
        <v>2280798</v>
      </c>
      <c r="P124" s="1107">
        <f t="shared" si="3"/>
        <v>2698005</v>
      </c>
      <c r="Q124" s="1107">
        <f t="shared" si="3"/>
        <v>2567071</v>
      </c>
      <c r="R124" s="1107">
        <f t="shared" si="3"/>
        <v>2438481</v>
      </c>
      <c r="S124" s="1107">
        <f t="shared" si="2"/>
        <v>3022325</v>
      </c>
    </row>
    <row r="125" spans="1:19">
      <c r="A125" s="1015">
        <v>100</v>
      </c>
      <c r="B125" s="1015" t="s">
        <v>7620</v>
      </c>
      <c r="C125" s="1103" t="s">
        <v>7549</v>
      </c>
      <c r="D125" s="1015" t="s">
        <v>3127</v>
      </c>
      <c r="E125" s="1104">
        <v>221216</v>
      </c>
      <c r="F125" s="1105" t="s">
        <v>7616</v>
      </c>
      <c r="G125" s="1104">
        <v>2279943</v>
      </c>
      <c r="H125" s="1104">
        <v>579367</v>
      </c>
      <c r="I125" s="1104">
        <v>513900</v>
      </c>
      <c r="J125" s="1104">
        <v>449605</v>
      </c>
      <c r="K125" s="1104">
        <v>741527</v>
      </c>
      <c r="L125" s="1104">
        <v>2349372</v>
      </c>
      <c r="M125" s="1106">
        <v>2283905</v>
      </c>
      <c r="N125" s="1159">
        <v>2219610</v>
      </c>
      <c r="O125" s="1104">
        <v>2511532</v>
      </c>
      <c r="P125" s="1107">
        <f t="shared" si="3"/>
        <v>2928739</v>
      </c>
      <c r="Q125" s="1107">
        <f t="shared" si="3"/>
        <v>2797805</v>
      </c>
      <c r="R125" s="1107">
        <f t="shared" si="3"/>
        <v>2669215</v>
      </c>
      <c r="S125" s="1107">
        <f t="shared" si="2"/>
        <v>3253059</v>
      </c>
    </row>
    <row r="126" spans="1:19">
      <c r="A126" s="1015">
        <v>101</v>
      </c>
      <c r="B126" s="1015" t="s">
        <v>7621</v>
      </c>
      <c r="C126" s="1103" t="s">
        <v>7521</v>
      </c>
      <c r="D126" s="1015" t="s">
        <v>3127</v>
      </c>
      <c r="E126" s="1104">
        <v>234919</v>
      </c>
      <c r="F126" s="1105" t="s">
        <v>7622</v>
      </c>
      <c r="G126" s="1104">
        <v>3161607</v>
      </c>
      <c r="H126" s="1104">
        <v>642002</v>
      </c>
      <c r="I126" s="1104">
        <v>569457</v>
      </c>
      <c r="J126" s="1104">
        <v>498211</v>
      </c>
      <c r="K126" s="1104">
        <v>821693</v>
      </c>
      <c r="L126" s="1104">
        <v>3024634</v>
      </c>
      <c r="M126" s="1106">
        <v>2952089</v>
      </c>
      <c r="N126" s="1159">
        <v>2880843</v>
      </c>
      <c r="O126" s="1104">
        <v>3204325</v>
      </c>
      <c r="P126" s="1107">
        <f t="shared" si="3"/>
        <v>3666636</v>
      </c>
      <c r="Q126" s="1107">
        <f t="shared" si="3"/>
        <v>3521546</v>
      </c>
      <c r="R126" s="1107">
        <f t="shared" si="3"/>
        <v>3379054</v>
      </c>
      <c r="S126" s="1107">
        <f t="shared" si="2"/>
        <v>4026018</v>
      </c>
    </row>
    <row r="127" spans="1:19">
      <c r="A127" s="1015">
        <v>102</v>
      </c>
      <c r="B127" s="1015" t="s">
        <v>7623</v>
      </c>
      <c r="C127" s="1103" t="s">
        <v>7565</v>
      </c>
      <c r="D127" s="1015" t="s">
        <v>3127</v>
      </c>
      <c r="E127" s="1104">
        <v>250581</v>
      </c>
      <c r="F127" s="1105" t="s">
        <v>7622</v>
      </c>
      <c r="G127" s="1104">
        <v>3962098</v>
      </c>
      <c r="H127" s="1104">
        <v>642002</v>
      </c>
      <c r="I127" s="1104">
        <v>569457</v>
      </c>
      <c r="J127" s="1104">
        <v>498211</v>
      </c>
      <c r="K127" s="1104">
        <v>821693</v>
      </c>
      <c r="L127" s="1104">
        <v>3584077</v>
      </c>
      <c r="M127" s="1106">
        <v>3511532</v>
      </c>
      <c r="N127" s="1159">
        <v>3440286</v>
      </c>
      <c r="O127" s="1104">
        <v>3763768</v>
      </c>
      <c r="P127" s="1107">
        <f t="shared" si="3"/>
        <v>4226079</v>
      </c>
      <c r="Q127" s="1107">
        <f t="shared" si="3"/>
        <v>4080989</v>
      </c>
      <c r="R127" s="1107">
        <f t="shared" si="3"/>
        <v>3938497</v>
      </c>
      <c r="S127" s="1107">
        <f t="shared" si="2"/>
        <v>4585461</v>
      </c>
    </row>
    <row r="128" spans="1:19">
      <c r="A128" s="1015">
        <v>103</v>
      </c>
      <c r="B128" s="1015" t="s">
        <v>7624</v>
      </c>
      <c r="C128" s="1103" t="s">
        <v>7567</v>
      </c>
      <c r="D128" s="1015" t="s">
        <v>3127</v>
      </c>
      <c r="E128" s="1104">
        <v>264284</v>
      </c>
      <c r="F128" s="1105" t="s">
        <v>7622</v>
      </c>
      <c r="G128" s="1104">
        <v>4598753</v>
      </c>
      <c r="H128" s="1104">
        <v>642002</v>
      </c>
      <c r="I128" s="1104">
        <v>569457</v>
      </c>
      <c r="J128" s="1104">
        <v>498211</v>
      </c>
      <c r="K128" s="1104">
        <v>821693</v>
      </c>
      <c r="L128" s="1104">
        <v>3982694</v>
      </c>
      <c r="M128" s="1106">
        <v>3910149</v>
      </c>
      <c r="N128" s="1159">
        <v>3838903</v>
      </c>
      <c r="O128" s="1104">
        <v>4162385</v>
      </c>
      <c r="P128" s="1107">
        <f t="shared" si="3"/>
        <v>4624696</v>
      </c>
      <c r="Q128" s="1107">
        <f t="shared" si="3"/>
        <v>4479606</v>
      </c>
      <c r="R128" s="1107">
        <f t="shared" si="3"/>
        <v>4337114</v>
      </c>
      <c r="S128" s="1107">
        <f t="shared" si="2"/>
        <v>4984078</v>
      </c>
    </row>
    <row r="129" spans="1:19">
      <c r="A129" s="1015">
        <v>104</v>
      </c>
      <c r="B129" s="1015" t="s">
        <v>7625</v>
      </c>
      <c r="C129" s="1103" t="s">
        <v>7569</v>
      </c>
      <c r="D129" s="1015" t="s">
        <v>3127</v>
      </c>
      <c r="E129" s="1104">
        <v>279946</v>
      </c>
      <c r="F129" s="1105" t="s">
        <v>7573</v>
      </c>
      <c r="G129" s="1104">
        <v>5768420</v>
      </c>
      <c r="H129" s="1104">
        <v>687238</v>
      </c>
      <c r="I129" s="1104">
        <v>609581</v>
      </c>
      <c r="J129" s="1104">
        <v>533315</v>
      </c>
      <c r="K129" s="1104">
        <v>879590</v>
      </c>
      <c r="L129" s="1104">
        <v>4826058</v>
      </c>
      <c r="M129" s="1106">
        <v>4748401</v>
      </c>
      <c r="N129" s="1159">
        <v>4672135</v>
      </c>
      <c r="O129" s="1104">
        <v>5018410</v>
      </c>
      <c r="P129" s="1107">
        <f t="shared" si="3"/>
        <v>5513296</v>
      </c>
      <c r="Q129" s="1107">
        <f t="shared" si="3"/>
        <v>5357982</v>
      </c>
      <c r="R129" s="1107">
        <f t="shared" si="3"/>
        <v>5205450</v>
      </c>
      <c r="S129" s="1107">
        <f t="shared" si="2"/>
        <v>5898000</v>
      </c>
    </row>
    <row r="130" spans="1:19">
      <c r="A130" s="1015">
        <v>105</v>
      </c>
      <c r="B130" s="1015" t="s">
        <v>7626</v>
      </c>
      <c r="C130" s="1103" t="s">
        <v>7600</v>
      </c>
      <c r="D130" s="1015" t="s">
        <v>3127</v>
      </c>
      <c r="E130" s="1104">
        <v>387617</v>
      </c>
      <c r="F130" s="1105" t="s">
        <v>7573</v>
      </c>
      <c r="G130" s="1104">
        <v>7210611</v>
      </c>
      <c r="H130" s="1104">
        <v>687238</v>
      </c>
      <c r="I130" s="1104">
        <v>609581</v>
      </c>
      <c r="J130" s="1104">
        <v>533315</v>
      </c>
      <c r="K130" s="1104">
        <v>879590</v>
      </c>
      <c r="L130" s="1104">
        <v>5898505</v>
      </c>
      <c r="M130" s="1106">
        <v>5820848</v>
      </c>
      <c r="N130" s="1159">
        <v>5744582</v>
      </c>
      <c r="O130" s="1104">
        <v>6090857</v>
      </c>
      <c r="P130" s="1107">
        <f t="shared" si="3"/>
        <v>6585743</v>
      </c>
      <c r="Q130" s="1107">
        <f t="shared" si="3"/>
        <v>6430429</v>
      </c>
      <c r="R130" s="1107">
        <f t="shared" si="3"/>
        <v>6277897</v>
      </c>
      <c r="S130" s="1107">
        <f t="shared" si="2"/>
        <v>6970447</v>
      </c>
    </row>
    <row r="131" spans="1:19">
      <c r="A131" s="1015"/>
      <c r="B131" s="1102" t="s">
        <v>7627</v>
      </c>
      <c r="C131" s="1099" t="s">
        <v>7628</v>
      </c>
      <c r="D131" s="1015"/>
      <c r="E131" s="1104" t="s">
        <v>7446</v>
      </c>
      <c r="F131" s="1105"/>
      <c r="G131" s="1104"/>
      <c r="H131" s="1104"/>
      <c r="I131" s="1104"/>
      <c r="J131" s="1104"/>
      <c r="K131" s="1104"/>
      <c r="L131" s="1104"/>
      <c r="M131" s="1106"/>
      <c r="N131" s="1159"/>
      <c r="O131" s="1104"/>
      <c r="P131" s="1107">
        <f t="shared" si="3"/>
        <v>0</v>
      </c>
      <c r="Q131" s="1107">
        <f t="shared" si="3"/>
        <v>0</v>
      </c>
      <c r="R131" s="1107">
        <f t="shared" si="3"/>
        <v>0</v>
      </c>
      <c r="S131" s="1107">
        <f t="shared" si="2"/>
        <v>0</v>
      </c>
    </row>
    <row r="132" spans="1:19">
      <c r="A132" s="1015">
        <v>106</v>
      </c>
      <c r="B132" s="1015" t="s">
        <v>7629</v>
      </c>
      <c r="C132" s="1103" t="s">
        <v>7630</v>
      </c>
      <c r="D132" s="1015" t="s">
        <v>7424</v>
      </c>
      <c r="E132" s="1104">
        <v>1215044</v>
      </c>
      <c r="F132" s="1105" t="s">
        <v>7631</v>
      </c>
      <c r="G132" s="1104">
        <v>2794100</v>
      </c>
      <c r="H132" s="1104">
        <v>2146801</v>
      </c>
      <c r="I132" s="1104">
        <v>1904237</v>
      </c>
      <c r="J132" s="1104">
        <v>1665926</v>
      </c>
      <c r="K132" s="1104">
        <v>2747902</v>
      </c>
      <c r="L132" s="1104">
        <v>6413862</v>
      </c>
      <c r="M132" s="1106">
        <v>6171298</v>
      </c>
      <c r="N132" s="1159">
        <v>5932987</v>
      </c>
      <c r="O132" s="1104">
        <v>7014963</v>
      </c>
      <c r="P132" s="1107">
        <f t="shared" si="3"/>
        <v>8560663</v>
      </c>
      <c r="Q132" s="1107">
        <f t="shared" si="3"/>
        <v>8075535</v>
      </c>
      <c r="R132" s="1107">
        <f t="shared" si="3"/>
        <v>7598913</v>
      </c>
      <c r="S132" s="1107">
        <f t="shared" si="2"/>
        <v>9762865</v>
      </c>
    </row>
    <row r="133" spans="1:19">
      <c r="A133" s="1015">
        <v>107</v>
      </c>
      <c r="B133" s="1015" t="s">
        <v>7632</v>
      </c>
      <c r="C133" s="1103" t="s">
        <v>7633</v>
      </c>
      <c r="D133" s="1015" t="s">
        <v>7424</v>
      </c>
      <c r="E133" s="1104">
        <v>1770064</v>
      </c>
      <c r="F133" s="1105" t="s">
        <v>7634</v>
      </c>
      <c r="G133" s="1104">
        <v>4205700</v>
      </c>
      <c r="H133" s="1104">
        <v>2960402</v>
      </c>
      <c r="I133" s="1104">
        <v>2625910</v>
      </c>
      <c r="J133" s="1104">
        <v>2297278</v>
      </c>
      <c r="K133" s="1104">
        <v>3789310</v>
      </c>
      <c r="L133" s="1104">
        <v>9281249</v>
      </c>
      <c r="M133" s="1106">
        <v>8946757</v>
      </c>
      <c r="N133" s="1159">
        <v>8618125</v>
      </c>
      <c r="O133" s="1104">
        <v>10110157</v>
      </c>
      <c r="P133" s="1107">
        <f t="shared" si="3"/>
        <v>12241651</v>
      </c>
      <c r="Q133" s="1107">
        <f t="shared" si="3"/>
        <v>11572667</v>
      </c>
      <c r="R133" s="1107">
        <f t="shared" si="3"/>
        <v>10915403</v>
      </c>
      <c r="S133" s="1107">
        <f t="shared" si="2"/>
        <v>13899467</v>
      </c>
    </row>
    <row r="134" spans="1:19">
      <c r="A134" s="1015"/>
      <c r="B134" s="1102" t="s">
        <v>7635</v>
      </c>
      <c r="C134" s="1099" t="s">
        <v>7636</v>
      </c>
      <c r="D134" s="1015"/>
      <c r="E134" s="1104" t="s">
        <v>7446</v>
      </c>
      <c r="F134" s="1105"/>
      <c r="G134" s="1104"/>
      <c r="H134" s="1104"/>
      <c r="I134" s="1104"/>
      <c r="J134" s="1104"/>
      <c r="K134" s="1104"/>
      <c r="L134" s="1104"/>
      <c r="M134" s="1106"/>
      <c r="N134" s="1159"/>
      <c r="O134" s="1104"/>
      <c r="P134" s="1107">
        <f t="shared" si="3"/>
        <v>0</v>
      </c>
      <c r="Q134" s="1107">
        <f t="shared" si="3"/>
        <v>0</v>
      </c>
      <c r="R134" s="1107">
        <f t="shared" si="3"/>
        <v>0</v>
      </c>
      <c r="S134" s="1107">
        <f t="shared" si="2"/>
        <v>0</v>
      </c>
    </row>
    <row r="135" spans="1:19">
      <c r="A135" s="1015">
        <v>108</v>
      </c>
      <c r="B135" s="1015" t="s">
        <v>7637</v>
      </c>
      <c r="C135" s="1103" t="s">
        <v>7541</v>
      </c>
      <c r="D135" s="1015" t="s">
        <v>3127</v>
      </c>
      <c r="E135" s="1104">
        <v>158571</v>
      </c>
      <c r="F135" s="1105" t="s">
        <v>7616</v>
      </c>
      <c r="G135" s="1104">
        <v>471300</v>
      </c>
      <c r="H135" s="1104">
        <v>579367</v>
      </c>
      <c r="I135" s="1104">
        <v>513900</v>
      </c>
      <c r="J135" s="1104">
        <v>449605</v>
      </c>
      <c r="K135" s="1104">
        <v>741527</v>
      </c>
      <c r="L135" s="1104">
        <v>1187485</v>
      </c>
      <c r="M135" s="1106">
        <v>1122018</v>
      </c>
      <c r="N135" s="1159">
        <v>1057723</v>
      </c>
      <c r="O135" s="1104">
        <v>1349645</v>
      </c>
      <c r="P135" s="1107">
        <f t="shared" si="3"/>
        <v>1766852</v>
      </c>
      <c r="Q135" s="1107">
        <f t="shared" si="3"/>
        <v>1635918</v>
      </c>
      <c r="R135" s="1107">
        <f t="shared" si="3"/>
        <v>1507328</v>
      </c>
      <c r="S135" s="1107">
        <f t="shared" si="2"/>
        <v>2091172</v>
      </c>
    </row>
    <row r="136" spans="1:19">
      <c r="A136" s="1015">
        <v>109</v>
      </c>
      <c r="B136" s="1015" t="s">
        <v>7638</v>
      </c>
      <c r="C136" s="1103" t="s">
        <v>7549</v>
      </c>
      <c r="D136" s="1015" t="s">
        <v>3127</v>
      </c>
      <c r="E136" s="1104">
        <v>17619</v>
      </c>
      <c r="F136" s="1105" t="s">
        <v>7622</v>
      </c>
      <c r="G136" s="1104">
        <v>655320</v>
      </c>
      <c r="H136" s="1104">
        <v>642002</v>
      </c>
      <c r="I136" s="1104">
        <v>569457</v>
      </c>
      <c r="J136" s="1104">
        <v>498211</v>
      </c>
      <c r="K136" s="1104">
        <v>821693</v>
      </c>
      <c r="L136" s="1104">
        <v>1443266</v>
      </c>
      <c r="M136" s="1106">
        <v>1370721</v>
      </c>
      <c r="N136" s="1159">
        <v>1299475</v>
      </c>
      <c r="O136" s="1104">
        <v>1622957</v>
      </c>
      <c r="P136" s="1107">
        <f t="shared" si="3"/>
        <v>2085268</v>
      </c>
      <c r="Q136" s="1107">
        <f t="shared" si="3"/>
        <v>1940178</v>
      </c>
      <c r="R136" s="1107">
        <f t="shared" si="3"/>
        <v>1797686</v>
      </c>
      <c r="S136" s="1107">
        <f t="shared" si="2"/>
        <v>2444650</v>
      </c>
    </row>
    <row r="137" spans="1:19">
      <c r="A137" s="1015">
        <v>110</v>
      </c>
      <c r="B137" s="1015" t="s">
        <v>7639</v>
      </c>
      <c r="C137" s="1103" t="s">
        <v>7565</v>
      </c>
      <c r="D137" s="1015" t="s">
        <v>3127</v>
      </c>
      <c r="E137" s="1104">
        <v>17619</v>
      </c>
      <c r="F137" s="1105" t="s">
        <v>7622</v>
      </c>
      <c r="G137" s="1104">
        <v>730500</v>
      </c>
      <c r="H137" s="1104">
        <v>642002</v>
      </c>
      <c r="I137" s="1104">
        <v>569457</v>
      </c>
      <c r="J137" s="1104">
        <v>498211</v>
      </c>
      <c r="K137" s="1104">
        <v>821693</v>
      </c>
      <c r="L137" s="1104">
        <v>1514976</v>
      </c>
      <c r="M137" s="1106">
        <v>1442431</v>
      </c>
      <c r="N137" s="1159">
        <v>1371185</v>
      </c>
      <c r="O137" s="1104">
        <v>1694667</v>
      </c>
      <c r="P137" s="1107">
        <f t="shared" si="3"/>
        <v>2156978</v>
      </c>
      <c r="Q137" s="1107">
        <f t="shared" si="3"/>
        <v>2011888</v>
      </c>
      <c r="R137" s="1107">
        <f t="shared" si="3"/>
        <v>1869396</v>
      </c>
      <c r="S137" s="1107">
        <f t="shared" si="3"/>
        <v>2516360</v>
      </c>
    </row>
    <row r="138" spans="1:19">
      <c r="A138" s="1015">
        <v>111</v>
      </c>
      <c r="B138" s="1015" t="s">
        <v>7640</v>
      </c>
      <c r="C138" s="1103" t="s">
        <v>7569</v>
      </c>
      <c r="D138" s="1015" t="s">
        <v>3127</v>
      </c>
      <c r="E138" s="1104">
        <v>240792</v>
      </c>
      <c r="F138" s="1105" t="s">
        <v>7641</v>
      </c>
      <c r="G138" s="1104">
        <v>891135</v>
      </c>
      <c r="H138" s="1104">
        <v>713335</v>
      </c>
      <c r="I138" s="1104">
        <v>632730</v>
      </c>
      <c r="J138" s="1104">
        <v>553567</v>
      </c>
      <c r="K138" s="1104">
        <v>912992</v>
      </c>
      <c r="L138" s="1104">
        <v>1790423</v>
      </c>
      <c r="M138" s="1106">
        <v>1709818</v>
      </c>
      <c r="N138" s="1159">
        <v>1630655</v>
      </c>
      <c r="O138" s="1104">
        <v>1990080</v>
      </c>
      <c r="P138" s="1107">
        <f t="shared" ref="P138:S201" si="4">H138+L138</f>
        <v>2503758</v>
      </c>
      <c r="Q138" s="1107">
        <f t="shared" si="4"/>
        <v>2342548</v>
      </c>
      <c r="R138" s="1107">
        <f t="shared" si="4"/>
        <v>2184222</v>
      </c>
      <c r="S138" s="1107">
        <f t="shared" si="4"/>
        <v>2903072</v>
      </c>
    </row>
    <row r="139" spans="1:19">
      <c r="A139" s="1015">
        <v>112</v>
      </c>
      <c r="B139" s="1015" t="s">
        <v>7642</v>
      </c>
      <c r="C139" s="1103" t="s">
        <v>7600</v>
      </c>
      <c r="D139" s="1015" t="s">
        <v>3127</v>
      </c>
      <c r="E139" s="1104">
        <v>281903</v>
      </c>
      <c r="F139" s="1105" t="s">
        <v>7641</v>
      </c>
      <c r="G139" s="1104">
        <v>966900</v>
      </c>
      <c r="H139" s="1104">
        <v>713335</v>
      </c>
      <c r="I139" s="1104">
        <v>632730</v>
      </c>
      <c r="J139" s="1104">
        <v>553567</v>
      </c>
      <c r="K139" s="1104">
        <v>912992</v>
      </c>
      <c r="L139" s="1104">
        <v>1902637</v>
      </c>
      <c r="M139" s="1106">
        <v>1822032</v>
      </c>
      <c r="N139" s="1159">
        <v>1742869</v>
      </c>
      <c r="O139" s="1104">
        <v>2102294</v>
      </c>
      <c r="P139" s="1107">
        <f t="shared" si="4"/>
        <v>2615972</v>
      </c>
      <c r="Q139" s="1107">
        <f t="shared" si="4"/>
        <v>2454762</v>
      </c>
      <c r="R139" s="1107">
        <f t="shared" si="4"/>
        <v>2296436</v>
      </c>
      <c r="S139" s="1107">
        <f t="shared" si="4"/>
        <v>3015286</v>
      </c>
    </row>
    <row r="140" spans="1:19">
      <c r="A140" s="1015">
        <v>113</v>
      </c>
      <c r="B140" s="1015" t="s">
        <v>7643</v>
      </c>
      <c r="C140" s="1103" t="s">
        <v>7581</v>
      </c>
      <c r="D140" s="1015" t="s">
        <v>3127</v>
      </c>
      <c r="E140" s="1104">
        <v>352379</v>
      </c>
      <c r="F140" s="1105" t="s">
        <v>7641</v>
      </c>
      <c r="G140" s="1104">
        <v>1300802</v>
      </c>
      <c r="H140" s="1104">
        <v>713335</v>
      </c>
      <c r="I140" s="1104">
        <v>632730</v>
      </c>
      <c r="J140" s="1104">
        <v>553567</v>
      </c>
      <c r="K140" s="1104">
        <v>912992</v>
      </c>
      <c r="L140" s="1104">
        <v>2286467</v>
      </c>
      <c r="M140" s="1106">
        <v>2205862</v>
      </c>
      <c r="N140" s="1159">
        <v>2126699</v>
      </c>
      <c r="O140" s="1104">
        <v>2486124</v>
      </c>
      <c r="P140" s="1107">
        <f t="shared" si="4"/>
        <v>2999802</v>
      </c>
      <c r="Q140" s="1107">
        <f t="shared" si="4"/>
        <v>2838592</v>
      </c>
      <c r="R140" s="1107">
        <f t="shared" si="4"/>
        <v>2680266</v>
      </c>
      <c r="S140" s="1107">
        <f t="shared" si="4"/>
        <v>3399116</v>
      </c>
    </row>
    <row r="141" spans="1:19">
      <c r="A141" s="1015">
        <v>114</v>
      </c>
      <c r="B141" s="1102" t="s">
        <v>7644</v>
      </c>
      <c r="C141" s="1099" t="s">
        <v>7645</v>
      </c>
      <c r="D141" s="1015" t="s">
        <v>3127</v>
      </c>
      <c r="E141" s="1104">
        <v>456135</v>
      </c>
      <c r="F141" s="1105" t="s">
        <v>7646</v>
      </c>
      <c r="G141" s="1104">
        <v>2698418</v>
      </c>
      <c r="H141" s="1104">
        <v>1790298</v>
      </c>
      <c r="I141" s="1104">
        <v>1587997</v>
      </c>
      <c r="J141" s="1104">
        <v>1389319</v>
      </c>
      <c r="K141" s="1104">
        <v>2291387</v>
      </c>
      <c r="L141" s="1104">
        <v>5055556</v>
      </c>
      <c r="M141" s="1106">
        <v>4853255</v>
      </c>
      <c r="N141" s="1159">
        <v>4654577</v>
      </c>
      <c r="O141" s="1104">
        <v>5556645</v>
      </c>
      <c r="P141" s="1107">
        <f t="shared" si="4"/>
        <v>6845854</v>
      </c>
      <c r="Q141" s="1107">
        <f t="shared" si="4"/>
        <v>6441252</v>
      </c>
      <c r="R141" s="1107">
        <f t="shared" si="4"/>
        <v>6043896</v>
      </c>
      <c r="S141" s="1107">
        <f t="shared" si="4"/>
        <v>7848032</v>
      </c>
    </row>
    <row r="142" spans="1:19">
      <c r="A142" s="1015">
        <v>115</v>
      </c>
      <c r="B142" s="1102" t="s">
        <v>7647</v>
      </c>
      <c r="C142" s="1099" t="s">
        <v>7648</v>
      </c>
      <c r="D142" s="1015" t="s">
        <v>3127</v>
      </c>
      <c r="E142" s="1104">
        <v>454178</v>
      </c>
      <c r="F142" s="1105" t="s">
        <v>7649</v>
      </c>
      <c r="G142" s="1104">
        <v>2955481</v>
      </c>
      <c r="H142" s="1104">
        <v>1216150</v>
      </c>
      <c r="I142" s="1104">
        <v>1078727</v>
      </c>
      <c r="J142" s="1104">
        <v>943765</v>
      </c>
      <c r="K142" s="1104">
        <v>1556540</v>
      </c>
      <c r="L142" s="1104">
        <v>4747059</v>
      </c>
      <c r="M142" s="1106">
        <v>4609636</v>
      </c>
      <c r="N142" s="1159">
        <v>4474674</v>
      </c>
      <c r="O142" s="1104">
        <v>5087449</v>
      </c>
      <c r="P142" s="1107">
        <f t="shared" si="4"/>
        <v>5963209</v>
      </c>
      <c r="Q142" s="1107">
        <f t="shared" si="4"/>
        <v>5688363</v>
      </c>
      <c r="R142" s="1107">
        <f t="shared" si="4"/>
        <v>5418439</v>
      </c>
      <c r="S142" s="1107">
        <f t="shared" si="4"/>
        <v>6643989</v>
      </c>
    </row>
    <row r="143" spans="1:19">
      <c r="A143" s="1015">
        <v>116</v>
      </c>
      <c r="B143" s="1102" t="s">
        <v>7650</v>
      </c>
      <c r="C143" s="1099" t="s">
        <v>7651</v>
      </c>
      <c r="D143" s="1015" t="s">
        <v>3127</v>
      </c>
      <c r="E143" s="1104">
        <v>31323</v>
      </c>
      <c r="F143" s="1105" t="s">
        <v>7425</v>
      </c>
      <c r="G143" s="1104">
        <v>11818</v>
      </c>
      <c r="H143" s="1104">
        <v>287074</v>
      </c>
      <c r="I143" s="1104">
        <v>254635</v>
      </c>
      <c r="J143" s="1104">
        <v>222777</v>
      </c>
      <c r="K143" s="1104">
        <v>367424</v>
      </c>
      <c r="L143" s="1104">
        <v>332639</v>
      </c>
      <c r="M143" s="1106">
        <v>300200</v>
      </c>
      <c r="N143" s="1159">
        <v>268342</v>
      </c>
      <c r="O143" s="1104">
        <v>412989</v>
      </c>
      <c r="P143" s="1107">
        <f t="shared" si="4"/>
        <v>619713</v>
      </c>
      <c r="Q143" s="1107">
        <f t="shared" si="4"/>
        <v>554835</v>
      </c>
      <c r="R143" s="1107">
        <f t="shared" si="4"/>
        <v>491119</v>
      </c>
      <c r="S143" s="1107">
        <f t="shared" si="4"/>
        <v>780413</v>
      </c>
    </row>
    <row r="144" spans="1:19">
      <c r="A144" s="1015"/>
      <c r="B144" s="1102" t="s">
        <v>7652</v>
      </c>
      <c r="C144" s="1099" t="s">
        <v>7653</v>
      </c>
      <c r="D144" s="1015"/>
      <c r="E144" s="1104" t="s">
        <v>7446</v>
      </c>
      <c r="F144" s="1105"/>
      <c r="G144" s="1104"/>
      <c r="H144" s="1104"/>
      <c r="I144" s="1104"/>
      <c r="J144" s="1104"/>
      <c r="K144" s="1104"/>
      <c r="L144" s="1104"/>
      <c r="M144" s="1106"/>
      <c r="N144" s="1159"/>
      <c r="O144" s="1104"/>
      <c r="P144" s="1107">
        <f t="shared" si="4"/>
        <v>0</v>
      </c>
      <c r="Q144" s="1107">
        <f t="shared" si="4"/>
        <v>0</v>
      </c>
      <c r="R144" s="1107">
        <f t="shared" si="4"/>
        <v>0</v>
      </c>
      <c r="S144" s="1107">
        <f t="shared" si="4"/>
        <v>0</v>
      </c>
    </row>
    <row r="145" spans="1:19">
      <c r="A145" s="1015">
        <v>117</v>
      </c>
      <c r="B145" s="1015" t="s">
        <v>7654</v>
      </c>
      <c r="C145" s="1103" t="s">
        <v>7565</v>
      </c>
      <c r="D145" s="1015" t="s">
        <v>3127</v>
      </c>
      <c r="E145" s="1104">
        <v>93968</v>
      </c>
      <c r="F145" s="1105" t="s">
        <v>7622</v>
      </c>
      <c r="G145" s="1104">
        <v>378691</v>
      </c>
      <c r="H145" s="1104">
        <v>642002</v>
      </c>
      <c r="I145" s="1104">
        <v>569457</v>
      </c>
      <c r="J145" s="1104">
        <v>498211</v>
      </c>
      <c r="K145" s="1104">
        <v>821693</v>
      </c>
      <c r="L145" s="1104">
        <v>937068</v>
      </c>
      <c r="M145" s="1106">
        <v>864523</v>
      </c>
      <c r="N145" s="1159">
        <v>793277</v>
      </c>
      <c r="O145" s="1104">
        <v>1116759</v>
      </c>
      <c r="P145" s="1107">
        <f t="shared" si="4"/>
        <v>1579070</v>
      </c>
      <c r="Q145" s="1107">
        <f t="shared" si="4"/>
        <v>1433980</v>
      </c>
      <c r="R145" s="1107">
        <f t="shared" si="4"/>
        <v>1291488</v>
      </c>
      <c r="S145" s="1107">
        <f t="shared" si="4"/>
        <v>1938452</v>
      </c>
    </row>
    <row r="146" spans="1:19">
      <c r="A146" s="1015">
        <v>118</v>
      </c>
      <c r="B146" s="1015" t="s">
        <v>7655</v>
      </c>
      <c r="C146" s="1103" t="s">
        <v>7567</v>
      </c>
      <c r="D146" s="1015" t="s">
        <v>3127</v>
      </c>
      <c r="E146" s="1104">
        <v>11746</v>
      </c>
      <c r="F146" s="1105" t="s">
        <v>7622</v>
      </c>
      <c r="G146" s="1104">
        <v>426157</v>
      </c>
      <c r="H146" s="1104">
        <v>642002</v>
      </c>
      <c r="I146" s="1104">
        <v>569457</v>
      </c>
      <c r="J146" s="1104">
        <v>498211</v>
      </c>
      <c r="K146" s="1104">
        <v>821693</v>
      </c>
      <c r="L146" s="1104">
        <v>985766</v>
      </c>
      <c r="M146" s="1106">
        <v>913221</v>
      </c>
      <c r="N146" s="1159">
        <v>841975</v>
      </c>
      <c r="O146" s="1104">
        <v>1165457</v>
      </c>
      <c r="P146" s="1107">
        <f t="shared" si="4"/>
        <v>1627768</v>
      </c>
      <c r="Q146" s="1107">
        <f t="shared" si="4"/>
        <v>1482678</v>
      </c>
      <c r="R146" s="1107">
        <f t="shared" si="4"/>
        <v>1340186</v>
      </c>
      <c r="S146" s="1107">
        <f t="shared" si="4"/>
        <v>1987150</v>
      </c>
    </row>
    <row r="147" spans="1:19">
      <c r="A147" s="1015">
        <v>119</v>
      </c>
      <c r="B147" s="1015" t="s">
        <v>7656</v>
      </c>
      <c r="C147" s="1103" t="s">
        <v>7569</v>
      </c>
      <c r="D147" s="1015" t="s">
        <v>3127</v>
      </c>
      <c r="E147" s="1104">
        <v>140952</v>
      </c>
      <c r="F147" s="1105" t="s">
        <v>7622</v>
      </c>
      <c r="G147" s="1104">
        <v>482909</v>
      </c>
      <c r="H147" s="1104">
        <v>642002</v>
      </c>
      <c r="I147" s="1104">
        <v>569457</v>
      </c>
      <c r="J147" s="1104">
        <v>498211</v>
      </c>
      <c r="K147" s="1104">
        <v>821693</v>
      </c>
      <c r="L147" s="1104">
        <v>1039395</v>
      </c>
      <c r="M147" s="1106">
        <v>966850</v>
      </c>
      <c r="N147" s="1159">
        <v>895604</v>
      </c>
      <c r="O147" s="1104">
        <v>1219086</v>
      </c>
      <c r="P147" s="1107">
        <f t="shared" si="4"/>
        <v>1681397</v>
      </c>
      <c r="Q147" s="1107">
        <f t="shared" si="4"/>
        <v>1536307</v>
      </c>
      <c r="R147" s="1107">
        <f t="shared" si="4"/>
        <v>1393815</v>
      </c>
      <c r="S147" s="1107">
        <f t="shared" si="4"/>
        <v>2040779</v>
      </c>
    </row>
    <row r="148" spans="1:19">
      <c r="A148" s="1015">
        <v>120</v>
      </c>
      <c r="B148" s="1015" t="s">
        <v>7657</v>
      </c>
      <c r="C148" s="1103" t="s">
        <v>7600</v>
      </c>
      <c r="D148" s="1015" t="s">
        <v>3127</v>
      </c>
      <c r="E148" s="1104">
        <v>164444</v>
      </c>
      <c r="F148" s="1105" t="s">
        <v>7641</v>
      </c>
      <c r="G148" s="1104">
        <v>579445</v>
      </c>
      <c r="H148" s="1104">
        <v>713335</v>
      </c>
      <c r="I148" s="1104">
        <v>632730</v>
      </c>
      <c r="J148" s="1104">
        <v>553567</v>
      </c>
      <c r="K148" s="1104">
        <v>912992</v>
      </c>
      <c r="L148" s="1104">
        <v>1185484</v>
      </c>
      <c r="M148" s="1106">
        <v>1104879</v>
      </c>
      <c r="N148" s="1159">
        <v>1025716</v>
      </c>
      <c r="O148" s="1104">
        <v>1385141</v>
      </c>
      <c r="P148" s="1107">
        <f t="shared" si="4"/>
        <v>1898819</v>
      </c>
      <c r="Q148" s="1107">
        <f t="shared" si="4"/>
        <v>1737609</v>
      </c>
      <c r="R148" s="1107">
        <f t="shared" si="4"/>
        <v>1579283</v>
      </c>
      <c r="S148" s="1107">
        <f t="shared" si="4"/>
        <v>2298133</v>
      </c>
    </row>
    <row r="149" spans="1:19">
      <c r="A149" s="1015">
        <v>121</v>
      </c>
      <c r="B149" s="1015" t="s">
        <v>7658</v>
      </c>
      <c r="C149" s="1103" t="s">
        <v>7581</v>
      </c>
      <c r="D149" s="1015" t="s">
        <v>3127</v>
      </c>
      <c r="E149" s="1104">
        <v>211427</v>
      </c>
      <c r="F149" s="1105" t="s">
        <v>7641</v>
      </c>
      <c r="G149" s="1104">
        <v>720350</v>
      </c>
      <c r="H149" s="1104">
        <v>713335</v>
      </c>
      <c r="I149" s="1104">
        <v>632730</v>
      </c>
      <c r="J149" s="1104">
        <v>553567</v>
      </c>
      <c r="K149" s="1104">
        <v>912992</v>
      </c>
      <c r="L149" s="1104">
        <v>1307293</v>
      </c>
      <c r="M149" s="1106">
        <v>1226688</v>
      </c>
      <c r="N149" s="1159">
        <v>1147525</v>
      </c>
      <c r="O149" s="1104">
        <v>1506950</v>
      </c>
      <c r="P149" s="1107">
        <f t="shared" si="4"/>
        <v>2020628</v>
      </c>
      <c r="Q149" s="1107">
        <f t="shared" si="4"/>
        <v>1859418</v>
      </c>
      <c r="R149" s="1107">
        <f t="shared" si="4"/>
        <v>1701092</v>
      </c>
      <c r="S149" s="1107">
        <f t="shared" si="4"/>
        <v>2419942</v>
      </c>
    </row>
    <row r="150" spans="1:19">
      <c r="A150" s="1015">
        <v>122</v>
      </c>
      <c r="B150" s="1015" t="s">
        <v>7659</v>
      </c>
      <c r="C150" s="1103" t="s">
        <v>7586</v>
      </c>
      <c r="D150" s="1015" t="s">
        <v>3127</v>
      </c>
      <c r="E150" s="1104">
        <v>258411</v>
      </c>
      <c r="F150" s="1105" t="s">
        <v>7641</v>
      </c>
      <c r="G150" s="1104">
        <v>994021</v>
      </c>
      <c r="H150" s="1104">
        <v>713335</v>
      </c>
      <c r="I150" s="1104">
        <v>632730</v>
      </c>
      <c r="J150" s="1104">
        <v>553567</v>
      </c>
      <c r="K150" s="1104">
        <v>912992</v>
      </c>
      <c r="L150" s="1104">
        <v>1492750</v>
      </c>
      <c r="M150" s="1106">
        <v>1412145</v>
      </c>
      <c r="N150" s="1159">
        <v>1332982</v>
      </c>
      <c r="O150" s="1104">
        <v>1692407</v>
      </c>
      <c r="P150" s="1107">
        <f t="shared" si="4"/>
        <v>2206085</v>
      </c>
      <c r="Q150" s="1107">
        <f t="shared" si="4"/>
        <v>2044875</v>
      </c>
      <c r="R150" s="1107">
        <f t="shared" si="4"/>
        <v>1886549</v>
      </c>
      <c r="S150" s="1107">
        <f t="shared" si="4"/>
        <v>2605399</v>
      </c>
    </row>
    <row r="151" spans="1:19">
      <c r="A151" s="1015">
        <v>123</v>
      </c>
      <c r="B151" s="1015" t="s">
        <v>7660</v>
      </c>
      <c r="C151" s="1103" t="s">
        <v>7661</v>
      </c>
      <c r="D151" s="1015" t="s">
        <v>3127</v>
      </c>
      <c r="E151" s="1104">
        <v>281903</v>
      </c>
      <c r="F151" s="1105" t="s">
        <v>7641</v>
      </c>
      <c r="G151" s="1104">
        <v>1143067</v>
      </c>
      <c r="H151" s="1104">
        <v>713335</v>
      </c>
      <c r="I151" s="1104">
        <v>632730</v>
      </c>
      <c r="J151" s="1104">
        <v>553567</v>
      </c>
      <c r="K151" s="1104">
        <v>912992</v>
      </c>
      <c r="L151" s="1104">
        <v>1594363</v>
      </c>
      <c r="M151" s="1106">
        <v>1513758</v>
      </c>
      <c r="N151" s="1159">
        <v>1434595</v>
      </c>
      <c r="O151" s="1104">
        <v>1794020</v>
      </c>
      <c r="P151" s="1107">
        <f t="shared" si="4"/>
        <v>2307698</v>
      </c>
      <c r="Q151" s="1107">
        <f t="shared" si="4"/>
        <v>2146488</v>
      </c>
      <c r="R151" s="1107">
        <f t="shared" si="4"/>
        <v>1988162</v>
      </c>
      <c r="S151" s="1107">
        <f t="shared" si="4"/>
        <v>2707012</v>
      </c>
    </row>
    <row r="152" spans="1:19">
      <c r="A152" s="1015">
        <v>124</v>
      </c>
      <c r="B152" s="1015" t="s">
        <v>7662</v>
      </c>
      <c r="C152" s="1103" t="s">
        <v>7663</v>
      </c>
      <c r="D152" s="1015" t="s">
        <v>3127</v>
      </c>
      <c r="E152" s="1104">
        <v>328887</v>
      </c>
      <c r="F152" s="1105" t="s">
        <v>7641</v>
      </c>
      <c r="G152" s="1104">
        <v>1486217</v>
      </c>
      <c r="H152" s="1104">
        <v>713335</v>
      </c>
      <c r="I152" s="1104">
        <v>632730</v>
      </c>
      <c r="J152" s="1104">
        <v>553567</v>
      </c>
      <c r="K152" s="1104">
        <v>912992</v>
      </c>
      <c r="L152" s="1104">
        <v>1821205</v>
      </c>
      <c r="M152" s="1106">
        <v>1740600</v>
      </c>
      <c r="N152" s="1159">
        <v>1661437</v>
      </c>
      <c r="O152" s="1104">
        <v>2020862</v>
      </c>
      <c r="P152" s="1107">
        <f t="shared" si="4"/>
        <v>2534540</v>
      </c>
      <c r="Q152" s="1107">
        <f t="shared" si="4"/>
        <v>2373330</v>
      </c>
      <c r="R152" s="1107">
        <f t="shared" si="4"/>
        <v>2215004</v>
      </c>
      <c r="S152" s="1107">
        <f t="shared" si="4"/>
        <v>2933854</v>
      </c>
    </row>
    <row r="153" spans="1:19">
      <c r="A153" s="1015">
        <v>125</v>
      </c>
      <c r="B153" s="1015" t="s">
        <v>7664</v>
      </c>
      <c r="C153" s="1103" t="s">
        <v>7665</v>
      </c>
      <c r="D153" s="1015" t="s">
        <v>3127</v>
      </c>
      <c r="E153" s="1104">
        <v>399363</v>
      </c>
      <c r="F153" s="1105" t="s">
        <v>7641</v>
      </c>
      <c r="G153" s="1104">
        <v>1918794</v>
      </c>
      <c r="H153" s="1104">
        <v>713335</v>
      </c>
      <c r="I153" s="1104">
        <v>632730</v>
      </c>
      <c r="J153" s="1104">
        <v>553567</v>
      </c>
      <c r="K153" s="1104">
        <v>912992</v>
      </c>
      <c r="L153" s="1104">
        <v>2111794</v>
      </c>
      <c r="M153" s="1106">
        <v>2031189</v>
      </c>
      <c r="N153" s="1159">
        <v>1952026</v>
      </c>
      <c r="O153" s="1104">
        <v>2311451</v>
      </c>
      <c r="P153" s="1107">
        <f t="shared" si="4"/>
        <v>2825129</v>
      </c>
      <c r="Q153" s="1107">
        <f t="shared" si="4"/>
        <v>2663919</v>
      </c>
      <c r="R153" s="1107">
        <f t="shared" si="4"/>
        <v>2505593</v>
      </c>
      <c r="S153" s="1107">
        <f t="shared" si="4"/>
        <v>3224443</v>
      </c>
    </row>
    <row r="154" spans="1:19">
      <c r="A154" s="1015"/>
      <c r="B154" s="1102" t="s">
        <v>7666</v>
      </c>
      <c r="C154" s="1099" t="s">
        <v>7667</v>
      </c>
      <c r="D154" s="1015"/>
      <c r="E154" s="1104" t="s">
        <v>7446</v>
      </c>
      <c r="F154" s="1105"/>
      <c r="G154" s="1104"/>
      <c r="H154" s="1104"/>
      <c r="I154" s="1104"/>
      <c r="J154" s="1104"/>
      <c r="K154" s="1104"/>
      <c r="L154" s="1104"/>
      <c r="M154" s="1106"/>
      <c r="N154" s="1159"/>
      <c r="O154" s="1104"/>
      <c r="P154" s="1107">
        <f t="shared" si="4"/>
        <v>0</v>
      </c>
      <c r="Q154" s="1107">
        <f t="shared" si="4"/>
        <v>0</v>
      </c>
      <c r="R154" s="1107">
        <f t="shared" si="4"/>
        <v>0</v>
      </c>
      <c r="S154" s="1107">
        <f t="shared" si="4"/>
        <v>0</v>
      </c>
    </row>
    <row r="155" spans="1:19">
      <c r="A155" s="1015">
        <v>126</v>
      </c>
      <c r="B155" s="1015" t="s">
        <v>7668</v>
      </c>
      <c r="C155" s="1103" t="s">
        <v>7669</v>
      </c>
      <c r="D155" s="1015" t="s">
        <v>3127</v>
      </c>
      <c r="E155" s="1104">
        <v>41111</v>
      </c>
      <c r="F155" s="1105" t="s">
        <v>7505</v>
      </c>
      <c r="G155" s="1104">
        <v>187683</v>
      </c>
      <c r="H155" s="1104">
        <v>241838</v>
      </c>
      <c r="I155" s="1104">
        <v>214511</v>
      </c>
      <c r="J155" s="1104">
        <v>187673</v>
      </c>
      <c r="K155" s="1104">
        <v>309526</v>
      </c>
      <c r="L155" s="1104">
        <v>442156</v>
      </c>
      <c r="M155" s="1106">
        <v>414829</v>
      </c>
      <c r="N155" s="1159">
        <v>387991</v>
      </c>
      <c r="O155" s="1104">
        <v>509844</v>
      </c>
      <c r="P155" s="1107">
        <f t="shared" si="4"/>
        <v>683994</v>
      </c>
      <c r="Q155" s="1107">
        <f t="shared" si="4"/>
        <v>629340</v>
      </c>
      <c r="R155" s="1107">
        <f t="shared" si="4"/>
        <v>575664</v>
      </c>
      <c r="S155" s="1107">
        <f t="shared" si="4"/>
        <v>819370</v>
      </c>
    </row>
    <row r="156" spans="1:19">
      <c r="A156" s="1015">
        <v>127</v>
      </c>
      <c r="B156" s="1015" t="s">
        <v>7670</v>
      </c>
      <c r="C156" s="1103" t="s">
        <v>7671</v>
      </c>
      <c r="D156" s="1015" t="s">
        <v>3127</v>
      </c>
      <c r="E156" s="1104">
        <v>62645</v>
      </c>
      <c r="F156" s="1105" t="s">
        <v>7505</v>
      </c>
      <c r="G156" s="1104">
        <v>251200</v>
      </c>
      <c r="H156" s="1104">
        <v>241838</v>
      </c>
      <c r="I156" s="1104">
        <v>214511</v>
      </c>
      <c r="J156" s="1104">
        <v>187673</v>
      </c>
      <c r="K156" s="1104">
        <v>309526</v>
      </c>
      <c r="L156" s="1104">
        <v>515838</v>
      </c>
      <c r="M156" s="1106">
        <v>488511</v>
      </c>
      <c r="N156" s="1159">
        <v>461673</v>
      </c>
      <c r="O156" s="1104">
        <v>583526</v>
      </c>
      <c r="P156" s="1107">
        <f t="shared" si="4"/>
        <v>757676</v>
      </c>
      <c r="Q156" s="1107">
        <f t="shared" si="4"/>
        <v>703022</v>
      </c>
      <c r="R156" s="1107">
        <f t="shared" si="4"/>
        <v>649346</v>
      </c>
      <c r="S156" s="1107">
        <f t="shared" si="4"/>
        <v>893052</v>
      </c>
    </row>
    <row r="157" spans="1:19">
      <c r="A157" s="1015">
        <v>128</v>
      </c>
      <c r="B157" s="1015" t="s">
        <v>7672</v>
      </c>
      <c r="C157" s="1103" t="s">
        <v>7555</v>
      </c>
      <c r="D157" s="1015" t="s">
        <v>3127</v>
      </c>
      <c r="E157" s="1104">
        <v>76349</v>
      </c>
      <c r="F157" s="1105" t="s">
        <v>7505</v>
      </c>
      <c r="G157" s="1104">
        <v>288920</v>
      </c>
      <c r="H157" s="1104">
        <v>241838</v>
      </c>
      <c r="I157" s="1104">
        <v>214511</v>
      </c>
      <c r="J157" s="1104">
        <v>187673</v>
      </c>
      <c r="K157" s="1104">
        <v>309526</v>
      </c>
      <c r="L157" s="1104">
        <v>561278</v>
      </c>
      <c r="M157" s="1106">
        <v>533951</v>
      </c>
      <c r="N157" s="1159">
        <v>507113</v>
      </c>
      <c r="O157" s="1104">
        <v>628966</v>
      </c>
      <c r="P157" s="1107">
        <f t="shared" si="4"/>
        <v>803116</v>
      </c>
      <c r="Q157" s="1107">
        <f t="shared" si="4"/>
        <v>748462</v>
      </c>
      <c r="R157" s="1107">
        <f t="shared" si="4"/>
        <v>694786</v>
      </c>
      <c r="S157" s="1107">
        <f t="shared" si="4"/>
        <v>938492</v>
      </c>
    </row>
    <row r="158" spans="1:19">
      <c r="A158" s="1015"/>
      <c r="B158" s="1102" t="s">
        <v>7673</v>
      </c>
      <c r="C158" s="1099" t="s">
        <v>7674</v>
      </c>
      <c r="D158" s="1015"/>
      <c r="E158" s="1104" t="s">
        <v>7446</v>
      </c>
      <c r="F158" s="1105"/>
      <c r="G158" s="1104"/>
      <c r="H158" s="1104"/>
      <c r="I158" s="1104"/>
      <c r="J158" s="1104"/>
      <c r="K158" s="1104"/>
      <c r="L158" s="1104"/>
      <c r="M158" s="1106"/>
      <c r="N158" s="1159"/>
      <c r="O158" s="1104"/>
      <c r="P158" s="1107">
        <f t="shared" si="4"/>
        <v>0</v>
      </c>
      <c r="Q158" s="1107">
        <f t="shared" si="4"/>
        <v>0</v>
      </c>
      <c r="R158" s="1107">
        <f t="shared" si="4"/>
        <v>0</v>
      </c>
      <c r="S158" s="1107">
        <f t="shared" si="4"/>
        <v>0</v>
      </c>
    </row>
    <row r="159" spans="1:19">
      <c r="A159" s="1015">
        <v>129</v>
      </c>
      <c r="B159" s="1015" t="s">
        <v>7675</v>
      </c>
      <c r="C159" s="1103" t="s">
        <v>7555</v>
      </c>
      <c r="D159" s="1015" t="s">
        <v>3127</v>
      </c>
      <c r="E159" s="1104">
        <v>9201</v>
      </c>
      <c r="F159" s="1105" t="s">
        <v>7505</v>
      </c>
      <c r="G159" s="1104">
        <v>590336</v>
      </c>
      <c r="H159" s="1104">
        <v>241838</v>
      </c>
      <c r="I159" s="1104">
        <v>214511</v>
      </c>
      <c r="J159" s="1104">
        <v>187673</v>
      </c>
      <c r="K159" s="1104">
        <v>309526</v>
      </c>
      <c r="L159" s="1104">
        <v>821384</v>
      </c>
      <c r="M159" s="1106">
        <v>794057</v>
      </c>
      <c r="N159" s="1159">
        <v>767219</v>
      </c>
      <c r="O159" s="1104">
        <v>889072</v>
      </c>
      <c r="P159" s="1107">
        <f t="shared" si="4"/>
        <v>1063222</v>
      </c>
      <c r="Q159" s="1107">
        <f t="shared" si="4"/>
        <v>1008568</v>
      </c>
      <c r="R159" s="1107">
        <f t="shared" si="4"/>
        <v>954892</v>
      </c>
      <c r="S159" s="1107">
        <f t="shared" si="4"/>
        <v>1198598</v>
      </c>
    </row>
    <row r="160" spans="1:19">
      <c r="A160" s="1015"/>
      <c r="B160" s="1102" t="s">
        <v>7676</v>
      </c>
      <c r="C160" s="1099" t="s">
        <v>7677</v>
      </c>
      <c r="D160" s="1015"/>
      <c r="E160" s="1104" t="s">
        <v>7446</v>
      </c>
      <c r="F160" s="1105"/>
      <c r="G160" s="1104"/>
      <c r="H160" s="1104"/>
      <c r="I160" s="1104"/>
      <c r="J160" s="1104"/>
      <c r="K160" s="1104"/>
      <c r="L160" s="1104"/>
      <c r="M160" s="1106"/>
      <c r="N160" s="1159"/>
      <c r="O160" s="1104"/>
      <c r="P160" s="1107">
        <f t="shared" si="4"/>
        <v>0</v>
      </c>
      <c r="Q160" s="1107">
        <f t="shared" si="4"/>
        <v>0</v>
      </c>
      <c r="R160" s="1107">
        <f t="shared" si="4"/>
        <v>0</v>
      </c>
      <c r="S160" s="1107">
        <f t="shared" si="4"/>
        <v>0</v>
      </c>
    </row>
    <row r="161" spans="1:19">
      <c r="A161" s="1015">
        <v>130</v>
      </c>
      <c r="B161" s="1015" t="s">
        <v>7678</v>
      </c>
      <c r="C161" s="1103" t="s">
        <v>7679</v>
      </c>
      <c r="D161" s="1015" t="s">
        <v>3127</v>
      </c>
      <c r="E161" s="1104">
        <v>7831</v>
      </c>
      <c r="F161" s="1105" t="s">
        <v>7505</v>
      </c>
      <c r="G161" s="1104">
        <v>4600</v>
      </c>
      <c r="H161" s="1104">
        <v>241838</v>
      </c>
      <c r="I161" s="1104">
        <v>214511</v>
      </c>
      <c r="J161" s="1104">
        <v>187673</v>
      </c>
      <c r="K161" s="1104">
        <v>309526</v>
      </c>
      <c r="L161" s="1104">
        <v>254288</v>
      </c>
      <c r="M161" s="1106">
        <v>226961</v>
      </c>
      <c r="N161" s="1159">
        <v>200123</v>
      </c>
      <c r="O161" s="1104">
        <v>321976</v>
      </c>
      <c r="P161" s="1107">
        <f t="shared" si="4"/>
        <v>496126</v>
      </c>
      <c r="Q161" s="1107">
        <f t="shared" si="4"/>
        <v>441472</v>
      </c>
      <c r="R161" s="1107">
        <f t="shared" si="4"/>
        <v>387796</v>
      </c>
      <c r="S161" s="1107">
        <f t="shared" si="4"/>
        <v>631502</v>
      </c>
    </row>
    <row r="162" spans="1:19">
      <c r="A162" s="1015">
        <v>131</v>
      </c>
      <c r="B162" s="1015" t="s">
        <v>7680</v>
      </c>
      <c r="C162" s="1103" t="s">
        <v>7681</v>
      </c>
      <c r="D162" s="1015" t="s">
        <v>3127</v>
      </c>
      <c r="E162" s="1104">
        <v>9788</v>
      </c>
      <c r="F162" s="1105" t="s">
        <v>7505</v>
      </c>
      <c r="G162" s="1104">
        <v>5900</v>
      </c>
      <c r="H162" s="1104">
        <v>241838</v>
      </c>
      <c r="I162" s="1104">
        <v>214511</v>
      </c>
      <c r="J162" s="1104">
        <v>187673</v>
      </c>
      <c r="K162" s="1104">
        <v>309526</v>
      </c>
      <c r="L162" s="1104">
        <v>257551</v>
      </c>
      <c r="M162" s="1106">
        <v>230224</v>
      </c>
      <c r="N162" s="1159">
        <v>203386</v>
      </c>
      <c r="O162" s="1104">
        <v>325239</v>
      </c>
      <c r="P162" s="1107">
        <f t="shared" si="4"/>
        <v>499389</v>
      </c>
      <c r="Q162" s="1107">
        <f t="shared" si="4"/>
        <v>444735</v>
      </c>
      <c r="R162" s="1107">
        <f t="shared" si="4"/>
        <v>391059</v>
      </c>
      <c r="S162" s="1107">
        <f t="shared" si="4"/>
        <v>634765</v>
      </c>
    </row>
    <row r="163" spans="1:19">
      <c r="A163" s="1015">
        <v>132</v>
      </c>
      <c r="B163" s="1015" t="s">
        <v>7682</v>
      </c>
      <c r="C163" s="1103" t="s">
        <v>7683</v>
      </c>
      <c r="D163" s="1015" t="s">
        <v>3127</v>
      </c>
      <c r="E163" s="1104">
        <v>10767</v>
      </c>
      <c r="F163" s="1105" t="s">
        <v>7505</v>
      </c>
      <c r="G163" s="1104">
        <v>16400</v>
      </c>
      <c r="H163" s="1104">
        <v>241838</v>
      </c>
      <c r="I163" s="1104">
        <v>214511</v>
      </c>
      <c r="J163" s="1104">
        <v>187673</v>
      </c>
      <c r="K163" s="1104">
        <v>309526</v>
      </c>
      <c r="L163" s="1104">
        <v>268732</v>
      </c>
      <c r="M163" s="1106">
        <v>241405</v>
      </c>
      <c r="N163" s="1159">
        <v>214567</v>
      </c>
      <c r="O163" s="1104">
        <v>336420</v>
      </c>
      <c r="P163" s="1107">
        <f t="shared" si="4"/>
        <v>510570</v>
      </c>
      <c r="Q163" s="1107">
        <f t="shared" si="4"/>
        <v>455916</v>
      </c>
      <c r="R163" s="1107">
        <f t="shared" si="4"/>
        <v>402240</v>
      </c>
      <c r="S163" s="1107">
        <f t="shared" si="4"/>
        <v>645946</v>
      </c>
    </row>
    <row r="164" spans="1:19">
      <c r="A164" s="1015">
        <v>133</v>
      </c>
      <c r="B164" s="1015" t="s">
        <v>7684</v>
      </c>
      <c r="C164" s="1103" t="s">
        <v>7685</v>
      </c>
      <c r="D164" s="1015" t="s">
        <v>3127</v>
      </c>
      <c r="E164" s="1104">
        <v>12333</v>
      </c>
      <c r="F164" s="1105" t="s">
        <v>7505</v>
      </c>
      <c r="G164" s="1104">
        <v>23900</v>
      </c>
      <c r="H164" s="1104">
        <v>241838</v>
      </c>
      <c r="I164" s="1104">
        <v>214511</v>
      </c>
      <c r="J164" s="1104">
        <v>187673</v>
      </c>
      <c r="K164" s="1104">
        <v>309526</v>
      </c>
      <c r="L164" s="1104">
        <v>277673</v>
      </c>
      <c r="M164" s="1106">
        <v>250346</v>
      </c>
      <c r="N164" s="1159">
        <v>223508</v>
      </c>
      <c r="O164" s="1104">
        <v>345361</v>
      </c>
      <c r="P164" s="1107">
        <f t="shared" si="4"/>
        <v>519511</v>
      </c>
      <c r="Q164" s="1107">
        <f t="shared" si="4"/>
        <v>464857</v>
      </c>
      <c r="R164" s="1107">
        <f t="shared" si="4"/>
        <v>411181</v>
      </c>
      <c r="S164" s="1107">
        <f t="shared" si="4"/>
        <v>654887</v>
      </c>
    </row>
    <row r="165" spans="1:19">
      <c r="A165" s="1015">
        <v>134</v>
      </c>
      <c r="B165" s="1015" t="s">
        <v>5668</v>
      </c>
      <c r="C165" s="1103" t="s">
        <v>7686</v>
      </c>
      <c r="D165" s="1015" t="s">
        <v>3127</v>
      </c>
      <c r="E165" s="1104">
        <v>21534</v>
      </c>
      <c r="F165" s="1105" t="s">
        <v>7505</v>
      </c>
      <c r="G165" s="1104">
        <v>38600</v>
      </c>
      <c r="H165" s="1104">
        <v>241838</v>
      </c>
      <c r="I165" s="1104">
        <v>214511</v>
      </c>
      <c r="J165" s="1104">
        <v>187673</v>
      </c>
      <c r="K165" s="1104">
        <v>309526</v>
      </c>
      <c r="L165" s="1104">
        <v>298916</v>
      </c>
      <c r="M165" s="1106">
        <v>271589</v>
      </c>
      <c r="N165" s="1159">
        <v>244751</v>
      </c>
      <c r="O165" s="1104">
        <v>366604</v>
      </c>
      <c r="P165" s="1107">
        <f t="shared" si="4"/>
        <v>540754</v>
      </c>
      <c r="Q165" s="1107">
        <f t="shared" si="4"/>
        <v>486100</v>
      </c>
      <c r="R165" s="1107">
        <f t="shared" si="4"/>
        <v>432424</v>
      </c>
      <c r="S165" s="1107">
        <f t="shared" si="4"/>
        <v>676130</v>
      </c>
    </row>
    <row r="166" spans="1:19">
      <c r="A166" s="1015">
        <v>135</v>
      </c>
      <c r="B166" s="1015" t="s">
        <v>7687</v>
      </c>
      <c r="C166" s="1103" t="s">
        <v>7688</v>
      </c>
      <c r="D166" s="1015" t="s">
        <v>3127</v>
      </c>
      <c r="E166" s="1104">
        <v>23492</v>
      </c>
      <c r="F166" s="1105" t="s">
        <v>7505</v>
      </c>
      <c r="G166" s="1104">
        <v>42500</v>
      </c>
      <c r="H166" s="1104">
        <v>241838</v>
      </c>
      <c r="I166" s="1104">
        <v>214511</v>
      </c>
      <c r="J166" s="1104">
        <v>187673</v>
      </c>
      <c r="K166" s="1104">
        <v>309526</v>
      </c>
      <c r="L166" s="1104">
        <v>304465</v>
      </c>
      <c r="M166" s="1106">
        <v>277138</v>
      </c>
      <c r="N166" s="1159">
        <v>250300</v>
      </c>
      <c r="O166" s="1104">
        <v>372153</v>
      </c>
      <c r="P166" s="1107">
        <f t="shared" si="4"/>
        <v>546303</v>
      </c>
      <c r="Q166" s="1107">
        <f t="shared" si="4"/>
        <v>491649</v>
      </c>
      <c r="R166" s="1107">
        <f t="shared" si="4"/>
        <v>437973</v>
      </c>
      <c r="S166" s="1107">
        <f t="shared" si="4"/>
        <v>681679</v>
      </c>
    </row>
    <row r="167" spans="1:19">
      <c r="A167" s="1015">
        <v>136</v>
      </c>
      <c r="B167" s="1015" t="s">
        <v>7689</v>
      </c>
      <c r="C167" s="1103" t="s">
        <v>7690</v>
      </c>
      <c r="D167" s="1015" t="s">
        <v>3127</v>
      </c>
      <c r="E167" s="1104">
        <v>27407</v>
      </c>
      <c r="F167" s="1105" t="s">
        <v>7505</v>
      </c>
      <c r="G167" s="1104">
        <v>51700</v>
      </c>
      <c r="H167" s="1104">
        <v>241838</v>
      </c>
      <c r="I167" s="1104">
        <v>214511</v>
      </c>
      <c r="J167" s="1104">
        <v>187673</v>
      </c>
      <c r="K167" s="1104">
        <v>309526</v>
      </c>
      <c r="L167" s="1104">
        <v>316852</v>
      </c>
      <c r="M167" s="1106">
        <v>289525</v>
      </c>
      <c r="N167" s="1159">
        <v>262687</v>
      </c>
      <c r="O167" s="1104">
        <v>384540</v>
      </c>
      <c r="P167" s="1107">
        <f t="shared" si="4"/>
        <v>558690</v>
      </c>
      <c r="Q167" s="1107">
        <f t="shared" si="4"/>
        <v>504036</v>
      </c>
      <c r="R167" s="1107">
        <f t="shared" si="4"/>
        <v>450360</v>
      </c>
      <c r="S167" s="1107">
        <f t="shared" si="4"/>
        <v>694066</v>
      </c>
    </row>
    <row r="168" spans="1:19">
      <c r="A168" s="1015"/>
      <c r="B168" s="1102" t="s">
        <v>7691</v>
      </c>
      <c r="C168" s="1099" t="s">
        <v>7692</v>
      </c>
      <c r="D168" s="1015"/>
      <c r="E168" s="1104" t="s">
        <v>7446</v>
      </c>
      <c r="F168" s="1105"/>
      <c r="G168" s="1104"/>
      <c r="H168" s="1104"/>
      <c r="I168" s="1104"/>
      <c r="J168" s="1104"/>
      <c r="K168" s="1104"/>
      <c r="L168" s="1104"/>
      <c r="M168" s="1106"/>
      <c r="N168" s="1159"/>
      <c r="O168" s="1104"/>
      <c r="P168" s="1107">
        <f t="shared" si="4"/>
        <v>0</v>
      </c>
      <c r="Q168" s="1107">
        <f t="shared" si="4"/>
        <v>0</v>
      </c>
      <c r="R168" s="1107">
        <f t="shared" si="4"/>
        <v>0</v>
      </c>
      <c r="S168" s="1107">
        <f t="shared" si="4"/>
        <v>0</v>
      </c>
    </row>
    <row r="169" spans="1:19">
      <c r="A169" s="1015">
        <v>137</v>
      </c>
      <c r="B169" s="1015" t="s">
        <v>7693</v>
      </c>
      <c r="C169" s="1103" t="s">
        <v>7555</v>
      </c>
      <c r="D169" s="1015"/>
      <c r="E169" s="1104" t="s">
        <v>7446</v>
      </c>
      <c r="F169" s="1105" t="s">
        <v>7505</v>
      </c>
      <c r="G169" s="1104">
        <v>7900</v>
      </c>
      <c r="H169" s="1104">
        <v>241838</v>
      </c>
      <c r="I169" s="1104">
        <v>214511</v>
      </c>
      <c r="J169" s="1104">
        <v>187673</v>
      </c>
      <c r="K169" s="1104">
        <v>309526</v>
      </c>
      <c r="L169" s="1104">
        <v>249606</v>
      </c>
      <c r="M169" s="1106">
        <v>222279</v>
      </c>
      <c r="N169" s="1159">
        <v>195441</v>
      </c>
      <c r="O169" s="1104">
        <v>317294</v>
      </c>
      <c r="P169" s="1107">
        <f t="shared" si="4"/>
        <v>491444</v>
      </c>
      <c r="Q169" s="1107">
        <f t="shared" si="4"/>
        <v>436790</v>
      </c>
      <c r="R169" s="1107">
        <f t="shared" si="4"/>
        <v>383114</v>
      </c>
      <c r="S169" s="1107">
        <f t="shared" si="4"/>
        <v>626820</v>
      </c>
    </row>
    <row r="170" spans="1:19">
      <c r="A170" s="1015">
        <v>138</v>
      </c>
      <c r="B170" s="1015" t="s">
        <v>7694</v>
      </c>
      <c r="C170" s="1103" t="s">
        <v>7559</v>
      </c>
      <c r="D170" s="1015"/>
      <c r="E170" s="1104" t="s">
        <v>7446</v>
      </c>
      <c r="F170" s="1105" t="s">
        <v>7505</v>
      </c>
      <c r="G170" s="1104">
        <v>10200</v>
      </c>
      <c r="H170" s="1104">
        <v>241838</v>
      </c>
      <c r="I170" s="1104">
        <v>214511</v>
      </c>
      <c r="J170" s="1104">
        <v>187673</v>
      </c>
      <c r="K170" s="1104">
        <v>309526</v>
      </c>
      <c r="L170" s="1104">
        <v>251698</v>
      </c>
      <c r="M170" s="1106">
        <v>224371</v>
      </c>
      <c r="N170" s="1159">
        <v>197533</v>
      </c>
      <c r="O170" s="1104">
        <v>319386</v>
      </c>
      <c r="P170" s="1107">
        <f t="shared" si="4"/>
        <v>493536</v>
      </c>
      <c r="Q170" s="1107">
        <f t="shared" si="4"/>
        <v>438882</v>
      </c>
      <c r="R170" s="1107">
        <f t="shared" si="4"/>
        <v>385206</v>
      </c>
      <c r="S170" s="1107">
        <f t="shared" si="4"/>
        <v>628912</v>
      </c>
    </row>
    <row r="171" spans="1:19">
      <c r="A171" s="1015"/>
      <c r="B171" s="1102" t="s">
        <v>7695</v>
      </c>
      <c r="C171" s="1099" t="s">
        <v>7696</v>
      </c>
      <c r="D171" s="1015"/>
      <c r="E171" s="1104" t="s">
        <v>7446</v>
      </c>
      <c r="F171" s="1105"/>
      <c r="G171" s="1104"/>
      <c r="H171" s="1104"/>
      <c r="I171" s="1104"/>
      <c r="J171" s="1104"/>
      <c r="K171" s="1104"/>
      <c r="L171" s="1104"/>
      <c r="M171" s="1106"/>
      <c r="N171" s="1159"/>
      <c r="O171" s="1104"/>
      <c r="P171" s="1107">
        <f t="shared" si="4"/>
        <v>0</v>
      </c>
      <c r="Q171" s="1107">
        <f t="shared" si="4"/>
        <v>0</v>
      </c>
      <c r="R171" s="1107">
        <f t="shared" si="4"/>
        <v>0</v>
      </c>
      <c r="S171" s="1107">
        <f t="shared" si="4"/>
        <v>0</v>
      </c>
    </row>
    <row r="172" spans="1:19">
      <c r="A172" s="1015">
        <v>139</v>
      </c>
      <c r="B172" s="1015" t="s">
        <v>7697</v>
      </c>
      <c r="C172" s="1103" t="s">
        <v>7559</v>
      </c>
      <c r="D172" s="1015"/>
      <c r="E172" s="1104" t="s">
        <v>7446</v>
      </c>
      <c r="F172" s="1105" t="s">
        <v>7425</v>
      </c>
      <c r="G172" s="1104">
        <v>2700</v>
      </c>
      <c r="H172" s="1104">
        <v>287074</v>
      </c>
      <c r="I172" s="1104">
        <v>254635</v>
      </c>
      <c r="J172" s="1104">
        <v>222777</v>
      </c>
      <c r="K172" s="1104">
        <v>367424</v>
      </c>
      <c r="L172" s="1104">
        <v>289945</v>
      </c>
      <c r="M172" s="1106">
        <v>257506</v>
      </c>
      <c r="N172" s="1159">
        <v>225648</v>
      </c>
      <c r="O172" s="1104">
        <v>370295</v>
      </c>
      <c r="P172" s="1107">
        <f t="shared" si="4"/>
        <v>577019</v>
      </c>
      <c r="Q172" s="1107">
        <f t="shared" si="4"/>
        <v>512141</v>
      </c>
      <c r="R172" s="1107">
        <f t="shared" si="4"/>
        <v>448425</v>
      </c>
      <c r="S172" s="1107">
        <f t="shared" si="4"/>
        <v>737719</v>
      </c>
    </row>
    <row r="173" spans="1:19">
      <c r="A173" s="1015">
        <v>140</v>
      </c>
      <c r="B173" s="1015" t="s">
        <v>7698</v>
      </c>
      <c r="C173" s="1103" t="s">
        <v>7541</v>
      </c>
      <c r="D173" s="1015"/>
      <c r="E173" s="1104" t="s">
        <v>7446</v>
      </c>
      <c r="F173" s="1105" t="s">
        <v>7425</v>
      </c>
      <c r="G173" s="1104">
        <v>4600</v>
      </c>
      <c r="H173" s="1104">
        <v>287074</v>
      </c>
      <c r="I173" s="1104">
        <v>254635</v>
      </c>
      <c r="J173" s="1104">
        <v>222777</v>
      </c>
      <c r="K173" s="1104">
        <v>367424</v>
      </c>
      <c r="L173" s="1104">
        <v>291965</v>
      </c>
      <c r="M173" s="1106">
        <v>259526</v>
      </c>
      <c r="N173" s="1159">
        <v>227668</v>
      </c>
      <c r="O173" s="1104">
        <v>372315</v>
      </c>
      <c r="P173" s="1107">
        <f t="shared" si="4"/>
        <v>579039</v>
      </c>
      <c r="Q173" s="1107">
        <f t="shared" si="4"/>
        <v>514161</v>
      </c>
      <c r="R173" s="1107">
        <f t="shared" si="4"/>
        <v>450445</v>
      </c>
      <c r="S173" s="1107">
        <f t="shared" si="4"/>
        <v>739739</v>
      </c>
    </row>
    <row r="174" spans="1:19">
      <c r="A174" s="1015">
        <v>141</v>
      </c>
      <c r="B174" s="1015" t="s">
        <v>7699</v>
      </c>
      <c r="C174" s="1103" t="s">
        <v>7565</v>
      </c>
      <c r="D174" s="1015"/>
      <c r="E174" s="1104" t="s">
        <v>7446</v>
      </c>
      <c r="F174" s="1105" t="s">
        <v>7425</v>
      </c>
      <c r="G174" s="1104">
        <v>5800</v>
      </c>
      <c r="H174" s="1104">
        <v>287074</v>
      </c>
      <c r="I174" s="1104">
        <v>254635</v>
      </c>
      <c r="J174" s="1104">
        <v>222777</v>
      </c>
      <c r="K174" s="1104">
        <v>367424</v>
      </c>
      <c r="L174" s="1104">
        <v>29324</v>
      </c>
      <c r="M174" s="1106">
        <v>260801</v>
      </c>
      <c r="N174" s="1159">
        <v>228943</v>
      </c>
      <c r="O174" s="1104">
        <v>37359</v>
      </c>
      <c r="P174" s="1107">
        <f t="shared" si="4"/>
        <v>316398</v>
      </c>
      <c r="Q174" s="1107">
        <f t="shared" si="4"/>
        <v>515436</v>
      </c>
      <c r="R174" s="1107">
        <f t="shared" si="4"/>
        <v>451720</v>
      </c>
      <c r="S174" s="1107">
        <f t="shared" si="4"/>
        <v>404783</v>
      </c>
    </row>
    <row r="175" spans="1:19">
      <c r="A175" s="1015">
        <v>142</v>
      </c>
      <c r="B175" s="1015" t="s">
        <v>7700</v>
      </c>
      <c r="C175" s="1103" t="s">
        <v>7569</v>
      </c>
      <c r="D175" s="1015"/>
      <c r="E175" s="1104" t="s">
        <v>7446</v>
      </c>
      <c r="F175" s="1105" t="s">
        <v>7425</v>
      </c>
      <c r="G175" s="1104">
        <v>9800</v>
      </c>
      <c r="H175" s="1104">
        <v>287074</v>
      </c>
      <c r="I175" s="1104">
        <v>254635</v>
      </c>
      <c r="J175" s="1104">
        <v>222777</v>
      </c>
      <c r="K175" s="1104">
        <v>367424</v>
      </c>
      <c r="L175" s="1104">
        <v>297493</v>
      </c>
      <c r="M175" s="1106">
        <v>265054</v>
      </c>
      <c r="N175" s="1159">
        <v>233196</v>
      </c>
      <c r="O175" s="1104">
        <v>377843</v>
      </c>
      <c r="P175" s="1107">
        <f t="shared" si="4"/>
        <v>584567</v>
      </c>
      <c r="Q175" s="1107">
        <f t="shared" si="4"/>
        <v>519689</v>
      </c>
      <c r="R175" s="1107">
        <f t="shared" si="4"/>
        <v>455973</v>
      </c>
      <c r="S175" s="1107">
        <f t="shared" si="4"/>
        <v>745267</v>
      </c>
    </row>
    <row r="176" spans="1:19">
      <c r="A176" s="1015">
        <v>143</v>
      </c>
      <c r="B176" s="1015" t="s">
        <v>7701</v>
      </c>
      <c r="C176" s="1103" t="s">
        <v>7584</v>
      </c>
      <c r="D176" s="1015"/>
      <c r="E176" s="1104" t="s">
        <v>7446</v>
      </c>
      <c r="F176" s="1105" t="s">
        <v>7425</v>
      </c>
      <c r="G176" s="1104">
        <v>1900</v>
      </c>
      <c r="H176" s="1104">
        <v>287074</v>
      </c>
      <c r="I176" s="1104">
        <v>254635</v>
      </c>
      <c r="J176" s="1104">
        <v>222777</v>
      </c>
      <c r="K176" s="1104">
        <v>367424</v>
      </c>
      <c r="L176" s="1104">
        <v>307274</v>
      </c>
      <c r="M176" s="1106">
        <v>274835</v>
      </c>
      <c r="N176" s="1159">
        <v>242977</v>
      </c>
      <c r="O176" s="1104">
        <v>387624</v>
      </c>
      <c r="P176" s="1107">
        <f t="shared" si="4"/>
        <v>594348</v>
      </c>
      <c r="Q176" s="1107">
        <f t="shared" si="4"/>
        <v>529470</v>
      </c>
      <c r="R176" s="1107">
        <f t="shared" si="4"/>
        <v>465754</v>
      </c>
      <c r="S176" s="1107">
        <f t="shared" si="4"/>
        <v>755048</v>
      </c>
    </row>
    <row r="177" spans="1:19">
      <c r="A177" s="1015">
        <v>144</v>
      </c>
      <c r="B177" s="1015" t="s">
        <v>7702</v>
      </c>
      <c r="C177" s="1103" t="s">
        <v>7703</v>
      </c>
      <c r="D177" s="1015"/>
      <c r="E177" s="1104" t="s">
        <v>7446</v>
      </c>
      <c r="F177" s="1105" t="s">
        <v>7425</v>
      </c>
      <c r="G177" s="1104">
        <v>27400</v>
      </c>
      <c r="H177" s="1104">
        <v>287074</v>
      </c>
      <c r="I177" s="1104">
        <v>254635</v>
      </c>
      <c r="J177" s="1104">
        <v>222777</v>
      </c>
      <c r="K177" s="1104">
        <v>367424</v>
      </c>
      <c r="L177" s="1104">
        <v>316205</v>
      </c>
      <c r="M177" s="1106">
        <v>283766</v>
      </c>
      <c r="N177" s="1159">
        <v>251908</v>
      </c>
      <c r="O177" s="1104">
        <v>396555</v>
      </c>
      <c r="P177" s="1107">
        <f t="shared" si="4"/>
        <v>603279</v>
      </c>
      <c r="Q177" s="1107">
        <f t="shared" si="4"/>
        <v>538401</v>
      </c>
      <c r="R177" s="1107">
        <f t="shared" si="4"/>
        <v>474685</v>
      </c>
      <c r="S177" s="1107">
        <f t="shared" si="4"/>
        <v>763979</v>
      </c>
    </row>
    <row r="178" spans="1:19">
      <c r="A178" s="1015">
        <v>145</v>
      </c>
      <c r="B178" s="1015" t="s">
        <v>7704</v>
      </c>
      <c r="C178" s="1103" t="s">
        <v>7665</v>
      </c>
      <c r="D178" s="1015"/>
      <c r="E178" s="1104" t="s">
        <v>7446</v>
      </c>
      <c r="F178" s="1105" t="s">
        <v>7425</v>
      </c>
      <c r="G178" s="1104">
        <v>4400</v>
      </c>
      <c r="H178" s="1104">
        <v>287074</v>
      </c>
      <c r="I178" s="1104">
        <v>254635</v>
      </c>
      <c r="J178" s="1104">
        <v>222777</v>
      </c>
      <c r="K178" s="1104">
        <v>367424</v>
      </c>
      <c r="L178" s="1104">
        <v>330842</v>
      </c>
      <c r="M178" s="1106">
        <v>298403</v>
      </c>
      <c r="N178" s="1159">
        <v>266545</v>
      </c>
      <c r="O178" s="1104">
        <v>411192</v>
      </c>
      <c r="P178" s="1107">
        <f t="shared" si="4"/>
        <v>617916</v>
      </c>
      <c r="Q178" s="1107">
        <f t="shared" si="4"/>
        <v>553038</v>
      </c>
      <c r="R178" s="1107">
        <f t="shared" si="4"/>
        <v>489322</v>
      </c>
      <c r="S178" s="1107">
        <f t="shared" si="4"/>
        <v>778616</v>
      </c>
    </row>
    <row r="179" spans="1:19">
      <c r="A179" s="1015">
        <v>146</v>
      </c>
      <c r="B179" s="1015" t="s">
        <v>7705</v>
      </c>
      <c r="C179" s="1103" t="s">
        <v>7706</v>
      </c>
      <c r="D179" s="1015"/>
      <c r="E179" s="1104" t="s">
        <v>7446</v>
      </c>
      <c r="F179" s="1105" t="s">
        <v>7425</v>
      </c>
      <c r="G179" s="1104">
        <v>95500</v>
      </c>
      <c r="H179" s="1104">
        <v>287074</v>
      </c>
      <c r="I179" s="1104">
        <v>254635</v>
      </c>
      <c r="J179" s="1104">
        <v>222777</v>
      </c>
      <c r="K179" s="1104">
        <v>367424</v>
      </c>
      <c r="L179" s="1104">
        <v>382071</v>
      </c>
      <c r="M179" s="1106">
        <v>349632</v>
      </c>
      <c r="N179" s="1159">
        <v>317774</v>
      </c>
      <c r="O179" s="1104">
        <v>462421</v>
      </c>
      <c r="P179" s="1107">
        <f t="shared" si="4"/>
        <v>669145</v>
      </c>
      <c r="Q179" s="1107">
        <f t="shared" si="4"/>
        <v>604267</v>
      </c>
      <c r="R179" s="1107">
        <f t="shared" si="4"/>
        <v>540551</v>
      </c>
      <c r="S179" s="1107">
        <f t="shared" si="4"/>
        <v>829845</v>
      </c>
    </row>
    <row r="180" spans="1:19">
      <c r="A180" s="1015">
        <v>147</v>
      </c>
      <c r="B180" s="1015" t="s">
        <v>7707</v>
      </c>
      <c r="C180" s="1103" t="s">
        <v>7708</v>
      </c>
      <c r="D180" s="1015" t="s">
        <v>3127</v>
      </c>
      <c r="E180" s="1104">
        <v>11746</v>
      </c>
      <c r="F180" s="1105" t="s">
        <v>7425</v>
      </c>
      <c r="G180" s="1104">
        <v>118182</v>
      </c>
      <c r="H180" s="1104">
        <v>287074</v>
      </c>
      <c r="I180" s="1104">
        <v>254635</v>
      </c>
      <c r="J180" s="1104">
        <v>222777</v>
      </c>
      <c r="K180" s="1104">
        <v>367424</v>
      </c>
      <c r="L180" s="1104">
        <v>415136</v>
      </c>
      <c r="M180" s="1106">
        <v>382697</v>
      </c>
      <c r="N180" s="1159">
        <v>350839</v>
      </c>
      <c r="O180" s="1104">
        <v>495486</v>
      </c>
      <c r="P180" s="1107">
        <f t="shared" si="4"/>
        <v>702210</v>
      </c>
      <c r="Q180" s="1107">
        <f t="shared" si="4"/>
        <v>637332</v>
      </c>
      <c r="R180" s="1107">
        <f t="shared" si="4"/>
        <v>573616</v>
      </c>
      <c r="S180" s="1107">
        <f t="shared" si="4"/>
        <v>862910</v>
      </c>
    </row>
    <row r="181" spans="1:19">
      <c r="A181" s="1015"/>
      <c r="B181" s="1102" t="s">
        <v>7709</v>
      </c>
      <c r="C181" s="1099" t="s">
        <v>7710</v>
      </c>
      <c r="D181" s="1015"/>
      <c r="E181" s="1104" t="s">
        <v>7446</v>
      </c>
      <c r="F181" s="1105"/>
      <c r="G181" s="1104"/>
      <c r="H181" s="1104"/>
      <c r="I181" s="1104"/>
      <c r="J181" s="1104"/>
      <c r="K181" s="1104"/>
      <c r="L181" s="1104"/>
      <c r="M181" s="1106"/>
      <c r="N181" s="1159"/>
      <c r="O181" s="1104"/>
      <c r="P181" s="1107">
        <f t="shared" si="4"/>
        <v>0</v>
      </c>
      <c r="Q181" s="1107">
        <f t="shared" si="4"/>
        <v>0</v>
      </c>
      <c r="R181" s="1107">
        <f t="shared" si="4"/>
        <v>0</v>
      </c>
      <c r="S181" s="1107">
        <f t="shared" si="4"/>
        <v>0</v>
      </c>
    </row>
    <row r="182" spans="1:19">
      <c r="A182" s="1015">
        <v>148</v>
      </c>
      <c r="B182" s="1015" t="s">
        <v>7711</v>
      </c>
      <c r="C182" s="1103" t="s">
        <v>7712</v>
      </c>
      <c r="D182" s="1015"/>
      <c r="E182" s="1104" t="s">
        <v>7446</v>
      </c>
      <c r="F182" s="1105" t="s">
        <v>7425</v>
      </c>
      <c r="G182" s="1104">
        <v>84383</v>
      </c>
      <c r="H182" s="1104">
        <v>287074</v>
      </c>
      <c r="I182" s="1104">
        <v>254635</v>
      </c>
      <c r="J182" s="1104">
        <v>222777</v>
      </c>
      <c r="K182" s="1104">
        <v>367424</v>
      </c>
      <c r="L182" s="1104">
        <v>371013</v>
      </c>
      <c r="M182" s="1106">
        <v>338574</v>
      </c>
      <c r="N182" s="1159">
        <v>306716</v>
      </c>
      <c r="O182" s="1104">
        <v>451363</v>
      </c>
      <c r="P182" s="1107">
        <f t="shared" si="4"/>
        <v>658087</v>
      </c>
      <c r="Q182" s="1107">
        <f t="shared" si="4"/>
        <v>593209</v>
      </c>
      <c r="R182" s="1107">
        <f t="shared" si="4"/>
        <v>529493</v>
      </c>
      <c r="S182" s="1107">
        <f t="shared" si="4"/>
        <v>818787</v>
      </c>
    </row>
    <row r="183" spans="1:19">
      <c r="A183" s="1015">
        <v>149</v>
      </c>
      <c r="B183" s="1015" t="s">
        <v>7713</v>
      </c>
      <c r="C183" s="1103" t="s">
        <v>7714</v>
      </c>
      <c r="D183" s="1015"/>
      <c r="E183" s="1104" t="s">
        <v>7446</v>
      </c>
      <c r="F183" s="1105" t="s">
        <v>7425</v>
      </c>
      <c r="G183" s="1104">
        <v>11694</v>
      </c>
      <c r="H183" s="1104">
        <v>287074</v>
      </c>
      <c r="I183" s="1104">
        <v>254635</v>
      </c>
      <c r="J183" s="1104">
        <v>222777</v>
      </c>
      <c r="K183" s="1104">
        <v>367424</v>
      </c>
      <c r="L183" s="1104">
        <v>299507</v>
      </c>
      <c r="M183" s="1106">
        <v>267068</v>
      </c>
      <c r="N183" s="1159">
        <v>23521</v>
      </c>
      <c r="O183" s="1104">
        <v>379857</v>
      </c>
      <c r="P183" s="1107">
        <f t="shared" si="4"/>
        <v>586581</v>
      </c>
      <c r="Q183" s="1107">
        <f t="shared" si="4"/>
        <v>521703</v>
      </c>
      <c r="R183" s="1107">
        <f t="shared" si="4"/>
        <v>246298</v>
      </c>
      <c r="S183" s="1107">
        <f t="shared" si="4"/>
        <v>747281</v>
      </c>
    </row>
    <row r="184" spans="1:19">
      <c r="A184" s="1015">
        <v>150</v>
      </c>
      <c r="B184" s="1015" t="s">
        <v>7715</v>
      </c>
      <c r="C184" s="1103" t="s">
        <v>7716</v>
      </c>
      <c r="D184" s="1015"/>
      <c r="E184" s="1104" t="s">
        <v>7446</v>
      </c>
      <c r="F184" s="1105" t="s">
        <v>7425</v>
      </c>
      <c r="G184" s="1104">
        <v>18000</v>
      </c>
      <c r="H184" s="1104">
        <v>287074</v>
      </c>
      <c r="I184" s="1104">
        <v>254635</v>
      </c>
      <c r="J184" s="1104">
        <v>222777</v>
      </c>
      <c r="K184" s="1104">
        <v>367424</v>
      </c>
      <c r="L184" s="1104">
        <v>306211</v>
      </c>
      <c r="M184" s="1106">
        <v>273772</v>
      </c>
      <c r="N184" s="1159">
        <v>241914</v>
      </c>
      <c r="O184" s="1104">
        <v>386561</v>
      </c>
      <c r="P184" s="1107">
        <f t="shared" si="4"/>
        <v>593285</v>
      </c>
      <c r="Q184" s="1107">
        <f t="shared" si="4"/>
        <v>528407</v>
      </c>
      <c r="R184" s="1107">
        <f t="shared" si="4"/>
        <v>464691</v>
      </c>
      <c r="S184" s="1107">
        <f t="shared" si="4"/>
        <v>753985</v>
      </c>
    </row>
    <row r="185" spans="1:19">
      <c r="A185" s="1015">
        <v>151</v>
      </c>
      <c r="B185" s="1015" t="s">
        <v>7717</v>
      </c>
      <c r="C185" s="1103" t="s">
        <v>7718</v>
      </c>
      <c r="D185" s="1015"/>
      <c r="E185" s="1104" t="s">
        <v>7446</v>
      </c>
      <c r="F185" s="1105" t="s">
        <v>7425</v>
      </c>
      <c r="G185" s="1104">
        <v>55491</v>
      </c>
      <c r="H185" s="1104">
        <v>287074</v>
      </c>
      <c r="I185" s="1104">
        <v>254635</v>
      </c>
      <c r="J185" s="1104">
        <v>222777</v>
      </c>
      <c r="K185" s="1104">
        <v>367424</v>
      </c>
      <c r="L185" s="1104">
        <v>342273</v>
      </c>
      <c r="M185" s="1106">
        <v>309834</v>
      </c>
      <c r="N185" s="1159">
        <v>277976</v>
      </c>
      <c r="O185" s="1104">
        <v>422623</v>
      </c>
      <c r="P185" s="1107">
        <f t="shared" si="4"/>
        <v>629347</v>
      </c>
      <c r="Q185" s="1107">
        <f t="shared" si="4"/>
        <v>564469</v>
      </c>
      <c r="R185" s="1107">
        <f t="shared" si="4"/>
        <v>500753</v>
      </c>
      <c r="S185" s="1107">
        <f t="shared" si="4"/>
        <v>790047</v>
      </c>
    </row>
    <row r="186" spans="1:19">
      <c r="A186" s="1015">
        <v>152</v>
      </c>
      <c r="B186" s="1102" t="s">
        <v>7719</v>
      </c>
      <c r="C186" s="1099" t="s">
        <v>7720</v>
      </c>
      <c r="D186" s="1015" t="s">
        <v>3127</v>
      </c>
      <c r="E186" s="1104">
        <v>56772</v>
      </c>
      <c r="F186" s="1105" t="s">
        <v>7592</v>
      </c>
      <c r="G186" s="1104">
        <v>242715</v>
      </c>
      <c r="H186" s="1104">
        <v>624603</v>
      </c>
      <c r="I186" s="1104">
        <v>554024</v>
      </c>
      <c r="J186" s="1104">
        <v>484709</v>
      </c>
      <c r="K186" s="1104">
        <v>799425</v>
      </c>
      <c r="L186" s="1104">
        <v>93942</v>
      </c>
      <c r="M186" s="1106">
        <v>868841</v>
      </c>
      <c r="N186" s="1159">
        <v>799526</v>
      </c>
      <c r="O186" s="1104">
        <v>1114242</v>
      </c>
      <c r="P186" s="1107">
        <f t="shared" si="4"/>
        <v>718545</v>
      </c>
      <c r="Q186" s="1107">
        <f t="shared" si="4"/>
        <v>1422865</v>
      </c>
      <c r="R186" s="1107">
        <f t="shared" si="4"/>
        <v>1284235</v>
      </c>
      <c r="S186" s="1107">
        <f t="shared" si="4"/>
        <v>1913667</v>
      </c>
    </row>
    <row r="187" spans="1:19">
      <c r="A187" s="1015">
        <v>153</v>
      </c>
      <c r="B187" s="1102" t="s">
        <v>7721</v>
      </c>
      <c r="C187" s="1099" t="s">
        <v>7722</v>
      </c>
      <c r="D187" s="1015"/>
      <c r="E187" s="1104" t="s">
        <v>7446</v>
      </c>
      <c r="F187" s="1105" t="s">
        <v>7425</v>
      </c>
      <c r="G187" s="1104">
        <v>20179</v>
      </c>
      <c r="H187" s="1104">
        <v>287074</v>
      </c>
      <c r="I187" s="1104">
        <v>254635</v>
      </c>
      <c r="J187" s="1104">
        <v>222777</v>
      </c>
      <c r="K187" s="1104">
        <v>367424</v>
      </c>
      <c r="L187" s="1104">
        <v>308527</v>
      </c>
      <c r="M187" s="1106">
        <v>276088</v>
      </c>
      <c r="N187" s="1159">
        <v>24423</v>
      </c>
      <c r="O187" s="1104">
        <v>388877</v>
      </c>
      <c r="P187" s="1107">
        <f t="shared" si="4"/>
        <v>595601</v>
      </c>
      <c r="Q187" s="1107">
        <f t="shared" si="4"/>
        <v>530723</v>
      </c>
      <c r="R187" s="1107">
        <f t="shared" si="4"/>
        <v>247200</v>
      </c>
      <c r="S187" s="1107">
        <f t="shared" si="4"/>
        <v>756301</v>
      </c>
    </row>
    <row r="188" spans="1:19">
      <c r="A188" s="1015"/>
      <c r="B188" s="1102" t="s">
        <v>7723</v>
      </c>
      <c r="C188" s="1099" t="s">
        <v>7724</v>
      </c>
      <c r="D188" s="1015"/>
      <c r="E188" s="1104" t="s">
        <v>7446</v>
      </c>
      <c r="F188" s="1105"/>
      <c r="G188" s="1104"/>
      <c r="H188" s="1104"/>
      <c r="I188" s="1104"/>
      <c r="J188" s="1104"/>
      <c r="K188" s="1104"/>
      <c r="L188" s="1104"/>
      <c r="M188" s="1106"/>
      <c r="N188" s="1159"/>
      <c r="O188" s="1104"/>
      <c r="P188" s="1107">
        <f t="shared" si="4"/>
        <v>0</v>
      </c>
      <c r="Q188" s="1107">
        <f t="shared" si="4"/>
        <v>0</v>
      </c>
      <c r="R188" s="1107">
        <f t="shared" si="4"/>
        <v>0</v>
      </c>
      <c r="S188" s="1107">
        <f t="shared" si="4"/>
        <v>0</v>
      </c>
    </row>
    <row r="189" spans="1:19">
      <c r="A189" s="1015">
        <v>154</v>
      </c>
      <c r="B189" s="1015" t="s">
        <v>7725</v>
      </c>
      <c r="C189" s="1103" t="s">
        <v>7726</v>
      </c>
      <c r="D189" s="1015" t="s">
        <v>3127</v>
      </c>
      <c r="E189" s="1104">
        <v>27407</v>
      </c>
      <c r="F189" s="1105" t="s">
        <v>7425</v>
      </c>
      <c r="G189" s="1104">
        <v>24077</v>
      </c>
      <c r="H189" s="1104">
        <v>287074</v>
      </c>
      <c r="I189" s="1104">
        <v>254635</v>
      </c>
      <c r="J189" s="1104">
        <v>222777</v>
      </c>
      <c r="K189" s="1104">
        <v>367424</v>
      </c>
      <c r="L189" s="1104">
        <v>34933</v>
      </c>
      <c r="M189" s="1106">
        <v>316891</v>
      </c>
      <c r="N189" s="1159">
        <v>285033</v>
      </c>
      <c r="O189" s="1104">
        <v>42968</v>
      </c>
      <c r="P189" s="1107">
        <f t="shared" si="4"/>
        <v>322007</v>
      </c>
      <c r="Q189" s="1107">
        <f t="shared" si="4"/>
        <v>571526</v>
      </c>
      <c r="R189" s="1107">
        <f t="shared" si="4"/>
        <v>507810</v>
      </c>
      <c r="S189" s="1107">
        <f t="shared" si="4"/>
        <v>410392</v>
      </c>
    </row>
    <row r="190" spans="1:19">
      <c r="A190" s="1015">
        <v>155</v>
      </c>
      <c r="B190" s="1015" t="s">
        <v>7727</v>
      </c>
      <c r="C190" s="1103" t="s">
        <v>7728</v>
      </c>
      <c r="D190" s="1015" t="s">
        <v>3127</v>
      </c>
      <c r="E190" s="1104">
        <v>39153</v>
      </c>
      <c r="F190" s="1105" t="s">
        <v>7425</v>
      </c>
      <c r="G190" s="1104">
        <v>30497</v>
      </c>
      <c r="H190" s="1104">
        <v>287074</v>
      </c>
      <c r="I190" s="1104">
        <v>254635</v>
      </c>
      <c r="J190" s="1104">
        <v>222777</v>
      </c>
      <c r="K190" s="1104">
        <v>367424</v>
      </c>
      <c r="L190" s="1104">
        <v>367799</v>
      </c>
      <c r="M190" s="1106">
        <v>33536</v>
      </c>
      <c r="N190" s="1159">
        <v>303502</v>
      </c>
      <c r="O190" s="1104">
        <v>448149</v>
      </c>
      <c r="P190" s="1107">
        <f t="shared" si="4"/>
        <v>654873</v>
      </c>
      <c r="Q190" s="1107">
        <f t="shared" si="4"/>
        <v>288171</v>
      </c>
      <c r="R190" s="1107">
        <f t="shared" si="4"/>
        <v>526279</v>
      </c>
      <c r="S190" s="1107">
        <f t="shared" si="4"/>
        <v>815573</v>
      </c>
    </row>
    <row r="191" spans="1:19">
      <c r="A191" s="1015"/>
      <c r="B191" s="1102" t="s">
        <v>7729</v>
      </c>
      <c r="C191" s="1099" t="s">
        <v>7730</v>
      </c>
      <c r="D191" s="1015"/>
      <c r="E191" s="1104" t="s">
        <v>7446</v>
      </c>
      <c r="F191" s="1105"/>
      <c r="G191" s="1104"/>
      <c r="H191" s="1104"/>
      <c r="I191" s="1104"/>
      <c r="J191" s="1104"/>
      <c r="K191" s="1104"/>
      <c r="L191" s="1104"/>
      <c r="M191" s="1106"/>
      <c r="N191" s="1159"/>
      <c r="O191" s="1104"/>
      <c r="P191" s="1107">
        <f t="shared" si="4"/>
        <v>0</v>
      </c>
      <c r="Q191" s="1107">
        <f t="shared" si="4"/>
        <v>0</v>
      </c>
      <c r="R191" s="1107">
        <f t="shared" si="4"/>
        <v>0</v>
      </c>
      <c r="S191" s="1107">
        <f t="shared" si="4"/>
        <v>0</v>
      </c>
    </row>
    <row r="192" spans="1:19">
      <c r="A192" s="1015">
        <v>156</v>
      </c>
      <c r="B192" s="1015" t="s">
        <v>7731</v>
      </c>
      <c r="C192" s="1103" t="s">
        <v>7732</v>
      </c>
      <c r="D192" s="1015" t="s">
        <v>7424</v>
      </c>
      <c r="E192" s="1104">
        <v>330012</v>
      </c>
      <c r="F192" s="1105" t="s">
        <v>7556</v>
      </c>
      <c r="G192" s="1104">
        <v>5116</v>
      </c>
      <c r="H192" s="1104">
        <v>537877</v>
      </c>
      <c r="I192" s="1104">
        <v>477098</v>
      </c>
      <c r="J192" s="1104">
        <v>417407</v>
      </c>
      <c r="K192" s="1104">
        <v>688424</v>
      </c>
      <c r="L192" s="1104">
        <v>1246108</v>
      </c>
      <c r="M192" s="1106">
        <v>1185329</v>
      </c>
      <c r="N192" s="1159">
        <v>1125638</v>
      </c>
      <c r="O192" s="1104">
        <v>1396655</v>
      </c>
      <c r="P192" s="1107">
        <f t="shared" si="4"/>
        <v>1783985</v>
      </c>
      <c r="Q192" s="1107">
        <f t="shared" si="4"/>
        <v>1662427</v>
      </c>
      <c r="R192" s="1107">
        <f t="shared" si="4"/>
        <v>1543045</v>
      </c>
      <c r="S192" s="1107">
        <f t="shared" si="4"/>
        <v>2085079</v>
      </c>
    </row>
    <row r="193" spans="1:19">
      <c r="A193" s="1015">
        <v>157</v>
      </c>
      <c r="B193" s="1015" t="s">
        <v>4993</v>
      </c>
      <c r="C193" s="1103" t="s">
        <v>7733</v>
      </c>
      <c r="D193" s="1015" t="s">
        <v>7424</v>
      </c>
      <c r="E193" s="1104">
        <v>375014</v>
      </c>
      <c r="F193" s="1105" t="s">
        <v>7556</v>
      </c>
      <c r="G193" s="1104">
        <v>731758</v>
      </c>
      <c r="H193" s="1104">
        <v>537877</v>
      </c>
      <c r="I193" s="1104">
        <v>477098</v>
      </c>
      <c r="J193" s="1104">
        <v>417407</v>
      </c>
      <c r="K193" s="1104">
        <v>688424</v>
      </c>
      <c r="L193" s="1104">
        <v>1453869</v>
      </c>
      <c r="M193" s="1106">
        <v>1393090</v>
      </c>
      <c r="N193" s="1159">
        <v>1333399</v>
      </c>
      <c r="O193" s="1104">
        <v>1604416</v>
      </c>
      <c r="P193" s="1107">
        <f t="shared" si="4"/>
        <v>1991746</v>
      </c>
      <c r="Q193" s="1107">
        <f t="shared" si="4"/>
        <v>1870188</v>
      </c>
      <c r="R193" s="1107">
        <f t="shared" si="4"/>
        <v>1750806</v>
      </c>
      <c r="S193" s="1107">
        <f t="shared" si="4"/>
        <v>2292840</v>
      </c>
    </row>
    <row r="194" spans="1:19">
      <c r="A194" s="1015">
        <v>158</v>
      </c>
      <c r="B194" s="1015" t="s">
        <v>7734</v>
      </c>
      <c r="C194" s="1103" t="s">
        <v>7735</v>
      </c>
      <c r="D194" s="1015" t="s">
        <v>7424</v>
      </c>
      <c r="E194" s="1104">
        <v>435016</v>
      </c>
      <c r="F194" s="1105" t="s">
        <v>7556</v>
      </c>
      <c r="G194" s="1104">
        <v>994767</v>
      </c>
      <c r="H194" s="1104">
        <v>537877</v>
      </c>
      <c r="I194" s="1104">
        <v>477098</v>
      </c>
      <c r="J194" s="1104">
        <v>417407</v>
      </c>
      <c r="K194" s="1104">
        <v>688424</v>
      </c>
      <c r="L194" s="1104">
        <v>1701204</v>
      </c>
      <c r="M194" s="1106">
        <v>1640425</v>
      </c>
      <c r="N194" s="1159">
        <v>1580734</v>
      </c>
      <c r="O194" s="1104">
        <v>1851751</v>
      </c>
      <c r="P194" s="1107">
        <f t="shared" si="4"/>
        <v>2239081</v>
      </c>
      <c r="Q194" s="1107">
        <f t="shared" si="4"/>
        <v>2117523</v>
      </c>
      <c r="R194" s="1107">
        <f t="shared" si="4"/>
        <v>1998141</v>
      </c>
      <c r="S194" s="1107">
        <f t="shared" si="4"/>
        <v>2540175</v>
      </c>
    </row>
    <row r="195" spans="1:19">
      <c r="A195" s="1015">
        <v>159</v>
      </c>
      <c r="B195" s="1015" t="s">
        <v>7736</v>
      </c>
      <c r="C195" s="1103" t="s">
        <v>7737</v>
      </c>
      <c r="D195" s="1015" t="s">
        <v>7424</v>
      </c>
      <c r="E195" s="1104">
        <v>495018</v>
      </c>
      <c r="F195" s="1105" t="s">
        <v>7556</v>
      </c>
      <c r="G195" s="1104">
        <v>1254565</v>
      </c>
      <c r="H195" s="1104">
        <v>537877</v>
      </c>
      <c r="I195" s="1104">
        <v>477098</v>
      </c>
      <c r="J195" s="1104">
        <v>417407</v>
      </c>
      <c r="K195" s="1104">
        <v>688424</v>
      </c>
      <c r="L195" s="1104">
        <v>1951416</v>
      </c>
      <c r="M195" s="1106">
        <v>1890637</v>
      </c>
      <c r="N195" s="1159">
        <v>1830946</v>
      </c>
      <c r="O195" s="1104">
        <v>2101963</v>
      </c>
      <c r="P195" s="1107">
        <f t="shared" si="4"/>
        <v>2489293</v>
      </c>
      <c r="Q195" s="1107">
        <f t="shared" si="4"/>
        <v>2367735</v>
      </c>
      <c r="R195" s="1107">
        <f t="shared" si="4"/>
        <v>2248353</v>
      </c>
      <c r="S195" s="1107">
        <f t="shared" si="4"/>
        <v>2790387</v>
      </c>
    </row>
    <row r="196" spans="1:19">
      <c r="A196" s="1015">
        <v>160</v>
      </c>
      <c r="B196" s="1015" t="s">
        <v>7738</v>
      </c>
      <c r="C196" s="1103" t="s">
        <v>7739</v>
      </c>
      <c r="D196" s="1015" t="s">
        <v>7424</v>
      </c>
      <c r="E196" s="1104">
        <v>135005</v>
      </c>
      <c r="F196" s="1105" t="s">
        <v>7425</v>
      </c>
      <c r="G196" s="1104">
        <v>1802</v>
      </c>
      <c r="H196" s="1104">
        <v>287074</v>
      </c>
      <c r="I196" s="1104">
        <v>254635</v>
      </c>
      <c r="J196" s="1104">
        <v>222777</v>
      </c>
      <c r="K196" s="1104">
        <v>367424</v>
      </c>
      <c r="L196" s="1104">
        <v>59402</v>
      </c>
      <c r="M196" s="1106">
        <v>561581</v>
      </c>
      <c r="N196" s="1159">
        <v>529723</v>
      </c>
      <c r="O196" s="1104">
        <v>67437</v>
      </c>
      <c r="P196" s="1107">
        <f t="shared" si="4"/>
        <v>346476</v>
      </c>
      <c r="Q196" s="1107">
        <f t="shared" si="4"/>
        <v>816216</v>
      </c>
      <c r="R196" s="1107">
        <f t="shared" si="4"/>
        <v>752500</v>
      </c>
      <c r="S196" s="1107">
        <f t="shared" si="4"/>
        <v>434861</v>
      </c>
    </row>
    <row r="197" spans="1:19">
      <c r="A197" s="1015"/>
      <c r="B197" s="1102" t="s">
        <v>7740</v>
      </c>
      <c r="C197" s="1099" t="s">
        <v>7741</v>
      </c>
      <c r="D197" s="1015"/>
      <c r="E197" s="1104" t="s">
        <v>7446</v>
      </c>
      <c r="F197" s="1105"/>
      <c r="G197" s="1104"/>
      <c r="H197" s="1104"/>
      <c r="I197" s="1104"/>
      <c r="J197" s="1104"/>
      <c r="K197" s="1104"/>
      <c r="L197" s="1104"/>
      <c r="M197" s="1106"/>
      <c r="N197" s="1159"/>
      <c r="O197" s="1104"/>
      <c r="P197" s="1107">
        <f t="shared" si="4"/>
        <v>0</v>
      </c>
      <c r="Q197" s="1107">
        <f t="shared" si="4"/>
        <v>0</v>
      </c>
      <c r="R197" s="1107">
        <f t="shared" si="4"/>
        <v>0</v>
      </c>
      <c r="S197" s="1107">
        <f t="shared" si="4"/>
        <v>0</v>
      </c>
    </row>
    <row r="198" spans="1:19">
      <c r="A198" s="1015">
        <v>161</v>
      </c>
      <c r="B198" s="1015" t="s">
        <v>7742</v>
      </c>
      <c r="C198" s="1103" t="s">
        <v>7732</v>
      </c>
      <c r="D198" s="1015" t="s">
        <v>7424</v>
      </c>
      <c r="E198" s="1104">
        <v>375014</v>
      </c>
      <c r="F198" s="1105" t="s">
        <v>7556</v>
      </c>
      <c r="G198" s="1104">
        <v>1008639</v>
      </c>
      <c r="H198" s="1104">
        <v>537877</v>
      </c>
      <c r="I198" s="1104">
        <v>477098</v>
      </c>
      <c r="J198" s="1104">
        <v>417407</v>
      </c>
      <c r="K198" s="1104">
        <v>688424</v>
      </c>
      <c r="L198" s="1104">
        <v>1719802</v>
      </c>
      <c r="M198" s="1106">
        <v>1659023</v>
      </c>
      <c r="N198" s="1159">
        <v>1599332</v>
      </c>
      <c r="O198" s="1104">
        <v>1870349</v>
      </c>
      <c r="P198" s="1107">
        <f t="shared" si="4"/>
        <v>2257679</v>
      </c>
      <c r="Q198" s="1107">
        <f t="shared" si="4"/>
        <v>2136121</v>
      </c>
      <c r="R198" s="1107">
        <f t="shared" si="4"/>
        <v>2016739</v>
      </c>
      <c r="S198" s="1107">
        <f t="shared" si="4"/>
        <v>2558773</v>
      </c>
    </row>
    <row r="199" spans="1:19">
      <c r="A199" s="1015">
        <v>162</v>
      </c>
      <c r="B199" s="1015" t="s">
        <v>7743</v>
      </c>
      <c r="C199" s="1103" t="s">
        <v>7733</v>
      </c>
      <c r="D199" s="1015" t="s">
        <v>7424</v>
      </c>
      <c r="E199" s="1104">
        <v>435016</v>
      </c>
      <c r="F199" s="1105" t="s">
        <v>7556</v>
      </c>
      <c r="G199" s="1104">
        <v>1371165</v>
      </c>
      <c r="H199" s="1104">
        <v>537877</v>
      </c>
      <c r="I199" s="1104">
        <v>477098</v>
      </c>
      <c r="J199" s="1104">
        <v>417407</v>
      </c>
      <c r="K199" s="1104">
        <v>688424</v>
      </c>
      <c r="L199" s="1104">
        <v>2060031</v>
      </c>
      <c r="M199" s="1106">
        <v>1999252</v>
      </c>
      <c r="N199" s="1159">
        <v>1939561</v>
      </c>
      <c r="O199" s="1104">
        <v>2210578</v>
      </c>
      <c r="P199" s="1107">
        <f t="shared" si="4"/>
        <v>2597908</v>
      </c>
      <c r="Q199" s="1107">
        <f t="shared" si="4"/>
        <v>2476350</v>
      </c>
      <c r="R199" s="1107">
        <f t="shared" si="4"/>
        <v>2356968</v>
      </c>
      <c r="S199" s="1107">
        <f t="shared" si="4"/>
        <v>2899002</v>
      </c>
    </row>
    <row r="200" spans="1:19">
      <c r="A200" s="1015">
        <v>163</v>
      </c>
      <c r="B200" s="1015" t="s">
        <v>7744</v>
      </c>
      <c r="C200" s="1103" t="s">
        <v>7735</v>
      </c>
      <c r="D200" s="1015" t="s">
        <v>7424</v>
      </c>
      <c r="E200" s="1104">
        <v>495018</v>
      </c>
      <c r="F200" s="1105" t="s">
        <v>7556</v>
      </c>
      <c r="G200" s="1104">
        <v>1662779</v>
      </c>
      <c r="H200" s="1104">
        <v>537877</v>
      </c>
      <c r="I200" s="1104">
        <v>477098</v>
      </c>
      <c r="J200" s="1104">
        <v>417407</v>
      </c>
      <c r="K200" s="1104">
        <v>688424</v>
      </c>
      <c r="L200" s="1104">
        <v>2351241</v>
      </c>
      <c r="M200" s="1106">
        <v>2290462</v>
      </c>
      <c r="N200" s="1159">
        <v>2230771</v>
      </c>
      <c r="O200" s="1104">
        <v>2501788</v>
      </c>
      <c r="P200" s="1107">
        <f t="shared" si="4"/>
        <v>2889118</v>
      </c>
      <c r="Q200" s="1107">
        <f t="shared" si="4"/>
        <v>2767560</v>
      </c>
      <c r="R200" s="1107">
        <f t="shared" si="4"/>
        <v>2648178</v>
      </c>
      <c r="S200" s="1107">
        <f t="shared" si="4"/>
        <v>3190212</v>
      </c>
    </row>
    <row r="201" spans="1:19">
      <c r="A201" s="1015"/>
      <c r="B201" s="1102" t="s">
        <v>7745</v>
      </c>
      <c r="C201" s="1099" t="s">
        <v>7746</v>
      </c>
      <c r="D201" s="1015"/>
      <c r="E201" s="1104" t="s">
        <v>7446</v>
      </c>
      <c r="F201" s="1105"/>
      <c r="G201" s="1104"/>
      <c r="H201" s="1104"/>
      <c r="I201" s="1104"/>
      <c r="J201" s="1104"/>
      <c r="K201" s="1104"/>
      <c r="L201" s="1104"/>
      <c r="M201" s="1106"/>
      <c r="N201" s="1159"/>
      <c r="O201" s="1104"/>
      <c r="P201" s="1107">
        <f t="shared" si="4"/>
        <v>0</v>
      </c>
      <c r="Q201" s="1107">
        <f t="shared" si="4"/>
        <v>0</v>
      </c>
      <c r="R201" s="1107">
        <f t="shared" si="4"/>
        <v>0</v>
      </c>
      <c r="S201" s="1107">
        <f t="shared" ref="S201:S264" si="5">K201+O201</f>
        <v>0</v>
      </c>
    </row>
    <row r="202" spans="1:19">
      <c r="A202" s="1015"/>
      <c r="B202" s="1102" t="s">
        <v>7747</v>
      </c>
      <c r="C202" s="1099" t="s">
        <v>7748</v>
      </c>
      <c r="D202" s="1015"/>
      <c r="E202" s="1104" t="s">
        <v>7446</v>
      </c>
      <c r="F202" s="1105"/>
      <c r="G202" s="1104"/>
      <c r="H202" s="1104"/>
      <c r="I202" s="1104"/>
      <c r="J202" s="1104"/>
      <c r="K202" s="1104"/>
      <c r="L202" s="1104"/>
      <c r="M202" s="1106"/>
      <c r="N202" s="1159"/>
      <c r="O202" s="1104"/>
      <c r="P202" s="1107">
        <f t="shared" ref="P202:S265" si="6">H202+L202</f>
        <v>0</v>
      </c>
      <c r="Q202" s="1107">
        <f t="shared" si="6"/>
        <v>0</v>
      </c>
      <c r="R202" s="1107">
        <f t="shared" si="6"/>
        <v>0</v>
      </c>
      <c r="S202" s="1107">
        <f t="shared" si="5"/>
        <v>0</v>
      </c>
    </row>
    <row r="203" spans="1:19">
      <c r="A203" s="1015">
        <v>164</v>
      </c>
      <c r="B203" s="1015" t="s">
        <v>7749</v>
      </c>
      <c r="C203" s="1103" t="s">
        <v>7750</v>
      </c>
      <c r="D203" s="1015" t="s">
        <v>7424</v>
      </c>
      <c r="E203" s="1104">
        <v>840031</v>
      </c>
      <c r="F203" s="1105" t="s">
        <v>7452</v>
      </c>
      <c r="G203" s="1104">
        <v>1125927</v>
      </c>
      <c r="H203" s="1104">
        <v>337529</v>
      </c>
      <c r="I203" s="1104">
        <v>299389</v>
      </c>
      <c r="J203" s="1104">
        <v>261932</v>
      </c>
      <c r="K203" s="1104">
        <v>432001</v>
      </c>
      <c r="L203" s="1104">
        <v>2130267</v>
      </c>
      <c r="M203" s="1106">
        <v>2092127</v>
      </c>
      <c r="N203" s="1159">
        <v>2054670</v>
      </c>
      <c r="O203" s="1104">
        <v>2224739</v>
      </c>
      <c r="P203" s="1107">
        <f t="shared" si="6"/>
        <v>2467796</v>
      </c>
      <c r="Q203" s="1107">
        <f t="shared" si="6"/>
        <v>2391516</v>
      </c>
      <c r="R203" s="1107">
        <f t="shared" si="6"/>
        <v>2316602</v>
      </c>
      <c r="S203" s="1107">
        <f t="shared" si="5"/>
        <v>2656740</v>
      </c>
    </row>
    <row r="204" spans="1:19">
      <c r="A204" s="1015">
        <v>165</v>
      </c>
      <c r="B204" s="1015" t="s">
        <v>7751</v>
      </c>
      <c r="C204" s="1103" t="s">
        <v>7752</v>
      </c>
      <c r="D204" s="1015" t="s">
        <v>7424</v>
      </c>
      <c r="E204" s="1104">
        <v>885032</v>
      </c>
      <c r="F204" s="1105" t="s">
        <v>7452</v>
      </c>
      <c r="G204" s="1104">
        <v>1233813</v>
      </c>
      <c r="H204" s="1104">
        <v>337529</v>
      </c>
      <c r="I204" s="1104">
        <v>299389</v>
      </c>
      <c r="J204" s="1104">
        <v>261932</v>
      </c>
      <c r="K204" s="1104">
        <v>432001</v>
      </c>
      <c r="L204" s="1104">
        <v>2266557</v>
      </c>
      <c r="M204" s="1106">
        <v>2228417</v>
      </c>
      <c r="N204" s="1159">
        <v>2190960</v>
      </c>
      <c r="O204" s="1104">
        <v>2361029</v>
      </c>
      <c r="P204" s="1107">
        <f t="shared" si="6"/>
        <v>2604086</v>
      </c>
      <c r="Q204" s="1107">
        <f t="shared" si="6"/>
        <v>2527806</v>
      </c>
      <c r="R204" s="1107">
        <f t="shared" si="6"/>
        <v>2452892</v>
      </c>
      <c r="S204" s="1107">
        <f t="shared" si="5"/>
        <v>2793030</v>
      </c>
    </row>
    <row r="205" spans="1:19">
      <c r="A205" s="1015">
        <v>166</v>
      </c>
      <c r="B205" s="1015" t="s">
        <v>7753</v>
      </c>
      <c r="C205" s="1103" t="s">
        <v>7688</v>
      </c>
      <c r="D205" s="1015" t="s">
        <v>7424</v>
      </c>
      <c r="E205" s="1104">
        <v>930034</v>
      </c>
      <c r="F205" s="1105" t="s">
        <v>7452</v>
      </c>
      <c r="G205" s="1104">
        <v>2354696</v>
      </c>
      <c r="H205" s="1104">
        <v>337529</v>
      </c>
      <c r="I205" s="1104">
        <v>299389</v>
      </c>
      <c r="J205" s="1104">
        <v>261932</v>
      </c>
      <c r="K205" s="1104">
        <v>432001</v>
      </c>
      <c r="L205" s="1104">
        <v>3133207</v>
      </c>
      <c r="M205" s="1106">
        <v>3095067</v>
      </c>
      <c r="N205" s="1159">
        <v>3057610</v>
      </c>
      <c r="O205" s="1104">
        <v>3227679</v>
      </c>
      <c r="P205" s="1107">
        <f t="shared" si="6"/>
        <v>3470736</v>
      </c>
      <c r="Q205" s="1107">
        <f t="shared" si="6"/>
        <v>3394456</v>
      </c>
      <c r="R205" s="1107">
        <f t="shared" si="6"/>
        <v>3319542</v>
      </c>
      <c r="S205" s="1107">
        <f t="shared" si="5"/>
        <v>3659680</v>
      </c>
    </row>
    <row r="206" spans="1:19">
      <c r="A206" s="1015">
        <v>167</v>
      </c>
      <c r="B206" s="1015" t="s">
        <v>7754</v>
      </c>
      <c r="C206" s="1103" t="s">
        <v>7755</v>
      </c>
      <c r="D206" s="1015" t="s">
        <v>7424</v>
      </c>
      <c r="E206" s="1104">
        <v>975035</v>
      </c>
      <c r="F206" s="1105" t="s">
        <v>7452</v>
      </c>
      <c r="G206" s="1104">
        <v>2751960</v>
      </c>
      <c r="H206" s="1104">
        <v>337529</v>
      </c>
      <c r="I206" s="1104">
        <v>299389</v>
      </c>
      <c r="J206" s="1104">
        <v>261932</v>
      </c>
      <c r="K206" s="1104">
        <v>432001</v>
      </c>
      <c r="L206" s="1104">
        <v>3492964</v>
      </c>
      <c r="M206" s="1106">
        <v>3454824</v>
      </c>
      <c r="N206" s="1159">
        <v>3417367</v>
      </c>
      <c r="O206" s="1104">
        <v>3587436</v>
      </c>
      <c r="P206" s="1107">
        <f t="shared" si="6"/>
        <v>3830493</v>
      </c>
      <c r="Q206" s="1107">
        <f t="shared" si="6"/>
        <v>3754213</v>
      </c>
      <c r="R206" s="1107">
        <f t="shared" si="6"/>
        <v>3679299</v>
      </c>
      <c r="S206" s="1107">
        <f t="shared" si="5"/>
        <v>4019437</v>
      </c>
    </row>
    <row r="207" spans="1:19">
      <c r="A207" s="1015">
        <v>168</v>
      </c>
      <c r="B207" s="1015" t="s">
        <v>7756</v>
      </c>
      <c r="C207" s="1103" t="s">
        <v>7757</v>
      </c>
      <c r="D207" s="1015" t="s">
        <v>7424</v>
      </c>
      <c r="E207" s="1104">
        <v>2190080</v>
      </c>
      <c r="F207" s="1105" t="s">
        <v>7452</v>
      </c>
      <c r="G207" s="1104">
        <v>12825610</v>
      </c>
      <c r="H207" s="1104">
        <v>337529</v>
      </c>
      <c r="I207" s="1104">
        <v>299389</v>
      </c>
      <c r="J207" s="1104">
        <v>261932</v>
      </c>
      <c r="K207" s="1104">
        <v>432001</v>
      </c>
      <c r="L207" s="1104">
        <v>12689438</v>
      </c>
      <c r="M207" s="1106">
        <v>12651298</v>
      </c>
      <c r="N207" s="1159">
        <v>12613841</v>
      </c>
      <c r="O207" s="1104">
        <v>12783910</v>
      </c>
      <c r="P207" s="1107">
        <f t="shared" si="6"/>
        <v>13026967</v>
      </c>
      <c r="Q207" s="1107">
        <f t="shared" si="6"/>
        <v>12950687</v>
      </c>
      <c r="R207" s="1107">
        <f t="shared" si="6"/>
        <v>12875773</v>
      </c>
      <c r="S207" s="1107">
        <f t="shared" si="5"/>
        <v>13215911</v>
      </c>
    </row>
    <row r="208" spans="1:19">
      <c r="A208" s="1015"/>
      <c r="B208" s="1102" t="s">
        <v>7758</v>
      </c>
      <c r="C208" s="1099" t="s">
        <v>7759</v>
      </c>
      <c r="D208" s="1015"/>
      <c r="E208" s="1104" t="s">
        <v>7446</v>
      </c>
      <c r="F208" s="1105"/>
      <c r="G208" s="1104"/>
      <c r="H208" s="1104"/>
      <c r="I208" s="1104"/>
      <c r="J208" s="1104"/>
      <c r="K208" s="1104"/>
      <c r="L208" s="1104"/>
      <c r="M208" s="1106"/>
      <c r="N208" s="1159"/>
      <c r="O208" s="1104"/>
      <c r="P208" s="1107">
        <f t="shared" si="6"/>
        <v>0</v>
      </c>
      <c r="Q208" s="1107">
        <f t="shared" si="6"/>
        <v>0</v>
      </c>
      <c r="R208" s="1107">
        <f t="shared" si="6"/>
        <v>0</v>
      </c>
      <c r="S208" s="1107">
        <f t="shared" si="5"/>
        <v>0</v>
      </c>
    </row>
    <row r="209" spans="1:19">
      <c r="A209" s="1015">
        <v>169</v>
      </c>
      <c r="B209" s="1015" t="s">
        <v>7760</v>
      </c>
      <c r="C209" s="1103" t="s">
        <v>7750</v>
      </c>
      <c r="D209" s="1015" t="s">
        <v>7761</v>
      </c>
      <c r="E209" s="1104">
        <v>38742</v>
      </c>
      <c r="F209" s="1105" t="s">
        <v>7452</v>
      </c>
      <c r="G209" s="1104">
        <v>579674</v>
      </c>
      <c r="H209" s="1104">
        <v>337529</v>
      </c>
      <c r="I209" s="1104">
        <v>299389</v>
      </c>
      <c r="J209" s="1104">
        <v>261932</v>
      </c>
      <c r="K209" s="1104">
        <v>432001</v>
      </c>
      <c r="L209" s="1104">
        <v>1204295</v>
      </c>
      <c r="M209" s="1106">
        <v>1166155</v>
      </c>
      <c r="N209" s="1159">
        <v>1128698</v>
      </c>
      <c r="O209" s="1104">
        <v>1298767</v>
      </c>
      <c r="P209" s="1107">
        <f t="shared" si="6"/>
        <v>1541824</v>
      </c>
      <c r="Q209" s="1107">
        <f t="shared" si="6"/>
        <v>1465544</v>
      </c>
      <c r="R209" s="1107">
        <f t="shared" si="6"/>
        <v>1390630</v>
      </c>
      <c r="S209" s="1107">
        <f t="shared" si="5"/>
        <v>1730768</v>
      </c>
    </row>
    <row r="210" spans="1:19">
      <c r="A210" s="1015">
        <v>170</v>
      </c>
      <c r="B210" s="1015" t="s">
        <v>7762</v>
      </c>
      <c r="C210" s="1103" t="s">
        <v>7752</v>
      </c>
      <c r="D210" s="1015" t="s">
        <v>7763</v>
      </c>
      <c r="E210" s="1104">
        <v>477424</v>
      </c>
      <c r="F210" s="1105" t="s">
        <v>7452</v>
      </c>
      <c r="G210" s="1104">
        <v>852657</v>
      </c>
      <c r="H210" s="1104">
        <v>337529</v>
      </c>
      <c r="I210" s="1104">
        <v>299389</v>
      </c>
      <c r="J210" s="1104">
        <v>261932</v>
      </c>
      <c r="K210" s="1104">
        <v>432001</v>
      </c>
      <c r="L210" s="1104">
        <v>1520034</v>
      </c>
      <c r="M210" s="1106">
        <v>1481894</v>
      </c>
      <c r="N210" s="1159">
        <v>1444437</v>
      </c>
      <c r="O210" s="1104">
        <v>1614506</v>
      </c>
      <c r="P210" s="1107">
        <f t="shared" si="6"/>
        <v>1857563</v>
      </c>
      <c r="Q210" s="1107">
        <f t="shared" si="6"/>
        <v>1781283</v>
      </c>
      <c r="R210" s="1107">
        <f t="shared" si="6"/>
        <v>1706369</v>
      </c>
      <c r="S210" s="1107">
        <f t="shared" si="5"/>
        <v>2046507</v>
      </c>
    </row>
    <row r="211" spans="1:19">
      <c r="A211" s="1015">
        <v>171</v>
      </c>
      <c r="B211" s="1015" t="s">
        <v>7764</v>
      </c>
      <c r="C211" s="1103" t="s">
        <v>7765</v>
      </c>
      <c r="D211" s="1015" t="s">
        <v>7766</v>
      </c>
      <c r="E211" s="1104">
        <v>588961</v>
      </c>
      <c r="F211" s="1105" t="s">
        <v>7452</v>
      </c>
      <c r="G211" s="1104">
        <v>1129080</v>
      </c>
      <c r="H211" s="1104">
        <v>337529</v>
      </c>
      <c r="I211" s="1104">
        <v>299389</v>
      </c>
      <c r="J211" s="1104">
        <v>261932</v>
      </c>
      <c r="K211" s="1104">
        <v>432001</v>
      </c>
      <c r="L211" s="1104">
        <v>1764615</v>
      </c>
      <c r="M211" s="1106">
        <v>1726475</v>
      </c>
      <c r="N211" s="1159">
        <v>1689018</v>
      </c>
      <c r="O211" s="1104">
        <v>1859087</v>
      </c>
      <c r="P211" s="1107">
        <f t="shared" si="6"/>
        <v>2102144</v>
      </c>
      <c r="Q211" s="1107">
        <f t="shared" si="6"/>
        <v>2025864</v>
      </c>
      <c r="R211" s="1107">
        <f t="shared" si="6"/>
        <v>1950950</v>
      </c>
      <c r="S211" s="1107">
        <f t="shared" si="5"/>
        <v>2291088</v>
      </c>
    </row>
    <row r="212" spans="1:19">
      <c r="A212" s="1015">
        <v>172</v>
      </c>
      <c r="B212" s="1015" t="s">
        <v>7767</v>
      </c>
      <c r="C212" s="1103" t="s">
        <v>7688</v>
      </c>
      <c r="D212" s="1015" t="s">
        <v>7768</v>
      </c>
      <c r="E212" s="1104">
        <v>768968</v>
      </c>
      <c r="F212" s="1105" t="s">
        <v>7452</v>
      </c>
      <c r="G212" s="1104">
        <v>1271935</v>
      </c>
      <c r="H212" s="1104">
        <v>337529</v>
      </c>
      <c r="I212" s="1104">
        <v>299389</v>
      </c>
      <c r="J212" s="1104">
        <v>261932</v>
      </c>
      <c r="K212" s="1104">
        <v>432001</v>
      </c>
      <c r="L212" s="1104">
        <v>2050664</v>
      </c>
      <c r="M212" s="1106">
        <v>2012524</v>
      </c>
      <c r="N212" s="1159">
        <v>1975067</v>
      </c>
      <c r="O212" s="1104">
        <v>2145136</v>
      </c>
      <c r="P212" s="1107">
        <f t="shared" si="6"/>
        <v>2388193</v>
      </c>
      <c r="Q212" s="1107">
        <f t="shared" si="6"/>
        <v>2311913</v>
      </c>
      <c r="R212" s="1107">
        <f t="shared" si="6"/>
        <v>2236999</v>
      </c>
      <c r="S212" s="1107">
        <f t="shared" si="5"/>
        <v>2577137</v>
      </c>
    </row>
    <row r="213" spans="1:19">
      <c r="A213" s="1015">
        <v>173</v>
      </c>
      <c r="B213" s="1015" t="s">
        <v>7769</v>
      </c>
      <c r="C213" s="1103" t="s">
        <v>7755</v>
      </c>
      <c r="D213" s="1015" t="s">
        <v>7770</v>
      </c>
      <c r="E213" s="1104">
        <v>1011595</v>
      </c>
      <c r="F213" s="1105" t="s">
        <v>7452</v>
      </c>
      <c r="G213" s="1104">
        <v>1570829</v>
      </c>
      <c r="H213" s="1104">
        <v>337529</v>
      </c>
      <c r="I213" s="1104">
        <v>299389</v>
      </c>
      <c r="J213" s="1104">
        <v>261932</v>
      </c>
      <c r="K213" s="1104">
        <v>432001</v>
      </c>
      <c r="L213" s="1104">
        <v>2515162</v>
      </c>
      <c r="M213" s="1106">
        <v>2477022</v>
      </c>
      <c r="N213" s="1159">
        <v>2439565</v>
      </c>
      <c r="O213" s="1104">
        <v>2609634</v>
      </c>
      <c r="P213" s="1107">
        <f t="shared" si="6"/>
        <v>2852691</v>
      </c>
      <c r="Q213" s="1107">
        <f t="shared" si="6"/>
        <v>2776411</v>
      </c>
      <c r="R213" s="1107">
        <f t="shared" si="6"/>
        <v>2701497</v>
      </c>
      <c r="S213" s="1107">
        <f t="shared" si="5"/>
        <v>3041635</v>
      </c>
    </row>
    <row r="214" spans="1:19">
      <c r="A214" s="1015">
        <v>174</v>
      </c>
      <c r="B214" s="1015" t="s">
        <v>7771</v>
      </c>
      <c r="C214" s="1103" t="s">
        <v>7772</v>
      </c>
      <c r="D214" s="1015" t="s">
        <v>7773</v>
      </c>
      <c r="E214" s="1104">
        <v>1236603</v>
      </c>
      <c r="F214" s="1105" t="s">
        <v>7452</v>
      </c>
      <c r="G214" s="1104">
        <v>1872934</v>
      </c>
      <c r="H214" s="1104">
        <v>337529</v>
      </c>
      <c r="I214" s="1104">
        <v>299389</v>
      </c>
      <c r="J214" s="1104">
        <v>261932</v>
      </c>
      <c r="K214" s="1104">
        <v>432001</v>
      </c>
      <c r="L214" s="1104">
        <v>2964425</v>
      </c>
      <c r="M214" s="1106">
        <v>2926285</v>
      </c>
      <c r="N214" s="1159">
        <v>2888828</v>
      </c>
      <c r="O214" s="1104">
        <v>3058897</v>
      </c>
      <c r="P214" s="1107">
        <f t="shared" si="6"/>
        <v>3301954</v>
      </c>
      <c r="Q214" s="1107">
        <f t="shared" si="6"/>
        <v>3225674</v>
      </c>
      <c r="R214" s="1107">
        <f t="shared" si="6"/>
        <v>3150760</v>
      </c>
      <c r="S214" s="1107">
        <f t="shared" si="5"/>
        <v>3490898</v>
      </c>
    </row>
    <row r="215" spans="1:19">
      <c r="A215" s="1015"/>
      <c r="B215" s="1102" t="s">
        <v>7774</v>
      </c>
      <c r="C215" s="1099" t="s">
        <v>7775</v>
      </c>
      <c r="D215" s="1015"/>
      <c r="E215" s="1104" t="s">
        <v>7446</v>
      </c>
      <c r="F215" s="1105"/>
      <c r="G215" s="1104"/>
      <c r="H215" s="1104"/>
      <c r="I215" s="1104"/>
      <c r="J215" s="1104"/>
      <c r="K215" s="1104"/>
      <c r="L215" s="1104"/>
      <c r="M215" s="1106"/>
      <c r="N215" s="1159"/>
      <c r="O215" s="1104"/>
      <c r="P215" s="1107">
        <f t="shared" si="6"/>
        <v>0</v>
      </c>
      <c r="Q215" s="1107">
        <f t="shared" si="6"/>
        <v>0</v>
      </c>
      <c r="R215" s="1107">
        <f t="shared" si="6"/>
        <v>0</v>
      </c>
      <c r="S215" s="1107">
        <f t="shared" si="5"/>
        <v>0</v>
      </c>
    </row>
    <row r="216" spans="1:19">
      <c r="A216" s="1015">
        <v>175</v>
      </c>
      <c r="B216" s="1015" t="s">
        <v>7776</v>
      </c>
      <c r="C216" s="1103" t="s">
        <v>7777</v>
      </c>
      <c r="D216" s="1015" t="s">
        <v>7778</v>
      </c>
      <c r="E216" s="1104">
        <v>91129</v>
      </c>
      <c r="F216" s="1105" t="s">
        <v>7452</v>
      </c>
      <c r="G216" s="1104">
        <v>3047619</v>
      </c>
      <c r="H216" s="1104">
        <v>337529</v>
      </c>
      <c r="I216" s="1104">
        <v>299389</v>
      </c>
      <c r="J216" s="1104">
        <v>261932</v>
      </c>
      <c r="K216" s="1104">
        <v>432001</v>
      </c>
      <c r="L216" s="1104">
        <v>4227174</v>
      </c>
      <c r="M216" s="1106">
        <v>4189034</v>
      </c>
      <c r="N216" s="1159">
        <v>4151577</v>
      </c>
      <c r="O216" s="1104">
        <v>4321646</v>
      </c>
      <c r="P216" s="1107">
        <f t="shared" si="6"/>
        <v>4564703</v>
      </c>
      <c r="Q216" s="1107">
        <f t="shared" si="6"/>
        <v>4488423</v>
      </c>
      <c r="R216" s="1107">
        <f t="shared" si="6"/>
        <v>4413509</v>
      </c>
      <c r="S216" s="1107">
        <f t="shared" si="5"/>
        <v>4753647</v>
      </c>
    </row>
    <row r="217" spans="1:19">
      <c r="A217" s="1015">
        <v>176</v>
      </c>
      <c r="B217" s="1015" t="s">
        <v>7779</v>
      </c>
      <c r="C217" s="1103" t="s">
        <v>7780</v>
      </c>
      <c r="D217" s="1015" t="s">
        <v>7781</v>
      </c>
      <c r="E217" s="1104">
        <v>1234867</v>
      </c>
      <c r="F217" s="1105" t="s">
        <v>7452</v>
      </c>
      <c r="G217" s="1104">
        <v>4585650</v>
      </c>
      <c r="H217" s="1104">
        <v>337529</v>
      </c>
      <c r="I217" s="1104">
        <v>299389</v>
      </c>
      <c r="J217" s="1104">
        <v>261932</v>
      </c>
      <c r="K217" s="1104">
        <v>432001</v>
      </c>
      <c r="L217" s="1104">
        <v>6053826</v>
      </c>
      <c r="M217" s="1106">
        <v>6015686</v>
      </c>
      <c r="N217" s="1159">
        <v>5978229</v>
      </c>
      <c r="O217" s="1104">
        <v>6148298</v>
      </c>
      <c r="P217" s="1107">
        <f t="shared" si="6"/>
        <v>6391355</v>
      </c>
      <c r="Q217" s="1107">
        <f t="shared" si="6"/>
        <v>6315075</v>
      </c>
      <c r="R217" s="1107">
        <f t="shared" si="6"/>
        <v>6240161</v>
      </c>
      <c r="S217" s="1107">
        <f t="shared" si="5"/>
        <v>6580299</v>
      </c>
    </row>
    <row r="218" spans="1:19">
      <c r="A218" s="1015"/>
      <c r="B218" s="1102" t="s">
        <v>7782</v>
      </c>
      <c r="C218" s="1099" t="s">
        <v>7783</v>
      </c>
      <c r="D218" s="1015"/>
      <c r="E218" s="1104" t="s">
        <v>7446</v>
      </c>
      <c r="F218" s="1105"/>
      <c r="G218" s="1104"/>
      <c r="H218" s="1104"/>
      <c r="I218" s="1104"/>
      <c r="J218" s="1104"/>
      <c r="K218" s="1104"/>
      <c r="L218" s="1104"/>
      <c r="M218" s="1106"/>
      <c r="N218" s="1159"/>
      <c r="O218" s="1104"/>
      <c r="P218" s="1107">
        <f t="shared" si="6"/>
        <v>0</v>
      </c>
      <c r="Q218" s="1107">
        <f t="shared" si="6"/>
        <v>0</v>
      </c>
      <c r="R218" s="1107">
        <f t="shared" si="6"/>
        <v>0</v>
      </c>
      <c r="S218" s="1107">
        <f t="shared" si="5"/>
        <v>0</v>
      </c>
    </row>
    <row r="219" spans="1:19">
      <c r="A219" s="1015">
        <v>177</v>
      </c>
      <c r="B219" s="1015" t="s">
        <v>7784</v>
      </c>
      <c r="C219" s="1103" t="s">
        <v>7785</v>
      </c>
      <c r="D219" s="1015" t="s">
        <v>3127</v>
      </c>
      <c r="E219" s="1104">
        <v>211427</v>
      </c>
      <c r="F219" s="1105"/>
      <c r="G219" s="1104">
        <v>122906</v>
      </c>
      <c r="H219" s="1104"/>
      <c r="I219" s="1104"/>
      <c r="J219" s="1104"/>
      <c r="K219" s="1104"/>
      <c r="L219" s="1104">
        <v>321019</v>
      </c>
      <c r="M219" s="1106">
        <v>321019</v>
      </c>
      <c r="N219" s="1159">
        <v>321019</v>
      </c>
      <c r="O219" s="1104">
        <v>321019</v>
      </c>
      <c r="P219" s="1107">
        <f t="shared" si="6"/>
        <v>321019</v>
      </c>
      <c r="Q219" s="1107">
        <f t="shared" si="6"/>
        <v>321019</v>
      </c>
      <c r="R219" s="1107">
        <f t="shared" si="6"/>
        <v>321019</v>
      </c>
      <c r="S219" s="1107">
        <f t="shared" si="5"/>
        <v>321019</v>
      </c>
    </row>
    <row r="220" spans="1:19">
      <c r="A220" s="1015">
        <v>178</v>
      </c>
      <c r="B220" s="1015" t="s">
        <v>7786</v>
      </c>
      <c r="C220" s="1103" t="s">
        <v>7787</v>
      </c>
      <c r="D220" s="1015" t="s">
        <v>3127</v>
      </c>
      <c r="E220" s="1104">
        <v>264284</v>
      </c>
      <c r="F220" s="1105"/>
      <c r="G220" s="1104">
        <v>149734</v>
      </c>
      <c r="H220" s="1104"/>
      <c r="I220" s="1104"/>
      <c r="J220" s="1104"/>
      <c r="K220" s="1104"/>
      <c r="L220" s="1104">
        <v>397797</v>
      </c>
      <c r="M220" s="1106">
        <v>397797</v>
      </c>
      <c r="N220" s="1159">
        <v>397797</v>
      </c>
      <c r="O220" s="1104">
        <v>397797</v>
      </c>
      <c r="P220" s="1107">
        <f t="shared" si="6"/>
        <v>397797</v>
      </c>
      <c r="Q220" s="1107">
        <f t="shared" si="6"/>
        <v>397797</v>
      </c>
      <c r="R220" s="1107">
        <f t="shared" si="6"/>
        <v>397797</v>
      </c>
      <c r="S220" s="1107">
        <f t="shared" si="5"/>
        <v>397797</v>
      </c>
    </row>
    <row r="221" spans="1:19">
      <c r="A221" s="1015">
        <v>179</v>
      </c>
      <c r="B221" s="1015" t="s">
        <v>7788</v>
      </c>
      <c r="C221" s="1103" t="s">
        <v>7789</v>
      </c>
      <c r="D221" s="1015" t="s">
        <v>3127</v>
      </c>
      <c r="E221" s="1104">
        <v>698885</v>
      </c>
      <c r="F221" s="1105"/>
      <c r="G221" s="1104">
        <v>28227</v>
      </c>
      <c r="H221" s="1104"/>
      <c r="I221" s="1104"/>
      <c r="J221" s="1104"/>
      <c r="K221" s="1104"/>
      <c r="L221" s="1104">
        <v>936933</v>
      </c>
      <c r="M221" s="1106">
        <v>936933</v>
      </c>
      <c r="N221" s="1159">
        <v>936933</v>
      </c>
      <c r="O221" s="1104">
        <v>936933</v>
      </c>
      <c r="P221" s="1107">
        <f t="shared" si="6"/>
        <v>936933</v>
      </c>
      <c r="Q221" s="1107">
        <f t="shared" si="6"/>
        <v>936933</v>
      </c>
      <c r="R221" s="1107">
        <f t="shared" si="6"/>
        <v>936933</v>
      </c>
      <c r="S221" s="1107">
        <f t="shared" si="5"/>
        <v>936933</v>
      </c>
    </row>
    <row r="222" spans="1:19">
      <c r="A222" s="1015"/>
      <c r="B222" s="1102" t="s">
        <v>7790</v>
      </c>
      <c r="C222" s="1099" t="s">
        <v>7791</v>
      </c>
      <c r="D222" s="1015"/>
      <c r="E222" s="1104" t="s">
        <v>7446</v>
      </c>
      <c r="F222" s="1105"/>
      <c r="G222" s="1104"/>
      <c r="H222" s="1104"/>
      <c r="I222" s="1104"/>
      <c r="J222" s="1104"/>
      <c r="K222" s="1104"/>
      <c r="L222" s="1104"/>
      <c r="M222" s="1106"/>
      <c r="N222" s="1159"/>
      <c r="O222" s="1104"/>
      <c r="P222" s="1107">
        <f t="shared" si="6"/>
        <v>0</v>
      </c>
      <c r="Q222" s="1107">
        <f t="shared" si="6"/>
        <v>0</v>
      </c>
      <c r="R222" s="1107">
        <f t="shared" si="6"/>
        <v>0</v>
      </c>
      <c r="S222" s="1107">
        <f t="shared" si="5"/>
        <v>0</v>
      </c>
    </row>
    <row r="223" spans="1:19">
      <c r="A223" s="1015">
        <v>180</v>
      </c>
      <c r="B223" s="1015" t="s">
        <v>7792</v>
      </c>
      <c r="C223" s="1103" t="s">
        <v>7750</v>
      </c>
      <c r="D223" s="1015" t="s">
        <v>7424</v>
      </c>
      <c r="E223" s="1104">
        <v>55502</v>
      </c>
      <c r="F223" s="1105" t="s">
        <v>7631</v>
      </c>
      <c r="G223" s="1104">
        <v>2532100</v>
      </c>
      <c r="H223" s="1104">
        <v>2146801</v>
      </c>
      <c r="I223" s="1104">
        <v>1904237</v>
      </c>
      <c r="J223" s="1104">
        <v>1665926</v>
      </c>
      <c r="K223" s="1104">
        <v>2747902</v>
      </c>
      <c r="L223" s="1104">
        <v>5096766</v>
      </c>
      <c r="M223" s="1106">
        <v>4854202</v>
      </c>
      <c r="N223" s="1159">
        <v>4615891</v>
      </c>
      <c r="O223" s="1104">
        <v>5697867</v>
      </c>
      <c r="P223" s="1107">
        <f t="shared" si="6"/>
        <v>7243567</v>
      </c>
      <c r="Q223" s="1107">
        <f t="shared" si="6"/>
        <v>6758439</v>
      </c>
      <c r="R223" s="1107">
        <f t="shared" si="6"/>
        <v>6281817</v>
      </c>
      <c r="S223" s="1107">
        <f t="shared" si="5"/>
        <v>8445769</v>
      </c>
    </row>
    <row r="224" spans="1:19">
      <c r="A224" s="1015">
        <v>181</v>
      </c>
      <c r="B224" s="1015" t="s">
        <v>7793</v>
      </c>
      <c r="C224" s="1103" t="s">
        <v>7752</v>
      </c>
      <c r="D224" s="1015" t="s">
        <v>7424</v>
      </c>
      <c r="E224" s="1104">
        <v>630023</v>
      </c>
      <c r="F224" s="1105" t="s">
        <v>7631</v>
      </c>
      <c r="G224" s="1104">
        <v>2891261</v>
      </c>
      <c r="H224" s="1104">
        <v>2146801</v>
      </c>
      <c r="I224" s="1104">
        <v>1904237</v>
      </c>
      <c r="J224" s="1104">
        <v>1665926</v>
      </c>
      <c r="K224" s="1104">
        <v>2747902</v>
      </c>
      <c r="L224" s="1104">
        <v>5511475</v>
      </c>
      <c r="M224" s="1106">
        <v>5268911</v>
      </c>
      <c r="N224" s="1159">
        <v>5030600</v>
      </c>
      <c r="O224" s="1104">
        <v>6112576</v>
      </c>
      <c r="P224" s="1107">
        <f t="shared" si="6"/>
        <v>7658276</v>
      </c>
      <c r="Q224" s="1107">
        <f t="shared" si="6"/>
        <v>7173148</v>
      </c>
      <c r="R224" s="1107">
        <f t="shared" si="6"/>
        <v>6696526</v>
      </c>
      <c r="S224" s="1107">
        <f t="shared" si="5"/>
        <v>8860478</v>
      </c>
    </row>
    <row r="225" spans="1:19">
      <c r="A225" s="1015">
        <v>182</v>
      </c>
      <c r="B225" s="1015" t="s">
        <v>7794</v>
      </c>
      <c r="C225" s="1103" t="s">
        <v>7765</v>
      </c>
      <c r="D225" s="1015" t="s">
        <v>7424</v>
      </c>
      <c r="E225" s="1104">
        <v>705026</v>
      </c>
      <c r="F225" s="1105" t="s">
        <v>7631</v>
      </c>
      <c r="G225" s="1104">
        <v>2994676</v>
      </c>
      <c r="H225" s="1104">
        <v>2146801</v>
      </c>
      <c r="I225" s="1104">
        <v>1904237</v>
      </c>
      <c r="J225" s="1104">
        <v>1665926</v>
      </c>
      <c r="K225" s="1104">
        <v>2747902</v>
      </c>
      <c r="L225" s="1104">
        <v>5684291</v>
      </c>
      <c r="M225" s="1106">
        <v>5441727</v>
      </c>
      <c r="N225" s="1159">
        <v>5203416</v>
      </c>
      <c r="O225" s="1104">
        <v>6285392</v>
      </c>
      <c r="P225" s="1107">
        <f t="shared" si="6"/>
        <v>7831092</v>
      </c>
      <c r="Q225" s="1107">
        <f t="shared" si="6"/>
        <v>7345964</v>
      </c>
      <c r="R225" s="1107">
        <f t="shared" si="6"/>
        <v>6869342</v>
      </c>
      <c r="S225" s="1107">
        <f t="shared" si="5"/>
        <v>9033294</v>
      </c>
    </row>
    <row r="226" spans="1:19">
      <c r="A226" s="1015">
        <v>183</v>
      </c>
      <c r="B226" s="1015" t="s">
        <v>7795</v>
      </c>
      <c r="C226" s="1103" t="s">
        <v>7688</v>
      </c>
      <c r="D226" s="1015" t="s">
        <v>7424</v>
      </c>
      <c r="E226" s="1104">
        <v>780028</v>
      </c>
      <c r="F226" s="1105" t="s">
        <v>7631</v>
      </c>
      <c r="G226" s="1104">
        <v>3049364</v>
      </c>
      <c r="H226" s="1104">
        <v>2146801</v>
      </c>
      <c r="I226" s="1104">
        <v>1904237</v>
      </c>
      <c r="J226" s="1104">
        <v>1665926</v>
      </c>
      <c r="K226" s="1104">
        <v>2747902</v>
      </c>
      <c r="L226" s="1104">
        <v>5811019</v>
      </c>
      <c r="M226" s="1106">
        <v>5568455</v>
      </c>
      <c r="N226" s="1159">
        <v>5330144</v>
      </c>
      <c r="O226" s="1104">
        <v>6412120</v>
      </c>
      <c r="P226" s="1107">
        <f t="shared" si="6"/>
        <v>7957820</v>
      </c>
      <c r="Q226" s="1107">
        <f t="shared" si="6"/>
        <v>7472692</v>
      </c>
      <c r="R226" s="1107">
        <f t="shared" si="6"/>
        <v>6996070</v>
      </c>
      <c r="S226" s="1107">
        <f t="shared" si="5"/>
        <v>9160022</v>
      </c>
    </row>
    <row r="227" spans="1:19">
      <c r="A227" s="1015">
        <v>184</v>
      </c>
      <c r="B227" s="1015" t="s">
        <v>7796</v>
      </c>
      <c r="C227" s="1103" t="s">
        <v>7755</v>
      </c>
      <c r="D227" s="1015" t="s">
        <v>7424</v>
      </c>
      <c r="E227" s="1104">
        <v>870032</v>
      </c>
      <c r="F227" s="1105" t="s">
        <v>7631</v>
      </c>
      <c r="G227" s="1104">
        <v>3765940</v>
      </c>
      <c r="H227" s="1104">
        <v>2146801</v>
      </c>
      <c r="I227" s="1104">
        <v>1904237</v>
      </c>
      <c r="J227" s="1104">
        <v>1665926</v>
      </c>
      <c r="K227" s="1104">
        <v>2747902</v>
      </c>
      <c r="L227" s="1104">
        <v>6578784</v>
      </c>
      <c r="M227" s="1106">
        <v>6336220</v>
      </c>
      <c r="N227" s="1159">
        <v>6097909</v>
      </c>
      <c r="O227" s="1104">
        <v>7179885</v>
      </c>
      <c r="P227" s="1107">
        <f t="shared" si="6"/>
        <v>8725585</v>
      </c>
      <c r="Q227" s="1107">
        <f t="shared" si="6"/>
        <v>8240457</v>
      </c>
      <c r="R227" s="1107">
        <f t="shared" si="6"/>
        <v>7763835</v>
      </c>
      <c r="S227" s="1107">
        <f t="shared" si="5"/>
        <v>9927787</v>
      </c>
    </row>
    <row r="228" spans="1:19">
      <c r="A228" s="1015"/>
      <c r="B228" s="1102" t="s">
        <v>7797</v>
      </c>
      <c r="C228" s="1099" t="s">
        <v>7798</v>
      </c>
      <c r="D228" s="1015"/>
      <c r="E228" s="1104" t="s">
        <v>7446</v>
      </c>
      <c r="F228" s="1105"/>
      <c r="G228" s="1104"/>
      <c r="H228" s="1104"/>
      <c r="I228" s="1104"/>
      <c r="J228" s="1104"/>
      <c r="K228" s="1104"/>
      <c r="L228" s="1104"/>
      <c r="M228" s="1106"/>
      <c r="N228" s="1159"/>
      <c r="O228" s="1104"/>
      <c r="P228" s="1107">
        <f t="shared" si="6"/>
        <v>0</v>
      </c>
      <c r="Q228" s="1107">
        <f t="shared" si="6"/>
        <v>0</v>
      </c>
      <c r="R228" s="1107">
        <f t="shared" si="6"/>
        <v>0</v>
      </c>
      <c r="S228" s="1107">
        <f t="shared" si="5"/>
        <v>0</v>
      </c>
    </row>
    <row r="229" spans="1:19">
      <c r="A229" s="1015">
        <v>185</v>
      </c>
      <c r="B229" s="1015" t="s">
        <v>7799</v>
      </c>
      <c r="C229" s="1103" t="s">
        <v>7800</v>
      </c>
      <c r="D229" s="1015" t="s">
        <v>7424</v>
      </c>
      <c r="E229" s="1104">
        <v>2430088</v>
      </c>
      <c r="F229" s="1105" t="s">
        <v>7801</v>
      </c>
      <c r="G229" s="1104">
        <v>9816850</v>
      </c>
      <c r="H229" s="1104">
        <v>2960402</v>
      </c>
      <c r="I229" s="1104">
        <v>2625910</v>
      </c>
      <c r="J229" s="1104">
        <v>2297278</v>
      </c>
      <c r="K229" s="1104">
        <v>3789310</v>
      </c>
      <c r="L229" s="1104">
        <v>13775716</v>
      </c>
      <c r="M229" s="1106">
        <v>13441224</v>
      </c>
      <c r="N229" s="1159">
        <v>13112592</v>
      </c>
      <c r="O229" s="1104">
        <v>14604624</v>
      </c>
      <c r="P229" s="1107">
        <f t="shared" si="6"/>
        <v>16736118</v>
      </c>
      <c r="Q229" s="1107">
        <f t="shared" si="6"/>
        <v>16067134</v>
      </c>
      <c r="R229" s="1107">
        <f t="shared" si="6"/>
        <v>15409870</v>
      </c>
      <c r="S229" s="1107">
        <f t="shared" si="5"/>
        <v>18393934</v>
      </c>
    </row>
    <row r="230" spans="1:19">
      <c r="A230" s="1015"/>
      <c r="B230" s="1102" t="s">
        <v>7802</v>
      </c>
      <c r="C230" s="1099" t="s">
        <v>7803</v>
      </c>
      <c r="D230" s="1015"/>
      <c r="E230" s="1104" t="s">
        <v>7446</v>
      </c>
      <c r="F230" s="1105"/>
      <c r="G230" s="1104"/>
      <c r="H230" s="1104"/>
      <c r="I230" s="1104"/>
      <c r="J230" s="1104"/>
      <c r="K230" s="1104"/>
      <c r="L230" s="1104"/>
      <c r="M230" s="1106"/>
      <c r="N230" s="1159"/>
      <c r="O230" s="1104"/>
      <c r="P230" s="1107">
        <f t="shared" si="6"/>
        <v>0</v>
      </c>
      <c r="Q230" s="1107">
        <f t="shared" si="6"/>
        <v>0</v>
      </c>
      <c r="R230" s="1107">
        <f t="shared" si="6"/>
        <v>0</v>
      </c>
      <c r="S230" s="1107">
        <f t="shared" si="5"/>
        <v>0</v>
      </c>
    </row>
    <row r="231" spans="1:19">
      <c r="A231" s="1015">
        <v>186</v>
      </c>
      <c r="B231" s="1015" t="s">
        <v>7804</v>
      </c>
      <c r="C231" s="1103" t="s">
        <v>7600</v>
      </c>
      <c r="D231" s="1015" t="s">
        <v>3127</v>
      </c>
      <c r="E231" s="1104">
        <v>74391</v>
      </c>
      <c r="F231" s="1105" t="s">
        <v>7425</v>
      </c>
      <c r="G231" s="1104">
        <v>138727</v>
      </c>
      <c r="H231" s="1104">
        <v>287074</v>
      </c>
      <c r="I231" s="1104">
        <v>254635</v>
      </c>
      <c r="J231" s="1104">
        <v>222777</v>
      </c>
      <c r="K231" s="1104">
        <v>367424</v>
      </c>
      <c r="L231" s="1104">
        <v>521992</v>
      </c>
      <c r="M231" s="1106">
        <v>489553</v>
      </c>
      <c r="N231" s="1159">
        <v>457695</v>
      </c>
      <c r="O231" s="1104">
        <v>602342</v>
      </c>
      <c r="P231" s="1107">
        <f t="shared" si="6"/>
        <v>809066</v>
      </c>
      <c r="Q231" s="1107">
        <f t="shared" si="6"/>
        <v>744188</v>
      </c>
      <c r="R231" s="1107">
        <f t="shared" si="6"/>
        <v>680472</v>
      </c>
      <c r="S231" s="1107">
        <f t="shared" si="5"/>
        <v>969766</v>
      </c>
    </row>
    <row r="232" spans="1:19">
      <c r="A232" s="1015">
        <v>187</v>
      </c>
      <c r="B232" s="1015" t="s">
        <v>7805</v>
      </c>
      <c r="C232" s="1103" t="s">
        <v>7584</v>
      </c>
      <c r="D232" s="1015" t="s">
        <v>3127</v>
      </c>
      <c r="E232" s="1104">
        <v>103756</v>
      </c>
      <c r="F232" s="1105" t="s">
        <v>7425</v>
      </c>
      <c r="G232" s="1104">
        <v>188256</v>
      </c>
      <c r="H232" s="1104">
        <v>287074</v>
      </c>
      <c r="I232" s="1104">
        <v>254635</v>
      </c>
      <c r="J232" s="1104">
        <v>222777</v>
      </c>
      <c r="K232" s="1104">
        <v>367424</v>
      </c>
      <c r="L232" s="1104">
        <v>608669</v>
      </c>
      <c r="M232" s="1106">
        <v>57623</v>
      </c>
      <c r="N232" s="1159">
        <v>544372</v>
      </c>
      <c r="O232" s="1104">
        <v>689019</v>
      </c>
      <c r="P232" s="1107">
        <f t="shared" si="6"/>
        <v>895743</v>
      </c>
      <c r="Q232" s="1107">
        <f t="shared" si="6"/>
        <v>312258</v>
      </c>
      <c r="R232" s="1107">
        <f t="shared" si="6"/>
        <v>767149</v>
      </c>
      <c r="S232" s="1107">
        <f t="shared" si="5"/>
        <v>1056443</v>
      </c>
    </row>
    <row r="233" spans="1:19">
      <c r="A233" s="1015">
        <v>188</v>
      </c>
      <c r="B233" s="1015" t="s">
        <v>7806</v>
      </c>
      <c r="C233" s="1103" t="s">
        <v>7608</v>
      </c>
      <c r="D233" s="1015" t="s">
        <v>3127</v>
      </c>
      <c r="E233" s="1104">
        <v>146825</v>
      </c>
      <c r="F233" s="1105" t="s">
        <v>7425</v>
      </c>
      <c r="G233" s="1104">
        <v>213021</v>
      </c>
      <c r="H233" s="1104">
        <v>287074</v>
      </c>
      <c r="I233" s="1104">
        <v>254635</v>
      </c>
      <c r="J233" s="1104">
        <v>222777</v>
      </c>
      <c r="K233" s="1104">
        <v>367424</v>
      </c>
      <c r="L233" s="1104">
        <v>680394</v>
      </c>
      <c r="M233" s="1106">
        <v>647955</v>
      </c>
      <c r="N233" s="1159">
        <v>616097</v>
      </c>
      <c r="O233" s="1104">
        <v>760744</v>
      </c>
      <c r="P233" s="1107">
        <f t="shared" si="6"/>
        <v>967468</v>
      </c>
      <c r="Q233" s="1107">
        <f t="shared" si="6"/>
        <v>902590</v>
      </c>
      <c r="R233" s="1107">
        <f t="shared" si="6"/>
        <v>838874</v>
      </c>
      <c r="S233" s="1107">
        <f t="shared" si="5"/>
        <v>1128168</v>
      </c>
    </row>
    <row r="234" spans="1:19">
      <c r="A234" s="1015">
        <v>189</v>
      </c>
      <c r="B234" s="1015" t="s">
        <v>7807</v>
      </c>
      <c r="C234" s="1103" t="s">
        <v>7703</v>
      </c>
      <c r="D234" s="1015" t="s">
        <v>3127</v>
      </c>
      <c r="E234" s="1104">
        <v>164444</v>
      </c>
      <c r="F234" s="1105" t="s">
        <v>7425</v>
      </c>
      <c r="G234" s="1104">
        <v>237786</v>
      </c>
      <c r="H234" s="1104">
        <v>287074</v>
      </c>
      <c r="I234" s="1104">
        <v>254635</v>
      </c>
      <c r="J234" s="1104">
        <v>222777</v>
      </c>
      <c r="K234" s="1104">
        <v>367424</v>
      </c>
      <c r="L234" s="1104">
        <v>72667</v>
      </c>
      <c r="M234" s="1106">
        <v>694231</v>
      </c>
      <c r="N234" s="1159">
        <v>662373</v>
      </c>
      <c r="O234" s="1104">
        <v>80702</v>
      </c>
      <c r="P234" s="1107">
        <f t="shared" si="6"/>
        <v>359741</v>
      </c>
      <c r="Q234" s="1107">
        <f t="shared" si="6"/>
        <v>948866</v>
      </c>
      <c r="R234" s="1107">
        <f t="shared" si="6"/>
        <v>885150</v>
      </c>
      <c r="S234" s="1107">
        <f t="shared" si="5"/>
        <v>448126</v>
      </c>
    </row>
    <row r="235" spans="1:19">
      <c r="A235" s="1015">
        <v>190</v>
      </c>
      <c r="B235" s="1015" t="s">
        <v>7808</v>
      </c>
      <c r="C235" s="1099" t="s">
        <v>7809</v>
      </c>
      <c r="D235" s="1015" t="s">
        <v>3127</v>
      </c>
      <c r="E235" s="1104">
        <v>1479992</v>
      </c>
      <c r="F235" s="1105" t="s">
        <v>7810</v>
      </c>
      <c r="G235" s="1104">
        <v>6642900</v>
      </c>
      <c r="H235" s="1104">
        <v>528912</v>
      </c>
      <c r="I235" s="1104">
        <v>469146</v>
      </c>
      <c r="J235" s="1104">
        <v>41045</v>
      </c>
      <c r="K235" s="1104">
        <v>67695</v>
      </c>
      <c r="L235" s="1104">
        <v>12622782</v>
      </c>
      <c r="M235" s="1106">
        <v>12563016</v>
      </c>
      <c r="N235" s="1159">
        <v>12504320</v>
      </c>
      <c r="O235" s="1104">
        <v>12770820</v>
      </c>
      <c r="P235" s="1107">
        <f t="shared" si="6"/>
        <v>13151694</v>
      </c>
      <c r="Q235" s="1107">
        <f t="shared" si="6"/>
        <v>13032162</v>
      </c>
      <c r="R235" s="1107">
        <f t="shared" si="6"/>
        <v>12545365</v>
      </c>
      <c r="S235" s="1107">
        <f t="shared" si="5"/>
        <v>12838515</v>
      </c>
    </row>
    <row r="236" spans="1:19">
      <c r="A236" s="1015">
        <v>191</v>
      </c>
      <c r="B236" s="1015" t="s">
        <v>7811</v>
      </c>
      <c r="C236" s="1099" t="s">
        <v>7812</v>
      </c>
      <c r="D236" s="1015" t="s">
        <v>3127</v>
      </c>
      <c r="E236" s="1104">
        <v>270157</v>
      </c>
      <c r="F236" s="1105" t="s">
        <v>7425</v>
      </c>
      <c r="G236" s="1104">
        <v>671738</v>
      </c>
      <c r="H236" s="1104">
        <v>287074</v>
      </c>
      <c r="I236" s="1104">
        <v>254635</v>
      </c>
      <c r="J236" s="1104">
        <v>222777</v>
      </c>
      <c r="K236" s="1104">
        <v>367424</v>
      </c>
      <c r="L236" s="1104">
        <v>1147801</v>
      </c>
      <c r="M236" s="1106">
        <v>1115362</v>
      </c>
      <c r="N236" s="1159">
        <v>1083504</v>
      </c>
      <c r="O236" s="1104">
        <v>1228151</v>
      </c>
      <c r="P236" s="1107">
        <f t="shared" si="6"/>
        <v>1434875</v>
      </c>
      <c r="Q236" s="1107">
        <f t="shared" si="6"/>
        <v>1369997</v>
      </c>
      <c r="R236" s="1107">
        <f t="shared" si="6"/>
        <v>1306281</v>
      </c>
      <c r="S236" s="1107">
        <f t="shared" si="5"/>
        <v>1595575</v>
      </c>
    </row>
    <row r="237" spans="1:19">
      <c r="A237" s="1015">
        <v>192</v>
      </c>
      <c r="B237" s="1015" t="s">
        <v>7813</v>
      </c>
      <c r="C237" s="1099" t="s">
        <v>7814</v>
      </c>
      <c r="D237" s="1015" t="s">
        <v>3127</v>
      </c>
      <c r="E237" s="1104">
        <v>48942</v>
      </c>
      <c r="F237" s="1105" t="s">
        <v>7425</v>
      </c>
      <c r="G237" s="1104">
        <v>132</v>
      </c>
      <c r="H237" s="1104">
        <v>287074</v>
      </c>
      <c r="I237" s="1104">
        <v>254635</v>
      </c>
      <c r="J237" s="1104">
        <v>222777</v>
      </c>
      <c r="K237" s="1104">
        <v>367424</v>
      </c>
      <c r="L237" s="1104">
        <v>452066</v>
      </c>
      <c r="M237" s="1106">
        <v>419627</v>
      </c>
      <c r="N237" s="1159">
        <v>387769</v>
      </c>
      <c r="O237" s="1104">
        <v>532416</v>
      </c>
      <c r="P237" s="1107">
        <f t="shared" si="6"/>
        <v>739140</v>
      </c>
      <c r="Q237" s="1107">
        <f t="shared" si="6"/>
        <v>674262</v>
      </c>
      <c r="R237" s="1107">
        <f t="shared" si="6"/>
        <v>610546</v>
      </c>
      <c r="S237" s="1107">
        <f t="shared" si="5"/>
        <v>899840</v>
      </c>
    </row>
    <row r="238" spans="1:19">
      <c r="A238" s="1015">
        <v>193</v>
      </c>
      <c r="B238" s="1015" t="s">
        <v>7815</v>
      </c>
      <c r="C238" s="1099" t="s">
        <v>7816</v>
      </c>
      <c r="D238" s="1015" t="s">
        <v>7424</v>
      </c>
      <c r="E238" s="1104">
        <v>720026</v>
      </c>
      <c r="F238" s="1105" t="s">
        <v>7425</v>
      </c>
      <c r="G238" s="1104">
        <v>1099500</v>
      </c>
      <c r="H238" s="1104">
        <v>287074</v>
      </c>
      <c r="I238" s="1104">
        <v>254635</v>
      </c>
      <c r="J238" s="1104">
        <v>222777</v>
      </c>
      <c r="K238" s="1104">
        <v>367424</v>
      </c>
      <c r="L238" s="1104">
        <v>1910602</v>
      </c>
      <c r="M238" s="1106">
        <v>1878163</v>
      </c>
      <c r="N238" s="1159">
        <v>1846305</v>
      </c>
      <c r="O238" s="1104">
        <v>1990952</v>
      </c>
      <c r="P238" s="1107">
        <f t="shared" si="6"/>
        <v>2197676</v>
      </c>
      <c r="Q238" s="1107">
        <f t="shared" si="6"/>
        <v>2132798</v>
      </c>
      <c r="R238" s="1107">
        <f t="shared" si="6"/>
        <v>2069082</v>
      </c>
      <c r="S238" s="1107">
        <f t="shared" si="5"/>
        <v>2358376</v>
      </c>
    </row>
    <row r="239" spans="1:19">
      <c r="A239" s="1015"/>
      <c r="B239" s="1102" t="s">
        <v>7817</v>
      </c>
      <c r="C239" s="1099" t="s">
        <v>7818</v>
      </c>
      <c r="D239" s="1015"/>
      <c r="E239" s="1104" t="s">
        <v>7446</v>
      </c>
      <c r="F239" s="1105"/>
      <c r="G239" s="1104"/>
      <c r="H239" s="1104"/>
      <c r="I239" s="1104"/>
      <c r="J239" s="1104"/>
      <c r="K239" s="1104"/>
      <c r="L239" s="1104"/>
      <c r="M239" s="1106"/>
      <c r="N239" s="1159"/>
      <c r="O239" s="1104"/>
      <c r="P239" s="1107">
        <f t="shared" si="6"/>
        <v>0</v>
      </c>
      <c r="Q239" s="1107">
        <f t="shared" si="6"/>
        <v>0</v>
      </c>
      <c r="R239" s="1107">
        <f t="shared" si="6"/>
        <v>0</v>
      </c>
      <c r="S239" s="1107">
        <f t="shared" si="5"/>
        <v>0</v>
      </c>
    </row>
    <row r="240" spans="1:19">
      <c r="A240" s="1015">
        <v>194</v>
      </c>
      <c r="B240" s="1015" t="s">
        <v>4060</v>
      </c>
      <c r="C240" s="1103" t="s">
        <v>7819</v>
      </c>
      <c r="D240" s="1015" t="s">
        <v>7424</v>
      </c>
      <c r="E240" s="1104">
        <v>780028</v>
      </c>
      <c r="F240" s="1105" t="s">
        <v>7490</v>
      </c>
      <c r="G240" s="1104">
        <v>3934467</v>
      </c>
      <c r="H240" s="1104">
        <v>400164</v>
      </c>
      <c r="I240" s="1104">
        <v>354946</v>
      </c>
      <c r="J240" s="1104">
        <v>310538</v>
      </c>
      <c r="K240" s="1104">
        <v>512166</v>
      </c>
      <c r="L240" s="1104">
        <v>4948201</v>
      </c>
      <c r="M240" s="1106">
        <v>4902983</v>
      </c>
      <c r="N240" s="1159">
        <v>4858575</v>
      </c>
      <c r="O240" s="1104">
        <v>5060203</v>
      </c>
      <c r="P240" s="1107">
        <f t="shared" si="6"/>
        <v>5348365</v>
      </c>
      <c r="Q240" s="1107">
        <f t="shared" si="6"/>
        <v>5257929</v>
      </c>
      <c r="R240" s="1107">
        <f t="shared" si="6"/>
        <v>5169113</v>
      </c>
      <c r="S240" s="1107">
        <f t="shared" si="5"/>
        <v>5572369</v>
      </c>
    </row>
    <row r="241" spans="1:19">
      <c r="A241" s="1015">
        <v>195</v>
      </c>
      <c r="B241" s="1015" t="s">
        <v>7820</v>
      </c>
      <c r="C241" s="1103" t="s">
        <v>7819</v>
      </c>
      <c r="D241" s="1015" t="s">
        <v>7424</v>
      </c>
      <c r="E241" s="1104">
        <v>1020037</v>
      </c>
      <c r="F241" s="1105" t="s">
        <v>7490</v>
      </c>
      <c r="G241" s="1104">
        <v>4514371</v>
      </c>
      <c r="H241" s="1104">
        <v>400164</v>
      </c>
      <c r="I241" s="1104">
        <v>354946</v>
      </c>
      <c r="J241" s="1104">
        <v>310538</v>
      </c>
      <c r="K241" s="1104">
        <v>512166</v>
      </c>
      <c r="L241" s="1104">
        <v>5743579</v>
      </c>
      <c r="M241" s="1106">
        <v>5698361</v>
      </c>
      <c r="N241" s="1159">
        <v>5653953</v>
      </c>
      <c r="O241" s="1104">
        <v>5855581</v>
      </c>
      <c r="P241" s="1107">
        <f t="shared" si="6"/>
        <v>6143743</v>
      </c>
      <c r="Q241" s="1107">
        <f t="shared" si="6"/>
        <v>6053307</v>
      </c>
      <c r="R241" s="1107">
        <f t="shared" si="6"/>
        <v>5964491</v>
      </c>
      <c r="S241" s="1107">
        <f t="shared" si="5"/>
        <v>6367747</v>
      </c>
    </row>
    <row r="242" spans="1:19">
      <c r="A242" s="1015">
        <v>196</v>
      </c>
      <c r="B242" s="1015" t="s">
        <v>7821</v>
      </c>
      <c r="C242" s="1103" t="s">
        <v>7822</v>
      </c>
      <c r="D242" s="1015" t="s">
        <v>7424</v>
      </c>
      <c r="E242" s="1104">
        <v>1440052</v>
      </c>
      <c r="F242" s="1105" t="s">
        <v>7490</v>
      </c>
      <c r="G242" s="1104">
        <v>11608382</v>
      </c>
      <c r="H242" s="1104">
        <v>400164</v>
      </c>
      <c r="I242" s="1104">
        <v>354946</v>
      </c>
      <c r="J242" s="1104">
        <v>310538</v>
      </c>
      <c r="K242" s="1104">
        <v>512166</v>
      </c>
      <c r="L242" s="1104">
        <v>12957475</v>
      </c>
      <c r="M242" s="1106">
        <v>12912257</v>
      </c>
      <c r="N242" s="1159">
        <v>12867849</v>
      </c>
      <c r="O242" s="1104">
        <v>13069477</v>
      </c>
      <c r="P242" s="1107">
        <f t="shared" si="6"/>
        <v>13357639</v>
      </c>
      <c r="Q242" s="1107">
        <f t="shared" si="6"/>
        <v>13267203</v>
      </c>
      <c r="R242" s="1107">
        <f t="shared" si="6"/>
        <v>13178387</v>
      </c>
      <c r="S242" s="1107">
        <f t="shared" si="5"/>
        <v>13581643</v>
      </c>
    </row>
    <row r="243" spans="1:19">
      <c r="A243" s="1015">
        <v>197</v>
      </c>
      <c r="B243" s="1015" t="s">
        <v>7823</v>
      </c>
      <c r="C243" s="1103" t="s">
        <v>7824</v>
      </c>
      <c r="D243" s="1015" t="s">
        <v>7424</v>
      </c>
      <c r="E243" s="1104">
        <v>2055075</v>
      </c>
      <c r="F243" s="1105" t="s">
        <v>7490</v>
      </c>
      <c r="G243" s="1104">
        <v>14865951</v>
      </c>
      <c r="H243" s="1104">
        <v>400164</v>
      </c>
      <c r="I243" s="1104">
        <v>354946</v>
      </c>
      <c r="J243" s="1104">
        <v>310538</v>
      </c>
      <c r="K243" s="1104">
        <v>512166</v>
      </c>
      <c r="L243" s="1104">
        <v>15720241</v>
      </c>
      <c r="M243" s="1106">
        <v>15675023</v>
      </c>
      <c r="N243" s="1159">
        <v>15630615</v>
      </c>
      <c r="O243" s="1104">
        <v>15832243</v>
      </c>
      <c r="P243" s="1107">
        <f t="shared" si="6"/>
        <v>16120405</v>
      </c>
      <c r="Q243" s="1107">
        <f t="shared" si="6"/>
        <v>16029969</v>
      </c>
      <c r="R243" s="1107">
        <f t="shared" si="6"/>
        <v>15941153</v>
      </c>
      <c r="S243" s="1107">
        <f t="shared" si="5"/>
        <v>16344409</v>
      </c>
    </row>
    <row r="244" spans="1:19">
      <c r="A244" s="1015">
        <v>198</v>
      </c>
      <c r="B244" s="1015" t="s">
        <v>7825</v>
      </c>
      <c r="C244" s="1103" t="s">
        <v>7826</v>
      </c>
      <c r="D244" s="1015"/>
      <c r="E244" s="1104" t="s">
        <v>7446</v>
      </c>
      <c r="F244" s="1105"/>
      <c r="G244" s="1104">
        <v>565686</v>
      </c>
      <c r="H244" s="1104"/>
      <c r="I244" s="1104"/>
      <c r="J244" s="1104"/>
      <c r="K244" s="1104"/>
      <c r="L244" s="1104">
        <v>489536</v>
      </c>
      <c r="M244" s="1106">
        <v>489536</v>
      </c>
      <c r="N244" s="1159">
        <v>489536</v>
      </c>
      <c r="O244" s="1104">
        <v>489536</v>
      </c>
      <c r="P244" s="1107">
        <f t="shared" si="6"/>
        <v>489536</v>
      </c>
      <c r="Q244" s="1107">
        <f t="shared" si="6"/>
        <v>489536</v>
      </c>
      <c r="R244" s="1107">
        <f t="shared" si="6"/>
        <v>489536</v>
      </c>
      <c r="S244" s="1107">
        <f t="shared" si="5"/>
        <v>489536</v>
      </c>
    </row>
    <row r="245" spans="1:19">
      <c r="A245" s="1015">
        <v>199</v>
      </c>
      <c r="B245" s="1102" t="s">
        <v>7827</v>
      </c>
      <c r="C245" s="1099" t="s">
        <v>7828</v>
      </c>
      <c r="D245" s="1015" t="s">
        <v>7829</v>
      </c>
      <c r="E245" s="1104">
        <v>814778</v>
      </c>
      <c r="F245" s="1105" t="s">
        <v>7490</v>
      </c>
      <c r="G245" s="1104">
        <v>4600000</v>
      </c>
      <c r="H245" s="1104">
        <v>400164</v>
      </c>
      <c r="I245" s="1104">
        <v>354946</v>
      </c>
      <c r="J245" s="1104">
        <v>310538</v>
      </c>
      <c r="K245" s="1104">
        <v>512166</v>
      </c>
      <c r="L245" s="1104">
        <v>5319557</v>
      </c>
      <c r="M245" s="1106">
        <v>5274339</v>
      </c>
      <c r="N245" s="1159">
        <v>5229931</v>
      </c>
      <c r="O245" s="1104">
        <v>5431559</v>
      </c>
      <c r="P245" s="1107">
        <f t="shared" si="6"/>
        <v>5719721</v>
      </c>
      <c r="Q245" s="1107">
        <f t="shared" si="6"/>
        <v>5629285</v>
      </c>
      <c r="R245" s="1107">
        <f t="shared" si="6"/>
        <v>5540469</v>
      </c>
      <c r="S245" s="1107">
        <f t="shared" si="5"/>
        <v>5943725</v>
      </c>
    </row>
    <row r="246" spans="1:19">
      <c r="A246" s="1015"/>
      <c r="B246" s="1102" t="s">
        <v>7830</v>
      </c>
      <c r="C246" s="1099" t="s">
        <v>7831</v>
      </c>
      <c r="D246" s="1015"/>
      <c r="E246" s="1104" t="s">
        <v>7446</v>
      </c>
      <c r="F246" s="1105"/>
      <c r="G246" s="1104"/>
      <c r="H246" s="1104"/>
      <c r="I246" s="1104"/>
      <c r="J246" s="1104"/>
      <c r="K246" s="1104"/>
      <c r="L246" s="1104"/>
      <c r="M246" s="1106"/>
      <c r="N246" s="1159"/>
      <c r="O246" s="1104"/>
      <c r="P246" s="1107">
        <f t="shared" si="6"/>
        <v>0</v>
      </c>
      <c r="Q246" s="1107">
        <f t="shared" si="6"/>
        <v>0</v>
      </c>
      <c r="R246" s="1107">
        <f t="shared" si="6"/>
        <v>0</v>
      </c>
      <c r="S246" s="1107">
        <f t="shared" si="5"/>
        <v>0</v>
      </c>
    </row>
    <row r="247" spans="1:19">
      <c r="A247" s="1015">
        <v>200</v>
      </c>
      <c r="B247" s="1015" t="s">
        <v>7832</v>
      </c>
      <c r="C247" s="1103" t="s">
        <v>7833</v>
      </c>
      <c r="D247" s="1015" t="s">
        <v>7834</v>
      </c>
      <c r="E247" s="1104">
        <v>866949</v>
      </c>
      <c r="F247" s="1105" t="s">
        <v>7490</v>
      </c>
      <c r="G247" s="1104">
        <v>5354545</v>
      </c>
      <c r="H247" s="1104">
        <v>400164</v>
      </c>
      <c r="I247" s="1104">
        <v>354946</v>
      </c>
      <c r="J247" s="1104">
        <v>310538</v>
      </c>
      <c r="K247" s="1104">
        <v>512166</v>
      </c>
      <c r="L247" s="1104">
        <v>6045015</v>
      </c>
      <c r="M247" s="1106">
        <v>5999797</v>
      </c>
      <c r="N247" s="1159">
        <v>5955389</v>
      </c>
      <c r="O247" s="1104">
        <v>6157017</v>
      </c>
      <c r="P247" s="1107">
        <f t="shared" si="6"/>
        <v>6445179</v>
      </c>
      <c r="Q247" s="1107">
        <f t="shared" si="6"/>
        <v>6354743</v>
      </c>
      <c r="R247" s="1107">
        <f t="shared" si="6"/>
        <v>6265927</v>
      </c>
      <c r="S247" s="1107">
        <f t="shared" si="5"/>
        <v>6669183</v>
      </c>
    </row>
    <row r="248" spans="1:19">
      <c r="A248" s="1015">
        <v>201</v>
      </c>
      <c r="B248" s="1015" t="s">
        <v>7835</v>
      </c>
      <c r="C248" s="1103" t="s">
        <v>7836</v>
      </c>
      <c r="D248" s="1015" t="s">
        <v>7837</v>
      </c>
      <c r="E248" s="1104">
        <v>994197</v>
      </c>
      <c r="F248" s="1105" t="s">
        <v>7490</v>
      </c>
      <c r="G248" s="1104">
        <v>6109091</v>
      </c>
      <c r="H248" s="1104">
        <v>400164</v>
      </c>
      <c r="I248" s="1104">
        <v>354946</v>
      </c>
      <c r="J248" s="1104">
        <v>310538</v>
      </c>
      <c r="K248" s="1104">
        <v>512166</v>
      </c>
      <c r="L248" s="1104">
        <v>6845550</v>
      </c>
      <c r="M248" s="1106">
        <v>6800332</v>
      </c>
      <c r="N248" s="1159">
        <v>6755924</v>
      </c>
      <c r="O248" s="1104">
        <v>6957552</v>
      </c>
      <c r="P248" s="1107">
        <f t="shared" si="6"/>
        <v>7245714</v>
      </c>
      <c r="Q248" s="1107">
        <f t="shared" si="6"/>
        <v>7155278</v>
      </c>
      <c r="R248" s="1107">
        <f t="shared" si="6"/>
        <v>7066462</v>
      </c>
      <c r="S248" s="1107">
        <f t="shared" si="5"/>
        <v>7469718</v>
      </c>
    </row>
    <row r="249" spans="1:19">
      <c r="A249" s="1015">
        <v>202</v>
      </c>
      <c r="B249" s="1102" t="s">
        <v>7838</v>
      </c>
      <c r="C249" s="1099" t="s">
        <v>7839</v>
      </c>
      <c r="D249" s="1015"/>
      <c r="E249" s="1104" t="s">
        <v>7446</v>
      </c>
      <c r="F249" s="1105"/>
      <c r="G249" s="1104">
        <v>14800</v>
      </c>
      <c r="H249" s="1104"/>
      <c r="I249" s="1104"/>
      <c r="J249" s="1104"/>
      <c r="K249" s="1104"/>
      <c r="L249" s="1104">
        <v>13946</v>
      </c>
      <c r="M249" s="1106">
        <v>13946</v>
      </c>
      <c r="N249" s="1159">
        <v>13946</v>
      </c>
      <c r="O249" s="1104">
        <v>13946</v>
      </c>
      <c r="P249" s="1107">
        <f t="shared" si="6"/>
        <v>13946</v>
      </c>
      <c r="Q249" s="1107">
        <f t="shared" si="6"/>
        <v>13946</v>
      </c>
      <c r="R249" s="1107">
        <f t="shared" si="6"/>
        <v>13946</v>
      </c>
      <c r="S249" s="1107">
        <f t="shared" si="5"/>
        <v>13946</v>
      </c>
    </row>
    <row r="250" spans="1:19">
      <c r="A250" s="1015"/>
      <c r="B250" s="1102" t="s">
        <v>7840</v>
      </c>
      <c r="C250" s="1099" t="s">
        <v>7841</v>
      </c>
      <c r="D250" s="1015"/>
      <c r="E250" s="1104" t="s">
        <v>7446</v>
      </c>
      <c r="F250" s="1105"/>
      <c r="G250" s="1104"/>
      <c r="H250" s="1104"/>
      <c r="I250" s="1104"/>
      <c r="J250" s="1104"/>
      <c r="K250" s="1104"/>
      <c r="L250" s="1104"/>
      <c r="M250" s="1106"/>
      <c r="N250" s="1159"/>
      <c r="O250" s="1104"/>
      <c r="P250" s="1107">
        <f t="shared" si="6"/>
        <v>0</v>
      </c>
      <c r="Q250" s="1107">
        <f t="shared" si="6"/>
        <v>0</v>
      </c>
      <c r="R250" s="1107">
        <f t="shared" si="6"/>
        <v>0</v>
      </c>
      <c r="S250" s="1107">
        <f t="shared" si="5"/>
        <v>0</v>
      </c>
    </row>
    <row r="251" spans="1:19">
      <c r="A251" s="1015">
        <v>203</v>
      </c>
      <c r="B251" s="1015" t="s">
        <v>7842</v>
      </c>
      <c r="C251" s="1103" t="s">
        <v>7843</v>
      </c>
      <c r="D251" s="1015" t="s">
        <v>3127</v>
      </c>
      <c r="E251" s="1104">
        <v>2545</v>
      </c>
      <c r="F251" s="1105" t="s">
        <v>7505</v>
      </c>
      <c r="G251" s="1104">
        <v>25796</v>
      </c>
      <c r="H251" s="1104">
        <v>241838</v>
      </c>
      <c r="I251" s="1104">
        <v>214511</v>
      </c>
      <c r="J251" s="1104">
        <v>187673</v>
      </c>
      <c r="K251" s="1104">
        <v>309526</v>
      </c>
      <c r="L251" s="1104">
        <v>290848</v>
      </c>
      <c r="M251" s="1106">
        <v>263521</v>
      </c>
      <c r="N251" s="1159">
        <v>236683</v>
      </c>
      <c r="O251" s="1104">
        <v>358536</v>
      </c>
      <c r="P251" s="1107">
        <f t="shared" si="6"/>
        <v>532686</v>
      </c>
      <c r="Q251" s="1107">
        <f t="shared" si="6"/>
        <v>478032</v>
      </c>
      <c r="R251" s="1107">
        <f t="shared" si="6"/>
        <v>424356</v>
      </c>
      <c r="S251" s="1107">
        <f t="shared" si="5"/>
        <v>668062</v>
      </c>
    </row>
    <row r="252" spans="1:19">
      <c r="A252" s="1015">
        <v>204</v>
      </c>
      <c r="B252" s="1015" t="s">
        <v>7844</v>
      </c>
      <c r="C252" s="1103" t="s">
        <v>7845</v>
      </c>
      <c r="D252" s="1015" t="s">
        <v>3127</v>
      </c>
      <c r="E252" s="1104">
        <v>35238</v>
      </c>
      <c r="F252" s="1105" t="s">
        <v>7425</v>
      </c>
      <c r="G252" s="1104">
        <v>177479</v>
      </c>
      <c r="H252" s="1104">
        <v>287074</v>
      </c>
      <c r="I252" s="1104">
        <v>254635</v>
      </c>
      <c r="J252" s="1104">
        <v>222777</v>
      </c>
      <c r="K252" s="1104">
        <v>367424</v>
      </c>
      <c r="L252" s="1104">
        <v>46607</v>
      </c>
      <c r="M252" s="1106">
        <v>433631</v>
      </c>
      <c r="N252" s="1159">
        <v>401773</v>
      </c>
      <c r="O252" s="1104">
        <v>546420</v>
      </c>
      <c r="P252" s="1107">
        <f t="shared" si="6"/>
        <v>333681</v>
      </c>
      <c r="Q252" s="1107">
        <f t="shared" si="6"/>
        <v>688266</v>
      </c>
      <c r="R252" s="1107">
        <f t="shared" si="6"/>
        <v>624550</v>
      </c>
      <c r="S252" s="1107">
        <f t="shared" si="5"/>
        <v>913844</v>
      </c>
    </row>
    <row r="253" spans="1:19">
      <c r="A253" s="1015"/>
      <c r="B253" s="1102" t="s">
        <v>7846</v>
      </c>
      <c r="C253" s="1099" t="s">
        <v>7847</v>
      </c>
      <c r="D253" s="1015"/>
      <c r="E253" s="1104" t="s">
        <v>7446</v>
      </c>
      <c r="F253" s="1105"/>
      <c r="G253" s="1104"/>
      <c r="H253" s="1104"/>
      <c r="I253" s="1104"/>
      <c r="J253" s="1104"/>
      <c r="K253" s="1104"/>
      <c r="L253" s="1104"/>
      <c r="M253" s="1106"/>
      <c r="N253" s="1159"/>
      <c r="O253" s="1104"/>
      <c r="P253" s="1107">
        <f t="shared" si="6"/>
        <v>0</v>
      </c>
      <c r="Q253" s="1107">
        <f t="shared" si="6"/>
        <v>0</v>
      </c>
      <c r="R253" s="1107">
        <f t="shared" si="6"/>
        <v>0</v>
      </c>
      <c r="S253" s="1107">
        <f t="shared" si="5"/>
        <v>0</v>
      </c>
    </row>
    <row r="254" spans="1:19" ht="18">
      <c r="A254" s="1015">
        <v>205</v>
      </c>
      <c r="B254" s="1015" t="s">
        <v>7848</v>
      </c>
      <c r="C254" s="1103" t="s">
        <v>7849</v>
      </c>
      <c r="D254" s="1015" t="s">
        <v>3127</v>
      </c>
      <c r="E254" s="1104">
        <v>41111</v>
      </c>
      <c r="F254" s="1105" t="s">
        <v>7425</v>
      </c>
      <c r="G254" s="1104">
        <v>353468</v>
      </c>
      <c r="H254" s="1104">
        <v>287074</v>
      </c>
      <c r="I254" s="1104">
        <v>254635</v>
      </c>
      <c r="J254" s="1104">
        <v>222777</v>
      </c>
      <c r="K254" s="1104">
        <v>367424</v>
      </c>
      <c r="L254" s="1104">
        <v>614494</v>
      </c>
      <c r="M254" s="1106">
        <v>582055</v>
      </c>
      <c r="N254" s="1159">
        <v>550197</v>
      </c>
      <c r="O254" s="1104">
        <v>694844</v>
      </c>
      <c r="P254" s="1107">
        <f t="shared" si="6"/>
        <v>901568</v>
      </c>
      <c r="Q254" s="1107">
        <f t="shared" si="6"/>
        <v>836690</v>
      </c>
      <c r="R254" s="1107">
        <f t="shared" si="6"/>
        <v>772974</v>
      </c>
      <c r="S254" s="1107">
        <f t="shared" si="5"/>
        <v>1062268</v>
      </c>
    </row>
    <row r="255" spans="1:19">
      <c r="A255" s="1015"/>
      <c r="B255" s="1102" t="s">
        <v>7850</v>
      </c>
      <c r="C255" s="1099" t="s">
        <v>7851</v>
      </c>
      <c r="D255" s="1015"/>
      <c r="E255" s="1104" t="s">
        <v>7446</v>
      </c>
      <c r="F255" s="1105"/>
      <c r="G255" s="1104"/>
      <c r="H255" s="1104"/>
      <c r="I255" s="1104"/>
      <c r="J255" s="1104"/>
      <c r="K255" s="1104"/>
      <c r="L255" s="1104"/>
      <c r="M255" s="1106"/>
      <c r="N255" s="1159"/>
      <c r="O255" s="1104"/>
      <c r="P255" s="1107">
        <f t="shared" si="6"/>
        <v>0</v>
      </c>
      <c r="Q255" s="1107">
        <f t="shared" si="6"/>
        <v>0</v>
      </c>
      <c r="R255" s="1107">
        <f t="shared" si="6"/>
        <v>0</v>
      </c>
      <c r="S255" s="1107">
        <f t="shared" si="5"/>
        <v>0</v>
      </c>
    </row>
    <row r="256" spans="1:19" ht="18">
      <c r="A256" s="1015">
        <v>206</v>
      </c>
      <c r="B256" s="1015" t="s">
        <v>7852</v>
      </c>
      <c r="C256" s="1103" t="s">
        <v>7853</v>
      </c>
      <c r="D256" s="1015" t="s">
        <v>3127</v>
      </c>
      <c r="E256" s="1104">
        <v>72433</v>
      </c>
      <c r="F256" s="1105" t="s">
        <v>7425</v>
      </c>
      <c r="G256" s="1104">
        <v>22000</v>
      </c>
      <c r="H256" s="1104">
        <v>287074</v>
      </c>
      <c r="I256" s="1104">
        <v>254635</v>
      </c>
      <c r="J256" s="1104">
        <v>222777</v>
      </c>
      <c r="K256" s="1104">
        <v>367424</v>
      </c>
      <c r="L256" s="1104">
        <v>387749</v>
      </c>
      <c r="M256" s="1106">
        <v>355310</v>
      </c>
      <c r="N256" s="1159">
        <v>323452</v>
      </c>
      <c r="O256" s="1104">
        <v>468099</v>
      </c>
      <c r="P256" s="1107">
        <f t="shared" si="6"/>
        <v>674823</v>
      </c>
      <c r="Q256" s="1107">
        <f t="shared" si="6"/>
        <v>609945</v>
      </c>
      <c r="R256" s="1107">
        <f t="shared" si="6"/>
        <v>546229</v>
      </c>
      <c r="S256" s="1107">
        <f t="shared" si="5"/>
        <v>835523</v>
      </c>
    </row>
    <row r="257" spans="1:19" ht="18">
      <c r="A257" s="1015">
        <v>207</v>
      </c>
      <c r="B257" s="1015" t="s">
        <v>7854</v>
      </c>
      <c r="C257" s="1103" t="s">
        <v>7855</v>
      </c>
      <c r="D257" s="1015" t="s">
        <v>3127</v>
      </c>
      <c r="E257" s="1104">
        <v>97883</v>
      </c>
      <c r="F257" s="1105" t="s">
        <v>7425</v>
      </c>
      <c r="G257" s="1104">
        <v>43182</v>
      </c>
      <c r="H257" s="1104">
        <v>287074</v>
      </c>
      <c r="I257" s="1104">
        <v>254635</v>
      </c>
      <c r="J257" s="1104">
        <v>222777</v>
      </c>
      <c r="K257" s="1104">
        <v>367424</v>
      </c>
      <c r="L257" s="1104">
        <v>437177</v>
      </c>
      <c r="M257" s="1106">
        <v>404738</v>
      </c>
      <c r="N257" s="1159">
        <v>372880</v>
      </c>
      <c r="O257" s="1104">
        <v>517527</v>
      </c>
      <c r="P257" s="1107">
        <f t="shared" si="6"/>
        <v>724251</v>
      </c>
      <c r="Q257" s="1107">
        <f t="shared" si="6"/>
        <v>659373</v>
      </c>
      <c r="R257" s="1107">
        <f t="shared" si="6"/>
        <v>595657</v>
      </c>
      <c r="S257" s="1107">
        <f t="shared" si="5"/>
        <v>884951</v>
      </c>
    </row>
    <row r="258" spans="1:19">
      <c r="A258" s="1015"/>
      <c r="B258" s="1102" t="s">
        <v>7856</v>
      </c>
      <c r="C258" s="1099" t="s">
        <v>7857</v>
      </c>
      <c r="D258" s="1015"/>
      <c r="E258" s="1104" t="s">
        <v>7446</v>
      </c>
      <c r="F258" s="1105"/>
      <c r="G258" s="1104"/>
      <c r="H258" s="1104"/>
      <c r="I258" s="1104"/>
      <c r="J258" s="1104"/>
      <c r="K258" s="1104"/>
      <c r="L258" s="1104"/>
      <c r="M258" s="1106"/>
      <c r="N258" s="1159"/>
      <c r="O258" s="1104"/>
      <c r="P258" s="1107">
        <f t="shared" si="6"/>
        <v>0</v>
      </c>
      <c r="Q258" s="1107">
        <f t="shared" si="6"/>
        <v>0</v>
      </c>
      <c r="R258" s="1107">
        <f t="shared" si="6"/>
        <v>0</v>
      </c>
      <c r="S258" s="1107">
        <f t="shared" si="5"/>
        <v>0</v>
      </c>
    </row>
    <row r="259" spans="1:19">
      <c r="A259" s="1015"/>
      <c r="B259" s="1102" t="s">
        <v>7858</v>
      </c>
      <c r="C259" s="1099" t="s">
        <v>7859</v>
      </c>
      <c r="D259" s="1015"/>
      <c r="E259" s="1104" t="s">
        <v>7446</v>
      </c>
      <c r="F259" s="1105"/>
      <c r="G259" s="1104"/>
      <c r="H259" s="1104"/>
      <c r="I259" s="1104"/>
      <c r="J259" s="1104"/>
      <c r="K259" s="1104"/>
      <c r="L259" s="1104"/>
      <c r="M259" s="1106"/>
      <c r="N259" s="1159"/>
      <c r="O259" s="1104"/>
      <c r="P259" s="1107">
        <f t="shared" si="6"/>
        <v>0</v>
      </c>
      <c r="Q259" s="1107">
        <f t="shared" si="6"/>
        <v>0</v>
      </c>
      <c r="R259" s="1107">
        <f t="shared" si="6"/>
        <v>0</v>
      </c>
      <c r="S259" s="1107">
        <f t="shared" si="5"/>
        <v>0</v>
      </c>
    </row>
    <row r="260" spans="1:19">
      <c r="A260" s="1015">
        <v>208</v>
      </c>
      <c r="B260" s="1015" t="s">
        <v>7860</v>
      </c>
      <c r="C260" s="1103" t="s">
        <v>7861</v>
      </c>
      <c r="D260" s="1015" t="s">
        <v>3127</v>
      </c>
      <c r="E260" s="1104">
        <v>15661</v>
      </c>
      <c r="F260" s="1105" t="s">
        <v>7505</v>
      </c>
      <c r="G260" s="1104">
        <v>23050</v>
      </c>
      <c r="H260" s="1104">
        <v>241838</v>
      </c>
      <c r="I260" s="1104">
        <v>214511</v>
      </c>
      <c r="J260" s="1104">
        <v>187673</v>
      </c>
      <c r="K260" s="1104">
        <v>309526</v>
      </c>
      <c r="L260" s="1104">
        <v>300107</v>
      </c>
      <c r="M260" s="1106">
        <v>272780</v>
      </c>
      <c r="N260" s="1159">
        <v>245942</v>
      </c>
      <c r="O260" s="1104">
        <v>367795</v>
      </c>
      <c r="P260" s="1107">
        <f t="shared" si="6"/>
        <v>541945</v>
      </c>
      <c r="Q260" s="1107">
        <f t="shared" si="6"/>
        <v>487291</v>
      </c>
      <c r="R260" s="1107">
        <f t="shared" si="6"/>
        <v>433615</v>
      </c>
      <c r="S260" s="1107">
        <f t="shared" si="5"/>
        <v>677321</v>
      </c>
    </row>
    <row r="261" spans="1:19">
      <c r="A261" s="1015">
        <v>209</v>
      </c>
      <c r="B261" s="1015" t="s">
        <v>7862</v>
      </c>
      <c r="C261" s="1103" t="s">
        <v>7863</v>
      </c>
      <c r="D261" s="1015" t="s">
        <v>3127</v>
      </c>
      <c r="E261" s="1104">
        <v>21534</v>
      </c>
      <c r="F261" s="1105" t="s">
        <v>7505</v>
      </c>
      <c r="G261" s="1104">
        <v>30210</v>
      </c>
      <c r="H261" s="1104">
        <v>241838</v>
      </c>
      <c r="I261" s="1104">
        <v>214511</v>
      </c>
      <c r="J261" s="1104">
        <v>187673</v>
      </c>
      <c r="K261" s="1104">
        <v>309526</v>
      </c>
      <c r="L261" s="1104">
        <v>315736</v>
      </c>
      <c r="M261" s="1106">
        <v>288409</v>
      </c>
      <c r="N261" s="1159">
        <v>261571</v>
      </c>
      <c r="O261" s="1104">
        <v>383424</v>
      </c>
      <c r="P261" s="1107">
        <f t="shared" si="6"/>
        <v>557574</v>
      </c>
      <c r="Q261" s="1107">
        <f t="shared" si="6"/>
        <v>502920</v>
      </c>
      <c r="R261" s="1107">
        <f t="shared" si="6"/>
        <v>449244</v>
      </c>
      <c r="S261" s="1107">
        <f t="shared" si="5"/>
        <v>692950</v>
      </c>
    </row>
    <row r="262" spans="1:19">
      <c r="A262" s="1015"/>
      <c r="B262" s="1102" t="s">
        <v>7864</v>
      </c>
      <c r="C262" s="1099" t="s">
        <v>7865</v>
      </c>
      <c r="D262" s="1015"/>
      <c r="E262" s="1104" t="s">
        <v>7446</v>
      </c>
      <c r="F262" s="1105"/>
      <c r="G262" s="1104"/>
      <c r="H262" s="1104"/>
      <c r="I262" s="1104"/>
      <c r="J262" s="1104"/>
      <c r="K262" s="1104"/>
      <c r="L262" s="1104"/>
      <c r="M262" s="1106"/>
      <c r="N262" s="1159"/>
      <c r="O262" s="1104"/>
      <c r="P262" s="1107">
        <f t="shared" si="6"/>
        <v>0</v>
      </c>
      <c r="Q262" s="1107">
        <f t="shared" si="6"/>
        <v>0</v>
      </c>
      <c r="R262" s="1107">
        <f t="shared" si="6"/>
        <v>0</v>
      </c>
      <c r="S262" s="1107">
        <f t="shared" si="5"/>
        <v>0</v>
      </c>
    </row>
    <row r="263" spans="1:19">
      <c r="A263" s="1015">
        <v>210</v>
      </c>
      <c r="B263" s="1015" t="s">
        <v>7866</v>
      </c>
      <c r="C263" s="1103" t="s">
        <v>7867</v>
      </c>
      <c r="D263" s="1015" t="s">
        <v>3127</v>
      </c>
      <c r="E263" s="1104">
        <v>9788</v>
      </c>
      <c r="F263" s="1105" t="s">
        <v>7505</v>
      </c>
      <c r="G263" s="1104">
        <v>12841</v>
      </c>
      <c r="H263" s="1104">
        <v>241838</v>
      </c>
      <c r="I263" s="1104">
        <v>214511</v>
      </c>
      <c r="J263" s="1104">
        <v>187673</v>
      </c>
      <c r="K263" s="1104">
        <v>309526</v>
      </c>
      <c r="L263" s="1104">
        <v>274891</v>
      </c>
      <c r="M263" s="1106">
        <v>247564</v>
      </c>
      <c r="N263" s="1159">
        <v>220726</v>
      </c>
      <c r="O263" s="1104">
        <v>342579</v>
      </c>
      <c r="P263" s="1107">
        <f t="shared" si="6"/>
        <v>516729</v>
      </c>
      <c r="Q263" s="1107">
        <f t="shared" si="6"/>
        <v>462075</v>
      </c>
      <c r="R263" s="1107">
        <f t="shared" si="6"/>
        <v>408399</v>
      </c>
      <c r="S263" s="1107">
        <f t="shared" si="5"/>
        <v>652105</v>
      </c>
    </row>
    <row r="264" spans="1:19">
      <c r="A264" s="1015">
        <v>211</v>
      </c>
      <c r="B264" s="1015" t="s">
        <v>7868</v>
      </c>
      <c r="C264" s="1103" t="s">
        <v>7869</v>
      </c>
      <c r="D264" s="1015" t="s">
        <v>3127</v>
      </c>
      <c r="E264" s="1104">
        <v>15661</v>
      </c>
      <c r="F264" s="1105" t="s">
        <v>7505</v>
      </c>
      <c r="G264" s="1104">
        <v>17828</v>
      </c>
      <c r="H264" s="1104">
        <v>241838</v>
      </c>
      <c r="I264" s="1104">
        <v>214511</v>
      </c>
      <c r="J264" s="1104">
        <v>187673</v>
      </c>
      <c r="K264" s="1104">
        <v>309526</v>
      </c>
      <c r="L264" s="1104">
        <v>289799</v>
      </c>
      <c r="M264" s="1106">
        <v>262472</v>
      </c>
      <c r="N264" s="1159">
        <v>235634</v>
      </c>
      <c r="O264" s="1104">
        <v>357487</v>
      </c>
      <c r="P264" s="1107">
        <f t="shared" si="6"/>
        <v>531637</v>
      </c>
      <c r="Q264" s="1107">
        <f t="shared" si="6"/>
        <v>476983</v>
      </c>
      <c r="R264" s="1107">
        <f t="shared" si="6"/>
        <v>423307</v>
      </c>
      <c r="S264" s="1107">
        <f t="shared" si="5"/>
        <v>667013</v>
      </c>
    </row>
    <row r="265" spans="1:19">
      <c r="A265" s="1015">
        <v>212</v>
      </c>
      <c r="B265" s="1015" t="s">
        <v>7870</v>
      </c>
      <c r="C265" s="1103" t="s">
        <v>7863</v>
      </c>
      <c r="D265" s="1015" t="s">
        <v>3127</v>
      </c>
      <c r="E265" s="1104">
        <v>21534</v>
      </c>
      <c r="F265" s="1105" t="s">
        <v>7505</v>
      </c>
      <c r="G265" s="1104">
        <v>22873</v>
      </c>
      <c r="H265" s="1104">
        <v>241838</v>
      </c>
      <c r="I265" s="1104">
        <v>214511</v>
      </c>
      <c r="J265" s="1104">
        <v>187673</v>
      </c>
      <c r="K265" s="1104">
        <v>309526</v>
      </c>
      <c r="L265" s="1104">
        <v>304813</v>
      </c>
      <c r="M265" s="1106">
        <v>277486</v>
      </c>
      <c r="N265" s="1159">
        <v>250648</v>
      </c>
      <c r="O265" s="1104">
        <v>372501</v>
      </c>
      <c r="P265" s="1107">
        <f t="shared" si="6"/>
        <v>546651</v>
      </c>
      <c r="Q265" s="1107">
        <f t="shared" si="6"/>
        <v>491997</v>
      </c>
      <c r="R265" s="1107">
        <f t="shared" si="6"/>
        <v>438321</v>
      </c>
      <c r="S265" s="1107">
        <f t="shared" si="6"/>
        <v>682027</v>
      </c>
    </row>
    <row r="266" spans="1:19">
      <c r="A266" s="1015"/>
      <c r="B266" s="1102" t="s">
        <v>7871</v>
      </c>
      <c r="C266" s="1099" t="s">
        <v>7872</v>
      </c>
      <c r="D266" s="1015"/>
      <c r="E266" s="1104" t="s">
        <v>7446</v>
      </c>
      <c r="F266" s="1105"/>
      <c r="G266" s="1104"/>
      <c r="H266" s="1104"/>
      <c r="I266" s="1104"/>
      <c r="J266" s="1104"/>
      <c r="K266" s="1104"/>
      <c r="L266" s="1104"/>
      <c r="M266" s="1106"/>
      <c r="N266" s="1159"/>
      <c r="O266" s="1104"/>
      <c r="P266" s="1107">
        <f t="shared" ref="P266:S329" si="7">H266+L266</f>
        <v>0</v>
      </c>
      <c r="Q266" s="1107">
        <f t="shared" si="7"/>
        <v>0</v>
      </c>
      <c r="R266" s="1107">
        <f t="shared" si="7"/>
        <v>0</v>
      </c>
      <c r="S266" s="1107">
        <f t="shared" si="7"/>
        <v>0</v>
      </c>
    </row>
    <row r="267" spans="1:19">
      <c r="A267" s="1015">
        <v>213</v>
      </c>
      <c r="B267" s="1015" t="s">
        <v>7873</v>
      </c>
      <c r="C267" s="1103" t="s">
        <v>7874</v>
      </c>
      <c r="D267" s="1015" t="s">
        <v>3127</v>
      </c>
      <c r="E267" s="1104">
        <v>140952</v>
      </c>
      <c r="F267" s="1105" t="s">
        <v>7425</v>
      </c>
      <c r="G267" s="1104">
        <v>75863</v>
      </c>
      <c r="H267" s="1104">
        <v>287074</v>
      </c>
      <c r="I267" s="1104">
        <v>254635</v>
      </c>
      <c r="J267" s="1104">
        <v>222777</v>
      </c>
      <c r="K267" s="1104">
        <v>367424</v>
      </c>
      <c r="L267" s="1104">
        <v>556993</v>
      </c>
      <c r="M267" s="1106">
        <v>524554</v>
      </c>
      <c r="N267" s="1159">
        <v>492696</v>
      </c>
      <c r="O267" s="1104">
        <v>637343</v>
      </c>
      <c r="P267" s="1107">
        <f t="shared" si="7"/>
        <v>844067</v>
      </c>
      <c r="Q267" s="1107">
        <f t="shared" si="7"/>
        <v>779189</v>
      </c>
      <c r="R267" s="1107">
        <f t="shared" si="7"/>
        <v>715473</v>
      </c>
      <c r="S267" s="1107">
        <f t="shared" si="7"/>
        <v>1004767</v>
      </c>
    </row>
    <row r="268" spans="1:19">
      <c r="A268" s="1015">
        <v>214</v>
      </c>
      <c r="B268" s="1015" t="s">
        <v>7875</v>
      </c>
      <c r="C268" s="1103" t="s">
        <v>7876</v>
      </c>
      <c r="D268" s="1015" t="s">
        <v>3127</v>
      </c>
      <c r="E268" s="1104">
        <v>187936</v>
      </c>
      <c r="F268" s="1105" t="s">
        <v>7425</v>
      </c>
      <c r="G268" s="1104">
        <v>104103</v>
      </c>
      <c r="H268" s="1104">
        <v>287074</v>
      </c>
      <c r="I268" s="1104">
        <v>254635</v>
      </c>
      <c r="J268" s="1104">
        <v>222777</v>
      </c>
      <c r="K268" s="1104">
        <v>367424</v>
      </c>
      <c r="L268" s="1104">
        <v>651985</v>
      </c>
      <c r="M268" s="1106">
        <v>619546</v>
      </c>
      <c r="N268" s="1159">
        <v>587688</v>
      </c>
      <c r="O268" s="1104">
        <v>732335</v>
      </c>
      <c r="P268" s="1107">
        <f t="shared" si="7"/>
        <v>939059</v>
      </c>
      <c r="Q268" s="1107">
        <f t="shared" si="7"/>
        <v>874181</v>
      </c>
      <c r="R268" s="1107">
        <f t="shared" si="7"/>
        <v>810465</v>
      </c>
      <c r="S268" s="1107">
        <f t="shared" si="7"/>
        <v>1099759</v>
      </c>
    </row>
    <row r="269" spans="1:19">
      <c r="A269" s="1015"/>
      <c r="B269" s="1102" t="s">
        <v>7877</v>
      </c>
      <c r="C269" s="1099" t="s">
        <v>7878</v>
      </c>
      <c r="D269" s="1015"/>
      <c r="E269" s="1104" t="s">
        <v>7446</v>
      </c>
      <c r="F269" s="1105"/>
      <c r="G269" s="1104"/>
      <c r="H269" s="1104"/>
      <c r="I269" s="1104"/>
      <c r="J269" s="1104"/>
      <c r="K269" s="1104"/>
      <c r="L269" s="1104"/>
      <c r="M269" s="1106"/>
      <c r="N269" s="1159"/>
      <c r="O269" s="1104"/>
      <c r="P269" s="1107">
        <f t="shared" si="7"/>
        <v>0</v>
      </c>
      <c r="Q269" s="1107">
        <f t="shared" si="7"/>
        <v>0</v>
      </c>
      <c r="R269" s="1107">
        <f t="shared" si="7"/>
        <v>0</v>
      </c>
      <c r="S269" s="1107">
        <f t="shared" si="7"/>
        <v>0</v>
      </c>
    </row>
    <row r="270" spans="1:19" ht="18">
      <c r="A270" s="1015">
        <v>215</v>
      </c>
      <c r="B270" s="1015" t="s">
        <v>7879</v>
      </c>
      <c r="C270" s="1103" t="s">
        <v>7880</v>
      </c>
      <c r="D270" s="1015" t="s">
        <v>3127</v>
      </c>
      <c r="E270" s="1104">
        <v>180105</v>
      </c>
      <c r="F270" s="1105" t="s">
        <v>7616</v>
      </c>
      <c r="G270" s="1104">
        <v>907804</v>
      </c>
      <c r="H270" s="1104">
        <v>579367</v>
      </c>
      <c r="I270" s="1104">
        <v>513900</v>
      </c>
      <c r="J270" s="1104">
        <v>449605</v>
      </c>
      <c r="K270" s="1104">
        <v>741527</v>
      </c>
      <c r="L270" s="1104">
        <v>1607919</v>
      </c>
      <c r="M270" s="1106">
        <v>1542452</v>
      </c>
      <c r="N270" s="1159">
        <v>1478157</v>
      </c>
      <c r="O270" s="1104">
        <v>1770079</v>
      </c>
      <c r="P270" s="1107">
        <f t="shared" si="7"/>
        <v>2187286</v>
      </c>
      <c r="Q270" s="1107">
        <f t="shared" si="7"/>
        <v>2056352</v>
      </c>
      <c r="R270" s="1107">
        <f t="shared" si="7"/>
        <v>1927762</v>
      </c>
      <c r="S270" s="1107">
        <f t="shared" si="7"/>
        <v>2511606</v>
      </c>
    </row>
    <row r="271" spans="1:19" ht="18">
      <c r="A271" s="1015">
        <v>216</v>
      </c>
      <c r="B271" s="1015" t="s">
        <v>7881</v>
      </c>
      <c r="C271" s="1103" t="s">
        <v>7882</v>
      </c>
      <c r="D271" s="1015" t="s">
        <v>3127</v>
      </c>
      <c r="E271" s="1104">
        <v>227089</v>
      </c>
      <c r="F271" s="1105" t="s">
        <v>7616</v>
      </c>
      <c r="G271" s="1104">
        <v>1264024</v>
      </c>
      <c r="H271" s="1104">
        <v>579367</v>
      </c>
      <c r="I271" s="1104">
        <v>513900</v>
      </c>
      <c r="J271" s="1104">
        <v>449605</v>
      </c>
      <c r="K271" s="1104">
        <v>741527</v>
      </c>
      <c r="L271" s="1104">
        <v>1978109</v>
      </c>
      <c r="M271" s="1106">
        <v>1912642</v>
      </c>
      <c r="N271" s="1159">
        <v>1848347</v>
      </c>
      <c r="O271" s="1104">
        <v>2140269</v>
      </c>
      <c r="P271" s="1107">
        <f t="shared" si="7"/>
        <v>2557476</v>
      </c>
      <c r="Q271" s="1107">
        <f t="shared" si="7"/>
        <v>2426542</v>
      </c>
      <c r="R271" s="1107">
        <f t="shared" si="7"/>
        <v>2297952</v>
      </c>
      <c r="S271" s="1107">
        <f t="shared" si="7"/>
        <v>2881796</v>
      </c>
    </row>
    <row r="272" spans="1:19" ht="18">
      <c r="A272" s="1015">
        <v>217</v>
      </c>
      <c r="B272" s="1015" t="s">
        <v>7883</v>
      </c>
      <c r="C272" s="1103" t="s">
        <v>7884</v>
      </c>
      <c r="D272" s="1015" t="s">
        <v>3127</v>
      </c>
      <c r="E272" s="1104">
        <v>336718</v>
      </c>
      <c r="F272" s="1105" t="s">
        <v>7616</v>
      </c>
      <c r="G272" s="1104">
        <v>1596969</v>
      </c>
      <c r="H272" s="1104">
        <v>579367</v>
      </c>
      <c r="I272" s="1104">
        <v>513900</v>
      </c>
      <c r="J272" s="1104">
        <v>449605</v>
      </c>
      <c r="K272" s="1104">
        <v>741527</v>
      </c>
      <c r="L272" s="1104">
        <v>2396352</v>
      </c>
      <c r="M272" s="1106">
        <v>2330885</v>
      </c>
      <c r="N272" s="1159">
        <v>2266590</v>
      </c>
      <c r="O272" s="1104">
        <v>2558512</v>
      </c>
      <c r="P272" s="1107">
        <f t="shared" si="7"/>
        <v>2975719</v>
      </c>
      <c r="Q272" s="1107">
        <f t="shared" si="7"/>
        <v>2844785</v>
      </c>
      <c r="R272" s="1107">
        <f t="shared" si="7"/>
        <v>2716195</v>
      </c>
      <c r="S272" s="1107">
        <f t="shared" si="7"/>
        <v>3300039</v>
      </c>
    </row>
    <row r="273" spans="1:19" ht="18">
      <c r="A273" s="1015">
        <v>218</v>
      </c>
      <c r="B273" s="1015" t="s">
        <v>7885</v>
      </c>
      <c r="C273" s="1103" t="s">
        <v>7886</v>
      </c>
      <c r="D273" s="1015" t="s">
        <v>3127</v>
      </c>
      <c r="E273" s="1104">
        <v>387617</v>
      </c>
      <c r="F273" s="1105" t="s">
        <v>7616</v>
      </c>
      <c r="G273" s="1104">
        <v>2549373</v>
      </c>
      <c r="H273" s="1104">
        <v>579367</v>
      </c>
      <c r="I273" s="1104">
        <v>513900</v>
      </c>
      <c r="J273" s="1104">
        <v>449605</v>
      </c>
      <c r="K273" s="1104">
        <v>741527</v>
      </c>
      <c r="L273" s="1104">
        <v>3330057</v>
      </c>
      <c r="M273" s="1106">
        <v>3264590</v>
      </c>
      <c r="N273" s="1159">
        <v>3200295</v>
      </c>
      <c r="O273" s="1104">
        <v>3492217</v>
      </c>
      <c r="P273" s="1107">
        <f t="shared" si="7"/>
        <v>3909424</v>
      </c>
      <c r="Q273" s="1107">
        <f t="shared" si="7"/>
        <v>3778490</v>
      </c>
      <c r="R273" s="1107">
        <f t="shared" si="7"/>
        <v>3649900</v>
      </c>
      <c r="S273" s="1107">
        <f t="shared" si="7"/>
        <v>4233744</v>
      </c>
    </row>
    <row r="274" spans="1:19" ht="18">
      <c r="A274" s="1015">
        <v>219</v>
      </c>
      <c r="B274" s="1015" t="s">
        <v>7887</v>
      </c>
      <c r="C274" s="1103" t="s">
        <v>7888</v>
      </c>
      <c r="D274" s="1015" t="s">
        <v>3127</v>
      </c>
      <c r="E274" s="1104">
        <v>51878</v>
      </c>
      <c r="F274" s="1105" t="s">
        <v>7616</v>
      </c>
      <c r="G274" s="1104">
        <v>2804470</v>
      </c>
      <c r="H274" s="1104">
        <v>579367</v>
      </c>
      <c r="I274" s="1104">
        <v>513900</v>
      </c>
      <c r="J274" s="1104">
        <v>449605</v>
      </c>
      <c r="K274" s="1104">
        <v>741527</v>
      </c>
      <c r="L274" s="1104">
        <v>3665316</v>
      </c>
      <c r="M274" s="1106">
        <v>3599849</v>
      </c>
      <c r="N274" s="1159">
        <v>3535554</v>
      </c>
      <c r="O274" s="1104">
        <v>3827476</v>
      </c>
      <c r="P274" s="1107">
        <f t="shared" si="7"/>
        <v>4244683</v>
      </c>
      <c r="Q274" s="1107">
        <f t="shared" si="7"/>
        <v>4113749</v>
      </c>
      <c r="R274" s="1107">
        <f t="shared" si="7"/>
        <v>3985159</v>
      </c>
      <c r="S274" s="1107">
        <f t="shared" si="7"/>
        <v>4569003</v>
      </c>
    </row>
    <row r="275" spans="1:19" ht="18">
      <c r="A275" s="1015">
        <v>220</v>
      </c>
      <c r="B275" s="1015" t="s">
        <v>7889</v>
      </c>
      <c r="C275" s="1103" t="s">
        <v>7890</v>
      </c>
      <c r="D275" s="1015" t="s">
        <v>3127</v>
      </c>
      <c r="E275" s="1104">
        <v>818303</v>
      </c>
      <c r="F275" s="1105" t="s">
        <v>7891</v>
      </c>
      <c r="G275" s="1104">
        <v>3237391</v>
      </c>
      <c r="H275" s="1104">
        <v>821205</v>
      </c>
      <c r="I275" s="1104">
        <v>728411</v>
      </c>
      <c r="J275" s="1104">
        <v>637278</v>
      </c>
      <c r="K275" s="1104">
        <v>1051054</v>
      </c>
      <c r="L275" s="1104">
        <v>4602966</v>
      </c>
      <c r="M275" s="1106">
        <v>4510172</v>
      </c>
      <c r="N275" s="1159">
        <v>4419039</v>
      </c>
      <c r="O275" s="1104">
        <v>4832815</v>
      </c>
      <c r="P275" s="1107">
        <f t="shared" si="7"/>
        <v>5424171</v>
      </c>
      <c r="Q275" s="1107">
        <f t="shared" si="7"/>
        <v>5238583</v>
      </c>
      <c r="R275" s="1107">
        <f t="shared" si="7"/>
        <v>5056317</v>
      </c>
      <c r="S275" s="1107">
        <f t="shared" si="7"/>
        <v>5883869</v>
      </c>
    </row>
    <row r="276" spans="1:19" ht="18">
      <c r="A276" s="1015">
        <v>221</v>
      </c>
      <c r="B276" s="1015" t="s">
        <v>7892</v>
      </c>
      <c r="C276" s="1103" t="s">
        <v>7893</v>
      </c>
      <c r="D276" s="1015" t="s">
        <v>3127</v>
      </c>
      <c r="E276" s="1104">
        <v>832006</v>
      </c>
      <c r="F276" s="1105" t="s">
        <v>7891</v>
      </c>
      <c r="G276" s="1104">
        <v>4306280</v>
      </c>
      <c r="H276" s="1104">
        <v>821205</v>
      </c>
      <c r="I276" s="1104">
        <v>728411</v>
      </c>
      <c r="J276" s="1104">
        <v>637278</v>
      </c>
      <c r="K276" s="1104">
        <v>1051054</v>
      </c>
      <c r="L276" s="1104">
        <v>5595114</v>
      </c>
      <c r="M276" s="1106">
        <v>5502320</v>
      </c>
      <c r="N276" s="1159">
        <v>5411187</v>
      </c>
      <c r="O276" s="1104">
        <v>5824963</v>
      </c>
      <c r="P276" s="1107">
        <f t="shared" si="7"/>
        <v>6416319</v>
      </c>
      <c r="Q276" s="1107">
        <f t="shared" si="7"/>
        <v>6230731</v>
      </c>
      <c r="R276" s="1107">
        <f t="shared" si="7"/>
        <v>6048465</v>
      </c>
      <c r="S276" s="1107">
        <f t="shared" si="7"/>
        <v>6876017</v>
      </c>
    </row>
    <row r="277" spans="1:19" ht="18">
      <c r="A277" s="1015">
        <v>222</v>
      </c>
      <c r="B277" s="1015" t="s">
        <v>7894</v>
      </c>
      <c r="C277" s="1103" t="s">
        <v>7895</v>
      </c>
      <c r="D277" s="1015" t="s">
        <v>3127</v>
      </c>
      <c r="E277" s="1104">
        <v>873117</v>
      </c>
      <c r="F277" s="1105" t="s">
        <v>7891</v>
      </c>
      <c r="G277" s="1104">
        <v>5375168</v>
      </c>
      <c r="H277" s="1104">
        <v>821205</v>
      </c>
      <c r="I277" s="1104">
        <v>728411</v>
      </c>
      <c r="J277" s="1104">
        <v>637278</v>
      </c>
      <c r="K277" s="1104">
        <v>1051054</v>
      </c>
      <c r="L277" s="1104">
        <v>6614668</v>
      </c>
      <c r="M277" s="1106">
        <v>6521874</v>
      </c>
      <c r="N277" s="1159">
        <v>6430741</v>
      </c>
      <c r="O277" s="1104">
        <v>6844517</v>
      </c>
      <c r="P277" s="1107">
        <f t="shared" si="7"/>
        <v>7435873</v>
      </c>
      <c r="Q277" s="1107">
        <f t="shared" si="7"/>
        <v>7250285</v>
      </c>
      <c r="R277" s="1107">
        <f t="shared" si="7"/>
        <v>7068019</v>
      </c>
      <c r="S277" s="1107">
        <f t="shared" si="7"/>
        <v>7895571</v>
      </c>
    </row>
    <row r="278" spans="1:19" ht="18">
      <c r="A278" s="1015">
        <v>223</v>
      </c>
      <c r="B278" s="1015" t="s">
        <v>7896</v>
      </c>
      <c r="C278" s="1103" t="s">
        <v>7897</v>
      </c>
      <c r="D278" s="1015" t="s">
        <v>3127</v>
      </c>
      <c r="E278" s="1104">
        <v>1082587</v>
      </c>
      <c r="F278" s="1105" t="s">
        <v>7898</v>
      </c>
      <c r="G278" s="1104">
        <v>5643909</v>
      </c>
      <c r="H278" s="1104">
        <v>1063044</v>
      </c>
      <c r="I278" s="1104">
        <v>942922</v>
      </c>
      <c r="J278" s="1104">
        <v>824950</v>
      </c>
      <c r="K278" s="1104">
        <v>1360580</v>
      </c>
      <c r="L278" s="1104">
        <v>7246857</v>
      </c>
      <c r="M278" s="1106">
        <v>7126735</v>
      </c>
      <c r="N278" s="1159">
        <v>7008763</v>
      </c>
      <c r="O278" s="1104">
        <v>7544393</v>
      </c>
      <c r="P278" s="1107">
        <f t="shared" si="7"/>
        <v>8309901</v>
      </c>
      <c r="Q278" s="1107">
        <f t="shared" si="7"/>
        <v>8069657</v>
      </c>
      <c r="R278" s="1107">
        <f t="shared" si="7"/>
        <v>7833713</v>
      </c>
      <c r="S278" s="1107">
        <f t="shared" si="7"/>
        <v>8904973</v>
      </c>
    </row>
    <row r="279" spans="1:19">
      <c r="A279" s="1015"/>
      <c r="B279" s="1102" t="s">
        <v>7899</v>
      </c>
      <c r="C279" s="1099" t="s">
        <v>7900</v>
      </c>
      <c r="D279" s="1015"/>
      <c r="E279" s="1104" t="s">
        <v>7446</v>
      </c>
      <c r="F279" s="1105"/>
      <c r="G279" s="1104"/>
      <c r="H279" s="1104"/>
      <c r="I279" s="1104"/>
      <c r="J279" s="1104"/>
      <c r="K279" s="1104"/>
      <c r="L279" s="1104"/>
      <c r="M279" s="1106"/>
      <c r="N279" s="1159"/>
      <c r="O279" s="1104"/>
      <c r="P279" s="1107">
        <f t="shared" si="7"/>
        <v>0</v>
      </c>
      <c r="Q279" s="1107">
        <f t="shared" si="7"/>
        <v>0</v>
      </c>
      <c r="R279" s="1107">
        <f t="shared" si="7"/>
        <v>0</v>
      </c>
      <c r="S279" s="1107">
        <f t="shared" si="7"/>
        <v>0</v>
      </c>
    </row>
    <row r="280" spans="1:19" ht="18">
      <c r="A280" s="1015">
        <v>224</v>
      </c>
      <c r="B280" s="1015" t="s">
        <v>7901</v>
      </c>
      <c r="C280" s="1103" t="s">
        <v>7902</v>
      </c>
      <c r="D280" s="1015" t="s">
        <v>3127</v>
      </c>
      <c r="E280" s="1104">
        <v>148782</v>
      </c>
      <c r="F280" s="1105" t="s">
        <v>7425</v>
      </c>
      <c r="G280" s="1104">
        <v>18917</v>
      </c>
      <c r="H280" s="1104">
        <v>287074</v>
      </c>
      <c r="I280" s="1104">
        <v>254635</v>
      </c>
      <c r="J280" s="1104">
        <v>222777</v>
      </c>
      <c r="K280" s="1104">
        <v>367424</v>
      </c>
      <c r="L280" s="1104">
        <v>473202</v>
      </c>
      <c r="M280" s="1106">
        <v>440763</v>
      </c>
      <c r="N280" s="1159">
        <v>408905</v>
      </c>
      <c r="O280" s="1104">
        <v>553552</v>
      </c>
      <c r="P280" s="1107">
        <f t="shared" si="7"/>
        <v>760276</v>
      </c>
      <c r="Q280" s="1107">
        <f t="shared" si="7"/>
        <v>695398</v>
      </c>
      <c r="R280" s="1107">
        <f t="shared" si="7"/>
        <v>631682</v>
      </c>
      <c r="S280" s="1107">
        <f t="shared" si="7"/>
        <v>920976</v>
      </c>
    </row>
    <row r="281" spans="1:19" ht="18">
      <c r="A281" s="1015">
        <v>225</v>
      </c>
      <c r="B281" s="1015" t="s">
        <v>7903</v>
      </c>
      <c r="C281" s="1103" t="s">
        <v>7904</v>
      </c>
      <c r="D281" s="1015" t="s">
        <v>3127</v>
      </c>
      <c r="E281" s="1104">
        <v>189893</v>
      </c>
      <c r="F281" s="1105" t="s">
        <v>7425</v>
      </c>
      <c r="G281" s="1104">
        <v>23618</v>
      </c>
      <c r="H281" s="1104">
        <v>287074</v>
      </c>
      <c r="I281" s="1104">
        <v>254635</v>
      </c>
      <c r="J281" s="1104">
        <v>222777</v>
      </c>
      <c r="K281" s="1104">
        <v>367424</v>
      </c>
      <c r="L281" s="1104">
        <v>523594</v>
      </c>
      <c r="M281" s="1106">
        <v>491155</v>
      </c>
      <c r="N281" s="1159">
        <v>459297</v>
      </c>
      <c r="O281" s="1104">
        <v>603944</v>
      </c>
      <c r="P281" s="1107">
        <f t="shared" si="7"/>
        <v>810668</v>
      </c>
      <c r="Q281" s="1107">
        <f t="shared" si="7"/>
        <v>745790</v>
      </c>
      <c r="R281" s="1107">
        <f t="shared" si="7"/>
        <v>682074</v>
      </c>
      <c r="S281" s="1107">
        <f t="shared" si="7"/>
        <v>971368</v>
      </c>
    </row>
    <row r="282" spans="1:19">
      <c r="A282" s="1015"/>
      <c r="B282" s="1102" t="s">
        <v>7905</v>
      </c>
      <c r="C282" s="1099" t="s">
        <v>7906</v>
      </c>
      <c r="D282" s="1015"/>
      <c r="E282" s="1104" t="s">
        <v>7446</v>
      </c>
      <c r="F282" s="1105"/>
      <c r="G282" s="1104"/>
      <c r="H282" s="1104"/>
      <c r="I282" s="1104"/>
      <c r="J282" s="1104"/>
      <c r="K282" s="1104"/>
      <c r="L282" s="1104"/>
      <c r="M282" s="1106"/>
      <c r="N282" s="1159"/>
      <c r="O282" s="1104"/>
      <c r="P282" s="1107">
        <f t="shared" si="7"/>
        <v>0</v>
      </c>
      <c r="Q282" s="1107">
        <f t="shared" si="7"/>
        <v>0</v>
      </c>
      <c r="R282" s="1107">
        <f t="shared" si="7"/>
        <v>0</v>
      </c>
      <c r="S282" s="1107">
        <f t="shared" si="7"/>
        <v>0</v>
      </c>
    </row>
    <row r="283" spans="1:19" ht="18">
      <c r="A283" s="1015">
        <v>226</v>
      </c>
      <c r="B283" s="1015" t="s">
        <v>7907</v>
      </c>
      <c r="C283" s="1103" t="s">
        <v>7908</v>
      </c>
      <c r="D283" s="1015" t="s">
        <v>3127</v>
      </c>
      <c r="E283" s="1104">
        <v>616664</v>
      </c>
      <c r="F283" s="1105" t="s">
        <v>7810</v>
      </c>
      <c r="G283" s="1104">
        <v>1351273</v>
      </c>
      <c r="H283" s="1104">
        <v>528912</v>
      </c>
      <c r="I283" s="1104">
        <v>469146</v>
      </c>
      <c r="J283" s="1104">
        <v>410450</v>
      </c>
      <c r="K283" s="1104">
        <v>676950</v>
      </c>
      <c r="L283" s="1104">
        <v>2694342</v>
      </c>
      <c r="M283" s="1106">
        <v>2634576</v>
      </c>
      <c r="N283" s="1159">
        <v>2575880</v>
      </c>
      <c r="O283" s="1104">
        <v>2842380</v>
      </c>
      <c r="P283" s="1107">
        <f t="shared" si="7"/>
        <v>3223254</v>
      </c>
      <c r="Q283" s="1107">
        <f t="shared" si="7"/>
        <v>3103722</v>
      </c>
      <c r="R283" s="1107">
        <f t="shared" si="7"/>
        <v>2986330</v>
      </c>
      <c r="S283" s="1107">
        <f t="shared" si="7"/>
        <v>3519330</v>
      </c>
    </row>
    <row r="284" spans="1:19" ht="18">
      <c r="A284" s="1015">
        <v>227</v>
      </c>
      <c r="B284" s="1015" t="s">
        <v>7909</v>
      </c>
      <c r="C284" s="1103" t="s">
        <v>7882</v>
      </c>
      <c r="D284" s="1015" t="s">
        <v>3127</v>
      </c>
      <c r="E284" s="1104">
        <v>698885</v>
      </c>
      <c r="F284" s="1105" t="s">
        <v>7810</v>
      </c>
      <c r="G284" s="1104">
        <v>1766194</v>
      </c>
      <c r="H284" s="1104">
        <v>528912</v>
      </c>
      <c r="I284" s="1104">
        <v>469146</v>
      </c>
      <c r="J284" s="1104">
        <v>410450</v>
      </c>
      <c r="K284" s="1104">
        <v>676950</v>
      </c>
      <c r="L284" s="1104">
        <v>3184197</v>
      </c>
      <c r="M284" s="1106">
        <v>3124431</v>
      </c>
      <c r="N284" s="1159">
        <v>3065735</v>
      </c>
      <c r="O284" s="1104">
        <v>3332235</v>
      </c>
      <c r="P284" s="1107">
        <f t="shared" si="7"/>
        <v>3713109</v>
      </c>
      <c r="Q284" s="1107">
        <f t="shared" si="7"/>
        <v>3593577</v>
      </c>
      <c r="R284" s="1107">
        <f t="shared" si="7"/>
        <v>3476185</v>
      </c>
      <c r="S284" s="1107">
        <f t="shared" si="7"/>
        <v>4009185</v>
      </c>
    </row>
    <row r="285" spans="1:19" ht="18">
      <c r="A285" s="1015">
        <v>228</v>
      </c>
      <c r="B285" s="1015" t="s">
        <v>7910</v>
      </c>
      <c r="C285" s="1103" t="s">
        <v>7895</v>
      </c>
      <c r="D285" s="1015" t="s">
        <v>3127</v>
      </c>
      <c r="E285" s="1104">
        <v>1233327</v>
      </c>
      <c r="F285" s="1105" t="s">
        <v>7810</v>
      </c>
      <c r="G285" s="1104">
        <v>5964816</v>
      </c>
      <c r="H285" s="1104">
        <v>528912</v>
      </c>
      <c r="I285" s="1104">
        <v>469146</v>
      </c>
      <c r="J285" s="1104">
        <v>410450</v>
      </c>
      <c r="K285" s="1104">
        <v>676950</v>
      </c>
      <c r="L285" s="1104">
        <v>8369420</v>
      </c>
      <c r="M285" s="1106">
        <v>8309654</v>
      </c>
      <c r="N285" s="1159">
        <v>8250958</v>
      </c>
      <c r="O285" s="1104">
        <v>8517458</v>
      </c>
      <c r="P285" s="1107">
        <f t="shared" si="7"/>
        <v>8898332</v>
      </c>
      <c r="Q285" s="1107">
        <f t="shared" si="7"/>
        <v>8778800</v>
      </c>
      <c r="R285" s="1107">
        <f t="shared" si="7"/>
        <v>8661408</v>
      </c>
      <c r="S285" s="1107">
        <f t="shared" si="7"/>
        <v>9194408</v>
      </c>
    </row>
    <row r="286" spans="1:19">
      <c r="A286" s="1015"/>
      <c r="B286" s="1102" t="s">
        <v>7911</v>
      </c>
      <c r="C286" s="1099" t="s">
        <v>7912</v>
      </c>
      <c r="D286" s="1015"/>
      <c r="E286" s="1104" t="s">
        <v>7446</v>
      </c>
      <c r="F286" s="1105"/>
      <c r="G286" s="1104"/>
      <c r="H286" s="1104"/>
      <c r="I286" s="1104"/>
      <c r="J286" s="1104"/>
      <c r="K286" s="1104"/>
      <c r="L286" s="1104"/>
      <c r="M286" s="1106"/>
      <c r="N286" s="1159"/>
      <c r="O286" s="1104"/>
      <c r="P286" s="1107">
        <f t="shared" si="7"/>
        <v>0</v>
      </c>
      <c r="Q286" s="1107">
        <f t="shared" si="7"/>
        <v>0</v>
      </c>
      <c r="R286" s="1107">
        <f t="shared" si="7"/>
        <v>0</v>
      </c>
      <c r="S286" s="1107">
        <f t="shared" si="7"/>
        <v>0</v>
      </c>
    </row>
    <row r="287" spans="1:19" ht="18">
      <c r="A287" s="1015">
        <v>229</v>
      </c>
      <c r="B287" s="1015" t="s">
        <v>7913</v>
      </c>
      <c r="C287" s="1103" t="s">
        <v>7914</v>
      </c>
      <c r="D287" s="1015" t="s">
        <v>3127</v>
      </c>
      <c r="E287" s="1104">
        <v>262327</v>
      </c>
      <c r="F287" s="1105" t="s">
        <v>7810</v>
      </c>
      <c r="G287" s="1104">
        <v>214626</v>
      </c>
      <c r="H287" s="1104">
        <v>528912</v>
      </c>
      <c r="I287" s="1104">
        <v>469146</v>
      </c>
      <c r="J287" s="1104">
        <v>410450</v>
      </c>
      <c r="K287" s="1104">
        <v>676950</v>
      </c>
      <c r="L287" s="1104">
        <v>1037233</v>
      </c>
      <c r="M287" s="1106">
        <v>977467</v>
      </c>
      <c r="N287" s="1159">
        <v>918771</v>
      </c>
      <c r="O287" s="1104">
        <v>1185271</v>
      </c>
      <c r="P287" s="1107">
        <f t="shared" si="7"/>
        <v>1566145</v>
      </c>
      <c r="Q287" s="1107">
        <f t="shared" si="7"/>
        <v>1446613</v>
      </c>
      <c r="R287" s="1107">
        <f t="shared" si="7"/>
        <v>1329221</v>
      </c>
      <c r="S287" s="1107">
        <f t="shared" si="7"/>
        <v>1862221</v>
      </c>
    </row>
    <row r="288" spans="1:19" ht="18">
      <c r="A288" s="1015">
        <v>230</v>
      </c>
      <c r="B288" s="1015" t="s">
        <v>7915</v>
      </c>
      <c r="C288" s="1103" t="s">
        <v>7855</v>
      </c>
      <c r="D288" s="1015" t="s">
        <v>3127</v>
      </c>
      <c r="E288" s="1104">
        <v>1644436</v>
      </c>
      <c r="F288" s="1105" t="s">
        <v>7810</v>
      </c>
      <c r="G288" s="1104">
        <v>1831774</v>
      </c>
      <c r="H288" s="1104">
        <v>528912</v>
      </c>
      <c r="I288" s="1104">
        <v>469146</v>
      </c>
      <c r="J288" s="1104">
        <v>410450</v>
      </c>
      <c r="K288" s="1104">
        <v>676950</v>
      </c>
      <c r="L288" s="1104">
        <v>4272843</v>
      </c>
      <c r="M288" s="1106">
        <v>4213077</v>
      </c>
      <c r="N288" s="1159">
        <v>4154381</v>
      </c>
      <c r="O288" s="1104">
        <v>4420881</v>
      </c>
      <c r="P288" s="1107">
        <f t="shared" si="7"/>
        <v>4801755</v>
      </c>
      <c r="Q288" s="1107">
        <f t="shared" si="7"/>
        <v>4682223</v>
      </c>
      <c r="R288" s="1107">
        <f t="shared" si="7"/>
        <v>4564831</v>
      </c>
      <c r="S288" s="1107">
        <f t="shared" si="7"/>
        <v>5097831</v>
      </c>
    </row>
    <row r="289" spans="1:19">
      <c r="A289" s="1015"/>
      <c r="B289" s="1102" t="s">
        <v>7916</v>
      </c>
      <c r="C289" s="1099" t="s">
        <v>7917</v>
      </c>
      <c r="D289" s="1015"/>
      <c r="E289" s="1104" t="s">
        <v>7446</v>
      </c>
      <c r="F289" s="1105"/>
      <c r="G289" s="1104"/>
      <c r="H289" s="1104"/>
      <c r="I289" s="1104"/>
      <c r="J289" s="1104"/>
      <c r="K289" s="1104"/>
      <c r="L289" s="1104"/>
      <c r="M289" s="1106"/>
      <c r="N289" s="1159"/>
      <c r="O289" s="1104"/>
      <c r="P289" s="1107">
        <f t="shared" si="7"/>
        <v>0</v>
      </c>
      <c r="Q289" s="1107">
        <f t="shared" si="7"/>
        <v>0</v>
      </c>
      <c r="R289" s="1107">
        <f t="shared" si="7"/>
        <v>0</v>
      </c>
      <c r="S289" s="1107">
        <f t="shared" si="7"/>
        <v>0</v>
      </c>
    </row>
    <row r="290" spans="1:19">
      <c r="A290" s="1015">
        <v>231</v>
      </c>
      <c r="B290" s="1015" t="s">
        <v>7918</v>
      </c>
      <c r="C290" s="1103" t="s">
        <v>7919</v>
      </c>
      <c r="D290" s="1015" t="s">
        <v>3127</v>
      </c>
      <c r="E290" s="1104">
        <v>411109</v>
      </c>
      <c r="F290" s="1105" t="s">
        <v>7920</v>
      </c>
      <c r="G290" s="1104">
        <v>3286462</v>
      </c>
      <c r="H290" s="1104">
        <v>1024767</v>
      </c>
      <c r="I290" s="1104">
        <v>908970</v>
      </c>
      <c r="J290" s="1104">
        <v>795247</v>
      </c>
      <c r="K290" s="1104">
        <v>1311591</v>
      </c>
      <c r="L290" s="1104">
        <v>5621791</v>
      </c>
      <c r="M290" s="1106">
        <v>5505994</v>
      </c>
      <c r="N290" s="1159">
        <v>5392271</v>
      </c>
      <c r="O290" s="1104">
        <v>5908615</v>
      </c>
      <c r="P290" s="1107">
        <f t="shared" si="7"/>
        <v>6646558</v>
      </c>
      <c r="Q290" s="1107">
        <f t="shared" si="7"/>
        <v>6414964</v>
      </c>
      <c r="R290" s="1107">
        <f t="shared" si="7"/>
        <v>6187518</v>
      </c>
      <c r="S290" s="1107">
        <f t="shared" si="7"/>
        <v>7220206</v>
      </c>
    </row>
    <row r="291" spans="1:19">
      <c r="A291" s="1015">
        <v>232</v>
      </c>
      <c r="B291" s="1015" t="s">
        <v>7921</v>
      </c>
      <c r="C291" s="1103" t="s">
        <v>7922</v>
      </c>
      <c r="D291" s="1015" t="s">
        <v>3127</v>
      </c>
      <c r="E291" s="1104">
        <v>587299</v>
      </c>
      <c r="F291" s="1105" t="s">
        <v>7920</v>
      </c>
      <c r="G291" s="1104">
        <v>4648053</v>
      </c>
      <c r="H291" s="1104">
        <v>1024767</v>
      </c>
      <c r="I291" s="1104">
        <v>908970</v>
      </c>
      <c r="J291" s="1104">
        <v>795247</v>
      </c>
      <c r="K291" s="1104">
        <v>1311591</v>
      </c>
      <c r="L291" s="1104">
        <v>7532217</v>
      </c>
      <c r="M291" s="1106">
        <v>7416420</v>
      </c>
      <c r="N291" s="1159">
        <v>7302697</v>
      </c>
      <c r="O291" s="1104">
        <v>7819041</v>
      </c>
      <c r="P291" s="1107">
        <f t="shared" si="7"/>
        <v>8556984</v>
      </c>
      <c r="Q291" s="1107">
        <f t="shared" si="7"/>
        <v>8325390</v>
      </c>
      <c r="R291" s="1107">
        <f t="shared" si="7"/>
        <v>8097944</v>
      </c>
      <c r="S291" s="1107">
        <f t="shared" si="7"/>
        <v>9130632</v>
      </c>
    </row>
    <row r="292" spans="1:19">
      <c r="A292" s="1015">
        <v>233</v>
      </c>
      <c r="B292" s="1015" t="s">
        <v>7923</v>
      </c>
      <c r="C292" s="1103" t="s">
        <v>7924</v>
      </c>
      <c r="D292" s="1015" t="s">
        <v>3127</v>
      </c>
      <c r="E292" s="1104">
        <v>634282</v>
      </c>
      <c r="F292" s="1105" t="s">
        <v>7925</v>
      </c>
      <c r="G292" s="1104">
        <v>5422748</v>
      </c>
      <c r="H292" s="1104">
        <v>1311841</v>
      </c>
      <c r="I292" s="1104">
        <v>1163606</v>
      </c>
      <c r="J292" s="1104">
        <v>1018024</v>
      </c>
      <c r="K292" s="1104">
        <v>1679014</v>
      </c>
      <c r="L292" s="1104">
        <v>8852992</v>
      </c>
      <c r="M292" s="1106">
        <v>8704757</v>
      </c>
      <c r="N292" s="1159">
        <v>8559175</v>
      </c>
      <c r="O292" s="1104">
        <v>9220165</v>
      </c>
      <c r="P292" s="1107">
        <f t="shared" si="7"/>
        <v>10164833</v>
      </c>
      <c r="Q292" s="1107">
        <f t="shared" si="7"/>
        <v>9868363</v>
      </c>
      <c r="R292" s="1107">
        <f t="shared" si="7"/>
        <v>9577199</v>
      </c>
      <c r="S292" s="1107">
        <f t="shared" si="7"/>
        <v>10899179</v>
      </c>
    </row>
    <row r="293" spans="1:19">
      <c r="A293" s="1015">
        <v>234</v>
      </c>
      <c r="B293" s="1015" t="s">
        <v>7926</v>
      </c>
      <c r="C293" s="1103" t="s">
        <v>7927</v>
      </c>
      <c r="D293" s="1015" t="s">
        <v>3127</v>
      </c>
      <c r="E293" s="1104">
        <v>751742</v>
      </c>
      <c r="F293" s="1105" t="s">
        <v>7928</v>
      </c>
      <c r="G293" s="1104">
        <v>6094486</v>
      </c>
      <c r="H293" s="1104">
        <v>1649370</v>
      </c>
      <c r="I293" s="1104">
        <v>1462995</v>
      </c>
      <c r="J293" s="1104">
        <v>1279956</v>
      </c>
      <c r="K293" s="1104">
        <v>2111015</v>
      </c>
      <c r="L293" s="1104">
        <v>10099410</v>
      </c>
      <c r="M293" s="1106">
        <v>9913035</v>
      </c>
      <c r="N293" s="1159">
        <v>9729996</v>
      </c>
      <c r="O293" s="1104">
        <v>10561055</v>
      </c>
      <c r="P293" s="1107">
        <f t="shared" si="7"/>
        <v>11748780</v>
      </c>
      <c r="Q293" s="1107">
        <f t="shared" si="7"/>
        <v>11376030</v>
      </c>
      <c r="R293" s="1107">
        <f t="shared" si="7"/>
        <v>11009952</v>
      </c>
      <c r="S293" s="1107">
        <f t="shared" si="7"/>
        <v>12672070</v>
      </c>
    </row>
    <row r="294" spans="1:19">
      <c r="A294" s="1015">
        <v>235</v>
      </c>
      <c r="B294" s="1015" t="s">
        <v>7929</v>
      </c>
      <c r="C294" s="1103" t="s">
        <v>7930</v>
      </c>
      <c r="D294" s="1015" t="s">
        <v>3127</v>
      </c>
      <c r="E294" s="1104">
        <v>1397771</v>
      </c>
      <c r="F294" s="1105" t="s">
        <v>7928</v>
      </c>
      <c r="G294" s="1104">
        <v>6737442</v>
      </c>
      <c r="H294" s="1104">
        <v>1649370</v>
      </c>
      <c r="I294" s="1104">
        <v>1462995</v>
      </c>
      <c r="J294" s="1104">
        <v>1279956</v>
      </c>
      <c r="K294" s="1104">
        <v>2111015</v>
      </c>
      <c r="L294" s="1104">
        <v>11557594</v>
      </c>
      <c r="M294" s="1106">
        <v>11371219</v>
      </c>
      <c r="N294" s="1159">
        <v>11188180</v>
      </c>
      <c r="O294" s="1104">
        <v>12019239</v>
      </c>
      <c r="P294" s="1107">
        <f t="shared" si="7"/>
        <v>13206964</v>
      </c>
      <c r="Q294" s="1107">
        <f t="shared" si="7"/>
        <v>12834214</v>
      </c>
      <c r="R294" s="1107">
        <f t="shared" si="7"/>
        <v>12468136</v>
      </c>
      <c r="S294" s="1107">
        <f t="shared" si="7"/>
        <v>14130254</v>
      </c>
    </row>
    <row r="295" spans="1:19">
      <c r="A295" s="1015"/>
      <c r="B295" s="1102" t="s">
        <v>7931</v>
      </c>
      <c r="C295" s="1099" t="s">
        <v>7932</v>
      </c>
      <c r="D295" s="1015"/>
      <c r="E295" s="1104" t="s">
        <v>7446</v>
      </c>
      <c r="F295" s="1105"/>
      <c r="G295" s="1104"/>
      <c r="H295" s="1104"/>
      <c r="I295" s="1104"/>
      <c r="J295" s="1104"/>
      <c r="K295" s="1104"/>
      <c r="L295" s="1104"/>
      <c r="M295" s="1106"/>
      <c r="N295" s="1159"/>
      <c r="O295" s="1104"/>
      <c r="P295" s="1107">
        <f t="shared" si="7"/>
        <v>0</v>
      </c>
      <c r="Q295" s="1107">
        <f t="shared" si="7"/>
        <v>0</v>
      </c>
      <c r="R295" s="1107">
        <f t="shared" si="7"/>
        <v>0</v>
      </c>
      <c r="S295" s="1107">
        <f t="shared" si="7"/>
        <v>0</v>
      </c>
    </row>
    <row r="296" spans="1:19">
      <c r="A296" s="1015"/>
      <c r="B296" s="1102" t="s">
        <v>7933</v>
      </c>
      <c r="C296" s="1099" t="s">
        <v>7934</v>
      </c>
      <c r="D296" s="1015"/>
      <c r="E296" s="1104" t="s">
        <v>7446</v>
      </c>
      <c r="F296" s="1105"/>
      <c r="G296" s="1104"/>
      <c r="H296" s="1104"/>
      <c r="I296" s="1104"/>
      <c r="J296" s="1104"/>
      <c r="K296" s="1104"/>
      <c r="L296" s="1104"/>
      <c r="M296" s="1106"/>
      <c r="N296" s="1159"/>
      <c r="O296" s="1104"/>
      <c r="P296" s="1107">
        <f t="shared" si="7"/>
        <v>0</v>
      </c>
      <c r="Q296" s="1107">
        <f t="shared" si="7"/>
        <v>0</v>
      </c>
      <c r="R296" s="1107">
        <f t="shared" si="7"/>
        <v>0</v>
      </c>
      <c r="S296" s="1107">
        <f t="shared" si="7"/>
        <v>0</v>
      </c>
    </row>
    <row r="297" spans="1:19">
      <c r="A297" s="1015">
        <v>236</v>
      </c>
      <c r="B297" s="1015" t="s">
        <v>7935</v>
      </c>
      <c r="C297" s="1103" t="s">
        <v>7936</v>
      </c>
      <c r="D297" s="1015" t="s">
        <v>7424</v>
      </c>
      <c r="E297" s="1104">
        <v>855031</v>
      </c>
      <c r="F297" s="1105" t="s">
        <v>7556</v>
      </c>
      <c r="G297" s="1104">
        <v>930161</v>
      </c>
      <c r="H297" s="1104">
        <v>537877</v>
      </c>
      <c r="I297" s="1104">
        <v>477098</v>
      </c>
      <c r="J297" s="1104">
        <v>417407</v>
      </c>
      <c r="K297" s="1104">
        <v>688424</v>
      </c>
      <c r="L297" s="1104">
        <v>2837758</v>
      </c>
      <c r="M297" s="1106">
        <v>2776979</v>
      </c>
      <c r="N297" s="1159">
        <v>2717288</v>
      </c>
      <c r="O297" s="1104">
        <v>2988305</v>
      </c>
      <c r="P297" s="1107">
        <f t="shared" si="7"/>
        <v>3375635</v>
      </c>
      <c r="Q297" s="1107">
        <f t="shared" si="7"/>
        <v>3254077</v>
      </c>
      <c r="R297" s="1107">
        <f t="shared" si="7"/>
        <v>3134695</v>
      </c>
      <c r="S297" s="1107">
        <f t="shared" si="7"/>
        <v>3676729</v>
      </c>
    </row>
    <row r="298" spans="1:19">
      <c r="A298" s="1015"/>
      <c r="B298" s="1102" t="s">
        <v>7937</v>
      </c>
      <c r="C298" s="1099" t="s">
        <v>7938</v>
      </c>
      <c r="D298" s="1015"/>
      <c r="E298" s="1104" t="s">
        <v>7446</v>
      </c>
      <c r="F298" s="1105"/>
      <c r="G298" s="1104"/>
      <c r="H298" s="1104"/>
      <c r="I298" s="1104"/>
      <c r="J298" s="1104"/>
      <c r="K298" s="1104"/>
      <c r="L298" s="1104"/>
      <c r="M298" s="1106"/>
      <c r="N298" s="1159"/>
      <c r="O298" s="1104"/>
      <c r="P298" s="1107">
        <f t="shared" si="7"/>
        <v>0</v>
      </c>
      <c r="Q298" s="1107">
        <f t="shared" si="7"/>
        <v>0</v>
      </c>
      <c r="R298" s="1107">
        <f t="shared" si="7"/>
        <v>0</v>
      </c>
      <c r="S298" s="1107">
        <f t="shared" si="7"/>
        <v>0</v>
      </c>
    </row>
    <row r="299" spans="1:19">
      <c r="A299" s="1015">
        <v>237</v>
      </c>
      <c r="B299" s="1015" t="s">
        <v>7939</v>
      </c>
      <c r="C299" s="1103" t="s">
        <v>7940</v>
      </c>
      <c r="D299" s="1015" t="s">
        <v>7424</v>
      </c>
      <c r="E299" s="1104">
        <v>510019</v>
      </c>
      <c r="F299" s="1105" t="s">
        <v>7616</v>
      </c>
      <c r="G299" s="1104">
        <v>1284890</v>
      </c>
      <c r="H299" s="1104">
        <v>579367</v>
      </c>
      <c r="I299" s="1104">
        <v>513900</v>
      </c>
      <c r="J299" s="1104">
        <v>449605</v>
      </c>
      <c r="K299" s="1104">
        <v>741527</v>
      </c>
      <c r="L299" s="1104">
        <v>2802572</v>
      </c>
      <c r="M299" s="1106">
        <v>2737105</v>
      </c>
      <c r="N299" s="1159">
        <v>2672810</v>
      </c>
      <c r="O299" s="1104">
        <v>2964732</v>
      </c>
      <c r="P299" s="1107">
        <f t="shared" si="7"/>
        <v>3381939</v>
      </c>
      <c r="Q299" s="1107">
        <f t="shared" si="7"/>
        <v>3251005</v>
      </c>
      <c r="R299" s="1107">
        <f t="shared" si="7"/>
        <v>3122415</v>
      </c>
      <c r="S299" s="1107">
        <f t="shared" si="7"/>
        <v>3706259</v>
      </c>
    </row>
    <row r="300" spans="1:19">
      <c r="A300" s="1015">
        <v>238</v>
      </c>
      <c r="B300" s="1015" t="s">
        <v>7941</v>
      </c>
      <c r="C300" s="1103" t="s">
        <v>7942</v>
      </c>
      <c r="D300" s="1015" t="s">
        <v>7424</v>
      </c>
      <c r="E300" s="1104">
        <v>750027</v>
      </c>
      <c r="F300" s="1105" t="s">
        <v>7616</v>
      </c>
      <c r="G300" s="1104">
        <v>1520612</v>
      </c>
      <c r="H300" s="1104">
        <v>579367</v>
      </c>
      <c r="I300" s="1104">
        <v>513900</v>
      </c>
      <c r="J300" s="1104">
        <v>449605</v>
      </c>
      <c r="K300" s="1104">
        <v>741527</v>
      </c>
      <c r="L300" s="1104">
        <v>3356877</v>
      </c>
      <c r="M300" s="1106">
        <v>3291410</v>
      </c>
      <c r="N300" s="1159">
        <v>3227115</v>
      </c>
      <c r="O300" s="1104">
        <v>3519037</v>
      </c>
      <c r="P300" s="1107">
        <f t="shared" si="7"/>
        <v>3936244</v>
      </c>
      <c r="Q300" s="1107">
        <f t="shared" si="7"/>
        <v>3805310</v>
      </c>
      <c r="R300" s="1107">
        <f t="shared" si="7"/>
        <v>3676720</v>
      </c>
      <c r="S300" s="1107">
        <f t="shared" si="7"/>
        <v>4260564</v>
      </c>
    </row>
    <row r="301" spans="1:19">
      <c r="A301" s="1015">
        <v>239</v>
      </c>
      <c r="B301" s="1015" t="s">
        <v>7943</v>
      </c>
      <c r="C301" s="1103" t="s">
        <v>7944</v>
      </c>
      <c r="D301" s="1015" t="s">
        <v>7424</v>
      </c>
      <c r="E301" s="1104">
        <v>945034</v>
      </c>
      <c r="F301" s="1105" t="s">
        <v>7616</v>
      </c>
      <c r="G301" s="1104">
        <v>2991351</v>
      </c>
      <c r="H301" s="1104">
        <v>579367</v>
      </c>
      <c r="I301" s="1104">
        <v>513900</v>
      </c>
      <c r="J301" s="1104">
        <v>449605</v>
      </c>
      <c r="K301" s="1104">
        <v>741527</v>
      </c>
      <c r="L301" s="1104">
        <v>5080785</v>
      </c>
      <c r="M301" s="1106">
        <v>5015318</v>
      </c>
      <c r="N301" s="1159">
        <v>4951023</v>
      </c>
      <c r="O301" s="1104">
        <v>5242945</v>
      </c>
      <c r="P301" s="1107">
        <f t="shared" si="7"/>
        <v>5660152</v>
      </c>
      <c r="Q301" s="1107">
        <f t="shared" si="7"/>
        <v>5529218</v>
      </c>
      <c r="R301" s="1107">
        <f t="shared" si="7"/>
        <v>5400628</v>
      </c>
      <c r="S301" s="1107">
        <f t="shared" si="7"/>
        <v>5984472</v>
      </c>
    </row>
    <row r="302" spans="1:19">
      <c r="A302" s="1015">
        <v>240</v>
      </c>
      <c r="B302" s="1015" t="s">
        <v>7945</v>
      </c>
      <c r="C302" s="1103" t="s">
        <v>7946</v>
      </c>
      <c r="D302" s="1015" t="s">
        <v>7424</v>
      </c>
      <c r="E302" s="1104">
        <v>1185043</v>
      </c>
      <c r="F302" s="1105" t="s">
        <v>7616</v>
      </c>
      <c r="G302" s="1104">
        <v>13200000</v>
      </c>
      <c r="H302" s="1104">
        <v>579367</v>
      </c>
      <c r="I302" s="1104">
        <v>513900</v>
      </c>
      <c r="J302" s="1104">
        <v>449605</v>
      </c>
      <c r="K302" s="1104">
        <v>741527</v>
      </c>
      <c r="L302" s="1104">
        <v>17457743</v>
      </c>
      <c r="M302" s="1106">
        <v>17392276</v>
      </c>
      <c r="N302" s="1159">
        <v>17327981</v>
      </c>
      <c r="O302" s="1104">
        <v>17619903</v>
      </c>
      <c r="P302" s="1107">
        <f t="shared" si="7"/>
        <v>18037110</v>
      </c>
      <c r="Q302" s="1107">
        <f t="shared" si="7"/>
        <v>17906176</v>
      </c>
      <c r="R302" s="1107">
        <f t="shared" si="7"/>
        <v>17777586</v>
      </c>
      <c r="S302" s="1107">
        <f t="shared" si="7"/>
        <v>18361430</v>
      </c>
    </row>
    <row r="303" spans="1:19" ht="18">
      <c r="A303" s="1015">
        <v>241</v>
      </c>
      <c r="B303" s="1015" t="s">
        <v>7947</v>
      </c>
      <c r="C303" s="1103" t="s">
        <v>7948</v>
      </c>
      <c r="D303" s="1015" t="s">
        <v>7424</v>
      </c>
      <c r="E303" s="1104">
        <v>450016</v>
      </c>
      <c r="F303" s="1105" t="s">
        <v>7616</v>
      </c>
      <c r="G303" s="1104">
        <v>2043419</v>
      </c>
      <c r="H303" s="1104">
        <v>579367</v>
      </c>
      <c r="I303" s="1104">
        <v>513900</v>
      </c>
      <c r="J303" s="1104">
        <v>449605</v>
      </c>
      <c r="K303" s="1104">
        <v>741527</v>
      </c>
      <c r="L303" s="1104">
        <v>3504191</v>
      </c>
      <c r="M303" s="1106">
        <v>3438724</v>
      </c>
      <c r="N303" s="1159">
        <v>3374429</v>
      </c>
      <c r="O303" s="1104">
        <v>3666351</v>
      </c>
      <c r="P303" s="1107">
        <f t="shared" si="7"/>
        <v>4083558</v>
      </c>
      <c r="Q303" s="1107">
        <f t="shared" si="7"/>
        <v>3952624</v>
      </c>
      <c r="R303" s="1107">
        <f t="shared" si="7"/>
        <v>3824034</v>
      </c>
      <c r="S303" s="1107">
        <f t="shared" si="7"/>
        <v>4407878</v>
      </c>
    </row>
    <row r="304" spans="1:19" ht="18">
      <c r="A304" s="1015">
        <v>242</v>
      </c>
      <c r="B304" s="1015" t="s">
        <v>7949</v>
      </c>
      <c r="C304" s="1103" t="s">
        <v>7950</v>
      </c>
      <c r="D304" s="1015" t="s">
        <v>7424</v>
      </c>
      <c r="E304" s="1104">
        <v>855031</v>
      </c>
      <c r="F304" s="1105" t="s">
        <v>7616</v>
      </c>
      <c r="G304" s="1104">
        <v>6500000</v>
      </c>
      <c r="H304" s="1104">
        <v>579367</v>
      </c>
      <c r="I304" s="1104">
        <v>513900</v>
      </c>
      <c r="J304" s="1104">
        <v>449605</v>
      </c>
      <c r="K304" s="1104">
        <v>741527</v>
      </c>
      <c r="L304" s="1104">
        <v>10173287</v>
      </c>
      <c r="M304" s="1106">
        <v>10107820</v>
      </c>
      <c r="N304" s="1159">
        <v>10043525</v>
      </c>
      <c r="O304" s="1104">
        <v>10335447</v>
      </c>
      <c r="P304" s="1107">
        <f t="shared" si="7"/>
        <v>10752654</v>
      </c>
      <c r="Q304" s="1107">
        <f t="shared" si="7"/>
        <v>10621720</v>
      </c>
      <c r="R304" s="1107">
        <f t="shared" si="7"/>
        <v>10493130</v>
      </c>
      <c r="S304" s="1107">
        <f t="shared" si="7"/>
        <v>11076974</v>
      </c>
    </row>
    <row r="305" spans="1:19">
      <c r="A305" s="1015"/>
      <c r="B305" s="1102" t="s">
        <v>7951</v>
      </c>
      <c r="C305" s="1099" t="s">
        <v>7952</v>
      </c>
      <c r="D305" s="1015"/>
      <c r="E305" s="1104" t="s">
        <v>7446</v>
      </c>
      <c r="F305" s="1105"/>
      <c r="G305" s="1104"/>
      <c r="H305" s="1104"/>
      <c r="I305" s="1104"/>
      <c r="J305" s="1104"/>
      <c r="K305" s="1104"/>
      <c r="L305" s="1104"/>
      <c r="M305" s="1106"/>
      <c r="N305" s="1159"/>
      <c r="O305" s="1104"/>
      <c r="P305" s="1107">
        <f t="shared" si="7"/>
        <v>0</v>
      </c>
      <c r="Q305" s="1107">
        <f t="shared" si="7"/>
        <v>0</v>
      </c>
      <c r="R305" s="1107">
        <f t="shared" si="7"/>
        <v>0</v>
      </c>
      <c r="S305" s="1107">
        <f t="shared" si="7"/>
        <v>0</v>
      </c>
    </row>
    <row r="306" spans="1:19">
      <c r="A306" s="1015">
        <v>243</v>
      </c>
      <c r="B306" s="1015" t="s">
        <v>7953</v>
      </c>
      <c r="C306" s="1103" t="s">
        <v>7954</v>
      </c>
      <c r="D306" s="1015" t="s">
        <v>7424</v>
      </c>
      <c r="E306" s="1104">
        <v>1380050</v>
      </c>
      <c r="F306" s="1105" t="s">
        <v>7592</v>
      </c>
      <c r="G306" s="1104">
        <v>3128588</v>
      </c>
      <c r="H306" s="1104">
        <v>624603</v>
      </c>
      <c r="I306" s="1104">
        <v>554024</v>
      </c>
      <c r="J306" s="1104">
        <v>484709</v>
      </c>
      <c r="K306" s="1104">
        <v>799425</v>
      </c>
      <c r="L306" s="1104">
        <v>5588309</v>
      </c>
      <c r="M306" s="1106">
        <v>5517730</v>
      </c>
      <c r="N306" s="1159">
        <v>5448415</v>
      </c>
      <c r="O306" s="1104">
        <v>5763131</v>
      </c>
      <c r="P306" s="1107">
        <f t="shared" si="7"/>
        <v>6212912</v>
      </c>
      <c r="Q306" s="1107">
        <f t="shared" si="7"/>
        <v>6071754</v>
      </c>
      <c r="R306" s="1107">
        <f t="shared" si="7"/>
        <v>5933124</v>
      </c>
      <c r="S306" s="1107">
        <f t="shared" si="7"/>
        <v>6562556</v>
      </c>
    </row>
    <row r="307" spans="1:19">
      <c r="A307" s="1015">
        <v>244</v>
      </c>
      <c r="B307" s="1015" t="s">
        <v>7955</v>
      </c>
      <c r="C307" s="1103" t="s">
        <v>7956</v>
      </c>
      <c r="D307" s="1015" t="s">
        <v>7424</v>
      </c>
      <c r="E307" s="1104">
        <v>5100185</v>
      </c>
      <c r="F307" s="1105" t="s">
        <v>7582</v>
      </c>
      <c r="G307" s="1104">
        <v>24432515</v>
      </c>
      <c r="H307" s="1104">
        <v>758571</v>
      </c>
      <c r="I307" s="1104">
        <v>672854</v>
      </c>
      <c r="J307" s="1104">
        <v>588672</v>
      </c>
      <c r="K307" s="1104">
        <v>970889</v>
      </c>
      <c r="L307" s="1104">
        <v>40064277</v>
      </c>
      <c r="M307" s="1106">
        <v>39978560</v>
      </c>
      <c r="N307" s="1159">
        <v>39894378</v>
      </c>
      <c r="O307" s="1104">
        <v>40276595</v>
      </c>
      <c r="P307" s="1107">
        <f t="shared" si="7"/>
        <v>40822848</v>
      </c>
      <c r="Q307" s="1107">
        <f t="shared" si="7"/>
        <v>40651414</v>
      </c>
      <c r="R307" s="1107">
        <f t="shared" si="7"/>
        <v>40483050</v>
      </c>
      <c r="S307" s="1107">
        <f t="shared" si="7"/>
        <v>41247484</v>
      </c>
    </row>
    <row r="308" spans="1:19">
      <c r="A308" s="1015">
        <v>245</v>
      </c>
      <c r="B308" s="1015" t="s">
        <v>7957</v>
      </c>
      <c r="C308" s="1103" t="s">
        <v>7958</v>
      </c>
      <c r="D308" s="1015" t="s">
        <v>7424</v>
      </c>
      <c r="E308" s="1104">
        <v>7845285</v>
      </c>
      <c r="F308" s="1105" t="s">
        <v>7582</v>
      </c>
      <c r="G308" s="1104">
        <v>17000000</v>
      </c>
      <c r="H308" s="1104">
        <v>758571</v>
      </c>
      <c r="I308" s="1104">
        <v>672854</v>
      </c>
      <c r="J308" s="1104">
        <v>588672</v>
      </c>
      <c r="K308" s="1104">
        <v>970889</v>
      </c>
      <c r="L308" s="1104">
        <v>32403856</v>
      </c>
      <c r="M308" s="1106">
        <v>32318139</v>
      </c>
      <c r="N308" s="1159">
        <v>32233957</v>
      </c>
      <c r="O308" s="1104">
        <v>32616174</v>
      </c>
      <c r="P308" s="1107">
        <f t="shared" si="7"/>
        <v>33162427</v>
      </c>
      <c r="Q308" s="1107">
        <f t="shared" si="7"/>
        <v>32990993</v>
      </c>
      <c r="R308" s="1107">
        <f t="shared" si="7"/>
        <v>32822629</v>
      </c>
      <c r="S308" s="1107">
        <f t="shared" si="7"/>
        <v>33587063</v>
      </c>
    </row>
    <row r="309" spans="1:19">
      <c r="A309" s="1015">
        <v>246</v>
      </c>
      <c r="B309" s="1015" t="s">
        <v>7959</v>
      </c>
      <c r="C309" s="1103" t="s">
        <v>7960</v>
      </c>
      <c r="D309" s="1015"/>
      <c r="E309" s="1104" t="s">
        <v>7446</v>
      </c>
      <c r="F309" s="1105" t="s">
        <v>7425</v>
      </c>
      <c r="G309" s="1104">
        <v>57211</v>
      </c>
      <c r="H309" s="1104">
        <v>287074</v>
      </c>
      <c r="I309" s="1104">
        <v>254635</v>
      </c>
      <c r="J309" s="1104">
        <v>222777</v>
      </c>
      <c r="K309" s="1104">
        <v>367424</v>
      </c>
      <c r="L309" s="1104">
        <v>362879</v>
      </c>
      <c r="M309" s="1106">
        <v>330440</v>
      </c>
      <c r="N309" s="1159">
        <v>298582</v>
      </c>
      <c r="O309" s="1104">
        <v>443229</v>
      </c>
      <c r="P309" s="1107">
        <f t="shared" si="7"/>
        <v>649953</v>
      </c>
      <c r="Q309" s="1107">
        <f t="shared" si="7"/>
        <v>585075</v>
      </c>
      <c r="R309" s="1107">
        <f t="shared" si="7"/>
        <v>521359</v>
      </c>
      <c r="S309" s="1107">
        <f t="shared" si="7"/>
        <v>810653</v>
      </c>
    </row>
    <row r="310" spans="1:19">
      <c r="A310" s="1015">
        <v>247</v>
      </c>
      <c r="B310" s="1015" t="s">
        <v>7961</v>
      </c>
      <c r="C310" s="1103" t="s">
        <v>7962</v>
      </c>
      <c r="D310" s="1015" t="s">
        <v>7424</v>
      </c>
      <c r="E310" s="1104">
        <v>165006</v>
      </c>
      <c r="F310" s="1105" t="s">
        <v>7425</v>
      </c>
      <c r="G310" s="1104">
        <v>32492</v>
      </c>
      <c r="H310" s="1104">
        <v>287074</v>
      </c>
      <c r="I310" s="1104">
        <v>254635</v>
      </c>
      <c r="J310" s="1104">
        <v>222777</v>
      </c>
      <c r="K310" s="1104">
        <v>367424</v>
      </c>
      <c r="L310" s="1104">
        <v>840359</v>
      </c>
      <c r="M310" s="1106">
        <v>807920</v>
      </c>
      <c r="N310" s="1159">
        <v>776062</v>
      </c>
      <c r="O310" s="1104">
        <v>920709</v>
      </c>
      <c r="P310" s="1107">
        <f t="shared" si="7"/>
        <v>1127433</v>
      </c>
      <c r="Q310" s="1107">
        <f t="shared" si="7"/>
        <v>1062555</v>
      </c>
      <c r="R310" s="1107">
        <f t="shared" si="7"/>
        <v>998839</v>
      </c>
      <c r="S310" s="1107">
        <f t="shared" si="7"/>
        <v>1288133</v>
      </c>
    </row>
    <row r="311" spans="1:19">
      <c r="A311" s="1015">
        <v>248</v>
      </c>
      <c r="B311" s="1015" t="s">
        <v>7963</v>
      </c>
      <c r="C311" s="1103" t="s">
        <v>7964</v>
      </c>
      <c r="D311" s="1015" t="s">
        <v>7504</v>
      </c>
      <c r="E311" s="1104">
        <v>74701</v>
      </c>
      <c r="F311" s="1105" t="s">
        <v>7425</v>
      </c>
      <c r="G311" s="1104">
        <v>34166</v>
      </c>
      <c r="H311" s="1104">
        <v>287074</v>
      </c>
      <c r="I311" s="1104">
        <v>254635</v>
      </c>
      <c r="J311" s="1104">
        <v>222777</v>
      </c>
      <c r="K311" s="1104">
        <v>367424</v>
      </c>
      <c r="L311" s="1104">
        <v>404141</v>
      </c>
      <c r="M311" s="1106">
        <v>371702</v>
      </c>
      <c r="N311" s="1159">
        <v>339844</v>
      </c>
      <c r="O311" s="1104">
        <v>484491</v>
      </c>
      <c r="P311" s="1107">
        <f t="shared" si="7"/>
        <v>691215</v>
      </c>
      <c r="Q311" s="1107">
        <f t="shared" si="7"/>
        <v>626337</v>
      </c>
      <c r="R311" s="1107">
        <f t="shared" si="7"/>
        <v>562621</v>
      </c>
      <c r="S311" s="1107">
        <f t="shared" si="7"/>
        <v>851915</v>
      </c>
    </row>
    <row r="312" spans="1:19">
      <c r="A312" s="1015">
        <v>249</v>
      </c>
      <c r="B312" s="1015" t="s">
        <v>7965</v>
      </c>
      <c r="C312" s="1103" t="s">
        <v>7966</v>
      </c>
      <c r="D312" s="1015"/>
      <c r="E312" s="1104" t="s">
        <v>7446</v>
      </c>
      <c r="F312" s="1105" t="s">
        <v>7425</v>
      </c>
      <c r="G312" s="1104">
        <v>45516</v>
      </c>
      <c r="H312" s="1104">
        <v>287074</v>
      </c>
      <c r="I312" s="1104">
        <v>254635</v>
      </c>
      <c r="J312" s="1104">
        <v>222777</v>
      </c>
      <c r="K312" s="1104">
        <v>367424</v>
      </c>
      <c r="L312" s="1104">
        <v>372417</v>
      </c>
      <c r="M312" s="1106">
        <v>339978</v>
      </c>
      <c r="N312" s="1159">
        <v>308120</v>
      </c>
      <c r="O312" s="1104">
        <v>452767</v>
      </c>
      <c r="P312" s="1107">
        <f t="shared" si="7"/>
        <v>659491</v>
      </c>
      <c r="Q312" s="1107">
        <f t="shared" si="7"/>
        <v>594613</v>
      </c>
      <c r="R312" s="1107">
        <f t="shared" si="7"/>
        <v>530897</v>
      </c>
      <c r="S312" s="1107">
        <f t="shared" si="7"/>
        <v>820191</v>
      </c>
    </row>
    <row r="313" spans="1:19">
      <c r="A313" s="1015">
        <v>250</v>
      </c>
      <c r="B313" s="1015" t="s">
        <v>7967</v>
      </c>
      <c r="C313" s="1103" t="s">
        <v>7968</v>
      </c>
      <c r="D313" s="1015" t="s">
        <v>7424</v>
      </c>
      <c r="E313" s="1104">
        <v>1095040</v>
      </c>
      <c r="F313" s="1105" t="s">
        <v>7616</v>
      </c>
      <c r="G313" s="1104">
        <v>7369287</v>
      </c>
      <c r="H313" s="1104">
        <v>579367</v>
      </c>
      <c r="I313" s="1104">
        <v>513900</v>
      </c>
      <c r="J313" s="1104">
        <v>449605</v>
      </c>
      <c r="K313" s="1104">
        <v>741527</v>
      </c>
      <c r="L313" s="1104">
        <v>9706930</v>
      </c>
      <c r="M313" s="1106">
        <v>9641463</v>
      </c>
      <c r="N313" s="1159">
        <v>9577168</v>
      </c>
      <c r="O313" s="1104">
        <v>9869090</v>
      </c>
      <c r="P313" s="1107">
        <f t="shared" si="7"/>
        <v>10286297</v>
      </c>
      <c r="Q313" s="1107">
        <f t="shared" si="7"/>
        <v>10155363</v>
      </c>
      <c r="R313" s="1107">
        <f t="shared" si="7"/>
        <v>10026773</v>
      </c>
      <c r="S313" s="1107">
        <f t="shared" si="7"/>
        <v>10610617</v>
      </c>
    </row>
    <row r="314" spans="1:19">
      <c r="A314" s="1015"/>
      <c r="B314" s="1102" t="s">
        <v>7969</v>
      </c>
      <c r="C314" s="1099" t="s">
        <v>7970</v>
      </c>
      <c r="D314" s="1015"/>
      <c r="E314" s="1104" t="s">
        <v>7446</v>
      </c>
      <c r="F314" s="1105"/>
      <c r="G314" s="1104"/>
      <c r="H314" s="1104"/>
      <c r="I314" s="1104"/>
      <c r="J314" s="1104"/>
      <c r="K314" s="1104"/>
      <c r="L314" s="1104"/>
      <c r="M314" s="1106"/>
      <c r="N314" s="1159"/>
      <c r="O314" s="1104"/>
      <c r="P314" s="1107">
        <f t="shared" si="7"/>
        <v>0</v>
      </c>
      <c r="Q314" s="1107">
        <f t="shared" si="7"/>
        <v>0</v>
      </c>
      <c r="R314" s="1107">
        <f t="shared" si="7"/>
        <v>0</v>
      </c>
      <c r="S314" s="1107">
        <f t="shared" si="7"/>
        <v>0</v>
      </c>
    </row>
    <row r="315" spans="1:19">
      <c r="A315" s="1015"/>
      <c r="B315" s="1102" t="s">
        <v>7971</v>
      </c>
      <c r="C315" s="1099" t="s">
        <v>7972</v>
      </c>
      <c r="D315" s="1015"/>
      <c r="E315" s="1104" t="s">
        <v>7446</v>
      </c>
      <c r="F315" s="1105"/>
      <c r="G315" s="1104"/>
      <c r="H315" s="1104"/>
      <c r="I315" s="1104"/>
      <c r="J315" s="1104"/>
      <c r="K315" s="1104"/>
      <c r="L315" s="1104"/>
      <c r="M315" s="1106"/>
      <c r="N315" s="1159"/>
      <c r="O315" s="1104"/>
      <c r="P315" s="1107">
        <f t="shared" si="7"/>
        <v>0</v>
      </c>
      <c r="Q315" s="1107">
        <f t="shared" si="7"/>
        <v>0</v>
      </c>
      <c r="R315" s="1107">
        <f t="shared" si="7"/>
        <v>0</v>
      </c>
      <c r="S315" s="1107">
        <f t="shared" si="7"/>
        <v>0</v>
      </c>
    </row>
    <row r="316" spans="1:19">
      <c r="A316" s="1015">
        <v>251</v>
      </c>
      <c r="B316" s="1015" t="s">
        <v>7973</v>
      </c>
      <c r="C316" s="1103" t="s">
        <v>7679</v>
      </c>
      <c r="D316" s="1015" t="s">
        <v>7504</v>
      </c>
      <c r="E316" s="1104">
        <v>93376</v>
      </c>
      <c r="F316" s="1105" t="s">
        <v>7974</v>
      </c>
      <c r="G316" s="1104">
        <v>106420</v>
      </c>
      <c r="H316" s="1104">
        <v>264456</v>
      </c>
      <c r="I316" s="1104">
        <v>234573</v>
      </c>
      <c r="J316" s="1104">
        <v>205225</v>
      </c>
      <c r="K316" s="1104">
        <v>338475</v>
      </c>
      <c r="L316" s="1104">
        <v>478725</v>
      </c>
      <c r="M316" s="1106">
        <v>448842</v>
      </c>
      <c r="N316" s="1159">
        <v>419494</v>
      </c>
      <c r="O316" s="1104">
        <v>552744</v>
      </c>
      <c r="P316" s="1107">
        <f t="shared" si="7"/>
        <v>743181</v>
      </c>
      <c r="Q316" s="1107">
        <f t="shared" si="7"/>
        <v>683415</v>
      </c>
      <c r="R316" s="1107">
        <f t="shared" si="7"/>
        <v>624719</v>
      </c>
      <c r="S316" s="1107">
        <f t="shared" si="7"/>
        <v>891219</v>
      </c>
    </row>
    <row r="317" spans="1:19">
      <c r="A317" s="1015">
        <v>252</v>
      </c>
      <c r="B317" s="1015" t="s">
        <v>7975</v>
      </c>
      <c r="C317" s="1103" t="s">
        <v>7683</v>
      </c>
      <c r="D317" s="1015" t="s">
        <v>7504</v>
      </c>
      <c r="E317" s="1104">
        <v>130727</v>
      </c>
      <c r="F317" s="1105" t="s">
        <v>7974</v>
      </c>
      <c r="G317" s="1104">
        <v>157562</v>
      </c>
      <c r="H317" s="1104">
        <v>264456</v>
      </c>
      <c r="I317" s="1104">
        <v>234573</v>
      </c>
      <c r="J317" s="1104">
        <v>205225</v>
      </c>
      <c r="K317" s="1104">
        <v>338475</v>
      </c>
      <c r="L317" s="1104">
        <v>574173</v>
      </c>
      <c r="M317" s="1106">
        <v>544290</v>
      </c>
      <c r="N317" s="1159">
        <v>514942</v>
      </c>
      <c r="O317" s="1104">
        <v>648192</v>
      </c>
      <c r="P317" s="1107">
        <f t="shared" si="7"/>
        <v>838629</v>
      </c>
      <c r="Q317" s="1107">
        <f t="shared" si="7"/>
        <v>778863</v>
      </c>
      <c r="R317" s="1107">
        <f t="shared" si="7"/>
        <v>720167</v>
      </c>
      <c r="S317" s="1107">
        <f t="shared" si="7"/>
        <v>986667</v>
      </c>
    </row>
    <row r="318" spans="1:19">
      <c r="A318" s="1015">
        <v>253</v>
      </c>
      <c r="B318" s="1015" t="s">
        <v>7976</v>
      </c>
      <c r="C318" s="1103" t="s">
        <v>7671</v>
      </c>
      <c r="D318" s="1015" t="s">
        <v>7504</v>
      </c>
      <c r="E318" s="1104">
        <v>224103</v>
      </c>
      <c r="F318" s="1105" t="s">
        <v>7974</v>
      </c>
      <c r="G318" s="1104">
        <v>183212</v>
      </c>
      <c r="H318" s="1104">
        <v>264456</v>
      </c>
      <c r="I318" s="1104">
        <v>234573</v>
      </c>
      <c r="J318" s="1104">
        <v>205225</v>
      </c>
      <c r="K318" s="1104">
        <v>338475</v>
      </c>
      <c r="L318" s="1104">
        <v>696688</v>
      </c>
      <c r="M318" s="1106">
        <v>666805</v>
      </c>
      <c r="N318" s="1159">
        <v>637457</v>
      </c>
      <c r="O318" s="1104">
        <v>770707</v>
      </c>
      <c r="P318" s="1107">
        <f t="shared" si="7"/>
        <v>961144</v>
      </c>
      <c r="Q318" s="1107">
        <f t="shared" si="7"/>
        <v>901378</v>
      </c>
      <c r="R318" s="1107">
        <f t="shared" si="7"/>
        <v>842682</v>
      </c>
      <c r="S318" s="1107">
        <f t="shared" si="7"/>
        <v>1109182</v>
      </c>
    </row>
    <row r="319" spans="1:19">
      <c r="A319" s="1015">
        <v>254</v>
      </c>
      <c r="B319" s="1015" t="s">
        <v>3981</v>
      </c>
      <c r="C319" s="1103" t="s">
        <v>7765</v>
      </c>
      <c r="D319" s="1015" t="s">
        <v>7504</v>
      </c>
      <c r="E319" s="1104">
        <v>242779</v>
      </c>
      <c r="F319" s="1105" t="s">
        <v>7974</v>
      </c>
      <c r="G319" s="1104">
        <v>218983</v>
      </c>
      <c r="H319" s="1104">
        <v>264456</v>
      </c>
      <c r="I319" s="1104">
        <v>234573</v>
      </c>
      <c r="J319" s="1104">
        <v>205225</v>
      </c>
      <c r="K319" s="1104">
        <v>338475</v>
      </c>
      <c r="L319" s="1104">
        <v>748116</v>
      </c>
      <c r="M319" s="1106">
        <v>718233</v>
      </c>
      <c r="N319" s="1159">
        <v>688885</v>
      </c>
      <c r="O319" s="1104">
        <v>822135</v>
      </c>
      <c r="P319" s="1107">
        <f t="shared" si="7"/>
        <v>1012572</v>
      </c>
      <c r="Q319" s="1107">
        <f t="shared" si="7"/>
        <v>952806</v>
      </c>
      <c r="R319" s="1107">
        <f t="shared" si="7"/>
        <v>894110</v>
      </c>
      <c r="S319" s="1107">
        <f t="shared" si="7"/>
        <v>1160610</v>
      </c>
    </row>
    <row r="320" spans="1:19">
      <c r="A320" s="1015">
        <v>255</v>
      </c>
      <c r="B320" s="1015" t="s">
        <v>7977</v>
      </c>
      <c r="C320" s="1103" t="s">
        <v>7559</v>
      </c>
      <c r="D320" s="1015" t="s">
        <v>7424</v>
      </c>
      <c r="E320" s="1104">
        <v>375014</v>
      </c>
      <c r="F320" s="1105" t="s">
        <v>7974</v>
      </c>
      <c r="G320" s="1104">
        <v>317869</v>
      </c>
      <c r="H320" s="1104">
        <v>264456</v>
      </c>
      <c r="I320" s="1104">
        <v>234573</v>
      </c>
      <c r="J320" s="1104">
        <v>205225</v>
      </c>
      <c r="K320" s="1104">
        <v>338475</v>
      </c>
      <c r="L320" s="1104">
        <v>989126</v>
      </c>
      <c r="M320" s="1106">
        <v>959243</v>
      </c>
      <c r="N320" s="1159">
        <v>929895</v>
      </c>
      <c r="O320" s="1104">
        <v>1063145</v>
      </c>
      <c r="P320" s="1107">
        <f t="shared" si="7"/>
        <v>1253582</v>
      </c>
      <c r="Q320" s="1107">
        <f t="shared" si="7"/>
        <v>1193816</v>
      </c>
      <c r="R320" s="1107">
        <f t="shared" si="7"/>
        <v>1135120</v>
      </c>
      <c r="S320" s="1107">
        <f t="shared" si="7"/>
        <v>1401620</v>
      </c>
    </row>
    <row r="321" spans="1:19">
      <c r="A321" s="1015">
        <v>256</v>
      </c>
      <c r="B321" s="1015" t="s">
        <v>7978</v>
      </c>
      <c r="C321" s="1103" t="s">
        <v>7979</v>
      </c>
      <c r="D321" s="1015" t="s">
        <v>7424</v>
      </c>
      <c r="E321" s="1104">
        <v>465017</v>
      </c>
      <c r="F321" s="1105" t="s">
        <v>7974</v>
      </c>
      <c r="G321" s="1104">
        <v>427131</v>
      </c>
      <c r="H321" s="1104">
        <v>264456</v>
      </c>
      <c r="I321" s="1104">
        <v>234573</v>
      </c>
      <c r="J321" s="1104">
        <v>205225</v>
      </c>
      <c r="K321" s="1104">
        <v>338475</v>
      </c>
      <c r="L321" s="1104">
        <v>1199317</v>
      </c>
      <c r="M321" s="1106">
        <v>1169434</v>
      </c>
      <c r="N321" s="1159">
        <v>1140086</v>
      </c>
      <c r="O321" s="1104">
        <v>1273336</v>
      </c>
      <c r="P321" s="1107">
        <f t="shared" si="7"/>
        <v>1463773</v>
      </c>
      <c r="Q321" s="1107">
        <f t="shared" si="7"/>
        <v>1404007</v>
      </c>
      <c r="R321" s="1107">
        <f t="shared" si="7"/>
        <v>1345311</v>
      </c>
      <c r="S321" s="1107">
        <f t="shared" si="7"/>
        <v>1611811</v>
      </c>
    </row>
    <row r="322" spans="1:19">
      <c r="A322" s="1015">
        <v>257</v>
      </c>
      <c r="B322" s="1015" t="s">
        <v>7980</v>
      </c>
      <c r="C322" s="1103" t="s">
        <v>7541</v>
      </c>
      <c r="D322" s="1015" t="s">
        <v>7424</v>
      </c>
      <c r="E322" s="1104">
        <v>570021</v>
      </c>
      <c r="F322" s="1105" t="s">
        <v>7974</v>
      </c>
      <c r="G322" s="1104">
        <v>560241</v>
      </c>
      <c r="H322" s="1104">
        <v>264456</v>
      </c>
      <c r="I322" s="1104">
        <v>234573</v>
      </c>
      <c r="J322" s="1104">
        <v>205225</v>
      </c>
      <c r="K322" s="1104">
        <v>338475</v>
      </c>
      <c r="L322" s="1104">
        <v>1430573</v>
      </c>
      <c r="M322" s="1106">
        <v>1400690</v>
      </c>
      <c r="N322" s="1159">
        <v>1371342</v>
      </c>
      <c r="O322" s="1104">
        <v>1504592</v>
      </c>
      <c r="P322" s="1107">
        <f t="shared" si="7"/>
        <v>1695029</v>
      </c>
      <c r="Q322" s="1107">
        <f t="shared" si="7"/>
        <v>1635263</v>
      </c>
      <c r="R322" s="1107">
        <f t="shared" si="7"/>
        <v>1576567</v>
      </c>
      <c r="S322" s="1107">
        <f t="shared" si="7"/>
        <v>1843067</v>
      </c>
    </row>
    <row r="323" spans="1:19">
      <c r="A323" s="1015">
        <v>258</v>
      </c>
      <c r="B323" s="1015" t="s">
        <v>7981</v>
      </c>
      <c r="C323" s="1103" t="s">
        <v>7527</v>
      </c>
      <c r="D323" s="1015" t="s">
        <v>7424</v>
      </c>
      <c r="E323" s="1104">
        <v>615022</v>
      </c>
      <c r="F323" s="1105" t="s">
        <v>7982</v>
      </c>
      <c r="G323" s="1104">
        <v>606044</v>
      </c>
      <c r="H323" s="1104">
        <v>313761</v>
      </c>
      <c r="I323" s="1104">
        <v>278307</v>
      </c>
      <c r="J323" s="1104">
        <v>243487</v>
      </c>
      <c r="K323" s="1104">
        <v>401581</v>
      </c>
      <c r="L323" s="1104">
        <v>1548813</v>
      </c>
      <c r="M323" s="1106">
        <v>1513359</v>
      </c>
      <c r="N323" s="1159">
        <v>1478539</v>
      </c>
      <c r="O323" s="1104">
        <v>1636633</v>
      </c>
      <c r="P323" s="1107">
        <f t="shared" si="7"/>
        <v>1862574</v>
      </c>
      <c r="Q323" s="1107">
        <f t="shared" si="7"/>
        <v>1791666</v>
      </c>
      <c r="R323" s="1107">
        <f t="shared" si="7"/>
        <v>1722026</v>
      </c>
      <c r="S323" s="1107">
        <f t="shared" si="7"/>
        <v>2038214</v>
      </c>
    </row>
    <row r="324" spans="1:19">
      <c r="A324" s="1015">
        <v>259</v>
      </c>
      <c r="B324" s="1015" t="s">
        <v>7983</v>
      </c>
      <c r="C324" s="1103" t="s">
        <v>7529</v>
      </c>
      <c r="D324" s="1015" t="s">
        <v>7424</v>
      </c>
      <c r="E324" s="1104">
        <v>690025</v>
      </c>
      <c r="F324" s="1105" t="s">
        <v>7982</v>
      </c>
      <c r="G324" s="1104">
        <v>739497</v>
      </c>
      <c r="H324" s="1104">
        <v>313761</v>
      </c>
      <c r="I324" s="1104">
        <v>278307</v>
      </c>
      <c r="J324" s="1104">
        <v>243487</v>
      </c>
      <c r="K324" s="1104">
        <v>401581</v>
      </c>
      <c r="L324" s="1104">
        <v>1760348</v>
      </c>
      <c r="M324" s="1106">
        <v>1724894</v>
      </c>
      <c r="N324" s="1159">
        <v>1690074</v>
      </c>
      <c r="O324" s="1104">
        <v>1848168</v>
      </c>
      <c r="P324" s="1107">
        <f t="shared" si="7"/>
        <v>2074109</v>
      </c>
      <c r="Q324" s="1107">
        <f t="shared" si="7"/>
        <v>2003201</v>
      </c>
      <c r="R324" s="1107">
        <f t="shared" si="7"/>
        <v>1933561</v>
      </c>
      <c r="S324" s="1107">
        <f t="shared" si="7"/>
        <v>2249749</v>
      </c>
    </row>
    <row r="325" spans="1:19">
      <c r="A325" s="1015">
        <v>260</v>
      </c>
      <c r="B325" s="1015" t="s">
        <v>7984</v>
      </c>
      <c r="C325" s="1103" t="s">
        <v>7549</v>
      </c>
      <c r="D325" s="1015" t="s">
        <v>7424</v>
      </c>
      <c r="E325" s="1104">
        <v>840031</v>
      </c>
      <c r="F325" s="1105" t="s">
        <v>7982</v>
      </c>
      <c r="G325" s="1104">
        <v>1248374</v>
      </c>
      <c r="H325" s="1104">
        <v>313761</v>
      </c>
      <c r="I325" s="1104">
        <v>278307</v>
      </c>
      <c r="J325" s="1104">
        <v>243487</v>
      </c>
      <c r="K325" s="1104">
        <v>401581</v>
      </c>
      <c r="L325" s="1104">
        <v>2263457</v>
      </c>
      <c r="M325" s="1106">
        <v>2228003</v>
      </c>
      <c r="N325" s="1159">
        <v>2193183</v>
      </c>
      <c r="O325" s="1104">
        <v>2351277</v>
      </c>
      <c r="P325" s="1107">
        <f t="shared" si="7"/>
        <v>2577218</v>
      </c>
      <c r="Q325" s="1107">
        <f t="shared" si="7"/>
        <v>2506310</v>
      </c>
      <c r="R325" s="1107">
        <f t="shared" si="7"/>
        <v>2436670</v>
      </c>
      <c r="S325" s="1107">
        <f t="shared" si="7"/>
        <v>2752858</v>
      </c>
    </row>
    <row r="326" spans="1:19">
      <c r="A326" s="1015">
        <v>261</v>
      </c>
      <c r="B326" s="1015" t="s">
        <v>7985</v>
      </c>
      <c r="C326" s="1103" t="s">
        <v>7986</v>
      </c>
      <c r="D326" s="1015" t="s">
        <v>7424</v>
      </c>
      <c r="E326" s="1104">
        <v>930034</v>
      </c>
      <c r="F326" s="1105" t="s">
        <v>7982</v>
      </c>
      <c r="G326" s="1104">
        <v>1976364</v>
      </c>
      <c r="H326" s="1104">
        <v>313761</v>
      </c>
      <c r="I326" s="1104">
        <v>278307</v>
      </c>
      <c r="J326" s="1104">
        <v>243487</v>
      </c>
      <c r="K326" s="1104">
        <v>401581</v>
      </c>
      <c r="L326" s="1104">
        <v>3000563</v>
      </c>
      <c r="M326" s="1106">
        <v>2965109</v>
      </c>
      <c r="N326" s="1159">
        <v>2930289</v>
      </c>
      <c r="O326" s="1104">
        <v>3088383</v>
      </c>
      <c r="P326" s="1107">
        <f t="shared" si="7"/>
        <v>3314324</v>
      </c>
      <c r="Q326" s="1107">
        <f t="shared" si="7"/>
        <v>3243416</v>
      </c>
      <c r="R326" s="1107">
        <f t="shared" si="7"/>
        <v>3173776</v>
      </c>
      <c r="S326" s="1107">
        <f t="shared" si="7"/>
        <v>3489964</v>
      </c>
    </row>
    <row r="327" spans="1:19">
      <c r="A327" s="1015"/>
      <c r="B327" s="1102" t="s">
        <v>7987</v>
      </c>
      <c r="C327" s="1099" t="s">
        <v>7988</v>
      </c>
      <c r="D327" s="1015"/>
      <c r="E327" s="1104" t="s">
        <v>7446</v>
      </c>
      <c r="F327" s="1105"/>
      <c r="G327" s="1104"/>
      <c r="H327" s="1104"/>
      <c r="I327" s="1104"/>
      <c r="J327" s="1104"/>
      <c r="K327" s="1104"/>
      <c r="L327" s="1104"/>
      <c r="M327" s="1106"/>
      <c r="N327" s="1159"/>
      <c r="O327" s="1104"/>
      <c r="P327" s="1107">
        <f t="shared" si="7"/>
        <v>0</v>
      </c>
      <c r="Q327" s="1107">
        <f t="shared" si="7"/>
        <v>0</v>
      </c>
      <c r="R327" s="1107">
        <f t="shared" si="7"/>
        <v>0</v>
      </c>
      <c r="S327" s="1107">
        <f t="shared" si="7"/>
        <v>0</v>
      </c>
    </row>
    <row r="328" spans="1:19">
      <c r="A328" s="1015">
        <v>262</v>
      </c>
      <c r="B328" s="1015" t="s">
        <v>7989</v>
      </c>
      <c r="C328" s="1103" t="s">
        <v>7765</v>
      </c>
      <c r="D328" s="1015" t="s">
        <v>7504</v>
      </c>
      <c r="E328" s="1104">
        <v>35483</v>
      </c>
      <c r="F328" s="1105" t="s">
        <v>7974</v>
      </c>
      <c r="G328" s="1104">
        <v>248104</v>
      </c>
      <c r="H328" s="1104">
        <v>264456</v>
      </c>
      <c r="I328" s="1104">
        <v>234573</v>
      </c>
      <c r="J328" s="1104">
        <v>205225</v>
      </c>
      <c r="K328" s="1104">
        <v>338475</v>
      </c>
      <c r="L328" s="1104">
        <v>894109</v>
      </c>
      <c r="M328" s="1106">
        <v>864226</v>
      </c>
      <c r="N328" s="1159">
        <v>834878</v>
      </c>
      <c r="O328" s="1104">
        <v>968128</v>
      </c>
      <c r="P328" s="1107">
        <f t="shared" si="7"/>
        <v>1158565</v>
      </c>
      <c r="Q328" s="1107">
        <f t="shared" si="7"/>
        <v>1098799</v>
      </c>
      <c r="R328" s="1107">
        <f t="shared" si="7"/>
        <v>1040103</v>
      </c>
      <c r="S328" s="1107">
        <f t="shared" si="7"/>
        <v>1306603</v>
      </c>
    </row>
    <row r="329" spans="1:19">
      <c r="A329" s="1015">
        <v>263</v>
      </c>
      <c r="B329" s="1015" t="s">
        <v>7990</v>
      </c>
      <c r="C329" s="1103" t="s">
        <v>7559</v>
      </c>
      <c r="D329" s="1015" t="s">
        <v>7424</v>
      </c>
      <c r="E329" s="1104">
        <v>615022</v>
      </c>
      <c r="F329" s="1105" t="s">
        <v>7974</v>
      </c>
      <c r="G329" s="1104">
        <v>437559</v>
      </c>
      <c r="H329" s="1104">
        <v>264456</v>
      </c>
      <c r="I329" s="1104">
        <v>234573</v>
      </c>
      <c r="J329" s="1104">
        <v>205225</v>
      </c>
      <c r="K329" s="1104">
        <v>338475</v>
      </c>
      <c r="L329" s="1104">
        <v>1364159</v>
      </c>
      <c r="M329" s="1106">
        <v>1334276</v>
      </c>
      <c r="N329" s="1159">
        <v>1304928</v>
      </c>
      <c r="O329" s="1104">
        <v>1438178</v>
      </c>
      <c r="P329" s="1107">
        <f t="shared" si="7"/>
        <v>1628615</v>
      </c>
      <c r="Q329" s="1107">
        <f t="shared" si="7"/>
        <v>1568849</v>
      </c>
      <c r="R329" s="1107">
        <f t="shared" si="7"/>
        <v>1510153</v>
      </c>
      <c r="S329" s="1107">
        <f t="shared" ref="S329:S392" si="8">K329+O329</f>
        <v>1776653</v>
      </c>
    </row>
    <row r="330" spans="1:19">
      <c r="A330" s="1015">
        <v>264</v>
      </c>
      <c r="B330" s="1015" t="s">
        <v>7991</v>
      </c>
      <c r="C330" s="1103" t="s">
        <v>7979</v>
      </c>
      <c r="D330" s="1015" t="s">
        <v>7424</v>
      </c>
      <c r="E330" s="1104">
        <v>690025</v>
      </c>
      <c r="F330" s="1105" t="s">
        <v>7974</v>
      </c>
      <c r="G330" s="1104">
        <v>616643</v>
      </c>
      <c r="H330" s="1104">
        <v>264456</v>
      </c>
      <c r="I330" s="1104">
        <v>234573</v>
      </c>
      <c r="J330" s="1104">
        <v>205225</v>
      </c>
      <c r="K330" s="1104">
        <v>338475</v>
      </c>
      <c r="L330" s="1104">
        <v>1632788</v>
      </c>
      <c r="M330" s="1106">
        <v>1602905</v>
      </c>
      <c r="N330" s="1159">
        <v>1573557</v>
      </c>
      <c r="O330" s="1104">
        <v>1706807</v>
      </c>
      <c r="P330" s="1107">
        <f t="shared" ref="P330:S393" si="9">H330+L330</f>
        <v>1897244</v>
      </c>
      <c r="Q330" s="1107">
        <f t="shared" si="9"/>
        <v>1837478</v>
      </c>
      <c r="R330" s="1107">
        <f t="shared" si="9"/>
        <v>1778782</v>
      </c>
      <c r="S330" s="1107">
        <f t="shared" si="8"/>
        <v>2045282</v>
      </c>
    </row>
    <row r="331" spans="1:19">
      <c r="A331" s="1015">
        <v>265</v>
      </c>
      <c r="B331" s="1015" t="s">
        <v>7992</v>
      </c>
      <c r="C331" s="1103" t="s">
        <v>7541</v>
      </c>
      <c r="D331" s="1015" t="s">
        <v>7424</v>
      </c>
      <c r="E331" s="1104">
        <v>855031</v>
      </c>
      <c r="F331" s="1105" t="s">
        <v>7974</v>
      </c>
      <c r="G331" s="1104">
        <v>704070</v>
      </c>
      <c r="H331" s="1104">
        <v>264456</v>
      </c>
      <c r="I331" s="1104">
        <v>234573</v>
      </c>
      <c r="J331" s="1104">
        <v>205225</v>
      </c>
      <c r="K331" s="1104">
        <v>338475</v>
      </c>
      <c r="L331" s="1104">
        <v>1838644</v>
      </c>
      <c r="M331" s="1106">
        <v>1808761</v>
      </c>
      <c r="N331" s="1159">
        <v>1779413</v>
      </c>
      <c r="O331" s="1104">
        <v>1912663</v>
      </c>
      <c r="P331" s="1107">
        <f t="shared" si="9"/>
        <v>2103100</v>
      </c>
      <c r="Q331" s="1107">
        <f t="shared" si="9"/>
        <v>2043334</v>
      </c>
      <c r="R331" s="1107">
        <f t="shared" si="9"/>
        <v>1984638</v>
      </c>
      <c r="S331" s="1107">
        <f t="shared" si="8"/>
        <v>2251138</v>
      </c>
    </row>
    <row r="332" spans="1:19">
      <c r="A332" s="1015">
        <v>266</v>
      </c>
      <c r="B332" s="1015" t="s">
        <v>7993</v>
      </c>
      <c r="C332" s="1103" t="s">
        <v>7527</v>
      </c>
      <c r="D332" s="1015" t="s">
        <v>7424</v>
      </c>
      <c r="E332" s="1104">
        <v>975035</v>
      </c>
      <c r="F332" s="1105" t="s">
        <v>7982</v>
      </c>
      <c r="G332" s="1104">
        <v>812415</v>
      </c>
      <c r="H332" s="1104">
        <v>313761</v>
      </c>
      <c r="I332" s="1104">
        <v>278307</v>
      </c>
      <c r="J332" s="1104">
        <v>243487</v>
      </c>
      <c r="K332" s="1104">
        <v>401581</v>
      </c>
      <c r="L332" s="1104">
        <v>2118620</v>
      </c>
      <c r="M332" s="1106">
        <v>2083166</v>
      </c>
      <c r="N332" s="1159">
        <v>2048346</v>
      </c>
      <c r="O332" s="1104">
        <v>2206440</v>
      </c>
      <c r="P332" s="1107">
        <f t="shared" si="9"/>
        <v>2432381</v>
      </c>
      <c r="Q332" s="1107">
        <f t="shared" si="9"/>
        <v>2361473</v>
      </c>
      <c r="R332" s="1107">
        <f t="shared" si="9"/>
        <v>2291833</v>
      </c>
      <c r="S332" s="1107">
        <f t="shared" si="8"/>
        <v>2608021</v>
      </c>
    </row>
    <row r="333" spans="1:19">
      <c r="A333" s="1015">
        <v>267</v>
      </c>
      <c r="B333" s="1015" t="s">
        <v>7994</v>
      </c>
      <c r="C333" s="1103" t="s">
        <v>7529</v>
      </c>
      <c r="D333" s="1015" t="s">
        <v>7424</v>
      </c>
      <c r="E333" s="1104">
        <v>1095040</v>
      </c>
      <c r="F333" s="1105" t="s">
        <v>7982</v>
      </c>
      <c r="G333" s="1104">
        <v>1035410</v>
      </c>
      <c r="H333" s="1104">
        <v>313761</v>
      </c>
      <c r="I333" s="1104">
        <v>278307</v>
      </c>
      <c r="J333" s="1104">
        <v>243487</v>
      </c>
      <c r="K333" s="1104">
        <v>401581</v>
      </c>
      <c r="L333" s="1104">
        <v>2347573</v>
      </c>
      <c r="M333" s="1106">
        <v>2312119</v>
      </c>
      <c r="N333" s="1159">
        <v>2277299</v>
      </c>
      <c r="O333" s="1104">
        <v>2435393</v>
      </c>
      <c r="P333" s="1107">
        <f t="shared" si="9"/>
        <v>2661334</v>
      </c>
      <c r="Q333" s="1107">
        <f t="shared" si="9"/>
        <v>2590426</v>
      </c>
      <c r="R333" s="1107">
        <f t="shared" si="9"/>
        <v>2520786</v>
      </c>
      <c r="S333" s="1107">
        <f t="shared" si="8"/>
        <v>2836974</v>
      </c>
    </row>
    <row r="334" spans="1:19">
      <c r="A334" s="1015">
        <v>268</v>
      </c>
      <c r="B334" s="1015" t="s">
        <v>7995</v>
      </c>
      <c r="C334" s="1103" t="s">
        <v>7549</v>
      </c>
      <c r="D334" s="1015" t="s">
        <v>7424</v>
      </c>
      <c r="E334" s="1104">
        <v>1140041</v>
      </c>
      <c r="F334" s="1105" t="s">
        <v>7982</v>
      </c>
      <c r="G334" s="1104">
        <v>1540447</v>
      </c>
      <c r="H334" s="1104">
        <v>313761</v>
      </c>
      <c r="I334" s="1104">
        <v>278307</v>
      </c>
      <c r="J334" s="1104">
        <v>243487</v>
      </c>
      <c r="K334" s="1104">
        <v>401581</v>
      </c>
      <c r="L334" s="1104">
        <v>2850474</v>
      </c>
      <c r="M334" s="1106">
        <v>2815020</v>
      </c>
      <c r="N334" s="1159">
        <v>2780200</v>
      </c>
      <c r="O334" s="1104">
        <v>2938294</v>
      </c>
      <c r="P334" s="1107">
        <f t="shared" si="9"/>
        <v>3164235</v>
      </c>
      <c r="Q334" s="1107">
        <f t="shared" si="9"/>
        <v>3093327</v>
      </c>
      <c r="R334" s="1107">
        <f t="shared" si="9"/>
        <v>3023687</v>
      </c>
      <c r="S334" s="1107">
        <f t="shared" si="8"/>
        <v>3339875</v>
      </c>
    </row>
    <row r="335" spans="1:19">
      <c r="A335" s="1015">
        <v>269</v>
      </c>
      <c r="B335" s="1015" t="s">
        <v>7996</v>
      </c>
      <c r="C335" s="1103" t="s">
        <v>7997</v>
      </c>
      <c r="D335" s="1015" t="s">
        <v>7424</v>
      </c>
      <c r="E335" s="1104">
        <v>1155042</v>
      </c>
      <c r="F335" s="1105" t="s">
        <v>7982</v>
      </c>
      <c r="G335" s="1104">
        <v>1802194</v>
      </c>
      <c r="H335" s="1104">
        <v>313761</v>
      </c>
      <c r="I335" s="1104">
        <v>278307</v>
      </c>
      <c r="J335" s="1104">
        <v>243487</v>
      </c>
      <c r="K335" s="1104">
        <v>401581</v>
      </c>
      <c r="L335" s="1104">
        <v>2994661</v>
      </c>
      <c r="M335" s="1106">
        <v>2959207</v>
      </c>
      <c r="N335" s="1159">
        <v>2924387</v>
      </c>
      <c r="O335" s="1104">
        <v>3082481</v>
      </c>
      <c r="P335" s="1107">
        <f t="shared" si="9"/>
        <v>3308422</v>
      </c>
      <c r="Q335" s="1107">
        <f t="shared" si="9"/>
        <v>3237514</v>
      </c>
      <c r="R335" s="1107">
        <f t="shared" si="9"/>
        <v>3167874</v>
      </c>
      <c r="S335" s="1107">
        <f t="shared" si="8"/>
        <v>3484062</v>
      </c>
    </row>
    <row r="336" spans="1:19">
      <c r="A336" s="1015">
        <v>270</v>
      </c>
      <c r="B336" s="1015" t="s">
        <v>7998</v>
      </c>
      <c r="C336" s="1103" t="s">
        <v>7521</v>
      </c>
      <c r="D336" s="1015" t="s">
        <v>7424</v>
      </c>
      <c r="E336" s="1104">
        <v>1215044</v>
      </c>
      <c r="F336" s="1105" t="s">
        <v>7982</v>
      </c>
      <c r="G336" s="1104">
        <v>2341396</v>
      </c>
      <c r="H336" s="1104">
        <v>313761</v>
      </c>
      <c r="I336" s="1104">
        <v>278307</v>
      </c>
      <c r="J336" s="1104">
        <v>243487</v>
      </c>
      <c r="K336" s="1104">
        <v>401581</v>
      </c>
      <c r="L336" s="1104">
        <v>3215988</v>
      </c>
      <c r="M336" s="1106">
        <v>3180534</v>
      </c>
      <c r="N336" s="1159">
        <v>3145714</v>
      </c>
      <c r="O336" s="1104">
        <v>3303808</v>
      </c>
      <c r="P336" s="1107">
        <f t="shared" si="9"/>
        <v>3529749</v>
      </c>
      <c r="Q336" s="1107">
        <f t="shared" si="9"/>
        <v>3458841</v>
      </c>
      <c r="R336" s="1107">
        <f t="shared" si="9"/>
        <v>3389201</v>
      </c>
      <c r="S336" s="1107">
        <f t="shared" si="8"/>
        <v>3705389</v>
      </c>
    </row>
    <row r="337" spans="1:19">
      <c r="A337" s="1015">
        <v>271</v>
      </c>
      <c r="B337" s="1015" t="s">
        <v>7999</v>
      </c>
      <c r="C337" s="1103" t="s">
        <v>8000</v>
      </c>
      <c r="D337" s="1015" t="s">
        <v>7424</v>
      </c>
      <c r="E337" s="1104">
        <v>1290047</v>
      </c>
      <c r="F337" s="1105" t="s">
        <v>7982</v>
      </c>
      <c r="G337" s="1104">
        <v>2505849</v>
      </c>
      <c r="H337" s="1104">
        <v>313761</v>
      </c>
      <c r="I337" s="1104">
        <v>278307</v>
      </c>
      <c r="J337" s="1104">
        <v>243487</v>
      </c>
      <c r="K337" s="1104">
        <v>401581</v>
      </c>
      <c r="L337" s="1104">
        <v>3394753</v>
      </c>
      <c r="M337" s="1106">
        <v>3359299</v>
      </c>
      <c r="N337" s="1159">
        <v>3324479</v>
      </c>
      <c r="O337" s="1104">
        <v>3482573</v>
      </c>
      <c r="P337" s="1107">
        <f t="shared" si="9"/>
        <v>3708514</v>
      </c>
      <c r="Q337" s="1107">
        <f t="shared" si="9"/>
        <v>3637606</v>
      </c>
      <c r="R337" s="1107">
        <f t="shared" si="9"/>
        <v>3567966</v>
      </c>
      <c r="S337" s="1107">
        <f t="shared" si="8"/>
        <v>3884154</v>
      </c>
    </row>
    <row r="338" spans="1:19">
      <c r="A338" s="1015"/>
      <c r="B338" s="1102" t="s">
        <v>8001</v>
      </c>
      <c r="C338" s="1099" t="s">
        <v>8002</v>
      </c>
      <c r="D338" s="1015"/>
      <c r="E338" s="1104" t="s">
        <v>7446</v>
      </c>
      <c r="F338" s="1105"/>
      <c r="G338" s="1104"/>
      <c r="H338" s="1104"/>
      <c r="I338" s="1104"/>
      <c r="J338" s="1104"/>
      <c r="K338" s="1104"/>
      <c r="L338" s="1104"/>
      <c r="M338" s="1106"/>
      <c r="N338" s="1159"/>
      <c r="O338" s="1104"/>
      <c r="P338" s="1107">
        <f t="shared" si="9"/>
        <v>0</v>
      </c>
      <c r="Q338" s="1107">
        <f t="shared" si="9"/>
        <v>0</v>
      </c>
      <c r="R338" s="1107">
        <f t="shared" si="9"/>
        <v>0</v>
      </c>
      <c r="S338" s="1107">
        <f t="shared" si="8"/>
        <v>0</v>
      </c>
    </row>
    <row r="339" spans="1:19">
      <c r="A339" s="1015">
        <v>272</v>
      </c>
      <c r="B339" s="1015" t="s">
        <v>8003</v>
      </c>
      <c r="C339" s="1103" t="s">
        <v>8004</v>
      </c>
      <c r="D339" s="1015" t="s">
        <v>7424</v>
      </c>
      <c r="E339" s="1104">
        <v>450016</v>
      </c>
      <c r="F339" s="1105" t="s">
        <v>7982</v>
      </c>
      <c r="G339" s="1104">
        <v>448050</v>
      </c>
      <c r="H339" s="1104">
        <v>313761</v>
      </c>
      <c r="I339" s="1104">
        <v>278307</v>
      </c>
      <c r="J339" s="1104">
        <v>243487</v>
      </c>
      <c r="K339" s="1104">
        <v>401581</v>
      </c>
      <c r="L339" s="1104">
        <v>1270074</v>
      </c>
      <c r="M339" s="1106">
        <v>1234620</v>
      </c>
      <c r="N339" s="1159">
        <v>1199800</v>
      </c>
      <c r="O339" s="1104">
        <v>1357894</v>
      </c>
      <c r="P339" s="1107">
        <f t="shared" si="9"/>
        <v>1583835</v>
      </c>
      <c r="Q339" s="1107">
        <f t="shared" si="9"/>
        <v>1512927</v>
      </c>
      <c r="R339" s="1107">
        <f t="shared" si="9"/>
        <v>1443287</v>
      </c>
      <c r="S339" s="1107">
        <f t="shared" si="8"/>
        <v>1759475</v>
      </c>
    </row>
    <row r="340" spans="1:19">
      <c r="A340" s="1015">
        <v>273</v>
      </c>
      <c r="B340" s="1015" t="s">
        <v>8005</v>
      </c>
      <c r="C340" s="1103" t="s">
        <v>8006</v>
      </c>
      <c r="D340" s="1015" t="s">
        <v>7424</v>
      </c>
      <c r="E340" s="1104">
        <v>600022</v>
      </c>
      <c r="F340" s="1105" t="s">
        <v>7982</v>
      </c>
      <c r="G340" s="1104">
        <v>618750</v>
      </c>
      <c r="H340" s="1104">
        <v>313761</v>
      </c>
      <c r="I340" s="1104">
        <v>278307</v>
      </c>
      <c r="J340" s="1104">
        <v>243487</v>
      </c>
      <c r="K340" s="1104">
        <v>401581</v>
      </c>
      <c r="L340" s="1104">
        <v>1612970</v>
      </c>
      <c r="M340" s="1106">
        <v>1577516</v>
      </c>
      <c r="N340" s="1159">
        <v>1542696</v>
      </c>
      <c r="O340" s="1104">
        <v>1700790</v>
      </c>
      <c r="P340" s="1107">
        <f t="shared" si="9"/>
        <v>1926731</v>
      </c>
      <c r="Q340" s="1107">
        <f t="shared" si="9"/>
        <v>1855823</v>
      </c>
      <c r="R340" s="1107">
        <f t="shared" si="9"/>
        <v>1786183</v>
      </c>
      <c r="S340" s="1107">
        <f t="shared" si="8"/>
        <v>2102371</v>
      </c>
    </row>
    <row r="341" spans="1:19">
      <c r="A341" s="1015">
        <v>274</v>
      </c>
      <c r="B341" s="1015" t="s">
        <v>8007</v>
      </c>
      <c r="C341" s="1103" t="s">
        <v>8008</v>
      </c>
      <c r="D341" s="1015" t="s">
        <v>7424</v>
      </c>
      <c r="E341" s="1104">
        <v>765028</v>
      </c>
      <c r="F341" s="1105" t="s">
        <v>7982</v>
      </c>
      <c r="G341" s="1104">
        <v>878300</v>
      </c>
      <c r="H341" s="1104">
        <v>313761</v>
      </c>
      <c r="I341" s="1104">
        <v>278307</v>
      </c>
      <c r="J341" s="1104">
        <v>243487</v>
      </c>
      <c r="K341" s="1104">
        <v>401581</v>
      </c>
      <c r="L341" s="1104">
        <v>2009787</v>
      </c>
      <c r="M341" s="1106">
        <v>1974333</v>
      </c>
      <c r="N341" s="1159">
        <v>1939513</v>
      </c>
      <c r="O341" s="1104">
        <v>2097607</v>
      </c>
      <c r="P341" s="1107">
        <f t="shared" si="9"/>
        <v>2323548</v>
      </c>
      <c r="Q341" s="1107">
        <f t="shared" si="9"/>
        <v>2252640</v>
      </c>
      <c r="R341" s="1107">
        <f t="shared" si="9"/>
        <v>2183000</v>
      </c>
      <c r="S341" s="1107">
        <f t="shared" si="8"/>
        <v>2499188</v>
      </c>
    </row>
    <row r="342" spans="1:19">
      <c r="A342" s="1015">
        <v>275</v>
      </c>
      <c r="B342" s="1015" t="s">
        <v>8009</v>
      </c>
      <c r="C342" s="1103" t="s">
        <v>8010</v>
      </c>
      <c r="D342" s="1015" t="s">
        <v>7424</v>
      </c>
      <c r="E342" s="1104">
        <v>840031</v>
      </c>
      <c r="F342" s="1105" t="s">
        <v>7982</v>
      </c>
      <c r="G342" s="1104">
        <v>1079950</v>
      </c>
      <c r="H342" s="1104">
        <v>313761</v>
      </c>
      <c r="I342" s="1104">
        <v>278307</v>
      </c>
      <c r="J342" s="1104">
        <v>243487</v>
      </c>
      <c r="K342" s="1104">
        <v>401581</v>
      </c>
      <c r="L342" s="1104">
        <v>1980369</v>
      </c>
      <c r="M342" s="1106">
        <v>1944915</v>
      </c>
      <c r="N342" s="1159">
        <v>1910095</v>
      </c>
      <c r="O342" s="1104">
        <v>2068189</v>
      </c>
      <c r="P342" s="1107">
        <f t="shared" si="9"/>
        <v>2294130</v>
      </c>
      <c r="Q342" s="1107">
        <f t="shared" si="9"/>
        <v>2223222</v>
      </c>
      <c r="R342" s="1107">
        <f t="shared" si="9"/>
        <v>2153582</v>
      </c>
      <c r="S342" s="1107">
        <f t="shared" si="8"/>
        <v>2469770</v>
      </c>
    </row>
    <row r="343" spans="1:19">
      <c r="A343" s="1015">
        <v>276</v>
      </c>
      <c r="B343" s="1015" t="s">
        <v>8011</v>
      </c>
      <c r="C343" s="1103" t="s">
        <v>8012</v>
      </c>
      <c r="D343" s="1015" t="s">
        <v>7424</v>
      </c>
      <c r="E343" s="1104">
        <v>1020037</v>
      </c>
      <c r="F343" s="1105" t="s">
        <v>7982</v>
      </c>
      <c r="G343" s="1104">
        <v>1136368</v>
      </c>
      <c r="H343" s="1104">
        <v>313761</v>
      </c>
      <c r="I343" s="1104">
        <v>278307</v>
      </c>
      <c r="J343" s="1104">
        <v>243487</v>
      </c>
      <c r="K343" s="1104">
        <v>401581</v>
      </c>
      <c r="L343" s="1104">
        <v>2194815</v>
      </c>
      <c r="M343" s="1106">
        <v>2159361</v>
      </c>
      <c r="N343" s="1159">
        <v>2124541</v>
      </c>
      <c r="O343" s="1104">
        <v>2282635</v>
      </c>
      <c r="P343" s="1107">
        <f t="shared" si="9"/>
        <v>2508576</v>
      </c>
      <c r="Q343" s="1107">
        <f t="shared" si="9"/>
        <v>2437668</v>
      </c>
      <c r="R343" s="1107">
        <f t="shared" si="9"/>
        <v>2368028</v>
      </c>
      <c r="S343" s="1107">
        <f t="shared" si="8"/>
        <v>2684216</v>
      </c>
    </row>
    <row r="344" spans="1:19">
      <c r="A344" s="1015"/>
      <c r="B344" s="1102" t="s">
        <v>8013</v>
      </c>
      <c r="C344" s="1099" t="s">
        <v>8014</v>
      </c>
      <c r="D344" s="1015"/>
      <c r="E344" s="1104" t="s">
        <v>7446</v>
      </c>
      <c r="F344" s="1105"/>
      <c r="G344" s="1104"/>
      <c r="H344" s="1104"/>
      <c r="I344" s="1104"/>
      <c r="J344" s="1104"/>
      <c r="K344" s="1104"/>
      <c r="L344" s="1104"/>
      <c r="M344" s="1106"/>
      <c r="N344" s="1159"/>
      <c r="O344" s="1104"/>
      <c r="P344" s="1107">
        <f t="shared" si="9"/>
        <v>0</v>
      </c>
      <c r="Q344" s="1107">
        <f t="shared" si="9"/>
        <v>0</v>
      </c>
      <c r="R344" s="1107">
        <f t="shared" si="9"/>
        <v>0</v>
      </c>
      <c r="S344" s="1107">
        <f t="shared" si="8"/>
        <v>0</v>
      </c>
    </row>
    <row r="345" spans="1:19" ht="18">
      <c r="A345" s="1015">
        <v>277</v>
      </c>
      <c r="B345" s="1015" t="s">
        <v>8015</v>
      </c>
      <c r="C345" s="1103" t="s">
        <v>8016</v>
      </c>
      <c r="D345" s="1015" t="s">
        <v>7424</v>
      </c>
      <c r="E345" s="1104">
        <v>645023</v>
      </c>
      <c r="F345" s="1105" t="s">
        <v>7556</v>
      </c>
      <c r="G345" s="1104">
        <v>884645</v>
      </c>
      <c r="H345" s="1104">
        <v>537877</v>
      </c>
      <c r="I345" s="1104">
        <v>477098</v>
      </c>
      <c r="J345" s="1104">
        <v>417407</v>
      </c>
      <c r="K345" s="1104">
        <v>688424</v>
      </c>
      <c r="L345" s="1104">
        <v>2009703</v>
      </c>
      <c r="M345" s="1106">
        <v>1948924</v>
      </c>
      <c r="N345" s="1159">
        <v>1889233</v>
      </c>
      <c r="O345" s="1104">
        <v>2160250</v>
      </c>
      <c r="P345" s="1107">
        <f t="shared" si="9"/>
        <v>2547580</v>
      </c>
      <c r="Q345" s="1107">
        <f t="shared" si="9"/>
        <v>2426022</v>
      </c>
      <c r="R345" s="1107">
        <f t="shared" si="9"/>
        <v>2306640</v>
      </c>
      <c r="S345" s="1107">
        <f t="shared" si="8"/>
        <v>2848674</v>
      </c>
    </row>
    <row r="346" spans="1:19" ht="18">
      <c r="A346" s="1015">
        <v>278</v>
      </c>
      <c r="B346" s="1015" t="s">
        <v>8017</v>
      </c>
      <c r="C346" s="1103" t="s">
        <v>8018</v>
      </c>
      <c r="D346" s="1015" t="s">
        <v>7424</v>
      </c>
      <c r="E346" s="1104">
        <v>960035</v>
      </c>
      <c r="F346" s="1105" t="s">
        <v>7556</v>
      </c>
      <c r="G346" s="1104">
        <v>2176758</v>
      </c>
      <c r="H346" s="1104">
        <v>537877</v>
      </c>
      <c r="I346" s="1104">
        <v>477098</v>
      </c>
      <c r="J346" s="1104">
        <v>417407</v>
      </c>
      <c r="K346" s="1104">
        <v>688424</v>
      </c>
      <c r="L346" s="1104">
        <v>3515599</v>
      </c>
      <c r="M346" s="1106">
        <v>3454820</v>
      </c>
      <c r="N346" s="1159">
        <v>3395129</v>
      </c>
      <c r="O346" s="1104">
        <v>3666146</v>
      </c>
      <c r="P346" s="1107">
        <f t="shared" si="9"/>
        <v>4053476</v>
      </c>
      <c r="Q346" s="1107">
        <f t="shared" si="9"/>
        <v>3931918</v>
      </c>
      <c r="R346" s="1107">
        <f t="shared" si="9"/>
        <v>3812536</v>
      </c>
      <c r="S346" s="1107">
        <f t="shared" si="8"/>
        <v>4354570</v>
      </c>
    </row>
    <row r="347" spans="1:19" ht="18">
      <c r="A347" s="1015">
        <v>279</v>
      </c>
      <c r="B347" s="1015" t="s">
        <v>8019</v>
      </c>
      <c r="C347" s="1103" t="s">
        <v>8020</v>
      </c>
      <c r="D347" s="1015" t="s">
        <v>7424</v>
      </c>
      <c r="E347" s="1104">
        <v>1050038</v>
      </c>
      <c r="F347" s="1105" t="s">
        <v>7556</v>
      </c>
      <c r="G347" s="1104">
        <v>2966930</v>
      </c>
      <c r="H347" s="1104">
        <v>537877</v>
      </c>
      <c r="I347" s="1104">
        <v>477098</v>
      </c>
      <c r="J347" s="1104">
        <v>417407</v>
      </c>
      <c r="K347" s="1104">
        <v>688424</v>
      </c>
      <c r="L347" s="1104">
        <v>4338031</v>
      </c>
      <c r="M347" s="1106">
        <v>4277252</v>
      </c>
      <c r="N347" s="1159">
        <v>4217561</v>
      </c>
      <c r="O347" s="1104">
        <v>4488578</v>
      </c>
      <c r="P347" s="1107">
        <f t="shared" si="9"/>
        <v>4875908</v>
      </c>
      <c r="Q347" s="1107">
        <f t="shared" si="9"/>
        <v>4754350</v>
      </c>
      <c r="R347" s="1107">
        <f t="shared" si="9"/>
        <v>4634968</v>
      </c>
      <c r="S347" s="1107">
        <f t="shared" si="8"/>
        <v>5177002</v>
      </c>
    </row>
    <row r="348" spans="1:19">
      <c r="A348" s="1015"/>
      <c r="B348" s="1102" t="s">
        <v>8021</v>
      </c>
      <c r="C348" s="1099" t="s">
        <v>8022</v>
      </c>
      <c r="D348" s="1015"/>
      <c r="E348" s="1104" t="s">
        <v>7446</v>
      </c>
      <c r="F348" s="1105"/>
      <c r="G348" s="1104"/>
      <c r="H348" s="1104"/>
      <c r="I348" s="1104"/>
      <c r="J348" s="1104"/>
      <c r="K348" s="1104"/>
      <c r="L348" s="1104"/>
      <c r="M348" s="1106"/>
      <c r="N348" s="1159"/>
      <c r="O348" s="1104"/>
      <c r="P348" s="1107">
        <f t="shared" si="9"/>
        <v>0</v>
      </c>
      <c r="Q348" s="1107">
        <f t="shared" si="9"/>
        <v>0</v>
      </c>
      <c r="R348" s="1107">
        <f t="shared" si="9"/>
        <v>0</v>
      </c>
      <c r="S348" s="1107">
        <f t="shared" si="8"/>
        <v>0</v>
      </c>
    </row>
    <row r="349" spans="1:19" ht="18">
      <c r="A349" s="1015">
        <v>280</v>
      </c>
      <c r="B349" s="1015" t="s">
        <v>8023</v>
      </c>
      <c r="C349" s="1103" t="s">
        <v>8024</v>
      </c>
      <c r="D349" s="1015" t="s">
        <v>7424</v>
      </c>
      <c r="E349" s="1104">
        <v>300011</v>
      </c>
      <c r="F349" s="1105" t="s">
        <v>7974</v>
      </c>
      <c r="G349" s="1104">
        <v>438539</v>
      </c>
      <c r="H349" s="1104">
        <v>264456</v>
      </c>
      <c r="I349" s="1104">
        <v>234573</v>
      </c>
      <c r="J349" s="1104">
        <v>205225</v>
      </c>
      <c r="K349" s="1104">
        <v>338475</v>
      </c>
      <c r="L349" s="1104">
        <v>943972</v>
      </c>
      <c r="M349" s="1106">
        <v>914089</v>
      </c>
      <c r="N349" s="1159">
        <v>884741</v>
      </c>
      <c r="O349" s="1104">
        <v>1017991</v>
      </c>
      <c r="P349" s="1107">
        <f t="shared" si="9"/>
        <v>1208428</v>
      </c>
      <c r="Q349" s="1107">
        <f t="shared" si="9"/>
        <v>1148662</v>
      </c>
      <c r="R349" s="1107">
        <f t="shared" si="9"/>
        <v>1089966</v>
      </c>
      <c r="S349" s="1107">
        <f t="shared" si="8"/>
        <v>1356466</v>
      </c>
    </row>
    <row r="350" spans="1:19" ht="18">
      <c r="A350" s="1015">
        <v>281</v>
      </c>
      <c r="B350" s="1015" t="s">
        <v>8025</v>
      </c>
      <c r="C350" s="1103" t="s">
        <v>8026</v>
      </c>
      <c r="D350" s="1015" t="s">
        <v>7424</v>
      </c>
      <c r="E350" s="1104">
        <v>345013</v>
      </c>
      <c r="F350" s="1105" t="s">
        <v>7982</v>
      </c>
      <c r="G350" s="1104">
        <v>497469</v>
      </c>
      <c r="H350" s="1104">
        <v>313761</v>
      </c>
      <c r="I350" s="1104">
        <v>278307</v>
      </c>
      <c r="J350" s="1104">
        <v>243487</v>
      </c>
      <c r="K350" s="1104">
        <v>401581</v>
      </c>
      <c r="L350" s="1104">
        <v>1064402</v>
      </c>
      <c r="M350" s="1106">
        <v>1028948</v>
      </c>
      <c r="N350" s="1159">
        <v>994128</v>
      </c>
      <c r="O350" s="1104">
        <v>1152222</v>
      </c>
      <c r="P350" s="1107">
        <f t="shared" si="9"/>
        <v>1378163</v>
      </c>
      <c r="Q350" s="1107">
        <f t="shared" si="9"/>
        <v>1307255</v>
      </c>
      <c r="R350" s="1107">
        <f t="shared" si="9"/>
        <v>1237615</v>
      </c>
      <c r="S350" s="1107">
        <f t="shared" si="8"/>
        <v>1553803</v>
      </c>
    </row>
    <row r="351" spans="1:19" ht="18">
      <c r="A351" s="1015">
        <v>282</v>
      </c>
      <c r="B351" s="1015" t="s">
        <v>8027</v>
      </c>
      <c r="C351" s="1103" t="s">
        <v>8016</v>
      </c>
      <c r="D351" s="1015" t="s">
        <v>7424</v>
      </c>
      <c r="E351" s="1104">
        <v>360013</v>
      </c>
      <c r="F351" s="1105" t="s">
        <v>7982</v>
      </c>
      <c r="G351" s="1104">
        <v>571304</v>
      </c>
      <c r="H351" s="1104">
        <v>313761</v>
      </c>
      <c r="I351" s="1104">
        <v>278307</v>
      </c>
      <c r="J351" s="1104">
        <v>243487</v>
      </c>
      <c r="K351" s="1104">
        <v>401581</v>
      </c>
      <c r="L351" s="1104">
        <v>1139607</v>
      </c>
      <c r="M351" s="1106">
        <v>1104153</v>
      </c>
      <c r="N351" s="1159">
        <v>1069333</v>
      </c>
      <c r="O351" s="1104">
        <v>1227427</v>
      </c>
      <c r="P351" s="1107">
        <f t="shared" si="9"/>
        <v>1453368</v>
      </c>
      <c r="Q351" s="1107">
        <f t="shared" si="9"/>
        <v>1382460</v>
      </c>
      <c r="R351" s="1107">
        <f t="shared" si="9"/>
        <v>1312820</v>
      </c>
      <c r="S351" s="1107">
        <f t="shared" si="8"/>
        <v>1629008</v>
      </c>
    </row>
    <row r="352" spans="1:19" ht="18">
      <c r="A352" s="1015">
        <v>283</v>
      </c>
      <c r="B352" s="1015" t="s">
        <v>8028</v>
      </c>
      <c r="C352" s="1103" t="s">
        <v>8029</v>
      </c>
      <c r="D352" s="1015" t="s">
        <v>7424</v>
      </c>
      <c r="E352" s="1104">
        <v>390014</v>
      </c>
      <c r="F352" s="1105" t="s">
        <v>7982</v>
      </c>
      <c r="G352" s="1104">
        <v>688248</v>
      </c>
      <c r="H352" s="1104">
        <v>313761</v>
      </c>
      <c r="I352" s="1104">
        <v>278307</v>
      </c>
      <c r="J352" s="1104">
        <v>243487</v>
      </c>
      <c r="K352" s="1104">
        <v>401581</v>
      </c>
      <c r="L352" s="1104">
        <v>1233197</v>
      </c>
      <c r="M352" s="1106">
        <v>1197743</v>
      </c>
      <c r="N352" s="1159">
        <v>1162923</v>
      </c>
      <c r="O352" s="1104">
        <v>1321017</v>
      </c>
      <c r="P352" s="1107">
        <f t="shared" si="9"/>
        <v>1546958</v>
      </c>
      <c r="Q352" s="1107">
        <f t="shared" si="9"/>
        <v>1476050</v>
      </c>
      <c r="R352" s="1107">
        <f t="shared" si="9"/>
        <v>1406410</v>
      </c>
      <c r="S352" s="1107">
        <f t="shared" si="8"/>
        <v>1722598</v>
      </c>
    </row>
    <row r="353" spans="1:19" ht="18">
      <c r="A353" s="1015">
        <v>284</v>
      </c>
      <c r="B353" s="1015" t="s">
        <v>8030</v>
      </c>
      <c r="C353" s="1103" t="s">
        <v>7489</v>
      </c>
      <c r="D353" s="1015" t="s">
        <v>7424</v>
      </c>
      <c r="E353" s="1104">
        <v>405015</v>
      </c>
      <c r="F353" s="1105" t="s">
        <v>7982</v>
      </c>
      <c r="G353" s="1104">
        <v>796249</v>
      </c>
      <c r="H353" s="1104">
        <v>313761</v>
      </c>
      <c r="I353" s="1104">
        <v>278307</v>
      </c>
      <c r="J353" s="1104">
        <v>243487</v>
      </c>
      <c r="K353" s="1104">
        <v>401581</v>
      </c>
      <c r="L353" s="1104">
        <v>1331275</v>
      </c>
      <c r="M353" s="1106">
        <v>1295821</v>
      </c>
      <c r="N353" s="1159">
        <v>1261001</v>
      </c>
      <c r="O353" s="1104">
        <v>1419095</v>
      </c>
      <c r="P353" s="1107">
        <f t="shared" si="9"/>
        <v>1645036</v>
      </c>
      <c r="Q353" s="1107">
        <f t="shared" si="9"/>
        <v>1574128</v>
      </c>
      <c r="R353" s="1107">
        <f t="shared" si="9"/>
        <v>1504488</v>
      </c>
      <c r="S353" s="1107">
        <f t="shared" si="8"/>
        <v>1820676</v>
      </c>
    </row>
    <row r="354" spans="1:19" ht="18">
      <c r="A354" s="1015">
        <v>285</v>
      </c>
      <c r="B354" s="1015" t="s">
        <v>8031</v>
      </c>
      <c r="C354" s="1103" t="s">
        <v>8032</v>
      </c>
      <c r="D354" s="1015" t="s">
        <v>7424</v>
      </c>
      <c r="E354" s="1104">
        <v>450016</v>
      </c>
      <c r="F354" s="1105" t="s">
        <v>7982</v>
      </c>
      <c r="G354" s="1104">
        <v>866135</v>
      </c>
      <c r="H354" s="1104">
        <v>313761</v>
      </c>
      <c r="I354" s="1104">
        <v>278307</v>
      </c>
      <c r="J354" s="1104">
        <v>243487</v>
      </c>
      <c r="K354" s="1104">
        <v>401581</v>
      </c>
      <c r="L354" s="1104">
        <v>1430035</v>
      </c>
      <c r="M354" s="1106">
        <v>1394581</v>
      </c>
      <c r="N354" s="1159">
        <v>1359761</v>
      </c>
      <c r="O354" s="1104">
        <v>1517855</v>
      </c>
      <c r="P354" s="1107">
        <f t="shared" si="9"/>
        <v>1743796</v>
      </c>
      <c r="Q354" s="1107">
        <f t="shared" si="9"/>
        <v>1672888</v>
      </c>
      <c r="R354" s="1107">
        <f t="shared" si="9"/>
        <v>1603248</v>
      </c>
      <c r="S354" s="1107">
        <f t="shared" si="8"/>
        <v>1919436</v>
      </c>
    </row>
    <row r="355" spans="1:19" ht="18">
      <c r="A355" s="1015">
        <v>286</v>
      </c>
      <c r="B355" s="1015" t="s">
        <v>8033</v>
      </c>
      <c r="C355" s="1103" t="s">
        <v>7492</v>
      </c>
      <c r="D355" s="1015" t="s">
        <v>7424</v>
      </c>
      <c r="E355" s="1104">
        <v>525019</v>
      </c>
      <c r="F355" s="1105" t="s">
        <v>7982</v>
      </c>
      <c r="G355" s="1104">
        <v>1114405</v>
      </c>
      <c r="H355" s="1104">
        <v>313761</v>
      </c>
      <c r="I355" s="1104">
        <v>278307</v>
      </c>
      <c r="J355" s="1104">
        <v>243487</v>
      </c>
      <c r="K355" s="1104">
        <v>401581</v>
      </c>
      <c r="L355" s="1104">
        <v>1664265</v>
      </c>
      <c r="M355" s="1106">
        <v>1628811</v>
      </c>
      <c r="N355" s="1159">
        <v>1593991</v>
      </c>
      <c r="O355" s="1104">
        <v>1752085</v>
      </c>
      <c r="P355" s="1107">
        <f t="shared" si="9"/>
        <v>1978026</v>
      </c>
      <c r="Q355" s="1107">
        <f t="shared" si="9"/>
        <v>1907118</v>
      </c>
      <c r="R355" s="1107">
        <f t="shared" si="9"/>
        <v>1837478</v>
      </c>
      <c r="S355" s="1107">
        <f t="shared" si="8"/>
        <v>2153666</v>
      </c>
    </row>
    <row r="356" spans="1:19">
      <c r="A356" s="1015"/>
      <c r="B356" s="1102" t="s">
        <v>8034</v>
      </c>
      <c r="C356" s="1099" t="s">
        <v>8035</v>
      </c>
      <c r="D356" s="1015"/>
      <c r="E356" s="1104" t="s">
        <v>7446</v>
      </c>
      <c r="F356" s="1105"/>
      <c r="G356" s="1104"/>
      <c r="H356" s="1104"/>
      <c r="I356" s="1104"/>
      <c r="J356" s="1104"/>
      <c r="K356" s="1104"/>
      <c r="L356" s="1104"/>
      <c r="M356" s="1106"/>
      <c r="N356" s="1159"/>
      <c r="O356" s="1104"/>
      <c r="P356" s="1107">
        <f t="shared" si="9"/>
        <v>0</v>
      </c>
      <c r="Q356" s="1107">
        <f t="shared" si="9"/>
        <v>0</v>
      </c>
      <c r="R356" s="1107">
        <f t="shared" si="9"/>
        <v>0</v>
      </c>
      <c r="S356" s="1107">
        <f t="shared" si="8"/>
        <v>0</v>
      </c>
    </row>
    <row r="357" spans="1:19" ht="18">
      <c r="A357" s="1015">
        <v>287</v>
      </c>
      <c r="B357" s="1015" t="s">
        <v>8036</v>
      </c>
      <c r="C357" s="1103" t="s">
        <v>8037</v>
      </c>
      <c r="D357" s="1015" t="s">
        <v>7424</v>
      </c>
      <c r="E357" s="1104">
        <v>285010</v>
      </c>
      <c r="F357" s="1105" t="s">
        <v>7974</v>
      </c>
      <c r="G357" s="1104">
        <v>435615</v>
      </c>
      <c r="H357" s="1104">
        <v>264456</v>
      </c>
      <c r="I357" s="1104">
        <v>234573</v>
      </c>
      <c r="J357" s="1104">
        <v>205225</v>
      </c>
      <c r="K357" s="1104">
        <v>338475</v>
      </c>
      <c r="L357" s="1104">
        <v>933143</v>
      </c>
      <c r="M357" s="1106">
        <v>903260</v>
      </c>
      <c r="N357" s="1159">
        <v>873912</v>
      </c>
      <c r="O357" s="1104">
        <v>1007162</v>
      </c>
      <c r="P357" s="1107">
        <f t="shared" si="9"/>
        <v>1197599</v>
      </c>
      <c r="Q357" s="1107">
        <f t="shared" si="9"/>
        <v>1137833</v>
      </c>
      <c r="R357" s="1107">
        <f t="shared" si="9"/>
        <v>1079137</v>
      </c>
      <c r="S357" s="1107">
        <f t="shared" si="8"/>
        <v>1345637</v>
      </c>
    </row>
    <row r="358" spans="1:19" ht="18">
      <c r="A358" s="1015">
        <v>288</v>
      </c>
      <c r="B358" s="1015" t="s">
        <v>8038</v>
      </c>
      <c r="C358" s="1103" t="s">
        <v>8039</v>
      </c>
      <c r="D358" s="1015" t="s">
        <v>7424</v>
      </c>
      <c r="E358" s="1104">
        <v>405015</v>
      </c>
      <c r="F358" s="1105" t="s">
        <v>7982</v>
      </c>
      <c r="G358" s="1104">
        <v>642388</v>
      </c>
      <c r="H358" s="1104">
        <v>313761</v>
      </c>
      <c r="I358" s="1104">
        <v>278307</v>
      </c>
      <c r="J358" s="1104">
        <v>243487</v>
      </c>
      <c r="K358" s="1104">
        <v>401581</v>
      </c>
      <c r="L358" s="1104">
        <v>1284571</v>
      </c>
      <c r="M358" s="1106">
        <v>1249117</v>
      </c>
      <c r="N358" s="1159">
        <v>1214297</v>
      </c>
      <c r="O358" s="1104">
        <v>1372391</v>
      </c>
      <c r="P358" s="1107">
        <f t="shared" si="9"/>
        <v>1598332</v>
      </c>
      <c r="Q358" s="1107">
        <f t="shared" si="9"/>
        <v>1527424</v>
      </c>
      <c r="R358" s="1107">
        <f t="shared" si="9"/>
        <v>1457784</v>
      </c>
      <c r="S358" s="1107">
        <f t="shared" si="8"/>
        <v>1773972</v>
      </c>
    </row>
    <row r="359" spans="1:19">
      <c r="A359" s="1015"/>
      <c r="B359" s="1102" t="s">
        <v>8040</v>
      </c>
      <c r="C359" s="1099" t="s">
        <v>8041</v>
      </c>
      <c r="D359" s="1015"/>
      <c r="E359" s="1104" t="s">
        <v>7446</v>
      </c>
      <c r="F359" s="1105"/>
      <c r="G359" s="1104"/>
      <c r="H359" s="1104"/>
      <c r="I359" s="1104"/>
      <c r="J359" s="1104"/>
      <c r="K359" s="1104"/>
      <c r="L359" s="1104"/>
      <c r="M359" s="1106"/>
      <c r="N359" s="1159"/>
      <c r="O359" s="1104"/>
      <c r="P359" s="1107">
        <f t="shared" si="9"/>
        <v>0</v>
      </c>
      <c r="Q359" s="1107">
        <f t="shared" si="9"/>
        <v>0</v>
      </c>
      <c r="R359" s="1107">
        <f t="shared" si="9"/>
        <v>0</v>
      </c>
      <c r="S359" s="1107">
        <f t="shared" si="8"/>
        <v>0</v>
      </c>
    </row>
    <row r="360" spans="1:19">
      <c r="A360" s="1015">
        <v>289</v>
      </c>
      <c r="B360" s="1015" t="s">
        <v>8042</v>
      </c>
      <c r="C360" s="1103" t="s">
        <v>7683</v>
      </c>
      <c r="D360" s="1015" t="s">
        <v>7504</v>
      </c>
      <c r="E360" s="1104">
        <v>336155</v>
      </c>
      <c r="F360" s="1105" t="s">
        <v>7974</v>
      </c>
      <c r="G360" s="1104">
        <v>359717</v>
      </c>
      <c r="H360" s="1104">
        <v>264456</v>
      </c>
      <c r="I360" s="1104">
        <v>234573</v>
      </c>
      <c r="J360" s="1104">
        <v>205225</v>
      </c>
      <c r="K360" s="1104">
        <v>338475</v>
      </c>
      <c r="L360" s="1104">
        <v>958889</v>
      </c>
      <c r="M360" s="1106">
        <v>929006</v>
      </c>
      <c r="N360" s="1159">
        <v>899658</v>
      </c>
      <c r="O360" s="1104">
        <v>1032908</v>
      </c>
      <c r="P360" s="1107">
        <f t="shared" si="9"/>
        <v>1223345</v>
      </c>
      <c r="Q360" s="1107">
        <f t="shared" si="9"/>
        <v>1163579</v>
      </c>
      <c r="R360" s="1107">
        <f t="shared" si="9"/>
        <v>1104883</v>
      </c>
      <c r="S360" s="1107">
        <f t="shared" si="8"/>
        <v>1371383</v>
      </c>
    </row>
    <row r="361" spans="1:19">
      <c r="A361" s="1015"/>
      <c r="B361" s="1102" t="s">
        <v>8043</v>
      </c>
      <c r="C361" s="1099" t="s">
        <v>8044</v>
      </c>
      <c r="D361" s="1015"/>
      <c r="E361" s="1104" t="s">
        <v>7446</v>
      </c>
      <c r="F361" s="1105"/>
      <c r="G361" s="1104"/>
      <c r="H361" s="1104"/>
      <c r="I361" s="1104"/>
      <c r="J361" s="1104"/>
      <c r="K361" s="1104"/>
      <c r="L361" s="1104"/>
      <c r="M361" s="1106"/>
      <c r="N361" s="1159"/>
      <c r="O361" s="1104"/>
      <c r="P361" s="1107">
        <f t="shared" si="9"/>
        <v>0</v>
      </c>
      <c r="Q361" s="1107">
        <f t="shared" si="9"/>
        <v>0</v>
      </c>
      <c r="R361" s="1107">
        <f t="shared" si="9"/>
        <v>0</v>
      </c>
      <c r="S361" s="1107">
        <f t="shared" si="8"/>
        <v>0</v>
      </c>
    </row>
    <row r="362" spans="1:19">
      <c r="A362" s="1015">
        <v>290</v>
      </c>
      <c r="B362" s="1015" t="s">
        <v>8045</v>
      </c>
      <c r="C362" s="1103" t="s">
        <v>7529</v>
      </c>
      <c r="D362" s="1015"/>
      <c r="E362" s="1104" t="s">
        <v>7446</v>
      </c>
      <c r="F362" s="1105"/>
      <c r="G362" s="1104">
        <v>160855</v>
      </c>
      <c r="H362" s="1104"/>
      <c r="I362" s="1104"/>
      <c r="J362" s="1104"/>
      <c r="K362" s="1104"/>
      <c r="L362" s="1104">
        <v>143429</v>
      </c>
      <c r="M362" s="1106">
        <v>143429</v>
      </c>
      <c r="N362" s="1159">
        <v>143429</v>
      </c>
      <c r="O362" s="1104">
        <v>143429</v>
      </c>
      <c r="P362" s="1107">
        <f t="shared" si="9"/>
        <v>143429</v>
      </c>
      <c r="Q362" s="1107">
        <f t="shared" si="9"/>
        <v>143429</v>
      </c>
      <c r="R362" s="1107">
        <f t="shared" si="9"/>
        <v>143429</v>
      </c>
      <c r="S362" s="1107">
        <f t="shared" si="8"/>
        <v>143429</v>
      </c>
    </row>
    <row r="363" spans="1:19">
      <c r="A363" s="1015">
        <v>291</v>
      </c>
      <c r="B363" s="1015" t="s">
        <v>8046</v>
      </c>
      <c r="C363" s="1103" t="s">
        <v>8047</v>
      </c>
      <c r="D363" s="1015"/>
      <c r="E363" s="1104" t="s">
        <v>7446</v>
      </c>
      <c r="F363" s="1105"/>
      <c r="G363" s="1104">
        <v>186651</v>
      </c>
      <c r="H363" s="1104"/>
      <c r="I363" s="1104"/>
      <c r="J363" s="1104"/>
      <c r="K363" s="1104"/>
      <c r="L363" s="1104">
        <v>166430</v>
      </c>
      <c r="M363" s="1106">
        <v>166430</v>
      </c>
      <c r="N363" s="1159">
        <v>166430</v>
      </c>
      <c r="O363" s="1104">
        <v>166430</v>
      </c>
      <c r="P363" s="1107">
        <f t="shared" si="9"/>
        <v>166430</v>
      </c>
      <c r="Q363" s="1107">
        <f t="shared" si="9"/>
        <v>166430</v>
      </c>
      <c r="R363" s="1107">
        <f t="shared" si="9"/>
        <v>166430</v>
      </c>
      <c r="S363" s="1107">
        <f t="shared" si="8"/>
        <v>166430</v>
      </c>
    </row>
    <row r="364" spans="1:19">
      <c r="A364" s="1015">
        <v>292</v>
      </c>
      <c r="B364" s="1015" t="s">
        <v>8048</v>
      </c>
      <c r="C364" s="1103" t="s">
        <v>7565</v>
      </c>
      <c r="D364" s="1015"/>
      <c r="E364" s="1104" t="s">
        <v>7446</v>
      </c>
      <c r="F364" s="1105"/>
      <c r="G364" s="1104">
        <v>251560</v>
      </c>
      <c r="H364" s="1104"/>
      <c r="I364" s="1104"/>
      <c r="J364" s="1104"/>
      <c r="K364" s="1104"/>
      <c r="L364" s="1104">
        <v>218019</v>
      </c>
      <c r="M364" s="1106">
        <v>218019</v>
      </c>
      <c r="N364" s="1159">
        <v>218019</v>
      </c>
      <c r="O364" s="1104">
        <v>218019</v>
      </c>
      <c r="P364" s="1107">
        <f t="shared" si="9"/>
        <v>218019</v>
      </c>
      <c r="Q364" s="1107">
        <f t="shared" si="9"/>
        <v>218019</v>
      </c>
      <c r="R364" s="1107">
        <f t="shared" si="9"/>
        <v>218019</v>
      </c>
      <c r="S364" s="1107">
        <f t="shared" si="8"/>
        <v>218019</v>
      </c>
    </row>
    <row r="365" spans="1:19">
      <c r="A365" s="1015">
        <v>293</v>
      </c>
      <c r="B365" s="1015" t="s">
        <v>8049</v>
      </c>
      <c r="C365" s="1103" t="s">
        <v>7567</v>
      </c>
      <c r="D365" s="1015"/>
      <c r="E365" s="1104" t="s">
        <v>7446</v>
      </c>
      <c r="F365" s="1105"/>
      <c r="G365" s="1104">
        <v>297117</v>
      </c>
      <c r="H365" s="1104"/>
      <c r="I365" s="1104"/>
      <c r="J365" s="1104"/>
      <c r="K365" s="1104"/>
      <c r="L365" s="1104">
        <v>257501</v>
      </c>
      <c r="M365" s="1106">
        <v>257501</v>
      </c>
      <c r="N365" s="1159">
        <v>257501</v>
      </c>
      <c r="O365" s="1104">
        <v>257501</v>
      </c>
      <c r="P365" s="1107">
        <f t="shared" si="9"/>
        <v>257501</v>
      </c>
      <c r="Q365" s="1107">
        <f t="shared" si="9"/>
        <v>257501</v>
      </c>
      <c r="R365" s="1107">
        <f t="shared" si="9"/>
        <v>257501</v>
      </c>
      <c r="S365" s="1107">
        <f t="shared" si="8"/>
        <v>257501</v>
      </c>
    </row>
    <row r="366" spans="1:19">
      <c r="A366" s="1015">
        <v>294</v>
      </c>
      <c r="B366" s="1015" t="s">
        <v>8050</v>
      </c>
      <c r="C366" s="1103" t="s">
        <v>7600</v>
      </c>
      <c r="D366" s="1015"/>
      <c r="E366" s="1104" t="s">
        <v>7446</v>
      </c>
      <c r="F366" s="1105"/>
      <c r="G366" s="1104">
        <v>333817</v>
      </c>
      <c r="H366" s="1104"/>
      <c r="I366" s="1104"/>
      <c r="J366" s="1104"/>
      <c r="K366" s="1104"/>
      <c r="L366" s="1104">
        <v>289308</v>
      </c>
      <c r="M366" s="1106">
        <v>289308</v>
      </c>
      <c r="N366" s="1159">
        <v>289308</v>
      </c>
      <c r="O366" s="1104">
        <v>289308</v>
      </c>
      <c r="P366" s="1107">
        <f t="shared" si="9"/>
        <v>289308</v>
      </c>
      <c r="Q366" s="1107">
        <f t="shared" si="9"/>
        <v>289308</v>
      </c>
      <c r="R366" s="1107">
        <f t="shared" si="9"/>
        <v>289308</v>
      </c>
      <c r="S366" s="1107">
        <f t="shared" si="8"/>
        <v>289308</v>
      </c>
    </row>
    <row r="367" spans="1:19">
      <c r="A367" s="1015">
        <v>295</v>
      </c>
      <c r="B367" s="1015" t="s">
        <v>8051</v>
      </c>
      <c r="C367" s="1103" t="s">
        <v>7584</v>
      </c>
      <c r="D367" s="1015"/>
      <c r="E367" s="1104" t="s">
        <v>7446</v>
      </c>
      <c r="F367" s="1105"/>
      <c r="G367" s="1104">
        <v>537425</v>
      </c>
      <c r="H367" s="1104"/>
      <c r="I367" s="1104"/>
      <c r="J367" s="1104"/>
      <c r="K367" s="1104"/>
      <c r="L367" s="1104">
        <v>465768</v>
      </c>
      <c r="M367" s="1106">
        <v>465768</v>
      </c>
      <c r="N367" s="1159">
        <v>465768</v>
      </c>
      <c r="O367" s="1104">
        <v>465768</v>
      </c>
      <c r="P367" s="1107">
        <f t="shared" si="9"/>
        <v>465768</v>
      </c>
      <c r="Q367" s="1107">
        <f t="shared" si="9"/>
        <v>465768</v>
      </c>
      <c r="R367" s="1107">
        <f t="shared" si="9"/>
        <v>465768</v>
      </c>
      <c r="S367" s="1107">
        <f t="shared" si="8"/>
        <v>465768</v>
      </c>
    </row>
    <row r="368" spans="1:19">
      <c r="A368" s="1015">
        <v>296</v>
      </c>
      <c r="B368" s="1015" t="s">
        <v>8052</v>
      </c>
      <c r="C368" s="1103" t="s">
        <v>7661</v>
      </c>
      <c r="D368" s="1015"/>
      <c r="E368" s="1104" t="s">
        <v>7446</v>
      </c>
      <c r="F368" s="1105"/>
      <c r="G368" s="1104">
        <v>601973</v>
      </c>
      <c r="H368" s="1104"/>
      <c r="I368" s="1104"/>
      <c r="J368" s="1104"/>
      <c r="K368" s="1104"/>
      <c r="L368" s="1104">
        <v>521710</v>
      </c>
      <c r="M368" s="1106">
        <v>521710</v>
      </c>
      <c r="N368" s="1159">
        <v>521710</v>
      </c>
      <c r="O368" s="1104">
        <v>521710</v>
      </c>
      <c r="P368" s="1107">
        <f t="shared" si="9"/>
        <v>521710</v>
      </c>
      <c r="Q368" s="1107">
        <f t="shared" si="9"/>
        <v>521710</v>
      </c>
      <c r="R368" s="1107">
        <f t="shared" si="9"/>
        <v>521710</v>
      </c>
      <c r="S368" s="1107">
        <f t="shared" si="8"/>
        <v>521710</v>
      </c>
    </row>
    <row r="369" spans="1:19">
      <c r="A369" s="1015"/>
      <c r="B369" s="1102" t="s">
        <v>8053</v>
      </c>
      <c r="C369" s="1099" t="s">
        <v>8054</v>
      </c>
      <c r="D369" s="1015"/>
      <c r="E369" s="1104" t="s">
        <v>7446</v>
      </c>
      <c r="F369" s="1105"/>
      <c r="G369" s="1104"/>
      <c r="H369" s="1104"/>
      <c r="I369" s="1104"/>
      <c r="J369" s="1104"/>
      <c r="K369" s="1104"/>
      <c r="L369" s="1104"/>
      <c r="M369" s="1106"/>
      <c r="N369" s="1159"/>
      <c r="O369" s="1104"/>
      <c r="P369" s="1107">
        <f t="shared" si="9"/>
        <v>0</v>
      </c>
      <c r="Q369" s="1107">
        <f t="shared" si="9"/>
        <v>0</v>
      </c>
      <c r="R369" s="1107">
        <f t="shared" si="9"/>
        <v>0</v>
      </c>
      <c r="S369" s="1107">
        <f t="shared" si="8"/>
        <v>0</v>
      </c>
    </row>
    <row r="370" spans="1:19">
      <c r="A370" s="1015">
        <v>297</v>
      </c>
      <c r="B370" s="1015" t="s">
        <v>8055</v>
      </c>
      <c r="C370" s="1103" t="s">
        <v>7565</v>
      </c>
      <c r="D370" s="1015" t="s">
        <v>7424</v>
      </c>
      <c r="E370" s="1104">
        <v>1395051</v>
      </c>
      <c r="F370" s="1105" t="s">
        <v>7982</v>
      </c>
      <c r="G370" s="1104">
        <v>1340000</v>
      </c>
      <c r="H370" s="1104">
        <v>313761</v>
      </c>
      <c r="I370" s="1104">
        <v>278307</v>
      </c>
      <c r="J370" s="1104">
        <v>243487</v>
      </c>
      <c r="K370" s="1104">
        <v>401581</v>
      </c>
      <c r="L370" s="1104">
        <v>2870145</v>
      </c>
      <c r="M370" s="1106">
        <v>2834691</v>
      </c>
      <c r="N370" s="1159">
        <v>2799871</v>
      </c>
      <c r="O370" s="1104">
        <v>2957965</v>
      </c>
      <c r="P370" s="1107">
        <f t="shared" si="9"/>
        <v>3183906</v>
      </c>
      <c r="Q370" s="1107">
        <f t="shared" si="9"/>
        <v>3112998</v>
      </c>
      <c r="R370" s="1107">
        <f t="shared" si="9"/>
        <v>3043358</v>
      </c>
      <c r="S370" s="1107">
        <f t="shared" si="8"/>
        <v>3359546</v>
      </c>
    </row>
    <row r="371" spans="1:19">
      <c r="A371" s="1585">
        <v>298</v>
      </c>
      <c r="B371" s="1585" t="s">
        <v>8056</v>
      </c>
      <c r="C371" s="1103">
        <v>3</v>
      </c>
      <c r="D371" s="1585" t="s">
        <v>7424</v>
      </c>
      <c r="E371" s="1584">
        <v>525019</v>
      </c>
      <c r="F371" s="1587" t="s">
        <v>7556</v>
      </c>
      <c r="G371" s="1584">
        <v>3243150</v>
      </c>
      <c r="H371" s="1584">
        <v>537877</v>
      </c>
      <c r="I371" s="1584">
        <v>477098</v>
      </c>
      <c r="J371" s="1584">
        <v>417407</v>
      </c>
      <c r="K371" s="1584">
        <v>688424</v>
      </c>
      <c r="L371" s="1584">
        <v>5423131</v>
      </c>
      <c r="M371" s="1588">
        <v>5362352</v>
      </c>
      <c r="N371" s="1589">
        <v>5302661</v>
      </c>
      <c r="O371" s="1584">
        <v>5573678</v>
      </c>
      <c r="P371" s="1107">
        <f t="shared" si="9"/>
        <v>5961008</v>
      </c>
      <c r="Q371" s="1107">
        <f t="shared" si="9"/>
        <v>5839450</v>
      </c>
      <c r="R371" s="1107">
        <f t="shared" si="9"/>
        <v>5720068</v>
      </c>
      <c r="S371" s="1107">
        <f t="shared" si="8"/>
        <v>6262102</v>
      </c>
    </row>
    <row r="372" spans="1:19">
      <c r="A372" s="1585"/>
      <c r="B372" s="1585"/>
      <c r="C372" s="1103" t="s">
        <v>8057</v>
      </c>
      <c r="D372" s="1585"/>
      <c r="E372" s="1584"/>
      <c r="F372" s="1587"/>
      <c r="G372" s="1584"/>
      <c r="H372" s="1584"/>
      <c r="I372" s="1584"/>
      <c r="J372" s="1584"/>
      <c r="K372" s="1584"/>
      <c r="L372" s="1584"/>
      <c r="M372" s="1588"/>
      <c r="N372" s="1589"/>
      <c r="O372" s="1584"/>
      <c r="P372" s="1107">
        <f t="shared" si="9"/>
        <v>0</v>
      </c>
      <c r="Q372" s="1107">
        <f t="shared" si="9"/>
        <v>0</v>
      </c>
      <c r="R372" s="1107">
        <f t="shared" si="9"/>
        <v>0</v>
      </c>
      <c r="S372" s="1107">
        <f t="shared" si="8"/>
        <v>0</v>
      </c>
    </row>
    <row r="373" spans="1:19">
      <c r="A373" s="1585"/>
      <c r="B373" s="1585"/>
      <c r="C373" s="1103" t="s">
        <v>8058</v>
      </c>
      <c r="D373" s="1585"/>
      <c r="E373" s="1584"/>
      <c r="F373" s="1587"/>
      <c r="G373" s="1584"/>
      <c r="H373" s="1584"/>
      <c r="I373" s="1584"/>
      <c r="J373" s="1584"/>
      <c r="K373" s="1584"/>
      <c r="L373" s="1584"/>
      <c r="M373" s="1588"/>
      <c r="N373" s="1589"/>
      <c r="O373" s="1584"/>
      <c r="P373" s="1107">
        <f t="shared" si="9"/>
        <v>0</v>
      </c>
      <c r="Q373" s="1107">
        <f t="shared" si="9"/>
        <v>0</v>
      </c>
      <c r="R373" s="1107">
        <f t="shared" si="9"/>
        <v>0</v>
      </c>
      <c r="S373" s="1107">
        <f t="shared" si="8"/>
        <v>0</v>
      </c>
    </row>
    <row r="374" spans="1:19" ht="18">
      <c r="A374" s="1015">
        <v>299</v>
      </c>
      <c r="B374" s="1015" t="s">
        <v>8059</v>
      </c>
      <c r="C374" s="1103" t="s">
        <v>8060</v>
      </c>
      <c r="D374" s="1015" t="s">
        <v>7424</v>
      </c>
      <c r="E374" s="1104">
        <v>345013</v>
      </c>
      <c r="F374" s="1105" t="s">
        <v>7982</v>
      </c>
      <c r="G374" s="1104">
        <v>931000</v>
      </c>
      <c r="H374" s="1104">
        <v>313761</v>
      </c>
      <c r="I374" s="1104">
        <v>278307</v>
      </c>
      <c r="J374" s="1104">
        <v>243487</v>
      </c>
      <c r="K374" s="1104">
        <v>401581</v>
      </c>
      <c r="L374" s="1104">
        <v>1755285</v>
      </c>
      <c r="M374" s="1106">
        <v>1719831</v>
      </c>
      <c r="N374" s="1159">
        <v>1685011</v>
      </c>
      <c r="O374" s="1104">
        <v>1843105</v>
      </c>
      <c r="P374" s="1107">
        <f t="shared" si="9"/>
        <v>2069046</v>
      </c>
      <c r="Q374" s="1107">
        <f t="shared" si="9"/>
        <v>1998138</v>
      </c>
      <c r="R374" s="1107">
        <f t="shared" si="9"/>
        <v>1928498</v>
      </c>
      <c r="S374" s="1107">
        <f t="shared" si="8"/>
        <v>2244686</v>
      </c>
    </row>
    <row r="375" spans="1:19">
      <c r="A375" s="1015"/>
      <c r="B375" s="1102" t="s">
        <v>8061</v>
      </c>
      <c r="C375" s="1099" t="s">
        <v>8062</v>
      </c>
      <c r="D375" s="1015"/>
      <c r="E375" s="1104" t="s">
        <v>7446</v>
      </c>
      <c r="F375" s="1105"/>
      <c r="G375" s="1104"/>
      <c r="H375" s="1104"/>
      <c r="I375" s="1104"/>
      <c r="J375" s="1104"/>
      <c r="K375" s="1104"/>
      <c r="L375" s="1104"/>
      <c r="M375" s="1106"/>
      <c r="N375" s="1159"/>
      <c r="O375" s="1104"/>
      <c r="P375" s="1107">
        <f t="shared" si="9"/>
        <v>0</v>
      </c>
      <c r="Q375" s="1107">
        <f t="shared" si="9"/>
        <v>0</v>
      </c>
      <c r="R375" s="1107">
        <f t="shared" si="9"/>
        <v>0</v>
      </c>
      <c r="S375" s="1107">
        <f t="shared" si="8"/>
        <v>0</v>
      </c>
    </row>
    <row r="376" spans="1:19">
      <c r="A376" s="1015"/>
      <c r="B376" s="1102" t="s">
        <v>8063</v>
      </c>
      <c r="C376" s="1099" t="s">
        <v>8064</v>
      </c>
      <c r="D376" s="1015"/>
      <c r="E376" s="1104" t="s">
        <v>7446</v>
      </c>
      <c r="F376" s="1105"/>
      <c r="G376" s="1104"/>
      <c r="H376" s="1104"/>
      <c r="I376" s="1104"/>
      <c r="J376" s="1104"/>
      <c r="K376" s="1104"/>
      <c r="L376" s="1104"/>
      <c r="M376" s="1106"/>
      <c r="N376" s="1159"/>
      <c r="O376" s="1104"/>
      <c r="P376" s="1107">
        <f t="shared" si="9"/>
        <v>0</v>
      </c>
      <c r="Q376" s="1107">
        <f t="shared" si="9"/>
        <v>0</v>
      </c>
      <c r="R376" s="1107">
        <f t="shared" si="9"/>
        <v>0</v>
      </c>
      <c r="S376" s="1107">
        <f t="shared" si="8"/>
        <v>0</v>
      </c>
    </row>
    <row r="377" spans="1:19">
      <c r="A377" s="1015">
        <v>300</v>
      </c>
      <c r="B377" s="1015" t="s">
        <v>8065</v>
      </c>
      <c r="C377" s="1103" t="s">
        <v>8066</v>
      </c>
      <c r="D377" s="1015" t="s">
        <v>3127</v>
      </c>
      <c r="E377" s="1104">
        <v>9788</v>
      </c>
      <c r="F377" s="1105" t="s">
        <v>7505</v>
      </c>
      <c r="G377" s="1104">
        <v>13471</v>
      </c>
      <c r="H377" s="1104">
        <v>241838</v>
      </c>
      <c r="I377" s="1104">
        <v>214511</v>
      </c>
      <c r="J377" s="1104">
        <v>187673</v>
      </c>
      <c r="K377" s="1104">
        <v>309526</v>
      </c>
      <c r="L377" s="1104">
        <v>269307</v>
      </c>
      <c r="M377" s="1106">
        <v>241980</v>
      </c>
      <c r="N377" s="1159">
        <v>215142</v>
      </c>
      <c r="O377" s="1104">
        <v>336995</v>
      </c>
      <c r="P377" s="1107">
        <f t="shared" si="9"/>
        <v>511145</v>
      </c>
      <c r="Q377" s="1107">
        <f t="shared" si="9"/>
        <v>456491</v>
      </c>
      <c r="R377" s="1107">
        <f t="shared" si="9"/>
        <v>402815</v>
      </c>
      <c r="S377" s="1107">
        <f t="shared" si="8"/>
        <v>646521</v>
      </c>
    </row>
    <row r="378" spans="1:19">
      <c r="A378" s="1585">
        <v>301</v>
      </c>
      <c r="B378" s="1585" t="s">
        <v>8067</v>
      </c>
      <c r="C378" s="1103" t="s">
        <v>8068</v>
      </c>
      <c r="D378" s="1585"/>
      <c r="E378" s="1584" t="s">
        <v>7446</v>
      </c>
      <c r="F378" s="1587" t="s">
        <v>7505</v>
      </c>
      <c r="G378" s="1584">
        <v>26484</v>
      </c>
      <c r="H378" s="1584">
        <v>241838</v>
      </c>
      <c r="I378" s="1584">
        <v>214511</v>
      </c>
      <c r="J378" s="1584">
        <v>187673</v>
      </c>
      <c r="K378" s="1584">
        <v>309526</v>
      </c>
      <c r="L378" s="1584">
        <v>276598</v>
      </c>
      <c r="M378" s="1588">
        <v>249271</v>
      </c>
      <c r="N378" s="1589">
        <v>222433</v>
      </c>
      <c r="O378" s="1584">
        <v>344286</v>
      </c>
      <c r="P378" s="1107">
        <f t="shared" si="9"/>
        <v>518436</v>
      </c>
      <c r="Q378" s="1107">
        <f t="shared" si="9"/>
        <v>463782</v>
      </c>
      <c r="R378" s="1107">
        <f t="shared" si="9"/>
        <v>410106</v>
      </c>
      <c r="S378" s="1107">
        <f t="shared" si="8"/>
        <v>653812</v>
      </c>
    </row>
    <row r="379" spans="1:19">
      <c r="A379" s="1585"/>
      <c r="B379" s="1585"/>
      <c r="C379" s="1103" t="s">
        <v>8069</v>
      </c>
      <c r="D379" s="1585"/>
      <c r="E379" s="1584"/>
      <c r="F379" s="1587"/>
      <c r="G379" s="1584"/>
      <c r="H379" s="1584"/>
      <c r="I379" s="1584"/>
      <c r="J379" s="1584"/>
      <c r="K379" s="1584"/>
      <c r="L379" s="1584"/>
      <c r="M379" s="1588"/>
      <c r="N379" s="1589"/>
      <c r="O379" s="1584"/>
      <c r="P379" s="1107">
        <f t="shared" si="9"/>
        <v>0</v>
      </c>
      <c r="Q379" s="1107">
        <f t="shared" si="9"/>
        <v>0</v>
      </c>
      <c r="R379" s="1107">
        <f t="shared" si="9"/>
        <v>0</v>
      </c>
      <c r="S379" s="1107">
        <f t="shared" si="8"/>
        <v>0</v>
      </c>
    </row>
    <row r="380" spans="1:19">
      <c r="A380" s="1585">
        <v>302</v>
      </c>
      <c r="B380" s="1585" t="s">
        <v>8070</v>
      </c>
      <c r="C380" s="1103" t="s">
        <v>8071</v>
      </c>
      <c r="D380" s="1585"/>
      <c r="E380" s="1584" t="s">
        <v>7446</v>
      </c>
      <c r="F380" s="1587" t="s">
        <v>7505</v>
      </c>
      <c r="G380" s="1584">
        <v>126804</v>
      </c>
      <c r="H380" s="1584">
        <v>241838</v>
      </c>
      <c r="I380" s="1584">
        <v>214511</v>
      </c>
      <c r="J380" s="1584">
        <v>187673</v>
      </c>
      <c r="K380" s="1584">
        <v>309526</v>
      </c>
      <c r="L380" s="1584">
        <v>388191</v>
      </c>
      <c r="M380" s="1588">
        <v>360864</v>
      </c>
      <c r="N380" s="1589">
        <v>334026</v>
      </c>
      <c r="O380" s="1584">
        <v>455879</v>
      </c>
      <c r="P380" s="1107">
        <f t="shared" si="9"/>
        <v>630029</v>
      </c>
      <c r="Q380" s="1107">
        <f t="shared" si="9"/>
        <v>575375</v>
      </c>
      <c r="R380" s="1107">
        <f t="shared" si="9"/>
        <v>521699</v>
      </c>
      <c r="S380" s="1107">
        <f t="shared" si="8"/>
        <v>765405</v>
      </c>
    </row>
    <row r="381" spans="1:19">
      <c r="A381" s="1585"/>
      <c r="B381" s="1585"/>
      <c r="C381" s="1103" t="s">
        <v>8072</v>
      </c>
      <c r="D381" s="1585"/>
      <c r="E381" s="1584"/>
      <c r="F381" s="1587"/>
      <c r="G381" s="1584"/>
      <c r="H381" s="1584"/>
      <c r="I381" s="1584"/>
      <c r="J381" s="1584"/>
      <c r="K381" s="1584"/>
      <c r="L381" s="1584"/>
      <c r="M381" s="1588"/>
      <c r="N381" s="1589"/>
      <c r="O381" s="1584"/>
      <c r="P381" s="1107">
        <f t="shared" si="9"/>
        <v>0</v>
      </c>
      <c r="Q381" s="1107">
        <f t="shared" si="9"/>
        <v>0</v>
      </c>
      <c r="R381" s="1107">
        <f t="shared" si="9"/>
        <v>0</v>
      </c>
      <c r="S381" s="1107">
        <f t="shared" si="8"/>
        <v>0</v>
      </c>
    </row>
    <row r="382" spans="1:19">
      <c r="A382" s="1015">
        <v>303</v>
      </c>
      <c r="B382" s="1015" t="s">
        <v>8073</v>
      </c>
      <c r="C382" s="1103" t="s">
        <v>8074</v>
      </c>
      <c r="D382" s="1015"/>
      <c r="E382" s="1104" t="s">
        <v>7446</v>
      </c>
      <c r="F382" s="1105" t="s">
        <v>7505</v>
      </c>
      <c r="G382" s="1104">
        <v>6134</v>
      </c>
      <c r="H382" s="1104">
        <v>241838</v>
      </c>
      <c r="I382" s="1104">
        <v>214511</v>
      </c>
      <c r="J382" s="1104">
        <v>187673</v>
      </c>
      <c r="K382" s="1104">
        <v>309526</v>
      </c>
      <c r="L382" s="1104">
        <v>249889</v>
      </c>
      <c r="M382" s="1106">
        <v>222562</v>
      </c>
      <c r="N382" s="1159">
        <v>195724</v>
      </c>
      <c r="O382" s="1104">
        <v>317577</v>
      </c>
      <c r="P382" s="1107">
        <f t="shared" si="9"/>
        <v>491727</v>
      </c>
      <c r="Q382" s="1107">
        <f t="shared" si="9"/>
        <v>437073</v>
      </c>
      <c r="R382" s="1107">
        <f t="shared" si="9"/>
        <v>383397</v>
      </c>
      <c r="S382" s="1107">
        <f t="shared" si="8"/>
        <v>627103</v>
      </c>
    </row>
    <row r="383" spans="1:19">
      <c r="A383" s="1015"/>
      <c r="B383" s="1102" t="s">
        <v>8075</v>
      </c>
      <c r="C383" s="1099" t="s">
        <v>8076</v>
      </c>
      <c r="D383" s="1015"/>
      <c r="E383" s="1104" t="s">
        <v>7446</v>
      </c>
      <c r="F383" s="1105"/>
      <c r="G383" s="1104"/>
      <c r="H383" s="1104"/>
      <c r="I383" s="1104"/>
      <c r="J383" s="1104"/>
      <c r="K383" s="1104"/>
      <c r="L383" s="1104"/>
      <c r="M383" s="1106"/>
      <c r="N383" s="1159"/>
      <c r="O383" s="1104"/>
      <c r="P383" s="1107">
        <f t="shared" si="9"/>
        <v>0</v>
      </c>
      <c r="Q383" s="1107">
        <f t="shared" si="9"/>
        <v>0</v>
      </c>
      <c r="R383" s="1107">
        <f t="shared" si="9"/>
        <v>0</v>
      </c>
      <c r="S383" s="1107">
        <f t="shared" si="8"/>
        <v>0</v>
      </c>
    </row>
    <row r="384" spans="1:19">
      <c r="A384" s="1015">
        <v>304</v>
      </c>
      <c r="B384" s="1015" t="s">
        <v>8077</v>
      </c>
      <c r="C384" s="1103" t="s">
        <v>8078</v>
      </c>
      <c r="D384" s="1015"/>
      <c r="E384" s="1104" t="s">
        <v>7446</v>
      </c>
      <c r="F384" s="1105" t="s">
        <v>7810</v>
      </c>
      <c r="G384" s="1104">
        <v>1101564</v>
      </c>
      <c r="H384" s="1104">
        <v>528912</v>
      </c>
      <c r="I384" s="1104">
        <v>469146</v>
      </c>
      <c r="J384" s="1104">
        <v>410450</v>
      </c>
      <c r="K384" s="1104">
        <v>676950</v>
      </c>
      <c r="L384" s="1104">
        <v>1573358</v>
      </c>
      <c r="M384" s="1106">
        <v>1513592</v>
      </c>
      <c r="N384" s="1159">
        <v>1454896</v>
      </c>
      <c r="O384" s="1104">
        <v>1721396</v>
      </c>
      <c r="P384" s="1107">
        <f t="shared" si="9"/>
        <v>2102270</v>
      </c>
      <c r="Q384" s="1107">
        <f t="shared" si="9"/>
        <v>1982738</v>
      </c>
      <c r="R384" s="1107">
        <f t="shared" si="9"/>
        <v>1865346</v>
      </c>
      <c r="S384" s="1107">
        <f t="shared" si="8"/>
        <v>2398346</v>
      </c>
    </row>
    <row r="385" spans="1:19">
      <c r="A385" s="1015">
        <v>305</v>
      </c>
      <c r="B385" s="1015" t="s">
        <v>8079</v>
      </c>
      <c r="C385" s="1103" t="s">
        <v>8080</v>
      </c>
      <c r="D385" s="1015"/>
      <c r="E385" s="1104" t="s">
        <v>7446</v>
      </c>
      <c r="F385" s="1105" t="s">
        <v>7810</v>
      </c>
      <c r="G385" s="1104">
        <v>1376725</v>
      </c>
      <c r="H385" s="1104">
        <v>528912</v>
      </c>
      <c r="I385" s="1104">
        <v>469146</v>
      </c>
      <c r="J385" s="1104">
        <v>410450</v>
      </c>
      <c r="K385" s="1104">
        <v>676950</v>
      </c>
      <c r="L385" s="1104">
        <v>1834251</v>
      </c>
      <c r="M385" s="1106">
        <v>1774485</v>
      </c>
      <c r="N385" s="1159">
        <v>1715789</v>
      </c>
      <c r="O385" s="1104">
        <v>1982289</v>
      </c>
      <c r="P385" s="1107">
        <f t="shared" si="9"/>
        <v>2363163</v>
      </c>
      <c r="Q385" s="1107">
        <f t="shared" si="9"/>
        <v>2243631</v>
      </c>
      <c r="R385" s="1107">
        <f t="shared" si="9"/>
        <v>2126239</v>
      </c>
      <c r="S385" s="1107">
        <f t="shared" si="8"/>
        <v>2659239</v>
      </c>
    </row>
    <row r="386" spans="1:19">
      <c r="A386" s="1015"/>
      <c r="B386" s="1102" t="s">
        <v>8081</v>
      </c>
      <c r="C386" s="1099" t="s">
        <v>8082</v>
      </c>
      <c r="D386" s="1015"/>
      <c r="E386" s="1104" t="s">
        <v>7446</v>
      </c>
      <c r="F386" s="1105"/>
      <c r="G386" s="1104"/>
      <c r="H386" s="1104"/>
      <c r="I386" s="1104"/>
      <c r="J386" s="1104"/>
      <c r="K386" s="1104"/>
      <c r="L386" s="1104"/>
      <c r="M386" s="1106"/>
      <c r="N386" s="1159"/>
      <c r="O386" s="1104"/>
      <c r="P386" s="1107">
        <f t="shared" si="9"/>
        <v>0</v>
      </c>
      <c r="Q386" s="1107">
        <f t="shared" si="9"/>
        <v>0</v>
      </c>
      <c r="R386" s="1107">
        <f t="shared" si="9"/>
        <v>0</v>
      </c>
      <c r="S386" s="1107">
        <f t="shared" si="8"/>
        <v>0</v>
      </c>
    </row>
    <row r="387" spans="1:19">
      <c r="A387" s="1015">
        <v>306</v>
      </c>
      <c r="B387" s="1015" t="s">
        <v>8083</v>
      </c>
      <c r="C387" s="1103" t="s">
        <v>8084</v>
      </c>
      <c r="D387" s="1015" t="s">
        <v>7424</v>
      </c>
      <c r="E387" s="1104">
        <v>1260046</v>
      </c>
      <c r="F387" s="1105" t="s">
        <v>7582</v>
      </c>
      <c r="G387" s="1104">
        <v>11436520</v>
      </c>
      <c r="H387" s="1104">
        <v>758571</v>
      </c>
      <c r="I387" s="1104">
        <v>672854</v>
      </c>
      <c r="J387" s="1104">
        <v>588672</v>
      </c>
      <c r="K387" s="1104">
        <v>970889</v>
      </c>
      <c r="L387" s="1104">
        <v>10686295</v>
      </c>
      <c r="M387" s="1106">
        <v>10600578</v>
      </c>
      <c r="N387" s="1159">
        <v>10516396</v>
      </c>
      <c r="O387" s="1104">
        <v>10898613</v>
      </c>
      <c r="P387" s="1107">
        <f t="shared" si="9"/>
        <v>11444866</v>
      </c>
      <c r="Q387" s="1107">
        <f t="shared" si="9"/>
        <v>11273432</v>
      </c>
      <c r="R387" s="1107">
        <f t="shared" si="9"/>
        <v>11105068</v>
      </c>
      <c r="S387" s="1107">
        <f t="shared" si="8"/>
        <v>11869502</v>
      </c>
    </row>
    <row r="388" spans="1:19">
      <c r="A388" s="1015">
        <v>307</v>
      </c>
      <c r="B388" s="1015" t="s">
        <v>8085</v>
      </c>
      <c r="C388" s="1103" t="s">
        <v>8086</v>
      </c>
      <c r="D388" s="1015" t="s">
        <v>7424</v>
      </c>
      <c r="E388" s="1104">
        <v>2070075</v>
      </c>
      <c r="F388" s="1105" t="s">
        <v>7582</v>
      </c>
      <c r="G388" s="1104">
        <v>16668260</v>
      </c>
      <c r="H388" s="1104">
        <v>758571</v>
      </c>
      <c r="I388" s="1104">
        <v>672854</v>
      </c>
      <c r="J388" s="1104">
        <v>588672</v>
      </c>
      <c r="K388" s="1104">
        <v>970889</v>
      </c>
      <c r="L388" s="1104">
        <v>15461433</v>
      </c>
      <c r="M388" s="1106">
        <v>15375716</v>
      </c>
      <c r="N388" s="1159">
        <v>15291534</v>
      </c>
      <c r="O388" s="1104">
        <v>15673751</v>
      </c>
      <c r="P388" s="1107">
        <f t="shared" si="9"/>
        <v>16220004</v>
      </c>
      <c r="Q388" s="1107">
        <f t="shared" si="9"/>
        <v>16048570</v>
      </c>
      <c r="R388" s="1107">
        <f t="shared" si="9"/>
        <v>15880206</v>
      </c>
      <c r="S388" s="1107">
        <f t="shared" si="8"/>
        <v>16644640</v>
      </c>
    </row>
    <row r="389" spans="1:19">
      <c r="A389" s="1015"/>
      <c r="B389" s="1102" t="s">
        <v>8087</v>
      </c>
      <c r="C389" s="1099" t="s">
        <v>8088</v>
      </c>
      <c r="D389" s="1015"/>
      <c r="E389" s="1104" t="s">
        <v>7446</v>
      </c>
      <c r="F389" s="1105"/>
      <c r="G389" s="1104"/>
      <c r="H389" s="1104"/>
      <c r="I389" s="1104"/>
      <c r="J389" s="1104"/>
      <c r="K389" s="1104"/>
      <c r="L389" s="1104"/>
      <c r="M389" s="1106"/>
      <c r="N389" s="1159"/>
      <c r="O389" s="1104"/>
      <c r="P389" s="1107">
        <f t="shared" si="9"/>
        <v>0</v>
      </c>
      <c r="Q389" s="1107">
        <f t="shared" si="9"/>
        <v>0</v>
      </c>
      <c r="R389" s="1107">
        <f t="shared" si="9"/>
        <v>0</v>
      </c>
      <c r="S389" s="1107">
        <f t="shared" si="8"/>
        <v>0</v>
      </c>
    </row>
    <row r="390" spans="1:19">
      <c r="A390" s="1015">
        <v>308</v>
      </c>
      <c r="B390" s="1015" t="s">
        <v>8089</v>
      </c>
      <c r="C390" s="1103" t="s">
        <v>8090</v>
      </c>
      <c r="D390" s="1015" t="s">
        <v>7424</v>
      </c>
      <c r="E390" s="1104">
        <v>570021</v>
      </c>
      <c r="F390" s="1105" t="s">
        <v>7582</v>
      </c>
      <c r="G390" s="1104">
        <v>12651359</v>
      </c>
      <c r="H390" s="1104">
        <v>758571</v>
      </c>
      <c r="I390" s="1104">
        <v>672854</v>
      </c>
      <c r="J390" s="1104">
        <v>588672</v>
      </c>
      <c r="K390" s="1104">
        <v>970889</v>
      </c>
      <c r="L390" s="1104">
        <v>10916990</v>
      </c>
      <c r="M390" s="1106">
        <v>10831273</v>
      </c>
      <c r="N390" s="1159">
        <v>10747091</v>
      </c>
      <c r="O390" s="1104">
        <v>11129308</v>
      </c>
      <c r="P390" s="1107">
        <f t="shared" si="9"/>
        <v>11675561</v>
      </c>
      <c r="Q390" s="1107">
        <f t="shared" si="9"/>
        <v>11504127</v>
      </c>
      <c r="R390" s="1107">
        <f t="shared" si="9"/>
        <v>11335763</v>
      </c>
      <c r="S390" s="1107">
        <f t="shared" si="8"/>
        <v>12100197</v>
      </c>
    </row>
    <row r="391" spans="1:19">
      <c r="A391" s="1015"/>
      <c r="B391" s="1102" t="s">
        <v>8091</v>
      </c>
      <c r="C391" s="1099" t="s">
        <v>8092</v>
      </c>
      <c r="D391" s="1015"/>
      <c r="E391" s="1104" t="s">
        <v>7446</v>
      </c>
      <c r="F391" s="1105"/>
      <c r="G391" s="1104"/>
      <c r="H391" s="1104"/>
      <c r="I391" s="1104"/>
      <c r="J391" s="1104"/>
      <c r="K391" s="1104"/>
      <c r="L391" s="1104"/>
      <c r="M391" s="1106"/>
      <c r="N391" s="1159"/>
      <c r="O391" s="1104"/>
      <c r="P391" s="1107">
        <f t="shared" si="9"/>
        <v>0</v>
      </c>
      <c r="Q391" s="1107">
        <f t="shared" si="9"/>
        <v>0</v>
      </c>
      <c r="R391" s="1107">
        <f t="shared" si="9"/>
        <v>0</v>
      </c>
      <c r="S391" s="1107">
        <f t="shared" si="8"/>
        <v>0</v>
      </c>
    </row>
    <row r="392" spans="1:19">
      <c r="A392" s="1015">
        <v>309</v>
      </c>
      <c r="B392" s="1015" t="s">
        <v>8093</v>
      </c>
      <c r="C392" s="1103" t="s">
        <v>8094</v>
      </c>
      <c r="D392" s="1015" t="s">
        <v>3127</v>
      </c>
      <c r="E392" s="1104">
        <v>1321422</v>
      </c>
      <c r="F392" s="1105" t="s">
        <v>7582</v>
      </c>
      <c r="G392" s="1104">
        <v>41605242</v>
      </c>
      <c r="H392" s="1104">
        <v>758571</v>
      </c>
      <c r="I392" s="1104">
        <v>672854</v>
      </c>
      <c r="J392" s="1104">
        <v>588672</v>
      </c>
      <c r="K392" s="1104">
        <v>970889</v>
      </c>
      <c r="L392" s="1104">
        <v>38311224</v>
      </c>
      <c r="M392" s="1106">
        <v>38225507</v>
      </c>
      <c r="N392" s="1159">
        <v>38141325</v>
      </c>
      <c r="O392" s="1104">
        <v>38523542</v>
      </c>
      <c r="P392" s="1107">
        <f t="shared" si="9"/>
        <v>39069795</v>
      </c>
      <c r="Q392" s="1107">
        <f t="shared" si="9"/>
        <v>38898361</v>
      </c>
      <c r="R392" s="1107">
        <f t="shared" si="9"/>
        <v>38729997</v>
      </c>
      <c r="S392" s="1107">
        <f t="shared" si="8"/>
        <v>39494431</v>
      </c>
    </row>
    <row r="393" spans="1:19">
      <c r="A393" s="1015"/>
      <c r="B393" s="1102" t="s">
        <v>8095</v>
      </c>
      <c r="C393" s="1099" t="s">
        <v>8096</v>
      </c>
      <c r="D393" s="1015"/>
      <c r="E393" s="1104" t="s">
        <v>7446</v>
      </c>
      <c r="F393" s="1105"/>
      <c r="G393" s="1104"/>
      <c r="H393" s="1104"/>
      <c r="I393" s="1104"/>
      <c r="J393" s="1104"/>
      <c r="K393" s="1104"/>
      <c r="L393" s="1104"/>
      <c r="M393" s="1106"/>
      <c r="N393" s="1159"/>
      <c r="O393" s="1104"/>
      <c r="P393" s="1107">
        <f t="shared" si="9"/>
        <v>0</v>
      </c>
      <c r="Q393" s="1107">
        <f t="shared" si="9"/>
        <v>0</v>
      </c>
      <c r="R393" s="1107">
        <f t="shared" si="9"/>
        <v>0</v>
      </c>
      <c r="S393" s="1107">
        <f t="shared" si="9"/>
        <v>0</v>
      </c>
    </row>
    <row r="394" spans="1:19">
      <c r="A394" s="1015">
        <v>310</v>
      </c>
      <c r="B394" s="1015" t="s">
        <v>8097</v>
      </c>
      <c r="C394" s="1103" t="s">
        <v>8098</v>
      </c>
      <c r="D394" s="1015" t="s">
        <v>3127</v>
      </c>
      <c r="E394" s="1104">
        <v>31323</v>
      </c>
      <c r="F394" s="1105" t="s">
        <v>7425</v>
      </c>
      <c r="G394" s="1104">
        <v>2207026</v>
      </c>
      <c r="H394" s="1104">
        <v>287074</v>
      </c>
      <c r="I394" s="1104">
        <v>254635</v>
      </c>
      <c r="J394" s="1104">
        <v>222777</v>
      </c>
      <c r="K394" s="1104">
        <v>367424</v>
      </c>
      <c r="L394" s="1104">
        <v>2525423</v>
      </c>
      <c r="M394" s="1106">
        <v>2492984</v>
      </c>
      <c r="N394" s="1159">
        <v>2461126</v>
      </c>
      <c r="O394" s="1104">
        <v>2605773</v>
      </c>
      <c r="P394" s="1107">
        <f t="shared" ref="P394:S457" si="10">H394+L394</f>
        <v>2812497</v>
      </c>
      <c r="Q394" s="1107">
        <f t="shared" si="10"/>
        <v>2747619</v>
      </c>
      <c r="R394" s="1107">
        <f t="shared" si="10"/>
        <v>2683903</v>
      </c>
      <c r="S394" s="1107">
        <f t="shared" si="10"/>
        <v>2973197</v>
      </c>
    </row>
    <row r="395" spans="1:19">
      <c r="A395" s="1015"/>
      <c r="B395" s="1102" t="s">
        <v>8099</v>
      </c>
      <c r="C395" s="1099" t="s">
        <v>8100</v>
      </c>
      <c r="D395" s="1015"/>
      <c r="E395" s="1104" t="s">
        <v>7446</v>
      </c>
      <c r="F395" s="1105"/>
      <c r="G395" s="1104"/>
      <c r="H395" s="1104"/>
      <c r="I395" s="1104"/>
      <c r="J395" s="1104"/>
      <c r="K395" s="1104"/>
      <c r="L395" s="1104"/>
      <c r="M395" s="1106"/>
      <c r="N395" s="1159"/>
      <c r="O395" s="1104"/>
      <c r="P395" s="1107">
        <f t="shared" si="10"/>
        <v>0</v>
      </c>
      <c r="Q395" s="1107">
        <f t="shared" si="10"/>
        <v>0</v>
      </c>
      <c r="R395" s="1107">
        <f t="shared" si="10"/>
        <v>0</v>
      </c>
      <c r="S395" s="1107">
        <f t="shared" si="10"/>
        <v>0</v>
      </c>
    </row>
    <row r="396" spans="1:19">
      <c r="A396" s="1015">
        <v>311</v>
      </c>
      <c r="B396" s="1015" t="s">
        <v>8101</v>
      </c>
      <c r="C396" s="1103" t="s">
        <v>8102</v>
      </c>
      <c r="D396" s="1015" t="s">
        <v>7424</v>
      </c>
      <c r="E396" s="1104">
        <v>420015</v>
      </c>
      <c r="F396" s="1105" t="s">
        <v>7810</v>
      </c>
      <c r="G396" s="1104">
        <v>1043321</v>
      </c>
      <c r="H396" s="1104">
        <v>528912</v>
      </c>
      <c r="I396" s="1104">
        <v>469146</v>
      </c>
      <c r="J396" s="1104">
        <v>410450</v>
      </c>
      <c r="K396" s="1104">
        <v>676950</v>
      </c>
      <c r="L396" s="1104">
        <v>1833663</v>
      </c>
      <c r="M396" s="1106">
        <v>1773897</v>
      </c>
      <c r="N396" s="1159">
        <v>1715201</v>
      </c>
      <c r="O396" s="1104">
        <v>1981701</v>
      </c>
      <c r="P396" s="1107">
        <f t="shared" si="10"/>
        <v>2362575</v>
      </c>
      <c r="Q396" s="1107">
        <f t="shared" si="10"/>
        <v>2243043</v>
      </c>
      <c r="R396" s="1107">
        <f t="shared" si="10"/>
        <v>2125651</v>
      </c>
      <c r="S396" s="1107">
        <f t="shared" si="10"/>
        <v>2658651</v>
      </c>
    </row>
    <row r="397" spans="1:19">
      <c r="A397" s="1015"/>
      <c r="B397" s="1102" t="s">
        <v>8103</v>
      </c>
      <c r="C397" s="1099" t="s">
        <v>8104</v>
      </c>
      <c r="D397" s="1015"/>
      <c r="E397" s="1104" t="s">
        <v>7446</v>
      </c>
      <c r="F397" s="1105"/>
      <c r="G397" s="1104"/>
      <c r="H397" s="1104"/>
      <c r="I397" s="1104"/>
      <c r="J397" s="1104"/>
      <c r="K397" s="1104"/>
      <c r="L397" s="1104"/>
      <c r="M397" s="1106"/>
      <c r="N397" s="1159"/>
      <c r="O397" s="1104"/>
      <c r="P397" s="1107">
        <f t="shared" si="10"/>
        <v>0</v>
      </c>
      <c r="Q397" s="1107">
        <f t="shared" si="10"/>
        <v>0</v>
      </c>
      <c r="R397" s="1107">
        <f t="shared" si="10"/>
        <v>0</v>
      </c>
      <c r="S397" s="1107">
        <f t="shared" si="10"/>
        <v>0</v>
      </c>
    </row>
    <row r="398" spans="1:19">
      <c r="A398" s="1015">
        <v>312</v>
      </c>
      <c r="B398" s="1015" t="s">
        <v>8105</v>
      </c>
      <c r="C398" s="1103" t="s">
        <v>8106</v>
      </c>
      <c r="D398" s="1015" t="s">
        <v>7424</v>
      </c>
      <c r="E398" s="1104">
        <v>4980181</v>
      </c>
      <c r="F398" s="1105" t="s">
        <v>7425</v>
      </c>
      <c r="G398" s="1104">
        <v>5660000</v>
      </c>
      <c r="H398" s="1104">
        <v>287074</v>
      </c>
      <c r="I398" s="1104">
        <v>254635</v>
      </c>
      <c r="J398" s="1104">
        <v>222777</v>
      </c>
      <c r="K398" s="1104">
        <v>367424</v>
      </c>
      <c r="L398" s="1104">
        <v>9616518</v>
      </c>
      <c r="M398" s="1106">
        <v>9584079</v>
      </c>
      <c r="N398" s="1159">
        <v>9552221</v>
      </c>
      <c r="O398" s="1104">
        <v>9696868</v>
      </c>
      <c r="P398" s="1107">
        <f t="shared" si="10"/>
        <v>9903592</v>
      </c>
      <c r="Q398" s="1107">
        <f t="shared" si="10"/>
        <v>9838714</v>
      </c>
      <c r="R398" s="1107">
        <f t="shared" si="10"/>
        <v>9774998</v>
      </c>
      <c r="S398" s="1107">
        <f t="shared" si="10"/>
        <v>10064292</v>
      </c>
    </row>
    <row r="399" spans="1:19">
      <c r="A399" s="1015">
        <v>313</v>
      </c>
      <c r="B399" s="1015" t="s">
        <v>8107</v>
      </c>
      <c r="C399" s="1103" t="s">
        <v>8108</v>
      </c>
      <c r="D399" s="1015" t="s">
        <v>7424</v>
      </c>
      <c r="E399" s="1104">
        <v>306011</v>
      </c>
      <c r="F399" s="1105" t="s">
        <v>7425</v>
      </c>
      <c r="G399" s="1104">
        <v>102500</v>
      </c>
      <c r="H399" s="1104">
        <v>287074</v>
      </c>
      <c r="I399" s="1104">
        <v>254635</v>
      </c>
      <c r="J399" s="1104">
        <v>222777</v>
      </c>
      <c r="K399" s="1104">
        <v>367424</v>
      </c>
      <c r="L399" s="1104">
        <v>701280</v>
      </c>
      <c r="M399" s="1106">
        <v>668841</v>
      </c>
      <c r="N399" s="1159">
        <v>636983</v>
      </c>
      <c r="O399" s="1104">
        <v>781630</v>
      </c>
      <c r="P399" s="1107">
        <f t="shared" si="10"/>
        <v>988354</v>
      </c>
      <c r="Q399" s="1107">
        <f t="shared" si="10"/>
        <v>923476</v>
      </c>
      <c r="R399" s="1107">
        <f t="shared" si="10"/>
        <v>859760</v>
      </c>
      <c r="S399" s="1107">
        <f t="shared" si="10"/>
        <v>1149054</v>
      </c>
    </row>
    <row r="400" spans="1:19">
      <c r="A400" s="1015"/>
      <c r="B400" s="1102" t="s">
        <v>8109</v>
      </c>
      <c r="C400" s="1099" t="s">
        <v>8110</v>
      </c>
      <c r="D400" s="1015"/>
      <c r="E400" s="1104" t="s">
        <v>7446</v>
      </c>
      <c r="F400" s="1105"/>
      <c r="G400" s="1104"/>
      <c r="H400" s="1104"/>
      <c r="I400" s="1104"/>
      <c r="J400" s="1104"/>
      <c r="K400" s="1104"/>
      <c r="L400" s="1104"/>
      <c r="M400" s="1106"/>
      <c r="N400" s="1159"/>
      <c r="O400" s="1104"/>
      <c r="P400" s="1107">
        <f t="shared" si="10"/>
        <v>0</v>
      </c>
      <c r="Q400" s="1107">
        <f t="shared" si="10"/>
        <v>0</v>
      </c>
      <c r="R400" s="1107">
        <f t="shared" si="10"/>
        <v>0</v>
      </c>
      <c r="S400" s="1107">
        <f t="shared" si="10"/>
        <v>0</v>
      </c>
    </row>
    <row r="401" spans="1:19">
      <c r="A401" s="1015"/>
      <c r="B401" s="1102" t="s">
        <v>8111</v>
      </c>
      <c r="C401" s="1099" t="s">
        <v>8112</v>
      </c>
      <c r="D401" s="1015"/>
      <c r="E401" s="1104" t="s">
        <v>7446</v>
      </c>
      <c r="F401" s="1105"/>
      <c r="G401" s="1104"/>
      <c r="H401" s="1104"/>
      <c r="I401" s="1104"/>
      <c r="J401" s="1104"/>
      <c r="K401" s="1104"/>
      <c r="L401" s="1104"/>
      <c r="M401" s="1106"/>
      <c r="N401" s="1159"/>
      <c r="O401" s="1104"/>
      <c r="P401" s="1107">
        <f t="shared" si="10"/>
        <v>0</v>
      </c>
      <c r="Q401" s="1107">
        <f t="shared" si="10"/>
        <v>0</v>
      </c>
      <c r="R401" s="1107">
        <f t="shared" si="10"/>
        <v>0</v>
      </c>
      <c r="S401" s="1107">
        <f t="shared" si="10"/>
        <v>0</v>
      </c>
    </row>
    <row r="402" spans="1:19">
      <c r="A402" s="1015">
        <v>314</v>
      </c>
      <c r="B402" s="1015" t="s">
        <v>5678</v>
      </c>
      <c r="C402" s="1103" t="s">
        <v>8113</v>
      </c>
      <c r="D402" s="1015" t="s">
        <v>7424</v>
      </c>
      <c r="E402" s="1104">
        <v>30001</v>
      </c>
      <c r="F402" s="1105" t="s">
        <v>7505</v>
      </c>
      <c r="G402" s="1104">
        <v>8369</v>
      </c>
      <c r="H402" s="1104">
        <v>241838</v>
      </c>
      <c r="I402" s="1104">
        <v>214511</v>
      </c>
      <c r="J402" s="1104">
        <v>187673</v>
      </c>
      <c r="K402" s="1104">
        <v>309526</v>
      </c>
      <c r="L402" s="1104">
        <v>282768</v>
      </c>
      <c r="M402" s="1106">
        <v>255441</v>
      </c>
      <c r="N402" s="1159">
        <v>228603</v>
      </c>
      <c r="O402" s="1104">
        <v>350456</v>
      </c>
      <c r="P402" s="1107">
        <f t="shared" si="10"/>
        <v>524606</v>
      </c>
      <c r="Q402" s="1107">
        <f t="shared" si="10"/>
        <v>469952</v>
      </c>
      <c r="R402" s="1107">
        <f t="shared" si="10"/>
        <v>416276</v>
      </c>
      <c r="S402" s="1107">
        <f t="shared" si="10"/>
        <v>659982</v>
      </c>
    </row>
    <row r="403" spans="1:19">
      <c r="A403" s="1015">
        <v>315</v>
      </c>
      <c r="B403" s="1015" t="s">
        <v>8114</v>
      </c>
      <c r="C403" s="1103" t="s">
        <v>8115</v>
      </c>
      <c r="D403" s="1015" t="s">
        <v>7424</v>
      </c>
      <c r="E403" s="1104">
        <v>75003</v>
      </c>
      <c r="F403" s="1105" t="s">
        <v>7505</v>
      </c>
      <c r="G403" s="1104">
        <v>28433</v>
      </c>
      <c r="H403" s="1104">
        <v>241838</v>
      </c>
      <c r="I403" s="1104">
        <v>214511</v>
      </c>
      <c r="J403" s="1104">
        <v>187673</v>
      </c>
      <c r="K403" s="1104">
        <v>309526</v>
      </c>
      <c r="L403" s="1104">
        <v>353971</v>
      </c>
      <c r="M403" s="1106">
        <v>326644</v>
      </c>
      <c r="N403" s="1159">
        <v>299806</v>
      </c>
      <c r="O403" s="1104">
        <v>421659</v>
      </c>
      <c r="P403" s="1107">
        <f t="shared" si="10"/>
        <v>595809</v>
      </c>
      <c r="Q403" s="1107">
        <f t="shared" si="10"/>
        <v>541155</v>
      </c>
      <c r="R403" s="1107">
        <f t="shared" si="10"/>
        <v>487479</v>
      </c>
      <c r="S403" s="1107">
        <f t="shared" si="10"/>
        <v>731185</v>
      </c>
    </row>
    <row r="404" spans="1:19">
      <c r="A404" s="1015">
        <v>316</v>
      </c>
      <c r="B404" s="1015" t="s">
        <v>8116</v>
      </c>
      <c r="C404" s="1103" t="s">
        <v>8117</v>
      </c>
      <c r="D404" s="1015" t="s">
        <v>7424</v>
      </c>
      <c r="E404" s="1104">
        <v>360013</v>
      </c>
      <c r="F404" s="1105" t="s">
        <v>7505</v>
      </c>
      <c r="G404" s="1104">
        <v>117173</v>
      </c>
      <c r="H404" s="1104">
        <v>241838</v>
      </c>
      <c r="I404" s="1104">
        <v>214511</v>
      </c>
      <c r="J404" s="1104">
        <v>187673</v>
      </c>
      <c r="K404" s="1104">
        <v>309526</v>
      </c>
      <c r="L404" s="1104">
        <v>737634</v>
      </c>
      <c r="M404" s="1106">
        <v>710307</v>
      </c>
      <c r="N404" s="1159">
        <v>683469</v>
      </c>
      <c r="O404" s="1104">
        <v>805322</v>
      </c>
      <c r="P404" s="1107">
        <f t="shared" si="10"/>
        <v>979472</v>
      </c>
      <c r="Q404" s="1107">
        <f t="shared" si="10"/>
        <v>924818</v>
      </c>
      <c r="R404" s="1107">
        <f t="shared" si="10"/>
        <v>871142</v>
      </c>
      <c r="S404" s="1107">
        <f t="shared" si="10"/>
        <v>1114848</v>
      </c>
    </row>
    <row r="405" spans="1:19">
      <c r="A405" s="1015">
        <v>317</v>
      </c>
      <c r="B405" s="1015" t="s">
        <v>8118</v>
      </c>
      <c r="C405" s="1103" t="s">
        <v>8119</v>
      </c>
      <c r="D405" s="1015" t="s">
        <v>7424</v>
      </c>
      <c r="E405" s="1104">
        <v>540020</v>
      </c>
      <c r="F405" s="1105" t="s">
        <v>7505</v>
      </c>
      <c r="G405" s="1104">
        <v>172893</v>
      </c>
      <c r="H405" s="1104">
        <v>241838</v>
      </c>
      <c r="I405" s="1104">
        <v>214511</v>
      </c>
      <c r="J405" s="1104">
        <v>187673</v>
      </c>
      <c r="K405" s="1104">
        <v>309526</v>
      </c>
      <c r="L405" s="1104">
        <v>982210</v>
      </c>
      <c r="M405" s="1106">
        <v>954883</v>
      </c>
      <c r="N405" s="1159">
        <v>928045</v>
      </c>
      <c r="O405" s="1104">
        <v>1049898</v>
      </c>
      <c r="P405" s="1107">
        <f t="shared" si="10"/>
        <v>1224048</v>
      </c>
      <c r="Q405" s="1107">
        <f t="shared" si="10"/>
        <v>1169394</v>
      </c>
      <c r="R405" s="1107">
        <f t="shared" si="10"/>
        <v>1115718</v>
      </c>
      <c r="S405" s="1107">
        <f t="shared" si="10"/>
        <v>1359424</v>
      </c>
    </row>
    <row r="406" spans="1:19">
      <c r="A406" s="1015">
        <v>318</v>
      </c>
      <c r="B406" s="1015" t="s">
        <v>8120</v>
      </c>
      <c r="C406" s="1103" t="s">
        <v>8121</v>
      </c>
      <c r="D406" s="1015" t="s">
        <v>7424</v>
      </c>
      <c r="E406" s="1104">
        <v>675025</v>
      </c>
      <c r="F406" s="1105" t="s">
        <v>7425</v>
      </c>
      <c r="G406" s="1104">
        <v>244894</v>
      </c>
      <c r="H406" s="1104">
        <v>287074</v>
      </c>
      <c r="I406" s="1104">
        <v>254635</v>
      </c>
      <c r="J406" s="1104">
        <v>222777</v>
      </c>
      <c r="K406" s="1104">
        <v>367424</v>
      </c>
      <c r="L406" s="1104">
        <v>1228601</v>
      </c>
      <c r="M406" s="1106">
        <v>1196162</v>
      </c>
      <c r="N406" s="1159">
        <v>1164304</v>
      </c>
      <c r="O406" s="1104">
        <v>1308951</v>
      </c>
      <c r="P406" s="1107">
        <f t="shared" si="10"/>
        <v>1515675</v>
      </c>
      <c r="Q406" s="1107">
        <f t="shared" si="10"/>
        <v>1450797</v>
      </c>
      <c r="R406" s="1107">
        <f t="shared" si="10"/>
        <v>1387081</v>
      </c>
      <c r="S406" s="1107">
        <f t="shared" si="10"/>
        <v>1676375</v>
      </c>
    </row>
    <row r="407" spans="1:19">
      <c r="A407" s="1015">
        <v>319</v>
      </c>
      <c r="B407" s="1015" t="s">
        <v>8122</v>
      </c>
      <c r="C407" s="1103" t="s">
        <v>8123</v>
      </c>
      <c r="D407" s="1015" t="s">
        <v>7424</v>
      </c>
      <c r="E407" s="1104">
        <v>1140041</v>
      </c>
      <c r="F407" s="1105" t="s">
        <v>7425</v>
      </c>
      <c r="G407" s="1104">
        <v>320678</v>
      </c>
      <c r="H407" s="1104">
        <v>287074</v>
      </c>
      <c r="I407" s="1104">
        <v>254635</v>
      </c>
      <c r="J407" s="1104">
        <v>222777</v>
      </c>
      <c r="K407" s="1104">
        <v>367424</v>
      </c>
      <c r="L407" s="1104">
        <v>1753452</v>
      </c>
      <c r="M407" s="1106">
        <v>1721013</v>
      </c>
      <c r="N407" s="1159">
        <v>1689155</v>
      </c>
      <c r="O407" s="1104">
        <v>1833802</v>
      </c>
      <c r="P407" s="1107">
        <f t="shared" si="10"/>
        <v>2040526</v>
      </c>
      <c r="Q407" s="1107">
        <f t="shared" si="10"/>
        <v>1975648</v>
      </c>
      <c r="R407" s="1107">
        <f t="shared" si="10"/>
        <v>1911932</v>
      </c>
      <c r="S407" s="1107">
        <f t="shared" si="10"/>
        <v>2201226</v>
      </c>
    </row>
    <row r="408" spans="1:19">
      <c r="A408" s="1015">
        <v>320</v>
      </c>
      <c r="B408" s="1015" t="s">
        <v>8124</v>
      </c>
      <c r="C408" s="1103" t="s">
        <v>8125</v>
      </c>
      <c r="D408" s="1015" t="s">
        <v>7424</v>
      </c>
      <c r="E408" s="1104">
        <v>1590058</v>
      </c>
      <c r="F408" s="1105" t="s">
        <v>7425</v>
      </c>
      <c r="G408" s="1104">
        <v>335697</v>
      </c>
      <c r="H408" s="1104">
        <v>287074</v>
      </c>
      <c r="I408" s="1104">
        <v>254635</v>
      </c>
      <c r="J408" s="1104">
        <v>222777</v>
      </c>
      <c r="K408" s="1104">
        <v>367424</v>
      </c>
      <c r="L408" s="1104">
        <v>2218753</v>
      </c>
      <c r="M408" s="1106">
        <v>2186314</v>
      </c>
      <c r="N408" s="1159">
        <v>2154456</v>
      </c>
      <c r="O408" s="1104">
        <v>2299103</v>
      </c>
      <c r="P408" s="1107">
        <f t="shared" si="10"/>
        <v>2505827</v>
      </c>
      <c r="Q408" s="1107">
        <f t="shared" si="10"/>
        <v>2440949</v>
      </c>
      <c r="R408" s="1107">
        <f t="shared" si="10"/>
        <v>2377233</v>
      </c>
      <c r="S408" s="1107">
        <f t="shared" si="10"/>
        <v>2666527</v>
      </c>
    </row>
    <row r="409" spans="1:19">
      <c r="A409" s="1015"/>
      <c r="B409" s="1102" t="s">
        <v>8126</v>
      </c>
      <c r="C409" s="1099" t="s">
        <v>8127</v>
      </c>
      <c r="D409" s="1015"/>
      <c r="E409" s="1104" t="s">
        <v>7446</v>
      </c>
      <c r="F409" s="1105"/>
      <c r="G409" s="1104"/>
      <c r="H409" s="1104"/>
      <c r="I409" s="1104"/>
      <c r="J409" s="1104"/>
      <c r="K409" s="1104"/>
      <c r="L409" s="1104"/>
      <c r="M409" s="1106"/>
      <c r="N409" s="1159"/>
      <c r="O409" s="1104"/>
      <c r="P409" s="1107">
        <f t="shared" si="10"/>
        <v>0</v>
      </c>
      <c r="Q409" s="1107">
        <f t="shared" si="10"/>
        <v>0</v>
      </c>
      <c r="R409" s="1107">
        <f t="shared" si="10"/>
        <v>0</v>
      </c>
      <c r="S409" s="1107">
        <f t="shared" si="10"/>
        <v>0</v>
      </c>
    </row>
    <row r="410" spans="1:19" ht="18">
      <c r="A410" s="1015">
        <v>321</v>
      </c>
      <c r="B410" s="1015" t="s">
        <v>8128</v>
      </c>
      <c r="C410" s="1103" t="s">
        <v>8129</v>
      </c>
      <c r="D410" s="1015" t="s">
        <v>7504</v>
      </c>
      <c r="E410" s="1104">
        <v>261454</v>
      </c>
      <c r="F410" s="1105" t="s">
        <v>7425</v>
      </c>
      <c r="G410" s="1104">
        <v>71198</v>
      </c>
      <c r="H410" s="1104">
        <v>287074</v>
      </c>
      <c r="I410" s="1104">
        <v>254635</v>
      </c>
      <c r="J410" s="1104">
        <v>222777</v>
      </c>
      <c r="K410" s="1104">
        <v>367424</v>
      </c>
      <c r="L410" s="1104">
        <v>627241</v>
      </c>
      <c r="M410" s="1106">
        <v>594802</v>
      </c>
      <c r="N410" s="1159">
        <v>562944</v>
      </c>
      <c r="O410" s="1104">
        <v>707591</v>
      </c>
      <c r="P410" s="1107">
        <f t="shared" si="10"/>
        <v>914315</v>
      </c>
      <c r="Q410" s="1107">
        <f t="shared" si="10"/>
        <v>849437</v>
      </c>
      <c r="R410" s="1107">
        <f t="shared" si="10"/>
        <v>785721</v>
      </c>
      <c r="S410" s="1107">
        <f t="shared" si="10"/>
        <v>1075015</v>
      </c>
    </row>
    <row r="411" spans="1:19" ht="18">
      <c r="A411" s="1015">
        <v>322</v>
      </c>
      <c r="B411" s="1015" t="s">
        <v>8130</v>
      </c>
      <c r="C411" s="1103" t="s">
        <v>8131</v>
      </c>
      <c r="D411" s="1015" t="s">
        <v>7504</v>
      </c>
      <c r="E411" s="1104">
        <v>859063</v>
      </c>
      <c r="F411" s="1105" t="s">
        <v>7425</v>
      </c>
      <c r="G411" s="1104">
        <v>374105</v>
      </c>
      <c r="H411" s="1104">
        <v>287074</v>
      </c>
      <c r="I411" s="1104">
        <v>254635</v>
      </c>
      <c r="J411" s="1104">
        <v>222777</v>
      </c>
      <c r="K411" s="1104">
        <v>367424</v>
      </c>
      <c r="L411" s="1104">
        <v>1532712</v>
      </c>
      <c r="M411" s="1106">
        <v>1500273</v>
      </c>
      <c r="N411" s="1159">
        <v>1468415</v>
      </c>
      <c r="O411" s="1104">
        <v>1613062</v>
      </c>
      <c r="P411" s="1107">
        <f t="shared" si="10"/>
        <v>1819786</v>
      </c>
      <c r="Q411" s="1107">
        <f t="shared" si="10"/>
        <v>1754908</v>
      </c>
      <c r="R411" s="1107">
        <f t="shared" si="10"/>
        <v>1691192</v>
      </c>
      <c r="S411" s="1107">
        <f t="shared" si="10"/>
        <v>1980486</v>
      </c>
    </row>
    <row r="412" spans="1:19">
      <c r="A412" s="1015"/>
      <c r="B412" s="1102" t="s">
        <v>8132</v>
      </c>
      <c r="C412" s="1099" t="s">
        <v>8133</v>
      </c>
      <c r="D412" s="1015"/>
      <c r="E412" s="1104" t="s">
        <v>7446</v>
      </c>
      <c r="F412" s="1105"/>
      <c r="G412" s="1104"/>
      <c r="H412" s="1104"/>
      <c r="I412" s="1104"/>
      <c r="J412" s="1104"/>
      <c r="K412" s="1104"/>
      <c r="L412" s="1104"/>
      <c r="M412" s="1106"/>
      <c r="N412" s="1159"/>
      <c r="O412" s="1104"/>
      <c r="P412" s="1107">
        <f t="shared" si="10"/>
        <v>0</v>
      </c>
      <c r="Q412" s="1107">
        <f t="shared" si="10"/>
        <v>0</v>
      </c>
      <c r="R412" s="1107">
        <f t="shared" si="10"/>
        <v>0</v>
      </c>
      <c r="S412" s="1107">
        <f t="shared" si="10"/>
        <v>0</v>
      </c>
    </row>
    <row r="413" spans="1:19" ht="18">
      <c r="A413" s="1015">
        <v>323</v>
      </c>
      <c r="B413" s="1015" t="s">
        <v>8134</v>
      </c>
      <c r="C413" s="1103" t="s">
        <v>8129</v>
      </c>
      <c r="D413" s="1015" t="s">
        <v>7424</v>
      </c>
      <c r="E413" s="1104">
        <v>210008</v>
      </c>
      <c r="F413" s="1105" t="s">
        <v>7425</v>
      </c>
      <c r="G413" s="1104">
        <v>77045</v>
      </c>
      <c r="H413" s="1104">
        <v>287074</v>
      </c>
      <c r="I413" s="1104">
        <v>254635</v>
      </c>
      <c r="J413" s="1104">
        <v>222777</v>
      </c>
      <c r="K413" s="1104">
        <v>367424</v>
      </c>
      <c r="L413" s="1104">
        <v>583971</v>
      </c>
      <c r="M413" s="1106">
        <v>551532</v>
      </c>
      <c r="N413" s="1159">
        <v>519674</v>
      </c>
      <c r="O413" s="1104">
        <v>664321</v>
      </c>
      <c r="P413" s="1107">
        <f t="shared" si="10"/>
        <v>871045</v>
      </c>
      <c r="Q413" s="1107">
        <f t="shared" si="10"/>
        <v>806167</v>
      </c>
      <c r="R413" s="1107">
        <f t="shared" si="10"/>
        <v>742451</v>
      </c>
      <c r="S413" s="1107">
        <f t="shared" si="10"/>
        <v>1031745</v>
      </c>
    </row>
    <row r="414" spans="1:19" ht="18">
      <c r="A414" s="1015">
        <v>324</v>
      </c>
      <c r="B414" s="1015" t="s">
        <v>8135</v>
      </c>
      <c r="C414" s="1103" t="s">
        <v>8136</v>
      </c>
      <c r="D414" s="1015" t="s">
        <v>7424</v>
      </c>
      <c r="E414" s="1104">
        <v>420015</v>
      </c>
      <c r="F414" s="1105" t="s">
        <v>7425</v>
      </c>
      <c r="G414" s="1104">
        <v>156842</v>
      </c>
      <c r="H414" s="1104">
        <v>287074</v>
      </c>
      <c r="I414" s="1104">
        <v>254635</v>
      </c>
      <c r="J414" s="1104">
        <v>222777</v>
      </c>
      <c r="K414" s="1104">
        <v>367424</v>
      </c>
      <c r="L414" s="1104">
        <v>883972</v>
      </c>
      <c r="M414" s="1106">
        <v>851533</v>
      </c>
      <c r="N414" s="1159">
        <v>819675</v>
      </c>
      <c r="O414" s="1104">
        <v>964322</v>
      </c>
      <c r="P414" s="1107">
        <f t="shared" si="10"/>
        <v>1171046</v>
      </c>
      <c r="Q414" s="1107">
        <f t="shared" si="10"/>
        <v>1106168</v>
      </c>
      <c r="R414" s="1107">
        <f t="shared" si="10"/>
        <v>1042452</v>
      </c>
      <c r="S414" s="1107">
        <f t="shared" si="10"/>
        <v>1331746</v>
      </c>
    </row>
    <row r="415" spans="1:19" ht="18">
      <c r="A415" s="1015">
        <v>325</v>
      </c>
      <c r="B415" s="1015" t="s">
        <v>8137</v>
      </c>
      <c r="C415" s="1103" t="s">
        <v>8138</v>
      </c>
      <c r="D415" s="1015" t="s">
        <v>7424</v>
      </c>
      <c r="E415" s="1104">
        <v>525019</v>
      </c>
      <c r="F415" s="1105" t="s">
        <v>7425</v>
      </c>
      <c r="G415" s="1104">
        <v>217034</v>
      </c>
      <c r="H415" s="1104">
        <v>287074</v>
      </c>
      <c r="I415" s="1104">
        <v>254635</v>
      </c>
      <c r="J415" s="1104">
        <v>222777</v>
      </c>
      <c r="K415" s="1104">
        <v>367424</v>
      </c>
      <c r="L415" s="1104">
        <v>1056859</v>
      </c>
      <c r="M415" s="1106">
        <v>1024420</v>
      </c>
      <c r="N415" s="1159">
        <v>992562</v>
      </c>
      <c r="O415" s="1104">
        <v>1137209</v>
      </c>
      <c r="P415" s="1107">
        <f t="shared" si="10"/>
        <v>1343933</v>
      </c>
      <c r="Q415" s="1107">
        <f t="shared" si="10"/>
        <v>1279055</v>
      </c>
      <c r="R415" s="1107">
        <f t="shared" si="10"/>
        <v>1215339</v>
      </c>
      <c r="S415" s="1107">
        <f t="shared" si="10"/>
        <v>1504633</v>
      </c>
    </row>
    <row r="416" spans="1:19" ht="18">
      <c r="A416" s="1015">
        <v>326</v>
      </c>
      <c r="B416" s="1015" t="s">
        <v>8139</v>
      </c>
      <c r="C416" s="1103" t="s">
        <v>8140</v>
      </c>
      <c r="D416" s="1015" t="s">
        <v>7424</v>
      </c>
      <c r="E416" s="1104">
        <v>570021</v>
      </c>
      <c r="F416" s="1105" t="s">
        <v>7425</v>
      </c>
      <c r="G416" s="1104">
        <v>281811</v>
      </c>
      <c r="H416" s="1104">
        <v>287074</v>
      </c>
      <c r="I416" s="1104">
        <v>254635</v>
      </c>
      <c r="J416" s="1104">
        <v>222777</v>
      </c>
      <c r="K416" s="1104">
        <v>367424</v>
      </c>
      <c r="L416" s="1104">
        <v>1174915</v>
      </c>
      <c r="M416" s="1106">
        <v>1142476</v>
      </c>
      <c r="N416" s="1159">
        <v>1110618</v>
      </c>
      <c r="O416" s="1104">
        <v>1255265</v>
      </c>
      <c r="P416" s="1107">
        <f t="shared" si="10"/>
        <v>1461989</v>
      </c>
      <c r="Q416" s="1107">
        <f t="shared" si="10"/>
        <v>1397111</v>
      </c>
      <c r="R416" s="1107">
        <f t="shared" si="10"/>
        <v>1333395</v>
      </c>
      <c r="S416" s="1107">
        <f t="shared" si="10"/>
        <v>1622689</v>
      </c>
    </row>
    <row r="417" spans="1:19" ht="18">
      <c r="A417" s="1015">
        <v>327</v>
      </c>
      <c r="B417" s="1015" t="s">
        <v>8141</v>
      </c>
      <c r="C417" s="1103" t="s">
        <v>8142</v>
      </c>
      <c r="D417" s="1015" t="s">
        <v>7424</v>
      </c>
      <c r="E417" s="1104">
        <v>660024</v>
      </c>
      <c r="F417" s="1105" t="s">
        <v>7425</v>
      </c>
      <c r="G417" s="1104">
        <v>321366</v>
      </c>
      <c r="H417" s="1104">
        <v>287074</v>
      </c>
      <c r="I417" s="1104">
        <v>254635</v>
      </c>
      <c r="J417" s="1104">
        <v>222777</v>
      </c>
      <c r="K417" s="1104">
        <v>367424</v>
      </c>
      <c r="L417" s="1104">
        <v>1309527</v>
      </c>
      <c r="M417" s="1106">
        <v>1277088</v>
      </c>
      <c r="N417" s="1159">
        <v>1245230</v>
      </c>
      <c r="O417" s="1104">
        <v>1389877</v>
      </c>
      <c r="P417" s="1107">
        <f t="shared" si="10"/>
        <v>1596601</v>
      </c>
      <c r="Q417" s="1107">
        <f t="shared" si="10"/>
        <v>1531723</v>
      </c>
      <c r="R417" s="1107">
        <f t="shared" si="10"/>
        <v>1468007</v>
      </c>
      <c r="S417" s="1107">
        <f t="shared" si="10"/>
        <v>1757301</v>
      </c>
    </row>
    <row r="418" spans="1:19" ht="18">
      <c r="A418" s="1015">
        <v>328</v>
      </c>
      <c r="B418" s="1015" t="s">
        <v>8143</v>
      </c>
      <c r="C418" s="1103" t="s">
        <v>8131</v>
      </c>
      <c r="D418" s="1015" t="s">
        <v>7424</v>
      </c>
      <c r="E418" s="1104">
        <v>705026</v>
      </c>
      <c r="F418" s="1105" t="s">
        <v>7425</v>
      </c>
      <c r="G418" s="1104">
        <v>410793</v>
      </c>
      <c r="H418" s="1104">
        <v>287074</v>
      </c>
      <c r="I418" s="1104">
        <v>254635</v>
      </c>
      <c r="J418" s="1104">
        <v>222777</v>
      </c>
      <c r="K418" s="1104">
        <v>367424</v>
      </c>
      <c r="L418" s="1104">
        <v>1425714</v>
      </c>
      <c r="M418" s="1106">
        <v>1393275</v>
      </c>
      <c r="N418" s="1159">
        <v>1361417</v>
      </c>
      <c r="O418" s="1104">
        <v>1506064</v>
      </c>
      <c r="P418" s="1107">
        <f t="shared" si="10"/>
        <v>1712788</v>
      </c>
      <c r="Q418" s="1107">
        <f t="shared" si="10"/>
        <v>1647910</v>
      </c>
      <c r="R418" s="1107">
        <f t="shared" si="10"/>
        <v>1584194</v>
      </c>
      <c r="S418" s="1107">
        <f t="shared" si="10"/>
        <v>1873488</v>
      </c>
    </row>
    <row r="419" spans="1:19" ht="18">
      <c r="A419" s="1015">
        <v>329</v>
      </c>
      <c r="B419" s="1015" t="s">
        <v>8144</v>
      </c>
      <c r="C419" s="1103" t="s">
        <v>8145</v>
      </c>
      <c r="D419" s="1015" t="s">
        <v>7424</v>
      </c>
      <c r="E419" s="1104">
        <v>750027</v>
      </c>
      <c r="F419" s="1105" t="s">
        <v>7425</v>
      </c>
      <c r="G419" s="1104">
        <v>478552</v>
      </c>
      <c r="H419" s="1104">
        <v>287074</v>
      </c>
      <c r="I419" s="1104">
        <v>254635</v>
      </c>
      <c r="J419" s="1104">
        <v>222777</v>
      </c>
      <c r="K419" s="1104">
        <v>367424</v>
      </c>
      <c r="L419" s="1104">
        <v>1542239</v>
      </c>
      <c r="M419" s="1106">
        <v>1509800</v>
      </c>
      <c r="N419" s="1159">
        <v>1477942</v>
      </c>
      <c r="O419" s="1104">
        <v>1622589</v>
      </c>
      <c r="P419" s="1107">
        <f t="shared" si="10"/>
        <v>1829313</v>
      </c>
      <c r="Q419" s="1107">
        <f t="shared" si="10"/>
        <v>1764435</v>
      </c>
      <c r="R419" s="1107">
        <f t="shared" si="10"/>
        <v>1700719</v>
      </c>
      <c r="S419" s="1107">
        <f t="shared" si="10"/>
        <v>1990013</v>
      </c>
    </row>
    <row r="420" spans="1:19" ht="18">
      <c r="A420" s="1015">
        <v>330</v>
      </c>
      <c r="B420" s="1015" t="s">
        <v>8146</v>
      </c>
      <c r="C420" s="1103" t="s">
        <v>8147</v>
      </c>
      <c r="D420" s="1015" t="s">
        <v>7424</v>
      </c>
      <c r="E420" s="1104">
        <v>1125041</v>
      </c>
      <c r="F420" s="1105" t="s">
        <v>7425</v>
      </c>
      <c r="G420" s="1104">
        <v>959970</v>
      </c>
      <c r="H420" s="1104">
        <v>287074</v>
      </c>
      <c r="I420" s="1104">
        <v>254635</v>
      </c>
      <c r="J420" s="1104">
        <v>222777</v>
      </c>
      <c r="K420" s="1104">
        <v>367424</v>
      </c>
      <c r="L420" s="1104">
        <v>2366752</v>
      </c>
      <c r="M420" s="1106">
        <v>2334313</v>
      </c>
      <c r="N420" s="1159">
        <v>2302455</v>
      </c>
      <c r="O420" s="1104">
        <v>2447102</v>
      </c>
      <c r="P420" s="1107">
        <f t="shared" si="10"/>
        <v>2653826</v>
      </c>
      <c r="Q420" s="1107">
        <f t="shared" si="10"/>
        <v>2588948</v>
      </c>
      <c r="R420" s="1107">
        <f t="shared" si="10"/>
        <v>2525232</v>
      </c>
      <c r="S420" s="1107">
        <f t="shared" si="10"/>
        <v>2814526</v>
      </c>
    </row>
    <row r="421" spans="1:19" ht="18">
      <c r="A421" s="1015">
        <v>331</v>
      </c>
      <c r="B421" s="1015" t="s">
        <v>8148</v>
      </c>
      <c r="C421" s="1103" t="s">
        <v>8149</v>
      </c>
      <c r="D421" s="1015" t="s">
        <v>7424</v>
      </c>
      <c r="E421" s="1104">
        <v>1170043</v>
      </c>
      <c r="F421" s="1105" t="s">
        <v>7425</v>
      </c>
      <c r="G421" s="1104">
        <v>1103857</v>
      </c>
      <c r="H421" s="1104">
        <v>287074</v>
      </c>
      <c r="I421" s="1104">
        <v>254635</v>
      </c>
      <c r="J421" s="1104">
        <v>222777</v>
      </c>
      <c r="K421" s="1104">
        <v>367424</v>
      </c>
      <c r="L421" s="1104">
        <v>2530311</v>
      </c>
      <c r="M421" s="1106">
        <v>2497872</v>
      </c>
      <c r="N421" s="1159">
        <v>2466014</v>
      </c>
      <c r="O421" s="1104">
        <v>2610661</v>
      </c>
      <c r="P421" s="1107">
        <f t="shared" si="10"/>
        <v>2817385</v>
      </c>
      <c r="Q421" s="1107">
        <f t="shared" si="10"/>
        <v>2752507</v>
      </c>
      <c r="R421" s="1107">
        <f t="shared" si="10"/>
        <v>2688791</v>
      </c>
      <c r="S421" s="1107">
        <f t="shared" si="10"/>
        <v>2978085</v>
      </c>
    </row>
    <row r="422" spans="1:19">
      <c r="A422" s="1015"/>
      <c r="B422" s="1102" t="s">
        <v>8150</v>
      </c>
      <c r="C422" s="1099" t="s">
        <v>8151</v>
      </c>
      <c r="D422" s="1015"/>
      <c r="E422" s="1104" t="s">
        <v>7446</v>
      </c>
      <c r="F422" s="1105"/>
      <c r="G422" s="1104"/>
      <c r="H422" s="1104"/>
      <c r="I422" s="1104"/>
      <c r="J422" s="1104"/>
      <c r="K422" s="1104"/>
      <c r="L422" s="1104"/>
      <c r="M422" s="1106"/>
      <c r="N422" s="1159"/>
      <c r="O422" s="1104"/>
      <c r="P422" s="1107">
        <f t="shared" si="10"/>
        <v>0</v>
      </c>
      <c r="Q422" s="1107">
        <f t="shared" si="10"/>
        <v>0</v>
      </c>
      <c r="R422" s="1107">
        <f t="shared" si="10"/>
        <v>0</v>
      </c>
      <c r="S422" s="1107">
        <f t="shared" si="10"/>
        <v>0</v>
      </c>
    </row>
    <row r="423" spans="1:19" ht="18">
      <c r="A423" s="1015">
        <v>332</v>
      </c>
      <c r="B423" s="1015" t="s">
        <v>8152</v>
      </c>
      <c r="C423" s="1103" t="s">
        <v>8153</v>
      </c>
      <c r="D423" s="1015" t="s">
        <v>3127</v>
      </c>
      <c r="E423" s="1104">
        <v>3915</v>
      </c>
      <c r="F423" s="1105" t="s">
        <v>7505</v>
      </c>
      <c r="G423" s="1104">
        <v>2866</v>
      </c>
      <c r="H423" s="1104">
        <v>241838</v>
      </c>
      <c r="I423" s="1104">
        <v>214511</v>
      </c>
      <c r="J423" s="1104">
        <v>187673</v>
      </c>
      <c r="K423" s="1104">
        <v>309526</v>
      </c>
      <c r="L423" s="1104">
        <v>249288</v>
      </c>
      <c r="M423" s="1106">
        <v>221961</v>
      </c>
      <c r="N423" s="1159">
        <v>195123</v>
      </c>
      <c r="O423" s="1104">
        <v>316976</v>
      </c>
      <c r="P423" s="1107">
        <f t="shared" si="10"/>
        <v>491126</v>
      </c>
      <c r="Q423" s="1107">
        <f t="shared" si="10"/>
        <v>436472</v>
      </c>
      <c r="R423" s="1107">
        <f t="shared" si="10"/>
        <v>382796</v>
      </c>
      <c r="S423" s="1107">
        <f t="shared" si="10"/>
        <v>626502</v>
      </c>
    </row>
    <row r="424" spans="1:19" ht="18">
      <c r="A424" s="1015">
        <v>333</v>
      </c>
      <c r="B424" s="1015" t="s">
        <v>8154</v>
      </c>
      <c r="C424" s="1103" t="s">
        <v>8155</v>
      </c>
      <c r="D424" s="1015" t="s">
        <v>3127</v>
      </c>
      <c r="E424" s="1104">
        <v>168359</v>
      </c>
      <c r="F424" s="1105" t="s">
        <v>7505</v>
      </c>
      <c r="G424" s="1104">
        <v>143199</v>
      </c>
      <c r="H424" s="1104">
        <v>241838</v>
      </c>
      <c r="I424" s="1104">
        <v>214511</v>
      </c>
      <c r="J424" s="1104">
        <v>187673</v>
      </c>
      <c r="K424" s="1104">
        <v>309526</v>
      </c>
      <c r="L424" s="1104">
        <v>558965</v>
      </c>
      <c r="M424" s="1106">
        <v>531638</v>
      </c>
      <c r="N424" s="1159">
        <v>504800</v>
      </c>
      <c r="O424" s="1104">
        <v>626653</v>
      </c>
      <c r="P424" s="1107">
        <f t="shared" si="10"/>
        <v>800803</v>
      </c>
      <c r="Q424" s="1107">
        <f t="shared" si="10"/>
        <v>746149</v>
      </c>
      <c r="R424" s="1107">
        <f t="shared" si="10"/>
        <v>692473</v>
      </c>
      <c r="S424" s="1107">
        <f t="shared" si="10"/>
        <v>936179</v>
      </c>
    </row>
    <row r="425" spans="1:19" ht="18">
      <c r="A425" s="1015">
        <v>334</v>
      </c>
      <c r="B425" s="1015" t="s">
        <v>8156</v>
      </c>
      <c r="C425" s="1103" t="s">
        <v>8131</v>
      </c>
      <c r="D425" s="1015" t="s">
        <v>3127</v>
      </c>
      <c r="E425" s="1104">
        <v>244708</v>
      </c>
      <c r="F425" s="1105" t="s">
        <v>7425</v>
      </c>
      <c r="G425" s="1104">
        <v>309098</v>
      </c>
      <c r="H425" s="1104">
        <v>287074</v>
      </c>
      <c r="I425" s="1104">
        <v>254635</v>
      </c>
      <c r="J425" s="1104">
        <v>222777</v>
      </c>
      <c r="K425" s="1104">
        <v>367424</v>
      </c>
      <c r="L425" s="1104">
        <v>846031</v>
      </c>
      <c r="M425" s="1106">
        <v>813592</v>
      </c>
      <c r="N425" s="1159">
        <v>781734</v>
      </c>
      <c r="O425" s="1104">
        <v>926381</v>
      </c>
      <c r="P425" s="1107">
        <f t="shared" si="10"/>
        <v>1133105</v>
      </c>
      <c r="Q425" s="1107">
        <f t="shared" si="10"/>
        <v>1068227</v>
      </c>
      <c r="R425" s="1107">
        <f t="shared" si="10"/>
        <v>1004511</v>
      </c>
      <c r="S425" s="1107">
        <f t="shared" si="10"/>
        <v>1293805</v>
      </c>
    </row>
    <row r="426" spans="1:19">
      <c r="A426" s="1015"/>
      <c r="B426" s="1102" t="s">
        <v>8157</v>
      </c>
      <c r="C426" s="1099" t="s">
        <v>8158</v>
      </c>
      <c r="D426" s="1015"/>
      <c r="E426" s="1104" t="s">
        <v>7446</v>
      </c>
      <c r="F426" s="1105"/>
      <c r="G426" s="1104"/>
      <c r="H426" s="1104"/>
      <c r="I426" s="1104"/>
      <c r="J426" s="1104"/>
      <c r="K426" s="1104"/>
      <c r="L426" s="1104"/>
      <c r="M426" s="1106"/>
      <c r="N426" s="1159"/>
      <c r="O426" s="1104"/>
      <c r="P426" s="1107">
        <f t="shared" si="10"/>
        <v>0</v>
      </c>
      <c r="Q426" s="1107">
        <f t="shared" si="10"/>
        <v>0</v>
      </c>
      <c r="R426" s="1107">
        <f t="shared" si="10"/>
        <v>0</v>
      </c>
      <c r="S426" s="1107">
        <f t="shared" si="10"/>
        <v>0</v>
      </c>
    </row>
    <row r="427" spans="1:19">
      <c r="A427" s="1015"/>
      <c r="B427" s="1102" t="s">
        <v>8159</v>
      </c>
      <c r="C427" s="1099" t="s">
        <v>8160</v>
      </c>
      <c r="D427" s="1015"/>
      <c r="E427" s="1104" t="s">
        <v>7446</v>
      </c>
      <c r="F427" s="1105"/>
      <c r="G427" s="1104"/>
      <c r="H427" s="1104"/>
      <c r="I427" s="1104"/>
      <c r="J427" s="1104"/>
      <c r="K427" s="1104"/>
      <c r="L427" s="1104"/>
      <c r="M427" s="1106"/>
      <c r="N427" s="1159"/>
      <c r="O427" s="1104"/>
      <c r="P427" s="1107">
        <f t="shared" si="10"/>
        <v>0</v>
      </c>
      <c r="Q427" s="1107">
        <f t="shared" si="10"/>
        <v>0</v>
      </c>
      <c r="R427" s="1107">
        <f t="shared" si="10"/>
        <v>0</v>
      </c>
      <c r="S427" s="1107">
        <f t="shared" si="10"/>
        <v>0</v>
      </c>
    </row>
    <row r="428" spans="1:19">
      <c r="A428" s="1015">
        <v>335</v>
      </c>
      <c r="B428" s="1015" t="s">
        <v>8161</v>
      </c>
      <c r="C428" s="1103" t="s">
        <v>7584</v>
      </c>
      <c r="D428" s="1015"/>
      <c r="E428" s="1104" t="s">
        <v>7446</v>
      </c>
      <c r="F428" s="1105"/>
      <c r="G428" s="1104">
        <v>490476</v>
      </c>
      <c r="H428" s="1104"/>
      <c r="I428" s="1104"/>
      <c r="J428" s="1104"/>
      <c r="K428" s="1104"/>
      <c r="L428" s="1104">
        <v>411245</v>
      </c>
      <c r="M428" s="1106">
        <v>411245</v>
      </c>
      <c r="N428" s="1159">
        <v>411245</v>
      </c>
      <c r="O428" s="1104">
        <v>411245</v>
      </c>
      <c r="P428" s="1107">
        <f t="shared" si="10"/>
        <v>411245</v>
      </c>
      <c r="Q428" s="1107">
        <f t="shared" si="10"/>
        <v>411245</v>
      </c>
      <c r="R428" s="1107">
        <f t="shared" si="10"/>
        <v>411245</v>
      </c>
      <c r="S428" s="1107">
        <f t="shared" si="10"/>
        <v>411245</v>
      </c>
    </row>
    <row r="429" spans="1:19">
      <c r="A429" s="1015">
        <v>336</v>
      </c>
      <c r="B429" s="1015" t="s">
        <v>8162</v>
      </c>
      <c r="C429" s="1103" t="s">
        <v>7703</v>
      </c>
      <c r="D429" s="1015"/>
      <c r="E429" s="1104" t="s">
        <v>7446</v>
      </c>
      <c r="F429" s="1105"/>
      <c r="G429" s="1104">
        <v>721153</v>
      </c>
      <c r="H429" s="1104"/>
      <c r="I429" s="1104"/>
      <c r="J429" s="1104"/>
      <c r="K429" s="1104"/>
      <c r="L429" s="1104">
        <v>542108</v>
      </c>
      <c r="M429" s="1106">
        <v>542108</v>
      </c>
      <c r="N429" s="1159">
        <v>542108</v>
      </c>
      <c r="O429" s="1104">
        <v>542108</v>
      </c>
      <c r="P429" s="1107">
        <f t="shared" si="10"/>
        <v>542108</v>
      </c>
      <c r="Q429" s="1107">
        <f t="shared" si="10"/>
        <v>542108</v>
      </c>
      <c r="R429" s="1107">
        <f t="shared" si="10"/>
        <v>542108</v>
      </c>
      <c r="S429" s="1107">
        <f t="shared" si="10"/>
        <v>542108</v>
      </c>
    </row>
    <row r="430" spans="1:19">
      <c r="A430" s="1015">
        <v>337</v>
      </c>
      <c r="B430" s="1015" t="s">
        <v>8163</v>
      </c>
      <c r="C430" s="1103" t="s">
        <v>7665</v>
      </c>
      <c r="D430" s="1015"/>
      <c r="E430" s="1104" t="s">
        <v>7446</v>
      </c>
      <c r="F430" s="1105"/>
      <c r="G430" s="1104">
        <v>901384</v>
      </c>
      <c r="H430" s="1104"/>
      <c r="I430" s="1104"/>
      <c r="J430" s="1104"/>
      <c r="K430" s="1104"/>
      <c r="L430" s="1104">
        <v>677592</v>
      </c>
      <c r="M430" s="1106">
        <v>677592</v>
      </c>
      <c r="N430" s="1159">
        <v>677592</v>
      </c>
      <c r="O430" s="1104">
        <v>677592</v>
      </c>
      <c r="P430" s="1107">
        <f t="shared" si="10"/>
        <v>677592</v>
      </c>
      <c r="Q430" s="1107">
        <f t="shared" si="10"/>
        <v>677592</v>
      </c>
      <c r="R430" s="1107">
        <f t="shared" si="10"/>
        <v>677592</v>
      </c>
      <c r="S430" s="1107">
        <f t="shared" si="10"/>
        <v>677592</v>
      </c>
    </row>
    <row r="431" spans="1:19">
      <c r="A431" s="1015">
        <v>338</v>
      </c>
      <c r="B431" s="1015" t="s">
        <v>8164</v>
      </c>
      <c r="C431" s="1103" t="s">
        <v>8165</v>
      </c>
      <c r="D431" s="1015"/>
      <c r="E431" s="1104" t="s">
        <v>7446</v>
      </c>
      <c r="F431" s="1105"/>
      <c r="G431" s="1104">
        <v>1207730</v>
      </c>
      <c r="H431" s="1104"/>
      <c r="I431" s="1104"/>
      <c r="J431" s="1104"/>
      <c r="K431" s="1104"/>
      <c r="L431" s="1104">
        <v>891221</v>
      </c>
      <c r="M431" s="1106">
        <v>891221</v>
      </c>
      <c r="N431" s="1159">
        <v>891221</v>
      </c>
      <c r="O431" s="1104">
        <v>891221</v>
      </c>
      <c r="P431" s="1107">
        <f t="shared" si="10"/>
        <v>891221</v>
      </c>
      <c r="Q431" s="1107">
        <f t="shared" si="10"/>
        <v>891221</v>
      </c>
      <c r="R431" s="1107">
        <f t="shared" si="10"/>
        <v>891221</v>
      </c>
      <c r="S431" s="1107">
        <f t="shared" si="10"/>
        <v>891221</v>
      </c>
    </row>
    <row r="432" spans="1:19">
      <c r="A432" s="1015">
        <v>339</v>
      </c>
      <c r="B432" s="1015" t="s">
        <v>8166</v>
      </c>
      <c r="C432" s="1103" t="s">
        <v>8167</v>
      </c>
      <c r="D432" s="1015"/>
      <c r="E432" s="1104" t="s">
        <v>7446</v>
      </c>
      <c r="F432" s="1105"/>
      <c r="G432" s="1104">
        <v>1420866</v>
      </c>
      <c r="H432" s="1104"/>
      <c r="I432" s="1104"/>
      <c r="J432" s="1104"/>
      <c r="K432" s="1104"/>
      <c r="L432" s="1104">
        <v>1048501</v>
      </c>
      <c r="M432" s="1106">
        <v>1048501</v>
      </c>
      <c r="N432" s="1159">
        <v>1048501</v>
      </c>
      <c r="O432" s="1104">
        <v>1048501</v>
      </c>
      <c r="P432" s="1107">
        <f t="shared" si="10"/>
        <v>1048501</v>
      </c>
      <c r="Q432" s="1107">
        <f t="shared" si="10"/>
        <v>1048501</v>
      </c>
      <c r="R432" s="1107">
        <f t="shared" si="10"/>
        <v>1048501</v>
      </c>
      <c r="S432" s="1107">
        <f t="shared" si="10"/>
        <v>1048501</v>
      </c>
    </row>
    <row r="433" spans="1:19">
      <c r="A433" s="1015">
        <v>340</v>
      </c>
      <c r="B433" s="1015" t="s">
        <v>8168</v>
      </c>
      <c r="C433" s="1103" t="s">
        <v>8169</v>
      </c>
      <c r="D433" s="1015"/>
      <c r="E433" s="1104" t="s">
        <v>7446</v>
      </c>
      <c r="F433" s="1105"/>
      <c r="G433" s="1104">
        <v>2012922</v>
      </c>
      <c r="H433" s="1104"/>
      <c r="I433" s="1104"/>
      <c r="J433" s="1104"/>
      <c r="K433" s="1104"/>
      <c r="L433" s="1104">
        <v>1464574</v>
      </c>
      <c r="M433" s="1106">
        <v>1464574</v>
      </c>
      <c r="N433" s="1159">
        <v>1464574</v>
      </c>
      <c r="O433" s="1104">
        <v>1464574</v>
      </c>
      <c r="P433" s="1107">
        <f t="shared" si="10"/>
        <v>1464574</v>
      </c>
      <c r="Q433" s="1107">
        <f t="shared" si="10"/>
        <v>1464574</v>
      </c>
      <c r="R433" s="1107">
        <f t="shared" si="10"/>
        <v>1464574</v>
      </c>
      <c r="S433" s="1107">
        <f t="shared" si="10"/>
        <v>1464574</v>
      </c>
    </row>
    <row r="434" spans="1:19">
      <c r="A434" s="1015">
        <v>341</v>
      </c>
      <c r="B434" s="1015" t="s">
        <v>8170</v>
      </c>
      <c r="C434" s="1103" t="s">
        <v>8171</v>
      </c>
      <c r="D434" s="1015"/>
      <c r="E434" s="1104" t="s">
        <v>7446</v>
      </c>
      <c r="F434" s="1105"/>
      <c r="G434" s="1104">
        <v>2368110</v>
      </c>
      <c r="H434" s="1104"/>
      <c r="I434" s="1104"/>
      <c r="J434" s="1104"/>
      <c r="K434" s="1104"/>
      <c r="L434" s="1104">
        <v>1723004</v>
      </c>
      <c r="M434" s="1106">
        <v>1723004</v>
      </c>
      <c r="N434" s="1159">
        <v>1723004</v>
      </c>
      <c r="O434" s="1104">
        <v>1723004</v>
      </c>
      <c r="P434" s="1107">
        <f t="shared" si="10"/>
        <v>1723004</v>
      </c>
      <c r="Q434" s="1107">
        <f t="shared" si="10"/>
        <v>1723004</v>
      </c>
      <c r="R434" s="1107">
        <f t="shared" si="10"/>
        <v>1723004</v>
      </c>
      <c r="S434" s="1107">
        <f t="shared" si="10"/>
        <v>1723004</v>
      </c>
    </row>
    <row r="435" spans="1:19">
      <c r="A435" s="1015"/>
      <c r="B435" s="1102" t="s">
        <v>8172</v>
      </c>
      <c r="C435" s="1099" t="s">
        <v>8173</v>
      </c>
      <c r="D435" s="1015"/>
      <c r="E435" s="1104" t="s">
        <v>7446</v>
      </c>
      <c r="F435" s="1105"/>
      <c r="G435" s="1104"/>
      <c r="H435" s="1104"/>
      <c r="I435" s="1104"/>
      <c r="J435" s="1104"/>
      <c r="K435" s="1104"/>
      <c r="L435" s="1104"/>
      <c r="M435" s="1106"/>
      <c r="N435" s="1159"/>
      <c r="O435" s="1104"/>
      <c r="P435" s="1107">
        <f t="shared" si="10"/>
        <v>0</v>
      </c>
      <c r="Q435" s="1107">
        <f t="shared" si="10"/>
        <v>0</v>
      </c>
      <c r="R435" s="1107">
        <f t="shared" si="10"/>
        <v>0</v>
      </c>
      <c r="S435" s="1107">
        <f t="shared" si="10"/>
        <v>0</v>
      </c>
    </row>
    <row r="436" spans="1:19">
      <c r="A436" s="1015">
        <v>342</v>
      </c>
      <c r="B436" s="1015" t="s">
        <v>8174</v>
      </c>
      <c r="C436" s="1103" t="s">
        <v>7600</v>
      </c>
      <c r="D436" s="1015"/>
      <c r="E436" s="1104" t="s">
        <v>7446</v>
      </c>
      <c r="F436" s="1105"/>
      <c r="G436" s="1104">
        <v>121530</v>
      </c>
      <c r="H436" s="1104"/>
      <c r="I436" s="1104"/>
      <c r="J436" s="1104"/>
      <c r="K436" s="1104"/>
      <c r="L436" s="1104">
        <v>115189</v>
      </c>
      <c r="M436" s="1106">
        <v>115189</v>
      </c>
      <c r="N436" s="1159">
        <v>115189</v>
      </c>
      <c r="O436" s="1104">
        <v>115189</v>
      </c>
      <c r="P436" s="1107">
        <f t="shared" si="10"/>
        <v>115189</v>
      </c>
      <c r="Q436" s="1107">
        <f t="shared" si="10"/>
        <v>115189</v>
      </c>
      <c r="R436" s="1107">
        <f t="shared" si="10"/>
        <v>115189</v>
      </c>
      <c r="S436" s="1107">
        <f t="shared" si="10"/>
        <v>115189</v>
      </c>
    </row>
    <row r="437" spans="1:19">
      <c r="A437" s="1015">
        <v>343</v>
      </c>
      <c r="B437" s="1015" t="s">
        <v>8175</v>
      </c>
      <c r="C437" s="1103" t="s">
        <v>7703</v>
      </c>
      <c r="D437" s="1015"/>
      <c r="E437" s="1104" t="s">
        <v>7446</v>
      </c>
      <c r="F437" s="1105"/>
      <c r="G437" s="1104">
        <v>211645</v>
      </c>
      <c r="H437" s="1104"/>
      <c r="I437" s="1104"/>
      <c r="J437" s="1104"/>
      <c r="K437" s="1104"/>
      <c r="L437" s="1104">
        <v>200603</v>
      </c>
      <c r="M437" s="1106">
        <v>200603</v>
      </c>
      <c r="N437" s="1159">
        <v>200603</v>
      </c>
      <c r="O437" s="1104">
        <v>200603</v>
      </c>
      <c r="P437" s="1107">
        <f t="shared" si="10"/>
        <v>200603</v>
      </c>
      <c r="Q437" s="1107">
        <f t="shared" si="10"/>
        <v>200603</v>
      </c>
      <c r="R437" s="1107">
        <f t="shared" si="10"/>
        <v>200603</v>
      </c>
      <c r="S437" s="1107">
        <f t="shared" si="10"/>
        <v>200603</v>
      </c>
    </row>
    <row r="438" spans="1:19">
      <c r="A438" s="1015">
        <v>344</v>
      </c>
      <c r="B438" s="1015" t="s">
        <v>8176</v>
      </c>
      <c r="C438" s="1103" t="s">
        <v>7665</v>
      </c>
      <c r="D438" s="1015"/>
      <c r="E438" s="1104" t="s">
        <v>7446</v>
      </c>
      <c r="F438" s="1105"/>
      <c r="G438" s="1104">
        <v>222193</v>
      </c>
      <c r="H438" s="1104"/>
      <c r="I438" s="1104"/>
      <c r="J438" s="1104"/>
      <c r="K438" s="1104"/>
      <c r="L438" s="1104">
        <v>210600</v>
      </c>
      <c r="M438" s="1106">
        <v>210600</v>
      </c>
      <c r="N438" s="1159">
        <v>210600</v>
      </c>
      <c r="O438" s="1104">
        <v>210600</v>
      </c>
      <c r="P438" s="1107">
        <f t="shared" si="10"/>
        <v>210600</v>
      </c>
      <c r="Q438" s="1107">
        <f t="shared" si="10"/>
        <v>210600</v>
      </c>
      <c r="R438" s="1107">
        <f t="shared" si="10"/>
        <v>210600</v>
      </c>
      <c r="S438" s="1107">
        <f t="shared" si="10"/>
        <v>210600</v>
      </c>
    </row>
    <row r="439" spans="1:19">
      <c r="A439" s="1015">
        <v>345</v>
      </c>
      <c r="B439" s="1102" t="s">
        <v>8177</v>
      </c>
      <c r="C439" s="1099" t="s">
        <v>8178</v>
      </c>
      <c r="D439" s="1015"/>
      <c r="E439" s="1104" t="s">
        <v>7446</v>
      </c>
      <c r="F439" s="1105"/>
      <c r="G439" s="1104">
        <v>343952</v>
      </c>
      <c r="H439" s="1104"/>
      <c r="I439" s="1104"/>
      <c r="J439" s="1104"/>
      <c r="K439" s="1104"/>
      <c r="L439" s="1104">
        <v>342457</v>
      </c>
      <c r="M439" s="1106">
        <v>342457</v>
      </c>
      <c r="N439" s="1159">
        <v>342457</v>
      </c>
      <c r="O439" s="1104">
        <v>342457</v>
      </c>
      <c r="P439" s="1107">
        <f t="shared" si="10"/>
        <v>342457</v>
      </c>
      <c r="Q439" s="1107">
        <f t="shared" si="10"/>
        <v>342457</v>
      </c>
      <c r="R439" s="1107">
        <f t="shared" si="10"/>
        <v>342457</v>
      </c>
      <c r="S439" s="1107">
        <f t="shared" si="10"/>
        <v>342457</v>
      </c>
    </row>
    <row r="440" spans="1:19">
      <c r="A440" s="1015"/>
      <c r="B440" s="1102" t="s">
        <v>8179</v>
      </c>
      <c r="C440" s="1099" t="s">
        <v>8180</v>
      </c>
      <c r="D440" s="1015"/>
      <c r="E440" s="1104" t="s">
        <v>7446</v>
      </c>
      <c r="F440" s="1105"/>
      <c r="G440" s="1104"/>
      <c r="H440" s="1104"/>
      <c r="I440" s="1104"/>
      <c r="J440" s="1104"/>
      <c r="K440" s="1104"/>
      <c r="L440" s="1104"/>
      <c r="M440" s="1106"/>
      <c r="N440" s="1159"/>
      <c r="O440" s="1104"/>
      <c r="P440" s="1107">
        <f t="shared" si="10"/>
        <v>0</v>
      </c>
      <c r="Q440" s="1107">
        <f t="shared" si="10"/>
        <v>0</v>
      </c>
      <c r="R440" s="1107">
        <f t="shared" si="10"/>
        <v>0</v>
      </c>
      <c r="S440" s="1107">
        <f t="shared" si="10"/>
        <v>0</v>
      </c>
    </row>
    <row r="441" spans="1:19">
      <c r="A441" s="1015">
        <v>346</v>
      </c>
      <c r="B441" s="1015" t="s">
        <v>8181</v>
      </c>
      <c r="C441" s="1103" t="s">
        <v>7559</v>
      </c>
      <c r="D441" s="1015" t="s">
        <v>7424</v>
      </c>
      <c r="E441" s="1104">
        <v>660024</v>
      </c>
      <c r="F441" s="1105" t="s">
        <v>8182</v>
      </c>
      <c r="G441" s="1104">
        <v>258000</v>
      </c>
      <c r="H441" s="1104">
        <v>360893</v>
      </c>
      <c r="I441" s="1104">
        <v>320117</v>
      </c>
      <c r="J441" s="1104">
        <v>280049</v>
      </c>
      <c r="K441" s="1104">
        <v>461942</v>
      </c>
      <c r="L441" s="1104">
        <v>1257604</v>
      </c>
      <c r="M441" s="1106">
        <v>1216828</v>
      </c>
      <c r="N441" s="1159">
        <v>1176760</v>
      </c>
      <c r="O441" s="1104">
        <v>1358653</v>
      </c>
      <c r="P441" s="1107">
        <f t="shared" si="10"/>
        <v>1618497</v>
      </c>
      <c r="Q441" s="1107">
        <f t="shared" si="10"/>
        <v>1536945</v>
      </c>
      <c r="R441" s="1107">
        <f t="shared" si="10"/>
        <v>1456809</v>
      </c>
      <c r="S441" s="1107">
        <f t="shared" si="10"/>
        <v>1820595</v>
      </c>
    </row>
    <row r="442" spans="1:19">
      <c r="A442" s="1015">
        <v>347</v>
      </c>
      <c r="B442" s="1015" t="s">
        <v>8183</v>
      </c>
      <c r="C442" s="1103" t="s">
        <v>7567</v>
      </c>
      <c r="D442" s="1015" t="s">
        <v>7424</v>
      </c>
      <c r="E442" s="1104">
        <v>1965071</v>
      </c>
      <c r="F442" s="1105" t="s">
        <v>8184</v>
      </c>
      <c r="G442" s="1104">
        <v>887000</v>
      </c>
      <c r="H442" s="1104">
        <v>761247</v>
      </c>
      <c r="I442" s="1104">
        <v>675235</v>
      </c>
      <c r="J442" s="1104">
        <v>590726</v>
      </c>
      <c r="K442" s="1104">
        <v>974395</v>
      </c>
      <c r="L442" s="1104">
        <v>3540045</v>
      </c>
      <c r="M442" s="1106">
        <v>3454033</v>
      </c>
      <c r="N442" s="1159">
        <v>3369524</v>
      </c>
      <c r="O442" s="1104">
        <v>3753193</v>
      </c>
      <c r="P442" s="1107">
        <f t="shared" si="10"/>
        <v>4301292</v>
      </c>
      <c r="Q442" s="1107">
        <f t="shared" si="10"/>
        <v>4129268</v>
      </c>
      <c r="R442" s="1107">
        <f t="shared" si="10"/>
        <v>3960250</v>
      </c>
      <c r="S442" s="1107">
        <f t="shared" si="10"/>
        <v>4727588</v>
      </c>
    </row>
    <row r="443" spans="1:19">
      <c r="A443" s="1015"/>
      <c r="B443" s="1102" t="s">
        <v>8185</v>
      </c>
      <c r="C443" s="1099" t="s">
        <v>8186</v>
      </c>
      <c r="D443" s="1015"/>
      <c r="E443" s="1104" t="s">
        <v>7446</v>
      </c>
      <c r="F443" s="1105"/>
      <c r="G443" s="1104"/>
      <c r="H443" s="1104"/>
      <c r="I443" s="1104"/>
      <c r="J443" s="1104"/>
      <c r="K443" s="1104"/>
      <c r="L443" s="1104"/>
      <c r="M443" s="1106"/>
      <c r="N443" s="1159"/>
      <c r="O443" s="1104"/>
      <c r="P443" s="1107">
        <f t="shared" si="10"/>
        <v>0</v>
      </c>
      <c r="Q443" s="1107">
        <f t="shared" si="10"/>
        <v>0</v>
      </c>
      <c r="R443" s="1107">
        <f t="shared" si="10"/>
        <v>0</v>
      </c>
      <c r="S443" s="1107">
        <f t="shared" si="10"/>
        <v>0</v>
      </c>
    </row>
    <row r="444" spans="1:19">
      <c r="A444" s="1015">
        <v>348</v>
      </c>
      <c r="B444" s="1015" t="s">
        <v>8187</v>
      </c>
      <c r="C444" s="1103" t="s">
        <v>8188</v>
      </c>
      <c r="D444" s="1015" t="s">
        <v>7424</v>
      </c>
      <c r="E444" s="1104">
        <v>45002</v>
      </c>
      <c r="F444" s="1105" t="s">
        <v>8182</v>
      </c>
      <c r="G444" s="1104">
        <v>94701</v>
      </c>
      <c r="H444" s="1104">
        <v>360893</v>
      </c>
      <c r="I444" s="1104">
        <v>320117</v>
      </c>
      <c r="J444" s="1104">
        <v>280049</v>
      </c>
      <c r="K444" s="1104">
        <v>461942</v>
      </c>
      <c r="L444" s="1104">
        <v>488940</v>
      </c>
      <c r="M444" s="1106">
        <v>448164</v>
      </c>
      <c r="N444" s="1159">
        <v>408096</v>
      </c>
      <c r="O444" s="1104">
        <v>589989</v>
      </c>
      <c r="P444" s="1107">
        <f t="shared" si="10"/>
        <v>849833</v>
      </c>
      <c r="Q444" s="1107">
        <f t="shared" si="10"/>
        <v>768281</v>
      </c>
      <c r="R444" s="1107">
        <f t="shared" si="10"/>
        <v>688145</v>
      </c>
      <c r="S444" s="1107">
        <f t="shared" si="10"/>
        <v>1051931</v>
      </c>
    </row>
    <row r="445" spans="1:19">
      <c r="A445" s="1015">
        <v>349</v>
      </c>
      <c r="B445" s="1015" t="s">
        <v>8189</v>
      </c>
      <c r="C445" s="1103" t="s">
        <v>8190</v>
      </c>
      <c r="D445" s="1015" t="s">
        <v>7424</v>
      </c>
      <c r="E445" s="1104">
        <v>75003</v>
      </c>
      <c r="F445" s="1105" t="s">
        <v>8182</v>
      </c>
      <c r="G445" s="1104">
        <v>103988</v>
      </c>
      <c r="H445" s="1104">
        <v>360893</v>
      </c>
      <c r="I445" s="1104">
        <v>320117</v>
      </c>
      <c r="J445" s="1104">
        <v>280049</v>
      </c>
      <c r="K445" s="1104">
        <v>461942</v>
      </c>
      <c r="L445" s="1104">
        <v>527085</v>
      </c>
      <c r="M445" s="1106">
        <v>486309</v>
      </c>
      <c r="N445" s="1159">
        <v>446241</v>
      </c>
      <c r="O445" s="1104">
        <v>628134</v>
      </c>
      <c r="P445" s="1107">
        <f t="shared" si="10"/>
        <v>887978</v>
      </c>
      <c r="Q445" s="1107">
        <f t="shared" si="10"/>
        <v>806426</v>
      </c>
      <c r="R445" s="1107">
        <f t="shared" si="10"/>
        <v>726290</v>
      </c>
      <c r="S445" s="1107">
        <f t="shared" si="10"/>
        <v>1090076</v>
      </c>
    </row>
    <row r="446" spans="1:19">
      <c r="A446" s="1015">
        <v>350</v>
      </c>
      <c r="B446" s="1015" t="s">
        <v>8191</v>
      </c>
      <c r="C446" s="1103" t="s">
        <v>8192</v>
      </c>
      <c r="D446" s="1015" t="s">
        <v>7424</v>
      </c>
      <c r="E446" s="1104">
        <v>90003</v>
      </c>
      <c r="F446" s="1105" t="s">
        <v>8182</v>
      </c>
      <c r="G446" s="1104">
        <v>112816</v>
      </c>
      <c r="H446" s="1104">
        <v>360893</v>
      </c>
      <c r="I446" s="1104">
        <v>320117</v>
      </c>
      <c r="J446" s="1104">
        <v>280049</v>
      </c>
      <c r="K446" s="1104">
        <v>461942</v>
      </c>
      <c r="L446" s="1104">
        <v>547224</v>
      </c>
      <c r="M446" s="1106">
        <v>506448</v>
      </c>
      <c r="N446" s="1159">
        <v>466380</v>
      </c>
      <c r="O446" s="1104">
        <v>648273</v>
      </c>
      <c r="P446" s="1107">
        <f t="shared" si="10"/>
        <v>908117</v>
      </c>
      <c r="Q446" s="1107">
        <f t="shared" si="10"/>
        <v>826565</v>
      </c>
      <c r="R446" s="1107">
        <f t="shared" si="10"/>
        <v>746429</v>
      </c>
      <c r="S446" s="1107">
        <f t="shared" si="10"/>
        <v>1110215</v>
      </c>
    </row>
    <row r="447" spans="1:19">
      <c r="A447" s="1015">
        <v>351</v>
      </c>
      <c r="B447" s="1015" t="s">
        <v>8193</v>
      </c>
      <c r="C447" s="1103" t="s">
        <v>8194</v>
      </c>
      <c r="D447" s="1015" t="s">
        <v>7424</v>
      </c>
      <c r="E447" s="1104">
        <v>150005</v>
      </c>
      <c r="F447" s="1105" t="s">
        <v>8195</v>
      </c>
      <c r="G447" s="1104">
        <v>144918</v>
      </c>
      <c r="H447" s="1104">
        <v>708893</v>
      </c>
      <c r="I447" s="1104">
        <v>628797</v>
      </c>
      <c r="J447" s="1104">
        <v>550099</v>
      </c>
      <c r="K447" s="1104">
        <v>907382</v>
      </c>
      <c r="L447" s="1104">
        <v>982636</v>
      </c>
      <c r="M447" s="1106">
        <v>902540</v>
      </c>
      <c r="N447" s="1159">
        <v>823842</v>
      </c>
      <c r="O447" s="1104">
        <v>1181125</v>
      </c>
      <c r="P447" s="1107">
        <f t="shared" si="10"/>
        <v>1691529</v>
      </c>
      <c r="Q447" s="1107">
        <f t="shared" si="10"/>
        <v>1531337</v>
      </c>
      <c r="R447" s="1107">
        <f t="shared" si="10"/>
        <v>1373941</v>
      </c>
      <c r="S447" s="1107">
        <f t="shared" si="10"/>
        <v>2088507</v>
      </c>
    </row>
    <row r="448" spans="1:19">
      <c r="A448" s="1015">
        <v>352</v>
      </c>
      <c r="B448" s="1015" t="s">
        <v>8196</v>
      </c>
      <c r="C448" s="1103" t="s">
        <v>7472</v>
      </c>
      <c r="D448" s="1015" t="s">
        <v>7424</v>
      </c>
      <c r="E448" s="1104">
        <v>210008</v>
      </c>
      <c r="F448" s="1105" t="s">
        <v>8195</v>
      </c>
      <c r="G448" s="1104">
        <v>207403</v>
      </c>
      <c r="H448" s="1104">
        <v>708893</v>
      </c>
      <c r="I448" s="1104">
        <v>628797</v>
      </c>
      <c r="J448" s="1104">
        <v>550099</v>
      </c>
      <c r="K448" s="1104">
        <v>907382</v>
      </c>
      <c r="L448" s="1104">
        <v>1082430</v>
      </c>
      <c r="M448" s="1106">
        <v>1002334</v>
      </c>
      <c r="N448" s="1159">
        <v>923636</v>
      </c>
      <c r="O448" s="1104">
        <v>1280919</v>
      </c>
      <c r="P448" s="1107">
        <f t="shared" si="10"/>
        <v>1791323</v>
      </c>
      <c r="Q448" s="1107">
        <f t="shared" si="10"/>
        <v>1631131</v>
      </c>
      <c r="R448" s="1107">
        <f t="shared" si="10"/>
        <v>1473735</v>
      </c>
      <c r="S448" s="1107">
        <f t="shared" si="10"/>
        <v>2188301</v>
      </c>
    </row>
    <row r="449" spans="1:19">
      <c r="A449" s="1015">
        <v>353</v>
      </c>
      <c r="B449" s="1015" t="s">
        <v>8197</v>
      </c>
      <c r="C449" s="1103" t="s">
        <v>8198</v>
      </c>
      <c r="D449" s="1015" t="s">
        <v>7424</v>
      </c>
      <c r="E449" s="1104">
        <v>28501</v>
      </c>
      <c r="F449" s="1105" t="s">
        <v>8195</v>
      </c>
      <c r="G449" s="1104">
        <v>278115</v>
      </c>
      <c r="H449" s="1104">
        <v>708893</v>
      </c>
      <c r="I449" s="1104">
        <v>628797</v>
      </c>
      <c r="J449" s="1104">
        <v>550099</v>
      </c>
      <c r="K449" s="1104">
        <v>907382</v>
      </c>
      <c r="L449" s="1104">
        <v>1213186</v>
      </c>
      <c r="M449" s="1106">
        <v>1133090</v>
      </c>
      <c r="N449" s="1159">
        <v>1054392</v>
      </c>
      <c r="O449" s="1104">
        <v>1411675</v>
      </c>
      <c r="P449" s="1107">
        <f t="shared" si="10"/>
        <v>1922079</v>
      </c>
      <c r="Q449" s="1107">
        <f t="shared" si="10"/>
        <v>1761887</v>
      </c>
      <c r="R449" s="1107">
        <f t="shared" si="10"/>
        <v>1604491</v>
      </c>
      <c r="S449" s="1107">
        <f t="shared" si="10"/>
        <v>2319057</v>
      </c>
    </row>
    <row r="450" spans="1:19">
      <c r="A450" s="1015">
        <v>354</v>
      </c>
      <c r="B450" s="1015" t="s">
        <v>8199</v>
      </c>
      <c r="C450" s="1103" t="s">
        <v>8004</v>
      </c>
      <c r="D450" s="1015" t="s">
        <v>7424</v>
      </c>
      <c r="E450" s="1104">
        <v>345013</v>
      </c>
      <c r="F450" s="1105" t="s">
        <v>8200</v>
      </c>
      <c r="G450" s="1104">
        <v>364360</v>
      </c>
      <c r="H450" s="1104">
        <v>1063340</v>
      </c>
      <c r="I450" s="1104">
        <v>943195</v>
      </c>
      <c r="J450" s="1104">
        <v>825147</v>
      </c>
      <c r="K450" s="1104">
        <v>1361071</v>
      </c>
      <c r="L450" s="1104">
        <v>1695636</v>
      </c>
      <c r="M450" s="1106">
        <v>1575491</v>
      </c>
      <c r="N450" s="1159">
        <v>1457443</v>
      </c>
      <c r="O450" s="1104">
        <v>1993367</v>
      </c>
      <c r="P450" s="1107">
        <f t="shared" si="10"/>
        <v>2758976</v>
      </c>
      <c r="Q450" s="1107">
        <f t="shared" si="10"/>
        <v>2518686</v>
      </c>
      <c r="R450" s="1107">
        <f t="shared" si="10"/>
        <v>2282590</v>
      </c>
      <c r="S450" s="1107">
        <f t="shared" si="10"/>
        <v>3354438</v>
      </c>
    </row>
    <row r="451" spans="1:19">
      <c r="A451" s="1015"/>
      <c r="B451" s="1102" t="s">
        <v>8201</v>
      </c>
      <c r="C451" s="1099" t="s">
        <v>8202</v>
      </c>
      <c r="D451" s="1015"/>
      <c r="E451" s="1104" t="s">
        <v>7446</v>
      </c>
      <c r="F451" s="1105"/>
      <c r="G451" s="1104"/>
      <c r="H451" s="1104"/>
      <c r="I451" s="1104"/>
      <c r="J451" s="1104"/>
      <c r="K451" s="1104"/>
      <c r="L451" s="1104"/>
      <c r="M451" s="1106"/>
      <c r="N451" s="1159"/>
      <c r="O451" s="1104"/>
      <c r="P451" s="1107">
        <f t="shared" si="10"/>
        <v>0</v>
      </c>
      <c r="Q451" s="1107">
        <f t="shared" si="10"/>
        <v>0</v>
      </c>
      <c r="R451" s="1107">
        <f t="shared" si="10"/>
        <v>0</v>
      </c>
      <c r="S451" s="1107">
        <f t="shared" si="10"/>
        <v>0</v>
      </c>
    </row>
    <row r="452" spans="1:19">
      <c r="A452" s="1015">
        <v>355</v>
      </c>
      <c r="B452" s="1015" t="s">
        <v>8203</v>
      </c>
      <c r="C452" s="1103" t="s">
        <v>7472</v>
      </c>
      <c r="D452" s="1015" t="s">
        <v>7424</v>
      </c>
      <c r="E452" s="1104">
        <v>1020037</v>
      </c>
      <c r="F452" s="1105" t="s">
        <v>8204</v>
      </c>
      <c r="G452" s="1104">
        <v>258000</v>
      </c>
      <c r="H452" s="1104">
        <v>2153247</v>
      </c>
      <c r="I452" s="1104">
        <v>1909955</v>
      </c>
      <c r="J452" s="1104">
        <v>1670926</v>
      </c>
      <c r="K452" s="1104">
        <v>2756155</v>
      </c>
      <c r="L452" s="1104">
        <v>3369265</v>
      </c>
      <c r="M452" s="1106">
        <v>3125973</v>
      </c>
      <c r="N452" s="1159">
        <v>2886944</v>
      </c>
      <c r="O452" s="1104">
        <v>3972173</v>
      </c>
      <c r="P452" s="1107">
        <f t="shared" si="10"/>
        <v>5522512</v>
      </c>
      <c r="Q452" s="1107">
        <f t="shared" si="10"/>
        <v>5035928</v>
      </c>
      <c r="R452" s="1107">
        <f t="shared" si="10"/>
        <v>4557870</v>
      </c>
      <c r="S452" s="1107">
        <f t="shared" si="10"/>
        <v>6728328</v>
      </c>
    </row>
    <row r="453" spans="1:19">
      <c r="A453" s="1015">
        <v>356</v>
      </c>
      <c r="B453" s="1015" t="s">
        <v>8205</v>
      </c>
      <c r="C453" s="1103" t="s">
        <v>8004</v>
      </c>
      <c r="D453" s="1015" t="s">
        <v>7424</v>
      </c>
      <c r="E453" s="1104">
        <v>1425052</v>
      </c>
      <c r="F453" s="1105" t="s">
        <v>8206</v>
      </c>
      <c r="G453" s="1104">
        <v>612500</v>
      </c>
      <c r="H453" s="1104">
        <v>2588148</v>
      </c>
      <c r="I453" s="1104">
        <v>2295717</v>
      </c>
      <c r="J453" s="1104">
        <v>2008403</v>
      </c>
      <c r="K453" s="1104">
        <v>3312823</v>
      </c>
      <c r="L453" s="1104">
        <v>4473753</v>
      </c>
      <c r="M453" s="1106">
        <v>4181322</v>
      </c>
      <c r="N453" s="1159">
        <v>3894008</v>
      </c>
      <c r="O453" s="1104">
        <v>5198428</v>
      </c>
      <c r="P453" s="1107">
        <f t="shared" si="10"/>
        <v>7061901</v>
      </c>
      <c r="Q453" s="1107">
        <f t="shared" si="10"/>
        <v>6477039</v>
      </c>
      <c r="R453" s="1107">
        <f t="shared" si="10"/>
        <v>5902411</v>
      </c>
      <c r="S453" s="1107">
        <f t="shared" si="10"/>
        <v>8511251</v>
      </c>
    </row>
    <row r="454" spans="1:19">
      <c r="A454" s="1015">
        <v>357</v>
      </c>
      <c r="B454" s="1015" t="s">
        <v>8207</v>
      </c>
      <c r="C454" s="1103" t="s">
        <v>8208</v>
      </c>
      <c r="D454" s="1015" t="s">
        <v>7424</v>
      </c>
      <c r="E454" s="1104">
        <v>2220081</v>
      </c>
      <c r="F454" s="1105" t="s">
        <v>8206</v>
      </c>
      <c r="G454" s="1104">
        <v>787238</v>
      </c>
      <c r="H454" s="1104">
        <v>2690760</v>
      </c>
      <c r="I454" s="1104">
        <v>2386723</v>
      </c>
      <c r="J454" s="1104">
        <v>2088032</v>
      </c>
      <c r="K454" s="1104">
        <v>3444176</v>
      </c>
      <c r="L454" s="1104">
        <v>5502783</v>
      </c>
      <c r="M454" s="1106">
        <v>5198746</v>
      </c>
      <c r="N454" s="1159">
        <v>4900055</v>
      </c>
      <c r="O454" s="1104">
        <v>6256199</v>
      </c>
      <c r="P454" s="1107">
        <f t="shared" si="10"/>
        <v>8193543</v>
      </c>
      <c r="Q454" s="1107">
        <f t="shared" si="10"/>
        <v>7585469</v>
      </c>
      <c r="R454" s="1107">
        <f t="shared" si="10"/>
        <v>6988087</v>
      </c>
      <c r="S454" s="1107">
        <f t="shared" si="10"/>
        <v>9700375</v>
      </c>
    </row>
    <row r="455" spans="1:19">
      <c r="A455" s="1015">
        <v>358</v>
      </c>
      <c r="B455" s="1015" t="s">
        <v>8209</v>
      </c>
      <c r="C455" s="1103" t="s">
        <v>8012</v>
      </c>
      <c r="D455" s="1015" t="s">
        <v>7424</v>
      </c>
      <c r="E455" s="1104">
        <v>3030110</v>
      </c>
      <c r="F455" s="1105" t="s">
        <v>8206</v>
      </c>
      <c r="G455" s="1104">
        <v>887000</v>
      </c>
      <c r="H455" s="1104">
        <v>2690760</v>
      </c>
      <c r="I455" s="1104">
        <v>2386723</v>
      </c>
      <c r="J455" s="1104">
        <v>2088032</v>
      </c>
      <c r="K455" s="1104">
        <v>3444176</v>
      </c>
      <c r="L455" s="1104">
        <v>6387826</v>
      </c>
      <c r="M455" s="1106">
        <v>6083789</v>
      </c>
      <c r="N455" s="1159">
        <v>5785098</v>
      </c>
      <c r="O455" s="1104">
        <v>7141242</v>
      </c>
      <c r="P455" s="1107">
        <f t="shared" si="10"/>
        <v>9078586</v>
      </c>
      <c r="Q455" s="1107">
        <f t="shared" si="10"/>
        <v>8470512</v>
      </c>
      <c r="R455" s="1107">
        <f t="shared" si="10"/>
        <v>7873130</v>
      </c>
      <c r="S455" s="1107">
        <f t="shared" si="10"/>
        <v>10585418</v>
      </c>
    </row>
    <row r="456" spans="1:19">
      <c r="A456" s="1015">
        <v>359</v>
      </c>
      <c r="B456" s="1015" t="s">
        <v>8210</v>
      </c>
      <c r="C456" s="1103" t="s">
        <v>8211</v>
      </c>
      <c r="D456" s="1015" t="s">
        <v>7424</v>
      </c>
      <c r="E456" s="1104">
        <v>4725172</v>
      </c>
      <c r="F456" s="1105" t="s">
        <v>8212</v>
      </c>
      <c r="G456" s="1104">
        <v>1318800</v>
      </c>
      <c r="H456" s="1104">
        <v>4042637</v>
      </c>
      <c r="I456" s="1104">
        <v>3585853</v>
      </c>
      <c r="J456" s="1104">
        <v>3137095</v>
      </c>
      <c r="K456" s="1104">
        <v>5174578</v>
      </c>
      <c r="L456" s="1104">
        <v>9718867</v>
      </c>
      <c r="M456" s="1106">
        <v>9262083</v>
      </c>
      <c r="N456" s="1159">
        <v>8813325</v>
      </c>
      <c r="O456" s="1104">
        <v>10850808</v>
      </c>
      <c r="P456" s="1107">
        <f t="shared" si="10"/>
        <v>13761504</v>
      </c>
      <c r="Q456" s="1107">
        <f t="shared" si="10"/>
        <v>12847936</v>
      </c>
      <c r="R456" s="1107">
        <f t="shared" si="10"/>
        <v>11950420</v>
      </c>
      <c r="S456" s="1107">
        <f t="shared" si="10"/>
        <v>16025386</v>
      </c>
    </row>
    <row r="457" spans="1:19">
      <c r="A457" s="1015">
        <v>360</v>
      </c>
      <c r="B457" s="1015" t="s">
        <v>8213</v>
      </c>
      <c r="C457" s="1103" t="s">
        <v>8214</v>
      </c>
      <c r="D457" s="1015" t="s">
        <v>7424</v>
      </c>
      <c r="E457" s="1104">
        <v>10710389</v>
      </c>
      <c r="F457" s="1105" t="s">
        <v>8215</v>
      </c>
      <c r="G457" s="1104">
        <v>9851500</v>
      </c>
      <c r="H457" s="1104">
        <v>4253512</v>
      </c>
      <c r="I457" s="1104">
        <v>3772891</v>
      </c>
      <c r="J457" s="1104">
        <v>3300743</v>
      </c>
      <c r="K457" s="1104">
        <v>5212770</v>
      </c>
      <c r="L457" s="1104">
        <v>21659273</v>
      </c>
      <c r="M457" s="1106">
        <v>21178652</v>
      </c>
      <c r="N457" s="1159">
        <v>20706504</v>
      </c>
      <c r="O457" s="1104">
        <v>22618531</v>
      </c>
      <c r="P457" s="1107">
        <f t="shared" si="10"/>
        <v>25912785</v>
      </c>
      <c r="Q457" s="1107">
        <f t="shared" si="10"/>
        <v>24951543</v>
      </c>
      <c r="R457" s="1107">
        <f t="shared" si="10"/>
        <v>24007247</v>
      </c>
      <c r="S457" s="1107">
        <f t="shared" ref="S457:S520" si="11">K457+O457</f>
        <v>27831301</v>
      </c>
    </row>
    <row r="458" spans="1:19">
      <c r="A458" s="1015"/>
      <c r="B458" s="1102" t="s">
        <v>8216</v>
      </c>
      <c r="C458" s="1099" t="s">
        <v>8217</v>
      </c>
      <c r="D458" s="1015"/>
      <c r="E458" s="1104" t="s">
        <v>7446</v>
      </c>
      <c r="F458" s="1105"/>
      <c r="G458" s="1104"/>
      <c r="H458" s="1104"/>
      <c r="I458" s="1104"/>
      <c r="J458" s="1104"/>
      <c r="K458" s="1104"/>
      <c r="L458" s="1104"/>
      <c r="M458" s="1106"/>
      <c r="N458" s="1159"/>
      <c r="O458" s="1104"/>
      <c r="P458" s="1107">
        <f t="shared" ref="P458:S521" si="12">H458+L458</f>
        <v>0</v>
      </c>
      <c r="Q458" s="1107">
        <f t="shared" si="12"/>
        <v>0</v>
      </c>
      <c r="R458" s="1107">
        <f t="shared" si="12"/>
        <v>0</v>
      </c>
      <c r="S458" s="1107">
        <f t="shared" si="11"/>
        <v>0</v>
      </c>
    </row>
    <row r="459" spans="1:19">
      <c r="A459" s="1015">
        <v>361</v>
      </c>
      <c r="B459" s="1015" t="s">
        <v>8218</v>
      </c>
      <c r="C459" s="1103" t="s">
        <v>8219</v>
      </c>
      <c r="D459" s="1015" t="s">
        <v>7424</v>
      </c>
      <c r="E459" s="1104">
        <v>7800284</v>
      </c>
      <c r="F459" s="1105" t="s">
        <v>8220</v>
      </c>
      <c r="G459" s="1104">
        <v>11237300</v>
      </c>
      <c r="H459" s="1104">
        <v>7004332</v>
      </c>
      <c r="I459" s="1104">
        <v>6212864</v>
      </c>
      <c r="J459" s="1104">
        <v>5435398</v>
      </c>
      <c r="K459" s="1104">
        <v>8567949</v>
      </c>
      <c r="L459" s="1104">
        <v>21546996</v>
      </c>
      <c r="M459" s="1106">
        <v>20755528</v>
      </c>
      <c r="N459" s="1159">
        <v>19978062</v>
      </c>
      <c r="O459" s="1104">
        <v>23110613</v>
      </c>
      <c r="P459" s="1107">
        <f t="shared" si="12"/>
        <v>28551328</v>
      </c>
      <c r="Q459" s="1107">
        <f t="shared" si="12"/>
        <v>26968392</v>
      </c>
      <c r="R459" s="1107">
        <f t="shared" si="12"/>
        <v>25413460</v>
      </c>
      <c r="S459" s="1107">
        <f t="shared" si="11"/>
        <v>31678562</v>
      </c>
    </row>
    <row r="460" spans="1:19">
      <c r="A460" s="1015"/>
      <c r="B460" s="1102" t="s">
        <v>8221</v>
      </c>
      <c r="C460" s="1099" t="s">
        <v>8222</v>
      </c>
      <c r="D460" s="1015"/>
      <c r="E460" s="1104" t="s">
        <v>7446</v>
      </c>
      <c r="F460" s="1105"/>
      <c r="G460" s="1104"/>
      <c r="H460" s="1104"/>
      <c r="I460" s="1104"/>
      <c r="J460" s="1104"/>
      <c r="K460" s="1104"/>
      <c r="L460" s="1104"/>
      <c r="M460" s="1106"/>
      <c r="N460" s="1159"/>
      <c r="O460" s="1104"/>
      <c r="P460" s="1107">
        <f t="shared" si="12"/>
        <v>0</v>
      </c>
      <c r="Q460" s="1107">
        <f t="shared" si="12"/>
        <v>0</v>
      </c>
      <c r="R460" s="1107">
        <f t="shared" si="12"/>
        <v>0</v>
      </c>
      <c r="S460" s="1107">
        <f t="shared" si="11"/>
        <v>0</v>
      </c>
    </row>
    <row r="461" spans="1:19">
      <c r="A461" s="1015">
        <v>362</v>
      </c>
      <c r="B461" s="1015" t="s">
        <v>8223</v>
      </c>
      <c r="C461" s="1103" t="s">
        <v>8224</v>
      </c>
      <c r="D461" s="1015" t="s">
        <v>7424</v>
      </c>
      <c r="E461" s="1104">
        <v>26265955</v>
      </c>
      <c r="F461" s="1105" t="s">
        <v>8220</v>
      </c>
      <c r="G461" s="1104">
        <v>34650000</v>
      </c>
      <c r="H461" s="1104">
        <v>7004332</v>
      </c>
      <c r="I461" s="1104">
        <v>6212864</v>
      </c>
      <c r="J461" s="1104">
        <v>5435398</v>
      </c>
      <c r="K461" s="1104">
        <v>8567949</v>
      </c>
      <c r="L461" s="1104">
        <v>53343391</v>
      </c>
      <c r="M461" s="1106">
        <v>52551923</v>
      </c>
      <c r="N461" s="1159">
        <v>51774457</v>
      </c>
      <c r="O461" s="1104">
        <v>54907008</v>
      </c>
      <c r="P461" s="1107">
        <f t="shared" si="12"/>
        <v>60347723</v>
      </c>
      <c r="Q461" s="1107">
        <f t="shared" si="12"/>
        <v>58764787</v>
      </c>
      <c r="R461" s="1107">
        <f t="shared" si="12"/>
        <v>57209855</v>
      </c>
      <c r="S461" s="1107">
        <f t="shared" si="11"/>
        <v>63474957</v>
      </c>
    </row>
    <row r="462" spans="1:19">
      <c r="A462" s="1015"/>
      <c r="B462" s="1102" t="s">
        <v>8225</v>
      </c>
      <c r="C462" s="1099" t="s">
        <v>8226</v>
      </c>
      <c r="D462" s="1015"/>
      <c r="E462" s="1104" t="s">
        <v>7446</v>
      </c>
      <c r="F462" s="1105"/>
      <c r="G462" s="1104"/>
      <c r="H462" s="1104"/>
      <c r="I462" s="1104"/>
      <c r="J462" s="1104"/>
      <c r="K462" s="1104"/>
      <c r="L462" s="1104"/>
      <c r="M462" s="1106"/>
      <c r="N462" s="1159"/>
      <c r="O462" s="1104"/>
      <c r="P462" s="1107">
        <f t="shared" si="12"/>
        <v>0</v>
      </c>
      <c r="Q462" s="1107">
        <f t="shared" si="12"/>
        <v>0</v>
      </c>
      <c r="R462" s="1107">
        <f t="shared" si="12"/>
        <v>0</v>
      </c>
      <c r="S462" s="1107">
        <f t="shared" si="11"/>
        <v>0</v>
      </c>
    </row>
    <row r="463" spans="1:19">
      <c r="A463" s="1015">
        <v>363</v>
      </c>
      <c r="B463" s="1015" t="s">
        <v>8227</v>
      </c>
      <c r="C463" s="1103" t="s">
        <v>8228</v>
      </c>
      <c r="D463" s="1015" t="s">
        <v>7424</v>
      </c>
      <c r="E463" s="1104">
        <v>8595313</v>
      </c>
      <c r="F463" s="1105" t="s">
        <v>8229</v>
      </c>
      <c r="G463" s="1104">
        <v>7685500</v>
      </c>
      <c r="H463" s="1104">
        <v>5331513</v>
      </c>
      <c r="I463" s="1104">
        <v>4729071</v>
      </c>
      <c r="J463" s="1104">
        <v>4137279</v>
      </c>
      <c r="K463" s="1104">
        <v>6459656</v>
      </c>
      <c r="L463" s="1104">
        <v>18750139</v>
      </c>
      <c r="M463" s="1106">
        <v>18147697</v>
      </c>
      <c r="N463" s="1159">
        <v>17555905</v>
      </c>
      <c r="O463" s="1104">
        <v>19878282</v>
      </c>
      <c r="P463" s="1107">
        <f t="shared" si="12"/>
        <v>24081652</v>
      </c>
      <c r="Q463" s="1107">
        <f t="shared" si="12"/>
        <v>22876768</v>
      </c>
      <c r="R463" s="1107">
        <f t="shared" si="12"/>
        <v>21693184</v>
      </c>
      <c r="S463" s="1107">
        <f t="shared" si="11"/>
        <v>26337938</v>
      </c>
    </row>
    <row r="464" spans="1:19">
      <c r="A464" s="1015">
        <v>364</v>
      </c>
      <c r="B464" s="1015" t="s">
        <v>8230</v>
      </c>
      <c r="C464" s="1103" t="s">
        <v>8231</v>
      </c>
      <c r="D464" s="1015" t="s">
        <v>7424</v>
      </c>
      <c r="E464" s="1104">
        <v>15120550</v>
      </c>
      <c r="F464" s="1105" t="s">
        <v>8232</v>
      </c>
      <c r="G464" s="1104">
        <v>20115500</v>
      </c>
      <c r="H464" s="1104">
        <v>6158017</v>
      </c>
      <c r="I464" s="1104">
        <v>5462188</v>
      </c>
      <c r="J464" s="1104">
        <v>4778648</v>
      </c>
      <c r="K464" s="1104">
        <v>7484656</v>
      </c>
      <c r="L464" s="1104">
        <v>32411456</v>
      </c>
      <c r="M464" s="1106">
        <v>31715627</v>
      </c>
      <c r="N464" s="1159">
        <v>31032087</v>
      </c>
      <c r="O464" s="1104">
        <v>33738095</v>
      </c>
      <c r="P464" s="1107">
        <f t="shared" si="12"/>
        <v>38569473</v>
      </c>
      <c r="Q464" s="1107">
        <f t="shared" si="12"/>
        <v>37177815</v>
      </c>
      <c r="R464" s="1107">
        <f t="shared" si="12"/>
        <v>35810735</v>
      </c>
      <c r="S464" s="1107">
        <f t="shared" si="11"/>
        <v>41222751</v>
      </c>
    </row>
    <row r="465" spans="1:19">
      <c r="A465" s="1015">
        <v>365</v>
      </c>
      <c r="B465" s="1015" t="s">
        <v>8233</v>
      </c>
      <c r="C465" s="1103" t="s">
        <v>8234</v>
      </c>
      <c r="D465" s="1015" t="s">
        <v>7424</v>
      </c>
      <c r="E465" s="1104">
        <v>48166751</v>
      </c>
      <c r="F465" s="1105" t="s">
        <v>8235</v>
      </c>
      <c r="G465" s="1104">
        <v>101976100</v>
      </c>
      <c r="H465" s="1104">
        <v>8228198</v>
      </c>
      <c r="I465" s="1104">
        <v>7298439</v>
      </c>
      <c r="J465" s="1104">
        <v>6385127</v>
      </c>
      <c r="K465" s="1104">
        <v>10134501</v>
      </c>
      <c r="L465" s="1104">
        <v>108086283</v>
      </c>
      <c r="M465" s="1106">
        <v>107156524</v>
      </c>
      <c r="N465" s="1159">
        <v>106243212</v>
      </c>
      <c r="O465" s="1104">
        <v>109992586</v>
      </c>
      <c r="P465" s="1107">
        <f t="shared" si="12"/>
        <v>116314481</v>
      </c>
      <c r="Q465" s="1107">
        <f t="shared" si="12"/>
        <v>114454963</v>
      </c>
      <c r="R465" s="1107">
        <f t="shared" si="12"/>
        <v>112628339</v>
      </c>
      <c r="S465" s="1107">
        <f t="shared" si="11"/>
        <v>120127087</v>
      </c>
    </row>
    <row r="466" spans="1:19">
      <c r="A466" s="1015"/>
      <c r="B466" s="1102" t="s">
        <v>8236</v>
      </c>
      <c r="C466" s="1099" t="s">
        <v>8237</v>
      </c>
      <c r="D466" s="1015"/>
      <c r="E466" s="1104" t="s">
        <v>7446</v>
      </c>
      <c r="F466" s="1105"/>
      <c r="G466" s="1104"/>
      <c r="H466" s="1104"/>
      <c r="I466" s="1104"/>
      <c r="J466" s="1104"/>
      <c r="K466" s="1104"/>
      <c r="L466" s="1104"/>
      <c r="M466" s="1106"/>
      <c r="N466" s="1159"/>
      <c r="O466" s="1104"/>
      <c r="P466" s="1107">
        <f t="shared" si="12"/>
        <v>0</v>
      </c>
      <c r="Q466" s="1107">
        <f t="shared" si="12"/>
        <v>0</v>
      </c>
      <c r="R466" s="1107">
        <f t="shared" si="12"/>
        <v>0</v>
      </c>
      <c r="S466" s="1107">
        <f t="shared" si="11"/>
        <v>0</v>
      </c>
    </row>
    <row r="467" spans="1:19">
      <c r="A467" s="1015">
        <v>366</v>
      </c>
      <c r="B467" s="1015" t="s">
        <v>8238</v>
      </c>
      <c r="C467" s="1103" t="s">
        <v>8239</v>
      </c>
      <c r="D467" s="1015" t="s">
        <v>7424</v>
      </c>
      <c r="E467" s="1104">
        <v>21690789</v>
      </c>
      <c r="F467" s="1105" t="s">
        <v>8240</v>
      </c>
      <c r="G467" s="1104">
        <v>11388400</v>
      </c>
      <c r="H467" s="1104">
        <v>5457038</v>
      </c>
      <c r="I467" s="1104">
        <v>4840410</v>
      </c>
      <c r="J467" s="1104">
        <v>4234679</v>
      </c>
      <c r="K467" s="1104">
        <v>6952078</v>
      </c>
      <c r="L467" s="1104">
        <v>34530652</v>
      </c>
      <c r="M467" s="1106">
        <v>33914024</v>
      </c>
      <c r="N467" s="1159">
        <v>33308293</v>
      </c>
      <c r="O467" s="1104">
        <v>36025692</v>
      </c>
      <c r="P467" s="1107">
        <f t="shared" si="12"/>
        <v>39987690</v>
      </c>
      <c r="Q467" s="1107">
        <f t="shared" si="12"/>
        <v>38754434</v>
      </c>
      <c r="R467" s="1107">
        <f t="shared" si="12"/>
        <v>37542972</v>
      </c>
      <c r="S467" s="1107">
        <f t="shared" si="11"/>
        <v>42977770</v>
      </c>
    </row>
    <row r="468" spans="1:19">
      <c r="A468" s="1015">
        <v>367</v>
      </c>
      <c r="B468" s="1015" t="s">
        <v>8241</v>
      </c>
      <c r="C468" s="1103" t="s">
        <v>8242</v>
      </c>
      <c r="D468" s="1015" t="s">
        <v>7424</v>
      </c>
      <c r="E468" s="1104">
        <v>78482854</v>
      </c>
      <c r="F468" s="1105" t="s">
        <v>8243</v>
      </c>
      <c r="G468" s="1104">
        <v>65840000</v>
      </c>
      <c r="H468" s="1104">
        <v>5780466</v>
      </c>
      <c r="I468" s="1104">
        <v>5127289</v>
      </c>
      <c r="J468" s="1104">
        <v>4485669</v>
      </c>
      <c r="K468" s="1104">
        <v>7001396</v>
      </c>
      <c r="L468" s="1104">
        <v>125810630</v>
      </c>
      <c r="M468" s="1106">
        <v>125157453</v>
      </c>
      <c r="N468" s="1159">
        <v>124515833</v>
      </c>
      <c r="O468" s="1104">
        <v>127031560</v>
      </c>
      <c r="P468" s="1107">
        <f t="shared" si="12"/>
        <v>131591096</v>
      </c>
      <c r="Q468" s="1107">
        <f t="shared" si="12"/>
        <v>130284742</v>
      </c>
      <c r="R468" s="1107">
        <f t="shared" si="12"/>
        <v>129001502</v>
      </c>
      <c r="S468" s="1107">
        <f t="shared" si="11"/>
        <v>134032956</v>
      </c>
    </row>
    <row r="469" spans="1:19">
      <c r="A469" s="1015"/>
      <c r="B469" s="1102" t="s">
        <v>8244</v>
      </c>
      <c r="C469" s="1099" t="s">
        <v>8245</v>
      </c>
      <c r="D469" s="1015"/>
      <c r="E469" s="1104" t="s">
        <v>7446</v>
      </c>
      <c r="F469" s="1105"/>
      <c r="G469" s="1104"/>
      <c r="H469" s="1104"/>
      <c r="I469" s="1104"/>
      <c r="J469" s="1104"/>
      <c r="K469" s="1104"/>
      <c r="L469" s="1104"/>
      <c r="M469" s="1106"/>
      <c r="N469" s="1159"/>
      <c r="O469" s="1104"/>
      <c r="P469" s="1107">
        <f t="shared" si="12"/>
        <v>0</v>
      </c>
      <c r="Q469" s="1107">
        <f t="shared" si="12"/>
        <v>0</v>
      </c>
      <c r="R469" s="1107">
        <f t="shared" si="12"/>
        <v>0</v>
      </c>
      <c r="S469" s="1107">
        <f t="shared" si="11"/>
        <v>0</v>
      </c>
    </row>
    <row r="470" spans="1:19" ht="18">
      <c r="A470" s="1015">
        <v>368</v>
      </c>
      <c r="B470" s="1015" t="s">
        <v>8246</v>
      </c>
      <c r="C470" s="1103" t="s">
        <v>8247</v>
      </c>
      <c r="D470" s="1015" t="s">
        <v>7424</v>
      </c>
      <c r="E470" s="1104">
        <v>39946453</v>
      </c>
      <c r="F470" s="1105" t="s">
        <v>8248</v>
      </c>
      <c r="G470" s="1104">
        <v>38478500</v>
      </c>
      <c r="H470" s="1104">
        <v>6595732</v>
      </c>
      <c r="I470" s="1104">
        <v>5850452</v>
      </c>
      <c r="J470" s="1104">
        <v>5118296</v>
      </c>
      <c r="K470" s="1104">
        <v>8409598</v>
      </c>
      <c r="L470" s="1104">
        <v>72548343</v>
      </c>
      <c r="M470" s="1106">
        <v>71803063</v>
      </c>
      <c r="N470" s="1159">
        <v>71070907</v>
      </c>
      <c r="O470" s="1104">
        <v>74362209</v>
      </c>
      <c r="P470" s="1107">
        <f t="shared" si="12"/>
        <v>79144075</v>
      </c>
      <c r="Q470" s="1107">
        <f t="shared" si="12"/>
        <v>77653515</v>
      </c>
      <c r="R470" s="1107">
        <f t="shared" si="12"/>
        <v>76189203</v>
      </c>
      <c r="S470" s="1107">
        <f t="shared" si="11"/>
        <v>82771807</v>
      </c>
    </row>
    <row r="471" spans="1:19">
      <c r="A471" s="1015"/>
      <c r="B471" s="1102" t="s">
        <v>8249</v>
      </c>
      <c r="C471" s="1099" t="s">
        <v>8250</v>
      </c>
      <c r="D471" s="1015"/>
      <c r="E471" s="1104" t="s">
        <v>7446</v>
      </c>
      <c r="F471" s="1105"/>
      <c r="G471" s="1104"/>
      <c r="H471" s="1104"/>
      <c r="I471" s="1104"/>
      <c r="J471" s="1104"/>
      <c r="K471" s="1104"/>
      <c r="L471" s="1104"/>
      <c r="M471" s="1106"/>
      <c r="N471" s="1159"/>
      <c r="O471" s="1104"/>
      <c r="P471" s="1107">
        <f t="shared" si="12"/>
        <v>0</v>
      </c>
      <c r="Q471" s="1107">
        <f t="shared" si="12"/>
        <v>0</v>
      </c>
      <c r="R471" s="1107">
        <f t="shared" si="12"/>
        <v>0</v>
      </c>
      <c r="S471" s="1107">
        <f t="shared" si="11"/>
        <v>0</v>
      </c>
    </row>
    <row r="472" spans="1:19" ht="18">
      <c r="A472" s="1015">
        <v>369</v>
      </c>
      <c r="B472" s="1015" t="s">
        <v>8251</v>
      </c>
      <c r="C472" s="1103" t="s">
        <v>7433</v>
      </c>
      <c r="D472" s="1015" t="s">
        <v>7424</v>
      </c>
      <c r="E472" s="1104">
        <v>1050038</v>
      </c>
      <c r="F472" s="1105" t="s">
        <v>7452</v>
      </c>
      <c r="G472" s="1104">
        <v>1699696</v>
      </c>
      <c r="H472" s="1104">
        <v>337529</v>
      </c>
      <c r="I472" s="1104">
        <v>299389</v>
      </c>
      <c r="J472" s="1104">
        <v>261932</v>
      </c>
      <c r="K472" s="1104">
        <v>432001</v>
      </c>
      <c r="L472" s="1104">
        <v>2760922</v>
      </c>
      <c r="M472" s="1106">
        <v>2722782</v>
      </c>
      <c r="N472" s="1159">
        <v>2685325</v>
      </c>
      <c r="O472" s="1104">
        <v>2855394</v>
      </c>
      <c r="P472" s="1107">
        <f t="shared" si="12"/>
        <v>3098451</v>
      </c>
      <c r="Q472" s="1107">
        <f t="shared" si="12"/>
        <v>3022171</v>
      </c>
      <c r="R472" s="1107">
        <f t="shared" si="12"/>
        <v>2947257</v>
      </c>
      <c r="S472" s="1107">
        <f t="shared" si="11"/>
        <v>3287395</v>
      </c>
    </row>
    <row r="473" spans="1:19">
      <c r="A473" s="1015">
        <v>370</v>
      </c>
      <c r="B473" s="1102" t="s">
        <v>8252</v>
      </c>
      <c r="C473" s="1099" t="s">
        <v>8253</v>
      </c>
      <c r="D473" s="1015"/>
      <c r="E473" s="1104" t="s">
        <v>7446</v>
      </c>
      <c r="F473" s="1105" t="s">
        <v>8254</v>
      </c>
      <c r="G473" s="1104">
        <v>7716</v>
      </c>
      <c r="H473" s="1104">
        <v>1240000</v>
      </c>
      <c r="I473" s="1104">
        <v>1140000</v>
      </c>
      <c r="J473" s="1104">
        <v>1068000</v>
      </c>
      <c r="K473" s="1104">
        <v>1408800</v>
      </c>
      <c r="L473" s="1104">
        <v>1412475</v>
      </c>
      <c r="M473" s="1106">
        <v>1312475</v>
      </c>
      <c r="N473" s="1159">
        <v>1240475</v>
      </c>
      <c r="O473" s="1104">
        <v>1581275</v>
      </c>
      <c r="P473" s="1107">
        <f t="shared" si="12"/>
        <v>2652475</v>
      </c>
      <c r="Q473" s="1107">
        <f t="shared" si="12"/>
        <v>2452475</v>
      </c>
      <c r="R473" s="1107">
        <f t="shared" si="12"/>
        <v>2308475</v>
      </c>
      <c r="S473" s="1107">
        <f t="shared" si="11"/>
        <v>2990075</v>
      </c>
    </row>
    <row r="474" spans="1:19">
      <c r="A474" s="1015"/>
      <c r="B474" s="1102" t="s">
        <v>8255</v>
      </c>
      <c r="C474" s="1099" t="s">
        <v>8256</v>
      </c>
      <c r="D474" s="1015"/>
      <c r="E474" s="1104" t="s">
        <v>7446</v>
      </c>
      <c r="F474" s="1105"/>
      <c r="G474" s="1104"/>
      <c r="H474" s="1104"/>
      <c r="I474" s="1104"/>
      <c r="J474" s="1104"/>
      <c r="K474" s="1104"/>
      <c r="L474" s="1104"/>
      <c r="M474" s="1106"/>
      <c r="N474" s="1159"/>
      <c r="O474" s="1104"/>
      <c r="P474" s="1107">
        <f t="shared" si="12"/>
        <v>0</v>
      </c>
      <c r="Q474" s="1107">
        <f t="shared" si="12"/>
        <v>0</v>
      </c>
      <c r="R474" s="1107">
        <f t="shared" si="12"/>
        <v>0</v>
      </c>
      <c r="S474" s="1107">
        <f t="shared" si="11"/>
        <v>0</v>
      </c>
    </row>
    <row r="475" spans="1:19">
      <c r="A475" s="1015"/>
      <c r="B475" s="1102" t="s">
        <v>8257</v>
      </c>
      <c r="C475" s="1099" t="s">
        <v>8258</v>
      </c>
      <c r="D475" s="1015"/>
      <c r="E475" s="1104" t="s">
        <v>7446</v>
      </c>
      <c r="F475" s="1105"/>
      <c r="G475" s="1104"/>
      <c r="H475" s="1104"/>
      <c r="I475" s="1104"/>
      <c r="J475" s="1104"/>
      <c r="K475" s="1104"/>
      <c r="L475" s="1104"/>
      <c r="M475" s="1106"/>
      <c r="N475" s="1159"/>
      <c r="O475" s="1104"/>
      <c r="P475" s="1107">
        <f t="shared" si="12"/>
        <v>0</v>
      </c>
      <c r="Q475" s="1107">
        <f t="shared" si="12"/>
        <v>0</v>
      </c>
      <c r="R475" s="1107">
        <f t="shared" si="12"/>
        <v>0</v>
      </c>
      <c r="S475" s="1107">
        <f t="shared" si="11"/>
        <v>0</v>
      </c>
    </row>
    <row r="476" spans="1:19" ht="18">
      <c r="A476" s="1015">
        <v>371</v>
      </c>
      <c r="B476" s="1015" t="s">
        <v>8259</v>
      </c>
      <c r="C476" s="1103" t="s">
        <v>7462</v>
      </c>
      <c r="D476" s="1015" t="s">
        <v>7424</v>
      </c>
      <c r="E476" s="1104">
        <v>780028</v>
      </c>
      <c r="F476" s="1105" t="s">
        <v>7425</v>
      </c>
      <c r="G476" s="1104">
        <v>3125148</v>
      </c>
      <c r="H476" s="1104">
        <v>287074</v>
      </c>
      <c r="I476" s="1104">
        <v>254635</v>
      </c>
      <c r="J476" s="1104">
        <v>222777</v>
      </c>
      <c r="K476" s="1104">
        <v>367424</v>
      </c>
      <c r="L476" s="1104">
        <v>3491786</v>
      </c>
      <c r="M476" s="1106">
        <v>3459347</v>
      </c>
      <c r="N476" s="1159">
        <v>3427489</v>
      </c>
      <c r="O476" s="1104">
        <v>3572136</v>
      </c>
      <c r="P476" s="1107">
        <f t="shared" si="12"/>
        <v>3778860</v>
      </c>
      <c r="Q476" s="1107">
        <f t="shared" si="12"/>
        <v>3713982</v>
      </c>
      <c r="R476" s="1107">
        <f t="shared" si="12"/>
        <v>3650266</v>
      </c>
      <c r="S476" s="1107">
        <f t="shared" si="11"/>
        <v>3939560</v>
      </c>
    </row>
    <row r="477" spans="1:19" ht="18">
      <c r="A477" s="1015">
        <v>372</v>
      </c>
      <c r="B477" s="1015" t="s">
        <v>8260</v>
      </c>
      <c r="C477" s="1103" t="s">
        <v>8261</v>
      </c>
      <c r="D477" s="1015" t="s">
        <v>7424</v>
      </c>
      <c r="E477" s="1104">
        <v>975035</v>
      </c>
      <c r="F477" s="1105" t="s">
        <v>7425</v>
      </c>
      <c r="G477" s="1104">
        <v>3593955</v>
      </c>
      <c r="H477" s="1104">
        <v>287074</v>
      </c>
      <c r="I477" s="1104">
        <v>254635</v>
      </c>
      <c r="J477" s="1104">
        <v>222777</v>
      </c>
      <c r="K477" s="1104">
        <v>367424</v>
      </c>
      <c r="L477" s="1104">
        <v>4050523</v>
      </c>
      <c r="M477" s="1106">
        <v>4018084</v>
      </c>
      <c r="N477" s="1159">
        <v>3986226</v>
      </c>
      <c r="O477" s="1104">
        <v>4130873</v>
      </c>
      <c r="P477" s="1107">
        <f t="shared" si="12"/>
        <v>4337597</v>
      </c>
      <c r="Q477" s="1107">
        <f t="shared" si="12"/>
        <v>4272719</v>
      </c>
      <c r="R477" s="1107">
        <f t="shared" si="12"/>
        <v>4209003</v>
      </c>
      <c r="S477" s="1107">
        <f t="shared" si="11"/>
        <v>4498297</v>
      </c>
    </row>
    <row r="478" spans="1:19">
      <c r="A478" s="1015"/>
      <c r="B478" s="1102" t="s">
        <v>8262</v>
      </c>
      <c r="C478" s="1099" t="s">
        <v>8263</v>
      </c>
      <c r="D478" s="1015"/>
      <c r="E478" s="1104" t="s">
        <v>7446</v>
      </c>
      <c r="F478" s="1105"/>
      <c r="G478" s="1104"/>
      <c r="H478" s="1104"/>
      <c r="I478" s="1104"/>
      <c r="J478" s="1104"/>
      <c r="K478" s="1104"/>
      <c r="L478" s="1104"/>
      <c r="M478" s="1106"/>
      <c r="N478" s="1159"/>
      <c r="O478" s="1104"/>
      <c r="P478" s="1107">
        <f t="shared" si="12"/>
        <v>0</v>
      </c>
      <c r="Q478" s="1107">
        <f t="shared" si="12"/>
        <v>0</v>
      </c>
      <c r="R478" s="1107">
        <f t="shared" si="12"/>
        <v>0</v>
      </c>
      <c r="S478" s="1107">
        <f t="shared" si="11"/>
        <v>0</v>
      </c>
    </row>
    <row r="479" spans="1:19" ht="18">
      <c r="A479" s="1015">
        <v>373</v>
      </c>
      <c r="B479" s="1015" t="s">
        <v>8264</v>
      </c>
      <c r="C479" s="1103" t="s">
        <v>8265</v>
      </c>
      <c r="D479" s="1015" t="s">
        <v>3127</v>
      </c>
      <c r="E479" s="1104">
        <v>485500</v>
      </c>
      <c r="F479" s="1105" t="s">
        <v>7505</v>
      </c>
      <c r="G479" s="1104">
        <v>975792</v>
      </c>
      <c r="H479" s="1104">
        <v>241838</v>
      </c>
      <c r="I479" s="1104">
        <v>214511</v>
      </c>
      <c r="J479" s="1104">
        <v>187673</v>
      </c>
      <c r="K479" s="1104">
        <v>309526</v>
      </c>
      <c r="L479" s="1104">
        <v>1470959</v>
      </c>
      <c r="M479" s="1106">
        <v>1443632</v>
      </c>
      <c r="N479" s="1159">
        <v>1416794</v>
      </c>
      <c r="O479" s="1104">
        <v>1538647</v>
      </c>
      <c r="P479" s="1107">
        <f t="shared" si="12"/>
        <v>1712797</v>
      </c>
      <c r="Q479" s="1107">
        <f t="shared" si="12"/>
        <v>1658143</v>
      </c>
      <c r="R479" s="1107">
        <f t="shared" si="12"/>
        <v>1604467</v>
      </c>
      <c r="S479" s="1107">
        <f t="shared" si="11"/>
        <v>1848173</v>
      </c>
    </row>
    <row r="480" spans="1:19">
      <c r="A480" s="1015"/>
      <c r="B480" s="1102" t="s">
        <v>8266</v>
      </c>
      <c r="C480" s="1099" t="s">
        <v>8267</v>
      </c>
      <c r="D480" s="1015"/>
      <c r="E480" s="1104" t="s">
        <v>7446</v>
      </c>
      <c r="F480" s="1105"/>
      <c r="G480" s="1104"/>
      <c r="H480" s="1104"/>
      <c r="I480" s="1104"/>
      <c r="J480" s="1104"/>
      <c r="K480" s="1104"/>
      <c r="L480" s="1104"/>
      <c r="M480" s="1106"/>
      <c r="N480" s="1159"/>
      <c r="O480" s="1104"/>
      <c r="P480" s="1107">
        <f t="shared" si="12"/>
        <v>0</v>
      </c>
      <c r="Q480" s="1107">
        <f t="shared" si="12"/>
        <v>0</v>
      </c>
      <c r="R480" s="1107">
        <f t="shared" si="12"/>
        <v>0</v>
      </c>
      <c r="S480" s="1107">
        <f t="shared" si="11"/>
        <v>0</v>
      </c>
    </row>
    <row r="481" spans="1:19">
      <c r="A481" s="1015">
        <v>374</v>
      </c>
      <c r="B481" s="1015" t="s">
        <v>8268</v>
      </c>
      <c r="C481" s="1103" t="s">
        <v>8269</v>
      </c>
      <c r="D481" s="1015" t="s">
        <v>3127</v>
      </c>
      <c r="E481" s="1104">
        <v>84179</v>
      </c>
      <c r="F481" s="1105" t="s">
        <v>7425</v>
      </c>
      <c r="G481" s="1104">
        <v>29121</v>
      </c>
      <c r="H481" s="1104">
        <v>287074</v>
      </c>
      <c r="I481" s="1104">
        <v>254635</v>
      </c>
      <c r="J481" s="1104">
        <v>222777</v>
      </c>
      <c r="K481" s="1104">
        <v>367424</v>
      </c>
      <c r="L481" s="1104">
        <v>394841</v>
      </c>
      <c r="M481" s="1106">
        <v>362402</v>
      </c>
      <c r="N481" s="1159">
        <v>330544</v>
      </c>
      <c r="O481" s="1104">
        <v>475191</v>
      </c>
      <c r="P481" s="1107">
        <f t="shared" si="12"/>
        <v>681915</v>
      </c>
      <c r="Q481" s="1107">
        <f t="shared" si="12"/>
        <v>617037</v>
      </c>
      <c r="R481" s="1107">
        <f t="shared" si="12"/>
        <v>553321</v>
      </c>
      <c r="S481" s="1107">
        <f t="shared" si="11"/>
        <v>842615</v>
      </c>
    </row>
    <row r="482" spans="1:19">
      <c r="A482" s="1015">
        <v>375</v>
      </c>
      <c r="B482" s="1015" t="s">
        <v>8270</v>
      </c>
      <c r="C482" s="1103" t="s">
        <v>8271</v>
      </c>
      <c r="D482" s="1015"/>
      <c r="E482" s="1104" t="s">
        <v>7446</v>
      </c>
      <c r="F482" s="1105" t="s">
        <v>7425</v>
      </c>
      <c r="G482" s="1104">
        <v>30956</v>
      </c>
      <c r="H482" s="1104">
        <v>287074</v>
      </c>
      <c r="I482" s="1104">
        <v>254635</v>
      </c>
      <c r="J482" s="1104">
        <v>222777</v>
      </c>
      <c r="K482" s="1104">
        <v>367424</v>
      </c>
      <c r="L482" s="1104">
        <v>310704</v>
      </c>
      <c r="M482" s="1106">
        <v>278265</v>
      </c>
      <c r="N482" s="1159">
        <v>246407</v>
      </c>
      <c r="O482" s="1104">
        <v>391054</v>
      </c>
      <c r="P482" s="1107">
        <f t="shared" si="12"/>
        <v>597778</v>
      </c>
      <c r="Q482" s="1107">
        <f t="shared" si="12"/>
        <v>532900</v>
      </c>
      <c r="R482" s="1107">
        <f t="shared" si="12"/>
        <v>469184</v>
      </c>
      <c r="S482" s="1107">
        <f t="shared" si="11"/>
        <v>758478</v>
      </c>
    </row>
    <row r="483" spans="1:19">
      <c r="A483" s="1015">
        <v>376</v>
      </c>
      <c r="B483" s="1015" t="s">
        <v>8272</v>
      </c>
      <c r="C483" s="1103" t="s">
        <v>8273</v>
      </c>
      <c r="D483" s="1015" t="s">
        <v>7424</v>
      </c>
      <c r="E483" s="1104">
        <v>555020</v>
      </c>
      <c r="F483" s="1105" t="s">
        <v>7425</v>
      </c>
      <c r="G483" s="1104">
        <v>3107721</v>
      </c>
      <c r="H483" s="1104">
        <v>287074</v>
      </c>
      <c r="I483" s="1104">
        <v>254635</v>
      </c>
      <c r="J483" s="1104">
        <v>222777</v>
      </c>
      <c r="K483" s="1104">
        <v>367424</v>
      </c>
      <c r="L483" s="1104">
        <v>2882831</v>
      </c>
      <c r="M483" s="1106">
        <v>2850392</v>
      </c>
      <c r="N483" s="1159">
        <v>2818534</v>
      </c>
      <c r="O483" s="1104">
        <v>2963181</v>
      </c>
      <c r="P483" s="1107">
        <f t="shared" si="12"/>
        <v>3169905</v>
      </c>
      <c r="Q483" s="1107">
        <f t="shared" si="12"/>
        <v>3105027</v>
      </c>
      <c r="R483" s="1107">
        <f t="shared" si="12"/>
        <v>3041311</v>
      </c>
      <c r="S483" s="1107">
        <f t="shared" si="11"/>
        <v>3330605</v>
      </c>
    </row>
    <row r="484" spans="1:19">
      <c r="A484" s="1015">
        <v>377</v>
      </c>
      <c r="B484" s="1015" t="s">
        <v>8274</v>
      </c>
      <c r="C484" s="1103" t="s">
        <v>8275</v>
      </c>
      <c r="D484" s="1015" t="s">
        <v>3127</v>
      </c>
      <c r="E484" s="1104">
        <v>52857</v>
      </c>
      <c r="F484" s="1105" t="s">
        <v>7425</v>
      </c>
      <c r="G484" s="1104">
        <v>247875</v>
      </c>
      <c r="H484" s="1104">
        <v>287074</v>
      </c>
      <c r="I484" s="1104">
        <v>254635</v>
      </c>
      <c r="J484" s="1104">
        <v>222777</v>
      </c>
      <c r="K484" s="1104">
        <v>367424</v>
      </c>
      <c r="L484" s="1104">
        <v>529142</v>
      </c>
      <c r="M484" s="1106">
        <v>496703</v>
      </c>
      <c r="N484" s="1159">
        <v>464845</v>
      </c>
      <c r="O484" s="1104">
        <v>609492</v>
      </c>
      <c r="P484" s="1107">
        <f t="shared" si="12"/>
        <v>816216</v>
      </c>
      <c r="Q484" s="1107">
        <f t="shared" si="12"/>
        <v>751338</v>
      </c>
      <c r="R484" s="1107">
        <f t="shared" si="12"/>
        <v>687622</v>
      </c>
      <c r="S484" s="1107">
        <f t="shared" si="11"/>
        <v>976916</v>
      </c>
    </row>
    <row r="485" spans="1:19">
      <c r="A485" s="1015"/>
      <c r="B485" s="1102" t="s">
        <v>8276</v>
      </c>
      <c r="C485" s="1099" t="s">
        <v>8277</v>
      </c>
      <c r="D485" s="1015"/>
      <c r="E485" s="1104" t="s">
        <v>7446</v>
      </c>
      <c r="F485" s="1105"/>
      <c r="G485" s="1104"/>
      <c r="H485" s="1104"/>
      <c r="I485" s="1104"/>
      <c r="J485" s="1104"/>
      <c r="K485" s="1104"/>
      <c r="L485" s="1104"/>
      <c r="M485" s="1106"/>
      <c r="N485" s="1159"/>
      <c r="O485" s="1104"/>
      <c r="P485" s="1107">
        <f t="shared" si="12"/>
        <v>0</v>
      </c>
      <c r="Q485" s="1107">
        <f t="shared" si="12"/>
        <v>0</v>
      </c>
      <c r="R485" s="1107">
        <f t="shared" si="12"/>
        <v>0</v>
      </c>
      <c r="S485" s="1107">
        <f t="shared" si="11"/>
        <v>0</v>
      </c>
    </row>
    <row r="486" spans="1:19">
      <c r="A486" s="1015">
        <v>378</v>
      </c>
      <c r="B486" s="1015" t="s">
        <v>8278</v>
      </c>
      <c r="C486" s="1103" t="s">
        <v>8279</v>
      </c>
      <c r="D486" s="1015" t="s">
        <v>7424</v>
      </c>
      <c r="E486" s="1104">
        <v>675025</v>
      </c>
      <c r="F486" s="1105" t="s">
        <v>7425</v>
      </c>
      <c r="G486" s="1104">
        <v>781918</v>
      </c>
      <c r="H486" s="1104">
        <v>287074</v>
      </c>
      <c r="I486" s="1104">
        <v>254635</v>
      </c>
      <c r="J486" s="1104">
        <v>222777</v>
      </c>
      <c r="K486" s="1104">
        <v>367424</v>
      </c>
      <c r="L486" s="1104">
        <v>1538401</v>
      </c>
      <c r="M486" s="1106">
        <v>1505962</v>
      </c>
      <c r="N486" s="1159">
        <v>1474104</v>
      </c>
      <c r="O486" s="1104">
        <v>1618751</v>
      </c>
      <c r="P486" s="1107">
        <f t="shared" si="12"/>
        <v>1825475</v>
      </c>
      <c r="Q486" s="1107">
        <f t="shared" si="12"/>
        <v>1760597</v>
      </c>
      <c r="R486" s="1107">
        <f t="shared" si="12"/>
        <v>1696881</v>
      </c>
      <c r="S486" s="1107">
        <f t="shared" si="11"/>
        <v>1986175</v>
      </c>
    </row>
    <row r="487" spans="1:19">
      <c r="A487" s="1015"/>
      <c r="B487" s="1102" t="s">
        <v>8280</v>
      </c>
      <c r="C487" s="1099" t="s">
        <v>8281</v>
      </c>
      <c r="D487" s="1015"/>
      <c r="E487" s="1104" t="s">
        <v>7446</v>
      </c>
      <c r="F487" s="1105"/>
      <c r="G487" s="1104"/>
      <c r="H487" s="1104"/>
      <c r="I487" s="1104"/>
      <c r="J487" s="1104"/>
      <c r="K487" s="1104"/>
      <c r="L487" s="1104"/>
      <c r="M487" s="1106"/>
      <c r="N487" s="1159"/>
      <c r="O487" s="1104"/>
      <c r="P487" s="1107">
        <f t="shared" si="12"/>
        <v>0</v>
      </c>
      <c r="Q487" s="1107">
        <f t="shared" si="12"/>
        <v>0</v>
      </c>
      <c r="R487" s="1107">
        <f t="shared" si="12"/>
        <v>0</v>
      </c>
      <c r="S487" s="1107">
        <f t="shared" si="11"/>
        <v>0</v>
      </c>
    </row>
    <row r="488" spans="1:19">
      <c r="A488" s="1015"/>
      <c r="B488" s="1102" t="s">
        <v>8282</v>
      </c>
      <c r="C488" s="1099" t="s">
        <v>8283</v>
      </c>
      <c r="D488" s="1015"/>
      <c r="E488" s="1104" t="s">
        <v>7446</v>
      </c>
      <c r="F488" s="1105"/>
      <c r="G488" s="1104"/>
      <c r="H488" s="1104"/>
      <c r="I488" s="1104"/>
      <c r="J488" s="1104"/>
      <c r="K488" s="1104"/>
      <c r="L488" s="1104"/>
      <c r="M488" s="1106"/>
      <c r="N488" s="1159"/>
      <c r="O488" s="1104"/>
      <c r="P488" s="1107">
        <f t="shared" si="12"/>
        <v>0</v>
      </c>
      <c r="Q488" s="1107">
        <f t="shared" si="12"/>
        <v>0</v>
      </c>
      <c r="R488" s="1107">
        <f t="shared" si="12"/>
        <v>0</v>
      </c>
      <c r="S488" s="1107">
        <f t="shared" si="11"/>
        <v>0</v>
      </c>
    </row>
    <row r="489" spans="1:19">
      <c r="A489" s="1015">
        <v>379</v>
      </c>
      <c r="B489" s="1015" t="s">
        <v>8284</v>
      </c>
      <c r="C489" s="1103" t="s">
        <v>8285</v>
      </c>
      <c r="D489" s="1015" t="s">
        <v>7424</v>
      </c>
      <c r="E489" s="1104">
        <v>795029</v>
      </c>
      <c r="F489" s="1105" t="s">
        <v>7582</v>
      </c>
      <c r="G489" s="1104">
        <v>1091245</v>
      </c>
      <c r="H489" s="1104">
        <v>758571</v>
      </c>
      <c r="I489" s="1104">
        <v>672854</v>
      </c>
      <c r="J489" s="1104">
        <v>588672</v>
      </c>
      <c r="K489" s="1104">
        <v>970889</v>
      </c>
      <c r="L489" s="1104">
        <v>3044968</v>
      </c>
      <c r="M489" s="1106">
        <v>2959251</v>
      </c>
      <c r="N489" s="1159">
        <v>2875069</v>
      </c>
      <c r="O489" s="1104">
        <v>3257286</v>
      </c>
      <c r="P489" s="1107">
        <f t="shared" si="12"/>
        <v>3803539</v>
      </c>
      <c r="Q489" s="1107">
        <f t="shared" si="12"/>
        <v>3632105</v>
      </c>
      <c r="R489" s="1107">
        <f t="shared" si="12"/>
        <v>3463741</v>
      </c>
      <c r="S489" s="1107">
        <f t="shared" si="11"/>
        <v>4228175</v>
      </c>
    </row>
    <row r="490" spans="1:19">
      <c r="A490" s="1015">
        <v>380</v>
      </c>
      <c r="B490" s="1015" t="s">
        <v>8286</v>
      </c>
      <c r="C490" s="1103" t="s">
        <v>8287</v>
      </c>
      <c r="D490" s="1015" t="s">
        <v>7504</v>
      </c>
      <c r="E490" s="1104">
        <v>616284</v>
      </c>
      <c r="F490" s="1105" t="s">
        <v>7582</v>
      </c>
      <c r="G490" s="1104">
        <v>464335</v>
      </c>
      <c r="H490" s="1104">
        <v>758571</v>
      </c>
      <c r="I490" s="1104">
        <v>672854</v>
      </c>
      <c r="J490" s="1104">
        <v>588672</v>
      </c>
      <c r="K490" s="1104">
        <v>970889</v>
      </c>
      <c r="L490" s="1104">
        <v>2164225</v>
      </c>
      <c r="M490" s="1106">
        <v>2078508</v>
      </c>
      <c r="N490" s="1159">
        <v>1994326</v>
      </c>
      <c r="O490" s="1104">
        <v>2376543</v>
      </c>
      <c r="P490" s="1107">
        <f t="shared" si="12"/>
        <v>2922796</v>
      </c>
      <c r="Q490" s="1107">
        <f t="shared" si="12"/>
        <v>2751362</v>
      </c>
      <c r="R490" s="1107">
        <f t="shared" si="12"/>
        <v>2582998</v>
      </c>
      <c r="S490" s="1107">
        <f t="shared" si="11"/>
        <v>3347432</v>
      </c>
    </row>
    <row r="491" spans="1:19">
      <c r="A491" s="1015"/>
      <c r="B491" s="1102" t="s">
        <v>8288</v>
      </c>
      <c r="C491" s="1099" t="s">
        <v>8289</v>
      </c>
      <c r="D491" s="1015"/>
      <c r="E491" s="1104" t="s">
        <v>7446</v>
      </c>
      <c r="F491" s="1105"/>
      <c r="G491" s="1104"/>
      <c r="H491" s="1104"/>
      <c r="I491" s="1104"/>
      <c r="J491" s="1104"/>
      <c r="K491" s="1104"/>
      <c r="L491" s="1104"/>
      <c r="M491" s="1106"/>
      <c r="N491" s="1159"/>
      <c r="O491" s="1104"/>
      <c r="P491" s="1107">
        <f t="shared" si="12"/>
        <v>0</v>
      </c>
      <c r="Q491" s="1107">
        <f t="shared" si="12"/>
        <v>0</v>
      </c>
      <c r="R491" s="1107">
        <f t="shared" si="12"/>
        <v>0</v>
      </c>
      <c r="S491" s="1107">
        <f t="shared" si="11"/>
        <v>0</v>
      </c>
    </row>
    <row r="492" spans="1:19">
      <c r="A492" s="1015">
        <v>381</v>
      </c>
      <c r="B492" s="1015" t="s">
        <v>8290</v>
      </c>
      <c r="C492" s="1103" t="s">
        <v>8291</v>
      </c>
      <c r="D492" s="1015" t="s">
        <v>3127</v>
      </c>
      <c r="E492" s="1104">
        <v>393490</v>
      </c>
      <c r="F492" s="1105" t="s">
        <v>7582</v>
      </c>
      <c r="G492" s="1104">
        <v>5938103</v>
      </c>
      <c r="H492" s="1104">
        <v>758571</v>
      </c>
      <c r="I492" s="1104">
        <v>672854</v>
      </c>
      <c r="J492" s="1104">
        <v>588672</v>
      </c>
      <c r="K492" s="1104">
        <v>970889</v>
      </c>
      <c r="L492" s="1104">
        <v>6404998</v>
      </c>
      <c r="M492" s="1106">
        <v>6319281</v>
      </c>
      <c r="N492" s="1159">
        <v>6235099</v>
      </c>
      <c r="O492" s="1104">
        <v>6617316</v>
      </c>
      <c r="P492" s="1107">
        <f t="shared" si="12"/>
        <v>7163569</v>
      </c>
      <c r="Q492" s="1107">
        <f t="shared" si="12"/>
        <v>6992135</v>
      </c>
      <c r="R492" s="1107">
        <f t="shared" si="12"/>
        <v>6823771</v>
      </c>
      <c r="S492" s="1107">
        <f t="shared" si="11"/>
        <v>7588205</v>
      </c>
    </row>
    <row r="493" spans="1:19">
      <c r="A493" s="1015">
        <v>382</v>
      </c>
      <c r="B493" s="1015" t="s">
        <v>8292</v>
      </c>
      <c r="C493" s="1103" t="s">
        <v>8293</v>
      </c>
      <c r="D493" s="1015" t="s">
        <v>3127</v>
      </c>
      <c r="E493" s="1104">
        <v>3915</v>
      </c>
      <c r="F493" s="1105" t="s">
        <v>8294</v>
      </c>
      <c r="G493" s="1104">
        <v>1755761</v>
      </c>
      <c r="H493" s="1104">
        <v>687238</v>
      </c>
      <c r="I493" s="1104">
        <v>609581</v>
      </c>
      <c r="J493" s="1104">
        <v>533315</v>
      </c>
      <c r="K493" s="1104">
        <v>879590</v>
      </c>
      <c r="L493" s="1104">
        <v>3383320</v>
      </c>
      <c r="M493" s="1106">
        <v>3305663</v>
      </c>
      <c r="N493" s="1159">
        <v>3229397</v>
      </c>
      <c r="O493" s="1104">
        <v>3575672</v>
      </c>
      <c r="P493" s="1107">
        <f t="shared" si="12"/>
        <v>4070558</v>
      </c>
      <c r="Q493" s="1107">
        <f t="shared" si="12"/>
        <v>3915244</v>
      </c>
      <c r="R493" s="1107">
        <f t="shared" si="12"/>
        <v>3762712</v>
      </c>
      <c r="S493" s="1107">
        <f t="shared" si="11"/>
        <v>4455262</v>
      </c>
    </row>
    <row r="494" spans="1:19">
      <c r="A494" s="1015"/>
      <c r="B494" s="1102" t="s">
        <v>8295</v>
      </c>
      <c r="C494" s="1099" t="s">
        <v>8296</v>
      </c>
      <c r="D494" s="1015"/>
      <c r="E494" s="1104" t="s">
        <v>7446</v>
      </c>
      <c r="F494" s="1105"/>
      <c r="G494" s="1104"/>
      <c r="H494" s="1104"/>
      <c r="I494" s="1104"/>
      <c r="J494" s="1104"/>
      <c r="K494" s="1104"/>
      <c r="L494" s="1104"/>
      <c r="M494" s="1106"/>
      <c r="N494" s="1159"/>
      <c r="O494" s="1104"/>
      <c r="P494" s="1107">
        <f t="shared" si="12"/>
        <v>0</v>
      </c>
      <c r="Q494" s="1107">
        <f t="shared" si="12"/>
        <v>0</v>
      </c>
      <c r="R494" s="1107">
        <f t="shared" si="12"/>
        <v>0</v>
      </c>
      <c r="S494" s="1107">
        <f t="shared" si="11"/>
        <v>0</v>
      </c>
    </row>
    <row r="495" spans="1:19">
      <c r="A495" s="1015"/>
      <c r="B495" s="1102" t="s">
        <v>8297</v>
      </c>
      <c r="C495" s="1099" t="s">
        <v>8298</v>
      </c>
      <c r="D495" s="1015"/>
      <c r="E495" s="1104" t="s">
        <v>7446</v>
      </c>
      <c r="F495" s="1105"/>
      <c r="G495" s="1104"/>
      <c r="H495" s="1104"/>
      <c r="I495" s="1104"/>
      <c r="J495" s="1104"/>
      <c r="K495" s="1104"/>
      <c r="L495" s="1104"/>
      <c r="M495" s="1106"/>
      <c r="N495" s="1159"/>
      <c r="O495" s="1104"/>
      <c r="P495" s="1107">
        <f t="shared" si="12"/>
        <v>0</v>
      </c>
      <c r="Q495" s="1107">
        <f t="shared" si="12"/>
        <v>0</v>
      </c>
      <c r="R495" s="1107">
        <f t="shared" si="12"/>
        <v>0</v>
      </c>
      <c r="S495" s="1107">
        <f t="shared" si="11"/>
        <v>0</v>
      </c>
    </row>
    <row r="496" spans="1:19">
      <c r="A496" s="1015">
        <v>383</v>
      </c>
      <c r="B496" s="1015" t="s">
        <v>8299</v>
      </c>
      <c r="C496" s="1103" t="s">
        <v>8300</v>
      </c>
      <c r="D496" s="1015" t="s">
        <v>3127</v>
      </c>
      <c r="E496" s="1104">
        <v>5873</v>
      </c>
      <c r="F496" s="1105"/>
      <c r="G496" s="1104">
        <v>3440</v>
      </c>
      <c r="H496" s="1104"/>
      <c r="I496" s="1104"/>
      <c r="J496" s="1104"/>
      <c r="K496" s="1104"/>
      <c r="L496" s="1104">
        <v>10707</v>
      </c>
      <c r="M496" s="1106">
        <v>10707</v>
      </c>
      <c r="N496" s="1159">
        <v>10707</v>
      </c>
      <c r="O496" s="1104">
        <v>10707</v>
      </c>
      <c r="P496" s="1107">
        <f t="shared" si="12"/>
        <v>10707</v>
      </c>
      <c r="Q496" s="1107">
        <f t="shared" si="12"/>
        <v>10707</v>
      </c>
      <c r="R496" s="1107">
        <f t="shared" si="12"/>
        <v>10707</v>
      </c>
      <c r="S496" s="1107">
        <f t="shared" si="11"/>
        <v>10707</v>
      </c>
    </row>
    <row r="497" spans="1:19">
      <c r="A497" s="1015">
        <v>384</v>
      </c>
      <c r="B497" s="1015" t="s">
        <v>8301</v>
      </c>
      <c r="C497" s="1103" t="s">
        <v>8302</v>
      </c>
      <c r="D497" s="1015" t="s">
        <v>3127</v>
      </c>
      <c r="E497" s="1104">
        <v>9788</v>
      </c>
      <c r="F497" s="1105"/>
      <c r="G497" s="1104">
        <v>3898</v>
      </c>
      <c r="H497" s="1104"/>
      <c r="I497" s="1104"/>
      <c r="J497" s="1104"/>
      <c r="K497" s="1104"/>
      <c r="L497" s="1104">
        <v>15266</v>
      </c>
      <c r="M497" s="1106">
        <v>15266</v>
      </c>
      <c r="N497" s="1159">
        <v>15266</v>
      </c>
      <c r="O497" s="1104">
        <v>15266</v>
      </c>
      <c r="P497" s="1107">
        <f t="shared" si="12"/>
        <v>15266</v>
      </c>
      <c r="Q497" s="1107">
        <f t="shared" si="12"/>
        <v>15266</v>
      </c>
      <c r="R497" s="1107">
        <f t="shared" si="12"/>
        <v>15266</v>
      </c>
      <c r="S497" s="1107">
        <f t="shared" si="11"/>
        <v>15266</v>
      </c>
    </row>
    <row r="498" spans="1:19">
      <c r="A498" s="1015">
        <v>385</v>
      </c>
      <c r="B498" s="1015" t="s">
        <v>8303</v>
      </c>
      <c r="C498" s="1103" t="s">
        <v>8304</v>
      </c>
      <c r="D498" s="1015" t="s">
        <v>3127</v>
      </c>
      <c r="E498" s="1104">
        <v>15661</v>
      </c>
      <c r="F498" s="1105"/>
      <c r="G498" s="1104">
        <v>4586</v>
      </c>
      <c r="H498" s="1104"/>
      <c r="I498" s="1104"/>
      <c r="J498" s="1104"/>
      <c r="K498" s="1104"/>
      <c r="L498" s="1104">
        <v>22106</v>
      </c>
      <c r="M498" s="1106">
        <v>22106</v>
      </c>
      <c r="N498" s="1159">
        <v>22106</v>
      </c>
      <c r="O498" s="1104">
        <v>22106</v>
      </c>
      <c r="P498" s="1107">
        <f t="shared" si="12"/>
        <v>22106</v>
      </c>
      <c r="Q498" s="1107">
        <f t="shared" si="12"/>
        <v>22106</v>
      </c>
      <c r="R498" s="1107">
        <f t="shared" si="12"/>
        <v>22106</v>
      </c>
      <c r="S498" s="1107">
        <f t="shared" si="11"/>
        <v>22106</v>
      </c>
    </row>
    <row r="499" spans="1:19">
      <c r="A499" s="1015">
        <v>386</v>
      </c>
      <c r="B499" s="1015" t="s">
        <v>8305</v>
      </c>
      <c r="C499" s="1103" t="s">
        <v>8306</v>
      </c>
      <c r="D499" s="1015" t="s">
        <v>3127</v>
      </c>
      <c r="E499" s="1104">
        <v>19577</v>
      </c>
      <c r="F499" s="1105"/>
      <c r="G499" s="1104">
        <v>10663</v>
      </c>
      <c r="H499" s="1104"/>
      <c r="I499" s="1104"/>
      <c r="J499" s="1104"/>
      <c r="K499" s="1104"/>
      <c r="L499" s="1104">
        <v>35393</v>
      </c>
      <c r="M499" s="1106">
        <v>35393</v>
      </c>
      <c r="N499" s="1159">
        <v>35393</v>
      </c>
      <c r="O499" s="1104">
        <v>35393</v>
      </c>
      <c r="P499" s="1107">
        <f t="shared" si="12"/>
        <v>35393</v>
      </c>
      <c r="Q499" s="1107">
        <f t="shared" si="12"/>
        <v>35393</v>
      </c>
      <c r="R499" s="1107">
        <f t="shared" si="12"/>
        <v>35393</v>
      </c>
      <c r="S499" s="1107">
        <f t="shared" si="11"/>
        <v>35393</v>
      </c>
    </row>
    <row r="500" spans="1:19">
      <c r="A500" s="1015">
        <v>387</v>
      </c>
      <c r="B500" s="1015" t="s">
        <v>8307</v>
      </c>
      <c r="C500" s="1103" t="s">
        <v>8308</v>
      </c>
      <c r="D500" s="1015" t="s">
        <v>3127</v>
      </c>
      <c r="E500" s="1104">
        <v>66561</v>
      </c>
      <c r="F500" s="1105"/>
      <c r="G500" s="1104">
        <v>17198</v>
      </c>
      <c r="H500" s="1104"/>
      <c r="I500" s="1104"/>
      <c r="J500" s="1104"/>
      <c r="K500" s="1104"/>
      <c r="L500" s="1104">
        <v>90924</v>
      </c>
      <c r="M500" s="1106">
        <v>90924</v>
      </c>
      <c r="N500" s="1159">
        <v>90924</v>
      </c>
      <c r="O500" s="1104">
        <v>90924</v>
      </c>
      <c r="P500" s="1107">
        <f t="shared" si="12"/>
        <v>90924</v>
      </c>
      <c r="Q500" s="1107">
        <f t="shared" si="12"/>
        <v>90924</v>
      </c>
      <c r="R500" s="1107">
        <f t="shared" si="12"/>
        <v>90924</v>
      </c>
      <c r="S500" s="1107">
        <f t="shared" si="11"/>
        <v>90924</v>
      </c>
    </row>
    <row r="501" spans="1:19">
      <c r="A501" s="1015">
        <v>388</v>
      </c>
      <c r="B501" s="1015" t="s">
        <v>8309</v>
      </c>
      <c r="C501" s="1103" t="s">
        <v>8310</v>
      </c>
      <c r="D501" s="1015" t="s">
        <v>3127</v>
      </c>
      <c r="E501" s="1104">
        <v>93968</v>
      </c>
      <c r="F501" s="1105"/>
      <c r="G501" s="1104">
        <v>27860</v>
      </c>
      <c r="H501" s="1104"/>
      <c r="I501" s="1104"/>
      <c r="J501" s="1104"/>
      <c r="K501" s="1104"/>
      <c r="L501" s="1104">
        <v>132972</v>
      </c>
      <c r="M501" s="1106">
        <v>132972</v>
      </c>
      <c r="N501" s="1159">
        <v>132972</v>
      </c>
      <c r="O501" s="1104">
        <v>132972</v>
      </c>
      <c r="P501" s="1107">
        <f t="shared" si="12"/>
        <v>132972</v>
      </c>
      <c r="Q501" s="1107">
        <f t="shared" si="12"/>
        <v>132972</v>
      </c>
      <c r="R501" s="1107">
        <f t="shared" si="12"/>
        <v>132972</v>
      </c>
      <c r="S501" s="1107">
        <f t="shared" si="11"/>
        <v>132972</v>
      </c>
    </row>
    <row r="502" spans="1:19">
      <c r="A502" s="1015"/>
      <c r="B502" s="1102" t="s">
        <v>8311</v>
      </c>
      <c r="C502" s="1099" t="s">
        <v>8312</v>
      </c>
      <c r="D502" s="1015"/>
      <c r="E502" s="1104" t="s">
        <v>7446</v>
      </c>
      <c r="F502" s="1105"/>
      <c r="G502" s="1104"/>
      <c r="H502" s="1104"/>
      <c r="I502" s="1104"/>
      <c r="J502" s="1104"/>
      <c r="K502" s="1104"/>
      <c r="L502" s="1104"/>
      <c r="M502" s="1106"/>
      <c r="N502" s="1159"/>
      <c r="O502" s="1104"/>
      <c r="P502" s="1107">
        <f t="shared" si="12"/>
        <v>0</v>
      </c>
      <c r="Q502" s="1107">
        <f t="shared" si="12"/>
        <v>0</v>
      </c>
      <c r="R502" s="1107">
        <f t="shared" si="12"/>
        <v>0</v>
      </c>
      <c r="S502" s="1107">
        <f t="shared" si="11"/>
        <v>0</v>
      </c>
    </row>
    <row r="503" spans="1:19">
      <c r="A503" s="1015">
        <v>389</v>
      </c>
      <c r="B503" s="1015" t="s">
        <v>8313</v>
      </c>
      <c r="C503" s="1103" t="s">
        <v>8314</v>
      </c>
      <c r="D503" s="1015" t="s">
        <v>7424</v>
      </c>
      <c r="E503" s="1104">
        <v>40501</v>
      </c>
      <c r="F503" s="1105"/>
      <c r="G503" s="1104">
        <v>12956</v>
      </c>
      <c r="H503" s="1104"/>
      <c r="I503" s="1104"/>
      <c r="J503" s="1104"/>
      <c r="K503" s="1104"/>
      <c r="L503" s="1104">
        <v>66759</v>
      </c>
      <c r="M503" s="1106">
        <v>66759</v>
      </c>
      <c r="N503" s="1159">
        <v>66759</v>
      </c>
      <c r="O503" s="1104">
        <v>66759</v>
      </c>
      <c r="P503" s="1107">
        <f t="shared" si="12"/>
        <v>66759</v>
      </c>
      <c r="Q503" s="1107">
        <f t="shared" si="12"/>
        <v>66759</v>
      </c>
      <c r="R503" s="1107">
        <f t="shared" si="12"/>
        <v>66759</v>
      </c>
      <c r="S503" s="1107">
        <f t="shared" si="11"/>
        <v>66759</v>
      </c>
    </row>
    <row r="504" spans="1:19">
      <c r="A504" s="1015">
        <v>390</v>
      </c>
      <c r="B504" s="1015" t="s">
        <v>8315</v>
      </c>
      <c r="C504" s="1103" t="s">
        <v>8316</v>
      </c>
      <c r="D504" s="1015" t="s">
        <v>7424</v>
      </c>
      <c r="E504" s="1104">
        <v>45002</v>
      </c>
      <c r="F504" s="1105"/>
      <c r="G504" s="1104">
        <v>15478</v>
      </c>
      <c r="H504" s="1104"/>
      <c r="I504" s="1104"/>
      <c r="J504" s="1104"/>
      <c r="K504" s="1104"/>
      <c r="L504" s="1104">
        <v>76370</v>
      </c>
      <c r="M504" s="1106">
        <v>76370</v>
      </c>
      <c r="N504" s="1159">
        <v>76370</v>
      </c>
      <c r="O504" s="1104">
        <v>76370</v>
      </c>
      <c r="P504" s="1107">
        <f t="shared" si="12"/>
        <v>76370</v>
      </c>
      <c r="Q504" s="1107">
        <f t="shared" si="12"/>
        <v>76370</v>
      </c>
      <c r="R504" s="1107">
        <f t="shared" si="12"/>
        <v>76370</v>
      </c>
      <c r="S504" s="1107">
        <f t="shared" si="11"/>
        <v>76370</v>
      </c>
    </row>
    <row r="505" spans="1:19">
      <c r="A505" s="1015">
        <v>391</v>
      </c>
      <c r="B505" s="1015" t="s">
        <v>8317</v>
      </c>
      <c r="C505" s="1103" t="s">
        <v>8318</v>
      </c>
      <c r="D505" s="1015" t="s">
        <v>7424</v>
      </c>
      <c r="E505" s="1104">
        <v>75003</v>
      </c>
      <c r="F505" s="1105"/>
      <c r="G505" s="1104">
        <v>26943</v>
      </c>
      <c r="H505" s="1104"/>
      <c r="I505" s="1104"/>
      <c r="J505" s="1104"/>
      <c r="K505" s="1104"/>
      <c r="L505" s="1104">
        <v>129607</v>
      </c>
      <c r="M505" s="1106">
        <v>129607</v>
      </c>
      <c r="N505" s="1159">
        <v>129607</v>
      </c>
      <c r="O505" s="1104">
        <v>129607</v>
      </c>
      <c r="P505" s="1107">
        <f t="shared" si="12"/>
        <v>129607</v>
      </c>
      <c r="Q505" s="1107">
        <f t="shared" si="12"/>
        <v>129607</v>
      </c>
      <c r="R505" s="1107">
        <f t="shared" si="12"/>
        <v>129607</v>
      </c>
      <c r="S505" s="1107">
        <f t="shared" si="11"/>
        <v>129607</v>
      </c>
    </row>
    <row r="506" spans="1:19">
      <c r="A506" s="1015">
        <v>392</v>
      </c>
      <c r="B506" s="1015" t="s">
        <v>8319</v>
      </c>
      <c r="C506" s="1103" t="s">
        <v>8320</v>
      </c>
      <c r="D506" s="1015" t="s">
        <v>7424</v>
      </c>
      <c r="E506" s="1104">
        <v>150005</v>
      </c>
      <c r="F506" s="1105"/>
      <c r="G506" s="1104">
        <v>65809</v>
      </c>
      <c r="H506" s="1104"/>
      <c r="I506" s="1104"/>
      <c r="J506" s="1104"/>
      <c r="K506" s="1104"/>
      <c r="L506" s="1104">
        <v>263636</v>
      </c>
      <c r="M506" s="1106">
        <v>263636</v>
      </c>
      <c r="N506" s="1159">
        <v>263636</v>
      </c>
      <c r="O506" s="1104">
        <v>263636</v>
      </c>
      <c r="P506" s="1107">
        <f t="shared" si="12"/>
        <v>263636</v>
      </c>
      <c r="Q506" s="1107">
        <f t="shared" si="12"/>
        <v>263636</v>
      </c>
      <c r="R506" s="1107">
        <f t="shared" si="12"/>
        <v>263636</v>
      </c>
      <c r="S506" s="1107">
        <f t="shared" si="11"/>
        <v>263636</v>
      </c>
    </row>
    <row r="507" spans="1:19">
      <c r="A507" s="1015">
        <v>393</v>
      </c>
      <c r="B507" s="1015" t="s">
        <v>8321</v>
      </c>
      <c r="C507" s="1103" t="s">
        <v>8322</v>
      </c>
      <c r="D507" s="1015" t="s">
        <v>7424</v>
      </c>
      <c r="E507" s="1104">
        <v>165006</v>
      </c>
      <c r="F507" s="1105"/>
      <c r="G507" s="1104">
        <v>73720</v>
      </c>
      <c r="H507" s="1104"/>
      <c r="I507" s="1104"/>
      <c r="J507" s="1104"/>
      <c r="K507" s="1104"/>
      <c r="L507" s="1104">
        <v>284432</v>
      </c>
      <c r="M507" s="1106">
        <v>284432</v>
      </c>
      <c r="N507" s="1159">
        <v>284432</v>
      </c>
      <c r="O507" s="1104">
        <v>284432</v>
      </c>
      <c r="P507" s="1107">
        <f t="shared" si="12"/>
        <v>284432</v>
      </c>
      <c r="Q507" s="1107">
        <f t="shared" si="12"/>
        <v>284432</v>
      </c>
      <c r="R507" s="1107">
        <f t="shared" si="12"/>
        <v>284432</v>
      </c>
      <c r="S507" s="1107">
        <f t="shared" si="11"/>
        <v>284432</v>
      </c>
    </row>
    <row r="508" spans="1:19">
      <c r="A508" s="1015">
        <v>394</v>
      </c>
      <c r="B508" s="1015" t="s">
        <v>8323</v>
      </c>
      <c r="C508" s="1103" t="s">
        <v>8192</v>
      </c>
      <c r="D508" s="1015" t="s">
        <v>7424</v>
      </c>
      <c r="E508" s="1104">
        <v>225008</v>
      </c>
      <c r="F508" s="1105"/>
      <c r="G508" s="1104">
        <v>89198</v>
      </c>
      <c r="H508" s="1104"/>
      <c r="I508" s="1104"/>
      <c r="J508" s="1104"/>
      <c r="K508" s="1104"/>
      <c r="L508" s="1104">
        <v>369509</v>
      </c>
      <c r="M508" s="1106">
        <v>369509</v>
      </c>
      <c r="N508" s="1159">
        <v>369509</v>
      </c>
      <c r="O508" s="1104">
        <v>369509</v>
      </c>
      <c r="P508" s="1107">
        <f t="shared" si="12"/>
        <v>369509</v>
      </c>
      <c r="Q508" s="1107">
        <f t="shared" si="12"/>
        <v>369509</v>
      </c>
      <c r="R508" s="1107">
        <f t="shared" si="12"/>
        <v>369509</v>
      </c>
      <c r="S508" s="1107">
        <f t="shared" si="11"/>
        <v>369509</v>
      </c>
    </row>
    <row r="509" spans="1:19">
      <c r="A509" s="1015">
        <v>395</v>
      </c>
      <c r="B509" s="1015" t="s">
        <v>8324</v>
      </c>
      <c r="C509" s="1103" t="s">
        <v>8325</v>
      </c>
      <c r="D509" s="1015" t="s">
        <v>7424</v>
      </c>
      <c r="E509" s="1104">
        <v>300011</v>
      </c>
      <c r="F509" s="1105"/>
      <c r="G509" s="1104">
        <v>114952</v>
      </c>
      <c r="H509" s="1104"/>
      <c r="I509" s="1104"/>
      <c r="J509" s="1104"/>
      <c r="K509" s="1104"/>
      <c r="L509" s="1104">
        <v>489299</v>
      </c>
      <c r="M509" s="1106">
        <v>489299</v>
      </c>
      <c r="N509" s="1159">
        <v>489299</v>
      </c>
      <c r="O509" s="1104">
        <v>489299</v>
      </c>
      <c r="P509" s="1107">
        <f t="shared" si="12"/>
        <v>489299</v>
      </c>
      <c r="Q509" s="1107">
        <f t="shared" si="12"/>
        <v>489299</v>
      </c>
      <c r="R509" s="1107">
        <f t="shared" si="12"/>
        <v>489299</v>
      </c>
      <c r="S509" s="1107">
        <f t="shared" si="11"/>
        <v>489299</v>
      </c>
    </row>
    <row r="510" spans="1:19">
      <c r="A510" s="1015">
        <v>396</v>
      </c>
      <c r="B510" s="1015" t="s">
        <v>8326</v>
      </c>
      <c r="C510" s="1103" t="s">
        <v>7472</v>
      </c>
      <c r="D510" s="1015" t="s">
        <v>7424</v>
      </c>
      <c r="E510" s="1104">
        <v>540020</v>
      </c>
      <c r="F510" s="1105"/>
      <c r="G510" s="1104">
        <v>237442</v>
      </c>
      <c r="H510" s="1104"/>
      <c r="I510" s="1104"/>
      <c r="J510" s="1104"/>
      <c r="K510" s="1104"/>
      <c r="L510" s="1104">
        <v>907263</v>
      </c>
      <c r="M510" s="1106">
        <v>907263</v>
      </c>
      <c r="N510" s="1159">
        <v>907263</v>
      </c>
      <c r="O510" s="1104">
        <v>907263</v>
      </c>
      <c r="P510" s="1107">
        <f t="shared" si="12"/>
        <v>907263</v>
      </c>
      <c r="Q510" s="1107">
        <f t="shared" si="12"/>
        <v>907263</v>
      </c>
      <c r="R510" s="1107">
        <f t="shared" si="12"/>
        <v>907263</v>
      </c>
      <c r="S510" s="1107">
        <f t="shared" si="11"/>
        <v>907263</v>
      </c>
    </row>
    <row r="511" spans="1:19">
      <c r="A511" s="1015">
        <v>397</v>
      </c>
      <c r="B511" s="1015" t="s">
        <v>8327</v>
      </c>
      <c r="C511" s="1103" t="s">
        <v>8328</v>
      </c>
      <c r="D511" s="1015" t="s">
        <v>7424</v>
      </c>
      <c r="E511" s="1104">
        <v>795029</v>
      </c>
      <c r="F511" s="1105"/>
      <c r="G511" s="1104">
        <v>267801</v>
      </c>
      <c r="H511" s="1104"/>
      <c r="I511" s="1104"/>
      <c r="J511" s="1104"/>
      <c r="K511" s="1104"/>
      <c r="L511" s="1104">
        <v>1209228</v>
      </c>
      <c r="M511" s="1106">
        <v>1209228</v>
      </c>
      <c r="N511" s="1159">
        <v>1209228</v>
      </c>
      <c r="O511" s="1104">
        <v>1209228</v>
      </c>
      <c r="P511" s="1107">
        <f t="shared" si="12"/>
        <v>1209228</v>
      </c>
      <c r="Q511" s="1107">
        <f t="shared" si="12"/>
        <v>1209228</v>
      </c>
      <c r="R511" s="1107">
        <f t="shared" si="12"/>
        <v>1209228</v>
      </c>
      <c r="S511" s="1107">
        <f t="shared" si="11"/>
        <v>1209228</v>
      </c>
    </row>
    <row r="512" spans="1:19">
      <c r="A512" s="1015"/>
      <c r="B512" s="1102" t="s">
        <v>8329</v>
      </c>
      <c r="C512" s="1099" t="s">
        <v>8330</v>
      </c>
      <c r="D512" s="1015"/>
      <c r="E512" s="1104" t="s">
        <v>7446</v>
      </c>
      <c r="F512" s="1105"/>
      <c r="G512" s="1104"/>
      <c r="H512" s="1104"/>
      <c r="I512" s="1104"/>
      <c r="J512" s="1104"/>
      <c r="K512" s="1104"/>
      <c r="L512" s="1104"/>
      <c r="M512" s="1106"/>
      <c r="N512" s="1159"/>
      <c r="O512" s="1104"/>
      <c r="P512" s="1107">
        <f t="shared" si="12"/>
        <v>0</v>
      </c>
      <c r="Q512" s="1107">
        <f t="shared" si="12"/>
        <v>0</v>
      </c>
      <c r="R512" s="1107">
        <f t="shared" si="12"/>
        <v>0</v>
      </c>
      <c r="S512" s="1107">
        <f t="shared" si="11"/>
        <v>0</v>
      </c>
    </row>
    <row r="513" spans="1:19">
      <c r="A513" s="1015">
        <v>398</v>
      </c>
      <c r="B513" s="1015" t="s">
        <v>8331</v>
      </c>
      <c r="C513" s="1103" t="s">
        <v>8332</v>
      </c>
      <c r="D513" s="1015" t="s">
        <v>7504</v>
      </c>
      <c r="E513" s="1104">
        <v>29880</v>
      </c>
      <c r="F513" s="1105"/>
      <c r="G513" s="1104">
        <v>9860</v>
      </c>
      <c r="H513" s="1104"/>
      <c r="I513" s="1104"/>
      <c r="J513" s="1104"/>
      <c r="K513" s="1104"/>
      <c r="L513" s="1104">
        <v>50126</v>
      </c>
      <c r="M513" s="1106">
        <v>50126</v>
      </c>
      <c r="N513" s="1159">
        <v>50126</v>
      </c>
      <c r="O513" s="1104">
        <v>50126</v>
      </c>
      <c r="P513" s="1107">
        <f t="shared" si="12"/>
        <v>50126</v>
      </c>
      <c r="Q513" s="1107">
        <f t="shared" si="12"/>
        <v>50126</v>
      </c>
      <c r="R513" s="1107">
        <f t="shared" si="12"/>
        <v>50126</v>
      </c>
      <c r="S513" s="1107">
        <f t="shared" si="11"/>
        <v>50126</v>
      </c>
    </row>
    <row r="514" spans="1:19">
      <c r="A514" s="1015">
        <v>399</v>
      </c>
      <c r="B514" s="1015" t="s">
        <v>8333</v>
      </c>
      <c r="C514" s="1103" t="s">
        <v>8334</v>
      </c>
      <c r="D514" s="1015" t="s">
        <v>7504</v>
      </c>
      <c r="E514" s="1104">
        <v>56026</v>
      </c>
      <c r="F514" s="1105"/>
      <c r="G514" s="1104">
        <v>16854</v>
      </c>
      <c r="H514" s="1104"/>
      <c r="I514" s="1104"/>
      <c r="J514" s="1104"/>
      <c r="K514" s="1104"/>
      <c r="L514" s="1104">
        <v>90633</v>
      </c>
      <c r="M514" s="1106">
        <v>90633</v>
      </c>
      <c r="N514" s="1159">
        <v>90633</v>
      </c>
      <c r="O514" s="1104">
        <v>90633</v>
      </c>
      <c r="P514" s="1107">
        <f t="shared" si="12"/>
        <v>90633</v>
      </c>
      <c r="Q514" s="1107">
        <f t="shared" si="12"/>
        <v>90633</v>
      </c>
      <c r="R514" s="1107">
        <f t="shared" si="12"/>
        <v>90633</v>
      </c>
      <c r="S514" s="1107">
        <f t="shared" si="11"/>
        <v>90633</v>
      </c>
    </row>
    <row r="515" spans="1:19">
      <c r="A515" s="1015">
        <v>400</v>
      </c>
      <c r="B515" s="1015" t="s">
        <v>8335</v>
      </c>
      <c r="C515" s="1103" t="s">
        <v>8336</v>
      </c>
      <c r="D515" s="1015" t="s">
        <v>7504</v>
      </c>
      <c r="E515" s="1104">
        <v>74701</v>
      </c>
      <c r="F515" s="1105"/>
      <c r="G515" s="1104">
        <v>22013</v>
      </c>
      <c r="H515" s="1104"/>
      <c r="I515" s="1104"/>
      <c r="J515" s="1104"/>
      <c r="K515" s="1104"/>
      <c r="L515" s="1104">
        <v>119901</v>
      </c>
      <c r="M515" s="1106">
        <v>119901</v>
      </c>
      <c r="N515" s="1159">
        <v>119901</v>
      </c>
      <c r="O515" s="1104">
        <v>119901</v>
      </c>
      <c r="P515" s="1107">
        <f t="shared" si="12"/>
        <v>119901</v>
      </c>
      <c r="Q515" s="1107">
        <f t="shared" si="12"/>
        <v>119901</v>
      </c>
      <c r="R515" s="1107">
        <f t="shared" si="12"/>
        <v>119901</v>
      </c>
      <c r="S515" s="1107">
        <f t="shared" si="11"/>
        <v>119901</v>
      </c>
    </row>
    <row r="516" spans="1:19">
      <c r="A516" s="1015">
        <v>401</v>
      </c>
      <c r="B516" s="1102" t="s">
        <v>6412</v>
      </c>
      <c r="C516" s="1099" t="s">
        <v>8337</v>
      </c>
      <c r="D516" s="1015" t="s">
        <v>3127</v>
      </c>
      <c r="E516" s="1104">
        <v>43069</v>
      </c>
      <c r="F516" s="1105"/>
      <c r="G516" s="1104">
        <v>252231</v>
      </c>
      <c r="H516" s="1104"/>
      <c r="I516" s="1104"/>
      <c r="J516" s="1104"/>
      <c r="K516" s="1104"/>
      <c r="L516" s="1104">
        <v>225936</v>
      </c>
      <c r="M516" s="1106">
        <v>225936</v>
      </c>
      <c r="N516" s="1159">
        <v>225936</v>
      </c>
      <c r="O516" s="1104">
        <v>225936</v>
      </c>
      <c r="P516" s="1107">
        <f t="shared" si="12"/>
        <v>225936</v>
      </c>
      <c r="Q516" s="1107">
        <f t="shared" si="12"/>
        <v>225936</v>
      </c>
      <c r="R516" s="1107">
        <f t="shared" si="12"/>
        <v>225936</v>
      </c>
      <c r="S516" s="1107">
        <f t="shared" si="11"/>
        <v>225936</v>
      </c>
    </row>
    <row r="517" spans="1:19">
      <c r="A517" s="1015">
        <v>402</v>
      </c>
      <c r="B517" s="1102" t="s">
        <v>8338</v>
      </c>
      <c r="C517" s="1099" t="s">
        <v>8339</v>
      </c>
      <c r="D517" s="1015" t="s">
        <v>3127</v>
      </c>
      <c r="E517" s="1104">
        <v>352379</v>
      </c>
      <c r="F517" s="1105" t="s">
        <v>7505</v>
      </c>
      <c r="G517" s="1104">
        <v>120039</v>
      </c>
      <c r="H517" s="1104">
        <v>241838</v>
      </c>
      <c r="I517" s="1104">
        <v>214511</v>
      </c>
      <c r="J517" s="1104">
        <v>187673</v>
      </c>
      <c r="K517" s="1104">
        <v>309526</v>
      </c>
      <c r="L517" s="1104">
        <v>729594</v>
      </c>
      <c r="M517" s="1106">
        <v>702267</v>
      </c>
      <c r="N517" s="1159">
        <v>675429</v>
      </c>
      <c r="O517" s="1104">
        <v>797282</v>
      </c>
      <c r="P517" s="1107">
        <f t="shared" si="12"/>
        <v>971432</v>
      </c>
      <c r="Q517" s="1107">
        <f t="shared" si="12"/>
        <v>916778</v>
      </c>
      <c r="R517" s="1107">
        <f t="shared" si="12"/>
        <v>863102</v>
      </c>
      <c r="S517" s="1107">
        <f t="shared" si="11"/>
        <v>1106808</v>
      </c>
    </row>
    <row r="518" spans="1:19">
      <c r="A518" s="1015">
        <v>403</v>
      </c>
      <c r="B518" s="1102" t="s">
        <v>8340</v>
      </c>
      <c r="C518" s="1099" t="s">
        <v>8341</v>
      </c>
      <c r="D518" s="1015" t="s">
        <v>7424</v>
      </c>
      <c r="E518" s="1104">
        <v>1665061</v>
      </c>
      <c r="F518" s="1105" t="s">
        <v>7505</v>
      </c>
      <c r="G518" s="1104">
        <v>1158316</v>
      </c>
      <c r="H518" s="1104">
        <v>241838</v>
      </c>
      <c r="I518" s="1104">
        <v>214511</v>
      </c>
      <c r="J518" s="1104">
        <v>187673</v>
      </c>
      <c r="K518" s="1104">
        <v>309526</v>
      </c>
      <c r="L518" s="1104">
        <v>3123130</v>
      </c>
      <c r="M518" s="1106">
        <v>3095803</v>
      </c>
      <c r="N518" s="1159">
        <v>3068965</v>
      </c>
      <c r="O518" s="1104">
        <v>3190818</v>
      </c>
      <c r="P518" s="1107">
        <f t="shared" si="12"/>
        <v>3364968</v>
      </c>
      <c r="Q518" s="1107">
        <f t="shared" si="12"/>
        <v>3310314</v>
      </c>
      <c r="R518" s="1107">
        <f t="shared" si="12"/>
        <v>3256638</v>
      </c>
      <c r="S518" s="1107">
        <f t="shared" si="11"/>
        <v>3500344</v>
      </c>
    </row>
    <row r="519" spans="1:19">
      <c r="A519" s="1015"/>
      <c r="B519" s="1102" t="s">
        <v>8342</v>
      </c>
      <c r="C519" s="1099" t="s">
        <v>8343</v>
      </c>
      <c r="D519" s="1015"/>
      <c r="E519" s="1104" t="s">
        <v>7446</v>
      </c>
      <c r="F519" s="1105"/>
      <c r="G519" s="1104"/>
      <c r="H519" s="1104"/>
      <c r="I519" s="1104"/>
      <c r="J519" s="1104"/>
      <c r="K519" s="1104"/>
      <c r="L519" s="1104"/>
      <c r="M519" s="1106"/>
      <c r="N519" s="1159"/>
      <c r="O519" s="1104"/>
      <c r="P519" s="1107">
        <f t="shared" si="12"/>
        <v>0</v>
      </c>
      <c r="Q519" s="1107">
        <f t="shared" si="12"/>
        <v>0</v>
      </c>
      <c r="R519" s="1107">
        <f t="shared" si="12"/>
        <v>0</v>
      </c>
      <c r="S519" s="1107">
        <f t="shared" si="11"/>
        <v>0</v>
      </c>
    </row>
    <row r="520" spans="1:19" ht="18">
      <c r="A520" s="1015">
        <v>404</v>
      </c>
      <c r="B520" s="1015" t="s">
        <v>8344</v>
      </c>
      <c r="C520" s="1103" t="s">
        <v>8345</v>
      </c>
      <c r="D520" s="1015" t="s">
        <v>3127</v>
      </c>
      <c r="E520" s="1104">
        <v>37196</v>
      </c>
      <c r="F520" s="1105" t="s">
        <v>7425</v>
      </c>
      <c r="G520" s="1104">
        <v>103415</v>
      </c>
      <c r="H520" s="1104">
        <v>287074</v>
      </c>
      <c r="I520" s="1104">
        <v>254635</v>
      </c>
      <c r="J520" s="1104">
        <v>222777</v>
      </c>
      <c r="K520" s="1104">
        <v>367424</v>
      </c>
      <c r="L520" s="1104">
        <v>515932</v>
      </c>
      <c r="M520" s="1106">
        <v>483493</v>
      </c>
      <c r="N520" s="1159">
        <v>451635</v>
      </c>
      <c r="O520" s="1104">
        <v>596282</v>
      </c>
      <c r="P520" s="1107">
        <f t="shared" si="12"/>
        <v>803006</v>
      </c>
      <c r="Q520" s="1107">
        <f t="shared" si="12"/>
        <v>738128</v>
      </c>
      <c r="R520" s="1107">
        <f t="shared" si="12"/>
        <v>674412</v>
      </c>
      <c r="S520" s="1107">
        <f t="shared" si="11"/>
        <v>963706</v>
      </c>
    </row>
    <row r="521" spans="1:19" ht="18">
      <c r="A521" s="1015">
        <v>405</v>
      </c>
      <c r="B521" s="1015" t="s">
        <v>8346</v>
      </c>
      <c r="C521" s="1103" t="s">
        <v>8347</v>
      </c>
      <c r="D521" s="1015" t="s">
        <v>3127</v>
      </c>
      <c r="E521" s="1104">
        <v>66561</v>
      </c>
      <c r="F521" s="1105" t="s">
        <v>7425</v>
      </c>
      <c r="G521" s="1104">
        <v>129899</v>
      </c>
      <c r="H521" s="1104">
        <v>287074</v>
      </c>
      <c r="I521" s="1104">
        <v>254635</v>
      </c>
      <c r="J521" s="1104">
        <v>222777</v>
      </c>
      <c r="K521" s="1104">
        <v>367424</v>
      </c>
      <c r="L521" s="1104">
        <v>594381</v>
      </c>
      <c r="M521" s="1106">
        <v>561942</v>
      </c>
      <c r="N521" s="1159">
        <v>530084</v>
      </c>
      <c r="O521" s="1104">
        <v>674731</v>
      </c>
      <c r="P521" s="1107">
        <f t="shared" si="12"/>
        <v>881455</v>
      </c>
      <c r="Q521" s="1107">
        <f t="shared" si="12"/>
        <v>816577</v>
      </c>
      <c r="R521" s="1107">
        <f t="shared" si="12"/>
        <v>752861</v>
      </c>
      <c r="S521" s="1107">
        <f t="shared" si="12"/>
        <v>1042155</v>
      </c>
    </row>
    <row r="522" spans="1:19" ht="18">
      <c r="A522" s="1015">
        <v>406</v>
      </c>
      <c r="B522" s="1015" t="s">
        <v>8348</v>
      </c>
      <c r="C522" s="1103" t="s">
        <v>8349</v>
      </c>
      <c r="D522" s="1015" t="s">
        <v>3127</v>
      </c>
      <c r="E522" s="1104">
        <v>140952</v>
      </c>
      <c r="F522" s="1105" t="s">
        <v>7425</v>
      </c>
      <c r="G522" s="1104">
        <v>170830</v>
      </c>
      <c r="H522" s="1104">
        <v>287074</v>
      </c>
      <c r="I522" s="1104">
        <v>254635</v>
      </c>
      <c r="J522" s="1104">
        <v>222777</v>
      </c>
      <c r="K522" s="1104">
        <v>367424</v>
      </c>
      <c r="L522" s="1104">
        <v>738936</v>
      </c>
      <c r="M522" s="1106">
        <v>706497</v>
      </c>
      <c r="N522" s="1159">
        <v>674639</v>
      </c>
      <c r="O522" s="1104">
        <v>819286</v>
      </c>
      <c r="P522" s="1107">
        <f t="shared" ref="P522:S585" si="13">H522+L522</f>
        <v>1026010</v>
      </c>
      <c r="Q522" s="1107">
        <f t="shared" si="13"/>
        <v>961132</v>
      </c>
      <c r="R522" s="1107">
        <f t="shared" si="13"/>
        <v>897416</v>
      </c>
      <c r="S522" s="1107">
        <f t="shared" si="13"/>
        <v>1186710</v>
      </c>
    </row>
    <row r="523" spans="1:19">
      <c r="A523" s="1015"/>
      <c r="B523" s="1102" t="s">
        <v>8350</v>
      </c>
      <c r="C523" s="1099" t="s">
        <v>8351</v>
      </c>
      <c r="D523" s="1015"/>
      <c r="E523" s="1104" t="s">
        <v>7446</v>
      </c>
      <c r="F523" s="1105"/>
      <c r="G523" s="1104"/>
      <c r="H523" s="1104"/>
      <c r="I523" s="1104"/>
      <c r="J523" s="1104"/>
      <c r="K523" s="1104"/>
      <c r="L523" s="1104"/>
      <c r="M523" s="1106"/>
      <c r="N523" s="1159"/>
      <c r="O523" s="1104"/>
      <c r="P523" s="1107">
        <f t="shared" si="13"/>
        <v>0</v>
      </c>
      <c r="Q523" s="1107">
        <f t="shared" si="13"/>
        <v>0</v>
      </c>
      <c r="R523" s="1107">
        <f t="shared" si="13"/>
        <v>0</v>
      </c>
      <c r="S523" s="1107">
        <f t="shared" si="13"/>
        <v>0</v>
      </c>
    </row>
    <row r="524" spans="1:19">
      <c r="A524" s="1015">
        <v>407</v>
      </c>
      <c r="B524" s="1015" t="s">
        <v>8352</v>
      </c>
      <c r="C524" s="1103" t="s">
        <v>8353</v>
      </c>
      <c r="D524" s="1015" t="s">
        <v>7424</v>
      </c>
      <c r="E524" s="1104">
        <v>810029</v>
      </c>
      <c r="F524" s="1105" t="s">
        <v>7452</v>
      </c>
      <c r="G524" s="1104">
        <v>240684</v>
      </c>
      <c r="H524" s="1104">
        <v>337529</v>
      </c>
      <c r="I524" s="1104">
        <v>299389</v>
      </c>
      <c r="J524" s="1104">
        <v>261932</v>
      </c>
      <c r="K524" s="1104">
        <v>432001</v>
      </c>
      <c r="L524" s="1104">
        <v>1383429</v>
      </c>
      <c r="M524" s="1106">
        <v>1345289</v>
      </c>
      <c r="N524" s="1159">
        <v>1307832</v>
      </c>
      <c r="O524" s="1104">
        <v>1477901</v>
      </c>
      <c r="P524" s="1107">
        <f t="shared" si="13"/>
        <v>1720958</v>
      </c>
      <c r="Q524" s="1107">
        <f t="shared" si="13"/>
        <v>1644678</v>
      </c>
      <c r="R524" s="1107">
        <f t="shared" si="13"/>
        <v>1569764</v>
      </c>
      <c r="S524" s="1107">
        <f t="shared" si="13"/>
        <v>1909902</v>
      </c>
    </row>
    <row r="525" spans="1:19">
      <c r="A525" s="1015">
        <v>408</v>
      </c>
      <c r="B525" s="1015" t="s">
        <v>8354</v>
      </c>
      <c r="C525" s="1103" t="s">
        <v>8355</v>
      </c>
      <c r="D525" s="1015" t="s">
        <v>7424</v>
      </c>
      <c r="E525" s="1104">
        <v>1905069</v>
      </c>
      <c r="F525" s="1105" t="s">
        <v>7452</v>
      </c>
      <c r="G525" s="1104">
        <v>505900</v>
      </c>
      <c r="H525" s="1104">
        <v>337529</v>
      </c>
      <c r="I525" s="1104">
        <v>299389</v>
      </c>
      <c r="J525" s="1104">
        <v>261932</v>
      </c>
      <c r="K525" s="1104">
        <v>432001</v>
      </c>
      <c r="L525" s="1104">
        <v>2730792</v>
      </c>
      <c r="M525" s="1106">
        <v>2692652</v>
      </c>
      <c r="N525" s="1159">
        <v>2655195</v>
      </c>
      <c r="O525" s="1104">
        <v>2825264</v>
      </c>
      <c r="P525" s="1107">
        <f t="shared" si="13"/>
        <v>3068321</v>
      </c>
      <c r="Q525" s="1107">
        <f t="shared" si="13"/>
        <v>2992041</v>
      </c>
      <c r="R525" s="1107">
        <f t="shared" si="13"/>
        <v>2917127</v>
      </c>
      <c r="S525" s="1107">
        <f t="shared" si="13"/>
        <v>3257265</v>
      </c>
    </row>
    <row r="526" spans="1:19">
      <c r="A526" s="1015">
        <v>409</v>
      </c>
      <c r="B526" s="1015" t="s">
        <v>8356</v>
      </c>
      <c r="C526" s="1103" t="s">
        <v>8357</v>
      </c>
      <c r="D526" s="1015" t="s">
        <v>7424</v>
      </c>
      <c r="E526" s="1104">
        <v>2040074</v>
      </c>
      <c r="F526" s="1105" t="s">
        <v>7452</v>
      </c>
      <c r="G526" s="1104">
        <v>541420</v>
      </c>
      <c r="H526" s="1104">
        <v>337529</v>
      </c>
      <c r="I526" s="1104">
        <v>299389</v>
      </c>
      <c r="J526" s="1104">
        <v>261932</v>
      </c>
      <c r="K526" s="1104">
        <v>432001</v>
      </c>
      <c r="L526" s="1104">
        <v>2894659</v>
      </c>
      <c r="M526" s="1106">
        <v>2856519</v>
      </c>
      <c r="N526" s="1159">
        <v>2819062</v>
      </c>
      <c r="O526" s="1104">
        <v>2989131</v>
      </c>
      <c r="P526" s="1107">
        <f t="shared" si="13"/>
        <v>3232188</v>
      </c>
      <c r="Q526" s="1107">
        <f t="shared" si="13"/>
        <v>3155908</v>
      </c>
      <c r="R526" s="1107">
        <f t="shared" si="13"/>
        <v>3080994</v>
      </c>
      <c r="S526" s="1107">
        <f t="shared" si="13"/>
        <v>3421132</v>
      </c>
    </row>
    <row r="527" spans="1:19">
      <c r="A527" s="1015">
        <v>410</v>
      </c>
      <c r="B527" s="1015" t="s">
        <v>8358</v>
      </c>
      <c r="C527" s="1103" t="s">
        <v>8359</v>
      </c>
      <c r="D527" s="1015" t="s">
        <v>7424</v>
      </c>
      <c r="E527" s="1104">
        <v>2520092</v>
      </c>
      <c r="F527" s="1105" t="s">
        <v>7452</v>
      </c>
      <c r="G527" s="1104">
        <v>659820</v>
      </c>
      <c r="H527" s="1104">
        <v>337529</v>
      </c>
      <c r="I527" s="1104">
        <v>299389</v>
      </c>
      <c r="J527" s="1104">
        <v>261932</v>
      </c>
      <c r="K527" s="1104">
        <v>432001</v>
      </c>
      <c r="L527" s="1104">
        <v>3481151</v>
      </c>
      <c r="M527" s="1106">
        <v>3443011</v>
      </c>
      <c r="N527" s="1159">
        <v>3405554</v>
      </c>
      <c r="O527" s="1104">
        <v>3575623</v>
      </c>
      <c r="P527" s="1107">
        <f t="shared" si="13"/>
        <v>3818680</v>
      </c>
      <c r="Q527" s="1107">
        <f t="shared" si="13"/>
        <v>3742400</v>
      </c>
      <c r="R527" s="1107">
        <f t="shared" si="13"/>
        <v>3667486</v>
      </c>
      <c r="S527" s="1107">
        <f t="shared" si="13"/>
        <v>4007624</v>
      </c>
    </row>
    <row r="528" spans="1:19">
      <c r="A528" s="1015"/>
      <c r="B528" s="1102" t="s">
        <v>8360</v>
      </c>
      <c r="C528" s="1099" t="s">
        <v>8361</v>
      </c>
      <c r="D528" s="1015"/>
      <c r="E528" s="1104" t="s">
        <v>7446</v>
      </c>
      <c r="F528" s="1105"/>
      <c r="G528" s="1104"/>
      <c r="H528" s="1104"/>
      <c r="I528" s="1104"/>
      <c r="J528" s="1104"/>
      <c r="K528" s="1104"/>
      <c r="L528" s="1104"/>
      <c r="M528" s="1106"/>
      <c r="N528" s="1159"/>
      <c r="O528" s="1104"/>
      <c r="P528" s="1107">
        <f t="shared" si="13"/>
        <v>0</v>
      </c>
      <c r="Q528" s="1107">
        <f t="shared" si="13"/>
        <v>0</v>
      </c>
      <c r="R528" s="1107">
        <f t="shared" si="13"/>
        <v>0</v>
      </c>
      <c r="S528" s="1107">
        <f t="shared" si="13"/>
        <v>0</v>
      </c>
    </row>
    <row r="529" spans="1:19" ht="18">
      <c r="A529" s="1015">
        <v>411</v>
      </c>
      <c r="B529" s="1015" t="s">
        <v>8362</v>
      </c>
      <c r="C529" s="1103" t="s">
        <v>7886</v>
      </c>
      <c r="D529" s="1015" t="s">
        <v>7424</v>
      </c>
      <c r="E529" s="1104">
        <v>795029</v>
      </c>
      <c r="F529" s="1105" t="s">
        <v>7556</v>
      </c>
      <c r="G529" s="1104">
        <v>2508786</v>
      </c>
      <c r="H529" s="1104">
        <v>537877</v>
      </c>
      <c r="I529" s="1104">
        <v>477098</v>
      </c>
      <c r="J529" s="1104">
        <v>417407</v>
      </c>
      <c r="K529" s="1104">
        <v>688424</v>
      </c>
      <c r="L529" s="1104">
        <v>3561866</v>
      </c>
      <c r="M529" s="1106">
        <v>3501087</v>
      </c>
      <c r="N529" s="1159">
        <v>3441396</v>
      </c>
      <c r="O529" s="1104">
        <v>3712413</v>
      </c>
      <c r="P529" s="1107">
        <f t="shared" si="13"/>
        <v>4099743</v>
      </c>
      <c r="Q529" s="1107">
        <f t="shared" si="13"/>
        <v>3978185</v>
      </c>
      <c r="R529" s="1107">
        <f t="shared" si="13"/>
        <v>3858803</v>
      </c>
      <c r="S529" s="1107">
        <f t="shared" si="13"/>
        <v>4400837</v>
      </c>
    </row>
    <row r="530" spans="1:19" ht="18">
      <c r="A530" s="1015">
        <v>412</v>
      </c>
      <c r="B530" s="1015" t="s">
        <v>8363</v>
      </c>
      <c r="C530" s="1103" t="s">
        <v>7888</v>
      </c>
      <c r="D530" s="1015" t="s">
        <v>7424</v>
      </c>
      <c r="E530" s="1104">
        <v>900033</v>
      </c>
      <c r="F530" s="1105" t="s">
        <v>7556</v>
      </c>
      <c r="G530" s="1104">
        <v>2809744</v>
      </c>
      <c r="H530" s="1104">
        <v>537877</v>
      </c>
      <c r="I530" s="1104">
        <v>477098</v>
      </c>
      <c r="J530" s="1104">
        <v>417407</v>
      </c>
      <c r="K530" s="1104">
        <v>688424</v>
      </c>
      <c r="L530" s="1104">
        <v>3891032</v>
      </c>
      <c r="M530" s="1106">
        <v>3830253</v>
      </c>
      <c r="N530" s="1159">
        <v>3770562</v>
      </c>
      <c r="O530" s="1104">
        <v>4041579</v>
      </c>
      <c r="P530" s="1107">
        <f t="shared" si="13"/>
        <v>4428909</v>
      </c>
      <c r="Q530" s="1107">
        <f t="shared" si="13"/>
        <v>4307351</v>
      </c>
      <c r="R530" s="1107">
        <f t="shared" si="13"/>
        <v>4187969</v>
      </c>
      <c r="S530" s="1107">
        <f t="shared" si="13"/>
        <v>4730003</v>
      </c>
    </row>
    <row r="531" spans="1:19">
      <c r="A531" s="1015"/>
      <c r="B531" s="1102" t="s">
        <v>8364</v>
      </c>
      <c r="C531" s="1099" t="s">
        <v>8365</v>
      </c>
      <c r="D531" s="1015"/>
      <c r="E531" s="1104" t="s">
        <v>7446</v>
      </c>
      <c r="F531" s="1105"/>
      <c r="G531" s="1104"/>
      <c r="H531" s="1104"/>
      <c r="I531" s="1104"/>
      <c r="J531" s="1104"/>
      <c r="K531" s="1104"/>
      <c r="L531" s="1104"/>
      <c r="M531" s="1106"/>
      <c r="N531" s="1159"/>
      <c r="O531" s="1104"/>
      <c r="P531" s="1107">
        <f t="shared" si="13"/>
        <v>0</v>
      </c>
      <c r="Q531" s="1107">
        <f t="shared" si="13"/>
        <v>0</v>
      </c>
      <c r="R531" s="1107">
        <f t="shared" si="13"/>
        <v>0</v>
      </c>
      <c r="S531" s="1107">
        <f t="shared" si="13"/>
        <v>0</v>
      </c>
    </row>
    <row r="532" spans="1:19" ht="18">
      <c r="A532" s="1015">
        <v>413</v>
      </c>
      <c r="B532" s="1015" t="s">
        <v>8366</v>
      </c>
      <c r="C532" s="1103" t="s">
        <v>8367</v>
      </c>
      <c r="D532" s="1015" t="s">
        <v>3127</v>
      </c>
      <c r="E532" s="1104">
        <v>356294</v>
      </c>
      <c r="F532" s="1105" t="s">
        <v>7616</v>
      </c>
      <c r="G532" s="1104">
        <v>1245106</v>
      </c>
      <c r="H532" s="1104">
        <v>579367</v>
      </c>
      <c r="I532" s="1104">
        <v>513900</v>
      </c>
      <c r="J532" s="1104">
        <v>449605</v>
      </c>
      <c r="K532" s="1104">
        <v>741527</v>
      </c>
      <c r="L532" s="1104">
        <v>2248682</v>
      </c>
      <c r="M532" s="1106">
        <v>2183215</v>
      </c>
      <c r="N532" s="1159">
        <v>2118920</v>
      </c>
      <c r="O532" s="1104">
        <v>2410842</v>
      </c>
      <c r="P532" s="1107">
        <f t="shared" si="13"/>
        <v>2828049</v>
      </c>
      <c r="Q532" s="1107">
        <f t="shared" si="13"/>
        <v>2697115</v>
      </c>
      <c r="R532" s="1107">
        <f t="shared" si="13"/>
        <v>2568525</v>
      </c>
      <c r="S532" s="1107">
        <f t="shared" si="13"/>
        <v>3152369</v>
      </c>
    </row>
    <row r="533" spans="1:19" ht="18">
      <c r="A533" s="1015">
        <v>414</v>
      </c>
      <c r="B533" s="1015" t="s">
        <v>8368</v>
      </c>
      <c r="C533" s="1103" t="s">
        <v>8369</v>
      </c>
      <c r="D533" s="1015" t="s">
        <v>3127</v>
      </c>
      <c r="E533" s="1104">
        <v>485500</v>
      </c>
      <c r="F533" s="1105" t="s">
        <v>7592</v>
      </c>
      <c r="G533" s="1104">
        <v>1711849</v>
      </c>
      <c r="H533" s="1104">
        <v>624603</v>
      </c>
      <c r="I533" s="1104">
        <v>554024</v>
      </c>
      <c r="J533" s="1104">
        <v>484709</v>
      </c>
      <c r="K533" s="1104">
        <v>799425</v>
      </c>
      <c r="L533" s="1104">
        <v>2915326</v>
      </c>
      <c r="M533" s="1106">
        <v>2844747</v>
      </c>
      <c r="N533" s="1159">
        <v>2775432</v>
      </c>
      <c r="O533" s="1104">
        <v>3090148</v>
      </c>
      <c r="P533" s="1107">
        <f t="shared" si="13"/>
        <v>3539929</v>
      </c>
      <c r="Q533" s="1107">
        <f t="shared" si="13"/>
        <v>3398771</v>
      </c>
      <c r="R533" s="1107">
        <f t="shared" si="13"/>
        <v>3260141</v>
      </c>
      <c r="S533" s="1107">
        <f t="shared" si="13"/>
        <v>3889573</v>
      </c>
    </row>
    <row r="534" spans="1:19">
      <c r="A534" s="1015"/>
      <c r="B534" s="1102" t="s">
        <v>8370</v>
      </c>
      <c r="C534" s="1099" t="s">
        <v>8371</v>
      </c>
      <c r="D534" s="1015"/>
      <c r="E534" s="1104" t="s">
        <v>7446</v>
      </c>
      <c r="F534" s="1105"/>
      <c r="G534" s="1104"/>
      <c r="H534" s="1104"/>
      <c r="I534" s="1104"/>
      <c r="J534" s="1104"/>
      <c r="K534" s="1104"/>
      <c r="L534" s="1104"/>
      <c r="M534" s="1106"/>
      <c r="N534" s="1159"/>
      <c r="O534" s="1104"/>
      <c r="P534" s="1107">
        <f t="shared" si="13"/>
        <v>0</v>
      </c>
      <c r="Q534" s="1107">
        <f t="shared" si="13"/>
        <v>0</v>
      </c>
      <c r="R534" s="1107">
        <f t="shared" si="13"/>
        <v>0</v>
      </c>
      <c r="S534" s="1107">
        <f t="shared" si="13"/>
        <v>0</v>
      </c>
    </row>
    <row r="535" spans="1:19" ht="18">
      <c r="A535" s="1015">
        <v>415</v>
      </c>
      <c r="B535" s="1015" t="s">
        <v>8372</v>
      </c>
      <c r="C535" s="1103" t="s">
        <v>8373</v>
      </c>
      <c r="D535" s="1015" t="s">
        <v>3127</v>
      </c>
      <c r="E535" s="1104">
        <v>105714</v>
      </c>
      <c r="F535" s="1105" t="s">
        <v>7425</v>
      </c>
      <c r="G535" s="1104">
        <v>1734436</v>
      </c>
      <c r="H535" s="1104">
        <v>287074</v>
      </c>
      <c r="I535" s="1104">
        <v>254635</v>
      </c>
      <c r="J535" s="1104">
        <v>222777</v>
      </c>
      <c r="K535" s="1104">
        <v>367424</v>
      </c>
      <c r="L535" s="1104">
        <v>2352700</v>
      </c>
      <c r="M535" s="1106">
        <v>2320261</v>
      </c>
      <c r="N535" s="1159">
        <v>2288403</v>
      </c>
      <c r="O535" s="1104">
        <v>2433050</v>
      </c>
      <c r="P535" s="1107">
        <f t="shared" si="13"/>
        <v>2639774</v>
      </c>
      <c r="Q535" s="1107">
        <f t="shared" si="13"/>
        <v>2574896</v>
      </c>
      <c r="R535" s="1107">
        <f t="shared" si="13"/>
        <v>2511180</v>
      </c>
      <c r="S535" s="1107">
        <f t="shared" si="13"/>
        <v>2800474</v>
      </c>
    </row>
    <row r="536" spans="1:19" ht="18">
      <c r="A536" s="1015">
        <v>416</v>
      </c>
      <c r="B536" s="1015" t="s">
        <v>8374</v>
      </c>
      <c r="C536" s="1103" t="s">
        <v>8375</v>
      </c>
      <c r="D536" s="1015" t="s">
        <v>3127</v>
      </c>
      <c r="E536" s="1104">
        <v>839837</v>
      </c>
      <c r="F536" s="1105" t="s">
        <v>7425</v>
      </c>
      <c r="G536" s="1104">
        <v>6737447</v>
      </c>
      <c r="H536" s="1104">
        <v>287074</v>
      </c>
      <c r="I536" s="1104">
        <v>254635</v>
      </c>
      <c r="J536" s="1104">
        <v>222777</v>
      </c>
      <c r="K536" s="1104">
        <v>367424</v>
      </c>
      <c r="L536" s="1104">
        <v>8605477</v>
      </c>
      <c r="M536" s="1106">
        <v>8573038</v>
      </c>
      <c r="N536" s="1159">
        <v>8541180</v>
      </c>
      <c r="O536" s="1104">
        <v>8685827</v>
      </c>
      <c r="P536" s="1107">
        <f t="shared" si="13"/>
        <v>8892551</v>
      </c>
      <c r="Q536" s="1107">
        <f t="shared" si="13"/>
        <v>8827673</v>
      </c>
      <c r="R536" s="1107">
        <f t="shared" si="13"/>
        <v>8763957</v>
      </c>
      <c r="S536" s="1107">
        <f t="shared" si="13"/>
        <v>9053251</v>
      </c>
    </row>
    <row r="537" spans="1:19">
      <c r="A537" s="1015"/>
      <c r="B537" s="1102" t="s">
        <v>8376</v>
      </c>
      <c r="C537" s="1099" t="s">
        <v>8377</v>
      </c>
      <c r="D537" s="1015"/>
      <c r="E537" s="1104" t="s">
        <v>7446</v>
      </c>
      <c r="F537" s="1105"/>
      <c r="G537" s="1104"/>
      <c r="H537" s="1104"/>
      <c r="I537" s="1104"/>
      <c r="J537" s="1104"/>
      <c r="K537" s="1104"/>
      <c r="L537" s="1104"/>
      <c r="M537" s="1106"/>
      <c r="N537" s="1159"/>
      <c r="O537" s="1104"/>
      <c r="P537" s="1107">
        <f t="shared" si="13"/>
        <v>0</v>
      </c>
      <c r="Q537" s="1107">
        <f t="shared" si="13"/>
        <v>0</v>
      </c>
      <c r="R537" s="1107">
        <f t="shared" si="13"/>
        <v>0</v>
      </c>
      <c r="S537" s="1107">
        <f t="shared" si="13"/>
        <v>0</v>
      </c>
    </row>
    <row r="538" spans="1:19">
      <c r="A538" s="1015">
        <v>417</v>
      </c>
      <c r="B538" s="1015" t="s">
        <v>8378</v>
      </c>
      <c r="C538" s="1103" t="s">
        <v>8379</v>
      </c>
      <c r="D538" s="1015" t="s">
        <v>3127</v>
      </c>
      <c r="E538" s="1104">
        <v>9788</v>
      </c>
      <c r="F538" s="1105" t="s">
        <v>7505</v>
      </c>
      <c r="G538" s="1104">
        <v>6420</v>
      </c>
      <c r="H538" s="1104">
        <v>241838</v>
      </c>
      <c r="I538" s="1104">
        <v>214511</v>
      </c>
      <c r="J538" s="1104">
        <v>187673</v>
      </c>
      <c r="K538" s="1104">
        <v>309526</v>
      </c>
      <c r="L538" s="1104">
        <v>267805</v>
      </c>
      <c r="M538" s="1106">
        <v>240478</v>
      </c>
      <c r="N538" s="1159">
        <v>213640</v>
      </c>
      <c r="O538" s="1104">
        <v>335493</v>
      </c>
      <c r="P538" s="1107">
        <f t="shared" si="13"/>
        <v>509643</v>
      </c>
      <c r="Q538" s="1107">
        <f t="shared" si="13"/>
        <v>454989</v>
      </c>
      <c r="R538" s="1107">
        <f t="shared" si="13"/>
        <v>401313</v>
      </c>
      <c r="S538" s="1107">
        <f t="shared" si="13"/>
        <v>645019</v>
      </c>
    </row>
    <row r="539" spans="1:19">
      <c r="A539" s="1015"/>
      <c r="B539" s="1102" t="s">
        <v>8380</v>
      </c>
      <c r="C539" s="1099" t="s">
        <v>8381</v>
      </c>
      <c r="D539" s="1015"/>
      <c r="E539" s="1104" t="s">
        <v>7446</v>
      </c>
      <c r="F539" s="1105"/>
      <c r="G539" s="1104"/>
      <c r="H539" s="1104"/>
      <c r="I539" s="1104"/>
      <c r="J539" s="1104"/>
      <c r="K539" s="1104"/>
      <c r="L539" s="1104"/>
      <c r="M539" s="1106"/>
      <c r="N539" s="1159"/>
      <c r="O539" s="1104"/>
      <c r="P539" s="1107">
        <f t="shared" si="13"/>
        <v>0</v>
      </c>
      <c r="Q539" s="1107">
        <f t="shared" si="13"/>
        <v>0</v>
      </c>
      <c r="R539" s="1107">
        <f t="shared" si="13"/>
        <v>0</v>
      </c>
      <c r="S539" s="1107">
        <f t="shared" si="13"/>
        <v>0</v>
      </c>
    </row>
    <row r="540" spans="1:19">
      <c r="A540" s="1015">
        <v>418</v>
      </c>
      <c r="B540" s="1015" t="s">
        <v>8382</v>
      </c>
      <c r="C540" s="1103" t="s">
        <v>8379</v>
      </c>
      <c r="D540" s="1015" t="s">
        <v>3127</v>
      </c>
      <c r="E540" s="1104">
        <v>9788</v>
      </c>
      <c r="F540" s="1105"/>
      <c r="G540" s="1104">
        <v>5045</v>
      </c>
      <c r="H540" s="1104"/>
      <c r="I540" s="1104"/>
      <c r="J540" s="1104"/>
      <c r="K540" s="1104"/>
      <c r="L540" s="1104">
        <v>22502</v>
      </c>
      <c r="M540" s="1106">
        <v>22502</v>
      </c>
      <c r="N540" s="1159">
        <v>22502</v>
      </c>
      <c r="O540" s="1104">
        <v>22502</v>
      </c>
      <c r="P540" s="1107">
        <f t="shared" si="13"/>
        <v>22502</v>
      </c>
      <c r="Q540" s="1107">
        <f t="shared" si="13"/>
        <v>22502</v>
      </c>
      <c r="R540" s="1107">
        <f t="shared" si="13"/>
        <v>22502</v>
      </c>
      <c r="S540" s="1107">
        <f t="shared" si="13"/>
        <v>22502</v>
      </c>
    </row>
    <row r="541" spans="1:19">
      <c r="A541" s="1015"/>
      <c r="B541" s="1102" t="s">
        <v>8383</v>
      </c>
      <c r="C541" s="1099" t="s">
        <v>8384</v>
      </c>
      <c r="D541" s="1015"/>
      <c r="E541" s="1104" t="s">
        <v>7446</v>
      </c>
      <c r="F541" s="1105"/>
      <c r="G541" s="1104"/>
      <c r="H541" s="1104"/>
      <c r="I541" s="1104"/>
      <c r="J541" s="1104"/>
      <c r="K541" s="1104"/>
      <c r="L541" s="1104"/>
      <c r="M541" s="1106"/>
      <c r="N541" s="1159"/>
      <c r="O541" s="1104"/>
      <c r="P541" s="1107">
        <f t="shared" si="13"/>
        <v>0</v>
      </c>
      <c r="Q541" s="1107">
        <f t="shared" si="13"/>
        <v>0</v>
      </c>
      <c r="R541" s="1107">
        <f t="shared" si="13"/>
        <v>0</v>
      </c>
      <c r="S541" s="1107">
        <f t="shared" si="13"/>
        <v>0</v>
      </c>
    </row>
    <row r="542" spans="1:19">
      <c r="A542" s="1015">
        <v>419</v>
      </c>
      <c r="B542" s="1015" t="s">
        <v>8385</v>
      </c>
      <c r="C542" s="1103" t="s">
        <v>8386</v>
      </c>
      <c r="D542" s="1015" t="s">
        <v>3127</v>
      </c>
      <c r="E542" s="1104">
        <v>13704</v>
      </c>
      <c r="F542" s="1105" t="s">
        <v>7505</v>
      </c>
      <c r="G542" s="1104">
        <v>7395</v>
      </c>
      <c r="H542" s="1104">
        <v>241838</v>
      </c>
      <c r="I542" s="1104">
        <v>214511</v>
      </c>
      <c r="J542" s="1104">
        <v>187673</v>
      </c>
      <c r="K542" s="1104">
        <v>309526</v>
      </c>
      <c r="L542" s="1104">
        <v>271712</v>
      </c>
      <c r="M542" s="1106">
        <v>244385</v>
      </c>
      <c r="N542" s="1159">
        <v>217547</v>
      </c>
      <c r="O542" s="1104">
        <v>339400</v>
      </c>
      <c r="P542" s="1107">
        <f t="shared" si="13"/>
        <v>513550</v>
      </c>
      <c r="Q542" s="1107">
        <f t="shared" si="13"/>
        <v>458896</v>
      </c>
      <c r="R542" s="1107">
        <f t="shared" si="13"/>
        <v>405220</v>
      </c>
      <c r="S542" s="1107">
        <f t="shared" si="13"/>
        <v>648926</v>
      </c>
    </row>
    <row r="543" spans="1:19">
      <c r="A543" s="1015">
        <v>420</v>
      </c>
      <c r="B543" s="1015" t="s">
        <v>8387</v>
      </c>
      <c r="C543" s="1103" t="s">
        <v>8388</v>
      </c>
      <c r="D543" s="1015" t="s">
        <v>3127</v>
      </c>
      <c r="E543" s="1104">
        <v>31323</v>
      </c>
      <c r="F543" s="1105" t="s">
        <v>7505</v>
      </c>
      <c r="G543" s="1104">
        <v>24535</v>
      </c>
      <c r="H543" s="1104">
        <v>241838</v>
      </c>
      <c r="I543" s="1104">
        <v>214511</v>
      </c>
      <c r="J543" s="1104">
        <v>187673</v>
      </c>
      <c r="K543" s="1104">
        <v>309526</v>
      </c>
      <c r="L543" s="1104">
        <v>323048</v>
      </c>
      <c r="M543" s="1106">
        <v>295721</v>
      </c>
      <c r="N543" s="1159">
        <v>268883</v>
      </c>
      <c r="O543" s="1104">
        <v>390736</v>
      </c>
      <c r="P543" s="1107">
        <f t="shared" si="13"/>
        <v>564886</v>
      </c>
      <c r="Q543" s="1107">
        <f t="shared" si="13"/>
        <v>510232</v>
      </c>
      <c r="R543" s="1107">
        <f t="shared" si="13"/>
        <v>456556</v>
      </c>
      <c r="S543" s="1107">
        <f t="shared" si="13"/>
        <v>700262</v>
      </c>
    </row>
    <row r="544" spans="1:19">
      <c r="A544" s="1015"/>
      <c r="B544" s="1102" t="s">
        <v>8389</v>
      </c>
      <c r="C544" s="1099" t="s">
        <v>8390</v>
      </c>
      <c r="D544" s="1015"/>
      <c r="E544" s="1104" t="s">
        <v>7446</v>
      </c>
      <c r="F544" s="1105"/>
      <c r="G544" s="1104"/>
      <c r="H544" s="1104"/>
      <c r="I544" s="1104"/>
      <c r="J544" s="1104"/>
      <c r="K544" s="1104"/>
      <c r="L544" s="1104"/>
      <c r="M544" s="1106"/>
      <c r="N544" s="1159"/>
      <c r="O544" s="1104"/>
      <c r="P544" s="1107">
        <f t="shared" si="13"/>
        <v>0</v>
      </c>
      <c r="Q544" s="1107">
        <f t="shared" si="13"/>
        <v>0</v>
      </c>
      <c r="R544" s="1107">
        <f t="shared" si="13"/>
        <v>0</v>
      </c>
      <c r="S544" s="1107">
        <f t="shared" si="13"/>
        <v>0</v>
      </c>
    </row>
    <row r="545" spans="1:19">
      <c r="A545" s="1015">
        <v>421</v>
      </c>
      <c r="B545" s="1015" t="s">
        <v>8391</v>
      </c>
      <c r="C545" s="1103" t="s">
        <v>8392</v>
      </c>
      <c r="D545" s="1015"/>
      <c r="E545" s="1104" t="s">
        <v>7446</v>
      </c>
      <c r="F545" s="1105" t="s">
        <v>7505</v>
      </c>
      <c r="G545" s="1104">
        <v>8026</v>
      </c>
      <c r="H545" s="1104">
        <v>241838</v>
      </c>
      <c r="I545" s="1104">
        <v>214511</v>
      </c>
      <c r="J545" s="1104">
        <v>187673</v>
      </c>
      <c r="K545" s="1104">
        <v>309526</v>
      </c>
      <c r="L545" s="1104">
        <v>258639</v>
      </c>
      <c r="M545" s="1106">
        <v>231312</v>
      </c>
      <c r="N545" s="1159">
        <v>204474</v>
      </c>
      <c r="O545" s="1104">
        <v>326327</v>
      </c>
      <c r="P545" s="1107">
        <f t="shared" si="13"/>
        <v>500477</v>
      </c>
      <c r="Q545" s="1107">
        <f t="shared" si="13"/>
        <v>445823</v>
      </c>
      <c r="R545" s="1107">
        <f t="shared" si="13"/>
        <v>392147</v>
      </c>
      <c r="S545" s="1107">
        <f t="shared" si="13"/>
        <v>635853</v>
      </c>
    </row>
    <row r="546" spans="1:19">
      <c r="A546" s="1015">
        <v>422</v>
      </c>
      <c r="B546" s="1015" t="s">
        <v>8393</v>
      </c>
      <c r="C546" s="1103" t="s">
        <v>8394</v>
      </c>
      <c r="D546" s="1015"/>
      <c r="E546" s="1104" t="s">
        <v>7446</v>
      </c>
      <c r="F546" s="1105" t="s">
        <v>7505</v>
      </c>
      <c r="G546" s="1104">
        <v>7452</v>
      </c>
      <c r="H546" s="1104">
        <v>241838</v>
      </c>
      <c r="I546" s="1104">
        <v>214511</v>
      </c>
      <c r="J546" s="1104">
        <v>187673</v>
      </c>
      <c r="K546" s="1104">
        <v>309526</v>
      </c>
      <c r="L546" s="1104">
        <v>257438</v>
      </c>
      <c r="M546" s="1106">
        <v>230111</v>
      </c>
      <c r="N546" s="1159">
        <v>203273</v>
      </c>
      <c r="O546" s="1104">
        <v>325126</v>
      </c>
      <c r="P546" s="1107">
        <f t="shared" si="13"/>
        <v>499276</v>
      </c>
      <c r="Q546" s="1107">
        <f t="shared" si="13"/>
        <v>444622</v>
      </c>
      <c r="R546" s="1107">
        <f t="shared" si="13"/>
        <v>390946</v>
      </c>
      <c r="S546" s="1107">
        <f t="shared" si="13"/>
        <v>634652</v>
      </c>
    </row>
    <row r="547" spans="1:19">
      <c r="A547" s="1015">
        <v>423</v>
      </c>
      <c r="B547" s="1015" t="s">
        <v>8395</v>
      </c>
      <c r="C547" s="1103" t="s">
        <v>8396</v>
      </c>
      <c r="D547" s="1015"/>
      <c r="E547" s="1104" t="s">
        <v>7446</v>
      </c>
      <c r="F547" s="1105" t="s">
        <v>7505</v>
      </c>
      <c r="G547" s="1104">
        <v>16510</v>
      </c>
      <c r="H547" s="1104">
        <v>241838</v>
      </c>
      <c r="I547" s="1104">
        <v>214511</v>
      </c>
      <c r="J547" s="1104">
        <v>187673</v>
      </c>
      <c r="K547" s="1104">
        <v>309526</v>
      </c>
      <c r="L547" s="1104">
        <v>266768</v>
      </c>
      <c r="M547" s="1106">
        <v>239441</v>
      </c>
      <c r="N547" s="1159">
        <v>212603</v>
      </c>
      <c r="O547" s="1104">
        <v>334456</v>
      </c>
      <c r="P547" s="1107">
        <f t="shared" si="13"/>
        <v>508606</v>
      </c>
      <c r="Q547" s="1107">
        <f t="shared" si="13"/>
        <v>453952</v>
      </c>
      <c r="R547" s="1107">
        <f t="shared" si="13"/>
        <v>400276</v>
      </c>
      <c r="S547" s="1107">
        <f t="shared" si="13"/>
        <v>643982</v>
      </c>
    </row>
    <row r="548" spans="1:19">
      <c r="A548" s="1015">
        <v>424</v>
      </c>
      <c r="B548" s="1015" t="s">
        <v>8397</v>
      </c>
      <c r="C548" s="1103" t="s">
        <v>8398</v>
      </c>
      <c r="D548" s="1015" t="s">
        <v>3127</v>
      </c>
      <c r="E548" s="1104">
        <v>344549</v>
      </c>
      <c r="F548" s="1105" t="s">
        <v>7810</v>
      </c>
      <c r="G548" s="1104">
        <v>3123015</v>
      </c>
      <c r="H548" s="1104">
        <v>528912</v>
      </c>
      <c r="I548" s="1104">
        <v>469146</v>
      </c>
      <c r="J548" s="1104">
        <v>410450</v>
      </c>
      <c r="K548" s="1104">
        <v>676950</v>
      </c>
      <c r="L548" s="1104">
        <v>4371237</v>
      </c>
      <c r="M548" s="1106">
        <v>4311471</v>
      </c>
      <c r="N548" s="1159">
        <v>4252775</v>
      </c>
      <c r="O548" s="1104">
        <v>4519275</v>
      </c>
      <c r="P548" s="1107">
        <f t="shared" si="13"/>
        <v>4900149</v>
      </c>
      <c r="Q548" s="1107">
        <f t="shared" si="13"/>
        <v>4780617</v>
      </c>
      <c r="R548" s="1107">
        <f t="shared" si="13"/>
        <v>4663225</v>
      </c>
      <c r="S548" s="1107">
        <f t="shared" si="13"/>
        <v>5196225</v>
      </c>
    </row>
    <row r="549" spans="1:19">
      <c r="A549" s="1015"/>
      <c r="B549" s="1102" t="s">
        <v>8399</v>
      </c>
      <c r="C549" s="1099" t="s">
        <v>8400</v>
      </c>
      <c r="D549" s="1015"/>
      <c r="E549" s="1104" t="s">
        <v>7446</v>
      </c>
      <c r="F549" s="1105"/>
      <c r="G549" s="1104"/>
      <c r="H549" s="1104"/>
      <c r="I549" s="1104"/>
      <c r="J549" s="1104"/>
      <c r="K549" s="1104"/>
      <c r="L549" s="1104"/>
      <c r="M549" s="1106"/>
      <c r="N549" s="1159"/>
      <c r="O549" s="1104"/>
      <c r="P549" s="1107">
        <f t="shared" si="13"/>
        <v>0</v>
      </c>
      <c r="Q549" s="1107">
        <f t="shared" si="13"/>
        <v>0</v>
      </c>
      <c r="R549" s="1107">
        <f t="shared" si="13"/>
        <v>0</v>
      </c>
      <c r="S549" s="1107">
        <f t="shared" si="13"/>
        <v>0</v>
      </c>
    </row>
    <row r="550" spans="1:19">
      <c r="A550" s="1015">
        <v>425</v>
      </c>
      <c r="B550" s="1015" t="s">
        <v>8401</v>
      </c>
      <c r="C550" s="1103" t="s">
        <v>8402</v>
      </c>
      <c r="D550" s="1015" t="s">
        <v>3127</v>
      </c>
      <c r="E550" s="1104">
        <v>9788</v>
      </c>
      <c r="F550" s="1105"/>
      <c r="G550" s="1104">
        <v>42900</v>
      </c>
      <c r="H550" s="1104"/>
      <c r="I550" s="1104"/>
      <c r="J550" s="1104"/>
      <c r="K550" s="1104"/>
      <c r="L550" s="1104">
        <v>47521</v>
      </c>
      <c r="M550" s="1106">
        <v>47521</v>
      </c>
      <c r="N550" s="1159">
        <v>47521</v>
      </c>
      <c r="O550" s="1104">
        <v>47521</v>
      </c>
      <c r="P550" s="1107">
        <f t="shared" si="13"/>
        <v>47521</v>
      </c>
      <c r="Q550" s="1107">
        <f t="shared" si="13"/>
        <v>47521</v>
      </c>
      <c r="R550" s="1107">
        <f t="shared" si="13"/>
        <v>47521</v>
      </c>
      <c r="S550" s="1107">
        <f t="shared" si="13"/>
        <v>47521</v>
      </c>
    </row>
    <row r="551" spans="1:19">
      <c r="A551" s="1015">
        <v>426</v>
      </c>
      <c r="B551" s="1015" t="s">
        <v>8403</v>
      </c>
      <c r="C551" s="1103" t="s">
        <v>8404</v>
      </c>
      <c r="D551" s="1015" t="s">
        <v>3127</v>
      </c>
      <c r="E551" s="1104">
        <v>17619</v>
      </c>
      <c r="F551" s="1105"/>
      <c r="G551" s="1104">
        <v>57200</v>
      </c>
      <c r="H551" s="1104"/>
      <c r="I551" s="1104"/>
      <c r="J551" s="1104"/>
      <c r="K551" s="1104"/>
      <c r="L551" s="1104">
        <v>67929</v>
      </c>
      <c r="M551" s="1106">
        <v>67929</v>
      </c>
      <c r="N551" s="1159">
        <v>67929</v>
      </c>
      <c r="O551" s="1104">
        <v>67929</v>
      </c>
      <c r="P551" s="1107">
        <f t="shared" si="13"/>
        <v>67929</v>
      </c>
      <c r="Q551" s="1107">
        <f t="shared" si="13"/>
        <v>67929</v>
      </c>
      <c r="R551" s="1107">
        <f t="shared" si="13"/>
        <v>67929</v>
      </c>
      <c r="S551" s="1107">
        <f t="shared" si="13"/>
        <v>67929</v>
      </c>
    </row>
    <row r="552" spans="1:19">
      <c r="A552" s="1015"/>
      <c r="B552" s="1102" t="s">
        <v>8405</v>
      </c>
      <c r="C552" s="1099" t="s">
        <v>8406</v>
      </c>
      <c r="D552" s="1015"/>
      <c r="E552" s="1104" t="s">
        <v>7446</v>
      </c>
      <c r="F552" s="1105"/>
      <c r="G552" s="1104"/>
      <c r="H552" s="1104"/>
      <c r="I552" s="1104"/>
      <c r="J552" s="1104"/>
      <c r="K552" s="1104"/>
      <c r="L552" s="1104"/>
      <c r="M552" s="1106"/>
      <c r="N552" s="1159"/>
      <c r="O552" s="1104"/>
      <c r="P552" s="1107">
        <f t="shared" si="13"/>
        <v>0</v>
      </c>
      <c r="Q552" s="1107">
        <f t="shared" si="13"/>
        <v>0</v>
      </c>
      <c r="R552" s="1107">
        <f t="shared" si="13"/>
        <v>0</v>
      </c>
      <c r="S552" s="1107">
        <f t="shared" si="13"/>
        <v>0</v>
      </c>
    </row>
    <row r="553" spans="1:19">
      <c r="A553" s="1015">
        <v>427</v>
      </c>
      <c r="B553" s="1015" t="s">
        <v>8407</v>
      </c>
      <c r="C553" s="1103" t="s">
        <v>8408</v>
      </c>
      <c r="D553" s="1015" t="s">
        <v>3127</v>
      </c>
      <c r="E553" s="1104">
        <v>5873</v>
      </c>
      <c r="F553" s="1105"/>
      <c r="G553" s="1104">
        <v>4150</v>
      </c>
      <c r="H553" s="1104"/>
      <c r="I553" s="1104"/>
      <c r="J553" s="1104"/>
      <c r="K553" s="1104"/>
      <c r="L553" s="1104">
        <v>19408</v>
      </c>
      <c r="M553" s="1106">
        <v>19408</v>
      </c>
      <c r="N553" s="1159">
        <v>19408</v>
      </c>
      <c r="O553" s="1104">
        <v>19408</v>
      </c>
      <c r="P553" s="1107">
        <f t="shared" si="13"/>
        <v>19408</v>
      </c>
      <c r="Q553" s="1107">
        <f t="shared" si="13"/>
        <v>19408</v>
      </c>
      <c r="R553" s="1107">
        <f t="shared" si="13"/>
        <v>19408</v>
      </c>
      <c r="S553" s="1107">
        <f t="shared" si="13"/>
        <v>19408</v>
      </c>
    </row>
    <row r="554" spans="1:19">
      <c r="A554" s="1015"/>
      <c r="B554" s="1102" t="s">
        <v>8409</v>
      </c>
      <c r="C554" s="1099" t="s">
        <v>8410</v>
      </c>
      <c r="D554" s="1015"/>
      <c r="E554" s="1104" t="s">
        <v>7446</v>
      </c>
      <c r="F554" s="1105"/>
      <c r="G554" s="1104"/>
      <c r="H554" s="1104"/>
      <c r="I554" s="1104"/>
      <c r="J554" s="1104"/>
      <c r="K554" s="1104"/>
      <c r="L554" s="1104"/>
      <c r="M554" s="1106"/>
      <c r="N554" s="1159"/>
      <c r="O554" s="1104"/>
      <c r="P554" s="1107">
        <f t="shared" si="13"/>
        <v>0</v>
      </c>
      <c r="Q554" s="1107">
        <f t="shared" si="13"/>
        <v>0</v>
      </c>
      <c r="R554" s="1107">
        <f t="shared" si="13"/>
        <v>0</v>
      </c>
      <c r="S554" s="1107">
        <f t="shared" si="13"/>
        <v>0</v>
      </c>
    </row>
    <row r="555" spans="1:19">
      <c r="A555" s="1015">
        <v>428</v>
      </c>
      <c r="B555" s="1015" t="s">
        <v>8411</v>
      </c>
      <c r="C555" s="1103" t="s">
        <v>8412</v>
      </c>
      <c r="D555" s="1015" t="s">
        <v>3127</v>
      </c>
      <c r="E555" s="1104">
        <v>1762</v>
      </c>
      <c r="F555" s="1105"/>
      <c r="G555" s="1104">
        <v>4800</v>
      </c>
      <c r="H555" s="1104"/>
      <c r="I555" s="1104"/>
      <c r="J555" s="1104"/>
      <c r="K555" s="1104"/>
      <c r="L555" s="1104">
        <v>15042</v>
      </c>
      <c r="M555" s="1106">
        <v>15042</v>
      </c>
      <c r="N555" s="1159">
        <v>15042</v>
      </c>
      <c r="O555" s="1104">
        <v>15042</v>
      </c>
      <c r="P555" s="1107">
        <f t="shared" si="13"/>
        <v>15042</v>
      </c>
      <c r="Q555" s="1107">
        <f t="shared" si="13"/>
        <v>15042</v>
      </c>
      <c r="R555" s="1107">
        <f t="shared" si="13"/>
        <v>15042</v>
      </c>
      <c r="S555" s="1107">
        <f t="shared" si="13"/>
        <v>15042</v>
      </c>
    </row>
    <row r="556" spans="1:19">
      <c r="A556" s="1015">
        <v>429</v>
      </c>
      <c r="B556" s="1015" t="s">
        <v>8413</v>
      </c>
      <c r="C556" s="1103" t="s">
        <v>8414</v>
      </c>
      <c r="D556" s="1015" t="s">
        <v>3127</v>
      </c>
      <c r="E556" s="1104">
        <v>2153</v>
      </c>
      <c r="F556" s="1105"/>
      <c r="G556" s="1104">
        <v>6250</v>
      </c>
      <c r="H556" s="1104"/>
      <c r="I556" s="1104"/>
      <c r="J556" s="1104"/>
      <c r="K556" s="1104"/>
      <c r="L556" s="1104">
        <v>15278</v>
      </c>
      <c r="M556" s="1106">
        <v>15278</v>
      </c>
      <c r="N556" s="1159">
        <v>15278</v>
      </c>
      <c r="O556" s="1104">
        <v>15278</v>
      </c>
      <c r="P556" s="1107">
        <f t="shared" si="13"/>
        <v>15278</v>
      </c>
      <c r="Q556" s="1107">
        <f t="shared" si="13"/>
        <v>15278</v>
      </c>
      <c r="R556" s="1107">
        <f t="shared" si="13"/>
        <v>15278</v>
      </c>
      <c r="S556" s="1107">
        <f t="shared" si="13"/>
        <v>15278</v>
      </c>
    </row>
    <row r="557" spans="1:19">
      <c r="A557" s="1015">
        <v>430</v>
      </c>
      <c r="B557" s="1015" t="s">
        <v>8415</v>
      </c>
      <c r="C557" s="1103" t="s">
        <v>8416</v>
      </c>
      <c r="D557" s="1015" t="s">
        <v>3127</v>
      </c>
      <c r="E557" s="1104">
        <v>2545</v>
      </c>
      <c r="F557" s="1105"/>
      <c r="G557" s="1104">
        <v>6750</v>
      </c>
      <c r="H557" s="1104"/>
      <c r="I557" s="1104"/>
      <c r="J557" s="1104"/>
      <c r="K557" s="1104"/>
      <c r="L557" s="1104">
        <v>16720</v>
      </c>
      <c r="M557" s="1106">
        <v>16720</v>
      </c>
      <c r="N557" s="1159">
        <v>16720</v>
      </c>
      <c r="O557" s="1104">
        <v>16720</v>
      </c>
      <c r="P557" s="1107">
        <f t="shared" si="13"/>
        <v>16720</v>
      </c>
      <c r="Q557" s="1107">
        <f t="shared" si="13"/>
        <v>16720</v>
      </c>
      <c r="R557" s="1107">
        <f t="shared" si="13"/>
        <v>16720</v>
      </c>
      <c r="S557" s="1107">
        <f t="shared" si="13"/>
        <v>16720</v>
      </c>
    </row>
    <row r="558" spans="1:19">
      <c r="A558" s="1015">
        <v>431</v>
      </c>
      <c r="B558" s="1015" t="s">
        <v>8417</v>
      </c>
      <c r="C558" s="1103" t="s">
        <v>8418</v>
      </c>
      <c r="D558" s="1015" t="s">
        <v>3127</v>
      </c>
      <c r="E558" s="1104">
        <v>3132</v>
      </c>
      <c r="F558" s="1105"/>
      <c r="G558" s="1104">
        <v>8400</v>
      </c>
      <c r="H558" s="1104"/>
      <c r="I558" s="1104"/>
      <c r="J558" s="1104"/>
      <c r="K558" s="1104"/>
      <c r="L558" s="1104">
        <v>23486</v>
      </c>
      <c r="M558" s="1106">
        <v>23486</v>
      </c>
      <c r="N558" s="1159">
        <v>23486</v>
      </c>
      <c r="O558" s="1104">
        <v>23486</v>
      </c>
      <c r="P558" s="1107">
        <f t="shared" si="13"/>
        <v>23486</v>
      </c>
      <c r="Q558" s="1107">
        <f t="shared" si="13"/>
        <v>23486</v>
      </c>
      <c r="R558" s="1107">
        <f t="shared" si="13"/>
        <v>23486</v>
      </c>
      <c r="S558" s="1107">
        <f t="shared" si="13"/>
        <v>23486</v>
      </c>
    </row>
    <row r="559" spans="1:19">
      <c r="A559" s="1015">
        <v>432</v>
      </c>
      <c r="B559" s="1015" t="s">
        <v>6290</v>
      </c>
      <c r="C559" s="1103" t="s">
        <v>8419</v>
      </c>
      <c r="D559" s="1015" t="s">
        <v>3127</v>
      </c>
      <c r="E559" s="1104">
        <v>4503</v>
      </c>
      <c r="F559" s="1105"/>
      <c r="G559" s="1104">
        <v>10400</v>
      </c>
      <c r="H559" s="1104"/>
      <c r="I559" s="1104"/>
      <c r="J559" s="1104"/>
      <c r="K559" s="1104"/>
      <c r="L559" s="1104">
        <v>34284</v>
      </c>
      <c r="M559" s="1106">
        <v>34284</v>
      </c>
      <c r="N559" s="1159">
        <v>34284</v>
      </c>
      <c r="O559" s="1104">
        <v>34284</v>
      </c>
      <c r="P559" s="1107">
        <f t="shared" si="13"/>
        <v>34284</v>
      </c>
      <c r="Q559" s="1107">
        <f t="shared" si="13"/>
        <v>34284</v>
      </c>
      <c r="R559" s="1107">
        <f t="shared" si="13"/>
        <v>34284</v>
      </c>
      <c r="S559" s="1107">
        <f t="shared" si="13"/>
        <v>34284</v>
      </c>
    </row>
    <row r="560" spans="1:19">
      <c r="A560" s="1015"/>
      <c r="B560" s="1102" t="s">
        <v>8420</v>
      </c>
      <c r="C560" s="1099" t="s">
        <v>8421</v>
      </c>
      <c r="D560" s="1015"/>
      <c r="E560" s="1104" t="s">
        <v>7446</v>
      </c>
      <c r="F560" s="1105"/>
      <c r="G560" s="1104"/>
      <c r="H560" s="1104"/>
      <c r="I560" s="1104"/>
      <c r="J560" s="1104"/>
      <c r="K560" s="1104"/>
      <c r="L560" s="1104"/>
      <c r="M560" s="1106"/>
      <c r="N560" s="1159"/>
      <c r="O560" s="1104"/>
      <c r="P560" s="1107">
        <f t="shared" si="13"/>
        <v>0</v>
      </c>
      <c r="Q560" s="1107">
        <f t="shared" si="13"/>
        <v>0</v>
      </c>
      <c r="R560" s="1107">
        <f t="shared" si="13"/>
        <v>0</v>
      </c>
      <c r="S560" s="1107">
        <f t="shared" si="13"/>
        <v>0</v>
      </c>
    </row>
    <row r="561" spans="1:19">
      <c r="A561" s="1015">
        <v>433</v>
      </c>
      <c r="B561" s="1015" t="s">
        <v>8422</v>
      </c>
      <c r="C561" s="1103" t="s">
        <v>8423</v>
      </c>
      <c r="D561" s="1015" t="s">
        <v>3127</v>
      </c>
      <c r="E561" s="1104">
        <v>52857</v>
      </c>
      <c r="F561" s="1105" t="s">
        <v>7505</v>
      </c>
      <c r="G561" s="1104">
        <v>94900</v>
      </c>
      <c r="H561" s="1104">
        <v>241838</v>
      </c>
      <c r="I561" s="1104">
        <v>214511</v>
      </c>
      <c r="J561" s="1104">
        <v>187673</v>
      </c>
      <c r="K561" s="1104">
        <v>309526</v>
      </c>
      <c r="L561" s="1104">
        <v>355194</v>
      </c>
      <c r="M561" s="1106">
        <v>327867</v>
      </c>
      <c r="N561" s="1159">
        <v>301029</v>
      </c>
      <c r="O561" s="1104">
        <v>422882</v>
      </c>
      <c r="P561" s="1107">
        <f t="shared" si="13"/>
        <v>597032</v>
      </c>
      <c r="Q561" s="1107">
        <f t="shared" si="13"/>
        <v>542378</v>
      </c>
      <c r="R561" s="1107">
        <f t="shared" si="13"/>
        <v>488702</v>
      </c>
      <c r="S561" s="1107">
        <f t="shared" si="13"/>
        <v>732408</v>
      </c>
    </row>
    <row r="562" spans="1:19">
      <c r="A562" s="1015"/>
      <c r="B562" s="1102" t="s">
        <v>8424</v>
      </c>
      <c r="C562" s="1099" t="s">
        <v>8425</v>
      </c>
      <c r="D562" s="1015"/>
      <c r="E562" s="1104" t="s">
        <v>7446</v>
      </c>
      <c r="F562" s="1105"/>
      <c r="G562" s="1104"/>
      <c r="H562" s="1104"/>
      <c r="I562" s="1104"/>
      <c r="J562" s="1104"/>
      <c r="K562" s="1104"/>
      <c r="L562" s="1104"/>
      <c r="M562" s="1106"/>
      <c r="N562" s="1159"/>
      <c r="O562" s="1104"/>
      <c r="P562" s="1107">
        <f t="shared" si="13"/>
        <v>0</v>
      </c>
      <c r="Q562" s="1107">
        <f t="shared" si="13"/>
        <v>0</v>
      </c>
      <c r="R562" s="1107">
        <f t="shared" si="13"/>
        <v>0</v>
      </c>
      <c r="S562" s="1107">
        <f t="shared" si="13"/>
        <v>0</v>
      </c>
    </row>
    <row r="563" spans="1:19">
      <c r="A563" s="1015">
        <v>434</v>
      </c>
      <c r="B563" s="1015" t="s">
        <v>8426</v>
      </c>
      <c r="C563" s="1103" t="s">
        <v>8427</v>
      </c>
      <c r="D563" s="1015" t="s">
        <v>3127</v>
      </c>
      <c r="E563" s="1104">
        <v>25450</v>
      </c>
      <c r="F563" s="1105" t="s">
        <v>7505</v>
      </c>
      <c r="G563" s="1104">
        <v>23400</v>
      </c>
      <c r="H563" s="1104">
        <v>241838</v>
      </c>
      <c r="I563" s="1104">
        <v>214511</v>
      </c>
      <c r="J563" s="1104">
        <v>187673</v>
      </c>
      <c r="K563" s="1104">
        <v>309526</v>
      </c>
      <c r="L563" s="1104">
        <v>288449</v>
      </c>
      <c r="M563" s="1106">
        <v>261122</v>
      </c>
      <c r="N563" s="1159">
        <v>234284</v>
      </c>
      <c r="O563" s="1104">
        <v>356137</v>
      </c>
      <c r="P563" s="1107">
        <f t="shared" si="13"/>
        <v>530287</v>
      </c>
      <c r="Q563" s="1107">
        <f t="shared" si="13"/>
        <v>475633</v>
      </c>
      <c r="R563" s="1107">
        <f t="shared" si="13"/>
        <v>421957</v>
      </c>
      <c r="S563" s="1107">
        <f t="shared" si="13"/>
        <v>665663</v>
      </c>
    </row>
    <row r="564" spans="1:19">
      <c r="A564" s="1015"/>
      <c r="B564" s="1102" t="s">
        <v>8428</v>
      </c>
      <c r="C564" s="1099" t="s">
        <v>8429</v>
      </c>
      <c r="D564" s="1015"/>
      <c r="E564" s="1104" t="s">
        <v>7446</v>
      </c>
      <c r="F564" s="1105"/>
      <c r="G564" s="1104"/>
      <c r="H564" s="1104"/>
      <c r="I564" s="1104"/>
      <c r="J564" s="1104"/>
      <c r="K564" s="1104"/>
      <c r="L564" s="1104"/>
      <c r="M564" s="1106"/>
      <c r="N564" s="1159"/>
      <c r="O564" s="1104"/>
      <c r="P564" s="1107">
        <f t="shared" si="13"/>
        <v>0</v>
      </c>
      <c r="Q564" s="1107">
        <f t="shared" si="13"/>
        <v>0</v>
      </c>
      <c r="R564" s="1107">
        <f t="shared" si="13"/>
        <v>0</v>
      </c>
      <c r="S564" s="1107">
        <f t="shared" si="13"/>
        <v>0</v>
      </c>
    </row>
    <row r="565" spans="1:19">
      <c r="A565" s="1015">
        <v>435</v>
      </c>
      <c r="B565" s="1015" t="s">
        <v>8430</v>
      </c>
      <c r="C565" s="1103" t="s">
        <v>8408</v>
      </c>
      <c r="D565" s="1015" t="s">
        <v>3127</v>
      </c>
      <c r="E565" s="1104">
        <v>5873</v>
      </c>
      <c r="F565" s="1105"/>
      <c r="G565" s="1104">
        <v>7750</v>
      </c>
      <c r="H565" s="1104"/>
      <c r="I565" s="1104"/>
      <c r="J565" s="1104"/>
      <c r="K565" s="1104"/>
      <c r="L565" s="1104">
        <v>30613</v>
      </c>
      <c r="M565" s="1106">
        <v>30613</v>
      </c>
      <c r="N565" s="1159">
        <v>30613</v>
      </c>
      <c r="O565" s="1104">
        <v>30613</v>
      </c>
      <c r="P565" s="1107">
        <f t="shared" si="13"/>
        <v>30613</v>
      </c>
      <c r="Q565" s="1107">
        <f t="shared" si="13"/>
        <v>30613</v>
      </c>
      <c r="R565" s="1107">
        <f t="shared" si="13"/>
        <v>30613</v>
      </c>
      <c r="S565" s="1107">
        <f t="shared" si="13"/>
        <v>30613</v>
      </c>
    </row>
    <row r="566" spans="1:19">
      <c r="A566" s="1015"/>
      <c r="B566" s="1102" t="s">
        <v>8431</v>
      </c>
      <c r="C566" s="1099" t="s">
        <v>8432</v>
      </c>
      <c r="D566" s="1015"/>
      <c r="E566" s="1104" t="s">
        <v>7446</v>
      </c>
      <c r="F566" s="1105"/>
      <c r="G566" s="1104"/>
      <c r="H566" s="1104"/>
      <c r="I566" s="1104"/>
      <c r="J566" s="1104"/>
      <c r="K566" s="1104"/>
      <c r="L566" s="1104"/>
      <c r="M566" s="1106"/>
      <c r="N566" s="1159"/>
      <c r="O566" s="1104"/>
      <c r="P566" s="1107">
        <f t="shared" si="13"/>
        <v>0</v>
      </c>
      <c r="Q566" s="1107">
        <f t="shared" si="13"/>
        <v>0</v>
      </c>
      <c r="R566" s="1107">
        <f t="shared" si="13"/>
        <v>0</v>
      </c>
      <c r="S566" s="1107">
        <f t="shared" si="13"/>
        <v>0</v>
      </c>
    </row>
    <row r="567" spans="1:19">
      <c r="A567" s="1015">
        <v>436</v>
      </c>
      <c r="B567" s="1015" t="s">
        <v>8433</v>
      </c>
      <c r="C567" s="1103" t="s">
        <v>8386</v>
      </c>
      <c r="D567" s="1015" t="s">
        <v>3127</v>
      </c>
      <c r="E567" s="1104">
        <v>5286</v>
      </c>
      <c r="F567" s="1105"/>
      <c r="G567" s="1104">
        <v>8750</v>
      </c>
      <c r="H567" s="1104"/>
      <c r="I567" s="1104"/>
      <c r="J567" s="1104"/>
      <c r="K567" s="1104"/>
      <c r="L567" s="1104">
        <v>26796</v>
      </c>
      <c r="M567" s="1106">
        <v>26796</v>
      </c>
      <c r="N567" s="1159">
        <v>26796</v>
      </c>
      <c r="O567" s="1104">
        <v>26796</v>
      </c>
      <c r="P567" s="1107">
        <f t="shared" si="13"/>
        <v>26796</v>
      </c>
      <c r="Q567" s="1107">
        <f t="shared" si="13"/>
        <v>26796</v>
      </c>
      <c r="R567" s="1107">
        <f t="shared" si="13"/>
        <v>26796</v>
      </c>
      <c r="S567" s="1107">
        <f t="shared" si="13"/>
        <v>26796</v>
      </c>
    </row>
    <row r="568" spans="1:19">
      <c r="A568" s="1015">
        <v>437</v>
      </c>
      <c r="B568" s="1015" t="s">
        <v>8434</v>
      </c>
      <c r="C568" s="1103" t="s">
        <v>8408</v>
      </c>
      <c r="D568" s="1015" t="s">
        <v>3127</v>
      </c>
      <c r="E568" s="1104">
        <v>5873</v>
      </c>
      <c r="F568" s="1105"/>
      <c r="G568" s="1104">
        <v>7900</v>
      </c>
      <c r="H568" s="1104"/>
      <c r="I568" s="1104"/>
      <c r="J568" s="1104"/>
      <c r="K568" s="1104"/>
      <c r="L568" s="1104">
        <v>27817</v>
      </c>
      <c r="M568" s="1106">
        <v>27817</v>
      </c>
      <c r="N568" s="1159">
        <v>27817</v>
      </c>
      <c r="O568" s="1104">
        <v>27817</v>
      </c>
      <c r="P568" s="1107">
        <f t="shared" si="13"/>
        <v>27817</v>
      </c>
      <c r="Q568" s="1107">
        <f t="shared" si="13"/>
        <v>27817</v>
      </c>
      <c r="R568" s="1107">
        <f t="shared" si="13"/>
        <v>27817</v>
      </c>
      <c r="S568" s="1107">
        <f t="shared" si="13"/>
        <v>27817</v>
      </c>
    </row>
    <row r="569" spans="1:19">
      <c r="A569" s="1015"/>
      <c r="B569" s="1102" t="s">
        <v>8435</v>
      </c>
      <c r="C569" s="1099" t="s">
        <v>8436</v>
      </c>
      <c r="D569" s="1015"/>
      <c r="E569" s="1104" t="s">
        <v>7446</v>
      </c>
      <c r="F569" s="1105"/>
      <c r="G569" s="1104"/>
      <c r="H569" s="1104"/>
      <c r="I569" s="1104"/>
      <c r="J569" s="1104"/>
      <c r="K569" s="1104"/>
      <c r="L569" s="1104"/>
      <c r="M569" s="1106"/>
      <c r="N569" s="1159"/>
      <c r="O569" s="1104"/>
      <c r="P569" s="1107">
        <f t="shared" si="13"/>
        <v>0</v>
      </c>
      <c r="Q569" s="1107">
        <f t="shared" si="13"/>
        <v>0</v>
      </c>
      <c r="R569" s="1107">
        <f t="shared" si="13"/>
        <v>0</v>
      </c>
      <c r="S569" s="1107">
        <f t="shared" si="13"/>
        <v>0</v>
      </c>
    </row>
    <row r="570" spans="1:19">
      <c r="A570" s="1015">
        <v>438</v>
      </c>
      <c r="B570" s="1015" t="s">
        <v>8437</v>
      </c>
      <c r="C570" s="1103" t="s">
        <v>8438</v>
      </c>
      <c r="D570" s="1015" t="s">
        <v>3127</v>
      </c>
      <c r="E570" s="1104">
        <v>21534</v>
      </c>
      <c r="F570" s="1105" t="s">
        <v>7505</v>
      </c>
      <c r="G570" s="1104">
        <v>17400</v>
      </c>
      <c r="H570" s="1104">
        <v>241838</v>
      </c>
      <c r="I570" s="1104">
        <v>214511</v>
      </c>
      <c r="J570" s="1104">
        <v>187673</v>
      </c>
      <c r="K570" s="1104">
        <v>309526</v>
      </c>
      <c r="L570" s="1104">
        <v>306147</v>
      </c>
      <c r="M570" s="1106">
        <v>278820</v>
      </c>
      <c r="N570" s="1159">
        <v>251982</v>
      </c>
      <c r="O570" s="1104">
        <v>373835</v>
      </c>
      <c r="P570" s="1107">
        <f t="shared" si="13"/>
        <v>547985</v>
      </c>
      <c r="Q570" s="1107">
        <f t="shared" si="13"/>
        <v>493331</v>
      </c>
      <c r="R570" s="1107">
        <f t="shared" si="13"/>
        <v>439655</v>
      </c>
      <c r="S570" s="1107">
        <f t="shared" si="13"/>
        <v>683361</v>
      </c>
    </row>
    <row r="571" spans="1:19">
      <c r="A571" s="1015">
        <v>439</v>
      </c>
      <c r="B571" s="1015" t="s">
        <v>8439</v>
      </c>
      <c r="C571" s="1103" t="s">
        <v>8440</v>
      </c>
      <c r="D571" s="1015" t="s">
        <v>7504</v>
      </c>
      <c r="E571" s="1104">
        <v>149402</v>
      </c>
      <c r="F571" s="1105" t="s">
        <v>7505</v>
      </c>
      <c r="G571" s="1104">
        <v>38500</v>
      </c>
      <c r="H571" s="1104">
        <v>241838</v>
      </c>
      <c r="I571" s="1104">
        <v>214511</v>
      </c>
      <c r="J571" s="1104">
        <v>187673</v>
      </c>
      <c r="K571" s="1104">
        <v>309526</v>
      </c>
      <c r="L571" s="1104">
        <v>479469</v>
      </c>
      <c r="M571" s="1106">
        <v>452142</v>
      </c>
      <c r="N571" s="1159">
        <v>425304</v>
      </c>
      <c r="O571" s="1104">
        <v>547157</v>
      </c>
      <c r="P571" s="1107">
        <f t="shared" si="13"/>
        <v>721307</v>
      </c>
      <c r="Q571" s="1107">
        <f t="shared" si="13"/>
        <v>666653</v>
      </c>
      <c r="R571" s="1107">
        <f t="shared" si="13"/>
        <v>612977</v>
      </c>
      <c r="S571" s="1107">
        <f t="shared" si="13"/>
        <v>856683</v>
      </c>
    </row>
    <row r="572" spans="1:19">
      <c r="A572" s="1015"/>
      <c r="B572" s="1102" t="s">
        <v>8441</v>
      </c>
      <c r="C572" s="1099" t="s">
        <v>8442</v>
      </c>
      <c r="D572" s="1015"/>
      <c r="E572" s="1104" t="s">
        <v>7446</v>
      </c>
      <c r="F572" s="1105"/>
      <c r="G572" s="1104"/>
      <c r="H572" s="1104"/>
      <c r="I572" s="1104"/>
      <c r="J572" s="1104"/>
      <c r="K572" s="1104"/>
      <c r="L572" s="1104"/>
      <c r="M572" s="1106"/>
      <c r="N572" s="1159"/>
      <c r="O572" s="1104"/>
      <c r="P572" s="1107">
        <f t="shared" si="13"/>
        <v>0</v>
      </c>
      <c r="Q572" s="1107">
        <f t="shared" si="13"/>
        <v>0</v>
      </c>
      <c r="R572" s="1107">
        <f t="shared" si="13"/>
        <v>0</v>
      </c>
      <c r="S572" s="1107">
        <f t="shared" si="13"/>
        <v>0</v>
      </c>
    </row>
    <row r="573" spans="1:19">
      <c r="A573" s="1015">
        <v>440</v>
      </c>
      <c r="B573" s="1015" t="s">
        <v>8443</v>
      </c>
      <c r="C573" s="1103" t="s">
        <v>8444</v>
      </c>
      <c r="D573" s="1015" t="s">
        <v>3127</v>
      </c>
      <c r="E573" s="1104">
        <v>17619</v>
      </c>
      <c r="F573" s="1105" t="s">
        <v>7505</v>
      </c>
      <c r="G573" s="1104">
        <v>28200</v>
      </c>
      <c r="H573" s="1104">
        <v>241838</v>
      </c>
      <c r="I573" s="1104">
        <v>214511</v>
      </c>
      <c r="J573" s="1104">
        <v>187673</v>
      </c>
      <c r="K573" s="1104">
        <v>309526</v>
      </c>
      <c r="L573" s="1104">
        <v>285894</v>
      </c>
      <c r="M573" s="1106">
        <v>258567</v>
      </c>
      <c r="N573" s="1159">
        <v>231729</v>
      </c>
      <c r="O573" s="1104">
        <v>353582</v>
      </c>
      <c r="P573" s="1107">
        <f t="shared" si="13"/>
        <v>527732</v>
      </c>
      <c r="Q573" s="1107">
        <f t="shared" si="13"/>
        <v>473078</v>
      </c>
      <c r="R573" s="1107">
        <f t="shared" si="13"/>
        <v>419402</v>
      </c>
      <c r="S573" s="1107">
        <f t="shared" si="13"/>
        <v>663108</v>
      </c>
    </row>
    <row r="574" spans="1:19">
      <c r="A574" s="1015"/>
      <c r="B574" s="1102" t="s">
        <v>8445</v>
      </c>
      <c r="C574" s="1099" t="s">
        <v>8446</v>
      </c>
      <c r="D574" s="1015"/>
      <c r="E574" s="1104" t="s">
        <v>7446</v>
      </c>
      <c r="F574" s="1105"/>
      <c r="G574" s="1104"/>
      <c r="H574" s="1104"/>
      <c r="I574" s="1104"/>
      <c r="J574" s="1104"/>
      <c r="K574" s="1104"/>
      <c r="L574" s="1104"/>
      <c r="M574" s="1106"/>
      <c r="N574" s="1159"/>
      <c r="O574" s="1104"/>
      <c r="P574" s="1107">
        <f t="shared" si="13"/>
        <v>0</v>
      </c>
      <c r="Q574" s="1107">
        <f t="shared" si="13"/>
        <v>0</v>
      </c>
      <c r="R574" s="1107">
        <f t="shared" si="13"/>
        <v>0</v>
      </c>
      <c r="S574" s="1107">
        <f t="shared" si="13"/>
        <v>0</v>
      </c>
    </row>
    <row r="575" spans="1:19">
      <c r="A575" s="1015">
        <v>441</v>
      </c>
      <c r="B575" s="1015" t="s">
        <v>8447</v>
      </c>
      <c r="C575" s="1103" t="s">
        <v>8444</v>
      </c>
      <c r="D575" s="1015" t="s">
        <v>3127</v>
      </c>
      <c r="E575" s="1104">
        <v>19577</v>
      </c>
      <c r="F575" s="1105" t="s">
        <v>7505</v>
      </c>
      <c r="G575" s="1104">
        <v>18800</v>
      </c>
      <c r="H575" s="1104">
        <v>241838</v>
      </c>
      <c r="I575" s="1104">
        <v>214511</v>
      </c>
      <c r="J575" s="1104">
        <v>187673</v>
      </c>
      <c r="K575" s="1104">
        <v>309526</v>
      </c>
      <c r="L575" s="1104">
        <v>277708</v>
      </c>
      <c r="M575" s="1106">
        <v>250381</v>
      </c>
      <c r="N575" s="1159">
        <v>223543</v>
      </c>
      <c r="O575" s="1104">
        <v>345396</v>
      </c>
      <c r="P575" s="1107">
        <f t="shared" si="13"/>
        <v>519546</v>
      </c>
      <c r="Q575" s="1107">
        <f t="shared" si="13"/>
        <v>464892</v>
      </c>
      <c r="R575" s="1107">
        <f t="shared" si="13"/>
        <v>411216</v>
      </c>
      <c r="S575" s="1107">
        <f t="shared" si="13"/>
        <v>654922</v>
      </c>
    </row>
    <row r="576" spans="1:19">
      <c r="A576" s="1015">
        <v>442</v>
      </c>
      <c r="B576" s="1015" t="s">
        <v>8448</v>
      </c>
      <c r="C576" s="1103" t="s">
        <v>8423</v>
      </c>
      <c r="D576" s="1015" t="s">
        <v>3127</v>
      </c>
      <c r="E576" s="1104">
        <v>52857</v>
      </c>
      <c r="F576" s="1105" t="s">
        <v>7505</v>
      </c>
      <c r="G576" s="1104">
        <v>156600</v>
      </c>
      <c r="H576" s="1104">
        <v>241838</v>
      </c>
      <c r="I576" s="1104">
        <v>214511</v>
      </c>
      <c r="J576" s="1104">
        <v>187673</v>
      </c>
      <c r="K576" s="1104">
        <v>309526</v>
      </c>
      <c r="L576" s="1104">
        <v>422585</v>
      </c>
      <c r="M576" s="1106">
        <v>395258</v>
      </c>
      <c r="N576" s="1159">
        <v>368420</v>
      </c>
      <c r="O576" s="1104">
        <v>490273</v>
      </c>
      <c r="P576" s="1107">
        <f t="shared" si="13"/>
        <v>664423</v>
      </c>
      <c r="Q576" s="1107">
        <f t="shared" si="13"/>
        <v>609769</v>
      </c>
      <c r="R576" s="1107">
        <f t="shared" si="13"/>
        <v>556093</v>
      </c>
      <c r="S576" s="1107">
        <f t="shared" si="13"/>
        <v>799799</v>
      </c>
    </row>
    <row r="577" spans="1:19">
      <c r="A577" s="1015"/>
      <c r="B577" s="1102" t="s">
        <v>8449</v>
      </c>
      <c r="C577" s="1099" t="s">
        <v>8450</v>
      </c>
      <c r="D577" s="1015"/>
      <c r="E577" s="1104" t="s">
        <v>7446</v>
      </c>
      <c r="F577" s="1105"/>
      <c r="G577" s="1104"/>
      <c r="H577" s="1104"/>
      <c r="I577" s="1104"/>
      <c r="J577" s="1104"/>
      <c r="K577" s="1104"/>
      <c r="L577" s="1104"/>
      <c r="M577" s="1106"/>
      <c r="N577" s="1159"/>
      <c r="O577" s="1104"/>
      <c r="P577" s="1107">
        <f t="shared" si="13"/>
        <v>0</v>
      </c>
      <c r="Q577" s="1107">
        <f t="shared" si="13"/>
        <v>0</v>
      </c>
      <c r="R577" s="1107">
        <f t="shared" si="13"/>
        <v>0</v>
      </c>
      <c r="S577" s="1107">
        <f t="shared" si="13"/>
        <v>0</v>
      </c>
    </row>
    <row r="578" spans="1:19">
      <c r="A578" s="1015">
        <v>443</v>
      </c>
      <c r="B578" s="1015" t="s">
        <v>8451</v>
      </c>
      <c r="C578" s="1103" t="s">
        <v>8304</v>
      </c>
      <c r="D578" s="1015" t="s">
        <v>3127</v>
      </c>
      <c r="E578" s="1104">
        <v>9788</v>
      </c>
      <c r="F578" s="1105" t="s">
        <v>7505</v>
      </c>
      <c r="G578" s="1104">
        <v>41700</v>
      </c>
      <c r="H578" s="1104">
        <v>241838</v>
      </c>
      <c r="I578" s="1104">
        <v>214511</v>
      </c>
      <c r="J578" s="1104">
        <v>187673</v>
      </c>
      <c r="K578" s="1104">
        <v>309526</v>
      </c>
      <c r="L578" s="1104">
        <v>287593</v>
      </c>
      <c r="M578" s="1106">
        <v>260266</v>
      </c>
      <c r="N578" s="1159">
        <v>233428</v>
      </c>
      <c r="O578" s="1104">
        <v>355281</v>
      </c>
      <c r="P578" s="1107">
        <f t="shared" si="13"/>
        <v>529431</v>
      </c>
      <c r="Q578" s="1107">
        <f t="shared" si="13"/>
        <v>474777</v>
      </c>
      <c r="R578" s="1107">
        <f t="shared" si="13"/>
        <v>421101</v>
      </c>
      <c r="S578" s="1107">
        <f t="shared" si="13"/>
        <v>664807</v>
      </c>
    </row>
    <row r="579" spans="1:19">
      <c r="A579" s="1015"/>
      <c r="B579" s="1102" t="s">
        <v>8452</v>
      </c>
      <c r="C579" s="1099" t="s">
        <v>8453</v>
      </c>
      <c r="D579" s="1015"/>
      <c r="E579" s="1104" t="s">
        <v>7446</v>
      </c>
      <c r="F579" s="1105"/>
      <c r="G579" s="1104"/>
      <c r="H579" s="1104"/>
      <c r="I579" s="1104"/>
      <c r="J579" s="1104"/>
      <c r="K579" s="1104"/>
      <c r="L579" s="1104"/>
      <c r="M579" s="1106"/>
      <c r="N579" s="1159"/>
      <c r="O579" s="1104"/>
      <c r="P579" s="1107">
        <f t="shared" si="13"/>
        <v>0</v>
      </c>
      <c r="Q579" s="1107">
        <f t="shared" si="13"/>
        <v>0</v>
      </c>
      <c r="R579" s="1107">
        <f t="shared" si="13"/>
        <v>0</v>
      </c>
      <c r="S579" s="1107">
        <f t="shared" si="13"/>
        <v>0</v>
      </c>
    </row>
    <row r="580" spans="1:19">
      <c r="A580" s="1015">
        <v>444</v>
      </c>
      <c r="B580" s="1015" t="s">
        <v>8454</v>
      </c>
      <c r="C580" s="1103" t="s">
        <v>8444</v>
      </c>
      <c r="D580" s="1015" t="s">
        <v>3127</v>
      </c>
      <c r="E580" s="1104">
        <v>17619</v>
      </c>
      <c r="F580" s="1105" t="s">
        <v>7505</v>
      </c>
      <c r="G580" s="1104">
        <v>18200</v>
      </c>
      <c r="H580" s="1104">
        <v>241838</v>
      </c>
      <c r="I580" s="1104">
        <v>214511</v>
      </c>
      <c r="J580" s="1104">
        <v>187673</v>
      </c>
      <c r="K580" s="1104">
        <v>309526</v>
      </c>
      <c r="L580" s="1104">
        <v>276216</v>
      </c>
      <c r="M580" s="1106">
        <v>248889</v>
      </c>
      <c r="N580" s="1159">
        <v>222051</v>
      </c>
      <c r="O580" s="1104">
        <v>343904</v>
      </c>
      <c r="P580" s="1107">
        <f t="shared" si="13"/>
        <v>518054</v>
      </c>
      <c r="Q580" s="1107">
        <f t="shared" si="13"/>
        <v>463400</v>
      </c>
      <c r="R580" s="1107">
        <f t="shared" si="13"/>
        <v>409724</v>
      </c>
      <c r="S580" s="1107">
        <f t="shared" si="13"/>
        <v>653430</v>
      </c>
    </row>
    <row r="581" spans="1:19">
      <c r="A581" s="1015"/>
      <c r="B581" s="1102" t="s">
        <v>8455</v>
      </c>
      <c r="C581" s="1099" t="s">
        <v>8456</v>
      </c>
      <c r="D581" s="1015"/>
      <c r="E581" s="1104" t="s">
        <v>7446</v>
      </c>
      <c r="F581" s="1105"/>
      <c r="G581" s="1104"/>
      <c r="H581" s="1104"/>
      <c r="I581" s="1104"/>
      <c r="J581" s="1104"/>
      <c r="K581" s="1104"/>
      <c r="L581" s="1104"/>
      <c r="M581" s="1106"/>
      <c r="N581" s="1159"/>
      <c r="O581" s="1104"/>
      <c r="P581" s="1107">
        <f t="shared" si="13"/>
        <v>0</v>
      </c>
      <c r="Q581" s="1107">
        <f t="shared" si="13"/>
        <v>0</v>
      </c>
      <c r="R581" s="1107">
        <f t="shared" si="13"/>
        <v>0</v>
      </c>
      <c r="S581" s="1107">
        <f t="shared" si="13"/>
        <v>0</v>
      </c>
    </row>
    <row r="582" spans="1:19">
      <c r="A582" s="1015">
        <v>445</v>
      </c>
      <c r="B582" s="1015" t="s">
        <v>8457</v>
      </c>
      <c r="C582" s="1103" t="s">
        <v>8458</v>
      </c>
      <c r="D582" s="1015" t="s">
        <v>3127</v>
      </c>
      <c r="E582" s="1104">
        <v>3915</v>
      </c>
      <c r="F582" s="1105"/>
      <c r="G582" s="1104">
        <v>4600</v>
      </c>
      <c r="H582" s="1104"/>
      <c r="I582" s="1104"/>
      <c r="J582" s="1104"/>
      <c r="K582" s="1104"/>
      <c r="L582" s="1104">
        <v>12389</v>
      </c>
      <c r="M582" s="1106">
        <v>12389</v>
      </c>
      <c r="N582" s="1159">
        <v>12389</v>
      </c>
      <c r="O582" s="1104">
        <v>12389</v>
      </c>
      <c r="P582" s="1107">
        <f t="shared" si="13"/>
        <v>12389</v>
      </c>
      <c r="Q582" s="1107">
        <f t="shared" si="13"/>
        <v>12389</v>
      </c>
      <c r="R582" s="1107">
        <f t="shared" si="13"/>
        <v>12389</v>
      </c>
      <c r="S582" s="1107">
        <f t="shared" si="13"/>
        <v>12389</v>
      </c>
    </row>
    <row r="583" spans="1:19">
      <c r="A583" s="1015">
        <v>446</v>
      </c>
      <c r="B583" s="1102" t="s">
        <v>8459</v>
      </c>
      <c r="C583" s="1099" t="s">
        <v>8460</v>
      </c>
      <c r="D583" s="1015" t="s">
        <v>3127</v>
      </c>
      <c r="E583" s="1104">
        <v>25450</v>
      </c>
      <c r="F583" s="1105" t="s">
        <v>7505</v>
      </c>
      <c r="G583" s="1104">
        <v>68900</v>
      </c>
      <c r="H583" s="1104">
        <v>241838</v>
      </c>
      <c r="I583" s="1104">
        <v>214511</v>
      </c>
      <c r="J583" s="1104">
        <v>187673</v>
      </c>
      <c r="K583" s="1104">
        <v>309526</v>
      </c>
      <c r="L583" s="1104">
        <v>325703</v>
      </c>
      <c r="M583" s="1106">
        <v>298376</v>
      </c>
      <c r="N583" s="1159">
        <v>271538</v>
      </c>
      <c r="O583" s="1104">
        <v>393391</v>
      </c>
      <c r="P583" s="1107">
        <f t="shared" si="13"/>
        <v>567541</v>
      </c>
      <c r="Q583" s="1107">
        <f t="shared" si="13"/>
        <v>512887</v>
      </c>
      <c r="R583" s="1107">
        <f t="shared" si="13"/>
        <v>459211</v>
      </c>
      <c r="S583" s="1107">
        <f t="shared" si="13"/>
        <v>702917</v>
      </c>
    </row>
    <row r="584" spans="1:19">
      <c r="A584" s="1015"/>
      <c r="B584" s="1102" t="s">
        <v>8461</v>
      </c>
      <c r="C584" s="1099" t="s">
        <v>8462</v>
      </c>
      <c r="D584" s="1015"/>
      <c r="E584" s="1104" t="s">
        <v>7446</v>
      </c>
      <c r="F584" s="1105"/>
      <c r="G584" s="1104"/>
      <c r="H584" s="1104"/>
      <c r="I584" s="1104"/>
      <c r="J584" s="1104"/>
      <c r="K584" s="1104"/>
      <c r="L584" s="1104"/>
      <c r="M584" s="1106"/>
      <c r="N584" s="1159"/>
      <c r="O584" s="1104"/>
      <c r="P584" s="1107">
        <f t="shared" si="13"/>
        <v>0</v>
      </c>
      <c r="Q584" s="1107">
        <f t="shared" si="13"/>
        <v>0</v>
      </c>
      <c r="R584" s="1107">
        <f t="shared" si="13"/>
        <v>0</v>
      </c>
      <c r="S584" s="1107">
        <f t="shared" si="13"/>
        <v>0</v>
      </c>
    </row>
    <row r="585" spans="1:19" ht="18">
      <c r="A585" s="1015">
        <v>447</v>
      </c>
      <c r="B585" s="1015" t="s">
        <v>8463</v>
      </c>
      <c r="C585" s="1103" t="s">
        <v>8464</v>
      </c>
      <c r="D585" s="1015"/>
      <c r="E585" s="1104" t="s">
        <v>7446</v>
      </c>
      <c r="F585" s="1105"/>
      <c r="G585" s="1104">
        <v>5400</v>
      </c>
      <c r="H585" s="1104"/>
      <c r="I585" s="1104"/>
      <c r="J585" s="1104"/>
      <c r="K585" s="1104"/>
      <c r="L585" s="1104">
        <v>18720</v>
      </c>
      <c r="M585" s="1106">
        <v>18720</v>
      </c>
      <c r="N585" s="1159">
        <v>18720</v>
      </c>
      <c r="O585" s="1104">
        <v>18720</v>
      </c>
      <c r="P585" s="1107">
        <f t="shared" si="13"/>
        <v>18720</v>
      </c>
      <c r="Q585" s="1107">
        <f t="shared" si="13"/>
        <v>18720</v>
      </c>
      <c r="R585" s="1107">
        <f t="shared" si="13"/>
        <v>18720</v>
      </c>
      <c r="S585" s="1107">
        <f t="shared" ref="S585:S648" si="14">K585+O585</f>
        <v>18720</v>
      </c>
    </row>
    <row r="586" spans="1:19" ht="18">
      <c r="A586" s="1015">
        <v>448</v>
      </c>
      <c r="B586" s="1015" t="s">
        <v>8465</v>
      </c>
      <c r="C586" s="1103" t="s">
        <v>8466</v>
      </c>
      <c r="D586" s="1015"/>
      <c r="E586" s="1104" t="s">
        <v>7446</v>
      </c>
      <c r="F586" s="1105"/>
      <c r="G586" s="1104">
        <v>6100</v>
      </c>
      <c r="H586" s="1104"/>
      <c r="I586" s="1104"/>
      <c r="J586" s="1104"/>
      <c r="K586" s="1104"/>
      <c r="L586" s="1104">
        <v>21147</v>
      </c>
      <c r="M586" s="1106">
        <v>21147</v>
      </c>
      <c r="N586" s="1159">
        <v>21147</v>
      </c>
      <c r="O586" s="1104">
        <v>21147</v>
      </c>
      <c r="P586" s="1107">
        <f t="shared" ref="P586:S649" si="15">H586+L586</f>
        <v>21147</v>
      </c>
      <c r="Q586" s="1107">
        <f t="shared" si="15"/>
        <v>21147</v>
      </c>
      <c r="R586" s="1107">
        <f t="shared" si="15"/>
        <v>21147</v>
      </c>
      <c r="S586" s="1107">
        <f t="shared" si="14"/>
        <v>21147</v>
      </c>
    </row>
    <row r="587" spans="1:19">
      <c r="A587" s="1015"/>
      <c r="B587" s="1102" t="s">
        <v>8467</v>
      </c>
      <c r="C587" s="1099" t="s">
        <v>8468</v>
      </c>
      <c r="D587" s="1015"/>
      <c r="E587" s="1104" t="s">
        <v>7446</v>
      </c>
      <c r="F587" s="1105"/>
      <c r="G587" s="1104"/>
      <c r="H587" s="1104"/>
      <c r="I587" s="1104"/>
      <c r="J587" s="1104"/>
      <c r="K587" s="1104"/>
      <c r="L587" s="1104"/>
      <c r="M587" s="1106"/>
      <c r="N587" s="1159"/>
      <c r="O587" s="1104"/>
      <c r="P587" s="1107">
        <f t="shared" si="15"/>
        <v>0</v>
      </c>
      <c r="Q587" s="1107">
        <f t="shared" si="15"/>
        <v>0</v>
      </c>
      <c r="R587" s="1107">
        <f t="shared" si="15"/>
        <v>0</v>
      </c>
      <c r="S587" s="1107">
        <f t="shared" si="14"/>
        <v>0</v>
      </c>
    </row>
    <row r="588" spans="1:19">
      <c r="A588" s="1015">
        <v>449</v>
      </c>
      <c r="B588" s="1015" t="s">
        <v>8469</v>
      </c>
      <c r="C588" s="1103" t="s">
        <v>8470</v>
      </c>
      <c r="D588" s="1015" t="s">
        <v>3127</v>
      </c>
      <c r="E588" s="1104">
        <v>9788</v>
      </c>
      <c r="F588" s="1105" t="s">
        <v>7505</v>
      </c>
      <c r="G588" s="1104">
        <v>28200</v>
      </c>
      <c r="H588" s="1104">
        <v>241838</v>
      </c>
      <c r="I588" s="1104">
        <v>214511</v>
      </c>
      <c r="J588" s="1104">
        <v>187673</v>
      </c>
      <c r="K588" s="1104">
        <v>309526</v>
      </c>
      <c r="L588" s="1104">
        <v>279213</v>
      </c>
      <c r="M588" s="1106">
        <v>251886</v>
      </c>
      <c r="N588" s="1159">
        <v>225048</v>
      </c>
      <c r="O588" s="1104">
        <v>346901</v>
      </c>
      <c r="P588" s="1107">
        <f t="shared" si="15"/>
        <v>521051</v>
      </c>
      <c r="Q588" s="1107">
        <f t="shared" si="15"/>
        <v>466397</v>
      </c>
      <c r="R588" s="1107">
        <f t="shared" si="15"/>
        <v>412721</v>
      </c>
      <c r="S588" s="1107">
        <f t="shared" si="14"/>
        <v>656427</v>
      </c>
    </row>
    <row r="589" spans="1:19">
      <c r="A589" s="1015"/>
      <c r="B589" s="1102" t="s">
        <v>8471</v>
      </c>
      <c r="C589" s="1099" t="s">
        <v>8472</v>
      </c>
      <c r="D589" s="1015"/>
      <c r="E589" s="1104" t="s">
        <v>7446</v>
      </c>
      <c r="F589" s="1105"/>
      <c r="G589" s="1104"/>
      <c r="H589" s="1104"/>
      <c r="I589" s="1104"/>
      <c r="J589" s="1104"/>
      <c r="K589" s="1104"/>
      <c r="L589" s="1104"/>
      <c r="M589" s="1106"/>
      <c r="N589" s="1159"/>
      <c r="O589" s="1104"/>
      <c r="P589" s="1107">
        <f t="shared" si="15"/>
        <v>0</v>
      </c>
      <c r="Q589" s="1107">
        <f t="shared" si="15"/>
        <v>0</v>
      </c>
      <c r="R589" s="1107">
        <f t="shared" si="15"/>
        <v>0</v>
      </c>
      <c r="S589" s="1107">
        <f t="shared" si="14"/>
        <v>0</v>
      </c>
    </row>
    <row r="590" spans="1:19">
      <c r="A590" s="1015">
        <v>450</v>
      </c>
      <c r="B590" s="1015" t="s">
        <v>8473</v>
      </c>
      <c r="C590" s="1103" t="s">
        <v>8444</v>
      </c>
      <c r="D590" s="1015" t="s">
        <v>3127</v>
      </c>
      <c r="E590" s="1104">
        <v>19577</v>
      </c>
      <c r="F590" s="1105" t="s">
        <v>7505</v>
      </c>
      <c r="G590" s="1104">
        <v>54800</v>
      </c>
      <c r="H590" s="1104">
        <v>241838</v>
      </c>
      <c r="I590" s="1104">
        <v>214511</v>
      </c>
      <c r="J590" s="1104">
        <v>187673</v>
      </c>
      <c r="K590" s="1104">
        <v>309526</v>
      </c>
      <c r="L590" s="1104">
        <v>308114</v>
      </c>
      <c r="M590" s="1106">
        <v>280787</v>
      </c>
      <c r="N590" s="1159">
        <v>253949</v>
      </c>
      <c r="O590" s="1104">
        <v>375802</v>
      </c>
      <c r="P590" s="1107">
        <f t="shared" si="15"/>
        <v>549952</v>
      </c>
      <c r="Q590" s="1107">
        <f t="shared" si="15"/>
        <v>495298</v>
      </c>
      <c r="R590" s="1107">
        <f t="shared" si="15"/>
        <v>441622</v>
      </c>
      <c r="S590" s="1107">
        <f t="shared" si="14"/>
        <v>685328</v>
      </c>
    </row>
    <row r="591" spans="1:19">
      <c r="A591" s="1015"/>
      <c r="B591" s="1102" t="s">
        <v>8474</v>
      </c>
      <c r="C591" s="1099" t="s">
        <v>8475</v>
      </c>
      <c r="D591" s="1015"/>
      <c r="E591" s="1104" t="s">
        <v>7446</v>
      </c>
      <c r="F591" s="1105"/>
      <c r="G591" s="1104"/>
      <c r="H591" s="1104"/>
      <c r="I591" s="1104"/>
      <c r="J591" s="1104"/>
      <c r="K591" s="1104"/>
      <c r="L591" s="1104"/>
      <c r="M591" s="1106"/>
      <c r="N591" s="1159"/>
      <c r="O591" s="1104"/>
      <c r="P591" s="1107">
        <f t="shared" si="15"/>
        <v>0</v>
      </c>
      <c r="Q591" s="1107">
        <f t="shared" si="15"/>
        <v>0</v>
      </c>
      <c r="R591" s="1107">
        <f t="shared" si="15"/>
        <v>0</v>
      </c>
      <c r="S591" s="1107">
        <f t="shared" si="14"/>
        <v>0</v>
      </c>
    </row>
    <row r="592" spans="1:19">
      <c r="A592" s="1015">
        <v>451</v>
      </c>
      <c r="B592" s="1015" t="s">
        <v>8476</v>
      </c>
      <c r="C592" s="1103" t="s">
        <v>8408</v>
      </c>
      <c r="D592" s="1015" t="s">
        <v>3127</v>
      </c>
      <c r="E592" s="1104">
        <v>7831</v>
      </c>
      <c r="F592" s="1105"/>
      <c r="G592" s="1104">
        <v>22700</v>
      </c>
      <c r="H592" s="1104"/>
      <c r="I592" s="1104"/>
      <c r="J592" s="1104"/>
      <c r="K592" s="1104"/>
      <c r="L592" s="1104">
        <v>29642</v>
      </c>
      <c r="M592" s="1106">
        <v>29642</v>
      </c>
      <c r="N592" s="1159">
        <v>29642</v>
      </c>
      <c r="O592" s="1104">
        <v>29642</v>
      </c>
      <c r="P592" s="1107">
        <f t="shared" si="15"/>
        <v>29642</v>
      </c>
      <c r="Q592" s="1107">
        <f t="shared" si="15"/>
        <v>29642</v>
      </c>
      <c r="R592" s="1107">
        <f t="shared" si="15"/>
        <v>29642</v>
      </c>
      <c r="S592" s="1107">
        <f t="shared" si="14"/>
        <v>29642</v>
      </c>
    </row>
    <row r="593" spans="1:19">
      <c r="A593" s="1015">
        <v>452</v>
      </c>
      <c r="B593" s="1015" t="s">
        <v>8477</v>
      </c>
      <c r="C593" s="1103" t="s">
        <v>8478</v>
      </c>
      <c r="D593" s="1015" t="s">
        <v>3127</v>
      </c>
      <c r="E593" s="1104">
        <v>11746</v>
      </c>
      <c r="F593" s="1105"/>
      <c r="G593" s="1104">
        <v>27300</v>
      </c>
      <c r="H593" s="1104"/>
      <c r="I593" s="1104"/>
      <c r="J593" s="1104"/>
      <c r="K593" s="1104"/>
      <c r="L593" s="1104">
        <v>37978</v>
      </c>
      <c r="M593" s="1106">
        <v>37978</v>
      </c>
      <c r="N593" s="1159">
        <v>37978</v>
      </c>
      <c r="O593" s="1104">
        <v>37978</v>
      </c>
      <c r="P593" s="1107">
        <f t="shared" si="15"/>
        <v>37978</v>
      </c>
      <c r="Q593" s="1107">
        <f t="shared" si="15"/>
        <v>37978</v>
      </c>
      <c r="R593" s="1107">
        <f t="shared" si="15"/>
        <v>37978</v>
      </c>
      <c r="S593" s="1107">
        <f t="shared" si="14"/>
        <v>37978</v>
      </c>
    </row>
    <row r="594" spans="1:19">
      <c r="A594" s="1015"/>
      <c r="B594" s="1102" t="s">
        <v>8479</v>
      </c>
      <c r="C594" s="1099" t="s">
        <v>8480</v>
      </c>
      <c r="D594" s="1015"/>
      <c r="E594" s="1104" t="s">
        <v>7446</v>
      </c>
      <c r="F594" s="1105"/>
      <c r="G594" s="1104"/>
      <c r="H594" s="1104"/>
      <c r="I594" s="1104"/>
      <c r="J594" s="1104"/>
      <c r="K594" s="1104"/>
      <c r="L594" s="1104"/>
      <c r="M594" s="1106"/>
      <c r="N594" s="1159"/>
      <c r="O594" s="1104"/>
      <c r="P594" s="1107">
        <f t="shared" si="15"/>
        <v>0</v>
      </c>
      <c r="Q594" s="1107">
        <f t="shared" si="15"/>
        <v>0</v>
      </c>
      <c r="R594" s="1107">
        <f t="shared" si="15"/>
        <v>0</v>
      </c>
      <c r="S594" s="1107">
        <f t="shared" si="14"/>
        <v>0</v>
      </c>
    </row>
    <row r="595" spans="1:19">
      <c r="A595" s="1015">
        <v>453</v>
      </c>
      <c r="B595" s="1015" t="s">
        <v>8481</v>
      </c>
      <c r="C595" s="1103" t="s">
        <v>8427</v>
      </c>
      <c r="D595" s="1015" t="s">
        <v>3127</v>
      </c>
      <c r="E595" s="1104">
        <v>37196</v>
      </c>
      <c r="F595" s="1105" t="s">
        <v>7505</v>
      </c>
      <c r="G595" s="1104">
        <v>111400</v>
      </c>
      <c r="H595" s="1104">
        <v>241838</v>
      </c>
      <c r="I595" s="1104">
        <v>214511</v>
      </c>
      <c r="J595" s="1104">
        <v>187673</v>
      </c>
      <c r="K595" s="1104">
        <v>309526</v>
      </c>
      <c r="L595" s="1104">
        <v>379294</v>
      </c>
      <c r="M595" s="1106">
        <v>351967</v>
      </c>
      <c r="N595" s="1159">
        <v>325129</v>
      </c>
      <c r="O595" s="1104">
        <v>446982</v>
      </c>
      <c r="P595" s="1107">
        <f t="shared" si="15"/>
        <v>621132</v>
      </c>
      <c r="Q595" s="1107">
        <f t="shared" si="15"/>
        <v>566478</v>
      </c>
      <c r="R595" s="1107">
        <f t="shared" si="15"/>
        <v>512802</v>
      </c>
      <c r="S595" s="1107">
        <f t="shared" si="14"/>
        <v>756508</v>
      </c>
    </row>
    <row r="596" spans="1:19">
      <c r="A596" s="1015"/>
      <c r="B596" s="1102" t="s">
        <v>8482</v>
      </c>
      <c r="C596" s="1099" t="s">
        <v>8483</v>
      </c>
      <c r="D596" s="1015"/>
      <c r="E596" s="1104" t="s">
        <v>7446</v>
      </c>
      <c r="F596" s="1105"/>
      <c r="G596" s="1104"/>
      <c r="H596" s="1104"/>
      <c r="I596" s="1104"/>
      <c r="J596" s="1104"/>
      <c r="K596" s="1104"/>
      <c r="L596" s="1104"/>
      <c r="M596" s="1106"/>
      <c r="N596" s="1159"/>
      <c r="O596" s="1104"/>
      <c r="P596" s="1107">
        <f t="shared" si="15"/>
        <v>0</v>
      </c>
      <c r="Q596" s="1107">
        <f t="shared" si="15"/>
        <v>0</v>
      </c>
      <c r="R596" s="1107">
        <f t="shared" si="15"/>
        <v>0</v>
      </c>
      <c r="S596" s="1107">
        <f t="shared" si="14"/>
        <v>0</v>
      </c>
    </row>
    <row r="597" spans="1:19">
      <c r="A597" s="1015">
        <v>454</v>
      </c>
      <c r="B597" s="1015" t="s">
        <v>8484</v>
      </c>
      <c r="C597" s="1103" t="s">
        <v>8438</v>
      </c>
      <c r="D597" s="1015" t="s">
        <v>3127</v>
      </c>
      <c r="E597" s="1104">
        <v>31323</v>
      </c>
      <c r="F597" s="1105" t="s">
        <v>7505</v>
      </c>
      <c r="G597" s="1104">
        <v>72900</v>
      </c>
      <c r="H597" s="1104">
        <v>241838</v>
      </c>
      <c r="I597" s="1104">
        <v>214511</v>
      </c>
      <c r="J597" s="1104">
        <v>187673</v>
      </c>
      <c r="K597" s="1104">
        <v>309526</v>
      </c>
      <c r="L597" s="1104">
        <v>338771</v>
      </c>
      <c r="M597" s="1106">
        <v>311444</v>
      </c>
      <c r="N597" s="1159">
        <v>284606</v>
      </c>
      <c r="O597" s="1104">
        <v>406459</v>
      </c>
      <c r="P597" s="1107">
        <f t="shared" si="15"/>
        <v>580609</v>
      </c>
      <c r="Q597" s="1107">
        <f t="shared" si="15"/>
        <v>525955</v>
      </c>
      <c r="R597" s="1107">
        <f t="shared" si="15"/>
        <v>472279</v>
      </c>
      <c r="S597" s="1107">
        <f t="shared" si="14"/>
        <v>715985</v>
      </c>
    </row>
    <row r="598" spans="1:19">
      <c r="A598" s="1015"/>
      <c r="B598" s="1102" t="s">
        <v>8485</v>
      </c>
      <c r="C598" s="1099" t="s">
        <v>8486</v>
      </c>
      <c r="D598" s="1015"/>
      <c r="E598" s="1104" t="s">
        <v>7446</v>
      </c>
      <c r="F598" s="1105"/>
      <c r="G598" s="1104"/>
      <c r="H598" s="1104"/>
      <c r="I598" s="1104"/>
      <c r="J598" s="1104"/>
      <c r="K598" s="1104"/>
      <c r="L598" s="1104"/>
      <c r="M598" s="1106"/>
      <c r="N598" s="1159"/>
      <c r="O598" s="1104"/>
      <c r="P598" s="1107">
        <f t="shared" si="15"/>
        <v>0</v>
      </c>
      <c r="Q598" s="1107">
        <f t="shared" si="15"/>
        <v>0</v>
      </c>
      <c r="R598" s="1107">
        <f t="shared" si="15"/>
        <v>0</v>
      </c>
      <c r="S598" s="1107">
        <f t="shared" si="14"/>
        <v>0</v>
      </c>
    </row>
    <row r="599" spans="1:19">
      <c r="A599" s="1015">
        <v>455</v>
      </c>
      <c r="B599" s="1015" t="s">
        <v>8487</v>
      </c>
      <c r="C599" s="1103" t="s">
        <v>8488</v>
      </c>
      <c r="D599" s="1015" t="s">
        <v>3127</v>
      </c>
      <c r="E599" s="1104">
        <v>29365</v>
      </c>
      <c r="F599" s="1105" t="s">
        <v>7505</v>
      </c>
      <c r="G599" s="1104">
        <v>89100</v>
      </c>
      <c r="H599" s="1104">
        <v>241838</v>
      </c>
      <c r="I599" s="1104">
        <v>214511</v>
      </c>
      <c r="J599" s="1104">
        <v>187673</v>
      </c>
      <c r="K599" s="1104">
        <v>309526</v>
      </c>
      <c r="L599" s="1104">
        <v>351393</v>
      </c>
      <c r="M599" s="1106">
        <v>324066</v>
      </c>
      <c r="N599" s="1159">
        <v>297228</v>
      </c>
      <c r="O599" s="1104">
        <v>419081</v>
      </c>
      <c r="P599" s="1107">
        <f t="shared" si="15"/>
        <v>593231</v>
      </c>
      <c r="Q599" s="1107">
        <f t="shared" si="15"/>
        <v>538577</v>
      </c>
      <c r="R599" s="1107">
        <f t="shared" si="15"/>
        <v>484901</v>
      </c>
      <c r="S599" s="1107">
        <f t="shared" si="14"/>
        <v>728607</v>
      </c>
    </row>
    <row r="600" spans="1:19">
      <c r="A600" s="1015"/>
      <c r="B600" s="1102" t="s">
        <v>8489</v>
      </c>
      <c r="C600" s="1099" t="s">
        <v>8490</v>
      </c>
      <c r="D600" s="1015"/>
      <c r="E600" s="1104" t="s">
        <v>7446</v>
      </c>
      <c r="F600" s="1105"/>
      <c r="G600" s="1104"/>
      <c r="H600" s="1104"/>
      <c r="I600" s="1104"/>
      <c r="J600" s="1104"/>
      <c r="K600" s="1104"/>
      <c r="L600" s="1104"/>
      <c r="M600" s="1106"/>
      <c r="N600" s="1159"/>
      <c r="O600" s="1104"/>
      <c r="P600" s="1107">
        <f t="shared" si="15"/>
        <v>0</v>
      </c>
      <c r="Q600" s="1107">
        <f t="shared" si="15"/>
        <v>0</v>
      </c>
      <c r="R600" s="1107">
        <f t="shared" si="15"/>
        <v>0</v>
      </c>
      <c r="S600" s="1107">
        <f t="shared" si="14"/>
        <v>0</v>
      </c>
    </row>
    <row r="601" spans="1:19">
      <c r="A601" s="1015">
        <v>456</v>
      </c>
      <c r="B601" s="1015" t="s">
        <v>8491</v>
      </c>
      <c r="C601" s="1103" t="s">
        <v>8300</v>
      </c>
      <c r="D601" s="1015" t="s">
        <v>3127</v>
      </c>
      <c r="E601" s="1104">
        <v>3915</v>
      </c>
      <c r="F601" s="1105" t="s">
        <v>7505</v>
      </c>
      <c r="G601" s="1104">
        <v>6100</v>
      </c>
      <c r="H601" s="1104">
        <v>241838</v>
      </c>
      <c r="I601" s="1104">
        <v>214511</v>
      </c>
      <c r="J601" s="1104">
        <v>187673</v>
      </c>
      <c r="K601" s="1104">
        <v>309526</v>
      </c>
      <c r="L601" s="1104">
        <v>251881</v>
      </c>
      <c r="M601" s="1106">
        <v>224554</v>
      </c>
      <c r="N601" s="1159">
        <v>197716</v>
      </c>
      <c r="O601" s="1104">
        <v>319569</v>
      </c>
      <c r="P601" s="1107">
        <f t="shared" si="15"/>
        <v>493719</v>
      </c>
      <c r="Q601" s="1107">
        <f t="shared" si="15"/>
        <v>439065</v>
      </c>
      <c r="R601" s="1107">
        <f t="shared" si="15"/>
        <v>385389</v>
      </c>
      <c r="S601" s="1107">
        <f t="shared" si="14"/>
        <v>629095</v>
      </c>
    </row>
    <row r="602" spans="1:19">
      <c r="A602" s="1015"/>
      <c r="B602" s="1102" t="s">
        <v>8492</v>
      </c>
      <c r="C602" s="1099" t="s">
        <v>8493</v>
      </c>
      <c r="D602" s="1015"/>
      <c r="E602" s="1104" t="s">
        <v>7446</v>
      </c>
      <c r="F602" s="1105"/>
      <c r="G602" s="1104"/>
      <c r="H602" s="1104"/>
      <c r="I602" s="1104"/>
      <c r="J602" s="1104"/>
      <c r="K602" s="1104"/>
      <c r="L602" s="1104"/>
      <c r="M602" s="1106"/>
      <c r="N602" s="1159"/>
      <c r="O602" s="1104"/>
      <c r="P602" s="1107">
        <f t="shared" si="15"/>
        <v>0</v>
      </c>
      <c r="Q602" s="1107">
        <f t="shared" si="15"/>
        <v>0</v>
      </c>
      <c r="R602" s="1107">
        <f t="shared" si="15"/>
        <v>0</v>
      </c>
      <c r="S602" s="1107">
        <f t="shared" si="14"/>
        <v>0</v>
      </c>
    </row>
    <row r="603" spans="1:19">
      <c r="A603" s="1015">
        <v>457</v>
      </c>
      <c r="B603" s="1015" t="s">
        <v>8494</v>
      </c>
      <c r="C603" s="1103" t="s">
        <v>8379</v>
      </c>
      <c r="D603" s="1015" t="s">
        <v>3127</v>
      </c>
      <c r="E603" s="1104">
        <v>3915</v>
      </c>
      <c r="F603" s="1105"/>
      <c r="G603" s="1104">
        <v>3500</v>
      </c>
      <c r="H603" s="1104"/>
      <c r="I603" s="1104"/>
      <c r="J603" s="1104"/>
      <c r="K603" s="1104"/>
      <c r="L603" s="1104">
        <v>7559</v>
      </c>
      <c r="M603" s="1106">
        <v>7559</v>
      </c>
      <c r="N603" s="1159">
        <v>7559</v>
      </c>
      <c r="O603" s="1104">
        <v>7559</v>
      </c>
      <c r="P603" s="1107">
        <f t="shared" si="15"/>
        <v>7559</v>
      </c>
      <c r="Q603" s="1107">
        <f t="shared" si="15"/>
        <v>7559</v>
      </c>
      <c r="R603" s="1107">
        <f t="shared" si="15"/>
        <v>7559</v>
      </c>
      <c r="S603" s="1107">
        <f t="shared" si="14"/>
        <v>7559</v>
      </c>
    </row>
    <row r="604" spans="1:19">
      <c r="A604" s="1015">
        <v>458</v>
      </c>
      <c r="B604" s="1015" t="s">
        <v>8495</v>
      </c>
      <c r="C604" s="1103" t="s">
        <v>8408</v>
      </c>
      <c r="D604" s="1015" t="s">
        <v>3127</v>
      </c>
      <c r="E604" s="1104">
        <v>5873</v>
      </c>
      <c r="F604" s="1105"/>
      <c r="G604" s="1104">
        <v>7400</v>
      </c>
      <c r="H604" s="1104"/>
      <c r="I604" s="1104"/>
      <c r="J604" s="1104"/>
      <c r="K604" s="1104"/>
      <c r="L604" s="1104">
        <v>13576</v>
      </c>
      <c r="M604" s="1106">
        <v>13576</v>
      </c>
      <c r="N604" s="1159">
        <v>13576</v>
      </c>
      <c r="O604" s="1104">
        <v>13576</v>
      </c>
      <c r="P604" s="1107">
        <f t="shared" si="15"/>
        <v>13576</v>
      </c>
      <c r="Q604" s="1107">
        <f t="shared" si="15"/>
        <v>13576</v>
      </c>
      <c r="R604" s="1107">
        <f t="shared" si="15"/>
        <v>13576</v>
      </c>
      <c r="S604" s="1107">
        <f t="shared" si="14"/>
        <v>13576</v>
      </c>
    </row>
    <row r="605" spans="1:19">
      <c r="A605" s="1015">
        <v>459</v>
      </c>
      <c r="B605" s="1015" t="s">
        <v>8496</v>
      </c>
      <c r="C605" s="1103" t="s">
        <v>8478</v>
      </c>
      <c r="D605" s="1015" t="s">
        <v>3127</v>
      </c>
      <c r="E605" s="1104">
        <v>7831</v>
      </c>
      <c r="F605" s="1105"/>
      <c r="G605" s="1104">
        <v>11200</v>
      </c>
      <c r="H605" s="1104"/>
      <c r="I605" s="1104"/>
      <c r="J605" s="1104"/>
      <c r="K605" s="1104"/>
      <c r="L605" s="1104">
        <v>18982</v>
      </c>
      <c r="M605" s="1106">
        <v>18982</v>
      </c>
      <c r="N605" s="1159">
        <v>18982</v>
      </c>
      <c r="O605" s="1104">
        <v>18982</v>
      </c>
      <c r="P605" s="1107">
        <f t="shared" si="15"/>
        <v>18982</v>
      </c>
      <c r="Q605" s="1107">
        <f t="shared" si="15"/>
        <v>18982</v>
      </c>
      <c r="R605" s="1107">
        <f t="shared" si="15"/>
        <v>18982</v>
      </c>
      <c r="S605" s="1107">
        <f t="shared" si="14"/>
        <v>18982</v>
      </c>
    </row>
    <row r="606" spans="1:19">
      <c r="A606" s="1015"/>
      <c r="B606" s="1102" t="s">
        <v>8497</v>
      </c>
      <c r="C606" s="1099" t="s">
        <v>8498</v>
      </c>
      <c r="D606" s="1015"/>
      <c r="E606" s="1104" t="s">
        <v>7446</v>
      </c>
      <c r="F606" s="1105"/>
      <c r="G606" s="1104"/>
      <c r="H606" s="1104"/>
      <c r="I606" s="1104"/>
      <c r="J606" s="1104"/>
      <c r="K606" s="1104"/>
      <c r="L606" s="1104"/>
      <c r="M606" s="1106"/>
      <c r="N606" s="1159"/>
      <c r="O606" s="1104"/>
      <c r="P606" s="1107">
        <f t="shared" si="15"/>
        <v>0</v>
      </c>
      <c r="Q606" s="1107">
        <f t="shared" si="15"/>
        <v>0</v>
      </c>
      <c r="R606" s="1107">
        <f t="shared" si="15"/>
        <v>0</v>
      </c>
      <c r="S606" s="1107">
        <f t="shared" si="14"/>
        <v>0</v>
      </c>
    </row>
    <row r="607" spans="1:19">
      <c r="A607" s="1015">
        <v>460</v>
      </c>
      <c r="B607" s="1015" t="s">
        <v>8499</v>
      </c>
      <c r="C607" s="1103" t="s">
        <v>8500</v>
      </c>
      <c r="D607" s="1015" t="s">
        <v>3127</v>
      </c>
      <c r="E607" s="1104">
        <v>5873</v>
      </c>
      <c r="F607" s="1105"/>
      <c r="G607" s="1104">
        <v>7600</v>
      </c>
      <c r="H607" s="1104"/>
      <c r="I607" s="1104"/>
      <c r="J607" s="1104"/>
      <c r="K607" s="1104"/>
      <c r="L607" s="1104">
        <v>24662</v>
      </c>
      <c r="M607" s="1106">
        <v>24662</v>
      </c>
      <c r="N607" s="1159">
        <v>24662</v>
      </c>
      <c r="O607" s="1104">
        <v>24662</v>
      </c>
      <c r="P607" s="1107">
        <f t="shared" si="15"/>
        <v>24662</v>
      </c>
      <c r="Q607" s="1107">
        <f t="shared" si="15"/>
        <v>24662</v>
      </c>
      <c r="R607" s="1107">
        <f t="shared" si="15"/>
        <v>24662</v>
      </c>
      <c r="S607" s="1107">
        <f t="shared" si="14"/>
        <v>24662</v>
      </c>
    </row>
    <row r="608" spans="1:19">
      <c r="A608" s="1015"/>
      <c r="B608" s="1102" t="s">
        <v>8501</v>
      </c>
      <c r="C608" s="1099" t="s">
        <v>8502</v>
      </c>
      <c r="D608" s="1015"/>
      <c r="E608" s="1104" t="s">
        <v>7446</v>
      </c>
      <c r="F608" s="1105"/>
      <c r="G608" s="1104"/>
      <c r="H608" s="1104"/>
      <c r="I608" s="1104"/>
      <c r="J608" s="1104"/>
      <c r="K608" s="1104"/>
      <c r="L608" s="1104"/>
      <c r="M608" s="1106"/>
      <c r="N608" s="1159"/>
      <c r="O608" s="1104"/>
      <c r="P608" s="1107">
        <f t="shared" si="15"/>
        <v>0</v>
      </c>
      <c r="Q608" s="1107">
        <f t="shared" si="15"/>
        <v>0</v>
      </c>
      <c r="R608" s="1107">
        <f t="shared" si="15"/>
        <v>0</v>
      </c>
      <c r="S608" s="1107">
        <f t="shared" si="14"/>
        <v>0</v>
      </c>
    </row>
    <row r="609" spans="1:19">
      <c r="A609" s="1015">
        <v>461</v>
      </c>
      <c r="B609" s="1015" t="s">
        <v>8503</v>
      </c>
      <c r="C609" s="1103" t="s">
        <v>7787</v>
      </c>
      <c r="D609" s="1015" t="s">
        <v>3127</v>
      </c>
      <c r="E609" s="1104">
        <v>205555</v>
      </c>
      <c r="F609" s="1105" t="s">
        <v>7425</v>
      </c>
      <c r="G609" s="1104">
        <v>2600</v>
      </c>
      <c r="H609" s="1104">
        <v>287074</v>
      </c>
      <c r="I609" s="1104">
        <v>254635</v>
      </c>
      <c r="J609" s="1104">
        <v>222777</v>
      </c>
      <c r="K609" s="1104">
        <v>367424</v>
      </c>
      <c r="L609" s="1104">
        <v>536179</v>
      </c>
      <c r="M609" s="1106">
        <v>503740</v>
      </c>
      <c r="N609" s="1159">
        <v>471882</v>
      </c>
      <c r="O609" s="1104">
        <v>616529</v>
      </c>
      <c r="P609" s="1107">
        <f t="shared" si="15"/>
        <v>823253</v>
      </c>
      <c r="Q609" s="1107">
        <f t="shared" si="15"/>
        <v>758375</v>
      </c>
      <c r="R609" s="1107">
        <f t="shared" si="15"/>
        <v>694659</v>
      </c>
      <c r="S609" s="1107">
        <f t="shared" si="14"/>
        <v>983953</v>
      </c>
    </row>
    <row r="610" spans="1:19">
      <c r="A610" s="1015"/>
      <c r="B610" s="1102" t="s">
        <v>8504</v>
      </c>
      <c r="C610" s="1099" t="s">
        <v>8505</v>
      </c>
      <c r="D610" s="1015"/>
      <c r="E610" s="1104" t="s">
        <v>7446</v>
      </c>
      <c r="F610" s="1105"/>
      <c r="G610" s="1104"/>
      <c r="H610" s="1104"/>
      <c r="I610" s="1104"/>
      <c r="J610" s="1104"/>
      <c r="K610" s="1104"/>
      <c r="L610" s="1104"/>
      <c r="M610" s="1106"/>
      <c r="N610" s="1159"/>
      <c r="O610" s="1104"/>
      <c r="P610" s="1107">
        <f t="shared" si="15"/>
        <v>0</v>
      </c>
      <c r="Q610" s="1107">
        <f t="shared" si="15"/>
        <v>0</v>
      </c>
      <c r="R610" s="1107">
        <f t="shared" si="15"/>
        <v>0</v>
      </c>
      <c r="S610" s="1107">
        <f t="shared" si="14"/>
        <v>0</v>
      </c>
    </row>
    <row r="611" spans="1:19">
      <c r="A611" s="1015">
        <v>462</v>
      </c>
      <c r="B611" s="1015" t="s">
        <v>8506</v>
      </c>
      <c r="C611" s="1103" t="s">
        <v>8488</v>
      </c>
      <c r="D611" s="1015" t="s">
        <v>3127</v>
      </c>
      <c r="E611" s="1104">
        <v>29365</v>
      </c>
      <c r="F611" s="1105" t="s">
        <v>7425</v>
      </c>
      <c r="G611" s="1104">
        <v>4300</v>
      </c>
      <c r="H611" s="1104">
        <v>287074</v>
      </c>
      <c r="I611" s="1104">
        <v>254635</v>
      </c>
      <c r="J611" s="1104">
        <v>222777</v>
      </c>
      <c r="K611" s="1104">
        <v>367424</v>
      </c>
      <c r="L611" s="1104">
        <v>323061</v>
      </c>
      <c r="M611" s="1106">
        <v>290622</v>
      </c>
      <c r="N611" s="1159">
        <v>258764</v>
      </c>
      <c r="O611" s="1104">
        <v>403411</v>
      </c>
      <c r="P611" s="1107">
        <f t="shared" si="15"/>
        <v>610135</v>
      </c>
      <c r="Q611" s="1107">
        <f t="shared" si="15"/>
        <v>545257</v>
      </c>
      <c r="R611" s="1107">
        <f t="shared" si="15"/>
        <v>481541</v>
      </c>
      <c r="S611" s="1107">
        <f t="shared" si="14"/>
        <v>770835</v>
      </c>
    </row>
    <row r="612" spans="1:19">
      <c r="A612" s="1015">
        <v>463</v>
      </c>
      <c r="B612" s="1015" t="s">
        <v>4117</v>
      </c>
      <c r="C612" s="1103" t="s">
        <v>8507</v>
      </c>
      <c r="D612" s="1015" t="s">
        <v>3127</v>
      </c>
      <c r="E612" s="1104">
        <v>56772</v>
      </c>
      <c r="F612" s="1105" t="s">
        <v>7425</v>
      </c>
      <c r="G612" s="1104">
        <v>8600</v>
      </c>
      <c r="H612" s="1104">
        <v>287074</v>
      </c>
      <c r="I612" s="1104">
        <v>254635</v>
      </c>
      <c r="J612" s="1104">
        <v>222777</v>
      </c>
      <c r="K612" s="1104">
        <v>367424</v>
      </c>
      <c r="L612" s="1104">
        <v>357090</v>
      </c>
      <c r="M612" s="1106">
        <v>324651</v>
      </c>
      <c r="N612" s="1159">
        <v>292793</v>
      </c>
      <c r="O612" s="1104">
        <v>437440</v>
      </c>
      <c r="P612" s="1107">
        <f t="shared" si="15"/>
        <v>644164</v>
      </c>
      <c r="Q612" s="1107">
        <f t="shared" si="15"/>
        <v>579286</v>
      </c>
      <c r="R612" s="1107">
        <f t="shared" si="15"/>
        <v>515570</v>
      </c>
      <c r="S612" s="1107">
        <f t="shared" si="14"/>
        <v>804864</v>
      </c>
    </row>
    <row r="613" spans="1:19">
      <c r="A613" s="1015">
        <v>464</v>
      </c>
      <c r="B613" s="1015" t="s">
        <v>8508</v>
      </c>
      <c r="C613" s="1103" t="s">
        <v>8509</v>
      </c>
      <c r="D613" s="1015" t="s">
        <v>3127</v>
      </c>
      <c r="E613" s="1104">
        <v>93968</v>
      </c>
      <c r="F613" s="1105" t="s">
        <v>7425</v>
      </c>
      <c r="G613" s="1104">
        <v>16000</v>
      </c>
      <c r="H613" s="1104">
        <v>287074</v>
      </c>
      <c r="I613" s="1104">
        <v>254635</v>
      </c>
      <c r="J613" s="1104">
        <v>222777</v>
      </c>
      <c r="K613" s="1104">
        <v>367424</v>
      </c>
      <c r="L613" s="1104">
        <v>405682</v>
      </c>
      <c r="M613" s="1106">
        <v>373243</v>
      </c>
      <c r="N613" s="1159">
        <v>341385</v>
      </c>
      <c r="O613" s="1104">
        <v>486032</v>
      </c>
      <c r="P613" s="1107">
        <f t="shared" si="15"/>
        <v>692756</v>
      </c>
      <c r="Q613" s="1107">
        <f t="shared" si="15"/>
        <v>627878</v>
      </c>
      <c r="R613" s="1107">
        <f t="shared" si="15"/>
        <v>564162</v>
      </c>
      <c r="S613" s="1107">
        <f t="shared" si="14"/>
        <v>853456</v>
      </c>
    </row>
    <row r="614" spans="1:19">
      <c r="A614" s="1015"/>
      <c r="B614" s="1102" t="s">
        <v>8510</v>
      </c>
      <c r="C614" s="1099" t="s">
        <v>8511</v>
      </c>
      <c r="D614" s="1015"/>
      <c r="E614" s="1104" t="s">
        <v>7446</v>
      </c>
      <c r="F614" s="1105"/>
      <c r="G614" s="1104"/>
      <c r="H614" s="1104"/>
      <c r="I614" s="1104"/>
      <c r="J614" s="1104"/>
      <c r="K614" s="1104"/>
      <c r="L614" s="1104"/>
      <c r="M614" s="1106"/>
      <c r="N614" s="1159"/>
      <c r="O614" s="1104"/>
      <c r="P614" s="1107">
        <f t="shared" si="15"/>
        <v>0</v>
      </c>
      <c r="Q614" s="1107">
        <f t="shared" si="15"/>
        <v>0</v>
      </c>
      <c r="R614" s="1107">
        <f t="shared" si="15"/>
        <v>0</v>
      </c>
      <c r="S614" s="1107">
        <f t="shared" si="14"/>
        <v>0</v>
      </c>
    </row>
    <row r="615" spans="1:19">
      <c r="A615" s="1015">
        <v>465</v>
      </c>
      <c r="B615" s="1015" t="s">
        <v>8512</v>
      </c>
      <c r="C615" s="1103" t="s">
        <v>8513</v>
      </c>
      <c r="D615" s="1015"/>
      <c r="E615" s="1104" t="s">
        <v>7446</v>
      </c>
      <c r="F615" s="1105" t="s">
        <v>7425</v>
      </c>
      <c r="G615" s="1104">
        <v>3400</v>
      </c>
      <c r="H615" s="1104">
        <v>287074</v>
      </c>
      <c r="I615" s="1104">
        <v>254635</v>
      </c>
      <c r="J615" s="1104">
        <v>222777</v>
      </c>
      <c r="K615" s="1104">
        <v>367424</v>
      </c>
      <c r="L615" s="1104">
        <v>293619</v>
      </c>
      <c r="M615" s="1106">
        <v>261180</v>
      </c>
      <c r="N615" s="1159">
        <v>229322</v>
      </c>
      <c r="O615" s="1104">
        <v>373969</v>
      </c>
      <c r="P615" s="1107">
        <f t="shared" si="15"/>
        <v>580693</v>
      </c>
      <c r="Q615" s="1107">
        <f t="shared" si="15"/>
        <v>515815</v>
      </c>
      <c r="R615" s="1107">
        <f t="shared" si="15"/>
        <v>452099</v>
      </c>
      <c r="S615" s="1107">
        <f t="shared" si="14"/>
        <v>741393</v>
      </c>
    </row>
    <row r="616" spans="1:19">
      <c r="A616" s="1015">
        <v>466</v>
      </c>
      <c r="B616" s="1015" t="s">
        <v>8514</v>
      </c>
      <c r="C616" s="1103" t="s">
        <v>8515</v>
      </c>
      <c r="D616" s="1015"/>
      <c r="E616" s="1104" t="s">
        <v>7446</v>
      </c>
      <c r="F616" s="1105" t="s">
        <v>7425</v>
      </c>
      <c r="G616" s="1104">
        <v>5200</v>
      </c>
      <c r="H616" s="1104">
        <v>287074</v>
      </c>
      <c r="I616" s="1104">
        <v>254635</v>
      </c>
      <c r="J616" s="1104">
        <v>222777</v>
      </c>
      <c r="K616" s="1104">
        <v>367424</v>
      </c>
      <c r="L616" s="1104">
        <v>297084</v>
      </c>
      <c r="M616" s="1106">
        <v>264645</v>
      </c>
      <c r="N616" s="1159">
        <v>232787</v>
      </c>
      <c r="O616" s="1104">
        <v>377434</v>
      </c>
      <c r="P616" s="1107">
        <f t="shared" si="15"/>
        <v>584158</v>
      </c>
      <c r="Q616" s="1107">
        <f t="shared" si="15"/>
        <v>519280</v>
      </c>
      <c r="R616" s="1107">
        <f t="shared" si="15"/>
        <v>455564</v>
      </c>
      <c r="S616" s="1107">
        <f t="shared" si="14"/>
        <v>744858</v>
      </c>
    </row>
    <row r="617" spans="1:19">
      <c r="A617" s="1015">
        <v>467</v>
      </c>
      <c r="B617" s="1102" t="s">
        <v>8516</v>
      </c>
      <c r="C617" s="1099" t="s">
        <v>8517</v>
      </c>
      <c r="D617" s="1015"/>
      <c r="E617" s="1104" t="s">
        <v>7446</v>
      </c>
      <c r="F617" s="1105" t="s">
        <v>8518</v>
      </c>
      <c r="G617" s="1104">
        <v>106900</v>
      </c>
      <c r="H617" s="1104">
        <v>1183636</v>
      </c>
      <c r="I617" s="1104">
        <v>1088182</v>
      </c>
      <c r="J617" s="1104">
        <v>1019455</v>
      </c>
      <c r="K617" s="1104">
        <v>1344764</v>
      </c>
      <c r="L617" s="1104">
        <v>1586293</v>
      </c>
      <c r="M617" s="1106">
        <v>1490839</v>
      </c>
      <c r="N617" s="1159">
        <v>1422112</v>
      </c>
      <c r="O617" s="1104">
        <v>1747421</v>
      </c>
      <c r="P617" s="1107">
        <f t="shared" si="15"/>
        <v>2769929</v>
      </c>
      <c r="Q617" s="1107">
        <f t="shared" si="15"/>
        <v>2579021</v>
      </c>
      <c r="R617" s="1107">
        <f t="shared" si="15"/>
        <v>2441567</v>
      </c>
      <c r="S617" s="1107">
        <f t="shared" si="14"/>
        <v>3092185</v>
      </c>
    </row>
    <row r="618" spans="1:19">
      <c r="A618" s="1015"/>
      <c r="B618" s="1102" t="s">
        <v>8519</v>
      </c>
      <c r="C618" s="1099" t="s">
        <v>8520</v>
      </c>
      <c r="D618" s="1015"/>
      <c r="E618" s="1104" t="s">
        <v>7446</v>
      </c>
      <c r="F618" s="1105"/>
      <c r="G618" s="1104"/>
      <c r="H618" s="1104"/>
      <c r="I618" s="1104"/>
      <c r="J618" s="1104"/>
      <c r="K618" s="1104"/>
      <c r="L618" s="1104"/>
      <c r="M618" s="1106"/>
      <c r="N618" s="1159"/>
      <c r="O618" s="1104"/>
      <c r="P618" s="1107">
        <f t="shared" si="15"/>
        <v>0</v>
      </c>
      <c r="Q618" s="1107">
        <f t="shared" si="15"/>
        <v>0</v>
      </c>
      <c r="R618" s="1107">
        <f t="shared" si="15"/>
        <v>0</v>
      </c>
      <c r="S618" s="1107">
        <f t="shared" si="14"/>
        <v>0</v>
      </c>
    </row>
    <row r="619" spans="1:19">
      <c r="A619" s="1015">
        <v>468</v>
      </c>
      <c r="B619" s="1015" t="s">
        <v>8521</v>
      </c>
      <c r="C619" s="1103" t="s">
        <v>8522</v>
      </c>
      <c r="D619" s="1015" t="s">
        <v>3127</v>
      </c>
      <c r="E619" s="1104">
        <v>11746</v>
      </c>
      <c r="F619" s="1105"/>
      <c r="G619" s="1104">
        <v>1532</v>
      </c>
      <c r="H619" s="1104"/>
      <c r="I619" s="1104"/>
      <c r="J619" s="1104"/>
      <c r="K619" s="1104"/>
      <c r="L619" s="1104">
        <v>14235</v>
      </c>
      <c r="M619" s="1106">
        <v>14235</v>
      </c>
      <c r="N619" s="1159">
        <v>14235</v>
      </c>
      <c r="O619" s="1104">
        <v>14235</v>
      </c>
      <c r="P619" s="1107">
        <f t="shared" si="15"/>
        <v>14235</v>
      </c>
      <c r="Q619" s="1107">
        <f t="shared" si="15"/>
        <v>14235</v>
      </c>
      <c r="R619" s="1107">
        <f t="shared" si="15"/>
        <v>14235</v>
      </c>
      <c r="S619" s="1107">
        <f t="shared" si="14"/>
        <v>14235</v>
      </c>
    </row>
    <row r="620" spans="1:19">
      <c r="A620" s="1015">
        <v>469</v>
      </c>
      <c r="B620" s="1015" t="s">
        <v>8523</v>
      </c>
      <c r="C620" s="1103" t="s">
        <v>8524</v>
      </c>
      <c r="D620" s="1015" t="s">
        <v>3127</v>
      </c>
      <c r="E620" s="1104">
        <v>15661</v>
      </c>
      <c r="F620" s="1105" t="s">
        <v>7425</v>
      </c>
      <c r="G620" s="1104">
        <v>50000</v>
      </c>
      <c r="H620" s="1104">
        <v>287074</v>
      </c>
      <c r="I620" s="1104">
        <v>254635</v>
      </c>
      <c r="J620" s="1104">
        <v>222777</v>
      </c>
      <c r="K620" s="1104">
        <v>367424</v>
      </c>
      <c r="L620" s="1104">
        <v>378735</v>
      </c>
      <c r="M620" s="1106">
        <v>346296</v>
      </c>
      <c r="N620" s="1159">
        <v>314438</v>
      </c>
      <c r="O620" s="1104">
        <v>459085</v>
      </c>
      <c r="P620" s="1107">
        <f t="shared" si="15"/>
        <v>665809</v>
      </c>
      <c r="Q620" s="1107">
        <f t="shared" si="15"/>
        <v>600931</v>
      </c>
      <c r="R620" s="1107">
        <f t="shared" si="15"/>
        <v>537215</v>
      </c>
      <c r="S620" s="1107">
        <f t="shared" si="14"/>
        <v>826509</v>
      </c>
    </row>
    <row r="621" spans="1:19">
      <c r="A621" s="1015">
        <v>470</v>
      </c>
      <c r="B621" s="1015" t="s">
        <v>8525</v>
      </c>
      <c r="C621" s="1103" t="s">
        <v>8526</v>
      </c>
      <c r="D621" s="1015" t="s">
        <v>3127</v>
      </c>
      <c r="E621" s="1104">
        <v>23492</v>
      </c>
      <c r="F621" s="1105" t="s">
        <v>7425</v>
      </c>
      <c r="G621" s="1104">
        <v>122727</v>
      </c>
      <c r="H621" s="1104">
        <v>287074</v>
      </c>
      <c r="I621" s="1104">
        <v>254635</v>
      </c>
      <c r="J621" s="1104">
        <v>222777</v>
      </c>
      <c r="K621" s="1104">
        <v>367424</v>
      </c>
      <c r="L621" s="1104">
        <v>497111</v>
      </c>
      <c r="M621" s="1106">
        <v>464672</v>
      </c>
      <c r="N621" s="1159">
        <v>432814</v>
      </c>
      <c r="O621" s="1104">
        <v>577461</v>
      </c>
      <c r="P621" s="1107">
        <f t="shared" si="15"/>
        <v>784185</v>
      </c>
      <c r="Q621" s="1107">
        <f t="shared" si="15"/>
        <v>719307</v>
      </c>
      <c r="R621" s="1107">
        <f t="shared" si="15"/>
        <v>655591</v>
      </c>
      <c r="S621" s="1107">
        <f t="shared" si="14"/>
        <v>944885</v>
      </c>
    </row>
    <row r="622" spans="1:19">
      <c r="A622" s="1015">
        <v>471</v>
      </c>
      <c r="B622" s="1015" t="s">
        <v>8527</v>
      </c>
      <c r="C622" s="1103" t="s">
        <v>8528</v>
      </c>
      <c r="D622" s="1015" t="s">
        <v>3127</v>
      </c>
      <c r="E622" s="1104">
        <v>35238</v>
      </c>
      <c r="F622" s="1105" t="s">
        <v>7425</v>
      </c>
      <c r="G622" s="1104">
        <v>170909</v>
      </c>
      <c r="H622" s="1104">
        <v>287074</v>
      </c>
      <c r="I622" s="1104">
        <v>254635</v>
      </c>
      <c r="J622" s="1104">
        <v>222777</v>
      </c>
      <c r="K622" s="1104">
        <v>367424</v>
      </c>
      <c r="L622" s="1104">
        <v>582094</v>
      </c>
      <c r="M622" s="1106">
        <v>549655</v>
      </c>
      <c r="N622" s="1159">
        <v>517797</v>
      </c>
      <c r="O622" s="1104">
        <v>662444</v>
      </c>
      <c r="P622" s="1107">
        <f t="shared" si="15"/>
        <v>869168</v>
      </c>
      <c r="Q622" s="1107">
        <f t="shared" si="15"/>
        <v>804290</v>
      </c>
      <c r="R622" s="1107">
        <f t="shared" si="15"/>
        <v>740574</v>
      </c>
      <c r="S622" s="1107">
        <f t="shared" si="14"/>
        <v>1029868</v>
      </c>
    </row>
    <row r="623" spans="1:19">
      <c r="A623" s="1015"/>
      <c r="B623" s="1102" t="s">
        <v>8529</v>
      </c>
      <c r="C623" s="1099" t="s">
        <v>8530</v>
      </c>
      <c r="D623" s="1015"/>
      <c r="E623" s="1104" t="s">
        <v>7446</v>
      </c>
      <c r="F623" s="1105"/>
      <c r="G623" s="1104"/>
      <c r="H623" s="1104"/>
      <c r="I623" s="1104"/>
      <c r="J623" s="1104"/>
      <c r="K623" s="1104"/>
      <c r="L623" s="1104"/>
      <c r="M623" s="1106"/>
      <c r="N623" s="1159"/>
      <c r="O623" s="1104"/>
      <c r="P623" s="1107">
        <f t="shared" si="15"/>
        <v>0</v>
      </c>
      <c r="Q623" s="1107">
        <f t="shared" si="15"/>
        <v>0</v>
      </c>
      <c r="R623" s="1107">
        <f t="shared" si="15"/>
        <v>0</v>
      </c>
      <c r="S623" s="1107">
        <f t="shared" si="14"/>
        <v>0</v>
      </c>
    </row>
    <row r="624" spans="1:19">
      <c r="A624" s="1015">
        <v>472</v>
      </c>
      <c r="B624" s="1015" t="s">
        <v>8531</v>
      </c>
      <c r="C624" s="1103" t="s">
        <v>8402</v>
      </c>
      <c r="D624" s="1015" t="s">
        <v>3127</v>
      </c>
      <c r="E624" s="1104">
        <v>31323</v>
      </c>
      <c r="F624" s="1105"/>
      <c r="G624" s="1104">
        <v>3600</v>
      </c>
      <c r="H624" s="1104"/>
      <c r="I624" s="1104"/>
      <c r="J624" s="1104"/>
      <c r="K624" s="1104"/>
      <c r="L624" s="1104">
        <v>37105</v>
      </c>
      <c r="M624" s="1106">
        <v>37105</v>
      </c>
      <c r="N624" s="1159">
        <v>37105</v>
      </c>
      <c r="O624" s="1104">
        <v>37105</v>
      </c>
      <c r="P624" s="1107">
        <f t="shared" si="15"/>
        <v>37105</v>
      </c>
      <c r="Q624" s="1107">
        <f t="shared" si="15"/>
        <v>37105</v>
      </c>
      <c r="R624" s="1107">
        <f t="shared" si="15"/>
        <v>37105</v>
      </c>
      <c r="S624" s="1107">
        <f t="shared" si="14"/>
        <v>37105</v>
      </c>
    </row>
    <row r="625" spans="1:19">
      <c r="A625" s="1015">
        <v>473</v>
      </c>
      <c r="B625" s="1015" t="s">
        <v>8532</v>
      </c>
      <c r="C625" s="1103" t="s">
        <v>8404</v>
      </c>
      <c r="D625" s="1015" t="s">
        <v>3127</v>
      </c>
      <c r="E625" s="1104">
        <v>56772</v>
      </c>
      <c r="F625" s="1105"/>
      <c r="G625" s="1104">
        <v>7900</v>
      </c>
      <c r="H625" s="1104"/>
      <c r="I625" s="1104"/>
      <c r="J625" s="1104"/>
      <c r="K625" s="1104"/>
      <c r="L625" s="1104">
        <v>69462</v>
      </c>
      <c r="M625" s="1106">
        <v>69462</v>
      </c>
      <c r="N625" s="1159">
        <v>69462</v>
      </c>
      <c r="O625" s="1104">
        <v>69462</v>
      </c>
      <c r="P625" s="1107">
        <f t="shared" si="15"/>
        <v>69462</v>
      </c>
      <c r="Q625" s="1107">
        <f t="shared" si="15"/>
        <v>69462</v>
      </c>
      <c r="R625" s="1107">
        <f t="shared" si="15"/>
        <v>69462</v>
      </c>
      <c r="S625" s="1107">
        <f t="shared" si="14"/>
        <v>69462</v>
      </c>
    </row>
    <row r="626" spans="1:19">
      <c r="A626" s="1015"/>
      <c r="B626" s="1102" t="s">
        <v>8533</v>
      </c>
      <c r="C626" s="1099" t="s">
        <v>8534</v>
      </c>
      <c r="D626" s="1015"/>
      <c r="E626" s="1104" t="s">
        <v>7446</v>
      </c>
      <c r="F626" s="1105"/>
      <c r="G626" s="1104"/>
      <c r="H626" s="1104"/>
      <c r="I626" s="1104"/>
      <c r="J626" s="1104"/>
      <c r="K626" s="1104"/>
      <c r="L626" s="1104"/>
      <c r="M626" s="1106"/>
      <c r="N626" s="1159"/>
      <c r="O626" s="1104"/>
      <c r="P626" s="1107">
        <f t="shared" si="15"/>
        <v>0</v>
      </c>
      <c r="Q626" s="1107">
        <f t="shared" si="15"/>
        <v>0</v>
      </c>
      <c r="R626" s="1107">
        <f t="shared" si="15"/>
        <v>0</v>
      </c>
      <c r="S626" s="1107">
        <f t="shared" si="14"/>
        <v>0</v>
      </c>
    </row>
    <row r="627" spans="1:19">
      <c r="A627" s="1015">
        <v>474</v>
      </c>
      <c r="B627" s="1015" t="s">
        <v>8535</v>
      </c>
      <c r="C627" s="1103" t="s">
        <v>7785</v>
      </c>
      <c r="D627" s="1015" t="s">
        <v>3127</v>
      </c>
      <c r="E627" s="1104">
        <v>281903</v>
      </c>
      <c r="F627" s="1105" t="s">
        <v>7425</v>
      </c>
      <c r="G627" s="1104">
        <v>630000</v>
      </c>
      <c r="H627" s="1104">
        <v>287074</v>
      </c>
      <c r="I627" s="1104">
        <v>254635</v>
      </c>
      <c r="J627" s="1104">
        <v>222777</v>
      </c>
      <c r="K627" s="1104">
        <v>367424</v>
      </c>
      <c r="L627" s="1104">
        <v>1324977</v>
      </c>
      <c r="M627" s="1106">
        <v>1292538</v>
      </c>
      <c r="N627" s="1159">
        <v>1260680</v>
      </c>
      <c r="O627" s="1104">
        <v>1405327</v>
      </c>
      <c r="P627" s="1107">
        <f t="shared" si="15"/>
        <v>1612051</v>
      </c>
      <c r="Q627" s="1107">
        <f t="shared" si="15"/>
        <v>1547173</v>
      </c>
      <c r="R627" s="1107">
        <f t="shared" si="15"/>
        <v>1483457</v>
      </c>
      <c r="S627" s="1107">
        <f t="shared" si="14"/>
        <v>1772751</v>
      </c>
    </row>
    <row r="628" spans="1:19">
      <c r="A628" s="1015"/>
      <c r="B628" s="1102" t="s">
        <v>8536</v>
      </c>
      <c r="C628" s="1099" t="s">
        <v>8537</v>
      </c>
      <c r="D628" s="1015"/>
      <c r="E628" s="1104" t="s">
        <v>7446</v>
      </c>
      <c r="F628" s="1105"/>
      <c r="G628" s="1104"/>
      <c r="H628" s="1104"/>
      <c r="I628" s="1104"/>
      <c r="J628" s="1104"/>
      <c r="K628" s="1104"/>
      <c r="L628" s="1104"/>
      <c r="M628" s="1106"/>
      <c r="N628" s="1159"/>
      <c r="O628" s="1104"/>
      <c r="P628" s="1107">
        <f t="shared" si="15"/>
        <v>0</v>
      </c>
      <c r="Q628" s="1107">
        <f t="shared" si="15"/>
        <v>0</v>
      </c>
      <c r="R628" s="1107">
        <f t="shared" si="15"/>
        <v>0</v>
      </c>
      <c r="S628" s="1107">
        <f t="shared" si="14"/>
        <v>0</v>
      </c>
    </row>
    <row r="629" spans="1:19">
      <c r="A629" s="1015">
        <v>475</v>
      </c>
      <c r="B629" s="1015" t="s">
        <v>8538</v>
      </c>
      <c r="C629" s="1103" t="s">
        <v>8194</v>
      </c>
      <c r="D629" s="1015" t="s">
        <v>7424</v>
      </c>
      <c r="E629" s="1104">
        <v>285010</v>
      </c>
      <c r="F629" s="1105" t="s">
        <v>7425</v>
      </c>
      <c r="G629" s="1104">
        <v>1117200</v>
      </c>
      <c r="H629" s="1104">
        <v>287074</v>
      </c>
      <c r="I629" s="1104">
        <v>254635</v>
      </c>
      <c r="J629" s="1104">
        <v>222777</v>
      </c>
      <c r="K629" s="1104">
        <v>367424</v>
      </c>
      <c r="L629" s="1104">
        <v>1742716</v>
      </c>
      <c r="M629" s="1106">
        <v>1710277</v>
      </c>
      <c r="N629" s="1159">
        <v>1678419</v>
      </c>
      <c r="O629" s="1104">
        <v>1823066</v>
      </c>
      <c r="P629" s="1107">
        <f t="shared" si="15"/>
        <v>2029790</v>
      </c>
      <c r="Q629" s="1107">
        <f t="shared" si="15"/>
        <v>1964912</v>
      </c>
      <c r="R629" s="1107">
        <f t="shared" si="15"/>
        <v>1901196</v>
      </c>
      <c r="S629" s="1107">
        <f t="shared" si="14"/>
        <v>2190490</v>
      </c>
    </row>
    <row r="630" spans="1:19">
      <c r="A630" s="1015">
        <v>476</v>
      </c>
      <c r="B630" s="1015" t="s">
        <v>8539</v>
      </c>
      <c r="C630" s="1103" t="s">
        <v>8540</v>
      </c>
      <c r="D630" s="1015" t="s">
        <v>7424</v>
      </c>
      <c r="E630" s="1104">
        <v>1455053</v>
      </c>
      <c r="F630" s="1105" t="s">
        <v>7490</v>
      </c>
      <c r="G630" s="1104">
        <v>7036900</v>
      </c>
      <c r="H630" s="1104">
        <v>400164</v>
      </c>
      <c r="I630" s="1104">
        <v>354946</v>
      </c>
      <c r="J630" s="1104">
        <v>310538</v>
      </c>
      <c r="K630" s="1104">
        <v>512166</v>
      </c>
      <c r="L630" s="1104">
        <v>8157832</v>
      </c>
      <c r="M630" s="1106">
        <v>8112614</v>
      </c>
      <c r="N630" s="1159">
        <v>8068206</v>
      </c>
      <c r="O630" s="1104">
        <v>8269834</v>
      </c>
      <c r="P630" s="1107">
        <f t="shared" si="15"/>
        <v>8557996</v>
      </c>
      <c r="Q630" s="1107">
        <f t="shared" si="15"/>
        <v>8467560</v>
      </c>
      <c r="R630" s="1107">
        <f t="shared" si="15"/>
        <v>8378744</v>
      </c>
      <c r="S630" s="1107">
        <f t="shared" si="14"/>
        <v>8782000</v>
      </c>
    </row>
    <row r="631" spans="1:19">
      <c r="A631" s="1015"/>
      <c r="B631" s="1102" t="s">
        <v>8541</v>
      </c>
      <c r="C631" s="1099" t="s">
        <v>8542</v>
      </c>
      <c r="D631" s="1015"/>
      <c r="E631" s="1104" t="s">
        <v>7446</v>
      </c>
      <c r="F631" s="1105"/>
      <c r="G631" s="1104"/>
      <c r="H631" s="1104"/>
      <c r="I631" s="1104"/>
      <c r="J631" s="1104"/>
      <c r="K631" s="1104"/>
      <c r="L631" s="1104"/>
      <c r="M631" s="1106"/>
      <c r="N631" s="1159"/>
      <c r="O631" s="1104"/>
      <c r="P631" s="1107">
        <f t="shared" si="15"/>
        <v>0</v>
      </c>
      <c r="Q631" s="1107">
        <f t="shared" si="15"/>
        <v>0</v>
      </c>
      <c r="R631" s="1107">
        <f t="shared" si="15"/>
        <v>0</v>
      </c>
      <c r="S631" s="1107">
        <f t="shared" si="14"/>
        <v>0</v>
      </c>
    </row>
    <row r="632" spans="1:19">
      <c r="A632" s="1015">
        <v>477</v>
      </c>
      <c r="B632" s="1015" t="s">
        <v>8543</v>
      </c>
      <c r="C632" s="1103" t="s">
        <v>8544</v>
      </c>
      <c r="D632" s="1015" t="s">
        <v>3127</v>
      </c>
      <c r="E632" s="1104">
        <v>127248</v>
      </c>
      <c r="F632" s="1105" t="s">
        <v>7582</v>
      </c>
      <c r="G632" s="1104">
        <v>550300</v>
      </c>
      <c r="H632" s="1104">
        <v>758571</v>
      </c>
      <c r="I632" s="1104">
        <v>672854</v>
      </c>
      <c r="J632" s="1104">
        <v>588672</v>
      </c>
      <c r="K632" s="1104">
        <v>970889</v>
      </c>
      <c r="L632" s="1104">
        <v>1592955</v>
      </c>
      <c r="M632" s="1106">
        <v>1507238</v>
      </c>
      <c r="N632" s="1159">
        <v>1423056</v>
      </c>
      <c r="O632" s="1104">
        <v>1805273</v>
      </c>
      <c r="P632" s="1107">
        <f t="shared" si="15"/>
        <v>2351526</v>
      </c>
      <c r="Q632" s="1107">
        <f t="shared" si="15"/>
        <v>2180092</v>
      </c>
      <c r="R632" s="1107">
        <f t="shared" si="15"/>
        <v>2011728</v>
      </c>
      <c r="S632" s="1107">
        <f t="shared" si="14"/>
        <v>2776162</v>
      </c>
    </row>
    <row r="633" spans="1:19">
      <c r="A633" s="1015">
        <v>478</v>
      </c>
      <c r="B633" s="1015" t="s">
        <v>8545</v>
      </c>
      <c r="C633" s="1103" t="s">
        <v>8546</v>
      </c>
      <c r="D633" s="1015" t="s">
        <v>3127</v>
      </c>
      <c r="E633" s="1104">
        <v>27407</v>
      </c>
      <c r="F633" s="1105" t="s">
        <v>7425</v>
      </c>
      <c r="G633" s="1104">
        <v>91300</v>
      </c>
      <c r="H633" s="1104">
        <v>287074</v>
      </c>
      <c r="I633" s="1104">
        <v>254635</v>
      </c>
      <c r="J633" s="1104">
        <v>222777</v>
      </c>
      <c r="K633" s="1104">
        <v>367424</v>
      </c>
      <c r="L633" s="1104">
        <v>400760</v>
      </c>
      <c r="M633" s="1106">
        <v>368321</v>
      </c>
      <c r="N633" s="1159">
        <v>336463</v>
      </c>
      <c r="O633" s="1104">
        <v>481110</v>
      </c>
      <c r="P633" s="1107">
        <f t="shared" si="15"/>
        <v>687834</v>
      </c>
      <c r="Q633" s="1107">
        <f t="shared" si="15"/>
        <v>622956</v>
      </c>
      <c r="R633" s="1107">
        <f t="shared" si="15"/>
        <v>559240</v>
      </c>
      <c r="S633" s="1107">
        <f t="shared" si="14"/>
        <v>848534</v>
      </c>
    </row>
    <row r="634" spans="1:19">
      <c r="A634" s="1015"/>
      <c r="B634" s="1102" t="s">
        <v>8547</v>
      </c>
      <c r="C634" s="1099" t="s">
        <v>8548</v>
      </c>
      <c r="D634" s="1015"/>
      <c r="E634" s="1104" t="s">
        <v>7446</v>
      </c>
      <c r="F634" s="1105"/>
      <c r="G634" s="1104"/>
      <c r="H634" s="1104"/>
      <c r="I634" s="1104"/>
      <c r="J634" s="1104"/>
      <c r="K634" s="1104"/>
      <c r="L634" s="1104"/>
      <c r="M634" s="1106"/>
      <c r="N634" s="1159"/>
      <c r="O634" s="1104"/>
      <c r="P634" s="1107">
        <f t="shared" si="15"/>
        <v>0</v>
      </c>
      <c r="Q634" s="1107">
        <f t="shared" si="15"/>
        <v>0</v>
      </c>
      <c r="R634" s="1107">
        <f t="shared" si="15"/>
        <v>0</v>
      </c>
      <c r="S634" s="1107">
        <f t="shared" si="14"/>
        <v>0</v>
      </c>
    </row>
    <row r="635" spans="1:19">
      <c r="A635" s="1015">
        <v>479</v>
      </c>
      <c r="B635" s="1015" t="s">
        <v>8549</v>
      </c>
      <c r="C635" s="1103" t="s">
        <v>8550</v>
      </c>
      <c r="D635" s="1015" t="s">
        <v>3127</v>
      </c>
      <c r="E635" s="1104">
        <v>5873</v>
      </c>
      <c r="F635" s="1105"/>
      <c r="G635" s="1104">
        <v>37900</v>
      </c>
      <c r="H635" s="1104"/>
      <c r="I635" s="1104"/>
      <c r="J635" s="1104"/>
      <c r="K635" s="1104"/>
      <c r="L635" s="1104">
        <v>41301</v>
      </c>
      <c r="M635" s="1106">
        <v>41301</v>
      </c>
      <c r="N635" s="1159">
        <v>41301</v>
      </c>
      <c r="O635" s="1104">
        <v>41301</v>
      </c>
      <c r="P635" s="1107">
        <f t="shared" si="15"/>
        <v>41301</v>
      </c>
      <c r="Q635" s="1107">
        <f t="shared" si="15"/>
        <v>41301</v>
      </c>
      <c r="R635" s="1107">
        <f t="shared" si="15"/>
        <v>41301</v>
      </c>
      <c r="S635" s="1107">
        <f t="shared" si="14"/>
        <v>41301</v>
      </c>
    </row>
    <row r="636" spans="1:19">
      <c r="A636" s="1015">
        <v>480</v>
      </c>
      <c r="B636" s="1015" t="s">
        <v>8551</v>
      </c>
      <c r="C636" s="1103" t="s">
        <v>8552</v>
      </c>
      <c r="D636" s="1015" t="s">
        <v>7504</v>
      </c>
      <c r="E636" s="1104">
        <v>74701</v>
      </c>
      <c r="F636" s="1105"/>
      <c r="G636" s="1104">
        <v>34166</v>
      </c>
      <c r="H636" s="1104"/>
      <c r="I636" s="1104"/>
      <c r="J636" s="1104"/>
      <c r="K636" s="1104"/>
      <c r="L636" s="1104">
        <v>119971</v>
      </c>
      <c r="M636" s="1106">
        <v>119971</v>
      </c>
      <c r="N636" s="1159">
        <v>119971</v>
      </c>
      <c r="O636" s="1104">
        <v>119971</v>
      </c>
      <c r="P636" s="1107">
        <f t="shared" si="15"/>
        <v>119971</v>
      </c>
      <c r="Q636" s="1107">
        <f t="shared" si="15"/>
        <v>119971</v>
      </c>
      <c r="R636" s="1107">
        <f t="shared" si="15"/>
        <v>119971</v>
      </c>
      <c r="S636" s="1107">
        <f t="shared" si="14"/>
        <v>119971</v>
      </c>
    </row>
    <row r="637" spans="1:19">
      <c r="A637" s="1015">
        <v>481</v>
      </c>
      <c r="B637" s="1015" t="s">
        <v>8553</v>
      </c>
      <c r="C637" s="1103" t="s">
        <v>8554</v>
      </c>
      <c r="D637" s="1015"/>
      <c r="E637" s="1104" t="s">
        <v>7446</v>
      </c>
      <c r="F637" s="1105"/>
      <c r="G637" s="1104">
        <v>93480</v>
      </c>
      <c r="H637" s="1104"/>
      <c r="I637" s="1104"/>
      <c r="J637" s="1104"/>
      <c r="K637" s="1104"/>
      <c r="L637" s="1104">
        <v>74359</v>
      </c>
      <c r="M637" s="1106">
        <v>74359</v>
      </c>
      <c r="N637" s="1159">
        <v>74359</v>
      </c>
      <c r="O637" s="1104">
        <v>74359</v>
      </c>
      <c r="P637" s="1107">
        <f t="shared" si="15"/>
        <v>74359</v>
      </c>
      <c r="Q637" s="1107">
        <f t="shared" si="15"/>
        <v>74359</v>
      </c>
      <c r="R637" s="1107">
        <f t="shared" si="15"/>
        <v>74359</v>
      </c>
      <c r="S637" s="1107">
        <f t="shared" si="14"/>
        <v>74359</v>
      </c>
    </row>
    <row r="638" spans="1:19">
      <c r="A638" s="1015">
        <v>482</v>
      </c>
      <c r="B638" s="1015" t="s">
        <v>8555</v>
      </c>
      <c r="C638" s="1103" t="s">
        <v>8556</v>
      </c>
      <c r="D638" s="1015"/>
      <c r="E638" s="1104" t="s">
        <v>7446</v>
      </c>
      <c r="F638" s="1105"/>
      <c r="G638" s="1104">
        <v>3400</v>
      </c>
      <c r="H638" s="1104"/>
      <c r="I638" s="1104"/>
      <c r="J638" s="1104"/>
      <c r="K638" s="1104"/>
      <c r="L638" s="1104">
        <v>2754</v>
      </c>
      <c r="M638" s="1106">
        <v>2754</v>
      </c>
      <c r="N638" s="1159">
        <v>2754</v>
      </c>
      <c r="O638" s="1104">
        <v>2754</v>
      </c>
      <c r="P638" s="1107">
        <f t="shared" si="15"/>
        <v>2754</v>
      </c>
      <c r="Q638" s="1107">
        <f t="shared" si="15"/>
        <v>2754</v>
      </c>
      <c r="R638" s="1107">
        <f t="shared" si="15"/>
        <v>2754</v>
      </c>
      <c r="S638" s="1107">
        <f t="shared" si="14"/>
        <v>2754</v>
      </c>
    </row>
    <row r="639" spans="1:19">
      <c r="A639" s="1015">
        <v>483</v>
      </c>
      <c r="B639" s="1015" t="s">
        <v>7283</v>
      </c>
      <c r="C639" s="1103" t="s">
        <v>7284</v>
      </c>
      <c r="D639" s="1015"/>
      <c r="E639" s="1104" t="s">
        <v>7446</v>
      </c>
      <c r="F639" s="1105"/>
      <c r="G639" s="1104">
        <v>1500</v>
      </c>
      <c r="H639" s="1104"/>
      <c r="I639" s="1104"/>
      <c r="J639" s="1104"/>
      <c r="K639" s="1104"/>
      <c r="L639" s="1104">
        <v>1215</v>
      </c>
      <c r="M639" s="1106">
        <v>1215</v>
      </c>
      <c r="N639" s="1159">
        <v>1215</v>
      </c>
      <c r="O639" s="1104">
        <v>1215</v>
      </c>
      <c r="P639" s="1107">
        <f t="shared" si="15"/>
        <v>1215</v>
      </c>
      <c r="Q639" s="1107">
        <f t="shared" si="15"/>
        <v>1215</v>
      </c>
      <c r="R639" s="1107">
        <f t="shared" si="15"/>
        <v>1215</v>
      </c>
      <c r="S639" s="1107">
        <f t="shared" si="14"/>
        <v>1215</v>
      </c>
    </row>
    <row r="640" spans="1:19">
      <c r="A640" s="1015"/>
      <c r="B640" s="1015"/>
      <c r="C640" s="1099" t="s">
        <v>8557</v>
      </c>
      <c r="D640" s="1015"/>
      <c r="E640" s="1104" t="s">
        <v>7446</v>
      </c>
      <c r="F640" s="1105"/>
      <c r="G640" s="1104"/>
      <c r="H640" s="1104"/>
      <c r="I640" s="1104"/>
      <c r="J640" s="1104"/>
      <c r="K640" s="1104"/>
      <c r="L640" s="1104"/>
      <c r="M640" s="1106"/>
      <c r="N640" s="1159"/>
      <c r="O640" s="1104"/>
      <c r="P640" s="1107">
        <f t="shared" si="15"/>
        <v>0</v>
      </c>
      <c r="Q640" s="1107">
        <f t="shared" si="15"/>
        <v>0</v>
      </c>
      <c r="R640" s="1107">
        <f t="shared" si="15"/>
        <v>0</v>
      </c>
      <c r="S640" s="1107">
        <f t="shared" si="14"/>
        <v>0</v>
      </c>
    </row>
    <row r="641" spans="1:19">
      <c r="A641" s="1015"/>
      <c r="B641" s="1102" t="s">
        <v>8558</v>
      </c>
      <c r="C641" s="1099" t="s">
        <v>8559</v>
      </c>
      <c r="D641" s="1015"/>
      <c r="E641" s="1104" t="s">
        <v>7446</v>
      </c>
      <c r="F641" s="1105"/>
      <c r="G641" s="1104"/>
      <c r="H641" s="1104"/>
      <c r="I641" s="1104"/>
      <c r="J641" s="1104"/>
      <c r="K641" s="1104"/>
      <c r="L641" s="1104"/>
      <c r="M641" s="1106"/>
      <c r="N641" s="1159"/>
      <c r="O641" s="1104"/>
      <c r="P641" s="1107">
        <f t="shared" si="15"/>
        <v>0</v>
      </c>
      <c r="Q641" s="1107">
        <f t="shared" si="15"/>
        <v>0</v>
      </c>
      <c r="R641" s="1107">
        <f t="shared" si="15"/>
        <v>0</v>
      </c>
      <c r="S641" s="1107">
        <f t="shared" si="14"/>
        <v>0</v>
      </c>
    </row>
    <row r="642" spans="1:19">
      <c r="A642" s="1015">
        <v>484</v>
      </c>
      <c r="B642" s="1015" t="s">
        <v>6879</v>
      </c>
      <c r="C642" s="1103" t="s">
        <v>8560</v>
      </c>
      <c r="D642" s="1015"/>
      <c r="E642" s="1104" t="s">
        <v>7446</v>
      </c>
      <c r="F642" s="1105"/>
      <c r="G642" s="1104">
        <v>35083</v>
      </c>
      <c r="H642" s="1104"/>
      <c r="I642" s="1104"/>
      <c r="J642" s="1104"/>
      <c r="K642" s="1104"/>
      <c r="L642" s="1104">
        <v>47752</v>
      </c>
      <c r="M642" s="1106">
        <v>47752</v>
      </c>
      <c r="N642" s="1159">
        <v>47752</v>
      </c>
      <c r="O642" s="1104">
        <v>47752</v>
      </c>
      <c r="P642" s="1107">
        <f t="shared" si="15"/>
        <v>47752</v>
      </c>
      <c r="Q642" s="1107">
        <f t="shared" si="15"/>
        <v>47752</v>
      </c>
      <c r="R642" s="1107">
        <f t="shared" si="15"/>
        <v>47752</v>
      </c>
      <c r="S642" s="1107">
        <f t="shared" si="14"/>
        <v>47752</v>
      </c>
    </row>
    <row r="643" spans="1:19">
      <c r="A643" s="1015">
        <v>485</v>
      </c>
      <c r="B643" s="1015" t="s">
        <v>4110</v>
      </c>
      <c r="C643" s="1103" t="s">
        <v>4111</v>
      </c>
      <c r="D643" s="1015"/>
      <c r="E643" s="1104" t="s">
        <v>7446</v>
      </c>
      <c r="F643" s="1105"/>
      <c r="G643" s="1104">
        <v>76000</v>
      </c>
      <c r="H643" s="1104"/>
      <c r="I643" s="1104"/>
      <c r="J643" s="1104"/>
      <c r="K643" s="1104"/>
      <c r="L643" s="1104">
        <v>80222</v>
      </c>
      <c r="M643" s="1106">
        <v>80222</v>
      </c>
      <c r="N643" s="1159">
        <v>80222</v>
      </c>
      <c r="O643" s="1104">
        <v>80222</v>
      </c>
      <c r="P643" s="1107">
        <f t="shared" si="15"/>
        <v>80222</v>
      </c>
      <c r="Q643" s="1107">
        <f t="shared" si="15"/>
        <v>80222</v>
      </c>
      <c r="R643" s="1107">
        <f t="shared" si="15"/>
        <v>80222</v>
      </c>
      <c r="S643" s="1107">
        <f t="shared" si="14"/>
        <v>80222</v>
      </c>
    </row>
    <row r="644" spans="1:19">
      <c r="A644" s="1015">
        <v>486</v>
      </c>
      <c r="B644" s="1015" t="s">
        <v>8561</v>
      </c>
      <c r="C644" s="1103" t="s">
        <v>8562</v>
      </c>
      <c r="D644" s="1015"/>
      <c r="E644" s="1104" t="s">
        <v>7446</v>
      </c>
      <c r="F644" s="1105"/>
      <c r="G644" s="1104">
        <v>210909</v>
      </c>
      <c r="H644" s="1104"/>
      <c r="I644" s="1104"/>
      <c r="J644" s="1104"/>
      <c r="K644" s="1104"/>
      <c r="L644" s="1104">
        <v>222626</v>
      </c>
      <c r="M644" s="1106">
        <v>222626</v>
      </c>
      <c r="N644" s="1159">
        <v>222626</v>
      </c>
      <c r="O644" s="1104">
        <v>222626</v>
      </c>
      <c r="P644" s="1107">
        <f t="shared" si="15"/>
        <v>222626</v>
      </c>
      <c r="Q644" s="1107">
        <f t="shared" si="15"/>
        <v>222626</v>
      </c>
      <c r="R644" s="1107">
        <f t="shared" si="15"/>
        <v>222626</v>
      </c>
      <c r="S644" s="1107">
        <f t="shared" si="14"/>
        <v>222626</v>
      </c>
    </row>
    <row r="645" spans="1:19">
      <c r="A645" s="1015">
        <v>487</v>
      </c>
      <c r="B645" s="1015" t="s">
        <v>8563</v>
      </c>
      <c r="C645" s="1103" t="s">
        <v>8564</v>
      </c>
      <c r="D645" s="1015"/>
      <c r="E645" s="1104" t="s">
        <v>7446</v>
      </c>
      <c r="F645" s="1105"/>
      <c r="G645" s="1104">
        <v>136364</v>
      </c>
      <c r="H645" s="1104"/>
      <c r="I645" s="1104"/>
      <c r="J645" s="1104"/>
      <c r="K645" s="1104"/>
      <c r="L645" s="1104">
        <v>143940</v>
      </c>
      <c r="M645" s="1106">
        <v>143940</v>
      </c>
      <c r="N645" s="1159">
        <v>143940</v>
      </c>
      <c r="O645" s="1104">
        <v>143940</v>
      </c>
      <c r="P645" s="1107">
        <f t="shared" si="15"/>
        <v>143940</v>
      </c>
      <c r="Q645" s="1107">
        <f t="shared" si="15"/>
        <v>143940</v>
      </c>
      <c r="R645" s="1107">
        <f t="shared" si="15"/>
        <v>143940</v>
      </c>
      <c r="S645" s="1107">
        <f t="shared" si="14"/>
        <v>143940</v>
      </c>
    </row>
    <row r="646" spans="1:19">
      <c r="A646" s="1015">
        <v>488</v>
      </c>
      <c r="B646" s="1015" t="s">
        <v>8565</v>
      </c>
      <c r="C646" s="1103" t="s">
        <v>8566</v>
      </c>
      <c r="D646" s="1015"/>
      <c r="E646" s="1104" t="s">
        <v>7446</v>
      </c>
      <c r="F646" s="1105"/>
      <c r="G646" s="1104">
        <v>476947</v>
      </c>
      <c r="H646" s="1104"/>
      <c r="I646" s="1104"/>
      <c r="J646" s="1104"/>
      <c r="K646" s="1104"/>
      <c r="L646" s="1104">
        <v>450450</v>
      </c>
      <c r="M646" s="1106">
        <v>450450</v>
      </c>
      <c r="N646" s="1159">
        <v>450450</v>
      </c>
      <c r="O646" s="1104">
        <v>450450</v>
      </c>
      <c r="P646" s="1107">
        <f t="shared" si="15"/>
        <v>450450</v>
      </c>
      <c r="Q646" s="1107">
        <f t="shared" si="15"/>
        <v>450450</v>
      </c>
      <c r="R646" s="1107">
        <f t="shared" si="15"/>
        <v>450450</v>
      </c>
      <c r="S646" s="1107">
        <f t="shared" si="14"/>
        <v>450450</v>
      </c>
    </row>
    <row r="647" spans="1:19">
      <c r="A647" s="1015">
        <v>489</v>
      </c>
      <c r="B647" s="1015" t="s">
        <v>8567</v>
      </c>
      <c r="C647" s="1103" t="s">
        <v>8568</v>
      </c>
      <c r="D647" s="1015"/>
      <c r="E647" s="1104" t="s">
        <v>7446</v>
      </c>
      <c r="F647" s="1105"/>
      <c r="G647" s="1104">
        <v>6363</v>
      </c>
      <c r="H647" s="1104"/>
      <c r="I647" s="1104"/>
      <c r="J647" s="1104"/>
      <c r="K647" s="1104"/>
      <c r="L647" s="1104">
        <v>11171</v>
      </c>
      <c r="M647" s="1106">
        <v>11171</v>
      </c>
      <c r="N647" s="1159">
        <v>11171</v>
      </c>
      <c r="O647" s="1104">
        <v>11171</v>
      </c>
      <c r="P647" s="1107">
        <f t="shared" si="15"/>
        <v>11171</v>
      </c>
      <c r="Q647" s="1107">
        <f t="shared" si="15"/>
        <v>11171</v>
      </c>
      <c r="R647" s="1107">
        <f t="shared" si="15"/>
        <v>11171</v>
      </c>
      <c r="S647" s="1107">
        <f t="shared" si="14"/>
        <v>11171</v>
      </c>
    </row>
    <row r="648" spans="1:19">
      <c r="A648" s="1015">
        <v>490</v>
      </c>
      <c r="B648" s="1015" t="s">
        <v>8569</v>
      </c>
      <c r="C648" s="1103" t="s">
        <v>8570</v>
      </c>
      <c r="D648" s="1015"/>
      <c r="E648" s="1104" t="s">
        <v>7446</v>
      </c>
      <c r="F648" s="1105"/>
      <c r="G648" s="1104">
        <v>12268</v>
      </c>
      <c r="H648" s="1104"/>
      <c r="I648" s="1104"/>
      <c r="J648" s="1104"/>
      <c r="K648" s="1104"/>
      <c r="L648" s="1104">
        <v>19424</v>
      </c>
      <c r="M648" s="1106">
        <v>19424</v>
      </c>
      <c r="N648" s="1159">
        <v>19424</v>
      </c>
      <c r="O648" s="1104">
        <v>19424</v>
      </c>
      <c r="P648" s="1107">
        <f t="shared" si="15"/>
        <v>19424</v>
      </c>
      <c r="Q648" s="1107">
        <f t="shared" si="15"/>
        <v>19424</v>
      </c>
      <c r="R648" s="1107">
        <f t="shared" si="15"/>
        <v>19424</v>
      </c>
      <c r="S648" s="1107">
        <f t="shared" si="14"/>
        <v>19424</v>
      </c>
    </row>
    <row r="649" spans="1:19" ht="18">
      <c r="A649" s="1015">
        <v>491</v>
      </c>
      <c r="B649" s="1015" t="s">
        <v>8571</v>
      </c>
      <c r="C649" s="1103" t="s">
        <v>8572</v>
      </c>
      <c r="D649" s="1015"/>
      <c r="E649" s="1104" t="s">
        <v>7446</v>
      </c>
      <c r="F649" s="1105"/>
      <c r="G649" s="1104">
        <v>3096</v>
      </c>
      <c r="H649" s="1104"/>
      <c r="I649" s="1104"/>
      <c r="J649" s="1104"/>
      <c r="K649" s="1104"/>
      <c r="L649" s="1104">
        <v>6811</v>
      </c>
      <c r="M649" s="1106">
        <v>6811</v>
      </c>
      <c r="N649" s="1159">
        <v>6811</v>
      </c>
      <c r="O649" s="1104">
        <v>6811</v>
      </c>
      <c r="P649" s="1107">
        <f t="shared" si="15"/>
        <v>6811</v>
      </c>
      <c r="Q649" s="1107">
        <f t="shared" si="15"/>
        <v>6811</v>
      </c>
      <c r="R649" s="1107">
        <f t="shared" si="15"/>
        <v>6811</v>
      </c>
      <c r="S649" s="1107">
        <f t="shared" si="15"/>
        <v>6811</v>
      </c>
    </row>
    <row r="650" spans="1:19">
      <c r="A650" s="1015">
        <v>492</v>
      </c>
      <c r="B650" s="1015" t="s">
        <v>8573</v>
      </c>
      <c r="C650" s="1103" t="s">
        <v>8574</v>
      </c>
      <c r="D650" s="1015"/>
      <c r="E650" s="1104" t="s">
        <v>7446</v>
      </c>
      <c r="F650" s="1105"/>
      <c r="G650" s="1104">
        <v>1396445</v>
      </c>
      <c r="H650" s="1104"/>
      <c r="I650" s="1104"/>
      <c r="J650" s="1104"/>
      <c r="K650" s="1104"/>
      <c r="L650" s="1104">
        <v>1005440</v>
      </c>
      <c r="M650" s="1106">
        <v>1005440</v>
      </c>
      <c r="N650" s="1159">
        <v>1005440</v>
      </c>
      <c r="O650" s="1104">
        <v>1005440</v>
      </c>
      <c r="P650" s="1107">
        <f t="shared" ref="P650:S713" si="16">H650+L650</f>
        <v>1005440</v>
      </c>
      <c r="Q650" s="1107">
        <f t="shared" si="16"/>
        <v>1005440</v>
      </c>
      <c r="R650" s="1107">
        <f t="shared" si="16"/>
        <v>1005440</v>
      </c>
      <c r="S650" s="1107">
        <f t="shared" si="16"/>
        <v>1005440</v>
      </c>
    </row>
    <row r="651" spans="1:19">
      <c r="A651" s="1015">
        <v>493</v>
      </c>
      <c r="B651" s="1015" t="s">
        <v>8575</v>
      </c>
      <c r="C651" s="1103" t="s">
        <v>8576</v>
      </c>
      <c r="D651" s="1015"/>
      <c r="E651" s="1104" t="s">
        <v>7446</v>
      </c>
      <c r="F651" s="1105"/>
      <c r="G651" s="1104">
        <v>58816</v>
      </c>
      <c r="H651" s="1104"/>
      <c r="I651" s="1104"/>
      <c r="J651" s="1104"/>
      <c r="K651" s="1104"/>
      <c r="L651" s="1104">
        <v>57182</v>
      </c>
      <c r="M651" s="1106">
        <v>57182</v>
      </c>
      <c r="N651" s="1159">
        <v>57182</v>
      </c>
      <c r="O651" s="1104">
        <v>57182</v>
      </c>
      <c r="P651" s="1107">
        <f t="shared" si="16"/>
        <v>57182</v>
      </c>
      <c r="Q651" s="1107">
        <f t="shared" si="16"/>
        <v>57182</v>
      </c>
      <c r="R651" s="1107">
        <f t="shared" si="16"/>
        <v>57182</v>
      </c>
      <c r="S651" s="1107">
        <f t="shared" si="16"/>
        <v>57182</v>
      </c>
    </row>
    <row r="652" spans="1:19">
      <c r="A652" s="1015">
        <v>494</v>
      </c>
      <c r="B652" s="1015" t="s">
        <v>8577</v>
      </c>
      <c r="C652" s="1103" t="s">
        <v>8578</v>
      </c>
      <c r="D652" s="1015"/>
      <c r="E652" s="1104" t="s">
        <v>7446</v>
      </c>
      <c r="F652" s="1105"/>
      <c r="G652" s="1104">
        <v>495291</v>
      </c>
      <c r="H652" s="1104"/>
      <c r="I652" s="1104"/>
      <c r="J652" s="1104"/>
      <c r="K652" s="1104"/>
      <c r="L652" s="1104">
        <v>462272</v>
      </c>
      <c r="M652" s="1106">
        <v>462272</v>
      </c>
      <c r="N652" s="1159">
        <v>462272</v>
      </c>
      <c r="O652" s="1104">
        <v>462272</v>
      </c>
      <c r="P652" s="1107">
        <f t="shared" si="16"/>
        <v>462272</v>
      </c>
      <c r="Q652" s="1107">
        <f t="shared" si="16"/>
        <v>462272</v>
      </c>
      <c r="R652" s="1107">
        <f t="shared" si="16"/>
        <v>462272</v>
      </c>
      <c r="S652" s="1107">
        <f t="shared" si="16"/>
        <v>462272</v>
      </c>
    </row>
    <row r="653" spans="1:19">
      <c r="A653" s="1015">
        <v>495</v>
      </c>
      <c r="B653" s="1015" t="s">
        <v>8579</v>
      </c>
      <c r="C653" s="1103" t="s">
        <v>8580</v>
      </c>
      <c r="D653" s="1015"/>
      <c r="E653" s="1104" t="s">
        <v>7446</v>
      </c>
      <c r="F653" s="1105"/>
      <c r="G653" s="1104">
        <v>340513</v>
      </c>
      <c r="H653" s="1104"/>
      <c r="I653" s="1104"/>
      <c r="J653" s="1104"/>
      <c r="K653" s="1104"/>
      <c r="L653" s="1104">
        <v>321596</v>
      </c>
      <c r="M653" s="1106">
        <v>321596</v>
      </c>
      <c r="N653" s="1159">
        <v>321596</v>
      </c>
      <c r="O653" s="1104">
        <v>321596</v>
      </c>
      <c r="P653" s="1107">
        <f t="shared" si="16"/>
        <v>321596</v>
      </c>
      <c r="Q653" s="1107">
        <f t="shared" si="16"/>
        <v>321596</v>
      </c>
      <c r="R653" s="1107">
        <f t="shared" si="16"/>
        <v>321596</v>
      </c>
      <c r="S653" s="1107">
        <f t="shared" si="16"/>
        <v>321596</v>
      </c>
    </row>
    <row r="654" spans="1:19">
      <c r="A654" s="1015">
        <v>496</v>
      </c>
      <c r="B654" s="1015" t="s">
        <v>8581</v>
      </c>
      <c r="C654" s="1103" t="s">
        <v>8582</v>
      </c>
      <c r="D654" s="1015"/>
      <c r="E654" s="1104" t="s">
        <v>7446</v>
      </c>
      <c r="F654" s="1105"/>
      <c r="G654" s="1104">
        <v>10777</v>
      </c>
      <c r="H654" s="1104"/>
      <c r="I654" s="1104"/>
      <c r="J654" s="1104"/>
      <c r="K654" s="1104"/>
      <c r="L654" s="1104">
        <v>11076</v>
      </c>
      <c r="M654" s="1106">
        <v>11076</v>
      </c>
      <c r="N654" s="1159">
        <v>11076</v>
      </c>
      <c r="O654" s="1104">
        <v>11076</v>
      </c>
      <c r="P654" s="1107">
        <f t="shared" si="16"/>
        <v>11076</v>
      </c>
      <c r="Q654" s="1107">
        <f t="shared" si="16"/>
        <v>11076</v>
      </c>
      <c r="R654" s="1107">
        <f t="shared" si="16"/>
        <v>11076</v>
      </c>
      <c r="S654" s="1107">
        <f t="shared" si="16"/>
        <v>11076</v>
      </c>
    </row>
    <row r="655" spans="1:19">
      <c r="A655" s="1015">
        <v>497</v>
      </c>
      <c r="B655" s="1015" t="s">
        <v>8583</v>
      </c>
      <c r="C655" s="1103" t="s">
        <v>8584</v>
      </c>
      <c r="D655" s="1015"/>
      <c r="E655" s="1104" t="s">
        <v>7446</v>
      </c>
      <c r="F655" s="1105"/>
      <c r="G655" s="1104">
        <v>3325</v>
      </c>
      <c r="H655" s="1104"/>
      <c r="I655" s="1104"/>
      <c r="J655" s="1104"/>
      <c r="K655" s="1104"/>
      <c r="L655" s="1104">
        <v>6096</v>
      </c>
      <c r="M655" s="1106">
        <v>6096</v>
      </c>
      <c r="N655" s="1159">
        <v>6096</v>
      </c>
      <c r="O655" s="1104">
        <v>6096</v>
      </c>
      <c r="P655" s="1107">
        <f t="shared" si="16"/>
        <v>6096</v>
      </c>
      <c r="Q655" s="1107">
        <f t="shared" si="16"/>
        <v>6096</v>
      </c>
      <c r="R655" s="1107">
        <f t="shared" si="16"/>
        <v>6096</v>
      </c>
      <c r="S655" s="1107">
        <f t="shared" si="16"/>
        <v>6096</v>
      </c>
    </row>
    <row r="656" spans="1:19">
      <c r="A656" s="1015">
        <v>498</v>
      </c>
      <c r="B656" s="1015" t="s">
        <v>8585</v>
      </c>
      <c r="C656" s="1103" t="s">
        <v>8586</v>
      </c>
      <c r="D656" s="1015"/>
      <c r="E656" s="1104" t="s">
        <v>7446</v>
      </c>
      <c r="F656" s="1105"/>
      <c r="G656" s="1104">
        <v>31300</v>
      </c>
      <c r="H656" s="1104"/>
      <c r="I656" s="1104"/>
      <c r="J656" s="1104"/>
      <c r="K656" s="1104"/>
      <c r="L656" s="1104">
        <v>33804</v>
      </c>
      <c r="M656" s="1106">
        <v>33804</v>
      </c>
      <c r="N656" s="1159">
        <v>33804</v>
      </c>
      <c r="O656" s="1104">
        <v>33804</v>
      </c>
      <c r="P656" s="1107">
        <f t="shared" si="16"/>
        <v>33804</v>
      </c>
      <c r="Q656" s="1107">
        <f t="shared" si="16"/>
        <v>33804</v>
      </c>
      <c r="R656" s="1107">
        <f t="shared" si="16"/>
        <v>33804</v>
      </c>
      <c r="S656" s="1107">
        <f t="shared" si="16"/>
        <v>33804</v>
      </c>
    </row>
    <row r="657" spans="1:19">
      <c r="A657" s="1015">
        <v>499</v>
      </c>
      <c r="B657" s="1015" t="s">
        <v>8587</v>
      </c>
      <c r="C657" s="1103" t="s">
        <v>8588</v>
      </c>
      <c r="D657" s="1015"/>
      <c r="E657" s="1104" t="s">
        <v>7446</v>
      </c>
      <c r="F657" s="1105"/>
      <c r="G657" s="1104">
        <v>38752</v>
      </c>
      <c r="H657" s="1104"/>
      <c r="I657" s="1104"/>
      <c r="J657" s="1104"/>
      <c r="K657" s="1104"/>
      <c r="L657" s="1104">
        <v>41852</v>
      </c>
      <c r="M657" s="1106">
        <v>41852</v>
      </c>
      <c r="N657" s="1159">
        <v>41852</v>
      </c>
      <c r="O657" s="1104">
        <v>41852</v>
      </c>
      <c r="P657" s="1107">
        <f t="shared" si="16"/>
        <v>41852</v>
      </c>
      <c r="Q657" s="1107">
        <f t="shared" si="16"/>
        <v>41852</v>
      </c>
      <c r="R657" s="1107">
        <f t="shared" si="16"/>
        <v>41852</v>
      </c>
      <c r="S657" s="1107">
        <f t="shared" si="16"/>
        <v>41852</v>
      </c>
    </row>
    <row r="658" spans="1:19">
      <c r="A658" s="1015">
        <v>500</v>
      </c>
      <c r="B658" s="1015" t="s">
        <v>8589</v>
      </c>
      <c r="C658" s="1103" t="s">
        <v>8590</v>
      </c>
      <c r="D658" s="1015"/>
      <c r="E658" s="1104" t="s">
        <v>7446</v>
      </c>
      <c r="F658" s="1105"/>
      <c r="G658" s="1104">
        <v>97797</v>
      </c>
      <c r="H658" s="1104"/>
      <c r="I658" s="1104"/>
      <c r="J658" s="1104"/>
      <c r="K658" s="1104"/>
      <c r="L658" s="1104">
        <v>99101</v>
      </c>
      <c r="M658" s="1106">
        <v>99101</v>
      </c>
      <c r="N658" s="1159">
        <v>99101</v>
      </c>
      <c r="O658" s="1104">
        <v>99101</v>
      </c>
      <c r="P658" s="1107">
        <f t="shared" si="16"/>
        <v>99101</v>
      </c>
      <c r="Q658" s="1107">
        <f t="shared" si="16"/>
        <v>99101</v>
      </c>
      <c r="R658" s="1107">
        <f t="shared" si="16"/>
        <v>99101</v>
      </c>
      <c r="S658" s="1107">
        <f t="shared" si="16"/>
        <v>99101</v>
      </c>
    </row>
    <row r="659" spans="1:19">
      <c r="A659" s="1015">
        <v>501</v>
      </c>
      <c r="B659" s="1015" t="s">
        <v>8591</v>
      </c>
      <c r="C659" s="1103" t="s">
        <v>8592</v>
      </c>
      <c r="D659" s="1015"/>
      <c r="E659" s="1104" t="s">
        <v>7446</v>
      </c>
      <c r="F659" s="1105"/>
      <c r="G659" s="1104">
        <v>292130</v>
      </c>
      <c r="H659" s="1104"/>
      <c r="I659" s="1104"/>
      <c r="J659" s="1104"/>
      <c r="K659" s="1104"/>
      <c r="L659" s="1104">
        <v>29213</v>
      </c>
      <c r="M659" s="1106">
        <v>29213</v>
      </c>
      <c r="N659" s="1159">
        <v>29213</v>
      </c>
      <c r="O659" s="1104">
        <v>29213</v>
      </c>
      <c r="P659" s="1107">
        <f t="shared" si="16"/>
        <v>29213</v>
      </c>
      <c r="Q659" s="1107">
        <f t="shared" si="16"/>
        <v>29213</v>
      </c>
      <c r="R659" s="1107">
        <f t="shared" si="16"/>
        <v>29213</v>
      </c>
      <c r="S659" s="1107">
        <f t="shared" si="16"/>
        <v>29213</v>
      </c>
    </row>
    <row r="660" spans="1:19">
      <c r="A660" s="1015">
        <v>502</v>
      </c>
      <c r="B660" s="1015" t="s">
        <v>8593</v>
      </c>
      <c r="C660" s="1103" t="s">
        <v>8594</v>
      </c>
      <c r="D660" s="1015"/>
      <c r="E660" s="1104" t="s">
        <v>7446</v>
      </c>
      <c r="F660" s="1105"/>
      <c r="G660" s="1104">
        <v>343379</v>
      </c>
      <c r="H660" s="1104"/>
      <c r="I660" s="1104"/>
      <c r="J660" s="1104"/>
      <c r="K660" s="1104"/>
      <c r="L660" s="1104">
        <v>343379</v>
      </c>
      <c r="M660" s="1106">
        <v>343379</v>
      </c>
      <c r="N660" s="1159">
        <v>343379</v>
      </c>
      <c r="O660" s="1104">
        <v>343379</v>
      </c>
      <c r="P660" s="1107">
        <f t="shared" si="16"/>
        <v>343379</v>
      </c>
      <c r="Q660" s="1107">
        <f t="shared" si="16"/>
        <v>343379</v>
      </c>
      <c r="R660" s="1107">
        <f t="shared" si="16"/>
        <v>343379</v>
      </c>
      <c r="S660" s="1107">
        <f t="shared" si="16"/>
        <v>343379</v>
      </c>
    </row>
    <row r="661" spans="1:19">
      <c r="A661" s="1015">
        <v>503</v>
      </c>
      <c r="B661" s="1015" t="s">
        <v>8595</v>
      </c>
      <c r="C661" s="1103" t="s">
        <v>8596</v>
      </c>
      <c r="D661" s="1015"/>
      <c r="E661" s="1104" t="s">
        <v>7446</v>
      </c>
      <c r="F661" s="1105"/>
      <c r="G661" s="1104">
        <v>15822</v>
      </c>
      <c r="H661" s="1104"/>
      <c r="I661" s="1104"/>
      <c r="J661" s="1104"/>
      <c r="K661" s="1104"/>
      <c r="L661" s="1104">
        <v>14767</v>
      </c>
      <c r="M661" s="1106">
        <v>14767</v>
      </c>
      <c r="N661" s="1159">
        <v>14767</v>
      </c>
      <c r="O661" s="1104">
        <v>14767</v>
      </c>
      <c r="P661" s="1107">
        <f t="shared" si="16"/>
        <v>14767</v>
      </c>
      <c r="Q661" s="1107">
        <f t="shared" si="16"/>
        <v>14767</v>
      </c>
      <c r="R661" s="1107">
        <f t="shared" si="16"/>
        <v>14767</v>
      </c>
      <c r="S661" s="1107">
        <f t="shared" si="16"/>
        <v>14767</v>
      </c>
    </row>
    <row r="662" spans="1:19">
      <c r="A662" s="1015">
        <v>504</v>
      </c>
      <c r="B662" s="1015" t="s">
        <v>8597</v>
      </c>
      <c r="C662" s="1103" t="s">
        <v>8598</v>
      </c>
      <c r="D662" s="1015"/>
      <c r="E662" s="1104" t="s">
        <v>7446</v>
      </c>
      <c r="F662" s="1105"/>
      <c r="G662" s="1104">
        <v>178855</v>
      </c>
      <c r="H662" s="1104"/>
      <c r="I662" s="1104"/>
      <c r="J662" s="1104"/>
      <c r="K662" s="1104"/>
      <c r="L662" s="1104">
        <v>147059</v>
      </c>
      <c r="M662" s="1106">
        <v>147059</v>
      </c>
      <c r="N662" s="1159">
        <v>147059</v>
      </c>
      <c r="O662" s="1104">
        <v>147059</v>
      </c>
      <c r="P662" s="1107">
        <f t="shared" si="16"/>
        <v>147059</v>
      </c>
      <c r="Q662" s="1107">
        <f t="shared" si="16"/>
        <v>147059</v>
      </c>
      <c r="R662" s="1107">
        <f t="shared" si="16"/>
        <v>147059</v>
      </c>
      <c r="S662" s="1107">
        <f t="shared" si="16"/>
        <v>147059</v>
      </c>
    </row>
    <row r="663" spans="1:19">
      <c r="A663" s="1015">
        <v>505</v>
      </c>
      <c r="B663" s="1015" t="s">
        <v>8599</v>
      </c>
      <c r="C663" s="1103" t="s">
        <v>8600</v>
      </c>
      <c r="D663" s="1015"/>
      <c r="E663" s="1104" t="s">
        <v>7446</v>
      </c>
      <c r="F663" s="1105"/>
      <c r="G663" s="1104">
        <v>670706</v>
      </c>
      <c r="H663" s="1104"/>
      <c r="I663" s="1104"/>
      <c r="J663" s="1104"/>
      <c r="K663" s="1104"/>
      <c r="L663" s="1104">
        <v>540291</v>
      </c>
      <c r="M663" s="1106">
        <v>540291</v>
      </c>
      <c r="N663" s="1159">
        <v>540291</v>
      </c>
      <c r="O663" s="1104">
        <v>540291</v>
      </c>
      <c r="P663" s="1107">
        <f t="shared" si="16"/>
        <v>540291</v>
      </c>
      <c r="Q663" s="1107">
        <f t="shared" si="16"/>
        <v>540291</v>
      </c>
      <c r="R663" s="1107">
        <f t="shared" si="16"/>
        <v>540291</v>
      </c>
      <c r="S663" s="1107">
        <f t="shared" si="16"/>
        <v>540291</v>
      </c>
    </row>
    <row r="664" spans="1:19">
      <c r="A664" s="1015">
        <v>506</v>
      </c>
      <c r="B664" s="1015" t="s">
        <v>8601</v>
      </c>
      <c r="C664" s="1103" t="s">
        <v>8602</v>
      </c>
      <c r="D664" s="1015"/>
      <c r="E664" s="1104" t="s">
        <v>7446</v>
      </c>
      <c r="F664" s="1105"/>
      <c r="G664" s="1104">
        <v>1147</v>
      </c>
      <c r="H664" s="1104"/>
      <c r="I664" s="1104"/>
      <c r="J664" s="1104"/>
      <c r="K664" s="1104"/>
      <c r="L664" s="1104">
        <v>1020</v>
      </c>
      <c r="M664" s="1106">
        <v>1020</v>
      </c>
      <c r="N664" s="1159">
        <v>1020</v>
      </c>
      <c r="O664" s="1104">
        <v>1020</v>
      </c>
      <c r="P664" s="1107">
        <f t="shared" si="16"/>
        <v>1020</v>
      </c>
      <c r="Q664" s="1107">
        <f t="shared" si="16"/>
        <v>1020</v>
      </c>
      <c r="R664" s="1107">
        <f t="shared" si="16"/>
        <v>1020</v>
      </c>
      <c r="S664" s="1107">
        <f t="shared" si="16"/>
        <v>1020</v>
      </c>
    </row>
    <row r="665" spans="1:19">
      <c r="A665" s="1015">
        <v>507</v>
      </c>
      <c r="B665" s="1015" t="s">
        <v>8603</v>
      </c>
      <c r="C665" s="1103" t="s">
        <v>8604</v>
      </c>
      <c r="D665" s="1015"/>
      <c r="E665" s="1104" t="s">
        <v>7446</v>
      </c>
      <c r="F665" s="1105"/>
      <c r="G665" s="1104">
        <v>8943</v>
      </c>
      <c r="H665" s="1104"/>
      <c r="I665" s="1104"/>
      <c r="J665" s="1104"/>
      <c r="K665" s="1104"/>
      <c r="L665" s="1104">
        <v>7065</v>
      </c>
      <c r="M665" s="1106">
        <v>7065</v>
      </c>
      <c r="N665" s="1159">
        <v>7065</v>
      </c>
      <c r="O665" s="1104">
        <v>7065</v>
      </c>
      <c r="P665" s="1107">
        <f t="shared" si="16"/>
        <v>7065</v>
      </c>
      <c r="Q665" s="1107">
        <f t="shared" si="16"/>
        <v>7065</v>
      </c>
      <c r="R665" s="1107">
        <f t="shared" si="16"/>
        <v>7065</v>
      </c>
      <c r="S665" s="1107">
        <f t="shared" si="16"/>
        <v>7065</v>
      </c>
    </row>
    <row r="666" spans="1:19">
      <c r="A666" s="1015">
        <v>508</v>
      </c>
      <c r="B666" s="1015" t="s">
        <v>8605</v>
      </c>
      <c r="C666" s="1103" t="s">
        <v>8606</v>
      </c>
      <c r="D666" s="1015"/>
      <c r="E666" s="1104" t="s">
        <v>7446</v>
      </c>
      <c r="F666" s="1105"/>
      <c r="G666" s="1104">
        <v>3221684</v>
      </c>
      <c r="H666" s="1104"/>
      <c r="I666" s="1104"/>
      <c r="J666" s="1104"/>
      <c r="K666" s="1104"/>
      <c r="L666" s="1104">
        <v>2287396</v>
      </c>
      <c r="M666" s="1106">
        <v>2287396</v>
      </c>
      <c r="N666" s="1159">
        <v>2287396</v>
      </c>
      <c r="O666" s="1104">
        <v>2287396</v>
      </c>
      <c r="P666" s="1107">
        <f t="shared" si="16"/>
        <v>2287396</v>
      </c>
      <c r="Q666" s="1107">
        <f t="shared" si="16"/>
        <v>2287396</v>
      </c>
      <c r="R666" s="1107">
        <f t="shared" si="16"/>
        <v>2287396</v>
      </c>
      <c r="S666" s="1107">
        <f t="shared" si="16"/>
        <v>2287396</v>
      </c>
    </row>
    <row r="667" spans="1:19">
      <c r="A667" s="1015">
        <v>509</v>
      </c>
      <c r="B667" s="1015" t="s">
        <v>8607</v>
      </c>
      <c r="C667" s="1103" t="s">
        <v>8608</v>
      </c>
      <c r="D667" s="1015"/>
      <c r="E667" s="1104" t="s">
        <v>7446</v>
      </c>
      <c r="F667" s="1105"/>
      <c r="G667" s="1104">
        <v>6306</v>
      </c>
      <c r="H667" s="1104"/>
      <c r="I667" s="1104"/>
      <c r="J667" s="1104"/>
      <c r="K667" s="1104"/>
      <c r="L667" s="1104">
        <v>6726</v>
      </c>
      <c r="M667" s="1106">
        <v>6726</v>
      </c>
      <c r="N667" s="1159">
        <v>6726</v>
      </c>
      <c r="O667" s="1104">
        <v>6726</v>
      </c>
      <c r="P667" s="1107">
        <f t="shared" si="16"/>
        <v>6726</v>
      </c>
      <c r="Q667" s="1107">
        <f t="shared" si="16"/>
        <v>6726</v>
      </c>
      <c r="R667" s="1107">
        <f t="shared" si="16"/>
        <v>6726</v>
      </c>
      <c r="S667" s="1107">
        <f t="shared" si="16"/>
        <v>6726</v>
      </c>
    </row>
    <row r="668" spans="1:19">
      <c r="A668" s="1015"/>
      <c r="B668" s="1102" t="s">
        <v>8609</v>
      </c>
      <c r="C668" s="1099" t="s">
        <v>8610</v>
      </c>
      <c r="D668" s="1015"/>
      <c r="E668" s="1104" t="s">
        <v>7446</v>
      </c>
      <c r="F668" s="1105"/>
      <c r="G668" s="1104"/>
      <c r="H668" s="1104"/>
      <c r="I668" s="1104"/>
      <c r="J668" s="1104"/>
      <c r="K668" s="1104"/>
      <c r="L668" s="1104"/>
      <c r="M668" s="1106"/>
      <c r="N668" s="1159"/>
      <c r="O668" s="1104"/>
      <c r="P668" s="1107">
        <f t="shared" si="16"/>
        <v>0</v>
      </c>
      <c r="Q668" s="1107">
        <f t="shared" si="16"/>
        <v>0</v>
      </c>
      <c r="R668" s="1107">
        <f t="shared" si="16"/>
        <v>0</v>
      </c>
      <c r="S668" s="1107">
        <f t="shared" si="16"/>
        <v>0</v>
      </c>
    </row>
    <row r="669" spans="1:19">
      <c r="A669" s="1015">
        <v>510</v>
      </c>
      <c r="B669" s="1015" t="s">
        <v>8611</v>
      </c>
      <c r="C669" s="1103" t="s">
        <v>8612</v>
      </c>
      <c r="D669" s="1015"/>
      <c r="E669" s="1104" t="s">
        <v>7446</v>
      </c>
      <c r="F669" s="1105"/>
      <c r="G669" s="1104">
        <v>20866</v>
      </c>
      <c r="H669" s="1104"/>
      <c r="I669" s="1104"/>
      <c r="J669" s="1104"/>
      <c r="K669" s="1104"/>
      <c r="L669" s="1104">
        <v>19475</v>
      </c>
      <c r="M669" s="1106">
        <v>19475</v>
      </c>
      <c r="N669" s="1159">
        <v>19475</v>
      </c>
      <c r="O669" s="1104">
        <v>19475</v>
      </c>
      <c r="P669" s="1107">
        <f t="shared" si="16"/>
        <v>19475</v>
      </c>
      <c r="Q669" s="1107">
        <f t="shared" si="16"/>
        <v>19475</v>
      </c>
      <c r="R669" s="1107">
        <f t="shared" si="16"/>
        <v>19475</v>
      </c>
      <c r="S669" s="1107">
        <f t="shared" si="16"/>
        <v>19475</v>
      </c>
    </row>
    <row r="670" spans="1:19">
      <c r="A670" s="1015">
        <v>511</v>
      </c>
      <c r="B670" s="1015" t="s">
        <v>8613</v>
      </c>
      <c r="C670" s="1103" t="s">
        <v>8614</v>
      </c>
      <c r="D670" s="1015"/>
      <c r="E670" s="1104" t="s">
        <v>7446</v>
      </c>
      <c r="F670" s="1105"/>
      <c r="G670" s="1104">
        <v>142511</v>
      </c>
      <c r="H670" s="1104"/>
      <c r="I670" s="1104"/>
      <c r="J670" s="1104"/>
      <c r="K670" s="1104"/>
      <c r="L670" s="1104">
        <v>120343</v>
      </c>
      <c r="M670" s="1106">
        <v>120343</v>
      </c>
      <c r="N670" s="1159">
        <v>120343</v>
      </c>
      <c r="O670" s="1104">
        <v>120343</v>
      </c>
      <c r="P670" s="1107">
        <f t="shared" si="16"/>
        <v>120343</v>
      </c>
      <c r="Q670" s="1107">
        <f t="shared" si="16"/>
        <v>120343</v>
      </c>
      <c r="R670" s="1107">
        <f t="shared" si="16"/>
        <v>120343</v>
      </c>
      <c r="S670" s="1107">
        <f t="shared" si="16"/>
        <v>120343</v>
      </c>
    </row>
    <row r="671" spans="1:19">
      <c r="A671" s="1015">
        <v>512</v>
      </c>
      <c r="B671" s="1015" t="s">
        <v>8615</v>
      </c>
      <c r="C671" s="1103" t="s">
        <v>8616</v>
      </c>
      <c r="D671" s="1015"/>
      <c r="E671" s="1104" t="s">
        <v>7446</v>
      </c>
      <c r="F671" s="1105"/>
      <c r="G671" s="1104">
        <v>399443</v>
      </c>
      <c r="H671" s="1104"/>
      <c r="I671" s="1104"/>
      <c r="J671" s="1104"/>
      <c r="K671" s="1104"/>
      <c r="L671" s="1104">
        <v>328431</v>
      </c>
      <c r="M671" s="1106">
        <v>328431</v>
      </c>
      <c r="N671" s="1159">
        <v>328431</v>
      </c>
      <c r="O671" s="1104">
        <v>328431</v>
      </c>
      <c r="P671" s="1107">
        <f t="shared" si="16"/>
        <v>328431</v>
      </c>
      <c r="Q671" s="1107">
        <f t="shared" si="16"/>
        <v>328431</v>
      </c>
      <c r="R671" s="1107">
        <f t="shared" si="16"/>
        <v>328431</v>
      </c>
      <c r="S671" s="1107">
        <f t="shared" si="16"/>
        <v>328431</v>
      </c>
    </row>
    <row r="672" spans="1:19">
      <c r="A672" s="1015">
        <v>513</v>
      </c>
      <c r="B672" s="1015" t="s">
        <v>8617</v>
      </c>
      <c r="C672" s="1103" t="s">
        <v>8618</v>
      </c>
      <c r="D672" s="1015"/>
      <c r="E672" s="1104" t="s">
        <v>7446</v>
      </c>
      <c r="F672" s="1105"/>
      <c r="G672" s="1104">
        <v>2056833</v>
      </c>
      <c r="H672" s="1104"/>
      <c r="I672" s="1104"/>
      <c r="J672" s="1104"/>
      <c r="K672" s="1104"/>
      <c r="L672" s="1104">
        <v>1645466</v>
      </c>
      <c r="M672" s="1106">
        <v>1645466</v>
      </c>
      <c r="N672" s="1159">
        <v>1645466</v>
      </c>
      <c r="O672" s="1104">
        <v>1645466</v>
      </c>
      <c r="P672" s="1107">
        <f t="shared" si="16"/>
        <v>1645466</v>
      </c>
      <c r="Q672" s="1107">
        <f t="shared" si="16"/>
        <v>1645466</v>
      </c>
      <c r="R672" s="1107">
        <f t="shared" si="16"/>
        <v>1645466</v>
      </c>
      <c r="S672" s="1107">
        <f t="shared" si="16"/>
        <v>1645466</v>
      </c>
    </row>
    <row r="673" spans="1:19">
      <c r="A673" s="1015">
        <v>514</v>
      </c>
      <c r="B673" s="1015" t="s">
        <v>8619</v>
      </c>
      <c r="C673" s="1103" t="s">
        <v>8620</v>
      </c>
      <c r="D673" s="1015"/>
      <c r="E673" s="1104" t="s">
        <v>7446</v>
      </c>
      <c r="F673" s="1105"/>
      <c r="G673" s="1104">
        <v>92408</v>
      </c>
      <c r="H673" s="1104"/>
      <c r="I673" s="1104"/>
      <c r="J673" s="1104"/>
      <c r="K673" s="1104"/>
      <c r="L673" s="1104">
        <v>82140</v>
      </c>
      <c r="M673" s="1106">
        <v>82140</v>
      </c>
      <c r="N673" s="1159">
        <v>82140</v>
      </c>
      <c r="O673" s="1104">
        <v>82140</v>
      </c>
      <c r="P673" s="1107">
        <f t="shared" si="16"/>
        <v>82140</v>
      </c>
      <c r="Q673" s="1107">
        <f t="shared" si="16"/>
        <v>82140</v>
      </c>
      <c r="R673" s="1107">
        <f t="shared" si="16"/>
        <v>82140</v>
      </c>
      <c r="S673" s="1107">
        <f t="shared" si="16"/>
        <v>82140</v>
      </c>
    </row>
    <row r="674" spans="1:19">
      <c r="A674" s="1015">
        <v>515</v>
      </c>
      <c r="B674" s="1015" t="s">
        <v>8621</v>
      </c>
      <c r="C674" s="1103" t="s">
        <v>8622</v>
      </c>
      <c r="D674" s="1015"/>
      <c r="E674" s="1104" t="s">
        <v>7446</v>
      </c>
      <c r="F674" s="1105"/>
      <c r="G674" s="1104">
        <v>348767</v>
      </c>
      <c r="H674" s="1104"/>
      <c r="I674" s="1104"/>
      <c r="J674" s="1104"/>
      <c r="K674" s="1104"/>
      <c r="L674" s="1104">
        <v>294514</v>
      </c>
      <c r="M674" s="1106">
        <v>294514</v>
      </c>
      <c r="N674" s="1159">
        <v>294514</v>
      </c>
      <c r="O674" s="1104">
        <v>294514</v>
      </c>
      <c r="P674" s="1107">
        <f t="shared" si="16"/>
        <v>294514</v>
      </c>
      <c r="Q674" s="1107">
        <f t="shared" si="16"/>
        <v>294514</v>
      </c>
      <c r="R674" s="1107">
        <f t="shared" si="16"/>
        <v>294514</v>
      </c>
      <c r="S674" s="1107">
        <f t="shared" si="16"/>
        <v>294514</v>
      </c>
    </row>
    <row r="675" spans="1:19">
      <c r="A675" s="1015">
        <v>516</v>
      </c>
      <c r="B675" s="1015" t="s">
        <v>8623</v>
      </c>
      <c r="C675" s="1103" t="s">
        <v>8624</v>
      </c>
      <c r="D675" s="1015"/>
      <c r="E675" s="1104" t="s">
        <v>7446</v>
      </c>
      <c r="F675" s="1105"/>
      <c r="G675" s="1104">
        <v>1371222</v>
      </c>
      <c r="H675" s="1104"/>
      <c r="I675" s="1104"/>
      <c r="J675" s="1104"/>
      <c r="K675" s="1104"/>
      <c r="L675" s="1104">
        <v>1096978</v>
      </c>
      <c r="M675" s="1106">
        <v>1096978</v>
      </c>
      <c r="N675" s="1159">
        <v>1096978</v>
      </c>
      <c r="O675" s="1104">
        <v>1096978</v>
      </c>
      <c r="P675" s="1107">
        <f t="shared" si="16"/>
        <v>1096978</v>
      </c>
      <c r="Q675" s="1107">
        <f t="shared" si="16"/>
        <v>1096978</v>
      </c>
      <c r="R675" s="1107">
        <f t="shared" si="16"/>
        <v>1096978</v>
      </c>
      <c r="S675" s="1107">
        <f t="shared" si="16"/>
        <v>1096978</v>
      </c>
    </row>
    <row r="676" spans="1:19">
      <c r="A676" s="1015">
        <v>517</v>
      </c>
      <c r="B676" s="1015" t="s">
        <v>8625</v>
      </c>
      <c r="C676" s="1103" t="s">
        <v>8626</v>
      </c>
      <c r="D676" s="1015"/>
      <c r="E676" s="1104" t="s">
        <v>7446</v>
      </c>
      <c r="F676" s="1105"/>
      <c r="G676" s="1104">
        <v>573827</v>
      </c>
      <c r="H676" s="1104"/>
      <c r="I676" s="1104"/>
      <c r="J676" s="1104"/>
      <c r="K676" s="1104"/>
      <c r="L676" s="1104">
        <v>478189</v>
      </c>
      <c r="M676" s="1106">
        <v>478189</v>
      </c>
      <c r="N676" s="1159">
        <v>478189</v>
      </c>
      <c r="O676" s="1104">
        <v>478189</v>
      </c>
      <c r="P676" s="1107">
        <f t="shared" si="16"/>
        <v>478189</v>
      </c>
      <c r="Q676" s="1107">
        <f t="shared" si="16"/>
        <v>478189</v>
      </c>
      <c r="R676" s="1107">
        <f t="shared" si="16"/>
        <v>478189</v>
      </c>
      <c r="S676" s="1107">
        <f t="shared" si="16"/>
        <v>478189</v>
      </c>
    </row>
    <row r="677" spans="1:19">
      <c r="A677" s="1015">
        <v>518</v>
      </c>
      <c r="B677" s="1015" t="s">
        <v>8627</v>
      </c>
      <c r="C677" s="1103" t="s">
        <v>8628</v>
      </c>
      <c r="D677" s="1015"/>
      <c r="E677" s="1104" t="s">
        <v>7446</v>
      </c>
      <c r="F677" s="1105"/>
      <c r="G677" s="1104">
        <v>8255</v>
      </c>
      <c r="H677" s="1104"/>
      <c r="I677" s="1104"/>
      <c r="J677" s="1104"/>
      <c r="K677" s="1104"/>
      <c r="L677" s="1104">
        <v>6521</v>
      </c>
      <c r="M677" s="1106">
        <v>6521</v>
      </c>
      <c r="N677" s="1159">
        <v>6521</v>
      </c>
      <c r="O677" s="1104">
        <v>6521</v>
      </c>
      <c r="P677" s="1107">
        <f t="shared" si="16"/>
        <v>6521</v>
      </c>
      <c r="Q677" s="1107">
        <f t="shared" si="16"/>
        <v>6521</v>
      </c>
      <c r="R677" s="1107">
        <f t="shared" si="16"/>
        <v>6521</v>
      </c>
      <c r="S677" s="1107">
        <f t="shared" si="16"/>
        <v>6521</v>
      </c>
    </row>
    <row r="678" spans="1:19">
      <c r="A678" s="1015">
        <v>519</v>
      </c>
      <c r="B678" s="1015" t="s">
        <v>8629</v>
      </c>
      <c r="C678" s="1103" t="s">
        <v>8630</v>
      </c>
      <c r="D678" s="1015"/>
      <c r="E678" s="1104" t="s">
        <v>7446</v>
      </c>
      <c r="F678" s="1105"/>
      <c r="G678" s="1104">
        <v>12726</v>
      </c>
      <c r="H678" s="1104"/>
      <c r="I678" s="1104"/>
      <c r="J678" s="1104"/>
      <c r="K678" s="1104"/>
      <c r="L678" s="1104">
        <v>10054</v>
      </c>
      <c r="M678" s="1106">
        <v>10054</v>
      </c>
      <c r="N678" s="1159">
        <v>10054</v>
      </c>
      <c r="O678" s="1104">
        <v>10054</v>
      </c>
      <c r="P678" s="1107">
        <f t="shared" si="16"/>
        <v>10054</v>
      </c>
      <c r="Q678" s="1107">
        <f t="shared" si="16"/>
        <v>10054</v>
      </c>
      <c r="R678" s="1107">
        <f t="shared" si="16"/>
        <v>10054</v>
      </c>
      <c r="S678" s="1107">
        <f t="shared" si="16"/>
        <v>10054</v>
      </c>
    </row>
    <row r="679" spans="1:19">
      <c r="A679" s="1015">
        <v>520</v>
      </c>
      <c r="B679" s="1015" t="s">
        <v>8631</v>
      </c>
      <c r="C679" s="1103" t="s">
        <v>8632</v>
      </c>
      <c r="D679" s="1015"/>
      <c r="E679" s="1104" t="s">
        <v>7446</v>
      </c>
      <c r="F679" s="1105"/>
      <c r="G679" s="1104">
        <v>4815</v>
      </c>
      <c r="H679" s="1104"/>
      <c r="I679" s="1104"/>
      <c r="J679" s="1104"/>
      <c r="K679" s="1104"/>
      <c r="L679" s="1104">
        <v>3804</v>
      </c>
      <c r="M679" s="1106">
        <v>3804</v>
      </c>
      <c r="N679" s="1159">
        <v>3804</v>
      </c>
      <c r="O679" s="1104">
        <v>3804</v>
      </c>
      <c r="P679" s="1107">
        <f t="shared" si="16"/>
        <v>3804</v>
      </c>
      <c r="Q679" s="1107">
        <f t="shared" si="16"/>
        <v>3804</v>
      </c>
      <c r="R679" s="1107">
        <f t="shared" si="16"/>
        <v>3804</v>
      </c>
      <c r="S679" s="1107">
        <f t="shared" si="16"/>
        <v>3804</v>
      </c>
    </row>
    <row r="680" spans="1:19">
      <c r="A680" s="1015">
        <v>521</v>
      </c>
      <c r="B680" s="1015" t="s">
        <v>8633</v>
      </c>
      <c r="C680" s="1103" t="s">
        <v>8634</v>
      </c>
      <c r="D680" s="1015"/>
      <c r="E680" s="1104" t="s">
        <v>7446</v>
      </c>
      <c r="F680" s="1105"/>
      <c r="G680" s="1104">
        <v>5618</v>
      </c>
      <c r="H680" s="1104"/>
      <c r="I680" s="1104"/>
      <c r="J680" s="1104"/>
      <c r="K680" s="1104"/>
      <c r="L680" s="1104">
        <v>4438</v>
      </c>
      <c r="M680" s="1106">
        <v>4438</v>
      </c>
      <c r="N680" s="1159">
        <v>4438</v>
      </c>
      <c r="O680" s="1104">
        <v>4438</v>
      </c>
      <c r="P680" s="1107">
        <f t="shared" si="16"/>
        <v>4438</v>
      </c>
      <c r="Q680" s="1107">
        <f t="shared" si="16"/>
        <v>4438</v>
      </c>
      <c r="R680" s="1107">
        <f t="shared" si="16"/>
        <v>4438</v>
      </c>
      <c r="S680" s="1107">
        <f t="shared" si="16"/>
        <v>4438</v>
      </c>
    </row>
    <row r="681" spans="1:19">
      <c r="A681" s="1015">
        <v>522</v>
      </c>
      <c r="B681" s="1015" t="s">
        <v>8635</v>
      </c>
      <c r="C681" s="1103" t="s">
        <v>8636</v>
      </c>
      <c r="D681" s="1015"/>
      <c r="E681" s="1104" t="s">
        <v>7446</v>
      </c>
      <c r="F681" s="1105"/>
      <c r="G681" s="1104">
        <v>14217</v>
      </c>
      <c r="H681" s="1104"/>
      <c r="I681" s="1104"/>
      <c r="J681" s="1104"/>
      <c r="K681" s="1104"/>
      <c r="L681" s="1104">
        <v>12795</v>
      </c>
      <c r="M681" s="1106">
        <v>12795</v>
      </c>
      <c r="N681" s="1159">
        <v>12795</v>
      </c>
      <c r="O681" s="1104">
        <v>12795</v>
      </c>
      <c r="P681" s="1107">
        <f t="shared" si="16"/>
        <v>12795</v>
      </c>
      <c r="Q681" s="1107">
        <f t="shared" si="16"/>
        <v>12795</v>
      </c>
      <c r="R681" s="1107">
        <f t="shared" si="16"/>
        <v>12795</v>
      </c>
      <c r="S681" s="1107">
        <f t="shared" si="16"/>
        <v>12795</v>
      </c>
    </row>
    <row r="682" spans="1:19">
      <c r="A682" s="1015">
        <v>523</v>
      </c>
      <c r="B682" s="1015" t="s">
        <v>8637</v>
      </c>
      <c r="C682" s="1103" t="s">
        <v>8638</v>
      </c>
      <c r="D682" s="1015"/>
      <c r="E682" s="1104" t="s">
        <v>7446</v>
      </c>
      <c r="F682" s="1105"/>
      <c r="G682" s="1104">
        <v>12268</v>
      </c>
      <c r="H682" s="1104"/>
      <c r="I682" s="1104"/>
      <c r="J682" s="1104"/>
      <c r="K682" s="1104"/>
      <c r="L682" s="1104">
        <v>11348</v>
      </c>
      <c r="M682" s="1106">
        <v>11348</v>
      </c>
      <c r="N682" s="1159">
        <v>11348</v>
      </c>
      <c r="O682" s="1104">
        <v>11348</v>
      </c>
      <c r="P682" s="1107">
        <f t="shared" si="16"/>
        <v>11348</v>
      </c>
      <c r="Q682" s="1107">
        <f t="shared" si="16"/>
        <v>11348</v>
      </c>
      <c r="R682" s="1107">
        <f t="shared" si="16"/>
        <v>11348</v>
      </c>
      <c r="S682" s="1107">
        <f t="shared" si="16"/>
        <v>11348</v>
      </c>
    </row>
    <row r="683" spans="1:19">
      <c r="A683" s="1015">
        <v>524</v>
      </c>
      <c r="B683" s="1015" t="s">
        <v>8639</v>
      </c>
      <c r="C683" s="1103" t="s">
        <v>8640</v>
      </c>
      <c r="D683" s="1015"/>
      <c r="E683" s="1104" t="s">
        <v>7446</v>
      </c>
      <c r="F683" s="1105"/>
      <c r="G683" s="1104">
        <v>12268</v>
      </c>
      <c r="H683" s="1104"/>
      <c r="I683" s="1104"/>
      <c r="J683" s="1104"/>
      <c r="K683" s="1104"/>
      <c r="L683" s="1104">
        <v>11041</v>
      </c>
      <c r="M683" s="1106">
        <v>11041</v>
      </c>
      <c r="N683" s="1159">
        <v>11041</v>
      </c>
      <c r="O683" s="1104">
        <v>11041</v>
      </c>
      <c r="P683" s="1107">
        <f t="shared" si="16"/>
        <v>11041</v>
      </c>
      <c r="Q683" s="1107">
        <f t="shared" si="16"/>
        <v>11041</v>
      </c>
      <c r="R683" s="1107">
        <f t="shared" si="16"/>
        <v>11041</v>
      </c>
      <c r="S683" s="1107">
        <f t="shared" si="16"/>
        <v>11041</v>
      </c>
    </row>
    <row r="684" spans="1:19">
      <c r="A684" s="1015">
        <v>525</v>
      </c>
      <c r="B684" s="1015" t="s">
        <v>8641</v>
      </c>
      <c r="C684" s="1103" t="s">
        <v>8642</v>
      </c>
      <c r="D684" s="1015"/>
      <c r="E684" s="1104" t="s">
        <v>7446</v>
      </c>
      <c r="F684" s="1105"/>
      <c r="G684" s="1104">
        <v>7796</v>
      </c>
      <c r="H684" s="1104"/>
      <c r="I684" s="1104"/>
      <c r="J684" s="1104"/>
      <c r="K684" s="1104"/>
      <c r="L684" s="1104">
        <v>5613</v>
      </c>
      <c r="M684" s="1106">
        <v>5613</v>
      </c>
      <c r="N684" s="1159">
        <v>5613</v>
      </c>
      <c r="O684" s="1104">
        <v>5613</v>
      </c>
      <c r="P684" s="1107">
        <f t="shared" si="16"/>
        <v>5613</v>
      </c>
      <c r="Q684" s="1107">
        <f t="shared" si="16"/>
        <v>5613</v>
      </c>
      <c r="R684" s="1107">
        <f t="shared" si="16"/>
        <v>5613</v>
      </c>
      <c r="S684" s="1107">
        <f t="shared" si="16"/>
        <v>5613</v>
      </c>
    </row>
    <row r="685" spans="1:19">
      <c r="A685" s="1015">
        <v>526</v>
      </c>
      <c r="B685" s="1015" t="s">
        <v>8643</v>
      </c>
      <c r="C685" s="1103" t="s">
        <v>8644</v>
      </c>
      <c r="D685" s="1015"/>
      <c r="E685" s="1104" t="s">
        <v>7446</v>
      </c>
      <c r="F685" s="1105"/>
      <c r="G685" s="1104">
        <v>3783</v>
      </c>
      <c r="H685" s="1104"/>
      <c r="I685" s="1104"/>
      <c r="J685" s="1104"/>
      <c r="K685" s="1104"/>
      <c r="L685" s="1104">
        <v>3499</v>
      </c>
      <c r="M685" s="1106">
        <v>3499</v>
      </c>
      <c r="N685" s="1159">
        <v>3499</v>
      </c>
      <c r="O685" s="1104">
        <v>3499</v>
      </c>
      <c r="P685" s="1107">
        <f t="shared" si="16"/>
        <v>3499</v>
      </c>
      <c r="Q685" s="1107">
        <f t="shared" si="16"/>
        <v>3499</v>
      </c>
      <c r="R685" s="1107">
        <f t="shared" si="16"/>
        <v>3499</v>
      </c>
      <c r="S685" s="1107">
        <f t="shared" si="16"/>
        <v>3499</v>
      </c>
    </row>
    <row r="686" spans="1:19">
      <c r="A686" s="1015">
        <v>527</v>
      </c>
      <c r="B686" s="1015" t="s">
        <v>8645</v>
      </c>
      <c r="C686" s="1103" t="s">
        <v>8646</v>
      </c>
      <c r="D686" s="1015"/>
      <c r="E686" s="1104" t="s">
        <v>7446</v>
      </c>
      <c r="F686" s="1105"/>
      <c r="G686" s="1104">
        <v>10319</v>
      </c>
      <c r="H686" s="1104"/>
      <c r="I686" s="1104"/>
      <c r="J686" s="1104"/>
      <c r="K686" s="1104"/>
      <c r="L686" s="1104">
        <v>9287</v>
      </c>
      <c r="M686" s="1106">
        <v>9287</v>
      </c>
      <c r="N686" s="1159">
        <v>9287</v>
      </c>
      <c r="O686" s="1104">
        <v>9287</v>
      </c>
      <c r="P686" s="1107">
        <f t="shared" si="16"/>
        <v>9287</v>
      </c>
      <c r="Q686" s="1107">
        <f t="shared" si="16"/>
        <v>9287</v>
      </c>
      <c r="R686" s="1107">
        <f t="shared" si="16"/>
        <v>9287</v>
      </c>
      <c r="S686" s="1107">
        <f t="shared" si="16"/>
        <v>9287</v>
      </c>
    </row>
    <row r="687" spans="1:19">
      <c r="A687" s="1015">
        <v>528</v>
      </c>
      <c r="B687" s="1015" t="s">
        <v>8647</v>
      </c>
      <c r="C687" s="1103" t="s">
        <v>8648</v>
      </c>
      <c r="D687" s="1015"/>
      <c r="E687" s="1104" t="s">
        <v>7446</v>
      </c>
      <c r="F687" s="1105"/>
      <c r="G687" s="1104">
        <v>803</v>
      </c>
      <c r="H687" s="1104"/>
      <c r="I687" s="1104"/>
      <c r="J687" s="1104"/>
      <c r="K687" s="1104"/>
      <c r="L687" s="1104">
        <v>2168</v>
      </c>
      <c r="M687" s="1106">
        <v>2168</v>
      </c>
      <c r="N687" s="1159">
        <v>2168</v>
      </c>
      <c r="O687" s="1104">
        <v>2168</v>
      </c>
      <c r="P687" s="1107">
        <f t="shared" si="16"/>
        <v>2168</v>
      </c>
      <c r="Q687" s="1107">
        <f t="shared" si="16"/>
        <v>2168</v>
      </c>
      <c r="R687" s="1107">
        <f t="shared" si="16"/>
        <v>2168</v>
      </c>
      <c r="S687" s="1107">
        <f t="shared" si="16"/>
        <v>2168</v>
      </c>
    </row>
    <row r="688" spans="1:19">
      <c r="A688" s="1015">
        <v>529</v>
      </c>
      <c r="B688" s="1015" t="s">
        <v>8649</v>
      </c>
      <c r="C688" s="1103" t="s">
        <v>8650</v>
      </c>
      <c r="D688" s="1015"/>
      <c r="E688" s="1104" t="s">
        <v>7446</v>
      </c>
      <c r="F688" s="1105"/>
      <c r="G688" s="1104">
        <v>1032</v>
      </c>
      <c r="H688" s="1104"/>
      <c r="I688" s="1104"/>
      <c r="J688" s="1104"/>
      <c r="K688" s="1104"/>
      <c r="L688" s="1104">
        <v>2786</v>
      </c>
      <c r="M688" s="1106">
        <v>2786</v>
      </c>
      <c r="N688" s="1159">
        <v>2786</v>
      </c>
      <c r="O688" s="1104">
        <v>2786</v>
      </c>
      <c r="P688" s="1107">
        <f t="shared" si="16"/>
        <v>2786</v>
      </c>
      <c r="Q688" s="1107">
        <f t="shared" si="16"/>
        <v>2786</v>
      </c>
      <c r="R688" s="1107">
        <f t="shared" si="16"/>
        <v>2786</v>
      </c>
      <c r="S688" s="1107">
        <f t="shared" si="16"/>
        <v>2786</v>
      </c>
    </row>
    <row r="689" spans="1:19">
      <c r="A689" s="1015">
        <v>530</v>
      </c>
      <c r="B689" s="1015" t="s">
        <v>8651</v>
      </c>
      <c r="C689" s="1103" t="s">
        <v>8652</v>
      </c>
      <c r="D689" s="1015"/>
      <c r="E689" s="1104" t="s">
        <v>7446</v>
      </c>
      <c r="F689" s="1105"/>
      <c r="G689" s="1104">
        <v>7567</v>
      </c>
      <c r="H689" s="1104"/>
      <c r="I689" s="1104"/>
      <c r="J689" s="1104"/>
      <c r="K689" s="1104"/>
      <c r="L689" s="1104">
        <v>6621</v>
      </c>
      <c r="M689" s="1106">
        <v>6621</v>
      </c>
      <c r="N689" s="1159">
        <v>6621</v>
      </c>
      <c r="O689" s="1104">
        <v>6621</v>
      </c>
      <c r="P689" s="1107">
        <f t="shared" si="16"/>
        <v>6621</v>
      </c>
      <c r="Q689" s="1107">
        <f t="shared" si="16"/>
        <v>6621</v>
      </c>
      <c r="R689" s="1107">
        <f t="shared" si="16"/>
        <v>6621</v>
      </c>
      <c r="S689" s="1107">
        <f t="shared" si="16"/>
        <v>6621</v>
      </c>
    </row>
    <row r="690" spans="1:19">
      <c r="A690" s="1015">
        <v>531</v>
      </c>
      <c r="B690" s="1015" t="s">
        <v>8653</v>
      </c>
      <c r="C690" s="1103" t="s">
        <v>8654</v>
      </c>
      <c r="D690" s="1015"/>
      <c r="E690" s="1104" t="s">
        <v>7446</v>
      </c>
      <c r="F690" s="1105"/>
      <c r="G690" s="1104">
        <v>6306</v>
      </c>
      <c r="H690" s="1104"/>
      <c r="I690" s="1104"/>
      <c r="J690" s="1104"/>
      <c r="K690" s="1104"/>
      <c r="L690" s="1104">
        <v>5518</v>
      </c>
      <c r="M690" s="1106">
        <v>5518</v>
      </c>
      <c r="N690" s="1159">
        <v>5518</v>
      </c>
      <c r="O690" s="1104">
        <v>5518</v>
      </c>
      <c r="P690" s="1107">
        <f t="shared" si="16"/>
        <v>5518</v>
      </c>
      <c r="Q690" s="1107">
        <f t="shared" si="16"/>
        <v>5518</v>
      </c>
      <c r="R690" s="1107">
        <f t="shared" si="16"/>
        <v>5518</v>
      </c>
      <c r="S690" s="1107">
        <f t="shared" si="16"/>
        <v>5518</v>
      </c>
    </row>
    <row r="691" spans="1:19">
      <c r="A691" s="1015">
        <v>532</v>
      </c>
      <c r="B691" s="1015" t="s">
        <v>8655</v>
      </c>
      <c r="C691" s="1103" t="s">
        <v>8656</v>
      </c>
      <c r="D691" s="1015"/>
      <c r="E691" s="1104" t="s">
        <v>7446</v>
      </c>
      <c r="F691" s="1105"/>
      <c r="G691" s="1104">
        <v>19949</v>
      </c>
      <c r="H691" s="1104"/>
      <c r="I691" s="1104"/>
      <c r="J691" s="1104"/>
      <c r="K691" s="1104"/>
      <c r="L691" s="1104">
        <v>17455</v>
      </c>
      <c r="M691" s="1106">
        <v>17455</v>
      </c>
      <c r="N691" s="1159">
        <v>17455</v>
      </c>
      <c r="O691" s="1104">
        <v>17455</v>
      </c>
      <c r="P691" s="1107">
        <f t="shared" si="16"/>
        <v>17455</v>
      </c>
      <c r="Q691" s="1107">
        <f t="shared" si="16"/>
        <v>17455</v>
      </c>
      <c r="R691" s="1107">
        <f t="shared" si="16"/>
        <v>17455</v>
      </c>
      <c r="S691" s="1107">
        <f t="shared" si="16"/>
        <v>17455</v>
      </c>
    </row>
    <row r="692" spans="1:19">
      <c r="A692" s="1015">
        <v>533</v>
      </c>
      <c r="B692" s="1015" t="s">
        <v>8657</v>
      </c>
      <c r="C692" s="1103" t="s">
        <v>8658</v>
      </c>
      <c r="D692" s="1015"/>
      <c r="E692" s="1104" t="s">
        <v>7446</v>
      </c>
      <c r="F692" s="1105"/>
      <c r="G692" s="1104">
        <v>16968</v>
      </c>
      <c r="H692" s="1104"/>
      <c r="I692" s="1104"/>
      <c r="J692" s="1104"/>
      <c r="K692" s="1104"/>
      <c r="L692" s="1104">
        <v>14847</v>
      </c>
      <c r="M692" s="1106">
        <v>14847</v>
      </c>
      <c r="N692" s="1159">
        <v>14847</v>
      </c>
      <c r="O692" s="1104">
        <v>14847</v>
      </c>
      <c r="P692" s="1107">
        <f t="shared" si="16"/>
        <v>14847</v>
      </c>
      <c r="Q692" s="1107">
        <f t="shared" si="16"/>
        <v>14847</v>
      </c>
      <c r="R692" s="1107">
        <f t="shared" si="16"/>
        <v>14847</v>
      </c>
      <c r="S692" s="1107">
        <f t="shared" si="16"/>
        <v>14847</v>
      </c>
    </row>
    <row r="693" spans="1:19">
      <c r="A693" s="1015">
        <v>534</v>
      </c>
      <c r="B693" s="1015" t="s">
        <v>8659</v>
      </c>
      <c r="C693" s="1103" t="s">
        <v>8660</v>
      </c>
      <c r="D693" s="1015"/>
      <c r="E693" s="1104" t="s">
        <v>7446</v>
      </c>
      <c r="F693" s="1105"/>
      <c r="G693" s="1104">
        <v>6306</v>
      </c>
      <c r="H693" s="1104"/>
      <c r="I693" s="1104"/>
      <c r="J693" s="1104"/>
      <c r="K693" s="1104"/>
      <c r="L693" s="1104">
        <v>5833</v>
      </c>
      <c r="M693" s="1106">
        <v>5833</v>
      </c>
      <c r="N693" s="1159">
        <v>5833</v>
      </c>
      <c r="O693" s="1104">
        <v>5833</v>
      </c>
      <c r="P693" s="1107">
        <f t="shared" si="16"/>
        <v>5833</v>
      </c>
      <c r="Q693" s="1107">
        <f t="shared" si="16"/>
        <v>5833</v>
      </c>
      <c r="R693" s="1107">
        <f t="shared" si="16"/>
        <v>5833</v>
      </c>
      <c r="S693" s="1107">
        <f t="shared" si="16"/>
        <v>5833</v>
      </c>
    </row>
    <row r="694" spans="1:19">
      <c r="A694" s="1015">
        <v>535</v>
      </c>
      <c r="B694" s="1015" t="s">
        <v>8661</v>
      </c>
      <c r="C694" s="1103" t="s">
        <v>8662</v>
      </c>
      <c r="D694" s="1015"/>
      <c r="E694" s="1104" t="s">
        <v>7446</v>
      </c>
      <c r="F694" s="1105"/>
      <c r="G694" s="1104">
        <v>2637</v>
      </c>
      <c r="H694" s="1104"/>
      <c r="I694" s="1104"/>
      <c r="J694" s="1104"/>
      <c r="K694" s="1104"/>
      <c r="L694" s="1104">
        <v>2241</v>
      </c>
      <c r="M694" s="1106">
        <v>2241</v>
      </c>
      <c r="N694" s="1159">
        <v>2241</v>
      </c>
      <c r="O694" s="1104">
        <v>2241</v>
      </c>
      <c r="P694" s="1107">
        <f t="shared" si="16"/>
        <v>2241</v>
      </c>
      <c r="Q694" s="1107">
        <f t="shared" si="16"/>
        <v>2241</v>
      </c>
      <c r="R694" s="1107">
        <f t="shared" si="16"/>
        <v>2241</v>
      </c>
      <c r="S694" s="1107">
        <f t="shared" si="16"/>
        <v>2241</v>
      </c>
    </row>
    <row r="695" spans="1:19">
      <c r="A695" s="1015">
        <v>536</v>
      </c>
      <c r="B695" s="1015" t="s">
        <v>8663</v>
      </c>
      <c r="C695" s="1103" t="s">
        <v>8664</v>
      </c>
      <c r="D695" s="1015"/>
      <c r="E695" s="1104" t="s">
        <v>7446</v>
      </c>
      <c r="F695" s="1105"/>
      <c r="G695" s="1104">
        <v>17198</v>
      </c>
      <c r="H695" s="1104"/>
      <c r="I695" s="1104"/>
      <c r="J695" s="1104"/>
      <c r="K695" s="1104"/>
      <c r="L695" s="1104">
        <v>14618</v>
      </c>
      <c r="M695" s="1106">
        <v>14618</v>
      </c>
      <c r="N695" s="1159">
        <v>14618</v>
      </c>
      <c r="O695" s="1104">
        <v>14618</v>
      </c>
      <c r="P695" s="1107">
        <f t="shared" si="16"/>
        <v>14618</v>
      </c>
      <c r="Q695" s="1107">
        <f t="shared" si="16"/>
        <v>14618</v>
      </c>
      <c r="R695" s="1107">
        <f t="shared" si="16"/>
        <v>14618</v>
      </c>
      <c r="S695" s="1107">
        <f t="shared" si="16"/>
        <v>14618</v>
      </c>
    </row>
    <row r="696" spans="1:19">
      <c r="A696" s="1015">
        <v>537</v>
      </c>
      <c r="B696" s="1015" t="s">
        <v>8665</v>
      </c>
      <c r="C696" s="1103" t="s">
        <v>8666</v>
      </c>
      <c r="D696" s="1015"/>
      <c r="E696" s="1104" t="s">
        <v>7446</v>
      </c>
      <c r="F696" s="1105"/>
      <c r="G696" s="1104">
        <v>163950</v>
      </c>
      <c r="H696" s="1104"/>
      <c r="I696" s="1104"/>
      <c r="J696" s="1104"/>
      <c r="K696" s="1104"/>
      <c r="L696" s="1104">
        <v>124602</v>
      </c>
      <c r="M696" s="1106">
        <v>124602</v>
      </c>
      <c r="N696" s="1159">
        <v>124602</v>
      </c>
      <c r="O696" s="1104">
        <v>124602</v>
      </c>
      <c r="P696" s="1107">
        <f t="shared" si="16"/>
        <v>124602</v>
      </c>
      <c r="Q696" s="1107">
        <f t="shared" si="16"/>
        <v>124602</v>
      </c>
      <c r="R696" s="1107">
        <f t="shared" si="16"/>
        <v>124602</v>
      </c>
      <c r="S696" s="1107">
        <f t="shared" si="16"/>
        <v>124602</v>
      </c>
    </row>
    <row r="697" spans="1:19">
      <c r="A697" s="1015">
        <v>538</v>
      </c>
      <c r="B697" s="1015" t="s">
        <v>8667</v>
      </c>
      <c r="C697" s="1103" t="s">
        <v>8668</v>
      </c>
      <c r="D697" s="1015"/>
      <c r="E697" s="1104" t="s">
        <v>7446</v>
      </c>
      <c r="F697" s="1105"/>
      <c r="G697" s="1104">
        <v>779854</v>
      </c>
      <c r="H697" s="1104"/>
      <c r="I697" s="1104"/>
      <c r="J697" s="1104"/>
      <c r="K697" s="1104"/>
      <c r="L697" s="1104">
        <v>569293</v>
      </c>
      <c r="M697" s="1106">
        <v>569293</v>
      </c>
      <c r="N697" s="1159">
        <v>569293</v>
      </c>
      <c r="O697" s="1104">
        <v>569293</v>
      </c>
      <c r="P697" s="1107">
        <f t="shared" si="16"/>
        <v>569293</v>
      </c>
      <c r="Q697" s="1107">
        <f t="shared" si="16"/>
        <v>569293</v>
      </c>
      <c r="R697" s="1107">
        <f t="shared" si="16"/>
        <v>569293</v>
      </c>
      <c r="S697" s="1107">
        <f t="shared" si="16"/>
        <v>569293</v>
      </c>
    </row>
    <row r="698" spans="1:19">
      <c r="A698" s="1015">
        <v>539</v>
      </c>
      <c r="B698" s="1015" t="s">
        <v>8669</v>
      </c>
      <c r="C698" s="1103" t="s">
        <v>8670</v>
      </c>
      <c r="D698" s="1015"/>
      <c r="E698" s="1104" t="s">
        <v>7446</v>
      </c>
      <c r="F698" s="1105"/>
      <c r="G698" s="1104">
        <v>17886</v>
      </c>
      <c r="H698" s="1104"/>
      <c r="I698" s="1104"/>
      <c r="J698" s="1104"/>
      <c r="K698" s="1104"/>
      <c r="L698" s="1104">
        <v>15203</v>
      </c>
      <c r="M698" s="1106">
        <v>15203</v>
      </c>
      <c r="N698" s="1159">
        <v>15203</v>
      </c>
      <c r="O698" s="1104">
        <v>15203</v>
      </c>
      <c r="P698" s="1107">
        <f t="shared" si="16"/>
        <v>15203</v>
      </c>
      <c r="Q698" s="1107">
        <f t="shared" si="16"/>
        <v>15203</v>
      </c>
      <c r="R698" s="1107">
        <f t="shared" si="16"/>
        <v>15203</v>
      </c>
      <c r="S698" s="1107">
        <f t="shared" si="16"/>
        <v>15203</v>
      </c>
    </row>
    <row r="699" spans="1:19">
      <c r="A699" s="1015">
        <v>540</v>
      </c>
      <c r="B699" s="1015" t="s">
        <v>8671</v>
      </c>
      <c r="C699" s="1103" t="s">
        <v>8672</v>
      </c>
      <c r="D699" s="1015"/>
      <c r="E699" s="1104" t="s">
        <v>7446</v>
      </c>
      <c r="F699" s="1105"/>
      <c r="G699" s="1104">
        <v>7796</v>
      </c>
      <c r="H699" s="1104"/>
      <c r="I699" s="1104"/>
      <c r="J699" s="1104"/>
      <c r="K699" s="1104"/>
      <c r="L699" s="1104">
        <v>6315</v>
      </c>
      <c r="M699" s="1106">
        <v>6315</v>
      </c>
      <c r="N699" s="1159">
        <v>6315</v>
      </c>
      <c r="O699" s="1104">
        <v>6315</v>
      </c>
      <c r="P699" s="1107">
        <f t="shared" si="16"/>
        <v>6315</v>
      </c>
      <c r="Q699" s="1107">
        <f t="shared" si="16"/>
        <v>6315</v>
      </c>
      <c r="R699" s="1107">
        <f t="shared" si="16"/>
        <v>6315</v>
      </c>
      <c r="S699" s="1107">
        <f t="shared" si="16"/>
        <v>6315</v>
      </c>
    </row>
    <row r="700" spans="1:19">
      <c r="A700" s="1015">
        <v>541</v>
      </c>
      <c r="B700" s="1015" t="s">
        <v>8673</v>
      </c>
      <c r="C700" s="1103" t="s">
        <v>8674</v>
      </c>
      <c r="D700" s="1015"/>
      <c r="E700" s="1104" t="s">
        <v>7446</v>
      </c>
      <c r="F700" s="1105"/>
      <c r="G700" s="1104">
        <v>166931</v>
      </c>
      <c r="H700" s="1104"/>
      <c r="I700" s="1104"/>
      <c r="J700" s="1104"/>
      <c r="K700" s="1104"/>
      <c r="L700" s="1104">
        <v>126868</v>
      </c>
      <c r="M700" s="1106">
        <v>126868</v>
      </c>
      <c r="N700" s="1159">
        <v>126868</v>
      </c>
      <c r="O700" s="1104">
        <v>126868</v>
      </c>
      <c r="P700" s="1107">
        <f t="shared" si="16"/>
        <v>126868</v>
      </c>
      <c r="Q700" s="1107">
        <f t="shared" si="16"/>
        <v>126868</v>
      </c>
      <c r="R700" s="1107">
        <f t="shared" si="16"/>
        <v>126868</v>
      </c>
      <c r="S700" s="1107">
        <f t="shared" si="16"/>
        <v>126868</v>
      </c>
    </row>
    <row r="701" spans="1:19">
      <c r="A701" s="1015">
        <v>542</v>
      </c>
      <c r="B701" s="1015" t="s">
        <v>8675</v>
      </c>
      <c r="C701" s="1103" t="s">
        <v>8676</v>
      </c>
      <c r="D701" s="1015"/>
      <c r="E701" s="1104" t="s">
        <v>7446</v>
      </c>
      <c r="F701" s="1105"/>
      <c r="G701" s="1104">
        <v>72574</v>
      </c>
      <c r="H701" s="1104"/>
      <c r="I701" s="1104"/>
      <c r="J701" s="1104"/>
      <c r="K701" s="1104"/>
      <c r="L701" s="1104">
        <v>59874</v>
      </c>
      <c r="M701" s="1106">
        <v>59874</v>
      </c>
      <c r="N701" s="1159">
        <v>59874</v>
      </c>
      <c r="O701" s="1104">
        <v>59874</v>
      </c>
      <c r="P701" s="1107">
        <f t="shared" si="16"/>
        <v>59874</v>
      </c>
      <c r="Q701" s="1107">
        <f t="shared" si="16"/>
        <v>59874</v>
      </c>
      <c r="R701" s="1107">
        <f t="shared" si="16"/>
        <v>59874</v>
      </c>
      <c r="S701" s="1107">
        <f t="shared" si="16"/>
        <v>59874</v>
      </c>
    </row>
    <row r="702" spans="1:19">
      <c r="A702" s="1015">
        <v>543</v>
      </c>
      <c r="B702" s="1015" t="s">
        <v>8677</v>
      </c>
      <c r="C702" s="1103" t="s">
        <v>8678</v>
      </c>
      <c r="D702" s="1015"/>
      <c r="E702" s="1104" t="s">
        <v>7446</v>
      </c>
      <c r="F702" s="1105"/>
      <c r="G702" s="1104">
        <v>67071</v>
      </c>
      <c r="H702" s="1104"/>
      <c r="I702" s="1104"/>
      <c r="J702" s="1104"/>
      <c r="K702" s="1104"/>
      <c r="L702" s="1104">
        <v>55334</v>
      </c>
      <c r="M702" s="1106">
        <v>55334</v>
      </c>
      <c r="N702" s="1159">
        <v>55334</v>
      </c>
      <c r="O702" s="1104">
        <v>55334</v>
      </c>
      <c r="P702" s="1107">
        <f t="shared" si="16"/>
        <v>55334</v>
      </c>
      <c r="Q702" s="1107">
        <f t="shared" si="16"/>
        <v>55334</v>
      </c>
      <c r="R702" s="1107">
        <f t="shared" si="16"/>
        <v>55334</v>
      </c>
      <c r="S702" s="1107">
        <f t="shared" si="16"/>
        <v>55334</v>
      </c>
    </row>
    <row r="703" spans="1:19">
      <c r="A703" s="1015">
        <v>544</v>
      </c>
      <c r="B703" s="1015" t="s">
        <v>8679</v>
      </c>
      <c r="C703" s="1103" t="s">
        <v>8680</v>
      </c>
      <c r="D703" s="1015"/>
      <c r="E703" s="1104" t="s">
        <v>7446</v>
      </c>
      <c r="F703" s="1105"/>
      <c r="G703" s="1104">
        <v>10319</v>
      </c>
      <c r="H703" s="1104"/>
      <c r="I703" s="1104"/>
      <c r="J703" s="1104"/>
      <c r="K703" s="1104"/>
      <c r="L703" s="1104">
        <v>9390</v>
      </c>
      <c r="M703" s="1106">
        <v>9390</v>
      </c>
      <c r="N703" s="1159">
        <v>9390</v>
      </c>
      <c r="O703" s="1104">
        <v>9390</v>
      </c>
      <c r="P703" s="1107">
        <f t="shared" si="16"/>
        <v>9390</v>
      </c>
      <c r="Q703" s="1107">
        <f t="shared" si="16"/>
        <v>9390</v>
      </c>
      <c r="R703" s="1107">
        <f t="shared" si="16"/>
        <v>9390</v>
      </c>
      <c r="S703" s="1107">
        <f t="shared" si="16"/>
        <v>9390</v>
      </c>
    </row>
    <row r="704" spans="1:19">
      <c r="A704" s="1015">
        <v>545</v>
      </c>
      <c r="B704" s="1015" t="s">
        <v>8681</v>
      </c>
      <c r="C704" s="1103" t="s">
        <v>8682</v>
      </c>
      <c r="D704" s="1015"/>
      <c r="E704" s="1104" t="s">
        <v>7446</v>
      </c>
      <c r="F704" s="1105"/>
      <c r="G704" s="1104">
        <v>17886</v>
      </c>
      <c r="H704" s="1104"/>
      <c r="I704" s="1104"/>
      <c r="J704" s="1104"/>
      <c r="K704" s="1104"/>
      <c r="L704" s="1104">
        <v>15203</v>
      </c>
      <c r="M704" s="1106">
        <v>15203</v>
      </c>
      <c r="N704" s="1159">
        <v>15203</v>
      </c>
      <c r="O704" s="1104">
        <v>15203</v>
      </c>
      <c r="P704" s="1107">
        <f t="shared" si="16"/>
        <v>15203</v>
      </c>
      <c r="Q704" s="1107">
        <f t="shared" si="16"/>
        <v>15203</v>
      </c>
      <c r="R704" s="1107">
        <f t="shared" si="16"/>
        <v>15203</v>
      </c>
      <c r="S704" s="1107">
        <f t="shared" si="16"/>
        <v>15203</v>
      </c>
    </row>
    <row r="705" spans="1:19">
      <c r="A705" s="1015">
        <v>546</v>
      </c>
      <c r="B705" s="1015" t="s">
        <v>8683</v>
      </c>
      <c r="C705" s="1103" t="s">
        <v>8684</v>
      </c>
      <c r="D705" s="1015"/>
      <c r="E705" s="1104" t="s">
        <v>7446</v>
      </c>
      <c r="F705" s="1105"/>
      <c r="G705" s="1104">
        <v>264728</v>
      </c>
      <c r="H705" s="1104"/>
      <c r="I705" s="1104"/>
      <c r="J705" s="1104"/>
      <c r="K705" s="1104"/>
      <c r="L705" s="1104">
        <v>201193</v>
      </c>
      <c r="M705" s="1106">
        <v>201193</v>
      </c>
      <c r="N705" s="1159">
        <v>201193</v>
      </c>
      <c r="O705" s="1104">
        <v>201193</v>
      </c>
      <c r="P705" s="1107">
        <f t="shared" si="16"/>
        <v>201193</v>
      </c>
      <c r="Q705" s="1107">
        <f t="shared" si="16"/>
        <v>201193</v>
      </c>
      <c r="R705" s="1107">
        <f t="shared" si="16"/>
        <v>201193</v>
      </c>
      <c r="S705" s="1107">
        <f t="shared" si="16"/>
        <v>201193</v>
      </c>
    </row>
    <row r="706" spans="1:19">
      <c r="A706" s="1015">
        <v>547</v>
      </c>
      <c r="B706" s="1015" t="s">
        <v>8685</v>
      </c>
      <c r="C706" s="1103" t="s">
        <v>8686</v>
      </c>
      <c r="D706" s="1015"/>
      <c r="E706" s="1104" t="s">
        <v>7446</v>
      </c>
      <c r="F706" s="1105"/>
      <c r="G706" s="1104">
        <v>78994</v>
      </c>
      <c r="H706" s="1104"/>
      <c r="I706" s="1104"/>
      <c r="J706" s="1104"/>
      <c r="K706" s="1104"/>
      <c r="L706" s="1104">
        <v>61220</v>
      </c>
      <c r="M706" s="1106">
        <v>61220</v>
      </c>
      <c r="N706" s="1159">
        <v>61220</v>
      </c>
      <c r="O706" s="1104">
        <v>61220</v>
      </c>
      <c r="P706" s="1107">
        <f t="shared" si="16"/>
        <v>61220</v>
      </c>
      <c r="Q706" s="1107">
        <f t="shared" si="16"/>
        <v>61220</v>
      </c>
      <c r="R706" s="1107">
        <f t="shared" si="16"/>
        <v>61220</v>
      </c>
      <c r="S706" s="1107">
        <f t="shared" si="16"/>
        <v>61220</v>
      </c>
    </row>
    <row r="707" spans="1:19">
      <c r="A707" s="1015">
        <v>548</v>
      </c>
      <c r="B707" s="1015" t="s">
        <v>8687</v>
      </c>
      <c r="C707" s="1103" t="s">
        <v>8688</v>
      </c>
      <c r="D707" s="1015"/>
      <c r="E707" s="1104" t="s">
        <v>7446</v>
      </c>
      <c r="F707" s="1105"/>
      <c r="G707" s="1104">
        <v>8369</v>
      </c>
      <c r="H707" s="1104"/>
      <c r="I707" s="1104"/>
      <c r="J707" s="1104"/>
      <c r="K707" s="1104"/>
      <c r="L707" s="1104">
        <v>7323</v>
      </c>
      <c r="M707" s="1106">
        <v>7323</v>
      </c>
      <c r="N707" s="1159">
        <v>7323</v>
      </c>
      <c r="O707" s="1104">
        <v>7323</v>
      </c>
      <c r="P707" s="1107">
        <f t="shared" si="16"/>
        <v>7323</v>
      </c>
      <c r="Q707" s="1107">
        <f t="shared" si="16"/>
        <v>7323</v>
      </c>
      <c r="R707" s="1107">
        <f t="shared" si="16"/>
        <v>7323</v>
      </c>
      <c r="S707" s="1107">
        <f t="shared" si="16"/>
        <v>7323</v>
      </c>
    </row>
    <row r="708" spans="1:19">
      <c r="A708" s="1015">
        <v>549</v>
      </c>
      <c r="B708" s="1015" t="s">
        <v>8689</v>
      </c>
      <c r="C708" s="1103" t="s">
        <v>8690</v>
      </c>
      <c r="D708" s="1015"/>
      <c r="E708" s="1104" t="s">
        <v>7446</v>
      </c>
      <c r="F708" s="1105"/>
      <c r="G708" s="1104">
        <v>7796</v>
      </c>
      <c r="H708" s="1104"/>
      <c r="I708" s="1104"/>
      <c r="J708" s="1104"/>
      <c r="K708" s="1104"/>
      <c r="L708" s="1104">
        <v>6822</v>
      </c>
      <c r="M708" s="1106">
        <v>6822</v>
      </c>
      <c r="N708" s="1159">
        <v>6822</v>
      </c>
      <c r="O708" s="1104">
        <v>6822</v>
      </c>
      <c r="P708" s="1107">
        <f t="shared" si="16"/>
        <v>6822</v>
      </c>
      <c r="Q708" s="1107">
        <f t="shared" si="16"/>
        <v>6822</v>
      </c>
      <c r="R708" s="1107">
        <f t="shared" si="16"/>
        <v>6822</v>
      </c>
      <c r="S708" s="1107">
        <f t="shared" si="16"/>
        <v>6822</v>
      </c>
    </row>
    <row r="709" spans="1:19">
      <c r="A709" s="1015">
        <v>550</v>
      </c>
      <c r="B709" s="1015" t="s">
        <v>8691</v>
      </c>
      <c r="C709" s="1103" t="s">
        <v>8692</v>
      </c>
      <c r="D709" s="1015"/>
      <c r="E709" s="1104" t="s">
        <v>7446</v>
      </c>
      <c r="F709" s="1105"/>
      <c r="G709" s="1104">
        <v>21440</v>
      </c>
      <c r="H709" s="1104"/>
      <c r="I709" s="1104"/>
      <c r="J709" s="1104"/>
      <c r="K709" s="1104"/>
      <c r="L709" s="1104">
        <v>18760</v>
      </c>
      <c r="M709" s="1106">
        <v>18760</v>
      </c>
      <c r="N709" s="1159">
        <v>18760</v>
      </c>
      <c r="O709" s="1104">
        <v>18760</v>
      </c>
      <c r="P709" s="1107">
        <f t="shared" si="16"/>
        <v>18760</v>
      </c>
      <c r="Q709" s="1107">
        <f t="shared" si="16"/>
        <v>18760</v>
      </c>
      <c r="R709" s="1107">
        <f t="shared" si="16"/>
        <v>18760</v>
      </c>
      <c r="S709" s="1107">
        <f t="shared" si="16"/>
        <v>18760</v>
      </c>
    </row>
    <row r="710" spans="1:19">
      <c r="A710" s="1015">
        <v>551</v>
      </c>
      <c r="B710" s="1015" t="s">
        <v>8693</v>
      </c>
      <c r="C710" s="1103" t="s">
        <v>8694</v>
      </c>
      <c r="D710" s="1015"/>
      <c r="E710" s="1104" t="s">
        <v>7446</v>
      </c>
      <c r="F710" s="1105"/>
      <c r="G710" s="1104">
        <v>35656</v>
      </c>
      <c r="H710" s="1104"/>
      <c r="I710" s="1104"/>
      <c r="J710" s="1104"/>
      <c r="K710" s="1104"/>
      <c r="L710" s="1104">
        <v>29416</v>
      </c>
      <c r="M710" s="1106">
        <v>29416</v>
      </c>
      <c r="N710" s="1159">
        <v>29416</v>
      </c>
      <c r="O710" s="1104">
        <v>29416</v>
      </c>
      <c r="P710" s="1107">
        <f t="shared" si="16"/>
        <v>29416</v>
      </c>
      <c r="Q710" s="1107">
        <f t="shared" si="16"/>
        <v>29416</v>
      </c>
      <c r="R710" s="1107">
        <f t="shared" si="16"/>
        <v>29416</v>
      </c>
      <c r="S710" s="1107">
        <f t="shared" si="16"/>
        <v>29416</v>
      </c>
    </row>
    <row r="711" spans="1:19">
      <c r="A711" s="1015">
        <v>552</v>
      </c>
      <c r="B711" s="1015" t="s">
        <v>8695</v>
      </c>
      <c r="C711" s="1103" t="s">
        <v>8696</v>
      </c>
      <c r="D711" s="1015"/>
      <c r="E711" s="1104" t="s">
        <v>7446</v>
      </c>
      <c r="F711" s="1105"/>
      <c r="G711" s="1104">
        <v>47695</v>
      </c>
      <c r="H711" s="1104"/>
      <c r="I711" s="1104"/>
      <c r="J711" s="1104"/>
      <c r="K711" s="1104"/>
      <c r="L711" s="1104">
        <v>39348</v>
      </c>
      <c r="M711" s="1106">
        <v>39348</v>
      </c>
      <c r="N711" s="1159">
        <v>39348</v>
      </c>
      <c r="O711" s="1104">
        <v>39348</v>
      </c>
      <c r="P711" s="1107">
        <f t="shared" si="16"/>
        <v>39348</v>
      </c>
      <c r="Q711" s="1107">
        <f t="shared" si="16"/>
        <v>39348</v>
      </c>
      <c r="R711" s="1107">
        <f t="shared" si="16"/>
        <v>39348</v>
      </c>
      <c r="S711" s="1107">
        <f t="shared" si="16"/>
        <v>39348</v>
      </c>
    </row>
    <row r="712" spans="1:19">
      <c r="A712" s="1015">
        <v>553</v>
      </c>
      <c r="B712" s="1015" t="s">
        <v>8697</v>
      </c>
      <c r="C712" s="1103" t="s">
        <v>8698</v>
      </c>
      <c r="D712" s="1015"/>
      <c r="E712" s="1104" t="s">
        <v>7446</v>
      </c>
      <c r="F712" s="1105"/>
      <c r="G712" s="1104">
        <v>62000</v>
      </c>
      <c r="H712" s="1104"/>
      <c r="I712" s="1104"/>
      <c r="J712" s="1104"/>
      <c r="K712" s="1104"/>
      <c r="L712" s="1104">
        <v>51150</v>
      </c>
      <c r="M712" s="1106">
        <v>51150</v>
      </c>
      <c r="N712" s="1159">
        <v>51150</v>
      </c>
      <c r="O712" s="1104">
        <v>51150</v>
      </c>
      <c r="P712" s="1107">
        <f t="shared" si="16"/>
        <v>51150</v>
      </c>
      <c r="Q712" s="1107">
        <f t="shared" si="16"/>
        <v>51150</v>
      </c>
      <c r="R712" s="1107">
        <f t="shared" si="16"/>
        <v>51150</v>
      </c>
      <c r="S712" s="1107">
        <f t="shared" si="16"/>
        <v>51150</v>
      </c>
    </row>
    <row r="713" spans="1:19">
      <c r="A713" s="1015">
        <v>554</v>
      </c>
      <c r="B713" s="1015" t="s">
        <v>8699</v>
      </c>
      <c r="C713" s="1103" t="s">
        <v>8700</v>
      </c>
      <c r="D713" s="1015"/>
      <c r="E713" s="1104" t="s">
        <v>7446</v>
      </c>
      <c r="F713" s="1105"/>
      <c r="G713" s="1104">
        <v>52166</v>
      </c>
      <c r="H713" s="1104"/>
      <c r="I713" s="1104"/>
      <c r="J713" s="1104"/>
      <c r="K713" s="1104"/>
      <c r="L713" s="1104">
        <v>43037</v>
      </c>
      <c r="M713" s="1106">
        <v>43037</v>
      </c>
      <c r="N713" s="1159">
        <v>43037</v>
      </c>
      <c r="O713" s="1104">
        <v>43037</v>
      </c>
      <c r="P713" s="1107">
        <f t="shared" si="16"/>
        <v>43037</v>
      </c>
      <c r="Q713" s="1107">
        <f t="shared" si="16"/>
        <v>43037</v>
      </c>
      <c r="R713" s="1107">
        <f t="shared" si="16"/>
        <v>43037</v>
      </c>
      <c r="S713" s="1107">
        <f t="shared" ref="S713:S776" si="17">K713+O713</f>
        <v>43037</v>
      </c>
    </row>
    <row r="714" spans="1:19">
      <c r="A714" s="1015">
        <v>555</v>
      </c>
      <c r="B714" s="1015" t="s">
        <v>8701</v>
      </c>
      <c r="C714" s="1103" t="s">
        <v>8702</v>
      </c>
      <c r="D714" s="1015"/>
      <c r="E714" s="1104" t="s">
        <v>7446</v>
      </c>
      <c r="F714" s="1105"/>
      <c r="G714" s="1104">
        <v>28892</v>
      </c>
      <c r="H714" s="1104"/>
      <c r="I714" s="1104"/>
      <c r="J714" s="1104"/>
      <c r="K714" s="1104"/>
      <c r="L714" s="1104">
        <v>25281</v>
      </c>
      <c r="M714" s="1106">
        <v>25281</v>
      </c>
      <c r="N714" s="1159">
        <v>25281</v>
      </c>
      <c r="O714" s="1104">
        <v>25281</v>
      </c>
      <c r="P714" s="1107">
        <f t="shared" ref="P714:S777" si="18">H714+L714</f>
        <v>25281</v>
      </c>
      <c r="Q714" s="1107">
        <f t="shared" si="18"/>
        <v>25281</v>
      </c>
      <c r="R714" s="1107">
        <f t="shared" si="18"/>
        <v>25281</v>
      </c>
      <c r="S714" s="1107">
        <f t="shared" si="17"/>
        <v>25281</v>
      </c>
    </row>
    <row r="715" spans="1:19">
      <c r="A715" s="1015">
        <v>556</v>
      </c>
      <c r="B715" s="1015" t="s">
        <v>8703</v>
      </c>
      <c r="C715" s="1103" t="s">
        <v>8704</v>
      </c>
      <c r="D715" s="1015"/>
      <c r="E715" s="1104" t="s">
        <v>7446</v>
      </c>
      <c r="F715" s="1105"/>
      <c r="G715" s="1104">
        <v>241340</v>
      </c>
      <c r="H715" s="1104"/>
      <c r="I715" s="1104"/>
      <c r="J715" s="1104"/>
      <c r="K715" s="1104"/>
      <c r="L715" s="1104">
        <v>183418</v>
      </c>
      <c r="M715" s="1106">
        <v>183418</v>
      </c>
      <c r="N715" s="1159">
        <v>183418</v>
      </c>
      <c r="O715" s="1104">
        <v>183418</v>
      </c>
      <c r="P715" s="1107">
        <f t="shared" si="18"/>
        <v>183418</v>
      </c>
      <c r="Q715" s="1107">
        <f t="shared" si="18"/>
        <v>183418</v>
      </c>
      <c r="R715" s="1107">
        <f t="shared" si="18"/>
        <v>183418</v>
      </c>
      <c r="S715" s="1107">
        <f t="shared" si="17"/>
        <v>183418</v>
      </c>
    </row>
    <row r="716" spans="1:19">
      <c r="A716" s="1015">
        <v>557</v>
      </c>
      <c r="B716" s="1015" t="s">
        <v>8705</v>
      </c>
      <c r="C716" s="1103" t="s">
        <v>8706</v>
      </c>
      <c r="D716" s="1015"/>
      <c r="E716" s="1104" t="s">
        <v>7446</v>
      </c>
      <c r="F716" s="1105"/>
      <c r="G716" s="1104">
        <v>37261</v>
      </c>
      <c r="H716" s="1104"/>
      <c r="I716" s="1104"/>
      <c r="J716" s="1104"/>
      <c r="K716" s="1104"/>
      <c r="L716" s="1104">
        <v>30740</v>
      </c>
      <c r="M716" s="1106">
        <v>30740</v>
      </c>
      <c r="N716" s="1159">
        <v>30740</v>
      </c>
      <c r="O716" s="1104">
        <v>30740</v>
      </c>
      <c r="P716" s="1107">
        <f t="shared" si="18"/>
        <v>30740</v>
      </c>
      <c r="Q716" s="1107">
        <f t="shared" si="18"/>
        <v>30740</v>
      </c>
      <c r="R716" s="1107">
        <f t="shared" si="18"/>
        <v>30740</v>
      </c>
      <c r="S716" s="1107">
        <f t="shared" si="17"/>
        <v>30740</v>
      </c>
    </row>
    <row r="717" spans="1:19">
      <c r="A717" s="1015">
        <v>558</v>
      </c>
      <c r="B717" s="1015" t="s">
        <v>8707</v>
      </c>
      <c r="C717" s="1103" t="s">
        <v>8708</v>
      </c>
      <c r="D717" s="1015"/>
      <c r="E717" s="1104" t="s">
        <v>7446</v>
      </c>
      <c r="F717" s="1105"/>
      <c r="G717" s="1104">
        <v>6306</v>
      </c>
      <c r="H717" s="1104"/>
      <c r="I717" s="1104"/>
      <c r="J717" s="1104"/>
      <c r="K717" s="1104"/>
      <c r="L717" s="1104">
        <v>5518</v>
      </c>
      <c r="M717" s="1106">
        <v>5518</v>
      </c>
      <c r="N717" s="1159">
        <v>5518</v>
      </c>
      <c r="O717" s="1104">
        <v>5518</v>
      </c>
      <c r="P717" s="1107">
        <f t="shared" si="18"/>
        <v>5518</v>
      </c>
      <c r="Q717" s="1107">
        <f t="shared" si="18"/>
        <v>5518</v>
      </c>
      <c r="R717" s="1107">
        <f t="shared" si="18"/>
        <v>5518</v>
      </c>
      <c r="S717" s="1107">
        <f t="shared" si="17"/>
        <v>5518</v>
      </c>
    </row>
    <row r="718" spans="1:19">
      <c r="A718" s="1015">
        <v>559</v>
      </c>
      <c r="B718" s="1015" t="s">
        <v>8709</v>
      </c>
      <c r="C718" s="1103" t="s">
        <v>8710</v>
      </c>
      <c r="D718" s="1015"/>
      <c r="E718" s="1104" t="s">
        <v>7446</v>
      </c>
      <c r="F718" s="1105"/>
      <c r="G718" s="1104">
        <v>86447</v>
      </c>
      <c r="H718" s="1104"/>
      <c r="I718" s="1104"/>
      <c r="J718" s="1104"/>
      <c r="K718" s="1104"/>
      <c r="L718" s="1104">
        <v>66996</v>
      </c>
      <c r="M718" s="1106">
        <v>66996</v>
      </c>
      <c r="N718" s="1159">
        <v>66996</v>
      </c>
      <c r="O718" s="1104">
        <v>66996</v>
      </c>
      <c r="P718" s="1107">
        <f t="shared" si="18"/>
        <v>66996</v>
      </c>
      <c r="Q718" s="1107">
        <f t="shared" si="18"/>
        <v>66996</v>
      </c>
      <c r="R718" s="1107">
        <f t="shared" si="18"/>
        <v>66996</v>
      </c>
      <c r="S718" s="1107">
        <f t="shared" si="17"/>
        <v>66996</v>
      </c>
    </row>
    <row r="719" spans="1:19">
      <c r="A719" s="1015">
        <v>560</v>
      </c>
      <c r="B719" s="1015" t="s">
        <v>8711</v>
      </c>
      <c r="C719" s="1103" t="s">
        <v>8712</v>
      </c>
      <c r="D719" s="1015"/>
      <c r="E719" s="1104" t="s">
        <v>7446</v>
      </c>
      <c r="F719" s="1105"/>
      <c r="G719" s="1104">
        <v>9287</v>
      </c>
      <c r="H719" s="1104"/>
      <c r="I719" s="1104"/>
      <c r="J719" s="1104"/>
      <c r="K719" s="1104"/>
      <c r="L719" s="1104">
        <v>8126</v>
      </c>
      <c r="M719" s="1106">
        <v>8126</v>
      </c>
      <c r="N719" s="1159">
        <v>8126</v>
      </c>
      <c r="O719" s="1104">
        <v>8126</v>
      </c>
      <c r="P719" s="1107">
        <f t="shared" si="18"/>
        <v>8126</v>
      </c>
      <c r="Q719" s="1107">
        <f t="shared" si="18"/>
        <v>8126</v>
      </c>
      <c r="R719" s="1107">
        <f t="shared" si="18"/>
        <v>8126</v>
      </c>
      <c r="S719" s="1107">
        <f t="shared" si="17"/>
        <v>8126</v>
      </c>
    </row>
    <row r="720" spans="1:19">
      <c r="A720" s="1015">
        <v>561</v>
      </c>
      <c r="B720" s="1015" t="s">
        <v>8713</v>
      </c>
      <c r="C720" s="1103" t="s">
        <v>8714</v>
      </c>
      <c r="D720" s="1015"/>
      <c r="E720" s="1104" t="s">
        <v>7446</v>
      </c>
      <c r="F720" s="1105"/>
      <c r="G720" s="1104">
        <v>8369</v>
      </c>
      <c r="H720" s="1104"/>
      <c r="I720" s="1104"/>
      <c r="J720" s="1104"/>
      <c r="K720" s="1104"/>
      <c r="L720" s="1104">
        <v>7323</v>
      </c>
      <c r="M720" s="1106">
        <v>7323</v>
      </c>
      <c r="N720" s="1159">
        <v>7323</v>
      </c>
      <c r="O720" s="1104">
        <v>7323</v>
      </c>
      <c r="P720" s="1107">
        <f t="shared" si="18"/>
        <v>7323</v>
      </c>
      <c r="Q720" s="1107">
        <f t="shared" si="18"/>
        <v>7323</v>
      </c>
      <c r="R720" s="1107">
        <f t="shared" si="18"/>
        <v>7323</v>
      </c>
      <c r="S720" s="1107">
        <f t="shared" si="17"/>
        <v>7323</v>
      </c>
    </row>
    <row r="721" spans="1:19">
      <c r="A721" s="1015">
        <v>562</v>
      </c>
      <c r="B721" s="1015" t="s">
        <v>8715</v>
      </c>
      <c r="C721" s="1103" t="s">
        <v>8716</v>
      </c>
      <c r="D721" s="1015"/>
      <c r="E721" s="1104" t="s">
        <v>7446</v>
      </c>
      <c r="F721" s="1105"/>
      <c r="G721" s="1104">
        <v>107772</v>
      </c>
      <c r="H721" s="1104"/>
      <c r="I721" s="1104"/>
      <c r="J721" s="1104"/>
      <c r="K721" s="1104"/>
      <c r="L721" s="1104">
        <v>83523</v>
      </c>
      <c r="M721" s="1106">
        <v>83523</v>
      </c>
      <c r="N721" s="1159">
        <v>83523</v>
      </c>
      <c r="O721" s="1104">
        <v>83523</v>
      </c>
      <c r="P721" s="1107">
        <f t="shared" si="18"/>
        <v>83523</v>
      </c>
      <c r="Q721" s="1107">
        <f t="shared" si="18"/>
        <v>83523</v>
      </c>
      <c r="R721" s="1107">
        <f t="shared" si="18"/>
        <v>83523</v>
      </c>
      <c r="S721" s="1107">
        <f t="shared" si="17"/>
        <v>83523</v>
      </c>
    </row>
    <row r="722" spans="1:19">
      <c r="A722" s="1015">
        <v>563</v>
      </c>
      <c r="B722" s="1015" t="s">
        <v>8717</v>
      </c>
      <c r="C722" s="1103" t="s">
        <v>8718</v>
      </c>
      <c r="D722" s="1015"/>
      <c r="E722" s="1104" t="s">
        <v>7446</v>
      </c>
      <c r="F722" s="1105"/>
      <c r="G722" s="1104">
        <v>92408</v>
      </c>
      <c r="H722" s="1104"/>
      <c r="I722" s="1104"/>
      <c r="J722" s="1104"/>
      <c r="K722" s="1104"/>
      <c r="L722" s="1104">
        <v>71616</v>
      </c>
      <c r="M722" s="1106">
        <v>71616</v>
      </c>
      <c r="N722" s="1159">
        <v>71616</v>
      </c>
      <c r="O722" s="1104">
        <v>71616</v>
      </c>
      <c r="P722" s="1107">
        <f t="shared" si="18"/>
        <v>71616</v>
      </c>
      <c r="Q722" s="1107">
        <f t="shared" si="18"/>
        <v>71616</v>
      </c>
      <c r="R722" s="1107">
        <f t="shared" si="18"/>
        <v>71616</v>
      </c>
      <c r="S722" s="1107">
        <f t="shared" si="17"/>
        <v>71616</v>
      </c>
    </row>
    <row r="723" spans="1:19">
      <c r="A723" s="1015">
        <v>564</v>
      </c>
      <c r="B723" s="1015" t="s">
        <v>8719</v>
      </c>
      <c r="C723" s="1103" t="s">
        <v>8720</v>
      </c>
      <c r="D723" s="1015"/>
      <c r="E723" s="1104" t="s">
        <v>7446</v>
      </c>
      <c r="F723" s="1105"/>
      <c r="G723" s="1104">
        <v>16280</v>
      </c>
      <c r="H723" s="1104"/>
      <c r="I723" s="1104"/>
      <c r="J723" s="1104"/>
      <c r="K723" s="1104"/>
      <c r="L723" s="1104">
        <v>14245</v>
      </c>
      <c r="M723" s="1106">
        <v>14245</v>
      </c>
      <c r="N723" s="1159">
        <v>14245</v>
      </c>
      <c r="O723" s="1104">
        <v>14245</v>
      </c>
      <c r="P723" s="1107">
        <f t="shared" si="18"/>
        <v>14245</v>
      </c>
      <c r="Q723" s="1107">
        <f t="shared" si="18"/>
        <v>14245</v>
      </c>
      <c r="R723" s="1107">
        <f t="shared" si="18"/>
        <v>14245</v>
      </c>
      <c r="S723" s="1107">
        <f t="shared" si="17"/>
        <v>14245</v>
      </c>
    </row>
    <row r="724" spans="1:19">
      <c r="A724" s="1015">
        <v>565</v>
      </c>
      <c r="B724" s="1015" t="s">
        <v>8721</v>
      </c>
      <c r="C724" s="1103" t="s">
        <v>8722</v>
      </c>
      <c r="D724" s="1015"/>
      <c r="E724" s="1104" t="s">
        <v>7446</v>
      </c>
      <c r="F724" s="1105"/>
      <c r="G724" s="1104">
        <v>134027</v>
      </c>
      <c r="H724" s="1104"/>
      <c r="I724" s="1104"/>
      <c r="J724" s="1104"/>
      <c r="K724" s="1104"/>
      <c r="L724" s="1104">
        <v>101861</v>
      </c>
      <c r="M724" s="1106">
        <v>101861</v>
      </c>
      <c r="N724" s="1159">
        <v>101861</v>
      </c>
      <c r="O724" s="1104">
        <v>101861</v>
      </c>
      <c r="P724" s="1107">
        <f t="shared" si="18"/>
        <v>101861</v>
      </c>
      <c r="Q724" s="1107">
        <f t="shared" si="18"/>
        <v>101861</v>
      </c>
      <c r="R724" s="1107">
        <f t="shared" si="18"/>
        <v>101861</v>
      </c>
      <c r="S724" s="1107">
        <f t="shared" si="17"/>
        <v>101861</v>
      </c>
    </row>
    <row r="725" spans="1:19">
      <c r="A725" s="1015">
        <v>566</v>
      </c>
      <c r="B725" s="1015" t="s">
        <v>8723</v>
      </c>
      <c r="C725" s="1103" t="s">
        <v>8724</v>
      </c>
      <c r="D725" s="1015"/>
      <c r="E725" s="1104" t="s">
        <v>7446</v>
      </c>
      <c r="F725" s="1105"/>
      <c r="G725" s="1104">
        <v>193874</v>
      </c>
      <c r="H725" s="1104"/>
      <c r="I725" s="1104"/>
      <c r="J725" s="1104"/>
      <c r="K725" s="1104"/>
      <c r="L725" s="1104">
        <v>145406</v>
      </c>
      <c r="M725" s="1106">
        <v>145406</v>
      </c>
      <c r="N725" s="1159">
        <v>145406</v>
      </c>
      <c r="O725" s="1104">
        <v>145406</v>
      </c>
      <c r="P725" s="1107">
        <f t="shared" si="18"/>
        <v>145406</v>
      </c>
      <c r="Q725" s="1107">
        <f t="shared" si="18"/>
        <v>145406</v>
      </c>
      <c r="R725" s="1107">
        <f t="shared" si="18"/>
        <v>145406</v>
      </c>
      <c r="S725" s="1107">
        <f t="shared" si="17"/>
        <v>145406</v>
      </c>
    </row>
    <row r="726" spans="1:19">
      <c r="A726" s="1015">
        <v>567</v>
      </c>
      <c r="B726" s="1015" t="s">
        <v>8725</v>
      </c>
      <c r="C726" s="1103" t="s">
        <v>8726</v>
      </c>
      <c r="D726" s="1015"/>
      <c r="E726" s="1104" t="s">
        <v>7446</v>
      </c>
      <c r="F726" s="1105"/>
      <c r="G726" s="1104">
        <v>12038</v>
      </c>
      <c r="H726" s="1104"/>
      <c r="I726" s="1104"/>
      <c r="J726" s="1104"/>
      <c r="K726" s="1104"/>
      <c r="L726" s="1104">
        <v>10533</v>
      </c>
      <c r="M726" s="1106">
        <v>10533</v>
      </c>
      <c r="N726" s="1159">
        <v>10533</v>
      </c>
      <c r="O726" s="1104">
        <v>10533</v>
      </c>
      <c r="P726" s="1107">
        <f t="shared" si="18"/>
        <v>10533</v>
      </c>
      <c r="Q726" s="1107">
        <f t="shared" si="18"/>
        <v>10533</v>
      </c>
      <c r="R726" s="1107">
        <f t="shared" si="18"/>
        <v>10533</v>
      </c>
      <c r="S726" s="1107">
        <f t="shared" si="17"/>
        <v>10533</v>
      </c>
    </row>
    <row r="727" spans="1:19">
      <c r="A727" s="1015">
        <v>568</v>
      </c>
      <c r="B727" s="1015" t="s">
        <v>8727</v>
      </c>
      <c r="C727" s="1103" t="s">
        <v>8728</v>
      </c>
      <c r="D727" s="1015"/>
      <c r="E727" s="1104" t="s">
        <v>7446</v>
      </c>
      <c r="F727" s="1105"/>
      <c r="G727" s="1104">
        <v>98370</v>
      </c>
      <c r="H727" s="1104"/>
      <c r="I727" s="1104"/>
      <c r="J727" s="1104"/>
      <c r="K727" s="1104"/>
      <c r="L727" s="1104">
        <v>76237</v>
      </c>
      <c r="M727" s="1106">
        <v>76237</v>
      </c>
      <c r="N727" s="1159">
        <v>76237</v>
      </c>
      <c r="O727" s="1104">
        <v>76237</v>
      </c>
      <c r="P727" s="1107">
        <f t="shared" si="18"/>
        <v>76237</v>
      </c>
      <c r="Q727" s="1107">
        <f t="shared" si="18"/>
        <v>76237</v>
      </c>
      <c r="R727" s="1107">
        <f t="shared" si="18"/>
        <v>76237</v>
      </c>
      <c r="S727" s="1107">
        <f t="shared" si="17"/>
        <v>76237</v>
      </c>
    </row>
    <row r="728" spans="1:19">
      <c r="A728" s="1015">
        <v>569</v>
      </c>
      <c r="B728" s="1015" t="s">
        <v>8729</v>
      </c>
      <c r="C728" s="1103" t="s">
        <v>8730</v>
      </c>
      <c r="D728" s="1015"/>
      <c r="E728" s="1104" t="s">
        <v>7446</v>
      </c>
      <c r="F728" s="1105"/>
      <c r="G728" s="1104">
        <v>16854</v>
      </c>
      <c r="H728" s="1104"/>
      <c r="I728" s="1104"/>
      <c r="J728" s="1104"/>
      <c r="K728" s="1104"/>
      <c r="L728" s="1104">
        <v>14747</v>
      </c>
      <c r="M728" s="1106">
        <v>14747</v>
      </c>
      <c r="N728" s="1159">
        <v>14747</v>
      </c>
      <c r="O728" s="1104">
        <v>14747</v>
      </c>
      <c r="P728" s="1107">
        <f t="shared" si="18"/>
        <v>14747</v>
      </c>
      <c r="Q728" s="1107">
        <f t="shared" si="18"/>
        <v>14747</v>
      </c>
      <c r="R728" s="1107">
        <f t="shared" si="18"/>
        <v>14747</v>
      </c>
      <c r="S728" s="1107">
        <f t="shared" si="17"/>
        <v>14747</v>
      </c>
    </row>
    <row r="729" spans="1:19">
      <c r="A729" s="1015">
        <v>570</v>
      </c>
      <c r="B729" s="1015" t="s">
        <v>8731</v>
      </c>
      <c r="C729" s="1103" t="s">
        <v>8732</v>
      </c>
      <c r="D729" s="1015"/>
      <c r="E729" s="1104" t="s">
        <v>7446</v>
      </c>
      <c r="F729" s="1105"/>
      <c r="G729" s="1104">
        <v>60765</v>
      </c>
      <c r="H729" s="1104"/>
      <c r="I729" s="1104"/>
      <c r="J729" s="1104"/>
      <c r="K729" s="1104"/>
      <c r="L729" s="1104">
        <v>47093</v>
      </c>
      <c r="M729" s="1106">
        <v>47093</v>
      </c>
      <c r="N729" s="1159">
        <v>47093</v>
      </c>
      <c r="O729" s="1104">
        <v>47093</v>
      </c>
      <c r="P729" s="1107">
        <f t="shared" si="18"/>
        <v>47093</v>
      </c>
      <c r="Q729" s="1107">
        <f t="shared" si="18"/>
        <v>47093</v>
      </c>
      <c r="R729" s="1107">
        <f t="shared" si="18"/>
        <v>47093</v>
      </c>
      <c r="S729" s="1107">
        <f t="shared" si="17"/>
        <v>47093</v>
      </c>
    </row>
    <row r="730" spans="1:19">
      <c r="A730" s="1015">
        <v>571</v>
      </c>
      <c r="B730" s="1015" t="s">
        <v>8733</v>
      </c>
      <c r="C730" s="1103" t="s">
        <v>8734</v>
      </c>
      <c r="D730" s="1015"/>
      <c r="E730" s="1104" t="s">
        <v>7446</v>
      </c>
      <c r="F730" s="1105"/>
      <c r="G730" s="1104">
        <v>31300</v>
      </c>
      <c r="H730" s="1104"/>
      <c r="I730" s="1104"/>
      <c r="J730" s="1104"/>
      <c r="K730" s="1104"/>
      <c r="L730" s="1104">
        <v>25040</v>
      </c>
      <c r="M730" s="1106">
        <v>25040</v>
      </c>
      <c r="N730" s="1159">
        <v>25040</v>
      </c>
      <c r="O730" s="1104">
        <v>25040</v>
      </c>
      <c r="P730" s="1107">
        <f t="shared" si="18"/>
        <v>25040</v>
      </c>
      <c r="Q730" s="1107">
        <f t="shared" si="18"/>
        <v>25040</v>
      </c>
      <c r="R730" s="1107">
        <f t="shared" si="18"/>
        <v>25040</v>
      </c>
      <c r="S730" s="1107">
        <f t="shared" si="17"/>
        <v>25040</v>
      </c>
    </row>
    <row r="731" spans="1:19">
      <c r="A731" s="1015">
        <v>572</v>
      </c>
      <c r="B731" s="1015" t="s">
        <v>8735</v>
      </c>
      <c r="C731" s="1103" t="s">
        <v>8736</v>
      </c>
      <c r="D731" s="1015"/>
      <c r="E731" s="1104" t="s">
        <v>7446</v>
      </c>
      <c r="F731" s="1105"/>
      <c r="G731" s="1104">
        <v>41733</v>
      </c>
      <c r="H731" s="1104"/>
      <c r="I731" s="1104"/>
      <c r="J731" s="1104"/>
      <c r="K731" s="1104"/>
      <c r="L731" s="1104">
        <v>33386</v>
      </c>
      <c r="M731" s="1106">
        <v>33386</v>
      </c>
      <c r="N731" s="1159">
        <v>33386</v>
      </c>
      <c r="O731" s="1104">
        <v>33386</v>
      </c>
      <c r="P731" s="1107">
        <f t="shared" si="18"/>
        <v>33386</v>
      </c>
      <c r="Q731" s="1107">
        <f t="shared" si="18"/>
        <v>33386</v>
      </c>
      <c r="R731" s="1107">
        <f t="shared" si="18"/>
        <v>33386</v>
      </c>
      <c r="S731" s="1107">
        <f t="shared" si="17"/>
        <v>33386</v>
      </c>
    </row>
    <row r="732" spans="1:19">
      <c r="A732" s="1015">
        <v>573</v>
      </c>
      <c r="B732" s="1015" t="s">
        <v>8737</v>
      </c>
      <c r="C732" s="1103" t="s">
        <v>8738</v>
      </c>
      <c r="D732" s="1015"/>
      <c r="E732" s="1104" t="s">
        <v>7446</v>
      </c>
      <c r="F732" s="1105"/>
      <c r="G732" s="1104">
        <v>107313</v>
      </c>
      <c r="H732" s="1104"/>
      <c r="I732" s="1104"/>
      <c r="J732" s="1104"/>
      <c r="K732" s="1104"/>
      <c r="L732" s="1104">
        <v>83168</v>
      </c>
      <c r="M732" s="1106">
        <v>83168</v>
      </c>
      <c r="N732" s="1159">
        <v>83168</v>
      </c>
      <c r="O732" s="1104">
        <v>83168</v>
      </c>
      <c r="P732" s="1107">
        <f t="shared" si="18"/>
        <v>83168</v>
      </c>
      <c r="Q732" s="1107">
        <f t="shared" si="18"/>
        <v>83168</v>
      </c>
      <c r="R732" s="1107">
        <f t="shared" si="18"/>
        <v>83168</v>
      </c>
      <c r="S732" s="1107">
        <f t="shared" si="17"/>
        <v>83168</v>
      </c>
    </row>
    <row r="733" spans="1:19">
      <c r="A733" s="1015">
        <v>574</v>
      </c>
      <c r="B733" s="1015" t="s">
        <v>8739</v>
      </c>
      <c r="C733" s="1103" t="s">
        <v>8740</v>
      </c>
      <c r="D733" s="1015"/>
      <c r="E733" s="1104" t="s">
        <v>7446</v>
      </c>
      <c r="F733" s="1105"/>
      <c r="G733" s="1104">
        <v>62599</v>
      </c>
      <c r="H733" s="1104"/>
      <c r="I733" s="1104"/>
      <c r="J733" s="1104"/>
      <c r="K733" s="1104"/>
      <c r="L733" s="1104">
        <v>48514</v>
      </c>
      <c r="M733" s="1106">
        <v>48514</v>
      </c>
      <c r="N733" s="1159">
        <v>48514</v>
      </c>
      <c r="O733" s="1104">
        <v>48514</v>
      </c>
      <c r="P733" s="1107">
        <f t="shared" si="18"/>
        <v>48514</v>
      </c>
      <c r="Q733" s="1107">
        <f t="shared" si="18"/>
        <v>48514</v>
      </c>
      <c r="R733" s="1107">
        <f t="shared" si="18"/>
        <v>48514</v>
      </c>
      <c r="S733" s="1107">
        <f t="shared" si="17"/>
        <v>48514</v>
      </c>
    </row>
    <row r="734" spans="1:19">
      <c r="A734" s="1015">
        <v>575</v>
      </c>
      <c r="B734" s="1015" t="s">
        <v>8741</v>
      </c>
      <c r="C734" s="1103" t="s">
        <v>8742</v>
      </c>
      <c r="D734" s="1015"/>
      <c r="E734" s="1104" t="s">
        <v>7446</v>
      </c>
      <c r="F734" s="1105"/>
      <c r="G734" s="1104">
        <v>8828</v>
      </c>
      <c r="H734" s="1104"/>
      <c r="I734" s="1104"/>
      <c r="J734" s="1104"/>
      <c r="K734" s="1104"/>
      <c r="L734" s="1104">
        <v>7725</v>
      </c>
      <c r="M734" s="1106">
        <v>7725</v>
      </c>
      <c r="N734" s="1159">
        <v>7725</v>
      </c>
      <c r="O734" s="1104">
        <v>7725</v>
      </c>
      <c r="P734" s="1107">
        <f t="shared" si="18"/>
        <v>7725</v>
      </c>
      <c r="Q734" s="1107">
        <f t="shared" si="18"/>
        <v>7725</v>
      </c>
      <c r="R734" s="1107">
        <f t="shared" si="18"/>
        <v>7725</v>
      </c>
      <c r="S734" s="1107">
        <f t="shared" si="17"/>
        <v>7725</v>
      </c>
    </row>
    <row r="735" spans="1:19">
      <c r="A735" s="1015">
        <v>576</v>
      </c>
      <c r="B735" s="1015" t="s">
        <v>8743</v>
      </c>
      <c r="C735" s="1103" t="s">
        <v>8744</v>
      </c>
      <c r="D735" s="1015"/>
      <c r="E735" s="1104" t="s">
        <v>7446</v>
      </c>
      <c r="F735" s="1105"/>
      <c r="G735" s="1104">
        <v>14561</v>
      </c>
      <c r="H735" s="1104"/>
      <c r="I735" s="1104"/>
      <c r="J735" s="1104"/>
      <c r="K735" s="1104"/>
      <c r="L735" s="1104">
        <v>12741</v>
      </c>
      <c r="M735" s="1106">
        <v>12741</v>
      </c>
      <c r="N735" s="1159">
        <v>12741</v>
      </c>
      <c r="O735" s="1104">
        <v>12741</v>
      </c>
      <c r="P735" s="1107">
        <f t="shared" si="18"/>
        <v>12741</v>
      </c>
      <c r="Q735" s="1107">
        <f t="shared" si="18"/>
        <v>12741</v>
      </c>
      <c r="R735" s="1107">
        <f t="shared" si="18"/>
        <v>12741</v>
      </c>
      <c r="S735" s="1107">
        <f t="shared" si="17"/>
        <v>12741</v>
      </c>
    </row>
    <row r="736" spans="1:19">
      <c r="A736" s="1015">
        <v>577</v>
      </c>
      <c r="B736" s="1015" t="s">
        <v>8745</v>
      </c>
      <c r="C736" s="1103" t="s">
        <v>8746</v>
      </c>
      <c r="D736" s="1015"/>
      <c r="E736" s="1104" t="s">
        <v>7446</v>
      </c>
      <c r="F736" s="1105"/>
      <c r="G736" s="1104">
        <v>1376</v>
      </c>
      <c r="H736" s="1104"/>
      <c r="I736" s="1104"/>
      <c r="J736" s="1104"/>
      <c r="K736" s="1104"/>
      <c r="L736" s="1104">
        <v>1254</v>
      </c>
      <c r="M736" s="1106">
        <v>1254</v>
      </c>
      <c r="N736" s="1159">
        <v>1254</v>
      </c>
      <c r="O736" s="1104">
        <v>1254</v>
      </c>
      <c r="P736" s="1107">
        <f t="shared" si="18"/>
        <v>1254</v>
      </c>
      <c r="Q736" s="1107">
        <f t="shared" si="18"/>
        <v>1254</v>
      </c>
      <c r="R736" s="1107">
        <f t="shared" si="18"/>
        <v>1254</v>
      </c>
      <c r="S736" s="1107">
        <f t="shared" si="17"/>
        <v>1254</v>
      </c>
    </row>
    <row r="737" spans="1:19">
      <c r="A737" s="1015">
        <v>578</v>
      </c>
      <c r="B737" s="1015" t="s">
        <v>8747</v>
      </c>
      <c r="C737" s="1103" t="s">
        <v>8748</v>
      </c>
      <c r="D737" s="1015"/>
      <c r="E737" s="1104" t="s">
        <v>7446</v>
      </c>
      <c r="F737" s="1105"/>
      <c r="G737" s="1104">
        <v>15822</v>
      </c>
      <c r="H737" s="1104"/>
      <c r="I737" s="1104"/>
      <c r="J737" s="1104"/>
      <c r="K737" s="1104"/>
      <c r="L737" s="1104">
        <v>13844</v>
      </c>
      <c r="M737" s="1106">
        <v>13844</v>
      </c>
      <c r="N737" s="1159">
        <v>13844</v>
      </c>
      <c r="O737" s="1104">
        <v>13844</v>
      </c>
      <c r="P737" s="1107">
        <f t="shared" si="18"/>
        <v>13844</v>
      </c>
      <c r="Q737" s="1107">
        <f t="shared" si="18"/>
        <v>13844</v>
      </c>
      <c r="R737" s="1107">
        <f t="shared" si="18"/>
        <v>13844</v>
      </c>
      <c r="S737" s="1107">
        <f t="shared" si="17"/>
        <v>13844</v>
      </c>
    </row>
    <row r="738" spans="1:19">
      <c r="A738" s="1015">
        <v>579</v>
      </c>
      <c r="B738" s="1015" t="s">
        <v>8749</v>
      </c>
      <c r="C738" s="1103" t="s">
        <v>8750</v>
      </c>
      <c r="D738" s="1015"/>
      <c r="E738" s="1104" t="s">
        <v>7446</v>
      </c>
      <c r="F738" s="1105"/>
      <c r="G738" s="1104">
        <v>26828</v>
      </c>
      <c r="H738" s="1104"/>
      <c r="I738" s="1104"/>
      <c r="J738" s="1104"/>
      <c r="K738" s="1104"/>
      <c r="L738" s="1104">
        <v>23475</v>
      </c>
      <c r="M738" s="1106">
        <v>23475</v>
      </c>
      <c r="N738" s="1159">
        <v>23475</v>
      </c>
      <c r="O738" s="1104">
        <v>23475</v>
      </c>
      <c r="P738" s="1107">
        <f t="shared" si="18"/>
        <v>23475</v>
      </c>
      <c r="Q738" s="1107">
        <f t="shared" si="18"/>
        <v>23475</v>
      </c>
      <c r="R738" s="1107">
        <f t="shared" si="18"/>
        <v>23475</v>
      </c>
      <c r="S738" s="1107">
        <f t="shared" si="17"/>
        <v>23475</v>
      </c>
    </row>
    <row r="739" spans="1:19">
      <c r="A739" s="1015">
        <v>580</v>
      </c>
      <c r="B739" s="1015" t="s">
        <v>8751</v>
      </c>
      <c r="C739" s="1103" t="s">
        <v>8752</v>
      </c>
      <c r="D739" s="1015"/>
      <c r="E739" s="1104" t="s">
        <v>7446</v>
      </c>
      <c r="F739" s="1105"/>
      <c r="G739" s="1104">
        <v>9745</v>
      </c>
      <c r="H739" s="1104"/>
      <c r="I739" s="1104"/>
      <c r="J739" s="1104"/>
      <c r="K739" s="1104"/>
      <c r="L739" s="1104">
        <v>8527</v>
      </c>
      <c r="M739" s="1106">
        <v>8527</v>
      </c>
      <c r="N739" s="1159">
        <v>8527</v>
      </c>
      <c r="O739" s="1104">
        <v>8527</v>
      </c>
      <c r="P739" s="1107">
        <f t="shared" si="18"/>
        <v>8527</v>
      </c>
      <c r="Q739" s="1107">
        <f t="shared" si="18"/>
        <v>8527</v>
      </c>
      <c r="R739" s="1107">
        <f t="shared" si="18"/>
        <v>8527</v>
      </c>
      <c r="S739" s="1107">
        <f t="shared" si="17"/>
        <v>8527</v>
      </c>
    </row>
    <row r="740" spans="1:19">
      <c r="A740" s="1015">
        <v>581</v>
      </c>
      <c r="B740" s="1015" t="s">
        <v>8753</v>
      </c>
      <c r="C740" s="1103" t="s">
        <v>8754</v>
      </c>
      <c r="D740" s="1015"/>
      <c r="E740" s="1104" t="s">
        <v>7446</v>
      </c>
      <c r="F740" s="1105"/>
      <c r="G740" s="1104">
        <v>15249</v>
      </c>
      <c r="H740" s="1104"/>
      <c r="I740" s="1104"/>
      <c r="J740" s="1104"/>
      <c r="K740" s="1104"/>
      <c r="L740" s="1104">
        <v>13343</v>
      </c>
      <c r="M740" s="1106">
        <v>13343</v>
      </c>
      <c r="N740" s="1159">
        <v>13343</v>
      </c>
      <c r="O740" s="1104">
        <v>13343</v>
      </c>
      <c r="P740" s="1107">
        <f t="shared" si="18"/>
        <v>13343</v>
      </c>
      <c r="Q740" s="1107">
        <f t="shared" si="18"/>
        <v>13343</v>
      </c>
      <c r="R740" s="1107">
        <f t="shared" si="18"/>
        <v>13343</v>
      </c>
      <c r="S740" s="1107">
        <f t="shared" si="17"/>
        <v>13343</v>
      </c>
    </row>
    <row r="741" spans="1:19">
      <c r="A741" s="1015">
        <v>582</v>
      </c>
      <c r="B741" s="1015" t="s">
        <v>8755</v>
      </c>
      <c r="C741" s="1103" t="s">
        <v>8756</v>
      </c>
      <c r="D741" s="1015"/>
      <c r="E741" s="1104" t="s">
        <v>7446</v>
      </c>
      <c r="F741" s="1105"/>
      <c r="G741" s="1104">
        <v>9057</v>
      </c>
      <c r="H741" s="1104"/>
      <c r="I741" s="1104"/>
      <c r="J741" s="1104"/>
      <c r="K741" s="1104"/>
      <c r="L741" s="1104">
        <v>7925</v>
      </c>
      <c r="M741" s="1106">
        <v>7925</v>
      </c>
      <c r="N741" s="1159">
        <v>7925</v>
      </c>
      <c r="O741" s="1104">
        <v>7925</v>
      </c>
      <c r="P741" s="1107">
        <f t="shared" si="18"/>
        <v>7925</v>
      </c>
      <c r="Q741" s="1107">
        <f t="shared" si="18"/>
        <v>7925</v>
      </c>
      <c r="R741" s="1107">
        <f t="shared" si="18"/>
        <v>7925</v>
      </c>
      <c r="S741" s="1107">
        <f t="shared" si="17"/>
        <v>7925</v>
      </c>
    </row>
    <row r="742" spans="1:19">
      <c r="A742" s="1015">
        <v>583</v>
      </c>
      <c r="B742" s="1015" t="s">
        <v>8757</v>
      </c>
      <c r="C742" s="1103" t="s">
        <v>8758</v>
      </c>
      <c r="D742" s="1015"/>
      <c r="E742" s="1104" t="s">
        <v>7446</v>
      </c>
      <c r="F742" s="1105"/>
      <c r="G742" s="1104">
        <v>8369</v>
      </c>
      <c r="H742" s="1104"/>
      <c r="I742" s="1104"/>
      <c r="J742" s="1104"/>
      <c r="K742" s="1104"/>
      <c r="L742" s="1104">
        <v>7323</v>
      </c>
      <c r="M742" s="1106">
        <v>7323</v>
      </c>
      <c r="N742" s="1159">
        <v>7323</v>
      </c>
      <c r="O742" s="1104">
        <v>7323</v>
      </c>
      <c r="P742" s="1107">
        <f t="shared" si="18"/>
        <v>7323</v>
      </c>
      <c r="Q742" s="1107">
        <f t="shared" si="18"/>
        <v>7323</v>
      </c>
      <c r="R742" s="1107">
        <f t="shared" si="18"/>
        <v>7323</v>
      </c>
      <c r="S742" s="1107">
        <f t="shared" si="17"/>
        <v>7323</v>
      </c>
    </row>
    <row r="743" spans="1:19">
      <c r="A743" s="1015">
        <v>584</v>
      </c>
      <c r="B743" s="1015" t="s">
        <v>8759</v>
      </c>
      <c r="C743" s="1103" t="s">
        <v>8760</v>
      </c>
      <c r="D743" s="1015"/>
      <c r="E743" s="1104" t="s">
        <v>7446</v>
      </c>
      <c r="F743" s="1105"/>
      <c r="G743" s="1104">
        <v>82778</v>
      </c>
      <c r="H743" s="1104"/>
      <c r="I743" s="1104"/>
      <c r="J743" s="1104"/>
      <c r="K743" s="1104"/>
      <c r="L743" s="1104">
        <v>64153</v>
      </c>
      <c r="M743" s="1106">
        <v>64153</v>
      </c>
      <c r="N743" s="1159">
        <v>64153</v>
      </c>
      <c r="O743" s="1104">
        <v>64153</v>
      </c>
      <c r="P743" s="1107">
        <f t="shared" si="18"/>
        <v>64153</v>
      </c>
      <c r="Q743" s="1107">
        <f t="shared" si="18"/>
        <v>64153</v>
      </c>
      <c r="R743" s="1107">
        <f t="shared" si="18"/>
        <v>64153</v>
      </c>
      <c r="S743" s="1107">
        <f t="shared" si="17"/>
        <v>64153</v>
      </c>
    </row>
    <row r="744" spans="1:19">
      <c r="A744" s="1015">
        <v>585</v>
      </c>
      <c r="B744" s="1015" t="s">
        <v>8761</v>
      </c>
      <c r="C744" s="1103" t="s">
        <v>8762</v>
      </c>
      <c r="D744" s="1015"/>
      <c r="E744" s="1104" t="s">
        <v>7446</v>
      </c>
      <c r="F744" s="1105"/>
      <c r="G744" s="1104">
        <v>67071</v>
      </c>
      <c r="H744" s="1104"/>
      <c r="I744" s="1104"/>
      <c r="J744" s="1104"/>
      <c r="K744" s="1104"/>
      <c r="L744" s="1104">
        <v>51980</v>
      </c>
      <c r="M744" s="1106">
        <v>51980</v>
      </c>
      <c r="N744" s="1159">
        <v>51980</v>
      </c>
      <c r="O744" s="1104">
        <v>51980</v>
      </c>
      <c r="P744" s="1107">
        <f t="shared" si="18"/>
        <v>51980</v>
      </c>
      <c r="Q744" s="1107">
        <f t="shared" si="18"/>
        <v>51980</v>
      </c>
      <c r="R744" s="1107">
        <f t="shared" si="18"/>
        <v>51980</v>
      </c>
      <c r="S744" s="1107">
        <f t="shared" si="17"/>
        <v>51980</v>
      </c>
    </row>
    <row r="745" spans="1:19">
      <c r="A745" s="1015">
        <v>586</v>
      </c>
      <c r="B745" s="1015" t="s">
        <v>8763</v>
      </c>
      <c r="C745" s="1103" t="s">
        <v>8764</v>
      </c>
      <c r="D745" s="1015"/>
      <c r="E745" s="1104" t="s">
        <v>7446</v>
      </c>
      <c r="F745" s="1105"/>
      <c r="G745" s="1104">
        <v>7911</v>
      </c>
      <c r="H745" s="1104"/>
      <c r="I745" s="1104"/>
      <c r="J745" s="1104"/>
      <c r="K745" s="1104"/>
      <c r="L745" s="1104">
        <v>6922</v>
      </c>
      <c r="M745" s="1106">
        <v>6922</v>
      </c>
      <c r="N745" s="1159">
        <v>6922</v>
      </c>
      <c r="O745" s="1104">
        <v>6922</v>
      </c>
      <c r="P745" s="1107">
        <f t="shared" si="18"/>
        <v>6922</v>
      </c>
      <c r="Q745" s="1107">
        <f t="shared" si="18"/>
        <v>6922</v>
      </c>
      <c r="R745" s="1107">
        <f t="shared" si="18"/>
        <v>6922</v>
      </c>
      <c r="S745" s="1107">
        <f t="shared" si="17"/>
        <v>6922</v>
      </c>
    </row>
    <row r="746" spans="1:19">
      <c r="A746" s="1015">
        <v>587</v>
      </c>
      <c r="B746" s="1015" t="s">
        <v>8765</v>
      </c>
      <c r="C746" s="1103" t="s">
        <v>8766</v>
      </c>
      <c r="D746" s="1015"/>
      <c r="E746" s="1104" t="s">
        <v>7446</v>
      </c>
      <c r="F746" s="1105"/>
      <c r="G746" s="1104">
        <v>83466</v>
      </c>
      <c r="H746" s="1104"/>
      <c r="I746" s="1104"/>
      <c r="J746" s="1104"/>
      <c r="K746" s="1104"/>
      <c r="L746" s="1104">
        <v>64686</v>
      </c>
      <c r="M746" s="1106">
        <v>64686</v>
      </c>
      <c r="N746" s="1159">
        <v>64686</v>
      </c>
      <c r="O746" s="1104">
        <v>64686</v>
      </c>
      <c r="P746" s="1107">
        <f t="shared" si="18"/>
        <v>64686</v>
      </c>
      <c r="Q746" s="1107">
        <f t="shared" si="18"/>
        <v>64686</v>
      </c>
      <c r="R746" s="1107">
        <f t="shared" si="18"/>
        <v>64686</v>
      </c>
      <c r="S746" s="1107">
        <f t="shared" si="17"/>
        <v>64686</v>
      </c>
    </row>
    <row r="747" spans="1:19">
      <c r="A747" s="1015">
        <v>588</v>
      </c>
      <c r="B747" s="1015" t="s">
        <v>8767</v>
      </c>
      <c r="C747" s="1103" t="s">
        <v>8768</v>
      </c>
      <c r="D747" s="1015"/>
      <c r="E747" s="1104" t="s">
        <v>7446</v>
      </c>
      <c r="F747" s="1105"/>
      <c r="G747" s="1104">
        <v>7452</v>
      </c>
      <c r="H747" s="1104"/>
      <c r="I747" s="1104"/>
      <c r="J747" s="1104"/>
      <c r="K747" s="1104"/>
      <c r="L747" s="1104">
        <v>6521</v>
      </c>
      <c r="M747" s="1106">
        <v>6521</v>
      </c>
      <c r="N747" s="1159">
        <v>6521</v>
      </c>
      <c r="O747" s="1104">
        <v>6521</v>
      </c>
      <c r="P747" s="1107">
        <f t="shared" si="18"/>
        <v>6521</v>
      </c>
      <c r="Q747" s="1107">
        <f t="shared" si="18"/>
        <v>6521</v>
      </c>
      <c r="R747" s="1107">
        <f t="shared" si="18"/>
        <v>6521</v>
      </c>
      <c r="S747" s="1107">
        <f t="shared" si="17"/>
        <v>6521</v>
      </c>
    </row>
    <row r="748" spans="1:19">
      <c r="A748" s="1015">
        <v>589</v>
      </c>
      <c r="B748" s="1015" t="s">
        <v>8769</v>
      </c>
      <c r="C748" s="1103" t="s">
        <v>8770</v>
      </c>
      <c r="D748" s="1015"/>
      <c r="E748" s="1104" t="s">
        <v>7446</v>
      </c>
      <c r="F748" s="1105"/>
      <c r="G748" s="1104">
        <v>2364900</v>
      </c>
      <c r="H748" s="1104"/>
      <c r="I748" s="1104"/>
      <c r="J748" s="1104"/>
      <c r="K748" s="1104"/>
      <c r="L748" s="1104">
        <v>1679079</v>
      </c>
      <c r="M748" s="1106">
        <v>1679079</v>
      </c>
      <c r="N748" s="1159">
        <v>1679079</v>
      </c>
      <c r="O748" s="1104">
        <v>1679079</v>
      </c>
      <c r="P748" s="1107">
        <f t="shared" si="18"/>
        <v>1679079</v>
      </c>
      <c r="Q748" s="1107">
        <f t="shared" si="18"/>
        <v>1679079</v>
      </c>
      <c r="R748" s="1107">
        <f t="shared" si="18"/>
        <v>1679079</v>
      </c>
      <c r="S748" s="1107">
        <f t="shared" si="17"/>
        <v>1679079</v>
      </c>
    </row>
    <row r="749" spans="1:19">
      <c r="A749" s="1015">
        <v>590</v>
      </c>
      <c r="B749" s="1015" t="s">
        <v>8771</v>
      </c>
      <c r="C749" s="1103" t="s">
        <v>8772</v>
      </c>
      <c r="D749" s="1015"/>
      <c r="E749" s="1104" t="s">
        <v>7446</v>
      </c>
      <c r="F749" s="1105"/>
      <c r="G749" s="1104">
        <v>1147</v>
      </c>
      <c r="H749" s="1104"/>
      <c r="I749" s="1104"/>
      <c r="J749" s="1104"/>
      <c r="K749" s="1104"/>
      <c r="L749" s="1104">
        <v>3871</v>
      </c>
      <c r="M749" s="1106">
        <v>3871</v>
      </c>
      <c r="N749" s="1159">
        <v>3871</v>
      </c>
      <c r="O749" s="1104">
        <v>3871</v>
      </c>
      <c r="P749" s="1107">
        <f t="shared" si="18"/>
        <v>3871</v>
      </c>
      <c r="Q749" s="1107">
        <f t="shared" si="18"/>
        <v>3871</v>
      </c>
      <c r="R749" s="1107">
        <f t="shared" si="18"/>
        <v>3871</v>
      </c>
      <c r="S749" s="1107">
        <f t="shared" si="17"/>
        <v>3871</v>
      </c>
    </row>
    <row r="750" spans="1:19">
      <c r="A750" s="1015">
        <v>591</v>
      </c>
      <c r="B750" s="1015" t="s">
        <v>8773</v>
      </c>
      <c r="C750" s="1103" t="s">
        <v>8774</v>
      </c>
      <c r="D750" s="1015"/>
      <c r="E750" s="1104" t="s">
        <v>7446</v>
      </c>
      <c r="F750" s="1105"/>
      <c r="G750" s="1104">
        <v>909</v>
      </c>
      <c r="H750" s="1104"/>
      <c r="I750" s="1104"/>
      <c r="J750" s="1104"/>
      <c r="K750" s="1104"/>
      <c r="L750" s="1104">
        <v>3068</v>
      </c>
      <c r="M750" s="1106">
        <v>3068</v>
      </c>
      <c r="N750" s="1159">
        <v>3068</v>
      </c>
      <c r="O750" s="1104">
        <v>3068</v>
      </c>
      <c r="P750" s="1107">
        <f t="shared" si="18"/>
        <v>3068</v>
      </c>
      <c r="Q750" s="1107">
        <f t="shared" si="18"/>
        <v>3068</v>
      </c>
      <c r="R750" s="1107">
        <f t="shared" si="18"/>
        <v>3068</v>
      </c>
      <c r="S750" s="1107">
        <f t="shared" si="17"/>
        <v>3068</v>
      </c>
    </row>
    <row r="751" spans="1:19">
      <c r="A751" s="1015">
        <v>592</v>
      </c>
      <c r="B751" s="1015" t="s">
        <v>8775</v>
      </c>
      <c r="C751" s="1103" t="s">
        <v>8776</v>
      </c>
      <c r="D751" s="1015"/>
      <c r="E751" s="1104" t="s">
        <v>7446</v>
      </c>
      <c r="F751" s="1105"/>
      <c r="G751" s="1104">
        <v>1147</v>
      </c>
      <c r="H751" s="1104"/>
      <c r="I751" s="1104"/>
      <c r="J751" s="1104"/>
      <c r="K751" s="1104"/>
      <c r="L751" s="1104">
        <v>3871</v>
      </c>
      <c r="M751" s="1106">
        <v>3871</v>
      </c>
      <c r="N751" s="1159">
        <v>3871</v>
      </c>
      <c r="O751" s="1104">
        <v>3871</v>
      </c>
      <c r="P751" s="1107">
        <f t="shared" si="18"/>
        <v>3871</v>
      </c>
      <c r="Q751" s="1107">
        <f t="shared" si="18"/>
        <v>3871</v>
      </c>
      <c r="R751" s="1107">
        <f t="shared" si="18"/>
        <v>3871</v>
      </c>
      <c r="S751" s="1107">
        <f t="shared" si="17"/>
        <v>3871</v>
      </c>
    </row>
    <row r="752" spans="1:19">
      <c r="A752" s="1015">
        <v>593</v>
      </c>
      <c r="B752" s="1015" t="s">
        <v>8777</v>
      </c>
      <c r="C752" s="1103" t="s">
        <v>8778</v>
      </c>
      <c r="D752" s="1015"/>
      <c r="E752" s="1104" t="s">
        <v>7446</v>
      </c>
      <c r="F752" s="1105"/>
      <c r="G752" s="1104">
        <v>803</v>
      </c>
      <c r="H752" s="1104"/>
      <c r="I752" s="1104"/>
      <c r="J752" s="1104"/>
      <c r="K752" s="1104"/>
      <c r="L752" s="1104">
        <v>2710</v>
      </c>
      <c r="M752" s="1106">
        <v>2710</v>
      </c>
      <c r="N752" s="1159">
        <v>2710</v>
      </c>
      <c r="O752" s="1104">
        <v>2710</v>
      </c>
      <c r="P752" s="1107">
        <f t="shared" si="18"/>
        <v>2710</v>
      </c>
      <c r="Q752" s="1107">
        <f t="shared" si="18"/>
        <v>2710</v>
      </c>
      <c r="R752" s="1107">
        <f t="shared" si="18"/>
        <v>2710</v>
      </c>
      <c r="S752" s="1107">
        <f t="shared" si="17"/>
        <v>2710</v>
      </c>
    </row>
    <row r="753" spans="1:19">
      <c r="A753" s="1015">
        <v>594</v>
      </c>
      <c r="B753" s="1015" t="s">
        <v>8779</v>
      </c>
      <c r="C753" s="1103" t="s">
        <v>8780</v>
      </c>
      <c r="D753" s="1015"/>
      <c r="E753" s="1104" t="s">
        <v>7446</v>
      </c>
      <c r="F753" s="1105"/>
      <c r="G753" s="1104">
        <v>25223</v>
      </c>
      <c r="H753" s="1104"/>
      <c r="I753" s="1104"/>
      <c r="J753" s="1104"/>
      <c r="K753" s="1104"/>
      <c r="L753" s="1104">
        <v>19169</v>
      </c>
      <c r="M753" s="1106">
        <v>19169</v>
      </c>
      <c r="N753" s="1159">
        <v>19169</v>
      </c>
      <c r="O753" s="1104">
        <v>19169</v>
      </c>
      <c r="P753" s="1107">
        <f t="shared" si="18"/>
        <v>19169</v>
      </c>
      <c r="Q753" s="1107">
        <f t="shared" si="18"/>
        <v>19169</v>
      </c>
      <c r="R753" s="1107">
        <f t="shared" si="18"/>
        <v>19169</v>
      </c>
      <c r="S753" s="1107">
        <f t="shared" si="17"/>
        <v>19169</v>
      </c>
    </row>
    <row r="754" spans="1:19">
      <c r="A754" s="1015">
        <v>595</v>
      </c>
      <c r="B754" s="1015" t="s">
        <v>8781</v>
      </c>
      <c r="C754" s="1103" t="s">
        <v>8782</v>
      </c>
      <c r="D754" s="1015"/>
      <c r="E754" s="1104" t="s">
        <v>7446</v>
      </c>
      <c r="F754" s="1105"/>
      <c r="G754" s="1104">
        <v>9057</v>
      </c>
      <c r="H754" s="1104"/>
      <c r="I754" s="1104"/>
      <c r="J754" s="1104"/>
      <c r="K754" s="1104"/>
      <c r="L754" s="1104">
        <v>7155</v>
      </c>
      <c r="M754" s="1106">
        <v>7155</v>
      </c>
      <c r="N754" s="1159">
        <v>7155</v>
      </c>
      <c r="O754" s="1104">
        <v>7155</v>
      </c>
      <c r="P754" s="1107">
        <f t="shared" si="18"/>
        <v>7155</v>
      </c>
      <c r="Q754" s="1107">
        <f t="shared" si="18"/>
        <v>7155</v>
      </c>
      <c r="R754" s="1107">
        <f t="shared" si="18"/>
        <v>7155</v>
      </c>
      <c r="S754" s="1107">
        <f t="shared" si="17"/>
        <v>7155</v>
      </c>
    </row>
    <row r="755" spans="1:19">
      <c r="A755" s="1015">
        <v>596</v>
      </c>
      <c r="B755" s="1015" t="s">
        <v>8783</v>
      </c>
      <c r="C755" s="1103" t="s">
        <v>8784</v>
      </c>
      <c r="D755" s="1015"/>
      <c r="E755" s="1104" t="s">
        <v>7446</v>
      </c>
      <c r="F755" s="1105"/>
      <c r="G755" s="1104">
        <v>42306</v>
      </c>
      <c r="H755" s="1104"/>
      <c r="I755" s="1104"/>
      <c r="J755" s="1104"/>
      <c r="K755" s="1104"/>
      <c r="L755" s="1104">
        <v>33845</v>
      </c>
      <c r="M755" s="1106">
        <v>33845</v>
      </c>
      <c r="N755" s="1159">
        <v>33845</v>
      </c>
      <c r="O755" s="1104">
        <v>33845</v>
      </c>
      <c r="P755" s="1107">
        <f t="shared" si="18"/>
        <v>33845</v>
      </c>
      <c r="Q755" s="1107">
        <f t="shared" si="18"/>
        <v>33845</v>
      </c>
      <c r="R755" s="1107">
        <f t="shared" si="18"/>
        <v>33845</v>
      </c>
      <c r="S755" s="1107">
        <f t="shared" si="17"/>
        <v>33845</v>
      </c>
    </row>
    <row r="756" spans="1:19">
      <c r="A756" s="1015">
        <v>597</v>
      </c>
      <c r="B756" s="1015" t="s">
        <v>8785</v>
      </c>
      <c r="C756" s="1103" t="s">
        <v>8786</v>
      </c>
      <c r="D756" s="1015"/>
      <c r="E756" s="1104" t="s">
        <v>7446</v>
      </c>
      <c r="F756" s="1105"/>
      <c r="G756" s="1104">
        <v>67071</v>
      </c>
      <c r="H756" s="1104"/>
      <c r="I756" s="1104"/>
      <c r="J756" s="1104"/>
      <c r="K756" s="1104"/>
      <c r="L756" s="1104">
        <v>51980</v>
      </c>
      <c r="M756" s="1106">
        <v>51980</v>
      </c>
      <c r="N756" s="1159">
        <v>51980</v>
      </c>
      <c r="O756" s="1104">
        <v>51980</v>
      </c>
      <c r="P756" s="1107">
        <f t="shared" si="18"/>
        <v>51980</v>
      </c>
      <c r="Q756" s="1107">
        <f t="shared" si="18"/>
        <v>51980</v>
      </c>
      <c r="R756" s="1107">
        <f t="shared" si="18"/>
        <v>51980</v>
      </c>
      <c r="S756" s="1107">
        <f t="shared" si="17"/>
        <v>51980</v>
      </c>
    </row>
    <row r="757" spans="1:19">
      <c r="A757" s="1015">
        <v>598</v>
      </c>
      <c r="B757" s="1015" t="s">
        <v>8787</v>
      </c>
      <c r="C757" s="1103" t="s">
        <v>8788</v>
      </c>
      <c r="D757" s="1015"/>
      <c r="E757" s="1104" t="s">
        <v>7446</v>
      </c>
      <c r="F757" s="1105"/>
      <c r="G757" s="1104">
        <v>153517</v>
      </c>
      <c r="H757" s="1104"/>
      <c r="I757" s="1104"/>
      <c r="J757" s="1104"/>
      <c r="K757" s="1104"/>
      <c r="L757" s="1104">
        <v>116673</v>
      </c>
      <c r="M757" s="1106">
        <v>116673</v>
      </c>
      <c r="N757" s="1159">
        <v>116673</v>
      </c>
      <c r="O757" s="1104">
        <v>116673</v>
      </c>
      <c r="P757" s="1107">
        <f t="shared" si="18"/>
        <v>116673</v>
      </c>
      <c r="Q757" s="1107">
        <f t="shared" si="18"/>
        <v>116673</v>
      </c>
      <c r="R757" s="1107">
        <f t="shared" si="18"/>
        <v>116673</v>
      </c>
      <c r="S757" s="1107">
        <f t="shared" si="17"/>
        <v>116673</v>
      </c>
    </row>
    <row r="758" spans="1:19">
      <c r="A758" s="1015">
        <v>599</v>
      </c>
      <c r="B758" s="1015" t="s">
        <v>8789</v>
      </c>
      <c r="C758" s="1103" t="s">
        <v>8790</v>
      </c>
      <c r="D758" s="1015"/>
      <c r="E758" s="1104" t="s">
        <v>7446</v>
      </c>
      <c r="F758" s="1105"/>
      <c r="G758" s="1104">
        <v>64204</v>
      </c>
      <c r="H758" s="1104"/>
      <c r="I758" s="1104"/>
      <c r="J758" s="1104"/>
      <c r="K758" s="1104"/>
      <c r="L758" s="1104">
        <v>49758</v>
      </c>
      <c r="M758" s="1106">
        <v>49758</v>
      </c>
      <c r="N758" s="1159">
        <v>49758</v>
      </c>
      <c r="O758" s="1104">
        <v>49758</v>
      </c>
      <c r="P758" s="1107">
        <f t="shared" si="18"/>
        <v>49758</v>
      </c>
      <c r="Q758" s="1107">
        <f t="shared" si="18"/>
        <v>49758</v>
      </c>
      <c r="R758" s="1107">
        <f t="shared" si="18"/>
        <v>49758</v>
      </c>
      <c r="S758" s="1107">
        <f t="shared" si="17"/>
        <v>49758</v>
      </c>
    </row>
    <row r="759" spans="1:19">
      <c r="A759" s="1015">
        <v>600</v>
      </c>
      <c r="B759" s="1015" t="s">
        <v>8791</v>
      </c>
      <c r="C759" s="1103" t="s">
        <v>8792</v>
      </c>
      <c r="D759" s="1015"/>
      <c r="E759" s="1104" t="s">
        <v>7446</v>
      </c>
      <c r="F759" s="1105"/>
      <c r="G759" s="1104">
        <v>8599</v>
      </c>
      <c r="H759" s="1104"/>
      <c r="I759" s="1104"/>
      <c r="J759" s="1104"/>
      <c r="K759" s="1104"/>
      <c r="L759" s="1104">
        <v>7524</v>
      </c>
      <c r="M759" s="1106">
        <v>7524</v>
      </c>
      <c r="N759" s="1159">
        <v>7524</v>
      </c>
      <c r="O759" s="1104">
        <v>7524</v>
      </c>
      <c r="P759" s="1107">
        <f t="shared" si="18"/>
        <v>7524</v>
      </c>
      <c r="Q759" s="1107">
        <f t="shared" si="18"/>
        <v>7524</v>
      </c>
      <c r="R759" s="1107">
        <f t="shared" si="18"/>
        <v>7524</v>
      </c>
      <c r="S759" s="1107">
        <f t="shared" si="17"/>
        <v>7524</v>
      </c>
    </row>
    <row r="760" spans="1:19">
      <c r="A760" s="1015">
        <v>601</v>
      </c>
      <c r="B760" s="1015" t="s">
        <v>8793</v>
      </c>
      <c r="C760" s="1103" t="s">
        <v>8794</v>
      </c>
      <c r="D760" s="1015"/>
      <c r="E760" s="1104" t="s">
        <v>7446</v>
      </c>
      <c r="F760" s="1105"/>
      <c r="G760" s="1104">
        <v>1200</v>
      </c>
      <c r="H760" s="1104"/>
      <c r="I760" s="1104"/>
      <c r="J760" s="1104"/>
      <c r="K760" s="1104"/>
      <c r="L760" s="1104">
        <v>1050</v>
      </c>
      <c r="M760" s="1106">
        <v>1050</v>
      </c>
      <c r="N760" s="1159">
        <v>1050</v>
      </c>
      <c r="O760" s="1104">
        <v>1050</v>
      </c>
      <c r="P760" s="1107">
        <f t="shared" si="18"/>
        <v>1050</v>
      </c>
      <c r="Q760" s="1107">
        <f t="shared" si="18"/>
        <v>1050</v>
      </c>
      <c r="R760" s="1107">
        <f t="shared" si="18"/>
        <v>1050</v>
      </c>
      <c r="S760" s="1107">
        <f t="shared" si="17"/>
        <v>1050</v>
      </c>
    </row>
    <row r="761" spans="1:19">
      <c r="A761" s="1015">
        <v>602</v>
      </c>
      <c r="B761" s="1015" t="s">
        <v>8795</v>
      </c>
      <c r="C761" s="1103" t="s">
        <v>8796</v>
      </c>
      <c r="D761" s="1015"/>
      <c r="E761" s="1104" t="s">
        <v>7446</v>
      </c>
      <c r="F761" s="1105"/>
      <c r="G761" s="1104">
        <v>500</v>
      </c>
      <c r="H761" s="1104"/>
      <c r="I761" s="1104"/>
      <c r="J761" s="1104"/>
      <c r="K761" s="1104"/>
      <c r="L761" s="1104">
        <v>438</v>
      </c>
      <c r="M761" s="1106">
        <v>438</v>
      </c>
      <c r="N761" s="1159">
        <v>438</v>
      </c>
      <c r="O761" s="1104">
        <v>438</v>
      </c>
      <c r="P761" s="1107">
        <f t="shared" si="18"/>
        <v>438</v>
      </c>
      <c r="Q761" s="1107">
        <f t="shared" si="18"/>
        <v>438</v>
      </c>
      <c r="R761" s="1107">
        <f t="shared" si="18"/>
        <v>438</v>
      </c>
      <c r="S761" s="1107">
        <f t="shared" si="17"/>
        <v>438</v>
      </c>
    </row>
    <row r="762" spans="1:19">
      <c r="A762" s="1015">
        <v>603</v>
      </c>
      <c r="B762" s="1015" t="s">
        <v>8797</v>
      </c>
      <c r="C762" s="1103" t="s">
        <v>8798</v>
      </c>
      <c r="D762" s="1015"/>
      <c r="E762" s="1104" t="s">
        <v>7446</v>
      </c>
      <c r="F762" s="1105"/>
      <c r="G762" s="1104">
        <v>22000</v>
      </c>
      <c r="H762" s="1104"/>
      <c r="I762" s="1104"/>
      <c r="J762" s="1104"/>
      <c r="K762" s="1104"/>
      <c r="L762" s="1104">
        <v>19250</v>
      </c>
      <c r="M762" s="1106">
        <v>19250</v>
      </c>
      <c r="N762" s="1159">
        <v>19250</v>
      </c>
      <c r="O762" s="1104">
        <v>19250</v>
      </c>
      <c r="P762" s="1107">
        <f t="shared" si="18"/>
        <v>19250</v>
      </c>
      <c r="Q762" s="1107">
        <f t="shared" si="18"/>
        <v>19250</v>
      </c>
      <c r="R762" s="1107">
        <f t="shared" si="18"/>
        <v>19250</v>
      </c>
      <c r="S762" s="1107">
        <f t="shared" si="17"/>
        <v>19250</v>
      </c>
    </row>
    <row r="763" spans="1:19">
      <c r="A763" s="1015">
        <v>604</v>
      </c>
      <c r="B763" s="1015" t="s">
        <v>8799</v>
      </c>
      <c r="C763" s="1103" t="s">
        <v>8800</v>
      </c>
      <c r="D763" s="1015"/>
      <c r="E763" s="1104" t="s">
        <v>7446</v>
      </c>
      <c r="F763" s="1105"/>
      <c r="G763" s="1104">
        <v>16360</v>
      </c>
      <c r="H763" s="1104"/>
      <c r="I763" s="1104"/>
      <c r="J763" s="1104"/>
      <c r="K763" s="1104"/>
      <c r="L763" s="1104">
        <v>14315</v>
      </c>
      <c r="M763" s="1106">
        <v>14315</v>
      </c>
      <c r="N763" s="1159">
        <v>14315</v>
      </c>
      <c r="O763" s="1104">
        <v>14315</v>
      </c>
      <c r="P763" s="1107">
        <f t="shared" si="18"/>
        <v>14315</v>
      </c>
      <c r="Q763" s="1107">
        <f t="shared" si="18"/>
        <v>14315</v>
      </c>
      <c r="R763" s="1107">
        <f t="shared" si="18"/>
        <v>14315</v>
      </c>
      <c r="S763" s="1107">
        <f t="shared" si="17"/>
        <v>14315</v>
      </c>
    </row>
    <row r="764" spans="1:19">
      <c r="A764" s="1015">
        <v>605</v>
      </c>
      <c r="B764" s="1015" t="s">
        <v>8801</v>
      </c>
      <c r="C764" s="1103" t="s">
        <v>8802</v>
      </c>
      <c r="D764" s="1015"/>
      <c r="E764" s="1104" t="s">
        <v>7446</v>
      </c>
      <c r="F764" s="1105"/>
      <c r="G764" s="1104">
        <v>200</v>
      </c>
      <c r="H764" s="1104"/>
      <c r="I764" s="1104"/>
      <c r="J764" s="1104"/>
      <c r="K764" s="1104"/>
      <c r="L764" s="1104">
        <v>162</v>
      </c>
      <c r="M764" s="1106">
        <v>162</v>
      </c>
      <c r="N764" s="1159">
        <v>162</v>
      </c>
      <c r="O764" s="1104">
        <v>162</v>
      </c>
      <c r="P764" s="1107">
        <f t="shared" si="18"/>
        <v>162</v>
      </c>
      <c r="Q764" s="1107">
        <f t="shared" si="18"/>
        <v>162</v>
      </c>
      <c r="R764" s="1107">
        <f t="shared" si="18"/>
        <v>162</v>
      </c>
      <c r="S764" s="1107">
        <f t="shared" si="17"/>
        <v>162</v>
      </c>
    </row>
    <row r="765" spans="1:19">
      <c r="A765" s="1015">
        <v>606</v>
      </c>
      <c r="B765" s="1015" t="s">
        <v>8803</v>
      </c>
      <c r="C765" s="1103" t="s">
        <v>8804</v>
      </c>
      <c r="D765" s="1015"/>
      <c r="E765" s="1104" t="s">
        <v>7446</v>
      </c>
      <c r="F765" s="1105"/>
      <c r="G765" s="1104">
        <v>1200</v>
      </c>
      <c r="H765" s="1104"/>
      <c r="I765" s="1104"/>
      <c r="J765" s="1104"/>
      <c r="K765" s="1104"/>
      <c r="L765" s="1104">
        <v>972</v>
      </c>
      <c r="M765" s="1106">
        <v>972</v>
      </c>
      <c r="N765" s="1159">
        <v>972</v>
      </c>
      <c r="O765" s="1104">
        <v>972</v>
      </c>
      <c r="P765" s="1107">
        <f t="shared" si="18"/>
        <v>972</v>
      </c>
      <c r="Q765" s="1107">
        <f t="shared" si="18"/>
        <v>972</v>
      </c>
      <c r="R765" s="1107">
        <f t="shared" si="18"/>
        <v>972</v>
      </c>
      <c r="S765" s="1107">
        <f t="shared" si="17"/>
        <v>972</v>
      </c>
    </row>
    <row r="766" spans="1:19">
      <c r="A766" s="1015">
        <v>607</v>
      </c>
      <c r="B766" s="1015" t="s">
        <v>8805</v>
      </c>
      <c r="C766" s="1103" t="s">
        <v>8806</v>
      </c>
      <c r="D766" s="1015"/>
      <c r="E766" s="1104" t="s">
        <v>7446</v>
      </c>
      <c r="F766" s="1105"/>
      <c r="G766" s="1104">
        <v>2800</v>
      </c>
      <c r="H766" s="1104"/>
      <c r="I766" s="1104"/>
      <c r="J766" s="1104"/>
      <c r="K766" s="1104"/>
      <c r="L766" s="1104">
        <v>2268</v>
      </c>
      <c r="M766" s="1106">
        <v>2268</v>
      </c>
      <c r="N766" s="1159">
        <v>2268</v>
      </c>
      <c r="O766" s="1104">
        <v>2268</v>
      </c>
      <c r="P766" s="1107">
        <f t="shared" si="18"/>
        <v>2268</v>
      </c>
      <c r="Q766" s="1107">
        <f t="shared" si="18"/>
        <v>2268</v>
      </c>
      <c r="R766" s="1107">
        <f t="shared" si="18"/>
        <v>2268</v>
      </c>
      <c r="S766" s="1107">
        <f t="shared" si="17"/>
        <v>2268</v>
      </c>
    </row>
    <row r="767" spans="1:19">
      <c r="A767" s="1015">
        <v>608</v>
      </c>
      <c r="B767" s="1015" t="s">
        <v>8807</v>
      </c>
      <c r="C767" s="1103" t="s">
        <v>8808</v>
      </c>
      <c r="D767" s="1015"/>
      <c r="E767" s="1104" t="s">
        <v>7446</v>
      </c>
      <c r="F767" s="1105"/>
      <c r="G767" s="1104">
        <v>1800</v>
      </c>
      <c r="H767" s="1104"/>
      <c r="I767" s="1104"/>
      <c r="J767" s="1104"/>
      <c r="K767" s="1104"/>
      <c r="L767" s="1104">
        <v>1458</v>
      </c>
      <c r="M767" s="1106">
        <v>1458</v>
      </c>
      <c r="N767" s="1159">
        <v>1458</v>
      </c>
      <c r="O767" s="1104">
        <v>1458</v>
      </c>
      <c r="P767" s="1107">
        <f t="shared" si="18"/>
        <v>1458</v>
      </c>
      <c r="Q767" s="1107">
        <f t="shared" si="18"/>
        <v>1458</v>
      </c>
      <c r="R767" s="1107">
        <f t="shared" si="18"/>
        <v>1458</v>
      </c>
      <c r="S767" s="1107">
        <f t="shared" si="17"/>
        <v>1458</v>
      </c>
    </row>
    <row r="768" spans="1:19">
      <c r="A768" s="1015">
        <v>609</v>
      </c>
      <c r="B768" s="1015" t="s">
        <v>8809</v>
      </c>
      <c r="C768" s="1103" t="s">
        <v>8810</v>
      </c>
      <c r="D768" s="1015"/>
      <c r="E768" s="1104" t="s">
        <v>7446</v>
      </c>
      <c r="F768" s="1105"/>
      <c r="G768" s="1104">
        <v>1500</v>
      </c>
      <c r="H768" s="1104"/>
      <c r="I768" s="1104"/>
      <c r="J768" s="1104"/>
      <c r="K768" s="1104"/>
      <c r="L768" s="1104">
        <v>1215</v>
      </c>
      <c r="M768" s="1106">
        <v>1215</v>
      </c>
      <c r="N768" s="1159">
        <v>1215</v>
      </c>
      <c r="O768" s="1104">
        <v>1215</v>
      </c>
      <c r="P768" s="1107">
        <f t="shared" si="18"/>
        <v>1215</v>
      </c>
      <c r="Q768" s="1107">
        <f t="shared" si="18"/>
        <v>1215</v>
      </c>
      <c r="R768" s="1107">
        <f t="shared" si="18"/>
        <v>1215</v>
      </c>
      <c r="S768" s="1107">
        <f t="shared" si="17"/>
        <v>1215</v>
      </c>
    </row>
    <row r="769" spans="1:19">
      <c r="A769" s="1015">
        <v>610</v>
      </c>
      <c r="B769" s="1015" t="s">
        <v>8811</v>
      </c>
      <c r="C769" s="1103" t="s">
        <v>8812</v>
      </c>
      <c r="D769" s="1015"/>
      <c r="E769" s="1104" t="s">
        <v>7446</v>
      </c>
      <c r="F769" s="1105"/>
      <c r="G769" s="1104">
        <v>1200</v>
      </c>
      <c r="H769" s="1104"/>
      <c r="I769" s="1104"/>
      <c r="J769" s="1104"/>
      <c r="K769" s="1104"/>
      <c r="L769" s="1104">
        <v>1230</v>
      </c>
      <c r="M769" s="1106">
        <v>1230</v>
      </c>
      <c r="N769" s="1159">
        <v>1230</v>
      </c>
      <c r="O769" s="1104">
        <v>1230</v>
      </c>
      <c r="P769" s="1107">
        <f t="shared" si="18"/>
        <v>1230</v>
      </c>
      <c r="Q769" s="1107">
        <f t="shared" si="18"/>
        <v>1230</v>
      </c>
      <c r="R769" s="1107">
        <f t="shared" si="18"/>
        <v>1230</v>
      </c>
      <c r="S769" s="1107">
        <f t="shared" si="17"/>
        <v>1230</v>
      </c>
    </row>
    <row r="770" spans="1:19">
      <c r="A770" s="1015">
        <v>611</v>
      </c>
      <c r="B770" s="1015" t="s">
        <v>8813</v>
      </c>
      <c r="C770" s="1103" t="s">
        <v>8814</v>
      </c>
      <c r="D770" s="1015"/>
      <c r="E770" s="1104" t="s">
        <v>7446</v>
      </c>
      <c r="F770" s="1105"/>
      <c r="G770" s="1104">
        <v>5000</v>
      </c>
      <c r="H770" s="1104"/>
      <c r="I770" s="1104"/>
      <c r="J770" s="1104"/>
      <c r="K770" s="1104"/>
      <c r="L770" s="1104">
        <v>5125</v>
      </c>
      <c r="M770" s="1106">
        <v>5125</v>
      </c>
      <c r="N770" s="1159">
        <v>5125</v>
      </c>
      <c r="O770" s="1104">
        <v>5125</v>
      </c>
      <c r="P770" s="1107">
        <f t="shared" si="18"/>
        <v>5125</v>
      </c>
      <c r="Q770" s="1107">
        <f t="shared" si="18"/>
        <v>5125</v>
      </c>
      <c r="R770" s="1107">
        <f t="shared" si="18"/>
        <v>5125</v>
      </c>
      <c r="S770" s="1107">
        <f t="shared" si="17"/>
        <v>5125</v>
      </c>
    </row>
    <row r="771" spans="1:19">
      <c r="A771" s="1015">
        <v>612</v>
      </c>
      <c r="B771" s="1015" t="s">
        <v>8815</v>
      </c>
      <c r="C771" s="1103" t="s">
        <v>8816</v>
      </c>
      <c r="D771" s="1015"/>
      <c r="E771" s="1104" t="s">
        <v>7446</v>
      </c>
      <c r="F771" s="1105"/>
      <c r="G771" s="1104">
        <v>2500</v>
      </c>
      <c r="H771" s="1104"/>
      <c r="I771" s="1104"/>
      <c r="J771" s="1104"/>
      <c r="K771" s="1104"/>
      <c r="L771" s="1104">
        <v>2563</v>
      </c>
      <c r="M771" s="1106">
        <v>2563</v>
      </c>
      <c r="N771" s="1159">
        <v>2563</v>
      </c>
      <c r="O771" s="1104">
        <v>2563</v>
      </c>
      <c r="P771" s="1107">
        <f t="shared" si="18"/>
        <v>2563</v>
      </c>
      <c r="Q771" s="1107">
        <f t="shared" si="18"/>
        <v>2563</v>
      </c>
      <c r="R771" s="1107">
        <f t="shared" si="18"/>
        <v>2563</v>
      </c>
      <c r="S771" s="1107">
        <f t="shared" si="17"/>
        <v>2563</v>
      </c>
    </row>
    <row r="772" spans="1:19">
      <c r="A772" s="1015">
        <v>613</v>
      </c>
      <c r="B772" s="1015" t="s">
        <v>8817</v>
      </c>
      <c r="C772" s="1103" t="s">
        <v>8818</v>
      </c>
      <c r="D772" s="1015"/>
      <c r="E772" s="1104" t="s">
        <v>7446</v>
      </c>
      <c r="F772" s="1105"/>
      <c r="G772" s="1104">
        <v>500</v>
      </c>
      <c r="H772" s="1104"/>
      <c r="I772" s="1104"/>
      <c r="J772" s="1104"/>
      <c r="K772" s="1104"/>
      <c r="L772" s="1104">
        <v>513</v>
      </c>
      <c r="M772" s="1106">
        <v>513</v>
      </c>
      <c r="N772" s="1159">
        <v>513</v>
      </c>
      <c r="O772" s="1104">
        <v>513</v>
      </c>
      <c r="P772" s="1107">
        <f t="shared" si="18"/>
        <v>513</v>
      </c>
      <c r="Q772" s="1107">
        <f t="shared" si="18"/>
        <v>513</v>
      </c>
      <c r="R772" s="1107">
        <f t="shared" si="18"/>
        <v>513</v>
      </c>
      <c r="S772" s="1107">
        <f t="shared" si="17"/>
        <v>513</v>
      </c>
    </row>
    <row r="773" spans="1:19">
      <c r="A773" s="1015">
        <v>614</v>
      </c>
      <c r="B773" s="1015" t="s">
        <v>8819</v>
      </c>
      <c r="C773" s="1103" t="s">
        <v>8820</v>
      </c>
      <c r="D773" s="1015"/>
      <c r="E773" s="1104" t="s">
        <v>7446</v>
      </c>
      <c r="F773" s="1105"/>
      <c r="G773" s="1104">
        <v>1900</v>
      </c>
      <c r="H773" s="1104"/>
      <c r="I773" s="1104"/>
      <c r="J773" s="1104"/>
      <c r="K773" s="1104"/>
      <c r="L773" s="1104">
        <v>1948</v>
      </c>
      <c r="M773" s="1106">
        <v>1948</v>
      </c>
      <c r="N773" s="1159">
        <v>1948</v>
      </c>
      <c r="O773" s="1104">
        <v>1948</v>
      </c>
      <c r="P773" s="1107">
        <f t="shared" si="18"/>
        <v>1948</v>
      </c>
      <c r="Q773" s="1107">
        <f t="shared" si="18"/>
        <v>1948</v>
      </c>
      <c r="R773" s="1107">
        <f t="shared" si="18"/>
        <v>1948</v>
      </c>
      <c r="S773" s="1107">
        <f t="shared" si="17"/>
        <v>1948</v>
      </c>
    </row>
    <row r="774" spans="1:19">
      <c r="A774" s="1015">
        <v>615</v>
      </c>
      <c r="B774" s="1015" t="s">
        <v>8821</v>
      </c>
      <c r="C774" s="1103" t="s">
        <v>8822</v>
      </c>
      <c r="D774" s="1015"/>
      <c r="E774" s="1104" t="s">
        <v>7446</v>
      </c>
      <c r="F774" s="1105"/>
      <c r="G774" s="1104">
        <v>90000</v>
      </c>
      <c r="H774" s="1104"/>
      <c r="I774" s="1104"/>
      <c r="J774" s="1104"/>
      <c r="K774" s="1104"/>
      <c r="L774" s="1104">
        <v>87750</v>
      </c>
      <c r="M774" s="1106">
        <v>87750</v>
      </c>
      <c r="N774" s="1159">
        <v>87750</v>
      </c>
      <c r="O774" s="1104">
        <v>87750</v>
      </c>
      <c r="P774" s="1107">
        <f t="shared" si="18"/>
        <v>87750</v>
      </c>
      <c r="Q774" s="1107">
        <f t="shared" si="18"/>
        <v>87750</v>
      </c>
      <c r="R774" s="1107">
        <f t="shared" si="18"/>
        <v>87750</v>
      </c>
      <c r="S774" s="1107">
        <f t="shared" si="17"/>
        <v>87750</v>
      </c>
    </row>
    <row r="775" spans="1:19">
      <c r="A775" s="1015">
        <v>616</v>
      </c>
      <c r="B775" s="1015" t="s">
        <v>8823</v>
      </c>
      <c r="C775" s="1103" t="s">
        <v>8824</v>
      </c>
      <c r="D775" s="1015"/>
      <c r="E775" s="1104" t="s">
        <v>7446</v>
      </c>
      <c r="F775" s="1105"/>
      <c r="G775" s="1104">
        <v>80000</v>
      </c>
      <c r="H775" s="1104"/>
      <c r="I775" s="1104"/>
      <c r="J775" s="1104"/>
      <c r="K775" s="1104"/>
      <c r="L775" s="1106">
        <v>78000</v>
      </c>
      <c r="M775" s="1106">
        <v>78000</v>
      </c>
      <c r="N775" s="1159">
        <v>78000</v>
      </c>
      <c r="O775" s="1104">
        <v>78000</v>
      </c>
      <c r="P775" s="1107">
        <f t="shared" si="18"/>
        <v>78000</v>
      </c>
      <c r="Q775" s="1107">
        <f t="shared" si="18"/>
        <v>78000</v>
      </c>
      <c r="R775" s="1107">
        <f t="shared" si="18"/>
        <v>78000</v>
      </c>
      <c r="S775" s="1107">
        <f t="shared" si="17"/>
        <v>78000</v>
      </c>
    </row>
    <row r="776" spans="1:19">
      <c r="A776" s="1015">
        <v>617</v>
      </c>
      <c r="B776" s="1015" t="s">
        <v>8825</v>
      </c>
      <c r="C776" s="1103" t="s">
        <v>8826</v>
      </c>
      <c r="D776" s="1015"/>
      <c r="E776" s="1104" t="s">
        <v>7446</v>
      </c>
      <c r="F776" s="1105"/>
      <c r="G776" s="1104">
        <v>1500</v>
      </c>
      <c r="H776" s="1104"/>
      <c r="I776" s="1104"/>
      <c r="J776" s="1104"/>
      <c r="K776" s="1104"/>
      <c r="L776" s="1104">
        <v>1538</v>
      </c>
      <c r="M776" s="1106">
        <v>1538</v>
      </c>
      <c r="N776" s="1159">
        <v>1538</v>
      </c>
      <c r="O776" s="1104">
        <v>1538</v>
      </c>
      <c r="P776" s="1107">
        <f t="shared" si="18"/>
        <v>1538</v>
      </c>
      <c r="Q776" s="1107">
        <f t="shared" si="18"/>
        <v>1538</v>
      </c>
      <c r="R776" s="1107">
        <f t="shared" si="18"/>
        <v>1538</v>
      </c>
      <c r="S776" s="1107">
        <f t="shared" si="17"/>
        <v>1538</v>
      </c>
    </row>
    <row r="777" spans="1:19">
      <c r="A777" s="1015">
        <v>618</v>
      </c>
      <c r="B777" s="1015" t="s">
        <v>8827</v>
      </c>
      <c r="C777" s="1103" t="s">
        <v>8828</v>
      </c>
      <c r="D777" s="1015"/>
      <c r="E777" s="1104" t="s">
        <v>7446</v>
      </c>
      <c r="F777" s="1105"/>
      <c r="G777" s="1104">
        <v>440</v>
      </c>
      <c r="H777" s="1104"/>
      <c r="I777" s="1104"/>
      <c r="J777" s="1104"/>
      <c r="K777" s="1104"/>
      <c r="L777" s="1104">
        <v>451</v>
      </c>
      <c r="M777" s="1106">
        <v>451</v>
      </c>
      <c r="N777" s="1159">
        <v>451</v>
      </c>
      <c r="O777" s="1104">
        <v>451</v>
      </c>
      <c r="P777" s="1107">
        <f t="shared" si="18"/>
        <v>451</v>
      </c>
      <c r="Q777" s="1107">
        <f t="shared" si="18"/>
        <v>451</v>
      </c>
      <c r="R777" s="1107">
        <f t="shared" si="18"/>
        <v>451</v>
      </c>
      <c r="S777" s="1107">
        <f t="shared" si="18"/>
        <v>451</v>
      </c>
    </row>
    <row r="778" spans="1:19">
      <c r="A778" s="1015">
        <v>619</v>
      </c>
      <c r="B778" s="1015" t="s">
        <v>8829</v>
      </c>
      <c r="C778" s="1103" t="s">
        <v>8830</v>
      </c>
      <c r="D778" s="1015"/>
      <c r="E778" s="1104" t="s">
        <v>7446</v>
      </c>
      <c r="F778" s="1105"/>
      <c r="G778" s="1104">
        <v>20455</v>
      </c>
      <c r="H778" s="1104"/>
      <c r="I778" s="1104"/>
      <c r="J778" s="1104"/>
      <c r="K778" s="1104"/>
      <c r="L778" s="1104">
        <v>16569</v>
      </c>
      <c r="M778" s="1106">
        <v>16569</v>
      </c>
      <c r="N778" s="1159">
        <v>16569</v>
      </c>
      <c r="O778" s="1104">
        <v>16569</v>
      </c>
      <c r="P778" s="1107">
        <f t="shared" ref="P778:S841" si="19">H778+L778</f>
        <v>16569</v>
      </c>
      <c r="Q778" s="1107">
        <f t="shared" si="19"/>
        <v>16569</v>
      </c>
      <c r="R778" s="1107">
        <f t="shared" si="19"/>
        <v>16569</v>
      </c>
      <c r="S778" s="1107">
        <f t="shared" si="19"/>
        <v>16569</v>
      </c>
    </row>
    <row r="779" spans="1:19">
      <c r="A779" s="1015">
        <v>620</v>
      </c>
      <c r="B779" s="1015" t="s">
        <v>8831</v>
      </c>
      <c r="C779" s="1103" t="s">
        <v>8832</v>
      </c>
      <c r="D779" s="1015"/>
      <c r="E779" s="1104" t="s">
        <v>7446</v>
      </c>
      <c r="F779" s="1105"/>
      <c r="G779" s="1104">
        <v>124150</v>
      </c>
      <c r="H779" s="1104"/>
      <c r="I779" s="1104"/>
      <c r="J779" s="1104"/>
      <c r="K779" s="1104"/>
      <c r="L779" s="1104">
        <v>94354</v>
      </c>
      <c r="M779" s="1106">
        <v>94354</v>
      </c>
      <c r="N779" s="1159">
        <v>94354</v>
      </c>
      <c r="O779" s="1104">
        <v>94354</v>
      </c>
      <c r="P779" s="1107">
        <f t="shared" si="19"/>
        <v>94354</v>
      </c>
      <c r="Q779" s="1107">
        <f t="shared" si="19"/>
        <v>94354</v>
      </c>
      <c r="R779" s="1107">
        <f t="shared" si="19"/>
        <v>94354</v>
      </c>
      <c r="S779" s="1107">
        <f t="shared" si="19"/>
        <v>94354</v>
      </c>
    </row>
    <row r="780" spans="1:19">
      <c r="A780" s="1015">
        <v>621</v>
      </c>
      <c r="B780" s="1015" t="s">
        <v>8833</v>
      </c>
      <c r="C780" s="1103" t="s">
        <v>8834</v>
      </c>
      <c r="D780" s="1015"/>
      <c r="E780" s="1104" t="s">
        <v>7446</v>
      </c>
      <c r="F780" s="1105"/>
      <c r="G780" s="1104">
        <v>3500</v>
      </c>
      <c r="H780" s="1104"/>
      <c r="I780" s="1104"/>
      <c r="J780" s="1104"/>
      <c r="K780" s="1104"/>
      <c r="L780" s="1104">
        <v>2888</v>
      </c>
      <c r="M780" s="1106">
        <v>2888</v>
      </c>
      <c r="N780" s="1159">
        <v>2888</v>
      </c>
      <c r="O780" s="1104">
        <v>2888</v>
      </c>
      <c r="P780" s="1107">
        <f t="shared" si="19"/>
        <v>2888</v>
      </c>
      <c r="Q780" s="1107">
        <f t="shared" si="19"/>
        <v>2888</v>
      </c>
      <c r="R780" s="1107">
        <f t="shared" si="19"/>
        <v>2888</v>
      </c>
      <c r="S780" s="1107">
        <f t="shared" si="19"/>
        <v>2888</v>
      </c>
    </row>
    <row r="781" spans="1:19">
      <c r="A781" s="1015">
        <v>622</v>
      </c>
      <c r="B781" s="1015" t="s">
        <v>8835</v>
      </c>
      <c r="C781" s="1103" t="s">
        <v>8836</v>
      </c>
      <c r="D781" s="1015"/>
      <c r="E781" s="1104" t="s">
        <v>7446</v>
      </c>
      <c r="F781" s="1105"/>
      <c r="G781" s="1104">
        <v>200</v>
      </c>
      <c r="H781" s="1104"/>
      <c r="I781" s="1104"/>
      <c r="J781" s="1104"/>
      <c r="K781" s="1104"/>
      <c r="L781" s="1104">
        <v>165</v>
      </c>
      <c r="M781" s="1106">
        <v>165</v>
      </c>
      <c r="N781" s="1159">
        <v>165</v>
      </c>
      <c r="O781" s="1104">
        <v>165</v>
      </c>
      <c r="P781" s="1107">
        <f t="shared" si="19"/>
        <v>165</v>
      </c>
      <c r="Q781" s="1107">
        <f t="shared" si="19"/>
        <v>165</v>
      </c>
      <c r="R781" s="1107">
        <f t="shared" si="19"/>
        <v>165</v>
      </c>
      <c r="S781" s="1107">
        <f t="shared" si="19"/>
        <v>165</v>
      </c>
    </row>
    <row r="782" spans="1:19">
      <c r="A782" s="1015">
        <v>623</v>
      </c>
      <c r="B782" s="1015" t="s">
        <v>8837</v>
      </c>
      <c r="C782" s="1103" t="s">
        <v>8838</v>
      </c>
      <c r="D782" s="1015"/>
      <c r="E782" s="1104" t="s">
        <v>7446</v>
      </c>
      <c r="F782" s="1105"/>
      <c r="G782" s="1104">
        <v>350</v>
      </c>
      <c r="H782" s="1104"/>
      <c r="I782" s="1104"/>
      <c r="J782" s="1104"/>
      <c r="K782" s="1104"/>
      <c r="L782" s="1104">
        <v>289</v>
      </c>
      <c r="M782" s="1106">
        <v>289</v>
      </c>
      <c r="N782" s="1159">
        <v>289</v>
      </c>
      <c r="O782" s="1104">
        <v>289</v>
      </c>
      <c r="P782" s="1107">
        <f t="shared" si="19"/>
        <v>289</v>
      </c>
      <c r="Q782" s="1107">
        <f t="shared" si="19"/>
        <v>289</v>
      </c>
      <c r="R782" s="1107">
        <f t="shared" si="19"/>
        <v>289</v>
      </c>
      <c r="S782" s="1107">
        <f t="shared" si="19"/>
        <v>289</v>
      </c>
    </row>
    <row r="783" spans="1:19">
      <c r="A783" s="1015">
        <v>624</v>
      </c>
      <c r="B783" s="1015" t="s">
        <v>8839</v>
      </c>
      <c r="C783" s="1103" t="s">
        <v>8840</v>
      </c>
      <c r="D783" s="1015"/>
      <c r="E783" s="1104" t="s">
        <v>7446</v>
      </c>
      <c r="F783" s="1105"/>
      <c r="G783" s="1104">
        <v>1200</v>
      </c>
      <c r="H783" s="1104"/>
      <c r="I783" s="1104"/>
      <c r="J783" s="1104"/>
      <c r="K783" s="1104"/>
      <c r="L783" s="1104">
        <v>990</v>
      </c>
      <c r="M783" s="1106">
        <v>990</v>
      </c>
      <c r="N783" s="1159">
        <v>990</v>
      </c>
      <c r="O783" s="1104">
        <v>990</v>
      </c>
      <c r="P783" s="1107">
        <f t="shared" si="19"/>
        <v>990</v>
      </c>
      <c r="Q783" s="1107">
        <f t="shared" si="19"/>
        <v>990</v>
      </c>
      <c r="R783" s="1107">
        <f t="shared" si="19"/>
        <v>990</v>
      </c>
      <c r="S783" s="1107">
        <f t="shared" si="19"/>
        <v>990</v>
      </c>
    </row>
    <row r="784" spans="1:19">
      <c r="A784" s="1015">
        <v>625</v>
      </c>
      <c r="B784" s="1015" t="s">
        <v>8841</v>
      </c>
      <c r="C784" s="1103" t="s">
        <v>8842</v>
      </c>
      <c r="D784" s="1015"/>
      <c r="E784" s="1104" t="s">
        <v>7446</v>
      </c>
      <c r="F784" s="1105"/>
      <c r="G784" s="1104">
        <v>18000</v>
      </c>
      <c r="H784" s="1104"/>
      <c r="I784" s="1104"/>
      <c r="J784" s="1104"/>
      <c r="K784" s="1104"/>
      <c r="L784" s="1104">
        <v>14850</v>
      </c>
      <c r="M784" s="1106">
        <v>14850</v>
      </c>
      <c r="N784" s="1159">
        <v>14850</v>
      </c>
      <c r="O784" s="1104">
        <v>14850</v>
      </c>
      <c r="P784" s="1107">
        <f t="shared" si="19"/>
        <v>14850</v>
      </c>
      <c r="Q784" s="1107">
        <f t="shared" si="19"/>
        <v>14850</v>
      </c>
      <c r="R784" s="1107">
        <f t="shared" si="19"/>
        <v>14850</v>
      </c>
      <c r="S784" s="1107">
        <f t="shared" si="19"/>
        <v>14850</v>
      </c>
    </row>
    <row r="785" spans="1:19">
      <c r="A785" s="1015">
        <v>626</v>
      </c>
      <c r="B785" s="1015" t="s">
        <v>8843</v>
      </c>
      <c r="C785" s="1103" t="s">
        <v>8844</v>
      </c>
      <c r="D785" s="1015"/>
      <c r="E785" s="1104" t="s">
        <v>7446</v>
      </c>
      <c r="F785" s="1105"/>
      <c r="G785" s="1104">
        <v>281375</v>
      </c>
      <c r="H785" s="1104"/>
      <c r="I785" s="1104"/>
      <c r="J785" s="1104"/>
      <c r="K785" s="1104"/>
      <c r="L785" s="1104">
        <v>218066</v>
      </c>
      <c r="M785" s="1106">
        <v>218066</v>
      </c>
      <c r="N785" s="1159">
        <v>218066</v>
      </c>
      <c r="O785" s="1104">
        <v>218066</v>
      </c>
      <c r="P785" s="1107">
        <f t="shared" si="19"/>
        <v>218066</v>
      </c>
      <c r="Q785" s="1107">
        <f t="shared" si="19"/>
        <v>218066</v>
      </c>
      <c r="R785" s="1107">
        <f t="shared" si="19"/>
        <v>218066</v>
      </c>
      <c r="S785" s="1107">
        <f t="shared" si="19"/>
        <v>218066</v>
      </c>
    </row>
    <row r="786" spans="1:19">
      <c r="A786" s="1015">
        <v>627</v>
      </c>
      <c r="B786" s="1015" t="s">
        <v>8845</v>
      </c>
      <c r="C786" s="1103" t="s">
        <v>8846</v>
      </c>
      <c r="D786" s="1015"/>
      <c r="E786" s="1104" t="s">
        <v>7446</v>
      </c>
      <c r="F786" s="1105"/>
      <c r="G786" s="1104">
        <v>6500</v>
      </c>
      <c r="H786" s="1104"/>
      <c r="I786" s="1104"/>
      <c r="J786" s="1104"/>
      <c r="K786" s="1104"/>
      <c r="L786" s="1104">
        <v>5363</v>
      </c>
      <c r="M786" s="1106">
        <v>5363</v>
      </c>
      <c r="N786" s="1159">
        <v>5363</v>
      </c>
      <c r="O786" s="1104">
        <v>5363</v>
      </c>
      <c r="P786" s="1107">
        <f t="shared" si="19"/>
        <v>5363</v>
      </c>
      <c r="Q786" s="1107">
        <f t="shared" si="19"/>
        <v>5363</v>
      </c>
      <c r="R786" s="1107">
        <f t="shared" si="19"/>
        <v>5363</v>
      </c>
      <c r="S786" s="1107">
        <f t="shared" si="19"/>
        <v>5363</v>
      </c>
    </row>
    <row r="787" spans="1:19">
      <c r="A787" s="1015">
        <v>628</v>
      </c>
      <c r="B787" s="1015" t="s">
        <v>8847</v>
      </c>
      <c r="C787" s="1103" t="s">
        <v>8848</v>
      </c>
      <c r="D787" s="1015"/>
      <c r="E787" s="1104" t="s">
        <v>7446</v>
      </c>
      <c r="F787" s="1105"/>
      <c r="G787" s="1104">
        <v>15000</v>
      </c>
      <c r="H787" s="1104"/>
      <c r="I787" s="1104"/>
      <c r="J787" s="1104"/>
      <c r="K787" s="1104"/>
      <c r="L787" s="1104">
        <v>12375</v>
      </c>
      <c r="M787" s="1106">
        <v>12375</v>
      </c>
      <c r="N787" s="1159">
        <v>12375</v>
      </c>
      <c r="O787" s="1104">
        <v>12375</v>
      </c>
      <c r="P787" s="1107">
        <f t="shared" si="19"/>
        <v>12375</v>
      </c>
      <c r="Q787" s="1107">
        <f t="shared" si="19"/>
        <v>12375</v>
      </c>
      <c r="R787" s="1107">
        <f t="shared" si="19"/>
        <v>12375</v>
      </c>
      <c r="S787" s="1107">
        <f t="shared" si="19"/>
        <v>12375</v>
      </c>
    </row>
    <row r="788" spans="1:19">
      <c r="A788" s="1015">
        <v>629</v>
      </c>
      <c r="B788" s="1015" t="s">
        <v>8849</v>
      </c>
      <c r="C788" s="1103" t="s">
        <v>8850</v>
      </c>
      <c r="D788" s="1015"/>
      <c r="E788" s="1104" t="s">
        <v>7446</v>
      </c>
      <c r="F788" s="1105"/>
      <c r="G788" s="1104">
        <v>2500</v>
      </c>
      <c r="H788" s="1104"/>
      <c r="I788" s="1104"/>
      <c r="J788" s="1104"/>
      <c r="K788" s="1104"/>
      <c r="L788" s="1104">
        <v>2188</v>
      </c>
      <c r="M788" s="1106">
        <v>2188</v>
      </c>
      <c r="N788" s="1159">
        <v>2188</v>
      </c>
      <c r="O788" s="1104">
        <v>2188</v>
      </c>
      <c r="P788" s="1107">
        <f t="shared" si="19"/>
        <v>2188</v>
      </c>
      <c r="Q788" s="1107">
        <f t="shared" si="19"/>
        <v>2188</v>
      </c>
      <c r="R788" s="1107">
        <f t="shared" si="19"/>
        <v>2188</v>
      </c>
      <c r="S788" s="1107">
        <f t="shared" si="19"/>
        <v>2188</v>
      </c>
    </row>
    <row r="789" spans="1:19">
      <c r="A789" s="1015">
        <v>630</v>
      </c>
      <c r="B789" s="1015" t="s">
        <v>8851</v>
      </c>
      <c r="C789" s="1103" t="s">
        <v>8852</v>
      </c>
      <c r="D789" s="1015"/>
      <c r="E789" s="1104" t="s">
        <v>7446</v>
      </c>
      <c r="F789" s="1105"/>
      <c r="G789" s="1104">
        <v>1500</v>
      </c>
      <c r="H789" s="1104"/>
      <c r="I789" s="1104"/>
      <c r="J789" s="1104"/>
      <c r="K789" s="1104"/>
      <c r="L789" s="1104">
        <v>1313</v>
      </c>
      <c r="M789" s="1106">
        <v>1313</v>
      </c>
      <c r="N789" s="1159">
        <v>1313</v>
      </c>
      <c r="O789" s="1104">
        <v>1313</v>
      </c>
      <c r="P789" s="1107">
        <f t="shared" si="19"/>
        <v>1313</v>
      </c>
      <c r="Q789" s="1107">
        <f t="shared" si="19"/>
        <v>1313</v>
      </c>
      <c r="R789" s="1107">
        <f t="shared" si="19"/>
        <v>1313</v>
      </c>
      <c r="S789" s="1107">
        <f t="shared" si="19"/>
        <v>1313</v>
      </c>
    </row>
    <row r="790" spans="1:19">
      <c r="A790" s="1015">
        <v>631</v>
      </c>
      <c r="B790" s="1015" t="s">
        <v>8853</v>
      </c>
      <c r="C790" s="1103" t="s">
        <v>8854</v>
      </c>
      <c r="D790" s="1015"/>
      <c r="E790" s="1104" t="s">
        <v>7446</v>
      </c>
      <c r="F790" s="1105"/>
      <c r="G790" s="1104">
        <v>2500</v>
      </c>
      <c r="H790" s="1104"/>
      <c r="I790" s="1104"/>
      <c r="J790" s="1104"/>
      <c r="K790" s="1104"/>
      <c r="L790" s="1104">
        <v>2188</v>
      </c>
      <c r="M790" s="1106">
        <v>2188</v>
      </c>
      <c r="N790" s="1159">
        <v>2188</v>
      </c>
      <c r="O790" s="1104">
        <v>2188</v>
      </c>
      <c r="P790" s="1107">
        <f t="shared" si="19"/>
        <v>2188</v>
      </c>
      <c r="Q790" s="1107">
        <f t="shared" si="19"/>
        <v>2188</v>
      </c>
      <c r="R790" s="1107">
        <f t="shared" si="19"/>
        <v>2188</v>
      </c>
      <c r="S790" s="1107">
        <f t="shared" si="19"/>
        <v>2188</v>
      </c>
    </row>
    <row r="791" spans="1:19">
      <c r="A791" s="1015">
        <v>632</v>
      </c>
      <c r="B791" s="1015" t="s">
        <v>8855</v>
      </c>
      <c r="C791" s="1103" t="s">
        <v>8856</v>
      </c>
      <c r="D791" s="1015"/>
      <c r="E791" s="1104" t="s">
        <v>7446</v>
      </c>
      <c r="F791" s="1105"/>
      <c r="G791" s="1104">
        <v>3500</v>
      </c>
      <c r="H791" s="1104"/>
      <c r="I791" s="1104"/>
      <c r="J791" s="1104"/>
      <c r="K791" s="1104"/>
      <c r="L791" s="1104">
        <v>3063</v>
      </c>
      <c r="M791" s="1106">
        <v>3063</v>
      </c>
      <c r="N791" s="1159">
        <v>3063</v>
      </c>
      <c r="O791" s="1104">
        <v>3063</v>
      </c>
      <c r="P791" s="1107">
        <f t="shared" si="19"/>
        <v>3063</v>
      </c>
      <c r="Q791" s="1107">
        <f t="shared" si="19"/>
        <v>3063</v>
      </c>
      <c r="R791" s="1107">
        <f t="shared" si="19"/>
        <v>3063</v>
      </c>
      <c r="S791" s="1107">
        <f t="shared" si="19"/>
        <v>3063</v>
      </c>
    </row>
    <row r="792" spans="1:19">
      <c r="A792" s="1015">
        <v>633</v>
      </c>
      <c r="B792" s="1015" t="s">
        <v>8857</v>
      </c>
      <c r="C792" s="1103" t="s">
        <v>8858</v>
      </c>
      <c r="D792" s="1015"/>
      <c r="E792" s="1104" t="s">
        <v>7446</v>
      </c>
      <c r="F792" s="1105"/>
      <c r="G792" s="1104">
        <v>2500</v>
      </c>
      <c r="H792" s="1104"/>
      <c r="I792" s="1104"/>
      <c r="J792" s="1104"/>
      <c r="K792" s="1104"/>
      <c r="L792" s="1104">
        <v>2188</v>
      </c>
      <c r="M792" s="1106">
        <v>2188</v>
      </c>
      <c r="N792" s="1159">
        <v>2188</v>
      </c>
      <c r="O792" s="1104">
        <v>2188</v>
      </c>
      <c r="P792" s="1107">
        <f t="shared" si="19"/>
        <v>2188</v>
      </c>
      <c r="Q792" s="1107">
        <f t="shared" si="19"/>
        <v>2188</v>
      </c>
      <c r="R792" s="1107">
        <f t="shared" si="19"/>
        <v>2188</v>
      </c>
      <c r="S792" s="1107">
        <f t="shared" si="19"/>
        <v>2188</v>
      </c>
    </row>
    <row r="793" spans="1:19">
      <c r="A793" s="1015">
        <v>634</v>
      </c>
      <c r="B793" s="1015" t="s">
        <v>8859</v>
      </c>
      <c r="C793" s="1103" t="s">
        <v>8860</v>
      </c>
      <c r="D793" s="1015"/>
      <c r="E793" s="1104" t="s">
        <v>7446</v>
      </c>
      <c r="F793" s="1105"/>
      <c r="G793" s="1104">
        <v>3000</v>
      </c>
      <c r="H793" s="1104"/>
      <c r="I793" s="1104"/>
      <c r="J793" s="1104"/>
      <c r="K793" s="1104"/>
      <c r="L793" s="1104">
        <v>2625</v>
      </c>
      <c r="M793" s="1106">
        <v>2625</v>
      </c>
      <c r="N793" s="1159">
        <v>2625</v>
      </c>
      <c r="O793" s="1104">
        <v>2625</v>
      </c>
      <c r="P793" s="1107">
        <f t="shared" si="19"/>
        <v>2625</v>
      </c>
      <c r="Q793" s="1107">
        <f t="shared" si="19"/>
        <v>2625</v>
      </c>
      <c r="R793" s="1107">
        <f t="shared" si="19"/>
        <v>2625</v>
      </c>
      <c r="S793" s="1107">
        <f t="shared" si="19"/>
        <v>2625</v>
      </c>
    </row>
    <row r="794" spans="1:19">
      <c r="A794" s="1015">
        <v>635</v>
      </c>
      <c r="B794" s="1015" t="s">
        <v>8861</v>
      </c>
      <c r="C794" s="1103" t="s">
        <v>8862</v>
      </c>
      <c r="D794" s="1015"/>
      <c r="E794" s="1104" t="s">
        <v>7446</v>
      </c>
      <c r="F794" s="1105"/>
      <c r="G794" s="1104">
        <v>5000</v>
      </c>
      <c r="H794" s="1104"/>
      <c r="I794" s="1104"/>
      <c r="J794" s="1104"/>
      <c r="K794" s="1104"/>
      <c r="L794" s="1104">
        <v>4375</v>
      </c>
      <c r="M794" s="1106">
        <v>4375</v>
      </c>
      <c r="N794" s="1159">
        <v>4375</v>
      </c>
      <c r="O794" s="1104">
        <v>4375</v>
      </c>
      <c r="P794" s="1107">
        <f t="shared" si="19"/>
        <v>4375</v>
      </c>
      <c r="Q794" s="1107">
        <f t="shared" si="19"/>
        <v>4375</v>
      </c>
      <c r="R794" s="1107">
        <f t="shared" si="19"/>
        <v>4375</v>
      </c>
      <c r="S794" s="1107">
        <f t="shared" si="19"/>
        <v>4375</v>
      </c>
    </row>
    <row r="795" spans="1:19">
      <c r="A795" s="1015">
        <v>636</v>
      </c>
      <c r="B795" s="1015" t="s">
        <v>8863</v>
      </c>
      <c r="C795" s="1103" t="s">
        <v>8864</v>
      </c>
      <c r="D795" s="1015"/>
      <c r="E795" s="1104" t="s">
        <v>7446</v>
      </c>
      <c r="F795" s="1105"/>
      <c r="G795" s="1104">
        <v>5000</v>
      </c>
      <c r="H795" s="1104"/>
      <c r="I795" s="1104"/>
      <c r="J795" s="1104"/>
      <c r="K795" s="1104"/>
      <c r="L795" s="1104">
        <v>4375</v>
      </c>
      <c r="M795" s="1106">
        <v>4375</v>
      </c>
      <c r="N795" s="1159">
        <v>4375</v>
      </c>
      <c r="O795" s="1104">
        <v>4375</v>
      </c>
      <c r="P795" s="1107">
        <f t="shared" si="19"/>
        <v>4375</v>
      </c>
      <c r="Q795" s="1107">
        <f t="shared" si="19"/>
        <v>4375</v>
      </c>
      <c r="R795" s="1107">
        <f t="shared" si="19"/>
        <v>4375</v>
      </c>
      <c r="S795" s="1107">
        <f t="shared" si="19"/>
        <v>4375</v>
      </c>
    </row>
    <row r="796" spans="1:19">
      <c r="A796" s="1015">
        <v>637</v>
      </c>
      <c r="B796" s="1015" t="s">
        <v>8865</v>
      </c>
      <c r="C796" s="1103" t="s">
        <v>8866</v>
      </c>
      <c r="D796" s="1015"/>
      <c r="E796" s="1104" t="s">
        <v>7446</v>
      </c>
      <c r="F796" s="1105"/>
      <c r="G796" s="1104">
        <v>15000</v>
      </c>
      <c r="H796" s="1104"/>
      <c r="I796" s="1104"/>
      <c r="J796" s="1104"/>
      <c r="K796" s="1104"/>
      <c r="L796" s="1104">
        <v>12375</v>
      </c>
      <c r="M796" s="1106">
        <v>12375</v>
      </c>
      <c r="N796" s="1159">
        <v>12375</v>
      </c>
      <c r="O796" s="1104">
        <v>12375</v>
      </c>
      <c r="P796" s="1107">
        <f t="shared" si="19"/>
        <v>12375</v>
      </c>
      <c r="Q796" s="1107">
        <f t="shared" si="19"/>
        <v>12375</v>
      </c>
      <c r="R796" s="1107">
        <f t="shared" si="19"/>
        <v>12375</v>
      </c>
      <c r="S796" s="1107">
        <f t="shared" si="19"/>
        <v>12375</v>
      </c>
    </row>
    <row r="797" spans="1:19">
      <c r="A797" s="1015">
        <v>638</v>
      </c>
      <c r="B797" s="1015" t="s">
        <v>8867</v>
      </c>
      <c r="C797" s="1103" t="s">
        <v>8868</v>
      </c>
      <c r="D797" s="1015"/>
      <c r="E797" s="1104" t="s">
        <v>7446</v>
      </c>
      <c r="F797" s="1105"/>
      <c r="G797" s="1104">
        <v>220000</v>
      </c>
      <c r="H797" s="1104"/>
      <c r="I797" s="1104"/>
      <c r="J797" s="1104"/>
      <c r="K797" s="1104"/>
      <c r="L797" s="1104">
        <v>170500</v>
      </c>
      <c r="M797" s="1106">
        <v>170500</v>
      </c>
      <c r="N797" s="1159">
        <v>170500</v>
      </c>
      <c r="O797" s="1104">
        <v>170500</v>
      </c>
      <c r="P797" s="1107">
        <f t="shared" si="19"/>
        <v>170500</v>
      </c>
      <c r="Q797" s="1107">
        <f t="shared" si="19"/>
        <v>170500</v>
      </c>
      <c r="R797" s="1107">
        <f t="shared" si="19"/>
        <v>170500</v>
      </c>
      <c r="S797" s="1107">
        <f t="shared" si="19"/>
        <v>170500</v>
      </c>
    </row>
    <row r="798" spans="1:19">
      <c r="A798" s="1015">
        <v>639</v>
      </c>
      <c r="B798" s="1015" t="s">
        <v>8869</v>
      </c>
      <c r="C798" s="1103" t="s">
        <v>8870</v>
      </c>
      <c r="D798" s="1015"/>
      <c r="E798" s="1104" t="s">
        <v>7446</v>
      </c>
      <c r="F798" s="1105"/>
      <c r="G798" s="1104">
        <v>220000</v>
      </c>
      <c r="H798" s="1104"/>
      <c r="I798" s="1104"/>
      <c r="J798" s="1104"/>
      <c r="K798" s="1104"/>
      <c r="L798" s="1104">
        <v>170500</v>
      </c>
      <c r="M798" s="1106">
        <v>170500</v>
      </c>
      <c r="N798" s="1159">
        <v>170500</v>
      </c>
      <c r="O798" s="1104">
        <v>170500</v>
      </c>
      <c r="P798" s="1107">
        <f t="shared" si="19"/>
        <v>170500</v>
      </c>
      <c r="Q798" s="1107">
        <f t="shared" si="19"/>
        <v>170500</v>
      </c>
      <c r="R798" s="1107">
        <f t="shared" si="19"/>
        <v>170500</v>
      </c>
      <c r="S798" s="1107">
        <f t="shared" si="19"/>
        <v>170500</v>
      </c>
    </row>
    <row r="799" spans="1:19">
      <c r="A799" s="1015">
        <v>640</v>
      </c>
      <c r="B799" s="1015" t="s">
        <v>8871</v>
      </c>
      <c r="C799" s="1103" t="s">
        <v>8872</v>
      </c>
      <c r="D799" s="1015"/>
      <c r="E799" s="1104" t="s">
        <v>7446</v>
      </c>
      <c r="F799" s="1105"/>
      <c r="G799" s="1104">
        <v>5000</v>
      </c>
      <c r="H799" s="1104"/>
      <c r="I799" s="1104"/>
      <c r="J799" s="1104"/>
      <c r="K799" s="1104"/>
      <c r="L799" s="1104">
        <v>4125</v>
      </c>
      <c r="M799" s="1106">
        <v>4125</v>
      </c>
      <c r="N799" s="1159">
        <v>4125</v>
      </c>
      <c r="O799" s="1104">
        <v>4125</v>
      </c>
      <c r="P799" s="1107">
        <f t="shared" si="19"/>
        <v>4125</v>
      </c>
      <c r="Q799" s="1107">
        <f t="shared" si="19"/>
        <v>4125</v>
      </c>
      <c r="R799" s="1107">
        <f t="shared" si="19"/>
        <v>4125</v>
      </c>
      <c r="S799" s="1107">
        <f t="shared" si="19"/>
        <v>4125</v>
      </c>
    </row>
    <row r="800" spans="1:19">
      <c r="A800" s="1015">
        <v>641</v>
      </c>
      <c r="B800" s="1015" t="s">
        <v>8873</v>
      </c>
      <c r="C800" s="1103" t="s">
        <v>8874</v>
      </c>
      <c r="D800" s="1015"/>
      <c r="E800" s="1104" t="s">
        <v>7446</v>
      </c>
      <c r="F800" s="1105"/>
      <c r="G800" s="1104">
        <v>9900</v>
      </c>
      <c r="H800" s="1104"/>
      <c r="I800" s="1104"/>
      <c r="J800" s="1104"/>
      <c r="K800" s="1104"/>
      <c r="L800" s="1104">
        <v>8168</v>
      </c>
      <c r="M800" s="1106">
        <v>8168</v>
      </c>
      <c r="N800" s="1159">
        <v>8168</v>
      </c>
      <c r="O800" s="1104">
        <v>8168</v>
      </c>
      <c r="P800" s="1107">
        <f t="shared" si="19"/>
        <v>8168</v>
      </c>
      <c r="Q800" s="1107">
        <f t="shared" si="19"/>
        <v>8168</v>
      </c>
      <c r="R800" s="1107">
        <f t="shared" si="19"/>
        <v>8168</v>
      </c>
      <c r="S800" s="1107">
        <f t="shared" si="19"/>
        <v>8168</v>
      </c>
    </row>
    <row r="801" spans="1:19">
      <c r="A801" s="1015">
        <v>642</v>
      </c>
      <c r="B801" s="1015" t="s">
        <v>8875</v>
      </c>
      <c r="C801" s="1103" t="s">
        <v>8876</v>
      </c>
      <c r="D801" s="1015"/>
      <c r="E801" s="1104" t="s">
        <v>7446</v>
      </c>
      <c r="F801" s="1105"/>
      <c r="G801" s="1104">
        <v>3500</v>
      </c>
      <c r="H801" s="1104"/>
      <c r="I801" s="1104"/>
      <c r="J801" s="1104"/>
      <c r="K801" s="1104"/>
      <c r="L801" s="1104">
        <v>2888</v>
      </c>
      <c r="M801" s="1106">
        <v>2888</v>
      </c>
      <c r="N801" s="1159">
        <v>2888</v>
      </c>
      <c r="O801" s="1104">
        <v>2888</v>
      </c>
      <c r="P801" s="1107">
        <f t="shared" si="19"/>
        <v>2888</v>
      </c>
      <c r="Q801" s="1107">
        <f t="shared" si="19"/>
        <v>2888</v>
      </c>
      <c r="R801" s="1107">
        <f t="shared" si="19"/>
        <v>2888</v>
      </c>
      <c r="S801" s="1107">
        <f t="shared" si="19"/>
        <v>2888</v>
      </c>
    </row>
    <row r="802" spans="1:19">
      <c r="A802" s="1015">
        <v>643</v>
      </c>
      <c r="B802" s="1015" t="s">
        <v>8877</v>
      </c>
      <c r="C802" s="1103" t="s">
        <v>8878</v>
      </c>
      <c r="D802" s="1015"/>
      <c r="E802" s="1104" t="s">
        <v>7446</v>
      </c>
      <c r="F802" s="1105"/>
      <c r="G802" s="1104">
        <v>18000</v>
      </c>
      <c r="H802" s="1104"/>
      <c r="I802" s="1104"/>
      <c r="J802" s="1104"/>
      <c r="K802" s="1104"/>
      <c r="L802" s="1104">
        <v>14850</v>
      </c>
      <c r="M802" s="1106">
        <v>14850</v>
      </c>
      <c r="N802" s="1159">
        <v>14850</v>
      </c>
      <c r="O802" s="1104">
        <v>14850</v>
      </c>
      <c r="P802" s="1107">
        <f t="shared" si="19"/>
        <v>14850</v>
      </c>
      <c r="Q802" s="1107">
        <f t="shared" si="19"/>
        <v>14850</v>
      </c>
      <c r="R802" s="1107">
        <f t="shared" si="19"/>
        <v>14850</v>
      </c>
      <c r="S802" s="1107">
        <f t="shared" si="19"/>
        <v>14850</v>
      </c>
    </row>
    <row r="803" spans="1:19">
      <c r="A803" s="1015">
        <v>644</v>
      </c>
      <c r="B803" s="1015" t="s">
        <v>8879</v>
      </c>
      <c r="C803" s="1103" t="s">
        <v>8880</v>
      </c>
      <c r="D803" s="1015"/>
      <c r="E803" s="1104" t="s">
        <v>7446</v>
      </c>
      <c r="F803" s="1105"/>
      <c r="G803" s="1104">
        <v>4500</v>
      </c>
      <c r="H803" s="1104"/>
      <c r="I803" s="1104"/>
      <c r="J803" s="1104"/>
      <c r="K803" s="1104"/>
      <c r="L803" s="1104">
        <v>3713</v>
      </c>
      <c r="M803" s="1106">
        <v>3713</v>
      </c>
      <c r="N803" s="1159">
        <v>3713</v>
      </c>
      <c r="O803" s="1104">
        <v>3713</v>
      </c>
      <c r="P803" s="1107">
        <f t="shared" si="19"/>
        <v>3713</v>
      </c>
      <c r="Q803" s="1107">
        <f t="shared" si="19"/>
        <v>3713</v>
      </c>
      <c r="R803" s="1107">
        <f t="shared" si="19"/>
        <v>3713</v>
      </c>
      <c r="S803" s="1107">
        <f t="shared" si="19"/>
        <v>3713</v>
      </c>
    </row>
    <row r="804" spans="1:19">
      <c r="A804" s="1015">
        <v>645</v>
      </c>
      <c r="B804" s="1015" t="s">
        <v>8881</v>
      </c>
      <c r="C804" s="1103" t="s">
        <v>8882</v>
      </c>
      <c r="D804" s="1015"/>
      <c r="E804" s="1104" t="s">
        <v>7446</v>
      </c>
      <c r="F804" s="1105"/>
      <c r="G804" s="1104">
        <v>25000</v>
      </c>
      <c r="H804" s="1104"/>
      <c r="I804" s="1104"/>
      <c r="J804" s="1104"/>
      <c r="K804" s="1104"/>
      <c r="L804" s="1104">
        <v>20625</v>
      </c>
      <c r="M804" s="1106">
        <v>20625</v>
      </c>
      <c r="N804" s="1159">
        <v>20625</v>
      </c>
      <c r="O804" s="1104">
        <v>20625</v>
      </c>
      <c r="P804" s="1107">
        <f t="shared" si="19"/>
        <v>20625</v>
      </c>
      <c r="Q804" s="1107">
        <f t="shared" si="19"/>
        <v>20625</v>
      </c>
      <c r="R804" s="1107">
        <f t="shared" si="19"/>
        <v>20625</v>
      </c>
      <c r="S804" s="1107">
        <f t="shared" si="19"/>
        <v>20625</v>
      </c>
    </row>
    <row r="805" spans="1:19">
      <c r="A805" s="1015">
        <v>646</v>
      </c>
      <c r="B805" s="1015" t="s">
        <v>8883</v>
      </c>
      <c r="C805" s="1103" t="s">
        <v>8884</v>
      </c>
      <c r="D805" s="1015"/>
      <c r="E805" s="1104" t="s">
        <v>7446</v>
      </c>
      <c r="F805" s="1105"/>
      <c r="G805" s="1104">
        <v>10000</v>
      </c>
      <c r="H805" s="1104"/>
      <c r="I805" s="1104"/>
      <c r="J805" s="1104"/>
      <c r="K805" s="1104"/>
      <c r="L805" s="1104">
        <v>8250</v>
      </c>
      <c r="M805" s="1106">
        <v>8250</v>
      </c>
      <c r="N805" s="1159">
        <v>8250</v>
      </c>
      <c r="O805" s="1104">
        <v>8250</v>
      </c>
      <c r="P805" s="1107">
        <f t="shared" si="19"/>
        <v>8250</v>
      </c>
      <c r="Q805" s="1107">
        <f t="shared" si="19"/>
        <v>8250</v>
      </c>
      <c r="R805" s="1107">
        <f t="shared" si="19"/>
        <v>8250</v>
      </c>
      <c r="S805" s="1107">
        <f t="shared" si="19"/>
        <v>8250</v>
      </c>
    </row>
    <row r="806" spans="1:19">
      <c r="A806" s="1015">
        <v>647</v>
      </c>
      <c r="B806" s="1015" t="s">
        <v>8885</v>
      </c>
      <c r="C806" s="1103" t="s">
        <v>8886</v>
      </c>
      <c r="D806" s="1015"/>
      <c r="E806" s="1104" t="s">
        <v>7446</v>
      </c>
      <c r="F806" s="1105"/>
      <c r="G806" s="1104">
        <v>50000</v>
      </c>
      <c r="H806" s="1104"/>
      <c r="I806" s="1104"/>
      <c r="J806" s="1104"/>
      <c r="K806" s="1104"/>
      <c r="L806" s="1104">
        <v>38750</v>
      </c>
      <c r="M806" s="1106">
        <v>38750</v>
      </c>
      <c r="N806" s="1159">
        <v>38750</v>
      </c>
      <c r="O806" s="1104">
        <v>38750</v>
      </c>
      <c r="P806" s="1107">
        <f t="shared" si="19"/>
        <v>38750</v>
      </c>
      <c r="Q806" s="1107">
        <f t="shared" si="19"/>
        <v>38750</v>
      </c>
      <c r="R806" s="1107">
        <f t="shared" si="19"/>
        <v>38750</v>
      </c>
      <c r="S806" s="1107">
        <f t="shared" si="19"/>
        <v>38750</v>
      </c>
    </row>
    <row r="807" spans="1:19">
      <c r="A807" s="1015">
        <v>648</v>
      </c>
      <c r="B807" s="1015" t="s">
        <v>8887</v>
      </c>
      <c r="C807" s="1103" t="s">
        <v>8888</v>
      </c>
      <c r="D807" s="1015"/>
      <c r="E807" s="1104" t="s">
        <v>7446</v>
      </c>
      <c r="F807" s="1105"/>
      <c r="G807" s="1104">
        <v>60000</v>
      </c>
      <c r="H807" s="1104"/>
      <c r="I807" s="1104"/>
      <c r="J807" s="1104"/>
      <c r="K807" s="1104"/>
      <c r="L807" s="1104">
        <v>46500</v>
      </c>
      <c r="M807" s="1106">
        <v>46500</v>
      </c>
      <c r="N807" s="1159">
        <v>46500</v>
      </c>
      <c r="O807" s="1104">
        <v>46500</v>
      </c>
      <c r="P807" s="1107">
        <f t="shared" si="19"/>
        <v>46500</v>
      </c>
      <c r="Q807" s="1107">
        <f t="shared" si="19"/>
        <v>46500</v>
      </c>
      <c r="R807" s="1107">
        <f t="shared" si="19"/>
        <v>46500</v>
      </c>
      <c r="S807" s="1107">
        <f t="shared" si="19"/>
        <v>46500</v>
      </c>
    </row>
    <row r="808" spans="1:19">
      <c r="A808" s="1015">
        <v>649</v>
      </c>
      <c r="B808" s="1015" t="s">
        <v>8889</v>
      </c>
      <c r="C808" s="1103" t="s">
        <v>8890</v>
      </c>
      <c r="D808" s="1015"/>
      <c r="E808" s="1104" t="s">
        <v>7446</v>
      </c>
      <c r="F808" s="1105"/>
      <c r="G808" s="1104">
        <v>36500</v>
      </c>
      <c r="H808" s="1104"/>
      <c r="I808" s="1104"/>
      <c r="J808" s="1104"/>
      <c r="K808" s="1104"/>
      <c r="L808" s="1104">
        <v>28288</v>
      </c>
      <c r="M808" s="1106">
        <v>28288</v>
      </c>
      <c r="N808" s="1159">
        <v>28288</v>
      </c>
      <c r="O808" s="1104">
        <v>28288</v>
      </c>
      <c r="P808" s="1107">
        <f t="shared" si="19"/>
        <v>28288</v>
      </c>
      <c r="Q808" s="1107">
        <f t="shared" si="19"/>
        <v>28288</v>
      </c>
      <c r="R808" s="1107">
        <f t="shared" si="19"/>
        <v>28288</v>
      </c>
      <c r="S808" s="1107">
        <f t="shared" si="19"/>
        <v>28288</v>
      </c>
    </row>
    <row r="809" spans="1:19">
      <c r="A809" s="1015">
        <v>650</v>
      </c>
      <c r="B809" s="1015" t="s">
        <v>8891</v>
      </c>
      <c r="C809" s="1103" t="s">
        <v>8892</v>
      </c>
      <c r="D809" s="1015"/>
      <c r="E809" s="1104" t="s">
        <v>7446</v>
      </c>
      <c r="F809" s="1105"/>
      <c r="G809" s="1104">
        <v>10000</v>
      </c>
      <c r="H809" s="1104"/>
      <c r="I809" s="1104"/>
      <c r="J809" s="1104"/>
      <c r="K809" s="1104"/>
      <c r="L809" s="1104">
        <v>8100</v>
      </c>
      <c r="M809" s="1106">
        <v>8100</v>
      </c>
      <c r="N809" s="1159">
        <v>8100</v>
      </c>
      <c r="O809" s="1104">
        <v>8100</v>
      </c>
      <c r="P809" s="1107">
        <f t="shared" si="19"/>
        <v>8100</v>
      </c>
      <c r="Q809" s="1107">
        <f t="shared" si="19"/>
        <v>8100</v>
      </c>
      <c r="R809" s="1107">
        <f t="shared" si="19"/>
        <v>8100</v>
      </c>
      <c r="S809" s="1107">
        <f t="shared" si="19"/>
        <v>8100</v>
      </c>
    </row>
    <row r="810" spans="1:19">
      <c r="A810" s="1015">
        <v>651</v>
      </c>
      <c r="B810" s="1015" t="s">
        <v>8893</v>
      </c>
      <c r="C810" s="1103" t="s">
        <v>8894</v>
      </c>
      <c r="D810" s="1015"/>
      <c r="E810" s="1104" t="s">
        <v>7446</v>
      </c>
      <c r="F810" s="1105"/>
      <c r="G810" s="1104">
        <v>19900</v>
      </c>
      <c r="H810" s="1104"/>
      <c r="I810" s="1104"/>
      <c r="J810" s="1104"/>
      <c r="K810" s="1104"/>
      <c r="L810" s="1104">
        <v>16119</v>
      </c>
      <c r="M810" s="1106">
        <v>16119</v>
      </c>
      <c r="N810" s="1159">
        <v>16119</v>
      </c>
      <c r="O810" s="1104">
        <v>16119</v>
      </c>
      <c r="P810" s="1107">
        <f t="shared" si="19"/>
        <v>16119</v>
      </c>
      <c r="Q810" s="1107">
        <f t="shared" si="19"/>
        <v>16119</v>
      </c>
      <c r="R810" s="1107">
        <f t="shared" si="19"/>
        <v>16119</v>
      </c>
      <c r="S810" s="1107">
        <f t="shared" si="19"/>
        <v>16119</v>
      </c>
    </row>
    <row r="811" spans="1:19">
      <c r="A811" s="1015">
        <v>652</v>
      </c>
      <c r="B811" s="1015" t="s">
        <v>8895</v>
      </c>
      <c r="C811" s="1103" t="s">
        <v>8896</v>
      </c>
      <c r="D811" s="1015"/>
      <c r="E811" s="1104" t="s">
        <v>7446</v>
      </c>
      <c r="F811" s="1105"/>
      <c r="G811" s="1104">
        <v>210000</v>
      </c>
      <c r="H811" s="1104"/>
      <c r="I811" s="1104"/>
      <c r="J811" s="1104"/>
      <c r="K811" s="1104"/>
      <c r="L811" s="1104">
        <v>159600</v>
      </c>
      <c r="M811" s="1106">
        <v>159600</v>
      </c>
      <c r="N811" s="1159">
        <v>159600</v>
      </c>
      <c r="O811" s="1104">
        <v>159600</v>
      </c>
      <c r="P811" s="1107">
        <f t="shared" si="19"/>
        <v>159600</v>
      </c>
      <c r="Q811" s="1107">
        <f t="shared" si="19"/>
        <v>159600</v>
      </c>
      <c r="R811" s="1107">
        <f t="shared" si="19"/>
        <v>159600</v>
      </c>
      <c r="S811" s="1107">
        <f t="shared" si="19"/>
        <v>159600</v>
      </c>
    </row>
    <row r="812" spans="1:19">
      <c r="A812" s="1015">
        <v>653</v>
      </c>
      <c r="B812" s="1015" t="s">
        <v>8897</v>
      </c>
      <c r="C812" s="1103" t="s">
        <v>8898</v>
      </c>
      <c r="D812" s="1015"/>
      <c r="E812" s="1104" t="s">
        <v>7446</v>
      </c>
      <c r="F812" s="1105"/>
      <c r="G812" s="1104">
        <v>5000</v>
      </c>
      <c r="H812" s="1104"/>
      <c r="I812" s="1104"/>
      <c r="J812" s="1104"/>
      <c r="K812" s="1104"/>
      <c r="L812" s="1104">
        <v>3950</v>
      </c>
      <c r="M812" s="1106">
        <v>3950</v>
      </c>
      <c r="N812" s="1159">
        <v>3950</v>
      </c>
      <c r="O812" s="1104">
        <v>3950</v>
      </c>
      <c r="P812" s="1107">
        <f t="shared" si="19"/>
        <v>3950</v>
      </c>
      <c r="Q812" s="1107">
        <f t="shared" si="19"/>
        <v>3950</v>
      </c>
      <c r="R812" s="1107">
        <f t="shared" si="19"/>
        <v>3950</v>
      </c>
      <c r="S812" s="1107">
        <f t="shared" si="19"/>
        <v>3950</v>
      </c>
    </row>
    <row r="813" spans="1:19">
      <c r="A813" s="1015">
        <v>654</v>
      </c>
      <c r="B813" s="1015" t="s">
        <v>8899</v>
      </c>
      <c r="C813" s="1103" t="s">
        <v>8900</v>
      </c>
      <c r="D813" s="1015"/>
      <c r="E813" s="1104" t="s">
        <v>7446</v>
      </c>
      <c r="F813" s="1105"/>
      <c r="G813" s="1104">
        <v>4500</v>
      </c>
      <c r="H813" s="1104"/>
      <c r="I813" s="1104"/>
      <c r="J813" s="1104"/>
      <c r="K813" s="1104"/>
      <c r="L813" s="1104">
        <v>3555</v>
      </c>
      <c r="M813" s="1106">
        <v>3555</v>
      </c>
      <c r="N813" s="1159">
        <v>3555</v>
      </c>
      <c r="O813" s="1104">
        <v>3555</v>
      </c>
      <c r="P813" s="1107">
        <f t="shared" si="19"/>
        <v>3555</v>
      </c>
      <c r="Q813" s="1107">
        <f t="shared" si="19"/>
        <v>3555</v>
      </c>
      <c r="R813" s="1107">
        <f t="shared" si="19"/>
        <v>3555</v>
      </c>
      <c r="S813" s="1107">
        <f t="shared" si="19"/>
        <v>3555</v>
      </c>
    </row>
    <row r="814" spans="1:19">
      <c r="A814" s="1015">
        <v>655</v>
      </c>
      <c r="B814" s="1015" t="s">
        <v>8901</v>
      </c>
      <c r="C814" s="1103" t="s">
        <v>8902</v>
      </c>
      <c r="D814" s="1015"/>
      <c r="E814" s="1104" t="s">
        <v>7446</v>
      </c>
      <c r="F814" s="1105"/>
      <c r="G814" s="1104">
        <v>80000</v>
      </c>
      <c r="H814" s="1104"/>
      <c r="I814" s="1104"/>
      <c r="J814" s="1104"/>
      <c r="K814" s="1104"/>
      <c r="L814" s="1104">
        <v>59200</v>
      </c>
      <c r="M814" s="1106">
        <v>59200</v>
      </c>
      <c r="N814" s="1159">
        <v>59200</v>
      </c>
      <c r="O814" s="1104">
        <v>59200</v>
      </c>
      <c r="P814" s="1107">
        <f t="shared" si="19"/>
        <v>59200</v>
      </c>
      <c r="Q814" s="1107">
        <f t="shared" si="19"/>
        <v>59200</v>
      </c>
      <c r="R814" s="1107">
        <f t="shared" si="19"/>
        <v>59200</v>
      </c>
      <c r="S814" s="1107">
        <f t="shared" si="19"/>
        <v>59200</v>
      </c>
    </row>
    <row r="815" spans="1:19">
      <c r="A815" s="1015">
        <v>656</v>
      </c>
      <c r="B815" s="1015" t="s">
        <v>8903</v>
      </c>
      <c r="C815" s="1103" t="s">
        <v>8904</v>
      </c>
      <c r="D815" s="1015"/>
      <c r="E815" s="1104" t="s">
        <v>7446</v>
      </c>
      <c r="F815" s="1105"/>
      <c r="G815" s="1104">
        <v>5500</v>
      </c>
      <c r="H815" s="1104"/>
      <c r="I815" s="1104"/>
      <c r="J815" s="1104"/>
      <c r="K815" s="1104"/>
      <c r="L815" s="1104">
        <v>4813</v>
      </c>
      <c r="M815" s="1106">
        <v>4813</v>
      </c>
      <c r="N815" s="1159">
        <v>4813</v>
      </c>
      <c r="O815" s="1104">
        <v>4813</v>
      </c>
      <c r="P815" s="1107">
        <f t="shared" si="19"/>
        <v>4813</v>
      </c>
      <c r="Q815" s="1107">
        <f t="shared" si="19"/>
        <v>4813</v>
      </c>
      <c r="R815" s="1107">
        <f t="shared" si="19"/>
        <v>4813</v>
      </c>
      <c r="S815" s="1107">
        <f t="shared" si="19"/>
        <v>4813</v>
      </c>
    </row>
    <row r="816" spans="1:19">
      <c r="A816" s="1015">
        <v>657</v>
      </c>
      <c r="B816" s="1015" t="s">
        <v>8905</v>
      </c>
      <c r="C816" s="1103" t="s">
        <v>8906</v>
      </c>
      <c r="D816" s="1015"/>
      <c r="E816" s="1104" t="s">
        <v>7446</v>
      </c>
      <c r="F816" s="1105"/>
      <c r="G816" s="1104">
        <v>15000</v>
      </c>
      <c r="H816" s="1104"/>
      <c r="I816" s="1104"/>
      <c r="J816" s="1104"/>
      <c r="K816" s="1104"/>
      <c r="L816" s="1104">
        <v>13125</v>
      </c>
      <c r="M816" s="1106">
        <v>13125</v>
      </c>
      <c r="N816" s="1159">
        <v>13125</v>
      </c>
      <c r="O816" s="1104">
        <v>13125</v>
      </c>
      <c r="P816" s="1107">
        <f t="shared" si="19"/>
        <v>13125</v>
      </c>
      <c r="Q816" s="1107">
        <f t="shared" si="19"/>
        <v>13125</v>
      </c>
      <c r="R816" s="1107">
        <f t="shared" si="19"/>
        <v>13125</v>
      </c>
      <c r="S816" s="1107">
        <f t="shared" si="19"/>
        <v>13125</v>
      </c>
    </row>
    <row r="817" spans="1:19">
      <c r="A817" s="1015">
        <v>658</v>
      </c>
      <c r="B817" s="1015" t="s">
        <v>8907</v>
      </c>
      <c r="C817" s="1103" t="s">
        <v>8908</v>
      </c>
      <c r="D817" s="1015"/>
      <c r="E817" s="1104" t="s">
        <v>7446</v>
      </c>
      <c r="F817" s="1105"/>
      <c r="G817" s="1104">
        <v>10000</v>
      </c>
      <c r="H817" s="1104"/>
      <c r="I817" s="1104"/>
      <c r="J817" s="1104"/>
      <c r="K817" s="1104"/>
      <c r="L817" s="1104">
        <v>8750</v>
      </c>
      <c r="M817" s="1106">
        <v>8750</v>
      </c>
      <c r="N817" s="1159">
        <v>8750</v>
      </c>
      <c r="O817" s="1104">
        <v>8750</v>
      </c>
      <c r="P817" s="1107">
        <f t="shared" si="19"/>
        <v>8750</v>
      </c>
      <c r="Q817" s="1107">
        <f t="shared" si="19"/>
        <v>8750</v>
      </c>
      <c r="R817" s="1107">
        <f t="shared" si="19"/>
        <v>8750</v>
      </c>
      <c r="S817" s="1107">
        <f t="shared" si="19"/>
        <v>8750</v>
      </c>
    </row>
    <row r="818" spans="1:19">
      <c r="A818" s="1015">
        <v>659</v>
      </c>
      <c r="B818" s="1015" t="s">
        <v>8909</v>
      </c>
      <c r="C818" s="1103" t="s">
        <v>8910</v>
      </c>
      <c r="D818" s="1015"/>
      <c r="E818" s="1104" t="s">
        <v>7446</v>
      </c>
      <c r="F818" s="1105"/>
      <c r="G818" s="1104">
        <v>10000</v>
      </c>
      <c r="H818" s="1104"/>
      <c r="I818" s="1104"/>
      <c r="J818" s="1104"/>
      <c r="K818" s="1104"/>
      <c r="L818" s="1104">
        <v>8750</v>
      </c>
      <c r="M818" s="1106">
        <v>8750</v>
      </c>
      <c r="N818" s="1159">
        <v>8750</v>
      </c>
      <c r="O818" s="1104">
        <v>8750</v>
      </c>
      <c r="P818" s="1107">
        <f t="shared" si="19"/>
        <v>8750</v>
      </c>
      <c r="Q818" s="1107">
        <f t="shared" si="19"/>
        <v>8750</v>
      </c>
      <c r="R818" s="1107">
        <f t="shared" si="19"/>
        <v>8750</v>
      </c>
      <c r="S818" s="1107">
        <f t="shared" si="19"/>
        <v>8750</v>
      </c>
    </row>
    <row r="819" spans="1:19">
      <c r="A819" s="1015">
        <v>660</v>
      </c>
      <c r="B819" s="1015" t="s">
        <v>8911</v>
      </c>
      <c r="C819" s="1103" t="s">
        <v>8912</v>
      </c>
      <c r="D819" s="1015"/>
      <c r="E819" s="1104" t="s">
        <v>7446</v>
      </c>
      <c r="F819" s="1105"/>
      <c r="G819" s="1104">
        <v>5000</v>
      </c>
      <c r="H819" s="1104"/>
      <c r="I819" s="1104"/>
      <c r="J819" s="1104"/>
      <c r="K819" s="1104"/>
      <c r="L819" s="1104">
        <v>4375</v>
      </c>
      <c r="M819" s="1106">
        <v>4375</v>
      </c>
      <c r="N819" s="1159">
        <v>4375</v>
      </c>
      <c r="O819" s="1104">
        <v>4375</v>
      </c>
      <c r="P819" s="1107">
        <f t="shared" si="19"/>
        <v>4375</v>
      </c>
      <c r="Q819" s="1107">
        <f t="shared" si="19"/>
        <v>4375</v>
      </c>
      <c r="R819" s="1107">
        <f t="shared" si="19"/>
        <v>4375</v>
      </c>
      <c r="S819" s="1107">
        <f t="shared" si="19"/>
        <v>4375</v>
      </c>
    </row>
    <row r="820" spans="1:19">
      <c r="A820" s="1015">
        <v>661</v>
      </c>
      <c r="B820" s="1015" t="s">
        <v>8913</v>
      </c>
      <c r="C820" s="1103" t="s">
        <v>8852</v>
      </c>
      <c r="D820" s="1015"/>
      <c r="E820" s="1104" t="s">
        <v>7446</v>
      </c>
      <c r="F820" s="1105"/>
      <c r="G820" s="1104">
        <v>1500</v>
      </c>
      <c r="H820" s="1104"/>
      <c r="I820" s="1104"/>
      <c r="J820" s="1104"/>
      <c r="K820" s="1104"/>
      <c r="L820" s="1104">
        <v>1313</v>
      </c>
      <c r="M820" s="1106">
        <v>1313</v>
      </c>
      <c r="N820" s="1159">
        <v>1313</v>
      </c>
      <c r="O820" s="1104">
        <v>1313</v>
      </c>
      <c r="P820" s="1107">
        <f t="shared" si="19"/>
        <v>1313</v>
      </c>
      <c r="Q820" s="1107">
        <f t="shared" si="19"/>
        <v>1313</v>
      </c>
      <c r="R820" s="1107">
        <f t="shared" si="19"/>
        <v>1313</v>
      </c>
      <c r="S820" s="1107">
        <f t="shared" si="19"/>
        <v>1313</v>
      </c>
    </row>
    <row r="821" spans="1:19">
      <c r="A821" s="1015">
        <v>662</v>
      </c>
      <c r="B821" s="1015" t="s">
        <v>8914</v>
      </c>
      <c r="C821" s="1103" t="s">
        <v>8915</v>
      </c>
      <c r="D821" s="1015"/>
      <c r="E821" s="1104" t="s">
        <v>7446</v>
      </c>
      <c r="F821" s="1105"/>
      <c r="G821" s="1104">
        <v>5000</v>
      </c>
      <c r="H821" s="1104"/>
      <c r="I821" s="1104"/>
      <c r="J821" s="1104"/>
      <c r="K821" s="1104"/>
      <c r="L821" s="1104">
        <v>4375</v>
      </c>
      <c r="M821" s="1106">
        <v>4375</v>
      </c>
      <c r="N821" s="1159">
        <v>4375</v>
      </c>
      <c r="O821" s="1104">
        <v>4375</v>
      </c>
      <c r="P821" s="1107">
        <f t="shared" si="19"/>
        <v>4375</v>
      </c>
      <c r="Q821" s="1107">
        <f t="shared" si="19"/>
        <v>4375</v>
      </c>
      <c r="R821" s="1107">
        <f t="shared" si="19"/>
        <v>4375</v>
      </c>
      <c r="S821" s="1107">
        <f t="shared" si="19"/>
        <v>4375</v>
      </c>
    </row>
    <row r="822" spans="1:19">
      <c r="A822" s="1015">
        <v>663</v>
      </c>
      <c r="B822" s="1015" t="s">
        <v>8916</v>
      </c>
      <c r="C822" s="1103" t="s">
        <v>8917</v>
      </c>
      <c r="D822" s="1015"/>
      <c r="E822" s="1104" t="s">
        <v>7446</v>
      </c>
      <c r="F822" s="1105"/>
      <c r="G822" s="1104">
        <v>5000</v>
      </c>
      <c r="H822" s="1104"/>
      <c r="I822" s="1104"/>
      <c r="J822" s="1104"/>
      <c r="K822" s="1104"/>
      <c r="L822" s="1104">
        <v>4375</v>
      </c>
      <c r="M822" s="1106">
        <v>4375</v>
      </c>
      <c r="N822" s="1159">
        <v>4375</v>
      </c>
      <c r="O822" s="1104">
        <v>4375</v>
      </c>
      <c r="P822" s="1107">
        <f t="shared" si="19"/>
        <v>4375</v>
      </c>
      <c r="Q822" s="1107">
        <f t="shared" si="19"/>
        <v>4375</v>
      </c>
      <c r="R822" s="1107">
        <f t="shared" si="19"/>
        <v>4375</v>
      </c>
      <c r="S822" s="1107">
        <f t="shared" si="19"/>
        <v>4375</v>
      </c>
    </row>
    <row r="823" spans="1:19">
      <c r="A823" s="1015">
        <v>664</v>
      </c>
      <c r="B823" s="1015" t="s">
        <v>8918</v>
      </c>
      <c r="C823" s="1103" t="s">
        <v>8919</v>
      </c>
      <c r="D823" s="1015"/>
      <c r="E823" s="1104" t="s">
        <v>7446</v>
      </c>
      <c r="F823" s="1105"/>
      <c r="G823" s="1104">
        <v>15000</v>
      </c>
      <c r="H823" s="1104"/>
      <c r="I823" s="1104"/>
      <c r="J823" s="1104"/>
      <c r="K823" s="1104"/>
      <c r="L823" s="1104">
        <v>12600</v>
      </c>
      <c r="M823" s="1106">
        <v>12600</v>
      </c>
      <c r="N823" s="1159">
        <v>12600</v>
      </c>
      <c r="O823" s="1104">
        <v>12600</v>
      </c>
      <c r="P823" s="1107">
        <f t="shared" si="19"/>
        <v>12600</v>
      </c>
      <c r="Q823" s="1107">
        <f t="shared" si="19"/>
        <v>12600</v>
      </c>
      <c r="R823" s="1107">
        <f t="shared" si="19"/>
        <v>12600</v>
      </c>
      <c r="S823" s="1107">
        <f t="shared" si="19"/>
        <v>12600</v>
      </c>
    </row>
    <row r="824" spans="1:19">
      <c r="A824" s="1015">
        <v>665</v>
      </c>
      <c r="B824" s="1015" t="s">
        <v>8920</v>
      </c>
      <c r="C824" s="1103" t="s">
        <v>8921</v>
      </c>
      <c r="D824" s="1015"/>
      <c r="E824" s="1104" t="s">
        <v>7446</v>
      </c>
      <c r="F824" s="1105"/>
      <c r="G824" s="1104">
        <v>10000</v>
      </c>
      <c r="H824" s="1104"/>
      <c r="I824" s="1104"/>
      <c r="J824" s="1104"/>
      <c r="K824" s="1104"/>
      <c r="L824" s="1104">
        <v>8400</v>
      </c>
      <c r="M824" s="1106">
        <v>8400</v>
      </c>
      <c r="N824" s="1159">
        <v>8400</v>
      </c>
      <c r="O824" s="1104">
        <v>8400</v>
      </c>
      <c r="P824" s="1107">
        <f t="shared" si="19"/>
        <v>8400</v>
      </c>
      <c r="Q824" s="1107">
        <f t="shared" si="19"/>
        <v>8400</v>
      </c>
      <c r="R824" s="1107">
        <f t="shared" si="19"/>
        <v>8400</v>
      </c>
      <c r="S824" s="1107">
        <f t="shared" si="19"/>
        <v>8400</v>
      </c>
    </row>
    <row r="825" spans="1:19">
      <c r="A825" s="1015">
        <v>666</v>
      </c>
      <c r="B825" s="1015" t="s">
        <v>8922</v>
      </c>
      <c r="C825" s="1103" t="s">
        <v>8923</v>
      </c>
      <c r="D825" s="1015"/>
      <c r="E825" s="1104" t="s">
        <v>7446</v>
      </c>
      <c r="F825" s="1105"/>
      <c r="G825" s="1104">
        <v>5000</v>
      </c>
      <c r="H825" s="1104"/>
      <c r="I825" s="1104"/>
      <c r="J825" s="1104"/>
      <c r="K825" s="1104"/>
      <c r="L825" s="1104">
        <v>4200</v>
      </c>
      <c r="M825" s="1106">
        <v>4200</v>
      </c>
      <c r="N825" s="1159">
        <v>4200</v>
      </c>
      <c r="O825" s="1104">
        <v>4200</v>
      </c>
      <c r="P825" s="1107">
        <f t="shared" si="19"/>
        <v>4200</v>
      </c>
      <c r="Q825" s="1107">
        <f t="shared" si="19"/>
        <v>4200</v>
      </c>
      <c r="R825" s="1107">
        <f t="shared" si="19"/>
        <v>4200</v>
      </c>
      <c r="S825" s="1107">
        <f t="shared" si="19"/>
        <v>4200</v>
      </c>
    </row>
    <row r="826" spans="1:19">
      <c r="A826" s="1015">
        <v>667</v>
      </c>
      <c r="B826" s="1015" t="s">
        <v>8924</v>
      </c>
      <c r="C826" s="1103" t="s">
        <v>8925</v>
      </c>
      <c r="D826" s="1015"/>
      <c r="E826" s="1104" t="s">
        <v>7446</v>
      </c>
      <c r="F826" s="1105"/>
      <c r="G826" s="1104">
        <v>60000</v>
      </c>
      <c r="H826" s="1104"/>
      <c r="I826" s="1104"/>
      <c r="J826" s="1104"/>
      <c r="K826" s="1104"/>
      <c r="L826" s="1104">
        <v>47400</v>
      </c>
      <c r="M826" s="1106">
        <v>47400</v>
      </c>
      <c r="N826" s="1159">
        <v>47400</v>
      </c>
      <c r="O826" s="1104">
        <v>47400</v>
      </c>
      <c r="P826" s="1107">
        <f t="shared" si="19"/>
        <v>47400</v>
      </c>
      <c r="Q826" s="1107">
        <f t="shared" si="19"/>
        <v>47400</v>
      </c>
      <c r="R826" s="1107">
        <f t="shared" si="19"/>
        <v>47400</v>
      </c>
      <c r="S826" s="1107">
        <f t="shared" si="19"/>
        <v>47400</v>
      </c>
    </row>
    <row r="827" spans="1:19">
      <c r="A827" s="1015">
        <v>668</v>
      </c>
      <c r="B827" s="1015" t="s">
        <v>8926</v>
      </c>
      <c r="C827" s="1103" t="s">
        <v>8927</v>
      </c>
      <c r="D827" s="1015"/>
      <c r="E827" s="1104" t="s">
        <v>7446</v>
      </c>
      <c r="F827" s="1105"/>
      <c r="G827" s="1104">
        <v>139</v>
      </c>
      <c r="H827" s="1104"/>
      <c r="I827" s="1104"/>
      <c r="J827" s="1104"/>
      <c r="K827" s="1104"/>
      <c r="L827" s="1104">
        <v>117</v>
      </c>
      <c r="M827" s="1106">
        <v>117</v>
      </c>
      <c r="N827" s="1159">
        <v>117</v>
      </c>
      <c r="O827" s="1104">
        <v>117</v>
      </c>
      <c r="P827" s="1107">
        <f t="shared" si="19"/>
        <v>117</v>
      </c>
      <c r="Q827" s="1107">
        <f t="shared" si="19"/>
        <v>117</v>
      </c>
      <c r="R827" s="1107">
        <f t="shared" si="19"/>
        <v>117</v>
      </c>
      <c r="S827" s="1107">
        <f t="shared" si="19"/>
        <v>117</v>
      </c>
    </row>
    <row r="828" spans="1:19">
      <c r="A828" s="1015">
        <v>669</v>
      </c>
      <c r="B828" s="1015" t="s">
        <v>8928</v>
      </c>
      <c r="C828" s="1103" t="s">
        <v>8929</v>
      </c>
      <c r="D828" s="1015"/>
      <c r="E828" s="1104" t="s">
        <v>7446</v>
      </c>
      <c r="F828" s="1105"/>
      <c r="G828" s="1104">
        <v>139</v>
      </c>
      <c r="H828" s="1104"/>
      <c r="I828" s="1104"/>
      <c r="J828" s="1104"/>
      <c r="K828" s="1104"/>
      <c r="L828" s="1104">
        <v>117</v>
      </c>
      <c r="M828" s="1106">
        <v>117</v>
      </c>
      <c r="N828" s="1159">
        <v>117</v>
      </c>
      <c r="O828" s="1104">
        <v>117</v>
      </c>
      <c r="P828" s="1107">
        <f t="shared" si="19"/>
        <v>117</v>
      </c>
      <c r="Q828" s="1107">
        <f t="shared" si="19"/>
        <v>117</v>
      </c>
      <c r="R828" s="1107">
        <f t="shared" si="19"/>
        <v>117</v>
      </c>
      <c r="S828" s="1107">
        <f t="shared" si="19"/>
        <v>117</v>
      </c>
    </row>
    <row r="829" spans="1:19">
      <c r="A829" s="1015">
        <v>670</v>
      </c>
      <c r="B829" s="1015" t="s">
        <v>8930</v>
      </c>
      <c r="C829" s="1103" t="s">
        <v>8931</v>
      </c>
      <c r="D829" s="1015"/>
      <c r="E829" s="1104" t="s">
        <v>7446</v>
      </c>
      <c r="F829" s="1105"/>
      <c r="G829" s="1104">
        <v>119581</v>
      </c>
      <c r="H829" s="1104"/>
      <c r="I829" s="1104"/>
      <c r="J829" s="1104"/>
      <c r="K829" s="1104"/>
      <c r="L829" s="1104">
        <v>149078</v>
      </c>
      <c r="M829" s="1106">
        <v>149078</v>
      </c>
      <c r="N829" s="1159">
        <v>149078</v>
      </c>
      <c r="O829" s="1104">
        <v>149078</v>
      </c>
      <c r="P829" s="1107">
        <f t="shared" si="19"/>
        <v>149078</v>
      </c>
      <c r="Q829" s="1107">
        <f t="shared" si="19"/>
        <v>149078</v>
      </c>
      <c r="R829" s="1107">
        <f t="shared" si="19"/>
        <v>149078</v>
      </c>
      <c r="S829" s="1107">
        <f t="shared" si="19"/>
        <v>149078</v>
      </c>
    </row>
    <row r="830" spans="1:19">
      <c r="A830" s="1015">
        <v>671</v>
      </c>
      <c r="B830" s="1015" t="s">
        <v>8932</v>
      </c>
      <c r="C830" s="1103" t="s">
        <v>8933</v>
      </c>
      <c r="D830" s="1015"/>
      <c r="E830" s="1104" t="s">
        <v>7446</v>
      </c>
      <c r="F830" s="1105"/>
      <c r="G830" s="1104">
        <v>99975</v>
      </c>
      <c r="H830" s="1104"/>
      <c r="I830" s="1104"/>
      <c r="J830" s="1104"/>
      <c r="K830" s="1104"/>
      <c r="L830" s="1104">
        <v>84979</v>
      </c>
      <c r="M830" s="1106">
        <v>84979</v>
      </c>
      <c r="N830" s="1159">
        <v>84979</v>
      </c>
      <c r="O830" s="1104">
        <v>84979</v>
      </c>
      <c r="P830" s="1107">
        <f t="shared" si="19"/>
        <v>84979</v>
      </c>
      <c r="Q830" s="1107">
        <f t="shared" si="19"/>
        <v>84979</v>
      </c>
      <c r="R830" s="1107">
        <f t="shared" si="19"/>
        <v>84979</v>
      </c>
      <c r="S830" s="1107">
        <f t="shared" si="19"/>
        <v>84979</v>
      </c>
    </row>
    <row r="831" spans="1:19">
      <c r="A831" s="1015">
        <v>672</v>
      </c>
      <c r="B831" s="1015" t="s">
        <v>8934</v>
      </c>
      <c r="C831" s="1103" t="s">
        <v>8935</v>
      </c>
      <c r="D831" s="1015"/>
      <c r="E831" s="1104" t="s">
        <v>7446</v>
      </c>
      <c r="F831" s="1105"/>
      <c r="G831" s="1104">
        <v>10089</v>
      </c>
      <c r="H831" s="1104"/>
      <c r="I831" s="1104"/>
      <c r="J831" s="1104"/>
      <c r="K831" s="1104"/>
      <c r="L831" s="1104">
        <v>9630</v>
      </c>
      <c r="M831" s="1106">
        <v>9630</v>
      </c>
      <c r="N831" s="1159">
        <v>9630</v>
      </c>
      <c r="O831" s="1104">
        <v>9630</v>
      </c>
      <c r="P831" s="1107">
        <f t="shared" si="19"/>
        <v>9630</v>
      </c>
      <c r="Q831" s="1107">
        <f t="shared" si="19"/>
        <v>9630</v>
      </c>
      <c r="R831" s="1107">
        <f t="shared" si="19"/>
        <v>9630</v>
      </c>
      <c r="S831" s="1107">
        <f t="shared" si="19"/>
        <v>9630</v>
      </c>
    </row>
    <row r="832" spans="1:19">
      <c r="A832" s="1015">
        <v>673</v>
      </c>
      <c r="B832" s="1015" t="s">
        <v>8936</v>
      </c>
      <c r="C832" s="1103" t="s">
        <v>8937</v>
      </c>
      <c r="D832" s="1015"/>
      <c r="E832" s="1104" t="s">
        <v>7446</v>
      </c>
      <c r="F832" s="1105"/>
      <c r="G832" s="1104">
        <v>18917</v>
      </c>
      <c r="H832" s="1104"/>
      <c r="I832" s="1104"/>
      <c r="J832" s="1104"/>
      <c r="K832" s="1104"/>
      <c r="L832" s="1104">
        <v>17627</v>
      </c>
      <c r="M832" s="1106">
        <v>17627</v>
      </c>
      <c r="N832" s="1159">
        <v>17627</v>
      </c>
      <c r="O832" s="1104">
        <v>17627</v>
      </c>
      <c r="P832" s="1107">
        <f t="shared" si="19"/>
        <v>17627</v>
      </c>
      <c r="Q832" s="1107">
        <f t="shared" si="19"/>
        <v>17627</v>
      </c>
      <c r="R832" s="1107">
        <f t="shared" si="19"/>
        <v>17627</v>
      </c>
      <c r="S832" s="1107">
        <f t="shared" si="19"/>
        <v>17627</v>
      </c>
    </row>
    <row r="833" spans="1:19">
      <c r="A833" s="1015">
        <v>674</v>
      </c>
      <c r="B833" s="1015" t="s">
        <v>8938</v>
      </c>
      <c r="C833" s="1103" t="s">
        <v>8939</v>
      </c>
      <c r="D833" s="1015"/>
      <c r="E833" s="1104" t="s">
        <v>7446</v>
      </c>
      <c r="F833" s="1105"/>
      <c r="G833" s="1104">
        <v>7452</v>
      </c>
      <c r="H833" s="1104"/>
      <c r="I833" s="1104"/>
      <c r="J833" s="1104"/>
      <c r="K833" s="1104"/>
      <c r="L833" s="1104">
        <v>6521</v>
      </c>
      <c r="M833" s="1106">
        <v>6521</v>
      </c>
      <c r="N833" s="1159">
        <v>6521</v>
      </c>
      <c r="O833" s="1104">
        <v>6521</v>
      </c>
      <c r="P833" s="1107">
        <f t="shared" si="19"/>
        <v>6521</v>
      </c>
      <c r="Q833" s="1107">
        <f t="shared" si="19"/>
        <v>6521</v>
      </c>
      <c r="R833" s="1107">
        <f t="shared" si="19"/>
        <v>6521</v>
      </c>
      <c r="S833" s="1107">
        <f t="shared" si="19"/>
        <v>6521</v>
      </c>
    </row>
    <row r="834" spans="1:19">
      <c r="A834" s="1015">
        <v>675</v>
      </c>
      <c r="B834" s="1015" t="s">
        <v>8940</v>
      </c>
      <c r="C834" s="1103" t="s">
        <v>8941</v>
      </c>
      <c r="D834" s="1015"/>
      <c r="E834" s="1104" t="s">
        <v>7446</v>
      </c>
      <c r="F834" s="1105"/>
      <c r="G834" s="1104">
        <v>500</v>
      </c>
      <c r="H834" s="1104"/>
      <c r="I834" s="1104"/>
      <c r="J834" s="1104"/>
      <c r="K834" s="1104"/>
      <c r="L834" s="1104">
        <v>1350</v>
      </c>
      <c r="M834" s="1106">
        <v>1350</v>
      </c>
      <c r="N834" s="1159">
        <v>1350</v>
      </c>
      <c r="O834" s="1104">
        <v>1350</v>
      </c>
      <c r="P834" s="1107">
        <f t="shared" si="19"/>
        <v>1350</v>
      </c>
      <c r="Q834" s="1107">
        <f t="shared" si="19"/>
        <v>1350</v>
      </c>
      <c r="R834" s="1107">
        <f t="shared" si="19"/>
        <v>1350</v>
      </c>
      <c r="S834" s="1107">
        <f t="shared" si="19"/>
        <v>1350</v>
      </c>
    </row>
    <row r="835" spans="1:19">
      <c r="A835" s="1015">
        <v>676</v>
      </c>
      <c r="B835" s="1015" t="s">
        <v>8942</v>
      </c>
      <c r="C835" s="1103" t="s">
        <v>8943</v>
      </c>
      <c r="D835" s="1015"/>
      <c r="E835" s="1104" t="s">
        <v>7446</v>
      </c>
      <c r="F835" s="1105"/>
      <c r="G835" s="1104">
        <v>27000</v>
      </c>
      <c r="H835" s="1104"/>
      <c r="I835" s="1104"/>
      <c r="J835" s="1104"/>
      <c r="K835" s="1104"/>
      <c r="L835" s="1104">
        <v>22275</v>
      </c>
      <c r="M835" s="1106">
        <v>22275</v>
      </c>
      <c r="N835" s="1159">
        <v>22275</v>
      </c>
      <c r="O835" s="1104">
        <v>22275</v>
      </c>
      <c r="P835" s="1107">
        <f t="shared" si="19"/>
        <v>22275</v>
      </c>
      <c r="Q835" s="1107">
        <f t="shared" si="19"/>
        <v>22275</v>
      </c>
      <c r="R835" s="1107">
        <f t="shared" si="19"/>
        <v>22275</v>
      </c>
      <c r="S835" s="1107">
        <f t="shared" si="19"/>
        <v>22275</v>
      </c>
    </row>
    <row r="836" spans="1:19">
      <c r="A836" s="1015">
        <v>677</v>
      </c>
      <c r="B836" s="1015" t="s">
        <v>8944</v>
      </c>
      <c r="C836" s="1103" t="s">
        <v>8945</v>
      </c>
      <c r="D836" s="1015"/>
      <c r="E836" s="1104" t="s">
        <v>7446</v>
      </c>
      <c r="F836" s="1105"/>
      <c r="G836" s="1104">
        <v>1500</v>
      </c>
      <c r="H836" s="1104"/>
      <c r="I836" s="1104"/>
      <c r="J836" s="1104"/>
      <c r="K836" s="1104"/>
      <c r="L836" s="1104">
        <v>1538</v>
      </c>
      <c r="M836" s="1106">
        <v>1538</v>
      </c>
      <c r="N836" s="1159">
        <v>1538</v>
      </c>
      <c r="O836" s="1104">
        <v>1538</v>
      </c>
      <c r="P836" s="1107">
        <f t="shared" si="19"/>
        <v>1538</v>
      </c>
      <c r="Q836" s="1107">
        <f t="shared" si="19"/>
        <v>1538</v>
      </c>
      <c r="R836" s="1107">
        <f t="shared" si="19"/>
        <v>1538</v>
      </c>
      <c r="S836" s="1107">
        <f t="shared" si="19"/>
        <v>1538</v>
      </c>
    </row>
    <row r="837" spans="1:19">
      <c r="A837" s="1015">
        <v>678</v>
      </c>
      <c r="B837" s="1015" t="s">
        <v>8946</v>
      </c>
      <c r="C837" s="1103" t="s">
        <v>8947</v>
      </c>
      <c r="D837" s="1015"/>
      <c r="E837" s="1104" t="s">
        <v>7446</v>
      </c>
      <c r="F837" s="1105"/>
      <c r="G837" s="1104">
        <v>303030</v>
      </c>
      <c r="H837" s="1104"/>
      <c r="I837" s="1104"/>
      <c r="J837" s="1104"/>
      <c r="K837" s="1104"/>
      <c r="L837" s="1104">
        <v>234848</v>
      </c>
      <c r="M837" s="1106">
        <v>234848</v>
      </c>
      <c r="N837" s="1159">
        <v>234848</v>
      </c>
      <c r="O837" s="1104">
        <v>234848</v>
      </c>
      <c r="P837" s="1107">
        <f t="shared" si="19"/>
        <v>234848</v>
      </c>
      <c r="Q837" s="1107">
        <f t="shared" si="19"/>
        <v>234848</v>
      </c>
      <c r="R837" s="1107">
        <f t="shared" si="19"/>
        <v>234848</v>
      </c>
      <c r="S837" s="1107">
        <f t="shared" si="19"/>
        <v>234848</v>
      </c>
    </row>
    <row r="838" spans="1:19">
      <c r="A838" s="1015">
        <v>679</v>
      </c>
      <c r="B838" s="1015" t="s">
        <v>8948</v>
      </c>
      <c r="C838" s="1103" t="s">
        <v>8949</v>
      </c>
      <c r="D838" s="1015"/>
      <c r="E838" s="1104" t="s">
        <v>7446</v>
      </c>
      <c r="F838" s="1105"/>
      <c r="G838" s="1104">
        <v>500</v>
      </c>
      <c r="H838" s="1104"/>
      <c r="I838" s="1104"/>
      <c r="J838" s="1104"/>
      <c r="K838" s="1104"/>
      <c r="L838" s="1104">
        <v>513</v>
      </c>
      <c r="M838" s="1106">
        <v>513</v>
      </c>
      <c r="N838" s="1159">
        <v>513</v>
      </c>
      <c r="O838" s="1104">
        <v>513</v>
      </c>
      <c r="P838" s="1107">
        <f t="shared" si="19"/>
        <v>513</v>
      </c>
      <c r="Q838" s="1107">
        <f t="shared" si="19"/>
        <v>513</v>
      </c>
      <c r="R838" s="1107">
        <f t="shared" si="19"/>
        <v>513</v>
      </c>
      <c r="S838" s="1107">
        <f t="shared" si="19"/>
        <v>513</v>
      </c>
    </row>
    <row r="839" spans="1:19">
      <c r="A839" s="1015">
        <v>680</v>
      </c>
      <c r="B839" s="1015" t="s">
        <v>8950</v>
      </c>
      <c r="C839" s="1103" t="s">
        <v>8951</v>
      </c>
      <c r="D839" s="1015"/>
      <c r="E839" s="1104" t="s">
        <v>7446</v>
      </c>
      <c r="F839" s="1105"/>
      <c r="G839" s="1104">
        <v>1200</v>
      </c>
      <c r="H839" s="1104"/>
      <c r="I839" s="1104"/>
      <c r="J839" s="1104"/>
      <c r="K839" s="1104"/>
      <c r="L839" s="1104">
        <v>1230</v>
      </c>
      <c r="M839" s="1106">
        <v>1230</v>
      </c>
      <c r="N839" s="1159">
        <v>1230</v>
      </c>
      <c r="O839" s="1104">
        <v>1230</v>
      </c>
      <c r="P839" s="1107">
        <f t="shared" si="19"/>
        <v>1230</v>
      </c>
      <c r="Q839" s="1107">
        <f t="shared" si="19"/>
        <v>1230</v>
      </c>
      <c r="R839" s="1107">
        <f t="shared" si="19"/>
        <v>1230</v>
      </c>
      <c r="S839" s="1107">
        <f t="shared" si="19"/>
        <v>1230</v>
      </c>
    </row>
    <row r="840" spans="1:19">
      <c r="A840" s="1015">
        <v>681</v>
      </c>
      <c r="B840" s="1015" t="s">
        <v>8952</v>
      </c>
      <c r="C840" s="1103" t="s">
        <v>8953</v>
      </c>
      <c r="D840" s="1015"/>
      <c r="E840" s="1104" t="s">
        <v>7446</v>
      </c>
      <c r="F840" s="1105"/>
      <c r="G840" s="1104">
        <v>1200</v>
      </c>
      <c r="H840" s="1104"/>
      <c r="I840" s="1104"/>
      <c r="J840" s="1104"/>
      <c r="K840" s="1104"/>
      <c r="L840" s="1104">
        <v>1230</v>
      </c>
      <c r="M840" s="1106">
        <v>1230</v>
      </c>
      <c r="N840" s="1159">
        <v>1230</v>
      </c>
      <c r="O840" s="1104">
        <v>1230</v>
      </c>
      <c r="P840" s="1107">
        <f t="shared" si="19"/>
        <v>1230</v>
      </c>
      <c r="Q840" s="1107">
        <f t="shared" si="19"/>
        <v>1230</v>
      </c>
      <c r="R840" s="1107">
        <f t="shared" si="19"/>
        <v>1230</v>
      </c>
      <c r="S840" s="1107">
        <f t="shared" si="19"/>
        <v>1230</v>
      </c>
    </row>
    <row r="841" spans="1:19">
      <c r="A841" s="1015">
        <v>682</v>
      </c>
      <c r="B841" s="1015" t="s">
        <v>8954</v>
      </c>
      <c r="C841" s="1103" t="s">
        <v>8955</v>
      </c>
      <c r="D841" s="1015"/>
      <c r="E841" s="1104" t="s">
        <v>7446</v>
      </c>
      <c r="F841" s="1105"/>
      <c r="G841" s="1104">
        <v>1900</v>
      </c>
      <c r="H841" s="1104"/>
      <c r="I841" s="1104"/>
      <c r="J841" s="1104"/>
      <c r="K841" s="1104"/>
      <c r="L841" s="1104">
        <v>1948</v>
      </c>
      <c r="M841" s="1106">
        <v>1948</v>
      </c>
      <c r="N841" s="1159">
        <v>1948</v>
      </c>
      <c r="O841" s="1104">
        <v>1948</v>
      </c>
      <c r="P841" s="1107">
        <f t="shared" si="19"/>
        <v>1948</v>
      </c>
      <c r="Q841" s="1107">
        <f t="shared" si="19"/>
        <v>1948</v>
      </c>
      <c r="R841" s="1107">
        <f t="shared" si="19"/>
        <v>1948</v>
      </c>
      <c r="S841" s="1107">
        <f t="shared" ref="S841:S904" si="20">K841+O841</f>
        <v>1948</v>
      </c>
    </row>
    <row r="842" spans="1:19">
      <c r="A842" s="1015">
        <v>683</v>
      </c>
      <c r="B842" s="1015" t="s">
        <v>8956</v>
      </c>
      <c r="C842" s="1103" t="s">
        <v>8957</v>
      </c>
      <c r="D842" s="1015"/>
      <c r="E842" s="1104" t="s">
        <v>7446</v>
      </c>
      <c r="F842" s="1105"/>
      <c r="G842" s="1104">
        <v>2200</v>
      </c>
      <c r="H842" s="1104"/>
      <c r="I842" s="1104"/>
      <c r="J842" s="1104"/>
      <c r="K842" s="1104"/>
      <c r="L842" s="1104">
        <v>1782</v>
      </c>
      <c r="M842" s="1106">
        <v>1782</v>
      </c>
      <c r="N842" s="1159">
        <v>1782</v>
      </c>
      <c r="O842" s="1104">
        <v>1782</v>
      </c>
      <c r="P842" s="1107">
        <f t="shared" ref="P842:S905" si="21">H842+L842</f>
        <v>1782</v>
      </c>
      <c r="Q842" s="1107">
        <f t="shared" si="21"/>
        <v>1782</v>
      </c>
      <c r="R842" s="1107">
        <f t="shared" si="21"/>
        <v>1782</v>
      </c>
      <c r="S842" s="1107">
        <f t="shared" si="20"/>
        <v>1782</v>
      </c>
    </row>
    <row r="843" spans="1:19">
      <c r="A843" s="1015">
        <v>684</v>
      </c>
      <c r="B843" s="1015" t="s">
        <v>8958</v>
      </c>
      <c r="C843" s="1103" t="s">
        <v>8959</v>
      </c>
      <c r="D843" s="1015"/>
      <c r="E843" s="1104" t="s">
        <v>7446</v>
      </c>
      <c r="F843" s="1105"/>
      <c r="G843" s="1104">
        <v>3000</v>
      </c>
      <c r="H843" s="1104"/>
      <c r="I843" s="1104"/>
      <c r="J843" s="1104"/>
      <c r="K843" s="1104"/>
      <c r="L843" s="1104">
        <v>2625</v>
      </c>
      <c r="M843" s="1106">
        <v>2625</v>
      </c>
      <c r="N843" s="1159">
        <v>2625</v>
      </c>
      <c r="O843" s="1104">
        <v>2625</v>
      </c>
      <c r="P843" s="1107">
        <f t="shared" si="21"/>
        <v>2625</v>
      </c>
      <c r="Q843" s="1107">
        <f t="shared" si="21"/>
        <v>2625</v>
      </c>
      <c r="R843" s="1107">
        <f t="shared" si="21"/>
        <v>2625</v>
      </c>
      <c r="S843" s="1107">
        <f t="shared" si="20"/>
        <v>2625</v>
      </c>
    </row>
    <row r="844" spans="1:19">
      <c r="A844" s="1015">
        <v>685</v>
      </c>
      <c r="B844" s="1015" t="s">
        <v>8960</v>
      </c>
      <c r="C844" s="1103" t="s">
        <v>8961</v>
      </c>
      <c r="D844" s="1015"/>
      <c r="E844" s="1104" t="s">
        <v>7446</v>
      </c>
      <c r="F844" s="1105"/>
      <c r="G844" s="1104">
        <v>1000</v>
      </c>
      <c r="H844" s="1104"/>
      <c r="I844" s="1104"/>
      <c r="J844" s="1104"/>
      <c r="K844" s="1104"/>
      <c r="L844" s="1104">
        <v>875</v>
      </c>
      <c r="M844" s="1106">
        <v>875</v>
      </c>
      <c r="N844" s="1159">
        <v>875</v>
      </c>
      <c r="O844" s="1104">
        <v>875</v>
      </c>
      <c r="P844" s="1107">
        <f t="shared" si="21"/>
        <v>875</v>
      </c>
      <c r="Q844" s="1107">
        <f t="shared" si="21"/>
        <v>875</v>
      </c>
      <c r="R844" s="1107">
        <f t="shared" si="21"/>
        <v>875</v>
      </c>
      <c r="S844" s="1107">
        <f t="shared" si="20"/>
        <v>875</v>
      </c>
    </row>
    <row r="845" spans="1:19">
      <c r="A845" s="1015">
        <v>686</v>
      </c>
      <c r="B845" s="1015" t="s">
        <v>8962</v>
      </c>
      <c r="C845" s="1103" t="s">
        <v>8963</v>
      </c>
      <c r="D845" s="1015"/>
      <c r="E845" s="1104" t="s">
        <v>7446</v>
      </c>
      <c r="F845" s="1105"/>
      <c r="G845" s="1104">
        <v>37261</v>
      </c>
      <c r="H845" s="1104"/>
      <c r="I845" s="1104"/>
      <c r="J845" s="1104"/>
      <c r="K845" s="1104"/>
      <c r="L845" s="1104">
        <v>28877</v>
      </c>
      <c r="M845" s="1106">
        <v>28877</v>
      </c>
      <c r="N845" s="1159">
        <v>28877</v>
      </c>
      <c r="O845" s="1104">
        <v>28877</v>
      </c>
      <c r="P845" s="1107">
        <f t="shared" si="21"/>
        <v>28877</v>
      </c>
      <c r="Q845" s="1107">
        <f t="shared" si="21"/>
        <v>28877</v>
      </c>
      <c r="R845" s="1107">
        <f t="shared" si="21"/>
        <v>28877</v>
      </c>
      <c r="S845" s="1107">
        <f t="shared" si="20"/>
        <v>28877</v>
      </c>
    </row>
    <row r="846" spans="1:19">
      <c r="A846" s="1015">
        <v>687</v>
      </c>
      <c r="B846" s="1015" t="s">
        <v>8964</v>
      </c>
      <c r="C846" s="1103" t="s">
        <v>8965</v>
      </c>
      <c r="D846" s="1015"/>
      <c r="E846" s="1104" t="s">
        <v>7446</v>
      </c>
      <c r="F846" s="1105"/>
      <c r="G846" s="1104">
        <v>10000</v>
      </c>
      <c r="H846" s="1104"/>
      <c r="I846" s="1104"/>
      <c r="J846" s="1104"/>
      <c r="K846" s="1104"/>
      <c r="L846" s="1104">
        <v>8750</v>
      </c>
      <c r="M846" s="1106">
        <v>8750</v>
      </c>
      <c r="N846" s="1159">
        <v>8750</v>
      </c>
      <c r="O846" s="1104">
        <v>8750</v>
      </c>
      <c r="P846" s="1107">
        <f t="shared" si="21"/>
        <v>8750</v>
      </c>
      <c r="Q846" s="1107">
        <f t="shared" si="21"/>
        <v>8750</v>
      </c>
      <c r="R846" s="1107">
        <f t="shared" si="21"/>
        <v>8750</v>
      </c>
      <c r="S846" s="1107">
        <f t="shared" si="20"/>
        <v>8750</v>
      </c>
    </row>
    <row r="847" spans="1:19">
      <c r="A847" s="1015">
        <v>688</v>
      </c>
      <c r="B847" s="1015" t="s">
        <v>8966</v>
      </c>
      <c r="C847" s="1103" t="s">
        <v>8967</v>
      </c>
      <c r="D847" s="1015"/>
      <c r="E847" s="1104" t="s">
        <v>7446</v>
      </c>
      <c r="F847" s="1105"/>
      <c r="G847" s="1104">
        <v>2056833</v>
      </c>
      <c r="H847" s="1104"/>
      <c r="I847" s="1104"/>
      <c r="J847" s="1104"/>
      <c r="K847" s="1104"/>
      <c r="L847" s="1104">
        <v>1645466</v>
      </c>
      <c r="M847" s="1106">
        <v>1645466</v>
      </c>
      <c r="N847" s="1159">
        <v>1645466</v>
      </c>
      <c r="O847" s="1104">
        <v>1645466</v>
      </c>
      <c r="P847" s="1107">
        <f t="shared" si="21"/>
        <v>1645466</v>
      </c>
      <c r="Q847" s="1107">
        <f t="shared" si="21"/>
        <v>1645466</v>
      </c>
      <c r="R847" s="1107">
        <f t="shared" si="21"/>
        <v>1645466</v>
      </c>
      <c r="S847" s="1107">
        <f t="shared" si="20"/>
        <v>1645466</v>
      </c>
    </row>
    <row r="848" spans="1:19">
      <c r="A848" s="1015">
        <v>689</v>
      </c>
      <c r="B848" s="1015" t="s">
        <v>8968</v>
      </c>
      <c r="C848" s="1103" t="s">
        <v>8969</v>
      </c>
      <c r="D848" s="1015"/>
      <c r="E848" s="1104" t="s">
        <v>7446</v>
      </c>
      <c r="F848" s="1105"/>
      <c r="G848" s="1104">
        <v>1200</v>
      </c>
      <c r="H848" s="1104"/>
      <c r="I848" s="1104"/>
      <c r="J848" s="1104"/>
      <c r="K848" s="1104"/>
      <c r="L848" s="1104">
        <v>2967</v>
      </c>
      <c r="M848" s="1106">
        <v>2967</v>
      </c>
      <c r="N848" s="1159">
        <v>2967</v>
      </c>
      <c r="O848" s="1104">
        <v>2967</v>
      </c>
      <c r="P848" s="1107">
        <f t="shared" si="21"/>
        <v>2967</v>
      </c>
      <c r="Q848" s="1107">
        <f t="shared" si="21"/>
        <v>2967</v>
      </c>
      <c r="R848" s="1107">
        <f t="shared" si="21"/>
        <v>2967</v>
      </c>
      <c r="S848" s="1107">
        <f t="shared" si="20"/>
        <v>2967</v>
      </c>
    </row>
    <row r="849" spans="1:19">
      <c r="A849" s="1015">
        <v>690</v>
      </c>
      <c r="B849" s="1015" t="s">
        <v>8970</v>
      </c>
      <c r="C849" s="1103" t="s">
        <v>8971</v>
      </c>
      <c r="D849" s="1015"/>
      <c r="E849" s="1104" t="s">
        <v>7446</v>
      </c>
      <c r="F849" s="1105"/>
      <c r="G849" s="1104">
        <v>3979</v>
      </c>
      <c r="H849" s="1104"/>
      <c r="I849" s="1104"/>
      <c r="J849" s="1104"/>
      <c r="K849" s="1104"/>
      <c r="L849" s="1104">
        <v>3482</v>
      </c>
      <c r="M849" s="1106">
        <v>3482</v>
      </c>
      <c r="N849" s="1159">
        <v>3482</v>
      </c>
      <c r="O849" s="1104">
        <v>3482</v>
      </c>
      <c r="P849" s="1107">
        <f t="shared" si="21"/>
        <v>3482</v>
      </c>
      <c r="Q849" s="1107">
        <f t="shared" si="21"/>
        <v>3482</v>
      </c>
      <c r="R849" s="1107">
        <f t="shared" si="21"/>
        <v>3482</v>
      </c>
      <c r="S849" s="1107">
        <f t="shared" si="20"/>
        <v>3482</v>
      </c>
    </row>
    <row r="850" spans="1:19">
      <c r="A850" s="1015">
        <v>691</v>
      </c>
      <c r="B850" s="1015" t="s">
        <v>8972</v>
      </c>
      <c r="C850" s="1103" t="s">
        <v>8973</v>
      </c>
      <c r="D850" s="1015"/>
      <c r="E850" s="1104" t="s">
        <v>7446</v>
      </c>
      <c r="F850" s="1105"/>
      <c r="G850" s="1104">
        <v>25</v>
      </c>
      <c r="H850" s="1104"/>
      <c r="I850" s="1104"/>
      <c r="J850" s="1104"/>
      <c r="K850" s="1104"/>
      <c r="L850" s="1104">
        <v>20625</v>
      </c>
      <c r="M850" s="1106">
        <v>20625</v>
      </c>
      <c r="N850" s="1159">
        <v>20625</v>
      </c>
      <c r="O850" s="1104">
        <v>20625</v>
      </c>
      <c r="P850" s="1107">
        <f t="shared" si="21"/>
        <v>20625</v>
      </c>
      <c r="Q850" s="1107">
        <f t="shared" si="21"/>
        <v>20625</v>
      </c>
      <c r="R850" s="1107">
        <f t="shared" si="21"/>
        <v>20625</v>
      </c>
      <c r="S850" s="1107">
        <f t="shared" si="20"/>
        <v>20625</v>
      </c>
    </row>
    <row r="851" spans="1:19">
      <c r="A851" s="1015">
        <v>692</v>
      </c>
      <c r="B851" s="1015" t="s">
        <v>8974</v>
      </c>
      <c r="C851" s="1103" t="s">
        <v>8975</v>
      </c>
      <c r="D851" s="1015"/>
      <c r="E851" s="1104" t="s">
        <v>7446</v>
      </c>
      <c r="F851" s="1105"/>
      <c r="G851" s="1104">
        <v>6306</v>
      </c>
      <c r="H851" s="1104"/>
      <c r="I851" s="1104"/>
      <c r="J851" s="1104"/>
      <c r="K851" s="1104"/>
      <c r="L851" s="1104">
        <v>5876</v>
      </c>
      <c r="M851" s="1106">
        <v>5876</v>
      </c>
      <c r="N851" s="1159">
        <v>5876</v>
      </c>
      <c r="O851" s="1104">
        <v>5876</v>
      </c>
      <c r="P851" s="1107">
        <f t="shared" si="21"/>
        <v>5876</v>
      </c>
      <c r="Q851" s="1107">
        <f t="shared" si="21"/>
        <v>5876</v>
      </c>
      <c r="R851" s="1107">
        <f t="shared" si="21"/>
        <v>5876</v>
      </c>
      <c r="S851" s="1107">
        <f t="shared" si="20"/>
        <v>5876</v>
      </c>
    </row>
    <row r="852" spans="1:19">
      <c r="A852" s="1015">
        <v>693</v>
      </c>
      <c r="B852" s="1015" t="s">
        <v>8976</v>
      </c>
      <c r="C852" s="1103" t="s">
        <v>8977</v>
      </c>
      <c r="D852" s="1015"/>
      <c r="E852" s="1104" t="s">
        <v>7446</v>
      </c>
      <c r="F852" s="1105"/>
      <c r="G852" s="1104">
        <v>11435</v>
      </c>
      <c r="H852" s="1104"/>
      <c r="I852" s="1104"/>
      <c r="J852" s="1104"/>
      <c r="K852" s="1104"/>
      <c r="L852" s="1104">
        <v>88621</v>
      </c>
      <c r="M852" s="1106">
        <v>88621</v>
      </c>
      <c r="N852" s="1159">
        <v>88621</v>
      </c>
      <c r="O852" s="1104">
        <v>88621</v>
      </c>
      <c r="P852" s="1107">
        <f t="shared" si="21"/>
        <v>88621</v>
      </c>
      <c r="Q852" s="1107">
        <f t="shared" si="21"/>
        <v>88621</v>
      </c>
      <c r="R852" s="1107">
        <f t="shared" si="21"/>
        <v>88621</v>
      </c>
      <c r="S852" s="1107">
        <f t="shared" si="20"/>
        <v>88621</v>
      </c>
    </row>
    <row r="853" spans="1:19">
      <c r="A853" s="1015">
        <v>694</v>
      </c>
      <c r="B853" s="1015" t="s">
        <v>8978</v>
      </c>
      <c r="C853" s="1103" t="s">
        <v>8979</v>
      </c>
      <c r="D853" s="1015"/>
      <c r="E853" s="1104" t="s">
        <v>7446</v>
      </c>
      <c r="F853" s="1105"/>
      <c r="G853" s="1104">
        <v>62599</v>
      </c>
      <c r="H853" s="1104"/>
      <c r="I853" s="1104"/>
      <c r="J853" s="1104"/>
      <c r="K853" s="1104"/>
      <c r="L853" s="1104">
        <v>48514</v>
      </c>
      <c r="M853" s="1106">
        <v>48514</v>
      </c>
      <c r="N853" s="1159">
        <v>48514</v>
      </c>
      <c r="O853" s="1104">
        <v>48514</v>
      </c>
      <c r="P853" s="1107">
        <f t="shared" si="21"/>
        <v>48514</v>
      </c>
      <c r="Q853" s="1107">
        <f t="shared" si="21"/>
        <v>48514</v>
      </c>
      <c r="R853" s="1107">
        <f t="shared" si="21"/>
        <v>48514</v>
      </c>
      <c r="S853" s="1107">
        <f t="shared" si="20"/>
        <v>48514</v>
      </c>
    </row>
    <row r="854" spans="1:19">
      <c r="A854" s="1015">
        <v>695</v>
      </c>
      <c r="B854" s="1015" t="s">
        <v>8980</v>
      </c>
      <c r="C854" s="1103" t="s">
        <v>8981</v>
      </c>
      <c r="D854" s="1015"/>
      <c r="E854" s="1104" t="s">
        <v>7446</v>
      </c>
      <c r="F854" s="1105"/>
      <c r="G854" s="1104">
        <v>8369</v>
      </c>
      <c r="H854" s="1104"/>
      <c r="I854" s="1104"/>
      <c r="J854" s="1104"/>
      <c r="K854" s="1104"/>
      <c r="L854" s="1104">
        <v>7323</v>
      </c>
      <c r="M854" s="1106">
        <v>7323</v>
      </c>
      <c r="N854" s="1159">
        <v>7323</v>
      </c>
      <c r="O854" s="1104">
        <v>7323</v>
      </c>
      <c r="P854" s="1107">
        <f t="shared" si="21"/>
        <v>7323</v>
      </c>
      <c r="Q854" s="1107">
        <f t="shared" si="21"/>
        <v>7323</v>
      </c>
      <c r="R854" s="1107">
        <f t="shared" si="21"/>
        <v>7323</v>
      </c>
      <c r="S854" s="1107">
        <f t="shared" si="20"/>
        <v>7323</v>
      </c>
    </row>
    <row r="855" spans="1:19">
      <c r="A855" s="1015">
        <v>696</v>
      </c>
      <c r="B855" s="1015" t="s">
        <v>8982</v>
      </c>
      <c r="C855" s="1103" t="s">
        <v>8983</v>
      </c>
      <c r="D855" s="1015"/>
      <c r="E855" s="1104" t="s">
        <v>7446</v>
      </c>
      <c r="F855" s="1105"/>
      <c r="G855" s="1104">
        <v>25000</v>
      </c>
      <c r="H855" s="1104"/>
      <c r="I855" s="1104"/>
      <c r="J855" s="1104"/>
      <c r="K855" s="1104"/>
      <c r="L855" s="1104">
        <v>21875</v>
      </c>
      <c r="M855" s="1106">
        <v>21875</v>
      </c>
      <c r="N855" s="1159">
        <v>21875</v>
      </c>
      <c r="O855" s="1104">
        <v>21875</v>
      </c>
      <c r="P855" s="1107">
        <f t="shared" si="21"/>
        <v>21875</v>
      </c>
      <c r="Q855" s="1107">
        <f t="shared" si="21"/>
        <v>21875</v>
      </c>
      <c r="R855" s="1107">
        <f t="shared" si="21"/>
        <v>21875</v>
      </c>
      <c r="S855" s="1107">
        <f t="shared" si="20"/>
        <v>21875</v>
      </c>
    </row>
    <row r="856" spans="1:19">
      <c r="A856" s="1015">
        <v>697</v>
      </c>
      <c r="B856" s="1015" t="s">
        <v>8984</v>
      </c>
      <c r="C856" s="1103" t="s">
        <v>8985</v>
      </c>
      <c r="D856" s="1015"/>
      <c r="E856" s="1104" t="s">
        <v>7446</v>
      </c>
      <c r="F856" s="1105"/>
      <c r="G856" s="1104">
        <v>62000</v>
      </c>
      <c r="H856" s="1104"/>
      <c r="I856" s="1104"/>
      <c r="J856" s="1104"/>
      <c r="K856" s="1104"/>
      <c r="L856" s="1104">
        <v>48050</v>
      </c>
      <c r="M856" s="1106">
        <v>48050</v>
      </c>
      <c r="N856" s="1159">
        <v>48050</v>
      </c>
      <c r="O856" s="1104">
        <v>48050</v>
      </c>
      <c r="P856" s="1107">
        <f t="shared" si="21"/>
        <v>48050</v>
      </c>
      <c r="Q856" s="1107">
        <f t="shared" si="21"/>
        <v>48050</v>
      </c>
      <c r="R856" s="1107">
        <f t="shared" si="21"/>
        <v>48050</v>
      </c>
      <c r="S856" s="1107">
        <f t="shared" si="20"/>
        <v>48050</v>
      </c>
    </row>
    <row r="857" spans="1:19">
      <c r="A857" s="1015">
        <v>698</v>
      </c>
      <c r="B857" s="1015" t="s">
        <v>8986</v>
      </c>
      <c r="C857" s="1103" t="s">
        <v>8987</v>
      </c>
      <c r="D857" s="1015"/>
      <c r="E857" s="1104" t="s">
        <v>7446</v>
      </c>
      <c r="F857" s="1105"/>
      <c r="G857" s="1104">
        <v>35656</v>
      </c>
      <c r="H857" s="1104"/>
      <c r="I857" s="1104"/>
      <c r="J857" s="1104"/>
      <c r="K857" s="1104"/>
      <c r="L857" s="1104">
        <v>27633</v>
      </c>
      <c r="M857" s="1106">
        <v>27633</v>
      </c>
      <c r="N857" s="1159">
        <v>27633</v>
      </c>
      <c r="O857" s="1104">
        <v>27633</v>
      </c>
      <c r="P857" s="1107">
        <f t="shared" si="21"/>
        <v>27633</v>
      </c>
      <c r="Q857" s="1107">
        <f t="shared" si="21"/>
        <v>27633</v>
      </c>
      <c r="R857" s="1107">
        <f t="shared" si="21"/>
        <v>27633</v>
      </c>
      <c r="S857" s="1107">
        <f t="shared" si="20"/>
        <v>27633</v>
      </c>
    </row>
    <row r="858" spans="1:19">
      <c r="A858" s="1015">
        <v>699</v>
      </c>
      <c r="B858" s="1015" t="s">
        <v>8988</v>
      </c>
      <c r="C858" s="1103" t="s">
        <v>8989</v>
      </c>
      <c r="D858" s="1015"/>
      <c r="E858" s="1104" t="s">
        <v>7446</v>
      </c>
      <c r="F858" s="1105"/>
      <c r="G858" s="1104">
        <v>6800</v>
      </c>
      <c r="H858" s="1104"/>
      <c r="I858" s="1104"/>
      <c r="J858" s="1104"/>
      <c r="K858" s="1104"/>
      <c r="L858" s="1104">
        <v>5950</v>
      </c>
      <c r="M858" s="1106">
        <v>5950</v>
      </c>
      <c r="N858" s="1159">
        <v>5950</v>
      </c>
      <c r="O858" s="1104">
        <v>5950</v>
      </c>
      <c r="P858" s="1107">
        <f t="shared" si="21"/>
        <v>5950</v>
      </c>
      <c r="Q858" s="1107">
        <f t="shared" si="21"/>
        <v>5950</v>
      </c>
      <c r="R858" s="1107">
        <f t="shared" si="21"/>
        <v>5950</v>
      </c>
      <c r="S858" s="1107">
        <f t="shared" si="20"/>
        <v>5950</v>
      </c>
    </row>
    <row r="859" spans="1:19">
      <c r="A859" s="1015">
        <v>700</v>
      </c>
      <c r="B859" s="1015" t="s">
        <v>8990</v>
      </c>
      <c r="C859" s="1103" t="s">
        <v>8991</v>
      </c>
      <c r="D859" s="1015"/>
      <c r="E859" s="1104" t="s">
        <v>7446</v>
      </c>
      <c r="F859" s="1105"/>
      <c r="G859" s="1104">
        <v>5500</v>
      </c>
      <c r="H859" s="1104"/>
      <c r="I859" s="1104"/>
      <c r="J859" s="1104"/>
      <c r="K859" s="1104"/>
      <c r="L859" s="1104">
        <v>4813</v>
      </c>
      <c r="M859" s="1106">
        <v>4813</v>
      </c>
      <c r="N859" s="1159">
        <v>4813</v>
      </c>
      <c r="O859" s="1104">
        <v>4813</v>
      </c>
      <c r="P859" s="1107">
        <f t="shared" si="21"/>
        <v>4813</v>
      </c>
      <c r="Q859" s="1107">
        <f t="shared" si="21"/>
        <v>4813</v>
      </c>
      <c r="R859" s="1107">
        <f t="shared" si="21"/>
        <v>4813</v>
      </c>
      <c r="S859" s="1107">
        <f t="shared" si="20"/>
        <v>4813</v>
      </c>
    </row>
    <row r="860" spans="1:19">
      <c r="A860" s="1015">
        <v>701</v>
      </c>
      <c r="B860" s="1015" t="s">
        <v>8992</v>
      </c>
      <c r="C860" s="1103" t="s">
        <v>8993</v>
      </c>
      <c r="D860" s="1015"/>
      <c r="E860" s="1104" t="s">
        <v>7446</v>
      </c>
      <c r="F860" s="1105"/>
      <c r="G860" s="1104">
        <v>18000</v>
      </c>
      <c r="H860" s="1104"/>
      <c r="I860" s="1104"/>
      <c r="J860" s="1104"/>
      <c r="K860" s="1104"/>
      <c r="L860" s="1104">
        <v>12600</v>
      </c>
      <c r="M860" s="1106">
        <v>12600</v>
      </c>
      <c r="N860" s="1159">
        <v>12600</v>
      </c>
      <c r="O860" s="1104">
        <v>12600</v>
      </c>
      <c r="P860" s="1107">
        <f t="shared" si="21"/>
        <v>12600</v>
      </c>
      <c r="Q860" s="1107">
        <f t="shared" si="21"/>
        <v>12600</v>
      </c>
      <c r="R860" s="1107">
        <f t="shared" si="21"/>
        <v>12600</v>
      </c>
      <c r="S860" s="1107">
        <f t="shared" si="20"/>
        <v>12600</v>
      </c>
    </row>
    <row r="861" spans="1:19">
      <c r="A861" s="1015">
        <v>702</v>
      </c>
      <c r="B861" s="1015" t="s">
        <v>8994</v>
      </c>
      <c r="C861" s="1103" t="s">
        <v>8995</v>
      </c>
      <c r="D861" s="1015"/>
      <c r="E861" s="1104" t="s">
        <v>7446</v>
      </c>
      <c r="F861" s="1105"/>
      <c r="G861" s="1104">
        <v>18000</v>
      </c>
      <c r="H861" s="1104"/>
      <c r="I861" s="1104"/>
      <c r="J861" s="1104"/>
      <c r="K861" s="1104"/>
      <c r="L861" s="1104">
        <v>14850</v>
      </c>
      <c r="M861" s="1106">
        <v>14850</v>
      </c>
      <c r="N861" s="1159">
        <v>14850</v>
      </c>
      <c r="O861" s="1104">
        <v>14850</v>
      </c>
      <c r="P861" s="1107">
        <f t="shared" si="21"/>
        <v>14850</v>
      </c>
      <c r="Q861" s="1107">
        <f t="shared" si="21"/>
        <v>14850</v>
      </c>
      <c r="R861" s="1107">
        <f t="shared" si="21"/>
        <v>14850</v>
      </c>
      <c r="S861" s="1107">
        <f t="shared" si="20"/>
        <v>14850</v>
      </c>
    </row>
    <row r="862" spans="1:19">
      <c r="A862" s="1015">
        <v>703</v>
      </c>
      <c r="B862" s="1015" t="s">
        <v>8996</v>
      </c>
      <c r="C862" s="1103" t="s">
        <v>8997</v>
      </c>
      <c r="D862" s="1015"/>
      <c r="E862" s="1104" t="s">
        <v>7446</v>
      </c>
      <c r="F862" s="1105"/>
      <c r="G862" s="1104">
        <v>18000</v>
      </c>
      <c r="H862" s="1104"/>
      <c r="I862" s="1104"/>
      <c r="J862" s="1104"/>
      <c r="K862" s="1104"/>
      <c r="L862" s="1104">
        <v>12600</v>
      </c>
      <c r="M862" s="1106">
        <v>12600</v>
      </c>
      <c r="N862" s="1159">
        <v>12600</v>
      </c>
      <c r="O862" s="1104">
        <v>12600</v>
      </c>
      <c r="P862" s="1107">
        <f t="shared" si="21"/>
        <v>12600</v>
      </c>
      <c r="Q862" s="1107">
        <f t="shared" si="21"/>
        <v>12600</v>
      </c>
      <c r="R862" s="1107">
        <f t="shared" si="21"/>
        <v>12600</v>
      </c>
      <c r="S862" s="1107">
        <f t="shared" si="20"/>
        <v>12600</v>
      </c>
    </row>
    <row r="863" spans="1:19">
      <c r="A863" s="1015">
        <v>704</v>
      </c>
      <c r="B863" s="1015" t="s">
        <v>8998</v>
      </c>
      <c r="C863" s="1103" t="s">
        <v>8999</v>
      </c>
      <c r="D863" s="1015"/>
      <c r="E863" s="1104" t="s">
        <v>7446</v>
      </c>
      <c r="F863" s="1105"/>
      <c r="G863" s="1104">
        <v>19900</v>
      </c>
      <c r="H863" s="1104"/>
      <c r="I863" s="1104"/>
      <c r="J863" s="1104"/>
      <c r="K863" s="1104"/>
      <c r="L863" s="1104">
        <v>16119</v>
      </c>
      <c r="M863" s="1106">
        <v>16119</v>
      </c>
      <c r="N863" s="1159">
        <v>16119</v>
      </c>
      <c r="O863" s="1104">
        <v>16119</v>
      </c>
      <c r="P863" s="1107">
        <f t="shared" si="21"/>
        <v>16119</v>
      </c>
      <c r="Q863" s="1107">
        <f t="shared" si="21"/>
        <v>16119</v>
      </c>
      <c r="R863" s="1107">
        <f t="shared" si="21"/>
        <v>16119</v>
      </c>
      <c r="S863" s="1107">
        <f t="shared" si="20"/>
        <v>16119</v>
      </c>
    </row>
    <row r="864" spans="1:19">
      <c r="A864" s="1015">
        <v>705</v>
      </c>
      <c r="B864" s="1015" t="s">
        <v>9000</v>
      </c>
      <c r="C864" s="1103" t="s">
        <v>9001</v>
      </c>
      <c r="D864" s="1015"/>
      <c r="E864" s="1104" t="s">
        <v>7446</v>
      </c>
      <c r="F864" s="1105"/>
      <c r="G864" s="1104">
        <v>20000</v>
      </c>
      <c r="H864" s="1104"/>
      <c r="I864" s="1104"/>
      <c r="J864" s="1104"/>
      <c r="K864" s="1104"/>
      <c r="L864" s="1104">
        <v>20500</v>
      </c>
      <c r="M864" s="1106">
        <v>20500</v>
      </c>
      <c r="N864" s="1159">
        <v>20500</v>
      </c>
      <c r="O864" s="1104">
        <v>20500</v>
      </c>
      <c r="P864" s="1107">
        <f t="shared" si="21"/>
        <v>20500</v>
      </c>
      <c r="Q864" s="1107">
        <f t="shared" si="21"/>
        <v>20500</v>
      </c>
      <c r="R864" s="1107">
        <f t="shared" si="21"/>
        <v>20500</v>
      </c>
      <c r="S864" s="1107">
        <f t="shared" si="20"/>
        <v>20500</v>
      </c>
    </row>
    <row r="865" spans="1:19">
      <c r="A865" s="1015">
        <v>706</v>
      </c>
      <c r="B865" s="1015" t="s">
        <v>9002</v>
      </c>
      <c r="C865" s="1103" t="s">
        <v>9003</v>
      </c>
      <c r="D865" s="1015"/>
      <c r="E865" s="1104" t="s">
        <v>7446</v>
      </c>
      <c r="F865" s="1105"/>
      <c r="G865" s="1104">
        <v>150</v>
      </c>
      <c r="H865" s="1104"/>
      <c r="I865" s="1104"/>
      <c r="J865" s="1104"/>
      <c r="K865" s="1104"/>
      <c r="L865" s="1104">
        <v>154</v>
      </c>
      <c r="M865" s="1106">
        <v>154</v>
      </c>
      <c r="N865" s="1159">
        <v>154</v>
      </c>
      <c r="O865" s="1104">
        <v>154</v>
      </c>
      <c r="P865" s="1107">
        <f t="shared" si="21"/>
        <v>154</v>
      </c>
      <c r="Q865" s="1107">
        <f t="shared" si="21"/>
        <v>154</v>
      </c>
      <c r="R865" s="1107">
        <f t="shared" si="21"/>
        <v>154</v>
      </c>
      <c r="S865" s="1107">
        <f t="shared" si="20"/>
        <v>154</v>
      </c>
    </row>
    <row r="866" spans="1:19">
      <c r="A866" s="1015">
        <v>707</v>
      </c>
      <c r="B866" s="1015" t="s">
        <v>9004</v>
      </c>
      <c r="C866" s="1103" t="s">
        <v>9005</v>
      </c>
      <c r="D866" s="1015"/>
      <c r="E866" s="1104" t="s">
        <v>7446</v>
      </c>
      <c r="F866" s="1105"/>
      <c r="G866" s="1104">
        <v>6000</v>
      </c>
      <c r="H866" s="1104"/>
      <c r="I866" s="1104"/>
      <c r="J866" s="1104"/>
      <c r="K866" s="1104"/>
      <c r="L866" s="1104">
        <v>6150</v>
      </c>
      <c r="M866" s="1106">
        <v>6150</v>
      </c>
      <c r="N866" s="1159">
        <v>6150</v>
      </c>
      <c r="O866" s="1104">
        <v>6150</v>
      </c>
      <c r="P866" s="1107">
        <f t="shared" si="21"/>
        <v>6150</v>
      </c>
      <c r="Q866" s="1107">
        <f t="shared" si="21"/>
        <v>6150</v>
      </c>
      <c r="R866" s="1107">
        <f t="shared" si="21"/>
        <v>6150</v>
      </c>
      <c r="S866" s="1107">
        <f t="shared" si="20"/>
        <v>6150</v>
      </c>
    </row>
    <row r="867" spans="1:19">
      <c r="A867" s="1015">
        <v>708</v>
      </c>
      <c r="B867" s="1015" t="s">
        <v>9006</v>
      </c>
      <c r="C867" s="1103" t="s">
        <v>9007</v>
      </c>
      <c r="D867" s="1015"/>
      <c r="E867" s="1104" t="s">
        <v>7446</v>
      </c>
      <c r="F867" s="1105"/>
      <c r="G867" s="1104">
        <v>9000</v>
      </c>
      <c r="H867" s="1104"/>
      <c r="I867" s="1104"/>
      <c r="J867" s="1104"/>
      <c r="K867" s="1104"/>
      <c r="L867" s="1104">
        <v>7875</v>
      </c>
      <c r="M867" s="1106">
        <v>7875</v>
      </c>
      <c r="N867" s="1159">
        <v>7875</v>
      </c>
      <c r="O867" s="1104">
        <v>7875</v>
      </c>
      <c r="P867" s="1107">
        <f t="shared" si="21"/>
        <v>7875</v>
      </c>
      <c r="Q867" s="1107">
        <f t="shared" si="21"/>
        <v>7875</v>
      </c>
      <c r="R867" s="1107">
        <f t="shared" si="21"/>
        <v>7875</v>
      </c>
      <c r="S867" s="1107">
        <f t="shared" si="20"/>
        <v>7875</v>
      </c>
    </row>
    <row r="868" spans="1:19">
      <c r="A868" s="1015">
        <v>709</v>
      </c>
      <c r="B868" s="1015" t="s">
        <v>9008</v>
      </c>
      <c r="C868" s="1103" t="s">
        <v>9009</v>
      </c>
      <c r="D868" s="1015"/>
      <c r="E868" s="1104" t="s">
        <v>7446</v>
      </c>
      <c r="F868" s="1105"/>
      <c r="G868" s="1104">
        <v>2000</v>
      </c>
      <c r="H868" s="1104"/>
      <c r="I868" s="1104"/>
      <c r="J868" s="1104"/>
      <c r="K868" s="1104"/>
      <c r="L868" s="1104">
        <v>1650</v>
      </c>
      <c r="M868" s="1106">
        <v>1650</v>
      </c>
      <c r="N868" s="1159">
        <v>1650</v>
      </c>
      <c r="O868" s="1104">
        <v>1650</v>
      </c>
      <c r="P868" s="1107">
        <f t="shared" si="21"/>
        <v>1650</v>
      </c>
      <c r="Q868" s="1107">
        <f t="shared" si="21"/>
        <v>1650</v>
      </c>
      <c r="R868" s="1107">
        <f t="shared" si="21"/>
        <v>1650</v>
      </c>
      <c r="S868" s="1107">
        <f t="shared" si="20"/>
        <v>1650</v>
      </c>
    </row>
    <row r="869" spans="1:19">
      <c r="A869" s="1015">
        <v>710</v>
      </c>
      <c r="B869" s="1015" t="s">
        <v>9010</v>
      </c>
      <c r="C869" s="1103" t="s">
        <v>9011</v>
      </c>
      <c r="D869" s="1015"/>
      <c r="E869" s="1104" t="s">
        <v>7446</v>
      </c>
      <c r="F869" s="1105"/>
      <c r="G869" s="1104">
        <v>1500</v>
      </c>
      <c r="H869" s="1104"/>
      <c r="I869" s="1104"/>
      <c r="J869" s="1104"/>
      <c r="K869" s="1104"/>
      <c r="L869" s="1104">
        <v>1238</v>
      </c>
      <c r="M869" s="1106">
        <v>1238</v>
      </c>
      <c r="N869" s="1159">
        <v>1238</v>
      </c>
      <c r="O869" s="1104">
        <v>1238</v>
      </c>
      <c r="P869" s="1107">
        <f t="shared" si="21"/>
        <v>1238</v>
      </c>
      <c r="Q869" s="1107">
        <f t="shared" si="21"/>
        <v>1238</v>
      </c>
      <c r="R869" s="1107">
        <f t="shared" si="21"/>
        <v>1238</v>
      </c>
      <c r="S869" s="1107">
        <f t="shared" si="20"/>
        <v>1238</v>
      </c>
    </row>
    <row r="870" spans="1:19">
      <c r="A870" s="1015">
        <v>711</v>
      </c>
      <c r="B870" s="1015" t="s">
        <v>9012</v>
      </c>
      <c r="C870" s="1103" t="s">
        <v>9013</v>
      </c>
      <c r="D870" s="1015"/>
      <c r="E870" s="1104" t="s">
        <v>7446</v>
      </c>
      <c r="F870" s="1105"/>
      <c r="G870" s="1104">
        <v>1800</v>
      </c>
      <c r="H870" s="1104"/>
      <c r="I870" s="1104"/>
      <c r="J870" s="1104"/>
      <c r="K870" s="1104"/>
      <c r="L870" s="1104">
        <v>1575</v>
      </c>
      <c r="M870" s="1106">
        <v>1575</v>
      </c>
      <c r="N870" s="1159">
        <v>1575</v>
      </c>
      <c r="O870" s="1104">
        <v>1575</v>
      </c>
      <c r="P870" s="1107">
        <f t="shared" si="21"/>
        <v>1575</v>
      </c>
      <c r="Q870" s="1107">
        <f t="shared" si="21"/>
        <v>1575</v>
      </c>
      <c r="R870" s="1107">
        <f t="shared" si="21"/>
        <v>1575</v>
      </c>
      <c r="S870" s="1107">
        <f t="shared" si="20"/>
        <v>1575</v>
      </c>
    </row>
    <row r="871" spans="1:19">
      <c r="A871" s="1015">
        <v>712</v>
      </c>
      <c r="B871" s="1015" t="s">
        <v>9014</v>
      </c>
      <c r="C871" s="1103" t="s">
        <v>9015</v>
      </c>
      <c r="D871" s="1015"/>
      <c r="E871" s="1104" t="s">
        <v>7446</v>
      </c>
      <c r="F871" s="1105"/>
      <c r="G871" s="1104">
        <v>1500</v>
      </c>
      <c r="H871" s="1104"/>
      <c r="I871" s="1104"/>
      <c r="J871" s="1104"/>
      <c r="K871" s="1104"/>
      <c r="L871" s="1104">
        <v>1313</v>
      </c>
      <c r="M871" s="1106">
        <v>1313</v>
      </c>
      <c r="N871" s="1159">
        <v>1313</v>
      </c>
      <c r="O871" s="1104">
        <v>1313</v>
      </c>
      <c r="P871" s="1107">
        <f t="shared" si="21"/>
        <v>1313</v>
      </c>
      <c r="Q871" s="1107">
        <f t="shared" si="21"/>
        <v>1313</v>
      </c>
      <c r="R871" s="1107">
        <f t="shared" si="21"/>
        <v>1313</v>
      </c>
      <c r="S871" s="1107">
        <f t="shared" si="20"/>
        <v>1313</v>
      </c>
    </row>
    <row r="872" spans="1:19">
      <c r="A872" s="1015">
        <v>713</v>
      </c>
      <c r="B872" s="1015" t="s">
        <v>9016</v>
      </c>
      <c r="C872" s="1103" t="s">
        <v>9017</v>
      </c>
      <c r="D872" s="1015"/>
      <c r="E872" s="1104" t="s">
        <v>7446</v>
      </c>
      <c r="F872" s="1105"/>
      <c r="G872" s="1104">
        <v>10000</v>
      </c>
      <c r="H872" s="1104"/>
      <c r="I872" s="1104"/>
      <c r="J872" s="1104"/>
      <c r="K872" s="1104"/>
      <c r="L872" s="1104">
        <v>8750</v>
      </c>
      <c r="M872" s="1106">
        <v>8750</v>
      </c>
      <c r="N872" s="1159">
        <v>8750</v>
      </c>
      <c r="O872" s="1104">
        <v>8750</v>
      </c>
      <c r="P872" s="1107">
        <f t="shared" si="21"/>
        <v>8750</v>
      </c>
      <c r="Q872" s="1107">
        <f t="shared" si="21"/>
        <v>8750</v>
      </c>
      <c r="R872" s="1107">
        <f t="shared" si="21"/>
        <v>8750</v>
      </c>
      <c r="S872" s="1107">
        <f t="shared" si="20"/>
        <v>8750</v>
      </c>
    </row>
    <row r="873" spans="1:19">
      <c r="A873" s="1015">
        <v>714</v>
      </c>
      <c r="B873" s="1015" t="s">
        <v>9018</v>
      </c>
      <c r="C873" s="1103" t="s">
        <v>9019</v>
      </c>
      <c r="D873" s="1015"/>
      <c r="E873" s="1104" t="s">
        <v>7446</v>
      </c>
      <c r="F873" s="1105"/>
      <c r="G873" s="1104">
        <v>10000</v>
      </c>
      <c r="H873" s="1104"/>
      <c r="I873" s="1104"/>
      <c r="J873" s="1104"/>
      <c r="K873" s="1104"/>
      <c r="L873" s="1104">
        <v>8750</v>
      </c>
      <c r="M873" s="1106">
        <v>8750</v>
      </c>
      <c r="N873" s="1159">
        <v>8750</v>
      </c>
      <c r="O873" s="1104">
        <v>8750</v>
      </c>
      <c r="P873" s="1107">
        <f t="shared" si="21"/>
        <v>8750</v>
      </c>
      <c r="Q873" s="1107">
        <f t="shared" si="21"/>
        <v>8750</v>
      </c>
      <c r="R873" s="1107">
        <f t="shared" si="21"/>
        <v>8750</v>
      </c>
      <c r="S873" s="1107">
        <f t="shared" si="20"/>
        <v>8750</v>
      </c>
    </row>
    <row r="874" spans="1:19">
      <c r="A874" s="1015">
        <v>715</v>
      </c>
      <c r="B874" s="1015" t="s">
        <v>9020</v>
      </c>
      <c r="C874" s="1103" t="s">
        <v>9021</v>
      </c>
      <c r="D874" s="1015"/>
      <c r="E874" s="1104" t="s">
        <v>7446</v>
      </c>
      <c r="F874" s="1105"/>
      <c r="G874" s="1104">
        <v>1387200</v>
      </c>
      <c r="H874" s="1104"/>
      <c r="I874" s="1104"/>
      <c r="J874" s="1104"/>
      <c r="K874" s="1104"/>
      <c r="L874" s="1104">
        <v>1075080</v>
      </c>
      <c r="M874" s="1106">
        <v>1075080</v>
      </c>
      <c r="N874" s="1159">
        <v>1075080</v>
      </c>
      <c r="O874" s="1104">
        <v>1075080</v>
      </c>
      <c r="P874" s="1107">
        <f t="shared" si="21"/>
        <v>1075080</v>
      </c>
      <c r="Q874" s="1107">
        <f t="shared" si="21"/>
        <v>1075080</v>
      </c>
      <c r="R874" s="1107">
        <f t="shared" si="21"/>
        <v>1075080</v>
      </c>
      <c r="S874" s="1107">
        <f t="shared" si="20"/>
        <v>1075080</v>
      </c>
    </row>
    <row r="875" spans="1:19">
      <c r="A875" s="1015">
        <v>716</v>
      </c>
      <c r="B875" s="1015" t="s">
        <v>9022</v>
      </c>
      <c r="C875" s="1103" t="s">
        <v>9023</v>
      </c>
      <c r="D875" s="1015"/>
      <c r="E875" s="1104" t="s">
        <v>7446</v>
      </c>
      <c r="F875" s="1105"/>
      <c r="G875" s="1104">
        <v>40000</v>
      </c>
      <c r="H875" s="1104"/>
      <c r="I875" s="1104"/>
      <c r="J875" s="1104"/>
      <c r="K875" s="1104"/>
      <c r="L875" s="1104">
        <v>33000</v>
      </c>
      <c r="M875" s="1106">
        <v>33000</v>
      </c>
      <c r="N875" s="1159">
        <v>33000</v>
      </c>
      <c r="O875" s="1104">
        <v>33000</v>
      </c>
      <c r="P875" s="1107">
        <f t="shared" si="21"/>
        <v>33000</v>
      </c>
      <c r="Q875" s="1107">
        <f t="shared" si="21"/>
        <v>33000</v>
      </c>
      <c r="R875" s="1107">
        <f t="shared" si="21"/>
        <v>33000</v>
      </c>
      <c r="S875" s="1107">
        <f t="shared" si="20"/>
        <v>33000</v>
      </c>
    </row>
    <row r="876" spans="1:19">
      <c r="A876" s="1015">
        <v>717</v>
      </c>
      <c r="B876" s="1015" t="s">
        <v>9024</v>
      </c>
      <c r="C876" s="1103" t="s">
        <v>9025</v>
      </c>
      <c r="D876" s="1015"/>
      <c r="E876" s="1104" t="s">
        <v>7446</v>
      </c>
      <c r="F876" s="1105"/>
      <c r="G876" s="1104">
        <v>1000</v>
      </c>
      <c r="H876" s="1104"/>
      <c r="I876" s="1104"/>
      <c r="J876" s="1104"/>
      <c r="K876" s="1104"/>
      <c r="L876" s="1104">
        <v>1025</v>
      </c>
      <c r="M876" s="1106">
        <v>1025</v>
      </c>
      <c r="N876" s="1159">
        <v>1025</v>
      </c>
      <c r="O876" s="1104">
        <v>1025</v>
      </c>
      <c r="P876" s="1107">
        <f t="shared" si="21"/>
        <v>1025</v>
      </c>
      <c r="Q876" s="1107">
        <f t="shared" si="21"/>
        <v>1025</v>
      </c>
      <c r="R876" s="1107">
        <f t="shared" si="21"/>
        <v>1025</v>
      </c>
      <c r="S876" s="1107">
        <f t="shared" si="20"/>
        <v>1025</v>
      </c>
    </row>
    <row r="877" spans="1:19">
      <c r="A877" s="1015">
        <v>718</v>
      </c>
      <c r="B877" s="1015" t="s">
        <v>9026</v>
      </c>
      <c r="C877" s="1103" t="s">
        <v>9027</v>
      </c>
      <c r="D877" s="1015"/>
      <c r="E877" s="1104" t="s">
        <v>7446</v>
      </c>
      <c r="F877" s="1105"/>
      <c r="G877" s="1104">
        <v>546000</v>
      </c>
      <c r="H877" s="1104"/>
      <c r="I877" s="1104"/>
      <c r="J877" s="1104"/>
      <c r="K877" s="1104"/>
      <c r="L877" s="1104">
        <v>436800</v>
      </c>
      <c r="M877" s="1106">
        <v>436800</v>
      </c>
      <c r="N877" s="1159">
        <v>436800</v>
      </c>
      <c r="O877" s="1104">
        <v>436800</v>
      </c>
      <c r="P877" s="1107">
        <f t="shared" si="21"/>
        <v>436800</v>
      </c>
      <c r="Q877" s="1107">
        <f t="shared" si="21"/>
        <v>436800</v>
      </c>
      <c r="R877" s="1107">
        <f t="shared" si="21"/>
        <v>436800</v>
      </c>
      <c r="S877" s="1107">
        <f t="shared" si="20"/>
        <v>436800</v>
      </c>
    </row>
    <row r="878" spans="1:19">
      <c r="A878" s="1015">
        <v>719</v>
      </c>
      <c r="B878" s="1015" t="s">
        <v>9028</v>
      </c>
      <c r="C878" s="1103" t="s">
        <v>9029</v>
      </c>
      <c r="D878" s="1015"/>
      <c r="E878" s="1104" t="s">
        <v>7446</v>
      </c>
      <c r="F878" s="1105"/>
      <c r="G878" s="1104">
        <v>3500</v>
      </c>
      <c r="H878" s="1104"/>
      <c r="I878" s="1104"/>
      <c r="J878" s="1104"/>
      <c r="K878" s="1104"/>
      <c r="L878" s="1104">
        <v>3588</v>
      </c>
      <c r="M878" s="1106">
        <v>3588</v>
      </c>
      <c r="N878" s="1159">
        <v>3588</v>
      </c>
      <c r="O878" s="1104">
        <v>3588</v>
      </c>
      <c r="P878" s="1107">
        <f t="shared" si="21"/>
        <v>3588</v>
      </c>
      <c r="Q878" s="1107">
        <f t="shared" si="21"/>
        <v>3588</v>
      </c>
      <c r="R878" s="1107">
        <f t="shared" si="21"/>
        <v>3588</v>
      </c>
      <c r="S878" s="1107">
        <f t="shared" si="20"/>
        <v>3588</v>
      </c>
    </row>
    <row r="879" spans="1:19">
      <c r="A879" s="1015"/>
      <c r="B879" s="1102" t="s">
        <v>9030</v>
      </c>
      <c r="C879" s="1099" t="s">
        <v>9031</v>
      </c>
      <c r="D879" s="1015"/>
      <c r="E879" s="1104" t="s">
        <v>7446</v>
      </c>
      <c r="F879" s="1105"/>
      <c r="G879" s="1104"/>
      <c r="H879" s="1104"/>
      <c r="I879" s="1104"/>
      <c r="J879" s="1104"/>
      <c r="K879" s="1104"/>
      <c r="L879" s="1104"/>
      <c r="M879" s="1106"/>
      <c r="N879" s="1159"/>
      <c r="O879" s="1104"/>
      <c r="P879" s="1107">
        <f t="shared" si="21"/>
        <v>0</v>
      </c>
      <c r="Q879" s="1107">
        <f t="shared" si="21"/>
        <v>0</v>
      </c>
      <c r="R879" s="1107">
        <f t="shared" si="21"/>
        <v>0</v>
      </c>
      <c r="S879" s="1107">
        <f t="shared" si="20"/>
        <v>0</v>
      </c>
    </row>
    <row r="880" spans="1:19">
      <c r="A880" s="1015">
        <v>720</v>
      </c>
      <c r="B880" s="1015" t="s">
        <v>9032</v>
      </c>
      <c r="C880" s="1103" t="s">
        <v>9033</v>
      </c>
      <c r="D880" s="1015"/>
      <c r="E880" s="1104" t="s">
        <v>7446</v>
      </c>
      <c r="F880" s="1105"/>
      <c r="G880" s="1104">
        <v>508246</v>
      </c>
      <c r="H880" s="1104"/>
      <c r="I880" s="1104"/>
      <c r="J880" s="1104"/>
      <c r="K880" s="1104"/>
      <c r="L880" s="1104">
        <v>404287</v>
      </c>
      <c r="M880" s="1106">
        <v>404287</v>
      </c>
      <c r="N880" s="1159">
        <v>404287</v>
      </c>
      <c r="O880" s="1104">
        <v>404287</v>
      </c>
      <c r="P880" s="1107">
        <f t="shared" si="21"/>
        <v>404287</v>
      </c>
      <c r="Q880" s="1107">
        <f t="shared" si="21"/>
        <v>404287</v>
      </c>
      <c r="R880" s="1107">
        <f t="shared" si="21"/>
        <v>404287</v>
      </c>
      <c r="S880" s="1107">
        <f t="shared" si="20"/>
        <v>404287</v>
      </c>
    </row>
    <row r="881" spans="1:19">
      <c r="A881" s="1015">
        <v>721</v>
      </c>
      <c r="B881" s="1015" t="s">
        <v>9034</v>
      </c>
      <c r="C881" s="1103" t="s">
        <v>9035</v>
      </c>
      <c r="D881" s="1015"/>
      <c r="E881" s="1104" t="s">
        <v>7446</v>
      </c>
      <c r="F881" s="1105"/>
      <c r="G881" s="1104">
        <v>49988</v>
      </c>
      <c r="H881" s="1104"/>
      <c r="I881" s="1104"/>
      <c r="J881" s="1104"/>
      <c r="K881" s="1104"/>
      <c r="L881" s="1104">
        <v>39763</v>
      </c>
      <c r="M881" s="1106">
        <v>39763</v>
      </c>
      <c r="N881" s="1159">
        <v>39763</v>
      </c>
      <c r="O881" s="1104">
        <v>39763</v>
      </c>
      <c r="P881" s="1107">
        <f t="shared" si="21"/>
        <v>39763</v>
      </c>
      <c r="Q881" s="1107">
        <f t="shared" si="21"/>
        <v>39763</v>
      </c>
      <c r="R881" s="1107">
        <f t="shared" si="21"/>
        <v>39763</v>
      </c>
      <c r="S881" s="1107">
        <f t="shared" si="20"/>
        <v>39763</v>
      </c>
    </row>
    <row r="882" spans="1:19">
      <c r="A882" s="1015">
        <v>722</v>
      </c>
      <c r="B882" s="1015" t="s">
        <v>9036</v>
      </c>
      <c r="C882" s="1103" t="s">
        <v>9037</v>
      </c>
      <c r="D882" s="1015"/>
      <c r="E882" s="1104" t="s">
        <v>7446</v>
      </c>
      <c r="F882" s="1105"/>
      <c r="G882" s="1104">
        <v>210613</v>
      </c>
      <c r="H882" s="1104"/>
      <c r="I882" s="1104"/>
      <c r="J882" s="1104"/>
      <c r="K882" s="1104"/>
      <c r="L882" s="1104">
        <v>167533</v>
      </c>
      <c r="M882" s="1106">
        <v>167533</v>
      </c>
      <c r="N882" s="1159">
        <v>167533</v>
      </c>
      <c r="O882" s="1104">
        <v>167533</v>
      </c>
      <c r="P882" s="1107">
        <f t="shared" si="21"/>
        <v>167533</v>
      </c>
      <c r="Q882" s="1107">
        <f t="shared" si="21"/>
        <v>167533</v>
      </c>
      <c r="R882" s="1107">
        <f t="shared" si="21"/>
        <v>167533</v>
      </c>
      <c r="S882" s="1107">
        <f t="shared" si="20"/>
        <v>167533</v>
      </c>
    </row>
    <row r="883" spans="1:19">
      <c r="A883" s="1015">
        <v>723</v>
      </c>
      <c r="B883" s="1015" t="s">
        <v>9038</v>
      </c>
      <c r="C883" s="1103" t="s">
        <v>9039</v>
      </c>
      <c r="D883" s="1015"/>
      <c r="E883" s="1104" t="s">
        <v>7446</v>
      </c>
      <c r="F883" s="1105"/>
      <c r="G883" s="1104">
        <v>1000900</v>
      </c>
      <c r="H883" s="1104"/>
      <c r="I883" s="1104"/>
      <c r="J883" s="1104"/>
      <c r="K883" s="1104"/>
      <c r="L883" s="1104">
        <v>796170</v>
      </c>
      <c r="M883" s="1106">
        <v>796170</v>
      </c>
      <c r="N883" s="1159">
        <v>796170</v>
      </c>
      <c r="O883" s="1104">
        <v>796170</v>
      </c>
      <c r="P883" s="1107">
        <f t="shared" si="21"/>
        <v>796170</v>
      </c>
      <c r="Q883" s="1107">
        <f t="shared" si="21"/>
        <v>796170</v>
      </c>
      <c r="R883" s="1107">
        <f t="shared" si="21"/>
        <v>796170</v>
      </c>
      <c r="S883" s="1107">
        <f t="shared" si="20"/>
        <v>796170</v>
      </c>
    </row>
    <row r="884" spans="1:19">
      <c r="A884" s="1015">
        <v>724</v>
      </c>
      <c r="B884" s="1015" t="s">
        <v>9040</v>
      </c>
      <c r="C884" s="1103" t="s">
        <v>9041</v>
      </c>
      <c r="D884" s="1015"/>
      <c r="E884" s="1104" t="s">
        <v>7446</v>
      </c>
      <c r="F884" s="1105"/>
      <c r="G884" s="1104">
        <v>946212</v>
      </c>
      <c r="H884" s="1104"/>
      <c r="I884" s="1104"/>
      <c r="J884" s="1104"/>
      <c r="K884" s="1104"/>
      <c r="L884" s="1104">
        <v>752669</v>
      </c>
      <c r="M884" s="1106">
        <v>752669</v>
      </c>
      <c r="N884" s="1159">
        <v>752669</v>
      </c>
      <c r="O884" s="1104">
        <v>752669</v>
      </c>
      <c r="P884" s="1107">
        <f t="shared" si="21"/>
        <v>752669</v>
      </c>
      <c r="Q884" s="1107">
        <f t="shared" si="21"/>
        <v>752669</v>
      </c>
      <c r="R884" s="1107">
        <f t="shared" si="21"/>
        <v>752669</v>
      </c>
      <c r="S884" s="1107">
        <f t="shared" si="20"/>
        <v>752669</v>
      </c>
    </row>
    <row r="885" spans="1:19">
      <c r="A885" s="1015">
        <v>725</v>
      </c>
      <c r="B885" s="1015" t="s">
        <v>9042</v>
      </c>
      <c r="C885" s="1103" t="s">
        <v>9043</v>
      </c>
      <c r="D885" s="1015"/>
      <c r="E885" s="1104" t="s">
        <v>7446</v>
      </c>
      <c r="F885" s="1105"/>
      <c r="G885" s="1104">
        <v>1618868</v>
      </c>
      <c r="H885" s="1104"/>
      <c r="I885" s="1104"/>
      <c r="J885" s="1104"/>
      <c r="K885" s="1104"/>
      <c r="L885" s="1104">
        <v>1287736</v>
      </c>
      <c r="M885" s="1106">
        <v>1287736</v>
      </c>
      <c r="N885" s="1159">
        <v>1287736</v>
      </c>
      <c r="O885" s="1104">
        <v>1287736</v>
      </c>
      <c r="P885" s="1107">
        <f t="shared" si="21"/>
        <v>1287736</v>
      </c>
      <c r="Q885" s="1107">
        <f t="shared" si="21"/>
        <v>1287736</v>
      </c>
      <c r="R885" s="1107">
        <f t="shared" si="21"/>
        <v>1287736</v>
      </c>
      <c r="S885" s="1107">
        <f t="shared" si="20"/>
        <v>1287736</v>
      </c>
    </row>
    <row r="886" spans="1:19">
      <c r="A886" s="1015">
        <v>726</v>
      </c>
      <c r="B886" s="1015" t="s">
        <v>9044</v>
      </c>
      <c r="C886" s="1103" t="s">
        <v>2686</v>
      </c>
      <c r="D886" s="1015"/>
      <c r="E886" s="1104" t="s">
        <v>7446</v>
      </c>
      <c r="F886" s="1105"/>
      <c r="G886" s="1104">
        <v>507559</v>
      </c>
      <c r="H886" s="1104"/>
      <c r="I886" s="1104"/>
      <c r="J886" s="1104"/>
      <c r="K886" s="1104"/>
      <c r="L886" s="1104">
        <v>403740</v>
      </c>
      <c r="M886" s="1106">
        <v>403740</v>
      </c>
      <c r="N886" s="1159">
        <v>403740</v>
      </c>
      <c r="O886" s="1104">
        <v>403740</v>
      </c>
      <c r="P886" s="1107">
        <f t="shared" si="21"/>
        <v>403740</v>
      </c>
      <c r="Q886" s="1107">
        <f t="shared" si="21"/>
        <v>403740</v>
      </c>
      <c r="R886" s="1107">
        <f t="shared" si="21"/>
        <v>403740</v>
      </c>
      <c r="S886" s="1107">
        <f t="shared" si="20"/>
        <v>403740</v>
      </c>
    </row>
    <row r="887" spans="1:19">
      <c r="A887" s="1015">
        <v>727</v>
      </c>
      <c r="B887" s="1015" t="s">
        <v>9045</v>
      </c>
      <c r="C887" s="1103" t="s">
        <v>9046</v>
      </c>
      <c r="D887" s="1015"/>
      <c r="E887" s="1104" t="s">
        <v>7446</v>
      </c>
      <c r="F887" s="1105"/>
      <c r="G887" s="1104">
        <v>955957</v>
      </c>
      <c r="H887" s="1104"/>
      <c r="I887" s="1104"/>
      <c r="J887" s="1104"/>
      <c r="K887" s="1104"/>
      <c r="L887" s="1104">
        <v>760420</v>
      </c>
      <c r="M887" s="1106">
        <v>760420</v>
      </c>
      <c r="N887" s="1159">
        <v>760420</v>
      </c>
      <c r="O887" s="1104">
        <v>760420</v>
      </c>
      <c r="P887" s="1107">
        <f t="shared" si="21"/>
        <v>760420</v>
      </c>
      <c r="Q887" s="1107">
        <f t="shared" si="21"/>
        <v>760420</v>
      </c>
      <c r="R887" s="1107">
        <f t="shared" si="21"/>
        <v>760420</v>
      </c>
      <c r="S887" s="1107">
        <f t="shared" si="20"/>
        <v>760420</v>
      </c>
    </row>
    <row r="888" spans="1:19">
      <c r="A888" s="1015">
        <v>728</v>
      </c>
      <c r="B888" s="1015" t="s">
        <v>9047</v>
      </c>
      <c r="C888" s="1103" t="s">
        <v>9048</v>
      </c>
      <c r="D888" s="1015"/>
      <c r="E888" s="1104" t="s">
        <v>7446</v>
      </c>
      <c r="F888" s="1105"/>
      <c r="G888" s="1104">
        <v>19835</v>
      </c>
      <c r="H888" s="1104"/>
      <c r="I888" s="1104"/>
      <c r="J888" s="1104"/>
      <c r="K888" s="1104"/>
      <c r="L888" s="1104">
        <v>16679</v>
      </c>
      <c r="M888" s="1106">
        <v>16679</v>
      </c>
      <c r="N888" s="1159">
        <v>16679</v>
      </c>
      <c r="O888" s="1104">
        <v>16679</v>
      </c>
      <c r="P888" s="1107">
        <f t="shared" si="21"/>
        <v>16679</v>
      </c>
      <c r="Q888" s="1107">
        <f t="shared" si="21"/>
        <v>16679</v>
      </c>
      <c r="R888" s="1107">
        <f t="shared" si="21"/>
        <v>16679</v>
      </c>
      <c r="S888" s="1107">
        <f t="shared" si="20"/>
        <v>16679</v>
      </c>
    </row>
    <row r="889" spans="1:19">
      <c r="A889" s="1015">
        <v>729</v>
      </c>
      <c r="B889" s="1015" t="s">
        <v>9049</v>
      </c>
      <c r="C889" s="1103" t="s">
        <v>9050</v>
      </c>
      <c r="D889" s="1015"/>
      <c r="E889" s="1104" t="s">
        <v>7446</v>
      </c>
      <c r="F889" s="1105"/>
      <c r="G889" s="1104">
        <v>182524</v>
      </c>
      <c r="H889" s="1104"/>
      <c r="I889" s="1104"/>
      <c r="J889" s="1104"/>
      <c r="K889" s="1104"/>
      <c r="L889" s="1104">
        <v>145190</v>
      </c>
      <c r="M889" s="1106">
        <v>145190</v>
      </c>
      <c r="N889" s="1159">
        <v>145190</v>
      </c>
      <c r="O889" s="1104">
        <v>145190</v>
      </c>
      <c r="P889" s="1107">
        <f t="shared" si="21"/>
        <v>145190</v>
      </c>
      <c r="Q889" s="1107">
        <f t="shared" si="21"/>
        <v>145190</v>
      </c>
      <c r="R889" s="1107">
        <f t="shared" si="21"/>
        <v>145190</v>
      </c>
      <c r="S889" s="1107">
        <f t="shared" si="20"/>
        <v>145190</v>
      </c>
    </row>
    <row r="890" spans="1:19">
      <c r="A890" s="1015">
        <v>730</v>
      </c>
      <c r="B890" s="1015" t="s">
        <v>9051</v>
      </c>
      <c r="C890" s="1103" t="s">
        <v>9052</v>
      </c>
      <c r="D890" s="1015"/>
      <c r="E890" s="1104" t="s">
        <v>7446</v>
      </c>
      <c r="F890" s="1105"/>
      <c r="G890" s="1104">
        <v>174957</v>
      </c>
      <c r="H890" s="1104"/>
      <c r="I890" s="1104"/>
      <c r="J890" s="1104"/>
      <c r="K890" s="1104"/>
      <c r="L890" s="1104">
        <v>139170</v>
      </c>
      <c r="M890" s="1106">
        <v>139170</v>
      </c>
      <c r="N890" s="1159">
        <v>139170</v>
      </c>
      <c r="O890" s="1104">
        <v>139170</v>
      </c>
      <c r="P890" s="1107">
        <f t="shared" si="21"/>
        <v>139170</v>
      </c>
      <c r="Q890" s="1107">
        <f t="shared" si="21"/>
        <v>139170</v>
      </c>
      <c r="R890" s="1107">
        <f t="shared" si="21"/>
        <v>139170</v>
      </c>
      <c r="S890" s="1107">
        <f t="shared" si="20"/>
        <v>139170</v>
      </c>
    </row>
    <row r="891" spans="1:19">
      <c r="A891" s="1015">
        <v>731</v>
      </c>
      <c r="B891" s="1015" t="s">
        <v>9053</v>
      </c>
      <c r="C891" s="1103" t="s">
        <v>9054</v>
      </c>
      <c r="D891" s="1015"/>
      <c r="E891" s="1104" t="s">
        <v>7446</v>
      </c>
      <c r="F891" s="1105"/>
      <c r="G891" s="1104">
        <v>150307</v>
      </c>
      <c r="H891" s="1104"/>
      <c r="I891" s="1104"/>
      <c r="J891" s="1104"/>
      <c r="K891" s="1104"/>
      <c r="L891" s="1104">
        <v>119562</v>
      </c>
      <c r="M891" s="1106">
        <v>119562</v>
      </c>
      <c r="N891" s="1159">
        <v>119562</v>
      </c>
      <c r="O891" s="1104">
        <v>119562</v>
      </c>
      <c r="P891" s="1107">
        <f t="shared" si="21"/>
        <v>119562</v>
      </c>
      <c r="Q891" s="1107">
        <f t="shared" si="21"/>
        <v>119562</v>
      </c>
      <c r="R891" s="1107">
        <f t="shared" si="21"/>
        <v>119562</v>
      </c>
      <c r="S891" s="1107">
        <f t="shared" si="20"/>
        <v>119562</v>
      </c>
    </row>
    <row r="892" spans="1:19">
      <c r="A892" s="1015">
        <v>732</v>
      </c>
      <c r="B892" s="1015" t="s">
        <v>9055</v>
      </c>
      <c r="C892" s="1103" t="s">
        <v>9056</v>
      </c>
      <c r="D892" s="1015"/>
      <c r="E892" s="1104" t="s">
        <v>7446</v>
      </c>
      <c r="F892" s="1105"/>
      <c r="G892" s="1104">
        <v>36574</v>
      </c>
      <c r="H892" s="1104"/>
      <c r="I892" s="1104"/>
      <c r="J892" s="1104"/>
      <c r="K892" s="1104"/>
      <c r="L892" s="1104">
        <v>29093</v>
      </c>
      <c r="M892" s="1106">
        <v>29093</v>
      </c>
      <c r="N892" s="1159">
        <v>29093</v>
      </c>
      <c r="O892" s="1104">
        <v>29093</v>
      </c>
      <c r="P892" s="1107">
        <f t="shared" si="21"/>
        <v>29093</v>
      </c>
      <c r="Q892" s="1107">
        <f t="shared" si="21"/>
        <v>29093</v>
      </c>
      <c r="R892" s="1107">
        <f t="shared" si="21"/>
        <v>29093</v>
      </c>
      <c r="S892" s="1107">
        <f t="shared" si="20"/>
        <v>29093</v>
      </c>
    </row>
    <row r="893" spans="1:19">
      <c r="A893" s="1015">
        <v>733</v>
      </c>
      <c r="B893" s="1015" t="s">
        <v>9057</v>
      </c>
      <c r="C893" s="1103" t="s">
        <v>3120</v>
      </c>
      <c r="D893" s="1015"/>
      <c r="E893" s="1104" t="s">
        <v>7446</v>
      </c>
      <c r="F893" s="1105"/>
      <c r="G893" s="1104">
        <v>179658</v>
      </c>
      <c r="H893" s="1104"/>
      <c r="I893" s="1104"/>
      <c r="J893" s="1104"/>
      <c r="K893" s="1104"/>
      <c r="L893" s="1104">
        <v>142910</v>
      </c>
      <c r="M893" s="1106">
        <v>142910</v>
      </c>
      <c r="N893" s="1159">
        <v>142910</v>
      </c>
      <c r="O893" s="1104">
        <v>142910</v>
      </c>
      <c r="P893" s="1107">
        <f t="shared" si="21"/>
        <v>142910</v>
      </c>
      <c r="Q893" s="1107">
        <f t="shared" si="21"/>
        <v>142910</v>
      </c>
      <c r="R893" s="1107">
        <f t="shared" si="21"/>
        <v>142910</v>
      </c>
      <c r="S893" s="1107">
        <f t="shared" si="20"/>
        <v>142910</v>
      </c>
    </row>
    <row r="894" spans="1:19">
      <c r="A894" s="1015">
        <v>734</v>
      </c>
      <c r="B894" s="1015" t="s">
        <v>9058</v>
      </c>
      <c r="C894" s="1103" t="s">
        <v>2684</v>
      </c>
      <c r="D894" s="1015"/>
      <c r="E894" s="1104" t="s">
        <v>7446</v>
      </c>
      <c r="F894" s="1105"/>
      <c r="G894" s="1104">
        <v>61109</v>
      </c>
      <c r="H894" s="1104"/>
      <c r="I894" s="1104"/>
      <c r="J894" s="1104"/>
      <c r="K894" s="1104"/>
      <c r="L894" s="1104">
        <v>48609</v>
      </c>
      <c r="M894" s="1106">
        <v>48609</v>
      </c>
      <c r="N894" s="1159">
        <v>48609</v>
      </c>
      <c r="O894" s="1104">
        <v>48609</v>
      </c>
      <c r="P894" s="1107">
        <f t="shared" si="21"/>
        <v>48609</v>
      </c>
      <c r="Q894" s="1107">
        <f t="shared" si="21"/>
        <v>48609</v>
      </c>
      <c r="R894" s="1107">
        <f t="shared" si="21"/>
        <v>48609</v>
      </c>
      <c r="S894" s="1107">
        <f t="shared" si="20"/>
        <v>48609</v>
      </c>
    </row>
    <row r="895" spans="1:19">
      <c r="A895" s="1015">
        <v>735</v>
      </c>
      <c r="B895" s="1015" t="s">
        <v>9059</v>
      </c>
      <c r="C895" s="1103" t="s">
        <v>2688</v>
      </c>
      <c r="D895" s="1015"/>
      <c r="E895" s="1104" t="s">
        <v>7446</v>
      </c>
      <c r="F895" s="1105"/>
      <c r="G895" s="1104">
        <v>104905</v>
      </c>
      <c r="H895" s="1104"/>
      <c r="I895" s="1104"/>
      <c r="J895" s="1104"/>
      <c r="K895" s="1104"/>
      <c r="L895" s="1104">
        <v>83447</v>
      </c>
      <c r="M895" s="1106">
        <v>83447</v>
      </c>
      <c r="N895" s="1159">
        <v>83447</v>
      </c>
      <c r="O895" s="1104">
        <v>83447</v>
      </c>
      <c r="P895" s="1107">
        <f t="shared" si="21"/>
        <v>83447</v>
      </c>
      <c r="Q895" s="1107">
        <f t="shared" si="21"/>
        <v>83447</v>
      </c>
      <c r="R895" s="1107">
        <f t="shared" si="21"/>
        <v>83447</v>
      </c>
      <c r="S895" s="1107">
        <f t="shared" si="20"/>
        <v>83447</v>
      </c>
    </row>
    <row r="896" spans="1:19">
      <c r="A896" s="1015">
        <v>736</v>
      </c>
      <c r="B896" s="1015" t="s">
        <v>9060</v>
      </c>
      <c r="C896" s="1103" t="s">
        <v>9061</v>
      </c>
      <c r="D896" s="1015"/>
      <c r="E896" s="1104" t="s">
        <v>7446</v>
      </c>
      <c r="F896" s="1105"/>
      <c r="G896" s="1104">
        <v>365277</v>
      </c>
      <c r="H896" s="1104"/>
      <c r="I896" s="1104"/>
      <c r="J896" s="1104"/>
      <c r="K896" s="1104"/>
      <c r="L896" s="1104">
        <v>290561</v>
      </c>
      <c r="M896" s="1106">
        <v>290561</v>
      </c>
      <c r="N896" s="1159">
        <v>290561</v>
      </c>
      <c r="O896" s="1104">
        <v>290561</v>
      </c>
      <c r="P896" s="1107">
        <f t="shared" si="21"/>
        <v>290561</v>
      </c>
      <c r="Q896" s="1107">
        <f t="shared" si="21"/>
        <v>290561</v>
      </c>
      <c r="R896" s="1107">
        <f t="shared" si="21"/>
        <v>290561</v>
      </c>
      <c r="S896" s="1107">
        <f t="shared" si="20"/>
        <v>290561</v>
      </c>
    </row>
    <row r="897" spans="1:19">
      <c r="A897" s="1015">
        <v>737</v>
      </c>
      <c r="B897" s="1015" t="s">
        <v>9062</v>
      </c>
      <c r="C897" s="1103" t="s">
        <v>2678</v>
      </c>
      <c r="D897" s="1015"/>
      <c r="E897" s="1104" t="s">
        <v>7446</v>
      </c>
      <c r="F897" s="1105"/>
      <c r="G897" s="1104">
        <v>73491</v>
      </c>
      <c r="H897" s="1104"/>
      <c r="I897" s="1104"/>
      <c r="J897" s="1104"/>
      <c r="K897" s="1104"/>
      <c r="L897" s="1104">
        <v>58459</v>
      </c>
      <c r="M897" s="1106">
        <v>58459</v>
      </c>
      <c r="N897" s="1159">
        <v>58459</v>
      </c>
      <c r="O897" s="1104">
        <v>58459</v>
      </c>
      <c r="P897" s="1107">
        <f t="shared" si="21"/>
        <v>58459</v>
      </c>
      <c r="Q897" s="1107">
        <f t="shared" si="21"/>
        <v>58459</v>
      </c>
      <c r="R897" s="1107">
        <f t="shared" si="21"/>
        <v>58459</v>
      </c>
      <c r="S897" s="1107">
        <f t="shared" si="20"/>
        <v>58459</v>
      </c>
    </row>
    <row r="898" spans="1:19">
      <c r="A898" s="1015">
        <v>738</v>
      </c>
      <c r="B898" s="1015" t="s">
        <v>9063</v>
      </c>
      <c r="C898" s="1103" t="s">
        <v>9064</v>
      </c>
      <c r="D898" s="1015"/>
      <c r="E898" s="1104" t="s">
        <v>7446</v>
      </c>
      <c r="F898" s="1105"/>
      <c r="G898" s="1104">
        <v>151224</v>
      </c>
      <c r="H898" s="1104"/>
      <c r="I898" s="1104"/>
      <c r="J898" s="1104"/>
      <c r="K898" s="1104"/>
      <c r="L898" s="1104">
        <v>120292</v>
      </c>
      <c r="M898" s="1106">
        <v>120292</v>
      </c>
      <c r="N898" s="1159">
        <v>120292</v>
      </c>
      <c r="O898" s="1104">
        <v>120292</v>
      </c>
      <c r="P898" s="1107">
        <f t="shared" si="21"/>
        <v>120292</v>
      </c>
      <c r="Q898" s="1107">
        <f t="shared" si="21"/>
        <v>120292</v>
      </c>
      <c r="R898" s="1107">
        <f t="shared" si="21"/>
        <v>120292</v>
      </c>
      <c r="S898" s="1107">
        <f t="shared" si="20"/>
        <v>120292</v>
      </c>
    </row>
    <row r="899" spans="1:19">
      <c r="A899" s="1015">
        <v>739</v>
      </c>
      <c r="B899" s="1015" t="s">
        <v>9065</v>
      </c>
      <c r="C899" s="1103" t="s">
        <v>9066</v>
      </c>
      <c r="D899" s="1015"/>
      <c r="E899" s="1104" t="s">
        <v>7446</v>
      </c>
      <c r="F899" s="1105"/>
      <c r="G899" s="1104">
        <v>521317</v>
      </c>
      <c r="H899" s="1104"/>
      <c r="I899" s="1104"/>
      <c r="J899" s="1104"/>
      <c r="K899" s="1104"/>
      <c r="L899" s="1104">
        <v>414684</v>
      </c>
      <c r="M899" s="1106">
        <v>414684</v>
      </c>
      <c r="N899" s="1159">
        <v>414684</v>
      </c>
      <c r="O899" s="1104">
        <v>414684</v>
      </c>
      <c r="P899" s="1107">
        <f t="shared" si="21"/>
        <v>414684</v>
      </c>
      <c r="Q899" s="1107">
        <f t="shared" si="21"/>
        <v>414684</v>
      </c>
      <c r="R899" s="1107">
        <f t="shared" si="21"/>
        <v>414684</v>
      </c>
      <c r="S899" s="1107">
        <f t="shared" si="20"/>
        <v>414684</v>
      </c>
    </row>
    <row r="900" spans="1:19">
      <c r="A900" s="1015">
        <v>740</v>
      </c>
      <c r="B900" s="1015" t="s">
        <v>9067</v>
      </c>
      <c r="C900" s="1103" t="s">
        <v>9068</v>
      </c>
      <c r="D900" s="1015"/>
      <c r="E900" s="1104" t="s">
        <v>7446</v>
      </c>
      <c r="F900" s="1105"/>
      <c r="G900" s="1104">
        <v>374105</v>
      </c>
      <c r="H900" s="1104"/>
      <c r="I900" s="1104"/>
      <c r="J900" s="1104"/>
      <c r="K900" s="1104"/>
      <c r="L900" s="1104">
        <v>297584</v>
      </c>
      <c r="M900" s="1106">
        <v>297584</v>
      </c>
      <c r="N900" s="1159">
        <v>297584</v>
      </c>
      <c r="O900" s="1104">
        <v>297584</v>
      </c>
      <c r="P900" s="1107">
        <f t="shared" si="21"/>
        <v>297584</v>
      </c>
      <c r="Q900" s="1107">
        <f t="shared" si="21"/>
        <v>297584</v>
      </c>
      <c r="R900" s="1107">
        <f t="shared" si="21"/>
        <v>297584</v>
      </c>
      <c r="S900" s="1107">
        <f t="shared" si="20"/>
        <v>297584</v>
      </c>
    </row>
    <row r="901" spans="1:19">
      <c r="A901" s="1015">
        <v>741</v>
      </c>
      <c r="B901" s="1015" t="s">
        <v>9069</v>
      </c>
      <c r="C901" s="1103" t="s">
        <v>9070</v>
      </c>
      <c r="D901" s="1015"/>
      <c r="E901" s="1104" t="s">
        <v>7446</v>
      </c>
      <c r="F901" s="1105"/>
      <c r="G901" s="1104">
        <v>133224</v>
      </c>
      <c r="H901" s="1104"/>
      <c r="I901" s="1104"/>
      <c r="J901" s="1104"/>
      <c r="K901" s="1104"/>
      <c r="L901" s="1104">
        <v>105974</v>
      </c>
      <c r="M901" s="1106">
        <v>105974</v>
      </c>
      <c r="N901" s="1159">
        <v>105974</v>
      </c>
      <c r="O901" s="1104">
        <v>105974</v>
      </c>
      <c r="P901" s="1107">
        <f t="shared" si="21"/>
        <v>105974</v>
      </c>
      <c r="Q901" s="1107">
        <f t="shared" si="21"/>
        <v>105974</v>
      </c>
      <c r="R901" s="1107">
        <f t="shared" si="21"/>
        <v>105974</v>
      </c>
      <c r="S901" s="1107">
        <f t="shared" si="20"/>
        <v>105974</v>
      </c>
    </row>
    <row r="902" spans="1:19">
      <c r="A902" s="1015">
        <v>742</v>
      </c>
      <c r="B902" s="1015" t="s">
        <v>9071</v>
      </c>
      <c r="C902" s="1103" t="s">
        <v>9072</v>
      </c>
      <c r="D902" s="1015"/>
      <c r="E902" s="1104" t="s">
        <v>7446</v>
      </c>
      <c r="F902" s="1105"/>
      <c r="G902" s="1104">
        <v>184244</v>
      </c>
      <c r="H902" s="1104"/>
      <c r="I902" s="1104"/>
      <c r="J902" s="1104"/>
      <c r="K902" s="1104"/>
      <c r="L902" s="1104">
        <v>146558</v>
      </c>
      <c r="M902" s="1106">
        <v>146558</v>
      </c>
      <c r="N902" s="1159">
        <v>146558</v>
      </c>
      <c r="O902" s="1104">
        <v>146558</v>
      </c>
      <c r="P902" s="1107">
        <f t="shared" si="21"/>
        <v>146558</v>
      </c>
      <c r="Q902" s="1107">
        <f t="shared" si="21"/>
        <v>146558</v>
      </c>
      <c r="R902" s="1107">
        <f t="shared" si="21"/>
        <v>146558</v>
      </c>
      <c r="S902" s="1107">
        <f t="shared" si="20"/>
        <v>146558</v>
      </c>
    </row>
    <row r="903" spans="1:19">
      <c r="A903" s="1015">
        <v>743</v>
      </c>
      <c r="B903" s="1015" t="s">
        <v>9073</v>
      </c>
      <c r="C903" s="1103" t="s">
        <v>9074</v>
      </c>
      <c r="D903" s="1015"/>
      <c r="E903" s="1104" t="s">
        <v>7446</v>
      </c>
      <c r="F903" s="1105"/>
      <c r="G903" s="1104">
        <v>166702</v>
      </c>
      <c r="H903" s="1104"/>
      <c r="I903" s="1104"/>
      <c r="J903" s="1104"/>
      <c r="K903" s="1104"/>
      <c r="L903" s="1104">
        <v>132604</v>
      </c>
      <c r="M903" s="1106">
        <v>132604</v>
      </c>
      <c r="N903" s="1159">
        <v>132604</v>
      </c>
      <c r="O903" s="1104">
        <v>132604</v>
      </c>
      <c r="P903" s="1107">
        <f t="shared" si="21"/>
        <v>132604</v>
      </c>
      <c r="Q903" s="1107">
        <f t="shared" si="21"/>
        <v>132604</v>
      </c>
      <c r="R903" s="1107">
        <f t="shared" si="21"/>
        <v>132604</v>
      </c>
      <c r="S903" s="1107">
        <f t="shared" si="20"/>
        <v>132604</v>
      </c>
    </row>
    <row r="904" spans="1:19">
      <c r="A904" s="1015">
        <v>744</v>
      </c>
      <c r="B904" s="1015" t="s">
        <v>9075</v>
      </c>
      <c r="C904" s="1103" t="s">
        <v>2679</v>
      </c>
      <c r="D904" s="1015"/>
      <c r="E904" s="1104" t="s">
        <v>7446</v>
      </c>
      <c r="F904" s="1105"/>
      <c r="G904" s="1104">
        <v>50446</v>
      </c>
      <c r="H904" s="1104"/>
      <c r="I904" s="1104"/>
      <c r="J904" s="1104"/>
      <c r="K904" s="1104"/>
      <c r="L904" s="1104">
        <v>40128</v>
      </c>
      <c r="M904" s="1106">
        <v>40128</v>
      </c>
      <c r="N904" s="1159">
        <v>40128</v>
      </c>
      <c r="O904" s="1104">
        <v>40128</v>
      </c>
      <c r="P904" s="1107">
        <f t="shared" si="21"/>
        <v>40128</v>
      </c>
      <c r="Q904" s="1107">
        <f t="shared" si="21"/>
        <v>40128</v>
      </c>
      <c r="R904" s="1107">
        <f t="shared" si="21"/>
        <v>40128</v>
      </c>
      <c r="S904" s="1107">
        <f t="shared" si="20"/>
        <v>40128</v>
      </c>
    </row>
    <row r="905" spans="1:19">
      <c r="A905" s="1015">
        <v>745</v>
      </c>
      <c r="B905" s="1015" t="s">
        <v>9076</v>
      </c>
      <c r="C905" s="1103" t="s">
        <v>9077</v>
      </c>
      <c r="D905" s="1015"/>
      <c r="E905" s="1104" t="s">
        <v>7446</v>
      </c>
      <c r="F905" s="1105"/>
      <c r="G905" s="1104">
        <v>86332</v>
      </c>
      <c r="H905" s="1104"/>
      <c r="I905" s="1104"/>
      <c r="J905" s="1104"/>
      <c r="K905" s="1104"/>
      <c r="L905" s="1104">
        <v>68673</v>
      </c>
      <c r="M905" s="1106">
        <v>68673</v>
      </c>
      <c r="N905" s="1159">
        <v>68673</v>
      </c>
      <c r="O905" s="1104">
        <v>68673</v>
      </c>
      <c r="P905" s="1107">
        <f t="shared" si="21"/>
        <v>68673</v>
      </c>
      <c r="Q905" s="1107">
        <f t="shared" si="21"/>
        <v>68673</v>
      </c>
      <c r="R905" s="1107">
        <f t="shared" si="21"/>
        <v>68673</v>
      </c>
      <c r="S905" s="1107">
        <f t="shared" si="21"/>
        <v>68673</v>
      </c>
    </row>
    <row r="906" spans="1:19">
      <c r="A906" s="1015">
        <v>746</v>
      </c>
      <c r="B906" s="1015" t="s">
        <v>9078</v>
      </c>
      <c r="C906" s="1103" t="s">
        <v>9079</v>
      </c>
      <c r="D906" s="1015"/>
      <c r="E906" s="1104" t="s">
        <v>7446</v>
      </c>
      <c r="F906" s="1105"/>
      <c r="G906" s="1104">
        <v>499762</v>
      </c>
      <c r="H906" s="1104"/>
      <c r="I906" s="1104"/>
      <c r="J906" s="1104"/>
      <c r="K906" s="1104"/>
      <c r="L906" s="1104">
        <v>397538</v>
      </c>
      <c r="M906" s="1106">
        <v>397538</v>
      </c>
      <c r="N906" s="1159">
        <v>397538</v>
      </c>
      <c r="O906" s="1104">
        <v>397538</v>
      </c>
      <c r="P906" s="1107">
        <f t="shared" ref="P906:S921" si="22">H906+L906</f>
        <v>397538</v>
      </c>
      <c r="Q906" s="1107">
        <f t="shared" si="22"/>
        <v>397538</v>
      </c>
      <c r="R906" s="1107">
        <f t="shared" si="22"/>
        <v>397538</v>
      </c>
      <c r="S906" s="1107">
        <f t="shared" si="22"/>
        <v>397538</v>
      </c>
    </row>
    <row r="907" spans="1:19">
      <c r="A907" s="1015"/>
      <c r="B907" s="1015" t="s">
        <v>9080</v>
      </c>
      <c r="C907" s="1103" t="s">
        <v>9081</v>
      </c>
      <c r="D907" s="1015"/>
      <c r="E907" s="1104" t="s">
        <v>7446</v>
      </c>
      <c r="F907" s="1105"/>
      <c r="G907" s="1104"/>
      <c r="H907" s="1104"/>
      <c r="I907" s="1104"/>
      <c r="J907" s="1104"/>
      <c r="K907" s="1104"/>
      <c r="L907" s="1104">
        <f t="shared" ref="L907:O919" si="23">$V907*W907</f>
        <v>0</v>
      </c>
      <c r="M907" s="1106">
        <f t="shared" si="23"/>
        <v>0</v>
      </c>
      <c r="N907" s="1159">
        <f t="shared" si="23"/>
        <v>0</v>
      </c>
      <c r="O907" s="1104">
        <f t="shared" si="23"/>
        <v>0</v>
      </c>
      <c r="P907" s="1107">
        <f t="shared" si="22"/>
        <v>0</v>
      </c>
      <c r="Q907" s="1107">
        <f t="shared" si="22"/>
        <v>0</v>
      </c>
      <c r="R907" s="1107">
        <f t="shared" si="22"/>
        <v>0</v>
      </c>
      <c r="S907" s="1107">
        <f t="shared" si="22"/>
        <v>0</v>
      </c>
    </row>
    <row r="908" spans="1:19">
      <c r="A908" s="1015"/>
      <c r="B908" s="1015" t="s">
        <v>6274</v>
      </c>
      <c r="C908" s="1103" t="s">
        <v>9082</v>
      </c>
      <c r="D908" s="1015"/>
      <c r="E908" s="1104" t="s">
        <v>7446</v>
      </c>
      <c r="F908" s="1105"/>
      <c r="G908" s="1104"/>
      <c r="H908" s="1104"/>
      <c r="I908" s="1104"/>
      <c r="J908" s="1104"/>
      <c r="K908" s="1104"/>
      <c r="L908" s="1104">
        <f t="shared" si="23"/>
        <v>0</v>
      </c>
      <c r="M908" s="1106">
        <f t="shared" si="23"/>
        <v>0</v>
      </c>
      <c r="N908" s="1159">
        <f t="shared" si="23"/>
        <v>0</v>
      </c>
      <c r="O908" s="1104">
        <f t="shared" si="23"/>
        <v>0</v>
      </c>
      <c r="P908" s="1107">
        <f t="shared" si="22"/>
        <v>0</v>
      </c>
      <c r="Q908" s="1107">
        <f t="shared" si="22"/>
        <v>0</v>
      </c>
      <c r="R908" s="1107">
        <f t="shared" si="22"/>
        <v>0</v>
      </c>
      <c r="S908" s="1107">
        <f t="shared" si="22"/>
        <v>0</v>
      </c>
    </row>
    <row r="909" spans="1:19">
      <c r="A909" s="1015"/>
      <c r="B909" s="1015" t="s">
        <v>7136</v>
      </c>
      <c r="C909" s="1103" t="s">
        <v>7137</v>
      </c>
      <c r="D909" s="1015"/>
      <c r="E909" s="1104" t="s">
        <v>7446</v>
      </c>
      <c r="F909" s="1105"/>
      <c r="G909" s="1104"/>
      <c r="H909" s="1104"/>
      <c r="I909" s="1104"/>
      <c r="J909" s="1104"/>
      <c r="K909" s="1104"/>
      <c r="L909" s="1104">
        <f t="shared" si="23"/>
        <v>0</v>
      </c>
      <c r="M909" s="1106">
        <f t="shared" si="23"/>
        <v>0</v>
      </c>
      <c r="N909" s="1159">
        <f t="shared" si="23"/>
        <v>0</v>
      </c>
      <c r="O909" s="1104">
        <f t="shared" si="23"/>
        <v>0</v>
      </c>
      <c r="P909" s="1107">
        <f t="shared" si="22"/>
        <v>0</v>
      </c>
      <c r="Q909" s="1107">
        <f t="shared" si="22"/>
        <v>0</v>
      </c>
      <c r="R909" s="1107">
        <f t="shared" si="22"/>
        <v>0</v>
      </c>
      <c r="S909" s="1107">
        <f t="shared" si="22"/>
        <v>0</v>
      </c>
    </row>
    <row r="910" spans="1:19">
      <c r="A910" s="1015"/>
      <c r="B910" s="1015" t="s">
        <v>6424</v>
      </c>
      <c r="C910" s="1103" t="s">
        <v>6425</v>
      </c>
      <c r="D910" s="1015"/>
      <c r="E910" s="1104" t="s">
        <v>7446</v>
      </c>
      <c r="F910" s="1105"/>
      <c r="G910" s="1104"/>
      <c r="H910" s="1104"/>
      <c r="I910" s="1104"/>
      <c r="J910" s="1104"/>
      <c r="K910" s="1104"/>
      <c r="L910" s="1104">
        <f t="shared" si="23"/>
        <v>0</v>
      </c>
      <c r="M910" s="1106">
        <f t="shared" si="23"/>
        <v>0</v>
      </c>
      <c r="N910" s="1159">
        <f t="shared" si="23"/>
        <v>0</v>
      </c>
      <c r="O910" s="1104">
        <f t="shared" si="23"/>
        <v>0</v>
      </c>
      <c r="P910" s="1107">
        <f t="shared" si="22"/>
        <v>0</v>
      </c>
      <c r="Q910" s="1107">
        <f t="shared" si="22"/>
        <v>0</v>
      </c>
      <c r="R910" s="1107">
        <f t="shared" si="22"/>
        <v>0</v>
      </c>
      <c r="S910" s="1107">
        <f t="shared" si="22"/>
        <v>0</v>
      </c>
    </row>
    <row r="911" spans="1:19">
      <c r="A911" s="1015"/>
      <c r="B911" s="1015" t="s">
        <v>5676</v>
      </c>
      <c r="C911" s="1103" t="s">
        <v>9083</v>
      </c>
      <c r="D911" s="1015"/>
      <c r="E911" s="1104" t="s">
        <v>7446</v>
      </c>
      <c r="F911" s="1105"/>
      <c r="G911" s="1104"/>
      <c r="H911" s="1104"/>
      <c r="I911" s="1104"/>
      <c r="J911" s="1104"/>
      <c r="K911" s="1104"/>
      <c r="L911" s="1104">
        <f t="shared" si="23"/>
        <v>0</v>
      </c>
      <c r="M911" s="1106">
        <f t="shared" si="23"/>
        <v>0</v>
      </c>
      <c r="N911" s="1159">
        <f t="shared" si="23"/>
        <v>0</v>
      </c>
      <c r="O911" s="1104">
        <f t="shared" si="23"/>
        <v>0</v>
      </c>
      <c r="P911" s="1107">
        <f t="shared" si="22"/>
        <v>0</v>
      </c>
      <c r="Q911" s="1107">
        <f t="shared" si="22"/>
        <v>0</v>
      </c>
      <c r="R911" s="1107">
        <f t="shared" si="22"/>
        <v>0</v>
      </c>
      <c r="S911" s="1107">
        <f t="shared" si="22"/>
        <v>0</v>
      </c>
    </row>
    <row r="912" spans="1:19">
      <c r="A912" s="1015"/>
      <c r="B912" s="1015" t="s">
        <v>6410</v>
      </c>
      <c r="C912" s="1103" t="s">
        <v>6411</v>
      </c>
      <c r="D912" s="1015"/>
      <c r="E912" s="1104" t="s">
        <v>7446</v>
      </c>
      <c r="F912" s="1105"/>
      <c r="G912" s="1104"/>
      <c r="H912" s="1104"/>
      <c r="I912" s="1104"/>
      <c r="J912" s="1104"/>
      <c r="K912" s="1104"/>
      <c r="L912" s="1104">
        <f t="shared" si="23"/>
        <v>0</v>
      </c>
      <c r="M912" s="1106">
        <f t="shared" si="23"/>
        <v>0</v>
      </c>
      <c r="N912" s="1159">
        <f t="shared" si="23"/>
        <v>0</v>
      </c>
      <c r="O912" s="1104">
        <f t="shared" si="23"/>
        <v>0</v>
      </c>
      <c r="P912" s="1107">
        <f t="shared" si="22"/>
        <v>0</v>
      </c>
      <c r="Q912" s="1107">
        <f t="shared" si="22"/>
        <v>0</v>
      </c>
      <c r="R912" s="1107">
        <f t="shared" si="22"/>
        <v>0</v>
      </c>
      <c r="S912" s="1107">
        <f t="shared" si="22"/>
        <v>0</v>
      </c>
    </row>
    <row r="913" spans="1:19">
      <c r="A913" s="1015"/>
      <c r="B913" s="1015" t="s">
        <v>6434</v>
      </c>
      <c r="C913" s="1103" t="s">
        <v>6435</v>
      </c>
      <c r="D913" s="1015"/>
      <c r="E913" s="1104"/>
      <c r="F913" s="1105"/>
      <c r="G913" s="1104"/>
      <c r="H913" s="1104"/>
      <c r="I913" s="1104"/>
      <c r="J913" s="1104"/>
      <c r="K913" s="1104"/>
      <c r="L913" s="1104">
        <f t="shared" si="23"/>
        <v>0</v>
      </c>
      <c r="M913" s="1106">
        <f t="shared" si="23"/>
        <v>0</v>
      </c>
      <c r="N913" s="1159">
        <f t="shared" si="23"/>
        <v>0</v>
      </c>
      <c r="O913" s="1104">
        <f t="shared" si="23"/>
        <v>0</v>
      </c>
      <c r="P913" s="1107">
        <f t="shared" si="22"/>
        <v>0</v>
      </c>
      <c r="Q913" s="1107">
        <f t="shared" si="22"/>
        <v>0</v>
      </c>
      <c r="R913" s="1107">
        <f t="shared" si="22"/>
        <v>0</v>
      </c>
      <c r="S913" s="1107">
        <f t="shared" si="22"/>
        <v>0</v>
      </c>
    </row>
    <row r="914" spans="1:19">
      <c r="A914" s="1015"/>
      <c r="B914" s="1015" t="s">
        <v>6408</v>
      </c>
      <c r="C914" s="1103" t="s">
        <v>6409</v>
      </c>
      <c r="D914" s="1015"/>
      <c r="E914" s="1104"/>
      <c r="F914" s="1105"/>
      <c r="G914" s="1104"/>
      <c r="H914" s="1104"/>
      <c r="I914" s="1104"/>
      <c r="J914" s="1104"/>
      <c r="K914" s="1104"/>
      <c r="L914" s="1104">
        <f t="shared" si="23"/>
        <v>0</v>
      </c>
      <c r="M914" s="1106">
        <f t="shared" si="23"/>
        <v>0</v>
      </c>
      <c r="N914" s="1159">
        <f t="shared" si="23"/>
        <v>0</v>
      </c>
      <c r="O914" s="1104">
        <f t="shared" si="23"/>
        <v>0</v>
      </c>
      <c r="P914" s="1107">
        <f t="shared" si="22"/>
        <v>0</v>
      </c>
      <c r="Q914" s="1107">
        <f t="shared" si="22"/>
        <v>0</v>
      </c>
      <c r="R914" s="1107">
        <f t="shared" si="22"/>
        <v>0</v>
      </c>
      <c r="S914" s="1107">
        <f t="shared" si="22"/>
        <v>0</v>
      </c>
    </row>
    <row r="915" spans="1:19">
      <c r="A915" s="1015"/>
      <c r="B915" s="1015" t="s">
        <v>5403</v>
      </c>
      <c r="C915" s="1103" t="s">
        <v>9084</v>
      </c>
      <c r="D915" s="1015"/>
      <c r="E915" s="1104"/>
      <c r="F915" s="1105"/>
      <c r="G915" s="1104"/>
      <c r="H915" s="1104"/>
      <c r="I915" s="1104"/>
      <c r="J915" s="1104"/>
      <c r="K915" s="1104"/>
      <c r="L915" s="1104">
        <f t="shared" si="23"/>
        <v>0</v>
      </c>
      <c r="M915" s="1106">
        <f t="shared" si="23"/>
        <v>0</v>
      </c>
      <c r="N915" s="1159">
        <f t="shared" si="23"/>
        <v>0</v>
      </c>
      <c r="O915" s="1104">
        <f t="shared" si="23"/>
        <v>0</v>
      </c>
      <c r="P915" s="1107">
        <f t="shared" si="22"/>
        <v>0</v>
      </c>
      <c r="Q915" s="1107">
        <f t="shared" si="22"/>
        <v>0</v>
      </c>
      <c r="R915" s="1107">
        <f t="shared" si="22"/>
        <v>0</v>
      </c>
      <c r="S915" s="1107">
        <f t="shared" si="22"/>
        <v>0</v>
      </c>
    </row>
    <row r="916" spans="1:19">
      <c r="A916" s="1015"/>
      <c r="B916" s="1015" t="s">
        <v>3974</v>
      </c>
      <c r="C916" s="1103" t="s">
        <v>5555</v>
      </c>
      <c r="D916" s="1015"/>
      <c r="E916" s="1104"/>
      <c r="F916" s="1105"/>
      <c r="G916" s="1104"/>
      <c r="H916" s="1104"/>
      <c r="I916" s="1104"/>
      <c r="J916" s="1104"/>
      <c r="K916" s="1104"/>
      <c r="L916" s="1104">
        <f t="shared" si="23"/>
        <v>0</v>
      </c>
      <c r="M916" s="1106">
        <f t="shared" si="23"/>
        <v>0</v>
      </c>
      <c r="N916" s="1159">
        <f t="shared" si="23"/>
        <v>0</v>
      </c>
      <c r="O916" s="1104">
        <f t="shared" si="23"/>
        <v>0</v>
      </c>
      <c r="P916" s="1107">
        <f t="shared" si="22"/>
        <v>0</v>
      </c>
      <c r="Q916" s="1107">
        <f t="shared" si="22"/>
        <v>0</v>
      </c>
      <c r="R916" s="1107">
        <f t="shared" si="22"/>
        <v>0</v>
      </c>
      <c r="S916" s="1107">
        <f t="shared" si="22"/>
        <v>0</v>
      </c>
    </row>
    <row r="917" spans="1:19">
      <c r="A917" s="1015"/>
      <c r="B917" s="1015" t="s">
        <v>4049</v>
      </c>
      <c r="C917" s="1103" t="s">
        <v>4050</v>
      </c>
      <c r="D917" s="1015"/>
      <c r="E917" s="1104"/>
      <c r="F917" s="1105"/>
      <c r="G917" s="1104"/>
      <c r="H917" s="1104"/>
      <c r="I917" s="1104"/>
      <c r="J917" s="1104"/>
      <c r="K917" s="1104"/>
      <c r="L917" s="1104">
        <f t="shared" si="23"/>
        <v>0</v>
      </c>
      <c r="M917" s="1106">
        <f t="shared" si="23"/>
        <v>0</v>
      </c>
      <c r="N917" s="1159">
        <f t="shared" si="23"/>
        <v>0</v>
      </c>
      <c r="O917" s="1104">
        <f t="shared" si="23"/>
        <v>0</v>
      </c>
      <c r="P917" s="1107">
        <f t="shared" si="22"/>
        <v>0</v>
      </c>
      <c r="Q917" s="1107">
        <f t="shared" si="22"/>
        <v>0</v>
      </c>
      <c r="R917" s="1107">
        <f t="shared" si="22"/>
        <v>0</v>
      </c>
      <c r="S917" s="1107">
        <f t="shared" si="22"/>
        <v>0</v>
      </c>
    </row>
    <row r="918" spans="1:19">
      <c r="A918" s="1015"/>
      <c r="B918" s="1015" t="s">
        <v>5610</v>
      </c>
      <c r="C918" s="1103" t="s">
        <v>5611</v>
      </c>
      <c r="D918" s="1015"/>
      <c r="E918" s="1104"/>
      <c r="F918" s="1105"/>
      <c r="G918" s="1104"/>
      <c r="H918" s="1104"/>
      <c r="I918" s="1104"/>
      <c r="J918" s="1104"/>
      <c r="K918" s="1104"/>
      <c r="L918" s="1104">
        <f t="shared" si="23"/>
        <v>0</v>
      </c>
      <c r="M918" s="1106">
        <f t="shared" si="23"/>
        <v>0</v>
      </c>
      <c r="N918" s="1159">
        <f t="shared" si="23"/>
        <v>0</v>
      </c>
      <c r="O918" s="1104">
        <f t="shared" si="23"/>
        <v>0</v>
      </c>
      <c r="P918" s="1107">
        <f t="shared" si="22"/>
        <v>0</v>
      </c>
      <c r="Q918" s="1107">
        <f t="shared" si="22"/>
        <v>0</v>
      </c>
      <c r="R918" s="1107">
        <f t="shared" si="22"/>
        <v>0</v>
      </c>
      <c r="S918" s="1107">
        <f t="shared" si="22"/>
        <v>0</v>
      </c>
    </row>
    <row r="919" spans="1:19">
      <c r="A919" s="1015"/>
      <c r="B919" s="1015" t="s">
        <v>6414</v>
      </c>
      <c r="C919" s="1103" t="s">
        <v>6415</v>
      </c>
      <c r="D919" s="1015"/>
      <c r="E919" s="1104"/>
      <c r="F919" s="1105"/>
      <c r="G919" s="1104"/>
      <c r="H919" s="1104"/>
      <c r="I919" s="1104"/>
      <c r="J919" s="1104"/>
      <c r="K919" s="1104"/>
      <c r="L919" s="1104">
        <f t="shared" si="23"/>
        <v>0</v>
      </c>
      <c r="M919" s="1106">
        <f t="shared" si="23"/>
        <v>0</v>
      </c>
      <c r="N919" s="1159">
        <f t="shared" si="23"/>
        <v>0</v>
      </c>
      <c r="O919" s="1104">
        <f t="shared" si="23"/>
        <v>0</v>
      </c>
      <c r="P919" s="1107">
        <f t="shared" si="22"/>
        <v>0</v>
      </c>
      <c r="Q919" s="1107">
        <f t="shared" si="22"/>
        <v>0</v>
      </c>
      <c r="R919" s="1107">
        <f t="shared" si="22"/>
        <v>0</v>
      </c>
      <c r="S919" s="1107">
        <f t="shared" si="22"/>
        <v>0</v>
      </c>
    </row>
    <row r="920" spans="1:19">
      <c r="A920" s="1015"/>
      <c r="B920" s="1015" t="s">
        <v>6728</v>
      </c>
      <c r="C920" s="1103" t="s">
        <v>6729</v>
      </c>
      <c r="D920" s="1015"/>
      <c r="E920" s="1104"/>
      <c r="F920" s="1105"/>
      <c r="G920" s="1104"/>
      <c r="H920" s="1104"/>
      <c r="I920" s="1104"/>
      <c r="J920" s="1104"/>
      <c r="K920" s="1104"/>
      <c r="L920" s="1104"/>
      <c r="M920" s="1106"/>
      <c r="N920" s="1159"/>
      <c r="O920" s="1104"/>
      <c r="P920" s="1107">
        <f t="shared" si="22"/>
        <v>0</v>
      </c>
      <c r="Q920" s="1107">
        <f t="shared" si="22"/>
        <v>0</v>
      </c>
      <c r="R920" s="1107">
        <f t="shared" si="22"/>
        <v>0</v>
      </c>
      <c r="S920" s="1107">
        <f t="shared" si="22"/>
        <v>0</v>
      </c>
    </row>
    <row r="921" spans="1:19">
      <c r="A921" s="1015"/>
      <c r="B921" s="1015" t="s">
        <v>9085</v>
      </c>
      <c r="C921" s="1103"/>
      <c r="D921" s="1015"/>
      <c r="E921" s="1104"/>
      <c r="F921" s="1105"/>
      <c r="G921" s="1104"/>
      <c r="H921" s="1104"/>
      <c r="I921" s="1104"/>
      <c r="J921" s="1104"/>
      <c r="K921" s="1104"/>
      <c r="L921" s="1104"/>
      <c r="M921" s="1106"/>
      <c r="N921" s="1159"/>
      <c r="O921" s="1104"/>
      <c r="P921" s="1107">
        <f t="shared" si="22"/>
        <v>0</v>
      </c>
      <c r="Q921" s="1107">
        <f t="shared" si="22"/>
        <v>0</v>
      </c>
      <c r="R921" s="1107">
        <f t="shared" si="22"/>
        <v>0</v>
      </c>
      <c r="S921" s="1107">
        <f t="shared" si="22"/>
        <v>0</v>
      </c>
    </row>
    <row r="922" spans="1:19">
      <c r="A922" s="1015"/>
      <c r="B922" s="1015" t="s">
        <v>9086</v>
      </c>
      <c r="C922" s="1103"/>
      <c r="D922" s="1015"/>
      <c r="E922" s="1104"/>
      <c r="F922" s="1105"/>
      <c r="G922" s="1104"/>
      <c r="H922" s="1104"/>
      <c r="I922" s="1104"/>
      <c r="J922" s="1104"/>
      <c r="K922" s="1104"/>
      <c r="L922" s="1104"/>
      <c r="M922" s="1106"/>
      <c r="N922" s="1159"/>
      <c r="O922" s="1104"/>
      <c r="P922" s="1107">
        <f t="shared" ref="P922:S933" si="24">H922+L922</f>
        <v>0</v>
      </c>
      <c r="Q922" s="1107">
        <f t="shared" si="24"/>
        <v>0</v>
      </c>
      <c r="R922" s="1107">
        <f t="shared" si="24"/>
        <v>0</v>
      </c>
      <c r="S922" s="1107">
        <f t="shared" si="24"/>
        <v>0</v>
      </c>
    </row>
    <row r="923" spans="1:19">
      <c r="A923" s="1015"/>
      <c r="B923" s="1015" t="s">
        <v>9087</v>
      </c>
      <c r="C923" s="1103"/>
      <c r="D923" s="1015"/>
      <c r="E923" s="1104"/>
      <c r="F923" s="1105"/>
      <c r="G923" s="1104"/>
      <c r="H923" s="1104"/>
      <c r="I923" s="1104"/>
      <c r="J923" s="1104"/>
      <c r="K923" s="1104"/>
      <c r="L923" s="1104"/>
      <c r="M923" s="1106"/>
      <c r="N923" s="1159"/>
      <c r="O923" s="1104"/>
      <c r="P923" s="1107">
        <f t="shared" si="24"/>
        <v>0</v>
      </c>
      <c r="Q923" s="1107">
        <f t="shared" si="24"/>
        <v>0</v>
      </c>
      <c r="R923" s="1107">
        <f t="shared" si="24"/>
        <v>0</v>
      </c>
      <c r="S923" s="1107">
        <f t="shared" si="24"/>
        <v>0</v>
      </c>
    </row>
    <row r="924" spans="1:19">
      <c r="A924" s="1015"/>
      <c r="B924" s="1015" t="s">
        <v>9088</v>
      </c>
      <c r="C924" s="1103"/>
      <c r="D924" s="1015"/>
      <c r="E924" s="1104"/>
      <c r="F924" s="1105"/>
      <c r="G924" s="1104"/>
      <c r="H924" s="1104"/>
      <c r="I924" s="1104"/>
      <c r="J924" s="1104"/>
      <c r="K924" s="1104"/>
      <c r="L924" s="1104"/>
      <c r="M924" s="1106"/>
      <c r="N924" s="1159"/>
      <c r="O924" s="1104"/>
      <c r="P924" s="1107">
        <f t="shared" si="24"/>
        <v>0</v>
      </c>
      <c r="Q924" s="1107">
        <f t="shared" si="24"/>
        <v>0</v>
      </c>
      <c r="R924" s="1107">
        <f t="shared" si="24"/>
        <v>0</v>
      </c>
      <c r="S924" s="1107">
        <f t="shared" si="24"/>
        <v>0</v>
      </c>
    </row>
    <row r="925" spans="1:19">
      <c r="A925" s="1015"/>
      <c r="B925" s="1015" t="s">
        <v>9089</v>
      </c>
      <c r="C925" s="1103"/>
      <c r="D925" s="1015"/>
      <c r="E925" s="1104"/>
      <c r="F925" s="1105"/>
      <c r="G925" s="1104"/>
      <c r="H925" s="1104"/>
      <c r="I925" s="1104"/>
      <c r="J925" s="1104"/>
      <c r="K925" s="1104"/>
      <c r="L925" s="1104"/>
      <c r="M925" s="1106"/>
      <c r="N925" s="1159"/>
      <c r="O925" s="1104"/>
      <c r="P925" s="1107">
        <f t="shared" si="24"/>
        <v>0</v>
      </c>
      <c r="Q925" s="1107">
        <f t="shared" si="24"/>
        <v>0</v>
      </c>
      <c r="R925" s="1107">
        <f t="shared" si="24"/>
        <v>0</v>
      </c>
      <c r="S925" s="1107">
        <f t="shared" si="24"/>
        <v>0</v>
      </c>
    </row>
    <row r="926" spans="1:19">
      <c r="A926" s="1015"/>
      <c r="B926" s="1015" t="s">
        <v>9090</v>
      </c>
      <c r="C926" s="1103"/>
      <c r="D926" s="1015"/>
      <c r="E926" s="1104"/>
      <c r="F926" s="1105"/>
      <c r="G926" s="1104"/>
      <c r="H926" s="1104"/>
      <c r="I926" s="1104"/>
      <c r="J926" s="1104"/>
      <c r="K926" s="1104"/>
      <c r="L926" s="1104"/>
      <c r="M926" s="1106"/>
      <c r="N926" s="1159"/>
      <c r="O926" s="1104"/>
      <c r="P926" s="1107">
        <f t="shared" si="24"/>
        <v>0</v>
      </c>
      <c r="Q926" s="1107">
        <f t="shared" si="24"/>
        <v>0</v>
      </c>
      <c r="R926" s="1107">
        <f t="shared" si="24"/>
        <v>0</v>
      </c>
      <c r="S926" s="1107">
        <f t="shared" si="24"/>
        <v>0</v>
      </c>
    </row>
    <row r="927" spans="1:19">
      <c r="A927" s="1015"/>
      <c r="B927" s="1015" t="s">
        <v>9091</v>
      </c>
      <c r="C927" s="1103"/>
      <c r="D927" s="1015"/>
      <c r="E927" s="1104"/>
      <c r="F927" s="1105"/>
      <c r="G927" s="1104"/>
      <c r="H927" s="1104"/>
      <c r="I927" s="1104"/>
      <c r="J927" s="1104"/>
      <c r="K927" s="1104"/>
      <c r="L927" s="1104"/>
      <c r="M927" s="1106"/>
      <c r="N927" s="1159"/>
      <c r="O927" s="1104"/>
      <c r="P927" s="1107">
        <f t="shared" si="24"/>
        <v>0</v>
      </c>
      <c r="Q927" s="1107">
        <f t="shared" si="24"/>
        <v>0</v>
      </c>
      <c r="R927" s="1107">
        <f t="shared" si="24"/>
        <v>0</v>
      </c>
      <c r="S927" s="1107">
        <f t="shared" si="24"/>
        <v>0</v>
      </c>
    </row>
    <row r="928" spans="1:19">
      <c r="A928" s="1015"/>
      <c r="B928" s="1015" t="s">
        <v>9092</v>
      </c>
      <c r="C928" s="1103"/>
      <c r="D928" s="1015"/>
      <c r="E928" s="1104"/>
      <c r="F928" s="1105"/>
      <c r="G928" s="1104"/>
      <c r="H928" s="1104"/>
      <c r="I928" s="1104"/>
      <c r="J928" s="1104"/>
      <c r="K928" s="1104"/>
      <c r="L928" s="1104"/>
      <c r="M928" s="1106"/>
      <c r="N928" s="1159"/>
      <c r="O928" s="1104"/>
      <c r="P928" s="1107">
        <f t="shared" si="24"/>
        <v>0</v>
      </c>
      <c r="Q928" s="1107">
        <f t="shared" si="24"/>
        <v>0</v>
      </c>
      <c r="R928" s="1107">
        <f t="shared" si="24"/>
        <v>0</v>
      </c>
      <c r="S928" s="1107">
        <f t="shared" si="24"/>
        <v>0</v>
      </c>
    </row>
    <row r="929" spans="1:19">
      <c r="A929" s="1015"/>
      <c r="B929" s="1015" t="s">
        <v>9093</v>
      </c>
      <c r="C929" s="1103"/>
      <c r="D929" s="1015"/>
      <c r="E929" s="1104"/>
      <c r="F929" s="1105"/>
      <c r="G929" s="1104"/>
      <c r="H929" s="1104"/>
      <c r="I929" s="1104"/>
      <c r="J929" s="1104"/>
      <c r="K929" s="1104"/>
      <c r="L929" s="1104"/>
      <c r="M929" s="1106"/>
      <c r="N929" s="1159"/>
      <c r="O929" s="1104"/>
      <c r="P929" s="1107">
        <f t="shared" si="24"/>
        <v>0</v>
      </c>
      <c r="Q929" s="1107">
        <f t="shared" si="24"/>
        <v>0</v>
      </c>
      <c r="R929" s="1107">
        <f t="shared" si="24"/>
        <v>0</v>
      </c>
      <c r="S929" s="1107">
        <f t="shared" si="24"/>
        <v>0</v>
      </c>
    </row>
    <row r="930" spans="1:19">
      <c r="A930" s="1015"/>
      <c r="B930" s="1015" t="s">
        <v>9094</v>
      </c>
      <c r="C930" s="1103"/>
      <c r="D930" s="1015"/>
      <c r="E930" s="1104"/>
      <c r="F930" s="1105"/>
      <c r="G930" s="1104"/>
      <c r="H930" s="1104"/>
      <c r="I930" s="1104"/>
      <c r="J930" s="1104"/>
      <c r="K930" s="1104"/>
      <c r="L930" s="1104"/>
      <c r="M930" s="1106"/>
      <c r="N930" s="1159"/>
      <c r="O930" s="1104"/>
      <c r="P930" s="1107">
        <f t="shared" si="24"/>
        <v>0</v>
      </c>
      <c r="Q930" s="1107">
        <f t="shared" si="24"/>
        <v>0</v>
      </c>
      <c r="R930" s="1107">
        <f t="shared" si="24"/>
        <v>0</v>
      </c>
      <c r="S930" s="1107">
        <f t="shared" si="24"/>
        <v>0</v>
      </c>
    </row>
    <row r="931" spans="1:19">
      <c r="A931" s="1015"/>
      <c r="B931" s="1015" t="s">
        <v>9095</v>
      </c>
      <c r="C931" s="1103"/>
      <c r="D931" s="1015"/>
      <c r="E931" s="1104"/>
      <c r="F931" s="1105"/>
      <c r="G931" s="1104"/>
      <c r="H931" s="1104"/>
      <c r="I931" s="1104"/>
      <c r="J931" s="1104"/>
      <c r="K931" s="1104"/>
      <c r="L931" s="1104"/>
      <c r="M931" s="1106"/>
      <c r="N931" s="1159"/>
      <c r="O931" s="1104"/>
      <c r="P931" s="1107">
        <f t="shared" si="24"/>
        <v>0</v>
      </c>
      <c r="Q931" s="1107">
        <f t="shared" si="24"/>
        <v>0</v>
      </c>
      <c r="R931" s="1107">
        <f t="shared" si="24"/>
        <v>0</v>
      </c>
      <c r="S931" s="1107">
        <f t="shared" si="24"/>
        <v>0</v>
      </c>
    </row>
    <row r="932" spans="1:19">
      <c r="A932" s="1015"/>
      <c r="B932" s="1015" t="s">
        <v>9096</v>
      </c>
      <c r="C932" s="1103"/>
      <c r="D932" s="1015"/>
      <c r="E932" s="1104"/>
      <c r="F932" s="1105"/>
      <c r="G932" s="1104"/>
      <c r="H932" s="1104"/>
      <c r="I932" s="1104"/>
      <c r="J932" s="1104"/>
      <c r="K932" s="1104"/>
      <c r="L932" s="1104"/>
      <c r="M932" s="1106"/>
      <c r="N932" s="1159"/>
      <c r="O932" s="1104"/>
      <c r="P932" s="1107">
        <f t="shared" si="24"/>
        <v>0</v>
      </c>
      <c r="Q932" s="1107">
        <f t="shared" si="24"/>
        <v>0</v>
      </c>
      <c r="R932" s="1107">
        <f t="shared" si="24"/>
        <v>0</v>
      </c>
      <c r="S932" s="1107">
        <f t="shared" si="24"/>
        <v>0</v>
      </c>
    </row>
    <row r="933" spans="1:19">
      <c r="A933" s="1015"/>
      <c r="B933" s="1015" t="s">
        <v>9097</v>
      </c>
      <c r="C933" s="1103"/>
      <c r="D933" s="1015"/>
      <c r="E933" s="1104"/>
      <c r="F933" s="1105"/>
      <c r="G933" s="1104"/>
      <c r="H933" s="1104"/>
      <c r="I933" s="1104"/>
      <c r="J933" s="1104"/>
      <c r="K933" s="1104"/>
      <c r="L933" s="1104"/>
      <c r="M933" s="1106"/>
      <c r="N933" s="1159"/>
      <c r="O933" s="1104"/>
      <c r="P933" s="1107">
        <f t="shared" si="24"/>
        <v>0</v>
      </c>
      <c r="Q933" s="1107">
        <f t="shared" si="24"/>
        <v>0</v>
      </c>
      <c r="R933" s="1107">
        <f t="shared" si="24"/>
        <v>0</v>
      </c>
      <c r="S933" s="1107">
        <f t="shared" si="24"/>
        <v>0</v>
      </c>
    </row>
  </sheetData>
  <mergeCells count="68">
    <mergeCell ref="N380:N381"/>
    <mergeCell ref="O380:O381"/>
    <mergeCell ref="H380:H381"/>
    <mergeCell ref="I380:I381"/>
    <mergeCell ref="J380:J381"/>
    <mergeCell ref="K380:K381"/>
    <mergeCell ref="L380:L381"/>
    <mergeCell ref="M380:M381"/>
    <mergeCell ref="A380:A381"/>
    <mergeCell ref="B380:B381"/>
    <mergeCell ref="D380:D381"/>
    <mergeCell ref="E380:E381"/>
    <mergeCell ref="F380:F381"/>
    <mergeCell ref="G380:G381"/>
    <mergeCell ref="J378:J379"/>
    <mergeCell ref="K378:K379"/>
    <mergeCell ref="L378:L379"/>
    <mergeCell ref="M378:M379"/>
    <mergeCell ref="N378:N379"/>
    <mergeCell ref="O378:O379"/>
    <mergeCell ref="N371:N373"/>
    <mergeCell ref="O371:O373"/>
    <mergeCell ref="A378:A379"/>
    <mergeCell ref="B378:B379"/>
    <mergeCell ref="D378:D379"/>
    <mergeCell ref="E378:E379"/>
    <mergeCell ref="F378:F379"/>
    <mergeCell ref="G378:G379"/>
    <mergeCell ref="H378:H379"/>
    <mergeCell ref="I378:I379"/>
    <mergeCell ref="H371:H373"/>
    <mergeCell ref="I371:I373"/>
    <mergeCell ref="J371:J373"/>
    <mergeCell ref="K371:K373"/>
    <mergeCell ref="L371:L373"/>
    <mergeCell ref="M371:M373"/>
    <mergeCell ref="A371:A373"/>
    <mergeCell ref="B371:B373"/>
    <mergeCell ref="D371:D373"/>
    <mergeCell ref="E371:E373"/>
    <mergeCell ref="F371:F373"/>
    <mergeCell ref="G371:G373"/>
    <mergeCell ref="O43:O44"/>
    <mergeCell ref="L3:O3"/>
    <mergeCell ref="P3:S3"/>
    <mergeCell ref="A43:A44"/>
    <mergeCell ref="B43:B44"/>
    <mergeCell ref="D43:D44"/>
    <mergeCell ref="E43:E44"/>
    <mergeCell ref="F43:F44"/>
    <mergeCell ref="G43:G44"/>
    <mergeCell ref="H43:H44"/>
    <mergeCell ref="I43:I44"/>
    <mergeCell ref="J43:J44"/>
    <mergeCell ref="K43:K44"/>
    <mergeCell ref="L43:L44"/>
    <mergeCell ref="M43:M44"/>
    <mergeCell ref="N43:N44"/>
    <mergeCell ref="A1:O1"/>
    <mergeCell ref="A2:O2"/>
    <mergeCell ref="A3:A4"/>
    <mergeCell ref="B3:B4"/>
    <mergeCell ref="C3:C4"/>
    <mergeCell ref="D3:D4"/>
    <mergeCell ref="E3:E4"/>
    <mergeCell ref="F3:F4"/>
    <mergeCell ref="G3:G4"/>
    <mergeCell ref="H3:K3"/>
  </mergeCells>
  <conditionalFormatting sqref="D80:D82">
    <cfRule type="expression" dxfId="0" priority="1">
      <formula>#REF!=1</formula>
    </cfRule>
  </conditionalFormatting>
  <pageMargins left="0.7" right="0.7" top="0.75" bottom="0.75" header="0.3" footer="0.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0"/>
  <sheetViews>
    <sheetView showZeros="0" zoomScale="85" zoomScaleNormal="85" workbookViewId="0">
      <selection activeCell="AF20" sqref="AF20"/>
    </sheetView>
  </sheetViews>
  <sheetFormatPr defaultRowHeight="15"/>
  <cols>
    <col min="1" max="1" width="4.5703125" style="554" customWidth="1"/>
    <col min="2" max="2" width="15" style="554" customWidth="1"/>
    <col min="3" max="3" width="14.42578125" style="554" customWidth="1"/>
    <col min="4" max="9" width="6.28515625" style="554" customWidth="1"/>
    <col min="10" max="10" width="6.28515625" style="570" customWidth="1"/>
    <col min="11" max="18" width="6.28515625" style="554" customWidth="1"/>
    <col min="19" max="247" width="9.140625" style="554"/>
    <col min="248" max="248" width="5.5703125" style="554" customWidth="1"/>
    <col min="249" max="249" width="22.5703125" style="554" customWidth="1"/>
    <col min="250" max="250" width="24" style="554" customWidth="1"/>
    <col min="251" max="270" width="6.7109375" style="554" customWidth="1"/>
    <col min="271" max="271" width="0" style="554" hidden="1" customWidth="1"/>
    <col min="272" max="274" width="6.7109375" style="554" customWidth="1"/>
    <col min="275" max="503" width="9.140625" style="554"/>
    <col min="504" max="504" width="5.5703125" style="554" customWidth="1"/>
    <col min="505" max="505" width="22.5703125" style="554" customWidth="1"/>
    <col min="506" max="506" width="24" style="554" customWidth="1"/>
    <col min="507" max="526" width="6.7109375" style="554" customWidth="1"/>
    <col min="527" max="527" width="0" style="554" hidden="1" customWidth="1"/>
    <col min="528" max="530" width="6.7109375" style="554" customWidth="1"/>
    <col min="531" max="759" width="9.140625" style="554"/>
    <col min="760" max="760" width="5.5703125" style="554" customWidth="1"/>
    <col min="761" max="761" width="22.5703125" style="554" customWidth="1"/>
    <col min="762" max="762" width="24" style="554" customWidth="1"/>
    <col min="763" max="782" width="6.7109375" style="554" customWidth="1"/>
    <col min="783" max="783" width="0" style="554" hidden="1" customWidth="1"/>
    <col min="784" max="786" width="6.7109375" style="554" customWidth="1"/>
    <col min="787" max="1015" width="9.140625" style="554"/>
    <col min="1016" max="1016" width="5.5703125" style="554" customWidth="1"/>
    <col min="1017" max="1017" width="22.5703125" style="554" customWidth="1"/>
    <col min="1018" max="1018" width="24" style="554" customWidth="1"/>
    <col min="1019" max="1038" width="6.7109375" style="554" customWidth="1"/>
    <col min="1039" max="1039" width="0" style="554" hidden="1" customWidth="1"/>
    <col min="1040" max="1042" width="6.7109375" style="554" customWidth="1"/>
    <col min="1043" max="1271" width="9.140625" style="554"/>
    <col min="1272" max="1272" width="5.5703125" style="554" customWidth="1"/>
    <col min="1273" max="1273" width="22.5703125" style="554" customWidth="1"/>
    <col min="1274" max="1274" width="24" style="554" customWidth="1"/>
    <col min="1275" max="1294" width="6.7109375" style="554" customWidth="1"/>
    <col min="1295" max="1295" width="0" style="554" hidden="1" customWidth="1"/>
    <col min="1296" max="1298" width="6.7109375" style="554" customWidth="1"/>
    <col min="1299" max="1527" width="9.140625" style="554"/>
    <col min="1528" max="1528" width="5.5703125" style="554" customWidth="1"/>
    <col min="1529" max="1529" width="22.5703125" style="554" customWidth="1"/>
    <col min="1530" max="1530" width="24" style="554" customWidth="1"/>
    <col min="1531" max="1550" width="6.7109375" style="554" customWidth="1"/>
    <col min="1551" max="1551" width="0" style="554" hidden="1" customWidth="1"/>
    <col min="1552" max="1554" width="6.7109375" style="554" customWidth="1"/>
    <col min="1555" max="1783" width="9.140625" style="554"/>
    <col min="1784" max="1784" width="5.5703125" style="554" customWidth="1"/>
    <col min="1785" max="1785" width="22.5703125" style="554" customWidth="1"/>
    <col min="1786" max="1786" width="24" style="554" customWidth="1"/>
    <col min="1787" max="1806" width="6.7109375" style="554" customWidth="1"/>
    <col min="1807" max="1807" width="0" style="554" hidden="1" customWidth="1"/>
    <col min="1808" max="1810" width="6.7109375" style="554" customWidth="1"/>
    <col min="1811" max="2039" width="9.140625" style="554"/>
    <col min="2040" max="2040" width="5.5703125" style="554" customWidth="1"/>
    <col min="2041" max="2041" width="22.5703125" style="554" customWidth="1"/>
    <col min="2042" max="2042" width="24" style="554" customWidth="1"/>
    <col min="2043" max="2062" width="6.7109375" style="554" customWidth="1"/>
    <col min="2063" max="2063" width="0" style="554" hidden="1" customWidth="1"/>
    <col min="2064" max="2066" width="6.7109375" style="554" customWidth="1"/>
    <col min="2067" max="2295" width="9.140625" style="554"/>
    <col min="2296" max="2296" width="5.5703125" style="554" customWidth="1"/>
    <col min="2297" max="2297" width="22.5703125" style="554" customWidth="1"/>
    <col min="2298" max="2298" width="24" style="554" customWidth="1"/>
    <col min="2299" max="2318" width="6.7109375" style="554" customWidth="1"/>
    <col min="2319" max="2319" width="0" style="554" hidden="1" customWidth="1"/>
    <col min="2320" max="2322" width="6.7109375" style="554" customWidth="1"/>
    <col min="2323" max="2551" width="9.140625" style="554"/>
    <col min="2552" max="2552" width="5.5703125" style="554" customWidth="1"/>
    <col min="2553" max="2553" width="22.5703125" style="554" customWidth="1"/>
    <col min="2554" max="2554" width="24" style="554" customWidth="1"/>
    <col min="2555" max="2574" width="6.7109375" style="554" customWidth="1"/>
    <col min="2575" max="2575" width="0" style="554" hidden="1" customWidth="1"/>
    <col min="2576" max="2578" width="6.7109375" style="554" customWidth="1"/>
    <col min="2579" max="2807" width="9.140625" style="554"/>
    <col min="2808" max="2808" width="5.5703125" style="554" customWidth="1"/>
    <col min="2809" max="2809" width="22.5703125" style="554" customWidth="1"/>
    <col min="2810" max="2810" width="24" style="554" customWidth="1"/>
    <col min="2811" max="2830" width="6.7109375" style="554" customWidth="1"/>
    <col min="2831" max="2831" width="0" style="554" hidden="1" customWidth="1"/>
    <col min="2832" max="2834" width="6.7109375" style="554" customWidth="1"/>
    <col min="2835" max="3063" width="9.140625" style="554"/>
    <col min="3064" max="3064" width="5.5703125" style="554" customWidth="1"/>
    <col min="3065" max="3065" width="22.5703125" style="554" customWidth="1"/>
    <col min="3066" max="3066" width="24" style="554" customWidth="1"/>
    <col min="3067" max="3086" width="6.7109375" style="554" customWidth="1"/>
    <col min="3087" max="3087" width="0" style="554" hidden="1" customWidth="1"/>
    <col min="3088" max="3090" width="6.7109375" style="554" customWidth="1"/>
    <col min="3091" max="3319" width="9.140625" style="554"/>
    <col min="3320" max="3320" width="5.5703125" style="554" customWidth="1"/>
    <col min="3321" max="3321" width="22.5703125" style="554" customWidth="1"/>
    <col min="3322" max="3322" width="24" style="554" customWidth="1"/>
    <col min="3323" max="3342" width="6.7109375" style="554" customWidth="1"/>
    <col min="3343" max="3343" width="0" style="554" hidden="1" customWidth="1"/>
    <col min="3344" max="3346" width="6.7109375" style="554" customWidth="1"/>
    <col min="3347" max="3575" width="9.140625" style="554"/>
    <col min="3576" max="3576" width="5.5703125" style="554" customWidth="1"/>
    <col min="3577" max="3577" width="22.5703125" style="554" customWidth="1"/>
    <col min="3578" max="3578" width="24" style="554" customWidth="1"/>
    <col min="3579" max="3598" width="6.7109375" style="554" customWidth="1"/>
    <col min="3599" max="3599" width="0" style="554" hidden="1" customWidth="1"/>
    <col min="3600" max="3602" width="6.7109375" style="554" customWidth="1"/>
    <col min="3603" max="3831" width="9.140625" style="554"/>
    <col min="3832" max="3832" width="5.5703125" style="554" customWidth="1"/>
    <col min="3833" max="3833" width="22.5703125" style="554" customWidth="1"/>
    <col min="3834" max="3834" width="24" style="554" customWidth="1"/>
    <col min="3835" max="3854" width="6.7109375" style="554" customWidth="1"/>
    <col min="3855" max="3855" width="0" style="554" hidden="1" customWidth="1"/>
    <col min="3856" max="3858" width="6.7109375" style="554" customWidth="1"/>
    <col min="3859" max="4087" width="9.140625" style="554"/>
    <col min="4088" max="4088" width="5.5703125" style="554" customWidth="1"/>
    <col min="4089" max="4089" width="22.5703125" style="554" customWidth="1"/>
    <col min="4090" max="4090" width="24" style="554" customWidth="1"/>
    <col min="4091" max="4110" width="6.7109375" style="554" customWidth="1"/>
    <col min="4111" max="4111" width="0" style="554" hidden="1" customWidth="1"/>
    <col min="4112" max="4114" width="6.7109375" style="554" customWidth="1"/>
    <col min="4115" max="4343" width="9.140625" style="554"/>
    <col min="4344" max="4344" width="5.5703125" style="554" customWidth="1"/>
    <col min="4345" max="4345" width="22.5703125" style="554" customWidth="1"/>
    <col min="4346" max="4346" width="24" style="554" customWidth="1"/>
    <col min="4347" max="4366" width="6.7109375" style="554" customWidth="1"/>
    <col min="4367" max="4367" width="0" style="554" hidden="1" customWidth="1"/>
    <col min="4368" max="4370" width="6.7109375" style="554" customWidth="1"/>
    <col min="4371" max="4599" width="9.140625" style="554"/>
    <col min="4600" max="4600" width="5.5703125" style="554" customWidth="1"/>
    <col min="4601" max="4601" width="22.5703125" style="554" customWidth="1"/>
    <col min="4602" max="4602" width="24" style="554" customWidth="1"/>
    <col min="4603" max="4622" width="6.7109375" style="554" customWidth="1"/>
    <col min="4623" max="4623" width="0" style="554" hidden="1" customWidth="1"/>
    <col min="4624" max="4626" width="6.7109375" style="554" customWidth="1"/>
    <col min="4627" max="4855" width="9.140625" style="554"/>
    <col min="4856" max="4856" width="5.5703125" style="554" customWidth="1"/>
    <col min="4857" max="4857" width="22.5703125" style="554" customWidth="1"/>
    <col min="4858" max="4858" width="24" style="554" customWidth="1"/>
    <col min="4859" max="4878" width="6.7109375" style="554" customWidth="1"/>
    <col min="4879" max="4879" width="0" style="554" hidden="1" customWidth="1"/>
    <col min="4880" max="4882" width="6.7109375" style="554" customWidth="1"/>
    <col min="4883" max="5111" width="9.140625" style="554"/>
    <col min="5112" max="5112" width="5.5703125" style="554" customWidth="1"/>
    <col min="5113" max="5113" width="22.5703125" style="554" customWidth="1"/>
    <col min="5114" max="5114" width="24" style="554" customWidth="1"/>
    <col min="5115" max="5134" width="6.7109375" style="554" customWidth="1"/>
    <col min="5135" max="5135" width="0" style="554" hidden="1" customWidth="1"/>
    <col min="5136" max="5138" width="6.7109375" style="554" customWidth="1"/>
    <col min="5139" max="5367" width="9.140625" style="554"/>
    <col min="5368" max="5368" width="5.5703125" style="554" customWidth="1"/>
    <col min="5369" max="5369" width="22.5703125" style="554" customWidth="1"/>
    <col min="5370" max="5370" width="24" style="554" customWidth="1"/>
    <col min="5371" max="5390" width="6.7109375" style="554" customWidth="1"/>
    <col min="5391" max="5391" width="0" style="554" hidden="1" customWidth="1"/>
    <col min="5392" max="5394" width="6.7109375" style="554" customWidth="1"/>
    <col min="5395" max="5623" width="9.140625" style="554"/>
    <col min="5624" max="5624" width="5.5703125" style="554" customWidth="1"/>
    <col min="5625" max="5625" width="22.5703125" style="554" customWidth="1"/>
    <col min="5626" max="5626" width="24" style="554" customWidth="1"/>
    <col min="5627" max="5646" width="6.7109375" style="554" customWidth="1"/>
    <col min="5647" max="5647" width="0" style="554" hidden="1" customWidth="1"/>
    <col min="5648" max="5650" width="6.7109375" style="554" customWidth="1"/>
    <col min="5651" max="5879" width="9.140625" style="554"/>
    <col min="5880" max="5880" width="5.5703125" style="554" customWidth="1"/>
    <col min="5881" max="5881" width="22.5703125" style="554" customWidth="1"/>
    <col min="5882" max="5882" width="24" style="554" customWidth="1"/>
    <col min="5883" max="5902" width="6.7109375" style="554" customWidth="1"/>
    <col min="5903" max="5903" width="0" style="554" hidden="1" customWidth="1"/>
    <col min="5904" max="5906" width="6.7109375" style="554" customWidth="1"/>
    <col min="5907" max="6135" width="9.140625" style="554"/>
    <col min="6136" max="6136" width="5.5703125" style="554" customWidth="1"/>
    <col min="6137" max="6137" width="22.5703125" style="554" customWidth="1"/>
    <col min="6138" max="6138" width="24" style="554" customWidth="1"/>
    <col min="6139" max="6158" width="6.7109375" style="554" customWidth="1"/>
    <col min="6159" max="6159" width="0" style="554" hidden="1" customWidth="1"/>
    <col min="6160" max="6162" width="6.7109375" style="554" customWidth="1"/>
    <col min="6163" max="6391" width="9.140625" style="554"/>
    <col min="6392" max="6392" width="5.5703125" style="554" customWidth="1"/>
    <col min="6393" max="6393" width="22.5703125" style="554" customWidth="1"/>
    <col min="6394" max="6394" width="24" style="554" customWidth="1"/>
    <col min="6395" max="6414" width="6.7109375" style="554" customWidth="1"/>
    <col min="6415" max="6415" width="0" style="554" hidden="1" customWidth="1"/>
    <col min="6416" max="6418" width="6.7109375" style="554" customWidth="1"/>
    <col min="6419" max="6647" width="9.140625" style="554"/>
    <col min="6648" max="6648" width="5.5703125" style="554" customWidth="1"/>
    <col min="6649" max="6649" width="22.5703125" style="554" customWidth="1"/>
    <col min="6650" max="6650" width="24" style="554" customWidth="1"/>
    <col min="6651" max="6670" width="6.7109375" style="554" customWidth="1"/>
    <col min="6671" max="6671" width="0" style="554" hidden="1" customWidth="1"/>
    <col min="6672" max="6674" width="6.7109375" style="554" customWidth="1"/>
    <col min="6675" max="6903" width="9.140625" style="554"/>
    <col min="6904" max="6904" width="5.5703125" style="554" customWidth="1"/>
    <col min="6905" max="6905" width="22.5703125" style="554" customWidth="1"/>
    <col min="6906" max="6906" width="24" style="554" customWidth="1"/>
    <col min="6907" max="6926" width="6.7109375" style="554" customWidth="1"/>
    <col min="6927" max="6927" width="0" style="554" hidden="1" customWidth="1"/>
    <col min="6928" max="6930" width="6.7109375" style="554" customWidth="1"/>
    <col min="6931" max="7159" width="9.140625" style="554"/>
    <col min="7160" max="7160" width="5.5703125" style="554" customWidth="1"/>
    <col min="7161" max="7161" width="22.5703125" style="554" customWidth="1"/>
    <col min="7162" max="7162" width="24" style="554" customWidth="1"/>
    <col min="7163" max="7182" width="6.7109375" style="554" customWidth="1"/>
    <col min="7183" max="7183" width="0" style="554" hidden="1" customWidth="1"/>
    <col min="7184" max="7186" width="6.7109375" style="554" customWidth="1"/>
    <col min="7187" max="7415" width="9.140625" style="554"/>
    <col min="7416" max="7416" width="5.5703125" style="554" customWidth="1"/>
    <col min="7417" max="7417" width="22.5703125" style="554" customWidth="1"/>
    <col min="7418" max="7418" width="24" style="554" customWidth="1"/>
    <col min="7419" max="7438" width="6.7109375" style="554" customWidth="1"/>
    <col min="7439" max="7439" width="0" style="554" hidden="1" customWidth="1"/>
    <col min="7440" max="7442" width="6.7109375" style="554" customWidth="1"/>
    <col min="7443" max="7671" width="9.140625" style="554"/>
    <col min="7672" max="7672" width="5.5703125" style="554" customWidth="1"/>
    <col min="7673" max="7673" width="22.5703125" style="554" customWidth="1"/>
    <col min="7674" max="7674" width="24" style="554" customWidth="1"/>
    <col min="7675" max="7694" width="6.7109375" style="554" customWidth="1"/>
    <col min="7695" max="7695" width="0" style="554" hidden="1" customWidth="1"/>
    <col min="7696" max="7698" width="6.7109375" style="554" customWidth="1"/>
    <col min="7699" max="7927" width="9.140625" style="554"/>
    <col min="7928" max="7928" width="5.5703125" style="554" customWidth="1"/>
    <col min="7929" max="7929" width="22.5703125" style="554" customWidth="1"/>
    <col min="7930" max="7930" width="24" style="554" customWidth="1"/>
    <col min="7931" max="7950" width="6.7109375" style="554" customWidth="1"/>
    <col min="7951" max="7951" width="0" style="554" hidden="1" customWidth="1"/>
    <col min="7952" max="7954" width="6.7109375" style="554" customWidth="1"/>
    <col min="7955" max="8183" width="9.140625" style="554"/>
    <col min="8184" max="8184" width="5.5703125" style="554" customWidth="1"/>
    <col min="8185" max="8185" width="22.5703125" style="554" customWidth="1"/>
    <col min="8186" max="8186" width="24" style="554" customWidth="1"/>
    <col min="8187" max="8206" width="6.7109375" style="554" customWidth="1"/>
    <col min="8207" max="8207" width="0" style="554" hidden="1" customWidth="1"/>
    <col min="8208" max="8210" width="6.7109375" style="554" customWidth="1"/>
    <col min="8211" max="8439" width="9.140625" style="554"/>
    <col min="8440" max="8440" width="5.5703125" style="554" customWidth="1"/>
    <col min="8441" max="8441" width="22.5703125" style="554" customWidth="1"/>
    <col min="8442" max="8442" width="24" style="554" customWidth="1"/>
    <col min="8443" max="8462" width="6.7109375" style="554" customWidth="1"/>
    <col min="8463" max="8463" width="0" style="554" hidden="1" customWidth="1"/>
    <col min="8464" max="8466" width="6.7109375" style="554" customWidth="1"/>
    <col min="8467" max="8695" width="9.140625" style="554"/>
    <col min="8696" max="8696" width="5.5703125" style="554" customWidth="1"/>
    <col min="8697" max="8697" width="22.5703125" style="554" customWidth="1"/>
    <col min="8698" max="8698" width="24" style="554" customWidth="1"/>
    <col min="8699" max="8718" width="6.7109375" style="554" customWidth="1"/>
    <col min="8719" max="8719" width="0" style="554" hidden="1" customWidth="1"/>
    <col min="8720" max="8722" width="6.7109375" style="554" customWidth="1"/>
    <col min="8723" max="8951" width="9.140625" style="554"/>
    <col min="8952" max="8952" width="5.5703125" style="554" customWidth="1"/>
    <col min="8953" max="8953" width="22.5703125" style="554" customWidth="1"/>
    <col min="8954" max="8954" width="24" style="554" customWidth="1"/>
    <col min="8955" max="8974" width="6.7109375" style="554" customWidth="1"/>
    <col min="8975" max="8975" width="0" style="554" hidden="1" customWidth="1"/>
    <col min="8976" max="8978" width="6.7109375" style="554" customWidth="1"/>
    <col min="8979" max="9207" width="9.140625" style="554"/>
    <col min="9208" max="9208" width="5.5703125" style="554" customWidth="1"/>
    <col min="9209" max="9209" width="22.5703125" style="554" customWidth="1"/>
    <col min="9210" max="9210" width="24" style="554" customWidth="1"/>
    <col min="9211" max="9230" width="6.7109375" style="554" customWidth="1"/>
    <col min="9231" max="9231" width="0" style="554" hidden="1" customWidth="1"/>
    <col min="9232" max="9234" width="6.7109375" style="554" customWidth="1"/>
    <col min="9235" max="9463" width="9.140625" style="554"/>
    <col min="9464" max="9464" width="5.5703125" style="554" customWidth="1"/>
    <col min="9465" max="9465" width="22.5703125" style="554" customWidth="1"/>
    <col min="9466" max="9466" width="24" style="554" customWidth="1"/>
    <col min="9467" max="9486" width="6.7109375" style="554" customWidth="1"/>
    <col min="9487" max="9487" width="0" style="554" hidden="1" customWidth="1"/>
    <col min="9488" max="9490" width="6.7109375" style="554" customWidth="1"/>
    <col min="9491" max="9719" width="9.140625" style="554"/>
    <col min="9720" max="9720" width="5.5703125" style="554" customWidth="1"/>
    <col min="9721" max="9721" width="22.5703125" style="554" customWidth="1"/>
    <col min="9722" max="9722" width="24" style="554" customWidth="1"/>
    <col min="9723" max="9742" width="6.7109375" style="554" customWidth="1"/>
    <col min="9743" max="9743" width="0" style="554" hidden="1" customWidth="1"/>
    <col min="9744" max="9746" width="6.7109375" style="554" customWidth="1"/>
    <col min="9747" max="9975" width="9.140625" style="554"/>
    <col min="9976" max="9976" width="5.5703125" style="554" customWidth="1"/>
    <col min="9977" max="9977" width="22.5703125" style="554" customWidth="1"/>
    <col min="9978" max="9978" width="24" style="554" customWidth="1"/>
    <col min="9979" max="9998" width="6.7109375" style="554" customWidth="1"/>
    <col min="9999" max="9999" width="0" style="554" hidden="1" customWidth="1"/>
    <col min="10000" max="10002" width="6.7109375" style="554" customWidth="1"/>
    <col min="10003" max="10231" width="9.140625" style="554"/>
    <col min="10232" max="10232" width="5.5703125" style="554" customWidth="1"/>
    <col min="10233" max="10233" width="22.5703125" style="554" customWidth="1"/>
    <col min="10234" max="10234" width="24" style="554" customWidth="1"/>
    <col min="10235" max="10254" width="6.7109375" style="554" customWidth="1"/>
    <col min="10255" max="10255" width="0" style="554" hidden="1" customWidth="1"/>
    <col min="10256" max="10258" width="6.7109375" style="554" customWidth="1"/>
    <col min="10259" max="10487" width="9.140625" style="554"/>
    <col min="10488" max="10488" width="5.5703125" style="554" customWidth="1"/>
    <col min="10489" max="10489" width="22.5703125" style="554" customWidth="1"/>
    <col min="10490" max="10490" width="24" style="554" customWidth="1"/>
    <col min="10491" max="10510" width="6.7109375" style="554" customWidth="1"/>
    <col min="10511" max="10511" width="0" style="554" hidden="1" customWidth="1"/>
    <col min="10512" max="10514" width="6.7109375" style="554" customWidth="1"/>
    <col min="10515" max="10743" width="9.140625" style="554"/>
    <col min="10744" max="10744" width="5.5703125" style="554" customWidth="1"/>
    <col min="10745" max="10745" width="22.5703125" style="554" customWidth="1"/>
    <col min="10746" max="10746" width="24" style="554" customWidth="1"/>
    <col min="10747" max="10766" width="6.7109375" style="554" customWidth="1"/>
    <col min="10767" max="10767" width="0" style="554" hidden="1" customWidth="1"/>
    <col min="10768" max="10770" width="6.7109375" style="554" customWidth="1"/>
    <col min="10771" max="10999" width="9.140625" style="554"/>
    <col min="11000" max="11000" width="5.5703125" style="554" customWidth="1"/>
    <col min="11001" max="11001" width="22.5703125" style="554" customWidth="1"/>
    <col min="11002" max="11002" width="24" style="554" customWidth="1"/>
    <col min="11003" max="11022" width="6.7109375" style="554" customWidth="1"/>
    <col min="11023" max="11023" width="0" style="554" hidden="1" customWidth="1"/>
    <col min="11024" max="11026" width="6.7109375" style="554" customWidth="1"/>
    <col min="11027" max="11255" width="9.140625" style="554"/>
    <col min="11256" max="11256" width="5.5703125" style="554" customWidth="1"/>
    <col min="11257" max="11257" width="22.5703125" style="554" customWidth="1"/>
    <col min="11258" max="11258" width="24" style="554" customWidth="1"/>
    <col min="11259" max="11278" width="6.7109375" style="554" customWidth="1"/>
    <col min="11279" max="11279" width="0" style="554" hidden="1" customWidth="1"/>
    <col min="11280" max="11282" width="6.7109375" style="554" customWidth="1"/>
    <col min="11283" max="11511" width="9.140625" style="554"/>
    <col min="11512" max="11512" width="5.5703125" style="554" customWidth="1"/>
    <col min="11513" max="11513" width="22.5703125" style="554" customWidth="1"/>
    <col min="11514" max="11514" width="24" style="554" customWidth="1"/>
    <col min="11515" max="11534" width="6.7109375" style="554" customWidth="1"/>
    <col min="11535" max="11535" width="0" style="554" hidden="1" customWidth="1"/>
    <col min="11536" max="11538" width="6.7109375" style="554" customWidth="1"/>
    <col min="11539" max="11767" width="9.140625" style="554"/>
    <col min="11768" max="11768" width="5.5703125" style="554" customWidth="1"/>
    <col min="11769" max="11769" width="22.5703125" style="554" customWidth="1"/>
    <col min="11770" max="11770" width="24" style="554" customWidth="1"/>
    <col min="11771" max="11790" width="6.7109375" style="554" customWidth="1"/>
    <col min="11791" max="11791" width="0" style="554" hidden="1" customWidth="1"/>
    <col min="11792" max="11794" width="6.7109375" style="554" customWidth="1"/>
    <col min="11795" max="12023" width="9.140625" style="554"/>
    <col min="12024" max="12024" width="5.5703125" style="554" customWidth="1"/>
    <col min="12025" max="12025" width="22.5703125" style="554" customWidth="1"/>
    <col min="12026" max="12026" width="24" style="554" customWidth="1"/>
    <col min="12027" max="12046" width="6.7109375" style="554" customWidth="1"/>
    <col min="12047" max="12047" width="0" style="554" hidden="1" customWidth="1"/>
    <col min="12048" max="12050" width="6.7109375" style="554" customWidth="1"/>
    <col min="12051" max="12279" width="9.140625" style="554"/>
    <col min="12280" max="12280" width="5.5703125" style="554" customWidth="1"/>
    <col min="12281" max="12281" width="22.5703125" style="554" customWidth="1"/>
    <col min="12282" max="12282" width="24" style="554" customWidth="1"/>
    <col min="12283" max="12302" width="6.7109375" style="554" customWidth="1"/>
    <col min="12303" max="12303" width="0" style="554" hidden="1" customWidth="1"/>
    <col min="12304" max="12306" width="6.7109375" style="554" customWidth="1"/>
    <col min="12307" max="12535" width="9.140625" style="554"/>
    <col min="12536" max="12536" width="5.5703125" style="554" customWidth="1"/>
    <col min="12537" max="12537" width="22.5703125" style="554" customWidth="1"/>
    <col min="12538" max="12538" width="24" style="554" customWidth="1"/>
    <col min="12539" max="12558" width="6.7109375" style="554" customWidth="1"/>
    <col min="12559" max="12559" width="0" style="554" hidden="1" customWidth="1"/>
    <col min="12560" max="12562" width="6.7109375" style="554" customWidth="1"/>
    <col min="12563" max="12791" width="9.140625" style="554"/>
    <col min="12792" max="12792" width="5.5703125" style="554" customWidth="1"/>
    <col min="12793" max="12793" width="22.5703125" style="554" customWidth="1"/>
    <col min="12794" max="12794" width="24" style="554" customWidth="1"/>
    <col min="12795" max="12814" width="6.7109375" style="554" customWidth="1"/>
    <col min="12815" max="12815" width="0" style="554" hidden="1" customWidth="1"/>
    <col min="12816" max="12818" width="6.7109375" style="554" customWidth="1"/>
    <col min="12819" max="13047" width="9.140625" style="554"/>
    <col min="13048" max="13048" width="5.5703125" style="554" customWidth="1"/>
    <col min="13049" max="13049" width="22.5703125" style="554" customWidth="1"/>
    <col min="13050" max="13050" width="24" style="554" customWidth="1"/>
    <col min="13051" max="13070" width="6.7109375" style="554" customWidth="1"/>
    <col min="13071" max="13071" width="0" style="554" hidden="1" customWidth="1"/>
    <col min="13072" max="13074" width="6.7109375" style="554" customWidth="1"/>
    <col min="13075" max="13303" width="9.140625" style="554"/>
    <col min="13304" max="13304" width="5.5703125" style="554" customWidth="1"/>
    <col min="13305" max="13305" width="22.5703125" style="554" customWidth="1"/>
    <col min="13306" max="13306" width="24" style="554" customWidth="1"/>
    <col min="13307" max="13326" width="6.7109375" style="554" customWidth="1"/>
    <col min="13327" max="13327" width="0" style="554" hidden="1" customWidth="1"/>
    <col min="13328" max="13330" width="6.7109375" style="554" customWidth="1"/>
    <col min="13331" max="13559" width="9.140625" style="554"/>
    <col min="13560" max="13560" width="5.5703125" style="554" customWidth="1"/>
    <col min="13561" max="13561" width="22.5703125" style="554" customWidth="1"/>
    <col min="13562" max="13562" width="24" style="554" customWidth="1"/>
    <col min="13563" max="13582" width="6.7109375" style="554" customWidth="1"/>
    <col min="13583" max="13583" width="0" style="554" hidden="1" customWidth="1"/>
    <col min="13584" max="13586" width="6.7109375" style="554" customWidth="1"/>
    <col min="13587" max="13815" width="9.140625" style="554"/>
    <col min="13816" max="13816" width="5.5703125" style="554" customWidth="1"/>
    <col min="13817" max="13817" width="22.5703125" style="554" customWidth="1"/>
    <col min="13818" max="13818" width="24" style="554" customWidth="1"/>
    <col min="13819" max="13838" width="6.7109375" style="554" customWidth="1"/>
    <col min="13839" max="13839" width="0" style="554" hidden="1" customWidth="1"/>
    <col min="13840" max="13842" width="6.7109375" style="554" customWidth="1"/>
    <col min="13843" max="14071" width="9.140625" style="554"/>
    <col min="14072" max="14072" width="5.5703125" style="554" customWidth="1"/>
    <col min="14073" max="14073" width="22.5703125" style="554" customWidth="1"/>
    <col min="14074" max="14074" width="24" style="554" customWidth="1"/>
    <col min="14075" max="14094" width="6.7109375" style="554" customWidth="1"/>
    <col min="14095" max="14095" width="0" style="554" hidden="1" customWidth="1"/>
    <col min="14096" max="14098" width="6.7109375" style="554" customWidth="1"/>
    <col min="14099" max="14327" width="9.140625" style="554"/>
    <col min="14328" max="14328" width="5.5703125" style="554" customWidth="1"/>
    <col min="14329" max="14329" width="22.5703125" style="554" customWidth="1"/>
    <col min="14330" max="14330" width="24" style="554" customWidth="1"/>
    <col min="14331" max="14350" width="6.7109375" style="554" customWidth="1"/>
    <col min="14351" max="14351" width="0" style="554" hidden="1" customWidth="1"/>
    <col min="14352" max="14354" width="6.7109375" style="554" customWidth="1"/>
    <col min="14355" max="14583" width="9.140625" style="554"/>
    <col min="14584" max="14584" width="5.5703125" style="554" customWidth="1"/>
    <col min="14585" max="14585" width="22.5703125" style="554" customWidth="1"/>
    <col min="14586" max="14586" width="24" style="554" customWidth="1"/>
    <col min="14587" max="14606" width="6.7109375" style="554" customWidth="1"/>
    <col min="14607" max="14607" width="0" style="554" hidden="1" customWidth="1"/>
    <col min="14608" max="14610" width="6.7109375" style="554" customWidth="1"/>
    <col min="14611" max="14839" width="9.140625" style="554"/>
    <col min="14840" max="14840" width="5.5703125" style="554" customWidth="1"/>
    <col min="14841" max="14841" width="22.5703125" style="554" customWidth="1"/>
    <col min="14842" max="14842" width="24" style="554" customWidth="1"/>
    <col min="14843" max="14862" width="6.7109375" style="554" customWidth="1"/>
    <col min="14863" max="14863" width="0" style="554" hidden="1" customWidth="1"/>
    <col min="14864" max="14866" width="6.7109375" style="554" customWidth="1"/>
    <col min="14867" max="15095" width="9.140625" style="554"/>
    <col min="15096" max="15096" width="5.5703125" style="554" customWidth="1"/>
    <col min="15097" max="15097" width="22.5703125" style="554" customWidth="1"/>
    <col min="15098" max="15098" width="24" style="554" customWidth="1"/>
    <col min="15099" max="15118" width="6.7109375" style="554" customWidth="1"/>
    <col min="15119" max="15119" width="0" style="554" hidden="1" customWidth="1"/>
    <col min="15120" max="15122" width="6.7109375" style="554" customWidth="1"/>
    <col min="15123" max="15351" width="9.140625" style="554"/>
    <col min="15352" max="15352" width="5.5703125" style="554" customWidth="1"/>
    <col min="15353" max="15353" width="22.5703125" style="554" customWidth="1"/>
    <col min="15354" max="15354" width="24" style="554" customWidth="1"/>
    <col min="15355" max="15374" width="6.7109375" style="554" customWidth="1"/>
    <col min="15375" max="15375" width="0" style="554" hidden="1" customWidth="1"/>
    <col min="15376" max="15378" width="6.7109375" style="554" customWidth="1"/>
    <col min="15379" max="15607" width="9.140625" style="554"/>
    <col min="15608" max="15608" width="5.5703125" style="554" customWidth="1"/>
    <col min="15609" max="15609" width="22.5703125" style="554" customWidth="1"/>
    <col min="15610" max="15610" width="24" style="554" customWidth="1"/>
    <col min="15611" max="15630" width="6.7109375" style="554" customWidth="1"/>
    <col min="15631" max="15631" width="0" style="554" hidden="1" customWidth="1"/>
    <col min="15632" max="15634" width="6.7109375" style="554" customWidth="1"/>
    <col min="15635" max="15863" width="9.140625" style="554"/>
    <col min="15864" max="15864" width="5.5703125" style="554" customWidth="1"/>
    <col min="15865" max="15865" width="22.5703125" style="554" customWidth="1"/>
    <col min="15866" max="15866" width="24" style="554" customWidth="1"/>
    <col min="15867" max="15886" width="6.7109375" style="554" customWidth="1"/>
    <col min="15887" max="15887" width="0" style="554" hidden="1" customWidth="1"/>
    <col min="15888" max="15890" width="6.7109375" style="554" customWidth="1"/>
    <col min="15891" max="16119" width="9.140625" style="554"/>
    <col min="16120" max="16120" width="5.5703125" style="554" customWidth="1"/>
    <col min="16121" max="16121" width="22.5703125" style="554" customWidth="1"/>
    <col min="16122" max="16122" width="24" style="554" customWidth="1"/>
    <col min="16123" max="16142" width="6.7109375" style="554" customWidth="1"/>
    <col min="16143" max="16143" width="0" style="554" hidden="1" customWidth="1"/>
    <col min="16144" max="16146" width="6.7109375" style="554" customWidth="1"/>
    <col min="16147" max="16384" width="9.140625" style="554"/>
  </cols>
  <sheetData>
    <row r="1" spans="1:18" ht="22.5">
      <c r="A1" s="1596" t="s">
        <v>3474</v>
      </c>
      <c r="B1" s="1596"/>
      <c r="C1" s="1596"/>
      <c r="D1" s="1596"/>
      <c r="E1" s="1596"/>
      <c r="F1" s="1596"/>
      <c r="G1" s="1596"/>
      <c r="H1" s="1596"/>
      <c r="I1" s="1596"/>
      <c r="J1" s="1596"/>
      <c r="K1" s="1596"/>
      <c r="L1" s="1596"/>
      <c r="M1" s="1596"/>
      <c r="N1" s="1596"/>
      <c r="O1" s="1596"/>
      <c r="P1" s="1596"/>
      <c r="Q1" s="1596"/>
      <c r="R1" s="1596"/>
    </row>
    <row r="2" spans="1:18" ht="16.5">
      <c r="A2" s="1597" t="s">
        <v>3583</v>
      </c>
      <c r="B2" s="1597"/>
      <c r="C2" s="1597"/>
      <c r="D2" s="1597"/>
      <c r="E2" s="1597"/>
      <c r="F2" s="1597"/>
      <c r="G2" s="1597"/>
      <c r="H2" s="1597"/>
      <c r="I2" s="1597"/>
      <c r="J2" s="1597"/>
      <c r="K2" s="1597"/>
      <c r="L2" s="1597"/>
      <c r="M2" s="1597"/>
      <c r="N2" s="1597"/>
      <c r="O2" s="1597"/>
      <c r="P2" s="1597"/>
      <c r="Q2" s="1597"/>
      <c r="R2" s="1597"/>
    </row>
    <row r="3" spans="1:18" ht="16.5">
      <c r="A3" s="1597" t="s">
        <v>3584</v>
      </c>
      <c r="B3" s="1597"/>
      <c r="C3" s="1597"/>
      <c r="D3" s="1597"/>
      <c r="E3" s="1597"/>
      <c r="F3" s="1597"/>
      <c r="G3" s="1597"/>
      <c r="H3" s="1597"/>
      <c r="I3" s="1597"/>
      <c r="J3" s="1597"/>
      <c r="K3" s="1597"/>
      <c r="L3" s="1597"/>
      <c r="M3" s="1597"/>
      <c r="N3" s="1597"/>
      <c r="O3" s="1597"/>
      <c r="P3" s="1597"/>
      <c r="Q3" s="1597"/>
      <c r="R3" s="1597"/>
    </row>
    <row r="5" spans="1:18">
      <c r="A5" s="1592" t="s">
        <v>3135</v>
      </c>
      <c r="B5" s="1593" t="s">
        <v>3475</v>
      </c>
      <c r="C5" s="1593" t="s">
        <v>3476</v>
      </c>
      <c r="D5" s="1593" t="s">
        <v>3477</v>
      </c>
      <c r="E5" s="1594" t="s">
        <v>3478</v>
      </c>
      <c r="F5" s="1594" t="s">
        <v>3479</v>
      </c>
      <c r="G5" s="1594" t="s">
        <v>3480</v>
      </c>
      <c r="H5" s="1593" t="s">
        <v>3481</v>
      </c>
      <c r="I5" s="1594" t="s">
        <v>3732</v>
      </c>
      <c r="J5" s="1595" t="s">
        <v>3482</v>
      </c>
      <c r="K5" s="1590" t="s">
        <v>3711</v>
      </c>
      <c r="L5" s="1590" t="s">
        <v>3711</v>
      </c>
      <c r="M5" s="1590" t="s">
        <v>3712</v>
      </c>
      <c r="N5" s="1590" t="s">
        <v>3485</v>
      </c>
      <c r="O5" s="1593" t="s">
        <v>3483</v>
      </c>
      <c r="P5" s="1593" t="s">
        <v>3484</v>
      </c>
      <c r="Q5" s="1590" t="s">
        <v>3713</v>
      </c>
      <c r="R5" s="1593" t="s">
        <v>2809</v>
      </c>
    </row>
    <row r="6" spans="1:18" ht="180" customHeight="1">
      <c r="A6" s="1592"/>
      <c r="B6" s="1593"/>
      <c r="C6" s="1593"/>
      <c r="D6" s="1593"/>
      <c r="E6" s="1594"/>
      <c r="F6" s="1594"/>
      <c r="G6" s="1594"/>
      <c r="H6" s="1593"/>
      <c r="I6" s="1594"/>
      <c r="J6" s="1595"/>
      <c r="K6" s="1591"/>
      <c r="L6" s="1591"/>
      <c r="M6" s="1591"/>
      <c r="N6" s="1591"/>
      <c r="O6" s="1593"/>
      <c r="P6" s="1593"/>
      <c r="Q6" s="1591"/>
      <c r="R6" s="1593"/>
    </row>
    <row r="7" spans="1:18">
      <c r="A7" s="631" t="s">
        <v>4</v>
      </c>
      <c r="B7" s="558" t="s">
        <v>3708</v>
      </c>
      <c r="C7" s="559"/>
      <c r="D7" s="559"/>
      <c r="E7" s="559"/>
      <c r="F7" s="560"/>
      <c r="G7" s="555"/>
      <c r="H7" s="631"/>
      <c r="I7" s="555"/>
      <c r="J7" s="556"/>
      <c r="K7" s="557"/>
      <c r="L7" s="557"/>
      <c r="M7" s="557"/>
      <c r="N7" s="557"/>
      <c r="O7" s="557"/>
      <c r="P7" s="557"/>
      <c r="Q7" s="557"/>
      <c r="R7" s="557"/>
    </row>
    <row r="8" spans="1:18">
      <c r="A8" s="561">
        <v>1</v>
      </c>
      <c r="B8" s="562" t="s">
        <v>3709</v>
      </c>
      <c r="C8" s="562" t="s">
        <v>3710</v>
      </c>
      <c r="D8" s="561">
        <v>2</v>
      </c>
      <c r="E8" s="563">
        <v>30</v>
      </c>
      <c r="F8" s="563">
        <v>2</v>
      </c>
      <c r="G8" s="563">
        <v>2</v>
      </c>
      <c r="H8" s="561">
        <f>E8+F8+G8</f>
        <v>34</v>
      </c>
      <c r="I8" s="564">
        <f>H8*0.01</f>
        <v>0.34</v>
      </c>
      <c r="J8" s="565">
        <f>H8+I8</f>
        <v>34.340000000000003</v>
      </c>
      <c r="K8" s="566">
        <f>J8*D8</f>
        <v>68.680000000000007</v>
      </c>
      <c r="L8" s="557">
        <f>IF(K8&gt;0,2,)</f>
        <v>2</v>
      </c>
      <c r="M8" s="661">
        <f>E8</f>
        <v>30</v>
      </c>
      <c r="N8" s="557">
        <f>D8*E8</f>
        <v>60</v>
      </c>
      <c r="O8" s="566">
        <v>1</v>
      </c>
      <c r="P8" s="566">
        <f>O8</f>
        <v>1</v>
      </c>
      <c r="Q8" s="566">
        <f>E8/10</f>
        <v>3</v>
      </c>
      <c r="R8" s="581"/>
    </row>
    <row r="9" spans="1:18">
      <c r="A9" s="561"/>
      <c r="B9" s="562"/>
      <c r="C9" s="562"/>
      <c r="D9" s="561"/>
      <c r="E9" s="563"/>
      <c r="F9" s="563"/>
      <c r="G9" s="563"/>
      <c r="H9" s="561"/>
      <c r="I9" s="564"/>
      <c r="J9" s="565"/>
      <c r="K9" s="557"/>
      <c r="L9" s="557"/>
      <c r="M9" s="557"/>
      <c r="N9" s="557"/>
      <c r="O9" s="557"/>
      <c r="P9" s="557"/>
      <c r="Q9" s="557"/>
      <c r="R9" s="557"/>
    </row>
    <row r="10" spans="1:18">
      <c r="A10" s="1592" t="s">
        <v>60</v>
      </c>
      <c r="B10" s="1592"/>
      <c r="C10" s="632"/>
      <c r="D10" s="631"/>
      <c r="E10" s="556">
        <f t="shared" ref="E10:Q10" si="0">SUM(E8:E8)</f>
        <v>30</v>
      </c>
      <c r="F10" s="556">
        <f t="shared" si="0"/>
        <v>2</v>
      </c>
      <c r="G10" s="556">
        <f t="shared" si="0"/>
        <v>2</v>
      </c>
      <c r="H10" s="556">
        <f t="shared" si="0"/>
        <v>34</v>
      </c>
      <c r="I10" s="556">
        <f t="shared" si="0"/>
        <v>0.34</v>
      </c>
      <c r="J10" s="556">
        <f t="shared" si="0"/>
        <v>34.340000000000003</v>
      </c>
      <c r="K10" s="556">
        <f t="shared" si="0"/>
        <v>68.680000000000007</v>
      </c>
      <c r="L10" s="556">
        <f t="shared" si="0"/>
        <v>2</v>
      </c>
      <c r="M10" s="556">
        <f t="shared" si="0"/>
        <v>30</v>
      </c>
      <c r="N10" s="556">
        <f t="shared" si="0"/>
        <v>60</v>
      </c>
      <c r="O10" s="556">
        <f t="shared" si="0"/>
        <v>1</v>
      </c>
      <c r="P10" s="556">
        <f t="shared" si="0"/>
        <v>1</v>
      </c>
      <c r="Q10" s="556">
        <f t="shared" si="0"/>
        <v>3</v>
      </c>
      <c r="R10" s="556"/>
    </row>
  </sheetData>
  <mergeCells count="22">
    <mergeCell ref="A1:R1"/>
    <mergeCell ref="A2:R2"/>
    <mergeCell ref="A3:R3"/>
    <mergeCell ref="A5:A6"/>
    <mergeCell ref="B5:B6"/>
    <mergeCell ref="C5:C6"/>
    <mergeCell ref="D5:D6"/>
    <mergeCell ref="E5:E6"/>
    <mergeCell ref="F5:F6"/>
    <mergeCell ref="G5:G6"/>
    <mergeCell ref="O5:O6"/>
    <mergeCell ref="P5:P6"/>
    <mergeCell ref="R5:R6"/>
    <mergeCell ref="K5:K6"/>
    <mergeCell ref="N5:N6"/>
    <mergeCell ref="M5:M6"/>
    <mergeCell ref="Q5:Q6"/>
    <mergeCell ref="A10:B10"/>
    <mergeCell ref="H5:H6"/>
    <mergeCell ref="I5:I6"/>
    <mergeCell ref="J5:J6"/>
    <mergeCell ref="L5:L6"/>
  </mergeCells>
  <pageMargins left="0.52" right="0.3" top="0.75" bottom="0.75" header="0.3" footer="0.3"/>
  <pageSetup orientation="landscape"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T133"/>
  <sheetViews>
    <sheetView showZeros="0" topLeftCell="A6" workbookViewId="0">
      <pane xSplit="2" ySplit="2" topLeftCell="C128" activePane="bottomRight" state="frozen"/>
      <selection activeCell="A6" sqref="A6"/>
      <selection pane="topRight" activeCell="C6" sqref="C6"/>
      <selection pane="bottomLeft" activeCell="A8" sqref="A8"/>
      <selection pane="bottomRight" activeCell="U131" sqref="U131"/>
    </sheetView>
  </sheetViews>
  <sheetFormatPr defaultRowHeight="15"/>
  <cols>
    <col min="1" max="1" width="8.28515625" style="554" customWidth="1"/>
    <col min="2" max="2" width="23.7109375" style="554" customWidth="1"/>
    <col min="3" max="17" width="9.140625" style="554"/>
    <col min="18" max="18" width="6.5703125" style="554" customWidth="1"/>
    <col min="19" max="19" width="6.7109375" style="554" customWidth="1"/>
    <col min="20" max="20" width="7.28515625" style="554" customWidth="1"/>
    <col min="21" max="256" width="9.140625" style="554"/>
    <col min="257" max="257" width="8.28515625" style="554" customWidth="1"/>
    <col min="258" max="258" width="23.7109375" style="554" customWidth="1"/>
    <col min="259" max="273" width="9.140625" style="554"/>
    <col min="274" max="274" width="6.5703125" style="554" customWidth="1"/>
    <col min="275" max="275" width="6.7109375" style="554" customWidth="1"/>
    <col min="276" max="276" width="7.28515625" style="554" customWidth="1"/>
    <col min="277" max="512" width="9.140625" style="554"/>
    <col min="513" max="513" width="8.28515625" style="554" customWidth="1"/>
    <col min="514" max="514" width="23.7109375" style="554" customWidth="1"/>
    <col min="515" max="529" width="9.140625" style="554"/>
    <col min="530" max="530" width="6.5703125" style="554" customWidth="1"/>
    <col min="531" max="531" width="6.7109375" style="554" customWidth="1"/>
    <col min="532" max="532" width="7.28515625" style="554" customWidth="1"/>
    <col min="533" max="768" width="9.140625" style="554"/>
    <col min="769" max="769" width="8.28515625" style="554" customWidth="1"/>
    <col min="770" max="770" width="23.7109375" style="554" customWidth="1"/>
    <col min="771" max="785" width="9.140625" style="554"/>
    <col min="786" max="786" width="6.5703125" style="554" customWidth="1"/>
    <col min="787" max="787" width="6.7109375" style="554" customWidth="1"/>
    <col min="788" max="788" width="7.28515625" style="554" customWidth="1"/>
    <col min="789" max="1024" width="9.140625" style="554"/>
    <col min="1025" max="1025" width="8.28515625" style="554" customWidth="1"/>
    <col min="1026" max="1026" width="23.7109375" style="554" customWidth="1"/>
    <col min="1027" max="1041" width="9.140625" style="554"/>
    <col min="1042" max="1042" width="6.5703125" style="554" customWidth="1"/>
    <col min="1043" max="1043" width="6.7109375" style="554" customWidth="1"/>
    <col min="1044" max="1044" width="7.28515625" style="554" customWidth="1"/>
    <col min="1045" max="1280" width="9.140625" style="554"/>
    <col min="1281" max="1281" width="8.28515625" style="554" customWidth="1"/>
    <col min="1282" max="1282" width="23.7109375" style="554" customWidth="1"/>
    <col min="1283" max="1297" width="9.140625" style="554"/>
    <col min="1298" max="1298" width="6.5703125" style="554" customWidth="1"/>
    <col min="1299" max="1299" width="6.7109375" style="554" customWidth="1"/>
    <col min="1300" max="1300" width="7.28515625" style="554" customWidth="1"/>
    <col min="1301" max="1536" width="9.140625" style="554"/>
    <col min="1537" max="1537" width="8.28515625" style="554" customWidth="1"/>
    <col min="1538" max="1538" width="23.7109375" style="554" customWidth="1"/>
    <col min="1539" max="1553" width="9.140625" style="554"/>
    <col min="1554" max="1554" width="6.5703125" style="554" customWidth="1"/>
    <col min="1555" max="1555" width="6.7109375" style="554" customWidth="1"/>
    <col min="1556" max="1556" width="7.28515625" style="554" customWidth="1"/>
    <col min="1557" max="1792" width="9.140625" style="554"/>
    <col min="1793" max="1793" width="8.28515625" style="554" customWidth="1"/>
    <col min="1794" max="1794" width="23.7109375" style="554" customWidth="1"/>
    <col min="1795" max="1809" width="9.140625" style="554"/>
    <col min="1810" max="1810" width="6.5703125" style="554" customWidth="1"/>
    <col min="1811" max="1811" width="6.7109375" style="554" customWidth="1"/>
    <col min="1812" max="1812" width="7.28515625" style="554" customWidth="1"/>
    <col min="1813" max="2048" width="9.140625" style="554"/>
    <col min="2049" max="2049" width="8.28515625" style="554" customWidth="1"/>
    <col min="2050" max="2050" width="23.7109375" style="554" customWidth="1"/>
    <col min="2051" max="2065" width="9.140625" style="554"/>
    <col min="2066" max="2066" width="6.5703125" style="554" customWidth="1"/>
    <col min="2067" max="2067" width="6.7109375" style="554" customWidth="1"/>
    <col min="2068" max="2068" width="7.28515625" style="554" customWidth="1"/>
    <col min="2069" max="2304" width="9.140625" style="554"/>
    <col min="2305" max="2305" width="8.28515625" style="554" customWidth="1"/>
    <col min="2306" max="2306" width="23.7109375" style="554" customWidth="1"/>
    <col min="2307" max="2321" width="9.140625" style="554"/>
    <col min="2322" max="2322" width="6.5703125" style="554" customWidth="1"/>
    <col min="2323" max="2323" width="6.7109375" style="554" customWidth="1"/>
    <col min="2324" max="2324" width="7.28515625" style="554" customWidth="1"/>
    <col min="2325" max="2560" width="9.140625" style="554"/>
    <col min="2561" max="2561" width="8.28515625" style="554" customWidth="1"/>
    <col min="2562" max="2562" width="23.7109375" style="554" customWidth="1"/>
    <col min="2563" max="2577" width="9.140625" style="554"/>
    <col min="2578" max="2578" width="6.5703125" style="554" customWidth="1"/>
    <col min="2579" max="2579" width="6.7109375" style="554" customWidth="1"/>
    <col min="2580" max="2580" width="7.28515625" style="554" customWidth="1"/>
    <col min="2581" max="2816" width="9.140625" style="554"/>
    <col min="2817" max="2817" width="8.28515625" style="554" customWidth="1"/>
    <col min="2818" max="2818" width="23.7109375" style="554" customWidth="1"/>
    <col min="2819" max="2833" width="9.140625" style="554"/>
    <col min="2834" max="2834" width="6.5703125" style="554" customWidth="1"/>
    <col min="2835" max="2835" width="6.7109375" style="554" customWidth="1"/>
    <col min="2836" max="2836" width="7.28515625" style="554" customWidth="1"/>
    <col min="2837" max="3072" width="9.140625" style="554"/>
    <col min="3073" max="3073" width="8.28515625" style="554" customWidth="1"/>
    <col min="3074" max="3074" width="23.7109375" style="554" customWidth="1"/>
    <col min="3075" max="3089" width="9.140625" style="554"/>
    <col min="3090" max="3090" width="6.5703125" style="554" customWidth="1"/>
    <col min="3091" max="3091" width="6.7109375" style="554" customWidth="1"/>
    <col min="3092" max="3092" width="7.28515625" style="554" customWidth="1"/>
    <col min="3093" max="3328" width="9.140625" style="554"/>
    <col min="3329" max="3329" width="8.28515625" style="554" customWidth="1"/>
    <col min="3330" max="3330" width="23.7109375" style="554" customWidth="1"/>
    <col min="3331" max="3345" width="9.140625" style="554"/>
    <col min="3346" max="3346" width="6.5703125" style="554" customWidth="1"/>
    <col min="3347" max="3347" width="6.7109375" style="554" customWidth="1"/>
    <col min="3348" max="3348" width="7.28515625" style="554" customWidth="1"/>
    <col min="3349" max="3584" width="9.140625" style="554"/>
    <col min="3585" max="3585" width="8.28515625" style="554" customWidth="1"/>
    <col min="3586" max="3586" width="23.7109375" style="554" customWidth="1"/>
    <col min="3587" max="3601" width="9.140625" style="554"/>
    <col min="3602" max="3602" width="6.5703125" style="554" customWidth="1"/>
    <col min="3603" max="3603" width="6.7109375" style="554" customWidth="1"/>
    <col min="3604" max="3604" width="7.28515625" style="554" customWidth="1"/>
    <col min="3605" max="3840" width="9.140625" style="554"/>
    <col min="3841" max="3841" width="8.28515625" style="554" customWidth="1"/>
    <col min="3842" max="3842" width="23.7109375" style="554" customWidth="1"/>
    <col min="3843" max="3857" width="9.140625" style="554"/>
    <col min="3858" max="3858" width="6.5703125" style="554" customWidth="1"/>
    <col min="3859" max="3859" width="6.7109375" style="554" customWidth="1"/>
    <col min="3860" max="3860" width="7.28515625" style="554" customWidth="1"/>
    <col min="3861" max="4096" width="9.140625" style="554"/>
    <col min="4097" max="4097" width="8.28515625" style="554" customWidth="1"/>
    <col min="4098" max="4098" width="23.7109375" style="554" customWidth="1"/>
    <col min="4099" max="4113" width="9.140625" style="554"/>
    <col min="4114" max="4114" width="6.5703125" style="554" customWidth="1"/>
    <col min="4115" max="4115" width="6.7109375" style="554" customWidth="1"/>
    <col min="4116" max="4116" width="7.28515625" style="554" customWidth="1"/>
    <col min="4117" max="4352" width="9.140625" style="554"/>
    <col min="4353" max="4353" width="8.28515625" style="554" customWidth="1"/>
    <col min="4354" max="4354" width="23.7109375" style="554" customWidth="1"/>
    <col min="4355" max="4369" width="9.140625" style="554"/>
    <col min="4370" max="4370" width="6.5703125" style="554" customWidth="1"/>
    <col min="4371" max="4371" width="6.7109375" style="554" customWidth="1"/>
    <col min="4372" max="4372" width="7.28515625" style="554" customWidth="1"/>
    <col min="4373" max="4608" width="9.140625" style="554"/>
    <col min="4609" max="4609" width="8.28515625" style="554" customWidth="1"/>
    <col min="4610" max="4610" width="23.7109375" style="554" customWidth="1"/>
    <col min="4611" max="4625" width="9.140625" style="554"/>
    <col min="4626" max="4626" width="6.5703125" style="554" customWidth="1"/>
    <col min="4627" max="4627" width="6.7109375" style="554" customWidth="1"/>
    <col min="4628" max="4628" width="7.28515625" style="554" customWidth="1"/>
    <col min="4629" max="4864" width="9.140625" style="554"/>
    <col min="4865" max="4865" width="8.28515625" style="554" customWidth="1"/>
    <col min="4866" max="4866" width="23.7109375" style="554" customWidth="1"/>
    <col min="4867" max="4881" width="9.140625" style="554"/>
    <col min="4882" max="4882" width="6.5703125" style="554" customWidth="1"/>
    <col min="4883" max="4883" width="6.7109375" style="554" customWidth="1"/>
    <col min="4884" max="4884" width="7.28515625" style="554" customWidth="1"/>
    <col min="4885" max="5120" width="9.140625" style="554"/>
    <col min="5121" max="5121" width="8.28515625" style="554" customWidth="1"/>
    <col min="5122" max="5122" width="23.7109375" style="554" customWidth="1"/>
    <col min="5123" max="5137" width="9.140625" style="554"/>
    <col min="5138" max="5138" width="6.5703125" style="554" customWidth="1"/>
    <col min="5139" max="5139" width="6.7109375" style="554" customWidth="1"/>
    <col min="5140" max="5140" width="7.28515625" style="554" customWidth="1"/>
    <col min="5141" max="5376" width="9.140625" style="554"/>
    <col min="5377" max="5377" width="8.28515625" style="554" customWidth="1"/>
    <col min="5378" max="5378" width="23.7109375" style="554" customWidth="1"/>
    <col min="5379" max="5393" width="9.140625" style="554"/>
    <col min="5394" max="5394" width="6.5703125" style="554" customWidth="1"/>
    <col min="5395" max="5395" width="6.7109375" style="554" customWidth="1"/>
    <col min="5396" max="5396" width="7.28515625" style="554" customWidth="1"/>
    <col min="5397" max="5632" width="9.140625" style="554"/>
    <col min="5633" max="5633" width="8.28515625" style="554" customWidth="1"/>
    <col min="5634" max="5634" width="23.7109375" style="554" customWidth="1"/>
    <col min="5635" max="5649" width="9.140625" style="554"/>
    <col min="5650" max="5650" width="6.5703125" style="554" customWidth="1"/>
    <col min="5651" max="5651" width="6.7109375" style="554" customWidth="1"/>
    <col min="5652" max="5652" width="7.28515625" style="554" customWidth="1"/>
    <col min="5653" max="5888" width="9.140625" style="554"/>
    <col min="5889" max="5889" width="8.28515625" style="554" customWidth="1"/>
    <col min="5890" max="5890" width="23.7109375" style="554" customWidth="1"/>
    <col min="5891" max="5905" width="9.140625" style="554"/>
    <col min="5906" max="5906" width="6.5703125" style="554" customWidth="1"/>
    <col min="5907" max="5907" width="6.7109375" style="554" customWidth="1"/>
    <col min="5908" max="5908" width="7.28515625" style="554" customWidth="1"/>
    <col min="5909" max="6144" width="9.140625" style="554"/>
    <col min="6145" max="6145" width="8.28515625" style="554" customWidth="1"/>
    <col min="6146" max="6146" width="23.7109375" style="554" customWidth="1"/>
    <col min="6147" max="6161" width="9.140625" style="554"/>
    <col min="6162" max="6162" width="6.5703125" style="554" customWidth="1"/>
    <col min="6163" max="6163" width="6.7109375" style="554" customWidth="1"/>
    <col min="6164" max="6164" width="7.28515625" style="554" customWidth="1"/>
    <col min="6165" max="6400" width="9.140625" style="554"/>
    <col min="6401" max="6401" width="8.28515625" style="554" customWidth="1"/>
    <col min="6402" max="6402" width="23.7109375" style="554" customWidth="1"/>
    <col min="6403" max="6417" width="9.140625" style="554"/>
    <col min="6418" max="6418" width="6.5703125" style="554" customWidth="1"/>
    <col min="6419" max="6419" width="6.7109375" style="554" customWidth="1"/>
    <col min="6420" max="6420" width="7.28515625" style="554" customWidth="1"/>
    <col min="6421" max="6656" width="9.140625" style="554"/>
    <col min="6657" max="6657" width="8.28515625" style="554" customWidth="1"/>
    <col min="6658" max="6658" width="23.7109375" style="554" customWidth="1"/>
    <col min="6659" max="6673" width="9.140625" style="554"/>
    <col min="6674" max="6674" width="6.5703125" style="554" customWidth="1"/>
    <col min="6675" max="6675" width="6.7109375" style="554" customWidth="1"/>
    <col min="6676" max="6676" width="7.28515625" style="554" customWidth="1"/>
    <col min="6677" max="6912" width="9.140625" style="554"/>
    <col min="6913" max="6913" width="8.28515625" style="554" customWidth="1"/>
    <col min="6914" max="6914" width="23.7109375" style="554" customWidth="1"/>
    <col min="6915" max="6929" width="9.140625" style="554"/>
    <col min="6930" max="6930" width="6.5703125" style="554" customWidth="1"/>
    <col min="6931" max="6931" width="6.7109375" style="554" customWidth="1"/>
    <col min="6932" max="6932" width="7.28515625" style="554" customWidth="1"/>
    <col min="6933" max="7168" width="9.140625" style="554"/>
    <col min="7169" max="7169" width="8.28515625" style="554" customWidth="1"/>
    <col min="7170" max="7170" width="23.7109375" style="554" customWidth="1"/>
    <col min="7171" max="7185" width="9.140625" style="554"/>
    <col min="7186" max="7186" width="6.5703125" style="554" customWidth="1"/>
    <col min="7187" max="7187" width="6.7109375" style="554" customWidth="1"/>
    <col min="7188" max="7188" width="7.28515625" style="554" customWidth="1"/>
    <col min="7189" max="7424" width="9.140625" style="554"/>
    <col min="7425" max="7425" width="8.28515625" style="554" customWidth="1"/>
    <col min="7426" max="7426" width="23.7109375" style="554" customWidth="1"/>
    <col min="7427" max="7441" width="9.140625" style="554"/>
    <col min="7442" max="7442" width="6.5703125" style="554" customWidth="1"/>
    <col min="7443" max="7443" width="6.7109375" style="554" customWidth="1"/>
    <col min="7444" max="7444" width="7.28515625" style="554" customWidth="1"/>
    <col min="7445" max="7680" width="9.140625" style="554"/>
    <col min="7681" max="7681" width="8.28515625" style="554" customWidth="1"/>
    <col min="7682" max="7682" width="23.7109375" style="554" customWidth="1"/>
    <col min="7683" max="7697" width="9.140625" style="554"/>
    <col min="7698" max="7698" width="6.5703125" style="554" customWidth="1"/>
    <col min="7699" max="7699" width="6.7109375" style="554" customWidth="1"/>
    <col min="7700" max="7700" width="7.28515625" style="554" customWidth="1"/>
    <col min="7701" max="7936" width="9.140625" style="554"/>
    <col min="7937" max="7937" width="8.28515625" style="554" customWidth="1"/>
    <col min="7938" max="7938" width="23.7109375" style="554" customWidth="1"/>
    <col min="7939" max="7953" width="9.140625" style="554"/>
    <col min="7954" max="7954" width="6.5703125" style="554" customWidth="1"/>
    <col min="7955" max="7955" width="6.7109375" style="554" customWidth="1"/>
    <col min="7956" max="7956" width="7.28515625" style="554" customWidth="1"/>
    <col min="7957" max="8192" width="9.140625" style="554"/>
    <col min="8193" max="8193" width="8.28515625" style="554" customWidth="1"/>
    <col min="8194" max="8194" width="23.7109375" style="554" customWidth="1"/>
    <col min="8195" max="8209" width="9.140625" style="554"/>
    <col min="8210" max="8210" width="6.5703125" style="554" customWidth="1"/>
    <col min="8211" max="8211" width="6.7109375" style="554" customWidth="1"/>
    <col min="8212" max="8212" width="7.28515625" style="554" customWidth="1"/>
    <col min="8213" max="8448" width="9.140625" style="554"/>
    <col min="8449" max="8449" width="8.28515625" style="554" customWidth="1"/>
    <col min="8450" max="8450" width="23.7109375" style="554" customWidth="1"/>
    <col min="8451" max="8465" width="9.140625" style="554"/>
    <col min="8466" max="8466" width="6.5703125" style="554" customWidth="1"/>
    <col min="8467" max="8467" width="6.7109375" style="554" customWidth="1"/>
    <col min="8468" max="8468" width="7.28515625" style="554" customWidth="1"/>
    <col min="8469" max="8704" width="9.140625" style="554"/>
    <col min="8705" max="8705" width="8.28515625" style="554" customWidth="1"/>
    <col min="8706" max="8706" width="23.7109375" style="554" customWidth="1"/>
    <col min="8707" max="8721" width="9.140625" style="554"/>
    <col min="8722" max="8722" width="6.5703125" style="554" customWidth="1"/>
    <col min="8723" max="8723" width="6.7109375" style="554" customWidth="1"/>
    <col min="8724" max="8724" width="7.28515625" style="554" customWidth="1"/>
    <col min="8725" max="8960" width="9.140625" style="554"/>
    <col min="8961" max="8961" width="8.28515625" style="554" customWidth="1"/>
    <col min="8962" max="8962" width="23.7109375" style="554" customWidth="1"/>
    <col min="8963" max="8977" width="9.140625" style="554"/>
    <col min="8978" max="8978" width="6.5703125" style="554" customWidth="1"/>
    <col min="8979" max="8979" width="6.7109375" style="554" customWidth="1"/>
    <col min="8980" max="8980" width="7.28515625" style="554" customWidth="1"/>
    <col min="8981" max="9216" width="9.140625" style="554"/>
    <col min="9217" max="9217" width="8.28515625" style="554" customWidth="1"/>
    <col min="9218" max="9218" width="23.7109375" style="554" customWidth="1"/>
    <col min="9219" max="9233" width="9.140625" style="554"/>
    <col min="9234" max="9234" width="6.5703125" style="554" customWidth="1"/>
    <col min="9235" max="9235" width="6.7109375" style="554" customWidth="1"/>
    <col min="9236" max="9236" width="7.28515625" style="554" customWidth="1"/>
    <col min="9237" max="9472" width="9.140625" style="554"/>
    <col min="9473" max="9473" width="8.28515625" style="554" customWidth="1"/>
    <col min="9474" max="9474" width="23.7109375" style="554" customWidth="1"/>
    <col min="9475" max="9489" width="9.140625" style="554"/>
    <col min="9490" max="9490" width="6.5703125" style="554" customWidth="1"/>
    <col min="9491" max="9491" width="6.7109375" style="554" customWidth="1"/>
    <col min="9492" max="9492" width="7.28515625" style="554" customWidth="1"/>
    <col min="9493" max="9728" width="9.140625" style="554"/>
    <col min="9729" max="9729" width="8.28515625" style="554" customWidth="1"/>
    <col min="9730" max="9730" width="23.7109375" style="554" customWidth="1"/>
    <col min="9731" max="9745" width="9.140625" style="554"/>
    <col min="9746" max="9746" width="6.5703125" style="554" customWidth="1"/>
    <col min="9747" max="9747" width="6.7109375" style="554" customWidth="1"/>
    <col min="9748" max="9748" width="7.28515625" style="554" customWidth="1"/>
    <col min="9749" max="9984" width="9.140625" style="554"/>
    <col min="9985" max="9985" width="8.28515625" style="554" customWidth="1"/>
    <col min="9986" max="9986" width="23.7109375" style="554" customWidth="1"/>
    <col min="9987" max="10001" width="9.140625" style="554"/>
    <col min="10002" max="10002" width="6.5703125" style="554" customWidth="1"/>
    <col min="10003" max="10003" width="6.7109375" style="554" customWidth="1"/>
    <col min="10004" max="10004" width="7.28515625" style="554" customWidth="1"/>
    <col min="10005" max="10240" width="9.140625" style="554"/>
    <col min="10241" max="10241" width="8.28515625" style="554" customWidth="1"/>
    <col min="10242" max="10242" width="23.7109375" style="554" customWidth="1"/>
    <col min="10243" max="10257" width="9.140625" style="554"/>
    <col min="10258" max="10258" width="6.5703125" style="554" customWidth="1"/>
    <col min="10259" max="10259" width="6.7109375" style="554" customWidth="1"/>
    <col min="10260" max="10260" width="7.28515625" style="554" customWidth="1"/>
    <col min="10261" max="10496" width="9.140625" style="554"/>
    <col min="10497" max="10497" width="8.28515625" style="554" customWidth="1"/>
    <col min="10498" max="10498" width="23.7109375" style="554" customWidth="1"/>
    <col min="10499" max="10513" width="9.140625" style="554"/>
    <col min="10514" max="10514" width="6.5703125" style="554" customWidth="1"/>
    <col min="10515" max="10515" width="6.7109375" style="554" customWidth="1"/>
    <col min="10516" max="10516" width="7.28515625" style="554" customWidth="1"/>
    <col min="10517" max="10752" width="9.140625" style="554"/>
    <col min="10753" max="10753" width="8.28515625" style="554" customWidth="1"/>
    <col min="10754" max="10754" width="23.7109375" style="554" customWidth="1"/>
    <col min="10755" max="10769" width="9.140625" style="554"/>
    <col min="10770" max="10770" width="6.5703125" style="554" customWidth="1"/>
    <col min="10771" max="10771" width="6.7109375" style="554" customWidth="1"/>
    <col min="10772" max="10772" width="7.28515625" style="554" customWidth="1"/>
    <col min="10773" max="11008" width="9.140625" style="554"/>
    <col min="11009" max="11009" width="8.28515625" style="554" customWidth="1"/>
    <col min="11010" max="11010" width="23.7109375" style="554" customWidth="1"/>
    <col min="11011" max="11025" width="9.140625" style="554"/>
    <col min="11026" max="11026" width="6.5703125" style="554" customWidth="1"/>
    <col min="11027" max="11027" width="6.7109375" style="554" customWidth="1"/>
    <col min="11028" max="11028" width="7.28515625" style="554" customWidth="1"/>
    <col min="11029" max="11264" width="9.140625" style="554"/>
    <col min="11265" max="11265" width="8.28515625" style="554" customWidth="1"/>
    <col min="11266" max="11266" width="23.7109375" style="554" customWidth="1"/>
    <col min="11267" max="11281" width="9.140625" style="554"/>
    <col min="11282" max="11282" width="6.5703125" style="554" customWidth="1"/>
    <col min="11283" max="11283" width="6.7109375" style="554" customWidth="1"/>
    <col min="11284" max="11284" width="7.28515625" style="554" customWidth="1"/>
    <col min="11285" max="11520" width="9.140625" style="554"/>
    <col min="11521" max="11521" width="8.28515625" style="554" customWidth="1"/>
    <col min="11522" max="11522" width="23.7109375" style="554" customWidth="1"/>
    <col min="11523" max="11537" width="9.140625" style="554"/>
    <col min="11538" max="11538" width="6.5703125" style="554" customWidth="1"/>
    <col min="11539" max="11539" width="6.7109375" style="554" customWidth="1"/>
    <col min="11540" max="11540" width="7.28515625" style="554" customWidth="1"/>
    <col min="11541" max="11776" width="9.140625" style="554"/>
    <col min="11777" max="11777" width="8.28515625" style="554" customWidth="1"/>
    <col min="11778" max="11778" width="23.7109375" style="554" customWidth="1"/>
    <col min="11779" max="11793" width="9.140625" style="554"/>
    <col min="11794" max="11794" width="6.5703125" style="554" customWidth="1"/>
    <col min="11795" max="11795" width="6.7109375" style="554" customWidth="1"/>
    <col min="11796" max="11796" width="7.28515625" style="554" customWidth="1"/>
    <col min="11797" max="12032" width="9.140625" style="554"/>
    <col min="12033" max="12033" width="8.28515625" style="554" customWidth="1"/>
    <col min="12034" max="12034" width="23.7109375" style="554" customWidth="1"/>
    <col min="12035" max="12049" width="9.140625" style="554"/>
    <col min="12050" max="12050" width="6.5703125" style="554" customWidth="1"/>
    <col min="12051" max="12051" width="6.7109375" style="554" customWidth="1"/>
    <col min="12052" max="12052" width="7.28515625" style="554" customWidth="1"/>
    <col min="12053" max="12288" width="9.140625" style="554"/>
    <col min="12289" max="12289" width="8.28515625" style="554" customWidth="1"/>
    <col min="12290" max="12290" width="23.7109375" style="554" customWidth="1"/>
    <col min="12291" max="12305" width="9.140625" style="554"/>
    <col min="12306" max="12306" width="6.5703125" style="554" customWidth="1"/>
    <col min="12307" max="12307" width="6.7109375" style="554" customWidth="1"/>
    <col min="12308" max="12308" width="7.28515625" style="554" customWidth="1"/>
    <col min="12309" max="12544" width="9.140625" style="554"/>
    <col min="12545" max="12545" width="8.28515625" style="554" customWidth="1"/>
    <col min="12546" max="12546" width="23.7109375" style="554" customWidth="1"/>
    <col min="12547" max="12561" width="9.140625" style="554"/>
    <col min="12562" max="12562" width="6.5703125" style="554" customWidth="1"/>
    <col min="12563" max="12563" width="6.7109375" style="554" customWidth="1"/>
    <col min="12564" max="12564" width="7.28515625" style="554" customWidth="1"/>
    <col min="12565" max="12800" width="9.140625" style="554"/>
    <col min="12801" max="12801" width="8.28515625" style="554" customWidth="1"/>
    <col min="12802" max="12802" width="23.7109375" style="554" customWidth="1"/>
    <col min="12803" max="12817" width="9.140625" style="554"/>
    <col min="12818" max="12818" width="6.5703125" style="554" customWidth="1"/>
    <col min="12819" max="12819" width="6.7109375" style="554" customWidth="1"/>
    <col min="12820" max="12820" width="7.28515625" style="554" customWidth="1"/>
    <col min="12821" max="13056" width="9.140625" style="554"/>
    <col min="13057" max="13057" width="8.28515625" style="554" customWidth="1"/>
    <col min="13058" max="13058" width="23.7109375" style="554" customWidth="1"/>
    <col min="13059" max="13073" width="9.140625" style="554"/>
    <col min="13074" max="13074" width="6.5703125" style="554" customWidth="1"/>
    <col min="13075" max="13075" width="6.7109375" style="554" customWidth="1"/>
    <col min="13076" max="13076" width="7.28515625" style="554" customWidth="1"/>
    <col min="13077" max="13312" width="9.140625" style="554"/>
    <col min="13313" max="13313" width="8.28515625" style="554" customWidth="1"/>
    <col min="13314" max="13314" width="23.7109375" style="554" customWidth="1"/>
    <col min="13315" max="13329" width="9.140625" style="554"/>
    <col min="13330" max="13330" width="6.5703125" style="554" customWidth="1"/>
    <col min="13331" max="13331" width="6.7109375" style="554" customWidth="1"/>
    <col min="13332" max="13332" width="7.28515625" style="554" customWidth="1"/>
    <col min="13333" max="13568" width="9.140625" style="554"/>
    <col min="13569" max="13569" width="8.28515625" style="554" customWidth="1"/>
    <col min="13570" max="13570" width="23.7109375" style="554" customWidth="1"/>
    <col min="13571" max="13585" width="9.140625" style="554"/>
    <col min="13586" max="13586" width="6.5703125" style="554" customWidth="1"/>
    <col min="13587" max="13587" width="6.7109375" style="554" customWidth="1"/>
    <col min="13588" max="13588" width="7.28515625" style="554" customWidth="1"/>
    <col min="13589" max="13824" width="9.140625" style="554"/>
    <col min="13825" max="13825" width="8.28515625" style="554" customWidth="1"/>
    <col min="13826" max="13826" width="23.7109375" style="554" customWidth="1"/>
    <col min="13827" max="13841" width="9.140625" style="554"/>
    <col min="13842" max="13842" width="6.5703125" style="554" customWidth="1"/>
    <col min="13843" max="13843" width="6.7109375" style="554" customWidth="1"/>
    <col min="13844" max="13844" width="7.28515625" style="554" customWidth="1"/>
    <col min="13845" max="14080" width="9.140625" style="554"/>
    <col min="14081" max="14081" width="8.28515625" style="554" customWidth="1"/>
    <col min="14082" max="14082" width="23.7109375" style="554" customWidth="1"/>
    <col min="14083" max="14097" width="9.140625" style="554"/>
    <col min="14098" max="14098" width="6.5703125" style="554" customWidth="1"/>
    <col min="14099" max="14099" width="6.7109375" style="554" customWidth="1"/>
    <col min="14100" max="14100" width="7.28515625" style="554" customWidth="1"/>
    <col min="14101" max="14336" width="9.140625" style="554"/>
    <col min="14337" max="14337" width="8.28515625" style="554" customWidth="1"/>
    <col min="14338" max="14338" width="23.7109375" style="554" customWidth="1"/>
    <col min="14339" max="14353" width="9.140625" style="554"/>
    <col min="14354" max="14354" width="6.5703125" style="554" customWidth="1"/>
    <col min="14355" max="14355" width="6.7109375" style="554" customWidth="1"/>
    <col min="14356" max="14356" width="7.28515625" style="554" customWidth="1"/>
    <col min="14357" max="14592" width="9.140625" style="554"/>
    <col min="14593" max="14593" width="8.28515625" style="554" customWidth="1"/>
    <col min="14594" max="14594" width="23.7109375" style="554" customWidth="1"/>
    <col min="14595" max="14609" width="9.140625" style="554"/>
    <col min="14610" max="14610" width="6.5703125" style="554" customWidth="1"/>
    <col min="14611" max="14611" width="6.7109375" style="554" customWidth="1"/>
    <col min="14612" max="14612" width="7.28515625" style="554" customWidth="1"/>
    <col min="14613" max="14848" width="9.140625" style="554"/>
    <col min="14849" max="14849" width="8.28515625" style="554" customWidth="1"/>
    <col min="14850" max="14850" width="23.7109375" style="554" customWidth="1"/>
    <col min="14851" max="14865" width="9.140625" style="554"/>
    <col min="14866" max="14866" width="6.5703125" style="554" customWidth="1"/>
    <col min="14867" max="14867" width="6.7109375" style="554" customWidth="1"/>
    <col min="14868" max="14868" width="7.28515625" style="554" customWidth="1"/>
    <col min="14869" max="15104" width="9.140625" style="554"/>
    <col min="15105" max="15105" width="8.28515625" style="554" customWidth="1"/>
    <col min="15106" max="15106" width="23.7109375" style="554" customWidth="1"/>
    <col min="15107" max="15121" width="9.140625" style="554"/>
    <col min="15122" max="15122" width="6.5703125" style="554" customWidth="1"/>
    <col min="15123" max="15123" width="6.7109375" style="554" customWidth="1"/>
    <col min="15124" max="15124" width="7.28515625" style="554" customWidth="1"/>
    <col min="15125" max="15360" width="9.140625" style="554"/>
    <col min="15361" max="15361" width="8.28515625" style="554" customWidth="1"/>
    <col min="15362" max="15362" width="23.7109375" style="554" customWidth="1"/>
    <col min="15363" max="15377" width="9.140625" style="554"/>
    <col min="15378" max="15378" width="6.5703125" style="554" customWidth="1"/>
    <col min="15379" max="15379" width="6.7109375" style="554" customWidth="1"/>
    <col min="15380" max="15380" width="7.28515625" style="554" customWidth="1"/>
    <col min="15381" max="15616" width="9.140625" style="554"/>
    <col min="15617" max="15617" width="8.28515625" style="554" customWidth="1"/>
    <col min="15618" max="15618" width="23.7109375" style="554" customWidth="1"/>
    <col min="15619" max="15633" width="9.140625" style="554"/>
    <col min="15634" max="15634" width="6.5703125" style="554" customWidth="1"/>
    <col min="15635" max="15635" width="6.7109375" style="554" customWidth="1"/>
    <col min="15636" max="15636" width="7.28515625" style="554" customWidth="1"/>
    <col min="15637" max="15872" width="9.140625" style="554"/>
    <col min="15873" max="15873" width="8.28515625" style="554" customWidth="1"/>
    <col min="15874" max="15874" width="23.7109375" style="554" customWidth="1"/>
    <col min="15875" max="15889" width="9.140625" style="554"/>
    <col min="15890" max="15890" width="6.5703125" style="554" customWidth="1"/>
    <col min="15891" max="15891" width="6.7109375" style="554" customWidth="1"/>
    <col min="15892" max="15892" width="7.28515625" style="554" customWidth="1"/>
    <col min="15893" max="16128" width="9.140625" style="554"/>
    <col min="16129" max="16129" width="8.28515625" style="554" customWidth="1"/>
    <col min="16130" max="16130" width="23.7109375" style="554" customWidth="1"/>
    <col min="16131" max="16145" width="9.140625" style="554"/>
    <col min="16146" max="16146" width="6.5703125" style="554" customWidth="1"/>
    <col min="16147" max="16147" width="6.7109375" style="554" customWidth="1"/>
    <col min="16148" max="16148" width="7.28515625" style="554" customWidth="1"/>
    <col min="16149" max="16384" width="9.140625" style="554"/>
  </cols>
  <sheetData>
    <row r="2" spans="1:20" ht="15.75">
      <c r="A2" s="1521" t="s">
        <v>3588</v>
      </c>
      <c r="B2" s="1521"/>
      <c r="C2" s="1521"/>
      <c r="D2" s="1521"/>
      <c r="E2" s="1521"/>
      <c r="F2" s="1521"/>
      <c r="G2" s="1521"/>
      <c r="H2" s="1521"/>
      <c r="I2" s="1521"/>
      <c r="J2" s="1521"/>
      <c r="K2" s="1521"/>
      <c r="L2" s="1521"/>
      <c r="M2" s="1521"/>
      <c r="N2" s="1521"/>
      <c r="O2" s="1521"/>
      <c r="P2" s="1521"/>
      <c r="Q2" s="1521"/>
      <c r="R2" s="1521"/>
      <c r="S2" s="1521"/>
      <c r="T2" s="1521"/>
    </row>
    <row r="4" spans="1:20" ht="15.75" thickBot="1"/>
    <row r="5" spans="1:20" ht="37.5" customHeight="1" thickTop="1">
      <c r="A5" s="1522" t="s">
        <v>0</v>
      </c>
      <c r="B5" s="1524" t="s">
        <v>3589</v>
      </c>
      <c r="C5" s="1604" t="s">
        <v>3590</v>
      </c>
      <c r="D5" s="1605"/>
      <c r="E5" s="1605"/>
      <c r="F5" s="1604" t="s">
        <v>3591</v>
      </c>
      <c r="G5" s="1604"/>
      <c r="H5" s="1604"/>
      <c r="I5" s="1604"/>
      <c r="J5" s="1604"/>
      <c r="K5" s="1604"/>
      <c r="L5" s="1604"/>
      <c r="M5" s="1604"/>
      <c r="N5" s="1604"/>
      <c r="O5" s="1604"/>
      <c r="P5" s="1604"/>
      <c r="Q5" s="1604" t="s">
        <v>3592</v>
      </c>
      <c r="R5" s="1604"/>
      <c r="S5" s="1606" t="s">
        <v>3593</v>
      </c>
      <c r="T5" s="1538" t="s">
        <v>2809</v>
      </c>
    </row>
    <row r="6" spans="1:20">
      <c r="A6" s="1523"/>
      <c r="B6" s="1525"/>
      <c r="C6" s="1519" t="s">
        <v>3594</v>
      </c>
      <c r="D6" s="1519" t="s">
        <v>3595</v>
      </c>
      <c r="E6" s="1519" t="s">
        <v>3596</v>
      </c>
      <c r="F6" s="1519" t="s">
        <v>3597</v>
      </c>
      <c r="G6" s="1519" t="s">
        <v>3598</v>
      </c>
      <c r="H6" s="1519" t="s">
        <v>3599</v>
      </c>
      <c r="I6" s="1519" t="s">
        <v>3600</v>
      </c>
      <c r="J6" s="1519" t="s">
        <v>3601</v>
      </c>
      <c r="K6" s="1519" t="s">
        <v>3602</v>
      </c>
      <c r="L6" s="1602" t="s">
        <v>3603</v>
      </c>
      <c r="M6" s="1519" t="s">
        <v>3604</v>
      </c>
      <c r="N6" s="1519" t="s">
        <v>3605</v>
      </c>
      <c r="O6" s="1519" t="s">
        <v>3606</v>
      </c>
      <c r="P6" s="1519" t="s">
        <v>3607</v>
      </c>
      <c r="Q6" s="1519" t="s">
        <v>3608</v>
      </c>
      <c r="R6" s="1519" t="s">
        <v>3609</v>
      </c>
      <c r="S6" s="1519"/>
      <c r="T6" s="1539"/>
    </row>
    <row r="7" spans="1:20" ht="228" customHeight="1">
      <c r="A7" s="1523"/>
      <c r="B7" s="1525"/>
      <c r="C7" s="1520"/>
      <c r="D7" s="1519"/>
      <c r="E7" s="1520"/>
      <c r="F7" s="1603"/>
      <c r="G7" s="1519"/>
      <c r="H7" s="1519"/>
      <c r="I7" s="1519"/>
      <c r="J7" s="1519"/>
      <c r="K7" s="1519"/>
      <c r="L7" s="1602"/>
      <c r="M7" s="1519"/>
      <c r="N7" s="1519"/>
      <c r="O7" s="1519"/>
      <c r="P7" s="1520"/>
      <c r="Q7" s="1519"/>
      <c r="R7" s="1520"/>
      <c r="S7" s="1519"/>
      <c r="T7" s="1539"/>
    </row>
    <row r="8" spans="1:20" ht="15.75" customHeight="1">
      <c r="A8" s="1598" t="s">
        <v>3610</v>
      </c>
      <c r="B8" s="1599"/>
      <c r="C8" s="635" t="s">
        <v>3611</v>
      </c>
      <c r="D8" s="635" t="s">
        <v>3611</v>
      </c>
      <c r="E8" s="1601" t="s">
        <v>3612</v>
      </c>
      <c r="F8" s="635" t="s">
        <v>3613</v>
      </c>
      <c r="G8" s="635" t="s">
        <v>3613</v>
      </c>
      <c r="H8" s="635" t="s">
        <v>3613</v>
      </c>
      <c r="I8" s="635" t="s">
        <v>3613</v>
      </c>
      <c r="J8" s="635" t="s">
        <v>3613</v>
      </c>
      <c r="K8" s="635" t="s">
        <v>3613</v>
      </c>
      <c r="L8" s="635" t="s">
        <v>3613</v>
      </c>
      <c r="M8" s="635" t="s">
        <v>3613</v>
      </c>
      <c r="N8" s="635" t="s">
        <v>3613</v>
      </c>
      <c r="O8" s="635" t="s">
        <v>3613</v>
      </c>
      <c r="P8" s="635" t="s">
        <v>3613</v>
      </c>
      <c r="Q8" s="635" t="s">
        <v>3611</v>
      </c>
      <c r="R8" s="635" t="s">
        <v>3614</v>
      </c>
      <c r="S8" s="635" t="s">
        <v>3614</v>
      </c>
      <c r="T8" s="636"/>
    </row>
    <row r="9" spans="1:20" ht="15.75">
      <c r="A9" s="1600"/>
      <c r="B9" s="1599"/>
      <c r="C9" s="635"/>
      <c r="D9" s="635"/>
      <c r="E9" s="1601"/>
      <c r="F9" s="637">
        <f>0.446*6*0.04*8.95</f>
        <v>0.95800799999999997</v>
      </c>
      <c r="G9" s="637">
        <f>0.486*3*0.03*8.9</f>
        <v>0.38928599999999997</v>
      </c>
      <c r="H9" s="635">
        <v>0.34</v>
      </c>
      <c r="I9" s="635">
        <v>0.28000000000000003</v>
      </c>
      <c r="J9" s="635">
        <v>0.21</v>
      </c>
      <c r="K9" s="635">
        <v>0.15</v>
      </c>
      <c r="L9" s="635">
        <v>0.1</v>
      </c>
      <c r="M9" s="635">
        <v>0.06</v>
      </c>
      <c r="N9" s="635">
        <v>0.16</v>
      </c>
      <c r="O9" s="635">
        <v>0.05</v>
      </c>
      <c r="P9" s="635"/>
      <c r="Q9" s="635"/>
      <c r="R9" s="635"/>
      <c r="S9" s="635"/>
      <c r="T9" s="636"/>
    </row>
    <row r="10" spans="1:20" s="567" customFormat="1" ht="14.25">
      <c r="A10" s="638" t="str">
        <f>'[7]PPT - HT'!A7</f>
        <v>A</v>
      </c>
      <c r="B10" s="569" t="str">
        <f>'[7]PPT - HT'!B7</f>
        <v>TRẠM BIẾN ÁP T1 - 1500KVA</v>
      </c>
      <c r="C10" s="569"/>
      <c r="D10" s="569"/>
      <c r="E10" s="569"/>
      <c r="F10" s="569"/>
      <c r="G10" s="569"/>
      <c r="H10" s="569"/>
      <c r="I10" s="569"/>
      <c r="J10" s="569"/>
      <c r="K10" s="569"/>
      <c r="L10" s="569"/>
      <c r="M10" s="569"/>
      <c r="N10" s="569"/>
      <c r="O10" s="569"/>
      <c r="P10" s="569"/>
      <c r="Q10" s="569"/>
      <c r="R10" s="569"/>
      <c r="S10" s="569"/>
      <c r="T10" s="639"/>
    </row>
    <row r="11" spans="1:20" s="567" customFormat="1" ht="14.25">
      <c r="A11" s="638" t="str">
        <f>'[7]PPT - HT'!A8</f>
        <v>I</v>
      </c>
      <c r="B11" s="569" t="str">
        <f>'[7]PPT - HT'!B8</f>
        <v>Đường dây hạ thế nhánh A (TBA 1500kVA XDM)</v>
      </c>
      <c r="C11" s="569"/>
      <c r="D11" s="569"/>
      <c r="E11" s="569"/>
      <c r="F11" s="569"/>
      <c r="G11" s="569"/>
      <c r="H11" s="569"/>
      <c r="I11" s="569"/>
      <c r="J11" s="569"/>
      <c r="K11" s="569"/>
      <c r="L11" s="569"/>
      <c r="M11" s="569"/>
      <c r="N11" s="569"/>
      <c r="O11" s="569"/>
      <c r="P11" s="569"/>
      <c r="Q11" s="569"/>
      <c r="R11" s="569"/>
      <c r="S11" s="569"/>
      <c r="T11" s="639"/>
    </row>
    <row r="12" spans="1:20">
      <c r="A12" s="640">
        <f>'[7]PPT - HT'!A9</f>
        <v>1</v>
      </c>
      <c r="B12" s="557" t="str">
        <f>'[7]PPT - HT'!C9</f>
        <v>Tủ điện DB1-HTA</v>
      </c>
      <c r="C12" s="557">
        <v>1</v>
      </c>
      <c r="D12" s="557">
        <v>8</v>
      </c>
      <c r="E12" s="557">
        <v>3</v>
      </c>
      <c r="F12" s="557">
        <v>3</v>
      </c>
      <c r="G12" s="557">
        <v>1</v>
      </c>
      <c r="H12" s="557">
        <f t="shared" ref="H12:H17" si="0">E12</f>
        <v>3</v>
      </c>
      <c r="I12" s="557">
        <f t="shared" ref="I12:I17" si="1">E12</f>
        <v>3</v>
      </c>
      <c r="J12" s="557">
        <f t="shared" ref="J12:J17" si="2">E12</f>
        <v>3</v>
      </c>
      <c r="K12" s="557">
        <f t="shared" ref="K12:K17" si="3">C12</f>
        <v>1</v>
      </c>
      <c r="L12" s="557">
        <f t="shared" ref="L12:L17" si="4">C12</f>
        <v>1</v>
      </c>
      <c r="M12" s="557">
        <f t="shared" ref="M12:M17" si="5">C12</f>
        <v>1</v>
      </c>
      <c r="N12" s="557">
        <f t="shared" ref="N12:O17" si="6">C12</f>
        <v>1</v>
      </c>
      <c r="O12" s="557">
        <f t="shared" si="6"/>
        <v>8</v>
      </c>
      <c r="P12" s="557">
        <f>SUMPRODUCT(F12:O12,$F$9:$O$9)</f>
        <v>6.62331</v>
      </c>
      <c r="Q12" s="557">
        <v>1</v>
      </c>
      <c r="R12" s="557">
        <v>1</v>
      </c>
      <c r="S12" s="557">
        <v>1</v>
      </c>
      <c r="T12" s="641"/>
    </row>
    <row r="13" spans="1:20">
      <c r="A13" s="640">
        <f>'[7]PPT - HT'!A10</f>
        <v>2</v>
      </c>
      <c r="B13" s="557" t="str">
        <f>'[7]PPT - HT'!C10</f>
        <v>Tủ điện DB1-HTA1</v>
      </c>
      <c r="C13" s="557">
        <v>1</v>
      </c>
      <c r="D13" s="557">
        <v>6</v>
      </c>
      <c r="E13" s="557">
        <v>2</v>
      </c>
      <c r="F13" s="557">
        <v>3</v>
      </c>
      <c r="G13" s="557">
        <v>1</v>
      </c>
      <c r="H13" s="557">
        <f t="shared" si="0"/>
        <v>2</v>
      </c>
      <c r="I13" s="557">
        <f t="shared" si="1"/>
        <v>2</v>
      </c>
      <c r="J13" s="557">
        <f t="shared" si="2"/>
        <v>2</v>
      </c>
      <c r="K13" s="557">
        <f t="shared" si="3"/>
        <v>1</v>
      </c>
      <c r="L13" s="557">
        <f t="shared" si="4"/>
        <v>1</v>
      </c>
      <c r="M13" s="557">
        <f t="shared" si="5"/>
        <v>1</v>
      </c>
      <c r="N13" s="557">
        <f t="shared" si="6"/>
        <v>1</v>
      </c>
      <c r="O13" s="557">
        <f t="shared" si="6"/>
        <v>6</v>
      </c>
      <c r="P13" s="557">
        <f t="shared" ref="P13:P17" si="7">SUMPRODUCT(F13:O13,$F$9:$O$9)</f>
        <v>5.6933099999999994</v>
      </c>
      <c r="Q13" s="557">
        <v>1</v>
      </c>
      <c r="R13" s="557">
        <v>1</v>
      </c>
      <c r="S13" s="557">
        <v>1</v>
      </c>
      <c r="T13" s="641"/>
    </row>
    <row r="14" spans="1:20">
      <c r="A14" s="640">
        <f>'[7]PPT - HT'!A11</f>
        <v>3</v>
      </c>
      <c r="B14" s="557" t="str">
        <f>'[7]PPT - HT'!C11</f>
        <v>Tủ điện DB1-HTA1.1</v>
      </c>
      <c r="C14" s="557">
        <v>1</v>
      </c>
      <c r="D14" s="557">
        <v>7</v>
      </c>
      <c r="E14" s="557">
        <v>1</v>
      </c>
      <c r="F14" s="557">
        <v>3</v>
      </c>
      <c r="G14" s="557">
        <v>1</v>
      </c>
      <c r="H14" s="557">
        <f t="shared" si="0"/>
        <v>1</v>
      </c>
      <c r="I14" s="557">
        <f t="shared" si="1"/>
        <v>1</v>
      </c>
      <c r="J14" s="557">
        <f t="shared" si="2"/>
        <v>1</v>
      </c>
      <c r="K14" s="557">
        <f t="shared" si="3"/>
        <v>1</v>
      </c>
      <c r="L14" s="557">
        <f t="shared" si="4"/>
        <v>1</v>
      </c>
      <c r="M14" s="557">
        <f t="shared" si="5"/>
        <v>1</v>
      </c>
      <c r="N14" s="557">
        <f t="shared" si="6"/>
        <v>1</v>
      </c>
      <c r="O14" s="557">
        <f t="shared" si="6"/>
        <v>7</v>
      </c>
      <c r="P14" s="557">
        <f t="shared" si="7"/>
        <v>4.9133099999999992</v>
      </c>
      <c r="Q14" s="557">
        <v>1</v>
      </c>
      <c r="R14" s="557">
        <v>1</v>
      </c>
      <c r="S14" s="557">
        <v>1</v>
      </c>
      <c r="T14" s="641"/>
    </row>
    <row r="15" spans="1:20">
      <c r="A15" s="640">
        <f>'[7]PPT - HT'!A12</f>
        <v>4</v>
      </c>
      <c r="B15" s="557" t="str">
        <f>'[7]PPT - HT'!C12</f>
        <v>Tủ điện DB1-HTA2</v>
      </c>
      <c r="C15" s="557">
        <v>1</v>
      </c>
      <c r="D15" s="557">
        <v>6</v>
      </c>
      <c r="E15" s="557">
        <v>2</v>
      </c>
      <c r="F15" s="557">
        <v>3</v>
      </c>
      <c r="G15" s="557">
        <v>1</v>
      </c>
      <c r="H15" s="557">
        <f t="shared" si="0"/>
        <v>2</v>
      </c>
      <c r="I15" s="557">
        <f t="shared" si="1"/>
        <v>2</v>
      </c>
      <c r="J15" s="557">
        <f t="shared" si="2"/>
        <v>2</v>
      </c>
      <c r="K15" s="557">
        <f t="shared" si="3"/>
        <v>1</v>
      </c>
      <c r="L15" s="557">
        <f t="shared" si="4"/>
        <v>1</v>
      </c>
      <c r="M15" s="557">
        <f t="shared" si="5"/>
        <v>1</v>
      </c>
      <c r="N15" s="557">
        <f t="shared" si="6"/>
        <v>1</v>
      </c>
      <c r="O15" s="557">
        <f t="shared" si="6"/>
        <v>6</v>
      </c>
      <c r="P15" s="557">
        <f t="shared" si="7"/>
        <v>5.6933099999999994</v>
      </c>
      <c r="Q15" s="557">
        <v>1</v>
      </c>
      <c r="R15" s="557">
        <v>1</v>
      </c>
      <c r="S15" s="557">
        <v>1</v>
      </c>
      <c r="T15" s="641"/>
    </row>
    <row r="16" spans="1:20">
      <c r="A16" s="640">
        <f>'[7]PPT - HT'!A13</f>
        <v>5</v>
      </c>
      <c r="B16" s="557" t="str">
        <f>'[7]PPT - HT'!C13</f>
        <v>Tủ điện DB1-HTA2.1</v>
      </c>
      <c r="C16" s="557">
        <v>1</v>
      </c>
      <c r="D16" s="557">
        <v>7</v>
      </c>
      <c r="E16" s="557">
        <v>2</v>
      </c>
      <c r="F16" s="557">
        <v>3</v>
      </c>
      <c r="G16" s="557">
        <v>1</v>
      </c>
      <c r="H16" s="557">
        <f t="shared" si="0"/>
        <v>2</v>
      </c>
      <c r="I16" s="557">
        <f t="shared" si="1"/>
        <v>2</v>
      </c>
      <c r="J16" s="557">
        <f t="shared" si="2"/>
        <v>2</v>
      </c>
      <c r="K16" s="557">
        <f t="shared" si="3"/>
        <v>1</v>
      </c>
      <c r="L16" s="557">
        <f t="shared" si="4"/>
        <v>1</v>
      </c>
      <c r="M16" s="557">
        <f t="shared" si="5"/>
        <v>1</v>
      </c>
      <c r="N16" s="557">
        <f t="shared" si="6"/>
        <v>1</v>
      </c>
      <c r="O16" s="557">
        <f t="shared" si="6"/>
        <v>7</v>
      </c>
      <c r="P16" s="557">
        <f t="shared" si="7"/>
        <v>5.7433099999999992</v>
      </c>
      <c r="Q16" s="557">
        <v>1</v>
      </c>
      <c r="R16" s="557">
        <v>1</v>
      </c>
      <c r="S16" s="557">
        <v>1</v>
      </c>
      <c r="T16" s="641"/>
    </row>
    <row r="17" spans="1:20">
      <c r="A17" s="640">
        <f>'[7]PPT - HT'!A14</f>
        <v>6</v>
      </c>
      <c r="B17" s="557" t="str">
        <f>'[7]PPT - HT'!C14</f>
        <v>Tủ điện DB1-HTA2.2</v>
      </c>
      <c r="C17" s="557">
        <v>1</v>
      </c>
      <c r="D17" s="557">
        <v>8</v>
      </c>
      <c r="E17" s="557">
        <v>1</v>
      </c>
      <c r="F17" s="557">
        <v>3</v>
      </c>
      <c r="G17" s="557">
        <v>1</v>
      </c>
      <c r="H17" s="557">
        <f t="shared" si="0"/>
        <v>1</v>
      </c>
      <c r="I17" s="557">
        <f t="shared" si="1"/>
        <v>1</v>
      </c>
      <c r="J17" s="557">
        <f t="shared" si="2"/>
        <v>1</v>
      </c>
      <c r="K17" s="557">
        <f t="shared" si="3"/>
        <v>1</v>
      </c>
      <c r="L17" s="557">
        <f t="shared" si="4"/>
        <v>1</v>
      </c>
      <c r="M17" s="557">
        <f t="shared" si="5"/>
        <v>1</v>
      </c>
      <c r="N17" s="557">
        <f t="shared" si="6"/>
        <v>1</v>
      </c>
      <c r="O17" s="557">
        <f t="shared" si="6"/>
        <v>8</v>
      </c>
      <c r="P17" s="557">
        <f t="shared" si="7"/>
        <v>4.9633099999999999</v>
      </c>
      <c r="Q17" s="557">
        <v>1</v>
      </c>
      <c r="R17" s="557">
        <v>1</v>
      </c>
      <c r="S17" s="557">
        <v>1</v>
      </c>
      <c r="T17" s="641"/>
    </row>
    <row r="18" spans="1:20" s="567" customFormat="1">
      <c r="A18" s="638" t="str">
        <f>'[7]PPT - HT'!A15</f>
        <v>II</v>
      </c>
      <c r="B18" s="569" t="str">
        <f>'[7]PPT - HT'!B15</f>
        <v>Đường dây hạ thế nhánh B (TBA 1500kVA XDM)</v>
      </c>
      <c r="C18" s="569"/>
      <c r="D18" s="569"/>
      <c r="E18" s="569"/>
      <c r="F18" s="557"/>
      <c r="G18" s="557"/>
      <c r="H18" s="557"/>
      <c r="I18" s="557"/>
      <c r="J18" s="557"/>
      <c r="K18" s="557"/>
      <c r="L18" s="557"/>
      <c r="M18" s="557"/>
      <c r="N18" s="557"/>
      <c r="O18" s="557"/>
      <c r="P18" s="557"/>
      <c r="Q18" s="557"/>
      <c r="R18" s="557"/>
      <c r="S18" s="557"/>
      <c r="T18" s="639"/>
    </row>
    <row r="19" spans="1:20">
      <c r="A19" s="640">
        <f>'[7]PPT - HT'!A16</f>
        <v>1</v>
      </c>
      <c r="B19" s="557" t="str">
        <f>'[7]PPT - HT'!C16</f>
        <v>Tủ HT - DB1-HTB</v>
      </c>
      <c r="C19" s="557">
        <v>1</v>
      </c>
      <c r="D19" s="557">
        <v>8</v>
      </c>
      <c r="E19" s="557">
        <v>3</v>
      </c>
      <c r="F19" s="557">
        <v>3</v>
      </c>
      <c r="G19" s="557">
        <v>1</v>
      </c>
      <c r="H19" s="557">
        <f t="shared" ref="H19:H85" si="8">E19</f>
        <v>3</v>
      </c>
      <c r="I19" s="557">
        <f t="shared" ref="I19:I85" si="9">E19</f>
        <v>3</v>
      </c>
      <c r="J19" s="557">
        <f t="shared" ref="J19:J85" si="10">E19</f>
        <v>3</v>
      </c>
      <c r="K19" s="557">
        <f t="shared" ref="K19:K85" si="11">C19</f>
        <v>1</v>
      </c>
      <c r="L19" s="557">
        <f t="shared" ref="L19:L85" si="12">C19</f>
        <v>1</v>
      </c>
      <c r="M19" s="557">
        <f t="shared" ref="M19:M85" si="13">C19</f>
        <v>1</v>
      </c>
      <c r="N19" s="557">
        <f t="shared" ref="N19:O85" si="14">C19</f>
        <v>1</v>
      </c>
      <c r="O19" s="557">
        <f t="shared" si="14"/>
        <v>8</v>
      </c>
      <c r="P19" s="557">
        <f t="shared" ref="P19:P85" si="15">SUMPRODUCT(F19:O19,$F$9:$O$9)</f>
        <v>6.62331</v>
      </c>
      <c r="Q19" s="557">
        <v>1</v>
      </c>
      <c r="R19" s="557">
        <v>1</v>
      </c>
      <c r="S19" s="557">
        <v>1</v>
      </c>
      <c r="T19" s="641"/>
    </row>
    <row r="20" spans="1:20">
      <c r="A20" s="640">
        <f>'[7]PPT - HT'!A17</f>
        <v>2</v>
      </c>
      <c r="B20" s="557" t="str">
        <f>'[7]PPT - HT'!C17</f>
        <v>Tủ HT - DB1-HTB1</v>
      </c>
      <c r="C20" s="557">
        <v>1</v>
      </c>
      <c r="D20" s="557">
        <v>8</v>
      </c>
      <c r="E20" s="557">
        <v>2</v>
      </c>
      <c r="F20" s="557">
        <v>3</v>
      </c>
      <c r="G20" s="557">
        <v>1</v>
      </c>
      <c r="H20" s="557">
        <f t="shared" si="8"/>
        <v>2</v>
      </c>
      <c r="I20" s="557">
        <f t="shared" si="9"/>
        <v>2</v>
      </c>
      <c r="J20" s="557">
        <f t="shared" si="10"/>
        <v>2</v>
      </c>
      <c r="K20" s="557">
        <f t="shared" si="11"/>
        <v>1</v>
      </c>
      <c r="L20" s="557">
        <f t="shared" si="12"/>
        <v>1</v>
      </c>
      <c r="M20" s="557">
        <f t="shared" si="13"/>
        <v>1</v>
      </c>
      <c r="N20" s="557">
        <f t="shared" si="14"/>
        <v>1</v>
      </c>
      <c r="O20" s="557">
        <f t="shared" si="14"/>
        <v>8</v>
      </c>
      <c r="P20" s="557">
        <f t="shared" si="15"/>
        <v>5.79331</v>
      </c>
      <c r="Q20" s="557">
        <v>1</v>
      </c>
      <c r="R20" s="557">
        <v>1</v>
      </c>
      <c r="S20" s="557">
        <v>1</v>
      </c>
      <c r="T20" s="641"/>
    </row>
    <row r="21" spans="1:20">
      <c r="A21" s="640">
        <f>'[7]PPT - HT'!A18</f>
        <v>3</v>
      </c>
      <c r="B21" s="557" t="str">
        <f>'[7]PPT - HT'!C18</f>
        <v>Tủ HT - DB1-HTB1.1</v>
      </c>
      <c r="C21" s="557">
        <v>1</v>
      </c>
      <c r="D21" s="557">
        <v>8</v>
      </c>
      <c r="E21" s="557">
        <v>1</v>
      </c>
      <c r="F21" s="557">
        <v>3</v>
      </c>
      <c r="G21" s="557">
        <v>1</v>
      </c>
      <c r="H21" s="557">
        <f t="shared" si="8"/>
        <v>1</v>
      </c>
      <c r="I21" s="557">
        <f t="shared" si="9"/>
        <v>1</v>
      </c>
      <c r="J21" s="557">
        <f t="shared" si="10"/>
        <v>1</v>
      </c>
      <c r="K21" s="557">
        <f t="shared" si="11"/>
        <v>1</v>
      </c>
      <c r="L21" s="557">
        <f t="shared" si="12"/>
        <v>1</v>
      </c>
      <c r="M21" s="557">
        <f t="shared" si="13"/>
        <v>1</v>
      </c>
      <c r="N21" s="557">
        <f t="shared" si="14"/>
        <v>1</v>
      </c>
      <c r="O21" s="557">
        <f t="shared" si="14"/>
        <v>8</v>
      </c>
      <c r="P21" s="557">
        <f t="shared" si="15"/>
        <v>4.9633099999999999</v>
      </c>
      <c r="Q21" s="557">
        <v>1</v>
      </c>
      <c r="R21" s="557">
        <v>1</v>
      </c>
      <c r="S21" s="557">
        <v>1</v>
      </c>
      <c r="T21" s="641"/>
    </row>
    <row r="22" spans="1:20">
      <c r="A22" s="640">
        <f>'[7]PPT - HT'!A19</f>
        <v>4</v>
      </c>
      <c r="B22" s="557" t="str">
        <f>'[7]PPT - HT'!C19</f>
        <v>Tủ HT - DB1-HTB2</v>
      </c>
      <c r="C22" s="557">
        <v>1</v>
      </c>
      <c r="D22" s="557">
        <v>8</v>
      </c>
      <c r="E22" s="557">
        <v>2</v>
      </c>
      <c r="F22" s="557">
        <v>3</v>
      </c>
      <c r="G22" s="557">
        <v>1</v>
      </c>
      <c r="H22" s="557">
        <f t="shared" si="8"/>
        <v>2</v>
      </c>
      <c r="I22" s="557">
        <f t="shared" si="9"/>
        <v>2</v>
      </c>
      <c r="J22" s="557">
        <f t="shared" si="10"/>
        <v>2</v>
      </c>
      <c r="K22" s="557">
        <f t="shared" si="11"/>
        <v>1</v>
      </c>
      <c r="L22" s="557">
        <f t="shared" si="12"/>
        <v>1</v>
      </c>
      <c r="M22" s="557">
        <f t="shared" si="13"/>
        <v>1</v>
      </c>
      <c r="N22" s="557">
        <f t="shared" si="14"/>
        <v>1</v>
      </c>
      <c r="O22" s="557">
        <f t="shared" si="14"/>
        <v>8</v>
      </c>
      <c r="P22" s="557">
        <f t="shared" si="15"/>
        <v>5.79331</v>
      </c>
      <c r="Q22" s="557">
        <v>1</v>
      </c>
      <c r="R22" s="557">
        <v>1</v>
      </c>
      <c r="S22" s="557">
        <v>1</v>
      </c>
      <c r="T22" s="641"/>
    </row>
    <row r="23" spans="1:20">
      <c r="A23" s="640">
        <f>'[7]PPT - HT'!A20</f>
        <v>5</v>
      </c>
      <c r="B23" s="557" t="str">
        <f>'[7]PPT - HT'!C20</f>
        <v>Tủ HT - DB1-HTB2.1</v>
      </c>
      <c r="C23" s="557">
        <v>1</v>
      </c>
      <c r="D23" s="557">
        <v>7</v>
      </c>
      <c r="E23" s="557">
        <v>2</v>
      </c>
      <c r="F23" s="557">
        <v>3</v>
      </c>
      <c r="G23" s="557">
        <v>1</v>
      </c>
      <c r="H23" s="557">
        <f t="shared" si="8"/>
        <v>2</v>
      </c>
      <c r="I23" s="557">
        <f t="shared" si="9"/>
        <v>2</v>
      </c>
      <c r="J23" s="557">
        <f t="shared" si="10"/>
        <v>2</v>
      </c>
      <c r="K23" s="557">
        <f t="shared" si="11"/>
        <v>1</v>
      </c>
      <c r="L23" s="557">
        <f t="shared" si="12"/>
        <v>1</v>
      </c>
      <c r="M23" s="557">
        <f t="shared" si="13"/>
        <v>1</v>
      </c>
      <c r="N23" s="557">
        <f t="shared" si="14"/>
        <v>1</v>
      </c>
      <c r="O23" s="557">
        <f t="shared" si="14"/>
        <v>7</v>
      </c>
      <c r="P23" s="557">
        <f t="shared" si="15"/>
        <v>5.7433099999999992</v>
      </c>
      <c r="Q23" s="557">
        <v>1</v>
      </c>
      <c r="R23" s="557">
        <v>1</v>
      </c>
      <c r="S23" s="557">
        <v>1</v>
      </c>
      <c r="T23" s="641"/>
    </row>
    <row r="24" spans="1:20">
      <c r="A24" s="640">
        <f>'[7]PPT - HT'!A21</f>
        <v>6</v>
      </c>
      <c r="B24" s="557" t="str">
        <f>'[7]PPT - HT'!C21</f>
        <v>Tủ HT - DB1-HTB2.2</v>
      </c>
      <c r="C24" s="557">
        <v>1</v>
      </c>
      <c r="D24" s="557">
        <v>8</v>
      </c>
      <c r="E24" s="557">
        <v>1</v>
      </c>
      <c r="F24" s="557">
        <v>3</v>
      </c>
      <c r="G24" s="557">
        <v>1</v>
      </c>
      <c r="H24" s="557">
        <f t="shared" si="8"/>
        <v>1</v>
      </c>
      <c r="I24" s="557">
        <f t="shared" si="9"/>
        <v>1</v>
      </c>
      <c r="J24" s="557">
        <f t="shared" si="10"/>
        <v>1</v>
      </c>
      <c r="K24" s="557">
        <f t="shared" si="11"/>
        <v>1</v>
      </c>
      <c r="L24" s="557">
        <f t="shared" si="12"/>
        <v>1</v>
      </c>
      <c r="M24" s="557">
        <f t="shared" si="13"/>
        <v>1</v>
      </c>
      <c r="N24" s="557">
        <f t="shared" si="14"/>
        <v>1</v>
      </c>
      <c r="O24" s="557">
        <f t="shared" si="14"/>
        <v>8</v>
      </c>
      <c r="P24" s="557">
        <f t="shared" si="15"/>
        <v>4.9633099999999999</v>
      </c>
      <c r="Q24" s="557">
        <v>1</v>
      </c>
      <c r="R24" s="557">
        <v>1</v>
      </c>
      <c r="S24" s="557">
        <v>1</v>
      </c>
      <c r="T24" s="641"/>
    </row>
    <row r="25" spans="1:20" s="567" customFormat="1">
      <c r="A25" s="638" t="str">
        <f>'[7]PPT - HT'!A22</f>
        <v>III</v>
      </c>
      <c r="B25" s="569" t="str">
        <f>'[7]PPT - HT'!B22</f>
        <v>Đường dây hạ thế nhánh C (TBA 1500kVA XDM)</v>
      </c>
      <c r="C25" s="569"/>
      <c r="D25" s="569"/>
      <c r="E25" s="569"/>
      <c r="F25" s="557"/>
      <c r="G25" s="557"/>
      <c r="H25" s="557"/>
      <c r="I25" s="557"/>
      <c r="J25" s="557"/>
      <c r="K25" s="557"/>
      <c r="L25" s="557"/>
      <c r="M25" s="557"/>
      <c r="N25" s="557"/>
      <c r="O25" s="557"/>
      <c r="P25" s="557"/>
      <c r="Q25" s="557"/>
      <c r="R25" s="557"/>
      <c r="S25" s="557"/>
      <c r="T25" s="639"/>
    </row>
    <row r="26" spans="1:20">
      <c r="A26" s="640">
        <f>'[7]PPT - HT'!A23</f>
        <v>1</v>
      </c>
      <c r="B26" s="557" t="str">
        <f>'[7]PPT - HT'!C23</f>
        <v>Tủ HT - DB1-HTC</v>
      </c>
      <c r="C26" s="557">
        <v>1</v>
      </c>
      <c r="D26" s="557">
        <v>9</v>
      </c>
      <c r="E26" s="557">
        <v>3</v>
      </c>
      <c r="F26" s="557">
        <v>3</v>
      </c>
      <c r="G26" s="557">
        <v>1</v>
      </c>
      <c r="H26" s="557">
        <f t="shared" si="8"/>
        <v>3</v>
      </c>
      <c r="I26" s="557">
        <f t="shared" si="9"/>
        <v>3</v>
      </c>
      <c r="J26" s="557">
        <f t="shared" si="10"/>
        <v>3</v>
      </c>
      <c r="K26" s="557">
        <f t="shared" si="11"/>
        <v>1</v>
      </c>
      <c r="L26" s="557">
        <f t="shared" si="12"/>
        <v>1</v>
      </c>
      <c r="M26" s="557">
        <f t="shared" si="13"/>
        <v>1</v>
      </c>
      <c r="N26" s="557">
        <f t="shared" si="14"/>
        <v>1</v>
      </c>
      <c r="O26" s="557">
        <f t="shared" si="14"/>
        <v>9</v>
      </c>
      <c r="P26" s="557">
        <f t="shared" si="15"/>
        <v>6.6733099999999999</v>
      </c>
      <c r="Q26" s="557">
        <v>1</v>
      </c>
      <c r="R26" s="557">
        <v>1</v>
      </c>
      <c r="S26" s="557">
        <v>1</v>
      </c>
      <c r="T26" s="641"/>
    </row>
    <row r="27" spans="1:20">
      <c r="A27" s="640">
        <f>'[7]PPT - HT'!A24</f>
        <v>2</v>
      </c>
      <c r="B27" s="557" t="str">
        <f>'[7]PPT - HT'!C24</f>
        <v>Tủ HT - DB1-HTC1</v>
      </c>
      <c r="C27" s="557">
        <v>1</v>
      </c>
      <c r="D27" s="557">
        <v>7</v>
      </c>
      <c r="E27" s="557">
        <v>2</v>
      </c>
      <c r="F27" s="557">
        <v>3</v>
      </c>
      <c r="G27" s="557">
        <v>1</v>
      </c>
      <c r="H27" s="557">
        <f t="shared" si="8"/>
        <v>2</v>
      </c>
      <c r="I27" s="557">
        <f t="shared" si="9"/>
        <v>2</v>
      </c>
      <c r="J27" s="557">
        <f t="shared" si="10"/>
        <v>2</v>
      </c>
      <c r="K27" s="557">
        <f t="shared" si="11"/>
        <v>1</v>
      </c>
      <c r="L27" s="557">
        <f t="shared" si="12"/>
        <v>1</v>
      </c>
      <c r="M27" s="557">
        <f t="shared" si="13"/>
        <v>1</v>
      </c>
      <c r="N27" s="557">
        <f t="shared" si="14"/>
        <v>1</v>
      </c>
      <c r="O27" s="557">
        <f t="shared" si="14"/>
        <v>7</v>
      </c>
      <c r="P27" s="557">
        <f t="shared" si="15"/>
        <v>5.7433099999999992</v>
      </c>
      <c r="Q27" s="557">
        <v>1</v>
      </c>
      <c r="R27" s="557">
        <v>1</v>
      </c>
      <c r="S27" s="557">
        <v>1</v>
      </c>
      <c r="T27" s="641"/>
    </row>
    <row r="28" spans="1:20">
      <c r="A28" s="640">
        <f>'[7]PPT - HT'!A25</f>
        <v>3</v>
      </c>
      <c r="B28" s="557" t="str">
        <f>'[7]PPT - HT'!C25</f>
        <v>Tủ HT - DB1-HTC1.1</v>
      </c>
      <c r="C28" s="557">
        <v>1</v>
      </c>
      <c r="D28" s="557">
        <v>8</v>
      </c>
      <c r="E28" s="557">
        <v>1</v>
      </c>
      <c r="F28" s="557">
        <v>3</v>
      </c>
      <c r="G28" s="557">
        <v>1</v>
      </c>
      <c r="H28" s="557">
        <f t="shared" si="8"/>
        <v>1</v>
      </c>
      <c r="I28" s="557">
        <f t="shared" si="9"/>
        <v>1</v>
      </c>
      <c r="J28" s="557">
        <f t="shared" si="10"/>
        <v>1</v>
      </c>
      <c r="K28" s="557">
        <f t="shared" si="11"/>
        <v>1</v>
      </c>
      <c r="L28" s="557">
        <f t="shared" si="12"/>
        <v>1</v>
      </c>
      <c r="M28" s="557">
        <f t="shared" si="13"/>
        <v>1</v>
      </c>
      <c r="N28" s="557">
        <f t="shared" si="14"/>
        <v>1</v>
      </c>
      <c r="O28" s="557">
        <f t="shared" si="14"/>
        <v>8</v>
      </c>
      <c r="P28" s="557">
        <f t="shared" si="15"/>
        <v>4.9633099999999999</v>
      </c>
      <c r="Q28" s="557">
        <v>1</v>
      </c>
      <c r="R28" s="557">
        <v>1</v>
      </c>
      <c r="S28" s="557">
        <v>1</v>
      </c>
      <c r="T28" s="641"/>
    </row>
    <row r="29" spans="1:20">
      <c r="A29" s="640">
        <f>'[7]PPT - HT'!A26</f>
        <v>4</v>
      </c>
      <c r="B29" s="557" t="str">
        <f>'[7]PPT - HT'!C26</f>
        <v>Tủ HT - DB1-HTC2</v>
      </c>
      <c r="C29" s="557">
        <v>1</v>
      </c>
      <c r="D29" s="557">
        <v>7</v>
      </c>
      <c r="E29" s="557">
        <v>2</v>
      </c>
      <c r="F29" s="557">
        <v>3</v>
      </c>
      <c r="G29" s="557">
        <v>1</v>
      </c>
      <c r="H29" s="557">
        <f t="shared" si="8"/>
        <v>2</v>
      </c>
      <c r="I29" s="557">
        <f t="shared" si="9"/>
        <v>2</v>
      </c>
      <c r="J29" s="557">
        <f t="shared" si="10"/>
        <v>2</v>
      </c>
      <c r="K29" s="557">
        <f t="shared" si="11"/>
        <v>1</v>
      </c>
      <c r="L29" s="557">
        <f t="shared" si="12"/>
        <v>1</v>
      </c>
      <c r="M29" s="557">
        <f t="shared" si="13"/>
        <v>1</v>
      </c>
      <c r="N29" s="557">
        <f t="shared" si="14"/>
        <v>1</v>
      </c>
      <c r="O29" s="557">
        <f t="shared" si="14"/>
        <v>7</v>
      </c>
      <c r="P29" s="557">
        <f t="shared" si="15"/>
        <v>5.7433099999999992</v>
      </c>
      <c r="Q29" s="557">
        <v>1</v>
      </c>
      <c r="R29" s="557">
        <v>1</v>
      </c>
      <c r="S29" s="557">
        <v>1</v>
      </c>
      <c r="T29" s="641"/>
    </row>
    <row r="30" spans="1:20">
      <c r="A30" s="640">
        <f>'[7]PPT - HT'!A27</f>
        <v>5</v>
      </c>
      <c r="B30" s="557" t="str">
        <f>'[7]PPT - HT'!C27</f>
        <v>Tủ HT - DB1-HTC2.1</v>
      </c>
      <c r="C30" s="557">
        <v>1</v>
      </c>
      <c r="D30" s="557">
        <v>8</v>
      </c>
      <c r="E30" s="557">
        <v>2</v>
      </c>
      <c r="F30" s="557">
        <v>3</v>
      </c>
      <c r="G30" s="557">
        <v>1</v>
      </c>
      <c r="H30" s="557">
        <f t="shared" si="8"/>
        <v>2</v>
      </c>
      <c r="I30" s="557">
        <f t="shared" si="9"/>
        <v>2</v>
      </c>
      <c r="J30" s="557">
        <f t="shared" si="10"/>
        <v>2</v>
      </c>
      <c r="K30" s="557">
        <f t="shared" si="11"/>
        <v>1</v>
      </c>
      <c r="L30" s="557">
        <f t="shared" si="12"/>
        <v>1</v>
      </c>
      <c r="M30" s="557">
        <f t="shared" si="13"/>
        <v>1</v>
      </c>
      <c r="N30" s="557">
        <f t="shared" si="14"/>
        <v>1</v>
      </c>
      <c r="O30" s="557">
        <f t="shared" si="14"/>
        <v>8</v>
      </c>
      <c r="P30" s="557">
        <f t="shared" si="15"/>
        <v>5.79331</v>
      </c>
      <c r="Q30" s="557">
        <v>1</v>
      </c>
      <c r="R30" s="557">
        <v>1</v>
      </c>
      <c r="S30" s="557">
        <v>1</v>
      </c>
      <c r="T30" s="641"/>
    </row>
    <row r="31" spans="1:20">
      <c r="A31" s="640">
        <f>'[7]PPT - HT'!A28</f>
        <v>6</v>
      </c>
      <c r="B31" s="557" t="str">
        <f>'[7]PPT - HT'!C28</f>
        <v>Tủ HT - DB1-HTC2.2</v>
      </c>
      <c r="C31" s="557">
        <v>1</v>
      </c>
      <c r="D31" s="557">
        <v>9</v>
      </c>
      <c r="E31" s="557">
        <v>1</v>
      </c>
      <c r="F31" s="557">
        <v>3</v>
      </c>
      <c r="G31" s="557">
        <v>1</v>
      </c>
      <c r="H31" s="557">
        <f t="shared" si="8"/>
        <v>1</v>
      </c>
      <c r="I31" s="557">
        <f t="shared" si="9"/>
        <v>1</v>
      </c>
      <c r="J31" s="557">
        <f t="shared" si="10"/>
        <v>1</v>
      </c>
      <c r="K31" s="557">
        <f t="shared" si="11"/>
        <v>1</v>
      </c>
      <c r="L31" s="557">
        <f t="shared" si="12"/>
        <v>1</v>
      </c>
      <c r="M31" s="557">
        <f t="shared" si="13"/>
        <v>1</v>
      </c>
      <c r="N31" s="557">
        <f t="shared" si="14"/>
        <v>1</v>
      </c>
      <c r="O31" s="557">
        <f t="shared" si="14"/>
        <v>9</v>
      </c>
      <c r="P31" s="557">
        <f t="shared" si="15"/>
        <v>5.0133099999999997</v>
      </c>
      <c r="Q31" s="557">
        <v>1</v>
      </c>
      <c r="R31" s="557">
        <v>1</v>
      </c>
      <c r="S31" s="557">
        <v>1</v>
      </c>
      <c r="T31" s="641"/>
    </row>
    <row r="32" spans="1:20">
      <c r="A32" s="640"/>
      <c r="B32" s="557"/>
      <c r="C32" s="557"/>
      <c r="D32" s="557"/>
      <c r="E32" s="557"/>
      <c r="F32" s="557"/>
      <c r="G32" s="557"/>
      <c r="H32" s="557"/>
      <c r="I32" s="557"/>
      <c r="J32" s="557"/>
      <c r="K32" s="557"/>
      <c r="L32" s="557"/>
      <c r="M32" s="557"/>
      <c r="N32" s="557"/>
      <c r="O32" s="557"/>
      <c r="P32" s="557"/>
      <c r="Q32" s="557"/>
      <c r="R32" s="557"/>
      <c r="S32" s="557"/>
      <c r="T32" s="641"/>
    </row>
    <row r="33" spans="1:20" s="567" customFormat="1">
      <c r="A33" s="638" t="str">
        <f>'[7]PPT - HT'!A30</f>
        <v>B</v>
      </c>
      <c r="B33" s="569" t="str">
        <f>'[7]PPT - HT'!B30</f>
        <v>TRẠM BIẾN ÁP T2 - 1500KVA</v>
      </c>
      <c r="C33" s="569"/>
      <c r="D33" s="569"/>
      <c r="E33" s="569"/>
      <c r="F33" s="557"/>
      <c r="G33" s="557"/>
      <c r="H33" s="557"/>
      <c r="I33" s="557"/>
      <c r="J33" s="557"/>
      <c r="K33" s="557"/>
      <c r="L33" s="557"/>
      <c r="M33" s="557"/>
      <c r="N33" s="557"/>
      <c r="O33" s="557"/>
      <c r="P33" s="557"/>
      <c r="Q33" s="557"/>
      <c r="R33" s="557"/>
      <c r="S33" s="557"/>
      <c r="T33" s="639"/>
    </row>
    <row r="34" spans="1:20" s="567" customFormat="1">
      <c r="A34" s="638" t="str">
        <f>'[7]PPT - HT'!A31</f>
        <v>I</v>
      </c>
      <c r="B34" s="569" t="str">
        <f>'[7]PPT - HT'!B31</f>
        <v>Đường dây hạ thế nhánh A (TBA 1500kVA XDM)</v>
      </c>
      <c r="C34" s="569"/>
      <c r="D34" s="569"/>
      <c r="E34" s="569"/>
      <c r="F34" s="557"/>
      <c r="G34" s="557"/>
      <c r="H34" s="557"/>
      <c r="I34" s="557"/>
      <c r="J34" s="557"/>
      <c r="K34" s="557"/>
      <c r="L34" s="557"/>
      <c r="M34" s="557"/>
      <c r="N34" s="557"/>
      <c r="O34" s="557"/>
      <c r="P34" s="557"/>
      <c r="Q34" s="557"/>
      <c r="R34" s="557"/>
      <c r="S34" s="557"/>
      <c r="T34" s="639"/>
    </row>
    <row r="35" spans="1:20">
      <c r="A35" s="640">
        <f>'[7]PPT - HT'!A32</f>
        <v>1</v>
      </c>
      <c r="B35" s="557" t="str">
        <f>'[7]PPT - HT'!C32</f>
        <v>Tủ điện DB2-HTA</v>
      </c>
      <c r="C35" s="557">
        <v>1</v>
      </c>
      <c r="D35" s="557">
        <v>8</v>
      </c>
      <c r="E35" s="557">
        <v>3</v>
      </c>
      <c r="F35" s="557">
        <v>3</v>
      </c>
      <c r="G35" s="557">
        <v>1</v>
      </c>
      <c r="H35" s="557">
        <f t="shared" si="8"/>
        <v>3</v>
      </c>
      <c r="I35" s="557">
        <f t="shared" si="9"/>
        <v>3</v>
      </c>
      <c r="J35" s="557">
        <f t="shared" si="10"/>
        <v>3</v>
      </c>
      <c r="K35" s="557">
        <f t="shared" si="11"/>
        <v>1</v>
      </c>
      <c r="L35" s="557">
        <f t="shared" si="12"/>
        <v>1</v>
      </c>
      <c r="M35" s="557">
        <f t="shared" si="13"/>
        <v>1</v>
      </c>
      <c r="N35" s="557">
        <f t="shared" si="14"/>
        <v>1</v>
      </c>
      <c r="O35" s="557">
        <f t="shared" si="14"/>
        <v>8</v>
      </c>
      <c r="P35" s="557">
        <f t="shared" si="15"/>
        <v>6.62331</v>
      </c>
      <c r="Q35" s="557">
        <v>1</v>
      </c>
      <c r="R35" s="557">
        <v>1</v>
      </c>
      <c r="S35" s="557">
        <v>1</v>
      </c>
      <c r="T35" s="641"/>
    </row>
    <row r="36" spans="1:20">
      <c r="A36" s="640">
        <f>'[7]PPT - HT'!A33</f>
        <v>2</v>
      </c>
      <c r="B36" s="557" t="str">
        <f>'[7]PPT - HT'!C33</f>
        <v>Tủ điện DB2-HTA1</v>
      </c>
      <c r="C36" s="557">
        <v>1</v>
      </c>
      <c r="D36" s="557">
        <v>8</v>
      </c>
      <c r="E36" s="557">
        <v>1</v>
      </c>
      <c r="F36" s="557">
        <v>3</v>
      </c>
      <c r="G36" s="557">
        <v>1</v>
      </c>
      <c r="H36" s="557">
        <f t="shared" si="8"/>
        <v>1</v>
      </c>
      <c r="I36" s="557">
        <f t="shared" si="9"/>
        <v>1</v>
      </c>
      <c r="J36" s="557">
        <f t="shared" si="10"/>
        <v>1</v>
      </c>
      <c r="K36" s="557">
        <f t="shared" si="11"/>
        <v>1</v>
      </c>
      <c r="L36" s="557">
        <f t="shared" si="12"/>
        <v>1</v>
      </c>
      <c r="M36" s="557">
        <f t="shared" si="13"/>
        <v>1</v>
      </c>
      <c r="N36" s="557">
        <f t="shared" si="14"/>
        <v>1</v>
      </c>
      <c r="O36" s="557">
        <f t="shared" si="14"/>
        <v>8</v>
      </c>
      <c r="P36" s="557">
        <f t="shared" si="15"/>
        <v>4.9633099999999999</v>
      </c>
      <c r="Q36" s="557">
        <v>1</v>
      </c>
      <c r="R36" s="557">
        <v>1</v>
      </c>
      <c r="S36" s="557">
        <v>1</v>
      </c>
      <c r="T36" s="641"/>
    </row>
    <row r="37" spans="1:20">
      <c r="A37" s="640">
        <f>'[7]PPT - HT'!A34</f>
        <v>3</v>
      </c>
      <c r="B37" s="557" t="str">
        <f>'[7]PPT - HT'!C34</f>
        <v>Tủ điện DB2-HTA2</v>
      </c>
      <c r="C37" s="557">
        <v>1</v>
      </c>
      <c r="D37" s="557">
        <v>8</v>
      </c>
      <c r="E37" s="557">
        <v>2</v>
      </c>
      <c r="F37" s="557">
        <v>3</v>
      </c>
      <c r="G37" s="557">
        <v>1</v>
      </c>
      <c r="H37" s="557">
        <f t="shared" si="8"/>
        <v>2</v>
      </c>
      <c r="I37" s="557">
        <f t="shared" si="9"/>
        <v>2</v>
      </c>
      <c r="J37" s="557">
        <f t="shared" si="10"/>
        <v>2</v>
      </c>
      <c r="K37" s="557">
        <f t="shared" si="11"/>
        <v>1</v>
      </c>
      <c r="L37" s="557">
        <f t="shared" si="12"/>
        <v>1</v>
      </c>
      <c r="M37" s="557">
        <f t="shared" si="13"/>
        <v>1</v>
      </c>
      <c r="N37" s="557">
        <f t="shared" si="14"/>
        <v>1</v>
      </c>
      <c r="O37" s="557">
        <f t="shared" si="14"/>
        <v>8</v>
      </c>
      <c r="P37" s="557">
        <f t="shared" si="15"/>
        <v>5.79331</v>
      </c>
      <c r="Q37" s="557">
        <v>1</v>
      </c>
      <c r="R37" s="557">
        <v>1</v>
      </c>
      <c r="S37" s="557">
        <v>1</v>
      </c>
      <c r="T37" s="641"/>
    </row>
    <row r="38" spans="1:20">
      <c r="A38" s="640">
        <f>'[7]PPT - HT'!A35</f>
        <v>4</v>
      </c>
      <c r="B38" s="557" t="str">
        <f>'[7]PPT - HT'!C35</f>
        <v>Tủ điện DB2-HTA2.1</v>
      </c>
      <c r="C38" s="557">
        <v>1</v>
      </c>
      <c r="D38" s="557">
        <v>8</v>
      </c>
      <c r="E38" s="557">
        <v>1</v>
      </c>
      <c r="F38" s="557">
        <v>3</v>
      </c>
      <c r="G38" s="557">
        <v>1</v>
      </c>
      <c r="H38" s="557">
        <f t="shared" si="8"/>
        <v>1</v>
      </c>
      <c r="I38" s="557">
        <f t="shared" si="9"/>
        <v>1</v>
      </c>
      <c r="J38" s="557">
        <f t="shared" si="10"/>
        <v>1</v>
      </c>
      <c r="K38" s="557">
        <f t="shared" si="11"/>
        <v>1</v>
      </c>
      <c r="L38" s="557">
        <f t="shared" si="12"/>
        <v>1</v>
      </c>
      <c r="M38" s="557">
        <f t="shared" si="13"/>
        <v>1</v>
      </c>
      <c r="N38" s="557">
        <f t="shared" si="14"/>
        <v>1</v>
      </c>
      <c r="O38" s="557">
        <f t="shared" si="14"/>
        <v>8</v>
      </c>
      <c r="P38" s="557">
        <f t="shared" si="15"/>
        <v>4.9633099999999999</v>
      </c>
      <c r="Q38" s="557">
        <v>1</v>
      </c>
      <c r="R38" s="557">
        <v>1</v>
      </c>
      <c r="S38" s="557">
        <v>1</v>
      </c>
      <c r="T38" s="641"/>
    </row>
    <row r="39" spans="1:20" s="567" customFormat="1">
      <c r="A39" s="638" t="str">
        <f>'[7]PPT - HT'!A36</f>
        <v>II</v>
      </c>
      <c r="B39" s="569" t="str">
        <f>'[7]PPT - HT'!B36</f>
        <v>Đường dây hạ thế nhánh B (TBA 1500kVA XDM)</v>
      </c>
      <c r="C39" s="569"/>
      <c r="D39" s="569"/>
      <c r="E39" s="569"/>
      <c r="F39" s="557"/>
      <c r="G39" s="557"/>
      <c r="H39" s="557"/>
      <c r="I39" s="557"/>
      <c r="J39" s="557"/>
      <c r="K39" s="557"/>
      <c r="L39" s="557"/>
      <c r="M39" s="557"/>
      <c r="N39" s="557"/>
      <c r="O39" s="557"/>
      <c r="P39" s="557"/>
      <c r="Q39" s="557"/>
      <c r="R39" s="557"/>
      <c r="S39" s="557"/>
      <c r="T39" s="639"/>
    </row>
    <row r="40" spans="1:20">
      <c r="A40" s="640">
        <f>'[7]PPT - HT'!A37</f>
        <v>1</v>
      </c>
      <c r="B40" s="557" t="str">
        <f>'[7]PPT - HT'!C37</f>
        <v>Tủ điện DB2-HTB</v>
      </c>
      <c r="C40" s="557">
        <v>1</v>
      </c>
      <c r="D40" s="557">
        <v>12</v>
      </c>
      <c r="E40" s="557">
        <v>5</v>
      </c>
      <c r="F40" s="557">
        <v>3</v>
      </c>
      <c r="G40" s="557">
        <v>1</v>
      </c>
      <c r="H40" s="557">
        <f t="shared" si="8"/>
        <v>5</v>
      </c>
      <c r="I40" s="557">
        <f t="shared" si="9"/>
        <v>5</v>
      </c>
      <c r="J40" s="557">
        <f t="shared" si="10"/>
        <v>5</v>
      </c>
      <c r="K40" s="557">
        <f t="shared" si="11"/>
        <v>1</v>
      </c>
      <c r="L40" s="557">
        <f t="shared" si="12"/>
        <v>1</v>
      </c>
      <c r="M40" s="557">
        <f t="shared" si="13"/>
        <v>1</v>
      </c>
      <c r="N40" s="557">
        <f t="shared" si="14"/>
        <v>1</v>
      </c>
      <c r="O40" s="557">
        <f t="shared" si="14"/>
        <v>12</v>
      </c>
      <c r="P40" s="557">
        <f t="shared" si="15"/>
        <v>8.4833099999999995</v>
      </c>
      <c r="Q40" s="557">
        <v>1</v>
      </c>
      <c r="R40" s="557">
        <v>1</v>
      </c>
      <c r="S40" s="557">
        <v>1</v>
      </c>
      <c r="T40" s="641"/>
    </row>
    <row r="41" spans="1:20">
      <c r="A41" s="640">
        <f>'[7]PPT - HT'!A38</f>
        <v>2</v>
      </c>
      <c r="B41" s="557" t="str">
        <f>'[7]PPT - HT'!C38</f>
        <v>Tủ điện DB2-HTB1</v>
      </c>
      <c r="C41" s="557">
        <v>1</v>
      </c>
      <c r="D41" s="557">
        <v>6</v>
      </c>
      <c r="E41" s="557">
        <v>1</v>
      </c>
      <c r="F41" s="557">
        <v>3</v>
      </c>
      <c r="G41" s="557">
        <v>1</v>
      </c>
      <c r="H41" s="557">
        <f t="shared" si="8"/>
        <v>1</v>
      </c>
      <c r="I41" s="557">
        <f t="shared" si="9"/>
        <v>1</v>
      </c>
      <c r="J41" s="557">
        <f t="shared" si="10"/>
        <v>1</v>
      </c>
      <c r="K41" s="557">
        <f t="shared" si="11"/>
        <v>1</v>
      </c>
      <c r="L41" s="557">
        <f t="shared" si="12"/>
        <v>1</v>
      </c>
      <c r="M41" s="557">
        <f t="shared" si="13"/>
        <v>1</v>
      </c>
      <c r="N41" s="557">
        <f t="shared" si="14"/>
        <v>1</v>
      </c>
      <c r="O41" s="557">
        <f t="shared" si="14"/>
        <v>6</v>
      </c>
      <c r="P41" s="557">
        <f t="shared" si="15"/>
        <v>4.8633099999999994</v>
      </c>
      <c r="Q41" s="557">
        <v>1</v>
      </c>
      <c r="R41" s="557">
        <v>1</v>
      </c>
      <c r="S41" s="557">
        <v>1</v>
      </c>
      <c r="T41" s="641"/>
    </row>
    <row r="42" spans="1:20">
      <c r="A42" s="640">
        <f>'[7]PPT - HT'!A39</f>
        <v>3</v>
      </c>
      <c r="B42" s="557" t="str">
        <f>'[7]PPT - HT'!C39</f>
        <v>Tủ điện DB2-HTB2</v>
      </c>
      <c r="C42" s="557">
        <v>1</v>
      </c>
      <c r="D42" s="557">
        <v>6</v>
      </c>
      <c r="E42" s="557">
        <v>2</v>
      </c>
      <c r="F42" s="557">
        <v>3</v>
      </c>
      <c r="G42" s="557">
        <v>1</v>
      </c>
      <c r="H42" s="557">
        <f t="shared" si="8"/>
        <v>2</v>
      </c>
      <c r="I42" s="557">
        <f t="shared" si="9"/>
        <v>2</v>
      </c>
      <c r="J42" s="557">
        <f t="shared" si="10"/>
        <v>2</v>
      </c>
      <c r="K42" s="557">
        <f t="shared" si="11"/>
        <v>1</v>
      </c>
      <c r="L42" s="557">
        <f t="shared" si="12"/>
        <v>1</v>
      </c>
      <c r="M42" s="557">
        <f t="shared" si="13"/>
        <v>1</v>
      </c>
      <c r="N42" s="557">
        <f t="shared" si="14"/>
        <v>1</v>
      </c>
      <c r="O42" s="557">
        <f t="shared" si="14"/>
        <v>6</v>
      </c>
      <c r="P42" s="557">
        <f t="shared" si="15"/>
        <v>5.6933099999999994</v>
      </c>
      <c r="Q42" s="557">
        <v>1</v>
      </c>
      <c r="R42" s="557">
        <v>1</v>
      </c>
      <c r="S42" s="557">
        <v>1</v>
      </c>
      <c r="T42" s="641"/>
    </row>
    <row r="43" spans="1:20">
      <c r="A43" s="640">
        <f>'[7]PPT - HT'!A40</f>
        <v>4</v>
      </c>
      <c r="B43" s="557" t="str">
        <f>'[7]PPT - HT'!C40</f>
        <v>Tủ điện DB2-HTB2.1</v>
      </c>
      <c r="C43" s="557">
        <v>1</v>
      </c>
      <c r="D43" s="557">
        <v>12</v>
      </c>
      <c r="E43" s="557">
        <v>1</v>
      </c>
      <c r="F43" s="557">
        <v>3</v>
      </c>
      <c r="G43" s="557">
        <v>1</v>
      </c>
      <c r="H43" s="557">
        <f t="shared" si="8"/>
        <v>1</v>
      </c>
      <c r="I43" s="557">
        <f t="shared" si="9"/>
        <v>1</v>
      </c>
      <c r="J43" s="557">
        <f t="shared" si="10"/>
        <v>1</v>
      </c>
      <c r="K43" s="557">
        <f t="shared" si="11"/>
        <v>1</v>
      </c>
      <c r="L43" s="557">
        <f t="shared" si="12"/>
        <v>1</v>
      </c>
      <c r="M43" s="557">
        <f t="shared" si="13"/>
        <v>1</v>
      </c>
      <c r="N43" s="557">
        <f t="shared" si="14"/>
        <v>1</v>
      </c>
      <c r="O43" s="557">
        <f t="shared" si="14"/>
        <v>12</v>
      </c>
      <c r="P43" s="557">
        <f t="shared" si="15"/>
        <v>5.1633099999999992</v>
      </c>
      <c r="Q43" s="557">
        <v>1</v>
      </c>
      <c r="R43" s="557">
        <v>1</v>
      </c>
      <c r="S43" s="557">
        <v>1</v>
      </c>
      <c r="T43" s="641"/>
    </row>
    <row r="44" spans="1:20">
      <c r="A44" s="640">
        <f>'[7]PPT - HT'!A41</f>
        <v>5</v>
      </c>
      <c r="B44" s="557" t="str">
        <f>'[7]PPT - HT'!C41</f>
        <v>Tủ điện DB2-HTB3</v>
      </c>
      <c r="C44" s="557">
        <v>1</v>
      </c>
      <c r="D44" s="557">
        <v>6</v>
      </c>
      <c r="E44" s="557">
        <v>3</v>
      </c>
      <c r="F44" s="557">
        <v>3</v>
      </c>
      <c r="G44" s="557">
        <v>1</v>
      </c>
      <c r="H44" s="557">
        <f t="shared" si="8"/>
        <v>3</v>
      </c>
      <c r="I44" s="557">
        <f t="shared" si="9"/>
        <v>3</v>
      </c>
      <c r="J44" s="557">
        <f t="shared" si="10"/>
        <v>3</v>
      </c>
      <c r="K44" s="557">
        <f t="shared" si="11"/>
        <v>1</v>
      </c>
      <c r="L44" s="557">
        <f t="shared" si="12"/>
        <v>1</v>
      </c>
      <c r="M44" s="557">
        <f t="shared" si="13"/>
        <v>1</v>
      </c>
      <c r="N44" s="557">
        <f t="shared" si="14"/>
        <v>1</v>
      </c>
      <c r="O44" s="557">
        <f t="shared" si="14"/>
        <v>6</v>
      </c>
      <c r="P44" s="557">
        <f t="shared" si="15"/>
        <v>6.5233099999999995</v>
      </c>
      <c r="Q44" s="557">
        <v>1</v>
      </c>
      <c r="R44" s="557">
        <v>1</v>
      </c>
      <c r="S44" s="557">
        <v>1</v>
      </c>
      <c r="T44" s="641"/>
    </row>
    <row r="45" spans="1:20">
      <c r="A45" s="640">
        <f>'[7]PPT - HT'!A42</f>
        <v>6</v>
      </c>
      <c r="B45" s="557" t="str">
        <f>'[7]PPT - HT'!C42</f>
        <v>Tủ điện DB2-HTB3.1</v>
      </c>
      <c r="C45" s="557">
        <v>1</v>
      </c>
      <c r="D45" s="557">
        <v>12</v>
      </c>
      <c r="E45" s="557">
        <v>1</v>
      </c>
      <c r="F45" s="557">
        <v>3</v>
      </c>
      <c r="G45" s="557">
        <v>1</v>
      </c>
      <c r="H45" s="557">
        <f t="shared" si="8"/>
        <v>1</v>
      </c>
      <c r="I45" s="557">
        <f t="shared" si="9"/>
        <v>1</v>
      </c>
      <c r="J45" s="557">
        <f t="shared" si="10"/>
        <v>1</v>
      </c>
      <c r="K45" s="557">
        <f t="shared" si="11"/>
        <v>1</v>
      </c>
      <c r="L45" s="557">
        <f t="shared" si="12"/>
        <v>1</v>
      </c>
      <c r="M45" s="557">
        <f t="shared" si="13"/>
        <v>1</v>
      </c>
      <c r="N45" s="557">
        <f t="shared" si="14"/>
        <v>1</v>
      </c>
      <c r="O45" s="557">
        <f t="shared" si="14"/>
        <v>12</v>
      </c>
      <c r="P45" s="557">
        <f t="shared" si="15"/>
        <v>5.1633099999999992</v>
      </c>
      <c r="Q45" s="557">
        <v>1</v>
      </c>
      <c r="R45" s="557">
        <v>1</v>
      </c>
      <c r="S45" s="557">
        <v>1</v>
      </c>
      <c r="T45" s="641"/>
    </row>
    <row r="46" spans="1:20">
      <c r="A46" s="640">
        <f>'[7]PPT - HT'!A43</f>
        <v>7</v>
      </c>
      <c r="B46" s="557" t="str">
        <f>'[7]PPT - HT'!C43</f>
        <v>Tủ điện DB2-HTB3.2</v>
      </c>
      <c r="C46" s="557">
        <v>1</v>
      </c>
      <c r="D46" s="557">
        <v>12</v>
      </c>
      <c r="E46" s="557">
        <v>2</v>
      </c>
      <c r="F46" s="557">
        <v>3</v>
      </c>
      <c r="G46" s="557">
        <v>1</v>
      </c>
      <c r="H46" s="557">
        <f t="shared" si="8"/>
        <v>2</v>
      </c>
      <c r="I46" s="557">
        <f t="shared" si="9"/>
        <v>2</v>
      </c>
      <c r="J46" s="557">
        <f t="shared" si="10"/>
        <v>2</v>
      </c>
      <c r="K46" s="557">
        <f t="shared" si="11"/>
        <v>1</v>
      </c>
      <c r="L46" s="557">
        <f t="shared" si="12"/>
        <v>1</v>
      </c>
      <c r="M46" s="557">
        <f t="shared" si="13"/>
        <v>1</v>
      </c>
      <c r="N46" s="557">
        <f t="shared" si="14"/>
        <v>1</v>
      </c>
      <c r="O46" s="557">
        <f t="shared" si="14"/>
        <v>12</v>
      </c>
      <c r="P46" s="557">
        <f t="shared" si="15"/>
        <v>5.9933099999999992</v>
      </c>
      <c r="Q46" s="557">
        <v>1</v>
      </c>
      <c r="R46" s="557">
        <v>1</v>
      </c>
      <c r="S46" s="557">
        <v>1</v>
      </c>
      <c r="T46" s="641"/>
    </row>
    <row r="47" spans="1:20">
      <c r="A47" s="640">
        <f>'[7]PPT - HT'!A44</f>
        <v>8</v>
      </c>
      <c r="B47" s="557" t="str">
        <f>'[7]PPT - HT'!C44</f>
        <v>Tủ điện DB2-HTB3.3</v>
      </c>
      <c r="C47" s="557">
        <v>1</v>
      </c>
      <c r="D47" s="557">
        <v>6</v>
      </c>
      <c r="E47" s="557">
        <v>1</v>
      </c>
      <c r="F47" s="557">
        <v>3</v>
      </c>
      <c r="G47" s="557">
        <v>1</v>
      </c>
      <c r="H47" s="557">
        <f t="shared" si="8"/>
        <v>1</v>
      </c>
      <c r="I47" s="557">
        <f t="shared" si="9"/>
        <v>1</v>
      </c>
      <c r="J47" s="557">
        <f t="shared" si="10"/>
        <v>1</v>
      </c>
      <c r="K47" s="557">
        <f t="shared" si="11"/>
        <v>1</v>
      </c>
      <c r="L47" s="557">
        <f t="shared" si="12"/>
        <v>1</v>
      </c>
      <c r="M47" s="557">
        <f t="shared" si="13"/>
        <v>1</v>
      </c>
      <c r="N47" s="557">
        <f t="shared" si="14"/>
        <v>1</v>
      </c>
      <c r="O47" s="557">
        <f t="shared" si="14"/>
        <v>6</v>
      </c>
      <c r="P47" s="557">
        <f t="shared" si="15"/>
        <v>4.8633099999999994</v>
      </c>
      <c r="Q47" s="557">
        <v>1</v>
      </c>
      <c r="R47" s="557">
        <v>1</v>
      </c>
      <c r="S47" s="557">
        <v>1</v>
      </c>
      <c r="T47" s="641"/>
    </row>
    <row r="48" spans="1:20">
      <c r="A48" s="640">
        <f>'[7]PPT - HT'!A45</f>
        <v>9</v>
      </c>
      <c r="B48" s="557" t="str">
        <f>'[7]PPT - HT'!C45</f>
        <v>Tủ điện DB2-HTB4</v>
      </c>
      <c r="C48" s="557">
        <v>1</v>
      </c>
      <c r="D48" s="557">
        <v>9</v>
      </c>
      <c r="E48" s="557">
        <v>3</v>
      </c>
      <c r="F48" s="557">
        <v>3</v>
      </c>
      <c r="G48" s="557">
        <v>1</v>
      </c>
      <c r="H48" s="557">
        <f t="shared" si="8"/>
        <v>3</v>
      </c>
      <c r="I48" s="557">
        <f t="shared" si="9"/>
        <v>3</v>
      </c>
      <c r="J48" s="557">
        <f t="shared" si="10"/>
        <v>3</v>
      </c>
      <c r="K48" s="557">
        <f t="shared" si="11"/>
        <v>1</v>
      </c>
      <c r="L48" s="557">
        <f t="shared" si="12"/>
        <v>1</v>
      </c>
      <c r="M48" s="557">
        <f t="shared" si="13"/>
        <v>1</v>
      </c>
      <c r="N48" s="557">
        <f t="shared" si="14"/>
        <v>1</v>
      </c>
      <c r="O48" s="557">
        <f t="shared" si="14"/>
        <v>9</v>
      </c>
      <c r="P48" s="557">
        <f t="shared" si="15"/>
        <v>6.6733099999999999</v>
      </c>
      <c r="Q48" s="557">
        <v>1</v>
      </c>
      <c r="R48" s="557">
        <v>1</v>
      </c>
      <c r="S48" s="557">
        <v>1</v>
      </c>
      <c r="T48" s="641"/>
    </row>
    <row r="49" spans="1:20">
      <c r="A49" s="640">
        <f>'[7]PPT - HT'!A46</f>
        <v>10</v>
      </c>
      <c r="B49" s="557" t="str">
        <f>'[7]PPT - HT'!C46</f>
        <v>Tủ điện DB2-HTB4.1</v>
      </c>
      <c r="C49" s="557">
        <v>1</v>
      </c>
      <c r="D49" s="557">
        <v>9</v>
      </c>
      <c r="E49" s="557">
        <v>1</v>
      </c>
      <c r="F49" s="557">
        <v>3</v>
      </c>
      <c r="G49" s="557">
        <v>1</v>
      </c>
      <c r="H49" s="557">
        <f t="shared" si="8"/>
        <v>1</v>
      </c>
      <c r="I49" s="557">
        <f t="shared" si="9"/>
        <v>1</v>
      </c>
      <c r="J49" s="557">
        <f t="shared" si="10"/>
        <v>1</v>
      </c>
      <c r="K49" s="557">
        <f t="shared" si="11"/>
        <v>1</v>
      </c>
      <c r="L49" s="557">
        <f t="shared" si="12"/>
        <v>1</v>
      </c>
      <c r="M49" s="557">
        <f t="shared" si="13"/>
        <v>1</v>
      </c>
      <c r="N49" s="557">
        <f t="shared" si="14"/>
        <v>1</v>
      </c>
      <c r="O49" s="557">
        <f t="shared" si="14"/>
        <v>9</v>
      </c>
      <c r="P49" s="557">
        <f t="shared" si="15"/>
        <v>5.0133099999999997</v>
      </c>
      <c r="Q49" s="557">
        <v>1</v>
      </c>
      <c r="R49" s="557">
        <v>1</v>
      </c>
      <c r="S49" s="557">
        <v>1</v>
      </c>
      <c r="T49" s="641"/>
    </row>
    <row r="50" spans="1:20">
      <c r="A50" s="640">
        <f>'[7]PPT - HT'!A47</f>
        <v>11</v>
      </c>
      <c r="B50" s="557" t="str">
        <f>'[7]PPT - HT'!C47</f>
        <v>Tủ điện DB2-HTB4.2</v>
      </c>
      <c r="C50" s="557">
        <v>1</v>
      </c>
      <c r="D50" s="557">
        <v>9</v>
      </c>
      <c r="E50" s="557">
        <v>2</v>
      </c>
      <c r="F50" s="557">
        <v>3</v>
      </c>
      <c r="G50" s="557">
        <v>1</v>
      </c>
      <c r="H50" s="557">
        <f t="shared" si="8"/>
        <v>2</v>
      </c>
      <c r="I50" s="557">
        <f t="shared" si="9"/>
        <v>2</v>
      </c>
      <c r="J50" s="557">
        <f t="shared" si="10"/>
        <v>2</v>
      </c>
      <c r="K50" s="557">
        <f t="shared" si="11"/>
        <v>1</v>
      </c>
      <c r="L50" s="557">
        <f t="shared" si="12"/>
        <v>1</v>
      </c>
      <c r="M50" s="557">
        <f t="shared" si="13"/>
        <v>1</v>
      </c>
      <c r="N50" s="557">
        <f t="shared" si="14"/>
        <v>1</v>
      </c>
      <c r="O50" s="557">
        <f t="shared" si="14"/>
        <v>9</v>
      </c>
      <c r="P50" s="557">
        <f t="shared" si="15"/>
        <v>5.8433099999999998</v>
      </c>
      <c r="Q50" s="557">
        <v>1</v>
      </c>
      <c r="R50" s="557">
        <v>1</v>
      </c>
      <c r="S50" s="557">
        <v>1</v>
      </c>
      <c r="T50" s="641"/>
    </row>
    <row r="51" spans="1:20">
      <c r="A51" s="640">
        <f>'[7]PPT - HT'!A48</f>
        <v>12</v>
      </c>
      <c r="B51" s="557" t="str">
        <f>'[7]PPT - HT'!C48</f>
        <v>Tủ điện DB2-HTB4.3</v>
      </c>
      <c r="C51" s="557">
        <v>1</v>
      </c>
      <c r="D51" s="557">
        <v>9</v>
      </c>
      <c r="E51" s="557">
        <v>1</v>
      </c>
      <c r="F51" s="557">
        <v>3</v>
      </c>
      <c r="G51" s="557">
        <v>1</v>
      </c>
      <c r="H51" s="557">
        <f t="shared" si="8"/>
        <v>1</v>
      </c>
      <c r="I51" s="557">
        <f t="shared" si="9"/>
        <v>1</v>
      </c>
      <c r="J51" s="557">
        <f t="shared" si="10"/>
        <v>1</v>
      </c>
      <c r="K51" s="557">
        <f t="shared" si="11"/>
        <v>1</v>
      </c>
      <c r="L51" s="557">
        <f t="shared" si="12"/>
        <v>1</v>
      </c>
      <c r="M51" s="557">
        <f t="shared" si="13"/>
        <v>1</v>
      </c>
      <c r="N51" s="557">
        <f t="shared" si="14"/>
        <v>1</v>
      </c>
      <c r="O51" s="557">
        <f t="shared" si="14"/>
        <v>9</v>
      </c>
      <c r="P51" s="557">
        <f t="shared" si="15"/>
        <v>5.0133099999999997</v>
      </c>
      <c r="Q51" s="557">
        <v>1</v>
      </c>
      <c r="R51" s="557">
        <v>1</v>
      </c>
      <c r="S51" s="557">
        <v>1</v>
      </c>
      <c r="T51" s="641"/>
    </row>
    <row r="52" spans="1:20" s="567" customFormat="1">
      <c r="A52" s="638" t="str">
        <f>'[7]PPT - HT'!A49</f>
        <v>III</v>
      </c>
      <c r="B52" s="569" t="str">
        <f>'[7]PPT - HT'!B49</f>
        <v>Đường dây hạ thế nhánh C (TBA 1500kVA XDM)</v>
      </c>
      <c r="C52" s="569"/>
      <c r="D52" s="569"/>
      <c r="E52" s="569"/>
      <c r="F52" s="557"/>
      <c r="G52" s="557"/>
      <c r="H52" s="557"/>
      <c r="I52" s="557"/>
      <c r="J52" s="557"/>
      <c r="K52" s="557"/>
      <c r="L52" s="557"/>
      <c r="M52" s="557"/>
      <c r="N52" s="557"/>
      <c r="O52" s="557"/>
      <c r="P52" s="557"/>
      <c r="Q52" s="557"/>
      <c r="R52" s="557"/>
      <c r="S52" s="557"/>
      <c r="T52" s="639"/>
    </row>
    <row r="53" spans="1:20">
      <c r="A53" s="640">
        <f>'[7]PPT - HT'!A50</f>
        <v>1</v>
      </c>
      <c r="B53" s="557" t="str">
        <f>'[7]PPT - HT'!C50</f>
        <v>Tủ điện DB2-HTC</v>
      </c>
      <c r="C53" s="557">
        <v>1</v>
      </c>
      <c r="D53" s="557">
        <v>9</v>
      </c>
      <c r="E53" s="557">
        <v>4</v>
      </c>
      <c r="F53" s="557">
        <v>3</v>
      </c>
      <c r="G53" s="557">
        <v>1</v>
      </c>
      <c r="H53" s="557">
        <f t="shared" si="8"/>
        <v>4</v>
      </c>
      <c r="I53" s="557">
        <f t="shared" si="9"/>
        <v>4</v>
      </c>
      <c r="J53" s="557">
        <f t="shared" si="10"/>
        <v>4</v>
      </c>
      <c r="K53" s="557">
        <f t="shared" si="11"/>
        <v>1</v>
      </c>
      <c r="L53" s="557">
        <f t="shared" si="12"/>
        <v>1</v>
      </c>
      <c r="M53" s="557">
        <f t="shared" si="13"/>
        <v>1</v>
      </c>
      <c r="N53" s="557">
        <f t="shared" si="14"/>
        <v>1</v>
      </c>
      <c r="O53" s="557">
        <f t="shared" si="14"/>
        <v>9</v>
      </c>
      <c r="P53" s="557">
        <f t="shared" si="15"/>
        <v>7.5033099999999999</v>
      </c>
      <c r="Q53" s="557">
        <v>1</v>
      </c>
      <c r="R53" s="557">
        <v>1</v>
      </c>
      <c r="S53" s="557">
        <v>1</v>
      </c>
      <c r="T53" s="641"/>
    </row>
    <row r="54" spans="1:20">
      <c r="A54" s="640">
        <f>'[7]PPT - HT'!A51</f>
        <v>2</v>
      </c>
      <c r="B54" s="557" t="str">
        <f>'[7]PPT - HT'!C51</f>
        <v>Tủ điện DB2-HTC1</v>
      </c>
      <c r="C54" s="557">
        <v>1</v>
      </c>
      <c r="D54" s="557">
        <v>9</v>
      </c>
      <c r="E54" s="557">
        <v>1</v>
      </c>
      <c r="F54" s="557">
        <v>3</v>
      </c>
      <c r="G54" s="557">
        <v>1</v>
      </c>
      <c r="H54" s="557">
        <f t="shared" si="8"/>
        <v>1</v>
      </c>
      <c r="I54" s="557">
        <f t="shared" si="9"/>
        <v>1</v>
      </c>
      <c r="J54" s="557">
        <f t="shared" si="10"/>
        <v>1</v>
      </c>
      <c r="K54" s="557">
        <f t="shared" si="11"/>
        <v>1</v>
      </c>
      <c r="L54" s="557">
        <f t="shared" si="12"/>
        <v>1</v>
      </c>
      <c r="M54" s="557">
        <f t="shared" si="13"/>
        <v>1</v>
      </c>
      <c r="N54" s="557">
        <f t="shared" si="14"/>
        <v>1</v>
      </c>
      <c r="O54" s="557">
        <f t="shared" si="14"/>
        <v>9</v>
      </c>
      <c r="P54" s="557">
        <f t="shared" si="15"/>
        <v>5.0133099999999997</v>
      </c>
      <c r="Q54" s="557">
        <v>1</v>
      </c>
      <c r="R54" s="557">
        <v>1</v>
      </c>
      <c r="S54" s="557">
        <v>1</v>
      </c>
      <c r="T54" s="641"/>
    </row>
    <row r="55" spans="1:20">
      <c r="A55" s="640">
        <f>'[7]PPT - HT'!A52</f>
        <v>3</v>
      </c>
      <c r="B55" s="557" t="str">
        <f>'[7]PPT - HT'!C52</f>
        <v>Tủ điện DB2-HTC2</v>
      </c>
      <c r="C55" s="557">
        <v>1</v>
      </c>
      <c r="D55" s="557">
        <v>9</v>
      </c>
      <c r="E55" s="557">
        <v>2</v>
      </c>
      <c r="F55" s="557">
        <v>3</v>
      </c>
      <c r="G55" s="557">
        <v>1</v>
      </c>
      <c r="H55" s="557">
        <f t="shared" si="8"/>
        <v>2</v>
      </c>
      <c r="I55" s="557">
        <f t="shared" si="9"/>
        <v>2</v>
      </c>
      <c r="J55" s="557">
        <f t="shared" si="10"/>
        <v>2</v>
      </c>
      <c r="K55" s="557">
        <f t="shared" si="11"/>
        <v>1</v>
      </c>
      <c r="L55" s="557">
        <f t="shared" si="12"/>
        <v>1</v>
      </c>
      <c r="M55" s="557">
        <f t="shared" si="13"/>
        <v>1</v>
      </c>
      <c r="N55" s="557">
        <f t="shared" si="14"/>
        <v>1</v>
      </c>
      <c r="O55" s="557">
        <f t="shared" si="14"/>
        <v>9</v>
      </c>
      <c r="P55" s="557">
        <f t="shared" si="15"/>
        <v>5.8433099999999998</v>
      </c>
      <c r="Q55" s="557">
        <v>1</v>
      </c>
      <c r="R55" s="557">
        <v>1</v>
      </c>
      <c r="S55" s="557">
        <v>1</v>
      </c>
      <c r="T55" s="641"/>
    </row>
    <row r="56" spans="1:20">
      <c r="A56" s="640">
        <f>'[7]PPT - HT'!A53</f>
        <v>4</v>
      </c>
      <c r="B56" s="557" t="str">
        <f>'[7]PPT - HT'!C53</f>
        <v>Tủ điện DB2-HTC2.1</v>
      </c>
      <c r="C56" s="557">
        <v>1</v>
      </c>
      <c r="D56" s="557">
        <v>9</v>
      </c>
      <c r="E56" s="557">
        <v>1</v>
      </c>
      <c r="F56" s="557">
        <v>3</v>
      </c>
      <c r="G56" s="557">
        <v>1</v>
      </c>
      <c r="H56" s="557">
        <f t="shared" si="8"/>
        <v>1</v>
      </c>
      <c r="I56" s="557">
        <f t="shared" si="9"/>
        <v>1</v>
      </c>
      <c r="J56" s="557">
        <f t="shared" si="10"/>
        <v>1</v>
      </c>
      <c r="K56" s="557">
        <f t="shared" si="11"/>
        <v>1</v>
      </c>
      <c r="L56" s="557">
        <f t="shared" si="12"/>
        <v>1</v>
      </c>
      <c r="M56" s="557">
        <f t="shared" si="13"/>
        <v>1</v>
      </c>
      <c r="N56" s="557">
        <f t="shared" si="14"/>
        <v>1</v>
      </c>
      <c r="O56" s="557">
        <f t="shared" si="14"/>
        <v>9</v>
      </c>
      <c r="P56" s="557">
        <f t="shared" si="15"/>
        <v>5.0133099999999997</v>
      </c>
      <c r="Q56" s="557">
        <v>1</v>
      </c>
      <c r="R56" s="557">
        <v>1</v>
      </c>
      <c r="S56" s="557">
        <v>1</v>
      </c>
      <c r="T56" s="641"/>
    </row>
    <row r="57" spans="1:20">
      <c r="A57" s="640">
        <f>'[7]PPT - HT'!A54</f>
        <v>5</v>
      </c>
      <c r="B57" s="557" t="str">
        <f>'[7]PPT - HT'!C54</f>
        <v>Tủ điện DB2-HTC3</v>
      </c>
      <c r="C57" s="557">
        <v>1</v>
      </c>
      <c r="D57" s="557">
        <v>9</v>
      </c>
      <c r="E57" s="557">
        <v>2</v>
      </c>
      <c r="F57" s="557">
        <v>3</v>
      </c>
      <c r="G57" s="557">
        <v>1</v>
      </c>
      <c r="H57" s="557">
        <f t="shared" si="8"/>
        <v>2</v>
      </c>
      <c r="I57" s="557">
        <f t="shared" si="9"/>
        <v>2</v>
      </c>
      <c r="J57" s="557">
        <f t="shared" si="10"/>
        <v>2</v>
      </c>
      <c r="K57" s="557">
        <f t="shared" si="11"/>
        <v>1</v>
      </c>
      <c r="L57" s="557">
        <f t="shared" si="12"/>
        <v>1</v>
      </c>
      <c r="M57" s="557">
        <f t="shared" si="13"/>
        <v>1</v>
      </c>
      <c r="N57" s="557">
        <f t="shared" si="14"/>
        <v>1</v>
      </c>
      <c r="O57" s="557">
        <f t="shared" si="14"/>
        <v>9</v>
      </c>
      <c r="P57" s="557">
        <f t="shared" si="15"/>
        <v>5.8433099999999998</v>
      </c>
      <c r="Q57" s="557">
        <v>1</v>
      </c>
      <c r="R57" s="557">
        <v>1</v>
      </c>
      <c r="S57" s="557">
        <v>1</v>
      </c>
      <c r="T57" s="641"/>
    </row>
    <row r="58" spans="1:20">
      <c r="A58" s="640">
        <f>'[7]PPT - HT'!A55</f>
        <v>6</v>
      </c>
      <c r="B58" s="557" t="str">
        <f>'[7]PPT - HT'!C55</f>
        <v>Tủ điện DB2-HTC3.1</v>
      </c>
      <c r="C58" s="557">
        <v>1</v>
      </c>
      <c r="D58" s="557">
        <v>9</v>
      </c>
      <c r="E58" s="557">
        <v>1</v>
      </c>
      <c r="F58" s="557">
        <v>3</v>
      </c>
      <c r="G58" s="557">
        <v>1</v>
      </c>
      <c r="H58" s="557">
        <f t="shared" si="8"/>
        <v>1</v>
      </c>
      <c r="I58" s="557">
        <f t="shared" si="9"/>
        <v>1</v>
      </c>
      <c r="J58" s="557">
        <f t="shared" si="10"/>
        <v>1</v>
      </c>
      <c r="K58" s="557">
        <f t="shared" si="11"/>
        <v>1</v>
      </c>
      <c r="L58" s="557">
        <f t="shared" si="12"/>
        <v>1</v>
      </c>
      <c r="M58" s="557">
        <f t="shared" si="13"/>
        <v>1</v>
      </c>
      <c r="N58" s="557">
        <f t="shared" si="14"/>
        <v>1</v>
      </c>
      <c r="O58" s="557">
        <f t="shared" si="14"/>
        <v>9</v>
      </c>
      <c r="P58" s="557">
        <f t="shared" si="15"/>
        <v>5.0133099999999997</v>
      </c>
      <c r="Q58" s="557">
        <v>1</v>
      </c>
      <c r="R58" s="557">
        <v>1</v>
      </c>
      <c r="S58" s="557">
        <v>1</v>
      </c>
      <c r="T58" s="641"/>
    </row>
    <row r="59" spans="1:20" s="567" customFormat="1">
      <c r="A59" s="638" t="str">
        <f>'[7]PPT - HT'!A56</f>
        <v>IV</v>
      </c>
      <c r="B59" s="569" t="str">
        <f>'[7]PPT - HT'!B56</f>
        <v>Đường dây hạ thế nhánh D (TBA 1500kVA XDM)</v>
      </c>
      <c r="C59" s="569"/>
      <c r="D59" s="569"/>
      <c r="E59" s="569"/>
      <c r="F59" s="557"/>
      <c r="G59" s="557"/>
      <c r="H59" s="557"/>
      <c r="I59" s="557"/>
      <c r="J59" s="557"/>
      <c r="K59" s="557"/>
      <c r="L59" s="557"/>
      <c r="M59" s="557"/>
      <c r="N59" s="557"/>
      <c r="O59" s="557"/>
      <c r="P59" s="557"/>
      <c r="Q59" s="557"/>
      <c r="R59" s="557"/>
      <c r="S59" s="557"/>
      <c r="T59" s="639"/>
    </row>
    <row r="60" spans="1:20">
      <c r="A60" s="640">
        <f>'[7]PPT - HT'!A57</f>
        <v>1</v>
      </c>
      <c r="B60" s="557" t="str">
        <f>'[7]PPT - HT'!C57</f>
        <v>Tủ điện DB2-HTD</v>
      </c>
      <c r="C60" s="557">
        <v>1</v>
      </c>
      <c r="D60" s="557">
        <v>8</v>
      </c>
      <c r="E60" s="557">
        <v>5</v>
      </c>
      <c r="F60" s="557">
        <v>3</v>
      </c>
      <c r="G60" s="557">
        <v>1</v>
      </c>
      <c r="H60" s="557">
        <f t="shared" si="8"/>
        <v>5</v>
      </c>
      <c r="I60" s="557">
        <f t="shared" si="9"/>
        <v>5</v>
      </c>
      <c r="J60" s="557">
        <f t="shared" si="10"/>
        <v>5</v>
      </c>
      <c r="K60" s="557">
        <f t="shared" si="11"/>
        <v>1</v>
      </c>
      <c r="L60" s="557">
        <f t="shared" si="12"/>
        <v>1</v>
      </c>
      <c r="M60" s="557">
        <f t="shared" si="13"/>
        <v>1</v>
      </c>
      <c r="N60" s="557">
        <f t="shared" si="14"/>
        <v>1</v>
      </c>
      <c r="O60" s="557">
        <f t="shared" si="14"/>
        <v>8</v>
      </c>
      <c r="P60" s="557">
        <f t="shared" si="15"/>
        <v>8.2833100000000002</v>
      </c>
      <c r="Q60" s="557">
        <v>1</v>
      </c>
      <c r="R60" s="557">
        <v>1</v>
      </c>
      <c r="S60" s="557">
        <v>1</v>
      </c>
      <c r="T60" s="641"/>
    </row>
    <row r="61" spans="1:20">
      <c r="A61" s="640">
        <f>'[7]PPT - HT'!A58</f>
        <v>2</v>
      </c>
      <c r="B61" s="557" t="str">
        <f>'[7]PPT - HT'!C58</f>
        <v>Tủ điện DB2-HTD1</v>
      </c>
      <c r="C61" s="557">
        <v>1</v>
      </c>
      <c r="D61" s="557">
        <v>11</v>
      </c>
      <c r="E61" s="557">
        <v>1</v>
      </c>
      <c r="F61" s="557">
        <v>3</v>
      </c>
      <c r="G61" s="557">
        <v>1</v>
      </c>
      <c r="H61" s="557">
        <f t="shared" si="8"/>
        <v>1</v>
      </c>
      <c r="I61" s="557">
        <f t="shared" si="9"/>
        <v>1</v>
      </c>
      <c r="J61" s="557">
        <f t="shared" si="10"/>
        <v>1</v>
      </c>
      <c r="K61" s="557">
        <f t="shared" si="11"/>
        <v>1</v>
      </c>
      <c r="L61" s="557">
        <f t="shared" si="12"/>
        <v>1</v>
      </c>
      <c r="M61" s="557">
        <f t="shared" si="13"/>
        <v>1</v>
      </c>
      <c r="N61" s="557">
        <f t="shared" si="14"/>
        <v>1</v>
      </c>
      <c r="O61" s="557">
        <f t="shared" si="14"/>
        <v>11</v>
      </c>
      <c r="P61" s="557">
        <f t="shared" si="15"/>
        <v>5.1133099999999994</v>
      </c>
      <c r="Q61" s="557">
        <v>1</v>
      </c>
      <c r="R61" s="557">
        <v>1</v>
      </c>
      <c r="S61" s="557">
        <v>1</v>
      </c>
      <c r="T61" s="641"/>
    </row>
    <row r="62" spans="1:20">
      <c r="A62" s="640">
        <f>'[7]PPT - HT'!A59</f>
        <v>3</v>
      </c>
      <c r="B62" s="557" t="str">
        <f>'[7]PPT - HT'!C59</f>
        <v>Tủ điện DB2-HTD2</v>
      </c>
      <c r="C62" s="557">
        <v>1</v>
      </c>
      <c r="D62" s="557">
        <v>11</v>
      </c>
      <c r="E62" s="557">
        <v>2</v>
      </c>
      <c r="F62" s="557">
        <v>3</v>
      </c>
      <c r="G62" s="557">
        <v>1</v>
      </c>
      <c r="H62" s="557">
        <f t="shared" si="8"/>
        <v>2</v>
      </c>
      <c r="I62" s="557">
        <f t="shared" si="9"/>
        <v>2</v>
      </c>
      <c r="J62" s="557">
        <f t="shared" si="10"/>
        <v>2</v>
      </c>
      <c r="K62" s="557">
        <f t="shared" si="11"/>
        <v>1</v>
      </c>
      <c r="L62" s="557">
        <f t="shared" si="12"/>
        <v>1</v>
      </c>
      <c r="M62" s="557">
        <f t="shared" si="13"/>
        <v>1</v>
      </c>
      <c r="N62" s="557">
        <f t="shared" si="14"/>
        <v>1</v>
      </c>
      <c r="O62" s="557">
        <f t="shared" si="14"/>
        <v>11</v>
      </c>
      <c r="P62" s="557">
        <f t="shared" si="15"/>
        <v>5.9433099999999994</v>
      </c>
      <c r="Q62" s="557">
        <v>1</v>
      </c>
      <c r="R62" s="557">
        <v>1</v>
      </c>
      <c r="S62" s="557">
        <v>1</v>
      </c>
      <c r="T62" s="641"/>
    </row>
    <row r="63" spans="1:20">
      <c r="A63" s="640">
        <f>'[7]PPT - HT'!A60</f>
        <v>4</v>
      </c>
      <c r="B63" s="557" t="str">
        <f>'[7]PPT - HT'!C60</f>
        <v>Tủ điện DB2-HTD2.1</v>
      </c>
      <c r="C63" s="557">
        <v>1</v>
      </c>
      <c r="D63" s="557">
        <v>8</v>
      </c>
      <c r="E63" s="557">
        <v>1</v>
      </c>
      <c r="F63" s="557">
        <v>3</v>
      </c>
      <c r="G63" s="557">
        <v>1</v>
      </c>
      <c r="H63" s="557">
        <f t="shared" si="8"/>
        <v>1</v>
      </c>
      <c r="I63" s="557">
        <f t="shared" si="9"/>
        <v>1</v>
      </c>
      <c r="J63" s="557">
        <f t="shared" si="10"/>
        <v>1</v>
      </c>
      <c r="K63" s="557">
        <f t="shared" si="11"/>
        <v>1</v>
      </c>
      <c r="L63" s="557">
        <f t="shared" si="12"/>
        <v>1</v>
      </c>
      <c r="M63" s="557">
        <f t="shared" si="13"/>
        <v>1</v>
      </c>
      <c r="N63" s="557">
        <f t="shared" si="14"/>
        <v>1</v>
      </c>
      <c r="O63" s="557">
        <f t="shared" si="14"/>
        <v>8</v>
      </c>
      <c r="P63" s="557">
        <f t="shared" si="15"/>
        <v>4.9633099999999999</v>
      </c>
      <c r="Q63" s="557">
        <v>1</v>
      </c>
      <c r="R63" s="557">
        <v>1</v>
      </c>
      <c r="S63" s="557">
        <v>1</v>
      </c>
      <c r="T63" s="641"/>
    </row>
    <row r="64" spans="1:20">
      <c r="A64" s="640">
        <f>'[7]PPT - HT'!A61</f>
        <v>5</v>
      </c>
      <c r="B64" s="557" t="str">
        <f>'[7]PPT - HT'!C61</f>
        <v>Tủ điện DB2-HTD3</v>
      </c>
      <c r="C64" s="557">
        <v>1</v>
      </c>
      <c r="D64" s="557">
        <v>9</v>
      </c>
      <c r="E64" s="557">
        <v>3</v>
      </c>
      <c r="F64" s="557">
        <v>3</v>
      </c>
      <c r="G64" s="557">
        <v>1</v>
      </c>
      <c r="H64" s="557">
        <f t="shared" si="8"/>
        <v>3</v>
      </c>
      <c r="I64" s="557">
        <f t="shared" si="9"/>
        <v>3</v>
      </c>
      <c r="J64" s="557">
        <f t="shared" si="10"/>
        <v>3</v>
      </c>
      <c r="K64" s="557">
        <f t="shared" si="11"/>
        <v>1</v>
      </c>
      <c r="L64" s="557">
        <f t="shared" si="12"/>
        <v>1</v>
      </c>
      <c r="M64" s="557">
        <f t="shared" si="13"/>
        <v>1</v>
      </c>
      <c r="N64" s="557">
        <f t="shared" si="14"/>
        <v>1</v>
      </c>
      <c r="O64" s="557">
        <f t="shared" si="14"/>
        <v>9</v>
      </c>
      <c r="P64" s="557">
        <f t="shared" si="15"/>
        <v>6.6733099999999999</v>
      </c>
      <c r="Q64" s="557">
        <v>1</v>
      </c>
      <c r="R64" s="557">
        <v>1</v>
      </c>
      <c r="S64" s="557">
        <v>1</v>
      </c>
      <c r="T64" s="641"/>
    </row>
    <row r="65" spans="1:20">
      <c r="A65" s="640">
        <f>'[7]PPT - HT'!A62</f>
        <v>6</v>
      </c>
      <c r="B65" s="557" t="str">
        <f>'[7]PPT - HT'!C62</f>
        <v>Tủ điện DB2-HTD3.1</v>
      </c>
      <c r="C65" s="557">
        <v>1</v>
      </c>
      <c r="D65" s="557">
        <v>10</v>
      </c>
      <c r="E65" s="557">
        <v>1</v>
      </c>
      <c r="F65" s="557">
        <v>3</v>
      </c>
      <c r="G65" s="557">
        <v>1</v>
      </c>
      <c r="H65" s="557">
        <f t="shared" si="8"/>
        <v>1</v>
      </c>
      <c r="I65" s="557">
        <f t="shared" si="9"/>
        <v>1</v>
      </c>
      <c r="J65" s="557">
        <f t="shared" si="10"/>
        <v>1</v>
      </c>
      <c r="K65" s="557">
        <f t="shared" si="11"/>
        <v>1</v>
      </c>
      <c r="L65" s="557">
        <f t="shared" si="12"/>
        <v>1</v>
      </c>
      <c r="M65" s="557">
        <f t="shared" si="13"/>
        <v>1</v>
      </c>
      <c r="N65" s="557">
        <f t="shared" si="14"/>
        <v>1</v>
      </c>
      <c r="O65" s="557">
        <f t="shared" si="14"/>
        <v>10</v>
      </c>
      <c r="P65" s="557">
        <f t="shared" si="15"/>
        <v>5.0633099999999995</v>
      </c>
      <c r="Q65" s="557">
        <v>1</v>
      </c>
      <c r="R65" s="557">
        <v>1</v>
      </c>
      <c r="S65" s="557">
        <v>1</v>
      </c>
      <c r="T65" s="641"/>
    </row>
    <row r="66" spans="1:20">
      <c r="A66" s="640">
        <f>'[7]PPT - HT'!A63</f>
        <v>7</v>
      </c>
      <c r="B66" s="557" t="str">
        <f>'[7]PPT - HT'!C63</f>
        <v>Tủ điện DB2-HTD3.2</v>
      </c>
      <c r="C66" s="557">
        <v>1</v>
      </c>
      <c r="D66" s="557">
        <v>9</v>
      </c>
      <c r="E66" s="557">
        <v>2</v>
      </c>
      <c r="F66" s="557">
        <v>3</v>
      </c>
      <c r="G66" s="557">
        <v>1</v>
      </c>
      <c r="H66" s="557">
        <f t="shared" si="8"/>
        <v>2</v>
      </c>
      <c r="I66" s="557">
        <f t="shared" si="9"/>
        <v>2</v>
      </c>
      <c r="J66" s="557">
        <f t="shared" si="10"/>
        <v>2</v>
      </c>
      <c r="K66" s="557">
        <f t="shared" si="11"/>
        <v>1</v>
      </c>
      <c r="L66" s="557">
        <f t="shared" si="12"/>
        <v>1</v>
      </c>
      <c r="M66" s="557">
        <f t="shared" si="13"/>
        <v>1</v>
      </c>
      <c r="N66" s="557">
        <f t="shared" si="14"/>
        <v>1</v>
      </c>
      <c r="O66" s="557">
        <f t="shared" si="14"/>
        <v>9</v>
      </c>
      <c r="P66" s="557">
        <f t="shared" si="15"/>
        <v>5.8433099999999998</v>
      </c>
      <c r="Q66" s="557">
        <v>1</v>
      </c>
      <c r="R66" s="557">
        <v>1</v>
      </c>
      <c r="S66" s="557">
        <v>1</v>
      </c>
      <c r="T66" s="641"/>
    </row>
    <row r="67" spans="1:20">
      <c r="A67" s="640">
        <f>'[7]PPT - HT'!A64</f>
        <v>8</v>
      </c>
      <c r="B67" s="557" t="str">
        <f>'[7]PPT - HT'!C64</f>
        <v>Tủ điện DB2-HTD3.3</v>
      </c>
      <c r="C67" s="557">
        <v>1</v>
      </c>
      <c r="D67" s="557">
        <v>10</v>
      </c>
      <c r="E67" s="557">
        <v>1</v>
      </c>
      <c r="F67" s="557">
        <v>3</v>
      </c>
      <c r="G67" s="557">
        <v>1</v>
      </c>
      <c r="H67" s="557">
        <f t="shared" si="8"/>
        <v>1</v>
      </c>
      <c r="I67" s="557">
        <f t="shared" si="9"/>
        <v>1</v>
      </c>
      <c r="J67" s="557">
        <f t="shared" si="10"/>
        <v>1</v>
      </c>
      <c r="K67" s="557">
        <f t="shared" si="11"/>
        <v>1</v>
      </c>
      <c r="L67" s="557">
        <f t="shared" si="12"/>
        <v>1</v>
      </c>
      <c r="M67" s="557">
        <f t="shared" si="13"/>
        <v>1</v>
      </c>
      <c r="N67" s="557">
        <f t="shared" si="14"/>
        <v>1</v>
      </c>
      <c r="O67" s="557">
        <f t="shared" si="14"/>
        <v>10</v>
      </c>
      <c r="P67" s="557">
        <f t="shared" si="15"/>
        <v>5.0633099999999995</v>
      </c>
      <c r="Q67" s="557">
        <v>1</v>
      </c>
      <c r="R67" s="557">
        <v>1</v>
      </c>
      <c r="S67" s="557">
        <v>1</v>
      </c>
      <c r="T67" s="641"/>
    </row>
    <row r="68" spans="1:20">
      <c r="A68" s="640">
        <f>'[7]PPT - HT'!A65</f>
        <v>9</v>
      </c>
      <c r="B68" s="557" t="str">
        <f>'[7]PPT - HT'!C65</f>
        <v>Tủ điện DB2-HTD4</v>
      </c>
      <c r="C68" s="557">
        <v>1</v>
      </c>
      <c r="D68" s="557">
        <v>8</v>
      </c>
      <c r="E68" s="557">
        <v>3</v>
      </c>
      <c r="F68" s="557">
        <v>3</v>
      </c>
      <c r="G68" s="557">
        <v>1</v>
      </c>
      <c r="H68" s="557">
        <f>E68</f>
        <v>3</v>
      </c>
      <c r="I68" s="557">
        <f>E68</f>
        <v>3</v>
      </c>
      <c r="J68" s="557">
        <f>E68</f>
        <v>3</v>
      </c>
      <c r="K68" s="557">
        <f>C68</f>
        <v>1</v>
      </c>
      <c r="L68" s="557">
        <f>C68</f>
        <v>1</v>
      </c>
      <c r="M68" s="557">
        <f>C68</f>
        <v>1</v>
      </c>
      <c r="N68" s="557">
        <f t="shared" si="14"/>
        <v>1</v>
      </c>
      <c r="O68" s="557">
        <f t="shared" si="14"/>
        <v>8</v>
      </c>
      <c r="P68" s="557">
        <f>SUMPRODUCT(F68:O68,$F$9:$O$9)</f>
        <v>6.62331</v>
      </c>
      <c r="Q68" s="557">
        <v>1</v>
      </c>
      <c r="R68" s="557">
        <v>1</v>
      </c>
      <c r="S68" s="557">
        <v>1</v>
      </c>
      <c r="T68" s="641"/>
    </row>
    <row r="69" spans="1:20">
      <c r="A69" s="640">
        <f>'[7]PPT - HT'!A66</f>
        <v>10</v>
      </c>
      <c r="B69" s="557" t="str">
        <f>'[7]PPT - HT'!C66</f>
        <v>Tủ điện DB2-HTD4.1</v>
      </c>
      <c r="C69" s="557">
        <v>1</v>
      </c>
      <c r="D69" s="557">
        <v>11</v>
      </c>
      <c r="E69" s="557">
        <v>1</v>
      </c>
      <c r="F69" s="557">
        <v>3</v>
      </c>
      <c r="G69" s="557">
        <v>1</v>
      </c>
      <c r="H69" s="557">
        <f>E69</f>
        <v>1</v>
      </c>
      <c r="I69" s="557">
        <f>E69</f>
        <v>1</v>
      </c>
      <c r="J69" s="557">
        <f>E69</f>
        <v>1</v>
      </c>
      <c r="K69" s="557">
        <f>C69</f>
        <v>1</v>
      </c>
      <c r="L69" s="557">
        <f>C69</f>
        <v>1</v>
      </c>
      <c r="M69" s="557">
        <f>C69</f>
        <v>1</v>
      </c>
      <c r="N69" s="557">
        <f t="shared" si="14"/>
        <v>1</v>
      </c>
      <c r="O69" s="557">
        <f t="shared" si="14"/>
        <v>11</v>
      </c>
      <c r="P69" s="557">
        <f>SUMPRODUCT(F69:O69,$F$9:$O$9)</f>
        <v>5.1133099999999994</v>
      </c>
      <c r="Q69" s="557">
        <v>1</v>
      </c>
      <c r="R69" s="557">
        <v>1</v>
      </c>
      <c r="S69" s="557">
        <v>1</v>
      </c>
      <c r="T69" s="641"/>
    </row>
    <row r="70" spans="1:20">
      <c r="A70" s="640">
        <f>'[7]PPT - HT'!A67</f>
        <v>11</v>
      </c>
      <c r="B70" s="557" t="str">
        <f>'[7]PPT - HT'!C67</f>
        <v>Tủ điện DB2-HTD4.2</v>
      </c>
      <c r="C70" s="557">
        <v>1</v>
      </c>
      <c r="D70" s="557">
        <v>11</v>
      </c>
      <c r="E70" s="557">
        <v>2</v>
      </c>
      <c r="F70" s="557">
        <v>3</v>
      </c>
      <c r="G70" s="557">
        <v>1</v>
      </c>
      <c r="H70" s="557">
        <f>E70</f>
        <v>2</v>
      </c>
      <c r="I70" s="557">
        <f>E70</f>
        <v>2</v>
      </c>
      <c r="J70" s="557">
        <f>E70</f>
        <v>2</v>
      </c>
      <c r="K70" s="557">
        <f>C70</f>
        <v>1</v>
      </c>
      <c r="L70" s="557">
        <f>C70</f>
        <v>1</v>
      </c>
      <c r="M70" s="557">
        <f>C70</f>
        <v>1</v>
      </c>
      <c r="N70" s="557">
        <f t="shared" si="14"/>
        <v>1</v>
      </c>
      <c r="O70" s="557">
        <f t="shared" si="14"/>
        <v>11</v>
      </c>
      <c r="P70" s="557">
        <f>SUMPRODUCT(F70:O70,$F$9:$O$9)</f>
        <v>5.9433099999999994</v>
      </c>
      <c r="Q70" s="557">
        <v>1</v>
      </c>
      <c r="R70" s="557">
        <v>1</v>
      </c>
      <c r="S70" s="557">
        <v>1</v>
      </c>
      <c r="T70" s="641"/>
    </row>
    <row r="71" spans="1:20">
      <c r="A71" s="640">
        <f>'[7]PPT - HT'!A68</f>
        <v>12</v>
      </c>
      <c r="B71" s="557" t="str">
        <f>'[7]PPT - HT'!C68</f>
        <v>Tủ điện DB2-HTD4.3</v>
      </c>
      <c r="C71" s="557">
        <v>1</v>
      </c>
      <c r="D71" s="557">
        <v>8</v>
      </c>
      <c r="E71" s="557">
        <v>1</v>
      </c>
      <c r="F71" s="557">
        <v>3</v>
      </c>
      <c r="G71" s="557">
        <v>1</v>
      </c>
      <c r="H71" s="557">
        <f>E71</f>
        <v>1</v>
      </c>
      <c r="I71" s="557">
        <f>E71</f>
        <v>1</v>
      </c>
      <c r="J71" s="557">
        <f>E71</f>
        <v>1</v>
      </c>
      <c r="K71" s="557">
        <f>C71</f>
        <v>1</v>
      </c>
      <c r="L71" s="557">
        <f>C71</f>
        <v>1</v>
      </c>
      <c r="M71" s="557">
        <f>C71</f>
        <v>1</v>
      </c>
      <c r="N71" s="557">
        <f t="shared" si="14"/>
        <v>1</v>
      </c>
      <c r="O71" s="557">
        <f t="shared" si="14"/>
        <v>8</v>
      </c>
      <c r="P71" s="557">
        <f>SUMPRODUCT(F71:O71,$F$9:$O$9)</f>
        <v>4.9633099999999999</v>
      </c>
      <c r="Q71" s="557">
        <v>1</v>
      </c>
      <c r="R71" s="557">
        <v>1</v>
      </c>
      <c r="S71" s="557">
        <v>1</v>
      </c>
      <c r="T71" s="641"/>
    </row>
    <row r="72" spans="1:20">
      <c r="A72" s="640"/>
      <c r="B72" s="557"/>
      <c r="C72" s="557"/>
      <c r="D72" s="557"/>
      <c r="E72" s="557"/>
      <c r="F72" s="557"/>
      <c r="G72" s="557"/>
      <c r="H72" s="557"/>
      <c r="I72" s="557"/>
      <c r="J72" s="557"/>
      <c r="K72" s="557"/>
      <c r="L72" s="557"/>
      <c r="M72" s="557"/>
      <c r="N72" s="557"/>
      <c r="O72" s="557"/>
      <c r="P72" s="557"/>
      <c r="Q72" s="557"/>
      <c r="R72" s="557"/>
      <c r="S72" s="557"/>
      <c r="T72" s="641"/>
    </row>
    <row r="73" spans="1:20" s="567" customFormat="1">
      <c r="A73" s="638" t="str">
        <f>'[7]PPT - HT'!A70</f>
        <v>C</v>
      </c>
      <c r="B73" s="569" t="str">
        <f>'[7]PPT - HT'!B70</f>
        <v>TRẠM BIẾN ÁP T3 - 2000KVA</v>
      </c>
      <c r="C73" s="569"/>
      <c r="D73" s="569"/>
      <c r="E73" s="569"/>
      <c r="F73" s="557"/>
      <c r="G73" s="557"/>
      <c r="H73" s="557"/>
      <c r="I73" s="557"/>
      <c r="J73" s="557"/>
      <c r="K73" s="557"/>
      <c r="L73" s="557"/>
      <c r="M73" s="557"/>
      <c r="N73" s="557"/>
      <c r="O73" s="557"/>
      <c r="P73" s="557"/>
      <c r="Q73" s="557"/>
      <c r="R73" s="557"/>
      <c r="S73" s="557"/>
      <c r="T73" s="639"/>
    </row>
    <row r="74" spans="1:20" s="567" customFormat="1">
      <c r="A74" s="638" t="str">
        <f>'[7]PPT - HT'!A71</f>
        <v>I</v>
      </c>
      <c r="B74" s="569" t="str">
        <f>'[7]PPT - HT'!B71</f>
        <v>Đường dây hạ thế nhánh A (TBA 2000kVA XDM)</v>
      </c>
      <c r="C74" s="569"/>
      <c r="D74" s="569"/>
      <c r="E74" s="569"/>
      <c r="F74" s="557"/>
      <c r="G74" s="557"/>
      <c r="H74" s="557"/>
      <c r="I74" s="557"/>
      <c r="J74" s="557"/>
      <c r="K74" s="557"/>
      <c r="L74" s="557"/>
      <c r="M74" s="557"/>
      <c r="N74" s="557"/>
      <c r="O74" s="557"/>
      <c r="P74" s="557"/>
      <c r="Q74" s="557"/>
      <c r="R74" s="557"/>
      <c r="S74" s="557"/>
      <c r="T74" s="639"/>
    </row>
    <row r="75" spans="1:20">
      <c r="A75" s="640">
        <f>'[7]PPT - HT'!A72</f>
        <v>1</v>
      </c>
      <c r="B75" s="557" t="str">
        <f>'[7]PPT - HT'!C72</f>
        <v>Tủ điện DB3-HTA</v>
      </c>
      <c r="C75" s="557">
        <v>1</v>
      </c>
      <c r="D75" s="557">
        <v>12</v>
      </c>
      <c r="E75" s="557">
        <v>6</v>
      </c>
      <c r="F75" s="557">
        <v>3</v>
      </c>
      <c r="G75" s="557">
        <v>1</v>
      </c>
      <c r="H75" s="557">
        <f t="shared" si="8"/>
        <v>6</v>
      </c>
      <c r="I75" s="557">
        <f t="shared" si="9"/>
        <v>6</v>
      </c>
      <c r="J75" s="557">
        <f t="shared" si="10"/>
        <v>6</v>
      </c>
      <c r="K75" s="557">
        <f t="shared" si="11"/>
        <v>1</v>
      </c>
      <c r="L75" s="557">
        <f t="shared" si="12"/>
        <v>1</v>
      </c>
      <c r="M75" s="557">
        <f t="shared" si="13"/>
        <v>1</v>
      </c>
      <c r="N75" s="557">
        <f t="shared" si="14"/>
        <v>1</v>
      </c>
      <c r="O75" s="557">
        <f t="shared" si="14"/>
        <v>12</v>
      </c>
      <c r="P75" s="557">
        <f t="shared" si="15"/>
        <v>9.3133099999999995</v>
      </c>
      <c r="Q75" s="557">
        <v>1</v>
      </c>
      <c r="R75" s="557">
        <v>1</v>
      </c>
      <c r="S75" s="557">
        <v>1</v>
      </c>
      <c r="T75" s="641"/>
    </row>
    <row r="76" spans="1:20">
      <c r="A76" s="640">
        <f>'[7]PPT - HT'!A73</f>
        <v>2</v>
      </c>
      <c r="B76" s="557" t="str">
        <f>'[7]PPT - HT'!C73</f>
        <v>Tủ điện DB3-HTA1</v>
      </c>
      <c r="C76" s="557">
        <v>1</v>
      </c>
      <c r="D76" s="557">
        <v>6</v>
      </c>
      <c r="E76" s="557">
        <v>1</v>
      </c>
      <c r="F76" s="557">
        <v>3</v>
      </c>
      <c r="G76" s="557">
        <v>1</v>
      </c>
      <c r="H76" s="557">
        <f t="shared" si="8"/>
        <v>1</v>
      </c>
      <c r="I76" s="557">
        <f t="shared" si="9"/>
        <v>1</v>
      </c>
      <c r="J76" s="557">
        <f t="shared" si="10"/>
        <v>1</v>
      </c>
      <c r="K76" s="557">
        <f t="shared" si="11"/>
        <v>1</v>
      </c>
      <c r="L76" s="557">
        <f t="shared" si="12"/>
        <v>1</v>
      </c>
      <c r="M76" s="557">
        <f t="shared" si="13"/>
        <v>1</v>
      </c>
      <c r="N76" s="557">
        <f t="shared" si="14"/>
        <v>1</v>
      </c>
      <c r="O76" s="557">
        <f t="shared" si="14"/>
        <v>6</v>
      </c>
      <c r="P76" s="557">
        <f t="shared" si="15"/>
        <v>4.8633099999999994</v>
      </c>
      <c r="Q76" s="557">
        <v>1</v>
      </c>
      <c r="R76" s="557">
        <v>1</v>
      </c>
      <c r="S76" s="557">
        <v>1</v>
      </c>
      <c r="T76" s="641"/>
    </row>
    <row r="77" spans="1:20">
      <c r="A77" s="640">
        <f>'[7]PPT - HT'!A74</f>
        <v>3</v>
      </c>
      <c r="B77" s="557" t="str">
        <f>'[7]PPT - HT'!C74</f>
        <v>Tủ điện DB3-HTA2</v>
      </c>
      <c r="C77" s="557">
        <v>1</v>
      </c>
      <c r="D77" s="557">
        <v>12</v>
      </c>
      <c r="E77" s="557">
        <v>1</v>
      </c>
      <c r="F77" s="557">
        <v>3</v>
      </c>
      <c r="G77" s="557">
        <v>1</v>
      </c>
      <c r="H77" s="557">
        <f t="shared" si="8"/>
        <v>1</v>
      </c>
      <c r="I77" s="557">
        <f t="shared" si="9"/>
        <v>1</v>
      </c>
      <c r="J77" s="557">
        <f t="shared" si="10"/>
        <v>1</v>
      </c>
      <c r="K77" s="557">
        <f t="shared" si="11"/>
        <v>1</v>
      </c>
      <c r="L77" s="557">
        <f t="shared" si="12"/>
        <v>1</v>
      </c>
      <c r="M77" s="557">
        <f t="shared" si="13"/>
        <v>1</v>
      </c>
      <c r="N77" s="557">
        <f t="shared" si="14"/>
        <v>1</v>
      </c>
      <c r="O77" s="557">
        <f t="shared" si="14"/>
        <v>12</v>
      </c>
      <c r="P77" s="557">
        <f t="shared" si="15"/>
        <v>5.1633099999999992</v>
      </c>
      <c r="Q77" s="557">
        <v>1</v>
      </c>
      <c r="R77" s="557">
        <v>1</v>
      </c>
      <c r="S77" s="557">
        <v>1</v>
      </c>
      <c r="T77" s="641"/>
    </row>
    <row r="78" spans="1:20">
      <c r="A78" s="640">
        <f>'[7]PPT - HT'!A75</f>
        <v>4</v>
      </c>
      <c r="B78" s="557" t="str">
        <f>'[7]PPT - HT'!C75</f>
        <v>Tủ điện DB3-HTA3</v>
      </c>
      <c r="C78" s="557">
        <v>1</v>
      </c>
      <c r="D78" s="557">
        <v>12</v>
      </c>
      <c r="E78" s="557">
        <v>3</v>
      </c>
      <c r="F78" s="557">
        <v>3</v>
      </c>
      <c r="G78" s="557">
        <v>1</v>
      </c>
      <c r="H78" s="557">
        <f t="shared" si="8"/>
        <v>3</v>
      </c>
      <c r="I78" s="557">
        <f t="shared" si="9"/>
        <v>3</v>
      </c>
      <c r="J78" s="557">
        <f t="shared" si="10"/>
        <v>3</v>
      </c>
      <c r="K78" s="557">
        <f t="shared" si="11"/>
        <v>1</v>
      </c>
      <c r="L78" s="557">
        <f t="shared" si="12"/>
        <v>1</v>
      </c>
      <c r="M78" s="557">
        <f t="shared" si="13"/>
        <v>1</v>
      </c>
      <c r="N78" s="557">
        <f t="shared" si="14"/>
        <v>1</v>
      </c>
      <c r="O78" s="557">
        <f t="shared" si="14"/>
        <v>12</v>
      </c>
      <c r="P78" s="557">
        <f t="shared" si="15"/>
        <v>6.8233099999999993</v>
      </c>
      <c r="Q78" s="557">
        <v>1</v>
      </c>
      <c r="R78" s="557">
        <v>1</v>
      </c>
      <c r="S78" s="557">
        <v>1</v>
      </c>
      <c r="T78" s="641"/>
    </row>
    <row r="79" spans="1:20">
      <c r="A79" s="640">
        <f>'[7]PPT - HT'!A76</f>
        <v>5</v>
      </c>
      <c r="B79" s="557" t="str">
        <f>'[7]PPT - HT'!C76</f>
        <v>Tủ điện DB3-HTA3.1</v>
      </c>
      <c r="C79" s="557">
        <v>1</v>
      </c>
      <c r="D79" s="557">
        <v>6</v>
      </c>
      <c r="E79" s="557">
        <v>1</v>
      </c>
      <c r="F79" s="557">
        <v>3</v>
      </c>
      <c r="G79" s="557">
        <v>1</v>
      </c>
      <c r="H79" s="557">
        <f t="shared" si="8"/>
        <v>1</v>
      </c>
      <c r="I79" s="557">
        <f t="shared" si="9"/>
        <v>1</v>
      </c>
      <c r="J79" s="557">
        <f t="shared" si="10"/>
        <v>1</v>
      </c>
      <c r="K79" s="557">
        <f t="shared" si="11"/>
        <v>1</v>
      </c>
      <c r="L79" s="557">
        <f t="shared" si="12"/>
        <v>1</v>
      </c>
      <c r="M79" s="557">
        <f t="shared" si="13"/>
        <v>1</v>
      </c>
      <c r="N79" s="557">
        <f t="shared" si="14"/>
        <v>1</v>
      </c>
      <c r="O79" s="557">
        <f t="shared" si="14"/>
        <v>6</v>
      </c>
      <c r="P79" s="557">
        <f t="shared" si="15"/>
        <v>4.8633099999999994</v>
      </c>
      <c r="Q79" s="557">
        <v>1</v>
      </c>
      <c r="R79" s="557">
        <v>1</v>
      </c>
      <c r="S79" s="557">
        <v>1</v>
      </c>
      <c r="T79" s="641"/>
    </row>
    <row r="80" spans="1:20">
      <c r="A80" s="640">
        <f>'[7]PPT - HT'!A77</f>
        <v>6</v>
      </c>
      <c r="B80" s="557" t="str">
        <f>'[7]PPT - HT'!C77</f>
        <v>Tủ điện DB3-HTA3.2</v>
      </c>
      <c r="C80" s="557">
        <v>1</v>
      </c>
      <c r="D80" s="557">
        <v>12</v>
      </c>
      <c r="E80" s="557">
        <v>1</v>
      </c>
      <c r="F80" s="557">
        <v>3</v>
      </c>
      <c r="G80" s="557">
        <v>1</v>
      </c>
      <c r="H80" s="557">
        <f t="shared" si="8"/>
        <v>1</v>
      </c>
      <c r="I80" s="557">
        <f t="shared" si="9"/>
        <v>1</v>
      </c>
      <c r="J80" s="557">
        <f t="shared" si="10"/>
        <v>1</v>
      </c>
      <c r="K80" s="557">
        <f t="shared" si="11"/>
        <v>1</v>
      </c>
      <c r="L80" s="557">
        <f t="shared" si="12"/>
        <v>1</v>
      </c>
      <c r="M80" s="557">
        <f t="shared" si="13"/>
        <v>1</v>
      </c>
      <c r="N80" s="557">
        <f t="shared" si="14"/>
        <v>1</v>
      </c>
      <c r="O80" s="557">
        <f t="shared" si="14"/>
        <v>12</v>
      </c>
      <c r="P80" s="557">
        <f t="shared" si="15"/>
        <v>5.1633099999999992</v>
      </c>
      <c r="Q80" s="557">
        <v>1</v>
      </c>
      <c r="R80" s="557">
        <v>1</v>
      </c>
      <c r="S80" s="557">
        <v>1</v>
      </c>
      <c r="T80" s="641"/>
    </row>
    <row r="81" spans="1:20">
      <c r="A81" s="640">
        <f>'[7]PPT - HT'!A78</f>
        <v>7</v>
      </c>
      <c r="B81" s="557" t="str">
        <f>'[7]PPT - HT'!C78</f>
        <v>Tủ điện DB3-HTA4</v>
      </c>
      <c r="C81" s="557">
        <v>1</v>
      </c>
      <c r="D81" s="557">
        <v>8</v>
      </c>
      <c r="E81" s="557">
        <v>3</v>
      </c>
      <c r="F81" s="557">
        <v>3</v>
      </c>
      <c r="G81" s="557">
        <v>1</v>
      </c>
      <c r="H81" s="557">
        <f t="shared" si="8"/>
        <v>3</v>
      </c>
      <c r="I81" s="557">
        <f t="shared" si="9"/>
        <v>3</v>
      </c>
      <c r="J81" s="557">
        <f t="shared" si="10"/>
        <v>3</v>
      </c>
      <c r="K81" s="557">
        <f t="shared" si="11"/>
        <v>1</v>
      </c>
      <c r="L81" s="557">
        <f t="shared" si="12"/>
        <v>1</v>
      </c>
      <c r="M81" s="557">
        <f t="shared" si="13"/>
        <v>1</v>
      </c>
      <c r="N81" s="557">
        <f t="shared" si="14"/>
        <v>1</v>
      </c>
      <c r="O81" s="557">
        <f t="shared" si="14"/>
        <v>8</v>
      </c>
      <c r="P81" s="557">
        <f t="shared" si="15"/>
        <v>6.62331</v>
      </c>
      <c r="Q81" s="557">
        <v>1</v>
      </c>
      <c r="R81" s="557">
        <v>1</v>
      </c>
      <c r="S81" s="557">
        <v>1</v>
      </c>
      <c r="T81" s="641"/>
    </row>
    <row r="82" spans="1:20">
      <c r="A82" s="640">
        <f>'[7]PPT - HT'!A79</f>
        <v>8</v>
      </c>
      <c r="B82" s="557" t="str">
        <f>'[7]PPT - HT'!C79</f>
        <v>Tủ điện DB3-HTA4.1</v>
      </c>
      <c r="C82" s="557">
        <v>1</v>
      </c>
      <c r="D82" s="557">
        <v>11</v>
      </c>
      <c r="E82" s="557">
        <v>2</v>
      </c>
      <c r="F82" s="557">
        <v>3</v>
      </c>
      <c r="G82" s="557">
        <v>1</v>
      </c>
      <c r="H82" s="557">
        <f t="shared" si="8"/>
        <v>2</v>
      </c>
      <c r="I82" s="557">
        <f t="shared" si="9"/>
        <v>2</v>
      </c>
      <c r="J82" s="557">
        <f t="shared" si="10"/>
        <v>2</v>
      </c>
      <c r="K82" s="557">
        <f t="shared" si="11"/>
        <v>1</v>
      </c>
      <c r="L82" s="557">
        <f t="shared" si="12"/>
        <v>1</v>
      </c>
      <c r="M82" s="557">
        <f t="shared" si="13"/>
        <v>1</v>
      </c>
      <c r="N82" s="557">
        <f t="shared" si="14"/>
        <v>1</v>
      </c>
      <c r="O82" s="557">
        <f t="shared" si="14"/>
        <v>11</v>
      </c>
      <c r="P82" s="557">
        <f t="shared" si="15"/>
        <v>5.9433099999999994</v>
      </c>
      <c r="Q82" s="557">
        <v>1</v>
      </c>
      <c r="R82" s="557">
        <v>1</v>
      </c>
      <c r="S82" s="557">
        <v>1</v>
      </c>
      <c r="T82" s="641"/>
    </row>
    <row r="83" spans="1:20">
      <c r="A83" s="640">
        <f>'[7]PPT - HT'!A80</f>
        <v>9</v>
      </c>
      <c r="B83" s="557" t="str">
        <f>'[7]PPT - HT'!C80</f>
        <v>Tủ điện DB3-HTA4.2</v>
      </c>
      <c r="C83" s="557">
        <v>1</v>
      </c>
      <c r="D83" s="557">
        <v>8</v>
      </c>
      <c r="E83" s="557">
        <v>1</v>
      </c>
      <c r="F83" s="557">
        <v>3</v>
      </c>
      <c r="G83" s="557">
        <v>1</v>
      </c>
      <c r="H83" s="557">
        <f t="shared" si="8"/>
        <v>1</v>
      </c>
      <c r="I83" s="557">
        <f t="shared" si="9"/>
        <v>1</v>
      </c>
      <c r="J83" s="557">
        <f t="shared" si="10"/>
        <v>1</v>
      </c>
      <c r="K83" s="557">
        <f t="shared" si="11"/>
        <v>1</v>
      </c>
      <c r="L83" s="557">
        <f t="shared" si="12"/>
        <v>1</v>
      </c>
      <c r="M83" s="557">
        <f t="shared" si="13"/>
        <v>1</v>
      </c>
      <c r="N83" s="557">
        <f t="shared" si="14"/>
        <v>1</v>
      </c>
      <c r="O83" s="557">
        <f t="shared" si="14"/>
        <v>8</v>
      </c>
      <c r="P83" s="557">
        <f t="shared" si="15"/>
        <v>4.9633099999999999</v>
      </c>
      <c r="Q83" s="557">
        <v>1</v>
      </c>
      <c r="R83" s="557">
        <v>1</v>
      </c>
      <c r="S83" s="557">
        <v>1</v>
      </c>
      <c r="T83" s="641"/>
    </row>
    <row r="84" spans="1:20">
      <c r="A84" s="640">
        <f>'[7]PPT - HT'!A81</f>
        <v>10</v>
      </c>
      <c r="B84" s="557" t="str">
        <f>'[7]PPT - HT'!C81</f>
        <v>Tủ điện DB3-HTA4.3</v>
      </c>
      <c r="C84" s="557">
        <v>1</v>
      </c>
      <c r="D84" s="557">
        <v>11</v>
      </c>
      <c r="E84" s="557">
        <v>1</v>
      </c>
      <c r="F84" s="557">
        <v>3</v>
      </c>
      <c r="G84" s="557">
        <v>1</v>
      </c>
      <c r="H84" s="557">
        <f t="shared" si="8"/>
        <v>1</v>
      </c>
      <c r="I84" s="557">
        <f t="shared" si="9"/>
        <v>1</v>
      </c>
      <c r="J84" s="557">
        <f t="shared" si="10"/>
        <v>1</v>
      </c>
      <c r="K84" s="557">
        <f t="shared" si="11"/>
        <v>1</v>
      </c>
      <c r="L84" s="557">
        <f t="shared" si="12"/>
        <v>1</v>
      </c>
      <c r="M84" s="557">
        <f t="shared" si="13"/>
        <v>1</v>
      </c>
      <c r="N84" s="557">
        <f t="shared" si="14"/>
        <v>1</v>
      </c>
      <c r="O84" s="557">
        <f t="shared" si="14"/>
        <v>11</v>
      </c>
      <c r="P84" s="557">
        <f t="shared" si="15"/>
        <v>5.1133099999999994</v>
      </c>
      <c r="Q84" s="557">
        <v>1</v>
      </c>
      <c r="R84" s="557">
        <v>1</v>
      </c>
      <c r="S84" s="557">
        <v>1</v>
      </c>
      <c r="T84" s="641"/>
    </row>
    <row r="85" spans="1:20">
      <c r="A85" s="640">
        <f>'[7]PPT - HT'!A82</f>
        <v>11</v>
      </c>
      <c r="B85" s="557" t="str">
        <f>'[7]PPT - HT'!C82</f>
        <v>Tủ điện DB3-HTA5</v>
      </c>
      <c r="C85" s="557">
        <v>1</v>
      </c>
      <c r="D85" s="557">
        <v>8</v>
      </c>
      <c r="E85" s="557">
        <v>3</v>
      </c>
      <c r="F85" s="557">
        <v>3</v>
      </c>
      <c r="G85" s="557">
        <v>1</v>
      </c>
      <c r="H85" s="557">
        <f t="shared" si="8"/>
        <v>3</v>
      </c>
      <c r="I85" s="557">
        <f t="shared" si="9"/>
        <v>3</v>
      </c>
      <c r="J85" s="557">
        <f t="shared" si="10"/>
        <v>3</v>
      </c>
      <c r="K85" s="557">
        <f t="shared" si="11"/>
        <v>1</v>
      </c>
      <c r="L85" s="557">
        <f t="shared" si="12"/>
        <v>1</v>
      </c>
      <c r="M85" s="557">
        <f t="shared" si="13"/>
        <v>1</v>
      </c>
      <c r="N85" s="557">
        <f t="shared" si="14"/>
        <v>1</v>
      </c>
      <c r="O85" s="557">
        <f t="shared" si="14"/>
        <v>8</v>
      </c>
      <c r="P85" s="557">
        <f t="shared" si="15"/>
        <v>6.62331</v>
      </c>
      <c r="Q85" s="557">
        <v>1</v>
      </c>
      <c r="R85" s="557">
        <v>1</v>
      </c>
      <c r="S85" s="557">
        <v>1</v>
      </c>
      <c r="T85" s="641"/>
    </row>
    <row r="86" spans="1:20">
      <c r="A86" s="640">
        <f>'[7]PPT - HT'!A83</f>
        <v>12</v>
      </c>
      <c r="B86" s="557" t="str">
        <f>'[7]PPT - HT'!C83</f>
        <v>Tủ điện DB3-HTA5.1</v>
      </c>
      <c r="C86" s="557">
        <v>1</v>
      </c>
      <c r="D86" s="557">
        <v>11</v>
      </c>
      <c r="E86" s="557">
        <v>2</v>
      </c>
      <c r="F86" s="557">
        <v>3</v>
      </c>
      <c r="G86" s="557">
        <v>1</v>
      </c>
      <c r="H86" s="557">
        <f t="shared" ref="H86:H130" si="16">E86</f>
        <v>2</v>
      </c>
      <c r="I86" s="557">
        <f t="shared" ref="I86:I130" si="17">E86</f>
        <v>2</v>
      </c>
      <c r="J86" s="557">
        <f t="shared" ref="J86:J130" si="18">E86</f>
        <v>2</v>
      </c>
      <c r="K86" s="557">
        <f t="shared" ref="K86:K130" si="19">C86</f>
        <v>1</v>
      </c>
      <c r="L86" s="557">
        <f t="shared" ref="L86:L130" si="20">C86</f>
        <v>1</v>
      </c>
      <c r="M86" s="557">
        <f t="shared" ref="M86:M130" si="21">C86</f>
        <v>1</v>
      </c>
      <c r="N86" s="557">
        <f t="shared" ref="N86:O130" si="22">C86</f>
        <v>1</v>
      </c>
      <c r="O86" s="557">
        <f t="shared" si="22"/>
        <v>11</v>
      </c>
      <c r="P86" s="557">
        <f t="shared" ref="P86:P130" si="23">SUMPRODUCT(F86:O86,$F$9:$O$9)</f>
        <v>5.9433099999999994</v>
      </c>
      <c r="Q86" s="557">
        <v>1</v>
      </c>
      <c r="R86" s="557">
        <v>1</v>
      </c>
      <c r="S86" s="557">
        <v>1</v>
      </c>
      <c r="T86" s="641"/>
    </row>
    <row r="87" spans="1:20">
      <c r="A87" s="640">
        <f>'[7]PPT - HT'!A84</f>
        <v>13</v>
      </c>
      <c r="B87" s="557" t="str">
        <f>'[7]PPT - HT'!C84</f>
        <v>Tủ điện DB3-HTA5.2</v>
      </c>
      <c r="C87" s="557">
        <v>1</v>
      </c>
      <c r="D87" s="557">
        <v>8</v>
      </c>
      <c r="E87" s="557">
        <v>1</v>
      </c>
      <c r="F87" s="557">
        <v>3</v>
      </c>
      <c r="G87" s="557">
        <v>1</v>
      </c>
      <c r="H87" s="557">
        <f t="shared" si="16"/>
        <v>1</v>
      </c>
      <c r="I87" s="557">
        <f t="shared" si="17"/>
        <v>1</v>
      </c>
      <c r="J87" s="557">
        <f t="shared" si="18"/>
        <v>1</v>
      </c>
      <c r="K87" s="557">
        <f t="shared" si="19"/>
        <v>1</v>
      </c>
      <c r="L87" s="557">
        <f t="shared" si="20"/>
        <v>1</v>
      </c>
      <c r="M87" s="557">
        <f t="shared" si="21"/>
        <v>1</v>
      </c>
      <c r="N87" s="557">
        <f t="shared" si="22"/>
        <v>1</v>
      </c>
      <c r="O87" s="557">
        <f t="shared" si="22"/>
        <v>8</v>
      </c>
      <c r="P87" s="557">
        <f t="shared" si="23"/>
        <v>4.9633099999999999</v>
      </c>
      <c r="Q87" s="557">
        <v>1</v>
      </c>
      <c r="R87" s="557">
        <v>1</v>
      </c>
      <c r="S87" s="557">
        <v>1</v>
      </c>
      <c r="T87" s="641"/>
    </row>
    <row r="88" spans="1:20">
      <c r="A88" s="640">
        <f>'[7]PPT - HT'!A85</f>
        <v>14</v>
      </c>
      <c r="B88" s="557" t="str">
        <f>'[7]PPT - HT'!C85</f>
        <v>Tủ điện DB3-HTA5.3</v>
      </c>
      <c r="C88" s="557">
        <v>1</v>
      </c>
      <c r="D88" s="557">
        <v>11</v>
      </c>
      <c r="E88" s="557">
        <v>1</v>
      </c>
      <c r="F88" s="557">
        <v>3</v>
      </c>
      <c r="G88" s="557">
        <v>1</v>
      </c>
      <c r="H88" s="557">
        <f t="shared" si="16"/>
        <v>1</v>
      </c>
      <c r="I88" s="557">
        <f t="shared" si="17"/>
        <v>1</v>
      </c>
      <c r="J88" s="557">
        <f t="shared" si="18"/>
        <v>1</v>
      </c>
      <c r="K88" s="557">
        <f t="shared" si="19"/>
        <v>1</v>
      </c>
      <c r="L88" s="557">
        <f t="shared" si="20"/>
        <v>1</v>
      </c>
      <c r="M88" s="557">
        <f t="shared" si="21"/>
        <v>1</v>
      </c>
      <c r="N88" s="557">
        <f t="shared" si="22"/>
        <v>1</v>
      </c>
      <c r="O88" s="557">
        <f t="shared" si="22"/>
        <v>11</v>
      </c>
      <c r="P88" s="557">
        <f t="shared" si="23"/>
        <v>5.1133099999999994</v>
      </c>
      <c r="Q88" s="557">
        <v>1</v>
      </c>
      <c r="R88" s="557">
        <v>1</v>
      </c>
      <c r="S88" s="557">
        <v>1</v>
      </c>
      <c r="T88" s="641"/>
    </row>
    <row r="89" spans="1:20" s="567" customFormat="1">
      <c r="A89" s="638" t="str">
        <f>'[7]PPT - HT'!A86</f>
        <v>II</v>
      </c>
      <c r="B89" s="569" t="str">
        <f>'[7]PPT - HT'!B86</f>
        <v>Đường dây hạ thế nhánh B (TBA 2000kVA XDM)</v>
      </c>
      <c r="C89" s="569"/>
      <c r="D89" s="569"/>
      <c r="E89" s="569"/>
      <c r="F89" s="557"/>
      <c r="G89" s="557"/>
      <c r="H89" s="557"/>
      <c r="I89" s="557"/>
      <c r="J89" s="557"/>
      <c r="K89" s="557"/>
      <c r="L89" s="557"/>
      <c r="M89" s="557"/>
      <c r="N89" s="557"/>
      <c r="O89" s="557"/>
      <c r="P89" s="557"/>
      <c r="Q89" s="557"/>
      <c r="R89" s="557"/>
      <c r="S89" s="557"/>
      <c r="T89" s="639"/>
    </row>
    <row r="90" spans="1:20">
      <c r="A90" s="640">
        <f>'[7]PPT - HT'!A87</f>
        <v>1</v>
      </c>
      <c r="B90" s="557" t="str">
        <f>'[7]PPT - HT'!C87</f>
        <v>Tủ điện DB3-HTB</v>
      </c>
      <c r="C90" s="557">
        <v>1</v>
      </c>
      <c r="D90" s="557">
        <v>8</v>
      </c>
      <c r="E90" s="557">
        <v>5</v>
      </c>
      <c r="F90" s="557">
        <v>3</v>
      </c>
      <c r="G90" s="557">
        <v>1</v>
      </c>
      <c r="H90" s="557">
        <f t="shared" si="16"/>
        <v>5</v>
      </c>
      <c r="I90" s="557">
        <f t="shared" si="17"/>
        <v>5</v>
      </c>
      <c r="J90" s="557">
        <f t="shared" si="18"/>
        <v>5</v>
      </c>
      <c r="K90" s="557">
        <f t="shared" si="19"/>
        <v>1</v>
      </c>
      <c r="L90" s="557">
        <f t="shared" si="20"/>
        <v>1</v>
      </c>
      <c r="M90" s="557">
        <f t="shared" si="21"/>
        <v>1</v>
      </c>
      <c r="N90" s="557">
        <f t="shared" si="22"/>
        <v>1</v>
      </c>
      <c r="O90" s="557">
        <f t="shared" si="22"/>
        <v>8</v>
      </c>
      <c r="P90" s="557">
        <f t="shared" si="23"/>
        <v>8.2833100000000002</v>
      </c>
      <c r="Q90" s="557">
        <v>1</v>
      </c>
      <c r="R90" s="557">
        <v>1</v>
      </c>
      <c r="S90" s="557">
        <v>1</v>
      </c>
      <c r="T90" s="641"/>
    </row>
    <row r="91" spans="1:20">
      <c r="A91" s="640">
        <f>'[7]PPT - HT'!A88</f>
        <v>2</v>
      </c>
      <c r="B91" s="557" t="str">
        <f>'[7]PPT - HT'!C88</f>
        <v>Tủ điện DB3-HTB1</v>
      </c>
      <c r="C91" s="557">
        <v>1</v>
      </c>
      <c r="D91" s="557">
        <v>9</v>
      </c>
      <c r="E91" s="557">
        <v>3</v>
      </c>
      <c r="F91" s="557">
        <v>3</v>
      </c>
      <c r="G91" s="557">
        <v>1</v>
      </c>
      <c r="H91" s="557">
        <f t="shared" si="16"/>
        <v>3</v>
      </c>
      <c r="I91" s="557">
        <f t="shared" si="17"/>
        <v>3</v>
      </c>
      <c r="J91" s="557">
        <f t="shared" si="18"/>
        <v>3</v>
      </c>
      <c r="K91" s="557">
        <f t="shared" si="19"/>
        <v>1</v>
      </c>
      <c r="L91" s="557">
        <f t="shared" si="20"/>
        <v>1</v>
      </c>
      <c r="M91" s="557">
        <f t="shared" si="21"/>
        <v>1</v>
      </c>
      <c r="N91" s="557">
        <f t="shared" si="22"/>
        <v>1</v>
      </c>
      <c r="O91" s="557">
        <f t="shared" si="22"/>
        <v>9</v>
      </c>
      <c r="P91" s="557">
        <f t="shared" si="23"/>
        <v>6.6733099999999999</v>
      </c>
      <c r="Q91" s="557">
        <v>1</v>
      </c>
      <c r="R91" s="557">
        <v>1</v>
      </c>
      <c r="S91" s="557">
        <v>1</v>
      </c>
      <c r="T91" s="641"/>
    </row>
    <row r="92" spans="1:20">
      <c r="A92" s="640">
        <f>'[7]PPT - HT'!A89</f>
        <v>3</v>
      </c>
      <c r="B92" s="557" t="str">
        <f>'[7]PPT - HT'!C89</f>
        <v>Tủ điện DB3-HTB1.1</v>
      </c>
      <c r="C92" s="557">
        <v>1</v>
      </c>
      <c r="D92" s="557">
        <v>12</v>
      </c>
      <c r="E92" s="557">
        <v>1</v>
      </c>
      <c r="F92" s="557">
        <v>3</v>
      </c>
      <c r="G92" s="557">
        <v>1</v>
      </c>
      <c r="H92" s="557">
        <f t="shared" si="16"/>
        <v>1</v>
      </c>
      <c r="I92" s="557">
        <f t="shared" si="17"/>
        <v>1</v>
      </c>
      <c r="J92" s="557">
        <f t="shared" si="18"/>
        <v>1</v>
      </c>
      <c r="K92" s="557">
        <f t="shared" si="19"/>
        <v>1</v>
      </c>
      <c r="L92" s="557">
        <f t="shared" si="20"/>
        <v>1</v>
      </c>
      <c r="M92" s="557">
        <f t="shared" si="21"/>
        <v>1</v>
      </c>
      <c r="N92" s="557">
        <f t="shared" si="22"/>
        <v>1</v>
      </c>
      <c r="O92" s="557">
        <f t="shared" si="22"/>
        <v>12</v>
      </c>
      <c r="P92" s="557">
        <f t="shared" si="23"/>
        <v>5.1633099999999992</v>
      </c>
      <c r="Q92" s="557">
        <v>1</v>
      </c>
      <c r="R92" s="557">
        <v>1</v>
      </c>
      <c r="S92" s="557">
        <v>1</v>
      </c>
      <c r="T92" s="641"/>
    </row>
    <row r="93" spans="1:20">
      <c r="A93" s="640">
        <f>'[7]PPT - HT'!A90</f>
        <v>4</v>
      </c>
      <c r="B93" s="557" t="str">
        <f>'[7]PPT - HT'!C90</f>
        <v>Tủ điện DB3-HTB1.2</v>
      </c>
      <c r="C93" s="557">
        <v>1</v>
      </c>
      <c r="D93" s="557">
        <v>12</v>
      </c>
      <c r="E93" s="557">
        <v>2</v>
      </c>
      <c r="F93" s="557">
        <v>3</v>
      </c>
      <c r="G93" s="557">
        <v>1</v>
      </c>
      <c r="H93" s="557">
        <f t="shared" si="16"/>
        <v>2</v>
      </c>
      <c r="I93" s="557">
        <f t="shared" si="17"/>
        <v>2</v>
      </c>
      <c r="J93" s="557">
        <f t="shared" si="18"/>
        <v>2</v>
      </c>
      <c r="K93" s="557">
        <f t="shared" si="19"/>
        <v>1</v>
      </c>
      <c r="L93" s="557">
        <f t="shared" si="20"/>
        <v>1</v>
      </c>
      <c r="M93" s="557">
        <f t="shared" si="21"/>
        <v>1</v>
      </c>
      <c r="N93" s="557">
        <f t="shared" si="22"/>
        <v>1</v>
      </c>
      <c r="O93" s="557">
        <f t="shared" si="22"/>
        <v>12</v>
      </c>
      <c r="P93" s="557">
        <f t="shared" si="23"/>
        <v>5.9933099999999992</v>
      </c>
      <c r="Q93" s="557">
        <v>1</v>
      </c>
      <c r="R93" s="557">
        <v>1</v>
      </c>
      <c r="S93" s="557">
        <v>1</v>
      </c>
      <c r="T93" s="641"/>
    </row>
    <row r="94" spans="1:20">
      <c r="A94" s="640">
        <f>'[7]PPT - HT'!A91</f>
        <v>5</v>
      </c>
      <c r="B94" s="557" t="str">
        <f>'[7]PPT - HT'!C91</f>
        <v>Tủ điện DB3-HTB1.3</v>
      </c>
      <c r="C94" s="557">
        <v>1</v>
      </c>
      <c r="D94" s="557">
        <v>8</v>
      </c>
      <c r="E94" s="557">
        <v>1</v>
      </c>
      <c r="F94" s="557">
        <v>3</v>
      </c>
      <c r="G94" s="557">
        <v>1</v>
      </c>
      <c r="H94" s="557">
        <f t="shared" si="16"/>
        <v>1</v>
      </c>
      <c r="I94" s="557">
        <f t="shared" si="17"/>
        <v>1</v>
      </c>
      <c r="J94" s="557">
        <f t="shared" si="18"/>
        <v>1</v>
      </c>
      <c r="K94" s="557">
        <f t="shared" si="19"/>
        <v>1</v>
      </c>
      <c r="L94" s="557">
        <f t="shared" si="20"/>
        <v>1</v>
      </c>
      <c r="M94" s="557">
        <f t="shared" si="21"/>
        <v>1</v>
      </c>
      <c r="N94" s="557">
        <f t="shared" si="22"/>
        <v>1</v>
      </c>
      <c r="O94" s="557">
        <f t="shared" si="22"/>
        <v>8</v>
      </c>
      <c r="P94" s="557">
        <f t="shared" si="23"/>
        <v>4.9633099999999999</v>
      </c>
      <c r="Q94" s="557">
        <v>1</v>
      </c>
      <c r="R94" s="557">
        <v>1</v>
      </c>
      <c r="S94" s="557">
        <v>1</v>
      </c>
      <c r="T94" s="641"/>
    </row>
    <row r="95" spans="1:20">
      <c r="A95" s="640">
        <f>'[7]PPT - HT'!A92</f>
        <v>6</v>
      </c>
      <c r="B95" s="557" t="str">
        <f>'[7]PPT - HT'!C92</f>
        <v>Tủ điện DB3-HTB2</v>
      </c>
      <c r="C95" s="557">
        <v>1</v>
      </c>
      <c r="D95" s="557">
        <v>12</v>
      </c>
      <c r="E95" s="557">
        <v>1</v>
      </c>
      <c r="F95" s="557">
        <v>3</v>
      </c>
      <c r="G95" s="557">
        <v>1</v>
      </c>
      <c r="H95" s="557">
        <f t="shared" si="16"/>
        <v>1</v>
      </c>
      <c r="I95" s="557">
        <f t="shared" si="17"/>
        <v>1</v>
      </c>
      <c r="J95" s="557">
        <f t="shared" si="18"/>
        <v>1</v>
      </c>
      <c r="K95" s="557">
        <f t="shared" si="19"/>
        <v>1</v>
      </c>
      <c r="L95" s="557">
        <f t="shared" si="20"/>
        <v>1</v>
      </c>
      <c r="M95" s="557">
        <f t="shared" si="21"/>
        <v>1</v>
      </c>
      <c r="N95" s="557">
        <f t="shared" si="22"/>
        <v>1</v>
      </c>
      <c r="O95" s="557">
        <f t="shared" si="22"/>
        <v>12</v>
      </c>
      <c r="P95" s="557">
        <f t="shared" si="23"/>
        <v>5.1633099999999992</v>
      </c>
      <c r="Q95" s="557">
        <v>1</v>
      </c>
      <c r="R95" s="557">
        <v>1</v>
      </c>
      <c r="S95" s="557">
        <v>1</v>
      </c>
      <c r="T95" s="641"/>
    </row>
    <row r="96" spans="1:20">
      <c r="A96" s="640">
        <f>'[7]PPT - HT'!A93</f>
        <v>7</v>
      </c>
      <c r="B96" s="557" t="str">
        <f>'[7]PPT - HT'!C93</f>
        <v>Tủ điện DB3-HTB3</v>
      </c>
      <c r="C96" s="557">
        <v>1</v>
      </c>
      <c r="D96" s="557">
        <v>6</v>
      </c>
      <c r="E96" s="557">
        <v>2</v>
      </c>
      <c r="F96" s="557">
        <v>3</v>
      </c>
      <c r="G96" s="557">
        <v>1</v>
      </c>
      <c r="H96" s="557">
        <f t="shared" si="16"/>
        <v>2</v>
      </c>
      <c r="I96" s="557">
        <f t="shared" si="17"/>
        <v>2</v>
      </c>
      <c r="J96" s="557">
        <f t="shared" si="18"/>
        <v>2</v>
      </c>
      <c r="K96" s="557">
        <f t="shared" si="19"/>
        <v>1</v>
      </c>
      <c r="L96" s="557">
        <f t="shared" si="20"/>
        <v>1</v>
      </c>
      <c r="M96" s="557">
        <f t="shared" si="21"/>
        <v>1</v>
      </c>
      <c r="N96" s="557">
        <f t="shared" si="22"/>
        <v>1</v>
      </c>
      <c r="O96" s="557">
        <f t="shared" si="22"/>
        <v>6</v>
      </c>
      <c r="P96" s="557">
        <f t="shared" si="23"/>
        <v>5.6933099999999994</v>
      </c>
      <c r="Q96" s="557">
        <v>1</v>
      </c>
      <c r="R96" s="557">
        <v>1</v>
      </c>
      <c r="S96" s="557">
        <v>1</v>
      </c>
      <c r="T96" s="641"/>
    </row>
    <row r="97" spans="1:20">
      <c r="A97" s="640">
        <f>'[7]PPT - HT'!A94</f>
        <v>8</v>
      </c>
      <c r="B97" s="557" t="str">
        <f>'[7]PPT - HT'!C94</f>
        <v>Tủ điện DB3-HTB3.1</v>
      </c>
      <c r="C97" s="557">
        <v>1</v>
      </c>
      <c r="D97" s="557">
        <v>12</v>
      </c>
      <c r="E97" s="557">
        <v>1</v>
      </c>
      <c r="F97" s="557">
        <v>3</v>
      </c>
      <c r="G97" s="557">
        <v>1</v>
      </c>
      <c r="H97" s="557">
        <f t="shared" si="16"/>
        <v>1</v>
      </c>
      <c r="I97" s="557">
        <f t="shared" si="17"/>
        <v>1</v>
      </c>
      <c r="J97" s="557">
        <f t="shared" si="18"/>
        <v>1</v>
      </c>
      <c r="K97" s="557">
        <f t="shared" si="19"/>
        <v>1</v>
      </c>
      <c r="L97" s="557">
        <f t="shared" si="20"/>
        <v>1</v>
      </c>
      <c r="M97" s="557">
        <f t="shared" si="21"/>
        <v>1</v>
      </c>
      <c r="N97" s="557">
        <f t="shared" si="22"/>
        <v>1</v>
      </c>
      <c r="O97" s="557">
        <f t="shared" si="22"/>
        <v>12</v>
      </c>
      <c r="P97" s="557">
        <f t="shared" si="23"/>
        <v>5.1633099999999992</v>
      </c>
      <c r="Q97" s="557">
        <v>1</v>
      </c>
      <c r="R97" s="557">
        <v>1</v>
      </c>
      <c r="S97" s="557">
        <v>1</v>
      </c>
      <c r="T97" s="641"/>
    </row>
    <row r="98" spans="1:20">
      <c r="A98" s="640">
        <f>'[7]PPT - HT'!A95</f>
        <v>9</v>
      </c>
      <c r="B98" s="557" t="str">
        <f>'[7]PPT - HT'!C95</f>
        <v>Tủ điện DB3-HTB4</v>
      </c>
      <c r="C98" s="557">
        <v>1</v>
      </c>
      <c r="D98" s="557">
        <v>9</v>
      </c>
      <c r="E98" s="557">
        <v>3</v>
      </c>
      <c r="F98" s="557">
        <v>3</v>
      </c>
      <c r="G98" s="557">
        <v>1</v>
      </c>
      <c r="H98" s="557">
        <f t="shared" si="16"/>
        <v>3</v>
      </c>
      <c r="I98" s="557">
        <f t="shared" si="17"/>
        <v>3</v>
      </c>
      <c r="J98" s="557">
        <f t="shared" si="18"/>
        <v>3</v>
      </c>
      <c r="K98" s="557">
        <f t="shared" si="19"/>
        <v>1</v>
      </c>
      <c r="L98" s="557">
        <f t="shared" si="20"/>
        <v>1</v>
      </c>
      <c r="M98" s="557">
        <f t="shared" si="21"/>
        <v>1</v>
      </c>
      <c r="N98" s="557">
        <f t="shared" si="22"/>
        <v>1</v>
      </c>
      <c r="O98" s="557">
        <f t="shared" si="22"/>
        <v>9</v>
      </c>
      <c r="P98" s="557">
        <f t="shared" si="23"/>
        <v>6.6733099999999999</v>
      </c>
      <c r="Q98" s="557">
        <v>1</v>
      </c>
      <c r="R98" s="557">
        <v>1</v>
      </c>
      <c r="S98" s="557">
        <v>1</v>
      </c>
      <c r="T98" s="641"/>
    </row>
    <row r="99" spans="1:20">
      <c r="A99" s="640">
        <f>'[7]PPT - HT'!A96</f>
        <v>10</v>
      </c>
      <c r="B99" s="557" t="str">
        <f>'[7]PPT - HT'!C96</f>
        <v>Tủ điện DB3-HTB4.1</v>
      </c>
      <c r="C99" s="557">
        <v>1</v>
      </c>
      <c r="D99" s="557">
        <v>9</v>
      </c>
      <c r="E99" s="557">
        <v>1</v>
      </c>
      <c r="F99" s="557">
        <v>3</v>
      </c>
      <c r="G99" s="557">
        <v>1</v>
      </c>
      <c r="H99" s="557">
        <f t="shared" si="16"/>
        <v>1</v>
      </c>
      <c r="I99" s="557">
        <f t="shared" si="17"/>
        <v>1</v>
      </c>
      <c r="J99" s="557">
        <f t="shared" si="18"/>
        <v>1</v>
      </c>
      <c r="K99" s="557">
        <f t="shared" si="19"/>
        <v>1</v>
      </c>
      <c r="L99" s="557">
        <f t="shared" si="20"/>
        <v>1</v>
      </c>
      <c r="M99" s="557">
        <f t="shared" si="21"/>
        <v>1</v>
      </c>
      <c r="N99" s="557">
        <f t="shared" si="22"/>
        <v>1</v>
      </c>
      <c r="O99" s="557">
        <f t="shared" si="22"/>
        <v>9</v>
      </c>
      <c r="P99" s="557">
        <f t="shared" si="23"/>
        <v>5.0133099999999997</v>
      </c>
      <c r="Q99" s="557">
        <v>1</v>
      </c>
      <c r="R99" s="557">
        <v>1</v>
      </c>
      <c r="S99" s="557">
        <v>1</v>
      </c>
      <c r="T99" s="641"/>
    </row>
    <row r="100" spans="1:20">
      <c r="A100" s="640">
        <f>'[7]PPT - HT'!A97</f>
        <v>11</v>
      </c>
      <c r="B100" s="557" t="str">
        <f>'[7]PPT - HT'!C97</f>
        <v>Tủ điện DB3-HTB4.2</v>
      </c>
      <c r="C100" s="557">
        <v>1</v>
      </c>
      <c r="D100" s="557">
        <v>9</v>
      </c>
      <c r="E100" s="557">
        <v>2</v>
      </c>
      <c r="F100" s="557">
        <v>3</v>
      </c>
      <c r="G100" s="557">
        <v>1</v>
      </c>
      <c r="H100" s="557">
        <f t="shared" si="16"/>
        <v>2</v>
      </c>
      <c r="I100" s="557">
        <f t="shared" si="17"/>
        <v>2</v>
      </c>
      <c r="J100" s="557">
        <f t="shared" si="18"/>
        <v>2</v>
      </c>
      <c r="K100" s="557">
        <f t="shared" si="19"/>
        <v>1</v>
      </c>
      <c r="L100" s="557">
        <f t="shared" si="20"/>
        <v>1</v>
      </c>
      <c r="M100" s="557">
        <f t="shared" si="21"/>
        <v>1</v>
      </c>
      <c r="N100" s="557">
        <f t="shared" si="22"/>
        <v>1</v>
      </c>
      <c r="O100" s="557">
        <f t="shared" si="22"/>
        <v>9</v>
      </c>
      <c r="P100" s="557">
        <f t="shared" si="23"/>
        <v>5.8433099999999998</v>
      </c>
      <c r="Q100" s="557">
        <v>1</v>
      </c>
      <c r="R100" s="557">
        <v>1</v>
      </c>
      <c r="S100" s="557">
        <v>1</v>
      </c>
      <c r="T100" s="641"/>
    </row>
    <row r="101" spans="1:20">
      <c r="A101" s="640">
        <f>'[7]PPT - HT'!A98</f>
        <v>12</v>
      </c>
      <c r="B101" s="557" t="str">
        <f>'[7]PPT - HT'!C98</f>
        <v>Tủ điện DB3-HTB4.3</v>
      </c>
      <c r="C101" s="557">
        <v>1</v>
      </c>
      <c r="D101" s="557">
        <v>9</v>
      </c>
      <c r="E101" s="557">
        <v>1</v>
      </c>
      <c r="F101" s="557">
        <v>3</v>
      </c>
      <c r="G101" s="557">
        <v>1</v>
      </c>
      <c r="H101" s="557">
        <f t="shared" si="16"/>
        <v>1</v>
      </c>
      <c r="I101" s="557">
        <f t="shared" si="17"/>
        <v>1</v>
      </c>
      <c r="J101" s="557">
        <f t="shared" si="18"/>
        <v>1</v>
      </c>
      <c r="K101" s="557">
        <f t="shared" si="19"/>
        <v>1</v>
      </c>
      <c r="L101" s="557">
        <f t="shared" si="20"/>
        <v>1</v>
      </c>
      <c r="M101" s="557">
        <f t="shared" si="21"/>
        <v>1</v>
      </c>
      <c r="N101" s="557">
        <f t="shared" si="22"/>
        <v>1</v>
      </c>
      <c r="O101" s="557">
        <f t="shared" si="22"/>
        <v>9</v>
      </c>
      <c r="P101" s="557">
        <f t="shared" si="23"/>
        <v>5.0133099999999997</v>
      </c>
      <c r="Q101" s="557">
        <v>1</v>
      </c>
      <c r="R101" s="557">
        <v>1</v>
      </c>
      <c r="S101" s="557">
        <v>1</v>
      </c>
      <c r="T101" s="641"/>
    </row>
    <row r="102" spans="1:20" s="567" customFormat="1">
      <c r="A102" s="638" t="str">
        <f>'[7]PPT - HT'!A99</f>
        <v>III</v>
      </c>
      <c r="B102" s="569" t="str">
        <f>'[7]PPT - HT'!B99</f>
        <v>Đường dây hạ thế nhánh C (TBA 2000kVA XDM)</v>
      </c>
      <c r="C102" s="569"/>
      <c r="D102" s="569"/>
      <c r="E102" s="569"/>
      <c r="F102" s="557"/>
      <c r="G102" s="557"/>
      <c r="H102" s="557"/>
      <c r="I102" s="557"/>
      <c r="J102" s="557"/>
      <c r="K102" s="557"/>
      <c r="L102" s="557"/>
      <c r="M102" s="557"/>
      <c r="N102" s="557"/>
      <c r="O102" s="557"/>
      <c r="P102" s="557"/>
      <c r="Q102" s="557"/>
      <c r="R102" s="557"/>
      <c r="S102" s="557"/>
      <c r="T102" s="639"/>
    </row>
    <row r="103" spans="1:20">
      <c r="A103" s="640">
        <f>'[7]PPT - HT'!A100</f>
        <v>1</v>
      </c>
      <c r="B103" s="557" t="str">
        <f>'[7]PPT - HT'!C100</f>
        <v>Tủ điện DB3-HTC</v>
      </c>
      <c r="C103" s="557">
        <v>1</v>
      </c>
      <c r="D103" s="557">
        <v>8</v>
      </c>
      <c r="E103" s="557">
        <v>4</v>
      </c>
      <c r="F103" s="557">
        <v>3</v>
      </c>
      <c r="G103" s="557">
        <v>1</v>
      </c>
      <c r="H103" s="557">
        <f t="shared" si="16"/>
        <v>4</v>
      </c>
      <c r="I103" s="557">
        <f t="shared" si="17"/>
        <v>4</v>
      </c>
      <c r="J103" s="557">
        <f t="shared" si="18"/>
        <v>4</v>
      </c>
      <c r="K103" s="557">
        <f t="shared" si="19"/>
        <v>1</v>
      </c>
      <c r="L103" s="557">
        <f t="shared" si="20"/>
        <v>1</v>
      </c>
      <c r="M103" s="557">
        <f t="shared" si="21"/>
        <v>1</v>
      </c>
      <c r="N103" s="557">
        <f t="shared" si="22"/>
        <v>1</v>
      </c>
      <c r="O103" s="557">
        <f t="shared" si="22"/>
        <v>8</v>
      </c>
      <c r="P103" s="557">
        <f t="shared" si="23"/>
        <v>7.4533100000000001</v>
      </c>
      <c r="Q103" s="557">
        <v>1</v>
      </c>
      <c r="R103" s="557">
        <v>1</v>
      </c>
      <c r="S103" s="557">
        <v>1</v>
      </c>
      <c r="T103" s="641"/>
    </row>
    <row r="104" spans="1:20">
      <c r="A104" s="640">
        <f>'[7]PPT - HT'!A101</f>
        <v>2</v>
      </c>
      <c r="B104" s="557" t="str">
        <f>'[7]PPT - HT'!C101</f>
        <v>Tủ điện DB3-HTC1</v>
      </c>
      <c r="C104" s="557">
        <v>1</v>
      </c>
      <c r="D104" s="557">
        <v>12</v>
      </c>
      <c r="E104" s="557">
        <v>2</v>
      </c>
      <c r="F104" s="557">
        <v>3</v>
      </c>
      <c r="G104" s="557">
        <v>1</v>
      </c>
      <c r="H104" s="557">
        <f t="shared" si="16"/>
        <v>2</v>
      </c>
      <c r="I104" s="557">
        <f t="shared" si="17"/>
        <v>2</v>
      </c>
      <c r="J104" s="557">
        <f t="shared" si="18"/>
        <v>2</v>
      </c>
      <c r="K104" s="557">
        <f t="shared" si="19"/>
        <v>1</v>
      </c>
      <c r="L104" s="557">
        <f t="shared" si="20"/>
        <v>1</v>
      </c>
      <c r="M104" s="557">
        <f t="shared" si="21"/>
        <v>1</v>
      </c>
      <c r="N104" s="557">
        <f t="shared" si="22"/>
        <v>1</v>
      </c>
      <c r="O104" s="557">
        <f t="shared" si="22"/>
        <v>12</v>
      </c>
      <c r="P104" s="557">
        <f t="shared" si="23"/>
        <v>5.9933099999999992</v>
      </c>
      <c r="Q104" s="557">
        <v>1</v>
      </c>
      <c r="R104" s="557">
        <v>1</v>
      </c>
      <c r="S104" s="557">
        <v>1</v>
      </c>
      <c r="T104" s="641"/>
    </row>
    <row r="105" spans="1:20">
      <c r="A105" s="640">
        <f>'[7]PPT - HT'!A102</f>
        <v>3</v>
      </c>
      <c r="B105" s="557" t="str">
        <f>'[7]PPT - HT'!C102</f>
        <v>Tủ điện DB3-HTC1.1</v>
      </c>
      <c r="C105" s="557">
        <v>1</v>
      </c>
      <c r="D105" s="557">
        <v>8</v>
      </c>
      <c r="E105" s="557">
        <v>1</v>
      </c>
      <c r="F105" s="557">
        <v>3</v>
      </c>
      <c r="G105" s="557">
        <v>1</v>
      </c>
      <c r="H105" s="557">
        <f t="shared" si="16"/>
        <v>1</v>
      </c>
      <c r="I105" s="557">
        <f t="shared" si="17"/>
        <v>1</v>
      </c>
      <c r="J105" s="557">
        <f t="shared" si="18"/>
        <v>1</v>
      </c>
      <c r="K105" s="557">
        <f t="shared" si="19"/>
        <v>1</v>
      </c>
      <c r="L105" s="557">
        <f t="shared" si="20"/>
        <v>1</v>
      </c>
      <c r="M105" s="557">
        <f t="shared" si="21"/>
        <v>1</v>
      </c>
      <c r="N105" s="557">
        <f t="shared" si="22"/>
        <v>1</v>
      </c>
      <c r="O105" s="557">
        <f t="shared" si="22"/>
        <v>8</v>
      </c>
      <c r="P105" s="557">
        <f t="shared" si="23"/>
        <v>4.9633099999999999</v>
      </c>
      <c r="Q105" s="557">
        <v>1</v>
      </c>
      <c r="R105" s="557">
        <v>1</v>
      </c>
      <c r="S105" s="557">
        <v>1</v>
      </c>
      <c r="T105" s="641"/>
    </row>
    <row r="106" spans="1:20">
      <c r="A106" s="640">
        <f>'[7]PPT - HT'!A103</f>
        <v>4</v>
      </c>
      <c r="B106" s="557" t="str">
        <f>'[7]PPT - HT'!C103</f>
        <v>Tủ điện DB3-HTC2</v>
      </c>
      <c r="C106" s="557">
        <v>1</v>
      </c>
      <c r="D106" s="557">
        <v>12</v>
      </c>
      <c r="E106" s="557">
        <v>1</v>
      </c>
      <c r="F106" s="557">
        <v>3</v>
      </c>
      <c r="G106" s="557">
        <v>1</v>
      </c>
      <c r="H106" s="557">
        <f t="shared" si="16"/>
        <v>1</v>
      </c>
      <c r="I106" s="557">
        <f t="shared" si="17"/>
        <v>1</v>
      </c>
      <c r="J106" s="557">
        <f t="shared" si="18"/>
        <v>1</v>
      </c>
      <c r="K106" s="557">
        <f t="shared" si="19"/>
        <v>1</v>
      </c>
      <c r="L106" s="557">
        <f t="shared" si="20"/>
        <v>1</v>
      </c>
      <c r="M106" s="557">
        <f t="shared" si="21"/>
        <v>1</v>
      </c>
      <c r="N106" s="557">
        <f t="shared" si="22"/>
        <v>1</v>
      </c>
      <c r="O106" s="557">
        <f t="shared" si="22"/>
        <v>12</v>
      </c>
      <c r="P106" s="557">
        <f t="shared" si="23"/>
        <v>5.1633099999999992</v>
      </c>
      <c r="Q106" s="557">
        <v>1</v>
      </c>
      <c r="R106" s="557">
        <v>1</v>
      </c>
      <c r="S106" s="557">
        <v>1</v>
      </c>
      <c r="T106" s="641"/>
    </row>
    <row r="107" spans="1:20">
      <c r="A107" s="640">
        <f>'[7]PPT - HT'!A104</f>
        <v>5</v>
      </c>
      <c r="B107" s="557" t="str">
        <f>'[7]PPT - HT'!C104</f>
        <v>Tủ điện DB3-HTC3</v>
      </c>
      <c r="C107" s="557">
        <v>1</v>
      </c>
      <c r="D107" s="557">
        <v>8</v>
      </c>
      <c r="E107" s="557">
        <v>3</v>
      </c>
      <c r="F107" s="557">
        <v>3</v>
      </c>
      <c r="G107" s="557">
        <v>1</v>
      </c>
      <c r="H107" s="557">
        <f t="shared" si="16"/>
        <v>3</v>
      </c>
      <c r="I107" s="557">
        <f t="shared" si="17"/>
        <v>3</v>
      </c>
      <c r="J107" s="557">
        <f t="shared" si="18"/>
        <v>3</v>
      </c>
      <c r="K107" s="557">
        <f t="shared" si="19"/>
        <v>1</v>
      </c>
      <c r="L107" s="557">
        <f t="shared" si="20"/>
        <v>1</v>
      </c>
      <c r="M107" s="557">
        <f t="shared" si="21"/>
        <v>1</v>
      </c>
      <c r="N107" s="557">
        <f t="shared" si="22"/>
        <v>1</v>
      </c>
      <c r="O107" s="557">
        <f t="shared" si="22"/>
        <v>8</v>
      </c>
      <c r="P107" s="557">
        <f t="shared" si="23"/>
        <v>6.62331</v>
      </c>
      <c r="Q107" s="557">
        <v>1</v>
      </c>
      <c r="R107" s="557">
        <v>1</v>
      </c>
      <c r="S107" s="557">
        <v>1</v>
      </c>
      <c r="T107" s="641"/>
    </row>
    <row r="108" spans="1:20">
      <c r="A108" s="640">
        <f>'[7]PPT - HT'!A105</f>
        <v>6</v>
      </c>
      <c r="B108" s="557" t="str">
        <f>'[7]PPT - HT'!C105</f>
        <v>Tủ điện DB3-HTC3.1</v>
      </c>
      <c r="C108" s="557">
        <v>1</v>
      </c>
      <c r="D108" s="557">
        <v>12</v>
      </c>
      <c r="E108" s="557">
        <v>2</v>
      </c>
      <c r="F108" s="557">
        <v>3</v>
      </c>
      <c r="G108" s="557">
        <v>1</v>
      </c>
      <c r="H108" s="557">
        <f t="shared" si="16"/>
        <v>2</v>
      </c>
      <c r="I108" s="557">
        <f t="shared" si="17"/>
        <v>2</v>
      </c>
      <c r="J108" s="557">
        <f t="shared" si="18"/>
        <v>2</v>
      </c>
      <c r="K108" s="557">
        <f t="shared" si="19"/>
        <v>1</v>
      </c>
      <c r="L108" s="557">
        <f t="shared" si="20"/>
        <v>1</v>
      </c>
      <c r="M108" s="557">
        <f t="shared" si="21"/>
        <v>1</v>
      </c>
      <c r="N108" s="557">
        <f t="shared" si="22"/>
        <v>1</v>
      </c>
      <c r="O108" s="557">
        <f t="shared" si="22"/>
        <v>12</v>
      </c>
      <c r="P108" s="557">
        <f t="shared" si="23"/>
        <v>5.9933099999999992</v>
      </c>
      <c r="Q108" s="557">
        <v>1</v>
      </c>
      <c r="R108" s="557">
        <v>1</v>
      </c>
      <c r="S108" s="557">
        <v>1</v>
      </c>
      <c r="T108" s="641"/>
    </row>
    <row r="109" spans="1:20">
      <c r="A109" s="640">
        <f>'[7]PPT - HT'!A106</f>
        <v>7</v>
      </c>
      <c r="B109" s="557" t="str">
        <f>'[7]PPT - HT'!C106</f>
        <v>Tủ điện DB3-HTC3.2</v>
      </c>
      <c r="C109" s="557">
        <v>1</v>
      </c>
      <c r="D109" s="557">
        <v>8</v>
      </c>
      <c r="E109" s="557">
        <v>1</v>
      </c>
      <c r="F109" s="557">
        <v>3</v>
      </c>
      <c r="G109" s="557">
        <v>1</v>
      </c>
      <c r="H109" s="557">
        <f t="shared" si="16"/>
        <v>1</v>
      </c>
      <c r="I109" s="557">
        <f t="shared" si="17"/>
        <v>1</v>
      </c>
      <c r="J109" s="557">
        <f t="shared" si="18"/>
        <v>1</v>
      </c>
      <c r="K109" s="557">
        <f t="shared" si="19"/>
        <v>1</v>
      </c>
      <c r="L109" s="557">
        <f t="shared" si="20"/>
        <v>1</v>
      </c>
      <c r="M109" s="557">
        <f t="shared" si="21"/>
        <v>1</v>
      </c>
      <c r="N109" s="557">
        <f t="shared" si="22"/>
        <v>1</v>
      </c>
      <c r="O109" s="557">
        <f t="shared" si="22"/>
        <v>8</v>
      </c>
      <c r="P109" s="557">
        <f t="shared" si="23"/>
        <v>4.9633099999999999</v>
      </c>
      <c r="Q109" s="557">
        <v>1</v>
      </c>
      <c r="R109" s="557">
        <v>1</v>
      </c>
      <c r="S109" s="557">
        <v>1</v>
      </c>
      <c r="T109" s="641"/>
    </row>
    <row r="110" spans="1:20">
      <c r="A110" s="640">
        <f>'[7]PPT - HT'!A107</f>
        <v>8</v>
      </c>
      <c r="B110" s="557" t="str">
        <f>'[7]PPT - HT'!C107</f>
        <v>Tủ điện DB3-HTC3.3</v>
      </c>
      <c r="C110" s="557">
        <v>1</v>
      </c>
      <c r="D110" s="557">
        <v>12</v>
      </c>
      <c r="E110" s="557">
        <v>1</v>
      </c>
      <c r="F110" s="557">
        <v>3</v>
      </c>
      <c r="G110" s="557">
        <v>1</v>
      </c>
      <c r="H110" s="557">
        <f t="shared" si="16"/>
        <v>1</v>
      </c>
      <c r="I110" s="557">
        <f t="shared" si="17"/>
        <v>1</v>
      </c>
      <c r="J110" s="557">
        <f t="shared" si="18"/>
        <v>1</v>
      </c>
      <c r="K110" s="557">
        <f t="shared" si="19"/>
        <v>1</v>
      </c>
      <c r="L110" s="557">
        <f t="shared" si="20"/>
        <v>1</v>
      </c>
      <c r="M110" s="557">
        <f t="shared" si="21"/>
        <v>1</v>
      </c>
      <c r="N110" s="557">
        <f t="shared" si="22"/>
        <v>1</v>
      </c>
      <c r="O110" s="557">
        <f t="shared" si="22"/>
        <v>12</v>
      </c>
      <c r="P110" s="557">
        <f t="shared" si="23"/>
        <v>5.1633099999999992</v>
      </c>
      <c r="Q110" s="557">
        <v>1</v>
      </c>
      <c r="R110" s="557">
        <v>1</v>
      </c>
      <c r="S110" s="557">
        <v>1</v>
      </c>
      <c r="T110" s="641"/>
    </row>
    <row r="111" spans="1:20" s="567" customFormat="1">
      <c r="A111" s="638" t="str">
        <f>'[7]PPT - HT'!A108</f>
        <v>IV</v>
      </c>
      <c r="B111" s="569" t="str">
        <f>'[7]PPT - HT'!B108</f>
        <v>Đường dây hạ thế nhánh D (TBA 2000kVA XDM)</v>
      </c>
      <c r="C111" s="569"/>
      <c r="D111" s="569"/>
      <c r="E111" s="569"/>
      <c r="F111" s="557"/>
      <c r="G111" s="557"/>
      <c r="H111" s="557"/>
      <c r="I111" s="557"/>
      <c r="J111" s="557"/>
      <c r="K111" s="557"/>
      <c r="L111" s="557"/>
      <c r="M111" s="557"/>
      <c r="N111" s="557"/>
      <c r="O111" s="557"/>
      <c r="P111" s="557"/>
      <c r="Q111" s="557"/>
      <c r="R111" s="557"/>
      <c r="S111" s="557"/>
      <c r="T111" s="639"/>
    </row>
    <row r="112" spans="1:20">
      <c r="A112" s="640">
        <f>'[7]PPT - HT'!A109</f>
        <v>1</v>
      </c>
      <c r="B112" s="557" t="str">
        <f>'[7]PPT - HT'!C109</f>
        <v>Tủ điện DB3-HTD</v>
      </c>
      <c r="C112" s="557">
        <v>1</v>
      </c>
      <c r="D112" s="557">
        <v>9</v>
      </c>
      <c r="E112" s="557">
        <v>5</v>
      </c>
      <c r="F112" s="557">
        <v>3</v>
      </c>
      <c r="G112" s="557">
        <v>1</v>
      </c>
      <c r="H112" s="557">
        <f t="shared" si="16"/>
        <v>5</v>
      </c>
      <c r="I112" s="557">
        <f t="shared" si="17"/>
        <v>5</v>
      </c>
      <c r="J112" s="557">
        <f t="shared" si="18"/>
        <v>5</v>
      </c>
      <c r="K112" s="557">
        <f t="shared" si="19"/>
        <v>1</v>
      </c>
      <c r="L112" s="557">
        <f t="shared" si="20"/>
        <v>1</v>
      </c>
      <c r="M112" s="557">
        <f t="shared" si="21"/>
        <v>1</v>
      </c>
      <c r="N112" s="557">
        <f t="shared" si="22"/>
        <v>1</v>
      </c>
      <c r="O112" s="557">
        <f t="shared" si="22"/>
        <v>9</v>
      </c>
      <c r="P112" s="557">
        <f t="shared" si="23"/>
        <v>8.3333099999999991</v>
      </c>
      <c r="Q112" s="557">
        <v>1</v>
      </c>
      <c r="R112" s="557">
        <v>1</v>
      </c>
      <c r="S112" s="557">
        <v>1</v>
      </c>
      <c r="T112" s="641"/>
    </row>
    <row r="113" spans="1:20">
      <c r="A113" s="640">
        <f>'[7]PPT - HT'!A110</f>
        <v>2</v>
      </c>
      <c r="B113" s="557" t="str">
        <f>'[7]PPT - HT'!C110</f>
        <v>Tủ điện DB3-HTD1</v>
      </c>
      <c r="C113" s="557">
        <v>1</v>
      </c>
      <c r="D113" s="557">
        <v>9</v>
      </c>
      <c r="E113" s="557">
        <v>1</v>
      </c>
      <c r="F113" s="557">
        <v>3</v>
      </c>
      <c r="G113" s="557">
        <v>1</v>
      </c>
      <c r="H113" s="557">
        <f t="shared" si="16"/>
        <v>1</v>
      </c>
      <c r="I113" s="557">
        <f t="shared" si="17"/>
        <v>1</v>
      </c>
      <c r="J113" s="557">
        <f t="shared" si="18"/>
        <v>1</v>
      </c>
      <c r="K113" s="557">
        <f t="shared" si="19"/>
        <v>1</v>
      </c>
      <c r="L113" s="557">
        <f t="shared" si="20"/>
        <v>1</v>
      </c>
      <c r="M113" s="557">
        <f t="shared" si="21"/>
        <v>1</v>
      </c>
      <c r="N113" s="557">
        <f t="shared" si="22"/>
        <v>1</v>
      </c>
      <c r="O113" s="557">
        <f t="shared" si="22"/>
        <v>9</v>
      </c>
      <c r="P113" s="557">
        <f t="shared" si="23"/>
        <v>5.0133099999999997</v>
      </c>
      <c r="Q113" s="557">
        <v>1</v>
      </c>
      <c r="R113" s="557">
        <v>1</v>
      </c>
      <c r="S113" s="557">
        <v>1</v>
      </c>
      <c r="T113" s="641"/>
    </row>
    <row r="114" spans="1:20">
      <c r="A114" s="640">
        <f>'[7]PPT - HT'!A111</f>
        <v>3</v>
      </c>
      <c r="B114" s="557" t="str">
        <f>'[7]PPT - HT'!C111</f>
        <v>Tủ điện DB3-HTD2</v>
      </c>
      <c r="C114" s="557">
        <v>1</v>
      </c>
      <c r="D114" s="557">
        <v>9</v>
      </c>
      <c r="E114" s="557">
        <v>2</v>
      </c>
      <c r="F114" s="557">
        <v>3</v>
      </c>
      <c r="G114" s="557">
        <v>1</v>
      </c>
      <c r="H114" s="557">
        <f t="shared" si="16"/>
        <v>2</v>
      </c>
      <c r="I114" s="557">
        <f t="shared" si="17"/>
        <v>2</v>
      </c>
      <c r="J114" s="557">
        <f t="shared" si="18"/>
        <v>2</v>
      </c>
      <c r="K114" s="557">
        <f t="shared" si="19"/>
        <v>1</v>
      </c>
      <c r="L114" s="557">
        <f t="shared" si="20"/>
        <v>1</v>
      </c>
      <c r="M114" s="557">
        <f t="shared" si="21"/>
        <v>1</v>
      </c>
      <c r="N114" s="557">
        <f t="shared" si="22"/>
        <v>1</v>
      </c>
      <c r="O114" s="557">
        <f t="shared" si="22"/>
        <v>9</v>
      </c>
      <c r="P114" s="557">
        <f t="shared" si="23"/>
        <v>5.8433099999999998</v>
      </c>
      <c r="Q114" s="557">
        <v>1</v>
      </c>
      <c r="R114" s="557">
        <v>1</v>
      </c>
      <c r="S114" s="557">
        <v>1</v>
      </c>
      <c r="T114" s="641"/>
    </row>
    <row r="115" spans="1:20">
      <c r="A115" s="640">
        <f>'[7]PPT - HT'!A112</f>
        <v>4</v>
      </c>
      <c r="B115" s="557" t="str">
        <f>'[7]PPT - HT'!C112</f>
        <v>Tủ điện DB3-HTD2.1</v>
      </c>
      <c r="C115" s="557">
        <v>1</v>
      </c>
      <c r="D115" s="557">
        <v>10</v>
      </c>
      <c r="E115" s="557">
        <v>1</v>
      </c>
      <c r="F115" s="557">
        <v>3</v>
      </c>
      <c r="G115" s="557">
        <v>1</v>
      </c>
      <c r="H115" s="557">
        <f t="shared" si="16"/>
        <v>1</v>
      </c>
      <c r="I115" s="557">
        <f t="shared" si="17"/>
        <v>1</v>
      </c>
      <c r="J115" s="557">
        <f t="shared" si="18"/>
        <v>1</v>
      </c>
      <c r="K115" s="557">
        <f t="shared" si="19"/>
        <v>1</v>
      </c>
      <c r="L115" s="557">
        <f t="shared" si="20"/>
        <v>1</v>
      </c>
      <c r="M115" s="557">
        <f t="shared" si="21"/>
        <v>1</v>
      </c>
      <c r="N115" s="557">
        <f t="shared" si="22"/>
        <v>1</v>
      </c>
      <c r="O115" s="557">
        <f t="shared" si="22"/>
        <v>10</v>
      </c>
      <c r="P115" s="557">
        <f t="shared" si="23"/>
        <v>5.0633099999999995</v>
      </c>
      <c r="Q115" s="557">
        <v>1</v>
      </c>
      <c r="R115" s="557">
        <v>1</v>
      </c>
      <c r="S115" s="557">
        <v>1</v>
      </c>
      <c r="T115" s="641"/>
    </row>
    <row r="116" spans="1:20">
      <c r="A116" s="640">
        <f>'[7]PPT - HT'!A113</f>
        <v>5</v>
      </c>
      <c r="B116" s="557" t="str">
        <f>'[7]PPT - HT'!C113</f>
        <v>Tủ điện DB3-HTD3</v>
      </c>
      <c r="C116" s="557">
        <v>1</v>
      </c>
      <c r="D116" s="557">
        <v>9</v>
      </c>
      <c r="E116" s="557">
        <v>3</v>
      </c>
      <c r="F116" s="557">
        <v>3</v>
      </c>
      <c r="G116" s="557">
        <v>1</v>
      </c>
      <c r="H116" s="557">
        <f t="shared" si="16"/>
        <v>3</v>
      </c>
      <c r="I116" s="557">
        <f t="shared" si="17"/>
        <v>3</v>
      </c>
      <c r="J116" s="557">
        <f t="shared" si="18"/>
        <v>3</v>
      </c>
      <c r="K116" s="557">
        <f t="shared" si="19"/>
        <v>1</v>
      </c>
      <c r="L116" s="557">
        <f t="shared" si="20"/>
        <v>1</v>
      </c>
      <c r="M116" s="557">
        <f t="shared" si="21"/>
        <v>1</v>
      </c>
      <c r="N116" s="557">
        <f t="shared" si="22"/>
        <v>1</v>
      </c>
      <c r="O116" s="557">
        <f t="shared" si="22"/>
        <v>9</v>
      </c>
      <c r="P116" s="557">
        <f t="shared" si="23"/>
        <v>6.6733099999999999</v>
      </c>
      <c r="Q116" s="557">
        <v>1</v>
      </c>
      <c r="R116" s="557">
        <v>1</v>
      </c>
      <c r="S116" s="557">
        <v>1</v>
      </c>
      <c r="T116" s="641"/>
    </row>
    <row r="117" spans="1:20">
      <c r="A117" s="640">
        <f>'[7]PPT - HT'!A114</f>
        <v>6</v>
      </c>
      <c r="B117" s="557" t="str">
        <f>'[7]PPT - HT'!C114</f>
        <v>Tủ điện DB3-HTD3.1</v>
      </c>
      <c r="C117" s="557">
        <v>1</v>
      </c>
      <c r="D117" s="557">
        <v>10</v>
      </c>
      <c r="E117" s="557">
        <v>1</v>
      </c>
      <c r="F117" s="557">
        <v>3</v>
      </c>
      <c r="G117" s="557">
        <v>1</v>
      </c>
      <c r="H117" s="557">
        <f t="shared" si="16"/>
        <v>1</v>
      </c>
      <c r="I117" s="557">
        <f t="shared" si="17"/>
        <v>1</v>
      </c>
      <c r="J117" s="557">
        <f t="shared" si="18"/>
        <v>1</v>
      </c>
      <c r="K117" s="557">
        <f t="shared" si="19"/>
        <v>1</v>
      </c>
      <c r="L117" s="557">
        <f t="shared" si="20"/>
        <v>1</v>
      </c>
      <c r="M117" s="557">
        <f t="shared" si="21"/>
        <v>1</v>
      </c>
      <c r="N117" s="557">
        <f t="shared" si="22"/>
        <v>1</v>
      </c>
      <c r="O117" s="557">
        <f t="shared" si="22"/>
        <v>10</v>
      </c>
      <c r="P117" s="557">
        <f t="shared" si="23"/>
        <v>5.0633099999999995</v>
      </c>
      <c r="Q117" s="557">
        <v>1</v>
      </c>
      <c r="R117" s="557">
        <v>1</v>
      </c>
      <c r="S117" s="557">
        <v>1</v>
      </c>
      <c r="T117" s="641"/>
    </row>
    <row r="118" spans="1:20">
      <c r="A118" s="640">
        <f>'[7]PPT - HT'!A115</f>
        <v>7</v>
      </c>
      <c r="B118" s="557" t="str">
        <f>'[7]PPT - HT'!C115</f>
        <v>Tủ điện DB3-HTD3.2</v>
      </c>
      <c r="C118" s="557">
        <v>1</v>
      </c>
      <c r="D118" s="557">
        <v>9</v>
      </c>
      <c r="E118" s="557">
        <v>2</v>
      </c>
      <c r="F118" s="557">
        <v>3</v>
      </c>
      <c r="G118" s="557">
        <v>1</v>
      </c>
      <c r="H118" s="557">
        <f t="shared" si="16"/>
        <v>2</v>
      </c>
      <c r="I118" s="557">
        <f t="shared" si="17"/>
        <v>2</v>
      </c>
      <c r="J118" s="557">
        <f t="shared" si="18"/>
        <v>2</v>
      </c>
      <c r="K118" s="557">
        <f t="shared" si="19"/>
        <v>1</v>
      </c>
      <c r="L118" s="557">
        <f t="shared" si="20"/>
        <v>1</v>
      </c>
      <c r="M118" s="557">
        <f t="shared" si="21"/>
        <v>1</v>
      </c>
      <c r="N118" s="557">
        <f t="shared" si="22"/>
        <v>1</v>
      </c>
      <c r="O118" s="557">
        <f t="shared" si="22"/>
        <v>9</v>
      </c>
      <c r="P118" s="557">
        <f t="shared" si="23"/>
        <v>5.8433099999999998</v>
      </c>
      <c r="Q118" s="557">
        <v>1</v>
      </c>
      <c r="R118" s="557">
        <v>1</v>
      </c>
      <c r="S118" s="557">
        <v>1</v>
      </c>
      <c r="T118" s="641"/>
    </row>
    <row r="119" spans="1:20">
      <c r="A119" s="640">
        <f>'[7]PPT - HT'!A116</f>
        <v>8</v>
      </c>
      <c r="B119" s="557" t="str">
        <f>'[7]PPT - HT'!C116</f>
        <v>Tủ điện DB3-HTD3.3</v>
      </c>
      <c r="C119" s="557">
        <v>1</v>
      </c>
      <c r="D119" s="557">
        <v>10</v>
      </c>
      <c r="E119" s="557">
        <v>1</v>
      </c>
      <c r="F119" s="557">
        <v>3</v>
      </c>
      <c r="G119" s="557">
        <v>1</v>
      </c>
      <c r="H119" s="557">
        <f t="shared" si="16"/>
        <v>1</v>
      </c>
      <c r="I119" s="557">
        <f t="shared" si="17"/>
        <v>1</v>
      </c>
      <c r="J119" s="557">
        <f t="shared" si="18"/>
        <v>1</v>
      </c>
      <c r="K119" s="557">
        <f t="shared" si="19"/>
        <v>1</v>
      </c>
      <c r="L119" s="557">
        <f t="shared" si="20"/>
        <v>1</v>
      </c>
      <c r="M119" s="557">
        <f t="shared" si="21"/>
        <v>1</v>
      </c>
      <c r="N119" s="557">
        <f t="shared" si="22"/>
        <v>1</v>
      </c>
      <c r="O119" s="557">
        <f t="shared" si="22"/>
        <v>10</v>
      </c>
      <c r="P119" s="557">
        <f t="shared" si="23"/>
        <v>5.0633099999999995</v>
      </c>
      <c r="Q119" s="557">
        <v>1</v>
      </c>
      <c r="R119" s="557">
        <v>1</v>
      </c>
      <c r="S119" s="557">
        <v>1</v>
      </c>
      <c r="T119" s="641"/>
    </row>
    <row r="120" spans="1:20">
      <c r="A120" s="640">
        <f>'[7]PPT - HT'!A117</f>
        <v>9</v>
      </c>
      <c r="B120" s="557" t="str">
        <f>'[7]PPT - HT'!C117</f>
        <v>Tủ điện DB3-HTD4</v>
      </c>
      <c r="C120" s="557">
        <v>1</v>
      </c>
      <c r="D120" s="557">
        <v>9</v>
      </c>
      <c r="E120" s="557">
        <v>3</v>
      </c>
      <c r="F120" s="557">
        <v>3</v>
      </c>
      <c r="G120" s="557">
        <v>1</v>
      </c>
      <c r="H120" s="557">
        <f t="shared" si="16"/>
        <v>3</v>
      </c>
      <c r="I120" s="557">
        <f t="shared" si="17"/>
        <v>3</v>
      </c>
      <c r="J120" s="557">
        <f t="shared" si="18"/>
        <v>3</v>
      </c>
      <c r="K120" s="557">
        <f t="shared" si="19"/>
        <v>1</v>
      </c>
      <c r="L120" s="557">
        <f t="shared" si="20"/>
        <v>1</v>
      </c>
      <c r="M120" s="557">
        <f t="shared" si="21"/>
        <v>1</v>
      </c>
      <c r="N120" s="557">
        <f t="shared" si="22"/>
        <v>1</v>
      </c>
      <c r="O120" s="557">
        <f t="shared" si="22"/>
        <v>9</v>
      </c>
      <c r="P120" s="557">
        <f t="shared" si="23"/>
        <v>6.6733099999999999</v>
      </c>
      <c r="Q120" s="557">
        <v>1</v>
      </c>
      <c r="R120" s="557">
        <v>1</v>
      </c>
      <c r="S120" s="557">
        <v>1</v>
      </c>
      <c r="T120" s="641"/>
    </row>
    <row r="121" spans="1:20">
      <c r="A121" s="640">
        <f>'[7]PPT - HT'!A118</f>
        <v>10</v>
      </c>
      <c r="B121" s="557" t="str">
        <f>'[7]PPT - HT'!C118</f>
        <v>Tủ điện DB3-HTD4.1</v>
      </c>
      <c r="C121" s="557">
        <v>1</v>
      </c>
      <c r="D121" s="557">
        <v>10</v>
      </c>
      <c r="E121" s="557">
        <v>1</v>
      </c>
      <c r="F121" s="557">
        <v>3</v>
      </c>
      <c r="G121" s="557">
        <v>1</v>
      </c>
      <c r="H121" s="557">
        <f t="shared" si="16"/>
        <v>1</v>
      </c>
      <c r="I121" s="557">
        <f t="shared" si="17"/>
        <v>1</v>
      </c>
      <c r="J121" s="557">
        <f t="shared" si="18"/>
        <v>1</v>
      </c>
      <c r="K121" s="557">
        <f t="shared" si="19"/>
        <v>1</v>
      </c>
      <c r="L121" s="557">
        <f t="shared" si="20"/>
        <v>1</v>
      </c>
      <c r="M121" s="557">
        <f t="shared" si="21"/>
        <v>1</v>
      </c>
      <c r="N121" s="557">
        <f t="shared" si="22"/>
        <v>1</v>
      </c>
      <c r="O121" s="557">
        <f t="shared" si="22"/>
        <v>10</v>
      </c>
      <c r="P121" s="557">
        <f t="shared" si="23"/>
        <v>5.0633099999999995</v>
      </c>
      <c r="Q121" s="557">
        <v>1</v>
      </c>
      <c r="R121" s="557">
        <v>1</v>
      </c>
      <c r="S121" s="557">
        <v>1</v>
      </c>
      <c r="T121" s="641"/>
    </row>
    <row r="122" spans="1:20">
      <c r="A122" s="640">
        <f>'[7]PPT - HT'!A119</f>
        <v>11</v>
      </c>
      <c r="B122" s="557" t="str">
        <f>'[7]PPT - HT'!C119</f>
        <v>Tủ điện DB3-HTD4.2</v>
      </c>
      <c r="C122" s="557">
        <v>1</v>
      </c>
      <c r="D122" s="557">
        <v>9</v>
      </c>
      <c r="E122" s="557">
        <v>2</v>
      </c>
      <c r="F122" s="557">
        <v>3</v>
      </c>
      <c r="G122" s="557">
        <v>1</v>
      </c>
      <c r="H122" s="557">
        <f>E122</f>
        <v>2</v>
      </c>
      <c r="I122" s="557">
        <f>E122</f>
        <v>2</v>
      </c>
      <c r="J122" s="557">
        <f>E122</f>
        <v>2</v>
      </c>
      <c r="K122" s="557">
        <f>C122</f>
        <v>1</v>
      </c>
      <c r="L122" s="557">
        <f>C122</f>
        <v>1</v>
      </c>
      <c r="M122" s="557">
        <f>C122</f>
        <v>1</v>
      </c>
      <c r="N122" s="557">
        <f>C122</f>
        <v>1</v>
      </c>
      <c r="O122" s="557">
        <f>D122</f>
        <v>9</v>
      </c>
      <c r="P122" s="557">
        <f>SUMPRODUCT(F122:O122,$F$9:$O$9)</f>
        <v>5.8433099999999998</v>
      </c>
      <c r="Q122" s="557">
        <v>1</v>
      </c>
      <c r="R122" s="557">
        <v>1</v>
      </c>
      <c r="S122" s="557">
        <v>1</v>
      </c>
      <c r="T122" s="641"/>
    </row>
    <row r="123" spans="1:20">
      <c r="A123" s="640">
        <f>'[7]PPT - HT'!A120</f>
        <v>12</v>
      </c>
      <c r="B123" s="557" t="str">
        <f>'[7]PPT - HT'!C120</f>
        <v>Tủ điện DB3-HTD4.3</v>
      </c>
      <c r="C123" s="557">
        <v>1</v>
      </c>
      <c r="D123" s="557">
        <v>10</v>
      </c>
      <c r="E123" s="557">
        <v>1</v>
      </c>
      <c r="F123" s="557">
        <v>3</v>
      </c>
      <c r="G123" s="557">
        <v>1</v>
      </c>
      <c r="H123" s="557">
        <f>E123</f>
        <v>1</v>
      </c>
      <c r="I123" s="557">
        <f>E123</f>
        <v>1</v>
      </c>
      <c r="J123" s="557">
        <f>E123</f>
        <v>1</v>
      </c>
      <c r="K123" s="557">
        <f>C123</f>
        <v>1</v>
      </c>
      <c r="L123" s="557">
        <f>C123</f>
        <v>1</v>
      </c>
      <c r="M123" s="557">
        <f>C123</f>
        <v>1</v>
      </c>
      <c r="N123" s="557">
        <f>C123</f>
        <v>1</v>
      </c>
      <c r="O123" s="557">
        <f>D123</f>
        <v>10</v>
      </c>
      <c r="P123" s="557">
        <f>SUMPRODUCT(F123:O123,$F$9:$O$9)</f>
        <v>5.0633099999999995</v>
      </c>
      <c r="Q123" s="557">
        <v>1</v>
      </c>
      <c r="R123" s="557">
        <v>1</v>
      </c>
      <c r="S123" s="557">
        <v>1</v>
      </c>
      <c r="T123" s="641"/>
    </row>
    <row r="124" spans="1:20" s="567" customFormat="1" ht="14.25">
      <c r="A124" s="638" t="str">
        <f>'[7]PPT - HT'!A121</f>
        <v>V</v>
      </c>
      <c r="B124" s="569" t="str">
        <f>'[7]PPT - HT'!B121</f>
        <v>Đường dây hạ thế nhánh E (TBA 2000kVA XDM)</v>
      </c>
      <c r="C124" s="569"/>
      <c r="D124" s="569"/>
      <c r="E124" s="569"/>
      <c r="F124" s="569"/>
      <c r="G124" s="569"/>
      <c r="H124" s="569"/>
      <c r="I124" s="569"/>
      <c r="J124" s="569"/>
      <c r="K124" s="569"/>
      <c r="L124" s="569"/>
      <c r="M124" s="569"/>
      <c r="N124" s="569"/>
      <c r="O124" s="569"/>
      <c r="P124" s="569"/>
      <c r="Q124" s="569"/>
      <c r="R124" s="569"/>
      <c r="S124" s="569"/>
      <c r="T124" s="639"/>
    </row>
    <row r="125" spans="1:20">
      <c r="A125" s="640">
        <f>'[7]PPT - HT'!A122</f>
        <v>1</v>
      </c>
      <c r="B125" s="557" t="str">
        <f>'[7]PPT - HT'!C122</f>
        <v>Tủ điện DB3-HTE</v>
      </c>
      <c r="C125" s="557">
        <v>1</v>
      </c>
      <c r="D125" s="557">
        <v>10</v>
      </c>
      <c r="E125" s="557">
        <v>4</v>
      </c>
      <c r="F125" s="557">
        <v>3</v>
      </c>
      <c r="G125" s="557">
        <v>1</v>
      </c>
      <c r="H125" s="557">
        <f t="shared" si="16"/>
        <v>4</v>
      </c>
      <c r="I125" s="557">
        <f t="shared" si="17"/>
        <v>4</v>
      </c>
      <c r="J125" s="557">
        <f t="shared" si="18"/>
        <v>4</v>
      </c>
      <c r="K125" s="557">
        <f t="shared" si="19"/>
        <v>1</v>
      </c>
      <c r="L125" s="557">
        <f t="shared" si="20"/>
        <v>1</v>
      </c>
      <c r="M125" s="557">
        <f t="shared" si="21"/>
        <v>1</v>
      </c>
      <c r="N125" s="557">
        <f t="shared" si="22"/>
        <v>1</v>
      </c>
      <c r="O125" s="557">
        <f t="shared" si="22"/>
        <v>10</v>
      </c>
      <c r="P125" s="557">
        <f t="shared" si="23"/>
        <v>7.5533099999999997</v>
      </c>
      <c r="Q125" s="557">
        <v>1</v>
      </c>
      <c r="R125" s="557">
        <v>1</v>
      </c>
      <c r="S125" s="557">
        <v>1</v>
      </c>
      <c r="T125" s="641"/>
    </row>
    <row r="126" spans="1:20">
      <c r="A126" s="640">
        <f>'[7]PPT - HT'!A123</f>
        <v>2</v>
      </c>
      <c r="B126" s="557" t="str">
        <f>'[7]PPT - HT'!C123</f>
        <v>Tủ điện DB3-HTE1</v>
      </c>
      <c r="C126" s="557">
        <v>1</v>
      </c>
      <c r="D126" s="557">
        <v>10</v>
      </c>
      <c r="E126" s="557">
        <v>1</v>
      </c>
      <c r="F126" s="557">
        <v>3</v>
      </c>
      <c r="G126" s="557">
        <v>1</v>
      </c>
      <c r="H126" s="557">
        <f t="shared" si="16"/>
        <v>1</v>
      </c>
      <c r="I126" s="557">
        <f t="shared" si="17"/>
        <v>1</v>
      </c>
      <c r="J126" s="557">
        <f t="shared" si="18"/>
        <v>1</v>
      </c>
      <c r="K126" s="557">
        <f t="shared" si="19"/>
        <v>1</v>
      </c>
      <c r="L126" s="557">
        <f t="shared" si="20"/>
        <v>1</v>
      </c>
      <c r="M126" s="557">
        <f t="shared" si="21"/>
        <v>1</v>
      </c>
      <c r="N126" s="557">
        <f t="shared" si="22"/>
        <v>1</v>
      </c>
      <c r="O126" s="557">
        <f t="shared" si="22"/>
        <v>10</v>
      </c>
      <c r="P126" s="557">
        <f t="shared" si="23"/>
        <v>5.0633099999999995</v>
      </c>
      <c r="Q126" s="557">
        <v>1</v>
      </c>
      <c r="R126" s="557">
        <v>1</v>
      </c>
      <c r="S126" s="557">
        <v>1</v>
      </c>
      <c r="T126" s="641"/>
    </row>
    <row r="127" spans="1:20">
      <c r="A127" s="640">
        <f>'[7]PPT - HT'!A124</f>
        <v>3</v>
      </c>
      <c r="B127" s="557" t="str">
        <f>'[7]PPT - HT'!C124</f>
        <v>Tủ điện DB3-HTE2</v>
      </c>
      <c r="C127" s="557">
        <v>1</v>
      </c>
      <c r="D127" s="557">
        <v>10</v>
      </c>
      <c r="E127" s="557">
        <v>2</v>
      </c>
      <c r="F127" s="557">
        <v>3</v>
      </c>
      <c r="G127" s="557">
        <v>1</v>
      </c>
      <c r="H127" s="557">
        <f t="shared" si="16"/>
        <v>2</v>
      </c>
      <c r="I127" s="557">
        <f t="shared" si="17"/>
        <v>2</v>
      </c>
      <c r="J127" s="557">
        <f t="shared" si="18"/>
        <v>2</v>
      </c>
      <c r="K127" s="557">
        <f t="shared" si="19"/>
        <v>1</v>
      </c>
      <c r="L127" s="557">
        <f t="shared" si="20"/>
        <v>1</v>
      </c>
      <c r="M127" s="557">
        <f t="shared" si="21"/>
        <v>1</v>
      </c>
      <c r="N127" s="557">
        <f t="shared" si="22"/>
        <v>1</v>
      </c>
      <c r="O127" s="557">
        <f t="shared" si="22"/>
        <v>10</v>
      </c>
      <c r="P127" s="557">
        <f t="shared" si="23"/>
        <v>5.8933099999999996</v>
      </c>
      <c r="Q127" s="557">
        <v>1</v>
      </c>
      <c r="R127" s="557">
        <v>1</v>
      </c>
      <c r="S127" s="557">
        <v>1</v>
      </c>
      <c r="T127" s="641"/>
    </row>
    <row r="128" spans="1:20">
      <c r="A128" s="640">
        <f>'[7]PPT - HT'!A125</f>
        <v>4</v>
      </c>
      <c r="B128" s="557" t="str">
        <f>'[7]PPT - HT'!C125</f>
        <v>Tủ điện DB3-HTE2.1</v>
      </c>
      <c r="C128" s="557">
        <v>1</v>
      </c>
      <c r="D128" s="557">
        <v>10</v>
      </c>
      <c r="E128" s="557">
        <v>1</v>
      </c>
      <c r="F128" s="557">
        <v>3</v>
      </c>
      <c r="G128" s="557">
        <v>1</v>
      </c>
      <c r="H128" s="557">
        <f t="shared" si="16"/>
        <v>1</v>
      </c>
      <c r="I128" s="557">
        <f t="shared" si="17"/>
        <v>1</v>
      </c>
      <c r="J128" s="557">
        <f t="shared" si="18"/>
        <v>1</v>
      </c>
      <c r="K128" s="557">
        <f t="shared" si="19"/>
        <v>1</v>
      </c>
      <c r="L128" s="557">
        <f t="shared" si="20"/>
        <v>1</v>
      </c>
      <c r="M128" s="557">
        <f t="shared" si="21"/>
        <v>1</v>
      </c>
      <c r="N128" s="557">
        <f t="shared" si="22"/>
        <v>1</v>
      </c>
      <c r="O128" s="557">
        <f t="shared" si="22"/>
        <v>10</v>
      </c>
      <c r="P128" s="557">
        <f t="shared" si="23"/>
        <v>5.0633099999999995</v>
      </c>
      <c r="Q128" s="557">
        <v>1</v>
      </c>
      <c r="R128" s="557">
        <v>1</v>
      </c>
      <c r="S128" s="557">
        <v>1</v>
      </c>
      <c r="T128" s="641"/>
    </row>
    <row r="129" spans="1:20">
      <c r="A129" s="640">
        <f>'[7]PPT - HT'!A126</f>
        <v>5</v>
      </c>
      <c r="B129" s="557" t="str">
        <f>'[7]PPT - HT'!C126</f>
        <v>Tủ điện DB3-HTE3</v>
      </c>
      <c r="C129" s="557">
        <v>1</v>
      </c>
      <c r="D129" s="557">
        <v>9</v>
      </c>
      <c r="E129" s="557">
        <v>2</v>
      </c>
      <c r="F129" s="557">
        <v>3</v>
      </c>
      <c r="G129" s="557">
        <v>1</v>
      </c>
      <c r="H129" s="557">
        <f t="shared" si="16"/>
        <v>2</v>
      </c>
      <c r="I129" s="557">
        <f t="shared" si="17"/>
        <v>2</v>
      </c>
      <c r="J129" s="557">
        <f t="shared" si="18"/>
        <v>2</v>
      </c>
      <c r="K129" s="557">
        <f t="shared" si="19"/>
        <v>1</v>
      </c>
      <c r="L129" s="557">
        <f t="shared" si="20"/>
        <v>1</v>
      </c>
      <c r="M129" s="557">
        <f t="shared" si="21"/>
        <v>1</v>
      </c>
      <c r="N129" s="557">
        <f t="shared" si="22"/>
        <v>1</v>
      </c>
      <c r="O129" s="557">
        <f t="shared" si="22"/>
        <v>9</v>
      </c>
      <c r="P129" s="557">
        <f t="shared" si="23"/>
        <v>5.8433099999999998</v>
      </c>
      <c r="Q129" s="557">
        <v>1</v>
      </c>
      <c r="R129" s="557">
        <v>1</v>
      </c>
      <c r="S129" s="557">
        <v>1</v>
      </c>
      <c r="T129" s="641"/>
    </row>
    <row r="130" spans="1:20">
      <c r="A130" s="640">
        <f>'[7]PPT - HT'!A127</f>
        <v>6</v>
      </c>
      <c r="B130" s="557" t="str">
        <f>'[7]PPT - HT'!C127</f>
        <v>Tủ điện DB3-HTE3.1</v>
      </c>
      <c r="C130" s="557">
        <v>1</v>
      </c>
      <c r="D130" s="557">
        <v>9</v>
      </c>
      <c r="E130" s="557">
        <v>1</v>
      </c>
      <c r="F130" s="557">
        <v>3</v>
      </c>
      <c r="G130" s="557">
        <v>1</v>
      </c>
      <c r="H130" s="557">
        <f t="shared" si="16"/>
        <v>1</v>
      </c>
      <c r="I130" s="557">
        <f t="shared" si="17"/>
        <v>1</v>
      </c>
      <c r="J130" s="557">
        <f t="shared" si="18"/>
        <v>1</v>
      </c>
      <c r="K130" s="557">
        <f t="shared" si="19"/>
        <v>1</v>
      </c>
      <c r="L130" s="557">
        <f t="shared" si="20"/>
        <v>1</v>
      </c>
      <c r="M130" s="557">
        <f t="shared" si="21"/>
        <v>1</v>
      </c>
      <c r="N130" s="557">
        <f t="shared" si="22"/>
        <v>1</v>
      </c>
      <c r="O130" s="557">
        <f t="shared" si="22"/>
        <v>9</v>
      </c>
      <c r="P130" s="557">
        <f t="shared" si="23"/>
        <v>5.0133099999999997</v>
      </c>
      <c r="Q130" s="557">
        <v>1</v>
      </c>
      <c r="R130" s="557">
        <v>1</v>
      </c>
      <c r="S130" s="557">
        <v>1</v>
      </c>
      <c r="T130" s="641"/>
    </row>
    <row r="131" spans="1:20">
      <c r="A131" s="640"/>
      <c r="B131" s="557"/>
      <c r="C131" s="557"/>
      <c r="D131" s="557"/>
      <c r="E131" s="557"/>
      <c r="F131" s="557"/>
      <c r="G131" s="557"/>
      <c r="H131" s="557"/>
      <c r="I131" s="557"/>
      <c r="J131" s="557"/>
      <c r="K131" s="557"/>
      <c r="L131" s="557"/>
      <c r="M131" s="557"/>
      <c r="N131" s="557"/>
      <c r="O131" s="557"/>
      <c r="P131" s="557"/>
      <c r="Q131" s="557"/>
      <c r="R131" s="557"/>
      <c r="S131" s="557"/>
      <c r="T131" s="641"/>
    </row>
    <row r="132" spans="1:20" s="567" customFormat="1" thickBot="1">
      <c r="A132" s="642" t="s">
        <v>60</v>
      </c>
      <c r="B132" s="643"/>
      <c r="C132" s="643">
        <f>SUM(C12:C131)</f>
        <v>104</v>
      </c>
      <c r="D132" s="643">
        <f t="shared" ref="D132:S132" si="24">SUM(D12:D131)</f>
        <v>947</v>
      </c>
      <c r="E132" s="643">
        <f t="shared" si="24"/>
        <v>196</v>
      </c>
      <c r="F132" s="643">
        <f t="shared" si="24"/>
        <v>312</v>
      </c>
      <c r="G132" s="643">
        <f t="shared" si="24"/>
        <v>104</v>
      </c>
      <c r="H132" s="643">
        <f t="shared" si="24"/>
        <v>196</v>
      </c>
      <c r="I132" s="643">
        <f>SUM(I12:I131)</f>
        <v>196</v>
      </c>
      <c r="J132" s="643">
        <f t="shared" si="24"/>
        <v>196</v>
      </c>
      <c r="K132" s="643">
        <f t="shared" si="24"/>
        <v>104</v>
      </c>
      <c r="L132" s="643">
        <f t="shared" si="24"/>
        <v>104</v>
      </c>
      <c r="M132" s="643">
        <f t="shared" si="24"/>
        <v>104</v>
      </c>
      <c r="N132" s="643">
        <f t="shared" si="24"/>
        <v>104</v>
      </c>
      <c r="O132" s="643">
        <f t="shared" si="24"/>
        <v>947</v>
      </c>
      <c r="P132" s="643">
        <f t="shared" si="24"/>
        <v>598.29424000000006</v>
      </c>
      <c r="Q132" s="643">
        <f t="shared" si="24"/>
        <v>104</v>
      </c>
      <c r="R132" s="643">
        <f t="shared" si="24"/>
        <v>104</v>
      </c>
      <c r="S132" s="643">
        <f t="shared" si="24"/>
        <v>104</v>
      </c>
      <c r="T132" s="644"/>
    </row>
    <row r="133" spans="1:20" ht="15.75" thickTop="1"/>
  </sheetData>
  <mergeCells count="26">
    <mergeCell ref="A2:T2"/>
    <mergeCell ref="A5:A7"/>
    <mergeCell ref="B5:B7"/>
    <mergeCell ref="C5:E5"/>
    <mergeCell ref="F5:P5"/>
    <mergeCell ref="Q5:R5"/>
    <mergeCell ref="S5:S7"/>
    <mergeCell ref="T5:T7"/>
    <mergeCell ref="C6:C7"/>
    <mergeCell ref="D6:D7"/>
    <mergeCell ref="Q6:Q7"/>
    <mergeCell ref="R6:R7"/>
    <mergeCell ref="N6:N7"/>
    <mergeCell ref="O6:O7"/>
    <mergeCell ref="P6:P7"/>
    <mergeCell ref="A8:B9"/>
    <mergeCell ref="E8:E9"/>
    <mergeCell ref="K6:K7"/>
    <mergeCell ref="L6:L7"/>
    <mergeCell ref="M6:M7"/>
    <mergeCell ref="E6:E7"/>
    <mergeCell ref="F6:F7"/>
    <mergeCell ref="G6:G7"/>
    <mergeCell ref="H6:H7"/>
    <mergeCell ref="I6:I7"/>
    <mergeCell ref="J6:J7"/>
  </mergeCells>
  <pageMargins left="0.7" right="0.7" top="0.75" bottom="0.75" header="0.3" footer="0.3"/>
  <pageSetup orientation="portrait" r:id="rId1"/>
  <drawing r:id="rId2"/>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466"/>
  <sheetViews>
    <sheetView zoomScale="85" zoomScaleNormal="85" workbookViewId="0">
      <pane ySplit="6" topLeftCell="A7" activePane="bottomLeft" state="frozen"/>
      <selection activeCell="A18" sqref="A18"/>
      <selection pane="bottomLeft" activeCell="A18" sqref="A18"/>
    </sheetView>
  </sheetViews>
  <sheetFormatPr defaultColWidth="4.28515625" defaultRowHeight="12.75"/>
  <cols>
    <col min="1" max="1" width="10.7109375" style="224" customWidth="1"/>
    <col min="2" max="3" width="8.85546875" style="223" customWidth="1"/>
    <col min="4" max="4" width="4.42578125" style="224" customWidth="1"/>
    <col min="5" max="5" width="7.140625" style="223" customWidth="1"/>
    <col min="6" max="6" width="7.85546875" style="223" customWidth="1"/>
    <col min="7" max="8" width="8.28515625" style="223" customWidth="1"/>
    <col min="9" max="9" width="7.85546875" style="224" customWidth="1"/>
    <col min="10" max="10" width="7.28515625" style="224" customWidth="1"/>
    <col min="11" max="11" width="6.85546875" style="224" customWidth="1"/>
    <col min="12" max="12" width="9.28515625" style="224" customWidth="1"/>
    <col min="13" max="13" width="7.42578125" style="224" customWidth="1"/>
    <col min="14" max="14" width="6.28515625" style="224" customWidth="1"/>
    <col min="15" max="15" width="7.7109375" style="224" customWidth="1"/>
    <col min="16" max="16" width="6.28515625" style="224" customWidth="1"/>
    <col min="17" max="17" width="4.85546875" style="224" customWidth="1"/>
    <col min="18" max="18" width="6" style="224" hidden="1" customWidth="1"/>
    <col min="19" max="19" width="6.42578125" style="224" customWidth="1"/>
    <col min="20" max="20" width="7.42578125" style="224" customWidth="1"/>
    <col min="21" max="21" width="6.5703125" style="224" customWidth="1"/>
    <col min="22" max="22" width="5.140625" style="224" customWidth="1"/>
    <col min="23" max="23" width="8.28515625" style="224" customWidth="1"/>
    <col min="24" max="24" width="6.140625" style="224" hidden="1" customWidth="1"/>
    <col min="25" max="25" width="7" style="224" customWidth="1"/>
    <col min="26" max="27" width="5.5703125" style="224" customWidth="1"/>
    <col min="28" max="28" width="4.5703125" style="224" customWidth="1"/>
    <col min="29" max="253" width="4.28515625" style="224"/>
    <col min="254" max="254" width="10.7109375" style="224" customWidth="1"/>
    <col min="255" max="256" width="8.85546875" style="224" customWidth="1"/>
    <col min="257" max="257" width="4.42578125" style="224" customWidth="1"/>
    <col min="258" max="258" width="7.140625" style="224" customWidth="1"/>
    <col min="259" max="259" width="7.85546875" style="224" customWidth="1"/>
    <col min="260" max="260" width="8.28515625" style="224" customWidth="1"/>
    <col min="261" max="261" width="4.85546875" style="224" customWidth="1"/>
    <col min="262" max="262" width="5.85546875" style="224" customWidth="1"/>
    <col min="263" max="263" width="5.5703125" style="224" customWidth="1"/>
    <col min="264" max="264" width="6" style="224" customWidth="1"/>
    <col min="265" max="265" width="5.5703125" style="224" customWidth="1"/>
    <col min="266" max="266" width="6.28515625" style="224" customWidth="1"/>
    <col min="267" max="267" width="4.85546875" style="224" customWidth="1"/>
    <col min="268" max="268" width="6.28515625" style="224" customWidth="1"/>
    <col min="269" max="269" width="4.85546875" style="224" customWidth="1"/>
    <col min="270" max="270" width="6" style="224" customWidth="1"/>
    <col min="271" max="271" width="4.85546875" style="224" customWidth="1"/>
    <col min="272" max="272" width="5.7109375" style="224" customWidth="1"/>
    <col min="273" max="273" width="6.5703125" style="224" customWidth="1"/>
    <col min="274" max="274" width="5.140625" style="224" customWidth="1"/>
    <col min="275" max="275" width="6.42578125" style="224" customWidth="1"/>
    <col min="276" max="281" width="5.5703125" style="224" customWidth="1"/>
    <col min="282" max="282" width="4.5703125" style="224" customWidth="1"/>
    <col min="283" max="283" width="4.28515625" style="224"/>
    <col min="284" max="284" width="8.140625" style="224" bestFit="1" customWidth="1"/>
    <col min="285" max="509" width="4.28515625" style="224"/>
    <col min="510" max="510" width="10.7109375" style="224" customWidth="1"/>
    <col min="511" max="512" width="8.85546875" style="224" customWidth="1"/>
    <col min="513" max="513" width="4.42578125" style="224" customWidth="1"/>
    <col min="514" max="514" width="7.140625" style="224" customWidth="1"/>
    <col min="515" max="515" width="7.85546875" style="224" customWidth="1"/>
    <col min="516" max="516" width="8.28515625" style="224" customWidth="1"/>
    <col min="517" max="517" width="4.85546875" style="224" customWidth="1"/>
    <col min="518" max="518" width="5.85546875" style="224" customWidth="1"/>
    <col min="519" max="519" width="5.5703125" style="224" customWidth="1"/>
    <col min="520" max="520" width="6" style="224" customWidth="1"/>
    <col min="521" max="521" width="5.5703125" style="224" customWidth="1"/>
    <col min="522" max="522" width="6.28515625" style="224" customWidth="1"/>
    <col min="523" max="523" width="4.85546875" style="224" customWidth="1"/>
    <col min="524" max="524" width="6.28515625" style="224" customWidth="1"/>
    <col min="525" max="525" width="4.85546875" style="224" customWidth="1"/>
    <col min="526" max="526" width="6" style="224" customWidth="1"/>
    <col min="527" max="527" width="4.85546875" style="224" customWidth="1"/>
    <col min="528" max="528" width="5.7109375" style="224" customWidth="1"/>
    <col min="529" max="529" width="6.5703125" style="224" customWidth="1"/>
    <col min="530" max="530" width="5.140625" style="224" customWidth="1"/>
    <col min="531" max="531" width="6.42578125" style="224" customWidth="1"/>
    <col min="532" max="537" width="5.5703125" style="224" customWidth="1"/>
    <col min="538" max="538" width="4.5703125" style="224" customWidth="1"/>
    <col min="539" max="539" width="4.28515625" style="224"/>
    <col min="540" max="540" width="8.140625" style="224" bestFit="1" customWidth="1"/>
    <col min="541" max="765" width="4.28515625" style="224"/>
    <col min="766" max="766" width="10.7109375" style="224" customWidth="1"/>
    <col min="767" max="768" width="8.85546875" style="224" customWidth="1"/>
    <col min="769" max="769" width="4.42578125" style="224" customWidth="1"/>
    <col min="770" max="770" width="7.140625" style="224" customWidth="1"/>
    <col min="771" max="771" width="7.85546875" style="224" customWidth="1"/>
    <col min="772" max="772" width="8.28515625" style="224" customWidth="1"/>
    <col min="773" max="773" width="4.85546875" style="224" customWidth="1"/>
    <col min="774" max="774" width="5.85546875" style="224" customWidth="1"/>
    <col min="775" max="775" width="5.5703125" style="224" customWidth="1"/>
    <col min="776" max="776" width="6" style="224" customWidth="1"/>
    <col min="777" max="777" width="5.5703125" style="224" customWidth="1"/>
    <col min="778" max="778" width="6.28515625" style="224" customWidth="1"/>
    <col min="779" max="779" width="4.85546875" style="224" customWidth="1"/>
    <col min="780" max="780" width="6.28515625" style="224" customWidth="1"/>
    <col min="781" max="781" width="4.85546875" style="224" customWidth="1"/>
    <col min="782" max="782" width="6" style="224" customWidth="1"/>
    <col min="783" max="783" width="4.85546875" style="224" customWidth="1"/>
    <col min="784" max="784" width="5.7109375" style="224" customWidth="1"/>
    <col min="785" max="785" width="6.5703125" style="224" customWidth="1"/>
    <col min="786" max="786" width="5.140625" style="224" customWidth="1"/>
    <col min="787" max="787" width="6.42578125" style="224" customWidth="1"/>
    <col min="788" max="793" width="5.5703125" style="224" customWidth="1"/>
    <col min="794" max="794" width="4.5703125" style="224" customWidth="1"/>
    <col min="795" max="795" width="4.28515625" style="224"/>
    <col min="796" max="796" width="8.140625" style="224" bestFit="1" customWidth="1"/>
    <col min="797" max="1021" width="4.28515625" style="224"/>
    <col min="1022" max="1022" width="10.7109375" style="224" customWidth="1"/>
    <col min="1023" max="1024" width="8.85546875" style="224" customWidth="1"/>
    <col min="1025" max="1025" width="4.42578125" style="224" customWidth="1"/>
    <col min="1026" max="1026" width="7.140625" style="224" customWidth="1"/>
    <col min="1027" max="1027" width="7.85546875" style="224" customWidth="1"/>
    <col min="1028" max="1028" width="8.28515625" style="224" customWidth="1"/>
    <col min="1029" max="1029" width="4.85546875" style="224" customWidth="1"/>
    <col min="1030" max="1030" width="5.85546875" style="224" customWidth="1"/>
    <col min="1031" max="1031" width="5.5703125" style="224" customWidth="1"/>
    <col min="1032" max="1032" width="6" style="224" customWidth="1"/>
    <col min="1033" max="1033" width="5.5703125" style="224" customWidth="1"/>
    <col min="1034" max="1034" width="6.28515625" style="224" customWidth="1"/>
    <col min="1035" max="1035" width="4.85546875" style="224" customWidth="1"/>
    <col min="1036" max="1036" width="6.28515625" style="224" customWidth="1"/>
    <col min="1037" max="1037" width="4.85546875" style="224" customWidth="1"/>
    <col min="1038" max="1038" width="6" style="224" customWidth="1"/>
    <col min="1039" max="1039" width="4.85546875" style="224" customWidth="1"/>
    <col min="1040" max="1040" width="5.7109375" style="224" customWidth="1"/>
    <col min="1041" max="1041" width="6.5703125" style="224" customWidth="1"/>
    <col min="1042" max="1042" width="5.140625" style="224" customWidth="1"/>
    <col min="1043" max="1043" width="6.42578125" style="224" customWidth="1"/>
    <col min="1044" max="1049" width="5.5703125" style="224" customWidth="1"/>
    <col min="1050" max="1050" width="4.5703125" style="224" customWidth="1"/>
    <col min="1051" max="1051" width="4.28515625" style="224"/>
    <col min="1052" max="1052" width="8.140625" style="224" bestFit="1" customWidth="1"/>
    <col min="1053" max="1277" width="4.28515625" style="224"/>
    <col min="1278" max="1278" width="10.7109375" style="224" customWidth="1"/>
    <col min="1279" max="1280" width="8.85546875" style="224" customWidth="1"/>
    <col min="1281" max="1281" width="4.42578125" style="224" customWidth="1"/>
    <col min="1282" max="1282" width="7.140625" style="224" customWidth="1"/>
    <col min="1283" max="1283" width="7.85546875" style="224" customWidth="1"/>
    <col min="1284" max="1284" width="8.28515625" style="224" customWidth="1"/>
    <col min="1285" max="1285" width="4.85546875" style="224" customWidth="1"/>
    <col min="1286" max="1286" width="5.85546875" style="224" customWidth="1"/>
    <col min="1287" max="1287" width="5.5703125" style="224" customWidth="1"/>
    <col min="1288" max="1288" width="6" style="224" customWidth="1"/>
    <col min="1289" max="1289" width="5.5703125" style="224" customWidth="1"/>
    <col min="1290" max="1290" width="6.28515625" style="224" customWidth="1"/>
    <col min="1291" max="1291" width="4.85546875" style="224" customWidth="1"/>
    <col min="1292" max="1292" width="6.28515625" style="224" customWidth="1"/>
    <col min="1293" max="1293" width="4.85546875" style="224" customWidth="1"/>
    <col min="1294" max="1294" width="6" style="224" customWidth="1"/>
    <col min="1295" max="1295" width="4.85546875" style="224" customWidth="1"/>
    <col min="1296" max="1296" width="5.7109375" style="224" customWidth="1"/>
    <col min="1297" max="1297" width="6.5703125" style="224" customWidth="1"/>
    <col min="1298" max="1298" width="5.140625" style="224" customWidth="1"/>
    <col min="1299" max="1299" width="6.42578125" style="224" customWidth="1"/>
    <col min="1300" max="1305" width="5.5703125" style="224" customWidth="1"/>
    <col min="1306" max="1306" width="4.5703125" style="224" customWidth="1"/>
    <col min="1307" max="1307" width="4.28515625" style="224"/>
    <col min="1308" max="1308" width="8.140625" style="224" bestFit="1" customWidth="1"/>
    <col min="1309" max="1533" width="4.28515625" style="224"/>
    <col min="1534" max="1534" width="10.7109375" style="224" customWidth="1"/>
    <col min="1535" max="1536" width="8.85546875" style="224" customWidth="1"/>
    <col min="1537" max="1537" width="4.42578125" style="224" customWidth="1"/>
    <col min="1538" max="1538" width="7.140625" style="224" customWidth="1"/>
    <col min="1539" max="1539" width="7.85546875" style="224" customWidth="1"/>
    <col min="1540" max="1540" width="8.28515625" style="224" customWidth="1"/>
    <col min="1541" max="1541" width="4.85546875" style="224" customWidth="1"/>
    <col min="1542" max="1542" width="5.85546875" style="224" customWidth="1"/>
    <col min="1543" max="1543" width="5.5703125" style="224" customWidth="1"/>
    <col min="1544" max="1544" width="6" style="224" customWidth="1"/>
    <col min="1545" max="1545" width="5.5703125" style="224" customWidth="1"/>
    <col min="1546" max="1546" width="6.28515625" style="224" customWidth="1"/>
    <col min="1547" max="1547" width="4.85546875" style="224" customWidth="1"/>
    <col min="1548" max="1548" width="6.28515625" style="224" customWidth="1"/>
    <col min="1549" max="1549" width="4.85546875" style="224" customWidth="1"/>
    <col min="1550" max="1550" width="6" style="224" customWidth="1"/>
    <col min="1551" max="1551" width="4.85546875" style="224" customWidth="1"/>
    <col min="1552" max="1552" width="5.7109375" style="224" customWidth="1"/>
    <col min="1553" max="1553" width="6.5703125" style="224" customWidth="1"/>
    <col min="1554" max="1554" width="5.140625" style="224" customWidth="1"/>
    <col min="1555" max="1555" width="6.42578125" style="224" customWidth="1"/>
    <col min="1556" max="1561" width="5.5703125" style="224" customWidth="1"/>
    <col min="1562" max="1562" width="4.5703125" style="224" customWidth="1"/>
    <col min="1563" max="1563" width="4.28515625" style="224"/>
    <col min="1564" max="1564" width="8.140625" style="224" bestFit="1" customWidth="1"/>
    <col min="1565" max="1789" width="4.28515625" style="224"/>
    <col min="1790" max="1790" width="10.7109375" style="224" customWidth="1"/>
    <col min="1791" max="1792" width="8.85546875" style="224" customWidth="1"/>
    <col min="1793" max="1793" width="4.42578125" style="224" customWidth="1"/>
    <col min="1794" max="1794" width="7.140625" style="224" customWidth="1"/>
    <col min="1795" max="1795" width="7.85546875" style="224" customWidth="1"/>
    <col min="1796" max="1796" width="8.28515625" style="224" customWidth="1"/>
    <col min="1797" max="1797" width="4.85546875" style="224" customWidth="1"/>
    <col min="1798" max="1798" width="5.85546875" style="224" customWidth="1"/>
    <col min="1799" max="1799" width="5.5703125" style="224" customWidth="1"/>
    <col min="1800" max="1800" width="6" style="224" customWidth="1"/>
    <col min="1801" max="1801" width="5.5703125" style="224" customWidth="1"/>
    <col min="1802" max="1802" width="6.28515625" style="224" customWidth="1"/>
    <col min="1803" max="1803" width="4.85546875" style="224" customWidth="1"/>
    <col min="1804" max="1804" width="6.28515625" style="224" customWidth="1"/>
    <col min="1805" max="1805" width="4.85546875" style="224" customWidth="1"/>
    <col min="1806" max="1806" width="6" style="224" customWidth="1"/>
    <col min="1807" max="1807" width="4.85546875" style="224" customWidth="1"/>
    <col min="1808" max="1808" width="5.7109375" style="224" customWidth="1"/>
    <col min="1809" max="1809" width="6.5703125" style="224" customWidth="1"/>
    <col min="1810" max="1810" width="5.140625" style="224" customWidth="1"/>
    <col min="1811" max="1811" width="6.42578125" style="224" customWidth="1"/>
    <col min="1812" max="1817" width="5.5703125" style="224" customWidth="1"/>
    <col min="1818" max="1818" width="4.5703125" style="224" customWidth="1"/>
    <col min="1819" max="1819" width="4.28515625" style="224"/>
    <col min="1820" max="1820" width="8.140625" style="224" bestFit="1" customWidth="1"/>
    <col min="1821" max="2045" width="4.28515625" style="224"/>
    <col min="2046" max="2046" width="10.7109375" style="224" customWidth="1"/>
    <col min="2047" max="2048" width="8.85546875" style="224" customWidth="1"/>
    <col min="2049" max="2049" width="4.42578125" style="224" customWidth="1"/>
    <col min="2050" max="2050" width="7.140625" style="224" customWidth="1"/>
    <col min="2051" max="2051" width="7.85546875" style="224" customWidth="1"/>
    <col min="2052" max="2052" width="8.28515625" style="224" customWidth="1"/>
    <col min="2053" max="2053" width="4.85546875" style="224" customWidth="1"/>
    <col min="2054" max="2054" width="5.85546875" style="224" customWidth="1"/>
    <col min="2055" max="2055" width="5.5703125" style="224" customWidth="1"/>
    <col min="2056" max="2056" width="6" style="224" customWidth="1"/>
    <col min="2057" max="2057" width="5.5703125" style="224" customWidth="1"/>
    <col min="2058" max="2058" width="6.28515625" style="224" customWidth="1"/>
    <col min="2059" max="2059" width="4.85546875" style="224" customWidth="1"/>
    <col min="2060" max="2060" width="6.28515625" style="224" customWidth="1"/>
    <col min="2061" max="2061" width="4.85546875" style="224" customWidth="1"/>
    <col min="2062" max="2062" width="6" style="224" customWidth="1"/>
    <col min="2063" max="2063" width="4.85546875" style="224" customWidth="1"/>
    <col min="2064" max="2064" width="5.7109375" style="224" customWidth="1"/>
    <col min="2065" max="2065" width="6.5703125" style="224" customWidth="1"/>
    <col min="2066" max="2066" width="5.140625" style="224" customWidth="1"/>
    <col min="2067" max="2067" width="6.42578125" style="224" customWidth="1"/>
    <col min="2068" max="2073" width="5.5703125" style="224" customWidth="1"/>
    <col min="2074" max="2074" width="4.5703125" style="224" customWidth="1"/>
    <col min="2075" max="2075" width="4.28515625" style="224"/>
    <col min="2076" max="2076" width="8.140625" style="224" bestFit="1" customWidth="1"/>
    <col min="2077" max="2301" width="4.28515625" style="224"/>
    <col min="2302" max="2302" width="10.7109375" style="224" customWidth="1"/>
    <col min="2303" max="2304" width="8.85546875" style="224" customWidth="1"/>
    <col min="2305" max="2305" width="4.42578125" style="224" customWidth="1"/>
    <col min="2306" max="2306" width="7.140625" style="224" customWidth="1"/>
    <col min="2307" max="2307" width="7.85546875" style="224" customWidth="1"/>
    <col min="2308" max="2308" width="8.28515625" style="224" customWidth="1"/>
    <col min="2309" max="2309" width="4.85546875" style="224" customWidth="1"/>
    <col min="2310" max="2310" width="5.85546875" style="224" customWidth="1"/>
    <col min="2311" max="2311" width="5.5703125" style="224" customWidth="1"/>
    <col min="2312" max="2312" width="6" style="224" customWidth="1"/>
    <col min="2313" max="2313" width="5.5703125" style="224" customWidth="1"/>
    <col min="2314" max="2314" width="6.28515625" style="224" customWidth="1"/>
    <col min="2315" max="2315" width="4.85546875" style="224" customWidth="1"/>
    <col min="2316" max="2316" width="6.28515625" style="224" customWidth="1"/>
    <col min="2317" max="2317" width="4.85546875" style="224" customWidth="1"/>
    <col min="2318" max="2318" width="6" style="224" customWidth="1"/>
    <col min="2319" max="2319" width="4.85546875" style="224" customWidth="1"/>
    <col min="2320" max="2320" width="5.7109375" style="224" customWidth="1"/>
    <col min="2321" max="2321" width="6.5703125" style="224" customWidth="1"/>
    <col min="2322" max="2322" width="5.140625" style="224" customWidth="1"/>
    <col min="2323" max="2323" width="6.42578125" style="224" customWidth="1"/>
    <col min="2324" max="2329" width="5.5703125" style="224" customWidth="1"/>
    <col min="2330" max="2330" width="4.5703125" style="224" customWidth="1"/>
    <col min="2331" max="2331" width="4.28515625" style="224"/>
    <col min="2332" max="2332" width="8.140625" style="224" bestFit="1" customWidth="1"/>
    <col min="2333" max="2557" width="4.28515625" style="224"/>
    <col min="2558" max="2558" width="10.7109375" style="224" customWidth="1"/>
    <col min="2559" max="2560" width="8.85546875" style="224" customWidth="1"/>
    <col min="2561" max="2561" width="4.42578125" style="224" customWidth="1"/>
    <col min="2562" max="2562" width="7.140625" style="224" customWidth="1"/>
    <col min="2563" max="2563" width="7.85546875" style="224" customWidth="1"/>
    <col min="2564" max="2564" width="8.28515625" style="224" customWidth="1"/>
    <col min="2565" max="2565" width="4.85546875" style="224" customWidth="1"/>
    <col min="2566" max="2566" width="5.85546875" style="224" customWidth="1"/>
    <col min="2567" max="2567" width="5.5703125" style="224" customWidth="1"/>
    <col min="2568" max="2568" width="6" style="224" customWidth="1"/>
    <col min="2569" max="2569" width="5.5703125" style="224" customWidth="1"/>
    <col min="2570" max="2570" width="6.28515625" style="224" customWidth="1"/>
    <col min="2571" max="2571" width="4.85546875" style="224" customWidth="1"/>
    <col min="2572" max="2572" width="6.28515625" style="224" customWidth="1"/>
    <col min="2573" max="2573" width="4.85546875" style="224" customWidth="1"/>
    <col min="2574" max="2574" width="6" style="224" customWidth="1"/>
    <col min="2575" max="2575" width="4.85546875" style="224" customWidth="1"/>
    <col min="2576" max="2576" width="5.7109375" style="224" customWidth="1"/>
    <col min="2577" max="2577" width="6.5703125" style="224" customWidth="1"/>
    <col min="2578" max="2578" width="5.140625" style="224" customWidth="1"/>
    <col min="2579" max="2579" width="6.42578125" style="224" customWidth="1"/>
    <col min="2580" max="2585" width="5.5703125" style="224" customWidth="1"/>
    <col min="2586" max="2586" width="4.5703125" style="224" customWidth="1"/>
    <col min="2587" max="2587" width="4.28515625" style="224"/>
    <col min="2588" max="2588" width="8.140625" style="224" bestFit="1" customWidth="1"/>
    <col min="2589" max="2813" width="4.28515625" style="224"/>
    <col min="2814" max="2814" width="10.7109375" style="224" customWidth="1"/>
    <col min="2815" max="2816" width="8.85546875" style="224" customWidth="1"/>
    <col min="2817" max="2817" width="4.42578125" style="224" customWidth="1"/>
    <col min="2818" max="2818" width="7.140625" style="224" customWidth="1"/>
    <col min="2819" max="2819" width="7.85546875" style="224" customWidth="1"/>
    <col min="2820" max="2820" width="8.28515625" style="224" customWidth="1"/>
    <col min="2821" max="2821" width="4.85546875" style="224" customWidth="1"/>
    <col min="2822" max="2822" width="5.85546875" style="224" customWidth="1"/>
    <col min="2823" max="2823" width="5.5703125" style="224" customWidth="1"/>
    <col min="2824" max="2824" width="6" style="224" customWidth="1"/>
    <col min="2825" max="2825" width="5.5703125" style="224" customWidth="1"/>
    <col min="2826" max="2826" width="6.28515625" style="224" customWidth="1"/>
    <col min="2827" max="2827" width="4.85546875" style="224" customWidth="1"/>
    <col min="2828" max="2828" width="6.28515625" style="224" customWidth="1"/>
    <col min="2829" max="2829" width="4.85546875" style="224" customWidth="1"/>
    <col min="2830" max="2830" width="6" style="224" customWidth="1"/>
    <col min="2831" max="2831" width="4.85546875" style="224" customWidth="1"/>
    <col min="2832" max="2832" width="5.7109375" style="224" customWidth="1"/>
    <col min="2833" max="2833" width="6.5703125" style="224" customWidth="1"/>
    <col min="2834" max="2834" width="5.140625" style="224" customWidth="1"/>
    <col min="2835" max="2835" width="6.42578125" style="224" customWidth="1"/>
    <col min="2836" max="2841" width="5.5703125" style="224" customWidth="1"/>
    <col min="2842" max="2842" width="4.5703125" style="224" customWidth="1"/>
    <col min="2843" max="2843" width="4.28515625" style="224"/>
    <col min="2844" max="2844" width="8.140625" style="224" bestFit="1" customWidth="1"/>
    <col min="2845" max="3069" width="4.28515625" style="224"/>
    <col min="3070" max="3070" width="10.7109375" style="224" customWidth="1"/>
    <col min="3071" max="3072" width="8.85546875" style="224" customWidth="1"/>
    <col min="3073" max="3073" width="4.42578125" style="224" customWidth="1"/>
    <col min="3074" max="3074" width="7.140625" style="224" customWidth="1"/>
    <col min="3075" max="3075" width="7.85546875" style="224" customWidth="1"/>
    <col min="3076" max="3076" width="8.28515625" style="224" customWidth="1"/>
    <col min="3077" max="3077" width="4.85546875" style="224" customWidth="1"/>
    <col min="3078" max="3078" width="5.85546875" style="224" customWidth="1"/>
    <col min="3079" max="3079" width="5.5703125" style="224" customWidth="1"/>
    <col min="3080" max="3080" width="6" style="224" customWidth="1"/>
    <col min="3081" max="3081" width="5.5703125" style="224" customWidth="1"/>
    <col min="3082" max="3082" width="6.28515625" style="224" customWidth="1"/>
    <col min="3083" max="3083" width="4.85546875" style="224" customWidth="1"/>
    <col min="3084" max="3084" width="6.28515625" style="224" customWidth="1"/>
    <col min="3085" max="3085" width="4.85546875" style="224" customWidth="1"/>
    <col min="3086" max="3086" width="6" style="224" customWidth="1"/>
    <col min="3087" max="3087" width="4.85546875" style="224" customWidth="1"/>
    <col min="3088" max="3088" width="5.7109375" style="224" customWidth="1"/>
    <col min="3089" max="3089" width="6.5703125" style="224" customWidth="1"/>
    <col min="3090" max="3090" width="5.140625" style="224" customWidth="1"/>
    <col min="3091" max="3091" width="6.42578125" style="224" customWidth="1"/>
    <col min="3092" max="3097" width="5.5703125" style="224" customWidth="1"/>
    <col min="3098" max="3098" width="4.5703125" style="224" customWidth="1"/>
    <col min="3099" max="3099" width="4.28515625" style="224"/>
    <col min="3100" max="3100" width="8.140625" style="224" bestFit="1" customWidth="1"/>
    <col min="3101" max="3325" width="4.28515625" style="224"/>
    <col min="3326" max="3326" width="10.7109375" style="224" customWidth="1"/>
    <col min="3327" max="3328" width="8.85546875" style="224" customWidth="1"/>
    <col min="3329" max="3329" width="4.42578125" style="224" customWidth="1"/>
    <col min="3330" max="3330" width="7.140625" style="224" customWidth="1"/>
    <col min="3331" max="3331" width="7.85546875" style="224" customWidth="1"/>
    <col min="3332" max="3332" width="8.28515625" style="224" customWidth="1"/>
    <col min="3333" max="3333" width="4.85546875" style="224" customWidth="1"/>
    <col min="3334" max="3334" width="5.85546875" style="224" customWidth="1"/>
    <col min="3335" max="3335" width="5.5703125" style="224" customWidth="1"/>
    <col min="3336" max="3336" width="6" style="224" customWidth="1"/>
    <col min="3337" max="3337" width="5.5703125" style="224" customWidth="1"/>
    <col min="3338" max="3338" width="6.28515625" style="224" customWidth="1"/>
    <col min="3339" max="3339" width="4.85546875" style="224" customWidth="1"/>
    <col min="3340" max="3340" width="6.28515625" style="224" customWidth="1"/>
    <col min="3341" max="3341" width="4.85546875" style="224" customWidth="1"/>
    <col min="3342" max="3342" width="6" style="224" customWidth="1"/>
    <col min="3343" max="3343" width="4.85546875" style="224" customWidth="1"/>
    <col min="3344" max="3344" width="5.7109375" style="224" customWidth="1"/>
    <col min="3345" max="3345" width="6.5703125" style="224" customWidth="1"/>
    <col min="3346" max="3346" width="5.140625" style="224" customWidth="1"/>
    <col min="3347" max="3347" width="6.42578125" style="224" customWidth="1"/>
    <col min="3348" max="3353" width="5.5703125" style="224" customWidth="1"/>
    <col min="3354" max="3354" width="4.5703125" style="224" customWidth="1"/>
    <col min="3355" max="3355" width="4.28515625" style="224"/>
    <col min="3356" max="3356" width="8.140625" style="224" bestFit="1" customWidth="1"/>
    <col min="3357" max="3581" width="4.28515625" style="224"/>
    <col min="3582" max="3582" width="10.7109375" style="224" customWidth="1"/>
    <col min="3583" max="3584" width="8.85546875" style="224" customWidth="1"/>
    <col min="3585" max="3585" width="4.42578125" style="224" customWidth="1"/>
    <col min="3586" max="3586" width="7.140625" style="224" customWidth="1"/>
    <col min="3587" max="3587" width="7.85546875" style="224" customWidth="1"/>
    <col min="3588" max="3588" width="8.28515625" style="224" customWidth="1"/>
    <col min="3589" max="3589" width="4.85546875" style="224" customWidth="1"/>
    <col min="3590" max="3590" width="5.85546875" style="224" customWidth="1"/>
    <col min="3591" max="3591" width="5.5703125" style="224" customWidth="1"/>
    <col min="3592" max="3592" width="6" style="224" customWidth="1"/>
    <col min="3593" max="3593" width="5.5703125" style="224" customWidth="1"/>
    <col min="3594" max="3594" width="6.28515625" style="224" customWidth="1"/>
    <col min="3595" max="3595" width="4.85546875" style="224" customWidth="1"/>
    <col min="3596" max="3596" width="6.28515625" style="224" customWidth="1"/>
    <col min="3597" max="3597" width="4.85546875" style="224" customWidth="1"/>
    <col min="3598" max="3598" width="6" style="224" customWidth="1"/>
    <col min="3599" max="3599" width="4.85546875" style="224" customWidth="1"/>
    <col min="3600" max="3600" width="5.7109375" style="224" customWidth="1"/>
    <col min="3601" max="3601" width="6.5703125" style="224" customWidth="1"/>
    <col min="3602" max="3602" width="5.140625" style="224" customWidth="1"/>
    <col min="3603" max="3603" width="6.42578125" style="224" customWidth="1"/>
    <col min="3604" max="3609" width="5.5703125" style="224" customWidth="1"/>
    <col min="3610" max="3610" width="4.5703125" style="224" customWidth="1"/>
    <col min="3611" max="3611" width="4.28515625" style="224"/>
    <col min="3612" max="3612" width="8.140625" style="224" bestFit="1" customWidth="1"/>
    <col min="3613" max="3837" width="4.28515625" style="224"/>
    <col min="3838" max="3838" width="10.7109375" style="224" customWidth="1"/>
    <col min="3839" max="3840" width="8.85546875" style="224" customWidth="1"/>
    <col min="3841" max="3841" width="4.42578125" style="224" customWidth="1"/>
    <col min="3842" max="3842" width="7.140625" style="224" customWidth="1"/>
    <col min="3843" max="3843" width="7.85546875" style="224" customWidth="1"/>
    <col min="3844" max="3844" width="8.28515625" style="224" customWidth="1"/>
    <col min="3845" max="3845" width="4.85546875" style="224" customWidth="1"/>
    <col min="3846" max="3846" width="5.85546875" style="224" customWidth="1"/>
    <col min="3847" max="3847" width="5.5703125" style="224" customWidth="1"/>
    <col min="3848" max="3848" width="6" style="224" customWidth="1"/>
    <col min="3849" max="3849" width="5.5703125" style="224" customWidth="1"/>
    <col min="3850" max="3850" width="6.28515625" style="224" customWidth="1"/>
    <col min="3851" max="3851" width="4.85546875" style="224" customWidth="1"/>
    <col min="3852" max="3852" width="6.28515625" style="224" customWidth="1"/>
    <col min="3853" max="3853" width="4.85546875" style="224" customWidth="1"/>
    <col min="3854" max="3854" width="6" style="224" customWidth="1"/>
    <col min="3855" max="3855" width="4.85546875" style="224" customWidth="1"/>
    <col min="3856" max="3856" width="5.7109375" style="224" customWidth="1"/>
    <col min="3857" max="3857" width="6.5703125" style="224" customWidth="1"/>
    <col min="3858" max="3858" width="5.140625" style="224" customWidth="1"/>
    <col min="3859" max="3859" width="6.42578125" style="224" customWidth="1"/>
    <col min="3860" max="3865" width="5.5703125" style="224" customWidth="1"/>
    <col min="3866" max="3866" width="4.5703125" style="224" customWidth="1"/>
    <col min="3867" max="3867" width="4.28515625" style="224"/>
    <col min="3868" max="3868" width="8.140625" style="224" bestFit="1" customWidth="1"/>
    <col min="3869" max="4093" width="4.28515625" style="224"/>
    <col min="4094" max="4094" width="10.7109375" style="224" customWidth="1"/>
    <col min="4095" max="4096" width="8.85546875" style="224" customWidth="1"/>
    <col min="4097" max="4097" width="4.42578125" style="224" customWidth="1"/>
    <col min="4098" max="4098" width="7.140625" style="224" customWidth="1"/>
    <col min="4099" max="4099" width="7.85546875" style="224" customWidth="1"/>
    <col min="4100" max="4100" width="8.28515625" style="224" customWidth="1"/>
    <col min="4101" max="4101" width="4.85546875" style="224" customWidth="1"/>
    <col min="4102" max="4102" width="5.85546875" style="224" customWidth="1"/>
    <col min="4103" max="4103" width="5.5703125" style="224" customWidth="1"/>
    <col min="4104" max="4104" width="6" style="224" customWidth="1"/>
    <col min="4105" max="4105" width="5.5703125" style="224" customWidth="1"/>
    <col min="4106" max="4106" width="6.28515625" style="224" customWidth="1"/>
    <col min="4107" max="4107" width="4.85546875" style="224" customWidth="1"/>
    <col min="4108" max="4108" width="6.28515625" style="224" customWidth="1"/>
    <col min="4109" max="4109" width="4.85546875" style="224" customWidth="1"/>
    <col min="4110" max="4110" width="6" style="224" customWidth="1"/>
    <col min="4111" max="4111" width="4.85546875" style="224" customWidth="1"/>
    <col min="4112" max="4112" width="5.7109375" style="224" customWidth="1"/>
    <col min="4113" max="4113" width="6.5703125" style="224" customWidth="1"/>
    <col min="4114" max="4114" width="5.140625" style="224" customWidth="1"/>
    <col min="4115" max="4115" width="6.42578125" style="224" customWidth="1"/>
    <col min="4116" max="4121" width="5.5703125" style="224" customWidth="1"/>
    <col min="4122" max="4122" width="4.5703125" style="224" customWidth="1"/>
    <col min="4123" max="4123" width="4.28515625" style="224"/>
    <col min="4124" max="4124" width="8.140625" style="224" bestFit="1" customWidth="1"/>
    <col min="4125" max="4349" width="4.28515625" style="224"/>
    <col min="4350" max="4350" width="10.7109375" style="224" customWidth="1"/>
    <col min="4351" max="4352" width="8.85546875" style="224" customWidth="1"/>
    <col min="4353" max="4353" width="4.42578125" style="224" customWidth="1"/>
    <col min="4354" max="4354" width="7.140625" style="224" customWidth="1"/>
    <col min="4355" max="4355" width="7.85546875" style="224" customWidth="1"/>
    <col min="4356" max="4356" width="8.28515625" style="224" customWidth="1"/>
    <col min="4357" max="4357" width="4.85546875" style="224" customWidth="1"/>
    <col min="4358" max="4358" width="5.85546875" style="224" customWidth="1"/>
    <col min="4359" max="4359" width="5.5703125" style="224" customWidth="1"/>
    <col min="4360" max="4360" width="6" style="224" customWidth="1"/>
    <col min="4361" max="4361" width="5.5703125" style="224" customWidth="1"/>
    <col min="4362" max="4362" width="6.28515625" style="224" customWidth="1"/>
    <col min="4363" max="4363" width="4.85546875" style="224" customWidth="1"/>
    <col min="4364" max="4364" width="6.28515625" style="224" customWidth="1"/>
    <col min="4365" max="4365" width="4.85546875" style="224" customWidth="1"/>
    <col min="4366" max="4366" width="6" style="224" customWidth="1"/>
    <col min="4367" max="4367" width="4.85546875" style="224" customWidth="1"/>
    <col min="4368" max="4368" width="5.7109375" style="224" customWidth="1"/>
    <col min="4369" max="4369" width="6.5703125" style="224" customWidth="1"/>
    <col min="4370" max="4370" width="5.140625" style="224" customWidth="1"/>
    <col min="4371" max="4371" width="6.42578125" style="224" customWidth="1"/>
    <col min="4372" max="4377" width="5.5703125" style="224" customWidth="1"/>
    <col min="4378" max="4378" width="4.5703125" style="224" customWidth="1"/>
    <col min="4379" max="4379" width="4.28515625" style="224"/>
    <col min="4380" max="4380" width="8.140625" style="224" bestFit="1" customWidth="1"/>
    <col min="4381" max="4605" width="4.28515625" style="224"/>
    <col min="4606" max="4606" width="10.7109375" style="224" customWidth="1"/>
    <col min="4607" max="4608" width="8.85546875" style="224" customWidth="1"/>
    <col min="4609" max="4609" width="4.42578125" style="224" customWidth="1"/>
    <col min="4610" max="4610" width="7.140625" style="224" customWidth="1"/>
    <col min="4611" max="4611" width="7.85546875" style="224" customWidth="1"/>
    <col min="4612" max="4612" width="8.28515625" style="224" customWidth="1"/>
    <col min="4613" max="4613" width="4.85546875" style="224" customWidth="1"/>
    <col min="4614" max="4614" width="5.85546875" style="224" customWidth="1"/>
    <col min="4615" max="4615" width="5.5703125" style="224" customWidth="1"/>
    <col min="4616" max="4616" width="6" style="224" customWidth="1"/>
    <col min="4617" max="4617" width="5.5703125" style="224" customWidth="1"/>
    <col min="4618" max="4618" width="6.28515625" style="224" customWidth="1"/>
    <col min="4619" max="4619" width="4.85546875" style="224" customWidth="1"/>
    <col min="4620" max="4620" width="6.28515625" style="224" customWidth="1"/>
    <col min="4621" max="4621" width="4.85546875" style="224" customWidth="1"/>
    <col min="4622" max="4622" width="6" style="224" customWidth="1"/>
    <col min="4623" max="4623" width="4.85546875" style="224" customWidth="1"/>
    <col min="4624" max="4624" width="5.7109375" style="224" customWidth="1"/>
    <col min="4625" max="4625" width="6.5703125" style="224" customWidth="1"/>
    <col min="4626" max="4626" width="5.140625" style="224" customWidth="1"/>
    <col min="4627" max="4627" width="6.42578125" style="224" customWidth="1"/>
    <col min="4628" max="4633" width="5.5703125" style="224" customWidth="1"/>
    <col min="4634" max="4634" width="4.5703125" style="224" customWidth="1"/>
    <col min="4635" max="4635" width="4.28515625" style="224"/>
    <col min="4636" max="4636" width="8.140625" style="224" bestFit="1" customWidth="1"/>
    <col min="4637" max="4861" width="4.28515625" style="224"/>
    <col min="4862" max="4862" width="10.7109375" style="224" customWidth="1"/>
    <col min="4863" max="4864" width="8.85546875" style="224" customWidth="1"/>
    <col min="4865" max="4865" width="4.42578125" style="224" customWidth="1"/>
    <col min="4866" max="4866" width="7.140625" style="224" customWidth="1"/>
    <col min="4867" max="4867" width="7.85546875" style="224" customWidth="1"/>
    <col min="4868" max="4868" width="8.28515625" style="224" customWidth="1"/>
    <col min="4869" max="4869" width="4.85546875" style="224" customWidth="1"/>
    <col min="4870" max="4870" width="5.85546875" style="224" customWidth="1"/>
    <col min="4871" max="4871" width="5.5703125" style="224" customWidth="1"/>
    <col min="4872" max="4872" width="6" style="224" customWidth="1"/>
    <col min="4873" max="4873" width="5.5703125" style="224" customWidth="1"/>
    <col min="4874" max="4874" width="6.28515625" style="224" customWidth="1"/>
    <col min="4875" max="4875" width="4.85546875" style="224" customWidth="1"/>
    <col min="4876" max="4876" width="6.28515625" style="224" customWidth="1"/>
    <col min="4877" max="4877" width="4.85546875" style="224" customWidth="1"/>
    <col min="4878" max="4878" width="6" style="224" customWidth="1"/>
    <col min="4879" max="4879" width="4.85546875" style="224" customWidth="1"/>
    <col min="4880" max="4880" width="5.7109375" style="224" customWidth="1"/>
    <col min="4881" max="4881" width="6.5703125" style="224" customWidth="1"/>
    <col min="4882" max="4882" width="5.140625" style="224" customWidth="1"/>
    <col min="4883" max="4883" width="6.42578125" style="224" customWidth="1"/>
    <col min="4884" max="4889" width="5.5703125" style="224" customWidth="1"/>
    <col min="4890" max="4890" width="4.5703125" style="224" customWidth="1"/>
    <col min="4891" max="4891" width="4.28515625" style="224"/>
    <col min="4892" max="4892" width="8.140625" style="224" bestFit="1" customWidth="1"/>
    <col min="4893" max="5117" width="4.28515625" style="224"/>
    <col min="5118" max="5118" width="10.7109375" style="224" customWidth="1"/>
    <col min="5119" max="5120" width="8.85546875" style="224" customWidth="1"/>
    <col min="5121" max="5121" width="4.42578125" style="224" customWidth="1"/>
    <col min="5122" max="5122" width="7.140625" style="224" customWidth="1"/>
    <col min="5123" max="5123" width="7.85546875" style="224" customWidth="1"/>
    <col min="5124" max="5124" width="8.28515625" style="224" customWidth="1"/>
    <col min="5125" max="5125" width="4.85546875" style="224" customWidth="1"/>
    <col min="5126" max="5126" width="5.85546875" style="224" customWidth="1"/>
    <col min="5127" max="5127" width="5.5703125" style="224" customWidth="1"/>
    <col min="5128" max="5128" width="6" style="224" customWidth="1"/>
    <col min="5129" max="5129" width="5.5703125" style="224" customWidth="1"/>
    <col min="5130" max="5130" width="6.28515625" style="224" customWidth="1"/>
    <col min="5131" max="5131" width="4.85546875" style="224" customWidth="1"/>
    <col min="5132" max="5132" width="6.28515625" style="224" customWidth="1"/>
    <col min="5133" max="5133" width="4.85546875" style="224" customWidth="1"/>
    <col min="5134" max="5134" width="6" style="224" customWidth="1"/>
    <col min="5135" max="5135" width="4.85546875" style="224" customWidth="1"/>
    <col min="5136" max="5136" width="5.7109375" style="224" customWidth="1"/>
    <col min="5137" max="5137" width="6.5703125" style="224" customWidth="1"/>
    <col min="5138" max="5138" width="5.140625" style="224" customWidth="1"/>
    <col min="5139" max="5139" width="6.42578125" style="224" customWidth="1"/>
    <col min="5140" max="5145" width="5.5703125" style="224" customWidth="1"/>
    <col min="5146" max="5146" width="4.5703125" style="224" customWidth="1"/>
    <col min="5147" max="5147" width="4.28515625" style="224"/>
    <col min="5148" max="5148" width="8.140625" style="224" bestFit="1" customWidth="1"/>
    <col min="5149" max="5373" width="4.28515625" style="224"/>
    <col min="5374" max="5374" width="10.7109375" style="224" customWidth="1"/>
    <col min="5375" max="5376" width="8.85546875" style="224" customWidth="1"/>
    <col min="5377" max="5377" width="4.42578125" style="224" customWidth="1"/>
    <col min="5378" max="5378" width="7.140625" style="224" customWidth="1"/>
    <col min="5379" max="5379" width="7.85546875" style="224" customWidth="1"/>
    <col min="5380" max="5380" width="8.28515625" style="224" customWidth="1"/>
    <col min="5381" max="5381" width="4.85546875" style="224" customWidth="1"/>
    <col min="5382" max="5382" width="5.85546875" style="224" customWidth="1"/>
    <col min="5383" max="5383" width="5.5703125" style="224" customWidth="1"/>
    <col min="5384" max="5384" width="6" style="224" customWidth="1"/>
    <col min="5385" max="5385" width="5.5703125" style="224" customWidth="1"/>
    <col min="5386" max="5386" width="6.28515625" style="224" customWidth="1"/>
    <col min="5387" max="5387" width="4.85546875" style="224" customWidth="1"/>
    <col min="5388" max="5388" width="6.28515625" style="224" customWidth="1"/>
    <col min="5389" max="5389" width="4.85546875" style="224" customWidth="1"/>
    <col min="5390" max="5390" width="6" style="224" customWidth="1"/>
    <col min="5391" max="5391" width="4.85546875" style="224" customWidth="1"/>
    <col min="5392" max="5392" width="5.7109375" style="224" customWidth="1"/>
    <col min="5393" max="5393" width="6.5703125" style="224" customWidth="1"/>
    <col min="5394" max="5394" width="5.140625" style="224" customWidth="1"/>
    <col min="5395" max="5395" width="6.42578125" style="224" customWidth="1"/>
    <col min="5396" max="5401" width="5.5703125" style="224" customWidth="1"/>
    <col min="5402" max="5402" width="4.5703125" style="224" customWidth="1"/>
    <col min="5403" max="5403" width="4.28515625" style="224"/>
    <col min="5404" max="5404" width="8.140625" style="224" bestFit="1" customWidth="1"/>
    <col min="5405" max="5629" width="4.28515625" style="224"/>
    <col min="5630" max="5630" width="10.7109375" style="224" customWidth="1"/>
    <col min="5631" max="5632" width="8.85546875" style="224" customWidth="1"/>
    <col min="5633" max="5633" width="4.42578125" style="224" customWidth="1"/>
    <col min="5634" max="5634" width="7.140625" style="224" customWidth="1"/>
    <col min="5635" max="5635" width="7.85546875" style="224" customWidth="1"/>
    <col min="5636" max="5636" width="8.28515625" style="224" customWidth="1"/>
    <col min="5637" max="5637" width="4.85546875" style="224" customWidth="1"/>
    <col min="5638" max="5638" width="5.85546875" style="224" customWidth="1"/>
    <col min="5639" max="5639" width="5.5703125" style="224" customWidth="1"/>
    <col min="5640" max="5640" width="6" style="224" customWidth="1"/>
    <col min="5641" max="5641" width="5.5703125" style="224" customWidth="1"/>
    <col min="5642" max="5642" width="6.28515625" style="224" customWidth="1"/>
    <col min="5643" max="5643" width="4.85546875" style="224" customWidth="1"/>
    <col min="5644" max="5644" width="6.28515625" style="224" customWidth="1"/>
    <col min="5645" max="5645" width="4.85546875" style="224" customWidth="1"/>
    <col min="5646" max="5646" width="6" style="224" customWidth="1"/>
    <col min="5647" max="5647" width="4.85546875" style="224" customWidth="1"/>
    <col min="5648" max="5648" width="5.7109375" style="224" customWidth="1"/>
    <col min="5649" max="5649" width="6.5703125" style="224" customWidth="1"/>
    <col min="5650" max="5650" width="5.140625" style="224" customWidth="1"/>
    <col min="5651" max="5651" width="6.42578125" style="224" customWidth="1"/>
    <col min="5652" max="5657" width="5.5703125" style="224" customWidth="1"/>
    <col min="5658" max="5658" width="4.5703125" style="224" customWidth="1"/>
    <col min="5659" max="5659" width="4.28515625" style="224"/>
    <col min="5660" max="5660" width="8.140625" style="224" bestFit="1" customWidth="1"/>
    <col min="5661" max="5885" width="4.28515625" style="224"/>
    <col min="5886" max="5886" width="10.7109375" style="224" customWidth="1"/>
    <col min="5887" max="5888" width="8.85546875" style="224" customWidth="1"/>
    <col min="5889" max="5889" width="4.42578125" style="224" customWidth="1"/>
    <col min="5890" max="5890" width="7.140625" style="224" customWidth="1"/>
    <col min="5891" max="5891" width="7.85546875" style="224" customWidth="1"/>
    <col min="5892" max="5892" width="8.28515625" style="224" customWidth="1"/>
    <col min="5893" max="5893" width="4.85546875" style="224" customWidth="1"/>
    <col min="5894" max="5894" width="5.85546875" style="224" customWidth="1"/>
    <col min="5895" max="5895" width="5.5703125" style="224" customWidth="1"/>
    <col min="5896" max="5896" width="6" style="224" customWidth="1"/>
    <col min="5897" max="5897" width="5.5703125" style="224" customWidth="1"/>
    <col min="5898" max="5898" width="6.28515625" style="224" customWidth="1"/>
    <col min="5899" max="5899" width="4.85546875" style="224" customWidth="1"/>
    <col min="5900" max="5900" width="6.28515625" style="224" customWidth="1"/>
    <col min="5901" max="5901" width="4.85546875" style="224" customWidth="1"/>
    <col min="5902" max="5902" width="6" style="224" customWidth="1"/>
    <col min="5903" max="5903" width="4.85546875" style="224" customWidth="1"/>
    <col min="5904" max="5904" width="5.7109375" style="224" customWidth="1"/>
    <col min="5905" max="5905" width="6.5703125" style="224" customWidth="1"/>
    <col min="5906" max="5906" width="5.140625" style="224" customWidth="1"/>
    <col min="5907" max="5907" width="6.42578125" style="224" customWidth="1"/>
    <col min="5908" max="5913" width="5.5703125" style="224" customWidth="1"/>
    <col min="5914" max="5914" width="4.5703125" style="224" customWidth="1"/>
    <col min="5915" max="5915" width="4.28515625" style="224"/>
    <col min="5916" max="5916" width="8.140625" style="224" bestFit="1" customWidth="1"/>
    <col min="5917" max="6141" width="4.28515625" style="224"/>
    <col min="6142" max="6142" width="10.7109375" style="224" customWidth="1"/>
    <col min="6143" max="6144" width="8.85546875" style="224" customWidth="1"/>
    <col min="6145" max="6145" width="4.42578125" style="224" customWidth="1"/>
    <col min="6146" max="6146" width="7.140625" style="224" customWidth="1"/>
    <col min="6147" max="6147" width="7.85546875" style="224" customWidth="1"/>
    <col min="6148" max="6148" width="8.28515625" style="224" customWidth="1"/>
    <col min="6149" max="6149" width="4.85546875" style="224" customWidth="1"/>
    <col min="6150" max="6150" width="5.85546875" style="224" customWidth="1"/>
    <col min="6151" max="6151" width="5.5703125" style="224" customWidth="1"/>
    <col min="6152" max="6152" width="6" style="224" customWidth="1"/>
    <col min="6153" max="6153" width="5.5703125" style="224" customWidth="1"/>
    <col min="6154" max="6154" width="6.28515625" style="224" customWidth="1"/>
    <col min="6155" max="6155" width="4.85546875" style="224" customWidth="1"/>
    <col min="6156" max="6156" width="6.28515625" style="224" customWidth="1"/>
    <col min="6157" max="6157" width="4.85546875" style="224" customWidth="1"/>
    <col min="6158" max="6158" width="6" style="224" customWidth="1"/>
    <col min="6159" max="6159" width="4.85546875" style="224" customWidth="1"/>
    <col min="6160" max="6160" width="5.7109375" style="224" customWidth="1"/>
    <col min="6161" max="6161" width="6.5703125" style="224" customWidth="1"/>
    <col min="6162" max="6162" width="5.140625" style="224" customWidth="1"/>
    <col min="6163" max="6163" width="6.42578125" style="224" customWidth="1"/>
    <col min="6164" max="6169" width="5.5703125" style="224" customWidth="1"/>
    <col min="6170" max="6170" width="4.5703125" style="224" customWidth="1"/>
    <col min="6171" max="6171" width="4.28515625" style="224"/>
    <col min="6172" max="6172" width="8.140625" style="224" bestFit="1" customWidth="1"/>
    <col min="6173" max="6397" width="4.28515625" style="224"/>
    <col min="6398" max="6398" width="10.7109375" style="224" customWidth="1"/>
    <col min="6399" max="6400" width="8.85546875" style="224" customWidth="1"/>
    <col min="6401" max="6401" width="4.42578125" style="224" customWidth="1"/>
    <col min="6402" max="6402" width="7.140625" style="224" customWidth="1"/>
    <col min="6403" max="6403" width="7.85546875" style="224" customWidth="1"/>
    <col min="6404" max="6404" width="8.28515625" style="224" customWidth="1"/>
    <col min="6405" max="6405" width="4.85546875" style="224" customWidth="1"/>
    <col min="6406" max="6406" width="5.85546875" style="224" customWidth="1"/>
    <col min="6407" max="6407" width="5.5703125" style="224" customWidth="1"/>
    <col min="6408" max="6408" width="6" style="224" customWidth="1"/>
    <col min="6409" max="6409" width="5.5703125" style="224" customWidth="1"/>
    <col min="6410" max="6410" width="6.28515625" style="224" customWidth="1"/>
    <col min="6411" max="6411" width="4.85546875" style="224" customWidth="1"/>
    <col min="6412" max="6412" width="6.28515625" style="224" customWidth="1"/>
    <col min="6413" max="6413" width="4.85546875" style="224" customWidth="1"/>
    <col min="6414" max="6414" width="6" style="224" customWidth="1"/>
    <col min="6415" max="6415" width="4.85546875" style="224" customWidth="1"/>
    <col min="6416" max="6416" width="5.7109375" style="224" customWidth="1"/>
    <col min="6417" max="6417" width="6.5703125" style="224" customWidth="1"/>
    <col min="6418" max="6418" width="5.140625" style="224" customWidth="1"/>
    <col min="6419" max="6419" width="6.42578125" style="224" customWidth="1"/>
    <col min="6420" max="6425" width="5.5703125" style="224" customWidth="1"/>
    <col min="6426" max="6426" width="4.5703125" style="224" customWidth="1"/>
    <col min="6427" max="6427" width="4.28515625" style="224"/>
    <col min="6428" max="6428" width="8.140625" style="224" bestFit="1" customWidth="1"/>
    <col min="6429" max="6653" width="4.28515625" style="224"/>
    <col min="6654" max="6654" width="10.7109375" style="224" customWidth="1"/>
    <col min="6655" max="6656" width="8.85546875" style="224" customWidth="1"/>
    <col min="6657" max="6657" width="4.42578125" style="224" customWidth="1"/>
    <col min="6658" max="6658" width="7.140625" style="224" customWidth="1"/>
    <col min="6659" max="6659" width="7.85546875" style="224" customWidth="1"/>
    <col min="6660" max="6660" width="8.28515625" style="224" customWidth="1"/>
    <col min="6661" max="6661" width="4.85546875" style="224" customWidth="1"/>
    <col min="6662" max="6662" width="5.85546875" style="224" customWidth="1"/>
    <col min="6663" max="6663" width="5.5703125" style="224" customWidth="1"/>
    <col min="6664" max="6664" width="6" style="224" customWidth="1"/>
    <col min="6665" max="6665" width="5.5703125" style="224" customWidth="1"/>
    <col min="6666" max="6666" width="6.28515625" style="224" customWidth="1"/>
    <col min="6667" max="6667" width="4.85546875" style="224" customWidth="1"/>
    <col min="6668" max="6668" width="6.28515625" style="224" customWidth="1"/>
    <col min="6669" max="6669" width="4.85546875" style="224" customWidth="1"/>
    <col min="6670" max="6670" width="6" style="224" customWidth="1"/>
    <col min="6671" max="6671" width="4.85546875" style="224" customWidth="1"/>
    <col min="6672" max="6672" width="5.7109375" style="224" customWidth="1"/>
    <col min="6673" max="6673" width="6.5703125" style="224" customWidth="1"/>
    <col min="6674" max="6674" width="5.140625" style="224" customWidth="1"/>
    <col min="6675" max="6675" width="6.42578125" style="224" customWidth="1"/>
    <col min="6676" max="6681" width="5.5703125" style="224" customWidth="1"/>
    <col min="6682" max="6682" width="4.5703125" style="224" customWidth="1"/>
    <col min="6683" max="6683" width="4.28515625" style="224"/>
    <col min="6684" max="6684" width="8.140625" style="224" bestFit="1" customWidth="1"/>
    <col min="6685" max="6909" width="4.28515625" style="224"/>
    <col min="6910" max="6910" width="10.7109375" style="224" customWidth="1"/>
    <col min="6911" max="6912" width="8.85546875" style="224" customWidth="1"/>
    <col min="6913" max="6913" width="4.42578125" style="224" customWidth="1"/>
    <col min="6914" max="6914" width="7.140625" style="224" customWidth="1"/>
    <col min="6915" max="6915" width="7.85546875" style="224" customWidth="1"/>
    <col min="6916" max="6916" width="8.28515625" style="224" customWidth="1"/>
    <col min="6917" max="6917" width="4.85546875" style="224" customWidth="1"/>
    <col min="6918" max="6918" width="5.85546875" style="224" customWidth="1"/>
    <col min="6919" max="6919" width="5.5703125" style="224" customWidth="1"/>
    <col min="6920" max="6920" width="6" style="224" customWidth="1"/>
    <col min="6921" max="6921" width="5.5703125" style="224" customWidth="1"/>
    <col min="6922" max="6922" width="6.28515625" style="224" customWidth="1"/>
    <col min="6923" max="6923" width="4.85546875" style="224" customWidth="1"/>
    <col min="6924" max="6924" width="6.28515625" style="224" customWidth="1"/>
    <col min="6925" max="6925" width="4.85546875" style="224" customWidth="1"/>
    <col min="6926" max="6926" width="6" style="224" customWidth="1"/>
    <col min="6927" max="6927" width="4.85546875" style="224" customWidth="1"/>
    <col min="6928" max="6928" width="5.7109375" style="224" customWidth="1"/>
    <col min="6929" max="6929" width="6.5703125" style="224" customWidth="1"/>
    <col min="6930" max="6930" width="5.140625" style="224" customWidth="1"/>
    <col min="6931" max="6931" width="6.42578125" style="224" customWidth="1"/>
    <col min="6932" max="6937" width="5.5703125" style="224" customWidth="1"/>
    <col min="6938" max="6938" width="4.5703125" style="224" customWidth="1"/>
    <col min="6939" max="6939" width="4.28515625" style="224"/>
    <col min="6940" max="6940" width="8.140625" style="224" bestFit="1" customWidth="1"/>
    <col min="6941" max="7165" width="4.28515625" style="224"/>
    <col min="7166" max="7166" width="10.7109375" style="224" customWidth="1"/>
    <col min="7167" max="7168" width="8.85546875" style="224" customWidth="1"/>
    <col min="7169" max="7169" width="4.42578125" style="224" customWidth="1"/>
    <col min="7170" max="7170" width="7.140625" style="224" customWidth="1"/>
    <col min="7171" max="7171" width="7.85546875" style="224" customWidth="1"/>
    <col min="7172" max="7172" width="8.28515625" style="224" customWidth="1"/>
    <col min="7173" max="7173" width="4.85546875" style="224" customWidth="1"/>
    <col min="7174" max="7174" width="5.85546875" style="224" customWidth="1"/>
    <col min="7175" max="7175" width="5.5703125" style="224" customWidth="1"/>
    <col min="7176" max="7176" width="6" style="224" customWidth="1"/>
    <col min="7177" max="7177" width="5.5703125" style="224" customWidth="1"/>
    <col min="7178" max="7178" width="6.28515625" style="224" customWidth="1"/>
    <col min="7179" max="7179" width="4.85546875" style="224" customWidth="1"/>
    <col min="7180" max="7180" width="6.28515625" style="224" customWidth="1"/>
    <col min="7181" max="7181" width="4.85546875" style="224" customWidth="1"/>
    <col min="7182" max="7182" width="6" style="224" customWidth="1"/>
    <col min="7183" max="7183" width="4.85546875" style="224" customWidth="1"/>
    <col min="7184" max="7184" width="5.7109375" style="224" customWidth="1"/>
    <col min="7185" max="7185" width="6.5703125" style="224" customWidth="1"/>
    <col min="7186" max="7186" width="5.140625" style="224" customWidth="1"/>
    <col min="7187" max="7187" width="6.42578125" style="224" customWidth="1"/>
    <col min="7188" max="7193" width="5.5703125" style="224" customWidth="1"/>
    <col min="7194" max="7194" width="4.5703125" style="224" customWidth="1"/>
    <col min="7195" max="7195" width="4.28515625" style="224"/>
    <col min="7196" max="7196" width="8.140625" style="224" bestFit="1" customWidth="1"/>
    <col min="7197" max="7421" width="4.28515625" style="224"/>
    <col min="7422" max="7422" width="10.7109375" style="224" customWidth="1"/>
    <col min="7423" max="7424" width="8.85546875" style="224" customWidth="1"/>
    <col min="7425" max="7425" width="4.42578125" style="224" customWidth="1"/>
    <col min="7426" max="7426" width="7.140625" style="224" customWidth="1"/>
    <col min="7427" max="7427" width="7.85546875" style="224" customWidth="1"/>
    <col min="7428" max="7428" width="8.28515625" style="224" customWidth="1"/>
    <col min="7429" max="7429" width="4.85546875" style="224" customWidth="1"/>
    <col min="7430" max="7430" width="5.85546875" style="224" customWidth="1"/>
    <col min="7431" max="7431" width="5.5703125" style="224" customWidth="1"/>
    <col min="7432" max="7432" width="6" style="224" customWidth="1"/>
    <col min="7433" max="7433" width="5.5703125" style="224" customWidth="1"/>
    <col min="7434" max="7434" width="6.28515625" style="224" customWidth="1"/>
    <col min="7435" max="7435" width="4.85546875" style="224" customWidth="1"/>
    <col min="7436" max="7436" width="6.28515625" style="224" customWidth="1"/>
    <col min="7437" max="7437" width="4.85546875" style="224" customWidth="1"/>
    <col min="7438" max="7438" width="6" style="224" customWidth="1"/>
    <col min="7439" max="7439" width="4.85546875" style="224" customWidth="1"/>
    <col min="7440" max="7440" width="5.7109375" style="224" customWidth="1"/>
    <col min="7441" max="7441" width="6.5703125" style="224" customWidth="1"/>
    <col min="7442" max="7442" width="5.140625" style="224" customWidth="1"/>
    <col min="7443" max="7443" width="6.42578125" style="224" customWidth="1"/>
    <col min="7444" max="7449" width="5.5703125" style="224" customWidth="1"/>
    <col min="7450" max="7450" width="4.5703125" style="224" customWidth="1"/>
    <col min="7451" max="7451" width="4.28515625" style="224"/>
    <col min="7452" max="7452" width="8.140625" style="224" bestFit="1" customWidth="1"/>
    <col min="7453" max="7677" width="4.28515625" style="224"/>
    <col min="7678" max="7678" width="10.7109375" style="224" customWidth="1"/>
    <col min="7679" max="7680" width="8.85546875" style="224" customWidth="1"/>
    <col min="7681" max="7681" width="4.42578125" style="224" customWidth="1"/>
    <col min="7682" max="7682" width="7.140625" style="224" customWidth="1"/>
    <col min="7683" max="7683" width="7.85546875" style="224" customWidth="1"/>
    <col min="7684" max="7684" width="8.28515625" style="224" customWidth="1"/>
    <col min="7685" max="7685" width="4.85546875" style="224" customWidth="1"/>
    <col min="7686" max="7686" width="5.85546875" style="224" customWidth="1"/>
    <col min="7687" max="7687" width="5.5703125" style="224" customWidth="1"/>
    <col min="7688" max="7688" width="6" style="224" customWidth="1"/>
    <col min="7689" max="7689" width="5.5703125" style="224" customWidth="1"/>
    <col min="7690" max="7690" width="6.28515625" style="224" customWidth="1"/>
    <col min="7691" max="7691" width="4.85546875" style="224" customWidth="1"/>
    <col min="7692" max="7692" width="6.28515625" style="224" customWidth="1"/>
    <col min="7693" max="7693" width="4.85546875" style="224" customWidth="1"/>
    <col min="7694" max="7694" width="6" style="224" customWidth="1"/>
    <col min="7695" max="7695" width="4.85546875" style="224" customWidth="1"/>
    <col min="7696" max="7696" width="5.7109375" style="224" customWidth="1"/>
    <col min="7697" max="7697" width="6.5703125" style="224" customWidth="1"/>
    <col min="7698" max="7698" width="5.140625" style="224" customWidth="1"/>
    <col min="7699" max="7699" width="6.42578125" style="224" customWidth="1"/>
    <col min="7700" max="7705" width="5.5703125" style="224" customWidth="1"/>
    <col min="7706" max="7706" width="4.5703125" style="224" customWidth="1"/>
    <col min="7707" max="7707" width="4.28515625" style="224"/>
    <col min="7708" max="7708" width="8.140625" style="224" bestFit="1" customWidth="1"/>
    <col min="7709" max="7933" width="4.28515625" style="224"/>
    <col min="7934" max="7934" width="10.7109375" style="224" customWidth="1"/>
    <col min="7935" max="7936" width="8.85546875" style="224" customWidth="1"/>
    <col min="7937" max="7937" width="4.42578125" style="224" customWidth="1"/>
    <col min="7938" max="7938" width="7.140625" style="224" customWidth="1"/>
    <col min="7939" max="7939" width="7.85546875" style="224" customWidth="1"/>
    <col min="7940" max="7940" width="8.28515625" style="224" customWidth="1"/>
    <col min="7941" max="7941" width="4.85546875" style="224" customWidth="1"/>
    <col min="7942" max="7942" width="5.85546875" style="224" customWidth="1"/>
    <col min="7943" max="7943" width="5.5703125" style="224" customWidth="1"/>
    <col min="7944" max="7944" width="6" style="224" customWidth="1"/>
    <col min="7945" max="7945" width="5.5703125" style="224" customWidth="1"/>
    <col min="7946" max="7946" width="6.28515625" style="224" customWidth="1"/>
    <col min="7947" max="7947" width="4.85546875" style="224" customWidth="1"/>
    <col min="7948" max="7948" width="6.28515625" style="224" customWidth="1"/>
    <col min="7949" max="7949" width="4.85546875" style="224" customWidth="1"/>
    <col min="7950" max="7950" width="6" style="224" customWidth="1"/>
    <col min="7951" max="7951" width="4.85546875" style="224" customWidth="1"/>
    <col min="7952" max="7952" width="5.7109375" style="224" customWidth="1"/>
    <col min="7953" max="7953" width="6.5703125" style="224" customWidth="1"/>
    <col min="7954" max="7954" width="5.140625" style="224" customWidth="1"/>
    <col min="7955" max="7955" width="6.42578125" style="224" customWidth="1"/>
    <col min="7956" max="7961" width="5.5703125" style="224" customWidth="1"/>
    <col min="7962" max="7962" width="4.5703125" style="224" customWidth="1"/>
    <col min="7963" max="7963" width="4.28515625" style="224"/>
    <col min="7964" max="7964" width="8.140625" style="224" bestFit="1" customWidth="1"/>
    <col min="7965" max="8189" width="4.28515625" style="224"/>
    <col min="8190" max="8190" width="10.7109375" style="224" customWidth="1"/>
    <col min="8191" max="8192" width="8.85546875" style="224" customWidth="1"/>
    <col min="8193" max="8193" width="4.42578125" style="224" customWidth="1"/>
    <col min="8194" max="8194" width="7.140625" style="224" customWidth="1"/>
    <col min="8195" max="8195" width="7.85546875" style="224" customWidth="1"/>
    <col min="8196" max="8196" width="8.28515625" style="224" customWidth="1"/>
    <col min="8197" max="8197" width="4.85546875" style="224" customWidth="1"/>
    <col min="8198" max="8198" width="5.85546875" style="224" customWidth="1"/>
    <col min="8199" max="8199" width="5.5703125" style="224" customWidth="1"/>
    <col min="8200" max="8200" width="6" style="224" customWidth="1"/>
    <col min="8201" max="8201" width="5.5703125" style="224" customWidth="1"/>
    <col min="8202" max="8202" width="6.28515625" style="224" customWidth="1"/>
    <col min="8203" max="8203" width="4.85546875" style="224" customWidth="1"/>
    <col min="8204" max="8204" width="6.28515625" style="224" customWidth="1"/>
    <col min="8205" max="8205" width="4.85546875" style="224" customWidth="1"/>
    <col min="8206" max="8206" width="6" style="224" customWidth="1"/>
    <col min="8207" max="8207" width="4.85546875" style="224" customWidth="1"/>
    <col min="8208" max="8208" width="5.7109375" style="224" customWidth="1"/>
    <col min="8209" max="8209" width="6.5703125" style="224" customWidth="1"/>
    <col min="8210" max="8210" width="5.140625" style="224" customWidth="1"/>
    <col min="8211" max="8211" width="6.42578125" style="224" customWidth="1"/>
    <col min="8212" max="8217" width="5.5703125" style="224" customWidth="1"/>
    <col min="8218" max="8218" width="4.5703125" style="224" customWidth="1"/>
    <col min="8219" max="8219" width="4.28515625" style="224"/>
    <col min="8220" max="8220" width="8.140625" style="224" bestFit="1" customWidth="1"/>
    <col min="8221" max="8445" width="4.28515625" style="224"/>
    <col min="8446" max="8446" width="10.7109375" style="224" customWidth="1"/>
    <col min="8447" max="8448" width="8.85546875" style="224" customWidth="1"/>
    <col min="8449" max="8449" width="4.42578125" style="224" customWidth="1"/>
    <col min="8450" max="8450" width="7.140625" style="224" customWidth="1"/>
    <col min="8451" max="8451" width="7.85546875" style="224" customWidth="1"/>
    <col min="8452" max="8452" width="8.28515625" style="224" customWidth="1"/>
    <col min="8453" max="8453" width="4.85546875" style="224" customWidth="1"/>
    <col min="8454" max="8454" width="5.85546875" style="224" customWidth="1"/>
    <col min="8455" max="8455" width="5.5703125" style="224" customWidth="1"/>
    <col min="8456" max="8456" width="6" style="224" customWidth="1"/>
    <col min="8457" max="8457" width="5.5703125" style="224" customWidth="1"/>
    <col min="8458" max="8458" width="6.28515625" style="224" customWidth="1"/>
    <col min="8459" max="8459" width="4.85546875" style="224" customWidth="1"/>
    <col min="8460" max="8460" width="6.28515625" style="224" customWidth="1"/>
    <col min="8461" max="8461" width="4.85546875" style="224" customWidth="1"/>
    <col min="8462" max="8462" width="6" style="224" customWidth="1"/>
    <col min="8463" max="8463" width="4.85546875" style="224" customWidth="1"/>
    <col min="8464" max="8464" width="5.7109375" style="224" customWidth="1"/>
    <col min="8465" max="8465" width="6.5703125" style="224" customWidth="1"/>
    <col min="8466" max="8466" width="5.140625" style="224" customWidth="1"/>
    <col min="8467" max="8467" width="6.42578125" style="224" customWidth="1"/>
    <col min="8468" max="8473" width="5.5703125" style="224" customWidth="1"/>
    <col min="8474" max="8474" width="4.5703125" style="224" customWidth="1"/>
    <col min="8475" max="8475" width="4.28515625" style="224"/>
    <col min="8476" max="8476" width="8.140625" style="224" bestFit="1" customWidth="1"/>
    <col min="8477" max="8701" width="4.28515625" style="224"/>
    <col min="8702" max="8702" width="10.7109375" style="224" customWidth="1"/>
    <col min="8703" max="8704" width="8.85546875" style="224" customWidth="1"/>
    <col min="8705" max="8705" width="4.42578125" style="224" customWidth="1"/>
    <col min="8706" max="8706" width="7.140625" style="224" customWidth="1"/>
    <col min="8707" max="8707" width="7.85546875" style="224" customWidth="1"/>
    <col min="8708" max="8708" width="8.28515625" style="224" customWidth="1"/>
    <col min="8709" max="8709" width="4.85546875" style="224" customWidth="1"/>
    <col min="8710" max="8710" width="5.85546875" style="224" customWidth="1"/>
    <col min="8711" max="8711" width="5.5703125" style="224" customWidth="1"/>
    <col min="8712" max="8712" width="6" style="224" customWidth="1"/>
    <col min="8713" max="8713" width="5.5703125" style="224" customWidth="1"/>
    <col min="8714" max="8714" width="6.28515625" style="224" customWidth="1"/>
    <col min="8715" max="8715" width="4.85546875" style="224" customWidth="1"/>
    <col min="8716" max="8716" width="6.28515625" style="224" customWidth="1"/>
    <col min="8717" max="8717" width="4.85546875" style="224" customWidth="1"/>
    <col min="8718" max="8718" width="6" style="224" customWidth="1"/>
    <col min="8719" max="8719" width="4.85546875" style="224" customWidth="1"/>
    <col min="8720" max="8720" width="5.7109375" style="224" customWidth="1"/>
    <col min="8721" max="8721" width="6.5703125" style="224" customWidth="1"/>
    <col min="8722" max="8722" width="5.140625" style="224" customWidth="1"/>
    <col min="8723" max="8723" width="6.42578125" style="224" customWidth="1"/>
    <col min="8724" max="8729" width="5.5703125" style="224" customWidth="1"/>
    <col min="8730" max="8730" width="4.5703125" style="224" customWidth="1"/>
    <col min="8731" max="8731" width="4.28515625" style="224"/>
    <col min="8732" max="8732" width="8.140625" style="224" bestFit="1" customWidth="1"/>
    <col min="8733" max="8957" width="4.28515625" style="224"/>
    <col min="8958" max="8958" width="10.7109375" style="224" customWidth="1"/>
    <col min="8959" max="8960" width="8.85546875" style="224" customWidth="1"/>
    <col min="8961" max="8961" width="4.42578125" style="224" customWidth="1"/>
    <col min="8962" max="8962" width="7.140625" style="224" customWidth="1"/>
    <col min="8963" max="8963" width="7.85546875" style="224" customWidth="1"/>
    <col min="8964" max="8964" width="8.28515625" style="224" customWidth="1"/>
    <col min="8965" max="8965" width="4.85546875" style="224" customWidth="1"/>
    <col min="8966" max="8966" width="5.85546875" style="224" customWidth="1"/>
    <col min="8967" max="8967" width="5.5703125" style="224" customWidth="1"/>
    <col min="8968" max="8968" width="6" style="224" customWidth="1"/>
    <col min="8969" max="8969" width="5.5703125" style="224" customWidth="1"/>
    <col min="8970" max="8970" width="6.28515625" style="224" customWidth="1"/>
    <col min="8971" max="8971" width="4.85546875" style="224" customWidth="1"/>
    <col min="8972" max="8972" width="6.28515625" style="224" customWidth="1"/>
    <col min="8973" max="8973" width="4.85546875" style="224" customWidth="1"/>
    <col min="8974" max="8974" width="6" style="224" customWidth="1"/>
    <col min="8975" max="8975" width="4.85546875" style="224" customWidth="1"/>
    <col min="8976" max="8976" width="5.7109375" style="224" customWidth="1"/>
    <col min="8977" max="8977" width="6.5703125" style="224" customWidth="1"/>
    <col min="8978" max="8978" width="5.140625" style="224" customWidth="1"/>
    <col min="8979" max="8979" width="6.42578125" style="224" customWidth="1"/>
    <col min="8980" max="8985" width="5.5703125" style="224" customWidth="1"/>
    <col min="8986" max="8986" width="4.5703125" style="224" customWidth="1"/>
    <col min="8987" max="8987" width="4.28515625" style="224"/>
    <col min="8988" max="8988" width="8.140625" style="224" bestFit="1" customWidth="1"/>
    <col min="8989" max="9213" width="4.28515625" style="224"/>
    <col min="9214" max="9214" width="10.7109375" style="224" customWidth="1"/>
    <col min="9215" max="9216" width="8.85546875" style="224" customWidth="1"/>
    <col min="9217" max="9217" width="4.42578125" style="224" customWidth="1"/>
    <col min="9218" max="9218" width="7.140625" style="224" customWidth="1"/>
    <col min="9219" max="9219" width="7.85546875" style="224" customWidth="1"/>
    <col min="9220" max="9220" width="8.28515625" style="224" customWidth="1"/>
    <col min="9221" max="9221" width="4.85546875" style="224" customWidth="1"/>
    <col min="9222" max="9222" width="5.85546875" style="224" customWidth="1"/>
    <col min="9223" max="9223" width="5.5703125" style="224" customWidth="1"/>
    <col min="9224" max="9224" width="6" style="224" customWidth="1"/>
    <col min="9225" max="9225" width="5.5703125" style="224" customWidth="1"/>
    <col min="9226" max="9226" width="6.28515625" style="224" customWidth="1"/>
    <col min="9227" max="9227" width="4.85546875" style="224" customWidth="1"/>
    <col min="9228" max="9228" width="6.28515625" style="224" customWidth="1"/>
    <col min="9229" max="9229" width="4.85546875" style="224" customWidth="1"/>
    <col min="9230" max="9230" width="6" style="224" customWidth="1"/>
    <col min="9231" max="9231" width="4.85546875" style="224" customWidth="1"/>
    <col min="9232" max="9232" width="5.7109375" style="224" customWidth="1"/>
    <col min="9233" max="9233" width="6.5703125" style="224" customWidth="1"/>
    <col min="9234" max="9234" width="5.140625" style="224" customWidth="1"/>
    <col min="9235" max="9235" width="6.42578125" style="224" customWidth="1"/>
    <col min="9236" max="9241" width="5.5703125" style="224" customWidth="1"/>
    <col min="9242" max="9242" width="4.5703125" style="224" customWidth="1"/>
    <col min="9243" max="9243" width="4.28515625" style="224"/>
    <col min="9244" max="9244" width="8.140625" style="224" bestFit="1" customWidth="1"/>
    <col min="9245" max="9469" width="4.28515625" style="224"/>
    <col min="9470" max="9470" width="10.7109375" style="224" customWidth="1"/>
    <col min="9471" max="9472" width="8.85546875" style="224" customWidth="1"/>
    <col min="9473" max="9473" width="4.42578125" style="224" customWidth="1"/>
    <col min="9474" max="9474" width="7.140625" style="224" customWidth="1"/>
    <col min="9475" max="9475" width="7.85546875" style="224" customWidth="1"/>
    <col min="9476" max="9476" width="8.28515625" style="224" customWidth="1"/>
    <col min="9477" max="9477" width="4.85546875" style="224" customWidth="1"/>
    <col min="9478" max="9478" width="5.85546875" style="224" customWidth="1"/>
    <col min="9479" max="9479" width="5.5703125" style="224" customWidth="1"/>
    <col min="9480" max="9480" width="6" style="224" customWidth="1"/>
    <col min="9481" max="9481" width="5.5703125" style="224" customWidth="1"/>
    <col min="9482" max="9482" width="6.28515625" style="224" customWidth="1"/>
    <col min="9483" max="9483" width="4.85546875" style="224" customWidth="1"/>
    <col min="9484" max="9484" width="6.28515625" style="224" customWidth="1"/>
    <col min="9485" max="9485" width="4.85546875" style="224" customWidth="1"/>
    <col min="9486" max="9486" width="6" style="224" customWidth="1"/>
    <col min="9487" max="9487" width="4.85546875" style="224" customWidth="1"/>
    <col min="9488" max="9488" width="5.7109375" style="224" customWidth="1"/>
    <col min="9489" max="9489" width="6.5703125" style="224" customWidth="1"/>
    <col min="9490" max="9490" width="5.140625" style="224" customWidth="1"/>
    <col min="9491" max="9491" width="6.42578125" style="224" customWidth="1"/>
    <col min="9492" max="9497" width="5.5703125" style="224" customWidth="1"/>
    <col min="9498" max="9498" width="4.5703125" style="224" customWidth="1"/>
    <col min="9499" max="9499" width="4.28515625" style="224"/>
    <col min="9500" max="9500" width="8.140625" style="224" bestFit="1" customWidth="1"/>
    <col min="9501" max="9725" width="4.28515625" style="224"/>
    <col min="9726" max="9726" width="10.7109375" style="224" customWidth="1"/>
    <col min="9727" max="9728" width="8.85546875" style="224" customWidth="1"/>
    <col min="9729" max="9729" width="4.42578125" style="224" customWidth="1"/>
    <col min="9730" max="9730" width="7.140625" style="224" customWidth="1"/>
    <col min="9731" max="9731" width="7.85546875" style="224" customWidth="1"/>
    <col min="9732" max="9732" width="8.28515625" style="224" customWidth="1"/>
    <col min="9733" max="9733" width="4.85546875" style="224" customWidth="1"/>
    <col min="9734" max="9734" width="5.85546875" style="224" customWidth="1"/>
    <col min="9735" max="9735" width="5.5703125" style="224" customWidth="1"/>
    <col min="9736" max="9736" width="6" style="224" customWidth="1"/>
    <col min="9737" max="9737" width="5.5703125" style="224" customWidth="1"/>
    <col min="9738" max="9738" width="6.28515625" style="224" customWidth="1"/>
    <col min="9739" max="9739" width="4.85546875" style="224" customWidth="1"/>
    <col min="9740" max="9740" width="6.28515625" style="224" customWidth="1"/>
    <col min="9741" max="9741" width="4.85546875" style="224" customWidth="1"/>
    <col min="9742" max="9742" width="6" style="224" customWidth="1"/>
    <col min="9743" max="9743" width="4.85546875" style="224" customWidth="1"/>
    <col min="9744" max="9744" width="5.7109375" style="224" customWidth="1"/>
    <col min="9745" max="9745" width="6.5703125" style="224" customWidth="1"/>
    <col min="9746" max="9746" width="5.140625" style="224" customWidth="1"/>
    <col min="9747" max="9747" width="6.42578125" style="224" customWidth="1"/>
    <col min="9748" max="9753" width="5.5703125" style="224" customWidth="1"/>
    <col min="9754" max="9754" width="4.5703125" style="224" customWidth="1"/>
    <col min="9755" max="9755" width="4.28515625" style="224"/>
    <col min="9756" max="9756" width="8.140625" style="224" bestFit="1" customWidth="1"/>
    <col min="9757" max="9981" width="4.28515625" style="224"/>
    <col min="9982" max="9982" width="10.7109375" style="224" customWidth="1"/>
    <col min="9983" max="9984" width="8.85546875" style="224" customWidth="1"/>
    <col min="9985" max="9985" width="4.42578125" style="224" customWidth="1"/>
    <col min="9986" max="9986" width="7.140625" style="224" customWidth="1"/>
    <col min="9987" max="9987" width="7.85546875" style="224" customWidth="1"/>
    <col min="9988" max="9988" width="8.28515625" style="224" customWidth="1"/>
    <col min="9989" max="9989" width="4.85546875" style="224" customWidth="1"/>
    <col min="9990" max="9990" width="5.85546875" style="224" customWidth="1"/>
    <col min="9991" max="9991" width="5.5703125" style="224" customWidth="1"/>
    <col min="9992" max="9992" width="6" style="224" customWidth="1"/>
    <col min="9993" max="9993" width="5.5703125" style="224" customWidth="1"/>
    <col min="9994" max="9994" width="6.28515625" style="224" customWidth="1"/>
    <col min="9995" max="9995" width="4.85546875" style="224" customWidth="1"/>
    <col min="9996" max="9996" width="6.28515625" style="224" customWidth="1"/>
    <col min="9997" max="9997" width="4.85546875" style="224" customWidth="1"/>
    <col min="9998" max="9998" width="6" style="224" customWidth="1"/>
    <col min="9999" max="9999" width="4.85546875" style="224" customWidth="1"/>
    <col min="10000" max="10000" width="5.7109375" style="224" customWidth="1"/>
    <col min="10001" max="10001" width="6.5703125" style="224" customWidth="1"/>
    <col min="10002" max="10002" width="5.140625" style="224" customWidth="1"/>
    <col min="10003" max="10003" width="6.42578125" style="224" customWidth="1"/>
    <col min="10004" max="10009" width="5.5703125" style="224" customWidth="1"/>
    <col min="10010" max="10010" width="4.5703125" style="224" customWidth="1"/>
    <col min="10011" max="10011" width="4.28515625" style="224"/>
    <col min="10012" max="10012" width="8.140625" style="224" bestFit="1" customWidth="1"/>
    <col min="10013" max="10237" width="4.28515625" style="224"/>
    <col min="10238" max="10238" width="10.7109375" style="224" customWidth="1"/>
    <col min="10239" max="10240" width="8.85546875" style="224" customWidth="1"/>
    <col min="10241" max="10241" width="4.42578125" style="224" customWidth="1"/>
    <col min="10242" max="10242" width="7.140625" style="224" customWidth="1"/>
    <col min="10243" max="10243" width="7.85546875" style="224" customWidth="1"/>
    <col min="10244" max="10244" width="8.28515625" style="224" customWidth="1"/>
    <col min="10245" max="10245" width="4.85546875" style="224" customWidth="1"/>
    <col min="10246" max="10246" width="5.85546875" style="224" customWidth="1"/>
    <col min="10247" max="10247" width="5.5703125" style="224" customWidth="1"/>
    <col min="10248" max="10248" width="6" style="224" customWidth="1"/>
    <col min="10249" max="10249" width="5.5703125" style="224" customWidth="1"/>
    <col min="10250" max="10250" width="6.28515625" style="224" customWidth="1"/>
    <col min="10251" max="10251" width="4.85546875" style="224" customWidth="1"/>
    <col min="10252" max="10252" width="6.28515625" style="224" customWidth="1"/>
    <col min="10253" max="10253" width="4.85546875" style="224" customWidth="1"/>
    <col min="10254" max="10254" width="6" style="224" customWidth="1"/>
    <col min="10255" max="10255" width="4.85546875" style="224" customWidth="1"/>
    <col min="10256" max="10256" width="5.7109375" style="224" customWidth="1"/>
    <col min="10257" max="10257" width="6.5703125" style="224" customWidth="1"/>
    <col min="10258" max="10258" width="5.140625" style="224" customWidth="1"/>
    <col min="10259" max="10259" width="6.42578125" style="224" customWidth="1"/>
    <col min="10260" max="10265" width="5.5703125" style="224" customWidth="1"/>
    <col min="10266" max="10266" width="4.5703125" style="224" customWidth="1"/>
    <col min="10267" max="10267" width="4.28515625" style="224"/>
    <col min="10268" max="10268" width="8.140625" style="224" bestFit="1" customWidth="1"/>
    <col min="10269" max="10493" width="4.28515625" style="224"/>
    <col min="10494" max="10494" width="10.7109375" style="224" customWidth="1"/>
    <col min="10495" max="10496" width="8.85546875" style="224" customWidth="1"/>
    <col min="10497" max="10497" width="4.42578125" style="224" customWidth="1"/>
    <col min="10498" max="10498" width="7.140625" style="224" customWidth="1"/>
    <col min="10499" max="10499" width="7.85546875" style="224" customWidth="1"/>
    <col min="10500" max="10500" width="8.28515625" style="224" customWidth="1"/>
    <col min="10501" max="10501" width="4.85546875" style="224" customWidth="1"/>
    <col min="10502" max="10502" width="5.85546875" style="224" customWidth="1"/>
    <col min="10503" max="10503" width="5.5703125" style="224" customWidth="1"/>
    <col min="10504" max="10504" width="6" style="224" customWidth="1"/>
    <col min="10505" max="10505" width="5.5703125" style="224" customWidth="1"/>
    <col min="10506" max="10506" width="6.28515625" style="224" customWidth="1"/>
    <col min="10507" max="10507" width="4.85546875" style="224" customWidth="1"/>
    <col min="10508" max="10508" width="6.28515625" style="224" customWidth="1"/>
    <col min="10509" max="10509" width="4.85546875" style="224" customWidth="1"/>
    <col min="10510" max="10510" width="6" style="224" customWidth="1"/>
    <col min="10511" max="10511" width="4.85546875" style="224" customWidth="1"/>
    <col min="10512" max="10512" width="5.7109375" style="224" customWidth="1"/>
    <col min="10513" max="10513" width="6.5703125" style="224" customWidth="1"/>
    <col min="10514" max="10514" width="5.140625" style="224" customWidth="1"/>
    <col min="10515" max="10515" width="6.42578125" style="224" customWidth="1"/>
    <col min="10516" max="10521" width="5.5703125" style="224" customWidth="1"/>
    <col min="10522" max="10522" width="4.5703125" style="224" customWidth="1"/>
    <col min="10523" max="10523" width="4.28515625" style="224"/>
    <col min="10524" max="10524" width="8.140625" style="224" bestFit="1" customWidth="1"/>
    <col min="10525" max="10749" width="4.28515625" style="224"/>
    <col min="10750" max="10750" width="10.7109375" style="224" customWidth="1"/>
    <col min="10751" max="10752" width="8.85546875" style="224" customWidth="1"/>
    <col min="10753" max="10753" width="4.42578125" style="224" customWidth="1"/>
    <col min="10754" max="10754" width="7.140625" style="224" customWidth="1"/>
    <col min="10755" max="10755" width="7.85546875" style="224" customWidth="1"/>
    <col min="10756" max="10756" width="8.28515625" style="224" customWidth="1"/>
    <col min="10757" max="10757" width="4.85546875" style="224" customWidth="1"/>
    <col min="10758" max="10758" width="5.85546875" style="224" customWidth="1"/>
    <col min="10759" max="10759" width="5.5703125" style="224" customWidth="1"/>
    <col min="10760" max="10760" width="6" style="224" customWidth="1"/>
    <col min="10761" max="10761" width="5.5703125" style="224" customWidth="1"/>
    <col min="10762" max="10762" width="6.28515625" style="224" customWidth="1"/>
    <col min="10763" max="10763" width="4.85546875" style="224" customWidth="1"/>
    <col min="10764" max="10764" width="6.28515625" style="224" customWidth="1"/>
    <col min="10765" max="10765" width="4.85546875" style="224" customWidth="1"/>
    <col min="10766" max="10766" width="6" style="224" customWidth="1"/>
    <col min="10767" max="10767" width="4.85546875" style="224" customWidth="1"/>
    <col min="10768" max="10768" width="5.7109375" style="224" customWidth="1"/>
    <col min="10769" max="10769" width="6.5703125" style="224" customWidth="1"/>
    <col min="10770" max="10770" width="5.140625" style="224" customWidth="1"/>
    <col min="10771" max="10771" width="6.42578125" style="224" customWidth="1"/>
    <col min="10772" max="10777" width="5.5703125" style="224" customWidth="1"/>
    <col min="10778" max="10778" width="4.5703125" style="224" customWidth="1"/>
    <col min="10779" max="10779" width="4.28515625" style="224"/>
    <col min="10780" max="10780" width="8.140625" style="224" bestFit="1" customWidth="1"/>
    <col min="10781" max="11005" width="4.28515625" style="224"/>
    <col min="11006" max="11006" width="10.7109375" style="224" customWidth="1"/>
    <col min="11007" max="11008" width="8.85546875" style="224" customWidth="1"/>
    <col min="11009" max="11009" width="4.42578125" style="224" customWidth="1"/>
    <col min="11010" max="11010" width="7.140625" style="224" customWidth="1"/>
    <col min="11011" max="11011" width="7.85546875" style="224" customWidth="1"/>
    <col min="11012" max="11012" width="8.28515625" style="224" customWidth="1"/>
    <col min="11013" max="11013" width="4.85546875" style="224" customWidth="1"/>
    <col min="11014" max="11014" width="5.85546875" style="224" customWidth="1"/>
    <col min="11015" max="11015" width="5.5703125" style="224" customWidth="1"/>
    <col min="11016" max="11016" width="6" style="224" customWidth="1"/>
    <col min="11017" max="11017" width="5.5703125" style="224" customWidth="1"/>
    <col min="11018" max="11018" width="6.28515625" style="224" customWidth="1"/>
    <col min="11019" max="11019" width="4.85546875" style="224" customWidth="1"/>
    <col min="11020" max="11020" width="6.28515625" style="224" customWidth="1"/>
    <col min="11021" max="11021" width="4.85546875" style="224" customWidth="1"/>
    <col min="11022" max="11022" width="6" style="224" customWidth="1"/>
    <col min="11023" max="11023" width="4.85546875" style="224" customWidth="1"/>
    <col min="11024" max="11024" width="5.7109375" style="224" customWidth="1"/>
    <col min="11025" max="11025" width="6.5703125" style="224" customWidth="1"/>
    <col min="11026" max="11026" width="5.140625" style="224" customWidth="1"/>
    <col min="11027" max="11027" width="6.42578125" style="224" customWidth="1"/>
    <col min="11028" max="11033" width="5.5703125" style="224" customWidth="1"/>
    <col min="11034" max="11034" width="4.5703125" style="224" customWidth="1"/>
    <col min="11035" max="11035" width="4.28515625" style="224"/>
    <col min="11036" max="11036" width="8.140625" style="224" bestFit="1" customWidth="1"/>
    <col min="11037" max="11261" width="4.28515625" style="224"/>
    <col min="11262" max="11262" width="10.7109375" style="224" customWidth="1"/>
    <col min="11263" max="11264" width="8.85546875" style="224" customWidth="1"/>
    <col min="11265" max="11265" width="4.42578125" style="224" customWidth="1"/>
    <col min="11266" max="11266" width="7.140625" style="224" customWidth="1"/>
    <col min="11267" max="11267" width="7.85546875" style="224" customWidth="1"/>
    <col min="11268" max="11268" width="8.28515625" style="224" customWidth="1"/>
    <col min="11269" max="11269" width="4.85546875" style="224" customWidth="1"/>
    <col min="11270" max="11270" width="5.85546875" style="224" customWidth="1"/>
    <col min="11271" max="11271" width="5.5703125" style="224" customWidth="1"/>
    <col min="11272" max="11272" width="6" style="224" customWidth="1"/>
    <col min="11273" max="11273" width="5.5703125" style="224" customWidth="1"/>
    <col min="11274" max="11274" width="6.28515625" style="224" customWidth="1"/>
    <col min="11275" max="11275" width="4.85546875" style="224" customWidth="1"/>
    <col min="11276" max="11276" width="6.28515625" style="224" customWidth="1"/>
    <col min="11277" max="11277" width="4.85546875" style="224" customWidth="1"/>
    <col min="11278" max="11278" width="6" style="224" customWidth="1"/>
    <col min="11279" max="11279" width="4.85546875" style="224" customWidth="1"/>
    <col min="11280" max="11280" width="5.7109375" style="224" customWidth="1"/>
    <col min="11281" max="11281" width="6.5703125" style="224" customWidth="1"/>
    <col min="11282" max="11282" width="5.140625" style="224" customWidth="1"/>
    <col min="11283" max="11283" width="6.42578125" style="224" customWidth="1"/>
    <col min="11284" max="11289" width="5.5703125" style="224" customWidth="1"/>
    <col min="11290" max="11290" width="4.5703125" style="224" customWidth="1"/>
    <col min="11291" max="11291" width="4.28515625" style="224"/>
    <col min="11292" max="11292" width="8.140625" style="224" bestFit="1" customWidth="1"/>
    <col min="11293" max="11517" width="4.28515625" style="224"/>
    <col min="11518" max="11518" width="10.7109375" style="224" customWidth="1"/>
    <col min="11519" max="11520" width="8.85546875" style="224" customWidth="1"/>
    <col min="11521" max="11521" width="4.42578125" style="224" customWidth="1"/>
    <col min="11522" max="11522" width="7.140625" style="224" customWidth="1"/>
    <col min="11523" max="11523" width="7.85546875" style="224" customWidth="1"/>
    <col min="11524" max="11524" width="8.28515625" style="224" customWidth="1"/>
    <col min="11525" max="11525" width="4.85546875" style="224" customWidth="1"/>
    <col min="11526" max="11526" width="5.85546875" style="224" customWidth="1"/>
    <col min="11527" max="11527" width="5.5703125" style="224" customWidth="1"/>
    <col min="11528" max="11528" width="6" style="224" customWidth="1"/>
    <col min="11529" max="11529" width="5.5703125" style="224" customWidth="1"/>
    <col min="11530" max="11530" width="6.28515625" style="224" customWidth="1"/>
    <col min="11531" max="11531" width="4.85546875" style="224" customWidth="1"/>
    <col min="11532" max="11532" width="6.28515625" style="224" customWidth="1"/>
    <col min="11533" max="11533" width="4.85546875" style="224" customWidth="1"/>
    <col min="11534" max="11534" width="6" style="224" customWidth="1"/>
    <col min="11535" max="11535" width="4.85546875" style="224" customWidth="1"/>
    <col min="11536" max="11536" width="5.7109375" style="224" customWidth="1"/>
    <col min="11537" max="11537" width="6.5703125" style="224" customWidth="1"/>
    <col min="11538" max="11538" width="5.140625" style="224" customWidth="1"/>
    <col min="11539" max="11539" width="6.42578125" style="224" customWidth="1"/>
    <col min="11540" max="11545" width="5.5703125" style="224" customWidth="1"/>
    <col min="11546" max="11546" width="4.5703125" style="224" customWidth="1"/>
    <col min="11547" max="11547" width="4.28515625" style="224"/>
    <col min="11548" max="11548" width="8.140625" style="224" bestFit="1" customWidth="1"/>
    <col min="11549" max="11773" width="4.28515625" style="224"/>
    <col min="11774" max="11774" width="10.7109375" style="224" customWidth="1"/>
    <col min="11775" max="11776" width="8.85546875" style="224" customWidth="1"/>
    <col min="11777" max="11777" width="4.42578125" style="224" customWidth="1"/>
    <col min="11778" max="11778" width="7.140625" style="224" customWidth="1"/>
    <col min="11779" max="11779" width="7.85546875" style="224" customWidth="1"/>
    <col min="11780" max="11780" width="8.28515625" style="224" customWidth="1"/>
    <col min="11781" max="11781" width="4.85546875" style="224" customWidth="1"/>
    <col min="11782" max="11782" width="5.85546875" style="224" customWidth="1"/>
    <col min="11783" max="11783" width="5.5703125" style="224" customWidth="1"/>
    <col min="11784" max="11784" width="6" style="224" customWidth="1"/>
    <col min="11785" max="11785" width="5.5703125" style="224" customWidth="1"/>
    <col min="11786" max="11786" width="6.28515625" style="224" customWidth="1"/>
    <col min="11787" max="11787" width="4.85546875" style="224" customWidth="1"/>
    <col min="11788" max="11788" width="6.28515625" style="224" customWidth="1"/>
    <col min="11789" max="11789" width="4.85546875" style="224" customWidth="1"/>
    <col min="11790" max="11790" width="6" style="224" customWidth="1"/>
    <col min="11791" max="11791" width="4.85546875" style="224" customWidth="1"/>
    <col min="11792" max="11792" width="5.7109375" style="224" customWidth="1"/>
    <col min="11793" max="11793" width="6.5703125" style="224" customWidth="1"/>
    <col min="11794" max="11794" width="5.140625" style="224" customWidth="1"/>
    <col min="11795" max="11795" width="6.42578125" style="224" customWidth="1"/>
    <col min="11796" max="11801" width="5.5703125" style="224" customWidth="1"/>
    <col min="11802" max="11802" width="4.5703125" style="224" customWidth="1"/>
    <col min="11803" max="11803" width="4.28515625" style="224"/>
    <col min="11804" max="11804" width="8.140625" style="224" bestFit="1" customWidth="1"/>
    <col min="11805" max="12029" width="4.28515625" style="224"/>
    <col min="12030" max="12030" width="10.7109375" style="224" customWidth="1"/>
    <col min="12031" max="12032" width="8.85546875" style="224" customWidth="1"/>
    <col min="12033" max="12033" width="4.42578125" style="224" customWidth="1"/>
    <col min="12034" max="12034" width="7.140625" style="224" customWidth="1"/>
    <col min="12035" max="12035" width="7.85546875" style="224" customWidth="1"/>
    <col min="12036" max="12036" width="8.28515625" style="224" customWidth="1"/>
    <col min="12037" max="12037" width="4.85546875" style="224" customWidth="1"/>
    <col min="12038" max="12038" width="5.85546875" style="224" customWidth="1"/>
    <col min="12039" max="12039" width="5.5703125" style="224" customWidth="1"/>
    <col min="12040" max="12040" width="6" style="224" customWidth="1"/>
    <col min="12041" max="12041" width="5.5703125" style="224" customWidth="1"/>
    <col min="12042" max="12042" width="6.28515625" style="224" customWidth="1"/>
    <col min="12043" max="12043" width="4.85546875" style="224" customWidth="1"/>
    <col min="12044" max="12044" width="6.28515625" style="224" customWidth="1"/>
    <col min="12045" max="12045" width="4.85546875" style="224" customWidth="1"/>
    <col min="12046" max="12046" width="6" style="224" customWidth="1"/>
    <col min="12047" max="12047" width="4.85546875" style="224" customWidth="1"/>
    <col min="12048" max="12048" width="5.7109375" style="224" customWidth="1"/>
    <col min="12049" max="12049" width="6.5703125" style="224" customWidth="1"/>
    <col min="12050" max="12050" width="5.140625" style="224" customWidth="1"/>
    <col min="12051" max="12051" width="6.42578125" style="224" customWidth="1"/>
    <col min="12052" max="12057" width="5.5703125" style="224" customWidth="1"/>
    <col min="12058" max="12058" width="4.5703125" style="224" customWidth="1"/>
    <col min="12059" max="12059" width="4.28515625" style="224"/>
    <col min="12060" max="12060" width="8.140625" style="224" bestFit="1" customWidth="1"/>
    <col min="12061" max="12285" width="4.28515625" style="224"/>
    <col min="12286" max="12286" width="10.7109375" style="224" customWidth="1"/>
    <col min="12287" max="12288" width="8.85546875" style="224" customWidth="1"/>
    <col min="12289" max="12289" width="4.42578125" style="224" customWidth="1"/>
    <col min="12290" max="12290" width="7.140625" style="224" customWidth="1"/>
    <col min="12291" max="12291" width="7.85546875" style="224" customWidth="1"/>
    <col min="12292" max="12292" width="8.28515625" style="224" customWidth="1"/>
    <col min="12293" max="12293" width="4.85546875" style="224" customWidth="1"/>
    <col min="12294" max="12294" width="5.85546875" style="224" customWidth="1"/>
    <col min="12295" max="12295" width="5.5703125" style="224" customWidth="1"/>
    <col min="12296" max="12296" width="6" style="224" customWidth="1"/>
    <col min="12297" max="12297" width="5.5703125" style="224" customWidth="1"/>
    <col min="12298" max="12298" width="6.28515625" style="224" customWidth="1"/>
    <col min="12299" max="12299" width="4.85546875" style="224" customWidth="1"/>
    <col min="12300" max="12300" width="6.28515625" style="224" customWidth="1"/>
    <col min="12301" max="12301" width="4.85546875" style="224" customWidth="1"/>
    <col min="12302" max="12302" width="6" style="224" customWidth="1"/>
    <col min="12303" max="12303" width="4.85546875" style="224" customWidth="1"/>
    <col min="12304" max="12304" width="5.7109375" style="224" customWidth="1"/>
    <col min="12305" max="12305" width="6.5703125" style="224" customWidth="1"/>
    <col min="12306" max="12306" width="5.140625" style="224" customWidth="1"/>
    <col min="12307" max="12307" width="6.42578125" style="224" customWidth="1"/>
    <col min="12308" max="12313" width="5.5703125" style="224" customWidth="1"/>
    <col min="12314" max="12314" width="4.5703125" style="224" customWidth="1"/>
    <col min="12315" max="12315" width="4.28515625" style="224"/>
    <col min="12316" max="12316" width="8.140625" style="224" bestFit="1" customWidth="1"/>
    <col min="12317" max="12541" width="4.28515625" style="224"/>
    <col min="12542" max="12542" width="10.7109375" style="224" customWidth="1"/>
    <col min="12543" max="12544" width="8.85546875" style="224" customWidth="1"/>
    <col min="12545" max="12545" width="4.42578125" style="224" customWidth="1"/>
    <col min="12546" max="12546" width="7.140625" style="224" customWidth="1"/>
    <col min="12547" max="12547" width="7.85546875" style="224" customWidth="1"/>
    <col min="12548" max="12548" width="8.28515625" style="224" customWidth="1"/>
    <col min="12549" max="12549" width="4.85546875" style="224" customWidth="1"/>
    <col min="12550" max="12550" width="5.85546875" style="224" customWidth="1"/>
    <col min="12551" max="12551" width="5.5703125" style="224" customWidth="1"/>
    <col min="12552" max="12552" width="6" style="224" customWidth="1"/>
    <col min="12553" max="12553" width="5.5703125" style="224" customWidth="1"/>
    <col min="12554" max="12554" width="6.28515625" style="224" customWidth="1"/>
    <col min="12555" max="12555" width="4.85546875" style="224" customWidth="1"/>
    <col min="12556" max="12556" width="6.28515625" style="224" customWidth="1"/>
    <col min="12557" max="12557" width="4.85546875" style="224" customWidth="1"/>
    <col min="12558" max="12558" width="6" style="224" customWidth="1"/>
    <col min="12559" max="12559" width="4.85546875" style="224" customWidth="1"/>
    <col min="12560" max="12560" width="5.7109375" style="224" customWidth="1"/>
    <col min="12561" max="12561" width="6.5703125" style="224" customWidth="1"/>
    <col min="12562" max="12562" width="5.140625" style="224" customWidth="1"/>
    <col min="12563" max="12563" width="6.42578125" style="224" customWidth="1"/>
    <col min="12564" max="12569" width="5.5703125" style="224" customWidth="1"/>
    <col min="12570" max="12570" width="4.5703125" style="224" customWidth="1"/>
    <col min="12571" max="12571" width="4.28515625" style="224"/>
    <col min="12572" max="12572" width="8.140625" style="224" bestFit="1" customWidth="1"/>
    <col min="12573" max="12797" width="4.28515625" style="224"/>
    <col min="12798" max="12798" width="10.7109375" style="224" customWidth="1"/>
    <col min="12799" max="12800" width="8.85546875" style="224" customWidth="1"/>
    <col min="12801" max="12801" width="4.42578125" style="224" customWidth="1"/>
    <col min="12802" max="12802" width="7.140625" style="224" customWidth="1"/>
    <col min="12803" max="12803" width="7.85546875" style="224" customWidth="1"/>
    <col min="12804" max="12804" width="8.28515625" style="224" customWidth="1"/>
    <col min="12805" max="12805" width="4.85546875" style="224" customWidth="1"/>
    <col min="12806" max="12806" width="5.85546875" style="224" customWidth="1"/>
    <col min="12807" max="12807" width="5.5703125" style="224" customWidth="1"/>
    <col min="12808" max="12808" width="6" style="224" customWidth="1"/>
    <col min="12809" max="12809" width="5.5703125" style="224" customWidth="1"/>
    <col min="12810" max="12810" width="6.28515625" style="224" customWidth="1"/>
    <col min="12811" max="12811" width="4.85546875" style="224" customWidth="1"/>
    <col min="12812" max="12812" width="6.28515625" style="224" customWidth="1"/>
    <col min="12813" max="12813" width="4.85546875" style="224" customWidth="1"/>
    <col min="12814" max="12814" width="6" style="224" customWidth="1"/>
    <col min="12815" max="12815" width="4.85546875" style="224" customWidth="1"/>
    <col min="12816" max="12816" width="5.7109375" style="224" customWidth="1"/>
    <col min="12817" max="12817" width="6.5703125" style="224" customWidth="1"/>
    <col min="12818" max="12818" width="5.140625" style="224" customWidth="1"/>
    <col min="12819" max="12819" width="6.42578125" style="224" customWidth="1"/>
    <col min="12820" max="12825" width="5.5703125" style="224" customWidth="1"/>
    <col min="12826" max="12826" width="4.5703125" style="224" customWidth="1"/>
    <col min="12827" max="12827" width="4.28515625" style="224"/>
    <col min="12828" max="12828" width="8.140625" style="224" bestFit="1" customWidth="1"/>
    <col min="12829" max="13053" width="4.28515625" style="224"/>
    <col min="13054" max="13054" width="10.7109375" style="224" customWidth="1"/>
    <col min="13055" max="13056" width="8.85546875" style="224" customWidth="1"/>
    <col min="13057" max="13057" width="4.42578125" style="224" customWidth="1"/>
    <col min="13058" max="13058" width="7.140625" style="224" customWidth="1"/>
    <col min="13059" max="13059" width="7.85546875" style="224" customWidth="1"/>
    <col min="13060" max="13060" width="8.28515625" style="224" customWidth="1"/>
    <col min="13061" max="13061" width="4.85546875" style="224" customWidth="1"/>
    <col min="13062" max="13062" width="5.85546875" style="224" customWidth="1"/>
    <col min="13063" max="13063" width="5.5703125" style="224" customWidth="1"/>
    <col min="13064" max="13064" width="6" style="224" customWidth="1"/>
    <col min="13065" max="13065" width="5.5703125" style="224" customWidth="1"/>
    <col min="13066" max="13066" width="6.28515625" style="224" customWidth="1"/>
    <col min="13067" max="13067" width="4.85546875" style="224" customWidth="1"/>
    <col min="13068" max="13068" width="6.28515625" style="224" customWidth="1"/>
    <col min="13069" max="13069" width="4.85546875" style="224" customWidth="1"/>
    <col min="13070" max="13070" width="6" style="224" customWidth="1"/>
    <col min="13071" max="13071" width="4.85546875" style="224" customWidth="1"/>
    <col min="13072" max="13072" width="5.7109375" style="224" customWidth="1"/>
    <col min="13073" max="13073" width="6.5703125" style="224" customWidth="1"/>
    <col min="13074" max="13074" width="5.140625" style="224" customWidth="1"/>
    <col min="13075" max="13075" width="6.42578125" style="224" customWidth="1"/>
    <col min="13076" max="13081" width="5.5703125" style="224" customWidth="1"/>
    <col min="13082" max="13082" width="4.5703125" style="224" customWidth="1"/>
    <col min="13083" max="13083" width="4.28515625" style="224"/>
    <col min="13084" max="13084" width="8.140625" style="224" bestFit="1" customWidth="1"/>
    <col min="13085" max="13309" width="4.28515625" style="224"/>
    <col min="13310" max="13310" width="10.7109375" style="224" customWidth="1"/>
    <col min="13311" max="13312" width="8.85546875" style="224" customWidth="1"/>
    <col min="13313" max="13313" width="4.42578125" style="224" customWidth="1"/>
    <col min="13314" max="13314" width="7.140625" style="224" customWidth="1"/>
    <col min="13315" max="13315" width="7.85546875" style="224" customWidth="1"/>
    <col min="13316" max="13316" width="8.28515625" style="224" customWidth="1"/>
    <col min="13317" max="13317" width="4.85546875" style="224" customWidth="1"/>
    <col min="13318" max="13318" width="5.85546875" style="224" customWidth="1"/>
    <col min="13319" max="13319" width="5.5703125" style="224" customWidth="1"/>
    <col min="13320" max="13320" width="6" style="224" customWidth="1"/>
    <col min="13321" max="13321" width="5.5703125" style="224" customWidth="1"/>
    <col min="13322" max="13322" width="6.28515625" style="224" customWidth="1"/>
    <col min="13323" max="13323" width="4.85546875" style="224" customWidth="1"/>
    <col min="13324" max="13324" width="6.28515625" style="224" customWidth="1"/>
    <col min="13325" max="13325" width="4.85546875" style="224" customWidth="1"/>
    <col min="13326" max="13326" width="6" style="224" customWidth="1"/>
    <col min="13327" max="13327" width="4.85546875" style="224" customWidth="1"/>
    <col min="13328" max="13328" width="5.7109375" style="224" customWidth="1"/>
    <col min="13329" max="13329" width="6.5703125" style="224" customWidth="1"/>
    <col min="13330" max="13330" width="5.140625" style="224" customWidth="1"/>
    <col min="13331" max="13331" width="6.42578125" style="224" customWidth="1"/>
    <col min="13332" max="13337" width="5.5703125" style="224" customWidth="1"/>
    <col min="13338" max="13338" width="4.5703125" style="224" customWidth="1"/>
    <col min="13339" max="13339" width="4.28515625" style="224"/>
    <col min="13340" max="13340" width="8.140625" style="224" bestFit="1" customWidth="1"/>
    <col min="13341" max="13565" width="4.28515625" style="224"/>
    <col min="13566" max="13566" width="10.7109375" style="224" customWidth="1"/>
    <col min="13567" max="13568" width="8.85546875" style="224" customWidth="1"/>
    <col min="13569" max="13569" width="4.42578125" style="224" customWidth="1"/>
    <col min="13570" max="13570" width="7.140625" style="224" customWidth="1"/>
    <col min="13571" max="13571" width="7.85546875" style="224" customWidth="1"/>
    <col min="13572" max="13572" width="8.28515625" style="224" customWidth="1"/>
    <col min="13573" max="13573" width="4.85546875" style="224" customWidth="1"/>
    <col min="13574" max="13574" width="5.85546875" style="224" customWidth="1"/>
    <col min="13575" max="13575" width="5.5703125" style="224" customWidth="1"/>
    <col min="13576" max="13576" width="6" style="224" customWidth="1"/>
    <col min="13577" max="13577" width="5.5703125" style="224" customWidth="1"/>
    <col min="13578" max="13578" width="6.28515625" style="224" customWidth="1"/>
    <col min="13579" max="13579" width="4.85546875" style="224" customWidth="1"/>
    <col min="13580" max="13580" width="6.28515625" style="224" customWidth="1"/>
    <col min="13581" max="13581" width="4.85546875" style="224" customWidth="1"/>
    <col min="13582" max="13582" width="6" style="224" customWidth="1"/>
    <col min="13583" max="13583" width="4.85546875" style="224" customWidth="1"/>
    <col min="13584" max="13584" width="5.7109375" style="224" customWidth="1"/>
    <col min="13585" max="13585" width="6.5703125" style="224" customWidth="1"/>
    <col min="13586" max="13586" width="5.140625" style="224" customWidth="1"/>
    <col min="13587" max="13587" width="6.42578125" style="224" customWidth="1"/>
    <col min="13588" max="13593" width="5.5703125" style="224" customWidth="1"/>
    <col min="13594" max="13594" width="4.5703125" style="224" customWidth="1"/>
    <col min="13595" max="13595" width="4.28515625" style="224"/>
    <col min="13596" max="13596" width="8.140625" style="224" bestFit="1" customWidth="1"/>
    <col min="13597" max="13821" width="4.28515625" style="224"/>
    <col min="13822" max="13822" width="10.7109375" style="224" customWidth="1"/>
    <col min="13823" max="13824" width="8.85546875" style="224" customWidth="1"/>
    <col min="13825" max="13825" width="4.42578125" style="224" customWidth="1"/>
    <col min="13826" max="13826" width="7.140625" style="224" customWidth="1"/>
    <col min="13827" max="13827" width="7.85546875" style="224" customWidth="1"/>
    <col min="13828" max="13828" width="8.28515625" style="224" customWidth="1"/>
    <col min="13829" max="13829" width="4.85546875" style="224" customWidth="1"/>
    <col min="13830" max="13830" width="5.85546875" style="224" customWidth="1"/>
    <col min="13831" max="13831" width="5.5703125" style="224" customWidth="1"/>
    <col min="13832" max="13832" width="6" style="224" customWidth="1"/>
    <col min="13833" max="13833" width="5.5703125" style="224" customWidth="1"/>
    <col min="13834" max="13834" width="6.28515625" style="224" customWidth="1"/>
    <col min="13835" max="13835" width="4.85546875" style="224" customWidth="1"/>
    <col min="13836" max="13836" width="6.28515625" style="224" customWidth="1"/>
    <col min="13837" max="13837" width="4.85546875" style="224" customWidth="1"/>
    <col min="13838" max="13838" width="6" style="224" customWidth="1"/>
    <col min="13839" max="13839" width="4.85546875" style="224" customWidth="1"/>
    <col min="13840" max="13840" width="5.7109375" style="224" customWidth="1"/>
    <col min="13841" max="13841" width="6.5703125" style="224" customWidth="1"/>
    <col min="13842" max="13842" width="5.140625" style="224" customWidth="1"/>
    <col min="13843" max="13843" width="6.42578125" style="224" customWidth="1"/>
    <col min="13844" max="13849" width="5.5703125" style="224" customWidth="1"/>
    <col min="13850" max="13850" width="4.5703125" style="224" customWidth="1"/>
    <col min="13851" max="13851" width="4.28515625" style="224"/>
    <col min="13852" max="13852" width="8.140625" style="224" bestFit="1" customWidth="1"/>
    <col min="13853" max="14077" width="4.28515625" style="224"/>
    <col min="14078" max="14078" width="10.7109375" style="224" customWidth="1"/>
    <col min="14079" max="14080" width="8.85546875" style="224" customWidth="1"/>
    <col min="14081" max="14081" width="4.42578125" style="224" customWidth="1"/>
    <col min="14082" max="14082" width="7.140625" style="224" customWidth="1"/>
    <col min="14083" max="14083" width="7.85546875" style="224" customWidth="1"/>
    <col min="14084" max="14084" width="8.28515625" style="224" customWidth="1"/>
    <col min="14085" max="14085" width="4.85546875" style="224" customWidth="1"/>
    <col min="14086" max="14086" width="5.85546875" style="224" customWidth="1"/>
    <col min="14087" max="14087" width="5.5703125" style="224" customWidth="1"/>
    <col min="14088" max="14088" width="6" style="224" customWidth="1"/>
    <col min="14089" max="14089" width="5.5703125" style="224" customWidth="1"/>
    <col min="14090" max="14090" width="6.28515625" style="224" customWidth="1"/>
    <col min="14091" max="14091" width="4.85546875" style="224" customWidth="1"/>
    <col min="14092" max="14092" width="6.28515625" style="224" customWidth="1"/>
    <col min="14093" max="14093" width="4.85546875" style="224" customWidth="1"/>
    <col min="14094" max="14094" width="6" style="224" customWidth="1"/>
    <col min="14095" max="14095" width="4.85546875" style="224" customWidth="1"/>
    <col min="14096" max="14096" width="5.7109375" style="224" customWidth="1"/>
    <col min="14097" max="14097" width="6.5703125" style="224" customWidth="1"/>
    <col min="14098" max="14098" width="5.140625" style="224" customWidth="1"/>
    <col min="14099" max="14099" width="6.42578125" style="224" customWidth="1"/>
    <col min="14100" max="14105" width="5.5703125" style="224" customWidth="1"/>
    <col min="14106" max="14106" width="4.5703125" style="224" customWidth="1"/>
    <col min="14107" max="14107" width="4.28515625" style="224"/>
    <col min="14108" max="14108" width="8.140625" style="224" bestFit="1" customWidth="1"/>
    <col min="14109" max="14333" width="4.28515625" style="224"/>
    <col min="14334" max="14334" width="10.7109375" style="224" customWidth="1"/>
    <col min="14335" max="14336" width="8.85546875" style="224" customWidth="1"/>
    <col min="14337" max="14337" width="4.42578125" style="224" customWidth="1"/>
    <col min="14338" max="14338" width="7.140625" style="224" customWidth="1"/>
    <col min="14339" max="14339" width="7.85546875" style="224" customWidth="1"/>
    <col min="14340" max="14340" width="8.28515625" style="224" customWidth="1"/>
    <col min="14341" max="14341" width="4.85546875" style="224" customWidth="1"/>
    <col min="14342" max="14342" width="5.85546875" style="224" customWidth="1"/>
    <col min="14343" max="14343" width="5.5703125" style="224" customWidth="1"/>
    <col min="14344" max="14344" width="6" style="224" customWidth="1"/>
    <col min="14345" max="14345" width="5.5703125" style="224" customWidth="1"/>
    <col min="14346" max="14346" width="6.28515625" style="224" customWidth="1"/>
    <col min="14347" max="14347" width="4.85546875" style="224" customWidth="1"/>
    <col min="14348" max="14348" width="6.28515625" style="224" customWidth="1"/>
    <col min="14349" max="14349" width="4.85546875" style="224" customWidth="1"/>
    <col min="14350" max="14350" width="6" style="224" customWidth="1"/>
    <col min="14351" max="14351" width="4.85546875" style="224" customWidth="1"/>
    <col min="14352" max="14352" width="5.7109375" style="224" customWidth="1"/>
    <col min="14353" max="14353" width="6.5703125" style="224" customWidth="1"/>
    <col min="14354" max="14354" width="5.140625" style="224" customWidth="1"/>
    <col min="14355" max="14355" width="6.42578125" style="224" customWidth="1"/>
    <col min="14356" max="14361" width="5.5703125" style="224" customWidth="1"/>
    <col min="14362" max="14362" width="4.5703125" style="224" customWidth="1"/>
    <col min="14363" max="14363" width="4.28515625" style="224"/>
    <col min="14364" max="14364" width="8.140625" style="224" bestFit="1" customWidth="1"/>
    <col min="14365" max="14589" width="4.28515625" style="224"/>
    <col min="14590" max="14590" width="10.7109375" style="224" customWidth="1"/>
    <col min="14591" max="14592" width="8.85546875" style="224" customWidth="1"/>
    <col min="14593" max="14593" width="4.42578125" style="224" customWidth="1"/>
    <col min="14594" max="14594" width="7.140625" style="224" customWidth="1"/>
    <col min="14595" max="14595" width="7.85546875" style="224" customWidth="1"/>
    <col min="14596" max="14596" width="8.28515625" style="224" customWidth="1"/>
    <col min="14597" max="14597" width="4.85546875" style="224" customWidth="1"/>
    <col min="14598" max="14598" width="5.85546875" style="224" customWidth="1"/>
    <col min="14599" max="14599" width="5.5703125" style="224" customWidth="1"/>
    <col min="14600" max="14600" width="6" style="224" customWidth="1"/>
    <col min="14601" max="14601" width="5.5703125" style="224" customWidth="1"/>
    <col min="14602" max="14602" width="6.28515625" style="224" customWidth="1"/>
    <col min="14603" max="14603" width="4.85546875" style="224" customWidth="1"/>
    <col min="14604" max="14604" width="6.28515625" style="224" customWidth="1"/>
    <col min="14605" max="14605" width="4.85546875" style="224" customWidth="1"/>
    <col min="14606" max="14606" width="6" style="224" customWidth="1"/>
    <col min="14607" max="14607" width="4.85546875" style="224" customWidth="1"/>
    <col min="14608" max="14608" width="5.7109375" style="224" customWidth="1"/>
    <col min="14609" max="14609" width="6.5703125" style="224" customWidth="1"/>
    <col min="14610" max="14610" width="5.140625" style="224" customWidth="1"/>
    <col min="14611" max="14611" width="6.42578125" style="224" customWidth="1"/>
    <col min="14612" max="14617" width="5.5703125" style="224" customWidth="1"/>
    <col min="14618" max="14618" width="4.5703125" style="224" customWidth="1"/>
    <col min="14619" max="14619" width="4.28515625" style="224"/>
    <col min="14620" max="14620" width="8.140625" style="224" bestFit="1" customWidth="1"/>
    <col min="14621" max="14845" width="4.28515625" style="224"/>
    <col min="14846" max="14846" width="10.7109375" style="224" customWidth="1"/>
    <col min="14847" max="14848" width="8.85546875" style="224" customWidth="1"/>
    <col min="14849" max="14849" width="4.42578125" style="224" customWidth="1"/>
    <col min="14850" max="14850" width="7.140625" style="224" customWidth="1"/>
    <col min="14851" max="14851" width="7.85546875" style="224" customWidth="1"/>
    <col min="14852" max="14852" width="8.28515625" style="224" customWidth="1"/>
    <col min="14853" max="14853" width="4.85546875" style="224" customWidth="1"/>
    <col min="14854" max="14854" width="5.85546875" style="224" customWidth="1"/>
    <col min="14855" max="14855" width="5.5703125" style="224" customWidth="1"/>
    <col min="14856" max="14856" width="6" style="224" customWidth="1"/>
    <col min="14857" max="14857" width="5.5703125" style="224" customWidth="1"/>
    <col min="14858" max="14858" width="6.28515625" style="224" customWidth="1"/>
    <col min="14859" max="14859" width="4.85546875" style="224" customWidth="1"/>
    <col min="14860" max="14860" width="6.28515625" style="224" customWidth="1"/>
    <col min="14861" max="14861" width="4.85546875" style="224" customWidth="1"/>
    <col min="14862" max="14862" width="6" style="224" customWidth="1"/>
    <col min="14863" max="14863" width="4.85546875" style="224" customWidth="1"/>
    <col min="14864" max="14864" width="5.7109375" style="224" customWidth="1"/>
    <col min="14865" max="14865" width="6.5703125" style="224" customWidth="1"/>
    <col min="14866" max="14866" width="5.140625" style="224" customWidth="1"/>
    <col min="14867" max="14867" width="6.42578125" style="224" customWidth="1"/>
    <col min="14868" max="14873" width="5.5703125" style="224" customWidth="1"/>
    <col min="14874" max="14874" width="4.5703125" style="224" customWidth="1"/>
    <col min="14875" max="14875" width="4.28515625" style="224"/>
    <col min="14876" max="14876" width="8.140625" style="224" bestFit="1" customWidth="1"/>
    <col min="14877" max="15101" width="4.28515625" style="224"/>
    <col min="15102" max="15102" width="10.7109375" style="224" customWidth="1"/>
    <col min="15103" max="15104" width="8.85546875" style="224" customWidth="1"/>
    <col min="15105" max="15105" width="4.42578125" style="224" customWidth="1"/>
    <col min="15106" max="15106" width="7.140625" style="224" customWidth="1"/>
    <col min="15107" max="15107" width="7.85546875" style="224" customWidth="1"/>
    <col min="15108" max="15108" width="8.28515625" style="224" customWidth="1"/>
    <col min="15109" max="15109" width="4.85546875" style="224" customWidth="1"/>
    <col min="15110" max="15110" width="5.85546875" style="224" customWidth="1"/>
    <col min="15111" max="15111" width="5.5703125" style="224" customWidth="1"/>
    <col min="15112" max="15112" width="6" style="224" customWidth="1"/>
    <col min="15113" max="15113" width="5.5703125" style="224" customWidth="1"/>
    <col min="15114" max="15114" width="6.28515625" style="224" customWidth="1"/>
    <col min="15115" max="15115" width="4.85546875" style="224" customWidth="1"/>
    <col min="15116" max="15116" width="6.28515625" style="224" customWidth="1"/>
    <col min="15117" max="15117" width="4.85546875" style="224" customWidth="1"/>
    <col min="15118" max="15118" width="6" style="224" customWidth="1"/>
    <col min="15119" max="15119" width="4.85546875" style="224" customWidth="1"/>
    <col min="15120" max="15120" width="5.7109375" style="224" customWidth="1"/>
    <col min="15121" max="15121" width="6.5703125" style="224" customWidth="1"/>
    <col min="15122" max="15122" width="5.140625" style="224" customWidth="1"/>
    <col min="15123" max="15123" width="6.42578125" style="224" customWidth="1"/>
    <col min="15124" max="15129" width="5.5703125" style="224" customWidth="1"/>
    <col min="15130" max="15130" width="4.5703125" style="224" customWidth="1"/>
    <col min="15131" max="15131" width="4.28515625" style="224"/>
    <col min="15132" max="15132" width="8.140625" style="224" bestFit="1" customWidth="1"/>
    <col min="15133" max="15357" width="4.28515625" style="224"/>
    <col min="15358" max="15358" width="10.7109375" style="224" customWidth="1"/>
    <col min="15359" max="15360" width="8.85546875" style="224" customWidth="1"/>
    <col min="15361" max="15361" width="4.42578125" style="224" customWidth="1"/>
    <col min="15362" max="15362" width="7.140625" style="224" customWidth="1"/>
    <col min="15363" max="15363" width="7.85546875" style="224" customWidth="1"/>
    <col min="15364" max="15364" width="8.28515625" style="224" customWidth="1"/>
    <col min="15365" max="15365" width="4.85546875" style="224" customWidth="1"/>
    <col min="15366" max="15366" width="5.85546875" style="224" customWidth="1"/>
    <col min="15367" max="15367" width="5.5703125" style="224" customWidth="1"/>
    <col min="15368" max="15368" width="6" style="224" customWidth="1"/>
    <col min="15369" max="15369" width="5.5703125" style="224" customWidth="1"/>
    <col min="15370" max="15370" width="6.28515625" style="224" customWidth="1"/>
    <col min="15371" max="15371" width="4.85546875" style="224" customWidth="1"/>
    <col min="15372" max="15372" width="6.28515625" style="224" customWidth="1"/>
    <col min="15373" max="15373" width="4.85546875" style="224" customWidth="1"/>
    <col min="15374" max="15374" width="6" style="224" customWidth="1"/>
    <col min="15375" max="15375" width="4.85546875" style="224" customWidth="1"/>
    <col min="15376" max="15376" width="5.7109375" style="224" customWidth="1"/>
    <col min="15377" max="15377" width="6.5703125" style="224" customWidth="1"/>
    <col min="15378" max="15378" width="5.140625" style="224" customWidth="1"/>
    <col min="15379" max="15379" width="6.42578125" style="224" customWidth="1"/>
    <col min="15380" max="15385" width="5.5703125" style="224" customWidth="1"/>
    <col min="15386" max="15386" width="4.5703125" style="224" customWidth="1"/>
    <col min="15387" max="15387" width="4.28515625" style="224"/>
    <col min="15388" max="15388" width="8.140625" style="224" bestFit="1" customWidth="1"/>
    <col min="15389" max="15613" width="4.28515625" style="224"/>
    <col min="15614" max="15614" width="10.7109375" style="224" customWidth="1"/>
    <col min="15615" max="15616" width="8.85546875" style="224" customWidth="1"/>
    <col min="15617" max="15617" width="4.42578125" style="224" customWidth="1"/>
    <col min="15618" max="15618" width="7.140625" style="224" customWidth="1"/>
    <col min="15619" max="15619" width="7.85546875" style="224" customWidth="1"/>
    <col min="15620" max="15620" width="8.28515625" style="224" customWidth="1"/>
    <col min="15621" max="15621" width="4.85546875" style="224" customWidth="1"/>
    <col min="15622" max="15622" width="5.85546875" style="224" customWidth="1"/>
    <col min="15623" max="15623" width="5.5703125" style="224" customWidth="1"/>
    <col min="15624" max="15624" width="6" style="224" customWidth="1"/>
    <col min="15625" max="15625" width="5.5703125" style="224" customWidth="1"/>
    <col min="15626" max="15626" width="6.28515625" style="224" customWidth="1"/>
    <col min="15627" max="15627" width="4.85546875" style="224" customWidth="1"/>
    <col min="15628" max="15628" width="6.28515625" style="224" customWidth="1"/>
    <col min="15629" max="15629" width="4.85546875" style="224" customWidth="1"/>
    <col min="15630" max="15630" width="6" style="224" customWidth="1"/>
    <col min="15631" max="15631" width="4.85546875" style="224" customWidth="1"/>
    <col min="15632" max="15632" width="5.7109375" style="224" customWidth="1"/>
    <col min="15633" max="15633" width="6.5703125" style="224" customWidth="1"/>
    <col min="15634" max="15634" width="5.140625" style="224" customWidth="1"/>
    <col min="15635" max="15635" width="6.42578125" style="224" customWidth="1"/>
    <col min="15636" max="15641" width="5.5703125" style="224" customWidth="1"/>
    <col min="15642" max="15642" width="4.5703125" style="224" customWidth="1"/>
    <col min="15643" max="15643" width="4.28515625" style="224"/>
    <col min="15644" max="15644" width="8.140625" style="224" bestFit="1" customWidth="1"/>
    <col min="15645" max="15869" width="4.28515625" style="224"/>
    <col min="15870" max="15870" width="10.7109375" style="224" customWidth="1"/>
    <col min="15871" max="15872" width="8.85546875" style="224" customWidth="1"/>
    <col min="15873" max="15873" width="4.42578125" style="224" customWidth="1"/>
    <col min="15874" max="15874" width="7.140625" style="224" customWidth="1"/>
    <col min="15875" max="15875" width="7.85546875" style="224" customWidth="1"/>
    <col min="15876" max="15876" width="8.28515625" style="224" customWidth="1"/>
    <col min="15877" max="15877" width="4.85546875" style="224" customWidth="1"/>
    <col min="15878" max="15878" width="5.85546875" style="224" customWidth="1"/>
    <col min="15879" max="15879" width="5.5703125" style="224" customWidth="1"/>
    <col min="15880" max="15880" width="6" style="224" customWidth="1"/>
    <col min="15881" max="15881" width="5.5703125" style="224" customWidth="1"/>
    <col min="15882" max="15882" width="6.28515625" style="224" customWidth="1"/>
    <col min="15883" max="15883" width="4.85546875" style="224" customWidth="1"/>
    <col min="15884" max="15884" width="6.28515625" style="224" customWidth="1"/>
    <col min="15885" max="15885" width="4.85546875" style="224" customWidth="1"/>
    <col min="15886" max="15886" width="6" style="224" customWidth="1"/>
    <col min="15887" max="15887" width="4.85546875" style="224" customWidth="1"/>
    <col min="15888" max="15888" width="5.7109375" style="224" customWidth="1"/>
    <col min="15889" max="15889" width="6.5703125" style="224" customWidth="1"/>
    <col min="15890" max="15890" width="5.140625" style="224" customWidth="1"/>
    <col min="15891" max="15891" width="6.42578125" style="224" customWidth="1"/>
    <col min="15892" max="15897" width="5.5703125" style="224" customWidth="1"/>
    <col min="15898" max="15898" width="4.5703125" style="224" customWidth="1"/>
    <col min="15899" max="15899" width="4.28515625" style="224"/>
    <col min="15900" max="15900" width="8.140625" style="224" bestFit="1" customWidth="1"/>
    <col min="15901" max="16125" width="4.28515625" style="224"/>
    <col min="16126" max="16126" width="10.7109375" style="224" customWidth="1"/>
    <col min="16127" max="16128" width="8.85546875" style="224" customWidth="1"/>
    <col min="16129" max="16129" width="4.42578125" style="224" customWidth="1"/>
    <col min="16130" max="16130" width="7.140625" style="224" customWidth="1"/>
    <col min="16131" max="16131" width="7.85546875" style="224" customWidth="1"/>
    <col min="16132" max="16132" width="8.28515625" style="224" customWidth="1"/>
    <col min="16133" max="16133" width="4.85546875" style="224" customWidth="1"/>
    <col min="16134" max="16134" width="5.85546875" style="224" customWidth="1"/>
    <col min="16135" max="16135" width="5.5703125" style="224" customWidth="1"/>
    <col min="16136" max="16136" width="6" style="224" customWidth="1"/>
    <col min="16137" max="16137" width="5.5703125" style="224" customWidth="1"/>
    <col min="16138" max="16138" width="6.28515625" style="224" customWidth="1"/>
    <col min="16139" max="16139" width="4.85546875" style="224" customWidth="1"/>
    <col min="16140" max="16140" width="6.28515625" style="224" customWidth="1"/>
    <col min="16141" max="16141" width="4.85546875" style="224" customWidth="1"/>
    <col min="16142" max="16142" width="6" style="224" customWidth="1"/>
    <col min="16143" max="16143" width="4.85546875" style="224" customWidth="1"/>
    <col min="16144" max="16144" width="5.7109375" style="224" customWidth="1"/>
    <col min="16145" max="16145" width="6.5703125" style="224" customWidth="1"/>
    <col min="16146" max="16146" width="5.140625" style="224" customWidth="1"/>
    <col min="16147" max="16147" width="6.42578125" style="224" customWidth="1"/>
    <col min="16148" max="16153" width="5.5703125" style="224" customWidth="1"/>
    <col min="16154" max="16154" width="4.5703125" style="224" customWidth="1"/>
    <col min="16155" max="16155" width="4.28515625" style="224"/>
    <col min="16156" max="16156" width="8.140625" style="224" bestFit="1" customWidth="1"/>
    <col min="16157" max="16384" width="4.28515625" style="224"/>
  </cols>
  <sheetData>
    <row r="1" spans="1:28" ht="15" customHeight="1">
      <c r="A1" s="222" t="s">
        <v>2704</v>
      </c>
    </row>
    <row r="2" spans="1:28" s="222" customFormat="1" ht="18.75">
      <c r="A2" s="1618" t="s">
        <v>2735</v>
      </c>
      <c r="B2" s="1618"/>
      <c r="C2" s="1618"/>
      <c r="D2" s="1618"/>
      <c r="E2" s="1618"/>
      <c r="F2" s="1618"/>
      <c r="G2" s="1618"/>
      <c r="H2" s="1618"/>
      <c r="I2" s="1618"/>
      <c r="J2" s="1618"/>
      <c r="K2" s="1618"/>
      <c r="L2" s="1618"/>
      <c r="M2" s="1618"/>
      <c r="N2" s="1618"/>
      <c r="O2" s="1618"/>
      <c r="P2" s="1618"/>
      <c r="Q2" s="1618"/>
      <c r="R2" s="1618"/>
      <c r="S2" s="1618"/>
      <c r="T2" s="1618"/>
      <c r="U2" s="1618"/>
      <c r="V2" s="1618"/>
      <c r="W2" s="1618"/>
      <c r="X2" s="1618"/>
      <c r="Y2" s="1618"/>
      <c r="Z2" s="1618"/>
      <c r="AA2" s="1618"/>
      <c r="AB2" s="1618"/>
    </row>
    <row r="3" spans="1:28" s="225" customFormat="1" ht="21" customHeight="1" thickBot="1">
      <c r="A3" s="1619" t="e">
        <f>#REF!</f>
        <v>#REF!</v>
      </c>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row>
    <row r="4" spans="1:28" s="226" customFormat="1" ht="19.5" customHeight="1" thickTop="1">
      <c r="A4" s="1621" t="s">
        <v>0</v>
      </c>
      <c r="B4" s="1623" t="s">
        <v>2705</v>
      </c>
      <c r="C4" s="1623" t="s">
        <v>157</v>
      </c>
      <c r="D4" s="1623" t="s">
        <v>158</v>
      </c>
      <c r="E4" s="1625" t="s">
        <v>2706</v>
      </c>
      <c r="F4" s="1626"/>
      <c r="G4" s="1626"/>
      <c r="H4" s="1627"/>
      <c r="I4" s="1625" t="s">
        <v>2730</v>
      </c>
      <c r="J4" s="1626"/>
      <c r="K4" s="1626"/>
      <c r="L4" s="1627"/>
      <c r="M4" s="1625" t="s">
        <v>2707</v>
      </c>
      <c r="N4" s="1627"/>
      <c r="O4" s="1609" t="s">
        <v>2708</v>
      </c>
      <c r="P4" s="1610"/>
      <c r="Q4" s="1610"/>
      <c r="R4" s="1610"/>
      <c r="S4" s="1610"/>
      <c r="T4" s="1610"/>
      <c r="U4" s="1610"/>
      <c r="V4" s="1610"/>
      <c r="W4" s="1610"/>
      <c r="X4" s="1610"/>
      <c r="Y4" s="1611"/>
      <c r="Z4" s="1624" t="s">
        <v>2709</v>
      </c>
      <c r="AA4" s="1624" t="s">
        <v>2736</v>
      </c>
      <c r="AB4" s="1628" t="s">
        <v>2710</v>
      </c>
    </row>
    <row r="5" spans="1:28" s="226" customFormat="1" ht="18" customHeight="1">
      <c r="A5" s="1622"/>
      <c r="B5" s="1614"/>
      <c r="C5" s="1614"/>
      <c r="D5" s="1614"/>
      <c r="E5" s="1614" t="s">
        <v>2711</v>
      </c>
      <c r="F5" s="1614" t="s">
        <v>2712</v>
      </c>
      <c r="G5" s="1614" t="s">
        <v>2713</v>
      </c>
      <c r="H5" s="1614" t="s">
        <v>2732</v>
      </c>
      <c r="I5" s="1614" t="s">
        <v>2714</v>
      </c>
      <c r="J5" s="1614" t="s">
        <v>2715</v>
      </c>
      <c r="K5" s="1614" t="s">
        <v>2716</v>
      </c>
      <c r="L5" s="1614" t="s">
        <v>2717</v>
      </c>
      <c r="M5" s="1614" t="s">
        <v>2729</v>
      </c>
      <c r="N5" s="1614" t="s">
        <v>2731</v>
      </c>
      <c r="O5" s="1614" t="s">
        <v>266</v>
      </c>
      <c r="P5" s="1614" t="s">
        <v>267</v>
      </c>
      <c r="Q5" s="1614" t="s">
        <v>268</v>
      </c>
      <c r="R5" s="1614" t="s">
        <v>269</v>
      </c>
      <c r="S5" s="1614" t="s">
        <v>270</v>
      </c>
      <c r="T5" s="1614" t="s">
        <v>271</v>
      </c>
      <c r="U5" s="1614" t="s">
        <v>272</v>
      </c>
      <c r="V5" s="1614" t="s">
        <v>273</v>
      </c>
      <c r="W5" s="1607" t="s">
        <v>147</v>
      </c>
      <c r="X5" s="1614" t="s">
        <v>2718</v>
      </c>
      <c r="Y5" s="1615" t="s">
        <v>2719</v>
      </c>
      <c r="Z5" s="1615"/>
      <c r="AA5" s="1615"/>
      <c r="AB5" s="1629"/>
    </row>
    <row r="6" spans="1:28" s="226" customFormat="1" ht="144" customHeight="1">
      <c r="A6" s="1622"/>
      <c r="B6" s="1614"/>
      <c r="C6" s="1614"/>
      <c r="D6" s="1614"/>
      <c r="E6" s="1614"/>
      <c r="F6" s="1614"/>
      <c r="G6" s="1614"/>
      <c r="H6" s="1614"/>
      <c r="I6" s="1614"/>
      <c r="J6" s="1614"/>
      <c r="K6" s="1614"/>
      <c r="L6" s="1614"/>
      <c r="M6" s="1614"/>
      <c r="N6" s="1614"/>
      <c r="O6" s="1614"/>
      <c r="P6" s="1614"/>
      <c r="Q6" s="1614"/>
      <c r="R6" s="1614"/>
      <c r="S6" s="1614"/>
      <c r="T6" s="1614"/>
      <c r="U6" s="1614"/>
      <c r="V6" s="1614"/>
      <c r="W6" s="1608"/>
      <c r="X6" s="1614"/>
      <c r="Y6" s="1615"/>
      <c r="Z6" s="1615"/>
      <c r="AA6" s="1615"/>
      <c r="AB6" s="1629"/>
    </row>
    <row r="7" spans="1:28" s="229" customFormat="1" ht="24" customHeight="1">
      <c r="A7" s="251"/>
      <c r="B7" s="227" t="s">
        <v>2720</v>
      </c>
      <c r="C7" s="227" t="s">
        <v>2720</v>
      </c>
      <c r="D7" s="227"/>
      <c r="E7" s="259" t="s">
        <v>2720</v>
      </c>
      <c r="F7" s="259" t="s">
        <v>2720</v>
      </c>
      <c r="G7" s="259" t="s">
        <v>2720</v>
      </c>
      <c r="H7" s="259"/>
      <c r="I7" s="259" t="s">
        <v>2721</v>
      </c>
      <c r="J7" s="259" t="s">
        <v>2721</v>
      </c>
      <c r="K7" s="259" t="s">
        <v>2721</v>
      </c>
      <c r="L7" s="259" t="s">
        <v>2721</v>
      </c>
      <c r="M7" s="259" t="s">
        <v>13</v>
      </c>
      <c r="N7" s="259" t="s">
        <v>13</v>
      </c>
      <c r="O7" s="259" t="s">
        <v>2722</v>
      </c>
      <c r="P7" s="259" t="s">
        <v>2722</v>
      </c>
      <c r="Q7" s="259" t="s">
        <v>2722</v>
      </c>
      <c r="R7" s="259" t="s">
        <v>2722</v>
      </c>
      <c r="S7" s="259" t="s">
        <v>2722</v>
      </c>
      <c r="T7" s="259" t="s">
        <v>2722</v>
      </c>
      <c r="U7" s="259" t="s">
        <v>2722</v>
      </c>
      <c r="V7" s="259" t="s">
        <v>2722</v>
      </c>
      <c r="W7" s="259" t="s">
        <v>2683</v>
      </c>
      <c r="X7" s="259" t="s">
        <v>2683</v>
      </c>
      <c r="Y7" s="227" t="s">
        <v>2722</v>
      </c>
      <c r="Z7" s="227" t="s">
        <v>2723</v>
      </c>
      <c r="AA7" s="227" t="s">
        <v>2723</v>
      </c>
      <c r="AB7" s="228"/>
    </row>
    <row r="8" spans="1:28" s="231" customFormat="1" ht="18" customHeight="1">
      <c r="A8" s="232"/>
      <c r="B8" s="230"/>
      <c r="C8" s="230"/>
      <c r="D8" s="230"/>
      <c r="E8" s="261"/>
      <c r="F8" s="261"/>
      <c r="G8" s="261"/>
      <c r="H8" s="261"/>
      <c r="I8" s="261"/>
      <c r="J8" s="261"/>
      <c r="K8" s="261"/>
      <c r="L8" s="261"/>
      <c r="M8" s="261"/>
      <c r="N8" s="260"/>
      <c r="O8" s="261"/>
      <c r="P8" s="261"/>
      <c r="Q8" s="261"/>
      <c r="R8" s="261"/>
      <c r="S8" s="261"/>
      <c r="T8" s="261"/>
      <c r="U8" s="261"/>
      <c r="V8" s="261"/>
      <c r="W8" s="261"/>
      <c r="X8" s="261"/>
      <c r="Y8" s="230"/>
      <c r="Z8" s="230"/>
      <c r="AA8" s="256"/>
      <c r="AB8" s="233"/>
    </row>
    <row r="9" spans="1:28" s="236" customFormat="1" ht="29.25" customHeight="1" thickBot="1">
      <c r="A9" s="252" t="s">
        <v>60</v>
      </c>
      <c r="B9" s="262" t="e">
        <f>#REF!</f>
        <v>#REF!</v>
      </c>
      <c r="C9" s="262" t="e">
        <f>#REF!</f>
        <v>#REF!</v>
      </c>
      <c r="D9" s="262" t="e">
        <f>#REF!</f>
        <v>#REF!</v>
      </c>
      <c r="E9" s="262" t="e">
        <f>#REF!</f>
        <v>#REF!</v>
      </c>
      <c r="F9" s="262" t="e">
        <f>#REF!</f>
        <v>#REF!</v>
      </c>
      <c r="G9" s="262" t="e">
        <f>#REF!</f>
        <v>#REF!</v>
      </c>
      <c r="H9" s="262" t="e">
        <f>#REF!</f>
        <v>#REF!</v>
      </c>
      <c r="I9" s="335" t="e">
        <f>#REF!</f>
        <v>#REF!</v>
      </c>
      <c r="J9" s="335" t="e">
        <f>#REF!</f>
        <v>#REF!</v>
      </c>
      <c r="K9" s="335" t="e">
        <f>#REF!</f>
        <v>#REF!</v>
      </c>
      <c r="L9" s="335" t="e">
        <f>#REF!</f>
        <v>#REF!</v>
      </c>
      <c r="M9" s="234" t="e">
        <f>#REF!</f>
        <v>#REF!</v>
      </c>
      <c r="N9" s="234" t="e">
        <f>#REF!</f>
        <v>#REF!</v>
      </c>
      <c r="O9" s="234" t="e">
        <f>#REF!</f>
        <v>#REF!</v>
      </c>
      <c r="P9" s="234" t="e">
        <f>#REF!</f>
        <v>#REF!</v>
      </c>
      <c r="Q9" s="234" t="e">
        <f>#REF!</f>
        <v>#REF!</v>
      </c>
      <c r="R9" s="234" t="e">
        <f>#REF!</f>
        <v>#REF!</v>
      </c>
      <c r="S9" s="258" t="e">
        <f>#REF!</f>
        <v>#REF!</v>
      </c>
      <c r="T9" s="258" t="e">
        <f>#REF!</f>
        <v>#REF!</v>
      </c>
      <c r="U9" s="258" t="e">
        <f>#REF!</f>
        <v>#REF!</v>
      </c>
      <c r="V9" s="258" t="e">
        <f>#REF!</f>
        <v>#REF!</v>
      </c>
      <c r="W9" s="258" t="e">
        <f>#REF!</f>
        <v>#REF!</v>
      </c>
      <c r="X9" s="258" t="e">
        <f>#REF!</f>
        <v>#REF!</v>
      </c>
      <c r="Y9" s="258" t="e">
        <f>#REF!</f>
        <v>#REF!</v>
      </c>
      <c r="Z9" s="258" t="e">
        <f>#REF!</f>
        <v>#REF!</v>
      </c>
      <c r="AA9" s="258" t="e">
        <f>#REF!</f>
        <v>#REF!</v>
      </c>
      <c r="AB9" s="235"/>
    </row>
    <row r="10" spans="1:28" s="240" customFormat="1" ht="13.5" thickTop="1">
      <c r="A10" s="237"/>
      <c r="B10" s="237"/>
      <c r="C10" s="237"/>
      <c r="D10" s="237"/>
      <c r="E10" s="257"/>
      <c r="F10" s="257"/>
      <c r="G10" s="257"/>
      <c r="H10" s="257"/>
      <c r="I10" s="238"/>
      <c r="J10" s="238"/>
      <c r="K10" s="238"/>
      <c r="L10" s="236"/>
      <c r="M10" s="239"/>
      <c r="N10" s="236"/>
      <c r="O10" s="236"/>
      <c r="P10" s="236"/>
      <c r="Q10" s="236"/>
      <c r="R10" s="236"/>
      <c r="S10" s="236"/>
      <c r="T10" s="236"/>
      <c r="U10" s="236"/>
      <c r="V10" s="236"/>
      <c r="W10" s="236"/>
      <c r="X10" s="236"/>
      <c r="Y10" s="238"/>
      <c r="Z10" s="238"/>
      <c r="AA10" s="254"/>
      <c r="AB10" s="236"/>
    </row>
    <row r="11" spans="1:28" s="240" customFormat="1">
      <c r="A11" s="1616" t="s">
        <v>2733</v>
      </c>
      <c r="B11" s="1616"/>
      <c r="C11" s="1616"/>
      <c r="D11" s="1617"/>
      <c r="E11" s="241" t="e">
        <f>E9*1.02</f>
        <v>#REF!</v>
      </c>
      <c r="F11" s="241" t="e">
        <f>F9*1.02</f>
        <v>#REF!</v>
      </c>
      <c r="G11" s="241" t="e">
        <f>G9*1.02</f>
        <v>#REF!</v>
      </c>
      <c r="H11" s="241" t="e">
        <f>H9*1.02</f>
        <v>#REF!</v>
      </c>
      <c r="I11" s="238" t="e">
        <f>SUM(I9:L9)</f>
        <v>#REF!</v>
      </c>
      <c r="J11" s="238"/>
      <c r="K11" s="238"/>
      <c r="L11" s="236"/>
      <c r="M11" s="239" t="e">
        <f>SUM(M9:N9)</f>
        <v>#REF!</v>
      </c>
      <c r="N11" s="236"/>
      <c r="O11" s="236"/>
      <c r="P11" s="236"/>
      <c r="Q11" s="236"/>
      <c r="R11" s="236"/>
      <c r="S11" s="236"/>
      <c r="T11" s="236"/>
      <c r="U11" s="236"/>
      <c r="V11" s="236"/>
      <c r="W11" s="236"/>
      <c r="X11" s="236"/>
      <c r="Y11" s="238"/>
      <c r="Z11" s="238"/>
      <c r="AA11" s="254"/>
      <c r="AB11" s="236"/>
    </row>
    <row r="12" spans="1:28" s="240" customFormat="1" ht="25.5" customHeight="1">
      <c r="A12" s="1630" t="s">
        <v>2724</v>
      </c>
      <c r="B12" s="1630"/>
      <c r="C12" s="1630"/>
      <c r="D12" s="1630"/>
      <c r="E12" s="242" t="e">
        <f>E11</f>
        <v>#REF!</v>
      </c>
      <c r="F12" s="1631" t="s">
        <v>59</v>
      </c>
      <c r="G12" s="1631"/>
      <c r="H12" s="254"/>
      <c r="I12" s="242"/>
      <c r="J12" s="242"/>
      <c r="K12" s="242"/>
      <c r="L12" s="242"/>
      <c r="M12" s="236"/>
      <c r="N12" s="236"/>
      <c r="O12" s="236"/>
      <c r="P12" s="236"/>
      <c r="Q12" s="236"/>
      <c r="R12" s="236"/>
      <c r="S12" s="236"/>
      <c r="T12" s="236"/>
      <c r="U12" s="236"/>
      <c r="V12" s="236"/>
      <c r="W12" s="236"/>
      <c r="X12" s="236"/>
      <c r="Y12" s="238"/>
      <c r="Z12" s="238"/>
      <c r="AA12" s="254"/>
      <c r="AB12" s="236"/>
    </row>
    <row r="13" spans="1:28" s="240" customFormat="1" ht="25.5" customHeight="1">
      <c r="A13" s="1630" t="s">
        <v>2725</v>
      </c>
      <c r="B13" s="1630"/>
      <c r="C13" s="1630"/>
      <c r="D13" s="1630"/>
      <c r="E13" s="242" t="e">
        <f>F11</f>
        <v>#REF!</v>
      </c>
      <c r="F13" s="1631" t="s">
        <v>59</v>
      </c>
      <c r="G13" s="1631"/>
      <c r="H13" s="254"/>
      <c r="I13" s="242"/>
      <c r="J13" s="242"/>
      <c r="K13" s="242"/>
      <c r="L13" s="242"/>
      <c r="M13" s="236"/>
      <c r="N13" s="236"/>
      <c r="O13" s="236"/>
      <c r="P13" s="236"/>
      <c r="Q13" s="236"/>
      <c r="R13" s="236"/>
      <c r="S13" s="236"/>
      <c r="T13" s="236"/>
      <c r="U13" s="236"/>
      <c r="V13" s="236"/>
      <c r="W13" s="236"/>
      <c r="X13" s="236"/>
      <c r="Y13" s="238"/>
      <c r="Z13" s="238"/>
      <c r="AA13" s="254"/>
      <c r="AB13" s="236"/>
    </row>
    <row r="14" spans="1:28" s="247" customFormat="1" ht="25.5" customHeight="1">
      <c r="A14" s="1612" t="s">
        <v>2726</v>
      </c>
      <c r="B14" s="1612"/>
      <c r="C14" s="1612"/>
      <c r="D14" s="1612"/>
      <c r="E14" s="243" t="e">
        <f>G11</f>
        <v>#REF!</v>
      </c>
      <c r="F14" s="1613" t="s">
        <v>59</v>
      </c>
      <c r="G14" s="1613"/>
      <c r="H14" s="255"/>
      <c r="I14" s="244"/>
      <c r="J14" s="244"/>
      <c r="K14" s="244"/>
      <c r="L14" s="244"/>
      <c r="M14" s="245"/>
      <c r="N14" s="245"/>
      <c r="O14" s="245"/>
      <c r="P14" s="245"/>
      <c r="Q14" s="236"/>
      <c r="R14" s="245"/>
      <c r="S14" s="245"/>
      <c r="T14" s="245"/>
      <c r="U14" s="245"/>
      <c r="V14" s="245"/>
      <c r="W14" s="245"/>
      <c r="X14" s="245"/>
      <c r="Y14" s="246"/>
      <c r="Z14" s="246"/>
      <c r="AA14" s="255"/>
      <c r="AB14" s="245"/>
    </row>
    <row r="15" spans="1:28" s="247" customFormat="1" ht="25.5" customHeight="1">
      <c r="A15" s="1612" t="s">
        <v>2734</v>
      </c>
      <c r="B15" s="1612"/>
      <c r="C15" s="1612"/>
      <c r="D15" s="1612"/>
      <c r="E15" s="243" t="e">
        <f>H11</f>
        <v>#REF!</v>
      </c>
      <c r="F15" s="255"/>
      <c r="G15" s="255"/>
      <c r="H15" s="255"/>
      <c r="I15" s="244"/>
      <c r="J15" s="244"/>
      <c r="K15" s="244"/>
      <c r="L15" s="244"/>
      <c r="M15" s="245"/>
      <c r="N15" s="245"/>
      <c r="O15" s="245"/>
      <c r="P15" s="245"/>
      <c r="Q15" s="236"/>
      <c r="R15" s="245"/>
      <c r="S15" s="245"/>
      <c r="T15" s="245"/>
      <c r="U15" s="245"/>
      <c r="V15" s="245"/>
      <c r="W15" s="245"/>
      <c r="X15" s="245"/>
      <c r="Y15" s="255"/>
      <c r="Z15" s="255"/>
      <c r="AA15" s="255"/>
      <c r="AB15" s="245"/>
    </row>
    <row r="16" spans="1:28" s="247" customFormat="1" ht="24.75" customHeight="1">
      <c r="A16" s="1612" t="s">
        <v>2727</v>
      </c>
      <c r="B16" s="1612"/>
      <c r="C16" s="1612"/>
      <c r="D16" s="1612"/>
      <c r="E16" s="244" t="e">
        <f>Z9</f>
        <v>#REF!</v>
      </c>
      <c r="F16" s="1613" t="s">
        <v>2728</v>
      </c>
      <c r="G16" s="1613"/>
      <c r="H16" s="255"/>
      <c r="I16" s="245"/>
      <c r="J16" s="245"/>
      <c r="K16" s="245"/>
      <c r="L16" s="244"/>
      <c r="M16" s="245"/>
      <c r="N16" s="245"/>
      <c r="O16" s="245"/>
      <c r="P16" s="245"/>
      <c r="Q16" s="236"/>
      <c r="R16" s="245"/>
      <c r="S16" s="245"/>
      <c r="T16" s="245"/>
      <c r="U16" s="245"/>
      <c r="V16" s="245"/>
      <c r="W16" s="245"/>
      <c r="X16" s="245"/>
      <c r="Y16" s="246"/>
      <c r="Z16" s="246"/>
      <c r="AA16" s="255"/>
      <c r="AB16" s="245"/>
    </row>
    <row r="17" spans="1:28" s="247" customFormat="1" ht="21" customHeight="1">
      <c r="A17" s="1612" t="s">
        <v>3109</v>
      </c>
      <c r="B17" s="1612"/>
      <c r="C17" s="1612"/>
      <c r="D17" s="1612"/>
      <c r="E17" s="244" t="e">
        <f>AA9</f>
        <v>#REF!</v>
      </c>
      <c r="F17" s="1613" t="s">
        <v>2728</v>
      </c>
      <c r="G17" s="1613"/>
      <c r="H17" s="253"/>
      <c r="I17" s="248"/>
      <c r="J17" s="248"/>
      <c r="K17" s="248"/>
      <c r="L17" s="248"/>
      <c r="M17" s="248"/>
      <c r="N17" s="248"/>
      <c r="O17" s="248"/>
      <c r="P17" s="248"/>
      <c r="Q17" s="236"/>
      <c r="R17" s="248"/>
      <c r="S17" s="248"/>
      <c r="T17" s="248"/>
      <c r="U17" s="248"/>
      <c r="V17" s="248"/>
      <c r="W17" s="248"/>
      <c r="X17" s="248"/>
      <c r="Y17" s="248"/>
      <c r="Z17" s="248"/>
      <c r="AA17" s="248"/>
      <c r="AB17" s="248"/>
    </row>
    <row r="18" spans="1:28">
      <c r="A18" s="249"/>
      <c r="B18" s="249"/>
      <c r="C18" s="249"/>
      <c r="D18" s="249"/>
      <c r="E18" s="249"/>
      <c r="F18" s="249"/>
      <c r="G18" s="249"/>
      <c r="H18" s="249"/>
      <c r="I18" s="249"/>
      <c r="J18" s="249"/>
      <c r="K18" s="249"/>
      <c r="L18" s="249"/>
      <c r="M18" s="249"/>
      <c r="N18" s="249"/>
      <c r="O18" s="249"/>
      <c r="P18" s="249"/>
      <c r="Q18" s="249"/>
      <c r="R18" s="249"/>
      <c r="S18" s="248"/>
      <c r="T18" s="333"/>
      <c r="U18" s="248"/>
      <c r="V18" s="248"/>
      <c r="W18" s="248"/>
      <c r="X18" s="248"/>
      <c r="Y18" s="249"/>
      <c r="Z18" s="249"/>
      <c r="AA18" s="249"/>
      <c r="AB18" s="249"/>
    </row>
    <row r="19" spans="1:28">
      <c r="A19" s="249"/>
      <c r="B19" s="249"/>
      <c r="C19" s="249"/>
      <c r="D19" s="249"/>
      <c r="E19" s="249"/>
      <c r="F19" s="249"/>
      <c r="G19" s="249"/>
      <c r="H19" s="249"/>
      <c r="I19" s="249"/>
      <c r="J19" s="249"/>
      <c r="K19" s="249"/>
      <c r="L19" s="249"/>
      <c r="M19" s="249"/>
      <c r="N19" s="249"/>
      <c r="O19" s="249"/>
      <c r="P19" s="249"/>
      <c r="Q19" s="249"/>
      <c r="R19" s="249"/>
      <c r="S19" s="248"/>
      <c r="T19" s="248"/>
      <c r="U19" s="248"/>
      <c r="V19" s="248"/>
      <c r="W19" s="248"/>
      <c r="X19" s="248"/>
      <c r="Y19" s="249"/>
      <c r="Z19" s="249"/>
      <c r="AA19" s="249"/>
      <c r="AB19" s="249"/>
    </row>
    <row r="20" spans="1:28">
      <c r="A20" s="249"/>
      <c r="B20" s="249"/>
      <c r="C20" s="249"/>
      <c r="D20" s="249"/>
      <c r="E20" s="249"/>
      <c r="F20" s="249"/>
      <c r="G20" s="249"/>
      <c r="H20" s="249"/>
      <c r="I20" s="249"/>
      <c r="J20" s="249"/>
      <c r="K20" s="249"/>
      <c r="L20" s="249"/>
      <c r="M20" s="249"/>
      <c r="N20" s="249"/>
      <c r="O20" s="249"/>
      <c r="P20" s="249"/>
      <c r="Q20" s="249"/>
      <c r="R20" s="249"/>
      <c r="S20" s="248"/>
      <c r="T20" s="248"/>
      <c r="U20" s="248"/>
      <c r="V20" s="248"/>
      <c r="W20" s="248"/>
      <c r="X20" s="248"/>
      <c r="Y20" s="249"/>
      <c r="Z20" s="249"/>
      <c r="AA20" s="249"/>
      <c r="AB20" s="249"/>
    </row>
    <row r="21" spans="1:28">
      <c r="A21" s="249"/>
      <c r="B21" s="249"/>
      <c r="C21" s="249"/>
      <c r="D21" s="249"/>
      <c r="E21" s="249"/>
      <c r="F21" s="249"/>
      <c r="G21" s="249"/>
      <c r="H21" s="249"/>
      <c r="I21" s="249"/>
      <c r="J21" s="249"/>
      <c r="K21" s="249"/>
      <c r="L21" s="249"/>
      <c r="M21" s="249"/>
      <c r="N21" s="249"/>
      <c r="O21" s="249"/>
      <c r="P21" s="249"/>
      <c r="Q21" s="249"/>
      <c r="R21" s="249"/>
      <c r="S21" s="248"/>
      <c r="T21" s="248"/>
      <c r="U21" s="248"/>
      <c r="V21" s="248"/>
      <c r="W21" s="248"/>
      <c r="X21" s="248"/>
      <c r="Y21" s="249"/>
      <c r="Z21" s="249"/>
      <c r="AA21" s="249"/>
      <c r="AB21" s="249"/>
    </row>
    <row r="22" spans="1:28">
      <c r="A22" s="249"/>
      <c r="B22" s="249"/>
      <c r="C22" s="249"/>
      <c r="D22" s="249"/>
      <c r="E22" s="249"/>
      <c r="F22" s="249"/>
      <c r="G22" s="249"/>
      <c r="H22" s="249"/>
      <c r="I22" s="249"/>
      <c r="J22" s="249"/>
      <c r="K22" s="249"/>
      <c r="L22" s="249"/>
      <c r="M22" s="249"/>
      <c r="N22" s="249"/>
      <c r="O22" s="249"/>
      <c r="P22" s="249"/>
      <c r="Q22" s="249"/>
      <c r="R22" s="249"/>
      <c r="S22" s="248"/>
      <c r="T22" s="248"/>
      <c r="U22" s="248"/>
      <c r="V22" s="248"/>
      <c r="W22" s="248"/>
      <c r="X22" s="248"/>
      <c r="Y22" s="249"/>
      <c r="Z22" s="249"/>
      <c r="AA22" s="249"/>
      <c r="AB22" s="249"/>
    </row>
    <row r="23" spans="1:28">
      <c r="A23" s="249"/>
      <c r="B23" s="249"/>
      <c r="C23" s="249"/>
      <c r="D23" s="249"/>
      <c r="E23" s="249"/>
      <c r="F23" s="249"/>
      <c r="G23" s="249"/>
      <c r="H23" s="249"/>
      <c r="I23" s="249"/>
      <c r="J23" s="249"/>
      <c r="K23" s="249"/>
      <c r="L23" s="249"/>
      <c r="M23" s="249"/>
      <c r="N23" s="249"/>
      <c r="O23" s="249"/>
      <c r="P23" s="249"/>
      <c r="Q23" s="249"/>
      <c r="R23" s="249"/>
      <c r="S23" s="248"/>
      <c r="T23" s="248"/>
      <c r="U23" s="248"/>
      <c r="V23" s="248"/>
      <c r="W23" s="248"/>
      <c r="X23" s="248"/>
      <c r="Y23" s="249"/>
      <c r="Z23" s="249"/>
      <c r="AA23" s="249"/>
      <c r="AB23" s="249"/>
    </row>
    <row r="24" spans="1:28">
      <c r="A24" s="249"/>
      <c r="B24" s="249"/>
      <c r="C24" s="249"/>
      <c r="D24" s="249"/>
      <c r="E24" s="249"/>
      <c r="F24" s="249"/>
      <c r="G24" s="249"/>
      <c r="H24" s="249"/>
      <c r="I24" s="249"/>
      <c r="J24" s="249"/>
      <c r="K24" s="249"/>
      <c r="L24" s="249"/>
      <c r="M24" s="249"/>
      <c r="N24" s="249"/>
      <c r="O24" s="249"/>
      <c r="P24" s="249"/>
      <c r="Q24" s="249"/>
      <c r="R24" s="249"/>
      <c r="S24" s="248"/>
      <c r="T24" s="248"/>
      <c r="U24" s="248"/>
      <c r="V24" s="248"/>
      <c r="W24" s="248"/>
      <c r="X24" s="248"/>
      <c r="Y24" s="249"/>
      <c r="Z24" s="249"/>
      <c r="AA24" s="249"/>
      <c r="AB24" s="249"/>
    </row>
    <row r="25" spans="1:28">
      <c r="A25" s="249"/>
      <c r="B25" s="249"/>
      <c r="C25" s="249"/>
      <c r="D25" s="249"/>
      <c r="E25" s="249"/>
      <c r="F25" s="249"/>
      <c r="G25" s="249"/>
      <c r="H25" s="249"/>
      <c r="I25" s="249"/>
      <c r="J25" s="249"/>
      <c r="K25" s="249"/>
      <c r="L25" s="249"/>
      <c r="M25" s="249"/>
      <c r="N25" s="249"/>
      <c r="O25" s="249"/>
      <c r="P25" s="249"/>
      <c r="Q25" s="249"/>
      <c r="R25" s="249"/>
      <c r="S25" s="248"/>
      <c r="T25" s="248"/>
      <c r="U25" s="248"/>
      <c r="V25" s="248"/>
      <c r="W25" s="248"/>
      <c r="X25" s="248"/>
      <c r="Y25" s="249"/>
      <c r="Z25" s="249"/>
      <c r="AA25" s="249"/>
      <c r="AB25" s="249"/>
    </row>
    <row r="26" spans="1:28">
      <c r="A26" s="249"/>
      <c r="B26" s="249"/>
      <c r="C26" s="249"/>
      <c r="D26" s="249"/>
      <c r="E26" s="249"/>
      <c r="F26" s="249"/>
      <c r="G26" s="249"/>
      <c r="H26" s="249"/>
      <c r="I26" s="249"/>
      <c r="J26" s="249"/>
      <c r="K26" s="249"/>
      <c r="L26" s="249"/>
      <c r="M26" s="249"/>
      <c r="N26" s="249"/>
      <c r="O26" s="249"/>
      <c r="P26" s="249"/>
      <c r="Q26" s="249"/>
      <c r="R26" s="249"/>
      <c r="S26" s="248"/>
      <c r="T26" s="248"/>
      <c r="U26" s="248"/>
      <c r="V26" s="248"/>
      <c r="W26" s="248"/>
      <c r="X26" s="248"/>
      <c r="Y26" s="249"/>
      <c r="Z26" s="249"/>
      <c r="AA26" s="249"/>
      <c r="AB26" s="249"/>
    </row>
    <row r="27" spans="1:28">
      <c r="A27" s="249"/>
      <c r="B27" s="249"/>
      <c r="C27" s="249"/>
      <c r="D27" s="249"/>
      <c r="E27" s="249"/>
      <c r="F27" s="249"/>
      <c r="G27" s="249"/>
      <c r="H27" s="249"/>
      <c r="I27" s="249"/>
      <c r="J27" s="249"/>
      <c r="K27" s="249"/>
      <c r="L27" s="249"/>
      <c r="M27" s="249"/>
      <c r="N27" s="249"/>
      <c r="O27" s="249"/>
      <c r="P27" s="249"/>
      <c r="Q27" s="249"/>
      <c r="R27" s="249"/>
      <c r="S27" s="248"/>
      <c r="T27" s="248"/>
      <c r="U27" s="248"/>
      <c r="V27" s="248"/>
      <c r="W27" s="248"/>
      <c r="X27" s="248"/>
      <c r="Y27" s="249"/>
      <c r="Z27" s="249"/>
      <c r="AA27" s="249"/>
      <c r="AB27" s="249"/>
    </row>
    <row r="28" spans="1:28">
      <c r="A28" s="249"/>
      <c r="B28" s="249"/>
      <c r="C28" s="249"/>
      <c r="D28" s="249"/>
      <c r="E28" s="249"/>
      <c r="F28" s="249"/>
      <c r="G28" s="249"/>
      <c r="H28" s="249"/>
      <c r="I28" s="249"/>
      <c r="J28" s="249"/>
      <c r="K28" s="249"/>
      <c r="L28" s="249"/>
      <c r="M28" s="249"/>
      <c r="N28" s="249"/>
      <c r="O28" s="249"/>
      <c r="P28" s="249"/>
      <c r="Q28" s="249"/>
      <c r="R28" s="249"/>
      <c r="S28" s="248"/>
      <c r="T28" s="248"/>
      <c r="U28" s="248"/>
      <c r="V28" s="248"/>
      <c r="W28" s="248"/>
      <c r="X28" s="248"/>
      <c r="Y28" s="249"/>
      <c r="Z28" s="249"/>
      <c r="AA28" s="249"/>
      <c r="AB28" s="249"/>
    </row>
    <row r="29" spans="1:28">
      <c r="A29" s="249"/>
      <c r="B29" s="249"/>
      <c r="C29" s="249"/>
      <c r="D29" s="249"/>
      <c r="E29" s="249"/>
      <c r="F29" s="249"/>
      <c r="G29" s="249"/>
      <c r="H29" s="249"/>
      <c r="I29" s="249"/>
      <c r="J29" s="249"/>
      <c r="K29" s="249"/>
      <c r="L29" s="249"/>
      <c r="M29" s="249"/>
      <c r="N29" s="249"/>
      <c r="O29" s="249"/>
      <c r="P29" s="249"/>
      <c r="Q29" s="249"/>
      <c r="R29" s="249"/>
      <c r="S29" s="248"/>
      <c r="T29" s="248"/>
      <c r="U29" s="248"/>
      <c r="V29" s="248"/>
      <c r="W29" s="248"/>
      <c r="X29" s="248"/>
      <c r="Y29" s="249"/>
      <c r="Z29" s="249"/>
      <c r="AA29" s="249"/>
      <c r="AB29" s="249"/>
    </row>
    <row r="30" spans="1:28">
      <c r="A30" s="249"/>
      <c r="B30" s="249"/>
      <c r="C30" s="249"/>
      <c r="D30" s="249"/>
      <c r="E30" s="249"/>
      <c r="F30" s="249"/>
      <c r="G30" s="249"/>
      <c r="H30" s="249"/>
      <c r="I30" s="249"/>
      <c r="J30" s="249"/>
      <c r="K30" s="249"/>
      <c r="L30" s="249"/>
      <c r="M30" s="249"/>
      <c r="N30" s="249"/>
      <c r="O30" s="249"/>
      <c r="P30" s="249"/>
      <c r="Q30" s="249"/>
      <c r="R30" s="249"/>
      <c r="S30" s="248"/>
      <c r="T30" s="248"/>
      <c r="U30" s="248"/>
      <c r="V30" s="248"/>
      <c r="W30" s="248"/>
      <c r="X30" s="248"/>
      <c r="Y30" s="249"/>
      <c r="Z30" s="249"/>
      <c r="AA30" s="249"/>
      <c r="AB30" s="249"/>
    </row>
    <row r="31" spans="1:28">
      <c r="A31" s="249"/>
      <c r="B31" s="249"/>
      <c r="C31" s="249"/>
      <c r="D31" s="249"/>
      <c r="E31" s="249"/>
      <c r="F31" s="249"/>
      <c r="G31" s="249"/>
      <c r="H31" s="249"/>
      <c r="I31" s="249"/>
      <c r="J31" s="249"/>
      <c r="K31" s="249"/>
      <c r="L31" s="249"/>
      <c r="M31" s="249"/>
      <c r="N31" s="249"/>
      <c r="O31" s="249"/>
      <c r="P31" s="249"/>
      <c r="Q31" s="249"/>
      <c r="R31" s="249"/>
      <c r="S31" s="248"/>
      <c r="T31" s="248"/>
      <c r="U31" s="248"/>
      <c r="V31" s="248"/>
      <c r="W31" s="248"/>
      <c r="X31" s="248"/>
      <c r="Y31" s="249"/>
      <c r="Z31" s="249"/>
      <c r="AA31" s="249"/>
      <c r="AB31" s="249"/>
    </row>
    <row r="32" spans="1:28">
      <c r="A32" s="249"/>
      <c r="B32" s="249"/>
      <c r="C32" s="249"/>
      <c r="D32" s="249"/>
      <c r="E32" s="249"/>
      <c r="F32" s="249"/>
      <c r="G32" s="249"/>
      <c r="H32" s="249"/>
      <c r="I32" s="249"/>
      <c r="J32" s="249"/>
      <c r="K32" s="249"/>
      <c r="L32" s="249"/>
      <c r="M32" s="249"/>
      <c r="N32" s="249"/>
      <c r="O32" s="249"/>
      <c r="P32" s="249"/>
      <c r="Q32" s="249"/>
      <c r="R32" s="249"/>
      <c r="S32" s="248"/>
      <c r="T32" s="248"/>
      <c r="U32" s="248"/>
      <c r="V32" s="248"/>
      <c r="W32" s="248"/>
      <c r="X32" s="248"/>
      <c r="Y32" s="249"/>
      <c r="Z32" s="249"/>
      <c r="AA32" s="249"/>
      <c r="AB32" s="249"/>
    </row>
    <row r="33" spans="1:28">
      <c r="A33" s="249"/>
      <c r="B33" s="249"/>
      <c r="C33" s="249"/>
      <c r="D33" s="249"/>
      <c r="E33" s="249"/>
      <c r="F33" s="249"/>
      <c r="G33" s="249"/>
      <c r="H33" s="249"/>
      <c r="I33" s="249"/>
      <c r="J33" s="249"/>
      <c r="K33" s="249"/>
      <c r="L33" s="249"/>
      <c r="M33" s="249"/>
      <c r="N33" s="249"/>
      <c r="O33" s="249"/>
      <c r="P33" s="249"/>
      <c r="Q33" s="249"/>
      <c r="R33" s="249"/>
      <c r="S33" s="248"/>
      <c r="T33" s="248"/>
      <c r="U33" s="248"/>
      <c r="V33" s="248"/>
      <c r="W33" s="248"/>
      <c r="X33" s="248"/>
      <c r="Y33" s="249"/>
      <c r="Z33" s="249"/>
      <c r="AA33" s="249"/>
      <c r="AB33" s="249"/>
    </row>
    <row r="34" spans="1:28">
      <c r="A34" s="249"/>
      <c r="B34" s="249"/>
      <c r="C34" s="249"/>
      <c r="D34" s="249"/>
      <c r="E34" s="249"/>
      <c r="F34" s="249"/>
      <c r="G34" s="249"/>
      <c r="H34" s="249"/>
      <c r="I34" s="249"/>
      <c r="J34" s="249"/>
      <c r="K34" s="249"/>
      <c r="L34" s="249"/>
      <c r="M34" s="249"/>
      <c r="N34" s="249"/>
      <c r="O34" s="249"/>
      <c r="P34" s="249"/>
      <c r="Q34" s="249"/>
      <c r="R34" s="249"/>
      <c r="S34" s="248"/>
      <c r="T34" s="248"/>
      <c r="U34" s="248"/>
      <c r="V34" s="248"/>
      <c r="W34" s="248"/>
      <c r="X34" s="248"/>
      <c r="Y34" s="249"/>
      <c r="Z34" s="249"/>
      <c r="AA34" s="249"/>
      <c r="AB34" s="249"/>
    </row>
    <row r="35" spans="1:28">
      <c r="A35" s="249"/>
      <c r="B35" s="249"/>
      <c r="C35" s="249"/>
      <c r="D35" s="249"/>
      <c r="E35" s="249"/>
      <c r="F35" s="249"/>
      <c r="G35" s="249"/>
      <c r="H35" s="249"/>
      <c r="I35" s="249"/>
      <c r="J35" s="249"/>
      <c r="K35" s="249"/>
      <c r="L35" s="249"/>
      <c r="M35" s="249"/>
      <c r="N35" s="249"/>
      <c r="O35" s="249"/>
      <c r="P35" s="249"/>
      <c r="Q35" s="249"/>
      <c r="R35" s="249"/>
      <c r="S35" s="248"/>
      <c r="T35" s="248"/>
      <c r="U35" s="248"/>
      <c r="V35" s="248"/>
      <c r="W35" s="248"/>
      <c r="X35" s="248"/>
      <c r="Y35" s="249"/>
      <c r="Z35" s="249"/>
      <c r="AA35" s="249"/>
      <c r="AB35" s="249"/>
    </row>
    <row r="36" spans="1:28">
      <c r="A36" s="249"/>
      <c r="B36" s="249"/>
      <c r="C36" s="249"/>
      <c r="D36" s="249"/>
      <c r="E36" s="249"/>
      <c r="F36" s="249"/>
      <c r="G36" s="249"/>
      <c r="H36" s="249"/>
      <c r="I36" s="249"/>
      <c r="J36" s="249"/>
      <c r="K36" s="249"/>
      <c r="L36" s="249"/>
      <c r="M36" s="249"/>
      <c r="N36" s="249"/>
      <c r="O36" s="249"/>
      <c r="P36" s="249"/>
      <c r="Q36" s="249"/>
      <c r="R36" s="249"/>
      <c r="S36" s="248"/>
      <c r="T36" s="248"/>
      <c r="U36" s="248"/>
      <c r="V36" s="248"/>
      <c r="W36" s="248"/>
      <c r="X36" s="248"/>
      <c r="Y36" s="249"/>
      <c r="Z36" s="249"/>
      <c r="AA36" s="249"/>
      <c r="AB36" s="249"/>
    </row>
    <row r="37" spans="1:28">
      <c r="A37" s="249"/>
      <c r="B37" s="249"/>
      <c r="C37" s="249"/>
      <c r="D37" s="249"/>
      <c r="E37" s="249"/>
      <c r="F37" s="249"/>
      <c r="G37" s="249"/>
      <c r="H37" s="249"/>
      <c r="I37" s="249"/>
      <c r="J37" s="249"/>
      <c r="K37" s="249"/>
      <c r="L37" s="249"/>
      <c r="M37" s="249"/>
      <c r="N37" s="249"/>
      <c r="O37" s="249"/>
      <c r="P37" s="249"/>
      <c r="Q37" s="249"/>
      <c r="R37" s="249"/>
      <c r="S37" s="248"/>
      <c r="T37" s="248"/>
      <c r="U37" s="248"/>
      <c r="V37" s="248"/>
      <c r="W37" s="248"/>
      <c r="X37" s="248"/>
      <c r="Y37" s="249"/>
      <c r="Z37" s="249"/>
      <c r="AA37" s="249"/>
      <c r="AB37" s="249"/>
    </row>
    <row r="38" spans="1:28">
      <c r="A38" s="249"/>
      <c r="B38" s="249"/>
      <c r="C38" s="249"/>
      <c r="D38" s="249"/>
      <c r="E38" s="249"/>
      <c r="F38" s="249"/>
      <c r="G38" s="249"/>
      <c r="H38" s="249"/>
      <c r="I38" s="249"/>
      <c r="J38" s="249"/>
      <c r="K38" s="249"/>
      <c r="L38" s="249"/>
      <c r="M38" s="249"/>
      <c r="N38" s="249"/>
      <c r="O38" s="249"/>
      <c r="P38" s="249"/>
      <c r="Q38" s="249"/>
      <c r="R38" s="249"/>
      <c r="S38" s="248"/>
      <c r="T38" s="248"/>
      <c r="U38" s="248"/>
      <c r="V38" s="248"/>
      <c r="W38" s="248"/>
      <c r="X38" s="248"/>
      <c r="Y38" s="249"/>
      <c r="Z38" s="249"/>
      <c r="AA38" s="249"/>
      <c r="AB38" s="249"/>
    </row>
    <row r="39" spans="1:28">
      <c r="A39" s="249"/>
      <c r="B39" s="249"/>
      <c r="C39" s="249"/>
      <c r="D39" s="249"/>
      <c r="E39" s="249"/>
      <c r="F39" s="249"/>
      <c r="G39" s="249"/>
      <c r="H39" s="249"/>
      <c r="I39" s="249"/>
      <c r="J39" s="249"/>
      <c r="K39" s="249"/>
      <c r="L39" s="249"/>
      <c r="M39" s="249"/>
      <c r="N39" s="249"/>
      <c r="O39" s="249"/>
      <c r="P39" s="249"/>
      <c r="Q39" s="249"/>
      <c r="R39" s="249"/>
      <c r="S39" s="248"/>
      <c r="T39" s="248"/>
      <c r="U39" s="248"/>
      <c r="V39" s="248"/>
      <c r="W39" s="248"/>
      <c r="X39" s="248"/>
      <c r="Y39" s="249"/>
      <c r="Z39" s="249"/>
      <c r="AA39" s="249"/>
      <c r="AB39" s="249"/>
    </row>
    <row r="40" spans="1:28">
      <c r="A40" s="249"/>
      <c r="B40" s="249"/>
      <c r="C40" s="249"/>
      <c r="D40" s="249"/>
      <c r="E40" s="249"/>
      <c r="F40" s="249"/>
      <c r="G40" s="249"/>
      <c r="H40" s="249"/>
      <c r="I40" s="249"/>
      <c r="J40" s="249"/>
      <c r="K40" s="249"/>
      <c r="L40" s="249"/>
      <c r="M40" s="249"/>
      <c r="N40" s="249"/>
      <c r="O40" s="249"/>
      <c r="P40" s="249"/>
      <c r="Q40" s="249"/>
      <c r="R40" s="249"/>
      <c r="S40" s="248"/>
      <c r="T40" s="248"/>
      <c r="U40" s="248"/>
      <c r="V40" s="248"/>
      <c r="W40" s="248"/>
      <c r="X40" s="248"/>
      <c r="Y40" s="249"/>
      <c r="Z40" s="249"/>
      <c r="AA40" s="249"/>
      <c r="AB40" s="249"/>
    </row>
    <row r="41" spans="1:28">
      <c r="A41" s="249"/>
      <c r="B41" s="249"/>
      <c r="C41" s="249"/>
      <c r="D41" s="249"/>
      <c r="E41" s="249"/>
      <c r="F41" s="249"/>
      <c r="G41" s="249"/>
      <c r="H41" s="249"/>
      <c r="I41" s="249"/>
      <c r="J41" s="249"/>
      <c r="K41" s="249"/>
      <c r="L41" s="249"/>
      <c r="M41" s="249"/>
      <c r="N41" s="249"/>
      <c r="O41" s="249"/>
      <c r="P41" s="249"/>
      <c r="Q41" s="249"/>
      <c r="R41" s="249"/>
      <c r="S41" s="248"/>
      <c r="T41" s="248"/>
      <c r="U41" s="248"/>
      <c r="V41" s="248"/>
      <c r="W41" s="248"/>
      <c r="X41" s="248"/>
      <c r="Y41" s="249"/>
      <c r="Z41" s="249"/>
      <c r="AA41" s="249"/>
      <c r="AB41" s="249"/>
    </row>
    <row r="42" spans="1:28">
      <c r="A42" s="249"/>
      <c r="B42" s="249"/>
      <c r="C42" s="249"/>
      <c r="D42" s="249"/>
      <c r="E42" s="249"/>
      <c r="F42" s="249"/>
      <c r="G42" s="249"/>
      <c r="H42" s="249"/>
      <c r="I42" s="249"/>
      <c r="J42" s="249"/>
      <c r="K42" s="249"/>
      <c r="L42" s="249"/>
      <c r="M42" s="249"/>
      <c r="N42" s="249"/>
      <c r="O42" s="249"/>
      <c r="P42" s="249"/>
      <c r="Q42" s="249"/>
      <c r="R42" s="249"/>
      <c r="S42" s="248"/>
      <c r="T42" s="248"/>
      <c r="U42" s="248"/>
      <c r="V42" s="248"/>
      <c r="W42" s="248"/>
      <c r="X42" s="248"/>
      <c r="Y42" s="249"/>
      <c r="Z42" s="249"/>
      <c r="AA42" s="249"/>
      <c r="AB42" s="249"/>
    </row>
    <row r="43" spans="1:28">
      <c r="A43" s="249"/>
      <c r="B43" s="249"/>
      <c r="C43" s="249"/>
      <c r="D43" s="249"/>
      <c r="E43" s="249"/>
      <c r="F43" s="249"/>
      <c r="G43" s="249"/>
      <c r="H43" s="249"/>
      <c r="I43" s="249"/>
      <c r="J43" s="249"/>
      <c r="K43" s="249"/>
      <c r="L43" s="249"/>
      <c r="M43" s="249"/>
      <c r="N43" s="249"/>
      <c r="O43" s="249"/>
      <c r="P43" s="249"/>
      <c r="Q43" s="249"/>
      <c r="R43" s="249"/>
      <c r="S43" s="248"/>
      <c r="T43" s="248"/>
      <c r="U43" s="248"/>
      <c r="V43" s="248"/>
      <c r="W43" s="248"/>
      <c r="X43" s="248"/>
      <c r="Y43" s="249"/>
      <c r="Z43" s="249"/>
      <c r="AA43" s="249"/>
      <c r="AB43" s="249"/>
    </row>
    <row r="44" spans="1:28">
      <c r="A44" s="249"/>
      <c r="B44" s="249"/>
      <c r="C44" s="249"/>
      <c r="D44" s="249"/>
      <c r="E44" s="249"/>
      <c r="F44" s="249"/>
      <c r="G44" s="249"/>
      <c r="H44" s="249"/>
      <c r="I44" s="249"/>
      <c r="J44" s="249"/>
      <c r="K44" s="249"/>
      <c r="L44" s="249"/>
      <c r="M44" s="249"/>
      <c r="N44" s="249"/>
      <c r="O44" s="249"/>
      <c r="P44" s="249"/>
      <c r="Q44" s="249"/>
      <c r="R44" s="249"/>
      <c r="S44" s="248"/>
      <c r="T44" s="248"/>
      <c r="U44" s="248"/>
      <c r="V44" s="248"/>
      <c r="W44" s="248"/>
      <c r="X44" s="248"/>
      <c r="Y44" s="249"/>
      <c r="Z44" s="249"/>
      <c r="AA44" s="249"/>
      <c r="AB44" s="249"/>
    </row>
    <row r="45" spans="1:28">
      <c r="A45" s="249"/>
      <c r="B45" s="249"/>
      <c r="C45" s="249"/>
      <c r="D45" s="249"/>
      <c r="E45" s="249"/>
      <c r="F45" s="249"/>
      <c r="G45" s="249"/>
      <c r="H45" s="249"/>
      <c r="I45" s="249"/>
      <c r="J45" s="249"/>
      <c r="K45" s="249"/>
      <c r="L45" s="249"/>
      <c r="M45" s="249"/>
      <c r="N45" s="249"/>
      <c r="O45" s="249"/>
      <c r="P45" s="249"/>
      <c r="Q45" s="249"/>
      <c r="R45" s="249"/>
      <c r="S45" s="248"/>
      <c r="T45" s="248"/>
      <c r="U45" s="248"/>
      <c r="V45" s="248"/>
      <c r="W45" s="248"/>
      <c r="X45" s="248"/>
      <c r="Y45" s="249"/>
      <c r="Z45" s="249"/>
      <c r="AA45" s="249"/>
      <c r="AB45" s="249"/>
    </row>
    <row r="46" spans="1:28">
      <c r="A46" s="249"/>
      <c r="B46" s="249"/>
      <c r="C46" s="249"/>
      <c r="D46" s="249"/>
      <c r="E46" s="249"/>
      <c r="F46" s="249"/>
      <c r="G46" s="249"/>
      <c r="H46" s="249"/>
      <c r="I46" s="249"/>
      <c r="J46" s="249"/>
      <c r="K46" s="249"/>
      <c r="L46" s="249"/>
      <c r="M46" s="249"/>
      <c r="N46" s="249"/>
      <c r="O46" s="249"/>
      <c r="P46" s="249"/>
      <c r="Q46" s="249"/>
      <c r="R46" s="249"/>
      <c r="S46" s="248"/>
      <c r="T46" s="248"/>
      <c r="U46" s="248"/>
      <c r="V46" s="248"/>
      <c r="W46" s="248"/>
      <c r="X46" s="248"/>
      <c r="Y46" s="249"/>
      <c r="Z46" s="249"/>
      <c r="AA46" s="249"/>
      <c r="AB46" s="249"/>
    </row>
    <row r="47" spans="1:28">
      <c r="A47" s="249"/>
      <c r="B47" s="249"/>
      <c r="C47" s="249"/>
      <c r="D47" s="249"/>
      <c r="E47" s="249"/>
      <c r="F47" s="249"/>
      <c r="G47" s="249"/>
      <c r="H47" s="249"/>
      <c r="I47" s="249"/>
      <c r="J47" s="249"/>
      <c r="K47" s="249"/>
      <c r="L47" s="249"/>
      <c r="M47" s="249"/>
      <c r="N47" s="249"/>
      <c r="O47" s="249"/>
      <c r="P47" s="249"/>
      <c r="Q47" s="249"/>
      <c r="R47" s="249"/>
      <c r="S47" s="248"/>
      <c r="T47" s="248"/>
      <c r="U47" s="248"/>
      <c r="V47" s="248"/>
      <c r="W47" s="248"/>
      <c r="X47" s="248"/>
      <c r="Y47" s="249"/>
      <c r="Z47" s="249"/>
      <c r="AA47" s="249"/>
      <c r="AB47" s="249"/>
    </row>
    <row r="48" spans="1:28">
      <c r="A48" s="249"/>
      <c r="B48" s="249"/>
      <c r="C48" s="249"/>
      <c r="D48" s="249"/>
      <c r="E48" s="249"/>
      <c r="F48" s="249"/>
      <c r="G48" s="249"/>
      <c r="H48" s="249"/>
      <c r="I48" s="249"/>
      <c r="J48" s="249"/>
      <c r="K48" s="249"/>
      <c r="L48" s="249"/>
      <c r="M48" s="249"/>
      <c r="N48" s="249"/>
      <c r="O48" s="249"/>
      <c r="P48" s="249"/>
      <c r="Q48" s="249"/>
      <c r="R48" s="249"/>
      <c r="S48" s="248"/>
      <c r="T48" s="248"/>
      <c r="U48" s="248"/>
      <c r="V48" s="248"/>
      <c r="W48" s="248"/>
      <c r="X48" s="248"/>
      <c r="Y48" s="249"/>
      <c r="Z48" s="249"/>
      <c r="AA48" s="249"/>
      <c r="AB48" s="249"/>
    </row>
    <row r="49" spans="1:28">
      <c r="A49" s="249"/>
      <c r="B49" s="249"/>
      <c r="C49" s="249"/>
      <c r="D49" s="249"/>
      <c r="E49" s="249"/>
      <c r="F49" s="249"/>
      <c r="G49" s="249"/>
      <c r="H49" s="249"/>
      <c r="I49" s="249"/>
      <c r="J49" s="249"/>
      <c r="K49" s="249"/>
      <c r="L49" s="249"/>
      <c r="M49" s="249"/>
      <c r="N49" s="249"/>
      <c r="O49" s="249"/>
      <c r="P49" s="249"/>
      <c r="Q49" s="249"/>
      <c r="R49" s="249"/>
      <c r="S49" s="248"/>
      <c r="T49" s="248"/>
      <c r="U49" s="248"/>
      <c r="V49" s="248"/>
      <c r="W49" s="248"/>
      <c r="X49" s="248"/>
      <c r="Y49" s="249"/>
      <c r="Z49" s="249"/>
      <c r="AA49" s="249"/>
      <c r="AB49" s="249"/>
    </row>
    <row r="50" spans="1:28">
      <c r="A50" s="249"/>
      <c r="B50" s="249"/>
      <c r="C50" s="249"/>
      <c r="D50" s="249"/>
      <c r="E50" s="249"/>
      <c r="F50" s="249"/>
      <c r="G50" s="249"/>
      <c r="H50" s="249"/>
      <c r="I50" s="249"/>
      <c r="J50" s="249"/>
      <c r="K50" s="249"/>
      <c r="L50" s="249"/>
      <c r="M50" s="249"/>
      <c r="N50" s="249"/>
      <c r="O50" s="249"/>
      <c r="P50" s="249"/>
      <c r="Q50" s="249"/>
      <c r="R50" s="249"/>
      <c r="S50" s="248"/>
      <c r="T50" s="248"/>
      <c r="U50" s="248"/>
      <c r="V50" s="248"/>
      <c r="W50" s="248"/>
      <c r="X50" s="248"/>
      <c r="Y50" s="249"/>
      <c r="Z50" s="249"/>
      <c r="AA50" s="249"/>
      <c r="AB50" s="249"/>
    </row>
    <row r="51" spans="1:28">
      <c r="A51" s="249"/>
      <c r="B51" s="249"/>
      <c r="C51" s="249"/>
      <c r="D51" s="249"/>
      <c r="E51" s="249"/>
      <c r="F51" s="249"/>
      <c r="G51" s="249"/>
      <c r="H51" s="249"/>
      <c r="I51" s="249"/>
      <c r="J51" s="249"/>
      <c r="K51" s="249"/>
      <c r="L51" s="249"/>
      <c r="M51" s="249"/>
      <c r="N51" s="249"/>
      <c r="O51" s="249"/>
      <c r="P51" s="249"/>
      <c r="Q51" s="249"/>
      <c r="R51" s="249"/>
      <c r="S51" s="248"/>
      <c r="T51" s="248"/>
      <c r="U51" s="248"/>
      <c r="V51" s="248"/>
      <c r="W51" s="248"/>
      <c r="X51" s="248"/>
      <c r="Y51" s="249"/>
      <c r="Z51" s="249"/>
      <c r="AA51" s="249"/>
      <c r="AB51" s="249"/>
    </row>
    <row r="52" spans="1:28">
      <c r="A52" s="249"/>
      <c r="B52" s="249"/>
      <c r="C52" s="249"/>
      <c r="D52" s="249"/>
      <c r="E52" s="249"/>
      <c r="F52" s="249"/>
      <c r="G52" s="249"/>
      <c r="H52" s="249"/>
      <c r="I52" s="249"/>
      <c r="J52" s="249"/>
      <c r="K52" s="249"/>
      <c r="L52" s="249"/>
      <c r="M52" s="249"/>
      <c r="N52" s="249"/>
      <c r="O52" s="249"/>
      <c r="P52" s="249"/>
      <c r="Q52" s="249"/>
      <c r="R52" s="249"/>
      <c r="S52" s="248"/>
      <c r="T52" s="248"/>
      <c r="U52" s="248"/>
      <c r="V52" s="248"/>
      <c r="W52" s="248"/>
      <c r="X52" s="248"/>
      <c r="Y52" s="249"/>
      <c r="Z52" s="249"/>
      <c r="AA52" s="249"/>
      <c r="AB52" s="249"/>
    </row>
    <row r="53" spans="1:28">
      <c r="A53" s="249"/>
      <c r="B53" s="249"/>
      <c r="C53" s="249"/>
      <c r="D53" s="249"/>
      <c r="E53" s="249"/>
      <c r="F53" s="249"/>
      <c r="G53" s="249"/>
      <c r="H53" s="249"/>
      <c r="I53" s="249"/>
      <c r="J53" s="249"/>
      <c r="K53" s="249"/>
      <c r="L53" s="249"/>
      <c r="M53" s="249"/>
      <c r="N53" s="249"/>
      <c r="O53" s="249"/>
      <c r="P53" s="249"/>
      <c r="Q53" s="249"/>
      <c r="R53" s="249"/>
      <c r="S53" s="248"/>
      <c r="T53" s="248"/>
      <c r="U53" s="248"/>
      <c r="V53" s="248"/>
      <c r="W53" s="248"/>
      <c r="X53" s="248"/>
      <c r="Y53" s="249"/>
      <c r="Z53" s="249"/>
      <c r="AA53" s="249"/>
      <c r="AB53" s="249"/>
    </row>
    <row r="54" spans="1:28">
      <c r="A54" s="249"/>
      <c r="B54" s="249"/>
      <c r="C54" s="249"/>
      <c r="D54" s="249"/>
      <c r="E54" s="249"/>
      <c r="F54" s="249"/>
      <c r="G54" s="249"/>
      <c r="H54" s="249"/>
      <c r="I54" s="249"/>
      <c r="J54" s="249"/>
      <c r="K54" s="249"/>
      <c r="L54" s="249"/>
      <c r="M54" s="249"/>
      <c r="N54" s="249"/>
      <c r="O54" s="249"/>
      <c r="P54" s="249"/>
      <c r="Q54" s="249"/>
      <c r="R54" s="249"/>
      <c r="S54" s="248"/>
      <c r="T54" s="248"/>
      <c r="U54" s="248"/>
      <c r="V54" s="248"/>
      <c r="W54" s="248"/>
      <c r="X54" s="248"/>
      <c r="Y54" s="249"/>
      <c r="Z54" s="249"/>
      <c r="AA54" s="249"/>
      <c r="AB54" s="249"/>
    </row>
    <row r="55" spans="1:28">
      <c r="A55" s="249"/>
      <c r="B55" s="249"/>
      <c r="C55" s="249"/>
      <c r="D55" s="249"/>
      <c r="E55" s="249"/>
      <c r="F55" s="249"/>
      <c r="G55" s="249"/>
      <c r="H55" s="249"/>
      <c r="I55" s="249"/>
      <c r="J55" s="249"/>
      <c r="K55" s="249"/>
      <c r="L55" s="249"/>
      <c r="M55" s="249"/>
      <c r="N55" s="249"/>
      <c r="O55" s="249"/>
      <c r="P55" s="249"/>
      <c r="Q55" s="249"/>
      <c r="R55" s="249"/>
      <c r="S55" s="248"/>
      <c r="T55" s="248"/>
      <c r="U55" s="248"/>
      <c r="V55" s="248"/>
      <c r="W55" s="248"/>
      <c r="X55" s="248"/>
      <c r="Y55" s="249"/>
      <c r="Z55" s="249"/>
      <c r="AA55" s="249"/>
      <c r="AB55" s="249"/>
    </row>
    <row r="56" spans="1:28">
      <c r="A56" s="249"/>
      <c r="B56" s="249"/>
      <c r="C56" s="249"/>
      <c r="D56" s="249"/>
      <c r="E56" s="249"/>
      <c r="F56" s="249"/>
      <c r="G56" s="249"/>
      <c r="H56" s="249"/>
      <c r="I56" s="249"/>
      <c r="J56" s="249"/>
      <c r="K56" s="249"/>
      <c r="L56" s="249"/>
      <c r="M56" s="249"/>
      <c r="N56" s="249"/>
      <c r="O56" s="249"/>
      <c r="P56" s="249"/>
      <c r="Q56" s="249"/>
      <c r="R56" s="249"/>
      <c r="S56" s="248"/>
      <c r="T56" s="248"/>
      <c r="U56" s="248"/>
      <c r="V56" s="248"/>
      <c r="W56" s="248"/>
      <c r="X56" s="248"/>
      <c r="Y56" s="249"/>
      <c r="Z56" s="249"/>
      <c r="AA56" s="249"/>
      <c r="AB56" s="249"/>
    </row>
    <row r="57" spans="1:28">
      <c r="A57" s="249"/>
      <c r="B57" s="249"/>
      <c r="C57" s="249"/>
      <c r="D57" s="249"/>
      <c r="E57" s="249"/>
      <c r="F57" s="249"/>
      <c r="G57" s="249"/>
      <c r="H57" s="249"/>
      <c r="I57" s="249"/>
      <c r="J57" s="249"/>
      <c r="K57" s="249"/>
      <c r="L57" s="249"/>
      <c r="M57" s="249"/>
      <c r="N57" s="249"/>
      <c r="O57" s="249"/>
      <c r="P57" s="249"/>
      <c r="Q57" s="249"/>
      <c r="R57" s="249"/>
      <c r="S57" s="248"/>
      <c r="T57" s="248"/>
      <c r="U57" s="248"/>
      <c r="V57" s="248"/>
      <c r="W57" s="248"/>
      <c r="X57" s="248"/>
      <c r="Y57" s="249"/>
      <c r="Z57" s="249"/>
      <c r="AA57" s="249"/>
      <c r="AB57" s="249"/>
    </row>
    <row r="58" spans="1:28">
      <c r="A58" s="249"/>
      <c r="B58" s="249"/>
      <c r="C58" s="249"/>
      <c r="D58" s="249"/>
      <c r="E58" s="249"/>
      <c r="F58" s="249"/>
      <c r="G58" s="249"/>
      <c r="H58" s="249"/>
      <c r="I58" s="249"/>
      <c r="J58" s="249"/>
      <c r="K58" s="249"/>
      <c r="L58" s="249"/>
      <c r="M58" s="249"/>
      <c r="N58" s="249"/>
      <c r="O58" s="249"/>
      <c r="P58" s="249"/>
      <c r="Q58" s="249"/>
      <c r="R58" s="249"/>
      <c r="S58" s="248"/>
      <c r="T58" s="248"/>
      <c r="U58" s="248"/>
      <c r="V58" s="248"/>
      <c r="W58" s="248"/>
      <c r="X58" s="248"/>
      <c r="Y58" s="249"/>
      <c r="Z58" s="249"/>
      <c r="AA58" s="249"/>
      <c r="AB58" s="249"/>
    </row>
    <row r="59" spans="1:28">
      <c r="A59" s="249"/>
      <c r="B59" s="249"/>
      <c r="C59" s="249"/>
      <c r="D59" s="249"/>
      <c r="E59" s="249"/>
      <c r="F59" s="249"/>
      <c r="G59" s="249"/>
      <c r="H59" s="249"/>
      <c r="I59" s="249"/>
      <c r="J59" s="249"/>
      <c r="K59" s="249"/>
      <c r="L59" s="249"/>
      <c r="M59" s="249"/>
      <c r="N59" s="249"/>
      <c r="O59" s="249"/>
      <c r="P59" s="249"/>
      <c r="Q59" s="249"/>
      <c r="R59" s="249"/>
      <c r="S59" s="248"/>
      <c r="T59" s="248"/>
      <c r="U59" s="248"/>
      <c r="V59" s="248"/>
      <c r="W59" s="248"/>
      <c r="X59" s="248"/>
      <c r="Y59" s="249"/>
      <c r="Z59" s="249"/>
      <c r="AA59" s="249"/>
      <c r="AB59" s="249"/>
    </row>
    <row r="60" spans="1:28">
      <c r="A60" s="249"/>
      <c r="B60" s="249"/>
      <c r="C60" s="249"/>
      <c r="D60" s="249"/>
      <c r="E60" s="249"/>
      <c r="F60" s="249"/>
      <c r="G60" s="249"/>
      <c r="H60" s="249"/>
      <c r="I60" s="249"/>
      <c r="J60" s="249"/>
      <c r="K60" s="249"/>
      <c r="L60" s="249"/>
      <c r="M60" s="249"/>
      <c r="N60" s="249"/>
      <c r="O60" s="249"/>
      <c r="P60" s="249"/>
      <c r="Q60" s="249"/>
      <c r="R60" s="249"/>
      <c r="S60" s="248"/>
      <c r="T60" s="248"/>
      <c r="U60" s="248"/>
      <c r="V60" s="248"/>
      <c r="W60" s="248"/>
      <c r="X60" s="248"/>
      <c r="Y60" s="249"/>
      <c r="Z60" s="249"/>
      <c r="AA60" s="249"/>
      <c r="AB60" s="249"/>
    </row>
    <row r="61" spans="1:28">
      <c r="A61" s="249"/>
      <c r="B61" s="249"/>
      <c r="C61" s="249"/>
      <c r="D61" s="249"/>
      <c r="E61" s="249"/>
      <c r="F61" s="249"/>
      <c r="G61" s="249"/>
      <c r="H61" s="249"/>
      <c r="I61" s="249"/>
      <c r="J61" s="249"/>
      <c r="K61" s="249"/>
      <c r="L61" s="249"/>
      <c r="M61" s="249"/>
      <c r="N61" s="249"/>
      <c r="O61" s="249"/>
      <c r="P61" s="249"/>
      <c r="Q61" s="249"/>
      <c r="R61" s="249"/>
      <c r="S61" s="248"/>
      <c r="T61" s="248"/>
      <c r="U61" s="248"/>
      <c r="V61" s="248"/>
      <c r="W61" s="248"/>
      <c r="X61" s="248"/>
      <c r="Y61" s="249"/>
      <c r="Z61" s="249"/>
      <c r="AA61" s="249"/>
      <c r="AB61" s="249"/>
    </row>
    <row r="62" spans="1:28">
      <c r="A62" s="249"/>
      <c r="B62" s="249"/>
      <c r="C62" s="249"/>
      <c r="D62" s="249"/>
      <c r="E62" s="249"/>
      <c r="F62" s="249"/>
      <c r="G62" s="249"/>
      <c r="H62" s="249"/>
      <c r="I62" s="249"/>
      <c r="J62" s="249"/>
      <c r="K62" s="249"/>
      <c r="L62" s="249"/>
      <c r="M62" s="249"/>
      <c r="N62" s="249"/>
      <c r="O62" s="249"/>
      <c r="P62" s="249"/>
      <c r="Q62" s="249"/>
      <c r="R62" s="249"/>
      <c r="S62" s="248"/>
      <c r="T62" s="248"/>
      <c r="U62" s="248"/>
      <c r="V62" s="248"/>
      <c r="W62" s="248"/>
      <c r="X62" s="248"/>
      <c r="Y62" s="249"/>
      <c r="Z62" s="249"/>
      <c r="AA62" s="249"/>
      <c r="AB62" s="249"/>
    </row>
    <row r="63" spans="1:28">
      <c r="A63" s="249"/>
      <c r="B63" s="249"/>
      <c r="C63" s="249"/>
      <c r="D63" s="249"/>
      <c r="E63" s="249"/>
      <c r="F63" s="249"/>
      <c r="G63" s="249"/>
      <c r="H63" s="249"/>
      <c r="I63" s="249"/>
      <c r="J63" s="249"/>
      <c r="K63" s="249"/>
      <c r="L63" s="249"/>
      <c r="M63" s="249"/>
      <c r="N63" s="249"/>
      <c r="O63" s="249"/>
      <c r="P63" s="249"/>
      <c r="Q63" s="249"/>
      <c r="R63" s="249"/>
      <c r="S63" s="248"/>
      <c r="T63" s="248"/>
      <c r="U63" s="248"/>
      <c r="V63" s="248"/>
      <c r="W63" s="248"/>
      <c r="X63" s="248"/>
      <c r="Y63" s="249"/>
      <c r="Z63" s="249"/>
      <c r="AA63" s="249"/>
      <c r="AB63" s="249"/>
    </row>
    <row r="64" spans="1:28">
      <c r="A64" s="249"/>
      <c r="B64" s="249"/>
      <c r="C64" s="249"/>
      <c r="D64" s="249"/>
      <c r="E64" s="249"/>
      <c r="F64" s="249"/>
      <c r="G64" s="249"/>
      <c r="H64" s="249"/>
      <c r="I64" s="249"/>
      <c r="J64" s="249"/>
      <c r="K64" s="249"/>
      <c r="L64" s="249"/>
      <c r="M64" s="249"/>
      <c r="N64" s="249"/>
      <c r="O64" s="249"/>
      <c r="P64" s="249"/>
      <c r="Q64" s="249"/>
      <c r="R64" s="249"/>
      <c r="S64" s="248"/>
      <c r="T64" s="248"/>
      <c r="U64" s="248"/>
      <c r="V64" s="248"/>
      <c r="W64" s="248"/>
      <c r="X64" s="248"/>
      <c r="Y64" s="249"/>
      <c r="Z64" s="249"/>
      <c r="AA64" s="249"/>
      <c r="AB64" s="249"/>
    </row>
    <row r="65" spans="1:28">
      <c r="A65" s="249"/>
      <c r="B65" s="249"/>
      <c r="C65" s="249"/>
      <c r="D65" s="249"/>
      <c r="E65" s="249"/>
      <c r="F65" s="249"/>
      <c r="G65" s="249"/>
      <c r="H65" s="249"/>
      <c r="I65" s="249"/>
      <c r="J65" s="249"/>
      <c r="K65" s="249"/>
      <c r="L65" s="249"/>
      <c r="M65" s="249"/>
      <c r="N65" s="249"/>
      <c r="O65" s="249"/>
      <c r="P65" s="249"/>
      <c r="Q65" s="249"/>
      <c r="R65" s="249"/>
      <c r="S65" s="248"/>
      <c r="T65" s="248"/>
      <c r="U65" s="248"/>
      <c r="V65" s="248"/>
      <c r="W65" s="248"/>
      <c r="X65" s="248"/>
      <c r="Y65" s="249"/>
      <c r="Z65" s="249"/>
      <c r="AA65" s="249"/>
      <c r="AB65" s="249"/>
    </row>
    <row r="66" spans="1:28">
      <c r="A66" s="249"/>
      <c r="B66" s="249"/>
      <c r="C66" s="249"/>
      <c r="D66" s="249"/>
      <c r="E66" s="249"/>
      <c r="F66" s="249"/>
      <c r="G66" s="249"/>
      <c r="H66" s="249"/>
      <c r="I66" s="249"/>
      <c r="J66" s="249"/>
      <c r="K66" s="249"/>
      <c r="L66" s="249"/>
      <c r="M66" s="249"/>
      <c r="N66" s="249"/>
      <c r="O66" s="249"/>
      <c r="P66" s="249"/>
      <c r="Q66" s="249"/>
      <c r="R66" s="249"/>
      <c r="S66" s="248"/>
      <c r="T66" s="248"/>
      <c r="U66" s="248"/>
      <c r="V66" s="248"/>
      <c r="W66" s="248"/>
      <c r="X66" s="248"/>
      <c r="Y66" s="249"/>
      <c r="Z66" s="249"/>
      <c r="AA66" s="249"/>
      <c r="AB66" s="249"/>
    </row>
    <row r="67" spans="1:28">
      <c r="A67" s="249"/>
      <c r="B67" s="249"/>
      <c r="C67" s="249"/>
      <c r="D67" s="249"/>
      <c r="E67" s="249"/>
      <c r="F67" s="249"/>
      <c r="G67" s="249"/>
      <c r="H67" s="249"/>
      <c r="I67" s="249"/>
      <c r="J67" s="249"/>
      <c r="K67" s="249"/>
      <c r="L67" s="249"/>
      <c r="M67" s="249"/>
      <c r="N67" s="249"/>
      <c r="O67" s="249"/>
      <c r="P67" s="249"/>
      <c r="Q67" s="249"/>
      <c r="R67" s="249"/>
      <c r="S67" s="248"/>
      <c r="T67" s="248"/>
      <c r="U67" s="248"/>
      <c r="V67" s="248"/>
      <c r="W67" s="248"/>
      <c r="X67" s="248"/>
      <c r="Y67" s="249"/>
      <c r="Z67" s="249"/>
      <c r="AA67" s="249"/>
      <c r="AB67" s="249"/>
    </row>
    <row r="68" spans="1:28">
      <c r="A68" s="249"/>
      <c r="B68" s="249"/>
      <c r="C68" s="249"/>
      <c r="D68" s="249"/>
      <c r="E68" s="249"/>
      <c r="F68" s="249"/>
      <c r="G68" s="249"/>
      <c r="H68" s="249"/>
      <c r="I68" s="249"/>
      <c r="J68" s="249"/>
      <c r="K68" s="249"/>
      <c r="L68" s="249"/>
      <c r="M68" s="249"/>
      <c r="N68" s="249"/>
      <c r="O68" s="249"/>
      <c r="P68" s="249"/>
      <c r="Q68" s="249"/>
      <c r="R68" s="249"/>
      <c r="S68" s="248"/>
      <c r="T68" s="248"/>
      <c r="U68" s="248"/>
      <c r="V68" s="248"/>
      <c r="W68" s="248"/>
      <c r="X68" s="248"/>
      <c r="Y68" s="249"/>
      <c r="Z68" s="249"/>
      <c r="AA68" s="249"/>
      <c r="AB68" s="249"/>
    </row>
    <row r="69" spans="1:28">
      <c r="A69" s="249"/>
      <c r="B69" s="249"/>
      <c r="C69" s="249"/>
      <c r="D69" s="249"/>
      <c r="E69" s="249"/>
      <c r="F69" s="249"/>
      <c r="G69" s="249"/>
      <c r="H69" s="249"/>
      <c r="I69" s="249"/>
      <c r="J69" s="249"/>
      <c r="K69" s="249"/>
      <c r="L69" s="249"/>
      <c r="M69" s="249"/>
      <c r="N69" s="249"/>
      <c r="O69" s="249"/>
      <c r="P69" s="249"/>
      <c r="Q69" s="249"/>
      <c r="R69" s="249"/>
      <c r="S69" s="248"/>
      <c r="T69" s="248"/>
      <c r="U69" s="248"/>
      <c r="V69" s="248"/>
      <c r="W69" s="248"/>
      <c r="X69" s="248"/>
      <c r="Y69" s="249"/>
      <c r="Z69" s="249"/>
      <c r="AA69" s="249"/>
      <c r="AB69" s="249"/>
    </row>
    <row r="70" spans="1:28">
      <c r="A70" s="249"/>
      <c r="B70" s="249"/>
      <c r="C70" s="249"/>
      <c r="D70" s="249"/>
      <c r="E70" s="249"/>
      <c r="F70" s="249"/>
      <c r="G70" s="249"/>
      <c r="H70" s="249"/>
      <c r="I70" s="249"/>
      <c r="J70" s="249"/>
      <c r="K70" s="249"/>
      <c r="L70" s="249"/>
      <c r="M70" s="249"/>
      <c r="N70" s="249"/>
      <c r="O70" s="249"/>
      <c r="P70" s="249"/>
      <c r="Q70" s="249"/>
      <c r="R70" s="249"/>
      <c r="S70" s="248"/>
      <c r="T70" s="248"/>
      <c r="U70" s="248"/>
      <c r="V70" s="248"/>
      <c r="W70" s="248"/>
      <c r="X70" s="248"/>
      <c r="Y70" s="249"/>
      <c r="Z70" s="249"/>
      <c r="AA70" s="249"/>
      <c r="AB70" s="249"/>
    </row>
    <row r="71" spans="1:28">
      <c r="A71" s="249"/>
      <c r="B71" s="249"/>
      <c r="C71" s="249"/>
      <c r="D71" s="249"/>
      <c r="E71" s="249"/>
      <c r="F71" s="249"/>
      <c r="G71" s="249"/>
      <c r="H71" s="249"/>
      <c r="I71" s="249"/>
      <c r="J71" s="249"/>
      <c r="K71" s="249"/>
      <c r="L71" s="249"/>
      <c r="M71" s="249"/>
      <c r="N71" s="249"/>
      <c r="O71" s="249"/>
      <c r="P71" s="249"/>
      <c r="Q71" s="249"/>
      <c r="R71" s="249"/>
      <c r="S71" s="248"/>
      <c r="T71" s="248"/>
      <c r="U71" s="248"/>
      <c r="V71" s="248"/>
      <c r="W71" s="248"/>
      <c r="X71" s="248"/>
      <c r="Y71" s="249"/>
      <c r="Z71" s="249"/>
      <c r="AA71" s="249"/>
      <c r="AB71" s="249"/>
    </row>
    <row r="72" spans="1:28">
      <c r="A72" s="249"/>
      <c r="B72" s="249"/>
      <c r="C72" s="249"/>
      <c r="D72" s="249"/>
      <c r="E72" s="249"/>
      <c r="F72" s="249"/>
      <c r="G72" s="249"/>
      <c r="H72" s="249"/>
      <c r="I72" s="249"/>
      <c r="J72" s="249"/>
      <c r="K72" s="249"/>
      <c r="L72" s="249"/>
      <c r="M72" s="249"/>
      <c r="N72" s="249"/>
      <c r="O72" s="249"/>
      <c r="P72" s="249"/>
      <c r="Q72" s="249"/>
      <c r="R72" s="249"/>
      <c r="S72" s="248"/>
      <c r="T72" s="248"/>
      <c r="U72" s="248"/>
      <c r="V72" s="248"/>
      <c r="W72" s="248"/>
      <c r="X72" s="248"/>
      <c r="Y72" s="249"/>
      <c r="Z72" s="249"/>
      <c r="AA72" s="249"/>
      <c r="AB72" s="249"/>
    </row>
    <row r="73" spans="1:28">
      <c r="A73" s="249"/>
      <c r="B73" s="249"/>
      <c r="C73" s="249"/>
      <c r="D73" s="249"/>
      <c r="E73" s="249"/>
      <c r="F73" s="249"/>
      <c r="G73" s="249"/>
      <c r="H73" s="249"/>
      <c r="I73" s="249"/>
      <c r="J73" s="249"/>
      <c r="K73" s="249"/>
      <c r="L73" s="249"/>
      <c r="M73" s="249"/>
      <c r="N73" s="249"/>
      <c r="O73" s="249"/>
      <c r="P73" s="249"/>
      <c r="Q73" s="249"/>
      <c r="R73" s="249"/>
      <c r="S73" s="248"/>
      <c r="T73" s="248"/>
      <c r="U73" s="248"/>
      <c r="V73" s="248"/>
      <c r="W73" s="248"/>
      <c r="X73" s="248"/>
      <c r="Y73" s="249"/>
      <c r="Z73" s="249"/>
      <c r="AA73" s="249"/>
      <c r="AB73" s="249"/>
    </row>
    <row r="74" spans="1:28">
      <c r="A74" s="249"/>
      <c r="B74" s="249"/>
      <c r="C74" s="249"/>
      <c r="D74" s="249"/>
      <c r="E74" s="249"/>
      <c r="F74" s="249"/>
      <c r="G74" s="249"/>
      <c r="H74" s="249"/>
      <c r="I74" s="249"/>
      <c r="J74" s="249"/>
      <c r="K74" s="249"/>
      <c r="L74" s="249"/>
      <c r="M74" s="249"/>
      <c r="N74" s="249"/>
      <c r="O74" s="249"/>
      <c r="P74" s="249"/>
      <c r="Q74" s="249"/>
      <c r="R74" s="249"/>
      <c r="S74" s="248"/>
      <c r="T74" s="248"/>
      <c r="U74" s="248"/>
      <c r="V74" s="248"/>
      <c r="W74" s="248"/>
      <c r="X74" s="248"/>
      <c r="Y74" s="249"/>
      <c r="Z74" s="249"/>
      <c r="AA74" s="249"/>
      <c r="AB74" s="249"/>
    </row>
    <row r="75" spans="1:28">
      <c r="A75" s="249"/>
      <c r="B75" s="249"/>
      <c r="C75" s="249"/>
      <c r="D75" s="249"/>
      <c r="E75" s="249"/>
      <c r="F75" s="249"/>
      <c r="G75" s="249"/>
      <c r="H75" s="249"/>
      <c r="I75" s="249"/>
      <c r="J75" s="249"/>
      <c r="K75" s="249"/>
      <c r="L75" s="249"/>
      <c r="M75" s="249"/>
      <c r="N75" s="249"/>
      <c r="O75" s="249"/>
      <c r="P75" s="249"/>
      <c r="Q75" s="249"/>
      <c r="R75" s="249"/>
      <c r="S75" s="248"/>
      <c r="T75" s="248"/>
      <c r="U75" s="248"/>
      <c r="V75" s="248"/>
      <c r="W75" s="248"/>
      <c r="X75" s="248"/>
      <c r="Y75" s="249"/>
      <c r="Z75" s="249"/>
      <c r="AA75" s="249"/>
      <c r="AB75" s="249"/>
    </row>
    <row r="76" spans="1:28">
      <c r="A76" s="249"/>
      <c r="B76" s="249"/>
      <c r="C76" s="249"/>
      <c r="D76" s="249"/>
      <c r="E76" s="249"/>
      <c r="F76" s="249"/>
      <c r="G76" s="249"/>
      <c r="H76" s="249"/>
      <c r="I76" s="249"/>
      <c r="J76" s="249"/>
      <c r="K76" s="249"/>
      <c r="L76" s="249"/>
      <c r="M76" s="249"/>
      <c r="N76" s="249"/>
      <c r="O76" s="249"/>
      <c r="P76" s="249"/>
      <c r="Q76" s="249"/>
      <c r="R76" s="249"/>
      <c r="S76" s="248"/>
      <c r="T76" s="248"/>
      <c r="U76" s="248"/>
      <c r="V76" s="248"/>
      <c r="W76" s="248"/>
      <c r="X76" s="248"/>
      <c r="Y76" s="249"/>
      <c r="Z76" s="249"/>
      <c r="AA76" s="249"/>
      <c r="AB76" s="249"/>
    </row>
    <row r="77" spans="1:28">
      <c r="A77" s="249"/>
      <c r="B77" s="249"/>
      <c r="C77" s="249"/>
      <c r="D77" s="249"/>
      <c r="E77" s="249"/>
      <c r="F77" s="249"/>
      <c r="G77" s="249"/>
      <c r="H77" s="249"/>
      <c r="I77" s="249"/>
      <c r="J77" s="249"/>
      <c r="K77" s="249"/>
      <c r="L77" s="249"/>
      <c r="M77" s="249"/>
      <c r="N77" s="249"/>
      <c r="O77" s="249"/>
      <c r="P77" s="249"/>
      <c r="Q77" s="249"/>
      <c r="R77" s="249"/>
      <c r="S77" s="248"/>
      <c r="T77" s="248"/>
      <c r="U77" s="248"/>
      <c r="V77" s="248"/>
      <c r="W77" s="248"/>
      <c r="X77" s="248"/>
      <c r="Y77" s="249"/>
      <c r="Z77" s="249"/>
      <c r="AA77" s="249"/>
      <c r="AB77" s="249"/>
    </row>
    <row r="78" spans="1:28">
      <c r="A78" s="249"/>
      <c r="B78" s="249"/>
      <c r="C78" s="249"/>
      <c r="D78" s="249"/>
      <c r="E78" s="249"/>
      <c r="F78" s="249"/>
      <c r="G78" s="249"/>
      <c r="H78" s="249"/>
      <c r="I78" s="249"/>
      <c r="J78" s="249"/>
      <c r="K78" s="249"/>
      <c r="L78" s="249"/>
      <c r="M78" s="249"/>
      <c r="N78" s="249"/>
      <c r="O78" s="249"/>
      <c r="P78" s="249"/>
      <c r="Q78" s="249"/>
      <c r="R78" s="249"/>
      <c r="S78" s="248"/>
      <c r="T78" s="248"/>
      <c r="U78" s="248"/>
      <c r="V78" s="248"/>
      <c r="W78" s="248"/>
      <c r="X78" s="248"/>
      <c r="Y78" s="249"/>
      <c r="Z78" s="249"/>
      <c r="AA78" s="249"/>
      <c r="AB78" s="249"/>
    </row>
    <row r="79" spans="1:28">
      <c r="A79" s="249"/>
      <c r="B79" s="249"/>
      <c r="C79" s="249"/>
      <c r="D79" s="249"/>
      <c r="E79" s="249"/>
      <c r="F79" s="249"/>
      <c r="G79" s="249"/>
      <c r="H79" s="249"/>
      <c r="I79" s="249"/>
      <c r="J79" s="249"/>
      <c r="K79" s="249"/>
      <c r="L79" s="249"/>
      <c r="M79" s="249"/>
      <c r="N79" s="249"/>
      <c r="O79" s="249"/>
      <c r="P79" s="249"/>
      <c r="Q79" s="249"/>
      <c r="R79" s="249"/>
      <c r="S79" s="248"/>
      <c r="T79" s="248"/>
      <c r="U79" s="248"/>
      <c r="V79" s="248"/>
      <c r="W79" s="248"/>
      <c r="X79" s="248"/>
      <c r="Y79" s="249"/>
      <c r="Z79" s="249"/>
      <c r="AA79" s="249"/>
      <c r="AB79" s="249"/>
    </row>
    <row r="80" spans="1:28">
      <c r="A80" s="249"/>
      <c r="B80" s="249"/>
      <c r="C80" s="249"/>
      <c r="D80" s="249"/>
      <c r="E80" s="249"/>
      <c r="F80" s="249"/>
      <c r="G80" s="249"/>
      <c r="H80" s="249"/>
      <c r="I80" s="249"/>
      <c r="J80" s="249"/>
      <c r="K80" s="249"/>
      <c r="L80" s="249"/>
      <c r="M80" s="249"/>
      <c r="N80" s="249"/>
      <c r="O80" s="249"/>
      <c r="P80" s="249"/>
      <c r="Q80" s="249"/>
      <c r="R80" s="249"/>
      <c r="S80" s="248"/>
      <c r="T80" s="248"/>
      <c r="U80" s="248"/>
      <c r="V80" s="248"/>
      <c r="W80" s="248"/>
      <c r="X80" s="248"/>
      <c r="Y80" s="249"/>
      <c r="Z80" s="249"/>
      <c r="AA80" s="249"/>
      <c r="AB80" s="249"/>
    </row>
    <row r="81" spans="1:28">
      <c r="A81" s="249"/>
      <c r="B81" s="249"/>
      <c r="C81" s="249"/>
      <c r="D81" s="249"/>
      <c r="E81" s="249"/>
      <c r="F81" s="249"/>
      <c r="G81" s="249"/>
      <c r="H81" s="249"/>
      <c r="I81" s="249"/>
      <c r="J81" s="249"/>
      <c r="K81" s="249"/>
      <c r="L81" s="249"/>
      <c r="M81" s="249"/>
      <c r="N81" s="249"/>
      <c r="O81" s="249"/>
      <c r="P81" s="249"/>
      <c r="Q81" s="249"/>
      <c r="R81" s="249"/>
      <c r="S81" s="248"/>
      <c r="T81" s="248"/>
      <c r="U81" s="248"/>
      <c r="V81" s="248"/>
      <c r="W81" s="248"/>
      <c r="X81" s="248"/>
      <c r="Y81" s="249"/>
      <c r="Z81" s="249"/>
      <c r="AA81" s="249"/>
      <c r="AB81" s="249"/>
    </row>
    <row r="82" spans="1:28">
      <c r="A82" s="249"/>
      <c r="B82" s="249"/>
      <c r="C82" s="249"/>
      <c r="D82" s="249"/>
      <c r="E82" s="249"/>
      <c r="F82" s="249"/>
      <c r="G82" s="249"/>
      <c r="H82" s="249"/>
      <c r="I82" s="249"/>
      <c r="J82" s="249"/>
      <c r="K82" s="249"/>
      <c r="L82" s="249"/>
      <c r="M82" s="249"/>
      <c r="N82" s="249"/>
      <c r="O82" s="249"/>
      <c r="P82" s="249"/>
      <c r="Q82" s="249"/>
      <c r="R82" s="249"/>
      <c r="S82" s="248"/>
      <c r="T82" s="248"/>
      <c r="U82" s="248"/>
      <c r="V82" s="248"/>
      <c r="W82" s="248"/>
      <c r="X82" s="248"/>
      <c r="Y82" s="249"/>
      <c r="Z82" s="249"/>
      <c r="AA82" s="249"/>
      <c r="AB82" s="249"/>
    </row>
    <row r="83" spans="1:28">
      <c r="A83" s="249"/>
      <c r="B83" s="249"/>
      <c r="C83" s="249"/>
      <c r="D83" s="249"/>
      <c r="E83" s="249"/>
      <c r="F83" s="249"/>
      <c r="G83" s="249"/>
      <c r="H83" s="249"/>
      <c r="I83" s="249"/>
      <c r="J83" s="249"/>
      <c r="K83" s="249"/>
      <c r="L83" s="249"/>
      <c r="M83" s="249"/>
      <c r="N83" s="249"/>
      <c r="O83" s="249"/>
      <c r="P83" s="249"/>
      <c r="Q83" s="249"/>
      <c r="R83" s="249"/>
      <c r="S83" s="248"/>
      <c r="T83" s="248"/>
      <c r="U83" s="248"/>
      <c r="V83" s="248"/>
      <c r="W83" s="248"/>
      <c r="X83" s="248"/>
      <c r="Y83" s="249"/>
      <c r="Z83" s="249"/>
      <c r="AA83" s="249"/>
      <c r="AB83" s="249"/>
    </row>
    <row r="84" spans="1:28">
      <c r="A84" s="249"/>
      <c r="B84" s="249"/>
      <c r="C84" s="249"/>
      <c r="D84" s="249"/>
      <c r="E84" s="249"/>
      <c r="F84" s="249"/>
      <c r="G84" s="249"/>
      <c r="H84" s="249"/>
      <c r="I84" s="249"/>
      <c r="J84" s="249"/>
      <c r="K84" s="249"/>
      <c r="L84" s="249"/>
      <c r="M84" s="249"/>
      <c r="N84" s="249"/>
      <c r="O84" s="249"/>
      <c r="P84" s="249"/>
      <c r="Q84" s="249"/>
      <c r="R84" s="249"/>
      <c r="S84" s="248"/>
      <c r="T84" s="248"/>
      <c r="U84" s="248"/>
      <c r="V84" s="248"/>
      <c r="W84" s="248"/>
      <c r="X84" s="248"/>
      <c r="Y84" s="249"/>
      <c r="Z84" s="249"/>
      <c r="AA84" s="249"/>
      <c r="AB84" s="249"/>
    </row>
    <row r="85" spans="1:28">
      <c r="A85" s="249"/>
      <c r="B85" s="249"/>
      <c r="C85" s="249"/>
      <c r="D85" s="249"/>
      <c r="E85" s="249"/>
      <c r="F85" s="249"/>
      <c r="G85" s="249"/>
      <c r="H85" s="249"/>
      <c r="I85" s="249"/>
      <c r="J85" s="249"/>
      <c r="K85" s="249"/>
      <c r="L85" s="249"/>
      <c r="M85" s="249"/>
      <c r="N85" s="249"/>
      <c r="O85" s="249"/>
      <c r="P85" s="249"/>
      <c r="Q85" s="249"/>
      <c r="R85" s="249"/>
      <c r="S85" s="248"/>
      <c r="T85" s="248"/>
      <c r="U85" s="248"/>
      <c r="V85" s="248"/>
      <c r="W85" s="248"/>
      <c r="X85" s="248"/>
      <c r="Y85" s="249"/>
      <c r="Z85" s="249"/>
      <c r="AA85" s="249"/>
      <c r="AB85" s="249"/>
    </row>
    <row r="86" spans="1:28">
      <c r="A86" s="249"/>
      <c r="B86" s="249"/>
      <c r="C86" s="249"/>
      <c r="D86" s="249"/>
      <c r="E86" s="249"/>
      <c r="F86" s="249"/>
      <c r="G86" s="249"/>
      <c r="H86" s="249"/>
      <c r="I86" s="249"/>
      <c r="J86" s="249"/>
      <c r="K86" s="249"/>
      <c r="L86" s="249"/>
      <c r="M86" s="249"/>
      <c r="N86" s="249"/>
      <c r="O86" s="249"/>
      <c r="P86" s="249"/>
      <c r="Q86" s="249"/>
      <c r="R86" s="249"/>
      <c r="S86" s="248"/>
      <c r="T86" s="248"/>
      <c r="U86" s="248"/>
      <c r="V86" s="248"/>
      <c r="W86" s="248"/>
      <c r="X86" s="248"/>
      <c r="Y86" s="249"/>
      <c r="Z86" s="249"/>
      <c r="AA86" s="249"/>
      <c r="AB86" s="249"/>
    </row>
    <row r="87" spans="1:28">
      <c r="A87" s="249"/>
      <c r="B87" s="249"/>
      <c r="C87" s="249"/>
      <c r="D87" s="249"/>
      <c r="E87" s="249"/>
      <c r="F87" s="249"/>
      <c r="G87" s="249"/>
      <c r="H87" s="249"/>
      <c r="I87" s="249"/>
      <c r="J87" s="249"/>
      <c r="K87" s="249"/>
      <c r="L87" s="249"/>
      <c r="M87" s="249"/>
      <c r="N87" s="249"/>
      <c r="O87" s="249"/>
      <c r="P87" s="249"/>
      <c r="Q87" s="249"/>
      <c r="R87" s="249"/>
      <c r="S87" s="248"/>
      <c r="T87" s="248"/>
      <c r="U87" s="248"/>
      <c r="V87" s="248"/>
      <c r="W87" s="248"/>
      <c r="X87" s="248"/>
      <c r="Y87" s="249"/>
      <c r="Z87" s="249"/>
      <c r="AA87" s="249"/>
      <c r="AB87" s="249"/>
    </row>
    <row r="88" spans="1:28">
      <c r="A88" s="249"/>
      <c r="B88" s="249"/>
      <c r="C88" s="249"/>
      <c r="D88" s="249"/>
      <c r="E88" s="249"/>
      <c r="F88" s="249"/>
      <c r="G88" s="249"/>
      <c r="H88" s="249"/>
      <c r="I88" s="249"/>
      <c r="J88" s="249"/>
      <c r="K88" s="249"/>
      <c r="L88" s="249"/>
      <c r="M88" s="249"/>
      <c r="N88" s="249"/>
      <c r="O88" s="249"/>
      <c r="P88" s="249"/>
      <c r="Q88" s="249"/>
      <c r="R88" s="249"/>
      <c r="S88" s="248"/>
      <c r="T88" s="248"/>
      <c r="U88" s="248"/>
      <c r="V88" s="248"/>
      <c r="W88" s="248"/>
      <c r="X88" s="248"/>
      <c r="Y88" s="249"/>
      <c r="Z88" s="249"/>
      <c r="AA88" s="249"/>
      <c r="AB88" s="249"/>
    </row>
    <row r="89" spans="1:28">
      <c r="A89" s="249"/>
      <c r="B89" s="249"/>
      <c r="C89" s="249"/>
      <c r="D89" s="249"/>
      <c r="E89" s="249"/>
      <c r="F89" s="249"/>
      <c r="G89" s="249"/>
      <c r="H89" s="249"/>
      <c r="I89" s="249"/>
      <c r="J89" s="249"/>
      <c r="K89" s="249"/>
      <c r="L89" s="249"/>
      <c r="M89" s="249"/>
      <c r="N89" s="249"/>
      <c r="O89" s="249"/>
      <c r="P89" s="249"/>
      <c r="Q89" s="249"/>
      <c r="R89" s="249"/>
      <c r="S89" s="248"/>
      <c r="T89" s="248"/>
      <c r="U89" s="248"/>
      <c r="V89" s="248"/>
      <c r="W89" s="248"/>
      <c r="X89" s="248"/>
      <c r="Y89" s="249"/>
      <c r="Z89" s="249"/>
      <c r="AA89" s="249"/>
      <c r="AB89" s="249"/>
    </row>
    <row r="90" spans="1:28">
      <c r="A90" s="249"/>
      <c r="B90" s="249"/>
      <c r="C90" s="249"/>
      <c r="D90" s="249"/>
      <c r="E90" s="249"/>
      <c r="F90" s="249"/>
      <c r="G90" s="249"/>
      <c r="H90" s="249"/>
      <c r="I90" s="249"/>
      <c r="J90" s="249"/>
      <c r="K90" s="249"/>
      <c r="L90" s="249"/>
      <c r="M90" s="249"/>
      <c r="N90" s="249"/>
      <c r="O90" s="249"/>
      <c r="P90" s="249"/>
      <c r="Q90" s="249"/>
      <c r="R90" s="249"/>
      <c r="S90" s="248"/>
      <c r="T90" s="248"/>
      <c r="U90" s="248"/>
      <c r="V90" s="248"/>
      <c r="W90" s="248"/>
      <c r="X90" s="248"/>
      <c r="Y90" s="249"/>
      <c r="Z90" s="249"/>
      <c r="AA90" s="249"/>
      <c r="AB90" s="249"/>
    </row>
    <row r="91" spans="1:28">
      <c r="A91" s="249"/>
      <c r="B91" s="249"/>
      <c r="C91" s="249"/>
      <c r="D91" s="249"/>
      <c r="E91" s="249"/>
      <c r="F91" s="249"/>
      <c r="G91" s="249"/>
      <c r="H91" s="249"/>
      <c r="I91" s="249"/>
      <c r="J91" s="249"/>
      <c r="K91" s="249"/>
      <c r="L91" s="249"/>
      <c r="M91" s="249"/>
      <c r="N91" s="249"/>
      <c r="O91" s="249"/>
      <c r="P91" s="249"/>
      <c r="Q91" s="249"/>
      <c r="R91" s="249"/>
      <c r="S91" s="248"/>
      <c r="T91" s="248"/>
      <c r="U91" s="248"/>
      <c r="V91" s="248"/>
      <c r="W91" s="248"/>
      <c r="X91" s="248"/>
      <c r="Y91" s="249"/>
      <c r="Z91" s="249"/>
      <c r="AA91" s="249"/>
      <c r="AB91" s="249"/>
    </row>
    <row r="92" spans="1:28">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row>
    <row r="93" spans="1:28">
      <c r="A93" s="249"/>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row>
    <row r="94" spans="1:28">
      <c r="A94" s="249"/>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row>
    <row r="95" spans="1:28">
      <c r="A95" s="249"/>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row>
    <row r="96" spans="1:28">
      <c r="A96" s="249"/>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row>
    <row r="97" spans="1:28">
      <c r="A97" s="249"/>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row>
    <row r="98" spans="1:28">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row>
    <row r="99" spans="1:28">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row>
    <row r="100" spans="1:28">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row>
    <row r="101" spans="1:28">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row>
    <row r="102" spans="1:28">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row>
    <row r="103" spans="1:28">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row>
    <row r="104" spans="1:28">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row>
    <row r="105" spans="1:28">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row>
    <row r="106" spans="1:28">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row>
    <row r="107" spans="1:28">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row>
    <row r="108" spans="1:28">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row>
    <row r="109" spans="1:28">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row>
    <row r="110" spans="1:28">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row>
    <row r="111" spans="1:28">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row>
    <row r="112" spans="1:28">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row>
    <row r="113" spans="1:28">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row>
    <row r="114" spans="1:28">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row>
    <row r="115" spans="1:28">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row>
    <row r="116" spans="1:28">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row>
    <row r="117" spans="1:28">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row>
    <row r="118" spans="1:28">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row>
    <row r="119" spans="1:28">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row>
    <row r="120" spans="1:28">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row>
    <row r="121" spans="1:28">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row>
    <row r="122" spans="1:28">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row>
    <row r="123" spans="1:28">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row>
    <row r="124" spans="1:28">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row>
    <row r="125" spans="1:28">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row>
    <row r="126" spans="1:28">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row>
    <row r="127" spans="1:28">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row>
    <row r="128" spans="1:28">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row>
    <row r="129" spans="1:28">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row>
    <row r="130" spans="1:28">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49"/>
      <c r="AB130" s="249"/>
    </row>
    <row r="131" spans="1:28">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row>
    <row r="132" spans="1:28">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row>
    <row r="133" spans="1:28">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49"/>
    </row>
    <row r="134" spans="1:28">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row>
    <row r="135" spans="1:28">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row>
    <row r="136" spans="1:28">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49"/>
    </row>
    <row r="137" spans="1:28">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row>
    <row r="138" spans="1:28">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row>
    <row r="139" spans="1:28">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row>
    <row r="140" spans="1:28">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row>
    <row r="141" spans="1:28">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row>
    <row r="142" spans="1:28">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row>
    <row r="143" spans="1:28">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row>
    <row r="144" spans="1:28">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row>
    <row r="145" spans="1:28">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row>
    <row r="146" spans="1:28">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row>
    <row r="147" spans="1:28">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row>
    <row r="148" spans="1:28">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row>
    <row r="149" spans="1:28">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row>
    <row r="150" spans="1:28">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row>
    <row r="151" spans="1:28">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row>
    <row r="152" spans="1:28">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row>
    <row r="153" spans="1:28">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row>
    <row r="154" spans="1:28">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c r="AA154" s="249"/>
      <c r="AB154" s="249"/>
    </row>
    <row r="155" spans="1:28">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row>
    <row r="156" spans="1:28">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row>
    <row r="157" spans="1:28">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row>
    <row r="158" spans="1:28">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row>
    <row r="159" spans="1:28">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c r="AA159" s="249"/>
      <c r="AB159" s="249"/>
    </row>
    <row r="160" spans="1:28">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row>
    <row r="161" spans="1:28">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row>
    <row r="162" spans="1:28">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c r="AA162" s="249"/>
      <c r="AB162" s="249"/>
    </row>
    <row r="163" spans="1:28">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c r="AA163" s="249"/>
      <c r="AB163" s="249"/>
    </row>
    <row r="164" spans="1:28">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c r="AA164" s="249"/>
      <c r="AB164" s="249"/>
    </row>
    <row r="165" spans="1:28">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49"/>
      <c r="AB165" s="249"/>
    </row>
    <row r="166" spans="1:28">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row>
    <row r="167" spans="1:28">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c r="AA167" s="249"/>
      <c r="AB167" s="249"/>
    </row>
    <row r="168" spans="1:28">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c r="AA168" s="249"/>
      <c r="AB168" s="249"/>
    </row>
    <row r="169" spans="1:28">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c r="W169" s="249"/>
      <c r="X169" s="249"/>
      <c r="Y169" s="249"/>
      <c r="Z169" s="249"/>
      <c r="AA169" s="249"/>
      <c r="AB169" s="249"/>
    </row>
    <row r="170" spans="1:28">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49"/>
      <c r="AA170" s="249"/>
      <c r="AB170" s="249"/>
    </row>
    <row r="171" spans="1:28">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row>
    <row r="172" spans="1:28">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row>
    <row r="173" spans="1:28">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c r="AA173" s="249"/>
      <c r="AB173" s="249"/>
    </row>
    <row r="174" spans="1:28">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c r="AA174" s="249"/>
      <c r="AB174" s="249"/>
    </row>
    <row r="175" spans="1:28">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c r="AA175" s="249"/>
      <c r="AB175" s="249"/>
    </row>
    <row r="176" spans="1:28">
      <c r="A176" s="249"/>
      <c r="B176" s="249"/>
      <c r="C176" s="249"/>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row>
    <row r="177" spans="1:28">
      <c r="A177" s="249"/>
      <c r="B177" s="249"/>
      <c r="C177" s="249"/>
      <c r="D177" s="249"/>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row>
    <row r="178" spans="1:28">
      <c r="A178" s="249"/>
      <c r="B178" s="249"/>
      <c r="C178" s="249"/>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249"/>
    </row>
    <row r="179" spans="1:28">
      <c r="A179" s="249"/>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249"/>
    </row>
    <row r="180" spans="1:28">
      <c r="A180" s="249"/>
      <c r="B180" s="249"/>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c r="AA180" s="249"/>
      <c r="AB180" s="249"/>
    </row>
    <row r="181" spans="1:28">
      <c r="A181" s="249"/>
      <c r="B181" s="249"/>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49"/>
      <c r="AA181" s="249"/>
      <c r="AB181" s="249"/>
    </row>
    <row r="182" spans="1:28">
      <c r="A182" s="249"/>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c r="AA182" s="249"/>
      <c r="AB182" s="249"/>
    </row>
    <row r="183" spans="1:28">
      <c r="A183" s="249"/>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c r="AA183" s="249"/>
      <c r="AB183" s="249"/>
    </row>
    <row r="184" spans="1:28">
      <c r="A184" s="249"/>
      <c r="B184" s="249"/>
      <c r="C184" s="249"/>
      <c r="D184" s="249"/>
      <c r="E184" s="249"/>
      <c r="F184" s="249"/>
      <c r="G184" s="249"/>
      <c r="H184" s="249"/>
      <c r="I184" s="249"/>
      <c r="J184" s="249"/>
      <c r="K184" s="249"/>
      <c r="L184" s="249"/>
      <c r="M184" s="249"/>
      <c r="N184" s="249"/>
      <c r="O184" s="249"/>
      <c r="P184" s="249"/>
      <c r="Q184" s="249"/>
      <c r="R184" s="249"/>
      <c r="S184" s="249"/>
      <c r="T184" s="249"/>
      <c r="U184" s="249"/>
      <c r="V184" s="249"/>
      <c r="W184" s="249"/>
      <c r="X184" s="249"/>
      <c r="Y184" s="249"/>
      <c r="Z184" s="249"/>
      <c r="AA184" s="249"/>
      <c r="AB184" s="249"/>
    </row>
    <row r="185" spans="1:28">
      <c r="A185" s="249"/>
      <c r="B185" s="249"/>
      <c r="C185" s="249"/>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c r="AA185" s="249"/>
      <c r="AB185" s="249"/>
    </row>
    <row r="186" spans="1:28">
      <c r="A186" s="249"/>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c r="AA186" s="249"/>
      <c r="AB186" s="249"/>
    </row>
    <row r="187" spans="1:28">
      <c r="A187" s="249"/>
      <c r="B187" s="249"/>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c r="AA187" s="249"/>
      <c r="AB187" s="249"/>
    </row>
    <row r="188" spans="1:28">
      <c r="A188" s="249"/>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row>
    <row r="189" spans="1:28">
      <c r="A189" s="249"/>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row>
    <row r="190" spans="1:28">
      <c r="A190" s="249"/>
      <c r="B190" s="249"/>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c r="AA190" s="249"/>
      <c r="AB190" s="249"/>
    </row>
    <row r="191" spans="1:28">
      <c r="A191" s="249"/>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49"/>
      <c r="AA191" s="249"/>
      <c r="AB191" s="249"/>
    </row>
    <row r="192" spans="1:28">
      <c r="A192" s="249"/>
      <c r="B192" s="249"/>
      <c r="C192" s="249"/>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c r="AA192" s="249"/>
      <c r="AB192" s="249"/>
    </row>
    <row r="193" spans="1:28">
      <c r="A193" s="249"/>
      <c r="B193" s="249"/>
      <c r="C193" s="249"/>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c r="AA193" s="249"/>
      <c r="AB193" s="249"/>
    </row>
    <row r="194" spans="1:28">
      <c r="A194" s="249"/>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49"/>
      <c r="AB194" s="249"/>
    </row>
    <row r="195" spans="1:28">
      <c r="A195" s="249"/>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row>
    <row r="196" spans="1:28">
      <c r="A196" s="249"/>
      <c r="B196" s="249"/>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c r="AA196" s="249"/>
      <c r="AB196" s="249"/>
    </row>
    <row r="197" spans="1:28">
      <c r="A197" s="249"/>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c r="AA197" s="249"/>
      <c r="AB197" s="249"/>
    </row>
    <row r="198" spans="1:28">
      <c r="A198" s="249"/>
      <c r="B198" s="249"/>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49"/>
      <c r="Z198" s="249"/>
      <c r="AA198" s="249"/>
      <c r="AB198" s="249"/>
    </row>
    <row r="199" spans="1:28">
      <c r="A199" s="249"/>
      <c r="B199" s="249"/>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49"/>
      <c r="Z199" s="249"/>
      <c r="AA199" s="249"/>
      <c r="AB199" s="249"/>
    </row>
    <row r="200" spans="1:28">
      <c r="A200" s="249"/>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49"/>
      <c r="AB200" s="249"/>
    </row>
    <row r="201" spans="1:28">
      <c r="A201" s="249"/>
      <c r="B201" s="249"/>
      <c r="C201" s="249"/>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49"/>
      <c r="AA201" s="249"/>
      <c r="AB201" s="249"/>
    </row>
    <row r="202" spans="1:28">
      <c r="A202" s="249"/>
      <c r="B202" s="249"/>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row>
    <row r="203" spans="1:28">
      <c r="A203" s="249"/>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row>
    <row r="204" spans="1:28">
      <c r="A204" s="249"/>
      <c r="B204" s="249"/>
      <c r="C204" s="249"/>
      <c r="D204" s="249"/>
      <c r="E204" s="249"/>
      <c r="F204" s="249"/>
      <c r="G204" s="249"/>
      <c r="H204" s="249"/>
      <c r="I204" s="249"/>
      <c r="J204" s="249"/>
      <c r="K204" s="249"/>
      <c r="L204" s="249"/>
      <c r="M204" s="249"/>
      <c r="N204" s="249"/>
      <c r="O204" s="249"/>
      <c r="P204" s="249"/>
      <c r="Q204" s="249"/>
      <c r="R204" s="249"/>
      <c r="S204" s="249"/>
      <c r="T204" s="249"/>
      <c r="U204" s="249"/>
      <c r="V204" s="249"/>
      <c r="W204" s="249"/>
      <c r="X204" s="249"/>
      <c r="Y204" s="249"/>
      <c r="Z204" s="249"/>
      <c r="AA204" s="249"/>
      <c r="AB204" s="249"/>
    </row>
    <row r="205" spans="1:28">
      <c r="A205" s="249"/>
      <c r="B205" s="249"/>
      <c r="C205" s="249"/>
      <c r="D205" s="249"/>
      <c r="E205" s="249"/>
      <c r="F205" s="249"/>
      <c r="G205" s="249"/>
      <c r="H205" s="249"/>
      <c r="I205" s="249"/>
      <c r="J205" s="249"/>
      <c r="K205" s="249"/>
      <c r="L205" s="249"/>
      <c r="M205" s="249"/>
      <c r="N205" s="249"/>
      <c r="O205" s="249"/>
      <c r="P205" s="249"/>
      <c r="Q205" s="249"/>
      <c r="R205" s="249"/>
      <c r="S205" s="249"/>
      <c r="T205" s="249"/>
      <c r="U205" s="249"/>
      <c r="V205" s="249"/>
      <c r="W205" s="249"/>
      <c r="X205" s="249"/>
      <c r="Y205" s="249"/>
      <c r="Z205" s="249"/>
      <c r="AA205" s="249"/>
      <c r="AB205" s="249"/>
    </row>
    <row r="206" spans="1:28">
      <c r="A206" s="249"/>
      <c r="B206" s="249"/>
      <c r="C206" s="249"/>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c r="AA206" s="249"/>
      <c r="AB206" s="249"/>
    </row>
    <row r="207" spans="1:28">
      <c r="A207" s="249"/>
      <c r="B207" s="249"/>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c r="AA207" s="249"/>
      <c r="AB207" s="249"/>
    </row>
    <row r="208" spans="1:28">
      <c r="A208" s="249"/>
      <c r="B208" s="249"/>
      <c r="C208" s="249"/>
      <c r="D208" s="249"/>
      <c r="E208" s="249"/>
      <c r="F208" s="249"/>
      <c r="G208" s="249"/>
      <c r="H208" s="249"/>
      <c r="I208" s="249"/>
      <c r="J208" s="249"/>
      <c r="K208" s="249"/>
      <c r="L208" s="249"/>
      <c r="M208" s="249"/>
      <c r="N208" s="249"/>
      <c r="O208" s="249"/>
      <c r="P208" s="249"/>
      <c r="Q208" s="249"/>
      <c r="R208" s="249"/>
      <c r="S208" s="249"/>
      <c r="T208" s="249"/>
      <c r="U208" s="249"/>
      <c r="V208" s="249"/>
      <c r="W208" s="249"/>
      <c r="X208" s="249"/>
      <c r="Y208" s="249"/>
      <c r="Z208" s="249"/>
      <c r="AA208" s="249"/>
      <c r="AB208" s="249"/>
    </row>
    <row r="209" spans="1:28">
      <c r="A209" s="249"/>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c r="AA209" s="249"/>
      <c r="AB209" s="249"/>
    </row>
    <row r="210" spans="1:28">
      <c r="A210" s="249"/>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c r="AA210" s="249"/>
      <c r="AB210" s="249"/>
    </row>
    <row r="211" spans="1:28">
      <c r="A211" s="249"/>
      <c r="B211" s="249"/>
      <c r="C211" s="249"/>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c r="AA211" s="249"/>
      <c r="AB211" s="249"/>
    </row>
    <row r="212" spans="1:28">
      <c r="A212" s="249"/>
      <c r="B212" s="249"/>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c r="AA212" s="249"/>
      <c r="AB212" s="249"/>
    </row>
    <row r="213" spans="1:28">
      <c r="A213" s="249"/>
      <c r="B213" s="249"/>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row>
    <row r="214" spans="1:28">
      <c r="A214" s="249"/>
      <c r="B214" s="249"/>
      <c r="C214" s="249"/>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c r="AA214" s="249"/>
      <c r="AB214" s="249"/>
    </row>
    <row r="215" spans="1:28">
      <c r="A215" s="249"/>
      <c r="B215" s="249"/>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49"/>
      <c r="AB215" s="249"/>
    </row>
    <row r="216" spans="1:28">
      <c r="A216" s="249"/>
      <c r="B216" s="249"/>
      <c r="C216" s="249"/>
      <c r="D216" s="249"/>
      <c r="E216" s="249"/>
      <c r="F216" s="249"/>
      <c r="G216" s="249"/>
      <c r="H216" s="249"/>
      <c r="I216" s="249"/>
      <c r="J216" s="249"/>
      <c r="K216" s="249"/>
      <c r="L216" s="249"/>
      <c r="M216" s="249"/>
      <c r="N216" s="249"/>
      <c r="O216" s="249"/>
      <c r="P216" s="249"/>
      <c r="Q216" s="249"/>
      <c r="R216" s="249"/>
      <c r="S216" s="249"/>
      <c r="T216" s="249"/>
      <c r="U216" s="249"/>
      <c r="V216" s="249"/>
      <c r="W216" s="249"/>
      <c r="X216" s="249"/>
      <c r="Y216" s="249"/>
      <c r="Z216" s="249"/>
      <c r="AA216" s="249"/>
      <c r="AB216" s="249"/>
    </row>
    <row r="217" spans="1:28">
      <c r="A217" s="249"/>
      <c r="B217" s="249"/>
      <c r="C217" s="249"/>
      <c r="D217" s="249"/>
      <c r="E217" s="249"/>
      <c r="F217" s="249"/>
      <c r="G217" s="249"/>
      <c r="H217" s="249"/>
      <c r="I217" s="249"/>
      <c r="J217" s="249"/>
      <c r="K217" s="249"/>
      <c r="L217" s="249"/>
      <c r="M217" s="249"/>
      <c r="N217" s="249"/>
      <c r="O217" s="249"/>
      <c r="P217" s="249"/>
      <c r="Q217" s="249"/>
      <c r="R217" s="249"/>
      <c r="S217" s="249"/>
      <c r="T217" s="249"/>
      <c r="U217" s="249"/>
      <c r="V217" s="249"/>
      <c r="W217" s="249"/>
      <c r="X217" s="249"/>
      <c r="Y217" s="249"/>
      <c r="Z217" s="249"/>
      <c r="AA217" s="249"/>
      <c r="AB217" s="249"/>
    </row>
    <row r="218" spans="1:28">
      <c r="A218" s="249"/>
      <c r="B218" s="249"/>
      <c r="C218" s="249"/>
      <c r="D218" s="249"/>
      <c r="E218" s="249"/>
      <c r="F218" s="249"/>
      <c r="G218" s="249"/>
      <c r="H218" s="249"/>
      <c r="I218" s="249"/>
      <c r="J218" s="249"/>
      <c r="K218" s="249"/>
      <c r="L218" s="249"/>
      <c r="M218" s="249"/>
      <c r="N218" s="249"/>
      <c r="O218" s="249"/>
      <c r="P218" s="249"/>
      <c r="Q218" s="249"/>
      <c r="R218" s="249"/>
      <c r="S218" s="249"/>
      <c r="T218" s="249"/>
      <c r="U218" s="249"/>
      <c r="V218" s="249"/>
      <c r="W218" s="249"/>
      <c r="X218" s="249"/>
      <c r="Y218" s="249"/>
      <c r="Z218" s="249"/>
      <c r="AA218" s="249"/>
      <c r="AB218" s="249"/>
    </row>
    <row r="219" spans="1:28">
      <c r="A219" s="249"/>
      <c r="B219" s="249"/>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row>
    <row r="220" spans="1:28">
      <c r="A220" s="249"/>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row>
    <row r="221" spans="1:28">
      <c r="A221" s="249"/>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49"/>
      <c r="AB221" s="249"/>
    </row>
    <row r="222" spans="1:28">
      <c r="A222" s="249"/>
      <c r="B222" s="249"/>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c r="AA222" s="249"/>
      <c r="AB222" s="249"/>
    </row>
    <row r="223" spans="1:28">
      <c r="A223" s="249"/>
      <c r="B223" s="249"/>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49"/>
      <c r="AA223" s="249"/>
      <c r="AB223" s="249"/>
    </row>
    <row r="224" spans="1:28">
      <c r="A224" s="249"/>
      <c r="B224" s="249"/>
      <c r="C224" s="249"/>
      <c r="D224" s="249"/>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49"/>
      <c r="AA224" s="249"/>
      <c r="AB224" s="249"/>
    </row>
    <row r="225" spans="1:28">
      <c r="A225" s="249"/>
      <c r="B225" s="249"/>
      <c r="C225" s="249"/>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49"/>
      <c r="AA225" s="249"/>
      <c r="AB225" s="249"/>
    </row>
    <row r="226" spans="1:28">
      <c r="A226" s="249"/>
      <c r="B226" s="249"/>
      <c r="C226" s="249"/>
      <c r="D226" s="249"/>
      <c r="E226" s="249"/>
      <c r="F226" s="249"/>
      <c r="G226" s="249"/>
      <c r="H226" s="249"/>
      <c r="I226" s="249"/>
      <c r="J226" s="249"/>
      <c r="K226" s="249"/>
      <c r="L226" s="249"/>
      <c r="M226" s="249"/>
      <c r="N226" s="249"/>
      <c r="O226" s="249"/>
      <c r="P226" s="249"/>
      <c r="Q226" s="249"/>
      <c r="R226" s="249"/>
      <c r="S226" s="249"/>
      <c r="T226" s="249"/>
      <c r="U226" s="249"/>
      <c r="V226" s="249"/>
      <c r="W226" s="249"/>
      <c r="X226" s="249"/>
      <c r="Y226" s="249"/>
      <c r="Z226" s="249"/>
      <c r="AA226" s="249"/>
      <c r="AB226" s="249"/>
    </row>
    <row r="227" spans="1:28">
      <c r="A227" s="249"/>
      <c r="B227" s="249"/>
      <c r="C227" s="249"/>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c r="AA227" s="249"/>
      <c r="AB227" s="249"/>
    </row>
    <row r="228" spans="1:28">
      <c r="A228" s="249"/>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row>
    <row r="229" spans="1:28">
      <c r="A229" s="249"/>
      <c r="B229" s="249"/>
      <c r="C229" s="249"/>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c r="AA229" s="249"/>
      <c r="AB229" s="249"/>
    </row>
    <row r="230" spans="1:28">
      <c r="A230" s="249"/>
      <c r="B230" s="249"/>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49"/>
      <c r="AA230" s="249"/>
      <c r="AB230" s="249"/>
    </row>
    <row r="231" spans="1:28">
      <c r="A231" s="249"/>
      <c r="B231" s="249"/>
      <c r="C231" s="249"/>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row>
    <row r="232" spans="1:28">
      <c r="A232" s="249"/>
      <c r="B232" s="249"/>
      <c r="C232" s="249"/>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row>
    <row r="233" spans="1:28">
      <c r="A233" s="249"/>
      <c r="B233" s="249"/>
      <c r="C233" s="249"/>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row>
    <row r="234" spans="1:28">
      <c r="A234" s="249"/>
      <c r="B234" s="249"/>
      <c r="C234" s="249"/>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row>
    <row r="235" spans="1:28">
      <c r="A235" s="249"/>
      <c r="B235" s="249"/>
      <c r="C235" s="249"/>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49"/>
      <c r="AA235" s="249"/>
      <c r="AB235" s="249"/>
    </row>
    <row r="236" spans="1:28">
      <c r="A236" s="249"/>
      <c r="B236" s="249"/>
      <c r="C236" s="249"/>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c r="AA236" s="249"/>
      <c r="AB236" s="249"/>
    </row>
    <row r="237" spans="1:28">
      <c r="A237" s="249"/>
      <c r="B237" s="249"/>
      <c r="C237" s="249"/>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49"/>
      <c r="AA237" s="249"/>
      <c r="AB237" s="249"/>
    </row>
    <row r="238" spans="1:28">
      <c r="A238" s="249"/>
      <c r="B238" s="249"/>
      <c r="C238" s="249"/>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49"/>
      <c r="AB238" s="249"/>
    </row>
    <row r="239" spans="1:28">
      <c r="A239" s="249"/>
      <c r="B239" s="249"/>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row>
    <row r="240" spans="1:28">
      <c r="A240" s="249"/>
      <c r="B240" s="249"/>
      <c r="C240" s="249"/>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row>
    <row r="241" spans="1:28">
      <c r="A241" s="249"/>
      <c r="B241" s="249"/>
      <c r="C241" s="249"/>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row>
    <row r="242" spans="1:28">
      <c r="A242" s="249"/>
      <c r="B242" s="249"/>
      <c r="C242" s="249"/>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49"/>
      <c r="AA242" s="249"/>
      <c r="AB242" s="249"/>
    </row>
    <row r="243" spans="1:28">
      <c r="A243" s="249"/>
      <c r="B243" s="249"/>
      <c r="C243" s="249"/>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c r="AA243" s="249"/>
      <c r="AB243" s="249"/>
    </row>
    <row r="244" spans="1:28">
      <c r="A244" s="249"/>
      <c r="B244" s="249"/>
      <c r="C244" s="249"/>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c r="AA244" s="249"/>
      <c r="AB244" s="249"/>
    </row>
    <row r="245" spans="1:28">
      <c r="A245" s="249"/>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49"/>
      <c r="AB245" s="249"/>
    </row>
    <row r="246" spans="1:28">
      <c r="A246" s="249"/>
      <c r="B246" s="249"/>
      <c r="C246" s="249"/>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c r="AA246" s="249"/>
      <c r="AB246" s="249"/>
    </row>
    <row r="247" spans="1:28">
      <c r="A247" s="249"/>
      <c r="B247" s="249"/>
      <c r="C247" s="249"/>
      <c r="D247" s="249"/>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c r="AA247" s="249"/>
      <c r="AB247" s="249"/>
    </row>
    <row r="248" spans="1:28">
      <c r="A248" s="249"/>
      <c r="B248" s="249"/>
      <c r="C248" s="249"/>
      <c r="D248" s="249"/>
      <c r="E248" s="249"/>
      <c r="F248" s="249"/>
      <c r="G248" s="249"/>
      <c r="H248" s="249"/>
      <c r="I248" s="249"/>
      <c r="J248" s="249"/>
      <c r="K248" s="249"/>
      <c r="L248" s="249"/>
      <c r="M248" s="249"/>
      <c r="N248" s="249"/>
      <c r="O248" s="249"/>
      <c r="P248" s="249"/>
      <c r="Q248" s="249"/>
      <c r="R248" s="249"/>
      <c r="S248" s="249"/>
      <c r="T248" s="249"/>
      <c r="U248" s="249"/>
      <c r="V248" s="249"/>
      <c r="W248" s="249"/>
      <c r="X248" s="249"/>
      <c r="Y248" s="249"/>
      <c r="Z248" s="249"/>
      <c r="AA248" s="249"/>
      <c r="AB248" s="249"/>
    </row>
    <row r="249" spans="1:28">
      <c r="A249" s="249"/>
      <c r="B249" s="249"/>
      <c r="C249" s="249"/>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row>
    <row r="250" spans="1:28">
      <c r="A250" s="249"/>
      <c r="B250" s="249"/>
      <c r="C250" s="249"/>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c r="AA250" s="249"/>
      <c r="AB250" s="249"/>
    </row>
    <row r="251" spans="1:28">
      <c r="A251" s="249"/>
      <c r="B251" s="249"/>
      <c r="C251" s="249"/>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49"/>
      <c r="Z251" s="249"/>
      <c r="AA251" s="249"/>
      <c r="AB251" s="249"/>
    </row>
    <row r="252" spans="1:28">
      <c r="A252" s="249"/>
      <c r="B252" s="249"/>
      <c r="C252" s="249"/>
      <c r="D252" s="249"/>
      <c r="E252" s="249"/>
      <c r="F252" s="249"/>
      <c r="G252" s="249"/>
      <c r="H252" s="249"/>
      <c r="I252" s="249"/>
      <c r="J252" s="249"/>
      <c r="K252" s="249"/>
      <c r="L252" s="249"/>
      <c r="M252" s="249"/>
      <c r="N252" s="249"/>
      <c r="O252" s="249"/>
      <c r="P252" s="249"/>
      <c r="Q252" s="249"/>
      <c r="R252" s="249"/>
      <c r="S252" s="249"/>
      <c r="T252" s="249"/>
      <c r="U252" s="249"/>
      <c r="V252" s="249"/>
      <c r="W252" s="249"/>
      <c r="X252" s="249"/>
      <c r="Y252" s="249"/>
      <c r="Z252" s="249"/>
      <c r="AA252" s="249"/>
      <c r="AB252" s="249"/>
    </row>
    <row r="253" spans="1:28">
      <c r="A253" s="249"/>
      <c r="B253" s="249"/>
      <c r="C253" s="249"/>
      <c r="D253" s="249"/>
      <c r="E253" s="249"/>
      <c r="F253" s="249"/>
      <c r="G253" s="249"/>
      <c r="H253" s="249"/>
      <c r="I253" s="249"/>
      <c r="J253" s="249"/>
      <c r="K253" s="249"/>
      <c r="L253" s="249"/>
      <c r="M253" s="249"/>
      <c r="N253" s="249"/>
      <c r="O253" s="249"/>
      <c r="P253" s="249"/>
      <c r="Q253" s="249"/>
      <c r="R253" s="249"/>
      <c r="S253" s="249"/>
      <c r="T253" s="249"/>
      <c r="U253" s="249"/>
      <c r="V253" s="249"/>
      <c r="W253" s="249"/>
      <c r="X253" s="249"/>
      <c r="Y253" s="249"/>
      <c r="Z253" s="249"/>
      <c r="AA253" s="249"/>
      <c r="AB253" s="249"/>
    </row>
    <row r="254" spans="1:28">
      <c r="A254" s="249"/>
      <c r="B254" s="249"/>
      <c r="C254" s="249"/>
      <c r="D254" s="249"/>
      <c r="E254" s="249"/>
      <c r="F254" s="249"/>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row>
    <row r="255" spans="1:28">
      <c r="A255" s="249"/>
      <c r="B255" s="249"/>
      <c r="C255" s="249"/>
      <c r="D255" s="249"/>
      <c r="E255" s="249"/>
      <c r="F255" s="249"/>
      <c r="G255" s="249"/>
      <c r="H255" s="249"/>
      <c r="I255" s="249"/>
      <c r="J255" s="249"/>
      <c r="K255" s="249"/>
      <c r="L255" s="249"/>
      <c r="M255" s="249"/>
      <c r="N255" s="249"/>
      <c r="O255" s="249"/>
      <c r="P255" s="249"/>
      <c r="Q255" s="249"/>
      <c r="R255" s="249"/>
      <c r="S255" s="249"/>
      <c r="T255" s="249"/>
      <c r="U255" s="249"/>
      <c r="V255" s="249"/>
      <c r="W255" s="249"/>
      <c r="X255" s="249"/>
      <c r="Y255" s="249"/>
      <c r="Z255" s="249"/>
      <c r="AA255" s="249"/>
      <c r="AB255" s="249"/>
    </row>
    <row r="256" spans="1:28">
      <c r="A256" s="249"/>
      <c r="B256" s="249"/>
      <c r="C256" s="249"/>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c r="AA256" s="249"/>
      <c r="AB256" s="249"/>
    </row>
    <row r="257" spans="1:28">
      <c r="A257" s="249"/>
      <c r="B257" s="249"/>
      <c r="C257" s="249"/>
      <c r="D257" s="249"/>
      <c r="E257" s="249"/>
      <c r="F257" s="249"/>
      <c r="G257" s="249"/>
      <c r="H257" s="249"/>
      <c r="I257" s="249"/>
      <c r="J257" s="249"/>
      <c r="K257" s="249"/>
      <c r="L257" s="249"/>
      <c r="M257" s="249"/>
      <c r="N257" s="249"/>
      <c r="O257" s="249"/>
      <c r="P257" s="249"/>
      <c r="Q257" s="249"/>
      <c r="R257" s="249"/>
      <c r="S257" s="249"/>
      <c r="T257" s="249"/>
      <c r="U257" s="249"/>
      <c r="V257" s="249"/>
      <c r="W257" s="249"/>
      <c r="X257" s="249"/>
      <c r="Y257" s="249"/>
      <c r="Z257" s="249"/>
      <c r="AA257" s="249"/>
      <c r="AB257" s="249"/>
    </row>
    <row r="258" spans="1:28">
      <c r="A258" s="249"/>
      <c r="B258" s="249"/>
      <c r="C258" s="249"/>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49"/>
      <c r="AA258" s="249"/>
      <c r="AB258" s="249"/>
    </row>
    <row r="259" spans="1:28">
      <c r="A259" s="249"/>
      <c r="B259" s="249"/>
      <c r="C259" s="249"/>
      <c r="D259" s="249"/>
      <c r="E259" s="249"/>
      <c r="F259" s="249"/>
      <c r="G259" s="249"/>
      <c r="H259" s="249"/>
      <c r="I259" s="249"/>
      <c r="J259" s="249"/>
      <c r="K259" s="249"/>
      <c r="L259" s="249"/>
      <c r="M259" s="249"/>
      <c r="N259" s="249"/>
      <c r="O259" s="249"/>
      <c r="P259" s="249"/>
      <c r="Q259" s="249"/>
      <c r="R259" s="249"/>
      <c r="S259" s="249"/>
      <c r="T259" s="249"/>
      <c r="U259" s="249"/>
      <c r="V259" s="249"/>
      <c r="W259" s="249"/>
      <c r="X259" s="249"/>
      <c r="Y259" s="249"/>
      <c r="Z259" s="249"/>
      <c r="AA259" s="249"/>
      <c r="AB259" s="249"/>
    </row>
    <row r="260" spans="1:28">
      <c r="A260" s="249"/>
      <c r="B260" s="249"/>
      <c r="C260" s="249"/>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49"/>
      <c r="AB260" s="249"/>
    </row>
    <row r="261" spans="1:28">
      <c r="A261" s="249"/>
      <c r="B261" s="249"/>
      <c r="C261" s="249"/>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c r="AA261" s="249"/>
      <c r="AB261" s="249"/>
    </row>
    <row r="262" spans="1:28">
      <c r="A262" s="249"/>
      <c r="B262" s="249"/>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c r="AA262" s="249"/>
      <c r="AB262" s="249"/>
    </row>
    <row r="263" spans="1:28">
      <c r="A263" s="249"/>
      <c r="B263" s="249"/>
      <c r="C263" s="249"/>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c r="AA263" s="249"/>
      <c r="AB263" s="249"/>
    </row>
    <row r="264" spans="1:28">
      <c r="A264" s="249"/>
      <c r="B264" s="249"/>
      <c r="C264" s="249"/>
      <c r="D264" s="249"/>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49"/>
      <c r="AA264" s="249"/>
      <c r="AB264" s="249"/>
    </row>
    <row r="265" spans="1:28">
      <c r="A265" s="249"/>
      <c r="B265" s="249"/>
      <c r="C265" s="249"/>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49"/>
      <c r="AA265" s="249"/>
      <c r="AB265" s="249"/>
    </row>
    <row r="266" spans="1:28">
      <c r="A266" s="249"/>
      <c r="B266" s="249"/>
      <c r="C266" s="249"/>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49"/>
      <c r="AA266" s="249"/>
      <c r="AB266" s="249"/>
    </row>
    <row r="267" spans="1:28">
      <c r="A267" s="249"/>
      <c r="B267" s="249"/>
      <c r="C267" s="249"/>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c r="AA267" s="249"/>
      <c r="AB267" s="249"/>
    </row>
    <row r="268" spans="1:28">
      <c r="A268" s="249"/>
      <c r="B268" s="249"/>
      <c r="C268" s="249"/>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c r="AA268" s="249"/>
      <c r="AB268" s="249"/>
    </row>
    <row r="269" spans="1:28">
      <c r="A269" s="249"/>
      <c r="B269" s="249"/>
      <c r="C269" s="249"/>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49"/>
      <c r="AA269" s="249"/>
      <c r="AB269" s="249"/>
    </row>
    <row r="270" spans="1:28">
      <c r="A270" s="249"/>
      <c r="B270" s="249"/>
      <c r="C270" s="249"/>
      <c r="D270" s="249"/>
      <c r="E270" s="249"/>
      <c r="F270" s="249"/>
      <c r="G270" s="249"/>
      <c r="H270" s="249"/>
      <c r="I270" s="249"/>
      <c r="J270" s="249"/>
      <c r="K270" s="249"/>
      <c r="L270" s="249"/>
      <c r="M270" s="249"/>
      <c r="N270" s="249"/>
      <c r="O270" s="249"/>
      <c r="P270" s="249"/>
      <c r="Q270" s="249"/>
      <c r="R270" s="249"/>
      <c r="S270" s="249"/>
      <c r="T270" s="249"/>
      <c r="U270" s="249"/>
      <c r="V270" s="249"/>
      <c r="W270" s="249"/>
      <c r="X270" s="249"/>
      <c r="Y270" s="249"/>
      <c r="Z270" s="249"/>
      <c r="AA270" s="249"/>
      <c r="AB270" s="249"/>
    </row>
    <row r="271" spans="1:28">
      <c r="A271" s="249"/>
      <c r="B271" s="249"/>
      <c r="C271" s="249"/>
      <c r="D271" s="249"/>
      <c r="E271" s="249"/>
      <c r="F271" s="249"/>
      <c r="G271" s="249"/>
      <c r="H271" s="249"/>
      <c r="I271" s="249"/>
      <c r="J271" s="249"/>
      <c r="K271" s="249"/>
      <c r="L271" s="249"/>
      <c r="M271" s="249"/>
      <c r="N271" s="249"/>
      <c r="O271" s="249"/>
      <c r="P271" s="249"/>
      <c r="Q271" s="249"/>
      <c r="R271" s="249"/>
      <c r="S271" s="249"/>
      <c r="T271" s="249"/>
      <c r="U271" s="249"/>
      <c r="V271" s="249"/>
      <c r="W271" s="249"/>
      <c r="X271" s="249"/>
      <c r="Y271" s="249"/>
      <c r="Z271" s="249"/>
      <c r="AA271" s="249"/>
      <c r="AB271" s="249"/>
    </row>
    <row r="272" spans="1:28">
      <c r="A272" s="249"/>
      <c r="B272" s="249"/>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c r="AA272" s="249"/>
      <c r="AB272" s="249"/>
    </row>
    <row r="273" spans="1:28">
      <c r="A273" s="249"/>
      <c r="B273" s="249"/>
      <c r="C273" s="249"/>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c r="AA273" s="249"/>
      <c r="AB273" s="249"/>
    </row>
    <row r="274" spans="1:28">
      <c r="A274" s="249"/>
      <c r="B274" s="249"/>
      <c r="C274" s="249"/>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c r="AA274" s="249"/>
      <c r="AB274" s="249"/>
    </row>
    <row r="275" spans="1:28">
      <c r="A275" s="249"/>
      <c r="B275" s="249"/>
      <c r="C275" s="249"/>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c r="AA275" s="249"/>
      <c r="AB275" s="249"/>
    </row>
    <row r="276" spans="1:28">
      <c r="A276" s="249"/>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c r="AA276" s="249"/>
      <c r="AB276" s="249"/>
    </row>
    <row r="277" spans="1:28">
      <c r="A277" s="249"/>
      <c r="B277" s="249"/>
      <c r="C277" s="249"/>
      <c r="D277" s="249"/>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49"/>
      <c r="AA277" s="249"/>
      <c r="AB277" s="249"/>
    </row>
    <row r="278" spans="1:28">
      <c r="A278" s="249"/>
      <c r="B278" s="249"/>
      <c r="C278" s="249"/>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49"/>
      <c r="AA278" s="249"/>
      <c r="AB278" s="249"/>
    </row>
    <row r="279" spans="1:28">
      <c r="A279" s="249"/>
      <c r="B279" s="249"/>
      <c r="C279" s="249"/>
      <c r="D279" s="249"/>
      <c r="E279" s="249"/>
      <c r="F279" s="249"/>
      <c r="G279" s="249"/>
      <c r="H279" s="249"/>
      <c r="I279" s="249"/>
      <c r="J279" s="249"/>
      <c r="K279" s="249"/>
      <c r="L279" s="249"/>
      <c r="M279" s="249"/>
      <c r="N279" s="249"/>
      <c r="O279" s="249"/>
      <c r="P279" s="249"/>
      <c r="Q279" s="249"/>
      <c r="R279" s="249"/>
      <c r="S279" s="249"/>
      <c r="T279" s="249"/>
      <c r="U279" s="249"/>
      <c r="V279" s="249"/>
      <c r="W279" s="249"/>
      <c r="X279" s="249"/>
      <c r="Y279" s="249"/>
      <c r="Z279" s="249"/>
      <c r="AA279" s="249"/>
      <c r="AB279" s="249"/>
    </row>
    <row r="280" spans="1:28">
      <c r="A280" s="249"/>
      <c r="B280" s="249"/>
      <c r="C280" s="249"/>
      <c r="D280" s="249"/>
      <c r="E280" s="249"/>
      <c r="F280" s="249"/>
      <c r="G280" s="249"/>
      <c r="H280" s="249"/>
      <c r="I280" s="249"/>
      <c r="J280" s="249"/>
      <c r="K280" s="249"/>
      <c r="L280" s="249"/>
      <c r="M280" s="249"/>
      <c r="N280" s="249"/>
      <c r="O280" s="249"/>
      <c r="P280" s="249"/>
      <c r="Q280" s="249"/>
      <c r="R280" s="249"/>
      <c r="S280" s="249"/>
      <c r="T280" s="249"/>
      <c r="U280" s="249"/>
      <c r="V280" s="249"/>
      <c r="W280" s="249"/>
      <c r="X280" s="249"/>
      <c r="Y280" s="249"/>
      <c r="Z280" s="249"/>
      <c r="AA280" s="249"/>
      <c r="AB280" s="249"/>
    </row>
    <row r="281" spans="1:28">
      <c r="A281" s="249"/>
      <c r="B281" s="249"/>
      <c r="C281" s="249"/>
      <c r="D281" s="249"/>
      <c r="E281" s="249"/>
      <c r="F281" s="249"/>
      <c r="G281" s="249"/>
      <c r="H281" s="249"/>
      <c r="I281" s="249"/>
      <c r="J281" s="249"/>
      <c r="K281" s="249"/>
      <c r="L281" s="249"/>
      <c r="M281" s="249"/>
      <c r="N281" s="249"/>
      <c r="O281" s="249"/>
      <c r="P281" s="249"/>
      <c r="Q281" s="249"/>
      <c r="R281" s="249"/>
      <c r="S281" s="249"/>
      <c r="T281" s="249"/>
      <c r="U281" s="249"/>
      <c r="V281" s="249"/>
      <c r="W281" s="249"/>
      <c r="X281" s="249"/>
      <c r="Y281" s="249"/>
      <c r="Z281" s="249"/>
      <c r="AA281" s="249"/>
      <c r="AB281" s="249"/>
    </row>
    <row r="282" spans="1:28">
      <c r="A282" s="249"/>
      <c r="B282" s="249"/>
      <c r="C282" s="249"/>
      <c r="D282" s="249"/>
      <c r="E282" s="249"/>
      <c r="F282" s="249"/>
      <c r="G282" s="249"/>
      <c r="H282" s="249"/>
      <c r="I282" s="249"/>
      <c r="J282" s="249"/>
      <c r="K282" s="249"/>
      <c r="L282" s="249"/>
      <c r="M282" s="249"/>
      <c r="N282" s="249"/>
      <c r="O282" s="249"/>
      <c r="P282" s="249"/>
      <c r="Q282" s="249"/>
      <c r="R282" s="249"/>
      <c r="S282" s="249"/>
      <c r="T282" s="249"/>
      <c r="U282" s="249"/>
      <c r="V282" s="249"/>
      <c r="W282" s="249"/>
      <c r="X282" s="249"/>
      <c r="Y282" s="249"/>
      <c r="Z282" s="249"/>
      <c r="AA282" s="249"/>
      <c r="AB282" s="249"/>
    </row>
    <row r="283" spans="1:28">
      <c r="A283" s="249"/>
      <c r="B283" s="249"/>
      <c r="C283" s="249"/>
      <c r="D283" s="249"/>
      <c r="E283" s="249"/>
      <c r="F283" s="249"/>
      <c r="G283" s="249"/>
      <c r="H283" s="249"/>
      <c r="I283" s="249"/>
      <c r="J283" s="249"/>
      <c r="K283" s="249"/>
      <c r="L283" s="249"/>
      <c r="M283" s="249"/>
      <c r="N283" s="249"/>
      <c r="O283" s="249"/>
      <c r="P283" s="249"/>
      <c r="Q283" s="249"/>
      <c r="R283" s="249"/>
      <c r="S283" s="249"/>
      <c r="T283" s="249"/>
      <c r="U283" s="249"/>
      <c r="V283" s="249"/>
      <c r="W283" s="249"/>
      <c r="X283" s="249"/>
      <c r="Y283" s="249"/>
      <c r="Z283" s="249"/>
      <c r="AA283" s="249"/>
      <c r="AB283" s="249"/>
    </row>
    <row r="284" spans="1:28">
      <c r="A284" s="249"/>
      <c r="B284" s="249"/>
      <c r="C284" s="249"/>
      <c r="D284" s="249"/>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c r="AA284" s="249"/>
      <c r="AB284" s="249"/>
    </row>
    <row r="285" spans="1:28">
      <c r="A285" s="249"/>
      <c r="B285" s="249"/>
      <c r="C285" s="249"/>
      <c r="D285" s="249"/>
      <c r="E285" s="249"/>
      <c r="F285" s="249"/>
      <c r="G285" s="249"/>
      <c r="H285" s="249"/>
      <c r="I285" s="249"/>
      <c r="J285" s="249"/>
      <c r="K285" s="249"/>
      <c r="L285" s="249"/>
      <c r="M285" s="249"/>
      <c r="N285" s="249"/>
      <c r="O285" s="249"/>
      <c r="P285" s="249"/>
      <c r="Q285" s="249"/>
      <c r="R285" s="249"/>
      <c r="S285" s="249"/>
      <c r="T285" s="249"/>
      <c r="U285" s="249"/>
      <c r="V285" s="249"/>
      <c r="W285" s="249"/>
      <c r="X285" s="249"/>
      <c r="Y285" s="249"/>
      <c r="Z285" s="249"/>
      <c r="AA285" s="249"/>
      <c r="AB285" s="249"/>
    </row>
    <row r="286" spans="1:28">
      <c r="A286" s="249"/>
      <c r="B286" s="249"/>
      <c r="C286" s="249"/>
      <c r="D286" s="249"/>
      <c r="E286" s="249"/>
      <c r="F286" s="249"/>
      <c r="G286" s="249"/>
      <c r="H286" s="249"/>
      <c r="I286" s="249"/>
      <c r="J286" s="249"/>
      <c r="K286" s="249"/>
      <c r="L286" s="249"/>
      <c r="M286" s="249"/>
      <c r="N286" s="249"/>
      <c r="O286" s="249"/>
      <c r="P286" s="249"/>
      <c r="Q286" s="249"/>
      <c r="R286" s="249"/>
      <c r="S286" s="249"/>
      <c r="T286" s="249"/>
      <c r="U286" s="249"/>
      <c r="V286" s="249"/>
      <c r="W286" s="249"/>
      <c r="X286" s="249"/>
      <c r="Y286" s="249"/>
      <c r="Z286" s="249"/>
      <c r="AA286" s="249"/>
      <c r="AB286" s="249"/>
    </row>
    <row r="287" spans="1:28">
      <c r="A287" s="249"/>
      <c r="B287" s="249"/>
      <c r="C287" s="249"/>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c r="AA287" s="249"/>
      <c r="AB287" s="249"/>
    </row>
    <row r="288" spans="1:28">
      <c r="A288" s="249"/>
      <c r="B288" s="249"/>
      <c r="C288" s="249"/>
      <c r="D288" s="249"/>
      <c r="E288" s="249"/>
      <c r="F288" s="249"/>
      <c r="G288" s="249"/>
      <c r="H288" s="249"/>
      <c r="I288" s="249"/>
      <c r="J288" s="249"/>
      <c r="K288" s="249"/>
      <c r="L288" s="249"/>
      <c r="M288" s="249"/>
      <c r="N288" s="249"/>
      <c r="O288" s="249"/>
      <c r="P288" s="249"/>
      <c r="Q288" s="249"/>
      <c r="R288" s="249"/>
      <c r="S288" s="249"/>
      <c r="T288" s="249"/>
      <c r="U288" s="249"/>
      <c r="V288" s="249"/>
      <c r="W288" s="249"/>
      <c r="X288" s="249"/>
      <c r="Y288" s="249"/>
      <c r="Z288" s="249"/>
      <c r="AA288" s="249"/>
      <c r="AB288" s="249"/>
    </row>
    <row r="289" spans="1:28">
      <c r="A289" s="249"/>
      <c r="B289" s="249"/>
      <c r="C289" s="249"/>
      <c r="D289" s="249"/>
      <c r="E289" s="249"/>
      <c r="F289" s="249"/>
      <c r="G289" s="249"/>
      <c r="H289" s="249"/>
      <c r="I289" s="249"/>
      <c r="J289" s="249"/>
      <c r="K289" s="249"/>
      <c r="L289" s="249"/>
      <c r="M289" s="249"/>
      <c r="N289" s="249"/>
      <c r="O289" s="249"/>
      <c r="P289" s="249"/>
      <c r="Q289" s="249"/>
      <c r="R289" s="249"/>
      <c r="S289" s="249"/>
      <c r="T289" s="249"/>
      <c r="U289" s="249"/>
      <c r="V289" s="249"/>
      <c r="W289" s="249"/>
      <c r="X289" s="249"/>
      <c r="Y289" s="249"/>
      <c r="Z289" s="249"/>
      <c r="AA289" s="249"/>
      <c r="AB289" s="249"/>
    </row>
    <row r="290" spans="1:28">
      <c r="A290" s="249"/>
      <c r="B290" s="249"/>
      <c r="C290" s="249"/>
      <c r="D290" s="249"/>
      <c r="E290" s="249"/>
      <c r="F290" s="249"/>
      <c r="G290" s="249"/>
      <c r="H290" s="249"/>
      <c r="I290" s="249"/>
      <c r="J290" s="249"/>
      <c r="K290" s="249"/>
      <c r="L290" s="249"/>
      <c r="M290" s="249"/>
      <c r="N290" s="249"/>
      <c r="O290" s="249"/>
      <c r="P290" s="249"/>
      <c r="Q290" s="249"/>
      <c r="R290" s="249"/>
      <c r="S290" s="249"/>
      <c r="T290" s="249"/>
      <c r="U290" s="249"/>
      <c r="V290" s="249"/>
      <c r="W290" s="249"/>
      <c r="X290" s="249"/>
      <c r="Y290" s="249"/>
      <c r="Z290" s="249"/>
      <c r="AA290" s="249"/>
      <c r="AB290" s="249"/>
    </row>
    <row r="291" spans="1:28">
      <c r="A291" s="249"/>
      <c r="B291" s="249"/>
      <c r="C291" s="249"/>
      <c r="D291" s="249"/>
      <c r="E291" s="249"/>
      <c r="F291" s="249"/>
      <c r="G291" s="249"/>
      <c r="H291" s="249"/>
      <c r="I291" s="249"/>
      <c r="J291" s="249"/>
      <c r="K291" s="249"/>
      <c r="L291" s="249"/>
      <c r="M291" s="249"/>
      <c r="N291" s="249"/>
      <c r="O291" s="249"/>
      <c r="P291" s="249"/>
      <c r="Q291" s="249"/>
      <c r="R291" s="249"/>
      <c r="S291" s="249"/>
      <c r="T291" s="249"/>
      <c r="U291" s="249"/>
      <c r="V291" s="249"/>
      <c r="W291" s="249"/>
      <c r="X291" s="249"/>
      <c r="Y291" s="249"/>
      <c r="Z291" s="249"/>
      <c r="AA291" s="249"/>
      <c r="AB291" s="249"/>
    </row>
    <row r="292" spans="1:28">
      <c r="A292" s="249"/>
      <c r="B292" s="249"/>
      <c r="C292" s="249"/>
      <c r="D292" s="249"/>
      <c r="E292" s="249"/>
      <c r="F292" s="249"/>
      <c r="G292" s="249"/>
      <c r="H292" s="249"/>
      <c r="I292" s="249"/>
      <c r="J292" s="249"/>
      <c r="K292" s="249"/>
      <c r="L292" s="249"/>
      <c r="M292" s="249"/>
      <c r="N292" s="249"/>
      <c r="O292" s="249"/>
      <c r="P292" s="249"/>
      <c r="Q292" s="249"/>
      <c r="R292" s="249"/>
      <c r="S292" s="249"/>
      <c r="T292" s="249"/>
      <c r="U292" s="249"/>
      <c r="V292" s="249"/>
      <c r="W292" s="249"/>
      <c r="X292" s="249"/>
      <c r="Y292" s="249"/>
      <c r="Z292" s="249"/>
      <c r="AA292" s="249"/>
      <c r="AB292" s="249"/>
    </row>
    <row r="293" spans="1:28">
      <c r="A293" s="249"/>
      <c r="B293" s="249"/>
      <c r="C293" s="249"/>
      <c r="D293" s="249"/>
      <c r="E293" s="249"/>
      <c r="F293" s="249"/>
      <c r="G293" s="249"/>
      <c r="H293" s="249"/>
      <c r="I293" s="249"/>
      <c r="J293" s="249"/>
      <c r="K293" s="249"/>
      <c r="L293" s="249"/>
      <c r="M293" s="249"/>
      <c r="N293" s="249"/>
      <c r="O293" s="249"/>
      <c r="P293" s="249"/>
      <c r="Q293" s="249"/>
      <c r="R293" s="249"/>
      <c r="S293" s="249"/>
      <c r="T293" s="249"/>
      <c r="U293" s="249"/>
      <c r="V293" s="249"/>
      <c r="W293" s="249"/>
      <c r="X293" s="249"/>
      <c r="Y293" s="249"/>
      <c r="Z293" s="249"/>
      <c r="AA293" s="249"/>
      <c r="AB293" s="249"/>
    </row>
    <row r="294" spans="1:28">
      <c r="A294" s="249"/>
      <c r="B294" s="249"/>
      <c r="C294" s="249"/>
      <c r="D294" s="249"/>
      <c r="E294" s="249"/>
      <c r="F294" s="249"/>
      <c r="G294" s="249"/>
      <c r="H294" s="249"/>
      <c r="I294" s="249"/>
      <c r="J294" s="249"/>
      <c r="K294" s="249"/>
      <c r="L294" s="249"/>
      <c r="M294" s="249"/>
      <c r="N294" s="249"/>
      <c r="O294" s="249"/>
      <c r="P294" s="249"/>
      <c r="Q294" s="249"/>
      <c r="R294" s="249"/>
      <c r="S294" s="249"/>
      <c r="T294" s="249"/>
      <c r="U294" s="249"/>
      <c r="V294" s="249"/>
      <c r="W294" s="249"/>
      <c r="X294" s="249"/>
      <c r="Y294" s="249"/>
      <c r="Z294" s="249"/>
      <c r="AA294" s="249"/>
      <c r="AB294" s="249"/>
    </row>
    <row r="295" spans="1:28">
      <c r="A295" s="249"/>
      <c r="B295" s="249"/>
      <c r="C295" s="249"/>
      <c r="D295" s="249"/>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row>
    <row r="296" spans="1:28">
      <c r="A296" s="249"/>
      <c r="B296" s="249"/>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249"/>
    </row>
    <row r="297" spans="1:28">
      <c r="A297" s="249"/>
      <c r="B297" s="249"/>
      <c r="C297" s="249"/>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c r="AA297" s="249"/>
      <c r="AB297" s="249"/>
    </row>
    <row r="298" spans="1:28">
      <c r="A298" s="249"/>
      <c r="B298" s="249"/>
      <c r="C298" s="249"/>
      <c r="D298" s="249"/>
      <c r="E298" s="249"/>
      <c r="F298" s="249"/>
      <c r="G298" s="249"/>
      <c r="H298" s="249"/>
      <c r="I298" s="249"/>
      <c r="J298" s="249"/>
      <c r="K298" s="249"/>
      <c r="L298" s="249"/>
      <c r="M298" s="249"/>
      <c r="N298" s="249"/>
      <c r="O298" s="249"/>
      <c r="P298" s="249"/>
      <c r="Q298" s="249"/>
      <c r="R298" s="249"/>
      <c r="S298" s="249"/>
      <c r="T298" s="249"/>
      <c r="U298" s="249"/>
      <c r="V298" s="249"/>
      <c r="W298" s="249"/>
      <c r="X298" s="249"/>
      <c r="Y298" s="249"/>
      <c r="Z298" s="249"/>
      <c r="AA298" s="249"/>
      <c r="AB298" s="249"/>
    </row>
    <row r="299" spans="1:28">
      <c r="A299" s="249"/>
      <c r="B299" s="249"/>
      <c r="C299" s="249"/>
      <c r="D299" s="249"/>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c r="AA299" s="249"/>
      <c r="AB299" s="249"/>
    </row>
    <row r="300" spans="1:28">
      <c r="A300" s="249"/>
      <c r="B300" s="249"/>
      <c r="C300" s="249"/>
      <c r="D300" s="249"/>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49"/>
      <c r="AA300" s="249"/>
      <c r="AB300" s="249"/>
    </row>
    <row r="301" spans="1:28">
      <c r="A301" s="249"/>
      <c r="B301" s="249"/>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row>
    <row r="302" spans="1:28">
      <c r="A302" s="249"/>
      <c r="B302" s="249"/>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row>
    <row r="303" spans="1:28">
      <c r="A303" s="249"/>
      <c r="B303" s="249"/>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row>
    <row r="304" spans="1:28">
      <c r="A304" s="249"/>
      <c r="B304" s="249"/>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row>
    <row r="305" spans="1:28">
      <c r="A305" s="249"/>
      <c r="B305" s="249"/>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row>
    <row r="306" spans="1:28">
      <c r="A306" s="249"/>
      <c r="B306" s="249"/>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row>
    <row r="307" spans="1:28">
      <c r="A307" s="249"/>
      <c r="B307" s="249"/>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row>
    <row r="308" spans="1:28">
      <c r="A308" s="249"/>
      <c r="B308" s="249"/>
      <c r="C308" s="249"/>
      <c r="D308" s="249"/>
      <c r="E308" s="249"/>
      <c r="F308" s="249"/>
      <c r="G308" s="249"/>
      <c r="H308" s="249"/>
      <c r="I308" s="249"/>
      <c r="J308" s="249"/>
      <c r="K308" s="249"/>
      <c r="L308" s="249"/>
      <c r="M308" s="249"/>
      <c r="N308" s="249"/>
      <c r="O308" s="249"/>
      <c r="P308" s="249"/>
      <c r="Q308" s="249"/>
      <c r="R308" s="249"/>
      <c r="S308" s="249"/>
      <c r="T308" s="249"/>
      <c r="U308" s="249"/>
      <c r="V308" s="249"/>
      <c r="W308" s="249"/>
      <c r="X308" s="249"/>
      <c r="Y308" s="249"/>
      <c r="Z308" s="249"/>
      <c r="AA308" s="249"/>
      <c r="AB308" s="249"/>
    </row>
    <row r="309" spans="1:28">
      <c r="A309" s="249"/>
      <c r="B309" s="249"/>
      <c r="C309" s="249"/>
      <c r="D309" s="249"/>
      <c r="E309" s="249"/>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row>
    <row r="310" spans="1:28">
      <c r="A310" s="249"/>
      <c r="B310" s="249"/>
      <c r="C310" s="249"/>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49"/>
      <c r="AA310" s="249"/>
      <c r="AB310" s="249"/>
    </row>
    <row r="311" spans="1:28">
      <c r="A311" s="249"/>
      <c r="B311" s="249"/>
      <c r="C311" s="249"/>
      <c r="D311" s="249"/>
      <c r="E311" s="249"/>
      <c r="F311" s="249"/>
      <c r="G311" s="249"/>
      <c r="H311" s="249"/>
      <c r="I311" s="249"/>
      <c r="J311" s="249"/>
      <c r="K311" s="249"/>
      <c r="L311" s="249"/>
      <c r="M311" s="249"/>
      <c r="N311" s="249"/>
      <c r="O311" s="249"/>
      <c r="P311" s="249"/>
      <c r="Q311" s="249"/>
      <c r="R311" s="249"/>
      <c r="S311" s="249"/>
      <c r="T311" s="249"/>
      <c r="U311" s="249"/>
      <c r="V311" s="249"/>
      <c r="W311" s="249"/>
      <c r="X311" s="249"/>
      <c r="Y311" s="249"/>
      <c r="Z311" s="249"/>
      <c r="AA311" s="249"/>
      <c r="AB311" s="249"/>
    </row>
    <row r="312" spans="1:28">
      <c r="A312" s="249"/>
      <c r="B312" s="249"/>
      <c r="C312" s="249"/>
      <c r="D312" s="249"/>
      <c r="E312" s="249"/>
      <c r="F312" s="249"/>
      <c r="G312" s="249"/>
      <c r="H312" s="249"/>
      <c r="I312" s="249"/>
      <c r="J312" s="249"/>
      <c r="K312" s="249"/>
      <c r="L312" s="249"/>
      <c r="M312" s="249"/>
      <c r="N312" s="249"/>
      <c r="O312" s="249"/>
      <c r="P312" s="249"/>
      <c r="Q312" s="249"/>
      <c r="R312" s="249"/>
      <c r="S312" s="249"/>
      <c r="T312" s="249"/>
      <c r="U312" s="249"/>
      <c r="V312" s="249"/>
      <c r="W312" s="249"/>
      <c r="X312" s="249"/>
      <c r="Y312" s="249"/>
      <c r="Z312" s="249"/>
      <c r="AA312" s="249"/>
      <c r="AB312" s="249"/>
    </row>
    <row r="313" spans="1:28">
      <c r="A313" s="249"/>
      <c r="B313" s="249"/>
      <c r="C313" s="249"/>
      <c r="D313" s="249"/>
      <c r="E313" s="249"/>
      <c r="F313" s="249"/>
      <c r="G313" s="249"/>
      <c r="H313" s="249"/>
      <c r="I313" s="249"/>
      <c r="J313" s="249"/>
      <c r="K313" s="249"/>
      <c r="L313" s="249"/>
      <c r="M313" s="249"/>
      <c r="N313" s="249"/>
      <c r="O313" s="249"/>
      <c r="P313" s="249"/>
      <c r="Q313" s="249"/>
      <c r="R313" s="249"/>
      <c r="S313" s="249"/>
      <c r="T313" s="249"/>
      <c r="U313" s="249"/>
      <c r="V313" s="249"/>
      <c r="W313" s="249"/>
      <c r="X313" s="249"/>
      <c r="Y313" s="249"/>
      <c r="Z313" s="249"/>
      <c r="AA313" s="249"/>
      <c r="AB313" s="249"/>
    </row>
    <row r="314" spans="1:28">
      <c r="A314" s="249"/>
      <c r="B314" s="249"/>
      <c r="C314" s="249"/>
      <c r="D314" s="249"/>
      <c r="E314" s="249"/>
      <c r="F314" s="249"/>
      <c r="G314" s="249"/>
      <c r="H314" s="249"/>
      <c r="I314" s="249"/>
      <c r="J314" s="249"/>
      <c r="K314" s="249"/>
      <c r="L314" s="249"/>
      <c r="M314" s="249"/>
      <c r="N314" s="249"/>
      <c r="O314" s="249"/>
      <c r="P314" s="249"/>
      <c r="Q314" s="249"/>
      <c r="R314" s="249"/>
      <c r="S314" s="249"/>
      <c r="T314" s="249"/>
      <c r="U314" s="249"/>
      <c r="V314" s="249"/>
      <c r="W314" s="249"/>
      <c r="X314" s="249"/>
      <c r="Y314" s="249"/>
      <c r="Z314" s="249"/>
      <c r="AA314" s="249"/>
      <c r="AB314" s="249"/>
    </row>
    <row r="315" spans="1:28">
      <c r="A315" s="249"/>
      <c r="B315" s="249"/>
      <c r="C315" s="249"/>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c r="AA315" s="249"/>
      <c r="AB315" s="249"/>
    </row>
    <row r="316" spans="1:28">
      <c r="A316" s="249"/>
      <c r="B316" s="249"/>
      <c r="C316" s="249"/>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49"/>
      <c r="AA316" s="249"/>
      <c r="AB316" s="249"/>
    </row>
    <row r="317" spans="1:28">
      <c r="A317" s="249"/>
      <c r="B317" s="249"/>
      <c r="C317" s="249"/>
      <c r="D317" s="249"/>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49"/>
      <c r="AA317" s="249"/>
      <c r="AB317" s="249"/>
    </row>
    <row r="318" spans="1:28">
      <c r="A318" s="249"/>
      <c r="B318" s="249"/>
      <c r="C318" s="249"/>
      <c r="D318" s="249"/>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49"/>
      <c r="AA318" s="249"/>
      <c r="AB318" s="249"/>
    </row>
    <row r="319" spans="1:28">
      <c r="A319" s="249"/>
      <c r="B319" s="249"/>
      <c r="C319" s="249"/>
      <c r="D319" s="249"/>
      <c r="E319" s="249"/>
      <c r="F319" s="249"/>
      <c r="G319" s="249"/>
      <c r="H319" s="249"/>
      <c r="I319" s="249"/>
      <c r="J319" s="249"/>
      <c r="K319" s="249"/>
      <c r="L319" s="249"/>
      <c r="M319" s="249"/>
      <c r="N319" s="249"/>
      <c r="O319" s="249"/>
      <c r="P319" s="249"/>
      <c r="Q319" s="249"/>
      <c r="R319" s="249"/>
      <c r="S319" s="249"/>
      <c r="T319" s="249"/>
      <c r="U319" s="249"/>
      <c r="V319" s="249"/>
      <c r="W319" s="249"/>
      <c r="X319" s="249"/>
      <c r="Y319" s="249"/>
      <c r="Z319" s="249"/>
      <c r="AA319" s="249"/>
      <c r="AB319" s="249"/>
    </row>
    <row r="320" spans="1:28">
      <c r="A320" s="249"/>
      <c r="B320" s="249"/>
      <c r="C320" s="249"/>
      <c r="D320" s="249"/>
      <c r="E320" s="249"/>
      <c r="F320" s="249"/>
      <c r="G320" s="249"/>
      <c r="H320" s="249"/>
      <c r="I320" s="249"/>
      <c r="J320" s="249"/>
      <c r="K320" s="249"/>
      <c r="L320" s="249"/>
      <c r="M320" s="249"/>
      <c r="N320" s="249"/>
      <c r="O320" s="249"/>
      <c r="P320" s="249"/>
      <c r="Q320" s="249"/>
      <c r="R320" s="249"/>
      <c r="S320" s="249"/>
      <c r="T320" s="249"/>
      <c r="U320" s="249"/>
      <c r="V320" s="249"/>
      <c r="W320" s="249"/>
      <c r="X320" s="249"/>
      <c r="Y320" s="249"/>
      <c r="Z320" s="249"/>
      <c r="AA320" s="249"/>
      <c r="AB320" s="249"/>
    </row>
    <row r="321" spans="1:28">
      <c r="A321" s="249"/>
      <c r="B321" s="249"/>
      <c r="C321" s="249"/>
      <c r="D321" s="249"/>
      <c r="E321" s="249"/>
      <c r="F321" s="249"/>
      <c r="G321" s="249"/>
      <c r="H321" s="249"/>
      <c r="I321" s="249"/>
      <c r="J321" s="249"/>
      <c r="K321" s="249"/>
      <c r="L321" s="249"/>
      <c r="M321" s="249"/>
      <c r="N321" s="249"/>
      <c r="O321" s="249"/>
      <c r="P321" s="249"/>
      <c r="Q321" s="249"/>
      <c r="R321" s="249"/>
      <c r="S321" s="249"/>
      <c r="T321" s="249"/>
      <c r="U321" s="249"/>
      <c r="V321" s="249"/>
      <c r="W321" s="249"/>
      <c r="X321" s="249"/>
      <c r="Y321" s="249"/>
      <c r="Z321" s="249"/>
      <c r="AA321" s="249"/>
      <c r="AB321" s="249"/>
    </row>
    <row r="322" spans="1:28">
      <c r="A322" s="249"/>
      <c r="B322" s="249"/>
      <c r="C322" s="249"/>
      <c r="D322" s="249"/>
      <c r="E322" s="249"/>
      <c r="F322" s="249"/>
      <c r="G322" s="249"/>
      <c r="H322" s="249"/>
      <c r="I322" s="249"/>
      <c r="J322" s="249"/>
      <c r="K322" s="249"/>
      <c r="L322" s="249"/>
      <c r="M322" s="249"/>
      <c r="N322" s="249"/>
      <c r="O322" s="249"/>
      <c r="P322" s="249"/>
      <c r="Q322" s="249"/>
      <c r="R322" s="249"/>
      <c r="S322" s="249"/>
      <c r="T322" s="249"/>
      <c r="U322" s="249"/>
      <c r="V322" s="249"/>
      <c r="W322" s="249"/>
      <c r="X322" s="249"/>
      <c r="Y322" s="249"/>
      <c r="Z322" s="249"/>
      <c r="AA322" s="249"/>
      <c r="AB322" s="249"/>
    </row>
    <row r="323" spans="1:28">
      <c r="A323" s="249"/>
      <c r="B323" s="249"/>
      <c r="C323" s="249"/>
      <c r="D323" s="249"/>
      <c r="E323" s="249"/>
      <c r="F323" s="249"/>
      <c r="G323" s="249"/>
      <c r="H323" s="249"/>
      <c r="I323" s="249"/>
      <c r="J323" s="249"/>
      <c r="K323" s="249"/>
      <c r="L323" s="249"/>
      <c r="M323" s="249"/>
      <c r="N323" s="249"/>
      <c r="O323" s="249"/>
      <c r="P323" s="249"/>
      <c r="Q323" s="249"/>
      <c r="R323" s="249"/>
      <c r="S323" s="249"/>
      <c r="T323" s="249"/>
      <c r="U323" s="249"/>
      <c r="V323" s="249"/>
      <c r="W323" s="249"/>
      <c r="X323" s="249"/>
      <c r="Y323" s="249"/>
      <c r="Z323" s="249"/>
      <c r="AA323" s="249"/>
      <c r="AB323" s="249"/>
    </row>
    <row r="324" spans="1:28">
      <c r="A324" s="249"/>
      <c r="B324" s="249"/>
      <c r="C324" s="249"/>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49"/>
      <c r="Z324" s="249"/>
      <c r="AA324" s="249"/>
      <c r="AB324" s="249"/>
    </row>
    <row r="325" spans="1:28">
      <c r="A325" s="249"/>
      <c r="B325" s="249"/>
      <c r="C325" s="249"/>
      <c r="D325" s="249"/>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c r="AA325" s="249"/>
      <c r="AB325" s="249"/>
    </row>
    <row r="326" spans="1:28">
      <c r="A326" s="249"/>
      <c r="B326" s="249"/>
      <c r="C326" s="249"/>
      <c r="D326" s="249"/>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49"/>
      <c r="AA326" s="249"/>
      <c r="AB326" s="249"/>
    </row>
    <row r="327" spans="1:28">
      <c r="A327" s="249"/>
      <c r="B327" s="249"/>
      <c r="C327" s="249"/>
      <c r="D327" s="249"/>
      <c r="E327" s="249"/>
      <c r="F327" s="249"/>
      <c r="G327" s="249"/>
      <c r="H327" s="249"/>
      <c r="I327" s="249"/>
      <c r="J327" s="249"/>
      <c r="K327" s="249"/>
      <c r="L327" s="249"/>
      <c r="M327" s="249"/>
      <c r="N327" s="249"/>
      <c r="O327" s="249"/>
      <c r="P327" s="249"/>
      <c r="Q327" s="249"/>
      <c r="R327" s="249"/>
      <c r="S327" s="249"/>
      <c r="T327" s="249"/>
      <c r="U327" s="249"/>
      <c r="V327" s="249"/>
      <c r="W327" s="249"/>
      <c r="X327" s="249"/>
      <c r="Y327" s="249"/>
      <c r="Z327" s="249"/>
      <c r="AA327" s="249"/>
      <c r="AB327" s="249"/>
    </row>
    <row r="328" spans="1:28">
      <c r="A328" s="249"/>
      <c r="B328" s="249"/>
      <c r="C328" s="249"/>
      <c r="D328" s="249"/>
      <c r="E328" s="249"/>
      <c r="F328" s="249"/>
      <c r="G328" s="249"/>
      <c r="H328" s="249"/>
      <c r="I328" s="249"/>
      <c r="J328" s="249"/>
      <c r="K328" s="249"/>
      <c r="L328" s="249"/>
      <c r="M328" s="249"/>
      <c r="N328" s="249"/>
      <c r="O328" s="249"/>
      <c r="P328" s="249"/>
      <c r="Q328" s="249"/>
      <c r="R328" s="249"/>
      <c r="S328" s="249"/>
      <c r="T328" s="249"/>
      <c r="U328" s="249"/>
      <c r="V328" s="249"/>
      <c r="W328" s="249"/>
      <c r="X328" s="249"/>
      <c r="Y328" s="249"/>
      <c r="Z328" s="249"/>
      <c r="AA328" s="249"/>
      <c r="AB328" s="249"/>
    </row>
    <row r="329" spans="1:28">
      <c r="A329" s="249"/>
      <c r="B329" s="249"/>
      <c r="C329" s="249"/>
      <c r="D329" s="249"/>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49"/>
      <c r="AA329" s="249"/>
      <c r="AB329" s="249"/>
    </row>
    <row r="330" spans="1:28">
      <c r="A330" s="249"/>
      <c r="B330" s="249"/>
      <c r="C330" s="249"/>
      <c r="D330" s="249"/>
      <c r="E330" s="249"/>
      <c r="F330" s="249"/>
      <c r="G330" s="249"/>
      <c r="H330" s="249"/>
      <c r="I330" s="249"/>
      <c r="J330" s="249"/>
      <c r="K330" s="249"/>
      <c r="L330" s="249"/>
      <c r="M330" s="249"/>
      <c r="N330" s="249"/>
      <c r="O330" s="249"/>
      <c r="P330" s="249"/>
      <c r="Q330" s="249"/>
      <c r="R330" s="249"/>
      <c r="S330" s="249"/>
      <c r="T330" s="249"/>
      <c r="U330" s="249"/>
      <c r="V330" s="249"/>
      <c r="W330" s="249"/>
      <c r="X330" s="249"/>
      <c r="Y330" s="249"/>
      <c r="Z330" s="249"/>
      <c r="AA330" s="249"/>
      <c r="AB330" s="249"/>
    </row>
    <row r="331" spans="1:28">
      <c r="A331" s="249"/>
      <c r="B331" s="249"/>
      <c r="C331" s="249"/>
      <c r="D331" s="249"/>
      <c r="E331" s="249"/>
      <c r="F331" s="249"/>
      <c r="G331" s="249"/>
      <c r="H331" s="249"/>
      <c r="I331" s="249"/>
      <c r="J331" s="249"/>
      <c r="K331" s="249"/>
      <c r="L331" s="249"/>
      <c r="M331" s="249"/>
      <c r="N331" s="249"/>
      <c r="O331" s="249"/>
      <c r="P331" s="249"/>
      <c r="Q331" s="249"/>
      <c r="R331" s="249"/>
      <c r="S331" s="249"/>
      <c r="T331" s="249"/>
      <c r="U331" s="249"/>
      <c r="V331" s="249"/>
      <c r="W331" s="249"/>
      <c r="X331" s="249"/>
      <c r="Y331" s="249"/>
      <c r="Z331" s="249"/>
      <c r="AA331" s="249"/>
      <c r="AB331" s="249"/>
    </row>
    <row r="332" spans="1:28">
      <c r="A332" s="249"/>
      <c r="B332" s="249"/>
      <c r="C332" s="249"/>
      <c r="D332" s="249"/>
      <c r="E332" s="249"/>
      <c r="F332" s="249"/>
      <c r="G332" s="249"/>
      <c r="H332" s="249"/>
      <c r="I332" s="249"/>
      <c r="J332" s="249"/>
      <c r="K332" s="249"/>
      <c r="L332" s="249"/>
      <c r="M332" s="249"/>
      <c r="N332" s="249"/>
      <c r="O332" s="249"/>
      <c r="P332" s="249"/>
      <c r="Q332" s="249"/>
      <c r="R332" s="249"/>
      <c r="S332" s="249"/>
      <c r="T332" s="249"/>
      <c r="U332" s="249"/>
      <c r="V332" s="249"/>
      <c r="W332" s="249"/>
      <c r="X332" s="249"/>
      <c r="Y332" s="249"/>
      <c r="Z332" s="249"/>
      <c r="AA332" s="249"/>
      <c r="AB332" s="249"/>
    </row>
    <row r="333" spans="1:28">
      <c r="A333" s="249"/>
      <c r="B333" s="249"/>
      <c r="C333" s="249"/>
      <c r="D333" s="249"/>
      <c r="E333" s="249"/>
      <c r="F333" s="249"/>
      <c r="G333" s="249"/>
      <c r="H333" s="249"/>
      <c r="I333" s="249"/>
      <c r="J333" s="249"/>
      <c r="K333" s="249"/>
      <c r="L333" s="249"/>
      <c r="M333" s="249"/>
      <c r="N333" s="249"/>
      <c r="O333" s="249"/>
      <c r="P333" s="249"/>
      <c r="Q333" s="249"/>
      <c r="R333" s="249"/>
      <c r="S333" s="249"/>
      <c r="T333" s="249"/>
      <c r="U333" s="249"/>
      <c r="V333" s="249"/>
      <c r="W333" s="249"/>
      <c r="X333" s="249"/>
      <c r="Y333" s="249"/>
      <c r="Z333" s="249"/>
      <c r="AA333" s="249"/>
      <c r="AB333" s="249"/>
    </row>
    <row r="334" spans="1:28">
      <c r="A334" s="249"/>
      <c r="B334" s="249"/>
      <c r="C334" s="249"/>
      <c r="D334" s="249"/>
      <c r="E334" s="249"/>
      <c r="F334" s="249"/>
      <c r="G334" s="249"/>
      <c r="H334" s="249"/>
      <c r="I334" s="249"/>
      <c r="J334" s="249"/>
      <c r="K334" s="249"/>
      <c r="L334" s="249"/>
      <c r="M334" s="249"/>
      <c r="N334" s="249"/>
      <c r="O334" s="249"/>
      <c r="P334" s="249"/>
      <c r="Q334" s="249"/>
      <c r="R334" s="249"/>
      <c r="S334" s="249"/>
      <c r="T334" s="249"/>
      <c r="U334" s="249"/>
      <c r="V334" s="249"/>
      <c r="W334" s="249"/>
      <c r="X334" s="249"/>
      <c r="Y334" s="249"/>
      <c r="Z334" s="249"/>
      <c r="AA334" s="249"/>
      <c r="AB334" s="249"/>
    </row>
    <row r="335" spans="1:28">
      <c r="A335" s="249"/>
      <c r="B335" s="249"/>
      <c r="C335" s="249"/>
      <c r="D335" s="249"/>
      <c r="E335" s="249"/>
      <c r="F335" s="249"/>
      <c r="G335" s="249"/>
      <c r="H335" s="249"/>
      <c r="I335" s="249"/>
      <c r="J335" s="249"/>
      <c r="K335" s="249"/>
      <c r="L335" s="249"/>
      <c r="M335" s="249"/>
      <c r="N335" s="249"/>
      <c r="O335" s="249"/>
      <c r="P335" s="249"/>
      <c r="Q335" s="249"/>
      <c r="R335" s="249"/>
      <c r="S335" s="249"/>
      <c r="T335" s="249"/>
      <c r="U335" s="249"/>
      <c r="V335" s="249"/>
      <c r="W335" s="249"/>
      <c r="X335" s="249"/>
      <c r="Y335" s="249"/>
      <c r="Z335" s="249"/>
      <c r="AA335" s="249"/>
      <c r="AB335" s="249"/>
    </row>
    <row r="336" spans="1:28">
      <c r="A336" s="249"/>
      <c r="B336" s="249"/>
      <c r="C336" s="249"/>
      <c r="D336" s="249"/>
      <c r="E336" s="249"/>
      <c r="F336" s="249"/>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row>
    <row r="337" spans="1:28">
      <c r="A337" s="249"/>
      <c r="B337" s="249"/>
      <c r="C337" s="249"/>
      <c r="D337" s="249"/>
      <c r="E337" s="249"/>
      <c r="F337" s="249"/>
      <c r="G337" s="249"/>
      <c r="H337" s="249"/>
      <c r="I337" s="249"/>
      <c r="J337" s="249"/>
      <c r="K337" s="249"/>
      <c r="L337" s="249"/>
      <c r="M337" s="249"/>
      <c r="N337" s="249"/>
      <c r="O337" s="249"/>
      <c r="P337" s="249"/>
      <c r="Q337" s="249"/>
      <c r="R337" s="249"/>
      <c r="S337" s="249"/>
      <c r="T337" s="249"/>
      <c r="U337" s="249"/>
      <c r="V337" s="249"/>
      <c r="W337" s="249"/>
      <c r="X337" s="249"/>
      <c r="Y337" s="249"/>
      <c r="Z337" s="249"/>
      <c r="AA337" s="249"/>
      <c r="AB337" s="249"/>
    </row>
    <row r="338" spans="1:28">
      <c r="A338" s="249"/>
      <c r="B338" s="249"/>
      <c r="C338" s="249"/>
      <c r="D338" s="249"/>
      <c r="E338" s="249"/>
      <c r="F338" s="249"/>
      <c r="G338" s="249"/>
      <c r="H338" s="249"/>
      <c r="I338" s="249"/>
      <c r="J338" s="249"/>
      <c r="K338" s="249"/>
      <c r="L338" s="249"/>
      <c r="M338" s="249"/>
      <c r="N338" s="249"/>
      <c r="O338" s="249"/>
      <c r="P338" s="249"/>
      <c r="Q338" s="249"/>
      <c r="R338" s="249"/>
      <c r="S338" s="249"/>
      <c r="T338" s="249"/>
      <c r="U338" s="249"/>
      <c r="V338" s="249"/>
      <c r="W338" s="249"/>
      <c r="X338" s="249"/>
      <c r="Y338" s="249"/>
      <c r="Z338" s="249"/>
      <c r="AA338" s="249"/>
      <c r="AB338" s="249"/>
    </row>
    <row r="339" spans="1:28">
      <c r="A339" s="249"/>
      <c r="B339" s="249"/>
      <c r="C339" s="249"/>
      <c r="D339" s="249"/>
      <c r="E339" s="249"/>
      <c r="F339" s="249"/>
      <c r="G339" s="249"/>
      <c r="H339" s="249"/>
      <c r="I339" s="249"/>
      <c r="J339" s="249"/>
      <c r="K339" s="249"/>
      <c r="L339" s="249"/>
      <c r="M339" s="249"/>
      <c r="N339" s="249"/>
      <c r="O339" s="249"/>
      <c r="P339" s="249"/>
      <c r="Q339" s="249"/>
      <c r="R339" s="249"/>
      <c r="S339" s="249"/>
      <c r="T339" s="249"/>
      <c r="U339" s="249"/>
      <c r="V339" s="249"/>
      <c r="W339" s="249"/>
      <c r="X339" s="249"/>
      <c r="Y339" s="249"/>
      <c r="Z339" s="249"/>
      <c r="AA339" s="249"/>
      <c r="AB339" s="249"/>
    </row>
    <row r="340" spans="1:28">
      <c r="A340" s="249"/>
      <c r="B340" s="249"/>
      <c r="C340" s="249"/>
      <c r="D340" s="249"/>
      <c r="E340" s="249"/>
      <c r="F340" s="249"/>
      <c r="G340" s="249"/>
      <c r="H340" s="249"/>
      <c r="I340" s="249"/>
      <c r="J340" s="249"/>
      <c r="K340" s="249"/>
      <c r="L340" s="249"/>
      <c r="M340" s="249"/>
      <c r="N340" s="249"/>
      <c r="O340" s="249"/>
      <c r="P340" s="249"/>
      <c r="Q340" s="249"/>
      <c r="R340" s="249"/>
      <c r="S340" s="249"/>
      <c r="T340" s="249"/>
      <c r="U340" s="249"/>
      <c r="V340" s="249"/>
      <c r="W340" s="249"/>
      <c r="X340" s="249"/>
      <c r="Y340" s="249"/>
      <c r="Z340" s="249"/>
      <c r="AA340" s="249"/>
      <c r="AB340" s="249"/>
    </row>
    <row r="341" spans="1:28">
      <c r="A341" s="249"/>
      <c r="B341" s="249"/>
      <c r="C341" s="249"/>
      <c r="D341" s="249"/>
      <c r="E341" s="249"/>
      <c r="F341" s="249"/>
      <c r="G341" s="249"/>
      <c r="H341" s="249"/>
      <c r="I341" s="249"/>
      <c r="J341" s="249"/>
      <c r="K341" s="249"/>
      <c r="L341" s="249"/>
      <c r="M341" s="249"/>
      <c r="N341" s="249"/>
      <c r="O341" s="249"/>
      <c r="P341" s="249"/>
      <c r="Q341" s="249"/>
      <c r="R341" s="249"/>
      <c r="S341" s="249"/>
      <c r="T341" s="249"/>
      <c r="U341" s="249"/>
      <c r="V341" s="249"/>
      <c r="W341" s="249"/>
      <c r="X341" s="249"/>
      <c r="Y341" s="249"/>
      <c r="Z341" s="249"/>
      <c r="AA341" s="249"/>
      <c r="AB341" s="249"/>
    </row>
    <row r="342" spans="1:28">
      <c r="A342" s="249"/>
      <c r="B342" s="249"/>
      <c r="C342" s="249"/>
      <c r="D342" s="249"/>
      <c r="E342" s="249"/>
      <c r="F342" s="249"/>
      <c r="G342" s="249"/>
      <c r="H342" s="249"/>
      <c r="I342" s="249"/>
      <c r="J342" s="249"/>
      <c r="K342" s="249"/>
      <c r="L342" s="249"/>
      <c r="M342" s="249"/>
      <c r="N342" s="249"/>
      <c r="O342" s="249"/>
      <c r="P342" s="249"/>
      <c r="Q342" s="249"/>
      <c r="R342" s="249"/>
      <c r="S342" s="249"/>
      <c r="T342" s="249"/>
      <c r="U342" s="249"/>
      <c r="V342" s="249"/>
      <c r="W342" s="249"/>
      <c r="X342" s="249"/>
      <c r="Y342" s="249"/>
      <c r="Z342" s="249"/>
      <c r="AA342" s="249"/>
      <c r="AB342" s="249"/>
    </row>
    <row r="343" spans="1:28">
      <c r="A343" s="249"/>
      <c r="B343" s="249"/>
      <c r="C343" s="249"/>
      <c r="D343" s="249"/>
      <c r="E343" s="249"/>
      <c r="F343" s="249"/>
      <c r="G343" s="249"/>
      <c r="H343" s="249"/>
      <c r="I343" s="249"/>
      <c r="J343" s="249"/>
      <c r="K343" s="249"/>
      <c r="L343" s="249"/>
      <c r="M343" s="249"/>
      <c r="N343" s="249"/>
      <c r="O343" s="249"/>
      <c r="P343" s="249"/>
      <c r="Q343" s="249"/>
      <c r="R343" s="249"/>
      <c r="S343" s="249"/>
      <c r="T343" s="249"/>
      <c r="U343" s="249"/>
      <c r="V343" s="249"/>
      <c r="W343" s="249"/>
      <c r="X343" s="249"/>
      <c r="Y343" s="249"/>
      <c r="Z343" s="249"/>
      <c r="AA343" s="249"/>
      <c r="AB343" s="249"/>
    </row>
    <row r="344" spans="1:28">
      <c r="A344" s="249"/>
      <c r="B344" s="249"/>
      <c r="C344" s="249"/>
      <c r="D344" s="249"/>
      <c r="E344" s="249"/>
      <c r="F344" s="249"/>
      <c r="G344" s="249"/>
      <c r="H344" s="249"/>
      <c r="I344" s="249"/>
      <c r="J344" s="249"/>
      <c r="K344" s="249"/>
      <c r="L344" s="249"/>
      <c r="M344" s="249"/>
      <c r="N344" s="249"/>
      <c r="O344" s="249"/>
      <c r="P344" s="249"/>
      <c r="Q344" s="249"/>
      <c r="R344" s="249"/>
      <c r="S344" s="249"/>
      <c r="T344" s="249"/>
      <c r="U344" s="249"/>
      <c r="V344" s="249"/>
      <c r="W344" s="249"/>
      <c r="X344" s="249"/>
      <c r="Y344" s="249"/>
      <c r="Z344" s="249"/>
      <c r="AA344" s="249"/>
      <c r="AB344" s="249"/>
    </row>
    <row r="345" spans="1:28">
      <c r="A345" s="249"/>
      <c r="B345" s="249"/>
      <c r="C345" s="249"/>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c r="AA345" s="249"/>
      <c r="AB345" s="249"/>
    </row>
    <row r="346" spans="1:28">
      <c r="A346" s="249"/>
      <c r="B346" s="249"/>
      <c r="C346" s="249"/>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49"/>
      <c r="AA346" s="249"/>
      <c r="AB346" s="249"/>
    </row>
    <row r="347" spans="1:28">
      <c r="A347" s="249"/>
      <c r="B347" s="249"/>
      <c r="C347" s="249"/>
      <c r="D347" s="249"/>
      <c r="E347" s="249"/>
      <c r="F347" s="249"/>
      <c r="G347" s="249"/>
      <c r="H347" s="249"/>
      <c r="I347" s="249"/>
      <c r="J347" s="249"/>
      <c r="K347" s="249"/>
      <c r="L347" s="249"/>
      <c r="M347" s="249"/>
      <c r="N347" s="249"/>
      <c r="O347" s="249"/>
      <c r="P347" s="249"/>
      <c r="Q347" s="249"/>
      <c r="R347" s="249"/>
      <c r="S347" s="249"/>
      <c r="T347" s="249"/>
      <c r="U347" s="249"/>
      <c r="V347" s="249"/>
      <c r="W347" s="249"/>
      <c r="X347" s="249"/>
      <c r="Y347" s="249"/>
      <c r="Z347" s="249"/>
      <c r="AA347" s="249"/>
      <c r="AB347" s="249"/>
    </row>
    <row r="348" spans="1:28">
      <c r="A348" s="249"/>
      <c r="B348" s="249"/>
      <c r="C348" s="249"/>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49"/>
      <c r="AA348" s="249"/>
      <c r="AB348" s="249"/>
    </row>
    <row r="349" spans="1:28">
      <c r="A349" s="249"/>
      <c r="B349" s="249"/>
      <c r="C349" s="249"/>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49"/>
      <c r="AA349" s="249"/>
      <c r="AB349" s="249"/>
    </row>
    <row r="350" spans="1:28">
      <c r="A350" s="249"/>
      <c r="B350" s="249"/>
      <c r="C350" s="249"/>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49"/>
      <c r="AA350" s="249"/>
      <c r="AB350" s="249"/>
    </row>
    <row r="351" spans="1:28">
      <c r="A351" s="249"/>
      <c r="B351" s="249"/>
      <c r="C351" s="249"/>
      <c r="D351" s="249"/>
      <c r="E351" s="249"/>
      <c r="F351" s="249"/>
      <c r="G351" s="249"/>
      <c r="H351" s="249"/>
      <c r="I351" s="249"/>
      <c r="J351" s="249"/>
      <c r="K351" s="249"/>
      <c r="L351" s="249"/>
      <c r="M351" s="249"/>
      <c r="N351" s="249"/>
      <c r="O351" s="249"/>
      <c r="P351" s="249"/>
      <c r="Q351" s="249"/>
      <c r="R351" s="249"/>
      <c r="S351" s="249"/>
      <c r="T351" s="249"/>
      <c r="U351" s="249"/>
      <c r="V351" s="249"/>
      <c r="W351" s="249"/>
      <c r="X351" s="249"/>
      <c r="Y351" s="249"/>
      <c r="Z351" s="249"/>
      <c r="AA351" s="249"/>
      <c r="AB351" s="249"/>
    </row>
    <row r="352" spans="1:28">
      <c r="A352" s="249"/>
      <c r="B352" s="249"/>
      <c r="C352" s="249"/>
      <c r="D352" s="249"/>
      <c r="E352" s="249"/>
      <c r="F352" s="249"/>
      <c r="G352" s="249"/>
      <c r="H352" s="249"/>
      <c r="I352" s="249"/>
      <c r="J352" s="249"/>
      <c r="K352" s="249"/>
      <c r="L352" s="249"/>
      <c r="M352" s="249"/>
      <c r="N352" s="249"/>
      <c r="O352" s="249"/>
      <c r="P352" s="249"/>
      <c r="Q352" s="249"/>
      <c r="R352" s="249"/>
      <c r="S352" s="249"/>
      <c r="T352" s="249"/>
      <c r="U352" s="249"/>
      <c r="V352" s="249"/>
      <c r="W352" s="249"/>
      <c r="X352" s="249"/>
      <c r="Y352" s="249"/>
      <c r="Z352" s="249"/>
      <c r="AA352" s="249"/>
      <c r="AB352" s="249"/>
    </row>
    <row r="353" spans="1:28">
      <c r="A353" s="249"/>
      <c r="B353" s="249"/>
      <c r="C353" s="249"/>
      <c r="D353" s="249"/>
      <c r="E353" s="249"/>
      <c r="F353" s="249"/>
      <c r="G353" s="249"/>
      <c r="H353" s="249"/>
      <c r="I353" s="249"/>
      <c r="J353" s="249"/>
      <c r="K353" s="249"/>
      <c r="L353" s="249"/>
      <c r="M353" s="249"/>
      <c r="N353" s="249"/>
      <c r="O353" s="249"/>
      <c r="P353" s="249"/>
      <c r="Q353" s="249"/>
      <c r="R353" s="249"/>
      <c r="S353" s="249"/>
      <c r="T353" s="249"/>
      <c r="U353" s="249"/>
      <c r="V353" s="249"/>
      <c r="W353" s="249"/>
      <c r="X353" s="249"/>
      <c r="Y353" s="249"/>
      <c r="Z353" s="249"/>
      <c r="AA353" s="249"/>
      <c r="AB353" s="249"/>
    </row>
    <row r="354" spans="1:28">
      <c r="A354" s="249"/>
      <c r="B354" s="249"/>
      <c r="C354" s="249"/>
      <c r="D354" s="249"/>
      <c r="E354" s="249"/>
      <c r="F354" s="249"/>
      <c r="G354" s="249"/>
      <c r="H354" s="249"/>
      <c r="I354" s="249"/>
      <c r="J354" s="249"/>
      <c r="K354" s="249"/>
      <c r="L354" s="249"/>
      <c r="M354" s="249"/>
      <c r="N354" s="249"/>
      <c r="O354" s="249"/>
      <c r="P354" s="249"/>
      <c r="Q354" s="249"/>
      <c r="R354" s="249"/>
      <c r="S354" s="249"/>
      <c r="T354" s="249"/>
      <c r="U354" s="249"/>
      <c r="V354" s="249"/>
      <c r="W354" s="249"/>
      <c r="X354" s="249"/>
      <c r="Y354" s="249"/>
      <c r="Z354" s="249"/>
      <c r="AA354" s="249"/>
      <c r="AB354" s="249"/>
    </row>
    <row r="355" spans="1:28">
      <c r="A355" s="249"/>
      <c r="B355" s="249"/>
      <c r="C355" s="249"/>
      <c r="D355" s="249"/>
      <c r="E355" s="249"/>
      <c r="F355" s="249"/>
      <c r="G355" s="249"/>
      <c r="H355" s="249"/>
      <c r="I355" s="249"/>
      <c r="J355" s="249"/>
      <c r="K355" s="249"/>
      <c r="L355" s="249"/>
      <c r="M355" s="249"/>
      <c r="N355" s="249"/>
      <c r="O355" s="249"/>
      <c r="P355" s="249"/>
      <c r="Q355" s="249"/>
      <c r="R355" s="249"/>
      <c r="S355" s="249"/>
      <c r="T355" s="249"/>
      <c r="U355" s="249"/>
      <c r="V355" s="249"/>
      <c r="W355" s="249"/>
      <c r="X355" s="249"/>
      <c r="Y355" s="249"/>
      <c r="Z355" s="249"/>
      <c r="AA355" s="249"/>
      <c r="AB355" s="249"/>
    </row>
    <row r="356" spans="1:28">
      <c r="A356" s="249"/>
      <c r="B356" s="249"/>
      <c r="C356" s="249"/>
      <c r="D356" s="249"/>
      <c r="E356" s="249"/>
      <c r="F356" s="249"/>
      <c r="G356" s="249"/>
      <c r="H356" s="249"/>
      <c r="I356" s="249"/>
      <c r="J356" s="249"/>
      <c r="K356" s="249"/>
      <c r="L356" s="249"/>
      <c r="M356" s="249"/>
      <c r="N356" s="249"/>
      <c r="O356" s="249"/>
      <c r="P356" s="249"/>
      <c r="Q356" s="249"/>
      <c r="R356" s="249"/>
      <c r="S356" s="249"/>
      <c r="T356" s="249"/>
      <c r="U356" s="249"/>
      <c r="V356" s="249"/>
      <c r="W356" s="249"/>
      <c r="X356" s="249"/>
      <c r="Y356" s="249"/>
      <c r="Z356" s="249"/>
      <c r="AA356" s="249"/>
      <c r="AB356" s="249"/>
    </row>
    <row r="357" spans="1:28">
      <c r="A357" s="249"/>
      <c r="B357" s="249"/>
      <c r="C357" s="249"/>
      <c r="D357" s="249"/>
      <c r="E357" s="249"/>
      <c r="F357" s="249"/>
      <c r="G357" s="249"/>
      <c r="H357" s="249"/>
      <c r="I357" s="249"/>
      <c r="J357" s="249"/>
      <c r="K357" s="249"/>
      <c r="L357" s="249"/>
      <c r="M357" s="249"/>
      <c r="N357" s="249"/>
      <c r="O357" s="249"/>
      <c r="P357" s="249"/>
      <c r="Q357" s="249"/>
      <c r="R357" s="249"/>
      <c r="S357" s="249"/>
      <c r="T357" s="249"/>
      <c r="U357" s="249"/>
      <c r="V357" s="249"/>
      <c r="W357" s="249"/>
      <c r="X357" s="249"/>
      <c r="Y357" s="249"/>
      <c r="Z357" s="249"/>
      <c r="AA357" s="249"/>
      <c r="AB357" s="249"/>
    </row>
    <row r="358" spans="1:28">
      <c r="A358" s="249"/>
      <c r="B358" s="249"/>
      <c r="C358" s="249"/>
      <c r="D358" s="249"/>
      <c r="E358" s="249"/>
      <c r="F358" s="249"/>
      <c r="G358" s="249"/>
      <c r="H358" s="249"/>
      <c r="I358" s="249"/>
      <c r="J358" s="249"/>
      <c r="K358" s="249"/>
      <c r="L358" s="249"/>
      <c r="M358" s="249"/>
      <c r="N358" s="249"/>
      <c r="O358" s="249"/>
      <c r="P358" s="249"/>
      <c r="Q358" s="249"/>
      <c r="R358" s="249"/>
      <c r="S358" s="249"/>
      <c r="T358" s="249"/>
      <c r="U358" s="249"/>
      <c r="V358" s="249"/>
      <c r="W358" s="249"/>
      <c r="X358" s="249"/>
      <c r="Y358" s="249"/>
      <c r="Z358" s="249"/>
      <c r="AA358" s="249"/>
      <c r="AB358" s="249"/>
    </row>
    <row r="359" spans="1:28">
      <c r="A359" s="249"/>
      <c r="B359" s="249"/>
      <c r="C359" s="249"/>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c r="AA359" s="249"/>
      <c r="AB359" s="249"/>
    </row>
    <row r="360" spans="1:28">
      <c r="A360" s="249"/>
      <c r="B360" s="249"/>
      <c r="C360" s="249"/>
      <c r="D360" s="249"/>
      <c r="E360" s="249"/>
      <c r="F360" s="249"/>
      <c r="G360" s="249"/>
      <c r="H360" s="249"/>
      <c r="I360" s="249"/>
      <c r="J360" s="249"/>
      <c r="K360" s="249"/>
      <c r="L360" s="249"/>
      <c r="M360" s="249"/>
      <c r="N360" s="249"/>
      <c r="O360" s="249"/>
      <c r="P360" s="249"/>
      <c r="Q360" s="249"/>
      <c r="R360" s="249"/>
      <c r="S360" s="249"/>
      <c r="T360" s="249"/>
      <c r="U360" s="249"/>
      <c r="V360" s="249"/>
      <c r="W360" s="249"/>
      <c r="X360" s="249"/>
      <c r="Y360" s="249"/>
      <c r="Z360" s="249"/>
      <c r="AA360" s="249"/>
      <c r="AB360" s="249"/>
    </row>
    <row r="361" spans="1:28">
      <c r="A361" s="249"/>
      <c r="B361" s="249"/>
      <c r="C361" s="249"/>
      <c r="D361" s="249"/>
      <c r="E361" s="249"/>
      <c r="F361" s="249"/>
      <c r="G361" s="249"/>
      <c r="H361" s="249"/>
      <c r="I361" s="249"/>
      <c r="J361" s="249"/>
      <c r="K361" s="249"/>
      <c r="L361" s="249"/>
      <c r="M361" s="249"/>
      <c r="N361" s="249"/>
      <c r="O361" s="249"/>
      <c r="P361" s="249"/>
      <c r="Q361" s="249"/>
      <c r="R361" s="249"/>
      <c r="S361" s="249"/>
      <c r="T361" s="249"/>
      <c r="U361" s="249"/>
      <c r="V361" s="249"/>
      <c r="W361" s="249"/>
      <c r="X361" s="249"/>
      <c r="Y361" s="249"/>
      <c r="Z361" s="249"/>
      <c r="AA361" s="249"/>
      <c r="AB361" s="249"/>
    </row>
    <row r="362" spans="1:28">
      <c r="A362" s="249"/>
      <c r="B362" s="249"/>
      <c r="C362" s="249"/>
      <c r="D362" s="249"/>
      <c r="E362" s="249"/>
      <c r="F362" s="249"/>
      <c r="G362" s="249"/>
      <c r="H362" s="249"/>
      <c r="I362" s="249"/>
      <c r="J362" s="249"/>
      <c r="K362" s="249"/>
      <c r="L362" s="249"/>
      <c r="M362" s="249"/>
      <c r="N362" s="249"/>
      <c r="O362" s="249"/>
      <c r="P362" s="249"/>
      <c r="Q362" s="249"/>
      <c r="R362" s="249"/>
      <c r="S362" s="249"/>
      <c r="T362" s="249"/>
      <c r="U362" s="249"/>
      <c r="V362" s="249"/>
      <c r="W362" s="249"/>
      <c r="X362" s="249"/>
      <c r="Y362" s="249"/>
      <c r="Z362" s="249"/>
      <c r="AA362" s="249"/>
      <c r="AB362" s="249"/>
    </row>
    <row r="363" spans="1:28">
      <c r="A363" s="249"/>
      <c r="B363" s="249"/>
      <c r="C363" s="249"/>
      <c r="D363" s="249"/>
      <c r="E363" s="249"/>
      <c r="F363" s="249"/>
      <c r="G363" s="249"/>
      <c r="H363" s="249"/>
      <c r="I363" s="249"/>
      <c r="J363" s="249"/>
      <c r="K363" s="249"/>
      <c r="L363" s="249"/>
      <c r="M363" s="249"/>
      <c r="N363" s="249"/>
      <c r="O363" s="249"/>
      <c r="P363" s="249"/>
      <c r="Q363" s="249"/>
      <c r="R363" s="249"/>
      <c r="S363" s="249"/>
      <c r="T363" s="249"/>
      <c r="U363" s="249"/>
      <c r="V363" s="249"/>
      <c r="W363" s="249"/>
      <c r="X363" s="249"/>
      <c r="Y363" s="249"/>
      <c r="Z363" s="249"/>
      <c r="AA363" s="249"/>
      <c r="AB363" s="249"/>
    </row>
    <row r="364" spans="1:28">
      <c r="A364" s="249"/>
      <c r="B364" s="249"/>
      <c r="C364" s="249"/>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c r="AA364" s="249"/>
      <c r="AB364" s="249"/>
    </row>
    <row r="365" spans="1:28">
      <c r="A365" s="249"/>
      <c r="B365" s="249"/>
      <c r="C365" s="249"/>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c r="AA365" s="249"/>
      <c r="AB365" s="249"/>
    </row>
    <row r="366" spans="1:28">
      <c r="A366" s="249"/>
      <c r="B366" s="249"/>
      <c r="C366" s="249"/>
      <c r="D366" s="249"/>
      <c r="E366" s="249"/>
      <c r="F366" s="249"/>
      <c r="G366" s="249"/>
      <c r="H366" s="249"/>
      <c r="I366" s="249"/>
      <c r="J366" s="249"/>
      <c r="K366" s="249"/>
      <c r="L366" s="249"/>
      <c r="M366" s="249"/>
      <c r="N366" s="249"/>
      <c r="O366" s="249"/>
      <c r="P366" s="249"/>
      <c r="Q366" s="249"/>
      <c r="R366" s="249"/>
      <c r="S366" s="249"/>
      <c r="T366" s="249"/>
      <c r="U366" s="249"/>
      <c r="V366" s="249"/>
      <c r="W366" s="249"/>
      <c r="X366" s="249"/>
      <c r="Y366" s="249"/>
      <c r="Z366" s="249"/>
      <c r="AA366" s="249"/>
      <c r="AB366" s="249"/>
    </row>
    <row r="367" spans="1:28">
      <c r="A367" s="249"/>
      <c r="B367" s="249"/>
      <c r="C367" s="249"/>
      <c r="D367" s="249"/>
      <c r="E367" s="249"/>
      <c r="F367" s="249"/>
      <c r="G367" s="249"/>
      <c r="H367" s="249"/>
      <c r="I367" s="249"/>
      <c r="J367" s="249"/>
      <c r="K367" s="249"/>
      <c r="L367" s="249"/>
      <c r="M367" s="249"/>
      <c r="N367" s="249"/>
      <c r="O367" s="249"/>
      <c r="P367" s="249"/>
      <c r="Q367" s="249"/>
      <c r="R367" s="249"/>
      <c r="S367" s="249"/>
      <c r="T367" s="249"/>
      <c r="U367" s="249"/>
      <c r="V367" s="249"/>
      <c r="W367" s="249"/>
      <c r="X367" s="249"/>
      <c r="Y367" s="249"/>
      <c r="Z367" s="249"/>
      <c r="AA367" s="249"/>
      <c r="AB367" s="249"/>
    </row>
    <row r="368" spans="1:28">
      <c r="A368" s="249"/>
      <c r="B368" s="249"/>
      <c r="C368" s="249"/>
      <c r="D368" s="249"/>
      <c r="E368" s="249"/>
      <c r="F368" s="249"/>
      <c r="G368" s="249"/>
      <c r="H368" s="249"/>
      <c r="I368" s="249"/>
      <c r="J368" s="249"/>
      <c r="K368" s="249"/>
      <c r="L368" s="249"/>
      <c r="M368" s="249"/>
      <c r="N368" s="249"/>
      <c r="O368" s="249"/>
      <c r="P368" s="249"/>
      <c r="Q368" s="249"/>
      <c r="R368" s="249"/>
      <c r="S368" s="249"/>
      <c r="T368" s="249"/>
      <c r="U368" s="249"/>
      <c r="V368" s="249"/>
      <c r="W368" s="249"/>
      <c r="X368" s="249"/>
      <c r="Y368" s="249"/>
      <c r="Z368" s="249"/>
      <c r="AA368" s="249"/>
      <c r="AB368" s="249"/>
    </row>
    <row r="369" spans="1:28">
      <c r="A369" s="249"/>
      <c r="B369" s="249"/>
      <c r="C369" s="249"/>
      <c r="D369" s="249"/>
      <c r="E369" s="249"/>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row>
    <row r="370" spans="1:28">
      <c r="A370" s="249"/>
      <c r="B370" s="249"/>
      <c r="C370" s="249"/>
      <c r="D370" s="249"/>
      <c r="E370" s="249"/>
      <c r="F370" s="249"/>
      <c r="G370" s="249"/>
      <c r="H370" s="249"/>
      <c r="I370" s="249"/>
      <c r="J370" s="249"/>
      <c r="K370" s="249"/>
      <c r="L370" s="249"/>
      <c r="M370" s="249"/>
      <c r="N370" s="249"/>
      <c r="O370" s="249"/>
      <c r="P370" s="249"/>
      <c r="Q370" s="249"/>
      <c r="R370" s="249"/>
      <c r="S370" s="249"/>
      <c r="T370" s="249"/>
      <c r="U370" s="249"/>
      <c r="V370" s="249"/>
      <c r="W370" s="249"/>
      <c r="X370" s="249"/>
      <c r="Y370" s="249"/>
      <c r="Z370" s="249"/>
      <c r="AA370" s="249"/>
      <c r="AB370" s="249"/>
    </row>
    <row r="371" spans="1:28">
      <c r="A371" s="249"/>
      <c r="B371" s="249"/>
      <c r="C371" s="249"/>
      <c r="D371" s="249"/>
      <c r="E371" s="249"/>
      <c r="F371" s="249"/>
      <c r="G371" s="249"/>
      <c r="H371" s="249"/>
      <c r="I371" s="249"/>
      <c r="J371" s="249"/>
      <c r="K371" s="249"/>
      <c r="L371" s="249"/>
      <c r="M371" s="249"/>
      <c r="N371" s="249"/>
      <c r="O371" s="249"/>
      <c r="P371" s="249"/>
      <c r="Q371" s="249"/>
      <c r="R371" s="249"/>
      <c r="S371" s="249"/>
      <c r="T371" s="249"/>
      <c r="U371" s="249"/>
      <c r="V371" s="249"/>
      <c r="W371" s="249"/>
      <c r="X371" s="249"/>
      <c r="Y371" s="249"/>
      <c r="Z371" s="249"/>
      <c r="AA371" s="249"/>
      <c r="AB371" s="249"/>
    </row>
    <row r="372" spans="1:28">
      <c r="A372" s="249"/>
      <c r="B372" s="249"/>
      <c r="C372" s="249"/>
      <c r="D372" s="249"/>
      <c r="E372" s="249"/>
      <c r="F372" s="249"/>
      <c r="G372" s="249"/>
      <c r="H372" s="249"/>
      <c r="I372" s="249"/>
      <c r="J372" s="249"/>
      <c r="K372" s="249"/>
      <c r="L372" s="249"/>
      <c r="M372" s="249"/>
      <c r="N372" s="249"/>
      <c r="O372" s="249"/>
      <c r="P372" s="249"/>
      <c r="Q372" s="249"/>
      <c r="R372" s="249"/>
      <c r="S372" s="249"/>
      <c r="T372" s="249"/>
      <c r="U372" s="249"/>
      <c r="V372" s="249"/>
      <c r="W372" s="249"/>
      <c r="X372" s="249"/>
      <c r="Y372" s="249"/>
      <c r="Z372" s="249"/>
      <c r="AA372" s="249"/>
      <c r="AB372" s="249"/>
    </row>
    <row r="373" spans="1:28">
      <c r="A373" s="249"/>
      <c r="B373" s="249"/>
      <c r="C373" s="249"/>
      <c r="D373" s="249"/>
      <c r="E373" s="249"/>
      <c r="F373" s="249"/>
      <c r="G373" s="249"/>
      <c r="H373" s="249"/>
      <c r="I373" s="249"/>
      <c r="J373" s="249"/>
      <c r="K373" s="249"/>
      <c r="L373" s="249"/>
      <c r="M373" s="249"/>
      <c r="N373" s="249"/>
      <c r="O373" s="249"/>
      <c r="P373" s="249"/>
      <c r="Q373" s="249"/>
      <c r="R373" s="249"/>
      <c r="S373" s="249"/>
      <c r="T373" s="249"/>
      <c r="U373" s="249"/>
      <c r="V373" s="249"/>
      <c r="W373" s="249"/>
      <c r="X373" s="249"/>
      <c r="Y373" s="249"/>
      <c r="Z373" s="249"/>
      <c r="AA373" s="249"/>
      <c r="AB373" s="249"/>
    </row>
    <row r="374" spans="1:28">
      <c r="A374" s="249"/>
      <c r="B374" s="249"/>
      <c r="C374" s="249"/>
      <c r="D374" s="249"/>
      <c r="E374" s="249"/>
      <c r="F374" s="249"/>
      <c r="G374" s="249"/>
      <c r="H374" s="249"/>
      <c r="I374" s="249"/>
      <c r="J374" s="249"/>
      <c r="K374" s="249"/>
      <c r="L374" s="249"/>
      <c r="M374" s="249"/>
      <c r="N374" s="249"/>
      <c r="O374" s="249"/>
      <c r="P374" s="249"/>
      <c r="Q374" s="249"/>
      <c r="R374" s="249"/>
      <c r="S374" s="249"/>
      <c r="T374" s="249"/>
      <c r="U374" s="249"/>
      <c r="V374" s="249"/>
      <c r="W374" s="249"/>
      <c r="X374" s="249"/>
      <c r="Y374" s="249"/>
      <c r="Z374" s="249"/>
      <c r="AA374" s="249"/>
      <c r="AB374" s="249"/>
    </row>
    <row r="375" spans="1:28">
      <c r="A375" s="249"/>
      <c r="B375" s="249"/>
      <c r="C375" s="249"/>
      <c r="D375" s="249"/>
      <c r="E375" s="249"/>
      <c r="F375" s="249"/>
      <c r="G375" s="249"/>
      <c r="H375" s="249"/>
      <c r="I375" s="249"/>
      <c r="J375" s="249"/>
      <c r="K375" s="249"/>
      <c r="L375" s="249"/>
      <c r="M375" s="249"/>
      <c r="N375" s="249"/>
      <c r="O375" s="249"/>
      <c r="P375" s="249"/>
      <c r="Q375" s="249"/>
      <c r="R375" s="249"/>
      <c r="S375" s="249"/>
      <c r="T375" s="249"/>
      <c r="U375" s="249"/>
      <c r="V375" s="249"/>
      <c r="W375" s="249"/>
      <c r="X375" s="249"/>
      <c r="Y375" s="249"/>
      <c r="Z375" s="249"/>
      <c r="AA375" s="249"/>
      <c r="AB375" s="249"/>
    </row>
    <row r="376" spans="1:28">
      <c r="A376" s="249"/>
      <c r="B376" s="249"/>
      <c r="C376" s="249"/>
      <c r="D376" s="249"/>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49"/>
      <c r="AA376" s="249"/>
      <c r="AB376" s="249"/>
    </row>
    <row r="377" spans="1:28">
      <c r="A377" s="249"/>
      <c r="B377" s="249"/>
      <c r="C377" s="249"/>
      <c r="D377" s="249"/>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row>
    <row r="378" spans="1:28">
      <c r="A378" s="249"/>
      <c r="B378" s="249"/>
      <c r="C378" s="249"/>
      <c r="D378" s="249"/>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49"/>
      <c r="AA378" s="249"/>
      <c r="AB378" s="249"/>
    </row>
    <row r="379" spans="1:28">
      <c r="A379" s="249"/>
      <c r="B379" s="249"/>
      <c r="C379" s="249"/>
      <c r="D379" s="249"/>
      <c r="E379" s="249"/>
      <c r="F379" s="249"/>
      <c r="G379" s="249"/>
      <c r="H379" s="249"/>
      <c r="I379" s="249"/>
      <c r="J379" s="249"/>
      <c r="K379" s="249"/>
      <c r="L379" s="249"/>
      <c r="M379" s="249"/>
      <c r="N379" s="249"/>
      <c r="O379" s="249"/>
      <c r="P379" s="249"/>
      <c r="Q379" s="249"/>
      <c r="R379" s="249"/>
      <c r="S379" s="249"/>
      <c r="T379" s="249"/>
      <c r="U379" s="249"/>
      <c r="V379" s="249"/>
      <c r="W379" s="249"/>
      <c r="X379" s="249"/>
      <c r="Y379" s="249"/>
      <c r="Z379" s="249"/>
      <c r="AA379" s="249"/>
      <c r="AB379" s="249"/>
    </row>
    <row r="380" spans="1:28">
      <c r="A380" s="249"/>
      <c r="B380" s="249"/>
      <c r="C380" s="249"/>
      <c r="D380" s="249"/>
      <c r="E380" s="249"/>
      <c r="F380" s="249"/>
      <c r="G380" s="249"/>
      <c r="H380" s="249"/>
      <c r="I380" s="249"/>
      <c r="J380" s="249"/>
      <c r="K380" s="249"/>
      <c r="L380" s="249"/>
      <c r="M380" s="249"/>
      <c r="N380" s="249"/>
      <c r="O380" s="249"/>
      <c r="P380" s="249"/>
      <c r="Q380" s="249"/>
      <c r="R380" s="249"/>
      <c r="S380" s="249"/>
      <c r="T380" s="249"/>
      <c r="U380" s="249"/>
      <c r="V380" s="249"/>
      <c r="W380" s="249"/>
      <c r="X380" s="249"/>
      <c r="Y380" s="249"/>
      <c r="Z380" s="249"/>
      <c r="AA380" s="249"/>
      <c r="AB380" s="249"/>
    </row>
    <row r="381" spans="1:28">
      <c r="A381" s="249"/>
      <c r="B381" s="249"/>
      <c r="C381" s="249"/>
      <c r="D381" s="249"/>
      <c r="E381" s="249"/>
      <c r="F381" s="249"/>
      <c r="G381" s="249"/>
      <c r="H381" s="249"/>
      <c r="I381" s="249"/>
      <c r="J381" s="249"/>
      <c r="K381" s="249"/>
      <c r="L381" s="249"/>
      <c r="M381" s="249"/>
      <c r="N381" s="249"/>
      <c r="O381" s="249"/>
      <c r="P381" s="249"/>
      <c r="Q381" s="249"/>
      <c r="R381" s="249"/>
      <c r="S381" s="249"/>
      <c r="T381" s="249"/>
      <c r="U381" s="249"/>
      <c r="V381" s="249"/>
      <c r="W381" s="249"/>
      <c r="X381" s="249"/>
      <c r="Y381" s="249"/>
      <c r="Z381" s="249"/>
      <c r="AA381" s="249"/>
      <c r="AB381" s="249"/>
    </row>
    <row r="382" spans="1:28">
      <c r="A382" s="249"/>
      <c r="B382" s="249"/>
      <c r="C382" s="249"/>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c r="AA382" s="249"/>
      <c r="AB382" s="249"/>
    </row>
    <row r="383" spans="1:28">
      <c r="A383" s="249"/>
      <c r="B383" s="249"/>
      <c r="C383" s="249"/>
      <c r="D383" s="249"/>
      <c r="E383" s="249"/>
      <c r="F383" s="249"/>
      <c r="G383" s="249"/>
      <c r="H383" s="249"/>
      <c r="I383" s="249"/>
      <c r="J383" s="249"/>
      <c r="K383" s="249"/>
      <c r="L383" s="249"/>
      <c r="M383" s="249"/>
      <c r="N383" s="249"/>
      <c r="O383" s="249"/>
      <c r="P383" s="249"/>
      <c r="Q383" s="249"/>
      <c r="R383" s="249"/>
      <c r="S383" s="249"/>
      <c r="T383" s="249"/>
      <c r="U383" s="249"/>
      <c r="V383" s="249"/>
      <c r="W383" s="249"/>
      <c r="X383" s="249"/>
      <c r="Y383" s="249"/>
      <c r="Z383" s="249"/>
      <c r="AA383" s="249"/>
      <c r="AB383" s="249"/>
    </row>
    <row r="384" spans="1:28">
      <c r="A384" s="249"/>
      <c r="B384" s="249"/>
      <c r="C384" s="249"/>
      <c r="D384" s="249"/>
      <c r="E384" s="249"/>
      <c r="F384" s="249"/>
      <c r="G384" s="249"/>
      <c r="H384" s="249"/>
      <c r="I384" s="249"/>
      <c r="J384" s="249"/>
      <c r="K384" s="249"/>
      <c r="L384" s="249"/>
      <c r="M384" s="249"/>
      <c r="N384" s="249"/>
      <c r="O384" s="249"/>
      <c r="P384" s="249"/>
      <c r="Q384" s="249"/>
      <c r="R384" s="249"/>
      <c r="S384" s="249"/>
      <c r="T384" s="249"/>
      <c r="U384" s="249"/>
      <c r="V384" s="249"/>
      <c r="W384" s="249"/>
      <c r="X384" s="249"/>
      <c r="Y384" s="249"/>
      <c r="Z384" s="249"/>
      <c r="AA384" s="249"/>
      <c r="AB384" s="249"/>
    </row>
    <row r="385" spans="1:28">
      <c r="A385" s="249"/>
      <c r="B385" s="249"/>
      <c r="C385" s="249"/>
      <c r="D385" s="249"/>
      <c r="E385" s="249"/>
      <c r="F385" s="249"/>
      <c r="G385" s="249"/>
      <c r="H385" s="249"/>
      <c r="I385" s="249"/>
      <c r="J385" s="249"/>
      <c r="K385" s="249"/>
      <c r="L385" s="249"/>
      <c r="M385" s="249"/>
      <c r="N385" s="249"/>
      <c r="O385" s="249"/>
      <c r="P385" s="249"/>
      <c r="Q385" s="249"/>
      <c r="R385" s="249"/>
      <c r="S385" s="249"/>
      <c r="T385" s="249"/>
      <c r="U385" s="249"/>
      <c r="V385" s="249"/>
      <c r="W385" s="249"/>
      <c r="X385" s="249"/>
      <c r="Y385" s="249"/>
      <c r="Z385" s="249"/>
      <c r="AA385" s="249"/>
      <c r="AB385" s="249"/>
    </row>
    <row r="386" spans="1:28">
      <c r="A386" s="249"/>
      <c r="B386" s="249"/>
      <c r="C386" s="249"/>
      <c r="D386" s="249"/>
      <c r="E386" s="249"/>
      <c r="F386" s="249"/>
      <c r="G386" s="249"/>
      <c r="H386" s="249"/>
      <c r="I386" s="249"/>
      <c r="J386" s="249"/>
      <c r="K386" s="249"/>
      <c r="L386" s="249"/>
      <c r="M386" s="249"/>
      <c r="N386" s="249"/>
      <c r="O386" s="249"/>
      <c r="P386" s="249"/>
      <c r="Q386" s="249"/>
      <c r="R386" s="249"/>
      <c r="S386" s="249"/>
      <c r="T386" s="249"/>
      <c r="U386" s="249"/>
      <c r="V386" s="249"/>
      <c r="W386" s="249"/>
      <c r="X386" s="249"/>
      <c r="Y386" s="249"/>
      <c r="Z386" s="249"/>
      <c r="AA386" s="249"/>
      <c r="AB386" s="249"/>
    </row>
    <row r="387" spans="1:28">
      <c r="A387" s="249"/>
      <c r="B387" s="249"/>
      <c r="C387" s="249"/>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49"/>
      <c r="AA387" s="249"/>
      <c r="AB387" s="249"/>
    </row>
    <row r="388" spans="1:28">
      <c r="A388" s="249"/>
      <c r="B388" s="249"/>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49"/>
      <c r="Z388" s="249"/>
      <c r="AA388" s="249"/>
      <c r="AB388" s="249"/>
    </row>
    <row r="389" spans="1:28">
      <c r="A389" s="249"/>
      <c r="B389" s="249"/>
      <c r="C389" s="249"/>
      <c r="D389" s="249"/>
      <c r="E389" s="249"/>
      <c r="F389" s="249"/>
      <c r="G389" s="249"/>
      <c r="H389" s="249"/>
      <c r="I389" s="249"/>
      <c r="J389" s="249"/>
      <c r="K389" s="249"/>
      <c r="L389" s="249"/>
      <c r="M389" s="249"/>
      <c r="N389" s="249"/>
      <c r="O389" s="249"/>
      <c r="P389" s="249"/>
      <c r="Q389" s="249"/>
      <c r="R389" s="249"/>
      <c r="S389" s="249"/>
      <c r="T389" s="249"/>
      <c r="U389" s="249"/>
      <c r="V389" s="249"/>
      <c r="W389" s="249"/>
      <c r="X389" s="249"/>
      <c r="Y389" s="249"/>
      <c r="Z389" s="249"/>
      <c r="AA389" s="249"/>
      <c r="AB389" s="249"/>
    </row>
    <row r="390" spans="1:28">
      <c r="A390" s="249"/>
      <c r="B390" s="249"/>
      <c r="C390" s="249"/>
      <c r="D390" s="249"/>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49"/>
      <c r="AA390" s="249"/>
      <c r="AB390" s="249"/>
    </row>
    <row r="391" spans="1:28">
      <c r="A391" s="249"/>
      <c r="B391" s="249"/>
      <c r="C391" s="249"/>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c r="AA391" s="249"/>
      <c r="AB391" s="249"/>
    </row>
    <row r="392" spans="1:28">
      <c r="A392" s="249"/>
      <c r="B392" s="249"/>
      <c r="C392" s="249"/>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c r="AA392" s="249"/>
      <c r="AB392" s="249"/>
    </row>
    <row r="393" spans="1:28">
      <c r="A393" s="249"/>
      <c r="B393" s="249"/>
      <c r="C393" s="249"/>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c r="AA393" s="249"/>
      <c r="AB393" s="249"/>
    </row>
    <row r="394" spans="1:28">
      <c r="A394" s="249"/>
      <c r="B394" s="249"/>
      <c r="C394" s="249"/>
      <c r="D394" s="249"/>
      <c r="E394" s="249"/>
      <c r="F394" s="249"/>
      <c r="G394" s="249"/>
      <c r="H394" s="249"/>
      <c r="I394" s="249"/>
      <c r="J394" s="249"/>
      <c r="K394" s="249"/>
      <c r="L394" s="249"/>
      <c r="M394" s="249"/>
      <c r="N394" s="249"/>
      <c r="O394" s="249"/>
      <c r="P394" s="249"/>
      <c r="Q394" s="249"/>
      <c r="R394" s="249"/>
      <c r="S394" s="249"/>
      <c r="T394" s="249"/>
      <c r="U394" s="249"/>
      <c r="V394" s="249"/>
      <c r="W394" s="249"/>
      <c r="X394" s="249"/>
      <c r="Y394" s="249"/>
      <c r="Z394" s="249"/>
      <c r="AA394" s="249"/>
      <c r="AB394" s="249"/>
    </row>
    <row r="395" spans="1:28">
      <c r="A395" s="249"/>
      <c r="B395" s="249"/>
      <c r="C395" s="249"/>
      <c r="D395" s="249"/>
      <c r="E395" s="249"/>
      <c r="F395" s="249"/>
      <c r="G395" s="249"/>
      <c r="H395" s="249"/>
      <c r="I395" s="249"/>
      <c r="J395" s="249"/>
      <c r="K395" s="249"/>
      <c r="L395" s="249"/>
      <c r="M395" s="249"/>
      <c r="N395" s="249"/>
      <c r="O395" s="249"/>
      <c r="P395" s="249"/>
      <c r="Q395" s="249"/>
      <c r="R395" s="249"/>
      <c r="S395" s="249"/>
      <c r="T395" s="249"/>
      <c r="U395" s="249"/>
      <c r="V395" s="249"/>
      <c r="W395" s="249"/>
      <c r="X395" s="249"/>
      <c r="Y395" s="249"/>
      <c r="Z395" s="249"/>
      <c r="AA395" s="249"/>
      <c r="AB395" s="249"/>
    </row>
    <row r="396" spans="1:28">
      <c r="A396" s="249"/>
      <c r="B396" s="249"/>
      <c r="C396" s="249"/>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c r="AA396" s="249"/>
      <c r="AB396" s="249"/>
    </row>
    <row r="397" spans="1:28">
      <c r="A397" s="249"/>
      <c r="B397" s="249"/>
      <c r="C397" s="249"/>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49"/>
      <c r="AA397" s="249"/>
      <c r="AB397" s="249"/>
    </row>
    <row r="398" spans="1:28">
      <c r="A398" s="249"/>
      <c r="B398" s="249"/>
      <c r="C398" s="249"/>
      <c r="D398" s="249"/>
      <c r="E398" s="249"/>
      <c r="F398" s="249"/>
      <c r="G398" s="249"/>
      <c r="H398" s="249"/>
      <c r="I398" s="249"/>
      <c r="J398" s="249"/>
      <c r="K398" s="249"/>
      <c r="L398" s="249"/>
      <c r="M398" s="249"/>
      <c r="N398" s="249"/>
      <c r="O398" s="249"/>
      <c r="P398" s="249"/>
      <c r="Q398" s="249"/>
      <c r="R398" s="249"/>
      <c r="S398" s="249"/>
      <c r="T398" s="249"/>
      <c r="U398" s="249"/>
      <c r="V398" s="249"/>
      <c r="W398" s="249"/>
      <c r="X398" s="249"/>
      <c r="Y398" s="249"/>
      <c r="Z398" s="249"/>
      <c r="AA398" s="249"/>
      <c r="AB398" s="249"/>
    </row>
    <row r="399" spans="1:28">
      <c r="A399" s="249"/>
      <c r="B399" s="249"/>
      <c r="C399" s="249"/>
      <c r="D399" s="249"/>
      <c r="E399" s="249"/>
      <c r="F399" s="249"/>
      <c r="G399" s="249"/>
      <c r="H399" s="249"/>
      <c r="I399" s="249"/>
      <c r="J399" s="249"/>
      <c r="K399" s="249"/>
      <c r="L399" s="249"/>
      <c r="M399" s="249"/>
      <c r="N399" s="249"/>
      <c r="O399" s="249"/>
      <c r="P399" s="249"/>
      <c r="Q399" s="249"/>
      <c r="R399" s="249"/>
      <c r="S399" s="249"/>
      <c r="T399" s="249"/>
      <c r="U399" s="249"/>
      <c r="V399" s="249"/>
      <c r="W399" s="249"/>
      <c r="X399" s="249"/>
      <c r="Y399" s="249"/>
      <c r="Z399" s="249"/>
      <c r="AA399" s="249"/>
      <c r="AB399" s="249"/>
    </row>
    <row r="400" spans="1:28">
      <c r="A400" s="249"/>
      <c r="B400" s="249"/>
      <c r="C400" s="249"/>
      <c r="D400" s="249"/>
      <c r="E400" s="249"/>
      <c r="F400" s="249"/>
      <c r="G400" s="249"/>
      <c r="H400" s="249"/>
      <c r="I400" s="249"/>
      <c r="J400" s="249"/>
      <c r="K400" s="249"/>
      <c r="L400" s="249"/>
      <c r="M400" s="249"/>
      <c r="N400" s="249"/>
      <c r="O400" s="249"/>
      <c r="P400" s="249"/>
      <c r="Q400" s="249"/>
      <c r="R400" s="249"/>
      <c r="S400" s="249"/>
      <c r="T400" s="249"/>
      <c r="U400" s="249"/>
      <c r="V400" s="249"/>
      <c r="W400" s="249"/>
      <c r="X400" s="249"/>
      <c r="Y400" s="249"/>
      <c r="Z400" s="249"/>
      <c r="AA400" s="249"/>
      <c r="AB400" s="249"/>
    </row>
    <row r="401" spans="1:28">
      <c r="A401" s="249"/>
      <c r="B401" s="249"/>
      <c r="C401" s="249"/>
      <c r="D401" s="249"/>
      <c r="E401" s="249"/>
      <c r="F401" s="249"/>
      <c r="G401" s="249"/>
      <c r="H401" s="249"/>
      <c r="I401" s="249"/>
      <c r="J401" s="249"/>
      <c r="K401" s="249"/>
      <c r="L401" s="249"/>
      <c r="M401" s="249"/>
      <c r="N401" s="249"/>
      <c r="O401" s="249"/>
      <c r="P401" s="249"/>
      <c r="Q401" s="249"/>
      <c r="R401" s="249"/>
      <c r="S401" s="249"/>
      <c r="T401" s="249"/>
      <c r="U401" s="249"/>
      <c r="V401" s="249"/>
      <c r="W401" s="249"/>
      <c r="X401" s="249"/>
      <c r="Y401" s="249"/>
      <c r="Z401" s="249"/>
      <c r="AA401" s="249"/>
      <c r="AB401" s="249"/>
    </row>
    <row r="402" spans="1:28">
      <c r="A402" s="249"/>
      <c r="B402" s="249"/>
      <c r="C402" s="249"/>
      <c r="D402" s="249"/>
      <c r="E402" s="249"/>
      <c r="F402" s="249"/>
      <c r="G402" s="249"/>
      <c r="H402" s="249"/>
      <c r="I402" s="249"/>
      <c r="J402" s="249"/>
      <c r="K402" s="249"/>
      <c r="L402" s="249"/>
      <c r="M402" s="249"/>
      <c r="N402" s="249"/>
      <c r="O402" s="249"/>
      <c r="P402" s="249"/>
      <c r="Q402" s="249"/>
      <c r="R402" s="249"/>
      <c r="S402" s="249"/>
      <c r="T402" s="249"/>
      <c r="U402" s="249"/>
      <c r="V402" s="249"/>
      <c r="W402" s="249"/>
      <c r="X402" s="249"/>
      <c r="Y402" s="249"/>
      <c r="Z402" s="249"/>
      <c r="AA402" s="249"/>
      <c r="AB402" s="249"/>
    </row>
    <row r="403" spans="1:28">
      <c r="A403" s="249"/>
      <c r="B403" s="249"/>
      <c r="C403" s="249"/>
      <c r="D403" s="249"/>
      <c r="E403" s="249"/>
      <c r="F403" s="249"/>
      <c r="G403" s="249"/>
      <c r="H403" s="249"/>
      <c r="I403" s="249"/>
      <c r="J403" s="249"/>
      <c r="K403" s="249"/>
      <c r="L403" s="249"/>
      <c r="M403" s="249"/>
      <c r="N403" s="249"/>
      <c r="O403" s="249"/>
      <c r="P403" s="249"/>
      <c r="Q403" s="249"/>
      <c r="R403" s="249"/>
      <c r="S403" s="249"/>
      <c r="T403" s="249"/>
      <c r="U403" s="249"/>
      <c r="V403" s="249"/>
      <c r="W403" s="249"/>
      <c r="X403" s="249"/>
      <c r="Y403" s="249"/>
      <c r="Z403" s="249"/>
      <c r="AA403" s="249"/>
      <c r="AB403" s="249"/>
    </row>
    <row r="404" spans="1:28">
      <c r="A404" s="249"/>
      <c r="B404" s="249"/>
      <c r="C404" s="249"/>
      <c r="D404" s="249"/>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49"/>
      <c r="AA404" s="249"/>
      <c r="AB404" s="249"/>
    </row>
    <row r="405" spans="1:28">
      <c r="A405" s="249"/>
      <c r="B405" s="249"/>
      <c r="C405" s="249"/>
      <c r="D405" s="249"/>
      <c r="E405" s="249"/>
      <c r="F405" s="249"/>
      <c r="G405" s="249"/>
      <c r="H405" s="249"/>
      <c r="I405" s="249"/>
      <c r="J405" s="249"/>
      <c r="K405" s="249"/>
      <c r="L405" s="249"/>
      <c r="M405" s="249"/>
      <c r="N405" s="249"/>
      <c r="O405" s="249"/>
      <c r="P405" s="249"/>
      <c r="Q405" s="249"/>
      <c r="R405" s="249"/>
      <c r="S405" s="249"/>
      <c r="T405" s="249"/>
      <c r="U405" s="249"/>
      <c r="V405" s="249"/>
      <c r="W405" s="249"/>
      <c r="X405" s="249"/>
      <c r="Y405" s="249"/>
      <c r="Z405" s="249"/>
      <c r="AA405" s="249"/>
      <c r="AB405" s="249"/>
    </row>
    <row r="406" spans="1:28">
      <c r="A406" s="249"/>
      <c r="B406" s="249"/>
      <c r="C406" s="249"/>
      <c r="D406" s="249"/>
      <c r="E406" s="249"/>
      <c r="F406" s="249"/>
      <c r="G406" s="249"/>
      <c r="H406" s="249"/>
      <c r="I406" s="249"/>
      <c r="J406" s="249"/>
      <c r="K406" s="249"/>
      <c r="L406" s="249"/>
      <c r="M406" s="249"/>
      <c r="N406" s="249"/>
      <c r="O406" s="249"/>
      <c r="P406" s="249"/>
      <c r="Q406" s="249"/>
      <c r="R406" s="249"/>
      <c r="S406" s="249"/>
      <c r="T406" s="249"/>
      <c r="U406" s="249"/>
      <c r="V406" s="249"/>
      <c r="W406" s="249"/>
      <c r="X406" s="249"/>
      <c r="Y406" s="249"/>
      <c r="Z406" s="249"/>
      <c r="AA406" s="249"/>
      <c r="AB406" s="249"/>
    </row>
    <row r="407" spans="1:28">
      <c r="A407" s="249"/>
      <c r="B407" s="249"/>
      <c r="C407" s="249"/>
      <c r="D407" s="249"/>
      <c r="E407" s="249"/>
      <c r="F407" s="249"/>
      <c r="G407" s="249"/>
      <c r="H407" s="249"/>
      <c r="I407" s="249"/>
      <c r="J407" s="249"/>
      <c r="K407" s="249"/>
      <c r="L407" s="249"/>
      <c r="M407" s="249"/>
      <c r="N407" s="249"/>
      <c r="O407" s="249"/>
      <c r="P407" s="249"/>
      <c r="Q407" s="249"/>
      <c r="R407" s="249"/>
      <c r="S407" s="249"/>
      <c r="T407" s="249"/>
      <c r="U407" s="249"/>
      <c r="V407" s="249"/>
      <c r="W407" s="249"/>
      <c r="X407" s="249"/>
      <c r="Y407" s="249"/>
      <c r="Z407" s="249"/>
      <c r="AA407" s="249"/>
      <c r="AB407" s="249"/>
    </row>
    <row r="408" spans="1:28">
      <c r="A408" s="249"/>
      <c r="B408" s="249"/>
      <c r="C408" s="249"/>
      <c r="D408" s="249"/>
      <c r="E408" s="249"/>
      <c r="F408" s="249"/>
      <c r="G408" s="249"/>
      <c r="H408" s="249"/>
      <c r="I408" s="249"/>
      <c r="J408" s="249"/>
      <c r="K408" s="249"/>
      <c r="L408" s="249"/>
      <c r="M408" s="249"/>
      <c r="N408" s="249"/>
      <c r="O408" s="249"/>
      <c r="P408" s="249"/>
      <c r="Q408" s="249"/>
      <c r="R408" s="249"/>
      <c r="S408" s="249"/>
      <c r="T408" s="249"/>
      <c r="U408" s="249"/>
      <c r="V408" s="249"/>
      <c r="W408" s="249"/>
      <c r="X408" s="249"/>
      <c r="Y408" s="249"/>
      <c r="Z408" s="249"/>
      <c r="AA408" s="249"/>
      <c r="AB408" s="249"/>
    </row>
    <row r="409" spans="1:28">
      <c r="A409" s="249"/>
      <c r="B409" s="249"/>
      <c r="C409" s="249"/>
      <c r="D409" s="249"/>
      <c r="E409" s="249"/>
      <c r="F409" s="249"/>
      <c r="G409" s="249"/>
      <c r="H409" s="249"/>
      <c r="I409" s="249"/>
      <c r="J409" s="249"/>
      <c r="K409" s="249"/>
      <c r="L409" s="249"/>
      <c r="M409" s="249"/>
      <c r="N409" s="249"/>
      <c r="O409" s="249"/>
      <c r="P409" s="249"/>
      <c r="Q409" s="249"/>
      <c r="R409" s="249"/>
      <c r="S409" s="249"/>
      <c r="T409" s="249"/>
      <c r="U409" s="249"/>
      <c r="V409" s="249"/>
      <c r="W409" s="249"/>
      <c r="X409" s="249"/>
      <c r="Y409" s="249"/>
      <c r="Z409" s="249"/>
      <c r="AA409" s="249"/>
      <c r="AB409" s="249"/>
    </row>
    <row r="410" spans="1:28">
      <c r="A410" s="249"/>
      <c r="B410" s="249"/>
      <c r="C410" s="249"/>
      <c r="D410" s="249"/>
      <c r="E410" s="249"/>
      <c r="F410" s="249"/>
      <c r="G410" s="249"/>
      <c r="H410" s="249"/>
      <c r="I410" s="249"/>
      <c r="J410" s="249"/>
      <c r="K410" s="249"/>
      <c r="L410" s="249"/>
      <c r="M410" s="249"/>
      <c r="N410" s="249"/>
      <c r="O410" s="249"/>
      <c r="P410" s="249"/>
      <c r="Q410" s="249"/>
      <c r="R410" s="249"/>
      <c r="S410" s="249"/>
      <c r="T410" s="249"/>
      <c r="U410" s="249"/>
      <c r="V410" s="249"/>
      <c r="W410" s="249"/>
      <c r="X410" s="249"/>
      <c r="Y410" s="249"/>
      <c r="Z410" s="249"/>
      <c r="AA410" s="249"/>
      <c r="AB410" s="249"/>
    </row>
    <row r="411" spans="1:28">
      <c r="A411" s="249"/>
      <c r="B411" s="249"/>
      <c r="C411" s="249"/>
      <c r="D411" s="249"/>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49"/>
      <c r="AA411" s="249"/>
      <c r="AB411" s="249"/>
    </row>
    <row r="412" spans="1:28">
      <c r="A412" s="249"/>
      <c r="B412" s="249"/>
      <c r="C412" s="249"/>
      <c r="D412" s="249"/>
      <c r="E412" s="249"/>
      <c r="F412" s="249"/>
      <c r="G412" s="249"/>
      <c r="H412" s="249"/>
      <c r="I412" s="249"/>
      <c r="J412" s="249"/>
      <c r="K412" s="249"/>
      <c r="L412" s="249"/>
      <c r="M412" s="249"/>
      <c r="N412" s="249"/>
      <c r="O412" s="249"/>
      <c r="P412" s="249"/>
      <c r="Q412" s="249"/>
      <c r="R412" s="249"/>
      <c r="S412" s="249"/>
      <c r="T412" s="249"/>
      <c r="U412" s="249"/>
      <c r="V412" s="249"/>
      <c r="W412" s="249"/>
      <c r="X412" s="249"/>
      <c r="Y412" s="249"/>
      <c r="Z412" s="249"/>
      <c r="AA412" s="249"/>
      <c r="AB412" s="249"/>
    </row>
    <row r="413" spans="1:28">
      <c r="A413" s="249"/>
      <c r="B413" s="249"/>
      <c r="C413" s="249"/>
      <c r="D413" s="249"/>
      <c r="E413" s="249"/>
      <c r="F413" s="249"/>
      <c r="G413" s="249"/>
      <c r="H413" s="249"/>
      <c r="I413" s="249"/>
      <c r="J413" s="249"/>
      <c r="K413" s="249"/>
      <c r="L413" s="249"/>
      <c r="M413" s="249"/>
      <c r="N413" s="249"/>
      <c r="O413" s="249"/>
      <c r="P413" s="249"/>
      <c r="Q413" s="249"/>
      <c r="R413" s="249"/>
      <c r="S413" s="249"/>
      <c r="T413" s="249"/>
      <c r="U413" s="249"/>
      <c r="V413" s="249"/>
      <c r="W413" s="249"/>
      <c r="X413" s="249"/>
      <c r="Y413" s="249"/>
      <c r="Z413" s="249"/>
      <c r="AA413" s="249"/>
      <c r="AB413" s="249"/>
    </row>
    <row r="414" spans="1:28">
      <c r="A414" s="249"/>
      <c r="B414" s="249"/>
      <c r="C414" s="249"/>
      <c r="D414" s="249"/>
      <c r="E414" s="249"/>
      <c r="F414" s="249"/>
      <c r="G414" s="249"/>
      <c r="H414" s="249"/>
      <c r="I414" s="249"/>
      <c r="J414" s="249"/>
      <c r="K414" s="249"/>
      <c r="L414" s="249"/>
      <c r="M414" s="249"/>
      <c r="N414" s="249"/>
      <c r="O414" s="249"/>
      <c r="P414" s="249"/>
      <c r="Q414" s="249"/>
      <c r="R414" s="249"/>
      <c r="S414" s="249"/>
      <c r="T414" s="249"/>
      <c r="U414" s="249"/>
      <c r="V414" s="249"/>
      <c r="W414" s="249"/>
      <c r="X414" s="249"/>
      <c r="Y414" s="249"/>
      <c r="Z414" s="249"/>
      <c r="AA414" s="249"/>
      <c r="AB414" s="249"/>
    </row>
    <row r="415" spans="1:28">
      <c r="A415" s="249"/>
      <c r="B415" s="249"/>
      <c r="C415" s="249"/>
      <c r="D415" s="249"/>
      <c r="E415" s="249"/>
      <c r="F415" s="249"/>
      <c r="G415" s="249"/>
      <c r="H415" s="249"/>
      <c r="I415" s="249"/>
      <c r="J415" s="249"/>
      <c r="K415" s="249"/>
      <c r="L415" s="249"/>
      <c r="M415" s="249"/>
      <c r="N415" s="249"/>
      <c r="O415" s="249"/>
      <c r="P415" s="249"/>
      <c r="Q415" s="249"/>
      <c r="R415" s="249"/>
      <c r="S415" s="249"/>
      <c r="T415" s="249"/>
      <c r="U415" s="249"/>
      <c r="V415" s="249"/>
      <c r="W415" s="249"/>
      <c r="X415" s="249"/>
      <c r="Y415" s="249"/>
      <c r="Z415" s="249"/>
      <c r="AA415" s="249"/>
      <c r="AB415" s="249"/>
    </row>
    <row r="416" spans="1:28">
      <c r="A416" s="249"/>
      <c r="B416" s="249"/>
      <c r="C416" s="249"/>
      <c r="D416" s="249"/>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249"/>
      <c r="AA416" s="249"/>
      <c r="AB416" s="249"/>
    </row>
    <row r="417" spans="1:28">
      <c r="A417" s="249"/>
      <c r="B417" s="249"/>
      <c r="C417" s="249"/>
      <c r="D417" s="249"/>
      <c r="E417" s="249"/>
      <c r="F417" s="249"/>
      <c r="G417" s="249"/>
      <c r="H417" s="249"/>
      <c r="I417" s="249"/>
      <c r="J417" s="249"/>
      <c r="K417" s="249"/>
      <c r="L417" s="249"/>
      <c r="M417" s="249"/>
      <c r="N417" s="249"/>
      <c r="O417" s="249"/>
      <c r="P417" s="249"/>
      <c r="Q417" s="249"/>
      <c r="R417" s="249"/>
      <c r="S417" s="249"/>
      <c r="T417" s="249"/>
      <c r="U417" s="249"/>
      <c r="V417" s="249"/>
      <c r="W417" s="249"/>
      <c r="X417" s="249"/>
      <c r="Y417" s="249"/>
      <c r="Z417" s="249"/>
      <c r="AA417" s="249"/>
      <c r="AB417" s="249"/>
    </row>
    <row r="418" spans="1:28">
      <c r="A418" s="249"/>
      <c r="B418" s="249"/>
      <c r="C418" s="249"/>
      <c r="D418" s="249"/>
      <c r="E418" s="249"/>
      <c r="F418" s="249"/>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row>
    <row r="419" spans="1:28">
      <c r="A419" s="249"/>
      <c r="B419" s="249"/>
      <c r="C419" s="249"/>
      <c r="D419" s="249"/>
      <c r="E419" s="249"/>
      <c r="F419" s="249"/>
      <c r="G419" s="249"/>
      <c r="H419" s="249"/>
      <c r="I419" s="249"/>
      <c r="J419" s="249"/>
      <c r="K419" s="249"/>
      <c r="L419" s="249"/>
      <c r="M419" s="249"/>
      <c r="N419" s="249"/>
      <c r="O419" s="249"/>
      <c r="P419" s="249"/>
      <c r="Q419" s="249"/>
      <c r="R419" s="249"/>
      <c r="S419" s="249"/>
      <c r="T419" s="249"/>
      <c r="U419" s="249"/>
      <c r="V419" s="249"/>
      <c r="W419" s="249"/>
      <c r="X419" s="249"/>
      <c r="Y419" s="249"/>
      <c r="Z419" s="249"/>
      <c r="AA419" s="249"/>
      <c r="AB419" s="249"/>
    </row>
    <row r="420" spans="1:28">
      <c r="A420" s="249"/>
      <c r="B420" s="249"/>
      <c r="C420" s="249"/>
      <c r="D420" s="249"/>
      <c r="E420" s="249"/>
      <c r="F420" s="249"/>
      <c r="G420" s="249"/>
      <c r="H420" s="249"/>
      <c r="I420" s="249"/>
      <c r="J420" s="249"/>
      <c r="K420" s="249"/>
      <c r="L420" s="249"/>
      <c r="M420" s="249"/>
      <c r="N420" s="249"/>
      <c r="O420" s="249"/>
      <c r="P420" s="249"/>
      <c r="Q420" s="249"/>
      <c r="R420" s="249"/>
      <c r="S420" s="249"/>
      <c r="T420" s="249"/>
      <c r="U420" s="249"/>
      <c r="V420" s="249"/>
      <c r="W420" s="249"/>
      <c r="X420" s="249"/>
      <c r="Y420" s="249"/>
      <c r="Z420" s="249"/>
      <c r="AA420" s="249"/>
      <c r="AB420" s="249"/>
    </row>
    <row r="421" spans="1:28">
      <c r="A421" s="249"/>
      <c r="B421" s="249"/>
      <c r="C421" s="249"/>
      <c r="D421" s="249"/>
      <c r="E421" s="249"/>
      <c r="F421" s="249"/>
      <c r="G421" s="249"/>
      <c r="H421" s="249"/>
      <c r="I421" s="249"/>
      <c r="J421" s="249"/>
      <c r="K421" s="249"/>
      <c r="L421" s="249"/>
      <c r="M421" s="249"/>
      <c r="N421" s="249"/>
      <c r="O421" s="249"/>
      <c r="P421" s="249"/>
      <c r="Q421" s="249"/>
      <c r="R421" s="249"/>
      <c r="S421" s="249"/>
      <c r="T421" s="249"/>
      <c r="U421" s="249"/>
      <c r="V421" s="249"/>
      <c r="W421" s="249"/>
      <c r="X421" s="249"/>
      <c r="Y421" s="249"/>
      <c r="Z421" s="249"/>
      <c r="AA421" s="249"/>
      <c r="AB421" s="249"/>
    </row>
    <row r="422" spans="1:28">
      <c r="A422" s="249"/>
      <c r="B422" s="249"/>
      <c r="C422" s="249"/>
      <c r="D422" s="249"/>
      <c r="E422" s="249"/>
      <c r="F422" s="249"/>
      <c r="G422" s="249"/>
      <c r="H422" s="249"/>
      <c r="I422" s="249"/>
      <c r="J422" s="249"/>
      <c r="K422" s="249"/>
      <c r="L422" s="249"/>
      <c r="M422" s="249"/>
      <c r="N422" s="249"/>
      <c r="O422" s="249"/>
      <c r="P422" s="249"/>
      <c r="Q422" s="249"/>
      <c r="R422" s="249"/>
      <c r="S422" s="249"/>
      <c r="T422" s="249"/>
      <c r="U422" s="249"/>
      <c r="V422" s="249"/>
      <c r="W422" s="249"/>
      <c r="X422" s="249"/>
      <c r="Y422" s="249"/>
      <c r="Z422" s="249"/>
      <c r="AA422" s="249"/>
      <c r="AB422" s="249"/>
    </row>
    <row r="423" spans="1:28">
      <c r="A423" s="249"/>
      <c r="B423" s="249"/>
      <c r="C423" s="249"/>
      <c r="D423" s="249"/>
      <c r="E423" s="249"/>
      <c r="F423" s="249"/>
      <c r="G423" s="249"/>
      <c r="H423" s="249"/>
      <c r="I423" s="249"/>
      <c r="J423" s="249"/>
      <c r="K423" s="249"/>
      <c r="L423" s="249"/>
      <c r="M423" s="249"/>
      <c r="N423" s="249"/>
      <c r="O423" s="249"/>
      <c r="P423" s="249"/>
      <c r="Q423" s="249"/>
      <c r="R423" s="249"/>
      <c r="S423" s="249"/>
      <c r="T423" s="249"/>
      <c r="U423" s="249"/>
      <c r="V423" s="249"/>
      <c r="W423" s="249"/>
      <c r="X423" s="249"/>
      <c r="Y423" s="249"/>
      <c r="Z423" s="249"/>
      <c r="AA423" s="249"/>
      <c r="AB423" s="249"/>
    </row>
    <row r="424" spans="1:28">
      <c r="A424" s="249"/>
      <c r="B424" s="249"/>
      <c r="C424" s="249"/>
      <c r="D424" s="249"/>
      <c r="E424" s="249"/>
      <c r="F424" s="249"/>
      <c r="G424" s="249"/>
      <c r="H424" s="249"/>
      <c r="I424" s="249"/>
      <c r="J424" s="249"/>
      <c r="K424" s="249"/>
      <c r="L424" s="249"/>
      <c r="M424" s="249"/>
      <c r="N424" s="249"/>
      <c r="O424" s="249"/>
      <c r="P424" s="249"/>
      <c r="Q424" s="249"/>
      <c r="R424" s="249"/>
      <c r="S424" s="249"/>
      <c r="T424" s="249"/>
      <c r="U424" s="249"/>
      <c r="V424" s="249"/>
      <c r="W424" s="249"/>
      <c r="X424" s="249"/>
      <c r="Y424" s="249"/>
      <c r="Z424" s="249"/>
      <c r="AA424" s="249"/>
      <c r="AB424" s="249"/>
    </row>
    <row r="425" spans="1:28">
      <c r="A425" s="249"/>
      <c r="B425" s="249"/>
      <c r="C425" s="249"/>
      <c r="D425" s="249"/>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49"/>
      <c r="AA425" s="249"/>
      <c r="AB425" s="249"/>
    </row>
    <row r="426" spans="1:28">
      <c r="A426" s="249"/>
      <c r="B426" s="249"/>
      <c r="C426" s="249"/>
      <c r="D426" s="249"/>
      <c r="E426" s="249"/>
      <c r="F426" s="249"/>
      <c r="G426" s="249"/>
      <c r="H426" s="249"/>
      <c r="I426" s="249"/>
      <c r="J426" s="249"/>
      <c r="K426" s="249"/>
      <c r="L426" s="249"/>
      <c r="M426" s="249"/>
      <c r="N426" s="249"/>
      <c r="O426" s="249"/>
      <c r="P426" s="249"/>
      <c r="Q426" s="249"/>
      <c r="R426" s="249"/>
      <c r="S426" s="249"/>
      <c r="T426" s="249"/>
      <c r="U426" s="249"/>
      <c r="V426" s="249"/>
      <c r="W426" s="249"/>
      <c r="X426" s="249"/>
      <c r="Y426" s="249"/>
      <c r="Z426" s="249"/>
      <c r="AA426" s="249"/>
      <c r="AB426" s="249"/>
    </row>
    <row r="427" spans="1:28">
      <c r="A427" s="249"/>
      <c r="B427" s="249"/>
      <c r="C427" s="249"/>
      <c r="D427" s="249"/>
      <c r="E427" s="249"/>
      <c r="F427" s="249"/>
      <c r="G427" s="249"/>
      <c r="H427" s="249"/>
      <c r="I427" s="249"/>
      <c r="J427" s="249"/>
      <c r="K427" s="249"/>
      <c r="L427" s="249"/>
      <c r="M427" s="249"/>
      <c r="N427" s="249"/>
      <c r="O427" s="249"/>
      <c r="P427" s="249"/>
      <c r="Q427" s="249"/>
      <c r="R427" s="249"/>
      <c r="S427" s="249"/>
      <c r="T427" s="249"/>
      <c r="U427" s="249"/>
      <c r="V427" s="249"/>
      <c r="W427" s="249"/>
      <c r="X427" s="249"/>
      <c r="Y427" s="249"/>
      <c r="Z427" s="249"/>
      <c r="AA427" s="249"/>
      <c r="AB427" s="249"/>
    </row>
    <row r="428" spans="1:28">
      <c r="A428" s="249"/>
      <c r="B428" s="249"/>
      <c r="C428" s="249"/>
      <c r="D428" s="249"/>
      <c r="E428" s="249"/>
      <c r="F428" s="249"/>
      <c r="G428" s="249"/>
      <c r="H428" s="249"/>
      <c r="I428" s="249"/>
      <c r="J428" s="249"/>
      <c r="K428" s="249"/>
      <c r="L428" s="249"/>
      <c r="M428" s="249"/>
      <c r="N428" s="249"/>
      <c r="O428" s="249"/>
      <c r="P428" s="249"/>
      <c r="Q428" s="249"/>
      <c r="R428" s="249"/>
      <c r="S428" s="249"/>
      <c r="T428" s="249"/>
      <c r="U428" s="249"/>
      <c r="V428" s="249"/>
      <c r="W428" s="249"/>
      <c r="X428" s="249"/>
      <c r="Y428" s="249"/>
      <c r="Z428" s="249"/>
      <c r="AA428" s="249"/>
      <c r="AB428" s="249"/>
    </row>
    <row r="429" spans="1:28">
      <c r="A429" s="249"/>
      <c r="B429" s="249"/>
      <c r="C429" s="249"/>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row>
    <row r="430" spans="1:28">
      <c r="A430" s="249"/>
      <c r="B430" s="249"/>
      <c r="C430" s="249"/>
      <c r="D430" s="249"/>
      <c r="E430" s="249"/>
      <c r="F430" s="249"/>
      <c r="G430" s="249"/>
      <c r="H430" s="249"/>
      <c r="I430" s="249"/>
      <c r="J430" s="249"/>
      <c r="K430" s="249"/>
      <c r="L430" s="249"/>
      <c r="M430" s="249"/>
      <c r="N430" s="249"/>
      <c r="O430" s="249"/>
      <c r="P430" s="249"/>
      <c r="Q430" s="249"/>
      <c r="R430" s="249"/>
      <c r="S430" s="249"/>
      <c r="T430" s="249"/>
      <c r="U430" s="249"/>
      <c r="V430" s="249"/>
      <c r="W430" s="249"/>
      <c r="X430" s="249"/>
      <c r="Y430" s="249"/>
      <c r="Z430" s="249"/>
      <c r="AA430" s="249"/>
      <c r="AB430" s="249"/>
    </row>
    <row r="431" spans="1:28">
      <c r="A431" s="249"/>
      <c r="B431" s="249"/>
      <c r="C431" s="249"/>
      <c r="D431" s="249"/>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249"/>
      <c r="AA431" s="249"/>
      <c r="AB431" s="249"/>
    </row>
    <row r="432" spans="1:28">
      <c r="A432" s="249"/>
      <c r="B432" s="249"/>
      <c r="C432" s="249"/>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c r="AA432" s="249"/>
      <c r="AB432" s="249"/>
    </row>
    <row r="433" spans="1:28">
      <c r="A433" s="249"/>
      <c r="B433" s="249"/>
      <c r="C433" s="249"/>
      <c r="D433" s="249"/>
      <c r="E433" s="249"/>
      <c r="F433" s="249"/>
      <c r="G433" s="249"/>
      <c r="H433" s="249"/>
      <c r="I433" s="249"/>
      <c r="J433" s="249"/>
      <c r="K433" s="249"/>
      <c r="L433" s="249"/>
      <c r="M433" s="249"/>
      <c r="N433" s="249"/>
      <c r="O433" s="249"/>
      <c r="P433" s="249"/>
      <c r="Q433" s="249"/>
      <c r="R433" s="249"/>
      <c r="S433" s="249"/>
      <c r="T433" s="249"/>
      <c r="U433" s="249"/>
      <c r="V433" s="249"/>
      <c r="W433" s="249"/>
      <c r="X433" s="249"/>
      <c r="Y433" s="249"/>
      <c r="Z433" s="249"/>
      <c r="AA433" s="249"/>
      <c r="AB433" s="249"/>
    </row>
    <row r="434" spans="1:28">
      <c r="A434" s="249"/>
      <c r="B434" s="249"/>
      <c r="C434" s="249"/>
      <c r="D434" s="249"/>
      <c r="E434" s="249"/>
      <c r="F434" s="249"/>
      <c r="G434" s="249"/>
      <c r="H434" s="249"/>
      <c r="I434" s="249"/>
      <c r="J434" s="249"/>
      <c r="K434" s="249"/>
      <c r="L434" s="249"/>
      <c r="M434" s="249"/>
      <c r="N434" s="249"/>
      <c r="O434" s="249"/>
      <c r="P434" s="249"/>
      <c r="Q434" s="249"/>
      <c r="R434" s="249"/>
      <c r="S434" s="249"/>
      <c r="T434" s="249"/>
      <c r="U434" s="249"/>
      <c r="V434" s="249"/>
      <c r="W434" s="249"/>
      <c r="X434" s="249"/>
      <c r="Y434" s="249"/>
      <c r="Z434" s="249"/>
      <c r="AA434" s="249"/>
      <c r="AB434" s="249"/>
    </row>
    <row r="435" spans="1:28">
      <c r="A435" s="249"/>
      <c r="B435" s="249"/>
      <c r="C435" s="249"/>
      <c r="D435" s="249"/>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49"/>
      <c r="AA435" s="249"/>
      <c r="AB435" s="249"/>
    </row>
    <row r="436" spans="1:28">
      <c r="A436" s="249"/>
      <c r="B436" s="249"/>
      <c r="C436" s="249"/>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c r="AA436" s="249"/>
      <c r="AB436" s="249"/>
    </row>
    <row r="437" spans="1:28">
      <c r="A437" s="249"/>
      <c r="B437" s="249"/>
      <c r="C437" s="249"/>
      <c r="D437" s="249"/>
      <c r="E437" s="249"/>
      <c r="F437" s="249"/>
      <c r="G437" s="249"/>
      <c r="H437" s="249"/>
      <c r="I437" s="249"/>
      <c r="J437" s="249"/>
      <c r="K437" s="249"/>
      <c r="L437" s="249"/>
      <c r="M437" s="249"/>
      <c r="N437" s="249"/>
      <c r="O437" s="249"/>
      <c r="P437" s="249"/>
      <c r="Q437" s="249"/>
      <c r="R437" s="249"/>
      <c r="S437" s="249"/>
      <c r="T437" s="249"/>
      <c r="U437" s="249"/>
      <c r="V437" s="249"/>
      <c r="W437" s="249"/>
      <c r="X437" s="249"/>
      <c r="Y437" s="249"/>
      <c r="Z437" s="249"/>
      <c r="AA437" s="249"/>
      <c r="AB437" s="249"/>
    </row>
    <row r="438" spans="1:28">
      <c r="A438" s="249"/>
      <c r="B438" s="249"/>
      <c r="C438" s="249"/>
      <c r="D438" s="249"/>
      <c r="E438" s="249"/>
      <c r="F438" s="249"/>
      <c r="G438" s="249"/>
      <c r="H438" s="249"/>
      <c r="I438" s="249"/>
      <c r="J438" s="249"/>
      <c r="K438" s="249"/>
      <c r="L438" s="249"/>
      <c r="M438" s="249"/>
      <c r="N438" s="249"/>
      <c r="O438" s="249"/>
      <c r="P438" s="249"/>
      <c r="Q438" s="249"/>
      <c r="R438" s="249"/>
      <c r="S438" s="249"/>
      <c r="T438" s="249"/>
      <c r="U438" s="249"/>
      <c r="V438" s="249"/>
      <c r="W438" s="249"/>
      <c r="X438" s="249"/>
      <c r="Y438" s="249"/>
      <c r="Z438" s="249"/>
      <c r="AA438" s="249"/>
      <c r="AB438" s="249"/>
    </row>
    <row r="439" spans="1:28">
      <c r="A439" s="249"/>
      <c r="B439" s="249"/>
      <c r="C439" s="249"/>
      <c r="D439" s="249"/>
      <c r="E439" s="249"/>
      <c r="F439" s="249"/>
      <c r="G439" s="249"/>
      <c r="H439" s="249"/>
      <c r="I439" s="249"/>
      <c r="J439" s="249"/>
      <c r="K439" s="249"/>
      <c r="L439" s="249"/>
      <c r="M439" s="249"/>
      <c r="N439" s="249"/>
      <c r="O439" s="249"/>
      <c r="P439" s="249"/>
      <c r="Q439" s="249"/>
      <c r="R439" s="249"/>
      <c r="S439" s="249"/>
      <c r="T439" s="249"/>
      <c r="U439" s="249"/>
      <c r="V439" s="249"/>
      <c r="W439" s="249"/>
      <c r="X439" s="249"/>
      <c r="Y439" s="249"/>
      <c r="Z439" s="249"/>
      <c r="AA439" s="249"/>
      <c r="AB439" s="249"/>
    </row>
    <row r="440" spans="1:28">
      <c r="A440" s="249"/>
      <c r="B440" s="249"/>
      <c r="C440" s="249"/>
      <c r="D440" s="249"/>
      <c r="E440" s="249"/>
      <c r="F440" s="249"/>
      <c r="G440" s="249"/>
      <c r="H440" s="249"/>
      <c r="I440" s="249"/>
      <c r="J440" s="249"/>
      <c r="K440" s="249"/>
      <c r="L440" s="249"/>
      <c r="M440" s="249"/>
      <c r="N440" s="249"/>
      <c r="O440" s="249"/>
      <c r="P440" s="249"/>
      <c r="Q440" s="249"/>
      <c r="R440" s="249"/>
      <c r="S440" s="249"/>
      <c r="T440" s="249"/>
      <c r="U440" s="249"/>
      <c r="V440" s="249"/>
      <c r="W440" s="249"/>
      <c r="X440" s="249"/>
      <c r="Y440" s="249"/>
      <c r="Z440" s="249"/>
      <c r="AA440" s="249"/>
      <c r="AB440" s="249"/>
    </row>
    <row r="441" spans="1:28">
      <c r="A441" s="249"/>
      <c r="B441" s="249"/>
      <c r="C441" s="249"/>
      <c r="D441" s="249"/>
      <c r="E441" s="249"/>
      <c r="F441" s="249"/>
      <c r="G441" s="249"/>
      <c r="H441" s="249"/>
      <c r="I441" s="249"/>
      <c r="J441" s="249"/>
      <c r="K441" s="249"/>
      <c r="L441" s="249"/>
      <c r="M441" s="249"/>
      <c r="N441" s="249"/>
      <c r="O441" s="249"/>
      <c r="P441" s="249"/>
      <c r="Q441" s="249"/>
      <c r="R441" s="249"/>
      <c r="S441" s="249"/>
      <c r="T441" s="249"/>
      <c r="U441" s="249"/>
      <c r="V441" s="249"/>
      <c r="W441" s="249"/>
      <c r="X441" s="249"/>
      <c r="Y441" s="249"/>
      <c r="Z441" s="249"/>
      <c r="AA441" s="249"/>
      <c r="AB441" s="249"/>
    </row>
    <row r="442" spans="1:28">
      <c r="A442" s="249"/>
      <c r="B442" s="249"/>
      <c r="C442" s="249"/>
      <c r="D442" s="249"/>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49"/>
      <c r="AA442" s="249"/>
      <c r="AB442" s="249"/>
    </row>
    <row r="443" spans="1:28">
      <c r="A443" s="249"/>
      <c r="B443" s="249"/>
      <c r="C443" s="249"/>
      <c r="D443" s="249"/>
      <c r="E443" s="249"/>
      <c r="F443" s="249"/>
      <c r="G443" s="249"/>
      <c r="H443" s="249"/>
      <c r="I443" s="249"/>
      <c r="J443" s="249"/>
      <c r="K443" s="249"/>
      <c r="L443" s="249"/>
      <c r="M443" s="249"/>
      <c r="N443" s="249"/>
      <c r="O443" s="249"/>
      <c r="P443" s="249"/>
      <c r="Q443" s="249"/>
      <c r="R443" s="249"/>
      <c r="S443" s="249"/>
      <c r="T443" s="249"/>
      <c r="U443" s="249"/>
      <c r="V443" s="249"/>
      <c r="W443" s="249"/>
      <c r="X443" s="249"/>
      <c r="Y443" s="249"/>
      <c r="Z443" s="249"/>
      <c r="AA443" s="249"/>
      <c r="AB443" s="249"/>
    </row>
    <row r="444" spans="1:28">
      <c r="A444" s="249"/>
      <c r="B444" s="249"/>
      <c r="C444" s="249"/>
      <c r="D444" s="249"/>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49"/>
      <c r="AA444" s="249"/>
      <c r="AB444" s="249"/>
    </row>
    <row r="445" spans="1:28">
      <c r="A445" s="249"/>
      <c r="B445" s="249"/>
      <c r="C445" s="249"/>
      <c r="D445" s="249"/>
      <c r="E445" s="249"/>
      <c r="F445" s="249"/>
      <c r="G445" s="249"/>
      <c r="H445" s="249"/>
      <c r="I445" s="249"/>
      <c r="J445" s="249"/>
      <c r="K445" s="249"/>
      <c r="L445" s="249"/>
      <c r="M445" s="249"/>
      <c r="N445" s="249"/>
      <c r="O445" s="249"/>
      <c r="P445" s="249"/>
      <c r="Q445" s="249"/>
      <c r="R445" s="249"/>
      <c r="S445" s="249"/>
      <c r="T445" s="249"/>
      <c r="U445" s="249"/>
      <c r="V445" s="249"/>
      <c r="W445" s="249"/>
      <c r="X445" s="249"/>
      <c r="Y445" s="249"/>
      <c r="Z445" s="249"/>
      <c r="AA445" s="249"/>
      <c r="AB445" s="249"/>
    </row>
    <row r="446" spans="1:28">
      <c r="A446" s="249"/>
      <c r="B446" s="249"/>
      <c r="C446" s="249"/>
      <c r="D446" s="249"/>
      <c r="E446" s="249"/>
      <c r="F446" s="249"/>
      <c r="G446" s="249"/>
      <c r="H446" s="249"/>
      <c r="I446" s="249"/>
      <c r="J446" s="249"/>
      <c r="K446" s="249"/>
      <c r="L446" s="249"/>
      <c r="M446" s="249"/>
      <c r="N446" s="249"/>
      <c r="O446" s="249"/>
      <c r="P446" s="249"/>
      <c r="Q446" s="249"/>
      <c r="R446" s="249"/>
      <c r="S446" s="249"/>
      <c r="T446" s="249"/>
      <c r="U446" s="249"/>
      <c r="V446" s="249"/>
      <c r="W446" s="249"/>
      <c r="X446" s="249"/>
      <c r="Y446" s="249"/>
      <c r="Z446" s="249"/>
      <c r="AA446" s="249"/>
      <c r="AB446" s="249"/>
    </row>
    <row r="447" spans="1:28">
      <c r="A447" s="249"/>
      <c r="B447" s="249"/>
      <c r="C447" s="249"/>
      <c r="D447" s="249"/>
      <c r="E447" s="249"/>
      <c r="F447" s="249"/>
      <c r="G447" s="249"/>
      <c r="H447" s="249"/>
      <c r="I447" s="249"/>
      <c r="J447" s="249"/>
      <c r="K447" s="249"/>
      <c r="L447" s="249"/>
      <c r="M447" s="249"/>
      <c r="N447" s="249"/>
      <c r="O447" s="249"/>
      <c r="P447" s="249"/>
      <c r="Q447" s="249"/>
      <c r="R447" s="249"/>
      <c r="S447" s="249"/>
      <c r="T447" s="249"/>
      <c r="U447" s="249"/>
      <c r="V447" s="249"/>
      <c r="W447" s="249"/>
      <c r="X447" s="249"/>
      <c r="Y447" s="249"/>
      <c r="Z447" s="249"/>
      <c r="AA447" s="249"/>
      <c r="AB447" s="249"/>
    </row>
    <row r="448" spans="1:28">
      <c r="A448" s="249"/>
      <c r="B448" s="249"/>
      <c r="C448" s="249"/>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c r="AA448" s="249"/>
      <c r="AB448" s="249"/>
    </row>
    <row r="449" spans="1:28">
      <c r="A449" s="249"/>
      <c r="B449" s="249"/>
      <c r="C449" s="249"/>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49"/>
      <c r="AA449" s="249"/>
      <c r="AB449" s="249"/>
    </row>
    <row r="450" spans="1:28">
      <c r="A450" s="249"/>
      <c r="B450" s="249"/>
      <c r="C450" s="249"/>
      <c r="D450" s="249"/>
      <c r="E450" s="249"/>
      <c r="F450" s="249"/>
      <c r="G450" s="249"/>
      <c r="H450" s="249"/>
      <c r="I450" s="249"/>
      <c r="J450" s="249"/>
      <c r="K450" s="249"/>
      <c r="L450" s="249"/>
      <c r="M450" s="249"/>
      <c r="N450" s="249"/>
      <c r="O450" s="249"/>
      <c r="P450" s="249"/>
      <c r="Q450" s="249"/>
      <c r="R450" s="249"/>
      <c r="S450" s="249"/>
      <c r="T450" s="249"/>
      <c r="U450" s="249"/>
      <c r="V450" s="249"/>
      <c r="W450" s="249"/>
      <c r="X450" s="249"/>
      <c r="Y450" s="249"/>
      <c r="Z450" s="249"/>
      <c r="AA450" s="249"/>
      <c r="AB450" s="249"/>
    </row>
    <row r="451" spans="1:28">
      <c r="A451" s="249"/>
      <c r="B451" s="249"/>
      <c r="C451" s="249"/>
      <c r="D451" s="249"/>
      <c r="E451" s="249"/>
      <c r="F451" s="249"/>
      <c r="G451" s="249"/>
      <c r="H451" s="249"/>
      <c r="I451" s="249"/>
      <c r="J451" s="249"/>
      <c r="K451" s="249"/>
      <c r="L451" s="249"/>
      <c r="M451" s="249"/>
      <c r="N451" s="249"/>
      <c r="O451" s="249"/>
      <c r="P451" s="249"/>
      <c r="Q451" s="249"/>
      <c r="R451" s="249"/>
      <c r="S451" s="249"/>
      <c r="T451" s="249"/>
      <c r="U451" s="249"/>
      <c r="V451" s="249"/>
      <c r="W451" s="249"/>
      <c r="X451" s="249"/>
      <c r="Y451" s="249"/>
      <c r="Z451" s="249"/>
      <c r="AA451" s="249"/>
      <c r="AB451" s="249"/>
    </row>
    <row r="452" spans="1:28">
      <c r="A452" s="249"/>
      <c r="B452" s="249"/>
      <c r="C452" s="249"/>
      <c r="D452" s="249"/>
      <c r="E452" s="249"/>
      <c r="F452" s="249"/>
      <c r="G452" s="249"/>
      <c r="H452" s="249"/>
      <c r="I452" s="249"/>
      <c r="J452" s="249"/>
      <c r="K452" s="249"/>
      <c r="L452" s="249"/>
      <c r="M452" s="249"/>
      <c r="N452" s="249"/>
      <c r="O452" s="249"/>
      <c r="P452" s="249"/>
      <c r="Q452" s="249"/>
      <c r="R452" s="249"/>
      <c r="S452" s="249"/>
      <c r="T452" s="249"/>
      <c r="U452" s="249"/>
      <c r="V452" s="249"/>
      <c r="W452" s="249"/>
      <c r="X452" s="249"/>
      <c r="Y452" s="249"/>
      <c r="Z452" s="249"/>
      <c r="AA452" s="249"/>
      <c r="AB452" s="249"/>
    </row>
    <row r="453" spans="1:28">
      <c r="A453" s="249"/>
      <c r="B453" s="249"/>
      <c r="C453" s="249"/>
      <c r="D453" s="249"/>
      <c r="E453" s="249"/>
      <c r="F453" s="249"/>
      <c r="G453" s="249"/>
      <c r="H453" s="249"/>
      <c r="I453" s="249"/>
      <c r="J453" s="249"/>
      <c r="K453" s="249"/>
      <c r="L453" s="249"/>
      <c r="M453" s="249"/>
      <c r="N453" s="249"/>
      <c r="O453" s="249"/>
      <c r="P453" s="249"/>
      <c r="Q453" s="249"/>
      <c r="R453" s="249"/>
      <c r="S453" s="249"/>
      <c r="T453" s="249"/>
      <c r="U453" s="249"/>
      <c r="V453" s="249"/>
      <c r="W453" s="249"/>
      <c r="X453" s="249"/>
      <c r="Y453" s="249"/>
      <c r="Z453" s="249"/>
      <c r="AA453" s="249"/>
      <c r="AB453" s="249"/>
    </row>
    <row r="454" spans="1:28">
      <c r="A454" s="249"/>
      <c r="B454" s="249"/>
      <c r="C454" s="249"/>
      <c r="D454" s="249"/>
      <c r="E454" s="249"/>
      <c r="F454" s="249"/>
      <c r="G454" s="249"/>
      <c r="H454" s="249"/>
      <c r="I454" s="249"/>
      <c r="J454" s="249"/>
      <c r="K454" s="249"/>
      <c r="L454" s="249"/>
      <c r="M454" s="249"/>
      <c r="N454" s="249"/>
      <c r="O454" s="249"/>
      <c r="P454" s="249"/>
      <c r="Q454" s="249"/>
      <c r="R454" s="249"/>
      <c r="S454" s="249"/>
      <c r="T454" s="249"/>
      <c r="U454" s="249"/>
      <c r="V454" s="249"/>
      <c r="W454" s="249"/>
      <c r="X454" s="249"/>
      <c r="Y454" s="249"/>
      <c r="Z454" s="249"/>
      <c r="AA454" s="249"/>
      <c r="AB454" s="249"/>
    </row>
    <row r="455" spans="1:28">
      <c r="A455" s="249"/>
      <c r="B455" s="249"/>
      <c r="C455" s="249"/>
      <c r="D455" s="249"/>
      <c r="E455" s="249"/>
      <c r="F455" s="249"/>
      <c r="G455" s="249"/>
      <c r="H455" s="249"/>
      <c r="I455" s="249"/>
      <c r="J455" s="249"/>
      <c r="K455" s="249"/>
      <c r="L455" s="249"/>
      <c r="M455" s="249"/>
      <c r="N455" s="249"/>
      <c r="O455" s="249"/>
      <c r="P455" s="249"/>
      <c r="Q455" s="249"/>
      <c r="R455" s="249"/>
      <c r="S455" s="249"/>
      <c r="T455" s="249"/>
      <c r="U455" s="249"/>
      <c r="V455" s="249"/>
      <c r="W455" s="249"/>
      <c r="X455" s="249"/>
      <c r="Y455" s="249"/>
      <c r="Z455" s="249"/>
      <c r="AA455" s="249"/>
      <c r="AB455" s="249"/>
    </row>
    <row r="456" spans="1:28">
      <c r="A456" s="249"/>
      <c r="B456" s="249"/>
      <c r="C456" s="249"/>
      <c r="D456" s="249"/>
      <c r="E456" s="249"/>
      <c r="F456" s="249"/>
      <c r="G456" s="249"/>
      <c r="H456" s="249"/>
      <c r="I456" s="249"/>
      <c r="J456" s="249"/>
      <c r="K456" s="249"/>
      <c r="L456" s="249"/>
      <c r="M456" s="249"/>
      <c r="N456" s="249"/>
      <c r="O456" s="249"/>
      <c r="P456" s="249"/>
      <c r="Q456" s="249"/>
      <c r="R456" s="249"/>
      <c r="S456" s="249"/>
      <c r="T456" s="249"/>
      <c r="U456" s="249"/>
      <c r="V456" s="249"/>
      <c r="W456" s="249"/>
      <c r="X456" s="249"/>
      <c r="Y456" s="249"/>
      <c r="Z456" s="249"/>
      <c r="AA456" s="249"/>
      <c r="AB456" s="249"/>
    </row>
    <row r="457" spans="1:28">
      <c r="A457" s="247"/>
      <c r="B457" s="249"/>
      <c r="C457" s="249"/>
      <c r="D457" s="247"/>
      <c r="E457" s="249"/>
      <c r="F457" s="249"/>
      <c r="G457" s="249"/>
      <c r="H457" s="249"/>
      <c r="I457" s="247"/>
      <c r="J457" s="247"/>
      <c r="K457" s="247"/>
      <c r="L457" s="247"/>
      <c r="M457" s="247"/>
      <c r="N457" s="247"/>
      <c r="O457" s="247"/>
      <c r="P457" s="247"/>
      <c r="Q457" s="247"/>
      <c r="R457" s="247"/>
      <c r="S457" s="247"/>
      <c r="T457" s="247"/>
      <c r="U457" s="247"/>
      <c r="V457" s="247"/>
      <c r="W457" s="247"/>
      <c r="X457" s="247"/>
      <c r="Y457" s="247"/>
      <c r="Z457" s="247"/>
      <c r="AA457" s="247"/>
      <c r="AB457" s="247"/>
    </row>
    <row r="458" spans="1:28">
      <c r="A458" s="247"/>
      <c r="B458" s="249"/>
      <c r="C458" s="249"/>
      <c r="D458" s="247"/>
      <c r="E458" s="249"/>
      <c r="F458" s="249"/>
      <c r="G458" s="249"/>
      <c r="H458" s="249"/>
      <c r="I458" s="247"/>
      <c r="J458" s="247"/>
      <c r="K458" s="247"/>
      <c r="L458" s="247"/>
      <c r="M458" s="247"/>
      <c r="N458" s="247"/>
      <c r="O458" s="247"/>
      <c r="P458" s="247"/>
      <c r="Q458" s="247"/>
      <c r="R458" s="247"/>
      <c r="S458" s="247"/>
      <c r="T458" s="247"/>
      <c r="U458" s="247"/>
      <c r="V458" s="247"/>
      <c r="W458" s="247"/>
      <c r="X458" s="247"/>
      <c r="Y458" s="247"/>
      <c r="Z458" s="247"/>
      <c r="AA458" s="247"/>
      <c r="AB458" s="247"/>
    </row>
    <row r="459" spans="1:28">
      <c r="A459" s="247"/>
      <c r="B459" s="249"/>
      <c r="C459" s="249"/>
      <c r="D459" s="247"/>
      <c r="E459" s="249"/>
      <c r="F459" s="249"/>
      <c r="G459" s="249"/>
      <c r="H459" s="249"/>
      <c r="I459" s="247"/>
      <c r="J459" s="247"/>
      <c r="K459" s="247"/>
      <c r="L459" s="247"/>
      <c r="M459" s="247"/>
      <c r="N459" s="247"/>
      <c r="O459" s="247"/>
      <c r="P459" s="247"/>
      <c r="Q459" s="247"/>
      <c r="R459" s="247"/>
      <c r="S459" s="247"/>
      <c r="T459" s="247"/>
      <c r="U459" s="247"/>
      <c r="V459" s="247"/>
      <c r="W459" s="247"/>
      <c r="X459" s="247"/>
      <c r="Y459" s="247"/>
      <c r="Z459" s="247"/>
      <c r="AA459" s="247"/>
      <c r="AB459" s="247"/>
    </row>
    <row r="460" spans="1:28">
      <c r="A460" s="247"/>
      <c r="B460" s="249"/>
      <c r="C460" s="249"/>
      <c r="D460" s="247"/>
      <c r="E460" s="249"/>
      <c r="F460" s="249"/>
      <c r="G460" s="249"/>
      <c r="H460" s="249"/>
      <c r="I460" s="247"/>
      <c r="J460" s="247"/>
      <c r="K460" s="247"/>
      <c r="L460" s="247"/>
      <c r="M460" s="247"/>
      <c r="N460" s="247"/>
      <c r="O460" s="247"/>
      <c r="P460" s="247"/>
      <c r="Q460" s="247"/>
      <c r="R460" s="247"/>
      <c r="S460" s="247"/>
      <c r="T460" s="247"/>
      <c r="U460" s="247"/>
      <c r="V460" s="247"/>
      <c r="W460" s="247"/>
      <c r="X460" s="247"/>
      <c r="Y460" s="247"/>
      <c r="Z460" s="247"/>
      <c r="AA460" s="247"/>
      <c r="AB460" s="247"/>
    </row>
    <row r="461" spans="1:28">
      <c r="A461" s="247"/>
      <c r="B461" s="249"/>
      <c r="C461" s="249"/>
      <c r="D461" s="247"/>
      <c r="E461" s="249"/>
      <c r="F461" s="249"/>
      <c r="G461" s="249"/>
      <c r="H461" s="249"/>
      <c r="I461" s="247"/>
      <c r="J461" s="247"/>
      <c r="K461" s="247"/>
      <c r="L461" s="247"/>
      <c r="M461" s="247"/>
      <c r="N461" s="247"/>
      <c r="O461" s="247"/>
      <c r="P461" s="247"/>
      <c r="Q461" s="247"/>
      <c r="R461" s="247"/>
      <c r="S461" s="247"/>
      <c r="T461" s="247"/>
      <c r="U461" s="247"/>
      <c r="V461" s="247"/>
      <c r="W461" s="247"/>
      <c r="X461" s="247"/>
      <c r="Y461" s="247"/>
      <c r="Z461" s="247"/>
      <c r="AA461" s="247"/>
      <c r="AB461" s="247"/>
    </row>
    <row r="462" spans="1:28">
      <c r="A462" s="247"/>
      <c r="B462" s="249"/>
      <c r="C462" s="249"/>
      <c r="D462" s="247"/>
      <c r="E462" s="249"/>
      <c r="F462" s="249"/>
      <c r="G462" s="249"/>
      <c r="H462" s="249"/>
      <c r="I462" s="247"/>
      <c r="J462" s="247"/>
      <c r="K462" s="247"/>
      <c r="L462" s="247"/>
      <c r="M462" s="247"/>
      <c r="N462" s="247"/>
      <c r="O462" s="247"/>
      <c r="P462" s="247"/>
      <c r="Q462" s="247"/>
      <c r="R462" s="247"/>
      <c r="S462" s="247"/>
      <c r="T462" s="247"/>
      <c r="U462" s="247"/>
      <c r="V462" s="247"/>
      <c r="W462" s="247"/>
      <c r="X462" s="247"/>
      <c r="Y462" s="247"/>
      <c r="Z462" s="247"/>
      <c r="AA462" s="247"/>
      <c r="AB462" s="247"/>
    </row>
    <row r="463" spans="1:28">
      <c r="A463" s="247"/>
      <c r="B463" s="249"/>
      <c r="C463" s="249"/>
      <c r="D463" s="247"/>
      <c r="E463" s="249"/>
      <c r="F463" s="249"/>
      <c r="G463" s="249"/>
      <c r="H463" s="249"/>
      <c r="I463" s="247"/>
      <c r="J463" s="247"/>
      <c r="K463" s="247"/>
      <c r="L463" s="247"/>
      <c r="M463" s="247"/>
      <c r="N463" s="247"/>
      <c r="O463" s="247"/>
      <c r="P463" s="247"/>
      <c r="Q463" s="247"/>
      <c r="R463" s="247"/>
      <c r="S463" s="247"/>
      <c r="T463" s="247"/>
      <c r="U463" s="247"/>
      <c r="V463" s="247"/>
      <c r="W463" s="247"/>
      <c r="X463" s="247"/>
      <c r="Y463" s="247"/>
      <c r="Z463" s="247"/>
      <c r="AA463" s="247"/>
      <c r="AB463" s="247"/>
    </row>
    <row r="464" spans="1:28">
      <c r="A464" s="247"/>
      <c r="B464" s="249"/>
      <c r="C464" s="249"/>
      <c r="D464" s="247"/>
      <c r="E464" s="249"/>
      <c r="F464" s="249"/>
      <c r="G464" s="249"/>
      <c r="H464" s="249"/>
      <c r="I464" s="247"/>
      <c r="J464" s="247"/>
      <c r="K464" s="247"/>
      <c r="L464" s="247"/>
      <c r="M464" s="247"/>
      <c r="N464" s="247"/>
      <c r="O464" s="247"/>
      <c r="P464" s="247"/>
      <c r="Q464" s="247"/>
      <c r="R464" s="247"/>
      <c r="S464" s="247"/>
      <c r="T464" s="247"/>
      <c r="U464" s="247"/>
      <c r="V464" s="247"/>
      <c r="W464" s="247"/>
      <c r="X464" s="247"/>
      <c r="Y464" s="247"/>
      <c r="Z464" s="247"/>
      <c r="AA464" s="247"/>
      <c r="AB464" s="247"/>
    </row>
    <row r="465" spans="1:28">
      <c r="A465" s="247"/>
      <c r="B465" s="249"/>
      <c r="C465" s="249"/>
      <c r="D465" s="247"/>
      <c r="E465" s="249"/>
      <c r="F465" s="249"/>
      <c r="G465" s="249"/>
      <c r="H465" s="249"/>
      <c r="I465" s="247"/>
      <c r="J465" s="247"/>
      <c r="K465" s="247"/>
      <c r="L465" s="247"/>
      <c r="M465" s="247"/>
      <c r="N465" s="247"/>
      <c r="O465" s="247"/>
      <c r="P465" s="247"/>
      <c r="Q465" s="247"/>
      <c r="R465" s="247"/>
      <c r="S465" s="247"/>
      <c r="T465" s="247"/>
      <c r="U465" s="247"/>
      <c r="V465" s="247"/>
      <c r="W465" s="247"/>
      <c r="X465" s="247"/>
      <c r="Y465" s="247"/>
      <c r="Z465" s="247"/>
      <c r="AA465" s="247"/>
      <c r="AB465" s="247"/>
    </row>
    <row r="466" spans="1:28">
      <c r="A466" s="247"/>
      <c r="B466" s="249"/>
      <c r="C466" s="249"/>
      <c r="D466" s="247"/>
      <c r="E466" s="249"/>
      <c r="F466" s="249"/>
      <c r="G466" s="249"/>
      <c r="H466" s="249"/>
      <c r="I466" s="247"/>
      <c r="J466" s="247"/>
      <c r="K466" s="247"/>
      <c r="L466" s="247"/>
      <c r="M466" s="247"/>
      <c r="N466" s="247"/>
      <c r="O466" s="247"/>
      <c r="P466" s="247"/>
      <c r="Q466" s="247"/>
      <c r="R466" s="247"/>
      <c r="S466" s="247"/>
      <c r="T466" s="247"/>
      <c r="U466" s="247"/>
      <c r="V466" s="247"/>
      <c r="W466" s="247"/>
      <c r="X466" s="247"/>
      <c r="Y466" s="247"/>
      <c r="Z466" s="247"/>
      <c r="AA466" s="247"/>
      <c r="AB466" s="247"/>
    </row>
  </sheetData>
  <mergeCells count="46">
    <mergeCell ref="H5:H6"/>
    <mergeCell ref="A15:D15"/>
    <mergeCell ref="A17:D17"/>
    <mergeCell ref="M5:M6"/>
    <mergeCell ref="N5:N6"/>
    <mergeCell ref="F17:G17"/>
    <mergeCell ref="K5:K6"/>
    <mergeCell ref="L5:L6"/>
    <mergeCell ref="A12:D12"/>
    <mergeCell ref="F12:G12"/>
    <mergeCell ref="A13:D13"/>
    <mergeCell ref="F13:G13"/>
    <mergeCell ref="A14:D14"/>
    <mergeCell ref="F14:G14"/>
    <mergeCell ref="A2:AB2"/>
    <mergeCell ref="A3:AB3"/>
    <mergeCell ref="A4:A6"/>
    <mergeCell ref="B4:B6"/>
    <mergeCell ref="C4:C6"/>
    <mergeCell ref="D4:D6"/>
    <mergeCell ref="Z4:Z6"/>
    <mergeCell ref="E5:E6"/>
    <mergeCell ref="F5:F6"/>
    <mergeCell ref="G5:G6"/>
    <mergeCell ref="I5:I6"/>
    <mergeCell ref="AA4:AA6"/>
    <mergeCell ref="E4:H4"/>
    <mergeCell ref="AB4:AB6"/>
    <mergeCell ref="M4:N4"/>
    <mergeCell ref="I4:L4"/>
    <mergeCell ref="W5:W6"/>
    <mergeCell ref="O4:Y4"/>
    <mergeCell ref="A16:D16"/>
    <mergeCell ref="F16:G16"/>
    <mergeCell ref="X5:X6"/>
    <mergeCell ref="Y5:Y6"/>
    <mergeCell ref="A11:D11"/>
    <mergeCell ref="U5:U6"/>
    <mergeCell ref="V5:V6"/>
    <mergeCell ref="O5:O6"/>
    <mergeCell ref="P5:P6"/>
    <mergeCell ref="J5:J6"/>
    <mergeCell ref="Q5:Q6"/>
    <mergeCell ref="R5:R6"/>
    <mergeCell ref="S5:S6"/>
    <mergeCell ref="T5:T6"/>
  </mergeCells>
  <printOptions verticalCentered="1"/>
  <pageMargins left="0.56999999999999995" right="0.16" top="0.26" bottom="0.36" header="0.16" footer="0.21"/>
  <pageSetup paperSize="9" scale="75" fitToHeight="0" orientation="landscape" r:id="rId1"/>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1"/>
  <sheetViews>
    <sheetView topLeftCell="A4" workbookViewId="0">
      <selection activeCell="A18" sqref="A18"/>
    </sheetView>
  </sheetViews>
  <sheetFormatPr defaultRowHeight="17.25"/>
  <cols>
    <col min="1" max="1" width="9.28515625" style="491" customWidth="1"/>
    <col min="2" max="2" width="59.42578125" style="480" customWidth="1"/>
    <col min="3" max="3" width="21.42578125" style="480" customWidth="1"/>
    <col min="257" max="257" width="9.28515625" customWidth="1"/>
    <col min="258" max="258" width="59.42578125" customWidth="1"/>
    <col min="259" max="259" width="21.42578125" customWidth="1"/>
    <col min="513" max="513" width="9.28515625" customWidth="1"/>
    <col min="514" max="514" width="59.42578125" customWidth="1"/>
    <col min="515" max="515" width="21.42578125" customWidth="1"/>
    <col min="769" max="769" width="9.28515625" customWidth="1"/>
    <col min="770" max="770" width="59.42578125" customWidth="1"/>
    <col min="771" max="771" width="21.42578125" customWidth="1"/>
    <col min="1025" max="1025" width="9.28515625" customWidth="1"/>
    <col min="1026" max="1026" width="59.42578125" customWidth="1"/>
    <col min="1027" max="1027" width="21.42578125" customWidth="1"/>
    <col min="1281" max="1281" width="9.28515625" customWidth="1"/>
    <col min="1282" max="1282" width="59.42578125" customWidth="1"/>
    <col min="1283" max="1283" width="21.42578125" customWidth="1"/>
    <col min="1537" max="1537" width="9.28515625" customWidth="1"/>
    <col min="1538" max="1538" width="59.42578125" customWidth="1"/>
    <col min="1539" max="1539" width="21.42578125" customWidth="1"/>
    <col min="1793" max="1793" width="9.28515625" customWidth="1"/>
    <col min="1794" max="1794" width="59.42578125" customWidth="1"/>
    <col min="1795" max="1795" width="21.42578125" customWidth="1"/>
    <col min="2049" max="2049" width="9.28515625" customWidth="1"/>
    <col min="2050" max="2050" width="59.42578125" customWidth="1"/>
    <col min="2051" max="2051" width="21.42578125" customWidth="1"/>
    <col min="2305" max="2305" width="9.28515625" customWidth="1"/>
    <col min="2306" max="2306" width="59.42578125" customWidth="1"/>
    <col min="2307" max="2307" width="21.42578125" customWidth="1"/>
    <col min="2561" max="2561" width="9.28515625" customWidth="1"/>
    <col min="2562" max="2562" width="59.42578125" customWidth="1"/>
    <col min="2563" max="2563" width="21.42578125" customWidth="1"/>
    <col min="2817" max="2817" width="9.28515625" customWidth="1"/>
    <col min="2818" max="2818" width="59.42578125" customWidth="1"/>
    <col min="2819" max="2819" width="21.42578125" customWidth="1"/>
    <col min="3073" max="3073" width="9.28515625" customWidth="1"/>
    <col min="3074" max="3074" width="59.42578125" customWidth="1"/>
    <col min="3075" max="3075" width="21.42578125" customWidth="1"/>
    <col min="3329" max="3329" width="9.28515625" customWidth="1"/>
    <col min="3330" max="3330" width="59.42578125" customWidth="1"/>
    <col min="3331" max="3331" width="21.42578125" customWidth="1"/>
    <col min="3585" max="3585" width="9.28515625" customWidth="1"/>
    <col min="3586" max="3586" width="59.42578125" customWidth="1"/>
    <col min="3587" max="3587" width="21.42578125" customWidth="1"/>
    <col min="3841" max="3841" width="9.28515625" customWidth="1"/>
    <col min="3842" max="3842" width="59.42578125" customWidth="1"/>
    <col min="3843" max="3843" width="21.42578125" customWidth="1"/>
    <col min="4097" max="4097" width="9.28515625" customWidth="1"/>
    <col min="4098" max="4098" width="59.42578125" customWidth="1"/>
    <col min="4099" max="4099" width="21.42578125" customWidth="1"/>
    <col min="4353" max="4353" width="9.28515625" customWidth="1"/>
    <col min="4354" max="4354" width="59.42578125" customWidth="1"/>
    <col min="4355" max="4355" width="21.42578125" customWidth="1"/>
    <col min="4609" max="4609" width="9.28515625" customWidth="1"/>
    <col min="4610" max="4610" width="59.42578125" customWidth="1"/>
    <col min="4611" max="4611" width="21.42578125" customWidth="1"/>
    <col min="4865" max="4865" width="9.28515625" customWidth="1"/>
    <col min="4866" max="4866" width="59.42578125" customWidth="1"/>
    <col min="4867" max="4867" width="21.42578125" customWidth="1"/>
    <col min="5121" max="5121" width="9.28515625" customWidth="1"/>
    <col min="5122" max="5122" width="59.42578125" customWidth="1"/>
    <col min="5123" max="5123" width="21.42578125" customWidth="1"/>
    <col min="5377" max="5377" width="9.28515625" customWidth="1"/>
    <col min="5378" max="5378" width="59.42578125" customWidth="1"/>
    <col min="5379" max="5379" width="21.42578125" customWidth="1"/>
    <col min="5633" max="5633" width="9.28515625" customWidth="1"/>
    <col min="5634" max="5634" width="59.42578125" customWidth="1"/>
    <col min="5635" max="5635" width="21.42578125" customWidth="1"/>
    <col min="5889" max="5889" width="9.28515625" customWidth="1"/>
    <col min="5890" max="5890" width="59.42578125" customWidth="1"/>
    <col min="5891" max="5891" width="21.42578125" customWidth="1"/>
    <col min="6145" max="6145" width="9.28515625" customWidth="1"/>
    <col min="6146" max="6146" width="59.42578125" customWidth="1"/>
    <col min="6147" max="6147" width="21.42578125" customWidth="1"/>
    <col min="6401" max="6401" width="9.28515625" customWidth="1"/>
    <col min="6402" max="6402" width="59.42578125" customWidth="1"/>
    <col min="6403" max="6403" width="21.42578125" customWidth="1"/>
    <col min="6657" max="6657" width="9.28515625" customWidth="1"/>
    <col min="6658" max="6658" width="59.42578125" customWidth="1"/>
    <col min="6659" max="6659" width="21.42578125" customWidth="1"/>
    <col min="6913" max="6913" width="9.28515625" customWidth="1"/>
    <col min="6914" max="6914" width="59.42578125" customWidth="1"/>
    <col min="6915" max="6915" width="21.42578125" customWidth="1"/>
    <col min="7169" max="7169" width="9.28515625" customWidth="1"/>
    <col min="7170" max="7170" width="59.42578125" customWidth="1"/>
    <col min="7171" max="7171" width="21.42578125" customWidth="1"/>
    <col min="7425" max="7425" width="9.28515625" customWidth="1"/>
    <col min="7426" max="7426" width="59.42578125" customWidth="1"/>
    <col min="7427" max="7427" width="21.42578125" customWidth="1"/>
    <col min="7681" max="7681" width="9.28515625" customWidth="1"/>
    <col min="7682" max="7682" width="59.42578125" customWidth="1"/>
    <col min="7683" max="7683" width="21.42578125" customWidth="1"/>
    <col min="7937" max="7937" width="9.28515625" customWidth="1"/>
    <col min="7938" max="7938" width="59.42578125" customWidth="1"/>
    <col min="7939" max="7939" width="21.42578125" customWidth="1"/>
    <col min="8193" max="8193" width="9.28515625" customWidth="1"/>
    <col min="8194" max="8194" width="59.42578125" customWidth="1"/>
    <col min="8195" max="8195" width="21.42578125" customWidth="1"/>
    <col min="8449" max="8449" width="9.28515625" customWidth="1"/>
    <col min="8450" max="8450" width="59.42578125" customWidth="1"/>
    <col min="8451" max="8451" width="21.42578125" customWidth="1"/>
    <col min="8705" max="8705" width="9.28515625" customWidth="1"/>
    <col min="8706" max="8706" width="59.42578125" customWidth="1"/>
    <col min="8707" max="8707" width="21.42578125" customWidth="1"/>
    <col min="8961" max="8961" width="9.28515625" customWidth="1"/>
    <col min="8962" max="8962" width="59.42578125" customWidth="1"/>
    <col min="8963" max="8963" width="21.42578125" customWidth="1"/>
    <col min="9217" max="9217" width="9.28515625" customWidth="1"/>
    <col min="9218" max="9218" width="59.42578125" customWidth="1"/>
    <col min="9219" max="9219" width="21.42578125" customWidth="1"/>
    <col min="9473" max="9473" width="9.28515625" customWidth="1"/>
    <col min="9474" max="9474" width="59.42578125" customWidth="1"/>
    <col min="9475" max="9475" width="21.42578125" customWidth="1"/>
    <col min="9729" max="9729" width="9.28515625" customWidth="1"/>
    <col min="9730" max="9730" width="59.42578125" customWidth="1"/>
    <col min="9731" max="9731" width="21.42578125" customWidth="1"/>
    <col min="9985" max="9985" width="9.28515625" customWidth="1"/>
    <col min="9986" max="9986" width="59.42578125" customWidth="1"/>
    <col min="9987" max="9987" width="21.42578125" customWidth="1"/>
    <col min="10241" max="10241" width="9.28515625" customWidth="1"/>
    <col min="10242" max="10242" width="59.42578125" customWidth="1"/>
    <col min="10243" max="10243" width="21.42578125" customWidth="1"/>
    <col min="10497" max="10497" width="9.28515625" customWidth="1"/>
    <col min="10498" max="10498" width="59.42578125" customWidth="1"/>
    <col min="10499" max="10499" width="21.42578125" customWidth="1"/>
    <col min="10753" max="10753" width="9.28515625" customWidth="1"/>
    <col min="10754" max="10754" width="59.42578125" customWidth="1"/>
    <col min="10755" max="10755" width="21.42578125" customWidth="1"/>
    <col min="11009" max="11009" width="9.28515625" customWidth="1"/>
    <col min="11010" max="11010" width="59.42578125" customWidth="1"/>
    <col min="11011" max="11011" width="21.42578125" customWidth="1"/>
    <col min="11265" max="11265" width="9.28515625" customWidth="1"/>
    <col min="11266" max="11266" width="59.42578125" customWidth="1"/>
    <col min="11267" max="11267" width="21.42578125" customWidth="1"/>
    <col min="11521" max="11521" width="9.28515625" customWidth="1"/>
    <col min="11522" max="11522" width="59.42578125" customWidth="1"/>
    <col min="11523" max="11523" width="21.42578125" customWidth="1"/>
    <col min="11777" max="11777" width="9.28515625" customWidth="1"/>
    <col min="11778" max="11778" width="59.42578125" customWidth="1"/>
    <col min="11779" max="11779" width="21.42578125" customWidth="1"/>
    <col min="12033" max="12033" width="9.28515625" customWidth="1"/>
    <col min="12034" max="12034" width="59.42578125" customWidth="1"/>
    <col min="12035" max="12035" width="21.42578125" customWidth="1"/>
    <col min="12289" max="12289" width="9.28515625" customWidth="1"/>
    <col min="12290" max="12290" width="59.42578125" customWidth="1"/>
    <col min="12291" max="12291" width="21.42578125" customWidth="1"/>
    <col min="12545" max="12545" width="9.28515625" customWidth="1"/>
    <col min="12546" max="12546" width="59.42578125" customWidth="1"/>
    <col min="12547" max="12547" width="21.42578125" customWidth="1"/>
    <col min="12801" max="12801" width="9.28515625" customWidth="1"/>
    <col min="12802" max="12802" width="59.42578125" customWidth="1"/>
    <col min="12803" max="12803" width="21.42578125" customWidth="1"/>
    <col min="13057" max="13057" width="9.28515625" customWidth="1"/>
    <col min="13058" max="13058" width="59.42578125" customWidth="1"/>
    <col min="13059" max="13059" width="21.42578125" customWidth="1"/>
    <col min="13313" max="13313" width="9.28515625" customWidth="1"/>
    <col min="13314" max="13314" width="59.42578125" customWidth="1"/>
    <col min="13315" max="13315" width="21.42578125" customWidth="1"/>
    <col min="13569" max="13569" width="9.28515625" customWidth="1"/>
    <col min="13570" max="13570" width="59.42578125" customWidth="1"/>
    <col min="13571" max="13571" width="21.42578125" customWidth="1"/>
    <col min="13825" max="13825" width="9.28515625" customWidth="1"/>
    <col min="13826" max="13826" width="59.42578125" customWidth="1"/>
    <col min="13827" max="13827" width="21.42578125" customWidth="1"/>
    <col min="14081" max="14081" width="9.28515625" customWidth="1"/>
    <col min="14082" max="14082" width="59.42578125" customWidth="1"/>
    <col min="14083" max="14083" width="21.42578125" customWidth="1"/>
    <col min="14337" max="14337" width="9.28515625" customWidth="1"/>
    <col min="14338" max="14338" width="59.42578125" customWidth="1"/>
    <col min="14339" max="14339" width="21.42578125" customWidth="1"/>
    <col min="14593" max="14593" width="9.28515625" customWidth="1"/>
    <col min="14594" max="14594" width="59.42578125" customWidth="1"/>
    <col min="14595" max="14595" width="21.42578125" customWidth="1"/>
    <col min="14849" max="14849" width="9.28515625" customWidth="1"/>
    <col min="14850" max="14850" width="59.42578125" customWidth="1"/>
    <col min="14851" max="14851" width="21.42578125" customWidth="1"/>
    <col min="15105" max="15105" width="9.28515625" customWidth="1"/>
    <col min="15106" max="15106" width="59.42578125" customWidth="1"/>
    <col min="15107" max="15107" width="21.42578125" customWidth="1"/>
    <col min="15361" max="15361" width="9.28515625" customWidth="1"/>
    <col min="15362" max="15362" width="59.42578125" customWidth="1"/>
    <col min="15363" max="15363" width="21.42578125" customWidth="1"/>
    <col min="15617" max="15617" width="9.28515625" customWidth="1"/>
    <col min="15618" max="15618" width="59.42578125" customWidth="1"/>
    <col min="15619" max="15619" width="21.42578125" customWidth="1"/>
    <col min="15873" max="15873" width="9.28515625" customWidth="1"/>
    <col min="15874" max="15874" width="59.42578125" customWidth="1"/>
    <col min="15875" max="15875" width="21.42578125" customWidth="1"/>
    <col min="16129" max="16129" width="9.28515625" customWidth="1"/>
    <col min="16130" max="16130" width="59.42578125" customWidth="1"/>
    <col min="16131" max="16131" width="21.42578125" customWidth="1"/>
  </cols>
  <sheetData>
    <row r="1" spans="1:3">
      <c r="A1" s="479" t="s">
        <v>3333</v>
      </c>
    </row>
    <row r="2" spans="1:3" ht="19.5" customHeight="1">
      <c r="A2" s="1632" t="s">
        <v>3334</v>
      </c>
      <c r="B2" s="1632"/>
      <c r="C2" s="1632"/>
    </row>
    <row r="3" spans="1:3" ht="16.5">
      <c r="A3" s="1633" t="s">
        <v>3564</v>
      </c>
      <c r="B3" s="1633"/>
      <c r="C3" s="1633"/>
    </row>
    <row r="4" spans="1:3" ht="18">
      <c r="A4" s="481"/>
      <c r="B4" s="481"/>
      <c r="C4" s="481"/>
    </row>
    <row r="5" spans="1:3" ht="15.75">
      <c r="A5" s="482" t="s">
        <v>0</v>
      </c>
      <c r="B5" s="483" t="s">
        <v>3335</v>
      </c>
      <c r="C5" s="484" t="s">
        <v>34</v>
      </c>
    </row>
    <row r="6" spans="1:3" ht="15.75">
      <c r="A6" s="482">
        <v>1</v>
      </c>
      <c r="B6" s="483">
        <v>2</v>
      </c>
      <c r="C6" s="484">
        <v>3</v>
      </c>
    </row>
    <row r="7" spans="1:3" ht="15.75">
      <c r="A7" s="485" t="s">
        <v>4</v>
      </c>
      <c r="B7" s="486" t="s">
        <v>3336</v>
      </c>
      <c r="C7" s="487">
        <f>SUM(C8:C11)</f>
        <v>1133400</v>
      </c>
    </row>
    <row r="8" spans="1:3" ht="15.75">
      <c r="A8" s="449">
        <v>1</v>
      </c>
      <c r="B8" s="488" t="s">
        <v>3337</v>
      </c>
      <c r="C8" s="489"/>
    </row>
    <row r="9" spans="1:3" ht="15.75">
      <c r="A9" s="449"/>
      <c r="B9" s="341" t="s">
        <v>3338</v>
      </c>
      <c r="C9" s="489">
        <f>110*540*10*1*1.1</f>
        <v>653400</v>
      </c>
    </row>
    <row r="10" spans="1:3" ht="15.75">
      <c r="A10" s="449">
        <v>1</v>
      </c>
      <c r="B10" s="341" t="s">
        <v>3339</v>
      </c>
      <c r="C10" s="490"/>
    </row>
    <row r="11" spans="1:3" ht="15.75">
      <c r="A11" s="449"/>
      <c r="B11" s="341" t="s">
        <v>3340</v>
      </c>
      <c r="C11" s="490">
        <f>120000*2*2</f>
        <v>480000</v>
      </c>
    </row>
    <row r="12" spans="1:3" ht="15.75">
      <c r="A12" s="485" t="s">
        <v>6</v>
      </c>
      <c r="B12" s="486" t="s">
        <v>3341</v>
      </c>
      <c r="C12" s="487">
        <f>SUM(C13:C16)</f>
        <v>1252200</v>
      </c>
    </row>
    <row r="13" spans="1:3" ht="15.75">
      <c r="A13" s="449">
        <v>1</v>
      </c>
      <c r="B13" s="488" t="s">
        <v>3337</v>
      </c>
      <c r="C13" s="489"/>
    </row>
    <row r="14" spans="1:3" ht="15.75">
      <c r="A14" s="449"/>
      <c r="B14" s="341" t="s">
        <v>3342</v>
      </c>
      <c r="C14" s="489">
        <f>110*540*10*1*1.3</f>
        <v>772200</v>
      </c>
    </row>
    <row r="15" spans="1:3" ht="15.75">
      <c r="A15" s="449">
        <v>2</v>
      </c>
      <c r="B15" s="341" t="s">
        <v>3339</v>
      </c>
      <c r="C15" s="490"/>
    </row>
    <row r="16" spans="1:3" ht="15.75">
      <c r="A16" s="449"/>
      <c r="B16" s="341" t="s">
        <v>3340</v>
      </c>
      <c r="C16" s="490">
        <f>120000*2*2</f>
        <v>480000</v>
      </c>
    </row>
    <row r="17" spans="1:3" ht="15.75">
      <c r="A17" s="485" t="s">
        <v>7</v>
      </c>
      <c r="B17" s="486" t="s">
        <v>3343</v>
      </c>
      <c r="C17" s="487">
        <f>SUM(C18:C21)</f>
        <v>2336803</v>
      </c>
    </row>
    <row r="18" spans="1:3" ht="15.75">
      <c r="A18" s="449">
        <v>1</v>
      </c>
      <c r="B18" s="341" t="s">
        <v>3344</v>
      </c>
      <c r="C18" s="490"/>
    </row>
    <row r="19" spans="1:3" ht="15.75">
      <c r="A19" s="449"/>
      <c r="B19" s="341" t="s">
        <v>3345</v>
      </c>
      <c r="C19" s="490">
        <f>196370*0.6*10</f>
        <v>1178220</v>
      </c>
    </row>
    <row r="20" spans="1:3" ht="15.75">
      <c r="A20" s="449">
        <v>2</v>
      </c>
      <c r="B20" s="341" t="s">
        <v>3346</v>
      </c>
      <c r="C20" s="490"/>
    </row>
    <row r="21" spans="1:3" ht="15.75">
      <c r="A21" s="449"/>
      <c r="B21" s="341" t="s">
        <v>3347</v>
      </c>
      <c r="C21" s="490">
        <f>196370*0.59*10</f>
        <v>1158583</v>
      </c>
    </row>
    <row r="22" spans="1:3" ht="15.75">
      <c r="A22" s="485" t="s">
        <v>8</v>
      </c>
      <c r="B22" s="486" t="s">
        <v>3348</v>
      </c>
      <c r="C22" s="487">
        <f>SUM(C23:C26)</f>
        <v>2395714</v>
      </c>
    </row>
    <row r="23" spans="1:3" ht="15.75">
      <c r="A23" s="449">
        <v>1</v>
      </c>
      <c r="B23" s="341" t="s">
        <v>3349</v>
      </c>
      <c r="C23" s="490"/>
    </row>
    <row r="24" spans="1:3" ht="15.75">
      <c r="A24" s="449"/>
      <c r="B24" s="341" t="s">
        <v>3350</v>
      </c>
      <c r="C24" s="490">
        <f>196370*0.63*10</f>
        <v>1237131</v>
      </c>
    </row>
    <row r="25" spans="1:3" ht="15.75">
      <c r="A25" s="449">
        <v>2</v>
      </c>
      <c r="B25" s="341" t="s">
        <v>3351</v>
      </c>
      <c r="C25" s="490"/>
    </row>
    <row r="26" spans="1:3" ht="15.75">
      <c r="A26" s="449"/>
      <c r="B26" s="341" t="s">
        <v>3347</v>
      </c>
      <c r="C26" s="490">
        <f>196370*0.59*10</f>
        <v>1158583</v>
      </c>
    </row>
    <row r="27" spans="1:3" ht="15.75">
      <c r="A27" s="485" t="s">
        <v>8</v>
      </c>
      <c r="B27" s="486" t="s">
        <v>3352</v>
      </c>
      <c r="C27" s="487">
        <f>SUM(C28:C31)</f>
        <v>2317166</v>
      </c>
    </row>
    <row r="28" spans="1:3" ht="15.75">
      <c r="A28" s="449">
        <v>1</v>
      </c>
      <c r="B28" s="341" t="s">
        <v>3353</v>
      </c>
      <c r="C28" s="490"/>
    </row>
    <row r="29" spans="1:3" ht="15.75">
      <c r="A29" s="449"/>
      <c r="B29" s="341" t="s">
        <v>3347</v>
      </c>
      <c r="C29" s="490">
        <f>196370*0.59*10</f>
        <v>1158583</v>
      </c>
    </row>
    <row r="30" spans="1:3" ht="15.75">
      <c r="A30" s="449">
        <v>2</v>
      </c>
      <c r="B30" s="341" t="s">
        <v>3354</v>
      </c>
      <c r="C30" s="490"/>
    </row>
    <row r="31" spans="1:3" ht="15.75">
      <c r="A31" s="449"/>
      <c r="B31" s="341" t="s">
        <v>3355</v>
      </c>
      <c r="C31" s="490">
        <f>196370*0.59*10</f>
        <v>1158583</v>
      </c>
    </row>
  </sheetData>
  <mergeCells count="2">
    <mergeCell ref="A2:C2"/>
    <mergeCell ref="A3:C3"/>
  </mergeCells>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3"/>
  <sheetViews>
    <sheetView workbookViewId="0">
      <selection activeCell="F11" sqref="F11"/>
    </sheetView>
  </sheetViews>
  <sheetFormatPr defaultRowHeight="15"/>
  <cols>
    <col min="1" max="1" width="4.85546875" style="533" customWidth="1"/>
    <col min="2" max="2" width="9.28515625" style="534" customWidth="1"/>
    <col min="3" max="3" width="33.7109375" style="493" customWidth="1"/>
    <col min="4" max="4" width="9.140625" style="494" customWidth="1"/>
    <col min="5" max="5" width="9.140625" style="495" customWidth="1"/>
    <col min="6" max="6" width="11.28515625" style="496" bestFit="1" customWidth="1"/>
    <col min="7" max="7" width="12.7109375" style="496" customWidth="1"/>
    <col min="257" max="257" width="4.85546875" customWidth="1"/>
    <col min="258" max="258" width="9.28515625" customWidth="1"/>
    <col min="259" max="259" width="33.7109375" customWidth="1"/>
    <col min="260" max="261" width="9.140625" customWidth="1"/>
    <col min="262" max="262" width="11.28515625" bestFit="1" customWidth="1"/>
    <col min="263" max="263" width="12.7109375" customWidth="1"/>
    <col min="513" max="513" width="4.85546875" customWidth="1"/>
    <col min="514" max="514" width="9.28515625" customWidth="1"/>
    <col min="515" max="515" width="33.7109375" customWidth="1"/>
    <col min="516" max="517" width="9.140625" customWidth="1"/>
    <col min="518" max="518" width="11.28515625" bestFit="1" customWidth="1"/>
    <col min="519" max="519" width="12.7109375" customWidth="1"/>
    <col min="769" max="769" width="4.85546875" customWidth="1"/>
    <col min="770" max="770" width="9.28515625" customWidth="1"/>
    <col min="771" max="771" width="33.7109375" customWidth="1"/>
    <col min="772" max="773" width="9.140625" customWidth="1"/>
    <col min="774" max="774" width="11.28515625" bestFit="1" customWidth="1"/>
    <col min="775" max="775" width="12.7109375" customWidth="1"/>
    <col min="1025" max="1025" width="4.85546875" customWidth="1"/>
    <col min="1026" max="1026" width="9.28515625" customWidth="1"/>
    <col min="1027" max="1027" width="33.7109375" customWidth="1"/>
    <col min="1028" max="1029" width="9.140625" customWidth="1"/>
    <col min="1030" max="1030" width="11.28515625" bestFit="1" customWidth="1"/>
    <col min="1031" max="1031" width="12.7109375" customWidth="1"/>
    <col min="1281" max="1281" width="4.85546875" customWidth="1"/>
    <col min="1282" max="1282" width="9.28515625" customWidth="1"/>
    <col min="1283" max="1283" width="33.7109375" customWidth="1"/>
    <col min="1284" max="1285" width="9.140625" customWidth="1"/>
    <col min="1286" max="1286" width="11.28515625" bestFit="1" customWidth="1"/>
    <col min="1287" max="1287" width="12.7109375" customWidth="1"/>
    <col min="1537" max="1537" width="4.85546875" customWidth="1"/>
    <col min="1538" max="1538" width="9.28515625" customWidth="1"/>
    <col min="1539" max="1539" width="33.7109375" customWidth="1"/>
    <col min="1540" max="1541" width="9.140625" customWidth="1"/>
    <col min="1542" max="1542" width="11.28515625" bestFit="1" customWidth="1"/>
    <col min="1543" max="1543" width="12.7109375" customWidth="1"/>
    <col min="1793" max="1793" width="4.85546875" customWidth="1"/>
    <col min="1794" max="1794" width="9.28515625" customWidth="1"/>
    <col min="1795" max="1795" width="33.7109375" customWidth="1"/>
    <col min="1796" max="1797" width="9.140625" customWidth="1"/>
    <col min="1798" max="1798" width="11.28515625" bestFit="1" customWidth="1"/>
    <col min="1799" max="1799" width="12.7109375" customWidth="1"/>
    <col min="2049" max="2049" width="4.85546875" customWidth="1"/>
    <col min="2050" max="2050" width="9.28515625" customWidth="1"/>
    <col min="2051" max="2051" width="33.7109375" customWidth="1"/>
    <col min="2052" max="2053" width="9.140625" customWidth="1"/>
    <col min="2054" max="2054" width="11.28515625" bestFit="1" customWidth="1"/>
    <col min="2055" max="2055" width="12.7109375" customWidth="1"/>
    <col min="2305" max="2305" width="4.85546875" customWidth="1"/>
    <col min="2306" max="2306" width="9.28515625" customWidth="1"/>
    <col min="2307" max="2307" width="33.7109375" customWidth="1"/>
    <col min="2308" max="2309" width="9.140625" customWidth="1"/>
    <col min="2310" max="2310" width="11.28515625" bestFit="1" customWidth="1"/>
    <col min="2311" max="2311" width="12.7109375" customWidth="1"/>
    <col min="2561" max="2561" width="4.85546875" customWidth="1"/>
    <col min="2562" max="2562" width="9.28515625" customWidth="1"/>
    <col min="2563" max="2563" width="33.7109375" customWidth="1"/>
    <col min="2564" max="2565" width="9.140625" customWidth="1"/>
    <col min="2566" max="2566" width="11.28515625" bestFit="1" customWidth="1"/>
    <col min="2567" max="2567" width="12.7109375" customWidth="1"/>
    <col min="2817" max="2817" width="4.85546875" customWidth="1"/>
    <col min="2818" max="2818" width="9.28515625" customWidth="1"/>
    <col min="2819" max="2819" width="33.7109375" customWidth="1"/>
    <col min="2820" max="2821" width="9.140625" customWidth="1"/>
    <col min="2822" max="2822" width="11.28515625" bestFit="1" customWidth="1"/>
    <col min="2823" max="2823" width="12.7109375" customWidth="1"/>
    <col min="3073" max="3073" width="4.85546875" customWidth="1"/>
    <col min="3074" max="3074" width="9.28515625" customWidth="1"/>
    <col min="3075" max="3075" width="33.7109375" customWidth="1"/>
    <col min="3076" max="3077" width="9.140625" customWidth="1"/>
    <col min="3078" max="3078" width="11.28515625" bestFit="1" customWidth="1"/>
    <col min="3079" max="3079" width="12.7109375" customWidth="1"/>
    <col min="3329" max="3329" width="4.85546875" customWidth="1"/>
    <col min="3330" max="3330" width="9.28515625" customWidth="1"/>
    <col min="3331" max="3331" width="33.7109375" customWidth="1"/>
    <col min="3332" max="3333" width="9.140625" customWidth="1"/>
    <col min="3334" max="3334" width="11.28515625" bestFit="1" customWidth="1"/>
    <col min="3335" max="3335" width="12.7109375" customWidth="1"/>
    <col min="3585" max="3585" width="4.85546875" customWidth="1"/>
    <col min="3586" max="3586" width="9.28515625" customWidth="1"/>
    <col min="3587" max="3587" width="33.7109375" customWidth="1"/>
    <col min="3588" max="3589" width="9.140625" customWidth="1"/>
    <col min="3590" max="3590" width="11.28515625" bestFit="1" customWidth="1"/>
    <col min="3591" max="3591" width="12.7109375" customWidth="1"/>
    <col min="3841" max="3841" width="4.85546875" customWidth="1"/>
    <col min="3842" max="3842" width="9.28515625" customWidth="1"/>
    <col min="3843" max="3843" width="33.7109375" customWidth="1"/>
    <col min="3844" max="3845" width="9.140625" customWidth="1"/>
    <col min="3846" max="3846" width="11.28515625" bestFit="1" customWidth="1"/>
    <col min="3847" max="3847" width="12.7109375" customWidth="1"/>
    <col min="4097" max="4097" width="4.85546875" customWidth="1"/>
    <col min="4098" max="4098" width="9.28515625" customWidth="1"/>
    <col min="4099" max="4099" width="33.7109375" customWidth="1"/>
    <col min="4100" max="4101" width="9.140625" customWidth="1"/>
    <col min="4102" max="4102" width="11.28515625" bestFit="1" customWidth="1"/>
    <col min="4103" max="4103" width="12.7109375" customWidth="1"/>
    <col min="4353" max="4353" width="4.85546875" customWidth="1"/>
    <col min="4354" max="4354" width="9.28515625" customWidth="1"/>
    <col min="4355" max="4355" width="33.7109375" customWidth="1"/>
    <col min="4356" max="4357" width="9.140625" customWidth="1"/>
    <col min="4358" max="4358" width="11.28515625" bestFit="1" customWidth="1"/>
    <col min="4359" max="4359" width="12.7109375" customWidth="1"/>
    <col min="4609" max="4609" width="4.85546875" customWidth="1"/>
    <col min="4610" max="4610" width="9.28515625" customWidth="1"/>
    <col min="4611" max="4611" width="33.7109375" customWidth="1"/>
    <col min="4612" max="4613" width="9.140625" customWidth="1"/>
    <col min="4614" max="4614" width="11.28515625" bestFit="1" customWidth="1"/>
    <col min="4615" max="4615" width="12.7109375" customWidth="1"/>
    <col min="4865" max="4865" width="4.85546875" customWidth="1"/>
    <col min="4866" max="4866" width="9.28515625" customWidth="1"/>
    <col min="4867" max="4867" width="33.7109375" customWidth="1"/>
    <col min="4868" max="4869" width="9.140625" customWidth="1"/>
    <col min="4870" max="4870" width="11.28515625" bestFit="1" customWidth="1"/>
    <col min="4871" max="4871" width="12.7109375" customWidth="1"/>
    <col min="5121" max="5121" width="4.85546875" customWidth="1"/>
    <col min="5122" max="5122" width="9.28515625" customWidth="1"/>
    <col min="5123" max="5123" width="33.7109375" customWidth="1"/>
    <col min="5124" max="5125" width="9.140625" customWidth="1"/>
    <col min="5126" max="5126" width="11.28515625" bestFit="1" customWidth="1"/>
    <col min="5127" max="5127" width="12.7109375" customWidth="1"/>
    <col min="5377" max="5377" width="4.85546875" customWidth="1"/>
    <col min="5378" max="5378" width="9.28515625" customWidth="1"/>
    <col min="5379" max="5379" width="33.7109375" customWidth="1"/>
    <col min="5380" max="5381" width="9.140625" customWidth="1"/>
    <col min="5382" max="5382" width="11.28515625" bestFit="1" customWidth="1"/>
    <col min="5383" max="5383" width="12.7109375" customWidth="1"/>
    <col min="5633" max="5633" width="4.85546875" customWidth="1"/>
    <col min="5634" max="5634" width="9.28515625" customWidth="1"/>
    <col min="5635" max="5635" width="33.7109375" customWidth="1"/>
    <col min="5636" max="5637" width="9.140625" customWidth="1"/>
    <col min="5638" max="5638" width="11.28515625" bestFit="1" customWidth="1"/>
    <col min="5639" max="5639" width="12.7109375" customWidth="1"/>
    <col min="5889" max="5889" width="4.85546875" customWidth="1"/>
    <col min="5890" max="5890" width="9.28515625" customWidth="1"/>
    <col min="5891" max="5891" width="33.7109375" customWidth="1"/>
    <col min="5892" max="5893" width="9.140625" customWidth="1"/>
    <col min="5894" max="5894" width="11.28515625" bestFit="1" customWidth="1"/>
    <col min="5895" max="5895" width="12.7109375" customWidth="1"/>
    <col min="6145" max="6145" width="4.85546875" customWidth="1"/>
    <col min="6146" max="6146" width="9.28515625" customWidth="1"/>
    <col min="6147" max="6147" width="33.7109375" customWidth="1"/>
    <col min="6148" max="6149" width="9.140625" customWidth="1"/>
    <col min="6150" max="6150" width="11.28515625" bestFit="1" customWidth="1"/>
    <col min="6151" max="6151" width="12.7109375" customWidth="1"/>
    <col min="6401" max="6401" width="4.85546875" customWidth="1"/>
    <col min="6402" max="6402" width="9.28515625" customWidth="1"/>
    <col min="6403" max="6403" width="33.7109375" customWidth="1"/>
    <col min="6404" max="6405" width="9.140625" customWidth="1"/>
    <col min="6406" max="6406" width="11.28515625" bestFit="1" customWidth="1"/>
    <col min="6407" max="6407" width="12.7109375" customWidth="1"/>
    <col min="6657" max="6657" width="4.85546875" customWidth="1"/>
    <col min="6658" max="6658" width="9.28515625" customWidth="1"/>
    <col min="6659" max="6659" width="33.7109375" customWidth="1"/>
    <col min="6660" max="6661" width="9.140625" customWidth="1"/>
    <col min="6662" max="6662" width="11.28515625" bestFit="1" customWidth="1"/>
    <col min="6663" max="6663" width="12.7109375" customWidth="1"/>
    <col min="6913" max="6913" width="4.85546875" customWidth="1"/>
    <col min="6914" max="6914" width="9.28515625" customWidth="1"/>
    <col min="6915" max="6915" width="33.7109375" customWidth="1"/>
    <col min="6916" max="6917" width="9.140625" customWidth="1"/>
    <col min="6918" max="6918" width="11.28515625" bestFit="1" customWidth="1"/>
    <col min="6919" max="6919" width="12.7109375" customWidth="1"/>
    <col min="7169" max="7169" width="4.85546875" customWidth="1"/>
    <col min="7170" max="7170" width="9.28515625" customWidth="1"/>
    <col min="7171" max="7171" width="33.7109375" customWidth="1"/>
    <col min="7172" max="7173" width="9.140625" customWidth="1"/>
    <col min="7174" max="7174" width="11.28515625" bestFit="1" customWidth="1"/>
    <col min="7175" max="7175" width="12.7109375" customWidth="1"/>
    <col min="7425" max="7425" width="4.85546875" customWidth="1"/>
    <col min="7426" max="7426" width="9.28515625" customWidth="1"/>
    <col min="7427" max="7427" width="33.7109375" customWidth="1"/>
    <col min="7428" max="7429" width="9.140625" customWidth="1"/>
    <col min="7430" max="7430" width="11.28515625" bestFit="1" customWidth="1"/>
    <col min="7431" max="7431" width="12.7109375" customWidth="1"/>
    <col min="7681" max="7681" width="4.85546875" customWidth="1"/>
    <col min="7682" max="7682" width="9.28515625" customWidth="1"/>
    <col min="7683" max="7683" width="33.7109375" customWidth="1"/>
    <col min="7684" max="7685" width="9.140625" customWidth="1"/>
    <col min="7686" max="7686" width="11.28515625" bestFit="1" customWidth="1"/>
    <col min="7687" max="7687" width="12.7109375" customWidth="1"/>
    <col min="7937" max="7937" width="4.85546875" customWidth="1"/>
    <col min="7938" max="7938" width="9.28515625" customWidth="1"/>
    <col min="7939" max="7939" width="33.7109375" customWidth="1"/>
    <col min="7940" max="7941" width="9.140625" customWidth="1"/>
    <col min="7942" max="7942" width="11.28515625" bestFit="1" customWidth="1"/>
    <col min="7943" max="7943" width="12.7109375" customWidth="1"/>
    <col min="8193" max="8193" width="4.85546875" customWidth="1"/>
    <col min="8194" max="8194" width="9.28515625" customWidth="1"/>
    <col min="8195" max="8195" width="33.7109375" customWidth="1"/>
    <col min="8196" max="8197" width="9.140625" customWidth="1"/>
    <col min="8198" max="8198" width="11.28515625" bestFit="1" customWidth="1"/>
    <col min="8199" max="8199" width="12.7109375" customWidth="1"/>
    <col min="8449" max="8449" width="4.85546875" customWidth="1"/>
    <col min="8450" max="8450" width="9.28515625" customWidth="1"/>
    <col min="8451" max="8451" width="33.7109375" customWidth="1"/>
    <col min="8452" max="8453" width="9.140625" customWidth="1"/>
    <col min="8454" max="8454" width="11.28515625" bestFit="1" customWidth="1"/>
    <col min="8455" max="8455" width="12.7109375" customWidth="1"/>
    <col min="8705" max="8705" width="4.85546875" customWidth="1"/>
    <col min="8706" max="8706" width="9.28515625" customWidth="1"/>
    <col min="8707" max="8707" width="33.7109375" customWidth="1"/>
    <col min="8708" max="8709" width="9.140625" customWidth="1"/>
    <col min="8710" max="8710" width="11.28515625" bestFit="1" customWidth="1"/>
    <col min="8711" max="8711" width="12.7109375" customWidth="1"/>
    <col min="8961" max="8961" width="4.85546875" customWidth="1"/>
    <col min="8962" max="8962" width="9.28515625" customWidth="1"/>
    <col min="8963" max="8963" width="33.7109375" customWidth="1"/>
    <col min="8964" max="8965" width="9.140625" customWidth="1"/>
    <col min="8966" max="8966" width="11.28515625" bestFit="1" customWidth="1"/>
    <col min="8967" max="8967" width="12.7109375" customWidth="1"/>
    <col min="9217" max="9217" width="4.85546875" customWidth="1"/>
    <col min="9218" max="9218" width="9.28515625" customWidth="1"/>
    <col min="9219" max="9219" width="33.7109375" customWidth="1"/>
    <col min="9220" max="9221" width="9.140625" customWidth="1"/>
    <col min="9222" max="9222" width="11.28515625" bestFit="1" customWidth="1"/>
    <col min="9223" max="9223" width="12.7109375" customWidth="1"/>
    <col min="9473" max="9473" width="4.85546875" customWidth="1"/>
    <col min="9474" max="9474" width="9.28515625" customWidth="1"/>
    <col min="9475" max="9475" width="33.7109375" customWidth="1"/>
    <col min="9476" max="9477" width="9.140625" customWidth="1"/>
    <col min="9478" max="9478" width="11.28515625" bestFit="1" customWidth="1"/>
    <col min="9479" max="9479" width="12.7109375" customWidth="1"/>
    <col min="9729" max="9729" width="4.85546875" customWidth="1"/>
    <col min="9730" max="9730" width="9.28515625" customWidth="1"/>
    <col min="9731" max="9731" width="33.7109375" customWidth="1"/>
    <col min="9732" max="9733" width="9.140625" customWidth="1"/>
    <col min="9734" max="9734" width="11.28515625" bestFit="1" customWidth="1"/>
    <col min="9735" max="9735" width="12.7109375" customWidth="1"/>
    <col min="9985" max="9985" width="4.85546875" customWidth="1"/>
    <col min="9986" max="9986" width="9.28515625" customWidth="1"/>
    <col min="9987" max="9987" width="33.7109375" customWidth="1"/>
    <col min="9988" max="9989" width="9.140625" customWidth="1"/>
    <col min="9990" max="9990" width="11.28515625" bestFit="1" customWidth="1"/>
    <col min="9991" max="9991" width="12.7109375" customWidth="1"/>
    <col min="10241" max="10241" width="4.85546875" customWidth="1"/>
    <col min="10242" max="10242" width="9.28515625" customWidth="1"/>
    <col min="10243" max="10243" width="33.7109375" customWidth="1"/>
    <col min="10244" max="10245" width="9.140625" customWidth="1"/>
    <col min="10246" max="10246" width="11.28515625" bestFit="1" customWidth="1"/>
    <col min="10247" max="10247" width="12.7109375" customWidth="1"/>
    <col min="10497" max="10497" width="4.85546875" customWidth="1"/>
    <col min="10498" max="10498" width="9.28515625" customWidth="1"/>
    <col min="10499" max="10499" width="33.7109375" customWidth="1"/>
    <col min="10500" max="10501" width="9.140625" customWidth="1"/>
    <col min="10502" max="10502" width="11.28515625" bestFit="1" customWidth="1"/>
    <col min="10503" max="10503" width="12.7109375" customWidth="1"/>
    <col min="10753" max="10753" width="4.85546875" customWidth="1"/>
    <col min="10754" max="10754" width="9.28515625" customWidth="1"/>
    <col min="10755" max="10755" width="33.7109375" customWidth="1"/>
    <col min="10756" max="10757" width="9.140625" customWidth="1"/>
    <col min="10758" max="10758" width="11.28515625" bestFit="1" customWidth="1"/>
    <col min="10759" max="10759" width="12.7109375" customWidth="1"/>
    <col min="11009" max="11009" width="4.85546875" customWidth="1"/>
    <col min="11010" max="11010" width="9.28515625" customWidth="1"/>
    <col min="11011" max="11011" width="33.7109375" customWidth="1"/>
    <col min="11012" max="11013" width="9.140625" customWidth="1"/>
    <col min="11014" max="11014" width="11.28515625" bestFit="1" customWidth="1"/>
    <col min="11015" max="11015" width="12.7109375" customWidth="1"/>
    <col min="11265" max="11265" width="4.85546875" customWidth="1"/>
    <col min="11266" max="11266" width="9.28515625" customWidth="1"/>
    <col min="11267" max="11267" width="33.7109375" customWidth="1"/>
    <col min="11268" max="11269" width="9.140625" customWidth="1"/>
    <col min="11270" max="11270" width="11.28515625" bestFit="1" customWidth="1"/>
    <col min="11271" max="11271" width="12.7109375" customWidth="1"/>
    <col min="11521" max="11521" width="4.85546875" customWidth="1"/>
    <col min="11522" max="11522" width="9.28515625" customWidth="1"/>
    <col min="11523" max="11523" width="33.7109375" customWidth="1"/>
    <col min="11524" max="11525" width="9.140625" customWidth="1"/>
    <col min="11526" max="11526" width="11.28515625" bestFit="1" customWidth="1"/>
    <col min="11527" max="11527" width="12.7109375" customWidth="1"/>
    <col min="11777" max="11777" width="4.85546875" customWidth="1"/>
    <col min="11778" max="11778" width="9.28515625" customWidth="1"/>
    <col min="11779" max="11779" width="33.7109375" customWidth="1"/>
    <col min="11780" max="11781" width="9.140625" customWidth="1"/>
    <col min="11782" max="11782" width="11.28515625" bestFit="1" customWidth="1"/>
    <col min="11783" max="11783" width="12.7109375" customWidth="1"/>
    <col min="12033" max="12033" width="4.85546875" customWidth="1"/>
    <col min="12034" max="12034" width="9.28515625" customWidth="1"/>
    <col min="12035" max="12035" width="33.7109375" customWidth="1"/>
    <col min="12036" max="12037" width="9.140625" customWidth="1"/>
    <col min="12038" max="12038" width="11.28515625" bestFit="1" customWidth="1"/>
    <col min="12039" max="12039" width="12.7109375" customWidth="1"/>
    <col min="12289" max="12289" width="4.85546875" customWidth="1"/>
    <col min="12290" max="12290" width="9.28515625" customWidth="1"/>
    <col min="12291" max="12291" width="33.7109375" customWidth="1"/>
    <col min="12292" max="12293" width="9.140625" customWidth="1"/>
    <col min="12294" max="12294" width="11.28515625" bestFit="1" customWidth="1"/>
    <col min="12295" max="12295" width="12.7109375" customWidth="1"/>
    <col min="12545" max="12545" width="4.85546875" customWidth="1"/>
    <col min="12546" max="12546" width="9.28515625" customWidth="1"/>
    <col min="12547" max="12547" width="33.7109375" customWidth="1"/>
    <col min="12548" max="12549" width="9.140625" customWidth="1"/>
    <col min="12550" max="12550" width="11.28515625" bestFit="1" customWidth="1"/>
    <col min="12551" max="12551" width="12.7109375" customWidth="1"/>
    <col min="12801" max="12801" width="4.85546875" customWidth="1"/>
    <col min="12802" max="12802" width="9.28515625" customWidth="1"/>
    <col min="12803" max="12803" width="33.7109375" customWidth="1"/>
    <col min="12804" max="12805" width="9.140625" customWidth="1"/>
    <col min="12806" max="12806" width="11.28515625" bestFit="1" customWidth="1"/>
    <col min="12807" max="12807" width="12.7109375" customWidth="1"/>
    <col min="13057" max="13057" width="4.85546875" customWidth="1"/>
    <col min="13058" max="13058" width="9.28515625" customWidth="1"/>
    <col min="13059" max="13059" width="33.7109375" customWidth="1"/>
    <col min="13060" max="13061" width="9.140625" customWidth="1"/>
    <col min="13062" max="13062" width="11.28515625" bestFit="1" customWidth="1"/>
    <col min="13063" max="13063" width="12.7109375" customWidth="1"/>
    <col min="13313" max="13313" width="4.85546875" customWidth="1"/>
    <col min="13314" max="13314" width="9.28515625" customWidth="1"/>
    <col min="13315" max="13315" width="33.7109375" customWidth="1"/>
    <col min="13316" max="13317" width="9.140625" customWidth="1"/>
    <col min="13318" max="13318" width="11.28515625" bestFit="1" customWidth="1"/>
    <col min="13319" max="13319" width="12.7109375" customWidth="1"/>
    <col min="13569" max="13569" width="4.85546875" customWidth="1"/>
    <col min="13570" max="13570" width="9.28515625" customWidth="1"/>
    <col min="13571" max="13571" width="33.7109375" customWidth="1"/>
    <col min="13572" max="13573" width="9.140625" customWidth="1"/>
    <col min="13574" max="13574" width="11.28515625" bestFit="1" customWidth="1"/>
    <col min="13575" max="13575" width="12.7109375" customWidth="1"/>
    <col min="13825" max="13825" width="4.85546875" customWidth="1"/>
    <col min="13826" max="13826" width="9.28515625" customWidth="1"/>
    <col min="13827" max="13827" width="33.7109375" customWidth="1"/>
    <col min="13828" max="13829" width="9.140625" customWidth="1"/>
    <col min="13830" max="13830" width="11.28515625" bestFit="1" customWidth="1"/>
    <col min="13831" max="13831" width="12.7109375" customWidth="1"/>
    <col min="14081" max="14081" width="4.85546875" customWidth="1"/>
    <col min="14082" max="14082" width="9.28515625" customWidth="1"/>
    <col min="14083" max="14083" width="33.7109375" customWidth="1"/>
    <col min="14084" max="14085" width="9.140625" customWidth="1"/>
    <col min="14086" max="14086" width="11.28515625" bestFit="1" customWidth="1"/>
    <col min="14087" max="14087" width="12.7109375" customWidth="1"/>
    <col min="14337" max="14337" width="4.85546875" customWidth="1"/>
    <col min="14338" max="14338" width="9.28515625" customWidth="1"/>
    <col min="14339" max="14339" width="33.7109375" customWidth="1"/>
    <col min="14340" max="14341" width="9.140625" customWidth="1"/>
    <col min="14342" max="14342" width="11.28515625" bestFit="1" customWidth="1"/>
    <col min="14343" max="14343" width="12.7109375" customWidth="1"/>
    <col min="14593" max="14593" width="4.85546875" customWidth="1"/>
    <col min="14594" max="14594" width="9.28515625" customWidth="1"/>
    <col min="14595" max="14595" width="33.7109375" customWidth="1"/>
    <col min="14596" max="14597" width="9.140625" customWidth="1"/>
    <col min="14598" max="14598" width="11.28515625" bestFit="1" customWidth="1"/>
    <col min="14599" max="14599" width="12.7109375" customWidth="1"/>
    <col min="14849" max="14849" width="4.85546875" customWidth="1"/>
    <col min="14850" max="14850" width="9.28515625" customWidth="1"/>
    <col min="14851" max="14851" width="33.7109375" customWidth="1"/>
    <col min="14852" max="14853" width="9.140625" customWidth="1"/>
    <col min="14854" max="14854" width="11.28515625" bestFit="1" customWidth="1"/>
    <col min="14855" max="14855" width="12.7109375" customWidth="1"/>
    <col min="15105" max="15105" width="4.85546875" customWidth="1"/>
    <col min="15106" max="15106" width="9.28515625" customWidth="1"/>
    <col min="15107" max="15107" width="33.7109375" customWidth="1"/>
    <col min="15108" max="15109" width="9.140625" customWidth="1"/>
    <col min="15110" max="15110" width="11.28515625" bestFit="1" customWidth="1"/>
    <col min="15111" max="15111" width="12.7109375" customWidth="1"/>
    <col min="15361" max="15361" width="4.85546875" customWidth="1"/>
    <col min="15362" max="15362" width="9.28515625" customWidth="1"/>
    <col min="15363" max="15363" width="33.7109375" customWidth="1"/>
    <col min="15364" max="15365" width="9.140625" customWidth="1"/>
    <col min="15366" max="15366" width="11.28515625" bestFit="1" customWidth="1"/>
    <col min="15367" max="15367" width="12.7109375" customWidth="1"/>
    <col min="15617" max="15617" width="4.85546875" customWidth="1"/>
    <col min="15618" max="15618" width="9.28515625" customWidth="1"/>
    <col min="15619" max="15619" width="33.7109375" customWidth="1"/>
    <col min="15620" max="15621" width="9.140625" customWidth="1"/>
    <col min="15622" max="15622" width="11.28515625" bestFit="1" customWidth="1"/>
    <col min="15623" max="15623" width="12.7109375" customWidth="1"/>
    <col min="15873" max="15873" width="4.85546875" customWidth="1"/>
    <col min="15874" max="15874" width="9.28515625" customWidth="1"/>
    <col min="15875" max="15875" width="33.7109375" customWidth="1"/>
    <col min="15876" max="15877" width="9.140625" customWidth="1"/>
    <col min="15878" max="15878" width="11.28515625" bestFit="1" customWidth="1"/>
    <col min="15879" max="15879" width="12.7109375" customWidth="1"/>
    <col min="16129" max="16129" width="4.85546875" customWidth="1"/>
    <col min="16130" max="16130" width="9.28515625" customWidth="1"/>
    <col min="16131" max="16131" width="33.7109375" customWidth="1"/>
    <col min="16132" max="16133" width="9.140625" customWidth="1"/>
    <col min="16134" max="16134" width="11.28515625" bestFit="1" customWidth="1"/>
    <col min="16135" max="16135" width="12.7109375" customWidth="1"/>
  </cols>
  <sheetData>
    <row r="1" spans="1:10">
      <c r="A1" s="1637" t="s">
        <v>3356</v>
      </c>
      <c r="B1" s="1637"/>
    </row>
    <row r="2" spans="1:10" ht="15.75">
      <c r="A2" s="1638" t="s">
        <v>3357</v>
      </c>
      <c r="B2" s="1638"/>
      <c r="C2" s="1638"/>
      <c r="D2" s="1638"/>
      <c r="E2" s="1638"/>
      <c r="F2" s="1638"/>
      <c r="G2" s="1638"/>
    </row>
    <row r="3" spans="1:10" ht="15.75">
      <c r="A3" s="1639"/>
      <c r="B3" s="1639"/>
      <c r="C3" s="1639"/>
      <c r="D3" s="1639"/>
      <c r="E3" s="1639"/>
      <c r="F3" s="1639"/>
      <c r="G3" s="1639"/>
    </row>
    <row r="4" spans="1:10" ht="15.75">
      <c r="A4" s="1639" t="s">
        <v>3564</v>
      </c>
      <c r="B4" s="1639"/>
      <c r="C4" s="1639"/>
      <c r="D4" s="1639"/>
      <c r="E4" s="1639"/>
      <c r="F4" s="1639"/>
      <c r="G4" s="1639"/>
    </row>
    <row r="5" spans="1:10" ht="15.75">
      <c r="A5" s="1639"/>
      <c r="B5" s="1639"/>
      <c r="C5" s="1639"/>
      <c r="D5" s="1639"/>
      <c r="E5" s="1639"/>
      <c r="F5" s="1639"/>
      <c r="G5" s="1639"/>
    </row>
    <row r="6" spans="1:10" ht="33.75" customHeight="1">
      <c r="A6" s="497" t="s">
        <v>0</v>
      </c>
      <c r="B6" s="498" t="s">
        <v>29</v>
      </c>
      <c r="C6" s="498" t="s">
        <v>30</v>
      </c>
      <c r="D6" s="497" t="s">
        <v>31</v>
      </c>
      <c r="E6" s="499" t="s">
        <v>32</v>
      </c>
      <c r="F6" s="500" t="s">
        <v>33</v>
      </c>
      <c r="G6" s="500" t="s">
        <v>34</v>
      </c>
    </row>
    <row r="7" spans="1:10">
      <c r="A7" s="501" t="s">
        <v>35</v>
      </c>
      <c r="B7" s="501" t="s">
        <v>36</v>
      </c>
      <c r="C7" s="502" t="s">
        <v>37</v>
      </c>
      <c r="D7" s="501" t="s">
        <v>38</v>
      </c>
      <c r="E7" s="503" t="s">
        <v>39</v>
      </c>
      <c r="F7" s="504" t="s">
        <v>40</v>
      </c>
      <c r="G7" s="504" t="s">
        <v>41</v>
      </c>
    </row>
    <row r="8" spans="1:10" s="221" customFormat="1">
      <c r="A8" s="505" t="s">
        <v>4</v>
      </c>
      <c r="B8" s="1634" t="s">
        <v>3358</v>
      </c>
      <c r="C8" s="1636"/>
      <c r="D8" s="505"/>
      <c r="E8" s="506"/>
      <c r="F8" s="507"/>
      <c r="G8" s="507"/>
      <c r="J8" s="356" t="s">
        <v>2809</v>
      </c>
    </row>
    <row r="9" spans="1:10" s="221" customFormat="1">
      <c r="A9" s="508" t="s">
        <v>3359</v>
      </c>
      <c r="B9" s="509" t="s">
        <v>3360</v>
      </c>
      <c r="C9" s="510"/>
      <c r="D9" s="508"/>
      <c r="E9" s="511"/>
      <c r="F9" s="512"/>
      <c r="G9" s="513"/>
      <c r="J9" s="514" t="s">
        <v>3361</v>
      </c>
    </row>
    <row r="10" spans="1:10" s="221" customFormat="1">
      <c r="A10" s="515" t="s">
        <v>42</v>
      </c>
      <c r="B10" s="516" t="s">
        <v>400</v>
      </c>
      <c r="C10" s="517" t="s">
        <v>3362</v>
      </c>
      <c r="D10" s="515" t="s">
        <v>518</v>
      </c>
      <c r="E10" s="515" t="s">
        <v>3363</v>
      </c>
      <c r="F10" s="518"/>
      <c r="G10" s="518">
        <f>G11</f>
        <v>60954</v>
      </c>
      <c r="J10" s="514" t="s">
        <v>3364</v>
      </c>
    </row>
    <row r="11" spans="1:10">
      <c r="A11" s="519"/>
      <c r="B11" s="520"/>
      <c r="C11" s="521" t="s">
        <v>3365</v>
      </c>
      <c r="D11" s="519"/>
      <c r="E11" s="522"/>
      <c r="F11" s="523">
        <v>60954</v>
      </c>
      <c r="G11" s="523">
        <f>F11*E10</f>
        <v>60954</v>
      </c>
      <c r="J11" s="514" t="s">
        <v>3366</v>
      </c>
    </row>
    <row r="12" spans="1:10">
      <c r="A12" s="515" t="s">
        <v>54</v>
      </c>
      <c r="B12" s="516" t="s">
        <v>416</v>
      </c>
      <c r="C12" s="517" t="s">
        <v>3367</v>
      </c>
      <c r="D12" s="515" t="s">
        <v>518</v>
      </c>
      <c r="E12" s="515" t="s">
        <v>3363</v>
      </c>
      <c r="F12" s="518"/>
      <c r="G12" s="518">
        <f>G13</f>
        <v>67259</v>
      </c>
      <c r="J12" s="514" t="s">
        <v>3368</v>
      </c>
    </row>
    <row r="13" spans="1:10">
      <c r="A13" s="519"/>
      <c r="B13" s="520"/>
      <c r="C13" s="521" t="s">
        <v>3365</v>
      </c>
      <c r="D13" s="519"/>
      <c r="E13" s="522"/>
      <c r="F13" s="523">
        <v>67259</v>
      </c>
      <c r="G13" s="523">
        <f>F13*E12</f>
        <v>67259</v>
      </c>
      <c r="J13" s="514" t="s">
        <v>3369</v>
      </c>
    </row>
    <row r="14" spans="1:10">
      <c r="A14" s="515" t="s">
        <v>55</v>
      </c>
      <c r="B14" s="516" t="s">
        <v>137</v>
      </c>
      <c r="C14" s="517" t="s">
        <v>3370</v>
      </c>
      <c r="D14" s="515" t="s">
        <v>518</v>
      </c>
      <c r="E14" s="515" t="s">
        <v>3363</v>
      </c>
      <c r="F14" s="518"/>
      <c r="G14" s="518">
        <f>G15</f>
        <v>86176</v>
      </c>
      <c r="J14" s="514" t="s">
        <v>3371</v>
      </c>
    </row>
    <row r="15" spans="1:10">
      <c r="A15" s="519"/>
      <c r="B15" s="520"/>
      <c r="C15" s="521" t="s">
        <v>3365</v>
      </c>
      <c r="D15" s="519"/>
      <c r="E15" s="522"/>
      <c r="F15" s="523">
        <v>86176</v>
      </c>
      <c r="G15" s="523">
        <f>F15*E14</f>
        <v>86176</v>
      </c>
      <c r="J15" s="514" t="s">
        <v>3372</v>
      </c>
    </row>
    <row r="16" spans="1:10">
      <c r="A16" s="515" t="s">
        <v>56</v>
      </c>
      <c r="B16" s="516" t="s">
        <v>432</v>
      </c>
      <c r="C16" s="517" t="s">
        <v>3373</v>
      </c>
      <c r="D16" s="515" t="s">
        <v>518</v>
      </c>
      <c r="E16" s="515" t="s">
        <v>3363</v>
      </c>
      <c r="F16" s="518"/>
      <c r="G16" s="518">
        <f>G17</f>
        <v>79870</v>
      </c>
      <c r="J16" s="514" t="s">
        <v>3374</v>
      </c>
    </row>
    <row r="17" spans="1:10">
      <c r="A17" s="519"/>
      <c r="B17" s="520"/>
      <c r="C17" s="521" t="s">
        <v>3365</v>
      </c>
      <c r="D17" s="519"/>
      <c r="E17" s="522"/>
      <c r="F17" s="523">
        <v>79870</v>
      </c>
      <c r="G17" s="523">
        <f>F17*E16</f>
        <v>79870</v>
      </c>
      <c r="J17" s="514" t="s">
        <v>3375</v>
      </c>
    </row>
    <row r="18" spans="1:10">
      <c r="A18" s="515" t="s">
        <v>57</v>
      </c>
      <c r="B18" s="516" t="s">
        <v>442</v>
      </c>
      <c r="C18" s="517" t="s">
        <v>3376</v>
      </c>
      <c r="D18" s="515" t="s">
        <v>518</v>
      </c>
      <c r="E18" s="515" t="s">
        <v>3363</v>
      </c>
      <c r="F18" s="518"/>
      <c r="G18" s="518">
        <f>G19</f>
        <v>94583</v>
      </c>
      <c r="J18" s="514" t="s">
        <v>3377</v>
      </c>
    </row>
    <row r="19" spans="1:10">
      <c r="A19" s="519"/>
      <c r="B19" s="520"/>
      <c r="C19" s="521" t="s">
        <v>3365</v>
      </c>
      <c r="D19" s="519"/>
      <c r="E19" s="522"/>
      <c r="F19" s="523">
        <v>94583</v>
      </c>
      <c r="G19" s="523">
        <f>F19*E18</f>
        <v>94583</v>
      </c>
    </row>
    <row r="20" spans="1:10">
      <c r="A20" s="515" t="s">
        <v>58</v>
      </c>
      <c r="B20" s="516" t="s">
        <v>240</v>
      </c>
      <c r="C20" s="517" t="s">
        <v>3378</v>
      </c>
      <c r="D20" s="515" t="s">
        <v>518</v>
      </c>
      <c r="E20" s="515" t="s">
        <v>3363</v>
      </c>
      <c r="F20" s="518"/>
      <c r="G20" s="518">
        <f>G21</f>
        <v>88278</v>
      </c>
    </row>
    <row r="21" spans="1:10">
      <c r="A21" s="519"/>
      <c r="B21" s="520"/>
      <c r="C21" s="521" t="s">
        <v>3365</v>
      </c>
      <c r="D21" s="519"/>
      <c r="E21" s="522"/>
      <c r="F21" s="523">
        <v>88278</v>
      </c>
      <c r="G21" s="523">
        <f>F21*E20</f>
        <v>88278</v>
      </c>
    </row>
    <row r="22" spans="1:10">
      <c r="A22" s="515" t="s">
        <v>3379</v>
      </c>
      <c r="B22" s="516" t="s">
        <v>245</v>
      </c>
      <c r="C22" s="517" t="s">
        <v>3380</v>
      </c>
      <c r="D22" s="515" t="s">
        <v>518</v>
      </c>
      <c r="E22" s="515" t="s">
        <v>3363</v>
      </c>
      <c r="F22" s="518"/>
      <c r="G22" s="518">
        <f>G23</f>
        <v>174454</v>
      </c>
    </row>
    <row r="23" spans="1:10">
      <c r="A23" s="519"/>
      <c r="B23" s="520"/>
      <c r="C23" s="521" t="s">
        <v>3365</v>
      </c>
      <c r="D23" s="519"/>
      <c r="E23" s="522"/>
      <c r="F23" s="523">
        <v>174454</v>
      </c>
      <c r="G23" s="523">
        <f>F23*E22</f>
        <v>174454</v>
      </c>
    </row>
    <row r="24" spans="1:10">
      <c r="A24" s="515" t="s">
        <v>3381</v>
      </c>
      <c r="B24" s="516" t="s">
        <v>153</v>
      </c>
      <c r="C24" s="517" t="s">
        <v>3382</v>
      </c>
      <c r="D24" s="515" t="s">
        <v>518</v>
      </c>
      <c r="E24" s="515" t="s">
        <v>3363</v>
      </c>
      <c r="F24" s="518"/>
      <c r="G24" s="518">
        <f>G25</f>
        <v>100889</v>
      </c>
    </row>
    <row r="25" spans="1:10">
      <c r="A25" s="519"/>
      <c r="B25" s="520"/>
      <c r="C25" s="521" t="s">
        <v>3365</v>
      </c>
      <c r="D25" s="519"/>
      <c r="E25" s="522"/>
      <c r="F25" s="523">
        <v>100889</v>
      </c>
      <c r="G25" s="523">
        <f>F25*E24</f>
        <v>100889</v>
      </c>
    </row>
    <row r="26" spans="1:10">
      <c r="A26" s="515" t="s">
        <v>3383</v>
      </c>
      <c r="B26" s="516" t="s">
        <v>488</v>
      </c>
      <c r="C26" s="517" t="s">
        <v>489</v>
      </c>
      <c r="D26" s="515" t="s">
        <v>518</v>
      </c>
      <c r="E26" s="515" t="s">
        <v>3363</v>
      </c>
      <c r="F26" s="518"/>
      <c r="G26" s="518">
        <f>G27</f>
        <v>86176</v>
      </c>
    </row>
    <row r="27" spans="1:10">
      <c r="A27" s="519"/>
      <c r="B27" s="520"/>
      <c r="C27" s="521" t="s">
        <v>3365</v>
      </c>
      <c r="D27" s="519"/>
      <c r="E27" s="522"/>
      <c r="F27" s="523">
        <v>86176</v>
      </c>
      <c r="G27" s="523">
        <f>F27*E26</f>
        <v>86176</v>
      </c>
    </row>
    <row r="28" spans="1:10">
      <c r="A28" s="515" t="s">
        <v>3384</v>
      </c>
      <c r="B28" s="516" t="s">
        <v>145</v>
      </c>
      <c r="C28" s="517" t="s">
        <v>3385</v>
      </c>
      <c r="D28" s="515" t="s">
        <v>518</v>
      </c>
      <c r="E28" s="515" t="s">
        <v>3363</v>
      </c>
      <c r="F28" s="518"/>
      <c r="G28" s="518">
        <f>G29</f>
        <v>105093</v>
      </c>
    </row>
    <row r="29" spans="1:10">
      <c r="A29" s="519"/>
      <c r="B29" s="520"/>
      <c r="C29" s="521" t="s">
        <v>3365</v>
      </c>
      <c r="D29" s="519"/>
      <c r="E29" s="522"/>
      <c r="F29" s="523">
        <v>105093</v>
      </c>
      <c r="G29" s="523">
        <f>F29*E28</f>
        <v>105093</v>
      </c>
    </row>
    <row r="30" spans="1:10">
      <c r="A30" s="515" t="s">
        <v>3386</v>
      </c>
      <c r="B30" s="516" t="s">
        <v>504</v>
      </c>
      <c r="C30" s="517" t="s">
        <v>3387</v>
      </c>
      <c r="D30" s="515" t="s">
        <v>518</v>
      </c>
      <c r="E30" s="515" t="s">
        <v>3363</v>
      </c>
      <c r="F30" s="518"/>
      <c r="G30" s="518">
        <f>G31</f>
        <v>113500</v>
      </c>
    </row>
    <row r="31" spans="1:10">
      <c r="A31" s="519"/>
      <c r="B31" s="520"/>
      <c r="C31" s="521" t="s">
        <v>3365</v>
      </c>
      <c r="D31" s="519"/>
      <c r="E31" s="522"/>
      <c r="F31" s="523">
        <v>113500</v>
      </c>
      <c r="G31" s="523">
        <f>F31*E30</f>
        <v>113500</v>
      </c>
    </row>
    <row r="32" spans="1:10">
      <c r="A32" s="508" t="s">
        <v>3388</v>
      </c>
      <c r="B32" s="509" t="s">
        <v>3389</v>
      </c>
      <c r="C32" s="524"/>
      <c r="D32" s="525"/>
      <c r="E32" s="526"/>
      <c r="F32" s="527"/>
      <c r="G32" s="527"/>
    </row>
    <row r="33" spans="1:7">
      <c r="A33" s="515" t="s">
        <v>42</v>
      </c>
      <c r="B33" s="516" t="s">
        <v>418</v>
      </c>
      <c r="C33" s="517" t="s">
        <v>3390</v>
      </c>
      <c r="D33" s="515" t="s">
        <v>518</v>
      </c>
      <c r="E33" s="515" t="s">
        <v>3363</v>
      </c>
      <c r="F33" s="518"/>
      <c r="G33" s="518">
        <f>G34</f>
        <v>826027</v>
      </c>
    </row>
    <row r="34" spans="1:7">
      <c r="A34" s="519"/>
      <c r="B34" s="520"/>
      <c r="C34" s="521" t="s">
        <v>3365</v>
      </c>
      <c r="D34" s="519"/>
      <c r="E34" s="522"/>
      <c r="F34" s="523">
        <v>826027</v>
      </c>
      <c r="G34" s="523">
        <f>F34*E33</f>
        <v>826027</v>
      </c>
    </row>
    <row r="35" spans="1:7" s="221" customFormat="1">
      <c r="A35" s="515" t="s">
        <v>54</v>
      </c>
      <c r="B35" s="516" t="s">
        <v>418</v>
      </c>
      <c r="C35" s="517" t="s">
        <v>3391</v>
      </c>
      <c r="D35" s="515" t="s">
        <v>518</v>
      </c>
      <c r="E35" s="515" t="s">
        <v>3363</v>
      </c>
      <c r="F35" s="518"/>
      <c r="G35" s="518">
        <f>G36</f>
        <v>1216971</v>
      </c>
    </row>
    <row r="36" spans="1:7">
      <c r="A36" s="519"/>
      <c r="B36" s="520"/>
      <c r="C36" s="521" t="s">
        <v>3365</v>
      </c>
      <c r="D36" s="519"/>
      <c r="E36" s="522"/>
      <c r="F36" s="523">
        <v>1216971</v>
      </c>
      <c r="G36" s="523">
        <f>F36*E35</f>
        <v>1216971</v>
      </c>
    </row>
    <row r="37" spans="1:7">
      <c r="A37" s="515" t="s">
        <v>55</v>
      </c>
      <c r="B37" s="516" t="s">
        <v>134</v>
      </c>
      <c r="C37" s="517" t="s">
        <v>3392</v>
      </c>
      <c r="D37" s="515" t="s">
        <v>518</v>
      </c>
      <c r="E37" s="515" t="s">
        <v>3363</v>
      </c>
      <c r="F37" s="518"/>
      <c r="G37" s="518">
        <f>G38</f>
        <v>1574286</v>
      </c>
    </row>
    <row r="38" spans="1:7">
      <c r="A38" s="519"/>
      <c r="B38" s="520"/>
      <c r="C38" s="521" t="s">
        <v>3365</v>
      </c>
      <c r="D38" s="519"/>
      <c r="E38" s="522"/>
      <c r="F38" s="523">
        <v>1574286</v>
      </c>
      <c r="G38" s="523">
        <f>F38*E37</f>
        <v>1574286</v>
      </c>
    </row>
    <row r="39" spans="1:7">
      <c r="A39" s="515" t="s">
        <v>56</v>
      </c>
      <c r="B39" s="516" t="s">
        <v>434</v>
      </c>
      <c r="C39" s="517" t="s">
        <v>3393</v>
      </c>
      <c r="D39" s="515" t="s">
        <v>518</v>
      </c>
      <c r="E39" s="515" t="s">
        <v>3363</v>
      </c>
      <c r="F39" s="518"/>
      <c r="G39" s="518">
        <f>G40</f>
        <v>1431360</v>
      </c>
    </row>
    <row r="40" spans="1:7">
      <c r="A40" s="519"/>
      <c r="B40" s="520"/>
      <c r="C40" s="521" t="s">
        <v>3365</v>
      </c>
      <c r="D40" s="519"/>
      <c r="E40" s="522"/>
      <c r="F40" s="523">
        <v>1431360</v>
      </c>
      <c r="G40" s="523">
        <f>F40*E39</f>
        <v>1431360</v>
      </c>
    </row>
    <row r="41" spans="1:7">
      <c r="A41" s="515" t="s">
        <v>57</v>
      </c>
      <c r="B41" s="516" t="s">
        <v>444</v>
      </c>
      <c r="C41" s="517" t="s">
        <v>3394</v>
      </c>
      <c r="D41" s="515" t="s">
        <v>518</v>
      </c>
      <c r="E41" s="515" t="s">
        <v>3363</v>
      </c>
      <c r="F41" s="518"/>
      <c r="G41" s="518">
        <f>G42</f>
        <v>1717211</v>
      </c>
    </row>
    <row r="42" spans="1:7">
      <c r="A42" s="519"/>
      <c r="B42" s="520"/>
      <c r="C42" s="521" t="s">
        <v>3365</v>
      </c>
      <c r="D42" s="519"/>
      <c r="E42" s="522"/>
      <c r="F42" s="523">
        <v>1717211</v>
      </c>
      <c r="G42" s="523">
        <f>F42*E41</f>
        <v>1717211</v>
      </c>
    </row>
    <row r="43" spans="1:7">
      <c r="A43" s="515" t="s">
        <v>58</v>
      </c>
      <c r="B43" s="516" t="s">
        <v>238</v>
      </c>
      <c r="C43" s="517" t="s">
        <v>3395</v>
      </c>
      <c r="D43" s="515" t="s">
        <v>518</v>
      </c>
      <c r="E43" s="515" t="s">
        <v>3363</v>
      </c>
      <c r="F43" s="518"/>
      <c r="G43" s="518">
        <f>G44</f>
        <v>1416647</v>
      </c>
    </row>
    <row r="44" spans="1:7">
      <c r="A44" s="519"/>
      <c r="B44" s="520"/>
      <c r="C44" s="521" t="s">
        <v>3365</v>
      </c>
      <c r="D44" s="519"/>
      <c r="E44" s="522"/>
      <c r="F44" s="523">
        <v>1416647</v>
      </c>
      <c r="G44" s="523">
        <f>F44*E43</f>
        <v>1416647</v>
      </c>
    </row>
    <row r="45" spans="1:7">
      <c r="A45" s="515" t="s">
        <v>3379</v>
      </c>
      <c r="B45" s="516" t="s">
        <v>247</v>
      </c>
      <c r="C45" s="517" t="s">
        <v>3396</v>
      </c>
      <c r="D45" s="515" t="s">
        <v>518</v>
      </c>
      <c r="E45" s="515" t="s">
        <v>3363</v>
      </c>
      <c r="F45" s="518"/>
      <c r="G45" s="518">
        <f>G46</f>
        <v>1860137</v>
      </c>
    </row>
    <row r="46" spans="1:7">
      <c r="A46" s="519"/>
      <c r="B46" s="520"/>
      <c r="C46" s="521" t="s">
        <v>3365</v>
      </c>
      <c r="D46" s="519"/>
      <c r="E46" s="522"/>
      <c r="F46" s="523">
        <v>1860137</v>
      </c>
      <c r="G46" s="523">
        <f>F46*E45</f>
        <v>1860137</v>
      </c>
    </row>
    <row r="47" spans="1:7">
      <c r="A47" s="515" t="s">
        <v>3381</v>
      </c>
      <c r="B47" s="516" t="s">
        <v>155</v>
      </c>
      <c r="C47" s="517" t="s">
        <v>3397</v>
      </c>
      <c r="D47" s="515" t="s">
        <v>518</v>
      </c>
      <c r="E47" s="515" t="s">
        <v>3363</v>
      </c>
      <c r="F47" s="518"/>
      <c r="G47" s="518">
        <f>G48</f>
        <v>1431360</v>
      </c>
    </row>
    <row r="48" spans="1:7">
      <c r="A48" s="519"/>
      <c r="B48" s="520"/>
      <c r="C48" s="521" t="s">
        <v>3365</v>
      </c>
      <c r="D48" s="519"/>
      <c r="E48" s="522"/>
      <c r="F48" s="523">
        <v>1431360</v>
      </c>
      <c r="G48" s="523">
        <f>F48*E47</f>
        <v>1431360</v>
      </c>
    </row>
    <row r="49" spans="1:7">
      <c r="A49" s="515" t="s">
        <v>3383</v>
      </c>
      <c r="B49" s="516" t="s">
        <v>490</v>
      </c>
      <c r="C49" s="517" t="s">
        <v>3398</v>
      </c>
      <c r="D49" s="515" t="s">
        <v>518</v>
      </c>
      <c r="E49" s="515" t="s">
        <v>3363</v>
      </c>
      <c r="F49" s="518"/>
      <c r="G49" s="518">
        <f>G50</f>
        <v>1288434</v>
      </c>
    </row>
    <row r="50" spans="1:7">
      <c r="A50" s="519"/>
      <c r="B50" s="520"/>
      <c r="C50" s="521" t="s">
        <v>3365</v>
      </c>
      <c r="D50" s="519"/>
      <c r="E50" s="522"/>
      <c r="F50" s="523">
        <v>1288434</v>
      </c>
      <c r="G50" s="523">
        <f>F50*E49</f>
        <v>1288434</v>
      </c>
    </row>
    <row r="51" spans="1:7">
      <c r="A51" s="515" t="s">
        <v>3384</v>
      </c>
      <c r="B51" s="516" t="s">
        <v>143</v>
      </c>
      <c r="C51" s="517" t="s">
        <v>3385</v>
      </c>
      <c r="D51" s="515" t="s">
        <v>518</v>
      </c>
      <c r="E51" s="515" t="s">
        <v>3363</v>
      </c>
      <c r="F51" s="518"/>
      <c r="G51" s="518">
        <f>G52</f>
        <v>2033063</v>
      </c>
    </row>
    <row r="52" spans="1:7">
      <c r="A52" s="519"/>
      <c r="B52" s="520"/>
      <c r="C52" s="521" t="s">
        <v>3365</v>
      </c>
      <c r="D52" s="519"/>
      <c r="E52" s="522"/>
      <c r="F52" s="523">
        <v>2033063</v>
      </c>
      <c r="G52" s="523">
        <f>F52*E51</f>
        <v>2033063</v>
      </c>
    </row>
    <row r="53" spans="1:7">
      <c r="A53" s="515" t="s">
        <v>3386</v>
      </c>
      <c r="B53" s="516" t="s">
        <v>506</v>
      </c>
      <c r="C53" s="517" t="s">
        <v>3399</v>
      </c>
      <c r="D53" s="515" t="s">
        <v>518</v>
      </c>
      <c r="E53" s="515" t="s">
        <v>3363</v>
      </c>
      <c r="F53" s="518"/>
      <c r="G53" s="518">
        <f>G54</f>
        <v>895388</v>
      </c>
    </row>
    <row r="54" spans="1:7">
      <c r="A54" s="519"/>
      <c r="B54" s="520"/>
      <c r="C54" s="521" t="s">
        <v>3365</v>
      </c>
      <c r="D54" s="519"/>
      <c r="E54" s="522"/>
      <c r="F54" s="523">
        <v>895388</v>
      </c>
      <c r="G54" s="523">
        <f>F54*E53</f>
        <v>895388</v>
      </c>
    </row>
    <row r="55" spans="1:7">
      <c r="A55" s="508" t="s">
        <v>3400</v>
      </c>
      <c r="B55" s="509" t="s">
        <v>3401</v>
      </c>
      <c r="C55" s="524"/>
      <c r="D55" s="525"/>
      <c r="E55" s="526"/>
      <c r="F55" s="527"/>
      <c r="G55" s="527"/>
    </row>
    <row r="56" spans="1:7">
      <c r="A56" s="515" t="s">
        <v>42</v>
      </c>
      <c r="B56" s="516" t="s">
        <v>420</v>
      </c>
      <c r="C56" s="517" t="s">
        <v>3390</v>
      </c>
      <c r="D56" s="515" t="s">
        <v>518</v>
      </c>
      <c r="E56" s="515" t="s">
        <v>3363</v>
      </c>
      <c r="F56" s="518"/>
      <c r="G56" s="518">
        <f>G57</f>
        <v>813416</v>
      </c>
    </row>
    <row r="57" spans="1:7">
      <c r="A57" s="519"/>
      <c r="B57" s="520"/>
      <c r="C57" s="521" t="s">
        <v>3365</v>
      </c>
      <c r="D57" s="519"/>
      <c r="E57" s="522"/>
      <c r="F57" s="523">
        <v>813416</v>
      </c>
      <c r="G57" s="523">
        <f>F57*E56</f>
        <v>813416</v>
      </c>
    </row>
    <row r="58" spans="1:7">
      <c r="A58" s="515" t="s">
        <v>54</v>
      </c>
      <c r="B58" s="516" t="s">
        <v>420</v>
      </c>
      <c r="C58" s="517" t="s">
        <v>3391</v>
      </c>
      <c r="D58" s="515" t="s">
        <v>518</v>
      </c>
      <c r="E58" s="515" t="s">
        <v>3363</v>
      </c>
      <c r="F58" s="518"/>
      <c r="G58" s="518">
        <f>G59</f>
        <v>1141305</v>
      </c>
    </row>
    <row r="59" spans="1:7">
      <c r="A59" s="519"/>
      <c r="B59" s="520"/>
      <c r="C59" s="521" t="s">
        <v>3365</v>
      </c>
      <c r="D59" s="519"/>
      <c r="E59" s="522"/>
      <c r="F59" s="523">
        <v>1141305</v>
      </c>
      <c r="G59" s="523">
        <f>F59*E58</f>
        <v>1141305</v>
      </c>
    </row>
    <row r="60" spans="1:7">
      <c r="A60" s="515" t="s">
        <v>55</v>
      </c>
      <c r="B60" s="516" t="s">
        <v>426</v>
      </c>
      <c r="C60" s="517" t="s">
        <v>3392</v>
      </c>
      <c r="D60" s="515" t="s">
        <v>518</v>
      </c>
      <c r="E60" s="515" t="s">
        <v>3363</v>
      </c>
      <c r="F60" s="518"/>
      <c r="G60" s="518">
        <f>G61</f>
        <v>1477601</v>
      </c>
    </row>
    <row r="61" spans="1:7">
      <c r="A61" s="519"/>
      <c r="B61" s="520"/>
      <c r="C61" s="521" t="s">
        <v>3365</v>
      </c>
      <c r="D61" s="519"/>
      <c r="E61" s="522"/>
      <c r="F61" s="523">
        <v>1477601</v>
      </c>
      <c r="G61" s="523">
        <f>F61*E60</f>
        <v>1477601</v>
      </c>
    </row>
    <row r="62" spans="1:7">
      <c r="A62" s="515" t="s">
        <v>56</v>
      </c>
      <c r="B62" s="516" t="s">
        <v>436</v>
      </c>
      <c r="C62" s="517" t="s">
        <v>3393</v>
      </c>
      <c r="D62" s="515" t="s">
        <v>518</v>
      </c>
      <c r="E62" s="515" t="s">
        <v>3363</v>
      </c>
      <c r="F62" s="518"/>
      <c r="G62" s="518">
        <f>G63</f>
        <v>1343082</v>
      </c>
    </row>
    <row r="63" spans="1:7">
      <c r="A63" s="519"/>
      <c r="B63" s="520"/>
      <c r="C63" s="521" t="s">
        <v>3365</v>
      </c>
      <c r="D63" s="519"/>
      <c r="E63" s="522"/>
      <c r="F63" s="523">
        <v>1343082</v>
      </c>
      <c r="G63" s="523">
        <f>F63*E62</f>
        <v>1343082</v>
      </c>
    </row>
    <row r="64" spans="1:7">
      <c r="A64" s="515" t="s">
        <v>57</v>
      </c>
      <c r="B64" s="516" t="s">
        <v>446</v>
      </c>
      <c r="C64" s="517" t="s">
        <v>3394</v>
      </c>
      <c r="D64" s="515" t="s">
        <v>518</v>
      </c>
      <c r="E64" s="515" t="s">
        <v>3363</v>
      </c>
      <c r="F64" s="518"/>
      <c r="G64" s="518">
        <f>G65</f>
        <v>1612119</v>
      </c>
    </row>
    <row r="65" spans="1:7">
      <c r="A65" s="519"/>
      <c r="B65" s="520"/>
      <c r="C65" s="521" t="s">
        <v>3365</v>
      </c>
      <c r="D65" s="519"/>
      <c r="E65" s="522"/>
      <c r="F65" s="523">
        <v>1612119</v>
      </c>
      <c r="G65" s="523">
        <f>F65*E64</f>
        <v>1612119</v>
      </c>
    </row>
    <row r="66" spans="1:7">
      <c r="A66" s="515" t="s">
        <v>58</v>
      </c>
      <c r="B66" s="516" t="s">
        <v>470</v>
      </c>
      <c r="C66" s="517" t="s">
        <v>3395</v>
      </c>
      <c r="D66" s="515" t="s">
        <v>518</v>
      </c>
      <c r="E66" s="515" t="s">
        <v>3363</v>
      </c>
      <c r="F66" s="518"/>
      <c r="G66" s="518">
        <f>G67</f>
        <v>1330471</v>
      </c>
    </row>
    <row r="67" spans="1:7">
      <c r="A67" s="519"/>
      <c r="B67" s="520"/>
      <c r="C67" s="521" t="s">
        <v>3365</v>
      </c>
      <c r="D67" s="519"/>
      <c r="E67" s="522"/>
      <c r="F67" s="523">
        <v>1330471</v>
      </c>
      <c r="G67" s="523">
        <f>F67*E66</f>
        <v>1330471</v>
      </c>
    </row>
    <row r="68" spans="1:7">
      <c r="A68" s="515" t="s">
        <v>3379</v>
      </c>
      <c r="B68" s="516" t="s">
        <v>476</v>
      </c>
      <c r="C68" s="517" t="s">
        <v>3396</v>
      </c>
      <c r="D68" s="515" t="s">
        <v>518</v>
      </c>
      <c r="E68" s="515" t="s">
        <v>3363</v>
      </c>
      <c r="F68" s="518"/>
      <c r="G68" s="518">
        <f>G69</f>
        <v>1746637</v>
      </c>
    </row>
    <row r="69" spans="1:7">
      <c r="A69" s="519"/>
      <c r="B69" s="520"/>
      <c r="C69" s="521" t="s">
        <v>3365</v>
      </c>
      <c r="D69" s="519"/>
      <c r="E69" s="522"/>
      <c r="F69" s="523">
        <v>1746637</v>
      </c>
      <c r="G69" s="523">
        <f>F69*E68</f>
        <v>1746637</v>
      </c>
    </row>
    <row r="70" spans="1:7">
      <c r="A70" s="515" t="s">
        <v>3381</v>
      </c>
      <c r="B70" s="516" t="s">
        <v>482</v>
      </c>
      <c r="C70" s="517" t="s">
        <v>3397</v>
      </c>
      <c r="D70" s="515" t="s">
        <v>518</v>
      </c>
      <c r="E70" s="515" t="s">
        <v>3363</v>
      </c>
      <c r="F70" s="518"/>
      <c r="G70" s="518">
        <f>G71</f>
        <v>1340980</v>
      </c>
    </row>
    <row r="71" spans="1:7">
      <c r="A71" s="519"/>
      <c r="B71" s="520"/>
      <c r="C71" s="521" t="s">
        <v>3365</v>
      </c>
      <c r="D71" s="519"/>
      <c r="E71" s="522"/>
      <c r="F71" s="523">
        <v>1340980</v>
      </c>
      <c r="G71" s="523">
        <f>F71*E70</f>
        <v>1340980</v>
      </c>
    </row>
    <row r="72" spans="1:7">
      <c r="A72" s="515" t="s">
        <v>3383</v>
      </c>
      <c r="B72" s="516" t="s">
        <v>492</v>
      </c>
      <c r="C72" s="517" t="s">
        <v>3398</v>
      </c>
      <c r="D72" s="515" t="s">
        <v>518</v>
      </c>
      <c r="E72" s="515" t="s">
        <v>3363</v>
      </c>
      <c r="F72" s="518"/>
      <c r="G72" s="518">
        <f>G73</f>
        <v>1208564</v>
      </c>
    </row>
    <row r="73" spans="1:7">
      <c r="A73" s="519"/>
      <c r="B73" s="520"/>
      <c r="C73" s="521" t="s">
        <v>3365</v>
      </c>
      <c r="D73" s="519"/>
      <c r="E73" s="522"/>
      <c r="F73" s="523">
        <v>1208564</v>
      </c>
      <c r="G73" s="523">
        <f>F73*E72</f>
        <v>1208564</v>
      </c>
    </row>
    <row r="74" spans="1:7">
      <c r="A74" s="515" t="s">
        <v>3384</v>
      </c>
      <c r="B74" s="516" t="s">
        <v>498</v>
      </c>
      <c r="C74" s="517" t="s">
        <v>3385</v>
      </c>
      <c r="D74" s="515" t="s">
        <v>518</v>
      </c>
      <c r="E74" s="515" t="s">
        <v>3363</v>
      </c>
      <c r="F74" s="518"/>
      <c r="G74" s="518">
        <f>G75</f>
        <v>1881156</v>
      </c>
    </row>
    <row r="75" spans="1:7">
      <c r="A75" s="519"/>
      <c r="B75" s="520"/>
      <c r="C75" s="521" t="s">
        <v>3365</v>
      </c>
      <c r="D75" s="519"/>
      <c r="E75" s="522"/>
      <c r="F75" s="523">
        <v>1881156</v>
      </c>
      <c r="G75" s="523">
        <f>F75*E74</f>
        <v>1881156</v>
      </c>
    </row>
    <row r="76" spans="1:7">
      <c r="A76" s="515" t="s">
        <v>3386</v>
      </c>
      <c r="B76" s="516" t="s">
        <v>508</v>
      </c>
      <c r="C76" s="517" t="s">
        <v>3399</v>
      </c>
      <c r="D76" s="515" t="s">
        <v>518</v>
      </c>
      <c r="E76" s="515" t="s">
        <v>3363</v>
      </c>
      <c r="F76" s="518"/>
      <c r="G76" s="518">
        <f>G77</f>
        <v>811314</v>
      </c>
    </row>
    <row r="77" spans="1:7">
      <c r="A77" s="519"/>
      <c r="B77" s="520"/>
      <c r="C77" s="521" t="s">
        <v>3365</v>
      </c>
      <c r="D77" s="519"/>
      <c r="E77" s="522"/>
      <c r="F77" s="523">
        <v>811314</v>
      </c>
      <c r="G77" s="523">
        <f>F77*E76</f>
        <v>811314</v>
      </c>
    </row>
    <row r="78" spans="1:7">
      <c r="A78" s="508" t="s">
        <v>3402</v>
      </c>
      <c r="B78" s="509" t="s">
        <v>3403</v>
      </c>
      <c r="C78" s="524"/>
      <c r="D78" s="525"/>
      <c r="E78" s="526"/>
      <c r="F78" s="527"/>
      <c r="G78" s="527"/>
    </row>
    <row r="79" spans="1:7">
      <c r="A79" s="515" t="s">
        <v>42</v>
      </c>
      <c r="B79" s="516" t="s">
        <v>422</v>
      </c>
      <c r="C79" s="517" t="s">
        <v>3390</v>
      </c>
      <c r="D79" s="515" t="s">
        <v>518</v>
      </c>
      <c r="E79" s="515" t="s">
        <v>3363</v>
      </c>
      <c r="F79" s="518"/>
      <c r="G79" s="518">
        <f>G80</f>
        <v>708323</v>
      </c>
    </row>
    <row r="80" spans="1:7">
      <c r="A80" s="519"/>
      <c r="B80" s="520"/>
      <c r="C80" s="521" t="s">
        <v>3365</v>
      </c>
      <c r="D80" s="519"/>
      <c r="E80" s="522"/>
      <c r="F80" s="523">
        <v>708323</v>
      </c>
      <c r="G80" s="523">
        <f>F80*E79</f>
        <v>708323</v>
      </c>
    </row>
    <row r="81" spans="1:7">
      <c r="A81" s="515" t="s">
        <v>54</v>
      </c>
      <c r="B81" s="516" t="s">
        <v>422</v>
      </c>
      <c r="C81" s="517" t="s">
        <v>3391</v>
      </c>
      <c r="D81" s="515" t="s">
        <v>518</v>
      </c>
      <c r="E81" s="515" t="s">
        <v>3363</v>
      </c>
      <c r="F81" s="518"/>
      <c r="G81" s="518">
        <f>G82</f>
        <v>1126592</v>
      </c>
    </row>
    <row r="82" spans="1:7">
      <c r="A82" s="519"/>
      <c r="B82" s="520"/>
      <c r="C82" s="521" t="s">
        <v>3365</v>
      </c>
      <c r="D82" s="519"/>
      <c r="E82" s="522"/>
      <c r="F82" s="523">
        <v>1126592</v>
      </c>
      <c r="G82" s="523">
        <f>F82*E81</f>
        <v>1126592</v>
      </c>
    </row>
    <row r="83" spans="1:7" ht="25.5">
      <c r="A83" s="515" t="s">
        <v>55</v>
      </c>
      <c r="B83" s="516" t="s">
        <v>428</v>
      </c>
      <c r="C83" s="528" t="s">
        <v>3392</v>
      </c>
      <c r="D83" s="515" t="s">
        <v>518</v>
      </c>
      <c r="E83" s="515" t="s">
        <v>3363</v>
      </c>
      <c r="F83" s="518"/>
      <c r="G83" s="518">
        <f>G84</f>
        <v>1458684</v>
      </c>
    </row>
    <row r="84" spans="1:7">
      <c r="A84" s="519"/>
      <c r="B84" s="520"/>
      <c r="C84" s="521" t="s">
        <v>3365</v>
      </c>
      <c r="D84" s="519"/>
      <c r="E84" s="522"/>
      <c r="F84" s="523">
        <v>1458684</v>
      </c>
      <c r="G84" s="523">
        <f>F84*E83</f>
        <v>1458684</v>
      </c>
    </row>
    <row r="85" spans="1:7">
      <c r="A85" s="515" t="s">
        <v>56</v>
      </c>
      <c r="B85" s="516" t="s">
        <v>438</v>
      </c>
      <c r="C85" s="517" t="s">
        <v>3393</v>
      </c>
      <c r="D85" s="515" t="s">
        <v>518</v>
      </c>
      <c r="E85" s="515" t="s">
        <v>3363</v>
      </c>
      <c r="F85" s="518"/>
      <c r="G85" s="518">
        <f>G86</f>
        <v>1236267</v>
      </c>
    </row>
    <row r="86" spans="1:7">
      <c r="A86" s="519"/>
      <c r="B86" s="520"/>
      <c r="C86" s="521" t="s">
        <v>3365</v>
      </c>
      <c r="D86" s="519"/>
      <c r="E86" s="522"/>
      <c r="F86" s="523">
        <v>1236267</v>
      </c>
      <c r="G86" s="523">
        <f>F86*E85</f>
        <v>1236267</v>
      </c>
    </row>
    <row r="87" spans="1:7">
      <c r="A87" s="515" t="s">
        <v>57</v>
      </c>
      <c r="B87" s="516" t="s">
        <v>448</v>
      </c>
      <c r="C87" s="517" t="s">
        <v>3394</v>
      </c>
      <c r="D87" s="515" t="s">
        <v>518</v>
      </c>
      <c r="E87" s="515" t="s">
        <v>3363</v>
      </c>
      <c r="F87" s="518"/>
      <c r="G87" s="518">
        <f>G88</f>
        <v>1591100</v>
      </c>
    </row>
    <row r="88" spans="1:7">
      <c r="A88" s="519"/>
      <c r="B88" s="520"/>
      <c r="C88" s="521" t="s">
        <v>3365</v>
      </c>
      <c r="D88" s="519"/>
      <c r="E88" s="522"/>
      <c r="F88" s="523">
        <v>1591100</v>
      </c>
      <c r="G88" s="523">
        <f>F88*E87</f>
        <v>1591100</v>
      </c>
    </row>
    <row r="89" spans="1:7">
      <c r="A89" s="515" t="s">
        <v>58</v>
      </c>
      <c r="B89" s="516" t="s">
        <v>472</v>
      </c>
      <c r="C89" s="517" t="s">
        <v>3395</v>
      </c>
      <c r="D89" s="515" t="s">
        <v>518</v>
      </c>
      <c r="E89" s="515" t="s">
        <v>3363</v>
      </c>
      <c r="F89" s="518"/>
      <c r="G89" s="518">
        <f>G90</f>
        <v>1313656</v>
      </c>
    </row>
    <row r="90" spans="1:7">
      <c r="A90" s="519"/>
      <c r="B90" s="520"/>
      <c r="C90" s="521" t="s">
        <v>3365</v>
      </c>
      <c r="D90" s="519"/>
      <c r="E90" s="522"/>
      <c r="F90" s="523">
        <v>1313656</v>
      </c>
      <c r="G90" s="523">
        <f>F90*E89</f>
        <v>1313656</v>
      </c>
    </row>
    <row r="91" spans="1:7">
      <c r="A91" s="515" t="s">
        <v>3379</v>
      </c>
      <c r="B91" s="516" t="s">
        <v>478</v>
      </c>
      <c r="C91" s="517" t="s">
        <v>3396</v>
      </c>
      <c r="D91" s="515" t="s">
        <v>518</v>
      </c>
      <c r="E91" s="515" t="s">
        <v>3363</v>
      </c>
      <c r="F91" s="518"/>
      <c r="G91" s="518">
        <f>G92</f>
        <v>1723517</v>
      </c>
    </row>
    <row r="92" spans="1:7">
      <c r="A92" s="519"/>
      <c r="B92" s="520"/>
      <c r="C92" s="521" t="s">
        <v>3365</v>
      </c>
      <c r="D92" s="519"/>
      <c r="E92" s="522"/>
      <c r="F92" s="523">
        <v>1723517</v>
      </c>
      <c r="G92" s="523">
        <f>F92*E91</f>
        <v>1723517</v>
      </c>
    </row>
    <row r="93" spans="1:7" s="340" customFormat="1">
      <c r="A93" s="508" t="s">
        <v>3381</v>
      </c>
      <c r="B93" s="546" t="s">
        <v>484</v>
      </c>
      <c r="C93" s="510" t="s">
        <v>3397</v>
      </c>
      <c r="D93" s="508" t="s">
        <v>518</v>
      </c>
      <c r="E93" s="508" t="s">
        <v>3363</v>
      </c>
      <c r="F93" s="513"/>
      <c r="G93" s="513">
        <f>G94</f>
        <v>1326267</v>
      </c>
    </row>
    <row r="94" spans="1:7">
      <c r="A94" s="519"/>
      <c r="B94" s="520"/>
      <c r="C94" s="521" t="s">
        <v>3365</v>
      </c>
      <c r="D94" s="519"/>
      <c r="E94" s="522"/>
      <c r="F94" s="523">
        <v>1326267</v>
      </c>
      <c r="G94" s="523">
        <f>F94*E93</f>
        <v>1326267</v>
      </c>
    </row>
    <row r="95" spans="1:7">
      <c r="A95" s="515" t="s">
        <v>3383</v>
      </c>
      <c r="B95" s="516" t="s">
        <v>494</v>
      </c>
      <c r="C95" s="517" t="s">
        <v>3398</v>
      </c>
      <c r="D95" s="515" t="s">
        <v>518</v>
      </c>
      <c r="E95" s="515" t="s">
        <v>3363</v>
      </c>
      <c r="F95" s="518"/>
      <c r="G95" s="518">
        <f>G96</f>
        <v>1193851</v>
      </c>
    </row>
    <row r="96" spans="1:7">
      <c r="A96" s="519"/>
      <c r="B96" s="520"/>
      <c r="C96" s="521" t="s">
        <v>3365</v>
      </c>
      <c r="D96" s="519"/>
      <c r="E96" s="522"/>
      <c r="F96" s="523">
        <v>1193851</v>
      </c>
      <c r="G96" s="523">
        <f>F96*E95</f>
        <v>1193851</v>
      </c>
    </row>
    <row r="97" spans="1:7">
      <c r="A97" s="515" t="s">
        <v>3384</v>
      </c>
      <c r="B97" s="516" t="s">
        <v>500</v>
      </c>
      <c r="C97" s="517" t="s">
        <v>3385</v>
      </c>
      <c r="D97" s="515" t="s">
        <v>518</v>
      </c>
      <c r="E97" s="515" t="s">
        <v>3363</v>
      </c>
      <c r="F97" s="518"/>
      <c r="G97" s="518">
        <f>G98</f>
        <v>1855934</v>
      </c>
    </row>
    <row r="98" spans="1:7">
      <c r="A98" s="519"/>
      <c r="B98" s="520"/>
      <c r="C98" s="521" t="s">
        <v>3365</v>
      </c>
      <c r="D98" s="519"/>
      <c r="E98" s="522"/>
      <c r="F98" s="523">
        <v>1855934</v>
      </c>
      <c r="G98" s="523">
        <f>F98*E97</f>
        <v>1855934</v>
      </c>
    </row>
    <row r="99" spans="1:7">
      <c r="A99" s="515" t="s">
        <v>3386</v>
      </c>
      <c r="B99" s="516" t="s">
        <v>510</v>
      </c>
      <c r="C99" s="517" t="s">
        <v>3399</v>
      </c>
      <c r="D99" s="515" t="s">
        <v>518</v>
      </c>
      <c r="E99" s="515" t="s">
        <v>3363</v>
      </c>
      <c r="F99" s="518"/>
      <c r="G99" s="518">
        <f>G100</f>
        <v>194499</v>
      </c>
    </row>
    <row r="100" spans="1:7">
      <c r="A100" s="519"/>
      <c r="B100" s="520"/>
      <c r="C100" s="521" t="s">
        <v>3365</v>
      </c>
      <c r="D100" s="519"/>
      <c r="E100" s="522"/>
      <c r="F100" s="523">
        <v>194499</v>
      </c>
      <c r="G100" s="523">
        <f>F100*E99</f>
        <v>194499</v>
      </c>
    </row>
    <row r="101" spans="1:7">
      <c r="A101" s="508" t="s">
        <v>3404</v>
      </c>
      <c r="B101" s="509" t="s">
        <v>3405</v>
      </c>
      <c r="C101" s="524"/>
      <c r="D101" s="525"/>
      <c r="E101" s="526"/>
      <c r="F101" s="527"/>
      <c r="G101" s="527"/>
    </row>
    <row r="102" spans="1:7">
      <c r="A102" s="515" t="s">
        <v>42</v>
      </c>
      <c r="B102" s="516" t="s">
        <v>424</v>
      </c>
      <c r="C102" s="517" t="s">
        <v>3390</v>
      </c>
      <c r="D102" s="515" t="s">
        <v>518</v>
      </c>
      <c r="E102" s="515" t="s">
        <v>3363</v>
      </c>
      <c r="F102" s="518"/>
      <c r="G102" s="518">
        <f>G103</f>
        <v>691509</v>
      </c>
    </row>
    <row r="103" spans="1:7">
      <c r="A103" s="519"/>
      <c r="B103" s="520"/>
      <c r="C103" s="521" t="s">
        <v>3365</v>
      </c>
      <c r="D103" s="519"/>
      <c r="E103" s="522"/>
      <c r="F103" s="523">
        <v>691509</v>
      </c>
      <c r="G103" s="523">
        <f>F103*E102</f>
        <v>691509</v>
      </c>
    </row>
    <row r="104" spans="1:7">
      <c r="A104" s="515" t="s">
        <v>54</v>
      </c>
      <c r="B104" s="516" t="s">
        <v>424</v>
      </c>
      <c r="C104" s="517" t="s">
        <v>3391</v>
      </c>
      <c r="D104" s="515" t="s">
        <v>518</v>
      </c>
      <c r="E104" s="515" t="s">
        <v>3363</v>
      </c>
      <c r="F104" s="518"/>
      <c r="G104" s="518">
        <f>G105</f>
        <v>1116082</v>
      </c>
    </row>
    <row r="105" spans="1:7">
      <c r="A105" s="519"/>
      <c r="B105" s="520"/>
      <c r="C105" s="521" t="s">
        <v>3365</v>
      </c>
      <c r="D105" s="519"/>
      <c r="E105" s="522"/>
      <c r="F105" s="523">
        <v>1116082</v>
      </c>
      <c r="G105" s="523">
        <f>F105*E104</f>
        <v>1116082</v>
      </c>
    </row>
    <row r="106" spans="1:7">
      <c r="A106" s="515" t="s">
        <v>55</v>
      </c>
      <c r="B106" s="516" t="s">
        <v>430</v>
      </c>
      <c r="C106" s="517" t="s">
        <v>3392</v>
      </c>
      <c r="D106" s="515" t="s">
        <v>518</v>
      </c>
      <c r="E106" s="515" t="s">
        <v>3363</v>
      </c>
      <c r="F106" s="518"/>
      <c r="G106" s="518">
        <f>G107</f>
        <v>1338878</v>
      </c>
    </row>
    <row r="107" spans="1:7">
      <c r="A107" s="519"/>
      <c r="B107" s="520"/>
      <c r="C107" s="521" t="s">
        <v>3365</v>
      </c>
      <c r="D107" s="519"/>
      <c r="E107" s="522"/>
      <c r="F107" s="523">
        <v>1338878</v>
      </c>
      <c r="G107" s="523">
        <f>F107*E106</f>
        <v>1338878</v>
      </c>
    </row>
    <row r="108" spans="1:7">
      <c r="A108" s="515" t="s">
        <v>56</v>
      </c>
      <c r="B108" s="516" t="s">
        <v>440</v>
      </c>
      <c r="C108" s="517" t="s">
        <v>3393</v>
      </c>
      <c r="D108" s="515" t="s">
        <v>518</v>
      </c>
      <c r="E108" s="515" t="s">
        <v>3363</v>
      </c>
      <c r="F108" s="518"/>
      <c r="G108" s="518">
        <f>G109</f>
        <v>1313656</v>
      </c>
    </row>
    <row r="109" spans="1:7">
      <c r="A109" s="519"/>
      <c r="B109" s="520"/>
      <c r="C109" s="521" t="s">
        <v>3365</v>
      </c>
      <c r="D109" s="519"/>
      <c r="E109" s="522"/>
      <c r="F109" s="523">
        <v>1313656</v>
      </c>
      <c r="G109" s="523">
        <f>F109*E108</f>
        <v>1313656</v>
      </c>
    </row>
    <row r="110" spans="1:7">
      <c r="A110" s="515" t="s">
        <v>57</v>
      </c>
      <c r="B110" s="516" t="s">
        <v>450</v>
      </c>
      <c r="C110" s="517" t="s">
        <v>3394</v>
      </c>
      <c r="D110" s="515" t="s">
        <v>518</v>
      </c>
      <c r="E110" s="515" t="s">
        <v>3363</v>
      </c>
      <c r="F110" s="518"/>
      <c r="G110" s="518">
        <f>G111</f>
        <v>1576388</v>
      </c>
    </row>
    <row r="111" spans="1:7">
      <c r="A111" s="519"/>
      <c r="B111" s="520"/>
      <c r="C111" s="521" t="s">
        <v>3365</v>
      </c>
      <c r="D111" s="519"/>
      <c r="E111" s="522"/>
      <c r="F111" s="523">
        <v>1576388</v>
      </c>
      <c r="G111" s="523">
        <f>F111*E110</f>
        <v>1576388</v>
      </c>
    </row>
    <row r="112" spans="1:7">
      <c r="A112" s="515" t="s">
        <v>58</v>
      </c>
      <c r="B112" s="516" t="s">
        <v>474</v>
      </c>
      <c r="C112" s="517" t="s">
        <v>3395</v>
      </c>
      <c r="D112" s="515" t="s">
        <v>518</v>
      </c>
      <c r="E112" s="515" t="s">
        <v>3363</v>
      </c>
      <c r="F112" s="518"/>
      <c r="G112" s="518">
        <f>G113</f>
        <v>1298943</v>
      </c>
    </row>
    <row r="113" spans="1:7">
      <c r="A113" s="519"/>
      <c r="B113" s="520"/>
      <c r="C113" s="521" t="s">
        <v>3365</v>
      </c>
      <c r="D113" s="519"/>
      <c r="E113" s="522"/>
      <c r="F113" s="523">
        <v>1298943</v>
      </c>
      <c r="G113" s="523">
        <f>F113*E112</f>
        <v>1298943</v>
      </c>
    </row>
    <row r="114" spans="1:7">
      <c r="A114" s="515" t="s">
        <v>3379</v>
      </c>
      <c r="B114" s="516" t="s">
        <v>480</v>
      </c>
      <c r="C114" s="517" t="s">
        <v>3396</v>
      </c>
      <c r="D114" s="515" t="s">
        <v>518</v>
      </c>
      <c r="E114" s="515" t="s">
        <v>3363</v>
      </c>
      <c r="F114" s="518"/>
      <c r="G114" s="518">
        <f>G115</f>
        <v>1706702</v>
      </c>
    </row>
    <row r="115" spans="1:7">
      <c r="A115" s="519"/>
      <c r="B115" s="520"/>
      <c r="C115" s="521" t="s">
        <v>3365</v>
      </c>
      <c r="D115" s="519"/>
      <c r="E115" s="522"/>
      <c r="F115" s="523">
        <v>1706702</v>
      </c>
      <c r="G115" s="523">
        <f>F115*E114</f>
        <v>1706702</v>
      </c>
    </row>
    <row r="116" spans="1:7">
      <c r="A116" s="515" t="s">
        <v>3381</v>
      </c>
      <c r="B116" s="516" t="s">
        <v>486</v>
      </c>
      <c r="C116" s="517" t="s">
        <v>3397</v>
      </c>
      <c r="D116" s="515" t="s">
        <v>518</v>
      </c>
      <c r="E116" s="515" t="s">
        <v>3363</v>
      </c>
      <c r="F116" s="518"/>
      <c r="G116" s="518">
        <f>G117</f>
        <v>1313656</v>
      </c>
    </row>
    <row r="117" spans="1:7">
      <c r="A117" s="519"/>
      <c r="B117" s="520"/>
      <c r="C117" s="521" t="s">
        <v>3365</v>
      </c>
      <c r="D117" s="519"/>
      <c r="E117" s="522"/>
      <c r="F117" s="523">
        <v>1313656</v>
      </c>
      <c r="G117" s="523">
        <f>F117*E116</f>
        <v>1313656</v>
      </c>
    </row>
    <row r="118" spans="1:7">
      <c r="A118" s="515" t="s">
        <v>3383</v>
      </c>
      <c r="B118" s="516" t="s">
        <v>496</v>
      </c>
      <c r="C118" s="517" t="s">
        <v>3398</v>
      </c>
      <c r="D118" s="515" t="s">
        <v>518</v>
      </c>
      <c r="E118" s="515" t="s">
        <v>3363</v>
      </c>
      <c r="F118" s="518"/>
      <c r="G118" s="518">
        <f>G119</f>
        <v>1181240</v>
      </c>
    </row>
    <row r="119" spans="1:7">
      <c r="A119" s="519"/>
      <c r="B119" s="520"/>
      <c r="C119" s="521" t="s">
        <v>3365</v>
      </c>
      <c r="D119" s="519"/>
      <c r="E119" s="522"/>
      <c r="F119" s="523">
        <v>1181240</v>
      </c>
      <c r="G119" s="523">
        <f>F119*E118</f>
        <v>1181240</v>
      </c>
    </row>
    <row r="120" spans="1:7">
      <c r="A120" s="515" t="s">
        <v>3384</v>
      </c>
      <c r="B120" s="516" t="s">
        <v>502</v>
      </c>
      <c r="C120" s="517" t="s">
        <v>3385</v>
      </c>
      <c r="D120" s="515" t="s">
        <v>518</v>
      </c>
      <c r="E120" s="515" t="s">
        <v>3363</v>
      </c>
      <c r="F120" s="518"/>
      <c r="G120" s="518">
        <f>G121</f>
        <v>1839119</v>
      </c>
    </row>
    <row r="121" spans="1:7">
      <c r="A121" s="519"/>
      <c r="B121" s="520"/>
      <c r="C121" s="521" t="s">
        <v>3365</v>
      </c>
      <c r="D121" s="519"/>
      <c r="E121" s="522"/>
      <c r="F121" s="523">
        <v>1839119</v>
      </c>
      <c r="G121" s="523">
        <f>F121*E120</f>
        <v>1839119</v>
      </c>
    </row>
    <row r="122" spans="1:7">
      <c r="A122" s="515" t="s">
        <v>3386</v>
      </c>
      <c r="B122" s="516" t="s">
        <v>512</v>
      </c>
      <c r="C122" s="517" t="s">
        <v>3399</v>
      </c>
      <c r="D122" s="515" t="s">
        <v>518</v>
      </c>
      <c r="E122" s="515" t="s">
        <v>3363</v>
      </c>
      <c r="F122" s="518"/>
      <c r="G122" s="518">
        <f>G123</f>
        <v>783990</v>
      </c>
    </row>
    <row r="123" spans="1:7">
      <c r="A123" s="519"/>
      <c r="B123" s="520"/>
      <c r="C123" s="521" t="s">
        <v>3365</v>
      </c>
      <c r="D123" s="519"/>
      <c r="E123" s="522"/>
      <c r="F123" s="523">
        <v>783990</v>
      </c>
      <c r="G123" s="523">
        <f>F123*E122</f>
        <v>783990</v>
      </c>
    </row>
    <row r="124" spans="1:7">
      <c r="A124" s="505" t="s">
        <v>6</v>
      </c>
      <c r="B124" s="1634" t="s">
        <v>3406</v>
      </c>
      <c r="C124" s="1635"/>
      <c r="D124" s="1635"/>
      <c r="E124" s="1635"/>
      <c r="F124" s="1635"/>
      <c r="G124" s="1636"/>
    </row>
    <row r="125" spans="1:7">
      <c r="A125" s="508" t="s">
        <v>3407</v>
      </c>
      <c r="B125" s="509" t="s">
        <v>3408</v>
      </c>
      <c r="C125" s="524"/>
      <c r="D125" s="525"/>
      <c r="E125" s="526"/>
      <c r="F125" s="527"/>
      <c r="G125" s="527"/>
    </row>
    <row r="126" spans="1:7">
      <c r="A126" s="515" t="s">
        <v>42</v>
      </c>
      <c r="B126" s="516" t="s">
        <v>521</v>
      </c>
      <c r="C126" s="517" t="s">
        <v>3409</v>
      </c>
      <c r="D126" s="515" t="s">
        <v>518</v>
      </c>
      <c r="E126" s="515" t="s">
        <v>42</v>
      </c>
      <c r="F126" s="518"/>
      <c r="G126" s="518"/>
    </row>
    <row r="127" spans="1:7">
      <c r="A127" s="519"/>
      <c r="B127" s="529"/>
      <c r="C127" s="521" t="s">
        <v>3365</v>
      </c>
      <c r="D127" s="519"/>
      <c r="E127" s="519"/>
      <c r="F127" s="523">
        <v>344703</v>
      </c>
      <c r="G127" s="523">
        <f>F127*E126</f>
        <v>344703</v>
      </c>
    </row>
    <row r="128" spans="1:7">
      <c r="A128" s="519"/>
      <c r="B128" s="529"/>
      <c r="C128" s="521" t="s">
        <v>3410</v>
      </c>
      <c r="D128" s="519"/>
      <c r="E128" s="519"/>
      <c r="F128" s="523">
        <v>76300</v>
      </c>
      <c r="G128" s="523">
        <f>+F128*E126</f>
        <v>76300</v>
      </c>
    </row>
    <row r="129" spans="1:7">
      <c r="A129" s="519" t="s">
        <v>54</v>
      </c>
      <c r="B129" s="516" t="s">
        <v>523</v>
      </c>
      <c r="C129" s="517" t="s">
        <v>3411</v>
      </c>
      <c r="D129" s="515" t="s">
        <v>518</v>
      </c>
      <c r="E129" s="515" t="s">
        <v>42</v>
      </c>
      <c r="F129" s="518"/>
      <c r="G129" s="518"/>
    </row>
    <row r="130" spans="1:7">
      <c r="A130" s="519"/>
      <c r="B130" s="529"/>
      <c r="C130" s="521" t="s">
        <v>3365</v>
      </c>
      <c r="D130" s="519"/>
      <c r="E130" s="519"/>
      <c r="F130" s="523">
        <v>334194</v>
      </c>
      <c r="G130" s="523">
        <f>F130*E129</f>
        <v>334194</v>
      </c>
    </row>
    <row r="131" spans="1:7">
      <c r="A131" s="519"/>
      <c r="B131" s="529"/>
      <c r="C131" s="521" t="s">
        <v>3410</v>
      </c>
      <c r="D131" s="519"/>
      <c r="E131" s="519"/>
      <c r="F131" s="523">
        <v>63584</v>
      </c>
      <c r="G131" s="523">
        <f>+F131*E129</f>
        <v>63584</v>
      </c>
    </row>
    <row r="132" spans="1:7">
      <c r="A132" s="508" t="s">
        <v>3412</v>
      </c>
      <c r="B132" s="509" t="s">
        <v>3413</v>
      </c>
      <c r="C132" s="524"/>
      <c r="D132" s="525"/>
      <c r="E132" s="526"/>
      <c r="F132" s="527"/>
      <c r="G132" s="527"/>
    </row>
    <row r="133" spans="1:7">
      <c r="A133" s="515" t="s">
        <v>42</v>
      </c>
      <c r="B133" s="516" t="s">
        <v>525</v>
      </c>
      <c r="C133" s="517" t="s">
        <v>3414</v>
      </c>
      <c r="D133" s="515" t="s">
        <v>518</v>
      </c>
      <c r="E133" s="515" t="s">
        <v>42</v>
      </c>
      <c r="F133" s="518"/>
      <c r="G133" s="518"/>
    </row>
    <row r="134" spans="1:7">
      <c r="A134" s="519"/>
      <c r="B134" s="529"/>
      <c r="C134" s="521" t="s">
        <v>3365</v>
      </c>
      <c r="D134" s="519"/>
      <c r="E134" s="519"/>
      <c r="F134" s="523">
        <v>369926</v>
      </c>
      <c r="G134" s="523">
        <f>F134*E133</f>
        <v>369926</v>
      </c>
    </row>
    <row r="135" spans="1:7">
      <c r="A135" s="519"/>
      <c r="B135" s="529"/>
      <c r="C135" s="521" t="str">
        <f>C131</f>
        <v>b) Máy thi công</v>
      </c>
      <c r="D135" s="519"/>
      <c r="E135" s="519"/>
      <c r="F135" s="523">
        <v>79480</v>
      </c>
      <c r="G135" s="523">
        <f>+F135*E133</f>
        <v>79480</v>
      </c>
    </row>
    <row r="136" spans="1:7">
      <c r="A136" s="519" t="s">
        <v>54</v>
      </c>
      <c r="B136" s="516" t="s">
        <v>528</v>
      </c>
      <c r="C136" s="517" t="s">
        <v>3415</v>
      </c>
      <c r="D136" s="515" t="s">
        <v>518</v>
      </c>
      <c r="E136" s="515" t="s">
        <v>42</v>
      </c>
      <c r="F136" s="518"/>
      <c r="G136" s="518"/>
    </row>
    <row r="137" spans="1:7">
      <c r="A137" s="519"/>
      <c r="B137" s="529"/>
      <c r="C137" s="521" t="s">
        <v>3365</v>
      </c>
      <c r="D137" s="519"/>
      <c r="E137" s="519"/>
      <c r="F137" s="523">
        <v>351009</v>
      </c>
      <c r="G137" s="523">
        <f>F137*E136</f>
        <v>351009</v>
      </c>
    </row>
    <row r="138" spans="1:7">
      <c r="A138" s="519"/>
      <c r="B138" s="529"/>
      <c r="C138" s="521" t="str">
        <f>C131</f>
        <v>b) Máy thi công</v>
      </c>
      <c r="D138" s="519"/>
      <c r="E138" s="519"/>
      <c r="F138" s="523">
        <v>66763</v>
      </c>
      <c r="G138" s="523">
        <f>+F138*E136</f>
        <v>66763</v>
      </c>
    </row>
    <row r="139" spans="1:7">
      <c r="A139" s="508" t="s">
        <v>3416</v>
      </c>
      <c r="B139" s="509" t="s">
        <v>3417</v>
      </c>
      <c r="C139" s="524"/>
      <c r="D139" s="525"/>
      <c r="E139" s="526"/>
      <c r="F139" s="527"/>
      <c r="G139" s="527"/>
    </row>
    <row r="140" spans="1:7">
      <c r="A140" s="515" t="s">
        <v>42</v>
      </c>
      <c r="B140" s="516" t="s">
        <v>530</v>
      </c>
      <c r="C140" s="517" t="s">
        <v>3418</v>
      </c>
      <c r="D140" s="515" t="s">
        <v>518</v>
      </c>
      <c r="E140" s="515" t="s">
        <v>42</v>
      </c>
      <c r="F140" s="518"/>
      <c r="G140" s="518"/>
    </row>
    <row r="141" spans="1:7">
      <c r="A141" s="519"/>
      <c r="B141" s="529"/>
      <c r="C141" s="521" t="s">
        <v>3365</v>
      </c>
      <c r="D141" s="519"/>
      <c r="E141" s="519"/>
      <c r="F141" s="523">
        <v>277444</v>
      </c>
      <c r="G141" s="523">
        <f>F141*E140</f>
        <v>277444</v>
      </c>
    </row>
    <row r="142" spans="1:7">
      <c r="A142" s="519"/>
      <c r="B142" s="529"/>
      <c r="C142" s="521" t="str">
        <f>C138</f>
        <v>b) Máy thi công</v>
      </c>
      <c r="D142" s="519"/>
      <c r="E142" s="519"/>
      <c r="F142" s="523">
        <v>52986</v>
      </c>
      <c r="G142" s="523">
        <f>+F142*E140</f>
        <v>52986</v>
      </c>
    </row>
    <row r="143" spans="1:7">
      <c r="A143" s="519" t="s">
        <v>54</v>
      </c>
      <c r="B143" s="516" t="s">
        <v>532</v>
      </c>
      <c r="C143" s="517" t="s">
        <v>3419</v>
      </c>
      <c r="D143" s="515" t="s">
        <v>518</v>
      </c>
      <c r="E143" s="515" t="s">
        <v>42</v>
      </c>
      <c r="F143" s="518"/>
      <c r="G143" s="518"/>
    </row>
    <row r="144" spans="1:7">
      <c r="A144" s="519"/>
      <c r="B144" s="529"/>
      <c r="C144" s="521" t="s">
        <v>3365</v>
      </c>
      <c r="D144" s="519"/>
      <c r="E144" s="519"/>
      <c r="F144" s="523">
        <v>262731</v>
      </c>
      <c r="G144" s="523">
        <f>F144*E143</f>
        <v>262731</v>
      </c>
    </row>
    <row r="145" spans="1:7">
      <c r="A145" s="519"/>
      <c r="B145" s="529"/>
      <c r="C145" s="521" t="str">
        <f>C142</f>
        <v>b) Máy thi công</v>
      </c>
      <c r="D145" s="519"/>
      <c r="E145" s="519"/>
      <c r="F145" s="523">
        <v>44509</v>
      </c>
      <c r="G145" s="523">
        <f>+F145*E143</f>
        <v>44509</v>
      </c>
    </row>
    <row r="146" spans="1:7">
      <c r="A146" s="508" t="s">
        <v>3420</v>
      </c>
      <c r="B146" s="509" t="s">
        <v>3421</v>
      </c>
      <c r="C146" s="524"/>
      <c r="D146" s="525"/>
      <c r="E146" s="526"/>
      <c r="F146" s="527"/>
      <c r="G146" s="527"/>
    </row>
    <row r="147" spans="1:7">
      <c r="A147" s="515" t="s">
        <v>42</v>
      </c>
      <c r="B147" s="516" t="s">
        <v>534</v>
      </c>
      <c r="C147" s="517" t="s">
        <v>3422</v>
      </c>
      <c r="D147" s="515" t="s">
        <v>518</v>
      </c>
      <c r="E147" s="515" t="s">
        <v>42</v>
      </c>
      <c r="F147" s="518"/>
      <c r="G147" s="518"/>
    </row>
    <row r="148" spans="1:7">
      <c r="A148" s="519"/>
      <c r="B148" s="529"/>
      <c r="C148" s="521" t="s">
        <v>3365</v>
      </c>
      <c r="D148" s="519"/>
      <c r="E148" s="519"/>
      <c r="F148" s="523">
        <v>388842</v>
      </c>
      <c r="G148" s="523">
        <f>F148*E147</f>
        <v>388842</v>
      </c>
    </row>
    <row r="149" spans="1:7">
      <c r="A149" s="519"/>
      <c r="B149" s="529"/>
      <c r="C149" s="521" t="str">
        <f>C145</f>
        <v>b) Máy thi công</v>
      </c>
      <c r="D149" s="519"/>
      <c r="E149" s="519"/>
      <c r="F149" s="523">
        <v>190751</v>
      </c>
      <c r="G149" s="523">
        <f>+F149*E147</f>
        <v>190751</v>
      </c>
    </row>
    <row r="150" spans="1:7">
      <c r="A150" s="519" t="s">
        <v>54</v>
      </c>
      <c r="B150" s="516" t="s">
        <v>536</v>
      </c>
      <c r="C150" s="517" t="s">
        <v>3423</v>
      </c>
      <c r="D150" s="515" t="s">
        <v>518</v>
      </c>
      <c r="E150" s="515" t="s">
        <v>42</v>
      </c>
      <c r="F150" s="518"/>
      <c r="G150" s="518"/>
    </row>
    <row r="151" spans="1:7">
      <c r="A151" s="519"/>
      <c r="B151" s="529"/>
      <c r="C151" s="521" t="s">
        <v>3365</v>
      </c>
      <c r="D151" s="519"/>
      <c r="E151" s="519"/>
      <c r="F151" s="523">
        <v>380435</v>
      </c>
      <c r="G151" s="523">
        <f>F151*E150</f>
        <v>380435</v>
      </c>
    </row>
    <row r="152" spans="1:7">
      <c r="A152" s="519"/>
      <c r="B152" s="529"/>
      <c r="C152" s="521" t="str">
        <f>C145</f>
        <v>b) Máy thi công</v>
      </c>
      <c r="D152" s="519"/>
      <c r="E152" s="519"/>
      <c r="F152" s="523">
        <v>116570</v>
      </c>
      <c r="G152" s="523">
        <f>+F152*E150</f>
        <v>116570</v>
      </c>
    </row>
    <row r="153" spans="1:7">
      <c r="A153" s="508" t="s">
        <v>3424</v>
      </c>
      <c r="B153" s="509" t="s">
        <v>3425</v>
      </c>
      <c r="C153" s="524"/>
      <c r="D153" s="525"/>
      <c r="E153" s="526"/>
      <c r="F153" s="527"/>
      <c r="G153" s="527"/>
    </row>
    <row r="154" spans="1:7" ht="25.5">
      <c r="A154" s="515" t="s">
        <v>42</v>
      </c>
      <c r="B154" s="516" t="s">
        <v>538</v>
      </c>
      <c r="C154" s="528" t="s">
        <v>3426</v>
      </c>
      <c r="D154" s="515" t="s">
        <v>518</v>
      </c>
      <c r="E154" s="515" t="s">
        <v>42</v>
      </c>
      <c r="F154" s="518"/>
      <c r="G154" s="518"/>
    </row>
    <row r="155" spans="1:7">
      <c r="A155" s="519"/>
      <c r="B155" s="529"/>
      <c r="C155" s="521" t="s">
        <v>3365</v>
      </c>
      <c r="D155" s="519"/>
      <c r="E155" s="519"/>
      <c r="F155" s="523">
        <v>304768</v>
      </c>
      <c r="G155" s="523">
        <f>F155*E154</f>
        <v>304768</v>
      </c>
    </row>
    <row r="156" spans="1:7">
      <c r="A156" s="519"/>
      <c r="B156" s="529"/>
      <c r="C156" s="521" t="str">
        <f>C152</f>
        <v>b) Máy thi công</v>
      </c>
      <c r="D156" s="519"/>
      <c r="E156" s="519"/>
      <c r="F156" s="523">
        <v>190751</v>
      </c>
      <c r="G156" s="523">
        <f>+F156*E154</f>
        <v>190751</v>
      </c>
    </row>
    <row r="157" spans="1:7" ht="25.5">
      <c r="A157" s="519" t="s">
        <v>54</v>
      </c>
      <c r="B157" s="516" t="s">
        <v>540</v>
      </c>
      <c r="C157" s="528" t="s">
        <v>3427</v>
      </c>
      <c r="D157" s="515" t="s">
        <v>518</v>
      </c>
      <c r="E157" s="515" t="s">
        <v>42</v>
      </c>
      <c r="F157" s="518"/>
      <c r="G157" s="518"/>
    </row>
    <row r="158" spans="1:7">
      <c r="A158" s="519"/>
      <c r="B158" s="529"/>
      <c r="C158" s="521" t="s">
        <v>3365</v>
      </c>
      <c r="D158" s="519"/>
      <c r="E158" s="519"/>
      <c r="F158" s="523">
        <v>290055</v>
      </c>
      <c r="G158" s="523">
        <f>F158*E157</f>
        <v>290055</v>
      </c>
    </row>
    <row r="159" spans="1:7">
      <c r="A159" s="519"/>
      <c r="B159" s="529"/>
      <c r="C159" s="521" t="str">
        <f>C156</f>
        <v>b) Máy thi công</v>
      </c>
      <c r="D159" s="519"/>
      <c r="E159" s="519"/>
      <c r="F159" s="523">
        <v>158959</v>
      </c>
      <c r="G159" s="523">
        <f>+F159*E157</f>
        <v>158959</v>
      </c>
    </row>
    <row r="160" spans="1:7">
      <c r="A160" s="508" t="s">
        <v>3428</v>
      </c>
      <c r="B160" s="509" t="s">
        <v>3429</v>
      </c>
      <c r="C160" s="524"/>
      <c r="D160" s="525"/>
      <c r="E160" s="526"/>
      <c r="F160" s="527"/>
      <c r="G160" s="527"/>
    </row>
    <row r="161" spans="1:7" ht="25.5">
      <c r="A161" s="515" t="s">
        <v>42</v>
      </c>
      <c r="B161" s="516" t="s">
        <v>3430</v>
      </c>
      <c r="C161" s="528" t="s">
        <v>3431</v>
      </c>
      <c r="D161" s="515" t="s">
        <v>518</v>
      </c>
      <c r="E161" s="515" t="s">
        <v>42</v>
      </c>
      <c r="F161" s="518"/>
      <c r="G161" s="518"/>
    </row>
    <row r="162" spans="1:7">
      <c r="A162" s="519"/>
      <c r="B162" s="529"/>
      <c r="C162" s="521" t="s">
        <v>3365</v>
      </c>
      <c r="D162" s="519"/>
      <c r="E162" s="519"/>
      <c r="F162" s="523">
        <v>426676</v>
      </c>
      <c r="G162" s="523">
        <f>F162*E161</f>
        <v>426676</v>
      </c>
    </row>
    <row r="163" spans="1:7">
      <c r="A163" s="519"/>
      <c r="B163" s="529"/>
      <c r="C163" s="521" t="str">
        <f>C159</f>
        <v>b) Máy thi công</v>
      </c>
      <c r="D163" s="519"/>
      <c r="E163" s="519"/>
      <c r="F163" s="523">
        <v>190751</v>
      </c>
      <c r="G163" s="523">
        <f>+F163*E161</f>
        <v>190751</v>
      </c>
    </row>
    <row r="164" spans="1:7">
      <c r="A164" s="519" t="s">
        <v>54</v>
      </c>
      <c r="B164" s="516" t="s">
        <v>3432</v>
      </c>
      <c r="C164" s="528" t="s">
        <v>3433</v>
      </c>
      <c r="D164" s="515" t="s">
        <v>518</v>
      </c>
      <c r="E164" s="515" t="s">
        <v>42</v>
      </c>
      <c r="F164" s="518"/>
      <c r="G164" s="518"/>
    </row>
    <row r="165" spans="1:7">
      <c r="A165" s="519"/>
      <c r="B165" s="529"/>
      <c r="C165" s="521" t="s">
        <v>3365</v>
      </c>
      <c r="D165" s="519"/>
      <c r="E165" s="519"/>
      <c r="F165" s="523">
        <v>418268</v>
      </c>
      <c r="G165" s="523">
        <f>F165*E164</f>
        <v>418268</v>
      </c>
    </row>
    <row r="166" spans="1:7">
      <c r="A166" s="519"/>
      <c r="B166" s="529"/>
      <c r="C166" s="521" t="str">
        <f>C163</f>
        <v>b) Máy thi công</v>
      </c>
      <c r="D166" s="519"/>
      <c r="E166" s="519"/>
      <c r="F166" s="523">
        <v>158959</v>
      </c>
      <c r="G166" s="523">
        <f>+F166*E164</f>
        <v>158959</v>
      </c>
    </row>
    <row r="167" spans="1:7">
      <c r="A167" s="505" t="s">
        <v>7</v>
      </c>
      <c r="B167" s="1634" t="s">
        <v>3434</v>
      </c>
      <c r="C167" s="1635"/>
      <c r="D167" s="1635"/>
      <c r="E167" s="1635"/>
      <c r="F167" s="1635"/>
      <c r="G167" s="1636"/>
    </row>
    <row r="168" spans="1:7" s="221" customFormat="1">
      <c r="A168" s="515" t="s">
        <v>42</v>
      </c>
      <c r="B168" s="516" t="s">
        <v>3435</v>
      </c>
      <c r="C168" s="528" t="s">
        <v>3436</v>
      </c>
      <c r="D168" s="515" t="s">
        <v>136</v>
      </c>
      <c r="E168" s="515" t="s">
        <v>42</v>
      </c>
      <c r="F168" s="518"/>
      <c r="G168" s="518"/>
    </row>
    <row r="169" spans="1:7">
      <c r="A169" s="519"/>
      <c r="B169" s="529"/>
      <c r="C169" s="521" t="s">
        <v>3365</v>
      </c>
      <c r="D169" s="519"/>
      <c r="E169" s="519"/>
      <c r="F169" s="523">
        <v>115602</v>
      </c>
      <c r="G169" s="523">
        <f>F169*E168</f>
        <v>115602</v>
      </c>
    </row>
    <row r="170" spans="1:7">
      <c r="A170" s="515" t="s">
        <v>54</v>
      </c>
      <c r="B170" s="516" t="s">
        <v>3437</v>
      </c>
      <c r="C170" s="528" t="s">
        <v>3438</v>
      </c>
      <c r="D170" s="515" t="s">
        <v>136</v>
      </c>
      <c r="E170" s="515" t="s">
        <v>42</v>
      </c>
      <c r="F170" s="518"/>
      <c r="G170" s="518"/>
    </row>
    <row r="171" spans="1:7">
      <c r="A171" s="519"/>
      <c r="B171" s="529"/>
      <c r="C171" s="521" t="s">
        <v>3365</v>
      </c>
      <c r="D171" s="519"/>
      <c r="E171" s="519"/>
      <c r="F171" s="523">
        <v>106354</v>
      </c>
      <c r="G171" s="523">
        <f>F171*E170</f>
        <v>106354</v>
      </c>
    </row>
    <row r="172" spans="1:7">
      <c r="A172" s="515" t="s">
        <v>55</v>
      </c>
      <c r="B172" s="516" t="s">
        <v>3439</v>
      </c>
      <c r="C172" s="528" t="s">
        <v>3440</v>
      </c>
      <c r="D172" s="515" t="s">
        <v>136</v>
      </c>
      <c r="E172" s="515" t="s">
        <v>42</v>
      </c>
      <c r="F172" s="518"/>
      <c r="G172" s="518"/>
    </row>
    <row r="173" spans="1:7">
      <c r="A173" s="519"/>
      <c r="B173" s="529"/>
      <c r="C173" s="521" t="s">
        <v>3365</v>
      </c>
      <c r="D173" s="519"/>
      <c r="E173" s="519"/>
      <c r="F173" s="523">
        <v>124009</v>
      </c>
      <c r="G173" s="523">
        <f>F173*E172</f>
        <v>124009</v>
      </c>
    </row>
    <row r="174" spans="1:7">
      <c r="A174" s="515" t="s">
        <v>56</v>
      </c>
      <c r="B174" s="516" t="s">
        <v>3441</v>
      </c>
      <c r="C174" s="528" t="s">
        <v>3442</v>
      </c>
      <c r="D174" s="515" t="s">
        <v>136</v>
      </c>
      <c r="E174" s="515" t="s">
        <v>42</v>
      </c>
      <c r="F174" s="518"/>
      <c r="G174" s="518"/>
    </row>
    <row r="175" spans="1:7">
      <c r="A175" s="519"/>
      <c r="B175" s="529"/>
      <c r="C175" s="521" t="s">
        <v>3365</v>
      </c>
      <c r="D175" s="519"/>
      <c r="E175" s="519"/>
      <c r="F175" s="523">
        <v>96685</v>
      </c>
      <c r="G175" s="523">
        <f>F175*E174</f>
        <v>96685</v>
      </c>
    </row>
    <row r="176" spans="1:7">
      <c r="A176" s="515" t="s">
        <v>57</v>
      </c>
      <c r="B176" s="516" t="s">
        <v>3443</v>
      </c>
      <c r="C176" s="528" t="s">
        <v>3444</v>
      </c>
      <c r="D176" s="515" t="s">
        <v>136</v>
      </c>
      <c r="E176" s="515" t="s">
        <v>42</v>
      </c>
      <c r="F176" s="518"/>
      <c r="G176" s="518"/>
    </row>
    <row r="177" spans="1:7">
      <c r="A177" s="519"/>
      <c r="B177" s="529"/>
      <c r="C177" s="521" t="s">
        <v>3365</v>
      </c>
      <c r="D177" s="519"/>
      <c r="E177" s="519"/>
      <c r="F177" s="523">
        <v>126111</v>
      </c>
      <c r="G177" s="523">
        <f>F177*E176</f>
        <v>126111</v>
      </c>
    </row>
    <row r="178" spans="1:7">
      <c r="A178" s="515" t="s">
        <v>58</v>
      </c>
      <c r="B178" s="516" t="s">
        <v>3445</v>
      </c>
      <c r="C178" s="528" t="s">
        <v>3446</v>
      </c>
      <c r="D178" s="515" t="s">
        <v>136</v>
      </c>
      <c r="E178" s="515" t="s">
        <v>42</v>
      </c>
      <c r="F178" s="518"/>
      <c r="G178" s="518"/>
    </row>
    <row r="179" spans="1:7">
      <c r="A179" s="519"/>
      <c r="B179" s="529"/>
      <c r="C179" s="521" t="s">
        <v>3365</v>
      </c>
      <c r="D179" s="519"/>
      <c r="E179" s="519"/>
      <c r="F179" s="523">
        <v>98787</v>
      </c>
      <c r="G179" s="523">
        <f>F179*E178</f>
        <v>98787</v>
      </c>
    </row>
    <row r="180" spans="1:7">
      <c r="A180" s="515" t="s">
        <v>3379</v>
      </c>
      <c r="B180" s="516" t="s">
        <v>3447</v>
      </c>
      <c r="C180" s="528" t="s">
        <v>3448</v>
      </c>
      <c r="D180" s="515" t="s">
        <v>136</v>
      </c>
      <c r="E180" s="515" t="s">
        <v>42</v>
      </c>
      <c r="F180" s="518"/>
      <c r="G180" s="518"/>
    </row>
    <row r="181" spans="1:7">
      <c r="A181" s="519"/>
      <c r="B181" s="529"/>
      <c r="C181" s="521" t="s">
        <v>3365</v>
      </c>
      <c r="D181" s="519"/>
      <c r="E181" s="519"/>
      <c r="F181" s="523">
        <v>132417</v>
      </c>
      <c r="G181" s="523">
        <f>F181*E180</f>
        <v>132417</v>
      </c>
    </row>
    <row r="182" spans="1:7">
      <c r="A182" s="515" t="s">
        <v>3381</v>
      </c>
      <c r="B182" s="516" t="s">
        <v>3449</v>
      </c>
      <c r="C182" s="528" t="s">
        <v>3450</v>
      </c>
      <c r="D182" s="515" t="s">
        <v>136</v>
      </c>
      <c r="E182" s="515" t="s">
        <v>42</v>
      </c>
      <c r="F182" s="518"/>
      <c r="G182" s="518"/>
    </row>
    <row r="183" spans="1:7">
      <c r="A183" s="519"/>
      <c r="B183" s="529"/>
      <c r="C183" s="521" t="s">
        <v>3365</v>
      </c>
      <c r="D183" s="519"/>
      <c r="E183" s="519"/>
      <c r="F183" s="523">
        <v>124009</v>
      </c>
      <c r="G183" s="523">
        <f>F183*E182</f>
        <v>124009</v>
      </c>
    </row>
    <row r="184" spans="1:7">
      <c r="A184" s="515" t="s">
        <v>3383</v>
      </c>
      <c r="B184" s="516" t="s">
        <v>3451</v>
      </c>
      <c r="C184" s="528" t="s">
        <v>3452</v>
      </c>
      <c r="D184" s="515" t="s">
        <v>136</v>
      </c>
      <c r="E184" s="515" t="s">
        <v>42</v>
      </c>
      <c r="F184" s="518"/>
      <c r="G184" s="518"/>
    </row>
    <row r="185" spans="1:7">
      <c r="A185" s="519"/>
      <c r="B185" s="529"/>
      <c r="C185" s="521" t="s">
        <v>3365</v>
      </c>
      <c r="D185" s="519"/>
      <c r="E185" s="519"/>
      <c r="F185" s="523">
        <v>157639</v>
      </c>
      <c r="G185" s="523">
        <f>F185*E184</f>
        <v>157639</v>
      </c>
    </row>
    <row r="186" spans="1:7">
      <c r="A186" s="515" t="s">
        <v>3384</v>
      </c>
      <c r="B186" s="516" t="s">
        <v>3453</v>
      </c>
      <c r="C186" s="528" t="s">
        <v>3454</v>
      </c>
      <c r="D186" s="515" t="s">
        <v>136</v>
      </c>
      <c r="E186" s="515" t="s">
        <v>42</v>
      </c>
      <c r="F186" s="518"/>
      <c r="G186" s="518"/>
    </row>
    <row r="187" spans="1:7">
      <c r="A187" s="519"/>
      <c r="B187" s="529"/>
      <c r="C187" s="521" t="s">
        <v>3365</v>
      </c>
      <c r="D187" s="519"/>
      <c r="E187" s="519"/>
      <c r="F187" s="523">
        <v>163944</v>
      </c>
      <c r="G187" s="523">
        <f>F187*E186</f>
        <v>163944</v>
      </c>
    </row>
    <row r="188" spans="1:7">
      <c r="A188" s="515" t="s">
        <v>3386</v>
      </c>
      <c r="B188" s="516" t="s">
        <v>3455</v>
      </c>
      <c r="C188" s="528" t="s">
        <v>3456</v>
      </c>
      <c r="D188" s="515" t="s">
        <v>136</v>
      </c>
      <c r="E188" s="515" t="s">
        <v>42</v>
      </c>
      <c r="F188" s="518"/>
      <c r="G188" s="518"/>
    </row>
    <row r="189" spans="1:7">
      <c r="A189" s="519"/>
      <c r="B189" s="529"/>
      <c r="C189" s="521" t="s">
        <v>3365</v>
      </c>
      <c r="D189" s="519"/>
      <c r="E189" s="519"/>
      <c r="F189" s="523">
        <v>124009</v>
      </c>
      <c r="G189" s="523">
        <f>F189*E188</f>
        <v>124009</v>
      </c>
    </row>
    <row r="190" spans="1:7">
      <c r="A190" s="515" t="s">
        <v>3457</v>
      </c>
      <c r="B190" s="516" t="s">
        <v>3458</v>
      </c>
      <c r="C190" s="528" t="s">
        <v>3459</v>
      </c>
      <c r="D190" s="515" t="s">
        <v>136</v>
      </c>
      <c r="E190" s="515" t="s">
        <v>42</v>
      </c>
      <c r="F190" s="518"/>
      <c r="G190" s="518"/>
    </row>
    <row r="191" spans="1:7">
      <c r="A191" s="519"/>
      <c r="B191" s="529"/>
      <c r="C191" s="521" t="s">
        <v>3365</v>
      </c>
      <c r="D191" s="519"/>
      <c r="E191" s="519"/>
      <c r="F191" s="523">
        <v>96685</v>
      </c>
      <c r="G191" s="523">
        <f>F191*E190</f>
        <v>96685</v>
      </c>
    </row>
    <row r="192" spans="1:7" ht="24">
      <c r="A192" s="515" t="s">
        <v>3460</v>
      </c>
      <c r="B192" s="516" t="s">
        <v>3461</v>
      </c>
      <c r="C192" s="530" t="s">
        <v>3462</v>
      </c>
      <c r="D192" s="515" t="s">
        <v>3463</v>
      </c>
      <c r="E192" s="531">
        <v>2</v>
      </c>
      <c r="F192" s="518"/>
      <c r="G192" s="518">
        <f>G193</f>
        <v>88978</v>
      </c>
    </row>
    <row r="193" spans="1:7">
      <c r="A193" s="519"/>
      <c r="B193" s="529"/>
      <c r="C193" s="532" t="s">
        <v>3464</v>
      </c>
      <c r="D193" s="519"/>
      <c r="E193" s="519"/>
      <c r="F193" s="523">
        <v>44489</v>
      </c>
      <c r="G193" s="523">
        <f>F193*E192</f>
        <v>88978</v>
      </c>
    </row>
  </sheetData>
  <mergeCells count="8">
    <mergeCell ref="B124:G124"/>
    <mergeCell ref="B167:G167"/>
    <mergeCell ref="A1:B1"/>
    <mergeCell ref="A2:G2"/>
    <mergeCell ref="A3:G3"/>
    <mergeCell ref="A4:G4"/>
    <mergeCell ref="A5:G5"/>
    <mergeCell ref="B8:C8"/>
  </mergeCells>
  <pageMargins left="0.7" right="0.7" top="0.75" bottom="0.75" header="0.3" footer="0.3"/>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62"/>
  <sheetViews>
    <sheetView showZeros="0" workbookViewId="0">
      <pane xSplit="2" ySplit="3" topLeftCell="C4" activePane="bottomRight" state="frozen"/>
      <selection activeCell="A18" sqref="A18"/>
      <selection pane="topRight" activeCell="A18" sqref="A18"/>
      <selection pane="bottomLeft" activeCell="A18" sqref="A18"/>
      <selection pane="bottomRight" activeCell="A18" sqref="A18"/>
    </sheetView>
  </sheetViews>
  <sheetFormatPr defaultColWidth="0" defaultRowHeight="0" customHeight="1" zeroHeight="1"/>
  <cols>
    <col min="1" max="1" width="12.28515625" style="40" bestFit="1" customWidth="1"/>
    <col min="2" max="2" width="67.28515625" style="40" customWidth="1"/>
    <col min="3" max="3" width="9.140625" style="40" customWidth="1"/>
    <col min="4" max="4" width="12.140625" style="40" customWidth="1"/>
    <col min="5" max="5" width="7.28515625" style="40" customWidth="1"/>
    <col min="6" max="6" width="11.28515625" style="40" customWidth="1"/>
    <col min="7" max="7" width="11.42578125" style="40" customWidth="1"/>
    <col min="8" max="8" width="12.5703125" style="108" bestFit="1" customWidth="1"/>
    <col min="9" max="9" width="15.5703125" style="108" customWidth="1"/>
    <col min="10" max="10" width="11.42578125" style="40" customWidth="1"/>
    <col min="11" max="11" width="11.28515625" style="40" customWidth="1"/>
    <col min="12" max="12" width="11.42578125" style="108" customWidth="1"/>
    <col min="13" max="13" width="11.42578125" style="114" customWidth="1"/>
    <col min="14" max="14" width="15" style="40" bestFit="1" customWidth="1"/>
    <col min="15" max="15" width="11.42578125" style="40" customWidth="1"/>
    <col min="16" max="16" width="15" style="40" bestFit="1" customWidth="1"/>
    <col min="17" max="17" width="11.42578125" style="40" customWidth="1"/>
    <col min="18" max="18" width="14.85546875" style="40" bestFit="1" customWidth="1"/>
    <col min="19" max="19" width="15.5703125" style="40" customWidth="1"/>
    <col min="20" max="20" width="9.140625" style="40" customWidth="1"/>
    <col min="21" max="26" width="0" style="40" hidden="1" customWidth="1"/>
    <col min="27" max="16384" width="9.140625" style="40" hidden="1"/>
  </cols>
  <sheetData>
    <row r="1" spans="1:19" ht="16.5" customHeight="1">
      <c r="A1" s="30" t="s">
        <v>99</v>
      </c>
      <c r="B1" s="31" t="s">
        <v>275</v>
      </c>
      <c r="C1" s="32"/>
      <c r="D1" s="33" t="s">
        <v>97</v>
      </c>
      <c r="E1" s="34" t="s">
        <v>276</v>
      </c>
      <c r="F1" s="34"/>
      <c r="G1" s="34"/>
      <c r="H1" s="35"/>
      <c r="I1" s="36" t="s">
        <v>93</v>
      </c>
      <c r="J1" s="36" t="s">
        <v>277</v>
      </c>
      <c r="K1" s="36"/>
      <c r="L1" s="37"/>
      <c r="M1" s="38"/>
      <c r="N1" s="37"/>
      <c r="O1" s="37"/>
      <c r="P1" s="37"/>
      <c r="Q1" s="37"/>
      <c r="R1" s="39"/>
      <c r="S1" s="39"/>
    </row>
    <row r="2" spans="1:19" ht="16.5" customHeight="1">
      <c r="A2" s="41">
        <v>6061</v>
      </c>
      <c r="B2" s="42"/>
      <c r="C2" s="43" t="s">
        <v>278</v>
      </c>
      <c r="D2" s="44" t="s">
        <v>279</v>
      </c>
      <c r="E2" s="45" t="s">
        <v>280</v>
      </c>
      <c r="F2" s="45" t="s">
        <v>281</v>
      </c>
      <c r="G2" s="45" t="s">
        <v>282</v>
      </c>
      <c r="H2" s="45" t="s">
        <v>97</v>
      </c>
      <c r="I2" s="45" t="s">
        <v>283</v>
      </c>
      <c r="J2" s="46" t="s">
        <v>284</v>
      </c>
      <c r="K2" s="45">
        <v>7606</v>
      </c>
      <c r="L2" s="47" t="s">
        <v>285</v>
      </c>
      <c r="M2" s="48" t="s">
        <v>286</v>
      </c>
      <c r="N2" s="47" t="s">
        <v>287</v>
      </c>
      <c r="O2" s="48" t="s">
        <v>288</v>
      </c>
      <c r="P2" s="47" t="s">
        <v>289</v>
      </c>
      <c r="Q2" s="48" t="s">
        <v>290</v>
      </c>
      <c r="R2" s="47" t="s">
        <v>291</v>
      </c>
      <c r="S2" s="47" t="s">
        <v>292</v>
      </c>
    </row>
    <row r="3" spans="1:19" ht="16.5" customHeight="1">
      <c r="A3" s="49">
        <v>1</v>
      </c>
      <c r="B3" s="50">
        <v>2</v>
      </c>
      <c r="C3" s="49">
        <v>3</v>
      </c>
      <c r="D3" s="51">
        <v>4</v>
      </c>
      <c r="E3" s="52">
        <v>5</v>
      </c>
      <c r="F3" s="53">
        <v>6</v>
      </c>
      <c r="G3" s="52">
        <v>7</v>
      </c>
      <c r="H3" s="53">
        <v>8</v>
      </c>
      <c r="I3" s="53">
        <v>9</v>
      </c>
      <c r="J3" s="53">
        <v>10</v>
      </c>
      <c r="K3" s="53">
        <v>11</v>
      </c>
      <c r="L3" s="53">
        <v>12</v>
      </c>
      <c r="M3" s="53">
        <v>13</v>
      </c>
      <c r="N3" s="53">
        <v>14</v>
      </c>
      <c r="O3" s="53">
        <v>15</v>
      </c>
      <c r="P3" s="53">
        <v>16</v>
      </c>
      <c r="Q3" s="53">
        <v>17</v>
      </c>
      <c r="R3" s="53">
        <v>18</v>
      </c>
      <c r="S3" s="53">
        <v>19</v>
      </c>
    </row>
    <row r="4" spans="1:19" ht="16.5" customHeight="1">
      <c r="A4" s="54"/>
      <c r="B4" s="55" t="s">
        <v>293</v>
      </c>
      <c r="C4" s="56"/>
      <c r="D4" s="57"/>
      <c r="E4" s="54"/>
      <c r="F4" s="58"/>
      <c r="G4" s="54"/>
      <c r="H4" s="56">
        <v>2150000</v>
      </c>
      <c r="I4" s="59">
        <f>+IF(H4=2350000, 1.579, IF(H4=2150000, 1.484, 1.386))</f>
        <v>1.484</v>
      </c>
      <c r="J4" s="60"/>
      <c r="K4" s="59"/>
      <c r="L4" s="61"/>
      <c r="M4" s="62"/>
      <c r="N4" s="61"/>
      <c r="O4" s="61"/>
      <c r="P4" s="61"/>
      <c r="Q4" s="61"/>
      <c r="R4" s="61"/>
      <c r="S4" s="61"/>
    </row>
    <row r="5" spans="1:19" ht="16.5" customHeight="1">
      <c r="A5" s="54"/>
      <c r="B5" s="55" t="s">
        <v>294</v>
      </c>
      <c r="C5" s="56"/>
      <c r="D5" s="57"/>
      <c r="E5" s="54"/>
      <c r="F5" s="58"/>
      <c r="G5" s="54"/>
      <c r="H5" s="56"/>
      <c r="I5" s="63">
        <f>+K5*$I$4</f>
        <v>0</v>
      </c>
      <c r="J5" s="60"/>
      <c r="K5" s="60"/>
      <c r="L5" s="64"/>
      <c r="M5" s="65"/>
      <c r="N5" s="66"/>
      <c r="O5" s="66"/>
      <c r="P5" s="66"/>
      <c r="Q5" s="66"/>
      <c r="R5" s="66"/>
      <c r="S5" s="66"/>
    </row>
    <row r="6" spans="1:19" ht="16.5" customHeight="1">
      <c r="A6" s="54"/>
      <c r="B6" s="55" t="s">
        <v>295</v>
      </c>
      <c r="C6" s="56"/>
      <c r="D6" s="57"/>
      <c r="E6" s="54"/>
      <c r="F6" s="58"/>
      <c r="G6" s="54"/>
      <c r="H6" s="56"/>
      <c r="I6" s="63">
        <f t="shared" ref="I6:I20" si="0">+K6*$I$4</f>
        <v>0</v>
      </c>
      <c r="J6" s="60"/>
      <c r="K6" s="60"/>
      <c r="L6" s="64"/>
      <c r="M6" s="65"/>
      <c r="N6" s="66"/>
      <c r="O6" s="66"/>
      <c r="P6" s="66"/>
      <c r="Q6" s="66"/>
      <c r="R6" s="66"/>
      <c r="S6" s="66"/>
    </row>
    <row r="7" spans="1:19" ht="16.5" customHeight="1">
      <c r="A7" s="54"/>
      <c r="B7" s="55" t="s">
        <v>296</v>
      </c>
      <c r="C7" s="56"/>
      <c r="D7" s="57"/>
      <c r="E7" s="54"/>
      <c r="F7" s="58"/>
      <c r="G7" s="54"/>
      <c r="H7" s="56"/>
      <c r="I7" s="63">
        <f t="shared" si="0"/>
        <v>0</v>
      </c>
      <c r="J7" s="60"/>
      <c r="K7" s="60"/>
      <c r="L7" s="64"/>
      <c r="M7" s="65"/>
      <c r="N7" s="66"/>
      <c r="O7" s="66"/>
      <c r="P7" s="66"/>
      <c r="Q7" s="66"/>
      <c r="R7" s="66"/>
      <c r="S7" s="66"/>
    </row>
    <row r="8" spans="1:19" ht="16.5" customHeight="1">
      <c r="A8" s="54"/>
      <c r="B8" s="55" t="s">
        <v>297</v>
      </c>
      <c r="C8" s="56"/>
      <c r="D8" s="57"/>
      <c r="E8" s="54"/>
      <c r="F8" s="58"/>
      <c r="G8" s="54"/>
      <c r="H8" s="56"/>
      <c r="I8" s="63">
        <f t="shared" si="0"/>
        <v>0</v>
      </c>
      <c r="J8" s="60"/>
      <c r="K8" s="60"/>
      <c r="L8" s="64"/>
      <c r="M8" s="65"/>
      <c r="N8" s="66"/>
      <c r="O8" s="66"/>
      <c r="P8" s="66"/>
      <c r="Q8" s="66"/>
      <c r="R8" s="66"/>
      <c r="S8" s="66"/>
    </row>
    <row r="9" spans="1:19" ht="16.5" customHeight="1">
      <c r="A9" s="67"/>
      <c r="B9" s="68" t="s">
        <v>298</v>
      </c>
      <c r="C9" s="67"/>
      <c r="D9" s="69"/>
      <c r="E9" s="67"/>
      <c r="F9" s="70"/>
      <c r="G9" s="67"/>
      <c r="H9" s="56"/>
      <c r="I9" s="63">
        <f t="shared" si="0"/>
        <v>0</v>
      </c>
      <c r="J9" s="60"/>
      <c r="K9" s="60"/>
      <c r="L9" s="64"/>
      <c r="M9" s="65"/>
      <c r="N9" s="66"/>
      <c r="O9" s="66"/>
      <c r="P9" s="66"/>
      <c r="Q9" s="66"/>
      <c r="R9" s="66"/>
      <c r="S9" s="66"/>
    </row>
    <row r="10" spans="1:19" ht="16.5" customHeight="1">
      <c r="A10" s="54"/>
      <c r="B10" s="68" t="s">
        <v>299</v>
      </c>
      <c r="C10" s="56"/>
      <c r="D10" s="57"/>
      <c r="E10" s="54"/>
      <c r="F10" s="58"/>
      <c r="G10" s="54"/>
      <c r="H10" s="56"/>
      <c r="I10" s="63">
        <f t="shared" si="0"/>
        <v>0</v>
      </c>
      <c r="J10" s="60"/>
      <c r="K10" s="60"/>
      <c r="L10" s="64"/>
      <c r="M10" s="71"/>
      <c r="N10" s="66"/>
      <c r="O10" s="66"/>
      <c r="P10" s="66"/>
      <c r="Q10" s="66"/>
      <c r="R10" s="66"/>
      <c r="S10" s="66"/>
    </row>
    <row r="11" spans="1:19" ht="16.5" customHeight="1">
      <c r="A11" s="54"/>
      <c r="B11" s="68" t="s">
        <v>300</v>
      </c>
      <c r="C11" s="56"/>
      <c r="D11" s="57"/>
      <c r="E11" s="54"/>
      <c r="F11" s="58"/>
      <c r="G11" s="54"/>
      <c r="H11" s="56"/>
      <c r="I11" s="63">
        <f t="shared" si="0"/>
        <v>0</v>
      </c>
      <c r="J11" s="60"/>
      <c r="K11" s="60"/>
      <c r="L11" s="64"/>
      <c r="M11" s="65"/>
      <c r="N11" s="66"/>
      <c r="O11" s="66"/>
      <c r="P11" s="66"/>
      <c r="Q11" s="66"/>
      <c r="R11" s="66"/>
      <c r="S11" s="66"/>
    </row>
    <row r="12" spans="1:19" ht="16.5" customHeight="1">
      <c r="A12" s="54"/>
      <c r="B12" s="68" t="s">
        <v>301</v>
      </c>
      <c r="C12" s="56"/>
      <c r="D12" s="57"/>
      <c r="E12" s="54"/>
      <c r="F12" s="58"/>
      <c r="G12" s="54"/>
      <c r="H12" s="56"/>
      <c r="I12" s="63">
        <f t="shared" si="0"/>
        <v>0</v>
      </c>
      <c r="J12" s="60"/>
      <c r="K12" s="60"/>
      <c r="L12" s="64"/>
      <c r="M12" s="65"/>
      <c r="N12" s="66"/>
      <c r="O12" s="66"/>
      <c r="P12" s="66"/>
      <c r="Q12" s="66"/>
      <c r="R12" s="66"/>
      <c r="S12" s="66"/>
    </row>
    <row r="13" spans="1:19" ht="16.5" customHeight="1">
      <c r="A13" s="54"/>
      <c r="B13" s="68" t="s">
        <v>302</v>
      </c>
      <c r="C13" s="56"/>
      <c r="D13" s="57"/>
      <c r="E13" s="54"/>
      <c r="F13" s="58"/>
      <c r="G13" s="54"/>
      <c r="H13" s="56"/>
      <c r="I13" s="63">
        <f t="shared" si="0"/>
        <v>0</v>
      </c>
      <c r="J13" s="60"/>
      <c r="K13" s="60"/>
      <c r="L13" s="64"/>
      <c r="M13" s="65"/>
      <c r="N13" s="66"/>
      <c r="O13" s="66"/>
      <c r="P13" s="66"/>
      <c r="Q13" s="66"/>
      <c r="R13" s="66"/>
      <c r="S13" s="66"/>
    </row>
    <row r="14" spans="1:19" ht="16.5" customHeight="1">
      <c r="A14" s="54"/>
      <c r="B14" s="68" t="s">
        <v>303</v>
      </c>
      <c r="C14" s="56"/>
      <c r="D14" s="57"/>
      <c r="E14" s="54"/>
      <c r="F14" s="58"/>
      <c r="G14" s="54"/>
      <c r="H14" s="56"/>
      <c r="I14" s="63">
        <f t="shared" si="0"/>
        <v>0</v>
      </c>
      <c r="J14" s="60"/>
      <c r="K14" s="60"/>
      <c r="L14" s="64"/>
      <c r="M14" s="71"/>
      <c r="N14" s="66"/>
      <c r="O14" s="66"/>
      <c r="P14" s="66"/>
      <c r="Q14" s="66"/>
      <c r="R14" s="66"/>
      <c r="S14" s="66"/>
    </row>
    <row r="15" spans="1:19" ht="16.5" customHeight="1">
      <c r="A15" s="54"/>
      <c r="B15" s="68" t="s">
        <v>304</v>
      </c>
      <c r="C15" s="56"/>
      <c r="D15" s="57"/>
      <c r="E15" s="54"/>
      <c r="F15" s="58"/>
      <c r="G15" s="54"/>
      <c r="H15" s="56"/>
      <c r="I15" s="63">
        <f t="shared" si="0"/>
        <v>0</v>
      </c>
      <c r="J15" s="60"/>
      <c r="K15" s="60"/>
      <c r="L15" s="64"/>
      <c r="M15" s="65"/>
      <c r="N15" s="66"/>
      <c r="O15" s="66"/>
      <c r="P15" s="66"/>
      <c r="Q15" s="66"/>
      <c r="R15" s="66"/>
      <c r="S15" s="66"/>
    </row>
    <row r="16" spans="1:19" ht="16.5" customHeight="1">
      <c r="A16" s="54"/>
      <c r="B16" s="68" t="s">
        <v>305</v>
      </c>
      <c r="C16" s="56"/>
      <c r="D16" s="57"/>
      <c r="E16" s="54"/>
      <c r="F16" s="58"/>
      <c r="G16" s="54"/>
      <c r="H16" s="56"/>
      <c r="I16" s="63">
        <f t="shared" si="0"/>
        <v>0</v>
      </c>
      <c r="J16" s="60"/>
      <c r="K16" s="60"/>
      <c r="L16" s="64"/>
      <c r="M16" s="72"/>
      <c r="N16" s="66"/>
      <c r="O16" s="66"/>
      <c r="P16" s="66"/>
      <c r="Q16" s="66"/>
      <c r="R16" s="66"/>
      <c r="S16" s="66"/>
    </row>
    <row r="17" spans="1:19" ht="16.5" customHeight="1">
      <c r="A17" s="54"/>
      <c r="B17" s="68" t="s">
        <v>306</v>
      </c>
      <c r="C17" s="56"/>
      <c r="D17" s="57"/>
      <c r="E17" s="54"/>
      <c r="F17" s="58"/>
      <c r="G17" s="54"/>
      <c r="H17" s="56"/>
      <c r="I17" s="63">
        <f t="shared" si="0"/>
        <v>0</v>
      </c>
      <c r="J17" s="60"/>
      <c r="K17" s="60"/>
      <c r="L17" s="64"/>
      <c r="M17" s="72"/>
      <c r="N17" s="66"/>
      <c r="O17" s="66"/>
      <c r="P17" s="66"/>
      <c r="Q17" s="66"/>
      <c r="R17" s="66"/>
      <c r="S17" s="66"/>
    </row>
    <row r="18" spans="1:19" ht="16.5" customHeight="1">
      <c r="A18" s="73"/>
      <c r="B18" s="73"/>
      <c r="C18" s="74"/>
      <c r="D18" s="75"/>
      <c r="E18" s="73" t="s">
        <v>307</v>
      </c>
      <c r="F18" s="76"/>
      <c r="G18" s="73"/>
      <c r="H18" s="56"/>
      <c r="I18" s="63"/>
      <c r="J18" s="60"/>
      <c r="K18" s="60"/>
      <c r="L18" s="64"/>
      <c r="M18" s="72"/>
      <c r="N18" s="66"/>
      <c r="O18" s="66"/>
      <c r="P18" s="66"/>
      <c r="Q18" s="66"/>
      <c r="R18" s="66"/>
      <c r="S18" s="66"/>
    </row>
    <row r="19" spans="1:19" ht="16.5" customHeight="1">
      <c r="A19" s="77" t="s">
        <v>308</v>
      </c>
      <c r="B19" s="78" t="s">
        <v>309</v>
      </c>
      <c r="C19" s="74" t="s">
        <v>310</v>
      </c>
      <c r="D19" s="75">
        <v>252000</v>
      </c>
      <c r="E19" s="79" t="s">
        <v>311</v>
      </c>
      <c r="F19" s="76">
        <v>1.65</v>
      </c>
      <c r="G19" s="79">
        <v>201769</v>
      </c>
      <c r="H19" s="63">
        <f>IF(G19&lt;&gt;0,ROUND(G19*F19,0), )</f>
        <v>332919</v>
      </c>
      <c r="I19" s="63">
        <f t="shared" si="0"/>
        <v>0</v>
      </c>
      <c r="J19" s="60"/>
      <c r="K19" s="60"/>
      <c r="L19" s="64"/>
      <c r="M19" s="72"/>
      <c r="N19" s="66"/>
      <c r="O19" s="66"/>
      <c r="P19" s="66"/>
      <c r="Q19" s="66"/>
      <c r="R19" s="66"/>
      <c r="S19" s="66"/>
    </row>
    <row r="20" spans="1:19" ht="16.5" customHeight="1">
      <c r="A20" s="77" t="s">
        <v>312</v>
      </c>
      <c r="B20" s="78" t="s">
        <v>313</v>
      </c>
      <c r="C20" s="74" t="s">
        <v>310</v>
      </c>
      <c r="D20" s="75">
        <v>149625</v>
      </c>
      <c r="E20" s="79" t="s">
        <v>311</v>
      </c>
      <c r="F20" s="76">
        <v>1.49</v>
      </c>
      <c r="G20" s="79">
        <v>201769</v>
      </c>
      <c r="H20" s="63">
        <f>IF(G20&lt;&gt;0,ROUND(G20*F20,0), )</f>
        <v>300636</v>
      </c>
      <c r="I20" s="63">
        <f t="shared" si="0"/>
        <v>0</v>
      </c>
      <c r="J20" s="60"/>
      <c r="K20" s="60"/>
      <c r="L20" s="64"/>
      <c r="M20" s="72"/>
      <c r="N20" s="66"/>
      <c r="O20" s="66"/>
      <c r="P20" s="66"/>
      <c r="Q20" s="66"/>
      <c r="R20" s="66"/>
      <c r="S20" s="66"/>
    </row>
    <row r="21" spans="1:19" ht="16.5" customHeight="1">
      <c r="A21" s="73"/>
      <c r="B21" s="73"/>
      <c r="C21" s="74"/>
      <c r="D21" s="75"/>
      <c r="E21" s="73" t="s">
        <v>307</v>
      </c>
      <c r="F21" s="76"/>
      <c r="G21" s="73"/>
      <c r="H21" s="56"/>
      <c r="I21" s="63"/>
      <c r="J21" s="60"/>
      <c r="K21" s="60"/>
      <c r="L21" s="64"/>
      <c r="M21" s="72"/>
      <c r="N21" s="66"/>
      <c r="O21" s="66"/>
      <c r="P21" s="66"/>
      <c r="Q21" s="66"/>
      <c r="R21" s="66"/>
      <c r="S21" s="66"/>
    </row>
    <row r="22" spans="1:19" ht="16.5" customHeight="1">
      <c r="A22" s="80" t="s">
        <v>314</v>
      </c>
      <c r="B22" s="55" t="s">
        <v>315</v>
      </c>
      <c r="C22" s="74"/>
      <c r="D22" s="75"/>
      <c r="E22" s="79"/>
      <c r="F22" s="76"/>
      <c r="G22" s="79"/>
      <c r="H22" s="63"/>
      <c r="I22" s="63"/>
      <c r="J22" s="60"/>
      <c r="K22" s="60"/>
      <c r="L22" s="64"/>
      <c r="M22" s="72"/>
      <c r="N22" s="66"/>
      <c r="O22" s="66"/>
      <c r="P22" s="66"/>
      <c r="Q22" s="66"/>
      <c r="R22" s="66"/>
      <c r="S22" s="66"/>
    </row>
    <row r="23" spans="1:19" ht="16.5" customHeight="1">
      <c r="A23" s="77" t="s">
        <v>316</v>
      </c>
      <c r="B23" s="78" t="s">
        <v>317</v>
      </c>
      <c r="C23" s="74" t="s">
        <v>136</v>
      </c>
      <c r="D23" s="75"/>
      <c r="E23" s="79" t="s">
        <v>311</v>
      </c>
      <c r="F23" s="76">
        <v>0.2</v>
      </c>
      <c r="G23" s="79">
        <v>178615</v>
      </c>
      <c r="H23" s="63">
        <f t="shared" ref="H23:H86" si="1">+G23*F23</f>
        <v>35723</v>
      </c>
      <c r="I23" s="63">
        <f t="shared" ref="I23:I86" si="2">+K23*$I$4</f>
        <v>0</v>
      </c>
      <c r="J23" s="60"/>
      <c r="K23" s="60"/>
      <c r="L23" s="64"/>
      <c r="M23" s="72"/>
      <c r="N23" s="66"/>
      <c r="O23" s="66"/>
      <c r="P23" s="66"/>
      <c r="Q23" s="66"/>
      <c r="R23" s="66"/>
      <c r="S23" s="66"/>
    </row>
    <row r="24" spans="1:19" ht="16.5" customHeight="1">
      <c r="A24" s="77" t="s">
        <v>318</v>
      </c>
      <c r="B24" s="78" t="s">
        <v>319</v>
      </c>
      <c r="C24" s="81" t="s">
        <v>136</v>
      </c>
      <c r="D24" s="75"/>
      <c r="E24" s="79" t="s">
        <v>311</v>
      </c>
      <c r="F24" s="76">
        <v>0.48799999999999999</v>
      </c>
      <c r="G24" s="79">
        <v>178615</v>
      </c>
      <c r="H24" s="63">
        <f t="shared" si="1"/>
        <v>87164.12</v>
      </c>
      <c r="I24" s="63">
        <f t="shared" si="2"/>
        <v>0</v>
      </c>
      <c r="J24" s="60"/>
      <c r="K24" s="60"/>
      <c r="L24" s="64"/>
      <c r="M24" s="72"/>
      <c r="N24" s="66"/>
      <c r="O24" s="66"/>
      <c r="P24" s="66"/>
      <c r="Q24" s="66"/>
      <c r="R24" s="66"/>
      <c r="S24" s="66"/>
    </row>
    <row r="25" spans="1:19" ht="16.5" customHeight="1">
      <c r="A25" s="77" t="s">
        <v>320</v>
      </c>
      <c r="B25" s="78" t="s">
        <v>321</v>
      </c>
      <c r="C25" s="81" t="s">
        <v>136</v>
      </c>
      <c r="D25" s="75"/>
      <c r="E25" s="79" t="s">
        <v>311</v>
      </c>
      <c r="F25" s="76">
        <v>1.377</v>
      </c>
      <c r="G25" s="79">
        <v>178615</v>
      </c>
      <c r="H25" s="63">
        <f t="shared" si="1"/>
        <v>245952.85500000001</v>
      </c>
      <c r="I25" s="63">
        <f t="shared" si="2"/>
        <v>0</v>
      </c>
      <c r="J25" s="60"/>
      <c r="K25" s="60"/>
      <c r="L25" s="64"/>
      <c r="M25" s="72"/>
      <c r="N25" s="66"/>
      <c r="O25" s="66"/>
      <c r="P25" s="66"/>
      <c r="Q25" s="66"/>
      <c r="R25" s="66"/>
      <c r="S25" s="66"/>
    </row>
    <row r="26" spans="1:19" ht="16.5" customHeight="1">
      <c r="A26" s="77" t="s">
        <v>322</v>
      </c>
      <c r="B26" s="78" t="s">
        <v>323</v>
      </c>
      <c r="C26" s="81" t="s">
        <v>136</v>
      </c>
      <c r="D26" s="75"/>
      <c r="E26" s="79" t="s">
        <v>311</v>
      </c>
      <c r="F26" s="76">
        <v>2.2749999999999999</v>
      </c>
      <c r="G26" s="79">
        <v>178615</v>
      </c>
      <c r="H26" s="63">
        <f t="shared" si="1"/>
        <v>406349.125</v>
      </c>
      <c r="I26" s="63">
        <f t="shared" si="2"/>
        <v>0</v>
      </c>
      <c r="J26" s="60"/>
      <c r="K26" s="60"/>
      <c r="L26" s="64"/>
      <c r="M26" s="72"/>
      <c r="N26" s="66"/>
      <c r="O26" s="66"/>
      <c r="P26" s="66"/>
      <c r="Q26" s="66"/>
      <c r="R26" s="66"/>
      <c r="S26" s="66"/>
    </row>
    <row r="27" spans="1:19" ht="16.5" customHeight="1">
      <c r="A27" s="77" t="s">
        <v>324</v>
      </c>
      <c r="B27" s="78" t="s">
        <v>325</v>
      </c>
      <c r="C27" s="81" t="s">
        <v>136</v>
      </c>
      <c r="D27" s="75"/>
      <c r="E27" s="79" t="s">
        <v>311</v>
      </c>
      <c r="F27" s="76">
        <v>4.5199999999999996</v>
      </c>
      <c r="G27" s="79">
        <v>178615</v>
      </c>
      <c r="H27" s="63">
        <f t="shared" si="1"/>
        <v>807339.79999999993</v>
      </c>
      <c r="I27" s="63">
        <f t="shared" si="2"/>
        <v>0</v>
      </c>
      <c r="J27" s="60"/>
      <c r="K27" s="60"/>
      <c r="L27" s="64"/>
      <c r="M27" s="72"/>
      <c r="N27" s="66"/>
      <c r="O27" s="66"/>
      <c r="P27" s="66"/>
      <c r="Q27" s="66"/>
      <c r="R27" s="66"/>
      <c r="S27" s="66"/>
    </row>
    <row r="28" spans="1:19" ht="16.5" customHeight="1">
      <c r="A28" s="77"/>
      <c r="B28" s="78" t="s">
        <v>326</v>
      </c>
      <c r="C28" s="74" t="s">
        <v>47</v>
      </c>
      <c r="D28" s="75"/>
      <c r="E28" s="79" t="s">
        <v>311</v>
      </c>
      <c r="F28" s="76">
        <v>0.14000000000000001</v>
      </c>
      <c r="G28" s="79">
        <v>178615</v>
      </c>
      <c r="H28" s="63">
        <f t="shared" si="1"/>
        <v>25006.100000000002</v>
      </c>
      <c r="I28" s="63">
        <f t="shared" si="2"/>
        <v>0</v>
      </c>
      <c r="J28" s="60"/>
      <c r="K28" s="60"/>
      <c r="L28" s="64"/>
      <c r="M28" s="65"/>
      <c r="N28" s="66"/>
      <c r="O28" s="66"/>
      <c r="P28" s="66"/>
      <c r="Q28" s="66"/>
      <c r="R28" s="66"/>
      <c r="S28" s="66"/>
    </row>
    <row r="29" spans="1:19" ht="16.5" customHeight="1">
      <c r="A29" s="77"/>
      <c r="B29" s="78" t="s">
        <v>327</v>
      </c>
      <c r="C29" s="74" t="s">
        <v>47</v>
      </c>
      <c r="D29" s="75"/>
      <c r="E29" s="79" t="s">
        <v>311</v>
      </c>
      <c r="F29" s="76">
        <v>0.44</v>
      </c>
      <c r="G29" s="79">
        <v>178615</v>
      </c>
      <c r="H29" s="63">
        <f t="shared" si="1"/>
        <v>78590.600000000006</v>
      </c>
      <c r="I29" s="63">
        <f t="shared" si="2"/>
        <v>0</v>
      </c>
      <c r="J29" s="60"/>
      <c r="K29" s="60"/>
      <c r="L29" s="64"/>
      <c r="M29" s="65"/>
      <c r="N29" s="66"/>
      <c r="O29" s="66"/>
      <c r="P29" s="66"/>
      <c r="Q29" s="66"/>
      <c r="R29" s="66"/>
      <c r="S29" s="66"/>
    </row>
    <row r="30" spans="1:19" ht="16.5" customHeight="1">
      <c r="A30" s="77"/>
      <c r="B30" s="78" t="s">
        <v>328</v>
      </c>
      <c r="C30" s="74" t="s">
        <v>47</v>
      </c>
      <c r="D30" s="75"/>
      <c r="E30" s="79" t="s">
        <v>311</v>
      </c>
      <c r="F30" s="76">
        <v>1.2629999999999999</v>
      </c>
      <c r="G30" s="79">
        <v>178615</v>
      </c>
      <c r="H30" s="63">
        <f t="shared" si="1"/>
        <v>225590.745</v>
      </c>
      <c r="I30" s="63">
        <f t="shared" si="2"/>
        <v>0</v>
      </c>
      <c r="J30" s="60"/>
      <c r="K30" s="60"/>
      <c r="L30" s="64"/>
      <c r="M30" s="65"/>
      <c r="N30" s="66"/>
      <c r="O30" s="66"/>
      <c r="P30" s="66"/>
      <c r="Q30" s="66"/>
      <c r="R30" s="66"/>
      <c r="S30" s="66"/>
    </row>
    <row r="31" spans="1:19" ht="16.5" customHeight="1">
      <c r="A31" s="77"/>
      <c r="B31" s="78" t="s">
        <v>329</v>
      </c>
      <c r="C31" s="74" t="s">
        <v>47</v>
      </c>
      <c r="D31" s="75"/>
      <c r="E31" s="79" t="s">
        <v>311</v>
      </c>
      <c r="F31" s="76">
        <v>2.085</v>
      </c>
      <c r="G31" s="79">
        <v>178615</v>
      </c>
      <c r="H31" s="63">
        <f t="shared" si="1"/>
        <v>372412.27499999997</v>
      </c>
      <c r="I31" s="63">
        <f t="shared" si="2"/>
        <v>0</v>
      </c>
      <c r="J31" s="60"/>
      <c r="K31" s="60"/>
      <c r="L31" s="64"/>
      <c r="M31" s="65"/>
      <c r="N31" s="66"/>
      <c r="O31" s="66"/>
      <c r="P31" s="66"/>
      <c r="Q31" s="66"/>
      <c r="R31" s="66"/>
      <c r="S31" s="66"/>
    </row>
    <row r="32" spans="1:19" ht="16.5" customHeight="1">
      <c r="A32" s="77"/>
      <c r="B32" s="78" t="s">
        <v>330</v>
      </c>
      <c r="C32" s="74" t="s">
        <v>47</v>
      </c>
      <c r="D32" s="75"/>
      <c r="E32" s="79" t="s">
        <v>311</v>
      </c>
      <c r="F32" s="76">
        <v>4.1500000000000004</v>
      </c>
      <c r="G32" s="79">
        <v>178615</v>
      </c>
      <c r="H32" s="63">
        <f t="shared" si="1"/>
        <v>741252.25000000012</v>
      </c>
      <c r="I32" s="63">
        <f t="shared" si="2"/>
        <v>0</v>
      </c>
      <c r="J32" s="60"/>
      <c r="K32" s="60"/>
      <c r="L32" s="64"/>
      <c r="M32" s="65"/>
      <c r="N32" s="66"/>
      <c r="O32" s="66"/>
      <c r="P32" s="66"/>
      <c r="Q32" s="66"/>
      <c r="R32" s="66"/>
      <c r="S32" s="66"/>
    </row>
    <row r="33" spans="1:19" ht="16.5" customHeight="1">
      <c r="A33" s="77" t="s">
        <v>331</v>
      </c>
      <c r="B33" s="78" t="s">
        <v>332</v>
      </c>
      <c r="C33" s="74" t="s">
        <v>47</v>
      </c>
      <c r="D33" s="75"/>
      <c r="E33" s="79" t="s">
        <v>311</v>
      </c>
      <c r="F33" s="76">
        <v>0.15</v>
      </c>
      <c r="G33" s="79">
        <v>178615</v>
      </c>
      <c r="H33" s="63">
        <f t="shared" si="1"/>
        <v>26792.25</v>
      </c>
      <c r="I33" s="63">
        <f t="shared" si="2"/>
        <v>0</v>
      </c>
      <c r="J33" s="60"/>
      <c r="K33" s="60"/>
      <c r="L33" s="64"/>
      <c r="M33" s="65"/>
      <c r="N33" s="66"/>
      <c r="O33" s="66"/>
      <c r="P33" s="66"/>
      <c r="Q33" s="66"/>
      <c r="R33" s="66"/>
      <c r="S33" s="66"/>
    </row>
    <row r="34" spans="1:19" ht="16.5" customHeight="1">
      <c r="A34" s="77" t="s">
        <v>333</v>
      </c>
      <c r="B34" s="78" t="s">
        <v>334</v>
      </c>
      <c r="C34" s="74" t="s">
        <v>47</v>
      </c>
      <c r="D34" s="75"/>
      <c r="E34" s="79" t="s">
        <v>311</v>
      </c>
      <c r="F34" s="76">
        <v>0.45700000000000007</v>
      </c>
      <c r="G34" s="79">
        <v>178615</v>
      </c>
      <c r="H34" s="63">
        <f t="shared" si="1"/>
        <v>81627.055000000008</v>
      </c>
      <c r="I34" s="63">
        <f t="shared" si="2"/>
        <v>0</v>
      </c>
      <c r="J34" s="60"/>
      <c r="K34" s="60"/>
      <c r="L34" s="64"/>
      <c r="M34" s="65"/>
      <c r="N34" s="66"/>
      <c r="O34" s="66"/>
      <c r="P34" s="66"/>
      <c r="Q34" s="66"/>
      <c r="R34" s="66"/>
      <c r="S34" s="66"/>
    </row>
    <row r="35" spans="1:19" ht="16.5" customHeight="1">
      <c r="A35" s="77" t="s">
        <v>335</v>
      </c>
      <c r="B35" s="78" t="s">
        <v>336</v>
      </c>
      <c r="C35" s="74" t="s">
        <v>47</v>
      </c>
      <c r="D35" s="75"/>
      <c r="E35" s="79" t="s">
        <v>311</v>
      </c>
      <c r="F35" s="76">
        <v>1.3109999999999999</v>
      </c>
      <c r="G35" s="79">
        <v>178615</v>
      </c>
      <c r="H35" s="63">
        <f t="shared" si="1"/>
        <v>234164.26499999998</v>
      </c>
      <c r="I35" s="63">
        <f t="shared" si="2"/>
        <v>0</v>
      </c>
      <c r="J35" s="60"/>
      <c r="K35" s="60"/>
      <c r="L35" s="64"/>
      <c r="M35" s="65"/>
      <c r="N35" s="66"/>
      <c r="O35" s="66"/>
      <c r="P35" s="66"/>
      <c r="Q35" s="66"/>
      <c r="R35" s="66"/>
      <c r="S35" s="66"/>
    </row>
    <row r="36" spans="1:19" ht="16.5" customHeight="1">
      <c r="A36" s="77" t="s">
        <v>337</v>
      </c>
      <c r="B36" s="78" t="s">
        <v>338</v>
      </c>
      <c r="C36" s="74" t="s">
        <v>47</v>
      </c>
      <c r="D36" s="75"/>
      <c r="E36" s="79" t="s">
        <v>311</v>
      </c>
      <c r="F36" s="76">
        <v>2.165</v>
      </c>
      <c r="G36" s="79">
        <v>178615</v>
      </c>
      <c r="H36" s="63">
        <f t="shared" si="1"/>
        <v>386701.47500000003</v>
      </c>
      <c r="I36" s="63">
        <f t="shared" si="2"/>
        <v>0</v>
      </c>
      <c r="J36" s="60"/>
      <c r="K36" s="60"/>
      <c r="L36" s="64"/>
      <c r="M36" s="65"/>
      <c r="N36" s="66"/>
      <c r="O36" s="66"/>
      <c r="P36" s="66"/>
      <c r="Q36" s="66"/>
      <c r="R36" s="66"/>
      <c r="S36" s="66"/>
    </row>
    <row r="37" spans="1:19" ht="16.5" customHeight="1">
      <c r="A37" s="77" t="s">
        <v>339</v>
      </c>
      <c r="B37" s="78" t="s">
        <v>340</v>
      </c>
      <c r="C37" s="74" t="s">
        <v>47</v>
      </c>
      <c r="D37" s="75"/>
      <c r="E37" s="79" t="s">
        <v>311</v>
      </c>
      <c r="F37" s="76">
        <v>4.28</v>
      </c>
      <c r="G37" s="79">
        <v>178615</v>
      </c>
      <c r="H37" s="63">
        <f t="shared" si="1"/>
        <v>764472.20000000007</v>
      </c>
      <c r="I37" s="63">
        <f t="shared" si="2"/>
        <v>0</v>
      </c>
      <c r="J37" s="60"/>
      <c r="K37" s="60"/>
      <c r="L37" s="64"/>
      <c r="M37" s="72"/>
      <c r="N37" s="66"/>
      <c r="O37" s="66"/>
      <c r="P37" s="66"/>
      <c r="Q37" s="66"/>
      <c r="R37" s="66"/>
      <c r="S37" s="66"/>
    </row>
    <row r="38" spans="1:19" ht="16.5" customHeight="1">
      <c r="A38" s="77" t="s">
        <v>341</v>
      </c>
      <c r="B38" s="78" t="s">
        <v>342</v>
      </c>
      <c r="C38" s="74" t="s">
        <v>47</v>
      </c>
      <c r="D38" s="75"/>
      <c r="E38" s="79" t="s">
        <v>311</v>
      </c>
      <c r="F38" s="76">
        <v>0.21</v>
      </c>
      <c r="G38" s="79">
        <v>178615</v>
      </c>
      <c r="H38" s="63">
        <f t="shared" si="1"/>
        <v>37509.15</v>
      </c>
      <c r="I38" s="63">
        <f t="shared" si="2"/>
        <v>0</v>
      </c>
      <c r="J38" s="60"/>
      <c r="K38" s="60"/>
      <c r="L38" s="64"/>
      <c r="M38" s="72"/>
      <c r="N38" s="66"/>
      <c r="O38" s="66"/>
      <c r="P38" s="66"/>
      <c r="Q38" s="66"/>
      <c r="R38" s="66"/>
      <c r="S38" s="66"/>
    </row>
    <row r="39" spans="1:19" ht="16.5" customHeight="1">
      <c r="A39" s="77" t="s">
        <v>343</v>
      </c>
      <c r="B39" s="78" t="s">
        <v>344</v>
      </c>
      <c r="C39" s="74" t="s">
        <v>47</v>
      </c>
      <c r="D39" s="75"/>
      <c r="E39" s="79" t="s">
        <v>311</v>
      </c>
      <c r="F39" s="76">
        <v>0.48</v>
      </c>
      <c r="G39" s="79">
        <v>178615</v>
      </c>
      <c r="H39" s="63">
        <f t="shared" si="1"/>
        <v>85735.2</v>
      </c>
      <c r="I39" s="63">
        <f t="shared" si="2"/>
        <v>0</v>
      </c>
      <c r="J39" s="60"/>
      <c r="K39" s="60"/>
      <c r="L39" s="64"/>
      <c r="M39" s="72"/>
      <c r="N39" s="66"/>
      <c r="O39" s="66"/>
      <c r="P39" s="66"/>
      <c r="Q39" s="66"/>
      <c r="R39" s="66"/>
      <c r="S39" s="66"/>
    </row>
    <row r="40" spans="1:19" ht="16.5" customHeight="1">
      <c r="A40" s="77" t="s">
        <v>345</v>
      </c>
      <c r="B40" s="78" t="s">
        <v>346</v>
      </c>
      <c r="C40" s="74" t="s">
        <v>47</v>
      </c>
      <c r="D40" s="75"/>
      <c r="E40" s="79" t="s">
        <v>311</v>
      </c>
      <c r="F40" s="76">
        <v>1.38</v>
      </c>
      <c r="G40" s="79">
        <v>178615</v>
      </c>
      <c r="H40" s="63">
        <f t="shared" si="1"/>
        <v>246488.69999999998</v>
      </c>
      <c r="I40" s="63">
        <f t="shared" si="2"/>
        <v>0</v>
      </c>
      <c r="J40" s="60"/>
      <c r="K40" s="60"/>
      <c r="L40" s="64"/>
      <c r="M40" s="72"/>
      <c r="N40" s="66"/>
      <c r="O40" s="66"/>
      <c r="P40" s="66"/>
      <c r="Q40" s="66"/>
      <c r="R40" s="66"/>
      <c r="S40" s="66"/>
    </row>
    <row r="41" spans="1:19" ht="16.5" customHeight="1">
      <c r="A41" s="77" t="s">
        <v>347</v>
      </c>
      <c r="B41" s="78" t="s">
        <v>348</v>
      </c>
      <c r="C41" s="74" t="s">
        <v>47</v>
      </c>
      <c r="D41" s="75"/>
      <c r="E41" s="79" t="s">
        <v>311</v>
      </c>
      <c r="F41" s="76">
        <v>2.2799999999999998</v>
      </c>
      <c r="G41" s="79">
        <v>178615</v>
      </c>
      <c r="H41" s="63">
        <f t="shared" si="1"/>
        <v>407242.19999999995</v>
      </c>
      <c r="I41" s="63">
        <f t="shared" si="2"/>
        <v>0</v>
      </c>
      <c r="J41" s="60"/>
      <c r="K41" s="60"/>
      <c r="L41" s="64"/>
      <c r="M41" s="72"/>
      <c r="N41" s="66"/>
      <c r="O41" s="66"/>
      <c r="P41" s="66"/>
      <c r="Q41" s="66"/>
      <c r="R41" s="66"/>
      <c r="S41" s="66"/>
    </row>
    <row r="42" spans="1:19" ht="16.5" customHeight="1">
      <c r="A42" s="77" t="s">
        <v>349</v>
      </c>
      <c r="B42" s="78" t="s">
        <v>350</v>
      </c>
      <c r="C42" s="74" t="s">
        <v>47</v>
      </c>
      <c r="D42" s="75"/>
      <c r="E42" s="79" t="s">
        <v>311</v>
      </c>
      <c r="F42" s="76">
        <v>4.53</v>
      </c>
      <c r="G42" s="79">
        <v>178615</v>
      </c>
      <c r="H42" s="63">
        <f t="shared" si="1"/>
        <v>809125.95000000007</v>
      </c>
      <c r="I42" s="63">
        <f t="shared" si="2"/>
        <v>0</v>
      </c>
      <c r="J42" s="60"/>
      <c r="K42" s="60"/>
      <c r="L42" s="64"/>
      <c r="M42" s="72"/>
      <c r="N42" s="66"/>
      <c r="O42" s="66"/>
      <c r="P42" s="66"/>
      <c r="Q42" s="66"/>
      <c r="R42" s="66"/>
      <c r="S42" s="66"/>
    </row>
    <row r="43" spans="1:19" ht="16.5" customHeight="1">
      <c r="A43" s="77"/>
      <c r="B43" s="78" t="s">
        <v>351</v>
      </c>
      <c r="C43" s="74" t="s">
        <v>47</v>
      </c>
      <c r="D43" s="75"/>
      <c r="E43" s="79" t="s">
        <v>311</v>
      </c>
      <c r="F43" s="76">
        <v>0.28999999999999998</v>
      </c>
      <c r="G43" s="79">
        <v>178615</v>
      </c>
      <c r="H43" s="63">
        <f t="shared" si="1"/>
        <v>51798.35</v>
      </c>
      <c r="I43" s="63">
        <f t="shared" si="2"/>
        <v>0</v>
      </c>
      <c r="J43" s="60"/>
      <c r="K43" s="60"/>
      <c r="L43" s="64"/>
      <c r="M43" s="72"/>
      <c r="N43" s="66"/>
      <c r="O43" s="66"/>
      <c r="P43" s="66"/>
      <c r="Q43" s="66"/>
      <c r="R43" s="66"/>
      <c r="S43" s="66"/>
    </row>
    <row r="44" spans="1:19" ht="16.5" customHeight="1">
      <c r="A44" s="77"/>
      <c r="B44" s="78" t="s">
        <v>352</v>
      </c>
      <c r="C44" s="74" t="s">
        <v>47</v>
      </c>
      <c r="D44" s="75"/>
      <c r="E44" s="79" t="s">
        <v>311</v>
      </c>
      <c r="F44" s="76">
        <v>0.45199999999999996</v>
      </c>
      <c r="G44" s="79">
        <v>178615</v>
      </c>
      <c r="H44" s="63">
        <f t="shared" si="1"/>
        <v>80733.98</v>
      </c>
      <c r="I44" s="63">
        <f t="shared" si="2"/>
        <v>0</v>
      </c>
      <c r="J44" s="60"/>
      <c r="K44" s="60"/>
      <c r="L44" s="64"/>
      <c r="M44" s="72"/>
      <c r="N44" s="66"/>
      <c r="O44" s="66"/>
      <c r="P44" s="66"/>
      <c r="Q44" s="66"/>
      <c r="R44" s="66"/>
      <c r="S44" s="66"/>
    </row>
    <row r="45" spans="1:19" ht="16.5" customHeight="1">
      <c r="A45" s="77"/>
      <c r="B45" s="78" t="s">
        <v>353</v>
      </c>
      <c r="C45" s="74" t="s">
        <v>47</v>
      </c>
      <c r="D45" s="75"/>
      <c r="E45" s="79" t="s">
        <v>311</v>
      </c>
      <c r="F45" s="76">
        <v>1.2779999999999998</v>
      </c>
      <c r="G45" s="79">
        <v>178615</v>
      </c>
      <c r="H45" s="63">
        <f t="shared" si="1"/>
        <v>228269.96999999997</v>
      </c>
      <c r="I45" s="63">
        <f t="shared" si="2"/>
        <v>0</v>
      </c>
      <c r="J45" s="60"/>
      <c r="K45" s="60"/>
      <c r="L45" s="64"/>
      <c r="M45" s="72"/>
      <c r="N45" s="66"/>
      <c r="O45" s="66"/>
      <c r="P45" s="66"/>
      <c r="Q45" s="66"/>
      <c r="R45" s="66"/>
      <c r="S45" s="66"/>
    </row>
    <row r="46" spans="1:19" ht="16.5" customHeight="1">
      <c r="A46" s="77"/>
      <c r="B46" s="78" t="s">
        <v>353</v>
      </c>
      <c r="C46" s="74" t="s">
        <v>47</v>
      </c>
      <c r="D46" s="75"/>
      <c r="E46" s="79" t="s">
        <v>311</v>
      </c>
      <c r="F46" s="76">
        <v>2.105</v>
      </c>
      <c r="G46" s="79">
        <v>178615</v>
      </c>
      <c r="H46" s="63">
        <f t="shared" si="1"/>
        <v>375984.57500000001</v>
      </c>
      <c r="I46" s="63">
        <f t="shared" si="2"/>
        <v>0</v>
      </c>
      <c r="J46" s="60"/>
      <c r="K46" s="60"/>
      <c r="L46" s="64"/>
      <c r="M46" s="72"/>
      <c r="N46" s="66"/>
      <c r="O46" s="66"/>
      <c r="P46" s="66"/>
      <c r="Q46" s="66"/>
      <c r="R46" s="66"/>
      <c r="S46" s="66"/>
    </row>
    <row r="47" spans="1:19" ht="16.5" customHeight="1">
      <c r="A47" s="77"/>
      <c r="B47" s="78" t="s">
        <v>354</v>
      </c>
      <c r="C47" s="74" t="s">
        <v>47</v>
      </c>
      <c r="D47" s="75"/>
      <c r="E47" s="79" t="s">
        <v>311</v>
      </c>
      <c r="F47" s="76">
        <v>4.0599999999999996</v>
      </c>
      <c r="G47" s="79">
        <v>178615</v>
      </c>
      <c r="H47" s="63">
        <f t="shared" si="1"/>
        <v>725176.89999999991</v>
      </c>
      <c r="I47" s="63">
        <f t="shared" si="2"/>
        <v>0</v>
      </c>
      <c r="J47" s="60"/>
      <c r="K47" s="60"/>
      <c r="L47" s="64"/>
      <c r="M47" s="65"/>
      <c r="N47" s="66"/>
      <c r="O47" s="66"/>
      <c r="P47" s="66"/>
      <c r="Q47" s="66"/>
      <c r="R47" s="66"/>
      <c r="S47" s="66"/>
    </row>
    <row r="48" spans="1:19" ht="16.5" customHeight="1">
      <c r="A48" s="77" t="s">
        <v>355</v>
      </c>
      <c r="B48" s="78" t="s">
        <v>356</v>
      </c>
      <c r="C48" s="74" t="s">
        <v>47</v>
      </c>
      <c r="D48" s="75"/>
      <c r="E48" s="79" t="s">
        <v>311</v>
      </c>
      <c r="F48" s="76">
        <v>0.18</v>
      </c>
      <c r="G48" s="79">
        <v>178615</v>
      </c>
      <c r="H48" s="63">
        <f t="shared" si="1"/>
        <v>32150.699999999997</v>
      </c>
      <c r="I48" s="63">
        <f t="shared" si="2"/>
        <v>0</v>
      </c>
      <c r="J48" s="60"/>
      <c r="K48" s="60"/>
      <c r="L48" s="64"/>
      <c r="M48" s="72"/>
      <c r="N48" s="66"/>
      <c r="O48" s="66"/>
      <c r="P48" s="66"/>
      <c r="Q48" s="66"/>
      <c r="R48" s="66"/>
      <c r="S48" s="66"/>
    </row>
    <row r="49" spans="1:19" ht="16.5" customHeight="1">
      <c r="A49" s="77" t="s">
        <v>357</v>
      </c>
      <c r="B49" s="78" t="s">
        <v>358</v>
      </c>
      <c r="C49" s="74" t="s">
        <v>47</v>
      </c>
      <c r="D49" s="75"/>
      <c r="E49" s="79" t="s">
        <v>311</v>
      </c>
      <c r="F49" s="76">
        <v>0.44100000000000006</v>
      </c>
      <c r="G49" s="79">
        <v>178615</v>
      </c>
      <c r="H49" s="63">
        <f t="shared" si="1"/>
        <v>78769.215000000011</v>
      </c>
      <c r="I49" s="63">
        <f t="shared" si="2"/>
        <v>0</v>
      </c>
      <c r="J49" s="60"/>
      <c r="K49" s="60"/>
      <c r="L49" s="64"/>
      <c r="M49" s="65"/>
      <c r="N49" s="66"/>
      <c r="O49" s="66"/>
      <c r="P49" s="66"/>
      <c r="Q49" s="66"/>
      <c r="R49" s="66"/>
      <c r="S49" s="66"/>
    </row>
    <row r="50" spans="1:19" ht="16.5" customHeight="1">
      <c r="A50" s="77" t="s">
        <v>359</v>
      </c>
      <c r="B50" s="78" t="s">
        <v>360</v>
      </c>
      <c r="C50" s="74" t="s">
        <v>47</v>
      </c>
      <c r="D50" s="75"/>
      <c r="E50" s="79" t="s">
        <v>311</v>
      </c>
      <c r="F50" s="76">
        <v>1.2659999999999998</v>
      </c>
      <c r="G50" s="79">
        <v>178615</v>
      </c>
      <c r="H50" s="63">
        <f t="shared" si="1"/>
        <v>226126.58999999997</v>
      </c>
      <c r="I50" s="63">
        <f t="shared" si="2"/>
        <v>0</v>
      </c>
      <c r="J50" s="60"/>
      <c r="K50" s="60"/>
      <c r="L50" s="64"/>
      <c r="M50" s="65"/>
      <c r="N50" s="66"/>
      <c r="O50" s="66"/>
      <c r="P50" s="66"/>
      <c r="Q50" s="66"/>
      <c r="R50" s="66"/>
      <c r="S50" s="66"/>
    </row>
    <row r="51" spans="1:19" ht="16.5" customHeight="1">
      <c r="A51" s="77" t="s">
        <v>361</v>
      </c>
      <c r="B51" s="78" t="s">
        <v>362</v>
      </c>
      <c r="C51" s="74" t="s">
        <v>47</v>
      </c>
      <c r="D51" s="75"/>
      <c r="E51" s="79" t="s">
        <v>311</v>
      </c>
      <c r="F51" s="76">
        <v>2.09</v>
      </c>
      <c r="G51" s="79">
        <v>178615</v>
      </c>
      <c r="H51" s="63">
        <f t="shared" si="1"/>
        <v>373305.35</v>
      </c>
      <c r="I51" s="63">
        <f t="shared" si="2"/>
        <v>0</v>
      </c>
      <c r="J51" s="60"/>
      <c r="K51" s="60"/>
      <c r="L51" s="64"/>
      <c r="M51" s="65"/>
      <c r="N51" s="66"/>
      <c r="O51" s="66"/>
      <c r="P51" s="66"/>
      <c r="Q51" s="66"/>
      <c r="R51" s="66"/>
      <c r="S51" s="66"/>
    </row>
    <row r="52" spans="1:19" ht="16.5" customHeight="1">
      <c r="A52" s="77" t="s">
        <v>363</v>
      </c>
      <c r="B52" s="78" t="s">
        <v>364</v>
      </c>
      <c r="C52" s="74" t="s">
        <v>47</v>
      </c>
      <c r="D52" s="75"/>
      <c r="E52" s="79" t="s">
        <v>311</v>
      </c>
      <c r="F52" s="76">
        <v>4.1500000000000004</v>
      </c>
      <c r="G52" s="79">
        <v>178615</v>
      </c>
      <c r="H52" s="63">
        <f t="shared" si="1"/>
        <v>741252.25000000012</v>
      </c>
      <c r="I52" s="63">
        <f t="shared" si="2"/>
        <v>0</v>
      </c>
      <c r="J52" s="60"/>
      <c r="K52" s="60"/>
      <c r="L52" s="64"/>
      <c r="M52" s="65"/>
      <c r="N52" s="66"/>
      <c r="O52" s="66"/>
      <c r="P52" s="66"/>
      <c r="Q52" s="66"/>
      <c r="R52" s="66"/>
      <c r="S52" s="66"/>
    </row>
    <row r="53" spans="1:19" ht="16.5" customHeight="1">
      <c r="A53" s="77" t="s">
        <v>365</v>
      </c>
      <c r="B53" s="78" t="s">
        <v>366</v>
      </c>
      <c r="C53" s="74" t="s">
        <v>47</v>
      </c>
      <c r="D53" s="75"/>
      <c r="E53" s="79" t="s">
        <v>311</v>
      </c>
      <c r="F53" s="76">
        <v>0.2</v>
      </c>
      <c r="G53" s="79">
        <v>178615</v>
      </c>
      <c r="H53" s="63">
        <f t="shared" si="1"/>
        <v>35723</v>
      </c>
      <c r="I53" s="63">
        <f t="shared" si="2"/>
        <v>0</v>
      </c>
      <c r="J53" s="60"/>
      <c r="K53" s="60"/>
      <c r="L53" s="64"/>
      <c r="M53" s="65"/>
      <c r="N53" s="66"/>
      <c r="O53" s="66"/>
      <c r="P53" s="66"/>
      <c r="Q53" s="66"/>
      <c r="R53" s="66"/>
      <c r="S53" s="66"/>
    </row>
    <row r="54" spans="1:19" ht="16.5" customHeight="1">
      <c r="A54" s="77" t="s">
        <v>367</v>
      </c>
      <c r="B54" s="78" t="s">
        <v>368</v>
      </c>
      <c r="C54" s="74" t="s">
        <v>47</v>
      </c>
      <c r="D54" s="75"/>
      <c r="E54" s="79" t="s">
        <v>311</v>
      </c>
      <c r="F54" s="76">
        <v>0.45599999999999996</v>
      </c>
      <c r="G54" s="79">
        <v>178615</v>
      </c>
      <c r="H54" s="63">
        <f t="shared" si="1"/>
        <v>81448.439999999988</v>
      </c>
      <c r="I54" s="63">
        <f t="shared" si="2"/>
        <v>0</v>
      </c>
      <c r="J54" s="60"/>
      <c r="K54" s="60"/>
      <c r="L54" s="64"/>
      <c r="M54" s="65"/>
      <c r="N54" s="66"/>
      <c r="O54" s="66"/>
      <c r="P54" s="66"/>
      <c r="Q54" s="66"/>
      <c r="R54" s="66"/>
      <c r="S54" s="66"/>
    </row>
    <row r="55" spans="1:19" ht="16.5" customHeight="1">
      <c r="A55" s="77" t="s">
        <v>369</v>
      </c>
      <c r="B55" s="78" t="s">
        <v>370</v>
      </c>
      <c r="C55" s="74" t="s">
        <v>47</v>
      </c>
      <c r="D55" s="75"/>
      <c r="E55" s="79" t="s">
        <v>311</v>
      </c>
      <c r="F55" s="76">
        <v>1.3049999999999999</v>
      </c>
      <c r="G55" s="79">
        <v>178615</v>
      </c>
      <c r="H55" s="63">
        <f t="shared" si="1"/>
        <v>233092.57499999998</v>
      </c>
      <c r="I55" s="63">
        <f t="shared" si="2"/>
        <v>0</v>
      </c>
      <c r="J55" s="60"/>
      <c r="K55" s="60"/>
      <c r="L55" s="64"/>
      <c r="M55" s="65"/>
      <c r="N55" s="66"/>
      <c r="O55" s="66"/>
      <c r="P55" s="66"/>
      <c r="Q55" s="66"/>
      <c r="R55" s="66"/>
      <c r="S55" s="66"/>
    </row>
    <row r="56" spans="1:19" ht="16.5" customHeight="1">
      <c r="A56" s="77" t="s">
        <v>371</v>
      </c>
      <c r="B56" s="78" t="s">
        <v>372</v>
      </c>
      <c r="C56" s="74" t="s">
        <v>47</v>
      </c>
      <c r="D56" s="75"/>
      <c r="E56" s="79" t="s">
        <v>311</v>
      </c>
      <c r="F56" s="76">
        <v>2.1549999999999998</v>
      </c>
      <c r="G56" s="79">
        <v>178615</v>
      </c>
      <c r="H56" s="63">
        <f t="shared" si="1"/>
        <v>384915.32499999995</v>
      </c>
      <c r="I56" s="63">
        <f t="shared" si="2"/>
        <v>0</v>
      </c>
      <c r="J56" s="60"/>
      <c r="K56" s="60"/>
      <c r="L56" s="64"/>
      <c r="M56" s="65"/>
      <c r="N56" s="66"/>
      <c r="O56" s="66"/>
      <c r="P56" s="66"/>
      <c r="Q56" s="66"/>
      <c r="R56" s="66"/>
      <c r="S56" s="66"/>
    </row>
    <row r="57" spans="1:19" ht="16.5" customHeight="1">
      <c r="A57" s="77" t="s">
        <v>373</v>
      </c>
      <c r="B57" s="78" t="s">
        <v>374</v>
      </c>
      <c r="C57" s="74" t="s">
        <v>47</v>
      </c>
      <c r="D57" s="75"/>
      <c r="E57" s="79" t="s">
        <v>311</v>
      </c>
      <c r="F57" s="76">
        <v>4.28</v>
      </c>
      <c r="G57" s="79">
        <v>178615</v>
      </c>
      <c r="H57" s="63">
        <f t="shared" si="1"/>
        <v>764472.20000000007</v>
      </c>
      <c r="I57" s="63">
        <f t="shared" si="2"/>
        <v>0</v>
      </c>
      <c r="J57" s="60"/>
      <c r="K57" s="60"/>
      <c r="L57" s="64"/>
      <c r="M57" s="65"/>
      <c r="N57" s="66"/>
      <c r="O57" s="66"/>
      <c r="P57" s="66"/>
      <c r="Q57" s="66"/>
      <c r="R57" s="66"/>
      <c r="S57" s="66"/>
    </row>
    <row r="58" spans="1:19" ht="16.5" customHeight="1">
      <c r="A58" s="77" t="s">
        <v>375</v>
      </c>
      <c r="B58" s="78" t="s">
        <v>376</v>
      </c>
      <c r="C58" s="74" t="s">
        <v>47</v>
      </c>
      <c r="D58" s="75"/>
      <c r="E58" s="79" t="s">
        <v>311</v>
      </c>
      <c r="F58" s="76">
        <v>0.26</v>
      </c>
      <c r="G58" s="79">
        <v>178615</v>
      </c>
      <c r="H58" s="63">
        <f t="shared" si="1"/>
        <v>46439.9</v>
      </c>
      <c r="I58" s="63">
        <f t="shared" si="2"/>
        <v>0</v>
      </c>
      <c r="J58" s="60"/>
      <c r="K58" s="60"/>
      <c r="L58" s="64"/>
      <c r="M58" s="65"/>
      <c r="N58" s="66"/>
      <c r="O58" s="66"/>
      <c r="P58" s="66"/>
      <c r="Q58" s="66"/>
      <c r="R58" s="66"/>
      <c r="S58" s="66"/>
    </row>
    <row r="59" spans="1:19" ht="16.5" customHeight="1">
      <c r="A59" s="77" t="s">
        <v>377</v>
      </c>
      <c r="B59" s="78" t="s">
        <v>378</v>
      </c>
      <c r="C59" s="74" t="s">
        <v>47</v>
      </c>
      <c r="D59" s="75"/>
      <c r="E59" s="79" t="s">
        <v>311</v>
      </c>
      <c r="F59" s="76">
        <v>0.49100000000000005</v>
      </c>
      <c r="G59" s="79">
        <v>178615</v>
      </c>
      <c r="H59" s="63">
        <f t="shared" si="1"/>
        <v>87699.965000000011</v>
      </c>
      <c r="I59" s="63">
        <f t="shared" si="2"/>
        <v>0</v>
      </c>
      <c r="J59" s="60"/>
      <c r="K59" s="60"/>
      <c r="L59" s="64"/>
      <c r="M59" s="65"/>
      <c r="N59" s="66"/>
      <c r="O59" s="66"/>
      <c r="P59" s="66"/>
      <c r="Q59" s="66"/>
      <c r="R59" s="66"/>
      <c r="S59" s="66"/>
    </row>
    <row r="60" spans="1:19" ht="16.5" customHeight="1">
      <c r="A60" s="77" t="s">
        <v>379</v>
      </c>
      <c r="B60" s="78" t="s">
        <v>380</v>
      </c>
      <c r="C60" s="74" t="s">
        <v>47</v>
      </c>
      <c r="D60" s="75"/>
      <c r="E60" s="79" t="s">
        <v>311</v>
      </c>
      <c r="F60" s="76">
        <v>1.4159999999999999</v>
      </c>
      <c r="G60" s="79">
        <v>178615</v>
      </c>
      <c r="H60" s="63">
        <f t="shared" si="1"/>
        <v>252918.84</v>
      </c>
      <c r="I60" s="63">
        <f t="shared" si="2"/>
        <v>0</v>
      </c>
      <c r="J60" s="60"/>
      <c r="K60" s="60"/>
      <c r="L60" s="64"/>
      <c r="M60" s="65"/>
      <c r="N60" s="66"/>
      <c r="O60" s="66"/>
      <c r="P60" s="66"/>
      <c r="Q60" s="66"/>
      <c r="R60" s="66"/>
      <c r="S60" s="66"/>
    </row>
    <row r="61" spans="1:19" ht="16.5" customHeight="1">
      <c r="A61" s="77" t="s">
        <v>381</v>
      </c>
      <c r="B61" s="78" t="s">
        <v>382</v>
      </c>
      <c r="C61" s="74" t="s">
        <v>47</v>
      </c>
      <c r="D61" s="75"/>
      <c r="E61" s="79" t="s">
        <v>311</v>
      </c>
      <c r="F61" s="76">
        <v>2.34</v>
      </c>
      <c r="G61" s="79">
        <v>178615</v>
      </c>
      <c r="H61" s="63">
        <f t="shared" si="1"/>
        <v>417959.1</v>
      </c>
      <c r="I61" s="63">
        <f t="shared" si="2"/>
        <v>0</v>
      </c>
      <c r="J61" s="60"/>
      <c r="K61" s="60"/>
      <c r="L61" s="64"/>
      <c r="M61" s="65"/>
      <c r="N61" s="66"/>
      <c r="O61" s="66"/>
      <c r="P61" s="66"/>
      <c r="Q61" s="66"/>
      <c r="R61" s="66"/>
      <c r="S61" s="66"/>
    </row>
    <row r="62" spans="1:19" ht="16.5" customHeight="1">
      <c r="A62" s="77" t="s">
        <v>383</v>
      </c>
      <c r="B62" s="78" t="s">
        <v>384</v>
      </c>
      <c r="C62" s="74" t="s">
        <v>47</v>
      </c>
      <c r="D62" s="75"/>
      <c r="E62" s="79" t="s">
        <v>311</v>
      </c>
      <c r="F62" s="76">
        <v>4.6500000000000004</v>
      </c>
      <c r="G62" s="79">
        <v>178615</v>
      </c>
      <c r="H62" s="63">
        <f t="shared" si="1"/>
        <v>830559.75000000012</v>
      </c>
      <c r="I62" s="63">
        <f t="shared" si="2"/>
        <v>0</v>
      </c>
      <c r="J62" s="60"/>
      <c r="K62" s="60"/>
      <c r="L62" s="64"/>
      <c r="M62" s="65"/>
      <c r="N62" s="66"/>
      <c r="O62" s="66"/>
      <c r="P62" s="66"/>
      <c r="Q62" s="66"/>
      <c r="R62" s="66"/>
      <c r="S62" s="66"/>
    </row>
    <row r="63" spans="1:19" ht="16.5" customHeight="1">
      <c r="A63" s="77" t="s">
        <v>385</v>
      </c>
      <c r="B63" s="78" t="s">
        <v>386</v>
      </c>
      <c r="C63" s="74" t="s">
        <v>47</v>
      </c>
      <c r="D63" s="75"/>
      <c r="E63" s="79" t="s">
        <v>311</v>
      </c>
      <c r="F63" s="76">
        <v>0.32</v>
      </c>
      <c r="G63" s="79">
        <v>178615</v>
      </c>
      <c r="H63" s="63">
        <f t="shared" si="1"/>
        <v>57156.800000000003</v>
      </c>
      <c r="I63" s="63">
        <f t="shared" si="2"/>
        <v>0</v>
      </c>
      <c r="J63" s="60"/>
      <c r="K63" s="60"/>
      <c r="L63" s="64"/>
      <c r="M63" s="65"/>
      <c r="N63" s="66"/>
      <c r="O63" s="66"/>
      <c r="P63" s="66"/>
      <c r="Q63" s="66"/>
      <c r="R63" s="66"/>
      <c r="S63" s="66"/>
    </row>
    <row r="64" spans="1:19" ht="16.5" customHeight="1">
      <c r="A64" s="77" t="s">
        <v>387</v>
      </c>
      <c r="B64" s="78" t="s">
        <v>388</v>
      </c>
      <c r="C64" s="74" t="s">
        <v>47</v>
      </c>
      <c r="D64" s="75"/>
      <c r="E64" s="79" t="s">
        <v>311</v>
      </c>
      <c r="F64" s="76">
        <v>0.53</v>
      </c>
      <c r="G64" s="79">
        <v>178615</v>
      </c>
      <c r="H64" s="63">
        <f t="shared" si="1"/>
        <v>94665.950000000012</v>
      </c>
      <c r="I64" s="63">
        <f t="shared" si="2"/>
        <v>0</v>
      </c>
      <c r="J64" s="60"/>
      <c r="K64" s="60"/>
      <c r="L64" s="64"/>
      <c r="M64" s="65"/>
      <c r="N64" s="66"/>
      <c r="O64" s="66"/>
      <c r="P64" s="66"/>
      <c r="Q64" s="66"/>
      <c r="R64" s="66"/>
      <c r="S64" s="66"/>
    </row>
    <row r="65" spans="1:19" ht="16.5" customHeight="1">
      <c r="A65" s="77" t="s">
        <v>389</v>
      </c>
      <c r="B65" s="78" t="s">
        <v>390</v>
      </c>
      <c r="C65" s="74" t="s">
        <v>47</v>
      </c>
      <c r="D65" s="75"/>
      <c r="E65" s="79" t="s">
        <v>311</v>
      </c>
      <c r="F65" s="76">
        <v>1.53</v>
      </c>
      <c r="G65" s="79">
        <v>178615</v>
      </c>
      <c r="H65" s="63">
        <f t="shared" si="1"/>
        <v>273280.95</v>
      </c>
      <c r="I65" s="63">
        <f t="shared" si="2"/>
        <v>0</v>
      </c>
      <c r="J65" s="60"/>
      <c r="K65" s="60"/>
      <c r="L65" s="64"/>
      <c r="M65" s="65"/>
      <c r="N65" s="66"/>
      <c r="O65" s="66"/>
      <c r="P65" s="66"/>
      <c r="Q65" s="66"/>
      <c r="R65" s="66"/>
      <c r="S65" s="66"/>
    </row>
    <row r="66" spans="1:19" ht="16.5" customHeight="1">
      <c r="A66" s="77" t="s">
        <v>391</v>
      </c>
      <c r="B66" s="78" t="s">
        <v>392</v>
      </c>
      <c r="C66" s="74" t="s">
        <v>47</v>
      </c>
      <c r="D66" s="75"/>
      <c r="E66" s="79" t="s">
        <v>311</v>
      </c>
      <c r="F66" s="76">
        <v>2.5299999999999998</v>
      </c>
      <c r="G66" s="79">
        <v>178615</v>
      </c>
      <c r="H66" s="63">
        <f t="shared" si="1"/>
        <v>451895.94999999995</v>
      </c>
      <c r="I66" s="63">
        <f t="shared" si="2"/>
        <v>0</v>
      </c>
      <c r="J66" s="60"/>
      <c r="K66" s="60"/>
      <c r="L66" s="64"/>
      <c r="M66" s="65"/>
      <c r="N66" s="66"/>
      <c r="O66" s="66"/>
      <c r="P66" s="66"/>
      <c r="Q66" s="66"/>
      <c r="R66" s="66"/>
      <c r="S66" s="66"/>
    </row>
    <row r="67" spans="1:19" ht="16.5" customHeight="1">
      <c r="A67" s="77" t="s">
        <v>393</v>
      </c>
      <c r="B67" s="78" t="s">
        <v>394</v>
      </c>
      <c r="C67" s="74" t="s">
        <v>47</v>
      </c>
      <c r="D67" s="75"/>
      <c r="E67" s="79" t="s">
        <v>311</v>
      </c>
      <c r="F67" s="76">
        <v>5.03</v>
      </c>
      <c r="G67" s="79">
        <v>178615</v>
      </c>
      <c r="H67" s="63">
        <f t="shared" si="1"/>
        <v>898433.45000000007</v>
      </c>
      <c r="I67" s="63">
        <f t="shared" si="2"/>
        <v>0</v>
      </c>
      <c r="J67" s="60"/>
      <c r="K67" s="60"/>
      <c r="L67" s="64"/>
      <c r="M67" s="65"/>
      <c r="N67" s="66"/>
      <c r="O67" s="66"/>
      <c r="P67" s="66"/>
      <c r="Q67" s="66"/>
      <c r="R67" s="66"/>
      <c r="S67" s="66"/>
    </row>
    <row r="68" spans="1:19" ht="16.5" customHeight="1">
      <c r="A68" s="77"/>
      <c r="B68" s="78" t="s">
        <v>395</v>
      </c>
      <c r="C68" s="74" t="s">
        <v>47</v>
      </c>
      <c r="D68" s="75"/>
      <c r="E68" s="79" t="s">
        <v>311</v>
      </c>
      <c r="F68" s="76">
        <v>0.21</v>
      </c>
      <c r="G68" s="79">
        <v>178615</v>
      </c>
      <c r="H68" s="63">
        <f t="shared" si="1"/>
        <v>37509.15</v>
      </c>
      <c r="I68" s="63">
        <f t="shared" si="2"/>
        <v>0</v>
      </c>
      <c r="J68" s="60"/>
      <c r="K68" s="60"/>
      <c r="L68" s="64"/>
      <c r="M68" s="65"/>
      <c r="N68" s="66"/>
      <c r="O68" s="66"/>
      <c r="P68" s="66"/>
      <c r="Q68" s="66"/>
      <c r="R68" s="66"/>
      <c r="S68" s="66"/>
    </row>
    <row r="69" spans="1:19" ht="16.5" customHeight="1">
      <c r="A69" s="77"/>
      <c r="B69" s="78" t="s">
        <v>396</v>
      </c>
      <c r="C69" s="74" t="s">
        <v>47</v>
      </c>
      <c r="D69" s="75"/>
      <c r="E69" s="79" t="s">
        <v>311</v>
      </c>
      <c r="F69" s="76">
        <v>0.34499999999999997</v>
      </c>
      <c r="G69" s="79">
        <v>178615</v>
      </c>
      <c r="H69" s="63">
        <f t="shared" si="1"/>
        <v>61622.174999999996</v>
      </c>
      <c r="I69" s="63">
        <f t="shared" si="2"/>
        <v>0</v>
      </c>
      <c r="J69" s="60"/>
      <c r="K69" s="60"/>
      <c r="L69" s="64"/>
      <c r="M69" s="65"/>
      <c r="N69" s="66"/>
      <c r="O69" s="66"/>
      <c r="P69" s="66"/>
      <c r="Q69" s="66"/>
      <c r="R69" s="66"/>
      <c r="S69" s="66"/>
    </row>
    <row r="70" spans="1:19" ht="16.5" customHeight="1">
      <c r="A70" s="77"/>
      <c r="B70" s="78" t="s">
        <v>397</v>
      </c>
      <c r="C70" s="74" t="s">
        <v>47</v>
      </c>
      <c r="D70" s="75"/>
      <c r="E70" s="79" t="s">
        <v>311</v>
      </c>
      <c r="F70" s="76">
        <v>0.99299999999999999</v>
      </c>
      <c r="G70" s="79">
        <v>178615</v>
      </c>
      <c r="H70" s="63">
        <f t="shared" si="1"/>
        <v>177364.69500000001</v>
      </c>
      <c r="I70" s="63">
        <f t="shared" si="2"/>
        <v>0</v>
      </c>
      <c r="J70" s="60"/>
      <c r="K70" s="60"/>
      <c r="L70" s="64"/>
      <c r="M70" s="65"/>
      <c r="N70" s="66"/>
      <c r="O70" s="66"/>
      <c r="P70" s="66"/>
      <c r="Q70" s="66"/>
      <c r="R70" s="66"/>
      <c r="S70" s="66"/>
    </row>
    <row r="71" spans="1:19" ht="16.5" customHeight="1">
      <c r="A71" s="77"/>
      <c r="B71" s="78" t="s">
        <v>398</v>
      </c>
      <c r="C71" s="74" t="s">
        <v>47</v>
      </c>
      <c r="D71" s="75"/>
      <c r="E71" s="79" t="s">
        <v>311</v>
      </c>
      <c r="F71" s="76">
        <v>1.645</v>
      </c>
      <c r="G71" s="79">
        <v>178615</v>
      </c>
      <c r="H71" s="63">
        <f t="shared" si="1"/>
        <v>293821.67499999999</v>
      </c>
      <c r="I71" s="63">
        <f t="shared" si="2"/>
        <v>0</v>
      </c>
      <c r="J71" s="60"/>
      <c r="K71" s="60"/>
      <c r="L71" s="64"/>
      <c r="M71" s="65"/>
      <c r="N71" s="66"/>
      <c r="O71" s="66"/>
      <c r="P71" s="66"/>
      <c r="Q71" s="66"/>
      <c r="R71" s="66"/>
      <c r="S71" s="66"/>
    </row>
    <row r="72" spans="1:19" ht="16.5" customHeight="1">
      <c r="A72" s="77"/>
      <c r="B72" s="78" t="s">
        <v>399</v>
      </c>
      <c r="C72" s="74" t="s">
        <v>47</v>
      </c>
      <c r="D72" s="75"/>
      <c r="E72" s="79" t="s">
        <v>311</v>
      </c>
      <c r="F72" s="76">
        <v>3.27</v>
      </c>
      <c r="G72" s="79">
        <v>178615</v>
      </c>
      <c r="H72" s="63">
        <f t="shared" si="1"/>
        <v>584071.05000000005</v>
      </c>
      <c r="I72" s="63">
        <f t="shared" si="2"/>
        <v>0</v>
      </c>
      <c r="J72" s="60"/>
      <c r="K72" s="60"/>
      <c r="L72" s="64"/>
      <c r="M72" s="65"/>
      <c r="N72" s="66"/>
      <c r="O72" s="66"/>
      <c r="P72" s="66"/>
      <c r="Q72" s="66"/>
      <c r="R72" s="66"/>
      <c r="S72" s="66"/>
    </row>
    <row r="73" spans="1:19" ht="16.5" customHeight="1">
      <c r="A73" s="77" t="s">
        <v>400</v>
      </c>
      <c r="B73" s="78" t="s">
        <v>401</v>
      </c>
      <c r="C73" s="74" t="s">
        <v>47</v>
      </c>
      <c r="D73" s="75"/>
      <c r="E73" s="79" t="s">
        <v>311</v>
      </c>
      <c r="F73" s="76">
        <v>0.28999999999999998</v>
      </c>
      <c r="G73" s="79">
        <v>178615</v>
      </c>
      <c r="H73" s="63">
        <f t="shared" si="1"/>
        <v>51798.35</v>
      </c>
      <c r="I73" s="63">
        <f t="shared" si="2"/>
        <v>0</v>
      </c>
      <c r="J73" s="60"/>
      <c r="K73" s="60"/>
      <c r="L73" s="64"/>
      <c r="M73" s="65"/>
      <c r="N73" s="66"/>
      <c r="O73" s="66"/>
      <c r="P73" s="66"/>
      <c r="Q73" s="66"/>
      <c r="R73" s="66"/>
      <c r="S73" s="66"/>
    </row>
    <row r="74" spans="1:19" ht="16.5" customHeight="1">
      <c r="A74" s="77" t="s">
        <v>402</v>
      </c>
      <c r="B74" s="78" t="s">
        <v>403</v>
      </c>
      <c r="C74" s="74" t="s">
        <v>47</v>
      </c>
      <c r="D74" s="75"/>
      <c r="E74" s="79" t="s">
        <v>311</v>
      </c>
      <c r="F74" s="76">
        <v>0.39300000000000002</v>
      </c>
      <c r="G74" s="79">
        <v>178615</v>
      </c>
      <c r="H74" s="63">
        <f t="shared" si="1"/>
        <v>70195.695000000007</v>
      </c>
      <c r="I74" s="63">
        <f t="shared" si="2"/>
        <v>0</v>
      </c>
      <c r="J74" s="60"/>
      <c r="K74" s="60"/>
      <c r="L74" s="64"/>
      <c r="M74" s="65"/>
      <c r="N74" s="66"/>
      <c r="O74" s="66"/>
      <c r="P74" s="66"/>
      <c r="Q74" s="66"/>
      <c r="R74" s="66"/>
      <c r="S74" s="66"/>
    </row>
    <row r="75" spans="1:19" ht="16.5" customHeight="1">
      <c r="A75" s="77" t="s">
        <v>404</v>
      </c>
      <c r="B75" s="78" t="s">
        <v>405</v>
      </c>
      <c r="C75" s="74" t="s">
        <v>47</v>
      </c>
      <c r="D75" s="75"/>
      <c r="E75" s="79" t="s">
        <v>311</v>
      </c>
      <c r="F75" s="76">
        <v>1.161</v>
      </c>
      <c r="G75" s="79">
        <v>178615</v>
      </c>
      <c r="H75" s="63">
        <f t="shared" si="1"/>
        <v>207372.01500000001</v>
      </c>
      <c r="I75" s="63">
        <f t="shared" si="2"/>
        <v>0</v>
      </c>
      <c r="J75" s="60"/>
      <c r="K75" s="60"/>
      <c r="L75" s="64"/>
      <c r="M75" s="65"/>
      <c r="N75" s="66"/>
      <c r="O75" s="66"/>
      <c r="P75" s="66"/>
      <c r="Q75" s="66"/>
      <c r="R75" s="66"/>
      <c r="S75" s="66"/>
    </row>
    <row r="76" spans="1:19" ht="16.5" customHeight="1">
      <c r="A76" s="77" t="s">
        <v>406</v>
      </c>
      <c r="B76" s="78" t="s">
        <v>407</v>
      </c>
      <c r="C76" s="74" t="s">
        <v>47</v>
      </c>
      <c r="D76" s="75"/>
      <c r="E76" s="79" t="s">
        <v>311</v>
      </c>
      <c r="F76" s="76">
        <v>1.6850000000000001</v>
      </c>
      <c r="G76" s="79">
        <v>178615</v>
      </c>
      <c r="H76" s="63">
        <f t="shared" si="1"/>
        <v>300966.27500000002</v>
      </c>
      <c r="I76" s="63">
        <f t="shared" si="2"/>
        <v>0</v>
      </c>
      <c r="J76" s="60"/>
      <c r="K76" s="60"/>
      <c r="L76" s="64"/>
      <c r="M76" s="65"/>
      <c r="N76" s="66"/>
      <c r="O76" s="66"/>
      <c r="P76" s="66"/>
      <c r="Q76" s="66"/>
      <c r="R76" s="66"/>
      <c r="S76" s="66"/>
    </row>
    <row r="77" spans="1:19" ht="16.5" customHeight="1">
      <c r="A77" s="77" t="s">
        <v>408</v>
      </c>
      <c r="B77" s="78" t="s">
        <v>409</v>
      </c>
      <c r="C77" s="74" t="s">
        <v>47</v>
      </c>
      <c r="D77" s="75"/>
      <c r="E77" s="79" t="s">
        <v>311</v>
      </c>
      <c r="F77" s="76">
        <v>3.29</v>
      </c>
      <c r="G77" s="79">
        <v>178615</v>
      </c>
      <c r="H77" s="63">
        <f t="shared" si="1"/>
        <v>587643.35</v>
      </c>
      <c r="I77" s="63">
        <f t="shared" si="2"/>
        <v>0</v>
      </c>
      <c r="J77" s="60"/>
      <c r="K77" s="60"/>
      <c r="L77" s="64"/>
      <c r="M77" s="65"/>
      <c r="N77" s="66"/>
      <c r="O77" s="66"/>
      <c r="P77" s="66"/>
      <c r="Q77" s="66"/>
      <c r="R77" s="66"/>
      <c r="S77" s="66"/>
    </row>
    <row r="78" spans="1:19" s="150" customFormat="1" ht="16.5" customHeight="1">
      <c r="A78" s="179" t="s">
        <v>121</v>
      </c>
      <c r="B78" s="143" t="s">
        <v>122</v>
      </c>
      <c r="C78" s="144" t="s">
        <v>47</v>
      </c>
      <c r="D78" s="145"/>
      <c r="E78" s="140" t="s">
        <v>311</v>
      </c>
      <c r="F78" s="141">
        <v>0.18</v>
      </c>
      <c r="G78" s="158">
        <v>210185</v>
      </c>
      <c r="H78" s="122">
        <v>0</v>
      </c>
      <c r="I78" s="122">
        <f t="shared" si="2"/>
        <v>0</v>
      </c>
      <c r="J78" s="146"/>
      <c r="K78" s="146"/>
      <c r="L78" s="147"/>
      <c r="M78" s="148"/>
      <c r="N78" s="149"/>
      <c r="O78" s="149"/>
      <c r="P78" s="149"/>
      <c r="Q78" s="149"/>
      <c r="R78" s="149"/>
      <c r="S78" s="149"/>
    </row>
    <row r="79" spans="1:19" s="150" customFormat="1" ht="16.5" customHeight="1">
      <c r="A79" s="179" t="s">
        <v>119</v>
      </c>
      <c r="B79" s="143" t="s">
        <v>120</v>
      </c>
      <c r="C79" s="144" t="s">
        <v>47</v>
      </c>
      <c r="D79" s="145"/>
      <c r="E79" s="140" t="s">
        <v>311</v>
      </c>
      <c r="F79" s="141">
        <v>0.39</v>
      </c>
      <c r="G79" s="158">
        <v>210185</v>
      </c>
      <c r="H79" s="122">
        <v>0</v>
      </c>
      <c r="I79" s="122">
        <f t="shared" si="2"/>
        <v>0</v>
      </c>
      <c r="J79" s="146"/>
      <c r="K79" s="146"/>
      <c r="L79" s="147"/>
      <c r="M79" s="148"/>
      <c r="N79" s="149"/>
      <c r="O79" s="149"/>
      <c r="P79" s="149"/>
      <c r="Q79" s="149"/>
      <c r="R79" s="149"/>
      <c r="S79" s="149"/>
    </row>
    <row r="80" spans="1:19" ht="16.5" customHeight="1">
      <c r="A80" s="77" t="s">
        <v>410</v>
      </c>
      <c r="B80" s="78" t="s">
        <v>411</v>
      </c>
      <c r="C80" s="74" t="s">
        <v>47</v>
      </c>
      <c r="D80" s="75"/>
      <c r="E80" s="79" t="s">
        <v>311</v>
      </c>
      <c r="F80" s="76">
        <v>1.1220000000000001</v>
      </c>
      <c r="G80" s="79">
        <v>178615</v>
      </c>
      <c r="H80" s="63">
        <f t="shared" si="1"/>
        <v>200406.03000000003</v>
      </c>
      <c r="I80" s="63">
        <f t="shared" si="2"/>
        <v>0</v>
      </c>
      <c r="J80" s="60"/>
      <c r="K80" s="60"/>
      <c r="L80" s="64"/>
      <c r="M80" s="65"/>
      <c r="N80" s="66"/>
      <c r="O80" s="66"/>
      <c r="P80" s="66"/>
      <c r="Q80" s="66"/>
      <c r="R80" s="66"/>
      <c r="S80" s="66"/>
    </row>
    <row r="81" spans="1:19" ht="16.5" customHeight="1">
      <c r="A81" s="77" t="s">
        <v>412</v>
      </c>
      <c r="B81" s="78" t="s">
        <v>413</v>
      </c>
      <c r="C81" s="74" t="s">
        <v>47</v>
      </c>
      <c r="D81" s="75"/>
      <c r="E81" s="79" t="s">
        <v>311</v>
      </c>
      <c r="F81" s="76">
        <v>1.845</v>
      </c>
      <c r="G81" s="79">
        <v>178615</v>
      </c>
      <c r="H81" s="63">
        <f t="shared" si="1"/>
        <v>329544.67499999999</v>
      </c>
      <c r="I81" s="63">
        <f t="shared" si="2"/>
        <v>0</v>
      </c>
      <c r="J81" s="60"/>
      <c r="K81" s="60"/>
      <c r="L81" s="64"/>
      <c r="M81" s="65"/>
      <c r="N81" s="66"/>
      <c r="O81" s="66"/>
      <c r="P81" s="66"/>
      <c r="Q81" s="66"/>
      <c r="R81" s="66"/>
      <c r="S81" s="66"/>
    </row>
    <row r="82" spans="1:19" ht="16.5" customHeight="1">
      <c r="A82" s="77" t="s">
        <v>414</v>
      </c>
      <c r="B82" s="78" t="s">
        <v>415</v>
      </c>
      <c r="C82" s="74" t="s">
        <v>47</v>
      </c>
      <c r="D82" s="75"/>
      <c r="E82" s="79" t="s">
        <v>311</v>
      </c>
      <c r="F82" s="76">
        <v>3.66</v>
      </c>
      <c r="G82" s="79">
        <v>178615</v>
      </c>
      <c r="H82" s="63">
        <f t="shared" si="1"/>
        <v>653730.9</v>
      </c>
      <c r="I82" s="63">
        <f t="shared" si="2"/>
        <v>0</v>
      </c>
      <c r="J82" s="60"/>
      <c r="K82" s="60"/>
      <c r="L82" s="64"/>
      <c r="M82" s="65"/>
      <c r="N82" s="66"/>
      <c r="O82" s="66"/>
      <c r="P82" s="66"/>
      <c r="Q82" s="66"/>
      <c r="R82" s="66"/>
      <c r="S82" s="66"/>
    </row>
    <row r="83" spans="1:19" ht="16.5" customHeight="1">
      <c r="A83" s="77" t="s">
        <v>416</v>
      </c>
      <c r="B83" s="78" t="s">
        <v>417</v>
      </c>
      <c r="C83" s="74" t="s">
        <v>136</v>
      </c>
      <c r="D83" s="75"/>
      <c r="E83" s="79" t="s">
        <v>311</v>
      </c>
      <c r="F83" s="76">
        <v>0.32</v>
      </c>
      <c r="G83" s="79">
        <v>178615</v>
      </c>
      <c r="H83" s="63">
        <f t="shared" si="1"/>
        <v>57156.800000000003</v>
      </c>
      <c r="I83" s="63">
        <f t="shared" si="2"/>
        <v>0</v>
      </c>
      <c r="J83" s="60"/>
      <c r="K83" s="60"/>
      <c r="L83" s="64"/>
      <c r="M83" s="65"/>
      <c r="N83" s="66"/>
      <c r="O83" s="66"/>
      <c r="P83" s="66"/>
      <c r="Q83" s="66"/>
      <c r="R83" s="66"/>
      <c r="S83" s="66"/>
    </row>
    <row r="84" spans="1:19" ht="16.5" customHeight="1">
      <c r="A84" s="77" t="s">
        <v>418</v>
      </c>
      <c r="B84" s="78" t="s">
        <v>419</v>
      </c>
      <c r="C84" s="81" t="s">
        <v>136</v>
      </c>
      <c r="D84" s="75"/>
      <c r="E84" s="79" t="s">
        <v>311</v>
      </c>
      <c r="F84" s="76">
        <v>0.57900000000000007</v>
      </c>
      <c r="G84" s="79">
        <v>178615</v>
      </c>
      <c r="H84" s="63">
        <f t="shared" si="1"/>
        <v>103418.08500000001</v>
      </c>
      <c r="I84" s="63">
        <f t="shared" si="2"/>
        <v>0</v>
      </c>
      <c r="J84" s="60"/>
      <c r="K84" s="60"/>
      <c r="L84" s="64"/>
      <c r="M84" s="65"/>
      <c r="N84" s="66"/>
      <c r="O84" s="66"/>
      <c r="P84" s="66"/>
      <c r="Q84" s="66"/>
      <c r="R84" s="66"/>
      <c r="S84" s="66"/>
    </row>
    <row r="85" spans="1:19" ht="16.5" customHeight="1">
      <c r="A85" s="77" t="s">
        <v>420</v>
      </c>
      <c r="B85" s="78" t="s">
        <v>421</v>
      </c>
      <c r="C85" s="81" t="s">
        <v>136</v>
      </c>
      <c r="D85" s="75"/>
      <c r="E85" s="79" t="s">
        <v>311</v>
      </c>
      <c r="F85" s="76">
        <v>1.6289999999999998</v>
      </c>
      <c r="G85" s="79">
        <v>178615</v>
      </c>
      <c r="H85" s="63">
        <f t="shared" si="1"/>
        <v>290963.83499999996</v>
      </c>
      <c r="I85" s="63">
        <f t="shared" si="2"/>
        <v>0</v>
      </c>
      <c r="J85" s="60"/>
      <c r="K85" s="60"/>
      <c r="L85" s="64"/>
      <c r="M85" s="65"/>
      <c r="N85" s="66"/>
      <c r="O85" s="66"/>
      <c r="P85" s="66"/>
      <c r="Q85" s="66"/>
      <c r="R85" s="66"/>
      <c r="S85" s="66"/>
    </row>
    <row r="86" spans="1:19" ht="16.5" customHeight="1">
      <c r="A86" s="77" t="s">
        <v>422</v>
      </c>
      <c r="B86" s="78" t="s">
        <v>423</v>
      </c>
      <c r="C86" s="81" t="s">
        <v>136</v>
      </c>
      <c r="D86" s="75"/>
      <c r="E86" s="79" t="s">
        <v>311</v>
      </c>
      <c r="F86" s="76">
        <v>2.68</v>
      </c>
      <c r="G86" s="79">
        <v>178615</v>
      </c>
      <c r="H86" s="63">
        <f t="shared" si="1"/>
        <v>478688.2</v>
      </c>
      <c r="I86" s="63">
        <f t="shared" si="2"/>
        <v>0</v>
      </c>
      <c r="J86" s="60"/>
      <c r="K86" s="60"/>
      <c r="L86" s="64"/>
      <c r="M86" s="65"/>
      <c r="N86" s="66"/>
      <c r="O86" s="66"/>
      <c r="P86" s="66"/>
      <c r="Q86" s="66"/>
      <c r="R86" s="66"/>
      <c r="S86" s="66"/>
    </row>
    <row r="87" spans="1:19" ht="16.5" customHeight="1">
      <c r="A87" s="77" t="s">
        <v>424</v>
      </c>
      <c r="B87" s="78" t="s">
        <v>425</v>
      </c>
      <c r="C87" s="81" t="s">
        <v>136</v>
      </c>
      <c r="D87" s="75"/>
      <c r="E87" s="79" t="s">
        <v>311</v>
      </c>
      <c r="F87" s="76">
        <v>5.31</v>
      </c>
      <c r="G87" s="79">
        <v>178615</v>
      </c>
      <c r="H87" s="63">
        <f t="shared" ref="H87:H102" si="3">+G87*F87</f>
        <v>948445.64999999991</v>
      </c>
      <c r="I87" s="63">
        <f t="shared" ref="I87:I147" si="4">+K87*$I$4</f>
        <v>0</v>
      </c>
      <c r="J87" s="60"/>
      <c r="K87" s="60"/>
      <c r="L87" s="64"/>
      <c r="M87" s="65"/>
      <c r="N87" s="66"/>
      <c r="O87" s="66"/>
      <c r="P87" s="66"/>
      <c r="Q87" s="66"/>
      <c r="R87" s="66"/>
      <c r="S87" s="66"/>
    </row>
    <row r="88" spans="1:19" s="150" customFormat="1" ht="16.5" customHeight="1">
      <c r="A88" s="179" t="s">
        <v>137</v>
      </c>
      <c r="B88" s="143" t="s">
        <v>138</v>
      </c>
      <c r="C88" s="144" t="s">
        <v>136</v>
      </c>
      <c r="D88" s="145"/>
      <c r="E88" s="140" t="s">
        <v>311</v>
      </c>
      <c r="F88" s="141">
        <v>0.41</v>
      </c>
      <c r="G88" s="158">
        <v>210185</v>
      </c>
      <c r="H88" s="159">
        <f t="shared" si="3"/>
        <v>86175.849999999991</v>
      </c>
      <c r="I88" s="122">
        <f t="shared" si="4"/>
        <v>0</v>
      </c>
      <c r="J88" s="146"/>
      <c r="K88" s="146"/>
      <c r="L88" s="147"/>
      <c r="M88" s="148"/>
      <c r="N88" s="149"/>
      <c r="O88" s="149"/>
      <c r="P88" s="149"/>
      <c r="Q88" s="149"/>
      <c r="R88" s="149"/>
      <c r="S88" s="149"/>
    </row>
    <row r="89" spans="1:19" s="150" customFormat="1" ht="16.5" customHeight="1">
      <c r="A89" s="179" t="s">
        <v>134</v>
      </c>
      <c r="B89" s="143" t="s">
        <v>135</v>
      </c>
      <c r="C89" s="180" t="s">
        <v>136</v>
      </c>
      <c r="D89" s="145"/>
      <c r="E89" s="140" t="s">
        <v>311</v>
      </c>
      <c r="F89" s="141">
        <v>0.74900000000000011</v>
      </c>
      <c r="G89" s="158">
        <v>210185</v>
      </c>
      <c r="H89" s="122">
        <f t="shared" si="3"/>
        <v>157428.56500000003</v>
      </c>
      <c r="I89" s="122">
        <f t="shared" si="4"/>
        <v>0</v>
      </c>
      <c r="J89" s="146"/>
      <c r="K89" s="146"/>
      <c r="L89" s="147"/>
      <c r="M89" s="148"/>
      <c r="N89" s="149"/>
      <c r="O89" s="149"/>
      <c r="P89" s="149"/>
      <c r="Q89" s="149"/>
      <c r="R89" s="149"/>
      <c r="S89" s="149"/>
    </row>
    <row r="90" spans="1:19" ht="16.5" customHeight="1">
      <c r="A90" s="77" t="s">
        <v>426</v>
      </c>
      <c r="B90" s="78" t="s">
        <v>427</v>
      </c>
      <c r="C90" s="81" t="s">
        <v>136</v>
      </c>
      <c r="D90" s="75"/>
      <c r="E90" s="79" t="s">
        <v>311</v>
      </c>
      <c r="F90" s="76">
        <v>2.109</v>
      </c>
      <c r="G90" s="79">
        <v>178615</v>
      </c>
      <c r="H90" s="63">
        <f t="shared" si="3"/>
        <v>376699.03499999997</v>
      </c>
      <c r="I90" s="63">
        <f t="shared" si="4"/>
        <v>0</v>
      </c>
      <c r="J90" s="60"/>
      <c r="K90" s="60"/>
      <c r="L90" s="64"/>
      <c r="M90" s="65"/>
      <c r="N90" s="66"/>
      <c r="O90" s="66"/>
      <c r="P90" s="66"/>
      <c r="Q90" s="66"/>
      <c r="R90" s="66"/>
      <c r="S90" s="66"/>
    </row>
    <row r="91" spans="1:19" ht="16.5" customHeight="1">
      <c r="A91" s="77" t="s">
        <v>428</v>
      </c>
      <c r="B91" s="78" t="s">
        <v>429</v>
      </c>
      <c r="C91" s="81" t="s">
        <v>136</v>
      </c>
      <c r="D91" s="75"/>
      <c r="E91" s="79" t="s">
        <v>311</v>
      </c>
      <c r="F91" s="76">
        <v>3.47</v>
      </c>
      <c r="G91" s="79">
        <v>178615</v>
      </c>
      <c r="H91" s="63">
        <f t="shared" si="3"/>
        <v>619794.05000000005</v>
      </c>
      <c r="I91" s="63">
        <f t="shared" si="4"/>
        <v>0</v>
      </c>
      <c r="J91" s="60"/>
      <c r="K91" s="60"/>
      <c r="L91" s="64"/>
      <c r="M91" s="65"/>
      <c r="N91" s="66"/>
      <c r="O91" s="66"/>
      <c r="P91" s="66"/>
      <c r="Q91" s="66"/>
      <c r="R91" s="66"/>
      <c r="S91" s="66"/>
    </row>
    <row r="92" spans="1:19" ht="16.5" customHeight="1">
      <c r="A92" s="77" t="s">
        <v>430</v>
      </c>
      <c r="B92" s="78" t="s">
        <v>431</v>
      </c>
      <c r="C92" s="81" t="s">
        <v>136</v>
      </c>
      <c r="D92" s="75"/>
      <c r="E92" s="79" t="s">
        <v>311</v>
      </c>
      <c r="F92" s="76">
        <v>6.37</v>
      </c>
      <c r="G92" s="79">
        <v>178615</v>
      </c>
      <c r="H92" s="63">
        <f t="shared" si="3"/>
        <v>1137777.55</v>
      </c>
      <c r="I92" s="63">
        <f t="shared" si="4"/>
        <v>0</v>
      </c>
      <c r="J92" s="60"/>
      <c r="K92" s="60"/>
      <c r="L92" s="64"/>
      <c r="M92" s="65"/>
      <c r="N92" s="66"/>
      <c r="O92" s="66"/>
      <c r="P92" s="66"/>
      <c r="Q92" s="66"/>
      <c r="R92" s="66"/>
      <c r="S92" s="66"/>
    </row>
    <row r="93" spans="1:19" ht="16.5" customHeight="1">
      <c r="A93" s="77" t="s">
        <v>432</v>
      </c>
      <c r="B93" s="78" t="s">
        <v>433</v>
      </c>
      <c r="C93" s="74" t="s">
        <v>136</v>
      </c>
      <c r="D93" s="75"/>
      <c r="E93" s="79" t="s">
        <v>311</v>
      </c>
      <c r="F93" s="76">
        <v>0.38</v>
      </c>
      <c r="G93" s="79">
        <v>178615</v>
      </c>
      <c r="H93" s="63">
        <f t="shared" si="3"/>
        <v>67873.7</v>
      </c>
      <c r="I93" s="63">
        <f t="shared" si="4"/>
        <v>0</v>
      </c>
      <c r="J93" s="60"/>
      <c r="K93" s="60"/>
      <c r="L93" s="64"/>
      <c r="M93" s="65"/>
      <c r="N93" s="66"/>
      <c r="O93" s="66"/>
      <c r="P93" s="66"/>
      <c r="Q93" s="66"/>
      <c r="R93" s="66"/>
      <c r="S93" s="66"/>
    </row>
    <row r="94" spans="1:19" ht="16.5" customHeight="1">
      <c r="A94" s="77" t="s">
        <v>434</v>
      </c>
      <c r="B94" s="78" t="s">
        <v>435</v>
      </c>
      <c r="C94" s="81" t="s">
        <v>136</v>
      </c>
      <c r="D94" s="75"/>
      <c r="E94" s="79" t="s">
        <v>311</v>
      </c>
      <c r="F94" s="76">
        <v>0.68100000000000005</v>
      </c>
      <c r="G94" s="79">
        <v>178615</v>
      </c>
      <c r="H94" s="63">
        <f t="shared" si="3"/>
        <v>121636.815</v>
      </c>
      <c r="I94" s="63">
        <f t="shared" si="4"/>
        <v>0</v>
      </c>
      <c r="J94" s="60"/>
      <c r="K94" s="60"/>
      <c r="L94" s="64"/>
      <c r="M94" s="65"/>
      <c r="N94" s="66"/>
      <c r="O94" s="66"/>
      <c r="P94" s="66"/>
      <c r="Q94" s="66"/>
      <c r="R94" s="66"/>
      <c r="S94" s="66"/>
    </row>
    <row r="95" spans="1:19" ht="16.5" customHeight="1">
      <c r="A95" s="77" t="s">
        <v>436</v>
      </c>
      <c r="B95" s="78" t="s">
        <v>437</v>
      </c>
      <c r="C95" s="81" t="s">
        <v>136</v>
      </c>
      <c r="D95" s="75"/>
      <c r="E95" s="79" t="s">
        <v>311</v>
      </c>
      <c r="F95" s="76">
        <v>1.9169999999999998</v>
      </c>
      <c r="G95" s="79">
        <v>178615</v>
      </c>
      <c r="H95" s="63">
        <f t="shared" si="3"/>
        <v>342404.95499999996</v>
      </c>
      <c r="I95" s="63">
        <f t="shared" si="4"/>
        <v>0</v>
      </c>
      <c r="J95" s="60"/>
      <c r="K95" s="60"/>
      <c r="L95" s="64"/>
      <c r="M95" s="65"/>
      <c r="N95" s="66"/>
      <c r="O95" s="66"/>
      <c r="P95" s="66"/>
      <c r="Q95" s="66"/>
      <c r="R95" s="66"/>
      <c r="S95" s="66"/>
    </row>
    <row r="96" spans="1:19" ht="16.5" customHeight="1">
      <c r="A96" s="77" t="s">
        <v>438</v>
      </c>
      <c r="B96" s="78" t="s">
        <v>439</v>
      </c>
      <c r="C96" s="81" t="s">
        <v>136</v>
      </c>
      <c r="D96" s="75"/>
      <c r="E96" s="79" t="s">
        <v>311</v>
      </c>
      <c r="F96" s="76">
        <v>3.1549999999999998</v>
      </c>
      <c r="G96" s="79">
        <v>178615</v>
      </c>
      <c r="H96" s="63">
        <f t="shared" si="3"/>
        <v>563530.32499999995</v>
      </c>
      <c r="I96" s="63">
        <f t="shared" si="4"/>
        <v>0</v>
      </c>
      <c r="J96" s="60"/>
      <c r="K96" s="60"/>
      <c r="L96" s="64"/>
      <c r="M96" s="65"/>
      <c r="N96" s="66"/>
      <c r="O96" s="66"/>
      <c r="P96" s="66"/>
      <c r="Q96" s="66"/>
      <c r="R96" s="66"/>
      <c r="S96" s="66"/>
    </row>
    <row r="97" spans="1:19" ht="16.5" customHeight="1">
      <c r="A97" s="77" t="s">
        <v>440</v>
      </c>
      <c r="B97" s="78" t="s">
        <v>441</v>
      </c>
      <c r="C97" s="81" t="s">
        <v>136</v>
      </c>
      <c r="D97" s="75"/>
      <c r="E97" s="79" t="s">
        <v>311</v>
      </c>
      <c r="F97" s="76">
        <v>6.25</v>
      </c>
      <c r="G97" s="79">
        <v>178615</v>
      </c>
      <c r="H97" s="63">
        <f t="shared" si="3"/>
        <v>1116343.75</v>
      </c>
      <c r="I97" s="63">
        <f t="shared" si="4"/>
        <v>0</v>
      </c>
      <c r="J97" s="60"/>
      <c r="K97" s="60"/>
      <c r="L97" s="64"/>
      <c r="M97" s="65"/>
      <c r="N97" s="66"/>
      <c r="O97" s="66"/>
      <c r="P97" s="66"/>
      <c r="Q97" s="66"/>
      <c r="R97" s="66"/>
      <c r="S97" s="66"/>
    </row>
    <row r="98" spans="1:19" ht="16.5" customHeight="1">
      <c r="A98" s="77" t="s">
        <v>442</v>
      </c>
      <c r="B98" s="78" t="s">
        <v>443</v>
      </c>
      <c r="C98" s="74" t="s">
        <v>136</v>
      </c>
      <c r="D98" s="75"/>
      <c r="E98" s="79" t="s">
        <v>311</v>
      </c>
      <c r="F98" s="76">
        <v>0.45</v>
      </c>
      <c r="G98" s="79">
        <v>178615</v>
      </c>
      <c r="H98" s="63">
        <f t="shared" si="3"/>
        <v>80376.75</v>
      </c>
      <c r="I98" s="63">
        <f t="shared" si="4"/>
        <v>0</v>
      </c>
      <c r="J98" s="60"/>
      <c r="K98" s="60"/>
      <c r="L98" s="64"/>
      <c r="M98" s="65"/>
      <c r="N98" s="66"/>
      <c r="O98" s="66"/>
      <c r="P98" s="66"/>
      <c r="Q98" s="66"/>
      <c r="R98" s="66"/>
      <c r="S98" s="66"/>
    </row>
    <row r="99" spans="1:19" ht="16.5" customHeight="1">
      <c r="A99" s="77" t="s">
        <v>444</v>
      </c>
      <c r="B99" s="78" t="s">
        <v>445</v>
      </c>
      <c r="C99" s="81" t="s">
        <v>136</v>
      </c>
      <c r="D99" s="75"/>
      <c r="E99" s="79" t="s">
        <v>311</v>
      </c>
      <c r="F99" s="76">
        <v>0.81700000000000006</v>
      </c>
      <c r="G99" s="79">
        <v>178615</v>
      </c>
      <c r="H99" s="63">
        <f t="shared" si="3"/>
        <v>145928.45500000002</v>
      </c>
      <c r="I99" s="63">
        <f t="shared" si="4"/>
        <v>0</v>
      </c>
      <c r="J99" s="60"/>
      <c r="K99" s="60"/>
      <c r="L99" s="64"/>
      <c r="M99" s="65"/>
      <c r="N99" s="66"/>
      <c r="O99" s="66"/>
      <c r="P99" s="66"/>
      <c r="Q99" s="66"/>
      <c r="R99" s="66"/>
      <c r="S99" s="66"/>
    </row>
    <row r="100" spans="1:19" ht="16.5" customHeight="1">
      <c r="A100" s="77" t="s">
        <v>446</v>
      </c>
      <c r="B100" s="78" t="s">
        <v>447</v>
      </c>
      <c r="C100" s="81" t="s">
        <v>136</v>
      </c>
      <c r="D100" s="75"/>
      <c r="E100" s="79" t="s">
        <v>311</v>
      </c>
      <c r="F100" s="76">
        <v>2.3009999999999997</v>
      </c>
      <c r="G100" s="79">
        <v>178615</v>
      </c>
      <c r="H100" s="63">
        <f t="shared" si="3"/>
        <v>410993.11499999993</v>
      </c>
      <c r="I100" s="63">
        <f t="shared" si="4"/>
        <v>0</v>
      </c>
      <c r="J100" s="60"/>
      <c r="K100" s="60"/>
      <c r="L100" s="64"/>
      <c r="M100" s="65"/>
      <c r="N100" s="66"/>
      <c r="O100" s="66"/>
      <c r="P100" s="66"/>
      <c r="Q100" s="66"/>
      <c r="R100" s="66"/>
      <c r="S100" s="66"/>
    </row>
    <row r="101" spans="1:19" ht="16.5" customHeight="1">
      <c r="A101" s="77" t="s">
        <v>448</v>
      </c>
      <c r="B101" s="78" t="s">
        <v>449</v>
      </c>
      <c r="C101" s="81" t="s">
        <v>136</v>
      </c>
      <c r="D101" s="75"/>
      <c r="E101" s="79" t="s">
        <v>311</v>
      </c>
      <c r="F101" s="76">
        <v>3.7850000000000001</v>
      </c>
      <c r="G101" s="79">
        <v>178615</v>
      </c>
      <c r="H101" s="63">
        <f t="shared" si="3"/>
        <v>676057.77500000002</v>
      </c>
      <c r="I101" s="63">
        <f t="shared" si="4"/>
        <v>0</v>
      </c>
      <c r="J101" s="60"/>
      <c r="K101" s="60"/>
      <c r="L101" s="64"/>
      <c r="M101" s="65"/>
      <c r="N101" s="66"/>
      <c r="O101" s="66"/>
      <c r="P101" s="66"/>
      <c r="Q101" s="66"/>
      <c r="R101" s="66"/>
      <c r="S101" s="66"/>
    </row>
    <row r="102" spans="1:19" ht="16.5" customHeight="1">
      <c r="A102" s="77" t="s">
        <v>450</v>
      </c>
      <c r="B102" s="78" t="s">
        <v>451</v>
      </c>
      <c r="C102" s="81" t="s">
        <v>136</v>
      </c>
      <c r="D102" s="75"/>
      <c r="E102" s="79" t="s">
        <v>311</v>
      </c>
      <c r="F102" s="76">
        <v>7.5</v>
      </c>
      <c r="G102" s="79">
        <v>178615</v>
      </c>
      <c r="H102" s="63">
        <f t="shared" si="3"/>
        <v>1339612.5</v>
      </c>
      <c r="I102" s="63">
        <f t="shared" si="4"/>
        <v>0</v>
      </c>
      <c r="J102" s="60"/>
      <c r="K102" s="60"/>
      <c r="L102" s="64"/>
      <c r="M102" s="65"/>
      <c r="N102" s="66"/>
      <c r="O102" s="66"/>
      <c r="P102" s="66"/>
      <c r="Q102" s="66"/>
      <c r="R102" s="66"/>
      <c r="S102" s="66"/>
    </row>
    <row r="103" spans="1:19" ht="16.5" customHeight="1">
      <c r="A103" s="77"/>
      <c r="B103" s="78" t="s">
        <v>452</v>
      </c>
      <c r="C103" s="74" t="s">
        <v>453</v>
      </c>
      <c r="D103" s="75"/>
      <c r="E103" s="79" t="s">
        <v>311</v>
      </c>
      <c r="F103" s="76">
        <v>0.45</v>
      </c>
      <c r="G103" s="79">
        <v>178615</v>
      </c>
      <c r="H103" s="63">
        <f>+G103*F103</f>
        <v>80376.75</v>
      </c>
      <c r="I103" s="63">
        <f t="shared" si="4"/>
        <v>0</v>
      </c>
      <c r="J103" s="60"/>
      <c r="K103" s="60"/>
      <c r="L103" s="64"/>
      <c r="M103" s="65"/>
      <c r="N103" s="66"/>
      <c r="O103" s="66"/>
      <c r="P103" s="66"/>
      <c r="Q103" s="66"/>
      <c r="R103" s="66"/>
      <c r="S103" s="66"/>
    </row>
    <row r="104" spans="1:19" ht="16.5" customHeight="1">
      <c r="A104" s="77"/>
      <c r="B104" s="78" t="s">
        <v>454</v>
      </c>
      <c r="C104" s="81" t="s">
        <v>453</v>
      </c>
      <c r="D104" s="75"/>
      <c r="E104" s="79" t="s">
        <v>311</v>
      </c>
      <c r="F104" s="76">
        <v>0.69600000000000006</v>
      </c>
      <c r="G104" s="79">
        <v>178615</v>
      </c>
      <c r="H104" s="63">
        <f t="shared" ref="H104:H167" si="5">+G104*F104</f>
        <v>124316.04000000001</v>
      </c>
      <c r="I104" s="63">
        <f t="shared" si="4"/>
        <v>0</v>
      </c>
      <c r="J104" s="60"/>
      <c r="K104" s="60"/>
      <c r="L104" s="64"/>
      <c r="M104" s="65"/>
      <c r="N104" s="66"/>
      <c r="O104" s="66"/>
      <c r="P104" s="66"/>
      <c r="Q104" s="66"/>
      <c r="R104" s="66"/>
      <c r="S104" s="66"/>
    </row>
    <row r="105" spans="1:19" ht="16.5" customHeight="1">
      <c r="A105" s="77"/>
      <c r="B105" s="78" t="s">
        <v>455</v>
      </c>
      <c r="C105" s="81" t="s">
        <v>453</v>
      </c>
      <c r="D105" s="75"/>
      <c r="E105" s="79" t="s">
        <v>311</v>
      </c>
      <c r="F105" s="76">
        <v>1.587</v>
      </c>
      <c r="G105" s="79">
        <v>178615</v>
      </c>
      <c r="H105" s="63">
        <f t="shared" si="5"/>
        <v>283462.005</v>
      </c>
      <c r="I105" s="63">
        <f t="shared" si="4"/>
        <v>0</v>
      </c>
      <c r="J105" s="60"/>
      <c r="K105" s="60"/>
      <c r="L105" s="64"/>
      <c r="M105" s="65"/>
      <c r="N105" s="66"/>
      <c r="O105" s="66"/>
      <c r="P105" s="66"/>
      <c r="Q105" s="66"/>
      <c r="R105" s="66"/>
      <c r="S105" s="66"/>
    </row>
    <row r="106" spans="1:19" ht="16.5" customHeight="1">
      <c r="A106" s="77"/>
      <c r="B106" s="78" t="s">
        <v>456</v>
      </c>
      <c r="C106" s="81" t="s">
        <v>453</v>
      </c>
      <c r="D106" s="75"/>
      <c r="E106" s="79" t="s">
        <v>311</v>
      </c>
      <c r="F106" s="76">
        <v>2.5750000000000002</v>
      </c>
      <c r="G106" s="79">
        <v>178615</v>
      </c>
      <c r="H106" s="63">
        <f t="shared" si="5"/>
        <v>459933.62500000006</v>
      </c>
      <c r="I106" s="63">
        <f t="shared" si="4"/>
        <v>0</v>
      </c>
      <c r="J106" s="60"/>
      <c r="K106" s="60"/>
      <c r="L106" s="64"/>
      <c r="M106" s="65"/>
      <c r="N106" s="66"/>
      <c r="O106" s="66"/>
      <c r="P106" s="66"/>
      <c r="Q106" s="66"/>
      <c r="R106" s="66"/>
      <c r="S106" s="66"/>
    </row>
    <row r="107" spans="1:19" ht="16.5" customHeight="1">
      <c r="A107" s="77"/>
      <c r="B107" s="78" t="s">
        <v>457</v>
      </c>
      <c r="C107" s="81" t="s">
        <v>453</v>
      </c>
      <c r="D107" s="75"/>
      <c r="E107" s="79" t="s">
        <v>311</v>
      </c>
      <c r="F107" s="76">
        <v>5.05</v>
      </c>
      <c r="G107" s="79">
        <v>178615</v>
      </c>
      <c r="H107" s="63">
        <f t="shared" si="5"/>
        <v>902005.75</v>
      </c>
      <c r="I107" s="63">
        <f t="shared" si="4"/>
        <v>0</v>
      </c>
      <c r="J107" s="60"/>
      <c r="K107" s="60"/>
      <c r="L107" s="64"/>
      <c r="M107" s="65"/>
      <c r="N107" s="66"/>
      <c r="O107" s="66"/>
      <c r="P107" s="66"/>
      <c r="Q107" s="66"/>
      <c r="R107" s="66"/>
      <c r="S107" s="66"/>
    </row>
    <row r="108" spans="1:19" ht="16.5" customHeight="1">
      <c r="A108" s="77"/>
      <c r="B108" s="78" t="s">
        <v>458</v>
      </c>
      <c r="C108" s="74" t="s">
        <v>459</v>
      </c>
      <c r="D108" s="75"/>
      <c r="E108" s="79" t="s">
        <v>311</v>
      </c>
      <c r="F108" s="76">
        <v>0.23</v>
      </c>
      <c r="G108" s="79">
        <v>178615</v>
      </c>
      <c r="H108" s="63">
        <f t="shared" si="5"/>
        <v>41081.450000000004</v>
      </c>
      <c r="I108" s="63">
        <f t="shared" si="4"/>
        <v>0</v>
      </c>
      <c r="J108" s="60"/>
      <c r="K108" s="60"/>
      <c r="L108" s="64"/>
      <c r="M108" s="65"/>
      <c r="N108" s="66"/>
      <c r="O108" s="66"/>
      <c r="P108" s="66"/>
      <c r="Q108" s="66"/>
      <c r="R108" s="66"/>
      <c r="S108" s="66"/>
    </row>
    <row r="109" spans="1:19" ht="16.5" customHeight="1">
      <c r="A109" s="77"/>
      <c r="B109" s="78" t="s">
        <v>460</v>
      </c>
      <c r="C109" s="81" t="s">
        <v>459</v>
      </c>
      <c r="D109" s="75"/>
      <c r="E109" s="79" t="s">
        <v>311</v>
      </c>
      <c r="F109" s="76">
        <v>0.122</v>
      </c>
      <c r="G109" s="79">
        <v>178615</v>
      </c>
      <c r="H109" s="63">
        <f t="shared" si="5"/>
        <v>21791.03</v>
      </c>
      <c r="I109" s="63">
        <f t="shared" si="4"/>
        <v>0</v>
      </c>
      <c r="J109" s="60"/>
      <c r="K109" s="60"/>
      <c r="L109" s="64"/>
      <c r="M109" s="65"/>
      <c r="N109" s="66"/>
      <c r="O109" s="66"/>
      <c r="P109" s="66"/>
      <c r="Q109" s="66"/>
      <c r="R109" s="66"/>
      <c r="S109" s="66"/>
    </row>
    <row r="110" spans="1:19" ht="16.5" customHeight="1">
      <c r="A110" s="77"/>
      <c r="B110" s="78" t="s">
        <v>461</v>
      </c>
      <c r="C110" s="81" t="s">
        <v>459</v>
      </c>
      <c r="D110" s="75"/>
      <c r="E110" s="79" t="s">
        <v>311</v>
      </c>
      <c r="F110" s="76">
        <v>0.34499999999999997</v>
      </c>
      <c r="G110" s="79">
        <v>178615</v>
      </c>
      <c r="H110" s="63">
        <f t="shared" si="5"/>
        <v>61622.174999999996</v>
      </c>
      <c r="I110" s="63">
        <f t="shared" si="4"/>
        <v>0</v>
      </c>
      <c r="J110" s="60"/>
      <c r="K110" s="60"/>
      <c r="L110" s="64"/>
      <c r="M110" s="65"/>
      <c r="N110" s="66"/>
      <c r="O110" s="66"/>
      <c r="P110" s="66"/>
      <c r="Q110" s="66"/>
      <c r="R110" s="66"/>
      <c r="S110" s="66"/>
    </row>
    <row r="111" spans="1:19" ht="16.5" customHeight="1">
      <c r="A111" s="77"/>
      <c r="B111" s="78" t="s">
        <v>462</v>
      </c>
      <c r="C111" s="81" t="s">
        <v>459</v>
      </c>
      <c r="D111" s="75"/>
      <c r="E111" s="79" t="s">
        <v>311</v>
      </c>
      <c r="F111" s="76">
        <v>0.56999999999999995</v>
      </c>
      <c r="G111" s="79">
        <v>178615</v>
      </c>
      <c r="H111" s="63">
        <f t="shared" si="5"/>
        <v>101810.54999999999</v>
      </c>
      <c r="I111" s="63">
        <f t="shared" si="4"/>
        <v>0</v>
      </c>
      <c r="J111" s="60"/>
      <c r="K111" s="60"/>
      <c r="L111" s="64"/>
      <c r="M111" s="65"/>
      <c r="N111" s="66"/>
      <c r="O111" s="66"/>
      <c r="P111" s="66"/>
      <c r="Q111" s="66"/>
      <c r="R111" s="66"/>
      <c r="S111" s="66"/>
    </row>
    <row r="112" spans="1:19" ht="16.5" customHeight="1">
      <c r="A112" s="77"/>
      <c r="B112" s="78" t="s">
        <v>463</v>
      </c>
      <c r="C112" s="81" t="s">
        <v>459</v>
      </c>
      <c r="D112" s="75"/>
      <c r="E112" s="79" t="s">
        <v>311</v>
      </c>
      <c r="F112" s="76">
        <v>1.1299999999999999</v>
      </c>
      <c r="G112" s="79">
        <v>178615</v>
      </c>
      <c r="H112" s="63">
        <f t="shared" si="5"/>
        <v>201834.94999999998</v>
      </c>
      <c r="I112" s="63">
        <f t="shared" si="4"/>
        <v>0</v>
      </c>
      <c r="J112" s="60"/>
      <c r="K112" s="60"/>
      <c r="L112" s="64"/>
      <c r="M112" s="65"/>
      <c r="N112" s="66"/>
      <c r="O112" s="66"/>
      <c r="P112" s="66"/>
      <c r="Q112" s="66"/>
      <c r="R112" s="66"/>
      <c r="S112" s="66"/>
    </row>
    <row r="113" spans="1:19" ht="16.5" customHeight="1">
      <c r="A113" s="77"/>
      <c r="B113" s="78" t="s">
        <v>464</v>
      </c>
      <c r="C113" s="74" t="s">
        <v>465</v>
      </c>
      <c r="D113" s="75"/>
      <c r="E113" s="79" t="s">
        <v>311</v>
      </c>
      <c r="F113" s="76">
        <v>0.62</v>
      </c>
      <c r="G113" s="79">
        <v>178615</v>
      </c>
      <c r="H113" s="63">
        <f t="shared" si="5"/>
        <v>110741.3</v>
      </c>
      <c r="I113" s="63">
        <f t="shared" si="4"/>
        <v>0</v>
      </c>
      <c r="J113" s="60"/>
      <c r="K113" s="60"/>
      <c r="L113" s="64"/>
      <c r="M113" s="65"/>
      <c r="N113" s="66"/>
      <c r="O113" s="66"/>
      <c r="P113" s="66"/>
      <c r="Q113" s="66"/>
      <c r="R113" s="66"/>
      <c r="S113" s="66"/>
    </row>
    <row r="114" spans="1:19" ht="16.5" customHeight="1">
      <c r="A114" s="77"/>
      <c r="B114" s="78" t="s">
        <v>466</v>
      </c>
      <c r="C114" s="81" t="s">
        <v>465</v>
      </c>
      <c r="D114" s="75"/>
      <c r="E114" s="79" t="s">
        <v>311</v>
      </c>
      <c r="F114" s="76">
        <v>0.99800000000000011</v>
      </c>
      <c r="G114" s="79">
        <v>178615</v>
      </c>
      <c r="H114" s="63">
        <f t="shared" si="5"/>
        <v>178257.77000000002</v>
      </c>
      <c r="I114" s="63">
        <f t="shared" si="4"/>
        <v>0</v>
      </c>
      <c r="J114" s="60"/>
      <c r="K114" s="60"/>
      <c r="L114" s="64"/>
      <c r="M114" s="65"/>
      <c r="N114" s="66"/>
      <c r="O114" s="66"/>
      <c r="P114" s="66"/>
      <c r="Q114" s="66"/>
      <c r="R114" s="66"/>
      <c r="S114" s="66"/>
    </row>
    <row r="115" spans="1:19" ht="16.5" customHeight="1">
      <c r="A115" s="77"/>
      <c r="B115" s="78" t="s">
        <v>467</v>
      </c>
      <c r="C115" s="81" t="s">
        <v>465</v>
      </c>
      <c r="D115" s="75"/>
      <c r="E115" s="79" t="s">
        <v>311</v>
      </c>
      <c r="F115" s="76">
        <v>2.5350000000000001</v>
      </c>
      <c r="G115" s="79">
        <v>178615</v>
      </c>
      <c r="H115" s="63">
        <f t="shared" si="5"/>
        <v>452789.02500000002</v>
      </c>
      <c r="I115" s="63">
        <f t="shared" si="4"/>
        <v>0</v>
      </c>
      <c r="J115" s="60"/>
      <c r="K115" s="60"/>
      <c r="L115" s="64"/>
      <c r="M115" s="65"/>
      <c r="N115" s="66"/>
      <c r="O115" s="66"/>
      <c r="P115" s="66"/>
      <c r="Q115" s="66"/>
      <c r="R115" s="66"/>
      <c r="S115" s="66"/>
    </row>
    <row r="116" spans="1:19" ht="16.5" customHeight="1">
      <c r="A116" s="77"/>
      <c r="B116" s="78" t="s">
        <v>468</v>
      </c>
      <c r="C116" s="81" t="s">
        <v>465</v>
      </c>
      <c r="D116" s="75"/>
      <c r="E116" s="79" t="s">
        <v>311</v>
      </c>
      <c r="F116" s="76">
        <v>4.17</v>
      </c>
      <c r="G116" s="79">
        <v>178615</v>
      </c>
      <c r="H116" s="63">
        <f t="shared" si="5"/>
        <v>744824.54999999993</v>
      </c>
      <c r="I116" s="63">
        <f t="shared" si="4"/>
        <v>0</v>
      </c>
      <c r="J116" s="60"/>
      <c r="K116" s="60"/>
      <c r="L116" s="64"/>
      <c r="M116" s="65"/>
      <c r="N116" s="66"/>
      <c r="O116" s="66"/>
      <c r="P116" s="66"/>
      <c r="Q116" s="66"/>
      <c r="R116" s="66"/>
      <c r="S116" s="66"/>
    </row>
    <row r="117" spans="1:19" ht="16.5" customHeight="1">
      <c r="A117" s="77"/>
      <c r="B117" s="78" t="s">
        <v>469</v>
      </c>
      <c r="C117" s="81" t="s">
        <v>465</v>
      </c>
      <c r="D117" s="75"/>
      <c r="E117" s="79" t="s">
        <v>311</v>
      </c>
      <c r="F117" s="76">
        <v>8.25</v>
      </c>
      <c r="G117" s="79">
        <v>178615</v>
      </c>
      <c r="H117" s="63">
        <f t="shared" si="5"/>
        <v>1473573.75</v>
      </c>
      <c r="I117" s="63">
        <f t="shared" si="4"/>
        <v>0</v>
      </c>
      <c r="J117" s="60"/>
      <c r="K117" s="60"/>
      <c r="L117" s="64"/>
      <c r="M117" s="65"/>
      <c r="N117" s="66"/>
      <c r="O117" s="66"/>
      <c r="P117" s="66"/>
      <c r="Q117" s="66"/>
      <c r="R117" s="66"/>
      <c r="S117" s="66"/>
    </row>
    <row r="118" spans="1:19" ht="16.5" customHeight="1">
      <c r="A118" s="77" t="s">
        <v>240</v>
      </c>
      <c r="B118" s="78" t="s">
        <v>241</v>
      </c>
      <c r="C118" s="74" t="s">
        <v>136</v>
      </c>
      <c r="D118" s="75"/>
      <c r="E118" s="79" t="s">
        <v>311</v>
      </c>
      <c r="F118" s="76">
        <v>0.42</v>
      </c>
      <c r="G118" s="79">
        <v>178615</v>
      </c>
      <c r="H118" s="63">
        <f t="shared" si="5"/>
        <v>75018.3</v>
      </c>
      <c r="I118" s="63">
        <f t="shared" si="4"/>
        <v>0</v>
      </c>
      <c r="J118" s="60"/>
      <c r="K118" s="60"/>
      <c r="L118" s="64"/>
      <c r="M118" s="65"/>
      <c r="N118" s="66"/>
      <c r="O118" s="66"/>
      <c r="P118" s="66"/>
      <c r="Q118" s="66"/>
      <c r="R118" s="66"/>
      <c r="S118" s="66"/>
    </row>
    <row r="119" spans="1:19" ht="16.5" customHeight="1">
      <c r="A119" s="77" t="s">
        <v>238</v>
      </c>
      <c r="B119" s="78" t="s">
        <v>239</v>
      </c>
      <c r="C119" s="81" t="s">
        <v>136</v>
      </c>
      <c r="D119" s="75"/>
      <c r="E119" s="79" t="s">
        <v>311</v>
      </c>
      <c r="F119" s="76">
        <v>0.67400000000000004</v>
      </c>
      <c r="G119" s="79">
        <v>178615</v>
      </c>
      <c r="H119" s="63">
        <f t="shared" si="5"/>
        <v>120386.51000000001</v>
      </c>
      <c r="I119" s="63">
        <f t="shared" si="4"/>
        <v>0</v>
      </c>
      <c r="J119" s="60"/>
      <c r="K119" s="60"/>
      <c r="L119" s="64"/>
      <c r="M119" s="65"/>
      <c r="N119" s="66"/>
      <c r="O119" s="66"/>
      <c r="P119" s="66"/>
      <c r="Q119" s="66"/>
      <c r="R119" s="66"/>
      <c r="S119" s="66"/>
    </row>
    <row r="120" spans="1:19" ht="16.5" customHeight="1">
      <c r="A120" s="77" t="s">
        <v>470</v>
      </c>
      <c r="B120" s="78" t="s">
        <v>471</v>
      </c>
      <c r="C120" s="81" t="s">
        <v>136</v>
      </c>
      <c r="D120" s="75"/>
      <c r="E120" s="79" t="s">
        <v>311</v>
      </c>
      <c r="F120" s="76">
        <v>1.899</v>
      </c>
      <c r="G120" s="79">
        <v>178615</v>
      </c>
      <c r="H120" s="63">
        <f t="shared" si="5"/>
        <v>339189.88500000001</v>
      </c>
      <c r="I120" s="63">
        <f t="shared" si="4"/>
        <v>0</v>
      </c>
      <c r="J120" s="60"/>
      <c r="K120" s="60"/>
      <c r="L120" s="64"/>
      <c r="M120" s="65"/>
      <c r="N120" s="66"/>
      <c r="O120" s="66"/>
      <c r="P120" s="66"/>
      <c r="Q120" s="66"/>
      <c r="R120" s="66"/>
      <c r="S120" s="66"/>
    </row>
    <row r="121" spans="1:19" ht="16.5" customHeight="1">
      <c r="A121" s="77" t="s">
        <v>472</v>
      </c>
      <c r="B121" s="78" t="s">
        <v>473</v>
      </c>
      <c r="C121" s="81" t="s">
        <v>136</v>
      </c>
      <c r="D121" s="75"/>
      <c r="E121" s="79" t="s">
        <v>311</v>
      </c>
      <c r="F121" s="76">
        <v>3.125</v>
      </c>
      <c r="G121" s="79">
        <v>178615</v>
      </c>
      <c r="H121" s="63">
        <f t="shared" si="5"/>
        <v>558171.875</v>
      </c>
      <c r="I121" s="63">
        <f t="shared" si="4"/>
        <v>0</v>
      </c>
      <c r="J121" s="60"/>
      <c r="K121" s="60"/>
      <c r="L121" s="64"/>
      <c r="M121" s="65"/>
      <c r="N121" s="66"/>
      <c r="O121" s="66"/>
      <c r="P121" s="66"/>
      <c r="Q121" s="66"/>
      <c r="R121" s="66"/>
      <c r="S121" s="66"/>
    </row>
    <row r="122" spans="1:19" ht="16.5" customHeight="1">
      <c r="A122" s="77" t="s">
        <v>474</v>
      </c>
      <c r="B122" s="78" t="s">
        <v>475</v>
      </c>
      <c r="C122" s="81" t="s">
        <v>136</v>
      </c>
      <c r="D122" s="75"/>
      <c r="E122" s="79" t="s">
        <v>311</v>
      </c>
      <c r="F122" s="76">
        <v>6.18</v>
      </c>
      <c r="G122" s="79">
        <v>178615</v>
      </c>
      <c r="H122" s="63">
        <f t="shared" si="5"/>
        <v>1103840.7</v>
      </c>
      <c r="I122" s="63">
        <f t="shared" si="4"/>
        <v>0</v>
      </c>
      <c r="J122" s="60"/>
      <c r="K122" s="60"/>
      <c r="L122" s="64"/>
      <c r="M122" s="65"/>
      <c r="N122" s="66"/>
      <c r="O122" s="66"/>
      <c r="P122" s="66"/>
      <c r="Q122" s="66"/>
      <c r="R122" s="66"/>
      <c r="S122" s="66"/>
    </row>
    <row r="123" spans="1:19" ht="16.5" customHeight="1">
      <c r="A123" s="77" t="s">
        <v>245</v>
      </c>
      <c r="B123" s="78" t="s">
        <v>246</v>
      </c>
      <c r="C123" s="74" t="s">
        <v>136</v>
      </c>
      <c r="D123" s="75"/>
      <c r="E123" s="79" t="s">
        <v>311</v>
      </c>
      <c r="F123" s="76">
        <v>0.83</v>
      </c>
      <c r="G123" s="79">
        <v>178615</v>
      </c>
      <c r="H123" s="63">
        <f t="shared" si="5"/>
        <v>148250.44999999998</v>
      </c>
      <c r="I123" s="63">
        <f t="shared" si="4"/>
        <v>0</v>
      </c>
      <c r="J123" s="60"/>
      <c r="K123" s="60"/>
      <c r="L123" s="64"/>
      <c r="M123" s="65"/>
      <c r="N123" s="66"/>
      <c r="O123" s="66"/>
      <c r="P123" s="66"/>
      <c r="Q123" s="66"/>
      <c r="R123" s="66"/>
      <c r="S123" s="66"/>
    </row>
    <row r="124" spans="1:19" ht="16.5" customHeight="1">
      <c r="A124" s="77" t="s">
        <v>247</v>
      </c>
      <c r="B124" s="78" t="s">
        <v>248</v>
      </c>
      <c r="C124" s="81" t="s">
        <v>136</v>
      </c>
      <c r="D124" s="75"/>
      <c r="E124" s="79" t="s">
        <v>311</v>
      </c>
      <c r="F124" s="76">
        <v>0.88500000000000001</v>
      </c>
      <c r="G124" s="79">
        <v>178615</v>
      </c>
      <c r="H124" s="63">
        <f t="shared" si="5"/>
        <v>158074.27499999999</v>
      </c>
      <c r="I124" s="63">
        <f t="shared" si="4"/>
        <v>0</v>
      </c>
      <c r="J124" s="60"/>
      <c r="K124" s="60"/>
      <c r="L124" s="64"/>
      <c r="M124" s="65"/>
      <c r="N124" s="66"/>
      <c r="O124" s="66"/>
      <c r="P124" s="66"/>
      <c r="Q124" s="66"/>
      <c r="R124" s="66"/>
      <c r="S124" s="66"/>
    </row>
    <row r="125" spans="1:19" ht="16.5" customHeight="1">
      <c r="A125" s="77" t="s">
        <v>476</v>
      </c>
      <c r="B125" s="78" t="s">
        <v>477</v>
      </c>
      <c r="C125" s="81" t="s">
        <v>136</v>
      </c>
      <c r="D125" s="75"/>
      <c r="E125" s="79" t="s">
        <v>311</v>
      </c>
      <c r="F125" s="76">
        <v>2.4929999999999999</v>
      </c>
      <c r="G125" s="79">
        <v>178615</v>
      </c>
      <c r="H125" s="63">
        <f t="shared" si="5"/>
        <v>445287.19500000001</v>
      </c>
      <c r="I125" s="63">
        <f t="shared" si="4"/>
        <v>0</v>
      </c>
      <c r="J125" s="60"/>
      <c r="K125" s="60"/>
      <c r="L125" s="64"/>
      <c r="M125" s="65"/>
      <c r="N125" s="66"/>
      <c r="O125" s="66"/>
      <c r="P125" s="66"/>
      <c r="Q125" s="66"/>
      <c r="R125" s="66"/>
      <c r="S125" s="66"/>
    </row>
    <row r="126" spans="1:19" ht="16.5" customHeight="1">
      <c r="A126" s="77" t="s">
        <v>478</v>
      </c>
      <c r="B126" s="78" t="s">
        <v>479</v>
      </c>
      <c r="C126" s="81" t="s">
        <v>136</v>
      </c>
      <c r="D126" s="75"/>
      <c r="E126" s="79" t="s">
        <v>311</v>
      </c>
      <c r="F126" s="76">
        <v>4.0999999999999996</v>
      </c>
      <c r="G126" s="79">
        <v>178615</v>
      </c>
      <c r="H126" s="63">
        <f t="shared" si="5"/>
        <v>732321.49999999988</v>
      </c>
      <c r="I126" s="63">
        <f t="shared" si="4"/>
        <v>0</v>
      </c>
      <c r="J126" s="60"/>
      <c r="K126" s="60"/>
      <c r="L126" s="64"/>
      <c r="M126" s="65"/>
      <c r="N126" s="66"/>
      <c r="O126" s="66"/>
      <c r="P126" s="66"/>
      <c r="Q126" s="66"/>
      <c r="R126" s="66"/>
      <c r="S126" s="66"/>
    </row>
    <row r="127" spans="1:19" ht="16.5" customHeight="1">
      <c r="A127" s="77" t="s">
        <v>480</v>
      </c>
      <c r="B127" s="78" t="s">
        <v>481</v>
      </c>
      <c r="C127" s="81" t="s">
        <v>136</v>
      </c>
      <c r="D127" s="75"/>
      <c r="E127" s="79" t="s">
        <v>311</v>
      </c>
      <c r="F127" s="76">
        <v>8.1199999999999992</v>
      </c>
      <c r="G127" s="79">
        <v>178615</v>
      </c>
      <c r="H127" s="63">
        <f t="shared" si="5"/>
        <v>1450353.7999999998</v>
      </c>
      <c r="I127" s="63">
        <f t="shared" si="4"/>
        <v>0</v>
      </c>
      <c r="J127" s="60"/>
      <c r="K127" s="60"/>
      <c r="L127" s="64"/>
      <c r="M127" s="65"/>
      <c r="N127" s="66"/>
      <c r="O127" s="66"/>
      <c r="P127" s="66"/>
      <c r="Q127" s="66"/>
      <c r="R127" s="66"/>
      <c r="S127" s="66"/>
    </row>
    <row r="128" spans="1:19" s="150" customFormat="1" ht="16.5" customHeight="1">
      <c r="A128" s="179" t="s">
        <v>153</v>
      </c>
      <c r="B128" s="143" t="s">
        <v>154</v>
      </c>
      <c r="C128" s="144" t="s">
        <v>136</v>
      </c>
      <c r="D128" s="145"/>
      <c r="E128" s="140" t="s">
        <v>311</v>
      </c>
      <c r="F128" s="141">
        <v>0.48</v>
      </c>
      <c r="G128" s="158">
        <v>210185</v>
      </c>
      <c r="H128" s="122">
        <f t="shared" si="5"/>
        <v>100888.8</v>
      </c>
      <c r="I128" s="122">
        <f t="shared" si="4"/>
        <v>0</v>
      </c>
      <c r="J128" s="146"/>
      <c r="K128" s="146"/>
      <c r="L128" s="147"/>
      <c r="M128" s="148"/>
      <c r="N128" s="149"/>
      <c r="O128" s="149"/>
      <c r="P128" s="149"/>
      <c r="Q128" s="149"/>
      <c r="R128" s="149"/>
      <c r="S128" s="149"/>
    </row>
    <row r="129" spans="1:19" s="150" customFormat="1" ht="16.5" customHeight="1">
      <c r="A129" s="179" t="s">
        <v>155</v>
      </c>
      <c r="B129" s="143" t="s">
        <v>156</v>
      </c>
      <c r="C129" s="180" t="s">
        <v>136</v>
      </c>
      <c r="D129" s="145"/>
      <c r="E129" s="140" t="s">
        <v>311</v>
      </c>
      <c r="F129" s="141">
        <v>0.68100000000000005</v>
      </c>
      <c r="G129" s="158">
        <v>210185</v>
      </c>
      <c r="H129" s="122">
        <f t="shared" si="5"/>
        <v>143135.98500000002</v>
      </c>
      <c r="I129" s="122">
        <f t="shared" si="4"/>
        <v>0</v>
      </c>
      <c r="J129" s="146"/>
      <c r="K129" s="146"/>
      <c r="L129" s="147"/>
      <c r="M129" s="148"/>
      <c r="N129" s="149"/>
      <c r="O129" s="149"/>
      <c r="P129" s="149"/>
      <c r="Q129" s="149"/>
      <c r="R129" s="149"/>
      <c r="S129" s="149"/>
    </row>
    <row r="130" spans="1:19" ht="16.5" customHeight="1">
      <c r="A130" s="77" t="s">
        <v>482</v>
      </c>
      <c r="B130" s="78" t="s">
        <v>483</v>
      </c>
      <c r="C130" s="81" t="s">
        <v>136</v>
      </c>
      <c r="D130" s="75"/>
      <c r="E130" s="79" t="s">
        <v>311</v>
      </c>
      <c r="F130" s="76">
        <v>1.9139999999999999</v>
      </c>
      <c r="G130" s="79">
        <v>178615</v>
      </c>
      <c r="H130" s="63">
        <f t="shared" si="5"/>
        <v>341869.11</v>
      </c>
      <c r="I130" s="63">
        <f t="shared" si="4"/>
        <v>0</v>
      </c>
      <c r="J130" s="60"/>
      <c r="K130" s="60"/>
      <c r="L130" s="64"/>
      <c r="M130" s="65"/>
      <c r="N130" s="66"/>
      <c r="O130" s="66"/>
      <c r="P130" s="66"/>
      <c r="Q130" s="66"/>
      <c r="R130" s="66"/>
      <c r="S130" s="66"/>
    </row>
    <row r="131" spans="1:19" ht="16.5" customHeight="1">
      <c r="A131" s="77" t="s">
        <v>484</v>
      </c>
      <c r="B131" s="78" t="s">
        <v>485</v>
      </c>
      <c r="C131" s="81" t="s">
        <v>136</v>
      </c>
      <c r="D131" s="75"/>
      <c r="E131" s="79" t="s">
        <v>311</v>
      </c>
      <c r="F131" s="76">
        <v>3.1549999999999998</v>
      </c>
      <c r="G131" s="79">
        <v>178615</v>
      </c>
      <c r="H131" s="63">
        <f t="shared" si="5"/>
        <v>563530.32499999995</v>
      </c>
      <c r="I131" s="63">
        <f t="shared" si="4"/>
        <v>0</v>
      </c>
      <c r="J131" s="60"/>
      <c r="K131" s="60"/>
      <c r="L131" s="64"/>
      <c r="M131" s="65"/>
      <c r="N131" s="66"/>
      <c r="O131" s="66"/>
      <c r="P131" s="66"/>
      <c r="Q131" s="66"/>
      <c r="R131" s="66"/>
      <c r="S131" s="66"/>
    </row>
    <row r="132" spans="1:19" ht="16.5" customHeight="1">
      <c r="A132" s="77" t="s">
        <v>486</v>
      </c>
      <c r="B132" s="78" t="s">
        <v>487</v>
      </c>
      <c r="C132" s="81" t="s">
        <v>136</v>
      </c>
      <c r="D132" s="75"/>
      <c r="E132" s="79" t="s">
        <v>311</v>
      </c>
      <c r="F132" s="76">
        <v>6.25</v>
      </c>
      <c r="G132" s="79">
        <v>178615</v>
      </c>
      <c r="H132" s="63">
        <f t="shared" si="5"/>
        <v>1116343.75</v>
      </c>
      <c r="I132" s="63">
        <f t="shared" si="4"/>
        <v>0</v>
      </c>
      <c r="J132" s="60"/>
      <c r="K132" s="60"/>
      <c r="L132" s="64"/>
      <c r="M132" s="65"/>
      <c r="N132" s="66"/>
      <c r="O132" s="66"/>
      <c r="P132" s="66"/>
      <c r="Q132" s="66"/>
      <c r="R132" s="66"/>
      <c r="S132" s="66"/>
    </row>
    <row r="133" spans="1:19" ht="16.5" customHeight="1">
      <c r="A133" s="77" t="s">
        <v>488</v>
      </c>
      <c r="B133" s="78" t="s">
        <v>489</v>
      </c>
      <c r="C133" s="74" t="s">
        <v>136</v>
      </c>
      <c r="D133" s="75"/>
      <c r="E133" s="79" t="s">
        <v>311</v>
      </c>
      <c r="F133" s="76">
        <v>0.41</v>
      </c>
      <c r="G133" s="79">
        <v>178615</v>
      </c>
      <c r="H133" s="63">
        <f t="shared" si="5"/>
        <v>73232.149999999994</v>
      </c>
      <c r="I133" s="63">
        <f t="shared" si="4"/>
        <v>0</v>
      </c>
      <c r="J133" s="60"/>
      <c r="K133" s="60"/>
      <c r="L133" s="64"/>
      <c r="M133" s="65"/>
      <c r="N133" s="66"/>
      <c r="O133" s="66"/>
      <c r="P133" s="66"/>
      <c r="Q133" s="66"/>
      <c r="R133" s="66"/>
      <c r="S133" s="66"/>
    </row>
    <row r="134" spans="1:19" ht="16.5" customHeight="1">
      <c r="A134" s="77" t="s">
        <v>490</v>
      </c>
      <c r="B134" s="78" t="s">
        <v>491</v>
      </c>
      <c r="C134" s="81" t="s">
        <v>136</v>
      </c>
      <c r="D134" s="75"/>
      <c r="E134" s="79" t="s">
        <v>311</v>
      </c>
      <c r="F134" s="76">
        <v>0.61299999999999999</v>
      </c>
      <c r="G134" s="79">
        <v>178615</v>
      </c>
      <c r="H134" s="63">
        <f t="shared" si="5"/>
        <v>109490.995</v>
      </c>
      <c r="I134" s="63">
        <f t="shared" si="4"/>
        <v>0</v>
      </c>
      <c r="J134" s="60"/>
      <c r="K134" s="60"/>
      <c r="L134" s="64"/>
      <c r="M134" s="65"/>
      <c r="N134" s="66"/>
      <c r="O134" s="66"/>
      <c r="P134" s="66"/>
      <c r="Q134" s="66"/>
      <c r="R134" s="66"/>
      <c r="S134" s="66"/>
    </row>
    <row r="135" spans="1:19" ht="16.5" customHeight="1">
      <c r="A135" s="77" t="s">
        <v>492</v>
      </c>
      <c r="B135" s="78" t="s">
        <v>493</v>
      </c>
      <c r="C135" s="81" t="s">
        <v>136</v>
      </c>
      <c r="D135" s="75"/>
      <c r="E135" s="79" t="s">
        <v>311</v>
      </c>
      <c r="F135" s="76">
        <v>1.671</v>
      </c>
      <c r="G135" s="79">
        <v>178615</v>
      </c>
      <c r="H135" s="63">
        <f t="shared" si="5"/>
        <v>298465.66499999998</v>
      </c>
      <c r="I135" s="63">
        <f t="shared" si="4"/>
        <v>0</v>
      </c>
      <c r="J135" s="60"/>
      <c r="K135" s="60"/>
      <c r="L135" s="64"/>
      <c r="M135" s="65"/>
      <c r="N135" s="66"/>
      <c r="O135" s="66"/>
      <c r="P135" s="66"/>
      <c r="Q135" s="66"/>
      <c r="R135" s="66"/>
      <c r="S135" s="66"/>
    </row>
    <row r="136" spans="1:19" ht="16.5" customHeight="1">
      <c r="A136" s="77" t="s">
        <v>494</v>
      </c>
      <c r="B136" s="78" t="s">
        <v>495</v>
      </c>
      <c r="C136" s="81" t="s">
        <v>136</v>
      </c>
      <c r="D136" s="75"/>
      <c r="E136" s="79" t="s">
        <v>311</v>
      </c>
      <c r="F136" s="76">
        <v>2.84</v>
      </c>
      <c r="G136" s="79">
        <v>178615</v>
      </c>
      <c r="H136" s="63">
        <f t="shared" si="5"/>
        <v>507266.6</v>
      </c>
      <c r="I136" s="63">
        <f t="shared" si="4"/>
        <v>0</v>
      </c>
      <c r="J136" s="60"/>
      <c r="K136" s="60"/>
      <c r="L136" s="64"/>
      <c r="M136" s="65"/>
      <c r="N136" s="66"/>
      <c r="O136" s="66"/>
      <c r="P136" s="66"/>
      <c r="Q136" s="66"/>
      <c r="R136" s="66"/>
      <c r="S136" s="66"/>
    </row>
    <row r="137" spans="1:19" ht="16.5" customHeight="1">
      <c r="A137" s="77" t="s">
        <v>496</v>
      </c>
      <c r="B137" s="78" t="s">
        <v>497</v>
      </c>
      <c r="C137" s="81" t="s">
        <v>136</v>
      </c>
      <c r="D137" s="75"/>
      <c r="E137" s="79" t="s">
        <v>311</v>
      </c>
      <c r="F137" s="76">
        <v>5.62</v>
      </c>
      <c r="G137" s="79">
        <v>178615</v>
      </c>
      <c r="H137" s="63">
        <f t="shared" si="5"/>
        <v>1003816.3</v>
      </c>
      <c r="I137" s="63">
        <f t="shared" si="4"/>
        <v>0</v>
      </c>
      <c r="J137" s="60"/>
      <c r="K137" s="60"/>
      <c r="L137" s="64"/>
      <c r="M137" s="65"/>
      <c r="N137" s="66"/>
      <c r="O137" s="66"/>
      <c r="P137" s="66"/>
      <c r="Q137" s="66"/>
      <c r="R137" s="66"/>
      <c r="S137" s="66"/>
    </row>
    <row r="138" spans="1:19" ht="16.5" customHeight="1">
      <c r="A138" s="77" t="s">
        <v>145</v>
      </c>
      <c r="B138" s="78" t="s">
        <v>146</v>
      </c>
      <c r="C138" s="74" t="s">
        <v>136</v>
      </c>
      <c r="D138" s="75"/>
      <c r="E138" s="79" t="s">
        <v>311</v>
      </c>
      <c r="F138" s="76">
        <v>0.5</v>
      </c>
      <c r="G138" s="79">
        <v>178615</v>
      </c>
      <c r="H138" s="63">
        <f t="shared" si="5"/>
        <v>89307.5</v>
      </c>
      <c r="I138" s="63">
        <f t="shared" si="4"/>
        <v>0</v>
      </c>
      <c r="J138" s="60"/>
      <c r="K138" s="60"/>
      <c r="L138" s="64"/>
      <c r="M138" s="65"/>
      <c r="N138" s="66"/>
      <c r="O138" s="66"/>
      <c r="P138" s="66"/>
      <c r="Q138" s="66"/>
      <c r="R138" s="66"/>
      <c r="S138" s="66"/>
    </row>
    <row r="139" spans="1:19" ht="16.5" customHeight="1">
      <c r="A139" s="77" t="s">
        <v>143</v>
      </c>
      <c r="B139" s="78" t="s">
        <v>144</v>
      </c>
      <c r="C139" s="81" t="s">
        <v>136</v>
      </c>
      <c r="D139" s="75"/>
      <c r="E139" s="79" t="s">
        <v>311</v>
      </c>
      <c r="F139" s="76">
        <v>0.95299999999999996</v>
      </c>
      <c r="G139" s="79">
        <v>178615</v>
      </c>
      <c r="H139" s="63">
        <f>+G139*F139</f>
        <v>170220.095</v>
      </c>
      <c r="I139" s="63">
        <f t="shared" si="4"/>
        <v>0</v>
      </c>
      <c r="J139" s="60"/>
      <c r="K139" s="60"/>
      <c r="L139" s="64"/>
      <c r="M139" s="65"/>
      <c r="N139" s="66"/>
      <c r="O139" s="66"/>
      <c r="P139" s="66"/>
      <c r="Q139" s="66"/>
      <c r="R139" s="66"/>
      <c r="S139" s="66"/>
    </row>
    <row r="140" spans="1:19" ht="16.5" customHeight="1">
      <c r="A140" s="77" t="s">
        <v>498</v>
      </c>
      <c r="B140" s="78" t="s">
        <v>499</v>
      </c>
      <c r="C140" s="81" t="s">
        <v>136</v>
      </c>
      <c r="D140" s="75"/>
      <c r="E140" s="79" t="s">
        <v>311</v>
      </c>
      <c r="F140" s="76">
        <v>2.6850000000000001</v>
      </c>
      <c r="G140" s="79">
        <v>178615</v>
      </c>
      <c r="H140" s="63">
        <f t="shared" si="5"/>
        <v>479581.27500000002</v>
      </c>
      <c r="I140" s="63">
        <f t="shared" si="4"/>
        <v>0</v>
      </c>
      <c r="J140" s="60"/>
      <c r="K140" s="60"/>
      <c r="L140" s="64"/>
      <c r="M140" s="65"/>
      <c r="N140" s="66"/>
      <c r="O140" s="66"/>
      <c r="P140" s="66"/>
      <c r="Q140" s="66"/>
      <c r="R140" s="66"/>
      <c r="S140" s="66"/>
    </row>
    <row r="141" spans="1:19" ht="16.5" customHeight="1">
      <c r="A141" s="77" t="s">
        <v>500</v>
      </c>
      <c r="B141" s="78" t="s">
        <v>501</v>
      </c>
      <c r="C141" s="81" t="s">
        <v>136</v>
      </c>
      <c r="D141" s="75"/>
      <c r="E141" s="79" t="s">
        <v>311</v>
      </c>
      <c r="F141" s="76">
        <v>4.415</v>
      </c>
      <c r="G141" s="79">
        <v>178615</v>
      </c>
      <c r="H141" s="63">
        <f t="shared" si="5"/>
        <v>788585.22499999998</v>
      </c>
      <c r="I141" s="63">
        <f t="shared" si="4"/>
        <v>0</v>
      </c>
      <c r="J141" s="60"/>
      <c r="K141" s="60"/>
      <c r="L141" s="64"/>
      <c r="M141" s="65"/>
      <c r="N141" s="66"/>
      <c r="O141" s="66"/>
      <c r="P141" s="66"/>
      <c r="Q141" s="66"/>
      <c r="R141" s="66"/>
      <c r="S141" s="66"/>
    </row>
    <row r="142" spans="1:19" ht="16.5" customHeight="1">
      <c r="A142" s="77" t="s">
        <v>502</v>
      </c>
      <c r="B142" s="78" t="s">
        <v>503</v>
      </c>
      <c r="C142" s="81" t="s">
        <v>136</v>
      </c>
      <c r="D142" s="75"/>
      <c r="E142" s="79" t="s">
        <v>311</v>
      </c>
      <c r="F142" s="76">
        <v>8.75</v>
      </c>
      <c r="G142" s="79">
        <v>178615</v>
      </c>
      <c r="H142" s="63">
        <f t="shared" si="5"/>
        <v>1562881.25</v>
      </c>
      <c r="I142" s="63">
        <f t="shared" si="4"/>
        <v>0</v>
      </c>
      <c r="J142" s="60"/>
      <c r="K142" s="60"/>
      <c r="L142" s="64"/>
      <c r="M142" s="65"/>
      <c r="N142" s="66"/>
      <c r="O142" s="66"/>
      <c r="P142" s="66"/>
      <c r="Q142" s="66"/>
      <c r="R142" s="66"/>
      <c r="S142" s="66"/>
    </row>
    <row r="143" spans="1:19" ht="16.5" customHeight="1">
      <c r="A143" s="77" t="s">
        <v>504</v>
      </c>
      <c r="B143" s="78" t="s">
        <v>505</v>
      </c>
      <c r="C143" s="74" t="s">
        <v>136</v>
      </c>
      <c r="D143" s="75"/>
      <c r="E143" s="79" t="s">
        <v>311</v>
      </c>
      <c r="F143" s="76">
        <v>0.54</v>
      </c>
      <c r="G143" s="79">
        <v>178615</v>
      </c>
      <c r="H143" s="63">
        <f t="shared" si="5"/>
        <v>96452.1</v>
      </c>
      <c r="I143" s="63">
        <f t="shared" si="4"/>
        <v>0</v>
      </c>
      <c r="J143" s="60"/>
      <c r="K143" s="60"/>
      <c r="L143" s="64"/>
      <c r="M143" s="65"/>
      <c r="N143" s="66"/>
      <c r="O143" s="66"/>
      <c r="P143" s="66"/>
      <c r="Q143" s="66"/>
      <c r="R143" s="66"/>
      <c r="S143" s="66"/>
    </row>
    <row r="144" spans="1:19" ht="16.5" customHeight="1">
      <c r="A144" s="77" t="s">
        <v>506</v>
      </c>
      <c r="B144" s="78" t="s">
        <v>507</v>
      </c>
      <c r="C144" s="81" t="s">
        <v>136</v>
      </c>
      <c r="D144" s="75"/>
      <c r="E144" s="79" t="s">
        <v>311</v>
      </c>
      <c r="F144" s="76">
        <v>0.42599999999999999</v>
      </c>
      <c r="G144" s="79">
        <v>178615</v>
      </c>
      <c r="H144" s="63">
        <f t="shared" si="5"/>
        <v>76089.990000000005</v>
      </c>
      <c r="I144" s="63">
        <f t="shared" si="4"/>
        <v>0</v>
      </c>
      <c r="J144" s="60"/>
      <c r="K144" s="60"/>
      <c r="L144" s="64"/>
      <c r="M144" s="65"/>
      <c r="N144" s="66"/>
      <c r="O144" s="66"/>
      <c r="P144" s="66"/>
      <c r="Q144" s="66"/>
      <c r="R144" s="66"/>
      <c r="S144" s="66"/>
    </row>
    <row r="145" spans="1:19" ht="16.5" customHeight="1">
      <c r="A145" s="77" t="s">
        <v>508</v>
      </c>
      <c r="B145" s="78" t="s">
        <v>509</v>
      </c>
      <c r="C145" s="81" t="s">
        <v>136</v>
      </c>
      <c r="D145" s="75"/>
      <c r="E145" s="79" t="s">
        <v>311</v>
      </c>
      <c r="F145" s="76">
        <v>1.1579999999999999</v>
      </c>
      <c r="G145" s="79">
        <v>178615</v>
      </c>
      <c r="H145" s="63">
        <f t="shared" si="5"/>
        <v>206836.16999999998</v>
      </c>
      <c r="I145" s="63">
        <f t="shared" si="4"/>
        <v>0</v>
      </c>
      <c r="J145" s="60"/>
      <c r="K145" s="60"/>
      <c r="L145" s="64"/>
      <c r="M145" s="65"/>
      <c r="N145" s="66"/>
      <c r="O145" s="66"/>
      <c r="P145" s="66"/>
      <c r="Q145" s="66"/>
      <c r="R145" s="66"/>
      <c r="S145" s="66"/>
    </row>
    <row r="146" spans="1:19" ht="16.5" customHeight="1">
      <c r="A146" s="77" t="s">
        <v>510</v>
      </c>
      <c r="B146" s="78" t="s">
        <v>511</v>
      </c>
      <c r="C146" s="81" t="s">
        <v>136</v>
      </c>
      <c r="D146" s="75"/>
      <c r="E146" s="79" t="s">
        <v>311</v>
      </c>
      <c r="F146" s="76">
        <v>1.89</v>
      </c>
      <c r="G146" s="79">
        <v>178615</v>
      </c>
      <c r="H146" s="63">
        <f t="shared" si="5"/>
        <v>337582.35</v>
      </c>
      <c r="I146" s="63">
        <f t="shared" si="4"/>
        <v>0</v>
      </c>
      <c r="J146" s="60"/>
      <c r="K146" s="60"/>
      <c r="L146" s="64"/>
      <c r="M146" s="65"/>
      <c r="N146" s="66"/>
      <c r="O146" s="66"/>
      <c r="P146" s="66"/>
      <c r="Q146" s="66"/>
      <c r="R146" s="66"/>
      <c r="S146" s="66"/>
    </row>
    <row r="147" spans="1:19" ht="16.5" customHeight="1">
      <c r="A147" s="77" t="s">
        <v>512</v>
      </c>
      <c r="B147" s="78" t="s">
        <v>513</v>
      </c>
      <c r="C147" s="81" t="s">
        <v>136</v>
      </c>
      <c r="D147" s="75"/>
      <c r="E147" s="79" t="s">
        <v>311</v>
      </c>
      <c r="F147" s="76">
        <v>3.73</v>
      </c>
      <c r="G147" s="79">
        <v>178615</v>
      </c>
      <c r="H147" s="63">
        <f t="shared" si="5"/>
        <v>666233.94999999995</v>
      </c>
      <c r="I147" s="63">
        <f t="shared" si="4"/>
        <v>0</v>
      </c>
      <c r="J147" s="60"/>
      <c r="K147" s="60"/>
      <c r="L147" s="64"/>
      <c r="M147" s="65"/>
      <c r="N147" s="66"/>
      <c r="O147" s="66"/>
      <c r="P147" s="66"/>
      <c r="Q147" s="66"/>
      <c r="R147" s="66"/>
      <c r="S147" s="66"/>
    </row>
    <row r="148" spans="1:19" ht="16.5" customHeight="1">
      <c r="A148" s="80" t="s">
        <v>514</v>
      </c>
      <c r="B148" s="55" t="s">
        <v>515</v>
      </c>
      <c r="C148" s="74"/>
      <c r="D148" s="75"/>
      <c r="E148" s="79"/>
      <c r="F148" s="76"/>
      <c r="G148" s="79"/>
      <c r="H148" s="63">
        <f t="shared" si="5"/>
        <v>0</v>
      </c>
      <c r="I148" s="63"/>
      <c r="J148" s="60"/>
      <c r="K148" s="60"/>
      <c r="L148" s="64"/>
      <c r="M148" s="65"/>
      <c r="N148" s="66"/>
      <c r="O148" s="66"/>
      <c r="P148" s="66"/>
      <c r="Q148" s="66"/>
      <c r="R148" s="66"/>
      <c r="S148" s="66"/>
    </row>
    <row r="149" spans="1:19" ht="16.5" customHeight="1">
      <c r="A149" s="77" t="s">
        <v>516</v>
      </c>
      <c r="B149" s="78" t="s">
        <v>517</v>
      </c>
      <c r="C149" s="74" t="s">
        <v>518</v>
      </c>
      <c r="D149" s="75"/>
      <c r="E149" s="79" t="s">
        <v>311</v>
      </c>
      <c r="F149" s="76">
        <v>1.64</v>
      </c>
      <c r="G149" s="79">
        <v>178615</v>
      </c>
      <c r="H149" s="63">
        <f t="shared" si="5"/>
        <v>292928.59999999998</v>
      </c>
      <c r="I149" s="63">
        <f>+L149</f>
        <v>71415.135967015376</v>
      </c>
      <c r="J149" s="60"/>
      <c r="K149" s="60">
        <v>51918</v>
      </c>
      <c r="L149" s="64">
        <f t="shared" ref="L149:L160" si="6">+((M149*N149)+(O149*P149)+(Q149*R149))*(1+S149/100)</f>
        <v>71415.135967015376</v>
      </c>
      <c r="M149" s="82">
        <v>7.1999999999999995E-2</v>
      </c>
      <c r="N149" s="66">
        <v>991876.88843076921</v>
      </c>
      <c r="O149" s="66"/>
      <c r="P149" s="66"/>
      <c r="Q149" s="66"/>
      <c r="R149" s="66"/>
      <c r="S149" s="66"/>
    </row>
    <row r="150" spans="1:19" ht="16.5" customHeight="1">
      <c r="A150" s="77" t="s">
        <v>519</v>
      </c>
      <c r="B150" s="78" t="s">
        <v>520</v>
      </c>
      <c r="C150" s="74" t="s">
        <v>518</v>
      </c>
      <c r="D150" s="75"/>
      <c r="E150" s="79" t="s">
        <v>311</v>
      </c>
      <c r="F150" s="76">
        <v>1.59</v>
      </c>
      <c r="G150" s="79">
        <v>178615</v>
      </c>
      <c r="H150" s="63">
        <f t="shared" si="5"/>
        <v>283997.85000000003</v>
      </c>
      <c r="I150" s="63">
        <f t="shared" ref="I150:I160" si="7">+L150</f>
        <v>59512.613305846149</v>
      </c>
      <c r="J150" s="60"/>
      <c r="K150" s="60">
        <v>43265</v>
      </c>
      <c r="L150" s="64">
        <f t="shared" si="6"/>
        <v>59512.613305846149</v>
      </c>
      <c r="M150" s="82">
        <v>0.06</v>
      </c>
      <c r="N150" s="66">
        <f>+N149</f>
        <v>991876.88843076921</v>
      </c>
      <c r="O150" s="66"/>
      <c r="P150" s="66"/>
      <c r="Q150" s="66"/>
      <c r="R150" s="66"/>
      <c r="S150" s="66"/>
    </row>
    <row r="151" spans="1:19" ht="16.5" customHeight="1">
      <c r="A151" s="77" t="s">
        <v>521</v>
      </c>
      <c r="B151" s="78" t="s">
        <v>522</v>
      </c>
      <c r="C151" s="74" t="s">
        <v>518</v>
      </c>
      <c r="D151" s="75"/>
      <c r="E151" s="79" t="s">
        <v>311</v>
      </c>
      <c r="F151" s="76">
        <v>1.76</v>
      </c>
      <c r="G151" s="79">
        <v>178615</v>
      </c>
      <c r="H151" s="63">
        <f t="shared" si="5"/>
        <v>314362.40000000002</v>
      </c>
      <c r="I151" s="63">
        <f t="shared" si="7"/>
        <v>74390.766632307685</v>
      </c>
      <c r="J151" s="60"/>
      <c r="K151" s="60">
        <v>54081</v>
      </c>
      <c r="L151" s="64">
        <f t="shared" si="6"/>
        <v>74390.766632307685</v>
      </c>
      <c r="M151" s="82">
        <v>7.4999999999999997E-2</v>
      </c>
      <c r="N151" s="66">
        <f t="shared" ref="N151:N160" si="8">+N150</f>
        <v>991876.88843076921</v>
      </c>
      <c r="O151" s="66"/>
      <c r="P151" s="66"/>
      <c r="Q151" s="66"/>
      <c r="R151" s="66"/>
      <c r="S151" s="66"/>
    </row>
    <row r="152" spans="1:19" ht="16.5" customHeight="1">
      <c r="A152" s="77" t="s">
        <v>523</v>
      </c>
      <c r="B152" s="78" t="s">
        <v>524</v>
      </c>
      <c r="C152" s="74" t="s">
        <v>518</v>
      </c>
      <c r="D152" s="75"/>
      <c r="E152" s="79" t="s">
        <v>311</v>
      </c>
      <c r="F152" s="76">
        <v>1.67</v>
      </c>
      <c r="G152" s="79">
        <v>178615</v>
      </c>
      <c r="H152" s="63">
        <f t="shared" si="5"/>
        <v>298287.05</v>
      </c>
      <c r="I152" s="63">
        <f t="shared" si="7"/>
        <v>62488.243971138458</v>
      </c>
      <c r="J152" s="60"/>
      <c r="K152" s="60">
        <v>45428</v>
      </c>
      <c r="L152" s="64">
        <f t="shared" si="6"/>
        <v>62488.243971138458</v>
      </c>
      <c r="M152" s="82">
        <v>6.3E-2</v>
      </c>
      <c r="N152" s="66">
        <f t="shared" si="8"/>
        <v>991876.88843076921</v>
      </c>
      <c r="O152" s="66"/>
      <c r="P152" s="66"/>
      <c r="Q152" s="66"/>
      <c r="R152" s="66"/>
      <c r="S152" s="66"/>
    </row>
    <row r="153" spans="1:19" ht="16.5" customHeight="1">
      <c r="A153" s="77" t="s">
        <v>525</v>
      </c>
      <c r="B153" s="78" t="s">
        <v>526</v>
      </c>
      <c r="C153" s="74" t="s">
        <v>527</v>
      </c>
      <c r="D153" s="75"/>
      <c r="E153" s="79" t="s">
        <v>311</v>
      </c>
      <c r="F153" s="76">
        <v>1.32</v>
      </c>
      <c r="G153" s="79">
        <v>178615</v>
      </c>
      <c r="H153" s="63">
        <f t="shared" si="5"/>
        <v>235771.80000000002</v>
      </c>
      <c r="I153" s="63">
        <f t="shared" si="7"/>
        <v>49593.844421538466</v>
      </c>
      <c r="J153" s="60"/>
      <c r="K153" s="60">
        <v>36054</v>
      </c>
      <c r="L153" s="64">
        <f t="shared" si="6"/>
        <v>49593.844421538466</v>
      </c>
      <c r="M153" s="82">
        <v>0.05</v>
      </c>
      <c r="N153" s="66">
        <f t="shared" si="8"/>
        <v>991876.88843076921</v>
      </c>
      <c r="O153" s="66"/>
      <c r="P153" s="66"/>
      <c r="Q153" s="66"/>
      <c r="R153" s="66"/>
      <c r="S153" s="66"/>
    </row>
    <row r="154" spans="1:19" ht="16.5" customHeight="1">
      <c r="A154" s="77" t="s">
        <v>528</v>
      </c>
      <c r="B154" s="78" t="s">
        <v>529</v>
      </c>
      <c r="C154" s="74" t="s">
        <v>527</v>
      </c>
      <c r="D154" s="75"/>
      <c r="E154" s="79" t="s">
        <v>311</v>
      </c>
      <c r="F154" s="76">
        <v>1.25</v>
      </c>
      <c r="G154" s="79">
        <v>178615</v>
      </c>
      <c r="H154" s="63">
        <f t="shared" si="5"/>
        <v>223268.75</v>
      </c>
      <c r="I154" s="63">
        <f t="shared" si="7"/>
        <v>41658.829314092312</v>
      </c>
      <c r="J154" s="60"/>
      <c r="K154" s="60">
        <v>30285</v>
      </c>
      <c r="L154" s="64">
        <f t="shared" si="6"/>
        <v>41658.829314092312</v>
      </c>
      <c r="M154" s="82">
        <v>4.2000000000000003E-2</v>
      </c>
      <c r="N154" s="66">
        <f t="shared" si="8"/>
        <v>991876.88843076921</v>
      </c>
      <c r="O154" s="66"/>
      <c r="P154" s="66"/>
      <c r="Q154" s="66"/>
      <c r="R154" s="66"/>
      <c r="S154" s="66"/>
    </row>
    <row r="155" spans="1:19" ht="16.5" customHeight="1">
      <c r="A155" s="77" t="s">
        <v>530</v>
      </c>
      <c r="B155" s="78" t="s">
        <v>531</v>
      </c>
      <c r="C155" s="74" t="s">
        <v>527</v>
      </c>
      <c r="D155" s="75"/>
      <c r="E155" s="79" t="s">
        <v>311</v>
      </c>
      <c r="F155" s="76">
        <v>1.85</v>
      </c>
      <c r="G155" s="79">
        <v>178615</v>
      </c>
      <c r="H155" s="63">
        <f t="shared" si="5"/>
        <v>330437.75</v>
      </c>
      <c r="I155" s="63">
        <f t="shared" si="7"/>
        <v>178537.83991753845</v>
      </c>
      <c r="J155" s="60"/>
      <c r="K155" s="60">
        <v>129795</v>
      </c>
      <c r="L155" s="64">
        <f t="shared" si="6"/>
        <v>178537.83991753845</v>
      </c>
      <c r="M155" s="82">
        <v>0.18</v>
      </c>
      <c r="N155" s="66">
        <f t="shared" si="8"/>
        <v>991876.88843076921</v>
      </c>
      <c r="O155" s="66"/>
      <c r="P155" s="66"/>
      <c r="Q155" s="66"/>
      <c r="R155" s="66"/>
      <c r="S155" s="66"/>
    </row>
    <row r="156" spans="1:19" ht="16.5" customHeight="1">
      <c r="A156" s="77" t="s">
        <v>532</v>
      </c>
      <c r="B156" s="78" t="s">
        <v>533</v>
      </c>
      <c r="C156" s="74" t="s">
        <v>527</v>
      </c>
      <c r="D156" s="75"/>
      <c r="E156" s="79" t="s">
        <v>311</v>
      </c>
      <c r="F156" s="76">
        <v>1.81</v>
      </c>
      <c r="G156" s="79">
        <v>178615</v>
      </c>
      <c r="H156" s="63">
        <f t="shared" si="5"/>
        <v>323293.15000000002</v>
      </c>
      <c r="I156" s="63">
        <f t="shared" si="7"/>
        <v>109106.45772738461</v>
      </c>
      <c r="J156" s="60"/>
      <c r="K156" s="60">
        <v>79319</v>
      </c>
      <c r="L156" s="64">
        <f t="shared" si="6"/>
        <v>109106.45772738461</v>
      </c>
      <c r="M156" s="82">
        <v>0.11</v>
      </c>
      <c r="N156" s="66">
        <f t="shared" si="8"/>
        <v>991876.88843076921</v>
      </c>
      <c r="O156" s="66"/>
      <c r="P156" s="66"/>
      <c r="Q156" s="66"/>
      <c r="R156" s="66"/>
      <c r="S156" s="66"/>
    </row>
    <row r="157" spans="1:19" ht="16.5" customHeight="1">
      <c r="A157" s="77" t="s">
        <v>534</v>
      </c>
      <c r="B157" s="78" t="s">
        <v>535</v>
      </c>
      <c r="C157" s="74" t="s">
        <v>527</v>
      </c>
      <c r="D157" s="75"/>
      <c r="E157" s="79" t="s">
        <v>311</v>
      </c>
      <c r="F157" s="76">
        <v>1.45</v>
      </c>
      <c r="G157" s="79">
        <v>178615</v>
      </c>
      <c r="H157" s="63">
        <f t="shared" si="5"/>
        <v>258991.75</v>
      </c>
      <c r="I157" s="63">
        <f t="shared" si="7"/>
        <v>178537.83991753845</v>
      </c>
      <c r="J157" s="60"/>
      <c r="K157" s="60">
        <v>129795</v>
      </c>
      <c r="L157" s="64">
        <f t="shared" si="6"/>
        <v>178537.83991753845</v>
      </c>
      <c r="M157" s="82">
        <v>0.18</v>
      </c>
      <c r="N157" s="66">
        <f t="shared" si="8"/>
        <v>991876.88843076921</v>
      </c>
      <c r="O157" s="66"/>
      <c r="P157" s="66"/>
      <c r="Q157" s="66"/>
      <c r="R157" s="66"/>
      <c r="S157" s="66"/>
    </row>
    <row r="158" spans="1:19" ht="16.5" customHeight="1">
      <c r="A158" s="77" t="s">
        <v>536</v>
      </c>
      <c r="B158" s="78" t="s">
        <v>537</v>
      </c>
      <c r="C158" s="74" t="s">
        <v>527</v>
      </c>
      <c r="D158" s="75"/>
      <c r="E158" s="79" t="s">
        <v>311</v>
      </c>
      <c r="F158" s="76">
        <v>1.38</v>
      </c>
      <c r="G158" s="79">
        <v>178615</v>
      </c>
      <c r="H158" s="63">
        <f t="shared" si="5"/>
        <v>246488.69999999998</v>
      </c>
      <c r="I158" s="63">
        <f t="shared" si="7"/>
        <v>148781.53326461537</v>
      </c>
      <c r="J158" s="60"/>
      <c r="K158" s="60">
        <v>108162</v>
      </c>
      <c r="L158" s="64">
        <f t="shared" si="6"/>
        <v>148781.53326461537</v>
      </c>
      <c r="M158" s="82">
        <v>0.15</v>
      </c>
      <c r="N158" s="66">
        <f t="shared" si="8"/>
        <v>991876.88843076921</v>
      </c>
      <c r="O158" s="66"/>
      <c r="P158" s="66"/>
      <c r="Q158" s="66"/>
      <c r="R158" s="66"/>
      <c r="S158" s="66"/>
    </row>
    <row r="159" spans="1:19" ht="16.5" customHeight="1">
      <c r="A159" s="77" t="s">
        <v>538</v>
      </c>
      <c r="B159" s="78" t="s">
        <v>539</v>
      </c>
      <c r="C159" s="74" t="s">
        <v>527</v>
      </c>
      <c r="D159" s="75"/>
      <c r="E159" s="79" t="s">
        <v>311</v>
      </c>
      <c r="F159" s="76">
        <v>2.0299999999999998</v>
      </c>
      <c r="G159" s="79">
        <v>178615</v>
      </c>
      <c r="H159" s="63">
        <f t="shared" si="5"/>
        <v>362588.44999999995</v>
      </c>
      <c r="I159" s="63">
        <f t="shared" si="7"/>
        <v>178537.83991753845</v>
      </c>
      <c r="J159" s="60"/>
      <c r="K159" s="60">
        <v>129795</v>
      </c>
      <c r="L159" s="64">
        <f t="shared" si="6"/>
        <v>178537.83991753845</v>
      </c>
      <c r="M159" s="82">
        <v>0.18</v>
      </c>
      <c r="N159" s="66">
        <f t="shared" si="8"/>
        <v>991876.88843076921</v>
      </c>
      <c r="O159" s="66"/>
      <c r="P159" s="66"/>
      <c r="Q159" s="66"/>
      <c r="R159" s="66"/>
      <c r="S159" s="66"/>
    </row>
    <row r="160" spans="1:19" ht="16.5" customHeight="1">
      <c r="A160" s="77" t="s">
        <v>540</v>
      </c>
      <c r="B160" s="78" t="s">
        <v>541</v>
      </c>
      <c r="C160" s="74" t="s">
        <v>527</v>
      </c>
      <c r="D160" s="75"/>
      <c r="E160" s="79" t="s">
        <v>311</v>
      </c>
      <c r="F160" s="76">
        <v>1.99</v>
      </c>
      <c r="G160" s="79">
        <v>178615</v>
      </c>
      <c r="H160" s="63">
        <f t="shared" si="5"/>
        <v>355443.85</v>
      </c>
      <c r="I160" s="63">
        <f t="shared" si="7"/>
        <v>148781.53326461537</v>
      </c>
      <c r="J160" s="60"/>
      <c r="K160" s="60">
        <v>108162</v>
      </c>
      <c r="L160" s="64">
        <f t="shared" si="6"/>
        <v>148781.53326461537</v>
      </c>
      <c r="M160" s="82">
        <v>0.15</v>
      </c>
      <c r="N160" s="66">
        <f t="shared" si="8"/>
        <v>991876.88843076921</v>
      </c>
      <c r="O160" s="66"/>
      <c r="P160" s="66"/>
      <c r="Q160" s="66"/>
      <c r="R160" s="66"/>
      <c r="S160" s="66"/>
    </row>
    <row r="161" spans="1:19" ht="16.5" customHeight="1">
      <c r="A161" s="80" t="s">
        <v>542</v>
      </c>
      <c r="B161" s="55" t="s">
        <v>543</v>
      </c>
      <c r="C161" s="74"/>
      <c r="D161" s="75"/>
      <c r="E161" s="79"/>
      <c r="F161" s="76"/>
      <c r="G161" s="79"/>
      <c r="H161" s="63">
        <f t="shared" si="5"/>
        <v>0</v>
      </c>
      <c r="I161" s="63">
        <f t="shared" ref="I161:I224" si="9">+K161*$I$4</f>
        <v>0</v>
      </c>
      <c r="J161" s="60"/>
      <c r="K161" s="60"/>
      <c r="L161" s="64"/>
      <c r="M161" s="65"/>
      <c r="N161" s="66"/>
      <c r="O161" s="66"/>
      <c r="P161" s="66"/>
      <c r="Q161" s="66"/>
      <c r="R161" s="66"/>
      <c r="S161" s="66"/>
    </row>
    <row r="162" spans="1:19" ht="16.5" customHeight="1">
      <c r="A162" s="77" t="s">
        <v>544</v>
      </c>
      <c r="B162" s="78" t="s">
        <v>545</v>
      </c>
      <c r="C162" s="74" t="s">
        <v>47</v>
      </c>
      <c r="D162" s="75"/>
      <c r="E162" s="79" t="s">
        <v>311</v>
      </c>
      <c r="F162" s="76">
        <v>0.53</v>
      </c>
      <c r="G162" s="79">
        <v>178615</v>
      </c>
      <c r="H162" s="63">
        <f t="shared" si="5"/>
        <v>94665.950000000012</v>
      </c>
      <c r="I162" s="63">
        <f t="shared" si="9"/>
        <v>0</v>
      </c>
      <c r="J162" s="60"/>
      <c r="K162" s="60"/>
      <c r="L162" s="64"/>
      <c r="M162" s="65"/>
      <c r="N162" s="66"/>
      <c r="O162" s="66"/>
      <c r="P162" s="66"/>
      <c r="Q162" s="66"/>
      <c r="R162" s="66"/>
      <c r="S162" s="66"/>
    </row>
    <row r="163" spans="1:19" ht="16.5" customHeight="1">
      <c r="A163" s="77" t="s">
        <v>546</v>
      </c>
      <c r="B163" s="78" t="s">
        <v>342</v>
      </c>
      <c r="C163" s="74" t="s">
        <v>47</v>
      </c>
      <c r="D163" s="75"/>
      <c r="E163" s="79" t="s">
        <v>311</v>
      </c>
      <c r="F163" s="76">
        <v>0.79</v>
      </c>
      <c r="G163" s="79">
        <v>178615</v>
      </c>
      <c r="H163" s="63">
        <f t="shared" si="5"/>
        <v>141105.85</v>
      </c>
      <c r="I163" s="63">
        <f t="shared" si="9"/>
        <v>0</v>
      </c>
      <c r="J163" s="60"/>
      <c r="K163" s="60"/>
      <c r="L163" s="64"/>
      <c r="M163" s="65"/>
      <c r="N163" s="66"/>
      <c r="O163" s="66"/>
      <c r="P163" s="66"/>
      <c r="Q163" s="66"/>
      <c r="R163" s="66"/>
      <c r="S163" s="66"/>
    </row>
    <row r="164" spans="1:19" ht="16.5" customHeight="1">
      <c r="A164" s="77" t="s">
        <v>547</v>
      </c>
      <c r="B164" s="78" t="s">
        <v>351</v>
      </c>
      <c r="C164" s="74" t="s">
        <v>47</v>
      </c>
      <c r="D164" s="75"/>
      <c r="E164" s="79" t="s">
        <v>311</v>
      </c>
      <c r="F164" s="76">
        <v>0.94</v>
      </c>
      <c r="G164" s="79">
        <v>178615</v>
      </c>
      <c r="H164" s="63">
        <f t="shared" si="5"/>
        <v>167898.09999999998</v>
      </c>
      <c r="I164" s="63">
        <f t="shared" si="9"/>
        <v>0</v>
      </c>
      <c r="J164" s="60"/>
      <c r="K164" s="60"/>
      <c r="L164" s="64"/>
      <c r="M164" s="65"/>
      <c r="N164" s="66"/>
      <c r="O164" s="66"/>
      <c r="P164" s="66"/>
      <c r="Q164" s="66"/>
      <c r="R164" s="66"/>
      <c r="S164" s="66"/>
    </row>
    <row r="165" spans="1:19" ht="16.5" customHeight="1">
      <c r="A165" s="77" t="s">
        <v>548</v>
      </c>
      <c r="B165" s="78" t="s">
        <v>549</v>
      </c>
      <c r="C165" s="74" t="s">
        <v>47</v>
      </c>
      <c r="D165" s="75"/>
      <c r="E165" s="79" t="s">
        <v>311</v>
      </c>
      <c r="F165" s="76">
        <v>0.79</v>
      </c>
      <c r="G165" s="79">
        <v>178615</v>
      </c>
      <c r="H165" s="63">
        <f t="shared" si="5"/>
        <v>141105.85</v>
      </c>
      <c r="I165" s="63">
        <f t="shared" si="9"/>
        <v>0</v>
      </c>
      <c r="J165" s="60"/>
      <c r="K165" s="60"/>
      <c r="L165" s="64"/>
      <c r="M165" s="65"/>
      <c r="N165" s="66"/>
      <c r="O165" s="66"/>
      <c r="P165" s="66"/>
      <c r="Q165" s="66"/>
      <c r="R165" s="66"/>
      <c r="S165" s="66"/>
    </row>
    <row r="166" spans="1:19" ht="16.5" customHeight="1">
      <c r="A166" s="77" t="s">
        <v>550</v>
      </c>
      <c r="B166" s="78" t="s">
        <v>551</v>
      </c>
      <c r="C166" s="74" t="s">
        <v>47</v>
      </c>
      <c r="D166" s="75"/>
      <c r="E166" s="79" t="s">
        <v>311</v>
      </c>
      <c r="F166" s="76">
        <v>0.66</v>
      </c>
      <c r="G166" s="79">
        <v>178615</v>
      </c>
      <c r="H166" s="63">
        <f t="shared" si="5"/>
        <v>117885.90000000001</v>
      </c>
      <c r="I166" s="63">
        <f t="shared" si="9"/>
        <v>0</v>
      </c>
      <c r="J166" s="60"/>
      <c r="K166" s="60"/>
      <c r="L166" s="64"/>
      <c r="M166" s="65"/>
      <c r="N166" s="66"/>
      <c r="O166" s="66"/>
      <c r="P166" s="66"/>
      <c r="Q166" s="66"/>
      <c r="R166" s="66"/>
      <c r="S166" s="66"/>
    </row>
    <row r="167" spans="1:19" ht="16.5" customHeight="1">
      <c r="A167" s="77" t="s">
        <v>552</v>
      </c>
      <c r="B167" s="78" t="s">
        <v>553</v>
      </c>
      <c r="C167" s="74" t="s">
        <v>453</v>
      </c>
      <c r="D167" s="75"/>
      <c r="E167" s="79" t="s">
        <v>311</v>
      </c>
      <c r="F167" s="76">
        <v>0.89</v>
      </c>
      <c r="G167" s="79">
        <v>178615</v>
      </c>
      <c r="H167" s="63">
        <f t="shared" si="5"/>
        <v>158967.35</v>
      </c>
      <c r="I167" s="63">
        <f t="shared" si="9"/>
        <v>0</v>
      </c>
      <c r="J167" s="60"/>
      <c r="K167" s="60"/>
      <c r="L167" s="64"/>
      <c r="M167" s="65"/>
      <c r="N167" s="66"/>
      <c r="O167" s="66"/>
      <c r="P167" s="66"/>
      <c r="Q167" s="66"/>
      <c r="R167" s="66"/>
      <c r="S167" s="66"/>
    </row>
    <row r="168" spans="1:19" ht="16.5" customHeight="1">
      <c r="A168" s="77" t="s">
        <v>554</v>
      </c>
      <c r="B168" s="78" t="s">
        <v>555</v>
      </c>
      <c r="C168" s="74" t="s">
        <v>136</v>
      </c>
      <c r="D168" s="75"/>
      <c r="E168" s="79" t="s">
        <v>311</v>
      </c>
      <c r="F168" s="76">
        <v>0.68</v>
      </c>
      <c r="G168" s="79">
        <v>178615</v>
      </c>
      <c r="H168" s="63">
        <f t="shared" ref="H168:H231" si="10">+G168*F168</f>
        <v>121458.20000000001</v>
      </c>
      <c r="I168" s="63">
        <f t="shared" si="9"/>
        <v>0</v>
      </c>
      <c r="J168" s="60"/>
      <c r="K168" s="60"/>
      <c r="L168" s="64"/>
      <c r="M168" s="65"/>
      <c r="N168" s="66"/>
      <c r="O168" s="66"/>
      <c r="P168" s="66"/>
      <c r="Q168" s="66"/>
      <c r="R168" s="66"/>
      <c r="S168" s="66"/>
    </row>
    <row r="169" spans="1:19" ht="16.5" customHeight="1">
      <c r="A169" s="77" t="s">
        <v>556</v>
      </c>
      <c r="B169" s="78" t="s">
        <v>557</v>
      </c>
      <c r="C169" s="74" t="s">
        <v>136</v>
      </c>
      <c r="D169" s="75"/>
      <c r="E169" s="79" t="s">
        <v>311</v>
      </c>
      <c r="F169" s="76">
        <v>1.056</v>
      </c>
      <c r="G169" s="79">
        <v>178615</v>
      </c>
      <c r="H169" s="63">
        <f t="shared" si="10"/>
        <v>188617.44</v>
      </c>
      <c r="I169" s="63">
        <f t="shared" si="9"/>
        <v>0</v>
      </c>
      <c r="J169" s="60"/>
      <c r="K169" s="60"/>
      <c r="L169" s="64"/>
      <c r="M169" s="65"/>
      <c r="N169" s="66"/>
      <c r="O169" s="66"/>
      <c r="P169" s="66"/>
      <c r="Q169" s="66"/>
      <c r="R169" s="66"/>
      <c r="S169" s="66"/>
    </row>
    <row r="170" spans="1:19" ht="16.5" customHeight="1">
      <c r="A170" s="77" t="s">
        <v>558</v>
      </c>
      <c r="B170" s="78" t="s">
        <v>559</v>
      </c>
      <c r="C170" s="74" t="s">
        <v>465</v>
      </c>
      <c r="D170" s="75"/>
      <c r="E170" s="79" t="s">
        <v>311</v>
      </c>
      <c r="F170" s="76">
        <v>1.73</v>
      </c>
      <c r="G170" s="79">
        <v>178615</v>
      </c>
      <c r="H170" s="63">
        <f t="shared" si="10"/>
        <v>309003.95</v>
      </c>
      <c r="I170" s="63">
        <f t="shared" si="9"/>
        <v>0</v>
      </c>
      <c r="J170" s="60"/>
      <c r="K170" s="60"/>
      <c r="L170" s="64"/>
      <c r="M170" s="65"/>
      <c r="N170" s="66"/>
      <c r="O170" s="66"/>
      <c r="P170" s="66"/>
      <c r="Q170" s="66"/>
      <c r="R170" s="66"/>
      <c r="S170" s="66"/>
    </row>
    <row r="171" spans="1:19" ht="16.5" customHeight="1">
      <c r="A171" s="77" t="s">
        <v>560</v>
      </c>
      <c r="B171" s="78" t="s">
        <v>561</v>
      </c>
      <c r="C171" s="74" t="s">
        <v>136</v>
      </c>
      <c r="D171" s="75"/>
      <c r="E171" s="79" t="s">
        <v>311</v>
      </c>
      <c r="F171" s="76">
        <v>1.05</v>
      </c>
      <c r="G171" s="79">
        <v>178615</v>
      </c>
      <c r="H171" s="63">
        <f t="shared" si="10"/>
        <v>187545.75</v>
      </c>
      <c r="I171" s="63">
        <f t="shared" si="9"/>
        <v>0</v>
      </c>
      <c r="J171" s="60"/>
      <c r="K171" s="60"/>
      <c r="L171" s="64"/>
      <c r="M171" s="65"/>
      <c r="N171" s="66"/>
      <c r="O171" s="66"/>
      <c r="P171" s="66"/>
      <c r="Q171" s="66"/>
      <c r="R171" s="66"/>
      <c r="S171" s="66"/>
    </row>
    <row r="172" spans="1:19" ht="16.5" customHeight="1">
      <c r="A172" s="77" t="s">
        <v>562</v>
      </c>
      <c r="B172" s="78" t="s">
        <v>241</v>
      </c>
      <c r="C172" s="74" t="s">
        <v>136</v>
      </c>
      <c r="D172" s="75"/>
      <c r="E172" s="79" t="s">
        <v>311</v>
      </c>
      <c r="F172" s="76">
        <v>1.07</v>
      </c>
      <c r="G172" s="79">
        <v>178615</v>
      </c>
      <c r="H172" s="63">
        <f t="shared" si="10"/>
        <v>191118.05000000002</v>
      </c>
      <c r="I172" s="63">
        <f t="shared" si="9"/>
        <v>0</v>
      </c>
      <c r="J172" s="60"/>
      <c r="K172" s="60"/>
      <c r="L172" s="64"/>
      <c r="M172" s="65"/>
      <c r="N172" s="66"/>
      <c r="O172" s="66"/>
      <c r="P172" s="66"/>
      <c r="Q172" s="66"/>
      <c r="R172" s="66"/>
      <c r="S172" s="66"/>
    </row>
    <row r="173" spans="1:19" ht="16.5" customHeight="1">
      <c r="A173" s="77" t="s">
        <v>563</v>
      </c>
      <c r="B173" s="78" t="s">
        <v>564</v>
      </c>
      <c r="C173" s="74" t="s">
        <v>136</v>
      </c>
      <c r="D173" s="75"/>
      <c r="E173" s="79" t="s">
        <v>311</v>
      </c>
      <c r="F173" s="76">
        <v>1.22</v>
      </c>
      <c r="G173" s="79">
        <v>178615</v>
      </c>
      <c r="H173" s="63">
        <f t="shared" si="10"/>
        <v>217910.3</v>
      </c>
      <c r="I173" s="63">
        <f t="shared" si="9"/>
        <v>0</v>
      </c>
      <c r="J173" s="60"/>
      <c r="K173" s="60"/>
      <c r="L173" s="64"/>
      <c r="M173" s="65"/>
      <c r="N173" s="66"/>
      <c r="O173" s="66"/>
      <c r="P173" s="66"/>
      <c r="Q173" s="66"/>
      <c r="R173" s="66"/>
      <c r="S173" s="66"/>
    </row>
    <row r="174" spans="1:19" ht="16.5" customHeight="1">
      <c r="A174" s="77" t="s">
        <v>565</v>
      </c>
      <c r="B174" s="78" t="s">
        <v>566</v>
      </c>
      <c r="C174" s="74" t="s">
        <v>136</v>
      </c>
      <c r="D174" s="75"/>
      <c r="E174" s="79" t="s">
        <v>311</v>
      </c>
      <c r="F174" s="76">
        <v>1.53</v>
      </c>
      <c r="G174" s="79">
        <v>178615</v>
      </c>
      <c r="H174" s="63">
        <f t="shared" si="10"/>
        <v>273280.95</v>
      </c>
      <c r="I174" s="63">
        <f t="shared" si="9"/>
        <v>0</v>
      </c>
      <c r="J174" s="60"/>
      <c r="K174" s="60"/>
      <c r="L174" s="64"/>
      <c r="M174" s="65"/>
      <c r="N174" s="66"/>
      <c r="O174" s="66"/>
      <c r="P174" s="66"/>
      <c r="Q174" s="66"/>
      <c r="R174" s="66"/>
      <c r="S174" s="66"/>
    </row>
    <row r="175" spans="1:19" ht="16.5" customHeight="1">
      <c r="A175" s="77" t="s">
        <v>567</v>
      </c>
      <c r="B175" s="78" t="s">
        <v>568</v>
      </c>
      <c r="C175" s="74" t="s">
        <v>136</v>
      </c>
      <c r="D175" s="75"/>
      <c r="E175" s="79" t="s">
        <v>311</v>
      </c>
      <c r="F175" s="76">
        <v>0.53</v>
      </c>
      <c r="G175" s="79">
        <v>178615</v>
      </c>
      <c r="H175" s="63">
        <f t="shared" si="10"/>
        <v>94665.950000000012</v>
      </c>
      <c r="I175" s="63">
        <f t="shared" si="9"/>
        <v>0</v>
      </c>
      <c r="J175" s="60"/>
      <c r="K175" s="60"/>
      <c r="L175" s="64"/>
      <c r="M175" s="65"/>
      <c r="N175" s="66"/>
      <c r="O175" s="66"/>
      <c r="P175" s="66"/>
      <c r="Q175" s="66"/>
      <c r="R175" s="66"/>
      <c r="S175" s="66"/>
    </row>
    <row r="176" spans="1:19" ht="16.5" customHeight="1">
      <c r="A176" s="77" t="s">
        <v>569</v>
      </c>
      <c r="B176" s="78" t="s">
        <v>570</v>
      </c>
      <c r="C176" s="74" t="s">
        <v>571</v>
      </c>
      <c r="D176" s="75"/>
      <c r="E176" s="79" t="s">
        <v>311</v>
      </c>
      <c r="F176" s="76">
        <v>0.59</v>
      </c>
      <c r="G176" s="79">
        <v>178615</v>
      </c>
      <c r="H176" s="63">
        <f t="shared" si="10"/>
        <v>105382.84999999999</v>
      </c>
      <c r="I176" s="63">
        <f t="shared" si="9"/>
        <v>0</v>
      </c>
      <c r="J176" s="60"/>
      <c r="K176" s="60"/>
      <c r="L176" s="64"/>
      <c r="M176" s="65"/>
      <c r="N176" s="66"/>
      <c r="O176" s="66"/>
      <c r="P176" s="66"/>
      <c r="Q176" s="66"/>
      <c r="R176" s="66"/>
      <c r="S176" s="66"/>
    </row>
    <row r="177" spans="1:19" ht="16.5" customHeight="1">
      <c r="A177" s="77" t="s">
        <v>572</v>
      </c>
      <c r="B177" s="78" t="s">
        <v>489</v>
      </c>
      <c r="C177" s="74" t="s">
        <v>136</v>
      </c>
      <c r="D177" s="75"/>
      <c r="E177" s="79" t="s">
        <v>311</v>
      </c>
      <c r="F177" s="76">
        <v>1.05</v>
      </c>
      <c r="G177" s="79">
        <v>178615</v>
      </c>
      <c r="H177" s="63">
        <f t="shared" si="10"/>
        <v>187545.75</v>
      </c>
      <c r="I177" s="63">
        <f t="shared" si="9"/>
        <v>0</v>
      </c>
      <c r="J177" s="60"/>
      <c r="K177" s="60"/>
      <c r="L177" s="64"/>
      <c r="M177" s="65"/>
      <c r="N177" s="66"/>
      <c r="O177" s="66"/>
      <c r="P177" s="66"/>
      <c r="Q177" s="66"/>
      <c r="R177" s="66"/>
      <c r="S177" s="66"/>
    </row>
    <row r="178" spans="1:19" ht="16.5" customHeight="1">
      <c r="A178" s="83" t="s">
        <v>573</v>
      </c>
      <c r="B178" s="55" t="s">
        <v>574</v>
      </c>
      <c r="C178" s="81"/>
      <c r="D178" s="75"/>
      <c r="E178" s="84"/>
      <c r="F178" s="76"/>
      <c r="G178" s="79"/>
      <c r="H178" s="63">
        <f t="shared" si="10"/>
        <v>0</v>
      </c>
      <c r="I178" s="63">
        <f t="shared" si="9"/>
        <v>0</v>
      </c>
      <c r="J178" s="60"/>
      <c r="K178" s="60"/>
      <c r="L178" s="64"/>
      <c r="M178" s="65"/>
      <c r="N178" s="66"/>
      <c r="O178" s="66"/>
      <c r="P178" s="66"/>
      <c r="Q178" s="66"/>
      <c r="R178" s="66"/>
      <c r="S178" s="66"/>
    </row>
    <row r="179" spans="1:19" ht="16.5" customHeight="1">
      <c r="A179" s="85" t="s">
        <v>575</v>
      </c>
      <c r="B179" s="78" t="s">
        <v>576</v>
      </c>
      <c r="C179" s="74" t="s">
        <v>116</v>
      </c>
      <c r="D179" s="75"/>
      <c r="E179" s="79" t="s">
        <v>311</v>
      </c>
      <c r="F179" s="76">
        <v>0.62</v>
      </c>
      <c r="G179" s="79">
        <v>178615</v>
      </c>
      <c r="H179" s="63">
        <f t="shared" si="10"/>
        <v>110741.3</v>
      </c>
      <c r="I179" s="63">
        <f t="shared" si="9"/>
        <v>0</v>
      </c>
      <c r="J179" s="60"/>
      <c r="K179" s="60"/>
      <c r="L179" s="64"/>
      <c r="M179" s="65"/>
      <c r="N179" s="66"/>
      <c r="O179" s="66"/>
      <c r="P179" s="66"/>
      <c r="Q179" s="66"/>
      <c r="R179" s="66"/>
      <c r="S179" s="66"/>
    </row>
    <row r="180" spans="1:19" ht="16.5" customHeight="1">
      <c r="A180" s="85" t="s">
        <v>577</v>
      </c>
      <c r="B180" s="78" t="s">
        <v>578</v>
      </c>
      <c r="C180" s="74" t="s">
        <v>116</v>
      </c>
      <c r="D180" s="75"/>
      <c r="E180" s="79" t="s">
        <v>311</v>
      </c>
      <c r="F180" s="76">
        <v>0.88</v>
      </c>
      <c r="G180" s="79">
        <v>178615</v>
      </c>
      <c r="H180" s="63">
        <f t="shared" si="10"/>
        <v>157181.20000000001</v>
      </c>
      <c r="I180" s="63">
        <f t="shared" si="9"/>
        <v>0</v>
      </c>
      <c r="J180" s="60"/>
      <c r="K180" s="60"/>
      <c r="L180" s="64"/>
      <c r="M180" s="65"/>
      <c r="N180" s="66"/>
      <c r="O180" s="66"/>
      <c r="P180" s="66"/>
      <c r="Q180" s="66"/>
      <c r="R180" s="66"/>
      <c r="S180" s="66"/>
    </row>
    <row r="181" spans="1:19" ht="16.5" customHeight="1">
      <c r="A181" s="85" t="s">
        <v>579</v>
      </c>
      <c r="B181" s="78" t="s">
        <v>580</v>
      </c>
      <c r="C181" s="74" t="s">
        <v>116</v>
      </c>
      <c r="D181" s="75"/>
      <c r="E181" s="79" t="s">
        <v>311</v>
      </c>
      <c r="F181" s="76">
        <v>1.31</v>
      </c>
      <c r="G181" s="79">
        <v>178615</v>
      </c>
      <c r="H181" s="63">
        <f t="shared" si="10"/>
        <v>233985.65000000002</v>
      </c>
      <c r="I181" s="63">
        <f t="shared" si="9"/>
        <v>0</v>
      </c>
      <c r="J181" s="60"/>
      <c r="K181" s="60"/>
      <c r="L181" s="64"/>
      <c r="M181" s="65"/>
      <c r="N181" s="66"/>
      <c r="O181" s="66"/>
      <c r="P181" s="66"/>
      <c r="Q181" s="66"/>
      <c r="R181" s="66"/>
      <c r="S181" s="66"/>
    </row>
    <row r="182" spans="1:19" ht="16.5" customHeight="1">
      <c r="A182" s="85" t="s">
        <v>581</v>
      </c>
      <c r="B182" s="78" t="s">
        <v>582</v>
      </c>
      <c r="C182" s="74" t="s">
        <v>116</v>
      </c>
      <c r="D182" s="75"/>
      <c r="E182" s="79" t="s">
        <v>311</v>
      </c>
      <c r="F182" s="76">
        <v>2</v>
      </c>
      <c r="G182" s="79">
        <v>178615</v>
      </c>
      <c r="H182" s="63">
        <f t="shared" si="10"/>
        <v>357230</v>
      </c>
      <c r="I182" s="63">
        <f t="shared" si="9"/>
        <v>0</v>
      </c>
      <c r="J182" s="60"/>
      <c r="K182" s="60"/>
      <c r="L182" s="64"/>
      <c r="M182" s="65"/>
      <c r="N182" s="66"/>
      <c r="O182" s="66"/>
      <c r="P182" s="66"/>
      <c r="Q182" s="66"/>
      <c r="R182" s="66"/>
      <c r="S182" s="66"/>
    </row>
    <row r="183" spans="1:19" ht="16.5" customHeight="1">
      <c r="A183" s="85" t="s">
        <v>583</v>
      </c>
      <c r="B183" s="78" t="s">
        <v>584</v>
      </c>
      <c r="C183" s="74" t="s">
        <v>116</v>
      </c>
      <c r="D183" s="75"/>
      <c r="E183" s="79" t="s">
        <v>311</v>
      </c>
      <c r="F183" s="76">
        <v>0.68</v>
      </c>
      <c r="G183" s="79">
        <v>178615</v>
      </c>
      <c r="H183" s="63">
        <f t="shared" si="10"/>
        <v>121458.20000000001</v>
      </c>
      <c r="I183" s="63">
        <f t="shared" si="9"/>
        <v>0</v>
      </c>
      <c r="J183" s="60"/>
      <c r="K183" s="60"/>
      <c r="L183" s="64"/>
      <c r="M183" s="65"/>
      <c r="N183" s="66"/>
      <c r="O183" s="66"/>
      <c r="P183" s="66"/>
      <c r="Q183" s="66"/>
      <c r="R183" s="66"/>
      <c r="S183" s="66"/>
    </row>
    <row r="184" spans="1:19" ht="16.5" customHeight="1">
      <c r="A184" s="85" t="s">
        <v>585</v>
      </c>
      <c r="B184" s="78" t="s">
        <v>586</v>
      </c>
      <c r="C184" s="74" t="s">
        <v>116</v>
      </c>
      <c r="D184" s="75"/>
      <c r="E184" s="79" t="s">
        <v>311</v>
      </c>
      <c r="F184" s="76">
        <v>0.95</v>
      </c>
      <c r="G184" s="79">
        <v>178615</v>
      </c>
      <c r="H184" s="63">
        <f t="shared" si="10"/>
        <v>169684.25</v>
      </c>
      <c r="I184" s="63">
        <f t="shared" si="9"/>
        <v>0</v>
      </c>
      <c r="J184" s="60"/>
      <c r="K184" s="60"/>
      <c r="L184" s="64"/>
      <c r="M184" s="65"/>
      <c r="N184" s="66"/>
      <c r="O184" s="66"/>
      <c r="P184" s="66"/>
      <c r="Q184" s="66"/>
      <c r="R184" s="66"/>
      <c r="S184" s="66"/>
    </row>
    <row r="185" spans="1:19" ht="16.5" customHeight="1">
      <c r="A185" s="85" t="s">
        <v>587</v>
      </c>
      <c r="B185" s="78" t="s">
        <v>588</v>
      </c>
      <c r="C185" s="74" t="s">
        <v>116</v>
      </c>
      <c r="D185" s="75"/>
      <c r="E185" s="79" t="s">
        <v>311</v>
      </c>
      <c r="F185" s="76">
        <v>1.38</v>
      </c>
      <c r="G185" s="79">
        <v>178615</v>
      </c>
      <c r="H185" s="63">
        <f t="shared" si="10"/>
        <v>246488.69999999998</v>
      </c>
      <c r="I185" s="63">
        <f t="shared" si="9"/>
        <v>0</v>
      </c>
      <c r="J185" s="60"/>
      <c r="K185" s="60"/>
      <c r="L185" s="64"/>
      <c r="M185" s="65"/>
      <c r="N185" s="66"/>
      <c r="O185" s="66"/>
      <c r="P185" s="66"/>
      <c r="Q185" s="66"/>
      <c r="R185" s="66"/>
      <c r="S185" s="66"/>
    </row>
    <row r="186" spans="1:19" ht="16.5" customHeight="1">
      <c r="A186" s="85" t="s">
        <v>589</v>
      </c>
      <c r="B186" s="78" t="s">
        <v>590</v>
      </c>
      <c r="C186" s="74" t="s">
        <v>116</v>
      </c>
      <c r="D186" s="75"/>
      <c r="E186" s="79" t="s">
        <v>311</v>
      </c>
      <c r="F186" s="76">
        <v>2.1</v>
      </c>
      <c r="G186" s="79">
        <v>178615</v>
      </c>
      <c r="H186" s="63">
        <f t="shared" si="10"/>
        <v>375091.5</v>
      </c>
      <c r="I186" s="63">
        <f t="shared" si="9"/>
        <v>0</v>
      </c>
      <c r="J186" s="60"/>
      <c r="K186" s="60"/>
      <c r="L186" s="64"/>
      <c r="M186" s="65"/>
      <c r="N186" s="66"/>
      <c r="O186" s="66"/>
      <c r="P186" s="66"/>
      <c r="Q186" s="66"/>
      <c r="R186" s="66"/>
      <c r="S186" s="66"/>
    </row>
    <row r="187" spans="1:19" ht="16.5" customHeight="1">
      <c r="A187" s="86" t="s">
        <v>591</v>
      </c>
      <c r="B187" s="87" t="s">
        <v>592</v>
      </c>
      <c r="C187" s="88" t="s">
        <v>116</v>
      </c>
      <c r="D187" s="75"/>
      <c r="E187" s="79" t="s">
        <v>311</v>
      </c>
      <c r="F187" s="76">
        <v>0.55000000000000004</v>
      </c>
      <c r="G187" s="79">
        <v>178615</v>
      </c>
      <c r="H187" s="63">
        <f t="shared" si="10"/>
        <v>98238.250000000015</v>
      </c>
      <c r="I187" s="63">
        <f t="shared" si="9"/>
        <v>0</v>
      </c>
      <c r="J187" s="60"/>
      <c r="K187" s="60"/>
      <c r="L187" s="64"/>
      <c r="M187" s="65"/>
      <c r="N187" s="66"/>
      <c r="O187" s="66"/>
      <c r="P187" s="66"/>
      <c r="Q187" s="66"/>
      <c r="R187" s="66"/>
      <c r="S187" s="66"/>
    </row>
    <row r="188" spans="1:19" s="165" customFormat="1" ht="16.5" customHeight="1">
      <c r="A188" s="153" t="s">
        <v>3132</v>
      </c>
      <c r="B188" s="153" t="s">
        <v>113</v>
      </c>
      <c r="C188" s="154" t="s">
        <v>47</v>
      </c>
      <c r="D188" s="155"/>
      <c r="E188" s="156" t="s">
        <v>311</v>
      </c>
      <c r="F188" s="157">
        <v>1.04</v>
      </c>
      <c r="G188" s="158">
        <v>210185</v>
      </c>
      <c r="H188" s="159">
        <f t="shared" si="10"/>
        <v>218592.4</v>
      </c>
      <c r="I188" s="160">
        <f t="shared" si="9"/>
        <v>0</v>
      </c>
      <c r="J188" s="161"/>
      <c r="K188" s="161"/>
      <c r="L188" s="162"/>
      <c r="M188" s="163"/>
      <c r="N188" s="164"/>
      <c r="O188" s="164"/>
      <c r="P188" s="164"/>
      <c r="Q188" s="164"/>
      <c r="R188" s="164"/>
      <c r="S188" s="164"/>
    </row>
    <row r="189" spans="1:19" ht="16.5" customHeight="1">
      <c r="A189" s="89" t="s">
        <v>593</v>
      </c>
      <c r="B189" s="90" t="s">
        <v>594</v>
      </c>
      <c r="C189" s="91" t="s">
        <v>116</v>
      </c>
      <c r="D189" s="75"/>
      <c r="E189" s="79" t="s">
        <v>311</v>
      </c>
      <c r="F189" s="76">
        <v>1.1200000000000001</v>
      </c>
      <c r="G189" s="79">
        <v>178615</v>
      </c>
      <c r="H189" s="63">
        <f t="shared" si="10"/>
        <v>200048.80000000002</v>
      </c>
      <c r="I189" s="63">
        <f t="shared" si="9"/>
        <v>0</v>
      </c>
      <c r="J189" s="60"/>
      <c r="K189" s="60"/>
      <c r="L189" s="64"/>
      <c r="M189" s="65"/>
      <c r="N189" s="66"/>
      <c r="O189" s="66"/>
      <c r="P189" s="66"/>
      <c r="Q189" s="66"/>
      <c r="R189" s="66"/>
      <c r="S189" s="66"/>
    </row>
    <row r="190" spans="1:19" ht="16.5" customHeight="1">
      <c r="A190" s="85" t="s">
        <v>595</v>
      </c>
      <c r="B190" s="78" t="s">
        <v>596</v>
      </c>
      <c r="C190" s="74" t="s">
        <v>116</v>
      </c>
      <c r="D190" s="75"/>
      <c r="E190" s="79" t="s">
        <v>311</v>
      </c>
      <c r="F190" s="76">
        <v>1.67</v>
      </c>
      <c r="G190" s="79">
        <v>178615</v>
      </c>
      <c r="H190" s="63">
        <f t="shared" si="10"/>
        <v>298287.05</v>
      </c>
      <c r="I190" s="63">
        <f t="shared" si="9"/>
        <v>0</v>
      </c>
      <c r="J190" s="60"/>
      <c r="K190" s="60"/>
      <c r="L190" s="64"/>
      <c r="M190" s="65"/>
      <c r="N190" s="66"/>
      <c r="O190" s="66"/>
      <c r="P190" s="66"/>
      <c r="Q190" s="66"/>
      <c r="R190" s="66"/>
      <c r="S190" s="66"/>
    </row>
    <row r="191" spans="1:19" ht="16.5" customHeight="1">
      <c r="A191" s="85" t="s">
        <v>597</v>
      </c>
      <c r="B191" s="78" t="s">
        <v>598</v>
      </c>
      <c r="C191" s="74" t="s">
        <v>116</v>
      </c>
      <c r="D191" s="75"/>
      <c r="E191" s="79" t="s">
        <v>311</v>
      </c>
      <c r="F191" s="76">
        <v>0.59</v>
      </c>
      <c r="G191" s="79">
        <v>178615</v>
      </c>
      <c r="H191" s="63">
        <f t="shared" si="10"/>
        <v>105382.84999999999</v>
      </c>
      <c r="I191" s="63">
        <f t="shared" si="9"/>
        <v>0</v>
      </c>
      <c r="J191" s="60"/>
      <c r="K191" s="60"/>
      <c r="L191" s="64"/>
      <c r="M191" s="65"/>
      <c r="N191" s="66"/>
      <c r="O191" s="66"/>
      <c r="P191" s="66"/>
      <c r="Q191" s="66"/>
      <c r="R191" s="66"/>
      <c r="S191" s="66"/>
    </row>
    <row r="192" spans="1:19" ht="16.5" customHeight="1">
      <c r="A192" s="85" t="s">
        <v>599</v>
      </c>
      <c r="B192" s="78" t="s">
        <v>600</v>
      </c>
      <c r="C192" s="74" t="s">
        <v>116</v>
      </c>
      <c r="D192" s="75"/>
      <c r="E192" s="79" t="s">
        <v>311</v>
      </c>
      <c r="F192" s="76">
        <v>0.8</v>
      </c>
      <c r="G192" s="79">
        <v>178615</v>
      </c>
      <c r="H192" s="63">
        <f t="shared" si="10"/>
        <v>142892</v>
      </c>
      <c r="I192" s="63">
        <f t="shared" si="9"/>
        <v>0</v>
      </c>
      <c r="J192" s="60"/>
      <c r="K192" s="60"/>
      <c r="L192" s="64"/>
      <c r="M192" s="65"/>
      <c r="N192" s="66"/>
      <c r="O192" s="66"/>
      <c r="P192" s="66"/>
      <c r="Q192" s="66"/>
      <c r="R192" s="66"/>
      <c r="S192" s="66"/>
    </row>
    <row r="193" spans="1:19" ht="16.5" customHeight="1">
      <c r="A193" s="85" t="s">
        <v>601</v>
      </c>
      <c r="B193" s="78" t="s">
        <v>602</v>
      </c>
      <c r="C193" s="74" t="s">
        <v>116</v>
      </c>
      <c r="D193" s="75"/>
      <c r="E193" s="79" t="s">
        <v>311</v>
      </c>
      <c r="F193" s="76">
        <v>1.2</v>
      </c>
      <c r="G193" s="79">
        <v>178615</v>
      </c>
      <c r="H193" s="63">
        <f t="shared" si="10"/>
        <v>214338</v>
      </c>
      <c r="I193" s="63">
        <f t="shared" si="9"/>
        <v>0</v>
      </c>
      <c r="J193" s="60"/>
      <c r="K193" s="60"/>
      <c r="L193" s="64"/>
      <c r="M193" s="65"/>
      <c r="N193" s="66"/>
      <c r="O193" s="66"/>
      <c r="P193" s="66"/>
      <c r="Q193" s="66"/>
      <c r="R193" s="66"/>
      <c r="S193" s="66"/>
    </row>
    <row r="194" spans="1:19" ht="16.5" customHeight="1">
      <c r="A194" s="85" t="s">
        <v>603</v>
      </c>
      <c r="B194" s="78" t="s">
        <v>604</v>
      </c>
      <c r="C194" s="74" t="s">
        <v>116</v>
      </c>
      <c r="D194" s="75"/>
      <c r="E194" s="79" t="s">
        <v>311</v>
      </c>
      <c r="F194" s="76">
        <v>1.76</v>
      </c>
      <c r="G194" s="79">
        <v>178615</v>
      </c>
      <c r="H194" s="63">
        <f t="shared" si="10"/>
        <v>314362.40000000002</v>
      </c>
      <c r="I194" s="63">
        <f t="shared" si="9"/>
        <v>0</v>
      </c>
      <c r="J194" s="60"/>
      <c r="K194" s="60"/>
      <c r="L194" s="64"/>
      <c r="M194" s="65"/>
      <c r="N194" s="66"/>
      <c r="O194" s="66"/>
      <c r="P194" s="66"/>
      <c r="Q194" s="66"/>
      <c r="R194" s="66"/>
      <c r="S194" s="66"/>
    </row>
    <row r="195" spans="1:19" ht="16.5" customHeight="1">
      <c r="A195" s="85" t="s">
        <v>605</v>
      </c>
      <c r="B195" s="78" t="s">
        <v>606</v>
      </c>
      <c r="C195" s="74" t="s">
        <v>116</v>
      </c>
      <c r="D195" s="75"/>
      <c r="E195" s="79" t="s">
        <v>311</v>
      </c>
      <c r="F195" s="76">
        <v>3.4000000000000002E-2</v>
      </c>
      <c r="G195" s="79">
        <v>178615</v>
      </c>
      <c r="H195" s="63">
        <f t="shared" si="10"/>
        <v>6072.9100000000008</v>
      </c>
      <c r="I195" s="63">
        <f t="shared" si="9"/>
        <v>0</v>
      </c>
      <c r="J195" s="60"/>
      <c r="K195" s="60"/>
      <c r="L195" s="64"/>
      <c r="M195" s="65"/>
      <c r="N195" s="66"/>
      <c r="O195" s="66"/>
      <c r="P195" s="66"/>
      <c r="Q195" s="66"/>
      <c r="R195" s="66"/>
      <c r="S195" s="66"/>
    </row>
    <row r="196" spans="1:19" ht="16.5" customHeight="1">
      <c r="A196" s="85" t="s">
        <v>607</v>
      </c>
      <c r="B196" s="78" t="s">
        <v>608</v>
      </c>
      <c r="C196" s="74" t="s">
        <v>116</v>
      </c>
      <c r="D196" s="75"/>
      <c r="E196" s="79" t="s">
        <v>311</v>
      </c>
      <c r="F196" s="76">
        <v>3.5000000000000003E-2</v>
      </c>
      <c r="G196" s="79">
        <v>178615</v>
      </c>
      <c r="H196" s="63">
        <f t="shared" si="10"/>
        <v>6251.5250000000005</v>
      </c>
      <c r="I196" s="63">
        <f t="shared" si="9"/>
        <v>0</v>
      </c>
      <c r="J196" s="60"/>
      <c r="K196" s="60"/>
      <c r="L196" s="64"/>
      <c r="M196" s="65"/>
      <c r="N196" s="66"/>
      <c r="O196" s="66"/>
      <c r="P196" s="66"/>
      <c r="Q196" s="66"/>
      <c r="R196" s="66"/>
      <c r="S196" s="66"/>
    </row>
    <row r="197" spans="1:19" ht="16.5" customHeight="1">
      <c r="A197" s="85" t="s">
        <v>609</v>
      </c>
      <c r="B197" s="78" t="s">
        <v>610</v>
      </c>
      <c r="C197" s="74" t="s">
        <v>116</v>
      </c>
      <c r="D197" s="75"/>
      <c r="E197" s="79" t="s">
        <v>311</v>
      </c>
      <c r="F197" s="76">
        <v>3.7999999999999999E-2</v>
      </c>
      <c r="G197" s="79">
        <v>178615</v>
      </c>
      <c r="H197" s="63">
        <f t="shared" si="10"/>
        <v>6787.37</v>
      </c>
      <c r="I197" s="63">
        <f t="shared" si="9"/>
        <v>0</v>
      </c>
      <c r="J197" s="60"/>
      <c r="K197" s="60"/>
      <c r="L197" s="64"/>
      <c r="M197" s="65"/>
      <c r="N197" s="66"/>
      <c r="O197" s="66"/>
      <c r="P197" s="66"/>
      <c r="Q197" s="66"/>
      <c r="R197" s="66"/>
      <c r="S197" s="66"/>
    </row>
    <row r="198" spans="1:19" ht="16.5" customHeight="1">
      <c r="A198" s="85" t="s">
        <v>611</v>
      </c>
      <c r="B198" s="78" t="s">
        <v>612</v>
      </c>
      <c r="C198" s="74" t="s">
        <v>116</v>
      </c>
      <c r="D198" s="75"/>
      <c r="E198" s="79" t="s">
        <v>311</v>
      </c>
      <c r="F198" s="76">
        <v>4.1000000000000002E-2</v>
      </c>
      <c r="G198" s="79">
        <v>178615</v>
      </c>
      <c r="H198" s="63">
        <f t="shared" si="10"/>
        <v>7323.2150000000001</v>
      </c>
      <c r="I198" s="63">
        <f t="shared" si="9"/>
        <v>0</v>
      </c>
      <c r="J198" s="60"/>
      <c r="K198" s="60"/>
      <c r="L198" s="64"/>
      <c r="M198" s="65"/>
      <c r="N198" s="66"/>
      <c r="O198" s="66"/>
      <c r="P198" s="66"/>
      <c r="Q198" s="66"/>
      <c r="R198" s="66"/>
      <c r="S198" s="66"/>
    </row>
    <row r="199" spans="1:19" ht="16.5" customHeight="1">
      <c r="A199" s="83" t="s">
        <v>613</v>
      </c>
      <c r="B199" s="55" t="s">
        <v>614</v>
      </c>
      <c r="C199" s="81"/>
      <c r="D199" s="75"/>
      <c r="E199" s="84"/>
      <c r="F199" s="76"/>
      <c r="G199" s="79"/>
      <c r="H199" s="63">
        <f t="shared" si="10"/>
        <v>0</v>
      </c>
      <c r="I199" s="63">
        <f t="shared" si="9"/>
        <v>0</v>
      </c>
      <c r="J199" s="60"/>
      <c r="K199" s="60"/>
      <c r="L199" s="64"/>
      <c r="M199" s="65"/>
      <c r="N199" s="66"/>
      <c r="O199" s="66"/>
      <c r="P199" s="66"/>
      <c r="Q199" s="66"/>
      <c r="R199" s="66"/>
      <c r="S199" s="66"/>
    </row>
    <row r="200" spans="1:19" ht="16.5" customHeight="1">
      <c r="A200" s="85" t="s">
        <v>615</v>
      </c>
      <c r="B200" s="78" t="s">
        <v>616</v>
      </c>
      <c r="C200" s="74" t="s">
        <v>116</v>
      </c>
      <c r="D200" s="75"/>
      <c r="E200" s="79" t="s">
        <v>311</v>
      </c>
      <c r="F200" s="76">
        <f>5.23/100</f>
        <v>5.2300000000000006E-2</v>
      </c>
      <c r="G200" s="79">
        <v>178615</v>
      </c>
      <c r="H200" s="63">
        <f t="shared" si="10"/>
        <v>9341.5645000000004</v>
      </c>
      <c r="I200" s="63">
        <f>+L200</f>
        <v>768103.92246153846</v>
      </c>
      <c r="J200" s="60"/>
      <c r="K200" s="60"/>
      <c r="L200" s="64">
        <f>+((M200*N200)+(O200*P200)+(Q200*R200))*(1+S200/100)</f>
        <v>768103.92246153846</v>
      </c>
      <c r="M200" s="82">
        <v>0.316</v>
      </c>
      <c r="N200" s="66">
        <v>2430708.6153846155</v>
      </c>
      <c r="O200" s="66"/>
      <c r="P200" s="66"/>
      <c r="Q200" s="66"/>
      <c r="R200" s="66"/>
      <c r="S200" s="66"/>
    </row>
    <row r="201" spans="1:19" ht="16.5" customHeight="1">
      <c r="A201" s="85" t="s">
        <v>617</v>
      </c>
      <c r="B201" s="78" t="s">
        <v>618</v>
      </c>
      <c r="C201" s="74" t="s">
        <v>116</v>
      </c>
      <c r="D201" s="75"/>
      <c r="E201" s="79" t="s">
        <v>311</v>
      </c>
      <c r="F201" s="76">
        <f>6.72/100</f>
        <v>6.7199999999999996E-2</v>
      </c>
      <c r="G201" s="79">
        <v>178615</v>
      </c>
      <c r="H201" s="63">
        <f t="shared" si="10"/>
        <v>12002.928</v>
      </c>
      <c r="I201" s="63">
        <f>+L201</f>
        <v>904223.60492307693</v>
      </c>
      <c r="J201" s="60"/>
      <c r="K201" s="60"/>
      <c r="L201" s="64">
        <f>+((M201*N201)+(O201*P201)+(Q201*R201))*(1+S201/100)</f>
        <v>904223.60492307693</v>
      </c>
      <c r="M201" s="82">
        <v>0.372</v>
      </c>
      <c r="N201" s="66">
        <f>+N200</f>
        <v>2430708.6153846155</v>
      </c>
      <c r="O201" s="66"/>
      <c r="P201" s="66"/>
      <c r="Q201" s="66"/>
      <c r="R201" s="66"/>
      <c r="S201" s="66"/>
    </row>
    <row r="202" spans="1:19" ht="16.5" customHeight="1">
      <c r="A202" s="85" t="s">
        <v>619</v>
      </c>
      <c r="B202" s="78" t="s">
        <v>620</v>
      </c>
      <c r="C202" s="74" t="s">
        <v>116</v>
      </c>
      <c r="D202" s="75"/>
      <c r="E202" s="79" t="s">
        <v>311</v>
      </c>
      <c r="F202" s="76">
        <f>8.23/100</f>
        <v>8.2299999999999998E-2</v>
      </c>
      <c r="G202" s="79">
        <v>178615</v>
      </c>
      <c r="H202" s="63">
        <f t="shared" si="10"/>
        <v>14700.014499999999</v>
      </c>
      <c r="I202" s="63">
        <f>+L202</f>
        <v>1263968.4800000002</v>
      </c>
      <c r="J202" s="60"/>
      <c r="K202" s="60"/>
      <c r="L202" s="64">
        <f>+((M202*N202)+(O202*P202)+(Q202*R202))*(1+S202/100)</f>
        <v>1263968.4800000002</v>
      </c>
      <c r="M202" s="82">
        <v>0.52</v>
      </c>
      <c r="N202" s="66">
        <f>+N201</f>
        <v>2430708.6153846155</v>
      </c>
      <c r="O202" s="66"/>
      <c r="P202" s="66"/>
      <c r="Q202" s="66"/>
      <c r="R202" s="66"/>
      <c r="S202" s="66"/>
    </row>
    <row r="203" spans="1:19" ht="16.5" customHeight="1">
      <c r="A203" s="85" t="s">
        <v>621</v>
      </c>
      <c r="B203" s="78" t="s">
        <v>622</v>
      </c>
      <c r="C203" s="74" t="s">
        <v>116</v>
      </c>
      <c r="D203" s="75"/>
      <c r="E203" s="79" t="s">
        <v>311</v>
      </c>
      <c r="F203" s="76">
        <f>8.92/100</f>
        <v>8.9200000000000002E-2</v>
      </c>
      <c r="G203" s="79">
        <v>178615</v>
      </c>
      <c r="H203" s="63">
        <f t="shared" si="10"/>
        <v>15932.458000000001</v>
      </c>
      <c r="I203" s="63">
        <f>+L203</f>
        <v>1465717.295076923</v>
      </c>
      <c r="J203" s="60"/>
      <c r="K203" s="60"/>
      <c r="L203" s="64">
        <f>+((M203*N203)+(O203*P203)+(Q203*R203))*(1+S203/100)</f>
        <v>1465717.295076923</v>
      </c>
      <c r="M203" s="82">
        <v>0.60299999999999998</v>
      </c>
      <c r="N203" s="66">
        <f>+N202</f>
        <v>2430708.6153846155</v>
      </c>
      <c r="O203" s="66"/>
      <c r="P203" s="66"/>
      <c r="Q203" s="66"/>
      <c r="R203" s="66"/>
      <c r="S203" s="66"/>
    </row>
    <row r="204" spans="1:19" ht="16.5" customHeight="1">
      <c r="A204" s="85" t="s">
        <v>623</v>
      </c>
      <c r="B204" s="78" t="s">
        <v>624</v>
      </c>
      <c r="C204" s="74" t="s">
        <v>116</v>
      </c>
      <c r="D204" s="75"/>
      <c r="E204" s="79" t="s">
        <v>311</v>
      </c>
      <c r="F204" s="76">
        <v>0.78</v>
      </c>
      <c r="G204" s="79">
        <v>178615</v>
      </c>
      <c r="H204" s="63">
        <f t="shared" si="10"/>
        <v>139319.70000000001</v>
      </c>
      <c r="I204" s="63">
        <f t="shared" si="9"/>
        <v>0</v>
      </c>
      <c r="J204" s="60"/>
      <c r="K204" s="60"/>
      <c r="L204" s="64"/>
      <c r="M204" s="65"/>
      <c r="N204" s="66"/>
      <c r="O204" s="66"/>
      <c r="P204" s="66"/>
      <c r="Q204" s="66"/>
      <c r="R204" s="66"/>
      <c r="S204" s="66"/>
    </row>
    <row r="205" spans="1:19" ht="16.5" customHeight="1">
      <c r="A205" s="85" t="s">
        <v>625</v>
      </c>
      <c r="B205" s="78" t="s">
        <v>626</v>
      </c>
      <c r="C205" s="74" t="s">
        <v>116</v>
      </c>
      <c r="D205" s="75"/>
      <c r="E205" s="79" t="s">
        <v>311</v>
      </c>
      <c r="F205" s="76">
        <v>1.1399999999999999</v>
      </c>
      <c r="G205" s="79">
        <v>178615</v>
      </c>
      <c r="H205" s="63">
        <f t="shared" si="10"/>
        <v>203621.09999999998</v>
      </c>
      <c r="I205" s="63">
        <f t="shared" si="9"/>
        <v>0</v>
      </c>
      <c r="J205" s="60"/>
      <c r="K205" s="60"/>
      <c r="L205" s="64"/>
      <c r="M205" s="65"/>
      <c r="N205" s="66"/>
      <c r="O205" s="66"/>
      <c r="P205" s="66"/>
      <c r="Q205" s="66"/>
      <c r="R205" s="66"/>
      <c r="S205" s="66"/>
    </row>
    <row r="206" spans="1:19" ht="16.5" customHeight="1">
      <c r="A206" s="85" t="s">
        <v>627</v>
      </c>
      <c r="B206" s="78" t="s">
        <v>628</v>
      </c>
      <c r="C206" s="74" t="s">
        <v>116</v>
      </c>
      <c r="D206" s="75"/>
      <c r="E206" s="79" t="s">
        <v>311</v>
      </c>
      <c r="F206" s="76">
        <v>1.66</v>
      </c>
      <c r="G206" s="79">
        <v>178615</v>
      </c>
      <c r="H206" s="63">
        <f t="shared" si="10"/>
        <v>296500.89999999997</v>
      </c>
      <c r="I206" s="63">
        <f t="shared" si="9"/>
        <v>0</v>
      </c>
      <c r="J206" s="60"/>
      <c r="K206" s="60"/>
      <c r="L206" s="64"/>
      <c r="M206" s="65"/>
      <c r="N206" s="66"/>
      <c r="O206" s="66"/>
      <c r="P206" s="66"/>
      <c r="Q206" s="66"/>
      <c r="R206" s="66"/>
      <c r="S206" s="66"/>
    </row>
    <row r="207" spans="1:19" ht="16.5" customHeight="1">
      <c r="A207" s="85" t="s">
        <v>629</v>
      </c>
      <c r="B207" s="78" t="s">
        <v>630</v>
      </c>
      <c r="C207" s="74" t="s">
        <v>116</v>
      </c>
      <c r="D207" s="75"/>
      <c r="E207" s="79" t="s">
        <v>311</v>
      </c>
      <c r="F207" s="76">
        <v>2.57</v>
      </c>
      <c r="G207" s="79">
        <v>178615</v>
      </c>
      <c r="H207" s="63">
        <f t="shared" si="10"/>
        <v>459040.55</v>
      </c>
      <c r="I207" s="63">
        <f t="shared" si="9"/>
        <v>0</v>
      </c>
      <c r="J207" s="60"/>
      <c r="K207" s="60"/>
      <c r="L207" s="64"/>
      <c r="M207" s="65"/>
      <c r="N207" s="66"/>
      <c r="O207" s="66"/>
      <c r="P207" s="66"/>
      <c r="Q207" s="66"/>
      <c r="R207" s="66"/>
      <c r="S207" s="66"/>
    </row>
    <row r="208" spans="1:19" ht="16.5" customHeight="1">
      <c r="A208" s="85" t="s">
        <v>591</v>
      </c>
      <c r="B208" s="78" t="s">
        <v>592</v>
      </c>
      <c r="C208" s="74" t="s">
        <v>116</v>
      </c>
      <c r="D208" s="75"/>
      <c r="E208" s="79" t="s">
        <v>311</v>
      </c>
      <c r="F208" s="76">
        <v>0.55000000000000004</v>
      </c>
      <c r="G208" s="79">
        <v>178615</v>
      </c>
      <c r="H208" s="63">
        <f t="shared" si="10"/>
        <v>98238.250000000015</v>
      </c>
      <c r="I208" s="63">
        <f t="shared" si="9"/>
        <v>0</v>
      </c>
      <c r="J208" s="60"/>
      <c r="K208" s="60"/>
      <c r="L208" s="64"/>
      <c r="M208" s="65"/>
      <c r="N208" s="66"/>
      <c r="O208" s="66"/>
      <c r="P208" s="66"/>
      <c r="Q208" s="66"/>
      <c r="R208" s="66"/>
      <c r="S208" s="66"/>
    </row>
    <row r="209" spans="1:19" ht="16.5" customHeight="1">
      <c r="A209" s="85" t="s">
        <v>631</v>
      </c>
      <c r="B209" s="78" t="s">
        <v>632</v>
      </c>
      <c r="C209" s="74" t="s">
        <v>116</v>
      </c>
      <c r="D209" s="75"/>
      <c r="E209" s="79" t="s">
        <v>311</v>
      </c>
      <c r="F209" s="76">
        <v>0.75</v>
      </c>
      <c r="G209" s="79">
        <v>178615</v>
      </c>
      <c r="H209" s="63">
        <f t="shared" si="10"/>
        <v>133961.25</v>
      </c>
      <c r="I209" s="63">
        <f t="shared" si="9"/>
        <v>0</v>
      </c>
      <c r="J209" s="60"/>
      <c r="K209" s="60"/>
      <c r="L209" s="64"/>
      <c r="M209" s="65"/>
      <c r="N209" s="66"/>
      <c r="O209" s="66"/>
      <c r="P209" s="66"/>
      <c r="Q209" s="66"/>
      <c r="R209" s="66"/>
      <c r="S209" s="66"/>
    </row>
    <row r="210" spans="1:19" ht="16.5" customHeight="1">
      <c r="A210" s="85" t="s">
        <v>593</v>
      </c>
      <c r="B210" s="78" t="s">
        <v>594</v>
      </c>
      <c r="C210" s="74" t="s">
        <v>116</v>
      </c>
      <c r="D210" s="75"/>
      <c r="E210" s="79" t="s">
        <v>311</v>
      </c>
      <c r="F210" s="76">
        <v>1.1200000000000001</v>
      </c>
      <c r="G210" s="79">
        <v>178615</v>
      </c>
      <c r="H210" s="63">
        <f t="shared" si="10"/>
        <v>200048.80000000002</v>
      </c>
      <c r="I210" s="63">
        <f t="shared" si="9"/>
        <v>0</v>
      </c>
      <c r="J210" s="60"/>
      <c r="K210" s="60"/>
      <c r="L210" s="64"/>
      <c r="M210" s="65"/>
      <c r="N210" s="66"/>
      <c r="O210" s="66"/>
      <c r="P210" s="66"/>
      <c r="Q210" s="66"/>
      <c r="R210" s="66"/>
      <c r="S210" s="66"/>
    </row>
    <row r="211" spans="1:19" ht="16.5" customHeight="1">
      <c r="A211" s="85" t="s">
        <v>595</v>
      </c>
      <c r="B211" s="78" t="s">
        <v>596</v>
      </c>
      <c r="C211" s="74" t="s">
        <v>116</v>
      </c>
      <c r="D211" s="75"/>
      <c r="E211" s="79" t="s">
        <v>311</v>
      </c>
      <c r="F211" s="76">
        <v>1.67</v>
      </c>
      <c r="G211" s="79">
        <v>178615</v>
      </c>
      <c r="H211" s="63">
        <f t="shared" si="10"/>
        <v>298287.05</v>
      </c>
      <c r="I211" s="63">
        <f t="shared" si="9"/>
        <v>0</v>
      </c>
      <c r="J211" s="60"/>
      <c r="K211" s="60"/>
      <c r="L211" s="64"/>
      <c r="M211" s="65"/>
      <c r="N211" s="66"/>
      <c r="O211" s="66"/>
      <c r="P211" s="66"/>
      <c r="Q211" s="66"/>
      <c r="R211" s="66"/>
      <c r="S211" s="66"/>
    </row>
    <row r="212" spans="1:19" ht="16.5" customHeight="1">
      <c r="A212" s="85" t="s">
        <v>597</v>
      </c>
      <c r="B212" s="78" t="s">
        <v>598</v>
      </c>
      <c r="C212" s="74" t="s">
        <v>116</v>
      </c>
      <c r="D212" s="75"/>
      <c r="E212" s="79" t="s">
        <v>311</v>
      </c>
      <c r="F212" s="76">
        <v>0.59</v>
      </c>
      <c r="G212" s="79">
        <v>178615</v>
      </c>
      <c r="H212" s="63">
        <f t="shared" si="10"/>
        <v>105382.84999999999</v>
      </c>
      <c r="I212" s="63">
        <f t="shared" si="9"/>
        <v>0</v>
      </c>
      <c r="J212" s="60"/>
      <c r="K212" s="60"/>
      <c r="L212" s="64"/>
      <c r="M212" s="65"/>
      <c r="N212" s="66"/>
      <c r="O212" s="66"/>
      <c r="P212" s="66"/>
      <c r="Q212" s="66"/>
      <c r="R212" s="66"/>
      <c r="S212" s="66"/>
    </row>
    <row r="213" spans="1:19" ht="16.5" customHeight="1">
      <c r="A213" s="85" t="s">
        <v>599</v>
      </c>
      <c r="B213" s="78" t="s">
        <v>600</v>
      </c>
      <c r="C213" s="74" t="s">
        <v>116</v>
      </c>
      <c r="D213" s="75"/>
      <c r="E213" s="79" t="s">
        <v>311</v>
      </c>
      <c r="F213" s="76">
        <v>0.8</v>
      </c>
      <c r="G213" s="79">
        <v>178615</v>
      </c>
      <c r="H213" s="63">
        <f t="shared" si="10"/>
        <v>142892</v>
      </c>
      <c r="I213" s="63">
        <f t="shared" si="9"/>
        <v>0</v>
      </c>
      <c r="J213" s="60"/>
      <c r="K213" s="60"/>
      <c r="L213" s="64"/>
      <c r="M213" s="65"/>
      <c r="N213" s="66"/>
      <c r="O213" s="66"/>
      <c r="P213" s="66"/>
      <c r="Q213" s="66"/>
      <c r="R213" s="66"/>
      <c r="S213" s="66"/>
    </row>
    <row r="214" spans="1:19" ht="16.5" customHeight="1">
      <c r="A214" s="85" t="s">
        <v>601</v>
      </c>
      <c r="B214" s="78" t="s">
        <v>602</v>
      </c>
      <c r="C214" s="74" t="s">
        <v>116</v>
      </c>
      <c r="D214" s="75"/>
      <c r="E214" s="79" t="s">
        <v>311</v>
      </c>
      <c r="F214" s="76">
        <v>1.2</v>
      </c>
      <c r="G214" s="79">
        <v>178615</v>
      </c>
      <c r="H214" s="63">
        <f t="shared" si="10"/>
        <v>214338</v>
      </c>
      <c r="I214" s="63">
        <f t="shared" si="9"/>
        <v>0</v>
      </c>
      <c r="J214" s="60"/>
      <c r="K214" s="60"/>
      <c r="L214" s="64"/>
      <c r="M214" s="65"/>
      <c r="N214" s="66"/>
      <c r="O214" s="66"/>
      <c r="P214" s="66"/>
      <c r="Q214" s="66"/>
      <c r="R214" s="66"/>
      <c r="S214" s="66"/>
    </row>
    <row r="215" spans="1:19" ht="16.5" customHeight="1">
      <c r="A215" s="85" t="s">
        <v>603</v>
      </c>
      <c r="B215" s="78" t="s">
        <v>604</v>
      </c>
      <c r="C215" s="74" t="s">
        <v>116</v>
      </c>
      <c r="D215" s="75"/>
      <c r="E215" s="79" t="s">
        <v>311</v>
      </c>
      <c r="F215" s="76">
        <v>1.76</v>
      </c>
      <c r="G215" s="79">
        <v>178615</v>
      </c>
      <c r="H215" s="63">
        <f t="shared" si="10"/>
        <v>314362.40000000002</v>
      </c>
      <c r="I215" s="63">
        <f t="shared" si="9"/>
        <v>0</v>
      </c>
      <c r="J215" s="60"/>
      <c r="K215" s="60"/>
      <c r="L215" s="64"/>
      <c r="M215" s="65"/>
      <c r="N215" s="66"/>
      <c r="O215" s="66"/>
      <c r="P215" s="66"/>
      <c r="Q215" s="66"/>
      <c r="R215" s="66"/>
      <c r="S215" s="66"/>
    </row>
    <row r="216" spans="1:19" ht="16.5" customHeight="1">
      <c r="A216" s="85" t="s">
        <v>605</v>
      </c>
      <c r="B216" s="78" t="s">
        <v>606</v>
      </c>
      <c r="C216" s="74" t="s">
        <v>116</v>
      </c>
      <c r="D216" s="75"/>
      <c r="E216" s="79" t="s">
        <v>311</v>
      </c>
      <c r="F216" s="76">
        <v>3.4000000000000002E-2</v>
      </c>
      <c r="G216" s="79">
        <v>178615</v>
      </c>
      <c r="H216" s="63">
        <f t="shared" si="10"/>
        <v>6072.9100000000008</v>
      </c>
      <c r="I216" s="63">
        <f t="shared" si="9"/>
        <v>0</v>
      </c>
      <c r="J216" s="60"/>
      <c r="K216" s="60"/>
      <c r="L216" s="64"/>
      <c r="M216" s="65"/>
      <c r="N216" s="66"/>
      <c r="O216" s="66"/>
      <c r="P216" s="66"/>
      <c r="Q216" s="66"/>
      <c r="R216" s="66"/>
      <c r="S216" s="66"/>
    </row>
    <row r="217" spans="1:19" ht="16.5" customHeight="1">
      <c r="A217" s="85" t="s">
        <v>607</v>
      </c>
      <c r="B217" s="78" t="s">
        <v>608</v>
      </c>
      <c r="C217" s="74" t="s">
        <v>116</v>
      </c>
      <c r="D217" s="75"/>
      <c r="E217" s="79" t="s">
        <v>311</v>
      </c>
      <c r="F217" s="76">
        <v>3.5000000000000003E-2</v>
      </c>
      <c r="G217" s="79">
        <v>178615</v>
      </c>
      <c r="H217" s="63">
        <f t="shared" si="10"/>
        <v>6251.5250000000005</v>
      </c>
      <c r="I217" s="63">
        <f t="shared" si="9"/>
        <v>0</v>
      </c>
      <c r="J217" s="60"/>
      <c r="K217" s="60"/>
      <c r="L217" s="64"/>
      <c r="M217" s="65"/>
      <c r="N217" s="66"/>
      <c r="O217" s="66"/>
      <c r="P217" s="66"/>
      <c r="Q217" s="66"/>
      <c r="R217" s="66"/>
      <c r="S217" s="66"/>
    </row>
    <row r="218" spans="1:19" ht="16.5" customHeight="1">
      <c r="A218" s="85" t="s">
        <v>609</v>
      </c>
      <c r="B218" s="78" t="s">
        <v>610</v>
      </c>
      <c r="C218" s="74" t="s">
        <v>116</v>
      </c>
      <c r="D218" s="75"/>
      <c r="E218" s="79" t="s">
        <v>311</v>
      </c>
      <c r="F218" s="76">
        <v>3.7999999999999999E-2</v>
      </c>
      <c r="G218" s="79">
        <v>178615</v>
      </c>
      <c r="H218" s="63">
        <f t="shared" si="10"/>
        <v>6787.37</v>
      </c>
      <c r="I218" s="63">
        <f t="shared" si="9"/>
        <v>0</v>
      </c>
      <c r="J218" s="60"/>
      <c r="K218" s="60"/>
      <c r="L218" s="64"/>
      <c r="M218" s="65"/>
      <c r="N218" s="66"/>
      <c r="O218" s="66"/>
      <c r="P218" s="66"/>
      <c r="Q218" s="66"/>
      <c r="R218" s="66"/>
      <c r="S218" s="66"/>
    </row>
    <row r="219" spans="1:19" ht="16.5" customHeight="1">
      <c r="A219" s="85" t="s">
        <v>611</v>
      </c>
      <c r="B219" s="78" t="s">
        <v>612</v>
      </c>
      <c r="C219" s="74" t="s">
        <v>116</v>
      </c>
      <c r="D219" s="75"/>
      <c r="E219" s="79" t="s">
        <v>311</v>
      </c>
      <c r="F219" s="76">
        <v>4.1000000000000002E-2</v>
      </c>
      <c r="G219" s="79">
        <v>178615</v>
      </c>
      <c r="H219" s="63">
        <f t="shared" si="10"/>
        <v>7323.2150000000001</v>
      </c>
      <c r="I219" s="63">
        <f t="shared" si="9"/>
        <v>0</v>
      </c>
      <c r="J219" s="60"/>
      <c r="K219" s="60"/>
      <c r="L219" s="64"/>
      <c r="M219" s="65"/>
      <c r="N219" s="66"/>
      <c r="O219" s="66"/>
      <c r="P219" s="66"/>
      <c r="Q219" s="66"/>
      <c r="R219" s="66"/>
      <c r="S219" s="66"/>
    </row>
    <row r="220" spans="1:19" ht="16.5" customHeight="1">
      <c r="A220" s="83" t="s">
        <v>633</v>
      </c>
      <c r="B220" s="55" t="s">
        <v>634</v>
      </c>
      <c r="C220" s="81"/>
      <c r="D220" s="92"/>
      <c r="E220" s="93" t="s">
        <v>307</v>
      </c>
      <c r="F220" s="94"/>
      <c r="G220" s="79"/>
      <c r="H220" s="63">
        <f t="shared" si="10"/>
        <v>0</v>
      </c>
      <c r="I220" s="63">
        <f t="shared" si="9"/>
        <v>0</v>
      </c>
      <c r="J220" s="60"/>
      <c r="K220" s="60"/>
      <c r="L220" s="64"/>
      <c r="M220" s="65"/>
      <c r="N220" s="66"/>
      <c r="O220" s="66"/>
      <c r="P220" s="66"/>
      <c r="Q220" s="66"/>
      <c r="R220" s="66"/>
      <c r="S220" s="66"/>
    </row>
    <row r="221" spans="1:19" ht="16.5" customHeight="1">
      <c r="A221" s="85" t="s">
        <v>635</v>
      </c>
      <c r="B221" s="78" t="s">
        <v>636</v>
      </c>
      <c r="C221" s="74" t="s">
        <v>116</v>
      </c>
      <c r="D221" s="75"/>
      <c r="E221" s="79" t="s">
        <v>311</v>
      </c>
      <c r="F221" s="76">
        <v>0.56000000000000005</v>
      </c>
      <c r="G221" s="79">
        <v>178615</v>
      </c>
      <c r="H221" s="63">
        <f t="shared" si="10"/>
        <v>100024.40000000001</v>
      </c>
      <c r="I221" s="63">
        <f t="shared" si="9"/>
        <v>0</v>
      </c>
      <c r="J221" s="60"/>
      <c r="K221" s="60"/>
      <c r="L221" s="64"/>
      <c r="M221" s="65"/>
      <c r="N221" s="66"/>
      <c r="O221" s="66"/>
      <c r="P221" s="66"/>
      <c r="Q221" s="66"/>
      <c r="R221" s="66"/>
      <c r="S221" s="66"/>
    </row>
    <row r="222" spans="1:19" ht="16.5" customHeight="1">
      <c r="A222" s="85" t="s">
        <v>637</v>
      </c>
      <c r="B222" s="78" t="s">
        <v>638</v>
      </c>
      <c r="C222" s="74" t="s">
        <v>116</v>
      </c>
      <c r="D222" s="75"/>
      <c r="E222" s="79" t="s">
        <v>311</v>
      </c>
      <c r="F222" s="76">
        <v>0.74</v>
      </c>
      <c r="G222" s="79">
        <v>178615</v>
      </c>
      <c r="H222" s="63">
        <f t="shared" si="10"/>
        <v>132175.1</v>
      </c>
      <c r="I222" s="63">
        <f t="shared" si="9"/>
        <v>0</v>
      </c>
      <c r="J222" s="60"/>
      <c r="K222" s="60"/>
      <c r="L222" s="64"/>
      <c r="M222" s="65"/>
      <c r="N222" s="66"/>
      <c r="O222" s="66"/>
      <c r="P222" s="66"/>
      <c r="Q222" s="66"/>
      <c r="R222" s="66"/>
      <c r="S222" s="66"/>
    </row>
    <row r="223" spans="1:19" ht="16.5" customHeight="1">
      <c r="A223" s="85" t="s">
        <v>639</v>
      </c>
      <c r="B223" s="78" t="s">
        <v>640</v>
      </c>
      <c r="C223" s="74" t="s">
        <v>116</v>
      </c>
      <c r="D223" s="75"/>
      <c r="E223" s="79" t="s">
        <v>311</v>
      </c>
      <c r="F223" s="76">
        <v>0.93</v>
      </c>
      <c r="G223" s="79">
        <v>178615</v>
      </c>
      <c r="H223" s="63">
        <f t="shared" si="10"/>
        <v>166111.95000000001</v>
      </c>
      <c r="I223" s="63">
        <f t="shared" si="9"/>
        <v>0</v>
      </c>
      <c r="J223" s="60"/>
      <c r="K223" s="60"/>
      <c r="L223" s="64"/>
      <c r="M223" s="65"/>
      <c r="N223" s="66"/>
      <c r="O223" s="66"/>
      <c r="P223" s="66"/>
      <c r="Q223" s="66"/>
      <c r="R223" s="66"/>
      <c r="S223" s="66"/>
    </row>
    <row r="224" spans="1:19" ht="16.5" customHeight="1">
      <c r="A224" s="85" t="s">
        <v>641</v>
      </c>
      <c r="B224" s="78" t="s">
        <v>642</v>
      </c>
      <c r="C224" s="74" t="s">
        <v>116</v>
      </c>
      <c r="D224" s="75"/>
      <c r="E224" s="79" t="s">
        <v>311</v>
      </c>
      <c r="F224" s="76">
        <v>1.1499999999999999</v>
      </c>
      <c r="G224" s="79">
        <v>178615</v>
      </c>
      <c r="H224" s="63">
        <f t="shared" si="10"/>
        <v>205407.24999999997</v>
      </c>
      <c r="I224" s="63">
        <f t="shared" si="9"/>
        <v>0</v>
      </c>
      <c r="J224" s="60"/>
      <c r="K224" s="60"/>
      <c r="L224" s="64"/>
      <c r="M224" s="65"/>
      <c r="N224" s="66"/>
      <c r="O224" s="66"/>
      <c r="P224" s="66"/>
      <c r="Q224" s="66"/>
      <c r="R224" s="66"/>
      <c r="S224" s="66"/>
    </row>
    <row r="225" spans="1:19" ht="16.5" customHeight="1">
      <c r="A225" s="83"/>
      <c r="B225" s="55" t="s">
        <v>643</v>
      </c>
      <c r="C225" s="74"/>
      <c r="D225" s="75"/>
      <c r="E225" s="79"/>
      <c r="F225" s="76"/>
      <c r="G225" s="79"/>
      <c r="H225" s="63">
        <f t="shared" si="10"/>
        <v>0</v>
      </c>
      <c r="I225" s="63">
        <f t="shared" ref="I225:I275" si="11">+K225*$I$4</f>
        <v>0</v>
      </c>
      <c r="J225" s="60"/>
      <c r="K225" s="60"/>
      <c r="L225" s="64"/>
      <c r="M225" s="65"/>
      <c r="N225" s="66"/>
      <c r="O225" s="66"/>
      <c r="P225" s="66"/>
      <c r="Q225" s="66"/>
      <c r="R225" s="66"/>
      <c r="S225" s="66"/>
    </row>
    <row r="226" spans="1:19" ht="16.5" customHeight="1">
      <c r="A226" s="85" t="s">
        <v>644</v>
      </c>
      <c r="B226" s="78" t="s">
        <v>645</v>
      </c>
      <c r="C226" s="74" t="s">
        <v>116</v>
      </c>
      <c r="D226" s="75"/>
      <c r="E226" s="79" t="s">
        <v>646</v>
      </c>
      <c r="F226" s="76">
        <v>1.0900000000000001</v>
      </c>
      <c r="G226" s="79">
        <v>194740</v>
      </c>
      <c r="H226" s="63">
        <f t="shared" si="10"/>
        <v>212266.6</v>
      </c>
      <c r="I226" s="63">
        <f t="shared" si="11"/>
        <v>0</v>
      </c>
      <c r="J226" s="60"/>
      <c r="K226" s="60"/>
      <c r="L226" s="64"/>
      <c r="M226" s="65"/>
      <c r="N226" s="66"/>
      <c r="O226" s="66"/>
      <c r="P226" s="66"/>
      <c r="Q226" s="66"/>
      <c r="R226" s="66"/>
      <c r="S226" s="66"/>
    </row>
    <row r="227" spans="1:19" ht="16.5" customHeight="1">
      <c r="A227" s="85" t="s">
        <v>647</v>
      </c>
      <c r="B227" s="78" t="s">
        <v>648</v>
      </c>
      <c r="C227" s="74" t="s">
        <v>116</v>
      </c>
      <c r="D227" s="75"/>
      <c r="E227" s="79" t="s">
        <v>646</v>
      </c>
      <c r="F227" s="76">
        <v>1.51</v>
      </c>
      <c r="G227" s="79">
        <v>194740</v>
      </c>
      <c r="H227" s="63">
        <f t="shared" si="10"/>
        <v>294057.40000000002</v>
      </c>
      <c r="I227" s="63">
        <f t="shared" si="11"/>
        <v>0</v>
      </c>
      <c r="J227" s="60"/>
      <c r="K227" s="60"/>
      <c r="L227" s="64"/>
      <c r="M227" s="65"/>
      <c r="N227" s="66"/>
      <c r="O227" s="66"/>
      <c r="P227" s="66"/>
      <c r="Q227" s="66"/>
      <c r="R227" s="66"/>
      <c r="S227" s="66"/>
    </row>
    <row r="228" spans="1:19" ht="16.5" customHeight="1">
      <c r="A228" s="85" t="s">
        <v>649</v>
      </c>
      <c r="B228" s="78" t="s">
        <v>650</v>
      </c>
      <c r="C228" s="74" t="s">
        <v>116</v>
      </c>
      <c r="D228" s="75"/>
      <c r="E228" s="79" t="s">
        <v>646</v>
      </c>
      <c r="F228" s="76">
        <v>2.68</v>
      </c>
      <c r="G228" s="79">
        <v>194740</v>
      </c>
      <c r="H228" s="63">
        <f t="shared" si="10"/>
        <v>521903.2</v>
      </c>
      <c r="I228" s="63">
        <f t="shared" si="11"/>
        <v>0</v>
      </c>
      <c r="J228" s="60"/>
      <c r="K228" s="60"/>
      <c r="L228" s="64"/>
      <c r="M228" s="65"/>
      <c r="N228" s="66"/>
      <c r="O228" s="66"/>
      <c r="P228" s="66"/>
      <c r="Q228" s="66"/>
      <c r="R228" s="66"/>
      <c r="S228" s="66"/>
    </row>
    <row r="229" spans="1:19" ht="16.5" customHeight="1">
      <c r="A229" s="85" t="s">
        <v>651</v>
      </c>
      <c r="B229" s="78" t="s">
        <v>652</v>
      </c>
      <c r="C229" s="74" t="s">
        <v>116</v>
      </c>
      <c r="D229" s="75"/>
      <c r="E229" s="79" t="s">
        <v>646</v>
      </c>
      <c r="F229" s="76">
        <v>3.38</v>
      </c>
      <c r="G229" s="79">
        <v>194740</v>
      </c>
      <c r="H229" s="63">
        <f t="shared" si="10"/>
        <v>658221.19999999995</v>
      </c>
      <c r="I229" s="63">
        <f t="shared" si="11"/>
        <v>0</v>
      </c>
      <c r="J229" s="60"/>
      <c r="K229" s="60"/>
      <c r="L229" s="64"/>
      <c r="M229" s="65"/>
      <c r="N229" s="66"/>
      <c r="O229" s="66"/>
      <c r="P229" s="66"/>
      <c r="Q229" s="66"/>
      <c r="R229" s="66"/>
      <c r="S229" s="66"/>
    </row>
    <row r="230" spans="1:19" ht="16.5" customHeight="1">
      <c r="A230" s="85" t="s">
        <v>653</v>
      </c>
      <c r="B230" s="78" t="s">
        <v>654</v>
      </c>
      <c r="C230" s="74" t="s">
        <v>116</v>
      </c>
      <c r="D230" s="75"/>
      <c r="E230" s="79" t="s">
        <v>646</v>
      </c>
      <c r="F230" s="76">
        <v>0.95</v>
      </c>
      <c r="G230" s="79">
        <v>194740</v>
      </c>
      <c r="H230" s="63">
        <f t="shared" si="10"/>
        <v>185003</v>
      </c>
      <c r="I230" s="63">
        <f t="shared" si="11"/>
        <v>0</v>
      </c>
      <c r="J230" s="60"/>
      <c r="K230" s="60"/>
      <c r="L230" s="64"/>
      <c r="M230" s="65"/>
      <c r="N230" s="66"/>
      <c r="O230" s="66"/>
      <c r="P230" s="66"/>
      <c r="Q230" s="66"/>
      <c r="R230" s="66"/>
      <c r="S230" s="66"/>
    </row>
    <row r="231" spans="1:19" ht="16.5" customHeight="1">
      <c r="A231" s="85" t="s">
        <v>655</v>
      </c>
      <c r="B231" s="78" t="s">
        <v>656</v>
      </c>
      <c r="C231" s="74" t="s">
        <v>116</v>
      </c>
      <c r="D231" s="75"/>
      <c r="E231" s="79" t="s">
        <v>646</v>
      </c>
      <c r="F231" s="76">
        <v>1.32</v>
      </c>
      <c r="G231" s="79">
        <v>194740</v>
      </c>
      <c r="H231" s="63">
        <f t="shared" si="10"/>
        <v>257056.80000000002</v>
      </c>
      <c r="I231" s="63">
        <f t="shared" si="11"/>
        <v>0</v>
      </c>
      <c r="J231" s="60"/>
      <c r="K231" s="60"/>
      <c r="L231" s="64"/>
      <c r="M231" s="65"/>
      <c r="N231" s="66"/>
      <c r="O231" s="66"/>
      <c r="P231" s="66"/>
      <c r="Q231" s="66"/>
      <c r="R231" s="66"/>
      <c r="S231" s="66"/>
    </row>
    <row r="232" spans="1:19" ht="16.5" customHeight="1">
      <c r="A232" s="85" t="s">
        <v>657</v>
      </c>
      <c r="B232" s="78" t="s">
        <v>658</v>
      </c>
      <c r="C232" s="74" t="s">
        <v>116</v>
      </c>
      <c r="D232" s="75"/>
      <c r="E232" s="79" t="s">
        <v>646</v>
      </c>
      <c r="F232" s="76">
        <v>2.33</v>
      </c>
      <c r="G232" s="79">
        <v>194740</v>
      </c>
      <c r="H232" s="63">
        <f t="shared" ref="H232:H274" si="12">+G232*F232</f>
        <v>453744.2</v>
      </c>
      <c r="I232" s="63">
        <f t="shared" si="11"/>
        <v>0</v>
      </c>
      <c r="J232" s="60"/>
      <c r="K232" s="60"/>
      <c r="L232" s="64"/>
      <c r="M232" s="65"/>
      <c r="N232" s="66"/>
      <c r="O232" s="66"/>
      <c r="P232" s="66"/>
      <c r="Q232" s="66"/>
      <c r="R232" s="66"/>
      <c r="S232" s="66"/>
    </row>
    <row r="233" spans="1:19" ht="16.5" customHeight="1">
      <c r="A233" s="85" t="s">
        <v>659</v>
      </c>
      <c r="B233" s="78" t="s">
        <v>660</v>
      </c>
      <c r="C233" s="74" t="s">
        <v>116</v>
      </c>
      <c r="D233" s="75"/>
      <c r="E233" s="79" t="s">
        <v>646</v>
      </c>
      <c r="F233" s="76">
        <v>2.94</v>
      </c>
      <c r="G233" s="79">
        <v>194740</v>
      </c>
      <c r="H233" s="63">
        <f t="shared" si="12"/>
        <v>572535.6</v>
      </c>
      <c r="I233" s="63">
        <f t="shared" si="11"/>
        <v>0</v>
      </c>
      <c r="J233" s="60"/>
      <c r="K233" s="60"/>
      <c r="L233" s="64"/>
      <c r="M233" s="65"/>
      <c r="N233" s="66"/>
      <c r="O233" s="66"/>
      <c r="P233" s="66"/>
      <c r="Q233" s="66"/>
      <c r="R233" s="66"/>
      <c r="S233" s="66"/>
    </row>
    <row r="234" spans="1:19" ht="16.5" customHeight="1">
      <c r="A234" s="83"/>
      <c r="B234" s="55" t="s">
        <v>661</v>
      </c>
      <c r="C234" s="74"/>
      <c r="D234" s="75"/>
      <c r="E234" s="79"/>
      <c r="F234" s="76"/>
      <c r="G234" s="79"/>
      <c r="H234" s="63">
        <f t="shared" si="12"/>
        <v>0</v>
      </c>
      <c r="I234" s="63">
        <f t="shared" si="11"/>
        <v>0</v>
      </c>
      <c r="J234" s="60"/>
      <c r="K234" s="60"/>
      <c r="L234" s="64"/>
      <c r="M234" s="65"/>
      <c r="N234" s="66"/>
      <c r="O234" s="66"/>
      <c r="P234" s="66"/>
      <c r="Q234" s="66"/>
      <c r="R234" s="66"/>
      <c r="S234" s="66"/>
    </row>
    <row r="235" spans="1:19" ht="16.5" customHeight="1">
      <c r="A235" s="85" t="s">
        <v>662</v>
      </c>
      <c r="B235" s="78" t="s">
        <v>663</v>
      </c>
      <c r="C235" s="74" t="s">
        <v>116</v>
      </c>
      <c r="D235" s="75"/>
      <c r="E235" s="79" t="s">
        <v>646</v>
      </c>
      <c r="F235" s="76">
        <v>0.95</v>
      </c>
      <c r="G235" s="79">
        <v>194740</v>
      </c>
      <c r="H235" s="63">
        <f t="shared" si="12"/>
        <v>185003</v>
      </c>
      <c r="I235" s="63">
        <f t="shared" si="11"/>
        <v>0</v>
      </c>
      <c r="J235" s="60"/>
      <c r="K235" s="60"/>
      <c r="L235" s="64"/>
      <c r="M235" s="65"/>
      <c r="N235" s="66"/>
      <c r="O235" s="66"/>
      <c r="P235" s="66"/>
      <c r="Q235" s="66"/>
      <c r="R235" s="66"/>
      <c r="S235" s="66"/>
    </row>
    <row r="236" spans="1:19" ht="16.5" customHeight="1">
      <c r="A236" s="85" t="s">
        <v>664</v>
      </c>
      <c r="B236" s="78" t="s">
        <v>665</v>
      </c>
      <c r="C236" s="74" t="s">
        <v>116</v>
      </c>
      <c r="D236" s="75"/>
      <c r="E236" s="79" t="s">
        <v>646</v>
      </c>
      <c r="F236" s="76">
        <v>1.32</v>
      </c>
      <c r="G236" s="79">
        <v>194740</v>
      </c>
      <c r="H236" s="63">
        <f t="shared" si="12"/>
        <v>257056.80000000002</v>
      </c>
      <c r="I236" s="63">
        <f t="shared" si="11"/>
        <v>0</v>
      </c>
      <c r="J236" s="60"/>
      <c r="K236" s="60"/>
      <c r="L236" s="64"/>
      <c r="M236" s="65"/>
      <c r="N236" s="66"/>
      <c r="O236" s="66"/>
      <c r="P236" s="66"/>
      <c r="Q236" s="66"/>
      <c r="R236" s="66"/>
      <c r="S236" s="66"/>
    </row>
    <row r="237" spans="1:19" ht="16.5" customHeight="1">
      <c r="A237" s="85" t="s">
        <v>666</v>
      </c>
      <c r="B237" s="78" t="s">
        <v>667</v>
      </c>
      <c r="C237" s="74" t="s">
        <v>116</v>
      </c>
      <c r="D237" s="75"/>
      <c r="E237" s="79" t="s">
        <v>646</v>
      </c>
      <c r="F237" s="76">
        <v>2.33</v>
      </c>
      <c r="G237" s="79">
        <v>194740</v>
      </c>
      <c r="H237" s="63">
        <f t="shared" si="12"/>
        <v>453744.2</v>
      </c>
      <c r="I237" s="63">
        <f t="shared" si="11"/>
        <v>0</v>
      </c>
      <c r="J237" s="60"/>
      <c r="K237" s="60"/>
      <c r="L237" s="64"/>
      <c r="M237" s="65"/>
      <c r="N237" s="66"/>
      <c r="O237" s="66"/>
      <c r="P237" s="66"/>
      <c r="Q237" s="66"/>
      <c r="R237" s="66"/>
      <c r="S237" s="66"/>
    </row>
    <row r="238" spans="1:19" ht="16.5" customHeight="1">
      <c r="A238" s="85" t="s">
        <v>668</v>
      </c>
      <c r="B238" s="78" t="s">
        <v>669</v>
      </c>
      <c r="C238" s="74" t="s">
        <v>116</v>
      </c>
      <c r="D238" s="75"/>
      <c r="E238" s="79" t="s">
        <v>646</v>
      </c>
      <c r="F238" s="76">
        <v>2.94</v>
      </c>
      <c r="G238" s="79">
        <v>194740</v>
      </c>
      <c r="H238" s="63">
        <f t="shared" si="12"/>
        <v>572535.6</v>
      </c>
      <c r="I238" s="63">
        <f t="shared" si="11"/>
        <v>0</v>
      </c>
      <c r="J238" s="60"/>
      <c r="K238" s="60"/>
      <c r="L238" s="64"/>
      <c r="M238" s="65"/>
      <c r="N238" s="66"/>
      <c r="O238" s="66"/>
      <c r="P238" s="66"/>
      <c r="Q238" s="66"/>
      <c r="R238" s="66"/>
      <c r="S238" s="66"/>
    </row>
    <row r="239" spans="1:19" ht="16.5" customHeight="1">
      <c r="A239" s="85" t="s">
        <v>670</v>
      </c>
      <c r="B239" s="78" t="s">
        <v>671</v>
      </c>
      <c r="C239" s="74" t="s">
        <v>116</v>
      </c>
      <c r="D239" s="75"/>
      <c r="E239" s="79" t="s">
        <v>646</v>
      </c>
      <c r="F239" s="76">
        <v>1.0900000000000001</v>
      </c>
      <c r="G239" s="79">
        <v>194740</v>
      </c>
      <c r="H239" s="63">
        <f t="shared" si="12"/>
        <v>212266.6</v>
      </c>
      <c r="I239" s="63">
        <f t="shared" si="11"/>
        <v>0</v>
      </c>
      <c r="J239" s="60"/>
      <c r="K239" s="60"/>
      <c r="L239" s="64"/>
      <c r="M239" s="65"/>
      <c r="N239" s="66"/>
      <c r="O239" s="66"/>
      <c r="P239" s="66"/>
      <c r="Q239" s="66"/>
      <c r="R239" s="66"/>
      <c r="S239" s="66"/>
    </row>
    <row r="240" spans="1:19" ht="16.5" customHeight="1">
      <c r="A240" s="86" t="s">
        <v>672</v>
      </c>
      <c r="B240" s="87" t="s">
        <v>673</v>
      </c>
      <c r="C240" s="88" t="s">
        <v>116</v>
      </c>
      <c r="D240" s="75"/>
      <c r="E240" s="79" t="s">
        <v>646</v>
      </c>
      <c r="F240" s="76">
        <v>1.51</v>
      </c>
      <c r="G240" s="79">
        <v>194740</v>
      </c>
      <c r="H240" s="63">
        <f t="shared" si="12"/>
        <v>294057.40000000002</v>
      </c>
      <c r="I240" s="63">
        <f t="shared" si="11"/>
        <v>0</v>
      </c>
      <c r="J240" s="60"/>
      <c r="K240" s="60"/>
      <c r="L240" s="64"/>
      <c r="M240" s="65"/>
      <c r="N240" s="66"/>
      <c r="O240" s="66"/>
      <c r="P240" s="66"/>
      <c r="Q240" s="66"/>
      <c r="R240" s="66"/>
      <c r="S240" s="66"/>
    </row>
    <row r="241" spans="1:19" ht="16.5" customHeight="1">
      <c r="A241" s="95" t="s">
        <v>674</v>
      </c>
      <c r="B241" s="95" t="s">
        <v>675</v>
      </c>
      <c r="C241" s="96" t="s">
        <v>128</v>
      </c>
      <c r="D241" s="75"/>
      <c r="E241" s="79"/>
      <c r="F241" s="76"/>
      <c r="G241" s="79"/>
      <c r="H241" s="63">
        <v>1019397</v>
      </c>
      <c r="I241" s="63">
        <v>1094806</v>
      </c>
      <c r="J241" s="60"/>
      <c r="K241" s="60"/>
      <c r="L241" s="64"/>
      <c r="M241" s="65"/>
      <c r="N241" s="66"/>
      <c r="O241" s="66"/>
      <c r="P241" s="66"/>
      <c r="Q241" s="66"/>
      <c r="R241" s="66"/>
      <c r="S241" s="66"/>
    </row>
    <row r="242" spans="1:19" ht="16.5" customHeight="1">
      <c r="A242" s="89" t="s">
        <v>676</v>
      </c>
      <c r="B242" s="90" t="s">
        <v>677</v>
      </c>
      <c r="C242" s="91" t="s">
        <v>116</v>
      </c>
      <c r="D242" s="75"/>
      <c r="E242" s="79" t="s">
        <v>646</v>
      </c>
      <c r="F242" s="76">
        <v>3.38</v>
      </c>
      <c r="G242" s="79">
        <v>194740</v>
      </c>
      <c r="H242" s="63">
        <f t="shared" si="12"/>
        <v>658221.19999999995</v>
      </c>
      <c r="I242" s="63">
        <f t="shared" si="11"/>
        <v>0</v>
      </c>
      <c r="J242" s="60"/>
      <c r="K242" s="60"/>
      <c r="L242" s="64"/>
      <c r="M242" s="65"/>
      <c r="N242" s="66"/>
      <c r="O242" s="66"/>
      <c r="P242" s="66"/>
      <c r="Q242" s="66"/>
      <c r="R242" s="66"/>
      <c r="S242" s="66"/>
    </row>
    <row r="243" spans="1:19" ht="16.5" customHeight="1">
      <c r="A243" s="83" t="s">
        <v>678</v>
      </c>
      <c r="B243" s="55" t="s">
        <v>679</v>
      </c>
      <c r="C243" s="74"/>
      <c r="D243" s="75"/>
      <c r="E243" s="79"/>
      <c r="F243" s="76"/>
      <c r="G243" s="79"/>
      <c r="H243" s="63">
        <f t="shared" si="12"/>
        <v>0</v>
      </c>
      <c r="I243" s="63">
        <f t="shared" si="11"/>
        <v>0</v>
      </c>
      <c r="J243" s="60"/>
      <c r="K243" s="60"/>
      <c r="L243" s="64"/>
      <c r="M243" s="65"/>
      <c r="N243" s="66"/>
      <c r="O243" s="66"/>
      <c r="P243" s="66"/>
      <c r="Q243" s="66"/>
      <c r="R243" s="66"/>
      <c r="S243" s="66"/>
    </row>
    <row r="244" spans="1:19" ht="16.5" customHeight="1">
      <c r="A244" s="85" t="s">
        <v>680</v>
      </c>
      <c r="B244" s="78" t="s">
        <v>681</v>
      </c>
      <c r="C244" s="74" t="s">
        <v>116</v>
      </c>
      <c r="D244" s="75"/>
      <c r="E244" s="79" t="s">
        <v>311</v>
      </c>
      <c r="F244" s="76">
        <v>1.03</v>
      </c>
      <c r="G244" s="79">
        <v>178615</v>
      </c>
      <c r="H244" s="63">
        <f t="shared" si="12"/>
        <v>183973.45</v>
      </c>
      <c r="I244" s="63">
        <f t="shared" si="11"/>
        <v>0</v>
      </c>
      <c r="J244" s="60"/>
      <c r="K244" s="60"/>
      <c r="L244" s="64"/>
      <c r="M244" s="65"/>
      <c r="N244" s="66"/>
      <c r="O244" s="66"/>
      <c r="P244" s="66"/>
      <c r="Q244" s="66"/>
      <c r="R244" s="66"/>
      <c r="S244" s="66"/>
    </row>
    <row r="245" spans="1:19" ht="16.5" customHeight="1">
      <c r="A245" s="85" t="s">
        <v>682</v>
      </c>
      <c r="B245" s="78" t="s">
        <v>683</v>
      </c>
      <c r="C245" s="74" t="s">
        <v>116</v>
      </c>
      <c r="D245" s="75"/>
      <c r="E245" s="79" t="s">
        <v>311</v>
      </c>
      <c r="F245" s="76">
        <v>1.1000000000000001</v>
      </c>
      <c r="G245" s="79">
        <v>178615</v>
      </c>
      <c r="H245" s="63">
        <f t="shared" si="12"/>
        <v>196476.50000000003</v>
      </c>
      <c r="I245" s="63">
        <f t="shared" si="11"/>
        <v>0</v>
      </c>
      <c r="J245" s="60"/>
      <c r="K245" s="60"/>
      <c r="L245" s="64"/>
      <c r="M245" s="65"/>
      <c r="N245" s="66"/>
      <c r="O245" s="66"/>
      <c r="P245" s="66"/>
      <c r="Q245" s="66"/>
      <c r="R245" s="66"/>
      <c r="S245" s="66"/>
    </row>
    <row r="246" spans="1:19" ht="16.5" customHeight="1">
      <c r="A246" s="85" t="s">
        <v>684</v>
      </c>
      <c r="B246" s="78" t="s">
        <v>685</v>
      </c>
      <c r="C246" s="74" t="s">
        <v>116</v>
      </c>
      <c r="D246" s="75"/>
      <c r="E246" s="79" t="s">
        <v>311</v>
      </c>
      <c r="F246" s="76">
        <v>1.79</v>
      </c>
      <c r="G246" s="79">
        <v>178615</v>
      </c>
      <c r="H246" s="63">
        <f t="shared" si="12"/>
        <v>319720.85000000003</v>
      </c>
      <c r="I246" s="63">
        <f t="shared" si="11"/>
        <v>0</v>
      </c>
      <c r="J246" s="60"/>
      <c r="K246" s="60"/>
      <c r="L246" s="64"/>
      <c r="M246" s="65"/>
      <c r="N246" s="66"/>
      <c r="O246" s="66"/>
      <c r="P246" s="66"/>
      <c r="Q246" s="66"/>
      <c r="R246" s="66"/>
      <c r="S246" s="66"/>
    </row>
    <row r="247" spans="1:19" ht="16.5" customHeight="1">
      <c r="A247" s="85" t="s">
        <v>686</v>
      </c>
      <c r="B247" s="78" t="s">
        <v>687</v>
      </c>
      <c r="C247" s="74" t="s">
        <v>116</v>
      </c>
      <c r="D247" s="75"/>
      <c r="E247" s="79" t="s">
        <v>311</v>
      </c>
      <c r="F247" s="76">
        <v>1.57</v>
      </c>
      <c r="G247" s="79">
        <v>178615</v>
      </c>
      <c r="H247" s="63">
        <f t="shared" si="12"/>
        <v>280425.55</v>
      </c>
      <c r="I247" s="63">
        <f t="shared" si="11"/>
        <v>0</v>
      </c>
      <c r="J247" s="60"/>
      <c r="K247" s="60"/>
      <c r="L247" s="64"/>
      <c r="M247" s="65"/>
      <c r="N247" s="66"/>
      <c r="O247" s="66"/>
      <c r="P247" s="66"/>
      <c r="Q247" s="66"/>
      <c r="R247" s="66"/>
      <c r="S247" s="66"/>
    </row>
    <row r="248" spans="1:19" ht="16.5" customHeight="1">
      <c r="A248" s="83" t="s">
        <v>688</v>
      </c>
      <c r="B248" s="55" t="s">
        <v>689</v>
      </c>
      <c r="C248" s="74"/>
      <c r="D248" s="75"/>
      <c r="E248" s="79"/>
      <c r="F248" s="76"/>
      <c r="G248" s="79"/>
      <c r="H248" s="63">
        <f t="shared" si="12"/>
        <v>0</v>
      </c>
      <c r="I248" s="63">
        <f t="shared" si="11"/>
        <v>0</v>
      </c>
      <c r="J248" s="60"/>
      <c r="K248" s="60"/>
      <c r="L248" s="64"/>
      <c r="M248" s="65"/>
      <c r="N248" s="66"/>
      <c r="O248" s="66"/>
      <c r="P248" s="66"/>
      <c r="Q248" s="66"/>
      <c r="R248" s="66"/>
      <c r="S248" s="66"/>
    </row>
    <row r="249" spans="1:19" s="174" customFormat="1" ht="16.5" customHeight="1">
      <c r="A249" s="166" t="s">
        <v>114</v>
      </c>
      <c r="B249" s="167" t="s">
        <v>115</v>
      </c>
      <c r="C249" s="168" t="s">
        <v>116</v>
      </c>
      <c r="D249" s="169"/>
      <c r="E249" s="156" t="s">
        <v>311</v>
      </c>
      <c r="F249" s="157">
        <v>0.56000000000000005</v>
      </c>
      <c r="G249" s="158">
        <v>210185</v>
      </c>
      <c r="H249" s="159">
        <f t="shared" si="12"/>
        <v>117703.6</v>
      </c>
      <c r="I249" s="159">
        <f t="shared" si="11"/>
        <v>0</v>
      </c>
      <c r="J249" s="170"/>
      <c r="K249" s="170"/>
      <c r="L249" s="171"/>
      <c r="M249" s="172"/>
      <c r="N249" s="173"/>
      <c r="O249" s="173"/>
      <c r="P249" s="173"/>
      <c r="Q249" s="173"/>
      <c r="R249" s="173"/>
      <c r="S249" s="173"/>
    </row>
    <row r="250" spans="1:19" ht="16.5" hidden="1" customHeight="1">
      <c r="A250" s="97" t="s">
        <v>690</v>
      </c>
      <c r="B250" s="78" t="s">
        <v>691</v>
      </c>
      <c r="C250" s="74" t="s">
        <v>116</v>
      </c>
      <c r="D250" s="75"/>
      <c r="E250" s="79" t="s">
        <v>311</v>
      </c>
      <c r="F250" s="76">
        <v>0.67</v>
      </c>
      <c r="G250" s="79">
        <v>178615</v>
      </c>
      <c r="H250" s="63">
        <f t="shared" si="12"/>
        <v>119672.05</v>
      </c>
      <c r="I250" s="63">
        <f t="shared" si="11"/>
        <v>0</v>
      </c>
      <c r="J250" s="60"/>
      <c r="K250" s="60"/>
      <c r="L250" s="64"/>
      <c r="M250" s="65"/>
      <c r="N250" s="66"/>
      <c r="O250" s="66"/>
      <c r="P250" s="66"/>
      <c r="Q250" s="66"/>
      <c r="R250" s="66"/>
      <c r="S250" s="66"/>
    </row>
    <row r="251" spans="1:19" ht="16.5" hidden="1" customHeight="1">
      <c r="A251" s="97" t="s">
        <v>692</v>
      </c>
      <c r="B251" s="78" t="s">
        <v>693</v>
      </c>
      <c r="C251" s="74" t="s">
        <v>116</v>
      </c>
      <c r="D251" s="75"/>
      <c r="E251" s="79" t="s">
        <v>311</v>
      </c>
      <c r="F251" s="76">
        <v>0.7</v>
      </c>
      <c r="G251" s="79">
        <v>178615</v>
      </c>
      <c r="H251" s="63">
        <f t="shared" si="12"/>
        <v>125030.49999999999</v>
      </c>
      <c r="I251" s="63">
        <f t="shared" si="11"/>
        <v>0</v>
      </c>
      <c r="J251" s="60"/>
      <c r="K251" s="60"/>
      <c r="L251" s="64"/>
      <c r="M251" s="65"/>
      <c r="N251" s="66"/>
      <c r="O251" s="66"/>
      <c r="P251" s="66"/>
      <c r="Q251" s="66"/>
      <c r="R251" s="66"/>
      <c r="S251" s="66"/>
    </row>
    <row r="252" spans="1:19" ht="16.5" hidden="1" customHeight="1">
      <c r="A252" s="83" t="s">
        <v>694</v>
      </c>
      <c r="B252" s="55" t="s">
        <v>695</v>
      </c>
      <c r="C252" s="74"/>
      <c r="D252" s="75"/>
      <c r="E252" s="79"/>
      <c r="F252" s="76"/>
      <c r="G252" s="79"/>
      <c r="H252" s="63">
        <f t="shared" si="12"/>
        <v>0</v>
      </c>
      <c r="I252" s="63">
        <f t="shared" si="11"/>
        <v>0</v>
      </c>
      <c r="J252" s="60"/>
      <c r="K252" s="60"/>
      <c r="L252" s="64"/>
      <c r="M252" s="65"/>
      <c r="N252" s="66"/>
      <c r="O252" s="66"/>
      <c r="P252" s="66"/>
      <c r="Q252" s="66"/>
      <c r="R252" s="66"/>
      <c r="S252" s="66"/>
    </row>
    <row r="253" spans="1:19" ht="16.5" hidden="1" customHeight="1">
      <c r="A253" s="97" t="s">
        <v>696</v>
      </c>
      <c r="B253" s="78" t="s">
        <v>697</v>
      </c>
      <c r="C253" s="74" t="s">
        <v>116</v>
      </c>
      <c r="D253" s="75"/>
      <c r="E253" s="79" t="s">
        <v>311</v>
      </c>
      <c r="F253" s="76">
        <v>0.56000000000000005</v>
      </c>
      <c r="G253" s="79">
        <v>178615</v>
      </c>
      <c r="H253" s="63">
        <f t="shared" si="12"/>
        <v>100024.40000000001</v>
      </c>
      <c r="I253" s="63">
        <f t="shared" si="11"/>
        <v>0</v>
      </c>
      <c r="J253" s="60"/>
      <c r="K253" s="60"/>
      <c r="L253" s="64"/>
      <c r="M253" s="65"/>
      <c r="N253" s="66"/>
      <c r="O253" s="66"/>
      <c r="P253" s="66"/>
      <c r="Q253" s="66"/>
      <c r="R253" s="66"/>
      <c r="S253" s="66"/>
    </row>
    <row r="254" spans="1:19" ht="16.5" hidden="1" customHeight="1">
      <c r="A254" s="97" t="s">
        <v>698</v>
      </c>
      <c r="B254" s="78" t="s">
        <v>699</v>
      </c>
      <c r="C254" s="74" t="s">
        <v>116</v>
      </c>
      <c r="D254" s="75"/>
      <c r="E254" s="79" t="s">
        <v>311</v>
      </c>
      <c r="F254" s="76">
        <v>0.67</v>
      </c>
      <c r="G254" s="79">
        <v>178615</v>
      </c>
      <c r="H254" s="63">
        <f t="shared" si="12"/>
        <v>119672.05</v>
      </c>
      <c r="I254" s="63">
        <f t="shared" si="11"/>
        <v>0</v>
      </c>
      <c r="J254" s="60"/>
      <c r="K254" s="60"/>
      <c r="L254" s="64"/>
      <c r="M254" s="65"/>
      <c r="N254" s="66"/>
      <c r="O254" s="66"/>
      <c r="P254" s="66"/>
      <c r="Q254" s="66"/>
      <c r="R254" s="66"/>
      <c r="S254" s="66"/>
    </row>
    <row r="255" spans="1:19" ht="16.5" hidden="1" customHeight="1">
      <c r="A255" s="97" t="s">
        <v>700</v>
      </c>
      <c r="B255" s="78" t="s">
        <v>701</v>
      </c>
      <c r="C255" s="74" t="s">
        <v>116</v>
      </c>
      <c r="D255" s="75"/>
      <c r="E255" s="79" t="s">
        <v>311</v>
      </c>
      <c r="F255" s="76">
        <v>0.7</v>
      </c>
      <c r="G255" s="79">
        <v>178615</v>
      </c>
      <c r="H255" s="63">
        <f t="shared" si="12"/>
        <v>125030.49999999999</v>
      </c>
      <c r="I255" s="63">
        <f t="shared" si="11"/>
        <v>0</v>
      </c>
      <c r="J255" s="60"/>
      <c r="K255" s="60"/>
      <c r="L255" s="64"/>
      <c r="M255" s="65"/>
      <c r="N255" s="66"/>
      <c r="O255" s="66"/>
      <c r="P255" s="66"/>
      <c r="Q255" s="66"/>
      <c r="R255" s="66"/>
      <c r="S255" s="66"/>
    </row>
    <row r="256" spans="1:19" ht="16.5" hidden="1" customHeight="1">
      <c r="A256" s="97" t="s">
        <v>702</v>
      </c>
      <c r="B256" s="78" t="s">
        <v>703</v>
      </c>
      <c r="C256" s="74" t="s">
        <v>116</v>
      </c>
      <c r="D256" s="75"/>
      <c r="E256" s="79" t="s">
        <v>311</v>
      </c>
      <c r="F256" s="76">
        <v>0.56000000000000005</v>
      </c>
      <c r="G256" s="79">
        <v>178615</v>
      </c>
      <c r="H256" s="63">
        <f t="shared" si="12"/>
        <v>100024.40000000001</v>
      </c>
      <c r="I256" s="63">
        <f t="shared" si="11"/>
        <v>0</v>
      </c>
      <c r="J256" s="60"/>
      <c r="K256" s="60"/>
      <c r="L256" s="64"/>
      <c r="M256" s="65"/>
      <c r="N256" s="66"/>
      <c r="O256" s="66"/>
      <c r="P256" s="66"/>
      <c r="Q256" s="66"/>
      <c r="R256" s="66"/>
      <c r="S256" s="66"/>
    </row>
    <row r="257" spans="1:19" s="218" customFormat="1" ht="16.5" customHeight="1">
      <c r="A257" s="211" t="s">
        <v>126</v>
      </c>
      <c r="B257" s="211" t="s">
        <v>127</v>
      </c>
      <c r="C257" s="212" t="s">
        <v>128</v>
      </c>
      <c r="D257" s="213"/>
      <c r="E257" s="140" t="s">
        <v>311</v>
      </c>
      <c r="F257" s="141">
        <v>6.19</v>
      </c>
      <c r="G257" s="158">
        <v>210185</v>
      </c>
      <c r="H257" s="122">
        <f>+G257*F257</f>
        <v>1301045.1500000001</v>
      </c>
      <c r="I257" s="122">
        <f>3.845*259756</f>
        <v>998761.82000000007</v>
      </c>
      <c r="J257" s="214">
        <v>309536</v>
      </c>
      <c r="K257" s="214"/>
      <c r="L257" s="215"/>
      <c r="M257" s="216"/>
      <c r="N257" s="217"/>
      <c r="O257" s="217"/>
      <c r="P257" s="217"/>
      <c r="Q257" s="217"/>
      <c r="R257" s="217"/>
      <c r="S257" s="217"/>
    </row>
    <row r="258" spans="1:19" ht="16.5" hidden="1" customHeight="1">
      <c r="A258" s="97" t="s">
        <v>704</v>
      </c>
      <c r="B258" s="78" t="s">
        <v>705</v>
      </c>
      <c r="C258" s="74" t="s">
        <v>116</v>
      </c>
      <c r="D258" s="75"/>
      <c r="E258" s="79" t="s">
        <v>311</v>
      </c>
      <c r="F258" s="76">
        <v>0.7</v>
      </c>
      <c r="G258" s="79">
        <v>178615</v>
      </c>
      <c r="H258" s="63">
        <f t="shared" si="12"/>
        <v>125030.49999999999</v>
      </c>
      <c r="I258" s="63">
        <f t="shared" si="11"/>
        <v>0</v>
      </c>
      <c r="J258" s="60"/>
      <c r="K258" s="60"/>
      <c r="L258" s="64"/>
      <c r="M258" s="65"/>
      <c r="N258" s="66"/>
      <c r="O258" s="66"/>
      <c r="P258" s="66"/>
      <c r="Q258" s="66"/>
      <c r="R258" s="66"/>
      <c r="S258" s="66"/>
    </row>
    <row r="259" spans="1:19" ht="16.5" hidden="1" customHeight="1">
      <c r="A259" s="83" t="s">
        <v>706</v>
      </c>
      <c r="B259" s="55" t="s">
        <v>707</v>
      </c>
      <c r="C259" s="74"/>
      <c r="D259" s="75"/>
      <c r="E259" s="79"/>
      <c r="F259" s="76"/>
      <c r="G259" s="79"/>
      <c r="H259" s="63">
        <f t="shared" si="12"/>
        <v>0</v>
      </c>
      <c r="I259" s="63">
        <f t="shared" si="11"/>
        <v>0</v>
      </c>
      <c r="J259" s="60"/>
      <c r="K259" s="60"/>
      <c r="L259" s="64"/>
      <c r="M259" s="65"/>
      <c r="N259" s="66"/>
      <c r="O259" s="66"/>
      <c r="P259" s="66"/>
      <c r="Q259" s="66"/>
      <c r="R259" s="66"/>
      <c r="S259" s="66"/>
    </row>
    <row r="260" spans="1:19" ht="16.5" hidden="1" customHeight="1">
      <c r="A260" s="85" t="s">
        <v>708</v>
      </c>
      <c r="B260" s="78" t="s">
        <v>709</v>
      </c>
      <c r="C260" s="74" t="s">
        <v>116</v>
      </c>
      <c r="D260" s="75">
        <v>84846</v>
      </c>
      <c r="E260" s="79" t="s">
        <v>311</v>
      </c>
      <c r="F260" s="76">
        <v>0.62</v>
      </c>
      <c r="G260" s="79">
        <v>178615</v>
      </c>
      <c r="H260" s="63">
        <f t="shared" si="12"/>
        <v>110741.3</v>
      </c>
      <c r="I260" s="63">
        <f t="shared" si="11"/>
        <v>0</v>
      </c>
      <c r="J260" s="60"/>
      <c r="K260" s="60"/>
      <c r="L260" s="64"/>
      <c r="M260" s="65"/>
      <c r="N260" s="66"/>
      <c r="O260" s="66"/>
      <c r="P260" s="66"/>
      <c r="Q260" s="66"/>
      <c r="R260" s="66"/>
      <c r="S260" s="66"/>
    </row>
    <row r="261" spans="1:19" ht="16.5" hidden="1" customHeight="1">
      <c r="A261" s="83" t="s">
        <v>710</v>
      </c>
      <c r="B261" s="55" t="s">
        <v>711</v>
      </c>
      <c r="C261" s="74"/>
      <c r="D261" s="75"/>
      <c r="E261" s="79"/>
      <c r="F261" s="76"/>
      <c r="G261" s="79"/>
      <c r="H261" s="63">
        <f t="shared" si="12"/>
        <v>0</v>
      </c>
      <c r="I261" s="63">
        <f t="shared" si="11"/>
        <v>0</v>
      </c>
      <c r="J261" s="60"/>
      <c r="K261" s="60"/>
      <c r="L261" s="64"/>
      <c r="M261" s="65"/>
      <c r="N261" s="66"/>
      <c r="O261" s="66"/>
      <c r="P261" s="66"/>
      <c r="Q261" s="66"/>
      <c r="R261" s="66"/>
      <c r="S261" s="66"/>
    </row>
    <row r="262" spans="1:19" ht="16.5" hidden="1" customHeight="1">
      <c r="A262" s="85" t="s">
        <v>712</v>
      </c>
      <c r="B262" s="78" t="s">
        <v>713</v>
      </c>
      <c r="C262" s="74" t="s">
        <v>116</v>
      </c>
      <c r="D262" s="75"/>
      <c r="E262" s="79" t="s">
        <v>311</v>
      </c>
      <c r="F262" s="76">
        <f>8.47/100</f>
        <v>8.4700000000000011E-2</v>
      </c>
      <c r="G262" s="79">
        <v>178615</v>
      </c>
      <c r="H262" s="63">
        <f t="shared" si="12"/>
        <v>15128.690500000002</v>
      </c>
      <c r="I262" s="63">
        <f>+L262</f>
        <v>1131147.2065384614</v>
      </c>
      <c r="J262" s="60"/>
      <c r="K262" s="60"/>
      <c r="L262" s="64">
        <f>+((M262*N262)+(O262*P262)+(Q262*R262))*(1+S262/100)</f>
        <v>1131147.2065384614</v>
      </c>
      <c r="M262" s="82">
        <v>3.85</v>
      </c>
      <c r="N262" s="66">
        <v>293804.4692307692</v>
      </c>
      <c r="O262" s="66"/>
      <c r="P262" s="66"/>
      <c r="Q262" s="66"/>
      <c r="R262" s="66"/>
      <c r="S262" s="66"/>
    </row>
    <row r="263" spans="1:19" ht="16.5" hidden="1" customHeight="1">
      <c r="A263" s="85" t="s">
        <v>714</v>
      </c>
      <c r="B263" s="78" t="s">
        <v>715</v>
      </c>
      <c r="C263" s="74" t="s">
        <v>116</v>
      </c>
      <c r="D263" s="75"/>
      <c r="E263" s="79" t="s">
        <v>311</v>
      </c>
      <c r="F263" s="76">
        <f>9.72/100</f>
        <v>9.7200000000000009E-2</v>
      </c>
      <c r="G263" s="79">
        <v>178615</v>
      </c>
      <c r="H263" s="63">
        <f t="shared" si="12"/>
        <v>17361.378000000001</v>
      </c>
      <c r="I263" s="63">
        <f>+L263</f>
        <v>1298615.754</v>
      </c>
      <c r="J263" s="60"/>
      <c r="K263" s="60"/>
      <c r="L263" s="64">
        <f>+((M263*N263)+(O263*P263)+(Q263*R263))*(1+S263/100)</f>
        <v>1298615.754</v>
      </c>
      <c r="M263" s="82">
        <v>4.42</v>
      </c>
      <c r="N263" s="66">
        <f>+N262</f>
        <v>293804.4692307692</v>
      </c>
      <c r="O263" s="66"/>
      <c r="P263" s="66"/>
      <c r="Q263" s="66"/>
      <c r="R263" s="66"/>
      <c r="S263" s="66"/>
    </row>
    <row r="264" spans="1:19" ht="16.5" hidden="1" customHeight="1">
      <c r="A264" s="85" t="s">
        <v>716</v>
      </c>
      <c r="B264" s="78" t="s">
        <v>717</v>
      </c>
      <c r="C264" s="74" t="s">
        <v>116</v>
      </c>
      <c r="D264" s="75"/>
      <c r="E264" s="79" t="s">
        <v>311</v>
      </c>
      <c r="F264" s="76">
        <f>11.2/100</f>
        <v>0.11199999999999999</v>
      </c>
      <c r="G264" s="79">
        <v>178615</v>
      </c>
      <c r="H264" s="63">
        <f t="shared" si="12"/>
        <v>20004.879999999997</v>
      </c>
      <c r="I264" s="63">
        <f>+L264</f>
        <v>1495464.7483846152</v>
      </c>
      <c r="J264" s="60"/>
      <c r="K264" s="60"/>
      <c r="L264" s="64">
        <f>+((M264*N264)+(O264*P264)+(Q264*R264))*(1+S264/100)</f>
        <v>1495464.7483846152</v>
      </c>
      <c r="M264" s="82">
        <v>5.09</v>
      </c>
      <c r="N264" s="66">
        <f>+N263</f>
        <v>293804.4692307692</v>
      </c>
      <c r="O264" s="66"/>
      <c r="P264" s="66"/>
      <c r="Q264" s="66"/>
      <c r="R264" s="66"/>
      <c r="S264" s="66"/>
    </row>
    <row r="265" spans="1:19" ht="16.5" hidden="1" customHeight="1">
      <c r="A265" s="83" t="s">
        <v>718</v>
      </c>
      <c r="B265" s="55" t="s">
        <v>719</v>
      </c>
      <c r="C265" s="81"/>
      <c r="D265" s="92"/>
      <c r="E265" s="98"/>
      <c r="F265" s="94"/>
      <c r="G265" s="98"/>
      <c r="H265" s="63">
        <f t="shared" si="12"/>
        <v>0</v>
      </c>
      <c r="I265" s="63">
        <f t="shared" si="11"/>
        <v>0</v>
      </c>
      <c r="J265" s="60"/>
      <c r="K265" s="60"/>
      <c r="L265" s="64"/>
      <c r="M265" s="65"/>
      <c r="N265" s="66"/>
      <c r="O265" s="66"/>
      <c r="P265" s="66"/>
      <c r="Q265" s="66"/>
      <c r="R265" s="66"/>
      <c r="S265" s="66"/>
    </row>
    <row r="266" spans="1:19" ht="16.5" hidden="1" customHeight="1">
      <c r="A266" s="85" t="s">
        <v>720</v>
      </c>
      <c r="B266" s="78" t="s">
        <v>721</v>
      </c>
      <c r="C266" s="81" t="s">
        <v>47</v>
      </c>
      <c r="D266" s="75"/>
      <c r="E266" s="79" t="s">
        <v>646</v>
      </c>
      <c r="F266" s="76">
        <v>6.38</v>
      </c>
      <c r="G266" s="79">
        <v>194740</v>
      </c>
      <c r="H266" s="63">
        <f t="shared" si="12"/>
        <v>1242441.2</v>
      </c>
      <c r="I266" s="63">
        <f t="shared" si="11"/>
        <v>0</v>
      </c>
      <c r="J266" s="60"/>
      <c r="K266" s="60"/>
      <c r="L266" s="64"/>
      <c r="M266" s="65"/>
      <c r="N266" s="66"/>
      <c r="O266" s="66"/>
      <c r="P266" s="66"/>
      <c r="Q266" s="66"/>
      <c r="R266" s="66"/>
      <c r="S266" s="66"/>
    </row>
    <row r="267" spans="1:19" ht="16.5" hidden="1" customHeight="1">
      <c r="A267" s="85" t="s">
        <v>722</v>
      </c>
      <c r="B267" s="78" t="s">
        <v>723</v>
      </c>
      <c r="C267" s="81" t="s">
        <v>47</v>
      </c>
      <c r="D267" s="75"/>
      <c r="E267" s="79" t="s">
        <v>646</v>
      </c>
      <c r="F267" s="76">
        <v>4.95</v>
      </c>
      <c r="G267" s="79">
        <v>194740</v>
      </c>
      <c r="H267" s="63">
        <f t="shared" si="12"/>
        <v>963963</v>
      </c>
      <c r="I267" s="63">
        <f t="shared" si="11"/>
        <v>0</v>
      </c>
      <c r="J267" s="60"/>
      <c r="K267" s="60"/>
      <c r="L267" s="64"/>
      <c r="M267" s="65"/>
      <c r="N267" s="66"/>
      <c r="O267" s="66"/>
      <c r="P267" s="66"/>
      <c r="Q267" s="66"/>
      <c r="R267" s="66"/>
      <c r="S267" s="66"/>
    </row>
    <row r="268" spans="1:19" ht="16.5" hidden="1" customHeight="1">
      <c r="A268" s="85" t="s">
        <v>724</v>
      </c>
      <c r="B268" s="78" t="s">
        <v>725</v>
      </c>
      <c r="C268" s="81" t="s">
        <v>47</v>
      </c>
      <c r="D268" s="75"/>
      <c r="E268" s="79" t="s">
        <v>646</v>
      </c>
      <c r="F268" s="76">
        <v>4.29</v>
      </c>
      <c r="G268" s="79">
        <v>194740</v>
      </c>
      <c r="H268" s="63">
        <f t="shared" si="12"/>
        <v>835434.6</v>
      </c>
      <c r="I268" s="63">
        <f t="shared" si="11"/>
        <v>0</v>
      </c>
      <c r="J268" s="60"/>
      <c r="K268" s="60"/>
      <c r="L268" s="64"/>
      <c r="M268" s="65"/>
      <c r="N268" s="66"/>
      <c r="O268" s="66"/>
      <c r="P268" s="66"/>
      <c r="Q268" s="66"/>
      <c r="R268" s="66"/>
      <c r="S268" s="66"/>
    </row>
    <row r="269" spans="1:19" ht="16.5" hidden="1" customHeight="1">
      <c r="A269" s="85" t="s">
        <v>726</v>
      </c>
      <c r="B269" s="78" t="s">
        <v>727</v>
      </c>
      <c r="C269" s="81" t="s">
        <v>47</v>
      </c>
      <c r="D269" s="75"/>
      <c r="E269" s="79" t="s">
        <v>646</v>
      </c>
      <c r="F269" s="76">
        <v>3.85</v>
      </c>
      <c r="G269" s="79">
        <v>194740</v>
      </c>
      <c r="H269" s="63">
        <f t="shared" si="12"/>
        <v>749749</v>
      </c>
      <c r="I269" s="63">
        <f t="shared" si="11"/>
        <v>0</v>
      </c>
      <c r="J269" s="60"/>
      <c r="K269" s="60"/>
      <c r="L269" s="64"/>
      <c r="M269" s="65"/>
      <c r="N269" s="66"/>
      <c r="O269" s="66"/>
      <c r="P269" s="66"/>
      <c r="Q269" s="66"/>
      <c r="R269" s="66"/>
      <c r="S269" s="66"/>
    </row>
    <row r="270" spans="1:19" ht="16.5" hidden="1" customHeight="1">
      <c r="A270" s="83" t="s">
        <v>728</v>
      </c>
      <c r="B270" s="55" t="s">
        <v>729</v>
      </c>
      <c r="C270" s="81"/>
      <c r="D270" s="92"/>
      <c r="E270" s="98"/>
      <c r="F270" s="94"/>
      <c r="G270" s="98"/>
      <c r="H270" s="63">
        <f t="shared" si="12"/>
        <v>0</v>
      </c>
      <c r="I270" s="63">
        <f t="shared" si="11"/>
        <v>0</v>
      </c>
      <c r="J270" s="60"/>
      <c r="K270" s="60"/>
      <c r="L270" s="64"/>
      <c r="M270" s="65"/>
      <c r="N270" s="66"/>
      <c r="O270" s="66"/>
      <c r="P270" s="66"/>
      <c r="Q270" s="66"/>
      <c r="R270" s="66"/>
      <c r="S270" s="66"/>
    </row>
    <row r="271" spans="1:19" ht="16.5" hidden="1" customHeight="1">
      <c r="A271" s="85" t="s">
        <v>730</v>
      </c>
      <c r="B271" s="78" t="s">
        <v>731</v>
      </c>
      <c r="C271" s="81" t="s">
        <v>47</v>
      </c>
      <c r="D271" s="75"/>
      <c r="E271" s="79" t="s">
        <v>311</v>
      </c>
      <c r="F271" s="76">
        <v>4.8600000000000003</v>
      </c>
      <c r="G271" s="79">
        <v>178615</v>
      </c>
      <c r="H271" s="63">
        <f t="shared" si="12"/>
        <v>868068.9</v>
      </c>
      <c r="I271" s="63">
        <f t="shared" si="11"/>
        <v>0</v>
      </c>
      <c r="J271" s="60"/>
      <c r="K271" s="60"/>
      <c r="L271" s="64"/>
      <c r="M271" s="65"/>
      <c r="N271" s="66"/>
      <c r="O271" s="66"/>
      <c r="P271" s="66"/>
      <c r="Q271" s="66"/>
      <c r="R271" s="66"/>
      <c r="S271" s="66"/>
    </row>
    <row r="272" spans="1:19" ht="16.5" hidden="1" customHeight="1">
      <c r="A272" s="85" t="s">
        <v>732</v>
      </c>
      <c r="B272" s="78" t="s">
        <v>733</v>
      </c>
      <c r="C272" s="81" t="s">
        <v>47</v>
      </c>
      <c r="D272" s="75"/>
      <c r="E272" s="79" t="s">
        <v>311</v>
      </c>
      <c r="F272" s="76">
        <v>3.79</v>
      </c>
      <c r="G272" s="79">
        <v>178615</v>
      </c>
      <c r="H272" s="63">
        <f t="shared" si="12"/>
        <v>676950.85</v>
      </c>
      <c r="I272" s="63">
        <f t="shared" si="11"/>
        <v>0</v>
      </c>
      <c r="J272" s="60"/>
      <c r="K272" s="60"/>
      <c r="L272" s="64"/>
      <c r="M272" s="65"/>
      <c r="N272" s="66"/>
      <c r="O272" s="66"/>
      <c r="P272" s="66"/>
      <c r="Q272" s="66"/>
      <c r="R272" s="66"/>
      <c r="S272" s="66"/>
    </row>
    <row r="273" spans="1:19" ht="16.5" hidden="1" customHeight="1">
      <c r="A273" s="85" t="s">
        <v>734</v>
      </c>
      <c r="B273" s="78" t="s">
        <v>735</v>
      </c>
      <c r="C273" s="81" t="s">
        <v>47</v>
      </c>
      <c r="D273" s="75"/>
      <c r="E273" s="79" t="s">
        <v>311</v>
      </c>
      <c r="F273" s="76">
        <v>3.26</v>
      </c>
      <c r="G273" s="79">
        <v>178615</v>
      </c>
      <c r="H273" s="63">
        <f t="shared" si="12"/>
        <v>582284.89999999991</v>
      </c>
      <c r="I273" s="63">
        <f t="shared" si="11"/>
        <v>0</v>
      </c>
      <c r="J273" s="60"/>
      <c r="K273" s="60"/>
      <c r="L273" s="64"/>
      <c r="M273" s="65"/>
      <c r="N273" s="66"/>
      <c r="O273" s="66"/>
      <c r="P273" s="66"/>
      <c r="Q273" s="66"/>
      <c r="R273" s="66"/>
      <c r="S273" s="66"/>
    </row>
    <row r="274" spans="1:19" ht="16.5" hidden="1" customHeight="1">
      <c r="A274" s="85" t="s">
        <v>736</v>
      </c>
      <c r="B274" s="78" t="s">
        <v>737</v>
      </c>
      <c r="C274" s="81" t="s">
        <v>47</v>
      </c>
      <c r="D274" s="75"/>
      <c r="E274" s="79" t="s">
        <v>311</v>
      </c>
      <c r="F274" s="76">
        <v>2.93</v>
      </c>
      <c r="G274" s="79">
        <v>178615</v>
      </c>
      <c r="H274" s="63">
        <f t="shared" si="12"/>
        <v>523341.95</v>
      </c>
      <c r="I274" s="63">
        <f t="shared" si="11"/>
        <v>0</v>
      </c>
      <c r="J274" s="60"/>
      <c r="K274" s="60"/>
      <c r="L274" s="64"/>
      <c r="M274" s="65"/>
      <c r="N274" s="66"/>
      <c r="O274" s="66"/>
      <c r="P274" s="66"/>
      <c r="Q274" s="66"/>
      <c r="R274" s="66"/>
      <c r="S274" s="66"/>
    </row>
    <row r="275" spans="1:19" ht="16.5" hidden="1" customHeight="1">
      <c r="A275" s="83" t="s">
        <v>738</v>
      </c>
      <c r="B275" s="55" t="s">
        <v>739</v>
      </c>
      <c r="C275" s="81"/>
      <c r="D275" s="92"/>
      <c r="E275" s="98"/>
      <c r="F275" s="94"/>
      <c r="G275" s="98"/>
      <c r="H275" s="63">
        <f t="shared" ref="H275:H308" si="13">IF(G275&lt;&gt;0,ROUND(G275*F275,0), )</f>
        <v>0</v>
      </c>
      <c r="I275" s="63">
        <f t="shared" si="11"/>
        <v>0</v>
      </c>
      <c r="J275" s="60"/>
      <c r="K275" s="60"/>
      <c r="L275" s="64"/>
      <c r="M275" s="65"/>
      <c r="N275" s="66"/>
      <c r="O275" s="66"/>
      <c r="P275" s="66"/>
      <c r="Q275" s="66"/>
      <c r="R275" s="66"/>
      <c r="S275" s="66"/>
    </row>
    <row r="276" spans="1:19" ht="16.5" hidden="1" customHeight="1">
      <c r="A276" s="85" t="s">
        <v>740</v>
      </c>
      <c r="B276" s="78" t="s">
        <v>741</v>
      </c>
      <c r="C276" s="81" t="s">
        <v>128</v>
      </c>
      <c r="D276" s="75">
        <v>3059753</v>
      </c>
      <c r="E276" s="79" t="s">
        <v>646</v>
      </c>
      <c r="F276" s="76">
        <v>28.05</v>
      </c>
      <c r="G276" s="79">
        <v>194740</v>
      </c>
      <c r="H276" s="63">
        <f t="shared" si="13"/>
        <v>5462457</v>
      </c>
      <c r="I276" s="63">
        <f>+L276</f>
        <v>10715269.497991044</v>
      </c>
      <c r="J276" s="60"/>
      <c r="K276" s="60">
        <v>2410549</v>
      </c>
      <c r="L276" s="64">
        <f>+((M276*N276)+(O276*P276)+(Q276*R276))*(1+S276/100)</f>
        <v>10715269.497991044</v>
      </c>
      <c r="M276" s="82">
        <v>15.603</v>
      </c>
      <c r="N276" s="66">
        <v>224741.42478632476</v>
      </c>
      <c r="O276" s="82">
        <v>5.2009999999999996</v>
      </c>
      <c r="P276" s="66">
        <v>1345611.56</v>
      </c>
      <c r="Q276" s="66"/>
      <c r="R276" s="66"/>
      <c r="S276" s="66">
        <v>2</v>
      </c>
    </row>
    <row r="277" spans="1:19" ht="16.5" hidden="1" customHeight="1">
      <c r="A277" s="85" t="s">
        <v>742</v>
      </c>
      <c r="B277" s="78" t="s">
        <v>741</v>
      </c>
      <c r="C277" s="81" t="s">
        <v>128</v>
      </c>
      <c r="D277" s="75">
        <v>2561086</v>
      </c>
      <c r="E277" s="79"/>
      <c r="F277" s="76"/>
      <c r="G277" s="79"/>
      <c r="H277" s="63">
        <v>1989059</v>
      </c>
      <c r="I277" s="63">
        <f>+L277</f>
        <v>6522467.0203588409</v>
      </c>
      <c r="J277" s="60"/>
      <c r="K277" s="60">
        <v>1857667</v>
      </c>
      <c r="L277" s="64">
        <f>+((M277*N277)+(O277*P277)+(Q277*R277))*(1+S277/100)</f>
        <v>6522467.0203588409</v>
      </c>
      <c r="M277" s="82">
        <v>9.4969999999999999</v>
      </c>
      <c r="N277" s="66">
        <f>+N276</f>
        <v>224741.42478632476</v>
      </c>
      <c r="O277" s="82">
        <v>3.1659999999999999</v>
      </c>
      <c r="P277" s="66">
        <f>+P276</f>
        <v>1345611.56</v>
      </c>
      <c r="Q277" s="66"/>
      <c r="R277" s="66"/>
      <c r="S277" s="66">
        <v>2</v>
      </c>
    </row>
    <row r="278" spans="1:19" ht="16.5" hidden="1" customHeight="1">
      <c r="A278" s="85" t="s">
        <v>743</v>
      </c>
      <c r="B278" s="78" t="s">
        <v>741</v>
      </c>
      <c r="C278" s="81" t="s">
        <v>128</v>
      </c>
      <c r="D278" s="75">
        <v>2222319</v>
      </c>
      <c r="E278" s="79"/>
      <c r="F278" s="76"/>
      <c r="G278" s="79"/>
      <c r="H278" s="63">
        <v>1734051</v>
      </c>
      <c r="I278" s="63">
        <f>+L278</f>
        <v>5362556.0941198561</v>
      </c>
      <c r="J278" s="60"/>
      <c r="K278" s="60">
        <v>1704732</v>
      </c>
      <c r="L278" s="64">
        <f>+((M278*N278)+(O278*P278)+(Q278*R278))*(1+S278/100)</f>
        <v>5362556.0941198561</v>
      </c>
      <c r="M278" s="82">
        <v>7.8079999999999998</v>
      </c>
      <c r="N278" s="66">
        <f>+N277</f>
        <v>224741.42478632476</v>
      </c>
      <c r="O278" s="82">
        <v>2.6030000000000002</v>
      </c>
      <c r="P278" s="66">
        <f>+P277</f>
        <v>1345611.56</v>
      </c>
      <c r="Q278" s="66"/>
      <c r="R278" s="66"/>
      <c r="S278" s="66">
        <v>2</v>
      </c>
    </row>
    <row r="279" spans="1:19" ht="16.5" hidden="1" customHeight="1">
      <c r="A279" s="85" t="s">
        <v>744</v>
      </c>
      <c r="B279" s="78" t="s">
        <v>741</v>
      </c>
      <c r="C279" s="81" t="s">
        <v>128</v>
      </c>
      <c r="D279" s="75">
        <v>1938779</v>
      </c>
      <c r="E279" s="79"/>
      <c r="F279" s="76"/>
      <c r="G279" s="79"/>
      <c r="H279" s="63">
        <v>1428042</v>
      </c>
      <c r="I279" s="63">
        <f>+L279</f>
        <v>3427997.7286875173</v>
      </c>
      <c r="J279" s="60"/>
      <c r="K279" s="60">
        <v>1449660</v>
      </c>
      <c r="L279" s="64">
        <f>+((M279*N279)+(O279*P279)+(Q279*R279))*(1+S279/100)</f>
        <v>3427997.7286875173</v>
      </c>
      <c r="M279" s="82">
        <v>4.9909999999999997</v>
      </c>
      <c r="N279" s="66">
        <f>+N278</f>
        <v>224741.42478632476</v>
      </c>
      <c r="O279" s="82">
        <v>1.6639999999999999</v>
      </c>
      <c r="P279" s="66">
        <f>+P278</f>
        <v>1345611.56</v>
      </c>
      <c r="Q279" s="66"/>
      <c r="R279" s="66"/>
      <c r="S279" s="66">
        <v>2</v>
      </c>
    </row>
    <row r="280" spans="1:19" ht="16.5" hidden="1" customHeight="1">
      <c r="A280" s="83" t="s">
        <v>745</v>
      </c>
      <c r="B280" s="55" t="s">
        <v>746</v>
      </c>
      <c r="C280" s="81"/>
      <c r="D280" s="92"/>
      <c r="E280" s="98"/>
      <c r="F280" s="94"/>
      <c r="G280" s="98"/>
      <c r="H280" s="63"/>
      <c r="I280" s="63">
        <f t="shared" ref="I280:I346" si="14">+K280*$I$4</f>
        <v>0</v>
      </c>
      <c r="J280" s="60"/>
      <c r="K280" s="60"/>
      <c r="L280" s="64"/>
      <c r="M280" s="65"/>
      <c r="N280" s="66"/>
      <c r="O280" s="66"/>
      <c r="P280" s="66"/>
      <c r="Q280" s="66"/>
      <c r="R280" s="66"/>
      <c r="S280" s="66"/>
    </row>
    <row r="281" spans="1:19" ht="16.5" hidden="1" customHeight="1">
      <c r="A281" s="85" t="s">
        <v>747</v>
      </c>
      <c r="B281" s="78" t="s">
        <v>748</v>
      </c>
      <c r="C281" s="74" t="s">
        <v>116</v>
      </c>
      <c r="D281" s="92"/>
      <c r="E281" s="79" t="s">
        <v>311</v>
      </c>
      <c r="F281" s="76">
        <v>2.7</v>
      </c>
      <c r="G281" s="79">
        <v>178615</v>
      </c>
      <c r="H281" s="63">
        <f t="shared" si="13"/>
        <v>482261</v>
      </c>
      <c r="I281" s="63">
        <f t="shared" si="14"/>
        <v>0</v>
      </c>
      <c r="J281" s="60"/>
      <c r="K281" s="60"/>
      <c r="L281" s="64"/>
      <c r="M281" s="65"/>
      <c r="N281" s="66"/>
      <c r="O281" s="66"/>
      <c r="P281" s="66"/>
      <c r="Q281" s="66"/>
      <c r="R281" s="66"/>
      <c r="S281" s="66"/>
    </row>
    <row r="282" spans="1:19" ht="16.5" hidden="1" customHeight="1">
      <c r="A282" s="85" t="s">
        <v>749</v>
      </c>
      <c r="B282" s="78" t="s">
        <v>750</v>
      </c>
      <c r="C282" s="74" t="s">
        <v>116</v>
      </c>
      <c r="D282" s="92"/>
      <c r="E282" s="79" t="s">
        <v>311</v>
      </c>
      <c r="F282" s="76">
        <v>2.1800000000000002</v>
      </c>
      <c r="G282" s="79">
        <v>178615</v>
      </c>
      <c r="H282" s="63">
        <f t="shared" si="13"/>
        <v>389381</v>
      </c>
      <c r="I282" s="63">
        <f t="shared" si="14"/>
        <v>0</v>
      </c>
      <c r="J282" s="60"/>
      <c r="K282" s="60"/>
      <c r="L282" s="64"/>
      <c r="M282" s="65"/>
      <c r="N282" s="66"/>
      <c r="O282" s="66"/>
      <c r="P282" s="66"/>
      <c r="Q282" s="66"/>
      <c r="R282" s="66"/>
      <c r="S282" s="66"/>
    </row>
    <row r="283" spans="1:19" ht="16.5" hidden="1" customHeight="1">
      <c r="A283" s="83" t="s">
        <v>751</v>
      </c>
      <c r="B283" s="55" t="s">
        <v>752</v>
      </c>
      <c r="C283" s="81"/>
      <c r="D283" s="92"/>
      <c r="E283" s="93"/>
      <c r="F283" s="94"/>
      <c r="G283" s="98"/>
      <c r="H283" s="63"/>
      <c r="I283" s="63">
        <f t="shared" si="14"/>
        <v>0</v>
      </c>
      <c r="J283" s="60"/>
      <c r="K283" s="60"/>
      <c r="L283" s="64"/>
      <c r="M283" s="65"/>
      <c r="N283" s="66"/>
      <c r="O283" s="66"/>
      <c r="P283" s="66"/>
      <c r="Q283" s="66"/>
      <c r="R283" s="66"/>
      <c r="S283" s="66"/>
    </row>
    <row r="284" spans="1:19" ht="16.5" hidden="1" customHeight="1">
      <c r="A284" s="83"/>
      <c r="B284" s="55" t="s">
        <v>753</v>
      </c>
      <c r="C284" s="81"/>
      <c r="D284" s="92"/>
      <c r="E284" s="93"/>
      <c r="F284" s="94"/>
      <c r="G284" s="98"/>
      <c r="H284" s="63"/>
      <c r="I284" s="63">
        <f t="shared" si="14"/>
        <v>0</v>
      </c>
      <c r="J284" s="60"/>
      <c r="K284" s="60"/>
      <c r="L284" s="64"/>
      <c r="M284" s="65"/>
      <c r="N284" s="66"/>
      <c r="O284" s="66"/>
      <c r="P284" s="66"/>
      <c r="Q284" s="66"/>
      <c r="R284" s="66"/>
      <c r="S284" s="66"/>
    </row>
    <row r="285" spans="1:19" ht="16.5" hidden="1" customHeight="1">
      <c r="A285" s="85" t="s">
        <v>754</v>
      </c>
      <c r="B285" s="78" t="s">
        <v>232</v>
      </c>
      <c r="C285" s="74" t="s">
        <v>116</v>
      </c>
      <c r="D285" s="92"/>
      <c r="E285" s="79" t="s">
        <v>311</v>
      </c>
      <c r="F285" s="76">
        <v>3.06</v>
      </c>
      <c r="G285" s="79">
        <v>178615</v>
      </c>
      <c r="H285" s="63">
        <f t="shared" si="13"/>
        <v>546562</v>
      </c>
      <c r="I285" s="63">
        <f t="shared" si="14"/>
        <v>0</v>
      </c>
      <c r="J285" s="60"/>
      <c r="K285" s="60"/>
      <c r="L285" s="64"/>
      <c r="M285" s="65"/>
      <c r="N285" s="66"/>
      <c r="O285" s="66"/>
      <c r="P285" s="66"/>
      <c r="Q285" s="66"/>
      <c r="R285" s="66"/>
      <c r="S285" s="66"/>
    </row>
    <row r="286" spans="1:19" ht="16.5" hidden="1" customHeight="1">
      <c r="A286" s="85"/>
      <c r="B286" s="55" t="s">
        <v>755</v>
      </c>
      <c r="C286" s="81"/>
      <c r="D286" s="92"/>
      <c r="E286" s="98"/>
      <c r="F286" s="94"/>
      <c r="G286" s="98"/>
      <c r="H286" s="63">
        <f t="shared" si="13"/>
        <v>0</v>
      </c>
      <c r="I286" s="63">
        <f t="shared" si="14"/>
        <v>0</v>
      </c>
      <c r="J286" s="60"/>
      <c r="K286" s="60"/>
      <c r="L286" s="64"/>
      <c r="M286" s="65"/>
      <c r="N286" s="66"/>
      <c r="O286" s="66"/>
      <c r="P286" s="66"/>
      <c r="Q286" s="66"/>
      <c r="R286" s="66"/>
      <c r="S286" s="66"/>
    </row>
    <row r="287" spans="1:19" ht="16.5" hidden="1" customHeight="1">
      <c r="A287" s="85" t="s">
        <v>756</v>
      </c>
      <c r="B287" s="78" t="s">
        <v>757</v>
      </c>
      <c r="C287" s="74" t="s">
        <v>116</v>
      </c>
      <c r="D287" s="92"/>
      <c r="E287" s="79" t="s">
        <v>311</v>
      </c>
      <c r="F287" s="76">
        <v>3.56</v>
      </c>
      <c r="G287" s="79">
        <v>178615</v>
      </c>
      <c r="H287" s="63">
        <f t="shared" si="13"/>
        <v>635869</v>
      </c>
      <c r="I287" s="63">
        <f t="shared" si="14"/>
        <v>0</v>
      </c>
      <c r="J287" s="60"/>
      <c r="K287" s="60"/>
      <c r="L287" s="64"/>
      <c r="M287" s="65"/>
      <c r="N287" s="66"/>
      <c r="O287" s="66"/>
      <c r="P287" s="66"/>
      <c r="Q287" s="66"/>
      <c r="R287" s="66"/>
      <c r="S287" s="66"/>
    </row>
    <row r="288" spans="1:19" ht="16.5" hidden="1" customHeight="1">
      <c r="A288" s="85"/>
      <c r="B288" s="55" t="s">
        <v>758</v>
      </c>
      <c r="C288" s="74"/>
      <c r="D288" s="92"/>
      <c r="E288" s="79"/>
      <c r="F288" s="76"/>
      <c r="G288" s="79"/>
      <c r="H288" s="63">
        <f t="shared" si="13"/>
        <v>0</v>
      </c>
      <c r="I288" s="63">
        <f t="shared" si="14"/>
        <v>0</v>
      </c>
      <c r="J288" s="60"/>
      <c r="K288" s="60"/>
      <c r="L288" s="64"/>
      <c r="M288" s="65"/>
      <c r="N288" s="66"/>
      <c r="O288" s="66"/>
      <c r="P288" s="66"/>
      <c r="Q288" s="66"/>
      <c r="R288" s="66"/>
      <c r="S288" s="66"/>
    </row>
    <row r="289" spans="1:19" ht="16.5" hidden="1" customHeight="1">
      <c r="A289" s="85" t="s">
        <v>759</v>
      </c>
      <c r="B289" s="78" t="s">
        <v>760</v>
      </c>
      <c r="C289" s="74" t="s">
        <v>116</v>
      </c>
      <c r="D289" s="92"/>
      <c r="E289" s="79" t="s">
        <v>311</v>
      </c>
      <c r="F289" s="76">
        <v>3.53</v>
      </c>
      <c r="G289" s="79">
        <v>178615</v>
      </c>
      <c r="H289" s="63">
        <f t="shared" si="13"/>
        <v>630511</v>
      </c>
      <c r="I289" s="63">
        <f t="shared" si="14"/>
        <v>0</v>
      </c>
      <c r="J289" s="60"/>
      <c r="K289" s="60"/>
      <c r="L289" s="64"/>
      <c r="M289" s="65"/>
      <c r="N289" s="66"/>
      <c r="O289" s="66"/>
      <c r="P289" s="66"/>
      <c r="Q289" s="66"/>
      <c r="R289" s="66"/>
      <c r="S289" s="66"/>
    </row>
    <row r="290" spans="1:19" ht="16.5" hidden="1" customHeight="1">
      <c r="A290" s="83" t="s">
        <v>761</v>
      </c>
      <c r="B290" s="55" t="s">
        <v>762</v>
      </c>
      <c r="C290" s="81"/>
      <c r="D290" s="92"/>
      <c r="E290" s="93"/>
      <c r="F290" s="94"/>
      <c r="G290" s="98"/>
      <c r="H290" s="63">
        <f t="shared" si="13"/>
        <v>0</v>
      </c>
      <c r="I290" s="63">
        <f t="shared" si="14"/>
        <v>0</v>
      </c>
      <c r="J290" s="60"/>
      <c r="K290" s="60"/>
      <c r="L290" s="64"/>
      <c r="M290" s="65"/>
      <c r="N290" s="66"/>
      <c r="O290" s="66"/>
      <c r="P290" s="66"/>
      <c r="Q290" s="66"/>
      <c r="R290" s="66"/>
      <c r="S290" s="66"/>
    </row>
    <row r="291" spans="1:19" ht="16.5" hidden="1" customHeight="1">
      <c r="A291" s="83"/>
      <c r="B291" s="55" t="s">
        <v>763</v>
      </c>
      <c r="C291" s="81"/>
      <c r="D291" s="92"/>
      <c r="E291" s="93"/>
      <c r="F291" s="94"/>
      <c r="G291" s="98"/>
      <c r="H291" s="63">
        <f t="shared" si="13"/>
        <v>0</v>
      </c>
      <c r="I291" s="63">
        <f t="shared" si="14"/>
        <v>0</v>
      </c>
      <c r="J291" s="60"/>
      <c r="K291" s="60"/>
      <c r="L291" s="64"/>
      <c r="M291" s="65"/>
      <c r="N291" s="66"/>
      <c r="O291" s="66"/>
      <c r="P291" s="66"/>
      <c r="Q291" s="66"/>
      <c r="R291" s="66"/>
      <c r="S291" s="66"/>
    </row>
    <row r="292" spans="1:19" ht="16.5" hidden="1" customHeight="1">
      <c r="A292" s="85" t="s">
        <v>764</v>
      </c>
      <c r="B292" s="78" t="s">
        <v>765</v>
      </c>
      <c r="C292" s="74" t="s">
        <v>116</v>
      </c>
      <c r="D292" s="92"/>
      <c r="E292" s="79" t="s">
        <v>311</v>
      </c>
      <c r="F292" s="76">
        <v>2.6</v>
      </c>
      <c r="G292" s="79">
        <v>178615</v>
      </c>
      <c r="H292" s="63">
        <f t="shared" si="13"/>
        <v>464399</v>
      </c>
      <c r="I292" s="63">
        <f>+L292</f>
        <v>22516.31365034965</v>
      </c>
      <c r="J292" s="60"/>
      <c r="K292" s="60">
        <v>9448</v>
      </c>
      <c r="L292" s="64">
        <f>+((M292*N292)+(O292*P292)+(Q292*R292))*(1+S292/100)</f>
        <v>22516.31365034965</v>
      </c>
      <c r="M292" s="82">
        <v>0.1</v>
      </c>
      <c r="N292" s="66">
        <v>225163.1365034965</v>
      </c>
      <c r="O292" s="66"/>
      <c r="P292" s="66"/>
      <c r="Q292" s="66"/>
      <c r="R292" s="66"/>
      <c r="S292" s="66"/>
    </row>
    <row r="293" spans="1:19" ht="16.5" hidden="1" customHeight="1">
      <c r="A293" s="85"/>
      <c r="B293" s="55" t="s">
        <v>766</v>
      </c>
      <c r="C293" s="81"/>
      <c r="D293" s="92"/>
      <c r="E293" s="98"/>
      <c r="F293" s="94"/>
      <c r="G293" s="98"/>
      <c r="H293" s="63">
        <f t="shared" si="13"/>
        <v>0</v>
      </c>
      <c r="I293" s="63">
        <f t="shared" si="14"/>
        <v>0</v>
      </c>
      <c r="J293" s="60"/>
      <c r="K293" s="60"/>
      <c r="L293" s="64"/>
      <c r="M293" s="65"/>
      <c r="N293" s="66"/>
      <c r="O293" s="66"/>
      <c r="P293" s="66"/>
      <c r="Q293" s="66"/>
      <c r="R293" s="66"/>
      <c r="S293" s="66"/>
    </row>
    <row r="294" spans="1:19" ht="16.5" hidden="1" customHeight="1">
      <c r="A294" s="85" t="s">
        <v>767</v>
      </c>
      <c r="B294" s="78" t="s">
        <v>768</v>
      </c>
      <c r="C294" s="74" t="s">
        <v>116</v>
      </c>
      <c r="D294" s="92"/>
      <c r="E294" s="79" t="s">
        <v>311</v>
      </c>
      <c r="F294" s="76">
        <v>3.03</v>
      </c>
      <c r="G294" s="79">
        <v>178615</v>
      </c>
      <c r="H294" s="63">
        <f t="shared" si="13"/>
        <v>541203</v>
      </c>
      <c r="I294" s="63">
        <f>+L294</f>
        <v>22516.31365034965</v>
      </c>
      <c r="J294" s="60"/>
      <c r="K294" s="60">
        <v>9448</v>
      </c>
      <c r="L294" s="64">
        <f>+((M294*N294)+(O294*P294)+(Q294*R294))*(1+S294/100)</f>
        <v>22516.31365034965</v>
      </c>
      <c r="M294" s="82">
        <v>0.1</v>
      </c>
      <c r="N294" s="66">
        <f>+N292</f>
        <v>225163.1365034965</v>
      </c>
      <c r="O294" s="66"/>
      <c r="P294" s="66"/>
      <c r="Q294" s="66"/>
      <c r="R294" s="66"/>
      <c r="S294" s="66"/>
    </row>
    <row r="295" spans="1:19" ht="16.5" hidden="1" customHeight="1">
      <c r="A295" s="85"/>
      <c r="B295" s="55" t="s">
        <v>769</v>
      </c>
      <c r="C295" s="81"/>
      <c r="D295" s="92"/>
      <c r="E295" s="98"/>
      <c r="F295" s="94"/>
      <c r="G295" s="98"/>
      <c r="H295" s="63"/>
      <c r="I295" s="63">
        <f t="shared" si="14"/>
        <v>0</v>
      </c>
      <c r="J295" s="60"/>
      <c r="K295" s="60"/>
      <c r="L295" s="64"/>
      <c r="M295" s="65"/>
      <c r="N295" s="66"/>
      <c r="O295" s="66"/>
      <c r="P295" s="66"/>
      <c r="Q295" s="66"/>
      <c r="R295" s="66"/>
      <c r="S295" s="66"/>
    </row>
    <row r="296" spans="1:19" ht="16.5" hidden="1" customHeight="1">
      <c r="A296" s="85" t="s">
        <v>770</v>
      </c>
      <c r="B296" s="78" t="s">
        <v>771</v>
      </c>
      <c r="C296" s="74" t="s">
        <v>116</v>
      </c>
      <c r="D296" s="92"/>
      <c r="E296" s="79" t="s">
        <v>311</v>
      </c>
      <c r="F296" s="76">
        <v>2.82</v>
      </c>
      <c r="G296" s="79">
        <v>178615</v>
      </c>
      <c r="H296" s="63">
        <f t="shared" si="13"/>
        <v>503694</v>
      </c>
      <c r="I296" s="63">
        <f>+L296</f>
        <v>22516.31365034965</v>
      </c>
      <c r="J296" s="60"/>
      <c r="K296" s="60">
        <v>9448</v>
      </c>
      <c r="L296" s="64">
        <f>+((M296*N296)+(O296*P296)+(Q296*R296))*(1+S296/100)</f>
        <v>22516.31365034965</v>
      </c>
      <c r="M296" s="82">
        <v>0.1</v>
      </c>
      <c r="N296" s="66">
        <f>+N294</f>
        <v>225163.1365034965</v>
      </c>
      <c r="O296" s="66"/>
      <c r="P296" s="66"/>
      <c r="Q296" s="66"/>
      <c r="R296" s="66"/>
      <c r="S296" s="66"/>
    </row>
    <row r="297" spans="1:19" ht="16.5" hidden="1" customHeight="1">
      <c r="A297" s="83" t="s">
        <v>772</v>
      </c>
      <c r="B297" s="55" t="s">
        <v>773</v>
      </c>
      <c r="C297" s="81"/>
      <c r="D297" s="92"/>
      <c r="E297" s="98"/>
      <c r="F297" s="94"/>
      <c r="G297" s="98"/>
      <c r="H297" s="63"/>
      <c r="I297" s="63">
        <f t="shared" si="14"/>
        <v>0</v>
      </c>
      <c r="J297" s="60"/>
      <c r="K297" s="60"/>
      <c r="L297" s="64"/>
      <c r="M297" s="65"/>
      <c r="N297" s="66"/>
      <c r="O297" s="66"/>
      <c r="P297" s="66"/>
      <c r="Q297" s="66"/>
      <c r="R297" s="66"/>
      <c r="S297" s="66"/>
    </row>
    <row r="298" spans="1:19" ht="16.5" hidden="1" customHeight="1">
      <c r="A298" s="85" t="s">
        <v>774</v>
      </c>
      <c r="B298" s="78" t="s">
        <v>775</v>
      </c>
      <c r="C298" s="74" t="s">
        <v>116</v>
      </c>
      <c r="D298" s="92"/>
      <c r="E298" s="79" t="s">
        <v>311</v>
      </c>
      <c r="F298" s="76">
        <v>3.42</v>
      </c>
      <c r="G298" s="79">
        <v>201769</v>
      </c>
      <c r="H298" s="63">
        <f t="shared" si="13"/>
        <v>690050</v>
      </c>
      <c r="I298" s="63">
        <f t="shared" si="14"/>
        <v>0</v>
      </c>
      <c r="J298" s="60"/>
      <c r="K298" s="60"/>
      <c r="L298" s="64"/>
      <c r="M298" s="65"/>
      <c r="N298" s="66"/>
      <c r="O298" s="66"/>
      <c r="P298" s="66"/>
      <c r="Q298" s="66"/>
      <c r="R298" s="66"/>
      <c r="S298" s="66"/>
    </row>
    <row r="299" spans="1:19" ht="16.5" hidden="1" customHeight="1">
      <c r="A299" s="83" t="s">
        <v>776</v>
      </c>
      <c r="B299" s="55" t="s">
        <v>777</v>
      </c>
      <c r="C299" s="81"/>
      <c r="D299" s="92"/>
      <c r="E299" s="98"/>
      <c r="F299" s="94"/>
      <c r="G299" s="98"/>
      <c r="H299" s="63"/>
      <c r="I299" s="63">
        <f t="shared" si="14"/>
        <v>0</v>
      </c>
      <c r="J299" s="60"/>
      <c r="K299" s="60"/>
      <c r="L299" s="64"/>
      <c r="M299" s="65"/>
      <c r="N299" s="66"/>
      <c r="O299" s="66"/>
      <c r="P299" s="66"/>
      <c r="Q299" s="66"/>
      <c r="R299" s="66"/>
      <c r="S299" s="66"/>
    </row>
    <row r="300" spans="1:19" ht="16.5" hidden="1" customHeight="1">
      <c r="A300" s="85" t="s">
        <v>778</v>
      </c>
      <c r="B300" s="78" t="s">
        <v>779</v>
      </c>
      <c r="C300" s="74" t="s">
        <v>116</v>
      </c>
      <c r="D300" s="92"/>
      <c r="E300" s="79" t="s">
        <v>311</v>
      </c>
      <c r="F300" s="76">
        <v>1.82</v>
      </c>
      <c r="G300" s="79">
        <v>178615</v>
      </c>
      <c r="H300" s="63">
        <f t="shared" si="13"/>
        <v>325079</v>
      </c>
      <c r="I300" s="63">
        <f>+L300</f>
        <v>51827.057523195806</v>
      </c>
      <c r="J300" s="60"/>
      <c r="K300" s="60">
        <v>24043</v>
      </c>
      <c r="L300" s="64">
        <f>+((M300*N300)+(O300*P300)+(Q300*R300))*(1+S300/100)</f>
        <v>51827.057523195806</v>
      </c>
      <c r="M300" s="82">
        <v>9.5000000000000001E-2</v>
      </c>
      <c r="N300" s="66">
        <v>287501.3074125874</v>
      </c>
      <c r="O300" s="82">
        <v>8.8999999999999996E-2</v>
      </c>
      <c r="P300" s="66">
        <v>275443.071</v>
      </c>
      <c r="Q300" s="66"/>
      <c r="R300" s="66"/>
      <c r="S300" s="66"/>
    </row>
    <row r="301" spans="1:19" ht="16.5" hidden="1" customHeight="1">
      <c r="A301" s="85" t="s">
        <v>780</v>
      </c>
      <c r="B301" s="78" t="s">
        <v>781</v>
      </c>
      <c r="C301" s="74" t="s">
        <v>116</v>
      </c>
      <c r="D301" s="92"/>
      <c r="E301" s="79" t="s">
        <v>311</v>
      </c>
      <c r="F301" s="76">
        <v>1.3</v>
      </c>
      <c r="G301" s="79">
        <v>178615</v>
      </c>
      <c r="H301" s="63">
        <f t="shared" si="13"/>
        <v>232200</v>
      </c>
      <c r="I301" s="63">
        <f>+L301</f>
        <v>51827.057523195806</v>
      </c>
      <c r="J301" s="60"/>
      <c r="K301" s="60">
        <v>24043</v>
      </c>
      <c r="L301" s="64">
        <f>+((M301*N301)+(O301*P301)+(Q301*R301))*(1+S301/100)</f>
        <v>51827.057523195806</v>
      </c>
      <c r="M301" s="82">
        <v>9.5000000000000001E-2</v>
      </c>
      <c r="N301" s="66">
        <f>+N300</f>
        <v>287501.3074125874</v>
      </c>
      <c r="O301" s="82">
        <v>8.8999999999999996E-2</v>
      </c>
      <c r="P301" s="66">
        <f>+P300</f>
        <v>275443.071</v>
      </c>
      <c r="Q301" s="66"/>
      <c r="R301" s="66"/>
      <c r="S301" s="66"/>
    </row>
    <row r="302" spans="1:19" ht="16.5" hidden="1" customHeight="1">
      <c r="A302" s="85"/>
      <c r="B302" s="55" t="s">
        <v>782</v>
      </c>
      <c r="C302" s="74"/>
      <c r="D302" s="92"/>
      <c r="E302" s="79"/>
      <c r="F302" s="76"/>
      <c r="G302" s="79"/>
      <c r="H302" s="63"/>
      <c r="I302" s="63">
        <f t="shared" si="14"/>
        <v>0</v>
      </c>
      <c r="J302" s="60"/>
      <c r="K302" s="60"/>
      <c r="L302" s="64"/>
      <c r="M302" s="65"/>
      <c r="N302" s="66"/>
      <c r="O302" s="66"/>
      <c r="P302" s="66"/>
      <c r="Q302" s="66"/>
      <c r="R302" s="66"/>
      <c r="S302" s="66"/>
    </row>
    <row r="303" spans="1:19" ht="16.5" hidden="1" customHeight="1">
      <c r="A303" s="99" t="s">
        <v>783</v>
      </c>
      <c r="B303" s="99" t="s">
        <v>784</v>
      </c>
      <c r="C303" s="100" t="s">
        <v>47</v>
      </c>
      <c r="D303" s="92"/>
      <c r="E303" s="79"/>
      <c r="F303" s="76"/>
      <c r="G303" s="79"/>
      <c r="H303" s="101">
        <v>344703</v>
      </c>
      <c r="I303" s="101">
        <v>50449</v>
      </c>
      <c r="J303" s="60"/>
      <c r="K303" s="60">
        <v>24553</v>
      </c>
      <c r="L303" s="64">
        <f t="shared" ref="L303:L310" si="15">+((M303*N303)+(O303*P303)+(Q303*R303))*(1+S303/100)</f>
        <v>51827.057523195806</v>
      </c>
      <c r="M303" s="82">
        <v>9.5000000000000001E-2</v>
      </c>
      <c r="N303" s="66">
        <f>+N301</f>
        <v>287501.3074125874</v>
      </c>
      <c r="O303" s="82">
        <v>8.8999999999999996E-2</v>
      </c>
      <c r="P303" s="66">
        <f>+P301</f>
        <v>275443.071</v>
      </c>
      <c r="Q303" s="66"/>
      <c r="R303" s="66"/>
      <c r="S303" s="66"/>
    </row>
    <row r="304" spans="1:19" ht="16.5" hidden="1" customHeight="1">
      <c r="A304" s="85" t="s">
        <v>785</v>
      </c>
      <c r="B304" s="78" t="s">
        <v>786</v>
      </c>
      <c r="C304" s="74" t="s">
        <v>116</v>
      </c>
      <c r="D304" s="92"/>
      <c r="E304" s="79" t="s">
        <v>311</v>
      </c>
      <c r="F304" s="76">
        <v>1.97</v>
      </c>
      <c r="G304" s="79">
        <v>178615</v>
      </c>
      <c r="H304" s="63">
        <f t="shared" si="13"/>
        <v>351872</v>
      </c>
      <c r="I304" s="63">
        <f t="shared" ref="I304:I310" si="16">+L304</f>
        <v>27312.624204195803</v>
      </c>
      <c r="J304" s="60"/>
      <c r="K304" s="60">
        <v>24553</v>
      </c>
      <c r="L304" s="64">
        <f t="shared" si="15"/>
        <v>27312.624204195803</v>
      </c>
      <c r="M304" s="82">
        <v>9.5000000000000001E-2</v>
      </c>
      <c r="N304" s="66">
        <f>+N301</f>
        <v>287501.3074125874</v>
      </c>
      <c r="O304" s="82">
        <v>8.8999999999999996E-2</v>
      </c>
      <c r="P304" s="66">
        <f>+P302</f>
        <v>0</v>
      </c>
      <c r="Q304" s="66"/>
      <c r="R304" s="66"/>
      <c r="S304" s="66"/>
    </row>
    <row r="305" spans="1:19" ht="16.5" hidden="1" customHeight="1">
      <c r="A305" s="85" t="s">
        <v>787</v>
      </c>
      <c r="B305" s="78" t="s">
        <v>788</v>
      </c>
      <c r="C305" s="74" t="s">
        <v>116</v>
      </c>
      <c r="D305" s="92"/>
      <c r="E305" s="79" t="s">
        <v>311</v>
      </c>
      <c r="F305" s="76">
        <v>1.07</v>
      </c>
      <c r="G305" s="142">
        <v>210185</v>
      </c>
      <c r="H305" s="63">
        <f t="shared" si="13"/>
        <v>224898</v>
      </c>
      <c r="I305" s="63">
        <f t="shared" si="16"/>
        <v>41988.214</v>
      </c>
      <c r="J305" s="60"/>
      <c r="K305" s="60">
        <v>24553</v>
      </c>
      <c r="L305" s="64">
        <f t="shared" si="15"/>
        <v>41988.214</v>
      </c>
      <c r="M305" s="82">
        <v>9.5000000000000001E-2</v>
      </c>
      <c r="N305" s="175">
        <v>242817</v>
      </c>
      <c r="O305" s="82">
        <v>8.8999999999999996E-2</v>
      </c>
      <c r="P305" s="175">
        <v>212591</v>
      </c>
      <c r="Q305" s="66"/>
      <c r="R305" s="66"/>
      <c r="S305" s="66"/>
    </row>
    <row r="306" spans="1:19" s="150" customFormat="1" ht="16.5" customHeight="1">
      <c r="A306" s="151" t="s">
        <v>231</v>
      </c>
      <c r="B306" s="143" t="s">
        <v>232</v>
      </c>
      <c r="C306" s="144" t="s">
        <v>116</v>
      </c>
      <c r="D306" s="152"/>
      <c r="E306" s="140" t="s">
        <v>311</v>
      </c>
      <c r="F306" s="141">
        <v>1.23</v>
      </c>
      <c r="G306" s="142">
        <v>210185</v>
      </c>
      <c r="H306" s="122">
        <f t="shared" si="13"/>
        <v>258528</v>
      </c>
      <c r="I306" s="122">
        <f>+L306</f>
        <v>41988.214</v>
      </c>
      <c r="J306" s="146"/>
      <c r="K306" s="146">
        <v>24553</v>
      </c>
      <c r="L306" s="147">
        <f t="shared" si="15"/>
        <v>41988.214</v>
      </c>
      <c r="M306" s="176">
        <v>9.5000000000000001E-2</v>
      </c>
      <c r="N306" s="149">
        <f>+N305</f>
        <v>242817</v>
      </c>
      <c r="O306" s="176">
        <v>8.8999999999999996E-2</v>
      </c>
      <c r="P306" s="149">
        <f>+P305</f>
        <v>212591</v>
      </c>
      <c r="Q306" s="149"/>
      <c r="R306" s="149"/>
      <c r="S306" s="149"/>
    </row>
    <row r="307" spans="1:19" ht="16.5" hidden="1" customHeight="1">
      <c r="A307" s="85" t="s">
        <v>789</v>
      </c>
      <c r="B307" s="78" t="s">
        <v>790</v>
      </c>
      <c r="C307" s="74" t="s">
        <v>116</v>
      </c>
      <c r="D307" s="92"/>
      <c r="E307" s="79" t="s">
        <v>646</v>
      </c>
      <c r="F307" s="76">
        <v>10.75</v>
      </c>
      <c r="G307" s="79">
        <v>194740</v>
      </c>
      <c r="H307" s="63">
        <f t="shared" si="13"/>
        <v>2093455</v>
      </c>
      <c r="I307" s="63">
        <f>+L307</f>
        <v>114087.6</v>
      </c>
      <c r="J307" s="60"/>
      <c r="K307" s="60">
        <v>24553</v>
      </c>
      <c r="L307" s="64">
        <f t="shared" si="15"/>
        <v>114087.6</v>
      </c>
      <c r="M307" s="82">
        <v>0.4</v>
      </c>
      <c r="N307" s="66">
        <v>285219</v>
      </c>
      <c r="O307" s="82"/>
      <c r="P307" s="66">
        <f>+P305</f>
        <v>212591</v>
      </c>
      <c r="Q307" s="66"/>
      <c r="R307" s="66"/>
      <c r="S307" s="66"/>
    </row>
    <row r="308" spans="1:19" s="139" customFormat="1" ht="16.5" hidden="1" customHeight="1">
      <c r="A308" s="129" t="s">
        <v>791</v>
      </c>
      <c r="B308" s="129" t="s">
        <v>792</v>
      </c>
      <c r="C308" s="130" t="s">
        <v>793</v>
      </c>
      <c r="D308" s="131"/>
      <c r="E308" s="79" t="s">
        <v>646</v>
      </c>
      <c r="F308" s="132">
        <v>13.61</v>
      </c>
      <c r="G308" s="133"/>
      <c r="H308" s="63">
        <f t="shared" si="13"/>
        <v>0</v>
      </c>
      <c r="I308" s="134">
        <f>+L308</f>
        <v>41988.214</v>
      </c>
      <c r="J308" s="135"/>
      <c r="K308" s="135">
        <v>24553</v>
      </c>
      <c r="L308" s="136">
        <f t="shared" si="15"/>
        <v>41988.214</v>
      </c>
      <c r="M308" s="137">
        <v>9.5000000000000001E-2</v>
      </c>
      <c r="N308" s="138">
        <f>+N305</f>
        <v>242817</v>
      </c>
      <c r="O308" s="137">
        <v>8.8999999999999996E-2</v>
      </c>
      <c r="P308" s="138">
        <f>+P306</f>
        <v>212591</v>
      </c>
      <c r="Q308" s="138"/>
      <c r="R308" s="138"/>
      <c r="S308" s="138"/>
    </row>
    <row r="309" spans="1:19" ht="16.5" hidden="1" customHeight="1">
      <c r="A309" s="74" t="s">
        <v>794</v>
      </c>
      <c r="B309" s="78" t="s">
        <v>795</v>
      </c>
      <c r="C309" s="81" t="s">
        <v>47</v>
      </c>
      <c r="D309" s="92"/>
      <c r="E309" s="79" t="s">
        <v>311</v>
      </c>
      <c r="F309" s="76">
        <v>3.42</v>
      </c>
      <c r="G309" s="79">
        <v>178615</v>
      </c>
      <c r="H309" s="63">
        <f>IF(G309&lt;&gt;0,ROUND(G309*F309,0), )</f>
        <v>610863</v>
      </c>
      <c r="I309" s="63">
        <f>+L309</f>
        <v>12373.84</v>
      </c>
      <c r="J309" s="60"/>
      <c r="K309" s="60">
        <v>24553</v>
      </c>
      <c r="L309" s="64">
        <f t="shared" si="15"/>
        <v>12373.84</v>
      </c>
      <c r="M309" s="82">
        <v>0.04</v>
      </c>
      <c r="N309" s="66">
        <v>309346</v>
      </c>
      <c r="O309" s="82">
        <v>8.8999999999999996E-2</v>
      </c>
      <c r="P309" s="64"/>
      <c r="Q309" s="64"/>
      <c r="R309" s="64"/>
      <c r="S309" s="64"/>
    </row>
    <row r="310" spans="1:19" ht="16.5" hidden="1" customHeight="1">
      <c r="A310" s="85" t="s">
        <v>796</v>
      </c>
      <c r="B310" s="78" t="s">
        <v>797</v>
      </c>
      <c r="C310" s="74" t="s">
        <v>116</v>
      </c>
      <c r="D310" s="92"/>
      <c r="E310" s="79" t="s">
        <v>311</v>
      </c>
      <c r="F310" s="76">
        <v>2.7</v>
      </c>
      <c r="G310" s="79">
        <v>178615</v>
      </c>
      <c r="H310" s="63">
        <f>IF(G310&lt;&gt;0,ROUND(G310*F310,0), )</f>
        <v>482261</v>
      </c>
      <c r="I310" s="63">
        <f t="shared" si="16"/>
        <v>51827.057523195806</v>
      </c>
      <c r="J310" s="60"/>
      <c r="K310" s="60">
        <v>24553</v>
      </c>
      <c r="L310" s="64">
        <f t="shared" si="15"/>
        <v>51827.057523195806</v>
      </c>
      <c r="M310" s="82">
        <v>9.5000000000000001E-2</v>
      </c>
      <c r="N310" s="66">
        <f>+N304</f>
        <v>287501.3074125874</v>
      </c>
      <c r="O310" s="82">
        <v>8.8999999999999996E-2</v>
      </c>
      <c r="P310" s="66">
        <f>+P303</f>
        <v>275443.071</v>
      </c>
      <c r="Q310" s="66"/>
      <c r="R310" s="66"/>
      <c r="S310" s="66"/>
    </row>
    <row r="311" spans="1:19" ht="16.5" hidden="1" customHeight="1">
      <c r="A311" s="83" t="s">
        <v>798</v>
      </c>
      <c r="B311" s="55" t="s">
        <v>799</v>
      </c>
      <c r="C311" s="81"/>
      <c r="D311" s="92"/>
      <c r="E311" s="98"/>
      <c r="F311" s="94"/>
      <c r="G311" s="98"/>
      <c r="H311" s="63"/>
      <c r="I311" s="63">
        <f t="shared" si="14"/>
        <v>0</v>
      </c>
      <c r="J311" s="60"/>
      <c r="K311" s="60"/>
      <c r="L311" s="64"/>
      <c r="M311" s="64"/>
      <c r="N311" s="64"/>
      <c r="O311" s="64"/>
      <c r="P311" s="64"/>
      <c r="Q311" s="64"/>
      <c r="R311" s="66"/>
      <c r="S311" s="66"/>
    </row>
    <row r="312" spans="1:19" ht="16.5" hidden="1" customHeight="1">
      <c r="A312" s="85" t="s">
        <v>800</v>
      </c>
      <c r="B312" s="78" t="s">
        <v>801</v>
      </c>
      <c r="C312" s="74" t="s">
        <v>116</v>
      </c>
      <c r="D312" s="92"/>
      <c r="E312" s="79" t="s">
        <v>311</v>
      </c>
      <c r="F312" s="76">
        <v>2.54</v>
      </c>
      <c r="G312" s="79">
        <v>178615</v>
      </c>
      <c r="H312" s="63">
        <f>IF(G312&lt;&gt;0,ROUND(G312*F312,0), )</f>
        <v>453682</v>
      </c>
      <c r="I312" s="63">
        <f t="shared" si="14"/>
        <v>36436.652000000002</v>
      </c>
      <c r="J312" s="60"/>
      <c r="K312" s="60">
        <v>24553</v>
      </c>
      <c r="L312" s="64"/>
      <c r="M312" s="65"/>
      <c r="N312" s="66"/>
      <c r="O312" s="66"/>
      <c r="P312" s="66"/>
      <c r="Q312" s="66"/>
      <c r="R312" s="66"/>
      <c r="S312" s="66"/>
    </row>
    <row r="313" spans="1:19" ht="16.5" hidden="1" customHeight="1">
      <c r="A313" s="83" t="s">
        <v>802</v>
      </c>
      <c r="B313" s="55" t="s">
        <v>803</v>
      </c>
      <c r="C313" s="81"/>
      <c r="D313" s="92"/>
      <c r="E313" s="98"/>
      <c r="F313" s="94"/>
      <c r="G313" s="98"/>
      <c r="H313" s="63"/>
      <c r="I313" s="63">
        <f t="shared" si="14"/>
        <v>0</v>
      </c>
      <c r="J313" s="60"/>
      <c r="K313" s="60"/>
      <c r="L313" s="64"/>
      <c r="M313" s="65"/>
      <c r="N313" s="66"/>
      <c r="O313" s="66"/>
      <c r="P313" s="66"/>
      <c r="Q313" s="66"/>
      <c r="R313" s="66"/>
      <c r="S313" s="66"/>
    </row>
    <row r="314" spans="1:19" ht="16.5" hidden="1" customHeight="1">
      <c r="A314" s="85" t="s">
        <v>804</v>
      </c>
      <c r="B314" s="78" t="s">
        <v>805</v>
      </c>
      <c r="C314" s="81" t="s">
        <v>806</v>
      </c>
      <c r="D314" s="92"/>
      <c r="E314" s="79" t="s">
        <v>807</v>
      </c>
      <c r="F314" s="76">
        <v>0.15</v>
      </c>
      <c r="G314" s="79">
        <v>236500</v>
      </c>
      <c r="H314" s="63">
        <f>IF(G314&lt;&gt;0,ROUND(G314*F314,0), )</f>
        <v>35475</v>
      </c>
      <c r="I314" s="63">
        <f t="shared" si="14"/>
        <v>0</v>
      </c>
      <c r="J314" s="60"/>
      <c r="K314" s="60"/>
      <c r="L314" s="64"/>
      <c r="M314" s="65"/>
      <c r="N314" s="66"/>
      <c r="O314" s="66"/>
      <c r="P314" s="66"/>
      <c r="Q314" s="66"/>
      <c r="R314" s="66"/>
      <c r="S314" s="66"/>
    </row>
    <row r="315" spans="1:19" ht="16.5" hidden="1" customHeight="1">
      <c r="A315" s="85" t="s">
        <v>808</v>
      </c>
      <c r="B315" s="78" t="s">
        <v>809</v>
      </c>
      <c r="C315" s="81" t="s">
        <v>806</v>
      </c>
      <c r="D315" s="92"/>
      <c r="E315" s="79" t="s">
        <v>807</v>
      </c>
      <c r="F315" s="76">
        <v>0.25</v>
      </c>
      <c r="G315" s="79">
        <v>236500</v>
      </c>
      <c r="H315" s="63">
        <f>IF(G315&lt;&gt;0,ROUND(G315*F315,0), )</f>
        <v>59125</v>
      </c>
      <c r="I315" s="63">
        <f t="shared" si="14"/>
        <v>0</v>
      </c>
      <c r="J315" s="60"/>
      <c r="K315" s="60"/>
      <c r="L315" s="64"/>
      <c r="M315" s="65"/>
      <c r="N315" s="66"/>
      <c r="O315" s="66"/>
      <c r="P315" s="66"/>
      <c r="Q315" s="66"/>
      <c r="R315" s="66"/>
      <c r="S315" s="66"/>
    </row>
    <row r="316" spans="1:19" ht="16.5" hidden="1" customHeight="1">
      <c r="A316" s="85" t="s">
        <v>810</v>
      </c>
      <c r="B316" s="78" t="s">
        <v>811</v>
      </c>
      <c r="C316" s="81" t="s">
        <v>806</v>
      </c>
      <c r="D316" s="92"/>
      <c r="E316" s="79" t="s">
        <v>807</v>
      </c>
      <c r="F316" s="76">
        <v>0.45</v>
      </c>
      <c r="G316" s="79">
        <v>236500</v>
      </c>
      <c r="H316" s="63">
        <f>IF(G316&lt;&gt;0,ROUND(G316*F316,0), )</f>
        <v>106425</v>
      </c>
      <c r="I316" s="63">
        <f t="shared" si="14"/>
        <v>0</v>
      </c>
      <c r="J316" s="60"/>
      <c r="K316" s="60"/>
      <c r="L316" s="64"/>
      <c r="M316" s="65"/>
      <c r="N316" s="66"/>
      <c r="O316" s="66"/>
      <c r="P316" s="66"/>
      <c r="Q316" s="66"/>
      <c r="R316" s="66"/>
      <c r="S316" s="66"/>
    </row>
    <row r="317" spans="1:19" ht="16.5" hidden="1" customHeight="1">
      <c r="A317" s="85" t="s">
        <v>812</v>
      </c>
      <c r="B317" s="78" t="s">
        <v>813</v>
      </c>
      <c r="C317" s="81" t="s">
        <v>806</v>
      </c>
      <c r="D317" s="92"/>
      <c r="E317" s="79" t="s">
        <v>807</v>
      </c>
      <c r="F317" s="76">
        <v>0.85</v>
      </c>
      <c r="G317" s="79">
        <v>236500</v>
      </c>
      <c r="H317" s="63">
        <f>IF(G317&lt;&gt;0,ROUND(G317*F317,0), )</f>
        <v>201025</v>
      </c>
      <c r="I317" s="63">
        <f t="shared" si="14"/>
        <v>0</v>
      </c>
      <c r="J317" s="60"/>
      <c r="K317" s="60"/>
      <c r="L317" s="64"/>
      <c r="M317" s="65"/>
      <c r="N317" s="66"/>
      <c r="O317" s="66"/>
      <c r="P317" s="66"/>
      <c r="Q317" s="66"/>
      <c r="R317" s="66"/>
      <c r="S317" s="66"/>
    </row>
    <row r="318" spans="1:19" ht="16.5" hidden="1" customHeight="1">
      <c r="A318" s="83" t="s">
        <v>814</v>
      </c>
      <c r="B318" s="55" t="s">
        <v>815</v>
      </c>
      <c r="C318" s="81"/>
      <c r="D318" s="92"/>
      <c r="E318" s="79"/>
      <c r="F318" s="76"/>
      <c r="G318" s="79"/>
      <c r="H318" s="63"/>
      <c r="I318" s="63">
        <f t="shared" si="14"/>
        <v>0</v>
      </c>
      <c r="J318" s="60"/>
      <c r="K318" s="60"/>
      <c r="L318" s="64"/>
      <c r="M318" s="65"/>
      <c r="N318" s="66"/>
      <c r="O318" s="66"/>
      <c r="P318" s="66"/>
      <c r="Q318" s="66"/>
      <c r="R318" s="66"/>
      <c r="S318" s="66"/>
    </row>
    <row r="319" spans="1:19" ht="16.5" hidden="1" customHeight="1">
      <c r="A319" s="83"/>
      <c r="B319" s="55" t="s">
        <v>816</v>
      </c>
      <c r="C319" s="81"/>
      <c r="D319" s="92"/>
      <c r="E319" s="79"/>
      <c r="F319" s="76"/>
      <c r="G319" s="79"/>
      <c r="H319" s="63"/>
      <c r="I319" s="63">
        <f t="shared" si="14"/>
        <v>0</v>
      </c>
      <c r="J319" s="60"/>
      <c r="K319" s="60"/>
      <c r="L319" s="64"/>
      <c r="M319" s="65"/>
      <c r="N319" s="66"/>
      <c r="O319" s="66"/>
      <c r="P319" s="66"/>
      <c r="Q319" s="66"/>
      <c r="R319" s="66"/>
      <c r="S319" s="66"/>
    </row>
    <row r="320" spans="1:19" ht="16.5" hidden="1" customHeight="1">
      <c r="A320" s="85" t="s">
        <v>817</v>
      </c>
      <c r="B320" s="78" t="s">
        <v>790</v>
      </c>
      <c r="C320" s="81" t="s">
        <v>818</v>
      </c>
      <c r="D320" s="92"/>
      <c r="E320" s="79" t="s">
        <v>646</v>
      </c>
      <c r="F320" s="76">
        <v>13.02</v>
      </c>
      <c r="G320" s="79">
        <v>219135</v>
      </c>
      <c r="H320" s="63">
        <f>IF(G320&lt;&gt;0,ROUND(G320*F320,0), )</f>
        <v>2853138</v>
      </c>
      <c r="I320" s="63">
        <f t="shared" si="14"/>
        <v>80975.944000000003</v>
      </c>
      <c r="J320" s="60"/>
      <c r="K320" s="60">
        <v>54566</v>
      </c>
      <c r="L320" s="64"/>
      <c r="M320" s="65"/>
      <c r="N320" s="66"/>
      <c r="O320" s="66"/>
      <c r="P320" s="66"/>
      <c r="Q320" s="66"/>
      <c r="R320" s="66"/>
      <c r="S320" s="66"/>
    </row>
    <row r="321" spans="1:19" ht="16.5" hidden="1" customHeight="1">
      <c r="A321" s="85" t="s">
        <v>819</v>
      </c>
      <c r="B321" s="78" t="s">
        <v>820</v>
      </c>
      <c r="C321" s="81" t="s">
        <v>818</v>
      </c>
      <c r="D321" s="92"/>
      <c r="E321" s="79" t="s">
        <v>646</v>
      </c>
      <c r="F321" s="76">
        <v>9.59</v>
      </c>
      <c r="G321" s="79">
        <v>219135</v>
      </c>
      <c r="H321" s="63">
        <f>IF(G321&lt;&gt;0,ROUND(G321*F321,0), )</f>
        <v>2101505</v>
      </c>
      <c r="I321" s="63">
        <f t="shared" si="14"/>
        <v>291511.02399999998</v>
      </c>
      <c r="J321" s="60"/>
      <c r="K321" s="60">
        <v>196436</v>
      </c>
      <c r="L321" s="64"/>
      <c r="M321" s="65"/>
      <c r="N321" s="66"/>
      <c r="O321" s="66"/>
      <c r="P321" s="66"/>
      <c r="Q321" s="66"/>
      <c r="R321" s="66"/>
      <c r="S321" s="66"/>
    </row>
    <row r="322" spans="1:19" ht="16.5" hidden="1" customHeight="1">
      <c r="A322" s="85" t="s">
        <v>821</v>
      </c>
      <c r="B322" s="78" t="s">
        <v>822</v>
      </c>
      <c r="C322" s="81" t="s">
        <v>818</v>
      </c>
      <c r="D322" s="92"/>
      <c r="E322" s="79" t="s">
        <v>646</v>
      </c>
      <c r="F322" s="76">
        <v>7.3</v>
      </c>
      <c r="G322" s="79">
        <v>219135</v>
      </c>
      <c r="H322" s="63">
        <f>IF(G322&lt;&gt;0,ROUND(G322*F322,0), )</f>
        <v>1599686</v>
      </c>
      <c r="I322" s="63">
        <f t="shared" si="14"/>
        <v>289486.848</v>
      </c>
      <c r="J322" s="60"/>
      <c r="K322" s="60">
        <v>195072</v>
      </c>
      <c r="L322" s="64"/>
      <c r="M322" s="65"/>
      <c r="N322" s="66"/>
      <c r="O322" s="66"/>
      <c r="P322" s="66"/>
      <c r="Q322" s="66"/>
      <c r="R322" s="66"/>
      <c r="S322" s="66"/>
    </row>
    <row r="323" spans="1:19" ht="16.5" hidden="1" customHeight="1">
      <c r="A323" s="85"/>
      <c r="B323" s="55" t="s">
        <v>823</v>
      </c>
      <c r="C323" s="81"/>
      <c r="D323" s="92"/>
      <c r="E323" s="98"/>
      <c r="F323" s="94"/>
      <c r="G323" s="98"/>
      <c r="H323" s="63"/>
      <c r="I323" s="63">
        <f t="shared" si="14"/>
        <v>0</v>
      </c>
      <c r="J323" s="60"/>
      <c r="K323" s="60"/>
      <c r="L323" s="64"/>
      <c r="M323" s="65"/>
      <c r="N323" s="66"/>
      <c r="O323" s="66"/>
      <c r="P323" s="66"/>
      <c r="Q323" s="66"/>
      <c r="R323" s="66"/>
      <c r="S323" s="66"/>
    </row>
    <row r="324" spans="1:19" ht="16.5" hidden="1" customHeight="1">
      <c r="A324" s="85" t="s">
        <v>824</v>
      </c>
      <c r="B324" s="78" t="s">
        <v>825</v>
      </c>
      <c r="C324" s="81" t="s">
        <v>818</v>
      </c>
      <c r="D324" s="92"/>
      <c r="E324" s="79" t="s">
        <v>646</v>
      </c>
      <c r="F324" s="76">
        <v>15.680333879734276</v>
      </c>
      <c r="G324" s="79">
        <v>219135</v>
      </c>
      <c r="H324" s="63">
        <f t="shared" ref="H324:H339" si="17">IF(G324&lt;&gt;0,ROUND(G324*F324,0), )</f>
        <v>3436110</v>
      </c>
      <c r="I324" s="63">
        <f t="shared" si="14"/>
        <v>55405.14</v>
      </c>
      <c r="J324" s="60"/>
      <c r="K324" s="60">
        <v>37335</v>
      </c>
      <c r="L324" s="64"/>
      <c r="M324" s="65"/>
      <c r="N324" s="66"/>
      <c r="O324" s="66"/>
      <c r="P324" s="66"/>
      <c r="Q324" s="66"/>
      <c r="R324" s="66"/>
      <c r="S324" s="66"/>
    </row>
    <row r="325" spans="1:19" ht="16.5" hidden="1" customHeight="1">
      <c r="A325" s="85" t="s">
        <v>826</v>
      </c>
      <c r="B325" s="78" t="s">
        <v>827</v>
      </c>
      <c r="C325" s="81" t="s">
        <v>818</v>
      </c>
      <c r="D325" s="92"/>
      <c r="E325" s="79" t="s">
        <v>646</v>
      </c>
      <c r="F325" s="76">
        <v>8.6</v>
      </c>
      <c r="G325" s="79">
        <v>219135</v>
      </c>
      <c r="H325" s="63">
        <f t="shared" si="17"/>
        <v>1884561</v>
      </c>
      <c r="I325" s="63">
        <f t="shared" si="14"/>
        <v>294143.64</v>
      </c>
      <c r="J325" s="60"/>
      <c r="K325" s="60">
        <v>198210</v>
      </c>
      <c r="L325" s="64"/>
      <c r="M325" s="65"/>
      <c r="N325" s="66"/>
      <c r="O325" s="66"/>
      <c r="P325" s="66"/>
      <c r="Q325" s="66"/>
      <c r="R325" s="66"/>
      <c r="S325" s="66"/>
    </row>
    <row r="326" spans="1:19" ht="16.5" hidden="1" customHeight="1">
      <c r="A326" s="85" t="s">
        <v>828</v>
      </c>
      <c r="B326" s="78" t="s">
        <v>829</v>
      </c>
      <c r="C326" s="81" t="s">
        <v>818</v>
      </c>
      <c r="D326" s="92"/>
      <c r="E326" s="79" t="s">
        <v>646</v>
      </c>
      <c r="F326" s="76">
        <v>8.24</v>
      </c>
      <c r="G326" s="79">
        <v>219135</v>
      </c>
      <c r="H326" s="63">
        <f t="shared" si="17"/>
        <v>1805672</v>
      </c>
      <c r="I326" s="63">
        <f t="shared" si="14"/>
        <v>253655.66800000001</v>
      </c>
      <c r="J326" s="60"/>
      <c r="K326" s="60">
        <v>170927</v>
      </c>
      <c r="L326" s="64"/>
      <c r="M326" s="65"/>
      <c r="N326" s="66"/>
      <c r="O326" s="66"/>
      <c r="P326" s="66"/>
      <c r="Q326" s="66"/>
      <c r="R326" s="66"/>
      <c r="S326" s="66"/>
    </row>
    <row r="327" spans="1:19" ht="16.5" hidden="1" customHeight="1">
      <c r="A327" s="83" t="s">
        <v>830</v>
      </c>
      <c r="B327" s="55" t="s">
        <v>831</v>
      </c>
      <c r="C327" s="81"/>
      <c r="D327" s="92"/>
      <c r="E327" s="98"/>
      <c r="F327" s="94"/>
      <c r="G327" s="98"/>
      <c r="H327" s="63">
        <f t="shared" si="17"/>
        <v>0</v>
      </c>
      <c r="I327" s="63">
        <f t="shared" si="14"/>
        <v>0</v>
      </c>
      <c r="J327" s="60"/>
      <c r="K327" s="60"/>
      <c r="L327" s="64"/>
      <c r="M327" s="65"/>
      <c r="N327" s="66"/>
      <c r="O327" s="66"/>
      <c r="P327" s="66"/>
      <c r="Q327" s="66"/>
      <c r="R327" s="66"/>
      <c r="S327" s="66"/>
    </row>
    <row r="328" spans="1:19" ht="16.5" hidden="1" customHeight="1">
      <c r="A328" s="83"/>
      <c r="B328" s="55" t="s">
        <v>832</v>
      </c>
      <c r="C328" s="81"/>
      <c r="D328" s="92"/>
      <c r="E328" s="98"/>
      <c r="F328" s="94"/>
      <c r="G328" s="98"/>
      <c r="H328" s="63">
        <f t="shared" si="17"/>
        <v>0</v>
      </c>
      <c r="I328" s="63">
        <f t="shared" si="14"/>
        <v>0</v>
      </c>
      <c r="J328" s="60"/>
      <c r="K328" s="60"/>
      <c r="L328" s="64"/>
      <c r="M328" s="65"/>
      <c r="N328" s="66"/>
      <c r="O328" s="66"/>
      <c r="P328" s="66"/>
      <c r="Q328" s="66"/>
      <c r="R328" s="66"/>
      <c r="S328" s="66"/>
    </row>
    <row r="329" spans="1:19" ht="16.5" hidden="1" customHeight="1">
      <c r="A329" s="85" t="s">
        <v>833</v>
      </c>
      <c r="B329" s="78" t="s">
        <v>834</v>
      </c>
      <c r="C329" s="74" t="s">
        <v>118</v>
      </c>
      <c r="D329" s="92">
        <v>28205</v>
      </c>
      <c r="E329" s="79" t="s">
        <v>646</v>
      </c>
      <c r="F329" s="76">
        <f>48.75/100</f>
        <v>0.48749999999999999</v>
      </c>
      <c r="G329" s="79">
        <v>194740</v>
      </c>
      <c r="H329" s="63">
        <f t="shared" si="17"/>
        <v>94936</v>
      </c>
      <c r="I329" s="63">
        <f t="shared" si="14"/>
        <v>0</v>
      </c>
      <c r="J329" s="60"/>
      <c r="K329" s="60"/>
      <c r="L329" s="64"/>
      <c r="M329" s="65"/>
      <c r="N329" s="66"/>
      <c r="O329" s="66"/>
      <c r="P329" s="66"/>
      <c r="Q329" s="66"/>
      <c r="R329" s="66"/>
      <c r="S329" s="66"/>
    </row>
    <row r="330" spans="1:19" s="150" customFormat="1" ht="16.5" customHeight="1">
      <c r="A330" s="450" t="s">
        <v>3133</v>
      </c>
      <c r="B330" s="143" t="s">
        <v>117</v>
      </c>
      <c r="C330" s="144" t="s">
        <v>118</v>
      </c>
      <c r="D330" s="152"/>
      <c r="E330" s="140" t="s">
        <v>646</v>
      </c>
      <c r="F330" s="141">
        <f>29.7/100</f>
        <v>0.29699999999999999</v>
      </c>
      <c r="G330" s="177">
        <v>229160</v>
      </c>
      <c r="H330" s="122">
        <f t="shared" si="17"/>
        <v>68061</v>
      </c>
      <c r="I330" s="122">
        <f t="shared" si="14"/>
        <v>0</v>
      </c>
      <c r="J330" s="146"/>
      <c r="K330" s="146"/>
      <c r="L330" s="147"/>
      <c r="M330" s="148"/>
      <c r="N330" s="149"/>
      <c r="O330" s="149"/>
      <c r="P330" s="149"/>
      <c r="Q330" s="149"/>
      <c r="R330" s="149"/>
      <c r="S330" s="149"/>
    </row>
    <row r="331" spans="1:19" ht="16.5" hidden="1" customHeight="1">
      <c r="A331" s="85" t="s">
        <v>835</v>
      </c>
      <c r="B331" s="78" t="s">
        <v>836</v>
      </c>
      <c r="C331" s="74" t="s">
        <v>118</v>
      </c>
      <c r="D331" s="92">
        <v>3320</v>
      </c>
      <c r="E331" s="79" t="s">
        <v>646</v>
      </c>
      <c r="F331" s="76">
        <f>31.58/100</f>
        <v>0.31579999999999997</v>
      </c>
      <c r="G331" s="79">
        <v>194740</v>
      </c>
      <c r="H331" s="63">
        <f t="shared" si="17"/>
        <v>61499</v>
      </c>
      <c r="I331" s="63">
        <f t="shared" si="14"/>
        <v>0</v>
      </c>
      <c r="J331" s="60"/>
      <c r="K331" s="60"/>
      <c r="L331" s="64"/>
      <c r="M331" s="65"/>
      <c r="N331" s="66"/>
      <c r="O331" s="66"/>
      <c r="P331" s="66"/>
      <c r="Q331" s="66"/>
      <c r="R331" s="66"/>
      <c r="S331" s="66"/>
    </row>
    <row r="332" spans="1:19" ht="16.5" hidden="1" customHeight="1">
      <c r="A332" s="85" t="s">
        <v>837</v>
      </c>
      <c r="B332" s="78" t="s">
        <v>838</v>
      </c>
      <c r="C332" s="74" t="s">
        <v>118</v>
      </c>
      <c r="D332" s="92">
        <v>20884</v>
      </c>
      <c r="E332" s="79" t="s">
        <v>646</v>
      </c>
      <c r="F332" s="76">
        <f>31.32/100</f>
        <v>0.31319999999999998</v>
      </c>
      <c r="G332" s="79">
        <v>194740</v>
      </c>
      <c r="H332" s="63">
        <f t="shared" si="17"/>
        <v>60993</v>
      </c>
      <c r="I332" s="63">
        <f t="shared" si="14"/>
        <v>0</v>
      </c>
      <c r="J332" s="60"/>
      <c r="K332" s="60"/>
      <c r="L332" s="64"/>
      <c r="M332" s="65"/>
      <c r="N332" s="66"/>
      <c r="O332" s="66"/>
      <c r="P332" s="66"/>
      <c r="Q332" s="66"/>
      <c r="R332" s="66"/>
      <c r="S332" s="66"/>
    </row>
    <row r="333" spans="1:19" ht="16.5" hidden="1" customHeight="1">
      <c r="A333" s="85" t="s">
        <v>839</v>
      </c>
      <c r="B333" s="78" t="s">
        <v>840</v>
      </c>
      <c r="C333" s="74" t="s">
        <v>118</v>
      </c>
      <c r="D333" s="92">
        <v>2771</v>
      </c>
      <c r="E333" s="79" t="s">
        <v>646</v>
      </c>
      <c r="F333" s="76">
        <f>28.28/100</f>
        <v>0.2828</v>
      </c>
      <c r="G333" s="79">
        <v>194740</v>
      </c>
      <c r="H333" s="63">
        <f t="shared" si="17"/>
        <v>55072</v>
      </c>
      <c r="I333" s="63">
        <f t="shared" si="14"/>
        <v>0</v>
      </c>
      <c r="J333" s="60"/>
      <c r="K333" s="60"/>
      <c r="L333" s="64"/>
      <c r="M333" s="65"/>
      <c r="N333" s="66"/>
      <c r="O333" s="66"/>
      <c r="P333" s="66"/>
      <c r="Q333" s="66"/>
      <c r="R333" s="66"/>
      <c r="S333" s="66"/>
    </row>
    <row r="334" spans="1:19" ht="16.5" hidden="1" customHeight="1">
      <c r="A334" s="102"/>
      <c r="B334" s="55" t="s">
        <v>841</v>
      </c>
      <c r="C334" s="81"/>
      <c r="D334" s="92"/>
      <c r="E334" s="98"/>
      <c r="F334" s="94"/>
      <c r="G334" s="98"/>
      <c r="H334" s="63">
        <f t="shared" si="17"/>
        <v>0</v>
      </c>
      <c r="I334" s="63">
        <f t="shared" si="14"/>
        <v>0</v>
      </c>
      <c r="J334" s="60"/>
      <c r="K334" s="60"/>
      <c r="L334" s="64"/>
      <c r="M334" s="65"/>
      <c r="N334" s="66"/>
      <c r="O334" s="66"/>
      <c r="P334" s="66"/>
      <c r="Q334" s="66"/>
      <c r="R334" s="66"/>
      <c r="S334" s="66"/>
    </row>
    <row r="335" spans="1:19" ht="16.5" hidden="1" customHeight="1">
      <c r="A335" s="85" t="s">
        <v>842</v>
      </c>
      <c r="B335" s="78" t="s">
        <v>843</v>
      </c>
      <c r="C335" s="74" t="s">
        <v>118</v>
      </c>
      <c r="D335" s="92">
        <v>23399</v>
      </c>
      <c r="E335" s="79" t="s">
        <v>807</v>
      </c>
      <c r="F335" s="76">
        <f>0.01*42.11</f>
        <v>0.42110000000000003</v>
      </c>
      <c r="G335" s="79">
        <v>236500</v>
      </c>
      <c r="H335" s="63">
        <f t="shared" si="17"/>
        <v>99590</v>
      </c>
      <c r="I335" s="63">
        <f t="shared" si="14"/>
        <v>3491.8519999999999</v>
      </c>
      <c r="J335" s="60"/>
      <c r="K335" s="60">
        <v>2353</v>
      </c>
      <c r="L335" s="64"/>
      <c r="M335" s="65"/>
      <c r="N335" s="66"/>
      <c r="O335" s="66"/>
      <c r="P335" s="66"/>
      <c r="Q335" s="66"/>
      <c r="R335" s="66"/>
      <c r="S335" s="66"/>
    </row>
    <row r="336" spans="1:19" ht="16.5" hidden="1" customHeight="1">
      <c r="A336" s="85" t="s">
        <v>844</v>
      </c>
      <c r="B336" s="78" t="s">
        <v>845</v>
      </c>
      <c r="C336" s="74" t="s">
        <v>118</v>
      </c>
      <c r="D336" s="92">
        <v>4508</v>
      </c>
      <c r="E336" s="79" t="s">
        <v>807</v>
      </c>
      <c r="F336" s="76">
        <f>0.01*34.94</f>
        <v>0.34939999999999999</v>
      </c>
      <c r="G336" s="79">
        <v>236500</v>
      </c>
      <c r="H336" s="63">
        <f t="shared" si="17"/>
        <v>82633</v>
      </c>
      <c r="I336" s="63">
        <f t="shared" si="14"/>
        <v>1605.6879999999999</v>
      </c>
      <c r="J336" s="60"/>
      <c r="K336" s="60">
        <v>1082</v>
      </c>
      <c r="L336" s="64"/>
      <c r="M336" s="65"/>
      <c r="N336" s="66"/>
      <c r="O336" s="66"/>
      <c r="P336" s="66"/>
      <c r="Q336" s="66"/>
      <c r="R336" s="66"/>
      <c r="S336" s="66"/>
    </row>
    <row r="337" spans="1:19" ht="16.5" hidden="1" customHeight="1">
      <c r="A337" s="102" t="s">
        <v>846</v>
      </c>
      <c r="B337" s="55" t="s">
        <v>847</v>
      </c>
      <c r="C337" s="81"/>
      <c r="D337" s="92"/>
      <c r="E337" s="98"/>
      <c r="F337" s="94"/>
      <c r="G337" s="98"/>
      <c r="H337" s="63">
        <f t="shared" si="17"/>
        <v>0</v>
      </c>
      <c r="I337" s="63">
        <f t="shared" si="14"/>
        <v>0</v>
      </c>
      <c r="J337" s="60"/>
      <c r="K337" s="60"/>
      <c r="L337" s="64"/>
      <c r="M337" s="65"/>
      <c r="N337" s="66"/>
      <c r="O337" s="66"/>
      <c r="P337" s="66"/>
      <c r="Q337" s="66"/>
      <c r="R337" s="66"/>
      <c r="S337" s="66"/>
    </row>
    <row r="338" spans="1:19" ht="16.5" hidden="1" customHeight="1">
      <c r="A338" s="102" t="s">
        <v>848</v>
      </c>
      <c r="B338" s="55" t="s">
        <v>849</v>
      </c>
      <c r="C338" s="81"/>
      <c r="D338" s="92"/>
      <c r="E338" s="98"/>
      <c r="F338" s="94"/>
      <c r="G338" s="98"/>
      <c r="H338" s="63">
        <f t="shared" si="17"/>
        <v>0</v>
      </c>
      <c r="I338" s="63">
        <f t="shared" si="14"/>
        <v>0</v>
      </c>
      <c r="J338" s="60"/>
      <c r="K338" s="60"/>
      <c r="L338" s="64"/>
      <c r="M338" s="65"/>
      <c r="N338" s="66"/>
      <c r="O338" s="66"/>
      <c r="P338" s="66"/>
      <c r="Q338" s="66"/>
      <c r="R338" s="66"/>
      <c r="S338" s="66"/>
    </row>
    <row r="339" spans="1:19" ht="16.5" hidden="1" customHeight="1">
      <c r="A339" s="85"/>
      <c r="B339" s="55" t="s">
        <v>850</v>
      </c>
      <c r="C339" s="81"/>
      <c r="D339" s="92"/>
      <c r="E339" s="98"/>
      <c r="F339" s="94"/>
      <c r="G339" s="98"/>
      <c r="H339" s="63">
        <f t="shared" si="17"/>
        <v>0</v>
      </c>
      <c r="I339" s="63">
        <f t="shared" si="14"/>
        <v>0</v>
      </c>
      <c r="J339" s="60"/>
      <c r="K339" s="60"/>
      <c r="L339" s="64"/>
      <c r="M339" s="65"/>
      <c r="N339" s="66"/>
      <c r="O339" s="66"/>
      <c r="P339" s="66"/>
      <c r="Q339" s="66"/>
      <c r="R339" s="66"/>
      <c r="S339" s="66"/>
    </row>
    <row r="340" spans="1:19" ht="16.5" hidden="1" customHeight="1">
      <c r="A340" s="85" t="s">
        <v>851</v>
      </c>
      <c r="B340" s="78" t="s">
        <v>852</v>
      </c>
      <c r="C340" s="81" t="s">
        <v>43</v>
      </c>
      <c r="D340" s="75">
        <v>313215</v>
      </c>
      <c r="E340" s="79" t="s">
        <v>646</v>
      </c>
      <c r="F340" s="76">
        <v>1.52</v>
      </c>
      <c r="G340" s="79">
        <v>219135</v>
      </c>
      <c r="H340" s="63">
        <v>140950</v>
      </c>
      <c r="I340" s="63">
        <f t="shared" si="14"/>
        <v>0</v>
      </c>
      <c r="J340" s="60"/>
      <c r="K340" s="60"/>
      <c r="L340" s="64"/>
      <c r="M340" s="65"/>
      <c r="N340" s="66"/>
      <c r="O340" s="66"/>
      <c r="P340" s="66"/>
      <c r="Q340" s="66"/>
      <c r="R340" s="66"/>
      <c r="S340" s="66"/>
    </row>
    <row r="341" spans="1:19" ht="16.5" hidden="1" customHeight="1">
      <c r="A341" s="85" t="s">
        <v>853</v>
      </c>
      <c r="B341" s="78" t="s">
        <v>854</v>
      </c>
      <c r="C341" s="81" t="s">
        <v>43</v>
      </c>
      <c r="D341" s="75">
        <v>322728</v>
      </c>
      <c r="E341" s="79" t="s">
        <v>646</v>
      </c>
      <c r="F341" s="76">
        <v>1.84</v>
      </c>
      <c r="G341" s="79">
        <v>219135</v>
      </c>
      <c r="H341" s="63">
        <v>170623</v>
      </c>
      <c r="I341" s="63">
        <f t="shared" si="14"/>
        <v>0</v>
      </c>
      <c r="J341" s="60"/>
      <c r="K341" s="60"/>
      <c r="L341" s="64"/>
      <c r="M341" s="65"/>
      <c r="N341" s="66"/>
      <c r="O341" s="66"/>
      <c r="P341" s="66"/>
      <c r="Q341" s="66"/>
      <c r="R341" s="66"/>
      <c r="S341" s="66"/>
    </row>
    <row r="342" spans="1:19" ht="16.5" hidden="1" customHeight="1">
      <c r="A342" s="85" t="s">
        <v>855</v>
      </c>
      <c r="B342" s="78" t="s">
        <v>856</v>
      </c>
      <c r="C342" s="81" t="s">
        <v>43</v>
      </c>
      <c r="D342" s="75">
        <v>322728</v>
      </c>
      <c r="E342" s="79" t="s">
        <v>646</v>
      </c>
      <c r="F342" s="76">
        <v>1.98</v>
      </c>
      <c r="G342" s="79">
        <v>219135</v>
      </c>
      <c r="H342" s="63">
        <v>183605</v>
      </c>
      <c r="I342" s="63">
        <f t="shared" si="14"/>
        <v>0</v>
      </c>
      <c r="J342" s="60"/>
      <c r="K342" s="60"/>
      <c r="L342" s="64"/>
      <c r="M342" s="65"/>
      <c r="N342" s="66"/>
      <c r="O342" s="66"/>
      <c r="P342" s="66"/>
      <c r="Q342" s="66"/>
      <c r="R342" s="66"/>
      <c r="S342" s="66"/>
    </row>
    <row r="343" spans="1:19" ht="16.5" hidden="1" customHeight="1">
      <c r="A343" s="85" t="s">
        <v>857</v>
      </c>
      <c r="B343" s="78" t="s">
        <v>858</v>
      </c>
      <c r="C343" s="81" t="s">
        <v>43</v>
      </c>
      <c r="D343" s="75">
        <v>270386</v>
      </c>
      <c r="E343" s="79" t="s">
        <v>646</v>
      </c>
      <c r="F343" s="76">
        <v>2.31</v>
      </c>
      <c r="G343" s="79">
        <v>219135</v>
      </c>
      <c r="H343" s="63">
        <v>214206</v>
      </c>
      <c r="I343" s="63">
        <f t="shared" si="14"/>
        <v>0</v>
      </c>
      <c r="J343" s="60"/>
      <c r="K343" s="60"/>
      <c r="L343" s="64"/>
      <c r="M343" s="65"/>
      <c r="N343" s="66"/>
      <c r="O343" s="66"/>
      <c r="P343" s="66"/>
      <c r="Q343" s="66"/>
      <c r="R343" s="66"/>
      <c r="S343" s="66"/>
    </row>
    <row r="344" spans="1:19" ht="16.5" hidden="1" customHeight="1">
      <c r="A344" s="85" t="s">
        <v>859</v>
      </c>
      <c r="B344" s="78" t="s">
        <v>860</v>
      </c>
      <c r="C344" s="81" t="s">
        <v>43</v>
      </c>
      <c r="D344" s="75">
        <v>270386</v>
      </c>
      <c r="E344" s="79" t="s">
        <v>646</v>
      </c>
      <c r="F344" s="76">
        <v>2.78</v>
      </c>
      <c r="G344" s="79">
        <v>219135</v>
      </c>
      <c r="H344" s="63">
        <v>257789</v>
      </c>
      <c r="I344" s="63">
        <f t="shared" si="14"/>
        <v>0</v>
      </c>
      <c r="J344" s="60"/>
      <c r="K344" s="60"/>
      <c r="L344" s="64"/>
      <c r="M344" s="65"/>
      <c r="N344" s="66"/>
      <c r="O344" s="66"/>
      <c r="P344" s="66"/>
      <c r="Q344" s="66"/>
      <c r="R344" s="66"/>
      <c r="S344" s="66"/>
    </row>
    <row r="345" spans="1:19" ht="16.5" hidden="1" customHeight="1">
      <c r="A345" s="85" t="s">
        <v>861</v>
      </c>
      <c r="B345" s="78" t="s">
        <v>862</v>
      </c>
      <c r="C345" s="81" t="s">
        <v>43</v>
      </c>
      <c r="D345" s="75">
        <v>270386</v>
      </c>
      <c r="E345" s="79" t="s">
        <v>646</v>
      </c>
      <c r="F345" s="76">
        <v>3.09</v>
      </c>
      <c r="G345" s="79">
        <v>219135</v>
      </c>
      <c r="H345" s="63">
        <v>286536</v>
      </c>
      <c r="I345" s="63">
        <f t="shared" si="14"/>
        <v>0</v>
      </c>
      <c r="J345" s="60"/>
      <c r="K345" s="60"/>
      <c r="L345" s="64"/>
      <c r="M345" s="65"/>
      <c r="N345" s="66"/>
      <c r="O345" s="66"/>
      <c r="P345" s="66"/>
      <c r="Q345" s="66"/>
      <c r="R345" s="66"/>
      <c r="S345" s="66"/>
    </row>
    <row r="346" spans="1:19" ht="16.5" hidden="1" customHeight="1">
      <c r="A346" s="85"/>
      <c r="B346" s="55" t="s">
        <v>863</v>
      </c>
      <c r="C346" s="81"/>
      <c r="D346" s="75"/>
      <c r="E346" s="79"/>
      <c r="F346" s="76"/>
      <c r="G346" s="79"/>
      <c r="H346" s="63">
        <f>IF(G346&lt;&gt;0,ROUND(G346*F346,0), )</f>
        <v>0</v>
      </c>
      <c r="I346" s="63">
        <f t="shared" si="14"/>
        <v>0</v>
      </c>
      <c r="J346" s="60"/>
      <c r="K346" s="60"/>
      <c r="L346" s="64"/>
      <c r="M346" s="65"/>
      <c r="N346" s="66"/>
      <c r="O346" s="66"/>
      <c r="P346" s="66"/>
      <c r="Q346" s="66"/>
      <c r="R346" s="66"/>
      <c r="S346" s="66"/>
    </row>
    <row r="347" spans="1:19" ht="16.5" hidden="1" customHeight="1">
      <c r="A347" s="85" t="s">
        <v>864</v>
      </c>
      <c r="B347" s="78" t="s">
        <v>865</v>
      </c>
      <c r="C347" s="81" t="s">
        <v>43</v>
      </c>
      <c r="D347" s="75">
        <v>360465</v>
      </c>
      <c r="E347" s="79" t="s">
        <v>646</v>
      </c>
      <c r="F347" s="76">
        <v>1.84</v>
      </c>
      <c r="G347" s="79">
        <v>219135</v>
      </c>
      <c r="H347" s="63">
        <v>170623</v>
      </c>
      <c r="I347" s="63">
        <f t="shared" ref="I347:I410" si="18">+K347*$I$4</f>
        <v>0</v>
      </c>
      <c r="J347" s="60"/>
      <c r="K347" s="60"/>
      <c r="L347" s="64"/>
      <c r="M347" s="65"/>
      <c r="N347" s="66"/>
      <c r="O347" s="66"/>
      <c r="P347" s="66"/>
      <c r="Q347" s="66"/>
      <c r="R347" s="66"/>
      <c r="S347" s="66"/>
    </row>
    <row r="348" spans="1:19" ht="16.5" hidden="1" customHeight="1">
      <c r="A348" s="85" t="s">
        <v>866</v>
      </c>
      <c r="B348" s="78" t="s">
        <v>867</v>
      </c>
      <c r="C348" s="81" t="s">
        <v>43</v>
      </c>
      <c r="D348" s="75">
        <v>360465</v>
      </c>
      <c r="E348" s="79" t="s">
        <v>646</v>
      </c>
      <c r="F348" s="76">
        <v>2.39</v>
      </c>
      <c r="G348" s="79">
        <v>219135</v>
      </c>
      <c r="H348" s="63">
        <v>221625</v>
      </c>
      <c r="I348" s="63">
        <f t="shared" si="18"/>
        <v>0</v>
      </c>
      <c r="J348" s="60"/>
      <c r="K348" s="60"/>
      <c r="L348" s="64"/>
      <c r="M348" s="65"/>
      <c r="N348" s="66"/>
      <c r="O348" s="66"/>
      <c r="P348" s="66"/>
      <c r="Q348" s="66"/>
      <c r="R348" s="66"/>
      <c r="S348" s="66"/>
    </row>
    <row r="349" spans="1:19" ht="16.5" hidden="1" customHeight="1">
      <c r="A349" s="85" t="s">
        <v>868</v>
      </c>
      <c r="B349" s="78" t="s">
        <v>869</v>
      </c>
      <c r="C349" s="81" t="s">
        <v>43</v>
      </c>
      <c r="D349" s="75">
        <v>360465</v>
      </c>
      <c r="E349" s="79" t="s">
        <v>646</v>
      </c>
      <c r="F349" s="76">
        <v>2.5299999999999998</v>
      </c>
      <c r="G349" s="79">
        <v>219135</v>
      </c>
      <c r="H349" s="63">
        <v>234607</v>
      </c>
      <c r="I349" s="63">
        <f t="shared" si="18"/>
        <v>0</v>
      </c>
      <c r="J349" s="60"/>
      <c r="K349" s="60"/>
      <c r="L349" s="64"/>
      <c r="M349" s="65"/>
      <c r="N349" s="66"/>
      <c r="O349" s="66"/>
      <c r="P349" s="66"/>
      <c r="Q349" s="66"/>
      <c r="R349" s="66"/>
      <c r="S349" s="66"/>
    </row>
    <row r="350" spans="1:19" ht="16.5" hidden="1" customHeight="1">
      <c r="A350" s="85" t="s">
        <v>870</v>
      </c>
      <c r="B350" s="78" t="s">
        <v>871</v>
      </c>
      <c r="C350" s="81" t="s">
        <v>43</v>
      </c>
      <c r="D350" s="75">
        <v>360465</v>
      </c>
      <c r="E350" s="79" t="s">
        <v>646</v>
      </c>
      <c r="F350" s="76">
        <v>3.18</v>
      </c>
      <c r="G350" s="79">
        <v>219135</v>
      </c>
      <c r="H350" s="63">
        <v>294881</v>
      </c>
      <c r="I350" s="63">
        <f t="shared" si="18"/>
        <v>0</v>
      </c>
      <c r="J350" s="60"/>
      <c r="K350" s="60"/>
      <c r="L350" s="64"/>
      <c r="M350" s="65"/>
      <c r="N350" s="66"/>
      <c r="O350" s="66"/>
      <c r="P350" s="66"/>
      <c r="Q350" s="66"/>
      <c r="R350" s="66"/>
      <c r="S350" s="66"/>
    </row>
    <row r="351" spans="1:19" ht="16.5" hidden="1" customHeight="1">
      <c r="A351" s="85" t="s">
        <v>872</v>
      </c>
      <c r="B351" s="78" t="s">
        <v>873</v>
      </c>
      <c r="C351" s="81" t="s">
        <v>43</v>
      </c>
      <c r="D351" s="75">
        <v>360465</v>
      </c>
      <c r="E351" s="79" t="s">
        <v>646</v>
      </c>
      <c r="F351" s="76">
        <v>3.6</v>
      </c>
      <c r="G351" s="79">
        <v>219135</v>
      </c>
      <c r="H351" s="63">
        <v>333828</v>
      </c>
      <c r="I351" s="63">
        <f t="shared" si="18"/>
        <v>0</v>
      </c>
      <c r="J351" s="60"/>
      <c r="K351" s="60"/>
      <c r="L351" s="64"/>
      <c r="M351" s="65"/>
      <c r="N351" s="66"/>
      <c r="O351" s="66"/>
      <c r="P351" s="66"/>
      <c r="Q351" s="66"/>
      <c r="R351" s="66"/>
      <c r="S351" s="66"/>
    </row>
    <row r="352" spans="1:19" ht="16.5" hidden="1" customHeight="1">
      <c r="A352" s="85" t="s">
        <v>874</v>
      </c>
      <c r="B352" s="78" t="s">
        <v>875</v>
      </c>
      <c r="C352" s="81" t="s">
        <v>43</v>
      </c>
      <c r="D352" s="75">
        <v>360465</v>
      </c>
      <c r="E352" s="79" t="s">
        <v>646</v>
      </c>
      <c r="F352" s="76">
        <v>3.98</v>
      </c>
      <c r="G352" s="79">
        <v>219135</v>
      </c>
      <c r="H352" s="63">
        <v>369065</v>
      </c>
      <c r="I352" s="63">
        <f t="shared" si="18"/>
        <v>0</v>
      </c>
      <c r="J352" s="60"/>
      <c r="K352" s="60"/>
      <c r="L352" s="64"/>
      <c r="M352" s="65"/>
      <c r="N352" s="66"/>
      <c r="O352" s="66"/>
      <c r="P352" s="66"/>
      <c r="Q352" s="66"/>
      <c r="R352" s="66"/>
      <c r="S352" s="66"/>
    </row>
    <row r="353" spans="1:19" ht="16.5" hidden="1" customHeight="1">
      <c r="A353" s="102" t="s">
        <v>876</v>
      </c>
      <c r="B353" s="55" t="s">
        <v>877</v>
      </c>
      <c r="C353" s="81"/>
      <c r="D353" s="92"/>
      <c r="E353" s="98"/>
      <c r="F353" s="94"/>
      <c r="G353" s="98"/>
      <c r="H353" s="63"/>
      <c r="I353" s="63">
        <f t="shared" si="18"/>
        <v>0</v>
      </c>
      <c r="J353" s="60"/>
      <c r="K353" s="60"/>
      <c r="L353" s="64"/>
      <c r="M353" s="65"/>
      <c r="N353" s="66"/>
      <c r="O353" s="66"/>
      <c r="P353" s="66"/>
      <c r="Q353" s="66"/>
      <c r="R353" s="66"/>
      <c r="S353" s="66"/>
    </row>
    <row r="354" spans="1:19" ht="16.5" hidden="1" customHeight="1">
      <c r="A354" s="102"/>
      <c r="B354" s="55"/>
      <c r="C354" s="81"/>
      <c r="D354" s="92"/>
      <c r="E354" s="98"/>
      <c r="F354" s="94"/>
      <c r="G354" s="98"/>
      <c r="H354" s="63"/>
      <c r="I354" s="63">
        <f t="shared" si="18"/>
        <v>0</v>
      </c>
      <c r="J354" s="60"/>
      <c r="K354" s="60"/>
      <c r="L354" s="64"/>
      <c r="M354" s="65"/>
      <c r="N354" s="66"/>
      <c r="O354" s="66"/>
      <c r="P354" s="66"/>
      <c r="Q354" s="66"/>
      <c r="R354" s="66"/>
      <c r="S354" s="66"/>
    </row>
    <row r="355" spans="1:19" ht="16.5" hidden="1" customHeight="1">
      <c r="A355" s="102" t="s">
        <v>878</v>
      </c>
      <c r="B355" s="55" t="s">
        <v>879</v>
      </c>
      <c r="C355" s="81"/>
      <c r="D355" s="92"/>
      <c r="E355" s="98"/>
      <c r="F355" s="94"/>
      <c r="G355" s="98"/>
      <c r="H355" s="63"/>
      <c r="I355" s="63">
        <f t="shared" si="18"/>
        <v>0</v>
      </c>
      <c r="J355" s="60"/>
      <c r="K355" s="60"/>
      <c r="L355" s="64"/>
      <c r="M355" s="65"/>
      <c r="N355" s="66"/>
      <c r="O355" s="66"/>
      <c r="P355" s="66"/>
      <c r="Q355" s="66"/>
      <c r="R355" s="66"/>
      <c r="S355" s="66"/>
    </row>
    <row r="356" spans="1:19" ht="16.5" hidden="1" customHeight="1">
      <c r="A356" s="103" t="s">
        <v>880</v>
      </c>
      <c r="B356" s="78" t="s">
        <v>881</v>
      </c>
      <c r="C356" s="81" t="s">
        <v>882</v>
      </c>
      <c r="D356" s="92">
        <v>114100</v>
      </c>
      <c r="E356" s="98"/>
      <c r="F356" s="94"/>
      <c r="G356" s="98"/>
      <c r="H356" s="63">
        <v>64911</v>
      </c>
      <c r="I356" s="63">
        <f t="shared" si="18"/>
        <v>0</v>
      </c>
      <c r="J356" s="60"/>
      <c r="K356" s="60"/>
      <c r="L356" s="64"/>
      <c r="M356" s="65"/>
      <c r="N356" s="66"/>
      <c r="O356" s="66"/>
      <c r="P356" s="66"/>
      <c r="Q356" s="66"/>
      <c r="R356" s="66"/>
      <c r="S356" s="66"/>
    </row>
    <row r="357" spans="1:19" ht="16.5" hidden="1" customHeight="1">
      <c r="A357" s="103" t="s">
        <v>883</v>
      </c>
      <c r="B357" s="78" t="s">
        <v>884</v>
      </c>
      <c r="C357" s="81" t="s">
        <v>882</v>
      </c>
      <c r="D357" s="92">
        <v>171150</v>
      </c>
      <c r="E357" s="98"/>
      <c r="F357" s="94"/>
      <c r="G357" s="98"/>
      <c r="H357" s="63">
        <v>97367</v>
      </c>
      <c r="I357" s="63">
        <f t="shared" si="18"/>
        <v>0</v>
      </c>
      <c r="J357" s="60"/>
      <c r="K357" s="60"/>
      <c r="L357" s="64"/>
      <c r="M357" s="65"/>
      <c r="N357" s="66"/>
      <c r="O357" s="66"/>
      <c r="P357" s="66"/>
      <c r="Q357" s="66"/>
      <c r="R357" s="66"/>
      <c r="S357" s="66"/>
    </row>
    <row r="358" spans="1:19" ht="16.5" hidden="1" customHeight="1">
      <c r="A358" s="103" t="s">
        <v>885</v>
      </c>
      <c r="B358" s="78" t="s">
        <v>886</v>
      </c>
      <c r="C358" s="81" t="s">
        <v>882</v>
      </c>
      <c r="D358" s="92">
        <v>47452</v>
      </c>
      <c r="E358" s="98"/>
      <c r="F358" s="94"/>
      <c r="G358" s="98"/>
      <c r="H358" s="63">
        <v>11128</v>
      </c>
      <c r="I358" s="63">
        <f t="shared" si="18"/>
        <v>0</v>
      </c>
      <c r="J358" s="60"/>
      <c r="K358" s="60"/>
      <c r="L358" s="64"/>
      <c r="M358" s="65"/>
      <c r="N358" s="66"/>
      <c r="O358" s="66"/>
      <c r="P358" s="66"/>
      <c r="Q358" s="66"/>
      <c r="R358" s="66"/>
      <c r="S358" s="66"/>
    </row>
    <row r="359" spans="1:19" ht="16.5" hidden="1" customHeight="1">
      <c r="A359" s="103" t="s">
        <v>887</v>
      </c>
      <c r="B359" s="78" t="s">
        <v>888</v>
      </c>
      <c r="C359" s="81" t="s">
        <v>882</v>
      </c>
      <c r="D359" s="92">
        <v>72855</v>
      </c>
      <c r="E359" s="98"/>
      <c r="F359" s="94"/>
      <c r="G359" s="98"/>
      <c r="H359" s="63">
        <v>16691</v>
      </c>
      <c r="I359" s="63">
        <f t="shared" si="18"/>
        <v>0</v>
      </c>
      <c r="J359" s="60"/>
      <c r="K359" s="60"/>
      <c r="L359" s="64"/>
      <c r="M359" s="65"/>
      <c r="N359" s="66"/>
      <c r="O359" s="66"/>
      <c r="P359" s="66"/>
      <c r="Q359" s="66"/>
      <c r="R359" s="66"/>
      <c r="S359" s="66"/>
    </row>
    <row r="360" spans="1:19" ht="16.5" hidden="1" customHeight="1">
      <c r="A360" s="103"/>
      <c r="B360" s="78"/>
      <c r="C360" s="81"/>
      <c r="D360" s="92"/>
      <c r="E360" s="98"/>
      <c r="F360" s="94"/>
      <c r="G360" s="98"/>
      <c r="H360" s="63"/>
      <c r="I360" s="63">
        <f t="shared" si="18"/>
        <v>0</v>
      </c>
      <c r="J360" s="60"/>
      <c r="K360" s="60"/>
      <c r="L360" s="64"/>
      <c r="M360" s="65"/>
      <c r="N360" s="66"/>
      <c r="O360" s="66"/>
      <c r="P360" s="66"/>
      <c r="Q360" s="66"/>
      <c r="R360" s="66"/>
      <c r="S360" s="66"/>
    </row>
    <row r="361" spans="1:19" ht="16.5" hidden="1" customHeight="1">
      <c r="A361" s="103" t="s">
        <v>880</v>
      </c>
      <c r="B361" s="78" t="s">
        <v>889</v>
      </c>
      <c r="C361" s="81" t="s">
        <v>882</v>
      </c>
      <c r="D361" s="92">
        <v>114100</v>
      </c>
      <c r="E361" s="98"/>
      <c r="F361" s="94"/>
      <c r="G361" s="98"/>
      <c r="H361" s="63">
        <f>1.3*64911</f>
        <v>84384.3</v>
      </c>
      <c r="I361" s="63">
        <f t="shared" si="18"/>
        <v>0</v>
      </c>
      <c r="J361" s="60"/>
      <c r="K361" s="60"/>
      <c r="L361" s="64"/>
      <c r="M361" s="65"/>
      <c r="N361" s="66"/>
      <c r="O361" s="66"/>
      <c r="P361" s="66"/>
      <c r="Q361" s="66"/>
      <c r="R361" s="66"/>
      <c r="S361" s="66"/>
    </row>
    <row r="362" spans="1:19" ht="16.5" hidden="1" customHeight="1">
      <c r="A362" s="103" t="s">
        <v>883</v>
      </c>
      <c r="B362" s="78" t="s">
        <v>890</v>
      </c>
      <c r="C362" s="81" t="s">
        <v>882</v>
      </c>
      <c r="D362" s="92">
        <v>171150</v>
      </c>
      <c r="E362" s="98"/>
      <c r="F362" s="94"/>
      <c r="G362" s="98"/>
      <c r="H362" s="63">
        <f>1.3*97367</f>
        <v>126577.1</v>
      </c>
      <c r="I362" s="63">
        <f t="shared" si="18"/>
        <v>0</v>
      </c>
      <c r="J362" s="60"/>
      <c r="K362" s="60"/>
      <c r="L362" s="64"/>
      <c r="M362" s="65"/>
      <c r="N362" s="66"/>
      <c r="O362" s="66"/>
      <c r="P362" s="66"/>
      <c r="Q362" s="66"/>
      <c r="R362" s="66"/>
      <c r="S362" s="66"/>
    </row>
    <row r="363" spans="1:19" ht="16.5" hidden="1" customHeight="1">
      <c r="A363" s="103" t="s">
        <v>885</v>
      </c>
      <c r="B363" s="78" t="s">
        <v>891</v>
      </c>
      <c r="C363" s="81" t="s">
        <v>882</v>
      </c>
      <c r="D363" s="92">
        <v>47452</v>
      </c>
      <c r="E363" s="98"/>
      <c r="F363" s="94"/>
      <c r="G363" s="98"/>
      <c r="H363" s="63">
        <f>1.3*11128</f>
        <v>14466.4</v>
      </c>
      <c r="I363" s="63">
        <f t="shared" si="18"/>
        <v>0</v>
      </c>
      <c r="J363" s="60"/>
      <c r="K363" s="60"/>
      <c r="L363" s="64"/>
      <c r="M363" s="65"/>
      <c r="N363" s="66"/>
      <c r="O363" s="66"/>
      <c r="P363" s="66"/>
      <c r="Q363" s="66"/>
      <c r="R363" s="66"/>
      <c r="S363" s="66"/>
    </row>
    <row r="364" spans="1:19" ht="16.5" hidden="1" customHeight="1">
      <c r="A364" s="103" t="s">
        <v>887</v>
      </c>
      <c r="B364" s="78" t="s">
        <v>892</v>
      </c>
      <c r="C364" s="81" t="s">
        <v>882</v>
      </c>
      <c r="D364" s="92">
        <v>72855</v>
      </c>
      <c r="E364" s="98"/>
      <c r="F364" s="94"/>
      <c r="G364" s="98"/>
      <c r="H364" s="63">
        <f>1.3*16691</f>
        <v>21698.3</v>
      </c>
      <c r="I364" s="63">
        <f t="shared" si="18"/>
        <v>0</v>
      </c>
      <c r="J364" s="60"/>
      <c r="K364" s="60"/>
      <c r="L364" s="64"/>
      <c r="M364" s="65"/>
      <c r="N364" s="66"/>
      <c r="O364" s="66"/>
      <c r="P364" s="66"/>
      <c r="Q364" s="66"/>
      <c r="R364" s="66"/>
      <c r="S364" s="66"/>
    </row>
    <row r="365" spans="1:19" ht="16.5" hidden="1" customHeight="1">
      <c r="A365" s="103"/>
      <c r="B365" s="78"/>
      <c r="C365" s="81"/>
      <c r="D365" s="92"/>
      <c r="E365" s="98"/>
      <c r="F365" s="94"/>
      <c r="G365" s="98"/>
      <c r="H365" s="63"/>
      <c r="I365" s="63">
        <f t="shared" si="18"/>
        <v>0</v>
      </c>
      <c r="J365" s="60"/>
      <c r="K365" s="60"/>
      <c r="L365" s="64"/>
      <c r="M365" s="65"/>
      <c r="N365" s="66"/>
      <c r="O365" s="66"/>
      <c r="P365" s="66"/>
      <c r="Q365" s="66"/>
      <c r="R365" s="66"/>
      <c r="S365" s="66"/>
    </row>
    <row r="366" spans="1:19" ht="16.5" hidden="1" customHeight="1">
      <c r="A366" s="102" t="s">
        <v>893</v>
      </c>
      <c r="B366" s="55" t="s">
        <v>894</v>
      </c>
      <c r="C366" s="81"/>
      <c r="D366" s="92"/>
      <c r="E366" s="98"/>
      <c r="F366" s="94"/>
      <c r="G366" s="98"/>
      <c r="H366" s="63"/>
      <c r="I366" s="63">
        <f t="shared" si="18"/>
        <v>0</v>
      </c>
      <c r="J366" s="60"/>
      <c r="K366" s="60"/>
      <c r="L366" s="64"/>
      <c r="M366" s="65"/>
      <c r="N366" s="66"/>
      <c r="O366" s="66"/>
      <c r="P366" s="66"/>
      <c r="Q366" s="66"/>
      <c r="R366" s="66"/>
      <c r="S366" s="66"/>
    </row>
    <row r="367" spans="1:19" ht="16.5" hidden="1" customHeight="1">
      <c r="A367" s="102" t="s">
        <v>895</v>
      </c>
      <c r="B367" s="55" t="s">
        <v>896</v>
      </c>
      <c r="C367" s="81"/>
      <c r="D367" s="92"/>
      <c r="E367" s="98"/>
      <c r="F367" s="94"/>
      <c r="G367" s="98"/>
      <c r="H367" s="63"/>
      <c r="I367" s="63">
        <f t="shared" si="18"/>
        <v>0</v>
      </c>
      <c r="J367" s="60"/>
      <c r="K367" s="60"/>
      <c r="L367" s="64"/>
      <c r="M367" s="65"/>
      <c r="N367" s="66"/>
      <c r="O367" s="66"/>
      <c r="P367" s="66"/>
      <c r="Q367" s="66"/>
      <c r="R367" s="66"/>
      <c r="S367" s="66"/>
    </row>
    <row r="368" spans="1:19" ht="16.5" hidden="1" customHeight="1">
      <c r="A368" s="85" t="s">
        <v>897</v>
      </c>
      <c r="B368" s="78" t="s">
        <v>898</v>
      </c>
      <c r="C368" s="81" t="s">
        <v>174</v>
      </c>
      <c r="D368" s="92"/>
      <c r="E368" s="79" t="s">
        <v>807</v>
      </c>
      <c r="F368" s="76">
        <v>2.5</v>
      </c>
      <c r="G368" s="79">
        <v>236500</v>
      </c>
      <c r="H368" s="63">
        <f>+G368*F368</f>
        <v>591250</v>
      </c>
      <c r="I368" s="63">
        <f t="shared" si="18"/>
        <v>12842.536</v>
      </c>
      <c r="J368" s="60"/>
      <c r="K368" s="60">
        <v>8654</v>
      </c>
      <c r="L368" s="64"/>
      <c r="M368" s="65"/>
      <c r="N368" s="66"/>
      <c r="O368" s="66"/>
      <c r="P368" s="66"/>
      <c r="Q368" s="66"/>
      <c r="R368" s="66"/>
      <c r="S368" s="66"/>
    </row>
    <row r="369" spans="1:19" ht="16.5" hidden="1" customHeight="1">
      <c r="A369" s="85" t="s">
        <v>899</v>
      </c>
      <c r="B369" s="78" t="s">
        <v>900</v>
      </c>
      <c r="C369" s="81" t="s">
        <v>174</v>
      </c>
      <c r="D369" s="92"/>
      <c r="E369" s="79" t="s">
        <v>807</v>
      </c>
      <c r="F369" s="76">
        <v>3.18</v>
      </c>
      <c r="G369" s="79">
        <v>236500</v>
      </c>
      <c r="H369" s="63">
        <f>+G369*F369</f>
        <v>752070</v>
      </c>
      <c r="I369" s="63">
        <f t="shared" si="18"/>
        <v>17123.876</v>
      </c>
      <c r="J369" s="60"/>
      <c r="K369" s="60">
        <v>11539</v>
      </c>
      <c r="L369" s="64"/>
      <c r="M369" s="65"/>
      <c r="N369" s="66"/>
      <c r="O369" s="66"/>
      <c r="P369" s="66"/>
      <c r="Q369" s="66"/>
      <c r="R369" s="66"/>
      <c r="S369" s="66"/>
    </row>
    <row r="370" spans="1:19" ht="16.5" hidden="1" customHeight="1">
      <c r="A370" s="102" t="s">
        <v>901</v>
      </c>
      <c r="B370" s="55" t="s">
        <v>902</v>
      </c>
      <c r="C370" s="81"/>
      <c r="D370" s="92"/>
      <c r="E370" s="93"/>
      <c r="F370" s="94"/>
      <c r="G370" s="98"/>
      <c r="H370" s="63"/>
      <c r="I370" s="63">
        <f t="shared" si="18"/>
        <v>0</v>
      </c>
      <c r="J370" s="60"/>
      <c r="K370" s="60"/>
      <c r="L370" s="64"/>
      <c r="M370" s="65"/>
      <c r="N370" s="66"/>
      <c r="O370" s="66"/>
      <c r="P370" s="66"/>
      <c r="Q370" s="66"/>
      <c r="R370" s="66"/>
      <c r="S370" s="66"/>
    </row>
    <row r="371" spans="1:19" ht="16.5" hidden="1" customHeight="1">
      <c r="A371" s="85" t="s">
        <v>903</v>
      </c>
      <c r="B371" s="78" t="s">
        <v>904</v>
      </c>
      <c r="C371" s="81" t="s">
        <v>174</v>
      </c>
      <c r="D371" s="92">
        <v>12022</v>
      </c>
      <c r="E371" s="79" t="s">
        <v>807</v>
      </c>
      <c r="F371" s="76">
        <v>7.1</v>
      </c>
      <c r="G371" s="79">
        <v>236500</v>
      </c>
      <c r="H371" s="63">
        <f t="shared" ref="H371:H378" si="19">+G371*F371</f>
        <v>1679150</v>
      </c>
      <c r="I371" s="63">
        <f t="shared" si="18"/>
        <v>0</v>
      </c>
      <c r="J371" s="60"/>
      <c r="K371" s="60"/>
      <c r="L371" s="64"/>
      <c r="M371" s="65"/>
      <c r="N371" s="66"/>
      <c r="O371" s="66"/>
      <c r="P371" s="66"/>
      <c r="Q371" s="66"/>
      <c r="R371" s="66"/>
      <c r="S371" s="66"/>
    </row>
    <row r="372" spans="1:19" ht="16.5" hidden="1" customHeight="1">
      <c r="A372" s="85" t="s">
        <v>905</v>
      </c>
      <c r="B372" s="78" t="s">
        <v>906</v>
      </c>
      <c r="C372" s="81" t="s">
        <v>174</v>
      </c>
      <c r="D372" s="92">
        <v>12022</v>
      </c>
      <c r="E372" s="79" t="s">
        <v>807</v>
      </c>
      <c r="F372" s="76">
        <v>6.4</v>
      </c>
      <c r="G372" s="79">
        <v>236500</v>
      </c>
      <c r="H372" s="63">
        <f t="shared" si="19"/>
        <v>1513600</v>
      </c>
      <c r="I372" s="63">
        <f t="shared" si="18"/>
        <v>0</v>
      </c>
      <c r="J372" s="60"/>
      <c r="K372" s="60"/>
      <c r="L372" s="64"/>
      <c r="M372" s="65"/>
      <c r="N372" s="66"/>
      <c r="O372" s="66"/>
      <c r="P372" s="66"/>
      <c r="Q372" s="66"/>
      <c r="R372" s="66"/>
      <c r="S372" s="66"/>
    </row>
    <row r="373" spans="1:19" ht="16.5" hidden="1" customHeight="1">
      <c r="A373" s="85" t="s">
        <v>907</v>
      </c>
      <c r="B373" s="78" t="s">
        <v>908</v>
      </c>
      <c r="C373" s="81" t="s">
        <v>174</v>
      </c>
      <c r="D373" s="92">
        <v>12022</v>
      </c>
      <c r="E373" s="79" t="s">
        <v>807</v>
      </c>
      <c r="F373" s="76">
        <v>6.1</v>
      </c>
      <c r="G373" s="79">
        <v>236500</v>
      </c>
      <c r="H373" s="63">
        <f t="shared" si="19"/>
        <v>1442650</v>
      </c>
      <c r="I373" s="63">
        <f t="shared" si="18"/>
        <v>0</v>
      </c>
      <c r="J373" s="60"/>
      <c r="K373" s="60"/>
      <c r="L373" s="64"/>
      <c r="M373" s="65"/>
      <c r="N373" s="66"/>
      <c r="O373" s="66"/>
      <c r="P373" s="66"/>
      <c r="Q373" s="66"/>
      <c r="R373" s="66"/>
      <c r="S373" s="66"/>
    </row>
    <row r="374" spans="1:19" ht="16.5" hidden="1" customHeight="1">
      <c r="A374" s="85" t="s">
        <v>909</v>
      </c>
      <c r="B374" s="78" t="s">
        <v>910</v>
      </c>
      <c r="C374" s="81" t="s">
        <v>174</v>
      </c>
      <c r="D374" s="92">
        <v>12022</v>
      </c>
      <c r="E374" s="79" t="s">
        <v>807</v>
      </c>
      <c r="F374" s="76">
        <v>5.78</v>
      </c>
      <c r="G374" s="79">
        <v>236500</v>
      </c>
      <c r="H374" s="63">
        <f t="shared" si="19"/>
        <v>1366970</v>
      </c>
      <c r="I374" s="63">
        <f t="shared" si="18"/>
        <v>0</v>
      </c>
      <c r="J374" s="60"/>
      <c r="K374" s="60"/>
      <c r="L374" s="64"/>
      <c r="M374" s="65"/>
      <c r="N374" s="66"/>
      <c r="O374" s="66"/>
      <c r="P374" s="66"/>
      <c r="Q374" s="66"/>
      <c r="R374" s="66"/>
      <c r="S374" s="66"/>
    </row>
    <row r="375" spans="1:19" ht="16.5" hidden="1" customHeight="1">
      <c r="A375" s="85" t="s">
        <v>911</v>
      </c>
      <c r="B375" s="78" t="s">
        <v>912</v>
      </c>
      <c r="C375" s="81" t="s">
        <v>818</v>
      </c>
      <c r="D375" s="92">
        <v>12022</v>
      </c>
      <c r="E375" s="79" t="s">
        <v>807</v>
      </c>
      <c r="F375" s="76">
        <v>3.34</v>
      </c>
      <c r="G375" s="79">
        <v>236500</v>
      </c>
      <c r="H375" s="63">
        <f t="shared" si="19"/>
        <v>789910</v>
      </c>
      <c r="I375" s="63">
        <f t="shared" si="18"/>
        <v>0</v>
      </c>
      <c r="J375" s="60"/>
      <c r="K375" s="60"/>
      <c r="L375" s="64"/>
      <c r="M375" s="65"/>
      <c r="N375" s="66"/>
      <c r="O375" s="66"/>
      <c r="P375" s="66"/>
      <c r="Q375" s="66"/>
      <c r="R375" s="66"/>
      <c r="S375" s="66"/>
    </row>
    <row r="376" spans="1:19" ht="16.5" hidden="1" customHeight="1">
      <c r="A376" s="85" t="s">
        <v>913</v>
      </c>
      <c r="B376" s="78" t="s">
        <v>914</v>
      </c>
      <c r="C376" s="81" t="s">
        <v>818</v>
      </c>
      <c r="D376" s="92">
        <v>12022</v>
      </c>
      <c r="E376" s="79" t="s">
        <v>807</v>
      </c>
      <c r="F376" s="76">
        <v>3.16</v>
      </c>
      <c r="G376" s="79">
        <v>236500</v>
      </c>
      <c r="H376" s="63">
        <f t="shared" si="19"/>
        <v>747340</v>
      </c>
      <c r="I376" s="63">
        <f t="shared" si="18"/>
        <v>0</v>
      </c>
      <c r="J376" s="60"/>
      <c r="K376" s="60"/>
      <c r="L376" s="64"/>
      <c r="M376" s="65"/>
      <c r="N376" s="66"/>
      <c r="O376" s="66"/>
      <c r="P376" s="66"/>
      <c r="Q376" s="66"/>
      <c r="R376" s="66"/>
      <c r="S376" s="66"/>
    </row>
    <row r="377" spans="1:19" ht="16.5" hidden="1" customHeight="1">
      <c r="A377" s="85" t="s">
        <v>915</v>
      </c>
      <c r="B377" s="78" t="s">
        <v>916</v>
      </c>
      <c r="C377" s="81" t="s">
        <v>818</v>
      </c>
      <c r="D377" s="92">
        <v>12022</v>
      </c>
      <c r="E377" s="79" t="s">
        <v>807</v>
      </c>
      <c r="F377" s="76">
        <v>2.98</v>
      </c>
      <c r="G377" s="79">
        <v>236500</v>
      </c>
      <c r="H377" s="63">
        <f t="shared" si="19"/>
        <v>704770</v>
      </c>
      <c r="I377" s="63">
        <f t="shared" si="18"/>
        <v>0</v>
      </c>
      <c r="J377" s="60"/>
      <c r="K377" s="60"/>
      <c r="L377" s="64"/>
      <c r="M377" s="65"/>
      <c r="N377" s="66"/>
      <c r="O377" s="66"/>
      <c r="P377" s="66"/>
      <c r="Q377" s="66"/>
      <c r="R377" s="66"/>
      <c r="S377" s="66"/>
    </row>
    <row r="378" spans="1:19" ht="16.5" hidden="1" customHeight="1">
      <c r="A378" s="85" t="s">
        <v>917</v>
      </c>
      <c r="B378" s="78" t="s">
        <v>918</v>
      </c>
      <c r="C378" s="81" t="s">
        <v>818</v>
      </c>
      <c r="D378" s="92">
        <v>12022</v>
      </c>
      <c r="E378" s="79" t="s">
        <v>807</v>
      </c>
      <c r="F378" s="76">
        <v>2.81</v>
      </c>
      <c r="G378" s="79">
        <v>236500</v>
      </c>
      <c r="H378" s="63">
        <f t="shared" si="19"/>
        <v>664565</v>
      </c>
      <c r="I378" s="63">
        <f t="shared" si="18"/>
        <v>0</v>
      </c>
      <c r="J378" s="60"/>
      <c r="K378" s="60"/>
      <c r="L378" s="64"/>
      <c r="M378" s="65"/>
      <c r="N378" s="66"/>
      <c r="O378" s="66"/>
      <c r="P378" s="66"/>
      <c r="Q378" s="66"/>
      <c r="R378" s="66"/>
      <c r="S378" s="66"/>
    </row>
    <row r="379" spans="1:19" ht="16.5" hidden="1" customHeight="1">
      <c r="A379" s="102" t="s">
        <v>919</v>
      </c>
      <c r="B379" s="55" t="s">
        <v>920</v>
      </c>
      <c r="C379" s="81"/>
      <c r="D379" s="92"/>
      <c r="E379" s="98"/>
      <c r="F379" s="94"/>
      <c r="G379" s="98"/>
      <c r="H379" s="63"/>
      <c r="I379" s="63">
        <f t="shared" si="18"/>
        <v>0</v>
      </c>
      <c r="J379" s="60"/>
      <c r="K379" s="60"/>
      <c r="L379" s="64"/>
      <c r="M379" s="65"/>
      <c r="N379" s="66"/>
      <c r="O379" s="66"/>
      <c r="P379" s="66"/>
      <c r="Q379" s="66"/>
      <c r="R379" s="66"/>
      <c r="S379" s="66"/>
    </row>
    <row r="380" spans="1:19" ht="16.5" hidden="1" customHeight="1">
      <c r="A380" s="85" t="s">
        <v>921</v>
      </c>
      <c r="B380" s="78" t="s">
        <v>922</v>
      </c>
      <c r="C380" s="81" t="s">
        <v>923</v>
      </c>
      <c r="D380" s="92">
        <v>89797</v>
      </c>
      <c r="E380" s="79" t="s">
        <v>646</v>
      </c>
      <c r="F380" s="76">
        <v>15.3</v>
      </c>
      <c r="G380" s="79">
        <v>219135</v>
      </c>
      <c r="H380" s="63">
        <f t="shared" ref="H380:H393" si="20">+G380*F380</f>
        <v>3352765.5</v>
      </c>
      <c r="I380" s="63">
        <f t="shared" si="18"/>
        <v>0</v>
      </c>
      <c r="J380" s="60"/>
      <c r="K380" s="60"/>
      <c r="L380" s="64"/>
      <c r="M380" s="65"/>
      <c r="N380" s="66"/>
      <c r="O380" s="66"/>
      <c r="P380" s="66"/>
      <c r="Q380" s="66"/>
      <c r="R380" s="66"/>
      <c r="S380" s="66"/>
    </row>
    <row r="381" spans="1:19" ht="16.5" hidden="1" customHeight="1">
      <c r="A381" s="85" t="s">
        <v>924</v>
      </c>
      <c r="B381" s="78" t="s">
        <v>925</v>
      </c>
      <c r="C381" s="81" t="s">
        <v>923</v>
      </c>
      <c r="D381" s="92">
        <v>119729</v>
      </c>
      <c r="E381" s="79" t="s">
        <v>646</v>
      </c>
      <c r="F381" s="76">
        <v>27.81</v>
      </c>
      <c r="G381" s="79">
        <v>219135</v>
      </c>
      <c r="H381" s="63">
        <f t="shared" si="20"/>
        <v>6094144.3499999996</v>
      </c>
      <c r="I381" s="63">
        <f t="shared" si="18"/>
        <v>0</v>
      </c>
      <c r="J381" s="60"/>
      <c r="K381" s="60"/>
      <c r="L381" s="64"/>
      <c r="M381" s="65"/>
      <c r="N381" s="66"/>
      <c r="O381" s="66"/>
      <c r="P381" s="66"/>
      <c r="Q381" s="66"/>
      <c r="R381" s="66"/>
      <c r="S381" s="66"/>
    </row>
    <row r="382" spans="1:19" ht="16.5" hidden="1" customHeight="1">
      <c r="A382" s="85" t="s">
        <v>926</v>
      </c>
      <c r="B382" s="78" t="s">
        <v>927</v>
      </c>
      <c r="C382" s="81" t="s">
        <v>923</v>
      </c>
      <c r="D382" s="92">
        <v>119729</v>
      </c>
      <c r="E382" s="79" t="s">
        <v>646</v>
      </c>
      <c r="F382" s="76">
        <v>34.17</v>
      </c>
      <c r="G382" s="79">
        <v>219135</v>
      </c>
      <c r="H382" s="63">
        <f t="shared" si="20"/>
        <v>7487842.9500000002</v>
      </c>
      <c r="I382" s="63">
        <f t="shared" si="18"/>
        <v>0</v>
      </c>
      <c r="J382" s="60"/>
      <c r="K382" s="60"/>
      <c r="L382" s="64"/>
      <c r="M382" s="65"/>
      <c r="N382" s="66"/>
      <c r="O382" s="66"/>
      <c r="P382" s="66"/>
      <c r="Q382" s="66"/>
      <c r="R382" s="66"/>
      <c r="S382" s="66"/>
    </row>
    <row r="383" spans="1:19" ht="16.5" hidden="1" customHeight="1">
      <c r="A383" s="85" t="s">
        <v>928</v>
      </c>
      <c r="B383" s="78" t="s">
        <v>929</v>
      </c>
      <c r="C383" s="81" t="s">
        <v>923</v>
      </c>
      <c r="D383" s="92">
        <v>119729</v>
      </c>
      <c r="E383" s="79" t="s">
        <v>646</v>
      </c>
      <c r="F383" s="76">
        <v>58.03</v>
      </c>
      <c r="G383" s="79">
        <v>219135</v>
      </c>
      <c r="H383" s="63">
        <f t="shared" si="20"/>
        <v>12716404.050000001</v>
      </c>
      <c r="I383" s="63">
        <f t="shared" si="18"/>
        <v>0</v>
      </c>
      <c r="J383" s="60"/>
      <c r="K383" s="60"/>
      <c r="L383" s="64"/>
      <c r="M383" s="65"/>
      <c r="N383" s="66"/>
      <c r="O383" s="66"/>
      <c r="P383" s="66"/>
      <c r="Q383" s="66"/>
      <c r="R383" s="66"/>
      <c r="S383" s="66"/>
    </row>
    <row r="384" spans="1:19" ht="16.5" hidden="1" customHeight="1">
      <c r="A384" s="85" t="s">
        <v>930</v>
      </c>
      <c r="B384" s="78" t="s">
        <v>931</v>
      </c>
      <c r="C384" s="81" t="s">
        <v>923</v>
      </c>
      <c r="D384" s="92">
        <v>239459</v>
      </c>
      <c r="E384" s="79" t="s">
        <v>646</v>
      </c>
      <c r="F384" s="76">
        <v>103.31</v>
      </c>
      <c r="G384" s="79">
        <v>219135</v>
      </c>
      <c r="H384" s="63">
        <f t="shared" si="20"/>
        <v>22638836.850000001</v>
      </c>
      <c r="I384" s="63">
        <f t="shared" si="18"/>
        <v>0</v>
      </c>
      <c r="J384" s="60"/>
      <c r="K384" s="60"/>
      <c r="L384" s="64"/>
      <c r="M384" s="65"/>
      <c r="N384" s="66"/>
      <c r="O384" s="66"/>
      <c r="P384" s="66"/>
      <c r="Q384" s="66"/>
      <c r="R384" s="66"/>
      <c r="S384" s="66"/>
    </row>
    <row r="385" spans="1:19" ht="16.5" hidden="1" customHeight="1">
      <c r="A385" s="85" t="s">
        <v>932</v>
      </c>
      <c r="B385" s="78" t="s">
        <v>933</v>
      </c>
      <c r="C385" s="81" t="s">
        <v>923</v>
      </c>
      <c r="D385" s="92">
        <v>119729</v>
      </c>
      <c r="E385" s="79" t="s">
        <v>646</v>
      </c>
      <c r="F385" s="76">
        <v>20.86</v>
      </c>
      <c r="G385" s="79">
        <v>219135</v>
      </c>
      <c r="H385" s="63">
        <f t="shared" si="20"/>
        <v>4571156.0999999996</v>
      </c>
      <c r="I385" s="63">
        <f t="shared" ref="I385:I393" si="21">+L385</f>
        <v>297563.06652923074</v>
      </c>
      <c r="J385" s="60"/>
      <c r="K385" s="60">
        <v>216324</v>
      </c>
      <c r="L385" s="64">
        <f t="shared" ref="L385:L393" si="22">+((M385*N385)+(O385*P385)+(Q385*R385))*(1+S385/100)</f>
        <v>297563.06652923074</v>
      </c>
      <c r="M385" s="82">
        <v>0.3</v>
      </c>
      <c r="N385" s="66">
        <v>991876.88843076921</v>
      </c>
      <c r="O385" s="82"/>
      <c r="P385" s="66"/>
      <c r="Q385" s="66"/>
      <c r="R385" s="66"/>
      <c r="S385" s="66"/>
    </row>
    <row r="386" spans="1:19" ht="16.5" hidden="1" customHeight="1">
      <c r="A386" s="85" t="s">
        <v>934</v>
      </c>
      <c r="B386" s="78" t="s">
        <v>935</v>
      </c>
      <c r="C386" s="81" t="s">
        <v>923</v>
      </c>
      <c r="D386" s="92">
        <v>119729</v>
      </c>
      <c r="E386" s="79" t="s">
        <v>646</v>
      </c>
      <c r="F386" s="76">
        <v>25.63</v>
      </c>
      <c r="G386" s="79">
        <v>219135</v>
      </c>
      <c r="H386" s="63">
        <f t="shared" si="20"/>
        <v>5616430.0499999998</v>
      </c>
      <c r="I386" s="63">
        <f t="shared" si="21"/>
        <v>495938.4442153846</v>
      </c>
      <c r="J386" s="60"/>
      <c r="K386" s="60">
        <v>360541</v>
      </c>
      <c r="L386" s="64">
        <f t="shared" si="22"/>
        <v>495938.4442153846</v>
      </c>
      <c r="M386" s="65">
        <v>0.5</v>
      </c>
      <c r="N386" s="66">
        <f>+N385</f>
        <v>991876.88843076921</v>
      </c>
      <c r="O386" s="66"/>
      <c r="P386" s="66"/>
      <c r="Q386" s="66"/>
      <c r="R386" s="66"/>
      <c r="S386" s="66"/>
    </row>
    <row r="387" spans="1:19" ht="16.5" hidden="1" customHeight="1">
      <c r="A387" s="85" t="s">
        <v>936</v>
      </c>
      <c r="B387" s="78" t="s">
        <v>937</v>
      </c>
      <c r="C387" s="81" t="s">
        <v>923</v>
      </c>
      <c r="D387" s="92">
        <v>179594</v>
      </c>
      <c r="E387" s="79" t="s">
        <v>646</v>
      </c>
      <c r="F387" s="76">
        <v>43.52</v>
      </c>
      <c r="G387" s="79">
        <v>219135</v>
      </c>
      <c r="H387" s="63">
        <f t="shared" si="20"/>
        <v>9536755.2000000011</v>
      </c>
      <c r="I387" s="63">
        <f t="shared" si="21"/>
        <v>694313.82190153841</v>
      </c>
      <c r="J387" s="60"/>
      <c r="K387" s="60">
        <v>504757</v>
      </c>
      <c r="L387" s="64">
        <f t="shared" si="22"/>
        <v>694313.82190153841</v>
      </c>
      <c r="M387" s="65">
        <v>0.7</v>
      </c>
      <c r="N387" s="66">
        <f t="shared" ref="N387:N393" si="23">+N386</f>
        <v>991876.88843076921</v>
      </c>
      <c r="O387" s="66"/>
      <c r="P387" s="66"/>
      <c r="Q387" s="66"/>
      <c r="R387" s="66"/>
      <c r="S387" s="66"/>
    </row>
    <row r="388" spans="1:19" ht="16.5" hidden="1" customHeight="1">
      <c r="A388" s="85" t="s">
        <v>938</v>
      </c>
      <c r="B388" s="78" t="s">
        <v>939</v>
      </c>
      <c r="C388" s="81" t="s">
        <v>923</v>
      </c>
      <c r="D388" s="92">
        <v>239459</v>
      </c>
      <c r="E388" s="79" t="s">
        <v>646</v>
      </c>
      <c r="F388" s="76">
        <v>77.48</v>
      </c>
      <c r="G388" s="79">
        <v>219135</v>
      </c>
      <c r="H388" s="63">
        <f t="shared" si="20"/>
        <v>16978579.800000001</v>
      </c>
      <c r="I388" s="63">
        <f t="shared" si="21"/>
        <v>991876.88843076921</v>
      </c>
      <c r="J388" s="60"/>
      <c r="K388" s="60">
        <v>721081</v>
      </c>
      <c r="L388" s="64">
        <f t="shared" si="22"/>
        <v>991876.88843076921</v>
      </c>
      <c r="M388" s="65">
        <v>1</v>
      </c>
      <c r="N388" s="66">
        <f t="shared" si="23"/>
        <v>991876.88843076921</v>
      </c>
      <c r="O388" s="66"/>
      <c r="P388" s="66"/>
      <c r="Q388" s="66"/>
      <c r="R388" s="66"/>
      <c r="S388" s="66"/>
    </row>
    <row r="389" spans="1:19" ht="16.5" hidden="1" customHeight="1">
      <c r="A389" s="85" t="s">
        <v>940</v>
      </c>
      <c r="B389" s="78" t="s">
        <v>941</v>
      </c>
      <c r="C389" s="81" t="s">
        <v>142</v>
      </c>
      <c r="D389" s="92">
        <v>89797</v>
      </c>
      <c r="E389" s="79" t="s">
        <v>646</v>
      </c>
      <c r="F389" s="76">
        <v>10.61</v>
      </c>
      <c r="G389" s="79">
        <v>219135</v>
      </c>
      <c r="H389" s="63">
        <f t="shared" si="20"/>
        <v>2325022.35</v>
      </c>
      <c r="I389" s="63">
        <f t="shared" si="21"/>
        <v>119025.2266116923</v>
      </c>
      <c r="J389" s="60"/>
      <c r="K389" s="60">
        <v>126325</v>
      </c>
      <c r="L389" s="64">
        <f t="shared" si="22"/>
        <v>119025.2266116923</v>
      </c>
      <c r="M389" s="65">
        <v>0.12</v>
      </c>
      <c r="N389" s="66">
        <f t="shared" si="23"/>
        <v>991876.88843076921</v>
      </c>
      <c r="O389" s="66"/>
      <c r="P389" s="66"/>
      <c r="Q389" s="66"/>
      <c r="R389" s="66"/>
      <c r="S389" s="66"/>
    </row>
    <row r="390" spans="1:19" ht="16.5" hidden="1" customHeight="1">
      <c r="A390" s="85" t="s">
        <v>942</v>
      </c>
      <c r="B390" s="78" t="s">
        <v>943</v>
      </c>
      <c r="C390" s="81" t="s">
        <v>142</v>
      </c>
      <c r="D390" s="92">
        <v>119729</v>
      </c>
      <c r="E390" s="79" t="s">
        <v>646</v>
      </c>
      <c r="F390" s="76">
        <v>19.82</v>
      </c>
      <c r="G390" s="79">
        <v>219135</v>
      </c>
      <c r="H390" s="63">
        <f t="shared" si="20"/>
        <v>4343255.7</v>
      </c>
      <c r="I390" s="63">
        <f t="shared" si="21"/>
        <v>238050.4532233846</v>
      </c>
      <c r="J390" s="60"/>
      <c r="K390" s="60">
        <v>252650</v>
      </c>
      <c r="L390" s="64">
        <f t="shared" si="22"/>
        <v>238050.4532233846</v>
      </c>
      <c r="M390" s="65">
        <v>0.24</v>
      </c>
      <c r="N390" s="66">
        <f t="shared" si="23"/>
        <v>991876.88843076921</v>
      </c>
      <c r="O390" s="66"/>
      <c r="P390" s="66"/>
      <c r="Q390" s="66"/>
      <c r="R390" s="66"/>
      <c r="S390" s="66"/>
    </row>
    <row r="391" spans="1:19" ht="16.5" hidden="1" customHeight="1">
      <c r="A391" s="85" t="s">
        <v>944</v>
      </c>
      <c r="B391" s="78" t="s">
        <v>945</v>
      </c>
      <c r="C391" s="81" t="s">
        <v>142</v>
      </c>
      <c r="D391" s="92">
        <v>119729</v>
      </c>
      <c r="E391" s="79" t="s">
        <v>646</v>
      </c>
      <c r="F391" s="76">
        <v>24.35</v>
      </c>
      <c r="G391" s="79">
        <v>219135</v>
      </c>
      <c r="H391" s="63">
        <f t="shared" si="20"/>
        <v>5335937.25</v>
      </c>
      <c r="I391" s="63">
        <f t="shared" si="21"/>
        <v>396750.75537230773</v>
      </c>
      <c r="J391" s="60"/>
      <c r="K391" s="60">
        <v>421080</v>
      </c>
      <c r="L391" s="64">
        <f t="shared" si="22"/>
        <v>396750.75537230773</v>
      </c>
      <c r="M391" s="65">
        <v>0.4</v>
      </c>
      <c r="N391" s="66">
        <f t="shared" si="23"/>
        <v>991876.88843076921</v>
      </c>
      <c r="O391" s="66"/>
      <c r="P391" s="66"/>
      <c r="Q391" s="66"/>
      <c r="R391" s="66"/>
      <c r="S391" s="66"/>
    </row>
    <row r="392" spans="1:19" ht="16.5" hidden="1" customHeight="1">
      <c r="A392" s="85" t="s">
        <v>946</v>
      </c>
      <c r="B392" s="78" t="s">
        <v>947</v>
      </c>
      <c r="C392" s="81" t="s">
        <v>142</v>
      </c>
      <c r="D392" s="92">
        <v>119729</v>
      </c>
      <c r="E392" s="79" t="s">
        <v>646</v>
      </c>
      <c r="F392" s="76">
        <v>41.34</v>
      </c>
      <c r="G392" s="79">
        <v>219135</v>
      </c>
      <c r="H392" s="63">
        <f t="shared" si="20"/>
        <v>9059040.9000000004</v>
      </c>
      <c r="I392" s="63">
        <f t="shared" si="21"/>
        <v>555451.05752123077</v>
      </c>
      <c r="J392" s="60"/>
      <c r="K392" s="60">
        <v>589518</v>
      </c>
      <c r="L392" s="64">
        <f t="shared" si="22"/>
        <v>555451.05752123077</v>
      </c>
      <c r="M392" s="65">
        <v>0.56000000000000005</v>
      </c>
      <c r="N392" s="66">
        <f t="shared" si="23"/>
        <v>991876.88843076921</v>
      </c>
      <c r="O392" s="66"/>
      <c r="P392" s="66"/>
      <c r="Q392" s="66"/>
      <c r="R392" s="66"/>
      <c r="S392" s="66"/>
    </row>
    <row r="393" spans="1:19" ht="16.5" hidden="1" customHeight="1">
      <c r="A393" s="85" t="s">
        <v>948</v>
      </c>
      <c r="B393" s="78" t="s">
        <v>949</v>
      </c>
      <c r="C393" s="81" t="s">
        <v>142</v>
      </c>
      <c r="D393" s="92">
        <v>239459</v>
      </c>
      <c r="E393" s="79" t="s">
        <v>646</v>
      </c>
      <c r="F393" s="76">
        <v>73.61</v>
      </c>
      <c r="G393" s="79">
        <v>219135</v>
      </c>
      <c r="H393" s="63">
        <f t="shared" si="20"/>
        <v>16130527.35</v>
      </c>
      <c r="I393" s="63">
        <f t="shared" si="21"/>
        <v>793501.51074461546</v>
      </c>
      <c r="J393" s="60"/>
      <c r="K393" s="60">
        <v>842168</v>
      </c>
      <c r="L393" s="64">
        <f t="shared" si="22"/>
        <v>793501.51074461546</v>
      </c>
      <c r="M393" s="65">
        <v>0.8</v>
      </c>
      <c r="N393" s="66">
        <f t="shared" si="23"/>
        <v>991876.88843076921</v>
      </c>
      <c r="O393" s="66"/>
      <c r="P393" s="66"/>
      <c r="Q393" s="66"/>
      <c r="R393" s="66"/>
      <c r="S393" s="66"/>
    </row>
    <row r="394" spans="1:19" ht="16.5" hidden="1" customHeight="1">
      <c r="A394" s="102"/>
      <c r="B394" s="55" t="s">
        <v>950</v>
      </c>
      <c r="C394" s="81"/>
      <c r="D394" s="92"/>
      <c r="E394" s="98"/>
      <c r="F394" s="94"/>
      <c r="G394" s="98"/>
      <c r="H394" s="63"/>
      <c r="I394" s="63">
        <f t="shared" si="18"/>
        <v>0</v>
      </c>
      <c r="J394" s="60"/>
      <c r="K394" s="60"/>
      <c r="L394" s="64"/>
      <c r="M394" s="65"/>
      <c r="N394" s="66"/>
      <c r="O394" s="66"/>
      <c r="P394" s="66"/>
      <c r="Q394" s="66"/>
      <c r="R394" s="66"/>
      <c r="S394" s="66"/>
    </row>
    <row r="395" spans="1:19" ht="16.5" hidden="1" customHeight="1">
      <c r="A395" s="85" t="s">
        <v>951</v>
      </c>
      <c r="B395" s="78" t="s">
        <v>952</v>
      </c>
      <c r="C395" s="81" t="s">
        <v>142</v>
      </c>
      <c r="D395" s="92">
        <v>89797</v>
      </c>
      <c r="E395" s="79" t="s">
        <v>646</v>
      </c>
      <c r="F395" s="76">
        <v>5.85</v>
      </c>
      <c r="G395" s="79">
        <v>219135</v>
      </c>
      <c r="H395" s="63">
        <f t="shared" ref="H395:H405" si="24">+G395*F395</f>
        <v>1281939.75</v>
      </c>
      <c r="I395" s="63">
        <f t="shared" si="18"/>
        <v>103298.272</v>
      </c>
      <c r="J395" s="60"/>
      <c r="K395" s="60">
        <v>69608</v>
      </c>
      <c r="L395" s="64"/>
      <c r="M395" s="65"/>
      <c r="N395" s="66"/>
      <c r="O395" s="66"/>
      <c r="P395" s="66"/>
      <c r="Q395" s="66"/>
      <c r="R395" s="66"/>
      <c r="S395" s="66"/>
    </row>
    <row r="396" spans="1:19" ht="16.5" hidden="1" customHeight="1">
      <c r="A396" s="85" t="s">
        <v>953</v>
      </c>
      <c r="B396" s="78" t="s">
        <v>954</v>
      </c>
      <c r="C396" s="81" t="s">
        <v>142</v>
      </c>
      <c r="D396" s="92">
        <v>119729</v>
      </c>
      <c r="E396" s="79" t="s">
        <v>646</v>
      </c>
      <c r="F396" s="76">
        <v>10.92</v>
      </c>
      <c r="G396" s="79">
        <v>219135</v>
      </c>
      <c r="H396" s="63">
        <f t="shared" si="24"/>
        <v>2392954.2000000002</v>
      </c>
      <c r="I396" s="63">
        <f t="shared" si="18"/>
        <v>206596.54399999999</v>
      </c>
      <c r="J396" s="60"/>
      <c r="K396" s="60">
        <v>139216</v>
      </c>
      <c r="L396" s="64"/>
      <c r="M396" s="65"/>
      <c r="N396" s="66"/>
      <c r="O396" s="66"/>
      <c r="P396" s="66"/>
      <c r="Q396" s="66"/>
      <c r="R396" s="66"/>
      <c r="S396" s="66"/>
    </row>
    <row r="397" spans="1:19" ht="16.5" hidden="1" customHeight="1">
      <c r="A397" s="85" t="s">
        <v>955</v>
      </c>
      <c r="B397" s="78" t="s">
        <v>956</v>
      </c>
      <c r="C397" s="81" t="s">
        <v>142</v>
      </c>
      <c r="D397" s="92">
        <v>119729</v>
      </c>
      <c r="E397" s="79" t="s">
        <v>646</v>
      </c>
      <c r="F397" s="76">
        <v>13.42</v>
      </c>
      <c r="G397" s="79">
        <v>219135</v>
      </c>
      <c r="H397" s="63">
        <f t="shared" si="24"/>
        <v>2940791.7</v>
      </c>
      <c r="I397" s="63">
        <f t="shared" si="18"/>
        <v>344326.58399999997</v>
      </c>
      <c r="J397" s="60"/>
      <c r="K397" s="60">
        <v>232026</v>
      </c>
      <c r="L397" s="64"/>
      <c r="M397" s="65"/>
      <c r="N397" s="66"/>
      <c r="O397" s="66"/>
      <c r="P397" s="66"/>
      <c r="Q397" s="66"/>
      <c r="R397" s="66"/>
      <c r="S397" s="66"/>
    </row>
    <row r="398" spans="1:19" ht="16.5" hidden="1" customHeight="1">
      <c r="A398" s="85" t="s">
        <v>957</v>
      </c>
      <c r="B398" s="78" t="s">
        <v>958</v>
      </c>
      <c r="C398" s="81" t="s">
        <v>142</v>
      </c>
      <c r="D398" s="92">
        <v>119729</v>
      </c>
      <c r="E398" s="79" t="s">
        <v>646</v>
      </c>
      <c r="F398" s="76">
        <v>22.78</v>
      </c>
      <c r="G398" s="79">
        <v>219135</v>
      </c>
      <c r="H398" s="63">
        <f t="shared" si="24"/>
        <v>4991895.3</v>
      </c>
      <c r="I398" s="63">
        <f t="shared" si="18"/>
        <v>482056.62400000001</v>
      </c>
      <c r="J398" s="60"/>
      <c r="K398" s="60">
        <v>324836</v>
      </c>
      <c r="L398" s="64"/>
      <c r="M398" s="65"/>
      <c r="N398" s="66"/>
      <c r="O398" s="66"/>
      <c r="P398" s="66"/>
      <c r="Q398" s="66"/>
      <c r="R398" s="66"/>
      <c r="S398" s="66"/>
    </row>
    <row r="399" spans="1:19" ht="16.5" hidden="1" customHeight="1">
      <c r="A399" s="85" t="s">
        <v>959</v>
      </c>
      <c r="B399" s="78" t="s">
        <v>960</v>
      </c>
      <c r="C399" s="81" t="s">
        <v>142</v>
      </c>
      <c r="D399" s="92">
        <v>239459</v>
      </c>
      <c r="E399" s="79" t="s">
        <v>646</v>
      </c>
      <c r="F399" s="76">
        <v>40.56</v>
      </c>
      <c r="G399" s="79">
        <v>219135</v>
      </c>
      <c r="H399" s="63">
        <f t="shared" si="24"/>
        <v>8888115.5999999996</v>
      </c>
      <c r="I399" s="63">
        <f t="shared" si="18"/>
        <v>958741.16799999995</v>
      </c>
      <c r="J399" s="60"/>
      <c r="K399" s="60">
        <v>646052</v>
      </c>
      <c r="L399" s="64"/>
      <c r="M399" s="65"/>
      <c r="N399" s="66"/>
      <c r="O399" s="66"/>
      <c r="P399" s="66"/>
      <c r="Q399" s="66"/>
      <c r="R399" s="66"/>
      <c r="S399" s="66"/>
    </row>
    <row r="400" spans="1:19" ht="16.5" hidden="1" customHeight="1">
      <c r="A400" s="102" t="s">
        <v>961</v>
      </c>
      <c r="B400" s="55" t="s">
        <v>962</v>
      </c>
      <c r="C400" s="81"/>
      <c r="D400" s="92"/>
      <c r="E400" s="98"/>
      <c r="F400" s="94"/>
      <c r="G400" s="98"/>
      <c r="H400" s="63">
        <f>IF(G400&lt;&gt;0,ROUND(G400*F400,0), )</f>
        <v>0</v>
      </c>
      <c r="I400" s="63">
        <f t="shared" si="18"/>
        <v>0</v>
      </c>
      <c r="J400" s="60"/>
      <c r="K400" s="60"/>
      <c r="L400" s="64"/>
      <c r="M400" s="65"/>
      <c r="N400" s="66"/>
      <c r="O400" s="66"/>
      <c r="P400" s="66"/>
      <c r="Q400" s="66"/>
      <c r="R400" s="66"/>
      <c r="S400" s="66"/>
    </row>
    <row r="401" spans="1:19" ht="16.5" hidden="1" customHeight="1">
      <c r="A401" s="85" t="s">
        <v>963</v>
      </c>
      <c r="B401" s="78" t="s">
        <v>964</v>
      </c>
      <c r="C401" s="81" t="s">
        <v>818</v>
      </c>
      <c r="D401" s="92">
        <v>11730</v>
      </c>
      <c r="E401" s="79" t="s">
        <v>807</v>
      </c>
      <c r="F401" s="76">
        <v>12.29</v>
      </c>
      <c r="G401" s="79">
        <v>236500</v>
      </c>
      <c r="H401" s="63">
        <f t="shared" si="24"/>
        <v>2906585</v>
      </c>
      <c r="I401" s="63">
        <f t="shared" si="18"/>
        <v>0</v>
      </c>
      <c r="J401" s="60"/>
      <c r="K401" s="60"/>
      <c r="L401" s="64"/>
      <c r="M401" s="65"/>
      <c r="N401" s="66"/>
      <c r="O401" s="66"/>
      <c r="P401" s="66"/>
      <c r="Q401" s="66"/>
      <c r="R401" s="66"/>
      <c r="S401" s="66"/>
    </row>
    <row r="402" spans="1:19" ht="16.5" hidden="1" customHeight="1">
      <c r="A402" s="85" t="s">
        <v>965</v>
      </c>
      <c r="B402" s="78" t="s">
        <v>966</v>
      </c>
      <c r="C402" s="81" t="s">
        <v>818</v>
      </c>
      <c r="D402" s="92">
        <v>23440</v>
      </c>
      <c r="E402" s="79" t="s">
        <v>807</v>
      </c>
      <c r="F402" s="76">
        <v>12.98</v>
      </c>
      <c r="G402" s="79">
        <v>236500</v>
      </c>
      <c r="H402" s="63">
        <f t="shared" si="24"/>
        <v>3069770</v>
      </c>
      <c r="I402" s="63">
        <f t="shared" si="18"/>
        <v>0</v>
      </c>
      <c r="J402" s="60"/>
      <c r="K402" s="60"/>
      <c r="L402" s="64"/>
      <c r="M402" s="65"/>
      <c r="N402" s="66"/>
      <c r="O402" s="66"/>
      <c r="P402" s="66"/>
      <c r="Q402" s="66"/>
      <c r="R402" s="66"/>
      <c r="S402" s="66"/>
    </row>
    <row r="403" spans="1:19" ht="16.5" hidden="1" customHeight="1">
      <c r="A403" s="85" t="s">
        <v>967</v>
      </c>
      <c r="B403" s="78" t="s">
        <v>968</v>
      </c>
      <c r="C403" s="81" t="s">
        <v>818</v>
      </c>
      <c r="D403" s="92">
        <v>25398</v>
      </c>
      <c r="E403" s="79"/>
      <c r="F403" s="76"/>
      <c r="G403" s="79"/>
      <c r="H403" s="63">
        <v>1425358</v>
      </c>
      <c r="I403" s="63">
        <f t="shared" si="18"/>
        <v>0</v>
      </c>
      <c r="J403" s="60"/>
      <c r="K403" s="60"/>
      <c r="L403" s="64"/>
      <c r="M403" s="65"/>
      <c r="N403" s="66"/>
      <c r="O403" s="66"/>
      <c r="P403" s="66"/>
      <c r="Q403" s="66"/>
      <c r="R403" s="66"/>
      <c r="S403" s="66"/>
    </row>
    <row r="404" spans="1:19" ht="16.5" hidden="1" customHeight="1">
      <c r="A404" s="85" t="s">
        <v>969</v>
      </c>
      <c r="B404" s="78" t="s">
        <v>970</v>
      </c>
      <c r="C404" s="81" t="s">
        <v>818</v>
      </c>
      <c r="D404" s="92">
        <v>11730</v>
      </c>
      <c r="E404" s="79" t="s">
        <v>807</v>
      </c>
      <c r="F404" s="76">
        <v>9.0299999999999994</v>
      </c>
      <c r="G404" s="79">
        <v>236500</v>
      </c>
      <c r="H404" s="63">
        <f t="shared" si="24"/>
        <v>2135595</v>
      </c>
      <c r="I404" s="63">
        <f t="shared" si="18"/>
        <v>25351.171999999999</v>
      </c>
      <c r="J404" s="60"/>
      <c r="K404" s="60">
        <v>17083</v>
      </c>
      <c r="L404" s="64"/>
      <c r="M404" s="65"/>
      <c r="N404" s="66"/>
      <c r="O404" s="66"/>
      <c r="P404" s="66"/>
      <c r="Q404" s="66"/>
      <c r="R404" s="66"/>
      <c r="S404" s="66"/>
    </row>
    <row r="405" spans="1:19" ht="16.5" hidden="1" customHeight="1">
      <c r="A405" s="85" t="s">
        <v>971</v>
      </c>
      <c r="B405" s="78" t="s">
        <v>972</v>
      </c>
      <c r="C405" s="81" t="s">
        <v>818</v>
      </c>
      <c r="D405" s="92">
        <v>17585</v>
      </c>
      <c r="E405" s="79" t="s">
        <v>807</v>
      </c>
      <c r="F405" s="76">
        <v>10.38</v>
      </c>
      <c r="G405" s="79">
        <v>236500</v>
      </c>
      <c r="H405" s="63">
        <f t="shared" si="24"/>
        <v>2454870</v>
      </c>
      <c r="I405" s="63">
        <f t="shared" si="18"/>
        <v>28731.723999999998</v>
      </c>
      <c r="J405" s="60"/>
      <c r="K405" s="60">
        <v>19361</v>
      </c>
      <c r="L405" s="64"/>
      <c r="M405" s="65"/>
      <c r="N405" s="66"/>
      <c r="O405" s="66"/>
      <c r="P405" s="66"/>
      <c r="Q405" s="66"/>
      <c r="R405" s="66"/>
      <c r="S405" s="66"/>
    </row>
    <row r="406" spans="1:19" ht="16.5" hidden="1" customHeight="1">
      <c r="A406" s="85" t="s">
        <v>973</v>
      </c>
      <c r="B406" s="78" t="s">
        <v>974</v>
      </c>
      <c r="C406" s="81" t="s">
        <v>818</v>
      </c>
      <c r="D406" s="92">
        <v>23460</v>
      </c>
      <c r="E406" s="79"/>
      <c r="F406" s="76"/>
      <c r="G406" s="79"/>
      <c r="H406" s="63">
        <v>1139887</v>
      </c>
      <c r="I406" s="63">
        <f t="shared" si="18"/>
        <v>33801.067999999999</v>
      </c>
      <c r="J406" s="104"/>
      <c r="K406" s="60">
        <v>22777</v>
      </c>
      <c r="L406" s="64"/>
      <c r="M406" s="65"/>
      <c r="N406" s="66"/>
      <c r="O406" s="66"/>
      <c r="P406" s="66"/>
      <c r="Q406" s="66"/>
      <c r="R406" s="66"/>
      <c r="S406" s="66"/>
    </row>
    <row r="407" spans="1:19" ht="16.5" hidden="1" customHeight="1">
      <c r="A407" s="102" t="s">
        <v>975</v>
      </c>
      <c r="B407" s="55" t="s">
        <v>976</v>
      </c>
      <c r="C407" s="81"/>
      <c r="D407" s="92"/>
      <c r="E407" s="98"/>
      <c r="F407" s="94"/>
      <c r="G407" s="98"/>
      <c r="H407" s="63"/>
      <c r="I407" s="63">
        <f t="shared" si="18"/>
        <v>0</v>
      </c>
      <c r="J407" s="60"/>
      <c r="K407" s="60"/>
      <c r="L407" s="64"/>
      <c r="M407" s="65"/>
      <c r="N407" s="66"/>
      <c r="O407" s="66"/>
      <c r="P407" s="66"/>
      <c r="Q407" s="66"/>
      <c r="R407" s="66"/>
      <c r="S407" s="66"/>
    </row>
    <row r="408" spans="1:19" ht="16.5" hidden="1" customHeight="1">
      <c r="A408" s="102"/>
      <c r="B408" s="55" t="s">
        <v>977</v>
      </c>
      <c r="C408" s="81"/>
      <c r="D408" s="92"/>
      <c r="E408" s="98"/>
      <c r="F408" s="94"/>
      <c r="G408" s="98"/>
      <c r="H408" s="63"/>
      <c r="I408" s="63">
        <f t="shared" si="18"/>
        <v>0</v>
      </c>
      <c r="J408" s="60"/>
      <c r="K408" s="60"/>
      <c r="L408" s="64"/>
      <c r="M408" s="65"/>
      <c r="N408" s="66"/>
      <c r="O408" s="66"/>
      <c r="P408" s="66"/>
      <c r="Q408" s="66"/>
      <c r="R408" s="66"/>
      <c r="S408" s="66"/>
    </row>
    <row r="409" spans="1:19" ht="16.5" hidden="1" customHeight="1">
      <c r="A409" s="85" t="s">
        <v>978</v>
      </c>
      <c r="B409" s="78" t="s">
        <v>979</v>
      </c>
      <c r="C409" s="81" t="s">
        <v>142</v>
      </c>
      <c r="D409" s="92">
        <v>17400</v>
      </c>
      <c r="E409" s="79" t="s">
        <v>807</v>
      </c>
      <c r="F409" s="76">
        <v>4.6100000000000003</v>
      </c>
      <c r="G409" s="79">
        <v>236500</v>
      </c>
      <c r="H409" s="63">
        <f t="shared" ref="H409:H416" si="25">+G409*F409</f>
        <v>1090265</v>
      </c>
      <c r="I409" s="63">
        <f t="shared" si="18"/>
        <v>0</v>
      </c>
      <c r="J409" s="60"/>
      <c r="K409" s="60"/>
      <c r="L409" s="64"/>
      <c r="M409" s="65"/>
      <c r="N409" s="66"/>
      <c r="O409" s="66"/>
      <c r="P409" s="66"/>
      <c r="Q409" s="66"/>
      <c r="R409" s="66"/>
      <c r="S409" s="66"/>
    </row>
    <row r="410" spans="1:19" ht="16.5" hidden="1" customHeight="1">
      <c r="A410" s="85" t="s">
        <v>980</v>
      </c>
      <c r="B410" s="78" t="s">
        <v>981</v>
      </c>
      <c r="C410" s="81" t="s">
        <v>142</v>
      </c>
      <c r="D410" s="92">
        <v>17400</v>
      </c>
      <c r="E410" s="79" t="s">
        <v>807</v>
      </c>
      <c r="F410" s="76">
        <v>4.96</v>
      </c>
      <c r="G410" s="79">
        <v>236500</v>
      </c>
      <c r="H410" s="63">
        <f t="shared" si="25"/>
        <v>1173040</v>
      </c>
      <c r="I410" s="63">
        <f t="shared" si="18"/>
        <v>0</v>
      </c>
      <c r="J410" s="60"/>
      <c r="K410" s="60"/>
      <c r="L410" s="64"/>
      <c r="M410" s="65"/>
      <c r="N410" s="66"/>
      <c r="O410" s="66"/>
      <c r="P410" s="66"/>
      <c r="Q410" s="66"/>
      <c r="R410" s="66"/>
      <c r="S410" s="66"/>
    </row>
    <row r="411" spans="1:19" ht="16.5" hidden="1" customHeight="1">
      <c r="A411" s="85" t="s">
        <v>982</v>
      </c>
      <c r="B411" s="78" t="s">
        <v>983</v>
      </c>
      <c r="C411" s="81" t="s">
        <v>142</v>
      </c>
      <c r="D411" s="92">
        <v>17400</v>
      </c>
      <c r="E411" s="79" t="s">
        <v>807</v>
      </c>
      <c r="F411" s="76">
        <v>5.31</v>
      </c>
      <c r="G411" s="79">
        <v>236500</v>
      </c>
      <c r="H411" s="63">
        <f t="shared" si="25"/>
        <v>1255815</v>
      </c>
      <c r="I411" s="63">
        <f t="shared" ref="I411:I474" si="26">+K411*$I$4</f>
        <v>0</v>
      </c>
      <c r="J411" s="60"/>
      <c r="K411" s="60"/>
      <c r="L411" s="64"/>
      <c r="M411" s="65"/>
      <c r="N411" s="66"/>
      <c r="O411" s="66"/>
      <c r="P411" s="66"/>
      <c r="Q411" s="66"/>
      <c r="R411" s="66"/>
      <c r="S411" s="66"/>
    </row>
    <row r="412" spans="1:19" ht="16.5" hidden="1" customHeight="1">
      <c r="A412" s="85" t="s">
        <v>984</v>
      </c>
      <c r="B412" s="78" t="s">
        <v>985</v>
      </c>
      <c r="C412" s="81" t="s">
        <v>142</v>
      </c>
      <c r="D412" s="92">
        <v>17400</v>
      </c>
      <c r="E412" s="79" t="s">
        <v>807</v>
      </c>
      <c r="F412" s="76">
        <v>6.61</v>
      </c>
      <c r="G412" s="79">
        <v>236500</v>
      </c>
      <c r="H412" s="63">
        <f t="shared" si="25"/>
        <v>1563265</v>
      </c>
      <c r="I412" s="63">
        <f t="shared" si="26"/>
        <v>0</v>
      </c>
      <c r="J412" s="60"/>
      <c r="K412" s="60"/>
      <c r="L412" s="64"/>
      <c r="M412" s="65"/>
      <c r="N412" s="66"/>
      <c r="O412" s="66"/>
      <c r="P412" s="66"/>
      <c r="Q412" s="66"/>
      <c r="R412" s="66"/>
      <c r="S412" s="66"/>
    </row>
    <row r="413" spans="1:19" ht="16.5" hidden="1" customHeight="1">
      <c r="A413" s="85" t="s">
        <v>986</v>
      </c>
      <c r="B413" s="78" t="s">
        <v>987</v>
      </c>
      <c r="C413" s="81" t="s">
        <v>142</v>
      </c>
      <c r="D413" s="92">
        <v>20335</v>
      </c>
      <c r="E413" s="79" t="s">
        <v>807</v>
      </c>
      <c r="F413" s="76">
        <v>7.19</v>
      </c>
      <c r="G413" s="79">
        <v>236500</v>
      </c>
      <c r="H413" s="63">
        <f t="shared" si="25"/>
        <v>1700435</v>
      </c>
      <c r="I413" s="63">
        <f t="shared" si="26"/>
        <v>0</v>
      </c>
      <c r="J413" s="60"/>
      <c r="K413" s="60"/>
      <c r="L413" s="64"/>
      <c r="M413" s="65"/>
      <c r="N413" s="66"/>
      <c r="O413" s="66"/>
      <c r="P413" s="66"/>
      <c r="Q413" s="66"/>
      <c r="R413" s="66"/>
      <c r="S413" s="66"/>
    </row>
    <row r="414" spans="1:19" ht="16.5" hidden="1" customHeight="1">
      <c r="A414" s="85" t="s">
        <v>988</v>
      </c>
      <c r="B414" s="78" t="s">
        <v>989</v>
      </c>
      <c r="C414" s="81" t="s">
        <v>142</v>
      </c>
      <c r="D414" s="92">
        <v>20335</v>
      </c>
      <c r="E414" s="79" t="s">
        <v>807</v>
      </c>
      <c r="F414" s="76">
        <v>9.3699999999999992</v>
      </c>
      <c r="G414" s="79">
        <v>236500</v>
      </c>
      <c r="H414" s="63">
        <f t="shared" si="25"/>
        <v>2216005</v>
      </c>
      <c r="I414" s="63">
        <f t="shared" si="26"/>
        <v>0</v>
      </c>
      <c r="J414" s="60"/>
      <c r="K414" s="60"/>
      <c r="L414" s="64"/>
      <c r="M414" s="65"/>
      <c r="N414" s="66"/>
      <c r="O414" s="66"/>
      <c r="P414" s="66"/>
      <c r="Q414" s="66"/>
      <c r="R414" s="66"/>
      <c r="S414" s="66"/>
    </row>
    <row r="415" spans="1:19" ht="16.5" hidden="1" customHeight="1">
      <c r="A415" s="85" t="s">
        <v>990</v>
      </c>
      <c r="B415" s="78" t="s">
        <v>991</v>
      </c>
      <c r="C415" s="81" t="s">
        <v>142</v>
      </c>
      <c r="D415" s="92">
        <v>20335</v>
      </c>
      <c r="E415" s="79" t="s">
        <v>807</v>
      </c>
      <c r="F415" s="76">
        <v>10.92</v>
      </c>
      <c r="G415" s="79">
        <v>236500</v>
      </c>
      <c r="H415" s="63">
        <f t="shared" si="25"/>
        <v>2582580</v>
      </c>
      <c r="I415" s="63">
        <f t="shared" si="26"/>
        <v>0</v>
      </c>
      <c r="J415" s="60"/>
      <c r="K415" s="60"/>
      <c r="L415" s="64"/>
      <c r="M415" s="65"/>
      <c r="N415" s="66"/>
      <c r="O415" s="66"/>
      <c r="P415" s="66"/>
      <c r="Q415" s="66"/>
      <c r="R415" s="66"/>
      <c r="S415" s="66"/>
    </row>
    <row r="416" spans="1:19" ht="16.5" hidden="1" customHeight="1">
      <c r="A416" s="85" t="s">
        <v>992</v>
      </c>
      <c r="B416" s="78" t="s">
        <v>993</v>
      </c>
      <c r="C416" s="81" t="s">
        <v>142</v>
      </c>
      <c r="D416" s="92">
        <v>20335</v>
      </c>
      <c r="E416" s="79" t="s">
        <v>807</v>
      </c>
      <c r="F416" s="76">
        <v>11.92</v>
      </c>
      <c r="G416" s="79">
        <v>236500</v>
      </c>
      <c r="H416" s="63">
        <f t="shared" si="25"/>
        <v>2819080</v>
      </c>
      <c r="I416" s="63">
        <f t="shared" si="26"/>
        <v>0</v>
      </c>
      <c r="J416" s="60"/>
      <c r="K416" s="60"/>
      <c r="L416" s="64"/>
      <c r="M416" s="65"/>
      <c r="N416" s="66"/>
      <c r="O416" s="66"/>
      <c r="P416" s="66"/>
      <c r="Q416" s="66"/>
      <c r="R416" s="66"/>
      <c r="S416" s="66"/>
    </row>
    <row r="417" spans="1:19" ht="16.5" hidden="1" customHeight="1">
      <c r="A417" s="102"/>
      <c r="B417" s="55" t="s">
        <v>994</v>
      </c>
      <c r="C417" s="81"/>
      <c r="D417" s="92"/>
      <c r="E417" s="98"/>
      <c r="F417" s="94"/>
      <c r="G417" s="98"/>
      <c r="H417" s="63"/>
      <c r="I417" s="63">
        <f t="shared" si="26"/>
        <v>0</v>
      </c>
      <c r="J417" s="60"/>
      <c r="K417" s="60"/>
      <c r="L417" s="64"/>
      <c r="M417" s="65"/>
      <c r="N417" s="66"/>
      <c r="O417" s="66"/>
      <c r="P417" s="66"/>
      <c r="Q417" s="66"/>
      <c r="R417" s="66"/>
      <c r="S417" s="66"/>
    </row>
    <row r="418" spans="1:19" s="150" customFormat="1" ht="16.5" customHeight="1">
      <c r="A418" s="151" t="s">
        <v>995</v>
      </c>
      <c r="B418" s="143" t="s">
        <v>996</v>
      </c>
      <c r="C418" s="180" t="s">
        <v>142</v>
      </c>
      <c r="D418" s="152">
        <v>25545</v>
      </c>
      <c r="E418" s="140"/>
      <c r="F418" s="141"/>
      <c r="G418" s="140"/>
      <c r="H418" s="159">
        <v>477050</v>
      </c>
      <c r="I418" s="122">
        <v>113884</v>
      </c>
      <c r="J418" s="146"/>
      <c r="K418" s="146">
        <v>73690</v>
      </c>
      <c r="L418" s="147">
        <f t="shared" ref="L418:L424" si="27">+((M418*N418)+(O418*P418)+(Q418*R418))*(1+S418/100)</f>
        <v>101257.26403496505</v>
      </c>
      <c r="M418" s="148">
        <v>7.0000000000000007E-2</v>
      </c>
      <c r="N418" s="149">
        <v>1446532.3433566433</v>
      </c>
      <c r="O418" s="149"/>
      <c r="P418" s="149"/>
      <c r="Q418" s="149"/>
      <c r="R418" s="149"/>
      <c r="S418" s="149"/>
    </row>
    <row r="419" spans="1:19" s="150" customFormat="1" ht="16.5" customHeight="1">
      <c r="A419" s="151" t="s">
        <v>997</v>
      </c>
      <c r="B419" s="143" t="s">
        <v>998</v>
      </c>
      <c r="C419" s="180" t="s">
        <v>142</v>
      </c>
      <c r="D419" s="152">
        <v>25545</v>
      </c>
      <c r="E419" s="140"/>
      <c r="F419" s="141"/>
      <c r="G419" s="140"/>
      <c r="H419" s="159">
        <v>510573</v>
      </c>
      <c r="I419" s="122">
        <v>113884</v>
      </c>
      <c r="J419" s="146"/>
      <c r="K419" s="146">
        <v>73690</v>
      </c>
      <c r="L419" s="147">
        <f t="shared" si="27"/>
        <v>101257.26403496505</v>
      </c>
      <c r="M419" s="148">
        <v>7.0000000000000007E-2</v>
      </c>
      <c r="N419" s="149">
        <f t="shared" ref="N419:N424" si="28">+N418</f>
        <v>1446532.3433566433</v>
      </c>
      <c r="O419" s="149"/>
      <c r="P419" s="149"/>
      <c r="Q419" s="149"/>
      <c r="R419" s="149"/>
      <c r="S419" s="149"/>
    </row>
    <row r="420" spans="1:19" s="150" customFormat="1" ht="16.5" customHeight="1">
      <c r="A420" s="151" t="s">
        <v>140</v>
      </c>
      <c r="B420" s="143" t="s">
        <v>141</v>
      </c>
      <c r="C420" s="180" t="s">
        <v>142</v>
      </c>
      <c r="D420" s="152">
        <v>25545</v>
      </c>
      <c r="E420" s="140"/>
      <c r="F420" s="141"/>
      <c r="G420" s="140"/>
      <c r="H420" s="159">
        <v>546674</v>
      </c>
      <c r="I420" s="122">
        <v>162691</v>
      </c>
      <c r="J420" s="146"/>
      <c r="K420" s="146">
        <v>105271</v>
      </c>
      <c r="L420" s="147">
        <f t="shared" si="27"/>
        <v>144653.23433566434</v>
      </c>
      <c r="M420" s="148">
        <v>0.1</v>
      </c>
      <c r="N420" s="149">
        <f t="shared" si="28"/>
        <v>1446532.3433566433</v>
      </c>
      <c r="O420" s="149"/>
      <c r="P420" s="149"/>
      <c r="Q420" s="149"/>
      <c r="R420" s="149"/>
      <c r="S420" s="149"/>
    </row>
    <row r="421" spans="1:19" s="150" customFormat="1" ht="16.5" customHeight="1">
      <c r="A421" s="151" t="s">
        <v>233</v>
      </c>
      <c r="B421" s="143" t="s">
        <v>234</v>
      </c>
      <c r="C421" s="180" t="s">
        <v>142</v>
      </c>
      <c r="D421" s="152">
        <v>25545</v>
      </c>
      <c r="E421" s="140"/>
      <c r="F421" s="141"/>
      <c r="G421" s="140"/>
      <c r="H421" s="159">
        <v>680764</v>
      </c>
      <c r="I421" s="122">
        <v>162691</v>
      </c>
      <c r="J421" s="146"/>
      <c r="K421" s="146">
        <v>105271</v>
      </c>
      <c r="L421" s="147">
        <f t="shared" si="27"/>
        <v>144653.23433566434</v>
      </c>
      <c r="M421" s="148">
        <v>0.1</v>
      </c>
      <c r="N421" s="149">
        <f t="shared" si="28"/>
        <v>1446532.3433566433</v>
      </c>
      <c r="O421" s="149"/>
      <c r="P421" s="149"/>
      <c r="Q421" s="149"/>
      <c r="R421" s="149"/>
      <c r="S421" s="149"/>
    </row>
    <row r="422" spans="1:19" ht="16.5" hidden="1" customHeight="1">
      <c r="A422" s="85" t="s">
        <v>999</v>
      </c>
      <c r="B422" s="78" t="s">
        <v>1000</v>
      </c>
      <c r="C422" s="81" t="s">
        <v>142</v>
      </c>
      <c r="D422" s="92">
        <v>20335</v>
      </c>
      <c r="E422" s="79"/>
      <c r="F422" s="76"/>
      <c r="G422" s="79"/>
      <c r="H422" s="219">
        <f t="shared" ref="H422:H429" si="29">+G422*F422</f>
        <v>0</v>
      </c>
      <c r="I422" s="63">
        <f>+L422</f>
        <v>202514.52806993009</v>
      </c>
      <c r="J422" s="60"/>
      <c r="K422" s="60">
        <v>147379</v>
      </c>
      <c r="L422" s="64">
        <f t="shared" si="27"/>
        <v>202514.52806993009</v>
      </c>
      <c r="M422" s="65">
        <v>0.14000000000000001</v>
      </c>
      <c r="N422" s="66">
        <f t="shared" si="28"/>
        <v>1446532.3433566433</v>
      </c>
      <c r="O422" s="66"/>
      <c r="P422" s="66"/>
      <c r="Q422" s="66"/>
      <c r="R422" s="66"/>
      <c r="S422" s="66"/>
    </row>
    <row r="423" spans="1:19" ht="16.5" hidden="1" customHeight="1">
      <c r="A423" s="85" t="s">
        <v>1001</v>
      </c>
      <c r="B423" s="78" t="s">
        <v>1002</v>
      </c>
      <c r="C423" s="81" t="s">
        <v>142</v>
      </c>
      <c r="D423" s="92">
        <v>20335</v>
      </c>
      <c r="E423" s="79"/>
      <c r="F423" s="76"/>
      <c r="G423" s="79"/>
      <c r="H423" s="219">
        <f t="shared" si="29"/>
        <v>0</v>
      </c>
      <c r="I423" s="63">
        <f>+L423</f>
        <v>202514.52806993009</v>
      </c>
      <c r="J423" s="60"/>
      <c r="K423" s="60">
        <v>147379</v>
      </c>
      <c r="L423" s="64">
        <f t="shared" si="27"/>
        <v>202514.52806993009</v>
      </c>
      <c r="M423" s="65">
        <v>0.14000000000000001</v>
      </c>
      <c r="N423" s="66">
        <f t="shared" si="28"/>
        <v>1446532.3433566433</v>
      </c>
      <c r="O423" s="66"/>
      <c r="P423" s="66"/>
      <c r="Q423" s="66"/>
      <c r="R423" s="66"/>
      <c r="S423" s="66"/>
    </row>
    <row r="424" spans="1:19" ht="16.5" hidden="1" customHeight="1">
      <c r="A424" s="85" t="s">
        <v>1003</v>
      </c>
      <c r="B424" s="78" t="s">
        <v>1004</v>
      </c>
      <c r="C424" s="81" t="s">
        <v>142</v>
      </c>
      <c r="D424" s="92">
        <v>20335</v>
      </c>
      <c r="E424" s="79"/>
      <c r="F424" s="76"/>
      <c r="G424" s="79"/>
      <c r="H424" s="219">
        <f t="shared" si="29"/>
        <v>0</v>
      </c>
      <c r="I424" s="63">
        <f>+L424</f>
        <v>289306.46867132868</v>
      </c>
      <c r="J424" s="60"/>
      <c r="K424" s="60">
        <v>210542</v>
      </c>
      <c r="L424" s="64">
        <f t="shared" si="27"/>
        <v>289306.46867132868</v>
      </c>
      <c r="M424" s="65">
        <v>0.2</v>
      </c>
      <c r="N424" s="66">
        <f t="shared" si="28"/>
        <v>1446532.3433566433</v>
      </c>
      <c r="O424" s="66"/>
      <c r="P424" s="66"/>
      <c r="Q424" s="66"/>
      <c r="R424" s="66"/>
      <c r="S424" s="66"/>
    </row>
    <row r="425" spans="1:19" ht="16.5" hidden="1" customHeight="1">
      <c r="A425" s="85" t="s">
        <v>1005</v>
      </c>
      <c r="B425" s="78" t="s">
        <v>1006</v>
      </c>
      <c r="C425" s="81" t="s">
        <v>142</v>
      </c>
      <c r="D425" s="92">
        <v>20335</v>
      </c>
      <c r="E425" s="79"/>
      <c r="F425" s="76"/>
      <c r="G425" s="79"/>
      <c r="H425" s="219">
        <f t="shared" si="29"/>
        <v>0</v>
      </c>
      <c r="I425" s="63">
        <f t="shared" si="26"/>
        <v>312444.32799999998</v>
      </c>
      <c r="J425" s="60"/>
      <c r="K425" s="60">
        <v>210542</v>
      </c>
      <c r="L425" s="64"/>
      <c r="M425" s="65"/>
      <c r="N425" s="66"/>
      <c r="O425" s="66"/>
      <c r="P425" s="66"/>
      <c r="Q425" s="66"/>
      <c r="R425" s="66"/>
      <c r="S425" s="66"/>
    </row>
    <row r="426" spans="1:19" ht="16.5" hidden="1" customHeight="1">
      <c r="A426" s="85" t="s">
        <v>1007</v>
      </c>
      <c r="B426" s="78" t="s">
        <v>1008</v>
      </c>
      <c r="C426" s="81" t="s">
        <v>142</v>
      </c>
      <c r="D426" s="92">
        <v>20335</v>
      </c>
      <c r="E426" s="79"/>
      <c r="F426" s="76"/>
      <c r="G426" s="79"/>
      <c r="H426" s="219">
        <f t="shared" si="29"/>
        <v>0</v>
      </c>
      <c r="I426" s="63">
        <f t="shared" si="26"/>
        <v>160512.408</v>
      </c>
      <c r="J426" s="60"/>
      <c r="K426" s="60">
        <v>108162</v>
      </c>
      <c r="L426" s="64"/>
      <c r="M426" s="65"/>
      <c r="N426" s="66"/>
      <c r="O426" s="66"/>
      <c r="P426" s="66"/>
      <c r="Q426" s="66"/>
      <c r="R426" s="66"/>
      <c r="S426" s="66"/>
    </row>
    <row r="427" spans="1:19" ht="16.5" hidden="1" customHeight="1">
      <c r="A427" s="85" t="s">
        <v>1009</v>
      </c>
      <c r="B427" s="78" t="s">
        <v>1010</v>
      </c>
      <c r="C427" s="81" t="s">
        <v>142</v>
      </c>
      <c r="D427" s="92">
        <v>20335</v>
      </c>
      <c r="E427" s="79"/>
      <c r="F427" s="76"/>
      <c r="G427" s="79"/>
      <c r="H427" s="219">
        <f t="shared" si="29"/>
        <v>0</v>
      </c>
      <c r="I427" s="63">
        <f t="shared" si="26"/>
        <v>160512.408</v>
      </c>
      <c r="J427" s="60"/>
      <c r="K427" s="60">
        <v>108162</v>
      </c>
      <c r="L427" s="64"/>
      <c r="M427" s="65"/>
      <c r="N427" s="66"/>
      <c r="O427" s="66"/>
      <c r="P427" s="66"/>
      <c r="Q427" s="66"/>
      <c r="R427" s="66"/>
      <c r="S427" s="66"/>
    </row>
    <row r="428" spans="1:19" ht="16.5" hidden="1" customHeight="1">
      <c r="A428" s="85" t="s">
        <v>1011</v>
      </c>
      <c r="B428" s="78" t="s">
        <v>1012</v>
      </c>
      <c r="C428" s="81" t="s">
        <v>142</v>
      </c>
      <c r="D428" s="92">
        <v>20335</v>
      </c>
      <c r="E428" s="79"/>
      <c r="F428" s="76"/>
      <c r="G428" s="79"/>
      <c r="H428" s="219">
        <f t="shared" si="29"/>
        <v>0</v>
      </c>
      <c r="I428" s="63">
        <f t="shared" si="26"/>
        <v>246119.916</v>
      </c>
      <c r="J428" s="60"/>
      <c r="K428" s="60">
        <v>165849</v>
      </c>
      <c r="L428" s="64"/>
      <c r="M428" s="65"/>
      <c r="N428" s="66"/>
      <c r="O428" s="66"/>
      <c r="P428" s="66"/>
      <c r="Q428" s="66"/>
      <c r="R428" s="66"/>
      <c r="S428" s="66"/>
    </row>
    <row r="429" spans="1:19" ht="16.5" hidden="1" customHeight="1">
      <c r="A429" s="85" t="s">
        <v>1013</v>
      </c>
      <c r="B429" s="78" t="s">
        <v>1014</v>
      </c>
      <c r="C429" s="81" t="s">
        <v>142</v>
      </c>
      <c r="D429" s="92">
        <v>20335</v>
      </c>
      <c r="E429" s="79"/>
      <c r="F429" s="76"/>
      <c r="G429" s="79"/>
      <c r="H429" s="219">
        <f t="shared" si="29"/>
        <v>0</v>
      </c>
      <c r="I429" s="63">
        <f t="shared" si="26"/>
        <v>246119.916</v>
      </c>
      <c r="J429" s="60"/>
      <c r="K429" s="60">
        <v>165849</v>
      </c>
      <c r="L429" s="64"/>
      <c r="M429" s="65"/>
      <c r="N429" s="66"/>
      <c r="O429" s="66"/>
      <c r="P429" s="66"/>
      <c r="Q429" s="66"/>
      <c r="R429" s="66"/>
      <c r="S429" s="66"/>
    </row>
    <row r="430" spans="1:19" ht="16.5" hidden="1" customHeight="1">
      <c r="A430" s="102" t="s">
        <v>1015</v>
      </c>
      <c r="B430" s="55" t="s">
        <v>1016</v>
      </c>
      <c r="C430" s="81"/>
      <c r="D430" s="92"/>
      <c r="E430" s="98"/>
      <c r="F430" s="94"/>
      <c r="G430" s="98"/>
      <c r="H430" s="219"/>
      <c r="I430" s="63">
        <f t="shared" si="26"/>
        <v>0</v>
      </c>
      <c r="J430" s="60"/>
      <c r="K430" s="60"/>
      <c r="L430" s="64"/>
      <c r="M430" s="65"/>
      <c r="N430" s="66"/>
      <c r="O430" s="66"/>
      <c r="P430" s="66"/>
      <c r="Q430" s="66"/>
      <c r="R430" s="66"/>
      <c r="S430" s="66"/>
    </row>
    <row r="431" spans="1:19" ht="16.5" hidden="1" customHeight="1">
      <c r="A431" s="85" t="s">
        <v>1017</v>
      </c>
      <c r="B431" s="78" t="s">
        <v>1018</v>
      </c>
      <c r="C431" s="81" t="s">
        <v>237</v>
      </c>
      <c r="D431" s="92"/>
      <c r="E431" s="79"/>
      <c r="F431" s="76"/>
      <c r="G431" s="79"/>
      <c r="H431" s="219">
        <f t="shared" ref="H431:H462" si="30">+G431*F431</f>
        <v>0</v>
      </c>
      <c r="I431" s="63">
        <f t="shared" si="26"/>
        <v>0</v>
      </c>
      <c r="J431" s="104">
        <v>15</v>
      </c>
      <c r="K431" s="104"/>
      <c r="L431" s="64"/>
      <c r="M431" s="65"/>
      <c r="N431" s="66"/>
      <c r="O431" s="66"/>
      <c r="P431" s="66"/>
      <c r="Q431" s="66"/>
      <c r="R431" s="66"/>
      <c r="S431" s="66"/>
    </row>
    <row r="432" spans="1:19" ht="16.5" hidden="1" customHeight="1">
      <c r="A432" s="85" t="s">
        <v>1019</v>
      </c>
      <c r="B432" s="78" t="s">
        <v>1020</v>
      </c>
      <c r="C432" s="81" t="s">
        <v>237</v>
      </c>
      <c r="D432" s="92"/>
      <c r="E432" s="79"/>
      <c r="F432" s="76"/>
      <c r="G432" s="79"/>
      <c r="H432" s="219">
        <f t="shared" si="30"/>
        <v>0</v>
      </c>
      <c r="I432" s="63">
        <f t="shared" si="26"/>
        <v>0</v>
      </c>
      <c r="J432" s="60">
        <v>25</v>
      </c>
      <c r="K432" s="60"/>
      <c r="L432" s="64"/>
      <c r="M432" s="65"/>
      <c r="N432" s="66"/>
      <c r="O432" s="66"/>
      <c r="P432" s="66"/>
      <c r="Q432" s="66"/>
      <c r="R432" s="66"/>
      <c r="S432" s="66"/>
    </row>
    <row r="433" spans="1:19" s="150" customFormat="1" ht="16.5" customHeight="1">
      <c r="A433" s="151" t="s">
        <v>235</v>
      </c>
      <c r="B433" s="143" t="s">
        <v>236</v>
      </c>
      <c r="C433" s="180" t="s">
        <v>237</v>
      </c>
      <c r="D433" s="152"/>
      <c r="E433" s="140"/>
      <c r="F433" s="141"/>
      <c r="G433" s="140"/>
      <c r="H433" s="159">
        <v>296545</v>
      </c>
      <c r="I433" s="122">
        <f t="shared" si="26"/>
        <v>0</v>
      </c>
      <c r="J433" s="146">
        <v>50</v>
      </c>
      <c r="K433" s="146"/>
      <c r="L433" s="147"/>
      <c r="M433" s="148"/>
      <c r="N433" s="149"/>
      <c r="O433" s="149"/>
      <c r="P433" s="149"/>
      <c r="Q433" s="149"/>
      <c r="R433" s="149"/>
      <c r="S433" s="149"/>
    </row>
    <row r="434" spans="1:19" ht="17.25" hidden="1" customHeight="1">
      <c r="A434" s="85" t="s">
        <v>1021</v>
      </c>
      <c r="B434" s="78" t="s">
        <v>1022</v>
      </c>
      <c r="C434" s="81" t="s">
        <v>237</v>
      </c>
      <c r="D434" s="92"/>
      <c r="E434" s="79" t="s">
        <v>646</v>
      </c>
      <c r="F434" s="76">
        <v>1.55</v>
      </c>
      <c r="G434" s="79">
        <v>219137.11538461538</v>
      </c>
      <c r="H434" s="63">
        <f t="shared" si="30"/>
        <v>339662.52884615381</v>
      </c>
      <c r="I434" s="63">
        <f t="shared" si="26"/>
        <v>0</v>
      </c>
      <c r="J434" s="60">
        <v>100</v>
      </c>
      <c r="K434" s="60"/>
      <c r="L434" s="64"/>
      <c r="M434" s="65"/>
      <c r="N434" s="66"/>
      <c r="O434" s="66"/>
      <c r="P434" s="66"/>
      <c r="Q434" s="66"/>
      <c r="R434" s="66"/>
      <c r="S434" s="66"/>
    </row>
    <row r="435" spans="1:19" ht="16.5" hidden="1" customHeight="1">
      <c r="A435" s="85" t="s">
        <v>1023</v>
      </c>
      <c r="B435" s="78" t="s">
        <v>1024</v>
      </c>
      <c r="C435" s="81" t="s">
        <v>237</v>
      </c>
      <c r="D435" s="92"/>
      <c r="E435" s="79" t="s">
        <v>646</v>
      </c>
      <c r="F435" s="76">
        <v>1.86</v>
      </c>
      <c r="G435" s="79">
        <v>219137.11538461538</v>
      </c>
      <c r="H435" s="63">
        <f t="shared" si="30"/>
        <v>407595.03461538465</v>
      </c>
      <c r="I435" s="63">
        <f t="shared" si="26"/>
        <v>0</v>
      </c>
      <c r="J435" s="60">
        <v>140</v>
      </c>
      <c r="K435" s="60"/>
      <c r="L435" s="64"/>
      <c r="M435" s="65"/>
      <c r="N435" s="66"/>
      <c r="O435" s="66"/>
      <c r="P435" s="66"/>
      <c r="Q435" s="66"/>
      <c r="R435" s="66"/>
      <c r="S435" s="66"/>
    </row>
    <row r="436" spans="1:19" ht="16.5" hidden="1" customHeight="1">
      <c r="A436" s="85" t="s">
        <v>1025</v>
      </c>
      <c r="B436" s="78" t="s">
        <v>1026</v>
      </c>
      <c r="C436" s="81" t="s">
        <v>237</v>
      </c>
      <c r="D436" s="92"/>
      <c r="E436" s="79" t="s">
        <v>646</v>
      </c>
      <c r="F436" s="76">
        <v>2.57</v>
      </c>
      <c r="G436" s="79">
        <v>219137.11538461538</v>
      </c>
      <c r="H436" s="63">
        <f t="shared" si="30"/>
        <v>563182.38653846143</v>
      </c>
      <c r="I436" s="63">
        <f t="shared" si="26"/>
        <v>0</v>
      </c>
      <c r="J436" s="60">
        <v>230</v>
      </c>
      <c r="K436" s="60"/>
      <c r="L436" s="64"/>
      <c r="M436" s="65"/>
      <c r="N436" s="66"/>
      <c r="O436" s="66"/>
      <c r="P436" s="66"/>
      <c r="Q436" s="66"/>
      <c r="R436" s="66"/>
      <c r="S436" s="66"/>
    </row>
    <row r="437" spans="1:19" ht="16.5" hidden="1" customHeight="1">
      <c r="A437" s="85" t="s">
        <v>1027</v>
      </c>
      <c r="B437" s="78" t="s">
        <v>1028</v>
      </c>
      <c r="C437" s="81" t="s">
        <v>237</v>
      </c>
      <c r="D437" s="92"/>
      <c r="E437" s="79" t="s">
        <v>646</v>
      </c>
      <c r="F437" s="76">
        <v>3.28</v>
      </c>
      <c r="G437" s="79">
        <v>219137.11538461538</v>
      </c>
      <c r="H437" s="63">
        <f t="shared" si="30"/>
        <v>718769.73846153833</v>
      </c>
      <c r="I437" s="63">
        <f t="shared" si="26"/>
        <v>0</v>
      </c>
      <c r="J437" s="60">
        <v>320</v>
      </c>
      <c r="K437" s="60"/>
      <c r="L437" s="64"/>
      <c r="M437" s="65"/>
      <c r="N437" s="66"/>
      <c r="O437" s="66"/>
      <c r="P437" s="66"/>
      <c r="Q437" s="66"/>
      <c r="R437" s="66"/>
      <c r="S437" s="66"/>
    </row>
    <row r="438" spans="1:19" ht="16.5" hidden="1" customHeight="1">
      <c r="A438" s="85" t="s">
        <v>1029</v>
      </c>
      <c r="B438" s="78" t="s">
        <v>1030</v>
      </c>
      <c r="C438" s="81" t="s">
        <v>237</v>
      </c>
      <c r="D438" s="92"/>
      <c r="E438" s="79" t="s">
        <v>646</v>
      </c>
      <c r="F438" s="76">
        <v>3.87</v>
      </c>
      <c r="G438" s="79">
        <v>219137.11538461538</v>
      </c>
      <c r="H438" s="63">
        <f t="shared" si="30"/>
        <v>848060.63653846155</v>
      </c>
      <c r="I438" s="63">
        <f t="shared" si="26"/>
        <v>0</v>
      </c>
      <c r="J438" s="60">
        <v>410</v>
      </c>
      <c r="K438" s="60"/>
      <c r="L438" s="64"/>
      <c r="M438" s="65"/>
      <c r="N438" s="66"/>
      <c r="O438" s="66"/>
      <c r="P438" s="66"/>
      <c r="Q438" s="66"/>
      <c r="R438" s="66"/>
      <c r="S438" s="66"/>
    </row>
    <row r="439" spans="1:19" ht="16.5" hidden="1" customHeight="1">
      <c r="A439" s="85" t="s">
        <v>1031</v>
      </c>
      <c r="B439" s="78" t="s">
        <v>1032</v>
      </c>
      <c r="C439" s="81" t="s">
        <v>237</v>
      </c>
      <c r="D439" s="92"/>
      <c r="E439" s="79" t="s">
        <v>646</v>
      </c>
      <c r="F439" s="76">
        <v>4.57</v>
      </c>
      <c r="G439" s="79">
        <v>219137.11538461538</v>
      </c>
      <c r="H439" s="63">
        <f t="shared" si="30"/>
        <v>1001456.6173076923</v>
      </c>
      <c r="I439" s="63">
        <f t="shared" si="26"/>
        <v>0</v>
      </c>
      <c r="J439" s="60">
        <v>500</v>
      </c>
      <c r="K439" s="60"/>
      <c r="L439" s="64"/>
      <c r="M439" s="65"/>
      <c r="N439" s="66"/>
      <c r="O439" s="66"/>
      <c r="P439" s="66"/>
      <c r="Q439" s="66"/>
      <c r="R439" s="66"/>
      <c r="S439" s="66"/>
    </row>
    <row r="440" spans="1:19" ht="17.25" customHeight="1">
      <c r="A440" s="85" t="s">
        <v>1033</v>
      </c>
      <c r="B440" s="78" t="s">
        <v>1034</v>
      </c>
      <c r="C440" s="81" t="s">
        <v>237</v>
      </c>
      <c r="D440" s="92"/>
      <c r="E440" s="79" t="s">
        <v>646</v>
      </c>
      <c r="F440" s="76">
        <v>0.67800000000000005</v>
      </c>
      <c r="G440" s="79">
        <v>219137.11538461538</v>
      </c>
      <c r="H440" s="63">
        <f t="shared" si="30"/>
        <v>148574.96423076923</v>
      </c>
      <c r="I440" s="63">
        <f t="shared" si="26"/>
        <v>0</v>
      </c>
      <c r="J440" s="60">
        <v>15</v>
      </c>
      <c r="K440" s="60"/>
      <c r="L440" s="64"/>
      <c r="M440" s="65"/>
      <c r="N440" s="66"/>
      <c r="O440" s="66"/>
      <c r="P440" s="66"/>
      <c r="Q440" s="66"/>
      <c r="R440" s="66"/>
      <c r="S440" s="66"/>
    </row>
    <row r="441" spans="1:19" ht="16.5" customHeight="1">
      <c r="A441" s="85" t="s">
        <v>1035</v>
      </c>
      <c r="B441" s="78" t="s">
        <v>1036</v>
      </c>
      <c r="C441" s="81" t="s">
        <v>237</v>
      </c>
      <c r="D441" s="92"/>
      <c r="E441" s="79" t="s">
        <v>646</v>
      </c>
      <c r="F441" s="76">
        <v>1.1299999999999999</v>
      </c>
      <c r="G441" s="79">
        <v>219137.11538461538</v>
      </c>
      <c r="H441" s="63">
        <f t="shared" si="30"/>
        <v>247624.94038461536</v>
      </c>
      <c r="I441" s="63">
        <f t="shared" si="26"/>
        <v>0</v>
      </c>
      <c r="J441" s="60">
        <v>25</v>
      </c>
      <c r="K441" s="60"/>
      <c r="L441" s="64"/>
      <c r="M441" s="65"/>
      <c r="N441" s="66"/>
      <c r="O441" s="66"/>
      <c r="P441" s="66"/>
      <c r="Q441" s="66"/>
      <c r="R441" s="66"/>
      <c r="S441" s="66"/>
    </row>
    <row r="442" spans="1:19" ht="16.5" customHeight="1">
      <c r="A442" s="85" t="s">
        <v>1037</v>
      </c>
      <c r="B442" s="78" t="s">
        <v>1038</v>
      </c>
      <c r="C442" s="81" t="s">
        <v>237</v>
      </c>
      <c r="D442" s="92"/>
      <c r="E442" s="79" t="s">
        <v>646</v>
      </c>
      <c r="F442" s="76">
        <v>1.53</v>
      </c>
      <c r="G442" s="79">
        <v>219137.11538461538</v>
      </c>
      <c r="H442" s="63">
        <f t="shared" si="30"/>
        <v>335279.78653846151</v>
      </c>
      <c r="I442" s="63">
        <f t="shared" si="26"/>
        <v>0</v>
      </c>
      <c r="J442" s="60">
        <v>50</v>
      </c>
      <c r="K442" s="60"/>
      <c r="L442" s="64"/>
      <c r="M442" s="65"/>
      <c r="N442" s="66"/>
      <c r="O442" s="66"/>
      <c r="P442" s="66"/>
      <c r="Q442" s="66"/>
      <c r="R442" s="66"/>
      <c r="S442" s="66"/>
    </row>
    <row r="443" spans="1:19" ht="16.5" customHeight="1">
      <c r="A443" s="85" t="s">
        <v>1039</v>
      </c>
      <c r="B443" s="78" t="s">
        <v>1040</v>
      </c>
      <c r="C443" s="81" t="s">
        <v>237</v>
      </c>
      <c r="D443" s="92"/>
      <c r="E443" s="79" t="s">
        <v>646</v>
      </c>
      <c r="F443" s="76">
        <v>2.06</v>
      </c>
      <c r="G443" s="79">
        <v>219137.11538461538</v>
      </c>
      <c r="H443" s="63">
        <f t="shared" si="30"/>
        <v>451422.45769230771</v>
      </c>
      <c r="I443" s="63">
        <f t="shared" si="26"/>
        <v>0</v>
      </c>
      <c r="J443" s="60">
        <v>100</v>
      </c>
      <c r="K443" s="60"/>
      <c r="L443" s="64"/>
      <c r="M443" s="65"/>
      <c r="N443" s="66"/>
      <c r="O443" s="66"/>
      <c r="P443" s="66"/>
      <c r="Q443" s="66"/>
      <c r="R443" s="66"/>
      <c r="S443" s="66"/>
    </row>
    <row r="444" spans="1:19" ht="16.5" customHeight="1">
      <c r="A444" s="85" t="s">
        <v>1041</v>
      </c>
      <c r="B444" s="78" t="s">
        <v>1042</v>
      </c>
      <c r="C444" s="81" t="s">
        <v>237</v>
      </c>
      <c r="D444" s="92"/>
      <c r="E444" s="79" t="s">
        <v>646</v>
      </c>
      <c r="F444" s="76">
        <v>2.4700000000000002</v>
      </c>
      <c r="G444" s="79">
        <v>219137.11538461538</v>
      </c>
      <c r="H444" s="63">
        <f t="shared" si="30"/>
        <v>541268.67500000005</v>
      </c>
      <c r="I444" s="63">
        <f t="shared" si="26"/>
        <v>0</v>
      </c>
      <c r="J444" s="60">
        <v>140</v>
      </c>
      <c r="K444" s="60"/>
      <c r="L444" s="64"/>
      <c r="M444" s="65"/>
      <c r="N444" s="66"/>
      <c r="O444" s="66"/>
      <c r="P444" s="66"/>
      <c r="Q444" s="66"/>
      <c r="R444" s="66"/>
      <c r="S444" s="66"/>
    </row>
    <row r="445" spans="1:19" ht="16.5" customHeight="1">
      <c r="A445" s="85" t="s">
        <v>1043</v>
      </c>
      <c r="B445" s="78" t="s">
        <v>1044</v>
      </c>
      <c r="C445" s="81" t="s">
        <v>237</v>
      </c>
      <c r="D445" s="92"/>
      <c r="E445" s="79" t="s">
        <v>646</v>
      </c>
      <c r="F445" s="76">
        <v>3.41</v>
      </c>
      <c r="G445" s="79">
        <v>219137.11538461538</v>
      </c>
      <c r="H445" s="63">
        <f t="shared" si="30"/>
        <v>747257.5634615384</v>
      </c>
      <c r="I445" s="63">
        <f t="shared" si="26"/>
        <v>0</v>
      </c>
      <c r="J445" s="60">
        <v>230</v>
      </c>
      <c r="K445" s="60"/>
      <c r="L445" s="64"/>
      <c r="M445" s="65"/>
      <c r="N445" s="66"/>
      <c r="O445" s="66"/>
      <c r="P445" s="66"/>
      <c r="Q445" s="66"/>
      <c r="R445" s="66"/>
      <c r="S445" s="66"/>
    </row>
    <row r="446" spans="1:19" ht="16.5" customHeight="1">
      <c r="A446" s="85" t="s">
        <v>1045</v>
      </c>
      <c r="B446" s="78" t="s">
        <v>1046</v>
      </c>
      <c r="C446" s="81" t="s">
        <v>237</v>
      </c>
      <c r="D446" s="92"/>
      <c r="E446" s="79" t="s">
        <v>646</v>
      </c>
      <c r="F446" s="76">
        <v>4.3600000000000003</v>
      </c>
      <c r="G446" s="79">
        <v>219137.11538461538</v>
      </c>
      <c r="H446" s="63">
        <f t="shared" si="30"/>
        <v>955437.82307692314</v>
      </c>
      <c r="I446" s="63">
        <f t="shared" si="26"/>
        <v>0</v>
      </c>
      <c r="J446" s="60">
        <v>320</v>
      </c>
      <c r="K446" s="60"/>
      <c r="L446" s="64"/>
      <c r="M446" s="65"/>
      <c r="N446" s="66"/>
      <c r="O446" s="66"/>
      <c r="P446" s="66"/>
      <c r="Q446" s="66"/>
      <c r="R446" s="66"/>
      <c r="S446" s="66"/>
    </row>
    <row r="447" spans="1:19" ht="16.5" customHeight="1">
      <c r="A447" s="85" t="s">
        <v>1047</v>
      </c>
      <c r="B447" s="78" t="s">
        <v>1048</v>
      </c>
      <c r="C447" s="81" t="s">
        <v>237</v>
      </c>
      <c r="D447" s="92"/>
      <c r="E447" s="79" t="s">
        <v>646</v>
      </c>
      <c r="F447" s="76">
        <v>5.14</v>
      </c>
      <c r="G447" s="79">
        <v>219137.11538461538</v>
      </c>
      <c r="H447" s="63">
        <f t="shared" si="30"/>
        <v>1126364.7730769229</v>
      </c>
      <c r="I447" s="63">
        <f t="shared" si="26"/>
        <v>0</v>
      </c>
      <c r="J447" s="60">
        <v>410</v>
      </c>
      <c r="K447" s="60"/>
      <c r="L447" s="64"/>
      <c r="M447" s="65"/>
      <c r="N447" s="66"/>
      <c r="O447" s="66"/>
      <c r="P447" s="66"/>
      <c r="Q447" s="66"/>
      <c r="R447" s="66"/>
      <c r="S447" s="66"/>
    </row>
    <row r="448" spans="1:19" ht="16.5" customHeight="1">
      <c r="A448" s="85" t="s">
        <v>1049</v>
      </c>
      <c r="B448" s="78" t="s">
        <v>1050</v>
      </c>
      <c r="C448" s="81" t="s">
        <v>237</v>
      </c>
      <c r="D448" s="92"/>
      <c r="E448" s="79" t="s">
        <v>646</v>
      </c>
      <c r="F448" s="76">
        <v>6.07</v>
      </c>
      <c r="G448" s="79">
        <v>219137.11538461538</v>
      </c>
      <c r="H448" s="63">
        <f t="shared" si="30"/>
        <v>1330162.2903846153</v>
      </c>
      <c r="I448" s="63">
        <f t="shared" si="26"/>
        <v>0</v>
      </c>
      <c r="J448" s="60">
        <v>500</v>
      </c>
      <c r="K448" s="60"/>
      <c r="L448" s="64"/>
      <c r="M448" s="65"/>
      <c r="N448" s="66"/>
      <c r="O448" s="66"/>
      <c r="P448" s="66"/>
      <c r="Q448" s="66"/>
      <c r="R448" s="66"/>
      <c r="S448" s="66"/>
    </row>
    <row r="449" spans="1:19" ht="16.5" customHeight="1">
      <c r="A449" s="85" t="s">
        <v>1051</v>
      </c>
      <c r="B449" s="78" t="s">
        <v>1052</v>
      </c>
      <c r="C449" s="81" t="s">
        <v>237</v>
      </c>
      <c r="D449" s="92"/>
      <c r="E449" s="79" t="s">
        <v>646</v>
      </c>
      <c r="F449" s="76">
        <v>2.1</v>
      </c>
      <c r="G449" s="79">
        <v>219137.11538461538</v>
      </c>
      <c r="H449" s="63">
        <f t="shared" si="30"/>
        <v>460187.94230769231</v>
      </c>
      <c r="I449" s="63">
        <f t="shared" si="26"/>
        <v>0</v>
      </c>
      <c r="J449" s="60">
        <v>140</v>
      </c>
      <c r="K449" s="60"/>
      <c r="L449" s="64"/>
      <c r="M449" s="65"/>
      <c r="N449" s="66"/>
      <c r="O449" s="66"/>
      <c r="P449" s="66"/>
      <c r="Q449" s="66"/>
      <c r="R449" s="66"/>
      <c r="S449" s="66"/>
    </row>
    <row r="450" spans="1:19" ht="16.5" customHeight="1">
      <c r="A450" s="85" t="s">
        <v>1053</v>
      </c>
      <c r="B450" s="78" t="s">
        <v>1054</v>
      </c>
      <c r="C450" s="81" t="s">
        <v>237</v>
      </c>
      <c r="D450" s="92"/>
      <c r="E450" s="79" t="s">
        <v>646</v>
      </c>
      <c r="F450" s="76">
        <v>2.99</v>
      </c>
      <c r="G450" s="79">
        <v>219137.11538461538</v>
      </c>
      <c r="H450" s="63">
        <f t="shared" si="30"/>
        <v>655219.97499999998</v>
      </c>
      <c r="I450" s="63">
        <f t="shared" si="26"/>
        <v>0</v>
      </c>
      <c r="J450" s="60">
        <v>230</v>
      </c>
      <c r="K450" s="60"/>
      <c r="L450" s="64"/>
      <c r="M450" s="65"/>
      <c r="N450" s="66"/>
      <c r="O450" s="66"/>
      <c r="P450" s="66"/>
      <c r="Q450" s="66"/>
      <c r="R450" s="66"/>
      <c r="S450" s="66"/>
    </row>
    <row r="451" spans="1:19" ht="16.5" customHeight="1">
      <c r="A451" s="85" t="s">
        <v>1055</v>
      </c>
      <c r="B451" s="78" t="s">
        <v>1056</v>
      </c>
      <c r="C451" s="81" t="s">
        <v>237</v>
      </c>
      <c r="D451" s="92"/>
      <c r="E451" s="79" t="s">
        <v>646</v>
      </c>
      <c r="F451" s="76">
        <v>3.75</v>
      </c>
      <c r="G451" s="79">
        <v>219137.11538461538</v>
      </c>
      <c r="H451" s="63">
        <f t="shared" si="30"/>
        <v>821764.18269230763</v>
      </c>
      <c r="I451" s="63">
        <f t="shared" si="26"/>
        <v>0</v>
      </c>
      <c r="J451" s="60">
        <v>320</v>
      </c>
      <c r="K451" s="60"/>
      <c r="L451" s="64"/>
      <c r="M451" s="65"/>
      <c r="N451" s="66"/>
      <c r="O451" s="66"/>
      <c r="P451" s="66"/>
      <c r="Q451" s="66"/>
      <c r="R451" s="66"/>
      <c r="S451" s="66"/>
    </row>
    <row r="452" spans="1:19" ht="16.5" customHeight="1">
      <c r="A452" s="85" t="s">
        <v>1057</v>
      </c>
      <c r="B452" s="78" t="s">
        <v>1058</v>
      </c>
      <c r="C452" s="81" t="s">
        <v>237</v>
      </c>
      <c r="D452" s="92"/>
      <c r="E452" s="79" t="s">
        <v>646</v>
      </c>
      <c r="F452" s="76">
        <v>4.1399999999999997</v>
      </c>
      <c r="G452" s="79">
        <v>219137.11538461538</v>
      </c>
      <c r="H452" s="63">
        <f t="shared" si="30"/>
        <v>907227.65769230761</v>
      </c>
      <c r="I452" s="63">
        <f t="shared" si="26"/>
        <v>0</v>
      </c>
      <c r="J452" s="60">
        <v>410</v>
      </c>
      <c r="K452" s="60"/>
      <c r="L452" s="64"/>
      <c r="M452" s="65"/>
      <c r="N452" s="66"/>
      <c r="O452" s="66"/>
      <c r="P452" s="66"/>
      <c r="Q452" s="66"/>
      <c r="R452" s="66"/>
      <c r="S452" s="66"/>
    </row>
    <row r="453" spans="1:19" ht="16.5" customHeight="1">
      <c r="A453" s="85" t="s">
        <v>1059</v>
      </c>
      <c r="B453" s="78" t="s">
        <v>1060</v>
      </c>
      <c r="C453" s="81" t="s">
        <v>237</v>
      </c>
      <c r="D453" s="92"/>
      <c r="E453" s="79" t="s">
        <v>646</v>
      </c>
      <c r="F453" s="76">
        <v>4.5199999999999996</v>
      </c>
      <c r="G453" s="79">
        <v>219137.11538461538</v>
      </c>
      <c r="H453" s="63">
        <f t="shared" si="30"/>
        <v>990499.76153846143</v>
      </c>
      <c r="I453" s="63">
        <f t="shared" si="26"/>
        <v>0</v>
      </c>
      <c r="J453" s="60">
        <v>500</v>
      </c>
      <c r="K453" s="60"/>
      <c r="L453" s="64"/>
      <c r="M453" s="65"/>
      <c r="N453" s="66"/>
      <c r="O453" s="66"/>
      <c r="P453" s="66"/>
      <c r="Q453" s="66"/>
      <c r="R453" s="66"/>
      <c r="S453" s="66"/>
    </row>
    <row r="454" spans="1:19" ht="16.5" customHeight="1">
      <c r="A454" s="85" t="s">
        <v>1061</v>
      </c>
      <c r="B454" s="78" t="s">
        <v>1062</v>
      </c>
      <c r="C454" s="81" t="s">
        <v>237</v>
      </c>
      <c r="D454" s="92"/>
      <c r="E454" s="79" t="s">
        <v>646</v>
      </c>
      <c r="F454" s="76">
        <v>5.79</v>
      </c>
      <c r="G454" s="79">
        <v>219137.11538461538</v>
      </c>
      <c r="H454" s="63">
        <f t="shared" si="30"/>
        <v>1268803.8980769231</v>
      </c>
      <c r="I454" s="63">
        <f t="shared" si="26"/>
        <v>0</v>
      </c>
      <c r="J454" s="60">
        <v>750</v>
      </c>
      <c r="K454" s="60"/>
      <c r="L454" s="64"/>
      <c r="M454" s="65"/>
      <c r="N454" s="66"/>
      <c r="O454" s="66"/>
      <c r="P454" s="66"/>
      <c r="Q454" s="66"/>
      <c r="R454" s="66"/>
      <c r="S454" s="66"/>
    </row>
    <row r="455" spans="1:19" ht="16.5" customHeight="1">
      <c r="A455" s="85" t="s">
        <v>1063</v>
      </c>
      <c r="B455" s="78" t="s">
        <v>1064</v>
      </c>
      <c r="C455" s="81" t="s">
        <v>237</v>
      </c>
      <c r="D455" s="92"/>
      <c r="E455" s="79" t="s">
        <v>646</v>
      </c>
      <c r="F455" s="76">
        <v>6.83</v>
      </c>
      <c r="G455" s="79">
        <v>219137.11538461538</v>
      </c>
      <c r="H455" s="63">
        <f t="shared" si="30"/>
        <v>1496706.498076923</v>
      </c>
      <c r="I455" s="63">
        <f t="shared" si="26"/>
        <v>0</v>
      </c>
      <c r="J455" s="60">
        <v>1000</v>
      </c>
      <c r="K455" s="60"/>
      <c r="L455" s="64"/>
      <c r="M455" s="64"/>
      <c r="N455" s="64"/>
      <c r="O455" s="64"/>
      <c r="P455" s="64"/>
      <c r="Q455" s="64"/>
      <c r="R455" s="64"/>
      <c r="S455" s="64"/>
    </row>
    <row r="456" spans="1:19" ht="16.5" customHeight="1">
      <c r="A456" s="85" t="s">
        <v>1065</v>
      </c>
      <c r="B456" s="78" t="s">
        <v>1066</v>
      </c>
      <c r="C456" s="81" t="s">
        <v>237</v>
      </c>
      <c r="D456" s="92"/>
      <c r="E456" s="79" t="s">
        <v>646</v>
      </c>
      <c r="F456" s="76">
        <v>2.33</v>
      </c>
      <c r="G456" s="79">
        <v>219137.11538461538</v>
      </c>
      <c r="H456" s="63">
        <f t="shared" si="30"/>
        <v>510589.47884615383</v>
      </c>
      <c r="I456" s="63">
        <f t="shared" si="26"/>
        <v>0</v>
      </c>
      <c r="J456" s="60">
        <v>140</v>
      </c>
      <c r="K456" s="60"/>
      <c r="L456" s="64"/>
      <c r="M456" s="64"/>
      <c r="N456" s="64"/>
      <c r="O456" s="64"/>
      <c r="P456" s="64"/>
      <c r="Q456" s="64"/>
      <c r="R456" s="64"/>
      <c r="S456" s="64"/>
    </row>
    <row r="457" spans="1:19" ht="16.5" customHeight="1">
      <c r="A457" s="85" t="s">
        <v>1067</v>
      </c>
      <c r="B457" s="78" t="s">
        <v>1068</v>
      </c>
      <c r="C457" s="81" t="s">
        <v>237</v>
      </c>
      <c r="D457" s="92"/>
      <c r="E457" s="79" t="s">
        <v>646</v>
      </c>
      <c r="F457" s="76">
        <v>3.33</v>
      </c>
      <c r="G457" s="79">
        <v>219137.11538461538</v>
      </c>
      <c r="H457" s="63">
        <f t="shared" si="30"/>
        <v>729726.5942307692</v>
      </c>
      <c r="I457" s="63">
        <f t="shared" si="26"/>
        <v>0</v>
      </c>
      <c r="J457" s="60">
        <v>230</v>
      </c>
      <c r="K457" s="60"/>
      <c r="L457" s="64"/>
      <c r="M457" s="64"/>
      <c r="N457" s="64"/>
      <c r="O457" s="64"/>
      <c r="P457" s="64"/>
      <c r="Q457" s="64"/>
      <c r="R457" s="64"/>
      <c r="S457" s="64"/>
    </row>
    <row r="458" spans="1:19" ht="16.5" customHeight="1">
      <c r="A458" s="85" t="s">
        <v>1069</v>
      </c>
      <c r="B458" s="78" t="s">
        <v>1070</v>
      </c>
      <c r="C458" s="81" t="s">
        <v>237</v>
      </c>
      <c r="D458" s="92"/>
      <c r="E458" s="79" t="s">
        <v>646</v>
      </c>
      <c r="F458" s="76">
        <v>4.17</v>
      </c>
      <c r="G458" s="79">
        <v>219137.11538461538</v>
      </c>
      <c r="H458" s="63">
        <f t="shared" si="30"/>
        <v>913801.77115384606</v>
      </c>
      <c r="I458" s="63">
        <f t="shared" si="26"/>
        <v>0</v>
      </c>
      <c r="J458" s="60">
        <v>320</v>
      </c>
      <c r="K458" s="60"/>
      <c r="L458" s="64"/>
      <c r="M458" s="64"/>
      <c r="N458" s="64"/>
      <c r="O458" s="64"/>
      <c r="P458" s="64"/>
      <c r="Q458" s="64"/>
      <c r="R458" s="64"/>
      <c r="S458" s="64"/>
    </row>
    <row r="459" spans="1:19" ht="16.5" customHeight="1">
      <c r="A459" s="85" t="s">
        <v>1071</v>
      </c>
      <c r="B459" s="78" t="s">
        <v>1072</v>
      </c>
      <c r="C459" s="81" t="s">
        <v>237</v>
      </c>
      <c r="D459" s="92"/>
      <c r="E459" s="79" t="s">
        <v>646</v>
      </c>
      <c r="F459" s="76">
        <v>4.5999999999999996</v>
      </c>
      <c r="G459" s="79">
        <v>219137.11538461538</v>
      </c>
      <c r="H459" s="63">
        <f t="shared" si="30"/>
        <v>1008030.7307692306</v>
      </c>
      <c r="I459" s="63">
        <f t="shared" si="26"/>
        <v>0</v>
      </c>
      <c r="J459" s="60">
        <v>410</v>
      </c>
      <c r="K459" s="60"/>
      <c r="L459" s="64"/>
      <c r="M459" s="64"/>
      <c r="N459" s="64"/>
      <c r="O459" s="64"/>
      <c r="P459" s="64"/>
      <c r="Q459" s="64"/>
      <c r="R459" s="64"/>
      <c r="S459" s="64"/>
    </row>
    <row r="460" spans="1:19" ht="16.5" customHeight="1">
      <c r="A460" s="85" t="s">
        <v>1073</v>
      </c>
      <c r="B460" s="78" t="s">
        <v>1074</v>
      </c>
      <c r="C460" s="81" t="s">
        <v>237</v>
      </c>
      <c r="D460" s="92"/>
      <c r="E460" s="79" t="s">
        <v>646</v>
      </c>
      <c r="F460" s="76">
        <v>5.0199999999999996</v>
      </c>
      <c r="G460" s="79">
        <v>219137.11538461538</v>
      </c>
      <c r="H460" s="63">
        <f t="shared" si="30"/>
        <v>1100068.3192307691</v>
      </c>
      <c r="I460" s="63">
        <f t="shared" si="26"/>
        <v>0</v>
      </c>
      <c r="J460" s="60">
        <v>500</v>
      </c>
      <c r="K460" s="60"/>
      <c r="L460" s="64"/>
      <c r="M460" s="64"/>
      <c r="N460" s="64"/>
      <c r="O460" s="64"/>
      <c r="P460" s="64"/>
      <c r="Q460" s="64"/>
      <c r="R460" s="64"/>
      <c r="S460" s="64"/>
    </row>
    <row r="461" spans="1:19" ht="16.5" customHeight="1">
      <c r="A461" s="85" t="s">
        <v>1075</v>
      </c>
      <c r="B461" s="78" t="s">
        <v>1076</v>
      </c>
      <c r="C461" s="81" t="s">
        <v>237</v>
      </c>
      <c r="D461" s="92"/>
      <c r="E461" s="79" t="s">
        <v>646</v>
      </c>
      <c r="F461" s="76">
        <v>6.43</v>
      </c>
      <c r="G461" s="79">
        <v>219137.11538461538</v>
      </c>
      <c r="H461" s="63">
        <f t="shared" si="30"/>
        <v>1409051.6519230767</v>
      </c>
      <c r="I461" s="63">
        <f t="shared" si="26"/>
        <v>0</v>
      </c>
      <c r="J461" s="60">
        <v>750</v>
      </c>
      <c r="K461" s="60"/>
      <c r="L461" s="64"/>
      <c r="M461" s="64"/>
      <c r="N461" s="64"/>
      <c r="O461" s="64"/>
      <c r="P461" s="64"/>
      <c r="Q461" s="64"/>
      <c r="R461" s="64"/>
      <c r="S461" s="64"/>
    </row>
    <row r="462" spans="1:19" ht="16.5" customHeight="1">
      <c r="A462" s="85" t="s">
        <v>1077</v>
      </c>
      <c r="B462" s="78" t="s">
        <v>1078</v>
      </c>
      <c r="C462" s="81" t="s">
        <v>237</v>
      </c>
      <c r="D462" s="92"/>
      <c r="E462" s="79" t="s">
        <v>646</v>
      </c>
      <c r="F462" s="76">
        <v>7.59</v>
      </c>
      <c r="G462" s="79">
        <v>219137.11538461538</v>
      </c>
      <c r="H462" s="63">
        <f t="shared" si="30"/>
        <v>1663250.7057692306</v>
      </c>
      <c r="I462" s="63">
        <f t="shared" si="26"/>
        <v>0</v>
      </c>
      <c r="J462" s="60">
        <v>1000</v>
      </c>
      <c r="K462" s="60"/>
      <c r="L462" s="64"/>
      <c r="M462" s="64"/>
      <c r="N462" s="64"/>
      <c r="O462" s="64"/>
      <c r="P462" s="64"/>
      <c r="Q462" s="64"/>
      <c r="R462" s="64"/>
      <c r="S462" s="64"/>
    </row>
    <row r="463" spans="1:19" ht="16.5" customHeight="1">
      <c r="A463" s="102" t="s">
        <v>1079</v>
      </c>
      <c r="B463" s="55" t="s">
        <v>1080</v>
      </c>
      <c r="C463" s="81"/>
      <c r="D463" s="92"/>
      <c r="E463" s="98"/>
      <c r="F463" s="94"/>
      <c r="G463" s="98"/>
      <c r="H463" s="63"/>
      <c r="I463" s="63">
        <f t="shared" si="26"/>
        <v>0</v>
      </c>
      <c r="J463" s="60"/>
      <c r="K463" s="60"/>
      <c r="L463" s="64"/>
      <c r="M463" s="64"/>
      <c r="N463" s="64"/>
      <c r="O463" s="64"/>
      <c r="P463" s="64"/>
      <c r="Q463" s="64"/>
      <c r="R463" s="64"/>
      <c r="S463" s="64"/>
    </row>
    <row r="464" spans="1:19" s="150" customFormat="1" ht="16.5" customHeight="1">
      <c r="A464" s="151" t="s">
        <v>131</v>
      </c>
      <c r="B464" s="143" t="s">
        <v>132</v>
      </c>
      <c r="C464" s="144" t="s">
        <v>133</v>
      </c>
      <c r="D464" s="152">
        <v>2945</v>
      </c>
      <c r="E464" s="140"/>
      <c r="F464" s="141"/>
      <c r="G464" s="140"/>
      <c r="H464" s="159">
        <v>257865</v>
      </c>
      <c r="I464" s="122">
        <f t="shared" si="26"/>
        <v>0</v>
      </c>
      <c r="J464" s="146"/>
      <c r="K464" s="146"/>
      <c r="L464" s="147"/>
      <c r="M464" s="147"/>
      <c r="N464" s="147"/>
      <c r="O464" s="147"/>
      <c r="P464" s="147"/>
      <c r="Q464" s="147"/>
      <c r="R464" s="147"/>
      <c r="S464" s="147"/>
    </row>
    <row r="465" spans="1:19" ht="16.5" customHeight="1">
      <c r="A465" s="85" t="s">
        <v>1081</v>
      </c>
      <c r="B465" s="78" t="s">
        <v>1082</v>
      </c>
      <c r="C465" s="74" t="s">
        <v>133</v>
      </c>
      <c r="D465" s="92">
        <v>273</v>
      </c>
      <c r="E465" s="79" t="s">
        <v>646</v>
      </c>
      <c r="F465" s="76">
        <v>0.75</v>
      </c>
      <c r="G465" s="79">
        <v>219137.11538461538</v>
      </c>
      <c r="H465" s="63">
        <f t="shared" ref="H465:H526" si="31">+G465*F465</f>
        <v>164352.83653846153</v>
      </c>
      <c r="I465" s="63">
        <f t="shared" si="26"/>
        <v>0</v>
      </c>
      <c r="J465" s="60"/>
      <c r="K465" s="60"/>
      <c r="L465" s="64"/>
      <c r="M465" s="64"/>
      <c r="N465" s="64"/>
      <c r="O465" s="64"/>
      <c r="P465" s="64"/>
      <c r="Q465" s="64"/>
      <c r="R465" s="64"/>
      <c r="S465" s="64"/>
    </row>
    <row r="466" spans="1:19" ht="16.5" customHeight="1">
      <c r="A466" s="85" t="s">
        <v>1083</v>
      </c>
      <c r="B466" s="78" t="s">
        <v>1084</v>
      </c>
      <c r="C466" s="74" t="s">
        <v>133</v>
      </c>
      <c r="D466" s="92">
        <v>227</v>
      </c>
      <c r="E466" s="79" t="s">
        <v>646</v>
      </c>
      <c r="F466" s="76">
        <v>0.66</v>
      </c>
      <c r="G466" s="79">
        <v>219137.11538461538</v>
      </c>
      <c r="H466" s="63">
        <f t="shared" si="31"/>
        <v>144630.49615384615</v>
      </c>
      <c r="I466" s="63">
        <f t="shared" si="26"/>
        <v>0</v>
      </c>
      <c r="J466" s="60"/>
      <c r="K466" s="60"/>
      <c r="L466" s="64"/>
      <c r="M466" s="64"/>
      <c r="N466" s="64"/>
      <c r="O466" s="64"/>
      <c r="P466" s="64"/>
      <c r="Q466" s="64"/>
      <c r="R466" s="64"/>
      <c r="S466" s="64"/>
    </row>
    <row r="467" spans="1:19" ht="16.5" customHeight="1">
      <c r="A467" s="102" t="s">
        <v>2694</v>
      </c>
      <c r="B467" s="55" t="s">
        <v>1085</v>
      </c>
      <c r="C467" s="81"/>
      <c r="D467" s="92"/>
      <c r="E467" s="93"/>
      <c r="F467" s="94"/>
      <c r="G467" s="98"/>
      <c r="H467" s="63">
        <f t="shared" si="31"/>
        <v>0</v>
      </c>
      <c r="I467" s="63">
        <f t="shared" si="26"/>
        <v>0</v>
      </c>
      <c r="J467" s="60"/>
      <c r="K467" s="60"/>
      <c r="L467" s="64"/>
      <c r="M467" s="64"/>
      <c r="N467" s="64"/>
      <c r="O467" s="64"/>
      <c r="P467" s="64"/>
      <c r="Q467" s="64"/>
      <c r="R467" s="64"/>
      <c r="S467" s="64"/>
    </row>
    <row r="468" spans="1:19" ht="16.5" customHeight="1">
      <c r="A468" s="85" t="s">
        <v>2693</v>
      </c>
      <c r="B468" s="78" t="s">
        <v>1086</v>
      </c>
      <c r="C468" s="81" t="s">
        <v>130</v>
      </c>
      <c r="D468" s="92">
        <v>22528</v>
      </c>
      <c r="E468" s="79" t="s">
        <v>646</v>
      </c>
      <c r="F468" s="76">
        <v>2.5</v>
      </c>
      <c r="G468" s="79">
        <v>219137.11538461538</v>
      </c>
      <c r="H468" s="63">
        <f>+G468*F468</f>
        <v>547842.7884615385</v>
      </c>
      <c r="I468" s="63">
        <f t="shared" si="26"/>
        <v>0</v>
      </c>
      <c r="J468" s="60"/>
      <c r="K468" s="60"/>
      <c r="L468" s="64"/>
      <c r="M468" s="64"/>
      <c r="N468" s="64"/>
      <c r="O468" s="64"/>
      <c r="P468" s="64"/>
      <c r="Q468" s="64"/>
      <c r="R468" s="64"/>
      <c r="S468" s="64"/>
    </row>
    <row r="469" spans="1:19" s="150" customFormat="1" ht="16.5" customHeight="1">
      <c r="A469" s="151" t="s">
        <v>2695</v>
      </c>
      <c r="B469" s="143" t="s">
        <v>129</v>
      </c>
      <c r="C469" s="180" t="s">
        <v>130</v>
      </c>
      <c r="D469" s="152">
        <v>22528</v>
      </c>
      <c r="E469" s="140"/>
      <c r="F469" s="141"/>
      <c r="G469" s="140"/>
      <c r="H469" s="159">
        <v>722022</v>
      </c>
      <c r="I469" s="122">
        <f t="shared" si="26"/>
        <v>0</v>
      </c>
      <c r="J469" s="146"/>
      <c r="K469" s="146"/>
      <c r="L469" s="147"/>
      <c r="M469" s="147"/>
      <c r="N469" s="147"/>
      <c r="O469" s="147"/>
      <c r="P469" s="147"/>
      <c r="Q469" s="147"/>
      <c r="R469" s="147"/>
      <c r="S469" s="147"/>
    </row>
    <row r="470" spans="1:19" ht="16.5" customHeight="1">
      <c r="A470" s="85" t="s">
        <v>2696</v>
      </c>
      <c r="B470" s="78" t="s">
        <v>1087</v>
      </c>
      <c r="C470" s="81" t="s">
        <v>130</v>
      </c>
      <c r="D470" s="92">
        <v>22528</v>
      </c>
      <c r="E470" s="79" t="s">
        <v>646</v>
      </c>
      <c r="F470" s="76">
        <v>4.38</v>
      </c>
      <c r="G470" s="79">
        <v>219137.11538461538</v>
      </c>
      <c r="H470" s="63">
        <f t="shared" si="31"/>
        <v>959820.56538461533</v>
      </c>
      <c r="I470" s="63">
        <f t="shared" si="26"/>
        <v>0</v>
      </c>
      <c r="J470" s="60"/>
      <c r="K470" s="60"/>
      <c r="L470" s="64"/>
      <c r="M470" s="64"/>
      <c r="N470" s="64"/>
      <c r="O470" s="64"/>
      <c r="P470" s="64"/>
      <c r="Q470" s="64"/>
      <c r="R470" s="64"/>
      <c r="S470" s="64"/>
    </row>
    <row r="471" spans="1:19" ht="16.5" customHeight="1">
      <c r="A471" s="85" t="s">
        <v>2697</v>
      </c>
      <c r="B471" s="78" t="s">
        <v>1088</v>
      </c>
      <c r="C471" s="81" t="s">
        <v>130</v>
      </c>
      <c r="D471" s="92">
        <v>22528</v>
      </c>
      <c r="E471" s="79" t="s">
        <v>646</v>
      </c>
      <c r="F471" s="76">
        <v>7.5</v>
      </c>
      <c r="G471" s="79">
        <v>219137.11538461538</v>
      </c>
      <c r="H471" s="63">
        <f t="shared" si="31"/>
        <v>1643528.3653846153</v>
      </c>
      <c r="I471" s="63">
        <f t="shared" si="26"/>
        <v>0</v>
      </c>
      <c r="J471" s="60"/>
      <c r="K471" s="60"/>
      <c r="L471" s="64"/>
      <c r="M471" s="64"/>
      <c r="N471" s="64"/>
      <c r="O471" s="64"/>
      <c r="P471" s="64"/>
      <c r="Q471" s="64"/>
      <c r="R471" s="64"/>
      <c r="S471" s="64"/>
    </row>
    <row r="472" spans="1:19" ht="16.5" customHeight="1">
      <c r="A472" s="102" t="s">
        <v>1089</v>
      </c>
      <c r="B472" s="55" t="s">
        <v>1090</v>
      </c>
      <c r="C472" s="81"/>
      <c r="D472" s="92"/>
      <c r="E472" s="98"/>
      <c r="F472" s="94"/>
      <c r="G472" s="98"/>
      <c r="H472" s="63">
        <f t="shared" si="31"/>
        <v>0</v>
      </c>
      <c r="I472" s="63">
        <f t="shared" si="26"/>
        <v>0</v>
      </c>
      <c r="J472" s="60"/>
      <c r="K472" s="60"/>
      <c r="L472" s="64"/>
      <c r="M472" s="64"/>
      <c r="N472" s="64"/>
      <c r="O472" s="64"/>
      <c r="P472" s="64"/>
      <c r="Q472" s="64"/>
      <c r="R472" s="64"/>
      <c r="S472" s="64"/>
    </row>
    <row r="473" spans="1:19" s="150" customFormat="1" ht="16.5" customHeight="1">
      <c r="A473" s="151" t="s">
        <v>196</v>
      </c>
      <c r="B473" s="143" t="s">
        <v>197</v>
      </c>
      <c r="C473" s="144" t="s">
        <v>198</v>
      </c>
      <c r="D473" s="152">
        <v>13917</v>
      </c>
      <c r="E473" s="140"/>
      <c r="F473" s="141"/>
      <c r="G473" s="140"/>
      <c r="H473" s="159">
        <v>146983</v>
      </c>
      <c r="I473" s="122">
        <f t="shared" si="26"/>
        <v>0</v>
      </c>
      <c r="J473" s="146"/>
      <c r="K473" s="146"/>
      <c r="L473" s="147"/>
      <c r="M473" s="147"/>
      <c r="N473" s="147"/>
      <c r="O473" s="147"/>
      <c r="P473" s="147"/>
      <c r="Q473" s="147"/>
      <c r="R473" s="147"/>
      <c r="S473" s="147"/>
    </row>
    <row r="474" spans="1:19" ht="16.5" customHeight="1">
      <c r="A474" s="85" t="s">
        <v>1091</v>
      </c>
      <c r="B474" s="78" t="s">
        <v>1092</v>
      </c>
      <c r="C474" s="74" t="s">
        <v>198</v>
      </c>
      <c r="D474" s="92">
        <v>6300</v>
      </c>
      <c r="E474" s="79" t="s">
        <v>646</v>
      </c>
      <c r="F474" s="76">
        <v>0.71</v>
      </c>
      <c r="G474" s="79">
        <v>219137.11538461538</v>
      </c>
      <c r="H474" s="63">
        <f t="shared" si="31"/>
        <v>155587.3519230769</v>
      </c>
      <c r="I474" s="63">
        <f t="shared" si="26"/>
        <v>0</v>
      </c>
      <c r="J474" s="60"/>
      <c r="K474" s="60"/>
      <c r="L474" s="64"/>
      <c r="M474" s="64"/>
      <c r="N474" s="64"/>
      <c r="O474" s="64"/>
      <c r="P474" s="64"/>
      <c r="Q474" s="64"/>
      <c r="R474" s="64"/>
      <c r="S474" s="64"/>
    </row>
    <row r="475" spans="1:19" ht="16.5" customHeight="1">
      <c r="A475" s="85" t="s">
        <v>1093</v>
      </c>
      <c r="B475" s="78" t="s">
        <v>1094</v>
      </c>
      <c r="C475" s="74" t="s">
        <v>198</v>
      </c>
      <c r="D475" s="92">
        <v>7159</v>
      </c>
      <c r="E475" s="79" t="s">
        <v>646</v>
      </c>
      <c r="F475" s="76">
        <v>0.95</v>
      </c>
      <c r="G475" s="79">
        <v>219137.11538461538</v>
      </c>
      <c r="H475" s="63">
        <f t="shared" si="31"/>
        <v>208180.2596153846</v>
      </c>
      <c r="I475" s="63">
        <f t="shared" ref="I475:I537" si="32">+K475*$I$4</f>
        <v>0</v>
      </c>
      <c r="J475" s="60"/>
      <c r="K475" s="60"/>
      <c r="L475" s="64"/>
      <c r="M475" s="64"/>
      <c r="N475" s="64"/>
      <c r="O475" s="64"/>
      <c r="P475" s="64"/>
      <c r="Q475" s="64"/>
      <c r="R475" s="64"/>
      <c r="S475" s="64"/>
    </row>
    <row r="476" spans="1:19" ht="16.5" customHeight="1">
      <c r="A476" s="85"/>
      <c r="B476" s="55" t="s">
        <v>1095</v>
      </c>
      <c r="C476" s="81"/>
      <c r="D476" s="92"/>
      <c r="E476" s="98"/>
      <c r="F476" s="94"/>
      <c r="G476" s="98"/>
      <c r="H476" s="63">
        <f t="shared" si="31"/>
        <v>0</v>
      </c>
      <c r="I476" s="63">
        <f t="shared" si="32"/>
        <v>0</v>
      </c>
      <c r="J476" s="60"/>
      <c r="K476" s="60"/>
      <c r="L476" s="64"/>
      <c r="M476" s="64"/>
      <c r="N476" s="64"/>
      <c r="O476" s="64"/>
      <c r="P476" s="64"/>
      <c r="Q476" s="64"/>
      <c r="R476" s="64"/>
      <c r="S476" s="64"/>
    </row>
    <row r="477" spans="1:19" ht="16.5" customHeight="1">
      <c r="A477" s="85" t="s">
        <v>1096</v>
      </c>
      <c r="B477" s="78" t="s">
        <v>1097</v>
      </c>
      <c r="C477" s="74" t="s">
        <v>198</v>
      </c>
      <c r="D477" s="92">
        <v>5007</v>
      </c>
      <c r="E477" s="79" t="s">
        <v>646</v>
      </c>
      <c r="F477" s="76">
        <v>0.11</v>
      </c>
      <c r="G477" s="79">
        <v>219137.11538461538</v>
      </c>
      <c r="H477" s="63">
        <f t="shared" si="31"/>
        <v>24105.082692307693</v>
      </c>
      <c r="I477" s="63">
        <f t="shared" si="32"/>
        <v>0</v>
      </c>
      <c r="J477" s="60"/>
      <c r="K477" s="60"/>
      <c r="L477" s="64"/>
      <c r="M477" s="64"/>
      <c r="N477" s="64"/>
      <c r="O477" s="64"/>
      <c r="P477" s="64"/>
      <c r="Q477" s="64"/>
      <c r="R477" s="64"/>
      <c r="S477" s="64"/>
    </row>
    <row r="478" spans="1:19" ht="16.5" customHeight="1">
      <c r="A478" s="85" t="s">
        <v>1098</v>
      </c>
      <c r="B478" s="78" t="s">
        <v>1099</v>
      </c>
      <c r="C478" s="74" t="s">
        <v>198</v>
      </c>
      <c r="D478" s="92">
        <v>7789</v>
      </c>
      <c r="E478" s="79" t="s">
        <v>646</v>
      </c>
      <c r="F478" s="76">
        <v>0.156</v>
      </c>
      <c r="G478" s="79">
        <v>219137.11538461538</v>
      </c>
      <c r="H478" s="63">
        <f t="shared" si="31"/>
        <v>34185.39</v>
      </c>
      <c r="I478" s="63">
        <f t="shared" si="32"/>
        <v>0</v>
      </c>
      <c r="J478" s="60"/>
      <c r="K478" s="60"/>
      <c r="L478" s="64"/>
      <c r="M478" s="64"/>
      <c r="N478" s="64"/>
      <c r="O478" s="64"/>
      <c r="P478" s="64"/>
      <c r="Q478" s="64"/>
      <c r="R478" s="64"/>
      <c r="S478" s="64"/>
    </row>
    <row r="479" spans="1:19" ht="16.5" customHeight="1">
      <c r="A479" s="83" t="s">
        <v>1100</v>
      </c>
      <c r="B479" s="55" t="s">
        <v>1101</v>
      </c>
      <c r="C479" s="81"/>
      <c r="D479" s="92"/>
      <c r="E479" s="98"/>
      <c r="F479" s="94"/>
      <c r="G479" s="98"/>
      <c r="H479" s="63">
        <f t="shared" si="31"/>
        <v>0</v>
      </c>
      <c r="I479" s="63">
        <f t="shared" si="32"/>
        <v>0</v>
      </c>
      <c r="J479" s="60"/>
      <c r="K479" s="60"/>
      <c r="L479" s="64"/>
      <c r="M479" s="64"/>
      <c r="N479" s="64"/>
      <c r="O479" s="64"/>
      <c r="P479" s="64"/>
      <c r="Q479" s="64"/>
      <c r="R479" s="64"/>
      <c r="S479" s="64"/>
    </row>
    <row r="480" spans="1:19" ht="16.5" customHeight="1">
      <c r="A480" s="83"/>
      <c r="B480" s="55" t="s">
        <v>1102</v>
      </c>
      <c r="C480" s="81"/>
      <c r="D480" s="92"/>
      <c r="E480" s="98"/>
      <c r="F480" s="94"/>
      <c r="G480" s="98"/>
      <c r="H480" s="63">
        <f t="shared" si="31"/>
        <v>0</v>
      </c>
      <c r="I480" s="63">
        <f t="shared" si="32"/>
        <v>0</v>
      </c>
      <c r="J480" s="60"/>
      <c r="K480" s="60"/>
      <c r="L480" s="64"/>
      <c r="M480" s="64"/>
      <c r="N480" s="64"/>
      <c r="O480" s="64"/>
      <c r="P480" s="64"/>
      <c r="Q480" s="64"/>
      <c r="R480" s="64"/>
      <c r="S480" s="64"/>
    </row>
    <row r="481" spans="1:19" ht="16.5" customHeight="1">
      <c r="A481" s="85" t="s">
        <v>1103</v>
      </c>
      <c r="B481" s="78" t="s">
        <v>1104</v>
      </c>
      <c r="C481" s="81" t="s">
        <v>244</v>
      </c>
      <c r="D481" s="92"/>
      <c r="E481" s="79" t="s">
        <v>646</v>
      </c>
      <c r="F481" s="76">
        <v>0.11</v>
      </c>
      <c r="G481" s="79">
        <v>219137.11538461538</v>
      </c>
      <c r="H481" s="63">
        <f t="shared" si="31"/>
        <v>24105.082692307693</v>
      </c>
      <c r="I481" s="63">
        <f t="shared" si="32"/>
        <v>0</v>
      </c>
      <c r="J481" s="60"/>
      <c r="K481" s="60"/>
      <c r="L481" s="64"/>
      <c r="M481" s="64"/>
      <c r="N481" s="64"/>
      <c r="O481" s="64"/>
      <c r="P481" s="64"/>
      <c r="Q481" s="64"/>
      <c r="R481" s="64"/>
      <c r="S481" s="64"/>
    </row>
    <row r="482" spans="1:19" ht="16.5" customHeight="1">
      <c r="A482" s="85" t="s">
        <v>1105</v>
      </c>
      <c r="B482" s="78" t="s">
        <v>1106</v>
      </c>
      <c r="C482" s="81" t="s">
        <v>244</v>
      </c>
      <c r="D482" s="92"/>
      <c r="E482" s="79" t="s">
        <v>646</v>
      </c>
      <c r="F482" s="76">
        <v>0.151</v>
      </c>
      <c r="G482" s="79">
        <v>219137.11538461538</v>
      </c>
      <c r="H482" s="63">
        <f t="shared" si="31"/>
        <v>33089.704423076924</v>
      </c>
      <c r="I482" s="63">
        <f t="shared" si="32"/>
        <v>0</v>
      </c>
      <c r="J482" s="60"/>
      <c r="K482" s="60"/>
      <c r="L482" s="64"/>
      <c r="M482" s="64"/>
      <c r="N482" s="64"/>
      <c r="O482" s="64"/>
      <c r="P482" s="64"/>
      <c r="Q482" s="64"/>
      <c r="R482" s="64"/>
      <c r="S482" s="64"/>
    </row>
    <row r="483" spans="1:19" ht="16.5" customHeight="1">
      <c r="A483" s="85" t="s">
        <v>1107</v>
      </c>
      <c r="B483" s="78" t="s">
        <v>1108</v>
      </c>
      <c r="C483" s="81" t="s">
        <v>244</v>
      </c>
      <c r="D483" s="92"/>
      <c r="E483" s="79" t="s">
        <v>646</v>
      </c>
      <c r="F483" s="76">
        <v>0.192</v>
      </c>
      <c r="G483" s="79">
        <v>219137.11538461538</v>
      </c>
      <c r="H483" s="63">
        <f t="shared" si="31"/>
        <v>42074.326153846152</v>
      </c>
      <c r="I483" s="63">
        <f t="shared" si="32"/>
        <v>0</v>
      </c>
      <c r="J483" s="60"/>
      <c r="K483" s="60"/>
      <c r="L483" s="64"/>
      <c r="M483" s="64"/>
      <c r="N483" s="64"/>
      <c r="O483" s="64"/>
      <c r="P483" s="64"/>
      <c r="Q483" s="64"/>
      <c r="R483" s="64"/>
      <c r="S483" s="64"/>
    </row>
    <row r="484" spans="1:19" ht="16.5" customHeight="1">
      <c r="A484" s="85" t="s">
        <v>1109</v>
      </c>
      <c r="B484" s="78" t="s">
        <v>1110</v>
      </c>
      <c r="C484" s="81" t="s">
        <v>244</v>
      </c>
      <c r="D484" s="92"/>
      <c r="E484" s="79" t="s">
        <v>646</v>
      </c>
      <c r="F484" s="76">
        <v>0.16500000000000001</v>
      </c>
      <c r="G484" s="79">
        <v>219137.11538461538</v>
      </c>
      <c r="H484" s="63">
        <f t="shared" si="31"/>
        <v>36157.624038461538</v>
      </c>
      <c r="I484" s="63">
        <f t="shared" si="32"/>
        <v>0</v>
      </c>
      <c r="J484" s="60"/>
      <c r="K484" s="60"/>
      <c r="L484" s="64"/>
      <c r="M484" s="64"/>
      <c r="N484" s="64"/>
      <c r="O484" s="64"/>
      <c r="P484" s="64"/>
      <c r="Q484" s="64"/>
      <c r="R484" s="64"/>
      <c r="S484" s="64"/>
    </row>
    <row r="485" spans="1:19" s="150" customFormat="1" ht="16.5" customHeight="1">
      <c r="A485" s="151" t="s">
        <v>242</v>
      </c>
      <c r="B485" s="143" t="s">
        <v>243</v>
      </c>
      <c r="C485" s="180" t="s">
        <v>244</v>
      </c>
      <c r="D485" s="152"/>
      <c r="E485" s="140"/>
      <c r="F485" s="141"/>
      <c r="G485" s="140"/>
      <c r="H485" s="159">
        <f>582775/10</f>
        <v>58277.5</v>
      </c>
      <c r="I485" s="122">
        <f t="shared" si="32"/>
        <v>0</v>
      </c>
      <c r="J485" s="146"/>
      <c r="K485" s="146"/>
      <c r="L485" s="147"/>
      <c r="M485" s="147"/>
      <c r="N485" s="147"/>
      <c r="O485" s="147"/>
      <c r="P485" s="147"/>
      <c r="Q485" s="147"/>
      <c r="R485" s="147"/>
      <c r="S485" s="147"/>
    </row>
    <row r="486" spans="1:19" ht="16.5" customHeight="1">
      <c r="A486" s="85" t="s">
        <v>1111</v>
      </c>
      <c r="B486" s="78" t="s">
        <v>1112</v>
      </c>
      <c r="C486" s="81" t="s">
        <v>244</v>
      </c>
      <c r="D486" s="92"/>
      <c r="E486" s="79" t="s">
        <v>646</v>
      </c>
      <c r="F486" s="76">
        <v>0.28799999999999998</v>
      </c>
      <c r="G486" s="79">
        <v>219137.11538461538</v>
      </c>
      <c r="H486" s="63">
        <f t="shared" si="31"/>
        <v>63111.489230769221</v>
      </c>
      <c r="I486" s="63">
        <f t="shared" si="32"/>
        <v>0</v>
      </c>
      <c r="J486" s="60"/>
      <c r="K486" s="60"/>
      <c r="L486" s="64"/>
      <c r="M486" s="64"/>
      <c r="N486" s="64"/>
      <c r="O486" s="64"/>
      <c r="P486" s="64"/>
      <c r="Q486" s="64"/>
      <c r="R486" s="64"/>
      <c r="S486" s="64"/>
    </row>
    <row r="487" spans="1:19" ht="16.5" customHeight="1">
      <c r="A487" s="85" t="s">
        <v>1113</v>
      </c>
      <c r="B487" s="78" t="s">
        <v>1114</v>
      </c>
      <c r="C487" s="81" t="s">
        <v>244</v>
      </c>
      <c r="D487" s="92"/>
      <c r="E487" s="79" t="s">
        <v>646</v>
      </c>
      <c r="F487" s="76">
        <v>8.7999999999999995E-2</v>
      </c>
      <c r="G487" s="79">
        <v>219137.11538461538</v>
      </c>
      <c r="H487" s="63">
        <f t="shared" si="31"/>
        <v>19284.066153846154</v>
      </c>
      <c r="I487" s="63">
        <f t="shared" si="32"/>
        <v>0</v>
      </c>
      <c r="J487" s="60"/>
      <c r="K487" s="60"/>
      <c r="L487" s="64"/>
      <c r="M487" s="64"/>
      <c r="N487" s="64"/>
      <c r="O487" s="64"/>
      <c r="P487" s="64"/>
      <c r="Q487" s="64"/>
      <c r="R487" s="64"/>
      <c r="S487" s="64"/>
    </row>
    <row r="488" spans="1:19" ht="16.5" customHeight="1">
      <c r="A488" s="85" t="s">
        <v>1115</v>
      </c>
      <c r="B488" s="78" t="s">
        <v>1116</v>
      </c>
      <c r="C488" s="81" t="s">
        <v>244</v>
      </c>
      <c r="D488" s="92"/>
      <c r="E488" s="79" t="s">
        <v>646</v>
      </c>
      <c r="F488" s="76">
        <v>0.12</v>
      </c>
      <c r="G488" s="79">
        <v>219137.11538461538</v>
      </c>
      <c r="H488" s="63">
        <f t="shared" si="31"/>
        <v>26296.453846153843</v>
      </c>
      <c r="I488" s="63">
        <f t="shared" si="32"/>
        <v>0</v>
      </c>
      <c r="J488" s="60"/>
      <c r="K488" s="60"/>
      <c r="L488" s="64"/>
      <c r="M488" s="64"/>
      <c r="N488" s="64"/>
      <c r="O488" s="64"/>
      <c r="P488" s="64"/>
      <c r="Q488" s="64"/>
      <c r="R488" s="64"/>
      <c r="S488" s="64"/>
    </row>
    <row r="489" spans="1:19" ht="16.5" customHeight="1">
      <c r="A489" s="85" t="s">
        <v>1117</v>
      </c>
      <c r="B489" s="78" t="s">
        <v>1118</v>
      </c>
      <c r="C489" s="81" t="s">
        <v>244</v>
      </c>
      <c r="D489" s="92"/>
      <c r="E489" s="79" t="s">
        <v>646</v>
      </c>
      <c r="F489" s="76">
        <v>0.153</v>
      </c>
      <c r="G489" s="79">
        <v>219137.11538461538</v>
      </c>
      <c r="H489" s="63">
        <f t="shared" si="31"/>
        <v>33527.978653846149</v>
      </c>
      <c r="I489" s="63">
        <f t="shared" si="32"/>
        <v>0</v>
      </c>
      <c r="J489" s="60"/>
      <c r="K489" s="60"/>
      <c r="L489" s="64"/>
      <c r="M489" s="64"/>
      <c r="N489" s="64"/>
      <c r="O489" s="64"/>
      <c r="P489" s="64"/>
      <c r="Q489" s="64"/>
      <c r="R489" s="64"/>
      <c r="S489" s="64"/>
    </row>
    <row r="490" spans="1:19" ht="16.5" customHeight="1">
      <c r="A490" s="85" t="s">
        <v>1119</v>
      </c>
      <c r="B490" s="78" t="s">
        <v>1120</v>
      </c>
      <c r="C490" s="81" t="s">
        <v>244</v>
      </c>
      <c r="D490" s="92"/>
      <c r="E490" s="79" t="s">
        <v>646</v>
      </c>
      <c r="F490" s="76">
        <v>0.11399999999999999</v>
      </c>
      <c r="G490" s="79">
        <v>219137.11538461538</v>
      </c>
      <c r="H490" s="63">
        <f t="shared" si="31"/>
        <v>24981.631153846152</v>
      </c>
      <c r="I490" s="63">
        <f t="shared" si="32"/>
        <v>0</v>
      </c>
      <c r="J490" s="60"/>
      <c r="K490" s="60"/>
      <c r="L490" s="64"/>
      <c r="M490" s="64"/>
      <c r="N490" s="64"/>
      <c r="O490" s="64"/>
      <c r="P490" s="64"/>
      <c r="Q490" s="64"/>
      <c r="R490" s="64"/>
      <c r="S490" s="64"/>
    </row>
    <row r="491" spans="1:19" ht="16.5" customHeight="1">
      <c r="A491" s="85" t="s">
        <v>1121</v>
      </c>
      <c r="B491" s="78" t="s">
        <v>1122</v>
      </c>
      <c r="C491" s="81" t="s">
        <v>244</v>
      </c>
      <c r="D491" s="92"/>
      <c r="E491" s="79" t="s">
        <v>646</v>
      </c>
      <c r="F491" s="76">
        <v>0.156</v>
      </c>
      <c r="G491" s="79">
        <v>219137.11538461538</v>
      </c>
      <c r="H491" s="63">
        <f t="shared" si="31"/>
        <v>34185.39</v>
      </c>
      <c r="I491" s="63">
        <f t="shared" si="32"/>
        <v>0</v>
      </c>
      <c r="J491" s="60"/>
      <c r="K491" s="60"/>
      <c r="L491" s="64"/>
      <c r="M491" s="64"/>
      <c r="N491" s="64"/>
      <c r="O491" s="64"/>
      <c r="P491" s="64"/>
      <c r="Q491" s="64"/>
      <c r="R491" s="64"/>
      <c r="S491" s="64"/>
    </row>
    <row r="492" spans="1:19" ht="16.5" customHeight="1">
      <c r="A492" s="85" t="s">
        <v>1123</v>
      </c>
      <c r="B492" s="78" t="s">
        <v>1124</v>
      </c>
      <c r="C492" s="81" t="s">
        <v>244</v>
      </c>
      <c r="D492" s="92"/>
      <c r="E492" s="79" t="s">
        <v>646</v>
      </c>
      <c r="F492" s="76">
        <v>0.19900000000000001</v>
      </c>
      <c r="G492" s="79">
        <v>219137.11538461538</v>
      </c>
      <c r="H492" s="63">
        <f t="shared" si="31"/>
        <v>43608.285961538459</v>
      </c>
      <c r="I492" s="63">
        <f t="shared" si="32"/>
        <v>0</v>
      </c>
      <c r="J492" s="60"/>
      <c r="K492" s="60"/>
      <c r="L492" s="64"/>
      <c r="M492" s="64"/>
      <c r="N492" s="64"/>
      <c r="O492" s="64"/>
      <c r="P492" s="64"/>
      <c r="Q492" s="64"/>
      <c r="R492" s="64"/>
      <c r="S492" s="64"/>
    </row>
    <row r="493" spans="1:19" ht="16.5" customHeight="1">
      <c r="A493" s="83"/>
      <c r="B493" s="55" t="s">
        <v>1125</v>
      </c>
      <c r="C493" s="81"/>
      <c r="D493" s="92"/>
      <c r="E493" s="98"/>
      <c r="F493" s="94"/>
      <c r="G493" s="98"/>
      <c r="H493" s="63">
        <f t="shared" si="31"/>
        <v>0</v>
      </c>
      <c r="I493" s="63">
        <f t="shared" si="32"/>
        <v>0</v>
      </c>
      <c r="J493" s="60"/>
      <c r="K493" s="60"/>
      <c r="L493" s="64"/>
      <c r="M493" s="64"/>
      <c r="N493" s="64"/>
      <c r="O493" s="64"/>
      <c r="P493" s="64"/>
      <c r="Q493" s="64"/>
      <c r="R493" s="64"/>
      <c r="S493" s="64"/>
    </row>
    <row r="494" spans="1:19" s="150" customFormat="1" ht="16.5" customHeight="1">
      <c r="A494" s="151" t="s">
        <v>252</v>
      </c>
      <c r="B494" s="143" t="s">
        <v>253</v>
      </c>
      <c r="C494" s="180" t="s">
        <v>244</v>
      </c>
      <c r="D494" s="152"/>
      <c r="E494" s="140"/>
      <c r="F494" s="141"/>
      <c r="G494" s="140"/>
      <c r="H494" s="159">
        <v>15472</v>
      </c>
      <c r="I494" s="122">
        <f t="shared" si="32"/>
        <v>0</v>
      </c>
      <c r="J494" s="146"/>
      <c r="K494" s="146"/>
      <c r="L494" s="147"/>
      <c r="M494" s="147"/>
      <c r="N494" s="147"/>
      <c r="O494" s="147"/>
      <c r="P494" s="147"/>
      <c r="Q494" s="147"/>
      <c r="R494" s="147"/>
      <c r="S494" s="147"/>
    </row>
    <row r="495" spans="1:19" ht="16.5" customHeight="1">
      <c r="A495" s="85" t="s">
        <v>1126</v>
      </c>
      <c r="B495" s="78" t="s">
        <v>1127</v>
      </c>
      <c r="C495" s="81" t="s">
        <v>244</v>
      </c>
      <c r="D495" s="92"/>
      <c r="E495" s="79" t="s">
        <v>646</v>
      </c>
      <c r="F495" s="76">
        <v>7.0000000000000007E-2</v>
      </c>
      <c r="G495" s="79">
        <v>219137.11538461538</v>
      </c>
      <c r="H495" s="63">
        <f t="shared" si="31"/>
        <v>15339.598076923077</v>
      </c>
      <c r="I495" s="63">
        <f t="shared" si="32"/>
        <v>0</v>
      </c>
      <c r="J495" s="60"/>
      <c r="K495" s="60"/>
      <c r="L495" s="64"/>
      <c r="M495" s="64"/>
      <c r="N495" s="64"/>
      <c r="O495" s="64"/>
      <c r="P495" s="64"/>
      <c r="Q495" s="64"/>
      <c r="R495" s="64"/>
      <c r="S495" s="64"/>
    </row>
    <row r="496" spans="1:19" ht="16.5" customHeight="1">
      <c r="A496" s="85" t="s">
        <v>1128</v>
      </c>
      <c r="B496" s="78" t="s">
        <v>1129</v>
      </c>
      <c r="C496" s="81" t="s">
        <v>94</v>
      </c>
      <c r="D496" s="92"/>
      <c r="E496" s="79" t="s">
        <v>646</v>
      </c>
      <c r="F496" s="76">
        <v>0.28000000000000003</v>
      </c>
      <c r="G496" s="79">
        <v>219137.11538461538</v>
      </c>
      <c r="H496" s="63">
        <f t="shared" si="31"/>
        <v>61358.392307692309</v>
      </c>
      <c r="I496" s="63">
        <f t="shared" si="32"/>
        <v>0</v>
      </c>
      <c r="J496" s="60"/>
      <c r="K496" s="60"/>
      <c r="L496" s="64"/>
      <c r="M496" s="64"/>
      <c r="N496" s="64"/>
      <c r="O496" s="64"/>
      <c r="P496" s="64"/>
      <c r="Q496" s="64"/>
      <c r="R496" s="64"/>
      <c r="S496" s="64"/>
    </row>
    <row r="497" spans="1:19" ht="16.5" customHeight="1">
      <c r="A497" s="85" t="s">
        <v>1130</v>
      </c>
      <c r="B497" s="78" t="s">
        <v>1131</v>
      </c>
      <c r="C497" s="81" t="s">
        <v>237</v>
      </c>
      <c r="D497" s="92"/>
      <c r="E497" s="79" t="s">
        <v>646</v>
      </c>
      <c r="F497" s="76">
        <v>0.39</v>
      </c>
      <c r="G497" s="79">
        <v>219137.11538461538</v>
      </c>
      <c r="H497" s="63">
        <f t="shared" si="31"/>
        <v>85463.475000000006</v>
      </c>
      <c r="I497" s="63">
        <f t="shared" si="32"/>
        <v>0</v>
      </c>
      <c r="J497" s="60"/>
      <c r="K497" s="60"/>
      <c r="L497" s="64"/>
      <c r="M497" s="64"/>
      <c r="N497" s="64"/>
      <c r="O497" s="64"/>
      <c r="P497" s="64"/>
      <c r="Q497" s="64"/>
      <c r="R497" s="64"/>
      <c r="S497" s="64"/>
    </row>
    <row r="498" spans="1:19" ht="16.5" customHeight="1">
      <c r="A498" s="85" t="s">
        <v>1132</v>
      </c>
      <c r="B498" s="78" t="s">
        <v>1133</v>
      </c>
      <c r="C498" s="81" t="s">
        <v>237</v>
      </c>
      <c r="D498" s="92"/>
      <c r="E498" s="79" t="s">
        <v>646</v>
      </c>
      <c r="F498" s="76">
        <v>0.55000000000000004</v>
      </c>
      <c r="G498" s="79">
        <v>219137.11538461538</v>
      </c>
      <c r="H498" s="63">
        <f t="shared" si="31"/>
        <v>120525.41346153847</v>
      </c>
      <c r="I498" s="63">
        <f t="shared" si="32"/>
        <v>0</v>
      </c>
      <c r="J498" s="60"/>
      <c r="K498" s="60"/>
      <c r="L498" s="64"/>
      <c r="M498" s="64"/>
      <c r="N498" s="64"/>
      <c r="O498" s="64"/>
      <c r="P498" s="64"/>
      <c r="Q498" s="64"/>
      <c r="R498" s="64"/>
      <c r="S498" s="64"/>
    </row>
    <row r="499" spans="1:19" ht="16.5" customHeight="1">
      <c r="A499" s="85" t="s">
        <v>1134</v>
      </c>
      <c r="B499" s="78" t="s">
        <v>1135</v>
      </c>
      <c r="C499" s="81" t="s">
        <v>244</v>
      </c>
      <c r="D499" s="92"/>
      <c r="E499" s="79" t="s">
        <v>646</v>
      </c>
      <c r="F499" s="76">
        <v>2.4E-2</v>
      </c>
      <c r="G499" s="79">
        <v>219137.11538461538</v>
      </c>
      <c r="H499" s="63">
        <f t="shared" si="31"/>
        <v>5259.290769230769</v>
      </c>
      <c r="I499" s="63">
        <f t="shared" si="32"/>
        <v>0</v>
      </c>
      <c r="J499" s="60"/>
      <c r="K499" s="60"/>
      <c r="L499" s="64"/>
      <c r="M499" s="65"/>
      <c r="N499" s="66"/>
      <c r="O499" s="64"/>
      <c r="P499" s="64"/>
      <c r="Q499" s="64"/>
      <c r="R499" s="64"/>
      <c r="S499" s="64"/>
    </row>
    <row r="500" spans="1:19" ht="16.5" customHeight="1">
      <c r="A500" s="85" t="s">
        <v>1136</v>
      </c>
      <c r="B500" s="78" t="s">
        <v>1137</v>
      </c>
      <c r="C500" s="81" t="s">
        <v>244</v>
      </c>
      <c r="D500" s="92"/>
      <c r="E500" s="79" t="s">
        <v>646</v>
      </c>
      <c r="F500" s="76">
        <v>2.8000000000000001E-2</v>
      </c>
      <c r="G500" s="79">
        <v>219137.11538461538</v>
      </c>
      <c r="H500" s="63">
        <f t="shared" si="31"/>
        <v>6135.8392307692302</v>
      </c>
      <c r="I500" s="63">
        <f t="shared" si="32"/>
        <v>0</v>
      </c>
      <c r="J500" s="60"/>
      <c r="K500" s="60"/>
      <c r="L500" s="64"/>
      <c r="M500" s="64"/>
      <c r="N500" s="64"/>
      <c r="O500" s="64"/>
      <c r="P500" s="64"/>
      <c r="Q500" s="64"/>
      <c r="R500" s="64"/>
      <c r="S500" s="64"/>
    </row>
    <row r="501" spans="1:19" ht="16.5" customHeight="1">
      <c r="A501" s="85" t="s">
        <v>1138</v>
      </c>
      <c r="B501" s="78" t="s">
        <v>1139</v>
      </c>
      <c r="C501" s="81" t="s">
        <v>237</v>
      </c>
      <c r="D501" s="92"/>
      <c r="E501" s="79" t="s">
        <v>646</v>
      </c>
      <c r="F501" s="76">
        <v>7.8E-2</v>
      </c>
      <c r="G501" s="79">
        <v>219137.11538461538</v>
      </c>
      <c r="H501" s="63">
        <f t="shared" si="31"/>
        <v>17092.695</v>
      </c>
      <c r="I501" s="63">
        <f t="shared" si="32"/>
        <v>0</v>
      </c>
      <c r="J501" s="60"/>
      <c r="K501" s="60"/>
      <c r="L501" s="64"/>
      <c r="M501" s="64"/>
      <c r="N501" s="64"/>
      <c r="O501" s="64"/>
      <c r="P501" s="64"/>
      <c r="Q501" s="64"/>
      <c r="R501" s="64"/>
      <c r="S501" s="64"/>
    </row>
    <row r="502" spans="1:19" ht="16.5" customHeight="1">
      <c r="A502" s="85" t="s">
        <v>1140</v>
      </c>
      <c r="B502" s="78" t="s">
        <v>1141</v>
      </c>
      <c r="C502" s="81" t="s">
        <v>237</v>
      </c>
      <c r="D502" s="92"/>
      <c r="E502" s="79" t="s">
        <v>646</v>
      </c>
      <c r="F502" s="76">
        <v>0.109</v>
      </c>
      <c r="G502" s="79">
        <v>219137.11538461538</v>
      </c>
      <c r="H502" s="63">
        <f t="shared" si="31"/>
        <v>23885.945576923077</v>
      </c>
      <c r="I502" s="63">
        <f t="shared" si="32"/>
        <v>0</v>
      </c>
      <c r="J502" s="60"/>
      <c r="K502" s="60"/>
      <c r="L502" s="64"/>
      <c r="M502" s="64"/>
      <c r="N502" s="64"/>
      <c r="O502" s="64"/>
      <c r="P502" s="64"/>
      <c r="Q502" s="64"/>
      <c r="R502" s="64"/>
      <c r="S502" s="64"/>
    </row>
    <row r="503" spans="1:19" ht="16.5" customHeight="1">
      <c r="A503" s="85" t="s">
        <v>1142</v>
      </c>
      <c r="B503" s="78" t="s">
        <v>1143</v>
      </c>
      <c r="C503" s="81" t="s">
        <v>237</v>
      </c>
      <c r="D503" s="92"/>
      <c r="E503" s="79" t="s">
        <v>646</v>
      </c>
      <c r="F503" s="76">
        <v>0.154</v>
      </c>
      <c r="G503" s="79">
        <v>219137.11538461538</v>
      </c>
      <c r="H503" s="63">
        <f t="shared" si="31"/>
        <v>33747.115769230768</v>
      </c>
      <c r="I503" s="63">
        <f t="shared" si="32"/>
        <v>0</v>
      </c>
      <c r="J503" s="60"/>
      <c r="K503" s="60"/>
      <c r="L503" s="64"/>
      <c r="M503" s="64"/>
      <c r="N503" s="64"/>
      <c r="O503" s="64"/>
      <c r="P503" s="64"/>
      <c r="Q503" s="64"/>
      <c r="R503" s="64"/>
      <c r="S503" s="64"/>
    </row>
    <row r="504" spans="1:19" ht="16.5" customHeight="1">
      <c r="A504" s="83"/>
      <c r="B504" s="55" t="s">
        <v>1144</v>
      </c>
      <c r="C504" s="81"/>
      <c r="D504" s="92"/>
      <c r="E504" s="98"/>
      <c r="F504" s="94"/>
      <c r="G504" s="98"/>
      <c r="H504" s="63">
        <f t="shared" si="31"/>
        <v>0</v>
      </c>
      <c r="I504" s="63">
        <f t="shared" si="32"/>
        <v>0</v>
      </c>
      <c r="J504" s="60"/>
      <c r="K504" s="60"/>
      <c r="L504" s="64"/>
      <c r="M504" s="64"/>
      <c r="N504" s="64"/>
      <c r="O504" s="64"/>
      <c r="P504" s="64"/>
      <c r="Q504" s="64"/>
      <c r="R504" s="64"/>
      <c r="S504" s="64"/>
    </row>
    <row r="505" spans="1:19" ht="16.5" customHeight="1">
      <c r="A505" s="85" t="s">
        <v>1145</v>
      </c>
      <c r="B505" s="78" t="s">
        <v>1146</v>
      </c>
      <c r="C505" s="81" t="s">
        <v>1147</v>
      </c>
      <c r="D505" s="92">
        <v>465</v>
      </c>
      <c r="E505" s="79" t="s">
        <v>807</v>
      </c>
      <c r="F505" s="76">
        <v>0.18</v>
      </c>
      <c r="G505" s="79">
        <v>236500</v>
      </c>
      <c r="H505" s="63">
        <f t="shared" si="31"/>
        <v>42570</v>
      </c>
      <c r="I505" s="63">
        <f t="shared" si="32"/>
        <v>0</v>
      </c>
      <c r="J505" s="60"/>
      <c r="K505" s="60"/>
      <c r="L505" s="64"/>
      <c r="M505" s="64"/>
      <c r="N505" s="64"/>
      <c r="O505" s="64"/>
      <c r="P505" s="64"/>
      <c r="Q505" s="64"/>
      <c r="R505" s="64"/>
      <c r="S505" s="64"/>
    </row>
    <row r="506" spans="1:19" ht="16.5" customHeight="1">
      <c r="A506" s="85" t="s">
        <v>1148</v>
      </c>
      <c r="B506" s="78" t="s">
        <v>1149</v>
      </c>
      <c r="C506" s="81" t="s">
        <v>1147</v>
      </c>
      <c r="D506" s="92">
        <v>630</v>
      </c>
      <c r="E506" s="79" t="s">
        <v>807</v>
      </c>
      <c r="F506" s="76">
        <v>0.23</v>
      </c>
      <c r="G506" s="79">
        <v>236500</v>
      </c>
      <c r="H506" s="63">
        <f t="shared" si="31"/>
        <v>54395</v>
      </c>
      <c r="I506" s="63">
        <f t="shared" si="32"/>
        <v>0</v>
      </c>
      <c r="J506" s="60"/>
      <c r="K506" s="60"/>
      <c r="L506" s="64"/>
      <c r="M506" s="64"/>
      <c r="N506" s="64"/>
      <c r="O506" s="64"/>
      <c r="P506" s="64"/>
      <c r="Q506" s="64"/>
      <c r="R506" s="64"/>
      <c r="S506" s="64"/>
    </row>
    <row r="507" spans="1:19" ht="16.5" customHeight="1">
      <c r="A507" s="85" t="s">
        <v>1150</v>
      </c>
      <c r="B507" s="78" t="s">
        <v>1151</v>
      </c>
      <c r="C507" s="81" t="s">
        <v>1147</v>
      </c>
      <c r="D507" s="92">
        <v>545</v>
      </c>
      <c r="E507" s="79" t="s">
        <v>807</v>
      </c>
      <c r="F507" s="76">
        <v>0.4</v>
      </c>
      <c r="G507" s="79">
        <v>236500</v>
      </c>
      <c r="H507" s="63">
        <f t="shared" si="31"/>
        <v>94600</v>
      </c>
      <c r="I507" s="63">
        <f t="shared" si="32"/>
        <v>0</v>
      </c>
      <c r="J507" s="60"/>
      <c r="K507" s="60"/>
      <c r="L507" s="64"/>
      <c r="M507" s="64"/>
      <c r="N507" s="64"/>
      <c r="O507" s="64"/>
      <c r="P507" s="64"/>
      <c r="Q507" s="64"/>
      <c r="R507" s="64"/>
      <c r="S507" s="64"/>
    </row>
    <row r="508" spans="1:19" ht="16.5" customHeight="1">
      <c r="A508" s="85" t="s">
        <v>1152</v>
      </c>
      <c r="B508" s="78" t="s">
        <v>1153</v>
      </c>
      <c r="C508" s="81" t="s">
        <v>1147</v>
      </c>
      <c r="D508" s="92">
        <v>545</v>
      </c>
      <c r="E508" s="79" t="s">
        <v>807</v>
      </c>
      <c r="F508" s="76">
        <v>0.42</v>
      </c>
      <c r="G508" s="79">
        <v>236500</v>
      </c>
      <c r="H508" s="63">
        <f t="shared" si="31"/>
        <v>99330</v>
      </c>
      <c r="I508" s="63">
        <f t="shared" si="32"/>
        <v>0</v>
      </c>
      <c r="J508" s="60"/>
      <c r="K508" s="60"/>
      <c r="L508" s="64"/>
      <c r="M508" s="64"/>
      <c r="N508" s="64"/>
      <c r="O508" s="64"/>
      <c r="P508" s="64"/>
      <c r="Q508" s="64"/>
      <c r="R508" s="64"/>
      <c r="S508" s="64"/>
    </row>
    <row r="509" spans="1:19" ht="16.5" customHeight="1">
      <c r="A509" s="85" t="s">
        <v>1154</v>
      </c>
      <c r="B509" s="78" t="s">
        <v>1155</v>
      </c>
      <c r="C509" s="81" t="s">
        <v>1147</v>
      </c>
      <c r="D509" s="92">
        <v>867</v>
      </c>
      <c r="E509" s="79" t="s">
        <v>807</v>
      </c>
      <c r="F509" s="76">
        <v>0.64</v>
      </c>
      <c r="G509" s="79">
        <v>236500</v>
      </c>
      <c r="H509" s="63">
        <f t="shared" si="31"/>
        <v>151360</v>
      </c>
      <c r="I509" s="63">
        <f t="shared" si="32"/>
        <v>0</v>
      </c>
      <c r="J509" s="60"/>
      <c r="K509" s="60"/>
      <c r="L509" s="64"/>
      <c r="M509" s="64"/>
      <c r="N509" s="64"/>
      <c r="O509" s="64"/>
      <c r="P509" s="64"/>
      <c r="Q509" s="64"/>
      <c r="R509" s="64"/>
      <c r="S509" s="64"/>
    </row>
    <row r="510" spans="1:19" ht="16.5" customHeight="1">
      <c r="A510" s="85" t="s">
        <v>1156</v>
      </c>
      <c r="B510" s="78" t="s">
        <v>1157</v>
      </c>
      <c r="C510" s="81" t="s">
        <v>1147</v>
      </c>
      <c r="D510" s="92">
        <v>867</v>
      </c>
      <c r="E510" s="79" t="s">
        <v>807</v>
      </c>
      <c r="F510" s="76">
        <v>0.67</v>
      </c>
      <c r="G510" s="79">
        <v>236500</v>
      </c>
      <c r="H510" s="63">
        <f t="shared" si="31"/>
        <v>158455</v>
      </c>
      <c r="I510" s="63">
        <f t="shared" si="32"/>
        <v>0</v>
      </c>
      <c r="J510" s="60"/>
      <c r="K510" s="60"/>
      <c r="L510" s="64"/>
      <c r="M510" s="64"/>
      <c r="N510" s="64"/>
      <c r="O510" s="64"/>
      <c r="P510" s="64"/>
      <c r="Q510" s="64"/>
      <c r="R510" s="64"/>
      <c r="S510" s="64"/>
    </row>
    <row r="511" spans="1:19" ht="16.5" customHeight="1">
      <c r="A511" s="83"/>
      <c r="B511" s="55" t="s">
        <v>1158</v>
      </c>
      <c r="C511" s="81"/>
      <c r="D511" s="92"/>
      <c r="E511" s="98"/>
      <c r="F511" s="94"/>
      <c r="G511" s="98"/>
      <c r="H511" s="63">
        <f t="shared" si="31"/>
        <v>0</v>
      </c>
      <c r="I511" s="63">
        <f t="shared" si="32"/>
        <v>0</v>
      </c>
      <c r="J511" s="60"/>
      <c r="K511" s="60"/>
      <c r="L511" s="64"/>
      <c r="M511" s="64"/>
      <c r="N511" s="64"/>
      <c r="O511" s="64"/>
      <c r="P511" s="64"/>
      <c r="Q511" s="64"/>
      <c r="R511" s="64"/>
      <c r="S511" s="64"/>
    </row>
    <row r="512" spans="1:19" ht="16.5" customHeight="1">
      <c r="A512" s="85" t="s">
        <v>1159</v>
      </c>
      <c r="B512" s="78" t="s">
        <v>1160</v>
      </c>
      <c r="C512" s="81" t="s">
        <v>1147</v>
      </c>
      <c r="D512" s="92">
        <v>355</v>
      </c>
      <c r="E512" s="79" t="s">
        <v>807</v>
      </c>
      <c r="F512" s="76">
        <v>0.19</v>
      </c>
      <c r="G512" s="79">
        <v>236500</v>
      </c>
      <c r="H512" s="63">
        <f t="shared" si="31"/>
        <v>44935</v>
      </c>
      <c r="I512" s="63">
        <f t="shared" si="32"/>
        <v>0</v>
      </c>
      <c r="J512" s="60"/>
      <c r="K512" s="60"/>
      <c r="L512" s="64"/>
      <c r="M512" s="64"/>
      <c r="N512" s="64"/>
      <c r="O512" s="64"/>
      <c r="P512" s="64"/>
      <c r="Q512" s="64"/>
      <c r="R512" s="64"/>
      <c r="S512" s="64"/>
    </row>
    <row r="513" spans="1:19" ht="16.5" customHeight="1">
      <c r="A513" s="85" t="s">
        <v>1161</v>
      </c>
      <c r="B513" s="78" t="s">
        <v>1162</v>
      </c>
      <c r="C513" s="81" t="s">
        <v>1147</v>
      </c>
      <c r="D513" s="92">
        <v>355</v>
      </c>
      <c r="E513" s="79" t="s">
        <v>807</v>
      </c>
      <c r="F513" s="76">
        <v>0.24</v>
      </c>
      <c r="G513" s="79">
        <v>236500</v>
      </c>
      <c r="H513" s="63">
        <f t="shared" si="31"/>
        <v>56760</v>
      </c>
      <c r="I513" s="63">
        <f t="shared" si="32"/>
        <v>0</v>
      </c>
      <c r="J513" s="60"/>
      <c r="K513" s="60"/>
      <c r="L513" s="64"/>
      <c r="M513" s="64"/>
      <c r="N513" s="64"/>
      <c r="O513" s="64"/>
      <c r="P513" s="64"/>
      <c r="Q513" s="64"/>
      <c r="R513" s="64"/>
      <c r="S513" s="64"/>
    </row>
    <row r="514" spans="1:19" ht="16.5" customHeight="1">
      <c r="A514" s="85" t="s">
        <v>1163</v>
      </c>
      <c r="B514" s="78" t="s">
        <v>1164</v>
      </c>
      <c r="C514" s="81" t="s">
        <v>1147</v>
      </c>
      <c r="D514" s="92">
        <v>545</v>
      </c>
      <c r="E514" s="79" t="s">
        <v>807</v>
      </c>
      <c r="F514" s="76">
        <v>0.45</v>
      </c>
      <c r="G514" s="79">
        <v>236500</v>
      </c>
      <c r="H514" s="63">
        <f t="shared" si="31"/>
        <v>106425</v>
      </c>
      <c r="I514" s="63">
        <f t="shared" si="32"/>
        <v>0</v>
      </c>
      <c r="J514" s="60"/>
      <c r="K514" s="60"/>
      <c r="L514" s="64"/>
      <c r="M514" s="64"/>
      <c r="N514" s="64"/>
      <c r="O514" s="64"/>
      <c r="P514" s="64"/>
      <c r="Q514" s="64"/>
      <c r="R514" s="64"/>
      <c r="S514" s="64"/>
    </row>
    <row r="515" spans="1:19" ht="16.5" customHeight="1">
      <c r="A515" s="85" t="s">
        <v>1165</v>
      </c>
      <c r="B515" s="78" t="s">
        <v>1166</v>
      </c>
      <c r="C515" s="81" t="s">
        <v>1147</v>
      </c>
      <c r="D515" s="92">
        <v>545</v>
      </c>
      <c r="E515" s="79" t="s">
        <v>807</v>
      </c>
      <c r="F515" s="76">
        <v>0.47</v>
      </c>
      <c r="G515" s="79">
        <v>236500</v>
      </c>
      <c r="H515" s="63">
        <f t="shared" si="31"/>
        <v>111155</v>
      </c>
      <c r="I515" s="63">
        <f t="shared" si="32"/>
        <v>0</v>
      </c>
      <c r="J515" s="60"/>
      <c r="K515" s="60"/>
      <c r="L515" s="64"/>
      <c r="M515" s="64"/>
      <c r="N515" s="64"/>
      <c r="O515" s="64"/>
      <c r="P515" s="64"/>
      <c r="Q515" s="64"/>
      <c r="R515" s="64"/>
      <c r="S515" s="64"/>
    </row>
    <row r="516" spans="1:19" ht="16.5" customHeight="1">
      <c r="A516" s="85" t="s">
        <v>1167</v>
      </c>
      <c r="B516" s="78" t="s">
        <v>1168</v>
      </c>
      <c r="C516" s="81" t="s">
        <v>1147</v>
      </c>
      <c r="D516" s="92">
        <v>867</v>
      </c>
      <c r="E516" s="79" t="s">
        <v>807</v>
      </c>
      <c r="F516" s="76">
        <v>0.71</v>
      </c>
      <c r="G516" s="79">
        <v>236500</v>
      </c>
      <c r="H516" s="63">
        <f t="shared" si="31"/>
        <v>167915</v>
      </c>
      <c r="I516" s="63">
        <f t="shared" si="32"/>
        <v>0</v>
      </c>
      <c r="J516" s="60"/>
      <c r="K516" s="60"/>
      <c r="L516" s="64"/>
      <c r="M516" s="64"/>
      <c r="N516" s="64"/>
      <c r="O516" s="64"/>
      <c r="P516" s="64"/>
      <c r="Q516" s="64"/>
      <c r="R516" s="64"/>
      <c r="S516" s="64"/>
    </row>
    <row r="517" spans="1:19" ht="16.5" customHeight="1">
      <c r="A517" s="85" t="s">
        <v>1169</v>
      </c>
      <c r="B517" s="78" t="s">
        <v>1170</v>
      </c>
      <c r="C517" s="81" t="s">
        <v>1147</v>
      </c>
      <c r="D517" s="92">
        <v>867</v>
      </c>
      <c r="E517" s="79" t="s">
        <v>807</v>
      </c>
      <c r="F517" s="76">
        <v>0.75</v>
      </c>
      <c r="G517" s="79">
        <v>236500</v>
      </c>
      <c r="H517" s="63">
        <f t="shared" si="31"/>
        <v>177375</v>
      </c>
      <c r="I517" s="63">
        <f t="shared" si="32"/>
        <v>0</v>
      </c>
      <c r="J517" s="60"/>
      <c r="K517" s="60"/>
      <c r="L517" s="64"/>
      <c r="M517" s="64"/>
      <c r="N517" s="64"/>
      <c r="O517" s="64"/>
      <c r="P517" s="64"/>
      <c r="Q517" s="64"/>
      <c r="R517" s="64"/>
      <c r="S517" s="64"/>
    </row>
    <row r="518" spans="1:19" ht="16.5" customHeight="1">
      <c r="A518" s="85"/>
      <c r="B518" s="55" t="s">
        <v>1171</v>
      </c>
      <c r="C518" s="81"/>
      <c r="D518" s="92"/>
      <c r="E518" s="93"/>
      <c r="F518" s="94"/>
      <c r="G518" s="98"/>
      <c r="H518" s="63">
        <f t="shared" si="31"/>
        <v>0</v>
      </c>
      <c r="I518" s="63">
        <f t="shared" si="32"/>
        <v>0</v>
      </c>
      <c r="J518" s="60"/>
      <c r="K518" s="60"/>
      <c r="L518" s="64"/>
      <c r="M518" s="64"/>
      <c r="N518" s="64"/>
      <c r="O518" s="64"/>
      <c r="P518" s="64"/>
      <c r="Q518" s="64"/>
      <c r="R518" s="64"/>
      <c r="S518" s="64"/>
    </row>
    <row r="519" spans="1:19" s="150" customFormat="1" ht="16.5" customHeight="1">
      <c r="A519" s="151" t="s">
        <v>2698</v>
      </c>
      <c r="B519" s="143" t="s">
        <v>250</v>
      </c>
      <c r="C519" s="180" t="s">
        <v>251</v>
      </c>
      <c r="D519" s="152">
        <v>1825</v>
      </c>
      <c r="E519" s="140"/>
      <c r="F519" s="141"/>
      <c r="G519" s="140"/>
      <c r="H519" s="159">
        <v>64982</v>
      </c>
      <c r="I519" s="122">
        <f t="shared" si="32"/>
        <v>0</v>
      </c>
      <c r="J519" s="146"/>
      <c r="K519" s="146"/>
      <c r="L519" s="147"/>
      <c r="M519" s="147"/>
      <c r="N519" s="147"/>
      <c r="O519" s="147"/>
      <c r="P519" s="147"/>
      <c r="Q519" s="147"/>
      <c r="R519" s="147"/>
      <c r="S519" s="147"/>
    </row>
    <row r="520" spans="1:19" ht="16.5" customHeight="1">
      <c r="A520" s="151" t="s">
        <v>2699</v>
      </c>
      <c r="B520" s="78" t="s">
        <v>1172</v>
      </c>
      <c r="C520" s="81" t="s">
        <v>1147</v>
      </c>
      <c r="D520" s="152">
        <v>1825</v>
      </c>
      <c r="E520" s="79" t="s">
        <v>807</v>
      </c>
      <c r="F520" s="76">
        <v>0.26300000000000001</v>
      </c>
      <c r="G520" s="79">
        <v>236500</v>
      </c>
      <c r="H520" s="63">
        <f t="shared" si="31"/>
        <v>62199.5</v>
      </c>
      <c r="I520" s="63">
        <f t="shared" si="32"/>
        <v>0</v>
      </c>
      <c r="J520" s="60"/>
      <c r="K520" s="60"/>
      <c r="L520" s="64"/>
      <c r="M520" s="64"/>
      <c r="N520" s="64"/>
      <c r="O520" s="64"/>
      <c r="P520" s="64"/>
      <c r="Q520" s="64"/>
      <c r="R520" s="64"/>
      <c r="S520" s="64"/>
    </row>
    <row r="521" spans="1:19" ht="16.5" customHeight="1">
      <c r="A521" s="151" t="s">
        <v>2700</v>
      </c>
      <c r="B521" s="78" t="s">
        <v>1173</v>
      </c>
      <c r="C521" s="81" t="s">
        <v>1147</v>
      </c>
      <c r="D521" s="152">
        <v>1825</v>
      </c>
      <c r="E521" s="79" t="s">
        <v>807</v>
      </c>
      <c r="F521" s="76">
        <v>0.29699999999999999</v>
      </c>
      <c r="G521" s="79">
        <v>236500</v>
      </c>
      <c r="H521" s="63">
        <f t="shared" si="31"/>
        <v>70240.5</v>
      </c>
      <c r="I521" s="63">
        <f t="shared" si="32"/>
        <v>0</v>
      </c>
      <c r="J521" s="60"/>
      <c r="K521" s="60"/>
      <c r="L521" s="64"/>
      <c r="M521" s="64"/>
      <c r="N521" s="64"/>
      <c r="O521" s="64"/>
      <c r="P521" s="64"/>
      <c r="Q521" s="64"/>
      <c r="R521" s="64"/>
      <c r="S521" s="64"/>
    </row>
    <row r="522" spans="1:19" ht="16.5" customHeight="1">
      <c r="A522" s="85"/>
      <c r="B522" s="55" t="s">
        <v>1174</v>
      </c>
      <c r="C522" s="81"/>
      <c r="D522" s="92"/>
      <c r="E522" s="93"/>
      <c r="F522" s="94"/>
      <c r="G522" s="98"/>
      <c r="H522" s="63">
        <f t="shared" si="31"/>
        <v>0</v>
      </c>
      <c r="I522" s="63">
        <f t="shared" si="32"/>
        <v>0</v>
      </c>
      <c r="J522" s="60"/>
      <c r="K522" s="60"/>
      <c r="L522" s="64"/>
      <c r="M522" s="64"/>
      <c r="N522" s="64"/>
      <c r="O522" s="64"/>
      <c r="P522" s="64"/>
      <c r="Q522" s="64"/>
      <c r="R522" s="64"/>
      <c r="S522" s="64"/>
    </row>
    <row r="523" spans="1:19" ht="16.5" customHeight="1">
      <c r="A523" s="85" t="s">
        <v>1175</v>
      </c>
      <c r="B523" s="78" t="s">
        <v>1176</v>
      </c>
      <c r="C523" s="81" t="s">
        <v>1177</v>
      </c>
      <c r="D523" s="92"/>
      <c r="E523" s="79" t="s">
        <v>807</v>
      </c>
      <c r="F523" s="76">
        <v>0.36</v>
      </c>
      <c r="G523" s="79">
        <v>236500</v>
      </c>
      <c r="H523" s="63">
        <f t="shared" si="31"/>
        <v>85140</v>
      </c>
      <c r="I523" s="63">
        <f t="shared" si="32"/>
        <v>0</v>
      </c>
      <c r="J523" s="60"/>
      <c r="K523" s="60"/>
      <c r="L523" s="64"/>
      <c r="M523" s="64"/>
      <c r="N523" s="64"/>
      <c r="O523" s="64"/>
      <c r="P523" s="64"/>
      <c r="Q523" s="64"/>
      <c r="R523" s="64"/>
      <c r="S523" s="64"/>
    </row>
    <row r="524" spans="1:19" ht="16.5" customHeight="1">
      <c r="A524" s="85" t="s">
        <v>1178</v>
      </c>
      <c r="B524" s="78" t="s">
        <v>1179</v>
      </c>
      <c r="C524" s="81" t="s">
        <v>1177</v>
      </c>
      <c r="D524" s="92"/>
      <c r="E524" s="79" t="s">
        <v>807</v>
      </c>
      <c r="F524" s="76">
        <v>0.38</v>
      </c>
      <c r="G524" s="79">
        <v>236500</v>
      </c>
      <c r="H524" s="63">
        <f t="shared" si="31"/>
        <v>89870</v>
      </c>
      <c r="I524" s="63">
        <f t="shared" si="32"/>
        <v>0</v>
      </c>
      <c r="J524" s="60"/>
      <c r="K524" s="60"/>
      <c r="L524" s="64"/>
      <c r="M524" s="64"/>
      <c r="N524" s="64"/>
      <c r="O524" s="64"/>
      <c r="P524" s="64"/>
      <c r="Q524" s="64"/>
      <c r="R524" s="64"/>
      <c r="S524" s="64"/>
    </row>
    <row r="525" spans="1:19" ht="16.5" customHeight="1">
      <c r="A525" s="85" t="s">
        <v>1180</v>
      </c>
      <c r="B525" s="78" t="s">
        <v>1181</v>
      </c>
      <c r="C525" s="81" t="s">
        <v>1177</v>
      </c>
      <c r="D525" s="92"/>
      <c r="E525" s="79" t="s">
        <v>807</v>
      </c>
      <c r="F525" s="76">
        <v>2.5</v>
      </c>
      <c r="G525" s="79">
        <v>236500</v>
      </c>
      <c r="H525" s="63">
        <f t="shared" si="31"/>
        <v>591250</v>
      </c>
      <c r="I525" s="63">
        <f t="shared" si="32"/>
        <v>0</v>
      </c>
      <c r="J525" s="60"/>
      <c r="K525" s="60"/>
      <c r="L525" s="64"/>
      <c r="M525" s="64"/>
      <c r="N525" s="64"/>
      <c r="O525" s="64"/>
      <c r="P525" s="64"/>
      <c r="Q525" s="64"/>
      <c r="R525" s="64"/>
      <c r="S525" s="64"/>
    </row>
    <row r="526" spans="1:19" ht="16.5" customHeight="1">
      <c r="A526" s="85" t="s">
        <v>1182</v>
      </c>
      <c r="B526" s="78" t="s">
        <v>1183</v>
      </c>
      <c r="C526" s="81" t="s">
        <v>51</v>
      </c>
      <c r="D526" s="92"/>
      <c r="E526" s="79" t="s">
        <v>807</v>
      </c>
      <c r="F526" s="76">
        <v>0.2</v>
      </c>
      <c r="G526" s="79">
        <v>236500</v>
      </c>
      <c r="H526" s="63">
        <f t="shared" si="31"/>
        <v>47300</v>
      </c>
      <c r="I526" s="63">
        <f t="shared" si="32"/>
        <v>0</v>
      </c>
      <c r="J526" s="60"/>
      <c r="K526" s="60"/>
      <c r="L526" s="64"/>
      <c r="M526" s="64"/>
      <c r="N526" s="64"/>
      <c r="O526" s="64"/>
      <c r="P526" s="64"/>
      <c r="Q526" s="64"/>
      <c r="R526" s="64"/>
      <c r="S526" s="64"/>
    </row>
    <row r="527" spans="1:19" s="174" customFormat="1" ht="16.5" customHeight="1">
      <c r="A527" s="181" t="s">
        <v>257</v>
      </c>
      <c r="B527" s="167" t="s">
        <v>258</v>
      </c>
      <c r="C527" s="178" t="s">
        <v>237</v>
      </c>
      <c r="D527" s="182"/>
      <c r="E527" s="156"/>
      <c r="F527" s="157"/>
      <c r="G527" s="156"/>
      <c r="H527" s="159">
        <v>51573</v>
      </c>
      <c r="I527" s="159">
        <f t="shared" si="32"/>
        <v>0</v>
      </c>
      <c r="J527" s="170"/>
      <c r="K527" s="170"/>
      <c r="L527" s="171"/>
      <c r="M527" s="171"/>
      <c r="N527" s="171"/>
      <c r="O527" s="171"/>
      <c r="P527" s="171"/>
      <c r="Q527" s="171"/>
      <c r="R527" s="171"/>
      <c r="S527" s="171"/>
    </row>
    <row r="528" spans="1:19" ht="16.5" customHeight="1">
      <c r="A528" s="85" t="s">
        <v>1184</v>
      </c>
      <c r="B528" s="78" t="s">
        <v>1185</v>
      </c>
      <c r="C528" s="81" t="s">
        <v>237</v>
      </c>
      <c r="D528" s="92"/>
      <c r="E528" s="79" t="s">
        <v>807</v>
      </c>
      <c r="F528" s="76">
        <v>2.5</v>
      </c>
      <c r="G528" s="79">
        <v>236500</v>
      </c>
      <c r="H528" s="63">
        <f t="shared" ref="H528:H541" si="33">+G528*F528</f>
        <v>591250</v>
      </c>
      <c r="I528" s="63">
        <f t="shared" si="32"/>
        <v>0</v>
      </c>
      <c r="J528" s="60"/>
      <c r="K528" s="60"/>
      <c r="L528" s="64"/>
      <c r="M528" s="64"/>
      <c r="N528" s="64"/>
      <c r="O528" s="64"/>
      <c r="P528" s="64"/>
      <c r="Q528" s="64"/>
      <c r="R528" s="64"/>
      <c r="S528" s="64"/>
    </row>
    <row r="529" spans="1:19" ht="16.5" customHeight="1">
      <c r="A529" s="85" t="s">
        <v>1186</v>
      </c>
      <c r="B529" s="78" t="s">
        <v>1187</v>
      </c>
      <c r="C529" s="81" t="s">
        <v>237</v>
      </c>
      <c r="D529" s="92"/>
      <c r="E529" s="79" t="s">
        <v>807</v>
      </c>
      <c r="F529" s="76">
        <v>0.5</v>
      </c>
      <c r="G529" s="79">
        <v>236500</v>
      </c>
      <c r="H529" s="63">
        <f t="shared" si="33"/>
        <v>118250</v>
      </c>
      <c r="I529" s="63">
        <f t="shared" si="32"/>
        <v>0</v>
      </c>
      <c r="J529" s="60"/>
      <c r="K529" s="60"/>
      <c r="L529" s="64"/>
      <c r="M529" s="64"/>
      <c r="N529" s="64"/>
      <c r="O529" s="64"/>
      <c r="P529" s="64"/>
      <c r="Q529" s="64"/>
      <c r="R529" s="64"/>
      <c r="S529" s="64"/>
    </row>
    <row r="530" spans="1:19" ht="16.5" customHeight="1">
      <c r="A530" s="85" t="s">
        <v>1188</v>
      </c>
      <c r="B530" s="78" t="s">
        <v>1189</v>
      </c>
      <c r="C530" s="81" t="s">
        <v>237</v>
      </c>
      <c r="D530" s="92"/>
      <c r="E530" s="79" t="s">
        <v>807</v>
      </c>
      <c r="F530" s="76">
        <v>0.35</v>
      </c>
      <c r="G530" s="79">
        <v>236500</v>
      </c>
      <c r="H530" s="63">
        <f t="shared" si="33"/>
        <v>82775</v>
      </c>
      <c r="I530" s="63">
        <f t="shared" si="32"/>
        <v>0</v>
      </c>
      <c r="J530" s="60"/>
      <c r="K530" s="60"/>
      <c r="L530" s="64"/>
      <c r="M530" s="64"/>
      <c r="N530" s="64"/>
      <c r="O530" s="64"/>
      <c r="P530" s="64"/>
      <c r="Q530" s="64"/>
      <c r="R530" s="64"/>
      <c r="S530" s="64"/>
    </row>
    <row r="531" spans="1:19" ht="16.5" customHeight="1">
      <c r="A531" s="85" t="s">
        <v>1190</v>
      </c>
      <c r="B531" s="78" t="s">
        <v>1191</v>
      </c>
      <c r="C531" s="81" t="s">
        <v>237</v>
      </c>
      <c r="D531" s="92"/>
      <c r="E531" s="79" t="s">
        <v>807</v>
      </c>
      <c r="F531" s="76">
        <v>0.45</v>
      </c>
      <c r="G531" s="79">
        <v>236500</v>
      </c>
      <c r="H531" s="63">
        <f t="shared" si="33"/>
        <v>106425</v>
      </c>
      <c r="I531" s="63">
        <f t="shared" si="32"/>
        <v>0</v>
      </c>
      <c r="J531" s="60"/>
      <c r="K531" s="60"/>
      <c r="L531" s="64"/>
      <c r="M531" s="64"/>
      <c r="N531" s="64"/>
      <c r="O531" s="64"/>
      <c r="P531" s="64"/>
      <c r="Q531" s="64"/>
      <c r="R531" s="64"/>
      <c r="S531" s="64"/>
    </row>
    <row r="532" spans="1:19" ht="16.5" customHeight="1">
      <c r="A532" s="85" t="s">
        <v>1192</v>
      </c>
      <c r="B532" s="78" t="s">
        <v>1193</v>
      </c>
      <c r="C532" s="81" t="s">
        <v>1177</v>
      </c>
      <c r="D532" s="92"/>
      <c r="E532" s="79" t="s">
        <v>807</v>
      </c>
      <c r="F532" s="76">
        <v>0.11</v>
      </c>
      <c r="G532" s="79">
        <v>236500</v>
      </c>
      <c r="H532" s="63">
        <f t="shared" si="33"/>
        <v>26015</v>
      </c>
      <c r="I532" s="63">
        <f t="shared" si="32"/>
        <v>0</v>
      </c>
      <c r="J532" s="60"/>
      <c r="K532" s="60"/>
      <c r="L532" s="64"/>
      <c r="M532" s="64"/>
      <c r="N532" s="64"/>
      <c r="O532" s="64"/>
      <c r="P532" s="64"/>
      <c r="Q532" s="64"/>
      <c r="R532" s="64"/>
      <c r="S532" s="64"/>
    </row>
    <row r="533" spans="1:19" ht="16.5" customHeight="1">
      <c r="A533" s="85" t="s">
        <v>1194</v>
      </c>
      <c r="B533" s="78" t="s">
        <v>1195</v>
      </c>
      <c r="C533" s="81" t="s">
        <v>1177</v>
      </c>
      <c r="D533" s="92"/>
      <c r="E533" s="79" t="s">
        <v>807</v>
      </c>
      <c r="F533" s="76">
        <v>0.12</v>
      </c>
      <c r="G533" s="79">
        <v>236500</v>
      </c>
      <c r="H533" s="63">
        <f t="shared" si="33"/>
        <v>28380</v>
      </c>
      <c r="I533" s="63">
        <f t="shared" si="32"/>
        <v>0</v>
      </c>
      <c r="J533" s="60"/>
      <c r="K533" s="60"/>
      <c r="L533" s="64"/>
      <c r="M533" s="64"/>
      <c r="N533" s="64"/>
      <c r="O533" s="64"/>
      <c r="P533" s="64"/>
      <c r="Q533" s="64"/>
      <c r="R533" s="64"/>
      <c r="S533" s="64"/>
    </row>
    <row r="534" spans="1:19" ht="16.5" customHeight="1">
      <c r="A534" s="85" t="s">
        <v>1196</v>
      </c>
      <c r="B534" s="78" t="s">
        <v>1197</v>
      </c>
      <c r="C534" s="81" t="s">
        <v>1177</v>
      </c>
      <c r="D534" s="92"/>
      <c r="E534" s="79" t="s">
        <v>807</v>
      </c>
      <c r="F534" s="76">
        <v>0.17</v>
      </c>
      <c r="G534" s="79">
        <v>236500</v>
      </c>
      <c r="H534" s="63">
        <f t="shared" si="33"/>
        <v>40205</v>
      </c>
      <c r="I534" s="63">
        <f t="shared" si="32"/>
        <v>0</v>
      </c>
      <c r="J534" s="60"/>
      <c r="K534" s="60"/>
      <c r="L534" s="64"/>
      <c r="M534" s="64"/>
      <c r="N534" s="64"/>
      <c r="O534" s="64"/>
      <c r="P534" s="64"/>
      <c r="Q534" s="64"/>
      <c r="R534" s="64"/>
      <c r="S534" s="64"/>
    </row>
    <row r="535" spans="1:19" ht="16.5" customHeight="1">
      <c r="A535" s="85" t="s">
        <v>1198</v>
      </c>
      <c r="B535" s="78" t="s">
        <v>1199</v>
      </c>
      <c r="C535" s="81" t="s">
        <v>1177</v>
      </c>
      <c r="D535" s="92"/>
      <c r="E535" s="79" t="s">
        <v>807</v>
      </c>
      <c r="F535" s="76">
        <v>0.18</v>
      </c>
      <c r="G535" s="79">
        <v>236500</v>
      </c>
      <c r="H535" s="63">
        <f t="shared" si="33"/>
        <v>42570</v>
      </c>
      <c r="I535" s="63">
        <f t="shared" si="32"/>
        <v>0</v>
      </c>
      <c r="J535" s="60"/>
      <c r="K535" s="60"/>
      <c r="L535" s="64"/>
      <c r="M535" s="64"/>
      <c r="N535" s="64"/>
      <c r="O535" s="64"/>
      <c r="P535" s="64"/>
      <c r="Q535" s="64"/>
      <c r="R535" s="64"/>
      <c r="S535" s="64"/>
    </row>
    <row r="536" spans="1:19" ht="16.5" customHeight="1">
      <c r="A536" s="85" t="s">
        <v>1200</v>
      </c>
      <c r="B536" s="78" t="s">
        <v>1201</v>
      </c>
      <c r="C536" s="81" t="s">
        <v>1177</v>
      </c>
      <c r="D536" s="92"/>
      <c r="E536" s="79" t="s">
        <v>807</v>
      </c>
      <c r="F536" s="76">
        <v>0.35</v>
      </c>
      <c r="G536" s="79">
        <v>236500</v>
      </c>
      <c r="H536" s="63">
        <f t="shared" si="33"/>
        <v>82775</v>
      </c>
      <c r="I536" s="63">
        <f t="shared" si="32"/>
        <v>0</v>
      </c>
      <c r="J536" s="60"/>
      <c r="K536" s="60"/>
      <c r="L536" s="64"/>
      <c r="M536" s="64"/>
      <c r="N536" s="64"/>
      <c r="O536" s="64"/>
      <c r="P536" s="64"/>
      <c r="Q536" s="64"/>
      <c r="R536" s="64"/>
      <c r="S536" s="64"/>
    </row>
    <row r="537" spans="1:19" ht="16.5" customHeight="1">
      <c r="A537" s="85" t="s">
        <v>1202</v>
      </c>
      <c r="B537" s="78" t="s">
        <v>1203</v>
      </c>
      <c r="C537" s="81" t="s">
        <v>1177</v>
      </c>
      <c r="D537" s="92"/>
      <c r="E537" s="79" t="s">
        <v>807</v>
      </c>
      <c r="F537" s="76">
        <v>0.36</v>
      </c>
      <c r="G537" s="79">
        <v>236500</v>
      </c>
      <c r="H537" s="63">
        <f t="shared" si="33"/>
        <v>85140</v>
      </c>
      <c r="I537" s="63">
        <f t="shared" si="32"/>
        <v>0</v>
      </c>
      <c r="J537" s="60"/>
      <c r="K537" s="60"/>
      <c r="L537" s="64"/>
      <c r="M537" s="64"/>
      <c r="N537" s="64"/>
      <c r="O537" s="64"/>
      <c r="P537" s="64"/>
      <c r="Q537" s="64"/>
      <c r="R537" s="64"/>
      <c r="S537" s="64"/>
    </row>
    <row r="538" spans="1:19" ht="16.5" customHeight="1">
      <c r="A538" s="85" t="s">
        <v>1204</v>
      </c>
      <c r="B538" s="78" t="s">
        <v>1205</v>
      </c>
      <c r="C538" s="81" t="s">
        <v>1206</v>
      </c>
      <c r="D538" s="92"/>
      <c r="E538" s="79" t="s">
        <v>1207</v>
      </c>
      <c r="F538" s="76">
        <v>9.2999999999999999E-2</v>
      </c>
      <c r="G538" s="79">
        <v>278673</v>
      </c>
      <c r="H538" s="63">
        <f t="shared" si="33"/>
        <v>25916.589</v>
      </c>
      <c r="I538" s="63"/>
      <c r="J538" s="60"/>
      <c r="K538" s="60"/>
      <c r="L538" s="64">
        <f>+((M538*N538)+(O538*P538)+(Q538*R538))*(1+S538/100)</f>
        <v>1504.1744000000001</v>
      </c>
      <c r="M538" s="65">
        <v>0.08</v>
      </c>
      <c r="N538" s="66">
        <v>18802.18</v>
      </c>
      <c r="O538" s="64"/>
      <c r="P538" s="64"/>
      <c r="Q538" s="64"/>
      <c r="R538" s="64"/>
      <c r="S538" s="64"/>
    </row>
    <row r="539" spans="1:19" ht="16.5" customHeight="1">
      <c r="A539" s="85" t="s">
        <v>1208</v>
      </c>
      <c r="B539" s="78" t="s">
        <v>1209</v>
      </c>
      <c r="C539" s="81" t="s">
        <v>1206</v>
      </c>
      <c r="D539" s="92"/>
      <c r="E539" s="79" t="s">
        <v>1207</v>
      </c>
      <c r="F539" s="76">
        <v>0.11700000000000001</v>
      </c>
      <c r="G539" s="79">
        <v>278673</v>
      </c>
      <c r="H539" s="63">
        <f t="shared" si="33"/>
        <v>32604.741000000002</v>
      </c>
      <c r="I539" s="63"/>
      <c r="J539" s="60"/>
      <c r="K539" s="60"/>
      <c r="L539" s="64">
        <f>+((M539*N539)+(O539*P539)+(Q539*R539))*(1+S539/100)</f>
        <v>1504.1744000000001</v>
      </c>
      <c r="M539" s="65">
        <v>0.08</v>
      </c>
      <c r="N539" s="66">
        <f>+N538</f>
        <v>18802.18</v>
      </c>
      <c r="O539" s="64"/>
      <c r="P539" s="64"/>
      <c r="Q539" s="64"/>
      <c r="R539" s="64"/>
      <c r="S539" s="64"/>
    </row>
    <row r="540" spans="1:19" ht="16.5" customHeight="1">
      <c r="A540" s="85" t="s">
        <v>1210</v>
      </c>
      <c r="B540" s="78" t="s">
        <v>1211</v>
      </c>
      <c r="C540" s="81" t="s">
        <v>1206</v>
      </c>
      <c r="D540" s="92"/>
      <c r="E540" s="79" t="s">
        <v>1207</v>
      </c>
      <c r="F540" s="76">
        <v>0.14399999999999999</v>
      </c>
      <c r="G540" s="79">
        <v>278673</v>
      </c>
      <c r="H540" s="63">
        <f t="shared" si="33"/>
        <v>40128.911999999997</v>
      </c>
      <c r="I540" s="63"/>
      <c r="J540" s="60"/>
      <c r="K540" s="60"/>
      <c r="L540" s="64">
        <f>+((M540*N540)+(O540*P540)+(Q540*R540))*(1+S540/100)</f>
        <v>1504.1744000000001</v>
      </c>
      <c r="M540" s="65">
        <v>0.08</v>
      </c>
      <c r="N540" s="66">
        <f t="shared" ref="N540:N547" si="34">+N539</f>
        <v>18802.18</v>
      </c>
      <c r="O540" s="64"/>
      <c r="P540" s="64"/>
      <c r="Q540" s="64"/>
      <c r="R540" s="64"/>
      <c r="S540" s="64"/>
    </row>
    <row r="541" spans="1:19" ht="16.5" customHeight="1">
      <c r="A541" s="85" t="s">
        <v>1212</v>
      </c>
      <c r="B541" s="78" t="s">
        <v>1213</v>
      </c>
      <c r="C541" s="81" t="s">
        <v>1206</v>
      </c>
      <c r="D541" s="92"/>
      <c r="E541" s="79" t="s">
        <v>1207</v>
      </c>
      <c r="F541" s="76">
        <v>0.187</v>
      </c>
      <c r="G541" s="79">
        <v>278673</v>
      </c>
      <c r="H541" s="63">
        <f t="shared" si="33"/>
        <v>52111.851000000002</v>
      </c>
      <c r="I541" s="63"/>
      <c r="J541" s="60"/>
      <c r="K541" s="60"/>
      <c r="L541" s="64">
        <f>+((M541*N541)+(O541*P541)+(Q541*R541))*(1+S541/100)</f>
        <v>1880.2180000000001</v>
      </c>
      <c r="M541" s="65">
        <v>0.1</v>
      </c>
      <c r="N541" s="66">
        <f t="shared" si="34"/>
        <v>18802.18</v>
      </c>
      <c r="O541" s="64"/>
      <c r="P541" s="64"/>
      <c r="Q541" s="64"/>
      <c r="R541" s="64"/>
      <c r="S541" s="64"/>
    </row>
    <row r="542" spans="1:19" ht="16.5" customHeight="1">
      <c r="A542" s="85"/>
      <c r="B542" s="78"/>
      <c r="C542" s="81"/>
      <c r="D542" s="92"/>
      <c r="E542" s="79"/>
      <c r="F542" s="76"/>
      <c r="G542" s="79"/>
      <c r="H542" s="63"/>
      <c r="I542" s="63"/>
      <c r="J542" s="60"/>
      <c r="K542" s="60"/>
      <c r="L542" s="64"/>
      <c r="M542" s="65"/>
      <c r="N542" s="66"/>
      <c r="O542" s="64"/>
      <c r="P542" s="64"/>
      <c r="Q542" s="64"/>
      <c r="R542" s="64"/>
      <c r="S542" s="64"/>
    </row>
    <row r="543" spans="1:19" ht="16.5" customHeight="1">
      <c r="A543" s="85"/>
      <c r="B543" s="78"/>
      <c r="C543" s="81"/>
      <c r="D543" s="92"/>
      <c r="E543" s="79"/>
      <c r="F543" s="76"/>
      <c r="G543" s="79"/>
      <c r="H543" s="63"/>
      <c r="I543" s="63">
        <f t="shared" ref="I543:I606" si="35">+K543*$I$4</f>
        <v>0</v>
      </c>
      <c r="J543" s="60"/>
      <c r="K543" s="60"/>
      <c r="L543" s="64"/>
      <c r="M543" s="64"/>
      <c r="N543" s="66"/>
      <c r="O543" s="64"/>
      <c r="P543" s="64"/>
      <c r="Q543" s="64"/>
      <c r="R543" s="64"/>
      <c r="S543" s="64"/>
    </row>
    <row r="544" spans="1:19" ht="16.5" customHeight="1">
      <c r="A544" s="85" t="s">
        <v>1214</v>
      </c>
      <c r="B544" s="78" t="s">
        <v>1215</v>
      </c>
      <c r="C544" s="81" t="s">
        <v>1206</v>
      </c>
      <c r="D544" s="92"/>
      <c r="E544" s="79" t="s">
        <v>1207</v>
      </c>
      <c r="F544" s="76">
        <v>0.5</v>
      </c>
      <c r="G544" s="79">
        <v>278673</v>
      </c>
      <c r="H544" s="63">
        <f>+G544*F544</f>
        <v>139336.5</v>
      </c>
      <c r="I544" s="63">
        <f>+L544</f>
        <v>0</v>
      </c>
      <c r="J544" s="60"/>
      <c r="K544" s="60"/>
      <c r="L544" s="64">
        <f>+((M544*N544)+(O544*P544)+(Q544*R544))*(1+S544/100)</f>
        <v>0</v>
      </c>
      <c r="M544" s="65">
        <v>0.08</v>
      </c>
      <c r="N544" s="66">
        <f>+N542</f>
        <v>0</v>
      </c>
      <c r="O544" s="64"/>
      <c r="P544" s="64"/>
      <c r="Q544" s="64"/>
      <c r="R544" s="64"/>
      <c r="S544" s="64"/>
    </row>
    <row r="545" spans="1:19" ht="16.5" customHeight="1">
      <c r="A545" s="85" t="s">
        <v>1216</v>
      </c>
      <c r="B545" s="78" t="s">
        <v>1217</v>
      </c>
      <c r="C545" s="81" t="s">
        <v>1206</v>
      </c>
      <c r="D545" s="92"/>
      <c r="E545" s="79" t="s">
        <v>1207</v>
      </c>
      <c r="F545" s="76">
        <v>0.62</v>
      </c>
      <c r="G545" s="79">
        <v>278673</v>
      </c>
      <c r="H545" s="63">
        <f>+G545*F545</f>
        <v>172777.26</v>
      </c>
      <c r="I545" s="63">
        <f>+L545</f>
        <v>0</v>
      </c>
      <c r="J545" s="60"/>
      <c r="K545" s="60"/>
      <c r="L545" s="64">
        <f>+((M545*N545)+(O545*P545)+(Q545*R545))*(1+S545/100)</f>
        <v>0</v>
      </c>
      <c r="M545" s="65">
        <v>0.08</v>
      </c>
      <c r="N545" s="66">
        <f t="shared" si="34"/>
        <v>0</v>
      </c>
      <c r="O545" s="64"/>
      <c r="P545" s="64"/>
      <c r="Q545" s="64"/>
      <c r="R545" s="64"/>
      <c r="S545" s="64"/>
    </row>
    <row r="546" spans="1:19" ht="16.5" customHeight="1">
      <c r="A546" s="85" t="s">
        <v>1218</v>
      </c>
      <c r="B546" s="78" t="s">
        <v>1219</v>
      </c>
      <c r="C546" s="81" t="s">
        <v>1206</v>
      </c>
      <c r="D546" s="92"/>
      <c r="E546" s="79" t="s">
        <v>1207</v>
      </c>
      <c r="F546" s="76">
        <v>0.76</v>
      </c>
      <c r="G546" s="79">
        <v>278673</v>
      </c>
      <c r="H546" s="63">
        <f>+G546*F546</f>
        <v>211791.48</v>
      </c>
      <c r="I546" s="63">
        <f>+L546</f>
        <v>0</v>
      </c>
      <c r="J546" s="60"/>
      <c r="K546" s="60"/>
      <c r="L546" s="64">
        <f>+((M546*N546)+(O546*P546)+(Q546*R546))*(1+S546/100)</f>
        <v>0</v>
      </c>
      <c r="M546" s="65">
        <v>0.08</v>
      </c>
      <c r="N546" s="66">
        <f t="shared" si="34"/>
        <v>0</v>
      </c>
      <c r="O546" s="64"/>
      <c r="P546" s="64"/>
      <c r="Q546" s="64"/>
      <c r="R546" s="64"/>
      <c r="S546" s="64"/>
    </row>
    <row r="547" spans="1:19" ht="16.5" customHeight="1">
      <c r="A547" s="85" t="s">
        <v>1220</v>
      </c>
      <c r="B547" s="78" t="s">
        <v>1221</v>
      </c>
      <c r="C547" s="81" t="s">
        <v>1206</v>
      </c>
      <c r="D547" s="92"/>
      <c r="E547" s="79" t="s">
        <v>1207</v>
      </c>
      <c r="F547" s="76">
        <v>0.99</v>
      </c>
      <c r="G547" s="79">
        <v>278673</v>
      </c>
      <c r="H547" s="63">
        <f>+G547*F547</f>
        <v>275886.27</v>
      </c>
      <c r="I547" s="63">
        <f>+L547</f>
        <v>0</v>
      </c>
      <c r="J547" s="60"/>
      <c r="K547" s="60"/>
      <c r="L547" s="64">
        <f>+((M547*N547)+(O547*P547)+(Q547*R547))*(1+S547/100)</f>
        <v>0</v>
      </c>
      <c r="M547" s="65">
        <v>0.1</v>
      </c>
      <c r="N547" s="66">
        <f t="shared" si="34"/>
        <v>0</v>
      </c>
      <c r="O547" s="64"/>
      <c r="P547" s="64"/>
      <c r="Q547" s="64"/>
      <c r="R547" s="64"/>
      <c r="S547" s="64"/>
    </row>
    <row r="548" spans="1:19" ht="16.5" customHeight="1">
      <c r="A548" s="85"/>
      <c r="B548" s="78"/>
      <c r="C548" s="81"/>
      <c r="D548" s="92"/>
      <c r="E548" s="79"/>
      <c r="F548" s="76"/>
      <c r="G548" s="79"/>
      <c r="H548" s="63"/>
      <c r="I548" s="63">
        <f t="shared" si="35"/>
        <v>0</v>
      </c>
      <c r="J548" s="60"/>
      <c r="K548" s="60"/>
      <c r="L548" s="64"/>
      <c r="M548" s="64"/>
      <c r="N548" s="64"/>
      <c r="O548" s="64"/>
      <c r="P548" s="64"/>
      <c r="Q548" s="64"/>
      <c r="R548" s="64"/>
      <c r="S548" s="64"/>
    </row>
    <row r="549" spans="1:19" ht="16.5" customHeight="1">
      <c r="A549" s="85" t="s">
        <v>1222</v>
      </c>
      <c r="B549" s="78" t="s">
        <v>1223</v>
      </c>
      <c r="C549" s="81" t="s">
        <v>1224</v>
      </c>
      <c r="D549" s="92">
        <v>83000</v>
      </c>
      <c r="E549" s="79" t="s">
        <v>646</v>
      </c>
      <c r="F549" s="76">
        <v>5.0599999999999996</v>
      </c>
      <c r="G549" s="79">
        <v>219137.11538461538</v>
      </c>
      <c r="H549" s="63">
        <f t="shared" ref="H549:H612" si="36">+G549*F549</f>
        <v>1108833.8038461537</v>
      </c>
      <c r="I549" s="63">
        <f t="shared" si="35"/>
        <v>0</v>
      </c>
      <c r="J549" s="60"/>
      <c r="K549" s="60"/>
      <c r="L549" s="64"/>
      <c r="M549" s="64"/>
      <c r="N549" s="64"/>
      <c r="O549" s="64"/>
      <c r="P549" s="64"/>
      <c r="Q549" s="64"/>
      <c r="R549" s="64"/>
      <c r="S549" s="64"/>
    </row>
    <row r="550" spans="1:19" ht="16.5" customHeight="1">
      <c r="A550" s="85" t="s">
        <v>1225</v>
      </c>
      <c r="B550" s="78" t="s">
        <v>1226</v>
      </c>
      <c r="C550" s="81" t="s">
        <v>1224</v>
      </c>
      <c r="D550" s="92">
        <v>115500</v>
      </c>
      <c r="E550" s="79" t="s">
        <v>646</v>
      </c>
      <c r="F550" s="76">
        <v>5.87</v>
      </c>
      <c r="G550" s="79">
        <v>219137.11538461538</v>
      </c>
      <c r="H550" s="63">
        <f t="shared" si="36"/>
        <v>1286334.8673076923</v>
      </c>
      <c r="I550" s="63">
        <f t="shared" si="35"/>
        <v>0</v>
      </c>
      <c r="J550" s="60"/>
      <c r="K550" s="60"/>
      <c r="L550" s="64"/>
      <c r="M550" s="64"/>
      <c r="N550" s="64"/>
      <c r="O550" s="64"/>
      <c r="P550" s="64"/>
      <c r="Q550" s="64"/>
      <c r="R550" s="64"/>
      <c r="S550" s="64"/>
    </row>
    <row r="551" spans="1:19" ht="16.5" customHeight="1">
      <c r="A551" s="85" t="s">
        <v>1227</v>
      </c>
      <c r="B551" s="78" t="s">
        <v>1228</v>
      </c>
      <c r="C551" s="81" t="s">
        <v>1224</v>
      </c>
      <c r="D551" s="92">
        <v>148500</v>
      </c>
      <c r="E551" s="79" t="s">
        <v>646</v>
      </c>
      <c r="F551" s="76">
        <v>8.25</v>
      </c>
      <c r="G551" s="79">
        <v>219137.11538461538</v>
      </c>
      <c r="H551" s="63">
        <f t="shared" si="36"/>
        <v>1807881.2019230768</v>
      </c>
      <c r="I551" s="63">
        <f t="shared" si="35"/>
        <v>0</v>
      </c>
      <c r="J551" s="60"/>
      <c r="K551" s="60"/>
      <c r="L551" s="64"/>
      <c r="M551" s="64"/>
      <c r="N551" s="64"/>
      <c r="O551" s="64"/>
      <c r="P551" s="64"/>
      <c r="Q551" s="64"/>
      <c r="R551" s="64"/>
      <c r="S551" s="64"/>
    </row>
    <row r="552" spans="1:19" ht="16.5" customHeight="1">
      <c r="A552" s="85" t="s">
        <v>1229</v>
      </c>
      <c r="B552" s="78" t="s">
        <v>1230</v>
      </c>
      <c r="C552" s="81" t="s">
        <v>1224</v>
      </c>
      <c r="D552" s="92">
        <v>180000</v>
      </c>
      <c r="E552" s="79" t="s">
        <v>646</v>
      </c>
      <c r="F552" s="76">
        <v>9.27</v>
      </c>
      <c r="G552" s="79">
        <v>219137.11538461538</v>
      </c>
      <c r="H552" s="63">
        <f t="shared" si="36"/>
        <v>2031401.0596153846</v>
      </c>
      <c r="I552" s="63">
        <f t="shared" si="35"/>
        <v>0</v>
      </c>
      <c r="J552" s="60"/>
      <c r="K552" s="60"/>
      <c r="L552" s="64"/>
      <c r="M552" s="64"/>
      <c r="N552" s="64"/>
      <c r="O552" s="64"/>
      <c r="P552" s="64"/>
      <c r="Q552" s="64"/>
      <c r="R552" s="64"/>
      <c r="S552" s="64"/>
    </row>
    <row r="553" spans="1:19" ht="16.5" customHeight="1">
      <c r="A553" s="85" t="s">
        <v>1231</v>
      </c>
      <c r="B553" s="78" t="s">
        <v>1232</v>
      </c>
      <c r="C553" s="81" t="s">
        <v>1224</v>
      </c>
      <c r="D553" s="92">
        <v>320870</v>
      </c>
      <c r="E553" s="79" t="s">
        <v>646</v>
      </c>
      <c r="F553" s="76">
        <v>14.8</v>
      </c>
      <c r="G553" s="79">
        <v>219137.11538461538</v>
      </c>
      <c r="H553" s="63">
        <f t="shared" si="36"/>
        <v>3243229.3076923075</v>
      </c>
      <c r="I553" s="63">
        <f t="shared" si="35"/>
        <v>0</v>
      </c>
      <c r="J553" s="60"/>
      <c r="K553" s="60"/>
      <c r="L553" s="64"/>
      <c r="M553" s="64"/>
      <c r="N553" s="64"/>
      <c r="O553" s="64"/>
      <c r="P553" s="64"/>
      <c r="Q553" s="64"/>
      <c r="R553" s="64"/>
      <c r="S553" s="64"/>
    </row>
    <row r="554" spans="1:19" ht="16.5" customHeight="1">
      <c r="A554" s="85"/>
      <c r="B554" s="78"/>
      <c r="C554" s="81"/>
      <c r="D554" s="92"/>
      <c r="E554" s="79"/>
      <c r="F554" s="76"/>
      <c r="G554" s="79"/>
      <c r="H554" s="63">
        <f t="shared" si="36"/>
        <v>0</v>
      </c>
      <c r="I554" s="63">
        <f t="shared" si="35"/>
        <v>0</v>
      </c>
      <c r="J554" s="60"/>
      <c r="K554" s="60"/>
      <c r="L554" s="64"/>
      <c r="M554" s="64"/>
      <c r="N554" s="64"/>
      <c r="O554" s="64"/>
      <c r="P554" s="64"/>
      <c r="Q554" s="64"/>
      <c r="R554" s="64"/>
      <c r="S554" s="64"/>
    </row>
    <row r="555" spans="1:19" ht="16.5" customHeight="1">
      <c r="A555" s="85" t="s">
        <v>1233</v>
      </c>
      <c r="B555" s="78" t="s">
        <v>1234</v>
      </c>
      <c r="C555" s="81" t="s">
        <v>1224</v>
      </c>
      <c r="D555" s="92">
        <v>132000</v>
      </c>
      <c r="E555" s="79" t="s">
        <v>646</v>
      </c>
      <c r="F555" s="76">
        <v>6.82</v>
      </c>
      <c r="G555" s="79">
        <v>219137.11538461538</v>
      </c>
      <c r="H555" s="63">
        <f t="shared" si="36"/>
        <v>1494515.1269230768</v>
      </c>
      <c r="I555" s="63">
        <f t="shared" si="35"/>
        <v>0</v>
      </c>
      <c r="J555" s="60"/>
      <c r="K555" s="60"/>
      <c r="L555" s="64"/>
      <c r="M555" s="64"/>
      <c r="N555" s="64"/>
      <c r="O555" s="64"/>
      <c r="P555" s="64"/>
      <c r="Q555" s="64"/>
      <c r="R555" s="64"/>
      <c r="S555" s="64"/>
    </row>
    <row r="556" spans="1:19" ht="16.5" customHeight="1">
      <c r="A556" s="85" t="s">
        <v>1235</v>
      </c>
      <c r="B556" s="78" t="s">
        <v>1236</v>
      </c>
      <c r="C556" s="81" t="s">
        <v>1224</v>
      </c>
      <c r="D556" s="92">
        <v>165000</v>
      </c>
      <c r="E556" s="79" t="s">
        <v>646</v>
      </c>
      <c r="F556" s="76">
        <v>7.85</v>
      </c>
      <c r="G556" s="79">
        <v>219137.11538461538</v>
      </c>
      <c r="H556" s="63">
        <f t="shared" si="36"/>
        <v>1720226.3557692305</v>
      </c>
      <c r="I556" s="63">
        <f t="shared" si="35"/>
        <v>0</v>
      </c>
      <c r="J556" s="60"/>
      <c r="K556" s="60"/>
      <c r="L556" s="64"/>
      <c r="M556" s="64"/>
      <c r="N556" s="64"/>
      <c r="O556" s="64"/>
      <c r="P556" s="64"/>
      <c r="Q556" s="64"/>
      <c r="R556" s="64"/>
      <c r="S556" s="64"/>
    </row>
    <row r="557" spans="1:19" ht="16.5" customHeight="1">
      <c r="A557" s="85" t="s">
        <v>1237</v>
      </c>
      <c r="B557" s="78" t="s">
        <v>1238</v>
      </c>
      <c r="C557" s="81" t="s">
        <v>1224</v>
      </c>
      <c r="D557" s="92">
        <v>196000</v>
      </c>
      <c r="E557" s="79" t="s">
        <v>646</v>
      </c>
      <c r="F557" s="76">
        <v>9.61</v>
      </c>
      <c r="G557" s="79">
        <v>219137.11538461538</v>
      </c>
      <c r="H557" s="63">
        <f t="shared" si="36"/>
        <v>2105907.6788461534</v>
      </c>
      <c r="I557" s="63">
        <f t="shared" si="35"/>
        <v>0</v>
      </c>
      <c r="J557" s="60"/>
      <c r="K557" s="60"/>
      <c r="L557" s="64"/>
      <c r="M557" s="64"/>
      <c r="N557" s="64"/>
      <c r="O557" s="64"/>
      <c r="P557" s="64"/>
      <c r="Q557" s="64"/>
      <c r="R557" s="64"/>
      <c r="S557" s="64"/>
    </row>
    <row r="558" spans="1:19" ht="16.5" customHeight="1">
      <c r="A558" s="85" t="s">
        <v>1239</v>
      </c>
      <c r="B558" s="78" t="s">
        <v>1240</v>
      </c>
      <c r="C558" s="81" t="s">
        <v>1224</v>
      </c>
      <c r="D558" s="92">
        <v>247500</v>
      </c>
      <c r="E558" s="79" t="s">
        <v>646</v>
      </c>
      <c r="F558" s="76">
        <v>10.75</v>
      </c>
      <c r="G558" s="79">
        <v>219137.11538461538</v>
      </c>
      <c r="H558" s="63">
        <f t="shared" si="36"/>
        <v>2355723.9903846155</v>
      </c>
      <c r="I558" s="63">
        <f t="shared" si="35"/>
        <v>0</v>
      </c>
      <c r="J558" s="60"/>
      <c r="K558" s="60"/>
      <c r="L558" s="64"/>
      <c r="M558" s="64"/>
      <c r="N558" s="64"/>
      <c r="O558" s="64"/>
      <c r="P558" s="64"/>
      <c r="Q558" s="64"/>
      <c r="R558" s="64"/>
      <c r="S558" s="64"/>
    </row>
    <row r="559" spans="1:19" ht="16.5" customHeight="1">
      <c r="A559" s="85" t="s">
        <v>1241</v>
      </c>
      <c r="B559" s="78" t="s">
        <v>1242</v>
      </c>
      <c r="C559" s="81" t="s">
        <v>1224</v>
      </c>
      <c r="D559" s="92">
        <v>452174</v>
      </c>
      <c r="E559" s="79" t="s">
        <v>646</v>
      </c>
      <c r="F559" s="76">
        <v>17</v>
      </c>
      <c r="G559" s="79">
        <v>219137.11538461538</v>
      </c>
      <c r="H559" s="63">
        <f t="shared" si="36"/>
        <v>3725330.9615384615</v>
      </c>
      <c r="I559" s="63">
        <f t="shared" si="35"/>
        <v>0</v>
      </c>
      <c r="J559" s="60"/>
      <c r="K559" s="60"/>
      <c r="L559" s="64"/>
      <c r="M559" s="64"/>
      <c r="N559" s="64"/>
      <c r="O559" s="64"/>
      <c r="P559" s="64"/>
      <c r="Q559" s="64"/>
      <c r="R559" s="64"/>
      <c r="S559" s="64"/>
    </row>
    <row r="560" spans="1:19" ht="16.5" customHeight="1">
      <c r="A560" s="85"/>
      <c r="B560" s="78"/>
      <c r="C560" s="81"/>
      <c r="D560" s="92"/>
      <c r="E560" s="79"/>
      <c r="F560" s="76"/>
      <c r="G560" s="79"/>
      <c r="H560" s="63">
        <f t="shared" si="36"/>
        <v>0</v>
      </c>
      <c r="I560" s="63">
        <f t="shared" si="35"/>
        <v>0</v>
      </c>
      <c r="J560" s="60"/>
      <c r="K560" s="60"/>
      <c r="L560" s="64"/>
      <c r="M560" s="64"/>
      <c r="N560" s="64"/>
      <c r="O560" s="64"/>
      <c r="P560" s="64"/>
      <c r="Q560" s="64"/>
      <c r="R560" s="64"/>
      <c r="S560" s="64"/>
    </row>
    <row r="561" spans="1:19" ht="16.5" customHeight="1">
      <c r="A561" s="85" t="s">
        <v>1243</v>
      </c>
      <c r="B561" s="78" t="s">
        <v>1244</v>
      </c>
      <c r="C561" s="81" t="s">
        <v>1224</v>
      </c>
      <c r="D561" s="92">
        <v>246000</v>
      </c>
      <c r="E561" s="79" t="s">
        <v>646</v>
      </c>
      <c r="F561" s="76">
        <v>20.51</v>
      </c>
      <c r="G561" s="79">
        <v>219137.11538461538</v>
      </c>
      <c r="H561" s="63">
        <f t="shared" si="36"/>
        <v>4494502.2365384614</v>
      </c>
      <c r="I561" s="63">
        <f t="shared" si="35"/>
        <v>0</v>
      </c>
      <c r="J561" s="60"/>
      <c r="K561" s="60"/>
      <c r="L561" s="64"/>
      <c r="M561" s="64"/>
      <c r="N561" s="64"/>
      <c r="O561" s="64"/>
      <c r="P561" s="64"/>
      <c r="Q561" s="64"/>
      <c r="R561" s="64"/>
      <c r="S561" s="64"/>
    </row>
    <row r="562" spans="1:19" ht="16.5" customHeight="1">
      <c r="A562" s="85" t="s">
        <v>1245</v>
      </c>
      <c r="B562" s="78" t="s">
        <v>1246</v>
      </c>
      <c r="C562" s="81" t="s">
        <v>1224</v>
      </c>
      <c r="D562" s="92">
        <v>297000</v>
      </c>
      <c r="E562" s="79" t="s">
        <v>646</v>
      </c>
      <c r="F562" s="76">
        <v>23.05</v>
      </c>
      <c r="G562" s="79">
        <v>219137.11538461538</v>
      </c>
      <c r="H562" s="63">
        <f t="shared" si="36"/>
        <v>5051110.509615385</v>
      </c>
      <c r="I562" s="63">
        <f t="shared" si="35"/>
        <v>0</v>
      </c>
      <c r="J562" s="60"/>
      <c r="K562" s="60"/>
      <c r="L562" s="64"/>
      <c r="M562" s="64"/>
      <c r="N562" s="64"/>
      <c r="O562" s="64"/>
      <c r="P562" s="64"/>
      <c r="Q562" s="64"/>
      <c r="R562" s="64"/>
      <c r="S562" s="64"/>
    </row>
    <row r="563" spans="1:19" ht="16.5" customHeight="1">
      <c r="A563" s="85" t="s">
        <v>1247</v>
      </c>
      <c r="B563" s="78" t="s">
        <v>1248</v>
      </c>
      <c r="C563" s="81" t="s">
        <v>1224</v>
      </c>
      <c r="D563" s="92">
        <v>533478</v>
      </c>
      <c r="E563" s="79" t="s">
        <v>646</v>
      </c>
      <c r="F563" s="76">
        <v>34.799999999999997</v>
      </c>
      <c r="G563" s="79">
        <v>219137.11538461538</v>
      </c>
      <c r="H563" s="63">
        <f t="shared" si="36"/>
        <v>7625971.6153846141</v>
      </c>
      <c r="I563" s="63">
        <f t="shared" si="35"/>
        <v>0</v>
      </c>
      <c r="J563" s="60"/>
      <c r="K563" s="60"/>
      <c r="L563" s="64"/>
      <c r="M563" s="64"/>
      <c r="N563" s="64"/>
      <c r="O563" s="64"/>
      <c r="P563" s="64"/>
      <c r="Q563" s="64"/>
      <c r="R563" s="64"/>
      <c r="S563" s="64"/>
    </row>
    <row r="564" spans="1:19" ht="16.5" customHeight="1">
      <c r="A564" s="85"/>
      <c r="B564" s="78"/>
      <c r="C564" s="81"/>
      <c r="D564" s="92"/>
      <c r="E564" s="79"/>
      <c r="F564" s="76"/>
      <c r="G564" s="79"/>
      <c r="H564" s="63">
        <f t="shared" si="36"/>
        <v>0</v>
      </c>
      <c r="I564" s="63">
        <f t="shared" si="35"/>
        <v>0</v>
      </c>
      <c r="J564" s="60"/>
      <c r="K564" s="60"/>
      <c r="L564" s="64"/>
      <c r="M564" s="64"/>
      <c r="N564" s="64"/>
      <c r="O564" s="64"/>
      <c r="P564" s="64"/>
      <c r="Q564" s="64"/>
      <c r="R564" s="64"/>
      <c r="S564" s="64"/>
    </row>
    <row r="565" spans="1:19" ht="16.5" customHeight="1">
      <c r="A565" s="85" t="s">
        <v>1249</v>
      </c>
      <c r="B565" s="78" t="s">
        <v>1250</v>
      </c>
      <c r="C565" s="81" t="s">
        <v>1224</v>
      </c>
      <c r="D565" s="92">
        <v>132000</v>
      </c>
      <c r="E565" s="79" t="s">
        <v>646</v>
      </c>
      <c r="F565" s="76">
        <v>6.82</v>
      </c>
      <c r="G565" s="79">
        <v>219137.11538461538</v>
      </c>
      <c r="H565" s="63">
        <f t="shared" si="36"/>
        <v>1494515.1269230768</v>
      </c>
      <c r="I565" s="63">
        <f t="shared" si="35"/>
        <v>0</v>
      </c>
      <c r="J565" s="60"/>
      <c r="K565" s="60"/>
      <c r="L565" s="64"/>
      <c r="M565" s="64"/>
      <c r="N565" s="64"/>
      <c r="O565" s="64"/>
      <c r="P565" s="64"/>
      <c r="Q565" s="64"/>
      <c r="R565" s="64"/>
      <c r="S565" s="64"/>
    </row>
    <row r="566" spans="1:19" ht="16.5" customHeight="1">
      <c r="A566" s="85" t="s">
        <v>1251</v>
      </c>
      <c r="B566" s="78" t="s">
        <v>1252</v>
      </c>
      <c r="C566" s="81" t="s">
        <v>1224</v>
      </c>
      <c r="D566" s="92">
        <v>165000</v>
      </c>
      <c r="E566" s="79" t="s">
        <v>646</v>
      </c>
      <c r="F566" s="76">
        <v>7.85</v>
      </c>
      <c r="G566" s="79">
        <v>219137.11538461538</v>
      </c>
      <c r="H566" s="63">
        <f t="shared" si="36"/>
        <v>1720226.3557692305</v>
      </c>
      <c r="I566" s="63">
        <f t="shared" si="35"/>
        <v>0</v>
      </c>
      <c r="J566" s="60"/>
      <c r="K566" s="60"/>
      <c r="L566" s="64"/>
      <c r="M566" s="64"/>
      <c r="N566" s="64"/>
      <c r="O566" s="64"/>
      <c r="P566" s="64"/>
      <c r="Q566" s="64"/>
      <c r="R566" s="64"/>
      <c r="S566" s="64"/>
    </row>
    <row r="567" spans="1:19" ht="16.5" customHeight="1">
      <c r="A567" s="85" t="s">
        <v>1253</v>
      </c>
      <c r="B567" s="78" t="s">
        <v>1254</v>
      </c>
      <c r="C567" s="81" t="s">
        <v>1224</v>
      </c>
      <c r="D567" s="92">
        <v>198000</v>
      </c>
      <c r="E567" s="79" t="s">
        <v>646</v>
      </c>
      <c r="F567" s="76">
        <v>9.61</v>
      </c>
      <c r="G567" s="79">
        <v>219137.11538461538</v>
      </c>
      <c r="H567" s="63">
        <f t="shared" si="36"/>
        <v>2105907.6788461534</v>
      </c>
      <c r="I567" s="63">
        <f t="shared" si="35"/>
        <v>0</v>
      </c>
      <c r="J567" s="60"/>
      <c r="K567" s="60"/>
      <c r="L567" s="64"/>
      <c r="M567" s="64"/>
      <c r="N567" s="64"/>
      <c r="O567" s="64"/>
      <c r="P567" s="64"/>
      <c r="Q567" s="64"/>
      <c r="R567" s="64"/>
      <c r="S567" s="64"/>
    </row>
    <row r="568" spans="1:19" ht="16.5" customHeight="1">
      <c r="A568" s="85" t="s">
        <v>1255</v>
      </c>
      <c r="B568" s="78" t="s">
        <v>1256</v>
      </c>
      <c r="C568" s="81" t="s">
        <v>1224</v>
      </c>
      <c r="D568" s="92">
        <v>247500</v>
      </c>
      <c r="E568" s="79" t="s">
        <v>646</v>
      </c>
      <c r="F568" s="76">
        <v>10.75</v>
      </c>
      <c r="G568" s="79">
        <v>219137.11538461538</v>
      </c>
      <c r="H568" s="63">
        <f t="shared" si="36"/>
        <v>2355723.9903846155</v>
      </c>
      <c r="I568" s="63">
        <f t="shared" si="35"/>
        <v>0</v>
      </c>
      <c r="J568" s="60"/>
      <c r="K568" s="60"/>
      <c r="L568" s="64"/>
      <c r="M568" s="64"/>
      <c r="N568" s="64"/>
      <c r="O568" s="64"/>
      <c r="P568" s="64"/>
      <c r="Q568" s="64"/>
      <c r="R568" s="64"/>
      <c r="S568" s="64"/>
    </row>
    <row r="569" spans="1:19" ht="16.5" customHeight="1">
      <c r="A569" s="85" t="s">
        <v>1257</v>
      </c>
      <c r="B569" s="78" t="s">
        <v>1258</v>
      </c>
      <c r="C569" s="81" t="s">
        <v>1224</v>
      </c>
      <c r="D569" s="92">
        <v>373739</v>
      </c>
      <c r="E569" s="79" t="s">
        <v>646</v>
      </c>
      <c r="F569" s="76">
        <v>14.8</v>
      </c>
      <c r="G569" s="79">
        <v>219137.11538461538</v>
      </c>
      <c r="H569" s="63">
        <f t="shared" si="36"/>
        <v>3243229.3076923075</v>
      </c>
      <c r="I569" s="63">
        <f t="shared" si="35"/>
        <v>0</v>
      </c>
      <c r="J569" s="60"/>
      <c r="K569" s="60"/>
      <c r="L569" s="64"/>
      <c r="M569" s="64"/>
      <c r="N569" s="64"/>
      <c r="O569" s="64"/>
      <c r="P569" s="64"/>
      <c r="Q569" s="64"/>
      <c r="R569" s="64"/>
      <c r="S569" s="64"/>
    </row>
    <row r="570" spans="1:19" ht="16.5" customHeight="1">
      <c r="A570" s="85"/>
      <c r="B570" s="78"/>
      <c r="C570" s="81"/>
      <c r="D570" s="92"/>
      <c r="E570" s="79"/>
      <c r="F570" s="76"/>
      <c r="G570" s="79"/>
      <c r="H570" s="63">
        <f t="shared" si="36"/>
        <v>0</v>
      </c>
      <c r="I570" s="63">
        <f t="shared" si="35"/>
        <v>0</v>
      </c>
      <c r="J570" s="60"/>
      <c r="K570" s="60"/>
      <c r="L570" s="64"/>
      <c r="M570" s="64"/>
      <c r="N570" s="64"/>
      <c r="O570" s="64"/>
      <c r="P570" s="64"/>
      <c r="Q570" s="64"/>
      <c r="R570" s="64"/>
      <c r="S570" s="64"/>
    </row>
    <row r="571" spans="1:19" ht="16.5" customHeight="1">
      <c r="A571" s="85" t="s">
        <v>1259</v>
      </c>
      <c r="B571" s="78" t="s">
        <v>1260</v>
      </c>
      <c r="C571" s="81" t="s">
        <v>1224</v>
      </c>
      <c r="D571" s="92">
        <v>165000</v>
      </c>
      <c r="E571" s="79" t="s">
        <v>646</v>
      </c>
      <c r="F571" s="76">
        <v>8.1199999999999992</v>
      </c>
      <c r="G571" s="79">
        <v>219137.11538461538</v>
      </c>
      <c r="H571" s="63">
        <f t="shared" si="36"/>
        <v>1779393.3769230766</v>
      </c>
      <c r="I571" s="63">
        <f t="shared" si="35"/>
        <v>0</v>
      </c>
      <c r="J571" s="60"/>
      <c r="K571" s="60"/>
      <c r="L571" s="64"/>
      <c r="M571" s="64"/>
      <c r="N571" s="64"/>
      <c r="O571" s="64"/>
      <c r="P571" s="64"/>
      <c r="Q571" s="64"/>
      <c r="R571" s="64"/>
      <c r="S571" s="64"/>
    </row>
    <row r="572" spans="1:19" ht="16.5" customHeight="1">
      <c r="A572" s="85" t="s">
        <v>1261</v>
      </c>
      <c r="B572" s="78" t="s">
        <v>1262</v>
      </c>
      <c r="C572" s="81" t="s">
        <v>1224</v>
      </c>
      <c r="D572" s="92">
        <v>228900</v>
      </c>
      <c r="E572" s="79" t="s">
        <v>646</v>
      </c>
      <c r="F572" s="76">
        <v>10.27</v>
      </c>
      <c r="G572" s="79">
        <v>219137.11538461538</v>
      </c>
      <c r="H572" s="63">
        <f t="shared" si="36"/>
        <v>2250538.1749999998</v>
      </c>
      <c r="I572" s="63">
        <f t="shared" si="35"/>
        <v>0</v>
      </c>
      <c r="J572" s="60"/>
      <c r="K572" s="60"/>
      <c r="L572" s="64"/>
      <c r="M572" s="64"/>
      <c r="N572" s="64"/>
      <c r="O572" s="64"/>
      <c r="P572" s="64"/>
      <c r="Q572" s="64"/>
      <c r="R572" s="64"/>
      <c r="S572" s="64"/>
    </row>
    <row r="573" spans="1:19" ht="16.5" customHeight="1">
      <c r="A573" s="85" t="s">
        <v>1263</v>
      </c>
      <c r="B573" s="78" t="s">
        <v>1264</v>
      </c>
      <c r="C573" s="81" t="s">
        <v>1224</v>
      </c>
      <c r="D573" s="92">
        <v>292500</v>
      </c>
      <c r="E573" s="79" t="s">
        <v>646</v>
      </c>
      <c r="F573" s="76">
        <v>12.56</v>
      </c>
      <c r="G573" s="79">
        <v>219137.11538461538</v>
      </c>
      <c r="H573" s="63">
        <f t="shared" si="36"/>
        <v>2752362.1692307694</v>
      </c>
      <c r="I573" s="63">
        <f t="shared" si="35"/>
        <v>0</v>
      </c>
      <c r="J573" s="60"/>
      <c r="K573" s="60"/>
      <c r="L573" s="64"/>
      <c r="M573" s="64"/>
      <c r="N573" s="64"/>
      <c r="O573" s="64"/>
      <c r="P573" s="64"/>
      <c r="Q573" s="64"/>
      <c r="R573" s="64"/>
      <c r="S573" s="64"/>
    </row>
    <row r="574" spans="1:19" ht="16.5" customHeight="1">
      <c r="A574" s="85" t="s">
        <v>1265</v>
      </c>
      <c r="B574" s="78" t="s">
        <v>1266</v>
      </c>
      <c r="C574" s="81" t="s">
        <v>1224</v>
      </c>
      <c r="D574" s="92">
        <v>362000</v>
      </c>
      <c r="E574" s="79" t="s">
        <v>646</v>
      </c>
      <c r="F574" s="76">
        <v>14.11</v>
      </c>
      <c r="G574" s="79">
        <v>219137.11538461538</v>
      </c>
      <c r="H574" s="63">
        <f t="shared" si="36"/>
        <v>3092024.6980769229</v>
      </c>
      <c r="I574" s="63">
        <f t="shared" si="35"/>
        <v>0</v>
      </c>
      <c r="J574" s="60"/>
      <c r="K574" s="60"/>
      <c r="L574" s="64"/>
      <c r="M574" s="64"/>
      <c r="N574" s="64"/>
      <c r="O574" s="64"/>
      <c r="P574" s="64"/>
      <c r="Q574" s="64"/>
      <c r="R574" s="64"/>
      <c r="S574" s="64"/>
    </row>
    <row r="575" spans="1:19" ht="16.5" customHeight="1">
      <c r="A575" s="85" t="s">
        <v>1267</v>
      </c>
      <c r="B575" s="78" t="s">
        <v>1268</v>
      </c>
      <c r="C575" s="81" t="s">
        <v>1224</v>
      </c>
      <c r="D575" s="92">
        <v>660609</v>
      </c>
      <c r="E575" s="79" t="s">
        <v>646</v>
      </c>
      <c r="F575" s="76">
        <v>22.67</v>
      </c>
      <c r="G575" s="79">
        <v>219137.11538461538</v>
      </c>
      <c r="H575" s="63">
        <f t="shared" si="36"/>
        <v>4967838.4057692308</v>
      </c>
      <c r="I575" s="63">
        <f t="shared" si="35"/>
        <v>0</v>
      </c>
      <c r="J575" s="60"/>
      <c r="K575" s="60"/>
      <c r="L575" s="64"/>
      <c r="M575" s="64"/>
      <c r="N575" s="64"/>
      <c r="O575" s="64"/>
      <c r="P575" s="64"/>
      <c r="Q575" s="64"/>
      <c r="R575" s="64"/>
      <c r="S575" s="64"/>
    </row>
    <row r="576" spans="1:19" ht="16.5" customHeight="1">
      <c r="A576" s="85"/>
      <c r="B576" s="78"/>
      <c r="C576" s="81"/>
      <c r="D576" s="92"/>
      <c r="E576" s="79"/>
      <c r="F576" s="76"/>
      <c r="G576" s="79"/>
      <c r="H576" s="63">
        <f t="shared" si="36"/>
        <v>0</v>
      </c>
      <c r="I576" s="63">
        <f t="shared" si="35"/>
        <v>0</v>
      </c>
      <c r="J576" s="60"/>
      <c r="K576" s="60"/>
      <c r="L576" s="64"/>
      <c r="M576" s="64"/>
      <c r="N576" s="64"/>
      <c r="O576" s="64"/>
      <c r="P576" s="64"/>
      <c r="Q576" s="64"/>
      <c r="R576" s="64"/>
      <c r="S576" s="64"/>
    </row>
    <row r="577" spans="1:19" ht="16.5" customHeight="1">
      <c r="A577" s="85" t="s">
        <v>1269</v>
      </c>
      <c r="B577" s="78" t="s">
        <v>1270</v>
      </c>
      <c r="C577" s="81" t="s">
        <v>1224</v>
      </c>
      <c r="D577" s="92">
        <v>195000</v>
      </c>
      <c r="E577" s="79" t="s">
        <v>646</v>
      </c>
      <c r="F577" s="76">
        <v>9.3000000000000007</v>
      </c>
      <c r="G577" s="79">
        <v>219137.11538461538</v>
      </c>
      <c r="H577" s="63">
        <f t="shared" si="36"/>
        <v>2037975.1730769232</v>
      </c>
      <c r="I577" s="63">
        <f t="shared" si="35"/>
        <v>0</v>
      </c>
      <c r="J577" s="60"/>
      <c r="K577" s="60"/>
      <c r="L577" s="64"/>
      <c r="M577" s="64"/>
      <c r="N577" s="64"/>
      <c r="O577" s="64"/>
      <c r="P577" s="64"/>
      <c r="Q577" s="64"/>
      <c r="R577" s="64"/>
      <c r="S577" s="64"/>
    </row>
    <row r="578" spans="1:19" ht="16.5" customHeight="1">
      <c r="A578" s="85" t="s">
        <v>1271</v>
      </c>
      <c r="B578" s="78" t="s">
        <v>1272</v>
      </c>
      <c r="C578" s="81" t="s">
        <v>1224</v>
      </c>
      <c r="D578" s="92">
        <v>277400</v>
      </c>
      <c r="E578" s="79" t="s">
        <v>646</v>
      </c>
      <c r="F578" s="76">
        <v>12.3</v>
      </c>
      <c r="G578" s="79">
        <v>219137.11538461538</v>
      </c>
      <c r="H578" s="63">
        <f t="shared" si="36"/>
        <v>2695386.5192307695</v>
      </c>
      <c r="I578" s="63">
        <f t="shared" si="35"/>
        <v>0</v>
      </c>
      <c r="J578" s="60"/>
      <c r="K578" s="60"/>
      <c r="L578" s="64"/>
      <c r="M578" s="64"/>
      <c r="N578" s="64"/>
      <c r="O578" s="64"/>
      <c r="P578" s="64"/>
      <c r="Q578" s="64"/>
      <c r="R578" s="64"/>
      <c r="S578" s="64"/>
    </row>
    <row r="579" spans="1:19" ht="16.5" customHeight="1">
      <c r="A579" s="85" t="s">
        <v>1273</v>
      </c>
      <c r="B579" s="78" t="s">
        <v>1274</v>
      </c>
      <c r="C579" s="81" t="s">
        <v>1224</v>
      </c>
      <c r="D579" s="92">
        <v>362000</v>
      </c>
      <c r="E579" s="79" t="s">
        <v>646</v>
      </c>
      <c r="F579" s="76">
        <v>15.05</v>
      </c>
      <c r="G579" s="79">
        <v>219137.11538461538</v>
      </c>
      <c r="H579" s="63">
        <f t="shared" si="36"/>
        <v>3298013.5865384615</v>
      </c>
      <c r="I579" s="63">
        <f t="shared" si="35"/>
        <v>0</v>
      </c>
      <c r="J579" s="60"/>
      <c r="K579" s="60"/>
      <c r="L579" s="64"/>
      <c r="M579" s="64"/>
      <c r="N579" s="64"/>
      <c r="O579" s="64"/>
      <c r="P579" s="64"/>
      <c r="Q579" s="64"/>
      <c r="R579" s="64"/>
      <c r="S579" s="64"/>
    </row>
    <row r="580" spans="1:19" ht="16.5" customHeight="1">
      <c r="A580" s="85" t="s">
        <v>1275</v>
      </c>
      <c r="B580" s="78" t="s">
        <v>1276</v>
      </c>
      <c r="C580" s="81" t="s">
        <v>1224</v>
      </c>
      <c r="D580" s="92">
        <v>424000</v>
      </c>
      <c r="E580" s="79" t="s">
        <v>646</v>
      </c>
      <c r="F580" s="76">
        <v>16.91</v>
      </c>
      <c r="G580" s="79">
        <v>219137.11538461538</v>
      </c>
      <c r="H580" s="63">
        <f t="shared" si="36"/>
        <v>3705608.6211538459</v>
      </c>
      <c r="I580" s="63">
        <f t="shared" si="35"/>
        <v>0</v>
      </c>
      <c r="J580" s="60"/>
      <c r="K580" s="60"/>
      <c r="L580" s="64"/>
      <c r="M580" s="64"/>
      <c r="N580" s="64"/>
      <c r="O580" s="64"/>
      <c r="P580" s="64"/>
      <c r="Q580" s="64"/>
      <c r="R580" s="64"/>
      <c r="S580" s="64"/>
    </row>
    <row r="581" spans="1:19" ht="16.5" customHeight="1">
      <c r="A581" s="85" t="s">
        <v>1277</v>
      </c>
      <c r="B581" s="78" t="s">
        <v>1278</v>
      </c>
      <c r="C581" s="81" t="s">
        <v>1224</v>
      </c>
      <c r="D581" s="92">
        <v>769100</v>
      </c>
      <c r="E581" s="79" t="s">
        <v>646</v>
      </c>
      <c r="F581" s="76">
        <v>25.68</v>
      </c>
      <c r="G581" s="79">
        <v>219137.11538461538</v>
      </c>
      <c r="H581" s="63">
        <f t="shared" si="36"/>
        <v>5627441.1230769232</v>
      </c>
      <c r="I581" s="63">
        <f t="shared" si="35"/>
        <v>0</v>
      </c>
      <c r="J581" s="60"/>
      <c r="K581" s="60"/>
      <c r="L581" s="64"/>
      <c r="M581" s="64"/>
      <c r="N581" s="64"/>
      <c r="O581" s="64"/>
      <c r="P581" s="64"/>
      <c r="Q581" s="64"/>
      <c r="R581" s="64"/>
      <c r="S581" s="64"/>
    </row>
    <row r="582" spans="1:19" ht="16.5" customHeight="1">
      <c r="A582" s="85"/>
      <c r="B582" s="78"/>
      <c r="C582" s="81"/>
      <c r="D582" s="92"/>
      <c r="E582" s="79"/>
      <c r="F582" s="76"/>
      <c r="G582" s="79"/>
      <c r="H582" s="63">
        <f t="shared" si="36"/>
        <v>0</v>
      </c>
      <c r="I582" s="63">
        <f t="shared" si="35"/>
        <v>0</v>
      </c>
      <c r="J582" s="60"/>
      <c r="K582" s="60"/>
      <c r="L582" s="64"/>
      <c r="M582" s="64"/>
      <c r="N582" s="64"/>
      <c r="O582" s="64"/>
      <c r="P582" s="64"/>
      <c r="Q582" s="64"/>
      <c r="R582" s="64"/>
      <c r="S582" s="64"/>
    </row>
    <row r="583" spans="1:19" ht="16.5" customHeight="1">
      <c r="A583" s="85" t="s">
        <v>1279</v>
      </c>
      <c r="B583" s="78" t="s">
        <v>1280</v>
      </c>
      <c r="C583" s="81" t="s">
        <v>1224</v>
      </c>
      <c r="D583" s="92"/>
      <c r="E583" s="79" t="s">
        <v>646</v>
      </c>
      <c r="F583" s="76">
        <v>2</v>
      </c>
      <c r="G583" s="79">
        <v>219137.11538461538</v>
      </c>
      <c r="H583" s="63">
        <f t="shared" si="36"/>
        <v>438274.23076923075</v>
      </c>
      <c r="I583" s="63">
        <f t="shared" si="35"/>
        <v>0</v>
      </c>
      <c r="J583" s="60"/>
      <c r="K583" s="60"/>
      <c r="L583" s="64"/>
      <c r="M583" s="64"/>
      <c r="N583" s="64"/>
      <c r="O583" s="64"/>
      <c r="P583" s="64"/>
      <c r="Q583" s="64"/>
      <c r="R583" s="64"/>
      <c r="S583" s="64"/>
    </row>
    <row r="584" spans="1:19" ht="16.5" customHeight="1">
      <c r="A584" s="85" t="s">
        <v>1281</v>
      </c>
      <c r="B584" s="78" t="s">
        <v>1282</v>
      </c>
      <c r="C584" s="81" t="s">
        <v>1224</v>
      </c>
      <c r="D584" s="92"/>
      <c r="E584" s="79" t="s">
        <v>646</v>
      </c>
      <c r="F584" s="76">
        <v>4</v>
      </c>
      <c r="G584" s="79">
        <v>219137.11538461538</v>
      </c>
      <c r="H584" s="63">
        <f t="shared" si="36"/>
        <v>876548.4615384615</v>
      </c>
      <c r="I584" s="63">
        <f t="shared" si="35"/>
        <v>0</v>
      </c>
      <c r="J584" s="60"/>
      <c r="K584" s="60"/>
      <c r="L584" s="64"/>
      <c r="M584" s="64"/>
      <c r="N584" s="64"/>
      <c r="O584" s="64"/>
      <c r="P584" s="64"/>
      <c r="Q584" s="64"/>
      <c r="R584" s="64"/>
      <c r="S584" s="64"/>
    </row>
    <row r="585" spans="1:19" ht="16.5" customHeight="1">
      <c r="A585" s="85" t="s">
        <v>1283</v>
      </c>
      <c r="B585" s="78" t="s">
        <v>1284</v>
      </c>
      <c r="C585" s="81" t="s">
        <v>1224</v>
      </c>
      <c r="D585" s="92"/>
      <c r="E585" s="79" t="s">
        <v>646</v>
      </c>
      <c r="F585" s="76">
        <v>5.0599999999999996</v>
      </c>
      <c r="G585" s="79">
        <v>219137.11538461538</v>
      </c>
      <c r="H585" s="63">
        <f t="shared" si="36"/>
        <v>1108833.8038461537</v>
      </c>
      <c r="I585" s="63">
        <f t="shared" si="35"/>
        <v>0</v>
      </c>
      <c r="J585" s="60"/>
      <c r="K585" s="60"/>
      <c r="L585" s="64"/>
      <c r="M585" s="64"/>
      <c r="N585" s="64"/>
      <c r="O585" s="64"/>
      <c r="P585" s="64"/>
      <c r="Q585" s="64"/>
      <c r="R585" s="64"/>
      <c r="S585" s="64"/>
    </row>
    <row r="586" spans="1:19" ht="16.5" customHeight="1">
      <c r="A586" s="85" t="s">
        <v>1285</v>
      </c>
      <c r="B586" s="78" t="s">
        <v>1286</v>
      </c>
      <c r="C586" s="81" t="s">
        <v>1224</v>
      </c>
      <c r="D586" s="92"/>
      <c r="E586" s="79" t="s">
        <v>646</v>
      </c>
      <c r="F586" s="76">
        <v>5.23</v>
      </c>
      <c r="G586" s="79">
        <v>219137.11538461538</v>
      </c>
      <c r="H586" s="63">
        <f t="shared" si="36"/>
        <v>1146087.1134615385</v>
      </c>
      <c r="I586" s="63">
        <f t="shared" si="35"/>
        <v>0</v>
      </c>
      <c r="J586" s="60"/>
      <c r="K586" s="60"/>
      <c r="L586" s="64"/>
      <c r="M586" s="64"/>
      <c r="N586" s="64"/>
      <c r="O586" s="64"/>
      <c r="P586" s="64"/>
      <c r="Q586" s="64"/>
      <c r="R586" s="64"/>
      <c r="S586" s="64"/>
    </row>
    <row r="587" spans="1:19" ht="16.5" customHeight="1">
      <c r="A587" s="85"/>
      <c r="B587" s="78"/>
      <c r="C587" s="81"/>
      <c r="D587" s="92"/>
      <c r="E587" s="79"/>
      <c r="F587" s="76"/>
      <c r="G587" s="79"/>
      <c r="H587" s="63">
        <f t="shared" si="36"/>
        <v>0</v>
      </c>
      <c r="I587" s="63">
        <f t="shared" si="35"/>
        <v>0</v>
      </c>
      <c r="J587" s="60"/>
      <c r="K587" s="60"/>
      <c r="L587" s="64"/>
      <c r="M587" s="64"/>
      <c r="N587" s="64"/>
      <c r="O587" s="64"/>
      <c r="P587" s="64"/>
      <c r="Q587" s="64"/>
      <c r="R587" s="64"/>
      <c r="S587" s="64"/>
    </row>
    <row r="588" spans="1:19" ht="16.5" customHeight="1">
      <c r="A588" s="85" t="s">
        <v>1287</v>
      </c>
      <c r="B588" s="78" t="s">
        <v>1288</v>
      </c>
      <c r="C588" s="81" t="s">
        <v>150</v>
      </c>
      <c r="D588" s="92">
        <v>226620</v>
      </c>
      <c r="E588" s="79" t="s">
        <v>807</v>
      </c>
      <c r="F588" s="76">
        <v>8.43</v>
      </c>
      <c r="G588" s="79">
        <v>236500</v>
      </c>
      <c r="H588" s="63">
        <f t="shared" si="36"/>
        <v>1993695</v>
      </c>
      <c r="I588" s="63">
        <f t="shared" si="35"/>
        <v>0</v>
      </c>
      <c r="J588" s="60"/>
      <c r="K588" s="60"/>
      <c r="L588" s="64"/>
      <c r="M588" s="64"/>
      <c r="N588" s="64"/>
      <c r="O588" s="64"/>
      <c r="P588" s="64"/>
      <c r="Q588" s="64"/>
      <c r="R588" s="64"/>
      <c r="S588" s="64"/>
    </row>
    <row r="589" spans="1:19" ht="16.5" customHeight="1">
      <c r="A589" s="85" t="s">
        <v>1289</v>
      </c>
      <c r="B589" s="78" t="s">
        <v>1290</v>
      </c>
      <c r="C589" s="81" t="s">
        <v>150</v>
      </c>
      <c r="D589" s="92">
        <v>226620</v>
      </c>
      <c r="E589" s="79" t="s">
        <v>807</v>
      </c>
      <c r="F589" s="76">
        <v>11.11</v>
      </c>
      <c r="G589" s="79">
        <v>236500</v>
      </c>
      <c r="H589" s="63">
        <f t="shared" si="36"/>
        <v>2627515</v>
      </c>
      <c r="I589" s="63">
        <f t="shared" si="35"/>
        <v>0</v>
      </c>
      <c r="J589" s="60"/>
      <c r="K589" s="60"/>
      <c r="L589" s="64"/>
      <c r="M589" s="64"/>
      <c r="N589" s="64"/>
      <c r="O589" s="64"/>
      <c r="P589" s="64"/>
      <c r="Q589" s="64"/>
      <c r="R589" s="64"/>
      <c r="S589" s="64"/>
    </row>
    <row r="590" spans="1:19" ht="16.5" customHeight="1">
      <c r="A590" s="85" t="s">
        <v>1291</v>
      </c>
      <c r="B590" s="78" t="s">
        <v>1292</v>
      </c>
      <c r="C590" s="81" t="s">
        <v>150</v>
      </c>
      <c r="D590" s="92">
        <v>226620</v>
      </c>
      <c r="E590" s="79" t="s">
        <v>807</v>
      </c>
      <c r="F590" s="76">
        <v>12.2</v>
      </c>
      <c r="G590" s="79">
        <v>236500</v>
      </c>
      <c r="H590" s="63">
        <f t="shared" si="36"/>
        <v>2885300</v>
      </c>
      <c r="I590" s="63">
        <f t="shared" si="35"/>
        <v>0</v>
      </c>
      <c r="J590" s="60"/>
      <c r="K590" s="60"/>
      <c r="L590" s="64"/>
      <c r="M590" s="64"/>
      <c r="N590" s="64"/>
      <c r="O590" s="64"/>
      <c r="P590" s="64"/>
      <c r="Q590" s="64"/>
      <c r="R590" s="64"/>
      <c r="S590" s="64"/>
    </row>
    <row r="591" spans="1:19" s="150" customFormat="1" ht="16.5" customHeight="1">
      <c r="A591" s="151" t="s">
        <v>254</v>
      </c>
      <c r="B591" s="143" t="s">
        <v>255</v>
      </c>
      <c r="C591" s="180" t="s">
        <v>150</v>
      </c>
      <c r="D591" s="152">
        <v>306193</v>
      </c>
      <c r="E591" s="140"/>
      <c r="F591" s="141"/>
      <c r="G591" s="140"/>
      <c r="H591" s="159">
        <v>4143891</v>
      </c>
      <c r="I591" s="122">
        <f t="shared" si="35"/>
        <v>0</v>
      </c>
      <c r="J591" s="146"/>
      <c r="K591" s="146"/>
      <c r="L591" s="147"/>
      <c r="M591" s="147"/>
      <c r="N591" s="147"/>
      <c r="O591" s="147"/>
      <c r="P591" s="147"/>
      <c r="Q591" s="147"/>
      <c r="R591" s="147"/>
      <c r="S591" s="147"/>
    </row>
    <row r="592" spans="1:19" ht="16.5" customHeight="1">
      <c r="A592" s="85" t="s">
        <v>1293</v>
      </c>
      <c r="B592" s="78" t="s">
        <v>1294</v>
      </c>
      <c r="C592" s="81" t="s">
        <v>150</v>
      </c>
      <c r="D592" s="92">
        <v>226950</v>
      </c>
      <c r="E592" s="79" t="s">
        <v>807</v>
      </c>
      <c r="F592" s="76">
        <v>21.47</v>
      </c>
      <c r="G592" s="79">
        <v>236500</v>
      </c>
      <c r="H592" s="63">
        <f t="shared" si="36"/>
        <v>5077655</v>
      </c>
      <c r="I592" s="63">
        <f t="shared" si="35"/>
        <v>0</v>
      </c>
      <c r="J592" s="60"/>
      <c r="K592" s="60"/>
      <c r="L592" s="64"/>
      <c r="M592" s="64"/>
      <c r="N592" s="64"/>
      <c r="O592" s="64"/>
      <c r="P592" s="64"/>
      <c r="Q592" s="64"/>
      <c r="R592" s="64"/>
      <c r="S592" s="64"/>
    </row>
    <row r="593" spans="1:19" ht="16.5" customHeight="1">
      <c r="A593" s="85" t="s">
        <v>1295</v>
      </c>
      <c r="B593" s="78" t="s">
        <v>1296</v>
      </c>
      <c r="C593" s="81" t="s">
        <v>150</v>
      </c>
      <c r="D593" s="92">
        <v>226950</v>
      </c>
      <c r="E593" s="79" t="s">
        <v>807</v>
      </c>
      <c r="F593" s="76">
        <v>29.24</v>
      </c>
      <c r="G593" s="79">
        <v>236500</v>
      </c>
      <c r="H593" s="63">
        <f t="shared" si="36"/>
        <v>6915260</v>
      </c>
      <c r="I593" s="63">
        <f t="shared" si="35"/>
        <v>0</v>
      </c>
      <c r="J593" s="60"/>
      <c r="K593" s="60"/>
      <c r="L593" s="64"/>
      <c r="M593" s="64"/>
      <c r="N593" s="64"/>
      <c r="O593" s="64"/>
      <c r="P593" s="64"/>
      <c r="Q593" s="64"/>
      <c r="R593" s="64"/>
      <c r="S593" s="64"/>
    </row>
    <row r="594" spans="1:19" ht="16.5" customHeight="1">
      <c r="A594" s="85" t="s">
        <v>1297</v>
      </c>
      <c r="B594" s="78" t="s">
        <v>1298</v>
      </c>
      <c r="C594" s="81" t="s">
        <v>150</v>
      </c>
      <c r="D594" s="92">
        <v>320580</v>
      </c>
      <c r="E594" s="79" t="s">
        <v>1299</v>
      </c>
      <c r="F594" s="76">
        <v>32.85</v>
      </c>
      <c r="G594" s="79">
        <v>257589</v>
      </c>
      <c r="H594" s="63">
        <f t="shared" si="36"/>
        <v>8461798.6500000004</v>
      </c>
      <c r="I594" s="63">
        <f t="shared" si="35"/>
        <v>0</v>
      </c>
      <c r="J594" s="60"/>
      <c r="K594" s="60"/>
      <c r="L594" s="64"/>
      <c r="M594" s="64"/>
      <c r="N594" s="64"/>
      <c r="O594" s="64"/>
      <c r="P594" s="64"/>
      <c r="Q594" s="64"/>
      <c r="R594" s="64"/>
      <c r="S594" s="64"/>
    </row>
    <row r="595" spans="1:19" ht="16.5" customHeight="1">
      <c r="A595" s="85" t="s">
        <v>1300</v>
      </c>
      <c r="B595" s="78" t="s">
        <v>1301</v>
      </c>
      <c r="C595" s="81" t="s">
        <v>150</v>
      </c>
      <c r="D595" s="92">
        <v>320580</v>
      </c>
      <c r="E595" s="79" t="s">
        <v>1299</v>
      </c>
      <c r="F595" s="76">
        <v>39.75</v>
      </c>
      <c r="G595" s="79">
        <v>257589</v>
      </c>
      <c r="H595" s="63">
        <f t="shared" si="36"/>
        <v>10239162.75</v>
      </c>
      <c r="I595" s="63">
        <f t="shared" si="35"/>
        <v>0</v>
      </c>
      <c r="J595" s="60"/>
      <c r="K595" s="60"/>
      <c r="L595" s="64"/>
      <c r="M595" s="64"/>
      <c r="N595" s="64"/>
      <c r="O595" s="64"/>
      <c r="P595" s="64"/>
      <c r="Q595" s="64"/>
      <c r="R595" s="64"/>
      <c r="S595" s="64"/>
    </row>
    <row r="596" spans="1:19" ht="16.5" customHeight="1">
      <c r="A596" s="85" t="s">
        <v>1302</v>
      </c>
      <c r="B596" s="78" t="s">
        <v>1303</v>
      </c>
      <c r="C596" s="81" t="s">
        <v>150</v>
      </c>
      <c r="D596" s="92">
        <v>320580</v>
      </c>
      <c r="E596" s="79" t="s">
        <v>1299</v>
      </c>
      <c r="F596" s="76">
        <v>46.91</v>
      </c>
      <c r="G596" s="79">
        <v>257589</v>
      </c>
      <c r="H596" s="63">
        <f t="shared" si="36"/>
        <v>12083499.989999998</v>
      </c>
      <c r="I596" s="63">
        <f t="shared" si="35"/>
        <v>0</v>
      </c>
      <c r="J596" s="60"/>
      <c r="K596" s="60"/>
      <c r="L596" s="64"/>
      <c r="M596" s="64"/>
      <c r="N596" s="64"/>
      <c r="O596" s="64"/>
      <c r="P596" s="64"/>
      <c r="Q596" s="64"/>
      <c r="R596" s="64"/>
      <c r="S596" s="64"/>
    </row>
    <row r="597" spans="1:19" ht="16.5" customHeight="1">
      <c r="A597" s="85" t="s">
        <v>1304</v>
      </c>
      <c r="B597" s="78" t="s">
        <v>1305</v>
      </c>
      <c r="C597" s="81" t="s">
        <v>150</v>
      </c>
      <c r="D597" s="92">
        <v>320580</v>
      </c>
      <c r="E597" s="79" t="s">
        <v>1299</v>
      </c>
      <c r="F597" s="76">
        <v>51.59</v>
      </c>
      <c r="G597" s="79">
        <v>257589</v>
      </c>
      <c r="H597" s="63">
        <f t="shared" si="36"/>
        <v>13289016.510000002</v>
      </c>
      <c r="I597" s="63">
        <f t="shared" si="35"/>
        <v>0</v>
      </c>
      <c r="J597" s="60"/>
      <c r="K597" s="60"/>
      <c r="L597" s="64"/>
      <c r="M597" s="64"/>
      <c r="N597" s="64"/>
      <c r="O597" s="64"/>
      <c r="P597" s="64"/>
      <c r="Q597" s="64"/>
      <c r="R597" s="64"/>
      <c r="S597" s="64"/>
    </row>
    <row r="598" spans="1:19" ht="16.5" customHeight="1">
      <c r="A598" s="85" t="s">
        <v>1306</v>
      </c>
      <c r="B598" s="78" t="s">
        <v>1307</v>
      </c>
      <c r="C598" s="81" t="s">
        <v>150</v>
      </c>
      <c r="D598" s="92">
        <v>382710</v>
      </c>
      <c r="E598" s="79" t="s">
        <v>1299</v>
      </c>
      <c r="F598" s="76">
        <v>65.06</v>
      </c>
      <c r="G598" s="79">
        <v>257589</v>
      </c>
      <c r="H598" s="63">
        <f t="shared" si="36"/>
        <v>16758740.34</v>
      </c>
      <c r="I598" s="63">
        <f t="shared" si="35"/>
        <v>0</v>
      </c>
      <c r="J598" s="60"/>
      <c r="K598" s="60"/>
      <c r="L598" s="64"/>
      <c r="M598" s="64"/>
      <c r="N598" s="64"/>
      <c r="O598" s="64"/>
      <c r="P598" s="64"/>
      <c r="Q598" s="64"/>
      <c r="R598" s="64"/>
      <c r="S598" s="64"/>
    </row>
    <row r="599" spans="1:19" ht="16.5" customHeight="1">
      <c r="A599" s="85" t="s">
        <v>1308</v>
      </c>
      <c r="B599" s="78" t="s">
        <v>1309</v>
      </c>
      <c r="C599" s="81" t="s">
        <v>150</v>
      </c>
      <c r="D599" s="92">
        <v>382710</v>
      </c>
      <c r="E599" s="79" t="s">
        <v>1299</v>
      </c>
      <c r="F599" s="76">
        <v>85.94</v>
      </c>
      <c r="G599" s="79">
        <v>257589</v>
      </c>
      <c r="H599" s="63">
        <f t="shared" si="36"/>
        <v>22137198.66</v>
      </c>
      <c r="I599" s="63">
        <f t="shared" si="35"/>
        <v>0</v>
      </c>
      <c r="J599" s="60"/>
      <c r="K599" s="60"/>
      <c r="L599" s="64"/>
      <c r="M599" s="64"/>
      <c r="N599" s="64"/>
      <c r="O599" s="64"/>
      <c r="P599" s="64"/>
      <c r="Q599" s="64"/>
      <c r="R599" s="64"/>
      <c r="S599" s="64"/>
    </row>
    <row r="600" spans="1:19" ht="16.5" customHeight="1">
      <c r="A600" s="85" t="s">
        <v>1310</v>
      </c>
      <c r="B600" s="78" t="s">
        <v>1311</v>
      </c>
      <c r="C600" s="81" t="s">
        <v>150</v>
      </c>
      <c r="D600" s="92">
        <v>382710</v>
      </c>
      <c r="E600" s="79" t="s">
        <v>1299</v>
      </c>
      <c r="F600" s="76">
        <v>100.7</v>
      </c>
      <c r="G600" s="79">
        <v>257589</v>
      </c>
      <c r="H600" s="63">
        <f t="shared" si="36"/>
        <v>25939212.300000001</v>
      </c>
      <c r="I600" s="63">
        <f t="shared" si="35"/>
        <v>0</v>
      </c>
      <c r="J600" s="60"/>
      <c r="K600" s="60"/>
      <c r="L600" s="64"/>
      <c r="M600" s="64"/>
      <c r="N600" s="64"/>
      <c r="O600" s="64"/>
      <c r="P600" s="64"/>
      <c r="Q600" s="64"/>
      <c r="R600" s="64"/>
      <c r="S600" s="64"/>
    </row>
    <row r="601" spans="1:19" ht="16.5" customHeight="1">
      <c r="A601" s="85" t="s">
        <v>1312</v>
      </c>
      <c r="B601" s="78" t="s">
        <v>1313</v>
      </c>
      <c r="C601" s="81" t="s">
        <v>150</v>
      </c>
      <c r="D601" s="92">
        <v>382710</v>
      </c>
      <c r="E601" s="79" t="s">
        <v>1299</v>
      </c>
      <c r="F601" s="76">
        <v>130.9</v>
      </c>
      <c r="G601" s="79">
        <v>257589</v>
      </c>
      <c r="H601" s="63">
        <f t="shared" si="36"/>
        <v>33718400.100000001</v>
      </c>
      <c r="I601" s="63">
        <f t="shared" si="35"/>
        <v>0</v>
      </c>
      <c r="J601" s="60"/>
      <c r="K601" s="60"/>
      <c r="L601" s="64"/>
      <c r="M601" s="64"/>
      <c r="N601" s="64"/>
      <c r="O601" s="64"/>
      <c r="P601" s="64"/>
      <c r="Q601" s="64"/>
      <c r="R601" s="64"/>
      <c r="S601" s="64"/>
    </row>
    <row r="602" spans="1:19" ht="16.5" customHeight="1">
      <c r="A602" s="85"/>
      <c r="B602" s="78"/>
      <c r="C602" s="81"/>
      <c r="D602" s="92"/>
      <c r="E602" s="79"/>
      <c r="F602" s="76"/>
      <c r="G602" s="79"/>
      <c r="H602" s="63">
        <f t="shared" si="36"/>
        <v>0</v>
      </c>
      <c r="I602" s="63">
        <f t="shared" si="35"/>
        <v>0</v>
      </c>
      <c r="J602" s="60"/>
      <c r="K602" s="60"/>
      <c r="L602" s="64"/>
      <c r="M602" s="64"/>
      <c r="N602" s="64"/>
      <c r="O602" s="64"/>
      <c r="P602" s="64"/>
      <c r="Q602" s="64"/>
      <c r="R602" s="64"/>
      <c r="S602" s="64"/>
    </row>
    <row r="603" spans="1:19" ht="16.5" customHeight="1">
      <c r="A603" s="85" t="s">
        <v>1314</v>
      </c>
      <c r="B603" s="78" t="s">
        <v>1315</v>
      </c>
      <c r="C603" s="81" t="s">
        <v>150</v>
      </c>
      <c r="D603" s="92">
        <v>226620</v>
      </c>
      <c r="E603" s="79" t="s">
        <v>807</v>
      </c>
      <c r="F603" s="76">
        <v>5.7</v>
      </c>
      <c r="G603" s="79">
        <v>236500</v>
      </c>
      <c r="H603" s="63">
        <f t="shared" si="36"/>
        <v>1348050</v>
      </c>
      <c r="I603" s="63">
        <f t="shared" si="35"/>
        <v>0</v>
      </c>
      <c r="J603" s="60"/>
      <c r="K603" s="60"/>
      <c r="L603" s="64"/>
      <c r="M603" s="64"/>
      <c r="N603" s="64"/>
      <c r="O603" s="64"/>
      <c r="P603" s="64"/>
      <c r="Q603" s="64"/>
      <c r="R603" s="64"/>
      <c r="S603" s="64"/>
    </row>
    <row r="604" spans="1:19" ht="16.5" customHeight="1">
      <c r="A604" s="85" t="s">
        <v>1316</v>
      </c>
      <c r="B604" s="78" t="s">
        <v>1317</v>
      </c>
      <c r="C604" s="81" t="s">
        <v>150</v>
      </c>
      <c r="D604" s="92">
        <v>226620</v>
      </c>
      <c r="E604" s="79" t="s">
        <v>807</v>
      </c>
      <c r="F604" s="76">
        <v>7.5</v>
      </c>
      <c r="G604" s="79">
        <v>236500</v>
      </c>
      <c r="H604" s="63">
        <f t="shared" si="36"/>
        <v>1773750</v>
      </c>
      <c r="I604" s="63">
        <f t="shared" si="35"/>
        <v>0</v>
      </c>
      <c r="J604" s="60"/>
      <c r="K604" s="60"/>
      <c r="L604" s="64"/>
      <c r="M604" s="64"/>
      <c r="N604" s="64"/>
      <c r="O604" s="64"/>
      <c r="P604" s="64"/>
      <c r="Q604" s="64"/>
      <c r="R604" s="64"/>
      <c r="S604" s="64"/>
    </row>
    <row r="605" spans="1:19" ht="16.5" customHeight="1">
      <c r="A605" s="85" t="s">
        <v>1318</v>
      </c>
      <c r="B605" s="78" t="s">
        <v>1319</v>
      </c>
      <c r="C605" s="81" t="s">
        <v>150</v>
      </c>
      <c r="D605" s="92">
        <v>226620</v>
      </c>
      <c r="E605" s="79" t="s">
        <v>807</v>
      </c>
      <c r="F605" s="76">
        <v>9.8000000000000007</v>
      </c>
      <c r="G605" s="79">
        <v>236500</v>
      </c>
      <c r="H605" s="63">
        <f t="shared" si="36"/>
        <v>2317700</v>
      </c>
      <c r="I605" s="63">
        <f t="shared" si="35"/>
        <v>0</v>
      </c>
      <c r="J605" s="60"/>
      <c r="K605" s="60"/>
      <c r="L605" s="64"/>
      <c r="M605" s="64"/>
      <c r="N605" s="64"/>
      <c r="O605" s="64"/>
      <c r="P605" s="64"/>
      <c r="Q605" s="64"/>
      <c r="R605" s="64"/>
      <c r="S605" s="64"/>
    </row>
    <row r="606" spans="1:19" ht="16.5" customHeight="1">
      <c r="A606" s="85" t="s">
        <v>1320</v>
      </c>
      <c r="B606" s="78" t="s">
        <v>1321</v>
      </c>
      <c r="C606" s="81" t="s">
        <v>150</v>
      </c>
      <c r="D606" s="92">
        <v>226950</v>
      </c>
      <c r="E606" s="79" t="s">
        <v>807</v>
      </c>
      <c r="F606" s="76">
        <v>12.8</v>
      </c>
      <c r="G606" s="79">
        <v>236500</v>
      </c>
      <c r="H606" s="63">
        <f t="shared" si="36"/>
        <v>3027200</v>
      </c>
      <c r="I606" s="63">
        <f t="shared" si="35"/>
        <v>0</v>
      </c>
      <c r="J606" s="60"/>
      <c r="K606" s="60"/>
      <c r="L606" s="64"/>
      <c r="M606" s="64"/>
      <c r="N606" s="64"/>
      <c r="O606" s="64"/>
      <c r="P606" s="64"/>
      <c r="Q606" s="64"/>
      <c r="R606" s="64"/>
      <c r="S606" s="64"/>
    </row>
    <row r="607" spans="1:19" ht="16.5" customHeight="1">
      <c r="A607" s="85" t="s">
        <v>1322</v>
      </c>
      <c r="B607" s="78" t="s">
        <v>1323</v>
      </c>
      <c r="C607" s="81" t="s">
        <v>150</v>
      </c>
      <c r="D607" s="92">
        <v>226950</v>
      </c>
      <c r="E607" s="79" t="s">
        <v>807</v>
      </c>
      <c r="F607" s="76">
        <v>17.2</v>
      </c>
      <c r="G607" s="79">
        <v>236500</v>
      </c>
      <c r="H607" s="63">
        <f t="shared" si="36"/>
        <v>4067800</v>
      </c>
      <c r="I607" s="63">
        <f t="shared" ref="I607:I674" si="37">+K607*$I$4</f>
        <v>0</v>
      </c>
      <c r="J607" s="60"/>
      <c r="K607" s="60"/>
      <c r="L607" s="64"/>
      <c r="M607" s="64"/>
      <c r="N607" s="64"/>
      <c r="O607" s="64"/>
      <c r="P607" s="64"/>
      <c r="Q607" s="64"/>
      <c r="R607" s="64"/>
      <c r="S607" s="64"/>
    </row>
    <row r="608" spans="1:19" ht="16.5" customHeight="1">
      <c r="A608" s="85" t="s">
        <v>1324</v>
      </c>
      <c r="B608" s="78" t="s">
        <v>1325</v>
      </c>
      <c r="C608" s="81" t="s">
        <v>150</v>
      </c>
      <c r="D608" s="92">
        <v>226950</v>
      </c>
      <c r="E608" s="79" t="s">
        <v>807</v>
      </c>
      <c r="F608" s="76">
        <v>23.5</v>
      </c>
      <c r="G608" s="79">
        <v>236500</v>
      </c>
      <c r="H608" s="63">
        <f t="shared" si="36"/>
        <v>5557750</v>
      </c>
      <c r="I608" s="63">
        <f t="shared" si="37"/>
        <v>0</v>
      </c>
      <c r="J608" s="60"/>
      <c r="K608" s="60"/>
      <c r="L608" s="64"/>
      <c r="M608" s="64"/>
      <c r="N608" s="64"/>
      <c r="O608" s="64"/>
      <c r="P608" s="64"/>
      <c r="Q608" s="64"/>
      <c r="R608" s="64"/>
      <c r="S608" s="64"/>
    </row>
    <row r="609" spans="1:19" ht="16.5" customHeight="1">
      <c r="A609" s="85" t="s">
        <v>1326</v>
      </c>
      <c r="B609" s="78" t="s">
        <v>1327</v>
      </c>
      <c r="C609" s="81" t="s">
        <v>150</v>
      </c>
      <c r="D609" s="92">
        <v>320580</v>
      </c>
      <c r="E609" s="79" t="s">
        <v>1299</v>
      </c>
      <c r="F609" s="76">
        <v>26.8</v>
      </c>
      <c r="G609" s="79">
        <v>257589</v>
      </c>
      <c r="H609" s="63">
        <f t="shared" si="36"/>
        <v>6903385.2000000002</v>
      </c>
      <c r="I609" s="63">
        <f t="shared" si="37"/>
        <v>0</v>
      </c>
      <c r="J609" s="60"/>
      <c r="K609" s="60"/>
      <c r="L609" s="64"/>
      <c r="M609" s="64"/>
      <c r="N609" s="64"/>
      <c r="O609" s="64"/>
      <c r="P609" s="64"/>
      <c r="Q609" s="64"/>
      <c r="R609" s="64"/>
      <c r="S609" s="64"/>
    </row>
    <row r="610" spans="1:19" ht="16.5" customHeight="1">
      <c r="A610" s="85" t="s">
        <v>1328</v>
      </c>
      <c r="B610" s="78" t="s">
        <v>1329</v>
      </c>
      <c r="C610" s="81" t="s">
        <v>150</v>
      </c>
      <c r="D610" s="92">
        <v>320580</v>
      </c>
      <c r="E610" s="79" t="s">
        <v>1299</v>
      </c>
      <c r="F610" s="76">
        <v>31.8</v>
      </c>
      <c r="G610" s="79">
        <v>257589</v>
      </c>
      <c r="H610" s="63">
        <f t="shared" si="36"/>
        <v>8191330.2000000002</v>
      </c>
      <c r="I610" s="63">
        <f t="shared" si="37"/>
        <v>0</v>
      </c>
      <c r="J610" s="60"/>
      <c r="K610" s="60"/>
      <c r="L610" s="64"/>
      <c r="M610" s="64"/>
      <c r="N610" s="64"/>
      <c r="O610" s="64"/>
      <c r="P610" s="64"/>
      <c r="Q610" s="64"/>
      <c r="R610" s="64"/>
      <c r="S610" s="64"/>
    </row>
    <row r="611" spans="1:19" ht="16.5" customHeight="1">
      <c r="A611" s="85" t="s">
        <v>1330</v>
      </c>
      <c r="B611" s="78" t="s">
        <v>1331</v>
      </c>
      <c r="C611" s="81" t="s">
        <v>150</v>
      </c>
      <c r="D611" s="92">
        <v>320580</v>
      </c>
      <c r="E611" s="79" t="s">
        <v>1299</v>
      </c>
      <c r="F611" s="76">
        <v>37.53</v>
      </c>
      <c r="G611" s="79">
        <v>257589</v>
      </c>
      <c r="H611" s="63">
        <f t="shared" si="36"/>
        <v>9667315.1699999999</v>
      </c>
      <c r="I611" s="63">
        <f t="shared" si="37"/>
        <v>0</v>
      </c>
      <c r="J611" s="60"/>
      <c r="K611" s="60"/>
      <c r="L611" s="64"/>
      <c r="M611" s="64"/>
      <c r="N611" s="64"/>
      <c r="O611" s="64"/>
      <c r="P611" s="64"/>
      <c r="Q611" s="64"/>
      <c r="R611" s="64"/>
      <c r="S611" s="64"/>
    </row>
    <row r="612" spans="1:19" ht="16.5" customHeight="1">
      <c r="A612" s="85" t="s">
        <v>1332</v>
      </c>
      <c r="B612" s="78" t="s">
        <v>1333</v>
      </c>
      <c r="C612" s="81" t="s">
        <v>150</v>
      </c>
      <c r="D612" s="92">
        <v>320580</v>
      </c>
      <c r="E612" s="79" t="s">
        <v>1299</v>
      </c>
      <c r="F612" s="76">
        <v>41.27</v>
      </c>
      <c r="G612" s="79">
        <v>257589</v>
      </c>
      <c r="H612" s="63">
        <f t="shared" si="36"/>
        <v>10630698.030000001</v>
      </c>
      <c r="I612" s="63">
        <f t="shared" si="37"/>
        <v>0</v>
      </c>
      <c r="J612" s="60"/>
      <c r="K612" s="60"/>
      <c r="L612" s="64"/>
      <c r="M612" s="64"/>
      <c r="N612" s="64"/>
      <c r="O612" s="64"/>
      <c r="P612" s="64"/>
      <c r="Q612" s="64"/>
      <c r="R612" s="64"/>
      <c r="S612" s="64"/>
    </row>
    <row r="613" spans="1:19" ht="16.5" customHeight="1">
      <c r="A613" s="85" t="s">
        <v>1334</v>
      </c>
      <c r="B613" s="78" t="s">
        <v>1335</v>
      </c>
      <c r="C613" s="81" t="s">
        <v>150</v>
      </c>
      <c r="D613" s="92">
        <v>382710</v>
      </c>
      <c r="E613" s="79" t="s">
        <v>1299</v>
      </c>
      <c r="F613" s="76">
        <v>52.05</v>
      </c>
      <c r="G613" s="79">
        <v>257589</v>
      </c>
      <c r="H613" s="63">
        <f t="shared" ref="H613:H676" si="38">+G613*F613</f>
        <v>13407507.449999999</v>
      </c>
      <c r="I613" s="63">
        <f t="shared" si="37"/>
        <v>0</v>
      </c>
      <c r="J613" s="60"/>
      <c r="K613" s="60"/>
      <c r="L613" s="64"/>
      <c r="M613" s="64"/>
      <c r="N613" s="64"/>
      <c r="O613" s="64"/>
      <c r="P613" s="64"/>
      <c r="Q613" s="64"/>
      <c r="R613" s="64"/>
      <c r="S613" s="64"/>
    </row>
    <row r="614" spans="1:19" ht="16.5" customHeight="1">
      <c r="A614" s="85" t="s">
        <v>1336</v>
      </c>
      <c r="B614" s="78" t="s">
        <v>1337</v>
      </c>
      <c r="C614" s="81" t="s">
        <v>150</v>
      </c>
      <c r="D614" s="92">
        <v>382710</v>
      </c>
      <c r="E614" s="79" t="s">
        <v>1299</v>
      </c>
      <c r="F614" s="76">
        <v>68.75</v>
      </c>
      <c r="G614" s="79">
        <v>257589</v>
      </c>
      <c r="H614" s="63">
        <f t="shared" si="38"/>
        <v>17709243.75</v>
      </c>
      <c r="I614" s="63">
        <f t="shared" si="37"/>
        <v>0</v>
      </c>
      <c r="J614" s="60"/>
      <c r="K614" s="60"/>
      <c r="L614" s="64"/>
      <c r="M614" s="64"/>
      <c r="N614" s="64"/>
      <c r="O614" s="64"/>
      <c r="P614" s="64"/>
      <c r="Q614" s="64"/>
      <c r="R614" s="64"/>
      <c r="S614" s="64"/>
    </row>
    <row r="615" spans="1:19" ht="16.5" customHeight="1">
      <c r="A615" s="85" t="s">
        <v>1338</v>
      </c>
      <c r="B615" s="78" t="s">
        <v>1339</v>
      </c>
      <c r="C615" s="81" t="s">
        <v>150</v>
      </c>
      <c r="D615" s="92">
        <v>382710</v>
      </c>
      <c r="E615" s="79" t="s">
        <v>1299</v>
      </c>
      <c r="F615" s="76">
        <v>80.56</v>
      </c>
      <c r="G615" s="79">
        <v>257589</v>
      </c>
      <c r="H615" s="63">
        <f t="shared" si="38"/>
        <v>20751369.84</v>
      </c>
      <c r="I615" s="63">
        <f t="shared" si="37"/>
        <v>0</v>
      </c>
      <c r="J615" s="60"/>
      <c r="K615" s="60"/>
      <c r="L615" s="64"/>
      <c r="M615" s="64"/>
      <c r="N615" s="64"/>
      <c r="O615" s="64"/>
      <c r="P615" s="64"/>
      <c r="Q615" s="64"/>
      <c r="R615" s="64"/>
      <c r="S615" s="64"/>
    </row>
    <row r="616" spans="1:19" ht="16.5" customHeight="1">
      <c r="A616" s="85" t="s">
        <v>1340</v>
      </c>
      <c r="B616" s="78" t="s">
        <v>1341</v>
      </c>
      <c r="C616" s="81" t="s">
        <v>150</v>
      </c>
      <c r="D616" s="92">
        <v>382710</v>
      </c>
      <c r="E616" s="79" t="s">
        <v>1299</v>
      </c>
      <c r="F616" s="76">
        <v>104.72</v>
      </c>
      <c r="G616" s="79">
        <v>257589</v>
      </c>
      <c r="H616" s="63">
        <f t="shared" si="38"/>
        <v>26974720.079999998</v>
      </c>
      <c r="I616" s="63">
        <f t="shared" si="37"/>
        <v>0</v>
      </c>
      <c r="J616" s="60"/>
      <c r="K616" s="60"/>
      <c r="L616" s="64"/>
      <c r="M616" s="64"/>
      <c r="N616" s="64"/>
      <c r="O616" s="64"/>
      <c r="P616" s="64"/>
      <c r="Q616" s="64"/>
      <c r="R616" s="64"/>
      <c r="S616" s="64"/>
    </row>
    <row r="617" spans="1:19" ht="16.5" customHeight="1">
      <c r="A617" s="85"/>
      <c r="B617" s="78"/>
      <c r="C617" s="81"/>
      <c r="D617" s="92"/>
      <c r="E617" s="79"/>
      <c r="F617" s="76"/>
      <c r="G617" s="79"/>
      <c r="H617" s="63">
        <f t="shared" si="38"/>
        <v>0</v>
      </c>
      <c r="I617" s="63">
        <f t="shared" si="37"/>
        <v>0</v>
      </c>
      <c r="J617" s="60"/>
      <c r="K617" s="60"/>
      <c r="L617" s="64"/>
      <c r="M617" s="64"/>
      <c r="N617" s="64"/>
      <c r="O617" s="64"/>
      <c r="P617" s="64"/>
      <c r="Q617" s="64"/>
      <c r="R617" s="64"/>
      <c r="S617" s="64"/>
    </row>
    <row r="618" spans="1:19" ht="16.5" customHeight="1">
      <c r="A618" s="85" t="s">
        <v>1342</v>
      </c>
      <c r="B618" s="78" t="s">
        <v>1343</v>
      </c>
      <c r="C618" s="81" t="s">
        <v>150</v>
      </c>
      <c r="D618" s="92">
        <v>226620</v>
      </c>
      <c r="E618" s="79" t="s">
        <v>807</v>
      </c>
      <c r="F618" s="76">
        <v>16.27</v>
      </c>
      <c r="G618" s="79">
        <v>236500</v>
      </c>
      <c r="H618" s="63">
        <f t="shared" si="38"/>
        <v>3847855</v>
      </c>
      <c r="I618" s="63">
        <f t="shared" si="37"/>
        <v>0</v>
      </c>
      <c r="J618" s="60"/>
      <c r="K618" s="60"/>
      <c r="L618" s="64"/>
      <c r="M618" s="64"/>
      <c r="N618" s="64"/>
      <c r="O618" s="64"/>
      <c r="P618" s="64"/>
      <c r="Q618" s="64"/>
      <c r="R618" s="64"/>
      <c r="S618" s="64"/>
    </row>
    <row r="619" spans="1:19" ht="16.5" customHeight="1">
      <c r="A619" s="85" t="s">
        <v>1344</v>
      </c>
      <c r="B619" s="78" t="s">
        <v>1345</v>
      </c>
      <c r="C619" s="81" t="s">
        <v>150</v>
      </c>
      <c r="D619" s="92">
        <v>226620</v>
      </c>
      <c r="E619" s="79" t="s">
        <v>807</v>
      </c>
      <c r="F619" s="76">
        <v>20</v>
      </c>
      <c r="G619" s="79">
        <v>236500</v>
      </c>
      <c r="H619" s="63">
        <f t="shared" si="38"/>
        <v>4730000</v>
      </c>
      <c r="I619" s="63">
        <f t="shared" si="37"/>
        <v>0</v>
      </c>
      <c r="J619" s="60"/>
      <c r="K619" s="60"/>
      <c r="L619" s="64"/>
      <c r="M619" s="64"/>
      <c r="N619" s="64"/>
      <c r="O619" s="64"/>
      <c r="P619" s="64"/>
      <c r="Q619" s="64"/>
      <c r="R619" s="64"/>
      <c r="S619" s="64"/>
    </row>
    <row r="620" spans="1:19" ht="16.5" customHeight="1">
      <c r="A620" s="85" t="s">
        <v>1346</v>
      </c>
      <c r="B620" s="78" t="s">
        <v>1347</v>
      </c>
      <c r="C620" s="81" t="s">
        <v>150</v>
      </c>
      <c r="D620" s="92">
        <v>226620</v>
      </c>
      <c r="E620" s="79" t="s">
        <v>807</v>
      </c>
      <c r="F620" s="76">
        <v>22.49</v>
      </c>
      <c r="G620" s="79">
        <v>236500</v>
      </c>
      <c r="H620" s="63">
        <f t="shared" si="38"/>
        <v>5318885</v>
      </c>
      <c r="I620" s="63">
        <f t="shared" si="37"/>
        <v>0</v>
      </c>
      <c r="J620" s="60"/>
      <c r="K620" s="60"/>
      <c r="L620" s="64"/>
      <c r="M620" s="64"/>
      <c r="N620" s="64"/>
      <c r="O620" s="64"/>
      <c r="P620" s="64"/>
      <c r="Q620" s="64"/>
      <c r="R620" s="64"/>
      <c r="S620" s="64"/>
    </row>
    <row r="621" spans="1:19" ht="16.5" customHeight="1">
      <c r="A621" s="85" t="s">
        <v>1348</v>
      </c>
      <c r="B621" s="78" t="s">
        <v>1349</v>
      </c>
      <c r="C621" s="81" t="s">
        <v>150</v>
      </c>
      <c r="D621" s="92">
        <v>226950</v>
      </c>
      <c r="E621" s="79" t="s">
        <v>807</v>
      </c>
      <c r="F621" s="76">
        <v>25.2</v>
      </c>
      <c r="G621" s="79">
        <v>236500</v>
      </c>
      <c r="H621" s="63">
        <f t="shared" si="38"/>
        <v>5959800</v>
      </c>
      <c r="I621" s="63">
        <f t="shared" si="37"/>
        <v>0</v>
      </c>
      <c r="J621" s="60"/>
      <c r="K621" s="60"/>
      <c r="L621" s="64"/>
      <c r="M621" s="64"/>
      <c r="N621" s="64"/>
      <c r="O621" s="64"/>
      <c r="P621" s="64"/>
      <c r="Q621" s="64"/>
      <c r="R621" s="64"/>
      <c r="S621" s="64"/>
    </row>
    <row r="622" spans="1:19" ht="16.5" customHeight="1">
      <c r="A622" s="85" t="s">
        <v>1350</v>
      </c>
      <c r="B622" s="78" t="s">
        <v>1351</v>
      </c>
      <c r="C622" s="81" t="s">
        <v>150</v>
      </c>
      <c r="D622" s="92">
        <v>226950</v>
      </c>
      <c r="E622" s="79" t="s">
        <v>807</v>
      </c>
      <c r="F622" s="76">
        <v>30.24</v>
      </c>
      <c r="G622" s="79">
        <v>236500</v>
      </c>
      <c r="H622" s="63">
        <f t="shared" si="38"/>
        <v>7151760</v>
      </c>
      <c r="I622" s="63">
        <f t="shared" si="37"/>
        <v>0</v>
      </c>
      <c r="J622" s="60"/>
      <c r="K622" s="60"/>
      <c r="L622" s="64"/>
      <c r="M622" s="64"/>
      <c r="N622" s="64"/>
      <c r="O622" s="64"/>
      <c r="P622" s="64"/>
      <c r="Q622" s="64"/>
      <c r="R622" s="64"/>
      <c r="S622" s="64"/>
    </row>
    <row r="623" spans="1:19" ht="16.5" customHeight="1">
      <c r="A623" s="85"/>
      <c r="B623" s="78"/>
      <c r="C623" s="81"/>
      <c r="D623" s="92"/>
      <c r="E623" s="79"/>
      <c r="F623" s="76"/>
      <c r="G623" s="79"/>
      <c r="H623" s="63">
        <f t="shared" si="38"/>
        <v>0</v>
      </c>
      <c r="I623" s="63">
        <f t="shared" si="37"/>
        <v>0</v>
      </c>
      <c r="J623" s="60"/>
      <c r="K623" s="60"/>
      <c r="L623" s="64"/>
      <c r="M623" s="64"/>
      <c r="N623" s="64"/>
      <c r="O623" s="64"/>
      <c r="P623" s="64"/>
      <c r="Q623" s="64"/>
      <c r="R623" s="64"/>
      <c r="S623" s="64"/>
    </row>
    <row r="624" spans="1:19" ht="16.5" customHeight="1">
      <c r="A624" s="85" t="s">
        <v>1352</v>
      </c>
      <c r="B624" s="78" t="s">
        <v>1353</v>
      </c>
      <c r="C624" s="81" t="s">
        <v>150</v>
      </c>
      <c r="D624" s="92">
        <v>226620</v>
      </c>
      <c r="E624" s="79" t="s">
        <v>807</v>
      </c>
      <c r="F624" s="76">
        <v>11.15</v>
      </c>
      <c r="G624" s="79">
        <v>236500</v>
      </c>
      <c r="H624" s="63">
        <f t="shared" si="38"/>
        <v>2636975</v>
      </c>
      <c r="I624" s="63">
        <f t="shared" si="37"/>
        <v>0</v>
      </c>
      <c r="J624" s="60"/>
      <c r="K624" s="60"/>
      <c r="L624" s="64"/>
      <c r="M624" s="64"/>
      <c r="N624" s="64"/>
      <c r="O624" s="64"/>
      <c r="P624" s="64"/>
      <c r="Q624" s="64"/>
      <c r="R624" s="64"/>
      <c r="S624" s="64"/>
    </row>
    <row r="625" spans="1:19" ht="16.5" customHeight="1">
      <c r="A625" s="85" t="s">
        <v>1354</v>
      </c>
      <c r="B625" s="78" t="s">
        <v>1355</v>
      </c>
      <c r="C625" s="81" t="s">
        <v>150</v>
      </c>
      <c r="D625" s="92">
        <v>226620</v>
      </c>
      <c r="E625" s="79" t="s">
        <v>807</v>
      </c>
      <c r="F625" s="76">
        <v>14.47</v>
      </c>
      <c r="G625" s="79">
        <v>236500</v>
      </c>
      <c r="H625" s="63">
        <f t="shared" si="38"/>
        <v>3422155</v>
      </c>
      <c r="I625" s="63">
        <f t="shared" si="37"/>
        <v>0</v>
      </c>
      <c r="J625" s="60"/>
      <c r="K625" s="60"/>
      <c r="L625" s="64"/>
      <c r="M625" s="64"/>
      <c r="N625" s="64"/>
      <c r="O625" s="64"/>
      <c r="P625" s="64"/>
      <c r="Q625" s="64"/>
      <c r="R625" s="64"/>
      <c r="S625" s="64"/>
    </row>
    <row r="626" spans="1:19" ht="16.5" customHeight="1">
      <c r="A626" s="85" t="s">
        <v>1356</v>
      </c>
      <c r="B626" s="78" t="s">
        <v>1357</v>
      </c>
      <c r="C626" s="81" t="s">
        <v>150</v>
      </c>
      <c r="D626" s="92">
        <v>226620</v>
      </c>
      <c r="E626" s="79" t="s">
        <v>807</v>
      </c>
      <c r="F626" s="76">
        <v>15.86</v>
      </c>
      <c r="G626" s="79">
        <v>236500</v>
      </c>
      <c r="H626" s="63">
        <f t="shared" si="38"/>
        <v>3750890</v>
      </c>
      <c r="I626" s="63">
        <f t="shared" si="37"/>
        <v>0</v>
      </c>
      <c r="J626" s="60"/>
      <c r="K626" s="60"/>
      <c r="L626" s="64"/>
      <c r="M626" s="64"/>
      <c r="N626" s="64"/>
      <c r="O626" s="64"/>
      <c r="P626" s="64"/>
      <c r="Q626" s="64"/>
      <c r="R626" s="64"/>
      <c r="S626" s="64"/>
    </row>
    <row r="627" spans="1:19" ht="16.5" customHeight="1">
      <c r="A627" s="85" t="s">
        <v>1358</v>
      </c>
      <c r="B627" s="78" t="s">
        <v>1359</v>
      </c>
      <c r="C627" s="81" t="s">
        <v>150</v>
      </c>
      <c r="D627" s="92">
        <v>226950</v>
      </c>
      <c r="E627" s="79" t="s">
        <v>807</v>
      </c>
      <c r="F627" s="76">
        <v>20.72</v>
      </c>
      <c r="G627" s="79">
        <v>236500</v>
      </c>
      <c r="H627" s="63">
        <f t="shared" si="38"/>
        <v>4900280</v>
      </c>
      <c r="I627" s="63">
        <f t="shared" si="37"/>
        <v>0</v>
      </c>
      <c r="J627" s="60"/>
      <c r="K627" s="60"/>
      <c r="L627" s="64"/>
      <c r="M627" s="64"/>
      <c r="N627" s="64"/>
      <c r="O627" s="64"/>
      <c r="P627" s="64"/>
      <c r="Q627" s="64"/>
      <c r="R627" s="64"/>
      <c r="S627" s="64"/>
    </row>
    <row r="628" spans="1:19" ht="16.5" customHeight="1">
      <c r="A628" s="85" t="s">
        <v>1360</v>
      </c>
      <c r="B628" s="78" t="s">
        <v>1361</v>
      </c>
      <c r="C628" s="81" t="s">
        <v>150</v>
      </c>
      <c r="D628" s="92">
        <v>226950</v>
      </c>
      <c r="E628" s="79" t="s">
        <v>807</v>
      </c>
      <c r="F628" s="76">
        <v>27.91</v>
      </c>
      <c r="G628" s="79">
        <v>236500</v>
      </c>
      <c r="H628" s="63">
        <f t="shared" si="38"/>
        <v>6600715</v>
      </c>
      <c r="I628" s="63">
        <f t="shared" si="37"/>
        <v>0</v>
      </c>
      <c r="J628" s="60"/>
      <c r="K628" s="60"/>
      <c r="L628" s="64"/>
      <c r="M628" s="64"/>
      <c r="N628" s="64"/>
      <c r="O628" s="64"/>
      <c r="P628" s="64"/>
      <c r="Q628" s="64"/>
      <c r="R628" s="64"/>
      <c r="S628" s="64"/>
    </row>
    <row r="629" spans="1:19" ht="16.5" customHeight="1">
      <c r="A629" s="85" t="s">
        <v>1362</v>
      </c>
      <c r="B629" s="78" t="s">
        <v>1363</v>
      </c>
      <c r="C629" s="81" t="s">
        <v>150</v>
      </c>
      <c r="D629" s="92">
        <v>226950</v>
      </c>
      <c r="E629" s="79" t="s">
        <v>807</v>
      </c>
      <c r="F629" s="76">
        <v>38.04</v>
      </c>
      <c r="G629" s="79">
        <v>236500</v>
      </c>
      <c r="H629" s="63">
        <f t="shared" si="38"/>
        <v>8996460</v>
      </c>
      <c r="I629" s="63">
        <f t="shared" si="37"/>
        <v>0</v>
      </c>
      <c r="J629" s="60"/>
      <c r="K629" s="60"/>
      <c r="L629" s="64"/>
      <c r="M629" s="64"/>
      <c r="N629" s="64"/>
      <c r="O629" s="64"/>
      <c r="P629" s="64"/>
      <c r="Q629" s="64"/>
      <c r="R629" s="64"/>
      <c r="S629" s="64"/>
    </row>
    <row r="630" spans="1:19" ht="16.5" customHeight="1">
      <c r="A630" s="85" t="s">
        <v>1364</v>
      </c>
      <c r="B630" s="78" t="s">
        <v>1365</v>
      </c>
      <c r="C630" s="81" t="s">
        <v>150</v>
      </c>
      <c r="D630" s="92">
        <v>320580</v>
      </c>
      <c r="E630" s="79" t="s">
        <v>1299</v>
      </c>
      <c r="F630" s="76">
        <v>42.41</v>
      </c>
      <c r="G630" s="79">
        <v>257589</v>
      </c>
      <c r="H630" s="63">
        <f t="shared" si="38"/>
        <v>10924349.489999998</v>
      </c>
      <c r="I630" s="63">
        <f t="shared" si="37"/>
        <v>0</v>
      </c>
      <c r="J630" s="60"/>
      <c r="K630" s="60"/>
      <c r="L630" s="64"/>
      <c r="M630" s="64"/>
      <c r="N630" s="64"/>
      <c r="O630" s="64"/>
      <c r="P630" s="64"/>
      <c r="Q630" s="64"/>
      <c r="R630" s="64"/>
      <c r="S630" s="64"/>
    </row>
    <row r="631" spans="1:19" ht="16.5" customHeight="1">
      <c r="A631" s="85" t="s">
        <v>1366</v>
      </c>
      <c r="B631" s="78" t="s">
        <v>1367</v>
      </c>
      <c r="C631" s="81" t="s">
        <v>150</v>
      </c>
      <c r="D631" s="92">
        <v>320580</v>
      </c>
      <c r="E631" s="79" t="s">
        <v>1299</v>
      </c>
      <c r="F631" s="76">
        <v>51.66</v>
      </c>
      <c r="G631" s="79">
        <v>257589</v>
      </c>
      <c r="H631" s="63">
        <f t="shared" si="38"/>
        <v>13307047.739999998</v>
      </c>
      <c r="I631" s="63">
        <f t="shared" si="37"/>
        <v>0</v>
      </c>
      <c r="J631" s="60"/>
      <c r="K631" s="60"/>
      <c r="L631" s="64"/>
      <c r="M631" s="64"/>
      <c r="N631" s="64"/>
      <c r="O631" s="64"/>
      <c r="P631" s="64"/>
      <c r="Q631" s="64"/>
      <c r="R631" s="64"/>
      <c r="S631" s="64"/>
    </row>
    <row r="632" spans="1:19" ht="16.5" customHeight="1">
      <c r="A632" s="85" t="s">
        <v>1368</v>
      </c>
      <c r="B632" s="78" t="s">
        <v>1369</v>
      </c>
      <c r="C632" s="81" t="s">
        <v>150</v>
      </c>
      <c r="D632" s="92">
        <v>320580</v>
      </c>
      <c r="E632" s="79" t="s">
        <v>1299</v>
      </c>
      <c r="F632" s="76">
        <v>60.98</v>
      </c>
      <c r="G632" s="79">
        <v>257589</v>
      </c>
      <c r="H632" s="63">
        <f t="shared" si="38"/>
        <v>15707777.219999999</v>
      </c>
      <c r="I632" s="63">
        <f t="shared" si="37"/>
        <v>0</v>
      </c>
      <c r="J632" s="60"/>
      <c r="K632" s="60"/>
      <c r="L632" s="64"/>
      <c r="M632" s="64"/>
      <c r="N632" s="64"/>
      <c r="O632" s="64"/>
      <c r="P632" s="64"/>
      <c r="Q632" s="64"/>
      <c r="R632" s="64"/>
      <c r="S632" s="64"/>
    </row>
    <row r="633" spans="1:19" ht="16.5" customHeight="1">
      <c r="A633" s="85" t="s">
        <v>1370</v>
      </c>
      <c r="B633" s="78" t="s">
        <v>1371</v>
      </c>
      <c r="C633" s="81" t="s">
        <v>150</v>
      </c>
      <c r="D633" s="92">
        <v>320580</v>
      </c>
      <c r="E633" s="79" t="s">
        <v>1299</v>
      </c>
      <c r="F633" s="76">
        <v>67.069999999999993</v>
      </c>
      <c r="G633" s="79">
        <v>257589</v>
      </c>
      <c r="H633" s="63">
        <f t="shared" si="38"/>
        <v>17276494.229999997</v>
      </c>
      <c r="I633" s="63">
        <f t="shared" si="37"/>
        <v>0</v>
      </c>
      <c r="J633" s="60"/>
      <c r="K633" s="60"/>
      <c r="L633" s="64"/>
      <c r="M633" s="64"/>
      <c r="N633" s="64"/>
      <c r="O633" s="64"/>
      <c r="P633" s="64"/>
      <c r="Q633" s="64"/>
      <c r="R633" s="64"/>
      <c r="S633" s="64"/>
    </row>
    <row r="634" spans="1:19" ht="16.5" customHeight="1">
      <c r="A634" s="85"/>
      <c r="B634" s="78"/>
      <c r="C634" s="81"/>
      <c r="D634" s="92"/>
      <c r="E634" s="79"/>
      <c r="F634" s="76"/>
      <c r="G634" s="79"/>
      <c r="H634" s="63">
        <f t="shared" si="38"/>
        <v>0</v>
      </c>
      <c r="I634" s="63">
        <f t="shared" si="37"/>
        <v>0</v>
      </c>
      <c r="J634" s="60"/>
      <c r="K634" s="60"/>
      <c r="L634" s="64"/>
      <c r="M634" s="64"/>
      <c r="N634" s="64"/>
      <c r="O634" s="64"/>
      <c r="P634" s="64"/>
      <c r="Q634" s="64"/>
      <c r="R634" s="64"/>
      <c r="S634" s="64"/>
    </row>
    <row r="635" spans="1:19" ht="16.5" customHeight="1">
      <c r="A635" s="85" t="s">
        <v>1372</v>
      </c>
      <c r="B635" s="78" t="s">
        <v>1373</v>
      </c>
      <c r="C635" s="81" t="s">
        <v>150</v>
      </c>
      <c r="D635" s="92">
        <v>226950</v>
      </c>
      <c r="E635" s="79" t="s">
        <v>807</v>
      </c>
      <c r="F635" s="76">
        <v>8.73</v>
      </c>
      <c r="G635" s="79">
        <v>236500</v>
      </c>
      <c r="H635" s="63">
        <f t="shared" si="38"/>
        <v>2064645</v>
      </c>
      <c r="I635" s="63">
        <f t="shared" ref="I635:I647" si="39">+L635</f>
        <v>0</v>
      </c>
      <c r="J635" s="60"/>
      <c r="K635" s="60">
        <v>144216</v>
      </c>
      <c r="L635" s="64">
        <f t="shared" ref="L635:L644" si="40">+((M635*N635)+(O635*P635)+(Q635*R635))*(1+S635/100)</f>
        <v>0</v>
      </c>
      <c r="M635" s="65">
        <v>0.2</v>
      </c>
      <c r="N635" s="66"/>
      <c r="O635" s="64"/>
      <c r="P635" s="64"/>
      <c r="Q635" s="64"/>
      <c r="R635" s="64"/>
      <c r="S635" s="64"/>
    </row>
    <row r="636" spans="1:19" ht="16.5" customHeight="1">
      <c r="A636" s="85" t="s">
        <v>1374</v>
      </c>
      <c r="B636" s="78" t="s">
        <v>1375</v>
      </c>
      <c r="C636" s="81" t="s">
        <v>150</v>
      </c>
      <c r="D636" s="92">
        <v>226950</v>
      </c>
      <c r="E636" s="79" t="s">
        <v>807</v>
      </c>
      <c r="F636" s="76">
        <v>11.85</v>
      </c>
      <c r="G636" s="79">
        <v>236500</v>
      </c>
      <c r="H636" s="63">
        <f t="shared" si="38"/>
        <v>2802525</v>
      </c>
      <c r="I636" s="63">
        <f t="shared" si="39"/>
        <v>0</v>
      </c>
      <c r="J636" s="60"/>
      <c r="K636" s="60">
        <v>144216</v>
      </c>
      <c r="L636" s="64">
        <f t="shared" si="40"/>
        <v>0</v>
      </c>
      <c r="M636" s="65">
        <v>0.2</v>
      </c>
      <c r="N636" s="66"/>
      <c r="O636" s="64"/>
      <c r="P636" s="64"/>
      <c r="Q636" s="64"/>
      <c r="R636" s="64"/>
      <c r="S636" s="64"/>
    </row>
    <row r="637" spans="1:19" ht="16.5" customHeight="1">
      <c r="A637" s="85" t="s">
        <v>1376</v>
      </c>
      <c r="B637" s="78" t="s">
        <v>1377</v>
      </c>
      <c r="C637" s="81" t="s">
        <v>150</v>
      </c>
      <c r="D637" s="92">
        <v>320580</v>
      </c>
      <c r="E637" s="79" t="s">
        <v>1299</v>
      </c>
      <c r="F637" s="76">
        <v>16.23</v>
      </c>
      <c r="G637" s="79">
        <v>257589</v>
      </c>
      <c r="H637" s="63">
        <f t="shared" si="38"/>
        <v>4180669.47</v>
      </c>
      <c r="I637" s="63">
        <f t="shared" si="39"/>
        <v>0</v>
      </c>
      <c r="J637" s="60"/>
      <c r="K637" s="60">
        <v>144216</v>
      </c>
      <c r="L637" s="64">
        <f t="shared" si="40"/>
        <v>0</v>
      </c>
      <c r="M637" s="65">
        <v>0.2</v>
      </c>
      <c r="N637" s="66"/>
      <c r="O637" s="64"/>
      <c r="P637" s="64"/>
      <c r="Q637" s="64"/>
      <c r="R637" s="64"/>
      <c r="S637" s="64"/>
    </row>
    <row r="638" spans="1:19" ht="16.5" customHeight="1">
      <c r="A638" s="85" t="s">
        <v>1378</v>
      </c>
      <c r="B638" s="78" t="s">
        <v>1379</v>
      </c>
      <c r="C638" s="81" t="s">
        <v>150</v>
      </c>
      <c r="D638" s="92">
        <v>320580</v>
      </c>
      <c r="E638" s="79" t="s">
        <v>1299</v>
      </c>
      <c r="F638" s="76">
        <v>18.62</v>
      </c>
      <c r="G638" s="79">
        <v>257589</v>
      </c>
      <c r="H638" s="63">
        <f t="shared" si="38"/>
        <v>4796307.1800000006</v>
      </c>
      <c r="I638" s="63">
        <f t="shared" si="39"/>
        <v>0</v>
      </c>
      <c r="J638" s="60"/>
      <c r="K638" s="60">
        <v>144216</v>
      </c>
      <c r="L638" s="64">
        <f t="shared" si="40"/>
        <v>0</v>
      </c>
      <c r="M638" s="65">
        <v>0.2</v>
      </c>
      <c r="N638" s="66"/>
      <c r="O638" s="64"/>
      <c r="P638" s="64"/>
      <c r="Q638" s="64"/>
      <c r="R638" s="64"/>
      <c r="S638" s="64"/>
    </row>
    <row r="639" spans="1:19" ht="16.5" customHeight="1">
      <c r="A639" s="85" t="s">
        <v>1380</v>
      </c>
      <c r="B639" s="78" t="s">
        <v>1381</v>
      </c>
      <c r="C639" s="81" t="s">
        <v>150</v>
      </c>
      <c r="D639" s="92">
        <v>320580</v>
      </c>
      <c r="E639" s="79" t="s">
        <v>1299</v>
      </c>
      <c r="F639" s="76">
        <v>19.25</v>
      </c>
      <c r="G639" s="79">
        <v>257589</v>
      </c>
      <c r="H639" s="63">
        <f t="shared" si="38"/>
        <v>4958588.25</v>
      </c>
      <c r="I639" s="63">
        <f t="shared" si="39"/>
        <v>2256.2615999999998</v>
      </c>
      <c r="J639" s="60"/>
      <c r="K639" s="60">
        <v>223393</v>
      </c>
      <c r="L639" s="64">
        <f t="shared" si="40"/>
        <v>2256.2615999999998</v>
      </c>
      <c r="M639" s="65">
        <v>0.3</v>
      </c>
      <c r="N639" s="66"/>
      <c r="O639" s="65">
        <v>0.12</v>
      </c>
      <c r="P639" s="66">
        <v>18802.18</v>
      </c>
      <c r="Q639" s="64"/>
      <c r="R639" s="64"/>
      <c r="S639" s="64"/>
    </row>
    <row r="640" spans="1:19" ht="16.5" customHeight="1">
      <c r="A640" s="85" t="s">
        <v>1382</v>
      </c>
      <c r="B640" s="78" t="s">
        <v>1383</v>
      </c>
      <c r="C640" s="81" t="s">
        <v>150</v>
      </c>
      <c r="D640" s="92">
        <v>320580</v>
      </c>
      <c r="E640" s="79" t="s">
        <v>1299</v>
      </c>
      <c r="F640" s="76">
        <v>21.53</v>
      </c>
      <c r="G640" s="79">
        <v>257589</v>
      </c>
      <c r="H640" s="63">
        <f t="shared" si="38"/>
        <v>5545891.1699999999</v>
      </c>
      <c r="I640" s="63">
        <f t="shared" si="39"/>
        <v>2820.3269999999998</v>
      </c>
      <c r="J640" s="60"/>
      <c r="K640" s="60">
        <v>225160</v>
      </c>
      <c r="L640" s="64">
        <f t="shared" si="40"/>
        <v>2820.3269999999998</v>
      </c>
      <c r="M640" s="65">
        <v>0.3</v>
      </c>
      <c r="N640" s="66"/>
      <c r="O640" s="65">
        <v>0.15</v>
      </c>
      <c r="P640" s="66">
        <f>+P639</f>
        <v>18802.18</v>
      </c>
      <c r="Q640" s="64"/>
      <c r="R640" s="64"/>
      <c r="S640" s="64"/>
    </row>
    <row r="641" spans="1:19" ht="16.5" customHeight="1">
      <c r="A641" s="85" t="s">
        <v>1384</v>
      </c>
      <c r="B641" s="78" t="s">
        <v>1385</v>
      </c>
      <c r="C641" s="81" t="s">
        <v>150</v>
      </c>
      <c r="D641" s="92">
        <v>382710</v>
      </c>
      <c r="E641" s="79" t="s">
        <v>1299</v>
      </c>
      <c r="F641" s="76">
        <v>23.69</v>
      </c>
      <c r="G641" s="79">
        <v>257589</v>
      </c>
      <c r="H641" s="63">
        <f t="shared" si="38"/>
        <v>6102283.4100000001</v>
      </c>
      <c r="I641" s="63">
        <f t="shared" si="39"/>
        <v>3572.4142000000002</v>
      </c>
      <c r="J641" s="60"/>
      <c r="K641" s="60">
        <v>227517</v>
      </c>
      <c r="L641" s="64">
        <f t="shared" si="40"/>
        <v>3572.4142000000002</v>
      </c>
      <c r="M641" s="65">
        <v>0.3</v>
      </c>
      <c r="N641" s="66"/>
      <c r="O641" s="65">
        <v>0.19</v>
      </c>
      <c r="P641" s="66">
        <f>+P640</f>
        <v>18802.18</v>
      </c>
      <c r="Q641" s="64"/>
      <c r="R641" s="64"/>
      <c r="S641" s="64"/>
    </row>
    <row r="642" spans="1:19" ht="16.5" customHeight="1">
      <c r="A642" s="85" t="s">
        <v>1386</v>
      </c>
      <c r="B642" s="78" t="s">
        <v>1387</v>
      </c>
      <c r="C642" s="81" t="s">
        <v>150</v>
      </c>
      <c r="D642" s="92">
        <v>382710</v>
      </c>
      <c r="E642" s="79" t="s">
        <v>1299</v>
      </c>
      <c r="F642" s="76">
        <v>29.86</v>
      </c>
      <c r="G642" s="79">
        <v>257589</v>
      </c>
      <c r="H642" s="63">
        <f t="shared" si="38"/>
        <v>7691607.54</v>
      </c>
      <c r="I642" s="63">
        <f t="shared" si="39"/>
        <v>4700.5450000000001</v>
      </c>
      <c r="J642" s="60"/>
      <c r="K642" s="60">
        <v>231051</v>
      </c>
      <c r="L642" s="64">
        <f t="shared" si="40"/>
        <v>4700.5450000000001</v>
      </c>
      <c r="M642" s="65">
        <v>0.3</v>
      </c>
      <c r="N642" s="66"/>
      <c r="O642" s="65">
        <v>0.25</v>
      </c>
      <c r="P642" s="66">
        <f>+P641</f>
        <v>18802.18</v>
      </c>
      <c r="Q642" s="64"/>
      <c r="R642" s="64"/>
      <c r="S642" s="64"/>
    </row>
    <row r="643" spans="1:19" ht="16.5" customHeight="1">
      <c r="A643" s="85" t="s">
        <v>1388</v>
      </c>
      <c r="B643" s="78" t="s">
        <v>1389</v>
      </c>
      <c r="C643" s="81" t="s">
        <v>150</v>
      </c>
      <c r="D643" s="92">
        <v>382710</v>
      </c>
      <c r="E643" s="79" t="s">
        <v>1299</v>
      </c>
      <c r="F643" s="76">
        <v>39.450000000000003</v>
      </c>
      <c r="G643" s="79">
        <v>257589</v>
      </c>
      <c r="H643" s="63">
        <f t="shared" si="38"/>
        <v>10161886.050000001</v>
      </c>
      <c r="I643" s="63">
        <f t="shared" si="39"/>
        <v>5640.6539999999995</v>
      </c>
      <c r="J643" s="60"/>
      <c r="K643" s="60">
        <v>233996</v>
      </c>
      <c r="L643" s="64">
        <f t="shared" si="40"/>
        <v>5640.6539999999995</v>
      </c>
      <c r="M643" s="65">
        <v>0.3</v>
      </c>
      <c r="N643" s="66"/>
      <c r="O643" s="65">
        <v>0.3</v>
      </c>
      <c r="P643" s="66">
        <f>+P642</f>
        <v>18802.18</v>
      </c>
      <c r="Q643" s="64"/>
      <c r="R643" s="64"/>
      <c r="S643" s="64"/>
    </row>
    <row r="644" spans="1:19" ht="16.5" customHeight="1">
      <c r="A644" s="85" t="s">
        <v>1390</v>
      </c>
      <c r="B644" s="78" t="s">
        <v>1391</v>
      </c>
      <c r="C644" s="81" t="s">
        <v>150</v>
      </c>
      <c r="D644" s="92">
        <v>382710</v>
      </c>
      <c r="E644" s="79" t="s">
        <v>1299</v>
      </c>
      <c r="F644" s="76">
        <v>52.11</v>
      </c>
      <c r="G644" s="79">
        <v>257589</v>
      </c>
      <c r="H644" s="63">
        <f t="shared" si="38"/>
        <v>13422962.789999999</v>
      </c>
      <c r="I644" s="63">
        <f t="shared" si="39"/>
        <v>6768.7847999999994</v>
      </c>
      <c r="J644" s="60"/>
      <c r="K644" s="60">
        <v>273585</v>
      </c>
      <c r="L644" s="64">
        <f t="shared" si="40"/>
        <v>6768.7847999999994</v>
      </c>
      <c r="M644" s="65">
        <v>0.3</v>
      </c>
      <c r="N644" s="66"/>
      <c r="O644" s="65">
        <v>0.36</v>
      </c>
      <c r="P644" s="66">
        <f>+P643</f>
        <v>18802.18</v>
      </c>
      <c r="Q644" s="64"/>
      <c r="R644" s="64"/>
      <c r="S644" s="64"/>
    </row>
    <row r="645" spans="1:19" ht="16.5" customHeight="1">
      <c r="A645" s="85"/>
      <c r="B645" s="78"/>
      <c r="C645" s="81"/>
      <c r="D645" s="92"/>
      <c r="E645" s="79"/>
      <c r="F645" s="76"/>
      <c r="G645" s="79"/>
      <c r="H645" s="63">
        <f t="shared" si="38"/>
        <v>0</v>
      </c>
      <c r="I645" s="63">
        <f t="shared" si="39"/>
        <v>0</v>
      </c>
      <c r="J645" s="60"/>
      <c r="K645" s="60"/>
      <c r="L645" s="64"/>
      <c r="M645" s="64"/>
      <c r="N645" s="64"/>
      <c r="O645" s="64"/>
      <c r="P645" s="64"/>
      <c r="Q645" s="64"/>
      <c r="R645" s="64"/>
      <c r="S645" s="64"/>
    </row>
    <row r="646" spans="1:19" ht="16.5" customHeight="1">
      <c r="A646" s="85" t="s">
        <v>1392</v>
      </c>
      <c r="B646" s="78" t="s">
        <v>1393</v>
      </c>
      <c r="C646" s="81" t="s">
        <v>150</v>
      </c>
      <c r="D646" s="92">
        <v>226950</v>
      </c>
      <c r="E646" s="79" t="s">
        <v>1299</v>
      </c>
      <c r="F646" s="76">
        <v>13.36</v>
      </c>
      <c r="G646" s="79">
        <v>257587</v>
      </c>
      <c r="H646" s="63">
        <f t="shared" si="38"/>
        <v>3441362.32</v>
      </c>
      <c r="I646" s="63">
        <f t="shared" si="39"/>
        <v>0</v>
      </c>
      <c r="J646" s="60"/>
      <c r="K646" s="60">
        <v>144216</v>
      </c>
      <c r="L646" s="64">
        <f>+((M646*N646)+(O646*P646)+(Q646*R646))*(1+S646/100)</f>
        <v>0</v>
      </c>
      <c r="M646" s="65">
        <v>0.15</v>
      </c>
      <c r="N646" s="66"/>
      <c r="O646" s="64"/>
      <c r="P646" s="64"/>
      <c r="Q646" s="64"/>
      <c r="R646" s="64"/>
      <c r="S646" s="64"/>
    </row>
    <row r="647" spans="1:19" ht="16.5" customHeight="1">
      <c r="A647" s="85" t="s">
        <v>1394</v>
      </c>
      <c r="B647" s="78" t="s">
        <v>1395</v>
      </c>
      <c r="C647" s="81" t="s">
        <v>150</v>
      </c>
      <c r="D647" s="92">
        <v>226950</v>
      </c>
      <c r="E647" s="79" t="s">
        <v>1299</v>
      </c>
      <c r="F647" s="76">
        <v>18.13</v>
      </c>
      <c r="G647" s="79">
        <v>257587</v>
      </c>
      <c r="H647" s="63">
        <f t="shared" si="38"/>
        <v>4670052.3099999996</v>
      </c>
      <c r="I647" s="63">
        <f t="shared" si="39"/>
        <v>0</v>
      </c>
      <c r="J647" s="60"/>
      <c r="K647" s="60">
        <v>144216</v>
      </c>
      <c r="L647" s="64">
        <f>+((M647*N647)+(O647*P647)+(Q647*R647))*(1+S647/100)</f>
        <v>0</v>
      </c>
      <c r="M647" s="65">
        <v>0.2</v>
      </c>
      <c r="N647" s="66"/>
      <c r="O647" s="64"/>
      <c r="P647" s="64"/>
      <c r="Q647" s="64"/>
      <c r="R647" s="64"/>
      <c r="S647" s="64"/>
    </row>
    <row r="648" spans="1:19" ht="16.5" customHeight="1">
      <c r="A648" s="85"/>
      <c r="B648" s="78"/>
      <c r="C648" s="81"/>
      <c r="D648" s="92"/>
      <c r="E648" s="79"/>
      <c r="F648" s="76"/>
      <c r="G648" s="79"/>
      <c r="H648" s="63">
        <f t="shared" si="38"/>
        <v>0</v>
      </c>
      <c r="I648" s="63">
        <f t="shared" si="37"/>
        <v>0</v>
      </c>
      <c r="J648" s="60"/>
      <c r="K648" s="60"/>
      <c r="L648" s="64"/>
      <c r="M648" s="64"/>
      <c r="N648" s="64"/>
      <c r="O648" s="64"/>
      <c r="P648" s="64"/>
      <c r="Q648" s="64"/>
      <c r="R648" s="64"/>
      <c r="S648" s="64"/>
    </row>
    <row r="649" spans="1:19" ht="16.5" customHeight="1">
      <c r="A649" s="85" t="s">
        <v>1396</v>
      </c>
      <c r="B649" s="78" t="s">
        <v>1397</v>
      </c>
      <c r="C649" s="81" t="s">
        <v>150</v>
      </c>
      <c r="D649" s="92">
        <v>226950</v>
      </c>
      <c r="E649" s="79" t="s">
        <v>807</v>
      </c>
      <c r="F649" s="76">
        <v>9.6</v>
      </c>
      <c r="G649" s="79">
        <v>236500</v>
      </c>
      <c r="H649" s="63">
        <f t="shared" si="38"/>
        <v>2270400</v>
      </c>
      <c r="I649" s="63">
        <f t="shared" ref="I649:I654" si="41">+L649</f>
        <v>0</v>
      </c>
      <c r="J649" s="60"/>
      <c r="K649" s="60">
        <v>144216</v>
      </c>
      <c r="L649" s="64">
        <f t="shared" ref="L649:L654" si="42">+((M649*N649)+(O649*P649)+(Q649*R649))*(1+S649/100)</f>
        <v>0</v>
      </c>
      <c r="M649" s="65">
        <v>0.2</v>
      </c>
      <c r="N649" s="66"/>
      <c r="O649" s="64"/>
      <c r="P649" s="64"/>
      <c r="Q649" s="64"/>
      <c r="R649" s="64"/>
      <c r="S649" s="64"/>
    </row>
    <row r="650" spans="1:19" ht="16.5" customHeight="1">
      <c r="A650" s="85" t="s">
        <v>1398</v>
      </c>
      <c r="B650" s="78" t="s">
        <v>1399</v>
      </c>
      <c r="C650" s="81" t="s">
        <v>150</v>
      </c>
      <c r="D650" s="92">
        <v>226950</v>
      </c>
      <c r="E650" s="79" t="s">
        <v>807</v>
      </c>
      <c r="F650" s="76">
        <v>13.04</v>
      </c>
      <c r="G650" s="79">
        <v>236500</v>
      </c>
      <c r="H650" s="63">
        <f t="shared" si="38"/>
        <v>3083960</v>
      </c>
      <c r="I650" s="63">
        <f t="shared" si="41"/>
        <v>0</v>
      </c>
      <c r="J650" s="60"/>
      <c r="K650" s="60">
        <v>144216</v>
      </c>
      <c r="L650" s="64">
        <f t="shared" si="42"/>
        <v>0</v>
      </c>
      <c r="M650" s="65">
        <v>0.2</v>
      </c>
      <c r="N650" s="66"/>
      <c r="O650" s="64"/>
      <c r="P650" s="64"/>
      <c r="Q650" s="64"/>
      <c r="R650" s="64"/>
      <c r="S650" s="64"/>
    </row>
    <row r="651" spans="1:19" ht="16.5" customHeight="1">
      <c r="A651" s="85" t="s">
        <v>1400</v>
      </c>
      <c r="B651" s="78" t="s">
        <v>1401</v>
      </c>
      <c r="C651" s="81" t="s">
        <v>150</v>
      </c>
      <c r="D651" s="92">
        <v>320580</v>
      </c>
      <c r="E651" s="79" t="s">
        <v>1299</v>
      </c>
      <c r="F651" s="76">
        <v>17.850000000000001</v>
      </c>
      <c r="G651" s="79">
        <v>257589</v>
      </c>
      <c r="H651" s="63">
        <f t="shared" si="38"/>
        <v>4597963.6500000004</v>
      </c>
      <c r="I651" s="63">
        <f t="shared" si="41"/>
        <v>0</v>
      </c>
      <c r="J651" s="60"/>
      <c r="K651" s="60">
        <v>144216</v>
      </c>
      <c r="L651" s="64">
        <f t="shared" si="42"/>
        <v>0</v>
      </c>
      <c r="M651" s="65">
        <v>0.2</v>
      </c>
      <c r="N651" s="66"/>
      <c r="O651" s="64"/>
      <c r="P651" s="64"/>
      <c r="Q651" s="64"/>
      <c r="R651" s="64"/>
      <c r="S651" s="64"/>
    </row>
    <row r="652" spans="1:19" ht="16.5" customHeight="1">
      <c r="A652" s="85" t="s">
        <v>1402</v>
      </c>
      <c r="B652" s="78" t="s">
        <v>1403</v>
      </c>
      <c r="C652" s="81" t="s">
        <v>150</v>
      </c>
      <c r="D652" s="92">
        <v>320580</v>
      </c>
      <c r="E652" s="79" t="s">
        <v>1299</v>
      </c>
      <c r="F652" s="76">
        <v>20.260000000000002</v>
      </c>
      <c r="G652" s="79">
        <v>257589</v>
      </c>
      <c r="H652" s="63">
        <f t="shared" si="38"/>
        <v>5218753.1400000006</v>
      </c>
      <c r="I652" s="63">
        <f t="shared" si="41"/>
        <v>0</v>
      </c>
      <c r="J652" s="60"/>
      <c r="K652" s="60">
        <v>144216</v>
      </c>
      <c r="L652" s="64">
        <f t="shared" si="42"/>
        <v>0</v>
      </c>
      <c r="M652" s="65">
        <v>0.2</v>
      </c>
      <c r="N652" s="66"/>
      <c r="O652" s="64"/>
      <c r="P652" s="64"/>
      <c r="Q652" s="64"/>
      <c r="R652" s="64"/>
      <c r="S652" s="64"/>
    </row>
    <row r="653" spans="1:19" ht="16.5" customHeight="1">
      <c r="A653" s="85" t="s">
        <v>1404</v>
      </c>
      <c r="B653" s="78" t="s">
        <v>1405</v>
      </c>
      <c r="C653" s="81" t="s">
        <v>150</v>
      </c>
      <c r="D653" s="92">
        <v>320580</v>
      </c>
      <c r="E653" s="79" t="s">
        <v>1299</v>
      </c>
      <c r="F653" s="76">
        <v>21.18</v>
      </c>
      <c r="G653" s="79">
        <v>257589</v>
      </c>
      <c r="H653" s="63">
        <f t="shared" si="38"/>
        <v>5455735.0199999996</v>
      </c>
      <c r="I653" s="63">
        <f t="shared" si="41"/>
        <v>0</v>
      </c>
      <c r="J653" s="60"/>
      <c r="K653" s="60">
        <v>144216</v>
      </c>
      <c r="L653" s="64">
        <f t="shared" si="42"/>
        <v>0</v>
      </c>
      <c r="M653" s="65">
        <v>0.2</v>
      </c>
      <c r="N653" s="66"/>
      <c r="O653" s="64"/>
      <c r="P653" s="64"/>
      <c r="Q653" s="64"/>
      <c r="R653" s="64"/>
      <c r="S653" s="64"/>
    </row>
    <row r="654" spans="1:19" ht="16.5" customHeight="1">
      <c r="A654" s="85" t="s">
        <v>1406</v>
      </c>
      <c r="B654" s="78" t="s">
        <v>1407</v>
      </c>
      <c r="C654" s="81" t="s">
        <v>150</v>
      </c>
      <c r="D654" s="92">
        <v>320580</v>
      </c>
      <c r="E654" s="79" t="s">
        <v>1299</v>
      </c>
      <c r="F654" s="76">
        <v>23.68</v>
      </c>
      <c r="G654" s="79">
        <v>257589</v>
      </c>
      <c r="H654" s="63">
        <f t="shared" si="38"/>
        <v>6099707.5199999996</v>
      </c>
      <c r="I654" s="63">
        <f t="shared" si="41"/>
        <v>0</v>
      </c>
      <c r="J654" s="60"/>
      <c r="K654" s="60">
        <v>144216</v>
      </c>
      <c r="L654" s="64">
        <f t="shared" si="42"/>
        <v>0</v>
      </c>
      <c r="M654" s="65">
        <v>0.2</v>
      </c>
      <c r="N654" s="66"/>
      <c r="O654" s="64"/>
      <c r="P654" s="64"/>
      <c r="Q654" s="64"/>
      <c r="R654" s="64"/>
      <c r="S654" s="64"/>
    </row>
    <row r="655" spans="1:19" ht="16.5" customHeight="1">
      <c r="A655" s="85"/>
      <c r="B655" s="78"/>
      <c r="C655" s="81"/>
      <c r="D655" s="92"/>
      <c r="E655" s="79"/>
      <c r="F655" s="76"/>
      <c r="G655" s="79"/>
      <c r="H655" s="63">
        <f t="shared" si="38"/>
        <v>0</v>
      </c>
      <c r="I655" s="63">
        <f t="shared" si="37"/>
        <v>0</v>
      </c>
      <c r="J655" s="60"/>
      <c r="K655" s="60"/>
      <c r="L655" s="64"/>
      <c r="M655" s="64"/>
      <c r="N655" s="64"/>
      <c r="O655" s="64"/>
      <c r="P655" s="64"/>
      <c r="Q655" s="64"/>
      <c r="R655" s="64"/>
      <c r="S655" s="64"/>
    </row>
    <row r="656" spans="1:19" ht="16.5" customHeight="1">
      <c r="A656" s="85" t="s">
        <v>1408</v>
      </c>
      <c r="B656" s="78" t="s">
        <v>1409</v>
      </c>
      <c r="C656" s="81" t="s">
        <v>150</v>
      </c>
      <c r="D656" s="92">
        <v>8355</v>
      </c>
      <c r="E656" s="79" t="s">
        <v>807</v>
      </c>
      <c r="F656" s="76">
        <v>12.9</v>
      </c>
      <c r="G656" s="79">
        <v>236500</v>
      </c>
      <c r="H656" s="63">
        <f t="shared" si="38"/>
        <v>3050850</v>
      </c>
      <c r="I656" s="63">
        <f t="shared" si="37"/>
        <v>0</v>
      </c>
      <c r="J656" s="60"/>
      <c r="K656" s="60"/>
      <c r="L656" s="64"/>
      <c r="M656" s="64"/>
      <c r="N656" s="64"/>
      <c r="O656" s="64"/>
      <c r="P656" s="64"/>
      <c r="Q656" s="64"/>
      <c r="R656" s="64"/>
      <c r="S656" s="64"/>
    </row>
    <row r="657" spans="1:19" ht="16.5" customHeight="1">
      <c r="A657" s="85" t="s">
        <v>1410</v>
      </c>
      <c r="B657" s="78" t="s">
        <v>1411</v>
      </c>
      <c r="C657" s="81" t="s">
        <v>150</v>
      </c>
      <c r="D657" s="92">
        <v>8355</v>
      </c>
      <c r="E657" s="79" t="s">
        <v>807</v>
      </c>
      <c r="F657" s="76">
        <v>17.54</v>
      </c>
      <c r="G657" s="79">
        <v>236500</v>
      </c>
      <c r="H657" s="63">
        <f t="shared" si="38"/>
        <v>4148210</v>
      </c>
      <c r="I657" s="63">
        <f t="shared" si="37"/>
        <v>0</v>
      </c>
      <c r="J657" s="60"/>
      <c r="K657" s="60"/>
      <c r="L657" s="64"/>
      <c r="M657" s="64"/>
      <c r="N657" s="64"/>
      <c r="O657" s="64"/>
      <c r="P657" s="64"/>
      <c r="Q657" s="64"/>
      <c r="R657" s="64"/>
      <c r="S657" s="64"/>
    </row>
    <row r="658" spans="1:19" ht="16.5" customHeight="1">
      <c r="A658" s="85" t="s">
        <v>1412</v>
      </c>
      <c r="B658" s="78" t="s">
        <v>1413</v>
      </c>
      <c r="C658" s="81" t="s">
        <v>150</v>
      </c>
      <c r="D658" s="92">
        <v>8355</v>
      </c>
      <c r="E658" s="79" t="s">
        <v>807</v>
      </c>
      <c r="F658" s="76">
        <v>19.71</v>
      </c>
      <c r="G658" s="79">
        <v>236500</v>
      </c>
      <c r="H658" s="63">
        <f t="shared" si="38"/>
        <v>4661415</v>
      </c>
      <c r="I658" s="63">
        <f t="shared" si="37"/>
        <v>0</v>
      </c>
      <c r="J658" s="60"/>
      <c r="K658" s="60"/>
      <c r="L658" s="64"/>
      <c r="M658" s="64"/>
      <c r="N658" s="64"/>
      <c r="O658" s="64"/>
      <c r="P658" s="64"/>
      <c r="Q658" s="64"/>
      <c r="R658" s="64"/>
      <c r="S658" s="64"/>
    </row>
    <row r="659" spans="1:19" ht="16.5" customHeight="1">
      <c r="A659" s="85" t="s">
        <v>1414</v>
      </c>
      <c r="B659" s="78" t="s">
        <v>1415</v>
      </c>
      <c r="C659" s="81" t="s">
        <v>150</v>
      </c>
      <c r="D659" s="92">
        <v>9162</v>
      </c>
      <c r="E659" s="79" t="s">
        <v>807</v>
      </c>
      <c r="F659" s="76">
        <v>23.85</v>
      </c>
      <c r="G659" s="79">
        <v>236500</v>
      </c>
      <c r="H659" s="63">
        <f t="shared" si="38"/>
        <v>5640525</v>
      </c>
      <c r="I659" s="63">
        <f t="shared" si="37"/>
        <v>0</v>
      </c>
      <c r="J659" s="60"/>
      <c r="K659" s="60"/>
      <c r="L659" s="64"/>
      <c r="M659" s="64"/>
      <c r="N659" s="64"/>
      <c r="O659" s="64"/>
      <c r="P659" s="64"/>
      <c r="Q659" s="64"/>
      <c r="R659" s="64"/>
      <c r="S659" s="64"/>
    </row>
    <row r="660" spans="1:19" ht="16.5" customHeight="1">
      <c r="A660" s="85" t="s">
        <v>1416</v>
      </c>
      <c r="B660" s="78" t="s">
        <v>1417</v>
      </c>
      <c r="C660" s="81" t="s">
        <v>150</v>
      </c>
      <c r="D660" s="92">
        <v>9562</v>
      </c>
      <c r="E660" s="79" t="s">
        <v>807</v>
      </c>
      <c r="F660" s="76">
        <v>28.15</v>
      </c>
      <c r="G660" s="79">
        <v>236500</v>
      </c>
      <c r="H660" s="63">
        <f t="shared" si="38"/>
        <v>6657475</v>
      </c>
      <c r="I660" s="63">
        <f t="shared" si="37"/>
        <v>0</v>
      </c>
      <c r="J660" s="60"/>
      <c r="K660" s="60"/>
      <c r="L660" s="64"/>
      <c r="M660" s="64"/>
      <c r="N660" s="64"/>
      <c r="O660" s="64"/>
      <c r="P660" s="64"/>
      <c r="Q660" s="64"/>
      <c r="R660" s="64"/>
      <c r="S660" s="64"/>
    </row>
    <row r="661" spans="1:19" s="150" customFormat="1" ht="16.5" customHeight="1">
      <c r="A661" s="151" t="s">
        <v>148</v>
      </c>
      <c r="B661" s="143" t="s">
        <v>149</v>
      </c>
      <c r="C661" s="180" t="s">
        <v>150</v>
      </c>
      <c r="D661" s="152">
        <v>14687</v>
      </c>
      <c r="E661" s="140"/>
      <c r="F661" s="141"/>
      <c r="G661" s="140"/>
      <c r="H661" s="159">
        <f>10067050*0.85</f>
        <v>8556992.5</v>
      </c>
      <c r="I661" s="122">
        <f t="shared" si="37"/>
        <v>0</v>
      </c>
      <c r="J661" s="146"/>
      <c r="K661" s="146"/>
      <c r="L661" s="147"/>
      <c r="M661" s="147"/>
      <c r="N661" s="147"/>
      <c r="O661" s="147"/>
      <c r="P661" s="147"/>
      <c r="Q661" s="147"/>
      <c r="R661" s="147"/>
      <c r="S661" s="147"/>
    </row>
    <row r="662" spans="1:19" ht="16.5" customHeight="1">
      <c r="A662" s="85" t="s">
        <v>1418</v>
      </c>
      <c r="B662" s="78" t="s">
        <v>1419</v>
      </c>
      <c r="C662" s="81" t="s">
        <v>150</v>
      </c>
      <c r="D662" s="92">
        <v>10368</v>
      </c>
      <c r="E662" s="79" t="s">
        <v>807</v>
      </c>
      <c r="F662" s="76">
        <v>51.54</v>
      </c>
      <c r="G662" s="79">
        <v>236500</v>
      </c>
      <c r="H662" s="63">
        <f t="shared" si="38"/>
        <v>12189210</v>
      </c>
      <c r="I662" s="63">
        <f t="shared" si="37"/>
        <v>0</v>
      </c>
      <c r="J662" s="60"/>
      <c r="K662" s="60"/>
      <c r="L662" s="64"/>
      <c r="M662" s="64"/>
      <c r="N662" s="64"/>
      <c r="O662" s="64"/>
      <c r="P662" s="64"/>
      <c r="Q662" s="64"/>
      <c r="R662" s="64"/>
      <c r="S662" s="64"/>
    </row>
    <row r="663" spans="1:19" ht="16.5" customHeight="1">
      <c r="A663" s="85" t="s">
        <v>151</v>
      </c>
      <c r="B663" s="78" t="s">
        <v>152</v>
      </c>
      <c r="C663" s="81" t="s">
        <v>150</v>
      </c>
      <c r="D663" s="92">
        <v>10368</v>
      </c>
      <c r="E663" s="79" t="s">
        <v>807</v>
      </c>
      <c r="F663" s="76">
        <v>61.85</v>
      </c>
      <c r="G663" s="79">
        <v>236500</v>
      </c>
      <c r="H663" s="63">
        <f t="shared" si="38"/>
        <v>14627525</v>
      </c>
      <c r="I663" s="63">
        <f t="shared" si="37"/>
        <v>0</v>
      </c>
      <c r="J663" s="60"/>
      <c r="K663" s="60"/>
      <c r="L663" s="64"/>
      <c r="M663" s="64"/>
      <c r="N663" s="64"/>
      <c r="O663" s="64"/>
      <c r="P663" s="64"/>
      <c r="Q663" s="64"/>
      <c r="R663" s="64"/>
      <c r="S663" s="64"/>
    </row>
    <row r="664" spans="1:19" ht="16.5" customHeight="1">
      <c r="A664" s="85"/>
      <c r="B664" s="78"/>
      <c r="C664" s="81"/>
      <c r="D664" s="92"/>
      <c r="E664" s="79"/>
      <c r="F664" s="76"/>
      <c r="G664" s="79"/>
      <c r="H664" s="63">
        <f t="shared" si="38"/>
        <v>0</v>
      </c>
      <c r="I664" s="63">
        <f t="shared" si="37"/>
        <v>0</v>
      </c>
      <c r="J664" s="60"/>
      <c r="K664" s="60"/>
      <c r="L664" s="64"/>
      <c r="M664" s="64"/>
      <c r="N664" s="64"/>
      <c r="O664" s="64"/>
      <c r="P664" s="64"/>
      <c r="Q664" s="64"/>
      <c r="R664" s="64"/>
      <c r="S664" s="64"/>
    </row>
    <row r="665" spans="1:19" ht="16.5" customHeight="1">
      <c r="A665" s="85" t="s">
        <v>1420</v>
      </c>
      <c r="B665" s="78" t="s">
        <v>1421</v>
      </c>
      <c r="C665" s="81" t="s">
        <v>150</v>
      </c>
      <c r="D665" s="92">
        <f>D656/4*3</f>
        <v>6266.25</v>
      </c>
      <c r="E665" s="79" t="s">
        <v>807</v>
      </c>
      <c r="F665" s="76">
        <f>F656*0.85</f>
        <v>10.965</v>
      </c>
      <c r="G665" s="79">
        <v>236500</v>
      </c>
      <c r="H665" s="63">
        <f t="shared" si="38"/>
        <v>2593222.5</v>
      </c>
      <c r="I665" s="63">
        <f t="shared" si="37"/>
        <v>0</v>
      </c>
      <c r="J665" s="60"/>
      <c r="K665" s="60"/>
      <c r="L665" s="64"/>
      <c r="M665" s="64"/>
      <c r="N665" s="64"/>
      <c r="O665" s="64"/>
      <c r="P665" s="64"/>
      <c r="Q665" s="64"/>
      <c r="R665" s="64"/>
      <c r="S665" s="64"/>
    </row>
    <row r="666" spans="1:19" ht="16.5" customHeight="1">
      <c r="A666" s="85" t="s">
        <v>1422</v>
      </c>
      <c r="B666" s="78" t="s">
        <v>1423</v>
      </c>
      <c r="C666" s="81" t="s">
        <v>150</v>
      </c>
      <c r="D666" s="92">
        <f t="shared" ref="D666:D672" si="43">D657/4*3</f>
        <v>6266.25</v>
      </c>
      <c r="E666" s="79" t="s">
        <v>807</v>
      </c>
      <c r="F666" s="76">
        <f t="shared" ref="F666:F672" si="44">F657*0.85</f>
        <v>14.908999999999999</v>
      </c>
      <c r="G666" s="79">
        <v>236500</v>
      </c>
      <c r="H666" s="63">
        <f t="shared" si="38"/>
        <v>3525978.4999999995</v>
      </c>
      <c r="I666" s="63">
        <f t="shared" si="37"/>
        <v>0</v>
      </c>
      <c r="J666" s="60"/>
      <c r="K666" s="60"/>
      <c r="L666" s="64"/>
      <c r="M666" s="64"/>
      <c r="N666" s="64"/>
      <c r="O666" s="64"/>
      <c r="P666" s="64"/>
      <c r="Q666" s="64"/>
      <c r="R666" s="64"/>
      <c r="S666" s="64"/>
    </row>
    <row r="667" spans="1:19" ht="16.5" customHeight="1">
      <c r="A667" s="85" t="s">
        <v>1424</v>
      </c>
      <c r="B667" s="78" t="s">
        <v>1425</v>
      </c>
      <c r="C667" s="81" t="s">
        <v>150</v>
      </c>
      <c r="D667" s="92">
        <f t="shared" si="43"/>
        <v>6266.25</v>
      </c>
      <c r="E667" s="79" t="s">
        <v>807</v>
      </c>
      <c r="F667" s="76">
        <f t="shared" si="44"/>
        <v>16.753499999999999</v>
      </c>
      <c r="G667" s="79">
        <v>236500</v>
      </c>
      <c r="H667" s="63">
        <f t="shared" si="38"/>
        <v>3962202.7499999995</v>
      </c>
      <c r="I667" s="63">
        <f t="shared" si="37"/>
        <v>0</v>
      </c>
      <c r="J667" s="60"/>
      <c r="K667" s="60"/>
      <c r="L667" s="64"/>
      <c r="M667" s="64"/>
      <c r="N667" s="64"/>
      <c r="O667" s="64"/>
      <c r="P667" s="64"/>
      <c r="Q667" s="64"/>
      <c r="R667" s="64"/>
      <c r="S667" s="64"/>
    </row>
    <row r="668" spans="1:19" ht="16.5" customHeight="1">
      <c r="A668" s="85" t="s">
        <v>1426</v>
      </c>
      <c r="B668" s="78" t="s">
        <v>1427</v>
      </c>
      <c r="C668" s="81" t="s">
        <v>150</v>
      </c>
      <c r="D668" s="92">
        <f t="shared" si="43"/>
        <v>6871.5</v>
      </c>
      <c r="E668" s="79" t="s">
        <v>807</v>
      </c>
      <c r="F668" s="76">
        <f t="shared" si="44"/>
        <v>20.272500000000001</v>
      </c>
      <c r="G668" s="79">
        <v>236500</v>
      </c>
      <c r="H668" s="63">
        <f t="shared" si="38"/>
        <v>4794446.25</v>
      </c>
      <c r="I668" s="63">
        <f t="shared" si="37"/>
        <v>0</v>
      </c>
      <c r="J668" s="60"/>
      <c r="K668" s="60"/>
      <c r="L668" s="64"/>
      <c r="M668" s="64"/>
      <c r="N668" s="64"/>
      <c r="O668" s="64"/>
      <c r="P668" s="64"/>
      <c r="Q668" s="64"/>
      <c r="R668" s="64"/>
      <c r="S668" s="64"/>
    </row>
    <row r="669" spans="1:19" ht="16.5" customHeight="1">
      <c r="A669" s="85" t="s">
        <v>1428</v>
      </c>
      <c r="B669" s="78" t="s">
        <v>1429</v>
      </c>
      <c r="C669" s="81" t="s">
        <v>150</v>
      </c>
      <c r="D669" s="92">
        <f t="shared" si="43"/>
        <v>7171.5</v>
      </c>
      <c r="E669" s="79" t="s">
        <v>807</v>
      </c>
      <c r="F669" s="76">
        <f>F660*0.85</f>
        <v>23.927499999999998</v>
      </c>
      <c r="G669" s="79">
        <v>236500</v>
      </c>
      <c r="H669" s="63">
        <f t="shared" si="38"/>
        <v>5658853.75</v>
      </c>
      <c r="I669" s="63">
        <f t="shared" si="37"/>
        <v>0</v>
      </c>
      <c r="J669" s="60"/>
      <c r="K669" s="60"/>
      <c r="L669" s="64"/>
      <c r="M669" s="64"/>
      <c r="N669" s="64"/>
      <c r="O669" s="64"/>
      <c r="P669" s="64"/>
      <c r="Q669" s="64"/>
      <c r="R669" s="64"/>
      <c r="S669" s="64"/>
    </row>
    <row r="670" spans="1:19" ht="16.5" customHeight="1">
      <c r="A670" s="85" t="s">
        <v>1430</v>
      </c>
      <c r="B670" s="78" t="s">
        <v>1431</v>
      </c>
      <c r="C670" s="81" t="s">
        <v>150</v>
      </c>
      <c r="D670" s="92">
        <f t="shared" si="43"/>
        <v>11015.25</v>
      </c>
      <c r="E670" s="79" t="s">
        <v>807</v>
      </c>
      <c r="F670" s="76">
        <f t="shared" si="44"/>
        <v>0</v>
      </c>
      <c r="G670" s="79">
        <v>236500</v>
      </c>
      <c r="H670" s="63">
        <f t="shared" si="38"/>
        <v>0</v>
      </c>
      <c r="I670" s="63">
        <f t="shared" si="37"/>
        <v>0</v>
      </c>
      <c r="J670" s="60"/>
      <c r="K670" s="60"/>
      <c r="L670" s="64"/>
      <c r="M670" s="64"/>
      <c r="N670" s="64"/>
      <c r="O670" s="64"/>
      <c r="P670" s="64"/>
      <c r="Q670" s="64"/>
      <c r="R670" s="64"/>
      <c r="S670" s="64"/>
    </row>
    <row r="671" spans="1:19" ht="16.5" customHeight="1">
      <c r="A671" s="85" t="s">
        <v>1432</v>
      </c>
      <c r="B671" s="78" t="s">
        <v>1433</v>
      </c>
      <c r="C671" s="81" t="s">
        <v>150</v>
      </c>
      <c r="D671" s="92">
        <f t="shared" si="43"/>
        <v>7776</v>
      </c>
      <c r="E671" s="79" t="s">
        <v>807</v>
      </c>
      <c r="F671" s="76">
        <f t="shared" si="44"/>
        <v>43.808999999999997</v>
      </c>
      <c r="G671" s="79">
        <v>236500</v>
      </c>
      <c r="H671" s="63">
        <f t="shared" si="38"/>
        <v>10360828.5</v>
      </c>
      <c r="I671" s="63">
        <f t="shared" si="37"/>
        <v>0</v>
      </c>
      <c r="J671" s="60"/>
      <c r="K671" s="60"/>
      <c r="L671" s="64"/>
      <c r="M671" s="64"/>
      <c r="N671" s="64"/>
      <c r="O671" s="64"/>
      <c r="P671" s="64"/>
      <c r="Q671" s="64"/>
      <c r="R671" s="64"/>
      <c r="S671" s="64"/>
    </row>
    <row r="672" spans="1:19" ht="16.5" customHeight="1">
      <c r="A672" s="85" t="s">
        <v>1434</v>
      </c>
      <c r="B672" s="78" t="s">
        <v>1435</v>
      </c>
      <c r="C672" s="81" t="s">
        <v>150</v>
      </c>
      <c r="D672" s="92">
        <f t="shared" si="43"/>
        <v>7776</v>
      </c>
      <c r="E672" s="79" t="s">
        <v>807</v>
      </c>
      <c r="F672" s="76">
        <f t="shared" si="44"/>
        <v>52.572499999999998</v>
      </c>
      <c r="G672" s="79">
        <v>236500</v>
      </c>
      <c r="H672" s="63">
        <f t="shared" si="38"/>
        <v>12433396.25</v>
      </c>
      <c r="I672" s="63">
        <f t="shared" si="37"/>
        <v>0</v>
      </c>
      <c r="J672" s="60"/>
      <c r="K672" s="60"/>
      <c r="L672" s="64"/>
      <c r="M672" s="64"/>
      <c r="N672" s="64"/>
      <c r="O672" s="64"/>
      <c r="P672" s="64"/>
      <c r="Q672" s="64"/>
      <c r="R672" s="64"/>
      <c r="S672" s="64"/>
    </row>
    <row r="673" spans="1:19" ht="16.5" customHeight="1">
      <c r="A673" s="85"/>
      <c r="B673" s="78"/>
      <c r="C673" s="81"/>
      <c r="D673" s="92"/>
      <c r="E673" s="79"/>
      <c r="F673" s="76"/>
      <c r="G673" s="79"/>
      <c r="H673" s="63">
        <f t="shared" si="38"/>
        <v>0</v>
      </c>
      <c r="I673" s="63">
        <f t="shared" si="37"/>
        <v>0</v>
      </c>
      <c r="J673" s="60"/>
      <c r="K673" s="60"/>
      <c r="L673" s="64"/>
      <c r="M673" s="64"/>
      <c r="N673" s="64"/>
      <c r="O673" s="64"/>
      <c r="P673" s="64"/>
      <c r="Q673" s="64"/>
      <c r="R673" s="64"/>
      <c r="S673" s="64"/>
    </row>
    <row r="674" spans="1:19" ht="16.5" customHeight="1">
      <c r="A674" s="85" t="s">
        <v>1436</v>
      </c>
      <c r="B674" s="78" t="s">
        <v>1437</v>
      </c>
      <c r="C674" s="81" t="s">
        <v>150</v>
      </c>
      <c r="D674" s="92">
        <f>D656/2</f>
        <v>4177.5</v>
      </c>
      <c r="E674" s="79" t="s">
        <v>807</v>
      </c>
      <c r="F674" s="76">
        <f t="shared" ref="F674:F681" si="45">F656*0.7</f>
        <v>9.0299999999999994</v>
      </c>
      <c r="G674" s="79">
        <v>236500</v>
      </c>
      <c r="H674" s="63">
        <f t="shared" si="38"/>
        <v>2135595</v>
      </c>
      <c r="I674" s="63">
        <f t="shared" si="37"/>
        <v>0</v>
      </c>
      <c r="J674" s="60"/>
      <c r="K674" s="60"/>
      <c r="L674" s="64"/>
      <c r="M674" s="64"/>
      <c r="N674" s="64"/>
      <c r="O674" s="64"/>
      <c r="P674" s="64"/>
      <c r="Q674" s="64"/>
      <c r="R674" s="64"/>
      <c r="S674" s="64"/>
    </row>
    <row r="675" spans="1:19" ht="16.5" customHeight="1">
      <c r="A675" s="85" t="s">
        <v>1438</v>
      </c>
      <c r="B675" s="78" t="s">
        <v>1439</v>
      </c>
      <c r="C675" s="81" t="s">
        <v>150</v>
      </c>
      <c r="D675" s="92">
        <f t="shared" ref="D675:D681" si="46">D657/2</f>
        <v>4177.5</v>
      </c>
      <c r="E675" s="79" t="s">
        <v>807</v>
      </c>
      <c r="F675" s="76">
        <f t="shared" si="45"/>
        <v>12.277999999999999</v>
      </c>
      <c r="G675" s="79">
        <v>236500</v>
      </c>
      <c r="H675" s="63">
        <f t="shared" si="38"/>
        <v>2903746.9999999995</v>
      </c>
      <c r="I675" s="63">
        <f t="shared" ref="I675:I738" si="47">+K675*$I$4</f>
        <v>0</v>
      </c>
      <c r="J675" s="60"/>
      <c r="K675" s="60"/>
      <c r="L675" s="64"/>
      <c r="M675" s="64"/>
      <c r="N675" s="64"/>
      <c r="O675" s="64"/>
      <c r="P675" s="64"/>
      <c r="Q675" s="64"/>
      <c r="R675" s="64"/>
      <c r="S675" s="64"/>
    </row>
    <row r="676" spans="1:19" ht="16.5" customHeight="1">
      <c r="A676" s="85" t="s">
        <v>1440</v>
      </c>
      <c r="B676" s="78" t="s">
        <v>1441</v>
      </c>
      <c r="C676" s="81" t="s">
        <v>150</v>
      </c>
      <c r="D676" s="92">
        <f t="shared" si="46"/>
        <v>4177.5</v>
      </c>
      <c r="E676" s="79" t="s">
        <v>807</v>
      </c>
      <c r="F676" s="76">
        <f t="shared" si="45"/>
        <v>13.797000000000001</v>
      </c>
      <c r="G676" s="79">
        <v>236500</v>
      </c>
      <c r="H676" s="63">
        <f t="shared" si="38"/>
        <v>3262990.5</v>
      </c>
      <c r="I676" s="63">
        <f t="shared" si="47"/>
        <v>0</v>
      </c>
      <c r="J676" s="60"/>
      <c r="K676" s="60"/>
      <c r="L676" s="64"/>
      <c r="M676" s="64"/>
      <c r="N676" s="64"/>
      <c r="O676" s="64"/>
      <c r="P676" s="64"/>
      <c r="Q676" s="64"/>
      <c r="R676" s="64"/>
      <c r="S676" s="64"/>
    </row>
    <row r="677" spans="1:19" ht="16.5" customHeight="1">
      <c r="A677" s="85" t="s">
        <v>1442</v>
      </c>
      <c r="B677" s="78" t="s">
        <v>1443</v>
      </c>
      <c r="C677" s="81" t="s">
        <v>150</v>
      </c>
      <c r="D677" s="92">
        <f t="shared" si="46"/>
        <v>4581</v>
      </c>
      <c r="E677" s="79" t="s">
        <v>807</v>
      </c>
      <c r="F677" s="76">
        <f t="shared" si="45"/>
        <v>16.695</v>
      </c>
      <c r="G677" s="79">
        <v>236500</v>
      </c>
      <c r="H677" s="63">
        <f t="shared" ref="H677:H740" si="48">+G677*F677</f>
        <v>3948367.5</v>
      </c>
      <c r="I677" s="63">
        <f t="shared" si="47"/>
        <v>0</v>
      </c>
      <c r="J677" s="60"/>
      <c r="K677" s="60"/>
      <c r="L677" s="64"/>
      <c r="M677" s="64"/>
      <c r="N677" s="64"/>
      <c r="O677" s="64"/>
      <c r="P677" s="64"/>
      <c r="Q677" s="64"/>
      <c r="R677" s="64"/>
      <c r="S677" s="64"/>
    </row>
    <row r="678" spans="1:19" ht="16.5" customHeight="1">
      <c r="A678" s="85" t="s">
        <v>1444</v>
      </c>
      <c r="B678" s="78" t="s">
        <v>1445</v>
      </c>
      <c r="C678" s="81" t="s">
        <v>150</v>
      </c>
      <c r="D678" s="92">
        <f t="shared" si="46"/>
        <v>4781</v>
      </c>
      <c r="E678" s="79" t="s">
        <v>807</v>
      </c>
      <c r="F678" s="76">
        <f t="shared" si="45"/>
        <v>19.704999999999998</v>
      </c>
      <c r="G678" s="79">
        <v>236500</v>
      </c>
      <c r="H678" s="63">
        <f t="shared" si="48"/>
        <v>4660232.5</v>
      </c>
      <c r="I678" s="63">
        <f t="shared" si="47"/>
        <v>0</v>
      </c>
      <c r="J678" s="60"/>
      <c r="K678" s="60"/>
      <c r="L678" s="64"/>
      <c r="M678" s="64"/>
      <c r="N678" s="64"/>
      <c r="O678" s="64"/>
      <c r="P678" s="64"/>
      <c r="Q678" s="64"/>
      <c r="R678" s="64"/>
      <c r="S678" s="64"/>
    </row>
    <row r="679" spans="1:19" ht="16.5" customHeight="1">
      <c r="A679" s="85" t="s">
        <v>1446</v>
      </c>
      <c r="B679" s="78" t="s">
        <v>1447</v>
      </c>
      <c r="C679" s="81" t="s">
        <v>150</v>
      </c>
      <c r="D679" s="92">
        <f t="shared" si="46"/>
        <v>7343.5</v>
      </c>
      <c r="E679" s="79" t="s">
        <v>807</v>
      </c>
      <c r="F679" s="76">
        <f t="shared" si="45"/>
        <v>0</v>
      </c>
      <c r="G679" s="79">
        <v>236500</v>
      </c>
      <c r="H679" s="63">
        <f t="shared" si="48"/>
        <v>0</v>
      </c>
      <c r="I679" s="63">
        <f t="shared" si="47"/>
        <v>0</v>
      </c>
      <c r="J679" s="60"/>
      <c r="K679" s="60"/>
      <c r="L679" s="64"/>
      <c r="M679" s="64"/>
      <c r="N679" s="64"/>
      <c r="O679" s="64"/>
      <c r="P679" s="64"/>
      <c r="Q679" s="64"/>
      <c r="R679" s="64"/>
      <c r="S679" s="64"/>
    </row>
    <row r="680" spans="1:19" ht="16.5" customHeight="1">
      <c r="A680" s="85" t="s">
        <v>1448</v>
      </c>
      <c r="B680" s="78" t="s">
        <v>1449</v>
      </c>
      <c r="C680" s="81" t="s">
        <v>150</v>
      </c>
      <c r="D680" s="92">
        <f t="shared" si="46"/>
        <v>5184</v>
      </c>
      <c r="E680" s="79" t="s">
        <v>807</v>
      </c>
      <c r="F680" s="76">
        <f t="shared" si="45"/>
        <v>36.077999999999996</v>
      </c>
      <c r="G680" s="79">
        <v>236500</v>
      </c>
      <c r="H680" s="63">
        <f t="shared" si="48"/>
        <v>8532446.9999999981</v>
      </c>
      <c r="I680" s="63">
        <f t="shared" si="47"/>
        <v>0</v>
      </c>
      <c r="J680" s="60"/>
      <c r="K680" s="60"/>
      <c r="L680" s="64"/>
      <c r="M680" s="64"/>
      <c r="N680" s="64"/>
      <c r="O680" s="64"/>
      <c r="P680" s="64"/>
      <c r="Q680" s="64"/>
      <c r="R680" s="64"/>
      <c r="S680" s="64"/>
    </row>
    <row r="681" spans="1:19" ht="16.5" customHeight="1">
      <c r="A681" s="85" t="s">
        <v>1450</v>
      </c>
      <c r="B681" s="78" t="s">
        <v>1451</v>
      </c>
      <c r="C681" s="81" t="s">
        <v>150</v>
      </c>
      <c r="D681" s="92">
        <f t="shared" si="46"/>
        <v>5184</v>
      </c>
      <c r="E681" s="79" t="s">
        <v>807</v>
      </c>
      <c r="F681" s="76">
        <f t="shared" si="45"/>
        <v>43.295000000000002</v>
      </c>
      <c r="G681" s="79">
        <v>236500</v>
      </c>
      <c r="H681" s="63">
        <f t="shared" si="48"/>
        <v>10239267.5</v>
      </c>
      <c r="I681" s="63">
        <f t="shared" si="47"/>
        <v>0</v>
      </c>
      <c r="J681" s="60"/>
      <c r="K681" s="60"/>
      <c r="L681" s="64"/>
      <c r="M681" s="64"/>
      <c r="N681" s="64"/>
      <c r="O681" s="64"/>
      <c r="P681" s="64"/>
      <c r="Q681" s="64"/>
      <c r="R681" s="64"/>
      <c r="S681" s="64"/>
    </row>
    <row r="682" spans="1:19" ht="16.5" customHeight="1">
      <c r="A682" s="85"/>
      <c r="B682" s="78"/>
      <c r="C682" s="81"/>
      <c r="D682" s="92"/>
      <c r="E682" s="79"/>
      <c r="F682" s="76"/>
      <c r="G682" s="79"/>
      <c r="H682" s="63">
        <f t="shared" si="48"/>
        <v>0</v>
      </c>
      <c r="I682" s="63">
        <f t="shared" si="47"/>
        <v>0</v>
      </c>
      <c r="J682" s="60"/>
      <c r="K682" s="60"/>
      <c r="L682" s="64"/>
      <c r="M682" s="64"/>
      <c r="N682" s="64"/>
      <c r="O682" s="64"/>
      <c r="P682" s="64"/>
      <c r="Q682" s="64"/>
      <c r="R682" s="64"/>
      <c r="S682" s="64"/>
    </row>
    <row r="683" spans="1:19" ht="16.5" customHeight="1">
      <c r="A683" s="85" t="s">
        <v>1452</v>
      </c>
      <c r="B683" s="78" t="s">
        <v>1453</v>
      </c>
      <c r="C683" s="74" t="s">
        <v>310</v>
      </c>
      <c r="D683" s="92"/>
      <c r="E683" s="73" t="s">
        <v>646</v>
      </c>
      <c r="F683" s="76">
        <v>0.03</v>
      </c>
      <c r="G683" s="79">
        <v>219137.5</v>
      </c>
      <c r="H683" s="63">
        <f t="shared" si="48"/>
        <v>6574.125</v>
      </c>
      <c r="I683" s="63">
        <f t="shared" si="47"/>
        <v>0</v>
      </c>
      <c r="J683" s="60"/>
      <c r="K683" s="60"/>
      <c r="L683" s="64"/>
      <c r="M683" s="64"/>
      <c r="N683" s="64"/>
      <c r="O683" s="64"/>
      <c r="P683" s="64"/>
      <c r="Q683" s="64"/>
      <c r="R683" s="64"/>
      <c r="S683" s="64"/>
    </row>
    <row r="684" spans="1:19" ht="16.5" customHeight="1">
      <c r="A684" s="85" t="s">
        <v>1454</v>
      </c>
      <c r="B684" s="78" t="s">
        <v>1455</v>
      </c>
      <c r="C684" s="74" t="s">
        <v>310</v>
      </c>
      <c r="D684" s="92"/>
      <c r="E684" s="73" t="s">
        <v>646</v>
      </c>
      <c r="F684" s="76">
        <v>0.05</v>
      </c>
      <c r="G684" s="79">
        <v>219137.5</v>
      </c>
      <c r="H684" s="63">
        <f t="shared" si="48"/>
        <v>10956.875</v>
      </c>
      <c r="I684" s="63">
        <f t="shared" si="47"/>
        <v>0</v>
      </c>
      <c r="J684" s="60"/>
      <c r="K684" s="60"/>
      <c r="L684" s="64"/>
      <c r="M684" s="64"/>
      <c r="N684" s="64"/>
      <c r="O684" s="64"/>
      <c r="P684" s="64"/>
      <c r="Q684" s="64"/>
      <c r="R684" s="64"/>
      <c r="S684" s="64"/>
    </row>
    <row r="685" spans="1:19" ht="16.5" customHeight="1">
      <c r="A685" s="85" t="s">
        <v>1456</v>
      </c>
      <c r="B685" s="78" t="s">
        <v>1457</v>
      </c>
      <c r="C685" s="74" t="s">
        <v>310</v>
      </c>
      <c r="D685" s="92"/>
      <c r="E685" s="73" t="s">
        <v>646</v>
      </c>
      <c r="F685" s="76">
        <v>7.0000000000000007E-2</v>
      </c>
      <c r="G685" s="79">
        <v>219137.5</v>
      </c>
      <c r="H685" s="63">
        <f t="shared" si="48"/>
        <v>15339.625000000002</v>
      </c>
      <c r="I685" s="63">
        <f t="shared" si="47"/>
        <v>0</v>
      </c>
      <c r="J685" s="60"/>
      <c r="K685" s="60"/>
      <c r="L685" s="64"/>
      <c r="M685" s="64"/>
      <c r="N685" s="64"/>
      <c r="O685" s="64"/>
      <c r="P685" s="64"/>
      <c r="Q685" s="64"/>
      <c r="R685" s="64"/>
      <c r="S685" s="64"/>
    </row>
    <row r="686" spans="1:19" ht="16.5" customHeight="1">
      <c r="A686" s="85" t="s">
        <v>1458</v>
      </c>
      <c r="B686" s="78" t="s">
        <v>1459</v>
      </c>
      <c r="C686" s="74" t="s">
        <v>310</v>
      </c>
      <c r="D686" s="92"/>
      <c r="E686" s="73" t="s">
        <v>646</v>
      </c>
      <c r="F686" s="76">
        <v>0.08</v>
      </c>
      <c r="G686" s="79">
        <v>219137.5</v>
      </c>
      <c r="H686" s="63">
        <f t="shared" si="48"/>
        <v>17531</v>
      </c>
      <c r="I686" s="63">
        <f t="shared" si="47"/>
        <v>0</v>
      </c>
      <c r="J686" s="60"/>
      <c r="K686" s="60"/>
      <c r="L686" s="64"/>
      <c r="M686" s="64"/>
      <c r="N686" s="64"/>
      <c r="O686" s="64"/>
      <c r="P686" s="64"/>
      <c r="Q686" s="64"/>
      <c r="R686" s="64"/>
      <c r="S686" s="64"/>
    </row>
    <row r="687" spans="1:19" ht="16.5" customHeight="1">
      <c r="A687" s="85" t="s">
        <v>1460</v>
      </c>
      <c r="B687" s="78" t="s">
        <v>1461</v>
      </c>
      <c r="C687" s="74" t="s">
        <v>310</v>
      </c>
      <c r="D687" s="92"/>
      <c r="E687" s="73" t="s">
        <v>646</v>
      </c>
      <c r="F687" s="76">
        <v>0.06</v>
      </c>
      <c r="G687" s="79">
        <v>219137.5</v>
      </c>
      <c r="H687" s="63">
        <f t="shared" si="48"/>
        <v>13148.25</v>
      </c>
      <c r="I687" s="63">
        <f t="shared" si="47"/>
        <v>0</v>
      </c>
      <c r="J687" s="60"/>
      <c r="K687" s="60"/>
      <c r="L687" s="64"/>
      <c r="M687" s="64"/>
      <c r="N687" s="64"/>
      <c r="O687" s="64"/>
      <c r="P687" s="64"/>
      <c r="Q687" s="64"/>
      <c r="R687" s="64"/>
      <c r="S687" s="64"/>
    </row>
    <row r="688" spans="1:19" ht="16.5" customHeight="1">
      <c r="A688" s="85" t="s">
        <v>1462</v>
      </c>
      <c r="B688" s="78" t="s">
        <v>1463</v>
      </c>
      <c r="C688" s="74" t="s">
        <v>310</v>
      </c>
      <c r="D688" s="92"/>
      <c r="E688" s="73" t="s">
        <v>646</v>
      </c>
      <c r="F688" s="76">
        <v>0.09</v>
      </c>
      <c r="G688" s="79">
        <v>219137.5</v>
      </c>
      <c r="H688" s="63">
        <f t="shared" si="48"/>
        <v>19722.375</v>
      </c>
      <c r="I688" s="63">
        <f t="shared" si="47"/>
        <v>0</v>
      </c>
      <c r="J688" s="60"/>
      <c r="K688" s="60"/>
      <c r="L688" s="64"/>
      <c r="M688" s="64"/>
      <c r="N688" s="64"/>
      <c r="O688" s="64"/>
      <c r="P688" s="64"/>
      <c r="Q688" s="64"/>
      <c r="R688" s="64"/>
      <c r="S688" s="64"/>
    </row>
    <row r="689" spans="1:19" ht="16.5" customHeight="1">
      <c r="A689" s="85"/>
      <c r="B689" s="78"/>
      <c r="C689" s="74"/>
      <c r="D689" s="92"/>
      <c r="E689" s="73"/>
      <c r="F689" s="76"/>
      <c r="G689" s="79"/>
      <c r="H689" s="63">
        <f t="shared" si="48"/>
        <v>0</v>
      </c>
      <c r="I689" s="63">
        <f t="shared" si="47"/>
        <v>0</v>
      </c>
      <c r="J689" s="60"/>
      <c r="K689" s="60"/>
      <c r="L689" s="64"/>
      <c r="M689" s="64"/>
      <c r="N689" s="64"/>
      <c r="O689" s="64"/>
      <c r="P689" s="64"/>
      <c r="Q689" s="64"/>
      <c r="R689" s="64"/>
      <c r="S689" s="64"/>
    </row>
    <row r="690" spans="1:19" ht="16.5" customHeight="1">
      <c r="A690" s="85" t="s">
        <v>1464</v>
      </c>
      <c r="B690" s="78" t="s">
        <v>1465</v>
      </c>
      <c r="C690" s="74" t="s">
        <v>47</v>
      </c>
      <c r="D690" s="92"/>
      <c r="E690" s="73" t="s">
        <v>646</v>
      </c>
      <c r="F690" s="76">
        <v>1.49</v>
      </c>
      <c r="G690" s="79">
        <v>219137.5</v>
      </c>
      <c r="H690" s="63">
        <f t="shared" si="48"/>
        <v>326514.875</v>
      </c>
      <c r="I690" s="63">
        <f t="shared" si="47"/>
        <v>0</v>
      </c>
      <c r="J690" s="60"/>
      <c r="K690" s="60"/>
      <c r="L690" s="64"/>
      <c r="M690" s="64"/>
      <c r="N690" s="64"/>
      <c r="O690" s="64"/>
      <c r="P690" s="64"/>
      <c r="Q690" s="64"/>
      <c r="R690" s="64"/>
      <c r="S690" s="64"/>
    </row>
    <row r="691" spans="1:19" ht="16.5" customHeight="1">
      <c r="A691" s="85" t="s">
        <v>1466</v>
      </c>
      <c r="B691" s="78" t="s">
        <v>1467</v>
      </c>
      <c r="C691" s="74" t="s">
        <v>47</v>
      </c>
      <c r="D691" s="92"/>
      <c r="E691" s="73" t="s">
        <v>646</v>
      </c>
      <c r="F691" s="76">
        <v>1.62</v>
      </c>
      <c r="G691" s="79">
        <v>219137.5</v>
      </c>
      <c r="H691" s="63">
        <f t="shared" si="48"/>
        <v>355002.75</v>
      </c>
      <c r="I691" s="63">
        <f t="shared" si="47"/>
        <v>0</v>
      </c>
      <c r="J691" s="60"/>
      <c r="K691" s="60"/>
      <c r="L691" s="64"/>
      <c r="M691" s="64"/>
      <c r="N691" s="64"/>
      <c r="O691" s="64"/>
      <c r="P691" s="64"/>
      <c r="Q691" s="64"/>
      <c r="R691" s="64"/>
      <c r="S691" s="64"/>
    </row>
    <row r="692" spans="1:19" ht="16.5" customHeight="1">
      <c r="A692" s="85" t="s">
        <v>1468</v>
      </c>
      <c r="B692" s="78" t="s">
        <v>1469</v>
      </c>
      <c r="C692" s="74" t="s">
        <v>47</v>
      </c>
      <c r="D692" s="92"/>
      <c r="E692" s="73" t="s">
        <v>646</v>
      </c>
      <c r="F692" s="76">
        <v>1.91</v>
      </c>
      <c r="G692" s="79">
        <v>219136.6</v>
      </c>
      <c r="H692" s="63">
        <f t="shared" si="48"/>
        <v>418550.90600000002</v>
      </c>
      <c r="I692" s="63">
        <f t="shared" si="47"/>
        <v>0</v>
      </c>
      <c r="J692" s="60"/>
      <c r="K692" s="60"/>
      <c r="L692" s="64"/>
      <c r="M692" s="64"/>
      <c r="N692" s="64"/>
      <c r="O692" s="64"/>
      <c r="P692" s="64"/>
      <c r="Q692" s="64"/>
      <c r="R692" s="64"/>
      <c r="S692" s="64"/>
    </row>
    <row r="693" spans="1:19" ht="16.5" customHeight="1">
      <c r="A693" s="85" t="s">
        <v>1470</v>
      </c>
      <c r="B693" s="78" t="s">
        <v>1471</v>
      </c>
      <c r="C693" s="74" t="s">
        <v>47</v>
      </c>
      <c r="D693" s="92"/>
      <c r="E693" s="73" t="s">
        <v>646</v>
      </c>
      <c r="F693" s="76">
        <v>2.25</v>
      </c>
      <c r="G693" s="79">
        <v>219137.1</v>
      </c>
      <c r="H693" s="63">
        <f t="shared" si="48"/>
        <v>493058.47500000003</v>
      </c>
      <c r="I693" s="63">
        <f t="shared" si="47"/>
        <v>0</v>
      </c>
      <c r="J693" s="60"/>
      <c r="K693" s="60"/>
      <c r="L693" s="64"/>
      <c r="M693" s="64"/>
      <c r="N693" s="64"/>
      <c r="O693" s="64"/>
      <c r="P693" s="64"/>
      <c r="Q693" s="64"/>
      <c r="R693" s="64"/>
      <c r="S693" s="64"/>
    </row>
    <row r="694" spans="1:19" ht="16.5" customHeight="1">
      <c r="A694" s="85" t="s">
        <v>1472</v>
      </c>
      <c r="B694" s="78" t="s">
        <v>1473</v>
      </c>
      <c r="C694" s="74" t="s">
        <v>47</v>
      </c>
      <c r="D694" s="92"/>
      <c r="E694" s="73" t="s">
        <v>646</v>
      </c>
      <c r="F694" s="76">
        <v>3.52</v>
      </c>
      <c r="G694" s="79">
        <v>219137</v>
      </c>
      <c r="H694" s="63">
        <f t="shared" si="48"/>
        <v>771362.24</v>
      </c>
      <c r="I694" s="63">
        <f t="shared" si="47"/>
        <v>0</v>
      </c>
      <c r="J694" s="60"/>
      <c r="K694" s="60"/>
      <c r="L694" s="64"/>
      <c r="M694" s="64"/>
      <c r="N694" s="64"/>
      <c r="O694" s="64"/>
      <c r="P694" s="64"/>
      <c r="Q694" s="64"/>
      <c r="R694" s="64"/>
      <c r="S694" s="64"/>
    </row>
    <row r="695" spans="1:19" ht="16.5" customHeight="1">
      <c r="A695" s="85"/>
      <c r="B695" s="78"/>
      <c r="C695" s="74"/>
      <c r="D695" s="92"/>
      <c r="E695" s="73"/>
      <c r="F695" s="76"/>
      <c r="G695" s="79"/>
      <c r="H695" s="63">
        <f t="shared" si="48"/>
        <v>0</v>
      </c>
      <c r="I695" s="63">
        <f t="shared" si="47"/>
        <v>0</v>
      </c>
      <c r="J695" s="60"/>
      <c r="K695" s="60"/>
      <c r="L695" s="64"/>
      <c r="M695" s="64"/>
      <c r="N695" s="64"/>
      <c r="O695" s="64"/>
      <c r="P695" s="64"/>
      <c r="Q695" s="64"/>
      <c r="R695" s="64"/>
      <c r="S695" s="64"/>
    </row>
    <row r="696" spans="1:19" ht="16.5" customHeight="1">
      <c r="A696" s="85" t="s">
        <v>1474</v>
      </c>
      <c r="B696" s="78" t="s">
        <v>1475</v>
      </c>
      <c r="C696" s="74" t="s">
        <v>47</v>
      </c>
      <c r="D696" s="92"/>
      <c r="E696" s="73" t="s">
        <v>646</v>
      </c>
      <c r="F696" s="76">
        <v>3</v>
      </c>
      <c r="G696" s="79">
        <v>219137</v>
      </c>
      <c r="H696" s="63">
        <f t="shared" si="48"/>
        <v>657411</v>
      </c>
      <c r="I696" s="63">
        <f t="shared" si="47"/>
        <v>0</v>
      </c>
      <c r="J696" s="60"/>
      <c r="K696" s="60"/>
      <c r="L696" s="64"/>
      <c r="M696" s="64"/>
      <c r="N696" s="64"/>
      <c r="O696" s="64"/>
      <c r="P696" s="64"/>
      <c r="Q696" s="64"/>
      <c r="R696" s="64"/>
      <c r="S696" s="64"/>
    </row>
    <row r="697" spans="1:19" ht="16.5" customHeight="1">
      <c r="A697" s="85" t="s">
        <v>1476</v>
      </c>
      <c r="B697" s="78" t="s">
        <v>1477</v>
      </c>
      <c r="C697" s="74" t="s">
        <v>47</v>
      </c>
      <c r="D697" s="92"/>
      <c r="E697" s="73" t="s">
        <v>646</v>
      </c>
      <c r="F697" s="76">
        <v>5.6</v>
      </c>
      <c r="G697" s="79">
        <v>219137</v>
      </c>
      <c r="H697" s="63">
        <f t="shared" si="48"/>
        <v>1227167.2</v>
      </c>
      <c r="I697" s="63">
        <f t="shared" si="47"/>
        <v>0</v>
      </c>
      <c r="J697" s="60"/>
      <c r="K697" s="60"/>
      <c r="L697" s="64"/>
      <c r="M697" s="64"/>
      <c r="N697" s="64"/>
      <c r="O697" s="64"/>
      <c r="P697" s="64"/>
      <c r="Q697" s="64"/>
      <c r="R697" s="64"/>
      <c r="S697" s="64"/>
    </row>
    <row r="698" spans="1:19" ht="16.5" customHeight="1">
      <c r="A698" s="85" t="s">
        <v>1478</v>
      </c>
      <c r="B698" s="78" t="s">
        <v>1479</v>
      </c>
      <c r="C698" s="74" t="s">
        <v>47</v>
      </c>
      <c r="D698" s="92"/>
      <c r="E698" s="73" t="s">
        <v>646</v>
      </c>
      <c r="F698" s="76">
        <v>3.9</v>
      </c>
      <c r="G698" s="79">
        <v>219137</v>
      </c>
      <c r="H698" s="63">
        <f t="shared" si="48"/>
        <v>854634.29999999993</v>
      </c>
      <c r="I698" s="63">
        <f t="shared" si="47"/>
        <v>0</v>
      </c>
      <c r="J698" s="60"/>
      <c r="K698" s="60"/>
      <c r="L698" s="64"/>
      <c r="M698" s="64"/>
      <c r="N698" s="64"/>
      <c r="O698" s="64"/>
      <c r="P698" s="64"/>
      <c r="Q698" s="64"/>
      <c r="R698" s="64"/>
      <c r="S698" s="64"/>
    </row>
    <row r="699" spans="1:19" ht="16.5" customHeight="1">
      <c r="A699" s="85" t="s">
        <v>1480</v>
      </c>
      <c r="B699" s="78" t="s">
        <v>1481</v>
      </c>
      <c r="C699" s="74" t="s">
        <v>47</v>
      </c>
      <c r="D699" s="92"/>
      <c r="E699" s="73" t="s">
        <v>646</v>
      </c>
      <c r="F699" s="76">
        <v>2.2000000000000002</v>
      </c>
      <c r="G699" s="79">
        <v>219137</v>
      </c>
      <c r="H699" s="63">
        <f t="shared" si="48"/>
        <v>482101.4</v>
      </c>
      <c r="I699" s="63">
        <f t="shared" si="47"/>
        <v>0</v>
      </c>
      <c r="J699" s="60"/>
      <c r="K699" s="60"/>
      <c r="L699" s="64"/>
      <c r="M699" s="64"/>
      <c r="N699" s="64"/>
      <c r="O699" s="64"/>
      <c r="P699" s="64"/>
      <c r="Q699" s="64"/>
      <c r="R699" s="64"/>
      <c r="S699" s="64"/>
    </row>
    <row r="700" spans="1:19" ht="16.5" customHeight="1">
      <c r="A700" s="85"/>
      <c r="B700" s="78"/>
      <c r="C700" s="74"/>
      <c r="D700" s="92"/>
      <c r="E700" s="73"/>
      <c r="F700" s="76"/>
      <c r="G700" s="79"/>
      <c r="H700" s="63">
        <f t="shared" si="48"/>
        <v>0</v>
      </c>
      <c r="I700" s="63">
        <f t="shared" si="47"/>
        <v>0</v>
      </c>
      <c r="J700" s="60"/>
      <c r="K700" s="60"/>
      <c r="L700" s="64"/>
      <c r="M700" s="64"/>
      <c r="N700" s="64"/>
      <c r="O700" s="64"/>
      <c r="P700" s="64"/>
      <c r="Q700" s="64"/>
      <c r="R700" s="64"/>
      <c r="S700" s="64"/>
    </row>
    <row r="701" spans="1:19" ht="16.5" customHeight="1">
      <c r="A701" s="85" t="s">
        <v>1482</v>
      </c>
      <c r="B701" s="78" t="s">
        <v>1483</v>
      </c>
      <c r="C701" s="74" t="s">
        <v>47</v>
      </c>
      <c r="D701" s="92"/>
      <c r="E701" s="73" t="s">
        <v>646</v>
      </c>
      <c r="F701" s="76">
        <v>0.6</v>
      </c>
      <c r="G701" s="79">
        <v>219137</v>
      </c>
      <c r="H701" s="63">
        <f t="shared" si="48"/>
        <v>131482.19999999998</v>
      </c>
      <c r="I701" s="63">
        <f t="shared" si="47"/>
        <v>200218.31200000001</v>
      </c>
      <c r="J701" s="60"/>
      <c r="K701" s="60">
        <v>134918</v>
      </c>
      <c r="L701" s="64"/>
      <c r="M701" s="64"/>
      <c r="N701" s="64"/>
      <c r="O701" s="64"/>
      <c r="P701" s="64"/>
      <c r="Q701" s="64"/>
      <c r="R701" s="64"/>
      <c r="S701" s="64"/>
    </row>
    <row r="702" spans="1:19" ht="16.5" customHeight="1">
      <c r="A702" s="85" t="s">
        <v>1484</v>
      </c>
      <c r="B702" s="78" t="s">
        <v>1485</v>
      </c>
      <c r="C702" s="74" t="s">
        <v>47</v>
      </c>
      <c r="D702" s="92"/>
      <c r="E702" s="73" t="s">
        <v>646</v>
      </c>
      <c r="F702" s="76">
        <v>0.5</v>
      </c>
      <c r="G702" s="79">
        <v>219137</v>
      </c>
      <c r="H702" s="63">
        <f t="shared" si="48"/>
        <v>109568.5</v>
      </c>
      <c r="I702" s="63">
        <f t="shared" si="47"/>
        <v>131676.804</v>
      </c>
      <c r="J702" s="60"/>
      <c r="K702" s="60">
        <v>88731</v>
      </c>
      <c r="L702" s="64"/>
      <c r="M702" s="64"/>
      <c r="N702" s="64"/>
      <c r="O702" s="64"/>
      <c r="P702" s="64"/>
      <c r="Q702" s="64"/>
      <c r="R702" s="64"/>
      <c r="S702" s="64"/>
    </row>
    <row r="703" spans="1:19" ht="16.5" customHeight="1">
      <c r="A703" s="85" t="s">
        <v>1486</v>
      </c>
      <c r="B703" s="78" t="s">
        <v>1487</v>
      </c>
      <c r="C703" s="74" t="s">
        <v>47</v>
      </c>
      <c r="D703" s="92"/>
      <c r="E703" s="73" t="s">
        <v>646</v>
      </c>
      <c r="F703" s="76">
        <v>0.2</v>
      </c>
      <c r="G703" s="79">
        <v>219137</v>
      </c>
      <c r="H703" s="63">
        <f t="shared" si="48"/>
        <v>43827.4</v>
      </c>
      <c r="I703" s="63">
        <f t="shared" si="47"/>
        <v>80458.028000000006</v>
      </c>
      <c r="J703" s="60"/>
      <c r="K703" s="60">
        <v>54217</v>
      </c>
      <c r="L703" s="64"/>
      <c r="M703" s="64"/>
      <c r="N703" s="64"/>
      <c r="O703" s="64"/>
      <c r="P703" s="64"/>
      <c r="Q703" s="64"/>
      <c r="R703" s="64"/>
      <c r="S703" s="64"/>
    </row>
    <row r="704" spans="1:19" ht="16.5" customHeight="1">
      <c r="A704" s="85"/>
      <c r="B704" s="78"/>
      <c r="C704" s="74"/>
      <c r="D704" s="92"/>
      <c r="E704" s="73"/>
      <c r="F704" s="76"/>
      <c r="G704" s="79"/>
      <c r="H704" s="63">
        <f t="shared" si="48"/>
        <v>0</v>
      </c>
      <c r="I704" s="63">
        <f t="shared" si="47"/>
        <v>0</v>
      </c>
      <c r="J704" s="60"/>
      <c r="K704" s="60"/>
      <c r="L704" s="64"/>
      <c r="M704" s="64"/>
      <c r="N704" s="64"/>
      <c r="O704" s="64"/>
      <c r="P704" s="64"/>
      <c r="Q704" s="64"/>
      <c r="R704" s="64"/>
      <c r="S704" s="64"/>
    </row>
    <row r="705" spans="1:19" ht="16.5" customHeight="1">
      <c r="A705" s="85" t="s">
        <v>1488</v>
      </c>
      <c r="B705" s="78" t="s">
        <v>1489</v>
      </c>
      <c r="C705" s="74" t="s">
        <v>47</v>
      </c>
      <c r="D705" s="92"/>
      <c r="E705" s="73" t="s">
        <v>646</v>
      </c>
      <c r="F705" s="76">
        <v>2.02</v>
      </c>
      <c r="G705" s="79">
        <v>219137</v>
      </c>
      <c r="H705" s="63">
        <f t="shared" si="48"/>
        <v>442656.74</v>
      </c>
      <c r="I705" s="63">
        <f t="shared" si="47"/>
        <v>181236.46799999999</v>
      </c>
      <c r="J705" s="60"/>
      <c r="K705" s="60">
        <v>122127</v>
      </c>
      <c r="L705" s="64"/>
      <c r="M705" s="64"/>
      <c r="N705" s="64"/>
      <c r="O705" s="64"/>
      <c r="P705" s="64"/>
      <c r="Q705" s="64"/>
      <c r="R705" s="64"/>
      <c r="S705" s="64"/>
    </row>
    <row r="706" spans="1:19" ht="16.5" customHeight="1">
      <c r="A706" s="85" t="s">
        <v>1490</v>
      </c>
      <c r="B706" s="78" t="s">
        <v>1491</v>
      </c>
      <c r="C706" s="74" t="s">
        <v>47</v>
      </c>
      <c r="D706" s="92"/>
      <c r="E706" s="73" t="s">
        <v>646</v>
      </c>
      <c r="F706" s="76">
        <v>1.88</v>
      </c>
      <c r="G706" s="79">
        <v>219137</v>
      </c>
      <c r="H706" s="63">
        <f t="shared" si="48"/>
        <v>411977.56</v>
      </c>
      <c r="I706" s="63">
        <f t="shared" si="47"/>
        <v>92349.319999999992</v>
      </c>
      <c r="J706" s="60"/>
      <c r="K706" s="60">
        <v>62230</v>
      </c>
      <c r="L706" s="64"/>
      <c r="M706" s="64"/>
      <c r="N706" s="64"/>
      <c r="O706" s="64"/>
      <c r="P706" s="64"/>
      <c r="Q706" s="64"/>
      <c r="R706" s="64"/>
      <c r="S706" s="64"/>
    </row>
    <row r="707" spans="1:19" ht="16.5" customHeight="1">
      <c r="A707" s="85" t="s">
        <v>1492</v>
      </c>
      <c r="B707" s="78" t="s">
        <v>1493</v>
      </c>
      <c r="C707" s="74" t="s">
        <v>47</v>
      </c>
      <c r="D707" s="92"/>
      <c r="E707" s="73" t="s">
        <v>646</v>
      </c>
      <c r="F707" s="76">
        <v>1.65</v>
      </c>
      <c r="G707" s="79">
        <v>219137</v>
      </c>
      <c r="H707" s="63">
        <f t="shared" si="48"/>
        <v>361576.05</v>
      </c>
      <c r="I707" s="63">
        <f t="shared" si="47"/>
        <v>83371.12</v>
      </c>
      <c r="J707" s="60"/>
      <c r="K707" s="60">
        <v>56180</v>
      </c>
      <c r="L707" s="64"/>
      <c r="M707" s="64"/>
      <c r="N707" s="64"/>
      <c r="O707" s="64"/>
      <c r="P707" s="64"/>
      <c r="Q707" s="64"/>
      <c r="R707" s="64"/>
      <c r="S707" s="64"/>
    </row>
    <row r="708" spans="1:19" ht="16.5" customHeight="1">
      <c r="A708" s="85"/>
      <c r="B708" s="78"/>
      <c r="C708" s="74"/>
      <c r="D708" s="92"/>
      <c r="E708" s="73"/>
      <c r="F708" s="76"/>
      <c r="G708" s="79"/>
      <c r="H708" s="63">
        <f t="shared" si="48"/>
        <v>0</v>
      </c>
      <c r="I708" s="63">
        <f t="shared" si="47"/>
        <v>0</v>
      </c>
      <c r="J708" s="60"/>
      <c r="K708" s="60"/>
      <c r="L708" s="64"/>
      <c r="M708" s="64"/>
      <c r="N708" s="64"/>
      <c r="O708" s="64"/>
      <c r="P708" s="64"/>
      <c r="Q708" s="64"/>
      <c r="R708" s="64"/>
      <c r="S708" s="64"/>
    </row>
    <row r="709" spans="1:19" ht="16.5" customHeight="1">
      <c r="A709" s="85" t="s">
        <v>1494</v>
      </c>
      <c r="B709" s="78" t="s">
        <v>1495</v>
      </c>
      <c r="C709" s="74" t="s">
        <v>47</v>
      </c>
      <c r="D709" s="92"/>
      <c r="E709" s="73" t="s">
        <v>311</v>
      </c>
      <c r="F709" s="76">
        <v>0.5</v>
      </c>
      <c r="G709" s="79">
        <v>201769</v>
      </c>
      <c r="H709" s="63">
        <f t="shared" si="48"/>
        <v>100884.5</v>
      </c>
      <c r="I709" s="63">
        <f t="shared" si="47"/>
        <v>0</v>
      </c>
      <c r="J709" s="60"/>
      <c r="K709" s="60"/>
      <c r="L709" s="64"/>
      <c r="M709" s="64"/>
      <c r="N709" s="64"/>
      <c r="O709" s="64"/>
      <c r="P709" s="64"/>
      <c r="Q709" s="64"/>
      <c r="R709" s="64"/>
      <c r="S709" s="64"/>
    </row>
    <row r="710" spans="1:19" ht="16.5" customHeight="1">
      <c r="A710" s="85" t="s">
        <v>1496</v>
      </c>
      <c r="B710" s="78" t="s">
        <v>1497</v>
      </c>
      <c r="C710" s="74" t="s">
        <v>793</v>
      </c>
      <c r="D710" s="92"/>
      <c r="E710" s="73" t="s">
        <v>311</v>
      </c>
      <c r="F710" s="76">
        <v>0.5</v>
      </c>
      <c r="G710" s="79">
        <v>201769</v>
      </c>
      <c r="H710" s="63">
        <f t="shared" si="48"/>
        <v>100884.5</v>
      </c>
      <c r="I710" s="63">
        <f t="shared" si="47"/>
        <v>0</v>
      </c>
      <c r="J710" s="60"/>
      <c r="K710" s="60"/>
      <c r="L710" s="64"/>
      <c r="M710" s="64"/>
      <c r="N710" s="64"/>
      <c r="O710" s="64"/>
      <c r="P710" s="64"/>
      <c r="Q710" s="64"/>
      <c r="R710" s="64"/>
      <c r="S710" s="64"/>
    </row>
    <row r="711" spans="1:19" ht="16.5" customHeight="1">
      <c r="A711" s="85" t="s">
        <v>1498</v>
      </c>
      <c r="B711" s="78" t="s">
        <v>1499</v>
      </c>
      <c r="C711" s="74" t="s">
        <v>793</v>
      </c>
      <c r="D711" s="92"/>
      <c r="E711" s="73" t="s">
        <v>311</v>
      </c>
      <c r="F711" s="76">
        <v>1</v>
      </c>
      <c r="G711" s="79">
        <v>201769</v>
      </c>
      <c r="H711" s="63">
        <f t="shared" si="48"/>
        <v>201769</v>
      </c>
      <c r="I711" s="63">
        <f t="shared" si="47"/>
        <v>0</v>
      </c>
      <c r="J711" s="60"/>
      <c r="K711" s="60"/>
      <c r="L711" s="64"/>
      <c r="M711" s="64"/>
      <c r="N711" s="64"/>
      <c r="O711" s="64"/>
      <c r="P711" s="64"/>
      <c r="Q711" s="64"/>
      <c r="R711" s="64"/>
      <c r="S711" s="64"/>
    </row>
    <row r="712" spans="1:19" ht="16.5" customHeight="1">
      <c r="A712" s="85" t="s">
        <v>1500</v>
      </c>
      <c r="B712" s="78" t="s">
        <v>1501</v>
      </c>
      <c r="C712" s="74" t="s">
        <v>1502</v>
      </c>
      <c r="D712" s="92"/>
      <c r="E712" s="73" t="s">
        <v>311</v>
      </c>
      <c r="F712" s="76">
        <v>4</v>
      </c>
      <c r="G712" s="79">
        <v>201769</v>
      </c>
      <c r="H712" s="63">
        <f t="shared" si="48"/>
        <v>807076</v>
      </c>
      <c r="I712" s="63">
        <f t="shared" si="47"/>
        <v>0</v>
      </c>
      <c r="J712" s="60"/>
      <c r="K712" s="60"/>
      <c r="L712" s="64"/>
      <c r="M712" s="64"/>
      <c r="N712" s="64"/>
      <c r="O712" s="64"/>
      <c r="P712" s="64"/>
      <c r="Q712" s="64"/>
      <c r="R712" s="64"/>
      <c r="S712" s="64"/>
    </row>
    <row r="713" spans="1:19" ht="16.5" customHeight="1">
      <c r="A713" s="85" t="s">
        <v>1503</v>
      </c>
      <c r="B713" s="78" t="s">
        <v>1504</v>
      </c>
      <c r="C713" s="81" t="s">
        <v>1505</v>
      </c>
      <c r="D713" s="92"/>
      <c r="E713" s="73" t="s">
        <v>311</v>
      </c>
      <c r="F713" s="76">
        <v>7.0000000000000007E-2</v>
      </c>
      <c r="G713" s="79">
        <v>201769</v>
      </c>
      <c r="H713" s="63">
        <f t="shared" si="48"/>
        <v>14123.830000000002</v>
      </c>
      <c r="I713" s="63">
        <f t="shared" si="47"/>
        <v>0</v>
      </c>
      <c r="J713" s="60"/>
      <c r="K713" s="60"/>
      <c r="L713" s="64"/>
      <c r="M713" s="64"/>
      <c r="N713" s="64"/>
      <c r="O713" s="64"/>
      <c r="P713" s="64"/>
      <c r="Q713" s="64"/>
      <c r="R713" s="64"/>
      <c r="S713" s="64"/>
    </row>
    <row r="714" spans="1:19" ht="16.5" customHeight="1">
      <c r="A714" s="85" t="s">
        <v>1506</v>
      </c>
      <c r="B714" s="78" t="s">
        <v>1507</v>
      </c>
      <c r="C714" s="81" t="s">
        <v>1505</v>
      </c>
      <c r="D714" s="92"/>
      <c r="E714" s="73" t="s">
        <v>311</v>
      </c>
      <c r="F714" s="76">
        <v>0.1</v>
      </c>
      <c r="G714" s="79">
        <v>201769</v>
      </c>
      <c r="H714" s="63">
        <f t="shared" si="48"/>
        <v>20176.900000000001</v>
      </c>
      <c r="I714" s="63">
        <f t="shared" si="47"/>
        <v>0</v>
      </c>
      <c r="J714" s="60"/>
      <c r="K714" s="60"/>
      <c r="L714" s="64"/>
      <c r="M714" s="64"/>
      <c r="N714" s="64"/>
      <c r="O714" s="64"/>
      <c r="P714" s="64"/>
      <c r="Q714" s="64"/>
      <c r="R714" s="64"/>
      <c r="S714" s="64"/>
    </row>
    <row r="715" spans="1:19" ht="16.5" customHeight="1">
      <c r="A715" s="85"/>
      <c r="B715" s="78"/>
      <c r="C715" s="81"/>
      <c r="D715" s="92"/>
      <c r="E715" s="73"/>
      <c r="F715" s="76"/>
      <c r="G715" s="79"/>
      <c r="H715" s="63">
        <f t="shared" si="48"/>
        <v>0</v>
      </c>
      <c r="I715" s="63">
        <f t="shared" si="47"/>
        <v>0</v>
      </c>
      <c r="J715" s="60"/>
      <c r="K715" s="60"/>
      <c r="L715" s="64"/>
      <c r="M715" s="64"/>
      <c r="N715" s="64"/>
      <c r="O715" s="64"/>
      <c r="P715" s="64"/>
      <c r="Q715" s="64"/>
      <c r="R715" s="64"/>
      <c r="S715" s="64"/>
    </row>
    <row r="716" spans="1:19" ht="16.5" customHeight="1">
      <c r="A716" s="85" t="s">
        <v>1482</v>
      </c>
      <c r="B716" s="78" t="s">
        <v>1508</v>
      </c>
      <c r="C716" s="74" t="s">
        <v>43</v>
      </c>
      <c r="D716" s="92"/>
      <c r="E716" s="73" t="s">
        <v>646</v>
      </c>
      <c r="F716" s="76">
        <v>27</v>
      </c>
      <c r="G716" s="79">
        <v>219137</v>
      </c>
      <c r="H716" s="63">
        <f t="shared" si="48"/>
        <v>5916699</v>
      </c>
      <c r="I716" s="63">
        <f t="shared" si="47"/>
        <v>0</v>
      </c>
      <c r="J716" s="60"/>
      <c r="K716" s="60"/>
      <c r="L716" s="64"/>
      <c r="M716" s="64"/>
      <c r="N716" s="64"/>
      <c r="O716" s="64"/>
      <c r="P716" s="64"/>
      <c r="Q716" s="64"/>
      <c r="R716" s="64"/>
      <c r="S716" s="64"/>
    </row>
    <row r="717" spans="1:19" ht="16.5" customHeight="1">
      <c r="A717" s="85" t="s">
        <v>1484</v>
      </c>
      <c r="B717" s="78" t="s">
        <v>1509</v>
      </c>
      <c r="C717" s="74" t="s">
        <v>43</v>
      </c>
      <c r="D717" s="92"/>
      <c r="E717" s="73" t="s">
        <v>646</v>
      </c>
      <c r="F717" s="76">
        <v>31.77</v>
      </c>
      <c r="G717" s="79">
        <v>219137</v>
      </c>
      <c r="H717" s="63">
        <f t="shared" si="48"/>
        <v>6961982.4900000002</v>
      </c>
      <c r="I717" s="63">
        <f t="shared" si="47"/>
        <v>0</v>
      </c>
      <c r="J717" s="60"/>
      <c r="K717" s="60"/>
      <c r="L717" s="64"/>
      <c r="M717" s="64"/>
      <c r="N717" s="64"/>
      <c r="O717" s="64"/>
      <c r="P717" s="64"/>
      <c r="Q717" s="64"/>
      <c r="R717" s="64"/>
      <c r="S717" s="64"/>
    </row>
    <row r="718" spans="1:19" ht="16.5" customHeight="1">
      <c r="A718" s="85" t="s">
        <v>1486</v>
      </c>
      <c r="B718" s="78" t="s">
        <v>1510</v>
      </c>
      <c r="C718" s="74" t="s">
        <v>43</v>
      </c>
      <c r="D718" s="92"/>
      <c r="E718" s="73" t="s">
        <v>646</v>
      </c>
      <c r="F718" s="76">
        <v>36.74</v>
      </c>
      <c r="G718" s="79">
        <v>219137</v>
      </c>
      <c r="H718" s="63">
        <f t="shared" si="48"/>
        <v>8051093.3800000008</v>
      </c>
      <c r="I718" s="63">
        <f t="shared" si="47"/>
        <v>0</v>
      </c>
      <c r="J718" s="60"/>
      <c r="K718" s="60"/>
      <c r="L718" s="64"/>
      <c r="M718" s="64"/>
      <c r="N718" s="64"/>
      <c r="O718" s="64"/>
      <c r="P718" s="64"/>
      <c r="Q718" s="64"/>
      <c r="R718" s="64"/>
      <c r="S718" s="64"/>
    </row>
    <row r="719" spans="1:19" ht="16.5" customHeight="1">
      <c r="A719" s="85" t="s">
        <v>1511</v>
      </c>
      <c r="B719" s="78" t="s">
        <v>1512</v>
      </c>
      <c r="C719" s="74" t="s">
        <v>43</v>
      </c>
      <c r="D719" s="92"/>
      <c r="E719" s="73" t="s">
        <v>646</v>
      </c>
      <c r="F719" s="76">
        <v>42.49</v>
      </c>
      <c r="G719" s="79">
        <v>219137</v>
      </c>
      <c r="H719" s="63">
        <f t="shared" si="48"/>
        <v>9311131.1300000008</v>
      </c>
      <c r="I719" s="63">
        <f t="shared" si="47"/>
        <v>0</v>
      </c>
      <c r="J719" s="60"/>
      <c r="K719" s="60"/>
      <c r="L719" s="64"/>
      <c r="M719" s="64"/>
      <c r="N719" s="64"/>
      <c r="O719" s="64"/>
      <c r="P719" s="64"/>
      <c r="Q719" s="64"/>
      <c r="R719" s="64"/>
      <c r="S719" s="64"/>
    </row>
    <row r="720" spans="1:19" ht="16.5" customHeight="1">
      <c r="A720" s="85" t="s">
        <v>1513</v>
      </c>
      <c r="B720" s="78" t="s">
        <v>1514</v>
      </c>
      <c r="C720" s="74" t="s">
        <v>43</v>
      </c>
      <c r="D720" s="92"/>
      <c r="E720" s="73" t="s">
        <v>646</v>
      </c>
      <c r="F720" s="76">
        <v>49.29</v>
      </c>
      <c r="G720" s="79">
        <v>219137</v>
      </c>
      <c r="H720" s="63">
        <f t="shared" si="48"/>
        <v>10801262.73</v>
      </c>
      <c r="I720" s="63">
        <f t="shared" si="47"/>
        <v>0</v>
      </c>
      <c r="J720" s="60"/>
      <c r="K720" s="60"/>
      <c r="L720" s="64"/>
      <c r="M720" s="64"/>
      <c r="N720" s="64"/>
      <c r="O720" s="64"/>
      <c r="P720" s="64"/>
      <c r="Q720" s="64"/>
      <c r="R720" s="64"/>
      <c r="S720" s="64"/>
    </row>
    <row r="721" spans="1:19" ht="16.5" customHeight="1">
      <c r="A721" s="85"/>
      <c r="B721" s="78"/>
      <c r="C721" s="74"/>
      <c r="D721" s="92"/>
      <c r="E721" s="73"/>
      <c r="F721" s="76"/>
      <c r="G721" s="79"/>
      <c r="H721" s="63">
        <f t="shared" si="48"/>
        <v>0</v>
      </c>
      <c r="I721" s="63">
        <f t="shared" si="47"/>
        <v>0</v>
      </c>
      <c r="J721" s="60"/>
      <c r="K721" s="60"/>
      <c r="L721" s="64"/>
      <c r="M721" s="64"/>
      <c r="N721" s="64"/>
      <c r="O721" s="64"/>
      <c r="P721" s="64"/>
      <c r="Q721" s="64"/>
      <c r="R721" s="64"/>
      <c r="S721" s="64"/>
    </row>
    <row r="722" spans="1:19" ht="16.5" customHeight="1">
      <c r="A722" s="85" t="s">
        <v>1515</v>
      </c>
      <c r="B722" s="78" t="s">
        <v>1516</v>
      </c>
      <c r="C722" s="74" t="s">
        <v>43</v>
      </c>
      <c r="D722" s="92"/>
      <c r="E722" s="73" t="s">
        <v>646</v>
      </c>
      <c r="F722" s="76">
        <v>16.38</v>
      </c>
      <c r="G722" s="79">
        <v>219137</v>
      </c>
      <c r="H722" s="63">
        <f t="shared" si="48"/>
        <v>3589464.0599999996</v>
      </c>
      <c r="I722" s="63">
        <f t="shared" si="47"/>
        <v>0</v>
      </c>
      <c r="J722" s="60"/>
      <c r="K722" s="60"/>
      <c r="L722" s="64"/>
      <c r="M722" s="64"/>
      <c r="N722" s="64"/>
      <c r="O722" s="64"/>
      <c r="P722" s="64"/>
      <c r="Q722" s="64"/>
      <c r="R722" s="64"/>
      <c r="S722" s="64"/>
    </row>
    <row r="723" spans="1:19" ht="16.5" customHeight="1">
      <c r="A723" s="85" t="s">
        <v>1517</v>
      </c>
      <c r="B723" s="78" t="s">
        <v>1518</v>
      </c>
      <c r="C723" s="74" t="s">
        <v>43</v>
      </c>
      <c r="D723" s="92"/>
      <c r="E723" s="73" t="s">
        <v>646</v>
      </c>
      <c r="F723" s="76">
        <v>22.4</v>
      </c>
      <c r="G723" s="79">
        <v>219137</v>
      </c>
      <c r="H723" s="63">
        <f t="shared" si="48"/>
        <v>4908668.8</v>
      </c>
      <c r="I723" s="63">
        <f t="shared" si="47"/>
        <v>0</v>
      </c>
      <c r="J723" s="60"/>
      <c r="K723" s="60"/>
      <c r="L723" s="64"/>
      <c r="M723" s="64"/>
      <c r="N723" s="64"/>
      <c r="O723" s="64"/>
      <c r="P723" s="64"/>
      <c r="Q723" s="64"/>
      <c r="R723" s="64"/>
      <c r="S723" s="64"/>
    </row>
    <row r="724" spans="1:19" ht="16.5" customHeight="1">
      <c r="A724" s="85" t="s">
        <v>1519</v>
      </c>
      <c r="B724" s="78" t="s">
        <v>1520</v>
      </c>
      <c r="C724" s="74" t="s">
        <v>43</v>
      </c>
      <c r="D724" s="92"/>
      <c r="E724" s="73" t="s">
        <v>646</v>
      </c>
      <c r="F724" s="76">
        <v>38.5</v>
      </c>
      <c r="G724" s="79">
        <v>219137</v>
      </c>
      <c r="H724" s="63">
        <f t="shared" si="48"/>
        <v>8436774.5</v>
      </c>
      <c r="I724" s="63">
        <f t="shared" si="47"/>
        <v>0</v>
      </c>
      <c r="J724" s="60"/>
      <c r="K724" s="60"/>
      <c r="L724" s="64"/>
      <c r="M724" s="64"/>
      <c r="N724" s="64"/>
      <c r="O724" s="64"/>
      <c r="P724" s="64"/>
      <c r="Q724" s="64"/>
      <c r="R724" s="64"/>
      <c r="S724" s="64"/>
    </row>
    <row r="725" spans="1:19" ht="15" customHeight="1">
      <c r="A725" s="85" t="s">
        <v>1521</v>
      </c>
      <c r="B725" s="78" t="s">
        <v>1522</v>
      </c>
      <c r="C725" s="74" t="s">
        <v>43</v>
      </c>
      <c r="D725" s="92"/>
      <c r="E725" s="73" t="s">
        <v>646</v>
      </c>
      <c r="F725" s="76">
        <v>49</v>
      </c>
      <c r="G725" s="79">
        <v>219137</v>
      </c>
      <c r="H725" s="63">
        <f t="shared" si="48"/>
        <v>10737713</v>
      </c>
      <c r="I725" s="63">
        <f t="shared" si="47"/>
        <v>0</v>
      </c>
      <c r="J725" s="60"/>
      <c r="K725" s="60"/>
      <c r="L725" s="64"/>
      <c r="M725" s="64"/>
      <c r="N725" s="64"/>
      <c r="O725" s="64"/>
      <c r="P725" s="64"/>
      <c r="Q725" s="64"/>
      <c r="R725" s="64"/>
      <c r="S725" s="64"/>
    </row>
    <row r="726" spans="1:19" ht="15" customHeight="1">
      <c r="A726" s="85"/>
      <c r="B726" s="78"/>
      <c r="C726" s="74"/>
      <c r="D726" s="92"/>
      <c r="E726" s="73"/>
      <c r="F726" s="76"/>
      <c r="G726" s="79"/>
      <c r="H726" s="63">
        <f t="shared" si="48"/>
        <v>0</v>
      </c>
      <c r="I726" s="63">
        <f t="shared" si="47"/>
        <v>0</v>
      </c>
      <c r="J726" s="60"/>
      <c r="K726" s="60"/>
      <c r="L726" s="64"/>
      <c r="M726" s="64"/>
      <c r="N726" s="64"/>
      <c r="O726" s="64"/>
      <c r="P726" s="64"/>
      <c r="Q726" s="64"/>
      <c r="R726" s="64"/>
      <c r="S726" s="64"/>
    </row>
    <row r="727" spans="1:19" ht="16.5" customHeight="1">
      <c r="A727" s="85" t="s">
        <v>1523</v>
      </c>
      <c r="B727" s="78" t="s">
        <v>1524</v>
      </c>
      <c r="C727" s="74" t="s">
        <v>43</v>
      </c>
      <c r="D727" s="92">
        <v>353</v>
      </c>
      <c r="E727" s="73" t="s">
        <v>646</v>
      </c>
      <c r="F727" s="76">
        <v>10</v>
      </c>
      <c r="G727" s="79">
        <v>219137</v>
      </c>
      <c r="H727" s="63">
        <f t="shared" si="48"/>
        <v>2191370</v>
      </c>
      <c r="I727" s="63">
        <f t="shared" si="47"/>
        <v>0</v>
      </c>
      <c r="J727" s="60"/>
      <c r="K727" s="60"/>
      <c r="L727" s="64"/>
      <c r="M727" s="64"/>
      <c r="N727" s="64"/>
      <c r="O727" s="64"/>
      <c r="P727" s="64"/>
      <c r="Q727" s="64"/>
      <c r="R727" s="64"/>
      <c r="S727" s="64"/>
    </row>
    <row r="728" spans="1:19" ht="16.5" customHeight="1">
      <c r="A728" s="85" t="s">
        <v>1525</v>
      </c>
      <c r="B728" s="78" t="s">
        <v>1526</v>
      </c>
      <c r="C728" s="74" t="s">
        <v>43</v>
      </c>
      <c r="D728" s="92">
        <v>479</v>
      </c>
      <c r="E728" s="73" t="s">
        <v>646</v>
      </c>
      <c r="F728" s="76">
        <v>10.5</v>
      </c>
      <c r="G728" s="79">
        <v>219137</v>
      </c>
      <c r="H728" s="63">
        <f t="shared" si="48"/>
        <v>2300938.5</v>
      </c>
      <c r="I728" s="63">
        <f t="shared" si="47"/>
        <v>0</v>
      </c>
      <c r="J728" s="60"/>
      <c r="K728" s="60"/>
      <c r="L728" s="64"/>
      <c r="M728" s="64"/>
      <c r="N728" s="64"/>
      <c r="O728" s="64"/>
      <c r="P728" s="64"/>
      <c r="Q728" s="64"/>
      <c r="R728" s="64"/>
      <c r="S728" s="64"/>
    </row>
    <row r="729" spans="1:19" ht="16.5" customHeight="1">
      <c r="A729" s="85" t="s">
        <v>1527</v>
      </c>
      <c r="B729" s="78" t="s">
        <v>1528</v>
      </c>
      <c r="C729" s="74" t="s">
        <v>43</v>
      </c>
      <c r="D729" s="92">
        <v>588</v>
      </c>
      <c r="E729" s="73" t="s">
        <v>646</v>
      </c>
      <c r="F729" s="76">
        <v>10.7</v>
      </c>
      <c r="G729" s="79">
        <v>219137</v>
      </c>
      <c r="H729" s="63">
        <f t="shared" si="48"/>
        <v>2344765.9</v>
      </c>
      <c r="I729" s="63">
        <f t="shared" si="47"/>
        <v>0</v>
      </c>
      <c r="J729" s="60"/>
      <c r="K729" s="60"/>
      <c r="L729" s="64"/>
      <c r="M729" s="64"/>
      <c r="N729" s="64"/>
      <c r="O729" s="64"/>
      <c r="P729" s="64"/>
      <c r="Q729" s="64"/>
      <c r="R729" s="64"/>
      <c r="S729" s="64"/>
    </row>
    <row r="730" spans="1:19" ht="16.5" customHeight="1">
      <c r="A730" s="85" t="s">
        <v>1529</v>
      </c>
      <c r="B730" s="78" t="s">
        <v>1530</v>
      </c>
      <c r="C730" s="74" t="s">
        <v>43</v>
      </c>
      <c r="D730" s="92">
        <v>905</v>
      </c>
      <c r="E730" s="73" t="s">
        <v>646</v>
      </c>
      <c r="F730" s="76">
        <v>11</v>
      </c>
      <c r="G730" s="79">
        <v>219137</v>
      </c>
      <c r="H730" s="63">
        <f t="shared" si="48"/>
        <v>2410507</v>
      </c>
      <c r="I730" s="63">
        <f t="shared" si="47"/>
        <v>0</v>
      </c>
      <c r="J730" s="60"/>
      <c r="K730" s="60"/>
      <c r="L730" s="64"/>
      <c r="M730" s="64"/>
      <c r="N730" s="64"/>
      <c r="O730" s="64"/>
      <c r="P730" s="64"/>
      <c r="Q730" s="64"/>
      <c r="R730" s="64"/>
      <c r="S730" s="64"/>
    </row>
    <row r="731" spans="1:19" ht="16.5" customHeight="1">
      <c r="A731" s="85" t="s">
        <v>1531</v>
      </c>
      <c r="B731" s="78" t="s">
        <v>1532</v>
      </c>
      <c r="C731" s="74" t="s">
        <v>43</v>
      </c>
      <c r="D731" s="92">
        <v>1036</v>
      </c>
      <c r="E731" s="73" t="s">
        <v>646</v>
      </c>
      <c r="F731" s="76">
        <v>13.8</v>
      </c>
      <c r="G731" s="79">
        <v>219137</v>
      </c>
      <c r="H731" s="63">
        <f t="shared" si="48"/>
        <v>3024090.6</v>
      </c>
      <c r="I731" s="63">
        <f t="shared" si="47"/>
        <v>0</v>
      </c>
      <c r="J731" s="60"/>
      <c r="K731" s="60"/>
      <c r="L731" s="64"/>
      <c r="M731" s="64"/>
      <c r="N731" s="64"/>
      <c r="O731" s="64"/>
      <c r="P731" s="64"/>
      <c r="Q731" s="64"/>
      <c r="R731" s="64"/>
      <c r="S731" s="64"/>
    </row>
    <row r="732" spans="1:19" ht="16.5" customHeight="1">
      <c r="A732" s="85" t="s">
        <v>1533</v>
      </c>
      <c r="B732" s="78" t="s">
        <v>1534</v>
      </c>
      <c r="C732" s="74" t="s">
        <v>43</v>
      </c>
      <c r="D732" s="92">
        <v>1273</v>
      </c>
      <c r="E732" s="73" t="s">
        <v>646</v>
      </c>
      <c r="F732" s="76">
        <v>14</v>
      </c>
      <c r="G732" s="79">
        <v>219137</v>
      </c>
      <c r="H732" s="63">
        <f t="shared" si="48"/>
        <v>3067918</v>
      </c>
      <c r="I732" s="63">
        <f t="shared" si="47"/>
        <v>0</v>
      </c>
      <c r="J732" s="60"/>
      <c r="K732" s="60"/>
      <c r="L732" s="64"/>
      <c r="M732" s="64"/>
      <c r="N732" s="64"/>
      <c r="O732" s="64"/>
      <c r="P732" s="64"/>
      <c r="Q732" s="64"/>
      <c r="R732" s="64"/>
      <c r="S732" s="64"/>
    </row>
    <row r="733" spans="1:19" ht="16.5" customHeight="1">
      <c r="A733" s="85" t="s">
        <v>1535</v>
      </c>
      <c r="B733" s="78" t="s">
        <v>1536</v>
      </c>
      <c r="C733" s="74" t="s">
        <v>43</v>
      </c>
      <c r="D733" s="92">
        <v>1641</v>
      </c>
      <c r="E733" s="73" t="s">
        <v>646</v>
      </c>
      <c r="F733" s="76">
        <v>15.01</v>
      </c>
      <c r="G733" s="79">
        <v>219137</v>
      </c>
      <c r="H733" s="63">
        <f t="shared" si="48"/>
        <v>3289246.37</v>
      </c>
      <c r="I733" s="63">
        <f t="shared" si="47"/>
        <v>0</v>
      </c>
      <c r="J733" s="60"/>
      <c r="K733" s="60"/>
      <c r="L733" s="64"/>
      <c r="M733" s="64"/>
      <c r="N733" s="64"/>
      <c r="O733" s="64"/>
      <c r="P733" s="64"/>
      <c r="Q733" s="64"/>
      <c r="R733" s="64"/>
      <c r="S733" s="64"/>
    </row>
    <row r="734" spans="1:19" ht="16.5" customHeight="1">
      <c r="A734" s="85" t="s">
        <v>1537</v>
      </c>
      <c r="B734" s="78" t="s">
        <v>1538</v>
      </c>
      <c r="C734" s="74" t="s">
        <v>43</v>
      </c>
      <c r="D734" s="92">
        <v>2040</v>
      </c>
      <c r="E734" s="73" t="s">
        <v>646</v>
      </c>
      <c r="F734" s="76">
        <v>17.02</v>
      </c>
      <c r="G734" s="79">
        <v>219137</v>
      </c>
      <c r="H734" s="63">
        <f t="shared" si="48"/>
        <v>3729711.7399999998</v>
      </c>
      <c r="I734" s="63">
        <f t="shared" si="47"/>
        <v>0</v>
      </c>
      <c r="J734" s="60"/>
      <c r="K734" s="60"/>
      <c r="L734" s="64"/>
      <c r="M734" s="64"/>
      <c r="N734" s="64"/>
      <c r="O734" s="64"/>
      <c r="P734" s="64"/>
      <c r="Q734" s="64"/>
      <c r="R734" s="64"/>
      <c r="S734" s="64"/>
    </row>
    <row r="735" spans="1:19" ht="16.5" customHeight="1">
      <c r="A735" s="85" t="s">
        <v>1539</v>
      </c>
      <c r="B735" s="78" t="s">
        <v>1540</v>
      </c>
      <c r="C735" s="74" t="s">
        <v>43</v>
      </c>
      <c r="D735" s="92">
        <v>2422</v>
      </c>
      <c r="E735" s="73" t="s">
        <v>646</v>
      </c>
      <c r="F735" s="76">
        <v>19.940000000000001</v>
      </c>
      <c r="G735" s="79">
        <v>219137</v>
      </c>
      <c r="H735" s="63">
        <f t="shared" si="48"/>
        <v>4369591.78</v>
      </c>
      <c r="I735" s="63">
        <f t="shared" si="47"/>
        <v>0</v>
      </c>
      <c r="J735" s="60"/>
      <c r="K735" s="60"/>
      <c r="L735" s="64"/>
      <c r="M735" s="64"/>
      <c r="N735" s="64"/>
      <c r="O735" s="64"/>
      <c r="P735" s="64"/>
      <c r="Q735" s="64"/>
      <c r="R735" s="64"/>
      <c r="S735" s="64"/>
    </row>
    <row r="736" spans="1:19" ht="16.5" customHeight="1">
      <c r="A736" s="85" t="s">
        <v>1541</v>
      </c>
      <c r="B736" s="78" t="s">
        <v>1542</v>
      </c>
      <c r="C736" s="74" t="s">
        <v>43</v>
      </c>
      <c r="D736" s="92">
        <v>2807</v>
      </c>
      <c r="E736" s="73" t="s">
        <v>646</v>
      </c>
      <c r="F736" s="76">
        <v>21.28</v>
      </c>
      <c r="G736" s="79">
        <v>219137</v>
      </c>
      <c r="H736" s="63">
        <f t="shared" si="48"/>
        <v>4663235.3600000003</v>
      </c>
      <c r="I736" s="63">
        <f t="shared" si="47"/>
        <v>0</v>
      </c>
      <c r="J736" s="60"/>
      <c r="K736" s="60"/>
      <c r="L736" s="64"/>
      <c r="M736" s="64"/>
      <c r="N736" s="64"/>
      <c r="O736" s="64"/>
      <c r="P736" s="64"/>
      <c r="Q736" s="64"/>
      <c r="R736" s="64"/>
      <c r="S736" s="64"/>
    </row>
    <row r="737" spans="1:19" ht="16.5" customHeight="1">
      <c r="A737" s="85" t="s">
        <v>1543</v>
      </c>
      <c r="B737" s="78" t="s">
        <v>1544</v>
      </c>
      <c r="C737" s="74" t="s">
        <v>43</v>
      </c>
      <c r="D737" s="92">
        <v>958</v>
      </c>
      <c r="E737" s="73" t="s">
        <v>646</v>
      </c>
      <c r="F737" s="76">
        <v>23.41</v>
      </c>
      <c r="G737" s="79">
        <v>219137</v>
      </c>
      <c r="H737" s="63">
        <f t="shared" si="48"/>
        <v>5129997.17</v>
      </c>
      <c r="I737" s="63">
        <f t="shared" si="47"/>
        <v>0</v>
      </c>
      <c r="J737" s="60"/>
      <c r="K737" s="60"/>
      <c r="L737" s="64"/>
      <c r="M737" s="64"/>
      <c r="N737" s="64"/>
      <c r="O737" s="64"/>
      <c r="P737" s="64"/>
      <c r="Q737" s="64"/>
      <c r="R737" s="64"/>
      <c r="S737" s="64"/>
    </row>
    <row r="738" spans="1:19" ht="16.5" customHeight="1">
      <c r="A738" s="85" t="s">
        <v>1545</v>
      </c>
      <c r="B738" s="78" t="s">
        <v>1546</v>
      </c>
      <c r="C738" s="74" t="s">
        <v>43</v>
      </c>
      <c r="D738" s="92">
        <v>1307</v>
      </c>
      <c r="E738" s="73" t="s">
        <v>646</v>
      </c>
      <c r="F738" s="76">
        <v>28.73</v>
      </c>
      <c r="G738" s="79">
        <v>219137</v>
      </c>
      <c r="H738" s="63">
        <f t="shared" si="48"/>
        <v>6295806.0099999998</v>
      </c>
      <c r="I738" s="63">
        <f t="shared" si="47"/>
        <v>0</v>
      </c>
      <c r="J738" s="60"/>
      <c r="K738" s="60"/>
      <c r="L738" s="64"/>
      <c r="M738" s="64"/>
      <c r="N738" s="64"/>
      <c r="O738" s="64"/>
      <c r="P738" s="64"/>
      <c r="Q738" s="64"/>
      <c r="R738" s="64"/>
      <c r="S738" s="64"/>
    </row>
    <row r="739" spans="1:19" ht="16.5" customHeight="1">
      <c r="A739" s="85" t="s">
        <v>1547</v>
      </c>
      <c r="B739" s="78" t="s">
        <v>1548</v>
      </c>
      <c r="C739" s="74" t="s">
        <v>43</v>
      </c>
      <c r="D739" s="92">
        <v>1742</v>
      </c>
      <c r="E739" s="73" t="s">
        <v>646</v>
      </c>
      <c r="F739" s="76">
        <v>38.31</v>
      </c>
      <c r="G739" s="79">
        <v>219137</v>
      </c>
      <c r="H739" s="63">
        <f t="shared" si="48"/>
        <v>8395138.4700000007</v>
      </c>
      <c r="I739" s="63">
        <f t="shared" ref="I739:I802" si="49">+K739*$I$4</f>
        <v>0</v>
      </c>
      <c r="J739" s="60"/>
      <c r="K739" s="60"/>
      <c r="L739" s="64"/>
      <c r="M739" s="64"/>
      <c r="N739" s="64"/>
      <c r="O739" s="64"/>
      <c r="P739" s="64"/>
      <c r="Q739" s="64"/>
      <c r="R739" s="64"/>
      <c r="S739" s="64"/>
    </row>
    <row r="740" spans="1:19" ht="16.5" customHeight="1">
      <c r="A740" s="85" t="s">
        <v>1549</v>
      </c>
      <c r="B740" s="78" t="s">
        <v>1550</v>
      </c>
      <c r="C740" s="74" t="s">
        <v>43</v>
      </c>
      <c r="D740" s="92">
        <v>2178</v>
      </c>
      <c r="E740" s="73" t="s">
        <v>646</v>
      </c>
      <c r="F740" s="76">
        <v>47.89</v>
      </c>
      <c r="G740" s="79">
        <v>219137</v>
      </c>
      <c r="H740" s="63">
        <f t="shared" si="48"/>
        <v>10494470.93</v>
      </c>
      <c r="I740" s="63">
        <f t="shared" si="49"/>
        <v>0</v>
      </c>
      <c r="J740" s="60"/>
      <c r="K740" s="60"/>
      <c r="L740" s="64"/>
      <c r="M740" s="64"/>
      <c r="N740" s="64"/>
      <c r="O740" s="64"/>
      <c r="P740" s="64"/>
      <c r="Q740" s="64"/>
      <c r="R740" s="64"/>
      <c r="S740" s="64"/>
    </row>
    <row r="741" spans="1:19" ht="16.5" customHeight="1">
      <c r="A741" s="85"/>
      <c r="B741" s="78"/>
      <c r="C741" s="74"/>
      <c r="D741" s="92"/>
      <c r="E741" s="73"/>
      <c r="F741" s="76"/>
      <c r="G741" s="79"/>
      <c r="H741" s="63">
        <f t="shared" ref="H741:H804" si="50">+G741*F741</f>
        <v>0</v>
      </c>
      <c r="I741" s="63">
        <f t="shared" si="49"/>
        <v>0</v>
      </c>
      <c r="J741" s="60"/>
      <c r="K741" s="60"/>
      <c r="L741" s="64"/>
      <c r="M741" s="64"/>
      <c r="N741" s="64"/>
      <c r="O741" s="64"/>
      <c r="P741" s="64"/>
      <c r="Q741" s="64"/>
      <c r="R741" s="64"/>
      <c r="S741" s="64"/>
    </row>
    <row r="742" spans="1:19" ht="16.5" customHeight="1">
      <c r="A742" s="85" t="s">
        <v>1551</v>
      </c>
      <c r="B742" s="78" t="s">
        <v>1552</v>
      </c>
      <c r="C742" s="74" t="s">
        <v>43</v>
      </c>
      <c r="D742" s="92">
        <v>6970</v>
      </c>
      <c r="E742" s="73" t="s">
        <v>807</v>
      </c>
      <c r="F742" s="76">
        <v>1.78</v>
      </c>
      <c r="G742" s="79">
        <v>236500</v>
      </c>
      <c r="H742" s="63">
        <f t="shared" si="50"/>
        <v>420970</v>
      </c>
      <c r="I742" s="63">
        <f t="shared" si="49"/>
        <v>0</v>
      </c>
      <c r="J742" s="60"/>
      <c r="K742" s="60"/>
      <c r="L742" s="64"/>
      <c r="M742" s="64"/>
      <c r="N742" s="64"/>
      <c r="O742" s="64"/>
      <c r="P742" s="64"/>
      <c r="Q742" s="64"/>
      <c r="R742" s="64"/>
      <c r="S742" s="64"/>
    </row>
    <row r="743" spans="1:19" ht="16.5" customHeight="1">
      <c r="A743" s="85" t="s">
        <v>1553</v>
      </c>
      <c r="B743" s="78" t="s">
        <v>1554</v>
      </c>
      <c r="C743" s="74" t="s">
        <v>43</v>
      </c>
      <c r="D743" s="92">
        <v>6970</v>
      </c>
      <c r="E743" s="73" t="s">
        <v>807</v>
      </c>
      <c r="F743" s="76">
        <v>2.0699999999999998</v>
      </c>
      <c r="G743" s="79">
        <v>236500</v>
      </c>
      <c r="H743" s="63">
        <f t="shared" si="50"/>
        <v>489554.99999999994</v>
      </c>
      <c r="I743" s="63">
        <f t="shared" si="49"/>
        <v>0</v>
      </c>
      <c r="J743" s="60"/>
      <c r="K743" s="60"/>
      <c r="L743" s="64"/>
      <c r="M743" s="64"/>
      <c r="N743" s="64"/>
      <c r="O743" s="64"/>
      <c r="P743" s="64"/>
      <c r="Q743" s="64"/>
      <c r="R743" s="64"/>
      <c r="S743" s="64"/>
    </row>
    <row r="744" spans="1:19" ht="16.5" customHeight="1">
      <c r="A744" s="85" t="s">
        <v>1555</v>
      </c>
      <c r="B744" s="78" t="s">
        <v>1556</v>
      </c>
      <c r="C744" s="74" t="s">
        <v>43</v>
      </c>
      <c r="D744" s="92">
        <v>6970</v>
      </c>
      <c r="E744" s="73" t="s">
        <v>807</v>
      </c>
      <c r="F744" s="76">
        <v>2.75</v>
      </c>
      <c r="G744" s="79">
        <v>236500</v>
      </c>
      <c r="H744" s="63">
        <f t="shared" si="50"/>
        <v>650375</v>
      </c>
      <c r="I744" s="63">
        <f t="shared" si="49"/>
        <v>0</v>
      </c>
      <c r="J744" s="60"/>
      <c r="K744" s="60"/>
      <c r="L744" s="64"/>
      <c r="M744" s="64"/>
      <c r="N744" s="64"/>
      <c r="O744" s="64"/>
      <c r="P744" s="64"/>
      <c r="Q744" s="64"/>
      <c r="R744" s="64"/>
      <c r="S744" s="64"/>
    </row>
    <row r="745" spans="1:19" ht="16.5" customHeight="1">
      <c r="A745" s="85" t="s">
        <v>1557</v>
      </c>
      <c r="B745" s="78" t="s">
        <v>1558</v>
      </c>
      <c r="C745" s="74" t="s">
        <v>43</v>
      </c>
      <c r="D745" s="92">
        <v>8680</v>
      </c>
      <c r="E745" s="73" t="s">
        <v>807</v>
      </c>
      <c r="F745" s="76">
        <v>3.58</v>
      </c>
      <c r="G745" s="79">
        <v>236500</v>
      </c>
      <c r="H745" s="63">
        <f t="shared" si="50"/>
        <v>846670</v>
      </c>
      <c r="I745" s="63">
        <f t="shared" si="49"/>
        <v>0</v>
      </c>
      <c r="J745" s="60"/>
      <c r="K745" s="60"/>
      <c r="L745" s="64"/>
      <c r="M745" s="64"/>
      <c r="N745" s="64"/>
      <c r="O745" s="64"/>
      <c r="P745" s="64"/>
      <c r="Q745" s="64"/>
      <c r="R745" s="64"/>
      <c r="S745" s="64"/>
    </row>
    <row r="746" spans="1:19" ht="16.5" customHeight="1">
      <c r="A746" s="85" t="s">
        <v>1559</v>
      </c>
      <c r="B746" s="78" t="s">
        <v>1560</v>
      </c>
      <c r="C746" s="74" t="s">
        <v>43</v>
      </c>
      <c r="D746" s="92">
        <v>8680</v>
      </c>
      <c r="E746" s="73" t="s">
        <v>807</v>
      </c>
      <c r="F746" s="76">
        <v>4.54</v>
      </c>
      <c r="G746" s="79">
        <v>236500</v>
      </c>
      <c r="H746" s="63">
        <f t="shared" si="50"/>
        <v>1073710</v>
      </c>
      <c r="I746" s="63">
        <f t="shared" si="49"/>
        <v>0</v>
      </c>
      <c r="J746" s="60"/>
      <c r="K746" s="60"/>
      <c r="L746" s="64"/>
      <c r="M746" s="64"/>
      <c r="N746" s="64"/>
      <c r="O746" s="64"/>
      <c r="P746" s="64"/>
      <c r="Q746" s="64"/>
      <c r="R746" s="64"/>
      <c r="S746" s="64"/>
    </row>
    <row r="747" spans="1:19" ht="16.5" customHeight="1">
      <c r="A747" s="85" t="s">
        <v>1561</v>
      </c>
      <c r="B747" s="78" t="s">
        <v>1562</v>
      </c>
      <c r="C747" s="74" t="s">
        <v>43</v>
      </c>
      <c r="D747" s="92">
        <v>10390</v>
      </c>
      <c r="E747" s="73" t="s">
        <v>807</v>
      </c>
      <c r="F747" s="76">
        <v>5.78</v>
      </c>
      <c r="G747" s="79">
        <v>236500</v>
      </c>
      <c r="H747" s="63">
        <f t="shared" si="50"/>
        <v>1366970</v>
      </c>
      <c r="I747" s="63">
        <f t="shared" si="49"/>
        <v>0</v>
      </c>
      <c r="J747" s="60"/>
      <c r="K747" s="60"/>
      <c r="L747" s="64"/>
      <c r="M747" s="64"/>
      <c r="N747" s="64"/>
      <c r="O747" s="64"/>
      <c r="P747" s="64"/>
      <c r="Q747" s="64"/>
      <c r="R747" s="64"/>
      <c r="S747" s="64"/>
    </row>
    <row r="748" spans="1:19" ht="16.5" customHeight="1">
      <c r="A748" s="85" t="s">
        <v>1563</v>
      </c>
      <c r="B748" s="78" t="s">
        <v>1564</v>
      </c>
      <c r="C748" s="74" t="s">
        <v>43</v>
      </c>
      <c r="D748" s="92">
        <v>10390</v>
      </c>
      <c r="E748" s="73" t="s">
        <v>807</v>
      </c>
      <c r="F748" s="76">
        <v>7.26</v>
      </c>
      <c r="G748" s="79">
        <v>236500</v>
      </c>
      <c r="H748" s="63">
        <f t="shared" si="50"/>
        <v>1716990</v>
      </c>
      <c r="I748" s="63">
        <f t="shared" si="49"/>
        <v>0</v>
      </c>
      <c r="J748" s="60"/>
      <c r="K748" s="60"/>
      <c r="L748" s="64"/>
      <c r="M748" s="64"/>
      <c r="N748" s="64"/>
      <c r="O748" s="64"/>
      <c r="P748" s="64"/>
      <c r="Q748" s="64"/>
      <c r="R748" s="64"/>
      <c r="S748" s="64"/>
    </row>
    <row r="749" spans="1:19" ht="16.5" customHeight="1">
      <c r="A749" s="85" t="s">
        <v>1565</v>
      </c>
      <c r="B749" s="78" t="s">
        <v>1566</v>
      </c>
      <c r="C749" s="74" t="s">
        <v>43</v>
      </c>
      <c r="D749" s="92">
        <v>11300</v>
      </c>
      <c r="E749" s="73" t="s">
        <v>807</v>
      </c>
      <c r="F749" s="76">
        <v>9.5399999999999991</v>
      </c>
      <c r="G749" s="79">
        <v>236500</v>
      </c>
      <c r="H749" s="63">
        <f t="shared" si="50"/>
        <v>2256210</v>
      </c>
      <c r="I749" s="63">
        <f t="shared" si="49"/>
        <v>0</v>
      </c>
      <c r="J749" s="60"/>
      <c r="K749" s="60"/>
      <c r="L749" s="64"/>
      <c r="M749" s="64"/>
      <c r="N749" s="64"/>
      <c r="O749" s="64"/>
      <c r="P749" s="64"/>
      <c r="Q749" s="64"/>
      <c r="R749" s="64"/>
      <c r="S749" s="64"/>
    </row>
    <row r="750" spans="1:19" ht="16.5" customHeight="1">
      <c r="A750" s="85" t="s">
        <v>1567</v>
      </c>
      <c r="B750" s="78" t="s">
        <v>1568</v>
      </c>
      <c r="C750" s="74" t="s">
        <v>43</v>
      </c>
      <c r="D750" s="92">
        <v>11300</v>
      </c>
      <c r="E750" s="73" t="s">
        <v>807</v>
      </c>
      <c r="F750" s="76">
        <v>11.9</v>
      </c>
      <c r="G750" s="79">
        <v>236500</v>
      </c>
      <c r="H750" s="63">
        <f t="shared" si="50"/>
        <v>2814350</v>
      </c>
      <c r="I750" s="63">
        <f t="shared" si="49"/>
        <v>0</v>
      </c>
      <c r="J750" s="60"/>
      <c r="K750" s="60"/>
      <c r="L750" s="64"/>
      <c r="M750" s="64"/>
      <c r="N750" s="64"/>
      <c r="O750" s="64"/>
      <c r="P750" s="64"/>
      <c r="Q750" s="64"/>
      <c r="R750" s="64"/>
      <c r="S750" s="64"/>
    </row>
    <row r="751" spans="1:19" ht="16.5" customHeight="1">
      <c r="A751" s="85" t="s">
        <v>1569</v>
      </c>
      <c r="B751" s="78" t="s">
        <v>1570</v>
      </c>
      <c r="C751" s="74" t="s">
        <v>43</v>
      </c>
      <c r="D751" s="92">
        <v>13120</v>
      </c>
      <c r="E751" s="73" t="s">
        <v>807</v>
      </c>
      <c r="F751" s="76">
        <v>13.34</v>
      </c>
      <c r="G751" s="79">
        <v>236500</v>
      </c>
      <c r="H751" s="63">
        <f t="shared" si="50"/>
        <v>3154910</v>
      </c>
      <c r="I751" s="63">
        <f t="shared" si="49"/>
        <v>0</v>
      </c>
      <c r="J751" s="60"/>
      <c r="K751" s="60"/>
      <c r="L751" s="64"/>
      <c r="M751" s="64"/>
      <c r="N751" s="64"/>
      <c r="O751" s="64"/>
      <c r="P751" s="64"/>
      <c r="Q751" s="64"/>
      <c r="R751" s="64"/>
      <c r="S751" s="64"/>
    </row>
    <row r="752" spans="1:19" ht="16.5" customHeight="1">
      <c r="A752" s="85" t="s">
        <v>1571</v>
      </c>
      <c r="B752" s="78" t="s">
        <v>1572</v>
      </c>
      <c r="C752" s="74" t="s">
        <v>43</v>
      </c>
      <c r="D752" s="92">
        <v>13920</v>
      </c>
      <c r="E752" s="73" t="s">
        <v>807</v>
      </c>
      <c r="F752" s="76">
        <v>17.329999999999998</v>
      </c>
      <c r="G752" s="79">
        <v>236500</v>
      </c>
      <c r="H752" s="63">
        <f t="shared" si="50"/>
        <v>4098544.9999999995</v>
      </c>
      <c r="I752" s="63">
        <f t="shared" si="49"/>
        <v>0</v>
      </c>
      <c r="J752" s="60"/>
      <c r="K752" s="60"/>
      <c r="L752" s="64"/>
      <c r="M752" s="64"/>
      <c r="N752" s="64"/>
      <c r="O752" s="64"/>
      <c r="P752" s="64"/>
      <c r="Q752" s="64"/>
      <c r="R752" s="64"/>
      <c r="S752" s="64"/>
    </row>
    <row r="753" spans="1:19" ht="16.5" customHeight="1">
      <c r="A753" s="85" t="s">
        <v>1573</v>
      </c>
      <c r="B753" s="78" t="s">
        <v>1574</v>
      </c>
      <c r="C753" s="74" t="s">
        <v>43</v>
      </c>
      <c r="D753" s="92">
        <v>13920</v>
      </c>
      <c r="E753" s="73" t="s">
        <v>807</v>
      </c>
      <c r="F753" s="76">
        <v>23.1</v>
      </c>
      <c r="G753" s="79">
        <v>236500</v>
      </c>
      <c r="H753" s="63">
        <f t="shared" si="50"/>
        <v>5463150</v>
      </c>
      <c r="I753" s="63">
        <f t="shared" si="49"/>
        <v>0</v>
      </c>
      <c r="J753" s="60"/>
      <c r="K753" s="60"/>
      <c r="L753" s="64"/>
      <c r="M753" s="64"/>
      <c r="N753" s="64"/>
      <c r="O753" s="64"/>
      <c r="P753" s="64"/>
      <c r="Q753" s="64"/>
      <c r="R753" s="64"/>
      <c r="S753" s="64"/>
    </row>
    <row r="754" spans="1:19" ht="16.5" customHeight="1">
      <c r="A754" s="85" t="s">
        <v>1575</v>
      </c>
      <c r="B754" s="78" t="s">
        <v>1576</v>
      </c>
      <c r="C754" s="74" t="s">
        <v>43</v>
      </c>
      <c r="D754" s="92">
        <v>15740</v>
      </c>
      <c r="E754" s="73" t="s">
        <v>807</v>
      </c>
      <c r="F754" s="76">
        <v>30.8</v>
      </c>
      <c r="G754" s="79">
        <v>236500</v>
      </c>
      <c r="H754" s="63">
        <f t="shared" si="50"/>
        <v>7284200</v>
      </c>
      <c r="I754" s="63">
        <f t="shared" si="49"/>
        <v>0</v>
      </c>
      <c r="J754" s="60"/>
      <c r="K754" s="60"/>
      <c r="L754" s="64"/>
      <c r="M754" s="64"/>
      <c r="N754" s="64"/>
      <c r="O754" s="64"/>
      <c r="P754" s="64"/>
      <c r="Q754" s="64"/>
      <c r="R754" s="64"/>
      <c r="S754" s="64"/>
    </row>
    <row r="755" spans="1:19" ht="16.5" customHeight="1">
      <c r="A755" s="85" t="s">
        <v>1577</v>
      </c>
      <c r="B755" s="78" t="s">
        <v>1578</v>
      </c>
      <c r="C755" s="74" t="s">
        <v>43</v>
      </c>
      <c r="D755" s="92">
        <v>17200</v>
      </c>
      <c r="E755" s="73" t="s">
        <v>807</v>
      </c>
      <c r="F755" s="76">
        <v>40.03</v>
      </c>
      <c r="G755" s="79">
        <v>236500</v>
      </c>
      <c r="H755" s="63">
        <f t="shared" si="50"/>
        <v>9467095</v>
      </c>
      <c r="I755" s="63">
        <f t="shared" si="49"/>
        <v>0</v>
      </c>
      <c r="J755" s="60"/>
      <c r="K755" s="60"/>
      <c r="L755" s="64"/>
      <c r="M755" s="64"/>
      <c r="N755" s="64"/>
      <c r="O755" s="64"/>
      <c r="P755" s="64"/>
      <c r="Q755" s="64"/>
      <c r="R755" s="64"/>
      <c r="S755" s="64"/>
    </row>
    <row r="756" spans="1:19" ht="16.5" customHeight="1">
      <c r="A756" s="85" t="s">
        <v>1579</v>
      </c>
      <c r="B756" s="78" t="s">
        <v>1580</v>
      </c>
      <c r="C756" s="74" t="s">
        <v>43</v>
      </c>
      <c r="D756" s="92">
        <v>17560</v>
      </c>
      <c r="E756" s="73" t="s">
        <v>807</v>
      </c>
      <c r="F756" s="76">
        <v>52.03</v>
      </c>
      <c r="G756" s="79">
        <v>236500</v>
      </c>
      <c r="H756" s="63">
        <f t="shared" si="50"/>
        <v>12305095</v>
      </c>
      <c r="I756" s="63">
        <f t="shared" si="49"/>
        <v>0</v>
      </c>
      <c r="J756" s="60"/>
      <c r="K756" s="60"/>
      <c r="L756" s="64"/>
      <c r="M756" s="64"/>
      <c r="N756" s="64"/>
      <c r="O756" s="64"/>
      <c r="P756" s="64"/>
      <c r="Q756" s="64"/>
      <c r="R756" s="64"/>
      <c r="S756" s="64"/>
    </row>
    <row r="757" spans="1:19" ht="16.5" customHeight="1">
      <c r="A757" s="85"/>
      <c r="B757" s="78"/>
      <c r="C757" s="74"/>
      <c r="D757" s="92"/>
      <c r="E757" s="73"/>
      <c r="F757" s="76"/>
      <c r="G757" s="79"/>
      <c r="H757" s="63">
        <f t="shared" si="50"/>
        <v>0</v>
      </c>
      <c r="I757" s="63">
        <f t="shared" si="49"/>
        <v>0</v>
      </c>
      <c r="J757" s="60"/>
      <c r="K757" s="60"/>
      <c r="L757" s="64"/>
      <c r="M757" s="64"/>
      <c r="N757" s="64"/>
      <c r="O757" s="64"/>
      <c r="P757" s="64"/>
      <c r="Q757" s="64"/>
      <c r="R757" s="64"/>
      <c r="S757" s="64"/>
    </row>
    <row r="758" spans="1:19" ht="16.5" customHeight="1">
      <c r="A758" s="85" t="s">
        <v>1581</v>
      </c>
      <c r="B758" s="78" t="s">
        <v>1582</v>
      </c>
      <c r="C758" s="74" t="s">
        <v>43</v>
      </c>
      <c r="D758" s="92">
        <v>126970</v>
      </c>
      <c r="E758" s="73" t="s">
        <v>807</v>
      </c>
      <c r="F758" s="76">
        <v>2.48</v>
      </c>
      <c r="G758" s="79">
        <v>236500</v>
      </c>
      <c r="H758" s="63">
        <f t="shared" si="50"/>
        <v>586520</v>
      </c>
      <c r="I758" s="63">
        <f t="shared" si="49"/>
        <v>0</v>
      </c>
      <c r="J758" s="60"/>
      <c r="K758" s="60"/>
      <c r="L758" s="64"/>
      <c r="M758" s="64"/>
      <c r="N758" s="64"/>
      <c r="O758" s="64"/>
      <c r="P758" s="64"/>
      <c r="Q758" s="64"/>
      <c r="R758" s="64"/>
      <c r="S758" s="64"/>
    </row>
    <row r="759" spans="1:19" ht="16.5" customHeight="1">
      <c r="A759" s="85" t="s">
        <v>1583</v>
      </c>
      <c r="B759" s="78" t="s">
        <v>1584</v>
      </c>
      <c r="C759" s="74" t="s">
        <v>43</v>
      </c>
      <c r="D759" s="92">
        <v>126970</v>
      </c>
      <c r="E759" s="73" t="s">
        <v>807</v>
      </c>
      <c r="F759" s="76">
        <v>2.75</v>
      </c>
      <c r="G759" s="79">
        <v>236500</v>
      </c>
      <c r="H759" s="63">
        <f t="shared" si="50"/>
        <v>650375</v>
      </c>
      <c r="I759" s="63">
        <f t="shared" si="49"/>
        <v>0</v>
      </c>
      <c r="J759" s="60">
        <v>1</v>
      </c>
      <c r="K759" s="60"/>
      <c r="L759" s="64"/>
      <c r="M759" s="64"/>
      <c r="N759" s="64"/>
      <c r="O759" s="64"/>
      <c r="P759" s="64"/>
      <c r="Q759" s="64"/>
      <c r="R759" s="64"/>
      <c r="S759" s="64"/>
    </row>
    <row r="760" spans="1:19" ht="16.5" customHeight="1">
      <c r="A760" s="85" t="s">
        <v>1585</v>
      </c>
      <c r="B760" s="78" t="s">
        <v>1586</v>
      </c>
      <c r="C760" s="74" t="s">
        <v>43</v>
      </c>
      <c r="D760" s="92">
        <v>126970</v>
      </c>
      <c r="E760" s="73" t="s">
        <v>807</v>
      </c>
      <c r="F760" s="76">
        <v>3.58</v>
      </c>
      <c r="G760" s="79">
        <v>236500</v>
      </c>
      <c r="H760" s="63">
        <f t="shared" si="50"/>
        <v>846670</v>
      </c>
      <c r="I760" s="63">
        <f t="shared" si="49"/>
        <v>0</v>
      </c>
      <c r="J760" s="60">
        <v>2</v>
      </c>
      <c r="K760" s="60"/>
      <c r="L760" s="64"/>
      <c r="M760" s="64"/>
      <c r="N760" s="64"/>
      <c r="O760" s="64"/>
      <c r="P760" s="64"/>
      <c r="Q760" s="64"/>
      <c r="R760" s="64"/>
      <c r="S760" s="64"/>
    </row>
    <row r="761" spans="1:19" ht="16.5" customHeight="1">
      <c r="A761" s="85" t="s">
        <v>1587</v>
      </c>
      <c r="B761" s="78" t="s">
        <v>1588</v>
      </c>
      <c r="C761" s="74" t="s">
        <v>43</v>
      </c>
      <c r="D761" s="92">
        <v>128680</v>
      </c>
      <c r="E761" s="73" t="s">
        <v>807</v>
      </c>
      <c r="F761" s="76">
        <v>4.68</v>
      </c>
      <c r="G761" s="79">
        <v>236500</v>
      </c>
      <c r="H761" s="63">
        <f t="shared" si="50"/>
        <v>1106820</v>
      </c>
      <c r="I761" s="63">
        <f t="shared" si="49"/>
        <v>0</v>
      </c>
      <c r="J761" s="60">
        <v>3</v>
      </c>
      <c r="K761" s="60"/>
      <c r="L761" s="64"/>
      <c r="M761" s="64"/>
      <c r="N761" s="64"/>
      <c r="O761" s="64"/>
      <c r="P761" s="64"/>
      <c r="Q761" s="64"/>
      <c r="R761" s="64"/>
      <c r="S761" s="64"/>
    </row>
    <row r="762" spans="1:19" ht="16.5" customHeight="1">
      <c r="A762" s="85" t="s">
        <v>1589</v>
      </c>
      <c r="B762" s="78" t="s">
        <v>1590</v>
      </c>
      <c r="C762" s="74" t="s">
        <v>43</v>
      </c>
      <c r="D762" s="92">
        <v>158680</v>
      </c>
      <c r="E762" s="73" t="s">
        <v>807</v>
      </c>
      <c r="F762" s="76">
        <v>5.5</v>
      </c>
      <c r="G762" s="79">
        <v>236500</v>
      </c>
      <c r="H762" s="63">
        <f t="shared" si="50"/>
        <v>1300750</v>
      </c>
      <c r="I762" s="63">
        <f t="shared" si="49"/>
        <v>0</v>
      </c>
      <c r="J762" s="60">
        <v>4.5</v>
      </c>
      <c r="K762" s="60"/>
      <c r="L762" s="64"/>
      <c r="M762" s="64"/>
      <c r="N762" s="64"/>
      <c r="O762" s="64"/>
      <c r="P762" s="64"/>
      <c r="Q762" s="64"/>
      <c r="R762" s="64"/>
      <c r="S762" s="64"/>
    </row>
    <row r="763" spans="1:19" ht="16.5" customHeight="1">
      <c r="A763" s="85" t="s">
        <v>1591</v>
      </c>
      <c r="B763" s="78" t="s">
        <v>1592</v>
      </c>
      <c r="C763" s="74" t="s">
        <v>43</v>
      </c>
      <c r="D763" s="92">
        <v>160390</v>
      </c>
      <c r="E763" s="73" t="s">
        <v>807</v>
      </c>
      <c r="F763" s="76">
        <v>6.88</v>
      </c>
      <c r="G763" s="79">
        <v>236500</v>
      </c>
      <c r="H763" s="63">
        <f t="shared" si="50"/>
        <v>1627120</v>
      </c>
      <c r="I763" s="63">
        <f t="shared" si="49"/>
        <v>0</v>
      </c>
      <c r="J763" s="60">
        <v>6</v>
      </c>
      <c r="K763" s="60"/>
      <c r="L763" s="64"/>
      <c r="M763" s="64"/>
      <c r="N763" s="64"/>
      <c r="O763" s="64"/>
      <c r="P763" s="64"/>
      <c r="Q763" s="64"/>
      <c r="R763" s="64"/>
      <c r="S763" s="64"/>
    </row>
    <row r="764" spans="1:19" ht="16.5" customHeight="1">
      <c r="A764" s="85" t="s">
        <v>1593</v>
      </c>
      <c r="B764" s="78" t="s">
        <v>1594</v>
      </c>
      <c r="C764" s="74" t="s">
        <v>43</v>
      </c>
      <c r="D764" s="92">
        <v>160390</v>
      </c>
      <c r="E764" s="73" t="s">
        <v>807</v>
      </c>
      <c r="F764" s="76">
        <v>8.5299999999999994</v>
      </c>
      <c r="G764" s="79">
        <v>236500</v>
      </c>
      <c r="H764" s="63">
        <f t="shared" si="50"/>
        <v>2017344.9999999998</v>
      </c>
      <c r="I764" s="63">
        <f t="shared" si="49"/>
        <v>0</v>
      </c>
      <c r="J764" s="60">
        <v>7.5</v>
      </c>
      <c r="K764" s="60"/>
      <c r="L764" s="64"/>
      <c r="M764" s="64"/>
      <c r="N764" s="64"/>
      <c r="O764" s="64"/>
      <c r="P764" s="64"/>
      <c r="Q764" s="64"/>
      <c r="R764" s="64"/>
      <c r="S764" s="64"/>
    </row>
    <row r="765" spans="1:19" ht="16.5" customHeight="1">
      <c r="A765" s="85" t="s">
        <v>1595</v>
      </c>
      <c r="B765" s="78" t="s">
        <v>1596</v>
      </c>
      <c r="C765" s="74" t="s">
        <v>43</v>
      </c>
      <c r="D765" s="92">
        <v>161300</v>
      </c>
      <c r="E765" s="73" t="s">
        <v>807</v>
      </c>
      <c r="F765" s="76">
        <v>10.32</v>
      </c>
      <c r="G765" s="79">
        <v>236500</v>
      </c>
      <c r="H765" s="63">
        <f t="shared" si="50"/>
        <v>2440680</v>
      </c>
      <c r="I765" s="63">
        <f t="shared" si="49"/>
        <v>0</v>
      </c>
      <c r="J765" s="60">
        <v>9</v>
      </c>
      <c r="K765" s="60"/>
      <c r="L765" s="64"/>
      <c r="M765" s="64"/>
      <c r="N765" s="64"/>
      <c r="O765" s="64"/>
      <c r="P765" s="64"/>
      <c r="Q765" s="64"/>
      <c r="R765" s="64"/>
      <c r="S765" s="64"/>
    </row>
    <row r="766" spans="1:19" ht="16.5" customHeight="1">
      <c r="A766" s="85" t="s">
        <v>1597</v>
      </c>
      <c r="B766" s="78" t="s">
        <v>1598</v>
      </c>
      <c r="C766" s="74" t="s">
        <v>43</v>
      </c>
      <c r="D766" s="92">
        <v>161300</v>
      </c>
      <c r="E766" s="73" t="s">
        <v>807</v>
      </c>
      <c r="F766" s="76">
        <v>11.97</v>
      </c>
      <c r="G766" s="79">
        <v>236500</v>
      </c>
      <c r="H766" s="63">
        <f t="shared" si="50"/>
        <v>2830905</v>
      </c>
      <c r="I766" s="63">
        <f t="shared" si="49"/>
        <v>0</v>
      </c>
      <c r="J766" s="60">
        <v>10.5</v>
      </c>
      <c r="K766" s="60"/>
      <c r="L766" s="64"/>
      <c r="M766" s="64"/>
      <c r="N766" s="64"/>
      <c r="O766" s="64"/>
      <c r="P766" s="64"/>
      <c r="Q766" s="64"/>
      <c r="R766" s="64"/>
      <c r="S766" s="64"/>
    </row>
    <row r="767" spans="1:19" ht="16.5" customHeight="1">
      <c r="A767" s="85" t="s">
        <v>1599</v>
      </c>
      <c r="B767" s="78" t="s">
        <v>1600</v>
      </c>
      <c r="C767" s="74" t="s">
        <v>43</v>
      </c>
      <c r="D767" s="92">
        <v>163120</v>
      </c>
      <c r="E767" s="73" t="s">
        <v>807</v>
      </c>
      <c r="F767" s="76">
        <v>15.13</v>
      </c>
      <c r="G767" s="79">
        <v>236500</v>
      </c>
      <c r="H767" s="63">
        <f t="shared" si="50"/>
        <v>3578245</v>
      </c>
      <c r="I767" s="63">
        <f t="shared" si="49"/>
        <v>0</v>
      </c>
      <c r="J767" s="60">
        <v>12</v>
      </c>
      <c r="K767" s="60"/>
      <c r="L767" s="64"/>
      <c r="M767" s="64"/>
      <c r="N767" s="64"/>
      <c r="O767" s="64"/>
      <c r="P767" s="64"/>
      <c r="Q767" s="64"/>
      <c r="R767" s="64"/>
      <c r="S767" s="64"/>
    </row>
    <row r="768" spans="1:19" ht="16.5" customHeight="1">
      <c r="A768" s="85" t="s">
        <v>1601</v>
      </c>
      <c r="B768" s="78" t="s">
        <v>1602</v>
      </c>
      <c r="C768" s="74" t="s">
        <v>43</v>
      </c>
      <c r="D768" s="92">
        <v>193920</v>
      </c>
      <c r="E768" s="73" t="s">
        <v>807</v>
      </c>
      <c r="F768" s="76">
        <v>19.25</v>
      </c>
      <c r="G768" s="79">
        <v>236500</v>
      </c>
      <c r="H768" s="63">
        <f t="shared" si="50"/>
        <v>4552625</v>
      </c>
      <c r="I768" s="63">
        <f t="shared" si="49"/>
        <v>0</v>
      </c>
      <c r="J768" s="60">
        <v>15</v>
      </c>
      <c r="K768" s="60"/>
      <c r="L768" s="64"/>
      <c r="M768" s="64"/>
      <c r="N768" s="64"/>
      <c r="O768" s="64"/>
      <c r="P768" s="64"/>
      <c r="Q768" s="64"/>
      <c r="R768" s="64"/>
      <c r="S768" s="64"/>
    </row>
    <row r="769" spans="1:19" ht="16.5" customHeight="1">
      <c r="A769" s="85" t="s">
        <v>1603</v>
      </c>
      <c r="B769" s="78" t="s">
        <v>1604</v>
      </c>
      <c r="C769" s="74" t="s">
        <v>43</v>
      </c>
      <c r="D769" s="92">
        <v>193920</v>
      </c>
      <c r="E769" s="73" t="s">
        <v>807</v>
      </c>
      <c r="F769" s="76">
        <v>25.58</v>
      </c>
      <c r="G769" s="79">
        <v>236500</v>
      </c>
      <c r="H769" s="63">
        <f t="shared" si="50"/>
        <v>6049670</v>
      </c>
      <c r="I769" s="63">
        <f t="shared" si="49"/>
        <v>0</v>
      </c>
      <c r="J769" s="60">
        <v>18</v>
      </c>
      <c r="K769" s="60"/>
      <c r="L769" s="64"/>
      <c r="M769" s="64"/>
      <c r="N769" s="64"/>
      <c r="O769" s="64"/>
      <c r="P769" s="64"/>
      <c r="Q769" s="64"/>
      <c r="R769" s="64"/>
      <c r="S769" s="64"/>
    </row>
    <row r="770" spans="1:19" ht="16.5" customHeight="1">
      <c r="A770" s="85" t="s">
        <v>1605</v>
      </c>
      <c r="B770" s="78" t="s">
        <v>1606</v>
      </c>
      <c r="C770" s="74" t="s">
        <v>43</v>
      </c>
      <c r="D770" s="92">
        <v>195740</v>
      </c>
      <c r="E770" s="73" t="s">
        <v>807</v>
      </c>
      <c r="F770" s="76">
        <v>33.979999999999997</v>
      </c>
      <c r="G770" s="79">
        <v>236500</v>
      </c>
      <c r="H770" s="63">
        <f t="shared" si="50"/>
        <v>8036269.9999999991</v>
      </c>
      <c r="I770" s="63">
        <f t="shared" si="49"/>
        <v>0</v>
      </c>
      <c r="J770" s="60"/>
      <c r="K770" s="60"/>
      <c r="L770" s="64"/>
      <c r="M770" s="64"/>
      <c r="N770" s="64"/>
      <c r="O770" s="64"/>
      <c r="P770" s="64"/>
      <c r="Q770" s="64"/>
      <c r="R770" s="64"/>
      <c r="S770" s="64"/>
    </row>
    <row r="771" spans="1:19" ht="16.5" customHeight="1">
      <c r="A771" s="85" t="s">
        <v>1607</v>
      </c>
      <c r="B771" s="78" t="s">
        <v>1608</v>
      </c>
      <c r="C771" s="74" t="s">
        <v>43</v>
      </c>
      <c r="D771" s="92">
        <v>197200</v>
      </c>
      <c r="E771" s="73" t="s">
        <v>807</v>
      </c>
      <c r="F771" s="76">
        <v>44.18</v>
      </c>
      <c r="G771" s="79">
        <v>236500</v>
      </c>
      <c r="H771" s="63">
        <f t="shared" si="50"/>
        <v>10448570</v>
      </c>
      <c r="I771" s="63">
        <f t="shared" si="49"/>
        <v>0</v>
      </c>
      <c r="J771" s="60"/>
      <c r="K771" s="60"/>
      <c r="L771" s="64"/>
      <c r="M771" s="64"/>
      <c r="N771" s="64"/>
      <c r="O771" s="64"/>
      <c r="P771" s="64"/>
      <c r="Q771" s="64"/>
      <c r="R771" s="64"/>
      <c r="S771" s="64"/>
    </row>
    <row r="772" spans="1:19" ht="16.5" customHeight="1">
      <c r="A772" s="85" t="s">
        <v>1609</v>
      </c>
      <c r="B772" s="78" t="s">
        <v>1610</v>
      </c>
      <c r="C772" s="74" t="s">
        <v>43</v>
      </c>
      <c r="D772" s="92">
        <v>197860</v>
      </c>
      <c r="E772" s="73" t="s">
        <v>807</v>
      </c>
      <c r="F772" s="76">
        <v>55.23</v>
      </c>
      <c r="G772" s="79">
        <v>236500</v>
      </c>
      <c r="H772" s="63">
        <f t="shared" si="50"/>
        <v>13061895</v>
      </c>
      <c r="I772" s="63">
        <f t="shared" si="49"/>
        <v>0</v>
      </c>
      <c r="J772" s="60"/>
      <c r="K772" s="60"/>
      <c r="L772" s="64"/>
      <c r="M772" s="64"/>
      <c r="N772" s="64"/>
      <c r="O772" s="64"/>
      <c r="P772" s="64"/>
      <c r="Q772" s="64"/>
      <c r="R772" s="64"/>
      <c r="S772" s="64"/>
    </row>
    <row r="773" spans="1:19" ht="16.5" customHeight="1">
      <c r="A773" s="85"/>
      <c r="B773" s="78"/>
      <c r="C773" s="74"/>
      <c r="D773" s="92"/>
      <c r="E773" s="73"/>
      <c r="F773" s="76"/>
      <c r="G773" s="79"/>
      <c r="H773" s="63">
        <f t="shared" si="50"/>
        <v>0</v>
      </c>
      <c r="I773" s="63">
        <f t="shared" si="49"/>
        <v>0</v>
      </c>
      <c r="J773" s="60"/>
      <c r="K773" s="60"/>
      <c r="L773" s="64"/>
      <c r="M773" s="64"/>
      <c r="N773" s="64"/>
      <c r="O773" s="64"/>
      <c r="P773" s="64"/>
      <c r="Q773" s="64"/>
      <c r="R773" s="64"/>
      <c r="S773" s="64"/>
    </row>
    <row r="774" spans="1:19" ht="16.5" customHeight="1">
      <c r="A774" s="85" t="s">
        <v>1611</v>
      </c>
      <c r="B774" s="78" t="s">
        <v>1612</v>
      </c>
      <c r="C774" s="74" t="s">
        <v>43</v>
      </c>
      <c r="D774" s="92">
        <v>283866</v>
      </c>
      <c r="E774" s="73" t="s">
        <v>807</v>
      </c>
      <c r="F774" s="76">
        <v>3.72</v>
      </c>
      <c r="G774" s="79">
        <v>236500</v>
      </c>
      <c r="H774" s="63">
        <f t="shared" si="50"/>
        <v>879780</v>
      </c>
      <c r="I774" s="63">
        <f t="shared" si="49"/>
        <v>0</v>
      </c>
      <c r="J774" s="60"/>
      <c r="K774" s="60"/>
      <c r="L774" s="64"/>
      <c r="M774" s="64"/>
      <c r="N774" s="64"/>
      <c r="O774" s="64"/>
      <c r="P774" s="64"/>
      <c r="Q774" s="64"/>
      <c r="R774" s="64"/>
      <c r="S774" s="64"/>
    </row>
    <row r="775" spans="1:19" ht="16.5" customHeight="1">
      <c r="A775" s="85" t="s">
        <v>1613</v>
      </c>
      <c r="B775" s="78" t="s">
        <v>1614</v>
      </c>
      <c r="C775" s="74" t="s">
        <v>43</v>
      </c>
      <c r="D775" s="92">
        <v>283866</v>
      </c>
      <c r="E775" s="73" t="s">
        <v>807</v>
      </c>
      <c r="F775" s="76">
        <v>4.13</v>
      </c>
      <c r="G775" s="79">
        <v>236500</v>
      </c>
      <c r="H775" s="63">
        <f t="shared" si="50"/>
        <v>976745</v>
      </c>
      <c r="I775" s="63">
        <f t="shared" si="49"/>
        <v>0</v>
      </c>
      <c r="J775" s="60"/>
      <c r="K775" s="60"/>
      <c r="L775" s="64"/>
      <c r="M775" s="64"/>
      <c r="N775" s="64"/>
      <c r="O775" s="64"/>
      <c r="P775" s="64"/>
      <c r="Q775" s="64"/>
      <c r="R775" s="64"/>
      <c r="S775" s="64"/>
    </row>
    <row r="776" spans="1:19" ht="16.5" customHeight="1">
      <c r="A776" s="85" t="s">
        <v>1615</v>
      </c>
      <c r="B776" s="78" t="s">
        <v>1616</v>
      </c>
      <c r="C776" s="74" t="s">
        <v>43</v>
      </c>
      <c r="D776" s="92">
        <v>283866</v>
      </c>
      <c r="E776" s="73" t="s">
        <v>807</v>
      </c>
      <c r="F776" s="76">
        <v>5.23</v>
      </c>
      <c r="G776" s="79">
        <v>236500</v>
      </c>
      <c r="H776" s="63">
        <f t="shared" si="50"/>
        <v>1236895</v>
      </c>
      <c r="I776" s="63">
        <f t="shared" si="49"/>
        <v>0</v>
      </c>
      <c r="J776" s="60"/>
      <c r="K776" s="60"/>
      <c r="L776" s="64"/>
      <c r="M776" s="64"/>
      <c r="N776" s="64"/>
      <c r="O776" s="64"/>
      <c r="P776" s="64"/>
      <c r="Q776" s="64"/>
      <c r="R776" s="64"/>
      <c r="S776" s="64"/>
    </row>
    <row r="777" spans="1:19" ht="16.5" customHeight="1">
      <c r="A777" s="85" t="s">
        <v>1617</v>
      </c>
      <c r="B777" s="78" t="s">
        <v>1618</v>
      </c>
      <c r="C777" s="74" t="s">
        <v>43</v>
      </c>
      <c r="D777" s="92">
        <v>387340</v>
      </c>
      <c r="E777" s="73" t="s">
        <v>807</v>
      </c>
      <c r="F777" s="76">
        <v>7.01</v>
      </c>
      <c r="G777" s="79">
        <v>236500</v>
      </c>
      <c r="H777" s="63">
        <f t="shared" si="50"/>
        <v>1657865</v>
      </c>
      <c r="I777" s="63">
        <f t="shared" si="49"/>
        <v>0</v>
      </c>
      <c r="J777" s="60"/>
      <c r="K777" s="60"/>
      <c r="L777" s="64"/>
      <c r="M777" s="64"/>
      <c r="N777" s="64"/>
      <c r="O777" s="64"/>
      <c r="P777" s="64"/>
      <c r="Q777" s="64"/>
      <c r="R777" s="64"/>
      <c r="S777" s="64"/>
    </row>
    <row r="778" spans="1:19" ht="16.5" customHeight="1">
      <c r="A778" s="85" t="s">
        <v>1619</v>
      </c>
      <c r="B778" s="78" t="s">
        <v>1620</v>
      </c>
      <c r="C778" s="74" t="s">
        <v>43</v>
      </c>
      <c r="D778" s="92">
        <v>388140</v>
      </c>
      <c r="E778" s="73" t="s">
        <v>807</v>
      </c>
      <c r="F778" s="76">
        <v>8.8000000000000007</v>
      </c>
      <c r="G778" s="79">
        <v>236500</v>
      </c>
      <c r="H778" s="63">
        <f t="shared" si="50"/>
        <v>2081200.0000000002</v>
      </c>
      <c r="I778" s="63">
        <f t="shared" si="49"/>
        <v>0</v>
      </c>
      <c r="J778" s="60"/>
      <c r="K778" s="60"/>
      <c r="L778" s="64"/>
      <c r="M778" s="64"/>
      <c r="N778" s="64"/>
      <c r="O778" s="64"/>
      <c r="P778" s="64"/>
      <c r="Q778" s="64"/>
      <c r="R778" s="64"/>
      <c r="S778" s="64"/>
    </row>
    <row r="779" spans="1:19" ht="16.5" customHeight="1">
      <c r="A779" s="85" t="s">
        <v>1621</v>
      </c>
      <c r="B779" s="78" t="s">
        <v>1622</v>
      </c>
      <c r="C779" s="74" t="s">
        <v>43</v>
      </c>
      <c r="D779" s="92">
        <v>284974</v>
      </c>
      <c r="E779" s="73" t="s">
        <v>807</v>
      </c>
      <c r="F779" s="76">
        <v>11.15</v>
      </c>
      <c r="G779" s="79">
        <v>236500</v>
      </c>
      <c r="H779" s="63">
        <f t="shared" si="50"/>
        <v>2636975</v>
      </c>
      <c r="I779" s="63">
        <f t="shared" si="49"/>
        <v>0</v>
      </c>
      <c r="J779" s="60"/>
      <c r="K779" s="60"/>
      <c r="L779" s="64"/>
      <c r="M779" s="64"/>
      <c r="N779" s="64"/>
      <c r="O779" s="64"/>
      <c r="P779" s="64"/>
      <c r="Q779" s="64"/>
      <c r="R779" s="64"/>
      <c r="S779" s="64"/>
    </row>
    <row r="780" spans="1:19" ht="16.5" customHeight="1">
      <c r="A780" s="85" t="s">
        <v>1623</v>
      </c>
      <c r="B780" s="78" t="s">
        <v>1624</v>
      </c>
      <c r="C780" s="74" t="s">
        <v>43</v>
      </c>
      <c r="D780" s="92">
        <v>284974</v>
      </c>
      <c r="E780" s="73" t="s">
        <v>807</v>
      </c>
      <c r="F780" s="76">
        <v>16.5</v>
      </c>
      <c r="G780" s="79">
        <v>236500</v>
      </c>
      <c r="H780" s="63">
        <f t="shared" si="50"/>
        <v>3902250</v>
      </c>
      <c r="I780" s="63">
        <f t="shared" si="49"/>
        <v>0</v>
      </c>
      <c r="J780" s="60"/>
      <c r="K780" s="60"/>
      <c r="L780" s="64"/>
      <c r="M780" s="64"/>
      <c r="N780" s="64"/>
      <c r="O780" s="64"/>
      <c r="P780" s="64"/>
      <c r="Q780" s="64"/>
      <c r="R780" s="64"/>
      <c r="S780" s="64"/>
    </row>
    <row r="781" spans="1:19" ht="16.5" customHeight="1">
      <c r="A781" s="85" t="s">
        <v>1625</v>
      </c>
      <c r="B781" s="78" t="s">
        <v>1626</v>
      </c>
      <c r="C781" s="74" t="s">
        <v>43</v>
      </c>
      <c r="D781" s="92">
        <v>286106</v>
      </c>
      <c r="E781" s="73" t="s">
        <v>807</v>
      </c>
      <c r="F781" s="76">
        <v>19.25</v>
      </c>
      <c r="G781" s="79">
        <v>236500</v>
      </c>
      <c r="H781" s="63">
        <f t="shared" si="50"/>
        <v>4552625</v>
      </c>
      <c r="I781" s="63">
        <f t="shared" si="49"/>
        <v>0</v>
      </c>
      <c r="J781" s="60"/>
      <c r="K781" s="60"/>
      <c r="L781" s="64"/>
      <c r="M781" s="64"/>
      <c r="N781" s="64"/>
      <c r="O781" s="64"/>
      <c r="P781" s="64"/>
      <c r="Q781" s="64"/>
      <c r="R781" s="64"/>
      <c r="S781" s="64"/>
    </row>
    <row r="782" spans="1:19" ht="16.5" customHeight="1">
      <c r="A782" s="85" t="s">
        <v>1627</v>
      </c>
      <c r="B782" s="78" t="s">
        <v>1628</v>
      </c>
      <c r="C782" s="74" t="s">
        <v>43</v>
      </c>
      <c r="D782" s="92">
        <v>286106</v>
      </c>
      <c r="E782" s="73" t="s">
        <v>807</v>
      </c>
      <c r="F782" s="76">
        <v>22</v>
      </c>
      <c r="G782" s="79">
        <v>236500</v>
      </c>
      <c r="H782" s="63">
        <f t="shared" si="50"/>
        <v>5203000</v>
      </c>
      <c r="I782" s="63">
        <f t="shared" si="49"/>
        <v>0</v>
      </c>
      <c r="J782" s="60"/>
      <c r="K782" s="60"/>
      <c r="L782" s="64"/>
      <c r="M782" s="64"/>
      <c r="N782" s="64"/>
      <c r="O782" s="64"/>
      <c r="P782" s="64"/>
      <c r="Q782" s="64"/>
      <c r="R782" s="64"/>
      <c r="S782" s="64"/>
    </row>
    <row r="783" spans="1:19" ht="16.5" customHeight="1">
      <c r="A783" s="85"/>
      <c r="B783" s="78"/>
      <c r="C783" s="74"/>
      <c r="D783" s="92"/>
      <c r="E783" s="73"/>
      <c r="F783" s="76"/>
      <c r="G783" s="79"/>
      <c r="H783" s="63">
        <f t="shared" si="50"/>
        <v>0</v>
      </c>
      <c r="I783" s="63">
        <f t="shared" si="49"/>
        <v>0</v>
      </c>
      <c r="J783" s="60"/>
      <c r="K783" s="60"/>
      <c r="L783" s="64"/>
      <c r="M783" s="64"/>
      <c r="N783" s="64"/>
      <c r="O783" s="64"/>
      <c r="P783" s="64"/>
      <c r="Q783" s="64"/>
      <c r="R783" s="64"/>
      <c r="S783" s="64"/>
    </row>
    <row r="784" spans="1:19" ht="16.5" customHeight="1">
      <c r="A784" s="85" t="s">
        <v>1629</v>
      </c>
      <c r="B784" s="78" t="s">
        <v>1630</v>
      </c>
      <c r="C784" s="74" t="s">
        <v>43</v>
      </c>
      <c r="D784" s="92">
        <v>13746</v>
      </c>
      <c r="E784" s="73" t="s">
        <v>807</v>
      </c>
      <c r="F784" s="76">
        <v>2.89</v>
      </c>
      <c r="G784" s="79">
        <v>236500</v>
      </c>
      <c r="H784" s="63">
        <f t="shared" si="50"/>
        <v>683485</v>
      </c>
      <c r="I784" s="63">
        <f t="shared" si="49"/>
        <v>0</v>
      </c>
      <c r="J784" s="60">
        <v>1</v>
      </c>
      <c r="K784" s="60"/>
      <c r="L784" s="64"/>
      <c r="M784" s="64"/>
      <c r="N784" s="64"/>
      <c r="O784" s="64"/>
      <c r="P784" s="64"/>
      <c r="Q784" s="64"/>
      <c r="R784" s="64"/>
      <c r="S784" s="64"/>
    </row>
    <row r="785" spans="1:19" ht="16.5" customHeight="1">
      <c r="A785" s="85" t="s">
        <v>1631</v>
      </c>
      <c r="B785" s="78" t="s">
        <v>1632</v>
      </c>
      <c r="C785" s="74" t="s">
        <v>43</v>
      </c>
      <c r="D785" s="92">
        <v>13570</v>
      </c>
      <c r="E785" s="73" t="s">
        <v>807</v>
      </c>
      <c r="F785" s="76">
        <v>3.3</v>
      </c>
      <c r="G785" s="79">
        <v>236500</v>
      </c>
      <c r="H785" s="63">
        <f t="shared" si="50"/>
        <v>780450</v>
      </c>
      <c r="I785" s="63">
        <f t="shared" si="49"/>
        <v>0</v>
      </c>
      <c r="J785" s="60">
        <v>2</v>
      </c>
      <c r="K785" s="60"/>
      <c r="L785" s="64"/>
      <c r="M785" s="64"/>
      <c r="N785" s="64"/>
      <c r="O785" s="64"/>
      <c r="P785" s="64"/>
      <c r="Q785" s="64"/>
      <c r="R785" s="64"/>
      <c r="S785" s="64"/>
    </row>
    <row r="786" spans="1:19" ht="16.5" customHeight="1">
      <c r="A786" s="85" t="s">
        <v>1633</v>
      </c>
      <c r="B786" s="78" t="s">
        <v>1634</v>
      </c>
      <c r="C786" s="74" t="s">
        <v>43</v>
      </c>
      <c r="D786" s="92">
        <v>13570</v>
      </c>
      <c r="E786" s="73" t="s">
        <v>807</v>
      </c>
      <c r="F786" s="76">
        <v>4.13</v>
      </c>
      <c r="G786" s="79">
        <v>236500</v>
      </c>
      <c r="H786" s="63">
        <f t="shared" si="50"/>
        <v>976745</v>
      </c>
      <c r="I786" s="63">
        <f t="shared" si="49"/>
        <v>0</v>
      </c>
      <c r="J786" s="60">
        <v>3</v>
      </c>
      <c r="K786" s="60"/>
      <c r="L786" s="64"/>
      <c r="M786" s="64"/>
      <c r="N786" s="64"/>
      <c r="O786" s="64"/>
      <c r="P786" s="64"/>
      <c r="Q786" s="64"/>
      <c r="R786" s="64"/>
      <c r="S786" s="64"/>
    </row>
    <row r="787" spans="1:19" ht="16.5" customHeight="1">
      <c r="A787" s="85" t="s">
        <v>1635</v>
      </c>
      <c r="B787" s="78" t="s">
        <v>1636</v>
      </c>
      <c r="C787" s="74" t="s">
        <v>43</v>
      </c>
      <c r="D787" s="92">
        <v>15280</v>
      </c>
      <c r="E787" s="73" t="s">
        <v>807</v>
      </c>
      <c r="F787" s="76">
        <v>5.5</v>
      </c>
      <c r="G787" s="79">
        <v>236500</v>
      </c>
      <c r="H787" s="63">
        <f t="shared" si="50"/>
        <v>1300750</v>
      </c>
      <c r="I787" s="63">
        <f t="shared" si="49"/>
        <v>0</v>
      </c>
      <c r="J787" s="60">
        <v>4.5</v>
      </c>
      <c r="K787" s="60"/>
      <c r="L787" s="64"/>
      <c r="M787" s="64"/>
      <c r="N787" s="64"/>
      <c r="O787" s="64"/>
      <c r="P787" s="64"/>
      <c r="Q787" s="64"/>
      <c r="R787" s="64"/>
      <c r="S787" s="64"/>
    </row>
    <row r="788" spans="1:19" ht="16.5" customHeight="1">
      <c r="A788" s="85" t="s">
        <v>1637</v>
      </c>
      <c r="B788" s="78" t="s">
        <v>1638</v>
      </c>
      <c r="C788" s="74" t="s">
        <v>43</v>
      </c>
      <c r="D788" s="92">
        <v>15280</v>
      </c>
      <c r="E788" s="73" t="s">
        <v>807</v>
      </c>
      <c r="F788" s="76">
        <v>7.01</v>
      </c>
      <c r="G788" s="79">
        <v>236500</v>
      </c>
      <c r="H788" s="63">
        <f t="shared" si="50"/>
        <v>1657865</v>
      </c>
      <c r="I788" s="63">
        <f t="shared" si="49"/>
        <v>0</v>
      </c>
      <c r="J788" s="60">
        <v>6</v>
      </c>
      <c r="K788" s="60"/>
      <c r="L788" s="64"/>
      <c r="M788" s="64"/>
      <c r="N788" s="64"/>
      <c r="O788" s="64"/>
      <c r="P788" s="64"/>
      <c r="Q788" s="64"/>
      <c r="R788" s="64"/>
      <c r="S788" s="64"/>
    </row>
    <row r="789" spans="1:19" ht="16.5" customHeight="1">
      <c r="A789" s="85" t="s">
        <v>1639</v>
      </c>
      <c r="B789" s="78" t="s">
        <v>1640</v>
      </c>
      <c r="C789" s="74" t="s">
        <v>43</v>
      </c>
      <c r="D789" s="92">
        <v>23942</v>
      </c>
      <c r="E789" s="73" t="s">
        <v>807</v>
      </c>
      <c r="F789" s="76">
        <v>9.08</v>
      </c>
      <c r="G789" s="79">
        <v>236500</v>
      </c>
      <c r="H789" s="63">
        <f t="shared" si="50"/>
        <v>2147420</v>
      </c>
      <c r="I789" s="63">
        <f t="shared" si="49"/>
        <v>0</v>
      </c>
      <c r="J789" s="60">
        <v>7.5</v>
      </c>
      <c r="K789" s="60"/>
      <c r="L789" s="64"/>
      <c r="M789" s="64"/>
      <c r="N789" s="64"/>
      <c r="O789" s="64"/>
      <c r="P789" s="64"/>
      <c r="Q789" s="64"/>
      <c r="R789" s="64"/>
      <c r="S789" s="64"/>
    </row>
    <row r="790" spans="1:19" ht="16.5" customHeight="1">
      <c r="A790" s="85" t="s">
        <v>1641</v>
      </c>
      <c r="B790" s="78" t="s">
        <v>1642</v>
      </c>
      <c r="C790" s="74" t="s">
        <v>43</v>
      </c>
      <c r="D790" s="92">
        <v>23942</v>
      </c>
      <c r="E790" s="73" t="s">
        <v>807</v>
      </c>
      <c r="F790" s="76">
        <v>11.14</v>
      </c>
      <c r="G790" s="79">
        <v>236500</v>
      </c>
      <c r="H790" s="63">
        <f t="shared" si="50"/>
        <v>2634610</v>
      </c>
      <c r="I790" s="63">
        <f t="shared" si="49"/>
        <v>0</v>
      </c>
      <c r="J790" s="60">
        <v>9</v>
      </c>
      <c r="K790" s="60"/>
      <c r="L790" s="64"/>
      <c r="M790" s="64"/>
      <c r="N790" s="64"/>
      <c r="O790" s="64"/>
      <c r="P790" s="64"/>
      <c r="Q790" s="64"/>
      <c r="R790" s="64"/>
      <c r="S790" s="64"/>
    </row>
    <row r="791" spans="1:19" ht="16.5" customHeight="1">
      <c r="A791" s="85" t="s">
        <v>1643</v>
      </c>
      <c r="B791" s="78" t="s">
        <v>1644</v>
      </c>
      <c r="C791" s="74" t="s">
        <v>43</v>
      </c>
      <c r="D791" s="92">
        <v>24852</v>
      </c>
      <c r="E791" s="73" t="s">
        <v>807</v>
      </c>
      <c r="F791" s="76">
        <v>13.48</v>
      </c>
      <c r="G791" s="79">
        <v>236500</v>
      </c>
      <c r="H791" s="63">
        <f t="shared" si="50"/>
        <v>3188020</v>
      </c>
      <c r="I791" s="63">
        <f t="shared" si="49"/>
        <v>0</v>
      </c>
      <c r="J791" s="60">
        <v>10.5</v>
      </c>
      <c r="K791" s="60"/>
      <c r="L791" s="64"/>
      <c r="M791" s="64"/>
      <c r="N791" s="64"/>
      <c r="O791" s="64"/>
      <c r="P791" s="64"/>
      <c r="Q791" s="64"/>
      <c r="R791" s="64"/>
      <c r="S791" s="64"/>
    </row>
    <row r="792" spans="1:19" ht="16.5" customHeight="1">
      <c r="A792" s="85" t="s">
        <v>1645</v>
      </c>
      <c r="B792" s="78" t="s">
        <v>1646</v>
      </c>
      <c r="C792" s="74" t="s">
        <v>43</v>
      </c>
      <c r="D792" s="92">
        <v>28240</v>
      </c>
      <c r="E792" s="73" t="s">
        <v>807</v>
      </c>
      <c r="F792" s="76">
        <v>15.68</v>
      </c>
      <c r="G792" s="79">
        <v>236500</v>
      </c>
      <c r="H792" s="63">
        <f t="shared" si="50"/>
        <v>3708320</v>
      </c>
      <c r="I792" s="63">
        <f t="shared" si="49"/>
        <v>0</v>
      </c>
      <c r="J792" s="60">
        <v>12</v>
      </c>
      <c r="K792" s="60"/>
      <c r="L792" s="64"/>
      <c r="M792" s="64"/>
      <c r="N792" s="64"/>
      <c r="O792" s="64"/>
      <c r="P792" s="64"/>
      <c r="Q792" s="64"/>
      <c r="R792" s="64"/>
      <c r="S792" s="64"/>
    </row>
    <row r="793" spans="1:19" ht="16.5" customHeight="1">
      <c r="A793" s="85" t="s">
        <v>1647</v>
      </c>
      <c r="B793" s="78" t="s">
        <v>1648</v>
      </c>
      <c r="C793" s="74" t="s">
        <v>43</v>
      </c>
      <c r="D793" s="92">
        <v>30060</v>
      </c>
      <c r="E793" s="73" t="s">
        <v>807</v>
      </c>
      <c r="F793" s="76">
        <v>20.079999999999998</v>
      </c>
      <c r="G793" s="79">
        <v>236500</v>
      </c>
      <c r="H793" s="63">
        <f t="shared" si="50"/>
        <v>4748920</v>
      </c>
      <c r="I793" s="63">
        <f t="shared" si="49"/>
        <v>0</v>
      </c>
      <c r="J793" s="60">
        <v>15</v>
      </c>
      <c r="K793" s="60"/>
      <c r="L793" s="64"/>
      <c r="M793" s="64"/>
      <c r="N793" s="64"/>
      <c r="O793" s="64"/>
      <c r="P793" s="64"/>
      <c r="Q793" s="64"/>
      <c r="R793" s="64"/>
      <c r="S793" s="64"/>
    </row>
    <row r="794" spans="1:19" ht="16.5" customHeight="1">
      <c r="A794" s="85" t="s">
        <v>1649</v>
      </c>
      <c r="B794" s="78" t="s">
        <v>1650</v>
      </c>
      <c r="C794" s="74" t="s">
        <v>43</v>
      </c>
      <c r="D794" s="92">
        <v>30860</v>
      </c>
      <c r="E794" s="73" t="s">
        <v>807</v>
      </c>
      <c r="F794" s="76">
        <v>28.05</v>
      </c>
      <c r="G794" s="79">
        <v>236500</v>
      </c>
      <c r="H794" s="63">
        <f t="shared" si="50"/>
        <v>6633825</v>
      </c>
      <c r="I794" s="63">
        <f t="shared" si="49"/>
        <v>0</v>
      </c>
      <c r="J794" s="60">
        <v>18</v>
      </c>
      <c r="K794" s="60"/>
      <c r="L794" s="64"/>
      <c r="M794" s="64"/>
      <c r="N794" s="64"/>
      <c r="O794" s="64"/>
      <c r="P794" s="64"/>
      <c r="Q794" s="64"/>
      <c r="R794" s="64"/>
      <c r="S794" s="64"/>
    </row>
    <row r="795" spans="1:19" ht="16.5" customHeight="1">
      <c r="A795" s="85"/>
      <c r="B795" s="78"/>
      <c r="C795" s="74"/>
      <c r="D795" s="92"/>
      <c r="E795" s="73"/>
      <c r="F795" s="76"/>
      <c r="G795" s="79"/>
      <c r="H795" s="63">
        <f t="shared" si="50"/>
        <v>0</v>
      </c>
      <c r="I795" s="63">
        <f t="shared" si="49"/>
        <v>0</v>
      </c>
      <c r="J795" s="60"/>
      <c r="K795" s="60"/>
      <c r="L795" s="64"/>
      <c r="M795" s="64"/>
      <c r="N795" s="64"/>
      <c r="O795" s="64"/>
      <c r="P795" s="64"/>
      <c r="Q795" s="64"/>
      <c r="R795" s="64"/>
      <c r="S795" s="64"/>
    </row>
    <row r="796" spans="1:19" ht="16.5" customHeight="1">
      <c r="A796" s="85" t="s">
        <v>1651</v>
      </c>
      <c r="B796" s="78" t="s">
        <v>1652</v>
      </c>
      <c r="C796" s="74" t="s">
        <v>43</v>
      </c>
      <c r="D796" s="92">
        <v>30860</v>
      </c>
      <c r="E796" s="73" t="s">
        <v>807</v>
      </c>
      <c r="F796" s="76">
        <v>34.65</v>
      </c>
      <c r="G796" s="79">
        <v>236500</v>
      </c>
      <c r="H796" s="63">
        <f t="shared" si="50"/>
        <v>8194725</v>
      </c>
      <c r="I796" s="63">
        <f t="shared" si="49"/>
        <v>0</v>
      </c>
      <c r="J796" s="60"/>
      <c r="K796" s="60"/>
      <c r="L796" s="64"/>
      <c r="M796" s="64"/>
      <c r="N796" s="64"/>
      <c r="O796" s="64"/>
      <c r="P796" s="64"/>
      <c r="Q796" s="64"/>
      <c r="R796" s="64"/>
      <c r="S796" s="64"/>
    </row>
    <row r="797" spans="1:19" ht="16.5" customHeight="1">
      <c r="A797" s="85" t="s">
        <v>1653</v>
      </c>
      <c r="B797" s="78" t="s">
        <v>1654</v>
      </c>
      <c r="C797" s="74" t="s">
        <v>43</v>
      </c>
      <c r="D797" s="92">
        <v>32680</v>
      </c>
      <c r="E797" s="73" t="s">
        <v>807</v>
      </c>
      <c r="F797" s="76">
        <v>42.79</v>
      </c>
      <c r="G797" s="79">
        <v>236500</v>
      </c>
      <c r="H797" s="63">
        <f t="shared" si="50"/>
        <v>10119835</v>
      </c>
      <c r="I797" s="63">
        <f t="shared" si="49"/>
        <v>0</v>
      </c>
      <c r="J797" s="60"/>
      <c r="K797" s="60"/>
      <c r="L797" s="64"/>
      <c r="M797" s="64"/>
      <c r="N797" s="64"/>
      <c r="O797" s="64"/>
      <c r="P797" s="64"/>
      <c r="Q797" s="64"/>
      <c r="R797" s="64"/>
      <c r="S797" s="64"/>
    </row>
    <row r="798" spans="1:19" ht="16.5" customHeight="1">
      <c r="A798" s="85" t="s">
        <v>1655</v>
      </c>
      <c r="B798" s="78" t="s">
        <v>1656</v>
      </c>
      <c r="C798" s="74" t="s">
        <v>43</v>
      </c>
      <c r="D798" s="92">
        <v>34150</v>
      </c>
      <c r="E798" s="73" t="s">
        <v>807</v>
      </c>
      <c r="F798" s="76">
        <v>52.69</v>
      </c>
      <c r="G798" s="79">
        <v>236500</v>
      </c>
      <c r="H798" s="63">
        <f t="shared" si="50"/>
        <v>12461185</v>
      </c>
      <c r="I798" s="63">
        <f t="shared" si="49"/>
        <v>0</v>
      </c>
      <c r="J798" s="60"/>
      <c r="K798" s="60"/>
      <c r="L798" s="64"/>
      <c r="M798" s="64"/>
      <c r="N798" s="64"/>
      <c r="O798" s="64"/>
      <c r="P798" s="64"/>
      <c r="Q798" s="64"/>
      <c r="R798" s="64"/>
      <c r="S798" s="64"/>
    </row>
    <row r="799" spans="1:19" ht="16.5" customHeight="1">
      <c r="A799" s="85" t="s">
        <v>1657</v>
      </c>
      <c r="B799" s="78" t="s">
        <v>1658</v>
      </c>
      <c r="C799" s="74" t="s">
        <v>43</v>
      </c>
      <c r="D799" s="92">
        <v>34800</v>
      </c>
      <c r="E799" s="73" t="s">
        <v>807</v>
      </c>
      <c r="F799" s="76">
        <v>63.14</v>
      </c>
      <c r="G799" s="79">
        <v>236500</v>
      </c>
      <c r="H799" s="63">
        <f t="shared" si="50"/>
        <v>14932610</v>
      </c>
      <c r="I799" s="63">
        <f t="shared" si="49"/>
        <v>0</v>
      </c>
      <c r="J799" s="60"/>
      <c r="K799" s="60"/>
      <c r="L799" s="64"/>
      <c r="M799" s="64"/>
      <c r="N799" s="64"/>
      <c r="O799" s="64"/>
      <c r="P799" s="64"/>
      <c r="Q799" s="64"/>
      <c r="R799" s="64"/>
      <c r="S799" s="64"/>
    </row>
    <row r="800" spans="1:19" ht="16.5" customHeight="1">
      <c r="A800" s="85"/>
      <c r="B800" s="78"/>
      <c r="C800" s="74"/>
      <c r="D800" s="92"/>
      <c r="E800" s="73"/>
      <c r="F800" s="76"/>
      <c r="G800" s="79"/>
      <c r="H800" s="63">
        <f t="shared" si="50"/>
        <v>0</v>
      </c>
      <c r="I800" s="63">
        <f t="shared" si="49"/>
        <v>0</v>
      </c>
      <c r="J800" s="60"/>
      <c r="K800" s="60"/>
      <c r="L800" s="64"/>
      <c r="M800" s="64"/>
      <c r="N800" s="64"/>
      <c r="O800" s="64"/>
      <c r="P800" s="64"/>
      <c r="Q800" s="64"/>
      <c r="R800" s="64"/>
      <c r="S800" s="64"/>
    </row>
    <row r="801" spans="1:19" ht="16.5" customHeight="1">
      <c r="A801" s="74" t="s">
        <v>1659</v>
      </c>
      <c r="B801" s="78" t="s">
        <v>1660</v>
      </c>
      <c r="C801" s="74" t="s">
        <v>150</v>
      </c>
      <c r="D801" s="92"/>
      <c r="E801" s="73" t="s">
        <v>807</v>
      </c>
      <c r="F801" s="76">
        <v>52.8</v>
      </c>
      <c r="G801" s="79">
        <v>236500</v>
      </c>
      <c r="H801" s="63">
        <f t="shared" si="50"/>
        <v>12487200</v>
      </c>
      <c r="I801" s="63">
        <f t="shared" si="49"/>
        <v>142448.86319999999</v>
      </c>
      <c r="J801" s="60"/>
      <c r="K801" s="60">
        <f>959898*0.1</f>
        <v>95989.8</v>
      </c>
      <c r="L801" s="64"/>
      <c r="M801" s="64"/>
      <c r="N801" s="64"/>
      <c r="O801" s="64"/>
      <c r="P801" s="64"/>
      <c r="Q801" s="64"/>
      <c r="R801" s="64"/>
      <c r="S801" s="64"/>
    </row>
    <row r="802" spans="1:19" ht="16.5" customHeight="1">
      <c r="A802" s="85"/>
      <c r="B802" s="78"/>
      <c r="C802" s="74"/>
      <c r="D802" s="92"/>
      <c r="E802" s="73"/>
      <c r="F802" s="76"/>
      <c r="G802" s="79"/>
      <c r="H802" s="63">
        <f t="shared" si="50"/>
        <v>0</v>
      </c>
      <c r="I802" s="63">
        <f t="shared" si="49"/>
        <v>0</v>
      </c>
      <c r="J802" s="60"/>
      <c r="K802" s="60"/>
      <c r="L802" s="64"/>
      <c r="M802" s="64"/>
      <c r="N802" s="64"/>
      <c r="O802" s="64"/>
      <c r="P802" s="64"/>
      <c r="Q802" s="64"/>
      <c r="R802" s="64"/>
      <c r="S802" s="64"/>
    </row>
    <row r="803" spans="1:19" ht="16.5" customHeight="1">
      <c r="A803" s="85" t="s">
        <v>1661</v>
      </c>
      <c r="B803" s="78" t="s">
        <v>1662</v>
      </c>
      <c r="C803" s="81" t="s">
        <v>1663</v>
      </c>
      <c r="D803" s="92">
        <v>2399</v>
      </c>
      <c r="E803" s="73" t="s">
        <v>1299</v>
      </c>
      <c r="F803" s="76">
        <v>0.79</v>
      </c>
      <c r="G803" s="79">
        <v>257589</v>
      </c>
      <c r="H803" s="63">
        <f t="shared" si="50"/>
        <v>203495.31</v>
      </c>
      <c r="I803" s="63">
        <f t="shared" ref="I803:I866" si="51">+K803*$I$4</f>
        <v>0</v>
      </c>
      <c r="J803" s="60"/>
      <c r="K803" s="60"/>
      <c r="L803" s="64"/>
      <c r="M803" s="64"/>
      <c r="N803" s="64"/>
      <c r="O803" s="64"/>
      <c r="P803" s="64"/>
      <c r="Q803" s="64"/>
      <c r="R803" s="64"/>
      <c r="S803" s="64"/>
    </row>
    <row r="804" spans="1:19" ht="16.5" customHeight="1">
      <c r="A804" s="85" t="s">
        <v>1664</v>
      </c>
      <c r="B804" s="78" t="s">
        <v>1665</v>
      </c>
      <c r="C804" s="81" t="s">
        <v>1663</v>
      </c>
      <c r="D804" s="92">
        <v>2402</v>
      </c>
      <c r="E804" s="73" t="s">
        <v>1299</v>
      </c>
      <c r="F804" s="76">
        <v>0.91</v>
      </c>
      <c r="G804" s="79">
        <v>257589</v>
      </c>
      <c r="H804" s="63">
        <f t="shared" si="50"/>
        <v>234405.99000000002</v>
      </c>
      <c r="I804" s="63">
        <f t="shared" si="51"/>
        <v>0</v>
      </c>
      <c r="J804" s="60"/>
      <c r="K804" s="60"/>
      <c r="L804" s="64"/>
      <c r="M804" s="64"/>
      <c r="N804" s="64"/>
      <c r="O804" s="64"/>
      <c r="P804" s="64"/>
      <c r="Q804" s="64"/>
      <c r="R804" s="64"/>
      <c r="S804" s="64"/>
    </row>
    <row r="805" spans="1:19" ht="16.5" customHeight="1">
      <c r="A805" s="85" t="s">
        <v>1666</v>
      </c>
      <c r="B805" s="78" t="s">
        <v>1667</v>
      </c>
      <c r="C805" s="81" t="s">
        <v>1663</v>
      </c>
      <c r="D805" s="92">
        <v>2506</v>
      </c>
      <c r="E805" s="73" t="s">
        <v>1299</v>
      </c>
      <c r="F805" s="76">
        <v>1.03</v>
      </c>
      <c r="G805" s="79">
        <v>257589</v>
      </c>
      <c r="H805" s="63">
        <f t="shared" ref="H805:H868" si="52">+G805*F805</f>
        <v>265316.67</v>
      </c>
      <c r="I805" s="63">
        <f t="shared" si="51"/>
        <v>0</v>
      </c>
      <c r="J805" s="60"/>
      <c r="K805" s="60"/>
      <c r="L805" s="64"/>
      <c r="M805" s="64"/>
      <c r="N805" s="64"/>
      <c r="O805" s="64"/>
      <c r="P805" s="64"/>
      <c r="Q805" s="64"/>
      <c r="R805" s="64"/>
      <c r="S805" s="64"/>
    </row>
    <row r="806" spans="1:19" ht="16.5" customHeight="1">
      <c r="A806" s="85" t="s">
        <v>1668</v>
      </c>
      <c r="B806" s="78" t="s">
        <v>1669</v>
      </c>
      <c r="C806" s="81" t="s">
        <v>1663</v>
      </c>
      <c r="D806" s="92">
        <v>3176</v>
      </c>
      <c r="E806" s="73" t="s">
        <v>1299</v>
      </c>
      <c r="F806" s="76">
        <v>1.1399999999999999</v>
      </c>
      <c r="G806" s="79">
        <v>257589</v>
      </c>
      <c r="H806" s="63">
        <f t="shared" si="52"/>
        <v>293651.45999999996</v>
      </c>
      <c r="I806" s="63">
        <f t="shared" si="51"/>
        <v>0</v>
      </c>
      <c r="J806" s="60"/>
      <c r="K806" s="60"/>
      <c r="L806" s="64"/>
      <c r="M806" s="64"/>
      <c r="N806" s="64"/>
      <c r="O806" s="64"/>
      <c r="P806" s="64"/>
      <c r="Q806" s="64"/>
      <c r="R806" s="64"/>
      <c r="S806" s="64"/>
    </row>
    <row r="807" spans="1:19" ht="16.5" customHeight="1">
      <c r="A807" s="85" t="s">
        <v>1670</v>
      </c>
      <c r="B807" s="78" t="s">
        <v>1671</v>
      </c>
      <c r="C807" s="81" t="s">
        <v>1663</v>
      </c>
      <c r="D807" s="92">
        <v>3281</v>
      </c>
      <c r="E807" s="73" t="s">
        <v>1299</v>
      </c>
      <c r="F807" s="76">
        <v>1.28</v>
      </c>
      <c r="G807" s="79">
        <v>257589</v>
      </c>
      <c r="H807" s="63">
        <f t="shared" si="52"/>
        <v>329713.91999999998</v>
      </c>
      <c r="I807" s="63">
        <f t="shared" si="51"/>
        <v>0</v>
      </c>
      <c r="J807" s="60"/>
      <c r="K807" s="60"/>
      <c r="L807" s="64"/>
      <c r="M807" s="64"/>
      <c r="N807" s="64"/>
      <c r="O807" s="64"/>
      <c r="P807" s="64"/>
      <c r="Q807" s="64"/>
      <c r="R807" s="64"/>
      <c r="S807" s="64"/>
    </row>
    <row r="808" spans="1:19" ht="16.5" customHeight="1">
      <c r="A808" s="85" t="s">
        <v>1672</v>
      </c>
      <c r="B808" s="78" t="s">
        <v>1673</v>
      </c>
      <c r="C808" s="81" t="s">
        <v>1663</v>
      </c>
      <c r="D808" s="92">
        <v>3287</v>
      </c>
      <c r="E808" s="73" t="s">
        <v>1299</v>
      </c>
      <c r="F808" s="76">
        <v>1.44</v>
      </c>
      <c r="G808" s="79">
        <v>257589</v>
      </c>
      <c r="H808" s="63">
        <f t="shared" si="52"/>
        <v>370928.16</v>
      </c>
      <c r="I808" s="63">
        <f t="shared" si="51"/>
        <v>0</v>
      </c>
      <c r="J808" s="60"/>
      <c r="K808" s="60"/>
      <c r="L808" s="64"/>
      <c r="M808" s="64"/>
      <c r="N808" s="64"/>
      <c r="O808" s="64"/>
      <c r="P808" s="64"/>
      <c r="Q808" s="64"/>
      <c r="R808" s="64"/>
      <c r="S808" s="64"/>
    </row>
    <row r="809" spans="1:19" ht="16.5" customHeight="1">
      <c r="A809" s="85" t="s">
        <v>1674</v>
      </c>
      <c r="B809" s="78" t="s">
        <v>1675</v>
      </c>
      <c r="C809" s="81" t="s">
        <v>1663</v>
      </c>
      <c r="D809" s="92">
        <v>4095</v>
      </c>
      <c r="E809" s="73" t="s">
        <v>1299</v>
      </c>
      <c r="F809" s="76">
        <v>1.73</v>
      </c>
      <c r="G809" s="79">
        <v>257589</v>
      </c>
      <c r="H809" s="63">
        <f t="shared" si="52"/>
        <v>445628.97</v>
      </c>
      <c r="I809" s="63">
        <f t="shared" si="51"/>
        <v>0</v>
      </c>
      <c r="J809" s="60"/>
      <c r="K809" s="60"/>
      <c r="L809" s="64"/>
      <c r="M809" s="64"/>
      <c r="N809" s="64"/>
      <c r="O809" s="64"/>
      <c r="P809" s="64"/>
      <c r="Q809" s="64"/>
      <c r="R809" s="64"/>
      <c r="S809" s="64"/>
    </row>
    <row r="810" spans="1:19" ht="16.5" customHeight="1">
      <c r="A810" s="85"/>
      <c r="B810" s="78"/>
      <c r="C810" s="81"/>
      <c r="D810" s="92"/>
      <c r="E810" s="73"/>
      <c r="F810" s="76"/>
      <c r="G810" s="79"/>
      <c r="H810" s="63">
        <f t="shared" si="52"/>
        <v>0</v>
      </c>
      <c r="I810" s="63">
        <f t="shared" si="51"/>
        <v>0</v>
      </c>
      <c r="J810" s="60"/>
      <c r="K810" s="60"/>
      <c r="L810" s="64"/>
      <c r="M810" s="64"/>
      <c r="N810" s="64"/>
      <c r="O810" s="64"/>
      <c r="P810" s="64"/>
      <c r="Q810" s="64"/>
      <c r="R810" s="64"/>
      <c r="S810" s="64"/>
    </row>
    <row r="811" spans="1:19" ht="16.5" customHeight="1">
      <c r="A811" s="85" t="s">
        <v>1676</v>
      </c>
      <c r="B811" s="78" t="s">
        <v>1677</v>
      </c>
      <c r="C811" s="81" t="s">
        <v>1663</v>
      </c>
      <c r="D811" s="92">
        <v>2402</v>
      </c>
      <c r="E811" s="73" t="s">
        <v>1299</v>
      </c>
      <c r="F811" s="76">
        <v>0.91</v>
      </c>
      <c r="G811" s="79">
        <v>257589</v>
      </c>
      <c r="H811" s="63">
        <f t="shared" si="52"/>
        <v>234405.99000000002</v>
      </c>
      <c r="I811" s="63">
        <f t="shared" si="51"/>
        <v>0</v>
      </c>
      <c r="J811" s="60"/>
      <c r="K811" s="60"/>
      <c r="L811" s="64"/>
      <c r="M811" s="64"/>
      <c r="N811" s="64"/>
      <c r="O811" s="64"/>
      <c r="P811" s="64"/>
      <c r="Q811" s="64"/>
      <c r="R811" s="64"/>
      <c r="S811" s="64"/>
    </row>
    <row r="812" spans="1:19" ht="16.5" customHeight="1">
      <c r="A812" s="85" t="s">
        <v>1678</v>
      </c>
      <c r="B812" s="78" t="s">
        <v>1679</v>
      </c>
      <c r="C812" s="81" t="s">
        <v>1663</v>
      </c>
      <c r="D812" s="92">
        <v>2404</v>
      </c>
      <c r="E812" s="73" t="s">
        <v>1299</v>
      </c>
      <c r="F812" s="76">
        <v>1.01</v>
      </c>
      <c r="G812" s="79">
        <v>257589</v>
      </c>
      <c r="H812" s="63">
        <f t="shared" si="52"/>
        <v>260164.89</v>
      </c>
      <c r="I812" s="63">
        <f t="shared" si="51"/>
        <v>0</v>
      </c>
      <c r="J812" s="60"/>
      <c r="K812" s="60"/>
      <c r="L812" s="64"/>
      <c r="M812" s="64"/>
      <c r="N812" s="64"/>
      <c r="O812" s="64"/>
      <c r="P812" s="64"/>
      <c r="Q812" s="64"/>
      <c r="R812" s="64"/>
      <c r="S812" s="64"/>
    </row>
    <row r="813" spans="1:19" ht="16.5" customHeight="1">
      <c r="A813" s="85" t="s">
        <v>1680</v>
      </c>
      <c r="B813" s="78" t="s">
        <v>1681</v>
      </c>
      <c r="C813" s="81" t="s">
        <v>1663</v>
      </c>
      <c r="D813" s="92">
        <v>3175</v>
      </c>
      <c r="E813" s="73" t="s">
        <v>1299</v>
      </c>
      <c r="F813" s="76">
        <v>1.1200000000000001</v>
      </c>
      <c r="G813" s="79">
        <v>257589</v>
      </c>
      <c r="H813" s="63">
        <f t="shared" si="52"/>
        <v>288499.68000000005</v>
      </c>
      <c r="I813" s="63">
        <f t="shared" si="51"/>
        <v>0</v>
      </c>
      <c r="J813" s="60"/>
      <c r="K813" s="60"/>
      <c r="L813" s="64"/>
      <c r="M813" s="64"/>
      <c r="N813" s="64"/>
      <c r="O813" s="64"/>
      <c r="P813" s="64"/>
      <c r="Q813" s="64"/>
      <c r="R813" s="64"/>
      <c r="S813" s="64"/>
    </row>
    <row r="814" spans="1:19" ht="16.5" customHeight="1">
      <c r="A814" s="85" t="s">
        <v>1682</v>
      </c>
      <c r="B814" s="78" t="s">
        <v>1683</v>
      </c>
      <c r="C814" s="81" t="s">
        <v>1663</v>
      </c>
      <c r="D814" s="92">
        <v>3181</v>
      </c>
      <c r="E814" s="73" t="s">
        <v>1299</v>
      </c>
      <c r="F814" s="76">
        <v>1.31</v>
      </c>
      <c r="G814" s="79">
        <v>257589</v>
      </c>
      <c r="H814" s="63">
        <f t="shared" si="52"/>
        <v>337441.59</v>
      </c>
      <c r="I814" s="63">
        <f t="shared" si="51"/>
        <v>0</v>
      </c>
      <c r="J814" s="60"/>
      <c r="K814" s="60"/>
      <c r="L814" s="64"/>
      <c r="M814" s="64"/>
      <c r="N814" s="64"/>
      <c r="O814" s="64"/>
      <c r="P814" s="64"/>
      <c r="Q814" s="64"/>
      <c r="R814" s="64"/>
      <c r="S814" s="64"/>
    </row>
    <row r="815" spans="1:19" ht="16.5" customHeight="1">
      <c r="A815" s="85" t="s">
        <v>1684</v>
      </c>
      <c r="B815" s="78" t="s">
        <v>1685</v>
      </c>
      <c r="C815" s="81" t="s">
        <v>1663</v>
      </c>
      <c r="D815" s="92">
        <v>3954</v>
      </c>
      <c r="E815" s="73" t="s">
        <v>1299</v>
      </c>
      <c r="F815" s="76">
        <v>1.39</v>
      </c>
      <c r="G815" s="79">
        <v>257589</v>
      </c>
      <c r="H815" s="63">
        <f t="shared" si="52"/>
        <v>358048.70999999996</v>
      </c>
      <c r="I815" s="63">
        <f t="shared" si="51"/>
        <v>0</v>
      </c>
      <c r="J815" s="60"/>
      <c r="K815" s="60"/>
      <c r="L815" s="64"/>
      <c r="M815" s="64"/>
      <c r="N815" s="64"/>
      <c r="O815" s="64"/>
      <c r="P815" s="64"/>
      <c r="Q815" s="64"/>
      <c r="R815" s="64"/>
      <c r="S815" s="64"/>
    </row>
    <row r="816" spans="1:19" ht="16.5" customHeight="1">
      <c r="A816" s="85" t="s">
        <v>1686</v>
      </c>
      <c r="B816" s="78" t="s">
        <v>1687</v>
      </c>
      <c r="C816" s="81" t="s">
        <v>1663</v>
      </c>
      <c r="D816" s="92">
        <v>3971</v>
      </c>
      <c r="E816" s="73" t="s">
        <v>1299</v>
      </c>
      <c r="F816" s="76">
        <v>1.81</v>
      </c>
      <c r="G816" s="79">
        <v>257589</v>
      </c>
      <c r="H816" s="63">
        <f t="shared" si="52"/>
        <v>466236.09</v>
      </c>
      <c r="I816" s="63">
        <f t="shared" si="51"/>
        <v>0</v>
      </c>
      <c r="J816" s="60"/>
      <c r="K816" s="60"/>
      <c r="L816" s="64"/>
      <c r="M816" s="64"/>
      <c r="N816" s="64"/>
      <c r="O816" s="64"/>
      <c r="P816" s="64"/>
      <c r="Q816" s="64"/>
      <c r="R816" s="64"/>
      <c r="S816" s="64"/>
    </row>
    <row r="817" spans="1:19" ht="16.5" customHeight="1">
      <c r="A817" s="85" t="s">
        <v>1688</v>
      </c>
      <c r="B817" s="78" t="s">
        <v>1689</v>
      </c>
      <c r="C817" s="81" t="s">
        <v>1663</v>
      </c>
      <c r="D817" s="92">
        <v>4787</v>
      </c>
      <c r="E817" s="73" t="s">
        <v>1299</v>
      </c>
      <c r="F817" s="76">
        <v>2.17</v>
      </c>
      <c r="G817" s="79">
        <v>257589</v>
      </c>
      <c r="H817" s="63">
        <f t="shared" si="52"/>
        <v>558968.13</v>
      </c>
      <c r="I817" s="63">
        <f t="shared" si="51"/>
        <v>0</v>
      </c>
      <c r="J817" s="60"/>
      <c r="K817" s="60"/>
      <c r="L817" s="64"/>
      <c r="M817" s="64"/>
      <c r="N817" s="64"/>
      <c r="O817" s="64"/>
      <c r="P817" s="64"/>
      <c r="Q817" s="64"/>
      <c r="R817" s="64"/>
      <c r="S817" s="64"/>
    </row>
    <row r="818" spans="1:19" ht="16.5" customHeight="1">
      <c r="A818" s="85"/>
      <c r="B818" s="78"/>
      <c r="C818" s="81"/>
      <c r="D818" s="92"/>
      <c r="E818" s="73"/>
      <c r="F818" s="76"/>
      <c r="G818" s="79"/>
      <c r="H818" s="63">
        <f t="shared" si="52"/>
        <v>0</v>
      </c>
      <c r="I818" s="63">
        <f t="shared" si="51"/>
        <v>0</v>
      </c>
      <c r="J818" s="60"/>
      <c r="K818" s="60"/>
      <c r="L818" s="64"/>
      <c r="M818" s="64"/>
      <c r="N818" s="64"/>
      <c r="O818" s="64"/>
      <c r="P818" s="64"/>
      <c r="Q818" s="64"/>
      <c r="R818" s="64"/>
      <c r="S818" s="64"/>
    </row>
    <row r="819" spans="1:19" ht="16.5" customHeight="1">
      <c r="A819" s="85" t="s">
        <v>1690</v>
      </c>
      <c r="B819" s="78" t="s">
        <v>1691</v>
      </c>
      <c r="C819" s="81" t="s">
        <v>1663</v>
      </c>
      <c r="D819" s="92">
        <v>2402</v>
      </c>
      <c r="E819" s="73" t="s">
        <v>1299</v>
      </c>
      <c r="F819" s="76">
        <v>1.43</v>
      </c>
      <c r="G819" s="79">
        <v>257589</v>
      </c>
      <c r="H819" s="63">
        <f t="shared" si="52"/>
        <v>368352.26999999996</v>
      </c>
      <c r="I819" s="63">
        <f t="shared" si="51"/>
        <v>0</v>
      </c>
      <c r="J819" s="60"/>
      <c r="K819" s="60"/>
      <c r="L819" s="64"/>
      <c r="M819" s="64"/>
      <c r="N819" s="64"/>
      <c r="O819" s="64"/>
      <c r="P819" s="64"/>
      <c r="Q819" s="64"/>
      <c r="R819" s="64"/>
      <c r="S819" s="64"/>
    </row>
    <row r="820" spans="1:19" ht="16.5" customHeight="1">
      <c r="A820" s="85" t="s">
        <v>1692</v>
      </c>
      <c r="B820" s="78" t="s">
        <v>1693</v>
      </c>
      <c r="C820" s="81" t="s">
        <v>1663</v>
      </c>
      <c r="D820" s="92">
        <v>2404</v>
      </c>
      <c r="E820" s="73" t="s">
        <v>1299</v>
      </c>
      <c r="F820" s="76">
        <v>1.58</v>
      </c>
      <c r="G820" s="79">
        <v>257589</v>
      </c>
      <c r="H820" s="63">
        <f t="shared" si="52"/>
        <v>406990.62</v>
      </c>
      <c r="I820" s="63">
        <f t="shared" si="51"/>
        <v>0</v>
      </c>
      <c r="J820" s="60"/>
      <c r="K820" s="60"/>
      <c r="L820" s="64"/>
      <c r="M820" s="64"/>
      <c r="N820" s="64"/>
      <c r="O820" s="64"/>
      <c r="P820" s="64"/>
      <c r="Q820" s="64"/>
      <c r="R820" s="64"/>
      <c r="S820" s="64"/>
    </row>
    <row r="821" spans="1:19" ht="16.5" customHeight="1">
      <c r="A821" s="85" t="s">
        <v>1694</v>
      </c>
      <c r="B821" s="78" t="s">
        <v>1695</v>
      </c>
      <c r="C821" s="81" t="s">
        <v>1663</v>
      </c>
      <c r="D821" s="92">
        <v>3175</v>
      </c>
      <c r="E821" s="73" t="s">
        <v>1299</v>
      </c>
      <c r="F821" s="76">
        <v>1.75</v>
      </c>
      <c r="G821" s="79">
        <v>257589</v>
      </c>
      <c r="H821" s="63">
        <f t="shared" si="52"/>
        <v>450780.75</v>
      </c>
      <c r="I821" s="63">
        <f t="shared" si="51"/>
        <v>0</v>
      </c>
      <c r="J821" s="60"/>
      <c r="K821" s="60"/>
      <c r="L821" s="64"/>
      <c r="M821" s="64"/>
      <c r="N821" s="64"/>
      <c r="O821" s="64"/>
      <c r="P821" s="64"/>
      <c r="Q821" s="64"/>
      <c r="R821" s="64"/>
      <c r="S821" s="64"/>
    </row>
    <row r="822" spans="1:19" ht="16.5" customHeight="1">
      <c r="A822" s="85" t="s">
        <v>1696</v>
      </c>
      <c r="B822" s="78" t="s">
        <v>1697</v>
      </c>
      <c r="C822" s="81" t="s">
        <v>1663</v>
      </c>
      <c r="D822" s="92">
        <v>3181</v>
      </c>
      <c r="E822" s="73" t="s">
        <v>1299</v>
      </c>
      <c r="F822" s="76">
        <v>1.92</v>
      </c>
      <c r="G822" s="79">
        <v>257589</v>
      </c>
      <c r="H822" s="63">
        <f t="shared" si="52"/>
        <v>494570.88</v>
      </c>
      <c r="I822" s="63">
        <f t="shared" si="51"/>
        <v>0</v>
      </c>
      <c r="J822" s="60"/>
      <c r="K822" s="60"/>
      <c r="L822" s="64"/>
      <c r="M822" s="64"/>
      <c r="N822" s="64"/>
      <c r="O822" s="64"/>
      <c r="P822" s="64"/>
      <c r="Q822" s="64"/>
      <c r="R822" s="64"/>
      <c r="S822" s="64"/>
    </row>
    <row r="823" spans="1:19" ht="16.5" customHeight="1">
      <c r="A823" s="85" t="s">
        <v>1698</v>
      </c>
      <c r="B823" s="78" t="s">
        <v>1699</v>
      </c>
      <c r="C823" s="81" t="s">
        <v>1663</v>
      </c>
      <c r="D823" s="92">
        <v>3954</v>
      </c>
      <c r="E823" s="73" t="s">
        <v>1299</v>
      </c>
      <c r="F823" s="76">
        <v>2.15</v>
      </c>
      <c r="G823" s="79">
        <v>257589</v>
      </c>
      <c r="H823" s="63">
        <f t="shared" si="52"/>
        <v>553816.35</v>
      </c>
      <c r="I823" s="63">
        <f t="shared" si="51"/>
        <v>0</v>
      </c>
      <c r="J823" s="60"/>
      <c r="K823" s="60"/>
      <c r="L823" s="64"/>
      <c r="M823" s="64"/>
      <c r="N823" s="64"/>
      <c r="O823" s="64"/>
      <c r="P823" s="64"/>
      <c r="Q823" s="64"/>
      <c r="R823" s="64"/>
      <c r="S823" s="64"/>
    </row>
    <row r="824" spans="1:19" ht="16.5" customHeight="1">
      <c r="A824" s="85" t="s">
        <v>1700</v>
      </c>
      <c r="B824" s="78" t="s">
        <v>1701</v>
      </c>
      <c r="C824" s="81" t="s">
        <v>1663</v>
      </c>
      <c r="D824" s="92">
        <v>3971</v>
      </c>
      <c r="E824" s="73" t="s">
        <v>1299</v>
      </c>
      <c r="F824" s="76">
        <v>2.78</v>
      </c>
      <c r="G824" s="79">
        <v>257589</v>
      </c>
      <c r="H824" s="63">
        <f t="shared" si="52"/>
        <v>716097.41999999993</v>
      </c>
      <c r="I824" s="63">
        <f t="shared" si="51"/>
        <v>0</v>
      </c>
      <c r="J824" s="60"/>
      <c r="K824" s="60"/>
      <c r="L824" s="64"/>
      <c r="M824" s="64"/>
      <c r="N824" s="64"/>
      <c r="O824" s="64"/>
      <c r="P824" s="64"/>
      <c r="Q824" s="64"/>
      <c r="R824" s="64"/>
      <c r="S824" s="64"/>
    </row>
    <row r="825" spans="1:19" ht="16.5" customHeight="1">
      <c r="A825" s="85" t="s">
        <v>1702</v>
      </c>
      <c r="B825" s="78" t="s">
        <v>1703</v>
      </c>
      <c r="C825" s="81" t="s">
        <v>1663</v>
      </c>
      <c r="D825" s="92">
        <v>4787</v>
      </c>
      <c r="E825" s="73" t="s">
        <v>1299</v>
      </c>
      <c r="F825" s="76">
        <v>3.34</v>
      </c>
      <c r="G825" s="79">
        <v>257589</v>
      </c>
      <c r="H825" s="63">
        <f t="shared" si="52"/>
        <v>860347.26</v>
      </c>
      <c r="I825" s="63">
        <f t="shared" si="51"/>
        <v>0</v>
      </c>
      <c r="J825" s="60"/>
      <c r="K825" s="60"/>
      <c r="L825" s="64"/>
      <c r="M825" s="64"/>
      <c r="N825" s="64"/>
      <c r="O825" s="64"/>
      <c r="P825" s="64"/>
      <c r="Q825" s="64"/>
      <c r="R825" s="64"/>
      <c r="S825" s="64"/>
    </row>
    <row r="826" spans="1:19" ht="16.5" customHeight="1">
      <c r="A826" s="85"/>
      <c r="B826" s="78"/>
      <c r="C826" s="81"/>
      <c r="D826" s="92"/>
      <c r="E826" s="73"/>
      <c r="F826" s="76"/>
      <c r="G826" s="79"/>
      <c r="H826" s="63">
        <f t="shared" si="52"/>
        <v>0</v>
      </c>
      <c r="I826" s="63">
        <f t="shared" si="51"/>
        <v>0</v>
      </c>
      <c r="J826" s="60"/>
      <c r="K826" s="60"/>
      <c r="L826" s="64"/>
      <c r="M826" s="64"/>
      <c r="N826" s="64"/>
      <c r="O826" s="64"/>
      <c r="P826" s="64"/>
      <c r="Q826" s="64"/>
      <c r="R826" s="64"/>
      <c r="S826" s="64"/>
    </row>
    <row r="827" spans="1:19" ht="16.5" customHeight="1">
      <c r="A827" s="85" t="s">
        <v>1704</v>
      </c>
      <c r="B827" s="78" t="s">
        <v>1705</v>
      </c>
      <c r="C827" s="81" t="s">
        <v>1663</v>
      </c>
      <c r="D827" s="92">
        <v>4441</v>
      </c>
      <c r="E827" s="73" t="s">
        <v>1299</v>
      </c>
      <c r="F827" s="76">
        <v>1.85</v>
      </c>
      <c r="G827" s="79">
        <v>257589</v>
      </c>
      <c r="H827" s="63">
        <f t="shared" si="52"/>
        <v>476539.65</v>
      </c>
      <c r="I827" s="63">
        <f t="shared" si="51"/>
        <v>0</v>
      </c>
      <c r="J827" s="60"/>
      <c r="K827" s="60"/>
      <c r="L827" s="64"/>
      <c r="M827" s="64"/>
      <c r="N827" s="64"/>
      <c r="O827" s="64"/>
      <c r="P827" s="64"/>
      <c r="Q827" s="64"/>
      <c r="R827" s="64"/>
      <c r="S827" s="64"/>
    </row>
    <row r="828" spans="1:19" ht="16.5" customHeight="1">
      <c r="A828" s="85" t="s">
        <v>1706</v>
      </c>
      <c r="B828" s="78" t="s">
        <v>1707</v>
      </c>
      <c r="C828" s="81" t="s">
        <v>1663</v>
      </c>
      <c r="D828" s="92">
        <v>4449</v>
      </c>
      <c r="E828" s="73" t="s">
        <v>1299</v>
      </c>
      <c r="F828" s="76">
        <v>2.0499999999999998</v>
      </c>
      <c r="G828" s="79">
        <v>257589</v>
      </c>
      <c r="H828" s="63">
        <f t="shared" si="52"/>
        <v>528057.44999999995</v>
      </c>
      <c r="I828" s="63">
        <f t="shared" si="51"/>
        <v>0</v>
      </c>
      <c r="J828" s="60"/>
      <c r="K828" s="60"/>
      <c r="L828" s="64"/>
      <c r="M828" s="64"/>
      <c r="N828" s="64"/>
      <c r="O828" s="64"/>
      <c r="P828" s="64"/>
      <c r="Q828" s="64"/>
      <c r="R828" s="64"/>
      <c r="S828" s="64"/>
    </row>
    <row r="829" spans="1:19" ht="16.5" customHeight="1">
      <c r="A829" s="85" t="s">
        <v>1708</v>
      </c>
      <c r="B829" s="78" t="s">
        <v>1709</v>
      </c>
      <c r="C829" s="81" t="s">
        <v>1663</v>
      </c>
      <c r="D829" s="92">
        <v>4561</v>
      </c>
      <c r="E829" s="73" t="s">
        <v>1299</v>
      </c>
      <c r="F829" s="76">
        <v>2.27</v>
      </c>
      <c r="G829" s="79">
        <v>257589</v>
      </c>
      <c r="H829" s="63">
        <f t="shared" si="52"/>
        <v>584727.03</v>
      </c>
      <c r="I829" s="63">
        <f t="shared" si="51"/>
        <v>0</v>
      </c>
      <c r="J829" s="60"/>
      <c r="K829" s="60"/>
      <c r="L829" s="64"/>
      <c r="M829" s="64"/>
      <c r="N829" s="64"/>
      <c r="O829" s="64"/>
      <c r="P829" s="64"/>
      <c r="Q829" s="64"/>
      <c r="R829" s="64"/>
      <c r="S829" s="64"/>
    </row>
    <row r="830" spans="1:19" ht="16.5" customHeight="1">
      <c r="A830" s="85" t="s">
        <v>1623</v>
      </c>
      <c r="B830" s="78" t="s">
        <v>1710</v>
      </c>
      <c r="C830" s="81" t="s">
        <v>1663</v>
      </c>
      <c r="D830" s="92">
        <v>4248</v>
      </c>
      <c r="E830" s="73" t="s">
        <v>1299</v>
      </c>
      <c r="F830" s="76">
        <v>2.5</v>
      </c>
      <c r="G830" s="79">
        <v>257589</v>
      </c>
      <c r="H830" s="63">
        <f t="shared" si="52"/>
        <v>643972.5</v>
      </c>
      <c r="I830" s="63">
        <f t="shared" si="51"/>
        <v>0</v>
      </c>
      <c r="J830" s="60"/>
      <c r="K830" s="60"/>
      <c r="L830" s="64"/>
      <c r="M830" s="64"/>
      <c r="N830" s="64"/>
      <c r="O830" s="64"/>
      <c r="P830" s="64"/>
      <c r="Q830" s="64"/>
      <c r="R830" s="64"/>
      <c r="S830" s="64"/>
    </row>
    <row r="831" spans="1:19" ht="16.5" customHeight="1">
      <c r="A831" s="85" t="s">
        <v>1711</v>
      </c>
      <c r="B831" s="78" t="s">
        <v>1712</v>
      </c>
      <c r="C831" s="81" t="s">
        <v>1663</v>
      </c>
      <c r="D831" s="92">
        <v>5366</v>
      </c>
      <c r="E831" s="73" t="s">
        <v>1299</v>
      </c>
      <c r="F831" s="76">
        <v>2.79</v>
      </c>
      <c r="G831" s="79">
        <v>257589</v>
      </c>
      <c r="H831" s="63">
        <f t="shared" si="52"/>
        <v>718673.31</v>
      </c>
      <c r="I831" s="63">
        <f t="shared" si="51"/>
        <v>0</v>
      </c>
      <c r="J831" s="60"/>
      <c r="K831" s="60"/>
      <c r="L831" s="64"/>
      <c r="M831" s="64"/>
      <c r="N831" s="64"/>
      <c r="O831" s="64"/>
      <c r="P831" s="64"/>
      <c r="Q831" s="64"/>
      <c r="R831" s="64"/>
      <c r="S831" s="64"/>
    </row>
    <row r="832" spans="1:19" ht="16.5" customHeight="1">
      <c r="A832" s="85" t="s">
        <v>1713</v>
      </c>
      <c r="B832" s="78" t="s">
        <v>1714</v>
      </c>
      <c r="C832" s="81" t="s">
        <v>1663</v>
      </c>
      <c r="D832" s="92">
        <v>5409</v>
      </c>
      <c r="E832" s="73" t="s">
        <v>1299</v>
      </c>
      <c r="F832" s="76">
        <v>3.62</v>
      </c>
      <c r="G832" s="79">
        <v>257589</v>
      </c>
      <c r="H832" s="63">
        <f t="shared" si="52"/>
        <v>932472.18</v>
      </c>
      <c r="I832" s="63">
        <f t="shared" si="51"/>
        <v>0</v>
      </c>
      <c r="J832" s="60"/>
      <c r="K832" s="60"/>
      <c r="L832" s="64"/>
      <c r="M832" s="64"/>
      <c r="N832" s="64"/>
      <c r="O832" s="64"/>
      <c r="P832" s="64"/>
      <c r="Q832" s="64"/>
      <c r="R832" s="64"/>
      <c r="S832" s="64"/>
    </row>
    <row r="833" spans="1:19" ht="16.5" customHeight="1">
      <c r="A833" s="85" t="s">
        <v>1715</v>
      </c>
      <c r="B833" s="78" t="s">
        <v>1716</v>
      </c>
      <c r="C833" s="81" t="s">
        <v>1663</v>
      </c>
      <c r="D833" s="92">
        <v>6541</v>
      </c>
      <c r="E833" s="73" t="s">
        <v>1299</v>
      </c>
      <c r="F833" s="76">
        <v>4.34</v>
      </c>
      <c r="G833" s="79">
        <v>257589</v>
      </c>
      <c r="H833" s="63">
        <f t="shared" si="52"/>
        <v>1117936.26</v>
      </c>
      <c r="I833" s="63">
        <f t="shared" si="51"/>
        <v>0</v>
      </c>
      <c r="J833" s="60"/>
      <c r="K833" s="60"/>
      <c r="L833" s="64"/>
      <c r="M833" s="64"/>
      <c r="N833" s="64"/>
      <c r="O833" s="64"/>
      <c r="P833" s="64"/>
      <c r="Q833" s="64"/>
      <c r="R833" s="64"/>
      <c r="S833" s="64"/>
    </row>
    <row r="834" spans="1:19" ht="16.5" customHeight="1">
      <c r="A834" s="85"/>
      <c r="B834" s="78"/>
      <c r="C834" s="81"/>
      <c r="D834" s="92"/>
      <c r="E834" s="73"/>
      <c r="F834" s="76"/>
      <c r="G834" s="79"/>
      <c r="H834" s="63">
        <f t="shared" si="52"/>
        <v>0</v>
      </c>
      <c r="I834" s="63">
        <f t="shared" si="51"/>
        <v>0</v>
      </c>
      <c r="J834" s="60"/>
      <c r="K834" s="60"/>
      <c r="L834" s="64"/>
      <c r="M834" s="64"/>
      <c r="N834" s="64"/>
      <c r="O834" s="64"/>
      <c r="P834" s="64"/>
      <c r="Q834" s="64"/>
      <c r="R834" s="64"/>
      <c r="S834" s="64"/>
    </row>
    <row r="835" spans="1:19" ht="16.5" customHeight="1">
      <c r="A835" s="85" t="s">
        <v>1717</v>
      </c>
      <c r="B835" s="78" t="s">
        <v>1718</v>
      </c>
      <c r="C835" s="81" t="s">
        <v>1663</v>
      </c>
      <c r="D835" s="92">
        <v>4441</v>
      </c>
      <c r="E835" s="73" t="s">
        <v>1299</v>
      </c>
      <c r="F835" s="76">
        <v>2.41</v>
      </c>
      <c r="G835" s="79">
        <v>257589</v>
      </c>
      <c r="H835" s="63">
        <f t="shared" si="52"/>
        <v>620789.49</v>
      </c>
      <c r="I835" s="63">
        <f t="shared" si="51"/>
        <v>0</v>
      </c>
      <c r="J835" s="60"/>
      <c r="K835" s="60"/>
      <c r="L835" s="64"/>
      <c r="M835" s="64"/>
      <c r="N835" s="64"/>
      <c r="O835" s="64"/>
      <c r="P835" s="64"/>
      <c r="Q835" s="64"/>
      <c r="R835" s="64"/>
      <c r="S835" s="64"/>
    </row>
    <row r="836" spans="1:19" ht="16.5" customHeight="1">
      <c r="A836" s="85" t="s">
        <v>1719</v>
      </c>
      <c r="B836" s="78" t="s">
        <v>1720</v>
      </c>
      <c r="C836" s="81" t="s">
        <v>1663</v>
      </c>
      <c r="D836" s="92">
        <v>4449</v>
      </c>
      <c r="E836" s="73" t="s">
        <v>1299</v>
      </c>
      <c r="F836" s="76">
        <v>2.67</v>
      </c>
      <c r="G836" s="79">
        <v>257589</v>
      </c>
      <c r="H836" s="63">
        <f t="shared" si="52"/>
        <v>687762.63</v>
      </c>
      <c r="I836" s="63">
        <f t="shared" si="51"/>
        <v>0</v>
      </c>
      <c r="J836" s="60"/>
      <c r="K836" s="60"/>
      <c r="L836" s="64"/>
      <c r="M836" s="64"/>
      <c r="N836" s="64"/>
      <c r="O836" s="64"/>
      <c r="P836" s="64"/>
      <c r="Q836" s="64"/>
      <c r="R836" s="64"/>
      <c r="S836" s="64"/>
    </row>
    <row r="837" spans="1:19" ht="16.5" customHeight="1">
      <c r="A837" s="85" t="s">
        <v>1721</v>
      </c>
      <c r="B837" s="78" t="s">
        <v>1722</v>
      </c>
      <c r="C837" s="81" t="s">
        <v>1663</v>
      </c>
      <c r="D837" s="92">
        <v>4561</v>
      </c>
      <c r="E837" s="73" t="s">
        <v>1299</v>
      </c>
      <c r="F837" s="76">
        <v>2.95</v>
      </c>
      <c r="G837" s="79">
        <v>257589</v>
      </c>
      <c r="H837" s="63">
        <f t="shared" si="52"/>
        <v>759887.55</v>
      </c>
      <c r="I837" s="63">
        <f t="shared" si="51"/>
        <v>0</v>
      </c>
      <c r="J837" s="60"/>
      <c r="K837" s="60"/>
      <c r="L837" s="64"/>
      <c r="M837" s="64"/>
      <c r="N837" s="64"/>
      <c r="O837" s="64"/>
      <c r="P837" s="64"/>
      <c r="Q837" s="64"/>
      <c r="R837" s="64"/>
      <c r="S837" s="64"/>
    </row>
    <row r="838" spans="1:19" ht="16.5" customHeight="1">
      <c r="A838" s="85" t="s">
        <v>1723</v>
      </c>
      <c r="B838" s="78" t="s">
        <v>1724</v>
      </c>
      <c r="C838" s="81" t="s">
        <v>1663</v>
      </c>
      <c r="D838" s="92">
        <v>4248</v>
      </c>
      <c r="E838" s="73" t="s">
        <v>1299</v>
      </c>
      <c r="F838" s="76">
        <v>3.24</v>
      </c>
      <c r="G838" s="79">
        <v>257589</v>
      </c>
      <c r="H838" s="63">
        <f t="shared" si="52"/>
        <v>834588.3600000001</v>
      </c>
      <c r="I838" s="63">
        <f t="shared" si="51"/>
        <v>0</v>
      </c>
      <c r="J838" s="60"/>
      <c r="K838" s="60"/>
      <c r="L838" s="64"/>
      <c r="M838" s="64"/>
      <c r="N838" s="64"/>
      <c r="O838" s="64"/>
      <c r="P838" s="64"/>
      <c r="Q838" s="64"/>
      <c r="R838" s="64"/>
      <c r="S838" s="64"/>
    </row>
    <row r="839" spans="1:19" ht="16.5" customHeight="1">
      <c r="A839" s="85" t="s">
        <v>1725</v>
      </c>
      <c r="B839" s="78" t="s">
        <v>1726</v>
      </c>
      <c r="C839" s="81" t="s">
        <v>1663</v>
      </c>
      <c r="D839" s="92">
        <v>5366</v>
      </c>
      <c r="E839" s="73" t="s">
        <v>1299</v>
      </c>
      <c r="F839" s="76">
        <v>3.63</v>
      </c>
      <c r="G839" s="79">
        <v>257589</v>
      </c>
      <c r="H839" s="63">
        <f t="shared" si="52"/>
        <v>935048.07</v>
      </c>
      <c r="I839" s="63">
        <f t="shared" si="51"/>
        <v>0</v>
      </c>
      <c r="J839" s="60"/>
      <c r="K839" s="60"/>
      <c r="L839" s="64"/>
      <c r="M839" s="64"/>
      <c r="N839" s="64"/>
      <c r="O839" s="64"/>
      <c r="P839" s="64"/>
      <c r="Q839" s="64"/>
      <c r="R839" s="64"/>
      <c r="S839" s="64"/>
    </row>
    <row r="840" spans="1:19" ht="16.5" customHeight="1">
      <c r="A840" s="85" t="s">
        <v>1727</v>
      </c>
      <c r="B840" s="78" t="s">
        <v>1728</v>
      </c>
      <c r="C840" s="81" t="s">
        <v>1663</v>
      </c>
      <c r="D840" s="92">
        <v>5409</v>
      </c>
      <c r="E840" s="73" t="s">
        <v>1299</v>
      </c>
      <c r="F840" s="76">
        <v>4.7</v>
      </c>
      <c r="G840" s="79">
        <v>257589</v>
      </c>
      <c r="H840" s="63">
        <f t="shared" si="52"/>
        <v>1210668.3</v>
      </c>
      <c r="I840" s="63">
        <f t="shared" si="51"/>
        <v>0</v>
      </c>
      <c r="J840" s="60"/>
      <c r="K840" s="60"/>
      <c r="L840" s="64"/>
      <c r="M840" s="64"/>
      <c r="N840" s="64"/>
      <c r="O840" s="64"/>
      <c r="P840" s="64"/>
      <c r="Q840" s="64"/>
      <c r="R840" s="64"/>
      <c r="S840" s="64"/>
    </row>
    <row r="841" spans="1:19" ht="16.5" customHeight="1">
      <c r="A841" s="85" t="s">
        <v>1729</v>
      </c>
      <c r="B841" s="78" t="s">
        <v>1730</v>
      </c>
      <c r="C841" s="81" t="s">
        <v>1663</v>
      </c>
      <c r="D841" s="92">
        <v>6541</v>
      </c>
      <c r="E841" s="73" t="s">
        <v>1299</v>
      </c>
      <c r="F841" s="76">
        <v>5.64</v>
      </c>
      <c r="G841" s="79">
        <v>257589</v>
      </c>
      <c r="H841" s="63">
        <f t="shared" si="52"/>
        <v>1452801.96</v>
      </c>
      <c r="I841" s="63">
        <f t="shared" si="51"/>
        <v>0</v>
      </c>
      <c r="J841" s="60"/>
      <c r="K841" s="60"/>
      <c r="L841" s="64"/>
      <c r="M841" s="64"/>
      <c r="N841" s="64"/>
      <c r="O841" s="64"/>
      <c r="P841" s="64"/>
      <c r="Q841" s="64"/>
      <c r="R841" s="64"/>
      <c r="S841" s="64"/>
    </row>
    <row r="842" spans="1:19" ht="16.5" customHeight="1">
      <c r="A842" s="85"/>
      <c r="B842" s="78"/>
      <c r="C842" s="81"/>
      <c r="D842" s="92"/>
      <c r="E842" s="73"/>
      <c r="F842" s="76"/>
      <c r="G842" s="79"/>
      <c r="H842" s="63">
        <f t="shared" si="52"/>
        <v>0</v>
      </c>
      <c r="I842" s="63">
        <f t="shared" si="51"/>
        <v>0</v>
      </c>
      <c r="J842" s="60"/>
      <c r="K842" s="60"/>
      <c r="L842" s="64"/>
      <c r="M842" s="64"/>
      <c r="N842" s="64"/>
      <c r="O842" s="64"/>
      <c r="P842" s="64"/>
      <c r="Q842" s="64"/>
      <c r="R842" s="64"/>
      <c r="S842" s="64"/>
    </row>
    <row r="843" spans="1:19" ht="16.5" customHeight="1">
      <c r="A843" s="85" t="s">
        <v>1731</v>
      </c>
      <c r="B843" s="78" t="s">
        <v>1732</v>
      </c>
      <c r="C843" s="81" t="s">
        <v>1733</v>
      </c>
      <c r="D843" s="92">
        <v>4799</v>
      </c>
      <c r="E843" s="73" t="s">
        <v>1299</v>
      </c>
      <c r="F843" s="76">
        <v>1.9</v>
      </c>
      <c r="G843" s="79">
        <v>257589</v>
      </c>
      <c r="H843" s="63">
        <f t="shared" si="52"/>
        <v>489419.1</v>
      </c>
      <c r="I843" s="63">
        <f t="shared" si="51"/>
        <v>0</v>
      </c>
      <c r="J843" s="60"/>
      <c r="K843" s="60"/>
      <c r="L843" s="64"/>
      <c r="M843" s="64"/>
      <c r="N843" s="64"/>
      <c r="O843" s="64"/>
      <c r="P843" s="64"/>
      <c r="Q843" s="64"/>
      <c r="R843" s="64"/>
      <c r="S843" s="64"/>
    </row>
    <row r="844" spans="1:19" ht="16.5" customHeight="1">
      <c r="A844" s="85" t="s">
        <v>1734</v>
      </c>
      <c r="B844" s="78" t="s">
        <v>1735</v>
      </c>
      <c r="C844" s="81" t="s">
        <v>1733</v>
      </c>
      <c r="D844" s="92">
        <v>4801</v>
      </c>
      <c r="E844" s="73" t="s">
        <v>1299</v>
      </c>
      <c r="F844" s="76">
        <v>1.94</v>
      </c>
      <c r="G844" s="79">
        <v>257589</v>
      </c>
      <c r="H844" s="63">
        <f t="shared" si="52"/>
        <v>499722.66</v>
      </c>
      <c r="I844" s="63">
        <f t="shared" si="51"/>
        <v>0</v>
      </c>
      <c r="J844" s="60"/>
      <c r="K844" s="60"/>
      <c r="L844" s="64"/>
      <c r="M844" s="64"/>
      <c r="N844" s="64"/>
      <c r="O844" s="64"/>
      <c r="P844" s="64"/>
      <c r="Q844" s="64"/>
      <c r="R844" s="64"/>
      <c r="S844" s="64"/>
    </row>
    <row r="845" spans="1:19" ht="16.5" customHeight="1">
      <c r="A845" s="85" t="s">
        <v>1736</v>
      </c>
      <c r="B845" s="78" t="s">
        <v>1737</v>
      </c>
      <c r="C845" s="81" t="s">
        <v>1733</v>
      </c>
      <c r="D845" s="92">
        <v>4811</v>
      </c>
      <c r="E845" s="73" t="s">
        <v>1299</v>
      </c>
      <c r="F845" s="76">
        <v>2.14</v>
      </c>
      <c r="G845" s="79">
        <v>257589</v>
      </c>
      <c r="H845" s="63">
        <f t="shared" si="52"/>
        <v>551240.46000000008</v>
      </c>
      <c r="I845" s="63">
        <f t="shared" si="51"/>
        <v>0</v>
      </c>
      <c r="J845" s="60"/>
      <c r="K845" s="60"/>
      <c r="L845" s="64"/>
      <c r="M845" s="64"/>
      <c r="N845" s="64"/>
      <c r="O845" s="64"/>
      <c r="P845" s="64"/>
      <c r="Q845" s="64"/>
      <c r="R845" s="64"/>
      <c r="S845" s="64"/>
    </row>
    <row r="846" spans="1:19" ht="16.5" customHeight="1">
      <c r="A846" s="85" t="s">
        <v>1738</v>
      </c>
      <c r="B846" s="78" t="s">
        <v>1739</v>
      </c>
      <c r="C846" s="81" t="s">
        <v>1733</v>
      </c>
      <c r="D846" s="92">
        <v>6091</v>
      </c>
      <c r="E846" s="73" t="s">
        <v>1299</v>
      </c>
      <c r="F846" s="76">
        <v>2.37</v>
      </c>
      <c r="G846" s="79">
        <v>257589</v>
      </c>
      <c r="H846" s="63">
        <f t="shared" si="52"/>
        <v>610485.93000000005</v>
      </c>
      <c r="I846" s="63">
        <f t="shared" si="51"/>
        <v>0</v>
      </c>
      <c r="J846" s="60"/>
      <c r="K846" s="60"/>
      <c r="L846" s="64"/>
      <c r="M846" s="64"/>
      <c r="N846" s="64"/>
      <c r="O846" s="64"/>
      <c r="P846" s="64"/>
      <c r="Q846" s="64"/>
      <c r="R846" s="64"/>
      <c r="S846" s="64"/>
    </row>
    <row r="847" spans="1:19" ht="16.5" customHeight="1">
      <c r="A847" s="85" t="s">
        <v>1740</v>
      </c>
      <c r="B847" s="78" t="s">
        <v>1741</v>
      </c>
      <c r="C847" s="81" t="s">
        <v>1733</v>
      </c>
      <c r="D847" s="92">
        <v>6103</v>
      </c>
      <c r="E847" s="73" t="s">
        <v>1299</v>
      </c>
      <c r="F847" s="76">
        <v>2.57</v>
      </c>
      <c r="G847" s="79">
        <v>257589</v>
      </c>
      <c r="H847" s="63">
        <f t="shared" si="52"/>
        <v>662003.73</v>
      </c>
      <c r="I847" s="63">
        <f t="shared" si="51"/>
        <v>0</v>
      </c>
      <c r="J847" s="60"/>
      <c r="K847" s="60"/>
      <c r="L847" s="64"/>
      <c r="M847" s="64"/>
      <c r="N847" s="64"/>
      <c r="O847" s="64"/>
      <c r="P847" s="64"/>
      <c r="Q847" s="64"/>
      <c r="R847" s="64"/>
      <c r="S847" s="64"/>
    </row>
    <row r="848" spans="1:19" ht="16.5" customHeight="1">
      <c r="A848" s="85" t="s">
        <v>1742</v>
      </c>
      <c r="B848" s="78" t="s">
        <v>1743</v>
      </c>
      <c r="C848" s="81" t="s">
        <v>1733</v>
      </c>
      <c r="D848" s="92">
        <v>6116</v>
      </c>
      <c r="E848" s="73" t="s">
        <v>1299</v>
      </c>
      <c r="F848" s="76">
        <v>2.79</v>
      </c>
      <c r="G848" s="79">
        <v>257589</v>
      </c>
      <c r="H848" s="63">
        <f t="shared" si="52"/>
        <v>718673.31</v>
      </c>
      <c r="I848" s="63">
        <f t="shared" si="51"/>
        <v>0</v>
      </c>
      <c r="J848" s="60"/>
      <c r="K848" s="60"/>
      <c r="L848" s="64"/>
      <c r="M848" s="64"/>
      <c r="N848" s="64"/>
      <c r="O848" s="64"/>
      <c r="P848" s="64"/>
      <c r="Q848" s="64"/>
      <c r="R848" s="64"/>
      <c r="S848" s="64"/>
    </row>
    <row r="849" spans="1:19" ht="16.5" customHeight="1">
      <c r="A849" s="85" t="s">
        <v>1744</v>
      </c>
      <c r="B849" s="78" t="s">
        <v>1745</v>
      </c>
      <c r="C849" s="81" t="s">
        <v>1733</v>
      </c>
      <c r="D849" s="92">
        <v>7379</v>
      </c>
      <c r="E849" s="73" t="s">
        <v>1299</v>
      </c>
      <c r="F849" s="76">
        <v>3.35</v>
      </c>
      <c r="G849" s="79">
        <v>257589</v>
      </c>
      <c r="H849" s="63">
        <f t="shared" si="52"/>
        <v>862923.15</v>
      </c>
      <c r="I849" s="63">
        <f t="shared" si="51"/>
        <v>0</v>
      </c>
      <c r="J849" s="60"/>
      <c r="K849" s="60"/>
      <c r="L849" s="64"/>
      <c r="M849" s="64"/>
      <c r="N849" s="64"/>
      <c r="O849" s="64"/>
      <c r="P849" s="64"/>
      <c r="Q849" s="64"/>
      <c r="R849" s="64"/>
      <c r="S849" s="64"/>
    </row>
    <row r="850" spans="1:19" ht="16.5" customHeight="1">
      <c r="A850" s="85"/>
      <c r="B850" s="78"/>
      <c r="C850" s="81"/>
      <c r="D850" s="92"/>
      <c r="E850" s="73"/>
      <c r="F850" s="76"/>
      <c r="G850" s="79"/>
      <c r="H850" s="63">
        <f t="shared" si="52"/>
        <v>0</v>
      </c>
      <c r="I850" s="63">
        <f t="shared" si="51"/>
        <v>0</v>
      </c>
      <c r="J850" s="60"/>
      <c r="K850" s="60"/>
      <c r="L850" s="64"/>
      <c r="M850" s="64"/>
      <c r="N850" s="64"/>
      <c r="O850" s="64"/>
      <c r="P850" s="64"/>
      <c r="Q850" s="64"/>
      <c r="R850" s="64"/>
      <c r="S850" s="64"/>
    </row>
    <row r="851" spans="1:19" ht="16.5" customHeight="1">
      <c r="A851" s="85" t="s">
        <v>1746</v>
      </c>
      <c r="B851" s="78" t="s">
        <v>1747</v>
      </c>
      <c r="C851" s="81" t="s">
        <v>1733</v>
      </c>
      <c r="D851" s="92">
        <v>11060</v>
      </c>
      <c r="E851" s="73" t="s">
        <v>1299</v>
      </c>
      <c r="F851" s="76">
        <v>3.85</v>
      </c>
      <c r="G851" s="79">
        <v>257589</v>
      </c>
      <c r="H851" s="63">
        <f t="shared" si="52"/>
        <v>991717.65</v>
      </c>
      <c r="I851" s="63">
        <f t="shared" si="51"/>
        <v>0</v>
      </c>
      <c r="J851" s="60"/>
      <c r="K851" s="60"/>
      <c r="L851" s="64"/>
      <c r="M851" s="64"/>
      <c r="N851" s="64"/>
      <c r="O851" s="64"/>
      <c r="P851" s="64"/>
      <c r="Q851" s="64"/>
      <c r="R851" s="64"/>
      <c r="S851" s="64"/>
    </row>
    <row r="852" spans="1:19" ht="16.5" customHeight="1">
      <c r="A852" s="85" t="s">
        <v>1748</v>
      </c>
      <c r="B852" s="78" t="s">
        <v>1749</v>
      </c>
      <c r="C852" s="81" t="s">
        <v>1733</v>
      </c>
      <c r="D852" s="92">
        <v>11094</v>
      </c>
      <c r="E852" s="73" t="s">
        <v>1299</v>
      </c>
      <c r="F852" s="76">
        <v>4.17</v>
      </c>
      <c r="G852" s="79">
        <v>257589</v>
      </c>
      <c r="H852" s="63">
        <f t="shared" si="52"/>
        <v>1074146.1299999999</v>
      </c>
      <c r="I852" s="63">
        <f t="shared" si="51"/>
        <v>0</v>
      </c>
      <c r="J852" s="60"/>
      <c r="K852" s="60"/>
      <c r="L852" s="64"/>
      <c r="M852" s="64"/>
      <c r="N852" s="64"/>
      <c r="O852" s="64"/>
      <c r="P852" s="64"/>
      <c r="Q852" s="64"/>
      <c r="R852" s="64"/>
      <c r="S852" s="64"/>
    </row>
    <row r="853" spans="1:19" ht="16.5" customHeight="1">
      <c r="A853" s="85" t="s">
        <v>1750</v>
      </c>
      <c r="B853" s="78" t="s">
        <v>1751</v>
      </c>
      <c r="C853" s="81" t="s">
        <v>1733</v>
      </c>
      <c r="D853" s="92">
        <v>11146</v>
      </c>
      <c r="E853" s="73" t="s">
        <v>1299</v>
      </c>
      <c r="F853" s="76">
        <v>4.66</v>
      </c>
      <c r="G853" s="79">
        <v>257589</v>
      </c>
      <c r="H853" s="63">
        <f t="shared" si="52"/>
        <v>1200364.74</v>
      </c>
      <c r="I853" s="63">
        <f t="shared" si="51"/>
        <v>0</v>
      </c>
      <c r="J853" s="60"/>
      <c r="K853" s="60"/>
      <c r="L853" s="64"/>
      <c r="M853" s="64"/>
      <c r="N853" s="64"/>
      <c r="O853" s="64"/>
      <c r="P853" s="64"/>
      <c r="Q853" s="64"/>
      <c r="R853" s="64"/>
      <c r="S853" s="64"/>
    </row>
    <row r="854" spans="1:19" ht="16.5" customHeight="1">
      <c r="A854" s="85" t="s">
        <v>1752</v>
      </c>
      <c r="B854" s="78" t="s">
        <v>1753</v>
      </c>
      <c r="C854" s="81" t="s">
        <v>1733</v>
      </c>
      <c r="D854" s="92">
        <v>14928</v>
      </c>
      <c r="E854" s="73" t="s">
        <v>1299</v>
      </c>
      <c r="F854" s="76">
        <v>5.13</v>
      </c>
      <c r="G854" s="79">
        <v>257589</v>
      </c>
      <c r="H854" s="63">
        <f t="shared" si="52"/>
        <v>1321431.57</v>
      </c>
      <c r="I854" s="63">
        <f t="shared" si="51"/>
        <v>0</v>
      </c>
      <c r="J854" s="60"/>
      <c r="K854" s="60"/>
      <c r="L854" s="64"/>
      <c r="M854" s="64"/>
      <c r="N854" s="64"/>
      <c r="O854" s="64"/>
      <c r="P854" s="64"/>
      <c r="Q854" s="64"/>
      <c r="R854" s="64"/>
      <c r="S854" s="64"/>
    </row>
    <row r="855" spans="1:19" ht="16.5" customHeight="1">
      <c r="A855" s="85" t="s">
        <v>1754</v>
      </c>
      <c r="B855" s="78" t="s">
        <v>1755</v>
      </c>
      <c r="C855" s="81" t="s">
        <v>1733</v>
      </c>
      <c r="D855" s="92">
        <v>14997</v>
      </c>
      <c r="E855" s="73" t="s">
        <v>1299</v>
      </c>
      <c r="F855" s="76">
        <v>5.61</v>
      </c>
      <c r="G855" s="79">
        <v>257589</v>
      </c>
      <c r="H855" s="63">
        <f t="shared" si="52"/>
        <v>1445074.29</v>
      </c>
      <c r="I855" s="63">
        <f t="shared" si="51"/>
        <v>0</v>
      </c>
      <c r="J855" s="60"/>
      <c r="K855" s="60"/>
      <c r="L855" s="64"/>
      <c r="M855" s="64"/>
      <c r="N855" s="64"/>
      <c r="O855" s="64"/>
      <c r="P855" s="64"/>
      <c r="Q855" s="64"/>
      <c r="R855" s="64"/>
      <c r="S855" s="64"/>
    </row>
    <row r="856" spans="1:19" ht="16.5" customHeight="1">
      <c r="A856" s="85" t="s">
        <v>1756</v>
      </c>
      <c r="B856" s="78" t="s">
        <v>1757</v>
      </c>
      <c r="C856" s="81" t="s">
        <v>1733</v>
      </c>
      <c r="D856" s="92">
        <v>15075</v>
      </c>
      <c r="E856" s="73" t="s">
        <v>1299</v>
      </c>
      <c r="F856" s="76">
        <v>6.16</v>
      </c>
      <c r="G856" s="79">
        <v>257589</v>
      </c>
      <c r="H856" s="63">
        <f t="shared" si="52"/>
        <v>1586748.24</v>
      </c>
      <c r="I856" s="63">
        <f t="shared" si="51"/>
        <v>0</v>
      </c>
      <c r="J856" s="60"/>
      <c r="K856" s="60"/>
      <c r="L856" s="64"/>
      <c r="M856" s="64"/>
      <c r="N856" s="64"/>
      <c r="O856" s="64"/>
      <c r="P856" s="64"/>
      <c r="Q856" s="64"/>
      <c r="R856" s="64"/>
      <c r="S856" s="64"/>
    </row>
    <row r="857" spans="1:19" ht="16.5" customHeight="1">
      <c r="A857" s="85" t="s">
        <v>1758</v>
      </c>
      <c r="B857" s="78" t="s">
        <v>1759</v>
      </c>
      <c r="C857" s="81" t="s">
        <v>1733</v>
      </c>
      <c r="D857" s="92">
        <v>18809</v>
      </c>
      <c r="E857" s="73" t="s">
        <v>1299</v>
      </c>
      <c r="F857" s="76">
        <v>7.39</v>
      </c>
      <c r="G857" s="79">
        <v>257589</v>
      </c>
      <c r="H857" s="63">
        <f t="shared" si="52"/>
        <v>1903582.71</v>
      </c>
      <c r="I857" s="63">
        <f t="shared" si="51"/>
        <v>0</v>
      </c>
      <c r="J857" s="60"/>
      <c r="K857" s="60"/>
      <c r="L857" s="64"/>
      <c r="M857" s="64"/>
      <c r="N857" s="64"/>
      <c r="O857" s="64"/>
      <c r="P857" s="64"/>
      <c r="Q857" s="64"/>
      <c r="R857" s="64"/>
      <c r="S857" s="64"/>
    </row>
    <row r="858" spans="1:19" ht="16.5" customHeight="1">
      <c r="A858" s="85"/>
      <c r="B858" s="78"/>
      <c r="C858" s="81"/>
      <c r="D858" s="92"/>
      <c r="E858" s="73"/>
      <c r="F858" s="76"/>
      <c r="G858" s="79"/>
      <c r="H858" s="63">
        <f t="shared" si="52"/>
        <v>0</v>
      </c>
      <c r="I858" s="63">
        <f t="shared" si="51"/>
        <v>0</v>
      </c>
      <c r="J858" s="60"/>
      <c r="K858" s="60"/>
      <c r="L858" s="64"/>
      <c r="M858" s="64"/>
      <c r="N858" s="64"/>
      <c r="O858" s="64"/>
      <c r="P858" s="64"/>
      <c r="Q858" s="64"/>
      <c r="R858" s="64"/>
      <c r="S858" s="64"/>
    </row>
    <row r="859" spans="1:19" ht="16.5" customHeight="1">
      <c r="A859" s="85" t="s">
        <v>1760</v>
      </c>
      <c r="B859" s="78" t="s">
        <v>1761</v>
      </c>
      <c r="C859" s="81" t="s">
        <v>1733</v>
      </c>
      <c r="D859" s="92">
        <v>11060</v>
      </c>
      <c r="E859" s="73" t="s">
        <v>1299</v>
      </c>
      <c r="F859" s="76">
        <v>4.62</v>
      </c>
      <c r="G859" s="79">
        <v>257589</v>
      </c>
      <c r="H859" s="63">
        <f t="shared" si="52"/>
        <v>1190061.18</v>
      </c>
      <c r="I859" s="63">
        <f t="shared" si="51"/>
        <v>0</v>
      </c>
      <c r="J859" s="60"/>
      <c r="K859" s="60"/>
      <c r="L859" s="64"/>
      <c r="M859" s="64"/>
      <c r="N859" s="64"/>
      <c r="O859" s="64"/>
      <c r="P859" s="64"/>
      <c r="Q859" s="64"/>
      <c r="R859" s="64"/>
      <c r="S859" s="64"/>
    </row>
    <row r="860" spans="1:19" ht="16.5" customHeight="1">
      <c r="A860" s="85" t="s">
        <v>1762</v>
      </c>
      <c r="B860" s="78" t="s">
        <v>1763</v>
      </c>
      <c r="C860" s="81" t="s">
        <v>1733</v>
      </c>
      <c r="D860" s="92">
        <v>11094</v>
      </c>
      <c r="E860" s="73" t="s">
        <v>1299</v>
      </c>
      <c r="F860" s="76">
        <v>5.0199999999999996</v>
      </c>
      <c r="G860" s="79">
        <v>257589</v>
      </c>
      <c r="H860" s="63">
        <f t="shared" si="52"/>
        <v>1293096.7799999998</v>
      </c>
      <c r="I860" s="63">
        <f t="shared" si="51"/>
        <v>0</v>
      </c>
      <c r="J860" s="60"/>
      <c r="K860" s="60"/>
      <c r="L860" s="64"/>
      <c r="M860" s="64"/>
      <c r="N860" s="64"/>
      <c r="O860" s="64"/>
      <c r="P860" s="64"/>
      <c r="Q860" s="64"/>
      <c r="R860" s="64"/>
      <c r="S860" s="64"/>
    </row>
    <row r="861" spans="1:19" ht="16.5" customHeight="1">
      <c r="A861" s="85" t="s">
        <v>1764</v>
      </c>
      <c r="B861" s="78" t="s">
        <v>1765</v>
      </c>
      <c r="C861" s="81" t="s">
        <v>1733</v>
      </c>
      <c r="D861" s="92">
        <v>11146</v>
      </c>
      <c r="E861" s="73" t="s">
        <v>1299</v>
      </c>
      <c r="F861" s="76">
        <v>5.59</v>
      </c>
      <c r="G861" s="79">
        <v>257589</v>
      </c>
      <c r="H861" s="63">
        <f t="shared" si="52"/>
        <v>1439922.51</v>
      </c>
      <c r="I861" s="63">
        <f t="shared" si="51"/>
        <v>0</v>
      </c>
      <c r="J861" s="60"/>
      <c r="K861" s="60"/>
      <c r="L861" s="64"/>
      <c r="M861" s="64"/>
      <c r="N861" s="64"/>
      <c r="O861" s="64"/>
      <c r="P861" s="64"/>
      <c r="Q861" s="64"/>
      <c r="R861" s="64"/>
      <c r="S861" s="64"/>
    </row>
    <row r="862" spans="1:19" ht="16.5" customHeight="1">
      <c r="A862" s="85" t="s">
        <v>1766</v>
      </c>
      <c r="B862" s="78" t="s">
        <v>1767</v>
      </c>
      <c r="C862" s="81" t="s">
        <v>1733</v>
      </c>
      <c r="D862" s="92">
        <v>14928</v>
      </c>
      <c r="E862" s="73" t="s">
        <v>1299</v>
      </c>
      <c r="F862" s="76">
        <v>6.16</v>
      </c>
      <c r="G862" s="79">
        <v>257589</v>
      </c>
      <c r="H862" s="63">
        <f t="shared" si="52"/>
        <v>1586748.24</v>
      </c>
      <c r="I862" s="63">
        <f t="shared" si="51"/>
        <v>0</v>
      </c>
      <c r="J862" s="60"/>
      <c r="K862" s="60"/>
      <c r="L862" s="64"/>
      <c r="M862" s="64"/>
      <c r="N862" s="64"/>
      <c r="O862" s="64"/>
      <c r="P862" s="64"/>
      <c r="Q862" s="64"/>
      <c r="R862" s="64"/>
      <c r="S862" s="64"/>
    </row>
    <row r="863" spans="1:19" ht="16.5" customHeight="1">
      <c r="A863" s="85" t="s">
        <v>1768</v>
      </c>
      <c r="B863" s="78" t="s">
        <v>1769</v>
      </c>
      <c r="C863" s="81" t="s">
        <v>1733</v>
      </c>
      <c r="D863" s="92">
        <v>14997</v>
      </c>
      <c r="E863" s="73" t="s">
        <v>1299</v>
      </c>
      <c r="F863" s="76">
        <v>6.73</v>
      </c>
      <c r="G863" s="79">
        <v>257589</v>
      </c>
      <c r="H863" s="63">
        <f t="shared" si="52"/>
        <v>1733573.9700000002</v>
      </c>
      <c r="I863" s="63">
        <f t="shared" si="51"/>
        <v>0</v>
      </c>
      <c r="J863" s="60"/>
      <c r="K863" s="60"/>
      <c r="L863" s="64"/>
      <c r="M863" s="64"/>
      <c r="N863" s="64"/>
      <c r="O863" s="64"/>
      <c r="P863" s="64"/>
      <c r="Q863" s="64"/>
      <c r="R863" s="64"/>
      <c r="S863" s="64"/>
    </row>
    <row r="864" spans="1:19" ht="16.5" customHeight="1">
      <c r="A864" s="85" t="s">
        <v>1770</v>
      </c>
      <c r="B864" s="78" t="s">
        <v>1771</v>
      </c>
      <c r="C864" s="81" t="s">
        <v>1733</v>
      </c>
      <c r="D864" s="92">
        <v>15075</v>
      </c>
      <c r="E864" s="73" t="s">
        <v>1299</v>
      </c>
      <c r="F864" s="76">
        <v>7.38</v>
      </c>
      <c r="G864" s="79">
        <v>257589</v>
      </c>
      <c r="H864" s="63">
        <f t="shared" si="52"/>
        <v>1901006.82</v>
      </c>
      <c r="I864" s="63">
        <f t="shared" si="51"/>
        <v>0</v>
      </c>
      <c r="J864" s="60"/>
      <c r="K864" s="60"/>
      <c r="L864" s="64"/>
      <c r="M864" s="64"/>
      <c r="N864" s="64"/>
      <c r="O864" s="64"/>
      <c r="P864" s="64"/>
      <c r="Q864" s="64"/>
      <c r="R864" s="64"/>
      <c r="S864" s="64"/>
    </row>
    <row r="865" spans="1:19" ht="16.5" customHeight="1">
      <c r="A865" s="85" t="s">
        <v>1772</v>
      </c>
      <c r="B865" s="78" t="s">
        <v>1773</v>
      </c>
      <c r="C865" s="81" t="s">
        <v>1733</v>
      </c>
      <c r="D865" s="92">
        <v>18809</v>
      </c>
      <c r="E865" s="73" t="s">
        <v>1299</v>
      </c>
      <c r="F865" s="76">
        <v>8.86</v>
      </c>
      <c r="G865" s="79">
        <v>257589</v>
      </c>
      <c r="H865" s="63">
        <f t="shared" si="52"/>
        <v>2282238.54</v>
      </c>
      <c r="I865" s="63">
        <f t="shared" si="51"/>
        <v>0</v>
      </c>
      <c r="J865" s="60"/>
      <c r="K865" s="60"/>
      <c r="L865" s="64"/>
      <c r="M865" s="64"/>
      <c r="N865" s="64"/>
      <c r="O865" s="64"/>
      <c r="P865" s="64"/>
      <c r="Q865" s="64"/>
      <c r="R865" s="64"/>
      <c r="S865" s="64"/>
    </row>
    <row r="866" spans="1:19" ht="16.5" customHeight="1">
      <c r="A866" s="85"/>
      <c r="B866" s="78"/>
      <c r="C866" s="81"/>
      <c r="D866" s="92"/>
      <c r="E866" s="73"/>
      <c r="F866" s="76"/>
      <c r="G866" s="79"/>
      <c r="H866" s="63">
        <f t="shared" si="52"/>
        <v>0</v>
      </c>
      <c r="I866" s="63">
        <f t="shared" si="51"/>
        <v>0</v>
      </c>
      <c r="J866" s="60"/>
      <c r="K866" s="60"/>
      <c r="L866" s="64"/>
      <c r="M866" s="64"/>
      <c r="N866" s="64"/>
      <c r="O866" s="64"/>
      <c r="P866" s="64"/>
      <c r="Q866" s="64"/>
      <c r="R866" s="64"/>
      <c r="S866" s="64"/>
    </row>
    <row r="867" spans="1:19" ht="16.5" customHeight="1">
      <c r="A867" s="85" t="s">
        <v>179</v>
      </c>
      <c r="B867" s="78" t="s">
        <v>1774</v>
      </c>
      <c r="C867" s="81" t="s">
        <v>1775</v>
      </c>
      <c r="D867" s="92"/>
      <c r="E867" s="73" t="s">
        <v>1299</v>
      </c>
      <c r="F867" s="76">
        <v>0.2</v>
      </c>
      <c r="G867" s="79">
        <v>257589</v>
      </c>
      <c r="H867" s="63">
        <f t="shared" si="52"/>
        <v>51517.8</v>
      </c>
      <c r="I867" s="63">
        <f t="shared" ref="I867:I930" si="53">+K867*$I$4</f>
        <v>21854.867999999999</v>
      </c>
      <c r="J867" s="60"/>
      <c r="K867" s="60">
        <v>14727</v>
      </c>
      <c r="L867" s="64"/>
      <c r="M867" s="64"/>
      <c r="N867" s="64"/>
      <c r="O867" s="64"/>
      <c r="P867" s="64"/>
      <c r="Q867" s="64"/>
      <c r="R867" s="64"/>
      <c r="S867" s="64"/>
    </row>
    <row r="868" spans="1:19" ht="16.5" customHeight="1">
      <c r="A868" s="85" t="s">
        <v>1776</v>
      </c>
      <c r="B868" s="78" t="s">
        <v>1777</v>
      </c>
      <c r="C868" s="81" t="s">
        <v>1775</v>
      </c>
      <c r="D868" s="92"/>
      <c r="E868" s="73" t="s">
        <v>1299</v>
      </c>
      <c r="F868" s="76">
        <v>0.35</v>
      </c>
      <c r="G868" s="79">
        <v>257589</v>
      </c>
      <c r="H868" s="63">
        <f t="shared" si="52"/>
        <v>90156.15</v>
      </c>
      <c r="I868" s="63">
        <f t="shared" si="53"/>
        <v>21854.867999999999</v>
      </c>
      <c r="J868" s="60"/>
      <c r="K868" s="60">
        <v>14727</v>
      </c>
      <c r="L868" s="64"/>
      <c r="M868" s="64"/>
      <c r="N868" s="64"/>
      <c r="O868" s="64"/>
      <c r="P868" s="64"/>
      <c r="Q868" s="64"/>
      <c r="R868" s="64"/>
      <c r="S868" s="64"/>
    </row>
    <row r="869" spans="1:19" ht="16.5" customHeight="1">
      <c r="A869" s="85" t="s">
        <v>190</v>
      </c>
      <c r="B869" s="78" t="s">
        <v>1778</v>
      </c>
      <c r="C869" s="81" t="s">
        <v>1775</v>
      </c>
      <c r="D869" s="92"/>
      <c r="E869" s="73" t="s">
        <v>1299</v>
      </c>
      <c r="F869" s="76">
        <v>0.55000000000000004</v>
      </c>
      <c r="G869" s="79">
        <v>257589</v>
      </c>
      <c r="H869" s="63">
        <f t="shared" ref="H869:H894" si="54">+G869*F869</f>
        <v>141673.95000000001</v>
      </c>
      <c r="I869" s="63">
        <f t="shared" si="53"/>
        <v>26225.248</v>
      </c>
      <c r="J869" s="60"/>
      <c r="K869" s="60">
        <v>17672</v>
      </c>
      <c r="L869" s="64"/>
      <c r="M869" s="64"/>
      <c r="N869" s="64"/>
      <c r="O869" s="64"/>
      <c r="P869" s="64"/>
      <c r="Q869" s="64"/>
      <c r="R869" s="64"/>
      <c r="S869" s="64"/>
    </row>
    <row r="870" spans="1:19" ht="16.5" customHeight="1">
      <c r="A870" s="85" t="s">
        <v>1779</v>
      </c>
      <c r="B870" s="78" t="s">
        <v>1780</v>
      </c>
      <c r="C870" s="81" t="s">
        <v>1775</v>
      </c>
      <c r="D870" s="92"/>
      <c r="E870" s="73" t="s">
        <v>1299</v>
      </c>
      <c r="F870" s="76">
        <v>0.7</v>
      </c>
      <c r="G870" s="79">
        <v>257589</v>
      </c>
      <c r="H870" s="63">
        <f t="shared" si="54"/>
        <v>180312.3</v>
      </c>
      <c r="I870" s="63">
        <f t="shared" si="53"/>
        <v>26225.248</v>
      </c>
      <c r="J870" s="60"/>
      <c r="K870" s="60">
        <v>17672</v>
      </c>
      <c r="L870" s="64"/>
      <c r="M870" s="64"/>
      <c r="N870" s="64"/>
      <c r="O870" s="64"/>
      <c r="P870" s="64"/>
      <c r="Q870" s="64"/>
      <c r="R870" s="64"/>
      <c r="S870" s="64"/>
    </row>
    <row r="871" spans="1:19" ht="16.5" customHeight="1">
      <c r="A871" s="85" t="s">
        <v>188</v>
      </c>
      <c r="B871" s="78" t="s">
        <v>1781</v>
      </c>
      <c r="C871" s="81" t="s">
        <v>1775</v>
      </c>
      <c r="D871" s="92"/>
      <c r="E871" s="73" t="s">
        <v>1299</v>
      </c>
      <c r="F871" s="76">
        <v>0.9</v>
      </c>
      <c r="G871" s="79">
        <v>257589</v>
      </c>
      <c r="H871" s="63">
        <f t="shared" si="54"/>
        <v>231830.1</v>
      </c>
      <c r="I871" s="63">
        <f t="shared" si="53"/>
        <v>30595.628000000001</v>
      </c>
      <c r="J871" s="60"/>
      <c r="K871" s="60">
        <v>20617</v>
      </c>
      <c r="L871" s="64"/>
      <c r="M871" s="64"/>
      <c r="N871" s="64"/>
      <c r="O871" s="64"/>
      <c r="P871" s="64"/>
      <c r="Q871" s="64"/>
      <c r="R871" s="64"/>
      <c r="S871" s="64"/>
    </row>
    <row r="872" spans="1:19" ht="16.5" customHeight="1">
      <c r="A872" s="85" t="s">
        <v>1782</v>
      </c>
      <c r="B872" s="78" t="s">
        <v>1783</v>
      </c>
      <c r="C872" s="81" t="s">
        <v>1775</v>
      </c>
      <c r="D872" s="92"/>
      <c r="E872" s="73" t="s">
        <v>1299</v>
      </c>
      <c r="F872" s="76">
        <v>1.1000000000000001</v>
      </c>
      <c r="G872" s="79">
        <v>257589</v>
      </c>
      <c r="H872" s="63">
        <f t="shared" si="54"/>
        <v>283347.90000000002</v>
      </c>
      <c r="I872" s="63">
        <f t="shared" si="53"/>
        <v>34967.491999999998</v>
      </c>
      <c r="J872" s="60"/>
      <c r="K872" s="60">
        <v>23563</v>
      </c>
      <c r="L872" s="64"/>
      <c r="M872" s="64"/>
      <c r="N872" s="64"/>
      <c r="O872" s="64"/>
      <c r="P872" s="64"/>
      <c r="Q872" s="64"/>
      <c r="R872" s="64"/>
      <c r="S872" s="64"/>
    </row>
    <row r="873" spans="1:19" ht="16.5" customHeight="1">
      <c r="A873" s="85" t="s">
        <v>192</v>
      </c>
      <c r="B873" s="78" t="s">
        <v>1784</v>
      </c>
      <c r="C873" s="81" t="s">
        <v>1775</v>
      </c>
      <c r="D873" s="92"/>
      <c r="E873" s="73" t="s">
        <v>1299</v>
      </c>
      <c r="F873" s="76">
        <v>1.32</v>
      </c>
      <c r="G873" s="79">
        <v>257589</v>
      </c>
      <c r="H873" s="63">
        <f t="shared" si="54"/>
        <v>340017.48000000004</v>
      </c>
      <c r="I873" s="63">
        <f t="shared" si="53"/>
        <v>39337.872000000003</v>
      </c>
      <c r="J873" s="60"/>
      <c r="K873" s="60">
        <v>26508</v>
      </c>
      <c r="L873" s="64"/>
      <c r="M873" s="64"/>
      <c r="N873" s="64"/>
      <c r="O873" s="64"/>
      <c r="P873" s="64"/>
      <c r="Q873" s="64"/>
      <c r="R873" s="64"/>
      <c r="S873" s="64"/>
    </row>
    <row r="874" spans="1:19" ht="16.5" customHeight="1">
      <c r="A874" s="85" t="s">
        <v>1785</v>
      </c>
      <c r="B874" s="78" t="s">
        <v>1786</v>
      </c>
      <c r="C874" s="81" t="s">
        <v>1775</v>
      </c>
      <c r="D874" s="92"/>
      <c r="E874" s="73" t="s">
        <v>1299</v>
      </c>
      <c r="F874" s="76">
        <v>1.65</v>
      </c>
      <c r="G874" s="79">
        <v>257589</v>
      </c>
      <c r="H874" s="63">
        <f t="shared" si="54"/>
        <v>425021.85</v>
      </c>
      <c r="I874" s="63">
        <f t="shared" si="53"/>
        <v>43709.735999999997</v>
      </c>
      <c r="J874" s="60"/>
      <c r="K874" s="60">
        <v>29454</v>
      </c>
      <c r="L874" s="64"/>
      <c r="M874" s="64"/>
      <c r="N874" s="64"/>
      <c r="O874" s="64"/>
      <c r="P874" s="64"/>
      <c r="Q874" s="64"/>
      <c r="R874" s="64"/>
      <c r="S874" s="64"/>
    </row>
    <row r="875" spans="1:19" ht="16.5" customHeight="1">
      <c r="A875" s="85" t="s">
        <v>1787</v>
      </c>
      <c r="B875" s="78" t="s">
        <v>1788</v>
      </c>
      <c r="C875" s="81" t="s">
        <v>1775</v>
      </c>
      <c r="D875" s="92"/>
      <c r="E875" s="73" t="s">
        <v>1299</v>
      </c>
      <c r="F875" s="76">
        <v>1.96</v>
      </c>
      <c r="G875" s="79">
        <v>257589</v>
      </c>
      <c r="H875" s="63">
        <f t="shared" si="54"/>
        <v>504874.44</v>
      </c>
      <c r="I875" s="63">
        <f t="shared" si="53"/>
        <v>61192.74</v>
      </c>
      <c r="J875" s="60"/>
      <c r="K875" s="60">
        <v>41235</v>
      </c>
      <c r="L875" s="64"/>
      <c r="M875" s="64"/>
      <c r="N875" s="64"/>
      <c r="O875" s="64"/>
      <c r="P875" s="64"/>
      <c r="Q875" s="64"/>
      <c r="R875" s="64"/>
      <c r="S875" s="64"/>
    </row>
    <row r="876" spans="1:19" ht="16.5" customHeight="1">
      <c r="A876" s="85" t="s">
        <v>1789</v>
      </c>
      <c r="B876" s="78" t="s">
        <v>1790</v>
      </c>
      <c r="C876" s="81" t="s">
        <v>1775</v>
      </c>
      <c r="D876" s="92"/>
      <c r="E876" s="73" t="s">
        <v>1299</v>
      </c>
      <c r="F876" s="76">
        <v>2.61</v>
      </c>
      <c r="G876" s="79">
        <v>257589</v>
      </c>
      <c r="H876" s="63">
        <f t="shared" si="54"/>
        <v>672307.28999999992</v>
      </c>
      <c r="I876" s="63">
        <f t="shared" si="53"/>
        <v>78675.744000000006</v>
      </c>
      <c r="J876" s="60"/>
      <c r="K876" s="60">
        <v>53016</v>
      </c>
      <c r="L876" s="64"/>
      <c r="M876" s="64"/>
      <c r="N876" s="64"/>
      <c r="O876" s="64"/>
      <c r="P876" s="64"/>
      <c r="Q876" s="64"/>
      <c r="R876" s="64"/>
      <c r="S876" s="64"/>
    </row>
    <row r="877" spans="1:19" ht="16.5" customHeight="1">
      <c r="A877" s="85" t="s">
        <v>1791</v>
      </c>
      <c r="B877" s="78" t="s">
        <v>1792</v>
      </c>
      <c r="C877" s="81" t="s">
        <v>1775</v>
      </c>
      <c r="D877" s="92"/>
      <c r="E877" s="73" t="s">
        <v>1299</v>
      </c>
      <c r="F877" s="76">
        <f>0.2*6</f>
        <v>1.2000000000000002</v>
      </c>
      <c r="G877" s="79">
        <v>257589</v>
      </c>
      <c r="H877" s="63">
        <f t="shared" si="54"/>
        <v>309106.80000000005</v>
      </c>
      <c r="I877" s="63">
        <f t="shared" si="53"/>
        <v>13112.624</v>
      </c>
      <c r="J877" s="60"/>
      <c r="K877" s="60">
        <f>ROUND(0.6*14727,0)</f>
        <v>8836</v>
      </c>
      <c r="L877" s="64"/>
      <c r="M877" s="64"/>
      <c r="N877" s="64"/>
      <c r="O877" s="64"/>
      <c r="P877" s="64"/>
      <c r="Q877" s="64"/>
      <c r="R877" s="64"/>
      <c r="S877" s="64"/>
    </row>
    <row r="878" spans="1:19" ht="16.5" customHeight="1">
      <c r="A878" s="105"/>
      <c r="B878" s="106" t="s">
        <v>1793</v>
      </c>
      <c r="C878" s="105"/>
      <c r="D878" s="60"/>
      <c r="E878" s="105"/>
      <c r="F878" s="105"/>
      <c r="G878" s="105"/>
      <c r="H878" s="63">
        <f t="shared" si="54"/>
        <v>0</v>
      </c>
      <c r="I878" s="63">
        <f t="shared" si="53"/>
        <v>0</v>
      </c>
      <c r="J878" s="60"/>
      <c r="K878" s="60"/>
      <c r="L878" s="64"/>
      <c r="M878" s="64"/>
      <c r="N878" s="64"/>
      <c r="O878" s="64"/>
      <c r="P878" s="64"/>
      <c r="Q878" s="64"/>
      <c r="R878" s="64"/>
      <c r="S878" s="64"/>
    </row>
    <row r="879" spans="1:19" ht="16.5" customHeight="1">
      <c r="A879" s="85" t="s">
        <v>1794</v>
      </c>
      <c r="B879" s="78" t="s">
        <v>1795</v>
      </c>
      <c r="C879" s="81" t="s">
        <v>310</v>
      </c>
      <c r="D879" s="92"/>
      <c r="E879" s="73" t="s">
        <v>807</v>
      </c>
      <c r="F879" s="76">
        <v>0.18</v>
      </c>
      <c r="G879" s="79">
        <v>236500</v>
      </c>
      <c r="H879" s="63">
        <f t="shared" si="54"/>
        <v>42570</v>
      </c>
      <c r="I879" s="63">
        <f t="shared" si="53"/>
        <v>0</v>
      </c>
      <c r="J879" s="60"/>
      <c r="K879" s="60"/>
      <c r="L879" s="64"/>
      <c r="M879" s="64"/>
      <c r="N879" s="64"/>
      <c r="O879" s="64"/>
      <c r="P879" s="64"/>
      <c r="Q879" s="64"/>
      <c r="R879" s="64"/>
      <c r="S879" s="64"/>
    </row>
    <row r="880" spans="1:19" ht="16.5" customHeight="1">
      <c r="A880" s="85" t="s">
        <v>1796</v>
      </c>
      <c r="B880" s="78" t="s">
        <v>1797</v>
      </c>
      <c r="C880" s="81" t="s">
        <v>310</v>
      </c>
      <c r="D880" s="92"/>
      <c r="E880" s="73" t="s">
        <v>807</v>
      </c>
      <c r="F880" s="76">
        <v>0.19</v>
      </c>
      <c r="G880" s="79">
        <v>236500</v>
      </c>
      <c r="H880" s="63">
        <f t="shared" si="54"/>
        <v>44935</v>
      </c>
      <c r="I880" s="63">
        <f t="shared" si="53"/>
        <v>0</v>
      </c>
      <c r="J880" s="60"/>
      <c r="K880" s="60"/>
      <c r="L880" s="64"/>
      <c r="M880" s="64"/>
      <c r="N880" s="64"/>
      <c r="O880" s="64"/>
      <c r="P880" s="64"/>
      <c r="Q880" s="64"/>
      <c r="R880" s="64"/>
      <c r="S880" s="64"/>
    </row>
    <row r="881" spans="1:19" ht="16.5" customHeight="1">
      <c r="A881" s="85" t="s">
        <v>1798</v>
      </c>
      <c r="B881" s="78" t="s">
        <v>1799</v>
      </c>
      <c r="C881" s="81" t="s">
        <v>310</v>
      </c>
      <c r="D881" s="92"/>
      <c r="E881" s="73" t="s">
        <v>807</v>
      </c>
      <c r="F881" s="76">
        <v>0.14000000000000001</v>
      </c>
      <c r="G881" s="79">
        <v>236500</v>
      </c>
      <c r="H881" s="63">
        <f t="shared" si="54"/>
        <v>33110</v>
      </c>
      <c r="I881" s="63">
        <f t="shared" si="53"/>
        <v>0</v>
      </c>
      <c r="J881" s="60"/>
      <c r="K881" s="60"/>
      <c r="L881" s="64"/>
      <c r="M881" s="64"/>
      <c r="N881" s="64"/>
      <c r="O881" s="64"/>
      <c r="P881" s="64"/>
      <c r="Q881" s="64"/>
      <c r="R881" s="64"/>
      <c r="S881" s="64"/>
    </row>
    <row r="882" spans="1:19" ht="16.5" customHeight="1">
      <c r="A882" s="85" t="s">
        <v>1800</v>
      </c>
      <c r="B882" s="78" t="s">
        <v>1801</v>
      </c>
      <c r="C882" s="81" t="s">
        <v>310</v>
      </c>
      <c r="D882" s="92"/>
      <c r="E882" s="73" t="s">
        <v>807</v>
      </c>
      <c r="F882" s="76">
        <v>0.16</v>
      </c>
      <c r="G882" s="79">
        <v>236500</v>
      </c>
      <c r="H882" s="63">
        <f t="shared" si="54"/>
        <v>37840</v>
      </c>
      <c r="I882" s="63">
        <f t="shared" si="53"/>
        <v>0</v>
      </c>
      <c r="J882" s="60"/>
      <c r="K882" s="60"/>
      <c r="L882" s="64"/>
      <c r="M882" s="64"/>
      <c r="N882" s="64"/>
      <c r="O882" s="64"/>
      <c r="P882" s="64"/>
      <c r="Q882" s="64"/>
      <c r="R882" s="64"/>
      <c r="S882" s="64"/>
    </row>
    <row r="883" spans="1:19" ht="16.5" customHeight="1">
      <c r="A883" s="85" t="s">
        <v>1802</v>
      </c>
      <c r="B883" s="78" t="s">
        <v>1803</v>
      </c>
      <c r="C883" s="81" t="s">
        <v>310</v>
      </c>
      <c r="D883" s="92"/>
      <c r="E883" s="73" t="s">
        <v>646</v>
      </c>
      <c r="F883" s="76">
        <v>7.0000000000000007E-2</v>
      </c>
      <c r="G883" s="79">
        <v>219135</v>
      </c>
      <c r="H883" s="63">
        <f t="shared" si="54"/>
        <v>15339.45</v>
      </c>
      <c r="I883" s="63">
        <f t="shared" si="53"/>
        <v>0</v>
      </c>
      <c r="J883" s="60"/>
      <c r="K883" s="60"/>
      <c r="L883" s="64"/>
      <c r="M883" s="64"/>
      <c r="N883" s="64"/>
      <c r="O883" s="64"/>
      <c r="P883" s="64"/>
      <c r="Q883" s="64"/>
      <c r="R883" s="64"/>
      <c r="S883" s="64"/>
    </row>
    <row r="884" spans="1:19" ht="16.5" customHeight="1">
      <c r="A884" s="85" t="s">
        <v>1804</v>
      </c>
      <c r="B884" s="78" t="s">
        <v>1805</v>
      </c>
      <c r="C884" s="81" t="s">
        <v>310</v>
      </c>
      <c r="D884" s="92"/>
      <c r="E884" s="73" t="s">
        <v>646</v>
      </c>
      <c r="F884" s="76">
        <v>0.08</v>
      </c>
      <c r="G884" s="79">
        <v>219135</v>
      </c>
      <c r="H884" s="63">
        <f t="shared" si="54"/>
        <v>17530.8</v>
      </c>
      <c r="I884" s="63">
        <f t="shared" si="53"/>
        <v>0</v>
      </c>
      <c r="J884" s="60"/>
      <c r="K884" s="60"/>
      <c r="L884" s="64"/>
      <c r="M884" s="64"/>
      <c r="N884" s="64"/>
      <c r="O884" s="64"/>
      <c r="P884" s="64"/>
      <c r="Q884" s="64"/>
      <c r="R884" s="64"/>
      <c r="S884" s="64"/>
    </row>
    <row r="885" spans="1:19" ht="16.5" customHeight="1">
      <c r="A885" s="85" t="s">
        <v>1806</v>
      </c>
      <c r="B885" s="78" t="s">
        <v>1807</v>
      </c>
      <c r="C885" s="81" t="s">
        <v>310</v>
      </c>
      <c r="D885" s="92"/>
      <c r="E885" s="73" t="s">
        <v>646</v>
      </c>
      <c r="F885" s="76">
        <v>0.06</v>
      </c>
      <c r="G885" s="79">
        <v>219135</v>
      </c>
      <c r="H885" s="63">
        <f t="shared" si="54"/>
        <v>13148.1</v>
      </c>
      <c r="I885" s="63">
        <f t="shared" si="53"/>
        <v>0</v>
      </c>
      <c r="J885" s="60"/>
      <c r="K885" s="60"/>
      <c r="L885" s="64"/>
      <c r="M885" s="64"/>
      <c r="N885" s="64"/>
      <c r="O885" s="64"/>
      <c r="P885" s="64"/>
      <c r="Q885" s="64"/>
      <c r="R885" s="64"/>
      <c r="S885" s="64"/>
    </row>
    <row r="886" spans="1:19" ht="16.5" customHeight="1">
      <c r="A886" s="85" t="s">
        <v>1808</v>
      </c>
      <c r="B886" s="78" t="s">
        <v>1809</v>
      </c>
      <c r="C886" s="81" t="s">
        <v>1810</v>
      </c>
      <c r="D886" s="92"/>
      <c r="E886" s="73" t="s">
        <v>807</v>
      </c>
      <c r="F886" s="76">
        <f>F882*0.04</f>
        <v>6.4000000000000003E-3</v>
      </c>
      <c r="G886" s="79">
        <v>236500</v>
      </c>
      <c r="H886" s="63">
        <f t="shared" si="54"/>
        <v>1513.6000000000001</v>
      </c>
      <c r="I886" s="63">
        <f t="shared" si="53"/>
        <v>0</v>
      </c>
      <c r="J886" s="60"/>
      <c r="K886" s="60"/>
      <c r="L886" s="64"/>
      <c r="M886" s="64"/>
      <c r="N886" s="64"/>
      <c r="O886" s="64"/>
      <c r="P886" s="64"/>
      <c r="Q886" s="64"/>
      <c r="R886" s="64"/>
      <c r="S886" s="64"/>
    </row>
    <row r="887" spans="1:19" ht="16.5" customHeight="1">
      <c r="A887" s="85"/>
      <c r="B887" s="78"/>
      <c r="C887" s="81"/>
      <c r="D887" s="92"/>
      <c r="E887" s="73"/>
      <c r="F887" s="76"/>
      <c r="G887" s="79"/>
      <c r="H887" s="63">
        <f t="shared" si="54"/>
        <v>0</v>
      </c>
      <c r="I887" s="63">
        <f t="shared" si="53"/>
        <v>0</v>
      </c>
      <c r="J887" s="60"/>
      <c r="K887" s="60"/>
      <c r="L887" s="64"/>
      <c r="M887" s="64"/>
      <c r="N887" s="64"/>
      <c r="O887" s="64"/>
      <c r="P887" s="64"/>
      <c r="Q887" s="64"/>
      <c r="R887" s="64"/>
      <c r="S887" s="64"/>
    </row>
    <row r="888" spans="1:19" ht="16.5" customHeight="1">
      <c r="A888" s="74" t="s">
        <v>1811</v>
      </c>
      <c r="B888" s="78" t="s">
        <v>1812</v>
      </c>
      <c r="C888" s="81" t="s">
        <v>51</v>
      </c>
      <c r="D888" s="92"/>
      <c r="E888" s="73" t="s">
        <v>807</v>
      </c>
      <c r="F888" s="76">
        <v>1.05</v>
      </c>
      <c r="G888" s="79">
        <v>236500</v>
      </c>
      <c r="H888" s="63">
        <f t="shared" si="54"/>
        <v>248325</v>
      </c>
      <c r="I888" s="63">
        <f t="shared" si="53"/>
        <v>0</v>
      </c>
      <c r="J888" s="60"/>
      <c r="K888" s="60"/>
      <c r="L888" s="64"/>
      <c r="M888" s="64"/>
      <c r="N888" s="64"/>
      <c r="O888" s="64"/>
      <c r="P888" s="64"/>
      <c r="Q888" s="64"/>
      <c r="R888" s="64"/>
      <c r="S888" s="64"/>
    </row>
    <row r="889" spans="1:19" ht="16.5" customHeight="1">
      <c r="A889" s="74" t="s">
        <v>1813</v>
      </c>
      <c r="B889" s="78" t="s">
        <v>1814</v>
      </c>
      <c r="C889" s="81" t="s">
        <v>51</v>
      </c>
      <c r="D889" s="92"/>
      <c r="E889" s="73" t="s">
        <v>807</v>
      </c>
      <c r="F889" s="76">
        <v>1.1499999999999999</v>
      </c>
      <c r="G889" s="79">
        <v>236500</v>
      </c>
      <c r="H889" s="63">
        <f t="shared" si="54"/>
        <v>271975</v>
      </c>
      <c r="I889" s="63">
        <f t="shared" si="53"/>
        <v>0</v>
      </c>
      <c r="J889" s="60"/>
      <c r="K889" s="60"/>
      <c r="L889" s="64"/>
      <c r="M889" s="64"/>
      <c r="N889" s="64"/>
      <c r="O889" s="64"/>
      <c r="P889" s="64"/>
      <c r="Q889" s="64"/>
      <c r="R889" s="64"/>
      <c r="S889" s="64"/>
    </row>
    <row r="890" spans="1:19" ht="16.5" customHeight="1">
      <c r="A890" s="74" t="s">
        <v>1815</v>
      </c>
      <c r="B890" s="78" t="s">
        <v>1816</v>
      </c>
      <c r="C890" s="81" t="s">
        <v>51</v>
      </c>
      <c r="D890" s="92"/>
      <c r="E890" s="73" t="s">
        <v>807</v>
      </c>
      <c r="F890" s="76">
        <v>1.2</v>
      </c>
      <c r="G890" s="79">
        <v>236500</v>
      </c>
      <c r="H890" s="63">
        <f t="shared" si="54"/>
        <v>283800</v>
      </c>
      <c r="I890" s="63">
        <f t="shared" si="53"/>
        <v>0</v>
      </c>
      <c r="J890" s="60"/>
      <c r="K890" s="60"/>
      <c r="L890" s="64"/>
      <c r="M890" s="64"/>
      <c r="N890" s="64"/>
      <c r="O890" s="64"/>
      <c r="P890" s="64"/>
      <c r="Q890" s="64"/>
      <c r="R890" s="64"/>
      <c r="S890" s="64"/>
    </row>
    <row r="891" spans="1:19" ht="16.5" customHeight="1">
      <c r="A891" s="74"/>
      <c r="B891" s="78"/>
      <c r="C891" s="81"/>
      <c r="D891" s="92"/>
      <c r="E891" s="73"/>
      <c r="F891" s="76"/>
      <c r="G891" s="79"/>
      <c r="H891" s="63">
        <f t="shared" si="54"/>
        <v>0</v>
      </c>
      <c r="I891" s="63">
        <f t="shared" si="53"/>
        <v>0</v>
      </c>
      <c r="J891" s="60"/>
      <c r="K891" s="60"/>
      <c r="L891" s="64"/>
      <c r="M891" s="64"/>
      <c r="N891" s="64"/>
      <c r="O891" s="64"/>
      <c r="P891" s="64"/>
      <c r="Q891" s="64"/>
      <c r="R891" s="64"/>
      <c r="S891" s="64"/>
    </row>
    <row r="892" spans="1:19" ht="16.5" customHeight="1">
      <c r="A892" s="74" t="s">
        <v>1817</v>
      </c>
      <c r="B892" s="78" t="s">
        <v>1818</v>
      </c>
      <c r="C892" s="81" t="s">
        <v>51</v>
      </c>
      <c r="D892" s="92"/>
      <c r="E892" s="73" t="s">
        <v>807</v>
      </c>
      <c r="F892" s="76">
        <v>1.05</v>
      </c>
      <c r="G892" s="79">
        <v>141900</v>
      </c>
      <c r="H892" s="63">
        <f t="shared" si="54"/>
        <v>148995</v>
      </c>
      <c r="I892" s="63">
        <f t="shared" si="53"/>
        <v>0</v>
      </c>
      <c r="J892" s="60"/>
      <c r="K892" s="60"/>
      <c r="L892" s="64"/>
      <c r="M892" s="64"/>
      <c r="N892" s="64"/>
      <c r="O892" s="64"/>
      <c r="P892" s="64"/>
      <c r="Q892" s="64"/>
      <c r="R892" s="64"/>
      <c r="S892" s="64"/>
    </row>
    <row r="893" spans="1:19" ht="16.5" customHeight="1">
      <c r="A893" s="74" t="s">
        <v>1819</v>
      </c>
      <c r="B893" s="78" t="s">
        <v>1820</v>
      </c>
      <c r="C893" s="81" t="s">
        <v>51</v>
      </c>
      <c r="D893" s="92"/>
      <c r="E893" s="73" t="s">
        <v>807</v>
      </c>
      <c r="F893" s="76">
        <v>1.1499999999999999</v>
      </c>
      <c r="G893" s="79">
        <v>141900</v>
      </c>
      <c r="H893" s="63">
        <f t="shared" si="54"/>
        <v>163185</v>
      </c>
      <c r="I893" s="63">
        <f t="shared" si="53"/>
        <v>0</v>
      </c>
      <c r="J893" s="60"/>
      <c r="K893" s="60"/>
      <c r="L893" s="64"/>
      <c r="M893" s="64"/>
      <c r="N893" s="64"/>
      <c r="O893" s="64"/>
      <c r="P893" s="64"/>
      <c r="Q893" s="64"/>
      <c r="R893" s="64"/>
      <c r="S893" s="64"/>
    </row>
    <row r="894" spans="1:19" ht="16.5" customHeight="1">
      <c r="A894" s="74" t="s">
        <v>1821</v>
      </c>
      <c r="B894" s="78" t="s">
        <v>1822</v>
      </c>
      <c r="C894" s="81" t="s">
        <v>51</v>
      </c>
      <c r="D894" s="92"/>
      <c r="E894" s="73" t="s">
        <v>807</v>
      </c>
      <c r="F894" s="76">
        <v>1.2</v>
      </c>
      <c r="G894" s="79">
        <v>141900</v>
      </c>
      <c r="H894" s="63">
        <f t="shared" si="54"/>
        <v>170280</v>
      </c>
      <c r="I894" s="63">
        <f t="shared" si="53"/>
        <v>0</v>
      </c>
      <c r="J894" s="60"/>
      <c r="K894" s="60"/>
      <c r="L894" s="64"/>
      <c r="M894" s="64"/>
      <c r="N894" s="64"/>
      <c r="O894" s="64"/>
      <c r="P894" s="64"/>
      <c r="Q894" s="64"/>
      <c r="R894" s="64"/>
      <c r="S894" s="64"/>
    </row>
    <row r="895" spans="1:19" ht="16.5" customHeight="1">
      <c r="A895" s="74"/>
      <c r="B895" s="78"/>
      <c r="C895" s="81"/>
      <c r="D895" s="92"/>
      <c r="E895" s="73"/>
      <c r="F895" s="76"/>
      <c r="G895" s="79"/>
      <c r="H895" s="63"/>
      <c r="I895" s="63">
        <f t="shared" si="53"/>
        <v>0</v>
      </c>
      <c r="J895" s="60"/>
      <c r="K895" s="60"/>
      <c r="L895" s="64"/>
      <c r="M895" s="64"/>
      <c r="N895" s="64"/>
      <c r="O895" s="64"/>
      <c r="P895" s="64"/>
      <c r="Q895" s="64"/>
      <c r="R895" s="64"/>
      <c r="S895" s="64"/>
    </row>
    <row r="896" spans="1:19" ht="16.5" customHeight="1">
      <c r="A896" s="85"/>
      <c r="B896" s="106" t="s">
        <v>1823</v>
      </c>
      <c r="C896" s="81"/>
      <c r="D896" s="92"/>
      <c r="E896" s="73"/>
      <c r="F896" s="76"/>
      <c r="G896" s="79"/>
      <c r="H896" s="63"/>
      <c r="I896" s="63">
        <f t="shared" si="53"/>
        <v>0</v>
      </c>
      <c r="J896" s="60"/>
      <c r="K896" s="60"/>
      <c r="L896" s="64"/>
      <c r="M896" s="64"/>
      <c r="N896" s="64"/>
      <c r="O896" s="64"/>
      <c r="P896" s="64"/>
      <c r="Q896" s="64"/>
      <c r="R896" s="64"/>
      <c r="S896" s="64"/>
    </row>
    <row r="897" spans="1:19" ht="16.5" customHeight="1">
      <c r="A897" s="74" t="s">
        <v>1824</v>
      </c>
      <c r="B897" s="78" t="s">
        <v>1825</v>
      </c>
      <c r="C897" s="81" t="s">
        <v>793</v>
      </c>
      <c r="D897" s="92">
        <v>220731</v>
      </c>
      <c r="E897" s="73"/>
      <c r="F897" s="76"/>
      <c r="G897" s="79"/>
      <c r="H897" s="63">
        <v>234504</v>
      </c>
      <c r="I897" s="63">
        <f t="shared" si="53"/>
        <v>45066.112000000001</v>
      </c>
      <c r="J897" s="60"/>
      <c r="K897" s="60">
        <v>30368</v>
      </c>
      <c r="L897" s="64"/>
      <c r="M897" s="64"/>
      <c r="N897" s="64"/>
      <c r="O897" s="64"/>
      <c r="P897" s="64"/>
      <c r="Q897" s="64"/>
      <c r="R897" s="64"/>
      <c r="S897" s="64"/>
    </row>
    <row r="898" spans="1:19" ht="16.5" customHeight="1">
      <c r="A898" s="74" t="s">
        <v>1826</v>
      </c>
      <c r="B898" s="78" t="s">
        <v>1827</v>
      </c>
      <c r="C898" s="81" t="s">
        <v>1828</v>
      </c>
      <c r="D898" s="92">
        <v>16964</v>
      </c>
      <c r="E898" s="73"/>
      <c r="F898" s="76"/>
      <c r="G898" s="79"/>
      <c r="H898" s="63">
        <v>23450</v>
      </c>
      <c r="I898" s="63">
        <f t="shared" si="53"/>
        <v>24923.78</v>
      </c>
      <c r="J898" s="60"/>
      <c r="K898" s="60">
        <v>16795</v>
      </c>
      <c r="L898" s="64"/>
      <c r="M898" s="64"/>
      <c r="N898" s="64"/>
      <c r="O898" s="64"/>
      <c r="P898" s="64"/>
      <c r="Q898" s="64"/>
      <c r="R898" s="64"/>
      <c r="S898" s="64"/>
    </row>
    <row r="899" spans="1:19" ht="16.5" customHeight="1">
      <c r="A899" s="74" t="s">
        <v>1829</v>
      </c>
      <c r="B899" s="78" t="s">
        <v>1830</v>
      </c>
      <c r="C899" s="81" t="s">
        <v>128</v>
      </c>
      <c r="D899" s="92"/>
      <c r="E899" s="73"/>
      <c r="F899" s="76"/>
      <c r="G899" s="79"/>
      <c r="H899" s="63">
        <v>192965</v>
      </c>
      <c r="I899" s="63">
        <f t="shared" si="53"/>
        <v>1995266.196</v>
      </c>
      <c r="J899" s="60"/>
      <c r="K899" s="60">
        <v>1344519</v>
      </c>
      <c r="L899" s="64"/>
      <c r="M899" s="64"/>
      <c r="N899" s="64"/>
      <c r="O899" s="64"/>
      <c r="P899" s="64"/>
      <c r="Q899" s="64"/>
      <c r="R899" s="64"/>
      <c r="S899" s="64"/>
    </row>
    <row r="900" spans="1:19" ht="16.5" customHeight="1">
      <c r="A900" s="74" t="s">
        <v>1831</v>
      </c>
      <c r="B900" s="78" t="s">
        <v>1832</v>
      </c>
      <c r="C900" s="81" t="s">
        <v>128</v>
      </c>
      <c r="D900" s="92"/>
      <c r="E900" s="73"/>
      <c r="F900" s="76"/>
      <c r="G900" s="79"/>
      <c r="H900" s="63">
        <v>211342</v>
      </c>
      <c r="I900" s="63">
        <f t="shared" si="53"/>
        <v>1998783.2760000001</v>
      </c>
      <c r="J900" s="60"/>
      <c r="K900" s="60">
        <v>1346889</v>
      </c>
      <c r="L900" s="64"/>
      <c r="M900" s="64"/>
      <c r="N900" s="64"/>
      <c r="O900" s="64"/>
      <c r="P900" s="64"/>
      <c r="Q900" s="64"/>
      <c r="R900" s="64"/>
      <c r="S900" s="64"/>
    </row>
    <row r="901" spans="1:19" ht="16.5" customHeight="1">
      <c r="A901" s="74" t="s">
        <v>1833</v>
      </c>
      <c r="B901" s="78" t="s">
        <v>1834</v>
      </c>
      <c r="C901" s="81" t="s">
        <v>793</v>
      </c>
      <c r="D901" s="92"/>
      <c r="E901" s="73"/>
      <c r="F901" s="76"/>
      <c r="G901" s="79"/>
      <c r="H901" s="63">
        <v>49160</v>
      </c>
      <c r="I901" s="63">
        <f t="shared" si="53"/>
        <v>229607.448</v>
      </c>
      <c r="J901" s="60"/>
      <c r="K901" s="60">
        <v>154722</v>
      </c>
      <c r="L901" s="64"/>
      <c r="M901" s="64"/>
      <c r="N901" s="64"/>
      <c r="O901" s="64"/>
      <c r="P901" s="64"/>
      <c r="Q901" s="64"/>
      <c r="R901" s="64"/>
      <c r="S901" s="64"/>
    </row>
    <row r="902" spans="1:19" ht="16.5" customHeight="1">
      <c r="A902" s="74" t="s">
        <v>1835</v>
      </c>
      <c r="B902" s="78" t="s">
        <v>1836</v>
      </c>
      <c r="C902" s="81" t="s">
        <v>793</v>
      </c>
      <c r="D902" s="92"/>
      <c r="E902" s="73"/>
      <c r="F902" s="76"/>
      <c r="G902" s="79"/>
      <c r="H902" s="63">
        <v>65700</v>
      </c>
      <c r="I902" s="63">
        <f t="shared" si="53"/>
        <v>262115.95199999999</v>
      </c>
      <c r="J902" s="60"/>
      <c r="K902" s="60">
        <v>176628</v>
      </c>
      <c r="L902" s="64"/>
      <c r="M902" s="64"/>
      <c r="N902" s="64"/>
      <c r="O902" s="64"/>
      <c r="P902" s="64"/>
      <c r="Q902" s="64"/>
      <c r="R902" s="64"/>
      <c r="S902" s="64"/>
    </row>
    <row r="903" spans="1:19" ht="16.5" customHeight="1">
      <c r="A903" s="74" t="s">
        <v>1837</v>
      </c>
      <c r="B903" s="78" t="s">
        <v>1838</v>
      </c>
      <c r="C903" s="81" t="s">
        <v>793</v>
      </c>
      <c r="D903" s="92"/>
      <c r="E903" s="73"/>
      <c r="F903" s="76"/>
      <c r="G903" s="79"/>
      <c r="H903" s="63">
        <v>81780</v>
      </c>
      <c r="I903" s="63">
        <f t="shared" si="53"/>
        <v>307413.56799999997</v>
      </c>
      <c r="J903" s="60"/>
      <c r="K903" s="60">
        <v>207152</v>
      </c>
      <c r="L903" s="64"/>
      <c r="M903" s="64"/>
      <c r="N903" s="64"/>
      <c r="O903" s="64"/>
      <c r="P903" s="64"/>
      <c r="Q903" s="64"/>
      <c r="R903" s="64"/>
      <c r="S903" s="64"/>
    </row>
    <row r="904" spans="1:19" ht="16.5" customHeight="1">
      <c r="A904" s="74" t="s">
        <v>1839</v>
      </c>
      <c r="B904" s="78" t="s">
        <v>1840</v>
      </c>
      <c r="C904" s="81" t="s">
        <v>793</v>
      </c>
      <c r="D904" s="92"/>
      <c r="E904" s="73"/>
      <c r="F904" s="76"/>
      <c r="G904" s="79"/>
      <c r="H904" s="63">
        <v>98320</v>
      </c>
      <c r="I904" s="63">
        <f t="shared" si="53"/>
        <v>339922.07199999999</v>
      </c>
      <c r="J904" s="60"/>
      <c r="K904" s="60">
        <v>229058</v>
      </c>
      <c r="L904" s="64"/>
      <c r="M904" s="64"/>
      <c r="N904" s="64"/>
      <c r="O904" s="64"/>
      <c r="P904" s="64"/>
      <c r="Q904" s="64"/>
      <c r="R904" s="64"/>
      <c r="S904" s="64"/>
    </row>
    <row r="905" spans="1:19" ht="16.5" customHeight="1">
      <c r="A905" s="74" t="s">
        <v>1841</v>
      </c>
      <c r="B905" s="78" t="s">
        <v>1842</v>
      </c>
      <c r="C905" s="81" t="s">
        <v>793</v>
      </c>
      <c r="D905" s="92"/>
      <c r="E905" s="73"/>
      <c r="F905" s="76"/>
      <c r="G905" s="79"/>
      <c r="H905" s="63">
        <v>114860</v>
      </c>
      <c r="I905" s="63">
        <f t="shared" si="53"/>
        <v>372430.576</v>
      </c>
      <c r="J905" s="60"/>
      <c r="K905" s="60">
        <v>250964</v>
      </c>
      <c r="L905" s="64"/>
      <c r="M905" s="64"/>
      <c r="N905" s="64"/>
      <c r="O905" s="64"/>
      <c r="P905" s="64"/>
      <c r="Q905" s="64"/>
      <c r="R905" s="64"/>
      <c r="S905" s="64"/>
    </row>
    <row r="906" spans="1:19" ht="16.5" customHeight="1">
      <c r="A906" s="74"/>
      <c r="B906" s="78"/>
      <c r="C906" s="81"/>
      <c r="D906" s="92"/>
      <c r="E906" s="73"/>
      <c r="F906" s="76"/>
      <c r="G906" s="79"/>
      <c r="H906" s="63"/>
      <c r="I906" s="63">
        <f t="shared" si="53"/>
        <v>0</v>
      </c>
      <c r="J906" s="60"/>
      <c r="K906" s="60"/>
      <c r="L906" s="64"/>
      <c r="M906" s="64"/>
      <c r="N906" s="64"/>
      <c r="O906" s="64"/>
      <c r="P906" s="64"/>
      <c r="Q906" s="64"/>
      <c r="R906" s="64"/>
      <c r="S906" s="64"/>
    </row>
    <row r="907" spans="1:19" ht="16.5" customHeight="1">
      <c r="A907" s="74" t="s">
        <v>1843</v>
      </c>
      <c r="B907" s="78" t="s">
        <v>1844</v>
      </c>
      <c r="C907" s="81" t="s">
        <v>793</v>
      </c>
      <c r="D907" s="92"/>
      <c r="E907" s="73"/>
      <c r="F907" s="76"/>
      <c r="G907" s="79"/>
      <c r="H907" s="63">
        <v>50079</v>
      </c>
      <c r="I907" s="63">
        <f t="shared" si="53"/>
        <v>231929.908</v>
      </c>
      <c r="J907" s="60"/>
      <c r="K907" s="60">
        <v>156287</v>
      </c>
      <c r="L907" s="64"/>
      <c r="M907" s="64"/>
      <c r="N907" s="64"/>
      <c r="O907" s="64"/>
      <c r="P907" s="64"/>
      <c r="Q907" s="64"/>
      <c r="R907" s="64"/>
      <c r="S907" s="64"/>
    </row>
    <row r="908" spans="1:19" ht="16.5" customHeight="1">
      <c r="A908" s="74" t="s">
        <v>1845</v>
      </c>
      <c r="B908" s="78" t="s">
        <v>1846</v>
      </c>
      <c r="C908" s="81" t="s">
        <v>793</v>
      </c>
      <c r="D908" s="92"/>
      <c r="E908" s="73"/>
      <c r="F908" s="76"/>
      <c r="G908" s="79"/>
      <c r="H908" s="63">
        <v>66619</v>
      </c>
      <c r="I908" s="63">
        <f t="shared" si="53"/>
        <v>266759.38799999998</v>
      </c>
      <c r="J908" s="60"/>
      <c r="K908" s="60">
        <v>179757</v>
      </c>
      <c r="L908" s="64"/>
      <c r="M908" s="64"/>
      <c r="N908" s="64"/>
      <c r="O908" s="64"/>
      <c r="P908" s="64"/>
      <c r="Q908" s="64"/>
      <c r="R908" s="64"/>
      <c r="S908" s="64"/>
    </row>
    <row r="909" spans="1:19" ht="16.5" customHeight="1">
      <c r="A909" s="74" t="s">
        <v>1847</v>
      </c>
      <c r="B909" s="78" t="s">
        <v>1848</v>
      </c>
      <c r="C909" s="81" t="s">
        <v>793</v>
      </c>
      <c r="D909" s="92"/>
      <c r="E909" s="73"/>
      <c r="F909" s="76"/>
      <c r="G909" s="79"/>
      <c r="H909" s="63">
        <v>83618</v>
      </c>
      <c r="I909" s="63">
        <f t="shared" si="53"/>
        <v>313218.97600000002</v>
      </c>
      <c r="J909" s="60"/>
      <c r="K909" s="60">
        <v>211064</v>
      </c>
      <c r="L909" s="64"/>
      <c r="M909" s="64"/>
      <c r="N909" s="64"/>
      <c r="O909" s="64"/>
      <c r="P909" s="64"/>
      <c r="Q909" s="64"/>
      <c r="R909" s="64"/>
      <c r="S909" s="64"/>
    </row>
    <row r="910" spans="1:19" ht="16.5" customHeight="1">
      <c r="A910" s="74" t="s">
        <v>1849</v>
      </c>
      <c r="B910" s="78" t="s">
        <v>1850</v>
      </c>
      <c r="C910" s="81" t="s">
        <v>793</v>
      </c>
      <c r="D910" s="92"/>
      <c r="E910" s="73"/>
      <c r="F910" s="76"/>
      <c r="G910" s="79"/>
      <c r="H910" s="63">
        <v>100158</v>
      </c>
      <c r="I910" s="63">
        <f t="shared" si="53"/>
        <v>346887.96799999999</v>
      </c>
      <c r="K910" s="60">
        <v>233752</v>
      </c>
      <c r="L910" s="64"/>
      <c r="M910" s="64"/>
      <c r="N910" s="64"/>
      <c r="O910" s="64"/>
      <c r="P910" s="64"/>
      <c r="Q910" s="64"/>
      <c r="R910" s="64"/>
      <c r="S910" s="64"/>
    </row>
    <row r="911" spans="1:19" ht="16.5" customHeight="1">
      <c r="A911" s="74" t="s">
        <v>1851</v>
      </c>
      <c r="B911" s="78" t="s">
        <v>1852</v>
      </c>
      <c r="C911" s="81" t="s">
        <v>793</v>
      </c>
      <c r="D911" s="92"/>
      <c r="E911" s="73"/>
      <c r="F911" s="76"/>
      <c r="G911" s="79"/>
      <c r="H911" s="63">
        <v>117157</v>
      </c>
      <c r="I911" s="63">
        <f t="shared" si="53"/>
        <v>380556.96</v>
      </c>
      <c r="J911" s="60"/>
      <c r="K911" s="60">
        <v>256440</v>
      </c>
      <c r="L911" s="64"/>
      <c r="M911" s="64"/>
      <c r="N911" s="64"/>
      <c r="O911" s="64"/>
      <c r="P911" s="64"/>
      <c r="Q911" s="64"/>
      <c r="R911" s="64"/>
      <c r="S911" s="64"/>
    </row>
    <row r="912" spans="1:19" ht="16.5" customHeight="1">
      <c r="A912" s="74"/>
      <c r="B912" s="78"/>
      <c r="C912" s="81"/>
      <c r="D912" s="92"/>
      <c r="E912" s="73"/>
      <c r="F912" s="76"/>
      <c r="G912" s="79"/>
      <c r="H912" s="63"/>
      <c r="I912" s="63">
        <f t="shared" si="53"/>
        <v>0</v>
      </c>
      <c r="J912" s="107"/>
      <c r="K912" s="60"/>
      <c r="L912" s="64"/>
      <c r="M912" s="64"/>
      <c r="N912" s="64"/>
      <c r="O912" s="64"/>
      <c r="P912" s="64"/>
      <c r="Q912" s="64"/>
      <c r="R912" s="64"/>
      <c r="S912" s="64"/>
    </row>
    <row r="913" spans="1:19" ht="16.5" customHeight="1">
      <c r="A913" s="74" t="s">
        <v>1853</v>
      </c>
      <c r="B913" s="78" t="s">
        <v>1854</v>
      </c>
      <c r="C913" s="81" t="s">
        <v>793</v>
      </c>
      <c r="D913" s="92"/>
      <c r="E913" s="73"/>
      <c r="F913" s="76"/>
      <c r="G913" s="79"/>
      <c r="H913" s="63">
        <v>50998</v>
      </c>
      <c r="I913" s="63">
        <f t="shared" si="53"/>
        <v>236960.66800000001</v>
      </c>
      <c r="J913" s="107"/>
      <c r="K913" s="60">
        <v>159677</v>
      </c>
      <c r="L913" s="64"/>
      <c r="M913" s="64"/>
      <c r="N913" s="64"/>
      <c r="O913" s="64"/>
      <c r="P913" s="64"/>
      <c r="Q913" s="64"/>
      <c r="R913" s="64"/>
      <c r="S913" s="64"/>
    </row>
    <row r="914" spans="1:19" ht="16.5" customHeight="1">
      <c r="A914" s="74" t="s">
        <v>1855</v>
      </c>
      <c r="B914" s="78" t="s">
        <v>1856</v>
      </c>
      <c r="C914" s="81" t="s">
        <v>793</v>
      </c>
      <c r="D914" s="92"/>
      <c r="E914" s="73"/>
      <c r="F914" s="76"/>
      <c r="G914" s="79"/>
      <c r="H914" s="63">
        <v>67997</v>
      </c>
      <c r="I914" s="63">
        <f t="shared" si="53"/>
        <v>271790.14799999999</v>
      </c>
      <c r="J914" s="106"/>
      <c r="K914" s="60">
        <v>183147</v>
      </c>
      <c r="L914" s="64"/>
      <c r="M914" s="64"/>
      <c r="N914" s="64"/>
      <c r="O914" s="64"/>
      <c r="P914" s="64"/>
      <c r="Q914" s="64"/>
      <c r="R914" s="64"/>
      <c r="S914" s="64"/>
    </row>
    <row r="915" spans="1:19" ht="16.5" customHeight="1">
      <c r="A915" s="74" t="s">
        <v>1857</v>
      </c>
      <c r="B915" s="78" t="s">
        <v>1858</v>
      </c>
      <c r="C915" s="81" t="s">
        <v>793</v>
      </c>
      <c r="D915" s="92"/>
      <c r="E915" s="73"/>
      <c r="F915" s="76"/>
      <c r="G915" s="79"/>
      <c r="H915" s="63">
        <v>84996</v>
      </c>
      <c r="I915" s="63">
        <f t="shared" si="53"/>
        <v>319411.70799999998</v>
      </c>
      <c r="J915" s="60"/>
      <c r="K915" s="60">
        <v>215237</v>
      </c>
      <c r="L915" s="64"/>
      <c r="M915" s="64"/>
      <c r="N915" s="64"/>
      <c r="O915" s="64"/>
      <c r="P915" s="64"/>
      <c r="Q915" s="64"/>
      <c r="R915" s="64"/>
      <c r="S915" s="64"/>
    </row>
    <row r="916" spans="1:19" ht="16.5" customHeight="1">
      <c r="A916" s="74" t="s">
        <v>1859</v>
      </c>
      <c r="B916" s="78" t="s">
        <v>1860</v>
      </c>
      <c r="C916" s="81" t="s">
        <v>793</v>
      </c>
      <c r="D916" s="92"/>
      <c r="E916" s="73"/>
      <c r="F916" s="76"/>
      <c r="G916" s="79"/>
      <c r="H916" s="63">
        <v>101996</v>
      </c>
      <c r="I916" s="63">
        <f t="shared" si="53"/>
        <v>340309.39600000001</v>
      </c>
      <c r="J916" s="60"/>
      <c r="K916" s="60">
        <v>229319</v>
      </c>
      <c r="L916" s="64"/>
      <c r="M916" s="64"/>
      <c r="N916" s="64"/>
      <c r="O916" s="64"/>
      <c r="P916" s="64"/>
      <c r="Q916" s="64"/>
      <c r="R916" s="64"/>
      <c r="S916" s="64"/>
    </row>
    <row r="917" spans="1:19" ht="16.5" customHeight="1">
      <c r="A917" s="74" t="s">
        <v>1861</v>
      </c>
      <c r="B917" s="78" t="s">
        <v>1862</v>
      </c>
      <c r="C917" s="81" t="s">
        <v>793</v>
      </c>
      <c r="D917" s="92"/>
      <c r="E917" s="73"/>
      <c r="F917" s="76"/>
      <c r="G917" s="79"/>
      <c r="H917" s="63">
        <v>118995</v>
      </c>
      <c r="I917" s="63">
        <f t="shared" si="53"/>
        <v>389070.66800000001</v>
      </c>
      <c r="J917" s="63"/>
      <c r="K917" s="60">
        <v>262177</v>
      </c>
      <c r="L917" s="64"/>
      <c r="M917" s="64"/>
      <c r="N917" s="64"/>
      <c r="O917" s="64"/>
      <c r="P917" s="64"/>
      <c r="Q917" s="64"/>
      <c r="R917" s="64"/>
      <c r="S917" s="64"/>
    </row>
    <row r="918" spans="1:19" ht="16.5" customHeight="1">
      <c r="A918" s="74"/>
      <c r="B918" s="78"/>
      <c r="C918" s="81"/>
      <c r="D918" s="92"/>
      <c r="E918" s="73"/>
      <c r="F918" s="76"/>
      <c r="G918" s="79"/>
      <c r="H918" s="63"/>
      <c r="I918" s="63">
        <f t="shared" si="53"/>
        <v>0</v>
      </c>
      <c r="J918" s="60"/>
      <c r="K918" s="60"/>
      <c r="L918" s="64"/>
      <c r="M918" s="64"/>
      <c r="N918" s="64"/>
      <c r="O918" s="64"/>
      <c r="P918" s="64"/>
      <c r="Q918" s="64"/>
      <c r="R918" s="64"/>
      <c r="S918" s="64"/>
    </row>
    <row r="919" spans="1:19" ht="16.5" customHeight="1">
      <c r="A919" s="74" t="s">
        <v>1863</v>
      </c>
      <c r="B919" s="78" t="s">
        <v>1864</v>
      </c>
      <c r="C919" s="81" t="s">
        <v>793</v>
      </c>
      <c r="D919" s="92"/>
      <c r="E919" s="73"/>
      <c r="F919" s="76"/>
      <c r="G919" s="79"/>
      <c r="H919" s="63">
        <v>11512</v>
      </c>
      <c r="I919" s="63">
        <f t="shared" si="53"/>
        <v>179194.484</v>
      </c>
      <c r="J919" s="60"/>
      <c r="K919" s="60">
        <v>120751</v>
      </c>
      <c r="L919" s="64"/>
      <c r="M919" s="64"/>
      <c r="N919" s="64"/>
      <c r="O919" s="64"/>
      <c r="P919" s="64"/>
      <c r="Q919" s="64"/>
      <c r="R919" s="64"/>
      <c r="S919" s="64"/>
    </row>
    <row r="920" spans="1:19" ht="16.5" customHeight="1">
      <c r="A920" s="74"/>
      <c r="B920" s="78"/>
      <c r="C920" s="81"/>
      <c r="D920" s="92"/>
      <c r="E920" s="73"/>
      <c r="F920" s="76"/>
      <c r="G920" s="79"/>
      <c r="H920" s="63"/>
      <c r="I920" s="63">
        <f t="shared" si="53"/>
        <v>0</v>
      </c>
      <c r="J920" s="63"/>
      <c r="K920" s="60"/>
      <c r="L920" s="64"/>
      <c r="M920" s="64"/>
      <c r="N920" s="64"/>
      <c r="O920" s="64"/>
      <c r="P920" s="64"/>
      <c r="Q920" s="64"/>
      <c r="R920" s="64"/>
      <c r="S920" s="64"/>
    </row>
    <row r="921" spans="1:19" ht="16.5" customHeight="1">
      <c r="A921" s="74" t="s">
        <v>1865</v>
      </c>
      <c r="B921" s="78" t="s">
        <v>1866</v>
      </c>
      <c r="C921" s="81" t="s">
        <v>47</v>
      </c>
      <c r="D921" s="92"/>
      <c r="E921" s="73"/>
      <c r="F921" s="76"/>
      <c r="G921" s="79"/>
      <c r="H921" s="63">
        <v>81437</v>
      </c>
      <c r="I921" s="63">
        <f t="shared" si="53"/>
        <v>0</v>
      </c>
      <c r="J921" s="60"/>
      <c r="K921" s="60"/>
      <c r="L921" s="64"/>
      <c r="M921" s="64"/>
      <c r="N921" s="64"/>
      <c r="O921" s="64"/>
      <c r="P921" s="64"/>
      <c r="Q921" s="64"/>
      <c r="R921" s="64"/>
      <c r="S921" s="64"/>
    </row>
    <row r="922" spans="1:19" ht="16.5" customHeight="1">
      <c r="A922" s="74" t="s">
        <v>1867</v>
      </c>
      <c r="B922" s="78" t="s">
        <v>1868</v>
      </c>
      <c r="C922" s="81" t="s">
        <v>47</v>
      </c>
      <c r="D922" s="92"/>
      <c r="E922" s="73"/>
      <c r="F922" s="76"/>
      <c r="G922" s="79"/>
      <c r="H922" s="63">
        <v>150082</v>
      </c>
      <c r="I922" s="63">
        <f t="shared" si="53"/>
        <v>0</v>
      </c>
      <c r="J922" s="60"/>
      <c r="K922" s="60"/>
      <c r="L922" s="64"/>
      <c r="M922" s="64"/>
      <c r="N922" s="64"/>
      <c r="O922" s="64"/>
      <c r="P922" s="64"/>
      <c r="Q922" s="64"/>
      <c r="R922" s="64"/>
      <c r="S922" s="64"/>
    </row>
    <row r="923" spans="1:19" ht="16.5" customHeight="1">
      <c r="A923" s="74" t="s">
        <v>1869</v>
      </c>
      <c r="B923" s="78" t="s">
        <v>1870</v>
      </c>
      <c r="C923" s="81" t="s">
        <v>47</v>
      </c>
      <c r="D923" s="92"/>
      <c r="E923" s="73"/>
      <c r="F923" s="76"/>
      <c r="G923" s="79"/>
      <c r="H923" s="63">
        <v>150082</v>
      </c>
      <c r="I923" s="63">
        <f t="shared" si="53"/>
        <v>0</v>
      </c>
      <c r="J923" s="63"/>
      <c r="K923" s="60"/>
      <c r="L923" s="64"/>
      <c r="M923" s="64"/>
      <c r="N923" s="64"/>
      <c r="O923" s="64"/>
      <c r="P923" s="64"/>
      <c r="Q923" s="64"/>
      <c r="R923" s="64"/>
      <c r="S923" s="64"/>
    </row>
    <row r="924" spans="1:19" ht="16.5" customHeight="1">
      <c r="A924" s="74" t="s">
        <v>1871</v>
      </c>
      <c r="B924" s="78" t="s">
        <v>1872</v>
      </c>
      <c r="C924" s="81" t="s">
        <v>47</v>
      </c>
      <c r="D924" s="92"/>
      <c r="E924" s="73"/>
      <c r="F924" s="76"/>
      <c r="G924" s="79"/>
      <c r="H924" s="63">
        <v>150082</v>
      </c>
      <c r="I924" s="63">
        <f t="shared" si="53"/>
        <v>0</v>
      </c>
      <c r="J924" s="60"/>
      <c r="K924" s="60"/>
      <c r="L924" s="64"/>
      <c r="M924" s="64"/>
      <c r="N924" s="64"/>
      <c r="O924" s="64"/>
      <c r="P924" s="64"/>
      <c r="Q924" s="64"/>
      <c r="R924" s="64"/>
      <c r="S924" s="64"/>
    </row>
    <row r="925" spans="1:19" ht="16.5" customHeight="1">
      <c r="A925" s="74"/>
      <c r="B925" s="78"/>
      <c r="C925" s="81"/>
      <c r="D925" s="92"/>
      <c r="E925" s="73"/>
      <c r="F925" s="76"/>
      <c r="G925" s="79"/>
      <c r="H925" s="63"/>
      <c r="I925" s="63">
        <f t="shared" si="53"/>
        <v>0</v>
      </c>
      <c r="J925" s="60"/>
      <c r="K925" s="60"/>
      <c r="L925" s="64"/>
      <c r="M925" s="64"/>
      <c r="N925" s="64"/>
      <c r="O925" s="64"/>
      <c r="P925" s="64"/>
      <c r="Q925" s="64"/>
      <c r="R925" s="64"/>
      <c r="S925" s="64"/>
    </row>
    <row r="926" spans="1:19" ht="16.5" customHeight="1">
      <c r="A926" s="74" t="s">
        <v>1873</v>
      </c>
      <c r="B926" s="78" t="s">
        <v>795</v>
      </c>
      <c r="C926" s="81" t="s">
        <v>47</v>
      </c>
      <c r="D926" s="92"/>
      <c r="E926" s="73" t="s">
        <v>311</v>
      </c>
      <c r="F926" s="76">
        <v>7.0000000000000007E-2</v>
      </c>
      <c r="G926" s="79">
        <v>201769</v>
      </c>
      <c r="H926" s="63">
        <f>IF(G926&lt;&gt;0,ROUND(G926*F926,0), )</f>
        <v>14124</v>
      </c>
      <c r="I926" s="63">
        <f t="shared" si="53"/>
        <v>0</v>
      </c>
      <c r="J926" s="63"/>
      <c r="K926" s="60"/>
      <c r="L926" s="64"/>
      <c r="M926" s="64"/>
      <c r="N926" s="64"/>
      <c r="O926" s="64"/>
      <c r="P926" s="64"/>
      <c r="Q926" s="64"/>
      <c r="R926" s="64"/>
      <c r="S926" s="64"/>
    </row>
    <row r="927" spans="1:19" ht="16.5" customHeight="1">
      <c r="A927" s="74" t="s">
        <v>1874</v>
      </c>
      <c r="B927" s="78" t="s">
        <v>1875</v>
      </c>
      <c r="C927" s="81" t="s">
        <v>310</v>
      </c>
      <c r="D927" s="92"/>
      <c r="E927" s="73"/>
      <c r="F927" s="76"/>
      <c r="G927" s="79"/>
      <c r="H927" s="63">
        <v>11945</v>
      </c>
      <c r="I927" s="63">
        <f t="shared" si="53"/>
        <v>277.50799999999998</v>
      </c>
      <c r="J927" s="60"/>
      <c r="K927" s="60">
        <v>187</v>
      </c>
      <c r="L927" s="64"/>
      <c r="M927" s="64"/>
      <c r="N927" s="64"/>
      <c r="O927" s="64"/>
      <c r="P927" s="64"/>
      <c r="Q927" s="64"/>
      <c r="R927" s="64"/>
      <c r="S927" s="64"/>
    </row>
    <row r="928" spans="1:19" ht="16.5" customHeight="1">
      <c r="A928" s="74" t="s">
        <v>1876</v>
      </c>
      <c r="B928" s="78" t="s">
        <v>1877</v>
      </c>
      <c r="C928" s="81" t="s">
        <v>310</v>
      </c>
      <c r="D928" s="92"/>
      <c r="E928" s="73"/>
      <c r="F928" s="76"/>
      <c r="G928" s="79"/>
      <c r="H928" s="63">
        <v>9189</v>
      </c>
      <c r="I928" s="63">
        <f t="shared" si="53"/>
        <v>270.08800000000002</v>
      </c>
      <c r="J928" s="60"/>
      <c r="K928" s="60">
        <v>182</v>
      </c>
      <c r="L928" s="64"/>
      <c r="M928" s="64"/>
      <c r="N928" s="64"/>
      <c r="O928" s="64"/>
      <c r="P928" s="64"/>
      <c r="Q928" s="64"/>
      <c r="R928" s="64"/>
      <c r="S928" s="64"/>
    </row>
    <row r="929" spans="1:19" ht="16.5" customHeight="1">
      <c r="A929" s="105"/>
      <c r="B929" s="106" t="s">
        <v>1878</v>
      </c>
      <c r="C929" s="105"/>
      <c r="D929" s="60"/>
      <c r="E929" s="105"/>
      <c r="F929" s="105"/>
      <c r="G929" s="105"/>
      <c r="H929" s="63">
        <f t="shared" ref="H929:H934" si="55">IF(G929&lt;&gt;0,ROUND(G929*F929,0), )</f>
        <v>0</v>
      </c>
      <c r="I929" s="63">
        <f t="shared" si="53"/>
        <v>0</v>
      </c>
      <c r="J929" s="63"/>
      <c r="K929" s="60"/>
      <c r="L929" s="64"/>
      <c r="M929" s="64"/>
      <c r="N929" s="64"/>
      <c r="O929" s="64"/>
      <c r="P929" s="64"/>
      <c r="Q929" s="64"/>
      <c r="R929" s="64"/>
      <c r="S929" s="64"/>
    </row>
    <row r="930" spans="1:19" ht="16.5" customHeight="1">
      <c r="A930" s="85" t="s">
        <v>1879</v>
      </c>
      <c r="B930" s="78" t="s">
        <v>1880</v>
      </c>
      <c r="C930" s="81" t="s">
        <v>310</v>
      </c>
      <c r="D930" s="92"/>
      <c r="E930" s="73" t="s">
        <v>311</v>
      </c>
      <c r="F930" s="76">
        <v>7.0000000000000007E-2</v>
      </c>
      <c r="G930" s="79">
        <v>201769</v>
      </c>
      <c r="H930" s="63">
        <f t="shared" si="55"/>
        <v>14124</v>
      </c>
      <c r="I930" s="63">
        <f t="shared" si="53"/>
        <v>0</v>
      </c>
      <c r="J930" s="60"/>
      <c r="K930" s="60"/>
      <c r="L930" s="64"/>
      <c r="M930" s="64"/>
      <c r="N930" s="64"/>
      <c r="O930" s="64"/>
      <c r="P930" s="64"/>
      <c r="Q930" s="64"/>
      <c r="R930" s="64"/>
      <c r="S930" s="64"/>
    </row>
    <row r="931" spans="1:19" ht="16.5" customHeight="1">
      <c r="A931" s="85" t="s">
        <v>1881</v>
      </c>
      <c r="B931" s="78" t="s">
        <v>1882</v>
      </c>
      <c r="C931" s="81" t="s">
        <v>310</v>
      </c>
      <c r="D931" s="92"/>
      <c r="E931" s="73" t="s">
        <v>311</v>
      </c>
      <c r="F931" s="76">
        <v>0.18</v>
      </c>
      <c r="G931" s="79">
        <v>201769</v>
      </c>
      <c r="H931" s="63">
        <f t="shared" si="55"/>
        <v>36318</v>
      </c>
      <c r="I931" s="63">
        <f t="shared" ref="I931:I961" si="56">+K931*$I$4</f>
        <v>0</v>
      </c>
      <c r="J931" s="60"/>
      <c r="K931" s="60"/>
      <c r="L931" s="64"/>
      <c r="M931" s="64"/>
      <c r="N931" s="64"/>
      <c r="O931" s="64"/>
      <c r="P931" s="64"/>
      <c r="Q931" s="64"/>
      <c r="R931" s="64"/>
      <c r="S931" s="64"/>
    </row>
    <row r="932" spans="1:19" ht="16.5" customHeight="1">
      <c r="A932" s="85" t="s">
        <v>1883</v>
      </c>
      <c r="B932" s="78" t="s">
        <v>1884</v>
      </c>
      <c r="C932" s="81" t="s">
        <v>310</v>
      </c>
      <c r="D932" s="92"/>
      <c r="E932" s="73" t="s">
        <v>311</v>
      </c>
      <c r="F932" s="76">
        <v>0.1</v>
      </c>
      <c r="G932" s="79">
        <v>201769</v>
      </c>
      <c r="H932" s="63">
        <f t="shared" si="55"/>
        <v>20177</v>
      </c>
      <c r="I932" s="63">
        <f t="shared" si="56"/>
        <v>0</v>
      </c>
      <c r="J932" s="60"/>
      <c r="K932" s="60"/>
      <c r="L932" s="64"/>
      <c r="M932" s="64"/>
      <c r="N932" s="64"/>
      <c r="O932" s="64"/>
      <c r="P932" s="64"/>
      <c r="Q932" s="64"/>
      <c r="R932" s="64"/>
      <c r="S932" s="64"/>
    </row>
    <row r="933" spans="1:19" ht="16.5" customHeight="1">
      <c r="A933" s="85" t="s">
        <v>1885</v>
      </c>
      <c r="B933" s="78" t="s">
        <v>1886</v>
      </c>
      <c r="C933" s="81" t="s">
        <v>310</v>
      </c>
      <c r="D933" s="92"/>
      <c r="E933" s="73" t="s">
        <v>311</v>
      </c>
      <c r="F933" s="76">
        <v>0.2</v>
      </c>
      <c r="G933" s="79">
        <v>201769</v>
      </c>
      <c r="H933" s="63">
        <f t="shared" si="55"/>
        <v>40354</v>
      </c>
      <c r="I933" s="63">
        <f t="shared" si="56"/>
        <v>0</v>
      </c>
      <c r="J933" s="63"/>
      <c r="K933" s="60"/>
      <c r="L933" s="64"/>
      <c r="M933" s="64"/>
      <c r="N933" s="64"/>
      <c r="O933" s="64"/>
      <c r="P933" s="64"/>
      <c r="Q933" s="64"/>
      <c r="R933" s="64"/>
      <c r="S933" s="64"/>
    </row>
    <row r="934" spans="1:19" ht="16.5" customHeight="1">
      <c r="A934" s="85" t="s">
        <v>1883</v>
      </c>
      <c r="B934" s="78" t="s">
        <v>1887</v>
      </c>
      <c r="C934" s="81" t="s">
        <v>310</v>
      </c>
      <c r="D934" s="92"/>
      <c r="E934" s="73" t="s">
        <v>311</v>
      </c>
      <c r="F934" s="76">
        <v>0.27</v>
      </c>
      <c r="G934" s="79">
        <v>201769</v>
      </c>
      <c r="H934" s="63">
        <f t="shared" si="55"/>
        <v>54478</v>
      </c>
      <c r="I934" s="63">
        <f t="shared" si="56"/>
        <v>0</v>
      </c>
      <c r="J934" s="60"/>
      <c r="K934" s="60"/>
      <c r="L934" s="64"/>
      <c r="M934" s="64"/>
      <c r="N934" s="64"/>
      <c r="O934" s="64"/>
      <c r="P934" s="64"/>
      <c r="Q934" s="64"/>
      <c r="R934" s="64"/>
      <c r="S934" s="64"/>
    </row>
    <row r="935" spans="1:19" ht="16.5" customHeight="1">
      <c r="I935" s="63">
        <f t="shared" si="56"/>
        <v>0</v>
      </c>
      <c r="J935" s="60"/>
      <c r="L935" s="64"/>
      <c r="M935" s="64"/>
      <c r="N935" s="64"/>
      <c r="O935" s="64"/>
      <c r="P935" s="64"/>
      <c r="Q935" s="64"/>
      <c r="R935" s="64"/>
      <c r="S935" s="64"/>
    </row>
    <row r="936" spans="1:19" ht="16.5" customHeight="1">
      <c r="A936" s="103" t="s">
        <v>1888</v>
      </c>
      <c r="B936" s="78" t="s">
        <v>1889</v>
      </c>
      <c r="C936" s="81" t="s">
        <v>139</v>
      </c>
      <c r="D936" s="92"/>
      <c r="E936" s="73" t="s">
        <v>646</v>
      </c>
      <c r="F936" s="76">
        <f>2*0.095</f>
        <v>0.19</v>
      </c>
      <c r="G936" s="79">
        <v>219135</v>
      </c>
      <c r="H936" s="63">
        <f>IF(G936&lt;&gt;0,ROUND(G936*F936,0), )</f>
        <v>41636</v>
      </c>
      <c r="I936" s="63">
        <f t="shared" si="56"/>
        <v>0</v>
      </c>
      <c r="K936" s="60"/>
      <c r="L936" s="64"/>
      <c r="M936" s="64"/>
      <c r="N936" s="64"/>
      <c r="O936" s="64"/>
      <c r="P936" s="64"/>
      <c r="Q936" s="64"/>
      <c r="R936" s="64"/>
      <c r="S936" s="64"/>
    </row>
    <row r="937" spans="1:19" ht="16.5" customHeight="1">
      <c r="A937" s="107"/>
      <c r="B937" s="107"/>
      <c r="C937" s="107"/>
      <c r="D937" s="107"/>
      <c r="E937" s="107"/>
      <c r="F937" s="107"/>
      <c r="G937" s="107"/>
      <c r="H937" s="109"/>
      <c r="I937" s="63">
        <f t="shared" si="56"/>
        <v>0</v>
      </c>
      <c r="K937" s="107"/>
      <c r="L937" s="64"/>
      <c r="M937" s="64"/>
      <c r="N937" s="64"/>
      <c r="O937" s="64"/>
      <c r="P937" s="64"/>
      <c r="Q937" s="64"/>
      <c r="R937" s="64"/>
      <c r="S937" s="64"/>
    </row>
    <row r="938" spans="1:19" ht="16.5" customHeight="1">
      <c r="A938" s="107"/>
      <c r="B938" s="106" t="s">
        <v>1890</v>
      </c>
      <c r="C938" s="110"/>
      <c r="D938" s="107"/>
      <c r="E938" s="107"/>
      <c r="F938" s="107"/>
      <c r="G938" s="107"/>
      <c r="H938" s="109"/>
      <c r="I938" s="63">
        <f t="shared" si="56"/>
        <v>0</v>
      </c>
      <c r="K938" s="107"/>
      <c r="L938" s="64"/>
      <c r="M938" s="64"/>
      <c r="N938" s="64"/>
      <c r="O938" s="64"/>
      <c r="P938" s="64"/>
      <c r="Q938" s="64"/>
      <c r="R938" s="64"/>
      <c r="S938" s="64"/>
    </row>
    <row r="939" spans="1:19" s="108" customFormat="1" ht="16.5" customHeight="1">
      <c r="A939" s="111"/>
      <c r="B939" s="106" t="s">
        <v>1891</v>
      </c>
      <c r="C939" s="111"/>
      <c r="D939" s="106"/>
      <c r="E939" s="106"/>
      <c r="F939" s="106"/>
      <c r="G939" s="106"/>
      <c r="H939" s="106"/>
      <c r="I939" s="63">
        <f t="shared" si="56"/>
        <v>0</v>
      </c>
      <c r="J939" s="40"/>
      <c r="K939" s="106"/>
      <c r="L939" s="64"/>
      <c r="M939" s="64"/>
      <c r="N939" s="64"/>
      <c r="O939" s="64"/>
      <c r="P939" s="64"/>
      <c r="Q939" s="64"/>
      <c r="R939" s="64"/>
      <c r="S939" s="64"/>
    </row>
    <row r="940" spans="1:19" ht="16.5" customHeight="1">
      <c r="A940" s="112" t="s">
        <v>1892</v>
      </c>
      <c r="B940" s="105" t="s">
        <v>1893</v>
      </c>
      <c r="C940" s="112" t="s">
        <v>49</v>
      </c>
      <c r="D940" s="60">
        <f>4113</f>
        <v>4113</v>
      </c>
      <c r="E940" s="60"/>
      <c r="F940" s="60"/>
      <c r="G940" s="60"/>
      <c r="H940" s="63">
        <v>3863</v>
      </c>
      <c r="I940" s="63">
        <f t="shared" si="56"/>
        <v>87254.747999999992</v>
      </c>
      <c r="K940" s="60">
        <v>58797</v>
      </c>
      <c r="L940" s="64"/>
      <c r="M940" s="64"/>
      <c r="N940" s="64"/>
      <c r="O940" s="64"/>
      <c r="P940" s="64"/>
      <c r="Q940" s="64"/>
      <c r="R940" s="64"/>
      <c r="S940" s="64"/>
    </row>
    <row r="941" spans="1:19" ht="16.5" customHeight="1">
      <c r="A941" s="112"/>
      <c r="B941" s="105"/>
      <c r="C941" s="112"/>
      <c r="D941" s="60"/>
      <c r="E941" s="60"/>
      <c r="F941" s="60"/>
      <c r="G941" s="60"/>
      <c r="H941" s="63"/>
      <c r="I941" s="63">
        <f t="shared" si="56"/>
        <v>0</v>
      </c>
      <c r="K941" s="60"/>
      <c r="L941" s="64"/>
      <c r="M941" s="64"/>
      <c r="N941" s="64"/>
      <c r="O941" s="64"/>
      <c r="P941" s="64"/>
      <c r="Q941" s="64"/>
      <c r="R941" s="64"/>
      <c r="S941" s="64"/>
    </row>
    <row r="942" spans="1:19" s="108" customFormat="1" ht="16.5" customHeight="1">
      <c r="A942" s="111"/>
      <c r="B942" s="106" t="s">
        <v>1894</v>
      </c>
      <c r="C942" s="111"/>
      <c r="D942" s="113"/>
      <c r="E942" s="63"/>
      <c r="F942" s="63"/>
      <c r="G942" s="63"/>
      <c r="H942" s="63"/>
      <c r="I942" s="63">
        <f t="shared" si="56"/>
        <v>0</v>
      </c>
      <c r="J942" s="40"/>
      <c r="K942" s="63"/>
      <c r="L942" s="64"/>
      <c r="M942" s="64"/>
      <c r="N942" s="64"/>
      <c r="O942" s="64"/>
      <c r="P942" s="64"/>
      <c r="Q942" s="64"/>
      <c r="R942" s="64"/>
      <c r="S942" s="64"/>
    </row>
    <row r="943" spans="1:19" ht="16.5" customHeight="1">
      <c r="A943" s="112" t="s">
        <v>1895</v>
      </c>
      <c r="B943" s="105" t="s">
        <v>1896</v>
      </c>
      <c r="C943" s="112" t="s">
        <v>49</v>
      </c>
      <c r="D943" s="60">
        <f>162078</f>
        <v>162078</v>
      </c>
      <c r="E943" s="60"/>
      <c r="F943" s="60"/>
      <c r="G943" s="60"/>
      <c r="H943" s="63">
        <f>2.738*8498</f>
        <v>23267.524000000001</v>
      </c>
      <c r="I943" s="63">
        <f t="shared" si="56"/>
        <v>129297.952</v>
      </c>
      <c r="K943" s="60">
        <v>87128</v>
      </c>
      <c r="L943" s="64"/>
      <c r="M943" s="64"/>
      <c r="N943" s="64"/>
      <c r="O943" s="64"/>
      <c r="P943" s="64"/>
      <c r="Q943" s="64"/>
      <c r="R943" s="64"/>
      <c r="S943" s="64"/>
    </row>
    <row r="944" spans="1:19" ht="16.5" customHeight="1">
      <c r="A944" s="112"/>
      <c r="B944" s="105"/>
      <c r="C944" s="112"/>
      <c r="D944" s="60"/>
      <c r="E944" s="60"/>
      <c r="F944" s="60"/>
      <c r="G944" s="60"/>
      <c r="H944" s="63"/>
      <c r="I944" s="63">
        <f t="shared" si="56"/>
        <v>0</v>
      </c>
      <c r="K944" s="60"/>
      <c r="L944" s="64"/>
      <c r="M944" s="64"/>
      <c r="N944" s="64"/>
      <c r="O944" s="64"/>
      <c r="P944" s="64"/>
      <c r="Q944" s="64"/>
      <c r="R944" s="64"/>
      <c r="S944" s="64"/>
    </row>
    <row r="945" spans="1:19" s="108" customFormat="1" ht="16.5" customHeight="1">
      <c r="A945" s="111"/>
      <c r="B945" s="106" t="s">
        <v>1897</v>
      </c>
      <c r="C945" s="111"/>
      <c r="D945" s="63"/>
      <c r="E945" s="63"/>
      <c r="F945" s="63"/>
      <c r="G945" s="63"/>
      <c r="H945" s="63"/>
      <c r="I945" s="63">
        <f t="shared" si="56"/>
        <v>0</v>
      </c>
      <c r="J945" s="40"/>
      <c r="K945" s="63"/>
      <c r="L945" s="64"/>
      <c r="M945" s="64"/>
      <c r="N945" s="64"/>
      <c r="O945" s="64"/>
      <c r="P945" s="64"/>
      <c r="Q945" s="64"/>
      <c r="R945" s="64"/>
      <c r="S945" s="64"/>
    </row>
    <row r="946" spans="1:19" ht="16.5" customHeight="1">
      <c r="A946" s="112" t="s">
        <v>1898</v>
      </c>
      <c r="B946" s="105" t="s">
        <v>1899</v>
      </c>
      <c r="C946" s="112" t="s">
        <v>49</v>
      </c>
      <c r="D946" s="60">
        <f>200158</f>
        <v>200158</v>
      </c>
      <c r="E946" s="60"/>
      <c r="F946" s="60"/>
      <c r="G946" s="60"/>
      <c r="H946" s="63">
        <v>10280</v>
      </c>
      <c r="I946" s="63">
        <f t="shared" si="56"/>
        <v>204725.22</v>
      </c>
      <c r="K946" s="60">
        <v>137955</v>
      </c>
      <c r="L946" s="64"/>
      <c r="M946" s="64"/>
      <c r="N946" s="64"/>
      <c r="O946" s="64"/>
      <c r="P946" s="64"/>
      <c r="Q946" s="64"/>
      <c r="R946" s="64"/>
      <c r="S946" s="64"/>
    </row>
    <row r="947" spans="1:19" ht="16.5" customHeight="1">
      <c r="A947" s="112"/>
      <c r="B947" s="105"/>
      <c r="C947" s="112"/>
      <c r="D947" s="60"/>
      <c r="E947" s="60"/>
      <c r="F947" s="60"/>
      <c r="G947" s="60"/>
      <c r="H947" s="63"/>
      <c r="I947" s="63">
        <f t="shared" si="56"/>
        <v>0</v>
      </c>
      <c r="K947" s="60"/>
      <c r="L947" s="64"/>
      <c r="M947" s="64"/>
      <c r="N947" s="64"/>
      <c r="O947" s="64"/>
      <c r="P947" s="64"/>
      <c r="Q947" s="64"/>
      <c r="R947" s="64"/>
      <c r="S947" s="64"/>
    </row>
    <row r="948" spans="1:19" s="108" customFormat="1" ht="16.5" customHeight="1">
      <c r="A948" s="111"/>
      <c r="B948" s="106" t="s">
        <v>1900</v>
      </c>
      <c r="C948" s="111"/>
      <c r="D948" s="63"/>
      <c r="E948" s="63"/>
      <c r="F948" s="63"/>
      <c r="G948" s="63"/>
      <c r="H948" s="63"/>
      <c r="I948" s="63">
        <f t="shared" si="56"/>
        <v>0</v>
      </c>
      <c r="J948" s="40"/>
      <c r="K948" s="63"/>
      <c r="L948" s="64"/>
      <c r="M948" s="64"/>
      <c r="N948" s="64"/>
      <c r="O948" s="64"/>
      <c r="P948" s="64"/>
      <c r="Q948" s="64"/>
      <c r="R948" s="64"/>
      <c r="S948" s="64"/>
    </row>
    <row r="949" spans="1:19" ht="16.5" customHeight="1">
      <c r="A949" s="112" t="s">
        <v>1901</v>
      </c>
      <c r="B949" s="105" t="s">
        <v>1902</v>
      </c>
      <c r="C949" s="112" t="s">
        <v>49</v>
      </c>
      <c r="D949" s="60">
        <f>215721</f>
        <v>215721</v>
      </c>
      <c r="E949" s="60"/>
      <c r="F949" s="60"/>
      <c r="G949" s="60"/>
      <c r="H949" s="63">
        <v>12103</v>
      </c>
      <c r="I949" s="63">
        <f t="shared" si="56"/>
        <v>147739.62</v>
      </c>
      <c r="K949" s="60">
        <v>99555</v>
      </c>
      <c r="L949" s="64"/>
      <c r="M949" s="64"/>
      <c r="N949" s="64"/>
      <c r="O949" s="64"/>
      <c r="P949" s="64"/>
      <c r="Q949" s="64"/>
      <c r="R949" s="64"/>
      <c r="S949" s="64"/>
    </row>
    <row r="950" spans="1:19" ht="16.5" customHeight="1">
      <c r="A950" s="112"/>
      <c r="B950" s="105"/>
      <c r="C950" s="112"/>
      <c r="D950" s="60"/>
      <c r="E950" s="60"/>
      <c r="F950" s="60"/>
      <c r="G950" s="60"/>
      <c r="H950" s="63"/>
      <c r="I950" s="63">
        <f t="shared" si="56"/>
        <v>0</v>
      </c>
      <c r="K950" s="60"/>
      <c r="L950" s="64"/>
      <c r="M950" s="64"/>
      <c r="N950" s="64"/>
      <c r="O950" s="64"/>
      <c r="P950" s="64"/>
      <c r="Q950" s="64"/>
      <c r="R950" s="64"/>
      <c r="S950" s="64"/>
    </row>
    <row r="951" spans="1:19" s="108" customFormat="1" ht="16.5" customHeight="1">
      <c r="A951" s="111"/>
      <c r="B951" s="106" t="s">
        <v>1903</v>
      </c>
      <c r="C951" s="111"/>
      <c r="D951" s="63"/>
      <c r="E951" s="63"/>
      <c r="F951" s="63"/>
      <c r="G951" s="63"/>
      <c r="H951" s="63"/>
      <c r="I951" s="63">
        <f t="shared" si="56"/>
        <v>0</v>
      </c>
      <c r="J951" s="40"/>
      <c r="K951" s="63"/>
      <c r="L951" s="64"/>
      <c r="M951" s="64"/>
      <c r="N951" s="64"/>
      <c r="O951" s="64"/>
      <c r="P951" s="64"/>
      <c r="Q951" s="64"/>
      <c r="R951" s="64"/>
      <c r="S951" s="64"/>
    </row>
    <row r="952" spans="1:19" ht="16.5" customHeight="1">
      <c r="A952" s="112" t="s">
        <v>1904</v>
      </c>
      <c r="B952" s="105" t="s">
        <v>1905</v>
      </c>
      <c r="C952" s="112" t="s">
        <v>49</v>
      </c>
      <c r="D952" s="60">
        <f>285600</f>
        <v>285600</v>
      </c>
      <c r="E952" s="60"/>
      <c r="F952" s="60"/>
      <c r="G952" s="60"/>
      <c r="H952" s="63">
        <v>14507</v>
      </c>
      <c r="I952" s="63">
        <f t="shared" si="56"/>
        <v>223235.152</v>
      </c>
      <c r="K952" s="60">
        <v>150428</v>
      </c>
      <c r="L952" s="64"/>
      <c r="M952" s="64"/>
      <c r="N952" s="64"/>
      <c r="O952" s="64"/>
      <c r="P952" s="64"/>
      <c r="Q952" s="64"/>
      <c r="R952" s="64"/>
      <c r="S952" s="64"/>
    </row>
    <row r="953" spans="1:19" ht="16.5" customHeight="1">
      <c r="A953" s="112"/>
      <c r="B953" s="105"/>
      <c r="C953" s="112"/>
      <c r="D953" s="60"/>
      <c r="E953" s="60"/>
      <c r="F953" s="60"/>
      <c r="G953" s="60"/>
      <c r="H953" s="63"/>
      <c r="I953" s="63">
        <f t="shared" si="56"/>
        <v>0</v>
      </c>
      <c r="K953" s="60"/>
      <c r="L953" s="64"/>
      <c r="M953" s="64"/>
      <c r="N953" s="64"/>
      <c r="O953" s="64"/>
      <c r="P953" s="64"/>
      <c r="Q953" s="64"/>
      <c r="R953" s="64"/>
      <c r="S953" s="64"/>
    </row>
    <row r="954" spans="1:19" s="108" customFormat="1" ht="16.5" customHeight="1">
      <c r="A954" s="111"/>
      <c r="B954" s="106" t="s">
        <v>1906</v>
      </c>
      <c r="C954" s="111"/>
      <c r="D954" s="63"/>
      <c r="E954" s="63"/>
      <c r="F954" s="63"/>
      <c r="G954" s="63"/>
      <c r="H954" s="63"/>
      <c r="I954" s="63">
        <f t="shared" si="56"/>
        <v>0</v>
      </c>
      <c r="J954" s="40"/>
      <c r="K954" s="63"/>
      <c r="L954" s="64"/>
      <c r="M954" s="64"/>
      <c r="N954" s="64"/>
      <c r="O954" s="64"/>
      <c r="P954" s="64"/>
      <c r="Q954" s="64"/>
      <c r="R954" s="64"/>
      <c r="S954" s="64"/>
    </row>
    <row r="955" spans="1:19" ht="16.5" customHeight="1">
      <c r="A955" s="112" t="s">
        <v>1907</v>
      </c>
      <c r="B955" s="105" t="s">
        <v>1908</v>
      </c>
      <c r="C955" s="112" t="s">
        <v>49</v>
      </c>
      <c r="D955" s="60">
        <f>D943</f>
        <v>162078</v>
      </c>
      <c r="E955" s="60"/>
      <c r="F955" s="60"/>
      <c r="G955" s="60"/>
      <c r="H955" s="63">
        <f>H943</f>
        <v>23267.524000000001</v>
      </c>
      <c r="I955" s="63">
        <f t="shared" si="56"/>
        <v>129297.952</v>
      </c>
      <c r="K955" s="60">
        <f>K943</f>
        <v>87128</v>
      </c>
      <c r="L955" s="64"/>
      <c r="M955" s="64"/>
      <c r="N955" s="64"/>
      <c r="O955" s="64"/>
      <c r="P955" s="64"/>
      <c r="Q955" s="64"/>
      <c r="R955" s="64"/>
      <c r="S955" s="64"/>
    </row>
    <row r="956" spans="1:19" ht="16.5" customHeight="1">
      <c r="A956" s="112" t="s">
        <v>1909</v>
      </c>
      <c r="B956" s="105" t="s">
        <v>1910</v>
      </c>
      <c r="C956" s="112" t="s">
        <v>49</v>
      </c>
      <c r="D956" s="60">
        <f>215721</f>
        <v>215721</v>
      </c>
      <c r="E956" s="60"/>
      <c r="F956" s="60"/>
      <c r="G956" s="60"/>
      <c r="H956" s="63">
        <v>9968</v>
      </c>
      <c r="I956" s="63">
        <f t="shared" si="56"/>
        <v>147102.984</v>
      </c>
      <c r="K956" s="60">
        <v>99126</v>
      </c>
      <c r="L956" s="64"/>
      <c r="M956" s="64"/>
      <c r="N956" s="64"/>
      <c r="O956" s="64"/>
      <c r="P956" s="64"/>
      <c r="Q956" s="64"/>
      <c r="R956" s="64"/>
      <c r="S956" s="64"/>
    </row>
    <row r="957" spans="1:19" ht="16.5" customHeight="1">
      <c r="A957" s="112"/>
      <c r="B957" s="105"/>
      <c r="C957" s="112"/>
      <c r="D957" s="60"/>
      <c r="E957" s="60"/>
      <c r="F957" s="60"/>
      <c r="G957" s="60"/>
      <c r="H957" s="63"/>
      <c r="I957" s="63">
        <f t="shared" si="56"/>
        <v>0</v>
      </c>
      <c r="K957" s="60"/>
      <c r="L957" s="64"/>
      <c r="M957" s="64"/>
      <c r="N957" s="64"/>
      <c r="O957" s="64"/>
      <c r="P957" s="64"/>
      <c r="Q957" s="64"/>
      <c r="R957" s="64"/>
      <c r="S957" s="64"/>
    </row>
    <row r="958" spans="1:19" s="108" customFormat="1" ht="16.5" customHeight="1">
      <c r="A958" s="111"/>
      <c r="B958" s="106" t="s">
        <v>1911</v>
      </c>
      <c r="C958" s="111"/>
      <c r="D958" s="63"/>
      <c r="E958" s="63"/>
      <c r="F958" s="63"/>
      <c r="G958" s="63"/>
      <c r="H958" s="63"/>
      <c r="I958" s="63">
        <f t="shared" si="56"/>
        <v>0</v>
      </c>
      <c r="J958" s="40"/>
      <c r="K958" s="63"/>
      <c r="L958" s="64"/>
      <c r="M958" s="64"/>
      <c r="N958" s="64"/>
      <c r="O958" s="64"/>
      <c r="P958" s="64"/>
      <c r="Q958" s="64"/>
      <c r="R958" s="64"/>
      <c r="S958" s="64"/>
    </row>
    <row r="959" spans="1:19" ht="16.5" customHeight="1">
      <c r="A959" s="112" t="s">
        <v>1912</v>
      </c>
      <c r="B959" s="105" t="s">
        <v>1913</v>
      </c>
      <c r="C959" s="112"/>
      <c r="D959" s="60">
        <f>D946</f>
        <v>200158</v>
      </c>
      <c r="E959" s="60"/>
      <c r="F959" s="60"/>
      <c r="G959" s="60"/>
      <c r="H959" s="63"/>
      <c r="I959" s="63">
        <f t="shared" si="56"/>
        <v>0</v>
      </c>
      <c r="K959" s="60"/>
      <c r="L959" s="64"/>
      <c r="M959" s="64"/>
      <c r="N959" s="64"/>
      <c r="O959" s="64"/>
      <c r="P959" s="64"/>
      <c r="Q959" s="64"/>
      <c r="R959" s="64"/>
      <c r="S959" s="64"/>
    </row>
    <row r="960" spans="1:19" ht="16.5" customHeight="1">
      <c r="A960" s="112" t="s">
        <v>1914</v>
      </c>
      <c r="B960" s="105" t="s">
        <v>1915</v>
      </c>
      <c r="C960" s="112" t="s">
        <v>49</v>
      </c>
      <c r="D960" s="60">
        <f>285600</f>
        <v>285600</v>
      </c>
      <c r="E960" s="60"/>
      <c r="F960" s="60"/>
      <c r="G960" s="60"/>
      <c r="H960" s="63">
        <v>11723</v>
      </c>
      <c r="I960" s="63">
        <f t="shared" si="56"/>
        <v>222600</v>
      </c>
      <c r="K960" s="60">
        <v>150000</v>
      </c>
      <c r="L960" s="64"/>
      <c r="M960" s="64"/>
      <c r="N960" s="64"/>
      <c r="O960" s="64"/>
      <c r="P960" s="64"/>
      <c r="Q960" s="64"/>
      <c r="R960" s="64"/>
      <c r="S960" s="64"/>
    </row>
    <row r="961" spans="9:9" ht="16.5" customHeight="1">
      <c r="I961" s="63">
        <f t="shared" si="56"/>
        <v>0</v>
      </c>
    </row>
    <row r="962" spans="9:9" ht="16.5" customHeight="1"/>
  </sheetData>
  <phoneticPr fontId="36" type="noConversion"/>
  <dataValidations disablePrompts="1" count="1">
    <dataValidation type="list" allowBlank="1" showInputMessage="1" showErrorMessage="1" sqref="J4:K4">
      <formula1>"1,579, 1,484, 1,386"</formula1>
    </dataValidation>
  </dataValidations>
  <pageMargins left="0.54" right="0.51" top="0.73" bottom="0.8" header="0.5" footer="0.5"/>
  <pageSetup paperSize="9" scale="80" orientation="landscape" r:id="rId1"/>
  <headerFooter alignWithMargins="0">
    <oddFooter>&amp;R&amp;8&amp;A</oddFooter>
  </headerFooter>
</worksheet>
</file>

<file path=xl/worksheets/sheet3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20"/>
  <sheetViews>
    <sheetView topLeftCell="A19" zoomScale="115" zoomScaleNormal="115" workbookViewId="0">
      <selection activeCell="L39" sqref="L39"/>
    </sheetView>
  </sheetViews>
  <sheetFormatPr defaultRowHeight="15"/>
  <cols>
    <col min="1" max="1" width="3.85546875" customWidth="1"/>
    <col min="2" max="2" width="26" customWidth="1"/>
    <col min="5" max="8" width="13.42578125" customWidth="1"/>
    <col min="9" max="9" width="12.7109375" customWidth="1"/>
    <col min="10" max="10" width="5.5703125" customWidth="1"/>
    <col min="12" max="12" width="5.140625" customWidth="1"/>
    <col min="15" max="15" width="12.7109375" bestFit="1" customWidth="1"/>
    <col min="257" max="257" width="3.85546875" customWidth="1"/>
    <col min="258" max="258" width="26" customWidth="1"/>
    <col min="261" max="264" width="13.42578125" customWidth="1"/>
    <col min="266" max="266" width="5.5703125" customWidth="1"/>
    <col min="268" max="268" width="5.140625" customWidth="1"/>
    <col min="271" max="271" width="12.7109375" bestFit="1" customWidth="1"/>
    <col min="513" max="513" width="3.85546875" customWidth="1"/>
    <col min="514" max="514" width="26" customWidth="1"/>
    <col min="517" max="520" width="13.42578125" customWidth="1"/>
    <col min="522" max="522" width="5.5703125" customWidth="1"/>
    <col min="524" max="524" width="5.140625" customWidth="1"/>
    <col min="527" max="527" width="12.7109375" bestFit="1" customWidth="1"/>
    <col min="769" max="769" width="3.85546875" customWidth="1"/>
    <col min="770" max="770" width="26" customWidth="1"/>
    <col min="773" max="776" width="13.42578125" customWidth="1"/>
    <col min="778" max="778" width="5.5703125" customWidth="1"/>
    <col min="780" max="780" width="5.140625" customWidth="1"/>
    <col min="783" max="783" width="12.7109375" bestFit="1" customWidth="1"/>
    <col min="1025" max="1025" width="3.85546875" customWidth="1"/>
    <col min="1026" max="1026" width="26" customWidth="1"/>
    <col min="1029" max="1032" width="13.42578125" customWidth="1"/>
    <col min="1034" max="1034" width="5.5703125" customWidth="1"/>
    <col min="1036" max="1036" width="5.140625" customWidth="1"/>
    <col min="1039" max="1039" width="12.7109375" bestFit="1" customWidth="1"/>
    <col min="1281" max="1281" width="3.85546875" customWidth="1"/>
    <col min="1282" max="1282" width="26" customWidth="1"/>
    <col min="1285" max="1288" width="13.42578125" customWidth="1"/>
    <col min="1290" max="1290" width="5.5703125" customWidth="1"/>
    <col min="1292" max="1292" width="5.140625" customWidth="1"/>
    <col min="1295" max="1295" width="12.7109375" bestFit="1" customWidth="1"/>
    <col min="1537" max="1537" width="3.85546875" customWidth="1"/>
    <col min="1538" max="1538" width="26" customWidth="1"/>
    <col min="1541" max="1544" width="13.42578125" customWidth="1"/>
    <col min="1546" max="1546" width="5.5703125" customWidth="1"/>
    <col min="1548" max="1548" width="5.140625" customWidth="1"/>
    <col min="1551" max="1551" width="12.7109375" bestFit="1" customWidth="1"/>
    <col min="1793" max="1793" width="3.85546875" customWidth="1"/>
    <col min="1794" max="1794" width="26" customWidth="1"/>
    <col min="1797" max="1800" width="13.42578125" customWidth="1"/>
    <col min="1802" max="1802" width="5.5703125" customWidth="1"/>
    <col min="1804" max="1804" width="5.140625" customWidth="1"/>
    <col min="1807" max="1807" width="12.7109375" bestFit="1" customWidth="1"/>
    <col min="2049" max="2049" width="3.85546875" customWidth="1"/>
    <col min="2050" max="2050" width="26" customWidth="1"/>
    <col min="2053" max="2056" width="13.42578125" customWidth="1"/>
    <col min="2058" max="2058" width="5.5703125" customWidth="1"/>
    <col min="2060" max="2060" width="5.140625" customWidth="1"/>
    <col min="2063" max="2063" width="12.7109375" bestFit="1" customWidth="1"/>
    <col min="2305" max="2305" width="3.85546875" customWidth="1"/>
    <col min="2306" max="2306" width="26" customWidth="1"/>
    <col min="2309" max="2312" width="13.42578125" customWidth="1"/>
    <col min="2314" max="2314" width="5.5703125" customWidth="1"/>
    <col min="2316" max="2316" width="5.140625" customWidth="1"/>
    <col min="2319" max="2319" width="12.7109375" bestFit="1" customWidth="1"/>
    <col min="2561" max="2561" width="3.85546875" customWidth="1"/>
    <col min="2562" max="2562" width="26" customWidth="1"/>
    <col min="2565" max="2568" width="13.42578125" customWidth="1"/>
    <col min="2570" max="2570" width="5.5703125" customWidth="1"/>
    <col min="2572" max="2572" width="5.140625" customWidth="1"/>
    <col min="2575" max="2575" width="12.7109375" bestFit="1" customWidth="1"/>
    <col min="2817" max="2817" width="3.85546875" customWidth="1"/>
    <col min="2818" max="2818" width="26" customWidth="1"/>
    <col min="2821" max="2824" width="13.42578125" customWidth="1"/>
    <col min="2826" max="2826" width="5.5703125" customWidth="1"/>
    <col min="2828" max="2828" width="5.140625" customWidth="1"/>
    <col min="2831" max="2831" width="12.7109375" bestFit="1" customWidth="1"/>
    <col min="3073" max="3073" width="3.85546875" customWidth="1"/>
    <col min="3074" max="3074" width="26" customWidth="1"/>
    <col min="3077" max="3080" width="13.42578125" customWidth="1"/>
    <col min="3082" max="3082" width="5.5703125" customWidth="1"/>
    <col min="3084" max="3084" width="5.140625" customWidth="1"/>
    <col min="3087" max="3087" width="12.7109375" bestFit="1" customWidth="1"/>
    <col min="3329" max="3329" width="3.85546875" customWidth="1"/>
    <col min="3330" max="3330" width="26" customWidth="1"/>
    <col min="3333" max="3336" width="13.42578125" customWidth="1"/>
    <col min="3338" max="3338" width="5.5703125" customWidth="1"/>
    <col min="3340" max="3340" width="5.140625" customWidth="1"/>
    <col min="3343" max="3343" width="12.7109375" bestFit="1" customWidth="1"/>
    <col min="3585" max="3585" width="3.85546875" customWidth="1"/>
    <col min="3586" max="3586" width="26" customWidth="1"/>
    <col min="3589" max="3592" width="13.42578125" customWidth="1"/>
    <col min="3594" max="3594" width="5.5703125" customWidth="1"/>
    <col min="3596" max="3596" width="5.140625" customWidth="1"/>
    <col min="3599" max="3599" width="12.7109375" bestFit="1" customWidth="1"/>
    <col min="3841" max="3841" width="3.85546875" customWidth="1"/>
    <col min="3842" max="3842" width="26" customWidth="1"/>
    <col min="3845" max="3848" width="13.42578125" customWidth="1"/>
    <col min="3850" max="3850" width="5.5703125" customWidth="1"/>
    <col min="3852" max="3852" width="5.140625" customWidth="1"/>
    <col min="3855" max="3855" width="12.7109375" bestFit="1" customWidth="1"/>
    <col min="4097" max="4097" width="3.85546875" customWidth="1"/>
    <col min="4098" max="4098" width="26" customWidth="1"/>
    <col min="4101" max="4104" width="13.42578125" customWidth="1"/>
    <col min="4106" max="4106" width="5.5703125" customWidth="1"/>
    <col min="4108" max="4108" width="5.140625" customWidth="1"/>
    <col min="4111" max="4111" width="12.7109375" bestFit="1" customWidth="1"/>
    <col min="4353" max="4353" width="3.85546875" customWidth="1"/>
    <col min="4354" max="4354" width="26" customWidth="1"/>
    <col min="4357" max="4360" width="13.42578125" customWidth="1"/>
    <col min="4362" max="4362" width="5.5703125" customWidth="1"/>
    <col min="4364" max="4364" width="5.140625" customWidth="1"/>
    <col min="4367" max="4367" width="12.7109375" bestFit="1" customWidth="1"/>
    <col min="4609" max="4609" width="3.85546875" customWidth="1"/>
    <col min="4610" max="4610" width="26" customWidth="1"/>
    <col min="4613" max="4616" width="13.42578125" customWidth="1"/>
    <col min="4618" max="4618" width="5.5703125" customWidth="1"/>
    <col min="4620" max="4620" width="5.140625" customWidth="1"/>
    <col min="4623" max="4623" width="12.7109375" bestFit="1" customWidth="1"/>
    <col min="4865" max="4865" width="3.85546875" customWidth="1"/>
    <col min="4866" max="4866" width="26" customWidth="1"/>
    <col min="4869" max="4872" width="13.42578125" customWidth="1"/>
    <col min="4874" max="4874" width="5.5703125" customWidth="1"/>
    <col min="4876" max="4876" width="5.140625" customWidth="1"/>
    <col min="4879" max="4879" width="12.7109375" bestFit="1" customWidth="1"/>
    <col min="5121" max="5121" width="3.85546875" customWidth="1"/>
    <col min="5122" max="5122" width="26" customWidth="1"/>
    <col min="5125" max="5128" width="13.42578125" customWidth="1"/>
    <col min="5130" max="5130" width="5.5703125" customWidth="1"/>
    <col min="5132" max="5132" width="5.140625" customWidth="1"/>
    <col min="5135" max="5135" width="12.7109375" bestFit="1" customWidth="1"/>
    <col min="5377" max="5377" width="3.85546875" customWidth="1"/>
    <col min="5378" max="5378" width="26" customWidth="1"/>
    <col min="5381" max="5384" width="13.42578125" customWidth="1"/>
    <col min="5386" max="5386" width="5.5703125" customWidth="1"/>
    <col min="5388" max="5388" width="5.140625" customWidth="1"/>
    <col min="5391" max="5391" width="12.7109375" bestFit="1" customWidth="1"/>
    <col min="5633" max="5633" width="3.85546875" customWidth="1"/>
    <col min="5634" max="5634" width="26" customWidth="1"/>
    <col min="5637" max="5640" width="13.42578125" customWidth="1"/>
    <col min="5642" max="5642" width="5.5703125" customWidth="1"/>
    <col min="5644" max="5644" width="5.140625" customWidth="1"/>
    <col min="5647" max="5647" width="12.7109375" bestFit="1" customWidth="1"/>
    <col min="5889" max="5889" width="3.85546875" customWidth="1"/>
    <col min="5890" max="5890" width="26" customWidth="1"/>
    <col min="5893" max="5896" width="13.42578125" customWidth="1"/>
    <col min="5898" max="5898" width="5.5703125" customWidth="1"/>
    <col min="5900" max="5900" width="5.140625" customWidth="1"/>
    <col min="5903" max="5903" width="12.7109375" bestFit="1" customWidth="1"/>
    <col min="6145" max="6145" width="3.85546875" customWidth="1"/>
    <col min="6146" max="6146" width="26" customWidth="1"/>
    <col min="6149" max="6152" width="13.42578125" customWidth="1"/>
    <col min="6154" max="6154" width="5.5703125" customWidth="1"/>
    <col min="6156" max="6156" width="5.140625" customWidth="1"/>
    <col min="6159" max="6159" width="12.7109375" bestFit="1" customWidth="1"/>
    <col min="6401" max="6401" width="3.85546875" customWidth="1"/>
    <col min="6402" max="6402" width="26" customWidth="1"/>
    <col min="6405" max="6408" width="13.42578125" customWidth="1"/>
    <col min="6410" max="6410" width="5.5703125" customWidth="1"/>
    <col min="6412" max="6412" width="5.140625" customWidth="1"/>
    <col min="6415" max="6415" width="12.7109375" bestFit="1" customWidth="1"/>
    <col min="6657" max="6657" width="3.85546875" customWidth="1"/>
    <col min="6658" max="6658" width="26" customWidth="1"/>
    <col min="6661" max="6664" width="13.42578125" customWidth="1"/>
    <col min="6666" max="6666" width="5.5703125" customWidth="1"/>
    <col min="6668" max="6668" width="5.140625" customWidth="1"/>
    <col min="6671" max="6671" width="12.7109375" bestFit="1" customWidth="1"/>
    <col min="6913" max="6913" width="3.85546875" customWidth="1"/>
    <col min="6914" max="6914" width="26" customWidth="1"/>
    <col min="6917" max="6920" width="13.42578125" customWidth="1"/>
    <col min="6922" max="6922" width="5.5703125" customWidth="1"/>
    <col min="6924" max="6924" width="5.140625" customWidth="1"/>
    <col min="6927" max="6927" width="12.7109375" bestFit="1" customWidth="1"/>
    <col min="7169" max="7169" width="3.85546875" customWidth="1"/>
    <col min="7170" max="7170" width="26" customWidth="1"/>
    <col min="7173" max="7176" width="13.42578125" customWidth="1"/>
    <col min="7178" max="7178" width="5.5703125" customWidth="1"/>
    <col min="7180" max="7180" width="5.140625" customWidth="1"/>
    <col min="7183" max="7183" width="12.7109375" bestFit="1" customWidth="1"/>
    <col min="7425" max="7425" width="3.85546875" customWidth="1"/>
    <col min="7426" max="7426" width="26" customWidth="1"/>
    <col min="7429" max="7432" width="13.42578125" customWidth="1"/>
    <col min="7434" max="7434" width="5.5703125" customWidth="1"/>
    <col min="7436" max="7436" width="5.140625" customWidth="1"/>
    <col min="7439" max="7439" width="12.7109375" bestFit="1" customWidth="1"/>
    <col min="7681" max="7681" width="3.85546875" customWidth="1"/>
    <col min="7682" max="7682" width="26" customWidth="1"/>
    <col min="7685" max="7688" width="13.42578125" customWidth="1"/>
    <col min="7690" max="7690" width="5.5703125" customWidth="1"/>
    <col min="7692" max="7692" width="5.140625" customWidth="1"/>
    <col min="7695" max="7695" width="12.7109375" bestFit="1" customWidth="1"/>
    <col min="7937" max="7937" width="3.85546875" customWidth="1"/>
    <col min="7938" max="7938" width="26" customWidth="1"/>
    <col min="7941" max="7944" width="13.42578125" customWidth="1"/>
    <col min="7946" max="7946" width="5.5703125" customWidth="1"/>
    <col min="7948" max="7948" width="5.140625" customWidth="1"/>
    <col min="7951" max="7951" width="12.7109375" bestFit="1" customWidth="1"/>
    <col min="8193" max="8193" width="3.85546875" customWidth="1"/>
    <col min="8194" max="8194" width="26" customWidth="1"/>
    <col min="8197" max="8200" width="13.42578125" customWidth="1"/>
    <col min="8202" max="8202" width="5.5703125" customWidth="1"/>
    <col min="8204" max="8204" width="5.140625" customWidth="1"/>
    <col min="8207" max="8207" width="12.7109375" bestFit="1" customWidth="1"/>
    <col min="8449" max="8449" width="3.85546875" customWidth="1"/>
    <col min="8450" max="8450" width="26" customWidth="1"/>
    <col min="8453" max="8456" width="13.42578125" customWidth="1"/>
    <col min="8458" max="8458" width="5.5703125" customWidth="1"/>
    <col min="8460" max="8460" width="5.140625" customWidth="1"/>
    <col min="8463" max="8463" width="12.7109375" bestFit="1" customWidth="1"/>
    <col min="8705" max="8705" width="3.85546875" customWidth="1"/>
    <col min="8706" max="8706" width="26" customWidth="1"/>
    <col min="8709" max="8712" width="13.42578125" customWidth="1"/>
    <col min="8714" max="8714" width="5.5703125" customWidth="1"/>
    <col min="8716" max="8716" width="5.140625" customWidth="1"/>
    <col min="8719" max="8719" width="12.7109375" bestFit="1" customWidth="1"/>
    <col min="8961" max="8961" width="3.85546875" customWidth="1"/>
    <col min="8962" max="8962" width="26" customWidth="1"/>
    <col min="8965" max="8968" width="13.42578125" customWidth="1"/>
    <col min="8970" max="8970" width="5.5703125" customWidth="1"/>
    <col min="8972" max="8972" width="5.140625" customWidth="1"/>
    <col min="8975" max="8975" width="12.7109375" bestFit="1" customWidth="1"/>
    <col min="9217" max="9217" width="3.85546875" customWidth="1"/>
    <col min="9218" max="9218" width="26" customWidth="1"/>
    <col min="9221" max="9224" width="13.42578125" customWidth="1"/>
    <col min="9226" max="9226" width="5.5703125" customWidth="1"/>
    <col min="9228" max="9228" width="5.140625" customWidth="1"/>
    <col min="9231" max="9231" width="12.7109375" bestFit="1" customWidth="1"/>
    <col min="9473" max="9473" width="3.85546875" customWidth="1"/>
    <col min="9474" max="9474" width="26" customWidth="1"/>
    <col min="9477" max="9480" width="13.42578125" customWidth="1"/>
    <col min="9482" max="9482" width="5.5703125" customWidth="1"/>
    <col min="9484" max="9484" width="5.140625" customWidth="1"/>
    <col min="9487" max="9487" width="12.7109375" bestFit="1" customWidth="1"/>
    <col min="9729" max="9729" width="3.85546875" customWidth="1"/>
    <col min="9730" max="9730" width="26" customWidth="1"/>
    <col min="9733" max="9736" width="13.42578125" customWidth="1"/>
    <col min="9738" max="9738" width="5.5703125" customWidth="1"/>
    <col min="9740" max="9740" width="5.140625" customWidth="1"/>
    <col min="9743" max="9743" width="12.7109375" bestFit="1" customWidth="1"/>
    <col min="9985" max="9985" width="3.85546875" customWidth="1"/>
    <col min="9986" max="9986" width="26" customWidth="1"/>
    <col min="9989" max="9992" width="13.42578125" customWidth="1"/>
    <col min="9994" max="9994" width="5.5703125" customWidth="1"/>
    <col min="9996" max="9996" width="5.140625" customWidth="1"/>
    <col min="9999" max="9999" width="12.7109375" bestFit="1" customWidth="1"/>
    <col min="10241" max="10241" width="3.85546875" customWidth="1"/>
    <col min="10242" max="10242" width="26" customWidth="1"/>
    <col min="10245" max="10248" width="13.42578125" customWidth="1"/>
    <col min="10250" max="10250" width="5.5703125" customWidth="1"/>
    <col min="10252" max="10252" width="5.140625" customWidth="1"/>
    <col min="10255" max="10255" width="12.7109375" bestFit="1" customWidth="1"/>
    <col min="10497" max="10497" width="3.85546875" customWidth="1"/>
    <col min="10498" max="10498" width="26" customWidth="1"/>
    <col min="10501" max="10504" width="13.42578125" customWidth="1"/>
    <col min="10506" max="10506" width="5.5703125" customWidth="1"/>
    <col min="10508" max="10508" width="5.140625" customWidth="1"/>
    <col min="10511" max="10511" width="12.7109375" bestFit="1" customWidth="1"/>
    <col min="10753" max="10753" width="3.85546875" customWidth="1"/>
    <col min="10754" max="10754" width="26" customWidth="1"/>
    <col min="10757" max="10760" width="13.42578125" customWidth="1"/>
    <col min="10762" max="10762" width="5.5703125" customWidth="1"/>
    <col min="10764" max="10764" width="5.140625" customWidth="1"/>
    <col min="10767" max="10767" width="12.7109375" bestFit="1" customWidth="1"/>
    <col min="11009" max="11009" width="3.85546875" customWidth="1"/>
    <col min="11010" max="11010" width="26" customWidth="1"/>
    <col min="11013" max="11016" width="13.42578125" customWidth="1"/>
    <col min="11018" max="11018" width="5.5703125" customWidth="1"/>
    <col min="11020" max="11020" width="5.140625" customWidth="1"/>
    <col min="11023" max="11023" width="12.7109375" bestFit="1" customWidth="1"/>
    <col min="11265" max="11265" width="3.85546875" customWidth="1"/>
    <col min="11266" max="11266" width="26" customWidth="1"/>
    <col min="11269" max="11272" width="13.42578125" customWidth="1"/>
    <col min="11274" max="11274" width="5.5703125" customWidth="1"/>
    <col min="11276" max="11276" width="5.140625" customWidth="1"/>
    <col min="11279" max="11279" width="12.7109375" bestFit="1" customWidth="1"/>
    <col min="11521" max="11521" width="3.85546875" customWidth="1"/>
    <col min="11522" max="11522" width="26" customWidth="1"/>
    <col min="11525" max="11528" width="13.42578125" customWidth="1"/>
    <col min="11530" max="11530" width="5.5703125" customWidth="1"/>
    <col min="11532" max="11532" width="5.140625" customWidth="1"/>
    <col min="11535" max="11535" width="12.7109375" bestFit="1" customWidth="1"/>
    <col min="11777" max="11777" width="3.85546875" customWidth="1"/>
    <col min="11778" max="11778" width="26" customWidth="1"/>
    <col min="11781" max="11784" width="13.42578125" customWidth="1"/>
    <col min="11786" max="11786" width="5.5703125" customWidth="1"/>
    <col min="11788" max="11788" width="5.140625" customWidth="1"/>
    <col min="11791" max="11791" width="12.7109375" bestFit="1" customWidth="1"/>
    <col min="12033" max="12033" width="3.85546875" customWidth="1"/>
    <col min="12034" max="12034" width="26" customWidth="1"/>
    <col min="12037" max="12040" width="13.42578125" customWidth="1"/>
    <col min="12042" max="12042" width="5.5703125" customWidth="1"/>
    <col min="12044" max="12044" width="5.140625" customWidth="1"/>
    <col min="12047" max="12047" width="12.7109375" bestFit="1" customWidth="1"/>
    <col min="12289" max="12289" width="3.85546875" customWidth="1"/>
    <col min="12290" max="12290" width="26" customWidth="1"/>
    <col min="12293" max="12296" width="13.42578125" customWidth="1"/>
    <col min="12298" max="12298" width="5.5703125" customWidth="1"/>
    <col min="12300" max="12300" width="5.140625" customWidth="1"/>
    <col min="12303" max="12303" width="12.7109375" bestFit="1" customWidth="1"/>
    <col min="12545" max="12545" width="3.85546875" customWidth="1"/>
    <col min="12546" max="12546" width="26" customWidth="1"/>
    <col min="12549" max="12552" width="13.42578125" customWidth="1"/>
    <col min="12554" max="12554" width="5.5703125" customWidth="1"/>
    <col min="12556" max="12556" width="5.140625" customWidth="1"/>
    <col min="12559" max="12559" width="12.7109375" bestFit="1" customWidth="1"/>
    <col min="12801" max="12801" width="3.85546875" customWidth="1"/>
    <col min="12802" max="12802" width="26" customWidth="1"/>
    <col min="12805" max="12808" width="13.42578125" customWidth="1"/>
    <col min="12810" max="12810" width="5.5703125" customWidth="1"/>
    <col min="12812" max="12812" width="5.140625" customWidth="1"/>
    <col min="12815" max="12815" width="12.7109375" bestFit="1" customWidth="1"/>
    <col min="13057" max="13057" width="3.85546875" customWidth="1"/>
    <col min="13058" max="13058" width="26" customWidth="1"/>
    <col min="13061" max="13064" width="13.42578125" customWidth="1"/>
    <col min="13066" max="13066" width="5.5703125" customWidth="1"/>
    <col min="13068" max="13068" width="5.140625" customWidth="1"/>
    <col min="13071" max="13071" width="12.7109375" bestFit="1" customWidth="1"/>
    <col min="13313" max="13313" width="3.85546875" customWidth="1"/>
    <col min="13314" max="13314" width="26" customWidth="1"/>
    <col min="13317" max="13320" width="13.42578125" customWidth="1"/>
    <col min="13322" max="13322" width="5.5703125" customWidth="1"/>
    <col min="13324" max="13324" width="5.140625" customWidth="1"/>
    <col min="13327" max="13327" width="12.7109375" bestFit="1" customWidth="1"/>
    <col min="13569" max="13569" width="3.85546875" customWidth="1"/>
    <col min="13570" max="13570" width="26" customWidth="1"/>
    <col min="13573" max="13576" width="13.42578125" customWidth="1"/>
    <col min="13578" max="13578" width="5.5703125" customWidth="1"/>
    <col min="13580" max="13580" width="5.140625" customWidth="1"/>
    <col min="13583" max="13583" width="12.7109375" bestFit="1" customWidth="1"/>
    <col min="13825" max="13825" width="3.85546875" customWidth="1"/>
    <col min="13826" max="13826" width="26" customWidth="1"/>
    <col min="13829" max="13832" width="13.42578125" customWidth="1"/>
    <col min="13834" max="13834" width="5.5703125" customWidth="1"/>
    <col min="13836" max="13836" width="5.140625" customWidth="1"/>
    <col min="13839" max="13839" width="12.7109375" bestFit="1" customWidth="1"/>
    <col min="14081" max="14081" width="3.85546875" customWidth="1"/>
    <col min="14082" max="14082" width="26" customWidth="1"/>
    <col min="14085" max="14088" width="13.42578125" customWidth="1"/>
    <col min="14090" max="14090" width="5.5703125" customWidth="1"/>
    <col min="14092" max="14092" width="5.140625" customWidth="1"/>
    <col min="14095" max="14095" width="12.7109375" bestFit="1" customWidth="1"/>
    <col min="14337" max="14337" width="3.85546875" customWidth="1"/>
    <col min="14338" max="14338" width="26" customWidth="1"/>
    <col min="14341" max="14344" width="13.42578125" customWidth="1"/>
    <col min="14346" max="14346" width="5.5703125" customWidth="1"/>
    <col min="14348" max="14348" width="5.140625" customWidth="1"/>
    <col min="14351" max="14351" width="12.7109375" bestFit="1" customWidth="1"/>
    <col min="14593" max="14593" width="3.85546875" customWidth="1"/>
    <col min="14594" max="14594" width="26" customWidth="1"/>
    <col min="14597" max="14600" width="13.42578125" customWidth="1"/>
    <col min="14602" max="14602" width="5.5703125" customWidth="1"/>
    <col min="14604" max="14604" width="5.140625" customWidth="1"/>
    <col min="14607" max="14607" width="12.7109375" bestFit="1" customWidth="1"/>
    <col min="14849" max="14849" width="3.85546875" customWidth="1"/>
    <col min="14850" max="14850" width="26" customWidth="1"/>
    <col min="14853" max="14856" width="13.42578125" customWidth="1"/>
    <col min="14858" max="14858" width="5.5703125" customWidth="1"/>
    <col min="14860" max="14860" width="5.140625" customWidth="1"/>
    <col min="14863" max="14863" width="12.7109375" bestFit="1" customWidth="1"/>
    <col min="15105" max="15105" width="3.85546875" customWidth="1"/>
    <col min="15106" max="15106" width="26" customWidth="1"/>
    <col min="15109" max="15112" width="13.42578125" customWidth="1"/>
    <col min="15114" max="15114" width="5.5703125" customWidth="1"/>
    <col min="15116" max="15116" width="5.140625" customWidth="1"/>
    <col min="15119" max="15119" width="12.7109375" bestFit="1" customWidth="1"/>
    <col min="15361" max="15361" width="3.85546875" customWidth="1"/>
    <col min="15362" max="15362" width="26" customWidth="1"/>
    <col min="15365" max="15368" width="13.42578125" customWidth="1"/>
    <col min="15370" max="15370" width="5.5703125" customWidth="1"/>
    <col min="15372" max="15372" width="5.140625" customWidth="1"/>
    <col min="15375" max="15375" width="12.7109375" bestFit="1" customWidth="1"/>
    <col min="15617" max="15617" width="3.85546875" customWidth="1"/>
    <col min="15618" max="15618" width="26" customWidth="1"/>
    <col min="15621" max="15624" width="13.42578125" customWidth="1"/>
    <col min="15626" max="15626" width="5.5703125" customWidth="1"/>
    <col min="15628" max="15628" width="5.140625" customWidth="1"/>
    <col min="15631" max="15631" width="12.7109375" bestFit="1" customWidth="1"/>
    <col min="15873" max="15873" width="3.85546875" customWidth="1"/>
    <col min="15874" max="15874" width="26" customWidth="1"/>
    <col min="15877" max="15880" width="13.42578125" customWidth="1"/>
    <col min="15882" max="15882" width="5.5703125" customWidth="1"/>
    <col min="15884" max="15884" width="5.140625" customWidth="1"/>
    <col min="15887" max="15887" width="12.7109375" bestFit="1" customWidth="1"/>
    <col min="16129" max="16129" width="3.85546875" customWidth="1"/>
    <col min="16130" max="16130" width="26" customWidth="1"/>
    <col min="16133" max="16136" width="13.42578125" customWidth="1"/>
    <col min="16138" max="16138" width="5.5703125" customWidth="1"/>
    <col min="16140" max="16140" width="5.140625" customWidth="1"/>
    <col min="16143" max="16143" width="12.7109375" bestFit="1" customWidth="1"/>
  </cols>
  <sheetData>
    <row r="1" spans="1:20" ht="16.5">
      <c r="A1" s="1681" t="s">
        <v>2792</v>
      </c>
      <c r="B1" s="1681"/>
      <c r="C1" s="1681"/>
      <c r="D1" s="1681"/>
      <c r="E1" s="1681"/>
      <c r="F1" s="1681"/>
      <c r="G1" s="1681"/>
      <c r="H1" s="1681"/>
      <c r="I1" s="1681"/>
      <c r="K1" s="336" t="s">
        <v>2793</v>
      </c>
    </row>
    <row r="3" spans="1:20" ht="15.75">
      <c r="B3" s="1653" t="s">
        <v>2794</v>
      </c>
      <c r="C3" s="337" t="s">
        <v>2795</v>
      </c>
      <c r="D3" s="1683">
        <v>2530000</v>
      </c>
      <c r="E3" s="1684"/>
      <c r="F3" s="338"/>
      <c r="G3" s="339">
        <v>2350000</v>
      </c>
      <c r="H3" s="339">
        <v>2530000</v>
      </c>
      <c r="K3" s="336" t="s">
        <v>2796</v>
      </c>
      <c r="O3" s="340">
        <v>200000</v>
      </c>
    </row>
    <row r="4" spans="1:20" ht="15.75">
      <c r="B4" s="1682"/>
      <c r="C4" s="341" t="s">
        <v>2797</v>
      </c>
      <c r="D4" s="1683">
        <v>2320000</v>
      </c>
      <c r="E4" s="1684"/>
      <c r="F4" s="338"/>
      <c r="G4" s="339">
        <v>2150000</v>
      </c>
      <c r="H4" s="339">
        <v>2320000</v>
      </c>
      <c r="K4" s="336" t="s">
        <v>2798</v>
      </c>
      <c r="O4" s="340">
        <v>240000</v>
      </c>
    </row>
    <row r="5" spans="1:20" ht="15.75">
      <c r="B5" s="1682"/>
      <c r="C5" s="337" t="s">
        <v>2799</v>
      </c>
      <c r="D5" s="1683">
        <v>2154000</v>
      </c>
      <c r="E5" s="1684"/>
      <c r="F5" s="338"/>
      <c r="G5" s="339">
        <v>2000000</v>
      </c>
      <c r="H5" s="339">
        <v>2154000</v>
      </c>
      <c r="K5" s="336" t="s">
        <v>2800</v>
      </c>
      <c r="O5" s="342">
        <f>+(O3+O4)/2</f>
        <v>220000</v>
      </c>
    </row>
    <row r="6" spans="1:20" ht="15.75">
      <c r="B6" s="1682"/>
      <c r="C6" s="341" t="s">
        <v>2801</v>
      </c>
      <c r="D6" s="1685">
        <v>2349999</v>
      </c>
      <c r="E6" s="1686"/>
      <c r="F6" s="338"/>
      <c r="G6" s="339"/>
      <c r="H6" s="339"/>
      <c r="K6" s="336"/>
      <c r="O6" s="342"/>
    </row>
    <row r="7" spans="1:20" ht="15.75">
      <c r="B7" s="1654"/>
      <c r="C7" s="341" t="s">
        <v>2801</v>
      </c>
      <c r="D7" s="1683">
        <v>2530000</v>
      </c>
      <c r="E7" s="1684"/>
      <c r="F7" s="343"/>
      <c r="G7" s="339">
        <v>1900000</v>
      </c>
      <c r="H7" s="339">
        <v>2050000</v>
      </c>
      <c r="K7" s="336" t="s">
        <v>2802</v>
      </c>
      <c r="O7" s="344">
        <f>+O5*26/C30</f>
        <v>2428874.7346072188</v>
      </c>
      <c r="S7" s="336"/>
    </row>
    <row r="8" spans="1:20" ht="15.75">
      <c r="B8" s="345" t="s">
        <v>2803</v>
      </c>
      <c r="C8" s="346"/>
      <c r="D8" s="343"/>
      <c r="E8" s="343"/>
      <c r="F8" s="343"/>
      <c r="S8" s="347"/>
    </row>
    <row r="9" spans="1:20">
      <c r="C9" s="346"/>
      <c r="D9" s="343"/>
      <c r="E9" s="343"/>
      <c r="F9" s="343"/>
    </row>
    <row r="10" spans="1:20">
      <c r="B10" s="348"/>
      <c r="C10" s="346"/>
      <c r="D10" s="343"/>
      <c r="E10" s="343"/>
      <c r="F10" s="343"/>
    </row>
    <row r="11" spans="1:20" ht="23.1" customHeight="1">
      <c r="A11" s="1659" t="s">
        <v>2804</v>
      </c>
      <c r="B11" s="1659"/>
      <c r="C11" s="1659"/>
      <c r="D11" s="1659"/>
      <c r="E11" s="1659"/>
      <c r="F11" s="1659"/>
      <c r="G11" s="1659"/>
      <c r="H11" s="1659"/>
    </row>
    <row r="12" spans="1:20" ht="18.75">
      <c r="A12" s="1645" t="s">
        <v>84</v>
      </c>
      <c r="B12" s="1645" t="s">
        <v>2805</v>
      </c>
      <c r="C12" s="1679" t="s">
        <v>2806</v>
      </c>
      <c r="D12" s="1680"/>
      <c r="E12" s="1678" t="s">
        <v>2807</v>
      </c>
      <c r="F12" s="1677"/>
      <c r="G12" s="1678" t="s">
        <v>2808</v>
      </c>
      <c r="H12" s="1677"/>
      <c r="I12" s="1646" t="s">
        <v>2809</v>
      </c>
    </row>
    <row r="13" spans="1:20" ht="15.75">
      <c r="A13" s="1645"/>
      <c r="B13" s="1645"/>
      <c r="C13" s="349" t="s">
        <v>2810</v>
      </c>
      <c r="D13" s="349" t="s">
        <v>2811</v>
      </c>
      <c r="E13" s="349" t="s">
        <v>2810</v>
      </c>
      <c r="F13" s="349" t="s">
        <v>2811</v>
      </c>
      <c r="G13" s="349" t="s">
        <v>2810</v>
      </c>
      <c r="H13" s="349" t="s">
        <v>2811</v>
      </c>
      <c r="I13" s="1645"/>
      <c r="M13" s="1674" t="s">
        <v>2804</v>
      </c>
      <c r="N13" s="1674"/>
      <c r="O13" s="1674"/>
      <c r="P13" s="1674"/>
      <c r="Q13" s="1674"/>
      <c r="R13" s="1674"/>
      <c r="S13" s="1674"/>
      <c r="T13" s="1674"/>
    </row>
    <row r="14" spans="1:20">
      <c r="A14" s="350">
        <v>1</v>
      </c>
      <c r="B14" s="350" t="s">
        <v>2812</v>
      </c>
      <c r="C14" s="351">
        <v>1.55</v>
      </c>
      <c r="D14" s="351">
        <v>1.76</v>
      </c>
      <c r="E14" s="352">
        <f>C14*$D$7</f>
        <v>3921500</v>
      </c>
      <c r="F14" s="352">
        <f>D14*$D$7</f>
        <v>4452800</v>
      </c>
      <c r="G14" s="352">
        <f>ROUND(E14/26,0)</f>
        <v>150827</v>
      </c>
      <c r="H14" s="352">
        <f>ROUND(F14/26,0)</f>
        <v>171262</v>
      </c>
      <c r="I14" s="353"/>
      <c r="J14" s="354" t="s">
        <v>2813</v>
      </c>
      <c r="K14" s="354" t="s">
        <v>2814</v>
      </c>
      <c r="L14" s="355"/>
    </row>
    <row r="15" spans="1:20">
      <c r="A15" s="350">
        <v>2</v>
      </c>
      <c r="B15" s="350" t="s">
        <v>2815</v>
      </c>
      <c r="C15" s="351">
        <v>1.83</v>
      </c>
      <c r="D15" s="351">
        <v>2.0699999999999998</v>
      </c>
      <c r="E15" s="352">
        <f t="shared" ref="E15:F65" si="0">C15*$D$7</f>
        <v>4629900</v>
      </c>
      <c r="F15" s="352">
        <f t="shared" si="0"/>
        <v>5237100</v>
      </c>
      <c r="G15" s="352">
        <f t="shared" ref="G15:H65" si="1">ROUND(E15/26,0)</f>
        <v>178073</v>
      </c>
      <c r="H15" s="352">
        <f t="shared" si="1"/>
        <v>201427</v>
      </c>
      <c r="I15" s="353"/>
      <c r="J15" s="354" t="s">
        <v>2816</v>
      </c>
      <c r="K15" s="354" t="s">
        <v>2817</v>
      </c>
      <c r="L15" s="355"/>
      <c r="M15" s="356" t="s">
        <v>2818</v>
      </c>
    </row>
    <row r="16" spans="1:20">
      <c r="A16" s="357">
        <v>3</v>
      </c>
      <c r="B16" s="357">
        <v>2.1</v>
      </c>
      <c r="C16" s="358">
        <f t="shared" ref="C16:C24" si="2">($C$25-$C$15)/10*L16+$C$15</f>
        <v>1.863</v>
      </c>
      <c r="D16" s="358">
        <f t="shared" ref="D16:D24" si="3">($D$25-$D$15)/10*L16+$D$15</f>
        <v>2.1069999999999998</v>
      </c>
      <c r="E16" s="352">
        <f t="shared" si="0"/>
        <v>4713390</v>
      </c>
      <c r="F16" s="352">
        <f t="shared" si="0"/>
        <v>5330709.9999999991</v>
      </c>
      <c r="G16" s="352">
        <f t="shared" si="1"/>
        <v>181284</v>
      </c>
      <c r="H16" s="352">
        <f t="shared" si="1"/>
        <v>205027</v>
      </c>
      <c r="I16" s="353"/>
      <c r="J16" s="354" t="s">
        <v>2819</v>
      </c>
      <c r="K16" s="359" t="s">
        <v>2820</v>
      </c>
      <c r="L16" s="360">
        <v>1</v>
      </c>
    </row>
    <row r="17" spans="1:20">
      <c r="A17" s="357">
        <v>4</v>
      </c>
      <c r="B17" s="357">
        <v>2.2000000000000002</v>
      </c>
      <c r="C17" s="358">
        <f t="shared" si="2"/>
        <v>1.8960000000000001</v>
      </c>
      <c r="D17" s="358">
        <f t="shared" si="3"/>
        <v>2.1439999999999997</v>
      </c>
      <c r="E17" s="352">
        <f t="shared" si="0"/>
        <v>4796880</v>
      </c>
      <c r="F17" s="352">
        <f t="shared" si="0"/>
        <v>5424319.9999999991</v>
      </c>
      <c r="G17" s="352">
        <f t="shared" si="1"/>
        <v>184495</v>
      </c>
      <c r="H17" s="352">
        <f t="shared" si="1"/>
        <v>208628</v>
      </c>
      <c r="I17" s="353"/>
      <c r="J17" s="354" t="s">
        <v>2821</v>
      </c>
      <c r="K17" s="359" t="s">
        <v>2822</v>
      </c>
      <c r="L17" s="360">
        <v>2</v>
      </c>
    </row>
    <row r="18" spans="1:20">
      <c r="A18" s="357">
        <v>5</v>
      </c>
      <c r="B18" s="357">
        <v>2.2999999999999998</v>
      </c>
      <c r="C18" s="358">
        <f t="shared" si="2"/>
        <v>1.929</v>
      </c>
      <c r="D18" s="358">
        <f t="shared" si="3"/>
        <v>2.181</v>
      </c>
      <c r="E18" s="352">
        <f t="shared" si="0"/>
        <v>4880370</v>
      </c>
      <c r="F18" s="352">
        <f t="shared" si="0"/>
        <v>5517930</v>
      </c>
      <c r="G18" s="352">
        <f t="shared" si="1"/>
        <v>187707</v>
      </c>
      <c r="H18" s="352">
        <f t="shared" si="1"/>
        <v>212228</v>
      </c>
      <c r="I18" s="353"/>
      <c r="J18" s="354" t="s">
        <v>2823</v>
      </c>
      <c r="K18" s="359" t="s">
        <v>2824</v>
      </c>
      <c r="L18" s="360">
        <v>3</v>
      </c>
    </row>
    <row r="19" spans="1:20">
      <c r="A19" s="357">
        <v>6</v>
      </c>
      <c r="B19" s="357">
        <v>2.4</v>
      </c>
      <c r="C19" s="358">
        <f t="shared" si="2"/>
        <v>1.9620000000000002</v>
      </c>
      <c r="D19" s="358">
        <f t="shared" si="3"/>
        <v>2.218</v>
      </c>
      <c r="E19" s="352">
        <f t="shared" si="0"/>
        <v>4963860.0000000009</v>
      </c>
      <c r="F19" s="352">
        <f t="shared" si="0"/>
        <v>5611540</v>
      </c>
      <c r="G19" s="352">
        <f t="shared" si="1"/>
        <v>190918</v>
      </c>
      <c r="H19" s="352">
        <f t="shared" si="1"/>
        <v>215828</v>
      </c>
      <c r="I19" s="353"/>
      <c r="J19" s="354" t="s">
        <v>2825</v>
      </c>
      <c r="K19" s="359" t="s">
        <v>2826</v>
      </c>
      <c r="L19" s="360">
        <v>4</v>
      </c>
    </row>
    <row r="20" spans="1:20" ht="15.6" customHeight="1">
      <c r="A20" s="350"/>
      <c r="B20" s="350">
        <v>2.5</v>
      </c>
      <c r="C20" s="358">
        <f t="shared" si="2"/>
        <v>1.9950000000000001</v>
      </c>
      <c r="D20" s="358">
        <f t="shared" si="3"/>
        <v>2.2549999999999999</v>
      </c>
      <c r="E20" s="352">
        <f t="shared" si="0"/>
        <v>5047350</v>
      </c>
      <c r="F20" s="352">
        <f t="shared" si="0"/>
        <v>5705150</v>
      </c>
      <c r="G20" s="352">
        <f t="shared" si="1"/>
        <v>194129</v>
      </c>
      <c r="H20" s="352">
        <f t="shared" si="1"/>
        <v>219429</v>
      </c>
      <c r="I20" s="353"/>
      <c r="J20" s="354" t="s">
        <v>2827</v>
      </c>
      <c r="K20" s="354" t="s">
        <v>2828</v>
      </c>
      <c r="L20" s="360">
        <v>5</v>
      </c>
      <c r="N20" s="356" t="s">
        <v>2829</v>
      </c>
      <c r="O20" s="356"/>
      <c r="P20" s="356"/>
      <c r="Q20" s="356"/>
      <c r="R20" s="356"/>
      <c r="S20" s="356"/>
    </row>
    <row r="21" spans="1:20" ht="15.6" customHeight="1">
      <c r="A21" s="357">
        <v>8</v>
      </c>
      <c r="B21" s="357">
        <v>2.6</v>
      </c>
      <c r="C21" s="358">
        <f t="shared" si="2"/>
        <v>2.028</v>
      </c>
      <c r="D21" s="358">
        <f t="shared" si="3"/>
        <v>2.2919999999999998</v>
      </c>
      <c r="E21" s="352">
        <f t="shared" si="0"/>
        <v>5130840</v>
      </c>
      <c r="F21" s="352">
        <f t="shared" si="0"/>
        <v>5798759.9999999991</v>
      </c>
      <c r="G21" s="352">
        <f t="shared" si="1"/>
        <v>197340</v>
      </c>
      <c r="H21" s="352">
        <f t="shared" si="1"/>
        <v>223029</v>
      </c>
      <c r="I21" s="353"/>
      <c r="J21" s="354" t="s">
        <v>2830</v>
      </c>
      <c r="K21" s="359" t="s">
        <v>2831</v>
      </c>
      <c r="L21" s="360">
        <v>6</v>
      </c>
      <c r="N21" s="356"/>
      <c r="O21" s="356"/>
      <c r="P21" s="356"/>
      <c r="Q21" s="356"/>
      <c r="R21" s="356"/>
      <c r="S21" s="356"/>
    </row>
    <row r="22" spans="1:20" ht="15.6" customHeight="1">
      <c r="A22" s="357">
        <v>9</v>
      </c>
      <c r="B22" s="357">
        <v>2.7</v>
      </c>
      <c r="C22" s="358">
        <f t="shared" si="2"/>
        <v>2.0609999999999999</v>
      </c>
      <c r="D22" s="358">
        <f t="shared" si="3"/>
        <v>2.3289999999999997</v>
      </c>
      <c r="E22" s="352">
        <f t="shared" si="0"/>
        <v>5214330</v>
      </c>
      <c r="F22" s="352">
        <f t="shared" si="0"/>
        <v>5892369.9999999991</v>
      </c>
      <c r="G22" s="352">
        <f t="shared" si="1"/>
        <v>200551</v>
      </c>
      <c r="H22" s="352">
        <f t="shared" si="1"/>
        <v>226630</v>
      </c>
      <c r="I22" s="353"/>
      <c r="J22" s="354" t="s">
        <v>2832</v>
      </c>
      <c r="K22" s="359" t="s">
        <v>2833</v>
      </c>
      <c r="L22" s="360">
        <v>7</v>
      </c>
      <c r="N22" s="356"/>
      <c r="O22" s="356"/>
      <c r="P22" s="356"/>
      <c r="Q22" s="356"/>
      <c r="R22" s="356"/>
      <c r="S22" s="356"/>
      <c r="T22">
        <v>2.16</v>
      </c>
    </row>
    <row r="23" spans="1:20" ht="15.6" customHeight="1">
      <c r="A23" s="357">
        <v>10</v>
      </c>
      <c r="B23" s="357">
        <v>2.8</v>
      </c>
      <c r="C23" s="358">
        <f t="shared" si="2"/>
        <v>2.0940000000000003</v>
      </c>
      <c r="D23" s="358">
        <f t="shared" si="3"/>
        <v>2.3660000000000001</v>
      </c>
      <c r="E23" s="352">
        <f t="shared" si="0"/>
        <v>5297820.0000000009</v>
      </c>
      <c r="F23" s="352">
        <f t="shared" si="0"/>
        <v>5985980</v>
      </c>
      <c r="G23" s="352">
        <f t="shared" si="1"/>
        <v>203762</v>
      </c>
      <c r="H23" s="352">
        <f t="shared" si="1"/>
        <v>230230</v>
      </c>
      <c r="I23" s="353"/>
      <c r="J23" s="354" t="s">
        <v>2834</v>
      </c>
      <c r="K23" s="359" t="s">
        <v>2835</v>
      </c>
      <c r="L23" s="360">
        <v>8</v>
      </c>
      <c r="N23" s="356"/>
      <c r="O23" s="356"/>
      <c r="P23" s="356"/>
      <c r="Q23" s="356"/>
      <c r="R23" s="356"/>
      <c r="S23" s="356"/>
    </row>
    <row r="24" spans="1:20" ht="15.6" customHeight="1">
      <c r="A24" s="357">
        <v>11</v>
      </c>
      <c r="B24" s="357">
        <v>2.9</v>
      </c>
      <c r="C24" s="358">
        <f t="shared" si="2"/>
        <v>2.1270000000000002</v>
      </c>
      <c r="D24" s="358">
        <f t="shared" si="3"/>
        <v>2.403</v>
      </c>
      <c r="E24" s="352">
        <f t="shared" si="0"/>
        <v>5381310.0000000009</v>
      </c>
      <c r="F24" s="352">
        <f t="shared" si="0"/>
        <v>6079590</v>
      </c>
      <c r="G24" s="352">
        <f t="shared" si="1"/>
        <v>206973</v>
      </c>
      <c r="H24" s="352">
        <f t="shared" si="1"/>
        <v>233830</v>
      </c>
      <c r="I24" s="353"/>
      <c r="J24" s="354" t="s">
        <v>2836</v>
      </c>
      <c r="K24" s="359" t="s">
        <v>2837</v>
      </c>
      <c r="L24" s="360">
        <v>9</v>
      </c>
      <c r="N24" s="356"/>
      <c r="O24" s="356"/>
      <c r="P24" s="356"/>
      <c r="Q24" s="356"/>
      <c r="R24" s="356"/>
      <c r="S24" s="356"/>
    </row>
    <row r="25" spans="1:20" ht="15.6" customHeight="1">
      <c r="A25" s="350">
        <v>3</v>
      </c>
      <c r="B25" s="350" t="s">
        <v>2838</v>
      </c>
      <c r="C25" s="351">
        <v>2.16</v>
      </c>
      <c r="D25" s="351">
        <v>2.44</v>
      </c>
      <c r="E25" s="352">
        <f t="shared" si="0"/>
        <v>5464800</v>
      </c>
      <c r="F25" s="352">
        <f t="shared" si="0"/>
        <v>6173200</v>
      </c>
      <c r="G25" s="352">
        <f t="shared" si="1"/>
        <v>210185</v>
      </c>
      <c r="H25" s="352">
        <f t="shared" si="1"/>
        <v>237431</v>
      </c>
      <c r="I25" s="353"/>
      <c r="J25" s="354" t="s">
        <v>2839</v>
      </c>
      <c r="K25" s="354" t="s">
        <v>2840</v>
      </c>
      <c r="L25" s="355"/>
      <c r="N25" s="356" t="s">
        <v>2841</v>
      </c>
      <c r="O25" s="356"/>
      <c r="P25" s="356"/>
      <c r="Q25" s="356"/>
      <c r="R25" s="356"/>
      <c r="S25" s="356"/>
    </row>
    <row r="26" spans="1:20" ht="15.6" customHeight="1">
      <c r="A26" s="357">
        <v>13</v>
      </c>
      <c r="B26" s="357">
        <v>3.1</v>
      </c>
      <c r="C26" s="358">
        <f>($C$35-$C$25)/10*L26+$C$25</f>
        <v>2.1990000000000003</v>
      </c>
      <c r="D26" s="358">
        <f>($D$35-$D$25)/10*L26+$D$25</f>
        <v>2.4819999999999998</v>
      </c>
      <c r="E26" s="352">
        <f t="shared" si="0"/>
        <v>5563470.0000000009</v>
      </c>
      <c r="F26" s="352">
        <f t="shared" si="0"/>
        <v>6279459.9999999991</v>
      </c>
      <c r="G26" s="352">
        <f t="shared" si="1"/>
        <v>213980</v>
      </c>
      <c r="H26" s="352">
        <f t="shared" si="1"/>
        <v>241518</v>
      </c>
      <c r="I26" s="353"/>
      <c r="J26" s="354" t="s">
        <v>2842</v>
      </c>
      <c r="K26" s="359" t="s">
        <v>2843</v>
      </c>
      <c r="L26" s="360">
        <v>1</v>
      </c>
      <c r="N26" s="356"/>
      <c r="O26" s="356"/>
      <c r="P26" s="356"/>
      <c r="Q26" s="356"/>
      <c r="R26" s="356"/>
      <c r="S26" s="356"/>
    </row>
    <row r="27" spans="1:20" ht="15.6" customHeight="1">
      <c r="A27" s="357">
        <v>14</v>
      </c>
      <c r="B27" s="357">
        <v>3.2</v>
      </c>
      <c r="C27" s="358">
        <f t="shared" ref="C27:C34" si="4">($C$35-$C$25)/10*L27+$C$25</f>
        <v>2.238</v>
      </c>
      <c r="D27" s="358">
        <f t="shared" ref="D27:D34" si="5">($D$35-$D$25)/10*L27+$D$25</f>
        <v>2.524</v>
      </c>
      <c r="E27" s="352">
        <f t="shared" si="0"/>
        <v>5662140</v>
      </c>
      <c r="F27" s="352">
        <f t="shared" si="0"/>
        <v>6385720</v>
      </c>
      <c r="G27" s="352">
        <f t="shared" si="1"/>
        <v>217775</v>
      </c>
      <c r="H27" s="352">
        <f t="shared" si="1"/>
        <v>245605</v>
      </c>
      <c r="I27" s="353"/>
      <c r="J27" s="354" t="s">
        <v>2844</v>
      </c>
      <c r="K27" s="359" t="s">
        <v>2845</v>
      </c>
      <c r="L27" s="360">
        <v>2</v>
      </c>
      <c r="N27" s="356"/>
      <c r="O27" s="356"/>
      <c r="P27" s="356"/>
      <c r="Q27" s="356"/>
      <c r="R27" s="356"/>
      <c r="S27" s="356"/>
    </row>
    <row r="28" spans="1:20" ht="15.6" customHeight="1">
      <c r="A28" s="357">
        <v>15</v>
      </c>
      <c r="B28" s="357">
        <v>3.3</v>
      </c>
      <c r="C28" s="358">
        <f t="shared" si="4"/>
        <v>2.2770000000000001</v>
      </c>
      <c r="D28" s="358">
        <f t="shared" si="5"/>
        <v>2.5659999999999998</v>
      </c>
      <c r="E28" s="352">
        <f t="shared" si="0"/>
        <v>5760810</v>
      </c>
      <c r="F28" s="352">
        <f t="shared" si="0"/>
        <v>6491980</v>
      </c>
      <c r="G28" s="352">
        <f t="shared" si="1"/>
        <v>221570</v>
      </c>
      <c r="H28" s="352">
        <f t="shared" si="1"/>
        <v>249692</v>
      </c>
      <c r="I28" s="353"/>
      <c r="J28" s="354" t="s">
        <v>2846</v>
      </c>
      <c r="K28" s="359" t="s">
        <v>2847</v>
      </c>
      <c r="L28" s="360">
        <v>3</v>
      </c>
      <c r="N28" s="356"/>
      <c r="O28" s="356"/>
      <c r="P28" s="356"/>
      <c r="Q28" s="356"/>
      <c r="R28" s="356"/>
      <c r="S28" s="356"/>
    </row>
    <row r="29" spans="1:20" ht="15.6" customHeight="1">
      <c r="A29" s="357">
        <v>16</v>
      </c>
      <c r="B29" s="357">
        <v>3.4</v>
      </c>
      <c r="C29" s="358">
        <f t="shared" si="4"/>
        <v>2.3159999999999998</v>
      </c>
      <c r="D29" s="358">
        <f t="shared" si="5"/>
        <v>2.6080000000000001</v>
      </c>
      <c r="E29" s="352">
        <f t="shared" si="0"/>
        <v>5859480</v>
      </c>
      <c r="F29" s="352">
        <f t="shared" si="0"/>
        <v>6598240</v>
      </c>
      <c r="G29" s="352">
        <f t="shared" si="1"/>
        <v>225365</v>
      </c>
      <c r="H29" s="352">
        <f t="shared" si="1"/>
        <v>253778</v>
      </c>
      <c r="I29" s="353"/>
      <c r="J29" s="354" t="s">
        <v>2848</v>
      </c>
      <c r="K29" s="359" t="s">
        <v>2849</v>
      </c>
      <c r="L29" s="360">
        <v>4</v>
      </c>
      <c r="N29" s="356"/>
      <c r="O29" s="356"/>
      <c r="P29" s="356"/>
      <c r="Q29" s="356"/>
      <c r="R29" s="356"/>
      <c r="S29" s="356"/>
    </row>
    <row r="30" spans="1:20" ht="15.6" customHeight="1">
      <c r="A30" s="350"/>
      <c r="B30" s="350">
        <v>3.5</v>
      </c>
      <c r="C30" s="361">
        <f t="shared" si="4"/>
        <v>2.355</v>
      </c>
      <c r="D30" s="358">
        <f t="shared" si="5"/>
        <v>2.65</v>
      </c>
      <c r="E30" s="352">
        <f t="shared" si="0"/>
        <v>5958150</v>
      </c>
      <c r="F30" s="352">
        <f t="shared" si="0"/>
        <v>6704500</v>
      </c>
      <c r="G30" s="352">
        <f t="shared" si="1"/>
        <v>229160</v>
      </c>
      <c r="H30" s="352">
        <f t="shared" si="1"/>
        <v>257865</v>
      </c>
      <c r="I30" s="353"/>
      <c r="J30" s="354" t="s">
        <v>2850</v>
      </c>
      <c r="K30" s="354" t="s">
        <v>2851</v>
      </c>
      <c r="L30" s="355">
        <v>5</v>
      </c>
      <c r="N30" s="1675" t="s">
        <v>2852</v>
      </c>
      <c r="O30" s="1675"/>
      <c r="P30" s="1675"/>
      <c r="Q30" s="1675"/>
      <c r="R30" s="1675"/>
      <c r="S30" s="1675"/>
    </row>
    <row r="31" spans="1:20" ht="15.6" customHeight="1">
      <c r="A31" s="357">
        <v>18</v>
      </c>
      <c r="B31" s="357">
        <v>3.6</v>
      </c>
      <c r="C31" s="358">
        <f t="shared" si="4"/>
        <v>2.3940000000000001</v>
      </c>
      <c r="D31" s="358">
        <f t="shared" si="5"/>
        <v>2.6920000000000002</v>
      </c>
      <c r="E31" s="352">
        <f t="shared" si="0"/>
        <v>6056820</v>
      </c>
      <c r="F31" s="352">
        <f t="shared" si="0"/>
        <v>6810760</v>
      </c>
      <c r="G31" s="352">
        <f t="shared" si="1"/>
        <v>232955</v>
      </c>
      <c r="H31" s="352">
        <f t="shared" si="1"/>
        <v>261952</v>
      </c>
      <c r="I31" s="353"/>
      <c r="J31" s="354" t="s">
        <v>2853</v>
      </c>
      <c r="K31" s="359" t="s">
        <v>2854</v>
      </c>
      <c r="L31" s="360">
        <v>6</v>
      </c>
      <c r="N31" s="1675"/>
      <c r="O31" s="1675"/>
      <c r="P31" s="1675"/>
      <c r="Q31" s="1675"/>
      <c r="R31" s="1675"/>
      <c r="S31" s="1675"/>
    </row>
    <row r="32" spans="1:20" ht="15.6" customHeight="1">
      <c r="A32" s="357">
        <v>19</v>
      </c>
      <c r="B32" s="357">
        <v>3.7</v>
      </c>
      <c r="C32" s="358">
        <f t="shared" si="4"/>
        <v>2.4329999999999998</v>
      </c>
      <c r="D32" s="358">
        <f t="shared" si="5"/>
        <v>2.734</v>
      </c>
      <c r="E32" s="352">
        <f t="shared" si="0"/>
        <v>6155490</v>
      </c>
      <c r="F32" s="352">
        <f t="shared" si="0"/>
        <v>6917020</v>
      </c>
      <c r="G32" s="352">
        <f t="shared" si="1"/>
        <v>236750</v>
      </c>
      <c r="H32" s="352">
        <f t="shared" si="1"/>
        <v>266039</v>
      </c>
      <c r="I32" s="353"/>
      <c r="J32" s="354" t="s">
        <v>2855</v>
      </c>
      <c r="K32" s="359" t="s">
        <v>2856</v>
      </c>
      <c r="L32" s="360">
        <v>7</v>
      </c>
      <c r="N32" s="1675"/>
      <c r="O32" s="1675"/>
      <c r="P32" s="1675"/>
      <c r="Q32" s="1675"/>
      <c r="R32" s="1675"/>
      <c r="S32" s="1675"/>
    </row>
    <row r="33" spans="1:19" ht="15.6" customHeight="1">
      <c r="A33" s="357">
        <v>20</v>
      </c>
      <c r="B33" s="357">
        <v>3.8</v>
      </c>
      <c r="C33" s="358">
        <f t="shared" si="4"/>
        <v>2.472</v>
      </c>
      <c r="D33" s="358">
        <f t="shared" si="5"/>
        <v>2.7759999999999998</v>
      </c>
      <c r="E33" s="352">
        <f t="shared" si="0"/>
        <v>6254160</v>
      </c>
      <c r="F33" s="352">
        <f t="shared" si="0"/>
        <v>7023279.9999999991</v>
      </c>
      <c r="G33" s="352">
        <f t="shared" si="1"/>
        <v>240545</v>
      </c>
      <c r="H33" s="352">
        <f t="shared" si="1"/>
        <v>270126</v>
      </c>
      <c r="I33" s="353"/>
      <c r="J33" s="354" t="s">
        <v>2857</v>
      </c>
      <c r="K33" s="359" t="s">
        <v>2858</v>
      </c>
      <c r="L33" s="360">
        <v>8</v>
      </c>
      <c r="N33" s="1675"/>
      <c r="O33" s="1675"/>
      <c r="P33" s="1675"/>
      <c r="Q33" s="1675"/>
      <c r="R33" s="1675"/>
      <c r="S33" s="1675"/>
    </row>
    <row r="34" spans="1:19" ht="15.6" customHeight="1">
      <c r="A34" s="357">
        <v>21</v>
      </c>
      <c r="B34" s="357">
        <v>3.9</v>
      </c>
      <c r="C34" s="358">
        <f t="shared" si="4"/>
        <v>2.5109999999999997</v>
      </c>
      <c r="D34" s="358">
        <f t="shared" si="5"/>
        <v>2.8180000000000001</v>
      </c>
      <c r="E34" s="352">
        <f t="shared" si="0"/>
        <v>6352829.9999999991</v>
      </c>
      <c r="F34" s="352">
        <f t="shared" si="0"/>
        <v>7129540</v>
      </c>
      <c r="G34" s="352">
        <f t="shared" si="1"/>
        <v>244340</v>
      </c>
      <c r="H34" s="352">
        <f t="shared" si="1"/>
        <v>274213</v>
      </c>
      <c r="I34" s="353"/>
      <c r="J34" s="354" t="s">
        <v>2859</v>
      </c>
      <c r="K34" s="359" t="s">
        <v>2860</v>
      </c>
      <c r="L34" s="360">
        <v>9</v>
      </c>
      <c r="N34" s="1675"/>
      <c r="O34" s="1675"/>
      <c r="P34" s="1675"/>
      <c r="Q34" s="1675"/>
      <c r="R34" s="1675"/>
      <c r="S34" s="1675"/>
    </row>
    <row r="35" spans="1:19">
      <c r="A35" s="350">
        <v>4</v>
      </c>
      <c r="B35" s="350" t="s">
        <v>2861</v>
      </c>
      <c r="C35" s="351">
        <v>2.5499999999999998</v>
      </c>
      <c r="D35" s="351">
        <v>2.86</v>
      </c>
      <c r="E35" s="352">
        <f t="shared" si="0"/>
        <v>6451500</v>
      </c>
      <c r="F35" s="352">
        <f t="shared" si="0"/>
        <v>7235800</v>
      </c>
      <c r="G35" s="352">
        <f t="shared" si="1"/>
        <v>248135</v>
      </c>
      <c r="H35" s="352">
        <f t="shared" si="1"/>
        <v>278300</v>
      </c>
      <c r="I35" s="353"/>
      <c r="J35" s="354" t="s">
        <v>2862</v>
      </c>
      <c r="K35" s="354" t="s">
        <v>2863</v>
      </c>
      <c r="L35" s="355"/>
      <c r="N35" s="1675"/>
      <c r="O35" s="1675"/>
      <c r="P35" s="1675"/>
      <c r="Q35" s="1675"/>
      <c r="R35" s="1675"/>
      <c r="S35" s="1675"/>
    </row>
    <row r="36" spans="1:19">
      <c r="A36" s="357">
        <v>23</v>
      </c>
      <c r="B36" s="357">
        <v>4.0999999999999996</v>
      </c>
      <c r="C36" s="358">
        <f>($C$45-$C$35)/10*L36+$C$35</f>
        <v>2.5959999999999996</v>
      </c>
      <c r="D36" s="358">
        <f>($D$45-$D$35)/10*L36+$D$35</f>
        <v>2.911</v>
      </c>
      <c r="E36" s="352">
        <f t="shared" si="0"/>
        <v>6567879.9999999991</v>
      </c>
      <c r="F36" s="352">
        <f t="shared" si="0"/>
        <v>7364830</v>
      </c>
      <c r="G36" s="352">
        <f t="shared" si="1"/>
        <v>252611</v>
      </c>
      <c r="H36" s="352">
        <f t="shared" si="1"/>
        <v>283263</v>
      </c>
      <c r="I36" s="353"/>
      <c r="J36" s="354" t="s">
        <v>2864</v>
      </c>
      <c r="K36" s="359" t="s">
        <v>2865</v>
      </c>
      <c r="L36" s="360">
        <v>1</v>
      </c>
    </row>
    <row r="37" spans="1:19">
      <c r="A37" s="357">
        <v>24</v>
      </c>
      <c r="B37" s="357">
        <v>4.2</v>
      </c>
      <c r="C37" s="358">
        <f t="shared" ref="C37:C44" si="6">($C$45-$C$35)/10*L37+$C$35</f>
        <v>2.6419999999999999</v>
      </c>
      <c r="D37" s="358">
        <f t="shared" ref="D37:D44" si="7">($D$45-$D$35)/10*L37+$D$35</f>
        <v>2.9619999999999997</v>
      </c>
      <c r="E37" s="352">
        <f t="shared" si="0"/>
        <v>6684260</v>
      </c>
      <c r="F37" s="352">
        <f t="shared" si="0"/>
        <v>7493859.9999999991</v>
      </c>
      <c r="G37" s="352">
        <f t="shared" si="1"/>
        <v>257087</v>
      </c>
      <c r="H37" s="352">
        <f t="shared" si="1"/>
        <v>288225</v>
      </c>
      <c r="I37" s="353"/>
      <c r="J37" s="354" t="s">
        <v>2866</v>
      </c>
      <c r="K37" s="359" t="s">
        <v>2867</v>
      </c>
      <c r="L37" s="360">
        <v>2</v>
      </c>
    </row>
    <row r="38" spans="1:19">
      <c r="A38" s="357">
        <v>25</v>
      </c>
      <c r="B38" s="357">
        <v>4.3</v>
      </c>
      <c r="C38" s="358">
        <f t="shared" si="6"/>
        <v>2.6879999999999997</v>
      </c>
      <c r="D38" s="358">
        <f t="shared" si="7"/>
        <v>3.0129999999999999</v>
      </c>
      <c r="E38" s="352">
        <f t="shared" si="0"/>
        <v>6800639.9999999991</v>
      </c>
      <c r="F38" s="352">
        <f t="shared" si="0"/>
        <v>7622890</v>
      </c>
      <c r="G38" s="352">
        <f t="shared" si="1"/>
        <v>261563</v>
      </c>
      <c r="H38" s="352">
        <f t="shared" si="1"/>
        <v>293188</v>
      </c>
      <c r="I38" s="353"/>
      <c r="J38" s="354" t="s">
        <v>2868</v>
      </c>
      <c r="K38" s="359" t="s">
        <v>2869</v>
      </c>
      <c r="L38" s="360">
        <v>3</v>
      </c>
    </row>
    <row r="39" spans="1:19">
      <c r="A39" s="357">
        <v>26</v>
      </c>
      <c r="B39" s="357">
        <v>4.4000000000000004</v>
      </c>
      <c r="C39" s="358">
        <f t="shared" si="6"/>
        <v>2.734</v>
      </c>
      <c r="D39" s="358">
        <f t="shared" si="7"/>
        <v>3.0640000000000001</v>
      </c>
      <c r="E39" s="352">
        <f t="shared" si="0"/>
        <v>6917020</v>
      </c>
      <c r="F39" s="352">
        <f t="shared" si="0"/>
        <v>7751920</v>
      </c>
      <c r="G39" s="352">
        <f t="shared" si="1"/>
        <v>266039</v>
      </c>
      <c r="H39" s="352">
        <f t="shared" si="1"/>
        <v>298151</v>
      </c>
      <c r="I39" s="353"/>
      <c r="J39" s="354" t="s">
        <v>2870</v>
      </c>
      <c r="K39" s="359" t="s">
        <v>2871</v>
      </c>
      <c r="L39" s="360">
        <v>4</v>
      </c>
    </row>
    <row r="40" spans="1:19">
      <c r="A40" s="350"/>
      <c r="B40" s="350">
        <v>4.5</v>
      </c>
      <c r="C40" s="358">
        <f t="shared" si="6"/>
        <v>2.78</v>
      </c>
      <c r="D40" s="358">
        <f t="shared" si="7"/>
        <v>3.1150000000000002</v>
      </c>
      <c r="E40" s="352">
        <f t="shared" si="0"/>
        <v>7033399.9999999991</v>
      </c>
      <c r="F40" s="352">
        <f t="shared" si="0"/>
        <v>7880950.0000000009</v>
      </c>
      <c r="G40" s="352">
        <f t="shared" si="1"/>
        <v>270515</v>
      </c>
      <c r="H40" s="352">
        <f t="shared" si="1"/>
        <v>303113</v>
      </c>
      <c r="I40" s="353"/>
      <c r="J40" s="354" t="s">
        <v>2872</v>
      </c>
      <c r="K40" s="354" t="s">
        <v>2873</v>
      </c>
      <c r="L40" s="355">
        <v>5</v>
      </c>
      <c r="M40" s="356" t="s">
        <v>2811</v>
      </c>
    </row>
    <row r="41" spans="1:19">
      <c r="A41" s="357">
        <v>28</v>
      </c>
      <c r="B41" s="357">
        <v>4.5999999999999996</v>
      </c>
      <c r="C41" s="358">
        <f t="shared" si="6"/>
        <v>2.8259999999999996</v>
      </c>
      <c r="D41" s="358">
        <f t="shared" si="7"/>
        <v>3.1659999999999999</v>
      </c>
      <c r="E41" s="352">
        <f t="shared" si="0"/>
        <v>7149779.9999999991</v>
      </c>
      <c r="F41" s="352">
        <f t="shared" si="0"/>
        <v>8009980</v>
      </c>
      <c r="G41" s="352">
        <f t="shared" si="1"/>
        <v>274992</v>
      </c>
      <c r="H41" s="352">
        <f t="shared" si="1"/>
        <v>308076</v>
      </c>
      <c r="I41" s="353"/>
      <c r="J41" s="354" t="s">
        <v>2874</v>
      </c>
      <c r="K41" s="359" t="s">
        <v>2875</v>
      </c>
      <c r="L41" s="360">
        <v>6</v>
      </c>
    </row>
    <row r="42" spans="1:19">
      <c r="A42" s="357">
        <v>29</v>
      </c>
      <c r="B42" s="357">
        <v>4.7</v>
      </c>
      <c r="C42" s="358">
        <f t="shared" si="6"/>
        <v>2.8719999999999999</v>
      </c>
      <c r="D42" s="358">
        <f t="shared" si="7"/>
        <v>3.2170000000000001</v>
      </c>
      <c r="E42" s="352">
        <f t="shared" si="0"/>
        <v>7266160</v>
      </c>
      <c r="F42" s="352">
        <f t="shared" si="0"/>
        <v>8139010</v>
      </c>
      <c r="G42" s="352">
        <f t="shared" si="1"/>
        <v>279468</v>
      </c>
      <c r="H42" s="352">
        <f t="shared" si="1"/>
        <v>313039</v>
      </c>
      <c r="I42" s="353"/>
      <c r="J42" s="354" t="s">
        <v>2876</v>
      </c>
      <c r="K42" s="362" t="s">
        <v>2877</v>
      </c>
      <c r="L42" s="360">
        <v>7</v>
      </c>
    </row>
    <row r="43" spans="1:19">
      <c r="A43" s="357">
        <v>30</v>
      </c>
      <c r="B43" s="357">
        <v>4.8</v>
      </c>
      <c r="C43" s="358">
        <f t="shared" si="6"/>
        <v>2.9179999999999997</v>
      </c>
      <c r="D43" s="358">
        <f t="shared" si="7"/>
        <v>3.2680000000000002</v>
      </c>
      <c r="E43" s="352">
        <f t="shared" si="0"/>
        <v>7382539.9999999991</v>
      </c>
      <c r="F43" s="352">
        <f t="shared" si="0"/>
        <v>8268040.0000000009</v>
      </c>
      <c r="G43" s="352">
        <f t="shared" si="1"/>
        <v>283944</v>
      </c>
      <c r="H43" s="352">
        <f t="shared" si="1"/>
        <v>318002</v>
      </c>
      <c r="I43" s="353"/>
      <c r="J43" s="354" t="s">
        <v>2878</v>
      </c>
      <c r="K43" s="359" t="s">
        <v>2879</v>
      </c>
      <c r="L43" s="360">
        <v>8</v>
      </c>
    </row>
    <row r="44" spans="1:19">
      <c r="A44" s="357">
        <v>31</v>
      </c>
      <c r="B44" s="357">
        <v>4.9000000000000004</v>
      </c>
      <c r="C44" s="358">
        <f t="shared" si="6"/>
        <v>2.964</v>
      </c>
      <c r="D44" s="358">
        <f t="shared" si="7"/>
        <v>3.319</v>
      </c>
      <c r="E44" s="352">
        <f t="shared" si="0"/>
        <v>7498920</v>
      </c>
      <c r="F44" s="352">
        <f t="shared" si="0"/>
        <v>8397070</v>
      </c>
      <c r="G44" s="352">
        <f t="shared" si="1"/>
        <v>288420</v>
      </c>
      <c r="H44" s="352">
        <f t="shared" si="1"/>
        <v>322964</v>
      </c>
      <c r="I44" s="353"/>
      <c r="J44" s="354" t="s">
        <v>2880</v>
      </c>
      <c r="K44" s="359" t="s">
        <v>2881</v>
      </c>
      <c r="L44" s="360">
        <v>9</v>
      </c>
    </row>
    <row r="45" spans="1:19">
      <c r="A45" s="350">
        <v>5</v>
      </c>
      <c r="B45" s="350" t="s">
        <v>2882</v>
      </c>
      <c r="C45" s="351">
        <v>3.01</v>
      </c>
      <c r="D45" s="351">
        <v>3.37</v>
      </c>
      <c r="E45" s="352">
        <f t="shared" si="0"/>
        <v>7615299.9999999991</v>
      </c>
      <c r="F45" s="352">
        <f t="shared" si="0"/>
        <v>8526100</v>
      </c>
      <c r="G45" s="352">
        <f t="shared" si="1"/>
        <v>292896</v>
      </c>
      <c r="H45" s="352">
        <f t="shared" si="1"/>
        <v>327927</v>
      </c>
      <c r="I45" s="353"/>
      <c r="J45" s="354" t="s">
        <v>2883</v>
      </c>
      <c r="K45" s="354" t="s">
        <v>2884</v>
      </c>
      <c r="L45" s="355">
        <v>10</v>
      </c>
      <c r="N45" s="356" t="s">
        <v>2885</v>
      </c>
    </row>
    <row r="46" spans="1:19">
      <c r="A46" s="357">
        <v>33</v>
      </c>
      <c r="B46" s="357">
        <v>5.0999999999999996</v>
      </c>
      <c r="C46" s="358">
        <f>($C$55-$C$45)/10*L46+$C$45</f>
        <v>3.0649999999999999</v>
      </c>
      <c r="D46" s="358">
        <f>($D$55-$D$45)/10*L46+$D$45</f>
        <v>3.4290000000000003</v>
      </c>
      <c r="E46" s="352">
        <f t="shared" si="0"/>
        <v>7754450</v>
      </c>
      <c r="F46" s="352">
        <f t="shared" si="0"/>
        <v>8675370</v>
      </c>
      <c r="G46" s="352">
        <f t="shared" si="1"/>
        <v>298248</v>
      </c>
      <c r="H46" s="352">
        <f t="shared" si="1"/>
        <v>333668</v>
      </c>
      <c r="I46" s="353"/>
      <c r="J46" s="354" t="s">
        <v>2886</v>
      </c>
      <c r="K46" s="359" t="s">
        <v>2887</v>
      </c>
      <c r="L46" s="360">
        <v>1</v>
      </c>
    </row>
    <row r="47" spans="1:19">
      <c r="A47" s="357">
        <v>34</v>
      </c>
      <c r="B47" s="357">
        <v>5.2</v>
      </c>
      <c r="C47" s="358">
        <f t="shared" ref="C47:C54" si="8">($C$55-$C$45)/10*L47+$C$45</f>
        <v>3.1199999999999997</v>
      </c>
      <c r="D47" s="358">
        <f t="shared" ref="D47:D54" si="9">($D$55-$D$45)/10*L47+$D$45</f>
        <v>3.488</v>
      </c>
      <c r="E47" s="352">
        <f t="shared" si="0"/>
        <v>7893599.9999999991</v>
      </c>
      <c r="F47" s="352">
        <f t="shared" si="0"/>
        <v>8824640</v>
      </c>
      <c r="G47" s="352">
        <f t="shared" si="1"/>
        <v>303600</v>
      </c>
      <c r="H47" s="352">
        <f t="shared" si="1"/>
        <v>339409</v>
      </c>
      <c r="I47" s="353"/>
      <c r="J47" s="354" t="s">
        <v>2888</v>
      </c>
      <c r="K47" s="359" t="s">
        <v>2889</v>
      </c>
      <c r="L47" s="360">
        <v>2</v>
      </c>
    </row>
    <row r="48" spans="1:19">
      <c r="A48" s="357">
        <v>35</v>
      </c>
      <c r="B48" s="357">
        <v>5.3</v>
      </c>
      <c r="C48" s="358">
        <f t="shared" si="8"/>
        <v>3.1749999999999998</v>
      </c>
      <c r="D48" s="358">
        <f t="shared" si="9"/>
        <v>3.5470000000000002</v>
      </c>
      <c r="E48" s="352">
        <f t="shared" si="0"/>
        <v>8032750</v>
      </c>
      <c r="F48" s="352">
        <f t="shared" si="0"/>
        <v>8973910</v>
      </c>
      <c r="G48" s="352">
        <f t="shared" si="1"/>
        <v>308952</v>
      </c>
      <c r="H48" s="352">
        <f t="shared" si="1"/>
        <v>345150</v>
      </c>
      <c r="I48" s="353"/>
      <c r="J48" s="354" t="s">
        <v>2890</v>
      </c>
      <c r="K48" s="359" t="s">
        <v>2891</v>
      </c>
      <c r="L48" s="360">
        <v>3</v>
      </c>
    </row>
    <row r="49" spans="1:12">
      <c r="A49" s="357">
        <v>36</v>
      </c>
      <c r="B49" s="357">
        <v>5.4</v>
      </c>
      <c r="C49" s="358">
        <f t="shared" si="8"/>
        <v>3.23</v>
      </c>
      <c r="D49" s="358">
        <f t="shared" si="9"/>
        <v>3.6059999999999999</v>
      </c>
      <c r="E49" s="352">
        <f t="shared" si="0"/>
        <v>8171900</v>
      </c>
      <c r="F49" s="352">
        <f t="shared" si="0"/>
        <v>9123180</v>
      </c>
      <c r="G49" s="352">
        <f t="shared" si="1"/>
        <v>314304</v>
      </c>
      <c r="H49" s="352">
        <f t="shared" si="1"/>
        <v>350892</v>
      </c>
      <c r="I49" s="353"/>
      <c r="J49" s="354" t="s">
        <v>2892</v>
      </c>
      <c r="K49" s="359" t="s">
        <v>2893</v>
      </c>
      <c r="L49" s="360">
        <v>4</v>
      </c>
    </row>
    <row r="50" spans="1:12">
      <c r="A50" s="350"/>
      <c r="B50" s="350">
        <v>5.5</v>
      </c>
      <c r="C50" s="358">
        <f t="shared" si="8"/>
        <v>3.2850000000000001</v>
      </c>
      <c r="D50" s="358">
        <f t="shared" si="9"/>
        <v>3.665</v>
      </c>
      <c r="E50" s="352">
        <f t="shared" si="0"/>
        <v>8311050</v>
      </c>
      <c r="F50" s="352">
        <f t="shared" si="0"/>
        <v>9272450</v>
      </c>
      <c r="G50" s="352">
        <f t="shared" si="1"/>
        <v>319656</v>
      </c>
      <c r="H50" s="352">
        <f t="shared" si="1"/>
        <v>356633</v>
      </c>
      <c r="I50" s="353"/>
      <c r="J50" s="354" t="s">
        <v>2894</v>
      </c>
      <c r="K50" s="354" t="s">
        <v>2895</v>
      </c>
      <c r="L50" s="355">
        <v>5</v>
      </c>
    </row>
    <row r="51" spans="1:12">
      <c r="A51" s="357">
        <v>38</v>
      </c>
      <c r="B51" s="357">
        <v>5.6</v>
      </c>
      <c r="C51" s="358">
        <f t="shared" si="8"/>
        <v>3.34</v>
      </c>
      <c r="D51" s="358">
        <f t="shared" si="9"/>
        <v>3.7240000000000002</v>
      </c>
      <c r="E51" s="352">
        <f t="shared" si="0"/>
        <v>8450200</v>
      </c>
      <c r="F51" s="352">
        <f t="shared" si="0"/>
        <v>9421720</v>
      </c>
      <c r="G51" s="352">
        <f t="shared" si="1"/>
        <v>325008</v>
      </c>
      <c r="H51" s="352">
        <f t="shared" si="1"/>
        <v>362374</v>
      </c>
      <c r="I51" s="353"/>
      <c r="J51" s="354" t="s">
        <v>2896</v>
      </c>
      <c r="K51" s="359" t="s">
        <v>2897</v>
      </c>
      <c r="L51" s="360">
        <v>6</v>
      </c>
    </row>
    <row r="52" spans="1:12">
      <c r="A52" s="357">
        <v>39</v>
      </c>
      <c r="B52" s="357">
        <v>5.7</v>
      </c>
      <c r="C52" s="358">
        <f t="shared" si="8"/>
        <v>3.395</v>
      </c>
      <c r="D52" s="358">
        <f t="shared" si="9"/>
        <v>3.7829999999999999</v>
      </c>
      <c r="E52" s="352">
        <f t="shared" si="0"/>
        <v>8589350</v>
      </c>
      <c r="F52" s="352">
        <f t="shared" si="0"/>
        <v>9570990</v>
      </c>
      <c r="G52" s="352">
        <f t="shared" si="1"/>
        <v>330360</v>
      </c>
      <c r="H52" s="352">
        <f t="shared" si="1"/>
        <v>368115</v>
      </c>
      <c r="I52" s="353"/>
      <c r="J52" s="354" t="s">
        <v>2898</v>
      </c>
      <c r="K52" s="359" t="s">
        <v>2899</v>
      </c>
      <c r="L52" s="360">
        <v>7</v>
      </c>
    </row>
    <row r="53" spans="1:12">
      <c r="A53" s="357">
        <v>40</v>
      </c>
      <c r="B53" s="357">
        <v>5.8</v>
      </c>
      <c r="C53" s="358">
        <f t="shared" si="8"/>
        <v>3.45</v>
      </c>
      <c r="D53" s="358">
        <f t="shared" si="9"/>
        <v>3.8420000000000001</v>
      </c>
      <c r="E53" s="352">
        <f t="shared" si="0"/>
        <v>8728500</v>
      </c>
      <c r="F53" s="352">
        <f t="shared" si="0"/>
        <v>9720260</v>
      </c>
      <c r="G53" s="352">
        <f t="shared" si="1"/>
        <v>335712</v>
      </c>
      <c r="H53" s="352">
        <f t="shared" si="1"/>
        <v>373856</v>
      </c>
      <c r="I53" s="353"/>
      <c r="J53" s="354" t="s">
        <v>2900</v>
      </c>
      <c r="K53" s="359" t="s">
        <v>2901</v>
      </c>
      <c r="L53" s="360">
        <v>8</v>
      </c>
    </row>
    <row r="54" spans="1:12">
      <c r="A54" s="357">
        <v>41</v>
      </c>
      <c r="B54" s="357">
        <v>5.9</v>
      </c>
      <c r="C54" s="358">
        <f t="shared" si="8"/>
        <v>3.5049999999999999</v>
      </c>
      <c r="D54" s="358">
        <f t="shared" si="9"/>
        <v>3.9009999999999998</v>
      </c>
      <c r="E54" s="352">
        <f t="shared" si="0"/>
        <v>8867650</v>
      </c>
      <c r="F54" s="352">
        <f t="shared" si="0"/>
        <v>9869530</v>
      </c>
      <c r="G54" s="352">
        <f t="shared" si="1"/>
        <v>341063</v>
      </c>
      <c r="H54" s="352">
        <f t="shared" si="1"/>
        <v>379597</v>
      </c>
      <c r="I54" s="353"/>
      <c r="J54" s="354" t="s">
        <v>2902</v>
      </c>
      <c r="K54" s="359" t="s">
        <v>2903</v>
      </c>
      <c r="L54" s="360">
        <v>9</v>
      </c>
    </row>
    <row r="55" spans="1:12">
      <c r="A55" s="350">
        <v>6</v>
      </c>
      <c r="B55" s="350" t="s">
        <v>2904</v>
      </c>
      <c r="C55" s="351">
        <v>3.56</v>
      </c>
      <c r="D55" s="351">
        <v>3.96</v>
      </c>
      <c r="E55" s="352">
        <f t="shared" si="0"/>
        <v>9006800</v>
      </c>
      <c r="F55" s="352">
        <f t="shared" si="0"/>
        <v>10018800</v>
      </c>
      <c r="G55" s="352">
        <f t="shared" si="1"/>
        <v>346415</v>
      </c>
      <c r="H55" s="352">
        <f t="shared" si="1"/>
        <v>385338</v>
      </c>
      <c r="I55" s="353"/>
      <c r="J55" s="354" t="s">
        <v>2905</v>
      </c>
      <c r="K55" s="354" t="s">
        <v>2906</v>
      </c>
      <c r="L55" s="355"/>
    </row>
    <row r="56" spans="1:12">
      <c r="A56" s="357">
        <v>43</v>
      </c>
      <c r="B56" s="357">
        <v>6.1</v>
      </c>
      <c r="C56" s="358">
        <f>($C$65-$C$55)/10*L56+$C$55</f>
        <v>3.6240000000000001</v>
      </c>
      <c r="D56" s="358">
        <f>($D$65-$D$55)/10*L56+$D$55</f>
        <v>4.0289999999999999</v>
      </c>
      <c r="E56" s="352">
        <f t="shared" si="0"/>
        <v>9168720</v>
      </c>
      <c r="F56" s="352">
        <f t="shared" si="0"/>
        <v>10193370</v>
      </c>
      <c r="G56" s="352">
        <f t="shared" si="1"/>
        <v>352643</v>
      </c>
      <c r="H56" s="352">
        <f t="shared" si="1"/>
        <v>392053</v>
      </c>
      <c r="I56" s="353"/>
      <c r="J56" s="354" t="s">
        <v>2907</v>
      </c>
      <c r="K56" s="359" t="s">
        <v>2908</v>
      </c>
      <c r="L56" s="360">
        <v>1</v>
      </c>
    </row>
    <row r="57" spans="1:12">
      <c r="A57" s="357">
        <v>44</v>
      </c>
      <c r="B57" s="357">
        <v>6.2</v>
      </c>
      <c r="C57" s="358">
        <f t="shared" ref="C57:C64" si="10">($C$65-$C$55)/10*L57+$C$55</f>
        <v>3.6880000000000002</v>
      </c>
      <c r="D57" s="358">
        <f t="shared" ref="D57:D64" si="11">($D$65-$D$55)/10*L57+$D$55</f>
        <v>4.0979999999999999</v>
      </c>
      <c r="E57" s="352">
        <f t="shared" si="0"/>
        <v>9330640</v>
      </c>
      <c r="F57" s="352">
        <f t="shared" si="0"/>
        <v>10367940</v>
      </c>
      <c r="G57" s="352">
        <f t="shared" si="1"/>
        <v>358871</v>
      </c>
      <c r="H57" s="352">
        <f t="shared" si="1"/>
        <v>398767</v>
      </c>
      <c r="I57" s="353"/>
      <c r="J57" s="354" t="s">
        <v>2909</v>
      </c>
      <c r="K57" s="359" t="s">
        <v>2910</v>
      </c>
      <c r="L57" s="360">
        <v>2</v>
      </c>
    </row>
    <row r="58" spans="1:12">
      <c r="A58" s="357">
        <v>45</v>
      </c>
      <c r="B58" s="357">
        <v>6.3</v>
      </c>
      <c r="C58" s="358">
        <f t="shared" si="10"/>
        <v>3.7520000000000002</v>
      </c>
      <c r="D58" s="358">
        <f t="shared" si="11"/>
        <v>4.1669999999999998</v>
      </c>
      <c r="E58" s="352">
        <f t="shared" si="0"/>
        <v>9492560</v>
      </c>
      <c r="F58" s="352">
        <f t="shared" si="0"/>
        <v>10542510</v>
      </c>
      <c r="G58" s="352">
        <f t="shared" si="1"/>
        <v>365098</v>
      </c>
      <c r="H58" s="352">
        <f t="shared" si="1"/>
        <v>405481</v>
      </c>
      <c r="I58" s="353"/>
      <c r="J58" s="354" t="s">
        <v>2911</v>
      </c>
      <c r="K58" s="359" t="s">
        <v>2912</v>
      </c>
      <c r="L58" s="360">
        <v>3</v>
      </c>
    </row>
    <row r="59" spans="1:12">
      <c r="A59" s="357">
        <v>46</v>
      </c>
      <c r="B59" s="357">
        <v>6.4</v>
      </c>
      <c r="C59" s="358">
        <f t="shared" si="10"/>
        <v>3.8160000000000003</v>
      </c>
      <c r="D59" s="358">
        <f t="shared" si="11"/>
        <v>4.2359999999999998</v>
      </c>
      <c r="E59" s="352">
        <f t="shared" si="0"/>
        <v>9654480</v>
      </c>
      <c r="F59" s="352">
        <f t="shared" si="0"/>
        <v>10717080</v>
      </c>
      <c r="G59" s="352">
        <f t="shared" si="1"/>
        <v>371326</v>
      </c>
      <c r="H59" s="352">
        <f t="shared" si="1"/>
        <v>412195</v>
      </c>
      <c r="I59" s="353"/>
      <c r="J59" s="354" t="s">
        <v>2913</v>
      </c>
      <c r="K59" s="359" t="s">
        <v>2914</v>
      </c>
      <c r="L59" s="360">
        <v>4</v>
      </c>
    </row>
    <row r="60" spans="1:12">
      <c r="A60" s="350"/>
      <c r="B60" s="350">
        <v>6.5</v>
      </c>
      <c r="C60" s="358">
        <f t="shared" si="10"/>
        <v>3.88</v>
      </c>
      <c r="D60" s="358">
        <f t="shared" si="11"/>
        <v>4.3049999999999997</v>
      </c>
      <c r="E60" s="352">
        <f t="shared" si="0"/>
        <v>9816400</v>
      </c>
      <c r="F60" s="352">
        <f t="shared" si="0"/>
        <v>10891650</v>
      </c>
      <c r="G60" s="352">
        <f t="shared" si="1"/>
        <v>377554</v>
      </c>
      <c r="H60" s="352">
        <f t="shared" si="1"/>
        <v>418910</v>
      </c>
      <c r="I60" s="353"/>
      <c r="J60" s="354" t="s">
        <v>2915</v>
      </c>
      <c r="K60" s="354" t="s">
        <v>2916</v>
      </c>
      <c r="L60" s="355">
        <v>5</v>
      </c>
    </row>
    <row r="61" spans="1:12">
      <c r="A61" s="357">
        <v>48</v>
      </c>
      <c r="B61" s="357">
        <v>6.6</v>
      </c>
      <c r="C61" s="358">
        <f t="shared" si="10"/>
        <v>3.944</v>
      </c>
      <c r="D61" s="358">
        <f t="shared" si="11"/>
        <v>4.3740000000000006</v>
      </c>
      <c r="E61" s="352">
        <f t="shared" si="0"/>
        <v>9978320</v>
      </c>
      <c r="F61" s="352">
        <f t="shared" si="0"/>
        <v>11066220.000000002</v>
      </c>
      <c r="G61" s="352">
        <f t="shared" si="1"/>
        <v>383782</v>
      </c>
      <c r="H61" s="352">
        <f t="shared" si="1"/>
        <v>425624</v>
      </c>
      <c r="I61" s="353"/>
      <c r="J61" s="354" t="s">
        <v>2917</v>
      </c>
      <c r="K61" s="359" t="s">
        <v>2918</v>
      </c>
      <c r="L61" s="360">
        <v>6</v>
      </c>
    </row>
    <row r="62" spans="1:12">
      <c r="A62" s="357">
        <v>49</v>
      </c>
      <c r="B62" s="357">
        <v>6.7</v>
      </c>
      <c r="C62" s="358">
        <f t="shared" si="10"/>
        <v>4.008</v>
      </c>
      <c r="D62" s="358">
        <f t="shared" si="11"/>
        <v>4.4430000000000005</v>
      </c>
      <c r="E62" s="352">
        <f t="shared" si="0"/>
        <v>10140240</v>
      </c>
      <c r="F62" s="352">
        <f t="shared" si="0"/>
        <v>11240790.000000002</v>
      </c>
      <c r="G62" s="352">
        <f t="shared" si="1"/>
        <v>390009</v>
      </c>
      <c r="H62" s="352">
        <f t="shared" si="1"/>
        <v>432338</v>
      </c>
      <c r="I62" s="353"/>
      <c r="J62" s="354" t="s">
        <v>2919</v>
      </c>
      <c r="K62" s="359" t="s">
        <v>2920</v>
      </c>
      <c r="L62" s="360">
        <v>7</v>
      </c>
    </row>
    <row r="63" spans="1:12">
      <c r="A63" s="357">
        <v>50</v>
      </c>
      <c r="B63" s="357">
        <v>6.8</v>
      </c>
      <c r="C63" s="358">
        <f t="shared" si="10"/>
        <v>4.0720000000000001</v>
      </c>
      <c r="D63" s="358">
        <f t="shared" si="11"/>
        <v>4.5120000000000005</v>
      </c>
      <c r="E63" s="352">
        <f t="shared" si="0"/>
        <v>10302160</v>
      </c>
      <c r="F63" s="352">
        <f t="shared" si="0"/>
        <v>11415360.000000002</v>
      </c>
      <c r="G63" s="352">
        <f t="shared" si="1"/>
        <v>396237</v>
      </c>
      <c r="H63" s="352">
        <f t="shared" si="1"/>
        <v>439052</v>
      </c>
      <c r="I63" s="353"/>
      <c r="J63" s="354" t="s">
        <v>2921</v>
      </c>
      <c r="K63" s="359" t="s">
        <v>2922</v>
      </c>
      <c r="L63" s="360">
        <v>8</v>
      </c>
    </row>
    <row r="64" spans="1:12">
      <c r="A64" s="357">
        <v>51</v>
      </c>
      <c r="B64" s="357">
        <v>6.9</v>
      </c>
      <c r="C64" s="358">
        <f t="shared" si="10"/>
        <v>4.1360000000000001</v>
      </c>
      <c r="D64" s="358">
        <f t="shared" si="11"/>
        <v>4.5810000000000004</v>
      </c>
      <c r="E64" s="352">
        <f t="shared" si="0"/>
        <v>10464080</v>
      </c>
      <c r="F64" s="352">
        <f t="shared" si="0"/>
        <v>11589930.000000002</v>
      </c>
      <c r="G64" s="352">
        <f t="shared" si="1"/>
        <v>402465</v>
      </c>
      <c r="H64" s="352">
        <f t="shared" si="1"/>
        <v>445767</v>
      </c>
      <c r="I64" s="353"/>
      <c r="J64" s="354" t="s">
        <v>2923</v>
      </c>
      <c r="K64" s="359" t="s">
        <v>2924</v>
      </c>
      <c r="L64" s="360">
        <v>9</v>
      </c>
    </row>
    <row r="65" spans="1:12">
      <c r="A65" s="350">
        <v>7</v>
      </c>
      <c r="B65" s="350" t="s">
        <v>2925</v>
      </c>
      <c r="C65" s="351">
        <v>4.2</v>
      </c>
      <c r="D65" s="351">
        <v>4.6500000000000004</v>
      </c>
      <c r="E65" s="352">
        <f t="shared" si="0"/>
        <v>10626000</v>
      </c>
      <c r="F65" s="352">
        <f t="shared" si="0"/>
        <v>11764500</v>
      </c>
      <c r="G65" s="352">
        <f t="shared" si="1"/>
        <v>408692</v>
      </c>
      <c r="H65" s="352">
        <f t="shared" si="1"/>
        <v>452481</v>
      </c>
      <c r="I65" s="353"/>
      <c r="J65" s="354" t="s">
        <v>2926</v>
      </c>
      <c r="K65" s="354" t="s">
        <v>2927</v>
      </c>
      <c r="L65" s="355"/>
    </row>
    <row r="66" spans="1:12">
      <c r="A66" s="363"/>
    </row>
    <row r="67" spans="1:12" ht="15.75">
      <c r="A67" s="1659" t="s">
        <v>2928</v>
      </c>
      <c r="B67" s="1659"/>
      <c r="C67" s="1659"/>
      <c r="D67" s="1659"/>
      <c r="E67" s="1659"/>
      <c r="F67" s="1659"/>
      <c r="G67" s="1659"/>
      <c r="H67" s="1659"/>
    </row>
    <row r="68" spans="1:12" ht="30.95" customHeight="1">
      <c r="A68" s="364" t="s">
        <v>84</v>
      </c>
      <c r="B68" s="365" t="s">
        <v>2929</v>
      </c>
      <c r="C68" s="1676" t="s">
        <v>2930</v>
      </c>
      <c r="D68" s="1677"/>
      <c r="E68" s="1678" t="s">
        <v>2807</v>
      </c>
      <c r="F68" s="1677"/>
      <c r="G68" s="1678" t="s">
        <v>2808</v>
      </c>
      <c r="H68" s="1677"/>
    </row>
    <row r="69" spans="1:12" ht="15.75">
      <c r="A69" s="366">
        <v>1</v>
      </c>
      <c r="B69" s="367" t="s">
        <v>2931</v>
      </c>
      <c r="C69" s="366">
        <v>2.34</v>
      </c>
      <c r="D69" s="368"/>
      <c r="E69" s="368"/>
      <c r="F69" s="352">
        <f>C69*$D$7</f>
        <v>5920200</v>
      </c>
      <c r="G69" s="368"/>
      <c r="H69" s="352">
        <f>ROUND(F69/26,0)</f>
        <v>227700</v>
      </c>
      <c r="J69" s="369" t="s">
        <v>2932</v>
      </c>
    </row>
    <row r="70" spans="1:12" ht="15.75">
      <c r="A70" s="366">
        <v>2</v>
      </c>
      <c r="B70" s="367" t="s">
        <v>2933</v>
      </c>
      <c r="C70" s="370">
        <f>C69+0.31</f>
        <v>2.65</v>
      </c>
      <c r="D70" s="368"/>
      <c r="E70" s="368"/>
      <c r="F70" s="352">
        <f t="shared" ref="F70:F122" si="12">C70*$D$7</f>
        <v>6704500</v>
      </c>
      <c r="G70" s="368"/>
      <c r="H70" s="352">
        <f t="shared" ref="H70:H122" si="13">ROUND(F70/26,0)</f>
        <v>257865</v>
      </c>
      <c r="J70" s="369" t="s">
        <v>2934</v>
      </c>
    </row>
    <row r="71" spans="1:12" hidden="1">
      <c r="A71" s="366"/>
      <c r="B71" s="371" t="s">
        <v>2935</v>
      </c>
      <c r="C71" s="370">
        <f>($C$80-$C$70)/10*L71+$C$70</f>
        <v>2.681</v>
      </c>
      <c r="D71" s="368"/>
      <c r="E71" s="368"/>
      <c r="F71" s="352">
        <f t="shared" si="12"/>
        <v>6782930</v>
      </c>
      <c r="G71" s="368"/>
      <c r="H71" s="352">
        <f t="shared" si="13"/>
        <v>260882</v>
      </c>
      <c r="J71" s="369" t="s">
        <v>2936</v>
      </c>
      <c r="L71">
        <v>1</v>
      </c>
    </row>
    <row r="72" spans="1:12" hidden="1">
      <c r="A72" s="366"/>
      <c r="B72" s="371" t="s">
        <v>2937</v>
      </c>
      <c r="C72" s="370">
        <f t="shared" ref="C72:C79" si="14">($C$80-$C$70)/10*L72+$C$70</f>
        <v>2.7119999999999997</v>
      </c>
      <c r="D72" s="368"/>
      <c r="E72" s="368"/>
      <c r="F72" s="352">
        <f t="shared" si="12"/>
        <v>6861359.9999999991</v>
      </c>
      <c r="G72" s="368"/>
      <c r="H72" s="352">
        <f t="shared" si="13"/>
        <v>263898</v>
      </c>
      <c r="J72" s="369" t="s">
        <v>2938</v>
      </c>
      <c r="L72">
        <v>2</v>
      </c>
    </row>
    <row r="73" spans="1:12" hidden="1">
      <c r="A73" s="366"/>
      <c r="B73" s="371" t="s">
        <v>2939</v>
      </c>
      <c r="C73" s="370">
        <f t="shared" si="14"/>
        <v>2.7429999999999999</v>
      </c>
      <c r="D73" s="368"/>
      <c r="E73" s="368"/>
      <c r="F73" s="352">
        <f t="shared" si="12"/>
        <v>6939790</v>
      </c>
      <c r="G73" s="368"/>
      <c r="H73" s="352">
        <f t="shared" si="13"/>
        <v>266915</v>
      </c>
      <c r="J73" s="369" t="s">
        <v>2940</v>
      </c>
      <c r="L73">
        <v>3</v>
      </c>
    </row>
    <row r="74" spans="1:12" hidden="1">
      <c r="A74" s="366"/>
      <c r="B74" s="371" t="s">
        <v>2941</v>
      </c>
      <c r="C74" s="370">
        <f t="shared" si="14"/>
        <v>2.774</v>
      </c>
      <c r="D74" s="368"/>
      <c r="E74" s="368"/>
      <c r="F74" s="352">
        <f t="shared" si="12"/>
        <v>7018220</v>
      </c>
      <c r="G74" s="368"/>
      <c r="H74" s="352">
        <f t="shared" si="13"/>
        <v>269932</v>
      </c>
      <c r="J74" s="369" t="s">
        <v>2942</v>
      </c>
      <c r="L74">
        <v>4</v>
      </c>
    </row>
    <row r="75" spans="1:12">
      <c r="A75" s="366"/>
      <c r="B75" s="372" t="s">
        <v>2943</v>
      </c>
      <c r="C75" s="370">
        <f t="shared" si="14"/>
        <v>2.8049999999999997</v>
      </c>
      <c r="D75" s="368"/>
      <c r="E75" s="368"/>
      <c r="F75" s="352">
        <f t="shared" si="12"/>
        <v>7096649.9999999991</v>
      </c>
      <c r="G75" s="368"/>
      <c r="H75" s="352">
        <f t="shared" si="13"/>
        <v>272948</v>
      </c>
      <c r="J75" s="369" t="s">
        <v>2944</v>
      </c>
      <c r="L75">
        <v>5</v>
      </c>
    </row>
    <row r="76" spans="1:12" hidden="1">
      <c r="A76" s="366"/>
      <c r="B76" s="371" t="s">
        <v>2945</v>
      </c>
      <c r="C76" s="370">
        <f t="shared" si="14"/>
        <v>2.8359999999999999</v>
      </c>
      <c r="D76" s="368"/>
      <c r="E76" s="368"/>
      <c r="F76" s="352">
        <f t="shared" si="12"/>
        <v>7175080</v>
      </c>
      <c r="G76" s="368"/>
      <c r="H76" s="352">
        <f t="shared" si="13"/>
        <v>275965</v>
      </c>
      <c r="J76" s="369" t="s">
        <v>2946</v>
      </c>
      <c r="L76">
        <v>6</v>
      </c>
    </row>
    <row r="77" spans="1:12" hidden="1">
      <c r="A77" s="366"/>
      <c r="B77" s="371" t="s">
        <v>2947</v>
      </c>
      <c r="C77" s="370">
        <f t="shared" si="14"/>
        <v>2.867</v>
      </c>
      <c r="D77" s="368"/>
      <c r="E77" s="368"/>
      <c r="F77" s="352">
        <f t="shared" si="12"/>
        <v>7253510</v>
      </c>
      <c r="G77" s="368"/>
      <c r="H77" s="352">
        <f t="shared" si="13"/>
        <v>278981</v>
      </c>
      <c r="J77" s="369" t="s">
        <v>2948</v>
      </c>
      <c r="L77">
        <v>7</v>
      </c>
    </row>
    <row r="78" spans="1:12" hidden="1">
      <c r="A78" s="366"/>
      <c r="B78" s="371" t="s">
        <v>2949</v>
      </c>
      <c r="C78" s="370">
        <f t="shared" si="14"/>
        <v>2.8980000000000001</v>
      </c>
      <c r="D78" s="368"/>
      <c r="E78" s="368"/>
      <c r="F78" s="352">
        <f t="shared" si="12"/>
        <v>7331940</v>
      </c>
      <c r="G78" s="368"/>
      <c r="H78" s="352">
        <f t="shared" si="13"/>
        <v>281998</v>
      </c>
      <c r="J78" s="369" t="s">
        <v>2950</v>
      </c>
      <c r="L78">
        <v>8</v>
      </c>
    </row>
    <row r="79" spans="1:12" hidden="1">
      <c r="A79" s="366"/>
      <c r="B79" s="371" t="s">
        <v>2951</v>
      </c>
      <c r="C79" s="370">
        <f t="shared" si="14"/>
        <v>2.9289999999999998</v>
      </c>
      <c r="D79" s="368"/>
      <c r="E79" s="368"/>
      <c r="F79" s="352">
        <f t="shared" si="12"/>
        <v>7410370</v>
      </c>
      <c r="G79" s="368"/>
      <c r="H79" s="352">
        <f t="shared" si="13"/>
        <v>285014</v>
      </c>
      <c r="J79" s="369" t="s">
        <v>2952</v>
      </c>
      <c r="L79">
        <v>9</v>
      </c>
    </row>
    <row r="80" spans="1:12" ht="15.75">
      <c r="A80" s="366">
        <v>3</v>
      </c>
      <c r="B80" s="367" t="s">
        <v>2953</v>
      </c>
      <c r="C80" s="370">
        <f>C70+0.31</f>
        <v>2.96</v>
      </c>
      <c r="D80" s="368"/>
      <c r="E80" s="368"/>
      <c r="F80" s="352">
        <f t="shared" si="12"/>
        <v>7488800</v>
      </c>
      <c r="G80" s="368"/>
      <c r="H80" s="352">
        <f t="shared" si="13"/>
        <v>288031</v>
      </c>
      <c r="J80" s="369" t="s">
        <v>2954</v>
      </c>
    </row>
    <row r="81" spans="1:12" hidden="1">
      <c r="A81" s="366"/>
      <c r="B81" s="371" t="s">
        <v>2955</v>
      </c>
      <c r="C81" s="370">
        <f>($C$90-$C$80)/10*L81+$C$80</f>
        <v>2.9910000000000001</v>
      </c>
      <c r="D81" s="368"/>
      <c r="E81" s="368"/>
      <c r="F81" s="352">
        <f t="shared" si="12"/>
        <v>7567230</v>
      </c>
      <c r="G81" s="368"/>
      <c r="H81" s="352">
        <f t="shared" si="13"/>
        <v>291047</v>
      </c>
      <c r="J81" s="369" t="s">
        <v>2956</v>
      </c>
      <c r="L81">
        <v>1</v>
      </c>
    </row>
    <row r="82" spans="1:12" hidden="1">
      <c r="A82" s="366"/>
      <c r="B82" s="371" t="s">
        <v>2957</v>
      </c>
      <c r="C82" s="370">
        <f t="shared" ref="C82:C89" si="15">($C$90-$C$80)/10*L82+$C$80</f>
        <v>3.0219999999999998</v>
      </c>
      <c r="D82" s="368"/>
      <c r="E82" s="368"/>
      <c r="F82" s="352">
        <f t="shared" si="12"/>
        <v>7645659.9999999991</v>
      </c>
      <c r="G82" s="368"/>
      <c r="H82" s="352">
        <f t="shared" si="13"/>
        <v>294064</v>
      </c>
      <c r="J82" s="369" t="s">
        <v>2958</v>
      </c>
      <c r="L82">
        <v>2</v>
      </c>
    </row>
    <row r="83" spans="1:12" hidden="1">
      <c r="A83" s="366"/>
      <c r="B83" s="371" t="s">
        <v>2959</v>
      </c>
      <c r="C83" s="370">
        <f t="shared" si="15"/>
        <v>3.0529999999999999</v>
      </c>
      <c r="D83" s="368"/>
      <c r="E83" s="368"/>
      <c r="F83" s="352">
        <f t="shared" si="12"/>
        <v>7724090</v>
      </c>
      <c r="G83" s="368"/>
      <c r="H83" s="352">
        <f t="shared" si="13"/>
        <v>297080</v>
      </c>
      <c r="J83" s="369" t="s">
        <v>2960</v>
      </c>
      <c r="L83">
        <v>3</v>
      </c>
    </row>
    <row r="84" spans="1:12" hidden="1">
      <c r="A84" s="366"/>
      <c r="B84" s="371" t="s">
        <v>2961</v>
      </c>
      <c r="C84" s="370">
        <f t="shared" si="15"/>
        <v>3.0840000000000001</v>
      </c>
      <c r="D84" s="368"/>
      <c r="E84" s="368"/>
      <c r="F84" s="352">
        <f t="shared" si="12"/>
        <v>7802520</v>
      </c>
      <c r="G84" s="368"/>
      <c r="H84" s="352">
        <f t="shared" si="13"/>
        <v>300097</v>
      </c>
      <c r="J84" s="369" t="s">
        <v>2962</v>
      </c>
      <c r="L84">
        <v>4</v>
      </c>
    </row>
    <row r="85" spans="1:12">
      <c r="A85" s="366"/>
      <c r="B85" s="372" t="s">
        <v>2963</v>
      </c>
      <c r="C85" s="370">
        <f t="shared" si="15"/>
        <v>3.1150000000000002</v>
      </c>
      <c r="D85" s="368"/>
      <c r="E85" s="368"/>
      <c r="F85" s="352">
        <f t="shared" si="12"/>
        <v>7880950.0000000009</v>
      </c>
      <c r="G85" s="368"/>
      <c r="H85" s="352">
        <f t="shared" si="13"/>
        <v>303113</v>
      </c>
      <c r="J85" s="369" t="s">
        <v>2964</v>
      </c>
      <c r="L85">
        <v>5</v>
      </c>
    </row>
    <row r="86" spans="1:12" hidden="1">
      <c r="A86" s="366"/>
      <c r="B86" s="371" t="s">
        <v>2965</v>
      </c>
      <c r="C86" s="370">
        <f t="shared" si="15"/>
        <v>3.1459999999999999</v>
      </c>
      <c r="D86" s="368"/>
      <c r="E86" s="368"/>
      <c r="F86" s="352">
        <f t="shared" si="12"/>
        <v>7959380</v>
      </c>
      <c r="G86" s="368"/>
      <c r="H86" s="352">
        <f t="shared" si="13"/>
        <v>306130</v>
      </c>
      <c r="J86" s="369" t="s">
        <v>2966</v>
      </c>
      <c r="L86">
        <v>6</v>
      </c>
    </row>
    <row r="87" spans="1:12" hidden="1">
      <c r="A87" s="366"/>
      <c r="B87" s="371" t="s">
        <v>2967</v>
      </c>
      <c r="C87" s="370">
        <f t="shared" si="15"/>
        <v>3.177</v>
      </c>
      <c r="D87" s="368"/>
      <c r="E87" s="368"/>
      <c r="F87" s="352">
        <f t="shared" si="12"/>
        <v>8037810</v>
      </c>
      <c r="G87" s="368"/>
      <c r="H87" s="352">
        <f t="shared" si="13"/>
        <v>309147</v>
      </c>
      <c r="J87" s="369" t="s">
        <v>2968</v>
      </c>
      <c r="L87">
        <v>7</v>
      </c>
    </row>
    <row r="88" spans="1:12" hidden="1">
      <c r="A88" s="366"/>
      <c r="B88" s="371" t="s">
        <v>2969</v>
      </c>
      <c r="C88" s="370">
        <f t="shared" si="15"/>
        <v>3.2080000000000002</v>
      </c>
      <c r="D88" s="368"/>
      <c r="E88" s="368"/>
      <c r="F88" s="352">
        <f t="shared" si="12"/>
        <v>8116240.0000000009</v>
      </c>
      <c r="G88" s="368"/>
      <c r="H88" s="352">
        <f t="shared" si="13"/>
        <v>312163</v>
      </c>
      <c r="J88" s="369" t="s">
        <v>2970</v>
      </c>
      <c r="L88">
        <v>8</v>
      </c>
    </row>
    <row r="89" spans="1:12" hidden="1">
      <c r="A89" s="366"/>
      <c r="B89" s="371" t="s">
        <v>2971</v>
      </c>
      <c r="C89" s="370">
        <f t="shared" si="15"/>
        <v>3.2389999999999999</v>
      </c>
      <c r="D89" s="368"/>
      <c r="E89" s="368"/>
      <c r="F89" s="352">
        <f t="shared" si="12"/>
        <v>8194670</v>
      </c>
      <c r="G89" s="368"/>
      <c r="H89" s="352">
        <f t="shared" si="13"/>
        <v>315180</v>
      </c>
      <c r="J89" s="369" t="s">
        <v>2972</v>
      </c>
      <c r="L89">
        <v>9</v>
      </c>
    </row>
    <row r="90" spans="1:12" ht="15.75">
      <c r="A90" s="366">
        <v>4</v>
      </c>
      <c r="B90" s="367" t="s">
        <v>2973</v>
      </c>
      <c r="C90" s="370">
        <f>C80+0.31</f>
        <v>3.27</v>
      </c>
      <c r="D90" s="368"/>
      <c r="E90" s="368"/>
      <c r="F90" s="352">
        <f t="shared" si="12"/>
        <v>8273100</v>
      </c>
      <c r="G90" s="368"/>
      <c r="H90" s="352">
        <f t="shared" si="13"/>
        <v>318196</v>
      </c>
      <c r="J90" s="369" t="s">
        <v>2974</v>
      </c>
    </row>
    <row r="91" spans="1:12" hidden="1">
      <c r="A91" s="366"/>
      <c r="B91" s="371" t="s">
        <v>2975</v>
      </c>
      <c r="C91" s="370">
        <f>($C$100-$C$90)/10*L91+$C$90</f>
        <v>3.3010000000000002</v>
      </c>
      <c r="D91" s="368"/>
      <c r="E91" s="368"/>
      <c r="F91" s="352">
        <f t="shared" si="12"/>
        <v>8351530</v>
      </c>
      <c r="G91" s="368"/>
      <c r="H91" s="352">
        <f t="shared" si="13"/>
        <v>321213</v>
      </c>
      <c r="J91" s="369" t="s">
        <v>2976</v>
      </c>
      <c r="L91">
        <v>1</v>
      </c>
    </row>
    <row r="92" spans="1:12" hidden="1">
      <c r="A92" s="366"/>
      <c r="B92" s="371" t="s">
        <v>2977</v>
      </c>
      <c r="C92" s="370">
        <f t="shared" ref="C92:C99" si="16">($C$100-$C$90)/10*L92+$C$90</f>
        <v>3.3319999999999999</v>
      </c>
      <c r="D92" s="368"/>
      <c r="E92" s="368"/>
      <c r="F92" s="352">
        <f t="shared" si="12"/>
        <v>8429960</v>
      </c>
      <c r="G92" s="368"/>
      <c r="H92" s="352">
        <f t="shared" si="13"/>
        <v>324229</v>
      </c>
      <c r="J92" s="369" t="s">
        <v>2978</v>
      </c>
      <c r="L92">
        <v>2</v>
      </c>
    </row>
    <row r="93" spans="1:12" hidden="1">
      <c r="A93" s="366"/>
      <c r="B93" s="371" t="s">
        <v>2979</v>
      </c>
      <c r="C93" s="370">
        <f t="shared" si="16"/>
        <v>3.363</v>
      </c>
      <c r="D93" s="368"/>
      <c r="E93" s="368"/>
      <c r="F93" s="352">
        <f t="shared" si="12"/>
        <v>8508390</v>
      </c>
      <c r="G93" s="368"/>
      <c r="H93" s="352">
        <f t="shared" si="13"/>
        <v>327246</v>
      </c>
      <c r="J93" s="369" t="s">
        <v>2980</v>
      </c>
      <c r="L93">
        <v>3</v>
      </c>
    </row>
    <row r="94" spans="1:12" hidden="1">
      <c r="A94" s="366"/>
      <c r="B94" s="371" t="s">
        <v>2981</v>
      </c>
      <c r="C94" s="370">
        <f t="shared" si="16"/>
        <v>3.3940000000000001</v>
      </c>
      <c r="D94" s="368"/>
      <c r="E94" s="368"/>
      <c r="F94" s="352">
        <f t="shared" si="12"/>
        <v>8586820</v>
      </c>
      <c r="G94" s="368"/>
      <c r="H94" s="352">
        <f t="shared" si="13"/>
        <v>330262</v>
      </c>
      <c r="J94" s="369" t="s">
        <v>2982</v>
      </c>
      <c r="L94">
        <v>4</v>
      </c>
    </row>
    <row r="95" spans="1:12">
      <c r="A95" s="366"/>
      <c r="B95" s="372" t="s">
        <v>2983</v>
      </c>
      <c r="C95" s="370">
        <f t="shared" si="16"/>
        <v>3.4249999999999998</v>
      </c>
      <c r="D95" s="368"/>
      <c r="E95" s="368"/>
      <c r="F95" s="352">
        <f t="shared" si="12"/>
        <v>8665250</v>
      </c>
      <c r="G95" s="368"/>
      <c r="H95" s="352">
        <f t="shared" si="13"/>
        <v>333279</v>
      </c>
      <c r="J95" s="369" t="s">
        <v>2984</v>
      </c>
      <c r="L95">
        <v>5</v>
      </c>
    </row>
    <row r="96" spans="1:12" hidden="1">
      <c r="A96" s="366"/>
      <c r="B96" s="371" t="s">
        <v>2985</v>
      </c>
      <c r="C96" s="370">
        <f t="shared" si="16"/>
        <v>3.456</v>
      </c>
      <c r="D96" s="368"/>
      <c r="E96" s="368"/>
      <c r="F96" s="352">
        <f t="shared" si="12"/>
        <v>8743680</v>
      </c>
      <c r="G96" s="368"/>
      <c r="H96" s="352">
        <f t="shared" si="13"/>
        <v>336295</v>
      </c>
      <c r="J96" s="369" t="s">
        <v>2986</v>
      </c>
      <c r="L96">
        <v>6</v>
      </c>
    </row>
    <row r="97" spans="1:12" hidden="1">
      <c r="A97" s="366"/>
      <c r="B97" s="371" t="s">
        <v>2987</v>
      </c>
      <c r="C97" s="370">
        <f t="shared" si="16"/>
        <v>3.4870000000000001</v>
      </c>
      <c r="D97" s="368"/>
      <c r="E97" s="368"/>
      <c r="F97" s="352">
        <f t="shared" si="12"/>
        <v>8822110</v>
      </c>
      <c r="G97" s="368"/>
      <c r="H97" s="352">
        <f t="shared" si="13"/>
        <v>339312</v>
      </c>
      <c r="J97" s="369" t="s">
        <v>2988</v>
      </c>
      <c r="L97">
        <v>7</v>
      </c>
    </row>
    <row r="98" spans="1:12" hidden="1">
      <c r="A98" s="366"/>
      <c r="B98" s="371" t="s">
        <v>2989</v>
      </c>
      <c r="C98" s="370">
        <f t="shared" si="16"/>
        <v>3.5180000000000002</v>
      </c>
      <c r="D98" s="368"/>
      <c r="E98" s="368"/>
      <c r="F98" s="352">
        <f t="shared" si="12"/>
        <v>8900540</v>
      </c>
      <c r="G98" s="368"/>
      <c r="H98" s="352">
        <f t="shared" si="13"/>
        <v>342328</v>
      </c>
      <c r="J98" s="369" t="s">
        <v>2990</v>
      </c>
      <c r="L98">
        <v>8</v>
      </c>
    </row>
    <row r="99" spans="1:12" hidden="1">
      <c r="A99" s="366"/>
      <c r="B99" s="371" t="s">
        <v>2991</v>
      </c>
      <c r="C99" s="370">
        <f t="shared" si="16"/>
        <v>3.5489999999999999</v>
      </c>
      <c r="D99" s="368"/>
      <c r="E99" s="368"/>
      <c r="F99" s="352">
        <f t="shared" si="12"/>
        <v>8978970</v>
      </c>
      <c r="G99" s="368"/>
      <c r="H99" s="352">
        <f t="shared" si="13"/>
        <v>345345</v>
      </c>
      <c r="J99" s="369" t="s">
        <v>2992</v>
      </c>
      <c r="L99">
        <v>9</v>
      </c>
    </row>
    <row r="100" spans="1:12" ht="15.75">
      <c r="A100" s="366">
        <v>5</v>
      </c>
      <c r="B100" s="367" t="s">
        <v>2993</v>
      </c>
      <c r="C100" s="370">
        <f>C90+0.31</f>
        <v>3.58</v>
      </c>
      <c r="D100" s="368"/>
      <c r="E100" s="368"/>
      <c r="F100" s="352">
        <f t="shared" si="12"/>
        <v>9057400</v>
      </c>
      <c r="G100" s="368"/>
      <c r="H100" s="352">
        <f t="shared" si="13"/>
        <v>348362</v>
      </c>
      <c r="J100" s="369" t="s">
        <v>2994</v>
      </c>
    </row>
    <row r="101" spans="1:12" hidden="1">
      <c r="A101" s="366"/>
      <c r="B101" s="371" t="s">
        <v>2995</v>
      </c>
      <c r="C101" s="370">
        <f>($C$110-$C$100)/10*L101+$C$100</f>
        <v>3.6110000000000002</v>
      </c>
      <c r="D101" s="368"/>
      <c r="E101" s="368"/>
      <c r="F101" s="352">
        <f t="shared" si="12"/>
        <v>9135830</v>
      </c>
      <c r="G101" s="368"/>
      <c r="H101" s="352">
        <f t="shared" si="13"/>
        <v>351378</v>
      </c>
      <c r="J101" s="369" t="s">
        <v>2996</v>
      </c>
      <c r="L101">
        <v>1</v>
      </c>
    </row>
    <row r="102" spans="1:12" hidden="1">
      <c r="A102" s="366"/>
      <c r="B102" s="371" t="s">
        <v>2997</v>
      </c>
      <c r="C102" s="370">
        <f t="shared" ref="C102:C109" si="17">($C$110-$C$100)/10*L102+$C$100</f>
        <v>3.6419999999999999</v>
      </c>
      <c r="D102" s="368"/>
      <c r="E102" s="368"/>
      <c r="F102" s="352">
        <f t="shared" si="12"/>
        <v>9214260</v>
      </c>
      <c r="G102" s="368"/>
      <c r="H102" s="352">
        <f t="shared" si="13"/>
        <v>354395</v>
      </c>
      <c r="J102" s="369" t="s">
        <v>2998</v>
      </c>
      <c r="L102">
        <v>2</v>
      </c>
    </row>
    <row r="103" spans="1:12" hidden="1">
      <c r="A103" s="366"/>
      <c r="B103" s="371" t="s">
        <v>2999</v>
      </c>
      <c r="C103" s="370">
        <f t="shared" si="17"/>
        <v>3.673</v>
      </c>
      <c r="D103" s="368"/>
      <c r="E103" s="368"/>
      <c r="F103" s="352">
        <f t="shared" si="12"/>
        <v>9292690</v>
      </c>
      <c r="G103" s="368"/>
      <c r="H103" s="352">
        <f t="shared" si="13"/>
        <v>357411</v>
      </c>
      <c r="J103" s="369" t="s">
        <v>3000</v>
      </c>
      <c r="L103">
        <v>3</v>
      </c>
    </row>
    <row r="104" spans="1:12" hidden="1">
      <c r="A104" s="366"/>
      <c r="B104" s="371" t="s">
        <v>3001</v>
      </c>
      <c r="C104" s="370">
        <f t="shared" si="17"/>
        <v>3.7040000000000002</v>
      </c>
      <c r="D104" s="368"/>
      <c r="E104" s="368"/>
      <c r="F104" s="352">
        <f t="shared" si="12"/>
        <v>9371120</v>
      </c>
      <c r="G104" s="368"/>
      <c r="H104" s="352">
        <f t="shared" si="13"/>
        <v>360428</v>
      </c>
      <c r="J104" s="369" t="s">
        <v>3002</v>
      </c>
      <c r="L104">
        <v>4</v>
      </c>
    </row>
    <row r="105" spans="1:12">
      <c r="A105" s="366"/>
      <c r="B105" s="372" t="s">
        <v>3003</v>
      </c>
      <c r="C105" s="370">
        <f t="shared" si="17"/>
        <v>3.7350000000000003</v>
      </c>
      <c r="D105" s="368"/>
      <c r="E105" s="368"/>
      <c r="F105" s="352">
        <f t="shared" si="12"/>
        <v>9449550</v>
      </c>
      <c r="G105" s="368"/>
      <c r="H105" s="352">
        <f t="shared" si="13"/>
        <v>363444</v>
      </c>
      <c r="J105" s="369" t="s">
        <v>3004</v>
      </c>
      <c r="L105">
        <v>5</v>
      </c>
    </row>
    <row r="106" spans="1:12" hidden="1">
      <c r="A106" s="366"/>
      <c r="B106" s="371" t="s">
        <v>3005</v>
      </c>
      <c r="C106" s="370">
        <f t="shared" si="17"/>
        <v>3.766</v>
      </c>
      <c r="D106" s="368"/>
      <c r="E106" s="368"/>
      <c r="F106" s="352">
        <f t="shared" si="12"/>
        <v>9527980</v>
      </c>
      <c r="G106" s="368"/>
      <c r="H106" s="352">
        <f t="shared" si="13"/>
        <v>366461</v>
      </c>
      <c r="J106" s="369" t="s">
        <v>3006</v>
      </c>
      <c r="L106">
        <v>6</v>
      </c>
    </row>
    <row r="107" spans="1:12" hidden="1">
      <c r="A107" s="366"/>
      <c r="B107" s="371" t="s">
        <v>3007</v>
      </c>
      <c r="C107" s="370">
        <f t="shared" si="17"/>
        <v>3.7970000000000002</v>
      </c>
      <c r="D107" s="368"/>
      <c r="E107" s="368"/>
      <c r="F107" s="352">
        <f t="shared" si="12"/>
        <v>9606410</v>
      </c>
      <c r="G107" s="368"/>
      <c r="H107" s="352">
        <f t="shared" si="13"/>
        <v>369477</v>
      </c>
      <c r="J107" s="369" t="s">
        <v>3008</v>
      </c>
      <c r="L107">
        <v>7</v>
      </c>
    </row>
    <row r="108" spans="1:12" hidden="1">
      <c r="A108" s="366"/>
      <c r="B108" s="371" t="s">
        <v>3009</v>
      </c>
      <c r="C108" s="370">
        <f t="shared" si="17"/>
        <v>3.8280000000000003</v>
      </c>
      <c r="D108" s="368"/>
      <c r="E108" s="368"/>
      <c r="F108" s="352">
        <f t="shared" si="12"/>
        <v>9684840</v>
      </c>
      <c r="G108" s="368"/>
      <c r="H108" s="352">
        <f t="shared" si="13"/>
        <v>372494</v>
      </c>
      <c r="J108" s="369" t="s">
        <v>3010</v>
      </c>
      <c r="L108">
        <v>8</v>
      </c>
    </row>
    <row r="109" spans="1:12" hidden="1">
      <c r="A109" s="366"/>
      <c r="B109" s="371" t="s">
        <v>3011</v>
      </c>
      <c r="C109" s="370">
        <f t="shared" si="17"/>
        <v>3.859</v>
      </c>
      <c r="D109" s="368"/>
      <c r="E109" s="368"/>
      <c r="F109" s="352">
        <f t="shared" si="12"/>
        <v>9763270</v>
      </c>
      <c r="G109" s="368"/>
      <c r="H109" s="352">
        <f t="shared" si="13"/>
        <v>375510</v>
      </c>
      <c r="J109" s="369" t="s">
        <v>3012</v>
      </c>
      <c r="L109">
        <v>9</v>
      </c>
    </row>
    <row r="110" spans="1:12" ht="15.75">
      <c r="A110" s="366">
        <v>6</v>
      </c>
      <c r="B110" s="367" t="s">
        <v>3013</v>
      </c>
      <c r="C110" s="370">
        <f>C100+0.31</f>
        <v>3.89</v>
      </c>
      <c r="D110" s="368"/>
      <c r="E110" s="368"/>
      <c r="F110" s="352">
        <f t="shared" si="12"/>
        <v>9841700</v>
      </c>
      <c r="G110" s="368"/>
      <c r="H110" s="352">
        <f t="shared" si="13"/>
        <v>378527</v>
      </c>
      <c r="J110" s="369" t="s">
        <v>3014</v>
      </c>
    </row>
    <row r="111" spans="1:12" hidden="1">
      <c r="A111" s="366"/>
      <c r="B111" s="371" t="s">
        <v>3015</v>
      </c>
      <c r="C111" s="370">
        <f>($C$120-$C$110)/10*L111+$C$110</f>
        <v>3.9210000000000003</v>
      </c>
      <c r="D111" s="368"/>
      <c r="E111" s="368"/>
      <c r="F111" s="352">
        <f t="shared" si="12"/>
        <v>9920130</v>
      </c>
      <c r="G111" s="368"/>
      <c r="H111" s="352">
        <f t="shared" si="13"/>
        <v>381543</v>
      </c>
      <c r="J111" s="369" t="s">
        <v>3016</v>
      </c>
      <c r="L111">
        <v>1</v>
      </c>
    </row>
    <row r="112" spans="1:12" hidden="1">
      <c r="A112" s="366"/>
      <c r="B112" s="371" t="s">
        <v>3017</v>
      </c>
      <c r="C112" s="370">
        <f t="shared" ref="C112:C119" si="18">($C$120-$C$110)/10*L112+$C$110</f>
        <v>3.952</v>
      </c>
      <c r="D112" s="368"/>
      <c r="E112" s="368"/>
      <c r="F112" s="352">
        <f t="shared" si="12"/>
        <v>9998560</v>
      </c>
      <c r="G112" s="368"/>
      <c r="H112" s="352">
        <f t="shared" si="13"/>
        <v>384560</v>
      </c>
      <c r="J112" s="369" t="s">
        <v>3018</v>
      </c>
      <c r="L112">
        <v>2</v>
      </c>
    </row>
    <row r="113" spans="1:20" hidden="1">
      <c r="A113" s="366"/>
      <c r="B113" s="371" t="s">
        <v>3019</v>
      </c>
      <c r="C113" s="370">
        <f t="shared" si="18"/>
        <v>3.9830000000000001</v>
      </c>
      <c r="D113" s="368"/>
      <c r="E113" s="368"/>
      <c r="F113" s="352">
        <f t="shared" si="12"/>
        <v>10076990</v>
      </c>
      <c r="G113" s="368"/>
      <c r="H113" s="352">
        <f t="shared" si="13"/>
        <v>387577</v>
      </c>
      <c r="J113" s="369" t="s">
        <v>3020</v>
      </c>
      <c r="L113">
        <v>3</v>
      </c>
    </row>
    <row r="114" spans="1:20" hidden="1">
      <c r="A114" s="366"/>
      <c r="B114" s="371" t="s">
        <v>3021</v>
      </c>
      <c r="C114" s="370">
        <f t="shared" si="18"/>
        <v>4.0140000000000002</v>
      </c>
      <c r="D114" s="368"/>
      <c r="E114" s="368"/>
      <c r="F114" s="352">
        <f t="shared" si="12"/>
        <v>10155420</v>
      </c>
      <c r="G114" s="368"/>
      <c r="H114" s="352">
        <f t="shared" si="13"/>
        <v>390593</v>
      </c>
      <c r="J114" s="369" t="s">
        <v>3022</v>
      </c>
      <c r="L114">
        <v>4</v>
      </c>
    </row>
    <row r="115" spans="1:20">
      <c r="A115" s="366"/>
      <c r="B115" s="372" t="s">
        <v>3023</v>
      </c>
      <c r="C115" s="370">
        <f t="shared" si="18"/>
        <v>4.0449999999999999</v>
      </c>
      <c r="D115" s="368"/>
      <c r="E115" s="368"/>
      <c r="F115" s="352">
        <f t="shared" si="12"/>
        <v>10233850</v>
      </c>
      <c r="G115" s="368"/>
      <c r="H115" s="352">
        <f t="shared" si="13"/>
        <v>393610</v>
      </c>
      <c r="J115" s="369" t="s">
        <v>3024</v>
      </c>
      <c r="L115">
        <v>5</v>
      </c>
    </row>
    <row r="116" spans="1:20" hidden="1">
      <c r="A116" s="366"/>
      <c r="B116" s="371" t="s">
        <v>3025</v>
      </c>
      <c r="C116" s="370">
        <f t="shared" si="18"/>
        <v>4.0760000000000005</v>
      </c>
      <c r="D116" s="368"/>
      <c r="E116" s="368"/>
      <c r="F116" s="352">
        <f t="shared" si="12"/>
        <v>10312280.000000002</v>
      </c>
      <c r="G116" s="368"/>
      <c r="H116" s="352">
        <f t="shared" si="13"/>
        <v>396626</v>
      </c>
      <c r="J116" s="369" t="s">
        <v>3026</v>
      </c>
      <c r="L116">
        <v>6</v>
      </c>
    </row>
    <row r="117" spans="1:20" hidden="1">
      <c r="A117" s="366"/>
      <c r="B117" s="371" t="s">
        <v>3027</v>
      </c>
      <c r="C117" s="370">
        <f t="shared" si="18"/>
        <v>4.1070000000000002</v>
      </c>
      <c r="D117" s="368"/>
      <c r="E117" s="368"/>
      <c r="F117" s="352">
        <f t="shared" si="12"/>
        <v>10390710</v>
      </c>
      <c r="G117" s="368"/>
      <c r="H117" s="352">
        <f t="shared" si="13"/>
        <v>399643</v>
      </c>
      <c r="J117" s="369" t="s">
        <v>3028</v>
      </c>
      <c r="L117">
        <v>7</v>
      </c>
    </row>
    <row r="118" spans="1:20" hidden="1">
      <c r="A118" s="366"/>
      <c r="B118" s="371" t="s">
        <v>3029</v>
      </c>
      <c r="C118" s="370">
        <f t="shared" si="18"/>
        <v>4.1379999999999999</v>
      </c>
      <c r="D118" s="368"/>
      <c r="E118" s="368"/>
      <c r="F118" s="352">
        <f t="shared" si="12"/>
        <v>10469140</v>
      </c>
      <c r="G118" s="368"/>
      <c r="H118" s="352">
        <f t="shared" si="13"/>
        <v>402659</v>
      </c>
      <c r="J118" s="369" t="s">
        <v>3030</v>
      </c>
      <c r="L118">
        <v>8</v>
      </c>
    </row>
    <row r="119" spans="1:20" hidden="1">
      <c r="A119" s="366"/>
      <c r="B119" s="371" t="s">
        <v>3031</v>
      </c>
      <c r="C119" s="370">
        <f t="shared" si="18"/>
        <v>4.1690000000000005</v>
      </c>
      <c r="D119" s="368"/>
      <c r="E119" s="368"/>
      <c r="F119" s="352">
        <f t="shared" si="12"/>
        <v>10547570.000000002</v>
      </c>
      <c r="G119" s="368"/>
      <c r="H119" s="352">
        <f t="shared" si="13"/>
        <v>405676</v>
      </c>
      <c r="J119" s="369" t="s">
        <v>3032</v>
      </c>
      <c r="L119">
        <v>9</v>
      </c>
    </row>
    <row r="120" spans="1:20" ht="15.75">
      <c r="A120" s="366">
        <v>7</v>
      </c>
      <c r="B120" s="367" t="s">
        <v>3033</v>
      </c>
      <c r="C120" s="370">
        <f>C110+0.31</f>
        <v>4.2</v>
      </c>
      <c r="D120" s="368"/>
      <c r="E120" s="368"/>
      <c r="F120" s="352">
        <f t="shared" si="12"/>
        <v>10626000</v>
      </c>
      <c r="G120" s="368"/>
      <c r="H120" s="352">
        <f t="shared" si="13"/>
        <v>408692</v>
      </c>
      <c r="J120" s="369" t="s">
        <v>3034</v>
      </c>
    </row>
    <row r="121" spans="1:20">
      <c r="A121" s="366"/>
      <c r="B121" s="372" t="s">
        <v>3035</v>
      </c>
      <c r="C121" s="370">
        <f>($C$122-$C$120)/10*L121+$C$120</f>
        <v>4.3550000000000004</v>
      </c>
      <c r="D121" s="368"/>
      <c r="E121" s="368"/>
      <c r="F121" s="352">
        <f t="shared" si="12"/>
        <v>11018150.000000002</v>
      </c>
      <c r="G121" s="368"/>
      <c r="H121" s="352">
        <f t="shared" si="13"/>
        <v>423775</v>
      </c>
      <c r="J121" s="369" t="s">
        <v>3036</v>
      </c>
      <c r="L121">
        <v>5</v>
      </c>
    </row>
    <row r="122" spans="1:20" ht="15.75">
      <c r="A122" s="366">
        <v>8</v>
      </c>
      <c r="B122" s="367" t="s">
        <v>3037</v>
      </c>
      <c r="C122" s="370">
        <f>C120+0.31</f>
        <v>4.51</v>
      </c>
      <c r="D122" s="368"/>
      <c r="E122" s="368"/>
      <c r="F122" s="352">
        <f t="shared" si="12"/>
        <v>11410300</v>
      </c>
      <c r="G122" s="368"/>
      <c r="H122" s="352">
        <f t="shared" si="13"/>
        <v>438858</v>
      </c>
      <c r="J122" s="369" t="s">
        <v>3038</v>
      </c>
    </row>
    <row r="124" spans="1:20" ht="15.75">
      <c r="A124" s="1659" t="s">
        <v>3039</v>
      </c>
      <c r="B124" s="1659"/>
      <c r="C124" s="1659"/>
      <c r="D124" s="1659"/>
      <c r="E124" s="1659"/>
      <c r="F124" s="1659"/>
      <c r="G124" s="1659"/>
      <c r="H124" s="1659"/>
    </row>
    <row r="125" spans="1:20" ht="21.6" customHeight="1">
      <c r="A125" s="364" t="s">
        <v>84</v>
      </c>
      <c r="B125" s="364" t="s">
        <v>3040</v>
      </c>
      <c r="C125" s="1646" t="s">
        <v>3041</v>
      </c>
      <c r="D125" s="1645"/>
      <c r="E125" s="1646" t="s">
        <v>2807</v>
      </c>
      <c r="F125" s="1645"/>
      <c r="G125" s="1646" t="s">
        <v>2808</v>
      </c>
      <c r="H125" s="1645"/>
      <c r="M125" s="1674" t="s">
        <v>3039</v>
      </c>
      <c r="N125" s="1674"/>
      <c r="O125" s="1674"/>
      <c r="P125" s="1674"/>
      <c r="Q125" s="1674"/>
      <c r="R125" s="1674"/>
      <c r="S125" s="1674"/>
      <c r="T125" s="1674"/>
    </row>
    <row r="126" spans="1:20" ht="17.25">
      <c r="A126" s="373">
        <v>1</v>
      </c>
      <c r="B126" s="374" t="s">
        <v>2810</v>
      </c>
      <c r="C126" s="375" t="s">
        <v>3042</v>
      </c>
      <c r="D126" s="376">
        <v>2.1800000000000002</v>
      </c>
      <c r="E126" s="376"/>
      <c r="F126" s="377">
        <f>D126*$D$7</f>
        <v>5515400</v>
      </c>
      <c r="G126" s="378"/>
      <c r="H126" s="377">
        <f>ROUND(F126/26,0)</f>
        <v>212131</v>
      </c>
      <c r="J126" s="336" t="s">
        <v>3043</v>
      </c>
      <c r="M126" s="1666" t="s">
        <v>3044</v>
      </c>
      <c r="N126" s="1667"/>
      <c r="O126" s="1667"/>
      <c r="P126" s="1667"/>
      <c r="Q126" s="1667"/>
      <c r="R126" s="1667"/>
      <c r="S126" s="1668"/>
    </row>
    <row r="127" spans="1:20" ht="17.25">
      <c r="A127" s="349"/>
      <c r="B127" s="341" t="s">
        <v>3045</v>
      </c>
      <c r="C127" s="379" t="s">
        <v>3046</v>
      </c>
      <c r="D127" s="337">
        <v>2.57</v>
      </c>
      <c r="E127" s="337"/>
      <c r="F127" s="352">
        <f t="shared" ref="F127:F137" si="19">D127*$D$7</f>
        <v>6502100</v>
      </c>
      <c r="G127" s="380"/>
      <c r="H127" s="352">
        <f t="shared" ref="H127:H137" si="20">ROUND(F127/26,0)</f>
        <v>250081</v>
      </c>
      <c r="J127" s="336" t="s">
        <v>3047</v>
      </c>
      <c r="M127" s="1666"/>
      <c r="N127" s="1667"/>
      <c r="O127" s="1667"/>
      <c r="P127" s="1667"/>
      <c r="Q127" s="1667"/>
      <c r="R127" s="1667"/>
      <c r="S127" s="1668"/>
    </row>
    <row r="128" spans="1:20" ht="17.25">
      <c r="A128" s="349"/>
      <c r="B128" s="1669" t="s">
        <v>3048</v>
      </c>
      <c r="C128" s="379" t="s">
        <v>3049</v>
      </c>
      <c r="D128" s="337">
        <v>3.05</v>
      </c>
      <c r="E128" s="337"/>
      <c r="F128" s="352">
        <f t="shared" si="19"/>
        <v>7716500</v>
      </c>
      <c r="G128" s="380"/>
      <c r="H128" s="352">
        <f t="shared" si="20"/>
        <v>296788</v>
      </c>
      <c r="J128" s="336" t="s">
        <v>3050</v>
      </c>
      <c r="M128" s="1666"/>
      <c r="N128" s="1667"/>
      <c r="O128" s="1667"/>
      <c r="P128" s="1667"/>
      <c r="Q128" s="1667"/>
      <c r="R128" s="1667"/>
      <c r="S128" s="1668"/>
    </row>
    <row r="129" spans="1:19" ht="17.25">
      <c r="A129" s="349"/>
      <c r="B129" s="1670"/>
      <c r="C129" s="379" t="s">
        <v>3051</v>
      </c>
      <c r="D129" s="337">
        <v>3.6</v>
      </c>
      <c r="E129" s="337"/>
      <c r="F129" s="352">
        <f t="shared" si="19"/>
        <v>9108000</v>
      </c>
      <c r="G129" s="380"/>
      <c r="H129" s="352">
        <f t="shared" si="20"/>
        <v>350308</v>
      </c>
      <c r="J129" s="336" t="s">
        <v>3052</v>
      </c>
      <c r="M129" s="1666"/>
      <c r="N129" s="1667"/>
      <c r="O129" s="1667"/>
      <c r="P129" s="1667"/>
      <c r="Q129" s="1667"/>
      <c r="R129" s="1667"/>
      <c r="S129" s="1668"/>
    </row>
    <row r="130" spans="1:19" ht="17.25">
      <c r="A130" s="373">
        <v>2</v>
      </c>
      <c r="B130" s="381" t="s">
        <v>2811</v>
      </c>
      <c r="C130" s="375" t="s">
        <v>3042</v>
      </c>
      <c r="D130" s="376">
        <v>2.35</v>
      </c>
      <c r="E130" s="376"/>
      <c r="F130" s="377">
        <f t="shared" si="19"/>
        <v>5945500</v>
      </c>
      <c r="G130" s="378"/>
      <c r="H130" s="377">
        <f t="shared" si="20"/>
        <v>228673</v>
      </c>
      <c r="J130" s="336" t="s">
        <v>3053</v>
      </c>
      <c r="M130" s="1666" t="s">
        <v>3054</v>
      </c>
      <c r="N130" s="1667"/>
      <c r="O130" s="1667"/>
      <c r="P130" s="1667"/>
      <c r="Q130" s="1667"/>
      <c r="R130" s="1667"/>
      <c r="S130" s="1668"/>
    </row>
    <row r="131" spans="1:19" ht="17.25">
      <c r="A131" s="349"/>
      <c r="B131" s="341" t="s">
        <v>3055</v>
      </c>
      <c r="C131" s="379" t="s">
        <v>3046</v>
      </c>
      <c r="D131" s="337">
        <v>2.76</v>
      </c>
      <c r="E131" s="337"/>
      <c r="F131" s="352">
        <f t="shared" si="19"/>
        <v>6982799.9999999991</v>
      </c>
      <c r="G131" s="380"/>
      <c r="H131" s="352">
        <f t="shared" si="20"/>
        <v>268569</v>
      </c>
      <c r="J131" s="336" t="s">
        <v>3056</v>
      </c>
      <c r="M131" s="1666"/>
      <c r="N131" s="1667"/>
      <c r="O131" s="1667"/>
      <c r="P131" s="1667"/>
      <c r="Q131" s="1667"/>
      <c r="R131" s="1667"/>
      <c r="S131" s="1668"/>
    </row>
    <row r="132" spans="1:19" ht="35.25" customHeight="1">
      <c r="A132" s="349"/>
      <c r="B132" s="1669" t="s">
        <v>3057</v>
      </c>
      <c r="C132" s="379" t="s">
        <v>3049</v>
      </c>
      <c r="D132" s="337">
        <v>3.25</v>
      </c>
      <c r="E132" s="337"/>
      <c r="F132" s="352">
        <f t="shared" si="19"/>
        <v>8222500</v>
      </c>
      <c r="G132" s="380"/>
      <c r="H132" s="352">
        <f t="shared" si="20"/>
        <v>316250</v>
      </c>
      <c r="J132" s="336" t="s">
        <v>3058</v>
      </c>
      <c r="M132" s="1666"/>
      <c r="N132" s="1667"/>
      <c r="O132" s="1667"/>
      <c r="P132" s="1667"/>
      <c r="Q132" s="1667"/>
      <c r="R132" s="1667"/>
      <c r="S132" s="1668"/>
    </row>
    <row r="133" spans="1:19" ht="17.25">
      <c r="A133" s="349"/>
      <c r="B133" s="1670"/>
      <c r="C133" s="379" t="s">
        <v>3051</v>
      </c>
      <c r="D133" s="337">
        <v>3.82</v>
      </c>
      <c r="E133" s="337"/>
      <c r="F133" s="352">
        <f t="shared" si="19"/>
        <v>9664600</v>
      </c>
      <c r="G133" s="380"/>
      <c r="H133" s="352">
        <f t="shared" si="20"/>
        <v>371715</v>
      </c>
      <c r="J133" s="336" t="s">
        <v>3059</v>
      </c>
      <c r="M133" s="1666"/>
      <c r="N133" s="1667"/>
      <c r="O133" s="1667"/>
      <c r="P133" s="1667"/>
      <c r="Q133" s="1667"/>
      <c r="R133" s="1667"/>
      <c r="S133" s="1668"/>
    </row>
    <row r="134" spans="1:19" ht="17.25">
      <c r="A134" s="373">
        <v>3</v>
      </c>
      <c r="B134" s="381" t="s">
        <v>3060</v>
      </c>
      <c r="C134" s="375" t="s">
        <v>3042</v>
      </c>
      <c r="D134" s="376">
        <v>2.5099999999999998</v>
      </c>
      <c r="E134" s="376"/>
      <c r="F134" s="377">
        <f t="shared" si="19"/>
        <v>6350299.9999999991</v>
      </c>
      <c r="G134" s="378"/>
      <c r="H134" s="377">
        <f t="shared" si="20"/>
        <v>244242</v>
      </c>
      <c r="J134" s="336" t="s">
        <v>3061</v>
      </c>
      <c r="M134" s="1671" t="s">
        <v>3062</v>
      </c>
      <c r="N134" s="1672"/>
      <c r="O134" s="1672"/>
      <c r="P134" s="1672"/>
      <c r="Q134" s="1672"/>
      <c r="R134" s="1672"/>
      <c r="S134" s="1673"/>
    </row>
    <row r="135" spans="1:19" ht="17.25">
      <c r="A135" s="349"/>
      <c r="B135" s="341" t="s">
        <v>3063</v>
      </c>
      <c r="C135" s="379" t="s">
        <v>3046</v>
      </c>
      <c r="D135" s="337">
        <v>2.94</v>
      </c>
      <c r="E135" s="337"/>
      <c r="F135" s="352">
        <f t="shared" si="19"/>
        <v>7438200</v>
      </c>
      <c r="G135" s="380"/>
      <c r="H135" s="352">
        <f t="shared" si="20"/>
        <v>286085</v>
      </c>
      <c r="J135" s="336" t="s">
        <v>3064</v>
      </c>
      <c r="M135" s="1671"/>
      <c r="N135" s="1672"/>
      <c r="O135" s="1672"/>
      <c r="P135" s="1672"/>
      <c r="Q135" s="1672"/>
      <c r="R135" s="1672"/>
      <c r="S135" s="1673"/>
    </row>
    <row r="136" spans="1:19" ht="17.25">
      <c r="A136" s="349"/>
      <c r="B136" s="1669" t="s">
        <v>3065</v>
      </c>
      <c r="C136" s="379" t="s">
        <v>3049</v>
      </c>
      <c r="D136" s="337">
        <v>3.44</v>
      </c>
      <c r="E136" s="337"/>
      <c r="F136" s="352">
        <f t="shared" si="19"/>
        <v>8703200</v>
      </c>
      <c r="G136" s="380"/>
      <c r="H136" s="352">
        <f t="shared" si="20"/>
        <v>334738</v>
      </c>
      <c r="J136" s="336" t="s">
        <v>3066</v>
      </c>
      <c r="M136" s="1671"/>
      <c r="N136" s="1672"/>
      <c r="O136" s="1672"/>
      <c r="P136" s="1672"/>
      <c r="Q136" s="1672"/>
      <c r="R136" s="1672"/>
      <c r="S136" s="1673"/>
    </row>
    <row r="137" spans="1:19" ht="17.25">
      <c r="A137" s="349"/>
      <c r="B137" s="1670"/>
      <c r="C137" s="379" t="s">
        <v>3051</v>
      </c>
      <c r="D137" s="337">
        <v>4.05</v>
      </c>
      <c r="E137" s="337"/>
      <c r="F137" s="352">
        <f t="shared" si="19"/>
        <v>10246500</v>
      </c>
      <c r="G137" s="380"/>
      <c r="H137" s="352">
        <f t="shared" si="20"/>
        <v>394096</v>
      </c>
      <c r="J137" s="336" t="s">
        <v>3067</v>
      </c>
      <c r="M137" s="1671"/>
      <c r="N137" s="1672"/>
      <c r="O137" s="1672"/>
      <c r="P137" s="1672"/>
      <c r="Q137" s="1672"/>
      <c r="R137" s="1672"/>
      <c r="S137" s="1673"/>
    </row>
    <row r="139" spans="1:19" ht="15.75">
      <c r="A139" s="1659" t="s">
        <v>3068</v>
      </c>
      <c r="B139" s="1659"/>
      <c r="C139" s="1659"/>
      <c r="D139" s="1659"/>
      <c r="E139" s="1659"/>
      <c r="F139" s="1659"/>
      <c r="G139" s="1659"/>
      <c r="H139" s="1659"/>
    </row>
    <row r="140" spans="1:19" ht="15.75">
      <c r="A140" s="1659" t="s">
        <v>3069</v>
      </c>
      <c r="B140" s="1659"/>
      <c r="C140" s="1659"/>
      <c r="D140" s="1659"/>
      <c r="E140" s="1659"/>
      <c r="F140" s="1659"/>
      <c r="G140" s="1659"/>
      <c r="H140" s="1659"/>
      <c r="M140" s="382" t="s">
        <v>3070</v>
      </c>
    </row>
    <row r="141" spans="1:19" ht="15.75">
      <c r="A141" s="1645" t="s">
        <v>84</v>
      </c>
      <c r="B141" s="1646" t="s">
        <v>3071</v>
      </c>
      <c r="C141" s="1647" t="s">
        <v>3072</v>
      </c>
      <c r="D141" s="1660" t="s">
        <v>3073</v>
      </c>
      <c r="E141" s="1661"/>
      <c r="F141" s="383"/>
      <c r="G141" s="1646" t="s">
        <v>2808</v>
      </c>
      <c r="H141" s="1645"/>
      <c r="M141" s="356" t="s">
        <v>3074</v>
      </c>
    </row>
    <row r="142" spans="1:19" ht="15.75">
      <c r="A142" s="1645"/>
      <c r="B142" s="1645"/>
      <c r="C142" s="1648"/>
      <c r="D142" s="384" t="s">
        <v>2810</v>
      </c>
      <c r="E142" s="384" t="s">
        <v>2811</v>
      </c>
      <c r="F142" s="349"/>
      <c r="G142" s="349" t="s">
        <v>2810</v>
      </c>
      <c r="H142" s="349" t="s">
        <v>2811</v>
      </c>
      <c r="L142" s="385"/>
      <c r="M142" s="356" t="s">
        <v>3075</v>
      </c>
      <c r="N142" s="385"/>
      <c r="O142" s="385"/>
      <c r="P142" s="385"/>
      <c r="Q142" s="385"/>
      <c r="R142" s="385"/>
    </row>
    <row r="143" spans="1:19" ht="17.25">
      <c r="A143" s="1655">
        <v>1</v>
      </c>
      <c r="B143" s="1655" t="s">
        <v>3076</v>
      </c>
      <c r="C143" s="375" t="s">
        <v>3077</v>
      </c>
      <c r="D143" s="337">
        <v>3.73</v>
      </c>
      <c r="E143" s="386">
        <v>4.1399999999999997</v>
      </c>
      <c r="F143" s="352"/>
      <c r="G143" s="352">
        <f t="shared" ref="G143:H148" si="21">ROUND(D143*$D$7/26,0)</f>
        <v>362958</v>
      </c>
      <c r="H143" s="352">
        <f t="shared" si="21"/>
        <v>402854</v>
      </c>
      <c r="J143" s="336" t="s">
        <v>3078</v>
      </c>
      <c r="K143" s="336" t="s">
        <v>3079</v>
      </c>
      <c r="L143" s="346"/>
      <c r="M143" s="346"/>
      <c r="N143" s="346"/>
      <c r="O143" s="346"/>
      <c r="P143" s="346"/>
      <c r="Q143" s="346"/>
      <c r="R143" s="346"/>
      <c r="S143" s="346"/>
    </row>
    <row r="144" spans="1:19" ht="17.25">
      <c r="A144" s="1656"/>
      <c r="B144" s="1656"/>
      <c r="C144" s="379" t="s">
        <v>3080</v>
      </c>
      <c r="D144" s="337">
        <v>3.91</v>
      </c>
      <c r="E144" s="337">
        <v>4.3600000000000003</v>
      </c>
      <c r="F144" s="352"/>
      <c r="G144" s="352">
        <f t="shared" si="21"/>
        <v>380473</v>
      </c>
      <c r="H144" s="352">
        <f t="shared" si="21"/>
        <v>424262</v>
      </c>
      <c r="J144" s="336" t="s">
        <v>3081</v>
      </c>
      <c r="K144" s="336" t="s">
        <v>3082</v>
      </c>
      <c r="L144" s="346"/>
      <c r="M144" s="346"/>
      <c r="N144" s="346"/>
      <c r="O144" s="346"/>
      <c r="P144" s="346"/>
      <c r="Q144" s="346"/>
      <c r="R144" s="346"/>
      <c r="S144" s="346"/>
    </row>
    <row r="145" spans="1:8" ht="17.25">
      <c r="A145" s="1655">
        <v>2</v>
      </c>
      <c r="B145" s="1655" t="s">
        <v>3083</v>
      </c>
      <c r="C145" s="375" t="s">
        <v>3077</v>
      </c>
      <c r="D145" s="337">
        <v>3.17</v>
      </c>
      <c r="E145" s="337">
        <v>3.55</v>
      </c>
      <c r="F145" s="352"/>
      <c r="G145" s="352">
        <f t="shared" si="21"/>
        <v>308465</v>
      </c>
      <c r="H145" s="352">
        <f t="shared" si="21"/>
        <v>345442</v>
      </c>
    </row>
    <row r="146" spans="1:8" ht="17.25">
      <c r="A146" s="1656"/>
      <c r="B146" s="1656"/>
      <c r="C146" s="379" t="s">
        <v>3080</v>
      </c>
      <c r="D146" s="337">
        <v>3.3</v>
      </c>
      <c r="E146" s="337">
        <v>3.76</v>
      </c>
      <c r="F146" s="352"/>
      <c r="G146" s="352">
        <f t="shared" si="21"/>
        <v>321115</v>
      </c>
      <c r="H146" s="352">
        <f t="shared" si="21"/>
        <v>365877</v>
      </c>
    </row>
    <row r="147" spans="1:8" ht="17.25">
      <c r="A147" s="1655">
        <v>3</v>
      </c>
      <c r="B147" s="1655" t="s">
        <v>3084</v>
      </c>
      <c r="C147" s="375" t="s">
        <v>3077</v>
      </c>
      <c r="D147" s="337">
        <v>2.66</v>
      </c>
      <c r="E147" s="337">
        <v>2.93</v>
      </c>
      <c r="F147" s="352"/>
      <c r="G147" s="352">
        <f t="shared" si="21"/>
        <v>258838</v>
      </c>
      <c r="H147" s="352">
        <f t="shared" si="21"/>
        <v>285112</v>
      </c>
    </row>
    <row r="148" spans="1:8" ht="17.25">
      <c r="A148" s="1656"/>
      <c r="B148" s="1656"/>
      <c r="C148" s="379" t="s">
        <v>3080</v>
      </c>
      <c r="D148" s="337">
        <v>2.81</v>
      </c>
      <c r="E148" s="337">
        <v>3.1</v>
      </c>
      <c r="F148" s="337"/>
      <c r="G148" s="352">
        <f t="shared" si="21"/>
        <v>273435</v>
      </c>
      <c r="H148" s="352">
        <f t="shared" si="21"/>
        <v>301654</v>
      </c>
    </row>
    <row r="150" spans="1:8" ht="15.75">
      <c r="A150" s="1659" t="s">
        <v>3085</v>
      </c>
      <c r="B150" s="1659"/>
      <c r="C150" s="1659"/>
      <c r="D150" s="1659"/>
      <c r="E150" s="1659"/>
      <c r="F150" s="1659"/>
      <c r="G150" s="1659"/>
      <c r="H150" s="1659"/>
    </row>
    <row r="151" spans="1:8" ht="15.6" customHeight="1">
      <c r="A151" s="1645" t="s">
        <v>84</v>
      </c>
      <c r="B151" s="1646" t="s">
        <v>3071</v>
      </c>
      <c r="C151" s="1647" t="s">
        <v>3072</v>
      </c>
      <c r="D151" s="1649" t="s">
        <v>3073</v>
      </c>
      <c r="E151" s="1650"/>
      <c r="F151" s="1653" t="s">
        <v>2807</v>
      </c>
      <c r="G151" s="1640" t="s">
        <v>2808</v>
      </c>
      <c r="H151" s="1641"/>
    </row>
    <row r="152" spans="1:8">
      <c r="A152" s="1645"/>
      <c r="B152" s="1645"/>
      <c r="C152" s="1648"/>
      <c r="D152" s="1651"/>
      <c r="E152" s="1652"/>
      <c r="F152" s="1654"/>
      <c r="G152" s="1642"/>
      <c r="H152" s="1643"/>
    </row>
    <row r="153" spans="1:8" ht="17.25">
      <c r="A153" s="1644">
        <v>1</v>
      </c>
      <c r="B153" s="1644" t="s">
        <v>3086</v>
      </c>
      <c r="C153" s="375" t="s">
        <v>3042</v>
      </c>
      <c r="D153" s="337">
        <v>1.93</v>
      </c>
      <c r="E153" s="387"/>
      <c r="F153" s="352">
        <f>ROUND(D153*$D$7,0)</f>
        <v>4882900</v>
      </c>
      <c r="G153" s="337"/>
      <c r="H153" s="352">
        <f t="shared" ref="H153:H160" si="22">ROUND(D153*$D$7/26,0)</f>
        <v>187804</v>
      </c>
    </row>
    <row r="154" spans="1:8" ht="17.25">
      <c r="A154" s="1644"/>
      <c r="B154" s="1644"/>
      <c r="C154" s="379" t="s">
        <v>3046</v>
      </c>
      <c r="D154" s="337">
        <v>2.1800000000000002</v>
      </c>
      <c r="E154" s="337"/>
      <c r="F154" s="352">
        <f t="shared" ref="F154:F160" si="23">ROUND(D154*$D$7,0)</f>
        <v>5515400</v>
      </c>
      <c r="G154" s="337"/>
      <c r="H154" s="352">
        <f t="shared" si="22"/>
        <v>212131</v>
      </c>
    </row>
    <row r="155" spans="1:8" ht="17.25">
      <c r="A155" s="1644"/>
      <c r="B155" s="1644"/>
      <c r="C155" s="379" t="s">
        <v>3049</v>
      </c>
      <c r="D155" s="337">
        <v>2.5099999999999998</v>
      </c>
      <c r="E155" s="337"/>
      <c r="F155" s="352">
        <f t="shared" si="23"/>
        <v>6350300</v>
      </c>
      <c r="G155" s="337"/>
      <c r="H155" s="352">
        <f t="shared" si="22"/>
        <v>244242</v>
      </c>
    </row>
    <row r="156" spans="1:8" ht="17.25">
      <c r="A156" s="1644"/>
      <c r="B156" s="1644"/>
      <c r="C156" s="379" t="s">
        <v>3051</v>
      </c>
      <c r="D156" s="337">
        <v>2.83</v>
      </c>
      <c r="E156" s="337"/>
      <c r="F156" s="352">
        <f t="shared" si="23"/>
        <v>7159900</v>
      </c>
      <c r="G156" s="337"/>
      <c r="H156" s="352">
        <f t="shared" si="22"/>
        <v>275381</v>
      </c>
    </row>
    <row r="157" spans="1:8" ht="17.25">
      <c r="A157" s="1644">
        <v>2</v>
      </c>
      <c r="B157" s="1644" t="s">
        <v>3087</v>
      </c>
      <c r="C157" s="375" t="s">
        <v>3042</v>
      </c>
      <c r="D157" s="337">
        <v>2.0499999999999998</v>
      </c>
      <c r="E157" s="337"/>
      <c r="F157" s="352">
        <f t="shared" si="23"/>
        <v>5186500</v>
      </c>
      <c r="G157" s="337"/>
      <c r="H157" s="352">
        <f t="shared" si="22"/>
        <v>199481</v>
      </c>
    </row>
    <row r="158" spans="1:8" ht="17.25">
      <c r="A158" s="1644"/>
      <c r="B158" s="1644"/>
      <c r="C158" s="379" t="s">
        <v>3046</v>
      </c>
      <c r="D158" s="337">
        <v>2.35</v>
      </c>
      <c r="E158" s="337"/>
      <c r="F158" s="352">
        <f t="shared" si="23"/>
        <v>5945500</v>
      </c>
      <c r="G158" s="337"/>
      <c r="H158" s="352">
        <f t="shared" si="22"/>
        <v>228673</v>
      </c>
    </row>
    <row r="159" spans="1:8" ht="17.25">
      <c r="A159" s="1644"/>
      <c r="B159" s="1644"/>
      <c r="C159" s="379" t="s">
        <v>3049</v>
      </c>
      <c r="D159" s="337">
        <v>2.66</v>
      </c>
      <c r="E159" s="337"/>
      <c r="F159" s="352">
        <f t="shared" si="23"/>
        <v>6729800</v>
      </c>
      <c r="G159" s="337"/>
      <c r="H159" s="352">
        <f t="shared" si="22"/>
        <v>258838</v>
      </c>
    </row>
    <row r="160" spans="1:8" ht="17.25">
      <c r="A160" s="1644"/>
      <c r="B160" s="1644"/>
      <c r="C160" s="379" t="s">
        <v>3051</v>
      </c>
      <c r="D160" s="337">
        <v>2.99</v>
      </c>
      <c r="E160" s="337"/>
      <c r="F160" s="352">
        <f t="shared" si="23"/>
        <v>7564700</v>
      </c>
      <c r="G160" s="337"/>
      <c r="H160" s="352">
        <f t="shared" si="22"/>
        <v>290950</v>
      </c>
    </row>
    <row r="162" spans="1:20" ht="15.75">
      <c r="A162" s="1665" t="s">
        <v>3088</v>
      </c>
      <c r="B162" s="1665"/>
      <c r="C162" s="1665"/>
      <c r="D162" s="1665"/>
      <c r="E162" s="1665"/>
      <c r="F162" s="1665"/>
      <c r="G162" s="1665"/>
      <c r="H162" s="1665"/>
    </row>
    <row r="163" spans="1:20" ht="15.75">
      <c r="A163" s="1653" t="s">
        <v>84</v>
      </c>
      <c r="B163" s="1653" t="s">
        <v>3071</v>
      </c>
      <c r="C163" s="1653" t="s">
        <v>3072</v>
      </c>
      <c r="D163" s="1662" t="s">
        <v>3073</v>
      </c>
      <c r="E163" s="1662"/>
      <c r="F163" s="1662"/>
      <c r="G163" s="1663" t="s">
        <v>2808</v>
      </c>
      <c r="H163" s="1663"/>
      <c r="I163" s="1663"/>
      <c r="M163" s="388" t="s">
        <v>3088</v>
      </c>
      <c r="N163" s="389"/>
      <c r="O163" s="389"/>
      <c r="P163" s="389"/>
      <c r="Q163" s="389"/>
      <c r="R163" s="389"/>
      <c r="S163" s="389"/>
      <c r="T163" s="389"/>
    </row>
    <row r="164" spans="1:20" ht="15.75">
      <c r="A164" s="1664"/>
      <c r="B164" s="1664"/>
      <c r="C164" s="1664"/>
      <c r="D164" s="390" t="s">
        <v>2810</v>
      </c>
      <c r="E164" s="390" t="s">
        <v>2811</v>
      </c>
      <c r="F164" s="341" t="s">
        <v>3060</v>
      </c>
      <c r="G164" s="390" t="s">
        <v>2810</v>
      </c>
      <c r="H164" s="390" t="s">
        <v>2811</v>
      </c>
      <c r="I164" s="341" t="s">
        <v>3060</v>
      </c>
      <c r="M164" s="391"/>
    </row>
    <row r="165" spans="1:20" ht="17.25">
      <c r="A165" s="1655">
        <v>1</v>
      </c>
      <c r="B165" s="1655" t="s">
        <v>3076</v>
      </c>
      <c r="C165" s="375" t="s">
        <v>3077</v>
      </c>
      <c r="D165" s="337">
        <v>3.91</v>
      </c>
      <c r="E165" s="337">
        <v>4.37</v>
      </c>
      <c r="F165" s="337">
        <v>4.88</v>
      </c>
      <c r="G165" s="352">
        <f t="shared" ref="G165:I174" si="24">ROUND(D165*$D$7/26,0)</f>
        <v>380473</v>
      </c>
      <c r="H165" s="352">
        <f t="shared" si="24"/>
        <v>425235</v>
      </c>
      <c r="I165" s="352">
        <f t="shared" si="24"/>
        <v>474862</v>
      </c>
      <c r="M165" s="391" t="s">
        <v>3089</v>
      </c>
    </row>
    <row r="166" spans="1:20" ht="17.25">
      <c r="A166" s="1656"/>
      <c r="B166" s="1656"/>
      <c r="C166" s="379" t="s">
        <v>3080</v>
      </c>
      <c r="D166" s="337">
        <v>4.16</v>
      </c>
      <c r="E166" s="337">
        <v>4.68</v>
      </c>
      <c r="F166" s="337">
        <v>5.19</v>
      </c>
      <c r="G166" s="352">
        <f t="shared" si="24"/>
        <v>404800</v>
      </c>
      <c r="H166" s="352">
        <f t="shared" si="24"/>
        <v>455400</v>
      </c>
      <c r="I166" s="352">
        <f t="shared" si="24"/>
        <v>505027</v>
      </c>
      <c r="M166" s="391" t="s">
        <v>3090</v>
      </c>
    </row>
    <row r="167" spans="1:20" ht="17.25">
      <c r="A167" s="1655">
        <v>2</v>
      </c>
      <c r="B167" s="1655" t="s">
        <v>3091</v>
      </c>
      <c r="C167" s="375" t="s">
        <v>3077</v>
      </c>
      <c r="D167" s="337">
        <v>3.5</v>
      </c>
      <c r="E167" s="337">
        <v>4.16</v>
      </c>
      <c r="F167" s="337">
        <v>4.71</v>
      </c>
      <c r="G167" s="352">
        <f t="shared" si="24"/>
        <v>340577</v>
      </c>
      <c r="H167" s="352">
        <f t="shared" si="24"/>
        <v>404800</v>
      </c>
      <c r="I167" s="352">
        <f t="shared" si="24"/>
        <v>458319</v>
      </c>
      <c r="M167" s="391" t="s">
        <v>3092</v>
      </c>
    </row>
    <row r="168" spans="1:20" ht="17.25">
      <c r="A168" s="1656"/>
      <c r="B168" s="1656"/>
      <c r="C168" s="379" t="s">
        <v>3080</v>
      </c>
      <c r="D168" s="337">
        <v>3.73</v>
      </c>
      <c r="E168" s="337">
        <v>4.37</v>
      </c>
      <c r="F168" s="337">
        <v>5.07</v>
      </c>
      <c r="G168" s="352">
        <f t="shared" si="24"/>
        <v>362958</v>
      </c>
      <c r="H168" s="352">
        <f t="shared" si="24"/>
        <v>425235</v>
      </c>
      <c r="I168" s="352">
        <f t="shared" si="24"/>
        <v>493350</v>
      </c>
      <c r="M168" s="391"/>
    </row>
    <row r="169" spans="1:20" ht="17.25">
      <c r="A169" s="1655">
        <v>3</v>
      </c>
      <c r="B169" s="1655" t="s">
        <v>3093</v>
      </c>
      <c r="C169" s="375" t="s">
        <v>3077</v>
      </c>
      <c r="D169" s="337">
        <v>0</v>
      </c>
      <c r="E169" s="337">
        <v>0</v>
      </c>
      <c r="F169" s="337">
        <v>4.16</v>
      </c>
      <c r="G169" s="352">
        <f t="shared" si="24"/>
        <v>0</v>
      </c>
      <c r="H169" s="352">
        <f t="shared" si="24"/>
        <v>0</v>
      </c>
      <c r="I169" s="352">
        <f t="shared" si="24"/>
        <v>404800</v>
      </c>
    </row>
    <row r="170" spans="1:20" ht="17.25">
      <c r="A170" s="1656"/>
      <c r="B170" s="1656"/>
      <c r="C170" s="379" t="s">
        <v>3080</v>
      </c>
      <c r="D170" s="337">
        <v>0</v>
      </c>
      <c r="E170" s="337">
        <v>0</v>
      </c>
      <c r="F170" s="337">
        <v>4.3600000000000003</v>
      </c>
      <c r="G170" s="352">
        <f t="shared" si="24"/>
        <v>0</v>
      </c>
      <c r="H170" s="352">
        <f t="shared" si="24"/>
        <v>0</v>
      </c>
      <c r="I170" s="352">
        <f t="shared" si="24"/>
        <v>424262</v>
      </c>
    </row>
    <row r="171" spans="1:20" ht="17.25">
      <c r="A171" s="1655">
        <v>4</v>
      </c>
      <c r="B171" s="1657" t="s">
        <v>3094</v>
      </c>
      <c r="C171" s="375" t="s">
        <v>3077</v>
      </c>
      <c r="D171" s="337">
        <v>3.48</v>
      </c>
      <c r="E171" s="337">
        <v>4.09</v>
      </c>
      <c r="F171" s="337">
        <v>4.68</v>
      </c>
      <c r="G171" s="352">
        <f t="shared" si="24"/>
        <v>338631</v>
      </c>
      <c r="H171" s="352">
        <f t="shared" si="24"/>
        <v>397988</v>
      </c>
      <c r="I171" s="352">
        <f t="shared" si="24"/>
        <v>455400</v>
      </c>
    </row>
    <row r="172" spans="1:20" ht="17.25">
      <c r="A172" s="1656"/>
      <c r="B172" s="1658"/>
      <c r="C172" s="379" t="s">
        <v>3080</v>
      </c>
      <c r="D172" s="337">
        <v>3.71</v>
      </c>
      <c r="E172" s="337">
        <v>4.3</v>
      </c>
      <c r="F172" s="337">
        <v>4.92</v>
      </c>
      <c r="G172" s="352">
        <f t="shared" si="24"/>
        <v>361012</v>
      </c>
      <c r="H172" s="352">
        <f t="shared" si="24"/>
        <v>418423</v>
      </c>
      <c r="I172" s="352">
        <f t="shared" si="24"/>
        <v>478754</v>
      </c>
    </row>
    <row r="173" spans="1:20" ht="17.25">
      <c r="A173" s="1655">
        <v>5</v>
      </c>
      <c r="B173" s="1657" t="s">
        <v>3095</v>
      </c>
      <c r="C173" s="375" t="s">
        <v>3077</v>
      </c>
      <c r="D173" s="337">
        <v>3.17</v>
      </c>
      <c r="E173" s="337">
        <v>3.73</v>
      </c>
      <c r="F173" s="337">
        <v>4.37</v>
      </c>
      <c r="G173" s="352">
        <f t="shared" si="24"/>
        <v>308465</v>
      </c>
      <c r="H173" s="352">
        <f t="shared" si="24"/>
        <v>362958</v>
      </c>
      <c r="I173" s="352">
        <f t="shared" si="24"/>
        <v>425235</v>
      </c>
    </row>
    <row r="174" spans="1:20" ht="17.25">
      <c r="A174" s="1656"/>
      <c r="B174" s="1658"/>
      <c r="C174" s="379" t="s">
        <v>3080</v>
      </c>
      <c r="D174" s="337">
        <v>3.5</v>
      </c>
      <c r="E174" s="337">
        <v>3.91</v>
      </c>
      <c r="F174" s="337">
        <v>4.68</v>
      </c>
      <c r="G174" s="352">
        <f t="shared" si="24"/>
        <v>340577</v>
      </c>
      <c r="H174" s="352">
        <f t="shared" si="24"/>
        <v>380473</v>
      </c>
      <c r="I174" s="352">
        <f t="shared" si="24"/>
        <v>455400</v>
      </c>
    </row>
    <row r="176" spans="1:20" ht="15.75">
      <c r="A176" s="392" t="s">
        <v>3096</v>
      </c>
      <c r="B176" s="392"/>
      <c r="C176" s="392"/>
      <c r="D176" s="392"/>
      <c r="E176" s="392"/>
      <c r="F176" s="392"/>
      <c r="G176" s="392"/>
      <c r="H176" s="392"/>
    </row>
    <row r="177" spans="1:17" ht="15.75">
      <c r="A177" s="1645" t="s">
        <v>84</v>
      </c>
      <c r="B177" s="1646" t="s">
        <v>3071</v>
      </c>
      <c r="C177" s="1647" t="s">
        <v>3072</v>
      </c>
      <c r="D177" s="1660" t="s">
        <v>3073</v>
      </c>
      <c r="E177" s="1661"/>
      <c r="F177" s="383"/>
      <c r="G177" s="1646" t="s">
        <v>2808</v>
      </c>
      <c r="H177" s="1645"/>
    </row>
    <row r="178" spans="1:17" ht="15.75">
      <c r="A178" s="1645"/>
      <c r="B178" s="1645"/>
      <c r="C178" s="1648"/>
      <c r="D178" s="384" t="s">
        <v>2810</v>
      </c>
      <c r="E178" s="384" t="s">
        <v>2811</v>
      </c>
      <c r="F178" s="349"/>
      <c r="G178" s="349" t="s">
        <v>2810</v>
      </c>
      <c r="H178" s="349" t="s">
        <v>2811</v>
      </c>
      <c r="M178" s="388" t="s">
        <v>3096</v>
      </c>
    </row>
    <row r="179" spans="1:17" ht="17.25">
      <c r="A179" s="1655">
        <v>1</v>
      </c>
      <c r="B179" s="1657" t="s">
        <v>3097</v>
      </c>
      <c r="C179" s="375" t="s">
        <v>3077</v>
      </c>
      <c r="D179" s="337">
        <v>5.19</v>
      </c>
      <c r="E179" s="337">
        <v>5.41</v>
      </c>
      <c r="F179" s="352"/>
      <c r="G179" s="352">
        <f t="shared" ref="G179:H188" si="25">ROUND(D179*$D$7/26,0)</f>
        <v>505027</v>
      </c>
      <c r="H179" s="352">
        <f t="shared" si="25"/>
        <v>526435</v>
      </c>
    </row>
    <row r="180" spans="1:17" ht="17.25">
      <c r="A180" s="1656"/>
      <c r="B180" s="1658"/>
      <c r="C180" s="379" t="s">
        <v>3080</v>
      </c>
      <c r="D180" s="337">
        <v>5.41</v>
      </c>
      <c r="E180" s="337">
        <v>5.75</v>
      </c>
      <c r="F180" s="352"/>
      <c r="G180" s="352">
        <f t="shared" si="25"/>
        <v>526435</v>
      </c>
      <c r="H180" s="352">
        <f t="shared" si="25"/>
        <v>559519</v>
      </c>
      <c r="M180" s="391" t="s">
        <v>3098</v>
      </c>
    </row>
    <row r="181" spans="1:17" ht="24.6" customHeight="1">
      <c r="A181" s="1655">
        <v>2</v>
      </c>
      <c r="B181" s="1657" t="s">
        <v>3099</v>
      </c>
      <c r="C181" s="375" t="s">
        <v>3077</v>
      </c>
      <c r="D181" s="337">
        <v>4.92</v>
      </c>
      <c r="E181" s="337">
        <v>5.19</v>
      </c>
      <c r="F181" s="352"/>
      <c r="G181" s="352">
        <f t="shared" si="25"/>
        <v>478754</v>
      </c>
      <c r="H181" s="352">
        <f t="shared" si="25"/>
        <v>505027</v>
      </c>
      <c r="M181" s="391" t="s">
        <v>3100</v>
      </c>
    </row>
    <row r="182" spans="1:17" ht="24.6" customHeight="1">
      <c r="A182" s="1656"/>
      <c r="B182" s="1658"/>
      <c r="C182" s="379" t="s">
        <v>3080</v>
      </c>
      <c r="D182" s="337">
        <v>5.19</v>
      </c>
      <c r="E182" s="337">
        <v>5.41</v>
      </c>
      <c r="F182" s="352"/>
      <c r="G182" s="352">
        <f t="shared" si="25"/>
        <v>505027</v>
      </c>
      <c r="H182" s="352">
        <f t="shared" si="25"/>
        <v>526435</v>
      </c>
      <c r="M182" s="391"/>
    </row>
    <row r="183" spans="1:17" ht="51" customHeight="1">
      <c r="A183" s="1655">
        <v>3</v>
      </c>
      <c r="B183" s="1657" t="s">
        <v>3101</v>
      </c>
      <c r="C183" s="375" t="s">
        <v>3077</v>
      </c>
      <c r="D183" s="337">
        <v>4.37</v>
      </c>
      <c r="E183" s="337">
        <v>4.68</v>
      </c>
      <c r="F183" s="352"/>
      <c r="G183" s="352">
        <f t="shared" si="25"/>
        <v>425235</v>
      </c>
      <c r="H183" s="352">
        <f t="shared" si="25"/>
        <v>455400</v>
      </c>
    </row>
    <row r="184" spans="1:17" ht="51" customHeight="1">
      <c r="A184" s="1656"/>
      <c r="B184" s="1658"/>
      <c r="C184" s="379" t="s">
        <v>3080</v>
      </c>
      <c r="D184" s="337">
        <v>4.68</v>
      </c>
      <c r="E184" s="337">
        <v>4.92</v>
      </c>
      <c r="F184" s="337"/>
      <c r="G184" s="352">
        <f t="shared" si="25"/>
        <v>455400</v>
      </c>
      <c r="H184" s="352">
        <f t="shared" si="25"/>
        <v>478754</v>
      </c>
    </row>
    <row r="185" spans="1:17" ht="23.1" customHeight="1">
      <c r="A185" s="1655">
        <v>4</v>
      </c>
      <c r="B185" s="1657" t="s">
        <v>3102</v>
      </c>
      <c r="C185" s="375" t="s">
        <v>3077</v>
      </c>
      <c r="D185" s="337">
        <v>4.68</v>
      </c>
      <c r="E185" s="337">
        <v>4.92</v>
      </c>
      <c r="F185" s="352"/>
      <c r="G185" s="352">
        <f t="shared" si="25"/>
        <v>455400</v>
      </c>
      <c r="H185" s="352">
        <f t="shared" si="25"/>
        <v>478754</v>
      </c>
    </row>
    <row r="186" spans="1:17" ht="23.1" customHeight="1">
      <c r="A186" s="1656"/>
      <c r="B186" s="1658"/>
      <c r="C186" s="379" t="s">
        <v>3080</v>
      </c>
      <c r="D186" s="337">
        <v>4.92</v>
      </c>
      <c r="E186" s="337">
        <v>5.19</v>
      </c>
      <c r="F186" s="337"/>
      <c r="G186" s="352">
        <f t="shared" si="25"/>
        <v>478754</v>
      </c>
      <c r="H186" s="352">
        <f t="shared" si="25"/>
        <v>505027</v>
      </c>
    </row>
    <row r="187" spans="1:17" ht="21" customHeight="1">
      <c r="A187" s="1655">
        <v>5</v>
      </c>
      <c r="B187" s="1657" t="s">
        <v>3103</v>
      </c>
      <c r="C187" s="375" t="s">
        <v>3077</v>
      </c>
      <c r="D187" s="337">
        <v>4.16</v>
      </c>
      <c r="E187" s="337">
        <v>4.37</v>
      </c>
      <c r="F187" s="352"/>
      <c r="G187" s="352">
        <f t="shared" si="25"/>
        <v>404800</v>
      </c>
      <c r="H187" s="352">
        <f t="shared" si="25"/>
        <v>425235</v>
      </c>
    </row>
    <row r="188" spans="1:17" ht="21" customHeight="1">
      <c r="A188" s="1656"/>
      <c r="B188" s="1658"/>
      <c r="C188" s="379" t="s">
        <v>3080</v>
      </c>
      <c r="D188" s="337">
        <v>4.37</v>
      </c>
      <c r="E188" s="337">
        <v>4.68</v>
      </c>
      <c r="F188" s="337"/>
      <c r="G188" s="352">
        <f t="shared" si="25"/>
        <v>425235</v>
      </c>
      <c r="H188" s="352">
        <f t="shared" si="25"/>
        <v>455400</v>
      </c>
    </row>
    <row r="189" spans="1:17">
      <c r="M189" s="346"/>
      <c r="N189" s="346"/>
      <c r="O189" s="346"/>
      <c r="P189" s="346"/>
      <c r="Q189" s="346"/>
    </row>
    <row r="190" spans="1:17" ht="15.75">
      <c r="A190" s="1659" t="s">
        <v>3104</v>
      </c>
      <c r="B190" s="1659"/>
      <c r="C190" s="1659"/>
      <c r="D190" s="1659"/>
      <c r="E190" s="1659"/>
      <c r="F190" s="1659"/>
      <c r="G190" s="1659"/>
      <c r="H190" s="1659"/>
      <c r="M190" s="346"/>
      <c r="N190" s="393"/>
      <c r="O190" s="393"/>
      <c r="P190" s="393"/>
      <c r="Q190" s="393"/>
    </row>
    <row r="191" spans="1:17">
      <c r="A191" s="1645" t="s">
        <v>84</v>
      </c>
      <c r="B191" s="1646" t="s">
        <v>3071</v>
      </c>
      <c r="C191" s="1647" t="s">
        <v>3072</v>
      </c>
      <c r="D191" s="1649" t="s">
        <v>3073</v>
      </c>
      <c r="E191" s="1650"/>
      <c r="F191" s="1653" t="s">
        <v>2807</v>
      </c>
      <c r="G191" s="1640" t="s">
        <v>2808</v>
      </c>
      <c r="H191" s="1641"/>
      <c r="M191" s="346"/>
      <c r="N191" s="346"/>
      <c r="O191" s="346"/>
      <c r="P191" s="346"/>
      <c r="Q191" s="346"/>
    </row>
    <row r="192" spans="1:17">
      <c r="A192" s="1645"/>
      <c r="B192" s="1645"/>
      <c r="C192" s="1648"/>
      <c r="D192" s="1651"/>
      <c r="E192" s="1652"/>
      <c r="F192" s="1654"/>
      <c r="G192" s="1642"/>
      <c r="H192" s="1643"/>
      <c r="M192" s="346"/>
      <c r="N192" s="393"/>
      <c r="O192" s="393"/>
      <c r="P192" s="346"/>
      <c r="Q192" s="346"/>
    </row>
    <row r="193" spans="1:17" ht="17.25">
      <c r="A193" s="1644">
        <v>1</v>
      </c>
      <c r="B193" s="1644" t="s">
        <v>3105</v>
      </c>
      <c r="C193" s="375" t="s">
        <v>3042</v>
      </c>
      <c r="D193" s="337">
        <v>2.99</v>
      </c>
      <c r="E193" s="337"/>
      <c r="F193" s="352">
        <f>ROUND(D193*$D$7,0)</f>
        <v>7564700</v>
      </c>
      <c r="H193" s="352">
        <f t="shared" ref="H193:H199" si="26">ROUND(D193*$D$7/26,0)</f>
        <v>290950</v>
      </c>
      <c r="M193" s="346"/>
      <c r="N193" s="346"/>
      <c r="O193" s="346"/>
      <c r="P193" s="346"/>
      <c r="Q193" s="346"/>
    </row>
    <row r="194" spans="1:17" ht="17.25">
      <c r="A194" s="1644"/>
      <c r="B194" s="1644"/>
      <c r="C194" s="379" t="s">
        <v>3046</v>
      </c>
      <c r="D194" s="337">
        <v>3.28</v>
      </c>
      <c r="E194" s="337"/>
      <c r="F194" s="352">
        <f t="shared" ref="F194:F199" si="27">ROUND(D194*$D$7,0)</f>
        <v>8298400</v>
      </c>
      <c r="G194" s="337"/>
      <c r="H194" s="352">
        <f t="shared" si="26"/>
        <v>319169</v>
      </c>
    </row>
    <row r="195" spans="1:17" ht="17.25">
      <c r="A195" s="1644"/>
      <c r="B195" s="1644"/>
      <c r="C195" s="379" t="s">
        <v>3049</v>
      </c>
      <c r="D195" s="337">
        <v>3.72</v>
      </c>
      <c r="E195" s="337"/>
      <c r="F195" s="352">
        <f t="shared" si="27"/>
        <v>9411600</v>
      </c>
      <c r="G195" s="337"/>
      <c r="H195" s="352">
        <f t="shared" si="26"/>
        <v>361985</v>
      </c>
    </row>
    <row r="196" spans="1:17" ht="17.25">
      <c r="A196" s="1644"/>
      <c r="B196" s="1644"/>
      <c r="C196" s="379" t="s">
        <v>3051</v>
      </c>
      <c r="D196" s="337">
        <v>4.1500000000000004</v>
      </c>
      <c r="E196" s="337"/>
      <c r="F196" s="352">
        <f t="shared" si="27"/>
        <v>10499500</v>
      </c>
      <c r="G196" s="337"/>
      <c r="H196" s="352">
        <f t="shared" si="26"/>
        <v>403827</v>
      </c>
    </row>
    <row r="197" spans="1:17" ht="17.25">
      <c r="A197" s="1644">
        <v>2</v>
      </c>
      <c r="B197" s="1644" t="s">
        <v>3106</v>
      </c>
      <c r="C197" s="375" t="s">
        <v>3077</v>
      </c>
      <c r="D197" s="337">
        <v>4.67</v>
      </c>
      <c r="E197" s="337"/>
      <c r="F197" s="352">
        <f t="shared" si="27"/>
        <v>11815100</v>
      </c>
      <c r="G197" s="337"/>
      <c r="H197" s="352">
        <f t="shared" si="26"/>
        <v>454427</v>
      </c>
    </row>
    <row r="198" spans="1:17" ht="17.25">
      <c r="A198" s="1644"/>
      <c r="B198" s="1644"/>
      <c r="C198" s="379" t="s">
        <v>3080</v>
      </c>
      <c r="D198" s="337">
        <v>5.27</v>
      </c>
      <c r="E198" s="337"/>
      <c r="F198" s="352">
        <f t="shared" si="27"/>
        <v>13333100</v>
      </c>
      <c r="G198" s="337"/>
      <c r="H198" s="352">
        <f t="shared" si="26"/>
        <v>512812</v>
      </c>
    </row>
    <row r="199" spans="1:17" ht="17.25">
      <c r="A199" s="394">
        <v>2</v>
      </c>
      <c r="B199" s="394" t="s">
        <v>3107</v>
      </c>
      <c r="C199" s="375" t="s">
        <v>3108</v>
      </c>
      <c r="D199" s="337">
        <v>5.75</v>
      </c>
      <c r="E199" s="337"/>
      <c r="F199" s="352">
        <f t="shared" si="27"/>
        <v>14547500</v>
      </c>
      <c r="G199" s="337"/>
      <c r="H199" s="352">
        <f t="shared" si="26"/>
        <v>559519</v>
      </c>
    </row>
    <row r="6774" spans="17:17">
      <c r="Q6774" s="395"/>
    </row>
    <row r="6775" spans="17:17">
      <c r="Q6775" s="395"/>
    </row>
    <row r="7055" spans="1:2">
      <c r="A7055" s="396"/>
      <c r="B7055" s="396"/>
    </row>
    <row r="7058" spans="1:17">
      <c r="Q7058" s="395"/>
    </row>
    <row r="7059" spans="1:17">
      <c r="Q7059" s="395"/>
    </row>
    <row r="7060" spans="1:17">
      <c r="A7060" s="397"/>
    </row>
    <row r="7072" spans="1:17">
      <c r="A7072" s="397"/>
    </row>
    <row r="7084" spans="1:1">
      <c r="A7084" s="397"/>
    </row>
    <row r="7096" spans="1:1">
      <c r="A7096" s="397"/>
    </row>
    <row r="7108" spans="1:1">
      <c r="A7108" s="397"/>
    </row>
    <row r="7120" spans="1:1">
      <c r="A7120" s="397"/>
    </row>
    <row r="7132" spans="1:1">
      <c r="A7132" s="397"/>
    </row>
    <row r="7144" spans="1:1">
      <c r="A7144" s="398"/>
    </row>
    <row r="7157" spans="1:1">
      <c r="A7157" s="397"/>
    </row>
    <row r="7168" spans="1:1">
      <c r="A7168" s="397"/>
    </row>
    <row r="7179" spans="1:1">
      <c r="A7179" s="397"/>
    </row>
    <row r="7190" spans="1:1">
      <c r="A7190" s="397"/>
    </row>
    <row r="7201" spans="1:1">
      <c r="A7201" s="397"/>
    </row>
    <row r="7212" spans="1:1">
      <c r="A7212" s="397"/>
    </row>
    <row r="7223" spans="1:1">
      <c r="A7223" s="397"/>
    </row>
    <row r="7234" spans="1:11">
      <c r="A7234" s="399"/>
      <c r="B7234" s="400"/>
      <c r="C7234" s="400"/>
      <c r="D7234" s="400"/>
      <c r="E7234" s="400"/>
      <c r="F7234" s="400"/>
      <c r="G7234" s="400"/>
      <c r="H7234" s="400"/>
      <c r="I7234" s="400"/>
      <c r="J7234" s="400"/>
      <c r="K7234" s="400"/>
    </row>
    <row r="7235" spans="1:11">
      <c r="A7235" s="401"/>
      <c r="B7235" s="401"/>
      <c r="C7235" s="401"/>
      <c r="D7235" s="401"/>
      <c r="E7235" s="401"/>
      <c r="F7235" s="401"/>
      <c r="G7235" s="401"/>
      <c r="H7235" s="401"/>
      <c r="I7235" s="401"/>
      <c r="J7235" s="401"/>
      <c r="K7235" s="401"/>
    </row>
    <row r="7236" spans="1:11">
      <c r="A7236" s="401"/>
      <c r="B7236" s="401"/>
      <c r="C7236" s="401"/>
      <c r="D7236" s="401"/>
      <c r="E7236" s="401"/>
      <c r="F7236" s="401"/>
      <c r="G7236" s="401"/>
      <c r="H7236" s="401"/>
      <c r="I7236" s="401"/>
      <c r="J7236" s="401"/>
      <c r="K7236" s="401"/>
    </row>
    <row r="7237" spans="1:11">
      <c r="A7237" s="401"/>
      <c r="B7237" s="401"/>
      <c r="C7237" s="401"/>
      <c r="D7237" s="401"/>
      <c r="E7237" s="401"/>
      <c r="F7237" s="401"/>
      <c r="G7237" s="401"/>
      <c r="H7237" s="401"/>
      <c r="I7237" s="401"/>
      <c r="J7237" s="401"/>
      <c r="K7237" s="401"/>
    </row>
    <row r="7238" spans="1:11">
      <c r="A7238" s="401"/>
      <c r="B7238" s="401"/>
      <c r="C7238" s="401"/>
      <c r="D7238" s="401"/>
      <c r="E7238" s="401"/>
      <c r="F7238" s="401"/>
      <c r="G7238" s="401"/>
      <c r="H7238" s="401"/>
      <c r="I7238" s="401"/>
      <c r="J7238" s="401"/>
      <c r="K7238" s="401"/>
    </row>
    <row r="7239" spans="1:11">
      <c r="A7239" s="401"/>
      <c r="B7239" s="401"/>
      <c r="C7239" s="401"/>
      <c r="D7239" s="401"/>
      <c r="E7239" s="401"/>
      <c r="F7239" s="401"/>
      <c r="G7239" s="401"/>
      <c r="H7239" s="401"/>
      <c r="I7239" s="401"/>
      <c r="J7239" s="401"/>
      <c r="K7239" s="401"/>
    </row>
    <row r="7240" spans="1:11">
      <c r="A7240" s="401"/>
      <c r="B7240" s="401"/>
      <c r="C7240" s="401"/>
      <c r="D7240" s="401"/>
      <c r="E7240" s="401"/>
      <c r="F7240" s="401"/>
      <c r="G7240" s="401"/>
      <c r="H7240" s="401"/>
      <c r="I7240" s="401"/>
      <c r="J7240" s="401"/>
      <c r="K7240" s="401"/>
    </row>
    <row r="7241" spans="1:11">
      <c r="A7241" s="401"/>
      <c r="B7241" s="401"/>
      <c r="C7241" s="401"/>
      <c r="D7241" s="401"/>
      <c r="E7241" s="401"/>
      <c r="F7241" s="401"/>
      <c r="G7241" s="401"/>
      <c r="H7241" s="401"/>
      <c r="I7241" s="401"/>
      <c r="J7241" s="401"/>
      <c r="K7241" s="401"/>
    </row>
    <row r="7242" spans="1:11">
      <c r="A7242" s="401"/>
      <c r="B7242" s="401"/>
      <c r="C7242" s="401"/>
      <c r="D7242" s="401"/>
      <c r="E7242" s="401"/>
      <c r="F7242" s="401"/>
      <c r="G7242" s="401"/>
      <c r="H7242" s="401"/>
      <c r="I7242" s="401"/>
      <c r="J7242" s="401"/>
      <c r="K7242" s="401"/>
    </row>
    <row r="7243" spans="1:11">
      <c r="A7243" s="401"/>
      <c r="B7243" s="401"/>
      <c r="C7243" s="401"/>
      <c r="D7243" s="401"/>
      <c r="E7243" s="401"/>
      <c r="F7243" s="401"/>
      <c r="G7243" s="401"/>
      <c r="H7243" s="401"/>
      <c r="I7243" s="401"/>
      <c r="J7243" s="401"/>
      <c r="K7243" s="401"/>
    </row>
    <row r="7244" spans="1:11">
      <c r="A7244" s="402"/>
      <c r="B7244" s="402"/>
      <c r="C7244" s="402"/>
      <c r="D7244" s="402"/>
      <c r="E7244" s="402"/>
      <c r="F7244" s="402"/>
      <c r="G7244" s="402"/>
      <c r="I7244" s="402"/>
      <c r="J7244" s="402"/>
      <c r="K7244" s="402"/>
    </row>
    <row r="7246" spans="1:11">
      <c r="A7246" s="397"/>
    </row>
    <row r="7257" spans="1:1">
      <c r="A7257" s="397"/>
    </row>
    <row r="7268" spans="1:1">
      <c r="A7268" s="397"/>
    </row>
    <row r="7279" spans="1:1">
      <c r="A7279" s="397"/>
    </row>
    <row r="7290" spans="1:1">
      <c r="A7290" s="397"/>
    </row>
    <row r="7301" spans="1:1">
      <c r="A7301" s="397"/>
    </row>
    <row r="7313" spans="1:20">
      <c r="A7313" s="340"/>
      <c r="B7313" s="340"/>
      <c r="C7313" s="340"/>
      <c r="D7313" s="340"/>
      <c r="E7313" s="340"/>
      <c r="F7313" s="340"/>
      <c r="G7313" s="340"/>
      <c r="H7313" s="340"/>
      <c r="I7313" s="340"/>
      <c r="J7313" s="340"/>
      <c r="K7313" s="340"/>
      <c r="L7313" s="340"/>
      <c r="M7313" s="340"/>
      <c r="N7313" s="340"/>
      <c r="O7313" s="340"/>
      <c r="P7313" s="340"/>
      <c r="Q7313" s="340"/>
      <c r="R7313" s="340"/>
      <c r="S7313" s="340"/>
      <c r="T7313" s="340"/>
    </row>
    <row r="7314" spans="1:20">
      <c r="A7314" s="340"/>
      <c r="B7314" s="340"/>
      <c r="C7314" s="340"/>
      <c r="D7314" s="340"/>
      <c r="E7314" s="340"/>
      <c r="F7314" s="340"/>
      <c r="G7314" s="340"/>
      <c r="H7314" s="340"/>
      <c r="I7314" s="340"/>
      <c r="J7314" s="340"/>
      <c r="K7314" s="340"/>
      <c r="L7314" s="340"/>
      <c r="M7314" s="340"/>
      <c r="N7314" s="340"/>
      <c r="O7314" s="340"/>
      <c r="P7314" s="340"/>
      <c r="Q7314" s="340"/>
      <c r="R7314" s="340"/>
      <c r="S7314" s="340"/>
      <c r="T7314" s="340"/>
    </row>
    <row r="7315" spans="1:20">
      <c r="A7315" s="340"/>
      <c r="B7315" s="340"/>
      <c r="C7315" s="340"/>
      <c r="D7315" s="340"/>
      <c r="E7315" s="340"/>
      <c r="F7315" s="340"/>
      <c r="G7315" s="340"/>
      <c r="H7315" s="340"/>
      <c r="I7315" s="340"/>
      <c r="J7315" s="340"/>
      <c r="K7315" s="340"/>
      <c r="L7315" s="340"/>
      <c r="M7315" s="340"/>
      <c r="N7315" s="340"/>
      <c r="O7315" s="340"/>
      <c r="P7315" s="340"/>
      <c r="Q7315" s="340"/>
      <c r="R7315" s="340"/>
      <c r="S7315" s="340"/>
      <c r="T7315" s="340"/>
    </row>
    <row r="7316" spans="1:20">
      <c r="A7316" s="340"/>
      <c r="B7316" s="340"/>
      <c r="C7316" s="340"/>
      <c r="D7316" s="340"/>
      <c r="E7316" s="340"/>
      <c r="F7316" s="340"/>
      <c r="G7316" s="340"/>
      <c r="H7316" s="340"/>
      <c r="I7316" s="340"/>
      <c r="J7316" s="340"/>
      <c r="K7316" s="340"/>
      <c r="L7316" s="340"/>
      <c r="M7316" s="340"/>
      <c r="N7316" s="340"/>
      <c r="O7316" s="340"/>
      <c r="P7316" s="340"/>
      <c r="Q7316" s="340"/>
      <c r="R7316" s="340"/>
      <c r="S7316" s="340"/>
      <c r="T7316" s="340"/>
    </row>
    <row r="7317" spans="1:20">
      <c r="A7317" s="340"/>
      <c r="B7317" s="340"/>
      <c r="C7317" s="340"/>
      <c r="D7317" s="340"/>
      <c r="E7317" s="340"/>
      <c r="F7317" s="340"/>
      <c r="G7317" s="340"/>
      <c r="H7317" s="340"/>
      <c r="I7317" s="340"/>
      <c r="J7317" s="340"/>
      <c r="K7317" s="340"/>
      <c r="L7317" s="340"/>
      <c r="M7317" s="340"/>
      <c r="N7317" s="340"/>
      <c r="O7317" s="340"/>
      <c r="P7317" s="340"/>
      <c r="Q7317" s="340"/>
      <c r="R7317" s="340"/>
      <c r="S7317" s="340"/>
      <c r="T7317" s="340"/>
    </row>
    <row r="7318" spans="1:20">
      <c r="A7318" s="340"/>
      <c r="B7318" s="340"/>
      <c r="C7318" s="340"/>
      <c r="D7318" s="340"/>
      <c r="E7318" s="340"/>
      <c r="F7318" s="340"/>
      <c r="G7318" s="340"/>
      <c r="H7318" s="340"/>
      <c r="I7318" s="340"/>
      <c r="J7318" s="340"/>
      <c r="K7318" s="340"/>
      <c r="L7318" s="340"/>
      <c r="M7318" s="340"/>
      <c r="N7318" s="340"/>
      <c r="O7318" s="340"/>
      <c r="P7318" s="340"/>
      <c r="Q7318" s="340"/>
      <c r="R7318" s="340"/>
      <c r="S7318" s="340"/>
      <c r="T7318" s="340"/>
    </row>
    <row r="7319" spans="1:20">
      <c r="A7319" s="340"/>
      <c r="B7319" s="340"/>
      <c r="C7319" s="340"/>
      <c r="D7319" s="340"/>
      <c r="E7319" s="340"/>
      <c r="F7319" s="340"/>
      <c r="G7319" s="340"/>
      <c r="H7319" s="340"/>
      <c r="I7319" s="340"/>
      <c r="J7319" s="340"/>
      <c r="K7319" s="340"/>
      <c r="L7319" s="340"/>
      <c r="M7319" s="340"/>
      <c r="N7319" s="340"/>
      <c r="O7319" s="340"/>
      <c r="P7319" s="340"/>
      <c r="Q7319" s="340"/>
      <c r="R7319" s="340"/>
      <c r="S7319" s="340"/>
      <c r="T7319" s="340"/>
    </row>
    <row r="7320" spans="1:20">
      <c r="A7320" s="340"/>
      <c r="B7320" s="340"/>
      <c r="C7320" s="340"/>
      <c r="D7320" s="340"/>
      <c r="E7320" s="340"/>
      <c r="F7320" s="340"/>
      <c r="G7320" s="340"/>
      <c r="H7320" s="340"/>
      <c r="I7320" s="340"/>
      <c r="J7320" s="340"/>
      <c r="K7320" s="340"/>
      <c r="L7320" s="340"/>
      <c r="M7320" s="340"/>
      <c r="N7320" s="340"/>
      <c r="O7320" s="340"/>
      <c r="P7320" s="340"/>
      <c r="Q7320" s="340"/>
      <c r="R7320" s="340"/>
      <c r="S7320" s="340"/>
      <c r="T7320" s="340"/>
    </row>
    <row r="7321" spans="1:20">
      <c r="A7321" s="340"/>
      <c r="B7321" s="340"/>
      <c r="C7321" s="340"/>
      <c r="D7321" s="340"/>
      <c r="E7321" s="340"/>
      <c r="F7321" s="340"/>
      <c r="G7321" s="340"/>
      <c r="H7321" s="340"/>
      <c r="I7321" s="340"/>
      <c r="J7321" s="340"/>
      <c r="K7321" s="340"/>
      <c r="L7321" s="340"/>
      <c r="M7321" s="340"/>
      <c r="N7321" s="340"/>
      <c r="O7321" s="340"/>
      <c r="P7321" s="340"/>
      <c r="Q7321" s="340"/>
      <c r="R7321" s="340"/>
      <c r="S7321" s="340"/>
      <c r="T7321" s="340"/>
    </row>
    <row r="7322" spans="1:20">
      <c r="A7322" s="340"/>
      <c r="B7322" s="340"/>
      <c r="C7322" s="340"/>
      <c r="D7322" s="340"/>
      <c r="E7322" s="340"/>
      <c r="F7322" s="340"/>
      <c r="G7322" s="340"/>
      <c r="H7322" s="340"/>
      <c r="I7322" s="340"/>
      <c r="J7322" s="340"/>
      <c r="K7322" s="340"/>
      <c r="L7322" s="340"/>
      <c r="M7322" s="340"/>
      <c r="N7322" s="340"/>
      <c r="O7322" s="340"/>
      <c r="P7322" s="340"/>
      <c r="Q7322" s="340"/>
      <c r="R7322" s="340"/>
      <c r="S7322" s="340"/>
      <c r="T7322" s="340"/>
    </row>
    <row r="7323" spans="1:20">
      <c r="A7323" s="340"/>
      <c r="B7323" s="340"/>
      <c r="C7323" s="340"/>
      <c r="D7323" s="340"/>
      <c r="E7323" s="340"/>
      <c r="F7323" s="340"/>
      <c r="G7323" s="340"/>
      <c r="H7323" s="340"/>
      <c r="I7323" s="340"/>
      <c r="J7323" s="340"/>
      <c r="K7323" s="340"/>
      <c r="L7323" s="340"/>
      <c r="M7323" s="340"/>
      <c r="N7323" s="340"/>
      <c r="O7323" s="340"/>
      <c r="P7323" s="340"/>
      <c r="Q7323" s="340"/>
      <c r="R7323" s="340"/>
      <c r="S7323" s="340"/>
      <c r="T7323" s="340"/>
    </row>
    <row r="7324" spans="1:20">
      <c r="A7324" s="340"/>
      <c r="B7324" s="340"/>
      <c r="C7324" s="340"/>
      <c r="D7324" s="340"/>
      <c r="E7324" s="340"/>
      <c r="F7324" s="340"/>
      <c r="G7324" s="340"/>
      <c r="H7324" s="340"/>
      <c r="I7324" s="340"/>
      <c r="J7324" s="340"/>
      <c r="K7324" s="340"/>
      <c r="L7324" s="340"/>
      <c r="M7324" s="340"/>
      <c r="N7324" s="340"/>
      <c r="O7324" s="340"/>
      <c r="P7324" s="340"/>
      <c r="Q7324" s="340"/>
      <c r="R7324" s="340"/>
      <c r="S7324" s="340"/>
      <c r="T7324" s="340"/>
    </row>
    <row r="7325" spans="1:20">
      <c r="A7325" s="340"/>
      <c r="B7325" s="340"/>
      <c r="C7325" s="340"/>
      <c r="D7325" s="340"/>
      <c r="E7325" s="340"/>
      <c r="F7325" s="340"/>
      <c r="G7325" s="340"/>
      <c r="H7325" s="340"/>
      <c r="I7325" s="340"/>
      <c r="J7325" s="340"/>
      <c r="K7325" s="340"/>
      <c r="L7325" s="340"/>
      <c r="M7325" s="340"/>
      <c r="N7325" s="340"/>
      <c r="O7325" s="340"/>
      <c r="P7325" s="340"/>
      <c r="Q7325" s="340"/>
      <c r="R7325" s="340"/>
      <c r="S7325" s="340"/>
      <c r="T7325" s="340"/>
    </row>
    <row r="7326" spans="1:20">
      <c r="A7326" s="340"/>
      <c r="B7326" s="340"/>
      <c r="C7326" s="340"/>
      <c r="D7326" s="340"/>
      <c r="E7326" s="340"/>
      <c r="F7326" s="340"/>
      <c r="G7326" s="340"/>
      <c r="H7326" s="340"/>
      <c r="I7326" s="340"/>
      <c r="J7326" s="340"/>
      <c r="K7326" s="340"/>
      <c r="L7326" s="340"/>
      <c r="M7326" s="340"/>
      <c r="N7326" s="340"/>
      <c r="O7326" s="340"/>
      <c r="P7326" s="340"/>
      <c r="Q7326" s="340"/>
      <c r="R7326" s="340"/>
      <c r="S7326" s="340"/>
      <c r="T7326" s="340"/>
    </row>
    <row r="7327" spans="1:20">
      <c r="A7327" s="340"/>
      <c r="B7327" s="340"/>
      <c r="C7327" s="340"/>
      <c r="D7327" s="340"/>
      <c r="E7327" s="340"/>
      <c r="F7327" s="340"/>
      <c r="G7327" s="340"/>
      <c r="H7327" s="340"/>
      <c r="I7327" s="340"/>
      <c r="J7327" s="340"/>
      <c r="K7327" s="340"/>
      <c r="L7327" s="340"/>
      <c r="M7327" s="340"/>
      <c r="N7327" s="340"/>
      <c r="O7327" s="340"/>
      <c r="P7327" s="340"/>
      <c r="Q7327" s="340"/>
      <c r="R7327" s="340"/>
      <c r="S7327" s="340"/>
      <c r="T7327" s="340"/>
    </row>
    <row r="7328" spans="1:20">
      <c r="A7328" s="340"/>
      <c r="B7328" s="340"/>
      <c r="C7328" s="340"/>
      <c r="D7328" s="340"/>
      <c r="E7328" s="340"/>
      <c r="F7328" s="340"/>
      <c r="G7328" s="340"/>
      <c r="H7328" s="340"/>
      <c r="I7328" s="340"/>
      <c r="J7328" s="340"/>
      <c r="K7328" s="340"/>
      <c r="L7328" s="340"/>
      <c r="M7328" s="340"/>
      <c r="N7328" s="340"/>
      <c r="O7328" s="340"/>
      <c r="P7328" s="340"/>
      <c r="Q7328" s="340"/>
      <c r="R7328" s="340"/>
      <c r="S7328" s="340"/>
      <c r="T7328" s="340"/>
    </row>
    <row r="7329" spans="1:20">
      <c r="A7329" s="340"/>
      <c r="B7329" s="340"/>
      <c r="C7329" s="340"/>
      <c r="D7329" s="340"/>
      <c r="E7329" s="340"/>
      <c r="F7329" s="340"/>
      <c r="G7329" s="340"/>
      <c r="H7329" s="340"/>
      <c r="I7329" s="340"/>
      <c r="J7329" s="340"/>
      <c r="K7329" s="340"/>
      <c r="L7329" s="340"/>
      <c r="M7329" s="340"/>
      <c r="N7329" s="340"/>
      <c r="O7329" s="340"/>
      <c r="P7329" s="340"/>
      <c r="Q7329" s="340"/>
      <c r="R7329" s="340"/>
      <c r="S7329" s="340"/>
      <c r="T7329" s="340"/>
    </row>
    <row r="7330" spans="1:20">
      <c r="A7330" s="340"/>
      <c r="B7330" s="340"/>
      <c r="C7330" s="340"/>
      <c r="D7330" s="340"/>
      <c r="E7330" s="340"/>
      <c r="F7330" s="340"/>
      <c r="G7330" s="340"/>
      <c r="H7330" s="340"/>
      <c r="I7330" s="340"/>
      <c r="J7330" s="340"/>
      <c r="K7330" s="340"/>
      <c r="L7330" s="340"/>
      <c r="M7330" s="340"/>
      <c r="N7330" s="340"/>
      <c r="O7330" s="340"/>
      <c r="P7330" s="340"/>
      <c r="Q7330" s="340"/>
      <c r="R7330" s="340"/>
      <c r="S7330" s="340"/>
      <c r="T7330" s="340"/>
    </row>
    <row r="7331" spans="1:20">
      <c r="A7331" s="340"/>
      <c r="B7331" s="340"/>
      <c r="C7331" s="340"/>
      <c r="D7331" s="340"/>
      <c r="E7331" s="340"/>
      <c r="F7331" s="340"/>
      <c r="G7331" s="340"/>
      <c r="H7331" s="340"/>
      <c r="I7331" s="340"/>
      <c r="J7331" s="340"/>
      <c r="K7331" s="340"/>
      <c r="L7331" s="340"/>
      <c r="M7331" s="340"/>
      <c r="N7331" s="340"/>
      <c r="O7331" s="340"/>
      <c r="P7331" s="340"/>
      <c r="Q7331" s="340"/>
      <c r="R7331" s="340"/>
      <c r="S7331" s="340"/>
      <c r="T7331" s="340"/>
    </row>
    <row r="7332" spans="1:20">
      <c r="A7332" s="340"/>
      <c r="B7332" s="340"/>
      <c r="C7332" s="340"/>
      <c r="D7332" s="340"/>
      <c r="E7332" s="340"/>
      <c r="F7332" s="340"/>
      <c r="G7332" s="340"/>
      <c r="H7332" s="340"/>
      <c r="I7332" s="340"/>
      <c r="J7332" s="340"/>
      <c r="K7332" s="340"/>
      <c r="L7332" s="340"/>
      <c r="M7332" s="340"/>
      <c r="N7332" s="340"/>
      <c r="O7332" s="340"/>
      <c r="P7332" s="340"/>
      <c r="Q7332" s="340"/>
      <c r="R7332" s="340"/>
      <c r="S7332" s="340"/>
      <c r="T7332" s="340"/>
    </row>
    <row r="7333" spans="1:20">
      <c r="A7333" s="340"/>
      <c r="B7333" s="340"/>
      <c r="C7333" s="340"/>
      <c r="D7333" s="340"/>
      <c r="E7333" s="340"/>
      <c r="F7333" s="340"/>
      <c r="G7333" s="340"/>
      <c r="H7333" s="340"/>
      <c r="I7333" s="340"/>
      <c r="J7333" s="340"/>
      <c r="K7333" s="340"/>
      <c r="L7333" s="340"/>
      <c r="M7333" s="340"/>
      <c r="N7333" s="340"/>
      <c r="O7333" s="340"/>
      <c r="P7333" s="340"/>
      <c r="Q7333" s="340"/>
      <c r="R7333" s="340"/>
      <c r="S7333" s="340"/>
      <c r="T7333" s="340"/>
    </row>
    <row r="7334" spans="1:20">
      <c r="A7334" s="340"/>
      <c r="B7334" s="340"/>
      <c r="C7334" s="340"/>
      <c r="D7334" s="340"/>
      <c r="E7334" s="340"/>
      <c r="F7334" s="340"/>
      <c r="G7334" s="340"/>
      <c r="H7334" s="340"/>
      <c r="I7334" s="340"/>
      <c r="J7334" s="340"/>
      <c r="K7334" s="340"/>
      <c r="L7334" s="340"/>
      <c r="M7334" s="340"/>
      <c r="N7334" s="340"/>
      <c r="O7334" s="340"/>
      <c r="P7334" s="340"/>
      <c r="Q7334" s="340"/>
      <c r="R7334" s="340"/>
      <c r="S7334" s="340"/>
      <c r="T7334" s="340"/>
    </row>
    <row r="7335" spans="1:20">
      <c r="A7335" s="340"/>
      <c r="B7335" s="340"/>
      <c r="C7335" s="340"/>
      <c r="D7335" s="340"/>
      <c r="E7335" s="340"/>
      <c r="F7335" s="340"/>
      <c r="G7335" s="340"/>
      <c r="H7335" s="340"/>
      <c r="I7335" s="340"/>
      <c r="J7335" s="340"/>
      <c r="K7335" s="340"/>
      <c r="L7335" s="340"/>
      <c r="M7335" s="340"/>
      <c r="N7335" s="340"/>
      <c r="O7335" s="340"/>
      <c r="P7335" s="340"/>
      <c r="Q7335" s="340"/>
      <c r="R7335" s="340"/>
      <c r="S7335" s="340"/>
      <c r="T7335" s="340"/>
    </row>
    <row r="7336" spans="1:20">
      <c r="A7336" s="340"/>
      <c r="B7336" s="340"/>
      <c r="C7336" s="340"/>
      <c r="D7336" s="340"/>
      <c r="E7336" s="340"/>
      <c r="F7336" s="340"/>
      <c r="G7336" s="340"/>
      <c r="H7336" s="340"/>
      <c r="I7336" s="340"/>
      <c r="J7336" s="340"/>
      <c r="K7336" s="340"/>
      <c r="L7336" s="340"/>
      <c r="M7336" s="340"/>
      <c r="N7336" s="340"/>
      <c r="O7336" s="340"/>
      <c r="P7336" s="340"/>
      <c r="Q7336" s="340"/>
      <c r="R7336" s="340"/>
      <c r="S7336" s="340"/>
      <c r="T7336" s="340"/>
    </row>
    <row r="7337" spans="1:20">
      <c r="A7337" s="340"/>
      <c r="B7337" s="340"/>
      <c r="C7337" s="340"/>
      <c r="D7337" s="340"/>
      <c r="E7337" s="340"/>
      <c r="F7337" s="340"/>
      <c r="G7337" s="340"/>
      <c r="H7337" s="340"/>
      <c r="I7337" s="340"/>
      <c r="J7337" s="340"/>
      <c r="K7337" s="340"/>
      <c r="L7337" s="340"/>
      <c r="M7337" s="340"/>
      <c r="N7337" s="340"/>
      <c r="O7337" s="340"/>
      <c r="P7337" s="340"/>
      <c r="Q7337" s="340"/>
      <c r="R7337" s="340"/>
      <c r="S7337" s="340"/>
      <c r="T7337" s="340"/>
    </row>
    <row r="7338" spans="1:20">
      <c r="A7338" s="340"/>
      <c r="B7338" s="340"/>
      <c r="C7338" s="340"/>
      <c r="D7338" s="340"/>
      <c r="E7338" s="340"/>
      <c r="F7338" s="340"/>
      <c r="G7338" s="340"/>
      <c r="H7338" s="340"/>
      <c r="I7338" s="340"/>
      <c r="J7338" s="340"/>
      <c r="K7338" s="340"/>
      <c r="L7338" s="340"/>
      <c r="M7338" s="340"/>
      <c r="N7338" s="340"/>
      <c r="O7338" s="340"/>
      <c r="P7338" s="340"/>
      <c r="Q7338" s="340"/>
      <c r="R7338" s="340"/>
      <c r="S7338" s="340"/>
      <c r="T7338" s="340"/>
    </row>
    <row r="7339" spans="1:20">
      <c r="A7339" s="340"/>
      <c r="B7339" s="340"/>
      <c r="C7339" s="340"/>
      <c r="D7339" s="340"/>
      <c r="E7339" s="340"/>
      <c r="F7339" s="340"/>
      <c r="G7339" s="340"/>
      <c r="H7339" s="340"/>
      <c r="I7339" s="340"/>
      <c r="J7339" s="340"/>
      <c r="K7339" s="340"/>
      <c r="L7339" s="340"/>
      <c r="M7339" s="340"/>
      <c r="N7339" s="340"/>
      <c r="O7339" s="340"/>
      <c r="P7339" s="340"/>
      <c r="Q7339" s="340"/>
      <c r="R7339" s="340"/>
      <c r="S7339" s="340"/>
      <c r="T7339" s="340"/>
    </row>
    <row r="7340" spans="1:20">
      <c r="A7340" s="340"/>
      <c r="B7340" s="340"/>
      <c r="C7340" s="340"/>
      <c r="D7340" s="340"/>
      <c r="E7340" s="340"/>
      <c r="F7340" s="340"/>
      <c r="G7340" s="340"/>
      <c r="H7340" s="340"/>
      <c r="I7340" s="340"/>
      <c r="J7340" s="340"/>
      <c r="K7340" s="340"/>
      <c r="L7340" s="340"/>
      <c r="M7340" s="340"/>
      <c r="N7340" s="340"/>
      <c r="O7340" s="340"/>
      <c r="P7340" s="340"/>
      <c r="Q7340" s="340"/>
      <c r="R7340" s="340"/>
      <c r="S7340" s="340"/>
      <c r="T7340" s="340"/>
    </row>
    <row r="7341" spans="1:20">
      <c r="A7341" s="340"/>
      <c r="B7341" s="340"/>
      <c r="C7341" s="340"/>
      <c r="D7341" s="340"/>
      <c r="E7341" s="340"/>
      <c r="F7341" s="340"/>
      <c r="G7341" s="340"/>
      <c r="H7341" s="340"/>
      <c r="I7341" s="340"/>
      <c r="J7341" s="340"/>
      <c r="K7341" s="340"/>
      <c r="L7341" s="340"/>
      <c r="M7341" s="340"/>
      <c r="N7341" s="340"/>
      <c r="O7341" s="340"/>
      <c r="P7341" s="340"/>
      <c r="Q7341" s="340"/>
      <c r="R7341" s="340"/>
      <c r="S7341" s="340"/>
      <c r="T7341" s="340"/>
    </row>
    <row r="7342" spans="1:20">
      <c r="A7342" s="340"/>
      <c r="B7342" s="340"/>
      <c r="C7342" s="340"/>
      <c r="D7342" s="340"/>
      <c r="E7342" s="340"/>
      <c r="F7342" s="340"/>
      <c r="G7342" s="340"/>
      <c r="H7342" s="340"/>
      <c r="I7342" s="340"/>
      <c r="J7342" s="340"/>
      <c r="K7342" s="340"/>
      <c r="L7342" s="340"/>
      <c r="M7342" s="340"/>
      <c r="N7342" s="340"/>
      <c r="O7342" s="340"/>
      <c r="P7342" s="340"/>
      <c r="Q7342" s="340"/>
      <c r="R7342" s="340"/>
      <c r="S7342" s="340"/>
      <c r="T7342" s="340"/>
    </row>
    <row r="7343" spans="1:20">
      <c r="A7343" s="340"/>
      <c r="B7343" s="340"/>
      <c r="C7343" s="340"/>
      <c r="D7343" s="340"/>
      <c r="E7343" s="340"/>
      <c r="F7343" s="340"/>
      <c r="G7343" s="340"/>
      <c r="H7343" s="340"/>
      <c r="I7343" s="340"/>
      <c r="J7343" s="340"/>
      <c r="K7343" s="340"/>
      <c r="L7343" s="340"/>
      <c r="M7343" s="340"/>
      <c r="N7343" s="340"/>
      <c r="O7343" s="340"/>
      <c r="P7343" s="340"/>
      <c r="Q7343" s="340"/>
      <c r="R7343" s="340"/>
      <c r="S7343" s="340"/>
      <c r="T7343" s="340"/>
    </row>
    <row r="7344" spans="1:20">
      <c r="A7344" s="340"/>
      <c r="B7344" s="340"/>
      <c r="C7344" s="340"/>
      <c r="D7344" s="340"/>
      <c r="E7344" s="340"/>
      <c r="F7344" s="340"/>
      <c r="G7344" s="340"/>
      <c r="H7344" s="340"/>
      <c r="I7344" s="340"/>
      <c r="J7344" s="340"/>
      <c r="K7344" s="340"/>
      <c r="L7344" s="340"/>
      <c r="M7344" s="340"/>
      <c r="N7344" s="340"/>
      <c r="O7344" s="340"/>
      <c r="P7344" s="340"/>
      <c r="Q7344" s="340"/>
      <c r="R7344" s="340"/>
      <c r="S7344" s="340"/>
      <c r="T7344" s="340"/>
    </row>
    <row r="7345" spans="1:20">
      <c r="A7345" s="340"/>
      <c r="B7345" s="340"/>
      <c r="C7345" s="340"/>
      <c r="D7345" s="340"/>
      <c r="E7345" s="340"/>
      <c r="F7345" s="340"/>
      <c r="G7345" s="340"/>
      <c r="H7345" s="340"/>
      <c r="I7345" s="340"/>
      <c r="J7345" s="340"/>
      <c r="K7345" s="340"/>
      <c r="L7345" s="340"/>
      <c r="M7345" s="340"/>
      <c r="N7345" s="340"/>
      <c r="O7345" s="340"/>
      <c r="P7345" s="340"/>
      <c r="Q7345" s="340"/>
      <c r="R7345" s="340"/>
      <c r="S7345" s="340"/>
      <c r="T7345" s="340"/>
    </row>
    <row r="7346" spans="1:20">
      <c r="A7346" s="340"/>
      <c r="B7346" s="340"/>
      <c r="C7346" s="340"/>
      <c r="D7346" s="340"/>
      <c r="E7346" s="340"/>
      <c r="F7346" s="340"/>
      <c r="G7346" s="340"/>
      <c r="H7346" s="340"/>
      <c r="I7346" s="340"/>
      <c r="J7346" s="340"/>
      <c r="K7346" s="340"/>
      <c r="L7346" s="340"/>
      <c r="M7346" s="340"/>
      <c r="N7346" s="340"/>
      <c r="O7346" s="340"/>
      <c r="P7346" s="340"/>
      <c r="Q7346" s="340"/>
      <c r="R7346" s="340"/>
      <c r="S7346" s="340"/>
      <c r="T7346" s="340"/>
    </row>
    <row r="7347" spans="1:20">
      <c r="A7347" s="340"/>
      <c r="B7347" s="340"/>
      <c r="C7347" s="340"/>
      <c r="D7347" s="340"/>
      <c r="E7347" s="340"/>
      <c r="F7347" s="340"/>
      <c r="G7347" s="340"/>
      <c r="H7347" s="340"/>
      <c r="I7347" s="340"/>
      <c r="J7347" s="340"/>
      <c r="K7347" s="340"/>
      <c r="L7347" s="340"/>
      <c r="M7347" s="340"/>
      <c r="N7347" s="340"/>
      <c r="O7347" s="340"/>
      <c r="P7347" s="340"/>
      <c r="Q7347" s="340"/>
      <c r="R7347" s="340"/>
      <c r="S7347" s="340"/>
      <c r="T7347" s="340"/>
    </row>
    <row r="7348" spans="1:20">
      <c r="A7348" s="340"/>
      <c r="B7348" s="340"/>
      <c r="C7348" s="340"/>
      <c r="D7348" s="340"/>
      <c r="E7348" s="340"/>
      <c r="F7348" s="340"/>
      <c r="G7348" s="340"/>
      <c r="H7348" s="340"/>
      <c r="I7348" s="340"/>
      <c r="J7348" s="340"/>
      <c r="K7348" s="340"/>
      <c r="L7348" s="340"/>
      <c r="M7348" s="340"/>
      <c r="N7348" s="340"/>
      <c r="O7348" s="340"/>
      <c r="P7348" s="340"/>
      <c r="Q7348" s="340"/>
      <c r="R7348" s="340"/>
      <c r="S7348" s="340"/>
      <c r="T7348" s="340"/>
    </row>
    <row r="7349" spans="1:20">
      <c r="A7349" s="340"/>
      <c r="B7349" s="340"/>
      <c r="C7349" s="340"/>
      <c r="D7349" s="340"/>
      <c r="E7349" s="340"/>
      <c r="F7349" s="340"/>
      <c r="G7349" s="340"/>
      <c r="H7349" s="340"/>
      <c r="I7349" s="340"/>
      <c r="J7349" s="340"/>
      <c r="K7349" s="340"/>
      <c r="L7349" s="340"/>
      <c r="M7349" s="340"/>
      <c r="N7349" s="340"/>
      <c r="O7349" s="340"/>
      <c r="P7349" s="340"/>
      <c r="Q7349" s="340"/>
      <c r="R7349" s="340"/>
      <c r="S7349" s="340"/>
      <c r="T7349" s="340"/>
    </row>
    <row r="7350" spans="1:20">
      <c r="A7350" s="340"/>
      <c r="B7350" s="340"/>
      <c r="C7350" s="340"/>
      <c r="D7350" s="340"/>
      <c r="E7350" s="340"/>
      <c r="F7350" s="340"/>
      <c r="G7350" s="340"/>
      <c r="H7350" s="340"/>
      <c r="I7350" s="340"/>
      <c r="J7350" s="340"/>
      <c r="K7350" s="340"/>
      <c r="L7350" s="340"/>
      <c r="M7350" s="340"/>
      <c r="N7350" s="340"/>
      <c r="O7350" s="340"/>
      <c r="P7350" s="340"/>
      <c r="Q7350" s="340"/>
      <c r="R7350" s="340"/>
      <c r="S7350" s="340"/>
      <c r="T7350" s="340"/>
    </row>
    <row r="7351" spans="1:20">
      <c r="A7351" s="340"/>
      <c r="B7351" s="340"/>
      <c r="C7351" s="340"/>
      <c r="D7351" s="340"/>
      <c r="E7351" s="340"/>
      <c r="F7351" s="340"/>
      <c r="G7351" s="340"/>
      <c r="H7351" s="340"/>
      <c r="I7351" s="340"/>
      <c r="J7351" s="340"/>
      <c r="K7351" s="340"/>
      <c r="L7351" s="340"/>
      <c r="M7351" s="340"/>
      <c r="N7351" s="340"/>
      <c r="O7351" s="340"/>
      <c r="P7351" s="340"/>
      <c r="Q7351" s="340"/>
      <c r="R7351" s="340"/>
      <c r="S7351" s="340"/>
      <c r="T7351" s="340"/>
    </row>
    <row r="7352" spans="1:20">
      <c r="A7352" s="340"/>
      <c r="B7352" s="340"/>
      <c r="C7352" s="340"/>
      <c r="D7352" s="340"/>
      <c r="E7352" s="340"/>
      <c r="F7352" s="340"/>
      <c r="G7352" s="340"/>
      <c r="H7352" s="340"/>
      <c r="I7352" s="340"/>
      <c r="J7352" s="340"/>
      <c r="K7352" s="340"/>
      <c r="L7352" s="340"/>
      <c r="M7352" s="340"/>
      <c r="N7352" s="340"/>
      <c r="O7352" s="340"/>
      <c r="P7352" s="340"/>
      <c r="Q7352" s="340"/>
      <c r="R7352" s="340"/>
      <c r="S7352" s="340"/>
      <c r="T7352" s="340"/>
    </row>
    <row r="7353" spans="1:20">
      <c r="A7353" s="340"/>
      <c r="B7353" s="340"/>
      <c r="C7353" s="340"/>
      <c r="D7353" s="340"/>
      <c r="E7353" s="340"/>
      <c r="F7353" s="340"/>
      <c r="G7353" s="340"/>
      <c r="H7353" s="340"/>
      <c r="I7353" s="340"/>
      <c r="J7353" s="340"/>
      <c r="K7353" s="340"/>
      <c r="L7353" s="340"/>
      <c r="M7353" s="340"/>
      <c r="N7353" s="340"/>
      <c r="O7353" s="340"/>
      <c r="P7353" s="340"/>
      <c r="Q7353" s="340"/>
      <c r="R7353" s="340"/>
      <c r="S7353" s="340"/>
      <c r="T7353" s="340"/>
    </row>
    <row r="7354" spans="1:20">
      <c r="A7354" s="340"/>
      <c r="B7354" s="340"/>
      <c r="C7354" s="340"/>
      <c r="D7354" s="340"/>
      <c r="E7354" s="340"/>
      <c r="F7354" s="340"/>
      <c r="G7354" s="340"/>
      <c r="H7354" s="340"/>
      <c r="I7354" s="340"/>
      <c r="J7354" s="340"/>
      <c r="K7354" s="340"/>
      <c r="L7354" s="340"/>
      <c r="M7354" s="340"/>
      <c r="N7354" s="340"/>
      <c r="O7354" s="340"/>
      <c r="P7354" s="340"/>
      <c r="Q7354" s="340"/>
      <c r="R7354" s="340"/>
      <c r="S7354" s="340"/>
      <c r="T7354" s="340"/>
    </row>
    <row r="7355" spans="1:20">
      <c r="A7355" s="340"/>
      <c r="B7355" s="340"/>
      <c r="C7355" s="340"/>
      <c r="D7355" s="340"/>
      <c r="E7355" s="340"/>
      <c r="F7355" s="340"/>
      <c r="G7355" s="340"/>
      <c r="H7355" s="340"/>
      <c r="I7355" s="340"/>
      <c r="J7355" s="340"/>
      <c r="K7355" s="340"/>
      <c r="L7355" s="340"/>
      <c r="M7355" s="340"/>
      <c r="N7355" s="340"/>
      <c r="O7355" s="340"/>
      <c r="P7355" s="340"/>
      <c r="Q7355" s="340"/>
      <c r="R7355" s="340"/>
      <c r="S7355" s="340"/>
      <c r="T7355" s="340"/>
    </row>
    <row r="7356" spans="1:20">
      <c r="A7356" s="340"/>
      <c r="B7356" s="340"/>
      <c r="C7356" s="340"/>
      <c r="D7356" s="340"/>
      <c r="E7356" s="340"/>
      <c r="F7356" s="340"/>
      <c r="G7356" s="340"/>
      <c r="H7356" s="340"/>
      <c r="I7356" s="340"/>
      <c r="J7356" s="340"/>
      <c r="K7356" s="340"/>
      <c r="L7356" s="340"/>
      <c r="M7356" s="340"/>
      <c r="N7356" s="340"/>
      <c r="O7356" s="340"/>
      <c r="P7356" s="340"/>
      <c r="Q7356" s="340"/>
      <c r="R7356" s="340"/>
      <c r="S7356" s="340"/>
      <c r="T7356" s="340"/>
    </row>
    <row r="7357" spans="1:20">
      <c r="A7357" s="340"/>
      <c r="B7357" s="340"/>
      <c r="C7357" s="340"/>
      <c r="D7357" s="340"/>
      <c r="E7357" s="340"/>
      <c r="F7357" s="340"/>
      <c r="G7357" s="340"/>
      <c r="H7357" s="340"/>
      <c r="I7357" s="340"/>
      <c r="J7357" s="340"/>
      <c r="K7357" s="340"/>
      <c r="L7357" s="340"/>
      <c r="M7357" s="340"/>
      <c r="N7357" s="340"/>
      <c r="O7357" s="340"/>
      <c r="P7357" s="340"/>
      <c r="Q7357" s="340"/>
      <c r="R7357" s="340"/>
      <c r="S7357" s="340"/>
      <c r="T7357" s="340"/>
    </row>
    <row r="7358" spans="1:20">
      <c r="A7358" s="340"/>
      <c r="B7358" s="340"/>
      <c r="C7358" s="340"/>
      <c r="D7358" s="340"/>
      <c r="E7358" s="340"/>
      <c r="F7358" s="340"/>
      <c r="G7358" s="340"/>
      <c r="H7358" s="340"/>
      <c r="I7358" s="340"/>
      <c r="J7358" s="340"/>
      <c r="K7358" s="340"/>
      <c r="L7358" s="340"/>
      <c r="M7358" s="340"/>
      <c r="N7358" s="340"/>
      <c r="O7358" s="340"/>
      <c r="P7358" s="340"/>
      <c r="Q7358" s="340"/>
      <c r="R7358" s="340"/>
      <c r="S7358" s="340"/>
      <c r="T7358" s="340"/>
    </row>
    <row r="7359" spans="1:20">
      <c r="A7359" s="340"/>
      <c r="B7359" s="340"/>
      <c r="C7359" s="340"/>
      <c r="D7359" s="340"/>
      <c r="E7359" s="340"/>
      <c r="F7359" s="340"/>
      <c r="G7359" s="340"/>
      <c r="H7359" s="340"/>
      <c r="I7359" s="340"/>
      <c r="J7359" s="340"/>
      <c r="K7359" s="340"/>
      <c r="L7359" s="340"/>
      <c r="M7359" s="340"/>
      <c r="N7359" s="340"/>
      <c r="O7359" s="340"/>
      <c r="P7359" s="340"/>
      <c r="Q7359" s="340"/>
      <c r="R7359" s="340"/>
      <c r="S7359" s="340"/>
      <c r="T7359" s="340"/>
    </row>
    <row r="7360" spans="1:20">
      <c r="A7360" s="340"/>
      <c r="B7360" s="340"/>
      <c r="C7360" s="340"/>
      <c r="D7360" s="340"/>
      <c r="E7360" s="340"/>
      <c r="F7360" s="340"/>
      <c r="G7360" s="340"/>
      <c r="H7360" s="340"/>
      <c r="I7360" s="340"/>
      <c r="J7360" s="340"/>
      <c r="K7360" s="340"/>
      <c r="L7360" s="340"/>
      <c r="M7360" s="340"/>
      <c r="N7360" s="340"/>
      <c r="O7360" s="340"/>
      <c r="P7360" s="340"/>
      <c r="Q7360" s="340"/>
      <c r="R7360" s="340"/>
      <c r="S7360" s="340"/>
      <c r="T7360" s="340"/>
    </row>
    <row r="7361" spans="1:20">
      <c r="A7361" s="340"/>
      <c r="B7361" s="340"/>
      <c r="C7361" s="340"/>
      <c r="D7361" s="340"/>
      <c r="E7361" s="340"/>
      <c r="F7361" s="340"/>
      <c r="G7361" s="340"/>
      <c r="H7361" s="340"/>
      <c r="I7361" s="340"/>
      <c r="J7361" s="340"/>
      <c r="K7361" s="340"/>
      <c r="L7361" s="340"/>
      <c r="M7361" s="340"/>
      <c r="N7361" s="340"/>
      <c r="O7361" s="340"/>
      <c r="P7361" s="340"/>
      <c r="Q7361" s="340"/>
      <c r="R7361" s="340"/>
      <c r="S7361" s="340"/>
      <c r="T7361" s="340"/>
    </row>
    <row r="7362" spans="1:20">
      <c r="A7362" s="340"/>
      <c r="B7362" s="340"/>
      <c r="C7362" s="340"/>
      <c r="D7362" s="340"/>
      <c r="E7362" s="340"/>
      <c r="F7362" s="340"/>
      <c r="G7362" s="340"/>
      <c r="H7362" s="340"/>
      <c r="I7362" s="340"/>
      <c r="J7362" s="340"/>
      <c r="K7362" s="340"/>
      <c r="L7362" s="340"/>
      <c r="M7362" s="340"/>
      <c r="N7362" s="340"/>
      <c r="O7362" s="340"/>
      <c r="P7362" s="340"/>
      <c r="Q7362" s="340"/>
      <c r="R7362" s="340"/>
      <c r="S7362" s="340"/>
      <c r="T7362" s="340"/>
    </row>
    <row r="7363" spans="1:20">
      <c r="A7363" s="340"/>
      <c r="B7363" s="340"/>
      <c r="C7363" s="340"/>
      <c r="D7363" s="340"/>
      <c r="E7363" s="340"/>
      <c r="F7363" s="340"/>
      <c r="G7363" s="340"/>
      <c r="H7363" s="340"/>
      <c r="I7363" s="340"/>
      <c r="J7363" s="340"/>
      <c r="K7363" s="340"/>
      <c r="L7363" s="340"/>
      <c r="M7363" s="340"/>
      <c r="N7363" s="340"/>
      <c r="O7363" s="340"/>
      <c r="P7363" s="340"/>
      <c r="Q7363" s="340"/>
      <c r="R7363" s="340"/>
      <c r="S7363" s="340"/>
      <c r="T7363" s="340"/>
    </row>
    <row r="7364" spans="1:20">
      <c r="A7364" s="340"/>
      <c r="B7364" s="340"/>
      <c r="C7364" s="340"/>
      <c r="D7364" s="340"/>
      <c r="E7364" s="340"/>
      <c r="F7364" s="340"/>
      <c r="G7364" s="340"/>
      <c r="H7364" s="340"/>
      <c r="I7364" s="340"/>
      <c r="J7364" s="340"/>
      <c r="K7364" s="340"/>
      <c r="L7364" s="340"/>
      <c r="M7364" s="340"/>
      <c r="N7364" s="340"/>
      <c r="O7364" s="340"/>
      <c r="P7364" s="340"/>
      <c r="Q7364" s="340"/>
      <c r="R7364" s="340"/>
      <c r="S7364" s="340"/>
      <c r="T7364" s="340"/>
    </row>
    <row r="7365" spans="1:20">
      <c r="A7365" s="340"/>
      <c r="B7365" s="340"/>
      <c r="C7365" s="340"/>
      <c r="D7365" s="340"/>
      <c r="E7365" s="340"/>
      <c r="F7365" s="340"/>
      <c r="G7365" s="340"/>
      <c r="H7365" s="340"/>
      <c r="I7365" s="340"/>
      <c r="J7365" s="340"/>
      <c r="K7365" s="340"/>
      <c r="L7365" s="340"/>
      <c r="M7365" s="340"/>
      <c r="N7365" s="340"/>
      <c r="O7365" s="340"/>
      <c r="P7365" s="340"/>
      <c r="Q7365" s="340"/>
      <c r="R7365" s="340"/>
      <c r="S7365" s="340"/>
      <c r="T7365" s="340"/>
    </row>
    <row r="7366" spans="1:20">
      <c r="A7366" s="340"/>
      <c r="B7366" s="340"/>
      <c r="C7366" s="340"/>
      <c r="D7366" s="340"/>
      <c r="E7366" s="340"/>
      <c r="F7366" s="340"/>
      <c r="G7366" s="340"/>
      <c r="H7366" s="340"/>
      <c r="I7366" s="340"/>
      <c r="J7366" s="340"/>
      <c r="K7366" s="340"/>
      <c r="L7366" s="340"/>
      <c r="M7366" s="340"/>
      <c r="N7366" s="340"/>
      <c r="O7366" s="340"/>
      <c r="P7366" s="340"/>
      <c r="Q7366" s="340"/>
      <c r="R7366" s="340"/>
      <c r="S7366" s="340"/>
      <c r="T7366" s="340"/>
    </row>
    <row r="7367" spans="1:20">
      <c r="A7367" s="340"/>
      <c r="B7367" s="340"/>
      <c r="C7367" s="340"/>
      <c r="D7367" s="340"/>
      <c r="E7367" s="340"/>
      <c r="F7367" s="340"/>
      <c r="G7367" s="340"/>
      <c r="H7367" s="340"/>
      <c r="I7367" s="340"/>
      <c r="J7367" s="340"/>
      <c r="K7367" s="340"/>
      <c r="L7367" s="340"/>
      <c r="M7367" s="340"/>
      <c r="N7367" s="340"/>
      <c r="O7367" s="340"/>
      <c r="P7367" s="340"/>
      <c r="Q7367" s="340"/>
      <c r="R7367" s="340"/>
      <c r="S7367" s="340"/>
      <c r="T7367" s="340"/>
    </row>
    <row r="7368" spans="1:20">
      <c r="A7368" s="340"/>
      <c r="B7368" s="340"/>
      <c r="C7368" s="340"/>
      <c r="D7368" s="340"/>
      <c r="E7368" s="340"/>
      <c r="F7368" s="340"/>
      <c r="G7368" s="340"/>
      <c r="H7368" s="340"/>
      <c r="I7368" s="340"/>
      <c r="J7368" s="340"/>
      <c r="K7368" s="340"/>
      <c r="L7368" s="340"/>
      <c r="M7368" s="340"/>
      <c r="N7368" s="340"/>
      <c r="O7368" s="340"/>
      <c r="P7368" s="340"/>
      <c r="Q7368" s="340"/>
      <c r="R7368" s="340"/>
      <c r="S7368" s="340"/>
      <c r="T7368" s="340"/>
    </row>
    <row r="7369" spans="1:20">
      <c r="A7369" s="340"/>
      <c r="B7369" s="340"/>
      <c r="C7369" s="340"/>
      <c r="D7369" s="340"/>
      <c r="E7369" s="340"/>
      <c r="F7369" s="340"/>
      <c r="G7369" s="340"/>
      <c r="H7369" s="340"/>
      <c r="I7369" s="340"/>
      <c r="J7369" s="340"/>
      <c r="K7369" s="340"/>
      <c r="L7369" s="340"/>
      <c r="M7369" s="340"/>
      <c r="N7369" s="340"/>
      <c r="O7369" s="340"/>
      <c r="P7369" s="340"/>
      <c r="Q7369" s="340"/>
      <c r="R7369" s="340"/>
      <c r="S7369" s="340"/>
      <c r="T7369" s="340"/>
    </row>
    <row r="7370" spans="1:20">
      <c r="A7370" s="340"/>
      <c r="B7370" s="340"/>
      <c r="C7370" s="340"/>
      <c r="D7370" s="340"/>
      <c r="E7370" s="340"/>
      <c r="F7370" s="340"/>
      <c r="G7370" s="340"/>
      <c r="H7370" s="340"/>
      <c r="I7370" s="340"/>
      <c r="J7370" s="340"/>
      <c r="K7370" s="340"/>
      <c r="L7370" s="340"/>
      <c r="M7370" s="340"/>
      <c r="N7370" s="340"/>
      <c r="O7370" s="340"/>
      <c r="P7370" s="340"/>
      <c r="Q7370" s="340"/>
      <c r="R7370" s="340"/>
      <c r="S7370" s="340"/>
      <c r="T7370" s="340"/>
    </row>
    <row r="7371" spans="1:20">
      <c r="A7371" s="340"/>
      <c r="B7371" s="340"/>
      <c r="C7371" s="340"/>
      <c r="D7371" s="340"/>
      <c r="E7371" s="340"/>
      <c r="F7371" s="340"/>
      <c r="G7371" s="340"/>
      <c r="H7371" s="340"/>
      <c r="I7371" s="340"/>
      <c r="J7371" s="340"/>
      <c r="K7371" s="340"/>
      <c r="L7371" s="340"/>
      <c r="M7371" s="340"/>
      <c r="N7371" s="340"/>
      <c r="O7371" s="340"/>
      <c r="P7371" s="340"/>
      <c r="Q7371" s="340"/>
      <c r="R7371" s="340"/>
      <c r="S7371" s="340"/>
      <c r="T7371" s="340"/>
    </row>
    <row r="7372" spans="1:20">
      <c r="A7372" s="340"/>
      <c r="B7372" s="340"/>
      <c r="C7372" s="340"/>
      <c r="D7372" s="340"/>
      <c r="E7372" s="340"/>
      <c r="F7372" s="340"/>
      <c r="G7372" s="340"/>
      <c r="H7372" s="340"/>
      <c r="I7372" s="340"/>
      <c r="J7372" s="340"/>
      <c r="K7372" s="340"/>
      <c r="L7372" s="340"/>
      <c r="M7372" s="340"/>
      <c r="N7372" s="340"/>
      <c r="O7372" s="340"/>
      <c r="P7372" s="340"/>
      <c r="Q7372" s="340"/>
      <c r="R7372" s="340"/>
      <c r="S7372" s="340"/>
      <c r="T7372" s="340"/>
    </row>
    <row r="7373" spans="1:20">
      <c r="A7373" s="340"/>
      <c r="B7373" s="340"/>
      <c r="C7373" s="340"/>
      <c r="D7373" s="340"/>
      <c r="E7373" s="340"/>
      <c r="F7373" s="340"/>
      <c r="G7373" s="340"/>
      <c r="H7373" s="340"/>
      <c r="I7373" s="340"/>
      <c r="J7373" s="340"/>
      <c r="K7373" s="340"/>
      <c r="L7373" s="340"/>
      <c r="M7373" s="340"/>
      <c r="N7373" s="340"/>
      <c r="O7373" s="340"/>
      <c r="P7373" s="340"/>
      <c r="Q7373" s="340"/>
      <c r="R7373" s="340"/>
      <c r="S7373" s="340"/>
      <c r="T7373" s="340"/>
    </row>
    <row r="7374" spans="1:20">
      <c r="A7374" s="340"/>
      <c r="B7374" s="340"/>
      <c r="C7374" s="340"/>
      <c r="D7374" s="340"/>
      <c r="E7374" s="340"/>
      <c r="F7374" s="340"/>
      <c r="G7374" s="340"/>
      <c r="H7374" s="340"/>
      <c r="I7374" s="340"/>
      <c r="J7374" s="340"/>
      <c r="K7374" s="340"/>
      <c r="L7374" s="340"/>
      <c r="M7374" s="340"/>
      <c r="N7374" s="340"/>
      <c r="O7374" s="340"/>
      <c r="P7374" s="340"/>
      <c r="Q7374" s="340"/>
      <c r="R7374" s="340"/>
      <c r="S7374" s="340"/>
      <c r="T7374" s="340"/>
    </row>
    <row r="7375" spans="1:20">
      <c r="A7375" s="340"/>
      <c r="B7375" s="340"/>
      <c r="C7375" s="340"/>
      <c r="D7375" s="340"/>
      <c r="E7375" s="340"/>
      <c r="F7375" s="340"/>
      <c r="G7375" s="340"/>
      <c r="H7375" s="340"/>
      <c r="I7375" s="340"/>
      <c r="J7375" s="340"/>
      <c r="K7375" s="340"/>
      <c r="L7375" s="340"/>
      <c r="M7375" s="340"/>
      <c r="N7375" s="340"/>
      <c r="O7375" s="340"/>
      <c r="P7375" s="340"/>
      <c r="Q7375" s="340"/>
      <c r="R7375" s="340"/>
      <c r="S7375" s="340"/>
      <c r="T7375" s="340"/>
    </row>
    <row r="7376" spans="1:20">
      <c r="A7376" s="340"/>
      <c r="B7376" s="340"/>
      <c r="C7376" s="340"/>
      <c r="D7376" s="340"/>
      <c r="E7376" s="340"/>
      <c r="F7376" s="340"/>
      <c r="G7376" s="340"/>
      <c r="H7376" s="340"/>
      <c r="I7376" s="340"/>
      <c r="J7376" s="340"/>
      <c r="K7376" s="340"/>
      <c r="L7376" s="340"/>
      <c r="M7376" s="340"/>
      <c r="N7376" s="340"/>
      <c r="O7376" s="340"/>
      <c r="P7376" s="340"/>
      <c r="Q7376" s="340"/>
      <c r="R7376" s="340"/>
      <c r="S7376" s="340"/>
      <c r="T7376" s="340"/>
    </row>
    <row r="7377" spans="1:20">
      <c r="A7377" s="340"/>
      <c r="B7377" s="340"/>
      <c r="C7377" s="340"/>
      <c r="D7377" s="340"/>
      <c r="E7377" s="340"/>
      <c r="F7377" s="340"/>
      <c r="G7377" s="340"/>
      <c r="H7377" s="340"/>
      <c r="I7377" s="340"/>
      <c r="J7377" s="340"/>
      <c r="K7377" s="340"/>
      <c r="L7377" s="340"/>
      <c r="M7377" s="340"/>
      <c r="N7377" s="340"/>
      <c r="O7377" s="340"/>
      <c r="P7377" s="340"/>
      <c r="Q7377" s="340"/>
      <c r="R7377" s="340"/>
      <c r="S7377" s="340"/>
      <c r="T7377" s="340"/>
    </row>
    <row r="7378" spans="1:20">
      <c r="A7378" s="340"/>
      <c r="B7378" s="340"/>
      <c r="C7378" s="340"/>
      <c r="D7378" s="340"/>
      <c r="E7378" s="340"/>
      <c r="F7378" s="340"/>
      <c r="G7378" s="340"/>
      <c r="H7378" s="340"/>
      <c r="I7378" s="340"/>
      <c r="J7378" s="340"/>
      <c r="K7378" s="340"/>
      <c r="L7378" s="340"/>
      <c r="M7378" s="340"/>
      <c r="N7378" s="340"/>
      <c r="O7378" s="340"/>
      <c r="P7378" s="340"/>
      <c r="Q7378" s="340"/>
      <c r="R7378" s="340"/>
      <c r="S7378" s="340"/>
      <c r="T7378" s="340"/>
    </row>
    <row r="7379" spans="1:20">
      <c r="A7379" s="340"/>
      <c r="B7379" s="340"/>
      <c r="C7379" s="340"/>
      <c r="D7379" s="340"/>
      <c r="E7379" s="340"/>
      <c r="F7379" s="340"/>
      <c r="G7379" s="340"/>
      <c r="H7379" s="340"/>
      <c r="I7379" s="340"/>
      <c r="J7379" s="340"/>
      <c r="K7379" s="340"/>
      <c r="L7379" s="340"/>
      <c r="M7379" s="340"/>
      <c r="N7379" s="340"/>
      <c r="O7379" s="340"/>
      <c r="P7379" s="340"/>
      <c r="Q7379" s="340"/>
      <c r="R7379" s="340"/>
      <c r="S7379" s="340"/>
      <c r="T7379" s="340"/>
    </row>
    <row r="7380" spans="1:20">
      <c r="A7380" s="340"/>
      <c r="B7380" s="340"/>
      <c r="C7380" s="340"/>
      <c r="D7380" s="340"/>
      <c r="E7380" s="340"/>
      <c r="F7380" s="340"/>
      <c r="G7380" s="340"/>
      <c r="H7380" s="340"/>
      <c r="I7380" s="340"/>
      <c r="J7380" s="340"/>
      <c r="K7380" s="340"/>
      <c r="L7380" s="340"/>
      <c r="M7380" s="340"/>
      <c r="N7380" s="340"/>
      <c r="O7380" s="340"/>
      <c r="P7380" s="340"/>
      <c r="Q7380" s="340"/>
      <c r="R7380" s="340"/>
      <c r="S7380" s="340"/>
      <c r="T7380" s="340"/>
    </row>
    <row r="7381" spans="1:20">
      <c r="A7381" s="340"/>
      <c r="B7381" s="340"/>
      <c r="C7381" s="340"/>
      <c r="D7381" s="340"/>
      <c r="E7381" s="340"/>
      <c r="F7381" s="340"/>
      <c r="G7381" s="340"/>
      <c r="H7381" s="340"/>
      <c r="I7381" s="340"/>
      <c r="J7381" s="340"/>
      <c r="K7381" s="340"/>
      <c r="L7381" s="340"/>
      <c r="M7381" s="340"/>
      <c r="N7381" s="340"/>
      <c r="O7381" s="340"/>
      <c r="P7381" s="340"/>
      <c r="Q7381" s="340"/>
      <c r="R7381" s="340"/>
      <c r="S7381" s="340"/>
      <c r="T7381" s="340"/>
    </row>
    <row r="7382" spans="1:20">
      <c r="A7382" s="340"/>
      <c r="B7382" s="340"/>
      <c r="C7382" s="340"/>
      <c r="D7382" s="340"/>
      <c r="E7382" s="340"/>
      <c r="F7382" s="340"/>
      <c r="G7382" s="340"/>
      <c r="H7382" s="340"/>
      <c r="I7382" s="340"/>
      <c r="J7382" s="340"/>
      <c r="K7382" s="340"/>
      <c r="L7382" s="340"/>
      <c r="M7382" s="340"/>
      <c r="N7382" s="340"/>
      <c r="O7382" s="340"/>
      <c r="P7382" s="340"/>
      <c r="Q7382" s="340"/>
      <c r="R7382" s="340"/>
      <c r="S7382" s="340"/>
      <c r="T7382" s="340"/>
    </row>
    <row r="7383" spans="1:20">
      <c r="A7383" s="340"/>
      <c r="B7383" s="340"/>
      <c r="C7383" s="340"/>
      <c r="D7383" s="340"/>
      <c r="E7383" s="340"/>
      <c r="F7383" s="340"/>
      <c r="G7383" s="340"/>
      <c r="H7383" s="340"/>
      <c r="I7383" s="340"/>
      <c r="J7383" s="340"/>
      <c r="K7383" s="340"/>
      <c r="L7383" s="340"/>
      <c r="M7383" s="340"/>
      <c r="N7383" s="340"/>
      <c r="O7383" s="340"/>
      <c r="P7383" s="340"/>
      <c r="Q7383" s="340"/>
      <c r="R7383" s="340"/>
      <c r="S7383" s="340"/>
      <c r="T7383" s="340"/>
    </row>
    <row r="7384" spans="1:20">
      <c r="A7384" s="340"/>
      <c r="B7384" s="340"/>
      <c r="C7384" s="340"/>
      <c r="D7384" s="340"/>
      <c r="E7384" s="340"/>
      <c r="F7384" s="340"/>
      <c r="G7384" s="340"/>
      <c r="H7384" s="340"/>
      <c r="I7384" s="340"/>
      <c r="J7384" s="340"/>
      <c r="K7384" s="340"/>
      <c r="L7384" s="340"/>
      <c r="M7384" s="340"/>
      <c r="N7384" s="340"/>
      <c r="O7384" s="340"/>
      <c r="P7384" s="340"/>
      <c r="Q7384" s="340"/>
      <c r="R7384" s="340"/>
      <c r="S7384" s="340"/>
      <c r="T7384" s="340"/>
    </row>
    <row r="7385" spans="1:20">
      <c r="A7385" s="340"/>
      <c r="B7385" s="340"/>
      <c r="C7385" s="340"/>
      <c r="D7385" s="340"/>
      <c r="E7385" s="340"/>
      <c r="F7385" s="340"/>
      <c r="G7385" s="340"/>
      <c r="H7385" s="340"/>
      <c r="I7385" s="340"/>
      <c r="J7385" s="340"/>
      <c r="K7385" s="340"/>
      <c r="L7385" s="340"/>
      <c r="M7385" s="340"/>
      <c r="N7385" s="340"/>
      <c r="O7385" s="340"/>
      <c r="P7385" s="340"/>
      <c r="Q7385" s="340"/>
      <c r="R7385" s="340"/>
      <c r="S7385" s="340"/>
      <c r="T7385" s="340"/>
    </row>
    <row r="7386" spans="1:20">
      <c r="A7386" s="340"/>
      <c r="B7386" s="340"/>
      <c r="C7386" s="340"/>
      <c r="D7386" s="340"/>
      <c r="E7386" s="340"/>
      <c r="F7386" s="340"/>
      <c r="G7386" s="340"/>
      <c r="H7386" s="340"/>
      <c r="I7386" s="340"/>
      <c r="J7386" s="340"/>
      <c r="K7386" s="340"/>
      <c r="L7386" s="340"/>
      <c r="M7386" s="340"/>
      <c r="N7386" s="340"/>
      <c r="O7386" s="340"/>
      <c r="P7386" s="340"/>
      <c r="Q7386" s="340"/>
      <c r="R7386" s="340"/>
      <c r="S7386" s="340"/>
      <c r="T7386" s="340"/>
    </row>
    <row r="7387" spans="1:20">
      <c r="A7387" s="340"/>
      <c r="B7387" s="340"/>
      <c r="C7387" s="340"/>
      <c r="D7387" s="340"/>
      <c r="E7387" s="340"/>
      <c r="F7387" s="340"/>
      <c r="G7387" s="340"/>
      <c r="H7387" s="340"/>
      <c r="I7387" s="340"/>
      <c r="J7387" s="340"/>
      <c r="K7387" s="340"/>
      <c r="L7387" s="340"/>
      <c r="M7387" s="340"/>
      <c r="N7387" s="340"/>
      <c r="O7387" s="340"/>
      <c r="P7387" s="340"/>
      <c r="Q7387" s="340"/>
      <c r="R7387" s="340"/>
      <c r="S7387" s="340"/>
      <c r="T7387" s="340"/>
    </row>
    <row r="7388" spans="1:20">
      <c r="A7388" s="340"/>
      <c r="B7388" s="340"/>
      <c r="C7388" s="340"/>
      <c r="D7388" s="340"/>
      <c r="E7388" s="340"/>
      <c r="F7388" s="340"/>
      <c r="G7388" s="340"/>
      <c r="H7388" s="340"/>
      <c r="I7388" s="340"/>
      <c r="J7388" s="340"/>
      <c r="K7388" s="340"/>
      <c r="L7388" s="340"/>
      <c r="M7388" s="340"/>
      <c r="N7388" s="340"/>
      <c r="O7388" s="340"/>
      <c r="P7388" s="340"/>
      <c r="Q7388" s="340"/>
      <c r="R7388" s="340"/>
      <c r="S7388" s="340"/>
      <c r="T7388" s="340"/>
    </row>
    <row r="7389" spans="1:20">
      <c r="A7389" s="340"/>
      <c r="B7389" s="340"/>
      <c r="C7389" s="340"/>
      <c r="D7389" s="340"/>
      <c r="E7389" s="340"/>
      <c r="F7389" s="340"/>
      <c r="G7389" s="340"/>
      <c r="H7389" s="340"/>
      <c r="I7389" s="340"/>
      <c r="J7389" s="340"/>
      <c r="K7389" s="340"/>
      <c r="L7389" s="340"/>
      <c r="M7389" s="340"/>
      <c r="N7389" s="340"/>
      <c r="O7389" s="340"/>
      <c r="P7389" s="340"/>
      <c r="Q7389" s="340"/>
      <c r="R7389" s="340"/>
      <c r="S7389" s="340"/>
      <c r="T7389" s="340"/>
    </row>
    <row r="7390" spans="1:20">
      <c r="A7390" s="340"/>
      <c r="B7390" s="340"/>
      <c r="C7390" s="340"/>
      <c r="D7390" s="340"/>
      <c r="E7390" s="340"/>
      <c r="F7390" s="340"/>
      <c r="G7390" s="340"/>
      <c r="H7390" s="340"/>
      <c r="I7390" s="340"/>
      <c r="J7390" s="340"/>
      <c r="K7390" s="340"/>
      <c r="L7390" s="340"/>
      <c r="M7390" s="340"/>
      <c r="N7390" s="340"/>
      <c r="O7390" s="340"/>
      <c r="P7390" s="340"/>
      <c r="Q7390" s="340"/>
      <c r="R7390" s="340"/>
      <c r="S7390" s="340"/>
      <c r="T7390" s="340"/>
    </row>
    <row r="7391" spans="1:20">
      <c r="A7391" s="340"/>
      <c r="B7391" s="340"/>
      <c r="C7391" s="340"/>
      <c r="D7391" s="340"/>
      <c r="E7391" s="340"/>
      <c r="F7391" s="340"/>
      <c r="G7391" s="340"/>
      <c r="H7391" s="340"/>
      <c r="I7391" s="340"/>
      <c r="J7391" s="340"/>
      <c r="K7391" s="340"/>
      <c r="L7391" s="340"/>
      <c r="M7391" s="340"/>
      <c r="N7391" s="340"/>
      <c r="O7391" s="340"/>
      <c r="P7391" s="340"/>
      <c r="Q7391" s="340"/>
      <c r="R7391" s="340"/>
      <c r="S7391" s="340"/>
      <c r="T7391" s="340"/>
    </row>
    <row r="7392" spans="1:20">
      <c r="A7392" s="340"/>
      <c r="B7392" s="340"/>
      <c r="C7392" s="340"/>
      <c r="D7392" s="340"/>
      <c r="E7392" s="340"/>
      <c r="F7392" s="340"/>
      <c r="G7392" s="340"/>
      <c r="H7392" s="340"/>
      <c r="I7392" s="340"/>
      <c r="J7392" s="340"/>
      <c r="K7392" s="340"/>
      <c r="L7392" s="340"/>
      <c r="M7392" s="340"/>
      <c r="N7392" s="340"/>
      <c r="O7392" s="340"/>
      <c r="P7392" s="340"/>
      <c r="Q7392" s="340"/>
      <c r="R7392" s="340"/>
      <c r="S7392" s="340"/>
      <c r="T7392" s="340"/>
    </row>
    <row r="7393" spans="1:20">
      <c r="A7393" s="340"/>
      <c r="B7393" s="340"/>
      <c r="C7393" s="340"/>
      <c r="D7393" s="340"/>
      <c r="E7393" s="340"/>
      <c r="F7393" s="340"/>
      <c r="G7393" s="340"/>
      <c r="H7393" s="340"/>
      <c r="I7393" s="340"/>
      <c r="J7393" s="340"/>
      <c r="K7393" s="340"/>
      <c r="L7393" s="340"/>
      <c r="M7393" s="340"/>
      <c r="N7393" s="340"/>
      <c r="O7393" s="340"/>
      <c r="P7393" s="340"/>
      <c r="Q7393" s="340"/>
      <c r="R7393" s="340"/>
      <c r="S7393" s="340"/>
      <c r="T7393" s="340"/>
    </row>
    <row r="7394" spans="1:20">
      <c r="A7394" s="340"/>
      <c r="B7394" s="340"/>
      <c r="C7394" s="340"/>
      <c r="D7394" s="340"/>
      <c r="E7394" s="340"/>
      <c r="F7394" s="340"/>
      <c r="G7394" s="340"/>
      <c r="H7394" s="340"/>
      <c r="I7394" s="340"/>
      <c r="J7394" s="340"/>
      <c r="K7394" s="340"/>
      <c r="L7394" s="340"/>
      <c r="M7394" s="340"/>
      <c r="N7394" s="340"/>
      <c r="O7394" s="340"/>
      <c r="P7394" s="340"/>
      <c r="Q7394" s="340"/>
      <c r="R7394" s="340"/>
      <c r="S7394" s="340"/>
      <c r="T7394" s="340"/>
    </row>
    <row r="7395" spans="1:20">
      <c r="A7395" s="340"/>
      <c r="B7395" s="340"/>
      <c r="C7395" s="340"/>
      <c r="D7395" s="340"/>
      <c r="E7395" s="340"/>
      <c r="F7395" s="340"/>
      <c r="G7395" s="340"/>
      <c r="H7395" s="340"/>
      <c r="I7395" s="340"/>
      <c r="J7395" s="340"/>
      <c r="K7395" s="340"/>
      <c r="L7395" s="340"/>
      <c r="M7395" s="340"/>
      <c r="N7395" s="340"/>
      <c r="O7395" s="340"/>
      <c r="P7395" s="340"/>
      <c r="Q7395" s="340"/>
      <c r="R7395" s="340"/>
      <c r="S7395" s="340"/>
      <c r="T7395" s="340"/>
    </row>
    <row r="7396" spans="1:20">
      <c r="A7396" s="340"/>
      <c r="B7396" s="340"/>
      <c r="C7396" s="340"/>
      <c r="D7396" s="340"/>
      <c r="E7396" s="340"/>
      <c r="F7396" s="340"/>
      <c r="G7396" s="340"/>
      <c r="H7396" s="340"/>
      <c r="I7396" s="340"/>
      <c r="J7396" s="340"/>
      <c r="K7396" s="340"/>
      <c r="L7396" s="340"/>
      <c r="M7396" s="340"/>
      <c r="N7396" s="340"/>
      <c r="O7396" s="340"/>
      <c r="P7396" s="340"/>
      <c r="Q7396" s="340"/>
      <c r="R7396" s="340"/>
      <c r="S7396" s="340"/>
      <c r="T7396" s="340"/>
    </row>
    <row r="7397" spans="1:20">
      <c r="A7397" s="340"/>
      <c r="B7397" s="340"/>
      <c r="C7397" s="340"/>
      <c r="D7397" s="340"/>
      <c r="E7397" s="340"/>
      <c r="F7397" s="340"/>
      <c r="G7397" s="340"/>
      <c r="H7397" s="340"/>
      <c r="I7397" s="340"/>
      <c r="J7397" s="340"/>
      <c r="K7397" s="340"/>
      <c r="L7397" s="340"/>
      <c r="M7397" s="340"/>
      <c r="N7397" s="340"/>
      <c r="O7397" s="340"/>
      <c r="P7397" s="340"/>
      <c r="Q7397" s="340"/>
      <c r="R7397" s="340"/>
      <c r="S7397" s="340"/>
      <c r="T7397" s="340"/>
    </row>
    <row r="7398" spans="1:20">
      <c r="A7398" s="340"/>
      <c r="B7398" s="340"/>
      <c r="C7398" s="340"/>
      <c r="D7398" s="340"/>
      <c r="E7398" s="340"/>
      <c r="F7398" s="340"/>
      <c r="G7398" s="340"/>
      <c r="H7398" s="340"/>
      <c r="I7398" s="340"/>
      <c r="J7398" s="340"/>
      <c r="K7398" s="340"/>
      <c r="L7398" s="340"/>
      <c r="M7398" s="340"/>
      <c r="N7398" s="340"/>
      <c r="O7398" s="340"/>
      <c r="P7398" s="340"/>
      <c r="Q7398" s="340"/>
      <c r="R7398" s="340"/>
      <c r="S7398" s="340"/>
      <c r="T7398" s="340"/>
    </row>
    <row r="7399" spans="1:20">
      <c r="A7399" s="340"/>
      <c r="B7399" s="340"/>
      <c r="C7399" s="340"/>
      <c r="D7399" s="340"/>
      <c r="E7399" s="340"/>
      <c r="F7399" s="340"/>
      <c r="G7399" s="340"/>
      <c r="H7399" s="340"/>
      <c r="I7399" s="340"/>
      <c r="J7399" s="340"/>
      <c r="K7399" s="340"/>
      <c r="L7399" s="340"/>
      <c r="M7399" s="340"/>
      <c r="N7399" s="340"/>
      <c r="O7399" s="340"/>
      <c r="P7399" s="340"/>
      <c r="Q7399" s="340"/>
      <c r="R7399" s="340"/>
      <c r="S7399" s="340"/>
      <c r="T7399" s="340"/>
    </row>
    <row r="7400" spans="1:20">
      <c r="A7400" s="340"/>
      <c r="B7400" s="340"/>
      <c r="C7400" s="340"/>
      <c r="D7400" s="340"/>
      <c r="E7400" s="340"/>
      <c r="F7400" s="340"/>
      <c r="G7400" s="340"/>
      <c r="H7400" s="340"/>
      <c r="I7400" s="340"/>
      <c r="J7400" s="340"/>
      <c r="K7400" s="340"/>
      <c r="L7400" s="340"/>
      <c r="M7400" s="340"/>
      <c r="N7400" s="340"/>
      <c r="O7400" s="340"/>
      <c r="P7400" s="340"/>
      <c r="Q7400" s="340"/>
      <c r="R7400" s="340"/>
      <c r="S7400" s="340"/>
      <c r="T7400" s="340"/>
    </row>
    <row r="7401" spans="1:20">
      <c r="A7401" s="340"/>
      <c r="B7401" s="340"/>
      <c r="C7401" s="340"/>
      <c r="D7401" s="340"/>
      <c r="E7401" s="340"/>
      <c r="F7401" s="340"/>
      <c r="G7401" s="340"/>
      <c r="H7401" s="340"/>
      <c r="I7401" s="340"/>
      <c r="J7401" s="340"/>
      <c r="K7401" s="340"/>
      <c r="L7401" s="340"/>
      <c r="M7401" s="340"/>
      <c r="N7401" s="340"/>
      <c r="O7401" s="340"/>
      <c r="P7401" s="340"/>
      <c r="Q7401" s="340"/>
      <c r="R7401" s="340"/>
      <c r="S7401" s="340"/>
      <c r="T7401" s="340"/>
    </row>
    <row r="7402" spans="1:20">
      <c r="A7402" s="340"/>
      <c r="B7402" s="340"/>
      <c r="C7402" s="340"/>
      <c r="D7402" s="340"/>
      <c r="E7402" s="340"/>
      <c r="F7402" s="340"/>
      <c r="G7402" s="340"/>
      <c r="H7402" s="340"/>
      <c r="I7402" s="340"/>
      <c r="J7402" s="340"/>
      <c r="K7402" s="340"/>
      <c r="L7402" s="340"/>
      <c r="M7402" s="340"/>
      <c r="N7402" s="340"/>
      <c r="O7402" s="340"/>
      <c r="P7402" s="340"/>
      <c r="Q7402" s="340"/>
      <c r="R7402" s="340"/>
      <c r="S7402" s="340"/>
      <c r="T7402" s="340"/>
    </row>
    <row r="7403" spans="1:20">
      <c r="A7403" s="340"/>
      <c r="B7403" s="340"/>
      <c r="C7403" s="340"/>
      <c r="D7403" s="340"/>
      <c r="E7403" s="340"/>
      <c r="F7403" s="340"/>
      <c r="G7403" s="340"/>
      <c r="H7403" s="340"/>
      <c r="I7403" s="340"/>
      <c r="J7403" s="340"/>
      <c r="K7403" s="340"/>
      <c r="L7403" s="340"/>
      <c r="M7403" s="340"/>
      <c r="N7403" s="340"/>
      <c r="O7403" s="340"/>
      <c r="P7403" s="340"/>
      <c r="Q7403" s="340"/>
      <c r="R7403" s="340"/>
      <c r="S7403" s="340"/>
      <c r="T7403" s="340"/>
    </row>
    <row r="7404" spans="1:20">
      <c r="A7404" s="340"/>
      <c r="B7404" s="340"/>
      <c r="C7404" s="340"/>
      <c r="D7404" s="340"/>
      <c r="E7404" s="340"/>
      <c r="F7404" s="340"/>
      <c r="G7404" s="340"/>
      <c r="H7404" s="340"/>
      <c r="I7404" s="340"/>
      <c r="J7404" s="340"/>
      <c r="K7404" s="340"/>
      <c r="L7404" s="340"/>
      <c r="M7404" s="340"/>
      <c r="N7404" s="340"/>
      <c r="O7404" s="340"/>
      <c r="P7404" s="340"/>
      <c r="Q7404" s="340"/>
      <c r="R7404" s="340"/>
      <c r="S7404" s="340"/>
      <c r="T7404" s="340"/>
    </row>
    <row r="7405" spans="1:20">
      <c r="A7405" s="340"/>
      <c r="B7405" s="340"/>
      <c r="C7405" s="340"/>
      <c r="D7405" s="340"/>
      <c r="E7405" s="340"/>
      <c r="F7405" s="340"/>
      <c r="G7405" s="340"/>
      <c r="H7405" s="340"/>
      <c r="I7405" s="340"/>
      <c r="J7405" s="340"/>
      <c r="K7405" s="340"/>
      <c r="L7405" s="340"/>
      <c r="M7405" s="340"/>
      <c r="N7405" s="340"/>
      <c r="O7405" s="340"/>
      <c r="P7405" s="340"/>
      <c r="Q7405" s="340"/>
      <c r="R7405" s="340"/>
      <c r="S7405" s="340"/>
      <c r="T7405" s="340"/>
    </row>
    <row r="7406" spans="1:20">
      <c r="A7406" s="340"/>
      <c r="B7406" s="340"/>
      <c r="C7406" s="340"/>
      <c r="D7406" s="340"/>
      <c r="E7406" s="340"/>
      <c r="F7406" s="340"/>
      <c r="G7406" s="340"/>
      <c r="H7406" s="340"/>
      <c r="I7406" s="340"/>
      <c r="J7406" s="340"/>
      <c r="K7406" s="340"/>
      <c r="L7406" s="340"/>
      <c r="M7406" s="340"/>
      <c r="N7406" s="340"/>
      <c r="O7406" s="340"/>
      <c r="P7406" s="340"/>
      <c r="Q7406" s="340"/>
      <c r="R7406" s="340"/>
      <c r="S7406" s="340"/>
      <c r="T7406" s="340"/>
    </row>
    <row r="7407" spans="1:20">
      <c r="A7407" s="340"/>
      <c r="B7407" s="340"/>
      <c r="C7407" s="340"/>
      <c r="D7407" s="340"/>
      <c r="E7407" s="340"/>
      <c r="F7407" s="340"/>
      <c r="G7407" s="340"/>
      <c r="H7407" s="340"/>
      <c r="I7407" s="340"/>
      <c r="J7407" s="340"/>
      <c r="K7407" s="340"/>
      <c r="L7407" s="340"/>
      <c r="M7407" s="340"/>
      <c r="N7407" s="340"/>
      <c r="O7407" s="340"/>
      <c r="P7407" s="340"/>
      <c r="Q7407" s="340"/>
      <c r="R7407" s="340"/>
      <c r="S7407" s="340"/>
      <c r="T7407" s="340"/>
    </row>
    <row r="7408" spans="1:20">
      <c r="A7408" s="340"/>
      <c r="B7408" s="340"/>
      <c r="C7408" s="340"/>
      <c r="D7408" s="340"/>
      <c r="E7408" s="340"/>
      <c r="F7408" s="340"/>
      <c r="G7408" s="340"/>
      <c r="H7408" s="340"/>
      <c r="I7408" s="340"/>
      <c r="J7408" s="340"/>
      <c r="K7408" s="340"/>
      <c r="L7408" s="340"/>
      <c r="M7408" s="340"/>
      <c r="N7408" s="340"/>
      <c r="O7408" s="340"/>
      <c r="P7408" s="340"/>
      <c r="Q7408" s="340"/>
      <c r="R7408" s="340"/>
      <c r="S7408" s="340"/>
      <c r="T7408" s="340"/>
    </row>
    <row r="7409" spans="1:20">
      <c r="A7409" s="340"/>
      <c r="B7409" s="340"/>
      <c r="C7409" s="340"/>
      <c r="D7409" s="340"/>
      <c r="E7409" s="340"/>
      <c r="F7409" s="340"/>
      <c r="G7409" s="340"/>
      <c r="H7409" s="340"/>
      <c r="I7409" s="340"/>
      <c r="J7409" s="340"/>
      <c r="K7409" s="340"/>
      <c r="L7409" s="340"/>
      <c r="M7409" s="340"/>
      <c r="N7409" s="340"/>
      <c r="O7409" s="340"/>
      <c r="P7409" s="340"/>
      <c r="Q7409" s="340"/>
      <c r="R7409" s="340"/>
      <c r="S7409" s="340"/>
      <c r="T7409" s="340"/>
    </row>
    <row r="7410" spans="1:20">
      <c r="A7410" s="340"/>
      <c r="B7410" s="340"/>
      <c r="C7410" s="340"/>
      <c r="D7410" s="340"/>
      <c r="E7410" s="340"/>
      <c r="F7410" s="340"/>
      <c r="G7410" s="340"/>
      <c r="H7410" s="340"/>
      <c r="I7410" s="340"/>
      <c r="J7410" s="340"/>
      <c r="K7410" s="340"/>
      <c r="L7410" s="340"/>
      <c r="M7410" s="340"/>
      <c r="N7410" s="340"/>
      <c r="O7410" s="340"/>
      <c r="P7410" s="340"/>
      <c r="Q7410" s="340"/>
      <c r="R7410" s="340"/>
      <c r="S7410" s="340"/>
      <c r="T7410" s="340"/>
    </row>
    <row r="7411" spans="1:20">
      <c r="A7411" s="340"/>
      <c r="B7411" s="340"/>
      <c r="C7411" s="340"/>
      <c r="D7411" s="340"/>
      <c r="E7411" s="340"/>
      <c r="F7411" s="340"/>
      <c r="G7411" s="340"/>
      <c r="H7411" s="340"/>
      <c r="I7411" s="340"/>
      <c r="J7411" s="340"/>
      <c r="K7411" s="340"/>
      <c r="L7411" s="340"/>
      <c r="M7411" s="340"/>
      <c r="N7411" s="340"/>
      <c r="O7411" s="340"/>
      <c r="P7411" s="340"/>
      <c r="Q7411" s="340"/>
      <c r="R7411" s="340"/>
      <c r="S7411" s="340"/>
      <c r="T7411" s="340"/>
    </row>
    <row r="7412" spans="1:20">
      <c r="A7412" s="340"/>
      <c r="B7412" s="340"/>
      <c r="C7412" s="340"/>
      <c r="D7412" s="340"/>
      <c r="E7412" s="340"/>
      <c r="F7412" s="340"/>
      <c r="G7412" s="340"/>
      <c r="H7412" s="340"/>
      <c r="I7412" s="340"/>
      <c r="J7412" s="340"/>
      <c r="K7412" s="340"/>
      <c r="L7412" s="340"/>
      <c r="M7412" s="340"/>
      <c r="N7412" s="340"/>
      <c r="O7412" s="340"/>
      <c r="P7412" s="340"/>
      <c r="Q7412" s="340"/>
      <c r="R7412" s="340"/>
      <c r="S7412" s="340"/>
      <c r="T7412" s="340"/>
    </row>
    <row r="7413" spans="1:20">
      <c r="A7413" s="340"/>
      <c r="B7413" s="340"/>
      <c r="C7413" s="340"/>
      <c r="D7413" s="340"/>
      <c r="E7413" s="340"/>
      <c r="F7413" s="340"/>
      <c r="G7413" s="340"/>
      <c r="H7413" s="340"/>
      <c r="I7413" s="340"/>
      <c r="J7413" s="340"/>
      <c r="K7413" s="340"/>
      <c r="L7413" s="340"/>
      <c r="M7413" s="340"/>
      <c r="N7413" s="340"/>
      <c r="O7413" s="340"/>
      <c r="P7413" s="340"/>
      <c r="Q7413" s="340"/>
      <c r="R7413" s="340"/>
      <c r="S7413" s="340"/>
      <c r="T7413" s="340"/>
    </row>
    <row r="7414" spans="1:20">
      <c r="A7414" s="340"/>
      <c r="B7414" s="340"/>
      <c r="C7414" s="340"/>
      <c r="D7414" s="340"/>
      <c r="E7414" s="340"/>
      <c r="F7414" s="340"/>
      <c r="G7414" s="340"/>
      <c r="H7414" s="340"/>
      <c r="I7414" s="340"/>
      <c r="J7414" s="340"/>
      <c r="K7414" s="340"/>
      <c r="L7414" s="340"/>
      <c r="M7414" s="340"/>
      <c r="N7414" s="340"/>
      <c r="O7414" s="340"/>
      <c r="P7414" s="340"/>
      <c r="Q7414" s="340"/>
      <c r="R7414" s="340"/>
      <c r="S7414" s="340"/>
      <c r="T7414" s="340"/>
    </row>
    <row r="7415" spans="1:20">
      <c r="A7415" s="340"/>
      <c r="B7415" s="340"/>
      <c r="C7415" s="340"/>
      <c r="D7415" s="340"/>
      <c r="E7415" s="340"/>
      <c r="F7415" s="340"/>
      <c r="G7415" s="340"/>
      <c r="H7415" s="340"/>
      <c r="I7415" s="340"/>
      <c r="J7415" s="340"/>
      <c r="K7415" s="340"/>
      <c r="L7415" s="340"/>
      <c r="M7415" s="340"/>
      <c r="N7415" s="340"/>
      <c r="O7415" s="340"/>
      <c r="P7415" s="340"/>
      <c r="Q7415" s="340"/>
      <c r="R7415" s="340"/>
      <c r="S7415" s="340"/>
      <c r="T7415" s="340"/>
    </row>
    <row r="7416" spans="1:20">
      <c r="A7416" s="340"/>
      <c r="B7416" s="340"/>
      <c r="C7416" s="340"/>
      <c r="D7416" s="340"/>
      <c r="E7416" s="340"/>
      <c r="F7416" s="340"/>
      <c r="G7416" s="340"/>
      <c r="H7416" s="340"/>
      <c r="I7416" s="340"/>
      <c r="J7416" s="340"/>
      <c r="K7416" s="340"/>
      <c r="L7416" s="340"/>
      <c r="M7416" s="340"/>
      <c r="N7416" s="340"/>
      <c r="O7416" s="340"/>
      <c r="P7416" s="340"/>
      <c r="Q7416" s="340"/>
      <c r="R7416" s="340"/>
      <c r="S7416" s="340"/>
      <c r="T7416" s="340"/>
    </row>
    <row r="7417" spans="1:20">
      <c r="A7417" s="340"/>
      <c r="B7417" s="340"/>
      <c r="C7417" s="340"/>
      <c r="D7417" s="340"/>
      <c r="E7417" s="340"/>
      <c r="F7417" s="340"/>
      <c r="G7417" s="340"/>
      <c r="H7417" s="340"/>
      <c r="I7417" s="340"/>
      <c r="J7417" s="340"/>
      <c r="K7417" s="340"/>
      <c r="L7417" s="340"/>
      <c r="M7417" s="340"/>
      <c r="N7417" s="340"/>
      <c r="O7417" s="340"/>
      <c r="P7417" s="340"/>
      <c r="Q7417" s="340"/>
      <c r="R7417" s="340"/>
      <c r="S7417" s="340"/>
      <c r="T7417" s="340"/>
    </row>
    <row r="7418" spans="1:20">
      <c r="A7418" s="340"/>
      <c r="B7418" s="340"/>
      <c r="C7418" s="340"/>
      <c r="D7418" s="340"/>
      <c r="E7418" s="340"/>
      <c r="F7418" s="340"/>
      <c r="G7418" s="340"/>
      <c r="H7418" s="340"/>
      <c r="I7418" s="340"/>
      <c r="J7418" s="340"/>
      <c r="K7418" s="340"/>
      <c r="L7418" s="340"/>
      <c r="M7418" s="340"/>
      <c r="N7418" s="340"/>
      <c r="O7418" s="340"/>
      <c r="P7418" s="340"/>
      <c r="Q7418" s="340"/>
      <c r="R7418" s="340"/>
      <c r="S7418" s="340"/>
      <c r="T7418" s="340"/>
    </row>
    <row r="7419" spans="1:20">
      <c r="A7419" s="340"/>
      <c r="B7419" s="340"/>
      <c r="C7419" s="340"/>
      <c r="D7419" s="340"/>
      <c r="E7419" s="340"/>
      <c r="F7419" s="340"/>
      <c r="G7419" s="340"/>
      <c r="H7419" s="340"/>
      <c r="I7419" s="340"/>
      <c r="J7419" s="340"/>
      <c r="K7419" s="340"/>
      <c r="L7419" s="340"/>
      <c r="M7419" s="340"/>
      <c r="N7419" s="340"/>
      <c r="O7419" s="340"/>
      <c r="P7419" s="340"/>
      <c r="Q7419" s="340"/>
      <c r="R7419" s="340"/>
      <c r="S7419" s="340"/>
      <c r="T7419" s="340"/>
    </row>
    <row r="7420" spans="1:20">
      <c r="A7420" s="340"/>
      <c r="B7420" s="340"/>
      <c r="C7420" s="340"/>
      <c r="D7420" s="340"/>
      <c r="E7420" s="340"/>
      <c r="F7420" s="340"/>
      <c r="G7420" s="340"/>
      <c r="H7420" s="340"/>
      <c r="I7420" s="340"/>
      <c r="J7420" s="340"/>
      <c r="K7420" s="340"/>
      <c r="L7420" s="340"/>
      <c r="M7420" s="340"/>
      <c r="N7420" s="340"/>
      <c r="O7420" s="340"/>
      <c r="P7420" s="340"/>
      <c r="Q7420" s="340"/>
      <c r="R7420" s="340"/>
      <c r="S7420" s="340"/>
      <c r="T7420" s="340"/>
    </row>
    <row r="7421" spans="1:20">
      <c r="A7421" s="340"/>
      <c r="B7421" s="340"/>
      <c r="C7421" s="340"/>
      <c r="D7421" s="340"/>
      <c r="E7421" s="340"/>
      <c r="F7421" s="340"/>
      <c r="G7421" s="340"/>
      <c r="H7421" s="340"/>
      <c r="I7421" s="340"/>
      <c r="J7421" s="340"/>
      <c r="K7421" s="340"/>
      <c r="L7421" s="340"/>
      <c r="M7421" s="340"/>
      <c r="N7421" s="340"/>
      <c r="O7421" s="340"/>
      <c r="P7421" s="340"/>
      <c r="Q7421" s="340"/>
      <c r="R7421" s="340"/>
      <c r="S7421" s="340"/>
      <c r="T7421" s="340"/>
    </row>
    <row r="7422" spans="1:20">
      <c r="A7422" s="340"/>
      <c r="B7422" s="340"/>
      <c r="C7422" s="340"/>
      <c r="D7422" s="340"/>
      <c r="E7422" s="340"/>
      <c r="F7422" s="340"/>
      <c r="G7422" s="340"/>
      <c r="H7422" s="340"/>
      <c r="I7422" s="340"/>
      <c r="J7422" s="340"/>
      <c r="K7422" s="340"/>
      <c r="L7422" s="340"/>
      <c r="M7422" s="340"/>
      <c r="N7422" s="340"/>
      <c r="O7422" s="340"/>
      <c r="P7422" s="340"/>
      <c r="Q7422" s="340"/>
      <c r="R7422" s="340"/>
      <c r="S7422" s="340"/>
      <c r="T7422" s="340"/>
    </row>
    <row r="7423" spans="1:20">
      <c r="A7423" s="340"/>
      <c r="B7423" s="340"/>
      <c r="C7423" s="340"/>
      <c r="D7423" s="340"/>
      <c r="E7423" s="340"/>
      <c r="F7423" s="340"/>
      <c r="G7423" s="340"/>
      <c r="H7423" s="340"/>
      <c r="I7423" s="340"/>
      <c r="J7423" s="340"/>
      <c r="K7423" s="340"/>
      <c r="L7423" s="340"/>
      <c r="M7423" s="340"/>
      <c r="N7423" s="340"/>
      <c r="O7423" s="340"/>
      <c r="P7423" s="340"/>
      <c r="Q7423" s="340"/>
      <c r="R7423" s="340"/>
      <c r="S7423" s="340"/>
      <c r="T7423" s="340"/>
    </row>
    <row r="7424" spans="1:20">
      <c r="A7424" s="340"/>
      <c r="B7424" s="340"/>
      <c r="C7424" s="340"/>
      <c r="D7424" s="340"/>
      <c r="E7424" s="340"/>
      <c r="F7424" s="340"/>
      <c r="G7424" s="340"/>
      <c r="H7424" s="340"/>
      <c r="I7424" s="340"/>
      <c r="J7424" s="340"/>
      <c r="K7424" s="340"/>
      <c r="L7424" s="340"/>
      <c r="M7424" s="340"/>
      <c r="N7424" s="340"/>
      <c r="O7424" s="340"/>
      <c r="P7424" s="340"/>
      <c r="Q7424" s="340"/>
      <c r="R7424" s="340"/>
      <c r="S7424" s="340"/>
      <c r="T7424" s="340"/>
    </row>
    <row r="7425" spans="1:20">
      <c r="A7425" s="340"/>
      <c r="B7425" s="340"/>
      <c r="C7425" s="340"/>
      <c r="D7425" s="340"/>
      <c r="E7425" s="340"/>
      <c r="F7425" s="340"/>
      <c r="G7425" s="340"/>
      <c r="H7425" s="340"/>
      <c r="I7425" s="340"/>
      <c r="J7425" s="340"/>
      <c r="K7425" s="340"/>
      <c r="L7425" s="340"/>
      <c r="M7425" s="340"/>
      <c r="N7425" s="340"/>
      <c r="O7425" s="340"/>
      <c r="P7425" s="340"/>
      <c r="Q7425" s="340"/>
      <c r="R7425" s="340"/>
      <c r="S7425" s="340"/>
      <c r="T7425" s="340"/>
    </row>
    <row r="7426" spans="1:20">
      <c r="A7426" s="340"/>
      <c r="B7426" s="340"/>
      <c r="C7426" s="340"/>
      <c r="D7426" s="340"/>
      <c r="E7426" s="340"/>
      <c r="F7426" s="340"/>
      <c r="G7426" s="340"/>
      <c r="H7426" s="340"/>
      <c r="I7426" s="340"/>
      <c r="J7426" s="340"/>
      <c r="K7426" s="340"/>
      <c r="L7426" s="340"/>
      <c r="M7426" s="340"/>
      <c r="N7426" s="340"/>
      <c r="O7426" s="340"/>
      <c r="P7426" s="340"/>
      <c r="Q7426" s="340"/>
      <c r="R7426" s="340"/>
      <c r="S7426" s="340"/>
      <c r="T7426" s="340"/>
    </row>
    <row r="7427" spans="1:20">
      <c r="A7427" s="340"/>
      <c r="B7427" s="340"/>
      <c r="C7427" s="340"/>
      <c r="D7427" s="340"/>
      <c r="E7427" s="340"/>
      <c r="F7427" s="340"/>
      <c r="G7427" s="340"/>
      <c r="H7427" s="340"/>
      <c r="I7427" s="340"/>
      <c r="J7427" s="340"/>
      <c r="K7427" s="340"/>
      <c r="L7427" s="340"/>
      <c r="M7427" s="340"/>
      <c r="N7427" s="340"/>
      <c r="O7427" s="340"/>
      <c r="P7427" s="340"/>
      <c r="Q7427" s="340"/>
      <c r="R7427" s="340"/>
      <c r="S7427" s="340"/>
      <c r="T7427" s="340"/>
    </row>
    <row r="7428" spans="1:20">
      <c r="A7428" s="340"/>
      <c r="B7428" s="340"/>
      <c r="C7428" s="340"/>
      <c r="D7428" s="340"/>
      <c r="E7428" s="340"/>
      <c r="F7428" s="340"/>
      <c r="G7428" s="340"/>
      <c r="H7428" s="340"/>
      <c r="I7428" s="340"/>
      <c r="J7428" s="340"/>
      <c r="K7428" s="340"/>
      <c r="L7428" s="340"/>
      <c r="M7428" s="340"/>
      <c r="N7428" s="340"/>
      <c r="O7428" s="340"/>
      <c r="P7428" s="340"/>
      <c r="Q7428" s="340"/>
      <c r="R7428" s="340"/>
      <c r="S7428" s="340"/>
      <c r="T7428" s="340"/>
    </row>
    <row r="7429" spans="1:20">
      <c r="A7429" s="340"/>
      <c r="B7429" s="340"/>
      <c r="C7429" s="340"/>
      <c r="D7429" s="340"/>
      <c r="E7429" s="340"/>
      <c r="F7429" s="340"/>
      <c r="G7429" s="340"/>
      <c r="H7429" s="340"/>
      <c r="I7429" s="340"/>
      <c r="J7429" s="340"/>
      <c r="K7429" s="340"/>
      <c r="L7429" s="340"/>
      <c r="M7429" s="340"/>
      <c r="N7429" s="340"/>
      <c r="O7429" s="340"/>
      <c r="P7429" s="340"/>
      <c r="Q7429" s="340"/>
      <c r="R7429" s="340"/>
      <c r="S7429" s="340"/>
      <c r="T7429" s="340"/>
    </row>
    <row r="7430" spans="1:20">
      <c r="A7430" s="340"/>
      <c r="B7430" s="340"/>
      <c r="C7430" s="340"/>
      <c r="D7430" s="340"/>
      <c r="E7430" s="340"/>
      <c r="F7430" s="340"/>
      <c r="G7430" s="340"/>
      <c r="H7430" s="340"/>
      <c r="I7430" s="340"/>
      <c r="J7430" s="340"/>
      <c r="K7430" s="340"/>
      <c r="L7430" s="340"/>
      <c r="M7430" s="340"/>
      <c r="N7430" s="340"/>
      <c r="O7430" s="340"/>
      <c r="P7430" s="340"/>
      <c r="Q7430" s="340"/>
      <c r="R7430" s="340"/>
      <c r="S7430" s="340"/>
      <c r="T7430" s="340"/>
    </row>
    <row r="7431" spans="1:20">
      <c r="A7431" s="340"/>
      <c r="B7431" s="340"/>
      <c r="C7431" s="340"/>
      <c r="D7431" s="340"/>
      <c r="E7431" s="340"/>
      <c r="F7431" s="340"/>
      <c r="G7431" s="340"/>
      <c r="H7431" s="340"/>
      <c r="I7431" s="340"/>
      <c r="J7431" s="340"/>
      <c r="K7431" s="340"/>
      <c r="L7431" s="340"/>
      <c r="M7431" s="340"/>
      <c r="N7431" s="340"/>
      <c r="O7431" s="340"/>
      <c r="P7431" s="340"/>
      <c r="Q7431" s="340"/>
      <c r="R7431" s="340"/>
      <c r="S7431" s="340"/>
      <c r="T7431" s="340"/>
    </row>
    <row r="7432" spans="1:20">
      <c r="A7432" s="340"/>
      <c r="B7432" s="340"/>
      <c r="C7432" s="340"/>
      <c r="D7432" s="340"/>
      <c r="E7432" s="340"/>
      <c r="F7432" s="340"/>
      <c r="G7432" s="340"/>
      <c r="H7432" s="340"/>
      <c r="I7432" s="340"/>
      <c r="J7432" s="340"/>
      <c r="K7432" s="340"/>
      <c r="L7432" s="340"/>
      <c r="M7432" s="340"/>
      <c r="N7432" s="340"/>
      <c r="O7432" s="340"/>
      <c r="P7432" s="340"/>
      <c r="Q7432" s="340"/>
      <c r="R7432" s="340"/>
      <c r="S7432" s="340"/>
      <c r="T7432" s="340"/>
    </row>
    <row r="7433" spans="1:20">
      <c r="A7433" s="340"/>
      <c r="B7433" s="340"/>
      <c r="C7433" s="340"/>
      <c r="D7433" s="340"/>
      <c r="E7433" s="340"/>
      <c r="F7433" s="340"/>
      <c r="G7433" s="340"/>
      <c r="H7433" s="340"/>
      <c r="I7433" s="340"/>
      <c r="J7433" s="340"/>
      <c r="K7433" s="340"/>
      <c r="L7433" s="340"/>
      <c r="M7433" s="340"/>
      <c r="N7433" s="340"/>
      <c r="O7433" s="340"/>
      <c r="P7433" s="340"/>
      <c r="Q7433" s="340"/>
      <c r="R7433" s="340"/>
      <c r="S7433" s="340"/>
      <c r="T7433" s="340"/>
    </row>
    <row r="7434" spans="1:20">
      <c r="A7434" s="340"/>
      <c r="B7434" s="340"/>
      <c r="C7434" s="340"/>
      <c r="D7434" s="340"/>
      <c r="E7434" s="340"/>
      <c r="F7434" s="340"/>
      <c r="G7434" s="340"/>
      <c r="H7434" s="340"/>
      <c r="I7434" s="340"/>
      <c r="J7434" s="340"/>
      <c r="K7434" s="340"/>
      <c r="L7434" s="340"/>
      <c r="M7434" s="340"/>
      <c r="N7434" s="340"/>
      <c r="O7434" s="340"/>
      <c r="P7434" s="340"/>
      <c r="Q7434" s="340"/>
      <c r="R7434" s="340"/>
      <c r="S7434" s="340"/>
      <c r="T7434" s="340"/>
    </row>
    <row r="7435" spans="1:20">
      <c r="A7435" s="340"/>
      <c r="B7435" s="340"/>
      <c r="C7435" s="340"/>
      <c r="D7435" s="340"/>
      <c r="E7435" s="340"/>
      <c r="F7435" s="340"/>
      <c r="G7435" s="340"/>
      <c r="H7435" s="340"/>
      <c r="I7435" s="340"/>
      <c r="J7435" s="340"/>
      <c r="K7435" s="340"/>
      <c r="L7435" s="340"/>
      <c r="M7435" s="340"/>
      <c r="N7435" s="340"/>
      <c r="O7435" s="340"/>
      <c r="P7435" s="340"/>
      <c r="Q7435" s="340"/>
      <c r="R7435" s="340"/>
      <c r="S7435" s="340"/>
      <c r="T7435" s="340"/>
    </row>
    <row r="7436" spans="1:20">
      <c r="A7436" s="340"/>
      <c r="B7436" s="340"/>
      <c r="C7436" s="340"/>
      <c r="D7436" s="340"/>
      <c r="E7436" s="340"/>
      <c r="F7436" s="340"/>
      <c r="G7436" s="340"/>
      <c r="H7436" s="340"/>
      <c r="I7436" s="340"/>
      <c r="J7436" s="340"/>
      <c r="K7436" s="340"/>
      <c r="L7436" s="340"/>
      <c r="M7436" s="340"/>
      <c r="N7436" s="340"/>
      <c r="O7436" s="340"/>
      <c r="P7436" s="340"/>
      <c r="Q7436" s="340"/>
      <c r="R7436" s="340"/>
      <c r="S7436" s="340"/>
      <c r="T7436" s="340"/>
    </row>
    <row r="7437" spans="1:20">
      <c r="A7437" s="340"/>
      <c r="B7437" s="340"/>
      <c r="C7437" s="340"/>
      <c r="D7437" s="340"/>
      <c r="E7437" s="340"/>
      <c r="F7437" s="340"/>
      <c r="G7437" s="340"/>
      <c r="H7437" s="340"/>
      <c r="I7437" s="340"/>
      <c r="J7437" s="340"/>
      <c r="K7437" s="340"/>
      <c r="L7437" s="340"/>
      <c r="M7437" s="340"/>
      <c r="N7437" s="340"/>
      <c r="O7437" s="340"/>
      <c r="P7437" s="340"/>
      <c r="Q7437" s="340"/>
      <c r="R7437" s="340"/>
      <c r="S7437" s="340"/>
      <c r="T7437" s="340"/>
    </row>
    <row r="7438" spans="1:20">
      <c r="A7438" s="340"/>
      <c r="B7438" s="340"/>
      <c r="C7438" s="340"/>
      <c r="D7438" s="340"/>
      <c r="E7438" s="340"/>
      <c r="F7438" s="340"/>
      <c r="G7438" s="340"/>
      <c r="H7438" s="340"/>
      <c r="I7438" s="340"/>
      <c r="J7438" s="340"/>
      <c r="K7438" s="340"/>
      <c r="L7438" s="340"/>
      <c r="M7438" s="340"/>
      <c r="N7438" s="340"/>
      <c r="O7438" s="340"/>
      <c r="P7438" s="340"/>
      <c r="Q7438" s="340"/>
      <c r="R7438" s="340"/>
      <c r="S7438" s="340"/>
      <c r="T7438" s="340"/>
    </row>
    <row r="7439" spans="1:20">
      <c r="A7439" s="340"/>
      <c r="B7439" s="340"/>
      <c r="C7439" s="340"/>
      <c r="D7439" s="340"/>
      <c r="E7439" s="340"/>
      <c r="F7439" s="340"/>
      <c r="G7439" s="340"/>
      <c r="H7439" s="340"/>
      <c r="I7439" s="340"/>
      <c r="J7439" s="340"/>
      <c r="K7439" s="340"/>
      <c r="L7439" s="340"/>
      <c r="M7439" s="340"/>
      <c r="N7439" s="340"/>
      <c r="O7439" s="340"/>
      <c r="P7439" s="340"/>
      <c r="Q7439" s="340"/>
      <c r="R7439" s="340"/>
      <c r="S7439" s="340"/>
      <c r="T7439" s="340"/>
    </row>
    <row r="7440" spans="1:20">
      <c r="A7440" s="340"/>
      <c r="B7440" s="340"/>
      <c r="C7440" s="340"/>
      <c r="D7440" s="340"/>
      <c r="E7440" s="340"/>
      <c r="F7440" s="340"/>
      <c r="G7440" s="340"/>
      <c r="H7440" s="340"/>
      <c r="I7440" s="340"/>
      <c r="J7440" s="340"/>
      <c r="K7440" s="340"/>
      <c r="L7440" s="340"/>
      <c r="M7440" s="340"/>
      <c r="N7440" s="340"/>
      <c r="O7440" s="340"/>
      <c r="P7440" s="340"/>
      <c r="Q7440" s="340"/>
      <c r="R7440" s="340"/>
      <c r="S7440" s="340"/>
      <c r="T7440" s="340"/>
    </row>
    <row r="7441" spans="1:20">
      <c r="A7441" s="340"/>
      <c r="B7441" s="340"/>
      <c r="C7441" s="340"/>
      <c r="D7441" s="340"/>
      <c r="E7441" s="340"/>
      <c r="F7441" s="340"/>
      <c r="G7441" s="340"/>
      <c r="H7441" s="340"/>
      <c r="I7441" s="340"/>
      <c r="J7441" s="340"/>
      <c r="K7441" s="340"/>
      <c r="L7441" s="340"/>
      <c r="M7441" s="340"/>
      <c r="N7441" s="340"/>
      <c r="O7441" s="340"/>
      <c r="P7441" s="340"/>
      <c r="Q7441" s="340"/>
      <c r="R7441" s="340"/>
      <c r="S7441" s="340"/>
      <c r="T7441" s="340"/>
    </row>
    <row r="7442" spans="1:20">
      <c r="A7442" s="340"/>
      <c r="B7442" s="340"/>
      <c r="C7442" s="340"/>
      <c r="D7442" s="340"/>
      <c r="E7442" s="340"/>
      <c r="F7442" s="340"/>
      <c r="G7442" s="340"/>
      <c r="H7442" s="340"/>
      <c r="I7442" s="340"/>
      <c r="J7442" s="340"/>
      <c r="K7442" s="340"/>
      <c r="L7442" s="340"/>
      <c r="M7442" s="340"/>
      <c r="N7442" s="340"/>
      <c r="O7442" s="340"/>
      <c r="P7442" s="340"/>
      <c r="Q7442" s="340"/>
      <c r="R7442" s="340"/>
      <c r="S7442" s="340"/>
      <c r="T7442" s="340"/>
    </row>
    <row r="7443" spans="1:20">
      <c r="A7443" s="340"/>
      <c r="B7443" s="340"/>
      <c r="C7443" s="340"/>
      <c r="D7443" s="340"/>
      <c r="E7443" s="340"/>
      <c r="F7443" s="340"/>
      <c r="G7443" s="340"/>
      <c r="H7443" s="340"/>
      <c r="I7443" s="340"/>
      <c r="J7443" s="340"/>
      <c r="K7443" s="340"/>
      <c r="L7443" s="340"/>
      <c r="M7443" s="340"/>
      <c r="N7443" s="340"/>
      <c r="O7443" s="340"/>
      <c r="P7443" s="340"/>
      <c r="Q7443" s="340"/>
      <c r="R7443" s="340"/>
      <c r="S7443" s="340"/>
      <c r="T7443" s="340"/>
    </row>
    <row r="7444" spans="1:20">
      <c r="A7444" s="340"/>
      <c r="B7444" s="340"/>
      <c r="C7444" s="340"/>
      <c r="D7444" s="340"/>
      <c r="E7444" s="340"/>
      <c r="F7444" s="340"/>
      <c r="G7444" s="340"/>
      <c r="H7444" s="340"/>
      <c r="I7444" s="340"/>
      <c r="J7444" s="340"/>
      <c r="K7444" s="340"/>
      <c r="L7444" s="340"/>
      <c r="M7444" s="340"/>
      <c r="N7444" s="340"/>
      <c r="O7444" s="340"/>
      <c r="P7444" s="340"/>
      <c r="Q7444" s="340"/>
      <c r="R7444" s="340"/>
      <c r="S7444" s="340"/>
      <c r="T7444" s="340"/>
    </row>
    <row r="7445" spans="1:20">
      <c r="A7445" s="340"/>
      <c r="B7445" s="340"/>
      <c r="C7445" s="340"/>
      <c r="D7445" s="340"/>
      <c r="E7445" s="340"/>
      <c r="F7445" s="340"/>
      <c r="G7445" s="340"/>
      <c r="H7445" s="340"/>
      <c r="I7445" s="340"/>
      <c r="J7445" s="340"/>
      <c r="K7445" s="340"/>
      <c r="L7445" s="340"/>
      <c r="M7445" s="340"/>
      <c r="N7445" s="340"/>
      <c r="O7445" s="340"/>
      <c r="P7445" s="340"/>
      <c r="Q7445" s="340"/>
      <c r="R7445" s="340"/>
      <c r="S7445" s="340"/>
      <c r="T7445" s="340"/>
    </row>
    <row r="7446" spans="1:20">
      <c r="A7446" s="340"/>
      <c r="B7446" s="340"/>
      <c r="C7446" s="340"/>
      <c r="D7446" s="340"/>
      <c r="E7446" s="340"/>
      <c r="F7446" s="340"/>
      <c r="G7446" s="340"/>
      <c r="H7446" s="340"/>
      <c r="I7446" s="340"/>
      <c r="J7446" s="340"/>
      <c r="K7446" s="340"/>
      <c r="L7446" s="340"/>
      <c r="M7446" s="340"/>
      <c r="N7446" s="340"/>
      <c r="O7446" s="340"/>
      <c r="P7446" s="340"/>
      <c r="Q7446" s="340"/>
      <c r="R7446" s="340"/>
      <c r="S7446" s="340"/>
      <c r="T7446" s="340"/>
    </row>
    <row r="7447" spans="1:20">
      <c r="A7447" s="340"/>
      <c r="B7447" s="340"/>
      <c r="C7447" s="340"/>
      <c r="D7447" s="340"/>
      <c r="E7447" s="340"/>
      <c r="F7447" s="340"/>
      <c r="G7447" s="340"/>
      <c r="H7447" s="340"/>
      <c r="I7447" s="340"/>
      <c r="J7447" s="340"/>
      <c r="K7447" s="340"/>
      <c r="L7447" s="340"/>
      <c r="M7447" s="340"/>
      <c r="N7447" s="340"/>
      <c r="O7447" s="340"/>
      <c r="P7447" s="340"/>
      <c r="Q7447" s="340"/>
      <c r="R7447" s="340"/>
      <c r="S7447" s="340"/>
      <c r="T7447" s="340"/>
    </row>
    <row r="7448" spans="1:20">
      <c r="A7448" s="340"/>
      <c r="B7448" s="340"/>
      <c r="C7448" s="340"/>
      <c r="D7448" s="340"/>
      <c r="E7448" s="340"/>
      <c r="F7448" s="340"/>
      <c r="G7448" s="340"/>
      <c r="H7448" s="340"/>
      <c r="I7448" s="340"/>
      <c r="J7448" s="340"/>
      <c r="K7448" s="340"/>
      <c r="L7448" s="340"/>
      <c r="M7448" s="340"/>
      <c r="N7448" s="340"/>
      <c r="O7448" s="340"/>
      <c r="P7448" s="340"/>
      <c r="Q7448" s="340"/>
      <c r="R7448" s="340"/>
      <c r="S7448" s="340"/>
      <c r="T7448" s="340"/>
    </row>
    <row r="7449" spans="1:20">
      <c r="A7449" s="340"/>
      <c r="B7449" s="340"/>
      <c r="C7449" s="340"/>
      <c r="D7449" s="340"/>
      <c r="E7449" s="340"/>
      <c r="F7449" s="340"/>
      <c r="G7449" s="340"/>
      <c r="H7449" s="340"/>
      <c r="I7449" s="340"/>
      <c r="J7449" s="340"/>
      <c r="K7449" s="340"/>
      <c r="L7449" s="340"/>
      <c r="M7449" s="340"/>
      <c r="N7449" s="340"/>
      <c r="O7449" s="340"/>
      <c r="P7449" s="340"/>
      <c r="Q7449" s="340"/>
      <c r="R7449" s="340"/>
      <c r="S7449" s="340"/>
      <c r="T7449" s="340"/>
    </row>
    <row r="7450" spans="1:20">
      <c r="A7450" s="340"/>
      <c r="B7450" s="340"/>
      <c r="C7450" s="340"/>
      <c r="D7450" s="340"/>
      <c r="E7450" s="340"/>
      <c r="F7450" s="340"/>
      <c r="G7450" s="340"/>
      <c r="H7450" s="340"/>
      <c r="I7450" s="340"/>
      <c r="J7450" s="340"/>
      <c r="K7450" s="340"/>
      <c r="L7450" s="340"/>
      <c r="M7450" s="340"/>
      <c r="N7450" s="340"/>
      <c r="O7450" s="340"/>
      <c r="P7450" s="340"/>
      <c r="Q7450" s="340"/>
      <c r="R7450" s="340"/>
      <c r="S7450" s="340"/>
      <c r="T7450" s="340"/>
    </row>
    <row r="7451" spans="1:20">
      <c r="A7451" s="340"/>
      <c r="B7451" s="340"/>
      <c r="C7451" s="340"/>
      <c r="D7451" s="340"/>
      <c r="E7451" s="340"/>
      <c r="F7451" s="340"/>
      <c r="G7451" s="340"/>
      <c r="H7451" s="340"/>
      <c r="I7451" s="340"/>
      <c r="J7451" s="340"/>
      <c r="K7451" s="340"/>
      <c r="L7451" s="340"/>
      <c r="M7451" s="340"/>
      <c r="N7451" s="340"/>
      <c r="O7451" s="340"/>
      <c r="P7451" s="340"/>
      <c r="Q7451" s="340"/>
      <c r="R7451" s="340"/>
      <c r="S7451" s="340"/>
      <c r="T7451" s="340"/>
    </row>
    <row r="7452" spans="1:20">
      <c r="A7452" s="340"/>
      <c r="B7452" s="340"/>
      <c r="C7452" s="340"/>
      <c r="D7452" s="340"/>
      <c r="E7452" s="340"/>
      <c r="F7452" s="340"/>
      <c r="G7452" s="340"/>
      <c r="H7452" s="340"/>
      <c r="I7452" s="340"/>
      <c r="J7452" s="340"/>
      <c r="K7452" s="340"/>
      <c r="L7452" s="340"/>
      <c r="M7452" s="340"/>
      <c r="N7452" s="340"/>
      <c r="O7452" s="340"/>
      <c r="P7452" s="340"/>
      <c r="Q7452" s="340"/>
      <c r="R7452" s="340"/>
      <c r="S7452" s="340"/>
      <c r="T7452" s="340"/>
    </row>
    <row r="7453" spans="1:20">
      <c r="A7453" s="340"/>
      <c r="B7453" s="340"/>
      <c r="C7453" s="340"/>
      <c r="D7453" s="340"/>
      <c r="E7453" s="340"/>
      <c r="F7453" s="340"/>
      <c r="G7453" s="340"/>
      <c r="H7453" s="340"/>
      <c r="I7453" s="340"/>
      <c r="J7453" s="340"/>
      <c r="K7453" s="340"/>
      <c r="L7453" s="340"/>
      <c r="M7453" s="340"/>
      <c r="N7453" s="340"/>
      <c r="O7453" s="340"/>
      <c r="P7453" s="340"/>
      <c r="Q7453" s="340"/>
      <c r="R7453" s="340"/>
      <c r="S7453" s="340"/>
      <c r="T7453" s="340"/>
    </row>
    <row r="7454" spans="1:20">
      <c r="A7454" s="340"/>
      <c r="B7454" s="340"/>
      <c r="C7454" s="340"/>
      <c r="D7454" s="340"/>
      <c r="E7454" s="340"/>
      <c r="F7454" s="340"/>
      <c r="G7454" s="340"/>
      <c r="H7454" s="340"/>
      <c r="I7454" s="340"/>
      <c r="J7454" s="340"/>
      <c r="K7454" s="340"/>
      <c r="L7454" s="340"/>
      <c r="M7454" s="340"/>
      <c r="N7454" s="340"/>
      <c r="O7454" s="340"/>
      <c r="P7454" s="340"/>
      <c r="Q7454" s="340"/>
      <c r="R7454" s="340"/>
      <c r="S7454" s="340"/>
      <c r="T7454" s="340"/>
    </row>
    <row r="7455" spans="1:20">
      <c r="A7455" s="340"/>
      <c r="B7455" s="340"/>
      <c r="C7455" s="340"/>
      <c r="D7455" s="340"/>
      <c r="E7455" s="340"/>
      <c r="F7455" s="340"/>
      <c r="G7455" s="340"/>
      <c r="H7455" s="340"/>
      <c r="I7455" s="340"/>
      <c r="J7455" s="340"/>
      <c r="K7455" s="340"/>
      <c r="L7455" s="340"/>
      <c r="M7455" s="340"/>
      <c r="N7455" s="340"/>
      <c r="O7455" s="340"/>
      <c r="P7455" s="340"/>
      <c r="Q7455" s="340"/>
      <c r="R7455" s="340"/>
      <c r="S7455" s="340"/>
      <c r="T7455" s="340"/>
    </row>
    <row r="7456" spans="1:20">
      <c r="A7456" s="340"/>
      <c r="B7456" s="340"/>
      <c r="C7456" s="340"/>
      <c r="D7456" s="340"/>
      <c r="E7456" s="340"/>
      <c r="F7456" s="340"/>
      <c r="G7456" s="340"/>
      <c r="H7456" s="340"/>
      <c r="I7456" s="340"/>
      <c r="J7456" s="340"/>
      <c r="K7456" s="340"/>
      <c r="L7456" s="340"/>
      <c r="M7456" s="340"/>
      <c r="N7456" s="340"/>
      <c r="O7456" s="340"/>
      <c r="P7456" s="340"/>
      <c r="Q7456" s="340"/>
      <c r="R7456" s="340"/>
      <c r="S7456" s="340"/>
      <c r="T7456" s="340"/>
    </row>
    <row r="7457" spans="1:20">
      <c r="A7457" s="340"/>
      <c r="B7457" s="340"/>
      <c r="C7457" s="340"/>
      <c r="D7457" s="340"/>
      <c r="E7457" s="340"/>
      <c r="F7457" s="340"/>
      <c r="G7457" s="340"/>
      <c r="H7457" s="340"/>
      <c r="I7457" s="340"/>
      <c r="J7457" s="340"/>
      <c r="K7457" s="340"/>
      <c r="L7457" s="340"/>
      <c r="M7457" s="340"/>
      <c r="N7457" s="340"/>
      <c r="O7457" s="340"/>
      <c r="P7457" s="340"/>
      <c r="Q7457" s="340"/>
      <c r="R7457" s="340"/>
      <c r="S7457" s="340"/>
      <c r="T7457" s="340"/>
    </row>
    <row r="7458" spans="1:20">
      <c r="A7458" s="340"/>
      <c r="B7458" s="340"/>
      <c r="C7458" s="340"/>
      <c r="D7458" s="340"/>
      <c r="E7458" s="340"/>
      <c r="F7458" s="340"/>
      <c r="G7458" s="340"/>
      <c r="H7458" s="340"/>
      <c r="I7458" s="340"/>
      <c r="J7458" s="340"/>
      <c r="K7458" s="340"/>
      <c r="L7458" s="340"/>
      <c r="M7458" s="340"/>
      <c r="N7458" s="340"/>
      <c r="O7458" s="340"/>
      <c r="P7458" s="340"/>
      <c r="Q7458" s="340"/>
      <c r="R7458" s="340"/>
      <c r="S7458" s="340"/>
      <c r="T7458" s="340"/>
    </row>
    <row r="7459" spans="1:20">
      <c r="A7459" s="340"/>
      <c r="B7459" s="340"/>
      <c r="C7459" s="340"/>
      <c r="D7459" s="340"/>
      <c r="E7459" s="340"/>
      <c r="F7459" s="340"/>
      <c r="G7459" s="340"/>
      <c r="H7459" s="340"/>
      <c r="I7459" s="340"/>
      <c r="J7459" s="340"/>
      <c r="K7459" s="340"/>
      <c r="L7459" s="340"/>
      <c r="M7459" s="340"/>
      <c r="N7459" s="340"/>
      <c r="O7459" s="340"/>
      <c r="P7459" s="340"/>
      <c r="Q7459" s="340"/>
      <c r="R7459" s="340"/>
      <c r="S7459" s="340"/>
      <c r="T7459" s="340"/>
    </row>
    <row r="7460" spans="1:20">
      <c r="A7460" s="340"/>
      <c r="B7460" s="340"/>
      <c r="C7460" s="340"/>
      <c r="D7460" s="340"/>
      <c r="E7460" s="340"/>
      <c r="F7460" s="340"/>
      <c r="G7460" s="340"/>
      <c r="H7460" s="340"/>
      <c r="I7460" s="340"/>
      <c r="J7460" s="340"/>
      <c r="K7460" s="340"/>
      <c r="L7460" s="340"/>
      <c r="M7460" s="340"/>
      <c r="N7460" s="340"/>
      <c r="O7460" s="340"/>
      <c r="P7460" s="340"/>
      <c r="Q7460" s="340"/>
      <c r="R7460" s="340"/>
      <c r="S7460" s="340"/>
      <c r="T7460" s="340"/>
    </row>
    <row r="7461" spans="1:20">
      <c r="A7461" s="340"/>
      <c r="B7461" s="340"/>
      <c r="C7461" s="340"/>
      <c r="D7461" s="340"/>
      <c r="E7461" s="340"/>
      <c r="F7461" s="340"/>
      <c r="G7461" s="340"/>
      <c r="H7461" s="340"/>
      <c r="I7461" s="340"/>
      <c r="J7461" s="340"/>
      <c r="K7461" s="340"/>
      <c r="L7461" s="340"/>
      <c r="M7461" s="340"/>
      <c r="N7461" s="340"/>
      <c r="O7461" s="340"/>
      <c r="P7461" s="340"/>
      <c r="Q7461" s="340"/>
      <c r="R7461" s="340"/>
      <c r="S7461" s="340"/>
      <c r="T7461" s="340"/>
    </row>
    <row r="7462" spans="1:20">
      <c r="A7462" s="340"/>
      <c r="B7462" s="340"/>
      <c r="C7462" s="340"/>
      <c r="D7462" s="340"/>
      <c r="E7462" s="340"/>
      <c r="F7462" s="340"/>
      <c r="G7462" s="340"/>
      <c r="H7462" s="340"/>
      <c r="I7462" s="340"/>
      <c r="J7462" s="340"/>
      <c r="K7462" s="340"/>
      <c r="L7462" s="340"/>
      <c r="M7462" s="340"/>
      <c r="N7462" s="340"/>
      <c r="O7462" s="340"/>
      <c r="P7462" s="340"/>
      <c r="Q7462" s="340"/>
      <c r="R7462" s="340"/>
      <c r="S7462" s="340"/>
      <c r="T7462" s="340"/>
    </row>
    <row r="7463" spans="1:20">
      <c r="A7463" s="340"/>
      <c r="B7463" s="340"/>
      <c r="C7463" s="340"/>
      <c r="D7463" s="340"/>
      <c r="E7463" s="340"/>
      <c r="F7463" s="340"/>
      <c r="G7463" s="340"/>
      <c r="H7463" s="340"/>
      <c r="I7463" s="340"/>
      <c r="J7463" s="340"/>
      <c r="K7463" s="340"/>
      <c r="L7463" s="340"/>
      <c r="M7463" s="340"/>
      <c r="N7463" s="340"/>
      <c r="O7463" s="340"/>
      <c r="P7463" s="340"/>
      <c r="Q7463" s="340"/>
      <c r="R7463" s="340"/>
      <c r="S7463" s="340"/>
      <c r="T7463" s="340"/>
    </row>
    <row r="7464" spans="1:20">
      <c r="A7464" s="340"/>
      <c r="B7464" s="340"/>
      <c r="C7464" s="340"/>
      <c r="D7464" s="340"/>
      <c r="E7464" s="340"/>
      <c r="F7464" s="340"/>
      <c r="G7464" s="340"/>
      <c r="H7464" s="340"/>
      <c r="I7464" s="340"/>
      <c r="J7464" s="340"/>
      <c r="K7464" s="340"/>
      <c r="L7464" s="340"/>
      <c r="M7464" s="340"/>
      <c r="N7464" s="340"/>
      <c r="O7464" s="340"/>
      <c r="P7464" s="340"/>
      <c r="Q7464" s="340"/>
      <c r="R7464" s="340"/>
      <c r="S7464" s="340"/>
      <c r="T7464" s="340"/>
    </row>
    <row r="7465" spans="1:20">
      <c r="A7465" s="340"/>
      <c r="B7465" s="340"/>
      <c r="C7465" s="340"/>
      <c r="D7465" s="340"/>
      <c r="E7465" s="340"/>
      <c r="F7465" s="340"/>
      <c r="G7465" s="340"/>
      <c r="H7465" s="340"/>
      <c r="I7465" s="340"/>
      <c r="J7465" s="340"/>
      <c r="K7465" s="340"/>
      <c r="L7465" s="340"/>
      <c r="M7465" s="340"/>
      <c r="N7465" s="340"/>
      <c r="O7465" s="340"/>
      <c r="P7465" s="340"/>
      <c r="Q7465" s="340"/>
      <c r="R7465" s="340"/>
      <c r="S7465" s="340"/>
      <c r="T7465" s="340"/>
    </row>
    <row r="7466" spans="1:20">
      <c r="A7466" s="340"/>
      <c r="B7466" s="340"/>
      <c r="C7466" s="340"/>
      <c r="D7466" s="340"/>
      <c r="E7466" s="340"/>
      <c r="F7466" s="340"/>
      <c r="G7466" s="340"/>
      <c r="H7466" s="340"/>
      <c r="I7466" s="340"/>
      <c r="J7466" s="340"/>
      <c r="K7466" s="340"/>
      <c r="L7466" s="340"/>
      <c r="M7466" s="340"/>
      <c r="N7466" s="340"/>
      <c r="O7466" s="340"/>
      <c r="P7466" s="340"/>
      <c r="Q7466" s="340"/>
      <c r="R7466" s="340"/>
      <c r="S7466" s="340"/>
      <c r="T7466" s="340"/>
    </row>
    <row r="7467" spans="1:20">
      <c r="A7467" s="340"/>
      <c r="B7467" s="340"/>
      <c r="C7467" s="340"/>
      <c r="D7467" s="340"/>
      <c r="E7467" s="340"/>
      <c r="F7467" s="340"/>
      <c r="G7467" s="340"/>
      <c r="H7467" s="340"/>
      <c r="I7467" s="340"/>
      <c r="J7467" s="340"/>
      <c r="K7467" s="340"/>
      <c r="L7467" s="340"/>
      <c r="M7467" s="340"/>
      <c r="N7467" s="340"/>
      <c r="O7467" s="340"/>
      <c r="P7467" s="340"/>
      <c r="Q7467" s="340"/>
      <c r="R7467" s="340"/>
      <c r="S7467" s="340"/>
      <c r="T7467" s="340"/>
    </row>
    <row r="7468" spans="1:20">
      <c r="A7468" s="340"/>
      <c r="B7468" s="340"/>
      <c r="C7468" s="340"/>
      <c r="D7468" s="340"/>
      <c r="E7468" s="340"/>
      <c r="F7468" s="340"/>
      <c r="G7468" s="340"/>
      <c r="H7468" s="340"/>
      <c r="I7468" s="340"/>
      <c r="J7468" s="340"/>
      <c r="K7468" s="340"/>
      <c r="L7468" s="340"/>
      <c r="M7468" s="340"/>
      <c r="N7468" s="340"/>
      <c r="O7468" s="340"/>
      <c r="P7468" s="340"/>
      <c r="Q7468" s="340"/>
      <c r="R7468" s="340"/>
      <c r="S7468" s="340"/>
      <c r="T7468" s="340"/>
    </row>
    <row r="7469" spans="1:20">
      <c r="A7469" s="340"/>
      <c r="B7469" s="340"/>
      <c r="C7469" s="340"/>
      <c r="D7469" s="340"/>
      <c r="E7469" s="340"/>
      <c r="F7469" s="340"/>
      <c r="G7469" s="340"/>
      <c r="H7469" s="340"/>
      <c r="I7469" s="340"/>
      <c r="J7469" s="340"/>
      <c r="K7469" s="340"/>
      <c r="L7469" s="340"/>
      <c r="M7469" s="340"/>
      <c r="N7469" s="340"/>
      <c r="O7469" s="340"/>
      <c r="P7469" s="340"/>
      <c r="Q7469" s="340"/>
      <c r="R7469" s="340"/>
      <c r="S7469" s="340"/>
      <c r="T7469" s="340"/>
    </row>
    <row r="7470" spans="1:20">
      <c r="A7470" s="340"/>
      <c r="B7470" s="340"/>
      <c r="C7470" s="340"/>
      <c r="D7470" s="340"/>
      <c r="E7470" s="340"/>
      <c r="F7470" s="340"/>
      <c r="G7470" s="340"/>
      <c r="H7470" s="340"/>
      <c r="I7470" s="340"/>
      <c r="J7470" s="340"/>
      <c r="K7470" s="340"/>
      <c r="L7470" s="340"/>
      <c r="M7470" s="340"/>
      <c r="N7470" s="340"/>
      <c r="O7470" s="340"/>
      <c r="P7470" s="340"/>
      <c r="Q7470" s="340"/>
      <c r="R7470" s="340"/>
      <c r="S7470" s="340"/>
      <c r="T7470" s="340"/>
    </row>
    <row r="7471" spans="1:20">
      <c r="A7471" s="340"/>
      <c r="B7471" s="340"/>
      <c r="C7471" s="340"/>
      <c r="D7471" s="340"/>
      <c r="E7471" s="340"/>
      <c r="F7471" s="340"/>
      <c r="G7471" s="340"/>
      <c r="H7471" s="340"/>
      <c r="I7471" s="340"/>
      <c r="J7471" s="340"/>
      <c r="K7471" s="340"/>
      <c r="L7471" s="340"/>
      <c r="M7471" s="340"/>
      <c r="N7471" s="340"/>
      <c r="O7471" s="340"/>
      <c r="P7471" s="340"/>
      <c r="Q7471" s="340"/>
      <c r="R7471" s="340"/>
      <c r="S7471" s="340"/>
      <c r="T7471" s="340"/>
    </row>
    <row r="7472" spans="1:20">
      <c r="A7472" s="340"/>
      <c r="B7472" s="340"/>
      <c r="C7472" s="340"/>
      <c r="D7472" s="340"/>
      <c r="E7472" s="340"/>
      <c r="F7472" s="340"/>
      <c r="G7472" s="340"/>
      <c r="H7472" s="340"/>
      <c r="I7472" s="340"/>
      <c r="J7472" s="340"/>
      <c r="K7472" s="340"/>
      <c r="L7472" s="340"/>
      <c r="M7472" s="340"/>
      <c r="N7472" s="340"/>
      <c r="O7472" s="340"/>
      <c r="P7472" s="340"/>
      <c r="Q7472" s="340"/>
      <c r="R7472" s="340"/>
      <c r="S7472" s="340"/>
      <c r="T7472" s="340"/>
    </row>
    <row r="7473" spans="1:20">
      <c r="A7473" s="340"/>
      <c r="B7473" s="340"/>
      <c r="C7473" s="340"/>
      <c r="D7473" s="340"/>
      <c r="E7473" s="340"/>
      <c r="F7473" s="340"/>
      <c r="G7473" s="340"/>
      <c r="H7473" s="340"/>
      <c r="I7473" s="340"/>
      <c r="J7473" s="340"/>
      <c r="K7473" s="340"/>
      <c r="L7473" s="340"/>
      <c r="M7473" s="340"/>
      <c r="N7473" s="340"/>
      <c r="O7473" s="340"/>
      <c r="P7473" s="340"/>
      <c r="Q7473" s="340"/>
      <c r="R7473" s="340"/>
      <c r="S7473" s="340"/>
      <c r="T7473" s="340"/>
    </row>
    <row r="7474" spans="1:20">
      <c r="A7474" s="340"/>
      <c r="B7474" s="340"/>
      <c r="C7474" s="340"/>
      <c r="D7474" s="340"/>
      <c r="E7474" s="340"/>
      <c r="F7474" s="340"/>
      <c r="G7474" s="340"/>
      <c r="H7474" s="340"/>
      <c r="I7474" s="340"/>
      <c r="J7474" s="340"/>
      <c r="K7474" s="340"/>
      <c r="L7474" s="340"/>
      <c r="M7474" s="340"/>
      <c r="N7474" s="340"/>
      <c r="O7474" s="340"/>
      <c r="P7474" s="340"/>
      <c r="Q7474" s="340"/>
      <c r="R7474" s="340"/>
      <c r="S7474" s="340"/>
      <c r="T7474" s="340"/>
    </row>
    <row r="7475" spans="1:20">
      <c r="A7475" s="340"/>
      <c r="B7475" s="340"/>
      <c r="C7475" s="340"/>
      <c r="D7475" s="340"/>
      <c r="E7475" s="340"/>
      <c r="F7475" s="340"/>
      <c r="G7475" s="340"/>
      <c r="H7475" s="340"/>
      <c r="I7475" s="340"/>
      <c r="J7475" s="340"/>
      <c r="K7475" s="340"/>
      <c r="L7475" s="340"/>
      <c r="M7475" s="340"/>
      <c r="N7475" s="340"/>
      <c r="O7475" s="340"/>
      <c r="P7475" s="340"/>
      <c r="Q7475" s="340"/>
      <c r="R7475" s="340"/>
      <c r="S7475" s="340"/>
      <c r="T7475" s="340"/>
    </row>
    <row r="7476" spans="1:20">
      <c r="A7476" s="340"/>
      <c r="B7476" s="340"/>
      <c r="C7476" s="340"/>
      <c r="D7476" s="340"/>
      <c r="E7476" s="340"/>
      <c r="F7476" s="340"/>
      <c r="G7476" s="340"/>
      <c r="H7476" s="340"/>
      <c r="I7476" s="340"/>
      <c r="J7476" s="340"/>
      <c r="K7476" s="340"/>
      <c r="L7476" s="340"/>
      <c r="M7476" s="340"/>
      <c r="N7476" s="340"/>
      <c r="O7476" s="340"/>
      <c r="P7476" s="340"/>
      <c r="Q7476" s="340"/>
      <c r="R7476" s="340"/>
      <c r="S7476" s="340"/>
      <c r="T7476" s="340"/>
    </row>
    <row r="7477" spans="1:20">
      <c r="A7477" s="340"/>
      <c r="B7477" s="340"/>
      <c r="C7477" s="340"/>
      <c r="D7477" s="340"/>
      <c r="E7477" s="340"/>
      <c r="F7477" s="340"/>
      <c r="G7477" s="340"/>
      <c r="H7477" s="340"/>
      <c r="I7477" s="340"/>
      <c r="J7477" s="340"/>
      <c r="K7477" s="340"/>
      <c r="L7477" s="340"/>
      <c r="M7477" s="340"/>
      <c r="N7477" s="340"/>
      <c r="O7477" s="340"/>
      <c r="P7477" s="340"/>
      <c r="Q7477" s="340"/>
      <c r="R7477" s="340"/>
      <c r="S7477" s="340"/>
      <c r="T7477" s="340"/>
    </row>
    <row r="7478" spans="1:20">
      <c r="A7478" s="340"/>
      <c r="B7478" s="340"/>
      <c r="C7478" s="340"/>
      <c r="D7478" s="340"/>
      <c r="E7478" s="340"/>
      <c r="F7478" s="340"/>
      <c r="G7478" s="340"/>
      <c r="H7478" s="340"/>
      <c r="I7478" s="340"/>
      <c r="J7478" s="340"/>
      <c r="K7478" s="340"/>
      <c r="L7478" s="340"/>
      <c r="M7478" s="340"/>
      <c r="N7478" s="340"/>
      <c r="O7478" s="340"/>
      <c r="P7478" s="340"/>
      <c r="Q7478" s="340"/>
      <c r="R7478" s="340"/>
      <c r="S7478" s="340"/>
      <c r="T7478" s="340"/>
    </row>
    <row r="7479" spans="1:20">
      <c r="A7479" s="340"/>
      <c r="B7479" s="340"/>
      <c r="C7479" s="340"/>
      <c r="D7479" s="340"/>
      <c r="E7479" s="340"/>
      <c r="F7479" s="340"/>
      <c r="G7479" s="340"/>
      <c r="H7479" s="340"/>
      <c r="I7479" s="340"/>
      <c r="J7479" s="340"/>
      <c r="K7479" s="340"/>
      <c r="L7479" s="340"/>
      <c r="M7479" s="340"/>
      <c r="N7479" s="340"/>
      <c r="O7479" s="340"/>
      <c r="P7479" s="340"/>
      <c r="Q7479" s="340"/>
      <c r="R7479" s="340"/>
      <c r="S7479" s="340"/>
      <c r="T7479" s="340"/>
    </row>
    <row r="7480" spans="1:20">
      <c r="A7480" s="340"/>
      <c r="B7480" s="340"/>
      <c r="C7480" s="340"/>
      <c r="D7480" s="340"/>
      <c r="E7480" s="340"/>
      <c r="F7480" s="340"/>
      <c r="G7480" s="340"/>
      <c r="H7480" s="340"/>
      <c r="I7480" s="340"/>
      <c r="J7480" s="340"/>
      <c r="K7480" s="340"/>
      <c r="L7480" s="340"/>
      <c r="M7480" s="340"/>
      <c r="N7480" s="340"/>
      <c r="O7480" s="340"/>
      <c r="P7480" s="340"/>
      <c r="Q7480" s="340"/>
      <c r="R7480" s="340"/>
      <c r="S7480" s="340"/>
      <c r="T7480" s="340"/>
    </row>
    <row r="7481" spans="1:20">
      <c r="A7481" s="340"/>
      <c r="B7481" s="340"/>
      <c r="C7481" s="340"/>
      <c r="D7481" s="340"/>
      <c r="E7481" s="340"/>
      <c r="F7481" s="340"/>
      <c r="G7481" s="340"/>
      <c r="H7481" s="340"/>
      <c r="I7481" s="340"/>
      <c r="J7481" s="340"/>
      <c r="K7481" s="340"/>
      <c r="L7481" s="340"/>
      <c r="M7481" s="340"/>
      <c r="N7481" s="340"/>
      <c r="O7481" s="340"/>
      <c r="P7481" s="340"/>
      <c r="Q7481" s="340"/>
      <c r="R7481" s="340"/>
      <c r="S7481" s="340"/>
      <c r="T7481" s="340"/>
    </row>
    <row r="7482" spans="1:20">
      <c r="A7482" s="340"/>
      <c r="B7482" s="340"/>
      <c r="C7482" s="340"/>
      <c r="D7482" s="340"/>
      <c r="E7482" s="340"/>
      <c r="F7482" s="340"/>
      <c r="G7482" s="340"/>
      <c r="H7482" s="340"/>
      <c r="I7482" s="340"/>
      <c r="J7482" s="340"/>
      <c r="K7482" s="340"/>
      <c r="L7482" s="340"/>
      <c r="M7482" s="340"/>
      <c r="N7482" s="340"/>
      <c r="O7482" s="340"/>
      <c r="P7482" s="340"/>
      <c r="Q7482" s="340"/>
      <c r="R7482" s="340"/>
      <c r="S7482" s="340"/>
      <c r="T7482" s="340"/>
    </row>
    <row r="7483" spans="1:20">
      <c r="A7483" s="340"/>
      <c r="B7483" s="340"/>
      <c r="C7483" s="340"/>
      <c r="D7483" s="340"/>
      <c r="E7483" s="340"/>
      <c r="F7483" s="340"/>
      <c r="G7483" s="340"/>
      <c r="H7483" s="340"/>
      <c r="I7483" s="340"/>
      <c r="J7483" s="340"/>
      <c r="K7483" s="340"/>
      <c r="L7483" s="340"/>
      <c r="M7483" s="340"/>
      <c r="N7483" s="340"/>
      <c r="O7483" s="340"/>
      <c r="P7483" s="340"/>
      <c r="Q7483" s="340"/>
      <c r="R7483" s="340"/>
      <c r="S7483" s="340"/>
      <c r="T7483" s="340"/>
    </row>
    <row r="7484" spans="1:20">
      <c r="A7484" s="340"/>
      <c r="B7484" s="340"/>
      <c r="C7484" s="340"/>
      <c r="D7484" s="340"/>
      <c r="E7484" s="340"/>
      <c r="F7484" s="340"/>
      <c r="G7484" s="340"/>
      <c r="H7484" s="340"/>
      <c r="I7484" s="340"/>
      <c r="J7484" s="340"/>
      <c r="K7484" s="340"/>
      <c r="L7484" s="340"/>
      <c r="M7484" s="340"/>
      <c r="N7484" s="340"/>
      <c r="O7484" s="340"/>
      <c r="P7484" s="340"/>
      <c r="Q7484" s="340"/>
      <c r="R7484" s="340"/>
      <c r="S7484" s="340"/>
      <c r="T7484" s="340"/>
    </row>
    <row r="7485" spans="1:20">
      <c r="A7485" s="340"/>
      <c r="B7485" s="340"/>
      <c r="C7485" s="340"/>
      <c r="D7485" s="340"/>
      <c r="E7485" s="340"/>
      <c r="F7485" s="340"/>
      <c r="G7485" s="340"/>
      <c r="H7485" s="340"/>
      <c r="I7485" s="340"/>
      <c r="J7485" s="340"/>
      <c r="K7485" s="340"/>
      <c r="L7485" s="340"/>
      <c r="M7485" s="340"/>
      <c r="N7485" s="340"/>
      <c r="O7485" s="340"/>
      <c r="P7485" s="340"/>
      <c r="Q7485" s="340"/>
      <c r="R7485" s="340"/>
      <c r="S7485" s="340"/>
      <c r="T7485" s="340"/>
    </row>
    <row r="7486" spans="1:20">
      <c r="A7486" s="340"/>
      <c r="B7486" s="340"/>
      <c r="C7486" s="340"/>
      <c r="D7486" s="340"/>
      <c r="E7486" s="340"/>
      <c r="F7486" s="340"/>
      <c r="G7486" s="340"/>
      <c r="H7486" s="340"/>
      <c r="I7486" s="340"/>
      <c r="J7486" s="340"/>
      <c r="K7486" s="340"/>
      <c r="L7486" s="340"/>
      <c r="M7486" s="340"/>
      <c r="N7486" s="340"/>
      <c r="O7486" s="340"/>
      <c r="P7486" s="340"/>
      <c r="Q7486" s="340"/>
      <c r="R7486" s="340"/>
      <c r="S7486" s="340"/>
      <c r="T7486" s="340"/>
    </row>
    <row r="7487" spans="1:20">
      <c r="A7487" s="340"/>
      <c r="B7487" s="340"/>
      <c r="C7487" s="340"/>
      <c r="D7487" s="340"/>
      <c r="E7487" s="340"/>
      <c r="F7487" s="340"/>
      <c r="G7487" s="340"/>
      <c r="H7487" s="340"/>
      <c r="I7487" s="340"/>
      <c r="J7487" s="340"/>
      <c r="K7487" s="340"/>
      <c r="L7487" s="340"/>
      <c r="M7487" s="340"/>
      <c r="N7487" s="340"/>
      <c r="O7487" s="340"/>
      <c r="P7487" s="340"/>
      <c r="Q7487" s="340"/>
      <c r="R7487" s="340"/>
      <c r="S7487" s="340"/>
      <c r="T7487" s="340"/>
    </row>
    <row r="7488" spans="1:20">
      <c r="A7488" s="340"/>
      <c r="B7488" s="340"/>
      <c r="C7488" s="340"/>
      <c r="D7488" s="340"/>
      <c r="E7488" s="340"/>
      <c r="F7488" s="340"/>
      <c r="G7488" s="340"/>
      <c r="H7488" s="340"/>
      <c r="I7488" s="340"/>
      <c r="J7488" s="340"/>
      <c r="K7488" s="340"/>
      <c r="L7488" s="340"/>
      <c r="M7488" s="340"/>
      <c r="N7488" s="340"/>
      <c r="O7488" s="340"/>
      <c r="P7488" s="340"/>
      <c r="Q7488" s="340"/>
      <c r="R7488" s="340"/>
      <c r="S7488" s="340"/>
      <c r="T7488" s="340"/>
    </row>
    <row r="7489" spans="1:20">
      <c r="A7489" s="340"/>
      <c r="B7489" s="340"/>
      <c r="C7489" s="340"/>
      <c r="D7489" s="340"/>
      <c r="E7489" s="340"/>
      <c r="F7489" s="340"/>
      <c r="G7489" s="340"/>
      <c r="H7489" s="340"/>
      <c r="I7489" s="340"/>
      <c r="J7489" s="340"/>
      <c r="K7489" s="340"/>
      <c r="L7489" s="340"/>
      <c r="M7489" s="340"/>
      <c r="N7489" s="340"/>
      <c r="O7489" s="340"/>
      <c r="P7489" s="340"/>
      <c r="Q7489" s="340"/>
      <c r="R7489" s="340"/>
      <c r="S7489" s="340"/>
      <c r="T7489" s="340"/>
    </row>
    <row r="7490" spans="1:20">
      <c r="A7490" s="340"/>
      <c r="B7490" s="340"/>
      <c r="C7490" s="340"/>
      <c r="D7490" s="340"/>
      <c r="E7490" s="340"/>
      <c r="F7490" s="340"/>
      <c r="G7490" s="340"/>
      <c r="H7490" s="340"/>
      <c r="I7490" s="340"/>
      <c r="J7490" s="340"/>
      <c r="K7490" s="340"/>
      <c r="L7490" s="340"/>
      <c r="M7490" s="340"/>
      <c r="N7490" s="340"/>
      <c r="O7490" s="340"/>
      <c r="P7490" s="340"/>
      <c r="Q7490" s="340"/>
      <c r="R7490" s="340"/>
      <c r="S7490" s="340"/>
      <c r="T7490" s="340"/>
    </row>
    <row r="7491" spans="1:20">
      <c r="A7491" s="340"/>
      <c r="B7491" s="340"/>
      <c r="C7491" s="340"/>
      <c r="D7491" s="340"/>
      <c r="E7491" s="340"/>
      <c r="F7491" s="340"/>
      <c r="G7491" s="340"/>
      <c r="H7491" s="340"/>
      <c r="I7491" s="340"/>
      <c r="J7491" s="340"/>
      <c r="K7491" s="340"/>
      <c r="L7491" s="340"/>
      <c r="M7491" s="340"/>
      <c r="N7491" s="340"/>
      <c r="O7491" s="340"/>
      <c r="P7491" s="340"/>
      <c r="Q7491" s="340"/>
      <c r="R7491" s="340"/>
      <c r="S7491" s="340"/>
      <c r="T7491" s="340"/>
    </row>
    <row r="7492" spans="1:20">
      <c r="A7492" s="340"/>
      <c r="B7492" s="340"/>
      <c r="C7492" s="340"/>
      <c r="D7492" s="340"/>
      <c r="E7492" s="340"/>
      <c r="F7492" s="340"/>
      <c r="G7492" s="340"/>
      <c r="H7492" s="340"/>
      <c r="I7492" s="340"/>
      <c r="J7492" s="340"/>
      <c r="K7492" s="340"/>
      <c r="L7492" s="340"/>
      <c r="M7492" s="340"/>
      <c r="N7492" s="340"/>
      <c r="O7492" s="340"/>
      <c r="P7492" s="340"/>
      <c r="Q7492" s="340"/>
      <c r="R7492" s="340"/>
      <c r="S7492" s="340"/>
      <c r="T7492" s="340"/>
    </row>
    <row r="7493" spans="1:20">
      <c r="A7493" s="340"/>
      <c r="B7493" s="340"/>
      <c r="C7493" s="340"/>
      <c r="D7493" s="340"/>
      <c r="E7493" s="340"/>
      <c r="F7493" s="340"/>
      <c r="G7493" s="340"/>
      <c r="H7493" s="340"/>
      <c r="I7493" s="340"/>
      <c r="J7493" s="340"/>
      <c r="K7493" s="340"/>
      <c r="L7493" s="340"/>
      <c r="M7493" s="340"/>
      <c r="N7493" s="340"/>
      <c r="O7493" s="340"/>
      <c r="P7493" s="340"/>
      <c r="Q7493" s="340"/>
      <c r="R7493" s="340"/>
      <c r="S7493" s="340"/>
      <c r="T7493" s="340"/>
    </row>
    <row r="7494" spans="1:20">
      <c r="A7494" s="340"/>
      <c r="B7494" s="340"/>
      <c r="C7494" s="340"/>
      <c r="D7494" s="340"/>
      <c r="E7494" s="340"/>
      <c r="F7494" s="340"/>
      <c r="G7494" s="340"/>
      <c r="H7494" s="340"/>
      <c r="I7494" s="340"/>
      <c r="J7494" s="340"/>
      <c r="K7494" s="340"/>
      <c r="L7494" s="340"/>
      <c r="M7494" s="340"/>
      <c r="N7494" s="340"/>
      <c r="O7494" s="340"/>
      <c r="P7494" s="340"/>
      <c r="Q7494" s="340"/>
      <c r="R7494" s="340"/>
      <c r="S7494" s="340"/>
      <c r="T7494" s="340"/>
    </row>
    <row r="7495" spans="1:20">
      <c r="A7495" s="340"/>
      <c r="B7495" s="340"/>
      <c r="C7495" s="340"/>
      <c r="D7495" s="340"/>
      <c r="E7495" s="340"/>
      <c r="F7495" s="340"/>
      <c r="G7495" s="340"/>
      <c r="H7495" s="340"/>
      <c r="I7495" s="340"/>
      <c r="J7495" s="340"/>
      <c r="K7495" s="340"/>
      <c r="L7495" s="340"/>
      <c r="M7495" s="340"/>
      <c r="N7495" s="340"/>
      <c r="O7495" s="340"/>
      <c r="P7495" s="340"/>
      <c r="Q7495" s="340"/>
      <c r="R7495" s="340"/>
      <c r="S7495" s="340"/>
      <c r="T7495" s="340"/>
    </row>
    <row r="7496" spans="1:20">
      <c r="A7496" s="340"/>
      <c r="B7496" s="340"/>
      <c r="C7496" s="340"/>
      <c r="D7496" s="340"/>
      <c r="E7496" s="340"/>
      <c r="F7496" s="340"/>
      <c r="G7496" s="340"/>
      <c r="H7496" s="340"/>
      <c r="I7496" s="340"/>
      <c r="J7496" s="340"/>
      <c r="K7496" s="340"/>
      <c r="L7496" s="340"/>
      <c r="M7496" s="340"/>
      <c r="N7496" s="340"/>
      <c r="O7496" s="340"/>
      <c r="P7496" s="340"/>
      <c r="Q7496" s="340"/>
      <c r="R7496" s="340"/>
      <c r="S7496" s="340"/>
      <c r="T7496" s="340"/>
    </row>
    <row r="7497" spans="1:20">
      <c r="A7497" s="340"/>
      <c r="B7497" s="340"/>
      <c r="C7497" s="340"/>
      <c r="D7497" s="340"/>
      <c r="E7497" s="340"/>
      <c r="F7497" s="340"/>
      <c r="G7497" s="340"/>
      <c r="H7497" s="340"/>
      <c r="I7497" s="340"/>
      <c r="J7497" s="340"/>
      <c r="K7497" s="340"/>
      <c r="L7497" s="340"/>
      <c r="M7497" s="340"/>
      <c r="N7497" s="340"/>
      <c r="O7497" s="340"/>
      <c r="P7497" s="340"/>
      <c r="Q7497" s="340"/>
      <c r="R7497" s="340"/>
      <c r="S7497" s="340"/>
      <c r="T7497" s="340"/>
    </row>
    <row r="7498" spans="1:20">
      <c r="A7498" s="340"/>
      <c r="B7498" s="340"/>
      <c r="C7498" s="340"/>
      <c r="D7498" s="340"/>
      <c r="E7498" s="340"/>
      <c r="F7498" s="340"/>
      <c r="G7498" s="340"/>
      <c r="H7498" s="340"/>
      <c r="I7498" s="340"/>
      <c r="J7498" s="340"/>
      <c r="K7498" s="340"/>
      <c r="L7498" s="340"/>
      <c r="M7498" s="340"/>
      <c r="N7498" s="340"/>
      <c r="O7498" s="340"/>
      <c r="P7498" s="340"/>
      <c r="Q7498" s="340"/>
      <c r="R7498" s="340"/>
      <c r="S7498" s="340"/>
      <c r="T7498" s="340"/>
    </row>
    <row r="7499" spans="1:20">
      <c r="A7499" s="340"/>
      <c r="B7499" s="340"/>
      <c r="C7499" s="340"/>
      <c r="D7499" s="340"/>
      <c r="E7499" s="340"/>
      <c r="F7499" s="340"/>
      <c r="G7499" s="340"/>
      <c r="H7499" s="340"/>
      <c r="I7499" s="340"/>
      <c r="J7499" s="340"/>
      <c r="K7499" s="340"/>
      <c r="L7499" s="340"/>
      <c r="M7499" s="340"/>
      <c r="N7499" s="340"/>
      <c r="O7499" s="340"/>
      <c r="P7499" s="340"/>
      <c r="Q7499" s="340"/>
      <c r="R7499" s="340"/>
      <c r="S7499" s="340"/>
      <c r="T7499" s="340"/>
    </row>
    <row r="7500" spans="1:20">
      <c r="A7500" s="340"/>
      <c r="B7500" s="340"/>
      <c r="C7500" s="340"/>
      <c r="D7500" s="340"/>
      <c r="E7500" s="340"/>
      <c r="F7500" s="340"/>
      <c r="G7500" s="340"/>
      <c r="H7500" s="340"/>
      <c r="I7500" s="340"/>
      <c r="J7500" s="340"/>
      <c r="K7500" s="340"/>
      <c r="L7500" s="340"/>
      <c r="M7500" s="340"/>
      <c r="N7500" s="340"/>
      <c r="O7500" s="340"/>
      <c r="P7500" s="340"/>
      <c r="Q7500" s="340"/>
      <c r="R7500" s="340"/>
      <c r="S7500" s="340"/>
      <c r="T7500" s="340"/>
    </row>
    <row r="7501" spans="1:20">
      <c r="A7501" s="340"/>
      <c r="B7501" s="340"/>
      <c r="C7501" s="340"/>
      <c r="D7501" s="340"/>
      <c r="E7501" s="340"/>
      <c r="F7501" s="340"/>
      <c r="G7501" s="340"/>
      <c r="H7501" s="340"/>
      <c r="I7501" s="340"/>
      <c r="J7501" s="340"/>
      <c r="K7501" s="340"/>
      <c r="L7501" s="340"/>
      <c r="M7501" s="340"/>
      <c r="N7501" s="340"/>
      <c r="O7501" s="340"/>
      <c r="P7501" s="340"/>
      <c r="Q7501" s="340"/>
      <c r="R7501" s="340"/>
      <c r="S7501" s="340"/>
      <c r="T7501" s="340"/>
    </row>
    <row r="7502" spans="1:20">
      <c r="A7502" s="340"/>
      <c r="B7502" s="340"/>
      <c r="C7502" s="340"/>
      <c r="D7502" s="340"/>
      <c r="E7502" s="340"/>
      <c r="F7502" s="340"/>
      <c r="G7502" s="340"/>
      <c r="H7502" s="340"/>
      <c r="I7502" s="340"/>
      <c r="J7502" s="340"/>
      <c r="K7502" s="340"/>
      <c r="L7502" s="340"/>
      <c r="M7502" s="340"/>
      <c r="N7502" s="340"/>
      <c r="O7502" s="340"/>
      <c r="P7502" s="340"/>
      <c r="Q7502" s="340"/>
      <c r="R7502" s="340"/>
      <c r="S7502" s="340"/>
      <c r="T7502" s="340"/>
    </row>
    <row r="7503" spans="1:20">
      <c r="A7503" s="340"/>
      <c r="B7503" s="340"/>
      <c r="C7503" s="340"/>
      <c r="D7503" s="340"/>
      <c r="E7503" s="340"/>
      <c r="F7503" s="340"/>
      <c r="G7503" s="340"/>
      <c r="H7503" s="340"/>
      <c r="I7503" s="340"/>
      <c r="J7503" s="340"/>
      <c r="K7503" s="340"/>
      <c r="L7503" s="340"/>
      <c r="M7503" s="340"/>
      <c r="N7503" s="340"/>
      <c r="O7503" s="340"/>
      <c r="P7503" s="340"/>
      <c r="Q7503" s="340"/>
      <c r="R7503" s="340"/>
      <c r="S7503" s="340"/>
      <c r="T7503" s="340"/>
    </row>
    <row r="7504" spans="1:20">
      <c r="A7504" s="340"/>
      <c r="B7504" s="340"/>
      <c r="C7504" s="340"/>
      <c r="D7504" s="340"/>
      <c r="E7504" s="340"/>
      <c r="F7504" s="340"/>
      <c r="G7504" s="340"/>
      <c r="H7504" s="340"/>
      <c r="I7504" s="340"/>
      <c r="J7504" s="340"/>
      <c r="K7504" s="340"/>
      <c r="L7504" s="340"/>
      <c r="M7504" s="340"/>
      <c r="N7504" s="340"/>
      <c r="O7504" s="340"/>
      <c r="P7504" s="340"/>
      <c r="Q7504" s="340"/>
      <c r="R7504" s="340"/>
      <c r="S7504" s="340"/>
      <c r="T7504" s="340"/>
    </row>
    <row r="7505" spans="1:20">
      <c r="A7505" s="340"/>
      <c r="B7505" s="340"/>
      <c r="C7505" s="340"/>
      <c r="D7505" s="340"/>
      <c r="E7505" s="340"/>
      <c r="F7505" s="340"/>
      <c r="G7505" s="340"/>
      <c r="H7505" s="340"/>
      <c r="I7505" s="340"/>
      <c r="J7505" s="340"/>
      <c r="K7505" s="340"/>
      <c r="L7505" s="340"/>
      <c r="M7505" s="340"/>
      <c r="N7505" s="340"/>
      <c r="O7505" s="340"/>
      <c r="P7505" s="340"/>
      <c r="Q7505" s="340"/>
      <c r="R7505" s="340"/>
      <c r="S7505" s="340"/>
      <c r="T7505" s="340"/>
    </row>
    <row r="7506" spans="1:20">
      <c r="A7506" s="340"/>
      <c r="B7506" s="340"/>
      <c r="C7506" s="340"/>
      <c r="D7506" s="340"/>
      <c r="E7506" s="340"/>
      <c r="F7506" s="340"/>
      <c r="G7506" s="340"/>
      <c r="H7506" s="340"/>
      <c r="I7506" s="340"/>
      <c r="J7506" s="340"/>
      <c r="K7506" s="340"/>
      <c r="L7506" s="340"/>
      <c r="M7506" s="340"/>
      <c r="N7506" s="340"/>
      <c r="O7506" s="340"/>
      <c r="P7506" s="340"/>
      <c r="Q7506" s="340"/>
      <c r="R7506" s="340"/>
      <c r="S7506" s="340"/>
      <c r="T7506" s="340"/>
    </row>
    <row r="7507" spans="1:20">
      <c r="A7507" s="340"/>
      <c r="B7507" s="340"/>
      <c r="C7507" s="340"/>
      <c r="D7507" s="340"/>
      <c r="E7507" s="340"/>
      <c r="F7507" s="340"/>
      <c r="G7507" s="340"/>
      <c r="H7507" s="340"/>
      <c r="I7507" s="340"/>
      <c r="J7507" s="340"/>
      <c r="K7507" s="340"/>
      <c r="L7507" s="340"/>
      <c r="M7507" s="340"/>
      <c r="N7507" s="340"/>
      <c r="O7507" s="340"/>
      <c r="P7507" s="340"/>
      <c r="Q7507" s="340"/>
      <c r="R7507" s="340"/>
      <c r="S7507" s="340"/>
      <c r="T7507" s="340"/>
    </row>
    <row r="7508" spans="1:20">
      <c r="A7508" s="340"/>
      <c r="B7508" s="340"/>
      <c r="C7508" s="340"/>
      <c r="D7508" s="340"/>
      <c r="E7508" s="340"/>
      <c r="F7508" s="340"/>
      <c r="G7508" s="340"/>
      <c r="H7508" s="340"/>
      <c r="I7508" s="340"/>
      <c r="J7508" s="340"/>
      <c r="K7508" s="340"/>
      <c r="L7508" s="340"/>
      <c r="M7508" s="340"/>
      <c r="N7508" s="340"/>
      <c r="O7508" s="340"/>
      <c r="P7508" s="340"/>
      <c r="Q7508" s="340"/>
      <c r="R7508" s="340"/>
      <c r="S7508" s="340"/>
      <c r="T7508" s="340"/>
    </row>
    <row r="7509" spans="1:20">
      <c r="A7509" s="340"/>
      <c r="B7509" s="340"/>
      <c r="C7509" s="340"/>
      <c r="D7509" s="340"/>
      <c r="E7509" s="340"/>
      <c r="F7509" s="340"/>
      <c r="G7509" s="340"/>
      <c r="H7509" s="340"/>
      <c r="I7509" s="340"/>
      <c r="J7509" s="340"/>
      <c r="K7509" s="340"/>
      <c r="L7509" s="340"/>
      <c r="M7509" s="340"/>
      <c r="N7509" s="340"/>
      <c r="O7509" s="340"/>
      <c r="P7509" s="340"/>
      <c r="Q7509" s="340"/>
      <c r="R7509" s="340"/>
      <c r="S7509" s="340"/>
      <c r="T7509" s="340"/>
    </row>
    <row r="7510" spans="1:20">
      <c r="A7510" s="340"/>
      <c r="B7510" s="340"/>
      <c r="C7510" s="340"/>
      <c r="D7510" s="340"/>
      <c r="E7510" s="340"/>
      <c r="F7510" s="340"/>
      <c r="G7510" s="340"/>
      <c r="H7510" s="340"/>
      <c r="I7510" s="340"/>
      <c r="J7510" s="340"/>
      <c r="K7510" s="340"/>
      <c r="L7510" s="340"/>
      <c r="M7510" s="340"/>
      <c r="N7510" s="340"/>
      <c r="O7510" s="340"/>
      <c r="P7510" s="340"/>
      <c r="Q7510" s="340"/>
      <c r="R7510" s="340"/>
      <c r="S7510" s="340"/>
      <c r="T7510" s="340"/>
    </row>
    <row r="7511" spans="1:20">
      <c r="A7511" s="340"/>
      <c r="B7511" s="340"/>
      <c r="C7511" s="340"/>
      <c r="D7511" s="340"/>
      <c r="E7511" s="340"/>
      <c r="F7511" s="340"/>
      <c r="G7511" s="340"/>
      <c r="H7511" s="340"/>
      <c r="I7511" s="340"/>
      <c r="J7511" s="340"/>
      <c r="K7511" s="340"/>
      <c r="L7511" s="340"/>
      <c r="M7511" s="340"/>
      <c r="N7511" s="340"/>
      <c r="O7511" s="340"/>
      <c r="P7511" s="340"/>
      <c r="Q7511" s="340"/>
      <c r="R7511" s="340"/>
      <c r="S7511" s="340"/>
      <c r="T7511" s="340"/>
    </row>
    <row r="7512" spans="1:20">
      <c r="A7512" s="340"/>
      <c r="B7512" s="340"/>
      <c r="C7512" s="340"/>
      <c r="D7512" s="340"/>
      <c r="E7512" s="340"/>
      <c r="F7512" s="340"/>
      <c r="G7512" s="340"/>
      <c r="H7512" s="340"/>
      <c r="I7512" s="340"/>
      <c r="J7512" s="340"/>
      <c r="K7512" s="340"/>
      <c r="L7512" s="340"/>
      <c r="M7512" s="340"/>
      <c r="N7512" s="340"/>
      <c r="O7512" s="340"/>
      <c r="P7512" s="340"/>
      <c r="Q7512" s="340"/>
      <c r="R7512" s="340"/>
      <c r="S7512" s="340"/>
      <c r="T7512" s="340"/>
    </row>
    <row r="7513" spans="1:20">
      <c r="A7513" s="340"/>
      <c r="B7513" s="340"/>
      <c r="C7513" s="340"/>
      <c r="D7513" s="340"/>
      <c r="E7513" s="340"/>
      <c r="F7513" s="340"/>
      <c r="G7513" s="340"/>
      <c r="H7513" s="340"/>
      <c r="I7513" s="340"/>
      <c r="J7513" s="340"/>
      <c r="K7513" s="340"/>
      <c r="L7513" s="340"/>
      <c r="M7513" s="340"/>
      <c r="N7513" s="340"/>
      <c r="O7513" s="340"/>
      <c r="P7513" s="340"/>
      <c r="Q7513" s="340"/>
      <c r="R7513" s="340"/>
      <c r="S7513" s="340"/>
      <c r="T7513" s="340"/>
    </row>
    <row r="7514" spans="1:20">
      <c r="A7514" s="340"/>
      <c r="B7514" s="340"/>
      <c r="C7514" s="340"/>
      <c r="D7514" s="340"/>
      <c r="E7514" s="340"/>
      <c r="F7514" s="340"/>
      <c r="G7514" s="340"/>
      <c r="H7514" s="340"/>
      <c r="I7514" s="340"/>
      <c r="J7514" s="340"/>
      <c r="K7514" s="340"/>
      <c r="L7514" s="340"/>
      <c r="M7514" s="340"/>
      <c r="N7514" s="340"/>
      <c r="O7514" s="340"/>
      <c r="P7514" s="340"/>
      <c r="Q7514" s="340"/>
      <c r="R7514" s="340"/>
      <c r="S7514" s="340"/>
      <c r="T7514" s="340"/>
    </row>
    <row r="7515" spans="1:20">
      <c r="A7515" s="340"/>
      <c r="B7515" s="340"/>
      <c r="C7515" s="340"/>
      <c r="D7515" s="340"/>
      <c r="E7515" s="340"/>
      <c r="F7515" s="340"/>
      <c r="G7515" s="340"/>
      <c r="H7515" s="340"/>
      <c r="I7515" s="340"/>
      <c r="J7515" s="340"/>
      <c r="K7515" s="340"/>
      <c r="L7515" s="340"/>
      <c r="M7515" s="340"/>
      <c r="N7515" s="340"/>
      <c r="O7515" s="340"/>
      <c r="P7515" s="340"/>
      <c r="Q7515" s="340"/>
      <c r="R7515" s="340"/>
      <c r="S7515" s="340"/>
      <c r="T7515" s="340"/>
    </row>
    <row r="7516" spans="1:20">
      <c r="A7516" s="340"/>
      <c r="B7516" s="340"/>
      <c r="C7516" s="340"/>
      <c r="D7516" s="340"/>
      <c r="E7516" s="340"/>
      <c r="F7516" s="340"/>
      <c r="G7516" s="340"/>
      <c r="H7516" s="340"/>
      <c r="I7516" s="340"/>
      <c r="J7516" s="340"/>
      <c r="K7516" s="340"/>
      <c r="L7516" s="340"/>
      <c r="M7516" s="340"/>
      <c r="N7516" s="340"/>
      <c r="O7516" s="340"/>
      <c r="P7516" s="340"/>
      <c r="Q7516" s="340"/>
      <c r="R7516" s="340"/>
      <c r="S7516" s="340"/>
      <c r="T7516" s="340"/>
    </row>
    <row r="7517" spans="1:20">
      <c r="A7517" s="340"/>
      <c r="B7517" s="340"/>
      <c r="C7517" s="340"/>
      <c r="D7517" s="340"/>
      <c r="E7517" s="340"/>
      <c r="F7517" s="340"/>
      <c r="G7517" s="340"/>
      <c r="H7517" s="340"/>
      <c r="I7517" s="340"/>
      <c r="J7517" s="340"/>
      <c r="K7517" s="340"/>
      <c r="L7517" s="340"/>
      <c r="M7517" s="340"/>
      <c r="N7517" s="340"/>
      <c r="O7517" s="340"/>
      <c r="P7517" s="340"/>
      <c r="Q7517" s="340"/>
      <c r="R7517" s="340"/>
      <c r="S7517" s="340"/>
      <c r="T7517" s="340"/>
    </row>
    <row r="7518" spans="1:20">
      <c r="A7518" s="340"/>
      <c r="B7518" s="340"/>
      <c r="C7518" s="340"/>
      <c r="D7518" s="340"/>
      <c r="E7518" s="340"/>
      <c r="F7518" s="340"/>
      <c r="G7518" s="340"/>
      <c r="H7518" s="340"/>
      <c r="I7518" s="340"/>
      <c r="J7518" s="340"/>
      <c r="K7518" s="340"/>
      <c r="L7518" s="340"/>
      <c r="M7518" s="340"/>
      <c r="N7518" s="340"/>
      <c r="O7518" s="340"/>
      <c r="P7518" s="340"/>
      <c r="Q7518" s="340"/>
      <c r="R7518" s="340"/>
      <c r="S7518" s="340"/>
      <c r="T7518" s="340"/>
    </row>
    <row r="7519" spans="1:20">
      <c r="A7519" s="340"/>
      <c r="B7519" s="340"/>
      <c r="C7519" s="340"/>
      <c r="D7519" s="340"/>
      <c r="E7519" s="340"/>
      <c r="F7519" s="340"/>
      <c r="G7519" s="340"/>
      <c r="H7519" s="340"/>
      <c r="I7519" s="340"/>
      <c r="J7519" s="340"/>
      <c r="K7519" s="340"/>
      <c r="L7519" s="340"/>
      <c r="M7519" s="340"/>
      <c r="N7519" s="340"/>
      <c r="O7519" s="340"/>
      <c r="P7519" s="340"/>
      <c r="Q7519" s="340"/>
      <c r="R7519" s="340"/>
      <c r="S7519" s="340"/>
      <c r="T7519" s="340"/>
    </row>
    <row r="7520" spans="1:20">
      <c r="A7520" s="340"/>
      <c r="B7520" s="340"/>
      <c r="C7520" s="340"/>
      <c r="D7520" s="340"/>
      <c r="E7520" s="340"/>
      <c r="F7520" s="340"/>
      <c r="G7520" s="340"/>
      <c r="H7520" s="340"/>
      <c r="I7520" s="340"/>
      <c r="J7520" s="340"/>
      <c r="K7520" s="340"/>
      <c r="L7520" s="340"/>
      <c r="M7520" s="340"/>
      <c r="N7520" s="340"/>
      <c r="O7520" s="340"/>
      <c r="P7520" s="340"/>
      <c r="Q7520" s="340"/>
      <c r="R7520" s="340"/>
      <c r="S7520" s="340"/>
      <c r="T7520" s="340"/>
    </row>
    <row r="7521" spans="1:20">
      <c r="A7521" s="340"/>
      <c r="B7521" s="340"/>
      <c r="C7521" s="340"/>
      <c r="D7521" s="340"/>
      <c r="E7521" s="340"/>
      <c r="F7521" s="340"/>
      <c r="G7521" s="340"/>
      <c r="H7521" s="340"/>
      <c r="I7521" s="340"/>
      <c r="J7521" s="340"/>
      <c r="K7521" s="340"/>
      <c r="L7521" s="340"/>
      <c r="M7521" s="340"/>
      <c r="N7521" s="340"/>
      <c r="O7521" s="340"/>
      <c r="P7521" s="340"/>
      <c r="Q7521" s="340"/>
      <c r="R7521" s="340"/>
      <c r="S7521" s="340"/>
      <c r="T7521" s="340"/>
    </row>
    <row r="7522" spans="1:20">
      <c r="A7522" s="340"/>
      <c r="B7522" s="340"/>
      <c r="C7522" s="340"/>
      <c r="D7522" s="340"/>
      <c r="E7522" s="340"/>
      <c r="F7522" s="340"/>
      <c r="G7522" s="340"/>
      <c r="H7522" s="340"/>
      <c r="I7522" s="340"/>
      <c r="J7522" s="340"/>
      <c r="K7522" s="340"/>
      <c r="L7522" s="340"/>
      <c r="M7522" s="340"/>
      <c r="N7522" s="340"/>
      <c r="O7522" s="340"/>
      <c r="P7522" s="340"/>
      <c r="Q7522" s="340"/>
      <c r="R7522" s="340"/>
      <c r="S7522" s="340"/>
      <c r="T7522" s="340"/>
    </row>
    <row r="7523" spans="1:20">
      <c r="A7523" s="340"/>
      <c r="B7523" s="340"/>
      <c r="C7523" s="340"/>
      <c r="D7523" s="340"/>
      <c r="E7523" s="340"/>
      <c r="F7523" s="340"/>
      <c r="G7523" s="340"/>
      <c r="H7523" s="340"/>
      <c r="I7523" s="340"/>
      <c r="J7523" s="340"/>
      <c r="K7523" s="340"/>
      <c r="L7523" s="340"/>
      <c r="M7523" s="340"/>
      <c r="N7523" s="340"/>
      <c r="O7523" s="340"/>
      <c r="P7523" s="340"/>
      <c r="Q7523" s="340"/>
      <c r="R7523" s="340"/>
      <c r="S7523" s="340"/>
      <c r="T7523" s="340"/>
    </row>
    <row r="7524" spans="1:20">
      <c r="A7524" s="340"/>
      <c r="B7524" s="340"/>
      <c r="C7524" s="340"/>
      <c r="D7524" s="340"/>
      <c r="E7524" s="340"/>
      <c r="F7524" s="340"/>
      <c r="G7524" s="340"/>
      <c r="H7524" s="340"/>
      <c r="I7524" s="340"/>
      <c r="J7524" s="340"/>
      <c r="K7524" s="340"/>
      <c r="L7524" s="340"/>
      <c r="M7524" s="340"/>
      <c r="N7524" s="340"/>
      <c r="O7524" s="340"/>
      <c r="P7524" s="340"/>
      <c r="Q7524" s="340"/>
      <c r="R7524" s="340"/>
      <c r="S7524" s="340"/>
      <c r="T7524" s="340"/>
    </row>
    <row r="7525" spans="1:20">
      <c r="A7525" s="340"/>
      <c r="B7525" s="340"/>
      <c r="C7525" s="340"/>
      <c r="D7525" s="340"/>
      <c r="E7525" s="340"/>
      <c r="F7525" s="340"/>
      <c r="G7525" s="340"/>
      <c r="H7525" s="340"/>
      <c r="I7525" s="340"/>
      <c r="J7525" s="340"/>
      <c r="K7525" s="340"/>
      <c r="L7525" s="340"/>
      <c r="M7525" s="340"/>
      <c r="N7525" s="340"/>
      <c r="O7525" s="340"/>
      <c r="P7525" s="340"/>
      <c r="Q7525" s="340"/>
      <c r="R7525" s="340"/>
      <c r="S7525" s="340"/>
      <c r="T7525" s="340"/>
    </row>
    <row r="7526" spans="1:20">
      <c r="A7526" s="340"/>
      <c r="B7526" s="340"/>
      <c r="C7526" s="340"/>
      <c r="D7526" s="340"/>
      <c r="E7526" s="340"/>
      <c r="F7526" s="340"/>
      <c r="G7526" s="340"/>
      <c r="H7526" s="340"/>
      <c r="I7526" s="340"/>
      <c r="J7526" s="340"/>
      <c r="K7526" s="340"/>
      <c r="L7526" s="340"/>
      <c r="M7526" s="340"/>
      <c r="N7526" s="340"/>
      <c r="O7526" s="340"/>
      <c r="P7526" s="340"/>
      <c r="Q7526" s="340"/>
      <c r="R7526" s="340"/>
      <c r="S7526" s="340"/>
      <c r="T7526" s="340"/>
    </row>
    <row r="7527" spans="1:20">
      <c r="A7527" s="340"/>
      <c r="B7527" s="340"/>
      <c r="C7527" s="340"/>
      <c r="D7527" s="340"/>
      <c r="E7527" s="340"/>
      <c r="F7527" s="340"/>
      <c r="G7527" s="340"/>
      <c r="H7527" s="340"/>
      <c r="I7527" s="340"/>
      <c r="J7527" s="340"/>
      <c r="K7527" s="340"/>
      <c r="L7527" s="340"/>
      <c r="M7527" s="340"/>
      <c r="N7527" s="340"/>
      <c r="O7527" s="340"/>
      <c r="P7527" s="340"/>
      <c r="Q7527" s="340"/>
      <c r="R7527" s="340"/>
      <c r="S7527" s="340"/>
      <c r="T7527" s="340"/>
    </row>
    <row r="7528" spans="1:20">
      <c r="A7528" s="340"/>
      <c r="B7528" s="340"/>
      <c r="C7528" s="340"/>
      <c r="D7528" s="340"/>
      <c r="E7528" s="340"/>
      <c r="F7528" s="340"/>
      <c r="G7528" s="340"/>
      <c r="H7528" s="340"/>
      <c r="I7528" s="340"/>
      <c r="J7528" s="340"/>
      <c r="K7528" s="340"/>
      <c r="L7528" s="340"/>
      <c r="M7528" s="340"/>
      <c r="N7528" s="340"/>
      <c r="O7528" s="340"/>
      <c r="P7528" s="340"/>
      <c r="Q7528" s="340"/>
      <c r="R7528" s="340"/>
      <c r="S7528" s="340"/>
      <c r="T7528" s="340"/>
    </row>
    <row r="7529" spans="1:20">
      <c r="A7529" s="340"/>
      <c r="B7529" s="340"/>
      <c r="C7529" s="340"/>
      <c r="D7529" s="340"/>
      <c r="E7529" s="340"/>
      <c r="F7529" s="340"/>
      <c r="G7529" s="340"/>
      <c r="H7529" s="340"/>
      <c r="I7529" s="340"/>
      <c r="J7529" s="340"/>
      <c r="K7529" s="340"/>
      <c r="L7529" s="340"/>
      <c r="M7529" s="340"/>
      <c r="N7529" s="340"/>
      <c r="O7529" s="340"/>
      <c r="P7529" s="340"/>
      <c r="Q7529" s="340"/>
      <c r="R7529" s="340"/>
      <c r="S7529" s="340"/>
      <c r="T7529" s="340"/>
    </row>
    <row r="7530" spans="1:20">
      <c r="A7530" s="340"/>
      <c r="B7530" s="340"/>
      <c r="C7530" s="340"/>
      <c r="D7530" s="340"/>
      <c r="E7530" s="340"/>
      <c r="F7530" s="340"/>
      <c r="G7530" s="340"/>
      <c r="H7530" s="340"/>
      <c r="I7530" s="340"/>
      <c r="J7530" s="340"/>
      <c r="K7530" s="340"/>
      <c r="L7530" s="340"/>
      <c r="M7530" s="340"/>
      <c r="N7530" s="340"/>
      <c r="O7530" s="340"/>
      <c r="P7530" s="340"/>
      <c r="Q7530" s="340"/>
      <c r="R7530" s="340"/>
      <c r="S7530" s="340"/>
      <c r="T7530" s="340"/>
    </row>
    <row r="7531" spans="1:20">
      <c r="A7531" s="340"/>
      <c r="B7531" s="340"/>
      <c r="C7531" s="340"/>
      <c r="D7531" s="340"/>
      <c r="E7531" s="340"/>
      <c r="F7531" s="340"/>
      <c r="G7531" s="340"/>
      <c r="H7531" s="340"/>
      <c r="I7531" s="340"/>
      <c r="J7531" s="340"/>
      <c r="K7531" s="340"/>
      <c r="L7531" s="340"/>
      <c r="M7531" s="340"/>
      <c r="N7531" s="340"/>
      <c r="O7531" s="340"/>
      <c r="P7531" s="340"/>
      <c r="Q7531" s="340"/>
      <c r="R7531" s="340"/>
      <c r="S7531" s="340"/>
      <c r="T7531" s="340"/>
    </row>
    <row r="7532" spans="1:20">
      <c r="A7532" s="340"/>
      <c r="B7532" s="340"/>
      <c r="C7532" s="340"/>
      <c r="D7532" s="340"/>
      <c r="E7532" s="340"/>
      <c r="F7532" s="340"/>
      <c r="G7532" s="340"/>
      <c r="H7532" s="340"/>
      <c r="I7532" s="340"/>
      <c r="J7532" s="340"/>
      <c r="K7532" s="340"/>
      <c r="L7532" s="340"/>
      <c r="M7532" s="340"/>
      <c r="N7532" s="340"/>
      <c r="O7532" s="340"/>
      <c r="P7532" s="340"/>
      <c r="Q7532" s="340"/>
      <c r="R7532" s="340"/>
      <c r="S7532" s="340"/>
      <c r="T7532" s="340"/>
    </row>
    <row r="7533" spans="1:20">
      <c r="A7533" s="340"/>
      <c r="B7533" s="340"/>
      <c r="C7533" s="340"/>
      <c r="D7533" s="340"/>
      <c r="E7533" s="340"/>
      <c r="F7533" s="340"/>
      <c r="G7533" s="340"/>
      <c r="H7533" s="340"/>
      <c r="I7533" s="340"/>
      <c r="J7533" s="340"/>
      <c r="K7533" s="340"/>
      <c r="L7533" s="340"/>
      <c r="M7533" s="340"/>
      <c r="N7533" s="340"/>
      <c r="O7533" s="340"/>
      <c r="P7533" s="340"/>
      <c r="Q7533" s="340"/>
      <c r="R7533" s="340"/>
      <c r="S7533" s="340"/>
      <c r="T7533" s="340"/>
    </row>
    <row r="7534" spans="1:20">
      <c r="A7534" s="340"/>
      <c r="B7534" s="340"/>
      <c r="C7534" s="340"/>
      <c r="D7534" s="340"/>
      <c r="E7534" s="340"/>
      <c r="F7534" s="340"/>
      <c r="G7534" s="340"/>
      <c r="H7534" s="340"/>
      <c r="I7534" s="340"/>
      <c r="J7534" s="340"/>
      <c r="K7534" s="340"/>
      <c r="L7534" s="340"/>
      <c r="M7534" s="340"/>
      <c r="N7534" s="340"/>
      <c r="O7534" s="340"/>
      <c r="P7534" s="340"/>
      <c r="Q7534" s="340"/>
      <c r="R7534" s="340"/>
      <c r="S7534" s="340"/>
      <c r="T7534" s="340"/>
    </row>
    <row r="7535" spans="1:20">
      <c r="A7535" s="340"/>
      <c r="B7535" s="340"/>
      <c r="C7535" s="340"/>
      <c r="D7535" s="340"/>
      <c r="E7535" s="340"/>
      <c r="F7535" s="340"/>
      <c r="G7535" s="340"/>
      <c r="H7535" s="340"/>
      <c r="I7535" s="340"/>
      <c r="J7535" s="340"/>
      <c r="K7535" s="340"/>
      <c r="L7535" s="340"/>
      <c r="M7535" s="340"/>
      <c r="N7535" s="340"/>
      <c r="O7535" s="340"/>
      <c r="P7535" s="340"/>
      <c r="Q7535" s="340"/>
      <c r="R7535" s="340"/>
      <c r="S7535" s="340"/>
      <c r="T7535" s="340"/>
    </row>
    <row r="7536" spans="1:20">
      <c r="A7536" s="340"/>
      <c r="B7536" s="340"/>
      <c r="C7536" s="340"/>
      <c r="D7536" s="340"/>
      <c r="E7536" s="340"/>
      <c r="F7536" s="340"/>
      <c r="G7536" s="340"/>
      <c r="H7536" s="340"/>
      <c r="I7536" s="340"/>
      <c r="J7536" s="340"/>
      <c r="K7536" s="340"/>
      <c r="L7536" s="340"/>
      <c r="M7536" s="340"/>
      <c r="N7536" s="340"/>
      <c r="O7536" s="340"/>
      <c r="P7536" s="340"/>
      <c r="Q7536" s="340"/>
      <c r="R7536" s="340"/>
      <c r="S7536" s="340"/>
      <c r="T7536" s="340"/>
    </row>
    <row r="7537" spans="1:20">
      <c r="A7537" s="340"/>
      <c r="B7537" s="340"/>
      <c r="C7537" s="340"/>
      <c r="D7537" s="340"/>
      <c r="E7537" s="340"/>
      <c r="F7537" s="340"/>
      <c r="G7537" s="340"/>
      <c r="H7537" s="340"/>
      <c r="I7537" s="340"/>
      <c r="J7537" s="340"/>
      <c r="K7537" s="340"/>
      <c r="L7537" s="340"/>
      <c r="M7537" s="340"/>
      <c r="N7537" s="340"/>
      <c r="O7537" s="340"/>
      <c r="P7537" s="340"/>
      <c r="Q7537" s="340"/>
      <c r="R7537" s="340"/>
      <c r="S7537" s="340"/>
      <c r="T7537" s="340"/>
    </row>
    <row r="7538" spans="1:20">
      <c r="A7538" s="340"/>
      <c r="B7538" s="340"/>
      <c r="C7538" s="340"/>
      <c r="D7538" s="340"/>
      <c r="E7538" s="340"/>
      <c r="F7538" s="340"/>
      <c r="G7538" s="340"/>
      <c r="H7538" s="340"/>
      <c r="I7538" s="340"/>
      <c r="J7538" s="340"/>
      <c r="K7538" s="340"/>
      <c r="L7538" s="340"/>
      <c r="M7538" s="340"/>
      <c r="N7538" s="340"/>
      <c r="O7538" s="340"/>
      <c r="P7538" s="340"/>
      <c r="Q7538" s="340"/>
      <c r="R7538" s="340"/>
      <c r="S7538" s="340"/>
      <c r="T7538" s="340"/>
    </row>
    <row r="7539" spans="1:20">
      <c r="A7539" s="340"/>
      <c r="B7539" s="340"/>
      <c r="C7539" s="340"/>
      <c r="D7539" s="340"/>
      <c r="E7539" s="340"/>
      <c r="F7539" s="340"/>
      <c r="G7539" s="340"/>
      <c r="H7539" s="340"/>
      <c r="I7539" s="340"/>
      <c r="J7539" s="340"/>
      <c r="K7539" s="340"/>
      <c r="L7539" s="340"/>
      <c r="M7539" s="340"/>
      <c r="N7539" s="340"/>
      <c r="O7539" s="340"/>
      <c r="P7539" s="340"/>
      <c r="Q7539" s="340"/>
      <c r="R7539" s="340"/>
      <c r="S7539" s="340"/>
      <c r="T7539" s="340"/>
    </row>
    <row r="7540" spans="1:20">
      <c r="A7540" s="340"/>
      <c r="B7540" s="340"/>
      <c r="C7540" s="340"/>
      <c r="D7540" s="340"/>
      <c r="E7540" s="340"/>
      <c r="F7540" s="340"/>
      <c r="G7540" s="340"/>
      <c r="H7540" s="340"/>
      <c r="I7540" s="340"/>
      <c r="J7540" s="340"/>
      <c r="K7540" s="340"/>
      <c r="L7540" s="340"/>
      <c r="M7540" s="340"/>
      <c r="N7540" s="340"/>
      <c r="O7540" s="340"/>
      <c r="P7540" s="340"/>
      <c r="Q7540" s="340"/>
      <c r="R7540" s="340"/>
      <c r="S7540" s="340"/>
      <c r="T7540" s="340"/>
    </row>
    <row r="7541" spans="1:20">
      <c r="A7541" s="340"/>
      <c r="B7541" s="340"/>
      <c r="C7541" s="340"/>
      <c r="D7541" s="340"/>
      <c r="E7541" s="340"/>
      <c r="F7541" s="340"/>
      <c r="G7541" s="340"/>
      <c r="H7541" s="340"/>
      <c r="I7541" s="340"/>
      <c r="J7541" s="340"/>
      <c r="K7541" s="340"/>
      <c r="L7541" s="340"/>
      <c r="M7541" s="340"/>
      <c r="N7541" s="340"/>
      <c r="O7541" s="340"/>
      <c r="P7541" s="340"/>
      <c r="Q7541" s="340"/>
      <c r="R7541" s="340"/>
      <c r="S7541" s="340"/>
      <c r="T7541" s="340"/>
    </row>
    <row r="7542" spans="1:20">
      <c r="A7542" s="340"/>
      <c r="B7542" s="340"/>
      <c r="C7542" s="340"/>
      <c r="D7542" s="340"/>
      <c r="E7542" s="340"/>
      <c r="F7542" s="340"/>
      <c r="G7542" s="340"/>
      <c r="H7542" s="340"/>
      <c r="I7542" s="340"/>
      <c r="J7542" s="340"/>
      <c r="K7542" s="340"/>
      <c r="L7542" s="340"/>
      <c r="M7542" s="340"/>
      <c r="N7542" s="340"/>
      <c r="O7542" s="340"/>
      <c r="P7542" s="340"/>
      <c r="Q7542" s="340"/>
      <c r="R7542" s="340"/>
      <c r="S7542" s="340"/>
      <c r="T7542" s="340"/>
    </row>
    <row r="7543" spans="1:20">
      <c r="A7543" s="340"/>
      <c r="B7543" s="340"/>
      <c r="C7543" s="340"/>
      <c r="D7543" s="340"/>
      <c r="E7543" s="340"/>
      <c r="F7543" s="340"/>
      <c r="G7543" s="340"/>
      <c r="H7543" s="340"/>
      <c r="I7543" s="340"/>
      <c r="J7543" s="340"/>
      <c r="K7543" s="340"/>
      <c r="L7543" s="340"/>
      <c r="M7543" s="340"/>
      <c r="N7543" s="340"/>
      <c r="O7543" s="340"/>
      <c r="P7543" s="340"/>
      <c r="Q7543" s="340"/>
      <c r="R7543" s="340"/>
      <c r="S7543" s="340"/>
      <c r="T7543" s="340"/>
    </row>
    <row r="7544" spans="1:20">
      <c r="A7544" s="340"/>
      <c r="B7544" s="340"/>
      <c r="C7544" s="340"/>
      <c r="D7544" s="340"/>
      <c r="E7544" s="340"/>
      <c r="F7544" s="340"/>
      <c r="G7544" s="340"/>
      <c r="H7544" s="340"/>
      <c r="I7544" s="340"/>
      <c r="J7544" s="340"/>
      <c r="K7544" s="340"/>
      <c r="L7544" s="340"/>
      <c r="M7544" s="340"/>
      <c r="N7544" s="340"/>
      <c r="O7544" s="340"/>
      <c r="P7544" s="340"/>
      <c r="Q7544" s="340"/>
      <c r="R7544" s="340"/>
      <c r="S7544" s="340"/>
      <c r="T7544" s="340"/>
    </row>
    <row r="7545" spans="1:20">
      <c r="A7545" s="340"/>
      <c r="B7545" s="340"/>
      <c r="C7545" s="340"/>
      <c r="D7545" s="340"/>
      <c r="E7545" s="340"/>
      <c r="F7545" s="340"/>
      <c r="G7545" s="340"/>
      <c r="H7545" s="340"/>
      <c r="I7545" s="340"/>
      <c r="J7545" s="340"/>
      <c r="K7545" s="340"/>
      <c r="L7545" s="340"/>
      <c r="M7545" s="340"/>
      <c r="N7545" s="340"/>
      <c r="O7545" s="340"/>
      <c r="P7545" s="340"/>
      <c r="Q7545" s="340"/>
      <c r="R7545" s="340"/>
      <c r="S7545" s="340"/>
      <c r="T7545" s="340"/>
    </row>
    <row r="7546" spans="1:20">
      <c r="A7546" s="340"/>
      <c r="B7546" s="340"/>
      <c r="C7546" s="340"/>
      <c r="D7546" s="340"/>
      <c r="E7546" s="340"/>
      <c r="F7546" s="340"/>
      <c r="G7546" s="340"/>
      <c r="H7546" s="340"/>
      <c r="I7546" s="340"/>
      <c r="J7546" s="340"/>
      <c r="K7546" s="340"/>
      <c r="L7546" s="340"/>
      <c r="M7546" s="340"/>
      <c r="N7546" s="340"/>
      <c r="O7546" s="340"/>
      <c r="P7546" s="340"/>
      <c r="Q7546" s="340"/>
      <c r="R7546" s="340"/>
      <c r="S7546" s="340"/>
      <c r="T7546" s="340"/>
    </row>
    <row r="7547" spans="1:20">
      <c r="A7547" s="340"/>
      <c r="B7547" s="340"/>
      <c r="C7547" s="340"/>
      <c r="D7547" s="340"/>
      <c r="E7547" s="340"/>
      <c r="F7547" s="340"/>
      <c r="G7547" s="340"/>
      <c r="H7547" s="340"/>
      <c r="I7547" s="340"/>
      <c r="J7547" s="340"/>
      <c r="K7547" s="340"/>
      <c r="L7547" s="340"/>
      <c r="M7547" s="340"/>
      <c r="N7547" s="340"/>
      <c r="O7547" s="340"/>
      <c r="P7547" s="340"/>
      <c r="Q7547" s="340"/>
      <c r="R7547" s="340"/>
      <c r="S7547" s="340"/>
      <c r="T7547" s="340"/>
    </row>
    <row r="7548" spans="1:20">
      <c r="A7548" s="340"/>
      <c r="B7548" s="340"/>
      <c r="C7548" s="340"/>
      <c r="D7548" s="340"/>
      <c r="E7548" s="340"/>
      <c r="F7548" s="340"/>
      <c r="G7548" s="340"/>
      <c r="H7548" s="340"/>
      <c r="I7548" s="340"/>
      <c r="J7548" s="340"/>
      <c r="K7548" s="340"/>
      <c r="L7548" s="340"/>
      <c r="M7548" s="340"/>
      <c r="N7548" s="340"/>
      <c r="O7548" s="340"/>
      <c r="P7548" s="340"/>
      <c r="Q7548" s="340"/>
      <c r="R7548" s="340"/>
      <c r="S7548" s="340"/>
      <c r="T7548" s="340"/>
    </row>
    <row r="7549" spans="1:20">
      <c r="A7549" s="340"/>
      <c r="B7549" s="340"/>
      <c r="C7549" s="340"/>
      <c r="D7549" s="340"/>
      <c r="E7549" s="340"/>
      <c r="F7549" s="340"/>
      <c r="G7549" s="340"/>
      <c r="H7549" s="340"/>
      <c r="I7549" s="340"/>
      <c r="J7549" s="340"/>
      <c r="K7549" s="340"/>
      <c r="L7549" s="340"/>
      <c r="M7549" s="340"/>
      <c r="N7549" s="340"/>
      <c r="O7549" s="340"/>
      <c r="P7549" s="340"/>
      <c r="Q7549" s="340"/>
      <c r="R7549" s="340"/>
      <c r="S7549" s="340"/>
      <c r="T7549" s="340"/>
    </row>
    <row r="7550" spans="1:20">
      <c r="A7550" s="340"/>
      <c r="B7550" s="340"/>
      <c r="C7550" s="340"/>
      <c r="D7550" s="340"/>
      <c r="E7550" s="340"/>
      <c r="F7550" s="340"/>
      <c r="G7550" s="340"/>
      <c r="H7550" s="340"/>
      <c r="I7550" s="340"/>
      <c r="J7550" s="340"/>
      <c r="K7550" s="340"/>
      <c r="L7550" s="340"/>
      <c r="M7550" s="340"/>
      <c r="N7550" s="340"/>
      <c r="O7550" s="340"/>
      <c r="P7550" s="340"/>
      <c r="Q7550" s="340"/>
      <c r="R7550" s="340"/>
      <c r="S7550" s="340"/>
      <c r="T7550" s="340"/>
    </row>
    <row r="7551" spans="1:20">
      <c r="A7551" s="340"/>
      <c r="B7551" s="340"/>
      <c r="C7551" s="340"/>
      <c r="D7551" s="340"/>
      <c r="E7551" s="340"/>
      <c r="F7551" s="340"/>
      <c r="G7551" s="340"/>
      <c r="H7551" s="340"/>
      <c r="I7551" s="340"/>
      <c r="J7551" s="340"/>
      <c r="K7551" s="340"/>
      <c r="L7551" s="340"/>
      <c r="M7551" s="340"/>
      <c r="N7551" s="340"/>
      <c r="O7551" s="340"/>
      <c r="P7551" s="340"/>
      <c r="Q7551" s="340"/>
      <c r="R7551" s="340"/>
      <c r="S7551" s="340"/>
      <c r="T7551" s="340"/>
    </row>
    <row r="7552" spans="1:20">
      <c r="A7552" s="340"/>
      <c r="B7552" s="340"/>
      <c r="C7552" s="340"/>
      <c r="D7552" s="340"/>
      <c r="E7552" s="340"/>
      <c r="F7552" s="340"/>
      <c r="G7552" s="340"/>
      <c r="H7552" s="340"/>
      <c r="I7552" s="340"/>
      <c r="J7552" s="340"/>
      <c r="K7552" s="340"/>
      <c r="L7552" s="340"/>
      <c r="M7552" s="340"/>
      <c r="N7552" s="340"/>
      <c r="O7552" s="340"/>
      <c r="P7552" s="340"/>
      <c r="Q7552" s="340"/>
      <c r="R7552" s="340"/>
      <c r="S7552" s="340"/>
      <c r="T7552" s="340"/>
    </row>
    <row r="7553" spans="1:20">
      <c r="A7553" s="340"/>
      <c r="B7553" s="340"/>
      <c r="C7553" s="340"/>
      <c r="D7553" s="340"/>
      <c r="E7553" s="340"/>
      <c r="F7553" s="340"/>
      <c r="G7553" s="340"/>
      <c r="H7553" s="340"/>
      <c r="I7553" s="340"/>
      <c r="J7553" s="340"/>
      <c r="K7553" s="340"/>
      <c r="L7553" s="340"/>
      <c r="M7553" s="340"/>
      <c r="N7553" s="340"/>
      <c r="O7553" s="340"/>
      <c r="P7553" s="340"/>
      <c r="Q7553" s="340"/>
      <c r="R7553" s="340"/>
      <c r="S7553" s="340"/>
      <c r="T7553" s="340"/>
    </row>
    <row r="7554" spans="1:20">
      <c r="A7554" s="340"/>
      <c r="B7554" s="340"/>
      <c r="C7554" s="340"/>
      <c r="D7554" s="340"/>
      <c r="E7554" s="340"/>
      <c r="F7554" s="340"/>
      <c r="G7554" s="340"/>
      <c r="H7554" s="340"/>
      <c r="I7554" s="340"/>
      <c r="J7554" s="340"/>
      <c r="K7554" s="340"/>
      <c r="L7554" s="340"/>
      <c r="M7554" s="340"/>
      <c r="N7554" s="340"/>
      <c r="O7554" s="340"/>
      <c r="P7554" s="340"/>
      <c r="Q7554" s="340"/>
      <c r="R7554" s="340"/>
      <c r="S7554" s="340"/>
      <c r="T7554" s="340"/>
    </row>
    <row r="7555" spans="1:20">
      <c r="A7555" s="340"/>
      <c r="B7555" s="340"/>
      <c r="C7555" s="340"/>
      <c r="D7555" s="340"/>
      <c r="E7555" s="340"/>
      <c r="F7555" s="340"/>
      <c r="G7555" s="340"/>
      <c r="H7555" s="340"/>
      <c r="I7555" s="340"/>
      <c r="J7555" s="340"/>
      <c r="K7555" s="340"/>
      <c r="L7555" s="340"/>
      <c r="M7555" s="340"/>
      <c r="N7555" s="340"/>
      <c r="O7555" s="340"/>
      <c r="P7555" s="340"/>
      <c r="Q7555" s="340"/>
      <c r="R7555" s="340"/>
      <c r="S7555" s="340"/>
      <c r="T7555" s="340"/>
    </row>
    <row r="7556" spans="1:20">
      <c r="A7556" s="340"/>
      <c r="B7556" s="340"/>
      <c r="C7556" s="340"/>
      <c r="D7556" s="340"/>
      <c r="E7556" s="340"/>
      <c r="F7556" s="340"/>
      <c r="G7556" s="340"/>
      <c r="H7556" s="340"/>
      <c r="I7556" s="340"/>
      <c r="J7556" s="340"/>
      <c r="K7556" s="340"/>
      <c r="L7556" s="340"/>
      <c r="M7556" s="340"/>
      <c r="N7556" s="340"/>
      <c r="O7556" s="340"/>
      <c r="P7556" s="340"/>
      <c r="Q7556" s="340"/>
      <c r="R7556" s="340"/>
      <c r="S7556" s="340"/>
      <c r="T7556" s="340"/>
    </row>
    <row r="7557" spans="1:20">
      <c r="A7557" s="340"/>
      <c r="B7557" s="340"/>
      <c r="C7557" s="340"/>
      <c r="D7557" s="340"/>
      <c r="E7557" s="340"/>
      <c r="F7557" s="340"/>
      <c r="G7557" s="340"/>
      <c r="H7557" s="340"/>
      <c r="I7557" s="340"/>
      <c r="J7557" s="340"/>
      <c r="K7557" s="340"/>
      <c r="L7557" s="340"/>
      <c r="M7557" s="340"/>
      <c r="N7557" s="340"/>
      <c r="O7557" s="340"/>
      <c r="P7557" s="340"/>
      <c r="Q7557" s="340"/>
      <c r="R7557" s="340"/>
      <c r="S7557" s="340"/>
      <c r="T7557" s="340"/>
    </row>
    <row r="7558" spans="1:20">
      <c r="A7558" s="340"/>
      <c r="B7558" s="340"/>
      <c r="C7558" s="340"/>
      <c r="D7558" s="340"/>
      <c r="E7558" s="340"/>
      <c r="F7558" s="340"/>
      <c r="G7558" s="340"/>
      <c r="H7558" s="340"/>
      <c r="I7558" s="340"/>
      <c r="J7558" s="340"/>
      <c r="K7558" s="340"/>
      <c r="L7558" s="340"/>
      <c r="M7558" s="340"/>
      <c r="N7558" s="340"/>
      <c r="O7558" s="340"/>
      <c r="P7558" s="340"/>
      <c r="Q7558" s="340"/>
      <c r="R7558" s="340"/>
      <c r="S7558" s="340"/>
      <c r="T7558" s="340"/>
    </row>
    <row r="7559" spans="1:20">
      <c r="A7559" s="340"/>
      <c r="B7559" s="340"/>
      <c r="C7559" s="340"/>
      <c r="D7559" s="340"/>
      <c r="E7559" s="340"/>
      <c r="F7559" s="340"/>
      <c r="G7559" s="340"/>
      <c r="H7559" s="340"/>
      <c r="I7559" s="340"/>
      <c r="J7559" s="340"/>
      <c r="K7559" s="340"/>
      <c r="L7559" s="340"/>
      <c r="M7559" s="340"/>
      <c r="N7559" s="340"/>
      <c r="O7559" s="340"/>
      <c r="P7559" s="340"/>
      <c r="Q7559" s="340"/>
      <c r="R7559" s="340"/>
      <c r="S7559" s="340"/>
      <c r="T7559" s="340"/>
    </row>
    <row r="7560" spans="1:20">
      <c r="A7560" s="340"/>
      <c r="B7560" s="340"/>
      <c r="C7560" s="340"/>
      <c r="D7560" s="340"/>
      <c r="E7560" s="340"/>
      <c r="F7560" s="340"/>
      <c r="G7560" s="340"/>
      <c r="H7560" s="340"/>
      <c r="I7560" s="340"/>
      <c r="J7560" s="340"/>
      <c r="K7560" s="340"/>
      <c r="L7560" s="340"/>
      <c r="M7560" s="340"/>
      <c r="N7560" s="340"/>
      <c r="O7560" s="340"/>
      <c r="P7560" s="340"/>
      <c r="Q7560" s="340"/>
      <c r="R7560" s="340"/>
      <c r="S7560" s="340"/>
      <c r="T7560" s="340"/>
    </row>
    <row r="7561" spans="1:20">
      <c r="A7561" s="340"/>
      <c r="B7561" s="340"/>
      <c r="C7561" s="340"/>
      <c r="D7561" s="340"/>
      <c r="E7561" s="340"/>
      <c r="F7561" s="340"/>
      <c r="G7561" s="340"/>
      <c r="H7561" s="340"/>
      <c r="I7561" s="340"/>
      <c r="J7561" s="340"/>
      <c r="K7561" s="340"/>
      <c r="L7561" s="340"/>
      <c r="M7561" s="340"/>
      <c r="N7561" s="340"/>
      <c r="O7561" s="340"/>
      <c r="P7561" s="340"/>
      <c r="Q7561" s="340"/>
      <c r="R7561" s="340"/>
      <c r="S7561" s="340"/>
      <c r="T7561" s="340"/>
    </row>
    <row r="7562" spans="1:20">
      <c r="A7562" s="340"/>
      <c r="B7562" s="340"/>
      <c r="C7562" s="340"/>
      <c r="D7562" s="340"/>
      <c r="E7562" s="340"/>
      <c r="F7562" s="340"/>
      <c r="G7562" s="340"/>
      <c r="H7562" s="340"/>
      <c r="I7562" s="340"/>
      <c r="J7562" s="340"/>
      <c r="K7562" s="340"/>
      <c r="L7562" s="340"/>
      <c r="M7562" s="340"/>
      <c r="N7562" s="340"/>
      <c r="O7562" s="340"/>
      <c r="P7562" s="340"/>
      <c r="Q7562" s="340"/>
      <c r="R7562" s="340"/>
      <c r="S7562" s="340"/>
      <c r="T7562" s="340"/>
    </row>
    <row r="7563" spans="1:20">
      <c r="A7563" s="340"/>
      <c r="B7563" s="340"/>
      <c r="C7563" s="340"/>
      <c r="D7563" s="340"/>
      <c r="E7563" s="340"/>
      <c r="F7563" s="340"/>
      <c r="G7563" s="340"/>
      <c r="H7563" s="340"/>
      <c r="I7563" s="340"/>
      <c r="J7563" s="340"/>
      <c r="K7563" s="340"/>
      <c r="L7563" s="340"/>
      <c r="M7563" s="340"/>
      <c r="N7563" s="340"/>
      <c r="O7563" s="340"/>
      <c r="P7563" s="340"/>
      <c r="Q7563" s="340"/>
      <c r="R7563" s="340"/>
      <c r="S7563" s="340"/>
      <c r="T7563" s="340"/>
    </row>
    <row r="7564" spans="1:20">
      <c r="A7564" s="340"/>
      <c r="B7564" s="340"/>
      <c r="C7564" s="340"/>
      <c r="D7564" s="340"/>
      <c r="E7564" s="340"/>
      <c r="F7564" s="340"/>
      <c r="G7564" s="340"/>
      <c r="H7564" s="340"/>
      <c r="I7564" s="340"/>
      <c r="J7564" s="340"/>
      <c r="K7564" s="340"/>
      <c r="L7564" s="340"/>
      <c r="M7564" s="340"/>
      <c r="N7564" s="340"/>
      <c r="O7564" s="340"/>
      <c r="P7564" s="340"/>
      <c r="Q7564" s="340"/>
      <c r="R7564" s="340"/>
      <c r="S7564" s="340"/>
      <c r="T7564" s="340"/>
    </row>
    <row r="7565" spans="1:20">
      <c r="A7565" s="340"/>
      <c r="B7565" s="340"/>
      <c r="C7565" s="340"/>
      <c r="D7565" s="340"/>
      <c r="E7565" s="340"/>
      <c r="F7565" s="340"/>
      <c r="G7565" s="340"/>
      <c r="H7565" s="340"/>
      <c r="I7565" s="340"/>
      <c r="J7565" s="340"/>
      <c r="K7565" s="340"/>
      <c r="L7565" s="340"/>
      <c r="M7565" s="340"/>
      <c r="N7565" s="340"/>
      <c r="O7565" s="340"/>
      <c r="P7565" s="340"/>
      <c r="Q7565" s="340"/>
      <c r="R7565" s="340"/>
      <c r="S7565" s="340"/>
      <c r="T7565" s="340"/>
    </row>
    <row r="7566" spans="1:20">
      <c r="A7566" s="340"/>
      <c r="B7566" s="340"/>
      <c r="C7566" s="340"/>
      <c r="D7566" s="340"/>
      <c r="E7566" s="340"/>
      <c r="F7566" s="340"/>
      <c r="G7566" s="340"/>
      <c r="H7566" s="340"/>
      <c r="I7566" s="340"/>
      <c r="J7566" s="340"/>
      <c r="K7566" s="340"/>
      <c r="L7566" s="340"/>
      <c r="M7566" s="340"/>
      <c r="N7566" s="340"/>
      <c r="O7566" s="340"/>
      <c r="P7566" s="340"/>
      <c r="Q7566" s="340"/>
      <c r="R7566" s="340"/>
      <c r="S7566" s="340"/>
      <c r="T7566" s="340"/>
    </row>
    <row r="7567" spans="1:20">
      <c r="A7567" s="340"/>
      <c r="B7567" s="340"/>
      <c r="C7567" s="340"/>
      <c r="D7567" s="340"/>
      <c r="E7567" s="340"/>
      <c r="F7567" s="340"/>
      <c r="G7567" s="340"/>
      <c r="H7567" s="340"/>
      <c r="I7567" s="340"/>
      <c r="J7567" s="340"/>
      <c r="K7567" s="340"/>
      <c r="L7567" s="340"/>
      <c r="M7567" s="340"/>
      <c r="N7567" s="340"/>
      <c r="O7567" s="340"/>
      <c r="P7567" s="340"/>
      <c r="Q7567" s="340"/>
      <c r="R7567" s="340"/>
      <c r="S7567" s="340"/>
      <c r="T7567" s="340"/>
    </row>
    <row r="7568" spans="1:20">
      <c r="A7568" s="340"/>
      <c r="B7568" s="340"/>
      <c r="C7568" s="340"/>
      <c r="D7568" s="340"/>
      <c r="E7568" s="340"/>
      <c r="F7568" s="340"/>
      <c r="G7568" s="340"/>
      <c r="H7568" s="340"/>
      <c r="I7568" s="340"/>
      <c r="J7568" s="340"/>
      <c r="K7568" s="340"/>
      <c r="L7568" s="340"/>
      <c r="M7568" s="340"/>
      <c r="N7568" s="340"/>
      <c r="O7568" s="340"/>
      <c r="P7568" s="340"/>
      <c r="Q7568" s="340"/>
      <c r="R7568" s="340"/>
      <c r="S7568" s="340"/>
      <c r="T7568" s="340"/>
    </row>
    <row r="7569" spans="1:20">
      <c r="A7569" s="340"/>
      <c r="B7569" s="340"/>
      <c r="C7569" s="340"/>
      <c r="D7569" s="340"/>
      <c r="E7569" s="340"/>
      <c r="F7569" s="340"/>
      <c r="G7569" s="340"/>
      <c r="H7569" s="340"/>
      <c r="I7569" s="340"/>
      <c r="J7569" s="340"/>
      <c r="K7569" s="340"/>
      <c r="L7569" s="340"/>
      <c r="M7569" s="340"/>
      <c r="N7569" s="340"/>
      <c r="O7569" s="340"/>
      <c r="P7569" s="340"/>
      <c r="Q7569" s="340"/>
      <c r="R7569" s="340"/>
      <c r="S7569" s="340"/>
      <c r="T7569" s="340"/>
    </row>
    <row r="7570" spans="1:20">
      <c r="A7570" s="340"/>
      <c r="B7570" s="340"/>
      <c r="C7570" s="340"/>
      <c r="D7570" s="340"/>
      <c r="E7570" s="340"/>
      <c r="F7570" s="340"/>
      <c r="G7570" s="340"/>
      <c r="H7570" s="340"/>
      <c r="I7570" s="340"/>
      <c r="J7570" s="340"/>
      <c r="K7570" s="340"/>
      <c r="L7570" s="340"/>
      <c r="M7570" s="340"/>
      <c r="N7570" s="340"/>
      <c r="O7570" s="340"/>
      <c r="P7570" s="340"/>
      <c r="Q7570" s="340"/>
      <c r="R7570" s="340"/>
      <c r="S7570" s="340"/>
      <c r="T7570" s="340"/>
    </row>
    <row r="7571" spans="1:20">
      <c r="A7571" s="340"/>
      <c r="B7571" s="340"/>
      <c r="C7571" s="340"/>
      <c r="D7571" s="340"/>
      <c r="E7571" s="340"/>
      <c r="F7571" s="340"/>
      <c r="G7571" s="340"/>
      <c r="H7571" s="340"/>
      <c r="I7571" s="340"/>
      <c r="J7571" s="340"/>
      <c r="K7571" s="340"/>
      <c r="L7571" s="340"/>
      <c r="M7571" s="340"/>
      <c r="N7571" s="340"/>
      <c r="O7571" s="340"/>
      <c r="P7571" s="340"/>
      <c r="Q7571" s="340"/>
      <c r="R7571" s="340"/>
      <c r="S7571" s="340"/>
      <c r="T7571" s="340"/>
    </row>
    <row r="7572" spans="1:20">
      <c r="A7572" s="340"/>
      <c r="B7572" s="340"/>
      <c r="C7572" s="340"/>
      <c r="D7572" s="340"/>
      <c r="E7572" s="340"/>
      <c r="F7572" s="340"/>
      <c r="G7572" s="340"/>
      <c r="H7572" s="340"/>
      <c r="I7572" s="340"/>
      <c r="J7572" s="340"/>
      <c r="K7572" s="340"/>
      <c r="L7572" s="340"/>
      <c r="M7572" s="340"/>
      <c r="N7572" s="340"/>
      <c r="O7572" s="340"/>
      <c r="P7572" s="340"/>
      <c r="Q7572" s="340"/>
      <c r="R7572" s="340"/>
      <c r="S7572" s="340"/>
      <c r="T7572" s="340"/>
    </row>
    <row r="7573" spans="1:20">
      <c r="A7573" s="340"/>
      <c r="B7573" s="340"/>
      <c r="C7573" s="340"/>
      <c r="D7573" s="340"/>
      <c r="E7573" s="340"/>
      <c r="F7573" s="340"/>
      <c r="G7573" s="340"/>
      <c r="H7573" s="340"/>
      <c r="I7573" s="340"/>
      <c r="J7573" s="340"/>
      <c r="K7573" s="340"/>
      <c r="L7573" s="340"/>
      <c r="M7573" s="340"/>
      <c r="N7573" s="340"/>
      <c r="O7573" s="340"/>
      <c r="P7573" s="340"/>
      <c r="Q7573" s="340"/>
      <c r="R7573" s="340"/>
      <c r="S7573" s="340"/>
      <c r="T7573" s="340"/>
    </row>
    <row r="7574" spans="1:20">
      <c r="A7574" s="340"/>
      <c r="B7574" s="340"/>
      <c r="C7574" s="340"/>
      <c r="D7574" s="340"/>
      <c r="E7574" s="340"/>
      <c r="F7574" s="340"/>
      <c r="G7574" s="340"/>
      <c r="H7574" s="340"/>
      <c r="I7574" s="340"/>
      <c r="J7574" s="340"/>
      <c r="K7574" s="340"/>
      <c r="L7574" s="340"/>
      <c r="M7574" s="340"/>
      <c r="N7574" s="340"/>
      <c r="O7574" s="340"/>
      <c r="P7574" s="340"/>
      <c r="Q7574" s="340"/>
      <c r="R7574" s="340"/>
      <c r="S7574" s="340"/>
      <c r="T7574" s="340"/>
    </row>
    <row r="7575" spans="1:20">
      <c r="A7575" s="340"/>
      <c r="B7575" s="340"/>
      <c r="C7575" s="340"/>
      <c r="D7575" s="340"/>
      <c r="E7575" s="340"/>
      <c r="F7575" s="340"/>
      <c r="G7575" s="340"/>
      <c r="H7575" s="340"/>
      <c r="I7575" s="340"/>
      <c r="J7575" s="340"/>
      <c r="K7575" s="340"/>
      <c r="L7575" s="340"/>
      <c r="M7575" s="340"/>
      <c r="N7575" s="340"/>
      <c r="O7575" s="340"/>
      <c r="P7575" s="340"/>
      <c r="Q7575" s="340"/>
      <c r="R7575" s="340"/>
      <c r="S7575" s="340"/>
      <c r="T7575" s="340"/>
    </row>
    <row r="7576" spans="1:20">
      <c r="A7576" s="340"/>
      <c r="B7576" s="340"/>
      <c r="C7576" s="340"/>
      <c r="D7576" s="340"/>
      <c r="E7576" s="340"/>
      <c r="F7576" s="340"/>
      <c r="G7576" s="340"/>
      <c r="H7576" s="340"/>
      <c r="I7576" s="340"/>
      <c r="J7576" s="340"/>
      <c r="K7576" s="340"/>
      <c r="L7576" s="340"/>
      <c r="M7576" s="340"/>
      <c r="N7576" s="340"/>
      <c r="O7576" s="340"/>
      <c r="P7576" s="340"/>
      <c r="Q7576" s="340"/>
      <c r="R7576" s="340"/>
      <c r="S7576" s="340"/>
      <c r="T7576" s="340"/>
    </row>
    <row r="7577" spans="1:20">
      <c r="A7577" s="340"/>
      <c r="B7577" s="340"/>
      <c r="C7577" s="340"/>
      <c r="D7577" s="340"/>
      <c r="E7577" s="340"/>
      <c r="F7577" s="340"/>
      <c r="G7577" s="340"/>
      <c r="H7577" s="340"/>
      <c r="I7577" s="340"/>
      <c r="J7577" s="340"/>
      <c r="K7577" s="340"/>
      <c r="L7577" s="340"/>
      <c r="M7577" s="340"/>
      <c r="N7577" s="340"/>
      <c r="O7577" s="340"/>
      <c r="P7577" s="340"/>
      <c r="Q7577" s="340"/>
      <c r="R7577" s="340"/>
      <c r="S7577" s="340"/>
      <c r="T7577" s="340"/>
    </row>
    <row r="7578" spans="1:20">
      <c r="A7578" s="340"/>
      <c r="B7578" s="340"/>
      <c r="C7578" s="340"/>
      <c r="D7578" s="340"/>
      <c r="E7578" s="340"/>
      <c r="F7578" s="340"/>
      <c r="G7578" s="340"/>
      <c r="H7578" s="340"/>
      <c r="I7578" s="340"/>
      <c r="J7578" s="340"/>
      <c r="K7578" s="340"/>
      <c r="L7578" s="340"/>
      <c r="M7578" s="340"/>
      <c r="N7578" s="340"/>
      <c r="O7578" s="340"/>
      <c r="P7578" s="340"/>
      <c r="Q7578" s="340"/>
      <c r="R7578" s="340"/>
      <c r="S7578" s="340"/>
      <c r="T7578" s="340"/>
    </row>
    <row r="7579" spans="1:20">
      <c r="A7579" s="340"/>
      <c r="B7579" s="340"/>
      <c r="C7579" s="340"/>
      <c r="D7579" s="340"/>
      <c r="E7579" s="340"/>
      <c r="F7579" s="340"/>
      <c r="G7579" s="340"/>
      <c r="H7579" s="340"/>
      <c r="I7579" s="340"/>
      <c r="J7579" s="340"/>
      <c r="K7579" s="340"/>
      <c r="L7579" s="340"/>
      <c r="M7579" s="340"/>
      <c r="N7579" s="340"/>
      <c r="O7579" s="340"/>
      <c r="P7579" s="340"/>
      <c r="Q7579" s="340"/>
      <c r="R7579" s="340"/>
      <c r="S7579" s="340"/>
      <c r="T7579" s="340"/>
    </row>
    <row r="7580" spans="1:20">
      <c r="A7580" s="340"/>
      <c r="B7580" s="340"/>
      <c r="C7580" s="340"/>
      <c r="D7580" s="340"/>
      <c r="E7580" s="340"/>
      <c r="F7580" s="340"/>
      <c r="G7580" s="340"/>
      <c r="H7580" s="340"/>
      <c r="I7580" s="340"/>
      <c r="J7580" s="340"/>
      <c r="K7580" s="340"/>
      <c r="L7580" s="340"/>
      <c r="M7580" s="340"/>
      <c r="N7580" s="340"/>
      <c r="O7580" s="340"/>
      <c r="P7580" s="340"/>
      <c r="Q7580" s="340"/>
      <c r="R7580" s="340"/>
      <c r="S7580" s="340"/>
      <c r="T7580" s="340"/>
    </row>
    <row r="7581" spans="1:20">
      <c r="A7581" s="340"/>
      <c r="B7581" s="340"/>
      <c r="C7581" s="340"/>
      <c r="D7581" s="340"/>
      <c r="E7581" s="340"/>
      <c r="F7581" s="340"/>
      <c r="G7581" s="340"/>
      <c r="H7581" s="340"/>
      <c r="I7581" s="340"/>
      <c r="J7581" s="340"/>
      <c r="K7581" s="340"/>
      <c r="L7581" s="340"/>
      <c r="M7581" s="340"/>
      <c r="N7581" s="340"/>
      <c r="O7581" s="340"/>
      <c r="P7581" s="340"/>
      <c r="Q7581" s="340"/>
      <c r="R7581" s="340"/>
      <c r="S7581" s="340"/>
      <c r="T7581" s="340"/>
    </row>
    <row r="7582" spans="1:20">
      <c r="A7582" s="340"/>
      <c r="B7582" s="340"/>
      <c r="C7582" s="340"/>
      <c r="D7582" s="340"/>
      <c r="E7582" s="340"/>
      <c r="F7582" s="340"/>
      <c r="G7582" s="340"/>
      <c r="H7582" s="340"/>
      <c r="I7582" s="340"/>
      <c r="J7582" s="340"/>
      <c r="K7582" s="340"/>
      <c r="L7582" s="340"/>
      <c r="M7582" s="340"/>
      <c r="N7582" s="340"/>
      <c r="O7582" s="340"/>
      <c r="P7582" s="340"/>
      <c r="Q7582" s="340"/>
      <c r="R7582" s="340"/>
      <c r="S7582" s="340"/>
      <c r="T7582" s="340"/>
    </row>
    <row r="7583" spans="1:20">
      <c r="A7583" s="340"/>
      <c r="B7583" s="340"/>
      <c r="C7583" s="340"/>
      <c r="D7583" s="340"/>
      <c r="E7583" s="340"/>
      <c r="F7583" s="340"/>
      <c r="G7583" s="340"/>
      <c r="H7583" s="340"/>
      <c r="I7583" s="340"/>
      <c r="J7583" s="340"/>
      <c r="K7583" s="340"/>
      <c r="L7583" s="340"/>
      <c r="M7583" s="340"/>
      <c r="N7583" s="340"/>
      <c r="O7583" s="340"/>
      <c r="P7583" s="340"/>
      <c r="Q7583" s="340"/>
      <c r="R7583" s="340"/>
      <c r="S7583" s="340"/>
      <c r="T7583" s="340"/>
    </row>
    <row r="7584" spans="1:20">
      <c r="A7584" s="340"/>
      <c r="B7584" s="340"/>
      <c r="C7584" s="340"/>
      <c r="D7584" s="340"/>
      <c r="E7584" s="340"/>
      <c r="F7584" s="340"/>
      <c r="G7584" s="340"/>
      <c r="H7584" s="340"/>
      <c r="I7584" s="340"/>
      <c r="J7584" s="340"/>
      <c r="K7584" s="340"/>
      <c r="L7584" s="340"/>
      <c r="M7584" s="340"/>
      <c r="N7584" s="340"/>
      <c r="O7584" s="340"/>
      <c r="P7584" s="340"/>
      <c r="Q7584" s="340"/>
      <c r="R7584" s="340"/>
      <c r="S7584" s="340"/>
      <c r="T7584" s="340"/>
    </row>
    <row r="7585" spans="1:20">
      <c r="A7585" s="340"/>
      <c r="B7585" s="340"/>
      <c r="C7585" s="340"/>
      <c r="D7585" s="340"/>
      <c r="E7585" s="340"/>
      <c r="F7585" s="340"/>
      <c r="G7585" s="340"/>
      <c r="H7585" s="340"/>
      <c r="I7585" s="340"/>
      <c r="J7585" s="340"/>
      <c r="K7585" s="340"/>
      <c r="L7585" s="340"/>
      <c r="M7585" s="340"/>
      <c r="N7585" s="340"/>
      <c r="O7585" s="340"/>
      <c r="P7585" s="340"/>
      <c r="Q7585" s="340"/>
      <c r="R7585" s="340"/>
      <c r="S7585" s="340"/>
      <c r="T7585" s="340"/>
    </row>
    <row r="7586" spans="1:20">
      <c r="A7586" s="340"/>
      <c r="B7586" s="340"/>
      <c r="C7586" s="340"/>
      <c r="D7586" s="340"/>
      <c r="E7586" s="340"/>
      <c r="F7586" s="340"/>
      <c r="G7586" s="340"/>
      <c r="H7586" s="340"/>
      <c r="I7586" s="340"/>
      <c r="J7586" s="340"/>
      <c r="K7586" s="340"/>
      <c r="L7586" s="340"/>
      <c r="M7586" s="340"/>
      <c r="N7586" s="340"/>
      <c r="O7586" s="340"/>
      <c r="P7586" s="340"/>
      <c r="Q7586" s="340"/>
      <c r="R7586" s="340"/>
      <c r="S7586" s="340"/>
      <c r="T7586" s="340"/>
    </row>
    <row r="7587" spans="1:20">
      <c r="A7587" s="340"/>
      <c r="B7587" s="340"/>
      <c r="C7587" s="340"/>
      <c r="D7587" s="340"/>
      <c r="E7587" s="340"/>
      <c r="F7587" s="340"/>
      <c r="G7587" s="340"/>
      <c r="H7587" s="340"/>
      <c r="I7587" s="340"/>
      <c r="J7587" s="340"/>
      <c r="K7587" s="340"/>
      <c r="L7587" s="340"/>
      <c r="M7587" s="340"/>
      <c r="N7587" s="340"/>
      <c r="O7587" s="340"/>
      <c r="P7587" s="340"/>
      <c r="Q7587" s="340"/>
      <c r="R7587" s="340"/>
      <c r="S7587" s="340"/>
      <c r="T7587" s="340"/>
    </row>
    <row r="7588" spans="1:20">
      <c r="A7588" s="340"/>
      <c r="B7588" s="340"/>
      <c r="C7588" s="340"/>
      <c r="D7588" s="340"/>
      <c r="E7588" s="340"/>
      <c r="F7588" s="340"/>
      <c r="G7588" s="340"/>
      <c r="H7588" s="340"/>
      <c r="I7588" s="340"/>
      <c r="J7588" s="340"/>
      <c r="K7588" s="340"/>
      <c r="L7588" s="340"/>
      <c r="M7588" s="340"/>
      <c r="N7588" s="340"/>
      <c r="O7588" s="340"/>
      <c r="P7588" s="340"/>
      <c r="Q7588" s="340"/>
      <c r="R7588" s="340"/>
      <c r="S7588" s="340"/>
      <c r="T7588" s="340"/>
    </row>
    <row r="7589" spans="1:20">
      <c r="A7589" s="340"/>
      <c r="B7589" s="340"/>
      <c r="C7589" s="340"/>
      <c r="D7589" s="340"/>
      <c r="E7589" s="340"/>
      <c r="F7589" s="340"/>
      <c r="G7589" s="340"/>
      <c r="H7589" s="340"/>
      <c r="I7589" s="340"/>
      <c r="J7589" s="340"/>
      <c r="K7589" s="340"/>
      <c r="L7589" s="340"/>
      <c r="M7589" s="340"/>
      <c r="N7589" s="340"/>
      <c r="O7589" s="340"/>
      <c r="P7589" s="340"/>
      <c r="Q7589" s="340"/>
      <c r="R7589" s="340"/>
      <c r="S7589" s="340"/>
      <c r="T7589" s="340"/>
    </row>
    <row r="7590" spans="1:20">
      <c r="A7590" s="340"/>
      <c r="B7590" s="340"/>
      <c r="C7590" s="340"/>
      <c r="D7590" s="340"/>
      <c r="E7590" s="340"/>
      <c r="F7590" s="340"/>
      <c r="G7590" s="340"/>
      <c r="H7590" s="340"/>
      <c r="I7590" s="340"/>
      <c r="J7590" s="340"/>
      <c r="K7590" s="340"/>
      <c r="L7590" s="340"/>
      <c r="M7590" s="340"/>
      <c r="N7590" s="340"/>
      <c r="O7590" s="340"/>
      <c r="P7590" s="340"/>
      <c r="Q7590" s="340"/>
      <c r="R7590" s="340"/>
      <c r="S7590" s="340"/>
      <c r="T7590" s="340"/>
    </row>
    <row r="7591" spans="1:20">
      <c r="A7591" s="340"/>
      <c r="B7591" s="340"/>
      <c r="C7591" s="340"/>
      <c r="D7591" s="340"/>
      <c r="E7591" s="340"/>
      <c r="F7591" s="340"/>
      <c r="G7591" s="340"/>
      <c r="H7591" s="340"/>
      <c r="I7591" s="340"/>
      <c r="J7591" s="340"/>
      <c r="K7591" s="340"/>
      <c r="L7591" s="340"/>
      <c r="M7591" s="340"/>
      <c r="N7591" s="340"/>
      <c r="O7591" s="340"/>
      <c r="P7591" s="340"/>
      <c r="Q7591" s="340"/>
      <c r="R7591" s="340"/>
      <c r="S7591" s="340"/>
      <c r="T7591" s="340"/>
    </row>
    <row r="7592" spans="1:20">
      <c r="A7592" s="340"/>
      <c r="B7592" s="340"/>
      <c r="C7592" s="340"/>
      <c r="D7592" s="340"/>
      <c r="E7592" s="340"/>
      <c r="F7592" s="340"/>
      <c r="G7592" s="340"/>
      <c r="H7592" s="340"/>
      <c r="I7592" s="340"/>
      <c r="J7592" s="340"/>
      <c r="K7592" s="340"/>
      <c r="L7592" s="340"/>
      <c r="M7592" s="340"/>
      <c r="N7592" s="340"/>
      <c r="O7592" s="340"/>
      <c r="P7592" s="340"/>
      <c r="Q7592" s="340"/>
      <c r="R7592" s="340"/>
      <c r="S7592" s="340"/>
      <c r="T7592" s="340"/>
    </row>
    <row r="7593" spans="1:20">
      <c r="A7593" s="340"/>
      <c r="B7593" s="340"/>
      <c r="C7593" s="340"/>
      <c r="D7593" s="340"/>
      <c r="E7593" s="340"/>
      <c r="F7593" s="340"/>
      <c r="G7593" s="340"/>
      <c r="H7593" s="340"/>
      <c r="I7593" s="340"/>
      <c r="J7593" s="340"/>
      <c r="K7593" s="340"/>
      <c r="L7593" s="340"/>
      <c r="M7593" s="340"/>
      <c r="N7593" s="340"/>
      <c r="O7593" s="340"/>
      <c r="P7593" s="340"/>
      <c r="Q7593" s="340"/>
      <c r="R7593" s="340"/>
      <c r="S7593" s="340"/>
      <c r="T7593" s="340"/>
    </row>
    <row r="7594" spans="1:20">
      <c r="A7594" s="340"/>
      <c r="B7594" s="340"/>
      <c r="C7594" s="340"/>
      <c r="D7594" s="340"/>
      <c r="E7594" s="340"/>
      <c r="F7594" s="340"/>
      <c r="G7594" s="340"/>
      <c r="H7594" s="340"/>
      <c r="I7594" s="340"/>
      <c r="J7594" s="340"/>
      <c r="K7594" s="340"/>
      <c r="L7594" s="340"/>
      <c r="M7594" s="340"/>
      <c r="N7594" s="340"/>
      <c r="O7594" s="340"/>
      <c r="P7594" s="340"/>
      <c r="Q7594" s="340"/>
      <c r="R7594" s="340"/>
      <c r="S7594" s="340"/>
      <c r="T7594" s="340"/>
    </row>
    <row r="7595" spans="1:20">
      <c r="A7595" s="340"/>
      <c r="B7595" s="340"/>
      <c r="C7595" s="340"/>
      <c r="D7595" s="340"/>
      <c r="E7595" s="340"/>
      <c r="F7595" s="340"/>
      <c r="G7595" s="340"/>
      <c r="H7595" s="340"/>
      <c r="I7595" s="340"/>
      <c r="J7595" s="340"/>
      <c r="K7595" s="340"/>
      <c r="L7595" s="340"/>
      <c r="M7595" s="340"/>
      <c r="N7595" s="340"/>
      <c r="O7595" s="340"/>
      <c r="P7595" s="340"/>
      <c r="Q7595" s="340"/>
      <c r="R7595" s="340"/>
      <c r="S7595" s="340"/>
      <c r="T7595" s="340"/>
    </row>
    <row r="7596" spans="1:20">
      <c r="A7596" s="340"/>
      <c r="B7596" s="340"/>
      <c r="C7596" s="340"/>
      <c r="D7596" s="340"/>
      <c r="E7596" s="340"/>
      <c r="F7596" s="340"/>
      <c r="G7596" s="340"/>
      <c r="H7596" s="340"/>
      <c r="I7596" s="340"/>
      <c r="J7596" s="340"/>
      <c r="K7596" s="340"/>
      <c r="L7596" s="340"/>
      <c r="M7596" s="340"/>
      <c r="N7596" s="340"/>
      <c r="O7596" s="340"/>
      <c r="P7596" s="340"/>
      <c r="Q7596" s="340"/>
      <c r="R7596" s="340"/>
      <c r="S7596" s="340"/>
      <c r="T7596" s="340"/>
    </row>
    <row r="7597" spans="1:20">
      <c r="A7597" s="340"/>
      <c r="B7597" s="340"/>
      <c r="C7597" s="340"/>
      <c r="D7597" s="340"/>
      <c r="E7597" s="340"/>
      <c r="F7597" s="340"/>
      <c r="G7597" s="340"/>
      <c r="H7597" s="340"/>
      <c r="I7597" s="340"/>
      <c r="J7597" s="340"/>
      <c r="K7597" s="340"/>
      <c r="L7597" s="340"/>
      <c r="M7597" s="340"/>
      <c r="N7597" s="340"/>
      <c r="O7597" s="340"/>
      <c r="P7597" s="340"/>
      <c r="Q7597" s="340"/>
      <c r="R7597" s="340"/>
      <c r="S7597" s="340"/>
      <c r="T7597" s="340"/>
    </row>
    <row r="7598" spans="1:20">
      <c r="A7598" s="340"/>
      <c r="B7598" s="340"/>
      <c r="C7598" s="340"/>
      <c r="D7598" s="340"/>
      <c r="E7598" s="340"/>
      <c r="F7598" s="340"/>
      <c r="G7598" s="340"/>
      <c r="H7598" s="340"/>
      <c r="I7598" s="340"/>
      <c r="J7598" s="340"/>
      <c r="K7598" s="340"/>
      <c r="L7598" s="340"/>
      <c r="M7598" s="340"/>
      <c r="N7598" s="340"/>
      <c r="O7598" s="340"/>
      <c r="P7598" s="340"/>
      <c r="Q7598" s="340"/>
      <c r="R7598" s="340"/>
      <c r="S7598" s="340"/>
      <c r="T7598" s="340"/>
    </row>
    <row r="7599" spans="1:20">
      <c r="A7599" s="340"/>
      <c r="B7599" s="340"/>
      <c r="C7599" s="340"/>
      <c r="D7599" s="340"/>
      <c r="E7599" s="340"/>
      <c r="F7599" s="340"/>
      <c r="G7599" s="340"/>
      <c r="H7599" s="340"/>
      <c r="I7599" s="340"/>
      <c r="J7599" s="340"/>
      <c r="K7599" s="340"/>
      <c r="L7599" s="340"/>
      <c r="M7599" s="340"/>
      <c r="N7599" s="340"/>
      <c r="O7599" s="340"/>
      <c r="P7599" s="340"/>
      <c r="Q7599" s="340"/>
      <c r="R7599" s="340"/>
      <c r="S7599" s="340"/>
      <c r="T7599" s="340"/>
    </row>
    <row r="7600" spans="1:20">
      <c r="A7600" s="340"/>
      <c r="B7600" s="340"/>
      <c r="C7600" s="340"/>
      <c r="D7600" s="340"/>
      <c r="E7600" s="340"/>
      <c r="F7600" s="340"/>
      <c r="G7600" s="340"/>
      <c r="H7600" s="340"/>
      <c r="I7600" s="340"/>
      <c r="J7600" s="340"/>
      <c r="K7600" s="340"/>
      <c r="L7600" s="340"/>
      <c r="M7600" s="340"/>
      <c r="N7600" s="340"/>
      <c r="O7600" s="340"/>
      <c r="P7600" s="340"/>
      <c r="Q7600" s="340"/>
      <c r="R7600" s="340"/>
      <c r="S7600" s="340"/>
      <c r="T7600" s="340"/>
    </row>
    <row r="7601" spans="1:20">
      <c r="A7601" s="340"/>
      <c r="B7601" s="340"/>
      <c r="C7601" s="340"/>
      <c r="D7601" s="340"/>
      <c r="E7601" s="340"/>
      <c r="F7601" s="340"/>
      <c r="G7601" s="340"/>
      <c r="H7601" s="340"/>
      <c r="I7601" s="340"/>
      <c r="J7601" s="340"/>
      <c r="K7601" s="340"/>
      <c r="L7601" s="340"/>
      <c r="M7601" s="340"/>
      <c r="N7601" s="340"/>
      <c r="O7601" s="340"/>
      <c r="P7601" s="340"/>
      <c r="Q7601" s="340"/>
      <c r="R7601" s="340"/>
      <c r="S7601" s="340"/>
      <c r="T7601" s="340"/>
    </row>
    <row r="7602" spans="1:20">
      <c r="A7602" s="340"/>
      <c r="B7602" s="340"/>
      <c r="C7602" s="340"/>
      <c r="D7602" s="340"/>
      <c r="E7602" s="340"/>
      <c r="F7602" s="340"/>
      <c r="G7602" s="340"/>
      <c r="H7602" s="340"/>
      <c r="I7602" s="340"/>
      <c r="J7602" s="340"/>
      <c r="K7602" s="340"/>
      <c r="L7602" s="340"/>
      <c r="M7602" s="340"/>
      <c r="N7602" s="340"/>
      <c r="O7602" s="340"/>
      <c r="P7602" s="340"/>
      <c r="Q7602" s="340"/>
      <c r="R7602" s="340"/>
      <c r="S7602" s="340"/>
      <c r="T7602" s="340"/>
    </row>
    <row r="7603" spans="1:20">
      <c r="A7603" s="340"/>
      <c r="B7603" s="340"/>
      <c r="C7603" s="340"/>
      <c r="D7603" s="340"/>
      <c r="E7603" s="340"/>
      <c r="F7603" s="340"/>
      <c r="G7603" s="340"/>
      <c r="H7603" s="340"/>
      <c r="I7603" s="340"/>
      <c r="J7603" s="340"/>
      <c r="K7603" s="340"/>
      <c r="L7603" s="340"/>
      <c r="M7603" s="340"/>
      <c r="N7603" s="340"/>
      <c r="O7603" s="340"/>
      <c r="P7603" s="340"/>
      <c r="Q7603" s="340"/>
      <c r="R7603" s="340"/>
      <c r="S7603" s="340"/>
      <c r="T7603" s="340"/>
    </row>
    <row r="7604" spans="1:20">
      <c r="A7604" s="340"/>
      <c r="B7604" s="340"/>
      <c r="C7604" s="340"/>
      <c r="D7604" s="340"/>
      <c r="E7604" s="340"/>
      <c r="F7604" s="340"/>
      <c r="G7604" s="340"/>
      <c r="H7604" s="340"/>
      <c r="I7604" s="340"/>
      <c r="J7604" s="340"/>
      <c r="K7604" s="340"/>
      <c r="L7604" s="340"/>
      <c r="M7604" s="340"/>
      <c r="N7604" s="340"/>
      <c r="O7604" s="340"/>
      <c r="P7604" s="340"/>
      <c r="Q7604" s="340"/>
      <c r="R7604" s="340"/>
      <c r="S7604" s="340"/>
      <c r="T7604" s="340"/>
    </row>
    <row r="7605" spans="1:20">
      <c r="A7605" s="340"/>
      <c r="B7605" s="340"/>
      <c r="C7605" s="340"/>
      <c r="D7605" s="340"/>
      <c r="E7605" s="340"/>
      <c r="F7605" s="340"/>
      <c r="G7605" s="340"/>
      <c r="H7605" s="340"/>
      <c r="I7605" s="340"/>
      <c r="J7605" s="340"/>
      <c r="K7605" s="340"/>
      <c r="L7605" s="340"/>
      <c r="M7605" s="340"/>
      <c r="N7605" s="340"/>
      <c r="O7605" s="340"/>
      <c r="P7605" s="340"/>
      <c r="Q7605" s="340"/>
      <c r="R7605" s="340"/>
      <c r="S7605" s="340"/>
      <c r="T7605" s="340"/>
    </row>
    <row r="7606" spans="1:20">
      <c r="A7606" s="340"/>
      <c r="B7606" s="340"/>
      <c r="C7606" s="340"/>
      <c r="D7606" s="340"/>
      <c r="E7606" s="340"/>
      <c r="F7606" s="340"/>
      <c r="G7606" s="340"/>
      <c r="H7606" s="340"/>
      <c r="I7606" s="340"/>
      <c r="J7606" s="340"/>
      <c r="K7606" s="340"/>
      <c r="L7606" s="340"/>
      <c r="M7606" s="340"/>
      <c r="N7606" s="340"/>
      <c r="O7606" s="340"/>
      <c r="P7606" s="340"/>
      <c r="Q7606" s="340"/>
      <c r="R7606" s="340"/>
      <c r="S7606" s="340"/>
      <c r="T7606" s="340"/>
    </row>
    <row r="7607" spans="1:20">
      <c r="A7607" s="340"/>
      <c r="B7607" s="340"/>
      <c r="C7607" s="340"/>
      <c r="D7607" s="340"/>
      <c r="E7607" s="340"/>
      <c r="F7607" s="340"/>
      <c r="G7607" s="340"/>
      <c r="H7607" s="340"/>
      <c r="I7607" s="340"/>
      <c r="J7607" s="340"/>
      <c r="K7607" s="340"/>
      <c r="L7607" s="340"/>
      <c r="M7607" s="340"/>
      <c r="N7607" s="340"/>
      <c r="O7607" s="340"/>
      <c r="P7607" s="340"/>
      <c r="Q7607" s="340"/>
      <c r="R7607" s="340"/>
      <c r="S7607" s="340"/>
      <c r="T7607" s="340"/>
    </row>
    <row r="7608" spans="1:20">
      <c r="A7608" s="340"/>
      <c r="B7608" s="340"/>
      <c r="C7608" s="340"/>
      <c r="D7608" s="340"/>
      <c r="E7608" s="340"/>
      <c r="F7608" s="340"/>
      <c r="G7608" s="340"/>
      <c r="H7608" s="340"/>
      <c r="I7608" s="340"/>
      <c r="J7608" s="340"/>
      <c r="K7608" s="340"/>
      <c r="L7608" s="340"/>
      <c r="M7608" s="340"/>
      <c r="N7608" s="340"/>
      <c r="O7608" s="340"/>
      <c r="P7608" s="340"/>
      <c r="Q7608" s="340"/>
      <c r="R7608" s="340"/>
      <c r="S7608" s="340"/>
      <c r="T7608" s="340"/>
    </row>
    <row r="7609" spans="1:20">
      <c r="A7609" s="340"/>
      <c r="B7609" s="340"/>
      <c r="C7609" s="340"/>
      <c r="D7609" s="340"/>
      <c r="E7609" s="340"/>
      <c r="F7609" s="340"/>
      <c r="G7609" s="340"/>
      <c r="H7609" s="340"/>
      <c r="I7609" s="340"/>
      <c r="J7609" s="340"/>
      <c r="K7609" s="340"/>
      <c r="L7609" s="340"/>
      <c r="M7609" s="340"/>
      <c r="N7609" s="340"/>
      <c r="O7609" s="340"/>
      <c r="P7609" s="340"/>
      <c r="Q7609" s="340"/>
      <c r="R7609" s="340"/>
      <c r="S7609" s="340"/>
      <c r="T7609" s="340"/>
    </row>
    <row r="7610" spans="1:20">
      <c r="A7610" s="340"/>
      <c r="B7610" s="340"/>
      <c r="C7610" s="340"/>
      <c r="D7610" s="340"/>
      <c r="E7610" s="340"/>
      <c r="F7610" s="340"/>
      <c r="G7610" s="340"/>
      <c r="H7610" s="340"/>
      <c r="I7610" s="340"/>
      <c r="J7610" s="340"/>
      <c r="K7610" s="340"/>
      <c r="L7610" s="340"/>
      <c r="M7610" s="340"/>
      <c r="N7610" s="340"/>
      <c r="O7610" s="340"/>
      <c r="P7610" s="340"/>
      <c r="Q7610" s="340"/>
      <c r="R7610" s="340"/>
      <c r="S7610" s="340"/>
      <c r="T7610" s="340"/>
    </row>
    <row r="7611" spans="1:20">
      <c r="A7611" s="340"/>
      <c r="B7611" s="340"/>
      <c r="C7611" s="340"/>
      <c r="D7611" s="340"/>
      <c r="E7611" s="340"/>
      <c r="F7611" s="340"/>
      <c r="G7611" s="340"/>
      <c r="H7611" s="340"/>
      <c r="I7611" s="340"/>
      <c r="J7611" s="340"/>
      <c r="K7611" s="340"/>
      <c r="L7611" s="340"/>
      <c r="M7611" s="340"/>
      <c r="N7611" s="340"/>
      <c r="O7611" s="340"/>
      <c r="P7611" s="340"/>
      <c r="Q7611" s="340"/>
      <c r="R7611" s="340"/>
      <c r="S7611" s="340"/>
      <c r="T7611" s="340"/>
    </row>
    <row r="7612" spans="1:20">
      <c r="A7612" s="340"/>
      <c r="B7612" s="340"/>
      <c r="C7612" s="340"/>
      <c r="D7612" s="340"/>
      <c r="E7612" s="340"/>
      <c r="F7612" s="340"/>
      <c r="G7612" s="340"/>
      <c r="H7612" s="340"/>
      <c r="I7612" s="340"/>
      <c r="J7612" s="340"/>
      <c r="K7612" s="340"/>
      <c r="L7612" s="340"/>
      <c r="M7612" s="340"/>
      <c r="N7612" s="340"/>
      <c r="O7612" s="340"/>
      <c r="P7612" s="340"/>
      <c r="Q7612" s="340"/>
      <c r="R7612" s="340"/>
      <c r="S7612" s="340"/>
      <c r="T7612" s="340"/>
    </row>
    <row r="7613" spans="1:20">
      <c r="A7613" s="340"/>
      <c r="B7613" s="340"/>
      <c r="C7613" s="340"/>
      <c r="D7613" s="340"/>
      <c r="E7613" s="340"/>
      <c r="F7613" s="340"/>
      <c r="G7613" s="340"/>
      <c r="H7613" s="340"/>
      <c r="I7613" s="340"/>
      <c r="J7613" s="340"/>
      <c r="K7613" s="340"/>
      <c r="L7613" s="340"/>
      <c r="M7613" s="340"/>
      <c r="N7613" s="340"/>
      <c r="O7613" s="340"/>
      <c r="P7613" s="340"/>
      <c r="Q7613" s="340"/>
      <c r="R7613" s="340"/>
      <c r="S7613" s="340"/>
      <c r="T7613" s="340"/>
    </row>
    <row r="7614" spans="1:20">
      <c r="A7614" s="340"/>
      <c r="B7614" s="340"/>
      <c r="C7614" s="340"/>
      <c r="D7614" s="340"/>
      <c r="E7614" s="340"/>
      <c r="F7614" s="340"/>
      <c r="G7614" s="340"/>
      <c r="H7614" s="340"/>
      <c r="I7614" s="340"/>
      <c r="J7614" s="340"/>
      <c r="K7614" s="340"/>
      <c r="L7614" s="340"/>
      <c r="M7614" s="340"/>
      <c r="N7614" s="340"/>
      <c r="O7614" s="340"/>
      <c r="P7614" s="340"/>
      <c r="Q7614" s="340"/>
      <c r="R7614" s="340"/>
      <c r="S7614" s="340"/>
      <c r="T7614" s="340"/>
    </row>
    <row r="7615" spans="1:20">
      <c r="A7615" s="340"/>
      <c r="B7615" s="340"/>
      <c r="C7615" s="340"/>
      <c r="D7615" s="340"/>
      <c r="E7615" s="340"/>
      <c r="F7615" s="340"/>
      <c r="G7615" s="340"/>
      <c r="H7615" s="340"/>
      <c r="I7615" s="340"/>
      <c r="J7615" s="340"/>
      <c r="K7615" s="340"/>
      <c r="L7615" s="340"/>
      <c r="M7615" s="340"/>
      <c r="N7615" s="340"/>
      <c r="O7615" s="340"/>
      <c r="P7615" s="340"/>
      <c r="Q7615" s="340"/>
      <c r="R7615" s="340"/>
      <c r="S7615" s="340"/>
      <c r="T7615" s="340"/>
    </row>
    <row r="7616" spans="1:20">
      <c r="A7616" s="340"/>
      <c r="B7616" s="340"/>
      <c r="C7616" s="340"/>
      <c r="D7616" s="340"/>
      <c r="E7616" s="340"/>
      <c r="F7616" s="340"/>
      <c r="G7616" s="340"/>
      <c r="H7616" s="340"/>
      <c r="I7616" s="340"/>
      <c r="J7616" s="340"/>
      <c r="K7616" s="340"/>
      <c r="L7616" s="340"/>
      <c r="M7616" s="340"/>
      <c r="N7616" s="340"/>
      <c r="O7616" s="340"/>
      <c r="P7616" s="340"/>
      <c r="Q7616" s="340"/>
      <c r="R7616" s="340"/>
      <c r="S7616" s="340"/>
      <c r="T7616" s="340"/>
    </row>
    <row r="7617" spans="1:20">
      <c r="A7617" s="340"/>
      <c r="B7617" s="340"/>
      <c r="C7617" s="340"/>
      <c r="D7617" s="340"/>
      <c r="E7617" s="340"/>
      <c r="F7617" s="340"/>
      <c r="G7617" s="340"/>
      <c r="H7617" s="340"/>
      <c r="I7617" s="340"/>
      <c r="J7617" s="340"/>
      <c r="K7617" s="340"/>
      <c r="L7617" s="340"/>
      <c r="M7617" s="340"/>
      <c r="N7617" s="340"/>
      <c r="O7617" s="340"/>
      <c r="P7617" s="340"/>
      <c r="Q7617" s="340"/>
      <c r="R7617" s="340"/>
      <c r="S7617" s="340"/>
      <c r="T7617" s="340"/>
    </row>
    <row r="7618" spans="1:20">
      <c r="A7618" s="340"/>
      <c r="B7618" s="340"/>
      <c r="C7618" s="340"/>
      <c r="D7618" s="340"/>
      <c r="E7618" s="340"/>
      <c r="F7618" s="340"/>
      <c r="G7618" s="340"/>
      <c r="H7618" s="340"/>
      <c r="I7618" s="340"/>
      <c r="J7618" s="340"/>
      <c r="K7618" s="340"/>
      <c r="L7618" s="340"/>
      <c r="M7618" s="340"/>
      <c r="N7618" s="340"/>
      <c r="O7618" s="340"/>
      <c r="P7618" s="340"/>
      <c r="Q7618" s="340"/>
      <c r="R7618" s="340"/>
      <c r="S7618" s="340"/>
      <c r="T7618" s="340"/>
    </row>
    <row r="7619" spans="1:20">
      <c r="A7619" s="340"/>
      <c r="B7619" s="340"/>
      <c r="C7619" s="340"/>
      <c r="D7619" s="340"/>
      <c r="E7619" s="340"/>
      <c r="F7619" s="340"/>
      <c r="G7619" s="340"/>
      <c r="H7619" s="340"/>
      <c r="I7619" s="340"/>
      <c r="J7619" s="340"/>
      <c r="K7619" s="340"/>
      <c r="L7619" s="340"/>
      <c r="M7619" s="340"/>
      <c r="N7619" s="340"/>
      <c r="O7619" s="340"/>
      <c r="P7619" s="340"/>
      <c r="Q7619" s="340"/>
      <c r="R7619" s="340"/>
      <c r="S7619" s="340"/>
      <c r="T7619" s="340"/>
    </row>
    <row r="7620" spans="1:20">
      <c r="A7620" s="340"/>
      <c r="B7620" s="340"/>
      <c r="C7620" s="340"/>
      <c r="D7620" s="340"/>
      <c r="E7620" s="340"/>
      <c r="F7620" s="340"/>
      <c r="G7620" s="340"/>
      <c r="H7620" s="340"/>
      <c r="I7620" s="340"/>
      <c r="J7620" s="340"/>
      <c r="K7620" s="340"/>
      <c r="L7620" s="340"/>
      <c r="M7620" s="340"/>
      <c r="N7620" s="340"/>
      <c r="O7620" s="340"/>
      <c r="P7620" s="340"/>
      <c r="Q7620" s="340"/>
      <c r="R7620" s="340"/>
      <c r="S7620" s="340"/>
      <c r="T7620" s="340"/>
    </row>
    <row r="7621" spans="1:20">
      <c r="A7621" s="340"/>
      <c r="B7621" s="340"/>
      <c r="C7621" s="340"/>
      <c r="D7621" s="340"/>
      <c r="E7621" s="340"/>
      <c r="F7621" s="340"/>
      <c r="G7621" s="340"/>
      <c r="H7621" s="340"/>
      <c r="I7621" s="340"/>
      <c r="J7621" s="340"/>
      <c r="K7621" s="340"/>
      <c r="L7621" s="340"/>
      <c r="M7621" s="340"/>
      <c r="N7621" s="340"/>
      <c r="O7621" s="340"/>
      <c r="P7621" s="340"/>
      <c r="Q7621" s="340"/>
      <c r="R7621" s="340"/>
      <c r="S7621" s="340"/>
      <c r="T7621" s="340"/>
    </row>
    <row r="7622" spans="1:20">
      <c r="A7622" s="340"/>
      <c r="B7622" s="340"/>
      <c r="C7622" s="340"/>
      <c r="D7622" s="340"/>
      <c r="E7622" s="340"/>
      <c r="F7622" s="340"/>
      <c r="G7622" s="340"/>
      <c r="H7622" s="340"/>
      <c r="I7622" s="340"/>
      <c r="J7622" s="340"/>
      <c r="K7622" s="340"/>
      <c r="L7622" s="340"/>
      <c r="M7622" s="340"/>
      <c r="N7622" s="340"/>
      <c r="O7622" s="340"/>
      <c r="P7622" s="340"/>
      <c r="Q7622" s="340"/>
      <c r="R7622" s="340"/>
      <c r="S7622" s="340"/>
      <c r="T7622" s="340"/>
    </row>
    <row r="7623" spans="1:20">
      <c r="A7623" s="340"/>
      <c r="B7623" s="340"/>
      <c r="C7623" s="340"/>
      <c r="D7623" s="340"/>
      <c r="E7623" s="340"/>
      <c r="F7623" s="340"/>
      <c r="G7623" s="340"/>
      <c r="H7623" s="340"/>
      <c r="I7623" s="340"/>
      <c r="J7623" s="340"/>
      <c r="K7623" s="340"/>
      <c r="L7623" s="340"/>
      <c r="M7623" s="340"/>
      <c r="N7623" s="340"/>
      <c r="O7623" s="340"/>
      <c r="P7623" s="340"/>
      <c r="Q7623" s="340"/>
      <c r="R7623" s="340"/>
      <c r="S7623" s="340"/>
      <c r="T7623" s="340"/>
    </row>
    <row r="7624" spans="1:20">
      <c r="A7624" s="340"/>
      <c r="B7624" s="340"/>
      <c r="C7624" s="340"/>
      <c r="D7624" s="340"/>
      <c r="E7624" s="340"/>
      <c r="F7624" s="340"/>
      <c r="G7624" s="340"/>
      <c r="H7624" s="340"/>
      <c r="I7624" s="340"/>
      <c r="J7624" s="340"/>
      <c r="K7624" s="340"/>
      <c r="L7624" s="340"/>
      <c r="M7624" s="340"/>
      <c r="N7624" s="340"/>
      <c r="O7624" s="340"/>
      <c r="P7624" s="340"/>
      <c r="Q7624" s="340"/>
      <c r="R7624" s="340"/>
      <c r="S7624" s="340"/>
      <c r="T7624" s="340"/>
    </row>
    <row r="7625" spans="1:20">
      <c r="A7625" s="340"/>
      <c r="B7625" s="340"/>
      <c r="C7625" s="340"/>
      <c r="D7625" s="340"/>
      <c r="E7625" s="340"/>
      <c r="F7625" s="340"/>
      <c r="G7625" s="340"/>
      <c r="H7625" s="340"/>
      <c r="I7625" s="340"/>
      <c r="J7625" s="340"/>
      <c r="K7625" s="340"/>
      <c r="L7625" s="340"/>
      <c r="M7625" s="340"/>
      <c r="N7625" s="340"/>
      <c r="O7625" s="340"/>
      <c r="P7625" s="340"/>
      <c r="Q7625" s="340"/>
      <c r="R7625" s="340"/>
      <c r="S7625" s="340"/>
      <c r="T7625" s="340"/>
    </row>
    <row r="7626" spans="1:20">
      <c r="A7626" s="340"/>
      <c r="B7626" s="340"/>
      <c r="C7626" s="340"/>
      <c r="D7626" s="340"/>
      <c r="E7626" s="340"/>
      <c r="F7626" s="340"/>
      <c r="G7626" s="340"/>
      <c r="H7626" s="340"/>
      <c r="I7626" s="340"/>
      <c r="J7626" s="340"/>
      <c r="K7626" s="340"/>
      <c r="L7626" s="340"/>
      <c r="M7626" s="340"/>
      <c r="N7626" s="340"/>
      <c r="O7626" s="340"/>
      <c r="P7626" s="340"/>
      <c r="Q7626" s="340"/>
      <c r="R7626" s="340"/>
      <c r="S7626" s="340"/>
      <c r="T7626" s="340"/>
    </row>
    <row r="7627" spans="1:20">
      <c r="A7627" s="340"/>
      <c r="B7627" s="340"/>
      <c r="C7627" s="340"/>
      <c r="D7627" s="340"/>
      <c r="E7627" s="340"/>
      <c r="F7627" s="340"/>
      <c r="G7627" s="340"/>
      <c r="H7627" s="340"/>
      <c r="I7627" s="340"/>
      <c r="J7627" s="340"/>
      <c r="K7627" s="340"/>
      <c r="L7627" s="340"/>
      <c r="M7627" s="340"/>
      <c r="N7627" s="340"/>
      <c r="O7627" s="340"/>
      <c r="P7627" s="340"/>
      <c r="Q7627" s="340"/>
      <c r="R7627" s="340"/>
      <c r="S7627" s="340"/>
      <c r="T7627" s="340"/>
    </row>
    <row r="7628" spans="1:20">
      <c r="A7628" s="340"/>
      <c r="B7628" s="340"/>
      <c r="C7628" s="340"/>
      <c r="D7628" s="340"/>
      <c r="E7628" s="340"/>
      <c r="F7628" s="340"/>
      <c r="G7628" s="340"/>
      <c r="H7628" s="340"/>
      <c r="I7628" s="340"/>
      <c r="J7628" s="340"/>
      <c r="K7628" s="340"/>
      <c r="L7628" s="340"/>
      <c r="M7628" s="340"/>
      <c r="N7628" s="340"/>
      <c r="O7628" s="340"/>
      <c r="P7628" s="340"/>
      <c r="Q7628" s="340"/>
      <c r="R7628" s="340"/>
      <c r="S7628" s="340"/>
      <c r="T7628" s="340"/>
    </row>
    <row r="7629" spans="1:20">
      <c r="A7629" s="340"/>
      <c r="B7629" s="340"/>
      <c r="C7629" s="340"/>
      <c r="D7629" s="340"/>
      <c r="E7629" s="340"/>
      <c r="F7629" s="340"/>
      <c r="G7629" s="340"/>
      <c r="H7629" s="340"/>
      <c r="I7629" s="340"/>
      <c r="J7629" s="340"/>
      <c r="K7629" s="340"/>
      <c r="L7629" s="340"/>
      <c r="M7629" s="340"/>
      <c r="N7629" s="340"/>
      <c r="O7629" s="340"/>
      <c r="P7629" s="340"/>
      <c r="Q7629" s="340"/>
      <c r="R7629" s="340"/>
      <c r="S7629" s="340"/>
      <c r="T7629" s="340"/>
    </row>
    <row r="7630" spans="1:20">
      <c r="A7630" s="340"/>
      <c r="B7630" s="340"/>
      <c r="C7630" s="340"/>
      <c r="D7630" s="340"/>
      <c r="E7630" s="340"/>
      <c r="F7630" s="340"/>
      <c r="G7630" s="340"/>
      <c r="H7630" s="340"/>
      <c r="I7630" s="340"/>
      <c r="J7630" s="340"/>
      <c r="K7630" s="340"/>
      <c r="L7630" s="340"/>
      <c r="M7630" s="340"/>
      <c r="N7630" s="340"/>
      <c r="O7630" s="340"/>
      <c r="P7630" s="340"/>
      <c r="Q7630" s="340"/>
      <c r="R7630" s="340"/>
      <c r="S7630" s="340"/>
      <c r="T7630" s="340"/>
    </row>
    <row r="7631" spans="1:20">
      <c r="A7631" s="340"/>
      <c r="B7631" s="340"/>
      <c r="C7631" s="340"/>
      <c r="D7631" s="340"/>
      <c r="E7631" s="340"/>
      <c r="F7631" s="340"/>
      <c r="G7631" s="340"/>
      <c r="H7631" s="340"/>
      <c r="I7631" s="340"/>
      <c r="J7631" s="340"/>
      <c r="K7631" s="340"/>
      <c r="L7631" s="340"/>
      <c r="M7631" s="340"/>
      <c r="N7631" s="340"/>
      <c r="O7631" s="340"/>
      <c r="P7631" s="340"/>
      <c r="Q7631" s="340"/>
      <c r="R7631" s="340"/>
      <c r="S7631" s="340"/>
      <c r="T7631" s="340"/>
    </row>
    <row r="7632" spans="1:20">
      <c r="A7632" s="340"/>
      <c r="B7632" s="340"/>
      <c r="C7632" s="340"/>
      <c r="D7632" s="340"/>
      <c r="E7632" s="340"/>
      <c r="F7632" s="340"/>
      <c r="G7632" s="340"/>
      <c r="H7632" s="340"/>
      <c r="I7632" s="340"/>
      <c r="J7632" s="340"/>
      <c r="K7632" s="340"/>
      <c r="L7632" s="340"/>
      <c r="M7632" s="340"/>
      <c r="N7632" s="340"/>
      <c r="O7632" s="340"/>
      <c r="P7632" s="340"/>
      <c r="Q7632" s="340"/>
      <c r="R7632" s="340"/>
      <c r="S7632" s="340"/>
      <c r="T7632" s="340"/>
    </row>
    <row r="7633" spans="1:20">
      <c r="A7633" s="340"/>
      <c r="B7633" s="340"/>
      <c r="C7633" s="340"/>
      <c r="D7633" s="340"/>
      <c r="E7633" s="340"/>
      <c r="F7633" s="340"/>
      <c r="G7633" s="340"/>
      <c r="H7633" s="340"/>
      <c r="I7633" s="340"/>
      <c r="J7633" s="340"/>
      <c r="K7633" s="340"/>
      <c r="L7633" s="340"/>
      <c r="M7633" s="340"/>
      <c r="N7633" s="340"/>
      <c r="O7633" s="340"/>
      <c r="P7633" s="340"/>
      <c r="Q7633" s="340"/>
      <c r="R7633" s="340"/>
      <c r="S7633" s="340"/>
      <c r="T7633" s="340"/>
    </row>
    <row r="7634" spans="1:20">
      <c r="A7634" s="340"/>
      <c r="B7634" s="340"/>
      <c r="C7634" s="340"/>
      <c r="D7634" s="340"/>
      <c r="E7634" s="340"/>
      <c r="F7634" s="340"/>
      <c r="G7634" s="340"/>
      <c r="H7634" s="340"/>
      <c r="I7634" s="340"/>
      <c r="J7634" s="340"/>
      <c r="K7634" s="340"/>
      <c r="L7634" s="340"/>
      <c r="M7634" s="340"/>
      <c r="N7634" s="340"/>
      <c r="O7634" s="340"/>
      <c r="P7634" s="340"/>
      <c r="Q7634" s="340"/>
      <c r="R7634" s="340"/>
      <c r="S7634" s="340"/>
      <c r="T7634" s="340"/>
    </row>
    <row r="7635" spans="1:20">
      <c r="A7635" s="340"/>
      <c r="B7635" s="340"/>
      <c r="C7635" s="340"/>
      <c r="D7635" s="340"/>
      <c r="E7635" s="340"/>
      <c r="F7635" s="340"/>
      <c r="G7635" s="340"/>
      <c r="H7635" s="340"/>
      <c r="I7635" s="340"/>
      <c r="J7635" s="340"/>
      <c r="K7635" s="340"/>
      <c r="L7635" s="340"/>
      <c r="M7635" s="340"/>
      <c r="N7635" s="340"/>
      <c r="O7635" s="340"/>
      <c r="P7635" s="340"/>
      <c r="Q7635" s="340"/>
      <c r="R7635" s="340"/>
      <c r="S7635" s="340"/>
      <c r="T7635" s="340"/>
    </row>
    <row r="7636" spans="1:20">
      <c r="A7636" s="340"/>
      <c r="B7636" s="340"/>
      <c r="C7636" s="340"/>
      <c r="D7636" s="340"/>
      <c r="E7636" s="340"/>
      <c r="F7636" s="340"/>
      <c r="G7636" s="340"/>
      <c r="H7636" s="340"/>
      <c r="I7636" s="340"/>
      <c r="J7636" s="340"/>
      <c r="K7636" s="340"/>
      <c r="L7636" s="340"/>
      <c r="M7636" s="340"/>
      <c r="N7636" s="340"/>
      <c r="O7636" s="340"/>
      <c r="P7636" s="340"/>
      <c r="Q7636" s="340"/>
      <c r="R7636" s="340"/>
      <c r="S7636" s="340"/>
      <c r="T7636" s="340"/>
    </row>
    <row r="7637" spans="1:20">
      <c r="A7637" s="340"/>
      <c r="B7637" s="340"/>
      <c r="C7637" s="340"/>
      <c r="D7637" s="340"/>
      <c r="E7637" s="340"/>
      <c r="F7637" s="340"/>
      <c r="G7637" s="340"/>
      <c r="H7637" s="340"/>
      <c r="I7637" s="340"/>
      <c r="J7637" s="340"/>
      <c r="K7637" s="340"/>
      <c r="L7637" s="340"/>
      <c r="M7637" s="340"/>
      <c r="N7637" s="340"/>
      <c r="O7637" s="340"/>
      <c r="P7637" s="340"/>
      <c r="Q7637" s="340"/>
      <c r="R7637" s="340"/>
      <c r="S7637" s="340"/>
      <c r="T7637" s="340"/>
    </row>
    <row r="7638" spans="1:20">
      <c r="A7638" s="340"/>
      <c r="B7638" s="340"/>
      <c r="C7638" s="340"/>
      <c r="D7638" s="340"/>
      <c r="E7638" s="340"/>
      <c r="F7638" s="340"/>
      <c r="G7638" s="340"/>
      <c r="H7638" s="340"/>
      <c r="I7638" s="340"/>
      <c r="J7638" s="340"/>
      <c r="K7638" s="340"/>
      <c r="L7638" s="340"/>
      <c r="M7638" s="340"/>
      <c r="N7638" s="340"/>
      <c r="O7638" s="340"/>
      <c r="P7638" s="340"/>
      <c r="Q7638" s="340"/>
      <c r="R7638" s="340"/>
      <c r="S7638" s="340"/>
      <c r="T7638" s="340"/>
    </row>
    <row r="7639" spans="1:20">
      <c r="A7639" s="340"/>
      <c r="B7639" s="340"/>
      <c r="C7639" s="340"/>
      <c r="D7639" s="340"/>
      <c r="E7639" s="340"/>
      <c r="F7639" s="340"/>
      <c r="G7639" s="340"/>
      <c r="H7639" s="340"/>
      <c r="I7639" s="340"/>
      <c r="J7639" s="340"/>
      <c r="K7639" s="340"/>
      <c r="L7639" s="340"/>
      <c r="M7639" s="340"/>
      <c r="N7639" s="340"/>
      <c r="O7639" s="340"/>
      <c r="P7639" s="340"/>
      <c r="Q7639" s="340"/>
      <c r="R7639" s="340"/>
      <c r="S7639" s="340"/>
      <c r="T7639" s="340"/>
    </row>
    <row r="7640" spans="1:20">
      <c r="A7640" s="340"/>
      <c r="B7640" s="340"/>
      <c r="C7640" s="340"/>
      <c r="D7640" s="340"/>
      <c r="E7640" s="340"/>
      <c r="F7640" s="340"/>
      <c r="G7640" s="340"/>
      <c r="H7640" s="340"/>
      <c r="I7640" s="340"/>
      <c r="J7640" s="340"/>
      <c r="K7640" s="340"/>
      <c r="L7640" s="340"/>
      <c r="M7640" s="340"/>
      <c r="N7640" s="340"/>
      <c r="O7640" s="340"/>
      <c r="P7640" s="340"/>
      <c r="Q7640" s="340"/>
      <c r="R7640" s="340"/>
      <c r="S7640" s="340"/>
      <c r="T7640" s="340"/>
    </row>
    <row r="7641" spans="1:20">
      <c r="A7641" s="340"/>
      <c r="B7641" s="340"/>
      <c r="C7641" s="340"/>
      <c r="D7641" s="340"/>
      <c r="E7641" s="340"/>
      <c r="F7641" s="340"/>
      <c r="G7641" s="340"/>
      <c r="H7641" s="340"/>
      <c r="I7641" s="340"/>
      <c r="J7641" s="340"/>
      <c r="K7641" s="340"/>
      <c r="L7641" s="340"/>
      <c r="M7641" s="340"/>
      <c r="N7641" s="340"/>
      <c r="O7641" s="340"/>
      <c r="P7641" s="340"/>
      <c r="Q7641" s="340"/>
      <c r="R7641" s="340"/>
      <c r="S7641" s="340"/>
      <c r="T7641" s="340"/>
    </row>
    <row r="7642" spans="1:20">
      <c r="A7642" s="340"/>
      <c r="B7642" s="340"/>
      <c r="C7642" s="340"/>
      <c r="D7642" s="340"/>
      <c r="E7642" s="340"/>
      <c r="F7642" s="340"/>
      <c r="G7642" s="340"/>
      <c r="H7642" s="340"/>
      <c r="I7642" s="340"/>
      <c r="J7642" s="340"/>
      <c r="K7642" s="340"/>
      <c r="L7642" s="340"/>
      <c r="M7642" s="340"/>
      <c r="N7642" s="340"/>
      <c r="O7642" s="340"/>
      <c r="P7642" s="340"/>
      <c r="Q7642" s="340"/>
      <c r="R7642" s="340"/>
      <c r="S7642" s="340"/>
      <c r="T7642" s="340"/>
    </row>
    <row r="7643" spans="1:20">
      <c r="A7643" s="340"/>
      <c r="B7643" s="340"/>
      <c r="C7643" s="340"/>
      <c r="D7643" s="340"/>
      <c r="E7643" s="340"/>
      <c r="F7643" s="340"/>
      <c r="G7643" s="340"/>
      <c r="H7643" s="340"/>
      <c r="I7643" s="340"/>
      <c r="J7643" s="340"/>
      <c r="K7643" s="340"/>
      <c r="L7643" s="340"/>
      <c r="M7643" s="340"/>
      <c r="N7643" s="340"/>
      <c r="O7643" s="340"/>
      <c r="P7643" s="340"/>
      <c r="Q7643" s="340"/>
      <c r="R7643" s="340"/>
      <c r="S7643" s="340"/>
      <c r="T7643" s="340"/>
    </row>
    <row r="7644" spans="1:20">
      <c r="A7644" s="340"/>
      <c r="B7644" s="340"/>
      <c r="C7644" s="340"/>
      <c r="D7644" s="340"/>
      <c r="E7644" s="340"/>
      <c r="F7644" s="340"/>
      <c r="G7644" s="340"/>
      <c r="H7644" s="340"/>
      <c r="I7644" s="340"/>
      <c r="J7644" s="340"/>
      <c r="K7644" s="340"/>
      <c r="L7644" s="340"/>
      <c r="M7644" s="340"/>
      <c r="N7644" s="340"/>
      <c r="O7644" s="340"/>
      <c r="P7644" s="340"/>
      <c r="Q7644" s="340"/>
      <c r="R7644" s="340"/>
      <c r="S7644" s="340"/>
      <c r="T7644" s="340"/>
    </row>
    <row r="7645" spans="1:20">
      <c r="A7645" s="340"/>
      <c r="B7645" s="340"/>
      <c r="C7645" s="340"/>
      <c r="D7645" s="340"/>
      <c r="E7645" s="340"/>
      <c r="F7645" s="340"/>
      <c r="G7645" s="340"/>
      <c r="H7645" s="340"/>
      <c r="I7645" s="340"/>
      <c r="J7645" s="340"/>
      <c r="K7645" s="340"/>
      <c r="L7645" s="340"/>
      <c r="M7645" s="340"/>
      <c r="N7645" s="340"/>
      <c r="O7645" s="340"/>
      <c r="P7645" s="340"/>
      <c r="Q7645" s="340"/>
      <c r="R7645" s="340"/>
      <c r="S7645" s="340"/>
      <c r="T7645" s="340"/>
    </row>
    <row r="7646" spans="1:20">
      <c r="A7646" s="340"/>
      <c r="B7646" s="340"/>
      <c r="C7646" s="340"/>
      <c r="D7646" s="340"/>
      <c r="E7646" s="340"/>
      <c r="F7646" s="340"/>
      <c r="G7646" s="340"/>
      <c r="H7646" s="340"/>
      <c r="I7646" s="340"/>
      <c r="J7646" s="340"/>
      <c r="K7646" s="340"/>
      <c r="L7646" s="340"/>
      <c r="M7646" s="340"/>
      <c r="N7646" s="340"/>
      <c r="O7646" s="340"/>
      <c r="P7646" s="340"/>
      <c r="Q7646" s="340"/>
      <c r="R7646" s="340"/>
      <c r="S7646" s="340"/>
      <c r="T7646" s="340"/>
    </row>
    <row r="7647" spans="1:20">
      <c r="A7647" s="340"/>
      <c r="B7647" s="340"/>
      <c r="C7647" s="340"/>
      <c r="D7647" s="340"/>
      <c r="E7647" s="340"/>
      <c r="F7647" s="340"/>
      <c r="G7647" s="340"/>
      <c r="H7647" s="340"/>
      <c r="I7647" s="340"/>
      <c r="J7647" s="340"/>
      <c r="K7647" s="340"/>
      <c r="L7647" s="340"/>
      <c r="M7647" s="340"/>
      <c r="N7647" s="340"/>
      <c r="O7647" s="340"/>
      <c r="P7647" s="340"/>
      <c r="Q7647" s="340"/>
      <c r="R7647" s="340"/>
      <c r="S7647" s="340"/>
      <c r="T7647" s="340"/>
    </row>
    <row r="7648" spans="1:20">
      <c r="A7648" s="340"/>
      <c r="B7648" s="340"/>
      <c r="C7648" s="340"/>
      <c r="D7648" s="340"/>
      <c r="E7648" s="340"/>
      <c r="F7648" s="340"/>
      <c r="G7648" s="340"/>
      <c r="H7648" s="340"/>
      <c r="I7648" s="340"/>
      <c r="J7648" s="340"/>
      <c r="K7648" s="340"/>
      <c r="L7648" s="340"/>
      <c r="M7648" s="340"/>
      <c r="N7648" s="340"/>
      <c r="O7648" s="340"/>
      <c r="P7648" s="340"/>
      <c r="Q7648" s="340"/>
      <c r="R7648" s="340"/>
      <c r="S7648" s="340"/>
      <c r="T7648" s="340"/>
    </row>
    <row r="7649" spans="1:20">
      <c r="A7649" s="340"/>
      <c r="B7649" s="340"/>
      <c r="C7649" s="340"/>
      <c r="D7649" s="340"/>
      <c r="E7649" s="340"/>
      <c r="F7649" s="340"/>
      <c r="G7649" s="340"/>
      <c r="H7649" s="340"/>
      <c r="I7649" s="340"/>
      <c r="J7649" s="340"/>
      <c r="K7649" s="340"/>
      <c r="L7649" s="340"/>
      <c r="M7649" s="340"/>
      <c r="N7649" s="340"/>
      <c r="O7649" s="340"/>
      <c r="P7649" s="340"/>
      <c r="Q7649" s="340"/>
      <c r="R7649" s="340"/>
      <c r="S7649" s="340"/>
      <c r="T7649" s="340"/>
    </row>
    <row r="7650" spans="1:20">
      <c r="A7650" s="340"/>
      <c r="B7650" s="340"/>
      <c r="C7650" s="340"/>
      <c r="D7650" s="340"/>
      <c r="E7650" s="340"/>
      <c r="F7650" s="340"/>
      <c r="G7650" s="340"/>
      <c r="H7650" s="340"/>
      <c r="I7650" s="340"/>
      <c r="J7650" s="340"/>
      <c r="K7650" s="340"/>
      <c r="L7650" s="340"/>
      <c r="M7650" s="340"/>
      <c r="N7650" s="340"/>
      <c r="O7650" s="340"/>
      <c r="P7650" s="340"/>
      <c r="Q7650" s="340"/>
      <c r="R7650" s="340"/>
      <c r="S7650" s="340"/>
      <c r="T7650" s="340"/>
    </row>
    <row r="7651" spans="1:20">
      <c r="A7651" s="340"/>
      <c r="B7651" s="340"/>
      <c r="C7651" s="340"/>
      <c r="D7651" s="340"/>
      <c r="E7651" s="340"/>
      <c r="F7651" s="340"/>
      <c r="G7651" s="340"/>
      <c r="H7651" s="340"/>
      <c r="I7651" s="340"/>
      <c r="J7651" s="340"/>
      <c r="K7651" s="340"/>
      <c r="L7651" s="340"/>
      <c r="M7651" s="340"/>
      <c r="N7651" s="340"/>
      <c r="O7651" s="340"/>
      <c r="P7651" s="340"/>
      <c r="Q7651" s="340"/>
      <c r="R7651" s="340"/>
      <c r="S7651" s="340"/>
      <c r="T7651" s="340"/>
    </row>
    <row r="7652" spans="1:20">
      <c r="A7652" s="340"/>
      <c r="B7652" s="340"/>
      <c r="C7652" s="340"/>
      <c r="D7652" s="340"/>
      <c r="E7652" s="340"/>
      <c r="F7652" s="340"/>
      <c r="G7652" s="340"/>
      <c r="H7652" s="340"/>
      <c r="I7652" s="340"/>
      <c r="J7652" s="340"/>
      <c r="K7652" s="340"/>
      <c r="L7652" s="340"/>
      <c r="M7652" s="340"/>
      <c r="N7652" s="340"/>
      <c r="O7652" s="340"/>
      <c r="P7652" s="340"/>
      <c r="Q7652" s="340"/>
      <c r="R7652" s="340"/>
      <c r="S7652" s="340"/>
      <c r="T7652" s="340"/>
    </row>
    <row r="7653" spans="1:20">
      <c r="A7653" s="340"/>
      <c r="B7653" s="340"/>
      <c r="C7653" s="340"/>
      <c r="D7653" s="340"/>
      <c r="E7653" s="340"/>
      <c r="F7653" s="340"/>
      <c r="G7653" s="340"/>
      <c r="H7653" s="340"/>
      <c r="I7653" s="340"/>
      <c r="J7653" s="340"/>
      <c r="K7653" s="340"/>
      <c r="L7653" s="340"/>
      <c r="M7653" s="340"/>
      <c r="N7653" s="340"/>
      <c r="O7653" s="340"/>
      <c r="P7653" s="340"/>
      <c r="Q7653" s="340"/>
      <c r="R7653" s="340"/>
      <c r="S7653" s="340"/>
      <c r="T7653" s="340"/>
    </row>
    <row r="7654" spans="1:20">
      <c r="A7654" s="340"/>
      <c r="B7654" s="340"/>
      <c r="C7654" s="340"/>
      <c r="D7654" s="340"/>
      <c r="E7654" s="340"/>
      <c r="F7654" s="340"/>
      <c r="G7654" s="340"/>
      <c r="H7654" s="340"/>
      <c r="I7654" s="340"/>
      <c r="J7654" s="340"/>
      <c r="K7654" s="340"/>
      <c r="L7654" s="340"/>
      <c r="M7654" s="340"/>
      <c r="N7654" s="340"/>
      <c r="O7654" s="340"/>
      <c r="P7654" s="340"/>
      <c r="Q7654" s="340"/>
      <c r="R7654" s="340"/>
      <c r="S7654" s="340"/>
      <c r="T7654" s="340"/>
    </row>
    <row r="7655" spans="1:20">
      <c r="A7655" s="340"/>
      <c r="B7655" s="340"/>
      <c r="C7655" s="340"/>
      <c r="D7655" s="340"/>
      <c r="E7655" s="340"/>
      <c r="F7655" s="340"/>
      <c r="G7655" s="340"/>
      <c r="H7655" s="340"/>
      <c r="I7655" s="340"/>
      <c r="J7655" s="340"/>
      <c r="K7655" s="340"/>
      <c r="L7655" s="340"/>
      <c r="M7655" s="340"/>
      <c r="N7655" s="340"/>
      <c r="O7655" s="340"/>
      <c r="P7655" s="340"/>
      <c r="Q7655" s="340"/>
      <c r="R7655" s="340"/>
      <c r="S7655" s="340"/>
      <c r="T7655" s="340"/>
    </row>
    <row r="7656" spans="1:20">
      <c r="A7656" s="340"/>
      <c r="B7656" s="340"/>
      <c r="C7656" s="340"/>
      <c r="D7656" s="340"/>
      <c r="E7656" s="340"/>
      <c r="F7656" s="340"/>
      <c r="G7656" s="340"/>
      <c r="H7656" s="340"/>
      <c r="I7656" s="340"/>
      <c r="J7656" s="340"/>
      <c r="K7656" s="340"/>
      <c r="L7656" s="340"/>
      <c r="M7656" s="340"/>
      <c r="N7656" s="340"/>
      <c r="O7656" s="340"/>
      <c r="P7656" s="340"/>
      <c r="Q7656" s="340"/>
      <c r="R7656" s="340"/>
      <c r="S7656" s="340"/>
      <c r="T7656" s="340"/>
    </row>
    <row r="7657" spans="1:20">
      <c r="A7657" s="340"/>
      <c r="B7657" s="340"/>
      <c r="C7657" s="340"/>
      <c r="D7657" s="340"/>
      <c r="E7657" s="340"/>
      <c r="F7657" s="340"/>
      <c r="G7657" s="340"/>
      <c r="H7657" s="340"/>
      <c r="I7657" s="340"/>
      <c r="J7657" s="340"/>
      <c r="K7657" s="340"/>
      <c r="L7657" s="340"/>
      <c r="M7657" s="340"/>
      <c r="N7657" s="340"/>
      <c r="O7657" s="340"/>
      <c r="P7657" s="340"/>
      <c r="Q7657" s="340"/>
      <c r="R7657" s="340"/>
      <c r="S7657" s="340"/>
      <c r="T7657" s="340"/>
    </row>
    <row r="7658" spans="1:20">
      <c r="A7658" s="340"/>
      <c r="B7658" s="340"/>
      <c r="C7658" s="340"/>
      <c r="D7658" s="340"/>
      <c r="E7658" s="340"/>
      <c r="F7658" s="340"/>
      <c r="G7658" s="340"/>
      <c r="H7658" s="340"/>
      <c r="I7658" s="340"/>
      <c r="J7658" s="340"/>
      <c r="K7658" s="340"/>
      <c r="L7658" s="340"/>
      <c r="M7658" s="340"/>
      <c r="N7658" s="340"/>
      <c r="O7658" s="340"/>
      <c r="P7658" s="340"/>
      <c r="Q7658" s="340"/>
      <c r="R7658" s="340"/>
      <c r="S7658" s="340"/>
      <c r="T7658" s="340"/>
    </row>
    <row r="7659" spans="1:20">
      <c r="A7659" s="340"/>
      <c r="B7659" s="340"/>
      <c r="C7659" s="340"/>
      <c r="D7659" s="340"/>
      <c r="E7659" s="340"/>
      <c r="F7659" s="340"/>
      <c r="G7659" s="340"/>
      <c r="H7659" s="340"/>
      <c r="I7659" s="340"/>
      <c r="J7659" s="340"/>
      <c r="K7659" s="340"/>
      <c r="L7659" s="340"/>
      <c r="M7659" s="340"/>
      <c r="N7659" s="340"/>
      <c r="O7659" s="340"/>
      <c r="P7659" s="340"/>
      <c r="Q7659" s="340"/>
      <c r="R7659" s="340"/>
      <c r="S7659" s="340"/>
      <c r="T7659" s="340"/>
    </row>
    <row r="7660" spans="1:20">
      <c r="A7660" s="340"/>
      <c r="B7660" s="340"/>
      <c r="C7660" s="340"/>
      <c r="D7660" s="340"/>
      <c r="E7660" s="340"/>
      <c r="F7660" s="340"/>
      <c r="G7660" s="340"/>
      <c r="H7660" s="340"/>
      <c r="I7660" s="340"/>
      <c r="J7660" s="340"/>
      <c r="K7660" s="340"/>
      <c r="L7660" s="340"/>
      <c r="M7660" s="340"/>
      <c r="N7660" s="340"/>
      <c r="O7660" s="340"/>
      <c r="P7660" s="340"/>
      <c r="Q7660" s="340"/>
      <c r="R7660" s="340"/>
      <c r="S7660" s="340"/>
      <c r="T7660" s="340"/>
    </row>
    <row r="7661" spans="1:20">
      <c r="A7661" s="340"/>
      <c r="B7661" s="340"/>
      <c r="C7661" s="340"/>
      <c r="D7661" s="340"/>
      <c r="E7661" s="340"/>
      <c r="F7661" s="340"/>
      <c r="G7661" s="340"/>
      <c r="H7661" s="340"/>
      <c r="I7661" s="340"/>
      <c r="J7661" s="340"/>
      <c r="K7661" s="340"/>
      <c r="L7661" s="340"/>
      <c r="M7661" s="340"/>
      <c r="N7661" s="340"/>
      <c r="O7661" s="340"/>
      <c r="P7661" s="340"/>
      <c r="Q7661" s="340"/>
      <c r="R7661" s="340"/>
      <c r="S7661" s="340"/>
      <c r="T7661" s="340"/>
    </row>
    <row r="7662" spans="1:20">
      <c r="A7662" s="340"/>
      <c r="B7662" s="340"/>
      <c r="C7662" s="340"/>
      <c r="D7662" s="340"/>
      <c r="E7662" s="340"/>
      <c r="F7662" s="340"/>
      <c r="G7662" s="340"/>
      <c r="H7662" s="340"/>
      <c r="I7662" s="340"/>
      <c r="J7662" s="340"/>
      <c r="K7662" s="340"/>
      <c r="L7662" s="340"/>
      <c r="M7662" s="340"/>
      <c r="N7662" s="340"/>
      <c r="O7662" s="340"/>
      <c r="P7662" s="340"/>
      <c r="Q7662" s="340"/>
      <c r="R7662" s="340"/>
      <c r="S7662" s="340"/>
      <c r="T7662" s="340"/>
    </row>
    <row r="7663" spans="1:20">
      <c r="A7663" s="340"/>
      <c r="B7663" s="340"/>
      <c r="C7663" s="340"/>
      <c r="D7663" s="340"/>
      <c r="E7663" s="340"/>
      <c r="F7663" s="340"/>
      <c r="G7663" s="340"/>
      <c r="H7663" s="340"/>
      <c r="I7663" s="340"/>
      <c r="J7663" s="340"/>
      <c r="K7663" s="340"/>
      <c r="L7663" s="340"/>
      <c r="M7663" s="340"/>
      <c r="N7663" s="340"/>
      <c r="O7663" s="340"/>
      <c r="P7663" s="340"/>
      <c r="Q7663" s="340"/>
      <c r="R7663" s="340"/>
      <c r="S7663" s="340"/>
      <c r="T7663" s="340"/>
    </row>
    <row r="7664" spans="1:20">
      <c r="A7664" s="340"/>
      <c r="B7664" s="340"/>
      <c r="C7664" s="340"/>
      <c r="D7664" s="340"/>
      <c r="E7664" s="340"/>
      <c r="F7664" s="340"/>
      <c r="G7664" s="340"/>
      <c r="H7664" s="340"/>
      <c r="I7664" s="340"/>
      <c r="J7664" s="340"/>
      <c r="K7664" s="340"/>
      <c r="L7664" s="340"/>
      <c r="M7664" s="340"/>
      <c r="N7664" s="340"/>
      <c r="O7664" s="340"/>
      <c r="P7664" s="340"/>
      <c r="Q7664" s="340"/>
      <c r="R7664" s="340"/>
      <c r="S7664" s="340"/>
      <c r="T7664" s="340"/>
    </row>
    <row r="7665" spans="1:20">
      <c r="A7665" s="340"/>
      <c r="B7665" s="340"/>
      <c r="C7665" s="340"/>
      <c r="D7665" s="340"/>
      <c r="E7665" s="340"/>
      <c r="F7665" s="340"/>
      <c r="G7665" s="340"/>
      <c r="H7665" s="340"/>
      <c r="I7665" s="340"/>
      <c r="J7665" s="340"/>
      <c r="K7665" s="340"/>
      <c r="L7665" s="340"/>
      <c r="M7665" s="340"/>
      <c r="N7665" s="340"/>
      <c r="O7665" s="340"/>
      <c r="P7665" s="340"/>
      <c r="Q7665" s="340"/>
      <c r="R7665" s="340"/>
      <c r="S7665" s="340"/>
      <c r="T7665" s="340"/>
    </row>
    <row r="7666" spans="1:20">
      <c r="A7666" s="340"/>
      <c r="B7666" s="340"/>
      <c r="C7666" s="340"/>
      <c r="D7666" s="340"/>
      <c r="E7666" s="340"/>
      <c r="F7666" s="340"/>
      <c r="G7666" s="340"/>
      <c r="H7666" s="340"/>
      <c r="I7666" s="340"/>
      <c r="J7666" s="340"/>
      <c r="K7666" s="340"/>
      <c r="L7666" s="340"/>
      <c r="M7666" s="340"/>
      <c r="N7666" s="340"/>
      <c r="O7666" s="340"/>
      <c r="P7666" s="340"/>
      <c r="Q7666" s="340"/>
      <c r="R7666" s="340"/>
      <c r="S7666" s="340"/>
      <c r="T7666" s="340"/>
    </row>
    <row r="7667" spans="1:20">
      <c r="A7667" s="340"/>
      <c r="B7667" s="340"/>
      <c r="C7667" s="340"/>
      <c r="D7667" s="340"/>
      <c r="E7667" s="340"/>
      <c r="F7667" s="340"/>
      <c r="G7667" s="340"/>
      <c r="H7667" s="340"/>
      <c r="I7667" s="340"/>
      <c r="J7667" s="340"/>
      <c r="K7667" s="340"/>
      <c r="L7667" s="340"/>
      <c r="M7667" s="340"/>
      <c r="N7667" s="340"/>
      <c r="O7667" s="340"/>
      <c r="P7667" s="340"/>
      <c r="Q7667" s="340"/>
      <c r="R7667" s="340"/>
      <c r="S7667" s="340"/>
      <c r="T7667" s="340"/>
    </row>
    <row r="7668" spans="1:20">
      <c r="A7668" s="340"/>
      <c r="B7668" s="340"/>
      <c r="C7668" s="340"/>
      <c r="D7668" s="340"/>
      <c r="E7668" s="340"/>
      <c r="F7668" s="340"/>
      <c r="G7668" s="340"/>
      <c r="H7668" s="340"/>
      <c r="I7668" s="340"/>
      <c r="J7668" s="340"/>
      <c r="K7668" s="340"/>
      <c r="L7668" s="340"/>
      <c r="M7668" s="340"/>
      <c r="N7668" s="340"/>
      <c r="O7668" s="340"/>
      <c r="P7668" s="340"/>
      <c r="Q7668" s="340"/>
      <c r="R7668" s="340"/>
      <c r="S7668" s="340"/>
      <c r="T7668" s="340"/>
    </row>
    <row r="7669" spans="1:20">
      <c r="A7669" s="340"/>
      <c r="B7669" s="340"/>
      <c r="C7669" s="340"/>
      <c r="D7669" s="340"/>
      <c r="E7669" s="340"/>
      <c r="F7669" s="340"/>
      <c r="G7669" s="340"/>
      <c r="H7669" s="340"/>
      <c r="I7669" s="340"/>
      <c r="J7669" s="340"/>
      <c r="K7669" s="340"/>
      <c r="L7669" s="340"/>
      <c r="M7669" s="340"/>
      <c r="N7669" s="340"/>
      <c r="O7669" s="340"/>
      <c r="P7669" s="340"/>
      <c r="Q7669" s="340"/>
      <c r="R7669" s="340"/>
      <c r="S7669" s="340"/>
      <c r="T7669" s="340"/>
    </row>
    <row r="7670" spans="1:20">
      <c r="A7670" s="340"/>
      <c r="B7670" s="340"/>
      <c r="C7670" s="340"/>
      <c r="D7670" s="340"/>
      <c r="E7670" s="340"/>
      <c r="F7670" s="340"/>
      <c r="G7670" s="340"/>
      <c r="H7670" s="340"/>
      <c r="I7670" s="340"/>
      <c r="J7670" s="340"/>
      <c r="K7670" s="340"/>
      <c r="L7670" s="340"/>
      <c r="M7670" s="340"/>
      <c r="N7670" s="340"/>
      <c r="O7670" s="340"/>
      <c r="P7670" s="340"/>
      <c r="Q7670" s="340"/>
      <c r="R7670" s="340"/>
      <c r="S7670" s="340"/>
      <c r="T7670" s="340"/>
    </row>
    <row r="7671" spans="1:20">
      <c r="A7671" s="340"/>
      <c r="B7671" s="340"/>
      <c r="C7671" s="340"/>
      <c r="D7671" s="340"/>
      <c r="E7671" s="340"/>
      <c r="F7671" s="340"/>
      <c r="G7671" s="340"/>
      <c r="H7671" s="340"/>
      <c r="I7671" s="340"/>
      <c r="J7671" s="340"/>
      <c r="K7671" s="340"/>
      <c r="L7671" s="340"/>
      <c r="M7671" s="340"/>
      <c r="N7671" s="340"/>
      <c r="O7671" s="340"/>
      <c r="P7671" s="340"/>
      <c r="Q7671" s="340"/>
      <c r="R7671" s="340"/>
      <c r="S7671" s="340"/>
      <c r="T7671" s="340"/>
    </row>
    <row r="7672" spans="1:20">
      <c r="A7672" s="340"/>
      <c r="B7672" s="340"/>
      <c r="C7672" s="340"/>
      <c r="D7672" s="340"/>
      <c r="E7672" s="340"/>
      <c r="F7672" s="340"/>
      <c r="G7672" s="340"/>
      <c r="H7672" s="340"/>
      <c r="I7672" s="340"/>
      <c r="J7672" s="340"/>
      <c r="K7672" s="340"/>
      <c r="L7672" s="340"/>
      <c r="M7672" s="340"/>
      <c r="N7672" s="340"/>
      <c r="O7672" s="340"/>
      <c r="P7672" s="340"/>
      <c r="Q7672" s="340"/>
      <c r="R7672" s="340"/>
      <c r="S7672" s="340"/>
      <c r="T7672" s="340"/>
    </row>
    <row r="7673" spans="1:20">
      <c r="A7673" s="340"/>
      <c r="B7673" s="340"/>
      <c r="C7673" s="340"/>
      <c r="D7673" s="340"/>
      <c r="E7673" s="340"/>
      <c r="F7673" s="340"/>
      <c r="G7673" s="340"/>
      <c r="H7673" s="340"/>
      <c r="I7673" s="340"/>
      <c r="J7673" s="340"/>
      <c r="K7673" s="340"/>
      <c r="L7673" s="340"/>
      <c r="M7673" s="340"/>
      <c r="N7673" s="340"/>
      <c r="O7673" s="340"/>
      <c r="P7673" s="340"/>
      <c r="Q7673" s="340"/>
      <c r="R7673" s="340"/>
      <c r="S7673" s="340"/>
      <c r="T7673" s="340"/>
    </row>
    <row r="7674" spans="1:20">
      <c r="A7674" s="340"/>
      <c r="B7674" s="340"/>
      <c r="C7674" s="340"/>
      <c r="D7674" s="340"/>
      <c r="E7674" s="340"/>
      <c r="F7674" s="340"/>
      <c r="G7674" s="340"/>
      <c r="H7674" s="340"/>
      <c r="I7674" s="340"/>
      <c r="J7674" s="340"/>
      <c r="K7674" s="340"/>
      <c r="L7674" s="340"/>
      <c r="M7674" s="340"/>
      <c r="N7674" s="340"/>
      <c r="O7674" s="340"/>
      <c r="P7674" s="340"/>
      <c r="Q7674" s="340"/>
      <c r="R7674" s="340"/>
      <c r="S7674" s="340"/>
      <c r="T7674" s="340"/>
    </row>
    <row r="7675" spans="1:20">
      <c r="A7675" s="340"/>
      <c r="B7675" s="340"/>
      <c r="C7675" s="340"/>
      <c r="D7675" s="340"/>
      <c r="E7675" s="340"/>
      <c r="F7675" s="340"/>
      <c r="G7675" s="340"/>
      <c r="H7675" s="340"/>
      <c r="I7675" s="340"/>
      <c r="J7675" s="340"/>
      <c r="K7675" s="340"/>
      <c r="L7675" s="340"/>
      <c r="M7675" s="340"/>
      <c r="N7675" s="340"/>
      <c r="O7675" s="340"/>
      <c r="P7675" s="340"/>
      <c r="Q7675" s="340"/>
      <c r="R7675" s="340"/>
      <c r="S7675" s="340"/>
      <c r="T7675" s="340"/>
    </row>
    <row r="7676" spans="1:20">
      <c r="A7676" s="340"/>
      <c r="B7676" s="340"/>
      <c r="C7676" s="340"/>
      <c r="D7676" s="340"/>
      <c r="E7676" s="340"/>
      <c r="F7676" s="340"/>
      <c r="G7676" s="340"/>
      <c r="H7676" s="340"/>
      <c r="I7676" s="340"/>
      <c r="J7676" s="340"/>
      <c r="K7676" s="340"/>
      <c r="L7676" s="340"/>
      <c r="M7676" s="340"/>
      <c r="N7676" s="340"/>
      <c r="O7676" s="340"/>
      <c r="P7676" s="340"/>
      <c r="Q7676" s="340"/>
      <c r="R7676" s="340"/>
      <c r="S7676" s="340"/>
      <c r="T7676" s="340"/>
    </row>
    <row r="7677" spans="1:20">
      <c r="A7677" s="340"/>
      <c r="B7677" s="340"/>
      <c r="C7677" s="340"/>
      <c r="D7677" s="340"/>
      <c r="E7677" s="340"/>
      <c r="F7677" s="340"/>
      <c r="G7677" s="340"/>
      <c r="H7677" s="340"/>
      <c r="I7677" s="340"/>
      <c r="J7677" s="340"/>
      <c r="K7677" s="340"/>
      <c r="L7677" s="340"/>
      <c r="M7677" s="340"/>
      <c r="N7677" s="340"/>
      <c r="O7677" s="340"/>
      <c r="P7677" s="340"/>
      <c r="Q7677" s="340"/>
      <c r="R7677" s="340"/>
      <c r="S7677" s="340"/>
      <c r="T7677" s="340"/>
    </row>
    <row r="7678" spans="1:20">
      <c r="A7678" s="340"/>
      <c r="B7678" s="340"/>
      <c r="C7678" s="340"/>
      <c r="D7678" s="340"/>
      <c r="E7678" s="340"/>
      <c r="F7678" s="340"/>
      <c r="G7678" s="340"/>
      <c r="H7678" s="340"/>
      <c r="I7678" s="340"/>
      <c r="J7678" s="340"/>
      <c r="K7678" s="340"/>
      <c r="L7678" s="340"/>
      <c r="M7678" s="340"/>
      <c r="N7678" s="340"/>
      <c r="O7678" s="340"/>
      <c r="P7678" s="340"/>
      <c r="Q7678" s="340"/>
      <c r="R7678" s="340"/>
      <c r="S7678" s="340"/>
      <c r="T7678" s="340"/>
    </row>
    <row r="7679" spans="1:20">
      <c r="A7679" s="340"/>
      <c r="B7679" s="340"/>
      <c r="C7679" s="340"/>
      <c r="D7679" s="340"/>
      <c r="E7679" s="340"/>
      <c r="F7679" s="340"/>
      <c r="G7679" s="340"/>
      <c r="H7679" s="340"/>
      <c r="I7679" s="340"/>
      <c r="J7679" s="340"/>
      <c r="K7679" s="340"/>
      <c r="L7679" s="340"/>
      <c r="M7679" s="340"/>
      <c r="N7679" s="340"/>
      <c r="O7679" s="340"/>
      <c r="P7679" s="340"/>
      <c r="Q7679" s="340"/>
      <c r="R7679" s="340"/>
      <c r="S7679" s="340"/>
      <c r="T7679" s="340"/>
    </row>
    <row r="7680" spans="1:20">
      <c r="A7680" s="340"/>
      <c r="B7680" s="340"/>
      <c r="C7680" s="340"/>
      <c r="D7680" s="340"/>
      <c r="E7680" s="340"/>
      <c r="F7680" s="340"/>
      <c r="G7680" s="340"/>
      <c r="H7680" s="340"/>
      <c r="I7680" s="340"/>
      <c r="J7680" s="340"/>
      <c r="K7680" s="340"/>
      <c r="L7680" s="340"/>
      <c r="M7680" s="340"/>
      <c r="N7680" s="340"/>
      <c r="O7680" s="340"/>
      <c r="P7680" s="340"/>
      <c r="Q7680" s="340"/>
      <c r="R7680" s="340"/>
      <c r="S7680" s="340"/>
      <c r="T7680" s="340"/>
    </row>
    <row r="7681" spans="1:20">
      <c r="A7681" s="340"/>
      <c r="B7681" s="340"/>
      <c r="C7681" s="340"/>
      <c r="D7681" s="340"/>
      <c r="E7681" s="340"/>
      <c r="F7681" s="340"/>
      <c r="G7681" s="340"/>
      <c r="H7681" s="340"/>
      <c r="I7681" s="340"/>
      <c r="J7681" s="340"/>
      <c r="K7681" s="340"/>
      <c r="L7681" s="340"/>
      <c r="M7681" s="340"/>
      <c r="N7681" s="340"/>
      <c r="O7681" s="340"/>
      <c r="P7681" s="340"/>
      <c r="Q7681" s="340"/>
      <c r="R7681" s="340"/>
      <c r="S7681" s="340"/>
      <c r="T7681" s="340"/>
    </row>
    <row r="7682" spans="1:20">
      <c r="A7682" s="340"/>
      <c r="B7682" s="340"/>
      <c r="C7682" s="340"/>
      <c r="D7682" s="340"/>
      <c r="E7682" s="340"/>
      <c r="F7682" s="340"/>
      <c r="G7682" s="340"/>
      <c r="H7682" s="340"/>
      <c r="I7682" s="340"/>
      <c r="J7682" s="340"/>
      <c r="K7682" s="340"/>
      <c r="L7682" s="340"/>
      <c r="M7682" s="340"/>
      <c r="N7682" s="340"/>
      <c r="O7682" s="340"/>
      <c r="P7682" s="340"/>
      <c r="Q7682" s="340"/>
      <c r="R7682" s="340"/>
      <c r="S7682" s="340"/>
      <c r="T7682" s="340"/>
    </row>
    <row r="7683" spans="1:20">
      <c r="A7683" s="340"/>
      <c r="B7683" s="340"/>
      <c r="C7683" s="340"/>
      <c r="D7683" s="340"/>
      <c r="E7683" s="340"/>
      <c r="F7683" s="340"/>
      <c r="G7683" s="340"/>
      <c r="H7683" s="340"/>
      <c r="I7683" s="340"/>
      <c r="J7683" s="340"/>
      <c r="K7683" s="340"/>
      <c r="L7683" s="340"/>
      <c r="M7683" s="340"/>
      <c r="N7683" s="340"/>
      <c r="O7683" s="340"/>
      <c r="P7683" s="340"/>
      <c r="Q7683" s="340"/>
      <c r="R7683" s="340"/>
      <c r="S7683" s="340"/>
      <c r="T7683" s="340"/>
    </row>
    <row r="7684" spans="1:20">
      <c r="A7684" s="340"/>
      <c r="B7684" s="340"/>
      <c r="C7684" s="340"/>
      <c r="D7684" s="340"/>
      <c r="E7684" s="340"/>
      <c r="F7684" s="340"/>
      <c r="G7684" s="340"/>
      <c r="H7684" s="340"/>
      <c r="I7684" s="340"/>
      <c r="J7684" s="340"/>
      <c r="K7684" s="340"/>
      <c r="L7684" s="340"/>
      <c r="M7684" s="340"/>
      <c r="N7684" s="340"/>
      <c r="O7684" s="340"/>
      <c r="P7684" s="340"/>
      <c r="Q7684" s="340"/>
      <c r="R7684" s="340"/>
      <c r="S7684" s="340"/>
      <c r="T7684" s="340"/>
    </row>
    <row r="7685" spans="1:20">
      <c r="A7685" s="340"/>
      <c r="B7685" s="340"/>
      <c r="C7685" s="340"/>
      <c r="D7685" s="340"/>
      <c r="E7685" s="340"/>
      <c r="F7685" s="340"/>
      <c r="G7685" s="340"/>
      <c r="H7685" s="340"/>
      <c r="I7685" s="340"/>
      <c r="J7685" s="340"/>
      <c r="K7685" s="340"/>
      <c r="L7685" s="340"/>
      <c r="M7685" s="340"/>
      <c r="N7685" s="340"/>
      <c r="O7685" s="340"/>
      <c r="P7685" s="340"/>
      <c r="Q7685" s="340"/>
      <c r="R7685" s="340"/>
      <c r="S7685" s="340"/>
      <c r="T7685" s="340"/>
    </row>
    <row r="7686" spans="1:20">
      <c r="A7686" s="340"/>
      <c r="B7686" s="340"/>
      <c r="C7686" s="340"/>
      <c r="D7686" s="340"/>
      <c r="E7686" s="340"/>
      <c r="F7686" s="340"/>
      <c r="G7686" s="340"/>
      <c r="H7686" s="340"/>
      <c r="I7686" s="340"/>
      <c r="J7686" s="340"/>
      <c r="K7686" s="340"/>
      <c r="L7686" s="340"/>
      <c r="M7686" s="340"/>
      <c r="N7686" s="340"/>
      <c r="O7686" s="340"/>
      <c r="P7686" s="340"/>
      <c r="Q7686" s="340"/>
      <c r="R7686" s="340"/>
      <c r="S7686" s="340"/>
      <c r="T7686" s="340"/>
    </row>
    <row r="7687" spans="1:20">
      <c r="A7687" s="340"/>
      <c r="B7687" s="340"/>
      <c r="C7687" s="340"/>
      <c r="D7687" s="340"/>
      <c r="E7687" s="340"/>
      <c r="F7687" s="340"/>
      <c r="G7687" s="340"/>
      <c r="H7687" s="340"/>
      <c r="I7687" s="340"/>
      <c r="J7687" s="340"/>
      <c r="K7687" s="340"/>
      <c r="L7687" s="340"/>
      <c r="M7687" s="340"/>
      <c r="N7687" s="340"/>
      <c r="O7687" s="340"/>
      <c r="P7687" s="340"/>
      <c r="Q7687" s="340"/>
      <c r="R7687" s="340"/>
      <c r="S7687" s="340"/>
      <c r="T7687" s="340"/>
    </row>
    <row r="7688" spans="1:20">
      <c r="A7688" s="340"/>
      <c r="B7688" s="340"/>
      <c r="C7688" s="340"/>
      <c r="D7688" s="340"/>
      <c r="E7688" s="340"/>
      <c r="F7688" s="340"/>
      <c r="G7688" s="340"/>
      <c r="H7688" s="340"/>
      <c r="I7688" s="340"/>
      <c r="J7688" s="340"/>
      <c r="K7688" s="340"/>
      <c r="L7688" s="340"/>
      <c r="M7688" s="340"/>
      <c r="N7688" s="340"/>
      <c r="O7688" s="340"/>
      <c r="P7688" s="340"/>
      <c r="Q7688" s="340"/>
      <c r="R7688" s="340"/>
      <c r="S7688" s="340"/>
      <c r="T7688" s="340"/>
    </row>
    <row r="7689" spans="1:20">
      <c r="A7689" s="340"/>
      <c r="B7689" s="340"/>
      <c r="C7689" s="340"/>
      <c r="D7689" s="340"/>
      <c r="E7689" s="340"/>
      <c r="F7689" s="340"/>
      <c r="G7689" s="340"/>
      <c r="H7689" s="340"/>
      <c r="I7689" s="340"/>
      <c r="J7689" s="340"/>
      <c r="K7689" s="340"/>
      <c r="L7689" s="340"/>
      <c r="M7689" s="340"/>
      <c r="N7689" s="340"/>
      <c r="O7689" s="340"/>
      <c r="P7689" s="340"/>
      <c r="Q7689" s="340"/>
      <c r="R7689" s="340"/>
      <c r="S7689" s="340"/>
      <c r="T7689" s="340"/>
    </row>
    <row r="7690" spans="1:20">
      <c r="A7690" s="340"/>
      <c r="B7690" s="340"/>
      <c r="C7690" s="340"/>
      <c r="D7690" s="340"/>
      <c r="E7690" s="340"/>
      <c r="F7690" s="340"/>
      <c r="G7690" s="340"/>
      <c r="H7690" s="340"/>
      <c r="I7690" s="340"/>
      <c r="J7690" s="340"/>
      <c r="K7690" s="340"/>
      <c r="L7690" s="340"/>
      <c r="M7690" s="340"/>
      <c r="N7690" s="340"/>
      <c r="O7690" s="340"/>
      <c r="P7690" s="340"/>
      <c r="Q7690" s="340"/>
      <c r="R7690" s="340"/>
      <c r="S7690" s="340"/>
      <c r="T7690" s="340"/>
    </row>
    <row r="7691" spans="1:20">
      <c r="A7691" s="340"/>
      <c r="B7691" s="340"/>
      <c r="C7691" s="340"/>
      <c r="D7691" s="340"/>
      <c r="E7691" s="340"/>
      <c r="F7691" s="340"/>
      <c r="G7691" s="340"/>
      <c r="H7691" s="340"/>
      <c r="I7691" s="340"/>
      <c r="J7691" s="340"/>
      <c r="K7691" s="340"/>
      <c r="L7691" s="340"/>
      <c r="M7691" s="340"/>
      <c r="N7691" s="340"/>
      <c r="O7691" s="340"/>
      <c r="P7691" s="340"/>
      <c r="Q7691" s="340"/>
      <c r="R7691" s="340"/>
      <c r="S7691" s="340"/>
      <c r="T7691" s="340"/>
    </row>
    <row r="7692" spans="1:20">
      <c r="A7692" s="340"/>
      <c r="B7692" s="340"/>
      <c r="C7692" s="340"/>
      <c r="D7692" s="340"/>
      <c r="E7692" s="340"/>
      <c r="F7692" s="340"/>
      <c r="G7692" s="340"/>
      <c r="H7692" s="340"/>
      <c r="I7692" s="340"/>
      <c r="J7692" s="340"/>
      <c r="K7692" s="340"/>
      <c r="L7692" s="340"/>
      <c r="M7692" s="340"/>
      <c r="N7692" s="340"/>
      <c r="O7692" s="340"/>
      <c r="P7692" s="340"/>
      <c r="Q7692" s="340"/>
      <c r="R7692" s="340"/>
      <c r="S7692" s="340"/>
      <c r="T7692" s="340"/>
    </row>
    <row r="7693" spans="1:20">
      <c r="A7693" s="340"/>
      <c r="B7693" s="340"/>
      <c r="C7693" s="340"/>
      <c r="D7693" s="340"/>
      <c r="E7693" s="340"/>
      <c r="F7693" s="340"/>
      <c r="G7693" s="340"/>
      <c r="H7693" s="340"/>
      <c r="I7693" s="340"/>
      <c r="J7693" s="340"/>
      <c r="K7693" s="340"/>
      <c r="L7693" s="340"/>
      <c r="M7693" s="340"/>
      <c r="N7693" s="340"/>
      <c r="O7693" s="340"/>
      <c r="P7693" s="340"/>
      <c r="Q7693" s="340"/>
      <c r="R7693" s="340"/>
      <c r="S7693" s="340"/>
      <c r="T7693" s="340"/>
    </row>
    <row r="7694" spans="1:20">
      <c r="A7694" s="340"/>
      <c r="B7694" s="340"/>
      <c r="C7694" s="340"/>
      <c r="D7694" s="340"/>
      <c r="E7694" s="340"/>
      <c r="F7694" s="340"/>
      <c r="G7694" s="340"/>
      <c r="H7694" s="340"/>
      <c r="I7694" s="340"/>
      <c r="J7694" s="340"/>
      <c r="K7694" s="340"/>
      <c r="L7694" s="340"/>
      <c r="M7694" s="340"/>
      <c r="N7694" s="340"/>
      <c r="O7694" s="340"/>
      <c r="P7694" s="340"/>
      <c r="Q7694" s="340"/>
      <c r="R7694" s="340"/>
      <c r="S7694" s="340"/>
      <c r="T7694" s="340"/>
    </row>
    <row r="7695" spans="1:20">
      <c r="A7695" s="340"/>
      <c r="B7695" s="340"/>
      <c r="C7695" s="340"/>
      <c r="D7695" s="340"/>
      <c r="E7695" s="340"/>
      <c r="F7695" s="340"/>
      <c r="G7695" s="340"/>
      <c r="H7695" s="340"/>
      <c r="I7695" s="340"/>
      <c r="J7695" s="340"/>
      <c r="K7695" s="340"/>
      <c r="L7695" s="340"/>
      <c r="M7695" s="340"/>
      <c r="N7695" s="340"/>
      <c r="O7695" s="340"/>
      <c r="P7695" s="340"/>
      <c r="Q7695" s="340"/>
      <c r="R7695" s="340"/>
      <c r="S7695" s="340"/>
      <c r="T7695" s="340"/>
    </row>
    <row r="7696" spans="1:20">
      <c r="A7696" s="340"/>
      <c r="B7696" s="340"/>
      <c r="C7696" s="340"/>
      <c r="D7696" s="340"/>
      <c r="E7696" s="340"/>
      <c r="F7696" s="340"/>
      <c r="G7696" s="340"/>
      <c r="H7696" s="340"/>
      <c r="I7696" s="340"/>
      <c r="J7696" s="340"/>
      <c r="K7696" s="340"/>
      <c r="L7696" s="340"/>
      <c r="M7696" s="340"/>
      <c r="N7696" s="340"/>
      <c r="O7696" s="340"/>
      <c r="P7696" s="340"/>
      <c r="Q7696" s="340"/>
      <c r="R7696" s="340"/>
      <c r="S7696" s="340"/>
      <c r="T7696" s="340"/>
    </row>
    <row r="7697" spans="1:20">
      <c r="A7697" s="340"/>
      <c r="B7697" s="340"/>
      <c r="C7697" s="340"/>
      <c r="D7697" s="340"/>
      <c r="E7697" s="340"/>
      <c r="F7697" s="340"/>
      <c r="G7697" s="340"/>
      <c r="H7697" s="340"/>
      <c r="I7697" s="340"/>
      <c r="J7697" s="340"/>
      <c r="K7697" s="340"/>
      <c r="L7697" s="340"/>
      <c r="M7697" s="340"/>
      <c r="N7697" s="340"/>
      <c r="O7697" s="340"/>
      <c r="P7697" s="340"/>
      <c r="Q7697" s="340"/>
      <c r="R7697" s="340"/>
      <c r="S7697" s="340"/>
      <c r="T7697" s="340"/>
    </row>
    <row r="7698" spans="1:20">
      <c r="A7698" s="340"/>
      <c r="B7698" s="340"/>
      <c r="C7698" s="340"/>
      <c r="D7698" s="340"/>
      <c r="E7698" s="340"/>
      <c r="F7698" s="340"/>
      <c r="G7698" s="340"/>
      <c r="H7698" s="340"/>
      <c r="I7698" s="340"/>
      <c r="J7698" s="340"/>
      <c r="K7698" s="340"/>
      <c r="L7698" s="340"/>
      <c r="M7698" s="340"/>
      <c r="N7698" s="340"/>
      <c r="O7698" s="340"/>
      <c r="P7698" s="340"/>
      <c r="Q7698" s="340"/>
      <c r="R7698" s="340"/>
      <c r="S7698" s="340"/>
      <c r="T7698" s="340"/>
    </row>
    <row r="7699" spans="1:20">
      <c r="A7699" s="340"/>
      <c r="B7699" s="340"/>
      <c r="C7699" s="340"/>
      <c r="D7699" s="340"/>
      <c r="E7699" s="340"/>
      <c r="F7699" s="340"/>
      <c r="G7699" s="340"/>
      <c r="H7699" s="340"/>
      <c r="I7699" s="340"/>
      <c r="J7699" s="340"/>
      <c r="K7699" s="340"/>
      <c r="L7699" s="340"/>
      <c r="M7699" s="340"/>
      <c r="N7699" s="340"/>
      <c r="O7699" s="340"/>
      <c r="P7699" s="340"/>
      <c r="Q7699" s="340"/>
      <c r="R7699" s="340"/>
      <c r="S7699" s="340"/>
      <c r="T7699" s="340"/>
    </row>
    <row r="7700" spans="1:20">
      <c r="A7700" s="340"/>
      <c r="B7700" s="340"/>
      <c r="C7700" s="340"/>
      <c r="D7700" s="340"/>
      <c r="E7700" s="340"/>
      <c r="F7700" s="340"/>
      <c r="G7700" s="340"/>
      <c r="H7700" s="340"/>
      <c r="I7700" s="340"/>
      <c r="J7700" s="340"/>
      <c r="K7700" s="340"/>
      <c r="L7700" s="340"/>
      <c r="M7700" s="340"/>
      <c r="N7700" s="340"/>
      <c r="O7700" s="340"/>
      <c r="P7700" s="340"/>
      <c r="Q7700" s="340"/>
      <c r="R7700" s="340"/>
      <c r="S7700" s="340"/>
      <c r="T7700" s="340"/>
    </row>
    <row r="7701" spans="1:20">
      <c r="A7701" s="340"/>
      <c r="B7701" s="340"/>
      <c r="C7701" s="340"/>
      <c r="D7701" s="340"/>
      <c r="E7701" s="340"/>
      <c r="F7701" s="340"/>
      <c r="G7701" s="340"/>
      <c r="H7701" s="340"/>
      <c r="I7701" s="340"/>
      <c r="J7701" s="340"/>
      <c r="K7701" s="340"/>
      <c r="L7701" s="340"/>
      <c r="M7701" s="340"/>
      <c r="N7701" s="340"/>
      <c r="O7701" s="340"/>
      <c r="P7701" s="340"/>
      <c r="Q7701" s="340"/>
      <c r="R7701" s="340"/>
      <c r="S7701" s="340"/>
      <c r="T7701" s="340"/>
    </row>
    <row r="7702" spans="1:20">
      <c r="A7702" s="340"/>
      <c r="B7702" s="340"/>
      <c r="C7702" s="340"/>
      <c r="D7702" s="340"/>
      <c r="E7702" s="340"/>
      <c r="F7702" s="340"/>
      <c r="G7702" s="340"/>
      <c r="H7702" s="340"/>
      <c r="I7702" s="340"/>
      <c r="J7702" s="340"/>
      <c r="K7702" s="340"/>
      <c r="L7702" s="340"/>
      <c r="M7702" s="340"/>
      <c r="N7702" s="340"/>
      <c r="O7702" s="340"/>
      <c r="P7702" s="340"/>
      <c r="Q7702" s="340"/>
      <c r="R7702" s="340"/>
      <c r="S7702" s="340"/>
      <c r="T7702" s="340"/>
    </row>
    <row r="7703" spans="1:20">
      <c r="A7703" s="340"/>
      <c r="B7703" s="340"/>
      <c r="C7703" s="340"/>
      <c r="D7703" s="340"/>
      <c r="E7703" s="340"/>
      <c r="F7703" s="340"/>
      <c r="G7703" s="340"/>
      <c r="H7703" s="340"/>
      <c r="I7703" s="340"/>
      <c r="J7703" s="340"/>
      <c r="K7703" s="340"/>
      <c r="L7703" s="340"/>
      <c r="M7703" s="340"/>
      <c r="N7703" s="340"/>
      <c r="O7703" s="340"/>
      <c r="P7703" s="340"/>
      <c r="Q7703" s="340"/>
      <c r="R7703" s="340"/>
      <c r="S7703" s="340"/>
      <c r="T7703" s="340"/>
    </row>
    <row r="7704" spans="1:20">
      <c r="A7704" s="340"/>
      <c r="B7704" s="340"/>
      <c r="C7704" s="340"/>
      <c r="D7704" s="340"/>
      <c r="E7704" s="340"/>
      <c r="F7704" s="340"/>
      <c r="G7704" s="340"/>
      <c r="H7704" s="340"/>
      <c r="I7704" s="340"/>
      <c r="J7704" s="340"/>
      <c r="K7704" s="340"/>
      <c r="L7704" s="340"/>
      <c r="M7704" s="340"/>
      <c r="N7704" s="340"/>
      <c r="O7704" s="340"/>
      <c r="P7704" s="340"/>
      <c r="Q7704" s="340"/>
      <c r="R7704" s="340"/>
      <c r="S7704" s="340"/>
      <c r="T7704" s="340"/>
    </row>
    <row r="7705" spans="1:20">
      <c r="A7705" s="340"/>
      <c r="B7705" s="340"/>
      <c r="C7705" s="340"/>
      <c r="D7705" s="340"/>
      <c r="E7705" s="340"/>
      <c r="F7705" s="340"/>
      <c r="G7705" s="340"/>
      <c r="H7705" s="340"/>
      <c r="I7705" s="340"/>
      <c r="J7705" s="340"/>
      <c r="K7705" s="340"/>
      <c r="L7705" s="340"/>
      <c r="M7705" s="340"/>
      <c r="N7705" s="340"/>
      <c r="O7705" s="340"/>
      <c r="P7705" s="340"/>
      <c r="Q7705" s="340"/>
      <c r="R7705" s="340"/>
      <c r="S7705" s="340"/>
      <c r="T7705" s="340"/>
    </row>
    <row r="7706" spans="1:20">
      <c r="A7706" s="340"/>
      <c r="B7706" s="340"/>
      <c r="C7706" s="340"/>
      <c r="D7706" s="340"/>
      <c r="E7706" s="340"/>
      <c r="F7706" s="340"/>
      <c r="G7706" s="340"/>
      <c r="H7706" s="340"/>
      <c r="I7706" s="340"/>
      <c r="J7706" s="340"/>
      <c r="K7706" s="340"/>
      <c r="L7706" s="340"/>
      <c r="M7706" s="340"/>
      <c r="N7706" s="340"/>
      <c r="O7706" s="340"/>
      <c r="P7706" s="340"/>
      <c r="Q7706" s="340"/>
      <c r="R7706" s="340"/>
      <c r="S7706" s="340"/>
      <c r="T7706" s="340"/>
    </row>
    <row r="7707" spans="1:20">
      <c r="A7707" s="340"/>
      <c r="B7707" s="340"/>
      <c r="C7707" s="340"/>
      <c r="D7707" s="340"/>
      <c r="E7707" s="340"/>
      <c r="F7707" s="340"/>
      <c r="G7707" s="340"/>
      <c r="H7707" s="340"/>
      <c r="I7707" s="340"/>
      <c r="J7707" s="340"/>
      <c r="K7707" s="340"/>
      <c r="L7707" s="340"/>
      <c r="M7707" s="340"/>
      <c r="N7707" s="340"/>
      <c r="O7707" s="340"/>
      <c r="P7707" s="340"/>
      <c r="Q7707" s="340"/>
      <c r="R7707" s="340"/>
      <c r="S7707" s="340"/>
      <c r="T7707" s="340"/>
    </row>
    <row r="7708" spans="1:20">
      <c r="A7708" s="340"/>
      <c r="B7708" s="340"/>
      <c r="C7708" s="340"/>
      <c r="D7708" s="340"/>
      <c r="E7708" s="340"/>
      <c r="F7708" s="340"/>
      <c r="G7708" s="340"/>
      <c r="H7708" s="340"/>
      <c r="I7708" s="340"/>
      <c r="J7708" s="340"/>
      <c r="K7708" s="340"/>
      <c r="L7708" s="340"/>
      <c r="M7708" s="340"/>
      <c r="N7708" s="340"/>
      <c r="O7708" s="340"/>
      <c r="P7708" s="340"/>
      <c r="Q7708" s="340"/>
      <c r="R7708" s="340"/>
      <c r="S7708" s="340"/>
      <c r="T7708" s="340"/>
    </row>
    <row r="7709" spans="1:20">
      <c r="A7709" s="340"/>
      <c r="B7709" s="340"/>
      <c r="C7709" s="340"/>
      <c r="D7709" s="340"/>
      <c r="E7709" s="340"/>
      <c r="F7709" s="340"/>
      <c r="G7709" s="340"/>
      <c r="H7709" s="340"/>
      <c r="I7709" s="340"/>
      <c r="J7709" s="340"/>
      <c r="K7709" s="340"/>
      <c r="L7709" s="340"/>
      <c r="M7709" s="340"/>
      <c r="N7709" s="340"/>
      <c r="O7709" s="340"/>
      <c r="P7709" s="340"/>
      <c r="Q7709" s="340"/>
      <c r="R7709" s="340"/>
      <c r="S7709" s="340"/>
      <c r="T7709" s="340"/>
    </row>
    <row r="7710" spans="1:20">
      <c r="A7710" s="340"/>
      <c r="B7710" s="340"/>
      <c r="C7710" s="340"/>
      <c r="D7710" s="340"/>
      <c r="E7710" s="340"/>
      <c r="F7710" s="340"/>
      <c r="G7710" s="340"/>
      <c r="H7710" s="340"/>
      <c r="I7710" s="340"/>
      <c r="J7710" s="340"/>
      <c r="K7710" s="340"/>
      <c r="L7710" s="340"/>
      <c r="M7710" s="340"/>
      <c r="N7710" s="340"/>
      <c r="O7710" s="340"/>
      <c r="P7710" s="340"/>
      <c r="Q7710" s="340"/>
      <c r="R7710" s="340"/>
      <c r="S7710" s="340"/>
      <c r="T7710" s="340"/>
    </row>
    <row r="7711" spans="1:20">
      <c r="A7711" s="340"/>
      <c r="B7711" s="340"/>
      <c r="C7711" s="340"/>
      <c r="D7711" s="340"/>
      <c r="E7711" s="340"/>
      <c r="F7711" s="340"/>
      <c r="G7711" s="340"/>
      <c r="H7711" s="340"/>
      <c r="I7711" s="340"/>
      <c r="J7711" s="340"/>
      <c r="K7711" s="340"/>
      <c r="L7711" s="340"/>
      <c r="M7711" s="340"/>
      <c r="N7711" s="340"/>
      <c r="O7711" s="340"/>
      <c r="P7711" s="340"/>
      <c r="Q7711" s="340"/>
      <c r="R7711" s="340"/>
      <c r="S7711" s="340"/>
      <c r="T7711" s="340"/>
    </row>
    <row r="7712" spans="1:20">
      <c r="A7712" s="340"/>
      <c r="B7712" s="340"/>
      <c r="C7712" s="340"/>
      <c r="D7712" s="340"/>
      <c r="E7712" s="340"/>
      <c r="F7712" s="340"/>
      <c r="G7712" s="340"/>
      <c r="H7712" s="340"/>
      <c r="I7712" s="340"/>
      <c r="J7712" s="340"/>
      <c r="K7712" s="340"/>
      <c r="L7712" s="340"/>
      <c r="M7712" s="340"/>
      <c r="N7712" s="340"/>
      <c r="O7712" s="340"/>
      <c r="P7712" s="340"/>
      <c r="Q7712" s="340"/>
      <c r="R7712" s="340"/>
      <c r="S7712" s="340"/>
      <c r="T7712" s="340"/>
    </row>
    <row r="7713" spans="1:20">
      <c r="A7713" s="340"/>
      <c r="B7713" s="340"/>
      <c r="C7713" s="340"/>
      <c r="D7713" s="340"/>
      <c r="E7713" s="340"/>
      <c r="F7713" s="340"/>
      <c r="G7713" s="340"/>
      <c r="H7713" s="340"/>
      <c r="I7713" s="340"/>
      <c r="J7713" s="340"/>
      <c r="K7713" s="340"/>
      <c r="L7713" s="340"/>
      <c r="M7713" s="340"/>
      <c r="N7713" s="340"/>
      <c r="O7713" s="340"/>
      <c r="P7713" s="340"/>
      <c r="Q7713" s="340"/>
      <c r="R7713" s="340"/>
      <c r="S7713" s="340"/>
      <c r="T7713" s="340"/>
    </row>
    <row r="7714" spans="1:20">
      <c r="A7714" s="340"/>
      <c r="B7714" s="340"/>
      <c r="C7714" s="340"/>
      <c r="D7714" s="340"/>
      <c r="E7714" s="340"/>
      <c r="F7714" s="340"/>
      <c r="G7714" s="340"/>
      <c r="H7714" s="340"/>
      <c r="I7714" s="340"/>
      <c r="J7714" s="340"/>
      <c r="K7714" s="340"/>
      <c r="L7714" s="340"/>
      <c r="M7714" s="340"/>
      <c r="N7714" s="340"/>
      <c r="O7714" s="340"/>
      <c r="P7714" s="340"/>
      <c r="Q7714" s="340"/>
      <c r="R7714" s="340"/>
      <c r="S7714" s="340"/>
      <c r="T7714" s="340"/>
    </row>
    <row r="7715" spans="1:20">
      <c r="A7715" s="340"/>
      <c r="B7715" s="340"/>
      <c r="C7715" s="340"/>
      <c r="D7715" s="340"/>
      <c r="E7715" s="340"/>
      <c r="F7715" s="340"/>
      <c r="G7715" s="340"/>
      <c r="H7715" s="340"/>
      <c r="I7715" s="340"/>
      <c r="J7715" s="340"/>
      <c r="K7715" s="340"/>
      <c r="L7715" s="340"/>
      <c r="M7715" s="340"/>
      <c r="N7715" s="340"/>
      <c r="O7715" s="340"/>
      <c r="P7715" s="340"/>
      <c r="Q7715" s="340"/>
      <c r="R7715" s="340"/>
      <c r="S7715" s="340"/>
      <c r="T7715" s="340"/>
    </row>
    <row r="7716" spans="1:20">
      <c r="A7716" s="340"/>
      <c r="B7716" s="340"/>
      <c r="C7716" s="340"/>
      <c r="D7716" s="340"/>
      <c r="E7716" s="340"/>
      <c r="F7716" s="340"/>
      <c r="G7716" s="340"/>
      <c r="H7716" s="340"/>
      <c r="I7716" s="340"/>
      <c r="J7716" s="340"/>
      <c r="K7716" s="340"/>
      <c r="L7716" s="340"/>
      <c r="M7716" s="340"/>
      <c r="N7716" s="340"/>
      <c r="O7716" s="340"/>
      <c r="P7716" s="340"/>
      <c r="Q7716" s="340"/>
      <c r="R7716" s="340"/>
      <c r="S7716" s="340"/>
      <c r="T7716" s="340"/>
    </row>
    <row r="7717" spans="1:20">
      <c r="A7717" s="340"/>
      <c r="B7717" s="340"/>
      <c r="C7717" s="340"/>
      <c r="D7717" s="340"/>
      <c r="E7717" s="340"/>
      <c r="F7717" s="340"/>
      <c r="G7717" s="340"/>
      <c r="H7717" s="340"/>
      <c r="I7717" s="340"/>
      <c r="J7717" s="340"/>
      <c r="K7717" s="340"/>
      <c r="L7717" s="340"/>
      <c r="M7717" s="340"/>
      <c r="N7717" s="340"/>
      <c r="O7717" s="340"/>
      <c r="P7717" s="340"/>
      <c r="Q7717" s="340"/>
      <c r="R7717" s="340"/>
      <c r="S7717" s="340"/>
      <c r="T7717" s="340"/>
    </row>
    <row r="7718" spans="1:20">
      <c r="A7718" s="340"/>
      <c r="B7718" s="340"/>
      <c r="C7718" s="340"/>
      <c r="D7718" s="340"/>
      <c r="E7718" s="340"/>
      <c r="F7718" s="340"/>
      <c r="G7718" s="340"/>
      <c r="H7718" s="340"/>
      <c r="I7718" s="340"/>
      <c r="J7718" s="340"/>
      <c r="K7718" s="340"/>
      <c r="L7718" s="340"/>
      <c r="M7718" s="340"/>
      <c r="N7718" s="340"/>
      <c r="O7718" s="340"/>
      <c r="P7718" s="340"/>
      <c r="Q7718" s="340"/>
      <c r="R7718" s="340"/>
      <c r="S7718" s="340"/>
      <c r="T7718" s="340"/>
    </row>
    <row r="7719" spans="1:20">
      <c r="A7719" s="340"/>
      <c r="B7719" s="340"/>
      <c r="C7719" s="340"/>
      <c r="D7719" s="340"/>
      <c r="E7719" s="340"/>
      <c r="F7719" s="340"/>
      <c r="G7719" s="340"/>
      <c r="H7719" s="340"/>
      <c r="I7719" s="340"/>
      <c r="J7719" s="340"/>
      <c r="K7719" s="340"/>
      <c r="L7719" s="340"/>
      <c r="M7719" s="340"/>
      <c r="N7719" s="340"/>
      <c r="O7719" s="340"/>
      <c r="P7719" s="340"/>
      <c r="Q7719" s="340"/>
      <c r="R7719" s="340"/>
      <c r="S7719" s="340"/>
      <c r="T7719" s="340"/>
    </row>
    <row r="7720" spans="1:20">
      <c r="A7720" s="340"/>
      <c r="B7720" s="340"/>
      <c r="C7720" s="340"/>
      <c r="D7720" s="340"/>
      <c r="E7720" s="340"/>
      <c r="F7720" s="340"/>
      <c r="G7720" s="340"/>
      <c r="H7720" s="340"/>
      <c r="I7720" s="340"/>
      <c r="J7720" s="340"/>
      <c r="K7720" s="340"/>
      <c r="L7720" s="340"/>
      <c r="M7720" s="340"/>
      <c r="N7720" s="340"/>
      <c r="O7720" s="340"/>
      <c r="P7720" s="340"/>
      <c r="Q7720" s="340"/>
      <c r="R7720" s="340"/>
      <c r="S7720" s="340"/>
      <c r="T7720" s="340"/>
    </row>
    <row r="7721" spans="1:20">
      <c r="A7721" s="340"/>
      <c r="B7721" s="340"/>
      <c r="C7721" s="340"/>
      <c r="D7721" s="340"/>
      <c r="E7721" s="340"/>
      <c r="F7721" s="340"/>
      <c r="G7721" s="340"/>
      <c r="H7721" s="340"/>
      <c r="I7721" s="340"/>
      <c r="J7721" s="340"/>
      <c r="K7721" s="340"/>
      <c r="L7721" s="340"/>
      <c r="M7721" s="340"/>
      <c r="N7721" s="340"/>
      <c r="O7721" s="340"/>
      <c r="P7721" s="340"/>
      <c r="Q7721" s="340"/>
      <c r="R7721" s="340"/>
      <c r="S7721" s="340"/>
      <c r="T7721" s="340"/>
    </row>
    <row r="7722" spans="1:20">
      <c r="A7722" s="340"/>
      <c r="B7722" s="340"/>
      <c r="C7722" s="340"/>
      <c r="D7722" s="340"/>
      <c r="E7722" s="340"/>
      <c r="F7722" s="340"/>
      <c r="G7722" s="340"/>
      <c r="H7722" s="340"/>
      <c r="I7722" s="340"/>
      <c r="J7722" s="340"/>
      <c r="K7722" s="340"/>
      <c r="L7722" s="340"/>
      <c r="M7722" s="340"/>
      <c r="N7722" s="340"/>
      <c r="O7722" s="340"/>
      <c r="P7722" s="340"/>
      <c r="Q7722" s="340"/>
      <c r="R7722" s="340"/>
      <c r="S7722" s="340"/>
      <c r="T7722" s="340"/>
    </row>
    <row r="7723" spans="1:20">
      <c r="A7723" s="340"/>
      <c r="B7723" s="340"/>
      <c r="C7723" s="340"/>
      <c r="D7723" s="340"/>
      <c r="E7723" s="340"/>
      <c r="F7723" s="340"/>
      <c r="G7723" s="340"/>
      <c r="H7723" s="340"/>
      <c r="I7723" s="340"/>
      <c r="J7723" s="340"/>
      <c r="K7723" s="340"/>
      <c r="L7723" s="340"/>
      <c r="M7723" s="340"/>
      <c r="N7723" s="340"/>
      <c r="O7723" s="340"/>
      <c r="P7723" s="340"/>
      <c r="Q7723" s="340"/>
      <c r="R7723" s="340"/>
      <c r="S7723" s="340"/>
      <c r="T7723" s="340"/>
    </row>
    <row r="7724" spans="1:20">
      <c r="A7724" s="340"/>
      <c r="B7724" s="340"/>
      <c r="C7724" s="340"/>
      <c r="D7724" s="340"/>
      <c r="E7724" s="340"/>
      <c r="F7724" s="340"/>
      <c r="G7724" s="340"/>
      <c r="H7724" s="340"/>
      <c r="I7724" s="340"/>
      <c r="J7724" s="340"/>
      <c r="K7724" s="340"/>
      <c r="L7724" s="340"/>
      <c r="M7724" s="340"/>
      <c r="N7724" s="340"/>
      <c r="O7724" s="340"/>
      <c r="P7724" s="340"/>
      <c r="Q7724" s="340"/>
      <c r="R7724" s="340"/>
      <c r="S7724" s="340"/>
      <c r="T7724" s="340"/>
    </row>
    <row r="7725" spans="1:20">
      <c r="A7725" s="340"/>
      <c r="B7725" s="340"/>
      <c r="C7725" s="340"/>
      <c r="D7725" s="340"/>
      <c r="E7725" s="340"/>
      <c r="F7725" s="340"/>
      <c r="G7725" s="340"/>
      <c r="H7725" s="340"/>
      <c r="I7725" s="340"/>
      <c r="J7725" s="340"/>
      <c r="K7725" s="340"/>
      <c r="L7725" s="340"/>
      <c r="M7725" s="340"/>
      <c r="N7725" s="340"/>
      <c r="O7725" s="340"/>
      <c r="P7725" s="340"/>
      <c r="Q7725" s="340"/>
      <c r="R7725" s="340"/>
      <c r="S7725" s="340"/>
      <c r="T7725" s="340"/>
    </row>
    <row r="7726" spans="1:20">
      <c r="A7726" s="340"/>
      <c r="B7726" s="340"/>
      <c r="C7726" s="340"/>
      <c r="D7726" s="340"/>
      <c r="E7726" s="340"/>
      <c r="F7726" s="340"/>
      <c r="G7726" s="340"/>
      <c r="H7726" s="340"/>
      <c r="I7726" s="340"/>
      <c r="J7726" s="340"/>
      <c r="K7726" s="340"/>
      <c r="L7726" s="340"/>
      <c r="M7726" s="340"/>
      <c r="N7726" s="340"/>
      <c r="O7726" s="340"/>
      <c r="P7726" s="340"/>
      <c r="Q7726" s="340"/>
      <c r="R7726" s="340"/>
      <c r="S7726" s="340"/>
      <c r="T7726" s="340"/>
    </row>
    <row r="7727" spans="1:20">
      <c r="A7727" s="340"/>
      <c r="B7727" s="340"/>
      <c r="C7727" s="340"/>
      <c r="D7727" s="340"/>
      <c r="E7727" s="340"/>
      <c r="F7727" s="340"/>
      <c r="G7727" s="340"/>
      <c r="H7727" s="340"/>
      <c r="I7727" s="340"/>
      <c r="J7727" s="340"/>
      <c r="K7727" s="340"/>
      <c r="L7727" s="340"/>
      <c r="M7727" s="340"/>
      <c r="N7727" s="340"/>
      <c r="O7727" s="340"/>
      <c r="P7727" s="340"/>
      <c r="Q7727" s="340"/>
      <c r="R7727" s="340"/>
      <c r="S7727" s="340"/>
      <c r="T7727" s="340"/>
    </row>
    <row r="7728" spans="1:20">
      <c r="A7728" s="340"/>
      <c r="B7728" s="340"/>
      <c r="C7728" s="340"/>
      <c r="D7728" s="340"/>
      <c r="E7728" s="340"/>
      <c r="F7728" s="340"/>
      <c r="G7728" s="340"/>
      <c r="H7728" s="340"/>
      <c r="I7728" s="340"/>
      <c r="J7728" s="340"/>
      <c r="K7728" s="340"/>
      <c r="L7728" s="340"/>
      <c r="M7728" s="340"/>
      <c r="N7728" s="340"/>
      <c r="O7728" s="340"/>
      <c r="P7728" s="340"/>
      <c r="Q7728" s="340"/>
      <c r="R7728" s="340"/>
      <c r="S7728" s="340"/>
      <c r="T7728" s="340"/>
    </row>
    <row r="7729" spans="1:20">
      <c r="A7729" s="340"/>
      <c r="B7729" s="340"/>
      <c r="C7729" s="340"/>
      <c r="D7729" s="340"/>
      <c r="E7729" s="340"/>
      <c r="F7729" s="340"/>
      <c r="G7729" s="340"/>
      <c r="H7729" s="340"/>
      <c r="I7729" s="340"/>
      <c r="J7729" s="340"/>
      <c r="K7729" s="340"/>
      <c r="L7729" s="340"/>
      <c r="M7729" s="340"/>
      <c r="N7729" s="340"/>
      <c r="O7729" s="340"/>
      <c r="P7729" s="340"/>
      <c r="Q7729" s="340"/>
      <c r="R7729" s="340"/>
      <c r="S7729" s="340"/>
      <c r="T7729" s="340"/>
    </row>
    <row r="7730" spans="1:20">
      <c r="A7730" s="340"/>
      <c r="B7730" s="340"/>
      <c r="C7730" s="340"/>
      <c r="D7730" s="340"/>
      <c r="E7730" s="340"/>
      <c r="F7730" s="340"/>
      <c r="G7730" s="340"/>
      <c r="H7730" s="340"/>
      <c r="I7730" s="340"/>
      <c r="J7730" s="340"/>
      <c r="K7730" s="340"/>
      <c r="L7730" s="340"/>
      <c r="M7730" s="340"/>
      <c r="N7730" s="340"/>
      <c r="O7730" s="340"/>
      <c r="P7730" s="340"/>
      <c r="Q7730" s="340"/>
      <c r="R7730" s="340"/>
      <c r="S7730" s="340"/>
      <c r="T7730" s="340"/>
    </row>
    <row r="7731" spans="1:20">
      <c r="A7731" s="340"/>
      <c r="B7731" s="340"/>
      <c r="C7731" s="340"/>
      <c r="D7731" s="340"/>
      <c r="E7731" s="340"/>
      <c r="F7731" s="340"/>
      <c r="G7731" s="340"/>
      <c r="H7731" s="340"/>
      <c r="I7731" s="340"/>
      <c r="J7731" s="340"/>
      <c r="K7731" s="340"/>
      <c r="L7731" s="340"/>
      <c r="M7731" s="340"/>
      <c r="N7731" s="340"/>
      <c r="O7731" s="340"/>
      <c r="P7731" s="340"/>
      <c r="Q7731" s="340"/>
      <c r="R7731" s="340"/>
      <c r="S7731" s="340"/>
      <c r="T7731" s="340"/>
    </row>
    <row r="7732" spans="1:20">
      <c r="A7732" s="340"/>
      <c r="B7732" s="340"/>
      <c r="C7732" s="340"/>
      <c r="D7732" s="340"/>
      <c r="E7732" s="340"/>
      <c r="F7732" s="340"/>
      <c r="G7732" s="340"/>
      <c r="H7732" s="340"/>
      <c r="I7732" s="340"/>
      <c r="J7732" s="340"/>
      <c r="K7732" s="340"/>
      <c r="L7732" s="340"/>
      <c r="M7732" s="340"/>
      <c r="N7732" s="340"/>
      <c r="O7732" s="340"/>
      <c r="P7732" s="340"/>
      <c r="Q7732" s="340"/>
      <c r="R7732" s="340"/>
      <c r="S7732" s="340"/>
      <c r="T7732" s="340"/>
    </row>
    <row r="7733" spans="1:20">
      <c r="A7733" s="340"/>
      <c r="B7733" s="340"/>
      <c r="C7733" s="340"/>
      <c r="D7733" s="340"/>
      <c r="E7733" s="340"/>
      <c r="F7733" s="340"/>
      <c r="G7733" s="340"/>
      <c r="H7733" s="340"/>
      <c r="I7733" s="340"/>
      <c r="J7733" s="340"/>
      <c r="K7733" s="340"/>
      <c r="L7733" s="340"/>
      <c r="M7733" s="340"/>
      <c r="N7733" s="340"/>
      <c r="O7733" s="340"/>
      <c r="P7733" s="340"/>
      <c r="Q7733" s="340"/>
      <c r="R7733" s="340"/>
      <c r="S7733" s="340"/>
      <c r="T7733" s="340"/>
    </row>
    <row r="7734" spans="1:20">
      <c r="A7734" s="340"/>
      <c r="B7734" s="340"/>
      <c r="C7734" s="340"/>
      <c r="D7734" s="340"/>
      <c r="E7734" s="340"/>
      <c r="F7734" s="340"/>
      <c r="G7734" s="340"/>
      <c r="H7734" s="340"/>
      <c r="I7734" s="340"/>
      <c r="J7734" s="340"/>
      <c r="K7734" s="340"/>
      <c r="L7734" s="340"/>
      <c r="M7734" s="340"/>
      <c r="N7734" s="340"/>
      <c r="O7734" s="340"/>
      <c r="P7734" s="340"/>
      <c r="Q7734" s="340"/>
      <c r="R7734" s="340"/>
      <c r="S7734" s="340"/>
      <c r="T7734" s="340"/>
    </row>
    <row r="7735" spans="1:20">
      <c r="A7735" s="340"/>
      <c r="B7735" s="340"/>
      <c r="C7735" s="340"/>
      <c r="D7735" s="340"/>
      <c r="E7735" s="340"/>
      <c r="F7735" s="340"/>
      <c r="G7735" s="340"/>
      <c r="H7735" s="340"/>
      <c r="I7735" s="340"/>
      <c r="J7735" s="340"/>
      <c r="K7735" s="340"/>
      <c r="L7735" s="340"/>
      <c r="M7735" s="340"/>
      <c r="N7735" s="340"/>
      <c r="O7735" s="340"/>
      <c r="P7735" s="340"/>
      <c r="Q7735" s="340"/>
      <c r="R7735" s="340"/>
      <c r="S7735" s="340"/>
      <c r="T7735" s="340"/>
    </row>
    <row r="7736" spans="1:20">
      <c r="A7736" s="340"/>
      <c r="B7736" s="340"/>
      <c r="C7736" s="340"/>
      <c r="D7736" s="340"/>
      <c r="E7736" s="340"/>
      <c r="F7736" s="340"/>
      <c r="G7736" s="340"/>
      <c r="H7736" s="340"/>
      <c r="I7736" s="340"/>
      <c r="J7736" s="340"/>
      <c r="K7736" s="340"/>
      <c r="L7736" s="340"/>
      <c r="M7736" s="340"/>
      <c r="N7736" s="340"/>
      <c r="O7736" s="340"/>
      <c r="P7736" s="340"/>
      <c r="Q7736" s="340"/>
      <c r="R7736" s="340"/>
      <c r="S7736" s="340"/>
      <c r="T7736" s="340"/>
    </row>
    <row r="7737" spans="1:20">
      <c r="A7737" s="340"/>
      <c r="B7737" s="340"/>
      <c r="C7737" s="340"/>
      <c r="D7737" s="340"/>
      <c r="E7737" s="340"/>
      <c r="F7737" s="340"/>
      <c r="G7737" s="340"/>
      <c r="H7737" s="340"/>
      <c r="I7737" s="340"/>
      <c r="J7737" s="340"/>
      <c r="K7737" s="340"/>
      <c r="L7737" s="340"/>
      <c r="M7737" s="340"/>
      <c r="N7737" s="340"/>
      <c r="O7737" s="340"/>
      <c r="P7737" s="340"/>
      <c r="Q7737" s="340"/>
      <c r="R7737" s="340"/>
      <c r="S7737" s="340"/>
      <c r="T7737" s="340"/>
    </row>
    <row r="7738" spans="1:20">
      <c r="A7738" s="340"/>
      <c r="B7738" s="340"/>
      <c r="C7738" s="340"/>
      <c r="D7738" s="340"/>
      <c r="E7738" s="340"/>
      <c r="F7738" s="340"/>
      <c r="G7738" s="340"/>
      <c r="H7738" s="340"/>
      <c r="I7738" s="340"/>
      <c r="J7738" s="340"/>
      <c r="K7738" s="340"/>
      <c r="L7738" s="340"/>
      <c r="M7738" s="340"/>
      <c r="N7738" s="340"/>
      <c r="O7738" s="340"/>
      <c r="P7738" s="340"/>
      <c r="Q7738" s="340"/>
      <c r="R7738" s="340"/>
      <c r="S7738" s="340"/>
      <c r="T7738" s="340"/>
    </row>
    <row r="7739" spans="1:20">
      <c r="A7739" s="340"/>
      <c r="B7739" s="340"/>
      <c r="C7739" s="340"/>
      <c r="D7739" s="340"/>
      <c r="E7739" s="340"/>
      <c r="F7739" s="340"/>
      <c r="G7739" s="340"/>
      <c r="H7739" s="340"/>
      <c r="I7739" s="340"/>
      <c r="J7739" s="340"/>
      <c r="K7739" s="340"/>
      <c r="L7739" s="340"/>
      <c r="M7739" s="340"/>
      <c r="N7739" s="340"/>
      <c r="O7739" s="340"/>
      <c r="P7739" s="340"/>
      <c r="Q7739" s="340"/>
      <c r="R7739" s="340"/>
      <c r="S7739" s="340"/>
      <c r="T7739" s="340"/>
    </row>
    <row r="7740" spans="1:20">
      <c r="A7740" s="340"/>
      <c r="B7740" s="340"/>
      <c r="C7740" s="340"/>
      <c r="D7740" s="340"/>
      <c r="E7740" s="340"/>
      <c r="F7740" s="340"/>
      <c r="G7740" s="340"/>
      <c r="H7740" s="340"/>
      <c r="I7740" s="340"/>
      <c r="J7740" s="340"/>
      <c r="K7740" s="340"/>
      <c r="L7740" s="340"/>
      <c r="M7740" s="340"/>
      <c r="N7740" s="340"/>
      <c r="O7740" s="340"/>
      <c r="P7740" s="340"/>
      <c r="Q7740" s="340"/>
      <c r="R7740" s="340"/>
      <c r="S7740" s="340"/>
      <c r="T7740" s="340"/>
    </row>
    <row r="7741" spans="1:20">
      <c r="A7741" s="340"/>
      <c r="B7741" s="340"/>
      <c r="C7741" s="340"/>
      <c r="D7741" s="340"/>
      <c r="E7741" s="340"/>
      <c r="F7741" s="340"/>
      <c r="G7741" s="340"/>
      <c r="H7741" s="340"/>
      <c r="I7741" s="340"/>
      <c r="J7741" s="340"/>
      <c r="K7741" s="340"/>
      <c r="L7741" s="340"/>
      <c r="M7741" s="340"/>
      <c r="N7741" s="340"/>
      <c r="O7741" s="340"/>
      <c r="P7741" s="340"/>
      <c r="Q7741" s="340"/>
      <c r="R7741" s="340"/>
      <c r="S7741" s="340"/>
      <c r="T7741" s="340"/>
    </row>
    <row r="7742" spans="1:20">
      <c r="A7742" s="340"/>
      <c r="B7742" s="340"/>
      <c r="C7742" s="340"/>
      <c r="D7742" s="340"/>
      <c r="E7742" s="340"/>
      <c r="F7742" s="340"/>
      <c r="G7742" s="340"/>
      <c r="H7742" s="340"/>
      <c r="I7742" s="340"/>
      <c r="J7742" s="340"/>
      <c r="K7742" s="340"/>
      <c r="L7742" s="340"/>
      <c r="M7742" s="340"/>
      <c r="N7742" s="340"/>
      <c r="O7742" s="340"/>
      <c r="P7742" s="340"/>
      <c r="Q7742" s="340"/>
      <c r="R7742" s="340"/>
      <c r="S7742" s="340"/>
      <c r="T7742" s="340"/>
    </row>
    <row r="7743" spans="1:20">
      <c r="A7743" s="340"/>
      <c r="B7743" s="340"/>
      <c r="C7743" s="340"/>
      <c r="D7743" s="340"/>
      <c r="E7743" s="340"/>
      <c r="F7743" s="340"/>
      <c r="G7743" s="340"/>
      <c r="H7743" s="340"/>
      <c r="I7743" s="340"/>
      <c r="J7743" s="340"/>
      <c r="K7743" s="340"/>
      <c r="L7743" s="340"/>
      <c r="M7743" s="340"/>
      <c r="N7743" s="340"/>
      <c r="O7743" s="340"/>
      <c r="P7743" s="340"/>
      <c r="Q7743" s="340"/>
      <c r="R7743" s="340"/>
      <c r="S7743" s="340"/>
      <c r="T7743" s="340"/>
    </row>
    <row r="7744" spans="1:20">
      <c r="A7744" s="340"/>
      <c r="B7744" s="340"/>
      <c r="C7744" s="340"/>
      <c r="D7744" s="340"/>
      <c r="E7744" s="340"/>
      <c r="F7744" s="340"/>
      <c r="G7744" s="340"/>
      <c r="H7744" s="340"/>
      <c r="I7744" s="340"/>
      <c r="J7744" s="340"/>
      <c r="K7744" s="340"/>
      <c r="L7744" s="340"/>
      <c r="M7744" s="340"/>
      <c r="N7744" s="340"/>
      <c r="O7744" s="340"/>
      <c r="P7744" s="340"/>
      <c r="Q7744" s="340"/>
      <c r="R7744" s="340"/>
      <c r="S7744" s="340"/>
      <c r="T7744" s="340"/>
    </row>
    <row r="7745" spans="1:20">
      <c r="A7745" s="340"/>
      <c r="B7745" s="340"/>
      <c r="C7745" s="340"/>
      <c r="D7745" s="340"/>
      <c r="E7745" s="340"/>
      <c r="F7745" s="340"/>
      <c r="G7745" s="340"/>
      <c r="H7745" s="340"/>
      <c r="I7745" s="340"/>
      <c r="J7745" s="340"/>
      <c r="K7745" s="340"/>
      <c r="L7745" s="340"/>
      <c r="M7745" s="340"/>
      <c r="N7745" s="340"/>
      <c r="O7745" s="340"/>
      <c r="P7745" s="340"/>
      <c r="Q7745" s="340"/>
      <c r="R7745" s="340"/>
      <c r="S7745" s="340"/>
      <c r="T7745" s="340"/>
    </row>
    <row r="7746" spans="1:20">
      <c r="A7746" s="340"/>
      <c r="B7746" s="340"/>
      <c r="C7746" s="340"/>
      <c r="D7746" s="340"/>
      <c r="E7746" s="340"/>
      <c r="F7746" s="340"/>
      <c r="G7746" s="340"/>
      <c r="H7746" s="340"/>
      <c r="I7746" s="340"/>
      <c r="J7746" s="340"/>
      <c r="K7746" s="340"/>
      <c r="L7746" s="340"/>
      <c r="M7746" s="340"/>
      <c r="N7746" s="340"/>
      <c r="O7746" s="340"/>
      <c r="P7746" s="340"/>
      <c r="Q7746" s="340"/>
      <c r="R7746" s="340"/>
      <c r="S7746" s="340"/>
      <c r="T7746" s="340"/>
    </row>
    <row r="7747" spans="1:20">
      <c r="A7747" s="340"/>
      <c r="B7747" s="340"/>
      <c r="C7747" s="340"/>
      <c r="D7747" s="340"/>
      <c r="E7747" s="340"/>
      <c r="F7747" s="340"/>
      <c r="G7747" s="340"/>
      <c r="H7747" s="340"/>
      <c r="I7747" s="340"/>
      <c r="J7747" s="340"/>
      <c r="K7747" s="340"/>
      <c r="L7747" s="340"/>
      <c r="M7747" s="340"/>
      <c r="N7747" s="340"/>
      <c r="O7747" s="340"/>
      <c r="P7747" s="340"/>
      <c r="Q7747" s="340"/>
      <c r="R7747" s="340"/>
      <c r="S7747" s="340"/>
      <c r="T7747" s="340"/>
    </row>
    <row r="7748" spans="1:20">
      <c r="A7748" s="340"/>
      <c r="B7748" s="340"/>
      <c r="C7748" s="340"/>
      <c r="D7748" s="340"/>
      <c r="E7748" s="340"/>
      <c r="F7748" s="340"/>
      <c r="G7748" s="340"/>
      <c r="H7748" s="340"/>
      <c r="I7748" s="340"/>
      <c r="J7748" s="340"/>
      <c r="K7748" s="340"/>
      <c r="L7748" s="340"/>
      <c r="M7748" s="340"/>
      <c r="N7748" s="340"/>
      <c r="O7748" s="340"/>
      <c r="P7748" s="340"/>
      <c r="Q7748" s="340"/>
      <c r="R7748" s="340"/>
      <c r="S7748" s="340"/>
      <c r="T7748" s="340"/>
    </row>
    <row r="7749" spans="1:20">
      <c r="A7749" s="340"/>
      <c r="B7749" s="340"/>
      <c r="C7749" s="340"/>
      <c r="D7749" s="340"/>
      <c r="E7749" s="340"/>
      <c r="F7749" s="340"/>
      <c r="G7749" s="340"/>
      <c r="H7749" s="340"/>
      <c r="I7749" s="340"/>
      <c r="J7749" s="340"/>
      <c r="K7749" s="340"/>
      <c r="L7749" s="340"/>
      <c r="M7749" s="340"/>
      <c r="N7749" s="340"/>
      <c r="O7749" s="340"/>
      <c r="P7749" s="340"/>
      <c r="Q7749" s="340"/>
      <c r="R7749" s="340"/>
      <c r="S7749" s="340"/>
      <c r="T7749" s="340"/>
    </row>
    <row r="7750" spans="1:20">
      <c r="A7750" s="340"/>
      <c r="B7750" s="340"/>
      <c r="C7750" s="340"/>
      <c r="D7750" s="340"/>
      <c r="E7750" s="340"/>
      <c r="F7750" s="340"/>
      <c r="G7750" s="340"/>
      <c r="H7750" s="340"/>
      <c r="I7750" s="340"/>
      <c r="J7750" s="340"/>
      <c r="K7750" s="340"/>
      <c r="L7750" s="340"/>
      <c r="M7750" s="340"/>
      <c r="N7750" s="340"/>
      <c r="O7750" s="340"/>
      <c r="P7750" s="340"/>
      <c r="Q7750" s="340"/>
      <c r="R7750" s="340"/>
      <c r="S7750" s="340"/>
      <c r="T7750" s="340"/>
    </row>
    <row r="7751" spans="1:20">
      <c r="A7751" s="340"/>
      <c r="B7751" s="340"/>
      <c r="C7751" s="340"/>
      <c r="D7751" s="340"/>
      <c r="E7751" s="340"/>
      <c r="F7751" s="340"/>
      <c r="G7751" s="340"/>
      <c r="H7751" s="340"/>
      <c r="I7751" s="340"/>
      <c r="J7751" s="340"/>
      <c r="K7751" s="340"/>
      <c r="L7751" s="340"/>
      <c r="M7751" s="340"/>
      <c r="N7751" s="340"/>
      <c r="O7751" s="340"/>
      <c r="P7751" s="340"/>
      <c r="Q7751" s="340"/>
      <c r="R7751" s="340"/>
      <c r="S7751" s="340"/>
      <c r="T7751" s="340"/>
    </row>
    <row r="7752" spans="1:20">
      <c r="A7752" s="340"/>
      <c r="B7752" s="340"/>
      <c r="C7752" s="340"/>
      <c r="D7752" s="340"/>
      <c r="E7752" s="340"/>
      <c r="F7752" s="340"/>
      <c r="G7752" s="340"/>
      <c r="H7752" s="340"/>
      <c r="I7752" s="340"/>
      <c r="J7752" s="340"/>
      <c r="K7752" s="340"/>
      <c r="L7752" s="340"/>
      <c r="M7752" s="340"/>
      <c r="N7752" s="340"/>
      <c r="O7752" s="340"/>
      <c r="P7752" s="340"/>
      <c r="Q7752" s="340"/>
      <c r="R7752" s="340"/>
      <c r="S7752" s="340"/>
      <c r="T7752" s="340"/>
    </row>
    <row r="7753" spans="1:20">
      <c r="A7753" s="340"/>
      <c r="B7753" s="340"/>
      <c r="C7753" s="340"/>
      <c r="D7753" s="340"/>
      <c r="E7753" s="340"/>
      <c r="F7753" s="340"/>
      <c r="G7753" s="340"/>
      <c r="H7753" s="340"/>
      <c r="I7753" s="340"/>
      <c r="J7753" s="340"/>
      <c r="K7753" s="340"/>
      <c r="L7753" s="340"/>
      <c r="M7753" s="340"/>
      <c r="N7753" s="340"/>
      <c r="O7753" s="340"/>
      <c r="P7753" s="340"/>
      <c r="Q7753" s="340"/>
      <c r="R7753" s="340"/>
      <c r="S7753" s="340"/>
      <c r="T7753" s="340"/>
    </row>
    <row r="7754" spans="1:20">
      <c r="A7754" s="340"/>
      <c r="B7754" s="340"/>
      <c r="C7754" s="340"/>
      <c r="D7754" s="340"/>
      <c r="E7754" s="340"/>
      <c r="F7754" s="340"/>
      <c r="G7754" s="340"/>
      <c r="H7754" s="340"/>
      <c r="I7754" s="340"/>
      <c r="J7754" s="340"/>
      <c r="K7754" s="340"/>
      <c r="L7754" s="340"/>
      <c r="M7754" s="340"/>
      <c r="N7754" s="340"/>
      <c r="O7754" s="340"/>
      <c r="P7754" s="340"/>
      <c r="Q7754" s="340"/>
      <c r="R7754" s="340"/>
      <c r="S7754" s="340"/>
      <c r="T7754" s="340"/>
    </row>
    <row r="7755" spans="1:20">
      <c r="A7755" s="340"/>
      <c r="B7755" s="340"/>
      <c r="C7755" s="340"/>
      <c r="D7755" s="340"/>
      <c r="E7755" s="340"/>
      <c r="F7755" s="340"/>
      <c r="G7755" s="340"/>
      <c r="H7755" s="340"/>
      <c r="I7755" s="340"/>
      <c r="J7755" s="340"/>
      <c r="K7755" s="340"/>
      <c r="L7755" s="340"/>
      <c r="M7755" s="340"/>
      <c r="N7755" s="340"/>
      <c r="O7755" s="340"/>
      <c r="P7755" s="340"/>
      <c r="Q7755" s="340"/>
      <c r="R7755" s="340"/>
      <c r="S7755" s="340"/>
      <c r="T7755" s="340"/>
    </row>
    <row r="7756" spans="1:20">
      <c r="A7756" s="340"/>
      <c r="B7756" s="340"/>
      <c r="C7756" s="340"/>
      <c r="D7756" s="340"/>
      <c r="E7756" s="340"/>
      <c r="F7756" s="340"/>
      <c r="G7756" s="340"/>
      <c r="H7756" s="340"/>
      <c r="I7756" s="340"/>
      <c r="J7756" s="340"/>
      <c r="K7756" s="340"/>
      <c r="L7756" s="340"/>
      <c r="M7756" s="340"/>
      <c r="N7756" s="340"/>
      <c r="O7756" s="340"/>
      <c r="P7756" s="340"/>
      <c r="Q7756" s="340"/>
      <c r="R7756" s="340"/>
      <c r="S7756" s="340"/>
      <c r="T7756" s="340"/>
    </row>
    <row r="7757" spans="1:20">
      <c r="A7757" s="340"/>
      <c r="B7757" s="340"/>
      <c r="C7757" s="340"/>
      <c r="D7757" s="340"/>
      <c r="E7757" s="340"/>
      <c r="F7757" s="340"/>
      <c r="G7757" s="340"/>
      <c r="H7757" s="340"/>
      <c r="I7757" s="340"/>
      <c r="J7757" s="340"/>
      <c r="K7757" s="340"/>
      <c r="L7757" s="340"/>
      <c r="M7757" s="340"/>
      <c r="N7757" s="340"/>
      <c r="O7757" s="340"/>
      <c r="P7757" s="340"/>
      <c r="Q7757" s="340"/>
      <c r="R7757" s="340"/>
      <c r="S7757" s="340"/>
      <c r="T7757" s="340"/>
    </row>
    <row r="7758" spans="1:20">
      <c r="A7758" s="340"/>
      <c r="B7758" s="340"/>
      <c r="C7758" s="340"/>
      <c r="D7758" s="340"/>
      <c r="E7758" s="340"/>
      <c r="F7758" s="340"/>
      <c r="G7758" s="340"/>
      <c r="H7758" s="340"/>
      <c r="I7758" s="340"/>
      <c r="J7758" s="340"/>
      <c r="K7758" s="340"/>
      <c r="L7758" s="340"/>
      <c r="M7758" s="340"/>
      <c r="N7758" s="340"/>
      <c r="O7758" s="340"/>
      <c r="P7758" s="340"/>
      <c r="Q7758" s="340"/>
      <c r="R7758" s="340"/>
      <c r="S7758" s="340"/>
      <c r="T7758" s="340"/>
    </row>
    <row r="7759" spans="1:20">
      <c r="A7759" s="340"/>
      <c r="B7759" s="340"/>
      <c r="C7759" s="340"/>
      <c r="D7759" s="340"/>
      <c r="E7759" s="340"/>
      <c r="F7759" s="340"/>
      <c r="G7759" s="340"/>
      <c r="H7759" s="340"/>
      <c r="I7759" s="340"/>
      <c r="J7759" s="340"/>
      <c r="K7759" s="340"/>
      <c r="L7759" s="340"/>
      <c r="M7759" s="340"/>
      <c r="N7759" s="340"/>
      <c r="O7759" s="340"/>
      <c r="P7759" s="340"/>
      <c r="Q7759" s="340"/>
      <c r="R7759" s="340"/>
      <c r="S7759" s="340"/>
      <c r="T7759" s="340"/>
    </row>
    <row r="7760" spans="1:20">
      <c r="A7760" s="340"/>
      <c r="B7760" s="340"/>
      <c r="C7760" s="340"/>
      <c r="D7760" s="340"/>
      <c r="E7760" s="340"/>
      <c r="F7760" s="340"/>
      <c r="G7760" s="340"/>
      <c r="H7760" s="340"/>
      <c r="I7760" s="340"/>
      <c r="J7760" s="340"/>
      <c r="K7760" s="340"/>
      <c r="L7760" s="340"/>
      <c r="M7760" s="340"/>
      <c r="N7760" s="340"/>
      <c r="O7760" s="340"/>
      <c r="P7760" s="340"/>
      <c r="Q7760" s="340"/>
      <c r="R7760" s="340"/>
      <c r="S7760" s="340"/>
      <c r="T7760" s="340"/>
    </row>
    <row r="7761" spans="1:20">
      <c r="A7761" s="340"/>
      <c r="B7761" s="340"/>
      <c r="C7761" s="340"/>
      <c r="D7761" s="340"/>
      <c r="E7761" s="340"/>
      <c r="F7761" s="340"/>
      <c r="G7761" s="340"/>
      <c r="H7761" s="340"/>
      <c r="I7761" s="340"/>
      <c r="J7761" s="340"/>
      <c r="K7761" s="340"/>
      <c r="L7761" s="340"/>
      <c r="M7761" s="340"/>
      <c r="N7761" s="340"/>
      <c r="O7761" s="340"/>
      <c r="P7761" s="340"/>
      <c r="Q7761" s="340"/>
      <c r="R7761" s="340"/>
      <c r="S7761" s="340"/>
      <c r="T7761" s="340"/>
    </row>
    <row r="7762" spans="1:20">
      <c r="A7762" s="340"/>
      <c r="B7762" s="340"/>
      <c r="C7762" s="340"/>
      <c r="D7762" s="340"/>
      <c r="E7762" s="340"/>
      <c r="F7762" s="340"/>
      <c r="G7762" s="340"/>
      <c r="H7762" s="340"/>
      <c r="I7762" s="340"/>
      <c r="J7762" s="340"/>
      <c r="K7762" s="340"/>
      <c r="L7762" s="340"/>
      <c r="M7762" s="340"/>
      <c r="N7762" s="340"/>
      <c r="O7762" s="340"/>
      <c r="P7762" s="340"/>
      <c r="Q7762" s="340"/>
      <c r="R7762" s="340"/>
      <c r="S7762" s="340"/>
      <c r="T7762" s="340"/>
    </row>
    <row r="7763" spans="1:20">
      <c r="A7763" s="340"/>
      <c r="B7763" s="340"/>
      <c r="C7763" s="340"/>
      <c r="D7763" s="340"/>
      <c r="E7763" s="340"/>
      <c r="F7763" s="340"/>
      <c r="G7763" s="340"/>
      <c r="H7763" s="340"/>
      <c r="I7763" s="340"/>
      <c r="J7763" s="340"/>
      <c r="K7763" s="340"/>
      <c r="L7763" s="340"/>
      <c r="M7763" s="340"/>
      <c r="N7763" s="340"/>
      <c r="O7763" s="340"/>
      <c r="P7763" s="340"/>
      <c r="Q7763" s="340"/>
      <c r="R7763" s="340"/>
      <c r="S7763" s="340"/>
      <c r="T7763" s="340"/>
    </row>
    <row r="7764" spans="1:20">
      <c r="A7764" s="340"/>
      <c r="B7764" s="340"/>
      <c r="C7764" s="340"/>
      <c r="D7764" s="340"/>
      <c r="E7764" s="340"/>
      <c r="F7764" s="340"/>
      <c r="G7764" s="340"/>
      <c r="H7764" s="340"/>
      <c r="I7764" s="340"/>
      <c r="J7764" s="340"/>
      <c r="K7764" s="340"/>
      <c r="L7764" s="340"/>
      <c r="M7764" s="340"/>
      <c r="N7764" s="340"/>
      <c r="O7764" s="340"/>
      <c r="P7764" s="340"/>
      <c r="Q7764" s="340"/>
      <c r="R7764" s="340"/>
      <c r="S7764" s="340"/>
      <c r="T7764" s="340"/>
    </row>
    <row r="7765" spans="1:20">
      <c r="A7765" s="340"/>
      <c r="B7765" s="340"/>
      <c r="C7765" s="340"/>
      <c r="D7765" s="340"/>
      <c r="E7765" s="340"/>
      <c r="F7765" s="340"/>
      <c r="G7765" s="340"/>
      <c r="H7765" s="340"/>
      <c r="I7765" s="340"/>
      <c r="J7765" s="340"/>
      <c r="K7765" s="340"/>
      <c r="L7765" s="340"/>
      <c r="M7765" s="340"/>
      <c r="N7765" s="340"/>
      <c r="O7765" s="340"/>
      <c r="P7765" s="340"/>
      <c r="Q7765" s="340"/>
      <c r="R7765" s="340"/>
      <c r="S7765" s="340"/>
      <c r="T7765" s="340"/>
    </row>
    <row r="7766" spans="1:20">
      <c r="A7766" s="340"/>
      <c r="B7766" s="340"/>
      <c r="C7766" s="340"/>
      <c r="D7766" s="340"/>
      <c r="E7766" s="340"/>
      <c r="F7766" s="340"/>
      <c r="G7766" s="340"/>
      <c r="H7766" s="340"/>
      <c r="I7766" s="340"/>
      <c r="J7766" s="340"/>
      <c r="K7766" s="340"/>
      <c r="L7766" s="340"/>
      <c r="M7766" s="340"/>
      <c r="N7766" s="340"/>
      <c r="O7766" s="340"/>
      <c r="P7766" s="340"/>
      <c r="Q7766" s="340"/>
      <c r="R7766" s="340"/>
      <c r="S7766" s="340"/>
      <c r="T7766" s="340"/>
    </row>
    <row r="7767" spans="1:20">
      <c r="A7767" s="340"/>
      <c r="B7767" s="340"/>
      <c r="C7767" s="340"/>
      <c r="D7767" s="340"/>
      <c r="E7767" s="340"/>
      <c r="F7767" s="340"/>
      <c r="G7767" s="340"/>
      <c r="H7767" s="340"/>
      <c r="I7767" s="340"/>
      <c r="J7767" s="340"/>
      <c r="K7767" s="340"/>
      <c r="L7767" s="340"/>
      <c r="M7767" s="340"/>
      <c r="N7767" s="340"/>
      <c r="O7767" s="340"/>
      <c r="P7767" s="340"/>
      <c r="Q7767" s="340"/>
      <c r="R7767" s="340"/>
      <c r="S7767" s="340"/>
      <c r="T7767" s="340"/>
    </row>
    <row r="7768" spans="1:20">
      <c r="A7768" s="340"/>
      <c r="B7768" s="340"/>
      <c r="C7768" s="340"/>
      <c r="D7768" s="340"/>
      <c r="E7768" s="340"/>
      <c r="F7768" s="340"/>
      <c r="G7768" s="340"/>
      <c r="H7768" s="340"/>
      <c r="I7768" s="340"/>
      <c r="J7768" s="340"/>
      <c r="K7768" s="340"/>
      <c r="L7768" s="340"/>
      <c r="M7768" s="340"/>
      <c r="N7768" s="340"/>
      <c r="O7768" s="340"/>
      <c r="P7768" s="340"/>
      <c r="Q7768" s="340"/>
      <c r="R7768" s="340"/>
      <c r="S7768" s="340"/>
      <c r="T7768" s="340"/>
    </row>
    <row r="7769" spans="1:20">
      <c r="A7769" s="340"/>
      <c r="B7769" s="340"/>
      <c r="C7769" s="340"/>
      <c r="D7769" s="340"/>
      <c r="E7769" s="340"/>
      <c r="F7769" s="340"/>
      <c r="G7769" s="340"/>
      <c r="H7769" s="340"/>
      <c r="I7769" s="340"/>
      <c r="J7769" s="340"/>
      <c r="K7769" s="340"/>
      <c r="L7769" s="340"/>
      <c r="M7769" s="340"/>
      <c r="N7769" s="340"/>
      <c r="O7769" s="340"/>
      <c r="P7769" s="340"/>
      <c r="Q7769" s="340"/>
      <c r="R7769" s="340"/>
      <c r="S7769" s="340"/>
      <c r="T7769" s="340"/>
    </row>
    <row r="7770" spans="1:20">
      <c r="A7770" s="340"/>
      <c r="B7770" s="340"/>
      <c r="C7770" s="340"/>
      <c r="D7770" s="340"/>
      <c r="E7770" s="340"/>
      <c r="F7770" s="340"/>
      <c r="G7770" s="340"/>
      <c r="H7770" s="340"/>
      <c r="I7770" s="340"/>
      <c r="J7770" s="340"/>
      <c r="K7770" s="340"/>
      <c r="L7770" s="340"/>
      <c r="M7770" s="340"/>
      <c r="N7770" s="340"/>
      <c r="O7770" s="340"/>
      <c r="P7770" s="340"/>
      <c r="Q7770" s="340"/>
      <c r="R7770" s="340"/>
      <c r="S7770" s="340"/>
      <c r="T7770" s="340"/>
    </row>
    <row r="7771" spans="1:20">
      <c r="A7771" s="340"/>
      <c r="B7771" s="340"/>
      <c r="C7771" s="340"/>
      <c r="D7771" s="340"/>
      <c r="E7771" s="340"/>
      <c r="F7771" s="340"/>
      <c r="G7771" s="340"/>
      <c r="H7771" s="340"/>
      <c r="I7771" s="340"/>
      <c r="J7771" s="340"/>
      <c r="K7771" s="340"/>
      <c r="L7771" s="340"/>
      <c r="M7771" s="340"/>
      <c r="N7771" s="340"/>
      <c r="O7771" s="340"/>
      <c r="P7771" s="340"/>
      <c r="Q7771" s="340"/>
      <c r="R7771" s="340"/>
      <c r="S7771" s="340"/>
      <c r="T7771" s="340"/>
    </row>
    <row r="7772" spans="1:20">
      <c r="A7772" s="340"/>
      <c r="B7772" s="340"/>
      <c r="C7772" s="340"/>
      <c r="D7772" s="340"/>
      <c r="E7772" s="340"/>
      <c r="F7772" s="340"/>
      <c r="G7772" s="340"/>
      <c r="H7772" s="340"/>
      <c r="I7772" s="340"/>
      <c r="J7772" s="340"/>
      <c r="K7772" s="340"/>
      <c r="L7772" s="340"/>
      <c r="M7772" s="340"/>
      <c r="N7772" s="340"/>
      <c r="O7772" s="340"/>
      <c r="P7772" s="340"/>
      <c r="Q7772" s="340"/>
      <c r="R7772" s="340"/>
      <c r="S7772" s="340"/>
      <c r="T7772" s="340"/>
    </row>
    <row r="7773" spans="1:20">
      <c r="A7773" s="340"/>
      <c r="B7773" s="340"/>
      <c r="C7773" s="340"/>
      <c r="D7773" s="340"/>
      <c r="E7773" s="340"/>
      <c r="F7773" s="340"/>
      <c r="G7773" s="340"/>
      <c r="H7773" s="340"/>
      <c r="I7773" s="340"/>
      <c r="J7773" s="340"/>
      <c r="K7773" s="340"/>
      <c r="L7773" s="340"/>
      <c r="M7773" s="340"/>
      <c r="N7773" s="340"/>
      <c r="O7773" s="340"/>
      <c r="P7773" s="340"/>
      <c r="Q7773" s="340"/>
      <c r="R7773" s="340"/>
      <c r="S7773" s="340"/>
      <c r="T7773" s="340"/>
    </row>
    <row r="7774" spans="1:20">
      <c r="A7774" s="340"/>
      <c r="B7774" s="340"/>
      <c r="C7774" s="340"/>
      <c r="D7774" s="340"/>
      <c r="E7774" s="340"/>
      <c r="F7774" s="340"/>
      <c r="G7774" s="340"/>
      <c r="H7774" s="340"/>
      <c r="I7774" s="340"/>
      <c r="J7774" s="340"/>
      <c r="K7774" s="340"/>
      <c r="L7774" s="340"/>
      <c r="M7774" s="340"/>
      <c r="N7774" s="340"/>
      <c r="O7774" s="340"/>
      <c r="P7774" s="340"/>
      <c r="Q7774" s="340"/>
      <c r="R7774" s="340"/>
      <c r="S7774" s="340"/>
      <c r="T7774" s="340"/>
    </row>
    <row r="7775" spans="1:20">
      <c r="A7775" s="340"/>
      <c r="B7775" s="340"/>
      <c r="C7775" s="340"/>
      <c r="D7775" s="340"/>
      <c r="E7775" s="340"/>
      <c r="F7775" s="340"/>
      <c r="G7775" s="340"/>
      <c r="H7775" s="340"/>
      <c r="I7775" s="340"/>
      <c r="J7775" s="340"/>
      <c r="K7775" s="340"/>
      <c r="L7775" s="340"/>
      <c r="M7775" s="340"/>
      <c r="N7775" s="340"/>
      <c r="O7775" s="340"/>
      <c r="P7775" s="340"/>
      <c r="Q7775" s="340"/>
      <c r="R7775" s="340"/>
      <c r="S7775" s="340"/>
      <c r="T7775" s="340"/>
    </row>
    <row r="7776" spans="1:20">
      <c r="A7776" s="340"/>
      <c r="B7776" s="340"/>
      <c r="C7776" s="340"/>
      <c r="D7776" s="340"/>
      <c r="E7776" s="340"/>
      <c r="F7776" s="340"/>
      <c r="G7776" s="340"/>
      <c r="H7776" s="340"/>
      <c r="I7776" s="340"/>
      <c r="J7776" s="340"/>
      <c r="K7776" s="340"/>
      <c r="L7776" s="340"/>
      <c r="M7776" s="340"/>
      <c r="N7776" s="340"/>
      <c r="O7776" s="340"/>
      <c r="P7776" s="340"/>
      <c r="Q7776" s="340"/>
      <c r="R7776" s="340"/>
      <c r="S7776" s="340"/>
      <c r="T7776" s="340"/>
    </row>
    <row r="7777" spans="1:20">
      <c r="A7777" s="340"/>
      <c r="B7777" s="340"/>
      <c r="C7777" s="340"/>
      <c r="D7777" s="340"/>
      <c r="E7777" s="340"/>
      <c r="F7777" s="340"/>
      <c r="G7777" s="340"/>
      <c r="H7777" s="340"/>
      <c r="I7777" s="340"/>
      <c r="J7777" s="340"/>
      <c r="K7777" s="340"/>
      <c r="L7777" s="340"/>
      <c r="M7777" s="340"/>
      <c r="N7777" s="340"/>
      <c r="O7777" s="340"/>
      <c r="P7777" s="340"/>
      <c r="Q7777" s="340"/>
      <c r="R7777" s="340"/>
      <c r="S7777" s="340"/>
      <c r="T7777" s="340"/>
    </row>
    <row r="7778" spans="1:20">
      <c r="A7778" s="340"/>
      <c r="B7778" s="340"/>
      <c r="C7778" s="340"/>
      <c r="D7778" s="340"/>
      <c r="E7778" s="340"/>
      <c r="F7778" s="340"/>
      <c r="G7778" s="340"/>
      <c r="H7778" s="340"/>
      <c r="I7778" s="340"/>
      <c r="J7778" s="340"/>
      <c r="K7778" s="340"/>
      <c r="L7778" s="340"/>
      <c r="M7778" s="340"/>
      <c r="N7778" s="340"/>
      <c r="O7778" s="340"/>
      <c r="P7778" s="340"/>
      <c r="Q7778" s="340"/>
      <c r="R7778" s="340"/>
      <c r="S7778" s="340"/>
      <c r="T7778" s="340"/>
    </row>
    <row r="7779" spans="1:20">
      <c r="A7779" s="340"/>
      <c r="B7779" s="340"/>
      <c r="C7779" s="340"/>
      <c r="D7779" s="340"/>
      <c r="E7779" s="340"/>
      <c r="F7779" s="340"/>
      <c r="G7779" s="340"/>
      <c r="H7779" s="340"/>
      <c r="I7779" s="340"/>
      <c r="J7779" s="340"/>
      <c r="K7779" s="340"/>
      <c r="L7779" s="340"/>
      <c r="M7779" s="340"/>
      <c r="N7779" s="340"/>
      <c r="O7779" s="340"/>
      <c r="P7779" s="340"/>
      <c r="Q7779" s="340"/>
      <c r="R7779" s="340"/>
      <c r="S7779" s="340"/>
      <c r="T7779" s="340"/>
    </row>
    <row r="7780" spans="1:20">
      <c r="A7780" s="340"/>
      <c r="B7780" s="340"/>
      <c r="C7780" s="340"/>
      <c r="D7780" s="340"/>
      <c r="E7780" s="340"/>
      <c r="F7780" s="340"/>
      <c r="G7780" s="340"/>
      <c r="H7780" s="340"/>
      <c r="I7780" s="340"/>
      <c r="J7780" s="340"/>
      <c r="K7780" s="340"/>
      <c r="L7780" s="340"/>
      <c r="M7780" s="340"/>
      <c r="N7780" s="340"/>
      <c r="O7780" s="340"/>
      <c r="P7780" s="340"/>
      <c r="Q7780" s="340"/>
      <c r="R7780" s="340"/>
      <c r="S7780" s="340"/>
      <c r="T7780" s="340"/>
    </row>
    <row r="7781" spans="1:20">
      <c r="A7781" s="340"/>
      <c r="B7781" s="340"/>
      <c r="C7781" s="340"/>
      <c r="D7781" s="340"/>
      <c r="E7781" s="340"/>
      <c r="F7781" s="340"/>
      <c r="G7781" s="340"/>
      <c r="H7781" s="340"/>
      <c r="I7781" s="340"/>
      <c r="J7781" s="340"/>
      <c r="K7781" s="340"/>
      <c r="L7781" s="340"/>
      <c r="M7781" s="340"/>
      <c r="N7781" s="340"/>
      <c r="O7781" s="340"/>
      <c r="P7781" s="340"/>
      <c r="Q7781" s="340"/>
      <c r="R7781" s="340"/>
      <c r="S7781" s="340"/>
      <c r="T7781" s="340"/>
    </row>
    <row r="7782" spans="1:20">
      <c r="A7782" s="340"/>
      <c r="B7782" s="340"/>
      <c r="C7782" s="340"/>
      <c r="D7782" s="340"/>
      <c r="E7782" s="340"/>
      <c r="F7782" s="340"/>
      <c r="G7782" s="340"/>
      <c r="H7782" s="340"/>
      <c r="I7782" s="340"/>
      <c r="J7782" s="340"/>
      <c r="K7782" s="340"/>
      <c r="L7782" s="340"/>
      <c r="M7782" s="340"/>
      <c r="N7782" s="340"/>
      <c r="O7782" s="340"/>
      <c r="P7782" s="340"/>
      <c r="Q7782" s="340"/>
      <c r="R7782" s="340"/>
      <c r="S7782" s="340"/>
      <c r="T7782" s="340"/>
    </row>
    <row r="7783" spans="1:20">
      <c r="A7783" s="340"/>
      <c r="B7783" s="340"/>
      <c r="C7783" s="340"/>
      <c r="D7783" s="340"/>
      <c r="E7783" s="340"/>
      <c r="F7783" s="340"/>
      <c r="G7783" s="340"/>
      <c r="H7783" s="340"/>
      <c r="I7783" s="340"/>
      <c r="J7783" s="340"/>
      <c r="K7783" s="340"/>
      <c r="L7783" s="340"/>
      <c r="M7783" s="340"/>
      <c r="N7783" s="340"/>
      <c r="O7783" s="340"/>
      <c r="P7783" s="340"/>
      <c r="Q7783" s="340"/>
      <c r="R7783" s="340"/>
      <c r="S7783" s="340"/>
      <c r="T7783" s="340"/>
    </row>
    <row r="7784" spans="1:20">
      <c r="A7784" s="340"/>
      <c r="B7784" s="340"/>
      <c r="C7784" s="340"/>
      <c r="D7784" s="340"/>
      <c r="E7784" s="340"/>
      <c r="F7784" s="340"/>
      <c r="G7784" s="340"/>
      <c r="H7784" s="340"/>
      <c r="I7784" s="340"/>
      <c r="J7784" s="340"/>
      <c r="K7784" s="340"/>
      <c r="L7784" s="340"/>
      <c r="M7784" s="340"/>
      <c r="N7784" s="340"/>
      <c r="O7784" s="340"/>
      <c r="P7784" s="340"/>
      <c r="Q7784" s="340"/>
      <c r="R7784" s="340"/>
      <c r="S7784" s="340"/>
      <c r="T7784" s="340"/>
    </row>
    <row r="7785" spans="1:20">
      <c r="A7785" s="340"/>
      <c r="B7785" s="340"/>
      <c r="C7785" s="340"/>
      <c r="D7785" s="340"/>
      <c r="E7785" s="340"/>
      <c r="F7785" s="340"/>
      <c r="G7785" s="340"/>
      <c r="H7785" s="340"/>
      <c r="I7785" s="340"/>
      <c r="J7785" s="340"/>
      <c r="K7785" s="340"/>
      <c r="L7785" s="340"/>
      <c r="M7785" s="340"/>
      <c r="N7785" s="340"/>
      <c r="O7785" s="340"/>
      <c r="P7785" s="340"/>
      <c r="Q7785" s="340"/>
      <c r="R7785" s="340"/>
      <c r="S7785" s="340"/>
      <c r="T7785" s="340"/>
    </row>
    <row r="7786" spans="1:20">
      <c r="A7786" s="340"/>
      <c r="B7786" s="340"/>
      <c r="C7786" s="340"/>
      <c r="D7786" s="340"/>
      <c r="E7786" s="340"/>
      <c r="F7786" s="340"/>
      <c r="G7786" s="340"/>
      <c r="H7786" s="340"/>
      <c r="I7786" s="340"/>
      <c r="J7786" s="340"/>
      <c r="K7786" s="340"/>
      <c r="L7786" s="340"/>
      <c r="M7786" s="340"/>
      <c r="N7786" s="340"/>
      <c r="O7786" s="340"/>
      <c r="P7786" s="340"/>
      <c r="Q7786" s="340"/>
      <c r="R7786" s="340"/>
      <c r="S7786" s="340"/>
      <c r="T7786" s="340"/>
    </row>
    <row r="7787" spans="1:20">
      <c r="A7787" s="340"/>
      <c r="B7787" s="340"/>
      <c r="C7787" s="340"/>
      <c r="D7787" s="340"/>
      <c r="E7787" s="340"/>
      <c r="F7787" s="340"/>
      <c r="G7787" s="340"/>
      <c r="H7787" s="340"/>
      <c r="I7787" s="340"/>
      <c r="J7787" s="340"/>
      <c r="K7787" s="340"/>
      <c r="L7787" s="340"/>
      <c r="M7787" s="340"/>
      <c r="N7787" s="340"/>
      <c r="O7787" s="340"/>
      <c r="P7787" s="340"/>
      <c r="Q7787" s="340"/>
      <c r="R7787" s="340"/>
      <c r="S7787" s="340"/>
      <c r="T7787" s="340"/>
    </row>
    <row r="7788" spans="1:20">
      <c r="A7788" s="340"/>
      <c r="B7788" s="340"/>
      <c r="C7788" s="340"/>
      <c r="D7788" s="340"/>
      <c r="E7788" s="340"/>
      <c r="F7788" s="340"/>
      <c r="G7788" s="340"/>
      <c r="H7788" s="340"/>
      <c r="I7788" s="340"/>
      <c r="J7788" s="340"/>
      <c r="K7788" s="340"/>
      <c r="L7788" s="340"/>
      <c r="M7788" s="340"/>
      <c r="N7788" s="340"/>
      <c r="O7788" s="340"/>
      <c r="P7788" s="340"/>
      <c r="Q7788" s="340"/>
      <c r="R7788" s="340"/>
      <c r="S7788" s="340"/>
      <c r="T7788" s="340"/>
    </row>
    <row r="7789" spans="1:20">
      <c r="A7789" s="340"/>
      <c r="B7789" s="340"/>
      <c r="C7789" s="340"/>
      <c r="D7789" s="340"/>
      <c r="E7789" s="340"/>
      <c r="F7789" s="340"/>
      <c r="G7789" s="340"/>
      <c r="H7789" s="340"/>
      <c r="I7789" s="340"/>
      <c r="J7789" s="340"/>
      <c r="K7789" s="340"/>
      <c r="L7789" s="340"/>
      <c r="M7789" s="340"/>
      <c r="N7789" s="340"/>
      <c r="O7789" s="340"/>
      <c r="P7789" s="340"/>
      <c r="Q7789" s="340"/>
      <c r="R7789" s="340"/>
      <c r="S7789" s="340"/>
      <c r="T7789" s="340"/>
    </row>
    <row r="7790" spans="1:20">
      <c r="A7790" s="340"/>
      <c r="B7790" s="340"/>
      <c r="C7790" s="340"/>
      <c r="D7790" s="340"/>
      <c r="E7790" s="340"/>
      <c r="F7790" s="340"/>
      <c r="G7790" s="340"/>
      <c r="H7790" s="340"/>
      <c r="I7790" s="340"/>
      <c r="J7790" s="340"/>
      <c r="K7790" s="340"/>
      <c r="L7790" s="340"/>
      <c r="M7790" s="340"/>
      <c r="N7790" s="340"/>
      <c r="O7790" s="340"/>
      <c r="P7790" s="340"/>
      <c r="Q7790" s="340"/>
      <c r="R7790" s="340"/>
      <c r="S7790" s="340"/>
      <c r="T7790" s="340"/>
    </row>
    <row r="7791" spans="1:20">
      <c r="A7791" s="340"/>
      <c r="B7791" s="340"/>
      <c r="C7791" s="340"/>
      <c r="D7791" s="340"/>
      <c r="E7791" s="340"/>
      <c r="F7791" s="340"/>
      <c r="G7791" s="340"/>
      <c r="H7791" s="340"/>
      <c r="I7791" s="340"/>
      <c r="J7791" s="340"/>
      <c r="K7791" s="340"/>
      <c r="L7791" s="340"/>
      <c r="M7791" s="340"/>
      <c r="N7791" s="340"/>
      <c r="O7791" s="340"/>
      <c r="P7791" s="340"/>
      <c r="Q7791" s="340"/>
      <c r="R7791" s="340"/>
      <c r="S7791" s="340"/>
      <c r="T7791" s="340"/>
    </row>
    <row r="7792" spans="1:20">
      <c r="A7792" s="340"/>
      <c r="B7792" s="340"/>
      <c r="C7792" s="340"/>
      <c r="D7792" s="340"/>
      <c r="E7792" s="340"/>
      <c r="F7792" s="340"/>
      <c r="G7792" s="340"/>
      <c r="H7792" s="340"/>
      <c r="I7792" s="340"/>
      <c r="J7792" s="340"/>
      <c r="K7792" s="340"/>
      <c r="L7792" s="340"/>
      <c r="M7792" s="340"/>
      <c r="N7792" s="340"/>
      <c r="O7792" s="340"/>
      <c r="P7792" s="340"/>
      <c r="Q7792" s="340"/>
      <c r="R7792" s="340"/>
      <c r="S7792" s="340"/>
      <c r="T7792" s="340"/>
    </row>
    <row r="7793" spans="1:20">
      <c r="A7793" s="340"/>
      <c r="B7793" s="340"/>
      <c r="C7793" s="340"/>
      <c r="D7793" s="340"/>
      <c r="E7793" s="340"/>
      <c r="F7793" s="340"/>
      <c r="G7793" s="340"/>
      <c r="H7793" s="340"/>
      <c r="I7793" s="340"/>
      <c r="J7793" s="340"/>
      <c r="K7793" s="340"/>
      <c r="L7793" s="340"/>
      <c r="M7793" s="340"/>
      <c r="N7793" s="340"/>
      <c r="O7793" s="340"/>
      <c r="P7793" s="340"/>
      <c r="Q7793" s="340"/>
      <c r="R7793" s="340"/>
      <c r="S7793" s="340"/>
      <c r="T7793" s="340"/>
    </row>
    <row r="7794" spans="1:20">
      <c r="A7794" s="340"/>
      <c r="B7794" s="340"/>
      <c r="C7794" s="340"/>
      <c r="D7794" s="340"/>
      <c r="E7794" s="340"/>
      <c r="F7794" s="340"/>
      <c r="G7794" s="340"/>
      <c r="H7794" s="340"/>
      <c r="I7794" s="340"/>
      <c r="J7794" s="340"/>
      <c r="K7794" s="340"/>
      <c r="L7794" s="340"/>
      <c r="M7794" s="340"/>
      <c r="N7794" s="340"/>
      <c r="O7794" s="340"/>
      <c r="P7794" s="340"/>
      <c r="Q7794" s="340"/>
      <c r="R7794" s="340"/>
      <c r="S7794" s="340"/>
      <c r="T7794" s="340"/>
    </row>
    <row r="7795" spans="1:20">
      <c r="A7795" s="340"/>
      <c r="B7795" s="340"/>
      <c r="C7795" s="340"/>
      <c r="D7795" s="340"/>
      <c r="E7795" s="340"/>
      <c r="F7795" s="340"/>
      <c r="G7795" s="340"/>
      <c r="H7795" s="340"/>
      <c r="I7795" s="340"/>
      <c r="J7795" s="340"/>
      <c r="K7795" s="340"/>
      <c r="L7795" s="340"/>
      <c r="M7795" s="340"/>
      <c r="N7795" s="340"/>
      <c r="O7795" s="340"/>
      <c r="P7795" s="340"/>
      <c r="Q7795" s="340"/>
      <c r="R7795" s="340"/>
      <c r="S7795" s="340"/>
      <c r="T7795" s="340"/>
    </row>
    <row r="7796" spans="1:20">
      <c r="A7796" s="340"/>
      <c r="B7796" s="340"/>
      <c r="C7796" s="340"/>
      <c r="D7796" s="340"/>
      <c r="E7796" s="340"/>
      <c r="F7796" s="340"/>
      <c r="G7796" s="340"/>
      <c r="H7796" s="340"/>
      <c r="I7796" s="340"/>
      <c r="J7796" s="340"/>
      <c r="K7796" s="340"/>
      <c r="L7796" s="340"/>
      <c r="M7796" s="340"/>
      <c r="N7796" s="340"/>
      <c r="O7796" s="340"/>
      <c r="P7796" s="340"/>
      <c r="Q7796" s="340"/>
      <c r="R7796" s="340"/>
      <c r="S7796" s="340"/>
      <c r="T7796" s="340"/>
    </row>
    <row r="7797" spans="1:20">
      <c r="A7797" s="340"/>
      <c r="B7797" s="340"/>
      <c r="C7797" s="340"/>
      <c r="D7797" s="340"/>
      <c r="E7797" s="340"/>
      <c r="F7797" s="340"/>
      <c r="G7797" s="340"/>
      <c r="H7797" s="340"/>
      <c r="I7797" s="340"/>
      <c r="J7797" s="340"/>
      <c r="K7797" s="340"/>
      <c r="L7797" s="340"/>
      <c r="M7797" s="340"/>
      <c r="N7797" s="340"/>
      <c r="O7797" s="340"/>
      <c r="P7797" s="340"/>
      <c r="Q7797" s="340"/>
      <c r="R7797" s="340"/>
      <c r="S7797" s="340"/>
      <c r="T7797" s="340"/>
    </row>
    <row r="7798" spans="1:20">
      <c r="A7798" s="340"/>
      <c r="B7798" s="340"/>
      <c r="C7798" s="340"/>
      <c r="D7798" s="340"/>
      <c r="E7798" s="340"/>
      <c r="F7798" s="340"/>
      <c r="G7798" s="340"/>
      <c r="H7798" s="340"/>
      <c r="I7798" s="340"/>
      <c r="J7798" s="340"/>
      <c r="K7798" s="340"/>
      <c r="L7798" s="340"/>
      <c r="M7798" s="340"/>
      <c r="N7798" s="340"/>
      <c r="O7798" s="340"/>
      <c r="P7798" s="340"/>
      <c r="Q7798" s="340"/>
      <c r="R7798" s="340"/>
      <c r="S7798" s="340"/>
      <c r="T7798" s="340"/>
    </row>
    <row r="7799" spans="1:20">
      <c r="A7799" s="340"/>
      <c r="B7799" s="340"/>
      <c r="C7799" s="340"/>
      <c r="D7799" s="340"/>
      <c r="E7799" s="340"/>
      <c r="F7799" s="340"/>
      <c r="G7799" s="340"/>
      <c r="H7799" s="340"/>
      <c r="I7799" s="340"/>
      <c r="J7799" s="340"/>
      <c r="K7799" s="340"/>
      <c r="L7799" s="340"/>
      <c r="M7799" s="340"/>
      <c r="N7799" s="340"/>
      <c r="O7799" s="340"/>
      <c r="P7799" s="340"/>
      <c r="Q7799" s="340"/>
      <c r="R7799" s="340"/>
      <c r="S7799" s="340"/>
      <c r="T7799" s="340"/>
    </row>
    <row r="7800" spans="1:20">
      <c r="A7800" s="340"/>
      <c r="B7800" s="340"/>
      <c r="C7800" s="340"/>
      <c r="D7800" s="340"/>
      <c r="E7800" s="340"/>
      <c r="F7800" s="340"/>
      <c r="G7800" s="340"/>
      <c r="H7800" s="340"/>
      <c r="I7800" s="340"/>
      <c r="J7800" s="340"/>
      <c r="K7800" s="340"/>
      <c r="L7800" s="340"/>
      <c r="M7800" s="340"/>
      <c r="N7800" s="340"/>
      <c r="O7800" s="340"/>
      <c r="P7800" s="340"/>
      <c r="Q7800" s="340"/>
      <c r="R7800" s="340"/>
      <c r="S7800" s="340"/>
      <c r="T7800" s="340"/>
    </row>
    <row r="7803" spans="1:20">
      <c r="A7803" s="403"/>
      <c r="B7803" s="404"/>
      <c r="C7803" s="404"/>
      <c r="D7803" s="404"/>
      <c r="E7803" s="404"/>
      <c r="F7803" s="404"/>
      <c r="G7803" s="404"/>
      <c r="H7803" s="404"/>
      <c r="I7803" s="404"/>
      <c r="J7803" s="404"/>
      <c r="K7803" s="404"/>
    </row>
    <row r="7804" spans="1:20">
      <c r="Q7804" s="395"/>
    </row>
    <row r="7805" spans="1:20">
      <c r="Q7805" s="395"/>
    </row>
    <row r="7818" spans="8:8">
      <c r="H7818" s="401"/>
    </row>
    <row r="7819" spans="8:8">
      <c r="H7819" s="401"/>
    </row>
    <row r="7820" spans="8:8">
      <c r="H7820" s="402"/>
    </row>
  </sheetData>
  <mergeCells count="97">
    <mergeCell ref="A1:I1"/>
    <mergeCell ref="B3:B7"/>
    <mergeCell ref="D3:E3"/>
    <mergeCell ref="D4:E4"/>
    <mergeCell ref="D5:E5"/>
    <mergeCell ref="D6:E6"/>
    <mergeCell ref="D7:E7"/>
    <mergeCell ref="A11:H11"/>
    <mergeCell ref="A12:A13"/>
    <mergeCell ref="B12:B13"/>
    <mergeCell ref="C12:D12"/>
    <mergeCell ref="E12:F12"/>
    <mergeCell ref="G12:H12"/>
    <mergeCell ref="M126:S129"/>
    <mergeCell ref="B128:B129"/>
    <mergeCell ref="I12:I13"/>
    <mergeCell ref="M13:T13"/>
    <mergeCell ref="N30:S35"/>
    <mergeCell ref="A67:H67"/>
    <mergeCell ref="C68:D68"/>
    <mergeCell ref="E68:F68"/>
    <mergeCell ref="G68:H68"/>
    <mergeCell ref="A124:H124"/>
    <mergeCell ref="C125:D125"/>
    <mergeCell ref="E125:F125"/>
    <mergeCell ref="G125:H125"/>
    <mergeCell ref="M125:T125"/>
    <mergeCell ref="A143:A144"/>
    <mergeCell ref="B143:B144"/>
    <mergeCell ref="M130:S133"/>
    <mergeCell ref="B132:B133"/>
    <mergeCell ref="M134:S137"/>
    <mergeCell ref="B136:B137"/>
    <mergeCell ref="A139:H139"/>
    <mergeCell ref="A140:H140"/>
    <mergeCell ref="A141:A142"/>
    <mergeCell ref="B141:B142"/>
    <mergeCell ref="C141:C142"/>
    <mergeCell ref="D141:E141"/>
    <mergeCell ref="G141:H141"/>
    <mergeCell ref="A145:A146"/>
    <mergeCell ref="B145:B146"/>
    <mergeCell ref="A147:A148"/>
    <mergeCell ref="B147:B148"/>
    <mergeCell ref="A150:H150"/>
    <mergeCell ref="A162:H162"/>
    <mergeCell ref="A151:A152"/>
    <mergeCell ref="B151:B152"/>
    <mergeCell ref="C151:C152"/>
    <mergeCell ref="D151:E152"/>
    <mergeCell ref="F151:F152"/>
    <mergeCell ref="G151:H152"/>
    <mergeCell ref="A153:A156"/>
    <mergeCell ref="B153:B156"/>
    <mergeCell ref="A157:A160"/>
    <mergeCell ref="B157:B160"/>
    <mergeCell ref="D163:F163"/>
    <mergeCell ref="G163:I163"/>
    <mergeCell ref="A167:A168"/>
    <mergeCell ref="B167:B168"/>
    <mergeCell ref="A169:A170"/>
    <mergeCell ref="B169:B170"/>
    <mergeCell ref="A165:A166"/>
    <mergeCell ref="B165:B166"/>
    <mergeCell ref="A163:A164"/>
    <mergeCell ref="B163:B164"/>
    <mergeCell ref="C163:C164"/>
    <mergeCell ref="A171:A172"/>
    <mergeCell ref="B171:B172"/>
    <mergeCell ref="A183:A184"/>
    <mergeCell ref="B183:B184"/>
    <mergeCell ref="A173:A174"/>
    <mergeCell ref="B173:B174"/>
    <mergeCell ref="A177:A178"/>
    <mergeCell ref="B177:B178"/>
    <mergeCell ref="G177:H177"/>
    <mergeCell ref="A179:A180"/>
    <mergeCell ref="B179:B180"/>
    <mergeCell ref="A181:A182"/>
    <mergeCell ref="B181:B182"/>
    <mergeCell ref="C177:C178"/>
    <mergeCell ref="D177:E177"/>
    <mergeCell ref="A185:A186"/>
    <mergeCell ref="B185:B186"/>
    <mergeCell ref="A187:A188"/>
    <mergeCell ref="B187:B188"/>
    <mergeCell ref="A190:H190"/>
    <mergeCell ref="G191:H192"/>
    <mergeCell ref="A193:A196"/>
    <mergeCell ref="B193:B196"/>
    <mergeCell ref="A197:A198"/>
    <mergeCell ref="B197:B198"/>
    <mergeCell ref="A191:A192"/>
    <mergeCell ref="B191:B192"/>
    <mergeCell ref="C191:C192"/>
    <mergeCell ref="D191:E192"/>
    <mergeCell ref="F191:F192"/>
  </mergeCells>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2</xdr:col>
                <xdr:colOff>0</xdr:colOff>
                <xdr:row>7</xdr:row>
                <xdr:rowOff>57150</xdr:rowOff>
              </from>
              <to>
                <xdr:col>3</xdr:col>
                <xdr:colOff>371475</xdr:colOff>
                <xdr:row>9</xdr:row>
                <xdr:rowOff>57150</xdr:rowOff>
              </to>
            </anchor>
          </objectPr>
        </oleObject>
      </mc:Choice>
      <mc:Fallback>
        <oleObject progId="Equation.3" shapeId="2049"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21</vt:i4>
      </vt:variant>
    </vt:vector>
  </HeadingPairs>
  <TitlesOfParts>
    <vt:vector size="60" baseType="lpstr">
      <vt:lpstr>Noi suy</vt:lpstr>
      <vt:lpstr>So sanh</vt:lpstr>
      <vt:lpstr>BANG 1.4</vt:lpstr>
      <vt:lpstr>THKP-CT</vt:lpstr>
      <vt:lpstr>THKP-TVĐT</vt:lpstr>
      <vt:lpstr>Chi phí khác</vt:lpstr>
      <vt:lpstr>THKP-HT-Đ</vt:lpstr>
      <vt:lpstr>THKP-HT-XD</vt:lpstr>
      <vt:lpstr>THOPCN04</vt:lpstr>
      <vt:lpstr>ChitietCapngam04</vt:lpstr>
      <vt:lpstr>DM_6060</vt:lpstr>
      <vt:lpstr>Gia VT TB</vt:lpstr>
      <vt:lpstr>DM 1781</vt:lpstr>
      <vt:lpstr>Muong</vt:lpstr>
      <vt:lpstr>MUONG- HAO CAP (2)</vt:lpstr>
      <vt:lpstr>ChitietTNHCngam04</vt:lpstr>
      <vt:lpstr>VL-NC-MTC-TBA</vt:lpstr>
      <vt:lpstr>Chiphithetbi</vt:lpstr>
      <vt:lpstr>THKPTBA</vt:lpstr>
      <vt:lpstr>Chi tiết-TBA</vt:lpstr>
      <vt:lpstr>ChitietTNHCTBA</vt:lpstr>
      <vt:lpstr>THKP-TT-XD</vt:lpstr>
      <vt:lpstr>THKP-TT-Đ</vt:lpstr>
      <vt:lpstr>ChitetCN22</vt:lpstr>
      <vt:lpstr>THCN22</vt:lpstr>
      <vt:lpstr>TNCN22</vt:lpstr>
      <vt:lpstr>Sheet5</vt:lpstr>
      <vt:lpstr>DG203</vt:lpstr>
      <vt:lpstr>Sheet3</vt:lpstr>
      <vt:lpstr>TNHC</vt:lpstr>
      <vt:lpstr>ĐMNC</vt:lpstr>
      <vt:lpstr>MTC</vt:lpstr>
      <vt:lpstr>PPT - HT</vt:lpstr>
      <vt:lpstr>Tủ điện</vt:lpstr>
      <vt:lpstr>PPT Rut gon</vt:lpstr>
      <vt:lpstr>DG VC</vt:lpstr>
      <vt:lpstr>DG VCN</vt:lpstr>
      <vt:lpstr>DM_TT 10</vt:lpstr>
      <vt:lpstr>Luong</vt:lpstr>
      <vt:lpstr>_ks40</vt:lpstr>
      <vt:lpstr>_lg30</vt:lpstr>
      <vt:lpstr>_lg35</vt:lpstr>
      <vt:lpstr>_lg40</vt:lpstr>
      <vt:lpstr>_lg45</vt:lpstr>
      <vt:lpstr>_ln30</vt:lpstr>
      <vt:lpstr>_ln35</vt:lpstr>
      <vt:lpstr>_ln40</vt:lpstr>
      <vt:lpstr>_ln50</vt:lpstr>
      <vt:lpstr>_ln70</vt:lpstr>
      <vt:lpstr>_NC6060</vt:lpstr>
      <vt:lpstr>_NC6061</vt:lpstr>
      <vt:lpstr>'Chi phí khác'!Print_Area</vt:lpstr>
      <vt:lpstr>ChitietCapngam04!Print_Area</vt:lpstr>
      <vt:lpstr>ChitietTNHCngam04!Print_Area</vt:lpstr>
      <vt:lpstr>'THKP-CT'!Print_Area</vt:lpstr>
      <vt:lpstr>'THKP-HT-Đ'!Print_Area</vt:lpstr>
      <vt:lpstr>'THKP-HT-XD'!Print_Area</vt:lpstr>
      <vt:lpstr>THOPCN04!Print_Area</vt:lpstr>
      <vt:lpstr>ChitietCapngam04!Print_Titles</vt:lpstr>
      <vt:lpstr>'PPT Rut gon'!Print_Titles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Cuong Hoang Van</cp:lastModifiedBy>
  <cp:lastPrinted>2023-11-07T03:07:52Z</cp:lastPrinted>
  <dcterms:created xsi:type="dcterms:W3CDTF">2020-04-15T04:20:41Z</dcterms:created>
  <dcterms:modified xsi:type="dcterms:W3CDTF">2023-11-07T03:22:16Z</dcterms:modified>
</cp:coreProperties>
</file>